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sheet" sheetId="1" r:id="rId5"/>
    <sheet state="visible" name="Aldo" sheetId="2" r:id="rId6"/>
    <sheet state="visible" name="VS" sheetId="3" r:id="rId7"/>
    <sheet state="visible" name="BBW" sheetId="4" r:id="rId8"/>
    <sheet state="visible" name="CK" sheetId="5" r:id="rId9"/>
    <sheet state="visible" name="R&amp;B" sheetId="6" r:id="rId10"/>
    <sheet state="visible" name="BHPC" sheetId="7" r:id="rId11"/>
    <sheet state="visible" name="Crocs" sheetId="8" r:id="rId12"/>
    <sheet state="visible" name="AGIPL" sheetId="9" r:id="rId13"/>
    <sheet state="visible" name="CIS" sheetId="10" r:id="rId14"/>
  </sheets>
  <definedNames>
    <definedName hidden="1" localSheetId="0" name="_xlnm._FilterDatabase">Mastersheet!$A$1:$AL$2298</definedName>
    <definedName hidden="1" localSheetId="3" name="_xlnm._FilterDatabase">BBW!$A$1:$AF$1080</definedName>
    <definedName hidden="1" localSheetId="4" name="_xlnm._FilterDatabase">CK!$A$1:$AF$39</definedName>
    <definedName hidden="1" localSheetId="0" name="Z_E0139048_70F5_47E2_9AB5_E95A38945892_.wvu.FilterData">Mastersheet!$A$1:$AF$2299</definedName>
    <definedName hidden="1" localSheetId="0" name="Z_343B9D3D_83AC_40E2_B093_AAE6F2C755CF_.wvu.FilterData">Mastersheet!$A$1:$AP$351</definedName>
    <definedName hidden="1" localSheetId="0" name="Z_4F481BEB_3FD9_4E87_9E64_3DD7AA4D8448_.wvu.FilterData">Mastersheet!$E$1</definedName>
    <definedName hidden="1" localSheetId="0" name="Z_B5DC7125_7B51_4504_BB9D_63132411310B_.wvu.FilterData">Mastersheet!$A$1:$AF$2299</definedName>
  </definedNames>
  <calcPr/>
  <customWorkbookViews>
    <customWorkbookView activeSheetId="0" maximized="1" windowHeight="0" windowWidth="0" guid="{E0139048-70F5-47E2-9AB5-E95A38945892}" name="Filter 2"/>
    <customWorkbookView activeSheetId="0" maximized="1" windowHeight="0" windowWidth="0" guid="{343B9D3D-83AC-40E2-B093-AAE6F2C755CF}" name="Filter 1"/>
    <customWorkbookView activeSheetId="0" maximized="1" windowHeight="0" windowWidth="0" guid="{4F481BEB-3FD9-4E87-9E64-3DD7AA4D8448}" name="Filter 3"/>
    <customWorkbookView activeSheetId="0" maximized="1" windowHeight="0" windowWidth="0" guid="{B5DC7125-7B51-4504-BB9D-63132411310B}" name="Filter 4"/>
  </customWorkbookViews>
</workbook>
</file>

<file path=xl/sharedStrings.xml><?xml version="1.0" encoding="utf-8"?>
<sst xmlns="http://schemas.openxmlformats.org/spreadsheetml/2006/main" count="27270" uniqueCount="6703">
  <si>
    <t>Date</t>
  </si>
  <si>
    <t>Send Time</t>
  </si>
  <si>
    <t>Channel</t>
  </si>
  <si>
    <t>Campaign Type</t>
  </si>
  <si>
    <t>Brand</t>
  </si>
  <si>
    <t>Master Campaign / Offer Category</t>
  </si>
  <si>
    <t>Campaign Name</t>
  </si>
  <si>
    <t>Segment Name</t>
  </si>
  <si>
    <t>Segment Logic</t>
  </si>
  <si>
    <t>Total Sent</t>
  </si>
  <si>
    <t>Total Delivered</t>
  </si>
  <si>
    <t>Delivery Rate</t>
  </si>
  <si>
    <t>Total Read</t>
  </si>
  <si>
    <t>Read Rate</t>
  </si>
  <si>
    <t>Total Clicks</t>
  </si>
  <si>
    <t>Unique Clicks</t>
  </si>
  <si>
    <t>CTR</t>
  </si>
  <si>
    <t>Click to Open Rate</t>
  </si>
  <si>
    <t>Goal 1 Conversions</t>
  </si>
  <si>
    <t>Goal 2 Add to Cart</t>
  </si>
  <si>
    <t>Total Campaign Revenue INR</t>
  </si>
  <si>
    <t>Campaign Channel Type</t>
  </si>
  <si>
    <t>Template Type</t>
  </si>
  <si>
    <t>Segment Customer Base Type</t>
  </si>
  <si>
    <t>Track Goals for</t>
  </si>
  <si>
    <t>Campaign ID</t>
  </si>
  <si>
    <t>Campaign Purchased Customers</t>
  </si>
  <si>
    <t>Campaign Purchased Customers - Online</t>
  </si>
  <si>
    <t>Campaign Purchased Customers - Offline</t>
  </si>
  <si>
    <t>Influenced Revenue</t>
  </si>
  <si>
    <t>Influenced Revenue - Online</t>
  </si>
  <si>
    <t>Influenced Revenue - Offline</t>
  </si>
  <si>
    <t>Whatsapp</t>
  </si>
  <si>
    <t>Promotional</t>
  </si>
  <si>
    <t>Aldo</t>
  </si>
  <si>
    <t>EOSS</t>
  </si>
  <si>
    <t>ALDO_EOSS_1JAN DORMANT</t>
  </si>
  <si>
    <t>al_onoff_Dormant_12thDec OR AGIPL_Internal</t>
  </si>
  <si>
    <t>Customers who have shopped in the Last 36 Months and have not shopped in the last 78 days AND Exclude event buyers segment</t>
  </si>
  <si>
    <t>Overall</t>
  </si>
  <si>
    <t>carousel</t>
  </si>
  <si>
    <t>Dormant</t>
  </si>
  <si>
    <t>1st Januay 2026- 3rd Januray 2026</t>
  </si>
  <si>
    <t>694e689540a0736c9bb561f3</t>
  </si>
  <si>
    <t>ALDO_EOSS_1JAN Recent</t>
  </si>
  <si>
    <t>al_onoff_Recent_12thDec</t>
  </si>
  <si>
    <t>Customers who have purchased in the last 78 days AND Exclude event buyers segment</t>
  </si>
  <si>
    <t>Recent</t>
  </si>
  <si>
    <t>694e68fb40a0736c9bb561ff</t>
  </si>
  <si>
    <t>ALDO_EOSS_1JAN Event</t>
  </si>
  <si>
    <t>al_onoff_pr_EventBuyers_12thDec</t>
  </si>
  <si>
    <t>Customers who have purchased from 9th Nov 2024 to 10th Nov 2024 OR 10th Nov 2023 to 11th Nov 2023 OR 25th Nov 2024 to 2nd Dec 2024 OR 23rd Nov 2023 to 27th Nov 2023 OR 7th Nov 2025 to 9th Nov 2025 OR 10th June 2025 to 31st July 2025 OR 10th Dec 2024 to 31st Jan 2025</t>
  </si>
  <si>
    <t>Event Buyers</t>
  </si>
  <si>
    <t>694e69b0ddc99d6545108020</t>
  </si>
  <si>
    <t>ALDO_EOSS_1JAN Churned</t>
  </si>
  <si>
    <t>al_onoff_Churned_12thDec</t>
  </si>
  <si>
    <t>Customers who have not shopped in the last 365 days AND exclude event buyers OR Recent OR Dormant segment</t>
  </si>
  <si>
    <t>694e6a69a48fa916057bae9f</t>
  </si>
  <si>
    <t>Sms</t>
  </si>
  <si>
    <t>Fallback Campaign</t>
  </si>
  <si>
    <t>ALDO_EOSS_1JAN DORMANT FB WA</t>
  </si>
  <si>
    <t>WA Undelivered</t>
  </si>
  <si>
    <t>SMS</t>
  </si>
  <si>
    <t>694e819540a0736c9bb5686f</t>
  </si>
  <si>
    <t>ALDO_EOSS_1JAN Recent FB WA</t>
  </si>
  <si>
    <t>694e8201f5109e23cf97ab6e</t>
  </si>
  <si>
    <t>ALDO_EOSS_1JAN Event FB WA</t>
  </si>
  <si>
    <t>694e82780138644ae540024c</t>
  </si>
  <si>
    <t>ALDO_EOSS_1JAN Churned FB WA</t>
  </si>
  <si>
    <t>Churned</t>
  </si>
  <si>
    <t>694e82b08dcbe92ac11d3814</t>
  </si>
  <si>
    <t>BBW</t>
  </si>
  <si>
    <t>SAS Non- shoppers</t>
  </si>
  <si>
    <t>bbw_sasnonshoppers2.1_loyal</t>
  </si>
  <si>
    <t>bbw_onoff_pr_RepeatBuyers_15thDec</t>
  </si>
  <si>
    <t>Customers who have shopped atlteast 2 times and Exclude the event buyers segment</t>
  </si>
  <si>
    <t>simple</t>
  </si>
  <si>
    <t>2nd Jan - 19th Jan</t>
  </si>
  <si>
    <t>6957bc9f611b5886851ea87b</t>
  </si>
  <si>
    <t>bbw_sasnonshoppers2.1_new</t>
  </si>
  <si>
    <t>bbw_onoff_pr_NewBuyers_15thDec</t>
  </si>
  <si>
    <t>Customers who have shopped exactly 1 time AND Exclude the event buyers segment OR  Customers who have purchased from 16th Dec 2025 to 1st Jan 2026</t>
  </si>
  <si>
    <t>Repeat</t>
  </si>
  <si>
    <t>6957bcac44e6fe4593e4c44e</t>
  </si>
  <si>
    <t>bbw_sasnonshoppers2.1_eventbuyers</t>
  </si>
  <si>
    <t>bbw_onoff_pr_EventBuyers_15thDec OR AGIPL_Internal OR BBW_Internal</t>
  </si>
  <si>
    <t>Customers who have purchased between 7th Nov 23 to 11th Nov 23, 23rd Nov 23 to 27th Nov 23,  7th Nov 24 to  11th Nov 24,  26th Nov 24 to 2nd Dec 24, 23rd May 25 to 25th May 25, 5th June 25 to 8th June 25, 5th Jul 25 to 7th Jul 25, 14th Aug 25 to 17th Aug 25,  27th Aug 25 to 28th Aug 25, 7th Nov 25 to 11th Nov 25, 12th June 2025 to 20th July 2025, 18th Dec 2024 to 27th Jan 2025</t>
  </si>
  <si>
    <t>New</t>
  </si>
  <si>
    <t>6957bcbea2c2afb4cb08d044</t>
  </si>
  <si>
    <t>bbw_sasnonshoppers2.1_eventbuyersfb</t>
  </si>
  <si>
    <t>6957bf5de4947195f782dbda</t>
  </si>
  <si>
    <t>bbw_sasnonshoppers2.1_newfb</t>
  </si>
  <si>
    <t>6957c014bfdf1975c2daaa3b</t>
  </si>
  <si>
    <t>bbw_sasnonshoppers2.1_loyalfb</t>
  </si>
  <si>
    <t>6957c05ba2c2afb4cb08d07a</t>
  </si>
  <si>
    <t>RCS</t>
  </si>
  <si>
    <t>RCS Flat_50_EOSS_Dormant</t>
  </si>
  <si>
    <t xml:space="preserve"> al_onoff_Dormant_12thDec</t>
  </si>
  <si>
    <t>3rd Jan - 4th Jan</t>
  </si>
  <si>
    <t>6957c3e5bd01a3219d17ceac</t>
  </si>
  <si>
    <t>RCS Flat_50_EOSS_Churned</t>
  </si>
  <si>
    <t>6957c3656a2428db44eaa32c</t>
  </si>
  <si>
    <t>RCS Flat_50_EOSS_Recent</t>
  </si>
  <si>
    <t>6957c3156c041bee75c20418</t>
  </si>
  <si>
    <t>RCS Flat_50_EOSS_Event</t>
  </si>
  <si>
    <t>6957c286f61479585ddffe5b</t>
  </si>
  <si>
    <t>CK</t>
  </si>
  <si>
    <t>ESS</t>
  </si>
  <si>
    <t>ESS 3rd Jan_1</t>
  </si>
  <si>
    <t>ck_off_pr_last_36mnths_gen_25_Nov OR ck_on_pr_last_36mnths_gen_25_Nov OR CK_Online_Base_1jan_17nov OR ck_on_pr_evntbuyers_bfs_25_Nov OR ck_off_pr_evntbuyers_bfs_25_Nov OR AGIPL_Internal</t>
  </si>
  <si>
    <t>Customers who have purchased from 22nd Nov 2023 to 27th Nov 2023 with txn channel offline OR 27th Nov 2024 to 2nd Dec 2024 with txn channel offline OR 26th Nov 2025 to 1st Dec 2025 with txn channel offline
Customers who have purchased in the last 86 days with txn channel offline and Excluding the event buyers segmentCustomers who have purchased from 22nd Nov 2023 to 27th Nov 2023 with txn channel offline OR 27th Nov 2024 to 2nd Dec 2024 with txn channel offline OR 26th Nov 2025 to 1st Dec 2025 with txn channel offline
Customers who have purchased in the last 86 days with txn channel offline and Excluding the event buyers segment</t>
  </si>
  <si>
    <t>Generic</t>
  </si>
  <si>
    <t>6957904007b78e4c36e4e510</t>
  </si>
  <si>
    <t>ESS 3rd Jan_2</t>
  </si>
  <si>
    <t>Dormant Base Overall 19th Dec</t>
  </si>
  <si>
    <t>Custom upload</t>
  </si>
  <si>
    <t>695790785ea591e69ee19d25</t>
  </si>
  <si>
    <t>ESS 3rd Jan_2_Fallback</t>
  </si>
  <si>
    <t>6957af79264b7654c215b8e7</t>
  </si>
  <si>
    <t>ESS 3rd Jan_1_Fallback</t>
  </si>
  <si>
    <t>6957af854942e1d0f037bd86</t>
  </si>
  <si>
    <t>RCS Flat_50_EOSS_Event_FB</t>
  </si>
  <si>
    <t>al_onoff_pr_EventBuyers_12thDec OR AGIPL_Internal</t>
  </si>
  <si>
    <t xml:space="preserve">RCS Undelivered </t>
  </si>
  <si>
    <t>3rd Jan 26 - 4th Jan 26</t>
  </si>
  <si>
    <t>6957cd45d7003f643f3bc4cc</t>
  </si>
  <si>
    <t>RCS Flat_50_EOSS_Recent_FB</t>
  </si>
  <si>
    <t>6957cd9ee838abe917f76e7f</t>
  </si>
  <si>
    <t>RCS Flat_50_EOSS_Churned_FB</t>
  </si>
  <si>
    <t>6957cdfa6bf24d93ddfe3fda</t>
  </si>
  <si>
    <t>RCS Flat_50_EOSS_Dormant_FB</t>
  </si>
  <si>
    <t>al_onoff_Dormant_12thDec</t>
  </si>
  <si>
    <t>6957ce4473f4c558bd9ee522</t>
  </si>
  <si>
    <t>Crocs</t>
  </si>
  <si>
    <t>New Store</t>
  </si>
  <si>
    <t>Crocs_High Street Apollo_Indore</t>
  </si>
  <si>
    <t>Crocs_IndoreApolo_7thJan2026</t>
  </si>
  <si>
    <t>Custom Upload</t>
  </si>
  <si>
    <t>7th Jan- 18th Jan</t>
  </si>
  <si>
    <t>695e4525bfc915f60668402c</t>
  </si>
  <si>
    <t>moisturizers999</t>
  </si>
  <si>
    <t>bbw_oeflashsale_moisturizers999_recent</t>
  </si>
  <si>
    <t>Recent BB/BC/BL_999_Jan2026</t>
  </si>
  <si>
    <t>Customer who have purchased Body Cream, Body Lotion, Body Butter in the last 90 days</t>
  </si>
  <si>
    <t>8th Jan - 9th Jan</t>
  </si>
  <si>
    <t>695fa17c3de91625f922b0b2</t>
  </si>
  <si>
    <t>bbw_oeflashsale_moisturizers999_catmov</t>
  </si>
  <si>
    <t>CatMover_SG Mist_OE_Jan 2026</t>
  </si>
  <si>
    <t>Customers who have purchased SG Or Mist in the last 3 months (OE)</t>
  </si>
  <si>
    <t>Category Movers</t>
  </si>
  <si>
    <t>695fa1a96ad72831ac54b1ca</t>
  </si>
  <si>
    <t>bbw_oeflashsale_moisturizers999_shoppedBLBCBB</t>
  </si>
  <si>
    <t>PreDom BB/BC/BL_OE999_Jan 2026 OR BBW_Internal OR AGIPL_Internal</t>
  </si>
  <si>
    <t>Customer who predominantly purchases BB Or BC OR BL (OE) in entire duration</t>
  </si>
  <si>
    <t>695fa1d44f3b3baaa56e5304</t>
  </si>
  <si>
    <t>bc 1099</t>
  </si>
  <si>
    <t>bbw_bc1099_Full Price Shoppers_9.1</t>
  </si>
  <si>
    <t>BC_FullPrice_Jan2026 OR AGIPL_Internal OR BBW_Internal</t>
  </si>
  <si>
    <t>Customers who purchases Body care at full price</t>
  </si>
  <si>
    <t>Full Price Shopper</t>
  </si>
  <si>
    <t>9th Jan - 11 Jan</t>
  </si>
  <si>
    <t>6960d72465756dbcb491f9da</t>
  </si>
  <si>
    <t>bbw_bc1099_Loyalists_9.1</t>
  </si>
  <si>
    <t>Loyalist_BC_Jan2026</t>
  </si>
  <si>
    <t>Extreme Body Care Loyal (atleast 3 times) excluding the above segment</t>
  </si>
  <si>
    <t>Loyal</t>
  </si>
  <si>
    <t>6960d7280d38578ddd940cc2</t>
  </si>
  <si>
    <t>bbw_bc1099_Full Price Shoppers_9.1fb</t>
  </si>
  <si>
    <t>6960db91a21d806871f462b2</t>
  </si>
  <si>
    <t>bbw_bc1099_Loyalists_9.1fb</t>
  </si>
  <si>
    <t>6960dc40de28c0c9f34c7437</t>
  </si>
  <si>
    <t>bbw_bc1099_Recent_9.1</t>
  </si>
  <si>
    <t>RecentShoppers_BC_Jan2026</t>
  </si>
  <si>
    <t>Customer who have bought Body care in the last 114 days</t>
  </si>
  <si>
    <t>6960e0a3de28c0c9f34c75da</t>
  </si>
  <si>
    <t>bbw_bc1099_Dormant_9.1</t>
  </si>
  <si>
    <t>Dormant_BC_Jan2026</t>
  </si>
  <si>
    <t>Customers who have purchased from 1st Jan 2025 to 7th Jan 2026 with Cat L3 Body Care</t>
  </si>
  <si>
    <t>6960e212de28c0c9f34c768f</t>
  </si>
  <si>
    <t>VS</t>
  </si>
  <si>
    <t>SAS 50% OFF</t>
  </si>
  <si>
    <t>SAS Jan - 50% OFF - Discount Shoppers Fallback</t>
  </si>
  <si>
    <t>DiscountShoppers_Flat50%_Jan2026</t>
  </si>
  <si>
    <t>overall</t>
  </si>
  <si>
    <t>Discount Shopper</t>
  </si>
  <si>
    <t>09th - 22nd Jan</t>
  </si>
  <si>
    <t>6960cd6268356eaee0abfede</t>
  </si>
  <si>
    <t>SAS Jan - 50% OFF - Generic CX - Fallback</t>
  </si>
  <si>
    <t>GenericApparel_Jan2026</t>
  </si>
  <si>
    <t>6960cfc0a3510138c86f6610</t>
  </si>
  <si>
    <t>SAS Jan - 50% OFF - Active Recent - Fallback</t>
  </si>
  <si>
    <t>Predom_RecentApparel_Jan2026</t>
  </si>
  <si>
    <t>6960cfccf490a7e254d07ef2</t>
  </si>
  <si>
    <t>SAS Jan - 50% OFF - Repeat Fallback</t>
  </si>
  <si>
    <t>RepeatApparel_Jan2026</t>
  </si>
  <si>
    <t>6960d00354ac0d16e902986e</t>
  </si>
  <si>
    <t>Rcs</t>
  </si>
  <si>
    <t>SAS Jan - 50% OFF - Discount Shoppers</t>
  </si>
  <si>
    <t>Customers who have purchased in greater then 50% Off and excluding personal care, accessories , cosmetics</t>
  </si>
  <si>
    <t>6960c7964713953d91855c5f</t>
  </si>
  <si>
    <t>SAS Jan - 50% OFF - Repeat</t>
  </si>
  <si>
    <t>Predominantely Purchasing Apparel in the last 90 days</t>
  </si>
  <si>
    <t>6960c852f490a7e254d07c49</t>
  </si>
  <si>
    <t>SAS Jan - 50% OFF - Active Recent</t>
  </si>
  <si>
    <t>Customers who have purchased atleast 2 times Apparel</t>
  </si>
  <si>
    <t>6960c958b4ac937ad9ffed7b</t>
  </si>
  <si>
    <t>SAS Jan - 50% OFF - Generic</t>
  </si>
  <si>
    <t>Customers who have purchased apparel atleast once</t>
  </si>
  <si>
    <t>6960c9a6d46b854253ecf1a4</t>
  </si>
  <si>
    <t>SAS Jan - 50% OFF - Discount Shoppers - WA Fallback</t>
  </si>
  <si>
    <t>6960d2e0c59e088391e43945</t>
  </si>
  <si>
    <t>SAS Jan - 50% OFF - Active Recent - WA Fallback</t>
  </si>
  <si>
    <t>6960d8064495d77418246d73</t>
  </si>
  <si>
    <t>SAS Jan - 50% OFF - Repeat CX - WA Fallback</t>
  </si>
  <si>
    <t>6960d851cb9fb05f6736a50b</t>
  </si>
  <si>
    <t>SAS Jan - 50% OFF - Generic CX - WA Fallback</t>
  </si>
  <si>
    <t>6960d8deaa47ef27384786d2</t>
  </si>
  <si>
    <t>R&amp;B</t>
  </si>
  <si>
    <t>Sankranti Campaign</t>
  </si>
  <si>
    <t>Sankranti SMS Campaign fb</t>
  </si>
  <si>
    <t>rb_off_pr_18_strcds_9th_Jan</t>
  </si>
  <si>
    <t xml:space="preserve">Offline </t>
  </si>
  <si>
    <t>9th Jan to 11th Jan</t>
  </si>
  <si>
    <t>6960f75d2e122002a24270b4</t>
  </si>
  <si>
    <t>Kompally Campaign</t>
  </si>
  <si>
    <t>Kompally SMS Campaign fb</t>
  </si>
  <si>
    <t>Kompally_Customer_Base_9th Jan</t>
  </si>
  <si>
    <t>6960f6979d3a8696e8d99125</t>
  </si>
  <si>
    <t>Customers who have made purchases from the following stores across the entire date range: RB001, RB002, RB005, RB006, RB012, RB014, RB019, RB015, RB011, RB017, RB018, RB022, RB023, 1250, 1258, 1283, 1282, and 1281.</t>
  </si>
  <si>
    <t>6960ef8ad86566abfaa67f92</t>
  </si>
  <si>
    <t>Kompally Store Launch</t>
  </si>
  <si>
    <t>Custom upload shared by R&amp;B team for Kompally customer base</t>
  </si>
  <si>
    <t>6960ef7fe27c8379d4c2c719</t>
  </si>
  <si>
    <t>ESS 10th Jan_1</t>
  </si>
  <si>
    <t>ck_on_pr_evntbuyers_bfs_25_Nov +
ck_on_pr_last_36mnths_gen_25_Nov +
ck_off_pr_evntbuyers_bfs_25_Nov +
ck_off_pr_last_36mnths_gen_25_Nov +</t>
  </si>
  <si>
    <t>Customers who have purchased from 22nd Nov 2023 to 27th Nov 2023 with txn channel online OR 27th Nov 2024 to 2nd Dec 2024 with txn channel online.
Customers who have purchased atleast 1 time in the last 36 months with txn channel online AND exclude the event buyers segment.
Customers who have purchased from 22nd Nov 2023 to 27th Nov 2023 with txn channel offline OR 27th Nov 2024 to 2nd Dec 2024 with txn channel offline OR 26th Nov 2025 to 1st Dec 2025 with txn channel offline.
Customers who have purchased in the entire duration with txn channel offline AND customer who have not purchased in the last 86 days with txn channel offline and excluding the events buyers segment</t>
  </si>
  <si>
    <t>10th - 12th jan</t>
  </si>
  <si>
    <t>6960e8d94cd08948c2cad08a</t>
  </si>
  <si>
    <t>ESS 10th Jan_2</t>
  </si>
  <si>
    <t>6960e80f7782178a1c0d3906</t>
  </si>
  <si>
    <t>Flat 50 store campaigns</t>
  </si>
  <si>
    <t>Flat 50_ALDO Accessories Store at Inorbit</t>
  </si>
  <si>
    <t>al_off_pr_strcd_15034_9thJan</t>
  </si>
  <si>
    <t>Customers who have purchased from store code 15034 in the entire duration</t>
  </si>
  <si>
    <t xml:space="preserve">10th - 13th January 2026 </t>
  </si>
  <si>
    <t>6961f70a3527e0044736bffa</t>
  </si>
  <si>
    <t>Flat 50_ALDO Store at Forum South</t>
  </si>
  <si>
    <t>al_off_pr_strcd_8280_9thJan</t>
  </si>
  <si>
    <t>Customers who have purchased from store code 8280 in the entire duration</t>
  </si>
  <si>
    <t>6961f863de865f8ae2fc9a8c</t>
  </si>
  <si>
    <t>Flat 50_ALDO Store at Phoenix Marketcity Kurla</t>
  </si>
  <si>
    <t>al_off_pr_strcd_15012_9thJan</t>
  </si>
  <si>
    <t>Customers who have purchased from store code 15012 in the entire duration</t>
  </si>
  <si>
    <t>6961f92b65756dbcb49212b2</t>
  </si>
  <si>
    <t>Flat 50_ALDO Store at LULU Bengaluru</t>
  </si>
  <si>
    <t>al_off_pr_strcd_8269_9thJan</t>
  </si>
  <si>
    <t>Customers who have purchased from store code 8269 in the entire duration</t>
  </si>
  <si>
    <t>10th - 13th January 2026</t>
  </si>
  <si>
    <t>6961fa09111c966fc57199bd</t>
  </si>
  <si>
    <t>FLAT 50_ALDO Store at LULU Lucknow</t>
  </si>
  <si>
    <t>al_off_pr_strcd_8277_9thJan</t>
  </si>
  <si>
    <t>Customers who have purchased from store code 8277 in the entire duration</t>
  </si>
  <si>
    <t>6961faa6bfe9dee6c624308d</t>
  </si>
  <si>
    <t>FLAT 50_ALDO Store at Phoenix Palassio</t>
  </si>
  <si>
    <t>al_off_pr_strcd_8267_9thJan</t>
  </si>
  <si>
    <t>Customers who have purchased from store code 8267 in the entire duration</t>
  </si>
  <si>
    <t>6961fba2eca8e6baea7ac1cd</t>
  </si>
  <si>
    <t>FLAT 50_ALDO Accessories Store at Phoenix Palassio</t>
  </si>
  <si>
    <t>al_off_pr_strcd_15028_9thJan</t>
  </si>
  <si>
    <t>Customers who have purchased from store code 15028 in the entire duration</t>
  </si>
  <si>
    <t>6961fc5b2294efeec78c0325</t>
  </si>
  <si>
    <t>FLAT 50_ALDO Accessories Store at LULU_Kochi</t>
  </si>
  <si>
    <t>al_off_pr_strcd_1288_9thJan</t>
  </si>
  <si>
    <t>Customers who have purchased from store code 1288 in the entire duration</t>
  </si>
  <si>
    <t>6961fd191e554e71fb3c1125</t>
  </si>
  <si>
    <t>FLAT 50_ALDO Store at KOPA</t>
  </si>
  <si>
    <t>al_off_pr_strcd_8285_9thJan</t>
  </si>
  <si>
    <t>Customers who have purchased from store code 8285 in the entire duration</t>
  </si>
  <si>
    <t>6961fd9fa21d806871f47df9</t>
  </si>
  <si>
    <t>FLAT 50_ALDO Store at CP 67</t>
  </si>
  <si>
    <t>al_off_pr_strcd_8284_9thJan</t>
  </si>
  <si>
    <t>Customers who have purchased from store code 8284 in the entire duration</t>
  </si>
  <si>
    <t>6961fe44fbad0af76d399e40</t>
  </si>
  <si>
    <t>FLAT 50_ALDO Store at Nexus Shantiniketan</t>
  </si>
  <si>
    <t>al_off_pr_strcd_8259_9thJan</t>
  </si>
  <si>
    <t>Customers who have purchased from store code 8259 in the entire duration</t>
  </si>
  <si>
    <t>6961fec1ec20578a52ab87e3</t>
  </si>
  <si>
    <t>FLAT 50_ALDO Store at Nexus Alpha One</t>
  </si>
  <si>
    <t>al_off_pr_strcd_8233_9thJan</t>
  </si>
  <si>
    <t>Customers who have purchased from store code 8233 in the entire duration</t>
  </si>
  <si>
    <t>6961ff4fa9117542ae595948</t>
  </si>
  <si>
    <t>FLAT 50_ALDO Store at Inorbit Vadodara</t>
  </si>
  <si>
    <t>al_off_pr_strcd_8266_9thJan</t>
  </si>
  <si>
    <t>Customers who have purchased from store code 8266 in the entire duration</t>
  </si>
  <si>
    <t>6961ffdc4dd075dce83aad7b</t>
  </si>
  <si>
    <t>FLAT 50_ALDO Accessories Store at Forum South</t>
  </si>
  <si>
    <t>al_off_pr_strcd_1291_9thJan</t>
  </si>
  <si>
    <t>Customers who have purchased from store code 1291 in the entire duration</t>
  </si>
  <si>
    <t>696200a7eca8e6baea7ac1ea</t>
  </si>
  <si>
    <t>FLAT 50_ALDO Store at VR</t>
  </si>
  <si>
    <t>al_off_pr_strcd_8257_9thJan</t>
  </si>
  <si>
    <t>Customers who have purchased from store code 8257 in the entire duration</t>
  </si>
  <si>
    <t>69620129aca7266d2ac9db00</t>
  </si>
  <si>
    <t>FLAT 50_ALDO Store at Nexus Kormangala</t>
  </si>
  <si>
    <t>al_off_pr_strcd_8258_9thJan</t>
  </si>
  <si>
    <t>Customers who have purchased from store code 8258 in the entire duration</t>
  </si>
  <si>
    <t>696201a87deb139ff19bbdc9</t>
  </si>
  <si>
    <t>FLAT 50_ALDO Store at Forum South</t>
  </si>
  <si>
    <t>al_off_pr_strcd_8282_9thJan</t>
  </si>
  <si>
    <t>Customers who have purchased from store code 8282 in the entire duration</t>
  </si>
  <si>
    <t>696202104dd075dce83aadd1</t>
  </si>
  <si>
    <t>Replinishment camapigns</t>
  </si>
  <si>
    <t>Replineshment_base com_Shoes</t>
  </si>
  <si>
    <t>ck_off_nopr_90days_footwear</t>
  </si>
  <si>
    <t>Customers who have purchased Cat L1 Footwear in entire duration witth txn channel offline  AND have not purchased in the last 90 days Cat L1 Footwear with txn channel offline</t>
  </si>
  <si>
    <t>offline</t>
  </si>
  <si>
    <t>14th - 19th Jan</t>
  </si>
  <si>
    <t>696635f207a4b985a61edf48</t>
  </si>
  <si>
    <t>Replineshment_base com_wallets</t>
  </si>
  <si>
    <t>ck_off_nopr_90days_wallet</t>
  </si>
  <si>
    <t>Customers who have purchased Cat L3 Wallet in entire duration witth txn channel offline  AND have not purchased in the last 90 days Cat L3 Wallet with txn channel offline</t>
  </si>
  <si>
    <t>6966361a1aeecbbf12b120c9</t>
  </si>
  <si>
    <t>Replineshment_base com_Handbag</t>
  </si>
  <si>
    <t>ck_off_nopr_90days_handbags</t>
  </si>
  <si>
    <t>Customers who have purchased Cat L2 Handbags in entire duration witth txn channel offline  AND have not purchased in the last 90 days Cat L2 Handbags with txn channel offline</t>
  </si>
  <si>
    <t>69663640de0788a70fb30864</t>
  </si>
  <si>
    <t>Replineshment_base com_wallets_fallback</t>
  </si>
  <si>
    <t>696636cab4911129bad507a6</t>
  </si>
  <si>
    <t>Replineshment_base com_Shoes_fallback</t>
  </si>
  <si>
    <t>6966375e25952f92feeb2235</t>
  </si>
  <si>
    <t>Replineshment_base com_Handbag_fallback</t>
  </si>
  <si>
    <t>69663873b3d697be975ce14f</t>
  </si>
  <si>
    <t>eabc999</t>
  </si>
  <si>
    <t>bbw_eabc999_loyal14.1fbWA</t>
  </si>
  <si>
    <t>BodyCare_Alteast3times_ON OR AGIPL_Internal OR BBW_Internal</t>
  </si>
  <si>
    <t>online</t>
  </si>
  <si>
    <t>14th Jan - 18th Jan</t>
  </si>
  <si>
    <t>69677abca0a1272ff7e4a5e5</t>
  </si>
  <si>
    <t>bbw_eabc999_dorm14.1RCS</t>
  </si>
  <si>
    <t>BodyCare_Churned_ON</t>
  </si>
  <si>
    <t>Customers who have shopped from 1st jan 2024 to 31st Dec 2024 contain body care And have not shopped from 1st Jan 2025 to 10th Jan 2025 contains body care Online</t>
  </si>
  <si>
    <t>69678b3c15548bee4ba4e6be</t>
  </si>
  <si>
    <t>bbw_eabc999_eventbuy14.1fbWA</t>
  </si>
  <si>
    <t>BodyCare_LastCamPur_ON</t>
  </si>
  <si>
    <t>69679182259520fa49315086</t>
  </si>
  <si>
    <t>bbw_eabc999_eventbuy14.1</t>
  </si>
  <si>
    <t>Customers who have purchased in all the last body care campaigns</t>
  </si>
  <si>
    <t>6967786fee2350e34badefa0</t>
  </si>
  <si>
    <t>bbw_eabc999_loyal14.1</t>
  </si>
  <si>
    <t>Customers who have purchased Body Care atleast 3 times in the entire duration Online</t>
  </si>
  <si>
    <t>696778ed45d61d240be35098</t>
  </si>
  <si>
    <t>eatog</t>
  </si>
  <si>
    <t>bbw_eatog_15.1launch_dorm</t>
  </si>
  <si>
    <t>NewLaunch_Dormant1Year_Online2026</t>
  </si>
  <si>
    <t>Customers who have shopped from Jan 2024 to Dec 2024 but have not shopped from Jan 2025 to Jan 2026</t>
  </si>
  <si>
    <t>15th Jan - 19th Jan</t>
  </si>
  <si>
    <t>69679c44259520fa49315364</t>
  </si>
  <si>
    <t>bbw_eatog_15.1launch_gen</t>
  </si>
  <si>
    <t>NewLaunch_365days_Online2026</t>
  </si>
  <si>
    <t>Customers who have shopped in last 365 days Online Exclusive</t>
  </si>
  <si>
    <t>69679d38d9445bccfee5969f</t>
  </si>
  <si>
    <t>bbw_eatog_15.1launch_fullprfbWA</t>
  </si>
  <si>
    <t>NewLaunch_FullPrice_Online2026 OR AGIPL_Internal OR BBW_Internal</t>
  </si>
  <si>
    <t>69679da060b97dc7280ff826</t>
  </si>
  <si>
    <t>bbw_eatog_15.1launch_repeatfbWA</t>
  </si>
  <si>
    <t>NewLaunch_Repeat1Year_Online2026</t>
  </si>
  <si>
    <t>69679df3f0bb4baad9530bc9</t>
  </si>
  <si>
    <t>bbw_eatog_15.1launch_recentfbWA</t>
  </si>
  <si>
    <t>NewLaunch_Recent_Online2026</t>
  </si>
  <si>
    <t>69679e0f10c2a85ed152e3dd</t>
  </si>
  <si>
    <t>bbw_eatog_15.1launch_recent</t>
  </si>
  <si>
    <t>Customers who have shopped in the last 100 days (TTR) Online</t>
  </si>
  <si>
    <t>15 Jan - 19th Jan</t>
  </si>
  <si>
    <t>69679b4b189faa789574ec1e</t>
  </si>
  <si>
    <t>bbw_eatog_15.1launch_fullpr</t>
  </si>
  <si>
    <t>Customers who have shopped full price online</t>
  </si>
  <si>
    <t>69679bd9be6f8dc76da01006</t>
  </si>
  <si>
    <t>bbw_eatog_15.1launch_repeat</t>
  </si>
  <si>
    <t>Customers who have bought atlest 2 times in last 1 year Online</t>
  </si>
  <si>
    <t>69679c072004f6480f272b6b</t>
  </si>
  <si>
    <t>stbc999</t>
  </si>
  <si>
    <t>bbw_stbc999_eventbuy16.1fbWA</t>
  </si>
  <si>
    <t>BodyCare_LastCamPur_OFF OR AGIPL_Internal OR BBW_Internal</t>
  </si>
  <si>
    <t>16th Jan - 18th Jan</t>
  </si>
  <si>
    <t>696783e6a0a1272ff7e4a86b</t>
  </si>
  <si>
    <t>bbw_stbc999_loyal16.1fbWA</t>
  </si>
  <si>
    <t>BodyCare_Alteast3times_OFF</t>
  </si>
  <si>
    <t>696783f07da42a959814d211</t>
  </si>
  <si>
    <t>bbw_stbc999_rec16.1RCS</t>
  </si>
  <si>
    <t>BodyCare_Recent_OFF</t>
  </si>
  <si>
    <t>Customers who have purchased in the last 117 days cat L2 Body care  Offline</t>
  </si>
  <si>
    <t>69687f9fe048a6bfba36feb7</t>
  </si>
  <si>
    <t>bbw_stbc999_dorm16.1RCS</t>
  </si>
  <si>
    <t>BodyCare_Churned_OFF</t>
  </si>
  <si>
    <t>Customers who have shopped from 1st jan 2024 to 31st Dec 2024 contain body care And have not shopped from 1st Jan 2025 to 10th Jan 2025 contains body care  Offline</t>
  </si>
  <si>
    <t>69687fdbbed5b4bbe990595d</t>
  </si>
  <si>
    <t>bbw_stbc999_dorm16.1fbRCS</t>
  </si>
  <si>
    <t>69688a4a2004f6480f273bbe</t>
  </si>
  <si>
    <t>bbw_stbc999_rec16.1fbRCS</t>
  </si>
  <si>
    <t>69688a50094d007dddb0b760</t>
  </si>
  <si>
    <t>bbw_stbc999_rec16.1RCSV2</t>
  </si>
  <si>
    <t>BodyCare_Recent_ON</t>
  </si>
  <si>
    <t>Customers who have purchased in the last 105 days cat L2 Body care Online</t>
  </si>
  <si>
    <t>696a15e7fa16bd74141008bc</t>
  </si>
  <si>
    <t>bbw_stbc999_rec16.1RCSV2FB</t>
  </si>
  <si>
    <t>696a160be519ed93eee60067</t>
  </si>
  <si>
    <t>bbw_eabc999_dorm14.1fbRCSV2</t>
  </si>
  <si>
    <t>696a1681285e218dd2f7bf86</t>
  </si>
  <si>
    <t>bbw_stbc999_eventbuy16.1</t>
  </si>
  <si>
    <t>Customers who have purchased in all the last body care campaigns Offline</t>
  </si>
  <si>
    <t>696780b6bfd45cea0909fd7e</t>
  </si>
  <si>
    <t>bbw_stbc999_loyal16.1</t>
  </si>
  <si>
    <t>Customers who have purchased Body Care atleast 3 times in the entire duration Offline</t>
  </si>
  <si>
    <t>696780d3c6016711c1bf408b</t>
  </si>
  <si>
    <t>Store Launch</t>
  </si>
  <si>
    <t>Crocs_launch Event</t>
  </si>
  <si>
    <t>Crocs_Lajpat_Nagar_Event_16thJan</t>
  </si>
  <si>
    <t>17-01-2026</t>
  </si>
  <si>
    <t>696a341f3ed16889658718bd</t>
  </si>
  <si>
    <t>Crocs_launch Event_fallback</t>
  </si>
  <si>
    <t>696a3430f49b4b1ee5d8962b</t>
  </si>
  <si>
    <t>Upto 50%</t>
  </si>
  <si>
    <t>Further reductions_upto 50% off_1</t>
  </si>
  <si>
    <t>ck_on_pr_evntbuyers_bfs_25_Nov OR ck_off_pr_evntbuyers_bfs_25_Nov</t>
  </si>
  <si>
    <t>Customers who have purchased from 22nd Nov 2023 to 27th Nov 2023 with txn channel online OR 27th Nov 2024 to 2nd Dec 2024 with txn channel online.  Customers who have purchased from 22nd Nov 2023 to 27th Nov 2023 with txn channel offline OR 27th Nov 2024 to 2nd Dec 2024 with txn channel offline OR 26th Nov 2025 to 1st Dec 2025 with txn channel offline</t>
  </si>
  <si>
    <t>17th - 19th jan</t>
  </si>
  <si>
    <t>696a22004fe83ac50f2e9866</t>
  </si>
  <si>
    <t>Further reductions_upto 50% off_2</t>
  </si>
  <si>
    <t>ck_on_pr_last_36mnths_gen_25_Nov OR ck_off_pr_last_36mnths_gen_25_Nov OR AGIPL_Internal</t>
  </si>
  <si>
    <t>Customers who have purchased atleast 1 time in the last 36 months with txn channel online AND exclude the event buyers segment  Customers who have purchased in the last 86 days with txn channel offline and Excluding the event buyers segment</t>
  </si>
  <si>
    <t>696a2241a5cb093ca4d46b6a</t>
  </si>
  <si>
    <t>Further reductions_upto 50% off_3</t>
  </si>
  <si>
    <t>696a2263e5e2cc58bf2bf38a</t>
  </si>
  <si>
    <t>Further reductions_upto 50% off_1-Fallback</t>
  </si>
  <si>
    <t>696a272d5ffac82526163dc2</t>
  </si>
  <si>
    <t>Further reductions_upto 50% off_2_Fallback</t>
  </si>
  <si>
    <t>696a27452a8c5e83d29947e6</t>
  </si>
  <si>
    <t>Further reductions_upto 50% off_3_fallback</t>
  </si>
  <si>
    <t>696a2767627e3f3baf82008b</t>
  </si>
  <si>
    <t>Flat 50</t>
  </si>
  <si>
    <t>Flat 50_ALDO Store at PMC Pune</t>
  </si>
  <si>
    <t>al_off_pr_strcd_8221_9thJan</t>
  </si>
  <si>
    <t>Customers who have purchased from store code 8221 in the entire duration</t>
  </si>
  <si>
    <t xml:space="preserve">17th - 21st January 2026 </t>
  </si>
  <si>
    <t>696a4732e61ad335ed20050a</t>
  </si>
  <si>
    <t>Flat 50_ALDO Accessories Store at PMC Pune</t>
  </si>
  <si>
    <t>al_off_pr_strcd_15013_9thJan</t>
  </si>
  <si>
    <t>Customers who have purchased from store code 15013 in the entire duration</t>
  </si>
  <si>
    <t>696a47d6e5e2cc58bf2bffba</t>
  </si>
  <si>
    <t>Flat 50_ALDO Store at Orion</t>
  </si>
  <si>
    <t>al_off_pr_strcd_8240_9thJan</t>
  </si>
  <si>
    <t>Customers who have purchased from store code 8240 in the entire duration</t>
  </si>
  <si>
    <t>696a48d939048ec51c05c0ac</t>
  </si>
  <si>
    <t>FLAT 50_ALDO Store at Phoenix Marketcity Pune</t>
  </si>
  <si>
    <t>RCS Delivery Failed</t>
  </si>
  <si>
    <t>696a4a06e563fd0f343a909d</t>
  </si>
  <si>
    <t>FLAT 50_ALDO Acceessories Store at Phoenix Marketcity Pune</t>
  </si>
  <si>
    <t>696a4ab0618546e8359d9e39</t>
  </si>
  <si>
    <t>FLAT 50_ALDO Store at Orion Mall, Bengaluru</t>
  </si>
  <si>
    <t>696a4b20d33e34b5a646c046</t>
  </si>
  <si>
    <t>bc99918.1NS</t>
  </si>
  <si>
    <t>bbw_bc99918.1NS_fullpr</t>
  </si>
  <si>
    <t>BC_FullPrice_Jan2026 OR BBW_Internal OR AGIPL_Internal</t>
  </si>
  <si>
    <t>18th Jan - 19th Jan</t>
  </si>
  <si>
    <t>696a211053d87df5a7a7b7d0</t>
  </si>
  <si>
    <t>bbw_bc99918.1NS_loyal</t>
  </si>
  <si>
    <t>696a2118524f4c231ff7b460</t>
  </si>
  <si>
    <t>bbw_bc99918.1NS_rec</t>
  </si>
  <si>
    <t>696a2121c9d8385d2ecb6301</t>
  </si>
  <si>
    <t>bbw_bc99918.1NS_dorm</t>
  </si>
  <si>
    <t>696a2137cb595ec935cec3b7</t>
  </si>
  <si>
    <t>SAS</t>
  </si>
  <si>
    <t>bbw_saslastcall_19.1_eventbuy</t>
  </si>
  <si>
    <t>bbw_onoff_SAS_LC_eventbuyers_16thJan26 OR AGIPL_Internal OR BBW_Internal</t>
  </si>
  <si>
    <t>19th Jan (1 day only)</t>
  </si>
  <si>
    <t>696a38e209d18fa0d3afd898</t>
  </si>
  <si>
    <t>bbw_saslastcall_19.1_new</t>
  </si>
  <si>
    <t>bbw_onoff_SAS_LC_new_16thJan26</t>
  </si>
  <si>
    <t>Customers who have shopped exactly 1 time AND Exclude the event buyers segment</t>
  </si>
  <si>
    <t>696a39349bee359e16f8ef06</t>
  </si>
  <si>
    <t>bbw_saslastcall_19.1_repeat</t>
  </si>
  <si>
    <t>bbw_onoff_SAS_LC_repeat_16thJan26</t>
  </si>
  <si>
    <t>696a39c4e5e2cc58bf2bfce7</t>
  </si>
  <si>
    <t>FSMini&amp;HS</t>
  </si>
  <si>
    <t>bbw_FSMini&amp;HS20.1_eventbuy</t>
  </si>
  <si>
    <t>TSLS_EventBuyers_ONOFF</t>
  </si>
  <si>
    <t>Customers who have purchased in Travel Size and Liquid Soap events in 2025 both online and offline</t>
  </si>
  <si>
    <t>20th Jan to 21st Jan</t>
  </si>
  <si>
    <t>696f60541b2d4ad04433253f</t>
  </si>
  <si>
    <t>bbw_FSMini&amp;HS20.1_loyal</t>
  </si>
  <si>
    <t xml:space="preserve"> TSLS_Loyal_ON</t>
  </si>
  <si>
    <t>Customer who have purchased atleast twice Travel size or Liquid Soap both online exclusive</t>
  </si>
  <si>
    <t>696f606357d39274202f352c</t>
  </si>
  <si>
    <t>bbw_FSMini&amp;HS20.1_gen</t>
  </si>
  <si>
    <t>TSLS_RestBase_ON</t>
  </si>
  <si>
    <t>Customer who have purchased Travel Size or Liquid Soap atleast one time and online exclusive</t>
  </si>
  <si>
    <t>Gender</t>
  </si>
  <si>
    <t>696f606def5a3f977d2d36e6</t>
  </si>
  <si>
    <t>Touch of gold</t>
  </si>
  <si>
    <t>bbw_sttog_20.1launch_dorm</t>
  </si>
  <si>
    <t>NewLaunch_Dormant1Year_Offline2026</t>
  </si>
  <si>
    <t>Customers who have shopped from Jan 2024 to Dec 2024 Offline but have not shopped from Jan 2025 to Jan 2026 Offline</t>
  </si>
  <si>
    <t>20th Jan - 23rd Jan</t>
  </si>
  <si>
    <t>696f0e936d1dc67283b2cd0b</t>
  </si>
  <si>
    <t>bbw_sttog_20.1launch_gen</t>
  </si>
  <si>
    <t>NewLaunch_365Days_Offline2026</t>
  </si>
  <si>
    <t>Customers who have shopped in last 365 days Offline Exclusive</t>
  </si>
  <si>
    <t>696f0e9734369e26b0657712</t>
  </si>
  <si>
    <t>bbw_sttog_20.1launch_fullprWAFB</t>
  </si>
  <si>
    <t>NewLaunch_FullPrice_Offline2026 OR BBW_Internal OR AGIPL_Internal</t>
  </si>
  <si>
    <t>696f0ee6717fd6a07ff39929</t>
  </si>
  <si>
    <t>bbw_sttog_20.1launch_repeatWAFB</t>
  </si>
  <si>
    <t>NewLaunch_Repeat1Year_Offline2026</t>
  </si>
  <si>
    <t>696f0f3dc4e819479fb4e80a</t>
  </si>
  <si>
    <t>bbw_sttog_20.1launch_recentWAFB</t>
  </si>
  <si>
    <t>NewLaunch_Recent_Offline2026</t>
  </si>
  <si>
    <t>696f0f8161676dca8b263d04</t>
  </si>
  <si>
    <t>B2G2</t>
  </si>
  <si>
    <t>bbw_sttog_20.1launch_recent</t>
  </si>
  <si>
    <t>Customers who have shopped in the last 110 days (TTR) Offline</t>
  </si>
  <si>
    <t>696f0dde6d1dc67283b2ccd0</t>
  </si>
  <si>
    <t>bbw_sttog_20.1launch_repeat</t>
  </si>
  <si>
    <t>Customers who have bought atlest 2 times in last 1 year Offline</t>
  </si>
  <si>
    <t>696f0de5ef5a3f977d2d1940</t>
  </si>
  <si>
    <t>bbw_sttog_20.1launch_fullpr</t>
  </si>
  <si>
    <t>Customers who have shopped full price Offline</t>
  </si>
  <si>
    <t>696f0dea34369e26b0657707</t>
  </si>
  <si>
    <t>Mist and Body lotion</t>
  </si>
  <si>
    <t>bbw_FSMist&amp;BL21.1_rec</t>
  </si>
  <si>
    <t>MIBL_Recent_ON</t>
  </si>
  <si>
    <t>Customer who have shopped Body Lotion, Mist in last 100 days Online</t>
  </si>
  <si>
    <t>21st Jan to 22nd Jan</t>
  </si>
  <si>
    <t>696f699b3ad4c77430869e7a</t>
  </si>
  <si>
    <t>bbw_FSMist&amp;BL21.1_eventbuy</t>
  </si>
  <si>
    <t>MIBL_EventBuyers_ONOFF OR AGIPL_Internal OR BBW_Internal</t>
  </si>
  <si>
    <t>Customers who have purchased in Mist and BL/BC/BB events in 2025 both online and offline</t>
  </si>
  <si>
    <t>696f69aeff64048e68937da1</t>
  </si>
  <si>
    <t>bbw_FSMist&amp;BL21.1_loyal</t>
  </si>
  <si>
    <t>MIBL_Loyal3Times_ON</t>
  </si>
  <si>
    <t>Customers who have purchased Mist , Body Lotion atleast 3 times and online</t>
  </si>
  <si>
    <t>696f69d2f0d041db19ba9e46</t>
  </si>
  <si>
    <t>bbw_FSMist&amp;BL21.1_dorm</t>
  </si>
  <si>
    <t>MIBL_2025_ON</t>
  </si>
  <si>
    <t>Customers who have purchased from 1st Jan 2026 to 18th Jan 2025 Mist or Body Lotion and Online</t>
  </si>
  <si>
    <t>696f69f351233abeac53561a</t>
  </si>
  <si>
    <t>bbw_eab2g2_22.1_eventbuy_WAfb</t>
  </si>
  <si>
    <t>B2G2_EventBuyers2025_ON</t>
  </si>
  <si>
    <t>22nd Jan to 26th Jan</t>
  </si>
  <si>
    <t>6971fabdbcc97f0f93917a42</t>
  </si>
  <si>
    <t>bbw_eab2g2_22.1_recent_WAfb</t>
  </si>
  <si>
    <t>B2G2_Recent96_ON OR AGIPL_Internal OR BBW_Internal</t>
  </si>
  <si>
    <t>6971fb68ca0786a6569be84b</t>
  </si>
  <si>
    <t>bbw_eab2g2_22.1_repeat_WAfb</t>
  </si>
  <si>
    <t>B2G2_Repeat_ON</t>
  </si>
  <si>
    <t>6971fb8e64ac97b849fc48ba</t>
  </si>
  <si>
    <t>bbw_eab2g2_22.1_gen</t>
  </si>
  <si>
    <t>B2G2_2025Buyers_ON</t>
  </si>
  <si>
    <t>Customers who have purchased in 2025 online</t>
  </si>
  <si>
    <t>69720608fcd3eb1a6cc35e51</t>
  </si>
  <si>
    <t>bbw_eab2g2_22.1_gen_RCSfb</t>
  </si>
  <si>
    <t>6972071d69b2e8b09bfcb383</t>
  </si>
  <si>
    <t>bbw_eab2g2_22.1_eventbuy_WA</t>
  </si>
  <si>
    <t>Customers who have purchased in B2G2 campaign in 2025 Online</t>
  </si>
  <si>
    <t>6971fa4dbcc97f0f939179f5</t>
  </si>
  <si>
    <t>bbw_eab2g2_22.1_recent_WA</t>
  </si>
  <si>
    <t>Customers who have purchased in last 96 (Time to Repeat - 2025) Days Online</t>
  </si>
  <si>
    <t>6971fa513fe3b11995a6fc88</t>
  </si>
  <si>
    <t>bbw_eab2g2_22.1_repeat_WA</t>
  </si>
  <si>
    <t>Customer who have purchased atleast 2 times from 1st Jan 2025 to 18th Jan 2026 Online</t>
  </si>
  <si>
    <t>6971fa55cc6c7c6ab34f109b</t>
  </si>
  <si>
    <t>Republics Day campaign</t>
  </si>
  <si>
    <t>Republic Day Under 299 Round 1</t>
  </si>
  <si>
    <t>rnb_off_pr_Under299_20thJan OR RB_Internal</t>
  </si>
  <si>
    <t xml:space="preserve">Customer who have purchased from below stores (Under 299 offer) RB023        RB011        RB018        RB012        RB015        RB019        1299        1305        RB006        RB005        RB001        1286        RB008        RB016        RB010        RB020        RB021        RB022        1283        1297        1284        RB026        1298        1296        1258        1300        RB025        1281        RB009        RB013
</t>
  </si>
  <si>
    <t>69709bae118ed7ea32332b8b</t>
  </si>
  <si>
    <t>Fall Back _ Republic Day Under 299 Round 1</t>
  </si>
  <si>
    <t>6970af27f62aba388a519dbd</t>
  </si>
  <si>
    <t>Republic Day Upto 70 Round 1</t>
  </si>
  <si>
    <t>rnb_off_pr_70%off_20thJan OR RB_Internal</t>
  </si>
  <si>
    <t xml:space="preserve">Customers who have purchased from follwing stores  (70% Off) RB002        RB014        RB017        RB004        RB024        RB003        1302        RB007        1282        1250
</t>
  </si>
  <si>
    <t>6971ddaab76b34116d0a69ef</t>
  </si>
  <si>
    <t>Fall Back _ Republic Day Upto 70 Round 1</t>
  </si>
  <si>
    <t>6971e59ba7207e170734badc</t>
  </si>
  <si>
    <t>bbw_stb2g2_23.1_eventbuy_WAfb</t>
  </si>
  <si>
    <t>B2G2_EventBuyers2025_OFF</t>
  </si>
  <si>
    <t>23rd Jan to 26th Jan</t>
  </si>
  <si>
    <t>6971ff987ecaf997e6fa4e58</t>
  </si>
  <si>
    <t>bbw_stb2g2_23.1_recent_WAfb</t>
  </si>
  <si>
    <t>B2G2_Recent112_OFF</t>
  </si>
  <si>
    <t>6971fffe023f98026fa07b1d</t>
  </si>
  <si>
    <t>bbw_stb2g2_23.1_repeat_WAfb</t>
  </si>
  <si>
    <t>B2G2_Repeat_OFF OR AGIPL_Internal OR BBW_Internal</t>
  </si>
  <si>
    <t>69720076abdd625c2bf04b14</t>
  </si>
  <si>
    <t>bbw_eab2g2_23_1_gen</t>
  </si>
  <si>
    <t>B2G2_2025Buyers_OFF</t>
  </si>
  <si>
    <t>Customers who have purchased in 2025 offline</t>
  </si>
  <si>
    <t>6972069019acf0cf5619f13e</t>
  </si>
  <si>
    <t>bbw_stb2g2_23.1_gen_RCSfb</t>
  </si>
  <si>
    <t>Has executed RCS Delivery Failed atleast 1 time in the last 3 days with attributes Readable Campaign Id is in [6972069019acf0cf5619f13e] case insensitive</t>
  </si>
  <si>
    <t>697207aca9b3d7084d33a8ad</t>
  </si>
  <si>
    <t>bbw_stb2g2_23.1_repeat_WA</t>
  </si>
  <si>
    <t>Customer who have purchased atleast 2 times from 1st Jan 2025 to 18th Jan 2026 Offline</t>
  </si>
  <si>
    <t>6971fd9769b2e8b09bfcb057</t>
  </si>
  <si>
    <t>bbw_stb2g2_23.1_recent_WA</t>
  </si>
  <si>
    <t>Customers who have purchased in last 112 (Time to Repeat - 2025) Days Offline</t>
  </si>
  <si>
    <t>6971fe0d89896f92dc430065</t>
  </si>
  <si>
    <t>bbw_stb2g2_23.1_eventbuy_WA</t>
  </si>
  <si>
    <t>Customers who have purchased in B2G2 campaign in 2025 Offline</t>
  </si>
  <si>
    <t>6971fe5364ac97b849fc49ff</t>
  </si>
  <si>
    <t>Republic Weekend Sale - 50% All Cat - Rest Nontxn - Fallback</t>
  </si>
  <si>
    <t>Rest_Notxn</t>
  </si>
  <si>
    <t>23rd - 27th Jan</t>
  </si>
  <si>
    <t>6972fc872c27eef707ba286f</t>
  </si>
  <si>
    <t>Republic Weekend Sale - 50% All Cat - Dormant - Fallback</t>
  </si>
  <si>
    <t>Dormant_Discount50%_ONOFF</t>
  </si>
  <si>
    <t>6972fcc9aad7afa7ce254cdc</t>
  </si>
  <si>
    <t>Republic Weekend Sale - 50% All Cat - Active - Fallback</t>
  </si>
  <si>
    <t>Active_Discount50%_ONOFF OR AGIPL_Internal</t>
  </si>
  <si>
    <t>6972fd02648879a943115b51</t>
  </si>
  <si>
    <t>Republic Weekend Sale - 50% All Cat - BTY CX - Fallback</t>
  </si>
  <si>
    <t>BeautyLess5999_NotPurLin_ExRest&amp;2500</t>
  </si>
  <si>
    <t>697309532c27eef707ba2c20</t>
  </si>
  <si>
    <t>Republic Weekend Sale - 50% All Cat - panty_cx - Fallback</t>
  </si>
  <si>
    <t>Panty_NotPurBra_ONOFF</t>
  </si>
  <si>
    <t>Sub-Category Movers</t>
  </si>
  <si>
    <t>6973095ea05c59f882c87990</t>
  </si>
  <si>
    <t>Republic Weekend Sale - 50% All Cat - Bra CX - Fallback</t>
  </si>
  <si>
    <t>BRA_NotPurPanty_ONOFF</t>
  </si>
  <si>
    <t>69730967a7a5b625df3a44cc</t>
  </si>
  <si>
    <t>Republic Weekend Sale - 50% All Cat - Active</t>
  </si>
  <si>
    <t>Customer who have purchased in last 90 days with 50% discount</t>
  </si>
  <si>
    <t>6972f6e4b9a3a3c64af41edf</t>
  </si>
  <si>
    <t>Republic Weekend Sale - 50% All Cat - Dormant</t>
  </si>
  <si>
    <t>Customer who have not purchased in last 90 days And have purchased from Jan 2025 to Jan 2026 with 50% discount</t>
  </si>
  <si>
    <t>6972f71c4eaaa00638edc23a</t>
  </si>
  <si>
    <t>Republic Weekend Sale - 50% All Cat - panty_cx</t>
  </si>
  <si>
    <t>Customers who have purchased Panty but have not purchased BRA</t>
  </si>
  <si>
    <t>6972f76893e6b87406412f17</t>
  </si>
  <si>
    <t>Republic Weekend Sale - 50% All Cat - Bra CX</t>
  </si>
  <si>
    <t>Customers who have purchased Bra but have not purchased Panty</t>
  </si>
  <si>
    <t>6972f7930f185824fecac758</t>
  </si>
  <si>
    <t>Republic Weekend Sale - 50% All Cat - BTY CX</t>
  </si>
  <si>
    <t>BeautyLess5999_NotPurLin_ONOFF</t>
  </si>
  <si>
    <t>Customers who have purchased Beauty but not Lingerie</t>
  </si>
  <si>
    <t>6972f7b3da903752fe9630af</t>
  </si>
  <si>
    <t>Republic Weekend Sale - 50% All Cat - Rest Nontxn</t>
  </si>
  <si>
    <t>Users who have registered but have not yet transacted</t>
  </si>
  <si>
    <t>6972f7c38752e3419e1793e3</t>
  </si>
  <si>
    <t>Last chance_24th Jan_1</t>
  </si>
  <si>
    <t>ck_on_pr_evntbuyers_bfs_25_Nov
ck_off_pr_evntbuyers_bfs_25_Nov</t>
  </si>
  <si>
    <t>Customers who have purchased from 22nd Nov 2023 to 27th Nov 2023 with txn channel online OR 27th Nov 2024 to 2nd Dec 2024 with txn channel online.
Customers who have purchased from 22nd Nov 2023 to 27th Nov 2023 with txn channel offline OR 27th Nov 2024 to 2nd Dec 2024 with txn channel offline OR 26th Nov 2025 to 1st Dec 2025 with txn channel offline</t>
  </si>
  <si>
    <t>24-26th January 2026</t>
  </si>
  <si>
    <t>6973244229062daa8e322d18</t>
  </si>
  <si>
    <t>Last chance_24th Jan_2</t>
  </si>
  <si>
    <t>ck_off_pr_last_36mnths_gen_25_Nov
ck_on_pr_last_36mnths_gen_25_Nov</t>
  </si>
  <si>
    <t>Customers who have purchased atleast 1 time in the last 36 months with txn channel online AND exclude the event buyers segment.
Customers who have purchased in the last 86 days with txn channel offline and Excluding the event buyers segment</t>
  </si>
  <si>
    <t>6973246aa19cd84665ffec58</t>
  </si>
  <si>
    <t>Last chance_24th Jan_3</t>
  </si>
  <si>
    <t>69732491bcd1ef9e94ec5f22</t>
  </si>
  <si>
    <t>Republic Day Campaign</t>
  </si>
  <si>
    <t>Flat 50_Republic_Dormant</t>
  </si>
  <si>
    <t>al_onoff_nopr_80days_Dormant_23_Jan_26</t>
  </si>
  <si>
    <r>
      <rPr>
        <rFont val="Montserrat"/>
        <color theme="1"/>
      </rPr>
      <t xml:space="preserve">Customers who have shopped in the Last 36 Months and have not shopped in the last 80 days </t>
    </r>
    <r>
      <rPr>
        <rFont val="Montserrat"/>
        <b/>
        <color theme="1"/>
      </rPr>
      <t>AND Exclude</t>
    </r>
    <r>
      <rPr>
        <rFont val="Montserrat"/>
        <color theme="1"/>
      </rPr>
      <t xml:space="preserve"> event buyers segment</t>
    </r>
  </si>
  <si>
    <t>24-27th January 2026</t>
  </si>
  <si>
    <t>697353ad95047ecf364ae20f</t>
  </si>
  <si>
    <t>Flat 50_Republic_EventBuyers</t>
  </si>
  <si>
    <t>69735409b016e6a750b26cf7</t>
  </si>
  <si>
    <t>Flat 50_Republic_Recent</t>
  </si>
  <si>
    <t>al_onoff_pr_80days_Recnt_23_Jan_26</t>
  </si>
  <si>
    <r>
      <rPr>
        <rFont val="Montserrat"/>
        <color theme="1"/>
      </rPr>
      <t xml:space="preserve">Customers who have purchased in the last 80 days </t>
    </r>
    <r>
      <rPr>
        <rFont val="Montserrat"/>
        <b/>
        <color theme="1"/>
      </rPr>
      <t>AND Exclude</t>
    </r>
    <r>
      <rPr>
        <rFont val="Montserrat"/>
        <color theme="1"/>
      </rPr>
      <t xml:space="preserve"> event buyers segment</t>
    </r>
  </si>
  <si>
    <t>69735434153f4039818a9e8e</t>
  </si>
  <si>
    <t>Flat 50_Final Reduction_Republic_Churned_Fall Back</t>
  </si>
  <si>
    <t>al_onoff_nopr_365days_Churned_23_Jan_26</t>
  </si>
  <si>
    <t>69735cfafdb0dad737f6db3b</t>
  </si>
  <si>
    <t>Flat 50_Republic_EventBuyers_FallBk_RCS</t>
  </si>
  <si>
    <t>69735d35a4cece596f932f25</t>
  </si>
  <si>
    <t>Flat 50_Republic_Dormant_FallBk_RCS</t>
  </si>
  <si>
    <t>69735d69f854022616f4dc87</t>
  </si>
  <si>
    <t>Flat 50_Republic_Recent_FallBk_RCS</t>
  </si>
  <si>
    <t>69735e19b41cfca3562979a0</t>
  </si>
  <si>
    <t>Flat 50_Final Reduction_Republic_Churned</t>
  </si>
  <si>
    <r>
      <rPr>
        <rFont val="Montserrat"/>
        <color theme="1"/>
      </rPr>
      <t xml:space="preserve">Customers who have not shopped in the last 365 days </t>
    </r>
    <r>
      <rPr>
        <rFont val="Montserrat"/>
        <b/>
        <color theme="1"/>
      </rPr>
      <t>AND exclude</t>
    </r>
    <r>
      <rPr>
        <rFont val="Montserrat"/>
        <color theme="1"/>
      </rPr>
      <t xml:space="preserve"> event buyers OR Recent OR Dormant segment</t>
    </r>
  </si>
  <si>
    <t>Carousel</t>
  </si>
  <si>
    <t>6973595d93b4386821b68b90</t>
  </si>
  <si>
    <t>Crocs_Republic Day_1209</t>
  </si>
  <si>
    <t>CROCS_IN_Akshardham_3017_23_Jan OR Akshardham_Staff OR Crocs_internal_new</t>
  </si>
  <si>
    <t>24th-31st Jan</t>
  </si>
  <si>
    <t>69734e6f1cf3d360ec5b89eb</t>
  </si>
  <si>
    <t>Crocs_Republic Day_1203</t>
  </si>
  <si>
    <t>CROCS_IN_MallOfFaridabad_3001_23_Jan OR Mall Of Faridabad_Staff OR Crocs_internal_new</t>
  </si>
  <si>
    <t>697350f70d0bc313ba5a321c</t>
  </si>
  <si>
    <t>Crocs_Republic Day_1204</t>
  </si>
  <si>
    <t>CROCS_IN_ModelTownLudhiana_3002_23_Jan OR Modeltown Ludhiana_Staff OR Crocs_internal_new</t>
  </si>
  <si>
    <t>697350fbc8c803560d31a0af</t>
  </si>
  <si>
    <t>Crocs_Republic Day_1205</t>
  </si>
  <si>
    <t>CROCS_IN_IHCGhaziabad_3003_23_Jan OR IHC Ghaziabad_Staff OR Crocs_internal_new</t>
  </si>
  <si>
    <t>697352130b0d6066592fee36</t>
  </si>
  <si>
    <t>Crocs_Republic Day_1207</t>
  </si>
  <si>
    <t>CROCS_IN_MallOfRanchi_3010_23_Jan OR Mall Of Ranchi_Staff OR Crocs_internal_new</t>
  </si>
  <si>
    <t>69735342f59c57ec9def1042</t>
  </si>
  <si>
    <t>Crocs_Republic Day_1208</t>
  </si>
  <si>
    <t>CROCS_IN_Moga_3016_23_Jan OR Moga_Staff OR Crocs_internal_new</t>
  </si>
  <si>
    <t>69735353ec4b88d38c4dda38</t>
  </si>
  <si>
    <t>Crocs_Republic Day_1210</t>
  </si>
  <si>
    <t>CROCS_IN_Shipra Mall_1210_23_Jan OR Shipra Mall Ghaziabad_Staff OR Crocs_internal_new</t>
  </si>
  <si>
    <t>697354b4153f4039818a9ed1</t>
  </si>
  <si>
    <t>Crocs_Republic Day_1247</t>
  </si>
  <si>
    <t>CROCS_IN_Malhar Road_1247_23_Jan OR Malhar_1247_17oct OR Malhar_Staff OR Crocs_internal_new</t>
  </si>
  <si>
    <t>697356f2302b3a903e886187</t>
  </si>
  <si>
    <t>Crocs_Republic Day_1263</t>
  </si>
  <si>
    <t>CROCS_IN_Modeltown Yamuna nagar_1263_23_Jan OR Modeltown Yamunanagar_Staff OR Crocs_internal_new</t>
  </si>
  <si>
    <t>69735700fdf99a2eabf5f6f2</t>
  </si>
  <si>
    <t>Crocs_Republic Day_1255</t>
  </si>
  <si>
    <t>CROCS_IN_Kohara Ludhiana_1255_23_Jan OR Kohara Ludhiana_Staff OR Crocs_Internal OR Crocs_internal_new</t>
  </si>
  <si>
    <t>697357ddab6fea43009c84da</t>
  </si>
  <si>
    <t>Crocs_Republic Day_1257</t>
  </si>
  <si>
    <t>CROCS_IN_Gajraula_1257_23_Jan OR Gajraula_Staff OR Crocs_internal_new</t>
  </si>
  <si>
    <t>69735932ec4b88d38c4ddde0</t>
  </si>
  <si>
    <t>Crocs_Republic Day_1275</t>
  </si>
  <si>
    <t>CROCS_IN_Hisar_1275_23_Jan OR Hisar_Staff OR Crocs_internal_new</t>
  </si>
  <si>
    <t>697359bd47fada0174e775be</t>
  </si>
  <si>
    <t>Crocs_Republic Day_1256</t>
  </si>
  <si>
    <t>CROCS_IN_Walk In Square_1256_23_Jan OR Walk in Square Amritsar_Staff OR Crocs_internal_new</t>
  </si>
  <si>
    <t>69735a3b32395cb32365d4c8</t>
  </si>
  <si>
    <t>Crocs_Republic Day_1290</t>
  </si>
  <si>
    <t>CROCS_IN_Rajouri Garden_1290_23_Jan OR Rajouri Garden Delhi_Staff OR Crocs_internal_new</t>
  </si>
  <si>
    <t>69735a4535c658d31c6facb6</t>
  </si>
  <si>
    <t>Crocs_Republic Day_1206</t>
  </si>
  <si>
    <t>CROCS_IN_Pavilion Mall Kiosk_3004_23_Jan OR Pavilion Mall Kiosk_Staff OR Crocs_internal_new</t>
  </si>
  <si>
    <t>69735cf60d0bc313ba5a37da</t>
  </si>
  <si>
    <t>Crocs_Republic Day_1274</t>
  </si>
  <si>
    <t>CROCS_IN_CP67 Mohali Kiosk_1274_23_Jan OR Mohali Kiosk_Staff OR Crocs_internal_new</t>
  </si>
  <si>
    <t>69735f8932395cb32365d619</t>
  </si>
  <si>
    <t>Crocs_Republic Day_1270</t>
  </si>
  <si>
    <t>CROCS_IN_Zora Mall Raipur_1270_23_Jan OR ZORA Raipur_Staff OR Crocs_internal_new OR Crocs_Internal</t>
  </si>
  <si>
    <t>69735f8e759270cb4dbeb424</t>
  </si>
  <si>
    <t>Crocs_Republic Day_1264</t>
  </si>
  <si>
    <t>CROCS_IN_Rajpur Road Dehradun_1264_23_Jan OR Rajpur Road Dehradun_Staff OR Crocs_internal_new</t>
  </si>
  <si>
    <t>69735f9a3b31a1c0b2cd7cb9</t>
  </si>
  <si>
    <t>Crocs_Republic Day_1294</t>
  </si>
  <si>
    <t>CROCS_IN_Karnal_1294_23_Jan OR Karnal_Staff OR Crocs_internal_new</t>
  </si>
  <si>
    <t>6973619ad749ef59f87777c8</t>
  </si>
  <si>
    <t>Crocs_Republic Day_1293</t>
  </si>
  <si>
    <t>CROCS_IN_Paschim Vihar Delhi_1293_23_Jan OR Paschim Vihar Delhi_Staff OR Crocs_internal_new</t>
  </si>
  <si>
    <t>697361a0f07eef7773119e7b</t>
  </si>
  <si>
    <t>Crocs_Republic Day_1311</t>
  </si>
  <si>
    <t>CROCS_IN_Ambience Mall Gurgaon_1311_23_Jan OR Crocs_internal_new</t>
  </si>
  <si>
    <t>697361a6b41cfca356297aa0</t>
  </si>
  <si>
    <t>Crocs_Republic Day_1307</t>
  </si>
  <si>
    <t>Crocs_Lajpat_Final OR Crocs_Lajpat_Nagar_Event_16thJan OR Crocs_internal_new</t>
  </si>
  <si>
    <t>6973632432395cb32365d70d</t>
  </si>
  <si>
    <t>Crocs_Republic Day_1309</t>
  </si>
  <si>
    <t>CROCS_IN_Elan Epic_1309_23_Jan OR Crocs_internal_new</t>
  </si>
  <si>
    <t>6973640d93b4386821b68f3b</t>
  </si>
  <si>
    <t>Crocs_Republic Day_1313</t>
  </si>
  <si>
    <t>CROCS_IN_Apollo Indore_1313_23_Jan OR Crocs_Internal OR Crocs_internal_new</t>
  </si>
  <si>
    <t>69736418f854022616f4deaa</t>
  </si>
  <si>
    <t>Republic Day Under 299 Round 2</t>
  </si>
  <si>
    <t>24th Jan to 26th Jan</t>
  </si>
  <si>
    <t>6971e4c7a7207e170734babe</t>
  </si>
  <si>
    <t>Republic Day Upto 70 Round 2</t>
  </si>
  <si>
    <t>6971e61fbd41a556fdf13399</t>
  </si>
  <si>
    <t>Fall Back _ Republic Day Upto 70 Round 2</t>
  </si>
  <si>
    <t>6971e6d385e8370d3e0a47c9</t>
  </si>
  <si>
    <t>Fall Back _ Republic Day Under 299 Round 2</t>
  </si>
  <si>
    <t>6971eb70a9b3d7084d339da3</t>
  </si>
  <si>
    <t>Republic Weekend Sale - 50% All Cat - Rest Nontxn Sun</t>
  </si>
  <si>
    <t>25th - 27th Jan</t>
  </si>
  <si>
    <t>69735dcc1b2592862d22de38</t>
  </si>
  <si>
    <t>Republic Weekend Sale - 50% All Cat - Active - Fallback - Sun</t>
  </si>
  <si>
    <t>Active_Discount30%_ONOFF</t>
  </si>
  <si>
    <t>69735e42ec4b88d38c4de0ea</t>
  </si>
  <si>
    <t>Republic Weekend Sale - 50% All Cat - Dormant - Fallback - Sun</t>
  </si>
  <si>
    <t>69735e9ba4cece596f932f6f</t>
  </si>
  <si>
    <t>Republic Weekend Sale - 50% All Cat - panty_cx - Fallback - Sun</t>
  </si>
  <si>
    <t>Panty_NotPurBra_ONOFF_Sunday</t>
  </si>
  <si>
    <t>69735ef9b016e6a750b271fa</t>
  </si>
  <si>
    <t>Republic Weekend Sale - 50% All Cat - Bra CX - Fallback - Sun</t>
  </si>
  <si>
    <t>BRA_NotPurPanty_ONOFF_Sun</t>
  </si>
  <si>
    <t>69735f4f32395cb32365d611</t>
  </si>
  <si>
    <t>Republic Weekend Sale - 50% All Cat - BTY CX - Fallback - Sun</t>
  </si>
  <si>
    <t>69735faadac529353c90332b</t>
  </si>
  <si>
    <t>Republic Weekend Sale - 50% All Cat - Active - Sun</t>
  </si>
  <si>
    <t>Customer who have purchased in last 90 days with 30% discount</t>
  </si>
  <si>
    <t>69734899f47f8a96c524c6c0</t>
  </si>
  <si>
    <t>Republic Weekend Sale - 50% All Cat - Dormant - Sun</t>
  </si>
  <si>
    <t>69734a83ee8b97da4312ef18</t>
  </si>
  <si>
    <t>Republic Weekend Sale - 50% All Cat - panty_cx - Sun</t>
  </si>
  <si>
    <t>69734b530c6b8ff686f6cdd6</t>
  </si>
  <si>
    <t>Republic Weekend Sale - 50% All Cat - Bra CX - Sun</t>
  </si>
  <si>
    <t>69734bac29062daa8e323fc4</t>
  </si>
  <si>
    <t>Republic Weekend Sale - 50% All Cat - BTY CX - Sun</t>
  </si>
  <si>
    <t>69734d000f185824fecae6c7</t>
  </si>
  <si>
    <t>bbw_lastdayb2g2_26.1_eventbuy</t>
  </si>
  <si>
    <t>B2G2_EventBuyers2025_ONOFF OR AGIPL_Internal OR BBW_Internal</t>
  </si>
  <si>
    <t>Customers who have purchased in b2g2 campaign in 2025 both online and offline</t>
  </si>
  <si>
    <t>26th Jan 2026 (1 day)</t>
  </si>
  <si>
    <t>69720b7319acf0cf5619f384</t>
  </si>
  <si>
    <t>bbw_lastdayb2g2_26.1_rec</t>
  </si>
  <si>
    <t>B2G2_Recent106_ONOFF</t>
  </si>
  <si>
    <t>Customers who have purchased in last 106 (Time to Repeat - 2025) Days</t>
  </si>
  <si>
    <t>69720b7d4524e41aceeec11b</t>
  </si>
  <si>
    <t>bbw_lastdayb2g2_26.1_repeat</t>
  </si>
  <si>
    <t>B2G2_Repeat_ONOFF</t>
  </si>
  <si>
    <t>69720b8b64ac97b849fc4fd1</t>
  </si>
  <si>
    <t>bbw_lastdayb2g2_26.1_gen</t>
  </si>
  <si>
    <t>B2G2_2025Buyers_ONOFF</t>
  </si>
  <si>
    <t>Customer who have purchased atleast 2 times from 1st Jan 2025 to 18th Jan 2026</t>
  </si>
  <si>
    <t>69720b95473b29a45a9b617c</t>
  </si>
  <si>
    <t>Crocs_Republic Day_1313_v2</t>
  </si>
  <si>
    <t>26th-31st Jan</t>
  </si>
  <si>
    <t>69738036b016e6a750b27ad0</t>
  </si>
  <si>
    <t>Crocs_Republic Day_1309_v2</t>
  </si>
  <si>
    <t>697380a65494eddb2d2dad2a</t>
  </si>
  <si>
    <t>Crocs_Republic Day_1209_v2</t>
  </si>
  <si>
    <t>6973813361d83f563919d9ff</t>
  </si>
  <si>
    <t>Crocs_Republic Day_1203_v2</t>
  </si>
  <si>
    <t>697382b1ab6fea43009c9108</t>
  </si>
  <si>
    <t>Crocs_Republic Day_1204_v2</t>
  </si>
  <si>
    <t>697383d9b54cad07fd06acae</t>
  </si>
  <si>
    <t>Crocs_Republic Day_1205_v2</t>
  </si>
  <si>
    <t>6973849c5339fc38b44ed6b4</t>
  </si>
  <si>
    <t>Crocs_Republic Day_1307_v2</t>
  </si>
  <si>
    <t>697384bfd749ef59f8777fef</t>
  </si>
  <si>
    <t>Crocs_Republic Day_1311_v2</t>
  </si>
  <si>
    <t>69738538759270cb4dbebe66</t>
  </si>
  <si>
    <t>Crocs_Republic Day_1207_v2</t>
  </si>
  <si>
    <t>69738589506675b57b65f7a9</t>
  </si>
  <si>
    <t>Crocs_Republic Day_1293_v2</t>
  </si>
  <si>
    <t>6973859861d83f563919da81</t>
  </si>
  <si>
    <t>Crocs_Republic Day_1294_v2</t>
  </si>
  <si>
    <t>6973863350a2e2327b291091</t>
  </si>
  <si>
    <t>Crocs_Republic Day_1208_v2</t>
  </si>
  <si>
    <t>69738663526d5199db9bd767</t>
  </si>
  <si>
    <t>Crocs_Republic Day_1210_v2</t>
  </si>
  <si>
    <t>697387e01a51ebd6682f04b2</t>
  </si>
  <si>
    <t>Crocs_Republic Day_1247_v2</t>
  </si>
  <si>
    <t>697389a90b0d6066592ffe64</t>
  </si>
  <si>
    <t>Crocs_Republic Day_1264_v2</t>
  </si>
  <si>
    <t>697389f81095f5e97b0d6ebf</t>
  </si>
  <si>
    <t>Crocs_Republic Day_1255_v2</t>
  </si>
  <si>
    <t>69738a80d3a577d660763b55</t>
  </si>
  <si>
    <t>Crocs_Republic Day_1263_v2</t>
  </si>
  <si>
    <t>69738b3bc60d3696a06bd737</t>
  </si>
  <si>
    <t>Crocs_Republic Day_1270_v2</t>
  </si>
  <si>
    <t>69738b900d0bc313ba5a432d</t>
  </si>
  <si>
    <t>Crocs_Republic Day_1257_v2</t>
  </si>
  <si>
    <t>69738bd1a43e02ecb2010de9</t>
  </si>
  <si>
    <t>Crocs_Republic Day_1274_v2</t>
  </si>
  <si>
    <t>69738bf7d3a577d660763b8c</t>
  </si>
  <si>
    <t>Crocs_Republic Day_1275_v2</t>
  </si>
  <si>
    <t>69738c90fa79c048770bbf69</t>
  </si>
  <si>
    <t>Crocs_Republic Day_1206_v2</t>
  </si>
  <si>
    <t>69738d0c5339fc38b44ed7db</t>
  </si>
  <si>
    <t>Crocs_Republic Day_1256_v2</t>
  </si>
  <si>
    <t>69738db60b0d6066592ffedf</t>
  </si>
  <si>
    <t>Crocs_Republic Day_1290_v2</t>
  </si>
  <si>
    <t>69738dd0cd5b206487bff74c</t>
  </si>
  <si>
    <t>Republic Day Under 299 Round 3</t>
  </si>
  <si>
    <t>26th Jan</t>
  </si>
  <si>
    <t>6971e8222c879909ee13a9d0</t>
  </si>
  <si>
    <t>Fall Back _ Republic Day Under 299 Round 3</t>
  </si>
  <si>
    <t>6971e858fef769675256e84c</t>
  </si>
  <si>
    <t>Republic Day Upto 70 Round 3</t>
  </si>
  <si>
    <t>6971e90cbd41a556fdf134ca</t>
  </si>
  <si>
    <t>Fall Back _ Republic Day Upto 70 Round 3</t>
  </si>
  <si>
    <t>6971e93dc86be99d5e5ce5be</t>
  </si>
  <si>
    <t>Flash Sale</t>
  </si>
  <si>
    <t>bbw_fshomefrag27.1_new</t>
  </si>
  <si>
    <t>LA_FlashSale_New_On</t>
  </si>
  <si>
    <t>Customers who have purchased exactly once in the last 36 months with Txn_Channel Online AND Category_L2_Desc contains LIVING ACCESSORIES AND Exclude Custom Segment :- LA_FlashSale_Recent</t>
  </si>
  <si>
    <t>27th Jan to 28th Jan</t>
  </si>
  <si>
    <t>6978ad5d888f7ba31679883b</t>
  </si>
  <si>
    <t>bbw_fshomefrag27.1_repeat</t>
  </si>
  <si>
    <t>LA_FlashSale_Repeat_On</t>
  </si>
  <si>
    <t>Customers who have purchased atleast twice in the last 36 months with Txn_Channel Online AND Category_L2_Desc contains LIVING ACCESSORIES AND Exclude Custom Segment :- LA_FlashSale_Recent</t>
  </si>
  <si>
    <t>6978ad64bdb4b2435f78fe20</t>
  </si>
  <si>
    <t>bbw_fshomefrag27.1_recent</t>
  </si>
  <si>
    <t>LA_FlashSale_Recent OR AGIPL_Internal OR BBW_Internal</t>
  </si>
  <si>
    <t>Customers who have purchased in the last 92 days with Txn_Channel Online AND Category_L2_Desc contains LIVING ACCESSORIES</t>
  </si>
  <si>
    <t>6978ad6c49c1e220c4054e00</t>
  </si>
  <si>
    <t>B2G1</t>
  </si>
  <si>
    <t>bbw_stb2g1_30.1_loyal_1</t>
  </si>
  <si>
    <t>B2G1_LoyalDormant_ONOFF</t>
  </si>
  <si>
    <t>Customer who have purchased 2 times from 1st Jan 2025 but have not returend in the last 106 days AND Exclude Custom Segment :- B2G1_EventBuyers_ONOFF</t>
  </si>
  <si>
    <t>30th Jan - 2nd Feb</t>
  </si>
  <si>
    <t>697c91f3ef23c63bde2036e2</t>
  </si>
  <si>
    <t>bbw_stb2g1_30.1_eventbuy_1</t>
  </si>
  <si>
    <t>B2G1_EventBuyers_ONOFF OR AGIPL_Internal OR BBW_Internal</t>
  </si>
  <si>
    <t>Customers who have purchased in the last B1G1 and B2G1 events in 2025</t>
  </si>
  <si>
    <t>697c92559556812345614f1b</t>
  </si>
  <si>
    <t>bbw_stb2g1_30.1_genRCSFB_1</t>
  </si>
  <si>
    <t>B2G1_Rest2025_ONOFF</t>
  </si>
  <si>
    <t>697c91d9d3f852e7f710bdda</t>
  </si>
  <si>
    <t>bbw_stb2g1_30.1_loyalWAFB_1</t>
  </si>
  <si>
    <t>697c921697812912e6f8ecd0</t>
  </si>
  <si>
    <t>bbw_stb2g1_30.1_newRCSFB_1</t>
  </si>
  <si>
    <t>B2G1_New2025_ONOFF</t>
  </si>
  <si>
    <t>697c9262650ba90c6aa714a1</t>
  </si>
  <si>
    <t>bbw_stb2g1_30.1_eventbuyWAFB_1</t>
  </si>
  <si>
    <t>697c92732a728bc3d6bdf45a</t>
  </si>
  <si>
    <t>bbw_stb2g1_30.1_genRCS_1</t>
  </si>
  <si>
    <t>Customer who have purchased atleast once in 2025 AND Exclude Custom Segment :- B2G1_EventBuyers_ONOFF or B2G1_LoyalDormant_ONOFF or  B2G1_New2025_ONOFF</t>
  </si>
  <si>
    <t>697c9165ad6ae4696aadc6ac</t>
  </si>
  <si>
    <t>bbw_stb2g1_30.1_newRCS_1</t>
  </si>
  <si>
    <t>Customers who have purchased exactly once from 20th Jan 2025 and have not purchased in the last 31 days AND Exclude Custom Segment :- B2G1_EventBuyers_ONOFF or B2G1_LoyalDormant_ONOFF</t>
  </si>
  <si>
    <t>697c9236893a590f8415ab55</t>
  </si>
  <si>
    <t>Valentines Day campaign</t>
  </si>
  <si>
    <t>V-Day GWP_31st jan_1</t>
  </si>
  <si>
    <t>Customers who have purchased atleast 1 time in the last 36 months with txn channel online AND exclude the event buyers segment, Customers who have purchased in the last 86 days with txn channel offline and Excluding the event buyers segment</t>
  </si>
  <si>
    <t>31st- 1st feb</t>
  </si>
  <si>
    <t>697c94d3a8c114ad0022c7e1</t>
  </si>
  <si>
    <t>V-Day GWP_31st jan_2</t>
  </si>
  <si>
    <t>697ca57a609b8fe6f4f97f58</t>
  </si>
  <si>
    <t>V-Day GWP_31st jan_1_fallback</t>
  </si>
  <si>
    <t>697c95bbf164107f82419da9</t>
  </si>
  <si>
    <t>V-Day GWP_31st jan_2_fallback</t>
  </si>
  <si>
    <t>697ca5d9a8c114ad0022ce0a</t>
  </si>
  <si>
    <t>bbw_ldb2g1_1.2_gen</t>
  </si>
  <si>
    <t>1st Feb - 2nd Feb</t>
  </si>
  <si>
    <t>697b57720e5624e86c2b8dbc</t>
  </si>
  <si>
    <t>bbw_ldb2g1_1.2_eventbuy</t>
  </si>
  <si>
    <t>B2G1_EventBuyers_ONOFF</t>
  </si>
  <si>
    <t>697b5793c197dd2134779f24</t>
  </si>
  <si>
    <t>bbw_ldb2g1_1.2_loyal</t>
  </si>
  <si>
    <t>B2G1_LoyalDormant_ONOFF OR AGIPL_Internal OR BBW_Internal</t>
  </si>
  <si>
    <t>697b57c3307659ef41257ace</t>
  </si>
  <si>
    <t>bbw_ldb2g1_1.2_new</t>
  </si>
  <si>
    <t>697b58090e5624e86c2b8e12</t>
  </si>
  <si>
    <t>Scent Event</t>
  </si>
  <si>
    <t>Scent Event - Event-CX - 4_Feb On</t>
  </si>
  <si>
    <t>Scent_Event_Purchasers_On</t>
  </si>
  <si>
    <t>Online customers who have purchased from 4th Sept 25 to 7th Sept 25, 29th Oct 25 to 2nd Nov 25, 21st Oct 24 to 27th Oct 24, 30th Oct 24 to 1st Nov 24, 16th April 25 to 20th April 25</t>
  </si>
  <si>
    <t>4th - 8th Feb</t>
  </si>
  <si>
    <t>6982e8ad5da829c096673fea</t>
  </si>
  <si>
    <t>Scent Event - Loyal-CX - 4_Feb On</t>
  </si>
  <si>
    <t>vs_on_pr_frag_loyal_2ndFeb</t>
  </si>
  <si>
    <t>Online Customers who have purchased atleast 2 times in entire date range with L2 Cat as Fragrances AND Exclude Custom Segment :- Scent_Event_Purchasers_On</t>
  </si>
  <si>
    <t>6982e9444a5617b836b203da</t>
  </si>
  <si>
    <t>Scent Event - Recent-CX - 4_Feb On</t>
  </si>
  <si>
    <t>vs_on_pr_frag_recent_2ndFeb OR AGIPL_Internal</t>
  </si>
  <si>
    <t>Online customers who have purchased in the last 84 days with Cat L2 Fragrances AND Exclude Custom Segment :- Scent_Event_Purchasers_On OR Loyal</t>
  </si>
  <si>
    <t>6982e9b78c256677e1c44bb8</t>
  </si>
  <si>
    <t>Scent Event - Lingerie-CX - 4_Feb On</t>
  </si>
  <si>
    <t>vs_on_subcatmov_2ndFeb</t>
  </si>
  <si>
    <t>Online customers who have purchased Lingerie more than 3999 AND Exclude Custom Segment :- Scent_Event_Purchasers_On OR Loyal, Recent</t>
  </si>
  <si>
    <t>6982ead621406e9565066fb8</t>
  </si>
  <si>
    <t>Scent Event - BTY-CX - 4_Feb On</t>
  </si>
  <si>
    <t>vs_on_pr_catmov_2ndFeb</t>
  </si>
  <si>
    <t>Online customers who have purchased Personal Care whose LTV greater than 3000 AND Exclude Custom Segment :- Scent_Event_Purchasers_On OR Loyal, Recent, Sub- Category Movers</t>
  </si>
  <si>
    <t>6982eb283786ae03d6c1784d</t>
  </si>
  <si>
    <t>Scent Event - Generic-CX - 4_Feb On</t>
  </si>
  <si>
    <t>vs_on_pr_gen_2ndFeb</t>
  </si>
  <si>
    <t>Online customers who have purchased in entire date range AND Exclude Custom Segment :- Scent_Event_Purchasers_On OR Loyal, Recent, Sub- Category Moversm Category Movers</t>
  </si>
  <si>
    <t>6982ec463786ae03d6c1787b</t>
  </si>
  <si>
    <t>Bodycare</t>
  </si>
  <si>
    <t>bbw_eabc899_5.2_DiscshopWA</t>
  </si>
  <si>
    <t>Loyal&amp;DiscountShoppers_ON OR AGIPL_Internal OR BBW_Internal</t>
  </si>
  <si>
    <t>Online customer who has purchased 2 times &amp; Online, Body Care in Order_Net_Value Less than 1000 OR Candles at 50% off or Travel Size, Soaps and Sanitisers whose Order_Net_Value is less than 1000</t>
  </si>
  <si>
    <t>5th Feb - 8th Feb</t>
  </si>
  <si>
    <t>6984815d9a30dc7ea6c9934e</t>
  </si>
  <si>
    <t>bbw_eabc899_5.2_recWA</t>
  </si>
  <si>
    <t>Recent100Days_ON</t>
  </si>
  <si>
    <t>Online customers who have purchased Body Care, Candle, and Travel Size, Soaps and Sanitisers in last 100 days</t>
  </si>
  <si>
    <t>698481a5f9799bc566b924ee</t>
  </si>
  <si>
    <t>bbw_eabc899_5.2_DiscshopWAfb</t>
  </si>
  <si>
    <t>Loyal&amp;DiscountShoppers_ON
+ AGIPL_Internal
+ BBW_Internal</t>
  </si>
  <si>
    <t>6984829d8ad2831dddba5089</t>
  </si>
  <si>
    <t>bbw_eabc899_5.2_recWAfb</t>
  </si>
  <si>
    <t>698482dda784c7ed07e1cfb4</t>
  </si>
  <si>
    <t>Scent Event - Event-CX - 5_Feb Off - FB</t>
  </si>
  <si>
    <t>Scent_Event_Purchasers_Off</t>
  </si>
  <si>
    <t>5th - 8th Feb</t>
  </si>
  <si>
    <t>698329e17471a223ca33da39</t>
  </si>
  <si>
    <t>Scent Event - Recent-CX - 5_Feb Off - FB</t>
  </si>
  <si>
    <t>vs_off_pr_frag_recent_2ndFeb</t>
  </si>
  <si>
    <t>69832ac9e2490516ae7970dd</t>
  </si>
  <si>
    <t>Scent Event - Loyal-CX - 5_Feb Off - FB</t>
  </si>
  <si>
    <t>vs_off_pr_frag_loyal_2ndFeb</t>
  </si>
  <si>
    <t>69832b18396ae7817b1c2527</t>
  </si>
  <si>
    <t>Scent Event - Lingerie-CX - 5_Feb Off - FB</t>
  </si>
  <si>
    <t>vs_off_subcatmov_2ndFeb</t>
  </si>
  <si>
    <t>69832b5bc201e676272daa12</t>
  </si>
  <si>
    <t>Scent Event - BTY-CX - 5_Feb Off - FB</t>
  </si>
  <si>
    <t>vs_off_pr_catmov_2ndFeb</t>
  </si>
  <si>
    <t>69832d4bd788b68d44a59e1d</t>
  </si>
  <si>
    <t>Scent Event - Generic-CX - 5_Feb Off - FB</t>
  </si>
  <si>
    <t>vs_off_pr_gen_2ndFeb</t>
  </si>
  <si>
    <t>69832d7f39150e40c439ca10</t>
  </si>
  <si>
    <t>Scent Event - On - Generic CX FB (5_Feb)</t>
  </si>
  <si>
    <t>6982f29981dbacee875ae224</t>
  </si>
  <si>
    <t>Scent Event - On - BTY CX FB (5_Feb)</t>
  </si>
  <si>
    <t>6982f392a34634901bad6566</t>
  </si>
  <si>
    <t>Scent Event - On - Lingerie CX FB (5_Feb)</t>
  </si>
  <si>
    <t>6982f4321a0aa1fb66a023d4</t>
  </si>
  <si>
    <t>Scent Event - On - Loyal CX FB (5_Feb)</t>
  </si>
  <si>
    <t>6982f496742f2e24006685ec</t>
  </si>
  <si>
    <t>Scent Event - On - Recent CX FB (5_Feb)</t>
  </si>
  <si>
    <t>6982f4ecb426d844b0d1d548</t>
  </si>
  <si>
    <t>Scent Event - On - Event CX FB (5_Feb)</t>
  </si>
  <si>
    <t>6982f5791113a0fc699ebf37</t>
  </si>
  <si>
    <t>Scent Event - Off - Event CX (5_Feb)</t>
  </si>
  <si>
    <t>Offline customers who have purchased from 4th Sept 25 to 7th Sept 25, 29th Oct 25 to 2nd Nov 25, 21st Oct 24 to 27th Oct 24, 30th Oct 24 to 1st Nov 24, 16th April 25 to 20th April 25</t>
  </si>
  <si>
    <t>6982f9eb10e9cccd6ebbf1d7</t>
  </si>
  <si>
    <t>Scent Event - Off - Recent CX (5_Feb)</t>
  </si>
  <si>
    <t>Offline customers who have purchased in the last 80 days with Cat L2 Fragrances AND Exclude Custom Segment :- Scent_Event_Purchasers_Off OR Loyal</t>
  </si>
  <si>
    <t>6982fafd3055297caa57bad3</t>
  </si>
  <si>
    <t>Scent Event - Off - Loyal CX (5_Feb)</t>
  </si>
  <si>
    <t>Offline Customers who have purchased atleast 2 times in entire date range with L2 Cat as Fragrances AND Exclude Custom Segment :- Scent_Event_Purchasers_Off</t>
  </si>
  <si>
    <t>6982fb81afd5395c29be6b0d</t>
  </si>
  <si>
    <t>Scent Event - Off - Lingerie CX (5_Feb)</t>
  </si>
  <si>
    <t>Offline customers who have purchased Lingerie more than 3999 AND Exclude Custom Segment :- Scent_Event_Purchasers_Off OR Loyal, Recent</t>
  </si>
  <si>
    <t>6982fc24b774df758a318045</t>
  </si>
  <si>
    <t>Scent Event - Off - BTY CX (5_Feb)</t>
  </si>
  <si>
    <t>Offline customers who have purchased Personal Care whose LTV greater than 3000 AND Exclude Custom Segment :- Scent_Event_Purchasers_Off OR Loyal, Recent, Sub- Category Movers</t>
  </si>
  <si>
    <t>6982fc8fe8cbe4fb14bd2c6c</t>
  </si>
  <si>
    <t>Scent Event - Off - Generic CX (5_Feb)</t>
  </si>
  <si>
    <t>Offline customers who have purchased in entire date range AND Exclude Custom Segment :- Scent_Event_Purchasers_Off OR Loyal, Recent, Sub- Category Movers, Category Movers</t>
  </si>
  <si>
    <t>698301496dc25a64e102859e</t>
  </si>
  <si>
    <t>Scent Event - Event-CX - 5_Feb On - FB (WA+RCS)</t>
  </si>
  <si>
    <t>698324132d346a3fd683de21</t>
  </si>
  <si>
    <t>Scent Event - Recent-CX - 5_Feb On - FB (WA+RCS)</t>
  </si>
  <si>
    <t>698324c410e9cccd6ebc00c3</t>
  </si>
  <si>
    <t>Scent Event - Loyal-CX - 5_Feb On - FB (WA+RCS)</t>
  </si>
  <si>
    <t>698325376a7cec4e02d4edba</t>
  </si>
  <si>
    <t>Scent Event - Lingerie-CX - 5_Feb On - FB (WA+RCS)</t>
  </si>
  <si>
    <t>698325eb49016a5c60258846</t>
  </si>
  <si>
    <t>Scent Event - BTY-CX - 5_Feb On - FB (WA+RCS)</t>
  </si>
  <si>
    <t>69832660696c86ffc0f475a9</t>
  </si>
  <si>
    <t>Scent Event - Generic- 5_Feb On - FB (WA+RCS)</t>
  </si>
  <si>
    <t>698326c6b426d844b0d1e4c3</t>
  </si>
  <si>
    <t>Scent Event - Event-CX - 5_Feb Off - FB (RCS+WA)</t>
  </si>
  <si>
    <t>69832e217471a223ca33db27</t>
  </si>
  <si>
    <t>Scent Event - Recent-CX - 5_Feb Off - FB (RCS+WA)</t>
  </si>
  <si>
    <t>69832eaa1fe9c0f2a46b5aca</t>
  </si>
  <si>
    <t>Scent Event - Loyal-CX - 5_Feb Off - FB (WA+RCS)</t>
  </si>
  <si>
    <t>69832fdde8cbe4fb14bd3bcb</t>
  </si>
  <si>
    <t>Scent Event - Lingerie-CX - 5_Feb Off - FB (WA+RCS)</t>
  </si>
  <si>
    <t>698332cf6b8c8f395d8b9263</t>
  </si>
  <si>
    <t>Scent Event - BTY-CX - 5_Feb Off - FB (WA+RCS)</t>
  </si>
  <si>
    <t>69833315efe083ca63ed1c27</t>
  </si>
  <si>
    <t>Scent Event - Genric - 5_Feb Off - FB (WA+RCS)</t>
  </si>
  <si>
    <t>6983334092fa9ffbdab36eb2</t>
  </si>
  <si>
    <t>bbw_eabc899_5.2_genRCS</t>
  </si>
  <si>
    <t>Generic2025_ON</t>
  </si>
  <si>
    <t>Online customers who have shopped Body Care, Candle, Travel Size, Soaps and Sanitisers in 2025 and online</t>
  </si>
  <si>
    <t>69846dd59a81de895c66b5a4</t>
  </si>
  <si>
    <t>bbw_eabc899_5.2_churRCS</t>
  </si>
  <si>
    <t>Churned2024_ON</t>
  </si>
  <si>
    <t>Online customers who have shopped Body Care, Candle, Travel Size, Soaps and Sanitisers in 2024 but not after that</t>
  </si>
  <si>
    <t>69846efe58b9b2d7a27b55a4</t>
  </si>
  <si>
    <t>bbw_stbc899_6.2_discshopWAv4</t>
  </si>
  <si>
    <t>Loyal&amp;DiscountShoppers_OFF</t>
  </si>
  <si>
    <t>Offline customer who has purchased 2 times, Body Care in Order_Net_Value Less than 1000 OR Candles at 50% off or Travel Size, Soaps and Sanitisers whose Order_Net_Value is less than 1000</t>
  </si>
  <si>
    <t>6th Feb - 8th Feb</t>
  </si>
  <si>
    <t>69859ed25d79af71e05efbf9</t>
  </si>
  <si>
    <t>bbw_stbc899_6.2_recWAv3</t>
  </si>
  <si>
    <t>Recent100Days_OFF OR AGIPL_Internal OR BBW_Internal</t>
  </si>
  <si>
    <t>Offline customers who have purchased Body Care, Candle, and Travel Size, Soaps and Sanitizers in last 100 days</t>
  </si>
  <si>
    <t>69859f05c5228ddc1576b16f</t>
  </si>
  <si>
    <t>bbw_eabc899_5.2_genRCSb</t>
  </si>
  <si>
    <t>69846e9915bc8630d60a3be0</t>
  </si>
  <si>
    <t>bbw_eabc899_5.2_churRCSfb</t>
  </si>
  <si>
    <t>69846f1c6e26f74e83c802b9</t>
  </si>
  <si>
    <t>bbw_stbc899_6.2_genRCSfb</t>
  </si>
  <si>
    <t>Generic2025_OFF</t>
  </si>
  <si>
    <t>69848ecf5d21df1335287bec</t>
  </si>
  <si>
    <t>bbw_stbc899_6.2_churRCSfb</t>
  </si>
  <si>
    <t>Churned2024_OFF</t>
  </si>
  <si>
    <t>69848f1731ca65627a5b24bc</t>
  </si>
  <si>
    <t>bbw_stbc899_6.2_recWAv2fb</t>
  </si>
  <si>
    <t>Recent100Days_OFF
+ AGIPL_Internal
+ BBW_Internal</t>
  </si>
  <si>
    <t>698597b7076303671d084617</t>
  </si>
  <si>
    <t>bbw_stbc899_6.2_discshopWAv2fb</t>
  </si>
  <si>
    <t>698598d1a425e13d8c8a61ba</t>
  </si>
  <si>
    <t>bbw_stbc899_6.2_genRCS</t>
  </si>
  <si>
    <t>Offline customers who have shopped Body Care, Candle, Travel Size, Soaps and Sanitisers in 2025</t>
  </si>
  <si>
    <t>69848eab8eb0018069d4e5e7</t>
  </si>
  <si>
    <t>bbw_stbc899_6.2_churRCS</t>
  </si>
  <si>
    <t>Offline customers who have shopped Body Care, Candle, Travel Size, Soaps and Sanitisers in 2024 but not after that</t>
  </si>
  <si>
    <t>69848ef78eb0018069d4e62d</t>
  </si>
  <si>
    <t>Valentines day</t>
  </si>
  <si>
    <t>VD Collection</t>
  </si>
  <si>
    <t>PLP_View_NoPr_On OR Event_Gifters_Val_OnOff OR Event_Buyers_Val_Rak_Wom_OnOff OR OnOff_Men_Gift OR OnOff_Men_Predom OR AGIPL_Internal</t>
  </si>
  <si>
    <t>Online customers who have viewed products (Cat: Women) in the last 14 days but have not made a purchase
Customers who have purchased during 8th Feb 2023 to 15th Feb 2023, 8th Feb 2024 to 15th Feb 2024 ,8th Feb 2025 to 15th Feb 2025 have predominantly purchased from Gender Men and have purchased at least once from Gender Women And exclude custom segment :- PLP_View_NoPr_On
Customers who have purchased during 8th Feb 2023 to 15th Feb 2023, 8th Feb 2024 to 15th Feb 2024 ,8th Feb 2025 to 15th Feb 2025, 17th Aug 2023 to 24th Aug 2023, 13th Aug 2024 to 20th Aug 2024, 5th Aug 2025 to 10th AUg 2025, 2nd Mar 2023 to 9th Mar 2023 , 2nd Mar 2024 to 9th Mar 2024, 2nd Mar 2025 to 9th Mar 2025 AND Exclude Custom Segment :- Event_Gifters_Val_OnOff OR PLP_View_NoPr_On
Customers who have predominantly purchased from Gender Men and have purchased at least once from Gender Women in last 3 Years AND Exclude Custom Segment :- Event_Gifters_Val_OnOff OR PLP_View_NoPr_On OR Event_Buyers_Val_Rak_Wom_OnOff
Customers who have predominantly purchased from Gender Men (excluding MenGifters) AND Exclude Custom Segment :- Event_Gifters_Val_OnOff OR PLP_View_NoPr_On OR Event_Buyers_Val_Rak_Wom_OnOff OR OnOff_Men_Gift</t>
  </si>
  <si>
    <t>7th- 15th February 2026</t>
  </si>
  <si>
    <t>6985fa7f71348ab96deb9bac</t>
  </si>
  <si>
    <t>ALDO VD</t>
  </si>
  <si>
    <t>6985faa2431da1fb3ed06bd6</t>
  </si>
  <si>
    <t>6985faccf7a5dcffcb876d2b</t>
  </si>
  <si>
    <t>Scent Event - Event-CX - 7_Feb On+Off - FB</t>
  </si>
  <si>
    <t>Scent_Event_Purchasers_OnOff</t>
  </si>
  <si>
    <t>07th - 08th Feb</t>
  </si>
  <si>
    <t>69847bd73a42a186689edb2c</t>
  </si>
  <si>
    <t>69847c899a30dc7ea6c9924b</t>
  </si>
  <si>
    <t>69847cfb2139c2c78311eadb</t>
  </si>
  <si>
    <t>69847d872139c2c78311eb6a</t>
  </si>
  <si>
    <t>69847e2c8f61b38da4941d58</t>
  </si>
  <si>
    <t>vs_onoff_pr_gen_2ndFeb</t>
  </si>
  <si>
    <t>69847ea5a852b93558c2dd19</t>
  </si>
  <si>
    <t>Scent Event - Event CX - 7_Jan (On+Off)</t>
  </si>
  <si>
    <t>No Brief</t>
  </si>
  <si>
    <t>69846e879a81de895c66b5fa</t>
  </si>
  <si>
    <t>Scent Event - Recent CX - 7_Jan (On+Off)</t>
  </si>
  <si>
    <t>vs_onoff_pr_frag_recent_2ndFeb</t>
  </si>
  <si>
    <t>69846ef79d4e50d549cae590</t>
  </si>
  <si>
    <t>Scent Event - Loyal CX - 7_Jan (On+Off)</t>
  </si>
  <si>
    <t>vs_onoff_pr_frag_loyal_2ndFeb</t>
  </si>
  <si>
    <t>698470508311aea3f5fa90b8</t>
  </si>
  <si>
    <t>Scent Event - Lingerie CX - 7_Jan (On+Off)</t>
  </si>
  <si>
    <t>vs_onoff_subcatmov_2ndFeb</t>
  </si>
  <si>
    <t>698470bcf314309edb57792e</t>
  </si>
  <si>
    <t>Scent Event - BTY CX - 7_Jan (On+Off)</t>
  </si>
  <si>
    <t>vs_onoff_pr_catmov_2ndFeb</t>
  </si>
  <si>
    <t>698471359d4e50d549cae6b7</t>
  </si>
  <si>
    <t>Scent Event - Generic CX - 7_Jan (On+Off)</t>
  </si>
  <si>
    <t>6984718f8ad2831dddba4a73</t>
  </si>
  <si>
    <t>Scent Event - Event-CX - 7_Feb Off - FB (RCS+WA)</t>
  </si>
  <si>
    <t>69847c0907fce80f2156f884</t>
  </si>
  <si>
    <t>Scent Event - Recent-CX - 7_Feb Off - FB (RCS+WA)</t>
  </si>
  <si>
    <t>69847cac46e21bf6a8de4726</t>
  </si>
  <si>
    <t>Scent Event - Loyal-CX - 7_Feb Off - FB (WA+RCS)</t>
  </si>
  <si>
    <t>69847d31817245fd0a261807</t>
  </si>
  <si>
    <t>Scent Event - Lingerie-CX - 7_Feb Off - FB (WA+RCS)</t>
  </si>
  <si>
    <t>69847da746e21bf6a8de47ba</t>
  </si>
  <si>
    <t>Scent Event - BTY-CX - 7_Feb Off - FB (WA+RCS)</t>
  </si>
  <si>
    <t>69847e44482315bd7b475855</t>
  </si>
  <si>
    <t>Scent Event - Genric - 7_Feb Off - FB (WA+RCS)</t>
  </si>
  <si>
    <t>69847ebfecdc20fe30c514c5</t>
  </si>
  <si>
    <t>Valentine's Day</t>
  </si>
  <si>
    <t>V-Day collection_6th Jan_1_Fallback</t>
  </si>
  <si>
    <t>ck_off_pr_recent_6thFeb OR CK_Online_Base_1jan_17nov OR ck_on_pr_last_36mnths_gen_25_Nov OR AGIPL_Internal</t>
  </si>
  <si>
    <t>7th feb- 14th feb</t>
  </si>
  <si>
    <t>6985e35a3fd7ec5762f0a1d3</t>
  </si>
  <si>
    <t>V-Day collection_6th Jan_2_Fallback</t>
  </si>
  <si>
    <t>ck_off_pr_dormant_6thFeb</t>
  </si>
  <si>
    <t>6985e3e8aed98f679d1f6ab1</t>
  </si>
  <si>
    <t>V-Day collection_6th Jan_3_Fallback</t>
  </si>
  <si>
    <t>ck_off_pr_Order_Net_val_6thFeb</t>
  </si>
  <si>
    <t>no brief</t>
  </si>
  <si>
    <t>6985e449bda2ccd016ebecdf</t>
  </si>
  <si>
    <t>V-Day collection_6th Jan_1</t>
  </si>
  <si>
    <t>Offline customers who have purchased atleast 1 time in the last 91 days Exclude Custom Segment :- Full Price Shopper</t>
  </si>
  <si>
    <t>6985e284f7a5dcffcb876844</t>
  </si>
  <si>
    <t>V-Day collection_6th Jan_2</t>
  </si>
  <si>
    <t>Offline customers who have not purchased in the last 91 days but have purchased in the last 36 months and Exclude custom segment :- Full Price Shopper</t>
  </si>
  <si>
    <t>6985e2ac2b7701caa72b17ee</t>
  </si>
  <si>
    <t>V-Day collection_6th Jan_3</t>
  </si>
  <si>
    <t>Offline customers who have purchased with Order_Net_Value is greater than 14999 ANd Exclude Customers who have purchased in the last 91 days</t>
  </si>
  <si>
    <t>6985e2e6dfcf880b14e220c8</t>
  </si>
  <si>
    <t>bbw_ldbc899_6.2_discshop</t>
  </si>
  <si>
    <t>Loyal&amp;DiscountShoppers_OFF OR Loyal&amp;DiscountShoppers_ON</t>
  </si>
  <si>
    <t>Offline customer who has purchased 2 times, Body Care in Order_Net_Value Less than 1000 OR Candles at 50% off or Travel Size, Soaps and Sanitisers whose Order_Net_Value is less than 1000.   Online customers who have purchased Body Care, Candle, and Travel Size, Soaps and Sanitisers in last 100 days</t>
  </si>
  <si>
    <t>8th Feb (1 Day)</t>
  </si>
  <si>
    <t>6985d1f3735a36d0a94ca98d</t>
  </si>
  <si>
    <t>bbw_ldbc899_8.2_rec</t>
  </si>
  <si>
    <t>Recent100Days_OFF OR Recent100Days_ON OR AGIPL_Internal OR BBW_Internal</t>
  </si>
  <si>
    <t>Online customers who have purchased Body Care, Candle, and Travel Size, Soaps and Sanitisers in last 100 days.  Offline customers who have purchased Body Care, Candle, and Travel Size, Soaps and Sanitizers in last 100 days</t>
  </si>
  <si>
    <t>6985d20c735a36d0a94ca9a4</t>
  </si>
  <si>
    <t>bbw_ldbc899_8.2_gen</t>
  </si>
  <si>
    <t>Generic2025_OFF OR Generic2025_ON</t>
  </si>
  <si>
    <t>Online customers who have shopped Body Care, Candle, Travel Size, Soaps and Sanitisers in 2025 and online. Offline customers who have shopped Body Care, Candle, Travel Size, Soaps and Sanitisers in 2025</t>
  </si>
  <si>
    <t>6985d226dc2ea6aab7ba94dc</t>
  </si>
  <si>
    <t>bbw_ldbc899_8.2_chur</t>
  </si>
  <si>
    <t>Churned2024_ONOFF</t>
  </si>
  <si>
    <t>Offline customers who have shopped Body Care, Candle, Travel Size, Soaps and Sanitisers in 2024 but not after that. Online customers who have shopped Body Care, Candle, Travel Size, Soaps and Sanitisers in 2024 but not after that</t>
  </si>
  <si>
    <t>6985d64a5d230ee6baf27792</t>
  </si>
  <si>
    <t>Body care</t>
  </si>
  <si>
    <t>bbw_oebc999_loyalWA</t>
  </si>
  <si>
    <t>BodyCare_Loyal1099_ON</t>
  </si>
  <si>
    <t>Online Customers who have purchased Body Care at least 3 times AND Excluding Full Price shoppers</t>
  </si>
  <si>
    <t>9th Feb - 12th Feb</t>
  </si>
  <si>
    <t>6989b9196abf6764f3abed76</t>
  </si>
  <si>
    <t>bbw_oebc999_fullprWA</t>
  </si>
  <si>
    <t>BodyCare_FullPrice1099_ON OR AGIPL_Internal OR BBW_Internal</t>
  </si>
  <si>
    <t>Online Customers who have shopped Body Care Agg Order_Disc_Val is equal to 0 from Jan 2023 to Feb 2026</t>
  </si>
  <si>
    <t>6989b9214c472255af1889a9</t>
  </si>
  <si>
    <t>bbw_oebc999_fullprWAFB</t>
  </si>
  <si>
    <t>6989beb4d847a505d9abf510</t>
  </si>
  <si>
    <t>bbw_oebc999_loyalWAFB</t>
  </si>
  <si>
    <t>6989c6e57a0b09e45332aff7</t>
  </si>
  <si>
    <t>bbw_oebc999_dormRCSFB</t>
  </si>
  <si>
    <t>BodyCare_Dormant1099_ON</t>
  </si>
  <si>
    <t>6989cb568e8c05b642d0ed98</t>
  </si>
  <si>
    <t>bbw_oebc999_recRCSFB</t>
  </si>
  <si>
    <t>BodyCare_Recent1099_ON</t>
  </si>
  <si>
    <t>6989cbf533fa86b3aa52d6d9</t>
  </si>
  <si>
    <t>bbw_oebc999_dormRCS</t>
  </si>
  <si>
    <t>Online Customers who have shopped in 2025 but not in recent time AND Excluding Full Price, Loyal nd Recent</t>
  </si>
  <si>
    <t>6989c72f738788e23808b1d8</t>
  </si>
  <si>
    <t>bbw_oebc999_recRCS</t>
  </si>
  <si>
    <t>Online Customers who have purchased Body Care in the last 100 days AND Exclusing Full Price and Loyal</t>
  </si>
  <si>
    <t>698c099308eba6009909febf</t>
  </si>
  <si>
    <t>Valentines Day Campaign - V-Day CX</t>
  </si>
  <si>
    <t>Valentine_Buyers_OnOff OR AGIPL_Internal</t>
  </si>
  <si>
    <t>Customers who have purchased between Feb 10-14, 2023; Feb 6-14, 2024; Feb 6-14, 2025</t>
  </si>
  <si>
    <t>10th - 14th Feb</t>
  </si>
  <si>
    <t>698ad71f0fdc522aa7863245</t>
  </si>
  <si>
    <t>Valentines Day Campaign - Full Price CX</t>
  </si>
  <si>
    <t>VS_Map_FullPriceUsers</t>
  </si>
  <si>
    <t>Customer who have purchased at full price in last 36 months</t>
  </si>
  <si>
    <t>698ad79f7614b06d5400bab2</t>
  </si>
  <si>
    <t>Valentines Day Campaign - Loyal CX</t>
  </si>
  <si>
    <t>Loyal_9-Feb-26</t>
  </si>
  <si>
    <t>Customers who have purchased at least 3 times in the last 36 months</t>
  </si>
  <si>
    <t>698ad7e37bca44101928b278</t>
  </si>
  <si>
    <t>Valentines Day Campaign - Active CX</t>
  </si>
  <si>
    <t>Active_9-Feb-26</t>
  </si>
  <si>
    <t>Customers who have purchased once in TTR (86 days)</t>
  </si>
  <si>
    <t>698ad8348bc5e08558b92ae6</t>
  </si>
  <si>
    <t>Valentines Day Campaign - V-Day CX FB</t>
  </si>
  <si>
    <t>698ad762b67c908536f3857e</t>
  </si>
  <si>
    <t>Valentines Day Campaign - Full Price CX FB</t>
  </si>
  <si>
    <t>698ad7b967a5784e22fdf3cc</t>
  </si>
  <si>
    <t>Valentines Day Campaign - Loyal CX FB</t>
  </si>
  <si>
    <t>698ad805b67c908536f385a8</t>
  </si>
  <si>
    <t>Valentines Day Campaign - Active CX FB</t>
  </si>
  <si>
    <t>698ad858bf126346c6d40beb</t>
  </si>
  <si>
    <t>ALDO VD 1</t>
  </si>
  <si>
    <t>PLP_View_NoPr_On</t>
  </si>
  <si>
    <t>Online customers who have viewed products (Cat: Women) in the last 14 days but have not made a purchase</t>
  </si>
  <si>
    <t>PLP View_but no purchase</t>
  </si>
  <si>
    <t>11th Feb - 15th Feb</t>
  </si>
  <si>
    <t>698c74195757ac0c8548334a</t>
  </si>
  <si>
    <t>ALDO VD 2</t>
  </si>
  <si>
    <t>Event_Gifters_Val_OnOff_Cities</t>
  </si>
  <si>
    <t>Customers who have purchased during Valentines Week, (2023-2025), have predominantly purchased from Gender Men and have purchased at least once from Gender Women with Txn_City contains Bengaluru, Bangalore, Banglore, Mumbai, Gurgaon, Gurgoan, Thana, Thane, Noida, Delhi, Banagalore</t>
  </si>
  <si>
    <t>Men Gifters Valentine Event</t>
  </si>
  <si>
    <t>698c742255344233133ec4b5</t>
  </si>
  <si>
    <t>ALDO VD 3</t>
  </si>
  <si>
    <t>Event_Buyers_Val_Rak_Wom_OnOff_Cities</t>
  </si>
  <si>
    <t>Customers who have purchased during Valentines Week, Womens Day Week, Rakhi Week in Last 3 Years (2023-2025) with Txn_City contains Bengaluru, Bangalore, Banglore, Mumbai, Gurgaon, Gurgoan, Thana, Thane, Noida, Delhi, Banagalore</t>
  </si>
  <si>
    <t>698c74351bb76b2b8d49a2f4</t>
  </si>
  <si>
    <t>ALDO VD 4</t>
  </si>
  <si>
    <t>OnOff_Men_Gift_Cities</t>
  </si>
  <si>
    <t>Customers who have predominantly purchased from Gender Men and have purchased at least once from Gender Women in last 3 Years with Txn_City contains Bengaluru, Bangalore, Banglore, Mumbai, Gurgaon, Gurgoan, Thana, Thane, Noida, Delhi, Banagalore</t>
  </si>
  <si>
    <t>MenGifters</t>
  </si>
  <si>
    <t>698c74444a16c58822531741</t>
  </si>
  <si>
    <t>ALDO VD 5</t>
  </si>
  <si>
    <t>OnOff_Men_Predom_Cities</t>
  </si>
  <si>
    <t>Customers who have predominantly purchased from Gender Men (excluding MenGifters) with Txn_City contains Bengaluru, Bangalore, Banglore, Mumbai, Gurgaon, Gurgoan, Thana, Thane, Noida, Delhi, Banagalore</t>
  </si>
  <si>
    <t>Predom Men</t>
  </si>
  <si>
    <t>698c7452c2fe8be2a15f6723</t>
  </si>
  <si>
    <t>VD SMS 1</t>
  </si>
  <si>
    <t>698c785d5e843a07e810562f</t>
  </si>
  <si>
    <t>VD SMS 2</t>
  </si>
  <si>
    <t>698c78d11ed7537aaa57688c</t>
  </si>
  <si>
    <t>VD SMS 3</t>
  </si>
  <si>
    <t>698c7922d823eaf7e26c2c5b</t>
  </si>
  <si>
    <t>VD SMS 4</t>
  </si>
  <si>
    <t>698c79849254122943ef0140</t>
  </si>
  <si>
    <t>VD SMS 5</t>
  </si>
  <si>
    <t>698c79f557bcf0c517852ba7</t>
  </si>
  <si>
    <t>bbw_vdayedit11.2_loyalWA</t>
  </si>
  <si>
    <t>Loyal_BC_GiftSets_LipCare_OnOff OR AGIPL_Internal OR BBW_Internal</t>
  </si>
  <si>
    <t>Customers who have purchased atleast 2 times from Cat L2 as Body Care, Lip Care and Gift Sets AND Excluding Full Price Shopper</t>
  </si>
  <si>
    <t>698c06dc79a569402e94f55e</t>
  </si>
  <si>
    <t>bbw_vdayedit11.2_fullPRWA</t>
  </si>
  <si>
    <t>Full_Price_BC_Giftsets_LipCare</t>
  </si>
  <si>
    <t>Customers who have purchased Cat L2 LipCare, Body Care, Giftsets with Agg Order_Disc_Val I equal to 0</t>
  </si>
  <si>
    <t>698c06e3efd9f09de39ff882</t>
  </si>
  <si>
    <t>bbw_vdayedit11.2_fullPRWAFB</t>
  </si>
  <si>
    <t>698c0ca21cbd7d09b85ef7db</t>
  </si>
  <si>
    <t>bbw_vdayedit11.2_loyalWAFB</t>
  </si>
  <si>
    <t>698c0d1674ed5cad00864212</t>
  </si>
  <si>
    <t>bbw_vdayedit11.2_eventbuyRCSFB</t>
  </si>
  <si>
    <t>Valentine_Buyers_OnOff</t>
  </si>
  <si>
    <t>698c0d74e253ff0b4767fdd5</t>
  </si>
  <si>
    <t>bbw_vdayedit11.2_recRCSFB</t>
  </si>
  <si>
    <t>Recent_BC_Gifsets_Lipcare_OnOff</t>
  </si>
  <si>
    <t>698c0e1ac858765e7b397820</t>
  </si>
  <si>
    <t>bbw_vdayedit11.2_recRCS</t>
  </si>
  <si>
    <t>Customers who have purchased atleat 1 time in the last 90 days with Cat L2 contains Lip Care, Body Care and Giftsets AND Excluding Full Price, Loyal, Event Buyers</t>
  </si>
  <si>
    <t>bbw_vdayedit11.2_eventbuyRCS</t>
  </si>
  <si>
    <t>Customers who have purchased from 10th Feb 2023 to 14th Feb 2023 , 6th Feb 2024 to 14th Feb 2024, 6th Feb 2025 to 14th Feb 2025 AND Excluding Full Price and Loyal</t>
  </si>
  <si>
    <t>698c098bfcccbe4c631fdb47</t>
  </si>
  <si>
    <t>Flash Sale 12Feb - Discount CX</t>
  </si>
  <si>
    <t>DiscountShoppers_Flat50%_Jan2026_On</t>
  </si>
  <si>
    <t>Online customers who have purchased greater then 50% Off</t>
  </si>
  <si>
    <t>12th - 14th Feb</t>
  </si>
  <si>
    <t>698da3da19558c0dff4144f6</t>
  </si>
  <si>
    <t>Flash Sale 12Feb - Recent CX</t>
  </si>
  <si>
    <t>Predom_RecentApparel_Jan2026_On</t>
  </si>
  <si>
    <t>Online customers predominantely Purchasing Apparel in the last 90 days</t>
  </si>
  <si>
    <t>698da5161e7680b1312de33a</t>
  </si>
  <si>
    <t>Flash Sale 12Feb - Repeat CX</t>
  </si>
  <si>
    <t>RepeatApparel_Jan2026_On</t>
  </si>
  <si>
    <t>Online customers who have purchased atleast 2 times Apparel</t>
  </si>
  <si>
    <t>698da569a8b1da1f41e7d815</t>
  </si>
  <si>
    <t>Flash Sale 12Feb - Event BTY CX</t>
  </si>
  <si>
    <t>Beauty_SaleDay_Buyers_NoPur_Ling_On</t>
  </si>
  <si>
    <t>Online Beauty Customers who have purchased on BFS and SAS days and has not purchased Lingerie Exlcuding above 4 segments</t>
  </si>
  <si>
    <t>698da5b71e7680b1312de36f</t>
  </si>
  <si>
    <t>bbw_vdayb2g212.2_eventbuyWA</t>
  </si>
  <si>
    <t>B2G2_EventBuyers2025_ON OR AGIPL_Internal OR BBW_Internal</t>
  </si>
  <si>
    <t>Online customers who have purchased in 26th July to 27th July, 6th Aug - 10th Aug, 15th Aug - 17th Aug, 18th Oct - 22nd Oct, 22nd Jan 26th Jan</t>
  </si>
  <si>
    <t>12th Feb - 15th Feb</t>
  </si>
  <si>
    <t>698d957a76b689f1d2c1fced</t>
  </si>
  <si>
    <t>bbw_vdayb2g212.2_repeatWA</t>
  </si>
  <si>
    <t>Online customers who have purchased atleast 2 times in the last 1 year AND Excluding B2G2 Event Buyers</t>
  </si>
  <si>
    <t>698d95b53401f7c7c0e49669</t>
  </si>
  <si>
    <t>bbw_vdayb2g212.2_eventbuyWAFB</t>
  </si>
  <si>
    <t>698d9595c46504f83dbccb20</t>
  </si>
  <si>
    <t>bbw_vdayb2g212.2_repeatWAFB</t>
  </si>
  <si>
    <t>698d95cfe1a8d382a584f3c2</t>
  </si>
  <si>
    <t>bbw_vdayb2g212.2_recRCSFB</t>
  </si>
  <si>
    <t>B2G2_Recent89_ON</t>
  </si>
  <si>
    <t>698dacf801a8ede429c921cf</t>
  </si>
  <si>
    <t>bbw_vdayb2g212.2_recRCS</t>
  </si>
  <si>
    <t>Online customers who have purchased in the last 89 days AND Excluding B2G2 Event Buyers and Repeat Buyers</t>
  </si>
  <si>
    <t>698daccca49f2fcc3e366525</t>
  </si>
  <si>
    <t>Flash Sale 12Feb - Discount CX - FB</t>
  </si>
  <si>
    <t>13th - 14th Feb</t>
  </si>
  <si>
    <t>698daa1c1e7680b1312de567</t>
  </si>
  <si>
    <t>Flash Sale 12Feb - Recent CX - FB</t>
  </si>
  <si>
    <t>698daa7a2f48c4d75f0a0816</t>
  </si>
  <si>
    <t>Flash Sale 12Feb - Event BTY CX - FB</t>
  </si>
  <si>
    <t>698dad43f40687b35d2b5f1f</t>
  </si>
  <si>
    <t>Flash Sale 12Feb - Repeat CX -FB</t>
  </si>
  <si>
    <t>698daec5530dbea5637998bb</t>
  </si>
  <si>
    <t>Flash Sale 12Feb - Discount CX SMS FB</t>
  </si>
  <si>
    <t>698db57f19558c0dff414d7c</t>
  </si>
  <si>
    <t>Flash Sale 12Feb - Recent CX - SMS FB</t>
  </si>
  <si>
    <t>698db66ee8a61e6a16e87989</t>
  </si>
  <si>
    <t>Flash Sale 12Feb - Event BTY CX - SMS FB</t>
  </si>
  <si>
    <t>698db6e929c2bd8123dea848</t>
  </si>
  <si>
    <t>Flash Sale 12Feb - Repeat CX - SMS FB</t>
  </si>
  <si>
    <t>698db7ed8b2c3db3b5e6942b</t>
  </si>
  <si>
    <t>Last EOSS Comms</t>
  </si>
  <si>
    <t>rnb_off_pr_EOSSlastcall_11thFeb</t>
  </si>
  <si>
    <t>Customer who have purchased till 8th Feb 2026 from the stores 1296, 1258, 1300, RB025, 1281</t>
  </si>
  <si>
    <t>13th to 15th Feb</t>
  </si>
  <si>
    <t>698d737b8b2c3db3b5e67a29</t>
  </si>
  <si>
    <t>Fall Back_Last EOSS Comms</t>
  </si>
  <si>
    <t>698d739c29c2bd8123de8e78</t>
  </si>
  <si>
    <t>V-Day GWP promo_14th Feb-1</t>
  </si>
  <si>
    <t>14th-16th Feb</t>
  </si>
  <si>
    <t>698f2721609e6d3a70f9ff0b</t>
  </si>
  <si>
    <t>V-Day GWP promo_14th Feb-2</t>
  </si>
  <si>
    <t>698f27344220e2515b9856bb</t>
  </si>
  <si>
    <t>V-Day GWP promo_14th Feb-3</t>
  </si>
  <si>
    <t>High Order Net Val&gt;14999</t>
  </si>
  <si>
    <t>698f2747e610a066c9908ec1</t>
  </si>
  <si>
    <t>bbw_15.2_ldB2G2_eventbuy</t>
  </si>
  <si>
    <t>15th Feb</t>
  </si>
  <si>
    <t>698db25f0e3d400bac4a64ff</t>
  </si>
  <si>
    <t>bbw_15.2_ldB2G2_rep</t>
  </si>
  <si>
    <t>698db27c08a0b5d8066c41ee</t>
  </si>
  <si>
    <t>bbw_15.2_ldB2G2_rec</t>
  </si>
  <si>
    <t>698db28f79f831b517e3eb64</t>
  </si>
  <si>
    <t>bbw_16.2ffmsg899_predomWA</t>
  </si>
  <si>
    <t>AGIPL_Internal OR BBW_Internal OR Predom_Mist_ShowerGel_18months_On</t>
  </si>
  <si>
    <t>Online customers who are predominantly buying L3 Mist , SHower Gel in the last 18 months</t>
  </si>
  <si>
    <t>Predominantly Mist, Shower Gel Buyers</t>
  </si>
  <si>
    <t>16th Feb - 18th Feb</t>
  </si>
  <si>
    <t>698edbf9831115de40b972c1</t>
  </si>
  <si>
    <t>bbw_16.2ffmsg899_predomWAFB</t>
  </si>
  <si>
    <t>698edcbe6235cc8a02235d81</t>
  </si>
  <si>
    <t>bbw_16.2ffmsg899_repSMS</t>
  </si>
  <si>
    <t>Repeat_Mist_ShowerGel_On</t>
  </si>
  <si>
    <t>Online customers purchasing Cat L3 Mist, Shower Gel atleast 2 times in the entire date range AND Excluding Predom Mist, Shower Gel Buyers</t>
  </si>
  <si>
    <t>698edd2d6235cc8a02235da3</t>
  </si>
  <si>
    <t>bbw_16.2ffmsg899_avgSMS</t>
  </si>
  <si>
    <t>OrderNet_LessThan1000_Mist_ShowerGel_On</t>
  </si>
  <si>
    <t>Online Customers whose Agg Order_Net_Val is less than 1000 and whose Cat L3 is Mist, Shower Gel</t>
  </si>
  <si>
    <t>Agg Order Net Val &lt;1000</t>
  </si>
  <si>
    <t>698eddafdc6a955634e8b6a6</t>
  </si>
  <si>
    <t>B1G1</t>
  </si>
  <si>
    <t>bbw_oemenathf_b1g1atc_WA</t>
  </si>
  <si>
    <t>AddToCart_NotPurchased_Last60Days OR AGIPL_Internal OR BBW_Internal</t>
  </si>
  <si>
    <t>Customers who have done Add To Cart but have not purchased in last 60 days category Candles, Hand Cleansers, Air Fresheners, Mens, Wallflowers, Wellness</t>
  </si>
  <si>
    <t>Add TO Cart Event</t>
  </si>
  <si>
    <t>18th Feb to 20th Feb</t>
  </si>
  <si>
    <t>6995a215823c420e9ab8a64d</t>
  </si>
  <si>
    <t>bbw_oemenathf_b1g1view_WA</t>
  </si>
  <si>
    <t>ViewItemList_Last30Days</t>
  </si>
  <si>
    <t>Customers who have view the item in the last 30 days Candles, Hand Cleansers, Air Fresheners, Mens, Wallflowers, Wellness</t>
  </si>
  <si>
    <t>View Item Event</t>
  </si>
  <si>
    <t>6995a24dbb49fbdddaf67054</t>
  </si>
  <si>
    <t>bbw_oemenathf_b1g1eventbuy_WA</t>
  </si>
  <si>
    <t>B1G1_EventBuyers_ON</t>
  </si>
  <si>
    <t>Customers who have purchased in 2025 B1G1 events in past and channel online</t>
  </si>
  <si>
    <t>6995a29027955f4552dea4c7</t>
  </si>
  <si>
    <t>bbw_oemenathf_b1g1predom_rcs</t>
  </si>
  <si>
    <t>B1G1_PreCatBuyers_ON</t>
  </si>
  <si>
    <t>Customers who predominantly buys Living Accessories, Mens, Aromatheraphy</t>
  </si>
  <si>
    <t>Predominant LA, Mens, Aroma</t>
  </si>
  <si>
    <t>69958baa74074406957f6cf0</t>
  </si>
  <si>
    <t>bbw_oemenathf_b1g1repcat_rcs</t>
  </si>
  <si>
    <t>B1G1_RepeatCatBuyers_ON</t>
  </si>
  <si>
    <t>Customers who have purchased atleast 2 times Living Accessories, Mens, Aromatheraphy online</t>
  </si>
  <si>
    <t>69958bd1b18b6198d1d07d8f</t>
  </si>
  <si>
    <t>bbw_oemenathf_b1g1repcat_rcsfb</t>
  </si>
  <si>
    <t>69958c79b17391e0ad2a3798</t>
  </si>
  <si>
    <t>bbw_oemenathf_b1g1predom_rcsfb</t>
  </si>
  <si>
    <t>69958cb4d1924832159731a3</t>
  </si>
  <si>
    <t>bbw_oemenathf_b1g1atc_WAfb</t>
  </si>
  <si>
    <t>6995a24222256119810175a9</t>
  </si>
  <si>
    <t>bbw_oemenathf_b1g1view_WAfb</t>
  </si>
  <si>
    <t>6995a27b823c420e9ab8a658</t>
  </si>
  <si>
    <t>bbw_oemenathf_b1g1eventbuy_WAfb</t>
  </si>
  <si>
    <t>6995a2aec12abc8a4a1cfa22</t>
  </si>
  <si>
    <t>bbw_20.1b2g1_eventbuyWA</t>
  </si>
  <si>
    <t>Event_Buyers-B2G1-Nov25</t>
  </si>
  <si>
    <t>Customers who have purchased between 29 Oct, 2025 - 2 Nov, 2025</t>
  </si>
  <si>
    <t>20th Feb to 22nd Feb</t>
  </si>
  <si>
    <t>69981da8b5c71ba3c7d5f16b</t>
  </si>
  <si>
    <t>bbw_20.1b2g1_loyalWA</t>
  </si>
  <si>
    <t>Loyal_Min3Orders_ON OR BBW_Internal OR AGIPL_Internal</t>
  </si>
  <si>
    <t>Online Customers who have purchased min. 3 orders in last 3 Years</t>
  </si>
  <si>
    <t>69981e6db91bb8255206be6a</t>
  </si>
  <si>
    <t>bbw_20.1b2g1_eventbuyWAFB</t>
  </si>
  <si>
    <t>69981de255a51a58c8f8c621</t>
  </si>
  <si>
    <t>bbw_20.1b2g1_loyalWAFB</t>
  </si>
  <si>
    <t>69981ea04f48b5eaa6789f87</t>
  </si>
  <si>
    <t>bbw_20.1b2g1_discbuyRCS</t>
  </si>
  <si>
    <t>Disc_Buyers_33perc</t>
  </si>
  <si>
    <t>Online Customers who have purchased at &gt;33%off in last 1 Year</t>
  </si>
  <si>
    <t>69981f6150cfbd7d092b8050</t>
  </si>
  <si>
    <t>bbw_20.1b2g1_discbuyRCSFB</t>
  </si>
  <si>
    <t>69981f83c0cf52015f84bdb4</t>
  </si>
  <si>
    <t>bbw_20.1b2g1_churnRCS</t>
  </si>
  <si>
    <t>2024_Churned_18-2-25</t>
  </si>
  <si>
    <t>Online Customers who have purchased in 2024 but have not purchased since 2025</t>
  </si>
  <si>
    <t>69981fcb4ac2f60b4b3d803f</t>
  </si>
  <si>
    <t>bbw_20.1b2g1_churnRCSFB</t>
  </si>
  <si>
    <t>69982001793488003b9163b5</t>
  </si>
  <si>
    <t>Store visit campaigns</t>
  </si>
  <si>
    <t>Store Visit_PMC_Kurla_FB</t>
  </si>
  <si>
    <t>vs_off_txnstd_97009_feb2026</t>
  </si>
  <si>
    <t>20th - 23rd Feb</t>
  </si>
  <si>
    <t>69970a36a831b5238fb09c4a</t>
  </si>
  <si>
    <t>Store_Visit_Inorbit_Malad_FB</t>
  </si>
  <si>
    <t>vs_off_txnstd_97008_feb2026</t>
  </si>
  <si>
    <t>69970aa8344281aee8c391c6</t>
  </si>
  <si>
    <t>Store_Visit_KOPA_Pune_FB</t>
  </si>
  <si>
    <t>vs_off_txnstd_97007_feb2026</t>
  </si>
  <si>
    <t>69970b0ec16e2b203519d85d</t>
  </si>
  <si>
    <t>Store_Visit_MOM_Pune_FB</t>
  </si>
  <si>
    <t>vs_off_txnstd_97005_feb2026</t>
  </si>
  <si>
    <t>69970b62d4db5c25cfa5958a</t>
  </si>
  <si>
    <t>Store_Visit_Ambi_VK_FB</t>
  </si>
  <si>
    <t>vs_off_txnstd_97002_feb2026</t>
  </si>
  <si>
    <t>69970bad7df731a522b2dbd6</t>
  </si>
  <si>
    <t>Store_Visit_Orion_FB</t>
  </si>
  <si>
    <t>vs_off_txnstd_1273_feb2026</t>
  </si>
  <si>
    <t>69970bff344281aee8c391f3</t>
  </si>
  <si>
    <t>Store_Visit_Nexus_Kora_FB</t>
  </si>
  <si>
    <t>vs_off_txnstd_97012_feb2026</t>
  </si>
  <si>
    <t>69970c9e76b7fbf0af3e1e95</t>
  </si>
  <si>
    <t>Store_Visit_Inorbit_HYD_FB</t>
  </si>
  <si>
    <t>vs_off_txnstd_97006_feb2026</t>
  </si>
  <si>
    <t>69970cf4473eb72747cdd2d3</t>
  </si>
  <si>
    <t>Store_Visit_Palassio_LKN_FB</t>
  </si>
  <si>
    <t>vs_off_txnstd_1225_feb2026</t>
  </si>
  <si>
    <t>69970d0596273c8ed71d0345</t>
  </si>
  <si>
    <t>Store_Visit_Nexus_Sujana_HYD_FB</t>
  </si>
  <si>
    <t>vs_off_txnstd_97013_feb2026</t>
  </si>
  <si>
    <t>69970d42d14ad9974db416c1</t>
  </si>
  <si>
    <t>Store_Visit_Lulu_Kochi_FB</t>
  </si>
  <si>
    <t>vs_off_txnstd_97011_feb2026</t>
  </si>
  <si>
    <t>69970d53e5eeeb427dc25580</t>
  </si>
  <si>
    <t>Store_Visit_EA_Chennai_FB</t>
  </si>
  <si>
    <t>vs_off_txnstd_1252_feb2026</t>
  </si>
  <si>
    <t>69970dacdf7d6408cfe9e623</t>
  </si>
  <si>
    <t>Store_Visit_Zora_Raipur_FB</t>
  </si>
  <si>
    <t>vs_off_txnstd_1271_feb2026</t>
  </si>
  <si>
    <t>69970ddd6be30f040aefefe2</t>
  </si>
  <si>
    <t>Store_Visit_Lakeshore_HYD_FB</t>
  </si>
  <si>
    <t>vs_off_txnstd_1280_feb2026</t>
  </si>
  <si>
    <t>69970e05f970ee231cf3d5aa</t>
  </si>
  <si>
    <t>Store_Visit_Elegante_Delhi_FB</t>
  </si>
  <si>
    <t>vs_off_txnstd_1251_feb2026</t>
  </si>
  <si>
    <t>69970e0a77a58f09c0ee4b85</t>
  </si>
  <si>
    <t>Store Visit_Palladium_FB</t>
  </si>
  <si>
    <t>vs_off_txnstd_97001_feb2026</t>
  </si>
  <si>
    <t>69970e8e35713dd133bb830d</t>
  </si>
  <si>
    <t>Store Visit_PMC_Kurla</t>
  </si>
  <si>
    <t>Customers who have shopped from Txn Store Code 97009 - VS MARKET CITY KURLA MALL in last 36 months</t>
  </si>
  <si>
    <t>6996ffc6ac6867deec720fa9</t>
  </si>
  <si>
    <t>Store_Visit_Inorbit_Malad</t>
  </si>
  <si>
    <t>Customers who have shopped from Txn Store Code 97008 - VS INORBIT MALL MALAD in last 36 months</t>
  </si>
  <si>
    <t>699700369ec42cd70ece752a</t>
  </si>
  <si>
    <t>Store_Visit_KOPA_Pune</t>
  </si>
  <si>
    <t>Customers who have shopped from Txn Store Code 97007 - VS KOPA MALL PUNE in last 36 months</t>
  </si>
  <si>
    <t>699700ad189823939f124cb3</t>
  </si>
  <si>
    <t>Store_Visit_MOM_Pune</t>
  </si>
  <si>
    <t>Customers who have shopped from Txn Store Code 97005 - VS MALL OF MILLENNIUM in last 36 months</t>
  </si>
  <si>
    <t>6997011d473eb72747cdce73</t>
  </si>
  <si>
    <t>Store_Visit_Ambi_VK</t>
  </si>
  <si>
    <t>Customers who have shopped from Txn Store Code 97002 - VS AMBIENCE MALL in last 36 months</t>
  </si>
  <si>
    <t>6997017ea82d6b194d1fa8dc</t>
  </si>
  <si>
    <t>Store_Visit_Orion</t>
  </si>
  <si>
    <t>Customers who have shopped from Txn Store Code 1273 - VS ORION BANGALORE in last 36 months</t>
  </si>
  <si>
    <t>6997022dc16e2b203519d601</t>
  </si>
  <si>
    <t>Store_Visit_Nexus_Kora</t>
  </si>
  <si>
    <t>Customers who have shopped from Txn Store Code 97012 - VS NEXUS MALL  KORAMANGALA in last 36 months</t>
  </si>
  <si>
    <t>6997028a1ecd9e2bc3c31699</t>
  </si>
  <si>
    <t>Store_Visit_Inorbit_HYD</t>
  </si>
  <si>
    <t>Customers who have shopped from Txn Store Code 97006 - VS INORBIT HYDERABAD MALL in last 36 months</t>
  </si>
  <si>
    <t>699702e45aa83bd7c85f3219</t>
  </si>
  <si>
    <t>Store_Visit_Elegante_Delhi</t>
  </si>
  <si>
    <t>Customers who have shopped from Txn Store Code 1251 - VS ELEGANTE DELHI in last 36 months</t>
  </si>
  <si>
    <t>6997037a9e558825bc5611c4</t>
  </si>
  <si>
    <t>Store_Visit_Nexus_Sujana_HYD</t>
  </si>
  <si>
    <t>Customers who have shopped from Txn Store Code 97013 - VS NEXUS MALL  SUJANA in last 36 months</t>
  </si>
  <si>
    <t>699703eded862856fcf0f2d8</t>
  </si>
  <si>
    <t>Store_Visit_Lakeshore_HYD</t>
  </si>
  <si>
    <t>Customers who have shopped from Txn Store Code 1280 - VS LAKESHORE HYDERABAD in last 36 months</t>
  </si>
  <si>
    <t>699709f035043e11e995d832</t>
  </si>
  <si>
    <t>Store_Visit_EA_Chennai</t>
  </si>
  <si>
    <t>Customers who have shopped from Txn Store Code 1252 - VS BA EXPRESS AVENUE CHENNAI in last 36 months</t>
  </si>
  <si>
    <t>69970ad9a831b5238fb09c53</t>
  </si>
  <si>
    <t>Store_Visit_Lulu_Kochi</t>
  </si>
  <si>
    <t>Customers who have shopped from Txn Store Code 97011 - VS LULU KOCHI in last 36 months</t>
  </si>
  <si>
    <t>69970b0f3f32cf4b127af20c</t>
  </si>
  <si>
    <t>Store_Visit_Palassio_LKN</t>
  </si>
  <si>
    <t>Customers who have shopped from Txn Store Code 1225 - VS BA PALASSIO LUCKNOW in last 36 months</t>
  </si>
  <si>
    <t>69970b38a82d6b194d1fab9e</t>
  </si>
  <si>
    <t>Store_Visit_Zora_Raipur</t>
  </si>
  <si>
    <t>Customers who have shopped from Txn Store Code 1271 - VS BA ZORA RAIPUR in last 36 months</t>
  </si>
  <si>
    <t>69970b91a8edf249d12098c0</t>
  </si>
  <si>
    <t>Store Visit_Palladium</t>
  </si>
  <si>
    <t>Customers who have shopped from Txn Store Code 97001 - VS PHOENIX PALLADIUM MALL in last 36 months</t>
  </si>
  <si>
    <t>69970bf2e5eeeb427dc25525</t>
  </si>
  <si>
    <t>bbw_22.2b2g1_eventbuyEND</t>
  </si>
  <si>
    <t xml:space="preserve">22nd Feb </t>
  </si>
  <si>
    <t>6998402211fc68f9542867f4</t>
  </si>
  <si>
    <t>bbw_22.2b2g1_loyalEND</t>
  </si>
  <si>
    <t>Loyal_Min3Orders_ON</t>
  </si>
  <si>
    <t>69984090cf3b1101c230f6a4</t>
  </si>
  <si>
    <t>bbw_22.2b2g1_churnEND</t>
  </si>
  <si>
    <t>6998410788dc2a7adf8e6ef6</t>
  </si>
  <si>
    <t>bbw_22.2b2g1_discbuyEND</t>
  </si>
  <si>
    <t>Disc_Buyers_33perc OR AGIPL_Internal OR BBW_Internal</t>
  </si>
  <si>
    <t>699852cfb0044d08d8d8d5ac</t>
  </si>
  <si>
    <t>Travel Size Body Care</t>
  </si>
  <si>
    <t>bbw_24.2_travelbc_549_lapsed_buyers</t>
  </si>
  <si>
    <t>Predom_Cat_Sub999_ON</t>
  </si>
  <si>
    <t>Online Customers who have PREDOM purchased from Cat: Liquid Soap or Cat: Travel Size with every Order Net Val below 999 in last 3 Years excl. online customers who have purchased in TTR (111 days)</t>
  </si>
  <si>
    <t>Predom Cat Buyers, ONV &lt; 999</t>
  </si>
  <si>
    <t>24-26 Feb</t>
  </si>
  <si>
    <t>699d67153f3c48569ca5abf0</t>
  </si>
  <si>
    <t>bbw_24.2_travelbc_549_repeat_cat_buyers</t>
  </si>
  <si>
    <t>Loyal_Cat_Travel&amp;LqSoap_ON</t>
  </si>
  <si>
    <t>Online Customers who have purchased at least 2 times from Cat: Liquid Soap OR Cat: Travel Size in the last 3 years excl. online customers who have purchased in TTR (111 days)</t>
  </si>
  <si>
    <t>699d67416ef79b0d0dc25740</t>
  </si>
  <si>
    <t>bbw_24.2_travelbc_549_active_buyers_recent</t>
  </si>
  <si>
    <t>Recent_Cat_88D</t>
  </si>
  <si>
    <t>Online customers who have purchased from Cat: Liquid Soap or Cat: Travel Size in last 111 days excl. purchasers in last 14 days</t>
  </si>
  <si>
    <t>699d6769980fa207108bdfcf</t>
  </si>
  <si>
    <t>bbw_24.2_Predom_Cat_Sub999_ON_wa_fb</t>
  </si>
  <si>
    <t>24th Feb</t>
  </si>
  <si>
    <t>699d8b21e7f9fa516ecf7b0d</t>
  </si>
  <si>
    <t>bbw_24.2_Predom_Cat_ONl0_rcs_fb</t>
  </si>
  <si>
    <t>Predom_Cat_ONl0</t>
  </si>
  <si>
    <t>699d8b4b239d6bc79b032db4</t>
  </si>
  <si>
    <t>bbw_24.2_Loyal_Cat_Travel&amp;LqSoap_ON_wa_fb</t>
  </si>
  <si>
    <t>699d8b845101adf6d7e890f2</t>
  </si>
  <si>
    <t>bbw_24.2_Cat_AOV_999_ON_rcs_fb</t>
  </si>
  <si>
    <t>Cat_AOV_999_ON</t>
  </si>
  <si>
    <t>AOV &lt; 999</t>
  </si>
  <si>
    <t>699d8ba5980fa207108bf0e4</t>
  </si>
  <si>
    <t>bbw_24.2_recent_Cat_88D_wa_fb</t>
  </si>
  <si>
    <t>699d9d39a402a3f7d273e773</t>
  </si>
  <si>
    <t>Online Customers who have PREDOM purchased from Cat: Liquid Soap or Cat: Travel Size with in last 3 Years excl. online customers who have purchased in TTR (111 days)</t>
  </si>
  <si>
    <t>Predom Cat Buyers</t>
  </si>
  <si>
    <t>699d7d804bc71ac0ad7e43c8</t>
  </si>
  <si>
    <t>Online customers who have purchased from Cat: Liquid Soap or Cat: Travel Size with Average Order Net Val below 999 excl. online customers who have purchased in TTR (111 days)</t>
  </si>
  <si>
    <t>699d7d8e997ee4ee97c170a2</t>
  </si>
  <si>
    <t>bbw_26.2_bc999_recent_wa</t>
  </si>
  <si>
    <t>Recent_BodyCare_On</t>
  </si>
  <si>
    <t>Online customers purchasing Body Care in the last 97 days(Time to Repeat).</t>
  </si>
  <si>
    <t>26-28 Feb</t>
  </si>
  <si>
    <t>69a03d6d3732ceb82c3c1f98</t>
  </si>
  <si>
    <t>bbw_26.2_bc999_event_wa</t>
  </si>
  <si>
    <t>BC_999_EventBuyers_On</t>
  </si>
  <si>
    <t>Online Customers who are purchasing from 2nd Oct to 5th Oct 2025, Oct 16th to Oct 27th 2025, Jan 9th 2026 to Jan 18th 2026.</t>
  </si>
  <si>
    <t>69a03d9916125dd6cf564e51</t>
  </si>
  <si>
    <t>bbw_26.2_bc999_loyal_wa</t>
  </si>
  <si>
    <t>Loyal_BodyCare_999_On OR AGIPL_Internal OR BBW_Internal</t>
  </si>
  <si>
    <t>Online customers at least 3 times purchasing Body Care.</t>
  </si>
  <si>
    <t>69a03ddb491efeabd67fb81d</t>
  </si>
  <si>
    <t>bbw_26.2_bc999_view_np_wa</t>
  </si>
  <si>
    <t>ViewItem_NoPr_BodyCare_On</t>
  </si>
  <si>
    <t>Online customers who have view Body Care but not purchased in the last 60 days.</t>
  </si>
  <si>
    <t>View Item but not purchased</t>
  </si>
  <si>
    <t>69a03e30491efeabd67fb82f</t>
  </si>
  <si>
    <t>bbw_26.2_bc999_atc_np_wa</t>
  </si>
  <si>
    <t>ATC_NoPr_BodyCare_On</t>
  </si>
  <si>
    <t>Online customers who have added Body Care to the cart but have not purchased in the last 60 days.</t>
  </si>
  <si>
    <t>ATC but not purchased</t>
  </si>
  <si>
    <t>69a03e81733fe60ba1fa25fa</t>
  </si>
  <si>
    <t>bbw_26.2_bc999_recent_wa_smsfb</t>
  </si>
  <si>
    <t>26th Feb</t>
  </si>
  <si>
    <t>69a0429c60600a1e7055229f</t>
  </si>
  <si>
    <t>bbw_26.2_bc999_event_wa_smsfb</t>
  </si>
  <si>
    <t>69a042ad717ea4faa79df696</t>
  </si>
  <si>
    <t>bbw_26.2_bc999_rep_disc_rcs_smsfb</t>
  </si>
  <si>
    <t>Repeat_DiscountSeeker_BodyCare_On</t>
  </si>
  <si>
    <t>69a042babca3955be0143fb3</t>
  </si>
  <si>
    <t>bbw_26.2_bc999_loyal_wa_smsfb</t>
  </si>
  <si>
    <t>69a042c5e97aaa509dc074c3</t>
  </si>
  <si>
    <t>bbw_26.2_bc999_aov_lt1k_rcs_smsfb</t>
  </si>
  <si>
    <t>BodyCare_AOV_LT1000_Oni</t>
  </si>
  <si>
    <t>AOV less than 1000</t>
  </si>
  <si>
    <t>69a042d96af01c9dbcf723ed</t>
  </si>
  <si>
    <t>bbw_26.2_bc999_view_np_wa_smsfb</t>
  </si>
  <si>
    <t>69a042e87f31ef599a4cd709</t>
  </si>
  <si>
    <t>bbw_26.2_bc999_atc_np_wa_smsfb</t>
  </si>
  <si>
    <t>69a04301e97aaa509dc074ca</t>
  </si>
  <si>
    <t>Ramzan</t>
  </si>
  <si>
    <t>Ramzan_2 Times</t>
  </si>
  <si>
    <t>2Time_Buy_6M_RMZ</t>
  </si>
  <si>
    <t xml:space="preserve">Customers who have shopped for &gt; 2 times in the last 6 months from Txn_Store_Code :- RB002,RB014,RB017,RB004,RB024,RB007,RB006,RB005,RB001,1286,RB008,RB016,RB010,RB020,RB021,RB022,1283,1284,1296,RB025,1281,RB009
</t>
  </si>
  <si>
    <t>2nd Mar</t>
  </si>
  <si>
    <t>699eef9e374bc9be8f37d408</t>
  </si>
  <si>
    <t>Ramzan_Eid Repeat</t>
  </si>
  <si>
    <t>Eid25_Repeat_Buy</t>
  </si>
  <si>
    <t xml:space="preserve">Customers who have shopped during last Eid (1st March'25 and 31st March'25) and have shopped again with R&amp;B from Txn_Store_Code :- RB002,RB014,RB017,RB004,RB024,RB007,RB006,RB005,RB001,1286,RB008,RB016,RB010,RB020,RB021,RB022,1283,1284,1296,RB025,1281,RB009
</t>
  </si>
  <si>
    <t>Event Buyers and shopped again</t>
  </si>
  <si>
    <t>699eefe4921066f9d96b66b6</t>
  </si>
  <si>
    <t>Normal_2 Times</t>
  </si>
  <si>
    <t>2Time_Buy_6M_NR</t>
  </si>
  <si>
    <t xml:space="preserve">Customers who have shopped for &gt; 2 times in the last 6 months from Txn_Store_Code :- RB023,RB011,RB018,RB012,RB015,RB003,1302,1282,1250,RB019,1299,1305,1297,RB026,1298,1258,1300,RB013
</t>
  </si>
  <si>
    <t>699ef047f1a01808f9c837f0</t>
  </si>
  <si>
    <t>Normal_Eid Repeat</t>
  </si>
  <si>
    <t>Eid25_Repeat_Buy_NR</t>
  </si>
  <si>
    <t>Customers who have shopped during last Eid (1st March'25 and 31st March'25) and have shopped again with R&amp;B from Txn_Store_Code :- RB023,RB011,RB018,RB012,RB015,RB003,1302,1282,1250,RB019,1299,1305,1297,RB026,1298,1258,1300,RB013</t>
  </si>
  <si>
    <t>699ef0c605da247e05ce448f</t>
  </si>
  <si>
    <t>Ramzan_Once</t>
  </si>
  <si>
    <t>1Time_Buyer_6M_RMZ</t>
  </si>
  <si>
    <t xml:space="preserve">Customers who have shopped just once in the last 6 months from Txn_Store_Code :- RB002,RB014,RB017,RB004,RB024,RB007,RB006,RB005,RB001,1286,RB008,RB016,RB010,RB020,RB021,RB022,1283,1284,1296,RB025,1281,RB009
</t>
  </si>
  <si>
    <t>699eee6ad8ebb7a68377506c</t>
  </si>
  <si>
    <t>Ramzaan_Festive1</t>
  </si>
  <si>
    <t>Eid25_NoRepeat_RMZ</t>
  </si>
  <si>
    <t xml:space="preserve">Customers who have shopped during last Eid (1st March'25 and 31st March'25) and have not shopped again with R&amp;B RB002,RB014,RB017,RB004,RB024,RB007,RB006,RB005,RB001,1286,RB008,RB016,RB010,RB020,RB021,RB022,1283,1284,1296,RB025,1281,RB009
</t>
  </si>
  <si>
    <t>Event Buyers and not shopped again</t>
  </si>
  <si>
    <t>699eeebaab2c334a06e776c2</t>
  </si>
  <si>
    <t>Normal_Once</t>
  </si>
  <si>
    <t>1Time_Buy_6M_NR</t>
  </si>
  <si>
    <t>Customers who have shopped just once in the last 6 months from Txn_Store_Code :- RB023,RB011,RB018,RB012,RB015,RB003,1302,1282,1250,RB019,1299,1305,1297,RB026,1298,1258,1300,RB013</t>
  </si>
  <si>
    <t>699eeefcbaf6eb5d97258bbf</t>
  </si>
  <si>
    <t>Normal_Festive1</t>
  </si>
  <si>
    <t>Eid25_NoRepeat_NR</t>
  </si>
  <si>
    <t>Customers who have shopped during last Eid (1st March'25 and 31st March'25) and have not shopped again with R&amp;B from Txn_Store_Code :- RB023,RB011,RB018,RB012,RB015,RB003,1302,1282,1250,RB019,1299,1305,1297,RB026,1298,1258,1300,RB013</t>
  </si>
  <si>
    <t>699eef49d3f14aa637bca8de</t>
  </si>
  <si>
    <t>Normal_2 Times, Normal_Eid Repeat, Normal_Once, Normal_Festive1- Fallback</t>
  </si>
  <si>
    <t>2Time_Buy_6M_NR,Eid25_Repeat_Buy_NR,1Time_Buy_6M_NR,Eid25_NoRepeat_NR</t>
  </si>
  <si>
    <t>WA &amp; RCS Undelivered</t>
  </si>
  <si>
    <t>-</t>
  </si>
  <si>
    <t>699ef1b037b6af4c71733475</t>
  </si>
  <si>
    <t>Ramzan_2 Times, Ramzan_Eid Repeat, Ramzan_Once, Ramzaan_Festive1 - Fall back</t>
  </si>
  <si>
    <t>2Time_Buy_6M_RMZ,Eid25_Repeat_Buy,1Time_Buyer_6M_RMZ,Eid25_NoRepeat_RMZ</t>
  </si>
  <si>
    <t>699ef2ba153efae8021d0745</t>
  </si>
  <si>
    <t>bbw_26.2_bc999_aov_lt1k_rcs</t>
  </si>
  <si>
    <t>Online Customers who have purchased Body Care and whose avg Order net value is less than 1000.</t>
  </si>
  <si>
    <t>69a03109fcb1f83abdca680d</t>
  </si>
  <si>
    <t>bbw_26.2_bc999_rep_disc_rcs</t>
  </si>
  <si>
    <t>Online customers alteast 2 times purchasing Body Care having Agg Order_Disc_Val is greater than 0.</t>
  </si>
  <si>
    <t>Repeat + Discount Seeker</t>
  </si>
  <si>
    <t>69a030dd2d589ba28a715d4c</t>
  </si>
  <si>
    <t>ALDO New Arrivals</t>
  </si>
  <si>
    <t>ALDO New Arrivals _ Active Base</t>
  </si>
  <si>
    <t>AL_Active_Base</t>
  </si>
  <si>
    <t xml:space="preserve">Has executed Sale_Array atleast 1 time in the last 76 days </t>
  </si>
  <si>
    <t xml:space="preserve">2nd March 2026 </t>
  </si>
  <si>
    <t>69a1b124483fbd44e87a7446</t>
  </si>
  <si>
    <t>ALDO New Arrivals _AL HB Full Price</t>
  </si>
  <si>
    <t>AL-Handbags-FullPriceUsers</t>
  </si>
  <si>
    <t xml:space="preserve">Has executed Sale_Array atleast 1 time in the last 36 months with attributes (Category_L2_Desc (any_of)  contains Handbags  (case insensitive) ) AND having aggregation: summation of Order_Disc_Val is 0
 and exclude users in 
 ((Users in custom segment: AbdCheck-17-2-26-Handbags OR Users in custom segment: PV-Intent-Handbags-17-2-26)) </t>
  </si>
  <si>
    <t>69a1b1aef440f2df0b3f6e5e</t>
  </si>
  <si>
    <t>ALDO New Arrivals _ FW AL Full Price</t>
  </si>
  <si>
    <t>AL-Footwear-FullPriceUsers</t>
  </si>
  <si>
    <t>Has executed Sale_Array atleast 1 time in the last 36 months with attributes (Category_L1_Desc (any_of)  contains FOOTWEAR  (case insensitive) ) AND having aggregation: summation of Order_Disc_Val is 0
 and exclude users in 
 (Users in custom segment: PV-Intent-Footwear-17-2-26)</t>
  </si>
  <si>
    <t>69a1b230a2499d55eb9d2e5f</t>
  </si>
  <si>
    <t>ALDO- New Arrivals _ Active baseFB</t>
  </si>
  <si>
    <t>69a1b34de4f2d57151dae0f3</t>
  </si>
  <si>
    <t>ALDO- New Arrivals _ O1_HB Full Price FB</t>
  </si>
  <si>
    <t>69a1b3b2483fbd44e87a74d9</t>
  </si>
  <si>
    <t>ALDO- New Arrivals _01_FW Full Price</t>
  </si>
  <si>
    <t>69a1b4121c55086edf858692</t>
  </si>
  <si>
    <t>Spring 2026 campaign</t>
  </si>
  <si>
    <t>ck_off_nopr_90days_handbags OR CK_Online_Dormant_27Feb26</t>
  </si>
  <si>
    <t>28th feb- 6th march</t>
  </si>
  <si>
    <t>69a19ff82f4b4d6cba546ed7</t>
  </si>
  <si>
    <t>Shoe New arrivals</t>
  </si>
  <si>
    <t>69a1a0e347f72e643c00a555</t>
  </si>
  <si>
    <t>Shoe New arrivals_1</t>
  </si>
  <si>
    <t>69a1a8eadc1e014bdb3205e5</t>
  </si>
  <si>
    <t>Spring 2026 campaign_1</t>
  </si>
  <si>
    <t>69a1a990daef443a2120e14e</t>
  </si>
  <si>
    <t>bbw_1.3_bc999_event_wa_fu</t>
  </si>
  <si>
    <t>1st- 3rd Mar</t>
  </si>
  <si>
    <t>69a180b515fa328fecd20afc</t>
  </si>
  <si>
    <t>bbw_1.3_bc999_loyal_wa_fu</t>
  </si>
  <si>
    <t>69a1810f3a5c72885f9ac803</t>
  </si>
  <si>
    <t>bbw_1.3_bc999_view_np_wa_fu</t>
  </si>
  <si>
    <t>69a1813b9481ae154bf78499</t>
  </si>
  <si>
    <t>bbw_1.3_bc999_atc_np_wa_fu</t>
  </si>
  <si>
    <t>69a1818a4e6d7ca4c198b612</t>
  </si>
  <si>
    <t>bbw_1.3_bc999_recent_wa_fu</t>
  </si>
  <si>
    <t>69a18bedf249499c593f486d</t>
  </si>
  <si>
    <t>bbw_1.3_bc999_aov_lt1k_rcs_fu_smsfb</t>
  </si>
  <si>
    <t>BodyCare_AOV_LT1000_On</t>
  </si>
  <si>
    <t>1st March</t>
  </si>
  <si>
    <t>69a17e3ce4f2d57151dad7f3</t>
  </si>
  <si>
    <t>bbw_1.3_bc999_rep_disc_rcs_fu_smsfb</t>
  </si>
  <si>
    <t>69a17f0f9c889c43e0b4b2b9</t>
  </si>
  <si>
    <t>bbw_1.3_bc999_recent_wa_fu_smsfb</t>
  </si>
  <si>
    <t>69a18218c11e5f274cb665d2</t>
  </si>
  <si>
    <t>bbw_1.3_bc999_event_wa_fu_smsfb</t>
  </si>
  <si>
    <t>69a1827c15fa328fecd20b32</t>
  </si>
  <si>
    <t>bbw_1.3_bc999_loyal_wa_fu_smsfb</t>
  </si>
  <si>
    <t>69a182e970fe3816f54f4e2a</t>
  </si>
  <si>
    <t>bbw_1.3_bc999_view_np_wa_fu_smsfb</t>
  </si>
  <si>
    <t>69a1838115fa328fecd20b77</t>
  </si>
  <si>
    <t>bbw_1.3_bc999_atc_np_wa_fu_smsfb</t>
  </si>
  <si>
    <t>69a183d39481ae154bf78538</t>
  </si>
  <si>
    <t>bbw_1.3_bc999_aov_lt1k_rcs_fu</t>
  </si>
  <si>
    <t>69a17dd36da031e7a37e075d</t>
  </si>
  <si>
    <t>bbw_1.3_bc999_rep_disc_rcs_fu</t>
  </si>
  <si>
    <t>69a17ee6aac57c69c8ee31f7</t>
  </si>
  <si>
    <t>bbw_3.3_b2g2_loyal_sms</t>
  </si>
  <si>
    <t>Loyal_B2G2_On</t>
  </si>
  <si>
    <t>Customers who are purchasing atleast 3 times in the last 36 months where Cat L1 does not contains Gifting And Exclude customers who have purchased in the last 3 months</t>
  </si>
  <si>
    <t>No brief</t>
  </si>
  <si>
    <t>3rd March</t>
  </si>
  <si>
    <t>69a58bfefcb500e8b55deea2</t>
  </si>
  <si>
    <t>bbw_3.3_b2g2_view_np_sms</t>
  </si>
  <si>
    <t>PLP_View_No_Purchase</t>
  </si>
  <si>
    <t>Online customers who view PLP in the last 60 days but not purchase</t>
  </si>
  <si>
    <t>69a58d30af1847002a8bc696</t>
  </si>
  <si>
    <t>bbw_3.3_b2g2_repeat_discount_sms</t>
  </si>
  <si>
    <t>Repeat_Discount_On_B2G2</t>
  </si>
  <si>
    <t>Online Customers who have purchased at least 2 (excluding L1: Gifting) times in the last 36 month with discount value exceeding 0</t>
  </si>
  <si>
    <t>69a58d923fe30cc11902a907</t>
  </si>
  <si>
    <t>bbw_3.3_b2g2_view_promo_sms</t>
  </si>
  <si>
    <t>B2G2_View Promo_ON OR AGIPL_Internal OR BBW_Internal</t>
  </si>
  <si>
    <t>Online Customers viewing item whose Promo name contains B2G2</t>
  </si>
  <si>
    <t>69a58e08da8cd3ddc9d88f4c</t>
  </si>
  <si>
    <t>bbw_03.3_B2G2_View Promo_wa</t>
  </si>
  <si>
    <t>B2G2_View Promo_ON</t>
  </si>
  <si>
    <t>5-7 March</t>
  </si>
  <si>
    <t>69a6c4b5516592ffeac622a1</t>
  </si>
  <si>
    <t>bbw_03.3_Loyal_B2G2_wa</t>
  </si>
  <si>
    <t>Loyal_B2G2_ONOFF</t>
  </si>
  <si>
    <t>69a6c4bc76e5cac39f0c3675</t>
  </si>
  <si>
    <t>bbw_3.3_UPT_3_B2G2_wa</t>
  </si>
  <si>
    <t>UPT_3_ONOFF_B2G2</t>
  </si>
  <si>
    <t>Customers who have purchased in the last 18 months with UPT greater than 3 in single order And Exclude customers who have purchased in the last 3 months</t>
  </si>
  <si>
    <t>69a6c4c2c492c934d729fbe0</t>
  </si>
  <si>
    <t>bbw_3.3_AOV_3499_wa</t>
  </si>
  <si>
    <t>AOV_3499_OnOff</t>
  </si>
  <si>
    <t>Customers who have purchased at least once in the last 18 months with AOV of min 3499 And Exclude customers who have purchased in the last 3 months</t>
  </si>
  <si>
    <t>69a6c4c983556178d43f29fe</t>
  </si>
  <si>
    <t>bbw_3.3_UPT_3_B2G2_rc_fb</t>
  </si>
  <si>
    <t>69a9177d85b474b3ae0bee0c</t>
  </si>
  <si>
    <t>bbw_03.3_Loyal_B2G2_rcs_fb</t>
  </si>
  <si>
    <t>69a917907751511454797aed</t>
  </si>
  <si>
    <t>bbw_03.3_B2G2_View Promo_rcs_fb</t>
  </si>
  <si>
    <t>69a917a8c8110f0c68947a4f</t>
  </si>
  <si>
    <t>bbw_3.3_AOV_3499_rcs_fb</t>
  </si>
  <si>
    <t>69a917fe3ea54a7353f4bda0</t>
  </si>
  <si>
    <t>bbw_03.3_Loyal_B2G2_sms_fb</t>
  </si>
  <si>
    <t>5th March</t>
  </si>
  <si>
    <t>69a9230da1960553936ff2aa</t>
  </si>
  <si>
    <t>bbw_3.3_UPT_3_B2G2_sms_fb</t>
  </si>
  <si>
    <t>69a9238d564117baf6c05f1d</t>
  </si>
  <si>
    <t>bbw_3.3_AOV_3499_sms_fb</t>
  </si>
  <si>
    <t>69a923c822fd70da7420daf5</t>
  </si>
  <si>
    <t>bbw_03.3_B2G2_View Promo_sms_fb</t>
  </si>
  <si>
    <t>69a953ad2de045014d7e974d</t>
  </si>
  <si>
    <t>Women's Day</t>
  </si>
  <si>
    <t>CK_IWD promo_5th Mar_1</t>
  </si>
  <si>
    <t>ck_off_pr_last_36mnths_gen_25_Nov</t>
  </si>
  <si>
    <t>Customers who have purchased in the last 86 days with txn channel offline and Excluding the event buyers segment</t>
  </si>
  <si>
    <t>5th to 9th march</t>
  </si>
  <si>
    <t>69a6825c97ce528f631504a5</t>
  </si>
  <si>
    <t>CK_IWD promo_5th Mar_2</t>
  </si>
  <si>
    <t>ck_off_pr_evntbuyers_bfs_25_Nov OR ck_off_pr_notpr_last86days_16thDec</t>
  </si>
  <si>
    <t>Customers who have purchased from 22nd Nov 2023 to 27th Nov 2023 with txn channel offline OR 27th Nov 2024 to 2nd Dec 2024 with txn channel offline OR 26th Nov 2025 to 1st Dec 2025 with txn channel offline, Customers who have purchased in the entire duration with txn channel offline AND customer who have not purchased in the last 86 days with txn channel offline and excluding the events buyers segment</t>
  </si>
  <si>
    <t>69a6834db6deadc69162406e</t>
  </si>
  <si>
    <t>Women's Day Online EventCX - FB</t>
  </si>
  <si>
    <t>EventBuyers_WomensDay_ON</t>
  </si>
  <si>
    <t>06th - 8th March 2026</t>
  </si>
  <si>
    <t>69a97e4178407bfee21dc8e4</t>
  </si>
  <si>
    <t>Women's Day Online DiscountCX- FB</t>
  </si>
  <si>
    <t>Upto25%_MistLotion50%_ON</t>
  </si>
  <si>
    <t>69a97f3bd6b3c52e87d6aa71</t>
  </si>
  <si>
    <t>Women's Day Online ActiveCX- FB</t>
  </si>
  <si>
    <t>Active75_WomensDay_ON</t>
  </si>
  <si>
    <t>69a97f900b62038521b6d571</t>
  </si>
  <si>
    <t>Women's Day Online RepeatCX- FB</t>
  </si>
  <si>
    <t>Repeat_WomensDay_ON</t>
  </si>
  <si>
    <t>69a98013508545a76043b1c1</t>
  </si>
  <si>
    <t>Women's Day Online NewCX- FB</t>
  </si>
  <si>
    <t>New2025_WomensDay_ON</t>
  </si>
  <si>
    <t>69a9804fb81b8d35e2afb1e0</t>
  </si>
  <si>
    <t>Women's Day Offline BA - HYD</t>
  </si>
  <si>
    <t>HYD_Store_Off</t>
  </si>
  <si>
    <t>Offline Customers who have purchased at lease 1 time in last 36 months from any store in Hyderabad (97006 - VS INORBIT HYDERABAD MALL, 97013 - VS NEXUS MALL  SUJANA, 1280 - VS LAKESHORE HYDERABAD)</t>
  </si>
  <si>
    <t>69a989bf4af66535d8894732</t>
  </si>
  <si>
    <t>Women's Day Offline FA - DEL</t>
  </si>
  <si>
    <t>DEL_Store_Off</t>
  </si>
  <si>
    <t>Offline Customers who have purchased at lease 1 time in last 36 months from any store in Delhi (97002 - VS AMBIENCE MALL, 1251 - VS ELEGANTE DELHI)</t>
  </si>
  <si>
    <t>69a989f1760ef5fe855d64e7</t>
  </si>
  <si>
    <t>Women's Day Offline BA - Kochi</t>
  </si>
  <si>
    <t>vs_off_kochi_feb2026</t>
  </si>
  <si>
    <t>Customers who have shopped exactly once in last 1 year</t>
  </si>
  <si>
    <t>69a98a072cceba48cd21abb4</t>
  </si>
  <si>
    <t>Women's Day Offline BA - Pune</t>
  </si>
  <si>
    <t>PUNE_Store_Off</t>
  </si>
  <si>
    <t>Offline Customers who have purchased at lease 1 time in last 36 months from any store in Pune (97005 - VS MALL OF MILLENNIUM, 97007 - VS KOPA MALL PUNE)</t>
  </si>
  <si>
    <t>69a98a2965947bd95c6855bd</t>
  </si>
  <si>
    <t>Women's Day Offline BA - BLR Nexus</t>
  </si>
  <si>
    <t>vs_off_sc_BA_97012_5thfeb2026</t>
  </si>
  <si>
    <t>Offline Customers who have purchased at lease 1 time in last 36 months from any store in Bangalore; 97012 - VS NEXUS MALL KORAMANGALA</t>
  </si>
  <si>
    <t>69a98a57873650fb53fc8ec7</t>
  </si>
  <si>
    <t>Women's Day Offline BA - Kurla+Malad</t>
  </si>
  <si>
    <t>vs_off_sc_BA_97008_97009_5thfeb2026</t>
  </si>
  <si>
    <t>Offline Customers who have purchased at lease 1 time in last 36 months from any store in Mumbai (97008 - VS INORBIT MALL MALAD, 97009 - VS MARKET CITY KURLA MALL)</t>
  </si>
  <si>
    <t>69a98ad8873650fb53fc8ed0</t>
  </si>
  <si>
    <t>Women's Day Offline FA - GGN</t>
  </si>
  <si>
    <t>GGN_Store_Off</t>
  </si>
  <si>
    <t>Offline Customers who have purchased at lease 1 time in last 36 months from any store in Gurgaon (97003 - VS AMBIENCE GURGAON MALL)</t>
  </si>
  <si>
    <t>69a98afc2cceba48cd21abc4</t>
  </si>
  <si>
    <t>Women's Day Offline BA - Lucknow</t>
  </si>
  <si>
    <t>vs_off_lucknow_feb2026</t>
  </si>
  <si>
    <t>Offline Customers who have purchased at lease 1 time in last 36 months from any store in Lucknow (1225 - VS BA PALASSIO LUCKNOW)</t>
  </si>
  <si>
    <t>69a98b220b62038521b6d7d1</t>
  </si>
  <si>
    <t>Women's Day Offline BA - Raipur</t>
  </si>
  <si>
    <t>vs_off_raipur_feb2026</t>
  </si>
  <si>
    <t>Offline Customers who have purchased at lease 1 time in last 36 months from any store in Raipur (1271 - VS BA ZORA RAIPUR)</t>
  </si>
  <si>
    <t>69a98b399c632fc4a903f1e5</t>
  </si>
  <si>
    <t>Women's Day Offline BA - Chennai</t>
  </si>
  <si>
    <t>vs_off_chennai_feb2026</t>
  </si>
  <si>
    <t>Offline Customers who have purchased at lease 1 time in last 36 months from any store in Chennai (1252 - VS BA EXPRESS AVENUE CHENNAI)</t>
  </si>
  <si>
    <t>69a98b6f78407bfee21dca7b</t>
  </si>
  <si>
    <t>Women's Day Offline FA - BLR (Revised)</t>
  </si>
  <si>
    <t>vs_off_sc_FA_97004_1273_5thfeb2026</t>
  </si>
  <si>
    <t>Offline Customers who have purchased at lease 1 time in last 36 months from any store in Bangalore; (97004 - VS MALL OF ASIA, 1273 - VS ORION BANGALORE)</t>
  </si>
  <si>
    <t>69aa9209809564481f83e27a</t>
  </si>
  <si>
    <t>Women's Day Offline FA - MUM (Revised)</t>
  </si>
  <si>
    <t>vs_off_sc_FA_97001_5thfeb2026</t>
  </si>
  <si>
    <t>Offline Customers who have purchased at lease 1 time in last 36 months from any store in Mumbai :- 97001 - VS PHOENIX PALLADIUM MALL,</t>
  </si>
  <si>
    <t>69aa92336f83cc81ecbb06eb</t>
  </si>
  <si>
    <t>Women's Day Online Campaign_EventCX</t>
  </si>
  <si>
    <t>Customers who have purchased in Last 3 years on Womens Day Campiagn window and online</t>
  </si>
  <si>
    <t>69a975a03816ba7b4f468654</t>
  </si>
  <si>
    <t>Women's Day Online Campaign_DiscountCX</t>
  </si>
  <si>
    <t>Customers who have purchased upto 25% Off Online OR Customers purchasing Mist and Lotion at 50% Off Online</t>
  </si>
  <si>
    <t>69a975eb830b10f607562301</t>
  </si>
  <si>
    <t>Women's Day Online Campaign_Active</t>
  </si>
  <si>
    <t>Customers who have shopped in the last 75 days</t>
  </si>
  <si>
    <t>69a977bf50e003337e89ac5c</t>
  </si>
  <si>
    <t>Women's Day Online Campaign_Repeat</t>
  </si>
  <si>
    <t>Customers who have purchased atleast 2 times online in entire duration</t>
  </si>
  <si>
    <t>69a97847943412a6acaa8fe1</t>
  </si>
  <si>
    <t>Women's Day Online Campaign_New</t>
  </si>
  <si>
    <t>69a9787d22fd70da7420f49b</t>
  </si>
  <si>
    <t>Women's Day Online Campaign_EventCX (FB On)</t>
  </si>
  <si>
    <t>69a981829a56127b40e208f4</t>
  </si>
  <si>
    <t>Women's Day Online Campaign_DiscountCX (FB On)</t>
  </si>
  <si>
    <t>69a981ed508545a76043b242</t>
  </si>
  <si>
    <t>Women's Day Online Campaign_Active (FB On)</t>
  </si>
  <si>
    <t>69a9824d11a1fb0cfc784fe9</t>
  </si>
  <si>
    <t>Women's Day Online Campaign_Repeat (FB On)</t>
  </si>
  <si>
    <t>69a9829d760ef5fe855d63dd</t>
  </si>
  <si>
    <t>Women's Day Online Campaign_NewCx (FB On)</t>
  </si>
  <si>
    <t>69a984d2d2ff1a8eb1eaa939</t>
  </si>
  <si>
    <t>Women's Day Offline BA - HYD (FB)</t>
  </si>
  <si>
    <t>69aa6866b64da5f983ec36b2</t>
  </si>
  <si>
    <t>Women's Day Offline BA - Pune (FB)</t>
  </si>
  <si>
    <t>69aa6912d4e586c0e773c40a</t>
  </si>
  <si>
    <t>Women's Day Offline FA - GGN (FB)</t>
  </si>
  <si>
    <t>69aa69c0c63569bcb2f9eef8</t>
  </si>
  <si>
    <t>Women's Day Offline BA - Raipur (FB)</t>
  </si>
  <si>
    <t>69aa6a3a277f361f4dfc0c09</t>
  </si>
  <si>
    <t>Women's Day Offline BA - Lucknow (FB)</t>
  </si>
  <si>
    <t>69aa6ac33e39e36673f3db9e</t>
  </si>
  <si>
    <t>Women's Day Offline BA - Kochi (FB)</t>
  </si>
  <si>
    <t>69aa6baa76523e39e351c9fc</t>
  </si>
  <si>
    <t>Women's Day Offline BA - Chennai (FB)</t>
  </si>
  <si>
    <t>69aa6c0340cfa57a38c83ffc</t>
  </si>
  <si>
    <t>Women's Day Offline BA - MUM (FB)</t>
  </si>
  <si>
    <t>69aa6c80eff21cbe43793826</t>
  </si>
  <si>
    <t>Women's Day Offline BA - BLR Nexus (FB)</t>
  </si>
  <si>
    <t>69aa6cc6fee5f7d17842c1a7</t>
  </si>
  <si>
    <t>Women's Day Offline FA - DEL (FB)</t>
  </si>
  <si>
    <t>69aa6d487724265417f7150f</t>
  </si>
  <si>
    <t>Women's Day Offline FA - BLR (FB)</t>
  </si>
  <si>
    <t>69aa9338ddae54ecb768a25c</t>
  </si>
  <si>
    <t>Women's Day Offline FA - MUM (FB)</t>
  </si>
  <si>
    <t>69aa93d1f26f39dbbbedcb91</t>
  </si>
  <si>
    <t>App Push</t>
  </si>
  <si>
    <t>ALDO_APP Download Push</t>
  </si>
  <si>
    <t>App_Push_Cust</t>
  </si>
  <si>
    <t>Customers who have downloaded the App</t>
  </si>
  <si>
    <t xml:space="preserve">simple </t>
  </si>
  <si>
    <t xml:space="preserve">7-9th March 2026 </t>
  </si>
  <si>
    <t>69aad4c1e9e1b46421f344c8</t>
  </si>
  <si>
    <t>bbw_wa_b2g2_08.3_lapsed9to14</t>
  </si>
  <si>
    <t>Lapsed_9_To_14_Months</t>
  </si>
  <si>
    <t>Customers who have not purchasedin the last 9 months but have purchased before 9 - 14 months</t>
  </si>
  <si>
    <t>Lapsed Customers (9-14)</t>
  </si>
  <si>
    <t>7-9 march</t>
  </si>
  <si>
    <t>69aac405a60bd02cb5b3e6ff</t>
  </si>
  <si>
    <t>bbw_wa_b2g2_08.3_lapsed15to19</t>
  </si>
  <si>
    <t>Lapsed_15_To_19_Months</t>
  </si>
  <si>
    <t>Customers who have not purchasedin the last 9 months but have purchased before 15 - 19 months</t>
  </si>
  <si>
    <t>69aac445a62e38002df213bc</t>
  </si>
  <si>
    <t>bbw_wa_b2g2_08.3_high_basket_size</t>
  </si>
  <si>
    <t>Big_Basket_36_Months</t>
  </si>
  <si>
    <t>Customers with AOV greater than ₹3,000 and UPT greater than 2 in the last 36 months.</t>
  </si>
  <si>
    <t>High Basket Size Customers</t>
  </si>
  <si>
    <t>69aac49e7ba74bc7b771a65d</t>
  </si>
  <si>
    <t>bbw_wa_b2g2_08.3_dormant_high_value</t>
  </si>
  <si>
    <t>Dormant_LTV_10000</t>
  </si>
  <si>
    <t>Customers with LTV greater than 10,000 but no purchase in the last 9 months</t>
  </si>
  <si>
    <t>Dormant High-Value Customers</t>
  </si>
  <si>
    <t>69aac55b3e39e36673f3f336</t>
  </si>
  <si>
    <t>bbw_wa_b2g2_08.3_b2g2_cart_abandoners</t>
  </si>
  <si>
    <t>B2G2_Cart_Abandoners</t>
  </si>
  <si>
    <t>Customers who added B2G2 eligible products to their cart but did not complete the purchase</t>
  </si>
  <si>
    <t>B2G2 Cart Abandoners</t>
  </si>
  <si>
    <t>69aac6534fdc618eac75b9b3</t>
  </si>
  <si>
    <t>bbw_wa_b2g2_08.3_bodycare_cat</t>
  </si>
  <si>
    <t>BodyCare_AOV_3000</t>
  </si>
  <si>
    <t>Customers who previously purchased from the Body Care category with a minimum order value of ₹3,000 – Create similar ones for other categories.</t>
  </si>
  <si>
    <t>Category Cohorts like Body Care</t>
  </si>
  <si>
    <t>69aac802cf826a1d057fa3ba</t>
  </si>
  <si>
    <t>bbw_wa_b2g2_08.3_travelsize_cat</t>
  </si>
  <si>
    <t>TS_AOV_3000</t>
  </si>
  <si>
    <t>Customers who previously purchased from the Travel Size category with a minimum order value of ₹3,000 – Create similar ones for other categories.</t>
  </si>
  <si>
    <t>Category Cohorts like Travel Size</t>
  </si>
  <si>
    <t>69aac80ea30b31f6e0b10639</t>
  </si>
  <si>
    <t>bbw_wa_b2g2_08.3_fragrance_cat</t>
  </si>
  <si>
    <t>Fragra_AOV_3000</t>
  </si>
  <si>
    <t>Customers who previously purchased from the Fragrances category with a minimum order value of ₹3,000 – Create similar ones for other categories.</t>
  </si>
  <si>
    <t>Category Cohorts like Fragrances</t>
  </si>
  <si>
    <t>69aac81c85dada1d06c3f2d2</t>
  </si>
  <si>
    <t>bbw_wa_b2g2_08.3_soaps_n_sanitizers_cat</t>
  </si>
  <si>
    <t>Soaps&amp;S_AOV_3000</t>
  </si>
  <si>
    <t>Customers who previously purchased from the Soaps and Sanitisers category with a minimum order value of ₹3,000 – Create similar ones for other categories.</t>
  </si>
  <si>
    <t>Category Cohorts like Soaps and Sanitisers</t>
  </si>
  <si>
    <t>69aac9b13cf917bdbc053ed3</t>
  </si>
  <si>
    <t>bbw_wa_b2g2_08.3_recent_new_cust</t>
  </si>
  <si>
    <t>Recent_40D_AOV_3K</t>
  </si>
  <si>
    <t>Customers who made their first purchase around 40 days ago with a minimum order value of ₹3,000.</t>
  </si>
  <si>
    <t>Recent New Customers</t>
  </si>
  <si>
    <t>69aacb039a9a45e9166e7dd4</t>
  </si>
  <si>
    <t>bbw_wa_b2g2_08.3_loyal_net_morethan3000</t>
  </si>
  <si>
    <t>Loyal_AOV_3000</t>
  </si>
  <si>
    <t>Customers who have purchased atleast 3 times in the last 36  months with Net Value greater than 3000</t>
  </si>
  <si>
    <t>Loyal with Net Value greater than 3000</t>
  </si>
  <si>
    <t>69aacbbaf679c282bdcaeb0e</t>
  </si>
  <si>
    <t>New Launch</t>
  </si>
  <si>
    <t>01_WAM_AbdCheck</t>
  </si>
  <si>
    <t>AbdCheck-17-2-26</t>
  </si>
  <si>
    <t>69aae180a57ee38880a9f79b</t>
  </si>
  <si>
    <t>02_WAM_PV-Intent-Footwear</t>
  </si>
  <si>
    <t>PV-Intent-Footwear-17-2-26</t>
  </si>
  <si>
    <t>69aae28181009227f640fe62</t>
  </si>
  <si>
    <t>03_WAM_Footwear-FullPriceUsers</t>
  </si>
  <si>
    <t>AL-Footwear-FullPriceUsers-ON</t>
  </si>
  <si>
    <t>69aae32cb5a8f919748c4f69</t>
  </si>
  <si>
    <t>04_WAM_Map_Shoes</t>
  </si>
  <si>
    <t>AL_Map_Shoes_ONLINE</t>
  </si>
  <si>
    <t>69aae3c1a57ee38880a9f7cc</t>
  </si>
  <si>
    <t>05_Map_Footwear_3Y</t>
  </si>
  <si>
    <t>Al_Map_Footwear_3Y_Predom_ON</t>
  </si>
  <si>
    <t>69aae3e89a919acb485986c6</t>
  </si>
  <si>
    <t>Women's Day Offer _ Stores Only</t>
  </si>
  <si>
    <t>Offline_Buyers_12M</t>
  </si>
  <si>
    <t>69aad18b6f26ca5e8556ba6b</t>
  </si>
  <si>
    <t>01 FallBack_abdcheck</t>
  </si>
  <si>
    <t>69aae53950f3816f644f7698</t>
  </si>
  <si>
    <t>02_FallBack_Intent-Footwear-17-2-26</t>
  </si>
  <si>
    <t>69aae541681d9d01dca515ba</t>
  </si>
  <si>
    <t>04_FallBack_Newlaunch_AL_Map_Shoes_ONLINE</t>
  </si>
  <si>
    <t>69aae629a57ee38880a9f844</t>
  </si>
  <si>
    <t>03_FallBack_Footwear-FullPriceUsers-ON</t>
  </si>
  <si>
    <t>69aae62f9a9a45e9166e8229</t>
  </si>
  <si>
    <t>05_fallback_Al_Map_Footwear_3Y_Predom_ON</t>
  </si>
  <si>
    <t>69aae6a9a576f43a1abc4592</t>
  </si>
  <si>
    <t>IWD promo_7th March_1</t>
  </si>
  <si>
    <t>ck_onoff_pr_Recent_6thMarch26</t>
  </si>
  <si>
    <t>Customers who have purchased atleast 1 time in the last 91 days AND excluding Event Buyers segment</t>
  </si>
  <si>
    <t>69aac56be09d91aaffeb7f86</t>
  </si>
  <si>
    <t>IWD promo_7th March_2</t>
  </si>
  <si>
    <t>ck_onoff_pr_Dormant_6thMarch26 OR ck_onoff_pr_eventbuyers_6thMarch26</t>
  </si>
  <si>
    <t>Customers who have purchased in the entire duration and have notpurchased in the last 91 days AND Excluding Event Buyers Segment, Customers who have purchased on these dates:- 22th June 2023 to 04th Aug 2023, 11th Nov 2023 to 14th Nov 2023, 23rd Nov 2023 to 28th Nov 2023, 14th Dec 2023 to 4th Feb 2024, 19th June 2024 to 4th Aug 2024, 27th Sept 2024 to 29th Sept 2024, 9th Nov 2024 to 12 th Nov 2024, 28th Nov 2024 to 2nd Dec 2024, 18th Dec 2024 to 26th Jan 2025, 17th June 2025 to 3rd Aug 2025, 26th Nov 2025 to 1st Dec 2025, 18th Dec 2025 to 26th Jan 2026</t>
  </si>
  <si>
    <t>69aac5d368ceee98fb6ffab9</t>
  </si>
  <si>
    <t>IWD promo_7th March_1_Fallback</t>
  </si>
  <si>
    <t>69aac799d3203ec97cb5e765</t>
  </si>
  <si>
    <t>IWD promo_7th March_2_Fallback</t>
  </si>
  <si>
    <t>69aac7e385dada1d06c3f296</t>
  </si>
  <si>
    <t>CIS</t>
  </si>
  <si>
    <t>Call it spring_fullbase</t>
  </si>
  <si>
    <t>cis_onoff_pr_last36months</t>
  </si>
  <si>
    <t xml:space="preserve">8th- 9th March 2026 </t>
  </si>
  <si>
    <t>69acfdba3e5e8ec3793b48ad</t>
  </si>
  <si>
    <t>IWD promo_8th March_2</t>
  </si>
  <si>
    <t>8th march</t>
  </si>
  <si>
    <t>69aac973412c37f591a2fd66</t>
  </si>
  <si>
    <t>IWD promo_8th March_1</t>
  </si>
  <si>
    <t>69aac99bb5a8f919748c49fc</t>
  </si>
  <si>
    <t>Flashsale</t>
  </si>
  <si>
    <t>bbw_wa_flashsale_113_ffm_bl_bcr_predom_on</t>
  </si>
  <si>
    <t>FFM_BL_BCr_Predom_On OR AGIPL_Internal OR BBW_Internal</t>
  </si>
  <si>
    <t>Customers who are predominantly buying Body Lotion, Body Cream and Mist in the lst 36 months</t>
  </si>
  <si>
    <t>Predominantly Body Cream, Body Lotion, Mist</t>
  </si>
  <si>
    <t>11-12th march</t>
  </si>
  <si>
    <t>69aff821fb9ef227c50f9912</t>
  </si>
  <si>
    <t>bbw_wa_flashsale_113_repeat_ffm_bl_bcr_on</t>
  </si>
  <si>
    <t>Repeat_FFM_BL_Bcr_On</t>
  </si>
  <si>
    <t>Customers who are atleast 2 times with Cat L3 contains Body Lotion, Body Cream and Mist in the last 36 months</t>
  </si>
  <si>
    <t>69aff862eb8be4ebeaafe518</t>
  </si>
  <si>
    <t>bbw_wa_flashsale_113_recent_ffm_bcr_bl_on</t>
  </si>
  <si>
    <t>Recent_FFM_BCr_BL_On</t>
  </si>
  <si>
    <t>Customers who have purchased in the last 90 days with Cat Body Lotion, Body Cream and Mist</t>
  </si>
  <si>
    <t>69aff8a6e49c90836597cd68</t>
  </si>
  <si>
    <t>bbw_wa_flashsale_113_viewitem_bcr_ffm_bl_on</t>
  </si>
  <si>
    <t>ViewItem_BCr_FFM_BL_On</t>
  </si>
  <si>
    <t>Customers who are viewing Body Cream, Body Lotion and Mist in the last 60 days and has not purchased in the last 60 days</t>
  </si>
  <si>
    <t>View Body Cream, Body Lotion and Mist</t>
  </si>
  <si>
    <t>69aff8d386e4d1fcab758c60</t>
  </si>
  <si>
    <t>bbw_wa_flashsale_113_atc_ffm_bcr_bl_on</t>
  </si>
  <si>
    <t>ATC_FFM_BCr_BL_On</t>
  </si>
  <si>
    <t>Customers who have added to cart in the last 40 days and have not purchased in the last 40 days</t>
  </si>
  <si>
    <t>ATC in the last 40 days and not purchased</t>
  </si>
  <si>
    <t>69aff8fd783203d118605121</t>
  </si>
  <si>
    <t>bbw_wa_flashsale_113_aov_700_1200_ffm_bcr_bl_on</t>
  </si>
  <si>
    <t>AOV_700_1200_FFM_BCr_BL_On</t>
  </si>
  <si>
    <t>Customers who have purchased in the last 6 months with AOV between 700 to 1200</t>
  </si>
  <si>
    <t>AOV between 700 and 1200</t>
  </si>
  <si>
    <t>69aff9a131bb80558f0222f7</t>
  </si>
  <si>
    <t>bbw_wa_flashsale_113_discount_seeker</t>
  </si>
  <si>
    <t>Discount_Seeker_Last_Flash_Sale_On</t>
  </si>
  <si>
    <t>Customers who have purchased on Last Flash Sale(27th Jan - 28th Jan) with Agg Order Disc Val is equal to 0</t>
  </si>
  <si>
    <t>Discount Seekers</t>
  </si>
  <si>
    <t>69affeeb9652ebaeabe59547</t>
  </si>
  <si>
    <t>bbw_smsfb_flashsale_113_recent_ffm_bcr_bl_on</t>
  </si>
  <si>
    <t>11-16thmarch</t>
  </si>
  <si>
    <t>69affa7b5993103b314ae8ec</t>
  </si>
  <si>
    <t>bbw_smsfb_flashsale_113_ffm_bl_bcr_predom_on</t>
  </si>
  <si>
    <t>69affabddde6369c9a3eca13</t>
  </si>
  <si>
    <t>bbw_smsfb_flashsale_113_repeat_ffm_bl_bcr_on</t>
  </si>
  <si>
    <t>69affafecb893e53cfca5c23</t>
  </si>
  <si>
    <t>bbw_smsfb_flashsale_113_viewitem_bcr_ffm_bl_on</t>
  </si>
  <si>
    <t>69affb6d1d371af81cfeac05</t>
  </si>
  <si>
    <t>bbw_smsfb_flashsale_113_atc_ffm_bcr_bl_on</t>
  </si>
  <si>
    <t>69affbc839dd523ed434b269</t>
  </si>
  <si>
    <t>bbw_smsfb_flashsale_113_aov_700_1200_ffm_bcr_bl_on</t>
  </si>
  <si>
    <t>69affc0494cd833b0bf86325</t>
  </si>
  <si>
    <t>bbw_smsfb_flashsale_113_discount_seeker</t>
  </si>
  <si>
    <t>69afff28251b26b789f45127</t>
  </si>
  <si>
    <t>sgTITBI</t>
  </si>
  <si>
    <t>bbw_wa_sgtitbi_12_3_predom_sg_6m_on</t>
  </si>
  <si>
    <t>Predom_SG_6M_On</t>
  </si>
  <si>
    <t>Online Customers who have PREDOM purchased from L3 Shower Gel in the last 6 months</t>
  </si>
  <si>
    <t>Predom Category</t>
  </si>
  <si>
    <t>12-13th march</t>
  </si>
  <si>
    <t>69b2b1df2d0b7d6343f31bc5</t>
  </si>
  <si>
    <t>bbw_wa_sgtitbi_12_3_sg_replenish_on</t>
  </si>
  <si>
    <t>SG_Replenish_On</t>
  </si>
  <si>
    <t>Online Customers who have purchased in the last 1 year but have not purchased in TTR (106d) from L3: Shower Gel</t>
  </si>
  <si>
    <t>69b2b1fc8265b0b9157c2b18</t>
  </si>
  <si>
    <t>bbw_wa_sgtitbi_12_3_sg_titbi_buyers_on</t>
  </si>
  <si>
    <t>SG_TITBI_Buyers_On</t>
  </si>
  <si>
    <t>Online Customers who have purchased in the last SG TITBI offer (March 6-9, 2025 and Sept 4-7, 2025)</t>
  </si>
  <si>
    <t>69b2b21bc9434820fcbbf396</t>
  </si>
  <si>
    <t>bbw_smsfb_sgtitbi_12_3_sg_titbi_buyers_on</t>
  </si>
  <si>
    <t>12th march</t>
  </si>
  <si>
    <t>69b2bb7f5347ef836564d49b</t>
  </si>
  <si>
    <t>bbw_smsfb_sgtitbi_12_3_sg_replenish_on</t>
  </si>
  <si>
    <t>69b2bb9414c5f96d1fde46af</t>
  </si>
  <si>
    <t>bbw_smsfb_sgtitbi_12_3_predom_sg_6m_on</t>
  </si>
  <si>
    <t>69b2bbbb74c9e462ab64d758</t>
  </si>
  <si>
    <t>RMZ</t>
  </si>
  <si>
    <t>RMZ_RCS_1</t>
  </si>
  <si>
    <t>1Time_Buyer_6M_Ramzan</t>
  </si>
  <si>
    <t xml:space="preserve">Customers who have shopped just once in the last 6 months AND Exclude Customers who have purchased from 27th Feb 2026 to 9th March 2026; Txn_Store_Code :- RB002,RB014,RB017,RB004,RB024,RB007,RB006,RB005,RB001,1286,RB008,RB016,RB010,RB020,RB021,RB022,1283,1284,1296,RB025,1281,RB009
</t>
  </si>
  <si>
    <t>13th-16th march</t>
  </si>
  <si>
    <t>69b2a13b81e8465a36342e3c</t>
  </si>
  <si>
    <t>RMZ_RCS_2</t>
  </si>
  <si>
    <t>Last_6M_NoPr_Ramzan</t>
  </si>
  <si>
    <t xml:space="preserve">Customers who have purchased in the last 12 months but have not purchased in the last 6 months; Txn_Store_Code :- RB002,RB014,RB017,RB004,RB024,RB007,RB006,RB005,RB001,1286,RB008,RB016,RB010,RB020,RB021,RB022,1283,1284,1296,RB025,1281,RB009
</t>
  </si>
  <si>
    <t>69b2a1569cdbd697ec86c3b9</t>
  </si>
  <si>
    <t>RMZ- non</t>
  </si>
  <si>
    <t>NonRMZ_RCS_3</t>
  </si>
  <si>
    <t>1Time_Buy_6M_NonRamzan</t>
  </si>
  <si>
    <t xml:space="preserve">Customers who have shopped just once in the last 6 months AND Exclude Customers who have purchased from 27th Feb 2026 to 9th March 2026; Txn_Store_Code :- RB023,RB011,RB018,RB012,RB015,RB003,1302,1282,1250,RB019,1299,1305,1297,RB026,1298,1258,1300,RB013
</t>
  </si>
  <si>
    <t>69b2a17995a931aea9edab7f</t>
  </si>
  <si>
    <t>NonRMZ_RCS_4</t>
  </si>
  <si>
    <t>Last_6M_NoPr_NonRamzan</t>
  </si>
  <si>
    <t xml:space="preserve">Customers who have purchased in the last 12 months but have not purchased in the last 6 months; Txn_Store_Code :- RB023,RB011,RB018,RB012,RB015,RB003,1302,1282,1250,RB019,1299,1305,1297,RB026,1298,1258,1300,RB013
</t>
  </si>
  <si>
    <t>69b2a1900ee986326acefd79</t>
  </si>
  <si>
    <t>bbw_wa_sgtitbi_133_plp_view_sg_90d</t>
  </si>
  <si>
    <t>PLP_View_SG_90D</t>
  </si>
  <si>
    <t>Online customers who have viewed item in category: Body Wash &amp; Shower Gel at least 2 times in the past 90 days</t>
  </si>
  <si>
    <t>Page View</t>
  </si>
  <si>
    <t>13-14th march</t>
  </si>
  <si>
    <t>69b2bd1f19ac4278e17635b3</t>
  </si>
  <si>
    <t>bbw_wa_sgtitbi_133_sg_repeat_on</t>
  </si>
  <si>
    <t>SG_Repeat_On</t>
  </si>
  <si>
    <t>Online Customers who have purchased from L3 Shower Gel at least 2 times in the last 1095 days</t>
  </si>
  <si>
    <t>69b2bd5119ac4278e17635c0</t>
  </si>
  <si>
    <t>bbw_wa_sgtitbi_133_sg_disc_32_perc</t>
  </si>
  <si>
    <t>SG_Disc_32_Perc</t>
  </si>
  <si>
    <t>Customers who have purchased from L3 Shower Gel at least 2 times in the last 1095 days with min. discount % greater than 32%</t>
  </si>
  <si>
    <t>Discount</t>
  </si>
  <si>
    <t>69b2bdd981100ad7ee1f689a</t>
  </si>
  <si>
    <t>bbw_wa_sgtitbi_133_sg_upt3_on</t>
  </si>
  <si>
    <t>SG_UPT3_On</t>
  </si>
  <si>
    <t>Online Customers who have purchased from L3 Shower Gel at least 1 time in the last 1095 days with order quantity more than 3</t>
  </si>
  <si>
    <t>Cart Qty</t>
  </si>
  <si>
    <t>69b2be0360d406caa8fb0666</t>
  </si>
  <si>
    <t>bbw_wa_sgtitbi_133_sg_predom_under1199_on</t>
  </si>
  <si>
    <t>SG_Predom_Under1199_On</t>
  </si>
  <si>
    <t>Online Customers who have PREDOM purchased from L3 Shower Gel and Order Net Value is less than ₹1,199</t>
  </si>
  <si>
    <t>69b2be3722980945ad6c58c7</t>
  </si>
  <si>
    <t>bbw_wa_sgtitbi_133_high_freq_personal_care_on</t>
  </si>
  <si>
    <t>High_Freq_Personal_Care_On</t>
  </si>
  <si>
    <t>Online customers who have purchased from L1: Personal Care at least 3 times in the last 180 days</t>
  </si>
  <si>
    <t>Category Loyalist</t>
  </si>
  <si>
    <t>69b2be6520b32e8db781dc11</t>
  </si>
  <si>
    <t>bbw_wa_sgtitbi_133_sg_atc_30d</t>
  </si>
  <si>
    <t>SG_ATC_30D</t>
  </si>
  <si>
    <t>Online customers who have added to cart from item category Body Wash &amp; Shower Gel</t>
  </si>
  <si>
    <t>Add to Cart</t>
  </si>
  <si>
    <t>69b2be8c72b61018fe23c975</t>
  </si>
  <si>
    <t>bbw_wa_sgtitbi_133_plp_view_sg_90d_fb</t>
  </si>
  <si>
    <t>13th march</t>
  </si>
  <si>
    <t>69b2c0e0c45c051f69ac6374</t>
  </si>
  <si>
    <t>bbw_wa_sgtitbi_133_sg_repeat_on_fb</t>
  </si>
  <si>
    <t>69b2c11e3deb5d5ed90bb66b</t>
  </si>
  <si>
    <t>bbw_wa_sgtitbi_133_high_freq_personal_care_on_fb</t>
  </si>
  <si>
    <t>69b2c20e783866d2ac306a4d</t>
  </si>
  <si>
    <t>bbw_wa_sgtitbi_133_sg_atc_30d_fb</t>
  </si>
  <si>
    <t>69b2c25eca94956be3673c88</t>
  </si>
  <si>
    <t>bbw_wa_sgtitbi_133_sg_disc_32_perc_fb_v1</t>
  </si>
  <si>
    <t>69b3a6c84c94cd2af30d2cd8</t>
  </si>
  <si>
    <t>bbw_wa_sgtitbi_133_sg_predom_under1199_on_fb_v1</t>
  </si>
  <si>
    <t>69b3a71a0e9c7d8d081f3ced</t>
  </si>
  <si>
    <t>bbw_wa_sgtitbi_133_sg_upt3_on_fb_v1</t>
  </si>
  <si>
    <t>69b3a76fcfcaef0abb38491f</t>
  </si>
  <si>
    <t>Revised_RMZ_1</t>
  </si>
  <si>
    <t>2Time_Buy_6M_RMZ OR RB_Internal</t>
  </si>
  <si>
    <t>14th-18th march</t>
  </si>
  <si>
    <t>69b4e326b40735f002cc8b58</t>
  </si>
  <si>
    <t>Revised_RMZ_2</t>
  </si>
  <si>
    <t>Eid25_Repeat_Buy_Ramzan</t>
  </si>
  <si>
    <t xml:space="preserve">Customers who have shopped during last Eid (1st March'25 and 31st March'25) and have shopped again with R&amp;B AND Exclude Customers who have purchased from 27th Feb 2026 to 9th March 2026; Txn_Store_Code :- RB002,RB014,RB017,RB004,RB024,RB007,RB006,RB005,RB001,1286,RB008,RB016,RB010,RB020,RB021,RB022,1283,1284,1296,RB025,1281,RB009
</t>
  </si>
  <si>
    <t>69b4e427111351fb9a567387</t>
  </si>
  <si>
    <t>Revised_RMZ_3</t>
  </si>
  <si>
    <t>Eid25_NoRepeat_Ramzan</t>
  </si>
  <si>
    <t xml:space="preserve">Customers who have shopped during last Eid (1st March'25 and 31st March'25) and have not shopped again with R&amp;B AND Exclude Customers who have purchased from 27th Feb 2026 to 9th March 2026; Txn_Store_Code :- RB002,RB014,RB017,RB004,RB024,RB007,RB006,RB005,RB001,1286,RB008,RB016,RB010,RB020,RB021,RB022,1283,1284,1296,RB025,1281,RB009
</t>
  </si>
  <si>
    <t>69b4e4e71db83d0b77ff3c54</t>
  </si>
  <si>
    <t>Revised_NonRMZ_4</t>
  </si>
  <si>
    <t>2Time_Buy_6M_NonRamzan OR RB_Internal</t>
  </si>
  <si>
    <t xml:space="preserve">Customers who have shopped for &gt; 2 times in the last 6 months AND Exclude Customers who have purchased from 27th Feb 2026 to 9th March 2026; Txn_Store_Code :- RB023,RB011,RB018,RB012,RB015,RB003,1302,1282,1250,RB019,1299,1305,1297,RB026,1298,1258,1300,RB013
</t>
  </si>
  <si>
    <t>69b4e5df9c8554dbd5660663</t>
  </si>
  <si>
    <t>Revised_NonRMZ_5</t>
  </si>
  <si>
    <t>Eid25_Repeat_Buy_NonRamzan</t>
  </si>
  <si>
    <t xml:space="preserve">Customers who have shopped during last Eid (1st March'25 and 31st March'25) and have shopped again with R&amp;B AND Exclude Customers who have purchased from 27th Feb 2026 to 9th March 2026; Txn_Store_Code :- RB023,RB011,RB018,RB012,RB015,RB003,1302,1282,1250,RB019,1299,1305,1297,RB026,1298,1258,1300,RB013
</t>
  </si>
  <si>
    <t>69b4e743fde15178be1c2438</t>
  </si>
  <si>
    <t>Revised_NonRMZ_6</t>
  </si>
  <si>
    <t>Eid25_NoRepeat_NonRamzan</t>
  </si>
  <si>
    <t xml:space="preserve">Customers who have shopped during last Eid (1st March'25 and 31st March'25) and have not shopped again with R&amp;B AND Exclude Customers who have purchased from 27th Feb 2026 to 9th March 2026; Txn_Store_Code :- RB023,RB011,RB018,RB012,RB015,RB003,1302,1282,1250,RB019,1299,1305,1297,RB026,1298,1258,1300,RB013
</t>
  </si>
  <si>
    <t>69b4e80b92fa82a5669e4502</t>
  </si>
  <si>
    <t>Dormant base</t>
  </si>
  <si>
    <t>Activate_doormant_4999 Offer</t>
  </si>
  <si>
    <t>AL_Dormant_Base</t>
  </si>
  <si>
    <t xml:space="preserve">overall </t>
  </si>
  <si>
    <t>14th-16 march</t>
  </si>
  <si>
    <t>69b3f90c743df6fa415874bc</t>
  </si>
  <si>
    <t>Fallback_4999_AL_Dormant_Base</t>
  </si>
  <si>
    <t>WhatsApp undelivered</t>
  </si>
  <si>
    <t>69b3f9417000af8384c38936</t>
  </si>
  <si>
    <t>bbw_wa_sgtitbi_15.3_Predom_SG_6M_On_reminder</t>
  </si>
  <si>
    <t>Online Customers who have PREDOM purchased from L3 Shower Gel in the last 6 months excluding customers who have purchased in last 14 days and customers who did not read WA Comms on 12th and 13th March</t>
  </si>
  <si>
    <t>15-16th march</t>
  </si>
  <si>
    <t>69b406a9611b3510c52e55cb</t>
  </si>
  <si>
    <t>bbw_wa_sgtitbi_15.3_SG_Replenish_On_reminder</t>
  </si>
  <si>
    <t>Online Customers who have purchased in the last 1 year but have not purchased in TTR (106d) from L3: Shower Gel excluding customers who have purchased in last 14 days and customers who did not read WA Comms on 12th and 13th March</t>
  </si>
  <si>
    <t>69b406f231978260bee40457</t>
  </si>
  <si>
    <t>bbw_wa_sgtitbi_15.3_PLP_View_SG_90D_reminder</t>
  </si>
  <si>
    <t>Online customers who have viewed item in category: Body Wash &amp; Shower Gel at least 2 times in the past 90 days excluding customers who have purchased in last 14 days and customers who did not read WA Comms on 12th and 13th March</t>
  </si>
  <si>
    <t>69b407f5c2de2c0e024b0846</t>
  </si>
  <si>
    <t>bbw_wa_sgtitbi_15.3_SG_ATC_30D_reminder</t>
  </si>
  <si>
    <t>Online customers who have added to cart from item category Body Wash &amp; Shower Gel excluding customers who have purchased in last 14 days and customers who did not read WA Comms on 12th and 13th March</t>
  </si>
  <si>
    <t>69b412aa1f02e0685f11d609</t>
  </si>
  <si>
    <t>bbw_wa_sgtitbi_15.3_SG_TITBI_Buyers_On_reminder</t>
  </si>
  <si>
    <t>Online Customers who have purchased in the last SG TITBI offer (March 6-9, 2025 and Sept 4-7, 2025) excluding customers who have purchased in last 14 days and customers who did not read WA Comms on 12th and 13th March</t>
  </si>
  <si>
    <t>69b412aaf7a59fbee0330cf4</t>
  </si>
  <si>
    <t>bbw_wa_sgtitbi_15.3_High_Freq_Personal_Care_On_reminder</t>
  </si>
  <si>
    <t>Online customers who have purchased from L1: Personal Care at least 3 times in the last 180 days excluding customers who have purchased in last 14 days and customers who did not read WA Comms on 12th and 13th March</t>
  </si>
  <si>
    <t>69b41380f44df1d217fbcc6c</t>
  </si>
  <si>
    <t>bbw_wa_sgtitbi_15.3_SG_Predom_Under1199_On_reminder</t>
  </si>
  <si>
    <t>Online Customers who have PREDOM purchased from L3 Shower Gel and Order Net Value is less than ₹1,199 excluding customers who have purchased in last 14 days and customers who did not read WA Comms on 12th and 13th March</t>
  </si>
  <si>
    <t>69b4147d67e48c4fd6ffe59e</t>
  </si>
  <si>
    <t>bbw_wa_sgtitbi_15.3_SG_Disc_32_Perc_reminder</t>
  </si>
  <si>
    <t>Customers who have purchased from L3 Shower Gel at least 2 times in the last 1095 days with min. discount % greater than 32% excluding customers who have purchased in last 14 days and customers who did not read WA Comms on 12th and 13th March</t>
  </si>
  <si>
    <t>69b41488bf13688f00fca0a7</t>
  </si>
  <si>
    <t>bbw_wa_sgtitbi_15.3_SG_UPT3_On_reminder</t>
  </si>
  <si>
    <t>Online Customers who have purchased from L3 Shower Gel at least 1 time in the last 1095 days with order quantity more than 3 excluding customers who have purchased in last 14 days and customers who did not read WA Comms on 12th and 13th March</t>
  </si>
  <si>
    <t>69b415b018d5303f8c3c060a</t>
  </si>
  <si>
    <t>bbw_wa_sgtitbi_15.3_SG_Repeat_On_reminder</t>
  </si>
  <si>
    <t>Online Customers who have purchased from L3 Shower Gel at least 2 times in the last 1095 days excluding customers who have purchased in last 14 days and customers who did not read WA Comms on 12th and 13th March</t>
  </si>
  <si>
    <t>69b416b73c236b554fdd9451</t>
  </si>
  <si>
    <t>AGIPL</t>
  </si>
  <si>
    <t>App Launch Campaign</t>
  </si>
  <si>
    <t>ALDO_CROCS_APP</t>
  </si>
  <si>
    <t>CrossBrand_CROCS_ALAPP</t>
  </si>
  <si>
    <t>Customers who have shopped in CROCS and excluding Aldo Customers in the entire period</t>
  </si>
  <si>
    <t>Cross Brand</t>
  </si>
  <si>
    <t xml:space="preserve">17th March 206, Tuesday </t>
  </si>
  <si>
    <t>69b405d0e6312ab464995e26</t>
  </si>
  <si>
    <t>ALDO_BHPCBASE_APP</t>
  </si>
  <si>
    <t>CrossBrand_BHPC_ALAPP</t>
  </si>
  <si>
    <t>Customers who have shopped in BHPC and excluding Aldo Customers in the entire period</t>
  </si>
  <si>
    <t>69b405df17cffc0a310fa23b</t>
  </si>
  <si>
    <t>ALDO_APP_VSBase</t>
  </si>
  <si>
    <t>CrossBrand_VS_ALAPP</t>
  </si>
  <si>
    <t>Customers who have shopped in VS and excluding Aldo Customers in the entire period</t>
  </si>
  <si>
    <t>69b405e8212e0a8f96d11b71</t>
  </si>
  <si>
    <t>CrossBrandVS_SMS</t>
  </si>
  <si>
    <t>69b413d524b4791cc0acf08d</t>
  </si>
  <si>
    <t>BHPC_ALAPP_SMS</t>
  </si>
  <si>
    <t>69b414314d978836f5cae8f9</t>
  </si>
  <si>
    <t>CROCS_ALAPP_SMS</t>
  </si>
  <si>
    <t>69b4147c07ecbc8ce4521fa8</t>
  </si>
  <si>
    <t>International Fragrance Week</t>
  </si>
  <si>
    <t>bbw_wa_ifw_ea_online_atc</t>
  </si>
  <si>
    <t>ATC_NoPr_Last45Days_On</t>
  </si>
  <si>
    <r>
      <rPr>
        <rFont val="Montserrat"/>
        <color theme="1"/>
        <sz val="10.0"/>
      </rPr>
      <t xml:space="preserve">Website Visited 2 or more times or ATC once &gt; Last 45 days AND Not purchased in the last 45 days </t>
    </r>
    <r>
      <rPr>
        <rFont val="Montserrat"/>
        <b/>
        <color theme="1"/>
        <sz val="10.0"/>
      </rPr>
      <t>AND</t>
    </r>
    <r>
      <rPr>
        <rFont val="Montserrat"/>
        <color theme="1"/>
        <sz val="10.0"/>
      </rPr>
      <t xml:space="preserve"> Exclude Last 15 days purchasers Online </t>
    </r>
    <r>
      <rPr>
        <rFont val="Montserrat"/>
        <b/>
        <color theme="1"/>
        <sz val="10.0"/>
      </rPr>
      <t>OR</t>
    </r>
    <r>
      <rPr>
        <rFont val="Montserrat"/>
        <color theme="1"/>
        <sz val="10.0"/>
      </rPr>
      <t xml:space="preserve"> Loyal_Atleast4Times_IFW_On </t>
    </r>
    <r>
      <rPr>
        <rFont val="Montserrat"/>
        <b/>
        <color theme="1"/>
        <sz val="10.0"/>
      </rPr>
      <t>OR</t>
    </r>
    <r>
      <rPr>
        <rFont val="Montserrat"/>
        <color theme="1"/>
        <sz val="10.0"/>
      </rPr>
      <t xml:space="preserve"> Repeat_IFW_On </t>
    </r>
    <r>
      <rPr>
        <rFont val="Montserrat"/>
        <b/>
        <color theme="1"/>
        <sz val="10.0"/>
      </rPr>
      <t>OR</t>
    </r>
    <r>
      <rPr>
        <rFont val="Montserrat"/>
        <color theme="1"/>
        <sz val="10.0"/>
      </rPr>
      <t xml:space="preserve"> AOV_LessThan_2999_IFW_On </t>
    </r>
    <r>
      <rPr>
        <rFont val="Montserrat"/>
        <b/>
        <color theme="1"/>
        <sz val="10.0"/>
      </rPr>
      <t>OR</t>
    </r>
    <r>
      <rPr>
        <rFont val="Montserrat"/>
        <color theme="1"/>
        <sz val="10.0"/>
      </rPr>
      <t xml:space="preserve"> UPT_GreaterThan3_IFW_On </t>
    </r>
    <r>
      <rPr>
        <rFont val="Montserrat"/>
        <b/>
        <color theme="1"/>
        <sz val="10.0"/>
      </rPr>
      <t>OR</t>
    </r>
    <r>
      <rPr>
        <rFont val="Montserrat"/>
        <color theme="1"/>
        <sz val="10.0"/>
      </rPr>
      <t xml:space="preserve"> Recent_Last90Days_IFW_On </t>
    </r>
    <r>
      <rPr>
        <rFont val="Montserrat"/>
        <b/>
        <color theme="1"/>
        <sz val="10.0"/>
      </rPr>
      <t>OR</t>
    </r>
    <r>
      <rPr>
        <rFont val="Montserrat"/>
        <color theme="1"/>
        <sz val="10.0"/>
      </rPr>
      <t xml:space="preserve"> Dormant_On_IFW</t>
    </r>
  </si>
  <si>
    <t>ATC</t>
  </si>
  <si>
    <t>18-20 March</t>
  </si>
  <si>
    <t>69ba8d8d914ecb4f77622e7c</t>
  </si>
  <si>
    <t>bbw_wa_ifw_ea_online_loyal</t>
  </si>
  <si>
    <t>Loyal_Atleast4Times_IFW_On OR AGIPL_Internal OR BBW_Internal</t>
  </si>
  <si>
    <t>Online Customers purchased atleast 4 in the last 12 Months AND Exclude Last 15 days purchasers Online</t>
  </si>
  <si>
    <t>69ba8ea8a8b3b9b2cad5fc6c</t>
  </si>
  <si>
    <t>bbw_wa_ifw_ea_online_repeat</t>
  </si>
  <si>
    <t>Repeat_IFW_On</t>
  </si>
  <si>
    <t>Online Customers purchased at least 2 times in the last 24 Months AND Exclude Last 15 days purchasers Online OR Loyal_Atleast4Times_IFW_On</t>
  </si>
  <si>
    <t>69ba8f33affd649490c9b8db</t>
  </si>
  <si>
    <t>bbw_wa_ifw_ea_online_aov_less_than_2999</t>
  </si>
  <si>
    <t>AOV_LessThan_2999_IFW_On</t>
  </si>
  <si>
    <r>
      <rPr>
        <rFont val="Montserrat"/>
        <color theme="1"/>
      </rPr>
      <t xml:space="preserve">Online Customers who have purchased in the last 12 months having AOV less than 2999 </t>
    </r>
    <r>
      <rPr>
        <rFont val="Montserrat"/>
        <b/>
        <color theme="1"/>
      </rPr>
      <t>AND</t>
    </r>
    <r>
      <rPr>
        <rFont val="Montserrat"/>
        <color theme="1"/>
      </rPr>
      <t xml:space="preserve"> Exclude Last 15 days purchasers Online </t>
    </r>
    <r>
      <rPr>
        <rFont val="Montserrat"/>
        <b/>
        <color theme="1"/>
      </rPr>
      <t>OR</t>
    </r>
    <r>
      <rPr>
        <rFont val="Montserrat"/>
        <color theme="1"/>
      </rPr>
      <t xml:space="preserve"> Loyal_Atleast4Times_IFW_On </t>
    </r>
    <r>
      <rPr>
        <rFont val="Montserrat"/>
        <b/>
        <color theme="1"/>
      </rPr>
      <t>OR</t>
    </r>
    <r>
      <rPr>
        <rFont val="Montserrat"/>
        <color theme="1"/>
      </rPr>
      <t xml:space="preserve"> Repeat_IFW_On</t>
    </r>
  </si>
  <si>
    <t>AOV Less than 2999</t>
  </si>
  <si>
    <t>69ba90258905318635937264</t>
  </si>
  <si>
    <t>bbw_wa_ifw_ea_online_UTP_greater_than_3</t>
  </si>
  <si>
    <t>UPT_GreaterThan3_IFW_On</t>
  </si>
  <si>
    <r>
      <rPr>
        <rFont val="Montserrat"/>
        <color theme="1"/>
      </rPr>
      <t xml:space="preserve">Online customers purchasing 3+ products in one purchase in the last 36 months </t>
    </r>
    <r>
      <rPr>
        <rFont val="Montserrat"/>
        <b/>
        <color theme="1"/>
      </rPr>
      <t>AND</t>
    </r>
    <r>
      <rPr>
        <rFont val="Montserrat"/>
        <color theme="1"/>
      </rPr>
      <t xml:space="preserve"> Exclude Last 15 days purchasers Online </t>
    </r>
    <r>
      <rPr>
        <rFont val="Montserrat"/>
        <b/>
        <color theme="1"/>
      </rPr>
      <t>OR</t>
    </r>
    <r>
      <rPr>
        <rFont val="Montserrat"/>
        <color theme="1"/>
      </rPr>
      <t xml:space="preserve"> Loyal_Atleast4Times_IFW_On </t>
    </r>
    <r>
      <rPr>
        <rFont val="Montserrat"/>
        <b/>
        <color theme="1"/>
      </rPr>
      <t>OR</t>
    </r>
    <r>
      <rPr>
        <rFont val="Montserrat"/>
        <color theme="1"/>
      </rPr>
      <t xml:space="preserve"> Repeat_IFW_On </t>
    </r>
    <r>
      <rPr>
        <rFont val="Montserrat"/>
        <b/>
        <color theme="1"/>
      </rPr>
      <t>OR</t>
    </r>
    <r>
      <rPr>
        <rFont val="Montserrat"/>
        <color theme="1"/>
      </rPr>
      <t xml:space="preserve"> AOV_LessThan_2999_IFW_On</t>
    </r>
  </si>
  <si>
    <t>UPT Greater than 3</t>
  </si>
  <si>
    <t>69ba9104510d4df39917c9a1</t>
  </si>
  <si>
    <t>bbw_wa_ifw_ea_online_recent</t>
  </si>
  <si>
    <t>Recent_Last90Days_IFW_On</t>
  </si>
  <si>
    <r>
      <rPr>
        <rFont val="Montserrat"/>
        <color theme="1"/>
      </rPr>
      <t xml:space="preserve">Online Customers purchasing in the last 90 days </t>
    </r>
    <r>
      <rPr>
        <rFont val="Montserrat"/>
        <b/>
        <color theme="1"/>
      </rPr>
      <t>AND</t>
    </r>
    <r>
      <rPr>
        <rFont val="Montserrat"/>
        <color theme="1"/>
      </rPr>
      <t xml:space="preserve"> Exclude Last 15 days purchasers Online </t>
    </r>
    <r>
      <rPr>
        <rFont val="Montserrat"/>
        <b/>
        <color theme="1"/>
      </rPr>
      <t>OR</t>
    </r>
    <r>
      <rPr>
        <rFont val="Montserrat"/>
        <color theme="1"/>
      </rPr>
      <t xml:space="preserve"> Loyal_Atleast4Times_IFW_On </t>
    </r>
    <r>
      <rPr>
        <rFont val="Montserrat"/>
        <b/>
        <color theme="1"/>
      </rPr>
      <t>OR</t>
    </r>
    <r>
      <rPr>
        <rFont val="Montserrat"/>
        <color theme="1"/>
      </rPr>
      <t xml:space="preserve"> Repeat_IFW_On </t>
    </r>
    <r>
      <rPr>
        <rFont val="Montserrat"/>
        <b/>
        <color theme="1"/>
      </rPr>
      <t>OR</t>
    </r>
    <r>
      <rPr>
        <rFont val="Montserrat"/>
        <color theme="1"/>
      </rPr>
      <t xml:space="preserve"> AOV_LessThan_2999_IFW_On </t>
    </r>
    <r>
      <rPr>
        <rFont val="Montserrat"/>
        <b/>
        <color theme="1"/>
      </rPr>
      <t>OR</t>
    </r>
    <r>
      <rPr>
        <rFont val="Montserrat"/>
        <color theme="1"/>
      </rPr>
      <t xml:space="preserve"> UPT_GreaterThan3_IFW_On</t>
    </r>
  </si>
  <si>
    <t>69ba91c6867170a0d0070ce8</t>
  </si>
  <si>
    <t>bbw_wa_ifw_ea_online_dormant</t>
  </si>
  <si>
    <t>Dormant_On_IFW</t>
  </si>
  <si>
    <r>
      <rPr>
        <rFont val="Montserrat"/>
        <color theme="1"/>
      </rPr>
      <t xml:space="preserve">Customers who have not purchased withing 90 - 365 days </t>
    </r>
    <r>
      <rPr>
        <rFont val="Montserrat"/>
        <b/>
        <color theme="1"/>
      </rPr>
      <t>AND</t>
    </r>
    <r>
      <rPr>
        <rFont val="Montserrat"/>
        <color theme="1"/>
      </rPr>
      <t xml:space="preserve"> Exclude Last 15 days purchasers Online </t>
    </r>
    <r>
      <rPr>
        <rFont val="Montserrat"/>
        <b/>
        <color theme="1"/>
      </rPr>
      <t>OR</t>
    </r>
    <r>
      <rPr>
        <rFont val="Montserrat"/>
        <color theme="1"/>
      </rPr>
      <t xml:space="preserve"> Loyal_Atleast4Times_IFW_On </t>
    </r>
    <r>
      <rPr>
        <rFont val="Montserrat"/>
        <b/>
        <color theme="1"/>
      </rPr>
      <t>OR</t>
    </r>
    <r>
      <rPr>
        <rFont val="Montserrat"/>
        <color theme="1"/>
      </rPr>
      <t xml:space="preserve"> Repeat_IFW_On </t>
    </r>
    <r>
      <rPr>
        <rFont val="Montserrat"/>
        <b/>
        <color theme="1"/>
      </rPr>
      <t>OR</t>
    </r>
    <r>
      <rPr>
        <rFont val="Montserrat"/>
        <color theme="1"/>
      </rPr>
      <t xml:space="preserve"> AOV_LessThan_2999_IFW_On </t>
    </r>
    <r>
      <rPr>
        <rFont val="Montserrat"/>
        <b/>
        <color theme="1"/>
      </rPr>
      <t>OR</t>
    </r>
    <r>
      <rPr>
        <rFont val="Montserrat"/>
        <color theme="1"/>
      </rPr>
      <t xml:space="preserve"> UPT_GreaterThan3_IFW_On </t>
    </r>
    <r>
      <rPr>
        <rFont val="Montserrat"/>
        <b/>
        <color theme="1"/>
      </rPr>
      <t>OR</t>
    </r>
    <r>
      <rPr>
        <rFont val="Montserrat"/>
        <color theme="1"/>
      </rPr>
      <t xml:space="preserve"> Recent_Last90Days_IFW_On</t>
    </r>
  </si>
  <si>
    <t>69ba9268a23503ed1f2dfd51</t>
  </si>
  <si>
    <t>bbw_wa_ifw_ea_online_wa_clicked</t>
  </si>
  <si>
    <t>WA_Clicked_IFW_last12Months_v2</t>
  </si>
  <si>
    <r>
      <rPr>
        <rFont val="Montserrat"/>
        <color theme="1"/>
        <sz val="10.0"/>
      </rPr>
      <t xml:space="preserve">WA message clicked in the last 3 months and not purchased in the last 3 months </t>
    </r>
    <r>
      <rPr>
        <rFont val="Montserrat"/>
        <b/>
        <color theme="1"/>
        <sz val="10.0"/>
      </rPr>
      <t>AND</t>
    </r>
    <r>
      <rPr>
        <rFont val="Montserrat"/>
        <color theme="1"/>
        <sz val="10.0"/>
      </rPr>
      <t xml:space="preserve"> Exclude Last 15 days purchasers Online </t>
    </r>
    <r>
      <rPr>
        <rFont val="Montserrat"/>
        <b/>
        <color theme="1"/>
        <sz val="10.0"/>
      </rPr>
      <t>OR</t>
    </r>
    <r>
      <rPr>
        <rFont val="Montserrat"/>
        <color theme="1"/>
        <sz val="10.0"/>
      </rPr>
      <t xml:space="preserve"> Loyal_Atleast4Times_IFW_On </t>
    </r>
    <r>
      <rPr>
        <rFont val="Montserrat"/>
        <b/>
        <color theme="1"/>
        <sz val="10.0"/>
      </rPr>
      <t>OR</t>
    </r>
    <r>
      <rPr>
        <rFont val="Montserrat"/>
        <color theme="1"/>
        <sz val="10.0"/>
      </rPr>
      <t xml:space="preserve"> Repeat_IFW_On OR AOV_LessThan_2999_IFW_On </t>
    </r>
    <r>
      <rPr>
        <rFont val="Montserrat"/>
        <b/>
        <color theme="1"/>
        <sz val="10.0"/>
      </rPr>
      <t>OR</t>
    </r>
    <r>
      <rPr>
        <rFont val="Montserrat"/>
        <color theme="1"/>
        <sz val="10.0"/>
      </rPr>
      <t xml:space="preserve"> UPT_GreaterThan3_IFW_On </t>
    </r>
    <r>
      <rPr>
        <rFont val="Montserrat"/>
        <b/>
        <color theme="1"/>
        <sz val="10.0"/>
      </rPr>
      <t>OR</t>
    </r>
    <r>
      <rPr>
        <rFont val="Montserrat"/>
        <color theme="1"/>
        <sz val="10.0"/>
      </rPr>
      <t xml:space="preserve"> Recent_Last90Days_IFW_On </t>
    </r>
    <r>
      <rPr>
        <rFont val="Montserrat"/>
        <b/>
        <color theme="1"/>
        <sz val="10.0"/>
      </rPr>
      <t>OR</t>
    </r>
    <r>
      <rPr>
        <rFont val="Montserrat"/>
        <color theme="1"/>
        <sz val="10.0"/>
      </rPr>
      <t xml:space="preserve"> Dormant_On_IFW</t>
    </r>
  </si>
  <si>
    <t>WA clicked</t>
  </si>
  <si>
    <t>69ba92dd402e688352d08c02</t>
  </si>
  <si>
    <t>bbw_ifw_smsfb_ea_online</t>
  </si>
  <si>
    <t>Has executed WhatsApp Message Delivery Failed atleast 1 time in the last 3 days with attributes Readable Campaign Id contains any of [69ba8ea8a8b3b9b2cad5fc6c, 69ba8f33affd649490c9b8db, 69ba90258905318635937264, 69ba9104510d4df39917c9a1, 69ba91c6867170a0d0070ce8, 69ba9268a23503ed1f2dfd51, 69ba8d8d914ecb4f77622e7c, 69ba92dd402e688352d08c02] case insensitive</t>
  </si>
  <si>
    <t>69ba99ef1fdc6e2613a234ed</t>
  </si>
  <si>
    <t>International Fragrance Day</t>
  </si>
  <si>
    <t>IFD Online - ATC (FB 19th)</t>
  </si>
  <si>
    <t>IFD Online - ATC</t>
  </si>
  <si>
    <t>19th - 22nd Mar</t>
  </si>
  <si>
    <t>69ba3bcf781584b90d92246f</t>
  </si>
  <si>
    <t>IFD Online - VI (FB 19th)</t>
  </si>
  <si>
    <t>IFD Online - VI</t>
  </si>
  <si>
    <t>View Item</t>
  </si>
  <si>
    <t>69ba3c06a77e4b1b99803270</t>
  </si>
  <si>
    <t>IFD Online - Active (FB 19th)</t>
  </si>
  <si>
    <t>IFD Online - Active</t>
  </si>
  <si>
    <t>Active</t>
  </si>
  <si>
    <t>69ba3d4dd40f7dcd3c98f611</t>
  </si>
  <si>
    <t>IFD Online - Dormant (FB 19th)</t>
  </si>
  <si>
    <t>IFD Online - Dormant</t>
  </si>
  <si>
    <t>Dormant Repeat</t>
  </si>
  <si>
    <t>69ba3d835f6dd1b7a4a59bd5</t>
  </si>
  <si>
    <t>IFD Online - Prodorm (FB 19th)</t>
  </si>
  <si>
    <t>IFD Online - Prodorm</t>
  </si>
  <si>
    <t>Predominance</t>
  </si>
  <si>
    <t>69ba3dc3c61c750ff19081af</t>
  </si>
  <si>
    <t>IFD Online - Mist (FB 19th)</t>
  </si>
  <si>
    <t>IFD Online - Mist</t>
  </si>
  <si>
    <t>69ba3dfc09c7239597da834f</t>
  </si>
  <si>
    <t>IFD Online - Cross-Cat (FB 19th)</t>
  </si>
  <si>
    <t>IFD Online - Cross-Cat</t>
  </si>
  <si>
    <t>Cross Category</t>
  </si>
  <si>
    <t>69ba3e3be69452c1ac1e4e55</t>
  </si>
  <si>
    <t>ATC_Fragra_90D</t>
  </si>
  <si>
    <t>Customers who have added to cart from L2: Fragrances in the last 90D but have not purchased</t>
  </si>
  <si>
    <t>69ba394851300d406a8374e1</t>
  </si>
  <si>
    <t>View_Item_Fragra_3times_90D</t>
  </si>
  <si>
    <t>Customers who have viewed items from L2: Fragrances in the last 90D but have not purchased</t>
  </si>
  <si>
    <t>69ba39fecfc3aa0f1ff6702b</t>
  </si>
  <si>
    <t>Active_Cust_Fragrances</t>
  </si>
  <si>
    <t>Customers who have purchased from L2: Fragrances at least 1 time in TTR (84 Days)</t>
  </si>
  <si>
    <t>69ba3a3283be18e6980c523b</t>
  </si>
  <si>
    <t>Dormant_Repeat_Fragrances</t>
  </si>
  <si>
    <t>Customers who have purchased from L2: Fragrances at least 2 times in the last 36 months but have not purchased in TTR</t>
  </si>
  <si>
    <t>69ba3a606fc5fd4ee2180f44</t>
  </si>
  <si>
    <t>Predom_Fragrances</t>
  </si>
  <si>
    <t>Customers who have PREDOM purchased from L2: Fragrances</t>
  </si>
  <si>
    <t>69ba3b169f451d355418e694</t>
  </si>
  <si>
    <t>EDP_Mist_Discount_Buyers</t>
  </si>
  <si>
    <t>Customers who have purchased from L3: Mists &amp; L3: EDP with net discount value more than zero</t>
  </si>
  <si>
    <t>69ba3b3809ada9ac69788f82</t>
  </si>
  <si>
    <t>BodyCare_Excl_Fragrances</t>
  </si>
  <si>
    <t>Customers who have purchased from L2: Body Care but have not purchased from L2: Fragrances</t>
  </si>
  <si>
    <t>69ba3b7fd40f7dcd3c98f5c9</t>
  </si>
  <si>
    <t>bbw_wa_ifw_offline_193_loyal</t>
  </si>
  <si>
    <t>Loyal_Atleast4Times_IFW_Off</t>
  </si>
  <si>
    <t>Offline Customers purchased atleast 4 in the last 12 Months AND Exclude Last 15 days purchasers Offline</t>
  </si>
  <si>
    <t>19-21 March</t>
  </si>
  <si>
    <t>69ba7c415ba1aa1dce9c8e2d</t>
  </si>
  <si>
    <t>bbw_wa_ifw_offline_193_repeat</t>
  </si>
  <si>
    <t>Repeat_Off_IFW</t>
  </si>
  <si>
    <r>
      <rPr>
        <rFont val="Montserrat"/>
        <color theme="1"/>
        <sz val="10.0"/>
      </rPr>
      <t xml:space="preserve">Offline Customers purchased at least 2 times in the last 6 Months AND Exclude Last 15 days purchasers Offline </t>
    </r>
    <r>
      <rPr>
        <rFont val="Montserrat"/>
        <b/>
        <color theme="1"/>
        <sz val="10.0"/>
      </rPr>
      <t>OR</t>
    </r>
    <r>
      <rPr>
        <rFont val="Montserrat"/>
        <color theme="1"/>
        <sz val="10.0"/>
      </rPr>
      <t xml:space="preserve"> Loyal_Atleast4Times_IFW_Off</t>
    </r>
  </si>
  <si>
    <t>69ba7dcda88b0be57cd3ae81</t>
  </si>
  <si>
    <t>bbw_wa_ifw_offline_193_aov_less_than_2999</t>
  </si>
  <si>
    <t>AOV_LessThan2999_IFW_Off</t>
  </si>
  <si>
    <r>
      <rPr>
        <rFont val="Montserrat"/>
        <color theme="1"/>
      </rPr>
      <t xml:space="preserve">Offline Customers who have purchased in the last 12 months having AOV less than 2999 </t>
    </r>
    <r>
      <rPr>
        <rFont val="Montserrat"/>
        <b/>
        <color theme="1"/>
      </rPr>
      <t>AND</t>
    </r>
    <r>
      <rPr>
        <rFont val="Montserrat"/>
        <color theme="1"/>
      </rPr>
      <t xml:space="preserve"> Exclude Last 15 days purchasers Offline </t>
    </r>
    <r>
      <rPr>
        <rFont val="Montserrat"/>
        <b/>
        <color theme="1"/>
      </rPr>
      <t>OR</t>
    </r>
    <r>
      <rPr>
        <rFont val="Montserrat"/>
        <color theme="1"/>
      </rPr>
      <t xml:space="preserve"> Loyal_Atleast4Times_IFW_Off </t>
    </r>
    <r>
      <rPr>
        <rFont val="Montserrat"/>
        <b/>
        <color theme="1"/>
      </rPr>
      <t>OR</t>
    </r>
    <r>
      <rPr>
        <rFont val="Montserrat"/>
        <color theme="1"/>
      </rPr>
      <t xml:space="preserve"> Repeat_Off_IFW</t>
    </r>
  </si>
  <si>
    <t>69ba7e442b0cb53aacf49ff4</t>
  </si>
  <si>
    <t>bbw_wa_ifw_offline_193_utp_greater_than_3</t>
  </si>
  <si>
    <t>UPT_GreaterThan3_IFW_Off</t>
  </si>
  <si>
    <r>
      <rPr>
        <rFont val="Montserrat"/>
        <color theme="1"/>
      </rPr>
      <t xml:space="preserve">Offline customers purchasing 3+ products in one purchase in the last 36 months </t>
    </r>
    <r>
      <rPr>
        <rFont val="Montserrat"/>
        <b/>
        <color theme="1"/>
      </rPr>
      <t>AND</t>
    </r>
    <r>
      <rPr>
        <rFont val="Montserrat"/>
        <color theme="1"/>
      </rPr>
      <t xml:space="preserve"> Exclude Last 15 days purchasers Offline </t>
    </r>
    <r>
      <rPr>
        <rFont val="Montserrat"/>
        <b/>
        <color theme="1"/>
      </rPr>
      <t>OR</t>
    </r>
    <r>
      <rPr>
        <rFont val="Montserrat"/>
        <color theme="1"/>
      </rPr>
      <t xml:space="preserve"> Loyal_Atleast4Times_IFW_Off </t>
    </r>
    <r>
      <rPr>
        <rFont val="Montserrat"/>
        <b/>
        <color theme="1"/>
      </rPr>
      <t>OR</t>
    </r>
    <r>
      <rPr>
        <rFont val="Montserrat"/>
        <color theme="1"/>
      </rPr>
      <t xml:space="preserve"> Repeat_Off_IFW </t>
    </r>
    <r>
      <rPr>
        <rFont val="Montserrat"/>
        <b/>
        <color theme="1"/>
      </rPr>
      <t>OR</t>
    </r>
    <r>
      <rPr>
        <rFont val="Montserrat"/>
        <color theme="1"/>
      </rPr>
      <t xml:space="preserve"> AOV_LessThan2999_IFW_Off</t>
    </r>
  </si>
  <si>
    <t>69ba7e9d2d975739a52fd303</t>
  </si>
  <si>
    <t>bbw_wa_ifw_offline_193_Recent</t>
  </si>
  <si>
    <t>Recent_IFW_Off</t>
  </si>
  <si>
    <r>
      <rPr>
        <rFont val="Montserrat"/>
        <color theme="1"/>
      </rPr>
      <t xml:space="preserve">Offline Customers purchasing in the last 90 days </t>
    </r>
    <r>
      <rPr>
        <rFont val="Montserrat"/>
        <b/>
        <color theme="1"/>
      </rPr>
      <t>AND</t>
    </r>
    <r>
      <rPr>
        <rFont val="Montserrat"/>
        <color theme="1"/>
      </rPr>
      <t xml:space="preserve"> Exclude Last 15 days purchasers Offline</t>
    </r>
    <r>
      <rPr>
        <rFont val="Montserrat"/>
        <b/>
        <color theme="1"/>
      </rPr>
      <t xml:space="preserve"> OR</t>
    </r>
    <r>
      <rPr>
        <rFont val="Montserrat"/>
        <color theme="1"/>
      </rPr>
      <t xml:space="preserve"> Loyal_Atleast4Times_IFW_Off </t>
    </r>
    <r>
      <rPr>
        <rFont val="Montserrat"/>
        <b/>
        <color theme="1"/>
      </rPr>
      <t>OR</t>
    </r>
    <r>
      <rPr>
        <rFont val="Montserrat"/>
        <color theme="1"/>
      </rPr>
      <t xml:space="preserve"> Repeat_Off_IFW </t>
    </r>
    <r>
      <rPr>
        <rFont val="Montserrat"/>
        <b/>
        <color theme="1"/>
      </rPr>
      <t>OR</t>
    </r>
    <r>
      <rPr>
        <rFont val="Montserrat"/>
        <color theme="1"/>
      </rPr>
      <t xml:space="preserve"> AOV_LessThan2999_IFW_Off </t>
    </r>
    <r>
      <rPr>
        <rFont val="Montserrat"/>
        <b/>
        <color theme="1"/>
      </rPr>
      <t>OR</t>
    </r>
    <r>
      <rPr>
        <rFont val="Montserrat"/>
        <color theme="1"/>
      </rPr>
      <t xml:space="preserve"> UPT_GreaterThan3_IFW_Off</t>
    </r>
  </si>
  <si>
    <t>69ba7f24a88b0be57cd3aeec</t>
  </si>
  <si>
    <t>bbw_wa_ifw_offline_193_high_ltv</t>
  </si>
  <si>
    <t>High_LTV_GreaterThan15K_IFW_Off</t>
  </si>
  <si>
    <r>
      <rPr>
        <rFont val="Montserrat"/>
        <color theme="1"/>
        <sz val="10.0"/>
      </rPr>
      <t xml:space="preserve">Offline Customers purchasing whose LTV is greater than 14999 in the last 36 months  </t>
    </r>
    <r>
      <rPr>
        <rFont val="Montserrat"/>
        <b/>
        <color theme="1"/>
        <sz val="10.0"/>
      </rPr>
      <t>AND</t>
    </r>
    <r>
      <rPr>
        <rFont val="Montserrat"/>
        <color theme="1"/>
        <sz val="10.0"/>
      </rPr>
      <t xml:space="preserve"> Exclude Last 15 days purchasers Offline </t>
    </r>
    <r>
      <rPr>
        <rFont val="Montserrat"/>
        <b/>
        <color theme="1"/>
        <sz val="10.0"/>
      </rPr>
      <t>OR</t>
    </r>
    <r>
      <rPr>
        <rFont val="Montserrat"/>
        <color theme="1"/>
        <sz val="10.0"/>
      </rPr>
      <t xml:space="preserve"> Loyal_Atleast4Times_IFW_Off </t>
    </r>
    <r>
      <rPr>
        <rFont val="Montserrat"/>
        <b/>
        <color theme="1"/>
        <sz val="10.0"/>
      </rPr>
      <t>OR</t>
    </r>
    <r>
      <rPr>
        <rFont val="Montserrat"/>
        <color theme="1"/>
        <sz val="10.0"/>
      </rPr>
      <t xml:space="preserve"> Repeat_Off_IFW </t>
    </r>
    <r>
      <rPr>
        <rFont val="Montserrat"/>
        <b/>
        <color theme="1"/>
        <sz val="10.0"/>
      </rPr>
      <t>OR</t>
    </r>
    <r>
      <rPr>
        <rFont val="Montserrat"/>
        <color theme="1"/>
        <sz val="10.0"/>
      </rPr>
      <t xml:space="preserve"> AOV_LessThan2999_IFW_Off </t>
    </r>
    <r>
      <rPr>
        <rFont val="Montserrat"/>
        <b/>
        <color theme="1"/>
        <sz val="10.0"/>
      </rPr>
      <t>OR</t>
    </r>
    <r>
      <rPr>
        <rFont val="Montserrat"/>
        <color theme="1"/>
        <sz val="10.0"/>
      </rPr>
      <t xml:space="preserve"> UPT_GreaterThan3_IFW_Off </t>
    </r>
    <r>
      <rPr>
        <rFont val="Montserrat"/>
        <b/>
        <color theme="1"/>
        <sz val="10.0"/>
      </rPr>
      <t xml:space="preserve">OR </t>
    </r>
    <r>
      <rPr>
        <rFont val="Montserrat"/>
        <color theme="1"/>
        <sz val="10.0"/>
      </rPr>
      <t>Recent_IFW_Off</t>
    </r>
  </si>
  <si>
    <t>AOV Greater than 4000</t>
  </si>
  <si>
    <t>69ba94b9914ecb4f77623120</t>
  </si>
  <si>
    <t>bbw_wa_ifw_offline_193_aov_greater_than_4k</t>
  </si>
  <si>
    <t>AOV_GreaterThan4K_IFW_Off_v2</t>
  </si>
  <si>
    <r>
      <rPr>
        <rFont val="Montserrat"/>
        <color theme="1"/>
        <sz val="10.0"/>
      </rPr>
      <t xml:space="preserve">Offline Customers who have purchased atleast 2 times with AOV greater than 4000 </t>
    </r>
    <r>
      <rPr>
        <rFont val="Montserrat"/>
        <b/>
        <color theme="1"/>
        <sz val="10.0"/>
      </rPr>
      <t>AND</t>
    </r>
    <r>
      <rPr>
        <rFont val="Montserrat"/>
        <color theme="1"/>
        <sz val="10.0"/>
      </rPr>
      <t xml:space="preserve"> Exclude Last 15 days purchasers Offline </t>
    </r>
    <r>
      <rPr>
        <rFont val="Montserrat"/>
        <b/>
        <color theme="1"/>
        <sz val="10.0"/>
      </rPr>
      <t>OR</t>
    </r>
    <r>
      <rPr>
        <rFont val="Montserrat"/>
        <color theme="1"/>
        <sz val="10.0"/>
      </rPr>
      <t xml:space="preserve"> Loyal_Atleast4Times_IFW_Off </t>
    </r>
    <r>
      <rPr>
        <rFont val="Montserrat"/>
        <b/>
        <color theme="1"/>
        <sz val="10.0"/>
      </rPr>
      <t>OR</t>
    </r>
    <r>
      <rPr>
        <rFont val="Montserrat"/>
        <color theme="1"/>
        <sz val="10.0"/>
      </rPr>
      <t xml:space="preserve"> Repeat_Off_IFW OR AOV_LessThan2999_IFW_Off </t>
    </r>
    <r>
      <rPr>
        <rFont val="Montserrat"/>
        <b/>
        <color theme="1"/>
        <sz val="10.0"/>
      </rPr>
      <t xml:space="preserve">OR </t>
    </r>
    <r>
      <rPr>
        <rFont val="Montserrat"/>
        <color theme="1"/>
        <sz val="10.0"/>
      </rPr>
      <t xml:space="preserve">UPT_GreaterThan3_IFW_Off </t>
    </r>
    <r>
      <rPr>
        <rFont val="Montserrat"/>
        <b/>
        <color theme="1"/>
        <sz val="10.0"/>
      </rPr>
      <t>OR</t>
    </r>
    <r>
      <rPr>
        <rFont val="Montserrat"/>
        <color theme="1"/>
        <sz val="10.0"/>
      </rPr>
      <t xml:space="preserve"> Recent_IFW_Off </t>
    </r>
    <r>
      <rPr>
        <rFont val="Montserrat"/>
        <b/>
        <color theme="1"/>
        <sz val="10.0"/>
      </rPr>
      <t>OR</t>
    </r>
    <r>
      <rPr>
        <rFont val="Montserrat"/>
        <color theme="1"/>
        <sz val="10.0"/>
      </rPr>
      <t xml:space="preserve"> High_LTV_GreaterThan15K_IFW_Off</t>
    </r>
  </si>
  <si>
    <t>69ba94f68905318635937417</t>
  </si>
  <si>
    <t>bbw_ifw_smsfb_offline</t>
  </si>
  <si>
    <t>Has executed WhatsApp Message Delivery Failed atleast 1 time in the last 3 days with attributes Readable Campaign Id contains any of [69ba7c415ba1aa1dce9c8e2d, 69ba7e442b0cb53aacf49ff4, 69ba7dcda88b0be57cd3ae81, 69ba7e9d2d975739a52fd303, 69ba7f24a88b0be57cd3aeec, 69ba94b9914ecb4f77623120, 69ba94f68905318635937417] case insensitive</t>
  </si>
  <si>
    <t>69ba9dacc4ab1133797916ce</t>
  </si>
  <si>
    <t>IFD Online - VI (FB 20th)</t>
  </si>
  <si>
    <t>20-22nd Mar</t>
  </si>
  <si>
    <t>69ba3ec06026ae365a2f9af9</t>
  </si>
  <si>
    <t>IFD Online - Active (FB 20th)</t>
  </si>
  <si>
    <t>69ba3f3ee1176b0b9ef5197e</t>
  </si>
  <si>
    <t>IFD Online - Dormant (FB 20th)</t>
  </si>
  <si>
    <t>69ba4003e710aee115e5c8fc</t>
  </si>
  <si>
    <t>IFD Online - Prodorm (FB 20th)</t>
  </si>
  <si>
    <t>69ba408f797eb943fa6c9f45</t>
  </si>
  <si>
    <t>IFD Online - Mist (FB 20th)</t>
  </si>
  <si>
    <t>69ba40e0129c185f066f6969</t>
  </si>
  <si>
    <t>IFD Online - Cross-Cat (FB 20th)</t>
  </si>
  <si>
    <t>69ba412dc875dea3238de6bf</t>
  </si>
  <si>
    <t>IFD Online - ATC (FB 20th)</t>
  </si>
  <si>
    <t>69ba424409c7239597da8469</t>
  </si>
  <si>
    <t>IFD Store Visit - HYD</t>
  </si>
  <si>
    <t>vs_off_pr_97006_97013_1280_16thmarch</t>
  </si>
  <si>
    <t xml:space="preserve">Store level segment </t>
  </si>
  <si>
    <t>20th - 22nd Mar</t>
  </si>
  <si>
    <t>69ba527880d3fb1f26fe6e03</t>
  </si>
  <si>
    <t>IFD Store Visit - Del</t>
  </si>
  <si>
    <t>vs_off_pr_97002_1251_16thmarch</t>
  </si>
  <si>
    <t>69ba52a6257f27551b59da6d</t>
  </si>
  <si>
    <t>IFD Store Visit - Pune</t>
  </si>
  <si>
    <t>vs_off_pr_97005_97007_16thmarch</t>
  </si>
  <si>
    <t>69ba52e534cccb7fa3af2ce6</t>
  </si>
  <si>
    <t>IFD Store Visit - GGN</t>
  </si>
  <si>
    <t>vs_off_pr_97003_16thmarch</t>
  </si>
  <si>
    <t>69ba5341637ab80a7f0731c5</t>
  </si>
  <si>
    <t>IFD Store Visit - Raipur</t>
  </si>
  <si>
    <t>vs_off_pr_1271_16thmarch</t>
  </si>
  <si>
    <t>69ba53770fa281e23ebca3c8</t>
  </si>
  <si>
    <t>IFD Store Visit - Lucknow</t>
  </si>
  <si>
    <t>vs_off_pr_1225_16thmarch</t>
  </si>
  <si>
    <t>69ba53a4f8e521485dfcb566</t>
  </si>
  <si>
    <t>IFD Store Visit - Kochi</t>
  </si>
  <si>
    <t>vs_off_pr_97011_16thmarch</t>
  </si>
  <si>
    <t>Offline Customers who have purchased at lease 1 time in last 36 months from any store in Kochi (97011 - VS LULU KOCHI)</t>
  </si>
  <si>
    <t>69ba53d035aaa45396eb9d31</t>
  </si>
  <si>
    <t>IFD Store Visit - Chennai</t>
  </si>
  <si>
    <t>vs_off_pr_1252_16thmarch</t>
  </si>
  <si>
    <t>69ba53f9f05e72a5c5ebc561</t>
  </si>
  <si>
    <t>IFD Store Visit - BLR FA</t>
  </si>
  <si>
    <t>vs_off_pr_FA_97004_1273_16thmarch</t>
  </si>
  <si>
    <t>69ba543c637ab80a7f0731dc</t>
  </si>
  <si>
    <t>IFD Store Visit - BLR BA</t>
  </si>
  <si>
    <t>vs_off_pr_FA_97012_16thmarch</t>
  </si>
  <si>
    <t>69ba545a68ce29697890fa5c</t>
  </si>
  <si>
    <t>IFD Store Visit - Mumbai BA</t>
  </si>
  <si>
    <t>vs_off_pr_BA_97008_97009_16thmarch</t>
  </si>
  <si>
    <t>69ba5497a7bd314a70a06876</t>
  </si>
  <si>
    <t>IFD Store Visit - Mumbai FA</t>
  </si>
  <si>
    <t>vs_off_pr_97001_16thmarch</t>
  </si>
  <si>
    <t>69ba54baea0e8dac9ff792ae</t>
  </si>
  <si>
    <t>IFD Online - ATC (FB SMS 20th)</t>
  </si>
  <si>
    <t>69ba44f4cb7d5070d48c490d</t>
  </si>
  <si>
    <t>IFD Online - VI (FB SMS 20th)</t>
  </si>
  <si>
    <t>69ba4513a152b30cf45cad4d</t>
  </si>
  <si>
    <t>IFD Online - Active (FB SMS 20th)</t>
  </si>
  <si>
    <t>69ba4522ab9e64bd3ce4e6cc</t>
  </si>
  <si>
    <t>IFD Online - Dormant (FB SMS 20th)</t>
  </si>
  <si>
    <t>69ba453d5f6dd1b7a4a59ed0</t>
  </si>
  <si>
    <t>IFD Online - Prodorm (FB SMS 20th)</t>
  </si>
  <si>
    <t>69ba455990ad8e4b8db1144d</t>
  </si>
  <si>
    <t>IFD Online - Mist (FB SMS 20th)</t>
  </si>
  <si>
    <t>69ba456cd10e4f20cd01930e</t>
  </si>
  <si>
    <t>IFD Online - Cross-Cat (FB SMS 20th)</t>
  </si>
  <si>
    <t>69ba457d5627d551f7a31164</t>
  </si>
  <si>
    <t>IFD Store Visit - HYD (FB)</t>
  </si>
  <si>
    <t>69ba60986af779c8cefc3d99</t>
  </si>
  <si>
    <t>IFD Store Visit - Del (FB)</t>
  </si>
  <si>
    <t>69ba60dd2cfda39b3178fd0f</t>
  </si>
  <si>
    <t>IFD Store Visit - Pune (FB)</t>
  </si>
  <si>
    <t>69ba61071652d772ef3e482d</t>
  </si>
  <si>
    <t>IFD Store Visit - GGN (FB)</t>
  </si>
  <si>
    <t>69ba62110eb641e09720cc60</t>
  </si>
  <si>
    <t>IFD Store Visit - Raipur (FB)</t>
  </si>
  <si>
    <t>69ba625001abad622f501f9d</t>
  </si>
  <si>
    <t>IFD Store Visit - Lucknow (FB)</t>
  </si>
  <si>
    <t>69ba6278f7ff30bd087495d6</t>
  </si>
  <si>
    <t>IFD Store Visit - Kochi (FB)</t>
  </si>
  <si>
    <t>69ba62c9121c343e0e31ca0d</t>
  </si>
  <si>
    <t>IFD Store Visit - Chennai (FB)</t>
  </si>
  <si>
    <t>69ba62f70eb641e09720cc6c</t>
  </si>
  <si>
    <t>IFD Store Visit - BLR FA (FB)</t>
  </si>
  <si>
    <t>69ba631e0eb641e09720cca9</t>
  </si>
  <si>
    <t>IFD Store Visit - BLR BA (FB)</t>
  </si>
  <si>
    <t>69ba6b5adf847431352aa55d</t>
  </si>
  <si>
    <t>IFD Store Visit - Mumbai BA (FB)</t>
  </si>
  <si>
    <t>69ba6c19061dd51a8fceece1</t>
  </si>
  <si>
    <t>IFD Store Visit - Mumbai FA (FB)</t>
  </si>
  <si>
    <t>69ba6c4492e3a078bfd76807</t>
  </si>
  <si>
    <t>bbw_wa_ifw_213_bc_catspecific</t>
  </si>
  <si>
    <t>Cat_BC_2times_9months OR AGIPL_Internal OR BBW_Internal</t>
  </si>
  <si>
    <t>Customers who have purchased from L2 Body Care at least 2 times in the last 9 months</t>
  </si>
  <si>
    <t>Category Specific :- BodyCare - Repeat</t>
  </si>
  <si>
    <t>21-23 March</t>
  </si>
  <si>
    <t>69bce7e8542c5257429dc41f</t>
  </si>
  <si>
    <t>bbw_wa_ifw_213_candles_catspecific</t>
  </si>
  <si>
    <t>Cat_Candles_1time_9months</t>
  </si>
  <si>
    <t>Customers who have purchased from L3 Candles at least 1 time in the last 9 months</t>
  </si>
  <si>
    <t>Category Specific :- Candles</t>
  </si>
  <si>
    <t>69bce821ed927584fe128a76</t>
  </si>
  <si>
    <t>bbw_wa_ifw_213_hs_catspecific</t>
  </si>
  <si>
    <t>Cat_Soaps_1time_9months</t>
  </si>
  <si>
    <t>Customers who have purchased from L2 Soaps &amp; Sanitizers at least 1 time in the last 9 months</t>
  </si>
  <si>
    <t>Category Specific :- Soaps and Sanitisers</t>
  </si>
  <si>
    <t>69bce8338cbfdf196cc62192</t>
  </si>
  <si>
    <t>Handbags</t>
  </si>
  <si>
    <t>High Aov handbags_21st Mar</t>
  </si>
  <si>
    <t>HandBags_NoPr_Footwear OR AGIPL_Internal</t>
  </si>
  <si>
    <t>Customers who have purchased HandBags whose LTV greater than 12000 in the entire date range AND Customers who have not purchased Footwear in the etire date range</t>
  </si>
  <si>
    <t>21-29th March</t>
  </si>
  <si>
    <t>69ba7958f489dd902e97e02a</t>
  </si>
  <si>
    <t>High Aov handbags_21st Mar_2</t>
  </si>
  <si>
    <t>Footwear_NoPr_Handbags</t>
  </si>
  <si>
    <t>Customers who have purchased Footwear whose LTV greater than 12000 in the entire date range AND Customers who have not purchased Handbags in the etire date range</t>
  </si>
  <si>
    <t>69ba79803039040af3a8aa77</t>
  </si>
  <si>
    <t>High Aov handbags_21st Mar_SMS</t>
  </si>
  <si>
    <t>69ba83dcad80c10e61b4ee26</t>
  </si>
  <si>
    <t>High Aov handbags_21st Mar_SMS_2</t>
  </si>
  <si>
    <t>69ba8402a88b0be57cd3b090</t>
  </si>
  <si>
    <t>bbw_wa_ifw_223_atc_7days</t>
  </si>
  <si>
    <t>ATC_7Days</t>
  </si>
  <si>
    <t>Customers who have ATC in the last 7 days</t>
  </si>
  <si>
    <t>22-24 March</t>
  </si>
  <si>
    <t>69bced59d3de9560735fe9fa</t>
  </si>
  <si>
    <t>bbw_wa_ifw_223_wa_clicked_5D</t>
  </si>
  <si>
    <t>WA_Click_5Days</t>
  </si>
  <si>
    <t>Customers who have engaged with WA Message in the last 5 days</t>
  </si>
  <si>
    <t>WA Engage</t>
  </si>
  <si>
    <t>69bced66d11871026fea6021</t>
  </si>
  <si>
    <t>bbw_wa_ifw_223_item_viewed_30D</t>
  </si>
  <si>
    <t>Item_View_30Days</t>
  </si>
  <si>
    <t>Customers who have viewed the website in the last 30 days</t>
  </si>
  <si>
    <t>Web View</t>
  </si>
  <si>
    <t>69bced7bed927584fe128bb7</t>
  </si>
  <si>
    <t>bbw_wa_ifw_223_wa_delivered_all_18to21</t>
  </si>
  <si>
    <t>Has executed WhatsApp Message Sent atleast 1 time in the last 5 days with attributes Readable Campaign Id is in [69ba8ea8a8b3b9b2cad5fc6c, 69ba8f33affd649490c9b8db, 69ba90258905318635937264, 69ba9104510d4df39917c9a1, 69ba91c6867170a0d0070ce8, 69ba9268a23503ed1f2dfd51, 69ba8d8d914ecb4f77622e7c, 69ba92dd402e688352d08c02, 69ba7c415ba1aa1dce9c8e2d, 69ba7dcda88b0be57cd3ae81, 69ba7e442b0cb53aacf49ff4, 69ba7e9d2d975739a52fd303, 69ba7f24a88b0be57cd3aeec, 69ba94b9914ecb4f77623120, 69ba94f68905318635937417, 69bce7e8542c5257429dc41f, 69bce821ed927584fe128a76, 69bce8338cbfdf196cc62192] case insensitive</t>
  </si>
  <si>
    <t>69bcf1fc0959d4c36344b1f8</t>
  </si>
  <si>
    <t>bbw_smsfb_ifw_223_atc_7days</t>
  </si>
  <si>
    <t>69bcf28f096da3b90d76f58b</t>
  </si>
  <si>
    <t>bbw_smsfb_ifw_223_wa_clicked_5D</t>
  </si>
  <si>
    <t>69bcf2f11b6cf7e19256a144</t>
  </si>
  <si>
    <t>bbw_smsfb_ifw_223_item_viewed_30D</t>
  </si>
  <si>
    <t>69bcf31f60c37dc062dd73b2</t>
  </si>
  <si>
    <t>bbw_smsfb_ifw_223_wa_delivered_all_18to21</t>
  </si>
  <si>
    <t>69bcf360096da3b90d76f5b3</t>
  </si>
  <si>
    <t>minis</t>
  </si>
  <si>
    <t>bbw_sms_hs_hc_minis_599_243_2times_30D</t>
  </si>
  <si>
    <t>HS_HC_ATC_2times_30D</t>
  </si>
  <si>
    <t>Customers who have added to cqart at least 2 times in the last 30 days from L2: Hand Soaps or L3: Hand Creams or Cart Value below 999</t>
  </si>
  <si>
    <t>69c26d28e673af54b9a75606</t>
  </si>
  <si>
    <t>bbw_sms_hs_hc_minis_599_243_predom_repeat</t>
  </si>
  <si>
    <t>HS_HC_Minis_Predom_Repeat</t>
  </si>
  <si>
    <t>Customers who have purchased at least 2 times PREDOM from L2: Travel Size or L3: Hand Cream or L3: Liquid Soaps in the last 730 days</t>
  </si>
  <si>
    <t>Repeat  Predom Cat</t>
  </si>
  <si>
    <t>69c26d39aed8e2a5aef16111</t>
  </si>
  <si>
    <t>bbw_sms_hs_hc_minis_599_243_value_less_than_899</t>
  </si>
  <si>
    <t>Repeat_Predom_Value_Less_Than_899</t>
  </si>
  <si>
    <t>Customers who have purchased at least 2 times PREDOM with cart value &lt;899 in the last 730 days</t>
  </si>
  <si>
    <t>Predom Item Value</t>
  </si>
  <si>
    <t>69c26d4afbe99720060ddded</t>
  </si>
  <si>
    <t>bbw_sms_hs_hc_minis_599_243_fullprice</t>
  </si>
  <si>
    <t>HC_HS_Minis_FullPrice</t>
  </si>
  <si>
    <t>Customers who have purchased at least 1 time from L2: Travel Size or L3: Hand Cream or L3: Liquid Soaps in the last 1095 days at full price</t>
  </si>
  <si>
    <t>Full Price Cat</t>
  </si>
  <si>
    <t>69c26d591fb6aab2a58644e3</t>
  </si>
  <si>
    <t>bbw_sms_hs_hc_minis_599_243_dormant</t>
  </si>
  <si>
    <t>HS_HC_Minis_Dormant</t>
  </si>
  <si>
    <t>Customers who have purchased at least 1 time from L2: Travel Size or L3: Hand Cream or L3: Liquid Soaps in the last 365 days</t>
  </si>
  <si>
    <t>69c26d6dc772c594c4af0589</t>
  </si>
  <si>
    <t>bbw_sms_hs_hc_minis_599_243_active</t>
  </si>
  <si>
    <t>HS_HC_Minis_Active</t>
  </si>
  <si>
    <t>Customers who have purchased at least 1 time from L2: Travel Size or L3: Hand Cream or L3: Liquid Soaps in the last 109 days</t>
  </si>
  <si>
    <t>69c26d7bdbf111226389292b</t>
  </si>
  <si>
    <t xml:space="preserve">Pajama campaign </t>
  </si>
  <si>
    <t>PJ_Party_VI_On</t>
  </si>
  <si>
    <t>View_Item_PJ_90D</t>
  </si>
  <si>
    <t>Customers who have viewed items from Pajama Sets at least 2 times in the last 90 days</t>
  </si>
  <si>
    <t>26th - 29th March</t>
  </si>
  <si>
    <t>69c4d7aaed863178a4769168</t>
  </si>
  <si>
    <t>PJ_Party_High_LTV_On</t>
  </si>
  <si>
    <t>Predom_Order_Value_9998_ON</t>
  </si>
  <si>
    <t>Online Customers who have PREDOM purchased with Order Net Value &gt; 9998 in the last 1095 days AND Exclude Custom Segment :- View_Item_PJ_90D</t>
  </si>
  <si>
    <t>Predom Cart Value</t>
  </si>
  <si>
    <t>69c4d8c15c37f03618baa154</t>
  </si>
  <si>
    <t>PJ_Party_Cat_Buyers_On</t>
  </si>
  <si>
    <t>PJ_Cat_Buyers_On</t>
  </si>
  <si>
    <t>Online Customers who have purchased at least 1 time from L2: Sleep &amp; Loungewear AND Exclude Custom Segment :- View_Item_PJ_90D, Predom_Order_Value_9998_ON</t>
  </si>
  <si>
    <t>Cat Buyers</t>
  </si>
  <si>
    <t>69c4d998a346f7be11bcbd34</t>
  </si>
  <si>
    <t>PJ_Party_Disc_CX_On</t>
  </si>
  <si>
    <t>Disc_20perc_ON</t>
  </si>
  <si>
    <t>Online Customers who have purchased at least 1 time with discount percentage exceeding 19% AND Exclude Custom Segment :- View_Item_PJ_90D, Predom_Order_Value_9998_ON, PJ_Cat_Buyers_ON</t>
  </si>
  <si>
    <t>Discount Buyers</t>
  </si>
  <si>
    <t>69c4da5ab1ff65057c46ef3b</t>
  </si>
  <si>
    <t>PJ_Party_BTY_CX_On</t>
  </si>
  <si>
    <t>Beauty_NoPr_Pajama_On</t>
  </si>
  <si>
    <t>Online Beauty Customers who have not purchased Sleep and Loungewear in the last 1095 days AND Exclude Custom Segment :- View_Item_PJ_90D, Predom_Order_Value_9998_ON, PJ_Cat_Buyers_ON,  Disc_20perc_ON</t>
  </si>
  <si>
    <t>Beauty No Purchase Pajama</t>
  </si>
  <si>
    <t>69c4db2ede5bb30ae4315186</t>
  </si>
  <si>
    <t>PJ_Party_Bra_CX_On</t>
  </si>
  <si>
    <t>Bra_NoPr_Pajama_On</t>
  </si>
  <si>
    <t>Online Bra Customers who have not purchased Sleep and Loungewear in the last 1095 days AND Exclude Custom Segment :- View_Item_PJ_90D, Predom_Order_Value_9998_ON, PJ_Cat_Buyers_ON,  Disc_20perc_ON,  Beauty_NoPr_Pajama_On</t>
  </si>
  <si>
    <t>Bra No Purchase Pajama</t>
  </si>
  <si>
    <t>69c4dbc267a04c88505ae419</t>
  </si>
  <si>
    <t>PJ_Party_VI_On (FB)</t>
  </si>
  <si>
    <t>69c4d7ffe7c8af7dc79e5482</t>
  </si>
  <si>
    <t>PJ_Party_High_LTV_On (FB)</t>
  </si>
  <si>
    <t>69c4d915ae0edbca1882d8d2</t>
  </si>
  <si>
    <t>PJ_Party_Cat_Buyers_On (FB)</t>
  </si>
  <si>
    <t>69c4d9d556065bb4f9357a43</t>
  </si>
  <si>
    <t>PJ_Party_Disc_CX_On (FB)</t>
  </si>
  <si>
    <t>69c4da9b5c37f03618baa213</t>
  </si>
  <si>
    <t>PJ_Party_BTY_CX_On (FB)</t>
  </si>
  <si>
    <t>69c4db66bf44039488de42e1</t>
  </si>
  <si>
    <t>PJ_Party_Bra_CX_On (FB)</t>
  </si>
  <si>
    <t>69c4dbfef26db0d64baf4e0b</t>
  </si>
  <si>
    <t>bcat999</t>
  </si>
  <si>
    <t>bbw_wa_bcat999_26mar_repeat_on</t>
  </si>
  <si>
    <t>BodyCare_Repeat_180D_ON OR AGIPL_Internal OR BBW_Internal</t>
  </si>
  <si>
    <t>Online Customers who have purchased from BodyCare at least 2 times in the last 180 days</t>
  </si>
  <si>
    <t>Cat Repeat</t>
  </si>
  <si>
    <t>26-28 March</t>
  </si>
  <si>
    <t>69c517d4d06ffcc54f97fd4d</t>
  </si>
  <si>
    <t>bbw_wa_bcat999_26mar_atc_on</t>
  </si>
  <si>
    <t>ATC_BC_90D_ON</t>
  </si>
  <si>
    <t>Online Customers who have added to cart at least 1 time from BodyCare in the last 90 days</t>
  </si>
  <si>
    <t>69c5180a5680d056b78d54ce</t>
  </si>
  <si>
    <t>bbw_wa_bcat999_26mar_item_viewed_on</t>
  </si>
  <si>
    <t>View_BC_1time_60D_ON</t>
  </si>
  <si>
    <t>Online Customers who have viewed items at least 1 time from BodyCare in the last 60 days</t>
  </si>
  <si>
    <t>69c51838f8d8a66d90bf2484</t>
  </si>
  <si>
    <t>bbw_wa_bcat999_26mar_bcpastbuyer_on</t>
  </si>
  <si>
    <t>BC_999max_1Y_ON</t>
  </si>
  <si>
    <t>Online Customers who have purchased from BodyCare at least 1 times with max order value ₹999 in the last 365 days</t>
  </si>
  <si>
    <t>Cart Value</t>
  </si>
  <si>
    <t>69c5185ccc87011ed03c716e</t>
  </si>
  <si>
    <t>bbw_wa_bcat999_26mar_event_buyers_on</t>
  </si>
  <si>
    <t>BC_EventBuyers_ON</t>
  </si>
  <si>
    <t>Online Customers who have purchased at least 1 time from BodyCare in between 2-5 Oct 2025, 16-27 Oct 2025, 9-18 Jan 2026, 26 Feb - 3 Mar 2026</t>
  </si>
  <si>
    <t>69c518824b8454ecf623884f</t>
  </si>
  <si>
    <t>bbw_wa_bcat999_26mar_dormant_on</t>
  </si>
  <si>
    <t>BC_Dormant_1Y_ON</t>
  </si>
  <si>
    <t>Online Customers who have purchased at least 1 time from BodyCare between 90 days and 365 days ago</t>
  </si>
  <si>
    <t>Cat Dormant</t>
  </si>
  <si>
    <t>69c518bd18bbe28b14d723db</t>
  </si>
  <si>
    <t>bbw_wa_bcat999_26mar_disc_buyers_on</t>
  </si>
  <si>
    <t>Disc_Buyer_365D_ON</t>
  </si>
  <si>
    <t>Online Customers who have purchased at least 1 time with discount in the last 365 days</t>
  </si>
  <si>
    <t>69c51902d06ffcc54f97fdfa</t>
  </si>
  <si>
    <t>bbw_wa_bcat999_26mar_appinstalled_nopurch_on</t>
  </si>
  <si>
    <t>App_Install_No_Buy_60D</t>
  </si>
  <si>
    <t>Online Users who have signed up to the app in the last 60 days but have not purchased</t>
  </si>
  <si>
    <t>App Users</t>
  </si>
  <si>
    <t>69c51924c9fdb77549f63972</t>
  </si>
  <si>
    <t>bbw_smsfb_bcat999_26mar_repeat_on</t>
  </si>
  <si>
    <t>69c51d09aa996185d28cf18a</t>
  </si>
  <si>
    <t>bbw_smsfb_bcat999_26mar_atc_on</t>
  </si>
  <si>
    <t>69c51d609539854be51f4ba2</t>
  </si>
  <si>
    <t>bbw_smsfb_bcat999_26mar_item_viewed_on</t>
  </si>
  <si>
    <t>69c51e100bb4a7bf1f47cf75</t>
  </si>
  <si>
    <t>bbw_smsfb_bcat999_26mar_bcpastbuyer_on</t>
  </si>
  <si>
    <t>69c51e7dd9f182dff6dcaf7e</t>
  </si>
  <si>
    <t>bbw_smsfb_bcat999_26mar_event_buyers_on</t>
  </si>
  <si>
    <t>69c51ebd537d3f499fb45e8f</t>
  </si>
  <si>
    <t>bbw_smsfb_bcat999_26mar_dormant_on</t>
  </si>
  <si>
    <t>69c51f0f640d16a4a0ae1b2f</t>
  </si>
  <si>
    <t>bbw_smsfb_bcat999_26mar_disc_buyers_on</t>
  </si>
  <si>
    <t>69c51f6188bce3b3c3caa14b</t>
  </si>
  <si>
    <t>bbw_smsfb_bcat999_26mar_appinstalled_nopurch_on</t>
  </si>
  <si>
    <t>69c51f887074f1cd06c8456b</t>
  </si>
  <si>
    <t>PJ_Party_High_LTV_Off</t>
  </si>
  <si>
    <t>Predom_Order_Value_9998_OFF</t>
  </si>
  <si>
    <t>Offline Customers who have PREDOM purchased with Order Net Value &gt; 9998 in the last 1095 days</t>
  </si>
  <si>
    <t>27th - 29th March</t>
  </si>
  <si>
    <t>69c4dd2a4aa78734aa9d917b</t>
  </si>
  <si>
    <t>PJ_Party_Cat_Buyers_Off</t>
  </si>
  <si>
    <t>PJ_Cat_Buyers_OFF</t>
  </si>
  <si>
    <t>Offline Customers who have purchased at least 1 time from L2: Sleep &amp; Loungewear AND Exclude Custom Segment :- Predom_Order_Value_9998_OFF</t>
  </si>
  <si>
    <t>69c4de26ae0edbca1882da6e</t>
  </si>
  <si>
    <t>PJ_Party_BTY_CX_Off</t>
  </si>
  <si>
    <t>Beauty_NoPr_Pajama_Off</t>
  </si>
  <si>
    <t>Offline Beauty Customers who have not purchased Sleep and Loungewear in the last 1095 days AND Exclude Custom Segment :- Predom_Order_Value_9998_OFF, PJ_Cat_Buyers_OFF</t>
  </si>
  <si>
    <t>69c4dedeb4a3922b1337d639</t>
  </si>
  <si>
    <t>PJ_Party_Bra_CX_Off</t>
  </si>
  <si>
    <t>Bra_NoPr_Pajama_Off</t>
  </si>
  <si>
    <t>Offline Bra Customers who have not purchased Sleep and Loungewear in the last 1095 days AND Exclude Custom Segment :- Predom_Order_Value_9998_OFF, PJ_Cat_Buyers_OFF, Beauty_NoPr_Pajama_Off</t>
  </si>
  <si>
    <t>69c4df88e7c8af7dc79e56f1</t>
  </si>
  <si>
    <t>PJ_Party_High_LTV_Off (FB)</t>
  </si>
  <si>
    <t>69c4dd5ae1876f2f49a81598</t>
  </si>
  <si>
    <t>PJ_Party_Cat_Buyers_Off (FB)</t>
  </si>
  <si>
    <t>69c4de5c682f42c6c92dd13d</t>
  </si>
  <si>
    <t>PJ_Party_BTY_CX_Off (FB)</t>
  </si>
  <si>
    <t>69c4df2d75828fe502580fcb</t>
  </si>
  <si>
    <t>PJ_Party_Bra_CX_Off (FB)</t>
  </si>
  <si>
    <t>69c4dfbd4c1f364eff416bda</t>
  </si>
  <si>
    <t xml:space="preserve">bcat999 </t>
  </si>
  <si>
    <t>bbw_wa_bcat999_26mar_repeat_off</t>
  </si>
  <si>
    <t>BodyCare_Repeat_180D_OFF OR AGIPL_Internal OR BBW_Internal</t>
  </si>
  <si>
    <t>Offline Customers who have purchased from BodyCare at least 2 times in the last 180 days</t>
  </si>
  <si>
    <t>27-29 March</t>
  </si>
  <si>
    <t>69c519f54b8454ecf62388a4</t>
  </si>
  <si>
    <t>bbw_wa_bcat999_26mar_atc_off</t>
  </si>
  <si>
    <t>BC_999max_1Y_OFF</t>
  </si>
  <si>
    <t>Offline Customers who have purchased from BodyCare at least 1 times with max order value ₹999 in the last 365 days</t>
  </si>
  <si>
    <t>69c51a2cc648b64f739062b9</t>
  </si>
  <si>
    <t>bbw_wa_bcat999_26mar_dormant_off</t>
  </si>
  <si>
    <t>BC_Dormant_1Y_OFF</t>
  </si>
  <si>
    <t>Offline Customers who have purchased at least 1 time from BodyCare between 90 days and 365 days ago</t>
  </si>
  <si>
    <t>69c51a5bc9fdb77549f639ed</t>
  </si>
  <si>
    <t>bbw_wa_bcat999_26mar_cat_off</t>
  </si>
  <si>
    <t>Cat_Excl_BC_OFF</t>
  </si>
  <si>
    <t>Offline Customers who have purchased between 30 days and 90 days ago excl. BodyCare buyers</t>
  </si>
  <si>
    <t>69c51aa2c9ffb0bf825a5346</t>
  </si>
  <si>
    <t>bbw_wa_recent_26mar_dormant_off</t>
  </si>
  <si>
    <t>Recent_30D_OFF</t>
  </si>
  <si>
    <t>Offline Customers who have purchased in the last 30 days</t>
  </si>
  <si>
    <t>69c51ad5c01b4a24f88e8915</t>
  </si>
  <si>
    <t>bbw_wa_bcat999_26mar_event_off</t>
  </si>
  <si>
    <t>BC_EventBuyers_OFF</t>
  </si>
  <si>
    <t>Offline Customers who have purchased at least 1 time from BodyCare in between 2-5 Oct 2025, 16-27 Oct 2025, 9-18 Jan 2026, 26 Feb - 3 Mar 2026</t>
  </si>
  <si>
    <t>69c51b49c7a812edea0566f3</t>
  </si>
  <si>
    <t>bbw_smsfb_bcat999_27mar_repeat</t>
  </si>
  <si>
    <t>69c52000c7a812edea056953</t>
  </si>
  <si>
    <t>bbw_smsfb_bcat999_27mar_bc999max_1year</t>
  </si>
  <si>
    <t>69c52097c9fdb77549f63c7a</t>
  </si>
  <si>
    <t>bbw_smsfb_bcat999_27mar_event_buyer</t>
  </si>
  <si>
    <t>69c520cadee1a723342f0023</t>
  </si>
  <si>
    <t>bbw_smsfb_bcat999_27mar_dormant</t>
  </si>
  <si>
    <t>69c520fa88bce3b3c3caa163</t>
  </si>
  <si>
    <t>bbw_smsfb_bcat999_27mar_allcat_minusbc</t>
  </si>
  <si>
    <t>69c52140cd7d0e33e661daa1</t>
  </si>
  <si>
    <t>bbw_smsfb_bcat999_27mar_recent</t>
  </si>
  <si>
    <t>69c5217601f1acbc045a549a</t>
  </si>
  <si>
    <t>Store campaigns</t>
  </si>
  <si>
    <t>3017_Crocs outlet_Upto50</t>
  </si>
  <si>
    <t xml:space="preserve">offline </t>
  </si>
  <si>
    <t>Store level</t>
  </si>
  <si>
    <t>12th April</t>
  </si>
  <si>
    <t>69c386f88df1666f199e3801</t>
  </si>
  <si>
    <t>3002_Crocs outlet_Upto50</t>
  </si>
  <si>
    <t>69c38734d3e1119ece5fd4cf</t>
  </si>
  <si>
    <t>1263_Crocs outlet_Upto50</t>
  </si>
  <si>
    <t>69c38763f7b75d98afb62952</t>
  </si>
  <si>
    <t>3016_Crocs outlet_Upto50</t>
  </si>
  <si>
    <t>3016_Moga_24Mar26 OR Moga_Staff OR Crocs_Internal OR Crocs_internal_new</t>
  </si>
  <si>
    <t>69c387a2d3e1119ece5fd50f</t>
  </si>
  <si>
    <t>1256_Crocs outlet_Upto50</t>
  </si>
  <si>
    <t>1256_WalkInSquare_Amritsar_24Mar26 OR Walk in Square Amritsar_Staff OR Crocs_Internal OR Crocs_internal_new</t>
  </si>
  <si>
    <t>69c3881d3673ce5c85788948</t>
  </si>
  <si>
    <t>1257_Crocs outlet_Upto50</t>
  </si>
  <si>
    <t>1257_Gajraula_24Mar26 OR Gajraula_Staff OR Crocs_Internal OR Crocs_internal_new</t>
  </si>
  <si>
    <t>69c388433673ce5c85788973</t>
  </si>
  <si>
    <t>1293_Crocs outlet_Upto50</t>
  </si>
  <si>
    <t>1293_PaschimVihar_24Mar26 OR Paschim Vihar Delhi_Staff OR Crocs_Internal OR Crocs_internal_new</t>
  </si>
  <si>
    <t>69c3887ee5ebbf33f616b137</t>
  </si>
  <si>
    <t>1275_Crocs outlet_Upto50</t>
  </si>
  <si>
    <t>1275_Hisar_24Mar26 OR Hisar_Staff OR Crocs_Internal OR Crocs_internal_new</t>
  </si>
  <si>
    <t>69c388a9e899ec1a85a8e861</t>
  </si>
  <si>
    <t>1255_Crocs outlet_Upto50</t>
  </si>
  <si>
    <t>1255_Kohara_Ludhiana_27thMar26 OR Kohara Ludhiana_Staff OR Crocs_Internal OR Crocs_internal_new</t>
  </si>
  <si>
    <t>69c66980339fb3c9a87cc527</t>
  </si>
  <si>
    <t>bbw_wa_29mar_bcat999_bc_lastreminder_repeat_on</t>
  </si>
  <si>
    <t>29-30 March</t>
  </si>
  <si>
    <t>69c6531e67f0e62027821b25</t>
  </si>
  <si>
    <t>bbw_wa_29mar_bcat999_bc_lastreminder_atc_on</t>
  </si>
  <si>
    <t>69c6532b0d5ffa33dee4d19c</t>
  </si>
  <si>
    <t>bbw_wa_29mar_bcat999_bc_lastreminder_itemviewed</t>
  </si>
  <si>
    <t>69c65334fa260e6810d143c4</t>
  </si>
  <si>
    <t>bbw_wa_29mar_bcat999_bc_lastreminder_bcmax_on</t>
  </si>
  <si>
    <t>69c653b3d6fd9ff4f3b16bc3</t>
  </si>
  <si>
    <t>bbw_wa_29mar_bcat999_bc_lastreminder_event_on</t>
  </si>
  <si>
    <t>69c653cdd9cb75f9e7cb8064</t>
  </si>
  <si>
    <t>bbw_wa_29mar_bcat999_bc_lastreminder_discount_on</t>
  </si>
  <si>
    <t>69c656353e1ea68cd79f334e</t>
  </si>
  <si>
    <t>bbw_wa_29mar_bcat999_bc_lastreminder_appinstall_on</t>
  </si>
  <si>
    <t>69c657241f755ed7b1cd01b4</t>
  </si>
  <si>
    <t>bbw_wa_29mar_bcat999_bc_lastreminder_repeat_off</t>
  </si>
  <si>
    <t>BodyCare_Repeat_180D_OFF</t>
  </si>
  <si>
    <t>69c65f8cd6fd9ff4f3b16fce</t>
  </si>
  <si>
    <t>bbw_wa_29mar_bcat999_bc_lastreminder_bcmax_off</t>
  </si>
  <si>
    <t>69c65fbb84b161e710ce776a</t>
  </si>
  <si>
    <t>bbw_wa_29mar_bcat999_bc_lastreminder_event_off</t>
  </si>
  <si>
    <t>69c65fe2b1ed61233224436a</t>
  </si>
  <si>
    <t>bbw_wa_29mar_bcat999_bc_lastreminder_allcat_except_bc_off</t>
  </si>
  <si>
    <t>69c6600b2ffd0b4aaa03f02e</t>
  </si>
  <si>
    <t>bbw_wa_29mar_bcat999_bc_lastreminder_recent</t>
  </si>
  <si>
    <t>69c6606f325ffbc92b75d935</t>
  </si>
  <si>
    <t>bbw_smsfb_29mar_bcat999_bc_lastreminder_repeat_on</t>
  </si>
  <si>
    <t>69c65d39a2bd1a11c1e8145e</t>
  </si>
  <si>
    <t>bbw_smsfb_29mar_bcat999_bc_lastreminder_atc_on</t>
  </si>
  <si>
    <t>69c65d66d4c03cb820a2611c</t>
  </si>
  <si>
    <t>bbw_smsfb_29mar_bcat999_bc_lastreminder_itemviewed</t>
  </si>
  <si>
    <t>69c65d9e50d2bc85d5f8c8ff</t>
  </si>
  <si>
    <t>bbw_smsfb_29mar_bcat999_bc_lastreminder_bcmax_on</t>
  </si>
  <si>
    <t>69c65dd0e04e640fb6c5f552</t>
  </si>
  <si>
    <t>bbw_smsfb_29mar_bcat999_bc_lastreminder_event_on</t>
  </si>
  <si>
    <t>69c65e12a2bd1a11c1e814aa</t>
  </si>
  <si>
    <t>bbw_smsfb_29mar_bcat999_bc_lastreminder_discount_on</t>
  </si>
  <si>
    <t>69c65e43355c46dbb6567321</t>
  </si>
  <si>
    <t>bbw_smsfb_29mar_bcat999_bc_lastreminder_appinstall_on</t>
  </si>
  <si>
    <t>69c65e7ab886ab24c6762d28</t>
  </si>
  <si>
    <t>bbw_smsfb_29mar_bcat999_bc_lastreminder_repeat_off</t>
  </si>
  <si>
    <t>69c660a43be73838c071db99</t>
  </si>
  <si>
    <t>bbw_smsfb_29mar_bcat999_bc_lastreminder_bcmax_off</t>
  </si>
  <si>
    <t>69c660d6b958210203df0841</t>
  </si>
  <si>
    <t>bbw_smsfb_29mar_bcat999_bc_lastreminder_event_off</t>
  </si>
  <si>
    <t>69c66113467661c4620f0a65</t>
  </si>
  <si>
    <t>bbw_smsfb_29mar_bcat999_bc_lastreminder_allcat_except_bc_off</t>
  </si>
  <si>
    <t>69c6614cd257d62ee8334da4</t>
  </si>
  <si>
    <t>bbw_smsfb_29mar_bcat999_bc_lastreminder_recent</t>
  </si>
  <si>
    <t>69c6617a4ffe0b34f969c7c1</t>
  </si>
  <si>
    <t>bbw_online_wa_1april_buy1get1_loyal</t>
  </si>
  <si>
    <t>Loyal_ON OR AGIPL_Internal OR BBW_Internal</t>
  </si>
  <si>
    <t>Online Customers who have 4 or more purchases in last 12 Months</t>
  </si>
  <si>
    <t>1-3 April</t>
  </si>
  <si>
    <t>69ccf2de5a3adbe14d5ccd16</t>
  </si>
  <si>
    <t>bbw_online_wa_1april_buy1get1_repeat</t>
  </si>
  <si>
    <t>Repeat_ON</t>
  </si>
  <si>
    <t>Online Customers who have purchased at least 2 times in the last 24 Months</t>
  </si>
  <si>
    <t>69ccf6d1bd178c1c218bf0f4</t>
  </si>
  <si>
    <t>bbw_online_wa_1april_buy1get1_aov_relevant</t>
  </si>
  <si>
    <t>AOV_Max_2699_365D_ON</t>
  </si>
  <si>
    <t>Online Customers with AOV less than 2699 &gt; Last 12 Months</t>
  </si>
  <si>
    <t>69ccf7084ca90169300461df</t>
  </si>
  <si>
    <t>bbw_online_wa_1april_buy1get1_bundle buyers</t>
  </si>
  <si>
    <t>UPT_Min_3_ON</t>
  </si>
  <si>
    <t>Online Customers who bought 3+ products during each purchase in the last 365 days</t>
  </si>
  <si>
    <t>69ccf994ca47345a178485b6</t>
  </si>
  <si>
    <t>bbw_online_wa_1april_buy1get1_dormant</t>
  </si>
  <si>
    <t>Dorm_90_365_ON</t>
  </si>
  <si>
    <t>Online Customers who placed at least 1 order in between 90 days ago and 365 days ago</t>
  </si>
  <si>
    <t>69ccfca6c5a201a147720608</t>
  </si>
  <si>
    <t>bbw_online_wa_1april_buy1get1_atc</t>
  </si>
  <si>
    <t>Web_View_ATC_45D</t>
  </si>
  <si>
    <t>Users who have Visited  the Website 2 or more times or ATC once &gt; Last 45 days</t>
  </si>
  <si>
    <t>69ccfcdc18e69e3436411a5b</t>
  </si>
  <si>
    <t>bbw_online_wa_1april_buy1get1_wa_clicked</t>
  </si>
  <si>
    <t>WA_Clicked_90D</t>
  </si>
  <si>
    <t>Users who have Message clicked &gt; at least 1 &gt; Last 3 months</t>
  </si>
  <si>
    <t>WhatsApp Engage</t>
  </si>
  <si>
    <t>69ccfcff30c19dbe924e4150</t>
  </si>
  <si>
    <t>bbw_online_smsfb_1april_buy1get1_loyal</t>
  </si>
  <si>
    <t>69cd0231803b3a52b4bef933</t>
  </si>
  <si>
    <t>bbw_online_smsfb_1april_buy1get1_repeat</t>
  </si>
  <si>
    <t>69cd028c669af137c847e6fc</t>
  </si>
  <si>
    <t>bbw_online_smsfb_1april_buy1get1_aov_relevant</t>
  </si>
  <si>
    <t>69cd02baa11d274608577c28</t>
  </si>
  <si>
    <t>bbw_online_smsfb_1april_buy1get1_bundle buyers</t>
  </si>
  <si>
    <t>69cd03165c5aba4217ed5dc0</t>
  </si>
  <si>
    <t>bbw_online_smsfb_1april_buy1get1_dormant</t>
  </si>
  <si>
    <t>69cd0349c5a201a1477208a7</t>
  </si>
  <si>
    <t>bbw_online_smsfb_1april_buy1get1_atc</t>
  </si>
  <si>
    <t>69cd03b0d7120e9233efcac5</t>
  </si>
  <si>
    <t>bbw_online_smsfb_1april_buy1get1_smsfb_clicked</t>
  </si>
  <si>
    <t>69cd03dc9d9d4430d286a35a</t>
  </si>
  <si>
    <t>bbw_offline_wa_2april_buy1get1_loyal</t>
  </si>
  <si>
    <t>Loyal_OFF</t>
  </si>
  <si>
    <t>Offline Customers who have 4 or more purchases in last 12 Months</t>
  </si>
  <si>
    <t>2-4 April</t>
  </si>
  <si>
    <t>69ccfdff3608f6f43d1d8030</t>
  </si>
  <si>
    <t>bbw_offline_wa_2april_buy1get1_repeat</t>
  </si>
  <si>
    <t>Repeat_OFF</t>
  </si>
  <si>
    <t>Offline Customers who have purchased at least 2 times in the last 6 Months</t>
  </si>
  <si>
    <t>69ccfe253608f6f43d1d803f</t>
  </si>
  <si>
    <t>bbw_offline_wa_2april_buy1get1_aov_relevant</t>
  </si>
  <si>
    <t>AOV_Max_2699_365D_OFF</t>
  </si>
  <si>
    <t>Offline Customers with AOV less than 2999 &gt; Last 6 Months</t>
  </si>
  <si>
    <t>AOV &gt; 2699</t>
  </si>
  <si>
    <t>69ccfe52cb66cd50e89ee22f</t>
  </si>
  <si>
    <t>bbw_offline_wa_2april_buy1get1_bundle_buyers</t>
  </si>
  <si>
    <t>UPT_Min_3_OFF</t>
  </si>
  <si>
    <t>Offline Customers who bought 3+ products during each purchase in the last 6 months</t>
  </si>
  <si>
    <t>69ccfe807d0762a6bbec2a3e</t>
  </si>
  <si>
    <t>bbw_offline_wa_2april_buy1get1_dormant</t>
  </si>
  <si>
    <t>Dorm_90_365_OFF</t>
  </si>
  <si>
    <t>Offline Customers who placed at least 1 order in between 90 days ago and 365 days ago</t>
  </si>
  <si>
    <t>69ccfebc6c4a8bd9391bd098</t>
  </si>
  <si>
    <t>bbw_offline_wa_2april_buy1get1_high_ltv</t>
  </si>
  <si>
    <t>LTV_15k_OFF</t>
  </si>
  <si>
    <t>Offline Customers with LTV &gt; 15k in the last 1095 days</t>
  </si>
  <si>
    <t>LTV</t>
  </si>
  <si>
    <t>69ccfee91868df20ff51dbc1</t>
  </si>
  <si>
    <t>bbw_offline_wa_2april_buy1get1_high_pocket_size</t>
  </si>
  <si>
    <t>AOV_3999_Min_2_Order_OFF</t>
  </si>
  <si>
    <t>Offline Customers with AOV &gt; 4k and purchased - 2 or more in the last 1095 days</t>
  </si>
  <si>
    <t>69ccff2d6c015e1546f3d0b2</t>
  </si>
  <si>
    <t>bbw_offline_smsfb_2april_buy1get1_loyal</t>
  </si>
  <si>
    <t>2nd April</t>
  </si>
  <si>
    <t>69cd073f4dcfa17116605d30</t>
  </si>
  <si>
    <t>bbw_offline_smsfb_2april_buy1get1_repeat</t>
  </si>
  <si>
    <t>69cd079804d539839aa1a36a</t>
  </si>
  <si>
    <t>bbw_offline_smsfb_2april_buy1get1_aov_relevant</t>
  </si>
  <si>
    <t>69cd07d0669af137c847e890</t>
  </si>
  <si>
    <t>bbw_offline_smsfb_2april_buy1get1_bundle_buyers</t>
  </si>
  <si>
    <t>69cd0819aec6ad38199887a8</t>
  </si>
  <si>
    <t>bbw_offline_smsfb_2april_buy1get1_dormant</t>
  </si>
  <si>
    <t>69cd08671aea31e088f86567</t>
  </si>
  <si>
    <t>bbw_offline_smsfb_2april_buy1get1_high_ltv</t>
  </si>
  <si>
    <t>69cd0897543c5e1701d7f6d9</t>
  </si>
  <si>
    <t>bbw_offline_smsfb_2april_buy1get1_high_pocket_size</t>
  </si>
  <si>
    <t>69cd0997082fb5ccf466b9bf</t>
  </si>
  <si>
    <t>Kochi Store Launch</t>
  </si>
  <si>
    <t>Kochi_Store_Launch_Off OR RB_Internal</t>
  </si>
  <si>
    <t>All customers who have at least shopped once from 1st Apr 2023 to 30th March 2026 from the stores: RB004, RB016, RB022.</t>
  </si>
  <si>
    <t>City</t>
  </si>
  <si>
    <t>4th to 5th April 2026</t>
  </si>
  <si>
    <t>69cbc3497215b54dbe6f800c</t>
  </si>
  <si>
    <t>Fashion Crew Launch</t>
  </si>
  <si>
    <t>Fashion_Crew_Launch_Off OR RB_Internal</t>
  </si>
  <si>
    <t>All customers who have shopped from Women’s Western OR Women’s Ethnic OR Girls 8-14 in the last 1 year</t>
  </si>
  <si>
    <t>3rd to 5th April 2026</t>
  </si>
  <si>
    <t>69cbc377f432799832040050</t>
  </si>
  <si>
    <t>Fallback_Kochi Store</t>
  </si>
  <si>
    <t>4th to 5th April</t>
  </si>
  <si>
    <t>69ce0b48dbd718c2782dbf35</t>
  </si>
  <si>
    <t>Fallback_FashionCrew</t>
  </si>
  <si>
    <t>3rd to 5th April</t>
  </si>
  <si>
    <t>69ce369d804ee2499cb31672</t>
  </si>
  <si>
    <t>CK Essentials</t>
  </si>
  <si>
    <t>CK_2nd April_bigbags_online+offline</t>
  </si>
  <si>
    <t>Large_Handbags_OnOff OR AGIPL_Internal</t>
  </si>
  <si>
    <t>Customers who have purchased Large Handbags in the last 1095D</t>
  </si>
  <si>
    <t>3rd april- 10th April</t>
  </si>
  <si>
    <t>69ce59574b6bdd36eb8c996d</t>
  </si>
  <si>
    <t>CK_2nd April_everyday bags_online+offline</t>
  </si>
  <si>
    <t>S_M_Handbags_OnOff OR AGIPL_Internal</t>
  </si>
  <si>
    <t>Customers who have purchased Small and Medium Handbags in the last 1095D</t>
  </si>
  <si>
    <t>69ce5ae72c9398742c07b9db</t>
  </si>
  <si>
    <t>CK_2nd April_must-have shoes_offline + Online</t>
  </si>
  <si>
    <t>Footwear_OnOff OR AGIPL_Internal</t>
  </si>
  <si>
    <t>Customers who have purchased Footwear in the last 1095D</t>
  </si>
  <si>
    <t>69ce5b49ef5dde37ce701c71</t>
  </si>
  <si>
    <t>CK_2nd April_must-have wallets_offline + Online</t>
  </si>
  <si>
    <t>Wallet_OnOff OR AGIPL_Internal</t>
  </si>
  <si>
    <t>Customers who have purchased Wallets in the last 1095D</t>
  </si>
  <si>
    <t>69ce5bb15912b596bec7d7f3</t>
  </si>
  <si>
    <t>CK_2nd April_bigbags_online+offline_SMS</t>
  </si>
  <si>
    <t>69ce5a8cb762760b94e0b368</t>
  </si>
  <si>
    <t>CK_2nd April_everyday bags_online+offline_SMS</t>
  </si>
  <si>
    <t>69ce5c757065498a799ae544</t>
  </si>
  <si>
    <t>CK_2nd April_must-have shoes_offline + Online_SMS</t>
  </si>
  <si>
    <t>69ce5cb292e167b128729dcb</t>
  </si>
  <si>
    <t>CK_2nd April_must-have wallets_offline + Online_SMS</t>
  </si>
  <si>
    <t>69ce5cea8bc3c189ae5b8ea1</t>
  </si>
  <si>
    <t>bbw_offline_wa_4april_buy1get1_loyal_lastreminder</t>
  </si>
  <si>
    <t>Loyal_OFF OR AGIPL_Internal OR BBW_Internal</t>
  </si>
  <si>
    <t>4-6 April</t>
  </si>
  <si>
    <t>69cd0e3acc7aa7ad11fc1573</t>
  </si>
  <si>
    <t>bbw_offline_wa_4april_buy1get1_repeat_lastreminder</t>
  </si>
  <si>
    <t>69ce00c08d846bf6fb367c7d</t>
  </si>
  <si>
    <t>bbw_offline_wa_4april_buy1get1_bundle_buyers_lastreminder</t>
  </si>
  <si>
    <t>69ce013f639d3ad3b4ffbbfb</t>
  </si>
  <si>
    <t>bbw_offline_wa_4april_buy1get1_dormant_lastreminder</t>
  </si>
  <si>
    <t>69ce01d552f40c4e88945fa9</t>
  </si>
  <si>
    <t>bbw_offline_wa_4april_buy1get1_high_ltv_lastreminder</t>
  </si>
  <si>
    <t>69ce022820b648ae0462f8d0</t>
  </si>
  <si>
    <t>bbw_offline_wa_4april_buy1get1_high_pocket_size_lastreminder</t>
  </si>
  <si>
    <t>69ce0274dbd718c2782dbc47</t>
  </si>
  <si>
    <t>bbw_offline_wa_4april_buy1get1_aov_relevant_lastreminder</t>
  </si>
  <si>
    <t>69ce02da639d3ad3b4ffbcac</t>
  </si>
  <si>
    <t>bbw_on_wa_4april_buy1get1_bc_carousel</t>
  </si>
  <si>
    <t>BC_2_Times_ON OR AGIPL_Internal OR BBW_Internal</t>
  </si>
  <si>
    <t>69ce083c93ed432806795ff6</t>
  </si>
  <si>
    <t>bbw_on_wa_4april_buy1get1_soaps_carousel</t>
  </si>
  <si>
    <t>Soaps_Sanitisers_2_Times_ON</t>
  </si>
  <si>
    <t>69ce418d5bc083dd48351883</t>
  </si>
  <si>
    <t>bbw_on_wa_4april_buy1get1_mens_carousel</t>
  </si>
  <si>
    <t>Mens_2_Times_ON</t>
  </si>
  <si>
    <t>69ce42894040d387e5e9da5b</t>
  </si>
  <si>
    <t>bbw_on_wa_4april_buy1get1_candles_carousel</t>
  </si>
  <si>
    <t>Candles_2_Times_ON</t>
  </si>
  <si>
    <t>69ce43285c8f15e62612d522</t>
  </si>
  <si>
    <t>bbw_offline_smsfb_4april_buy1get1_loyal_lastreminder</t>
  </si>
  <si>
    <t>69ce01336c9016be54122891</t>
  </si>
  <si>
    <t>bbw_offline_smsfb_4april_buy1get1_repeat_lastreminder</t>
  </si>
  <si>
    <t>69ce020554e0559a2a48a457</t>
  </si>
  <si>
    <t>bbw_offline_smsfb_4april_buy1get1_bundle_buyers_lastreminder</t>
  </si>
  <si>
    <t>69ce02c5ca10c7691f63b7f8</t>
  </si>
  <si>
    <t>bbw_offline_smsfb_4april_buy1get1_dormant_lastreminder</t>
  </si>
  <si>
    <t>69ce032fb349bfcfe4028f1c</t>
  </si>
  <si>
    <t>bbw_offline_smsfb_4april_buy1get1_high_ltv_lastreminder</t>
  </si>
  <si>
    <t>69ce039dfdd78cb502c532e0</t>
  </si>
  <si>
    <t>bbw_offline_smsfb_4april_buy1get1_high_pocket_size_lastreminder</t>
  </si>
  <si>
    <t>69ce04066bbb42d9e2f2da15</t>
  </si>
  <si>
    <t>bbw_offline_smsfb_4april_buy1get1_aov_relevant_lastreminder</t>
  </si>
  <si>
    <t>69ce0475368b576da2e4e45a</t>
  </si>
  <si>
    <t>Fashion Crew + Kochi Launch</t>
  </si>
  <si>
    <t>Fshn_Crew_Kochi_Store_Overlap</t>
  </si>
  <si>
    <t>All customers who have shopped from Women’s Western OR Women’s Ethnic OR Girls 8-14 in the last 1 year AND All customers who have at least shopped once from 1st Apr 2023 to 30th March 2026 from the stores: RB004, RB016, RB022.</t>
  </si>
  <si>
    <t>Overlap</t>
  </si>
  <si>
    <t>69cbc3a70986d448d13059bb</t>
  </si>
  <si>
    <t>Fallback_FashioncrewandKochi</t>
  </si>
  <si>
    <t>69ce37112bf3958a9a699339</t>
  </si>
  <si>
    <t>Handbags Campaign</t>
  </si>
  <si>
    <t>Eventbuyerscampaign</t>
  </si>
  <si>
    <t>EventBuyers_OnOff</t>
  </si>
  <si>
    <t>RCS Undelivered</t>
  </si>
  <si>
    <t>69cf7bd420be3e84d1aac0d8</t>
  </si>
  <si>
    <t>Aldo30%off_campaign</t>
  </si>
  <si>
    <t>Disc_Buyers_OnOff</t>
  </si>
  <si>
    <t>69cf7cdb1a4daa9afd8819da</t>
  </si>
  <si>
    <t>Dormantcampaign</t>
  </si>
  <si>
    <t>Dormant_OnOff</t>
  </si>
  <si>
    <t>69cf7e6047468f76ba33cb89</t>
  </si>
  <si>
    <t>ChurnedCampaign</t>
  </si>
  <si>
    <t>Churned_OnOff</t>
  </si>
  <si>
    <t>69cf80afc89771c941d6aa0c</t>
  </si>
  <si>
    <t>ALDO_HB_Flt30%_April 2026</t>
  </si>
  <si>
    <t>ID is in [917710025512] case insensitive OR Disc_Buyers_OnOff</t>
  </si>
  <si>
    <t>Customers who have purchased with order disc percent greater then 0.30</t>
  </si>
  <si>
    <t>69cf69f67486720438c25bae</t>
  </si>
  <si>
    <t>ALDO_Eventbuyersapril2026</t>
  </si>
  <si>
    <t>Customers who are purchasing on 7th Aug 2025 - 10th Aug 2025, 1st Nov2025 - 4th Nov 2025, 28th Feb 2026- 2nd March 2026, 7th Mar 2026 - 9th March 2026</t>
  </si>
  <si>
    <t>69cf6ad30a827c73d8f9bfb7</t>
  </si>
  <si>
    <t>ALDO_DormantApril</t>
  </si>
  <si>
    <t>Customers purchasing who has not purchased in the last 76 days but have purchased in the last 76 days</t>
  </si>
  <si>
    <t>69cf6b2a43afba245f062178</t>
  </si>
  <si>
    <t>ALDO_Churnedonoffapril2026</t>
  </si>
  <si>
    <t>Customers who have not purchased in the last 365 days but have purchased in the last 36 months</t>
  </si>
  <si>
    <t>69cf6bf4ecc8dde4ddde45a7</t>
  </si>
  <si>
    <t>bbw_online_wa_5april_buy1get1_loyal_lastreminder</t>
  </si>
  <si>
    <t>5-7 April</t>
  </si>
  <si>
    <t>69ce03c792e167b1287287f5</t>
  </si>
  <si>
    <t>bbw_online_wa_5april_buy1get1_repeat_lastreminder</t>
  </si>
  <si>
    <t>69ce05f393ed432806795f3f</t>
  </si>
  <si>
    <t>bbw_online_wa_5april_buy1get1_aov_relevant_lastreminder</t>
  </si>
  <si>
    <t>69ce063a324bd928d81aced0</t>
  </si>
  <si>
    <t>bbw_online_wa_5april_buy1get1_bundle buyers_lastreminder</t>
  </si>
  <si>
    <t>69ce0684d3514a5be6907c3d</t>
  </si>
  <si>
    <t>bbw_online_wa_5april_buy1get1_atc_lastreminder</t>
  </si>
  <si>
    <t>69ce07072bf3958a9a698609</t>
  </si>
  <si>
    <t>bbw_online_wa_5april_buy1get1_wa_clicked_lastreminder</t>
  </si>
  <si>
    <t>69ce07655bc083dd48350785</t>
  </si>
  <si>
    <t>bbw_online_wa_5april_buy1get1_dormant_lastreminder</t>
  </si>
  <si>
    <t>69ce07cae45100c9d2be575c</t>
  </si>
  <si>
    <t>bbw_online_smsfb_5april_buy1get1_loyal_lastreminder</t>
  </si>
  <si>
    <t>69ce06f42c9398742c07a2ab</t>
  </si>
  <si>
    <t>bbw_online_smsfb_5april_buy1get1_repeat_lastreminder</t>
  </si>
  <si>
    <t>69ce077b93ed432806795fb5</t>
  </si>
  <si>
    <t>bbw_online_smsfb_5april_buy1get1_aov_relevant_lastreminder</t>
  </si>
  <si>
    <t>69ce0804639d3ad3b4ffbdf6</t>
  </si>
  <si>
    <t>bbw_online_smsfb_5april_buy1get1_bundle buyers_lastreminder</t>
  </si>
  <si>
    <t>69ce0872368b576da2e4e592</t>
  </si>
  <si>
    <t>bbw_online_smsfb_5april_buy1get1_dormant_lastreminder</t>
  </si>
  <si>
    <t>69ce0930ef5dde37ce70067e</t>
  </si>
  <si>
    <t>bbw_online_smsfb_5april_buy1get1_atc_lastreminder</t>
  </si>
  <si>
    <t>69ce0995639d3ad3b4ffbf47</t>
  </si>
  <si>
    <t>bbw_online_smsfb_5april_buy1get1_smsfb_clicked_lastreminder</t>
  </si>
  <si>
    <t>69ce0a006bbb42d9e2f2dc6c</t>
  </si>
  <si>
    <t>Brand ambassador launch</t>
  </si>
  <si>
    <t>BA Launch Invite - Mum - On+Off</t>
  </si>
  <si>
    <t>Mumbai_Purchasers_OnOff</t>
  </si>
  <si>
    <t>Offline Customers who have purchased in the last 36 months from Txn_Store_Name :- VS PHOENIX PALLADIUM MALL, VS INORBIT MALL MALAD, VS MARKET CITY KURLA MALL OR Online Customers who have purchased form Txn_City "Mumbai", "MUMBAI", "Thane"</t>
  </si>
  <si>
    <t>9th - 12th April</t>
  </si>
  <si>
    <t>69d4b810ecd83b0fee87cf11</t>
  </si>
  <si>
    <t>bbw_wa_online_7april_flashsale_catrepeat</t>
  </si>
  <si>
    <t>LS_Repeat_ON</t>
  </si>
  <si>
    <t>Online Customers who have purchased at least 2 times from L3: Liquid Soap; L2: Travel Size in the last 1095 days</t>
  </si>
  <si>
    <t>Repeat - Travel Size</t>
  </si>
  <si>
    <t>8-10 April</t>
  </si>
  <si>
    <t>69d61b57689bb4bc1ae3cd1f</t>
  </si>
  <si>
    <t>bbw_wa_online_7april_flashsale_livinacc_repeat</t>
  </si>
  <si>
    <t>Living_Accs_Repeat_ON</t>
  </si>
  <si>
    <t>Online Customers who have purchased at least 2 times from L2: Living Accessories in the last 1095 days, 
Customers who have added to cart in the last 90 days from Liquid Soap, Hand Soap, Travel Size, Wallflowers, 
Customers who have viewed items in the last 30 days from Liquid Soap, Hand Soap, Travel Size, Wallflowers</t>
  </si>
  <si>
    <t>Repeat - Living Accessories</t>
  </si>
  <si>
    <t>69d61bed734aa2b9ba1753a3</t>
  </si>
  <si>
    <t>bbw_wa_online_7april_flashsale_recent</t>
  </si>
  <si>
    <t>Recent_HS_Minis_Wallflowers_ON</t>
  </si>
  <si>
    <t>Online Customers who have purchased in the last 113 days from L3: Liquid Soap, L2: Travel Size, L2: Living Accessories</t>
  </si>
  <si>
    <t>69d61c808c12e1ae205ff66d</t>
  </si>
  <si>
    <t>bbw_wa_online_7april_flashsale_predom_below899</t>
  </si>
  <si>
    <t>Predom_Below_899_ON</t>
  </si>
  <si>
    <t>Online Customers who have predom purchased with cart value below 899</t>
  </si>
  <si>
    <t>Predom 899 Below</t>
  </si>
  <si>
    <t>69d61cd023870daab3c61651</t>
  </si>
  <si>
    <t>BA Launch - FP</t>
  </si>
  <si>
    <t>VS_Map_FullPriceUsers_Online</t>
  </si>
  <si>
    <t>Online Customers who have purchased in the last 36 months with aggregate discount value = 0</t>
  </si>
  <si>
    <t>Full Price</t>
  </si>
  <si>
    <t>69d4dba6108c2f56c190749a</t>
  </si>
  <si>
    <t>BA Launch - Repeat</t>
  </si>
  <si>
    <t>VS_Repeat_On</t>
  </si>
  <si>
    <t>Online Customers who have purchased at least 1 time in the last 74 days</t>
  </si>
  <si>
    <t>69d4dbdff8ba648af6060518</t>
  </si>
  <si>
    <t>BA Launch - Recent</t>
  </si>
  <si>
    <t>VS_Recent_On</t>
  </si>
  <si>
    <t>69d4dc1aa1349ac4260ce26f</t>
  </si>
  <si>
    <t>BA Launch - Dormant</t>
  </si>
  <si>
    <t>VS_Dormant_Base_On</t>
  </si>
  <si>
    <t>Customers who have not purchased in last 85 days but have purchased between 85 to 365 days</t>
  </si>
  <si>
    <t>69d4dc7d3c2fdac065e31e2c</t>
  </si>
  <si>
    <t>BA Launch - Churned High LTV</t>
  </si>
  <si>
    <t>Churned_HighLTV_On</t>
  </si>
  <si>
    <t>Customers who have not purchased in the last 365 days but have purchased in the last 36 months with Agg Order Net Value is greater than 9999</t>
  </si>
  <si>
    <t>Churned High LTV</t>
  </si>
  <si>
    <t>69d4dd100d2f028abf40040a</t>
  </si>
  <si>
    <t>BA Launch - FP - Off</t>
  </si>
  <si>
    <t>VS_Map_FullPriceUsers_Offline</t>
  </si>
  <si>
    <t>Offline Customers who have purchased at least 2 times in the last 36 months AND Exclude Mumbai and Delhi Offline Shoppers</t>
  </si>
  <si>
    <t>69d4df221587110ff2be9b55</t>
  </si>
  <si>
    <t>BA Launch - Repeat - Off</t>
  </si>
  <si>
    <t>VS_Repeat_Off</t>
  </si>
  <si>
    <t>69d4df683e2e68b9f1ca0a00</t>
  </si>
  <si>
    <t>BA Launch - Recent - Off</t>
  </si>
  <si>
    <t>VS_Recent_Off</t>
  </si>
  <si>
    <t>Offline Customers who have purchased at least 1 time in the last 94 days AND Exclude Mumbai and Delhi Offline Shoppers</t>
  </si>
  <si>
    <t>69d4e134e1886dd84560e05d</t>
  </si>
  <si>
    <t>BA Launch - Dormant - Off</t>
  </si>
  <si>
    <t>VS_Dormant_Base_Off</t>
  </si>
  <si>
    <t>Offline Customers who have not purchased in last 94 days but have purchased between 95 to 365 days AND Exclude Mumbai and Delhi Offline Shoppers</t>
  </si>
  <si>
    <t>69d4e18751215de4a54ca5a3</t>
  </si>
  <si>
    <t>BA Launch - Churned High LTV - Off</t>
  </si>
  <si>
    <t>Churned_HighLTV_Off</t>
  </si>
  <si>
    <t>Offline Customers who have not purchased in the last 365 days but have purchased in the last 36 months with Agg Order Net Value is greater than 9999 AND Exclude Mumbai and Delhi Offline Shoppers</t>
  </si>
  <si>
    <t>69d4e1e1299cc6dc15ae81e7</t>
  </si>
  <si>
    <t>BA Launch - Mum - Off</t>
  </si>
  <si>
    <t>Mumbai_Purchasers_Off</t>
  </si>
  <si>
    <t xml:space="preserve">Offline Customers who have purchased in the last 36 months from Txn_Store_Name :- VS PHOENIX PALLADIUM MALL, VS INORBIT MALL MALAD, VS MARKET CITY KURLA MALL </t>
  </si>
  <si>
    <t>69d4e24a6b5ac9d876b8d574</t>
  </si>
  <si>
    <t>BA Launch - Delhi - Off</t>
  </si>
  <si>
    <t>Delhi_Purchasers_Off</t>
  </si>
  <si>
    <t>Offline Customers who have purchased in the last 36 months from Txn_Store_Name :- VS AMBIENCE MALL, VS AMBIENCE GURGAON MALL, VS ELEGANTE DELHI</t>
  </si>
  <si>
    <t>69d4e27c1e39aac9771bdc54</t>
  </si>
  <si>
    <t>Fallback campaign</t>
  </si>
  <si>
    <t>BA Launch Invite - Mum - On+Off (FB)</t>
  </si>
  <si>
    <t>69d4b83fe411202864cfd3fe</t>
  </si>
  <si>
    <t>BA Launch - FP (FB)</t>
  </si>
  <si>
    <t>69d4df0d0d2f028abf40049f</t>
  </si>
  <si>
    <t>BA Launch - Repeat (FB)</t>
  </si>
  <si>
    <t>69d4e08c755ae7638e00940c</t>
  </si>
  <si>
    <t>BA Launch - Recent (FB)</t>
  </si>
  <si>
    <t>69d4e228d1bce210cf1ff81d</t>
  </si>
  <si>
    <t>BA Launch - Dormant (FB)</t>
  </si>
  <si>
    <t>69d4e33c5b4bd421d64744ea</t>
  </si>
  <si>
    <t>BA Launch - Recent - Off (FB)</t>
  </si>
  <si>
    <t>69d4e387904e4caefd15c70f</t>
  </si>
  <si>
    <t>BA Launch - Churned High LTV (FB)</t>
  </si>
  <si>
    <t>69d4e451a74f4478f35a5f2b</t>
  </si>
  <si>
    <t>BA Launch - Mumbai - Off (FB)</t>
  </si>
  <si>
    <t>69d4e59361d2678f7e4c5679</t>
  </si>
  <si>
    <t>BA Launch - FP - Off (FB)</t>
  </si>
  <si>
    <t>69d4e5df91e7f9d21c5385db</t>
  </si>
  <si>
    <t>BA Launch - Repeat - Off (FB)</t>
  </si>
  <si>
    <t xml:space="preserve">Repeat </t>
  </si>
  <si>
    <t>69d4e6565158c8acfffa62bf</t>
  </si>
  <si>
    <t>BA Launch - Delhi - Off (FB)</t>
  </si>
  <si>
    <t>69d4e66f03ff4b5cac912516</t>
  </si>
  <si>
    <t>BA Launch - Dormant - Off (FB)</t>
  </si>
  <si>
    <t>69d4e6a1ecd83b0fee87db74</t>
  </si>
  <si>
    <t>BA Launch - Churned High LTV - Off (FB)</t>
  </si>
  <si>
    <t>69d4e73738636e8a9fbb9eae</t>
  </si>
  <si>
    <t>bbw_on_wa_bcat1099_9april_atc&amp;viewitem</t>
  </si>
  <si>
    <t>BBW_ON_BC_ATC_View_Item_8_Apr_26</t>
  </si>
  <si>
    <t>Customers who have ATC in last 45 days or viewed items in the last 30 days from BC</t>
  </si>
  <si>
    <t>Online Event - ATC;  View Item</t>
  </si>
  <si>
    <t>9-11 April</t>
  </si>
  <si>
    <t>69d785c34f045e3d26e2e35d</t>
  </si>
  <si>
    <t>bbw_on_wa_bcat1099_9april_recent</t>
  </si>
  <si>
    <t>BBW_ON_BC_Recent_8_Apr_26</t>
  </si>
  <si>
    <t>Online Customers have purchased in TTR (113 days) from BC</t>
  </si>
  <si>
    <t>69d786ba276fe0fcd4f7c95f</t>
  </si>
  <si>
    <t>bbw_on_wa_bcat1099_9april_repeat</t>
  </si>
  <si>
    <t>BBW_ON_BC_Repeat_8_Apr_26</t>
  </si>
  <si>
    <t>Online Customers have purchased in at least 2 times from BC</t>
  </si>
  <si>
    <t>69d787549104b3141de2ccd7</t>
  </si>
  <si>
    <t>bbw_on_wa_bcat1099_9april_predombelow1299</t>
  </si>
  <si>
    <t>BBW_ON_BC_Price_Predom_Below_1299_8_Apr_26</t>
  </si>
  <si>
    <t>Online Customers who have predom purchased with cart value below 1299</t>
  </si>
  <si>
    <t>Price Predom</t>
  </si>
  <si>
    <t>69d788b8294f4d7e3ec3076e</t>
  </si>
  <si>
    <t>bbw_on_wa_bcat1099_9april_qty2</t>
  </si>
  <si>
    <t>BBW_ON_Qty2_Predom_8_Apr_26</t>
  </si>
  <si>
    <t>Online Customers whose predom UPT is &gt;2</t>
  </si>
  <si>
    <t>Cart Qty Predom</t>
  </si>
  <si>
    <t>69d789368b3b27103b78b556</t>
  </si>
  <si>
    <t>bbw_on_smsfb_bcat1099_9april_atc&amp;viewitem</t>
  </si>
  <si>
    <t>69d793275fc6a34acc7ff92d</t>
  </si>
  <si>
    <t>bbw_on_smsfb_bcat1099_9april_recent</t>
  </si>
  <si>
    <t>69d793623d0feebc8074a1bc</t>
  </si>
  <si>
    <t>bbw_on_smsfb_bcat1099_9april_repeat</t>
  </si>
  <si>
    <t>69d7939b3a42b2f8f9fefd73</t>
  </si>
  <si>
    <t>bbw_on_smsfb_bcat1099_9april_predombelow1299</t>
  </si>
  <si>
    <t>69d793d969f23fcef00d8da7</t>
  </si>
  <si>
    <t>bbw_on_smsfb_bcat1099_9april_qty2</t>
  </si>
  <si>
    <t>69d794279d383182cd074a41</t>
  </si>
  <si>
    <t>bbw_on_wa_bcat1099_9april_disc_buyer_V1</t>
  </si>
  <si>
    <t>BBW_ON_Disc_Buyers_8_Apr_26</t>
  </si>
  <si>
    <t>Online Customers who have purchased at least 2 times with disc value &gt; 0</t>
  </si>
  <si>
    <t>10-12 April</t>
  </si>
  <si>
    <t>69d8849ba819a1ee451ccafd</t>
  </si>
  <si>
    <t>bbw_on_wa_bcat1099_9april_bc_last_180d_V1</t>
  </si>
  <si>
    <t>BBW_OFF_BC_Buyers_180D_8_Apr_26</t>
  </si>
  <si>
    <t>Offline Customers have purchased in at least 1 time from BC in the last 180 Days</t>
  </si>
  <si>
    <t>69d884d30a9d55394a57066e</t>
  </si>
  <si>
    <t>bbw_on_wa_bcat1099_9april_cat_averse_V1</t>
  </si>
  <si>
    <t>BBW_ON_BC_Category_Averse_8_Apr_26</t>
  </si>
  <si>
    <t>Online Customers have purchased in at least 3 times but not from BC</t>
  </si>
  <si>
    <t>Category</t>
  </si>
  <si>
    <t>69d88527ec016993da90e6c5</t>
  </si>
  <si>
    <t>bbw_on_smsfb_bcat1099_9april_cat_averse</t>
  </si>
  <si>
    <t>69d794b4f3d7faf9451709e5</t>
  </si>
  <si>
    <t>bbw_on_smsfb_bcat1099_9april_bc_last_180d</t>
  </si>
  <si>
    <t>69d7951a335ae7c01f19da39</t>
  </si>
  <si>
    <t>bbw_on_smsfb_bcat1099_9april_disc_buyer</t>
  </si>
  <si>
    <t>69d88634f21f3a30b1f18ef0</t>
  </si>
  <si>
    <t>promotional</t>
  </si>
  <si>
    <t>Amayra</t>
  </si>
  <si>
    <t>Flat50_Amayra_Crocs</t>
  </si>
  <si>
    <t>Crocs_off_AmayraEmporio_9thapril26</t>
  </si>
  <si>
    <t>69d79a5255be37edb2424471</t>
  </si>
  <si>
    <t>Vishu campaigns</t>
  </si>
  <si>
    <t>Vishu Kochi Round 1</t>
  </si>
  <si>
    <t>Store_Shop_RB_16_21_22_1329</t>
  </si>
  <si>
    <t>Customers who shopped between 8th April 2023 to 6th April 2026 from stores: RB016, RB021, RB022, 1329</t>
  </si>
  <si>
    <t>Store Base</t>
  </si>
  <si>
    <t>10th to 12th April</t>
  </si>
  <si>
    <t>69d6408dcc9231dd752e7e0c</t>
  </si>
  <si>
    <t>Vishu Calicut Round 1</t>
  </si>
  <si>
    <t>Store_Shop_RB_08_10</t>
  </si>
  <si>
    <t>Customers who shopped between 8th April 2023 to 6th April 2026 from stores: RB008 and RB010</t>
  </si>
  <si>
    <t>69d640a9c9a4b83c7da8c192</t>
  </si>
  <si>
    <t>Vishu Trivandrum Round 1</t>
  </si>
  <si>
    <t>Store_Shop_RB_20_1283</t>
  </si>
  <si>
    <t>Customers who shopped between 8th April 2023 to 6th April 2026 from stores: RB020 and 1283</t>
  </si>
  <si>
    <t>69d640cb58d966987c0e9994</t>
  </si>
  <si>
    <t>North</t>
  </si>
  <si>
    <t>North Round 1</t>
  </si>
  <si>
    <t>Store_Shop_RB_25_1250_1281_1296_1300</t>
  </si>
  <si>
    <t>Customers who shopped between 8th April 2023 to 6th April 2026 from stores: RB025, 1250, 1281, 1296, 1300</t>
  </si>
  <si>
    <t>69d640e67492b2343b6a6741</t>
  </si>
  <si>
    <t>Vishu Alleppey Round 1</t>
  </si>
  <si>
    <t>Store_Shop_RB_1286</t>
  </si>
  <si>
    <t>Customers who shopped between 8th April 2023 to 6th April 2026 from stores: 1286</t>
  </si>
  <si>
    <t>69d652818c12e1ae20600601</t>
  </si>
  <si>
    <t>Fallback_All Vishu Round 1</t>
  </si>
  <si>
    <t>Store_Shop_RB_16_21_22_1329, Store_Shop_RB_08_10, Store_Shop_RB_20_1283, Store_Shop_RB_1286</t>
  </si>
  <si>
    <t>69d6533a129eb2d7eef14887</t>
  </si>
  <si>
    <t>Fallback_North Stores</t>
  </si>
  <si>
    <t>69d653920e04cd72a509a303</t>
  </si>
  <si>
    <t>Crocs_Amayra_fallback</t>
  </si>
  <si>
    <t>69d79a91112015d9d3b63f4b</t>
  </si>
  <si>
    <t>BA Launch 2</t>
  </si>
  <si>
    <t>ID contains any of [919819676167, 917715006160, 919136102471]  case insensitive, VS_onoff_wasms_undelivered_BAlaunch_10thapril</t>
  </si>
  <si>
    <t>All customers who were included on BA Launch campaign but did not receive WA/SMS</t>
  </si>
  <si>
    <t>11th - 12th April</t>
  </si>
  <si>
    <t>69d8fc50b9b9a0a6943ad418</t>
  </si>
  <si>
    <t>New arrivals</t>
  </si>
  <si>
    <t>CK_10th April_New Arrivals_ Online</t>
  </si>
  <si>
    <t>CK_Online_Dormant_27Feb26</t>
  </si>
  <si>
    <t>All Online Customers who have purchased at least once in the last 1095 days; from custom file upload</t>
  </si>
  <si>
    <t>11-18 April</t>
  </si>
  <si>
    <t>69d8f5006e76ed76582c41ba</t>
  </si>
  <si>
    <t>CK_10th April_New Arrivals_ Online_SMS Fallback</t>
  </si>
  <si>
    <t>69d8f583302822daa2c68bd6</t>
  </si>
  <si>
    <t>bbw_on_wa_bcat1099_9april_atc&amp;viewitem_lastreminder</t>
  </si>
  <si>
    <t>12-14 April</t>
  </si>
  <si>
    <t>69d8c58ef41994e7c40d08e9</t>
  </si>
  <si>
    <t>bbw_on_wa_bcat1099_9april_recent_lastreminder</t>
  </si>
  <si>
    <t>69d8c9627187327729a140fc</t>
  </si>
  <si>
    <t>bbw_on_wa_bcat1099_9april_repeat_lastreminder</t>
  </si>
  <si>
    <t>69d8c9b99dae670d18cb3b3f</t>
  </si>
  <si>
    <t>bbw_on_wa_bcat1099_9april_predombelow1299_lastreminder</t>
  </si>
  <si>
    <t>69d8ca291716efdd792b2ef6</t>
  </si>
  <si>
    <t>bbw_on_wa_bcat1099_9april_qty2_lastreminder</t>
  </si>
  <si>
    <t>69d8cad16fdcccf84ec9a1d7</t>
  </si>
  <si>
    <t>bbw_on_wa_bcat1099_9april_cat_averse_lastreminder</t>
  </si>
  <si>
    <t>69d8cb6bb9d4f4556e6a01b2</t>
  </si>
  <si>
    <t>bbw_on_wa_bcat1099_9april_disc_buyer_lastreminder</t>
  </si>
  <si>
    <t>69d8cbe68175228933be4347</t>
  </si>
  <si>
    <t>bbw_on_smsfb_bcat101212_12april_atc&amp;viewitem_lastreminder</t>
  </si>
  <si>
    <t>69d8cd2533ec21f9f7672ee6</t>
  </si>
  <si>
    <t>bbw_on_smsfb_bcat101212_12april_recent_lastreminder</t>
  </si>
  <si>
    <t>69d8ce129b074ad28f691c49</t>
  </si>
  <si>
    <t>bbw_on_smsfb_bcat101212_12april_repeat_lastreminder</t>
  </si>
  <si>
    <t>69d8ce512ba57e2ce9eab25b</t>
  </si>
  <si>
    <t>bbw_on_smsfb_bcat101212_12april_predombelow121212_lastreminder</t>
  </si>
  <si>
    <t>69d8ce9ddca85d67866871fc</t>
  </si>
  <si>
    <t>bbw_on_smsfb_bcat101212_12april_qty2_lastreminder</t>
  </si>
  <si>
    <t>69d8cf2ec61b4431e759c3bd</t>
  </si>
  <si>
    <t>bbw_on_smsfb_bcat101212_12april_cat_averse_lastreminder</t>
  </si>
  <si>
    <t>69d8cfc60044f948c7db7673</t>
  </si>
  <si>
    <t>bbw_on_smsfb_bcat101212_12april_disc_buyer_lastreminder</t>
  </si>
  <si>
    <t>69d8d04ffe168aa6d014514a</t>
  </si>
  <si>
    <t>Promtional</t>
  </si>
  <si>
    <t>Crocs_Amayra_flat50</t>
  </si>
  <si>
    <t>69d79aa8f21f3a30b1f18307</t>
  </si>
  <si>
    <t>Vishu Kochi Round 2</t>
  </si>
  <si>
    <t>13th to 15th April</t>
  </si>
  <si>
    <t>69d63fd07ea317b787560396</t>
  </si>
  <si>
    <t>Vishu Alleppey Round 2</t>
  </si>
  <si>
    <t>69d63ff30093a4f856fa252f</t>
  </si>
  <si>
    <t>Vishu Calicut Round 2</t>
  </si>
  <si>
    <t>69d6401990702acb1214ade9</t>
  </si>
  <si>
    <t>Vishu Trivandrum Round 2</t>
  </si>
  <si>
    <t>69d640382d7ae1e665ddd620</t>
  </si>
  <si>
    <t>Fallback_All Vishu Round 2</t>
  </si>
  <si>
    <t>Has executed WhatsApp Message Delivery Failed atleast 1 time in the last 3 days with attributes Readable Campaign Id  is in [69d63fd07ea317b787560396, 69d63ff30093a4f856fa252f, 69d6401990702acb1214ade9, 69d640382d7ae1e665ddd620]  case insensitive</t>
  </si>
  <si>
    <t>sms</t>
  </si>
  <si>
    <t>69d653e4cd68241b8a5ff037</t>
  </si>
  <si>
    <t>MSS Campaigns</t>
  </si>
  <si>
    <t>bbw_mss_15april_wa_active_online</t>
  </si>
  <si>
    <t>BBW_Active_Base_Online</t>
  </si>
  <si>
    <t>Online Customers who have purchased in TTR (90 days)</t>
  </si>
  <si>
    <t>15-17 April</t>
  </si>
  <si>
    <t>69df69780527a0648e84fef4</t>
  </si>
  <si>
    <t>bbw_mss_15april_wa_dormant_online</t>
  </si>
  <si>
    <t>BBW_Dormant_Base_Online</t>
  </si>
  <si>
    <t>Online Customers who have purchased in last 365 days but not in TTR (90 days)</t>
  </si>
  <si>
    <t>69df69aefed1f5ac43f3c71f</t>
  </si>
  <si>
    <t>bbw_mss_15april_wa_atc_item_viewed_online</t>
  </si>
  <si>
    <t>BBW_ATC_View_Item_Base_40D</t>
  </si>
  <si>
    <t>Online Customers who have ATC or Viewed Item in last 40 days excl. purchasers in last 365 days</t>
  </si>
  <si>
    <t>69df69e2f439d87012d3b846</t>
  </si>
  <si>
    <t>bbw_mss_15april_smsfb_active_online</t>
  </si>
  <si>
    <t>69df6ca5086402c8657f8f9c</t>
  </si>
  <si>
    <t>bbw_mss_15april_smsfb_dormant_online</t>
  </si>
  <si>
    <t>69df6d223410e2acb5919fac</t>
  </si>
  <si>
    <t>bbw_mss_15april_smsfb_atc_item_viewed_online</t>
  </si>
  <si>
    <t>69df6deaec2623f3a90649bf</t>
  </si>
  <si>
    <t>Cool bra store campaigns</t>
  </si>
  <si>
    <t>VS CoolBra - Stores - Palassio - LKN</t>
  </si>
  <si>
    <t>Offline Customers who have purchased from Store with Store Name VS BA PALASSIO LUCKNOW, Store code :- 1225</t>
  </si>
  <si>
    <t>Offline Stores</t>
  </si>
  <si>
    <t>16th - 19th April</t>
  </si>
  <si>
    <t>69df84258664aae174d5ab2e</t>
  </si>
  <si>
    <t>VS CoolBra - Stores - Elegante - Delhi</t>
  </si>
  <si>
    <t>Offline Customers who have purchased from Store with Store Name VS Elegante Delhi , Store Code :- 1251</t>
  </si>
  <si>
    <t>69df844d562318f95561f256</t>
  </si>
  <si>
    <t>VS CoolBra - Stores - EA - Chennai</t>
  </si>
  <si>
    <t>Offline Customers who have purchased from Store with Store Name VS EXPRESS AVENUE CHENNAI, Store Code :- 1252</t>
  </si>
  <si>
    <t>69df848b34d9e30ff917d946</t>
  </si>
  <si>
    <t>VS CoolBra - Stores - Zora - Raipur</t>
  </si>
  <si>
    <t>Offline Customers who have purchased from Store with Store Name VS ZORA RAIPUR, Store Code :- 1271</t>
  </si>
  <si>
    <t>69df85170cca22884939b291</t>
  </si>
  <si>
    <t>VS CoolBra - Stores - Orion - BLR</t>
  </si>
  <si>
    <t>Offline Customers who have purchased from Store with Store Name VS Orion Bangalore , Store Code :- 1273</t>
  </si>
  <si>
    <t>69df854b0cca22884939b29a</t>
  </si>
  <si>
    <t>VS CoolBra - Stores - LakeShore - HYD</t>
  </si>
  <si>
    <t>Offline Customers who have purchased from Store with Store Name VS Lakeshore Hyderabad, Store Code :- 1280</t>
  </si>
  <si>
    <t>69df863865243fe45c5b8a31</t>
  </si>
  <si>
    <t>VS CoolBra - Stores - Palladium - Mum</t>
  </si>
  <si>
    <t>Offline Customers who have purchased from Store with Store Name :- VS PALLADIUM MUMBAI, Store Code :- 97001</t>
  </si>
  <si>
    <t>69df876350cbbe4acb3ebd6b</t>
  </si>
  <si>
    <t>VS CoolBra - Stores - Ambi - VK</t>
  </si>
  <si>
    <t>Offline Customers who have purchased from Store with Store Name :- VS AMBI VK, Store Code :- 97002</t>
  </si>
  <si>
    <t>69df8794b6dd3a2b1051eea6</t>
  </si>
  <si>
    <t>VS CoolBra - Stores - Ambi - GGN</t>
  </si>
  <si>
    <t>Offline Customers who have purchased from Store with Store Name :- VS AMBI GURGAON, Store Code :- 97003</t>
  </si>
  <si>
    <t>69df882a0ec765812cf6bef6</t>
  </si>
  <si>
    <t>VS CoolBra - Stores - MOA - BLR</t>
  </si>
  <si>
    <t>vs_off_pr_FA_97004_14_April</t>
  </si>
  <si>
    <t>Offline Customers who have purchased from Store with Store Name :- VS MALL OF ASIA, Store code :- 97004</t>
  </si>
  <si>
    <t>69df885191fca74bb9df8a68</t>
  </si>
  <si>
    <t>VS CoolBra - Stores - MOM - Pune</t>
  </si>
  <si>
    <t>Offline Customers who have purchased from Store with Store Name :- VS BA MALL OF MILLENNIUM, Store Code :- 97005</t>
  </si>
  <si>
    <t>69df8870e370fdcaeece48c8</t>
  </si>
  <si>
    <t>VS CoolBra - Stores - Inorbit HYD</t>
  </si>
  <si>
    <t>Offline Customers who have purchased from Store with Store Name :- VS BA INORBIT HYDERABAD, Store Code :- 97006</t>
  </si>
  <si>
    <t>69df88a26903da16f208d3d0</t>
  </si>
  <si>
    <t>VS CoolBra - Stores - KOPA Pune</t>
  </si>
  <si>
    <t>Offline Customers who have purchased from Store with Store Name :- VS BA KOPA PUNE, Store Code :- 97007</t>
  </si>
  <si>
    <t>69df88c239e17f208b9401ba</t>
  </si>
  <si>
    <t>VS CoolBra - Stores - Inorbit Malad</t>
  </si>
  <si>
    <t>Offline Customers who have purchased from Store with Store Name :- VS BA INORBIT MALAD, Store Code :- 97008</t>
  </si>
  <si>
    <t>69df88e6b2c78974d83f284f</t>
  </si>
  <si>
    <t>VS CoolBra - Stores - PMC Kurla</t>
  </si>
  <si>
    <t>Offline Customers who have purchased from Store with Store Name :- VS BA PMC KURLA, Store Code :- 97009</t>
  </si>
  <si>
    <t>69df89261071ffa0b8364b9c</t>
  </si>
  <si>
    <t>VS CoolBra - Stores - Lulu Kochi</t>
  </si>
  <si>
    <t>Offline Customers who have purchased from Store with Store Name VS LULU KOCHI, Store Code :- 97011</t>
  </si>
  <si>
    <t>69df8948b280d8c76e5bda76</t>
  </si>
  <si>
    <t>VS CoolBra - Stores - Nexus BLR</t>
  </si>
  <si>
    <t>Offline Customers who have purchased from Store with Store Name :- VS BA NEXUS KORAMANGALA , Store Code :- 97012</t>
  </si>
  <si>
    <t>69df897ca61e0c894ae5a470</t>
  </si>
  <si>
    <t>VS CoolBra - Stores - Nexus HYD</t>
  </si>
  <si>
    <t>Offline Customers who have purchased from Store with Store Name :- VS BA NEXUS SUJANA HYD, Store Code:- 97013</t>
  </si>
  <si>
    <t>69df899cfe228fc7f54318fa</t>
  </si>
  <si>
    <t xml:space="preserve">cool bra </t>
  </si>
  <si>
    <t>VS CoolBra - Online - Full Price CX</t>
  </si>
  <si>
    <t>Online Customers who have purchased at least 1 time with Order Disc Value = 0 in the last 1095 days</t>
  </si>
  <si>
    <t>69df96ccbdd42d5948d6ee13</t>
  </si>
  <si>
    <t>VS CoolBra - Online - Dorm CX</t>
  </si>
  <si>
    <t>VS_ON_Dorm_LTV_4k</t>
  </si>
  <si>
    <t>Online Customers who have purchased at least 1 time in the last 365 days with summation of Net Order Value above 3,999 AND exlcude Custom Segment :- VS_Map_FullPriceUsers_Online, VS_ON_BraBase, VS_ON_personal_care_lingerie_subcat_14_April_26</t>
  </si>
  <si>
    <t>Dormant High LTV</t>
  </si>
  <si>
    <t>69df973e70433e6aae44c9a6</t>
  </si>
  <si>
    <t>VS CoolBra - Online - Bra CX</t>
  </si>
  <si>
    <t>VS_ON_BraBase</t>
  </si>
  <si>
    <t>Online Customers who have purchased from L3: Bra at least 1 time in the last 1095 days AND exlcude Custom Segment :- VS_Map_FullPriceUsers_Online</t>
  </si>
  <si>
    <t>Category Specific :- Bra</t>
  </si>
  <si>
    <t>69dfbdecfbd0b8fcf8d7f6a9</t>
  </si>
  <si>
    <t>VS CoolBra - Online - SubCat CX</t>
  </si>
  <si>
    <t>VS_ON_personal_care_lingerie_subcat_14_April_26</t>
  </si>
  <si>
    <t>Online Customers who have purchased from L1: Personal Care or L2: Lingerie at least 1 time in the last 1095 days AND exlcude Custom Segment :- VS_Map_FullPriceUsers_Online, VS_ON_BraBase</t>
  </si>
  <si>
    <t>69dfbdfed20f44c52b8a913a</t>
  </si>
  <si>
    <t>VS CoolBra - Stores - Palassio - LKN (FB)</t>
  </si>
  <si>
    <t>69e07251e93ca854bc2bb7d6</t>
  </si>
  <si>
    <t>VS CoolBra - Stores - Elegante - Delhi (FB)</t>
  </si>
  <si>
    <t>69e072752747e62a5157ee36</t>
  </si>
  <si>
    <t>VS CoolBra - Stores - EA - Chennai (FB)</t>
  </si>
  <si>
    <t>69e072996c08f1200f14a243</t>
  </si>
  <si>
    <t>VS CoolBra - Stores - Zora - Raipur (FB)</t>
  </si>
  <si>
    <t>69e072cd6c08f1200f14a24a</t>
  </si>
  <si>
    <t>VS CoolBra - Stores - Orion - BLR (FB)</t>
  </si>
  <si>
    <t>69e0733a8390799d694e07c3</t>
  </si>
  <si>
    <t>VS CoolBra - Stores - LakeShore - HYD (FB)</t>
  </si>
  <si>
    <t>69e0734df5590d63ed11379d</t>
  </si>
  <si>
    <t>VS CoolBra - Stores - Palladium - Mum (FB)</t>
  </si>
  <si>
    <t>69e0736ceaf888144758756f</t>
  </si>
  <si>
    <t>VS CoolBra - Stores - Ambi - VK (FB)</t>
  </si>
  <si>
    <t>69e0739383b8d874c4b3990f</t>
  </si>
  <si>
    <t>VS CoolBra - Stores - Ambi - GGN (FB)</t>
  </si>
  <si>
    <t>69e073a11dee13fbe23e36cb</t>
  </si>
  <si>
    <t>VS CoolBra - Stores - MOA - BLR (FB)</t>
  </si>
  <si>
    <t>69e073b278b6c715912916c5</t>
  </si>
  <si>
    <t>VS CoolBra - Stores - MOM - Pune (FB)</t>
  </si>
  <si>
    <t>69e073cd52c7d9b681987915</t>
  </si>
  <si>
    <t>VS CoolBra - Stores - Inorbit HYD (FB)</t>
  </si>
  <si>
    <t>69e073fd1bfd4179458eec2f</t>
  </si>
  <si>
    <t>VS CoolBra - Stores - KOPA Pune (FB)</t>
  </si>
  <si>
    <t>69e07411dbdb9385f309cf31</t>
  </si>
  <si>
    <t>VS CoolBra - Stores - Inorbit Malad (FB)</t>
  </si>
  <si>
    <t>69e0742d23080ccb2d48e39e</t>
  </si>
  <si>
    <t>VS CoolBra - Stores - PMC Kurla (FB)</t>
  </si>
  <si>
    <t>69e07458f4a49557515c474f</t>
  </si>
  <si>
    <t>VS CoolBra - Stores - Lulu Kochi (FB)</t>
  </si>
  <si>
    <t>69e07472fbedade0dfe4897c</t>
  </si>
  <si>
    <t>VS CoolBra - Stores - Nexus BLR (FB)</t>
  </si>
  <si>
    <t>69e074a1f5590d63ed1137d6</t>
  </si>
  <si>
    <t>VS CoolBra - Stores - Nexus HYD (FB)</t>
  </si>
  <si>
    <t>69e074c2eaf8881447587589</t>
  </si>
  <si>
    <t>VS CoolBra - Online - Full Price CX (FB)</t>
  </si>
  <si>
    <t>69e0752f3b205605157fe307</t>
  </si>
  <si>
    <t>VS CoolBra - Online - Bra CX (FB)</t>
  </si>
  <si>
    <t>69e07611ef21931260261ed8</t>
  </si>
  <si>
    <t>VS CoolBra - Online - Dorm CX (FB)</t>
  </si>
  <si>
    <t>69e0761dc084e9677f01cf4c</t>
  </si>
  <si>
    <t>VS CoolBra - Online - SubCat CX (FB)</t>
  </si>
  <si>
    <t>69e0763b2ab86096989ab84d</t>
  </si>
  <si>
    <t>bbw_mss_16april_wa_active_offline</t>
  </si>
  <si>
    <t>BBW_Active_Base_Offline</t>
  </si>
  <si>
    <t>Offline Customers who have purchased in TTR (110 days)</t>
  </si>
  <si>
    <t>16-18 April</t>
  </si>
  <si>
    <t>69df6a5c91891266bc588436</t>
  </si>
  <si>
    <t>bbw_mss_16april_wa_dormant_6m_offline</t>
  </si>
  <si>
    <t>BBW_Dormant_6M_Offline</t>
  </si>
  <si>
    <t>Offline Customers who have purchased in the last 180 days excl. BBW_Active_Base_Offline</t>
  </si>
  <si>
    <t>69df6a8dddef902d261e564e</t>
  </si>
  <si>
    <t>bbw_mss_16april_wa_dormant6to12_offline</t>
  </si>
  <si>
    <t>BBW_Dormant_6M_to_12M_Offline</t>
  </si>
  <si>
    <t>Offline Customers who have purchased in between the last 181 and 365 days excl. BBW_Active_Base_Offline</t>
  </si>
  <si>
    <t>69df6ae88a617342ba595bc9</t>
  </si>
  <si>
    <t>bbw_mss_16april_smsfb_active_offline</t>
  </si>
  <si>
    <t>69df73eeb6dd3a2b1051e65a</t>
  </si>
  <si>
    <t>bbw_mss_16april_smsfb_dormant_6m_offline</t>
  </si>
  <si>
    <t>69df74af562318f95561ec6d</t>
  </si>
  <si>
    <t>bbw_mss_16april_smsfb_dormant6to12_offline</t>
  </si>
  <si>
    <t>69df752e912d8778d4c8b3cd</t>
  </si>
  <si>
    <t>Fashion Crew_Final Round</t>
  </si>
  <si>
    <t>RB_OFF_Active_15_April_26</t>
  </si>
  <si>
    <t>Offline Customers who have purchased at least 1 time excl. Offline Dormant and Churned Customers</t>
  </si>
  <si>
    <t>17th to 19th April</t>
  </si>
  <si>
    <t>69e0830df6eb9140fcd2f586</t>
  </si>
  <si>
    <t>Fallback_FashionCrew 16th April</t>
  </si>
  <si>
    <t>69e083bc78b6c71591291d8c</t>
  </si>
  <si>
    <t>Fallback_Churned_INSTANT250OFF</t>
  </si>
  <si>
    <t>Has executed RCS Delivery Failed atleast 1 time in the last 3 days with attributes Readable Campaign Id contains any of [69de1d9970d32743c6ef67ff, 69de1d2cf32be903eb87c5fb, 69de1cf8167a68a1492e07d3]  case insensitive</t>
  </si>
  <si>
    <t>17th April to 30th April</t>
  </si>
  <si>
    <t>69e084122b90d3d267e4c918</t>
  </si>
  <si>
    <t>Fallback_Dormant_250OFFon1000spends</t>
  </si>
  <si>
    <t>Has executed RCS Delivery Failed atleast 1 time in the last 3 days with attributes Readable Campaign Id contains any of [69de1ca2929355a30b04d182, 69de1cc2f8e217087db30d0c]  case insensitive</t>
  </si>
  <si>
    <t>69e0845e076505e73e63a4a7</t>
  </si>
  <si>
    <t>Dormant_Below1000</t>
  </si>
  <si>
    <t>Dormant_OV_1000andbelow_Off_14thApril, Rnb_testusers_couponcode_14thapril</t>
  </si>
  <si>
    <t>Dormant (purchased in 365 days excl. customers who have purchased in 85 days) Customers who have spending 1000 and below per purchase</t>
  </si>
  <si>
    <t>69de1ca2929355a30b04d182</t>
  </si>
  <si>
    <t>Dormant_Above1000</t>
  </si>
  <si>
    <t>Dormant_OV_1000andabove_Off_14thApril</t>
  </si>
  <si>
    <t>Dormant (purchased in 365 days excl. customers who have purchased in 85 days) Customers who have spending 1000 and above per purchase</t>
  </si>
  <si>
    <t>69de1cc2f8e217087db30d0c</t>
  </si>
  <si>
    <t>Churned_Below1000</t>
  </si>
  <si>
    <t>Churned_365to730days_OV_1000andbelow_Off_14thApril, Rnb_testusers_couponcode_14thapril</t>
  </si>
  <si>
    <t>Churned (purchased in 1095 days excl. customers who have purchased in 365 days) Customers who have purchased in between 365 days and 730 days with spending 1000 and below per purchase</t>
  </si>
  <si>
    <t>69de1cf8167a68a1492e07d3</t>
  </si>
  <si>
    <t>Churned_Above1000</t>
  </si>
  <si>
    <t>Churned_365to730days_OV_1000andabove_Off_14thApril</t>
  </si>
  <si>
    <t>Churned (purchased in 1095 days excl. customers who have purchased in 365 days) Customers who have purchased in between 365 days and 730 days with spending 1000 and above per purchase</t>
  </si>
  <si>
    <t>69de1d2cf32be903eb87c5fb</t>
  </si>
  <si>
    <t>Churned_morethan730days</t>
  </si>
  <si>
    <t>Churned_731to1095days_Off_14thApril</t>
  </si>
  <si>
    <t>Churned (purchased in 1095 days excl. customers who have purchased in 365 days) Customers who have purchased in between 731 days and beyond</t>
  </si>
  <si>
    <t>69de1d9970d32743c6ef67ff</t>
  </si>
  <si>
    <t>bbw_mss_17april_wa_churned_online_V2</t>
  </si>
  <si>
    <t>BBW_Churned_Base_Online</t>
  </si>
  <si>
    <t>Online Customers who have purchased in last 1095 days but not in last 365 days</t>
  </si>
  <si>
    <t>17-19 April</t>
  </si>
  <si>
    <t>69e23286b5eca177fd8d57db</t>
  </si>
  <si>
    <t>bbw_mss_17april_wa_churned1_offline_V2</t>
  </si>
  <si>
    <t>BBW_Churned_550_1095D_Offline</t>
  </si>
  <si>
    <t>Offline Customers who have purchased in between the last 550 and 1095 days but not in last 365 days</t>
  </si>
  <si>
    <t>69e232a828cd390a4924ae60</t>
  </si>
  <si>
    <t>bbw_mss_17april_wa_churned2_offline_V2</t>
  </si>
  <si>
    <t>BBW_Churned_336_549D_Offline</t>
  </si>
  <si>
    <t>Offline Customers who have purchased in between the last 366 and 549 days but not in last 365 days</t>
  </si>
  <si>
    <t>69e232e3b5eca177fd8d57e7</t>
  </si>
  <si>
    <t>bbw_mss_17april_smsfb_churned_online</t>
  </si>
  <si>
    <t>69e205acf74188b7f7d44a9f</t>
  </si>
  <si>
    <t>bbw_mss_17april_smsfb_churned1_offline</t>
  </si>
  <si>
    <t>69e205e7da77a1e79d41c97d</t>
  </si>
  <si>
    <t>bbw_mss_17april_smsfb_churned2_offline</t>
  </si>
  <si>
    <t>69e20625b01d8abc031867fa</t>
  </si>
  <si>
    <t>New collection</t>
  </si>
  <si>
    <t>CK New collection_Handbag_ campaign</t>
  </si>
  <si>
    <t>CK_OFF_FootWear_Active_8_Apr</t>
  </si>
  <si>
    <t>Customers who have purchased L1: Footwear in Feb - March 2026</t>
  </si>
  <si>
    <t>18-24 April</t>
  </si>
  <si>
    <t>69e22b56d3b0d5d2348c5c77</t>
  </si>
  <si>
    <t>CK New collection_Handbag campaign_1</t>
  </si>
  <si>
    <t>CK_OFF_Wallet_Active_8_Apr</t>
  </si>
  <si>
    <t>Customers who have purchased L3: Wallet in Feb - March 2026</t>
  </si>
  <si>
    <t>69e22ba6c3b398d37f825ba9</t>
  </si>
  <si>
    <t>CK New collection_dormant base campaign</t>
  </si>
  <si>
    <t>CK_OFF_Dormant_8_Apr</t>
  </si>
  <si>
    <t>Customers who have not purchased after 31 Jan 2026</t>
  </si>
  <si>
    <t>69e22bc528cd390a4924ace0</t>
  </si>
  <si>
    <t>CK New collection_Shoe campaign</t>
  </si>
  <si>
    <t>CK_OFF_Handbags_Active_8_Apr</t>
  </si>
  <si>
    <t>Customers who have purchased L2: Handbags in Feb - March 2026</t>
  </si>
  <si>
    <t>69e235c5c3b398d37f825d6a</t>
  </si>
  <si>
    <t>CK New collection_Handbag_ campaign_Fallback SMS</t>
  </si>
  <si>
    <t>69e22c00b93a17ddf995b213</t>
  </si>
  <si>
    <t>CK New collection_Handbag campaign_Fallback SMS_1</t>
  </si>
  <si>
    <t>69e22c42945564f6f4e68e04</t>
  </si>
  <si>
    <t>CK New collection_dormant base campaign_Fallback SMS</t>
  </si>
  <si>
    <t>69e22c7e88536f9e9528aba2</t>
  </si>
  <si>
    <t>CK New collection_Shoe campaign_Fallback SMS</t>
  </si>
  <si>
    <t>69e2361a812b9f90d0e2e923</t>
  </si>
  <si>
    <t>bbw_mss_18april_wa_candles_online</t>
  </si>
  <si>
    <t>BBW_ON_Candle_Cat</t>
  </si>
  <si>
    <t>Online Customers who have purchased from L3: Candles at least 1 time in the last 730 days OR purchased at least 2 times in the last 1095 days</t>
  </si>
  <si>
    <t>Category Specifc</t>
  </si>
  <si>
    <t>18-20 April</t>
  </si>
  <si>
    <t>69df7dfa65243fe45c5b8873</t>
  </si>
  <si>
    <t>bbw_mss_18april_wa_mists_online</t>
  </si>
  <si>
    <t>BBW_ON_Mist_Cat</t>
  </si>
  <si>
    <t>Online Customers who have purchased from L3: Mist at least 1 time in the last 365 days OR purchased at least 2 times in the last 1095 days</t>
  </si>
  <si>
    <t>69df7e77f5ce141c51f6f441</t>
  </si>
  <si>
    <t>bbw_mss_18april_wa_showergels_online</t>
  </si>
  <si>
    <t>BBW_ON_Liq_Soap_Cat</t>
  </si>
  <si>
    <t>Online Customers who have purchased from L3: Liquid Soap at least 1 time in the last 180 days OR purchased at least 2 times in the last 1095 days</t>
  </si>
  <si>
    <t>69df7ea091fca74bb9df8740</t>
  </si>
  <si>
    <t>bbw_mss_18april_wa_handsoaps_online</t>
  </si>
  <si>
    <t>BBW_ON_Shower_Gel_Cat</t>
  </si>
  <si>
    <t>Online Customers who have purchased from L3: Shower Gel at least 1 time in the last 180 days OR purchased at least 2 times in the last 1095 days</t>
  </si>
  <si>
    <t>69df7ee9fbd0b8fcf8d7ef3e</t>
  </si>
  <si>
    <t>bbw_mss_18april_wa_travelsize_online</t>
  </si>
  <si>
    <t>BBW_ON_Travel_Size_Cat</t>
  </si>
  <si>
    <t>Online Customers who have purchased from L2: Travel Size at least 1 time in the last 365 days OR purchased at least 2 times in the last 1095 days</t>
  </si>
  <si>
    <t>69df7f17e370fdcaeece460e</t>
  </si>
  <si>
    <t>bbw_mss_18april_wa_lastreminder_active_offline</t>
  </si>
  <si>
    <t>69e0b11337a3bed3b9a409c7</t>
  </si>
  <si>
    <t>bbw_mss_18april_wa_lastreminder_dormant_offline</t>
  </si>
  <si>
    <t>69e0b19505e82830fc6c1f72</t>
  </si>
  <si>
    <t>bbw_mss_18april_wa_lastreminder_dormant_6to12m_offline</t>
  </si>
  <si>
    <t>69e0b1bf4066c75853e641ec</t>
  </si>
  <si>
    <t>bbw_mss_18april_wa_lastreminder_churned_550to1095d_offline</t>
  </si>
  <si>
    <t>69e0b1e9348756bceaec9936</t>
  </si>
  <si>
    <t>bbw_mss_18april_wa_lastreminder_churned_336to_549d_offline</t>
  </si>
  <si>
    <t>69e0b21fc9a22d17816a4d04</t>
  </si>
  <si>
    <t>bbw_mss_18april_smsfb_candles_online</t>
  </si>
  <si>
    <t>69e09225183fb2824aa01117</t>
  </si>
  <si>
    <t>bbw_mss_18april_smsfb_mists_online</t>
  </si>
  <si>
    <t>69e09237ef21931260262714</t>
  </si>
  <si>
    <t>bbw_mss_18april_smsfb_showergels_online</t>
  </si>
  <si>
    <t>69e09247685d17aa551061a5</t>
  </si>
  <si>
    <t>bbw_mss_18april_smsfb_handsoaps_online</t>
  </si>
  <si>
    <t>69e09251fdcafe759f29add7</t>
  </si>
  <si>
    <t>bbw_mss_18april_smsfb_travelsize_online</t>
  </si>
  <si>
    <t>69e092593448bc034c6aa79e</t>
  </si>
  <si>
    <t>bbw_mss_18april_smsfb_lastreminder_active_offline</t>
  </si>
  <si>
    <t>69e0b4784fe3240eba27e32f</t>
  </si>
  <si>
    <t>bbw_mss_18april_smsfb_lastreminder_dormant_6m_offline</t>
  </si>
  <si>
    <t>69e0b4c3ad7000ff20244af9</t>
  </si>
  <si>
    <t>bbw_mss_18april_smsfb_lastreminder_dormant_6to12m_offline</t>
  </si>
  <si>
    <t>69e0b525d20889c4501c6a20</t>
  </si>
  <si>
    <t>bbw_mss_18april_smsfb_lastreminder_churned_550to1095d_offline</t>
  </si>
  <si>
    <t>69e0b57a195c60290d7ae74e</t>
  </si>
  <si>
    <t>bbw_mss_18april_smsfb_lastreminder_churned_336to549d_offline</t>
  </si>
  <si>
    <t>69e0b5b45ec0cadffff85f05</t>
  </si>
  <si>
    <t>bbw_mss_19april_wa_lastreminder_active_online</t>
  </si>
  <si>
    <t>19-21 April</t>
  </si>
  <si>
    <t>69e0b28ad7aedd44ba78297a</t>
  </si>
  <si>
    <t>bbw_mss_19april_wa_lastreminder_dormant_online</t>
  </si>
  <si>
    <t>69e0b2b1ba1226eef3c4ca2b</t>
  </si>
  <si>
    <t>bbw_mss_19april_wa_lastreminder_churned_online</t>
  </si>
  <si>
    <t>69e0b2ed330c53486485a611</t>
  </si>
  <si>
    <t>bbw_mss_19april_smsfb_lastreminder_active_online</t>
  </si>
  <si>
    <t>69e0b5f7ad7000ff20244b96</t>
  </si>
  <si>
    <t>bbw_mss_19april_smsfb_lastreminder_dormant_online</t>
  </si>
  <si>
    <t>69e0b631ba1226eef3c4cb30</t>
  </si>
  <si>
    <t>bbw_mss_19april_smsfb_lastreminder_churned_online</t>
  </si>
  <si>
    <t>69e0b66510dfa5d14d9765b4</t>
  </si>
  <si>
    <t>bbw_mss_18april_wa_atc_onoff</t>
  </si>
  <si>
    <t>bbw_atc_last7dys_17april26</t>
  </si>
  <si>
    <t>atc last 7 days (7D prior to monday) and has not purchased in the last 15 days</t>
  </si>
  <si>
    <t>Add to cart</t>
  </si>
  <si>
    <t>20-22 April</t>
  </si>
  <si>
    <t>69e237c93cfb1a4d4160db8b</t>
  </si>
  <si>
    <t>bbw_mss_20april_smsfb_atc_onoff</t>
  </si>
  <si>
    <t>69e23aa8ad4657b636720442</t>
  </si>
  <si>
    <t>bbw_ffmtitbi_23april_wa_online</t>
  </si>
  <si>
    <t>BBW_ON_FFM_TITBI_23_04_26</t>
  </si>
  <si>
    <t>Online Customers who have purchased at least 1 time in the last 365 days from L3: Mist with Aggregation: Summation of Order_Disc_Value is greater than zero OR Online Customers who have purchased at least 1 time in the last 365 days with Aggregation: Avg of Order_Net_Value is between 799 and 1299 OR Online Customers who have purchased at least 2 times from L3: Mist  in the last 365 days OR Online Customers who have purchased between 24 - 27 April, 2025 or 28 - 31 August, 2025 OR Online Customers who have added to cart or viewed cart with item_category (contains Fragrance) in the last 45 days</t>
  </si>
  <si>
    <t>23-25 April</t>
  </si>
  <si>
    <t>69e9e5a45c315bd89c6cee8f</t>
  </si>
  <si>
    <t>bbw_ffmtitbi_23april_smsfb_online</t>
  </si>
  <si>
    <t>69e9ede85ce05e645aabcdbc</t>
  </si>
  <si>
    <t>bbw_ffmtitbi_24april_wa_disc_buyer_offline</t>
  </si>
  <si>
    <t>BBW_OFF_Mist_Disc_Buyers</t>
  </si>
  <si>
    <t>Offline Customers who have purchased at least 1 time in the last 180 days from L3: Mist with Aggregation: Summation of Order_Disc_Value is greater than zero</t>
  </si>
  <si>
    <t>Category Specific</t>
  </si>
  <si>
    <t>24-26 April</t>
  </si>
  <si>
    <t>69e9e61e3bcd845de0036376</t>
  </si>
  <si>
    <t>bbw_ffmtitbi_24april_wa_aov_offline</t>
  </si>
  <si>
    <t>BBW_OFF_AOV_799_1299_1Y</t>
  </si>
  <si>
    <t>Offline Customers who have purchased at least 1 time in the last 365 days with Aggregation: Avg of Order_Net_Value is between 799 and 1299</t>
  </si>
  <si>
    <t>Cart Value Specific</t>
  </si>
  <si>
    <t>69e9e6bf362342a5a9533e11</t>
  </si>
  <si>
    <t>bbw_ffmtitbi_24april_wa_mist_repeat_offline</t>
  </si>
  <si>
    <t>BBW_OFF_Mist_Repeat_1Y</t>
  </si>
  <si>
    <t>Offline Customers who have purchased at least 2 times from L3: Mist  in the last 365 days</t>
  </si>
  <si>
    <t>69e9e6fc71f7a6d8346c055b</t>
  </si>
  <si>
    <t>bbw_ffmtitbi_24april_wa_event_buyer_offline</t>
  </si>
  <si>
    <t>BBW_OFF_Event_Buyers_TITBI</t>
  </si>
  <si>
    <t>Offline Customers who have purchased between 24 - 27 April, 2025 or 28 - 31 August, 2025</t>
  </si>
  <si>
    <t>69e9e7347e26ed746e0ccab2</t>
  </si>
  <si>
    <t>bbw_ffmtitbi_24april_smsfb_disc_buyer_offline</t>
  </si>
  <si>
    <t>69e9ee5473f54f7d598065b6</t>
  </si>
  <si>
    <t>bbw_ffmtitbi_24april_smsfb_aov_offline</t>
  </si>
  <si>
    <t>69e9ee7f0a4741860bf27f4e</t>
  </si>
  <si>
    <t>bbw_ffmtitbi_24april_smsfb_mist_repeat_offline</t>
  </si>
  <si>
    <t>69e9eedb9143217d6e5c0a8c</t>
  </si>
  <si>
    <t>bbw_ffmtitbi_24april_smsfb_event_buyer_offline</t>
  </si>
  <si>
    <t>69e9ef4a87057029496183d1</t>
  </si>
  <si>
    <t>BBW_crossbrand_AL_WA_v2</t>
  </si>
  <si>
    <t>BBW_OFF_MMR_Base</t>
  </si>
  <si>
    <t>All Offline Customers who have purchased with Txn_City is Mumbai or Navi Mumbai or Thane (MMR) from brand BBW</t>
  </si>
  <si>
    <t>27th april</t>
  </si>
  <si>
    <t>69eae8d03a4e21ee7c573015</t>
  </si>
  <si>
    <t>VS_crossbrand_AL_WA_v2</t>
  </si>
  <si>
    <t>VS_OFF_MMR_Base</t>
  </si>
  <si>
    <t>All Offline Customers who have purchased with Txn_City is Mumbai or Navi Mumbai or Thane (MMR) from brand VS</t>
  </si>
  <si>
    <t>69eae9013a4e21ee7c57301b</t>
  </si>
  <si>
    <t>BHPC_crossbrand_AL_WA_v2</t>
  </si>
  <si>
    <t>BHPC_OFF_MMR_Base</t>
  </si>
  <si>
    <t>All Offline Customers who have purchased with Txn_City is Mumbai or Navi Mumbai or Thane (MMR) from brand BHPC</t>
  </si>
  <si>
    <t>69eae91fc4c1869659490983</t>
  </si>
  <si>
    <t>BHPC_crossbrand</t>
  </si>
  <si>
    <t>69eb61f675528cfe0fb594a7</t>
  </si>
  <si>
    <t>VS_crossbrand</t>
  </si>
  <si>
    <t>69eb6207a599a1d8f3287f54</t>
  </si>
  <si>
    <t>BBW_crossbrand</t>
  </si>
  <si>
    <t>69eb621ceb38c3005d1ddd57</t>
  </si>
  <si>
    <t>bbw_ffmtitbi_25april_wa_disc_buyer_offline_reminder</t>
  </si>
  <si>
    <t>25-27 April</t>
  </si>
  <si>
    <t>69e9f73673f54f7d59806904</t>
  </si>
  <si>
    <t>bbw_ffmtitbi_25april_wa_aov_offline_reminder</t>
  </si>
  <si>
    <t>69e9f7740c575d0971b2433f</t>
  </si>
  <si>
    <t>bbw_ffmtitbi_25april_wa_mist_repeat_offline_reminder</t>
  </si>
  <si>
    <t>69e9f7a5bc8fe0c1b2085c3f</t>
  </si>
  <si>
    <t>bbw_ffmtitbi_25april_wa_event_buyer_offline_reminder</t>
  </si>
  <si>
    <t>69e9f7c4e7b6249d9b0b01ac</t>
  </si>
  <si>
    <t>bbw_ffmtitbi_25april_smsfb_disc_buyer_offline_reminder</t>
  </si>
  <si>
    <t>69e9f8bc1e9f29147bd1fb77</t>
  </si>
  <si>
    <t>bbw_ffmtitbi_25april_smsfb_aov_offline_reminder</t>
  </si>
  <si>
    <t>69e9f901a4f6dcc27557ab14</t>
  </si>
  <si>
    <t>bbw_ffmtitbi_25april_smsfb_mist_repeat_offline_reminder</t>
  </si>
  <si>
    <t>69e9f94bb35ce1b41f22d332</t>
  </si>
  <si>
    <t>bbw_ffmtitbi_25april_smsfb_event_buyer_offline_reminder</t>
  </si>
  <si>
    <t>69e9f98724e375e8ea3a07e3</t>
  </si>
  <si>
    <t>bbw_ffmtitbi_26april_wa_online_reminder</t>
  </si>
  <si>
    <t>26-28 April</t>
  </si>
  <si>
    <t>69e9f9bfdd1b1c0e775a1165</t>
  </si>
  <si>
    <t>bbw_ffmtitbi_26april_smsfb_online_reminder</t>
  </si>
  <si>
    <t>69e9f9f293328acc30ea8d0b</t>
  </si>
  <si>
    <t>B1G1 - Entire Store</t>
  </si>
  <si>
    <t>bbw_online_wa_29april_buy1get1_loyal</t>
  </si>
  <si>
    <t>Loyal_ON</t>
  </si>
  <si>
    <t>29 - 1 May</t>
  </si>
  <si>
    <t>69f1ce6338624504f48a25e4</t>
  </si>
  <si>
    <t>bbw_online_wa_29april_buy1get1_repeat</t>
  </si>
  <si>
    <t>69f1ce85a1f6e971a985bfad</t>
  </si>
  <si>
    <t>bbw_online_wa_29april_buy1get1_aov_relevant</t>
  </si>
  <si>
    <t>69f1ced5f43c000988b6d6ba</t>
  </si>
  <si>
    <t>bbw_online_wa_29april_buy1get1_bundle buyers</t>
  </si>
  <si>
    <t>69f1cf328c0949b62941a327</t>
  </si>
  <si>
    <t>bbw_online_wa_29april_buy1get1_dormant</t>
  </si>
  <si>
    <t>69f1cf806ffe4374f51bebfc</t>
  </si>
  <si>
    <t>bbw_online_wa_29april_buy1get1_atc</t>
  </si>
  <si>
    <t>69f1cfab8e8714ecd02eeef4</t>
  </si>
  <si>
    <t>bbw_online_wa_29april_buy1get1_wa_clicked</t>
  </si>
  <si>
    <t>69f1cfe3597e636adf95aab7</t>
  </si>
  <si>
    <t>bbw_online_smsfb_29april_buy1get1_loyal</t>
  </si>
  <si>
    <t>69f1d422a1f6e971a985c1b7</t>
  </si>
  <si>
    <t>bbw_online_smsfb_29april_buy1get1_repeat</t>
  </si>
  <si>
    <t>69f1d46bce77777c6f7bd866</t>
  </si>
  <si>
    <t>bbw_online_smsfb_29april_buy1get1_aov_relevant</t>
  </si>
  <si>
    <t>69f1d49313285e5aa63ad731</t>
  </si>
  <si>
    <t>bbw_online_smsfb_29april_buy1get1_bundle buyers</t>
  </si>
  <si>
    <t>69f1d4da10ac6a9aaba55e36</t>
  </si>
  <si>
    <t>bbw_online_smsfb_29april_buy1get1_dormant</t>
  </si>
  <si>
    <t>69f1d4ed8e8714ecd02ef014</t>
  </si>
  <si>
    <t>bbw_online_smsfb_29april_buy1get1_atc</t>
  </si>
  <si>
    <t>69f1d4ff8e8714ecd02ef01b</t>
  </si>
  <si>
    <t>bbw_online_smsfb_29april_buy1get1_smsfb_clicked</t>
  </si>
  <si>
    <t>69f1d53e6d0bdc944f71c86d</t>
  </si>
  <si>
    <t>EMT - MAY 2026 - Stand a chance to win a trip to Bali</t>
  </si>
  <si>
    <t>EMT_Round 1</t>
  </si>
  <si>
    <t>Last6Months_Off_Purchasers</t>
  </si>
  <si>
    <t>Customers who have shopped at least once in the last 6 months</t>
  </si>
  <si>
    <t>1st May to 31st May</t>
  </si>
  <si>
    <t>69f1a90fa1f6e971a985b575</t>
  </si>
  <si>
    <t>bbw_offline_wa_30april_buy1get1_loyal</t>
  </si>
  <si>
    <t>30 - 2 May</t>
  </si>
  <si>
    <t>69f1d19195342413fe0b2694</t>
  </si>
  <si>
    <t>bbw_offline_wa_30april_buy1get1_bundle_buyers</t>
  </si>
  <si>
    <t>69f1d2189e9f540c91b08f2d</t>
  </si>
  <si>
    <t>bbw_offline_wa_30april_buy1get1_aov_relevant</t>
  </si>
  <si>
    <t>69f1d23e786c43432d332ddb</t>
  </si>
  <si>
    <t>bbw_offline_wa_30april_buy1get1_repeat</t>
  </si>
  <si>
    <t>69f1d258b228e7382dec5f58</t>
  </si>
  <si>
    <t>bbw_offline_wa_30april_buy1get1_dormant</t>
  </si>
  <si>
    <t>69f1d29d8e8714ecd02eef73</t>
  </si>
  <si>
    <t>69f1d5e0a1f6e971a985c1e8</t>
  </si>
  <si>
    <t>69f1d633461c6b5446e8c644</t>
  </si>
  <si>
    <t>69f1d687e7f8c5b87ba2200c</t>
  </si>
  <si>
    <t>69f1d6d7fb6929fd690ac6ec</t>
  </si>
  <si>
    <t>69f1d70657bdb24c6880fc26</t>
  </si>
  <si>
    <t>Stores TILI - May 2026 - Mist &amp; Lotions @999</t>
  </si>
  <si>
    <t>Stores TILI - TILI_CX_RCS (FB)</t>
  </si>
  <si>
    <t>VS_OFF_Tili_Event_Buyers_23_04_26</t>
  </si>
  <si>
    <t>1st - 3rd May 2026</t>
  </si>
  <si>
    <t>69f03f5ed3285ab8067c12d4</t>
  </si>
  <si>
    <t>Stores TILI - Category_CX (FD)</t>
  </si>
  <si>
    <t>VS_OFF_Mist_Lotion_2_Time</t>
  </si>
  <si>
    <t>Category Buyers</t>
  </si>
  <si>
    <t>69f04028dba029849b364b60</t>
  </si>
  <si>
    <t>Stores TILI - Low_ATV_CX (FB)</t>
  </si>
  <si>
    <t>VS_OFF_Predom_Below_1000</t>
  </si>
  <si>
    <t>69f0405f5e57515ea104ca3f</t>
  </si>
  <si>
    <t>Stores TILI - Repeat_CX (FB)</t>
  </si>
  <si>
    <t>VS_OFF_Repeat_TILI_23_04_26</t>
  </si>
  <si>
    <t>69f0410e8a07cf0776e4902a</t>
  </si>
  <si>
    <t>Stores TILI - Dorm_CX_365D (FB)</t>
  </si>
  <si>
    <t>VS_OFF_1_Time_365D_TILI_23_04_26</t>
  </si>
  <si>
    <t>69f04174897908c2425117b7</t>
  </si>
  <si>
    <t>Stores TILI - Dorm_CX_730D (FB)</t>
  </si>
  <si>
    <t>VS_OFF_1_Time_730D_TILI_23_04_26</t>
  </si>
  <si>
    <t>69f04204e9adfd2696947620</t>
  </si>
  <si>
    <t>Stores TILI - Dorm_CX_1095D (FB)</t>
  </si>
  <si>
    <t>VS_OFF_1_Time_1095D_TILI_23_04_26</t>
  </si>
  <si>
    <t>69f042a041992b46dce0a5e6</t>
  </si>
  <si>
    <t>Stores TILI - May 2026 - Mist &amp; Lotions at ₹999</t>
  </si>
  <si>
    <t>Stores TILI - TILI_CX_RCS (WA FB)</t>
  </si>
  <si>
    <t>69f045940ea7f8e77c1b4773</t>
  </si>
  <si>
    <t>Stores TILI - Category_CX (WA FD)</t>
  </si>
  <si>
    <t>69f04605348e23b71cb9d11f</t>
  </si>
  <si>
    <t>Stores TILI - Low_ATV_CX (WA FB)</t>
  </si>
  <si>
    <t>69f046318a07cf0776e49259</t>
  </si>
  <si>
    <t>Stores TILI - Repeat_CX (WA FB)</t>
  </si>
  <si>
    <t>69f046660da9f08da13cd836</t>
  </si>
  <si>
    <t>Stores TILI - Dorm_CX_365D (WA FB)</t>
  </si>
  <si>
    <t>69f0469d0da9f08da13cd841</t>
  </si>
  <si>
    <t>Stores TILI - Dorm_CX_730D (WA FB)</t>
  </si>
  <si>
    <t>69f046c4dba029849b364e0d</t>
  </si>
  <si>
    <t>Stores TILI - Dorm_CX_1095D (WA FB)</t>
  </si>
  <si>
    <t>69f0470e00ab1d6a5f554a72</t>
  </si>
  <si>
    <t>Stores TILI - Dorm_CX_1095D</t>
  </si>
  <si>
    <t>Offline Customers who have purchased at least 1 time in between 731 day ago and 1095 days ago</t>
  </si>
  <si>
    <t>rcs</t>
  </si>
  <si>
    <t>30th april - 2nd May</t>
  </si>
  <si>
    <t>69f03cd350fdc1638fcb3e7d</t>
  </si>
  <si>
    <t>Stores TILI - Dorm_CX_365D</t>
  </si>
  <si>
    <t>Offline Customers who have purchased at least 1 time in between 1 day ago and 365 days ago</t>
  </si>
  <si>
    <t>69f03d26c45ae1721c5e64f7</t>
  </si>
  <si>
    <t>Stores TILI - Repeat_CX</t>
  </si>
  <si>
    <t>Offline Customers who have purchased at least 2 times in the last 1095 days</t>
  </si>
  <si>
    <t>69f03d57ab2ca777e0eaa4bd</t>
  </si>
  <si>
    <t>Stores TILI - Low_ATV_CX</t>
  </si>
  <si>
    <t>Offline Customers who have purchased predominantly with cart value below ₹1,000 in the last 1095 days</t>
  </si>
  <si>
    <t>69f03d82fd22b69ce4465f91</t>
  </si>
  <si>
    <t>Stores TILI - Category_CX</t>
  </si>
  <si>
    <t>Offline Customers who have purchased at least 2 times from L3: Mist or Body Lotion in the last 1095 days</t>
  </si>
  <si>
    <t>69f03da35e521a8c20d70f2e</t>
  </si>
  <si>
    <t>Stores TILI - TILI_CX_RCS</t>
  </si>
  <si>
    <t>Offline Customers who purchased from last TILI Event Dates 5th May 2023 to 7th May 2023, 6th Oct to 8th Oct 2023, 10th May 2024 to 12th May 2024, 25th Oct 2024 to 27th May 2024, 9th May 2025 to 11th May 2025, 2nd Oct 2025 to 5th Oct 2025 with Category_L1_Desc contains PERSONAL CARE</t>
  </si>
  <si>
    <t>69f03eb7baf6150e0abce25c</t>
  </si>
  <si>
    <t>Stores TILI - Dorm_CX_730D</t>
  </si>
  <si>
    <t>Offline Customers who have purchased at least 1 time in between 366 day ago and 730 days ago</t>
  </si>
  <si>
    <t>69f03f0e2cc83fd4d44b8d26</t>
  </si>
  <si>
    <t>MAY BOGO 2026 1-3 MAY - B1G1</t>
  </si>
  <si>
    <t>WA_BOGO_AL_ON_ATC_90D</t>
  </si>
  <si>
    <t>AL_ON_ATC_90D</t>
  </si>
  <si>
    <t>All customers who have added to cart at least 2 times in the last 90 days but have not purchased</t>
  </si>
  <si>
    <t xml:space="preserve">30th April </t>
  </si>
  <si>
    <t>69f33463abe4ec1a98562d79</t>
  </si>
  <si>
    <t>WA_BOGO_AL_ON_View_Item</t>
  </si>
  <si>
    <t>AL_ON_View_Item</t>
  </si>
  <si>
    <t>All customers who have Viewed Item at least 5 times in the last 90 days but have not purchased</t>
  </si>
  <si>
    <t>69f33704b9f13223d9d40263</t>
  </si>
  <si>
    <t>WA_BOGO_AL_ON_SignUp_Form</t>
  </si>
  <si>
    <t>AL_ON_SignUp_Form</t>
  </si>
  <si>
    <t>Customers who have completed the sign up on site form</t>
  </si>
  <si>
    <t>Sign Up Form</t>
  </si>
  <si>
    <t>69f337b651b33c29a8029b66</t>
  </si>
  <si>
    <t>WA_BOGO_AL_ON_Cart_Exit_Intent</t>
  </si>
  <si>
    <t>AL_ON_Cart_Exit_Intent</t>
  </si>
  <si>
    <t>Customers who have completed the exit intent on site form</t>
  </si>
  <si>
    <t>Exit Intent Form</t>
  </si>
  <si>
    <t>69f3380fee81578030fdce4f</t>
  </si>
  <si>
    <t>WA_BOGO_AL_ON_OFF_Event_Buyers_BOGO</t>
  </si>
  <si>
    <t>AL_ON_OFF_Event_Buyers_BOGO</t>
  </si>
  <si>
    <t>All customers who have purchased between 7 - 11 Nov, 2025</t>
  </si>
  <si>
    <t>69f338389a16ca55b75ae26a</t>
  </si>
  <si>
    <t>WA_BOGO_AL_ON_OFF_Repeat_1Year</t>
  </si>
  <si>
    <t>AL_ON_OFF_Repeat_1Year</t>
  </si>
  <si>
    <t>All customers who have purchased at least 2 times in the last 365 days</t>
  </si>
  <si>
    <t>69f338823f23795c48ee1b4c</t>
  </si>
  <si>
    <t>WA_BOGO_AL_ON_OFF_Recent</t>
  </si>
  <si>
    <t>AL_ON_OFF_Recent</t>
  </si>
  <si>
    <t>All customers who have purchased at least 1 time in the last 76 days</t>
  </si>
  <si>
    <t>69f33a52313ceec475d2497d</t>
  </si>
  <si>
    <t>WA_BOGO_AL_ON_OFF_Disc_Buyers_50_perc</t>
  </si>
  <si>
    <t>AL_ON_OFF_Disc_Buyers_50_perc</t>
  </si>
  <si>
    <t>All customers who have purchased at least 1 time with discount percentage of at least 50% in the last 365 days</t>
  </si>
  <si>
    <t>Discount Shoppers</t>
  </si>
  <si>
    <t>69f33ad48361a39c180f635d</t>
  </si>
  <si>
    <t>WA_BOGO_AL_ON_OFF_UPT_Min_2</t>
  </si>
  <si>
    <t>AL_ON_OFF_UPT_Min_2, Push_Notif_Off_UserBase</t>
  </si>
  <si>
    <t>69f34085708981abe0fc1d2b</t>
  </si>
  <si>
    <t>MAY BOGO 2026 1-3 MAY - No Brief</t>
  </si>
  <si>
    <t>AL_ON_ATC_90D/FALL BACK</t>
  </si>
  <si>
    <t>69f3480e229663e7432b02b6</t>
  </si>
  <si>
    <t>AL_ON_View_Item_fall back</t>
  </si>
  <si>
    <t>69f3485ddee817fdae755412</t>
  </si>
  <si>
    <t>AL_ON_SignUp_Form_fall back</t>
  </si>
  <si>
    <t>69f348b45bfdf1a68c6a2917</t>
  </si>
  <si>
    <t>AL_ON_Cart_Exit_Intent_fallback</t>
  </si>
  <si>
    <t>69f348f922969270fba7a4db</t>
  </si>
  <si>
    <t>AL_ON_OFF_Event_Buyers_BOGO_fall back</t>
  </si>
  <si>
    <t>69f3494ea6bda52b3b826a0a</t>
  </si>
  <si>
    <t>AL_ON_OFF_Repeat_1Year_fall back</t>
  </si>
  <si>
    <t>69f3499d1bca67a413295cc5</t>
  </si>
  <si>
    <t>AL_ON_OFF_Recent_fall back</t>
  </si>
  <si>
    <t>69f349d6094def537a263010</t>
  </si>
  <si>
    <t>AL_ON_OFF_UPT_Min_2_fall back</t>
  </si>
  <si>
    <t>AL_ON_OFF_UPT_Min_2</t>
  </si>
  <si>
    <t>69f34b026496c1c00da4997c</t>
  </si>
  <si>
    <t>AL_ON_OFF_Churned_BOGO_Apr_26</t>
  </si>
  <si>
    <t>All customers who have purchased at least 1 time in the last 1095 days excluding above segments</t>
  </si>
  <si>
    <t>69f34ca88361a39c180f6763</t>
  </si>
  <si>
    <t>AL_Non-Txn_Base</t>
  </si>
  <si>
    <t>Non- Transactional Base</t>
  </si>
  <si>
    <t>Non Transactional Base</t>
  </si>
  <si>
    <t>69f34d0c9b2cfe826fc8e971</t>
  </si>
  <si>
    <t>Karnival_Base_Actual</t>
  </si>
  <si>
    <t>Karnival Base</t>
  </si>
  <si>
    <t>69f34d1a5a966da8614a44ea</t>
  </si>
  <si>
    <t>AL_ON_OFF_Disc_Buyers_50_perc_fall back</t>
  </si>
  <si>
    <t>69f34ea4793bba077c29f0b2</t>
  </si>
  <si>
    <t>3OTH April_AL_ON_ATC_90D</t>
  </si>
  <si>
    <t>69f33d0f56f5de75beb9bb36</t>
  </si>
  <si>
    <t>3OTH April_AL_ON_View_Item WAFB</t>
  </si>
  <si>
    <t>69f33d72e536fbd07a46e4a3</t>
  </si>
  <si>
    <t>3OTH April_AL_ON_SignUp_Form</t>
  </si>
  <si>
    <t>69f344b11e6538628e75447c</t>
  </si>
  <si>
    <t>3OTH April_AL_ON_Cart_Exit_Intent</t>
  </si>
  <si>
    <t>69f344eef96c24110b6d7435</t>
  </si>
  <si>
    <t>3OTH April_AL_ON_OFF_Event_Buyers_BOGO</t>
  </si>
  <si>
    <t>69f34532b7e9618f43e997f5</t>
  </si>
  <si>
    <t>3OTH April_AL_ON_OFF_Repeat_1Year</t>
  </si>
  <si>
    <t>69f3456ca36a432998489fc2</t>
  </si>
  <si>
    <t>3OTH April_AL_ON_OFF_Recent</t>
  </si>
  <si>
    <t>69f34608313ceec475d24d33</t>
  </si>
  <si>
    <t>3OTH April_AL_ON_OFF_Disc_Buyers_50_perc</t>
  </si>
  <si>
    <t>69f346929b32ef26e5158425</t>
  </si>
  <si>
    <t>3OTH April_AL_ON_OFF_UPT_Min_2</t>
  </si>
  <si>
    <t>UPT atleast 2</t>
  </si>
  <si>
    <t>69f346fb5a966da8614a42a4</t>
  </si>
  <si>
    <t>Summer's calling - Full Price</t>
  </si>
  <si>
    <t>Summer's calling_active</t>
  </si>
  <si>
    <t>ck_onoff_pr_Recent_6thMarch26, ck_online_active_29thapril_2026</t>
  </si>
  <si>
    <t>1st May to 8th May</t>
  </si>
  <si>
    <t>69f1ea7e288a93fdb79a5c1c</t>
  </si>
  <si>
    <t>Summer's calling_dormat</t>
  </si>
  <si>
    <t>ck_onoff_pr_Dormant_6thMarch26, ck_online_dormant_29thapril_2026</t>
  </si>
  <si>
    <t>Customers who have purchased in the entire duration and have notpurchased in the last 91 days AND Excluding Event Buyers Segment, Custom data upload (dormant)</t>
  </si>
  <si>
    <t>69f1eace4463aee0c3ed5ef5</t>
  </si>
  <si>
    <t>Summer's calling_active_fallback</t>
  </si>
  <si>
    <t>69f1eb591de42d766da654cd</t>
  </si>
  <si>
    <t>Summer's calling_dormat_fallback</t>
  </si>
  <si>
    <t>69f1eb86721f5844bd8620ee</t>
  </si>
  <si>
    <t>Crocs_Bhopal</t>
  </si>
  <si>
    <t>Crocs_bhopal_29april</t>
  </si>
  <si>
    <t>custom upload</t>
  </si>
  <si>
    <t>15th May</t>
  </si>
  <si>
    <t>69f1ac23b228e7382dec5525</t>
  </si>
  <si>
    <t>Crocs_Bhopal_fallback</t>
  </si>
  <si>
    <t>69f1ac652bc9ef9799b23dee</t>
  </si>
  <si>
    <t>Tattva Store Launch - May 2026 - Store Launch</t>
  </si>
  <si>
    <t>Tattva Store Launch</t>
  </si>
  <si>
    <t>RB_01_06_05_1305_1299_019_Off_Purchasers</t>
  </si>
  <si>
    <t>All customers who have shopped at least once in RB001, RB005, RB006, RB019, 1305, 1299</t>
  </si>
  <si>
    <t>1st May to 3rd May</t>
  </si>
  <si>
    <t>69f1a8cf2b93f625363e1d18</t>
  </si>
  <si>
    <t>day1 crossbrand _VS_Master_OnOff_Exclude_AL</t>
  </si>
  <si>
    <t>VS_Master_OnOff_Exclude_AL</t>
  </si>
  <si>
    <t>VS Base</t>
  </si>
  <si>
    <t>1st May - 4TH May</t>
  </si>
  <si>
    <t>69f358b78361a39c180f69bb</t>
  </si>
  <si>
    <t>day1 crossbrand_BBW_Exclude_AL_onoff_2023</t>
  </si>
  <si>
    <t>BBW_Exclude_AL_onoff_2023</t>
  </si>
  <si>
    <t>BBW Base</t>
  </si>
  <si>
    <t>BBW Base - 2023</t>
  </si>
  <si>
    <t>69f358ef0b7820911f9c5a9f</t>
  </si>
  <si>
    <t>day1 crossbrand_BBW_Exclude_AL_onoff_2024</t>
  </si>
  <si>
    <t>BBW_Exclude_AL_onoff_2024</t>
  </si>
  <si>
    <t>BBW Base - 2024</t>
  </si>
  <si>
    <t>69f3593051b33c29a802a8d1</t>
  </si>
  <si>
    <t>day 1 crossbrand_BBW_Exclude_AL_onoff_2025</t>
  </si>
  <si>
    <t>BBW_Exclude_AL_onoff_2025</t>
  </si>
  <si>
    <t>BBW Base - 2025</t>
  </si>
  <si>
    <t>69f35973094def537a263450</t>
  </si>
  <si>
    <t>Crossbrand_CK_Exc_AL_onoff v2</t>
  </si>
  <si>
    <t>CK_Exc_AL_onoff</t>
  </si>
  <si>
    <t>CK Base</t>
  </si>
  <si>
    <t>69f449855a2db9c6dea11264</t>
  </si>
  <si>
    <t>crossbrand_BBW_Exclude_AL_onoff_2026 v2</t>
  </si>
  <si>
    <t>BBW_Exclude_AL_onoff_2026</t>
  </si>
  <si>
    <t>BBW Base - 2026</t>
  </si>
  <si>
    <t>69f4498d2e667a805ed77f40</t>
  </si>
  <si>
    <t>crossbrand_BBW_Exclude_AL_onoff_2025 v2</t>
  </si>
  <si>
    <t>69f44a2403e722c849eb17f1</t>
  </si>
  <si>
    <t>Crossbrand_BBW_Exclude_AL_onoff_2024 v2</t>
  </si>
  <si>
    <t>69f44ab5229663e7432b12c4</t>
  </si>
  <si>
    <t>Crossbrand_BBW_Exclude_AL_on off_2023 v2</t>
  </si>
  <si>
    <t>69f44b4acad0c56b4256bace</t>
  </si>
  <si>
    <t>Cross Brand_VS_Master_OnOff_Exclude_AL</t>
  </si>
  <si>
    <t>69f44b9ab9f13223d9d41529</t>
  </si>
  <si>
    <t>WA_1stMay_Bogo_AL_ON_OFF_UPT_Min_2</t>
  </si>
  <si>
    <t>All customers who have purchased PREDOM with unit per transaction of at least 2</t>
  </si>
  <si>
    <t>1st May - 2nd May 2026</t>
  </si>
  <si>
    <t>69f33b83f96c24110b6d6fcb</t>
  </si>
  <si>
    <t>WA_1stMay_Bogo_AL_ON_ATC_90D</t>
  </si>
  <si>
    <t>69f354c2159b7d33bacef9db</t>
  </si>
  <si>
    <t>WA_1stMay_Bogo_AL_ON_View_Item</t>
  </si>
  <si>
    <t>69f35501806cf266b38ab034</t>
  </si>
  <si>
    <t>WA_1stMay_Bogo_AL_ON_SignUp_Form</t>
  </si>
  <si>
    <t>69f3553589cf64798910ce13</t>
  </si>
  <si>
    <t>WA_1stMay_Bogo_AL_ON_Cart_Exit_Intent</t>
  </si>
  <si>
    <t>69f35568708981abe0fc22a4</t>
  </si>
  <si>
    <t>WA_1stMay_Bogo_AL_ON_OFF_Event_Buyers_BOGO</t>
  </si>
  <si>
    <t>69f35595cad0c56b4256ae46</t>
  </si>
  <si>
    <t>WA_1stMay_Bogo_AL_ON_OFF_Repeat_1Year</t>
  </si>
  <si>
    <t>69f355e92bf4cb0781a4cafc</t>
  </si>
  <si>
    <t>WA_1stMay_Bogo_AL_ON_OFF_Recent</t>
  </si>
  <si>
    <t>69f3569e1bca67a41329608b</t>
  </si>
  <si>
    <t>WA_1stMay_Bogo_AL_ON_OFF_Disc_Buyers_50_perc</t>
  </si>
  <si>
    <t>69f356cd229663e7432b06b8</t>
  </si>
  <si>
    <t>AL_ON_ATC_90D/FALL BACK/ day 2</t>
  </si>
  <si>
    <t>69f373f3abe4ec1a98563aa8</t>
  </si>
  <si>
    <t>AL_ON_View_Item_fall back / day 2</t>
  </si>
  <si>
    <t>69f3747c6e854e54aa85a13b</t>
  </si>
  <si>
    <t>AL_ON_SignUp_Form_fall back / day 2</t>
  </si>
  <si>
    <t>69f374c83f23795c48ee277f</t>
  </si>
  <si>
    <t>AL_ON_OFF_Churned_BOGO_Apr_26/ FRIDAY</t>
  </si>
  <si>
    <t>69f375ceba03d5e24de1432d</t>
  </si>
  <si>
    <t>AL_Non-Txn_Base/FRIDAY</t>
  </si>
  <si>
    <t>69f37628b9f13223d9d40cb0</t>
  </si>
  <si>
    <t>Karnival_Base_Actual/ FRIDAY</t>
  </si>
  <si>
    <t>69f3766f89cf64798910d267</t>
  </si>
  <si>
    <t>AL_ON_Cart_Exit_Intent_fallback / day 2</t>
  </si>
  <si>
    <t>69f376cb03e722c849eb0f09</t>
  </si>
  <si>
    <t>AL_ON_OFF_Disc_Buyers_50_perc_fall back / day 2</t>
  </si>
  <si>
    <t>69f378ac313ceec475d256d0</t>
  </si>
  <si>
    <t>AL_ON_OFF_Recent_fall back / day 2</t>
  </si>
  <si>
    <t>69f3791137695c455e725b5e</t>
  </si>
  <si>
    <t>AL_ON_OFF_Repeat_1Year_fall back / day 2</t>
  </si>
  <si>
    <t>69f379819b32ef26e5158a5e</t>
  </si>
  <si>
    <t>AL_ON_OFF_Event_Buyers_BOGO_fall back / day 2</t>
  </si>
  <si>
    <t>69f379db89cf64798910d298</t>
  </si>
  <si>
    <t>AL_ON_OFF_UPT_Min_2_fall back / day 2</t>
  </si>
  <si>
    <t>69f37a0cd3f76bc397f55dda</t>
  </si>
  <si>
    <t>1 May BOGO_AL_ON_OFF_Event_Buyers_BOGO</t>
  </si>
  <si>
    <t>69f36e0d5a966da8614a4b9a</t>
  </si>
  <si>
    <t>1 May BOGO_AL_ON_OFF_Repeat_1Year</t>
  </si>
  <si>
    <t>69f36e55b7e9618f43e99f65</t>
  </si>
  <si>
    <t>1 May BOGO_AL_ON_OFF_Disc_Buyers_50_perc</t>
  </si>
  <si>
    <t>69f36f3c89cf64798910d19b</t>
  </si>
  <si>
    <t>1 May BOGO_AL_ON_OFF_UPT_Min_2</t>
  </si>
  <si>
    <t>69f36f8b37695c455e725abe</t>
  </si>
  <si>
    <t>1 May BOGO_AL_ON_ATC_90D</t>
  </si>
  <si>
    <t>69f36fbd6a7065ae6f30ceb2</t>
  </si>
  <si>
    <t>1 May BOGO_AL_ON_View_Item</t>
  </si>
  <si>
    <t>69f36fcd6fb6f85c90d6f2d9</t>
  </si>
  <si>
    <t>1 May BOGO_AL_ON_SignUp_Form</t>
  </si>
  <si>
    <t>69f36fe66a7065ae6f30ceb8</t>
  </si>
  <si>
    <t>1 May BOGO_AL_ON_Cart_Exit_Intent</t>
  </si>
  <si>
    <t>69f36ffe5a4eca78a0afc0f0</t>
  </si>
  <si>
    <t>1 May BOGO_AL_ON_OFF_Recent</t>
  </si>
  <si>
    <t>69f3714b60a50b833cd0218a</t>
  </si>
  <si>
    <t>1st May_Bogo_ VS_Master_OnOff_Exclude_AL</t>
  </si>
  <si>
    <t>69f370306fb6f85c90d6f2e0</t>
  </si>
  <si>
    <t>1st May_Bogo_ BBW_Exclude_AL_onoff_2023</t>
  </si>
  <si>
    <t>69f3706e313ceec475d2564a</t>
  </si>
  <si>
    <t>1st May_Bogo_ BBW_Exclude_AL_onoff_2024</t>
  </si>
  <si>
    <t>69f370c25a4eca78a0afc11c</t>
  </si>
  <si>
    <t>1st May_Bogo_ BBW_Exclude_AL_onoff_2025</t>
  </si>
  <si>
    <t>69f370e156bbb58a1cb0ce61</t>
  </si>
  <si>
    <t>1st May_Bogo_ BBW_Exclude_AL_onoff_2026</t>
  </si>
  <si>
    <t>69f3710722969270fba7adde</t>
  </si>
  <si>
    <t>1st May_Bogo_ CK_Exc_AL_onoff</t>
  </si>
  <si>
    <t>69f3712719d5dc4bc0e91827</t>
  </si>
  <si>
    <t>retrigger_CK_Exc_AL_onoff</t>
  </si>
  <si>
    <t>69f5fa4be51e9ea4792b9f3c</t>
  </si>
  <si>
    <t>retrigger_BBW_Exclude_AL_onoff_2026</t>
  </si>
  <si>
    <t>69f5fa5d53532f8af5dde8e9</t>
  </si>
  <si>
    <t>bbw_offline_wa_2may_buy1get1_loyal_lastreminder</t>
  </si>
  <si>
    <t>2 - 4 May</t>
  </si>
  <si>
    <t>69f302d4dc10475e9e639e8c</t>
  </si>
  <si>
    <t>bbw_offline_wa_2may_buy1get1_repeat_lastreminder</t>
  </si>
  <si>
    <t>69f3030985842622fab5a569</t>
  </si>
  <si>
    <t>bbw_offline_wa_2may_buy1get1_aov_relevant_lastreminder</t>
  </si>
  <si>
    <t>69f3034d0faf9e4a3bcd721e</t>
  </si>
  <si>
    <t>bbw_offline_wa_2may_buy1get1_bundle_buyers_lastreminder</t>
  </si>
  <si>
    <t>69f3037f06de9d3f0459bbbe</t>
  </si>
  <si>
    <t>bbw_offline_wa_2may_buy1get1_dormant_lastreminder</t>
  </si>
  <si>
    <t>69f303b65679c0edbc6c01b0</t>
  </si>
  <si>
    <t>bbw_on_wa_2may_buy1get1_bc_carousel</t>
  </si>
  <si>
    <t>BC_2_Times_ON</t>
  </si>
  <si>
    <t>Customers who have 2 or more purchases in last 36 Months from L2 Cat: Body Care</t>
  </si>
  <si>
    <t>Repeat - Body Care</t>
  </si>
  <si>
    <t>69f30fadbaad6bb6ca2deee6</t>
  </si>
  <si>
    <t>bbw_on_wa_2may_buy1get1_soaps_carousel</t>
  </si>
  <si>
    <t>Customers who have 2 or more purchases in last 36 Months from L2 Cat: Soaps &amp; Sanitisers</t>
  </si>
  <si>
    <t>Repeat - Soaps and Sanitisers</t>
  </si>
  <si>
    <t>69f30fc5ba106ee58de4fe6b</t>
  </si>
  <si>
    <t>bbw_on_wa_2may_buy1get1_mens_carousel</t>
  </si>
  <si>
    <t>Customers who have 2 or more purchases in last 36 Months from Gender: Men</t>
  </si>
  <si>
    <t>Repeat - Mens Category</t>
  </si>
  <si>
    <t>69f30fe9d3603f881275f19a</t>
  </si>
  <si>
    <t>bbw_on_wa_2may_buy1get1_candles_carousel</t>
  </si>
  <si>
    <t>Customers who have 2 or more purchases in last 36 Months from L3 Cat: Candles</t>
  </si>
  <si>
    <t>Repeat - Candles</t>
  </si>
  <si>
    <t>69f30ffe048faedb21d92b95</t>
  </si>
  <si>
    <t>bbw_offline_smsfb_2may_buy1get1_loyal_lastreminder</t>
  </si>
  <si>
    <t>69f3131f047431f2efda9e11</t>
  </si>
  <si>
    <t>bbw_offline_smsfb_2may_buy1get1_repeat_lastreminder</t>
  </si>
  <si>
    <t>69f31377e278b0bdceac9996</t>
  </si>
  <si>
    <t>bbw_offline_smsfb_2may_buy1get1_aov_relevant_lastreminder</t>
  </si>
  <si>
    <t>69f313c3491f1a3b728a3a53</t>
  </si>
  <si>
    <t>bbw_offline_smsfb_2may_buy1get1_bundle_buyers_lastreminder</t>
  </si>
  <si>
    <t>69f314085a966da8614a325c</t>
  </si>
  <si>
    <t>bbw_offline_smsfb_2may_buy1get1_dormant_lastreminder</t>
  </si>
  <si>
    <t>69f3143e9378cc8254288580</t>
  </si>
  <si>
    <t>Stores TILI - TILI_CX_RCS (2nd nudge)</t>
  </si>
  <si>
    <t>2nd - 3rd May 2026</t>
  </si>
  <si>
    <t>69f194ac262552af9ea17049</t>
  </si>
  <si>
    <t>Stores TILI - Category_CX (2nd nudge)</t>
  </si>
  <si>
    <t>69f19530721f5844bd8608b1</t>
  </si>
  <si>
    <t>69f195f257bdb24c6880eab8</t>
  </si>
  <si>
    <t>Stores TILI - Repeat_CX (2nd nudge)</t>
  </si>
  <si>
    <t>69f19649acab5a0d4df2113a</t>
  </si>
  <si>
    <t>Stores TILI - Dorm_CX_365D (2nd nudge)</t>
  </si>
  <si>
    <t>69f19728786c43432d331a53</t>
  </si>
  <si>
    <t>Stores TILI - Dorm_CX_730D (2nd nudge)</t>
  </si>
  <si>
    <t>69f19775461c6b5446e8b069</t>
  </si>
  <si>
    <t>Stores TILI - Dorm_CX_1095D (2nd nudge)</t>
  </si>
  <si>
    <t>69f197b9b9c7de075673a3c8</t>
  </si>
  <si>
    <t>Stores TILI - TILI_CX_RCS_2nd Nudge (FB)</t>
  </si>
  <si>
    <t>69f1a2a3ce77777c6f7bcb9e</t>
  </si>
  <si>
    <t>Stores TILI - Category_CX_2nd Nudge (FD)</t>
  </si>
  <si>
    <t>69f1a3c757bdb24c6880ef29</t>
  </si>
  <si>
    <t>Stores TILI - Low_ATV_CX_2nd Nudge (FB)</t>
  </si>
  <si>
    <t>69f1a4484d4c7da2549f282c</t>
  </si>
  <si>
    <t>Stores TILI - Repeat_CX_2nd Nudge (FB)</t>
  </si>
  <si>
    <t>69f1a50c0e13659c71620e6b</t>
  </si>
  <si>
    <t>Stores TILI - Dorm_CX_730D_2nd Nudge (FB)</t>
  </si>
  <si>
    <t>69f1a64813285e5aa63ac9d4</t>
  </si>
  <si>
    <t>Stores TILI - Dorm_CX_1095D_2nd Nudge (FB)</t>
  </si>
  <si>
    <t>69f1a66d9e9f540c91b082a0</t>
  </si>
  <si>
    <t>Stores TILI - Dorm_CX_365D_2nd Nudge (FB)</t>
  </si>
  <si>
    <t>69f1aa4539d6a0b8ed35d54d</t>
  </si>
  <si>
    <t>AL_BOGO_30Apr_26_FaliedOrders</t>
  </si>
  <si>
    <t>ALDO_BOGO_FailedOrders_30Apr26</t>
  </si>
  <si>
    <t>2nd May</t>
  </si>
  <si>
    <t>69f4e2235b7aaa358dc4f11c</t>
  </si>
  <si>
    <t>failedorders_may2_bogo_al</t>
  </si>
  <si>
    <t>ALDO_Failed_Orders_1May26</t>
  </si>
  <si>
    <t>69f5b88f00938eb8d807ea20</t>
  </si>
  <si>
    <t>BOGO_ALDO_MMR_Base_Off</t>
  </si>
  <si>
    <t>ALDO_MMR_Base_Off</t>
  </si>
  <si>
    <t>69f5d95d733b0268213d5b3e</t>
  </si>
  <si>
    <t>Failed_orders_fallbk_sms</t>
  </si>
  <si>
    <t>ALDO Failed Orders</t>
  </si>
  <si>
    <t>69f5c9c11d77cbde5068aac2</t>
  </si>
  <si>
    <t>last day bogo_crossbrand _VS_Master_OnOff_Exclude_AL</t>
  </si>
  <si>
    <t>69f35abf98e339af89188a24</t>
  </si>
  <si>
    <t>Last day bogo crossbrand_BBW_Exclude_AL_onoff_2023</t>
  </si>
  <si>
    <t>69f35af85bfdf1a68c6a2db1</t>
  </si>
  <si>
    <t>Last day bogo crossbrand_BBW_Exclude_AL_onoff_2024</t>
  </si>
  <si>
    <t>69f35d3456f5de75beb9c327</t>
  </si>
  <si>
    <t>Last day bogo_crossbrand_BBW_Exclude_AL_onoff_2025</t>
  </si>
  <si>
    <t>69f35d646a7bcbf3fb6d6cdb</t>
  </si>
  <si>
    <t>Last day bogo crossbrand_BBW_Exclude_AL_onoff_2026</t>
  </si>
  <si>
    <t>69f35d9419d5dc4bc0e916f5</t>
  </si>
  <si>
    <t>ALBG_LastDay_Crossbrand_CK_Exc_AL_onoff</t>
  </si>
  <si>
    <t>69f5c0fb963c8b5a8f86de63</t>
  </si>
  <si>
    <t>ALBG_LastDay_Crossbrand_BBW_Exclude_AL_onoff_2026</t>
  </si>
  <si>
    <t>69f5c10ce0a1035b0946095a</t>
  </si>
  <si>
    <t>ALBG_LastDay_Crossbrand</t>
  </si>
  <si>
    <t>69f5c11906b3c8eae8747fac</t>
  </si>
  <si>
    <t>ALBG_LastDay_Crossbrand_VS_Master_OnOff_Exclude_AL</t>
  </si>
  <si>
    <t>69f5c1b02994acd357b16d2f</t>
  </si>
  <si>
    <t>ALBG_LastDay_Crossbrand_BBW_Exclude_AL_onoff_2023</t>
  </si>
  <si>
    <t>69f5c1bf7c72563122c590a9</t>
  </si>
  <si>
    <t>ALBG_LastDay_Crossbrand_BBW_Exclude_AL_onoff_2024</t>
  </si>
  <si>
    <t>69f5c1cc17d8d2cefc698706</t>
  </si>
  <si>
    <t>bbw_online_wa_3may_buy1get1_loyal_lastreminder</t>
  </si>
  <si>
    <t>3 - 5 May</t>
  </si>
  <si>
    <t>69f30419fae02b9edb12e0cc</t>
  </si>
  <si>
    <t>bbw_online_wa_3may_buy1get1_repeat_lastreminder</t>
  </si>
  <si>
    <t>69f3045dba106ee58de4fbe4</t>
  </si>
  <si>
    <t>bbw_online_wa_3may_buy1get1_aov_relevant_lastreminder</t>
  </si>
  <si>
    <t>69f304908dfd0e453d0c83e9</t>
  </si>
  <si>
    <t>bbw_online_wa_3may_buy1get1_bundle buyers_lastreminder</t>
  </si>
  <si>
    <t>69f304b91dc1a85a89038fc3</t>
  </si>
  <si>
    <t>bbw_online_wa_3may_buy1get1_dormant_lastreminder</t>
  </si>
  <si>
    <t>69f3050f1dc1a85a89038fd5</t>
  </si>
  <si>
    <t>bbw_online_wa_3may_buy1get1_atc_lastreminder</t>
  </si>
  <si>
    <t>69f30530094f147294d62d2c</t>
  </si>
  <si>
    <t>bbw_online_wa_3may_buy1get1_wa_clicked_lastreminder</t>
  </si>
  <si>
    <t>69f30578f0db59bd01e51310</t>
  </si>
  <si>
    <t>bbw_online_smsfb_3may_buy1get1_loyal_lastreminder</t>
  </si>
  <si>
    <t>69f316a5d5e54e42566ee473</t>
  </si>
  <si>
    <t>bbw_online_smsfb_3may_buy1get1_repeat_lastreminder</t>
  </si>
  <si>
    <t>69f316e08cf98b20f35a63a7</t>
  </si>
  <si>
    <t>bbw_online_smsfb_3may_buy1get1_aov_relevant_lastreminder</t>
  </si>
  <si>
    <t>69f3171326bfa5112765ead3</t>
  </si>
  <si>
    <t>bbw_online_smsfb_3may_buy1get1_bundle buyers_lastreminder</t>
  </si>
  <si>
    <t>69f3175f35e21511ea548880</t>
  </si>
  <si>
    <t>bbw_online_smsfb_3may_buy1get1_dormant_lastreminder</t>
  </si>
  <si>
    <t>69f3179a2bbaec1bb75da118</t>
  </si>
  <si>
    <t>bbw_online_smsfb_3may_buy1get1_atc_lastreminder</t>
  </si>
  <si>
    <t>69f318596df2120013aae70d</t>
  </si>
  <si>
    <t>bbw_online_smsfb_3may_buy1get1_smsfb_clicked_lastreminder</t>
  </si>
  <si>
    <t>69f3188b07cd31356910f952</t>
  </si>
  <si>
    <t>WA_3rdMay_BOGO_AL_ON_ATC_90D</t>
  </si>
  <si>
    <t>3rd May - 4th May 2026</t>
  </si>
  <si>
    <t>69f58df99d755decca1436bd</t>
  </si>
  <si>
    <t>WA_3rdMay_BOGO_AL_ON_View_Item</t>
  </si>
  <si>
    <t>69f58e269d9ef9074d45a396</t>
  </si>
  <si>
    <t>WA_3rdMay_BOGO_AL_ON_Cart_Exit_Intent</t>
  </si>
  <si>
    <t>69f591cd464af21774afe768</t>
  </si>
  <si>
    <t>WA_3rdMay_BOGO_AL_ON_OFF_Event_Buyers_BOGO</t>
  </si>
  <si>
    <t>69f5920005bba1e3055e9eb9</t>
  </si>
  <si>
    <t>WA_3rdMay_BOGO_AL_ON_OFF_Repeat_1Year</t>
  </si>
  <si>
    <t>69f5922a7389bd75c57c5544</t>
  </si>
  <si>
    <t>WA_3rdMay_BOGO_AL_ON_SignUp_Form</t>
  </si>
  <si>
    <t>69f59b2c5b7aaa358dc4f61f</t>
  </si>
  <si>
    <t>may3_failedorders_bogoAL</t>
  </si>
  <si>
    <t>ALDO_Failed_Orders_2May26</t>
  </si>
  <si>
    <t>69f71d7c963ed68b65949434</t>
  </si>
  <si>
    <t>RETRIGGER_AL_ON_OFF_Recent</t>
  </si>
  <si>
    <t>69f73c73bafbc50369b180b6</t>
  </si>
  <si>
    <t>RETRIGGER_AL_ON_OFF_Disc_Buyers_50_perc</t>
  </si>
  <si>
    <t>69f73c88f1a6e2bf764506b3</t>
  </si>
  <si>
    <t>RETRIGGER_AL_ON_OFF_UPT_Min_2 + AGIPL_INTERNAL</t>
  </si>
  <si>
    <t>69f73c9b7967df0cc925d09d</t>
  </si>
  <si>
    <t>AL_ON_ATC_90D/FALL BACK/DAY_last day</t>
  </si>
  <si>
    <t>69f5a62047ebb96076097a02</t>
  </si>
  <si>
    <t>AL_ON_View_Item_fall back _last day</t>
  </si>
  <si>
    <t>69f5a65d73a8f0c8a0a9939c</t>
  </si>
  <si>
    <t>AL_ON_SignUp_Form_fall back / LAST DAY</t>
  </si>
  <si>
    <t>69f5a6af1d77cbde5068a6fa</t>
  </si>
  <si>
    <t>AL_ON_Cart_Exit_Intent_fallback/ LAST DAY</t>
  </si>
  <si>
    <t>69f5a705cd277f53b0adbce4</t>
  </si>
  <si>
    <t>AL_ON_OFF_Event_Buyers_BOGO_fall back /LAST DAY</t>
  </si>
  <si>
    <t>69f5a75e09e5e6fb6b72d38d</t>
  </si>
  <si>
    <t>AL_ON_OFF_Repeat_1Year_fall back / LAST DAY</t>
  </si>
  <si>
    <t>69f5a7979d9ef9074d45a6b1</t>
  </si>
  <si>
    <t>AL_ON_OFF_Recent_fall back / LAST DAY</t>
  </si>
  <si>
    <t>69f5a7dbfaa9f5a3eace4c57</t>
  </si>
  <si>
    <t>AL_ON_OFF_Disc_Buyers_50_perc_fall back / LAST DAY</t>
  </si>
  <si>
    <t>69f5a828fdaad15a1c5c6bb8</t>
  </si>
  <si>
    <t>AL_ON_OFF_UPT_Min_2_fall back /LAST DAY</t>
  </si>
  <si>
    <t>69f5a85b06b3c8eae8747d70</t>
  </si>
  <si>
    <t>AL_ON_OFF_Churned_BOGO_Apr_26_SUNDAY</t>
  </si>
  <si>
    <t>69f5bd3047ebb96076097caa</t>
  </si>
  <si>
    <t>AL_Non-Txn_Base_SUNDAY</t>
  </si>
  <si>
    <t>69f5bd68d17b97f980076a60</t>
  </si>
  <si>
    <t>Karnival_Base_Actual_SUNDAY</t>
  </si>
  <si>
    <t>69f5bda5e859bc5b603c4628</t>
  </si>
  <si>
    <t>3rd_May_Failed_orders_fallbk_sms</t>
  </si>
  <si>
    <t>69f71e22f1a6e2bf764505f2</t>
  </si>
  <si>
    <t>3rd May 2026_AL_ON_ATC_90D</t>
  </si>
  <si>
    <t>69f59b876e3db0fae1956cd3</t>
  </si>
  <si>
    <t>3rd May 2026_AL_ON_View_Item</t>
  </si>
  <si>
    <t>69f59baf70957363644a7b95</t>
  </si>
  <si>
    <t>3rd May 2026_AL_ON_SignUp_Form</t>
  </si>
  <si>
    <t>69f59bd82994acd357b16a75</t>
  </si>
  <si>
    <t>3rd May 2026_AL_ON_Cart_Exit_Intent</t>
  </si>
  <si>
    <t>69f59c0e251723f46aaf2b27</t>
  </si>
  <si>
    <t>3rd May 2026_AL_ON_OFF_Event_Buyers_BOGO</t>
  </si>
  <si>
    <t>69f59c47925e675910f2fff4</t>
  </si>
  <si>
    <t>3rd May 2026_AL_ON_OFF_Repeat_1Year</t>
  </si>
  <si>
    <t>69f59c69e7c12692c06c48db</t>
  </si>
  <si>
    <t>3rd May 2026_AL_ON_OFF_Recent</t>
  </si>
  <si>
    <t>69f59c98faa9f5a3eace4baa</t>
  </si>
  <si>
    <t>3rd May 2026_AL_ON_OFF_Disc_Buyers_50_perc</t>
  </si>
  <si>
    <t>69f59cde9d9ef9074d45a507</t>
  </si>
  <si>
    <t>3rd May 2026_AL_ON_OFF_UPT_Min_2</t>
  </si>
  <si>
    <t>69f59cfd925e675910f3002d</t>
  </si>
  <si>
    <t>3rdMay_LD_VS_Master_OnOff_Exclude_AL</t>
  </si>
  <si>
    <t>69f5acba7c72563122c58f93</t>
  </si>
  <si>
    <t>3rdMay_LD_BBW_Exclude_AL_onoff_2023</t>
  </si>
  <si>
    <t>69f5acf67f69c06832016df1</t>
  </si>
  <si>
    <t>3rdMay_LD_BBW_Exclude_AL_onoff_2024</t>
  </si>
  <si>
    <t>69f5ad4553532f8af5dde3cc</t>
  </si>
  <si>
    <t>3rdMay_LD_BBW_Exclude_AL_onoff_2025</t>
  </si>
  <si>
    <t>69f5ad9296e38cb88d6f5717</t>
  </si>
  <si>
    <t>3rdMay_LD_BBW_Exclude_AL_onoff_2026</t>
  </si>
  <si>
    <t>69f5adfa8912c89213206fa0</t>
  </si>
  <si>
    <t>3rdMay_LD_CK_Exc_AL_onoff</t>
  </si>
  <si>
    <t>69f5ae2b7ab6607b88bbf851</t>
  </si>
  <si>
    <t>Mother's Day Gifting - Giftsets &amp; Accessories</t>
  </si>
  <si>
    <t>Mother's Day Gifting - High ATV CX</t>
  </si>
  <si>
    <t>VS_OnOff_High_ATV_Recent_7999</t>
  </si>
  <si>
    <t>Customers who have shopped in the last 85 days whose ATV is greater than 8000</t>
  </si>
  <si>
    <t>Recent High ATV</t>
  </si>
  <si>
    <t>5th - 10th May 2026</t>
  </si>
  <si>
    <t>69f87d25d8e99ae260b39f8f</t>
  </si>
  <si>
    <t>Mother's Day Gifting - Event CX</t>
  </si>
  <si>
    <t>VS_MothersDay_OnOff_Event_Buyers</t>
  </si>
  <si>
    <t>Customers who have purchased at least once in between 7-14 May, 2023 OR 5-12 May, 2024 OR May 4-11 2025 Excluding Churned Users</t>
  </si>
  <si>
    <t>69f87da1fbcbca267e47645f</t>
  </si>
  <si>
    <t>Mother's Day Gifting - Discount CX</t>
  </si>
  <si>
    <t>VS_Discount_Buyers_29_04_26_OnOff</t>
  </si>
  <si>
    <t>Customers who have purchased at least once in the last 1095 days with Order Discount Percentage more than 0.14 Excluding Churned Users</t>
  </si>
  <si>
    <t>69f87e2cd21088dd19cd3f64</t>
  </si>
  <si>
    <t>Mother's Day Gifting - Category CX</t>
  </si>
  <si>
    <t>VS_GiftSets_Acc_Buyers_OnOff</t>
  </si>
  <si>
    <t>Customers who have purchased at least once in the last 1095 days with L1: Gifting OR Accessories Excluding Churned Users</t>
  </si>
  <si>
    <t>Giftsets, Accessories Buyers</t>
  </si>
  <si>
    <t>69f87e5b53fa4d71f6fc1272</t>
  </si>
  <si>
    <t>Mother's Day Gifting - Beauty CX</t>
  </si>
  <si>
    <t>VS_BC_Frag_Buyers_OnOff</t>
  </si>
  <si>
    <t>Customers who have purchased at least once in the last 1095 days with L2: Body Care or Fragrances whose Order_Net_Val is greater than 5000 Excluding Churned Users</t>
  </si>
  <si>
    <t>Body Care, Fragrance Buyers</t>
  </si>
  <si>
    <t>69f87f2976075d8d20824d58</t>
  </si>
  <si>
    <t>Mother's Day Gifting - High ATV CX (FB)</t>
  </si>
  <si>
    <t>5th - 10th May</t>
  </si>
  <si>
    <t>69f88c2856a3e7a3b7c11180</t>
  </si>
  <si>
    <t>Mother's Day Gifting - Event CX (FB)</t>
  </si>
  <si>
    <t>69f8923121597988344b688a</t>
  </si>
  <si>
    <t>Mother's Day Gifting - Discount CX (FB)</t>
  </si>
  <si>
    <t>69f8927576075d8d208250df</t>
  </si>
  <si>
    <t>Mother's Day Gifting - Category CX (FB)</t>
  </si>
  <si>
    <t>69f892a3d8e99ae260b3a4fa</t>
  </si>
  <si>
    <t>Mother's Day Gifting - Beauty CX (FB)</t>
  </si>
  <si>
    <t>69f893333b3ac90641875f04</t>
  </si>
  <si>
    <t>Mother's Day Gifting - High ATV CX (WA FB)</t>
  </si>
  <si>
    <t>69f893f07b6287824d819c6d</t>
  </si>
  <si>
    <t>Mother's Day Gifting - Event CX (WA FB)</t>
  </si>
  <si>
    <t>69f8943a76075d8d208251ac</t>
  </si>
  <si>
    <t>Mother's Day Gifting - Discount CX (WA FB)</t>
  </si>
  <si>
    <t>69f894793b3ac90641875f4a</t>
  </si>
  <si>
    <t>Mother's Day Gifting - Category CX (WA FB)</t>
  </si>
  <si>
    <t>69f894b3d8f66ec53b03e3bf</t>
  </si>
  <si>
    <t>Mother's Day Gifting - Beauty CX (WA FB)</t>
  </si>
  <si>
    <t>69f894e7562e13dfc590b580</t>
  </si>
  <si>
    <t>Summer Beauty Fest May - Online - Mist &amp; Lotions @999</t>
  </si>
  <si>
    <t>SGF_On_Store_Non_Shoppers</t>
  </si>
  <si>
    <t>NON-Shoppers_TILI_Stores_Off</t>
  </si>
  <si>
    <t>Customers who have delivered TILI Stores and has not purchased from 30th Apr 2026 to 4th May 2026</t>
  </si>
  <si>
    <t>Non- Shoppers</t>
  </si>
  <si>
    <t>7-11 May 2026</t>
  </si>
  <si>
    <t>69fb30b32e5d12e785f4c5ed</t>
  </si>
  <si>
    <t>SGF_On_ATC_CX</t>
  </si>
  <si>
    <t>VS_ON_ATC_93D_No_Pr</t>
  </si>
  <si>
    <t>Customers who have added to cart at least 1 time in the last 93 days but not purchased</t>
  </si>
  <si>
    <t>Add to Cart but no purchase</t>
  </si>
  <si>
    <t>69fb33f7a58aa967bb24d724</t>
  </si>
  <si>
    <t>SGF_On_Event_CX</t>
  </si>
  <si>
    <t>VS_ON_SGF_Event_Predom1000_Buyers</t>
  </si>
  <si>
    <t>Online Customers who purchased from last TILI Event Dates 5th May 2023 to 7th May 2023, 6th Oct to 8th Oct 2023, 10th May 2024 to 12th May 2024, 25th Oct 2024 to 27th Oct 2024, 9th May 2025 to 11th May 2025, 2nd Oct 2025 to 5th Oct 2025 with Category_L1_Desc contains PERSONAL CARE OR  Online Customers who have purchased predominantly with cart value below ₹1,000 in the last 1095 days AND Exclude Custom Segment :-  VS_ON_ATC_93D_No_Pr</t>
  </si>
  <si>
    <t>Event and Predom below 1000 buyers</t>
  </si>
  <si>
    <t>69fb35660dc8771005d8c4c7</t>
  </si>
  <si>
    <t>SGF_On_Repeat_CX</t>
  </si>
  <si>
    <t>Repeat_On_SGF</t>
  </si>
  <si>
    <t>Online Customers who have purchased at least 2 times in 1095 days AND Exclude Custom Segment :- VS_ON_ATC_93D_No_Pr OR  VS_ON_Tili_Event_Predom1000_Buyers_23_04_26</t>
  </si>
  <si>
    <t>Repeat Buyers</t>
  </si>
  <si>
    <t>69fb35fa591998d0827dd3f7</t>
  </si>
  <si>
    <t>SGF_On_Dorm_CX</t>
  </si>
  <si>
    <t>VS_Generic_On_SGF</t>
  </si>
  <si>
    <t>Online Customers who have purchased atleast 1 time in last 1095 days AND Exclude Custom Segment :- VS_ON_ATC_93D_No_Pr OR  VS_ON_Tili_Event_Predom1000_Buyers_23_04_26 OR  OR Repeat_On_TILI</t>
  </si>
  <si>
    <t>69fb36960a066965883aba72</t>
  </si>
  <si>
    <t>Summer Beauty Fest May - Online - Mist &amp; Lotion @999</t>
  </si>
  <si>
    <t>SGF_On_Store_Non_Shoppers (FB)</t>
  </si>
  <si>
    <t>69fb3864c89a7960d38e25f1</t>
  </si>
  <si>
    <t>SGF_On_ATC_CX (FB)</t>
  </si>
  <si>
    <t>69fb39f771eeb712ba30ae4d</t>
  </si>
  <si>
    <t>SGF_On_Event_CX (FB)</t>
  </si>
  <si>
    <t>69fb3bd5591998d0827dd4d0</t>
  </si>
  <si>
    <t>SGF_On_Repeat_CX (FB)</t>
  </si>
  <si>
    <t>69fb3caaead827eee0cbbde3</t>
  </si>
  <si>
    <t>SGF_On_Dorm_CX (FB)</t>
  </si>
  <si>
    <t>69fb3da4160de23f9a44b83b</t>
  </si>
  <si>
    <t>BC @ 999 - Body Care</t>
  </si>
  <si>
    <t>bbw_wa_7may_bcat999_repeat_online</t>
  </si>
  <si>
    <t>BodyCare_Repeat_180D_ON</t>
  </si>
  <si>
    <t>6 - 8 May</t>
  </si>
  <si>
    <t>69fc53291e117f8ff337c178</t>
  </si>
  <si>
    <t>bbw_wa_7may_bcat999_atc_online</t>
  </si>
  <si>
    <t>ATC_View_NoPr_BodyCare_On</t>
  </si>
  <si>
    <t>Customers who have added to cart but not purchased from L2: BodyCare at least 1 time in the last 60 days OR Customers who have viewed item but not purchased from L2: BodyCare at least 1 time in the last 30 days</t>
  </si>
  <si>
    <t>Add to Cart/View Item</t>
  </si>
  <si>
    <t>69fc535ed3d20285bd5fe463</t>
  </si>
  <si>
    <t>bbw_wa_7may_bcat999_dormant+event_online</t>
  </si>
  <si>
    <t>BC_EventBuyers+Dormant_ON</t>
  </si>
  <si>
    <t>Online customers who have purchased at least 1 time from L2: BodyCare in between Oct 2 - Oct 5, 2025; Oct 16 - Oct 27, 2025; Jan 09- Jan 18, 2026; Feb 26 - Mar 3, 2026; Mar 27 - Mar 29, 2026 OR Online customers who have purchased atleast 1 time from L2: BodyCare in between the last 90-365 Days</t>
  </si>
  <si>
    <t>69fc53be9692524f6e7532fe</t>
  </si>
  <si>
    <t>Flat_40_Call_It_Spring_All_Products - Flat 40% Off</t>
  </si>
  <si>
    <t>CIS_40</t>
  </si>
  <si>
    <t>CIS_Base_ONOff_Unique</t>
  </si>
  <si>
    <t>Customers who have purchased in the last 36 months with Brand_PM contains SP AND Exclude overlapping Base for ALDO and CIS Base</t>
  </si>
  <si>
    <t>All User Base</t>
  </si>
  <si>
    <t>7th to 8th</t>
  </si>
  <si>
    <t>69fc82fef8786b34a4fd4f4a</t>
  </si>
  <si>
    <t>BC at 999 - Body Care</t>
  </si>
  <si>
    <t>bbw_smsfb_7may_bcat999_repeat_online</t>
  </si>
  <si>
    <t>69fc606d873e137c2d6f0e53</t>
  </si>
  <si>
    <t>bbw_smsfb_7may_bcat999_atc_online</t>
  </si>
  <si>
    <t>69fc60e90500848bb4b47c3f</t>
  </si>
  <si>
    <t>bbw_smsfb_7may_bcat999_dormant+event_online</t>
  </si>
  <si>
    <t>69fc612dabbed9dda70a0c48</t>
  </si>
  <si>
    <t>SGF_On_Store_Non_Shoppers (7th WA FB)</t>
  </si>
  <si>
    <t>69fc328a0f4d54910c1ef8b2</t>
  </si>
  <si>
    <t>SGF_On_ATC_CX (7th WA FB)</t>
  </si>
  <si>
    <t>69fc32d35386f5cd569459b8</t>
  </si>
  <si>
    <t>SGF_On_Event_CX (7th WA FB)</t>
  </si>
  <si>
    <t>69fc3326c89a7960d38e3509</t>
  </si>
  <si>
    <t>SGF_On_Repeat_CX  (7th WA FB)</t>
  </si>
  <si>
    <t>69fc3366394aca61d9a7f58a</t>
  </si>
  <si>
    <t>SGF_On_Dorm_CX  (7th WA FB)</t>
  </si>
  <si>
    <t>69fc33abb067dd4624acb677</t>
  </si>
  <si>
    <t>SGF_On_Store_Non_Shoppers (8th WA FB)</t>
  </si>
  <si>
    <t>69fc3437d9d813995569f528</t>
  </si>
  <si>
    <t>SGF_On_ATC_CX (8th WA FB)</t>
  </si>
  <si>
    <t>69fc3481348e3d1bb3a97a8f</t>
  </si>
  <si>
    <t>SGF_On_Event_CX (8th WA FB)</t>
  </si>
  <si>
    <t>69fc34ea0f4d54910c1ef9de</t>
  </si>
  <si>
    <t>SGF_On_Cat_CX  (8th WA FB)</t>
  </si>
  <si>
    <t>69fc3558348e3d1bb3a97b2e</t>
  </si>
  <si>
    <t>SGF_On_Dorm_CX  (8th WA FB)</t>
  </si>
  <si>
    <t>69fc35b135b89fa72789a3d6</t>
  </si>
  <si>
    <t>bbw_wa_8may_bcat999_repeat_offline</t>
  </si>
  <si>
    <t>8 - 10 May</t>
  </si>
  <si>
    <t>69fc5407ad7caff78b84ff06</t>
  </si>
  <si>
    <t>bbw_wa_8may_bcat999_aov_offline</t>
  </si>
  <si>
    <t>BodyCare_AOV_1000_OFF</t>
  </si>
  <si>
    <t>Offline customers who have purchased from L2: BodyCare at least 1 time with aggregation: average Order Net Value: ₹999 in the last 180 days</t>
  </si>
  <si>
    <t>Cat Buyer - Body Care + Cart Value</t>
  </si>
  <si>
    <t>69fc54331b876eaba8b6c196</t>
  </si>
  <si>
    <t>bbw_wa_8may_bcat999_event_offline</t>
  </si>
  <si>
    <t>69fc54c0873e137c2d6f0b79</t>
  </si>
  <si>
    <t>bbw_wa_8may_bcat999_dormant_offline</t>
  </si>
  <si>
    <t>69fc55065be7a31411318252</t>
  </si>
  <si>
    <t>bbw_wa_8may_bcat999_disc_buyers_offline</t>
  </si>
  <si>
    <t>BC_Disc_Buyers_OFF</t>
  </si>
  <si>
    <t>Offline customers who have purchased at least 1 time from L2: BodyCare with discount exists in the last 120 days excluding last 30 day disc buyers</t>
  </si>
  <si>
    <t>69fc5536535c0243ed61b172</t>
  </si>
  <si>
    <t>bbw_smsfb_8may_bcat999_repeat_offline</t>
  </si>
  <si>
    <t>69fc616f24a93a51ef2c6000</t>
  </si>
  <si>
    <t>bbw_smsfb_8may_bcat999_aov_offline</t>
  </si>
  <si>
    <t>69fc61a0b04862f75069a5c5</t>
  </si>
  <si>
    <t>bbw_smsfb_8may_bcat999_event_offline</t>
  </si>
  <si>
    <t>69fc620632b278643fc0118d</t>
  </si>
  <si>
    <t>bbw_smsfb_8may_bcat999_dormant_offline</t>
  </si>
  <si>
    <t>69fc625054f8d42d58ff126c</t>
  </si>
  <si>
    <t>bbw_smsfb_8may_bcat999_disc_buyers_offline</t>
  </si>
  <si>
    <t>69fc629f044b2a3b6c298849</t>
  </si>
  <si>
    <t>Failed_Orders_BOGO_May_2026</t>
  </si>
  <si>
    <t>Failed_Orders_BOGO_May_2026_V2</t>
  </si>
  <si>
    <t>FailedOrders_30Apr_4thMay_26</t>
  </si>
  <si>
    <t xml:space="preserve">8th - 12th May 2026 </t>
  </si>
  <si>
    <t>69fdaaea6a50cb26defd3ee9</t>
  </si>
  <si>
    <t>EMT_Round 2</t>
  </si>
  <si>
    <t>RB_NonShoppers_6months_EMT_Off</t>
  </si>
  <si>
    <t>Customers who got WA Delivered in EMT Campaign and not purchased from 1st May to 3rd May 2026</t>
  </si>
  <si>
    <t>8th to 10th May</t>
  </si>
  <si>
    <t>69faf2b6ababb8ba212b9832</t>
  </si>
  <si>
    <t>abandoned_cart_bogo - B1G1</t>
  </si>
  <si>
    <t>abandoned_cart_bogo</t>
  </si>
  <si>
    <t>Has executed add_to_cart atleast 1 time in-between Apr 30, 2026 and May 04, 2026  AND Has not executed Sale_Array in-between Apr 30, 2026 and May 04, 2026</t>
  </si>
  <si>
    <t>69fdd475568c1283be471b68</t>
  </si>
  <si>
    <t>Flat_40_Call_It_Spring_All_Products</t>
  </si>
  <si>
    <t>CIS_Flat40_Saturday</t>
  </si>
  <si>
    <t>9th to 11th</t>
  </si>
  <si>
    <t>69fdb2152ee0a910acc4acf8</t>
  </si>
  <si>
    <t>bbw_wa_9may_bcat999_lastreminder_repeat_offline</t>
  </si>
  <si>
    <t>9 - 11 May</t>
  </si>
  <si>
    <t>69fc5574f6b05d23056b3fb9</t>
  </si>
  <si>
    <t>bbw_wa_9may_bcat999_lastreminder_aov_offline</t>
  </si>
  <si>
    <t>69fc55a0753aad2c8d9d104e</t>
  </si>
  <si>
    <t>bbw_wa_9may_bcat999_lastreminder_event_offline</t>
  </si>
  <si>
    <t>69fc55c7ded63ff9214b2252</t>
  </si>
  <si>
    <t>bbw_wa_9may_bcat999_lastreminder_dormant_offline</t>
  </si>
  <si>
    <t>69fc55f3073d844df88b00f3</t>
  </si>
  <si>
    <t>bbw_wa_9may_bcat999_lastreminder_disc_buyers_offline</t>
  </si>
  <si>
    <t>69fc5759b9ee7e529fed4904</t>
  </si>
  <si>
    <t>Failed_Orders_BOGO_May_2026 - coupon redemption failed orders</t>
  </si>
  <si>
    <t>NewFailedOrders_FallBKSMS</t>
  </si>
  <si>
    <t xml:space="preserve">7th - 9th May 2026 </t>
  </si>
  <si>
    <t>69fed1ba244da7bf5ad8d158</t>
  </si>
  <si>
    <t>aldo_abandoned_cart_bogo_may_2026 - coupon redemption _cartabvandonment</t>
  </si>
  <si>
    <t>aldo_abandoned_cart_bogo</t>
  </si>
  <si>
    <t xml:space="preserve">8th - 10th May 2026 </t>
  </si>
  <si>
    <t>69fed1d8440f850a6d59e608</t>
  </si>
  <si>
    <t>bbw_smsfb_9may_bcat999_lastreminder_repeat_offline</t>
  </si>
  <si>
    <t>69fc649516401a66c19aa77a</t>
  </si>
  <si>
    <t>bbw_smsfb_9may_bcat999_lastreminder_aov_offline</t>
  </si>
  <si>
    <t>69fc64c255a07ece14640cc4</t>
  </si>
  <si>
    <t>bbw_smsfb_9may_bcat999_lastreminder_event_offline</t>
  </si>
  <si>
    <t>69fc64e954f8d42d58ff129d</t>
  </si>
  <si>
    <t>bbw_smsfb_9may_bcat999_lastreminder_dormant_offline</t>
  </si>
  <si>
    <t>69fc650c930aaea628d9db72</t>
  </si>
  <si>
    <t>bbw_smsfb_9may_bcat999_lastreminder_disc_buyers_offline</t>
  </si>
  <si>
    <t>69fc6542e47134b85c0aae01</t>
  </si>
  <si>
    <t>CIS_Flat40_Fallback RCS_V2</t>
  </si>
  <si>
    <t>09th to 11th</t>
  </si>
  <si>
    <t>69feec43a766a9379f0777f8</t>
  </si>
  <si>
    <t>CIS_40_Fallback_V2</t>
  </si>
  <si>
    <t>69feec9c673359b9391eca72</t>
  </si>
  <si>
    <t>SGF_On_ATC_CX (2nd Nudge)</t>
  </si>
  <si>
    <t>69fc39ee0a066965883acf8a</t>
  </si>
  <si>
    <t>SGF_On_Event_CX (2nd Nudge)</t>
  </si>
  <si>
    <t>69fc3a17230c3d0f2667bb78</t>
  </si>
  <si>
    <t>SGF_On_Repeat_CX (2nd Nudge)</t>
  </si>
  <si>
    <t>69fc3bb9b067dd4624acb8d2</t>
  </si>
  <si>
    <t>SGF_On_Dorm_CX (2nd Nudge)</t>
  </si>
  <si>
    <t>69fc3c03230c3d0f2667bcb7</t>
  </si>
  <si>
    <t>69fc3c7a9c3495c0c4f26e8d</t>
  </si>
  <si>
    <t>69fc3cbe873e137c2d6f054c</t>
  </si>
  <si>
    <t>Summer Beauty Fest May - Online - Mist &amp; Lotion</t>
  </si>
  <si>
    <t>SGF_On_Cat_CX  (FB)</t>
  </si>
  <si>
    <t>69fc3d011b876eaba8b6bcdd</t>
  </si>
  <si>
    <t>SGF_On_Dorm_CX  (FB)</t>
  </si>
  <si>
    <t>69fc3d4cb31876a27a7c9887</t>
  </si>
  <si>
    <t>bbw_wa_10may_bcat999_lastreminder_repeat_online</t>
  </si>
  <si>
    <t>10 - 12 May</t>
  </si>
  <si>
    <t>69fc57b172eae695a29c7de9</t>
  </si>
  <si>
    <t>bbw_wa_10may_bcat999_lastreminder_atc_online</t>
  </si>
  <si>
    <t>69fc57f90c0da74378376e74</t>
  </si>
  <si>
    <t>bbw_wa_10may_bcat999_lastreminder_dormant+event_online</t>
  </si>
  <si>
    <t>69fc583078477c4eb87d14f3</t>
  </si>
  <si>
    <t>bbw_smsfb_10may_bcat999_lastreminder_repeat_online</t>
  </si>
  <si>
    <t>69fc658417bc6df72d5eb0f5</t>
  </si>
  <si>
    <t>bbw_smsfb_10may_bcat999_lastreminder_atc_online</t>
  </si>
  <si>
    <t>69fc65a95be7a31411318751</t>
  </si>
  <si>
    <t>bbw_smsfb_10may_bcat999_lastreminder_dormant+event_online</t>
  </si>
  <si>
    <t>69fc669955a07ece14640d23</t>
  </si>
  <si>
    <t>Store-Specific - Express Avenue</t>
  </si>
  <si>
    <t>bbw_wa_12may_store_specific_b3g3_expr_aven_offline </t>
  </si>
  <si>
    <t>BBW_Express_Ave_Base</t>
  </si>
  <si>
    <t>Offline Customers who have purchased at least once from Txn_Store_Name: BBW EXPRESS AVENUE MALL</t>
  </si>
  <si>
    <t>Store Specific</t>
  </si>
  <si>
    <t>12 - 14 May</t>
  </si>
  <si>
    <t>6a02c87b99f8d74179fbc2a4</t>
  </si>
  <si>
    <t>BC @ 1099 - Body Care</t>
  </si>
  <si>
    <t>bbw_sms_12may_bcat1099_repeat_online</t>
  </si>
  <si>
    <t>Online customers who have purchased L2: BodyCare at least 1 times in the last 180 days</t>
  </si>
  <si>
    <t>6a02c122f3e9dc84457fd39e</t>
  </si>
  <si>
    <t>bbw_smsfb_12may_store_specific_b3g3_expr_aven_offline </t>
  </si>
  <si>
    <t>6a02c99202ec4b4b256eeacd</t>
  </si>
  <si>
    <t>bbw_smsfb_bcat999_online_ea_13may_frequent_buyers</t>
  </si>
  <si>
    <t>BBW_ON_BC_3_Times</t>
  </si>
  <si>
    <t>6a04688196a86489ab816cac</t>
  </si>
  <si>
    <t>bbw_smsfb_bcat999_online_ea_13may_atc_viewed</t>
  </si>
  <si>
    <t>BBW_ATC_View_Wishlist_NoPr_90D_13_May_2026</t>
  </si>
  <si>
    <t>Add To Cart/View Item</t>
  </si>
  <si>
    <t>6a0468b4dd22d354535dc10e</t>
  </si>
  <si>
    <t>bbw_smsfb_bcat999_online_ea_13may_crosssell</t>
  </si>
  <si>
    <t>BBW_NoPr_BC_Pr_Candle_Mist_Lotion</t>
  </si>
  <si>
    <t>6a0468c56f6a142328c765d3</t>
  </si>
  <si>
    <t>bbw_smsfb_bcat999_online_ea_13may_new_cust</t>
  </si>
  <si>
    <t>BBW_ON_New_Cust_NoPr_BCa</t>
  </si>
  <si>
    <t>New Customer</t>
  </si>
  <si>
    <t>6a0468f06c2e747af97bf7b3</t>
  </si>
  <si>
    <t>bbw_smsfb_bcat999_online_ea_13may_engage_no_purch</t>
  </si>
  <si>
    <t>BBW_ON_Engage_NoPr_BC_13_May_2026</t>
  </si>
  <si>
    <t>Non Purchasers</t>
  </si>
  <si>
    <t>6a0469760185598697390bdf</t>
  </si>
  <si>
    <t>bbw_smsfb_bcat999_online_ea_13may_event_buyers</t>
  </si>
  <si>
    <t>BBW_ON_EventBuyers_BC_13_May_2026</t>
  </si>
  <si>
    <t>6a0469988f62611e61d8a0b0</t>
  </si>
  <si>
    <t>bbw_wa_bcat999_online_ea_13may_frequent_buyers</t>
  </si>
  <si>
    <t>Online customers who purchased from L2: BodyCare at least 3 times in the last 365 days</t>
  </si>
  <si>
    <t>13 - 15 may</t>
  </si>
  <si>
    <t>6a05bf921922a24b0835f29e</t>
  </si>
  <si>
    <t>bbw_wa_bcat999_online_ea_13may_atc_viewed</t>
  </si>
  <si>
    <t>Online Customers who viewed L2: BodyCare products at least 2 times in the last 30 days OR added L2: BodyCare products to wishlist/cart in the last 45 days AND have not purchased L2: BodyCare in the last 90 days</t>
  </si>
  <si>
    <t>6a05bfef8581a289b1957730</t>
  </si>
  <si>
    <t>bbw_wa_bcat999_online_ea_13may_crosssell</t>
  </si>
  <si>
    <t>Online Customers who purchased from any of L3: Mists, Candles, Hand Cream or Body Lotion in the last 180 days BUT not   purchased L2: BodyCare in the last 365 days</t>
  </si>
  <si>
    <t>6a05bfff0f3f6022bddbaafe</t>
  </si>
  <si>
    <t>bbw_wa_bcat999_online_ea_13may_new_cust</t>
  </si>
  <si>
    <t>Online Customers acquired in the last 30 days who purchased any category online BUT have not yet purchased L2: BodyCare</t>
  </si>
  <si>
    <t>6a05c0146dae3b5370113edc</t>
  </si>
  <si>
    <t>bbw_wa_bcat999_online_ea_13may_engage_no_purch</t>
  </si>
  <si>
    <t>Online Customers who opened/clicked CRM campaigns at least 3 times in the last 60 days OR active app/web users in the last 30 days BUT never purchased.</t>
  </si>
  <si>
    <t>6a05c0290ce5bc1c11b7bfd1</t>
  </si>
  <si>
    <t>bbw_wa_bcat999_online_ea_13may_event_buyers</t>
  </si>
  <si>
    <t>Online Customers who purchased in last BC @ 999 event.</t>
  </si>
  <si>
    <t>6a05c057e5273bf137756390</t>
  </si>
  <si>
    <t>bbw_smsfb_bcat999_online_ea_14may_dormant</t>
  </si>
  <si>
    <t>BBW_ON_BC_Dormant_13_May_2026</t>
  </si>
  <si>
    <t>6a0469cdba191e290e89a049</t>
  </si>
  <si>
    <t>Season of Strapless - Branding Campaign - Strapless Bra</t>
  </si>
  <si>
    <t>Strapless_On (FB)</t>
  </si>
  <si>
    <t>VS_ON_Strapless_Launch</t>
  </si>
  <si>
    <t>15th - 18th May</t>
  </si>
  <si>
    <t>6a05d1b8eac1b949cc951386</t>
  </si>
  <si>
    <t>Strapless_FA (FB)</t>
  </si>
  <si>
    <t>VS_OFF_Strapless_Launch_FA</t>
  </si>
  <si>
    <t>6a05d1e3ea2539371f0c258b</t>
  </si>
  <si>
    <t>Strapless_BA (FB)</t>
  </si>
  <si>
    <t>VS_OFF_Strapless_Launch_BA</t>
  </si>
  <si>
    <t>6a05d21f092284026030fdd4</t>
  </si>
  <si>
    <t>bbw_wa_bcat999_carousel_online_14may_blr</t>
  </si>
  <si>
    <t>BBW_ON_6M_Pr_BLR</t>
  </si>
  <si>
    <t>Online Customers who have purchased at least 1 time from Txn_City: Bangalore in the last 180 Days</t>
  </si>
  <si>
    <t>City Specific</t>
  </si>
  <si>
    <t>15 - 17 May</t>
  </si>
  <si>
    <t>6a0594148d27265cbe638f1e</t>
  </si>
  <si>
    <t>bbw_wa_bcat999_carousel_online_14may_bombay</t>
  </si>
  <si>
    <t>BBW_ON_6M_Pr_BOM</t>
  </si>
  <si>
    <t>Online Customers who have purchased at least 1 time from Txn_City: Mumbai in the last 180 Days</t>
  </si>
  <si>
    <t>6a059476ea169f16b0406357</t>
  </si>
  <si>
    <t>bbw_wa_bcat999_carousel_online_14may_delhi</t>
  </si>
  <si>
    <t>BBW_ON_6M_Pr_DELHI</t>
  </si>
  <si>
    <t>Online Customers who have purchased at least 1 time from Txn_City: Delhi in the last 180 Days</t>
  </si>
  <si>
    <t>6a0594b525ce63453b6d0522</t>
  </si>
  <si>
    <t>bbw_wa_bcat999_carousel_online_14may_ggn</t>
  </si>
  <si>
    <t>BBW_ON_6M_Pr_GGN</t>
  </si>
  <si>
    <t>Online Customers who have purchased at least 1 time from Txn_City: Gurgaon in the last 180 Days</t>
  </si>
  <si>
    <t>6a059501e21aac318a1f251d</t>
  </si>
  <si>
    <t>bbw_wa_bcat999_carousel_online_14may_pune</t>
  </si>
  <si>
    <t>BBW_ON_6M_Pr_PUNE</t>
  </si>
  <si>
    <t>Online Customers who have purchased at least 1 time from Txn_City: Pune in the last 180 Days</t>
  </si>
  <si>
    <t>6a05957008565d61504b45fd</t>
  </si>
  <si>
    <t>bbw_wa_bcat999_carousel_online_14may_chennai</t>
  </si>
  <si>
    <t>BBW_ON_6M_Pr_CHENNAI</t>
  </si>
  <si>
    <t>Online Customers who have purchased at least 1 time from Txn_City: Chennai in the last 180 Days</t>
  </si>
  <si>
    <t>6a05964ebd3a92c0bdc015db</t>
  </si>
  <si>
    <t>bbw_wa_bcat999_carousel_online_14may_noida</t>
  </si>
  <si>
    <t>BBW_ON_6M_Pr_NOIDA</t>
  </si>
  <si>
    <t>Online Customers who have purchased at least 1 time from Txn_City: Gautam Buddha Nagar in the last 180 Days</t>
  </si>
  <si>
    <t>6a059693092284026030ea4d</t>
  </si>
  <si>
    <t>bbw_wa_bcat999_carousel_online_14may_ahd</t>
  </si>
  <si>
    <t>BBW_ON_6M_Pr_AHD</t>
  </si>
  <si>
    <t>Online Customers who have purchased at least 1 time from Txn_City: Ahmedabad in the last 180 Days</t>
  </si>
  <si>
    <t>6a059de1080ba89279e73c05</t>
  </si>
  <si>
    <t>bbw_wa_bcat999_carousel_online_14may_hyd</t>
  </si>
  <si>
    <t>BBW_ON_6M_Pr_HYD</t>
  </si>
  <si>
    <t>Online Customers who have purchased at least 1 time from Txn_City: Hyderabad in the last 180 Days</t>
  </si>
  <si>
    <t>6a059ee2e6f98891a0a671dd</t>
  </si>
  <si>
    <t>bbw_wa_bcat999_carousel_online_14may_thane</t>
  </si>
  <si>
    <t>BBW_ON_6M_Pr_THANE</t>
  </si>
  <si>
    <t>Online Customers who have purchased at least 1 time from Txn_City: Thane in the last 180 Days</t>
  </si>
  <si>
    <t>6a059f1cc948162e601ba2d8</t>
  </si>
  <si>
    <t>Strapless_On (WA FB)</t>
  </si>
  <si>
    <t>6a05de20d60d2d66c50a1083</t>
  </si>
  <si>
    <t>Strapless_FA (WA FB)</t>
  </si>
  <si>
    <t>6a05de4d8e4c2e583bb9d7ab</t>
  </si>
  <si>
    <t>Strapless_BA (WA FB)</t>
  </si>
  <si>
    <t>6a05dee1d3e63650257e15e3</t>
  </si>
  <si>
    <t>Strapless_On</t>
  </si>
  <si>
    <t>Online customers who have purchased with AOV&gt;5500 OR predom purchased from L3: Bra OR purchased from L2: Fragrances, Sleep &amp; Lounge Wear AND not purchased from L2: Bra in the last 1095 days OR have added to cart at least 1 time from item category Bra or viewed item at least 2 times from item_category 2: Bra but not purchased in the last 90 days</t>
  </si>
  <si>
    <t>6a05ca7fc36cdf2625d80073</t>
  </si>
  <si>
    <t>Strapless_FA</t>
  </si>
  <si>
    <t>Offline customers who have purchased with AOV&gt;5500 OR predom purchased from L3: Bra OR purchased from L2: Fragrances, Sleep &amp; Lounge Wear AND not purchased from L2: Bra in the last 1095 days AND has shopped from stores: VS PHOENIX PALLADIUM MALL, VS AMBIENCE MALL, VS AMBIENCE GURGAON MALL, VS ORION BANGALORE, VS ELEGANTE DELHI, VS MALL OF ASIA</t>
  </si>
  <si>
    <t>6a05cac4080ba89279e74ae6</t>
  </si>
  <si>
    <t>Strapless_BA</t>
  </si>
  <si>
    <t>Offline customers who have purchased with AOV&gt;5500 OR predom purchased from L3: Bra OR purchased from L2: Fragrances, Sleep &amp; Lounge Wear AND not purchased from L2: Bra in the last 1095 days AND has shopped from stores: VS INORBIT HYDERABAD MALL, VS MALL OF MILLENNIUM, VS INORBIT MALL MALAD, VS MARKET CITY KURLA MALL, VS BA EXPRESS AVENUE CHENNAI, VS KOPA MALL PUNE, VS BA PALASSIO LUCKNOW, VS LULU KOCHI, VS BA ZORA RAIPUR, VS LAKESHORE HYDERABAD, VS NEXUS MALL  KORAMANGALA, VS NEXUS MALL  SUJANA, VSBA LAKESHORE HYDERABA</t>
  </si>
  <si>
    <t>6a05cba4e5273bf137756665</t>
  </si>
  <si>
    <t>CIS_Footwear_Launch</t>
  </si>
  <si>
    <t>CIS_Footwear</t>
  </si>
  <si>
    <t>16th to 19th May</t>
  </si>
  <si>
    <t>6a05b9c02c7cd65186b3631a</t>
  </si>
  <si>
    <t>Inrobit store opening - Full price</t>
  </si>
  <si>
    <t>New store opening_inorbit Mall</t>
  </si>
  <si>
    <t>CK_InfinityMallMalad_Off</t>
  </si>
  <si>
    <t>All customer who shopped at Infiniti Mall, Malad</t>
  </si>
  <si>
    <t>16th - 23rd May</t>
  </si>
  <si>
    <t>6a070a674207a5dda24436e8</t>
  </si>
  <si>
    <t>Crusin By communication_active - Full price</t>
  </si>
  <si>
    <t>New collection_active</t>
  </si>
  <si>
    <t>CK_Recent_Above10999_Off, ck_online_active_29thapril_2026</t>
  </si>
  <si>
    <t>All customers who shopped above 10,999 in last 90 days (active), Custom data upload (active)</t>
  </si>
  <si>
    <t>6a070ad229d1e921c9a0a707</t>
  </si>
  <si>
    <t>Crusin By communication_dormant - Full price</t>
  </si>
  <si>
    <t>New collection_dormant</t>
  </si>
  <si>
    <t>CK_Dormant_Above10999_Off, ck_online_dormant_29thapril_2026</t>
  </si>
  <si>
    <t>All customers who shopped above 10,999 in before 90 days (dormant), Custom data upload (dormant)</t>
  </si>
  <si>
    <t>6a070b4f15b0bc92aa0554c9</t>
  </si>
  <si>
    <t xml:space="preserve">CIS_Footwear_Launch </t>
  </si>
  <si>
    <t>CIS_Footwear_sms</t>
  </si>
  <si>
    <t>6a06c398ec4d59b9386b5e77</t>
  </si>
  <si>
    <t>New store opening_inorbit Mall_fallback</t>
  </si>
  <si>
    <t>6a070be8c293f8206cea9141</t>
  </si>
  <si>
    <t>New collection_active_Fallback</t>
  </si>
  <si>
    <t>6a070c82ec4d59b9386b7254</t>
  </si>
  <si>
    <t>New collection_dormant_fallback</t>
  </si>
  <si>
    <t>6a070cf966060a2da403ca05</t>
  </si>
  <si>
    <t>CIS_Footwear_30</t>
  </si>
  <si>
    <t>6a05ba00e21aac318a1f359c</t>
  </si>
  <si>
    <t>bbw_wa_bcat999_online_lastreminder_17may_freq_purch</t>
  </si>
  <si>
    <t>17 - 19 May</t>
  </si>
  <si>
    <t>6a05a2eedee86beae481c71a</t>
  </si>
  <si>
    <t>bbw_wa_bcat999_online_lastreminder_17may_atc_viewed</t>
  </si>
  <si>
    <t>6a05a334e5273bf137755b04</t>
  </si>
  <si>
    <t>bbw_wa_bcat999_online_lastreminder_17may_crossell</t>
  </si>
  <si>
    <t>6a05a37c4cb81a1a9b405cc8</t>
  </si>
  <si>
    <t>bbw_wa_bcat999_online_lastreminder_17may_new_cust</t>
  </si>
  <si>
    <t>6a05abedeac1b949cc950ae7</t>
  </si>
  <si>
    <t>bbw_wa_bcat999_online_lastreminder_17may_engaged</t>
  </si>
  <si>
    <t>6a05ac345478310a02337e9a</t>
  </si>
  <si>
    <t>bbw_wa_bcat999_online_lastreminder_17may_event</t>
  </si>
  <si>
    <t>6a05ad46ea169f16b0406b50</t>
  </si>
  <si>
    <t>bbw_smsfb_bcat999_online_lastreminder_17may_freq_purch</t>
  </si>
  <si>
    <t>6a05c123cdde3722515dc011</t>
  </si>
  <si>
    <t>bbw_smsfb_bcat999_online_lastreminder_17may_atc_viewed</t>
  </si>
  <si>
    <t>6a05c14b94a67b45c91bac5f</t>
  </si>
  <si>
    <t>bbw_smsfb_bcat999_online_lastreminder_17may_crossell</t>
  </si>
  <si>
    <t>6a05c175e2f3830c4f5f89af</t>
  </si>
  <si>
    <t>bbw_smsfb_bcat999_online_lastreminder_17may_new_cust</t>
  </si>
  <si>
    <t>6a05c93110b3ee62f9d51cca</t>
  </si>
  <si>
    <t>bbw_smsfb_bcat999_online_lastreminder_17may_engaged</t>
  </si>
  <si>
    <t>6a05c969bd3a92c0bdc0289a</t>
  </si>
  <si>
    <t>bbw_smsfb_bcat999_online_lastreminder_17may_event</t>
  </si>
  <si>
    <t>6a05c9880d6d1a8639b35e83</t>
  </si>
  <si>
    <t>cis_footwear_3499</t>
  </si>
  <si>
    <t>17th to 19th May</t>
  </si>
  <si>
    <t>6a071aa9ba71d28fd411c21c</t>
  </si>
  <si>
    <t>FnFSummerSale_AG</t>
  </si>
  <si>
    <t>AGIPL_IDs</t>
  </si>
  <si>
    <t>Simple</t>
  </si>
  <si>
    <t>22nd May 2026</t>
  </si>
  <si>
    <t>6a070008f1a6befacd863b82</t>
  </si>
  <si>
    <t>Pune NSO PMC FA - NSO Campaign</t>
  </si>
  <si>
    <t>Pune_NSO_ALDO_CX</t>
  </si>
  <si>
    <t>AL_x_VS_Pune</t>
  </si>
  <si>
    <t>Customers who have purchased at least 1 time with Txn_Brand: AL AND Txn_City: Pune</t>
  </si>
  <si>
    <t>19th - 24th May</t>
  </si>
  <si>
    <t>6a0afb96b4d8997eb02fb1ea</t>
  </si>
  <si>
    <t>Pune_NSO_CK_CX</t>
  </si>
  <si>
    <t>CK_x_VS_Pune</t>
  </si>
  <si>
    <t>Customers who have purchased at least 1 time with Txn_Brand: CK AND Txn_City: Pune</t>
  </si>
  <si>
    <t>6a0afbef65eb6c8bad30427c</t>
  </si>
  <si>
    <t>Pune_NSO_VS_CX</t>
  </si>
  <si>
    <t>VS_Pune_Base</t>
  </si>
  <si>
    <t>Customers who have purchased at least 1 time with Txn_City: Pune</t>
  </si>
  <si>
    <t>6a0b097a277fd7b0cc0f60f3</t>
  </si>
  <si>
    <t>Pune_NSO_ALDO_CX (FB)</t>
  </si>
  <si>
    <t>6a0b0f696737efd09ac91742</t>
  </si>
  <si>
    <t>Pune_NSO_CK_CX (FB)</t>
  </si>
  <si>
    <t>6a0b103f3807ef083667c2a1</t>
  </si>
  <si>
    <t>6a0c09316962ab240bd06c69</t>
  </si>
  <si>
    <t>Pune_NSO_VS_CX (FB)</t>
  </si>
  <si>
    <t>6a0b09bcc2ca07c3ca2733b1</t>
  </si>
  <si>
    <t>BC at 899 - Seasonal Body Care</t>
  </si>
  <si>
    <t>bbw_wa_seasonal_bcat899_20may_atc_wishlist_online</t>
  </si>
  <si>
    <t>BBW_ATC_View_Wishlist_NoPr_45D</t>
  </si>
  <si>
    <t>Customers who have added to cart or wishlisted items from item_category Body Care in the last 45D</t>
  </si>
  <si>
    <t>ATC/View</t>
  </si>
  <si>
    <t>20-22 May</t>
  </si>
  <si>
    <t>6a0c225f2119bde4ae588e04</t>
  </si>
  <si>
    <t>bbw_wa_seasonal_bcat899_20may_bcrepeat_online</t>
  </si>
  <si>
    <t>BBW_ON_BC_2_Times_45D_210D</t>
  </si>
  <si>
    <t>Online Customers who have purchased from L2: Body Care at least 2 times in between 45 days and 210 days ago</t>
  </si>
  <si>
    <t>6a0c22b1096ca7fc58edc0d8</t>
  </si>
  <si>
    <t>bbw_wa_seasonal_bcat899_20may_eventbuyers_online</t>
  </si>
  <si>
    <t>Online Customers who have purchased from L2: Body Care at least 1 time in between Oct 2 - Oct 5, 2025; Oct 16 - Oct 27, 2025; Jan 09- Jan 18, 2026; Feb 26 - Mar 3, 2026; Mar 27 - Mar 29, 2026; May 7 - May 12, 2026</t>
  </si>
  <si>
    <t>6a0c22da2d4b069025d9dccd</t>
  </si>
  <si>
    <t>bbw_wa_seasonal_bcat899_20may_bc_cart_value_online</t>
  </si>
  <si>
    <t>BBW_ON_BC_1100_1_time_365D</t>
  </si>
  <si>
    <t>Online Customers who have purchased at least 1 time with cart value below ₹1,100 in the last 365 days</t>
  </si>
  <si>
    <t>6a0c2302d869317b717dc754</t>
  </si>
  <si>
    <t>F&amp;F Clearance Sale_AG</t>
  </si>
  <si>
    <t>6a0d4dce0900aa4a5042922b</t>
  </si>
  <si>
    <t>SF2 3rd Anni promo - Flat 10% off</t>
  </si>
  <si>
    <t>SF2 3rd Anni promo_Day 1_event shoppers</t>
  </si>
  <si>
    <t>ck_onoff_pr_eventbuyers_6thMarch26</t>
  </si>
  <si>
    <t>Event shoppers</t>
  </si>
  <si>
    <t>22nd May to 25th May</t>
  </si>
  <si>
    <t>6a0d6b46e7854072f6b0c9f1</t>
  </si>
  <si>
    <t>SF2 3rd Anni promo_Day 1_dormant</t>
  </si>
  <si>
    <t>ck_online_dormant_29thapril_2026, CK_Dormant_Churned_Off</t>
  </si>
  <si>
    <t>Custom data upload (dormant)</t>
  </si>
  <si>
    <t>6a0d6b6ab190efedf7272216</t>
  </si>
  <si>
    <t>SF2 3rd Anni promo_Day 1_active</t>
  </si>
  <si>
    <t>ck_online_active_29thapril_2026, ck_onoff_pr_Recent_6thMarch26</t>
  </si>
  <si>
    <t>Custom data upload (active)</t>
  </si>
  <si>
    <t>6a0d6b90474e92e05fbabb40</t>
  </si>
  <si>
    <t>F&amp;F Clearance Sale_AG_fallback</t>
  </si>
  <si>
    <t>6a0d52c8b90eadf7e3db7c6e</t>
  </si>
  <si>
    <t>SF2 3rd Anni promo_Day 1_active-Fallback</t>
  </si>
  <si>
    <t>6a0d6cd9fdbc429c192e8297</t>
  </si>
  <si>
    <t>SF2 3rd Anni promo_Day 1_dormant_fallback</t>
  </si>
  <si>
    <t>6a0d6d1872a5b6bd4229b6d1</t>
  </si>
  <si>
    <t>SF2 3rd Anni promo_Day 1_event shoppers_fallback</t>
  </si>
  <si>
    <t>6a0d6d5ee5fd631e78489450</t>
  </si>
  <si>
    <t>Body Care at 899 - Seasonal Body Care</t>
  </si>
  <si>
    <t>bbw_smsfb_seasonal_bcat899_20may_atc_wishlist_online</t>
  </si>
  <si>
    <t>6a0c29f1875bbbf0975d930a</t>
  </si>
  <si>
    <t>bbw_smsfb_seasonal_bcat899_20may_bcrepeat_online</t>
  </si>
  <si>
    <t>6a0c2a229bec565f70999f1b</t>
  </si>
  <si>
    <t>bbw_smsfb_seasonal_bcat899_20may_eventbuyers_online</t>
  </si>
  <si>
    <t>6a0c2a4f9f2ebd597dc1713b</t>
  </si>
  <si>
    <t>bbw_smsfb_seasonal_bcat899_20may_bc_cart_value_online</t>
  </si>
  <si>
    <t>6a0c2a80059a46a375bbf8d6</t>
  </si>
  <si>
    <t>B2G2 - Entire Store</t>
  </si>
  <si>
    <t>bbw_smsfb_b2g2_closer_launch_21may_atc_wishlist_ea_online</t>
  </si>
  <si>
    <t>BBW_ON_B2G2_ATC_Wishlist_May_26</t>
  </si>
  <si>
    <t>6a0d928b67656a2621db5245</t>
  </si>
  <si>
    <t>bbw_smsfb_b2g2_closer_launch_21may_active_ea_online</t>
  </si>
  <si>
    <t>BBW_ON_B2G2_Active_May_26</t>
  </si>
  <si>
    <t>6a0d92d7bfaacf2921b92fa7</t>
  </si>
  <si>
    <t>bbw_smsfb_b2g2_closer_launch_21may_aov_3100_ea_online</t>
  </si>
  <si>
    <t>BBW_ON_B2G2_AOV_3100</t>
  </si>
  <si>
    <t>6a0d93115a895a6e8997a6f8</t>
  </si>
  <si>
    <t>bbw_smsfb_b2g2_closer_launch_21may_dormant_ea_online</t>
  </si>
  <si>
    <t>BBW_ON_B2G2_Dormant_May_26</t>
  </si>
  <si>
    <t>6a0d934ff54c5416579571ac</t>
  </si>
  <si>
    <t>bbw_wa_b2g2_closer_launch_21may_atc_wishlist_ea_online</t>
  </si>
  <si>
    <t>Customers who have added to cart or wishlist in the last 30 days</t>
  </si>
  <si>
    <t>21-23 May</t>
  </si>
  <si>
    <t>6a0d904163466e706067799f</t>
  </si>
  <si>
    <t>bbw_wa_b2g2_closer_launch_21may_active_ea_online</t>
  </si>
  <si>
    <t>Online Customers who have purchased at least 1 time in the last 90 days (TTR)</t>
  </si>
  <si>
    <t>6a0d90b7cc8227e2c09387d1</t>
  </si>
  <si>
    <t>bbw_wa_b2g2_closer_launch_21may_aov_3100_ea_online</t>
  </si>
  <si>
    <t>Online customers who have purchased in between 45 days ago and 260 days ago with AOV &gt; 3,100</t>
  </si>
  <si>
    <t>6a0d90ef5e72ae567dfb9ac8</t>
  </si>
  <si>
    <t>bbw_wa_b2g2_closer_launch_21may_dormant_ea_online</t>
  </si>
  <si>
    <t>Online Customers who have purchased at least 1 time in the last 365 days</t>
  </si>
  <si>
    <t>6a0d913fb5ff2e9a302bf930</t>
  </si>
  <si>
    <t>EMT - MAY 2026</t>
  </si>
  <si>
    <t>EMT_Round 3</t>
  </si>
  <si>
    <t>RB_OFF_Festive_1, RB_OFF_Festive_2, RB_OFF_Festive_3, RB_OFF_Festive_4, RB_OFF_Non_Festive_1, RB_OFF_Non_Festive_2, RB_OFF_Non_Festive_3, RB_OFF_Non_Festive_4</t>
  </si>
  <si>
    <t>Customers who have shopped at least once between Feb 19th 2026 to March 20th 2026 with Txn_Store_Code RB020, RB009, RB016, RB010, RB021, RB006, RB001, RB017, RB014, RB011, RB002, RB005, 1284, 1283, RB004, RB022, RB018, RB019, RB013, RB008, 1296, 1281, 1305, 1336, 1299, 1286, 1329, 1345, RB025</t>
  </si>
  <si>
    <t>22nd to 24th May</t>
  </si>
  <si>
    <t>6a0a995b4b6a2ecaaa855bbc</t>
  </si>
  <si>
    <t>bbw_smsfb_b2g2_closer_launch_22may_event_buyers_overall</t>
  </si>
  <si>
    <t>BBW_ON_OFF_B2G2_Event_Buyers</t>
  </si>
  <si>
    <t>6a0ec6c3ea246a2bbd83d4fd</t>
  </si>
  <si>
    <t>bbw_smsfb_b2g2_closer_launch_22may_active_blr_offline</t>
  </si>
  <si>
    <t>BBW_OFF_BLR_Active</t>
  </si>
  <si>
    <t>6a0ec7a05fd1fe67514fa84e</t>
  </si>
  <si>
    <t>bbw_smsfb_b2g2_closer_launch_22may_active_bom_offline</t>
  </si>
  <si>
    <t>BBW_OFF_BOM_Active</t>
  </si>
  <si>
    <t>6a0ec87c116fe7ce28f01aa3</t>
  </si>
  <si>
    <t>bbw_smsfb_b2g2_closer_launch_22may_active_ahd_offline</t>
  </si>
  <si>
    <t>BBW_OFF_AHD_Active</t>
  </si>
  <si>
    <t>6a0ecac839197e9b4c62e34a</t>
  </si>
  <si>
    <t>bbw_smsfb_b2g2_closer_launch_22may_active_pune_offline</t>
  </si>
  <si>
    <t>BBW_OFF_PUNE_Active</t>
  </si>
  <si>
    <t>6a0ecb6c34ad3f95150e935e</t>
  </si>
  <si>
    <t>bbw_smsfb_b2g2_closer_launch_22may_dormant_blr_offline</t>
  </si>
  <si>
    <t>BBW_OFF_BLR_Dorm</t>
  </si>
  <si>
    <t>6a0ecbb5312fd81bdb1ad951</t>
  </si>
  <si>
    <t>bbw_smsfb_b2g2_closer_launch_22may_dormant_bom_offline</t>
  </si>
  <si>
    <t>BBW_OFF_BOM_Dorm</t>
  </si>
  <si>
    <t>6a0ecc2ac664c32208e96b25</t>
  </si>
  <si>
    <t>bbw_smsfb_b2g2_closer_launch_22may_dormant_ahd_offline</t>
  </si>
  <si>
    <t>BBW_OFF_AHD_Dorm</t>
  </si>
  <si>
    <t>6a0ecc781d9927f101518ecb</t>
  </si>
  <si>
    <t>bbw_smsfb_b2g2_closer_launch_22may_dormant_pune_offline</t>
  </si>
  <si>
    <t>BBW_OFF_PUNE_Dorm</t>
  </si>
  <si>
    <t>6a0ecd11010732353386c9dc</t>
  </si>
  <si>
    <t>bbw_smsfb_b2g2_22may_active_del_offline</t>
  </si>
  <si>
    <t>BBW_OFF_DEL_Active</t>
  </si>
  <si>
    <t>6a0ecd59f21ef1e42b351df4</t>
  </si>
  <si>
    <t>bbw_smsfb_b2g2_22may_active_chenn_offline</t>
  </si>
  <si>
    <t>BBW_OFF_Chennai_Active</t>
  </si>
  <si>
    <t>6a0ece0baf7c9fe29567fc5e</t>
  </si>
  <si>
    <t>bbw_smsfb_b2g2_22may_active_hyd_offline</t>
  </si>
  <si>
    <t>BBW_OFF_HYD_Active</t>
  </si>
  <si>
    <t>6a0ece68577e8c659f0d908d</t>
  </si>
  <si>
    <t>bbw_smsfb_b2g2_22may_active_chd_offline</t>
  </si>
  <si>
    <t>BBW_OFF_CHD_Active</t>
  </si>
  <si>
    <t>6a0ecea7e41947d4aada9804</t>
  </si>
  <si>
    <t>bbw_smsfb_b2g2_22may_active_ggn_offline</t>
  </si>
  <si>
    <t>BBW_OFF_GGN_Active</t>
  </si>
  <si>
    <t>6a0eceeec664c32208e96be1</t>
  </si>
  <si>
    <t>bbw_smsfb_b2g2_22may_active_noida_offline</t>
  </si>
  <si>
    <t>BBW_OFF_NOIDA_Active</t>
  </si>
  <si>
    <t>6a0ecf23ea246a2bbd83d79c</t>
  </si>
  <si>
    <t>bbw_smsfb_b2g2_22may_active_thane_offline</t>
  </si>
  <si>
    <t>BBW_OFF_THANE_Active</t>
  </si>
  <si>
    <t>6a0ecf7115878987fb0c5202</t>
  </si>
  <si>
    <t>bbw_smsfb_b2g2_22may_active_vad_offline</t>
  </si>
  <si>
    <t>BBW_OFF_Vadodara_Active</t>
  </si>
  <si>
    <t>6a0ecfb00adbf18b48cea6b5</t>
  </si>
  <si>
    <t>bbw_smsfb_b2g2_22may_active_kochi_offline</t>
  </si>
  <si>
    <t>BBW_OFF_KOCHI_Active</t>
  </si>
  <si>
    <t>6a0ecff5ff44cb43c9a881fa</t>
  </si>
  <si>
    <t>bbw_smsfb_b2g2_22may_active_surat_offline</t>
  </si>
  <si>
    <t>BBW_OFF_Surat_Active</t>
  </si>
  <si>
    <t>6a0ed110116fe7ce28f01c65</t>
  </si>
  <si>
    <t>bbw_smsfb_b2g2_22may_dormant_del_offline</t>
  </si>
  <si>
    <t>BBW_OFF_DEL_Dorm</t>
  </si>
  <si>
    <t>6a0ed1ab742182b298b215ea</t>
  </si>
  <si>
    <t>bbw_smsfb_b2g2_22may_dormant_chenn_offline</t>
  </si>
  <si>
    <t>BBW_OFF_Chennai_Dorm</t>
  </si>
  <si>
    <t>6a0ed2e67ee2c479e128e0c7</t>
  </si>
  <si>
    <t>bbw_smsfb_b2g2_22may_dormant_hyd_offline</t>
  </si>
  <si>
    <t>BBW_OFF_HYD_Dorm</t>
  </si>
  <si>
    <t>6a0edac2b813fb13c3bdeefb</t>
  </si>
  <si>
    <t>bbw_smsfb_b2g2_22may_dormant_chd_offline</t>
  </si>
  <si>
    <t>BBW_OFF_CHD_Dorm</t>
  </si>
  <si>
    <t>6a0edbd1cef7ea6f77e880e0</t>
  </si>
  <si>
    <t>bbw_smsfb_b2g2_22may_dormant_ggn_offline</t>
  </si>
  <si>
    <t>BBW_OFF_GGN_Dorm</t>
  </si>
  <si>
    <t>6a0edc485376efb068192edf</t>
  </si>
  <si>
    <t>bbw_smsfb_b2g2_22may_dormant_noida_offline</t>
  </si>
  <si>
    <t>BBW_OFF_NOIDA_Dorm</t>
  </si>
  <si>
    <t>6a0edc968bfe61c28aec078c</t>
  </si>
  <si>
    <t>bbw_smsfb_b2g2_22may_dormant_thane_offline</t>
  </si>
  <si>
    <t>BBW_OFF_THANE_Dorm</t>
  </si>
  <si>
    <t>6a0edcd4d68f335fbd1b2caf</t>
  </si>
  <si>
    <t>bbw_smsfb_b2g2_22may_dormant_vad_offline</t>
  </si>
  <si>
    <t>BBW_OFF_Vadodara_Dorm</t>
  </si>
  <si>
    <t>6a0edd370adbf18b48ceaa7e</t>
  </si>
  <si>
    <t>bbw_smsfb_b2g2_22may_dormant_kochi_offline</t>
  </si>
  <si>
    <t>BBW_OFF_KOCHI_Dorm</t>
  </si>
  <si>
    <t>6a0edf4ef5b9b118b161caa7</t>
  </si>
  <si>
    <t>bbw_smsfb_b2g2_22may_dormant_surat_offline</t>
  </si>
  <si>
    <t>BBW_OFF_Surat_Dorm</t>
  </si>
  <si>
    <t>6a0edfbd39197e9b4c62ea94</t>
  </si>
  <si>
    <t>bbw_wa_b2g2_closer_launch_22may_event_buyers_overall</t>
  </si>
  <si>
    <t>Customers who have purchased between 25–27 Jul 2025, 09–10 Aug 2025, 14–17 Aug 2025, 02–05 Oct 2025, 17–21 Oct 2025, 23–26 Jan 2026, 13–15 Feb 2026, 04–08 Mar 2026</t>
  </si>
  <si>
    <t>22-24 May</t>
  </si>
  <si>
    <t>6a0eafc11fd6f271f2732071</t>
  </si>
  <si>
    <t>bbw_wa_b2g2_22may_active_del_offline</t>
  </si>
  <si>
    <t>All Offline Customers who have purchased at least 1 time from Txn_City DEL in the last 112 days (TTR)</t>
  </si>
  <si>
    <t>6a0eb0bc2fb3c5781da5eff0</t>
  </si>
  <si>
    <t>bbw_wa_b2g2_closer_launch_22may_active_blr_offline</t>
  </si>
  <si>
    <t>All Offline Customers who have purchased at least 1 time from Txn_City BLR in the last 112 days (TTR)</t>
  </si>
  <si>
    <t>6a0eb0f3a478cbcedd353976</t>
  </si>
  <si>
    <t>bbw_wa_b2g2_22may_active_chenn_offline</t>
  </si>
  <si>
    <t>All Offline Customers who have purchased at least 1 time from Txn_City CHENNAI in the last 112 days (TTR)</t>
  </si>
  <si>
    <t>6a0eb13398030da04e114c11</t>
  </si>
  <si>
    <t>bbw_wa_b2g2_closer_launch_22may_active_bom_offline</t>
  </si>
  <si>
    <t>All Offline Customers who have purchased at least 1 time from Txn_City BOM in the last 112 days (TTR)</t>
  </si>
  <si>
    <t>6a0eb14ae17bd097ac658bc2</t>
  </si>
  <si>
    <t>bbw_wa_b2g2_22may_active_hyd_offline</t>
  </si>
  <si>
    <t>All Offline Customers who have purchased at least 1 time from Txn_City HYD in the last 112 days (TTR)</t>
  </si>
  <si>
    <t>6a0eb17e0adbf18b48ce9bb7</t>
  </si>
  <si>
    <t>bbw_wa_b2g2_closer_launch_22may_active_ahd_offline</t>
  </si>
  <si>
    <t>All Offline Customers who have purchased at least 1 time from Txn_City AHD in the last 112 days (TTR)</t>
  </si>
  <si>
    <t>6a0eb1a37c643f09456b4f22</t>
  </si>
  <si>
    <t>bbw_wa_b2g2_22may_active_chd_offline</t>
  </si>
  <si>
    <t>All Offline Customers who have purchased at least 1 time from Txn_City CHD in the last 112 days (TTR)</t>
  </si>
  <si>
    <t>6a0eb1bdd49d44a8314a111a</t>
  </si>
  <si>
    <t>bbw_wa_b2g2_22may_active_ggn_offline</t>
  </si>
  <si>
    <t>All Offline Customers who have purchased at least 1 time from Txn_City GGN in the last 112 days (TTR)</t>
  </si>
  <si>
    <t>6a0eb215b8d54911844dff16</t>
  </si>
  <si>
    <t>bbw_wa_b2g2_closer_launch_22may_active_pune_offline</t>
  </si>
  <si>
    <t>All Offline Customers who have purchased at least 1 time from Txn_City PUNE in the last 112 days (TTR)</t>
  </si>
  <si>
    <t>6a0eb21a577e8c659f0d87a2</t>
  </si>
  <si>
    <t>bbw_wa_b2g2_22may_active_noida_offline</t>
  </si>
  <si>
    <t>All Offline Customers who have purchased at least 1 time from Txn_City NOIDA in the last 112 days (TTR)</t>
  </si>
  <si>
    <t>6a0eb255577e8c659f0d87aa</t>
  </si>
  <si>
    <t>bbw_wa_b2g2_22may_active_thane_offline</t>
  </si>
  <si>
    <t>All Offline Customers who have purchased at least 1 time from Txn_City THANE in the last 112 days (TTR)</t>
  </si>
  <si>
    <t>6a0eb292bbca0cf0cbfe691c</t>
  </si>
  <si>
    <t>bbw_wa_b2g2_closer_launch_22may_dormant_blr_offline</t>
  </si>
  <si>
    <t>All Offline Customers who have purchased at least 1 time from Txn_City BLR in the last 365 days excluding TTR purchasers</t>
  </si>
  <si>
    <t>6a0eb2fd76b8cbd9f7366cc5</t>
  </si>
  <si>
    <t>bbw_wa_b2g2_22may_active_vad_offline</t>
  </si>
  <si>
    <t>All Offline Customers who have purchased at least 1 time from Txn_City VADODARA in the last 112 days (TTR)</t>
  </si>
  <si>
    <t>6a0eb3389288015216795a73</t>
  </si>
  <si>
    <t>bbw_wa_b2g2_closer_launch_22may_dormant_bom_offline</t>
  </si>
  <si>
    <t>All Offline Customers who have purchased at least 1 time from Txn_City BOM in the last 365 days excluding TTR purchasers</t>
  </si>
  <si>
    <t>6a0eb349d49d44a8314a115d</t>
  </si>
  <si>
    <t>bbw_wa_b2g2_22may_active_kochi_offline</t>
  </si>
  <si>
    <t>All Offline Customers who have purchased at least 1 time from Txn_City KOCHI in the last 112 days (TTR)</t>
  </si>
  <si>
    <t>6a0eb36eff44cb43c9a87a31</t>
  </si>
  <si>
    <t>bbw_wa_b2g2_closer_launch_22may_dormant_ahd_offline</t>
  </si>
  <si>
    <t>All Offline Customers who have purchased at least 1 time from Txn_City AHD in the last 365 days excluding TTR purchasers</t>
  </si>
  <si>
    <t>6a0eb39f74e78fb8cdb2b9a7</t>
  </si>
  <si>
    <t>bbw_wa_b2g2_22may_active_surat_offline</t>
  </si>
  <si>
    <t>All Offline Customers who have purchased at least 1 time from Txn_City SURAT in the last 112 days (TTR)</t>
  </si>
  <si>
    <t>6a0eb3a50b57b74d3ca0ad5f</t>
  </si>
  <si>
    <t>bbw_wa_b2g2_closer_launch_22may_dormant_pune_offline</t>
  </si>
  <si>
    <t>All Offline Customers who have purchased at least 1 time from Txn_City PUNE in the last 365 days excluding TTR purchasers</t>
  </si>
  <si>
    <t>6a0eb3e0cf8e6c88a8fdedc6</t>
  </si>
  <si>
    <t>bbw_wa_b2g2_22may_dormant_del_offline</t>
  </si>
  <si>
    <t>All Offline Customers who have purchased at least 1 time from Txn_City DEL in the last 365 days excluding TTR purchasers</t>
  </si>
  <si>
    <t>6a0eb4015376efb068191e08</t>
  </si>
  <si>
    <t>bbw_wa_b2g2_22may_dormant_chenn_offline</t>
  </si>
  <si>
    <t>All Offline Customers who have purchased at least 1 time from Txn_City CHENNAI in the last 365 days excluding TTR purchasers</t>
  </si>
  <si>
    <t>6a0eb42b74e78fb8cdb2b9df</t>
  </si>
  <si>
    <t>bbw_wa_b2g2_22may_dormant_hyd_offline</t>
  </si>
  <si>
    <t>All Offline Customers who have purchased at least 1 time from Txn_City HYD in the last 365 days excluding TTR purchasers</t>
  </si>
  <si>
    <t>6a0eb4639ffb36e1db57f64c</t>
  </si>
  <si>
    <t>bbw_wa_b2g2_22may_dormant_chd_offline</t>
  </si>
  <si>
    <t>All Offline Customers who have purchased at least 1 time from Txn_City CHD in the last 365 days excluding TTR purchasers</t>
  </si>
  <si>
    <t>6a0eb4d5dc5408526b5f23a8</t>
  </si>
  <si>
    <t>bbw_wa_b2g2_22may_dormant_ggn_offline</t>
  </si>
  <si>
    <t>All Offline Customers who have purchased at least 1 time from Txn_City GGN in the last 365 days excluding TTR purchasers</t>
  </si>
  <si>
    <t>6a0eb50dcef7ea6f77e874d2</t>
  </si>
  <si>
    <t>bbw_wa_b2g2_22may_dormant_noida_offline</t>
  </si>
  <si>
    <t>All Offline Customers who have purchased at least 1 time from Txn_City NOIDA in the last 365 days excluding TTR purchasers</t>
  </si>
  <si>
    <t>6a0eb56f4d0f51eea57aebad</t>
  </si>
  <si>
    <t>bbw_wa_b2g2_22may_dormant_thane_offline</t>
  </si>
  <si>
    <t>All Offline Customers who have purchased at least 1 time from Txn_City THANE in the last 365 days excluding TTR purchasers</t>
  </si>
  <si>
    <t>6a0eb5b6fbc262fa8eb215c2</t>
  </si>
  <si>
    <t>bbw_wa_b2g2_22may_dormant_vad_offline</t>
  </si>
  <si>
    <t>All Offline Customers who have purchased at least 1 time from Txn_City VADODARA in the last 365 days excluding TTR purchasers</t>
  </si>
  <si>
    <t>6a0eb62db32c4b49d6ff56ed</t>
  </si>
  <si>
    <t>bbw_wa_b2g2_22may_dormant_kochi_offline</t>
  </si>
  <si>
    <t>All Offline Customers who have purchased at least 1 time from Txn_City Kochi in the last 365 days excluding TTR purchasers</t>
  </si>
  <si>
    <t>6a0eb66ffbc262fa8eb215e6</t>
  </si>
  <si>
    <t>bbw_wa_b2g2_22may_dormant_surat_offline</t>
  </si>
  <si>
    <t>All Offline Customers who have purchased at least 1 time from Txn_City Surat in the last 365 days excluding TTR purchasers</t>
  </si>
  <si>
    <t>6a0eb6b77ee2c479e128d9a0</t>
  </si>
  <si>
    <t>SF2 3rd Anni promo_Day 3_active</t>
  </si>
  <si>
    <t>24nd May to 25th May</t>
  </si>
  <si>
    <t>6a0d9a8868da8b20c6f89f02</t>
  </si>
  <si>
    <t>SF2 3rd Anni promo_Day 3_dormant</t>
  </si>
  <si>
    <t>6a0d9aa41fe3331d9ee8b59e</t>
  </si>
  <si>
    <t>SF2 3rd Anni promo_Day 3_event shoppers</t>
  </si>
  <si>
    <t>6a0d9abbf8bd0e2e8e872a2b</t>
  </si>
  <si>
    <t>bbw_wa_b2g2_23may_lastreminder_blr_offline</t>
  </si>
  <si>
    <t>BBW_OFF_BLR_Active, BBW_OFF_BLR_Dorm</t>
  </si>
  <si>
    <t>All Offline Customers who have purchased at least 1 time from Txn_City BLR in the last 112 days (TTR), All Offline Customers who have purchased at least 1 time from Txn_City BLR in the last 365 days excluding TTR purchasers</t>
  </si>
  <si>
    <t>23-25 May</t>
  </si>
  <si>
    <t>6a0eb88fb9a52b0d3fed724a</t>
  </si>
  <si>
    <t>bbw_wa_b2g2_23may_lastreminder_bom_offline</t>
  </si>
  <si>
    <t>BBW_OFF_BOM_Active, BBW_OFF_BOM_Dorm</t>
  </si>
  <si>
    <t>All Offline Customers who have purchased at least 1 time from Txn_City BOM in the last 112 days (TTR), All Offline Customers who have purchased at least 1 time from Txn_City BOM in the last 365 days excluding TTR purchasers</t>
  </si>
  <si>
    <t>6a0eb8f4b813fb13c3bde352</t>
  </si>
  <si>
    <t>bbw_wa_b2g2_23may_lastreminder_ahd_offline</t>
  </si>
  <si>
    <t>BBW_OFF_AHD_Active, BBW_OFF_AHD_Dorm</t>
  </si>
  <si>
    <t>All Offline Customers who have purchased at least 1 time from Txn_City AHD in the last 112 days (TTR), All Offline Customers who have purchased at least 1 time from Txn_City AHD in the last 365 days excluding TTR purchasers</t>
  </si>
  <si>
    <t>6a0eb938dc5408526b5f24e1</t>
  </si>
  <si>
    <t>bbw_wa_b2g2_23may_lastreminder_pune_offline</t>
  </si>
  <si>
    <t>BBW_OFF_PUNE_Active, BBW_OFF_PUNE_Dorm</t>
  </si>
  <si>
    <t>All Offline Customers who have purchased at least 1 time from Txn_City PUNE in the last 112 days (TTR), All Offline Customers who have purchased at least 1 time from Txn_City PUNE in the last 365 days excluding TTR purchasers</t>
  </si>
  <si>
    <t>6a0eb967dc5408526b5f24e8</t>
  </si>
  <si>
    <t>bbw_wa_b2g2_23may_lastreminder_del_offline</t>
  </si>
  <si>
    <t>BBW_OFF_DEL_Dorm, BBW_OFF_DEL_Active</t>
  </si>
  <si>
    <t>All Offline Customers who have purchased at least 1 time from Txn_City DEL in the last 365 days excluding TTR purchasers, All Offline Customers who have purchased at least 1 time from Txn_City DEL in the last 112 days (TTR)</t>
  </si>
  <si>
    <t>6a0eba3686965efbb600ed3c</t>
  </si>
  <si>
    <t>bbw_wa_b2g2_23may_lastreminder_hyd_offline</t>
  </si>
  <si>
    <t>BBW_OFF_HYD_Active, BBW_OFF_HYD_Dorm</t>
  </si>
  <si>
    <t>All Offline Customers who have purchased at least 1 time from Txn_City HYD in the last 112 days (TTR), All Offline Customers who have purchased at least 1 time from Txn_City HYD in the last 365 days excluding TTR purchasers</t>
  </si>
  <si>
    <t>6a0ebb6bf5b9b118b161bfee</t>
  </si>
  <si>
    <t>bbw_wa_b2g2_23may_lastreminder_chenn_offline</t>
  </si>
  <si>
    <t>BBW_OFF_Chennai_Dorm, BBW_OFF_Chennai_Active</t>
  </si>
  <si>
    <t>All Offline Customers who have purchased at least 1 time from Txn_City CHENNAI in the last 365 days excluding TTR purchasers, All Offline Customers who have purchased at least 1 time from Txn_City CHENNAI in the last 112 days (TTR)</t>
  </si>
  <si>
    <t>6a0ebbdb9288015216795e14</t>
  </si>
  <si>
    <t>bbw_wa_b2g2_23may_lastreminder_chd_offline</t>
  </si>
  <si>
    <t>BBW_OFF_CHD_Active, BBW_OFF_CHD_Dorm</t>
  </si>
  <si>
    <t>All Offline Customers who have purchased at least 1 time from Txn_City CHD in the last 112 days (TTR), All Offline Customers who have purchased at least 1 time from Txn_City CHD in the last 365 days excluding TTR purchasers</t>
  </si>
  <si>
    <t>6a0ebc1bea246a2bbd83d227</t>
  </si>
  <si>
    <t>bbw_wa_b2g2_23may_lastreminder_ggn_offline</t>
  </si>
  <si>
    <t>BBW_OFF_GGN_Active, BBW_OFF_GGN_Dorm</t>
  </si>
  <si>
    <t>All Offline Customers who have purchased at least 1 time from Txn_City GGN in the last 112 days (TTR), All Offline Customers who have purchased at least 1 time from Txn_City GGN in the last 365 days excluding TTR purchasers</t>
  </si>
  <si>
    <t>6a0ebc5174e78fb8cdb2bc02</t>
  </si>
  <si>
    <t>bbw_wa_b2g2_23may_lastreminder_noida_offline</t>
  </si>
  <si>
    <t>BBW_OFF_NOIDA_Active, BBW_OFF_NOIDA_Dorm</t>
  </si>
  <si>
    <t>All Offline Customers who have purchased at least 1 time from Txn_City NOIDA in the last 112 days (TTR), All Offline Customers who have purchased at least 1 time from Txn_City NOIDA in the last 365 days excluding TTR purchasers</t>
  </si>
  <si>
    <t>6a0ebc925fd1fe67514fa695</t>
  </si>
  <si>
    <t>bbw_wa_b2g2_23may_lastreminder_thane_offline</t>
  </si>
  <si>
    <t>BBW_OFF_THANE_Active, BBW_OFF_THANE_Dorm</t>
  </si>
  <si>
    <t>All Offline Customers who have purchased at least 1 time from Txn_City THANE in the last 112 days (TTR), All Offline Customers who have purchased at least 1 time from Txn_City THANE in the last 365 days excluding TTR purchasers</t>
  </si>
  <si>
    <t>6a0ebcda0bc4ced6d8b9efc7</t>
  </si>
  <si>
    <t>bbw_wa_b2g2_23may_lastreminder_vad_offline</t>
  </si>
  <si>
    <t>BBW_OFF_Vadodara_Active, BBW_OFF_Vadodara_Dorm</t>
  </si>
  <si>
    <t>All Offline Customers who have purchased at least 1 time from Txn_City VADODARA in the last 112 days (TTR), All Offline Customers who have purchased at least 1 time from Txn_City VADODARA in the last 365 days excluding TTR purchasers</t>
  </si>
  <si>
    <t>6a0ebd68bc559407e3ef630a</t>
  </si>
  <si>
    <t>bbw_wa_b2g2_23may_lastreminder_kochi_offline</t>
  </si>
  <si>
    <t>BBW_OFF_KOCHI_Active, BBW_OFF_KOCHI_Dorm</t>
  </si>
  <si>
    <t>All Offline Customers who have purchased at least 1 time from Txn_City KOCHI in the last 112 days (TTR), All Offline Customers who have purchased at least 1 time from Txn_City Kochi in the last 365 days excluding TTR purchasers</t>
  </si>
  <si>
    <t>6a0ebe00cf8e6c88a8fdf11b</t>
  </si>
  <si>
    <t>bbw_wa_b2g2_23may_lastreminder_surat_offline</t>
  </si>
  <si>
    <t>BBW_OFF_Surat_Active, BBW_OFF_Surat_Dorm</t>
  </si>
  <si>
    <t>All Offline Customers who have purchased at least 1 time from Txn_City SURAT in the last 112 days (TTR), All Offline Customers who have purchased at least 1 time from Txn_City Surat in the last 365 days excluding TTR purchasers</t>
  </si>
  <si>
    <t>6a0ebe325376efb068192269</t>
  </si>
  <si>
    <t>SF2 3rd Anni promo_Day 3_active-Fallback</t>
  </si>
  <si>
    <t>6a0d9ce8798618a80f5ef1a7</t>
  </si>
  <si>
    <t>SF2 3rd Anni promo_Day 3_dormant_fallback</t>
  </si>
  <si>
    <t>6a0d9cf1afbbdc30074b0a42</t>
  </si>
  <si>
    <t>SF2 3rd Anni promo_Day 3_event shoppers_fallback</t>
  </si>
  <si>
    <t>6a0d9cfc1839c918ef9b4f24</t>
  </si>
  <si>
    <t>bbw_smsfb_b2g2_23may_lastreminder_blr_offline</t>
  </si>
  <si>
    <t>6a0ee0758bfe61c28aec08c2</t>
  </si>
  <si>
    <t>bbw_smsfb_b2g2_23may_lastreminder_bom_offline</t>
  </si>
  <si>
    <t>6a0ee0b9dc5408526b5f31f2</t>
  </si>
  <si>
    <t>bbw_smsfb_b2g2_23may_lastreminder_ahd_offline</t>
  </si>
  <si>
    <t>6a0ee107e8308b32d0b4c37d</t>
  </si>
  <si>
    <t>bbw_smsfb_b2g2_23may_lastreminder_pune_offline</t>
  </si>
  <si>
    <t>6a0ee1600cadc699e98c92c7</t>
  </si>
  <si>
    <t>bbw_smsfb_b2g2_23may_lastreminder_del_offline</t>
  </si>
  <si>
    <t>6a0ee1accef7ea6f77e88324</t>
  </si>
  <si>
    <t>bbw_smsfb_b2g2_23may_lastreminder_chenn_offline</t>
  </si>
  <si>
    <t>6a0ee2896432da318f4bf89e</t>
  </si>
  <si>
    <t>bbw_smsfb_b2g2_23may_lastreminder_hyd_offline</t>
  </si>
  <si>
    <t>6a0ee2cefdad890eedb9a7c3</t>
  </si>
  <si>
    <t>bbw_smsfb_b2g2_23may_lastreminder_chd_offline</t>
  </si>
  <si>
    <t>6a0ee385bc559407e3ef6d2a</t>
  </si>
  <si>
    <t>bbw_smsfb_b2g2_23may_lastreminder_ggn_offline</t>
  </si>
  <si>
    <t>6a0ee3deb729262a4f4a42b0</t>
  </si>
  <si>
    <t>bbw_smsfb_b2g2_23may_lastreminder_noida_offline</t>
  </si>
  <si>
    <t>6a0ee42eb729262a4f4a42e2</t>
  </si>
  <si>
    <t>bbw_smsfb_b2g2_23may_lastreminder_thane_offline</t>
  </si>
  <si>
    <t>6a0ee4da7c643f09456b5e4f</t>
  </si>
  <si>
    <t>bbw_smsfb_b2g2_23may_lastreminder_vad_offline</t>
  </si>
  <si>
    <t>6a0ee53fbef628bb6526ad17</t>
  </si>
  <si>
    <t>bbw_smsfb_b2g2_23may_lastreminder_kochi_offline</t>
  </si>
  <si>
    <t>6a0ee584145a8d43b3fbc429</t>
  </si>
  <si>
    <t>bbw_smsfb_b2g2_23may_lastreminder_surat_offline</t>
  </si>
  <si>
    <t>6a0ee5c3c664c32208e9735d</t>
  </si>
  <si>
    <t>SF2 3rd Anni promo_Day 4_active</t>
  </si>
  <si>
    <t>25th May</t>
  </si>
  <si>
    <t>6a0d9ad64e93f662e6b5b731</t>
  </si>
  <si>
    <t>SF2 3rd Anni promo_Day 4_dormant</t>
  </si>
  <si>
    <t>6a0d9aef68da8b20c6f89f3f</t>
  </si>
  <si>
    <t>SF2 3rd Anni promo_Day 4_event shoppers</t>
  </si>
  <si>
    <t>6a0d9b08adc58dfcaff6b9a8</t>
  </si>
  <si>
    <t>SF2 3rd Anni promo_Day 4_active-Fallback</t>
  </si>
  <si>
    <t>6a0eac40a3a40e15684e97a4</t>
  </si>
  <si>
    <t>SF2 3rd Anni promo_Day 4_dormant_fallback</t>
  </si>
  <si>
    <t>6a0eacf2c9991e9cfb6778d7</t>
  </si>
  <si>
    <t>SF2 3rd Anni promo_Day 4_event shoppers_fallback</t>
  </si>
  <si>
    <t>6a0eadcd602c98d5faa15fd7</t>
  </si>
  <si>
    <t>bbw_smsfb_b2g2_24may_mktcity_blr_offline</t>
  </si>
  <si>
    <t>BBW_MktCity_Blr_Base</t>
  </si>
  <si>
    <t>6a0ee62aaa0fc8d3bc854f8d</t>
  </si>
  <si>
    <t>bbw_smsfb_b2g2_24may_lastreminder_atc_wishlist_online</t>
  </si>
  <si>
    <t>6a0ee66039197e9b4c62ebc0</t>
  </si>
  <si>
    <t>bbw_smsfb_b2g2_24may_lastreminder_active_online</t>
  </si>
  <si>
    <t>6a0ee692b8d54911844e0c6d</t>
  </si>
  <si>
    <t>bbw_smsfb_b2g2_24may_lastreminder_aov_3100_online</t>
  </si>
  <si>
    <t>6a0ee6cec01871ba2b7bdb86</t>
  </si>
  <si>
    <t>bbw_smsfb_b2g2_24may_lastreminder_dormant_online</t>
  </si>
  <si>
    <t>6a0ee6fe36782d30ef1d02a2</t>
  </si>
  <si>
    <t>bbw_smsfb_b2g2_24may_event_buyers_lastreminder_overall</t>
  </si>
  <si>
    <t>6a0ee72818ddf9c6eea1b229</t>
  </si>
  <si>
    <t>bbw_wa_b2g2_24may_mktcity_blr_offline</t>
  </si>
  <si>
    <t>Offline Customers who have purchased at least once from Txn_Store_Name: BBW Market City Bangalore</t>
  </si>
  <si>
    <t>24-26 May</t>
  </si>
  <si>
    <t>6a0eb891fa4944fc02c53aff</t>
  </si>
  <si>
    <t>bbw_wa_b2g2_24may_lastreminder_atc_wishlist_online</t>
  </si>
  <si>
    <t>6a0eb8da9ffb36e1db57f7ec</t>
  </si>
  <si>
    <t>bbw_wa_b2g2_24may_lastreminder_active_online</t>
  </si>
  <si>
    <t>6a0eb93076b8cbd9f7366f24</t>
  </si>
  <si>
    <t>bbw_wa_b2g2_24may_lastreminder_aov_3100_online</t>
  </si>
  <si>
    <t>6a0eb96a0cadc699e98c892e</t>
  </si>
  <si>
    <t>bbw_wa_b2g2_24may_lastreminder_dormant_online</t>
  </si>
  <si>
    <t>6a0eb9c65fd1fe67514fa5ad</t>
  </si>
  <si>
    <t>bbw_wa_b2g2_24may_event_buyers_lastreminder_overall</t>
  </si>
  <si>
    <t>6a0eba30aa0fc8d3bc854288</t>
  </si>
  <si>
    <t>bbw_wa_seasonal_bcat899_27may_atc_wishlist_online</t>
  </si>
  <si>
    <t>27-29 May</t>
  </si>
  <si>
    <t>6a14430e44ff5efdb9fc470d</t>
  </si>
  <si>
    <t>bbw_wa_seasonal_bcat899_27may_bcrepeat_online</t>
  </si>
  <si>
    <t>6a14433d705003a2235bb78b</t>
  </si>
  <si>
    <t>bbw_wa_seasonal_bcat899_27may_eventbuyers_online</t>
  </si>
  <si>
    <t>6a14435e3bdcd875f5add82b</t>
  </si>
  <si>
    <t>bbw_wa_seasonal_bcat899_27may_bc_cart_value_online</t>
  </si>
  <si>
    <t>6a1443836fb3131fbf6ca44f</t>
  </si>
  <si>
    <t>HS TITBI - Hand Soaps</t>
  </si>
  <si>
    <t>bbw_wa_hs_titbi_ea_28may_atc_online</t>
  </si>
  <si>
    <t>BBW_ON_ATC_HS_HC_Value_999</t>
  </si>
  <si>
    <t>Customers who have added to cart at least 1 times in the last 30 days from L2: Hand Soaps or L3: Hand Creams or Cart Value &lt;999</t>
  </si>
  <si>
    <t>28-30 May</t>
  </si>
  <si>
    <t>6a16935022fd1102663bf317</t>
  </si>
  <si>
    <t>bbw_wa_hs_titbi_ea_28may_active_overall</t>
  </si>
  <si>
    <t>BBW_ON_OFF_ACTIVE_HS_HC</t>
  </si>
  <si>
    <t>Customers who have purchased at least 1 time from Hand soaps, hand creams, travel size, cleansers in the last 109 days</t>
  </si>
  <si>
    <t>6a169381d4806ccd4592e2a4</t>
  </si>
  <si>
    <t>bbw_wa_hs_titbi_ea_28may_dorm_overall</t>
  </si>
  <si>
    <t>BBW_ON_OFF_DORM_HS_HC</t>
  </si>
  <si>
    <t>Customers who have purchased at least 1 time from Hand soaps, hand creams, travel size, cleansers in the last 365 days</t>
  </si>
  <si>
    <t>6a1693ac07a3c7a0736a6b8e</t>
  </si>
  <si>
    <t>bbw_wa_hs_titbi_ea_28may_predom_800_online</t>
  </si>
  <si>
    <t>BBW_ON_PREDOM_800_Below</t>
  </si>
  <si>
    <t>Online Customers who have purchased at least 2 times PREDOM with cart value &lt;799 in the last 365 days</t>
  </si>
  <si>
    <t>6a16950407a3c7a0736a6bee</t>
  </si>
  <si>
    <t>bbw_wa_hs_titbi_ea_28may_event_online</t>
  </si>
  <si>
    <t>BBW_ON_HS_Event_Buyers</t>
  </si>
  <si>
    <t>Online Customer who have purchased from past handsoap events (30 may - 1 june, 20-21 aug, 14-16 oct, 5-7 nov)</t>
  </si>
  <si>
    <t>6a1695cd276174d9270ba6f9</t>
  </si>
  <si>
    <t>bbw_wa_hs_titbi_31may_lastreminder_atc_online</t>
  </si>
  <si>
    <t>31-2 June</t>
  </si>
  <si>
    <t>6a1696327976a02713736f6e</t>
  </si>
  <si>
    <t>bbw_wa_hs_titbi_31may_lastreminder_active_overall</t>
  </si>
  <si>
    <t>6a1696601ee46deec1116491</t>
  </si>
  <si>
    <t>bbw_wa_hs_titbi_31may_lastreminder_dorm_overall</t>
  </si>
  <si>
    <t>6a16973033ffbd6ef6d01787</t>
  </si>
  <si>
    <t>bbw_wa_hs_titbi_31may_lastreminder_predom_800_online</t>
  </si>
  <si>
    <t>6a1697de6dfdc7313109b424</t>
  </si>
  <si>
    <t>bbw_wa_hs_titbi_31may_lastreminder_event_online</t>
  </si>
  <si>
    <t>6a16981703de81ac6016ecef</t>
  </si>
  <si>
    <t>BC Tier Discount - Body Care</t>
  </si>
  <si>
    <t>bbw_wa_bc_tier_discount_29may_lastreminder_repeat_online</t>
  </si>
  <si>
    <t>30-1 June</t>
  </si>
  <si>
    <t>6a16d3ec17e00852222428ea</t>
  </si>
  <si>
    <t>bbw_wa_bc_tier_discount_29may_repeat_online</t>
  </si>
  <si>
    <t>29-31 May</t>
  </si>
  <si>
    <t>6a16d7e07361e6e5a27b503c</t>
  </si>
  <si>
    <t>bbw_wa_bc_tier_discount_29may_atc_view_online</t>
  </si>
  <si>
    <t>6a16d8383a3149bb23944953</t>
  </si>
  <si>
    <t>bbw_wa_bc_tier_discount_29may_event&amp;dormant_online</t>
  </si>
  <si>
    <t>6a16d88f4c64d7cee91e2c55</t>
  </si>
  <si>
    <t>bbw_wa_bc_tier_discount_29may_repeat_offline</t>
  </si>
  <si>
    <t>Offline customers who have purchased L2: BodyCare at least 2 times in the last 180 days</t>
  </si>
  <si>
    <t>6a16d8d64862ac8e64f319c4</t>
  </si>
  <si>
    <t>bbw_wa_bc_tier_discount_29may_aov_offline</t>
  </si>
  <si>
    <t>6a16d91648fc80ba2aa03618</t>
  </si>
  <si>
    <t>bbw_wa_bc_tier_discount_29may_event_offline</t>
  </si>
  <si>
    <t>Offline customers who have purchased at least 1 time from L2: BodyCare in between Oct 2 - Oct 5, 2025; Oct 16 - Oct 27, 2025; Jan 09- Jan 18, 2026; Feb 26 - Mar 3, 2026; Mar 27 - Mar 29, 2026</t>
  </si>
  <si>
    <t>6a16d9b430856fef15f5bc62</t>
  </si>
  <si>
    <t>bbw_wa_bc_tier_discount_29may_dormant_offline</t>
  </si>
  <si>
    <t>Offline customers who have purchased atleast 1 times from L2: BodyCare in between the last 90-365 Days</t>
  </si>
  <si>
    <t>Dormant - Body Care</t>
  </si>
  <si>
    <t>6a16dc9d953002ee57797ee1</t>
  </si>
  <si>
    <t>bbw_wa_bc_tier_discount_29may_disc_buyers_offline</t>
  </si>
  <si>
    <t>6a16dcc4230c072e6d6ce06b</t>
  </si>
  <si>
    <t>bbw_wa_bc_tier_discount_29may_lastreminder_atc_view_online</t>
  </si>
  <si>
    <t>6a16dd59230c072e6d6ce07c</t>
  </si>
  <si>
    <t>bbw_wa_bc_tier_discount_29may_lastreminder_event&amp;dormant_online</t>
  </si>
  <si>
    <t>6a16e1d5d5d75ab7380da145</t>
  </si>
  <si>
    <t>bbw_wa_bc_tier_discount_29may_lastreminder_repeat_offline</t>
  </si>
  <si>
    <t>6a16e24c7824897b17f9763e</t>
  </si>
  <si>
    <t>bbw_wa_bc_tier_discount_29may_lastreminder_aov_offline</t>
  </si>
  <si>
    <t>6a16e2d63d25c39d8d64dbd5</t>
  </si>
  <si>
    <t>bbw_wa_bc_tier_discount_29may_lastreminder_event_offline</t>
  </si>
  <si>
    <t>6a16e314230c072e6d6ce1de</t>
  </si>
  <si>
    <t>bbw_wa_bc_tier_discount_29may_lastreminder_dormant_offline</t>
  </si>
  <si>
    <t>6a16e347151c8481576e6cf1</t>
  </si>
  <si>
    <t>bbw_wa_bc_tier_discount_29may_lastreminder_disc_buyers_offline</t>
  </si>
  <si>
    <t>6a16e38061e00e2406c1331e</t>
  </si>
  <si>
    <t>CIS_40_LONGWEEKEND new</t>
  </si>
  <si>
    <t>29th May - 1st June</t>
  </si>
  <si>
    <t>6a16e7179461cdd737b90ff7</t>
  </si>
  <si>
    <t>bbw_smsfb_seasonal_bcat899_27may_atc_wishlist_online</t>
  </si>
  <si>
    <t>6a1443ecd6a78f49d8e08513</t>
  </si>
  <si>
    <t>bbw_smsfb_seasonal_bcat899_27may_bcrepeat_online</t>
  </si>
  <si>
    <t>6a14443d589959eeeacbd708</t>
  </si>
  <si>
    <t>bbw_smsfb_seasonal_bcat899_27may_eventbuyers_online</t>
  </si>
  <si>
    <t>6a14446f0bedf45eb79cc301</t>
  </si>
  <si>
    <t>bbw_smsfb_seasonal_bcat899_27may_bc_cart_value_online</t>
  </si>
  <si>
    <t>6a1444b1074736769438121e</t>
  </si>
  <si>
    <t>bbw_smsfb_bc_tier_discount_29may_repeat_offline</t>
  </si>
  <si>
    <t>6a17e4d14c61f611809c6bfa</t>
  </si>
  <si>
    <t>bbw_smsfb_bc_tier_discount_29may_aov_offline</t>
  </si>
  <si>
    <t>6a17e5093d8ee0c77da9a494</t>
  </si>
  <si>
    <t>bbw_smsfb_bc_tier_discount_29may_event_offline</t>
  </si>
  <si>
    <t>6a17e5464c61f611809c6c3a</t>
  </si>
  <si>
    <t>bbw_smsfb_bc_tier_discount_29may_dormant_offline</t>
  </si>
  <si>
    <t>6a17e578ca0c325dda316bad</t>
  </si>
  <si>
    <t>bbw_smsfb_bc_tier_discount_29may_disc_buyers_offline</t>
  </si>
  <si>
    <t>6a17e5d604661f239d6f533e</t>
  </si>
  <si>
    <t>bbw_smsfb_bc_tier_discount_29may_lastreminder_repeat_offline</t>
  </si>
  <si>
    <t>6a17e6f2c5b9c346603bb7d5</t>
  </si>
  <si>
    <t>bbw_smsfb_bc_tier_discount_29may_lastreminder_aov_offline</t>
  </si>
  <si>
    <t>6a17e73bd5d75ab7380db1fb</t>
  </si>
  <si>
    <t>bbw_smsfb_bc_tier_discount_29may_lastreminder_event_offline</t>
  </si>
  <si>
    <t>6a17e8a54e0b7d226c975bca</t>
  </si>
  <si>
    <t>bbw_smsfb_bc_tier_discount_29may_lastreminder_dormant_offline</t>
  </si>
  <si>
    <t>6a17e8fcbf1bc42d5ac29a3f</t>
  </si>
  <si>
    <t>bbw_smsfb_bc_tier_discount_29may_lastreminder_disc_buyers_offline</t>
  </si>
  <si>
    <t>6a17e9306836da5c57556307</t>
  </si>
  <si>
    <t>bbw_smsfb_hs_titbi_ea_28may_atc_online</t>
  </si>
  <si>
    <t>6a1698f1089d7e476aef9470</t>
  </si>
  <si>
    <t>bbw_smsfb_hs_titbi_ea_28may_predom_800_online</t>
  </si>
  <si>
    <t>6a169a680ff905b07f8c33ce</t>
  </si>
  <si>
    <t>bbw_smsfb_hs_titbi_ea_28may_event_online</t>
  </si>
  <si>
    <t>6a169bb5d8e157bd27f86fd3</t>
  </si>
  <si>
    <t>bbw_smsfb_hs_titbi_31may_lastreminder_atc_online</t>
  </si>
  <si>
    <t>6a169d84faeb566e465638bc</t>
  </si>
  <si>
    <t>bbw_smsfb_hs_titbi_31may_lastreminder_predom_800_online</t>
  </si>
  <si>
    <t>6a169fd36209ef70a0b69b94</t>
  </si>
  <si>
    <t>bbw_smsfb_hs_titbi_31may_lastreminder_event_online</t>
  </si>
  <si>
    <t>6a16a10bf3389b1e0e65ab51</t>
  </si>
  <si>
    <t>bbw_smsfb_bc_tier_discount_29may_repeat_online</t>
  </si>
  <si>
    <t>6a17d61e46cc1de0ddfecd6a</t>
  </si>
  <si>
    <t>bbw_smsfb_bc_tier_discount_29may_atc_view_online</t>
  </si>
  <si>
    <t>6a17d668e9d081543251629b</t>
  </si>
  <si>
    <t>bbw_smsfb_bc_tier_discount_29may_event&amp;dormant_online</t>
  </si>
  <si>
    <t>6a17e3eea23a8c50a0aaf918</t>
  </si>
  <si>
    <t>bbw_smsfb_bc_tier_discount_29may_lastreminder_repeat_online</t>
  </si>
  <si>
    <t>6a17e629230c072e6d6cf393</t>
  </si>
  <si>
    <t>bbw_smsfb_bc_tier_discount_29may_lastreminder_atc_view_online</t>
  </si>
  <si>
    <t>6a17e654f45f1cf360b849ac</t>
  </si>
  <si>
    <t>bbw_smsfb_bc_tier_discount_29may_lastreminder_event&amp;dormant_online</t>
  </si>
  <si>
    <t>6a17e6a37716fb65e8b65102</t>
  </si>
  <si>
    <t>bbw_smsfb_hs_titbi_ea_28may_active_overall</t>
  </si>
  <si>
    <t>6a1699337976a0271373705c</t>
  </si>
  <si>
    <t>bbw_smsfb_hs_titbi_ea_28may_dorm_overall</t>
  </si>
  <si>
    <t>6a1699dc7976a027137370bf</t>
  </si>
  <si>
    <t>bbw_smsfb_hs_titbi_31may_lastreminder_active_overall</t>
  </si>
  <si>
    <t>6a169de8354d6942a6af4369</t>
  </si>
  <si>
    <t>bbw_smsfb_hs_titbi_31may_lastreminder_dorm_overall</t>
  </si>
  <si>
    <t>6a169f6d354d6942a6af43cd</t>
  </si>
  <si>
    <t>CIS_40_Longweekend</t>
  </si>
  <si>
    <t>6a17df5046cc1de0ddfecf98</t>
  </si>
  <si>
    <t>CIS_40_LONGWEEKEND rcs</t>
  </si>
  <si>
    <t>6a16f177924e671fe7e8a975</t>
  </si>
  <si>
    <t>Summer new arrivals_active</t>
  </si>
  <si>
    <t>CK_Active_Base, ck_online_active_29thapril_2026</t>
  </si>
  <si>
    <t xml:space="preserve">6th June - 13th June </t>
  </si>
  <si>
    <t>6a227f57c348f34ca9789340</t>
  </si>
  <si>
    <t>Summer new arrivals_dormant</t>
  </si>
  <si>
    <t>CK_Dormant_Base, ck_online_dormant_29thapril_2026</t>
  </si>
  <si>
    <t>6a228044377c9f6c47495a28</t>
  </si>
  <si>
    <t>Summer new_Charned</t>
  </si>
  <si>
    <t>CK_Churned_Base</t>
  </si>
  <si>
    <t>Churned customers</t>
  </si>
  <si>
    <t>6a22811fb19b24fe5d456459</t>
  </si>
  <si>
    <t>B2G2 - June'26 - Entire Store</t>
  </si>
  <si>
    <t>bbw_wa_b2g2_4june_atc_wishlist_ea_online</t>
  </si>
  <si>
    <t>4-6 June</t>
  </si>
  <si>
    <t>6a1d42ea0cc7746a7caa5048</t>
  </si>
  <si>
    <t>bbw_wa_b2g2_4june_active_ea_online</t>
  </si>
  <si>
    <t>6a1d430ee655fcb965a73e5e</t>
  </si>
  <si>
    <t>bbw_wa_b2g2_4june_aov_3100_ea_online</t>
  </si>
  <si>
    <t>6a1d433a6eaa30c3e60841c2</t>
  </si>
  <si>
    <t>bbw_wa_b2g2_4june_dormant_ea_online</t>
  </si>
  <si>
    <t>6a1d4374f17e90ae46cd291e</t>
  </si>
  <si>
    <t>bbw_wa_b2g2_5june_event_buyers_overall</t>
  </si>
  <si>
    <t>Customers who have purchased between 25–27 Jul 2025, 09–10 Aug 2025, 14–17 Aug 2025, 02–05 Oct 2025, 17–21 Oct 2025, 23–26 Jan 2026, 13–15 Feb 2026, 04–08 Mar 2026, 21-26 May 2026</t>
  </si>
  <si>
    <t>5-7 June</t>
  </si>
  <si>
    <t>6a1d664b8b36476505c87be5</t>
  </si>
  <si>
    <t>bbw_wa_b2g2_5june_active_blr_offline</t>
  </si>
  <si>
    <t>6a1d66766da484731ec3a7c5</t>
  </si>
  <si>
    <t>bbw_wa_b2g2_5june_active_bom_offline</t>
  </si>
  <si>
    <t>6a1d66fa6da484731ec3a7fe</t>
  </si>
  <si>
    <t>bbw_wa_b2g2_5june_active_ahd_offline</t>
  </si>
  <si>
    <t>6a1d69ff4ba4e78bce4314cd</t>
  </si>
  <si>
    <t>bbw_wa_b2g2_5june_active_pune_offline</t>
  </si>
  <si>
    <t>6a1d6a3e56d235adb1c79b68</t>
  </si>
  <si>
    <t>bbw_wa_b2g2_5june_dormant_blr_offline</t>
  </si>
  <si>
    <t>6a1d6a689dbb11f3e6945615</t>
  </si>
  <si>
    <t>bbw_wa_b2g2_5june_dormant_bom_offline</t>
  </si>
  <si>
    <t>6a1d6a9cab720b217248bf1a</t>
  </si>
  <si>
    <t>bbw_wa_b2g2_5june_dormant_ahd_offline</t>
  </si>
  <si>
    <t>6a1d6ad683e9cf7acc443df1</t>
  </si>
  <si>
    <t>bbw_wa_b2g2_5june_dormant_pune_offline</t>
  </si>
  <si>
    <t>6a1d6b2468231bfe1f6ad745</t>
  </si>
  <si>
    <t>bbw_wa_b2g2_5june_active_del_offline</t>
  </si>
  <si>
    <t>6a1d6b4b1d31394abfd9a0d6</t>
  </si>
  <si>
    <t>bbw_wa_b2g2_5june_active_chenn_offline</t>
  </si>
  <si>
    <t>6a1d6b76ab720b217248bf31</t>
  </si>
  <si>
    <t>bbw_wa_b2g2_5june_active_hyd_offline</t>
  </si>
  <si>
    <t>6a1d6bca0cc7746a7caa5c35</t>
  </si>
  <si>
    <t>bbw_wa_b2g2_5june_active_chd_offline</t>
  </si>
  <si>
    <t>6a1d6bf008e7462cc219ac40</t>
  </si>
  <si>
    <t>bbw_wa_b2g2_5june_active_ggn_offline</t>
  </si>
  <si>
    <t>6a1d6c22d090927829b0662b</t>
  </si>
  <si>
    <t>bbw_wa_b2g2_5june_active_noida_offline</t>
  </si>
  <si>
    <t>6a1d6c67c4c26cbb59108421</t>
  </si>
  <si>
    <t>bbw_wa_b2g2_5june_active_thane_offline</t>
  </si>
  <si>
    <t>6a1d6ca50cc7746a7caa5c4a</t>
  </si>
  <si>
    <t>bbw_wa_b2g2_5june_active_vad_offline</t>
  </si>
  <si>
    <t>6a1d6cf497f20d8d60d929a1</t>
  </si>
  <si>
    <t>bbw_wa_b2g2_5june_active_kochi_offline</t>
  </si>
  <si>
    <t>6a1d6d3f277a43d4ccee7ba8</t>
  </si>
  <si>
    <t>bbw_wa_b2g2_5june_active_surat_offline</t>
  </si>
  <si>
    <t>6a1d6d8bf20cd1a41c8ca184</t>
  </si>
  <si>
    <t>bbw_wa_b2g2_5june_dormant_del_offline</t>
  </si>
  <si>
    <t>6a1d6dbfd7c11ff146c3a8e0</t>
  </si>
  <si>
    <t>bbw_wa_b2g2_5june_dormant_chenn_offline</t>
  </si>
  <si>
    <t>6a1d6df1cfa6082428e97629</t>
  </si>
  <si>
    <t>bbw_wa_b2g2_5june_dormant_hyd_offline</t>
  </si>
  <si>
    <t>6a1d6e2469790039fe25e936</t>
  </si>
  <si>
    <t>bbw_wa_b2g2_5june_dormant_chd_offline</t>
  </si>
  <si>
    <t>6a1d6e4f1d31394abfd9a13b</t>
  </si>
  <si>
    <t>bbw_wa_b2g2_5june_dormant_ggn_offline</t>
  </si>
  <si>
    <t>6a1d6e85d0bc522a8417a360</t>
  </si>
  <si>
    <t>bbw_wa_b2g2_5june_dormant_noida_offline</t>
  </si>
  <si>
    <t>6a1d6eb3b5f9bb5598d8d1df</t>
  </si>
  <si>
    <t>bbw_wa_b2g2_5june_dormant_thane_offline</t>
  </si>
  <si>
    <t>6a1d6edf69790039fe25e98c</t>
  </si>
  <si>
    <t>bbw_wa_b2g2_5june_dormant_vad_offline</t>
  </si>
  <si>
    <t>6a1d6f03e1ec416cc71bf4a0</t>
  </si>
  <si>
    <t>bbw_wa_b2g2_5june_dormant_kochi_offline</t>
  </si>
  <si>
    <t>6a1d6f3e7d2abe05a9a0d426</t>
  </si>
  <si>
    <t>bbw_wa_b2g2_5june_dormant_surat_offline</t>
  </si>
  <si>
    <t>6a1d6f7757150fc6c81742d8</t>
  </si>
  <si>
    <t>bbw_wa_b2g2_6june_lastreminder_blr_offline</t>
  </si>
  <si>
    <t>6-8 June</t>
  </si>
  <si>
    <t>6a1e9c9cd00ea35ba9dd212c</t>
  </si>
  <si>
    <t>bbw_wa_b2g2_6june_lastreminder_bom_offline</t>
  </si>
  <si>
    <t>6a1e9cd3f1c84e52f5d2c39b</t>
  </si>
  <si>
    <t>bbw_wa_b2g2_6june_lastreminder_ahd_offline</t>
  </si>
  <si>
    <t>6a1e9d12457d8c0d09817290</t>
  </si>
  <si>
    <t>bbw_wa_b2g2_6june_lastreminder_pune_offline</t>
  </si>
  <si>
    <t>6a1e9d374ef88d8ff4e624f5</t>
  </si>
  <si>
    <t>bbw_wa_b2g2_6june_lastreminder_del_offline</t>
  </si>
  <si>
    <t>BBW_OFF_DEL_Active, BBW_OFF_DEL_Dorm</t>
  </si>
  <si>
    <t>All Offline Customers who have purchased at least 1 time from Txn_City DEL in the last 112 days (TTR), All Offline Customers who have purchased at least 1 time from Txn_City DEL in the last 365 days excluding TTR purchasers</t>
  </si>
  <si>
    <t>6a1e9e5dc5a91454409fc21d</t>
  </si>
  <si>
    <t>bbw_wa_b2g2_6june_lastreminder_chenn_offline</t>
  </si>
  <si>
    <t>BBW_OFF_Chennai_Active, BBW_OFF_Chennai_Dorm</t>
  </si>
  <si>
    <t>All Offline Customers who have purchased at least 1 time from Txn_City CHENNAI in the last 112 days (TTR), All Offline Customers who have purchased at least 1 time from Txn_City CHENNAI in the last 365 days excluding TTR purchasers</t>
  </si>
  <si>
    <t>6a1e9e924004b5a5cb7d964f</t>
  </si>
  <si>
    <t>bbw_wa_b2g2_6june_lastreminder_hyd_offline</t>
  </si>
  <si>
    <t>6a1e9ebfa6a7ccb733ef3ec6</t>
  </si>
  <si>
    <t>bbw_wa_b2g2_6june_lastreminder_chd_offline</t>
  </si>
  <si>
    <t>6a1e9eef88470852fa80d977</t>
  </si>
  <si>
    <t>bbw_wa_b2g2_6june_lastreminder_ggn_offline</t>
  </si>
  <si>
    <t>6a1ea0176914eb0e5e2d5e7d</t>
  </si>
  <si>
    <t>bbw_wa_b2g2_6june_lastreminder_noida_offline</t>
  </si>
  <si>
    <t>6a1ea0cab92ec58d664998dd</t>
  </si>
  <si>
    <t>bbw_wa_b2g2_6june_lastreminder_thane_offline</t>
  </si>
  <si>
    <t>6a1ea0f252a93967f5f3bc24</t>
  </si>
  <si>
    <t>bbw_wa_b2g2_6june_lastreminder_vad_offline</t>
  </si>
  <si>
    <t>6a1ea830457d8c0d09817601</t>
  </si>
  <si>
    <t>bbw_wa_b2g2_6june_lastreminder_kochi_offline</t>
  </si>
  <si>
    <t>6a1ea868b9f438d4d3f7dab1</t>
  </si>
  <si>
    <t>bbw_wa_b2g2_6june_lastreminder_surat_offline</t>
  </si>
  <si>
    <t>6a1ea8e2c01be27041e379b8</t>
  </si>
  <si>
    <t>bbw_wa_b2g2_7june_lastreminder_atc_wishlist_online</t>
  </si>
  <si>
    <t>7-9 June</t>
  </si>
  <si>
    <t>6a1ea9405a8f8c12b5504367</t>
  </si>
  <si>
    <t>bbw_wa_b2g2_7june_lastreminder_active_online</t>
  </si>
  <si>
    <t>6a1ea9802381fd751c9a49d5</t>
  </si>
  <si>
    <t>bbw_wa_b2g2_7june_lastreminder_aov_3100_online</t>
  </si>
  <si>
    <t>6a1ea9c146070445201babb1</t>
  </si>
  <si>
    <t>bbw_wa_b2g2_7june_lastreminder_dormant_online</t>
  </si>
  <si>
    <t>6a1eaa0033371aa067d0dcd4</t>
  </si>
  <si>
    <t>bbw_wa_b2g2_7june_event_buyers_lastreminder_overall</t>
  </si>
  <si>
    <t>6a1eaa3c286de375a1832e5c</t>
  </si>
  <si>
    <t>CIS_Sale</t>
  </si>
  <si>
    <t>CIS_EOSS_Weekone</t>
  </si>
  <si>
    <t>CIS_Base_ONOff_Unique, LaSenza_Cust_Base_5thJune26, CIS_Add_DataBase</t>
  </si>
  <si>
    <t xml:space="preserve">06th -9th </t>
  </si>
  <si>
    <t>6a228f896b8d9fb21b3338a7</t>
  </si>
  <si>
    <t>Summer new arrivals_active_fallback</t>
  </si>
  <si>
    <t>6a22821740021887f3557571</t>
  </si>
  <si>
    <t>Summer new arrivals_dormant_fallback</t>
  </si>
  <si>
    <t>6a2285d74a49747f96af9411</t>
  </si>
  <si>
    <t>Summer new_Charned_fallback</t>
  </si>
  <si>
    <t>6a2286154162dbb631c4bb89</t>
  </si>
  <si>
    <t>bbw_smsfb_b2g2_4june_atc_wishlist_ea_online</t>
  </si>
  <si>
    <t>6a1d45e7ec1ef81c1755daad</t>
  </si>
  <si>
    <t>bbw_smsfb_b2g2_4june_active_ea_online</t>
  </si>
  <si>
    <t>6a1d45fb2c2c804b2db6d67b</t>
  </si>
  <si>
    <t>bbw_smsfb_b2g2_4june_aov_3100_ea_online</t>
  </si>
  <si>
    <t>6a1d46094aeb59d29fa1e0e8</t>
  </si>
  <si>
    <t>bbw_smsfb_b2g2_4june_dormant_ea_online</t>
  </si>
  <si>
    <t>6a1d46237d2abe05a9a0c663</t>
  </si>
  <si>
    <t>bbw_smsfb_b2g2_5june_event_buyers_overall</t>
  </si>
  <si>
    <t>6a1d7137fe72533ebec1b8a4</t>
  </si>
  <si>
    <t>bbw_smsfb_b2g2_5june_active_blr_offline</t>
  </si>
  <si>
    <t>6a1d72f27057dc548dd35968</t>
  </si>
  <si>
    <t>bbw_smsfb_b2g2_5june_active_bom_offline</t>
  </si>
  <si>
    <t>6a1d73296eaa30c3e6084ff2</t>
  </si>
  <si>
    <t>bbw_smsfb_b2g2_5june_active_ahd_offline</t>
  </si>
  <si>
    <t>6a1d7359d7c11ff146c3ab11</t>
  </si>
  <si>
    <t>bbw_smsfb_b2g2_5june_active_pune_offline</t>
  </si>
  <si>
    <t>6a1d737b9fc2fa9b5786585a</t>
  </si>
  <si>
    <t>bbw_smsfb_b2g2_5june_dormant_blr_offline</t>
  </si>
  <si>
    <t>6a1d73b0216b048cdce9be9d</t>
  </si>
  <si>
    <t>bbw_smsfb_b2g2_5june_dormant_bom_offline</t>
  </si>
  <si>
    <t>6a1d73e67ba64ef65d0181fb</t>
  </si>
  <si>
    <t>bbw_smsfb_b2g2_5june_dormant_ahd_offline</t>
  </si>
  <si>
    <t>6a1d741f7057dc548dd359b2</t>
  </si>
  <si>
    <t>bbw_smsfb_b2g2_5june_dormant_pune_offline</t>
  </si>
  <si>
    <t>6a1d744ae1ec416cc71bf700</t>
  </si>
  <si>
    <t>bbw_smsfb_b2g2_5june_active_del_offline</t>
  </si>
  <si>
    <t>6a1d74717d2abe05a9a0d5bd</t>
  </si>
  <si>
    <t>bbw_smsfb_b2g2_5june_active_chenn_offline</t>
  </si>
  <si>
    <t>6a1d74aaaffd16f9544a94c6</t>
  </si>
  <si>
    <t>bbw_smsfb_b2g2_5june_active_hyd_offline</t>
  </si>
  <si>
    <t>6a1d74d2f981432cebac2163</t>
  </si>
  <si>
    <t>bbw_smsfb_b2g2_5june_active_chd_offline</t>
  </si>
  <si>
    <t>6a1d74fd9fc2fa9b5786586e</t>
  </si>
  <si>
    <t>bbw_smsfb_b2g2_5june_active_ggn_offline</t>
  </si>
  <si>
    <t>6a1d75548081f6b670463438</t>
  </si>
  <si>
    <t>bbw_smsfb_b2g2_5june_active_noida_offline</t>
  </si>
  <si>
    <t>6a1d7593e98cee3b525db428</t>
  </si>
  <si>
    <t>bbw_smsfb_b2g2_5june_active_thane_offline</t>
  </si>
  <si>
    <t>6a1d75cffb33e3538859d0ce</t>
  </si>
  <si>
    <t>bbw_smsfb_b2g2_5june_active_vad_offline</t>
  </si>
  <si>
    <t>6a1d768508e7462cc219b01d</t>
  </si>
  <si>
    <t>bbw_smsfb_b2g2_5june_dormant_kochi_offline</t>
  </si>
  <si>
    <t>6a1d798ef20cd1a41c8ca594</t>
  </si>
  <si>
    <t>bbw_smsfb_b2g2_5june_dormant_surat_offline</t>
  </si>
  <si>
    <t>6a1d79c8d090927829b06ba4</t>
  </si>
  <si>
    <t>bbw_smsfb_b2g2_5june_dormant_vad_offline</t>
  </si>
  <si>
    <t>6a1d7a6280b39c850ec43e66</t>
  </si>
  <si>
    <t>bbw_smsfb_b2g2_5june_active_kochi_offline</t>
  </si>
  <si>
    <t>6a1d7d9b8b36476505c88603</t>
  </si>
  <si>
    <t>bbw_smsfb_b2g2_5june_active_surat_offline</t>
  </si>
  <si>
    <t>6a1d7dbd9b5b5ffe21c8125a</t>
  </si>
  <si>
    <t>bbw_smsfb_b2g2_5june_dormant_del_offline</t>
  </si>
  <si>
    <t>6a1d7dfe8081f6b67046368b</t>
  </si>
  <si>
    <t>bbw_smsfb_b2g2_5june_dormant_chenn_offline</t>
  </si>
  <si>
    <t>6a1d7e233e6e7fc1fff85eb7</t>
  </si>
  <si>
    <t>bbw_smsfb_b2g2_5june_dormant_hyd_offline</t>
  </si>
  <si>
    <t>6a1d7e3ff981432cebac2405</t>
  </si>
  <si>
    <t>bbw_smsfb_b2g2_5june_dormant_chd_offline</t>
  </si>
  <si>
    <t>6a1d7e637d2abe05a9a0d954</t>
  </si>
  <si>
    <t>bbw_smsfb_b2g2_5june_dormant_ggn_offline</t>
  </si>
  <si>
    <t>6a1d7e854ba4e78bce431afb</t>
  </si>
  <si>
    <t>bbw_smsfb_b2g2_5june_dormant_noida_offline</t>
  </si>
  <si>
    <t>6a1d7ea5d090927829b06d03</t>
  </si>
  <si>
    <t>bbw_smsfb_b2g2_5june_dormant_thane_offline</t>
  </si>
  <si>
    <t>6a1d8061affd16f9544a98b1</t>
  </si>
  <si>
    <t>bbw_smsfb_b2g2_6june_lastreminder_blr_offline</t>
  </si>
  <si>
    <t>6a1eb3eb76a016b62a13a1aa</t>
  </si>
  <si>
    <t>bbw_smsfb_b2g2_6june_lastreminder_bom_offline</t>
  </si>
  <si>
    <t>6a1eb4366914eb0e5e2d668e</t>
  </si>
  <si>
    <t>bbw_smsfb_b2g2_6june_lastreminder_ahd_offline</t>
  </si>
  <si>
    <t>6a1eb4680e1b61df4c5bfe6c</t>
  </si>
  <si>
    <t>bbw_smsfb_b2g2_6june_lastreminder_pune_offline</t>
  </si>
  <si>
    <t>6a1eb48dbd8cae6f6de3e470</t>
  </si>
  <si>
    <t>bbw_smsfb_b2g2_6june_lastreminder_del_offline</t>
  </si>
  <si>
    <t>6a1eb4eb7d7fb6378e877908</t>
  </si>
  <si>
    <t>bbw_smsfb_b2g2_6june_lastreminder_chenn_offline</t>
  </si>
  <si>
    <t>6a1eb528f32ebf9da8ba89fb</t>
  </si>
  <si>
    <t>bbw_smsfb_b2g2_6june_lastreminder_hyd_offline</t>
  </si>
  <si>
    <t>6a1eb5609e5ae750f273819b</t>
  </si>
  <si>
    <t>bbw_smsfb_b2g2_6june_lastreminder_chd_offline</t>
  </si>
  <si>
    <t>6a1eb5a9634f0ba09a3602ed</t>
  </si>
  <si>
    <t>bbw_smsfb_b2g2_6june_lastreminder_ggn_offline</t>
  </si>
  <si>
    <t>6a1eb6a6e97af95774ad20a0</t>
  </si>
  <si>
    <t>bbw_smsfb_b2g2_6june_lastreminder_noida_offline</t>
  </si>
  <si>
    <t>6a1eb7188443ee161b9dc735</t>
  </si>
  <si>
    <t>bbw_smsfb_b2g2_6june_lastreminder_thane_offline</t>
  </si>
  <si>
    <t>6a1eb75a2526e670c726cd54</t>
  </si>
  <si>
    <t>bbw_smsfb_b2g2_6june_lastreminder_vad_offline</t>
  </si>
  <si>
    <t>6a1eb79c9e5ae750f273823b</t>
  </si>
  <si>
    <t>bbw_smsfb_b2g2_6june_lastreminder_kochi_offline</t>
  </si>
  <si>
    <t>6a1eb7ef81fef44d95c69a24</t>
  </si>
  <si>
    <t>bbw_smsfb_b2g2_6june_lastreminder_surat_offline</t>
  </si>
  <si>
    <t>6a1eb823d0741c0902720f4d</t>
  </si>
  <si>
    <t>bbw_smsfb_b2g2_7june_lastreminder_atc_wishlist_online</t>
  </si>
  <si>
    <t>6a1eb86d613cb3ec172b5b6c</t>
  </si>
  <si>
    <t>bbw_smsfb_b2g2_7june_lastreminder_active_online</t>
  </si>
  <si>
    <t>6a1eb8b36914eb0e5e2d67f0</t>
  </si>
  <si>
    <t>bbw_smsfb_b2g2_7june_lastreminder_aov_3100_online</t>
  </si>
  <si>
    <t>6a1eb9a9ff679d4945c557fb</t>
  </si>
  <si>
    <t>bbw_smsfb_b2g2_7june_lastreminder_dormant_online</t>
  </si>
  <si>
    <t>6a1eb9e03e0d528f8f179e32</t>
  </si>
  <si>
    <t>bbw_smsfb_b2g2_7june_event_buyers_lastreminder_overall</t>
  </si>
  <si>
    <t>6a1eba0a8c556d508440c2d4</t>
  </si>
  <si>
    <t>CIS_EOSS_WeekOne</t>
  </si>
  <si>
    <t>CIS_EOSS_RCS</t>
  </si>
  <si>
    <t>6a22904f2fa42956fe0f0198</t>
  </si>
  <si>
    <t>CIS_EOSS</t>
  </si>
  <si>
    <t>CIS_EOSS_CX</t>
  </si>
  <si>
    <t>12th-15th</t>
  </si>
  <si>
    <t>6a29308f90eb921b54333013</t>
  </si>
  <si>
    <t>ALDO_EOSS_JUNE-JULY 2026 - EOSS June &amp; July - Offer 30</t>
  </si>
  <si>
    <t>Comm1_EOSS_12June2026</t>
  </si>
  <si>
    <t>Customers who have added to cart at least 2 times in the last 90 days</t>
  </si>
  <si>
    <t>14th June 2026, Sunday</t>
  </si>
  <si>
    <t>6a2ab1accddbecd12368f943</t>
  </si>
  <si>
    <t>Comm2_EOSS_WA_12June2026</t>
  </si>
  <si>
    <t>Customers who have added to wishlist at least 1 time OR viewed_item at least 3 times in the last 90 days</t>
  </si>
  <si>
    <t>6a2ab5352541169c12117241</t>
  </si>
  <si>
    <t>Comm3_EOSS_WA_12thJune2026</t>
  </si>
  <si>
    <t>AL_ON_OFF_Event_Buyers_EOSS</t>
  </si>
  <si>
    <t>Customers who have purchased at least 1 time during the periods 30 April–4 May 2025, 20–29 June 2025, 19–22 July 2025, 25 November–5 December 2025, 12–19 December 2025, 25 December 2025–5 January 2026, or 30 April–4 May 2026. (EOSS, BOGO, Last year BF)</t>
  </si>
  <si>
    <t>6a2ab60f8505025763393105</t>
  </si>
  <si>
    <t>Comm4_EOSS_WA_12thJune2026</t>
  </si>
  <si>
    <t>AL_ON_OFF_DISC_PERC_30+</t>
  </si>
  <si>
    <t>Customers who have purchased at least 1 time with discount percentage exceeding 30% in the last 365 days</t>
  </si>
  <si>
    <t>Discount Buyers - 30% above</t>
  </si>
  <si>
    <t>6a2ab6e43b9b8778499ff622</t>
  </si>
  <si>
    <t>DIC_RPT_Comm4_EOSS_WA_12thJune2026</t>
  </si>
  <si>
    <t>AL_ON_OFF_DISC_RPT</t>
  </si>
  <si>
    <t>Customers who have purchased at least 2 times with discount in the last 365 days</t>
  </si>
  <si>
    <t>Discount Repeat Buyers</t>
  </si>
  <si>
    <t>6a2ab7c0537b85be484b37fe</t>
  </si>
  <si>
    <t>AL_Repeat_Comm4_EOSS_WA_12thJune2026</t>
  </si>
  <si>
    <t>Customers who have purchased at least 2 times in the last 365 days</t>
  </si>
  <si>
    <t>6a2ab8078505025763393131</t>
  </si>
  <si>
    <t>Dormant_Comm5_EOSS_WA12June2026</t>
  </si>
  <si>
    <t>AL_ON_OFF_Dormant_EOSS</t>
  </si>
  <si>
    <t>Customers who have purchased at least 1 time in the last 365 days</t>
  </si>
  <si>
    <t>6a2ab860c889bd1a3445edd1</t>
  </si>
  <si>
    <t>Churned_Comm5_EOSS_WA12June2026</t>
  </si>
  <si>
    <t>AL_ON_OFF_Churned_Rpt_EOSS</t>
  </si>
  <si>
    <t>Customers who have purchased at least 2 times in the last 1095 days</t>
  </si>
  <si>
    <t>Churned Repeat</t>
  </si>
  <si>
    <t>6a2ab8dc4f732049db4234ae</t>
  </si>
  <si>
    <t>On_OFF_Churned_Comm5_EOSS_WA12June2026</t>
  </si>
  <si>
    <t>AL_ON_OFF_Churned_366_730_EOSS</t>
  </si>
  <si>
    <t>Customers who have purchased at least 1 time in between 366 to 730 days ago</t>
  </si>
  <si>
    <t>6a2ab931288697142cbf7e9f</t>
  </si>
  <si>
    <t>Churned_2_Comm5_EOSS_WA12June2026</t>
  </si>
  <si>
    <t>AL_ON_OFF_Churned_731_1095_EOSS</t>
  </si>
  <si>
    <t>Customers who have purchased at least 1 time in between 731 to 1095 days ago</t>
  </si>
  <si>
    <t>6a2ab96c13de254966db0573</t>
  </si>
  <si>
    <t>Active_Comm6_EOSS_WA_12June2026</t>
  </si>
  <si>
    <t>AL_ON_OFF_Active_EOSS</t>
  </si>
  <si>
    <t>Customers who have purchased at least 1 time in the last 77 days</t>
  </si>
  <si>
    <t>6a2aba49778e4442a9a56b33</t>
  </si>
  <si>
    <t>Non_Txt_Comm7_WA_EOSSJune2026</t>
  </si>
  <si>
    <t>Non- Txn Base</t>
  </si>
  <si>
    <t>Non - Txn Base</t>
  </si>
  <si>
    <t>6a2b8b68503e911911487beb</t>
  </si>
  <si>
    <t>Semi-Annual Sale (June) - All</t>
  </si>
  <si>
    <t>SAS_App_CX_EA</t>
  </si>
  <si>
    <t>VS_App_Users</t>
  </si>
  <si>
    <t>Users who are push-reachable on Android or iOS, have installed the app in the last 3 years, or have opened the app in the last 3 years (excluding browser/web sessions).</t>
  </si>
  <si>
    <t>10th - 14th June</t>
  </si>
  <si>
    <t>6a291e870eadbd1fb7c6371d</t>
  </si>
  <si>
    <t>SAS_Off_Event_CX</t>
  </si>
  <si>
    <t>VS_OFF_Event_Buyers_03_06_26</t>
  </si>
  <si>
    <t>Offline Customers who have purchased at least 1 time during 5–7 May 2023, 15 June–13 July 2023, 6–8 October 2023, 15 December 2023–12 January 2024, 10–12 May 2024, 13 June–4 July 2024, 25–27 October 2024, 19 December 2024–9 January 2025, 9–11 May 2025, 11–30 June 2025, 2–5 October 2025, 17 December 2025–22 January 2026, or 7–12 May 2026.(SAS and TILI)</t>
  </si>
  <si>
    <t>11th - 14th June</t>
  </si>
  <si>
    <t>6a2956803a8e3aa629df6af0</t>
  </si>
  <si>
    <t>SAS_Off_Recent_CX</t>
  </si>
  <si>
    <t>VS_OFF_Recent</t>
  </si>
  <si>
    <t>Offline Customers who have purchased at least 1 time in the last 95 days</t>
  </si>
  <si>
    <t>6a29570ae8f8ce53c89253fd</t>
  </si>
  <si>
    <t>SAS_Off_Dormant_CX</t>
  </si>
  <si>
    <t>VS_OFF_Dormant</t>
  </si>
  <si>
    <t>Offline Customers who have purchased at least 1 time in the last 365 days</t>
  </si>
  <si>
    <t>6a295744c74eb2be8881af18</t>
  </si>
  <si>
    <t>SAS_Off_Churned_CX</t>
  </si>
  <si>
    <t>VS_OFF_Churned</t>
  </si>
  <si>
    <t>Offline Customers who have purchased at least 1 time in the last 1095 days</t>
  </si>
  <si>
    <t>6a29577cce2da646f4ae0d60</t>
  </si>
  <si>
    <t>SAS_Off_LTV&gt;25k_CX</t>
  </si>
  <si>
    <t>VS_OFF_LTV_25k</t>
  </si>
  <si>
    <t>Offline Customers who have purchased with LTV &gt; INR 24,999</t>
  </si>
  <si>
    <t>6a2957d5170a11f18a9efe23</t>
  </si>
  <si>
    <t>SAS_On_ATC_CX</t>
  </si>
  <si>
    <t>VS_ON_ATC_78D_No_Pr</t>
  </si>
  <si>
    <t>Online customers who have Added to Cart at least 1 time OR have added to wishlist at least 1 time OR have viewed item at least 3 times in the last 78 days</t>
  </si>
  <si>
    <t>6a2958463a8e3aa629df6ba7</t>
  </si>
  <si>
    <t>SAS_On_Event_CX</t>
  </si>
  <si>
    <t>VS_ON_Event_Buyers_03_06_26</t>
  </si>
  <si>
    <t>Online Customers who have purchased at least 1 time during 5–7 May 2023, 15 June–13 July 2023, 6–8 October 2023, 15 December 2023–12 January 2024, 10–12 May 2024, 13 June–4 July 2024, 25–27 October 2024, 19 December 2024–9 January 2025, 9–11 May 2025, 11–30 June 2025, 2–5 October 2025, 17 December 2025–22 January 2026, or 7–12 May 2026.(SAS and TILI)</t>
  </si>
  <si>
    <t>6a2958cc6e8536b9f76adefc</t>
  </si>
  <si>
    <t>SAS_On_Discount_CX</t>
  </si>
  <si>
    <t>VS_ON_Discount_Buyers_03_06_26</t>
  </si>
  <si>
    <t>Online Customers who have purchased at least 1 time with Order_Sale_Disc_Perc exceeding 39%</t>
  </si>
  <si>
    <t>6a295917cd5ba370c96beb0a</t>
  </si>
  <si>
    <t>SAS_On_Cancelled_CX</t>
  </si>
  <si>
    <t>VS_ON_Cancelled</t>
  </si>
  <si>
    <t>Online Customers who have purchased exactly 1 time and cancelled</t>
  </si>
  <si>
    <t>Cancelled</t>
  </si>
  <si>
    <t>6a295956ce2da646f4ae0d7e</t>
  </si>
  <si>
    <t>SAS_On_Recent_CX</t>
  </si>
  <si>
    <t>VS_ON_Recent</t>
  </si>
  <si>
    <t>Online Customers who have purchased at least 1 time in the last 78 days</t>
  </si>
  <si>
    <t>6a2959877077e19775e584dc</t>
  </si>
  <si>
    <t>SAS_On_Dormant_CX</t>
  </si>
  <si>
    <t>VS_ON_Dormant</t>
  </si>
  <si>
    <t>6a2959bb1e86cf2078a789d4</t>
  </si>
  <si>
    <t>SAS_On_Churned_CX</t>
  </si>
  <si>
    <t>VS_ON_Churned</t>
  </si>
  <si>
    <t>Online Customers who have purchased at least 1 time in the last 1095 days</t>
  </si>
  <si>
    <t>6a295a0019e9c63aac621230</t>
  </si>
  <si>
    <t>SAS_On_LTV&gt;25k_CX</t>
  </si>
  <si>
    <t>VS_ON_LTV_25k</t>
  </si>
  <si>
    <t>Online Customers who have purchased with LTV &gt; INR 24,999</t>
  </si>
  <si>
    <t>6a295a5e1e86cf2078a789dc</t>
  </si>
  <si>
    <t>SAS_Off_Event_CX (13)</t>
  </si>
  <si>
    <t>13th - 14th June</t>
  </si>
  <si>
    <t>6a2a511192715ccdba4f7941</t>
  </si>
  <si>
    <t>SAS_Off_Recent_CX (13)</t>
  </si>
  <si>
    <t>6a2a51d3efbd7a5d04d2e8eb</t>
  </si>
  <si>
    <t>SAS_Off_Dormant_CX (13)</t>
  </si>
  <si>
    <t>6a2a5232ae5f9b0666cea6ad</t>
  </si>
  <si>
    <t>SAS_Off_Churned_CX (13)</t>
  </si>
  <si>
    <t>6a2a54856108e843fc665765</t>
  </si>
  <si>
    <t>SAS_Off_LTV&gt;25k_CX (13)</t>
  </si>
  <si>
    <t>6a2a55d36108e843fc665788</t>
  </si>
  <si>
    <t>SAS_On_ATC_VSL-BTY</t>
  </si>
  <si>
    <t>Beauty+Ling_ATC_NoPr_On</t>
  </si>
  <si>
    <t>Online Customers who have added to cart from 11th June 2026 to 13th June 2026 and have not purchased from 11th June 2026 to 13th June 2026</t>
  </si>
  <si>
    <t>14th - 15th June</t>
  </si>
  <si>
    <t>6a2c2c8ee31f37fe07205fe9</t>
  </si>
  <si>
    <t>EOSS 2026 - JUNE - 25% TO 60% off</t>
  </si>
  <si>
    <t>Fallback - Comm 1 for EOSS - 45 Days</t>
  </si>
  <si>
    <t>RB_45D_Purchasers + RB_Internal</t>
  </si>
  <si>
    <t>12th June to 14th June</t>
  </si>
  <si>
    <t>6a27fc798f123033b13ee451</t>
  </si>
  <si>
    <t>Fallback - Comm 1 for EOSS - 90 Days</t>
  </si>
  <si>
    <t>RB_90D_Purchasers</t>
  </si>
  <si>
    <t>6a27fca080473f77e31a0746</t>
  </si>
  <si>
    <t>Fallback - Comm 1 for EOSS - 135 Days</t>
  </si>
  <si>
    <t>RB_135D_Purchasers</t>
  </si>
  <si>
    <t>6a27fcd44a7972a3c5c98b12</t>
  </si>
  <si>
    <t>Fallback - Comm 1 for EOSS - 180 Days</t>
  </si>
  <si>
    <t>RB_180D_Purchasers</t>
  </si>
  <si>
    <t>6a27fcf1851817b1cb0ea4d5</t>
  </si>
  <si>
    <t>Fallback - Comm 1 for EOSS - Last EOSS</t>
  </si>
  <si>
    <t>RB_Jun25_Aug25_Purchasers</t>
  </si>
  <si>
    <t>6a27fd239fe482423c0f29d4</t>
  </si>
  <si>
    <t>SAS - June 2026</t>
  </si>
  <si>
    <t>bbw_wa_sas_launch_13june_churned_online</t>
  </si>
  <si>
    <t>BBW_ON_Churned730_EOSS_26</t>
  </si>
  <si>
    <t>Online customers who have purchased in the last 730 days</t>
  </si>
  <si>
    <t>13-15 June</t>
  </si>
  <si>
    <t>6a26a62ec2b6e71649d9c908</t>
  </si>
  <si>
    <t>bbw_wa_sas_launch_13june_churned2_online</t>
  </si>
  <si>
    <t>BBW_ON_Churned1095_EOSS_26</t>
  </si>
  <si>
    <t>Online customers who have purchased in the last 1095 days</t>
  </si>
  <si>
    <t>6a26a68881867a5b20b42e43</t>
  </si>
  <si>
    <t>bbw_wa_sas_launch_13june_churned_offline</t>
  </si>
  <si>
    <t>BBW_OFF_Churned550_EOSS_26</t>
  </si>
  <si>
    <t>Offline customers who have purchased in the last 550 days</t>
  </si>
  <si>
    <t>6a26a6fb0ff383664c8be3e3</t>
  </si>
  <si>
    <t>bbw_wa_sas_launch_13june_churned2_offline</t>
  </si>
  <si>
    <t>BBW_OFF_Churned1095_EOSS_26</t>
  </si>
  <si>
    <t>Offline customers who have purchased in the last 1095 days</t>
  </si>
  <si>
    <t>6a26a779e2b42c86a4e6bc32</t>
  </si>
  <si>
    <t>bbw_wa_sas_launch_11june_active_online</t>
  </si>
  <si>
    <t>BBW_ON_Active_EOSS_26</t>
  </si>
  <si>
    <t>Online customers who have purchased in the last 84 days</t>
  </si>
  <si>
    <t>11-13 June</t>
  </si>
  <si>
    <t>6a26a7c4cd88a430259e5a05</t>
  </si>
  <si>
    <t>bbw_wa_sas_launch_11june_dormant_online</t>
  </si>
  <si>
    <t>BBW_ON_Dorm_EOSS_26</t>
  </si>
  <si>
    <t>Online customers who have purchased in the last 365 days</t>
  </si>
  <si>
    <t>6a26a83f2b8ac1ae7e7b9f76</t>
  </si>
  <si>
    <t>bbw_wa_sas_launch_12june_active_offline</t>
  </si>
  <si>
    <t>BBW_OFF_Active_EOSS_26</t>
  </si>
  <si>
    <t>Offline customers who have purchased in the last 105 days</t>
  </si>
  <si>
    <t>12-14 June</t>
  </si>
  <si>
    <t>6a26aa7d24b9860232c2f500</t>
  </si>
  <si>
    <t>bbw_wa_sas_launch_12june_dormant_offline</t>
  </si>
  <si>
    <t>BBW_OFF_Dorm235_EOSS_26</t>
  </si>
  <si>
    <t>Offline customers who have purchased in the last 235 days</t>
  </si>
  <si>
    <t>6a26aac80d76758337654147</t>
  </si>
  <si>
    <t>bbw_wa_sas_launch_12june_dormant2_offline</t>
  </si>
  <si>
    <t>BBW_OFF_Dorm365_EOSS_26</t>
  </si>
  <si>
    <t>Offline customers who have purchased in the last 365 days</t>
  </si>
  <si>
    <t>6a26ab19ea7d3a767b829132</t>
  </si>
  <si>
    <t>bbw_wa_sas_retarget_loyal_14june_online</t>
  </si>
  <si>
    <t>BBW_Repeat_ON</t>
  </si>
  <si>
    <t>14-16 June</t>
  </si>
  <si>
    <t>6a2a7f2da0bc7db20c435849</t>
  </si>
  <si>
    <t>bbw_wa_sas_retarget_loyal_14june_offline</t>
  </si>
  <si>
    <t>BBW_Repeat_OFF</t>
  </si>
  <si>
    <t>6a2a7f9cced2d2ccf732bf66</t>
  </si>
  <si>
    <t>CIS_3499_RCSFallback</t>
  </si>
  <si>
    <t>6a2931e80fd0c702957ca280</t>
  </si>
  <si>
    <t>ALDO_EOSS_JUNE-JULY 2026 - EOSS 30-60 Off Week 1</t>
  </si>
  <si>
    <t>SMS_EOSS_NewJuneFB_ATC</t>
  </si>
  <si>
    <t>6a2bb07c71aa284f371f9910</t>
  </si>
  <si>
    <t>ViewItem_EOSS_SMSFB</t>
  </si>
  <si>
    <t>6a2bb0f5afe76dc0319366a1</t>
  </si>
  <si>
    <t>EOSS_SMS_FB_ETBY</t>
  </si>
  <si>
    <t>6a2bb128afe76dc0319366ab</t>
  </si>
  <si>
    <t>SMS_FB_DISC_PERC</t>
  </si>
  <si>
    <t>6a2bb195370f072b33042d17</t>
  </si>
  <si>
    <t>SMS_FB_Repeat_1Year</t>
  </si>
  <si>
    <t>6a2bb1c67a28cf364597a481</t>
  </si>
  <si>
    <t>EOSS_Comm4_SMS_FB</t>
  </si>
  <si>
    <t>6a2bb2041446dbae6f3728bd</t>
  </si>
  <si>
    <t>SMS_Comm5_June_FB</t>
  </si>
  <si>
    <t>6a2bb243d45b13e59fcfcf21</t>
  </si>
  <si>
    <t>SMS_FB_Comm5</t>
  </si>
  <si>
    <t>6a2bb2b19d9bc6adc2d5801c</t>
  </si>
  <si>
    <t>SMS_FB_EOSS</t>
  </si>
  <si>
    <t>6a2bb2fe71aa284f371f9986</t>
  </si>
  <si>
    <t>SMS_FB_EOSS_Churn</t>
  </si>
  <si>
    <t>6a2bb332003fa5e18b95963f</t>
  </si>
  <si>
    <t>SMS_Comm6_June_FB</t>
  </si>
  <si>
    <t>6a2bb39dc819f75e8e53f5f3</t>
  </si>
  <si>
    <t>SMS_Comm7_June_FB</t>
  </si>
  <si>
    <t>6a2bb414e8ce3399a1b7f793</t>
  </si>
  <si>
    <t>SAS_App_CX_EA (FB)</t>
  </si>
  <si>
    <t>6a291ee11f3e2691b710bf81</t>
  </si>
  <si>
    <t>SAS_Off_Event_CX (FB)</t>
  </si>
  <si>
    <t>6a295ad361b92c7d0fcd190a</t>
  </si>
  <si>
    <t>SAS_Off_Recent_CX (FB)</t>
  </si>
  <si>
    <t>6a29633f6a0808ecb5277d55</t>
  </si>
  <si>
    <t>SAS_Off_Dormant_CX (FB</t>
  </si>
  <si>
    <t>6a2963ae635cefae2b18a338</t>
  </si>
  <si>
    <t>SAS_Off_Churned_CX (FB)</t>
  </si>
  <si>
    <t>6a2963f8ae5f9b0666ce9cf0</t>
  </si>
  <si>
    <t>SAS_Off_LTV&gt;25k_CX (FB)</t>
  </si>
  <si>
    <t>6a296444034889c13fcfa2ad</t>
  </si>
  <si>
    <t>SAS_On_ATC_CX (FB)</t>
  </si>
  <si>
    <t>6a296497f63dda54bce92c90</t>
  </si>
  <si>
    <t>SAS_On_Event_CX (FB)</t>
  </si>
  <si>
    <t>6a2964f8225b1b488de2dbe6</t>
  </si>
  <si>
    <t>SAS_On_Discount_CX (FB)</t>
  </si>
  <si>
    <t>6a29653dbae9a443411cc776</t>
  </si>
  <si>
    <t>SAS_On_Cancelled_CX (FB)</t>
  </si>
  <si>
    <t>6a29658416bb8834d22d1ba9</t>
  </si>
  <si>
    <t>SAS_On_Recent_CX (FB)</t>
  </si>
  <si>
    <t>6a2965cf839636d35b1eb648</t>
  </si>
  <si>
    <t>SAS_On_Dormant_CX (FB)</t>
  </si>
  <si>
    <t>6a296611d89191ad4c8fdda2</t>
  </si>
  <si>
    <t>SAS_On_Churned_CX (FB)</t>
  </si>
  <si>
    <t>6a29664ec74eb2be8881b348</t>
  </si>
  <si>
    <t>SAS_On_LTV&gt;25k_CX (FB)</t>
  </si>
  <si>
    <t>6a2966798cedc82cd39c76ab</t>
  </si>
  <si>
    <t>SAS_Off_Event_CX (FB 13)</t>
  </si>
  <si>
    <t>6a2a7414aefcc569dce0ec80</t>
  </si>
  <si>
    <t>SAS_Off_Recent_CX (FB 13)</t>
  </si>
  <si>
    <t>6a2a7450aefcc569dce0ec88</t>
  </si>
  <si>
    <t>SAS_Off_Dormant_CX (FB 13)</t>
  </si>
  <si>
    <t>6a2a74b8a159353c628d3d40</t>
  </si>
  <si>
    <t>SAS_Off_Churned_CX (FB 13)</t>
  </si>
  <si>
    <t>6a2a75206034a55edb5a9b46</t>
  </si>
  <si>
    <t>SAS_Off_LTV&gt;25k_CX (FB 13)</t>
  </si>
  <si>
    <t>6a2a7552e8893f8440e6682b</t>
  </si>
  <si>
    <t>SAS_On_ATC_VSL-BTY (FB)</t>
  </si>
  <si>
    <t>6a2c2cc181f1c2bb08be9687</t>
  </si>
  <si>
    <t>bbw_smsfb_sas_launch_11june_active_online</t>
  </si>
  <si>
    <t>6a26abdc2b8ac1ae7e7b9ff8</t>
  </si>
  <si>
    <t>bbw_smsfb_sas_launch_11june_dormant_online</t>
  </si>
  <si>
    <t>6a26ac61e23e21408b4a3af6</t>
  </si>
  <si>
    <t>bbw_smsfb_sas_launch_12june_active_offline</t>
  </si>
  <si>
    <t>6a26acb40ff383664c8be669</t>
  </si>
  <si>
    <t>bbw_smsfb_sas_launch_12june_dormant_offline</t>
  </si>
  <si>
    <t>6a26acfae2cc9cbd326325f2</t>
  </si>
  <si>
    <t>bbw_smsfb_sas_launch_12june_dormant2_offline</t>
  </si>
  <si>
    <t>6a26ad75e2cc9cbd32632602</t>
  </si>
  <si>
    <t>bbw_smsfb_sas_launch_13june_churned_online</t>
  </si>
  <si>
    <t>6a26addbcd88a430259e5c47</t>
  </si>
  <si>
    <t>bbw_smsfb_sas_launch_13june_churned2_online</t>
  </si>
  <si>
    <t>6a26ae3941a217f8f3a713ea</t>
  </si>
  <si>
    <t>bbw_smsfb_sas_launch_13june_churned_offline</t>
  </si>
  <si>
    <t>6a26ae83c2b6e71649d9cb41</t>
  </si>
  <si>
    <t>bbw_smsfb_sas_launch_13june_churned2_offline</t>
  </si>
  <si>
    <t>6a26af2d9fb3eee206512fda</t>
  </si>
  <si>
    <t>bbw_smsfb_sas_retarget_loyal_14june_online</t>
  </si>
  <si>
    <t>6a2a82672084793728f0993b</t>
  </si>
  <si>
    <t>bbw_smsfb_sas_retarget_loyal_14june_offline</t>
  </si>
  <si>
    <t>6a2a84e608f4e0c5d9e8a137</t>
  </si>
  <si>
    <t>CROSSBRANDS_EOSS_JUNE2026 - EOSS30-70OFF</t>
  </si>
  <si>
    <t>ALDO_SMS_AGIPL_VS</t>
  </si>
  <si>
    <t>14th June 2026</t>
  </si>
  <si>
    <t>6a2bc872629df978b5be649c</t>
  </si>
  <si>
    <t>ALDO_BBW23_AGIPL_SMS</t>
  </si>
  <si>
    <t>6a2bc8a16fd0c95ab75f9888</t>
  </si>
  <si>
    <t>AL_BBW24_AGIPL_SMS</t>
  </si>
  <si>
    <t>6a2bc8eeac669d6f3f0757d9</t>
  </si>
  <si>
    <t>ALBBW25_SMS_AGIPL</t>
  </si>
  <si>
    <t>6a2bc944657cb331eaa90b55</t>
  </si>
  <si>
    <t>AL2020BBW_SMS_AGIPL</t>
  </si>
  <si>
    <t>6a2bc984adc284dbcf645ece</t>
  </si>
  <si>
    <t>ALCK_Base_SMS_AGIPL</t>
  </si>
  <si>
    <t>6a2bc9b80b3864b6c0c71fc1</t>
  </si>
  <si>
    <t>CIS_Eoss</t>
  </si>
  <si>
    <t>CIS_EOSS_WAFALLBACK</t>
  </si>
  <si>
    <t>6a293122a6995d7c759ae38a</t>
  </si>
  <si>
    <t>RCS_Comm1_EOSS_12June2026</t>
  </si>
  <si>
    <t>6a2b9bdbf5949eb598816a94</t>
  </si>
  <si>
    <t>RCS_Comm2_EOSS_12June2026</t>
  </si>
  <si>
    <t>6a2b9c16b6170b13d88b8834</t>
  </si>
  <si>
    <t>RCS_Comm3_EOSS_12thJune2026</t>
  </si>
  <si>
    <t>6a2b9cadeebffb14998bbd94</t>
  </si>
  <si>
    <t>ON_OFF_DIC_Comm4_EOSS_RCS</t>
  </si>
  <si>
    <t>6a2b9d0c1446dbae6f3721cd</t>
  </si>
  <si>
    <t>DISC_RPT_Comm4_EOSS_RCS</t>
  </si>
  <si>
    <t>6a2b9d4f0b3864b6c0c711a6</t>
  </si>
  <si>
    <t>Comm4_RCS_EOSS_12thJune2026</t>
  </si>
  <si>
    <t>6a2b9da11e5f2d0bdee20515</t>
  </si>
  <si>
    <t>RCS_DMT_EOSS_Comm5</t>
  </si>
  <si>
    <t>6a2b9dd5c3876dae12b667e9</t>
  </si>
  <si>
    <t>RCS_Churned1Rpt_EOSS_Comm5</t>
  </si>
  <si>
    <t>6a2b9e134f4fe703f74dc85c</t>
  </si>
  <si>
    <t>RCS_Churned2_Eoss_Comm5</t>
  </si>
  <si>
    <t>6a2b9e781573114d70eeaad8</t>
  </si>
  <si>
    <t>Comm5_EOSS_RCS_12June2026</t>
  </si>
  <si>
    <t>6a2b9eaac3876dae12b66807</t>
  </si>
  <si>
    <t>Comm6_EOSS_RCS_12June2026</t>
  </si>
  <si>
    <t>6a2b9f479f679f9237eddf7f</t>
  </si>
  <si>
    <t>Comm7_RCS_EOSSJune2026</t>
  </si>
  <si>
    <t>6a2b9fcad3a15a0abb7e0a3e</t>
  </si>
  <si>
    <t>Comm 1 for EOSS - 45 Days</t>
  </si>
  <si>
    <t>Customers who shopped with us atleast once in the last 45 days</t>
  </si>
  <si>
    <t>6a27faed851817b1cb0ea405</t>
  </si>
  <si>
    <t>Comm 1 for EOSS - 90 Days</t>
  </si>
  <si>
    <t>Customers who shopped with us atleast once in the last 90 days</t>
  </si>
  <si>
    <t>6a27fb28d2f0cc98da296047</t>
  </si>
  <si>
    <t>Comm 1 for EOSS - 135 Days</t>
  </si>
  <si>
    <t>Customers who shopped with us atleast once in the last 135 days</t>
  </si>
  <si>
    <t>6a27fb580dd53bf323920801</t>
  </si>
  <si>
    <t>Comm 1 for EOSS - 180 Days</t>
  </si>
  <si>
    <t>Customers who shopped with us atleast once in the last 180 days</t>
  </si>
  <si>
    <t>6a27fb8bcadefefcd1454d41</t>
  </si>
  <si>
    <t>Comm 1 for EOSS - Last EOSS</t>
  </si>
  <si>
    <t>Customers who have shopped with us between June 20th 2025 to August 15th 2025</t>
  </si>
  <si>
    <t>6a27fbbc1440022b5fb65e79</t>
  </si>
  <si>
    <t>Semi-Annual Sale (June) - Stores - All</t>
  </si>
  <si>
    <t>SAS_Stores_Mum_FA</t>
  </si>
  <si>
    <t>19th - 21st June</t>
  </si>
  <si>
    <t>6a33cb0be097b78bf6e70981</t>
  </si>
  <si>
    <t>SAS_Stores_Mum_BA</t>
  </si>
  <si>
    <t>6a33cb5af438848f5b3ce4d9</t>
  </si>
  <si>
    <t>SAS_Stores_Del_FA</t>
  </si>
  <si>
    <t>6a33cb93f9b91249d341916a</t>
  </si>
  <si>
    <t>SAS_Stores_GGN_FA</t>
  </si>
  <si>
    <t>6a33ce22194adfdc137461df</t>
  </si>
  <si>
    <t>SAS_Stores_BLR_FA</t>
  </si>
  <si>
    <t>6a33ce948e0df7ccb05f3b7a</t>
  </si>
  <si>
    <t>SAS_Stores_BLR_BA</t>
  </si>
  <si>
    <t>6a33cece97bbde1d505033b7</t>
  </si>
  <si>
    <t>SAS_Stores_Pun_BA</t>
  </si>
  <si>
    <t>6a33d03a9c4edc7da7690d06</t>
  </si>
  <si>
    <t>SAS_Stores_Raipur_BA</t>
  </si>
  <si>
    <t>6a33d0844702666afddfc0ff</t>
  </si>
  <si>
    <t>SAS_Stores_LKN_BA</t>
  </si>
  <si>
    <t>6a33d0ebbda36497b5025ce2</t>
  </si>
  <si>
    <t>SAS_Stores_HYD_BA</t>
  </si>
  <si>
    <t>6a33d18802efe93f31d9ae92</t>
  </si>
  <si>
    <t>SAS_Stores_Chennai_BA</t>
  </si>
  <si>
    <t>6a33d1cbfb46a0810ccd4c78</t>
  </si>
  <si>
    <t>SAS_Stores_Kochi_BA</t>
  </si>
  <si>
    <t>6a33d20739dbabbbab0acbb1</t>
  </si>
  <si>
    <t>Summer End of Season Sale - Up to 30% off</t>
  </si>
  <si>
    <t>Summer ESS_Online</t>
  </si>
  <si>
    <t>CK_Online_Active_16thJune26 AND  CK_Online_Dormant_16thJune26_V2</t>
  </si>
  <si>
    <t>Custom data upload (active), Custom data upload (dormant)</t>
  </si>
  <si>
    <t>Active, Dormant</t>
  </si>
  <si>
    <t>17 - 19th June</t>
  </si>
  <si>
    <t>6a32404727b0451d8778b598</t>
  </si>
  <si>
    <t>Summer ESS_Offline_event shoppers</t>
  </si>
  <si>
    <t>18th to 20th june</t>
  </si>
  <si>
    <t>6a324bfd81723105d3e94110</t>
  </si>
  <si>
    <t>Summer ESS_Online + offline_active_day2</t>
  </si>
  <si>
    <t>CK_Active_Base, CK_Online_Active_16thJune26</t>
  </si>
  <si>
    <t>All customers who shopped in last 91 days, Custom data upload (active)</t>
  </si>
  <si>
    <t>20th to 22nd june</t>
  </si>
  <si>
    <t>6a3285d1cd14ca44bf02b66a</t>
  </si>
  <si>
    <t>Summer ESS_Online + offline_dormant_day2</t>
  </si>
  <si>
    <t>CK_Dormant_Base, CK_Churned_Base, CK_Online_Dormant_16thJune26_V2</t>
  </si>
  <si>
    <t>All customers who shopped before 91 days, Churned customers, Custom data upload (dormant)</t>
  </si>
  <si>
    <t>Dormant, Churned</t>
  </si>
  <si>
    <t>6a32864e27b0451d8778c99f</t>
  </si>
  <si>
    <t>Summer ESS_Offline_event shoppers_day2</t>
  </si>
  <si>
    <t>6a3286a2f3936e23f27fa4cc</t>
  </si>
  <si>
    <t>bbw_wa_sas_fathersday_mens_15june_online</t>
  </si>
  <si>
    <t>BBW_ON_MEN</t>
  </si>
  <si>
    <t>15-17 June</t>
  </si>
  <si>
    <t>6a2a80c6b542558440f671cf</t>
  </si>
  <si>
    <t>bbw_wa_sas_fathersday_mens_15june_offline</t>
  </si>
  <si>
    <t>BBW_OFF_MEN</t>
  </si>
  <si>
    <t>6a2a80fe537b85be484b27b1</t>
  </si>
  <si>
    <t>bbw_wa_sas_atc_last5days_overall</t>
  </si>
  <si>
    <t>BBW_ATC_View_Wishlist_NoPr_5D</t>
  </si>
  <si>
    <t>17-19 June</t>
  </si>
  <si>
    <t>6a2bab360b3864b6c0c7173e</t>
  </si>
  <si>
    <t>bbw_wa_sas_fathersday_mens_reminder_online V1</t>
  </si>
  <si>
    <t>16-18 June</t>
  </si>
  <si>
    <t>6a3135ff8f2d7831199ab348</t>
  </si>
  <si>
    <t>bbw_wa_sas_fathersday_mens_reminder_offline_v1</t>
  </si>
  <si>
    <t>6a31363ad389f48f08902281</t>
  </si>
  <si>
    <t>bbw_wa_sas_cat_hs_19june_active_overall</t>
  </si>
  <si>
    <t>19-21 June</t>
  </si>
  <si>
    <t>6a3298aa2fd38834257ffb36</t>
  </si>
  <si>
    <t>bbw_wa_sas_cat_hs_19june_predom800_online</t>
  </si>
  <si>
    <t>6a329a0a5e0a80a09d44c147</t>
  </si>
  <si>
    <t>bbw_wa_sas_cat_hs_19june_event_online</t>
  </si>
  <si>
    <t>6a329a4d86617edf689eb6dd</t>
  </si>
  <si>
    <t>bbw_wa_sas_cat_candles_19june_offline</t>
  </si>
  <si>
    <t>BBW_Candle_365D_OFF</t>
  </si>
  <si>
    <t>Offline Purchased at least 1 time in the last 365D</t>
  </si>
  <si>
    <t>Candle</t>
  </si>
  <si>
    <t>6a329b1e679458a8121fbfe9</t>
  </si>
  <si>
    <t>bbw_wa_sas_cat_bodycare_20june_atc_online</t>
  </si>
  <si>
    <t>20-22 June</t>
  </si>
  <si>
    <t>6a338353ad96f891dbebf32e</t>
  </si>
  <si>
    <t>bbw_wa_sas_cat_bodycare_20june_repeat_online</t>
  </si>
  <si>
    <t>6a3383ca5e0a80a09d44d032</t>
  </si>
  <si>
    <t>bbw_wa_sas_cat_bodycare_20june_event&amp;dormant_online</t>
  </si>
  <si>
    <t>Online customers who have purchased at least 1 time from L2: BodyCare in between Oct 2 - Oct 5, 2025; Oct 16 - Oct 27, 2025; Jan 09- Jan 18, 2026; Feb 26 - Mar 3, 2026; Mar 27 - Mar 29, 2026; May 7 - May 12, 2026 OR Online customers who have purchased atleast 1 time from L2: BodyCare in between the last 90-365 Days</t>
  </si>
  <si>
    <t>6a3384288a75c8131ff1a582</t>
  </si>
  <si>
    <t>bbw_wa_sas_cat_bodycare_21june_repeat_offline</t>
  </si>
  <si>
    <t>Offline customers who have purchased L2: BodyCare at least 1 times in the last 180 days</t>
  </si>
  <si>
    <t>21-23 June</t>
  </si>
  <si>
    <t>6a33855fb4055e8ed486d98e</t>
  </si>
  <si>
    <t>bbw_wa_sas_cat_bodycare_21june_aov_offline</t>
  </si>
  <si>
    <t>6a3386e72d9bf891e25aecc0</t>
  </si>
  <si>
    <t>bbw_wa_sas_cat_bodycare_21june_event_offline</t>
  </si>
  <si>
    <t>Offline customers who have purchased at least 1 time from L2: BodyCare in between Oct 2 - Oct 5, 2025; Oct 16 - Oct 27, 2025; Jan 09- Jan 18, 2026; Feb 26 - Mar 3, 2026; Mar 27 - Mar 29, 2026; May 7 - May 12, 2026</t>
  </si>
  <si>
    <t>6a3387848963da0eba79d349</t>
  </si>
  <si>
    <t>bbw_wa_sas_cat_bodycare_21june_dormant_offline</t>
  </si>
  <si>
    <t>6a3387e997042c4e8f0f452b</t>
  </si>
  <si>
    <t>bbw_wa_sas_cat_bodycare_21june_discbuyers_offline</t>
  </si>
  <si>
    <t>6a3389902d9bf891e25aee0d</t>
  </si>
  <si>
    <t>bbw_wa_sas_cat_hs_19june_atc_online V1</t>
  </si>
  <si>
    <t>6a34e5b523de42f12157d923</t>
  </si>
  <si>
    <t>bbw_wa_sas_cat_candles_19june_online V2</t>
  </si>
  <si>
    <t>BBW_Candle_365D_ON</t>
  </si>
  <si>
    <t>Online Purchased at least 1 time in the last 365D</t>
  </si>
  <si>
    <t>6a34ef3355e899bc82399813</t>
  </si>
  <si>
    <t>CIS_Footwear - FLAT 50 on Footwear</t>
  </si>
  <si>
    <t>CIS_Footwear_50Off</t>
  </si>
  <si>
    <r>
      <rPr>
        <rFont val="Montserrat"/>
        <color theme="1"/>
      </rPr>
      <t xml:space="preserve">Customers who have purchased in the last 36 months with Brand_PM contains SP </t>
    </r>
    <r>
      <rPr>
        <rFont val="Montserrat"/>
        <b/>
        <color theme="1"/>
      </rPr>
      <t xml:space="preserve">AND </t>
    </r>
    <r>
      <rPr>
        <rFont val="Montserrat"/>
        <color theme="1"/>
      </rPr>
      <t>Exclude overlapping Base for ALDO and CIS Base</t>
    </r>
  </si>
  <si>
    <t>19 to 21st</t>
  </si>
  <si>
    <t>6a328f3d1e2d3952aa703f55</t>
  </si>
  <si>
    <t>HandbagCategory - No Offer - Category promotion HB</t>
  </si>
  <si>
    <t>Handbag_Totes</t>
  </si>
  <si>
    <t>AL_Map_Tote_L3</t>
  </si>
  <si>
    <t>Customers purchasing Tote in the last 36 months</t>
  </si>
  <si>
    <t>Category Specific :- Tote</t>
  </si>
  <si>
    <t>21st June 2026</t>
  </si>
  <si>
    <t>6a329dba9b2f98317fef2bd2</t>
  </si>
  <si>
    <t>Handbag_Satchel</t>
  </si>
  <si>
    <t>AL_Map_Satchel_L3</t>
  </si>
  <si>
    <t>Customers purchasing Satchel in the last 36 months</t>
  </si>
  <si>
    <t>Category Specific :- Satchel</t>
  </si>
  <si>
    <t>6a329e1376efad947f34f81c</t>
  </si>
  <si>
    <t>Handbag_shoulder</t>
  </si>
  <si>
    <t>AL_Map_ShoulderBags_L3</t>
  </si>
  <si>
    <t>Customers purchasing Shoulder Bags in the last 36 months</t>
  </si>
  <si>
    <t>Category Specific :- Shoulder Bags</t>
  </si>
  <si>
    <t>6a329f5aad96f891dbebe7f9</t>
  </si>
  <si>
    <t>Handbag_Crossbody</t>
  </si>
  <si>
    <t>AL_Map_Crossbody_L3</t>
  </si>
  <si>
    <t>Customers purchasing Crossbody in the last 36 months</t>
  </si>
  <si>
    <t>Category Specific :- Crossbody</t>
  </si>
  <si>
    <t>6a329f848448ac75ef2af3f5</t>
  </si>
  <si>
    <t>SAS_Stores_Mum_FA (FB)</t>
  </si>
  <si>
    <t>6a33d7194490a5c672fa56a2</t>
  </si>
  <si>
    <t>SAS_Stores_Mum_BA (FB)</t>
  </si>
  <si>
    <t>6a33d817e700be2041434dcf</t>
  </si>
  <si>
    <t>SAS_Stores_Del_FA (FB)</t>
  </si>
  <si>
    <t>6a33d89a179e847dc69e45e0</t>
  </si>
  <si>
    <t>SAS_Stores_GGN_FA (FB)</t>
  </si>
  <si>
    <t>6a33d8e6a660578388e1915b</t>
  </si>
  <si>
    <t>SAS_Stores_BLR_FA (FB)</t>
  </si>
  <si>
    <t>6a33d9270e3eb723404ecad9</t>
  </si>
  <si>
    <t>SAS_Stores_BLR_BA (FB)</t>
  </si>
  <si>
    <t>6a33d97139dbabbbab0ace9c</t>
  </si>
  <si>
    <t>SAS_Stores_Pun_BA (FB)</t>
  </si>
  <si>
    <t>6a33d9b67519ffdcd9aca3e2</t>
  </si>
  <si>
    <t>SAS_Stores_Raipur_BA (FB)</t>
  </si>
  <si>
    <t>6a33d9f98ad41a91b477cacd</t>
  </si>
  <si>
    <t>SAS_Stores_LKN_BA (FB)</t>
  </si>
  <si>
    <t>6a33da5b9271ac9e5b18cdbb</t>
  </si>
  <si>
    <t>SAS_Stores_HYD_BA (FB)</t>
  </si>
  <si>
    <t>6a33dacae620b0752461bb88</t>
  </si>
  <si>
    <t>SAS_Stores_Chennai_BA (FB)</t>
  </si>
  <si>
    <t>6a33db1bad37d8bd51a4380f</t>
  </si>
  <si>
    <t>SAS_Stores_Kochi_BA (FB)</t>
  </si>
  <si>
    <t>6a33db6add67083618fd73ab</t>
  </si>
  <si>
    <t>Summer ESS - up to 30% off</t>
  </si>
  <si>
    <t>Summer ESS_Online_fallback</t>
  </si>
  <si>
    <t>6a32409b60a142f59e3ccfd7</t>
  </si>
  <si>
    <t>Summer ESS_Offline_event shoppers_fallback</t>
  </si>
  <si>
    <t>18-20 June</t>
  </si>
  <si>
    <t>6a324fc1804ea0e79bc2051e</t>
  </si>
  <si>
    <t>Summer ESS_Online + offline_active_day2_fallback</t>
  </si>
  <si>
    <t>6a3287473dd4c58d362a209f</t>
  </si>
  <si>
    <t>Summer ESS_Online + offline_dormant_day2_fallback</t>
  </si>
  <si>
    <t>6a3287d7a814a57f778a0ab9</t>
  </si>
  <si>
    <t>Summer ESS_Offline_event shoppers_day2_fallback</t>
  </si>
  <si>
    <t>6a328831ad3040726faa8313</t>
  </si>
  <si>
    <t>bbw_smsfb_sas_fathersday_mens_15june_online</t>
  </si>
  <si>
    <t>6a2a852c7bed968e83bf4b40</t>
  </si>
  <si>
    <t>bbw_smsfb_sas_fathersday_mens_15june_offline</t>
  </si>
  <si>
    <t>6a2a8560d430e3a973ca7962</t>
  </si>
  <si>
    <t>bbw_smsfb_sas_atc_last5days_overall</t>
  </si>
  <si>
    <t>6a30d8d9ea03319cce3f7d78</t>
  </si>
  <si>
    <t>bbw_sms_sas_appinstalled_no_purchase_overall</t>
  </si>
  <si>
    <t>BBW_App_Install_NoPr_180D</t>
  </si>
  <si>
    <t>6a30eae7921a7ec82b195c3a</t>
  </si>
  <si>
    <t>bbw_smsfb_sas_fathersday_mens_reminder_online V1</t>
  </si>
  <si>
    <t>6a3140238b466da764a36cde</t>
  </si>
  <si>
    <t>bbw_smsfb_sas_fathersday_mens_reminder_offline V2</t>
  </si>
  <si>
    <t>6a31407fce979bb18de433f3</t>
  </si>
  <si>
    <t>bbw_smsfb_sas_cat_hs_19june_active_overall</t>
  </si>
  <si>
    <t>6a33a7ba5846fb250d9c0ab9</t>
  </si>
  <si>
    <t>bbw_smsfb_sas_cat_hs_19june_predom800_online</t>
  </si>
  <si>
    <t>6a33a827157a7d4771f24542</t>
  </si>
  <si>
    <t>bbw_smsfb_sas_cat_hs_19june_event_online</t>
  </si>
  <si>
    <t>6a33a8d365d2a82e6a632d7f</t>
  </si>
  <si>
    <t>bbw_smsfb_sas_cat_candles_19june_offline</t>
  </si>
  <si>
    <t>6a33aaf6dfa9555ba2b4a807</t>
  </si>
  <si>
    <t>bbw_smsfb_sas_cat_bodycare_21june_repeat_offline</t>
  </si>
  <si>
    <t>6a33b09ea2347851df960d3e</t>
  </si>
  <si>
    <t>bbw_smsfb_sas_cat_bodycare_21june_aov_offline</t>
  </si>
  <si>
    <t>6a33b0e44702666afddfb5f0</t>
  </si>
  <si>
    <t>bbw_smsfb_sas_cat_bodycare_21june_event_offline</t>
  </si>
  <si>
    <t>6a33b166fd57262a41d77e0e</t>
  </si>
  <si>
    <t>bbw_smsfb_sas_cat_bodycare_21june_dormant_offline</t>
  </si>
  <si>
    <t>6a33b20cf2e3c867beb079a1</t>
  </si>
  <si>
    <t>bbw_smsfb_sas_cat_bodycare_21june_discbuyers_offline</t>
  </si>
  <si>
    <t>6a33b26360aec2c394b991ce</t>
  </si>
  <si>
    <t>bbw_smsfb_sas_cat_hs_19june_atc_online V1</t>
  </si>
  <si>
    <t>6a34eaf5b59be5e00a3b81c9</t>
  </si>
  <si>
    <t>bbw_smsfb_sas_cat_candles_19june_online V2</t>
  </si>
  <si>
    <t>6a34eba84bc022c0a25e228b</t>
  </si>
  <si>
    <t>CIS_Footwear50_RCSFallback</t>
  </si>
  <si>
    <t>6a32906894907be417d7c785</t>
  </si>
  <si>
    <t>EOSS:2ndWeek50% Off - Offer 50% Off</t>
  </si>
  <si>
    <t>FB_SMS_OFFDISC_RPT</t>
  </si>
  <si>
    <t>20th Sat - Sunday 21st June 2026</t>
  </si>
  <si>
    <t>6a35574e659b3345c83e3140</t>
  </si>
  <si>
    <t>SMSFB_ATC90D</t>
  </si>
  <si>
    <t>6a3559c1f2f67ea79ba35cf9</t>
  </si>
  <si>
    <t>SMSFB_NonTxt</t>
  </si>
  <si>
    <t>6a355b71486e5b30883dd99a</t>
  </si>
  <si>
    <t>FBSMS_ONView_Item</t>
  </si>
  <si>
    <t>6a355baf86955c6220e4141d</t>
  </si>
  <si>
    <t>FBMS_OFFEventBuyers</t>
  </si>
  <si>
    <t>6a355c09f2f67ea79ba35d29</t>
  </si>
  <si>
    <t>SMSFB_Active_Eoss</t>
  </si>
  <si>
    <t>6a355c0d3e891e4ceb35d17d</t>
  </si>
  <si>
    <t>SMSFB_DISCPerc_30</t>
  </si>
  <si>
    <t>6a355c699b535e07c47407cd</t>
  </si>
  <si>
    <t>SMSFB_CH731</t>
  </si>
  <si>
    <t>6a355c8c6448632cb040644c</t>
  </si>
  <si>
    <t>FBSMS_Repeat_1YR</t>
  </si>
  <si>
    <t>6a355c99872912509e7d6d1d</t>
  </si>
  <si>
    <t>FBSMS_Churned366</t>
  </si>
  <si>
    <t>6a355d09f2f67ea79ba35d37</t>
  </si>
  <si>
    <t>FBSMS_Dormant</t>
  </si>
  <si>
    <t>6a355e276721b31008c7dbb1</t>
  </si>
  <si>
    <t>FBSMS_Churned</t>
  </si>
  <si>
    <t>6a355e7092c8f2996a71c349</t>
  </si>
  <si>
    <t>BBW_Crossbrands_SAS_SMS_JUNE2026 - SAS 50-70 OFF</t>
  </si>
  <si>
    <t>bbw_sms_al_base_agipl_sas_19june</t>
  </si>
  <si>
    <t>BBW_AL_SASCampaign_OnOff</t>
  </si>
  <si>
    <t>Customers who have purchased in the last 36 months with Txn_Brand AL and Exclude BBW Base</t>
  </si>
  <si>
    <t>AL Base</t>
  </si>
  <si>
    <t>19-20 June</t>
  </si>
  <si>
    <t>6a33b3f7a2347851df960e71</t>
  </si>
  <si>
    <t>bbw_sms_ck_base_agipl_sas_19june</t>
  </si>
  <si>
    <t>BBW_CK_SASCampaign_OnOff</t>
  </si>
  <si>
    <t>Customers who have purchased in the last 36 months with Txn_Brand CK and Exclude BBW Base</t>
  </si>
  <si>
    <t>6a33b476893fb92bbf8d152b</t>
  </si>
  <si>
    <t>CIS_Footwear_WAFallback</t>
  </si>
  <si>
    <t>6a328fb676efad947f34f40f</t>
  </si>
  <si>
    <t>Handbag_Totes_RCS</t>
  </si>
  <si>
    <t>6a338bbb2835b21c37ac49ca</t>
  </si>
  <si>
    <t>Handbag_Satchel_RCS</t>
  </si>
  <si>
    <t>6a338c38351e985f1a5dd463</t>
  </si>
  <si>
    <t>Handbag_Crossbody_RCS</t>
  </si>
  <si>
    <t>6a338c996bea4d136d6445f9</t>
  </si>
  <si>
    <t>Handbag_shoulder_RCS</t>
  </si>
  <si>
    <t>6a338dbb362954adc0439009</t>
  </si>
  <si>
    <t>EOSS_June 3rd Week Flat 50% OFF - No Brief</t>
  </si>
  <si>
    <t>RCS_20_June_ATC90D</t>
  </si>
  <si>
    <t>6a3539ed479ded36e5b61cc1</t>
  </si>
  <si>
    <t>RCS_20_June_ONView_Item</t>
  </si>
  <si>
    <t>6a353a3e674f574cf55861bf</t>
  </si>
  <si>
    <t>RCS_20_June_OFFEventBuyers</t>
  </si>
  <si>
    <t>6a353a9e4480f99ab82c6898</t>
  </si>
  <si>
    <t>RCS_20_June_DISCPerc_30</t>
  </si>
  <si>
    <t>6a353ae1e62aa0fd4554f386</t>
  </si>
  <si>
    <t>RCS_20_June_Repeat_1YR</t>
  </si>
  <si>
    <t>6a353b44674f574cf5586215</t>
  </si>
  <si>
    <t>RCS_20_June_OFFDISC_RPT</t>
  </si>
  <si>
    <t>6a353e22d5a966de55caced2</t>
  </si>
  <si>
    <t>RCS_20_June_Dormant</t>
  </si>
  <si>
    <t>6a353e6c76c400b6f44aa32e</t>
  </si>
  <si>
    <t>RCS_20_June_Churned</t>
  </si>
  <si>
    <t>6a353ec0659b3345c83e2dd4</t>
  </si>
  <si>
    <t>RCS_20_June_Churned366</t>
  </si>
  <si>
    <t>6a35400d3836d0cb601ce95c</t>
  </si>
  <si>
    <t>RCS_20_June_CH731</t>
  </si>
  <si>
    <t>6a35407656cf970719e1d82c</t>
  </si>
  <si>
    <t>RCS_20_June_Active_Eoss</t>
  </si>
  <si>
    <t>6a3540b8f2f67ea79ba35abd</t>
  </si>
  <si>
    <t>RCS_20_June_NonTxt</t>
  </si>
  <si>
    <t>6a354101771804f4e03a402a</t>
  </si>
  <si>
    <t>CIS_June_Sale - 40% to 60%</t>
  </si>
  <si>
    <t>06th-9th</t>
  </si>
  <si>
    <t>6a229344edc4a39d4213313b</t>
  </si>
  <si>
    <t>SAS - June 2026 - All</t>
  </si>
  <si>
    <t>SAS_Off_Event_CX (26)</t>
  </si>
  <si>
    <t>26th - 28th June</t>
  </si>
  <si>
    <t>6a3e5ec566127fc4accd3298</t>
  </si>
  <si>
    <t>SAS_Off_Recent_CX (26)</t>
  </si>
  <si>
    <t>6a3e5f57e478099545f7933c</t>
  </si>
  <si>
    <t>SAS_Off_LTV&gt;25k_CX (26)</t>
  </si>
  <si>
    <t>LTV &gt; 25k</t>
  </si>
  <si>
    <t>6a3e61484ace975d5d55a766</t>
  </si>
  <si>
    <t>Fallback - Comm2 for EOSS</t>
  </si>
  <si>
    <t>RB_45D_Purchasers, RB_90D_Purchasers, RB_135D_Purchasers, RB_180D_Purchasers, RB_Jun25_Aug25_Purchasers</t>
  </si>
  <si>
    <t>Generic, Event buyers</t>
  </si>
  <si>
    <t>26th to 28th June</t>
  </si>
  <si>
    <t>6a3a328b6c51cbff89090581</t>
  </si>
  <si>
    <t>bbw_wa_sas_cat_candle_24june_online</t>
  </si>
  <si>
    <t>24-26 June</t>
  </si>
  <si>
    <t>6a3a7bb36a72ecceb27f28ff</t>
  </si>
  <si>
    <t>bbw_wa_sas_cat_candle_24june_offline</t>
  </si>
  <si>
    <t>6a3a7c2ced995c881d94a7f9</t>
  </si>
  <si>
    <t>bbw_wa_sas_cat_mists_25june_online</t>
  </si>
  <si>
    <t>BBW_ON_MIST_365D</t>
  </si>
  <si>
    <t>Online Customers who have purchased at least 1 time from L3: Mist in the last 365D</t>
  </si>
  <si>
    <t>Category Buyers - Mist</t>
  </si>
  <si>
    <t>25-27 June</t>
  </si>
  <si>
    <t>6a3b94fdb31f24b2b34187ff</t>
  </si>
  <si>
    <t>bbw_wa_sas_cat_mists_25june_offline</t>
  </si>
  <si>
    <t>BBW_OFF_MIST_365D</t>
  </si>
  <si>
    <t>Offline Customers who have purchased at least 2 times from L3: Mist in the last 365D</t>
  </si>
  <si>
    <t>Category Buyers - Shower Gel</t>
  </si>
  <si>
    <t>6a3b95b66ada7d0a574093cd</t>
  </si>
  <si>
    <t>bbw_wa_sas_active_26june_online</t>
  </si>
  <si>
    <t>26-28 June</t>
  </si>
  <si>
    <t>6a3b9676495385e4f32f4362</t>
  </si>
  <si>
    <t>bbw_wa_sas_active_26june_offline</t>
  </si>
  <si>
    <t>6a3b980d0539dea4e4663cfc</t>
  </si>
  <si>
    <t>bbw_wa_sas_cat_showergel_27june_online</t>
  </si>
  <si>
    <t>BBW_ON_Shower_Gel_365D</t>
  </si>
  <si>
    <t>Online Customers who have purchased at least 1 time from L3: Shower Gel in the last 365D</t>
  </si>
  <si>
    <t>27-29 June</t>
  </si>
  <si>
    <t>6a3b9b93a874d39698732caf</t>
  </si>
  <si>
    <t>bbw_wa_sas_cat_showergel_27june_offline</t>
  </si>
  <si>
    <t>BBW_OFF_Shower_Gel_365D</t>
  </si>
  <si>
    <t>Offline Customers who have purchased at least 1 time from L3: Shower Gel in the last 365D</t>
  </si>
  <si>
    <t>6a3b9bd36a72ecceb27f43bd</t>
  </si>
  <si>
    <t>bbw_wa_sas_dormant_27june_online</t>
  </si>
  <si>
    <t>6a3b9c643aaf8c96ce3587d2</t>
  </si>
  <si>
    <t>bbw_wa_sas_handsoaps_28june_atc_online</t>
  </si>
  <si>
    <t>28-30 June</t>
  </si>
  <si>
    <t>6a3cf68e085c7552bc2f4199</t>
  </si>
  <si>
    <t>bbw_wa_sas_handsoaps_28june_active_on&amp;off</t>
  </si>
  <si>
    <t>6a3cf6d5a64ac505594ad5b5</t>
  </si>
  <si>
    <t>bbw_wa_sas_handsoaps_28june_dormant_on&amp;off</t>
  </si>
  <si>
    <t>6a3cf71db564a75c606dc3cf</t>
  </si>
  <si>
    <t>bbw_wa_sas_handsoaps_28june_predom800_online</t>
  </si>
  <si>
    <t>6a3cf76c2acbbaa5d239c743</t>
  </si>
  <si>
    <t>bbw_wa_sas_handsoaps_28june_event_online</t>
  </si>
  <si>
    <t>6a3cf7b5d59ad978452fadc2</t>
  </si>
  <si>
    <t>bbw_wa_sas_dormant_27june_offline</t>
  </si>
  <si>
    <t>6a3cf831b2d2179be0882fa6</t>
  </si>
  <si>
    <t>bbw_wa_sas_dormantv2_27june_offline</t>
  </si>
  <si>
    <t>6a3cf87d658c2d5ee9f337f2</t>
  </si>
  <si>
    <t>CIS_50 - Flat 50</t>
  </si>
  <si>
    <t>CIS_50_June_WA V1</t>
  </si>
  <si>
    <t>6a3d0241946680d2fffb832d</t>
  </si>
  <si>
    <t>SAS_Off_Event_CX (FB 26)</t>
  </si>
  <si>
    <t>6a3e61e0638f9d2716bd7643</t>
  </si>
  <si>
    <t>SAS_Off_Recent_CX (FB 26)</t>
  </si>
  <si>
    <t>6a3e6252d208edf338c0295a</t>
  </si>
  <si>
    <t>SAS_Off_LTV&gt;25k_CX (FB 26)</t>
  </si>
  <si>
    <t>6a3e62aa2fbb86b2caa53568</t>
  </si>
  <si>
    <t>Summer ESS - up to 30% + extra 5% off</t>
  </si>
  <si>
    <t>Summer ESS_Online_extra 5</t>
  </si>
  <si>
    <t>CK_Online_Dormant_16thJune26_V2, CK_Online_Active_16thJune26</t>
  </si>
  <si>
    <t>Custom data upload (dormant), Custom data upload (active)</t>
  </si>
  <si>
    <t>27th June - 1st July</t>
  </si>
  <si>
    <t>6a3e11b0321f27783ed10258</t>
  </si>
  <si>
    <t>Summer ESS_Offline_week2</t>
  </si>
  <si>
    <t>CK_Event_Buyers_24_06_26, CK_Full_Price_Active, CK_Full_Price_Dormant, CK_Full_Price_Churned</t>
  </si>
  <si>
    <t>All customers who have made at least one purchase during any of the following sale periods: June 22, 2023 to August 4, 2023; November 11, 2023 to November 14, 2023; November 23, 2023 to November 28, 2023; December 14, 2023 to February 4, 2024; June 19, 2024 to August 4, 2024; September 27, 2024 to September 29, 2024; November 9, 2024 to November 12, 2024; November 28, 2024 to December 2, 2024; December 18, 2024 to January 26, 2025; June 17, 2025 to August 3, 2025; November 26, 2025 to December 1, 2025; and December 18, 2025 to January 26, 2026, All customers who have purchased at least 1 time with Order_Disc_Val is equal to 0 in the last 90 days, All customers who have purchased at least 1 time with Order_Disc_Val is equal to 0 in the last 365 days, All customers who have purchased at least 1 time with Order_Disc_Val is equal to 0 in the last 1095 days</t>
  </si>
  <si>
    <t>Event Buyers, Full Price - Active, Full Price - Dormant, Full Price - Churned</t>
  </si>
  <si>
    <t>28th June - 5th July</t>
  </si>
  <si>
    <t>6a3e127c7493735d6523c52e</t>
  </si>
  <si>
    <t>Summer ESS_Online_extra 5_1</t>
  </si>
  <si>
    <t>29th June - 1st July</t>
  </si>
  <si>
    <t>6a3e12e9b326a8d12c16cd54</t>
  </si>
  <si>
    <t>bbw_smsfb_sas_cat_candle_24june_online</t>
  </si>
  <si>
    <t>6a3a7cda19466257c6dcff88</t>
  </si>
  <si>
    <t>bbw_smsfb_sas_cat_candle_24june_offline</t>
  </si>
  <si>
    <t>6a3a7d37b4657f69dbb6b321</t>
  </si>
  <si>
    <t>bbw_smsfb_sas_cat_mists_25june_online</t>
  </si>
  <si>
    <t>6a3b994380412a12ad5ac603</t>
  </si>
  <si>
    <t>bbw_smsfb_sas_cat_mists_25june_offline</t>
  </si>
  <si>
    <t>6a3b999a62bc83e313e64ae7</t>
  </si>
  <si>
    <t>bbw_smsfb_sas_active_26june_online</t>
  </si>
  <si>
    <t>6a3b9a0cd4063b2835badafb</t>
  </si>
  <si>
    <t>bbw_smsfb_sas_active_26june_offline</t>
  </si>
  <si>
    <t>6a3b9a76f800a4c6af75e278</t>
  </si>
  <si>
    <t>bbw_smsfb_sas_cat_showergel_27june_online</t>
  </si>
  <si>
    <t>6a3ba3f20381648bab00ca3a</t>
  </si>
  <si>
    <t>bbw_smsfb_sas_cat_showergel_27june_offline</t>
  </si>
  <si>
    <t>6a3ba4c84a7e3e27ba0eda86</t>
  </si>
  <si>
    <t>bbw_smsfb_sas_dormant_27june_online</t>
  </si>
  <si>
    <t>6a3ba60cc6a8a574632519ac</t>
  </si>
  <si>
    <t>bbw_sms_sas_churned_27june_online</t>
  </si>
  <si>
    <t>6a3ba66442d494d5aab48457</t>
  </si>
  <si>
    <t>bbw_sms_sas_churned2_27june_online</t>
  </si>
  <si>
    <t>6a3ba70892e5522d7e837d69</t>
  </si>
  <si>
    <t>bbw_smsfb_sas_handsoaps_28june_atc_online</t>
  </si>
  <si>
    <t>6a3cf91b946680d2fffb7fc3</t>
  </si>
  <si>
    <t>bbw_smsfb_sas_handsoaps_28june_active_on&amp;off</t>
  </si>
  <si>
    <t>6a3cf9cb91a11643c6b6e19c</t>
  </si>
  <si>
    <t>bbw_smsfb_sas_handsoaps_28june_dormant_on&amp;off</t>
  </si>
  <si>
    <t>6a3cfa2a7493735d6523a7aa</t>
  </si>
  <si>
    <t>bbw_smsfb_sas_handsoaps_28june_predom800_online</t>
  </si>
  <si>
    <t>6a3cfac4c34728b596df43e5</t>
  </si>
  <si>
    <t>bbw_smsfb_sas_handsoaps_28june_event_online</t>
  </si>
  <si>
    <t>6a3cfeac48b27fd1e4a04eb5</t>
  </si>
  <si>
    <t>bbw_smsfb_sas_dormant_27june_offline</t>
  </si>
  <si>
    <t>6a3cff049c7f38f881556204</t>
  </si>
  <si>
    <t>bbw_smsfb_sas_dormantv2_27june_offline</t>
  </si>
  <si>
    <t>6a3cffcf5de7c15e1d2542e3</t>
  </si>
  <si>
    <t>bbw_sms_sas_churned_28june_offline</t>
  </si>
  <si>
    <t>6a3d000c658c2d5ee9f33a58</t>
  </si>
  <si>
    <t>bbw_sms_sas_churned2_28june_offline</t>
  </si>
  <si>
    <t>6a3d0066a64ac505594ad803</t>
  </si>
  <si>
    <t>CIS_50_EOSS - FLAT 50</t>
  </si>
  <si>
    <t>CIS_Flat50_RCSFallback V1</t>
  </si>
  <si>
    <t>6a3d096fd59ad978452fb377</t>
  </si>
  <si>
    <t>EOSS_JUNE-JULY 2026 - Offer 30% - 60% Off</t>
  </si>
  <si>
    <t>SMS on ATC 90 day</t>
  </si>
  <si>
    <t>26th Sat - sunday 27th june 2026</t>
  </si>
  <si>
    <t>6a3e6ac4e864227e18d7819c</t>
  </si>
  <si>
    <t xml:space="preserve">EOSS_JUNE-JULY 2026 - Offer 30% - 60% Off </t>
  </si>
  <si>
    <t>SMS on view item</t>
  </si>
  <si>
    <t>6a3e6b09fbf76e957897d9d9</t>
  </si>
  <si>
    <t>SMS ON OFF EVENT BUYERS</t>
  </si>
  <si>
    <t>6a3e6b702cd407952b24e1d0</t>
  </si>
  <si>
    <t>SMS JUNE DISC PERC</t>
  </si>
  <si>
    <t>6a3e6ba6b97288c303a2dd07</t>
  </si>
  <si>
    <t xml:space="preserve">EOSS_JUNE-JULY 2026 - 30% - 60% Off </t>
  </si>
  <si>
    <t>SMS ON OFF REPEAT</t>
  </si>
  <si>
    <t>6a3e6bf5fdf43d5adeab6c6b</t>
  </si>
  <si>
    <t>EOSS_JUNE-JULY 2026 - 30% - 60% Off</t>
  </si>
  <si>
    <t>SMS ON OFF DIC</t>
  </si>
  <si>
    <t>6a3e6c5284a03a7ebb253f58</t>
  </si>
  <si>
    <t>ON OFF DORMANT SMS</t>
  </si>
  <si>
    <t>6a3e6d252cd407952b24e1fa</t>
  </si>
  <si>
    <t>CHURNED RPT SMS</t>
  </si>
  <si>
    <t>6a3e6d6590f8a39d9454fea9</t>
  </si>
  <si>
    <t>Churned 366 SMS June</t>
  </si>
  <si>
    <t>6a3e6d9b769b33a4630241e0</t>
  </si>
  <si>
    <t>Churned EOSS June SMS</t>
  </si>
  <si>
    <t>6a3e6dcf2cd407952b24e245</t>
  </si>
  <si>
    <t>Active_Eoss_SMS</t>
  </si>
  <si>
    <t>6a3e6e0612609a7daf372507</t>
  </si>
  <si>
    <t>SMS_June_Non-TxtBase</t>
  </si>
  <si>
    <t>6a3e6e3984a03a7ebb253fa7</t>
  </si>
  <si>
    <t>Comm 2 for EOSS</t>
  </si>
  <si>
    <t>Customers who shopped with us atleast once in the last 45 days, Customers who shopped with us atleast once in the last 90 days, Customers who shopped with us atleast once in the last 135 days, Customers who shopped with us atleast once in the last 180 days, Customers who have shopped with us between June 20th 2025 to August 15th 2025</t>
  </si>
  <si>
    <t>6a3a2fcac7c35ba9103c9504</t>
  </si>
  <si>
    <t>CIS_50_June - Flat 59</t>
  </si>
  <si>
    <t>CIS_50_WAFALLBACK V1</t>
  </si>
  <si>
    <t>6a3d03d87a8fcae229a4e2d5</t>
  </si>
  <si>
    <t>bbw_wa_sas_app_installed_no_purchase_29june</t>
  </si>
  <si>
    <t>29-1 July</t>
  </si>
  <si>
    <t>6a3e50e212609a7daf371e3c</t>
  </si>
  <si>
    <t>B2G2 - July'26 - Entire Store</t>
  </si>
  <si>
    <t>bbw_wa_b2g2_4july_lastreminder_blr_offline</t>
  </si>
  <si>
    <t>4-6 July</t>
  </si>
  <si>
    <t>6a43ac637cc8a38844541069</t>
  </si>
  <si>
    <t>bbw_wa_b2g2_4july_lastreminder_del_offline</t>
  </si>
  <si>
    <t>6a43aca0f2b16e9ec3c9a482</t>
  </si>
  <si>
    <t>bbw_wa_b2g2_4july_lastreminder_bom_offline</t>
  </si>
  <si>
    <t>BBW_OFF_BOM_Dorm, BBW_OFF_BOM_Active</t>
  </si>
  <si>
    <t>All Offline Customers who have purchased at least 1 time from Txn_City BOM in the last 365 days excluding TTR purchasers, All Offline Customers who have purchased at least 1 time from Txn_City BOM in the last 112 days (TTR)</t>
  </si>
  <si>
    <t>6a43acd188f624782a87bd60</t>
  </si>
  <si>
    <t>bbw_wa_b2g2_4july_lastreminder_hyd_offline</t>
  </si>
  <si>
    <t>6a43ad0cc1ef5852707e947c</t>
  </si>
  <si>
    <t>bbw_wa_b2g2_4july_lastreminder_ahd_offline</t>
  </si>
  <si>
    <t>6a43ad9cfa10745c5383c597</t>
  </si>
  <si>
    <t>bbw_wa_b2g2_4july_lastreminder_chd_offline</t>
  </si>
  <si>
    <t>6a43af02c49a44f315e574eb</t>
  </si>
  <si>
    <t>bbw_wa_b2g2_4july_lastreminder_noida_offline</t>
  </si>
  <si>
    <t>6a43af74031150d2cc275e90</t>
  </si>
  <si>
    <t>bbw_wa_b2g2_4july_lastreminder_chenn_offline</t>
  </si>
  <si>
    <t>6a43afb49a68888d5728928a</t>
  </si>
  <si>
    <t>bbw_wa_b2g2_4july_lastreminder_ggn_offline</t>
  </si>
  <si>
    <t>6a43afe7f2b16e9ec3c9a51f</t>
  </si>
  <si>
    <t>bbw_wa_b2g2_4july_lastreminder_pune_offline</t>
  </si>
  <si>
    <t>6a43b022daee55f4b72d6e09</t>
  </si>
  <si>
    <t>bbw_wa_b2g2_2july_atc_wishlist_ea_online</t>
  </si>
  <si>
    <t>ATC/Wishlist</t>
  </si>
  <si>
    <t>2-4 July</t>
  </si>
  <si>
    <t>6a43b2c8bb1296d5875540ee</t>
  </si>
  <si>
    <t>bbw_wa_b2g2_2july_active_ea_online</t>
  </si>
  <si>
    <t>6a43b300942a84968329fb2f</t>
  </si>
  <si>
    <t>bbw_wa_b2g2_2july_aov_3100_ea_online</t>
  </si>
  <si>
    <t>6a43b332fcd3efeb01c1c977</t>
  </si>
  <si>
    <t>bbw_wa_b2g2_2july_dormant_ea_online</t>
  </si>
  <si>
    <t>6a43b3681407ca32f43aca62</t>
  </si>
  <si>
    <t>bbw_wa_b2g2_3july_event_buyers_overall</t>
  </si>
  <si>
    <t>3-5 July</t>
  </si>
  <si>
    <t>6a43bb2dd8915321e13034c0</t>
  </si>
  <si>
    <t>bbw_wa_b2g2_3july_blr_offline</t>
  </si>
  <si>
    <t>6a43bc6388f624782a87c13d</t>
  </si>
  <si>
    <t>bbw_wa_b2g2_3july_del_offline</t>
  </si>
  <si>
    <t>6a43bce1da6d90a465e72ff9</t>
  </si>
  <si>
    <t>bbw_wa_b2g2_3july_bom_offline</t>
  </si>
  <si>
    <t>6a43bd3dac709499e5831473</t>
  </si>
  <si>
    <t>bbw_wa_b2g2_3july_hyd_offline</t>
  </si>
  <si>
    <t>6a43bdf0a565844e8fa21dde</t>
  </si>
  <si>
    <t>bbw_wa_b2g2_3july_ahd_offline</t>
  </si>
  <si>
    <t>6a43be3ffcd3efeb01c1cc06</t>
  </si>
  <si>
    <t>bbw_wa_b2g2_3july_chd_offline</t>
  </si>
  <si>
    <t>6a43be9a1165e563bfc2472b</t>
  </si>
  <si>
    <t>bbw_wa_b2g2_3july_noida_offline</t>
  </si>
  <si>
    <t>6a43bee13bd1737271abf376</t>
  </si>
  <si>
    <t>bbw_wa_b2g2_3july_chenn_offline</t>
  </si>
  <si>
    <t>6a43bf27f3f093293a5727c4</t>
  </si>
  <si>
    <t>bbw_wa_b2g2_3july_ggn_offline</t>
  </si>
  <si>
    <t>6a43bf9f1cb499061f9b6c84</t>
  </si>
  <si>
    <t>bbw_wa_b2g2_3july_pune_offline</t>
  </si>
  <si>
    <t>6a43bfd8b48e5599756e2a14</t>
  </si>
  <si>
    <t>bbw_wa_b2g2_5july_lastreminder_atc_wishlist_online</t>
  </si>
  <si>
    <t>5-7 July</t>
  </si>
  <si>
    <t>6a44b8d809a4638ca7281e3d</t>
  </si>
  <si>
    <t>bbw_wa_b2g2_5july_lastreminder_active_online</t>
  </si>
  <si>
    <t>6a44b9277cc8a3884454279f</t>
  </si>
  <si>
    <t>bbw_wa_b2g2_5july_lastreminder_aov_3100_online</t>
  </si>
  <si>
    <t>6a44b9e6942a8496832a0f9c</t>
  </si>
  <si>
    <t>bbw_wa_b2g2_5july_lastreminder_dormant_online</t>
  </si>
  <si>
    <t>6a44ba43106ecbb0073dd887</t>
  </si>
  <si>
    <t>bbw_wa_b2g2_5july_event_buyers_lastreminder_overall</t>
  </si>
  <si>
    <t>6a44ba7dd7029a44c83132e0</t>
  </si>
  <si>
    <t>Summer End of Season Sale - Up to 40% + additional 5% off</t>
  </si>
  <si>
    <t>SummerESS_Phase 2_online</t>
  </si>
  <si>
    <t>CK_Online_Active_16thJune26, CK_Online_Dormant_16thJune26_V2</t>
  </si>
  <si>
    <t>Custom data upload (active),Custom data upload (dormant)</t>
  </si>
  <si>
    <t>4-11 July</t>
  </si>
  <si>
    <t>6a4604c945ea2e0ae856d44b</t>
  </si>
  <si>
    <t>Summer End of Season Sale - Up to 40% off</t>
  </si>
  <si>
    <t>SummerESS_Phase 2_offline_active</t>
  </si>
  <si>
    <t>CK_Full_Price_Active</t>
  </si>
  <si>
    <t>All customers who have purchased at least 1 time with Order_Disc_Val is equal to 0 in the last 90 days</t>
  </si>
  <si>
    <t>Full Price - Active</t>
  </si>
  <si>
    <t>6a46059e10d4da32ee5b22f8</t>
  </si>
  <si>
    <t>SummerESS_Phase 2_offline_dormant</t>
  </si>
  <si>
    <t>CK_Full_Price_Dormant, CK_Event_Buyers_24_06_26</t>
  </si>
  <si>
    <t>All customers who have purchased at least 1 time with Order_Disc_Val is equal to 0 in the last 365 days, All customers who have made at least one purchase during any of the following sale periods: June 22, 2023 to August 4, 2023; November 11, 2023 to November 14, 2023; November 23, 2023 to November 28, 2023; December 14, 2023 to February 4, 2024; June 19, 2024 to August 4, 2024; September 27, 2024 to September 29, 2024; November 9, 2024 to November 12, 2024; November 28, 2024 to December 2, 2024; December 18, 2024 to January 26, 2025; June 17, 2025 to August 3, 2025; November 26, 2025 to December 1, 2025; and December 18, 2025 to January 26, 2026.</t>
  </si>
  <si>
    <t>Full Price - Dormant, Event Buyers</t>
  </si>
  <si>
    <t>6a46062c1aa6213b83e4c8f2</t>
  </si>
  <si>
    <t>SummerESS_Phase 2_offline_Churned</t>
  </si>
  <si>
    <t>CK_Full_Price_Churned</t>
  </si>
  <si>
    <t>All customers who have purchased at least 1 time with Order_Disc_Val is equal to 0 in the last 1095 days</t>
  </si>
  <si>
    <t>Full Price - Churned</t>
  </si>
  <si>
    <t>6a4607d40acea9b20f6c682a</t>
  </si>
  <si>
    <t>Summer End of Season Sale - No Brief</t>
  </si>
  <si>
    <t>SummerESS_Phase 2_online_fallback</t>
  </si>
  <si>
    <t>6a463ba470ad202e3c6d4775</t>
  </si>
  <si>
    <t>SummerESS_Phase 2_offline_active_fallback</t>
  </si>
  <si>
    <t>6a463be70171765d160b812e</t>
  </si>
  <si>
    <t>SummerESS_Phase 2_offline_dormant_fallback</t>
  </si>
  <si>
    <t>6a463ca50171765d160b8171</t>
  </si>
  <si>
    <t>SummerESS_Phase 2_offline_Churned_falback</t>
  </si>
  <si>
    <t>6a463d03dcd764e3bc4b0d80</t>
  </si>
  <si>
    <t>bbw_smsfb_sas_appinstalled_no_purchase_overall_29june</t>
  </si>
  <si>
    <t>6a3e5239e940e030e10f74eb</t>
  </si>
  <si>
    <t>bbw_sms_sas_atc_overall_29june</t>
  </si>
  <si>
    <t>6a3e52832cd407952b24dba0</t>
  </si>
  <si>
    <t>bbw_smsfb_b2g2_2july_atc_wishlist_ea_online</t>
  </si>
  <si>
    <t>6a43b59f7cc8a388445412d3</t>
  </si>
  <si>
    <t>bbw_smsfb_b2g2_2july_active_ea_online</t>
  </si>
  <si>
    <t>6a43b627eb0ca5c028daa831</t>
  </si>
  <si>
    <t>bbw_smsfb_b2g2_2july_aov_3100_ea_online</t>
  </si>
  <si>
    <t>6a43b65eb6b2c2d3a88bb332</t>
  </si>
  <si>
    <t>bbw_smsfb_b2g2_2july_dormant_ea_online</t>
  </si>
  <si>
    <t>6a43b6b2eb0ca5c028daa869</t>
  </si>
  <si>
    <t>bbw_smsfb_b2g2_3july_event_buyers_overall</t>
  </si>
  <si>
    <t>6a43c583fa10745c5383cbf5</t>
  </si>
  <si>
    <t>bbw_smsfb_b2g2_3july_blr_offline</t>
  </si>
  <si>
    <t>6a43c62100a1b62cd993bc66</t>
  </si>
  <si>
    <t>bbw_smsfb_b2g2_3july_del_offline</t>
  </si>
  <si>
    <t>6a44bd1248d1b668b8cc79ce</t>
  </si>
  <si>
    <t>bbw_smsfb_b2g2_3july_bom_offline</t>
  </si>
  <si>
    <t>6a44be471165e563bfc25915</t>
  </si>
  <si>
    <t>bbw_smsfb_b2g2_3july_hyd_offline</t>
  </si>
  <si>
    <t>6a44be97d70c64091c16f993</t>
  </si>
  <si>
    <t>bbw_smsfb_b2g2_3july_ahd_offline</t>
  </si>
  <si>
    <t>6a44beee356858929f3da39b</t>
  </si>
  <si>
    <t>bbw_smsfb_b2g2_3july_chd_offline</t>
  </si>
  <si>
    <t>6a44bf44a8d91a4a7e45e8cc</t>
  </si>
  <si>
    <t>bbw_smsfb_b2g2_3july_noida_offline</t>
  </si>
  <si>
    <t>6a44bfb3a565844e8fa232a2</t>
  </si>
  <si>
    <t>bbw_smsfb_b2g2_3july_chenn_offline</t>
  </si>
  <si>
    <t>6a44c0059d4eee61f94096a1</t>
  </si>
  <si>
    <t>bbw_smsfb_b2g2_3july_ggn_offline</t>
  </si>
  <si>
    <t>6a44c0d8e534622fa1289b35</t>
  </si>
  <si>
    <t>bbw_smsfb_b2g2_3july_pune_offline</t>
  </si>
  <si>
    <t>6a44c13914ea7d779a0020ef</t>
  </si>
  <si>
    <t>bbw_smsfb_b2g2_4july_lastreminder_blr_offline</t>
  </si>
  <si>
    <t>6a44c1b288f624782a87d45e</t>
  </si>
  <si>
    <t>bbw_smsfb_b2g2_4july_lastreminder_del_offline</t>
  </si>
  <si>
    <t>6a44c27fa8d91a4a7e45e95f</t>
  </si>
  <si>
    <t>bbw_smsfb_b2g2_4july_lastreminder_bom_offline</t>
  </si>
  <si>
    <t>6a44c2b9d8915321e130487a</t>
  </si>
  <si>
    <t>bbw_smsfb_b2g2_4july_lastreminder_hyd_offline</t>
  </si>
  <si>
    <t>6a44c30f0dd03d177c610d50</t>
  </si>
  <si>
    <t>bbw_smsfb_b2g2_4july_lastreminder_ahd_offline</t>
  </si>
  <si>
    <t>6a44c353d8915321e13048e9</t>
  </si>
  <si>
    <t>bbw_smsfb_b2g2_4july_lastreminder_chd_offline</t>
  </si>
  <si>
    <t>6a44c3ac3f74ab9d7e882397</t>
  </si>
  <si>
    <t>bbw_smsfb_b2g2_4july_lastreminder_noida_offline</t>
  </si>
  <si>
    <t>6a44c40ad70c64091c16fb56</t>
  </si>
  <si>
    <t>bbw_smsfb_b2g2_4july_lastreminder_chenn_offline</t>
  </si>
  <si>
    <t>6a44c45e08ff046b0e4c770c</t>
  </si>
  <si>
    <t>bbw_smsfb_b2g2_4july_lastreminder_ggn_offline</t>
  </si>
  <si>
    <t>6a44c49bfe480da8dbc4d0a4</t>
  </si>
  <si>
    <t>bbw_smsfb_b2g2_4july_lastreminder_pune_offline</t>
  </si>
  <si>
    <t>6a44c4d5d7029a44c83135ac</t>
  </si>
  <si>
    <t>bbw_smsfb_b2g2_5july_lastreminder_atc_wishlist_online</t>
  </si>
  <si>
    <t>6a44c5a7c1ef5852707eaf29</t>
  </si>
  <si>
    <t>bbw_smsfb_b2g2_5july_lastreminder_active_online</t>
  </si>
  <si>
    <t>6a44c9160cc8f24d9f5d1d6d</t>
  </si>
  <si>
    <t>bbw_smsfb_b2g2_5july_lastreminder_aov_3100_online</t>
  </si>
  <si>
    <t>6a44c9a57cc8a38844542cff</t>
  </si>
  <si>
    <t>bbw_smsfb_b2g2_5july_lastreminder_dormant_online</t>
  </si>
  <si>
    <t>6a44ca081165e563bfc25e19</t>
  </si>
  <si>
    <t>bbw_smsfb_b2g2_5july_event_buyers_lastreminder_overall</t>
  </si>
  <si>
    <t>6a44ca49e913f86c26e2a0fc</t>
  </si>
  <si>
    <t>CIS_3499 - flat 3499</t>
  </si>
  <si>
    <t>CIS_3499_July3</t>
  </si>
  <si>
    <r>
      <rPr>
        <rFont val="Montserrat"/>
        <color theme="1"/>
      </rPr>
      <t xml:space="preserve">Customers who have purchased in the last 36 months with Brand_PM contains SP </t>
    </r>
    <r>
      <rPr>
        <rFont val="Montserrat"/>
        <b/>
        <color theme="1"/>
      </rPr>
      <t xml:space="preserve">AND </t>
    </r>
    <r>
      <rPr>
        <rFont val="Montserrat"/>
        <color theme="1"/>
      </rPr>
      <t xml:space="preserve">Exclude overlapping Base for ALDO and CIS Base, </t>
    </r>
  </si>
  <si>
    <t xml:space="preserve">3rd to 5th </t>
  </si>
  <si>
    <t>6a46439dc9bafc71b2c3159f</t>
  </si>
  <si>
    <t>CIS_3499_July - flat 3499</t>
  </si>
  <si>
    <t>CIS_3499_July5</t>
  </si>
  <si>
    <r>
      <rPr>
        <rFont val="Montserrat"/>
        <color theme="1"/>
      </rPr>
      <t xml:space="preserve">Customers who have purchased in the last 36 months with Brand_PM contains SP </t>
    </r>
    <r>
      <rPr>
        <rFont val="Montserrat"/>
        <b/>
        <color theme="1"/>
      </rPr>
      <t xml:space="preserve">AND </t>
    </r>
    <r>
      <rPr>
        <rFont val="Montserrat"/>
        <color theme="1"/>
      </rPr>
      <t xml:space="preserve">Exclude overlapping Base for ALDO and CIS Base, </t>
    </r>
  </si>
  <si>
    <t xml:space="preserve">5th to 7th </t>
  </si>
  <si>
    <t>6a46442772369bfd237464b5</t>
  </si>
  <si>
    <t>40%-70% OFF - End of season sale</t>
  </si>
  <si>
    <t>AL_July_ON_ATC_90D_Fallback</t>
  </si>
  <si>
    <t>04th Sat - 05th Sunday July 2026</t>
  </si>
  <si>
    <t>6a47a8d67f3b65b3e38387b6</t>
  </si>
  <si>
    <t>AL_July_ON_View_Item_Fallback</t>
  </si>
  <si>
    <t>6a47a983bc9767b45adcaf49</t>
  </si>
  <si>
    <t>AL_July_ON_OFF_Event_Buyers_EOSS_Fallback</t>
  </si>
  <si>
    <t>6a47aa7418f85ba1c3d6f7fe</t>
  </si>
  <si>
    <t>AL_July_ON_OFF_Repeat_3Year_Fallback</t>
  </si>
  <si>
    <t>AL_ON_OFF_Repeat_3Year</t>
  </si>
  <si>
    <t>6a47aeac390852cfdfb15ffe</t>
  </si>
  <si>
    <t>AL_July_ON_OFF_600D_Buyers_Fallback</t>
  </si>
  <si>
    <t>AL_ON_OFF_600D_Buyers</t>
  </si>
  <si>
    <t>6a47b232a482346c16d30511</t>
  </si>
  <si>
    <t>AL_July_ON_OFF_601D_1095D_Buyers_Fallback</t>
  </si>
  <si>
    <t>AL_ON_OFF_601D_1095D_Buyers</t>
  </si>
  <si>
    <t>6a47b2b24ee2bda70054fcea</t>
  </si>
  <si>
    <t>CIS_3499_July</t>
  </si>
  <si>
    <t>3499_SMS_Fallback</t>
  </si>
  <si>
    <t>SMS Undelivered</t>
  </si>
  <si>
    <t>3-5th July</t>
  </si>
  <si>
    <t>6a46453603b06aaad5dfee2d</t>
  </si>
  <si>
    <t>3499_SMS_Fallback5thJuly</t>
  </si>
  <si>
    <t xml:space="preserve">5th to 7th July </t>
  </si>
  <si>
    <t>6a4645d72a9390f7a86b5a76</t>
  </si>
  <si>
    <t>AL_July_ON_ATC_90D</t>
  </si>
  <si>
    <t>6a47a78b335d4078250df939</t>
  </si>
  <si>
    <t>AL_July_ON_View_Item</t>
  </si>
  <si>
    <t>6a47a9466687e966614b2820</t>
  </si>
  <si>
    <t>AL_July_ON_OFF_Event_Buyers_EOSS</t>
  </si>
  <si>
    <t>Customers who have purchased at least 1 time during the periods 30 April–4 May 2025, 20–29 June 2025, 19–22 July 2025, 25 November–5 December 2025, 12–19 December 2025, 25 December 2025–5 January 2026, or 30 April–4 May 2026.</t>
  </si>
  <si>
    <t>6a47aa161a391522c4f4bd72</t>
  </si>
  <si>
    <t>AL_July_ON_OFF_Repeat_3Year</t>
  </si>
  <si>
    <t>6a47adff5e2a8468233cdfd0</t>
  </si>
  <si>
    <t>AL_July_ON_OFF_600D_Buyers</t>
  </si>
  <si>
    <t>Customers who have purchased exactly 1 time in the last 600 days</t>
  </si>
  <si>
    <t>6a47b200bc9767b45adcb178</t>
  </si>
  <si>
    <t>AL_July_ON_OFF_601D_1095D_Buyers</t>
  </si>
  <si>
    <t>Customers who have purchased exactly 1 time in the between 601 days ago and 1095 days ago</t>
  </si>
  <si>
    <t>6a47b271679aac413fd3d3f5</t>
  </si>
  <si>
    <t>SAS_July_PJs - PJs</t>
  </si>
  <si>
    <t>Store Visit_PJs_SAS_MUM (WA_FB)</t>
  </si>
  <si>
    <t>City Focused</t>
  </si>
  <si>
    <t>10th - 12th July 2026</t>
  </si>
  <si>
    <t>6a4f95e3231bcbdb0ecb9fbb</t>
  </si>
  <si>
    <t>Store Visit_PJs_SAS_DEL (WA_FB)</t>
  </si>
  <si>
    <t>Delhi_Purchasers_OnOff</t>
  </si>
  <si>
    <t>6a4f9708d832f7f3a6215199</t>
  </si>
  <si>
    <t>Store Visit_PJs_SAS_BLR (WA_FB)</t>
  </si>
  <si>
    <t>Bangalore_Purchasers_OnOff</t>
  </si>
  <si>
    <t>6a4f978c1753fbc346f04d6b</t>
  </si>
  <si>
    <t>Store Visit_PJs_SAS_PUN (WA_FB)</t>
  </si>
  <si>
    <t>Pune_Purchasers_OnOff</t>
  </si>
  <si>
    <t>6a4f982a73a706adf3ccf2a8</t>
  </si>
  <si>
    <t>EOSS- July 2026 - 25% to 60% OFF</t>
  </si>
  <si>
    <t>Fallback_Comm 3_DectoFeb</t>
  </si>
  <si>
    <t>RB_Dec25_Feb26</t>
  </si>
  <si>
    <t>10th to 12th July</t>
  </si>
  <si>
    <t>6a4f748f23002191226dfac0</t>
  </si>
  <si>
    <t>Fallback_Comm 3_MartoApril</t>
  </si>
  <si>
    <t>RB_Mar26_Apr26</t>
  </si>
  <si>
    <t>6a4f754d73a706adf3cce78c</t>
  </si>
  <si>
    <t>Fallback_Comm 3_May</t>
  </si>
  <si>
    <t>RB_May26</t>
  </si>
  <si>
    <t>6a4f77d716beab87bd07d229</t>
  </si>
  <si>
    <t>Fallback_Comm 3_June</t>
  </si>
  <si>
    <t>RB_June_26</t>
  </si>
  <si>
    <t>6a4f7874f0dbad48665af0ee</t>
  </si>
  <si>
    <t>Summer End of Season Sale - up to 40 % off + additional 10% off</t>
  </si>
  <si>
    <t>SummerESS_Flash Sale_Online</t>
  </si>
  <si>
    <t xml:space="preserve">11th to 12th July </t>
  </si>
  <si>
    <t>6a4f86cdc71f297b82aaf448</t>
  </si>
  <si>
    <t>SummerESS_Flash Sale_Churned</t>
  </si>
  <si>
    <t>6a4f8758409c3073110fdc50</t>
  </si>
  <si>
    <t>SummerESS_Flash Sale_active</t>
  </si>
  <si>
    <t>6a4f87b9531eb47f641abd36</t>
  </si>
  <si>
    <t>SummerESS_Flash Sale_dormant</t>
  </si>
  <si>
    <t>CK_Full_Price_Dormant</t>
  </si>
  <si>
    <t>All customers who have purchased at least 1 time with Order_Disc_Val is equal to 0 in the last 365 days</t>
  </si>
  <si>
    <t>Full Price - Dormant</t>
  </si>
  <si>
    <t>6a4f880f91a55b146be1fbaa</t>
  </si>
  <si>
    <t>SummerESS_Flash Sale_event shoppers</t>
  </si>
  <si>
    <t>CK_Event_Buyers_24_06_26</t>
  </si>
  <si>
    <t>All customers who have made at least one purchase during any of the following sale periods: June 22, 2023 to August 4, 2023; November 11, 2023 to November 14, 2023; November 23, 2023 to November 28, 2023; December 14, 2023 to February 4, 2024; June 19, 2024 to August 4, 2024; September 27, 2024 to September 29, 2024; November 9, 2024 to November 12, 2024; November 28, 2024 to December 2, 2024; December 18, 2024 to January 26, 2025; June 17, 2025 to August 3, 2025; November 26, 2025 to December 1, 2025; and December 18, 2025 to January 26, 2026.</t>
  </si>
  <si>
    <t>6a4f884f37c05423b4c50336</t>
  </si>
  <si>
    <t>SAS - Reminder July'26 - Entire Store</t>
  </si>
  <si>
    <t>bbw_wa_sas_last_reminder_july2026_active_online</t>
  </si>
  <si>
    <t>10-12 July</t>
  </si>
  <si>
    <t>6a4d1ac4b81e9a0453e8a528</t>
  </si>
  <si>
    <t>bbw_wa_sas_last_reminder_july2026_active_offline</t>
  </si>
  <si>
    <t>6a4d1b05f13972bbec182f24</t>
  </si>
  <si>
    <t>bbw_wa_sas_last_reminder_july2026_dormant_online</t>
  </si>
  <si>
    <t>11th - 13th July</t>
  </si>
  <si>
    <t>6a4d1b6bb81e9a0453e8a52e</t>
  </si>
  <si>
    <t>bbw_wa_sas_last_reminder_july2026_dormant_offline</t>
  </si>
  <si>
    <t>6a4d1bc877ec30a740d78428</t>
  </si>
  <si>
    <t>bbw_wa_sas_last_reminder_july2026_dormant2_offline</t>
  </si>
  <si>
    <t>6a4d1c0b8712a169e11a4fe2</t>
  </si>
  <si>
    <t>bbw_wa_sas_last_reminder_july2026_churned_online</t>
  </si>
  <si>
    <t>12th - 14th July</t>
  </si>
  <si>
    <t>6a4d1cbc2d118f766961c234</t>
  </si>
  <si>
    <t>bbw_wa_sas_last_reminder_july2026_churned_offline</t>
  </si>
  <si>
    <t>6a4d1cf819ce1e6af16fd11d</t>
  </si>
  <si>
    <t>Store Visit_PJs_SAS_MUM (WA_FB_Cross-brand_AL)</t>
  </si>
  <si>
    <t>VS_ALDOa_Mumbai</t>
  </si>
  <si>
    <t>10th - 12th July</t>
  </si>
  <si>
    <t>6a4faa73071b0ad263100314</t>
  </si>
  <si>
    <t>Store Visit_PJs_SAS_DEL (WA_FB_Cross-brand_AL)</t>
  </si>
  <si>
    <t>VS_ALDO_Delhi</t>
  </si>
  <si>
    <t>6a4fab01c8dbac5930b271f2</t>
  </si>
  <si>
    <t>Store Visit_PJs_SAS_BLR (WA_FB_Cross-brand_AL)</t>
  </si>
  <si>
    <t>VS_ALDO_Bangalore</t>
  </si>
  <si>
    <t>6a4fab879aa40630e845c64a</t>
  </si>
  <si>
    <t>Store Visit_PJs_SAS_PUN (WA_FB_Cross-brand_AL)</t>
  </si>
  <si>
    <t>VS_ALDO_Pune</t>
  </si>
  <si>
    <t>6a4fac97f3e345d0abce1929</t>
  </si>
  <si>
    <t>Store Visit_PJs_SAS_MUM (WA_FB_Cross-brand_CK)</t>
  </si>
  <si>
    <t>VS_CK_Mumbai</t>
  </si>
  <si>
    <t>6a4fad0b231bcbdb0ecba5cd</t>
  </si>
  <si>
    <t>Store Visit_PJs_SAS_DEL (WA_FB_Cross-brand_CK)</t>
  </si>
  <si>
    <t>VS_CK_Delhi</t>
  </si>
  <si>
    <t>6a4fad88d7475a0f3677407b</t>
  </si>
  <si>
    <t>Store Visit_PJs_SAS_BLR (WA_FB_Cross-brand_CK)</t>
  </si>
  <si>
    <t>VS_CK_Bangalore</t>
  </si>
  <si>
    <t>6a4fae09fc05ac9e5526d902</t>
  </si>
  <si>
    <t>Store Visit_PJs_SAS_PUN (WA_FB_Cross-brand_CK)</t>
  </si>
  <si>
    <t>VS_CK_Pune</t>
  </si>
  <si>
    <t>6a4faeec793bc6c996e9b256</t>
  </si>
  <si>
    <t>Store Visit_PJs_SAS_MUM (WA_SMS)</t>
  </si>
  <si>
    <t>6a4f987e91ad22a7f92b1461</t>
  </si>
  <si>
    <t>Store Visit_PJs_SAS_DEL (WA_SMS)</t>
  </si>
  <si>
    <t>6a4f9906dbba260fc90910da</t>
  </si>
  <si>
    <t>Store Visit_PJs_SAS_BLR (WA_SMS)</t>
  </si>
  <si>
    <t>6a4f9ae2e8f6c617202f54c8</t>
  </si>
  <si>
    <t>Store Visit_PJs_SAS_PUN ((WA_SMS)</t>
  </si>
  <si>
    <t>6a4f9b9034a95ffc7379270d</t>
  </si>
  <si>
    <t>1346_Ambi VK_Upto30</t>
  </si>
  <si>
    <t>CROCS_AMBI VASAT KUNJ DELHI_1346</t>
  </si>
  <si>
    <t>Customers shopping in Txn_store Code :- 1346</t>
  </si>
  <si>
    <t>Store base</t>
  </si>
  <si>
    <t>10th - 31 July 2026</t>
  </si>
  <si>
    <t>6a4fa65e86bf8073ff3c77ea</t>
  </si>
  <si>
    <t>1311_Ambi VK_Upto30</t>
  </si>
  <si>
    <t>CROCS_KIOSK AMBIENCE GURGAON_1311</t>
  </si>
  <si>
    <t>Customers shopping in Txn_store Code :- 1311</t>
  </si>
  <si>
    <t>6a4fa6a7f0ddeb6dd5e0cdc5</t>
  </si>
  <si>
    <t>1317_I-Thums Noida_B3@50</t>
  </si>
  <si>
    <t>CROCS_KIOSK ITHUM NOIDA_1317</t>
  </si>
  <si>
    <t>Customers shopping in Txn_store Code :- 1317</t>
  </si>
  <si>
    <t>6a4fa6f0462d515a31ce446c</t>
  </si>
  <si>
    <t>1274_CP 67 Mohali_B3@50</t>
  </si>
  <si>
    <t>CROCS_KIOSK CP67 MOHALI_1274</t>
  </si>
  <si>
    <t>Customers shopping in Txn_store Code :- 1274</t>
  </si>
  <si>
    <t>6a4fa779231bcbdb0ecba45d</t>
  </si>
  <si>
    <t>1256_WIS Amritsar_B3@50</t>
  </si>
  <si>
    <t>CROCS_WALK IN SQUARE AMRITSAR_1256</t>
  </si>
  <si>
    <t>Customers shopping in Txn_store Code :- 1256</t>
  </si>
  <si>
    <t>6a4fa7da6cfda6e89b8d7729</t>
  </si>
  <si>
    <t>3017_Akshardham_Flat50</t>
  </si>
  <si>
    <t>CROCS_AKSHARDHAM MALL_3017</t>
  </si>
  <si>
    <t>Customers shopping in Txn_store Code :- 3017</t>
  </si>
  <si>
    <t>6a4fa856ba49856f08c7cc4f</t>
  </si>
  <si>
    <t>1347_Amayra_Flat50</t>
  </si>
  <si>
    <t>CROCS_FO AMAYRA PUNJAB_1347</t>
  </si>
  <si>
    <t>Customers shopping in Txn_store Code :- 1347</t>
  </si>
  <si>
    <t>6a4fa8916cfda6e89b8d7734</t>
  </si>
  <si>
    <t>1257_Gajraula_Flat50</t>
  </si>
  <si>
    <t>CROCS_GAJRAULA_1257</t>
  </si>
  <si>
    <t>Customers shopping in Txn_store Code :- 1257</t>
  </si>
  <si>
    <t>6a4fa8d79279f5889f8f7249</t>
  </si>
  <si>
    <t>1275_Hisar_Flat50</t>
  </si>
  <si>
    <t>CROCS_HISAR HARYANA_1275</t>
  </si>
  <si>
    <t>Customers shopping in Txn_store Code :- 1375</t>
  </si>
  <si>
    <t>6a4fa918a3f4d21c29d3c962</t>
  </si>
  <si>
    <t>1255_Kohara_Flat50</t>
  </si>
  <si>
    <t>CROCS_KOHARA LUDHIANA_1255</t>
  </si>
  <si>
    <t>Customers shopping in Txn_store Code :- 1255</t>
  </si>
  <si>
    <t>6a4fa9dea3d537a702fbd597</t>
  </si>
  <si>
    <t>3016_Moga_Flat50</t>
  </si>
  <si>
    <t>CROCS_MOGA PUNJAB_3016</t>
  </si>
  <si>
    <t>Customers shopping in Txn_store Code :- 3016</t>
  </si>
  <si>
    <t>6a4faa2e2c4d5aadad43ce29</t>
  </si>
  <si>
    <t>1293_Paschim Vihar_Flat50</t>
  </si>
  <si>
    <t>CROCS_PASCHIM VIHAR DELHI_1293</t>
  </si>
  <si>
    <t>Customers shopping in Txn_store Code :- 1293</t>
  </si>
  <si>
    <t>6a4faa8fcbfea30c91f2fd69</t>
  </si>
  <si>
    <t>1263_Yamuna Nagar_Flat50</t>
  </si>
  <si>
    <t>CROCS_MODEL TOWN YAMUNANAGAR_1263</t>
  </si>
  <si>
    <t>Customers shopping in Txn_store Code :- 1263</t>
  </si>
  <si>
    <t>6a4faafea0701c84134a8f73</t>
  </si>
  <si>
    <t>Summer End of Season Sale - up to 40 % off</t>
  </si>
  <si>
    <t>Summer ESS_phase2_offline</t>
  </si>
  <si>
    <t>All customers who have made at least one purchase during any of the following sale periods: June 22, 2023 to August 4, 2023; November 11, 2023 to November 14, 2023; November 23, 2023 to November 28, 2023; December 14, 2023 to February 4, 2024; June 19, 2024 to August 4, 2024; September 27, 2024 to September 29, 2024; November 9, 2024 to November 12, 2024; November 28, 2024 to December 2, 2024; December 18, 2024 to January 26, 2025; June 17, 2025 to August 3, 2025; November 26, 2025 to December 1, 2025; and December 18, 2025 to January 26, 2026., 
All customers who have purchased at least 1 time with Order_Disc_Val is equal to 0 in the last 90 days,
All customers who have purchased at least 1 time with Order_Disc_Val is equal to 0 in the last 365 days
All customers who have purchased at least 1 time with Order_Disc_Val is equal to 0 in the last 1095 days</t>
  </si>
  <si>
    <t>Full Price - Active
Full Price - Dormant
Full Price - Churned</t>
  </si>
  <si>
    <t>10th - 18th July</t>
  </si>
  <si>
    <t>6a4f6276b6710d0333911d02</t>
  </si>
  <si>
    <t>SummerESS_Flash Sale_Online_fallback</t>
  </si>
  <si>
    <t>6a4f8b3b1753fbc346f049ea</t>
  </si>
  <si>
    <t>SummerESS_Flash Sale_Churned_fallback</t>
  </si>
  <si>
    <t>6a4f8b80b55af4a712dd9cde</t>
  </si>
  <si>
    <t>SummerESS_Flash Sale_active_fallback</t>
  </si>
  <si>
    <t>6a4f8bca3f1defff3126df54</t>
  </si>
  <si>
    <t>SummerESS_Flash Sale_dormant_fallback</t>
  </si>
  <si>
    <t>6a4f8c0b9279f5889f8f6c47</t>
  </si>
  <si>
    <t>SummerESS_Flash Sale_event shoppers_Fallback</t>
  </si>
  <si>
    <t>6a4f8c6291ad22a7f92b113d</t>
  </si>
  <si>
    <t>bbw_smsfb_sas_last_reminder_july2026_dormant_offline</t>
  </si>
  <si>
    <t>6a4df3f037c3df60c02249a8</t>
  </si>
  <si>
    <t>bbw_smsfb_sas_last_reminder_july2026_churned_online</t>
  </si>
  <si>
    <t>6a4df44df5b24caf615ce6f3</t>
  </si>
  <si>
    <t>bbw_smsfb_sas_last_reminder_july2026_churned_offline</t>
  </si>
  <si>
    <t>6a4df4b3b81e9a0453e8b6ae</t>
  </si>
  <si>
    <t>bbw_smsfb_sas_last_reminder_july2026_dormant_online</t>
  </si>
  <si>
    <t>6a4df616d2a44a65a62a94e4</t>
  </si>
  <si>
    <t>bbw_smsfb_sas_last_reminder_july2026_dormant2_offline</t>
  </si>
  <si>
    <t>6a4df703f13972bbec184171</t>
  </si>
  <si>
    <t>bbw_smsfb_sas_last_reminder_july2026_active_online</t>
  </si>
  <si>
    <t>6a4df743df186dcfd0460b97</t>
  </si>
  <si>
    <t>bbw_smsfb_sas_last_reminder_july2026_active_offline</t>
  </si>
  <si>
    <t>6a4df8620137e707fe303324</t>
  </si>
  <si>
    <t>CIS_2499 - Flat 2499</t>
  </si>
  <si>
    <t>cis_2499_10thJuly</t>
  </si>
  <si>
    <r>
      <rPr>
        <rFont val="Montserrat"/>
        <color theme="1"/>
        <sz val="10.0"/>
      </rPr>
      <t xml:space="preserve">Customers who have purchased in the last 36 months with Brand_PM contains SP </t>
    </r>
    <r>
      <rPr>
        <rFont val="Montserrat"/>
        <b/>
        <color theme="1"/>
        <sz val="10.0"/>
      </rPr>
      <t xml:space="preserve">AND </t>
    </r>
    <r>
      <rPr>
        <rFont val="Montserrat"/>
        <color theme="1"/>
        <sz val="10.0"/>
      </rPr>
      <t>Exclude overlapping Base for ALDO and CIS Base</t>
    </r>
  </si>
  <si>
    <t>10th-12th July</t>
  </si>
  <si>
    <t>6a4f593a7db9337d847fb98f</t>
  </si>
  <si>
    <t>EOSS_40-70 PERCENT OFF - End of Season Sale _ July</t>
  </si>
  <si>
    <t>SMS_FB_ATC_90D</t>
  </si>
  <si>
    <t>11th July Sat  - 12th July Sunday</t>
  </si>
  <si>
    <t>6a5096cbc4328759d07a9796</t>
  </si>
  <si>
    <t>FB_SMS_View Iteam</t>
  </si>
  <si>
    <t>6a5097b69a0a78ae77916c5e</t>
  </si>
  <si>
    <t>Event_Buyers_SMS FB</t>
  </si>
  <si>
    <t>6a5098420ba7b14c8b81389b</t>
  </si>
  <si>
    <t>SMS_Repeat_FB</t>
  </si>
  <si>
    <t>6a5098d7c8c62834dd2b1d6c</t>
  </si>
  <si>
    <t>SMS_July_60D_Buyers</t>
  </si>
  <si>
    <t>6a50992bffc7986ff14f32be</t>
  </si>
  <si>
    <t>SMS_FB_July_1095D_Buyers</t>
  </si>
  <si>
    <t>6a50998d36b01343217c8293</t>
  </si>
  <si>
    <t>Store Visit_PJs_SAS_MUM (SMS_FB_AL)</t>
  </si>
  <si>
    <t>6a4fafc3c71f297b82aafda5</t>
  </si>
  <si>
    <t>Store Visit_PJs_SAS_DEL (SMS_FB_AL)</t>
  </si>
  <si>
    <t>6a4fb021fe8d79172a5b5311</t>
  </si>
  <si>
    <t>Store Visit_PJs_SAS_BLR (SMS_FB_AL)</t>
  </si>
  <si>
    <t>6a4fb0d4a0701c84134a8fcc</t>
  </si>
  <si>
    <t>Store Visit_PJs_SAS_PUN (SMS_FB_AL)</t>
  </si>
  <si>
    <t>6a4fb133c71f297b82aafdb0</t>
  </si>
  <si>
    <t>Store Visit_PJs_SAS_MUM (SMS_FB_CK)</t>
  </si>
  <si>
    <t>6a4fb18df0de8c1eded7d43e</t>
  </si>
  <si>
    <t>Store Visit_PJs_SAS_DEL (SMS_FB_CK)</t>
  </si>
  <si>
    <t>6a4fb1fcc1de9234b6b31030</t>
  </si>
  <si>
    <t>Store Visit_PJs_SAS_BLR (SMS_FB_CK)</t>
  </si>
  <si>
    <t>6a4fb241a3f4d21c29d3ca3b</t>
  </si>
  <si>
    <t>Store Visit_PJs_SAS_PUN (SMS_FB_CK)</t>
  </si>
  <si>
    <t>6a4fb28071560fcda614bcc0</t>
  </si>
  <si>
    <t>Store Visit_PJs_SAS_MUM</t>
  </si>
  <si>
    <t>All customers who have shopped in Mumbai VS stores or have shopped online with Txn_City is Mumbai</t>
  </si>
  <si>
    <t>6a4f8fe9b6710d0333912a80</t>
  </si>
  <si>
    <t>Store Visit_PJs_SAS_DEL</t>
  </si>
  <si>
    <t>All customers who have shopped in Delhi VS stores or have shopped online with Txn_City is Delhi</t>
  </si>
  <si>
    <t>6a4f9191965dec76e2fc671c</t>
  </si>
  <si>
    <t>Store Visit_PJs_SAS_BLR</t>
  </si>
  <si>
    <t>All customers who have shopped in Bengaluru VS stores or have shopped online with Txn_City is Bengaluru</t>
  </si>
  <si>
    <t>6a4f91f69aa40630e845c096</t>
  </si>
  <si>
    <t>Store Visit_PJs_SAS_PUN</t>
  </si>
  <si>
    <t>All customers who have shopped in Pune VS stores or have shopped online with Txn_City is Pune</t>
  </si>
  <si>
    <t>6a4f923508ce7abfee5c374e</t>
  </si>
  <si>
    <t>EOSS - July 2026 - 25% to 60% OFF</t>
  </si>
  <si>
    <t>Comm 3_DectoFeb</t>
  </si>
  <si>
    <t>All offline customers who have purchased between Dec 2025 and Feb 2026</t>
  </si>
  <si>
    <t>6a4f73e2cbfea30c91f2ed81</t>
  </si>
  <si>
    <t>Comm 3_MartoApril</t>
  </si>
  <si>
    <t>All offline customers who have purchased between March 2026 and April 2026</t>
  </si>
  <si>
    <t>6a4f74ea36550d9e1f6b6d3f</t>
  </si>
  <si>
    <t>Comm 3_May</t>
  </si>
  <si>
    <t>All offline customers who have purchased in May 2026</t>
  </si>
  <si>
    <t>6a4f75d24a8095a6a3e84cdb</t>
  </si>
  <si>
    <t>Comm 3_June</t>
  </si>
  <si>
    <t>All offline customers who have purchased in June 2026</t>
  </si>
  <si>
    <t>6a4f782c6ea63a2f83520198</t>
  </si>
  <si>
    <t>CIS_2499_RCS1 - 2499</t>
  </si>
  <si>
    <t>2499_sms_fallback</t>
  </si>
  <si>
    <t>6a4f59d683fb115d90c63938</t>
  </si>
  <si>
    <t>EOSS_40%-70% OFF - Season Sale EOSS</t>
  </si>
  <si>
    <t>JulyWk2_ATC_90D_RCS</t>
  </si>
  <si>
    <t>6a5091d6f09f749bc0a6210e</t>
  </si>
  <si>
    <t>Wk2_July_View Iteam_RCS</t>
  </si>
  <si>
    <t>6a5092840ba7b14c8b813685</t>
  </si>
  <si>
    <t>July_Wk2_Event_Buyers_RCS</t>
  </si>
  <si>
    <t>6a50931220222c3c39f6545b</t>
  </si>
  <si>
    <t>JUWK2_Repeat_RCS</t>
  </si>
  <si>
    <t>6a50935846e310cff6c60cfd</t>
  </si>
  <si>
    <t>WK2_RCS_July_60D_Buyers</t>
  </si>
  <si>
    <t>6a5094c69a0a78ae77916bb4</t>
  </si>
  <si>
    <t>RCS_July_1095D_Buyers</t>
  </si>
  <si>
    <t>6a5095378b5271a5d16ff437</t>
  </si>
  <si>
    <t>Store Visit_PJs_SAS_MUM (Cross-brand_AL)</t>
  </si>
  <si>
    <t>All customers who have shopped in last 1 year Mumbai ALDO stores or have shopped online with Txn_City is Mumbai</t>
  </si>
  <si>
    <t>6a4fa1f6fe8d79172a5b5112</t>
  </si>
  <si>
    <t>Store Visit_PJs_SAS_DEL (Cross-brand_AL)</t>
  </si>
  <si>
    <t>All customers who have shopped in last 1 year Delhi ALDO stores or have shopped online with Txn_City is Delhi</t>
  </si>
  <si>
    <t>6a4fa561cbfea30c91f2fc76</t>
  </si>
  <si>
    <t>Store Visit_PJs_SAS_BLR (Cross-brand_AL)</t>
  </si>
  <si>
    <t>All customers who have shopped in last 1 year Bengaluru ALDO stores or have shopped online with Txn_City is Bengaluru</t>
  </si>
  <si>
    <t>6a4fa681965dec76e2fc6bd8</t>
  </si>
  <si>
    <t>Store Visit_PJs_SAS_PUN (Cross-brand_AL)</t>
  </si>
  <si>
    <t>All customers who have shopped in last 1 year Pune ALDO stores or have shopped online with Txn_City is Pune</t>
  </si>
  <si>
    <t>6a4fa6e14a8095a6a3e859fe</t>
  </si>
  <si>
    <t>Store Visit_PJs_SAS_MUM (Cross-brand_CK)</t>
  </si>
  <si>
    <t>All customers who have shopped in last 1 year Mumbai CK stores or have shopped online with Txn_City is Mumbai</t>
  </si>
  <si>
    <t>6a4fa8376b5c35552025a65f</t>
  </si>
  <si>
    <t>Store Visit_PJs_SAS_DEL (Cross-brand_CK)</t>
  </si>
  <si>
    <t>All customers who have shopped in last 1 year Delhi CK stores or have shopped online with Txn_City is Delhi</t>
  </si>
  <si>
    <t>6a4fa88b06d585520eee1581</t>
  </si>
  <si>
    <t>Store Visit_PJs_SAS_BLR (Cross-brand_CK)</t>
  </si>
  <si>
    <t>All customers who have shopped in last 1 year Bengaluru CK stores or have shopped online with Txn_City is Bengaluru</t>
  </si>
  <si>
    <t>6a4fa8d0c1de9234b6b30f2d</t>
  </si>
  <si>
    <t>Store Visit_PJs_SAS_PUN (Cross-brand_CK)</t>
  </si>
  <si>
    <t>All customers who have shopped in last 1 year Pune CK stores or have shopped online with Txn_City is Pune</t>
  </si>
  <si>
    <t>6a4fa90f965dec76e2fc6c1d</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</si>
</sst>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h&quot;:&quot;mm&quot; &quot;am/pm"/>
    <numFmt numFmtId="165" formatCode="d&quot;-&quot;mmm&quot;-&quot;yyyy"/>
    <numFmt numFmtId="166" formatCode="d&quot; &quot;mmmm&quot; &quot;yyyy"/>
    <numFmt numFmtId="167" formatCode="d mmmm"/>
    <numFmt numFmtId="168" formatCode="d mmm"/>
    <numFmt numFmtId="169" formatCode="m/d/yyyy"/>
    <numFmt numFmtId="170" formatCode="dd mmmm"/>
    <numFmt numFmtId="171" formatCode="dd mmm"/>
    <numFmt numFmtId="172" formatCode="h:mm am/pm"/>
  </numFmts>
  <fonts count="23">
    <font>
      <sz val="10.0"/>
      <color rgb="FF000000"/>
      <name val="Arial"/>
      <scheme val="minor"/>
    </font>
    <font>
      <b/>
      <color rgb="FFFFFFFF"/>
      <name val="Montserrat"/>
    </font>
    <font>
      <color theme="1"/>
      <name val="Montserrat"/>
    </font>
    <font>
      <sz val="10.0"/>
      <color theme="1"/>
      <name val="Montserrat"/>
    </font>
    <font>
      <sz val="10.0"/>
      <color rgb="FF000000"/>
      <name val="Montserrat"/>
    </font>
    <font>
      <color rgb="FF000000"/>
      <name val="Montserrat"/>
    </font>
    <font>
      <color rgb="FF1E1E1E"/>
      <name val="Montserrat"/>
    </font>
    <font>
      <color theme="1"/>
      <name val="Arial"/>
      <scheme val="minor"/>
    </font>
    <font>
      <color rgb="FF000000"/>
      <name val="Arial"/>
    </font>
    <font>
      <color theme="1"/>
      <name val="Arial"/>
    </font>
    <font>
      <sz val="11.0"/>
      <color rgb="FF000000"/>
      <name val="Montserrat"/>
    </font>
    <font>
      <sz val="10.0"/>
      <color rgb="FF1E1E1E"/>
      <name val="Montserrat"/>
    </font>
    <font>
      <sz val="11.0"/>
      <color rgb="FF1E1E1E"/>
      <name val="CircularXXWeb-Regular"/>
    </font>
    <font>
      <color rgb="FF1E1E1E"/>
      <name val="CircularXXWeb-Regular"/>
    </font>
    <font>
      <color rgb="FF101931"/>
      <name val="CircularXXWeb-Regular"/>
    </font>
    <font>
      <sz val="9.0"/>
      <color theme="1"/>
      <name val="Montserrat"/>
    </font>
    <font>
      <color rgb="FF101931"/>
      <name val="Montserrat"/>
    </font>
    <font>
      <color rgb="FFFFFFFF"/>
      <name val="Montserrat"/>
    </font>
    <font>
      <sz val="11.0"/>
      <color theme="1"/>
      <name val="Montserrat"/>
    </font>
    <font>
      <sz val="11.0"/>
      <color rgb="FF1E1E1E"/>
      <name val="Montserrat"/>
    </font>
    <font>
      <sz val="8.0"/>
      <color theme="1"/>
      <name val="Montserrat"/>
    </font>
    <font>
      <sz val="10.0"/>
      <color rgb="FFFFFFFF"/>
      <name val="Montserrat"/>
    </font>
    <font>
      <sz val="9.0"/>
      <color rgb="FFFFFFFF"/>
      <name val="Montserrat"/>
    </font>
  </fonts>
  <fills count="10">
    <fill>
      <patternFill patternType="none"/>
    </fill>
    <fill>
      <patternFill patternType="lightGray"/>
    </fill>
    <fill>
      <patternFill patternType="solid">
        <fgColor rgb="FF666666"/>
        <bgColor rgb="FF666666"/>
      </patternFill>
    </fill>
    <fill>
      <patternFill patternType="solid">
        <fgColor rgb="FFFFFFFF"/>
        <bgColor rgb="FFFFFFFF"/>
      </patternFill>
    </fill>
    <fill>
      <patternFill patternType="solid">
        <fgColor rgb="FF00FF00"/>
        <bgColor rgb="FF00FF00"/>
      </patternFill>
    </fill>
    <fill>
      <patternFill patternType="solid">
        <fgColor theme="0"/>
        <bgColor theme="0"/>
      </patternFill>
    </fill>
    <fill>
      <patternFill patternType="solid">
        <fgColor rgb="FFFF9900"/>
        <bgColor rgb="FFFF9900"/>
      </patternFill>
    </fill>
    <fill>
      <patternFill patternType="solid">
        <fgColor rgb="FFFF0000"/>
        <bgColor rgb="FFFF0000"/>
      </patternFill>
    </fill>
    <fill>
      <patternFill patternType="solid">
        <fgColor rgb="FFFFFF00"/>
        <bgColor rgb="FFFFFF00"/>
      </patternFill>
    </fill>
    <fill>
      <patternFill patternType="solid">
        <fgColor rgb="FF434343"/>
        <bgColor rgb="FF434343"/>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20">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shrinkToFit="0" vertical="center" wrapText="1"/>
    </xf>
    <xf borderId="1" fillId="2" fontId="1" numFmtId="165" xfId="0" applyAlignment="1" applyBorder="1" applyFont="1" applyNumberFormat="1">
      <alignment horizontal="center" shrinkToFit="0" vertical="center" wrapText="1"/>
    </xf>
    <xf borderId="1" fillId="2" fontId="1" numFmtId="0" xfId="0" applyAlignment="1" applyBorder="1" applyFont="1">
      <alignment horizontal="center" readingOrder="0" shrinkToFit="0" vertical="center" wrapText="1"/>
    </xf>
    <xf borderId="0" fillId="2" fontId="1" numFmtId="165" xfId="0" applyAlignment="1" applyFont="1" applyNumberFormat="1">
      <alignment horizontal="center" shrinkToFit="0" vertical="center" wrapText="1"/>
    </xf>
    <xf borderId="0" fillId="2" fontId="1" numFmtId="0" xfId="0" applyAlignment="1" applyFont="1">
      <alignment horizontal="center" shrinkToFit="0" vertical="center" wrapText="1"/>
    </xf>
    <xf borderId="0" fillId="2" fontId="1" numFmtId="0" xfId="0" applyAlignment="1" applyFont="1">
      <alignment horizontal="center" readingOrder="0" shrinkToFit="0" vertical="center" wrapText="1"/>
    </xf>
    <xf borderId="0" fillId="2" fontId="2" numFmtId="165" xfId="0" applyAlignment="1" applyFont="1" applyNumberFormat="1">
      <alignment horizontal="center" shrinkToFit="0" vertical="center" wrapText="1"/>
    </xf>
    <xf borderId="1" fillId="3" fontId="2" numFmtId="166" xfId="0" applyAlignment="1" applyBorder="1" applyFill="1" applyFont="1" applyNumberFormat="1">
      <alignment horizontal="left" readingOrder="0" shrinkToFit="0" vertical="center" wrapText="1"/>
    </xf>
    <xf borderId="1" fillId="3" fontId="2" numFmtId="164" xfId="0" applyAlignment="1" applyBorder="1" applyFont="1" applyNumberFormat="1">
      <alignment horizontal="left" readingOrder="0" shrinkToFit="0" vertical="center" wrapText="1"/>
    </xf>
    <xf borderId="1" fillId="3" fontId="3" numFmtId="0" xfId="0" applyAlignment="1" applyBorder="1" applyFont="1">
      <alignment horizontal="left" readingOrder="0" shrinkToFit="0" vertical="center" wrapText="1"/>
    </xf>
    <xf borderId="1" fillId="3" fontId="4" numFmtId="0" xfId="0" applyAlignment="1" applyBorder="1" applyFont="1">
      <alignment horizontal="left" readingOrder="0" shrinkToFit="0" vertical="center" wrapText="1"/>
    </xf>
    <xf borderId="1" fillId="3" fontId="3" numFmtId="0" xfId="0" applyAlignment="1" applyBorder="1" applyFont="1">
      <alignment readingOrder="0" shrinkToFit="0" vertical="center" wrapText="1"/>
    </xf>
    <xf borderId="1" fillId="3" fontId="5" numFmtId="0" xfId="0" applyAlignment="1" applyBorder="1" applyFont="1">
      <alignment readingOrder="0" shrinkToFit="0" vertical="center" wrapText="1"/>
    </xf>
    <xf borderId="1" fillId="3" fontId="4" numFmtId="3" xfId="0" applyAlignment="1" applyBorder="1" applyFont="1" applyNumberFormat="1">
      <alignment horizontal="center" readingOrder="0" shrinkToFit="0" vertical="center" wrapText="1"/>
    </xf>
    <xf borderId="1" fillId="3" fontId="4" numFmtId="10" xfId="0" applyAlignment="1" applyBorder="1" applyFont="1" applyNumberFormat="1">
      <alignment horizontal="center" readingOrder="0" shrinkToFit="0" vertical="center" wrapText="1"/>
    </xf>
    <xf borderId="1" fillId="3" fontId="3" numFmtId="3" xfId="0" applyAlignment="1" applyBorder="1" applyFont="1" applyNumberFormat="1">
      <alignment horizontal="center" readingOrder="0" shrinkToFit="0" vertical="center" wrapText="1"/>
    </xf>
    <xf borderId="1" fillId="3" fontId="3" numFmtId="10" xfId="0" applyAlignment="1" applyBorder="1" applyFont="1" applyNumberFormat="1">
      <alignment horizontal="center" readingOrder="0" shrinkToFit="0" vertical="center" wrapText="1"/>
    </xf>
    <xf borderId="1" fillId="3" fontId="4" numFmtId="0" xfId="0" applyAlignment="1" applyBorder="1" applyFont="1">
      <alignment horizontal="center" readingOrder="0" shrinkToFit="0" vertical="center" wrapText="1"/>
    </xf>
    <xf borderId="1" fillId="3" fontId="5" numFmtId="10" xfId="0" applyAlignment="1" applyBorder="1" applyFont="1" applyNumberFormat="1">
      <alignment horizontal="center" readingOrder="0" shrinkToFit="0" vertical="center" wrapText="1"/>
    </xf>
    <xf borderId="1" fillId="3" fontId="5" numFmtId="0" xfId="0" applyAlignment="1" applyBorder="1" applyFont="1">
      <alignment horizontal="center" readingOrder="0" shrinkToFit="0" vertical="center" wrapText="1"/>
    </xf>
    <xf borderId="1" fillId="3" fontId="2" numFmtId="0" xfId="0" applyAlignment="1" applyBorder="1" applyFont="1">
      <alignment horizontal="center" readingOrder="0" shrinkToFit="0" vertical="center" wrapText="1"/>
    </xf>
    <xf borderId="0" fillId="3" fontId="4" numFmtId="0" xfId="0" applyAlignment="1" applyFont="1">
      <alignment shrinkToFit="0" vertical="center" wrapText="1"/>
    </xf>
    <xf borderId="1" fillId="3" fontId="2" numFmtId="164" xfId="0" applyAlignment="1" applyBorder="1" applyFont="1" applyNumberFormat="1">
      <alignment horizontal="left" shrinkToFit="0" vertical="center" wrapText="1"/>
    </xf>
    <xf borderId="1" fillId="3" fontId="6" numFmtId="3" xfId="0" applyAlignment="1" applyBorder="1" applyFont="1" applyNumberFormat="1">
      <alignment horizontal="center" vertical="center"/>
    </xf>
    <xf borderId="1" fillId="3" fontId="2" numFmtId="3" xfId="0" applyAlignment="1" applyBorder="1" applyFont="1" applyNumberFormat="1">
      <alignment horizontal="center" shrinkToFit="0" vertical="center" wrapText="1"/>
    </xf>
    <xf borderId="1" fillId="0" fontId="2" numFmtId="166" xfId="0" applyAlignment="1" applyBorder="1" applyFont="1" applyNumberFormat="1">
      <alignment horizontal="left" readingOrder="0" shrinkToFit="0" vertical="center" wrapText="1"/>
    </xf>
    <xf borderId="1" fillId="0" fontId="2" numFmtId="164" xfId="0" applyAlignment="1" applyBorder="1" applyFont="1" applyNumberFormat="1">
      <alignment horizontal="left" shrinkToFit="0" vertical="center" wrapText="1"/>
    </xf>
    <xf borderId="1" fillId="0" fontId="3"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4" numFmtId="3" xfId="0" applyAlignment="1" applyBorder="1" applyFont="1" applyNumberFormat="1">
      <alignment horizontal="center" readingOrder="0" shrinkToFit="0" vertical="center" wrapText="1"/>
    </xf>
    <xf borderId="1" fillId="0" fontId="4" numFmtId="10" xfId="0" applyAlignment="1" applyBorder="1" applyFont="1" applyNumberFormat="1">
      <alignment horizontal="center" readingOrder="0" shrinkToFit="0" vertical="center" wrapText="1"/>
    </xf>
    <xf borderId="1" fillId="0" fontId="3" numFmtId="3" xfId="0" applyAlignment="1" applyBorder="1" applyFont="1" applyNumberFormat="1">
      <alignment horizontal="center" readingOrder="0" shrinkToFit="0" vertical="center" wrapText="1"/>
    </xf>
    <xf borderId="1" fillId="0" fontId="3" numFmtId="10"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1" fillId="0" fontId="5" numFmtId="10" xfId="0" applyAlignment="1" applyBorder="1" applyFont="1" applyNumberFormat="1">
      <alignment horizontal="center" readingOrder="0" shrinkToFit="0" vertical="center" wrapText="1"/>
    </xf>
    <xf borderId="1" fillId="0" fontId="5" numFmtId="0" xfId="0" applyAlignment="1" applyBorder="1" applyFont="1">
      <alignment horizontal="center" readingOrder="0" shrinkToFit="0" vertical="center" wrapText="1"/>
    </xf>
    <xf borderId="1" fillId="0" fontId="5" numFmtId="3" xfId="0" applyAlignment="1" applyBorder="1" applyFont="1" applyNumberFormat="1">
      <alignment horizontal="center" readingOrder="0"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0" fillId="0" fontId="4" numFmtId="0" xfId="0" applyAlignment="1" applyFont="1">
      <alignment shrinkToFit="0" vertical="center" wrapText="1"/>
    </xf>
    <xf borderId="0" fillId="3" fontId="2" numFmtId="0" xfId="0" applyAlignment="1" applyFont="1">
      <alignment readingOrder="0" shrinkToFit="0" vertical="center" wrapText="1"/>
    </xf>
    <xf borderId="1" fillId="3" fontId="7" numFmtId="3" xfId="0" applyAlignment="1" applyBorder="1" applyFont="1" applyNumberFormat="1">
      <alignment shrinkToFit="0" vertical="center" wrapText="1"/>
    </xf>
    <xf borderId="1" fillId="3" fontId="7" numFmtId="10" xfId="0" applyAlignment="1" applyBorder="1" applyFont="1" applyNumberFormat="1">
      <alignment shrinkToFit="0" vertical="center" wrapText="1"/>
    </xf>
    <xf borderId="1" fillId="3" fontId="8" numFmtId="0" xfId="0" applyAlignment="1" applyBorder="1" applyFont="1">
      <alignment readingOrder="0" shrinkToFit="0" vertical="center" wrapText="1"/>
    </xf>
    <xf borderId="1" fillId="3" fontId="7" numFmtId="0" xfId="0" applyAlignment="1" applyBorder="1" applyFont="1">
      <alignment shrinkToFit="0" vertical="center" wrapText="1"/>
    </xf>
    <xf borderId="1" fillId="3" fontId="7" numFmtId="10" xfId="0" applyAlignment="1" applyBorder="1" applyFont="1" applyNumberFormat="1">
      <alignment shrinkToFit="0" vertical="center" wrapText="1"/>
    </xf>
    <xf borderId="0" fillId="3" fontId="2" numFmtId="0" xfId="0" applyAlignment="1" applyFont="1">
      <alignment horizontal="center" readingOrder="0" shrinkToFit="0" vertical="center" wrapText="1"/>
    </xf>
    <xf borderId="1" fillId="3" fontId="7" numFmtId="0" xfId="0" applyAlignment="1" applyBorder="1" applyFont="1">
      <alignment horizontal="center" shrinkToFit="0" vertical="center" wrapText="1"/>
    </xf>
    <xf borderId="1" fillId="3" fontId="4" numFmtId="0" xfId="0" applyAlignment="1" applyBorder="1" applyFont="1">
      <alignment horizontal="center" shrinkToFit="0" vertical="center" wrapText="1"/>
    </xf>
    <xf borderId="1" fillId="0" fontId="7" numFmtId="0" xfId="0" applyAlignment="1" applyBorder="1" applyFont="1">
      <alignment vertical="center"/>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3" fontId="2" numFmtId="0" xfId="0" applyAlignment="1" applyBorder="1" applyFont="1">
      <alignment readingOrder="0" shrinkToFit="0" vertical="center" wrapText="1"/>
    </xf>
    <xf borderId="2" fillId="3" fontId="3" numFmtId="0" xfId="0" applyAlignment="1" applyBorder="1" applyFont="1">
      <alignment readingOrder="0" shrinkToFit="0" vertical="center" wrapText="1"/>
    </xf>
    <xf borderId="2" fillId="0" fontId="10" numFmtId="0" xfId="0" applyAlignment="1" applyBorder="1" applyFont="1">
      <alignment readingOrder="0" shrinkToFit="0" vertical="center" wrapText="1"/>
    </xf>
    <xf borderId="1" fillId="3" fontId="6" numFmtId="0" xfId="0" applyAlignment="1" applyBorder="1" applyFont="1">
      <alignment horizontal="center" readingOrder="0" vertical="center"/>
    </xf>
    <xf borderId="1" fillId="3" fontId="6" numFmtId="3" xfId="0" applyAlignment="1" applyBorder="1" applyFont="1" applyNumberFormat="1">
      <alignment horizontal="center" readingOrder="0" vertical="center"/>
    </xf>
    <xf borderId="1" fillId="3" fontId="11" numFmtId="0" xfId="0" applyAlignment="1" applyBorder="1" applyFont="1">
      <alignment horizontal="center" readingOrder="0" vertical="center"/>
    </xf>
    <xf borderId="1" fillId="3" fontId="11" numFmtId="3" xfId="0" applyAlignment="1" applyBorder="1" applyFont="1" applyNumberFormat="1">
      <alignment horizontal="center" readingOrder="0" vertical="center"/>
    </xf>
    <xf borderId="1" fillId="3" fontId="2" numFmtId="0" xfId="0" applyAlignment="1" applyBorder="1" applyFont="1">
      <alignment horizontal="center" shrinkToFit="0" vertical="center" wrapText="1"/>
    </xf>
    <xf borderId="1" fillId="3" fontId="9" numFmtId="0" xfId="0" applyAlignment="1" applyBorder="1" applyFont="1">
      <alignment horizontal="center" vertical="center"/>
    </xf>
    <xf borderId="1" fillId="3" fontId="2" numFmtId="0" xfId="0" applyAlignment="1" applyBorder="1" applyFont="1">
      <alignment horizontal="center" readingOrder="0" vertical="center"/>
    </xf>
    <xf borderId="1" fillId="0" fontId="12" numFmtId="0" xfId="0" applyAlignment="1" applyBorder="1" applyFont="1">
      <alignment vertical="center"/>
    </xf>
    <xf borderId="1" fillId="3" fontId="2" numFmtId="0" xfId="0" applyAlignment="1" applyBorder="1" applyFont="1">
      <alignment shrinkToFit="0" vertical="center" wrapText="1"/>
    </xf>
    <xf borderId="1" fillId="3" fontId="5" numFmtId="166" xfId="0" applyAlignment="1" applyBorder="1" applyFont="1" applyNumberFormat="1">
      <alignment horizontal="left" readingOrder="0" shrinkToFit="0" vertical="center" wrapText="1"/>
    </xf>
    <xf borderId="1" fillId="3" fontId="5" numFmtId="164" xfId="0" applyAlignment="1" applyBorder="1" applyFont="1" applyNumberFormat="1">
      <alignment horizontal="left" shrinkToFit="0" vertical="center" wrapText="1"/>
    </xf>
    <xf borderId="1" fillId="3" fontId="4"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horizontal="center" readingOrder="0" vertical="center"/>
    </xf>
    <xf borderId="1" fillId="0" fontId="7" numFmtId="3" xfId="0" applyAlignment="1" applyBorder="1" applyFont="1" applyNumberFormat="1">
      <alignment shrinkToFit="0" vertical="center" wrapText="1"/>
    </xf>
    <xf borderId="1" fillId="0" fontId="7" numFmtId="10" xfId="0" applyAlignment="1" applyBorder="1" applyFont="1" applyNumberFormat="1">
      <alignment shrinkToFit="0" vertical="center" wrapText="1"/>
    </xf>
    <xf borderId="1" fillId="0" fontId="8" numFmtId="0" xfId="0" applyAlignment="1" applyBorder="1" applyFont="1">
      <alignment readingOrder="0" shrinkToFit="0" vertical="center" wrapText="1"/>
    </xf>
    <xf borderId="1" fillId="0" fontId="7" numFmtId="10" xfId="0" applyAlignment="1" applyBorder="1" applyFont="1" applyNumberFormat="1">
      <alignment shrinkToFit="0" vertical="center" wrapText="1"/>
    </xf>
    <xf borderId="1" fillId="0" fontId="9" numFmtId="0" xfId="0" applyAlignment="1" applyBorder="1" applyFont="1">
      <alignment horizontal="center" shrinkToFit="0" vertical="center" wrapText="1"/>
    </xf>
    <xf borderId="0" fillId="3" fontId="4" numFmtId="0" xfId="0" applyAlignment="1" applyFont="1">
      <alignment readingOrder="0" shrinkToFit="0" vertical="center" wrapText="1"/>
    </xf>
    <xf borderId="0" fillId="3" fontId="13" numFmtId="0" xfId="0" applyAlignment="1" applyFont="1">
      <alignment readingOrder="0" vertical="center"/>
    </xf>
    <xf borderId="0" fillId="3" fontId="13" numFmtId="3" xfId="0" applyAlignment="1" applyFont="1" applyNumberFormat="1">
      <alignment readingOrder="0" vertical="center"/>
    </xf>
    <xf borderId="0" fillId="3" fontId="4" numFmtId="3" xfId="0" applyAlignment="1" applyFont="1" applyNumberFormat="1">
      <alignment readingOrder="0" shrinkToFit="0" vertical="center" wrapText="1"/>
    </xf>
    <xf borderId="1" fillId="0" fontId="4" numFmtId="0" xfId="0" applyAlignment="1" applyBorder="1" applyFont="1">
      <alignment horizontal="center" shrinkToFit="0" vertical="center" wrapText="1"/>
    </xf>
    <xf borderId="0" fillId="3" fontId="13" numFmtId="3" xfId="0" applyAlignment="1" applyFont="1" applyNumberFormat="1">
      <alignment horizontal="center" readingOrder="0" vertical="center"/>
    </xf>
    <xf borderId="1" fillId="3" fontId="5" numFmtId="3" xfId="0" applyAlignment="1" applyBorder="1" applyFont="1" applyNumberFormat="1">
      <alignment horizontal="center" readingOrder="0" shrinkToFit="0" vertical="center" wrapText="1"/>
    </xf>
    <xf borderId="1" fillId="0" fontId="2" numFmtId="3" xfId="0" applyAlignment="1" applyBorder="1" applyFont="1" applyNumberFormat="1">
      <alignment horizontal="center" readingOrder="0" shrinkToFit="0" vertical="center" wrapText="1"/>
    </xf>
    <xf borderId="2" fillId="3" fontId="2" numFmtId="0" xfId="0" applyAlignment="1" applyBorder="1" applyFont="1">
      <alignment readingOrder="0" shrinkToFit="0" vertical="center" wrapText="1"/>
    </xf>
    <xf borderId="1" fillId="3" fontId="2" numFmtId="0" xfId="0" applyAlignment="1" applyBorder="1" applyFont="1">
      <alignment horizontal="center" shrinkToFit="0" vertical="center" wrapText="1"/>
    </xf>
    <xf borderId="1" fillId="3" fontId="2" numFmtId="3" xfId="0" applyAlignment="1" applyBorder="1" applyFont="1" applyNumberFormat="1">
      <alignment horizontal="center" readingOrder="0" shrinkToFit="0" vertical="center" wrapText="1"/>
    </xf>
    <xf borderId="1" fillId="4" fontId="5" numFmtId="0" xfId="0" applyAlignment="1" applyBorder="1" applyFill="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3" fontId="3" numFmtId="0" xfId="0" applyAlignment="1" applyBorder="1" applyFont="1">
      <alignment horizontal="center" readingOrder="0" shrinkToFit="0" vertical="center" wrapText="1"/>
    </xf>
    <xf borderId="1" fillId="3" fontId="3" numFmtId="0" xfId="0" applyAlignment="1" applyBorder="1" applyFont="1">
      <alignment readingOrder="0" vertical="center"/>
    </xf>
    <xf borderId="1" fillId="3" fontId="3" numFmtId="0" xfId="0" applyAlignment="1" applyBorder="1" applyFont="1">
      <alignment horizontal="center" readingOrder="0" vertical="center"/>
    </xf>
    <xf borderId="1" fillId="0" fontId="3" numFmtId="0" xfId="0" applyAlignment="1" applyBorder="1" applyFont="1">
      <alignment horizontal="center" readingOrder="0" vertical="center"/>
    </xf>
    <xf borderId="1" fillId="0" fontId="2" numFmtId="0" xfId="0" applyAlignment="1" applyBorder="1" applyFont="1">
      <alignment horizontal="left" readingOrder="0" shrinkToFit="0" vertical="center" wrapText="1"/>
    </xf>
    <xf borderId="1" fillId="3" fontId="9" numFmtId="3" xfId="0" applyAlignment="1" applyBorder="1" applyFont="1" applyNumberFormat="1">
      <alignment horizontal="center" vertical="center"/>
    </xf>
    <xf borderId="1" fillId="0" fontId="2" numFmtId="3" xfId="0" applyAlignment="1" applyBorder="1" applyFont="1" applyNumberFormat="1">
      <alignment horizontal="center" shrinkToFit="0" vertical="center" wrapText="1"/>
    </xf>
    <xf borderId="1" fillId="0" fontId="9" numFmtId="0" xfId="0" applyAlignment="1" applyBorder="1" applyFont="1">
      <alignment horizontal="center" vertical="center"/>
    </xf>
    <xf borderId="1" fillId="3" fontId="2" numFmtId="0" xfId="0" applyAlignment="1" applyBorder="1" applyFont="1">
      <alignment horizontal="center" vertical="center"/>
    </xf>
    <xf borderId="1" fillId="0" fontId="2" numFmtId="0" xfId="0" applyAlignment="1" applyBorder="1" applyFont="1">
      <alignment horizontal="center" vertical="center"/>
    </xf>
    <xf borderId="1" fillId="3" fontId="2" numFmtId="0" xfId="0" applyAlignment="1" applyBorder="1" applyFont="1">
      <alignment horizontal="left" readingOrder="0" shrinkToFit="0" vertical="center" wrapText="1"/>
    </xf>
    <xf borderId="1" fillId="3" fontId="9" numFmtId="3" xfId="0" applyAlignment="1" applyBorder="1" applyFont="1" applyNumberFormat="1">
      <alignment horizontal="center" readingOrder="0" vertical="center"/>
    </xf>
    <xf borderId="1" fillId="3" fontId="13" numFmtId="3" xfId="0" applyAlignment="1" applyBorder="1" applyFont="1" applyNumberFormat="1">
      <alignment horizontal="center" readingOrder="0" vertical="center"/>
    </xf>
    <xf borderId="1" fillId="0" fontId="9" numFmtId="0" xfId="0" applyAlignment="1" applyBorder="1" applyFont="1">
      <alignment horizontal="center" readingOrder="0" vertical="center"/>
    </xf>
    <xf borderId="1" fillId="3" fontId="9" numFmtId="0" xfId="0" applyAlignment="1" applyBorder="1" applyFont="1">
      <alignment horizontal="center" readingOrder="0" vertical="center"/>
    </xf>
    <xf borderId="1" fillId="3" fontId="9" numFmtId="0" xfId="0" applyAlignment="1" applyBorder="1" applyFont="1">
      <alignment horizontal="center" vertical="center"/>
    </xf>
    <xf borderId="1" fillId="0" fontId="2" numFmtId="0" xfId="0" applyAlignment="1" applyBorder="1" applyFont="1">
      <alignment readingOrder="0" vertical="center"/>
    </xf>
    <xf borderId="0" fillId="0" fontId="7" numFmtId="0" xfId="0" applyAlignment="1" applyFont="1">
      <alignment vertical="center"/>
    </xf>
    <xf borderId="1" fillId="3" fontId="8" numFmtId="0" xfId="0" applyAlignment="1" applyBorder="1" applyFont="1">
      <alignment shrinkToFit="0" vertical="center" wrapText="0"/>
    </xf>
    <xf borderId="1" fillId="3" fontId="7" numFmtId="0" xfId="0" applyAlignment="1" applyBorder="1" applyFont="1">
      <alignment horizontal="center" readingOrder="0" shrinkToFit="0" vertical="center" wrapText="1"/>
    </xf>
    <xf borderId="1" fillId="0" fontId="2" numFmtId="0" xfId="0" applyAlignment="1" applyBorder="1" applyFont="1">
      <alignment shrinkToFit="0" vertical="center" wrapText="1"/>
    </xf>
    <xf borderId="1" fillId="0" fontId="3" numFmtId="167" xfId="0" applyAlignment="1" applyBorder="1" applyFont="1" applyNumberFormat="1">
      <alignment horizontal="center" readingOrder="0" vertical="center"/>
    </xf>
    <xf borderId="1" fillId="3" fontId="3" numFmtId="167" xfId="0" applyAlignment="1" applyBorder="1" applyFont="1" applyNumberFormat="1">
      <alignment horizontal="center" readingOrder="0" vertical="center"/>
    </xf>
    <xf borderId="1" fillId="3" fontId="14" numFmtId="3" xfId="0" applyAlignment="1" applyBorder="1" applyFont="1" applyNumberFormat="1">
      <alignment horizontal="center" readingOrder="0" vertical="center"/>
    </xf>
    <xf borderId="1" fillId="3" fontId="3" numFmtId="167" xfId="0" applyAlignment="1" applyBorder="1" applyFont="1" applyNumberFormat="1">
      <alignment horizontal="center" readingOrder="0" shrinkToFit="0" vertical="center" wrapText="1"/>
    </xf>
    <xf borderId="0" fillId="3" fontId="14" numFmtId="3" xfId="0" applyAlignment="1" applyFont="1" applyNumberFormat="1">
      <alignment horizontal="center" readingOrder="0" vertical="center"/>
    </xf>
    <xf borderId="1" fillId="3" fontId="2" numFmtId="167" xfId="0" applyAlignment="1" applyBorder="1" applyFont="1" applyNumberFormat="1">
      <alignment horizontal="center" readingOrder="0" vertical="center"/>
    </xf>
    <xf borderId="1" fillId="3" fontId="5" numFmtId="9" xfId="0" applyAlignment="1" applyBorder="1" applyFont="1" applyNumberFormat="1">
      <alignment horizontal="center" readingOrder="0" shrinkToFit="0" vertical="center" wrapText="1"/>
    </xf>
    <xf borderId="0" fillId="3" fontId="4" numFmtId="0" xfId="0" applyAlignment="1" applyFont="1">
      <alignment horizontal="center" shrinkToFit="0" vertical="center" wrapText="1"/>
    </xf>
    <xf borderId="0" fillId="3" fontId="4" numFmtId="3" xfId="0" applyAlignment="1" applyFont="1" applyNumberFormat="1">
      <alignment horizontal="center" readingOrder="0" shrinkToFit="0" vertical="center" wrapText="1"/>
    </xf>
    <xf borderId="1" fillId="3" fontId="2" numFmtId="167" xfId="0" applyAlignment="1" applyBorder="1" applyFont="1" applyNumberFormat="1">
      <alignment horizontal="center" readingOrder="0" shrinkToFit="0" vertical="center" wrapText="1"/>
    </xf>
    <xf borderId="1" fillId="0" fontId="2" numFmtId="164" xfId="0" applyAlignment="1" applyBorder="1" applyFont="1" applyNumberFormat="1">
      <alignment horizontal="left" readingOrder="0" shrinkToFit="0" vertical="center" wrapText="1"/>
    </xf>
    <xf borderId="0" fillId="3" fontId="7" numFmtId="0" xfId="0" applyAlignment="1" applyFont="1">
      <alignment horizontal="center" readingOrder="0" shrinkToFit="0" vertical="center" wrapText="1"/>
    </xf>
    <xf borderId="1" fillId="3" fontId="5" numFmtId="164" xfId="0" applyAlignment="1" applyBorder="1" applyFont="1" applyNumberFormat="1">
      <alignment horizontal="left" readingOrder="0" shrinkToFit="0" vertical="center" wrapText="1"/>
    </xf>
    <xf borderId="1" fillId="3" fontId="5" numFmtId="0" xfId="0" applyAlignment="1" applyBorder="1" applyFont="1">
      <alignment horizontal="left" readingOrder="0" shrinkToFit="0" vertical="center" wrapText="1"/>
    </xf>
    <xf borderId="1" fillId="3" fontId="2" numFmtId="3" xfId="0" applyAlignment="1" applyBorder="1" applyFont="1" applyNumberFormat="1">
      <alignment horizontal="center" readingOrder="0" shrinkToFit="0" vertical="center" wrapText="1"/>
    </xf>
    <xf borderId="1" fillId="3" fontId="2" numFmtId="10" xfId="0" applyAlignment="1" applyBorder="1" applyFont="1" applyNumberFormat="1">
      <alignment horizontal="center" readingOrder="0" shrinkToFit="0" vertical="center" wrapText="1"/>
    </xf>
    <xf borderId="1" fillId="3" fontId="2" numFmtId="10" xfId="0" applyAlignment="1" applyBorder="1" applyFont="1" applyNumberFormat="1">
      <alignment horizontal="center" readingOrder="0" shrinkToFit="0" vertical="center" wrapText="1"/>
    </xf>
    <xf borderId="1" fillId="3" fontId="2" numFmtId="168" xfId="0" applyAlignment="1" applyBorder="1" applyFont="1" applyNumberFormat="1">
      <alignment horizontal="center" readingOrder="0" shrinkToFit="0" vertical="center" wrapText="1"/>
    </xf>
    <xf borderId="1" fillId="3" fontId="5" numFmtId="1" xfId="0" applyAlignment="1" applyBorder="1" applyFont="1" applyNumberForma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3" fontId="2" numFmtId="168" xfId="0" applyAlignment="1" applyBorder="1" applyFont="1" applyNumberFormat="1">
      <alignment horizontal="center" vertical="center"/>
    </xf>
    <xf borderId="1" fillId="3" fontId="3" numFmtId="10" xfId="0" applyAlignment="1" applyBorder="1" applyFont="1" applyNumberFormat="1">
      <alignment horizontal="center" readingOrder="0" shrinkToFit="0" vertical="center" wrapText="1"/>
    </xf>
    <xf borderId="0" fillId="3" fontId="9" numFmtId="0" xfId="0" applyAlignment="1" applyFont="1">
      <alignment vertical="center"/>
    </xf>
    <xf borderId="1" fillId="0" fontId="3" numFmtId="10" xfId="0" applyAlignment="1" applyBorder="1" applyFont="1" applyNumberFormat="1">
      <alignment horizontal="center" readingOrder="0" vertical="center"/>
    </xf>
    <xf borderId="1" fillId="0" fontId="4" numFmtId="10" xfId="0" applyAlignment="1" applyBorder="1" applyFont="1" applyNumberFormat="1">
      <alignment horizontal="center" readingOrder="0" shrinkToFit="0" vertical="center" wrapText="0"/>
    </xf>
    <xf borderId="1" fillId="6" fontId="2" numFmtId="0" xfId="0" applyAlignment="1" applyBorder="1" applyFill="1" applyFont="1">
      <alignment horizontal="center" readingOrder="0"/>
    </xf>
    <xf borderId="1" fillId="0" fontId="4" numFmtId="9" xfId="0" applyAlignment="1" applyBorder="1" applyFont="1" applyNumberFormat="1">
      <alignment horizontal="center" readingOrder="0" shrinkToFit="0" vertical="center" wrapText="0"/>
    </xf>
    <xf borderId="1" fillId="0" fontId="3" numFmtId="0" xfId="0" applyAlignment="1" applyBorder="1" applyFont="1">
      <alignment readingOrder="0" shrinkToFit="0" wrapText="1"/>
    </xf>
    <xf borderId="0" fillId="3" fontId="4" numFmtId="169" xfId="0" applyAlignment="1" applyFont="1" applyNumberFormat="1">
      <alignment readingOrder="0" shrinkToFit="0" vertical="center" wrapText="1"/>
    </xf>
    <xf borderId="1" fillId="3" fontId="2" numFmtId="170" xfId="0" applyAlignment="1" applyBorder="1" applyFont="1" applyNumberFormat="1">
      <alignment horizontal="center" vertical="center"/>
    </xf>
    <xf borderId="1" fillId="5" fontId="5" numFmtId="0" xfId="0" applyAlignment="1" applyBorder="1" applyFont="1">
      <alignment horizontal="left" readingOrder="0" shrinkToFit="0" vertical="center" wrapText="1"/>
    </xf>
    <xf borderId="2" fillId="3" fontId="5" numFmtId="166" xfId="0" applyAlignment="1" applyBorder="1" applyFont="1" applyNumberFormat="1">
      <alignment horizontal="left" readingOrder="0" shrinkToFit="0" vertical="center" wrapText="1"/>
    </xf>
    <xf borderId="2" fillId="3" fontId="5" numFmtId="164" xfId="0" applyAlignment="1" applyBorder="1" applyFont="1" applyNumberFormat="1">
      <alignment horizontal="left" readingOrder="0" shrinkToFit="0" vertical="center" wrapText="1"/>
    </xf>
    <xf borderId="2" fillId="3" fontId="5" numFmtId="0" xfId="0" applyAlignment="1" applyBorder="1" applyFont="1">
      <alignment horizontal="left" readingOrder="0" shrinkToFit="0" vertical="center" wrapText="1"/>
    </xf>
    <xf borderId="2" fillId="3" fontId="2" numFmtId="0" xfId="0" applyAlignment="1" applyBorder="1" applyFont="1">
      <alignment horizontal="left" readingOrder="0" shrinkToFit="0" vertical="center" wrapText="1"/>
    </xf>
    <xf borderId="1" fillId="3" fontId="4" numFmtId="166" xfId="0" applyAlignment="1" applyBorder="1" applyFont="1" applyNumberFormat="1">
      <alignment horizontal="left" readingOrder="0" shrinkToFit="0" vertical="center" wrapText="1"/>
    </xf>
    <xf borderId="1" fillId="3" fontId="4" numFmtId="164" xfId="0" applyAlignment="1" applyBorder="1" applyFont="1" applyNumberFormat="1">
      <alignment horizontal="left" readingOrder="0" shrinkToFit="0" vertical="center" wrapText="1"/>
    </xf>
    <xf borderId="1" fillId="3" fontId="3" numFmtId="3" xfId="0" applyAlignment="1" applyBorder="1" applyFont="1" applyNumberFormat="1">
      <alignment horizontal="center" readingOrder="0" shrinkToFit="0" vertical="center" wrapText="1"/>
    </xf>
    <xf borderId="1" fillId="3" fontId="4" numFmtId="1" xfId="0" applyAlignment="1" applyBorder="1" applyFont="1" applyNumberFormat="1">
      <alignment horizontal="center" readingOrder="0" shrinkToFit="0" vertical="center" wrapText="1"/>
    </xf>
    <xf borderId="1" fillId="3" fontId="2" numFmtId="0" xfId="0" applyAlignment="1" applyBorder="1" applyFont="1">
      <alignment horizontal="center" shrinkToFit="0" vertical="bottom" wrapText="1"/>
    </xf>
    <xf borderId="1" fillId="3" fontId="9" numFmtId="0" xfId="0" applyAlignment="1" applyBorder="1" applyFont="1">
      <alignment horizontal="center" vertical="bottom"/>
    </xf>
    <xf borderId="1" fillId="3" fontId="2" numFmtId="3" xfId="0" applyAlignment="1" applyBorder="1" applyFont="1" applyNumberFormat="1">
      <alignment horizontal="center" shrinkToFit="0" vertical="bottom" wrapText="1"/>
    </xf>
    <xf borderId="1" fillId="3" fontId="9" numFmtId="3" xfId="0" applyAlignment="1" applyBorder="1" applyFont="1" applyNumberFormat="1">
      <alignment horizontal="center" vertical="bottom"/>
    </xf>
    <xf borderId="1" fillId="3" fontId="9" numFmtId="0" xfId="0" applyAlignment="1" applyBorder="1" applyFont="1">
      <alignment horizontal="center" vertical="bottom"/>
    </xf>
    <xf borderId="1" fillId="3" fontId="2" numFmtId="0" xfId="0" applyAlignment="1" applyBorder="1" applyFont="1">
      <alignment horizontal="center" shrinkToFit="0" vertical="bottom" wrapText="1"/>
    </xf>
    <xf borderId="1" fillId="0" fontId="3" numFmtId="0" xfId="0" applyAlignment="1" applyBorder="1" applyFont="1">
      <alignment horizontal="center" readingOrder="0"/>
    </xf>
    <xf borderId="1" fillId="3" fontId="3" numFmtId="170" xfId="0" applyAlignment="1" applyBorder="1" applyFont="1" applyNumberFormat="1">
      <alignment horizontal="center" vertical="center"/>
    </xf>
    <xf borderId="0" fillId="3" fontId="14" numFmtId="0" xfId="0" applyAlignment="1" applyFont="1">
      <alignment horizontal="center" vertical="bottom"/>
    </xf>
    <xf borderId="1" fillId="3" fontId="3" numFmtId="0" xfId="0" applyAlignment="1" applyBorder="1" applyFont="1">
      <alignment horizontal="center" shrinkToFit="0" vertical="center" wrapText="1"/>
    </xf>
    <xf borderId="1" fillId="0" fontId="4" numFmtId="166" xfId="0" applyAlignment="1" applyBorder="1" applyFont="1" applyNumberFormat="1">
      <alignment horizontal="left" readingOrder="0" shrinkToFit="0" vertical="center" wrapText="1"/>
    </xf>
    <xf borderId="1" fillId="0" fontId="4" numFmtId="164" xfId="0" applyAlignment="1" applyBorder="1" applyFont="1" applyNumberFormat="1">
      <alignment horizontal="left" readingOrder="0" shrinkToFit="0" vertical="center" wrapText="1"/>
    </xf>
    <xf borderId="0" fillId="0" fontId="3" numFmtId="0" xfId="0" applyFont="1"/>
    <xf borderId="1" fillId="3" fontId="3" numFmtId="10" xfId="0" applyAlignment="1" applyBorder="1" applyFont="1" applyNumberFormat="1">
      <alignment horizontal="center" readingOrder="0" vertical="center"/>
    </xf>
    <xf borderId="1" fillId="3" fontId="4" numFmtId="10" xfId="0" applyAlignment="1" applyBorder="1" applyFont="1" applyNumberFormat="1">
      <alignment horizontal="center" readingOrder="0" shrinkToFit="0" vertical="center" wrapText="0"/>
    </xf>
    <xf borderId="1" fillId="0" fontId="3" numFmtId="170" xfId="0" applyAlignment="1" applyBorder="1" applyFont="1" applyNumberFormat="1">
      <alignment horizontal="center" vertical="center"/>
    </xf>
    <xf borderId="1" fillId="3" fontId="9" numFmtId="1" xfId="0" applyBorder="1" applyFont="1" applyNumberFormat="1"/>
    <xf borderId="1" fillId="0" fontId="7" numFmtId="0" xfId="0" applyAlignment="1" applyBorder="1" applyFont="1">
      <alignment horizontal="center"/>
    </xf>
    <xf borderId="0" fillId="3" fontId="4" numFmtId="0" xfId="0" applyAlignment="1" applyFont="1">
      <alignment horizontal="center" readingOrder="0" shrinkToFit="0" vertical="center" wrapText="1"/>
    </xf>
    <xf borderId="1" fillId="3" fontId="2" numFmtId="1" xfId="0" applyAlignment="1" applyBorder="1" applyFont="1" applyNumberFormat="1">
      <alignment horizontal="center" readingOrder="0" shrinkToFit="0" wrapText="1"/>
    </xf>
    <xf borderId="2" fillId="3" fontId="4" numFmtId="3" xfId="0" applyAlignment="1" applyBorder="1" applyFont="1" applyNumberFormat="1">
      <alignment horizontal="center" readingOrder="0" shrinkToFit="0" vertical="center" wrapText="1"/>
    </xf>
    <xf borderId="1" fillId="3" fontId="4" numFmtId="0" xfId="0" applyAlignment="1" applyBorder="1" applyFont="1">
      <alignment shrinkToFit="0" vertical="center" wrapText="1"/>
    </xf>
    <xf borderId="1" fillId="0" fontId="2" numFmtId="0" xfId="0" applyAlignment="1" applyBorder="1" applyFont="1">
      <alignment horizontal="center" readingOrder="0"/>
    </xf>
    <xf borderId="1" fillId="3" fontId="3" numFmtId="170" xfId="0" applyAlignment="1" applyBorder="1" applyFont="1" applyNumberFormat="1">
      <alignment horizontal="center" readingOrder="0" vertical="center"/>
    </xf>
    <xf borderId="1" fillId="3" fontId="3" numFmtId="171" xfId="0" applyAlignment="1" applyBorder="1" applyFont="1" applyNumberFormat="1">
      <alignment horizontal="center" readingOrder="0" vertical="center"/>
    </xf>
    <xf borderId="1" fillId="3" fontId="2" numFmtId="0" xfId="0" applyAlignment="1" applyBorder="1" applyFont="1">
      <alignment horizontal="center" readingOrder="0"/>
    </xf>
    <xf borderId="1" fillId="3" fontId="4" numFmtId="0" xfId="0" applyAlignment="1" applyBorder="1" applyFont="1">
      <alignment horizontal="center" shrinkToFit="0" vertical="center" wrapText="1"/>
    </xf>
    <xf borderId="1" fillId="3" fontId="2" numFmtId="3" xfId="0" applyAlignment="1" applyBorder="1" applyFont="1" applyNumberFormat="1">
      <alignment horizontal="center" shrinkToFit="0" wrapText="1"/>
    </xf>
    <xf borderId="1" fillId="0" fontId="2" numFmtId="0" xfId="0" applyAlignment="1" applyBorder="1" applyFont="1">
      <alignment readingOrder="0" shrinkToFit="0" wrapText="1"/>
    </xf>
    <xf borderId="1" fillId="3" fontId="2" numFmtId="0" xfId="0" applyAlignment="1" applyBorder="1" applyFont="1">
      <alignment horizontal="center" readingOrder="0" shrinkToFit="0" wrapText="1"/>
    </xf>
    <xf borderId="1" fillId="3" fontId="15" numFmtId="167" xfId="0" applyAlignment="1" applyBorder="1" applyFont="1" applyNumberFormat="1">
      <alignment horizontal="center" readingOrder="0" shrinkToFit="0" vertical="center" wrapText="1"/>
    </xf>
    <xf borderId="1" fillId="0" fontId="3" numFmtId="3" xfId="0" applyAlignment="1" applyBorder="1" applyFont="1" applyNumberFormat="1">
      <alignment horizontal="center" readingOrder="0" shrinkToFit="0" vertical="center" wrapText="1"/>
    </xf>
    <xf borderId="1" fillId="0" fontId="4" numFmtId="1" xfId="0" applyAlignment="1" applyBorder="1" applyFont="1" applyNumberFormat="1">
      <alignment horizontal="center" readingOrder="0" shrinkToFit="0" vertical="center" wrapText="1"/>
    </xf>
    <xf borderId="1" fillId="0" fontId="2" numFmtId="0" xfId="0" applyAlignment="1" applyBorder="1" applyFont="1">
      <alignment horizontal="center" readingOrder="0" shrinkToFit="0" wrapText="1"/>
    </xf>
    <xf borderId="0" fillId="3" fontId="16" numFmtId="3" xfId="0" applyAlignment="1" applyFont="1" applyNumberFormat="1">
      <alignment horizontal="center" readingOrder="0"/>
    </xf>
    <xf borderId="1" fillId="0" fontId="3" numFmtId="170" xfId="0" applyAlignment="1" applyBorder="1" applyFont="1" applyNumberFormat="1">
      <alignment horizontal="center" readingOrder="0" vertical="center"/>
    </xf>
    <xf borderId="1" fillId="7" fontId="3" numFmtId="10" xfId="0" applyAlignment="1" applyBorder="1" applyFill="1" applyFont="1" applyNumberFormat="1">
      <alignment horizontal="center" readingOrder="0" shrinkToFit="0" vertical="center" wrapText="1"/>
    </xf>
    <xf borderId="1" fillId="6" fontId="3" numFmtId="0" xfId="0" applyAlignment="1" applyBorder="1" applyFont="1">
      <alignment horizontal="center" readingOrder="0" vertical="center"/>
    </xf>
    <xf borderId="1" fillId="8" fontId="3" numFmtId="0" xfId="0" applyAlignment="1" applyBorder="1" applyFill="1" applyFont="1">
      <alignment horizontal="center" readingOrder="0" vertical="center"/>
    </xf>
    <xf borderId="1" fillId="6" fontId="3" numFmtId="170" xfId="0" applyAlignment="1" applyBorder="1" applyFont="1" applyNumberFormat="1">
      <alignment horizontal="center" readingOrder="0" vertical="center"/>
    </xf>
    <xf borderId="1" fillId="8" fontId="3" numFmtId="170" xfId="0" applyAlignment="1" applyBorder="1" applyFont="1" applyNumberFormat="1">
      <alignment horizontal="center" readingOrder="0" vertical="center"/>
    </xf>
    <xf borderId="0" fillId="3" fontId="4" numFmtId="166" xfId="0" applyAlignment="1" applyFont="1" applyNumberFormat="1">
      <alignment horizontal="left" readingOrder="0" shrinkToFit="0" vertical="center" wrapText="1"/>
    </xf>
    <xf borderId="0" fillId="3" fontId="4" numFmtId="164" xfId="0" applyAlignment="1" applyFont="1" applyNumberFormat="1">
      <alignment horizontal="left" readingOrder="0" shrinkToFit="0" vertical="center" wrapText="1"/>
    </xf>
    <xf borderId="0" fillId="3" fontId="4" numFmtId="0" xfId="0" applyAlignment="1" applyFont="1">
      <alignment horizontal="left" readingOrder="0" shrinkToFit="0" vertical="center" wrapText="1"/>
    </xf>
    <xf borderId="0" fillId="3" fontId="2" numFmtId="0" xfId="0" applyAlignment="1" applyFont="1">
      <alignment horizontal="left" readingOrder="0" shrinkToFit="0" vertical="center" wrapText="1"/>
    </xf>
    <xf borderId="0" fillId="3" fontId="3" numFmtId="0" xfId="0" applyAlignment="1" applyFont="1">
      <alignment horizontal="left" readingOrder="0" shrinkToFit="0" vertical="center" wrapText="1"/>
    </xf>
    <xf borderId="0" fillId="3" fontId="3" numFmtId="0" xfId="0" applyAlignment="1" applyFont="1">
      <alignment horizontal="center" readingOrder="0" shrinkToFit="0" vertical="center" wrapText="1"/>
    </xf>
    <xf borderId="0" fillId="0" fontId="4" numFmtId="10" xfId="0" applyAlignment="1" applyFont="1" applyNumberFormat="1">
      <alignment horizontal="center" readingOrder="0" shrinkToFit="0" vertical="center" wrapText="0"/>
    </xf>
    <xf borderId="0" fillId="3" fontId="3" numFmtId="10" xfId="0" applyAlignment="1" applyFont="1" applyNumberFormat="1">
      <alignment horizontal="center" readingOrder="0" shrinkToFit="0" vertical="center" wrapText="1"/>
    </xf>
    <xf borderId="0" fillId="3" fontId="4" numFmtId="1" xfId="0" applyAlignment="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3" fontId="3" numFmtId="170" xfId="0" applyAlignment="1" applyFont="1" applyNumberFormat="1">
      <alignment horizontal="center" vertical="center"/>
    </xf>
    <xf borderId="0" fillId="3" fontId="3" numFmtId="3" xfId="0" applyAlignment="1" applyFont="1" applyNumberFormat="1">
      <alignment horizontal="center" readingOrder="0" shrinkToFit="0" vertical="center" wrapText="1"/>
    </xf>
    <xf borderId="0" fillId="0" fontId="3" numFmtId="10" xfId="0" applyAlignment="1" applyFont="1" applyNumberFormat="1">
      <alignment horizontal="center" readingOrder="0" vertical="center"/>
    </xf>
    <xf borderId="0" fillId="3" fontId="3" numFmtId="0" xfId="0" applyAlignment="1" applyFont="1">
      <alignment horizontal="center" readingOrder="0" vertical="center"/>
    </xf>
    <xf borderId="1" fillId="9" fontId="17" numFmtId="0" xfId="0" applyAlignment="1" applyBorder="1" applyFill="1" applyFont="1">
      <alignment horizontal="center" shrinkToFit="0" vertical="center" wrapText="1"/>
    </xf>
    <xf borderId="0" fillId="0" fontId="2" numFmtId="0" xfId="0" applyFont="1"/>
    <xf borderId="1" fillId="0" fontId="3" numFmtId="166" xfId="0" applyAlignment="1" applyBorder="1" applyFont="1" applyNumberFormat="1">
      <alignment horizontal="left" readingOrder="0" shrinkToFit="0" vertical="center" wrapText="1"/>
    </xf>
    <xf borderId="1" fillId="0" fontId="2" numFmtId="164" xfId="0" applyAlignment="1" applyBorder="1" applyFont="1" applyNumberFormat="1">
      <alignment horizontal="left" vertical="center"/>
    </xf>
    <xf borderId="1" fillId="0" fontId="2" numFmtId="0" xfId="0" applyAlignment="1" applyBorder="1" applyFont="1">
      <alignment horizontal="left" vertical="center"/>
    </xf>
    <xf borderId="1" fillId="0" fontId="2" numFmtId="0" xfId="0" applyAlignment="1" applyBorder="1" applyFont="1">
      <alignment horizontal="left" shrinkToFit="0" vertical="center" wrapText="1"/>
    </xf>
    <xf borderId="1" fillId="0" fontId="2" numFmtId="3" xfId="0" applyAlignment="1" applyBorder="1" applyFont="1" applyNumberFormat="1">
      <alignment horizontal="center" vertical="center"/>
    </xf>
    <xf borderId="1" fillId="0" fontId="2" numFmtId="10" xfId="0" applyAlignment="1" applyBorder="1" applyFont="1" applyNumberFormat="1">
      <alignment horizontal="center" vertical="center"/>
    </xf>
    <xf borderId="1" fillId="0" fontId="2" numFmtId="166" xfId="0" applyAlignment="1" applyBorder="1" applyFont="1" applyNumberFormat="1">
      <alignment horizontal="left" vertical="center"/>
    </xf>
    <xf borderId="1" fillId="0" fontId="2" numFmtId="165" xfId="0" applyAlignment="1" applyBorder="1" applyFont="1" applyNumberFormat="1">
      <alignment horizontal="left" vertical="center"/>
    </xf>
    <xf borderId="1" fillId="0" fontId="2" numFmtId="172" xfId="0" applyAlignment="1" applyBorder="1" applyFont="1" applyNumberFormat="1">
      <alignment horizontal="left" vertical="center"/>
    </xf>
    <xf borderId="1" fillId="0" fontId="2" numFmtId="0" xfId="0" applyAlignment="1" applyBorder="1" applyFont="1">
      <alignment vertical="center"/>
    </xf>
    <xf borderId="1" fillId="0" fontId="2" numFmtId="166" xfId="0" applyAlignment="1" applyBorder="1" applyFont="1" applyNumberFormat="1">
      <alignment horizontal="left"/>
    </xf>
    <xf borderId="1" fillId="0" fontId="2" numFmtId="164" xfId="0" applyAlignment="1" applyBorder="1" applyFont="1" applyNumberFormat="1">
      <alignment horizontal="left"/>
    </xf>
    <xf borderId="1" fillId="0" fontId="2" numFmtId="0" xfId="0" applyAlignment="1" applyBorder="1" applyFont="1">
      <alignment horizontal="left"/>
    </xf>
    <xf borderId="1" fillId="0" fontId="2" numFmtId="0" xfId="0" applyBorder="1" applyFont="1"/>
    <xf borderId="1" fillId="0" fontId="2" numFmtId="0" xfId="0" applyAlignment="1" applyBorder="1" applyFont="1">
      <alignment horizontal="left" shrinkToFit="0" wrapText="1"/>
    </xf>
    <xf borderId="1" fillId="0" fontId="2" numFmtId="3" xfId="0" applyAlignment="1" applyBorder="1" applyFont="1" applyNumberFormat="1">
      <alignment horizontal="center"/>
    </xf>
    <xf borderId="1" fillId="0" fontId="2" numFmtId="10" xfId="0" applyAlignment="1" applyBorder="1" applyFont="1" applyNumberFormat="1">
      <alignment horizontal="center"/>
    </xf>
    <xf borderId="1" fillId="0" fontId="2" numFmtId="0" xfId="0" applyAlignment="1" applyBorder="1" applyFont="1">
      <alignment horizontal="center"/>
    </xf>
    <xf borderId="1" fillId="0" fontId="2" numFmtId="165" xfId="0" applyAlignment="1" applyBorder="1" applyFont="1" applyNumberFormat="1">
      <alignment horizontal="left" shrinkToFit="0" wrapText="1"/>
    </xf>
    <xf borderId="1" fillId="0" fontId="2" numFmtId="164" xfId="0" applyAlignment="1" applyBorder="1" applyFont="1" applyNumberFormat="1">
      <alignment horizontal="left" shrinkToFit="0" wrapText="1"/>
    </xf>
    <xf borderId="1" fillId="0" fontId="2" numFmtId="3" xfId="0" applyAlignment="1" applyBorder="1" applyFont="1" applyNumberFormat="1">
      <alignment horizontal="center" shrinkToFit="0" wrapText="1"/>
    </xf>
    <xf borderId="1" fillId="0" fontId="2" numFmtId="10" xfId="0" applyAlignment="1" applyBorder="1" applyFont="1" applyNumberFormat="1">
      <alignment horizontal="center" shrinkToFit="0" wrapText="1"/>
    </xf>
    <xf borderId="1" fillId="0" fontId="2" numFmtId="0" xfId="0" applyAlignment="1" applyBorder="1" applyFont="1">
      <alignment horizontal="center" shrinkToFit="0" wrapText="1"/>
    </xf>
    <xf borderId="0" fillId="0" fontId="2" numFmtId="0" xfId="0" applyAlignment="1" applyFont="1">
      <alignment shrinkToFit="0" wrapText="1"/>
    </xf>
    <xf borderId="0" fillId="0" fontId="2" numFmtId="0" xfId="0" applyAlignment="1" applyFont="1">
      <alignment horizontal="left" shrinkToFit="0" wrapText="1"/>
    </xf>
    <xf borderId="0" fillId="0" fontId="2" numFmtId="0" xfId="0" applyAlignment="1" applyFont="1">
      <alignment horizontal="left"/>
    </xf>
    <xf borderId="1" fillId="9" fontId="17" numFmtId="0" xfId="0" applyAlignment="1" applyBorder="1" applyFont="1">
      <alignment horizontal="right" shrinkToFit="0" vertical="center" wrapText="1"/>
    </xf>
    <xf borderId="0" fillId="0" fontId="2" numFmtId="0" xfId="0" applyAlignment="1" applyFont="1">
      <alignment horizontal="center" shrinkToFit="0" vertical="center" wrapText="1"/>
    </xf>
    <xf borderId="1" fillId="3" fontId="11" numFmtId="166" xfId="0" applyAlignment="1" applyBorder="1" applyFont="1" applyNumberFormat="1">
      <alignment horizontal="left" readingOrder="0" shrinkToFit="0" vertical="center" wrapText="1"/>
    </xf>
    <xf borderId="1" fillId="0" fontId="2" numFmtId="164" xfId="0" applyAlignment="1" applyBorder="1" applyFont="1" applyNumberFormat="1">
      <alignment horizontal="left" shrinkToFit="0" vertical="center" wrapText="1"/>
    </xf>
    <xf borderId="1" fillId="0" fontId="2" numFmtId="3" xfId="0" applyAlignment="1" applyBorder="1" applyFont="1" applyNumberFormat="1">
      <alignment horizontal="center" readingOrder="0" vertical="center"/>
    </xf>
    <xf borderId="1" fillId="0" fontId="3" numFmtId="3" xfId="0" applyAlignment="1" applyBorder="1" applyFont="1" applyNumberFormat="1">
      <alignment horizontal="center" readingOrder="0" vertical="center"/>
    </xf>
    <xf borderId="1" fillId="0" fontId="2" numFmtId="10" xfId="0" applyAlignment="1" applyBorder="1" applyFont="1" applyNumberFormat="1">
      <alignment horizontal="center" readingOrder="0" vertical="center"/>
    </xf>
    <xf borderId="1" fillId="0" fontId="2" numFmtId="3" xfId="0" applyBorder="1" applyFont="1" applyNumberFormat="1"/>
    <xf borderId="1" fillId="0" fontId="2" numFmtId="3" xfId="0" applyAlignment="1" applyBorder="1" applyFont="1" applyNumberFormat="1">
      <alignment shrinkToFit="0" wrapText="1"/>
    </xf>
    <xf borderId="1" fillId="0" fontId="2" numFmtId="164" xfId="0" applyBorder="1" applyFont="1" applyNumberFormat="1"/>
    <xf borderId="1" fillId="0" fontId="2" numFmtId="165" xfId="0" applyAlignment="1" applyBorder="1" applyFont="1" applyNumberFormat="1">
      <alignment horizontal="left"/>
    </xf>
    <xf borderId="1" fillId="0" fontId="2" numFmtId="172" xfId="0" applyAlignment="1" applyBorder="1" applyFont="1" applyNumberFormat="1">
      <alignment horizontal="left"/>
    </xf>
    <xf borderId="1" fillId="0" fontId="2" numFmtId="164" xfId="0" applyAlignment="1" applyBorder="1" applyFont="1" applyNumberFormat="1">
      <alignment vertical="center"/>
    </xf>
    <xf borderId="1" fillId="3" fontId="11" numFmtId="0" xfId="0" applyAlignment="1" applyBorder="1" applyFont="1">
      <alignment horizontal="left" shrinkToFit="0" vertical="center" wrapText="1"/>
    </xf>
    <xf borderId="1" fillId="0" fontId="18" numFmtId="3" xfId="0" applyAlignment="1" applyBorder="1" applyFont="1" applyNumberFormat="1">
      <alignment horizontal="center" vertical="center"/>
    </xf>
    <xf borderId="1" fillId="3" fontId="11" numFmtId="3" xfId="0" applyAlignment="1" applyBorder="1" applyFont="1" applyNumberFormat="1">
      <alignment horizontal="center" vertical="center"/>
    </xf>
    <xf borderId="1" fillId="3" fontId="19" numFmtId="10" xfId="0" applyAlignment="1" applyBorder="1" applyFont="1" applyNumberFormat="1">
      <alignment horizontal="center" vertical="center"/>
    </xf>
    <xf borderId="1" fillId="3" fontId="11" numFmtId="10" xfId="0" applyAlignment="1" applyBorder="1" applyFont="1" applyNumberFormat="1">
      <alignment horizontal="center" vertical="center"/>
    </xf>
    <xf borderId="1" fillId="0" fontId="18" numFmtId="0" xfId="0" applyAlignment="1" applyBorder="1" applyFont="1">
      <alignment horizontal="center" shrinkToFit="0" vertical="center" wrapText="1"/>
    </xf>
    <xf borderId="1" fillId="3" fontId="3" numFmtId="0" xfId="0" applyAlignment="1" applyBorder="1" applyFont="1">
      <alignment horizontal="left" shrinkToFit="0" vertical="center" wrapText="1"/>
    </xf>
    <xf borderId="1" fillId="3" fontId="3" numFmtId="3" xfId="0" applyAlignment="1" applyBorder="1" applyFont="1" applyNumberFormat="1">
      <alignment horizontal="center" vertical="center"/>
    </xf>
    <xf borderId="1" fillId="3" fontId="18" numFmtId="10" xfId="0" applyAlignment="1" applyBorder="1" applyFont="1" applyNumberFormat="1">
      <alignment horizontal="center" vertical="center"/>
    </xf>
    <xf borderId="1" fillId="3" fontId="3" numFmtId="10" xfId="0" applyAlignment="1" applyBorder="1" applyFont="1" applyNumberFormat="1">
      <alignment horizontal="center" vertical="center"/>
    </xf>
    <xf borderId="1" fillId="0" fontId="3" numFmtId="0" xfId="0" applyAlignment="1" applyBorder="1" applyFont="1">
      <alignment horizontal="left" shrinkToFit="0" vertical="center" wrapText="1"/>
    </xf>
    <xf borderId="1" fillId="0" fontId="2" numFmtId="164" xfId="0" applyAlignment="1" applyBorder="1" applyFont="1" applyNumberFormat="1">
      <alignment horizontal="left" readingOrder="0" shrinkToFit="0" vertical="center" wrapText="1"/>
    </xf>
    <xf borderId="1" fillId="3" fontId="10" numFmtId="3" xfId="0" applyAlignment="1" applyBorder="1" applyFont="1" applyNumberFormat="1">
      <alignment horizontal="center" readingOrder="0" vertical="center"/>
    </xf>
    <xf borderId="1" fillId="0" fontId="3" numFmtId="3" xfId="0" applyAlignment="1" applyBorder="1" applyFont="1" applyNumberFormat="1">
      <alignment horizontal="center" vertical="center"/>
    </xf>
    <xf borderId="1" fillId="3" fontId="4" numFmtId="3" xfId="0" applyAlignment="1" applyBorder="1" applyFont="1" applyNumberFormat="1">
      <alignment horizontal="center" readingOrder="0" vertical="center"/>
    </xf>
    <xf borderId="1" fillId="0" fontId="3" numFmtId="10" xfId="0" applyAlignment="1" applyBorder="1" applyFont="1" applyNumberFormat="1">
      <alignment horizontal="center" vertical="center"/>
    </xf>
    <xf borderId="1" fillId="0" fontId="18" numFmtId="0" xfId="0" applyAlignment="1" applyBorder="1" applyFont="1">
      <alignment horizontal="center" readingOrder="0" shrinkToFit="0" vertical="center" wrapText="1"/>
    </xf>
    <xf borderId="1" fillId="0" fontId="3" numFmtId="0" xfId="0" applyAlignment="1" applyBorder="1" applyFont="1">
      <alignment horizontal="left" vertical="center"/>
    </xf>
    <xf borderId="1" fillId="0" fontId="18" numFmtId="3" xfId="0" applyAlignment="1" applyBorder="1" applyFont="1" applyNumberFormat="1">
      <alignment horizontal="center" readingOrder="0" vertical="center"/>
    </xf>
    <xf borderId="1" fillId="3" fontId="11" numFmtId="0" xfId="0" applyAlignment="1" applyBorder="1" applyFont="1">
      <alignment horizontal="left" vertical="center"/>
    </xf>
    <xf borderId="1" fillId="0" fontId="2" numFmtId="10" xfId="0" applyBorder="1" applyFont="1" applyNumberFormat="1"/>
    <xf borderId="1" fillId="0" fontId="2" numFmtId="0" xfId="0" applyAlignment="1" applyBorder="1" applyFont="1">
      <alignment shrinkToFit="0" wrapText="1"/>
    </xf>
    <xf borderId="1" fillId="0" fontId="2" numFmtId="3" xfId="0" applyAlignment="1" applyBorder="1" applyFont="1" applyNumberFormat="1">
      <alignment vertical="center"/>
    </xf>
    <xf borderId="1" fillId="0" fontId="2" numFmtId="3" xfId="0" applyAlignment="1" applyBorder="1" applyFont="1" applyNumberFormat="1">
      <alignment horizontal="left" vertical="center"/>
    </xf>
    <xf borderId="1" fillId="0" fontId="2" numFmtId="3" xfId="0" applyAlignment="1" applyBorder="1" applyFont="1" applyNumberFormat="1">
      <alignment shrinkToFit="0" vertical="center" wrapText="1"/>
    </xf>
    <xf borderId="0" fillId="0" fontId="2" numFmtId="166" xfId="0" applyAlignment="1" applyFont="1" applyNumberFormat="1">
      <alignment horizontal="left"/>
    </xf>
    <xf borderId="0" fillId="0" fontId="2" numFmtId="164" xfId="0" applyFont="1" applyNumberFormat="1"/>
    <xf borderId="0" fillId="0" fontId="2" numFmtId="3" xfId="0" applyFont="1" applyNumberFormat="1"/>
    <xf borderId="0" fillId="0" fontId="2" numFmtId="10" xfId="0" applyFont="1" applyNumberFormat="1"/>
    <xf borderId="0" fillId="0" fontId="2" numFmtId="3" xfId="0" applyAlignment="1" applyFont="1" applyNumberFormat="1">
      <alignment shrinkToFit="0" wrapText="1"/>
    </xf>
    <xf borderId="1" fillId="9" fontId="17" numFmtId="0" xfId="0" applyAlignment="1" applyBorder="1" applyFont="1">
      <alignment horizontal="left" shrinkToFit="0" vertical="center" wrapText="1"/>
    </xf>
    <xf borderId="1" fillId="3" fontId="2" numFmtId="10" xfId="0" applyAlignment="1" applyBorder="1" applyFont="1" applyNumberFormat="1">
      <alignment horizontal="center" vertical="center"/>
    </xf>
    <xf borderId="1" fillId="0" fontId="2" numFmtId="3" xfId="0" applyAlignment="1" applyBorder="1" applyFont="1" applyNumberFormat="1">
      <alignment horizontal="left"/>
    </xf>
    <xf borderId="1" fillId="0" fontId="20" numFmtId="0" xfId="0" applyAlignment="1" applyBorder="1" applyFont="1">
      <alignment horizontal="left" shrinkToFit="0" vertical="center" wrapText="1"/>
    </xf>
    <xf borderId="0" fillId="0" fontId="2" numFmtId="0" xfId="0" applyAlignment="1" applyFont="1">
      <alignment vertical="center"/>
    </xf>
    <xf borderId="1" fillId="4" fontId="2" numFmtId="10" xfId="0" applyAlignment="1" applyBorder="1" applyFont="1" applyNumberFormat="1">
      <alignment horizontal="center" vertical="center"/>
    </xf>
    <xf borderId="1" fillId="0" fontId="2" numFmtId="166" xfId="0" applyBorder="1" applyFont="1" applyNumberFormat="1"/>
    <xf borderId="1" fillId="0" fontId="2" numFmtId="3" xfId="0" applyAlignment="1" applyBorder="1" applyFont="1" applyNumberFormat="1">
      <alignment readingOrder="0" vertical="center"/>
    </xf>
    <xf borderId="1" fillId="0" fontId="2" numFmtId="10" xfId="0" applyAlignment="1" applyBorder="1" applyFont="1" applyNumberFormat="1">
      <alignment horizontal="left" vertical="center"/>
    </xf>
    <xf borderId="1" fillId="0" fontId="2" numFmtId="3" xfId="0" applyAlignment="1" applyBorder="1" applyFont="1" applyNumberFormat="1">
      <alignment horizontal="left" shrinkToFit="0" vertical="center" wrapText="1"/>
    </xf>
    <xf borderId="0" fillId="0" fontId="2" numFmtId="166" xfId="0" applyFont="1" applyNumberFormat="1"/>
    <xf borderId="1" fillId="9" fontId="21" numFmtId="0" xfId="0" applyAlignment="1" applyBorder="1" applyFont="1">
      <alignment horizontal="center" shrinkToFit="0" vertical="center" wrapText="1"/>
    </xf>
    <xf borderId="1" fillId="9" fontId="22" numFmtId="0" xfId="0" applyAlignment="1" applyBorder="1" applyFont="1">
      <alignment horizontal="center" shrinkToFit="0" vertical="center" wrapText="1"/>
    </xf>
    <xf borderId="0" fillId="3" fontId="17" numFmtId="0" xfId="0" applyAlignment="1" applyFont="1">
      <alignment horizontal="center" shrinkToFit="0" vertical="center" wrapText="1"/>
    </xf>
    <xf borderId="0" fillId="0" fontId="3" numFmtId="165" xfId="0" applyAlignment="1" applyFont="1" applyNumberFormat="1">
      <alignment horizontal="left" readingOrder="0" shrinkToFit="0" vertical="center" wrapText="1"/>
    </xf>
    <xf borderId="0" fillId="0" fontId="2" numFmtId="164" xfId="0" applyAlignment="1" applyFont="1" applyNumberFormat="1">
      <alignment horizontal="left" vertical="center"/>
    </xf>
    <xf borderId="0" fillId="0" fontId="2" numFmtId="164" xfId="0" applyAlignment="1" applyFont="1" applyNumberFormat="1">
      <alignment horizontal="center" vertical="center"/>
    </xf>
    <xf borderId="0" fillId="0" fontId="2" numFmtId="0" xfId="0" applyAlignment="1" applyFont="1">
      <alignment horizontal="left" vertical="center"/>
    </xf>
    <xf borderId="0" fillId="0" fontId="2" numFmtId="3" xfId="0" applyAlignment="1" applyFont="1" applyNumberFormat="1">
      <alignment horizontal="center" vertical="center"/>
    </xf>
    <xf borderId="0" fillId="0" fontId="2" numFmtId="10" xfId="0" applyAlignment="1" applyFont="1" applyNumberFormat="1">
      <alignment horizontal="center" vertical="center"/>
    </xf>
    <xf borderId="0" fillId="0" fontId="2" numFmtId="0" xfId="0" applyAlignment="1" applyFont="1">
      <alignment horizontal="center" vertical="center"/>
    </xf>
    <xf borderId="0" fillId="0" fontId="2" numFmtId="0" xfId="0" applyAlignment="1" applyFont="1">
      <alignment horizontal="left" shrinkToFit="0" vertical="center" wrapText="1"/>
    </xf>
    <xf borderId="0" fillId="0" fontId="2" numFmtId="3" xfId="0" applyAlignment="1" applyFont="1" applyNumberFormat="1">
      <alignment horizontal="left" shrinkToFit="0" vertical="center" wrapText="1"/>
    </xf>
    <xf borderId="0" fillId="0" fontId="3" numFmtId="166" xfId="0" applyAlignment="1" applyFont="1" applyNumberFormat="1">
      <alignment horizontal="left" readingOrder="0" shrinkToFit="0" vertical="center" wrapText="1"/>
    </xf>
    <xf borderId="0" fillId="0" fontId="2" numFmtId="164" xfId="0" applyAlignment="1" applyFont="1" applyNumberFormat="1">
      <alignment vertical="center"/>
    </xf>
    <xf borderId="0" fillId="0" fontId="2" numFmtId="3" xfId="0" applyAlignment="1" applyFont="1" applyNumberFormat="1">
      <alignment vertical="center"/>
    </xf>
    <xf borderId="0" fillId="0" fontId="3" numFmtId="0" xfId="0" applyAlignment="1" applyFont="1">
      <alignment horizontal="left" readingOrder="0" shrinkToFit="0" vertical="center" wrapText="1"/>
    </xf>
    <xf borderId="1" fillId="0" fontId="3" numFmtId="164" xfId="0" applyAlignment="1" applyBorder="1" applyFont="1" applyNumberFormat="1">
      <alignment horizontal="left" readingOrder="0" shrinkToFit="0" vertical="center" wrapText="1"/>
    </xf>
    <xf borderId="1" fillId="0" fontId="3" numFmtId="165" xfId="0" applyAlignment="1" applyBorder="1" applyFont="1" applyNumberFormat="1">
      <alignment horizontal="left" readingOrder="0" shrinkToFit="0" vertical="center" wrapText="1"/>
    </xf>
    <xf borderId="1" fillId="9" fontId="21" numFmtId="166" xfId="0" applyAlignment="1" applyBorder="1" applyFont="1" applyNumberFormat="1">
      <alignment horizontal="center" shrinkToFit="0" vertical="center" wrapText="1"/>
    </xf>
    <xf borderId="1" fillId="9" fontId="21" numFmtId="164" xfId="0" applyAlignment="1" applyBorder="1" applyFont="1" applyNumberFormat="1">
      <alignment horizontal="center" shrinkToFit="0" vertical="center" wrapText="1"/>
    </xf>
    <xf borderId="1" fillId="9" fontId="21" numFmtId="3" xfId="0" applyAlignment="1" applyBorder="1" applyFont="1" applyNumberFormat="1">
      <alignment horizontal="center" shrinkToFit="0" vertical="center" wrapText="1"/>
    </xf>
    <xf borderId="1" fillId="9" fontId="21" numFmtId="10" xfId="0" applyAlignment="1" applyBorder="1" applyFont="1" applyNumberFormat="1">
      <alignment horizontal="center" shrinkToFit="0" vertical="center" wrapText="1"/>
    </xf>
    <xf borderId="1" fillId="9" fontId="22" numFmtId="10" xfId="0" applyAlignment="1" applyBorder="1" applyFont="1" applyNumberFormat="1">
      <alignment horizontal="center" shrinkToFit="0" vertical="center" wrapText="1"/>
    </xf>
    <xf borderId="1" fillId="9" fontId="22" numFmtId="3" xfId="0" applyAlignment="1" applyBorder="1" applyFont="1" applyNumberFormat="1">
      <alignment horizontal="center" shrinkToFit="0" vertical="center" wrapText="1"/>
    </xf>
    <xf borderId="0" fillId="3" fontId="17" numFmtId="3" xfId="0" applyAlignment="1" applyFont="1" applyNumberFormat="1">
      <alignment horizontal="center" shrinkToFit="0" vertical="center" wrapText="1"/>
    </xf>
    <xf borderId="1" fillId="3" fontId="11" numFmtId="165" xfId="0" applyAlignment="1" applyBorder="1" applyFont="1" applyNumberFormat="1">
      <alignment horizontal="left" readingOrder="0" shrinkToFit="0" vertical="center" wrapText="1"/>
    </xf>
    <xf borderId="0" fillId="0" fontId="7" numFmtId="0" xfId="0" applyFont="1"/>
    <xf borderId="0" fillId="0" fontId="7" numFmtId="3" xfId="0" applyFont="1" applyNumberFormat="1"/>
    <xf borderId="1" fillId="0" fontId="18" numFmtId="3" xfId="0" applyAlignment="1" applyBorder="1" applyFont="1" applyNumberFormat="1">
      <alignment horizontal="center" shrinkToFit="0" vertical="center" wrapText="1"/>
    </xf>
    <xf borderId="1" fillId="0" fontId="18" numFmtId="3" xfId="0" applyAlignment="1" applyBorder="1" applyFont="1" applyNumberFormat="1">
      <alignment horizontal="center" readingOrder="0" shrinkToFit="0" vertical="center" wrapText="1"/>
    </xf>
    <xf borderId="0" fillId="0" fontId="2" numFmtId="165"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12.75"/>
    <col customWidth="1" min="4" max="4" width="25.38"/>
    <col customWidth="1" min="5" max="5" width="8.75"/>
    <col customWidth="1" min="6" max="6" width="35.38"/>
    <col customWidth="1" min="7" max="7" width="42.88"/>
    <col customWidth="1" min="8" max="8" width="46.75"/>
    <col customWidth="1" min="9" max="9" width="78.63"/>
    <col customWidth="1" min="10" max="10" width="14.25"/>
    <col customWidth="1" min="11" max="11" width="14.88"/>
    <col customWidth="1" min="21" max="21" width="17.13"/>
    <col customWidth="1" min="22" max="22" width="23.38"/>
    <col customWidth="1" min="23" max="23" width="16.5"/>
    <col customWidth="1" min="24" max="24" width="40.5"/>
    <col customWidth="1" min="25" max="25" width="37.5"/>
    <col customWidth="1" min="26" max="26" width="27.25"/>
    <col customWidth="1" min="27" max="32" width="18.13"/>
    <col customWidth="1" min="33" max="33" width="15.63"/>
    <col customWidth="1" min="34" max="34" width="14.25"/>
  </cols>
  <sheetData>
    <row r="1">
      <c r="A1" s="1" t="s">
        <v>0</v>
      </c>
      <c r="B1" s="1" t="s">
        <v>1</v>
      </c>
      <c r="C1" s="2" t="s">
        <v>2</v>
      </c>
      <c r="D1" s="2" t="s">
        <v>3</v>
      </c>
      <c r="E1" s="2" t="s">
        <v>4</v>
      </c>
      <c r="F1" s="3" t="s">
        <v>5</v>
      </c>
      <c r="G1" s="2" t="s">
        <v>6</v>
      </c>
      <c r="H1" s="2" t="s">
        <v>7</v>
      </c>
      <c r="I1" s="2" t="s">
        <v>8</v>
      </c>
      <c r="J1" s="2" t="s">
        <v>9</v>
      </c>
      <c r="K1" s="4" t="s">
        <v>10</v>
      </c>
      <c r="L1" s="4" t="s">
        <v>11</v>
      </c>
      <c r="M1" s="4" t="s">
        <v>12</v>
      </c>
      <c r="N1" s="4" t="s">
        <v>13</v>
      </c>
      <c r="O1" s="4" t="s">
        <v>14</v>
      </c>
      <c r="P1" s="4" t="s">
        <v>15</v>
      </c>
      <c r="Q1" s="4" t="s">
        <v>16</v>
      </c>
      <c r="R1" s="4" t="s">
        <v>17</v>
      </c>
      <c r="S1" s="5" t="s">
        <v>18</v>
      </c>
      <c r="T1" s="5" t="s">
        <v>19</v>
      </c>
      <c r="U1" s="5" t="s">
        <v>20</v>
      </c>
      <c r="V1" s="4" t="s">
        <v>21</v>
      </c>
      <c r="W1" s="4" t="s">
        <v>22</v>
      </c>
      <c r="X1" s="4" t="s">
        <v>23</v>
      </c>
      <c r="Y1" s="6" t="s">
        <v>24</v>
      </c>
      <c r="Z1" s="6" t="s">
        <v>25</v>
      </c>
      <c r="AA1" s="4" t="s">
        <v>26</v>
      </c>
      <c r="AB1" s="4" t="s">
        <v>27</v>
      </c>
      <c r="AC1" s="4" t="s">
        <v>28</v>
      </c>
      <c r="AD1" s="4" t="s">
        <v>29</v>
      </c>
      <c r="AE1" s="4" t="s">
        <v>30</v>
      </c>
      <c r="AF1" s="4" t="s">
        <v>31</v>
      </c>
      <c r="AG1" s="7"/>
      <c r="AH1" s="7"/>
      <c r="AI1" s="7"/>
      <c r="AJ1" s="7"/>
      <c r="AK1" s="7"/>
      <c r="AL1" s="7"/>
      <c r="AM1" s="7"/>
      <c r="AN1" s="7"/>
      <c r="AO1" s="7"/>
      <c r="AP1" s="7"/>
    </row>
    <row r="2" hidden="1">
      <c r="A2" s="8">
        <v>46023.0</v>
      </c>
      <c r="B2" s="9">
        <v>0.375</v>
      </c>
      <c r="C2" s="10" t="s">
        <v>32</v>
      </c>
      <c r="D2" s="11" t="s">
        <v>33</v>
      </c>
      <c r="E2" s="12" t="s">
        <v>34</v>
      </c>
      <c r="F2" s="12" t="s">
        <v>35</v>
      </c>
      <c r="G2" s="12" t="s">
        <v>36</v>
      </c>
      <c r="H2" s="12" t="s">
        <v>37</v>
      </c>
      <c r="I2" s="13" t="s">
        <v>38</v>
      </c>
      <c r="J2" s="14">
        <v>72059.0</v>
      </c>
      <c r="K2" s="14">
        <v>24373.0</v>
      </c>
      <c r="L2" s="15">
        <v>0.338236723</v>
      </c>
      <c r="M2" s="16">
        <v>8855.0</v>
      </c>
      <c r="N2" s="17">
        <v>0.3626</v>
      </c>
      <c r="O2" s="18">
        <v>225.0</v>
      </c>
      <c r="P2" s="18">
        <v>198.0</v>
      </c>
      <c r="Q2" s="19">
        <v>0.0081</v>
      </c>
      <c r="R2" s="19">
        <v>0.0224</v>
      </c>
      <c r="S2" s="20">
        <v>3.0</v>
      </c>
      <c r="T2" s="20">
        <v>5.0</v>
      </c>
      <c r="U2" s="20">
        <v>13557.0</v>
      </c>
      <c r="V2" s="21" t="s">
        <v>39</v>
      </c>
      <c r="W2" s="18" t="s">
        <v>40</v>
      </c>
      <c r="X2" s="20" t="s">
        <v>41</v>
      </c>
      <c r="Y2" s="21" t="s">
        <v>42</v>
      </c>
      <c r="Z2" s="20" t="s">
        <v>43</v>
      </c>
      <c r="AA2" s="14">
        <v>39.0</v>
      </c>
      <c r="AB2" s="14">
        <v>8.0</v>
      </c>
      <c r="AC2" s="14">
        <v>31.0</v>
      </c>
      <c r="AD2" s="14">
        <v>319720.0</v>
      </c>
      <c r="AE2" s="14">
        <v>46677.0</v>
      </c>
      <c r="AF2" s="14">
        <v>273043.0</v>
      </c>
      <c r="AG2" s="22"/>
      <c r="AH2" s="22"/>
      <c r="AI2" s="22"/>
      <c r="AJ2" s="22"/>
      <c r="AK2" s="22"/>
      <c r="AL2" s="22"/>
      <c r="AM2" s="22"/>
      <c r="AN2" s="22"/>
      <c r="AO2" s="22"/>
      <c r="AP2" s="22"/>
    </row>
    <row r="3" hidden="1">
      <c r="A3" s="8">
        <v>46023.0</v>
      </c>
      <c r="B3" s="9">
        <v>0.3784722222222222</v>
      </c>
      <c r="C3" s="10" t="s">
        <v>32</v>
      </c>
      <c r="D3" s="11" t="s">
        <v>33</v>
      </c>
      <c r="E3" s="12" t="s">
        <v>34</v>
      </c>
      <c r="F3" s="12" t="s">
        <v>35</v>
      </c>
      <c r="G3" s="12" t="s">
        <v>44</v>
      </c>
      <c r="H3" s="12" t="s">
        <v>45</v>
      </c>
      <c r="I3" s="13" t="s">
        <v>46</v>
      </c>
      <c r="J3" s="14">
        <v>40027.0</v>
      </c>
      <c r="K3" s="14">
        <v>19058.0</v>
      </c>
      <c r="L3" s="15">
        <v>0.476128613</v>
      </c>
      <c r="M3" s="16">
        <v>8104.0</v>
      </c>
      <c r="N3" s="17">
        <v>0.4244</v>
      </c>
      <c r="O3" s="18">
        <v>588.0</v>
      </c>
      <c r="P3" s="18">
        <v>497.0</v>
      </c>
      <c r="Q3" s="19">
        <v>0.0261</v>
      </c>
      <c r="R3" s="19">
        <v>0.0615</v>
      </c>
      <c r="S3" s="20">
        <v>8.0</v>
      </c>
      <c r="T3" s="20">
        <v>23.0</v>
      </c>
      <c r="U3" s="20">
        <v>55517.0</v>
      </c>
      <c r="V3" s="21" t="s">
        <v>39</v>
      </c>
      <c r="W3" s="18" t="s">
        <v>40</v>
      </c>
      <c r="X3" s="20" t="s">
        <v>47</v>
      </c>
      <c r="Y3" s="21" t="s">
        <v>42</v>
      </c>
      <c r="Z3" s="20" t="s">
        <v>48</v>
      </c>
      <c r="AA3" s="14">
        <v>55.0</v>
      </c>
      <c r="AB3" s="14">
        <v>22.0</v>
      </c>
      <c r="AC3" s="14">
        <v>33.0</v>
      </c>
      <c r="AD3" s="14">
        <v>351938.0</v>
      </c>
      <c r="AE3" s="14">
        <v>109581.0</v>
      </c>
      <c r="AF3" s="14">
        <v>242357.0</v>
      </c>
      <c r="AG3" s="22"/>
      <c r="AH3" s="22"/>
      <c r="AI3" s="22"/>
      <c r="AJ3" s="22"/>
      <c r="AK3" s="22"/>
      <c r="AL3" s="22"/>
      <c r="AM3" s="22"/>
      <c r="AN3" s="22"/>
      <c r="AO3" s="22"/>
      <c r="AP3" s="22"/>
    </row>
    <row r="4" hidden="1">
      <c r="A4" s="8">
        <v>46023.0</v>
      </c>
      <c r="B4" s="9">
        <v>0.3819444444444444</v>
      </c>
      <c r="C4" s="10" t="s">
        <v>32</v>
      </c>
      <c r="D4" s="11" t="s">
        <v>33</v>
      </c>
      <c r="E4" s="12" t="s">
        <v>34</v>
      </c>
      <c r="F4" s="12" t="s">
        <v>35</v>
      </c>
      <c r="G4" s="12" t="s">
        <v>49</v>
      </c>
      <c r="H4" s="12" t="s">
        <v>50</v>
      </c>
      <c r="I4" s="13" t="s">
        <v>51</v>
      </c>
      <c r="J4" s="14">
        <v>96178.0</v>
      </c>
      <c r="K4" s="14">
        <v>43482.0</v>
      </c>
      <c r="L4" s="15">
        <v>0.452099233</v>
      </c>
      <c r="M4" s="16">
        <v>15246.0</v>
      </c>
      <c r="N4" s="17">
        <v>0.3496</v>
      </c>
      <c r="O4" s="18">
        <v>598.0</v>
      </c>
      <c r="P4" s="18">
        <v>533.0</v>
      </c>
      <c r="Q4" s="19">
        <v>0.0123</v>
      </c>
      <c r="R4" s="19">
        <v>0.0351</v>
      </c>
      <c r="S4" s="20">
        <v>5.0</v>
      </c>
      <c r="T4" s="20">
        <v>17.0</v>
      </c>
      <c r="U4" s="20">
        <v>41444.0</v>
      </c>
      <c r="V4" s="21" t="s">
        <v>39</v>
      </c>
      <c r="W4" s="18" t="s">
        <v>40</v>
      </c>
      <c r="X4" s="20" t="s">
        <v>52</v>
      </c>
      <c r="Y4" s="21" t="s">
        <v>42</v>
      </c>
      <c r="Z4" s="20" t="s">
        <v>53</v>
      </c>
      <c r="AA4" s="14">
        <v>88.0</v>
      </c>
      <c r="AB4" s="14">
        <v>18.0</v>
      </c>
      <c r="AC4" s="14">
        <v>70.0</v>
      </c>
      <c r="AD4" s="14">
        <v>791240.0</v>
      </c>
      <c r="AE4" s="14">
        <v>150974.0</v>
      </c>
      <c r="AF4" s="14">
        <v>640266.0</v>
      </c>
      <c r="AG4" s="22"/>
      <c r="AH4" s="22"/>
      <c r="AI4" s="22"/>
      <c r="AJ4" s="22"/>
      <c r="AK4" s="22"/>
      <c r="AL4" s="22"/>
      <c r="AM4" s="22"/>
      <c r="AN4" s="22"/>
      <c r="AO4" s="22"/>
      <c r="AP4" s="22"/>
    </row>
    <row r="5" hidden="1">
      <c r="A5" s="8">
        <v>46023.0</v>
      </c>
      <c r="B5" s="9">
        <v>0.3854166666666667</v>
      </c>
      <c r="C5" s="10" t="s">
        <v>32</v>
      </c>
      <c r="D5" s="11" t="s">
        <v>33</v>
      </c>
      <c r="E5" s="12" t="s">
        <v>34</v>
      </c>
      <c r="F5" s="12" t="s">
        <v>35</v>
      </c>
      <c r="G5" s="12" t="s">
        <v>54</v>
      </c>
      <c r="H5" s="12" t="s">
        <v>55</v>
      </c>
      <c r="I5" s="13" t="s">
        <v>56</v>
      </c>
      <c r="J5" s="14">
        <v>126563.0</v>
      </c>
      <c r="K5" s="14">
        <v>57556.0</v>
      </c>
      <c r="L5" s="15">
        <v>0.45476166</v>
      </c>
      <c r="M5" s="16">
        <v>18018.0</v>
      </c>
      <c r="N5" s="17">
        <v>0.3121</v>
      </c>
      <c r="O5" s="18">
        <v>367.0</v>
      </c>
      <c r="P5" s="18">
        <v>330.0</v>
      </c>
      <c r="Q5" s="19">
        <v>0.0057</v>
      </c>
      <c r="R5" s="19">
        <v>0.0184</v>
      </c>
      <c r="S5" s="20">
        <v>3.0</v>
      </c>
      <c r="T5" s="20">
        <v>5.0</v>
      </c>
      <c r="U5" s="20">
        <v>23497.0</v>
      </c>
      <c r="V5" s="21" t="s">
        <v>39</v>
      </c>
      <c r="W5" s="18" t="s">
        <v>40</v>
      </c>
      <c r="X5" s="20" t="s">
        <v>47</v>
      </c>
      <c r="Y5" s="21" t="s">
        <v>42</v>
      </c>
      <c r="Z5" s="20" t="s">
        <v>57</v>
      </c>
      <c r="AA5" s="14">
        <v>48.0</v>
      </c>
      <c r="AB5" s="14">
        <v>9.0</v>
      </c>
      <c r="AC5" s="14">
        <v>39.0</v>
      </c>
      <c r="AD5" s="14">
        <v>421998.0</v>
      </c>
      <c r="AE5" s="14">
        <v>59491.0</v>
      </c>
      <c r="AF5" s="14">
        <v>362507.0</v>
      </c>
      <c r="AG5" s="22"/>
      <c r="AH5" s="22"/>
      <c r="AI5" s="22"/>
      <c r="AJ5" s="22"/>
      <c r="AK5" s="22"/>
      <c r="AL5" s="22"/>
      <c r="AM5" s="22"/>
      <c r="AN5" s="22"/>
      <c r="AO5" s="22"/>
      <c r="AP5" s="22"/>
    </row>
    <row r="6" hidden="1">
      <c r="A6" s="8">
        <v>46023.0</v>
      </c>
      <c r="B6" s="9">
        <v>0.75</v>
      </c>
      <c r="C6" s="10" t="s">
        <v>58</v>
      </c>
      <c r="D6" s="11" t="s">
        <v>59</v>
      </c>
      <c r="E6" s="12" t="s">
        <v>34</v>
      </c>
      <c r="F6" s="12" t="s">
        <v>35</v>
      </c>
      <c r="G6" s="12" t="s">
        <v>60</v>
      </c>
      <c r="H6" s="12" t="s">
        <v>37</v>
      </c>
      <c r="I6" s="13" t="s">
        <v>61</v>
      </c>
      <c r="J6" s="14">
        <v>46690.0</v>
      </c>
      <c r="K6" s="14">
        <v>26965.0</v>
      </c>
      <c r="L6" s="15">
        <v>0.577532662</v>
      </c>
      <c r="M6" s="16"/>
      <c r="N6" s="17"/>
      <c r="O6" s="18">
        <v>9.0</v>
      </c>
      <c r="P6" s="18"/>
      <c r="Q6" s="19">
        <v>3.0E-4</v>
      </c>
      <c r="R6" s="19"/>
      <c r="S6" s="20">
        <v>0.0</v>
      </c>
      <c r="T6" s="20">
        <v>3.0</v>
      </c>
      <c r="U6" s="20">
        <v>0.0</v>
      </c>
      <c r="V6" s="21" t="s">
        <v>39</v>
      </c>
      <c r="W6" s="18" t="s">
        <v>62</v>
      </c>
      <c r="X6" s="20" t="s">
        <v>41</v>
      </c>
      <c r="Y6" s="21" t="s">
        <v>42</v>
      </c>
      <c r="Z6" s="20" t="s">
        <v>63</v>
      </c>
      <c r="AA6" s="14">
        <v>34.0</v>
      </c>
      <c r="AB6" s="14">
        <v>2.0</v>
      </c>
      <c r="AC6" s="14">
        <v>32.0</v>
      </c>
      <c r="AD6" s="14">
        <v>277018.0</v>
      </c>
      <c r="AE6" s="14">
        <v>10698.0</v>
      </c>
      <c r="AF6" s="14">
        <v>266320.0</v>
      </c>
      <c r="AG6" s="22"/>
      <c r="AH6" s="22"/>
      <c r="AI6" s="22"/>
      <c r="AJ6" s="22"/>
      <c r="AK6" s="22"/>
      <c r="AL6" s="22"/>
      <c r="AM6" s="22"/>
      <c r="AN6" s="22"/>
      <c r="AO6" s="22"/>
      <c r="AP6" s="22"/>
    </row>
    <row r="7" hidden="1">
      <c r="A7" s="8">
        <v>46023.0</v>
      </c>
      <c r="B7" s="9">
        <v>0.7534722222222222</v>
      </c>
      <c r="C7" s="10" t="s">
        <v>58</v>
      </c>
      <c r="D7" s="11" t="s">
        <v>59</v>
      </c>
      <c r="E7" s="12" t="s">
        <v>34</v>
      </c>
      <c r="F7" s="12" t="s">
        <v>35</v>
      </c>
      <c r="G7" s="12" t="s">
        <v>64</v>
      </c>
      <c r="H7" s="12" t="s">
        <v>45</v>
      </c>
      <c r="I7" s="13" t="s">
        <v>61</v>
      </c>
      <c r="J7" s="14">
        <v>20724.0</v>
      </c>
      <c r="K7" s="14">
        <v>12332.0</v>
      </c>
      <c r="L7" s="15">
        <v>0.595058869</v>
      </c>
      <c r="M7" s="16"/>
      <c r="N7" s="17"/>
      <c r="O7" s="18">
        <v>16.0</v>
      </c>
      <c r="P7" s="18"/>
      <c r="Q7" s="19">
        <v>0.0013</v>
      </c>
      <c r="R7" s="19"/>
      <c r="S7" s="20">
        <v>4.0</v>
      </c>
      <c r="T7" s="20">
        <v>16.0</v>
      </c>
      <c r="U7" s="20">
        <v>38620.0</v>
      </c>
      <c r="V7" s="21" t="s">
        <v>39</v>
      </c>
      <c r="W7" s="18" t="s">
        <v>62</v>
      </c>
      <c r="X7" s="20" t="s">
        <v>47</v>
      </c>
      <c r="Y7" s="21" t="s">
        <v>42</v>
      </c>
      <c r="Z7" s="20" t="s">
        <v>65</v>
      </c>
      <c r="AA7" s="14">
        <v>39.0</v>
      </c>
      <c r="AB7" s="14">
        <v>14.0</v>
      </c>
      <c r="AC7" s="14">
        <v>25.0</v>
      </c>
      <c r="AD7" s="14">
        <v>274165.0</v>
      </c>
      <c r="AE7" s="14">
        <v>82494.0</v>
      </c>
      <c r="AF7" s="14">
        <v>191671.0</v>
      </c>
      <c r="AG7" s="22"/>
      <c r="AH7" s="22"/>
      <c r="AI7" s="22"/>
      <c r="AJ7" s="22"/>
      <c r="AK7" s="22"/>
      <c r="AL7" s="22"/>
      <c r="AM7" s="22"/>
      <c r="AN7" s="22"/>
      <c r="AO7" s="22"/>
      <c r="AP7" s="22"/>
    </row>
    <row r="8" hidden="1">
      <c r="A8" s="8">
        <v>46023.0</v>
      </c>
      <c r="B8" s="9">
        <v>0.7569444444444444</v>
      </c>
      <c r="C8" s="10" t="s">
        <v>58</v>
      </c>
      <c r="D8" s="11" t="s">
        <v>59</v>
      </c>
      <c r="E8" s="12" t="s">
        <v>34</v>
      </c>
      <c r="F8" s="12" t="s">
        <v>35</v>
      </c>
      <c r="G8" s="12" t="s">
        <v>66</v>
      </c>
      <c r="H8" s="12" t="s">
        <v>50</v>
      </c>
      <c r="I8" s="13" t="s">
        <v>61</v>
      </c>
      <c r="J8" s="14">
        <v>51316.0</v>
      </c>
      <c r="K8" s="14">
        <v>29829.0</v>
      </c>
      <c r="L8" s="15">
        <v>0.581280692</v>
      </c>
      <c r="M8" s="16"/>
      <c r="N8" s="17"/>
      <c r="O8" s="18">
        <v>18.0</v>
      </c>
      <c r="P8" s="18"/>
      <c r="Q8" s="19">
        <v>6.0E-4</v>
      </c>
      <c r="R8" s="19"/>
      <c r="S8" s="20">
        <v>5.0</v>
      </c>
      <c r="T8" s="20">
        <v>13.0</v>
      </c>
      <c r="U8" s="20">
        <v>60893.0</v>
      </c>
      <c r="V8" s="21" t="s">
        <v>39</v>
      </c>
      <c r="W8" s="18" t="s">
        <v>62</v>
      </c>
      <c r="X8" s="20" t="s">
        <v>52</v>
      </c>
      <c r="Y8" s="21" t="s">
        <v>42</v>
      </c>
      <c r="Z8" s="20" t="s">
        <v>67</v>
      </c>
      <c r="AA8" s="14">
        <v>61.0</v>
      </c>
      <c r="AB8" s="14">
        <v>14.0</v>
      </c>
      <c r="AC8" s="14">
        <v>47.0</v>
      </c>
      <c r="AD8" s="14">
        <v>540942.0</v>
      </c>
      <c r="AE8" s="14">
        <v>111126.0</v>
      </c>
      <c r="AF8" s="14">
        <v>429816.0</v>
      </c>
      <c r="AG8" s="22"/>
      <c r="AH8" s="22"/>
      <c r="AI8" s="22"/>
      <c r="AJ8" s="22"/>
      <c r="AK8" s="22"/>
      <c r="AL8" s="22"/>
      <c r="AM8" s="22"/>
      <c r="AN8" s="22"/>
      <c r="AO8" s="22"/>
      <c r="AP8" s="22"/>
    </row>
    <row r="9" hidden="1">
      <c r="A9" s="8">
        <v>46023.0</v>
      </c>
      <c r="B9" s="9">
        <v>0.7604166666666666</v>
      </c>
      <c r="C9" s="10" t="s">
        <v>58</v>
      </c>
      <c r="D9" s="11" t="s">
        <v>59</v>
      </c>
      <c r="E9" s="12" t="s">
        <v>34</v>
      </c>
      <c r="F9" s="12" t="s">
        <v>35</v>
      </c>
      <c r="G9" s="12" t="s">
        <v>68</v>
      </c>
      <c r="H9" s="12" t="s">
        <v>55</v>
      </c>
      <c r="I9" s="13" t="s">
        <v>61</v>
      </c>
      <c r="J9" s="14">
        <v>65947.0</v>
      </c>
      <c r="K9" s="14">
        <v>37157.0</v>
      </c>
      <c r="L9" s="15">
        <v>0.563437306</v>
      </c>
      <c r="M9" s="16"/>
      <c r="N9" s="17"/>
      <c r="O9" s="18">
        <v>14.0</v>
      </c>
      <c r="P9" s="18"/>
      <c r="Q9" s="19">
        <v>4.0E-4</v>
      </c>
      <c r="R9" s="19"/>
      <c r="S9" s="20">
        <v>0.0</v>
      </c>
      <c r="T9" s="20">
        <v>4.0</v>
      </c>
      <c r="U9" s="20">
        <v>0.0</v>
      </c>
      <c r="V9" s="21" t="s">
        <v>39</v>
      </c>
      <c r="W9" s="18" t="s">
        <v>62</v>
      </c>
      <c r="X9" s="20" t="s">
        <v>69</v>
      </c>
      <c r="Y9" s="21" t="s">
        <v>42</v>
      </c>
      <c r="Z9" s="20" t="s">
        <v>70</v>
      </c>
      <c r="AA9" s="14">
        <v>28.0</v>
      </c>
      <c r="AB9" s="14">
        <v>4.0</v>
      </c>
      <c r="AC9" s="14">
        <v>24.0</v>
      </c>
      <c r="AD9" s="14">
        <v>226904.0</v>
      </c>
      <c r="AE9" s="14">
        <v>40845.0</v>
      </c>
      <c r="AF9" s="14">
        <v>186059.0</v>
      </c>
      <c r="AG9" s="22"/>
      <c r="AH9" s="22"/>
      <c r="AI9" s="22"/>
      <c r="AJ9" s="22"/>
      <c r="AK9" s="22"/>
      <c r="AL9" s="22"/>
      <c r="AM9" s="22"/>
      <c r="AN9" s="22"/>
      <c r="AO9" s="22"/>
      <c r="AP9" s="22"/>
    </row>
    <row r="10" hidden="1">
      <c r="A10" s="8">
        <v>46024.0</v>
      </c>
      <c r="B10" s="23">
        <v>0.7708333333333334</v>
      </c>
      <c r="C10" s="10" t="s">
        <v>32</v>
      </c>
      <c r="D10" s="11" t="s">
        <v>33</v>
      </c>
      <c r="E10" s="12" t="s">
        <v>71</v>
      </c>
      <c r="F10" s="12" t="s">
        <v>72</v>
      </c>
      <c r="G10" s="12" t="s">
        <v>73</v>
      </c>
      <c r="H10" s="12" t="s">
        <v>74</v>
      </c>
      <c r="I10" s="13" t="s">
        <v>75</v>
      </c>
      <c r="J10" s="14">
        <v>145861.0</v>
      </c>
      <c r="K10" s="14">
        <v>58114.0</v>
      </c>
      <c r="L10" s="15">
        <v>0.398420414</v>
      </c>
      <c r="M10" s="16">
        <v>20120.0</v>
      </c>
      <c r="N10" s="17">
        <v>0.3462</v>
      </c>
      <c r="O10" s="18">
        <v>1699.0</v>
      </c>
      <c r="P10" s="18">
        <v>1601.0</v>
      </c>
      <c r="Q10" s="19">
        <v>0.0276</v>
      </c>
      <c r="R10" s="19">
        <v>0.0796</v>
      </c>
      <c r="S10" s="20"/>
      <c r="T10" s="20"/>
      <c r="U10" s="20"/>
      <c r="V10" s="21" t="s">
        <v>39</v>
      </c>
      <c r="W10" s="18" t="s">
        <v>76</v>
      </c>
      <c r="X10" s="20" t="s">
        <v>52</v>
      </c>
      <c r="Y10" s="21" t="s">
        <v>77</v>
      </c>
      <c r="Z10" s="20" t="s">
        <v>78</v>
      </c>
      <c r="AA10" s="24">
        <v>442.0</v>
      </c>
      <c r="AB10" s="24">
        <v>117.0</v>
      </c>
      <c r="AC10" s="24">
        <v>325.0</v>
      </c>
      <c r="AD10" s="24">
        <v>1334427.0</v>
      </c>
      <c r="AE10" s="24">
        <v>266478.0</v>
      </c>
      <c r="AF10" s="24">
        <v>1067949.0</v>
      </c>
      <c r="AG10" s="22"/>
      <c r="AH10" s="22"/>
      <c r="AI10" s="22"/>
      <c r="AJ10" s="22"/>
      <c r="AK10" s="22"/>
      <c r="AL10" s="22"/>
      <c r="AM10" s="22"/>
      <c r="AN10" s="22"/>
      <c r="AO10" s="22"/>
      <c r="AP10" s="22"/>
    </row>
    <row r="11" hidden="1">
      <c r="A11" s="8">
        <v>46024.0</v>
      </c>
      <c r="B11" s="23">
        <v>0.7708333333333334</v>
      </c>
      <c r="C11" s="10" t="s">
        <v>32</v>
      </c>
      <c r="D11" s="11" t="s">
        <v>33</v>
      </c>
      <c r="E11" s="12" t="s">
        <v>71</v>
      </c>
      <c r="F11" s="12" t="s">
        <v>72</v>
      </c>
      <c r="G11" s="12" t="s">
        <v>79</v>
      </c>
      <c r="H11" s="12" t="s">
        <v>80</v>
      </c>
      <c r="I11" s="13" t="s">
        <v>81</v>
      </c>
      <c r="J11" s="14">
        <v>472478.0</v>
      </c>
      <c r="K11" s="14">
        <v>151579.0</v>
      </c>
      <c r="L11" s="15">
        <v>0.320817054</v>
      </c>
      <c r="M11" s="16">
        <v>56018.0</v>
      </c>
      <c r="N11" s="17">
        <v>0.3697</v>
      </c>
      <c r="O11" s="18">
        <v>2842.0</v>
      </c>
      <c r="P11" s="18">
        <v>2672.0</v>
      </c>
      <c r="Q11" s="19">
        <v>0.0176</v>
      </c>
      <c r="R11" s="19">
        <v>0.0477</v>
      </c>
      <c r="S11" s="20"/>
      <c r="T11" s="20"/>
      <c r="U11" s="20"/>
      <c r="V11" s="21" t="s">
        <v>39</v>
      </c>
      <c r="W11" s="18" t="s">
        <v>76</v>
      </c>
      <c r="X11" s="20" t="s">
        <v>82</v>
      </c>
      <c r="Y11" s="21" t="s">
        <v>77</v>
      </c>
      <c r="Z11" s="20" t="s">
        <v>83</v>
      </c>
      <c r="AA11" s="24">
        <v>473.0</v>
      </c>
      <c r="AB11" s="24">
        <v>95.0</v>
      </c>
      <c r="AC11" s="24">
        <v>378.0</v>
      </c>
      <c r="AD11" s="24">
        <v>1381321.0</v>
      </c>
      <c r="AE11" s="24">
        <v>245633.0</v>
      </c>
      <c r="AF11" s="24">
        <v>1135688.0</v>
      </c>
      <c r="AG11" s="22"/>
      <c r="AH11" s="22"/>
      <c r="AI11" s="22"/>
      <c r="AJ11" s="22"/>
      <c r="AK11" s="22"/>
      <c r="AL11" s="22"/>
      <c r="AM11" s="22"/>
      <c r="AN11" s="22"/>
      <c r="AO11" s="22"/>
      <c r="AP11" s="22"/>
    </row>
    <row r="12" hidden="1">
      <c r="A12" s="8">
        <v>46024.0</v>
      </c>
      <c r="B12" s="23">
        <v>0.7708333333333334</v>
      </c>
      <c r="C12" s="10" t="s">
        <v>32</v>
      </c>
      <c r="D12" s="11" t="s">
        <v>33</v>
      </c>
      <c r="E12" s="12" t="s">
        <v>71</v>
      </c>
      <c r="F12" s="12" t="s">
        <v>72</v>
      </c>
      <c r="G12" s="12" t="s">
        <v>84</v>
      </c>
      <c r="H12" s="12" t="s">
        <v>85</v>
      </c>
      <c r="I12" s="13" t="s">
        <v>86</v>
      </c>
      <c r="J12" s="14">
        <v>294933.0</v>
      </c>
      <c r="K12" s="14">
        <v>127347.0</v>
      </c>
      <c r="L12" s="15">
        <v>0.431782812</v>
      </c>
      <c r="M12" s="16">
        <v>46134.0</v>
      </c>
      <c r="N12" s="17">
        <v>0.3623</v>
      </c>
      <c r="O12" s="18">
        <v>3661.0</v>
      </c>
      <c r="P12" s="18">
        <v>3464.0</v>
      </c>
      <c r="Q12" s="19">
        <v>0.0272</v>
      </c>
      <c r="R12" s="19">
        <v>0.0751</v>
      </c>
      <c r="S12" s="20"/>
      <c r="T12" s="20"/>
      <c r="U12" s="20"/>
      <c r="V12" s="21" t="s">
        <v>39</v>
      </c>
      <c r="W12" s="18" t="s">
        <v>76</v>
      </c>
      <c r="X12" s="20" t="s">
        <v>87</v>
      </c>
      <c r="Y12" s="21" t="s">
        <v>77</v>
      </c>
      <c r="Z12" s="20" t="s">
        <v>88</v>
      </c>
      <c r="AA12" s="24">
        <v>1195.0</v>
      </c>
      <c r="AB12" s="24">
        <v>285.0</v>
      </c>
      <c r="AC12" s="24">
        <v>910.0</v>
      </c>
      <c r="AD12" s="24">
        <v>3720219.0</v>
      </c>
      <c r="AE12" s="24">
        <v>783172.0</v>
      </c>
      <c r="AF12" s="24">
        <v>2937047.0</v>
      </c>
      <c r="AG12" s="22"/>
      <c r="AH12" s="22"/>
      <c r="AI12" s="22"/>
      <c r="AJ12" s="22"/>
      <c r="AK12" s="22"/>
      <c r="AL12" s="22"/>
      <c r="AM12" s="22"/>
      <c r="AN12" s="22"/>
      <c r="AO12" s="22"/>
      <c r="AP12" s="22"/>
    </row>
    <row r="13" hidden="1">
      <c r="A13" s="8">
        <v>46024.0</v>
      </c>
      <c r="B13" s="23">
        <v>0.8333333333333334</v>
      </c>
      <c r="C13" s="10" t="s">
        <v>58</v>
      </c>
      <c r="D13" s="11" t="s">
        <v>59</v>
      </c>
      <c r="E13" s="12" t="s">
        <v>71</v>
      </c>
      <c r="F13" s="12" t="s">
        <v>72</v>
      </c>
      <c r="G13" s="12" t="s">
        <v>89</v>
      </c>
      <c r="H13" s="12" t="s">
        <v>85</v>
      </c>
      <c r="I13" s="13" t="s">
        <v>61</v>
      </c>
      <c r="J13" s="14">
        <v>160059.0</v>
      </c>
      <c r="K13" s="14">
        <v>91025.0</v>
      </c>
      <c r="L13" s="15">
        <v>0.568696543</v>
      </c>
      <c r="M13" s="16"/>
      <c r="N13" s="17"/>
      <c r="O13" s="18">
        <v>274.0</v>
      </c>
      <c r="P13" s="18"/>
      <c r="Q13" s="19">
        <v>0.003</v>
      </c>
      <c r="R13" s="19"/>
      <c r="S13" s="20">
        <v>19.0</v>
      </c>
      <c r="T13" s="20">
        <v>47.0</v>
      </c>
      <c r="U13" s="20">
        <v>61163.0</v>
      </c>
      <c r="V13" s="21" t="s">
        <v>39</v>
      </c>
      <c r="W13" s="18" t="s">
        <v>62</v>
      </c>
      <c r="X13" s="20" t="s">
        <v>52</v>
      </c>
      <c r="Y13" s="21" t="s">
        <v>77</v>
      </c>
      <c r="Z13" s="20" t="s">
        <v>90</v>
      </c>
      <c r="AA13" s="24">
        <v>850.0</v>
      </c>
      <c r="AB13" s="24">
        <v>152.0</v>
      </c>
      <c r="AC13" s="24">
        <v>698.0</v>
      </c>
      <c r="AD13" s="24">
        <v>2675545.0</v>
      </c>
      <c r="AE13" s="24">
        <v>406060.0</v>
      </c>
      <c r="AF13" s="24">
        <v>2269485.0</v>
      </c>
      <c r="AG13" s="22"/>
      <c r="AH13" s="22"/>
      <c r="AI13" s="22"/>
      <c r="AJ13" s="22"/>
      <c r="AK13" s="22"/>
      <c r="AL13" s="22"/>
      <c r="AM13" s="22"/>
      <c r="AN13" s="22"/>
      <c r="AO13" s="22"/>
      <c r="AP13" s="22"/>
    </row>
    <row r="14" hidden="1">
      <c r="A14" s="8">
        <v>46024.0</v>
      </c>
      <c r="B14" s="23">
        <v>0.8333333333333334</v>
      </c>
      <c r="C14" s="10" t="s">
        <v>58</v>
      </c>
      <c r="D14" s="11" t="s">
        <v>59</v>
      </c>
      <c r="E14" s="12" t="s">
        <v>71</v>
      </c>
      <c r="F14" s="12" t="s">
        <v>72</v>
      </c>
      <c r="G14" s="12" t="s">
        <v>91</v>
      </c>
      <c r="H14" s="12" t="s">
        <v>80</v>
      </c>
      <c r="I14" s="13" t="s">
        <v>61</v>
      </c>
      <c r="J14" s="14">
        <v>310053.0</v>
      </c>
      <c r="K14" s="14">
        <v>186313.0</v>
      </c>
      <c r="L14" s="15">
        <v>0.600906942</v>
      </c>
      <c r="M14" s="16"/>
      <c r="N14" s="17"/>
      <c r="O14" s="18">
        <v>339.0</v>
      </c>
      <c r="P14" s="18"/>
      <c r="Q14" s="19">
        <v>0.0018</v>
      </c>
      <c r="R14" s="19"/>
      <c r="S14" s="20">
        <v>5.0</v>
      </c>
      <c r="T14" s="20">
        <v>32.0</v>
      </c>
      <c r="U14" s="20">
        <v>13036.0</v>
      </c>
      <c r="V14" s="21" t="s">
        <v>39</v>
      </c>
      <c r="W14" s="18" t="s">
        <v>62</v>
      </c>
      <c r="X14" s="20" t="s">
        <v>87</v>
      </c>
      <c r="Y14" s="21" t="s">
        <v>77</v>
      </c>
      <c r="Z14" s="20" t="s">
        <v>92</v>
      </c>
      <c r="AA14" s="25">
        <v>511.0</v>
      </c>
      <c r="AB14" s="25">
        <v>69.0</v>
      </c>
      <c r="AC14" s="24">
        <v>442.0</v>
      </c>
      <c r="AD14" s="24">
        <v>1633159.0</v>
      </c>
      <c r="AE14" s="24">
        <v>195757.0</v>
      </c>
      <c r="AF14" s="24">
        <v>1437402.0</v>
      </c>
      <c r="AG14" s="22"/>
      <c r="AH14" s="22"/>
      <c r="AI14" s="22"/>
      <c r="AJ14" s="22"/>
      <c r="AK14" s="22"/>
      <c r="AL14" s="22"/>
      <c r="AM14" s="22"/>
      <c r="AN14" s="22"/>
      <c r="AO14" s="22"/>
      <c r="AP14" s="22"/>
    </row>
    <row r="15" hidden="1">
      <c r="A15" s="8">
        <v>46024.0</v>
      </c>
      <c r="B15" s="23">
        <v>0.8333333333333334</v>
      </c>
      <c r="C15" s="10" t="s">
        <v>58</v>
      </c>
      <c r="D15" s="11" t="s">
        <v>59</v>
      </c>
      <c r="E15" s="12" t="s">
        <v>71</v>
      </c>
      <c r="F15" s="12" t="s">
        <v>72</v>
      </c>
      <c r="G15" s="12" t="s">
        <v>93</v>
      </c>
      <c r="H15" s="12" t="s">
        <v>74</v>
      </c>
      <c r="I15" s="13" t="s">
        <v>61</v>
      </c>
      <c r="J15" s="14">
        <v>82722.0</v>
      </c>
      <c r="K15" s="14">
        <v>46805.0</v>
      </c>
      <c r="L15" s="15">
        <v>0.565810788</v>
      </c>
      <c r="M15" s="16"/>
      <c r="N15" s="17"/>
      <c r="O15" s="18">
        <v>154.0</v>
      </c>
      <c r="P15" s="18"/>
      <c r="Q15" s="19">
        <v>0.0033</v>
      </c>
      <c r="R15" s="19"/>
      <c r="S15" s="20">
        <v>7.0</v>
      </c>
      <c r="T15" s="20">
        <v>17.0</v>
      </c>
      <c r="U15" s="20">
        <v>17721.0</v>
      </c>
      <c r="V15" s="21" t="s">
        <v>39</v>
      </c>
      <c r="W15" s="18" t="s">
        <v>62</v>
      </c>
      <c r="X15" s="20" t="s">
        <v>82</v>
      </c>
      <c r="Y15" s="21" t="s">
        <v>77</v>
      </c>
      <c r="Z15" s="20" t="s">
        <v>94</v>
      </c>
      <c r="AA15" s="25">
        <v>313.0</v>
      </c>
      <c r="AB15" s="25">
        <v>65.0</v>
      </c>
      <c r="AC15" s="25">
        <v>248.0</v>
      </c>
      <c r="AD15" s="24">
        <v>1016274.0</v>
      </c>
      <c r="AE15" s="24">
        <v>181148.0</v>
      </c>
      <c r="AF15" s="24">
        <v>835126.0</v>
      </c>
      <c r="AG15" s="22"/>
      <c r="AH15" s="22"/>
      <c r="AI15" s="22"/>
      <c r="AJ15" s="22"/>
      <c r="AK15" s="22"/>
      <c r="AL15" s="22"/>
      <c r="AM15" s="22"/>
      <c r="AN15" s="22"/>
      <c r="AO15" s="22"/>
      <c r="AP15" s="22"/>
    </row>
    <row r="16" hidden="1">
      <c r="A16" s="26">
        <v>46025.0</v>
      </c>
      <c r="B16" s="27">
        <v>0.3958333333333333</v>
      </c>
      <c r="C16" s="28" t="s">
        <v>95</v>
      </c>
      <c r="D16" s="29" t="s">
        <v>33</v>
      </c>
      <c r="E16" s="30" t="s">
        <v>34</v>
      </c>
      <c r="F16" s="30" t="s">
        <v>35</v>
      </c>
      <c r="G16" s="31" t="s">
        <v>96</v>
      </c>
      <c r="H16" s="32" t="s">
        <v>97</v>
      </c>
      <c r="I16" s="31" t="s">
        <v>38</v>
      </c>
      <c r="J16" s="33">
        <v>72655.0</v>
      </c>
      <c r="K16" s="33">
        <v>15065.0</v>
      </c>
      <c r="L16" s="34">
        <v>0.207</v>
      </c>
      <c r="M16" s="35">
        <v>2050.0</v>
      </c>
      <c r="N16" s="36">
        <v>0.136</v>
      </c>
      <c r="O16" s="37">
        <v>77.0</v>
      </c>
      <c r="P16" s="37"/>
      <c r="Q16" s="38">
        <v>0.005</v>
      </c>
      <c r="R16" s="38"/>
      <c r="S16" s="39">
        <v>2.0</v>
      </c>
      <c r="T16" s="39">
        <v>4.0</v>
      </c>
      <c r="U16" s="40">
        <v>15198.0</v>
      </c>
      <c r="V16" s="41" t="s">
        <v>39</v>
      </c>
      <c r="W16" s="42" t="s">
        <v>95</v>
      </c>
      <c r="X16" s="39" t="s">
        <v>41</v>
      </c>
      <c r="Y16" s="21" t="s">
        <v>98</v>
      </c>
      <c r="Z16" s="39" t="s">
        <v>99</v>
      </c>
      <c r="AA16" s="33">
        <v>28.0</v>
      </c>
      <c r="AB16" s="33">
        <v>8.0</v>
      </c>
      <c r="AC16" s="33">
        <v>21.0</v>
      </c>
      <c r="AD16" s="33">
        <v>270191.0</v>
      </c>
      <c r="AE16" s="33">
        <v>44692.0</v>
      </c>
      <c r="AF16" s="33">
        <v>225499.0</v>
      </c>
      <c r="AG16" s="43"/>
      <c r="AH16" s="43"/>
      <c r="AI16" s="43"/>
      <c r="AJ16" s="43"/>
      <c r="AK16" s="43"/>
      <c r="AL16" s="43"/>
      <c r="AM16" s="43"/>
      <c r="AN16" s="43"/>
      <c r="AO16" s="43"/>
      <c r="AP16" s="43"/>
    </row>
    <row r="17" hidden="1">
      <c r="A17" s="26">
        <v>46025.0</v>
      </c>
      <c r="B17" s="27">
        <v>0.3958333333333333</v>
      </c>
      <c r="C17" s="28" t="s">
        <v>95</v>
      </c>
      <c r="D17" s="29" t="s">
        <v>33</v>
      </c>
      <c r="E17" s="30" t="s">
        <v>34</v>
      </c>
      <c r="F17" s="30" t="s">
        <v>35</v>
      </c>
      <c r="G17" s="31" t="s">
        <v>100</v>
      </c>
      <c r="H17" s="32" t="s">
        <v>55</v>
      </c>
      <c r="I17" s="31" t="s">
        <v>56</v>
      </c>
      <c r="J17" s="33">
        <v>126627.0</v>
      </c>
      <c r="K17" s="33">
        <v>28071.0</v>
      </c>
      <c r="L17" s="34">
        <v>0.222</v>
      </c>
      <c r="M17" s="35">
        <v>3459.0</v>
      </c>
      <c r="N17" s="36">
        <v>0.123</v>
      </c>
      <c r="O17" s="37">
        <v>115.0</v>
      </c>
      <c r="P17" s="37"/>
      <c r="Q17" s="38">
        <v>0.004</v>
      </c>
      <c r="R17" s="38"/>
      <c r="S17" s="39">
        <v>1.0</v>
      </c>
      <c r="T17" s="39">
        <v>2.0</v>
      </c>
      <c r="U17" s="40">
        <v>12999.0</v>
      </c>
      <c r="V17" s="41" t="s">
        <v>39</v>
      </c>
      <c r="W17" s="42" t="s">
        <v>95</v>
      </c>
      <c r="X17" s="39" t="s">
        <v>69</v>
      </c>
      <c r="Y17" s="21" t="s">
        <v>98</v>
      </c>
      <c r="Z17" s="39" t="s">
        <v>101</v>
      </c>
      <c r="AA17" s="33">
        <v>20.0</v>
      </c>
      <c r="AB17" s="33">
        <v>7.0</v>
      </c>
      <c r="AC17" s="33">
        <v>13.0</v>
      </c>
      <c r="AD17" s="33">
        <v>116448.0</v>
      </c>
      <c r="AE17" s="33">
        <v>35618.0</v>
      </c>
      <c r="AF17" s="33">
        <v>80830.0</v>
      </c>
      <c r="AG17" s="43"/>
      <c r="AH17" s="43"/>
      <c r="AI17" s="43"/>
      <c r="AJ17" s="43"/>
      <c r="AK17" s="43"/>
      <c r="AL17" s="43"/>
      <c r="AM17" s="43"/>
      <c r="AN17" s="43"/>
      <c r="AO17" s="43"/>
      <c r="AP17" s="43"/>
    </row>
    <row r="18" hidden="1">
      <c r="A18" s="26">
        <v>46025.0</v>
      </c>
      <c r="B18" s="27">
        <v>0.3958333333333333</v>
      </c>
      <c r="C18" s="28" t="s">
        <v>95</v>
      </c>
      <c r="D18" s="29" t="s">
        <v>33</v>
      </c>
      <c r="E18" s="30" t="s">
        <v>34</v>
      </c>
      <c r="F18" s="30" t="s">
        <v>35</v>
      </c>
      <c r="G18" s="31" t="s">
        <v>102</v>
      </c>
      <c r="H18" s="32" t="s">
        <v>45</v>
      </c>
      <c r="I18" s="31" t="s">
        <v>46</v>
      </c>
      <c r="J18" s="33">
        <v>26392.0</v>
      </c>
      <c r="K18" s="33">
        <v>4929.0</v>
      </c>
      <c r="L18" s="34">
        <v>0.187</v>
      </c>
      <c r="M18" s="35">
        <v>785.0</v>
      </c>
      <c r="N18" s="36">
        <v>0.159</v>
      </c>
      <c r="O18" s="37">
        <v>53.0</v>
      </c>
      <c r="P18" s="37"/>
      <c r="Q18" s="38">
        <v>0.011</v>
      </c>
      <c r="R18" s="38"/>
      <c r="S18" s="39">
        <v>4.0</v>
      </c>
      <c r="T18" s="39">
        <v>2.0</v>
      </c>
      <c r="U18" s="40">
        <v>17098.0</v>
      </c>
      <c r="V18" s="41" t="s">
        <v>39</v>
      </c>
      <c r="W18" s="42" t="s">
        <v>95</v>
      </c>
      <c r="X18" s="39" t="s">
        <v>47</v>
      </c>
      <c r="Y18" s="21" t="s">
        <v>98</v>
      </c>
      <c r="Z18" s="39" t="s">
        <v>103</v>
      </c>
      <c r="AA18" s="33">
        <v>15.0</v>
      </c>
      <c r="AB18" s="33">
        <v>3.0</v>
      </c>
      <c r="AC18" s="33">
        <v>12.0</v>
      </c>
      <c r="AD18" s="33">
        <v>136935.0</v>
      </c>
      <c r="AE18" s="33">
        <v>22597.0</v>
      </c>
      <c r="AF18" s="33">
        <v>114338.0</v>
      </c>
      <c r="AG18" s="43"/>
      <c r="AH18" s="43"/>
      <c r="AI18" s="43"/>
      <c r="AJ18" s="43"/>
      <c r="AK18" s="43"/>
      <c r="AL18" s="43"/>
      <c r="AM18" s="43"/>
      <c r="AN18" s="43"/>
      <c r="AO18" s="43"/>
      <c r="AP18" s="43"/>
    </row>
    <row r="19" hidden="1">
      <c r="A19" s="26">
        <v>46025.0</v>
      </c>
      <c r="B19" s="27">
        <v>0.3958333333333333</v>
      </c>
      <c r="C19" s="28" t="s">
        <v>95</v>
      </c>
      <c r="D19" s="29" t="s">
        <v>33</v>
      </c>
      <c r="E19" s="30" t="s">
        <v>34</v>
      </c>
      <c r="F19" s="30" t="s">
        <v>35</v>
      </c>
      <c r="G19" s="31" t="s">
        <v>104</v>
      </c>
      <c r="H19" s="32" t="s">
        <v>50</v>
      </c>
      <c r="I19" s="31" t="s">
        <v>51</v>
      </c>
      <c r="J19" s="33">
        <v>95402.0</v>
      </c>
      <c r="K19" s="33">
        <v>2649.0</v>
      </c>
      <c r="L19" s="34">
        <v>0.028</v>
      </c>
      <c r="M19" s="35">
        <v>472.0</v>
      </c>
      <c r="N19" s="36">
        <v>0.178</v>
      </c>
      <c r="O19" s="37">
        <v>60.0</v>
      </c>
      <c r="P19" s="37"/>
      <c r="Q19" s="38">
        <v>0.023</v>
      </c>
      <c r="R19" s="38"/>
      <c r="S19" s="39">
        <v>4.0</v>
      </c>
      <c r="T19" s="39">
        <v>1.0</v>
      </c>
      <c r="U19" s="40">
        <v>5499.0</v>
      </c>
      <c r="V19" s="41" t="s">
        <v>39</v>
      </c>
      <c r="W19" s="42" t="s">
        <v>95</v>
      </c>
      <c r="X19" s="39" t="s">
        <v>52</v>
      </c>
      <c r="Y19" s="21" t="s">
        <v>98</v>
      </c>
      <c r="Z19" s="39" t="s">
        <v>105</v>
      </c>
      <c r="AA19" s="33">
        <v>11.0</v>
      </c>
      <c r="AB19" s="33">
        <v>6.0</v>
      </c>
      <c r="AC19" s="33">
        <v>5.0</v>
      </c>
      <c r="AD19" s="33">
        <v>89998.0</v>
      </c>
      <c r="AE19" s="33">
        <v>42569.0</v>
      </c>
      <c r="AF19" s="33">
        <v>47429.0</v>
      </c>
      <c r="AG19" s="43"/>
      <c r="AH19" s="43"/>
      <c r="AI19" s="43"/>
      <c r="AJ19" s="43"/>
      <c r="AK19" s="43"/>
      <c r="AL19" s="43"/>
      <c r="AM19" s="43"/>
      <c r="AN19" s="43"/>
      <c r="AO19" s="43"/>
      <c r="AP19" s="43"/>
    </row>
    <row r="20" hidden="1">
      <c r="A20" s="8">
        <v>46025.0</v>
      </c>
      <c r="B20" s="23">
        <v>0.4166666666666667</v>
      </c>
      <c r="C20" s="10" t="s">
        <v>32</v>
      </c>
      <c r="D20" s="11" t="s">
        <v>33</v>
      </c>
      <c r="E20" s="12" t="s">
        <v>106</v>
      </c>
      <c r="F20" s="12" t="s">
        <v>107</v>
      </c>
      <c r="G20" s="12" t="s">
        <v>108</v>
      </c>
      <c r="H20" s="12" t="s">
        <v>109</v>
      </c>
      <c r="I20" s="13" t="s">
        <v>110</v>
      </c>
      <c r="J20" s="14">
        <v>53902.0</v>
      </c>
      <c r="K20" s="14">
        <v>21457.0</v>
      </c>
      <c r="L20" s="15">
        <v>0.398074283</v>
      </c>
      <c r="M20" s="16">
        <v>7542.0</v>
      </c>
      <c r="N20" s="17">
        <v>0.3514</v>
      </c>
      <c r="O20" s="18">
        <v>635.0</v>
      </c>
      <c r="P20" s="18">
        <v>594.0</v>
      </c>
      <c r="Q20" s="19">
        <v>0.0277</v>
      </c>
      <c r="R20" s="19">
        <v>0.0788</v>
      </c>
      <c r="S20" s="20"/>
      <c r="T20" s="20"/>
      <c r="U20" s="20"/>
      <c r="V20" s="21" t="s">
        <v>39</v>
      </c>
      <c r="W20" s="18" t="s">
        <v>76</v>
      </c>
      <c r="X20" s="20" t="s">
        <v>111</v>
      </c>
      <c r="Y20" s="21" t="s">
        <v>98</v>
      </c>
      <c r="Z20" s="20" t="s">
        <v>112</v>
      </c>
      <c r="AA20" s="14">
        <v>27.0</v>
      </c>
      <c r="AB20" s="14">
        <v>0.0</v>
      </c>
      <c r="AC20" s="14">
        <v>27.0</v>
      </c>
      <c r="AD20" s="14">
        <v>386660.0</v>
      </c>
      <c r="AE20" s="14">
        <v>0.0</v>
      </c>
      <c r="AF20" s="14">
        <v>386660.0</v>
      </c>
      <c r="AG20" s="22"/>
      <c r="AH20" s="22"/>
      <c r="AI20" s="22"/>
      <c r="AJ20" s="22"/>
      <c r="AK20" s="22"/>
      <c r="AL20" s="22"/>
      <c r="AM20" s="22"/>
      <c r="AN20" s="22"/>
      <c r="AO20" s="22"/>
      <c r="AP20" s="22"/>
    </row>
    <row r="21" hidden="1">
      <c r="A21" s="8">
        <v>46025.0</v>
      </c>
      <c r="B21" s="23">
        <v>0.4166666666666667</v>
      </c>
      <c r="C21" s="10" t="s">
        <v>32</v>
      </c>
      <c r="D21" s="11" t="s">
        <v>33</v>
      </c>
      <c r="E21" s="12" t="s">
        <v>106</v>
      </c>
      <c r="F21" s="12" t="s">
        <v>107</v>
      </c>
      <c r="G21" s="12" t="s">
        <v>113</v>
      </c>
      <c r="H21" s="12" t="s">
        <v>114</v>
      </c>
      <c r="I21" s="13" t="s">
        <v>115</v>
      </c>
      <c r="J21" s="14">
        <v>211584.0</v>
      </c>
      <c r="K21" s="14">
        <v>97333.0</v>
      </c>
      <c r="L21" s="15">
        <v>0.460020606</v>
      </c>
      <c r="M21" s="16">
        <v>33163.0</v>
      </c>
      <c r="N21" s="17">
        <v>0.3407</v>
      </c>
      <c r="O21" s="18">
        <v>2439.0</v>
      </c>
      <c r="P21" s="18">
        <v>2296.0</v>
      </c>
      <c r="Q21" s="19">
        <v>0.0236</v>
      </c>
      <c r="R21" s="19">
        <v>0.0692</v>
      </c>
      <c r="S21" s="20"/>
      <c r="T21" s="20"/>
      <c r="U21" s="20"/>
      <c r="V21" s="21" t="s">
        <v>39</v>
      </c>
      <c r="W21" s="18" t="s">
        <v>76</v>
      </c>
      <c r="X21" s="20" t="s">
        <v>41</v>
      </c>
      <c r="Y21" s="21" t="s">
        <v>98</v>
      </c>
      <c r="Z21" s="20" t="s">
        <v>116</v>
      </c>
      <c r="AA21" s="14">
        <v>106.0</v>
      </c>
      <c r="AB21" s="14">
        <v>0.0</v>
      </c>
      <c r="AC21" s="14">
        <v>106.0</v>
      </c>
      <c r="AD21" s="14">
        <v>1267374.0</v>
      </c>
      <c r="AE21" s="14">
        <v>0.0</v>
      </c>
      <c r="AF21" s="14">
        <v>1267374.0</v>
      </c>
      <c r="AG21" s="22"/>
      <c r="AH21" s="22"/>
      <c r="AI21" s="22"/>
      <c r="AJ21" s="22"/>
      <c r="AK21" s="22"/>
      <c r="AL21" s="22"/>
      <c r="AM21" s="22"/>
      <c r="AN21" s="22"/>
      <c r="AO21" s="22"/>
      <c r="AP21" s="22"/>
    </row>
    <row r="22" hidden="1">
      <c r="A22" s="8">
        <v>46025.0</v>
      </c>
      <c r="B22" s="23">
        <v>0.5</v>
      </c>
      <c r="C22" s="10" t="s">
        <v>58</v>
      </c>
      <c r="D22" s="11" t="s">
        <v>59</v>
      </c>
      <c r="E22" s="12" t="s">
        <v>106</v>
      </c>
      <c r="F22" s="12" t="s">
        <v>107</v>
      </c>
      <c r="G22" s="12" t="s">
        <v>117</v>
      </c>
      <c r="H22" s="12" t="s">
        <v>114</v>
      </c>
      <c r="I22" s="13" t="s">
        <v>61</v>
      </c>
      <c r="J22" s="14">
        <v>110497.0</v>
      </c>
      <c r="K22" s="14">
        <v>60991.0</v>
      </c>
      <c r="L22" s="15">
        <v>0.551969737</v>
      </c>
      <c r="M22" s="16"/>
      <c r="N22" s="17"/>
      <c r="O22" s="18">
        <v>0.0</v>
      </c>
      <c r="P22" s="18"/>
      <c r="Q22" s="19">
        <v>0.0</v>
      </c>
      <c r="R22" s="19"/>
      <c r="S22" s="20"/>
      <c r="T22" s="20"/>
      <c r="U22" s="20"/>
      <c r="V22" s="21" t="s">
        <v>39</v>
      </c>
      <c r="W22" s="18" t="s">
        <v>62</v>
      </c>
      <c r="X22" s="20" t="s">
        <v>41</v>
      </c>
      <c r="Y22" s="21" t="s">
        <v>98</v>
      </c>
      <c r="Z22" s="20" t="s">
        <v>118</v>
      </c>
      <c r="AA22" s="14">
        <v>75.0</v>
      </c>
      <c r="AB22" s="14">
        <v>0.0</v>
      </c>
      <c r="AC22" s="14">
        <v>75.0</v>
      </c>
      <c r="AD22" s="14">
        <v>879069.0</v>
      </c>
      <c r="AE22" s="14">
        <v>0.0</v>
      </c>
      <c r="AF22" s="14">
        <v>879069.0</v>
      </c>
      <c r="AG22" s="22"/>
      <c r="AH22" s="22"/>
      <c r="AI22" s="22"/>
      <c r="AJ22" s="22"/>
      <c r="AK22" s="22"/>
      <c r="AL22" s="22"/>
      <c r="AM22" s="22"/>
      <c r="AN22" s="22"/>
      <c r="AO22" s="22"/>
      <c r="AP22" s="22"/>
    </row>
    <row r="23" hidden="1">
      <c r="A23" s="8">
        <v>46025.0</v>
      </c>
      <c r="B23" s="23">
        <v>0.5</v>
      </c>
      <c r="C23" s="10" t="s">
        <v>58</v>
      </c>
      <c r="D23" s="11" t="s">
        <v>59</v>
      </c>
      <c r="E23" s="12" t="s">
        <v>106</v>
      </c>
      <c r="F23" s="12" t="s">
        <v>107</v>
      </c>
      <c r="G23" s="12" t="s">
        <v>119</v>
      </c>
      <c r="H23" s="12" t="s">
        <v>109</v>
      </c>
      <c r="I23" s="13" t="s">
        <v>61</v>
      </c>
      <c r="J23" s="14">
        <v>31487.0</v>
      </c>
      <c r="K23" s="14">
        <v>17650.0</v>
      </c>
      <c r="L23" s="15">
        <v>0.560548798</v>
      </c>
      <c r="M23" s="16"/>
      <c r="N23" s="17"/>
      <c r="O23" s="18">
        <v>0.0</v>
      </c>
      <c r="P23" s="18"/>
      <c r="Q23" s="19">
        <v>0.0</v>
      </c>
      <c r="R23" s="19"/>
      <c r="S23" s="20"/>
      <c r="T23" s="20"/>
      <c r="U23" s="20"/>
      <c r="V23" s="21" t="s">
        <v>39</v>
      </c>
      <c r="W23" s="18" t="s">
        <v>62</v>
      </c>
      <c r="X23" s="20" t="s">
        <v>111</v>
      </c>
      <c r="Y23" s="21" t="s">
        <v>98</v>
      </c>
      <c r="Z23" s="20" t="s">
        <v>120</v>
      </c>
      <c r="AA23" s="14">
        <v>27.0</v>
      </c>
      <c r="AB23" s="14">
        <v>0.0</v>
      </c>
      <c r="AC23" s="14">
        <v>27.0</v>
      </c>
      <c r="AD23" s="14">
        <v>275524.0</v>
      </c>
      <c r="AE23" s="14">
        <v>0.0</v>
      </c>
      <c r="AF23" s="14">
        <v>275524.0</v>
      </c>
      <c r="AG23" s="22"/>
      <c r="AH23" s="22"/>
      <c r="AI23" s="22"/>
      <c r="AJ23" s="22"/>
      <c r="AK23" s="22"/>
      <c r="AL23" s="22"/>
      <c r="AM23" s="22"/>
      <c r="AN23" s="22"/>
      <c r="AO23" s="22"/>
      <c r="AP23" s="22"/>
    </row>
    <row r="24" hidden="1">
      <c r="A24" s="8">
        <v>46025.0</v>
      </c>
      <c r="B24" s="9">
        <v>0.5</v>
      </c>
      <c r="C24" s="10" t="s">
        <v>58</v>
      </c>
      <c r="D24" s="11" t="s">
        <v>59</v>
      </c>
      <c r="E24" s="12" t="s">
        <v>34</v>
      </c>
      <c r="F24" s="12" t="s">
        <v>35</v>
      </c>
      <c r="G24" s="12" t="s">
        <v>121</v>
      </c>
      <c r="H24" s="12" t="s">
        <v>122</v>
      </c>
      <c r="I24" s="13" t="s">
        <v>123</v>
      </c>
      <c r="J24" s="14">
        <v>92583.0</v>
      </c>
      <c r="K24" s="14">
        <v>54137.0</v>
      </c>
      <c r="L24" s="15">
        <v>0.584740179</v>
      </c>
      <c r="M24" s="16"/>
      <c r="N24" s="17"/>
      <c r="O24" s="18">
        <v>70.0</v>
      </c>
      <c r="P24" s="18"/>
      <c r="Q24" s="19">
        <v>0.0013</v>
      </c>
      <c r="R24" s="19"/>
      <c r="S24" s="20">
        <v>8.0</v>
      </c>
      <c r="T24" s="20">
        <v>18.0</v>
      </c>
      <c r="U24" s="20">
        <v>98889.0</v>
      </c>
      <c r="V24" s="21" t="s">
        <v>39</v>
      </c>
      <c r="W24" s="18" t="s">
        <v>62</v>
      </c>
      <c r="X24" s="20" t="s">
        <v>52</v>
      </c>
      <c r="Y24" s="21" t="s">
        <v>124</v>
      </c>
      <c r="Z24" s="20" t="s">
        <v>125</v>
      </c>
      <c r="AA24" s="14">
        <v>86.0</v>
      </c>
      <c r="AB24" s="14">
        <v>17.0</v>
      </c>
      <c r="AC24" s="14">
        <v>69.0</v>
      </c>
      <c r="AD24" s="14">
        <v>701742.0</v>
      </c>
      <c r="AE24" s="14">
        <v>106296.0</v>
      </c>
      <c r="AF24" s="14">
        <v>595446.0</v>
      </c>
      <c r="AG24" s="22"/>
      <c r="AH24" s="22"/>
      <c r="AI24" s="22"/>
      <c r="AJ24" s="22"/>
      <c r="AK24" s="22"/>
      <c r="AL24" s="22"/>
      <c r="AM24" s="22"/>
      <c r="AN24" s="22"/>
      <c r="AO24" s="22"/>
      <c r="AP24" s="22"/>
    </row>
    <row r="25" hidden="1">
      <c r="A25" s="8">
        <v>46025.0</v>
      </c>
      <c r="B25" s="9">
        <v>0.5</v>
      </c>
      <c r="C25" s="10" t="s">
        <v>58</v>
      </c>
      <c r="D25" s="11" t="s">
        <v>59</v>
      </c>
      <c r="E25" s="12" t="s">
        <v>34</v>
      </c>
      <c r="F25" s="12" t="s">
        <v>35</v>
      </c>
      <c r="G25" s="12" t="s">
        <v>126</v>
      </c>
      <c r="H25" s="12" t="s">
        <v>45</v>
      </c>
      <c r="I25" s="13" t="s">
        <v>123</v>
      </c>
      <c r="J25" s="14">
        <v>21270.0</v>
      </c>
      <c r="K25" s="14">
        <v>12681.0</v>
      </c>
      <c r="L25" s="15">
        <v>0.596191819</v>
      </c>
      <c r="M25" s="16"/>
      <c r="N25" s="17"/>
      <c r="O25" s="18">
        <v>26.0</v>
      </c>
      <c r="P25" s="18"/>
      <c r="Q25" s="19">
        <v>0.0021</v>
      </c>
      <c r="R25" s="19"/>
      <c r="S25" s="20">
        <v>1.0</v>
      </c>
      <c r="T25" s="20">
        <v>5.0</v>
      </c>
      <c r="U25" s="20">
        <v>8999.0</v>
      </c>
      <c r="V25" s="21" t="s">
        <v>39</v>
      </c>
      <c r="W25" s="18" t="s">
        <v>62</v>
      </c>
      <c r="X25" s="20" t="s">
        <v>47</v>
      </c>
      <c r="Y25" s="21" t="s">
        <v>124</v>
      </c>
      <c r="Z25" s="20" t="s">
        <v>127</v>
      </c>
      <c r="AA25" s="14">
        <v>23.0</v>
      </c>
      <c r="AB25" s="14">
        <v>7.0</v>
      </c>
      <c r="AC25" s="14">
        <v>16.0</v>
      </c>
      <c r="AD25" s="14">
        <v>204078.0</v>
      </c>
      <c r="AE25" s="14">
        <v>55142.0</v>
      </c>
      <c r="AF25" s="14">
        <v>148936.0</v>
      </c>
      <c r="AG25" s="22"/>
      <c r="AH25" s="22"/>
      <c r="AI25" s="22"/>
      <c r="AJ25" s="22"/>
      <c r="AK25" s="22"/>
      <c r="AL25" s="22"/>
      <c r="AM25" s="22"/>
      <c r="AN25" s="22"/>
      <c r="AO25" s="22"/>
      <c r="AP25" s="22"/>
    </row>
    <row r="26" hidden="1">
      <c r="A26" s="8">
        <v>46025.0</v>
      </c>
      <c r="B26" s="9">
        <v>0.5</v>
      </c>
      <c r="C26" s="10" t="s">
        <v>58</v>
      </c>
      <c r="D26" s="11" t="s">
        <v>59</v>
      </c>
      <c r="E26" s="12" t="s">
        <v>34</v>
      </c>
      <c r="F26" s="12" t="s">
        <v>35</v>
      </c>
      <c r="G26" s="12" t="s">
        <v>128</v>
      </c>
      <c r="H26" s="12" t="s">
        <v>55</v>
      </c>
      <c r="I26" s="13" t="s">
        <v>123</v>
      </c>
      <c r="J26" s="14">
        <v>97644.0</v>
      </c>
      <c r="K26" s="14">
        <v>55246.0</v>
      </c>
      <c r="L26" s="15">
        <v>0.565790013</v>
      </c>
      <c r="M26" s="16"/>
      <c r="N26" s="17"/>
      <c r="O26" s="18">
        <v>45.0</v>
      </c>
      <c r="P26" s="18"/>
      <c r="Q26" s="19">
        <v>8.0E-4</v>
      </c>
      <c r="R26" s="19"/>
      <c r="S26" s="20">
        <v>2.0</v>
      </c>
      <c r="T26" s="20">
        <v>9.0</v>
      </c>
      <c r="U26" s="20">
        <v>13498.0</v>
      </c>
      <c r="V26" s="21" t="s">
        <v>39</v>
      </c>
      <c r="W26" s="18" t="s">
        <v>62</v>
      </c>
      <c r="X26" s="20" t="s">
        <v>69</v>
      </c>
      <c r="Y26" s="21" t="s">
        <v>124</v>
      </c>
      <c r="Z26" s="20" t="s">
        <v>129</v>
      </c>
      <c r="AA26" s="14">
        <v>39.0</v>
      </c>
      <c r="AB26" s="14">
        <v>4.0</v>
      </c>
      <c r="AC26" s="14">
        <v>35.0</v>
      </c>
      <c r="AD26" s="14">
        <v>345800.0</v>
      </c>
      <c r="AE26" s="14">
        <v>25538.0</v>
      </c>
      <c r="AF26" s="14">
        <v>320262.0</v>
      </c>
      <c r="AG26" s="22"/>
      <c r="AH26" s="22"/>
      <c r="AI26" s="22"/>
      <c r="AJ26" s="22"/>
      <c r="AK26" s="22"/>
      <c r="AL26" s="22"/>
      <c r="AM26" s="22"/>
      <c r="AN26" s="22"/>
      <c r="AO26" s="22"/>
      <c r="AP26" s="22"/>
    </row>
    <row r="27" hidden="1">
      <c r="A27" s="8">
        <v>46025.0</v>
      </c>
      <c r="B27" s="9">
        <v>0.5</v>
      </c>
      <c r="C27" s="10" t="s">
        <v>58</v>
      </c>
      <c r="D27" s="11" t="s">
        <v>59</v>
      </c>
      <c r="E27" s="12" t="s">
        <v>34</v>
      </c>
      <c r="F27" s="12" t="s">
        <v>35</v>
      </c>
      <c r="G27" s="12" t="s">
        <v>130</v>
      </c>
      <c r="H27" s="12" t="s">
        <v>131</v>
      </c>
      <c r="I27" s="13" t="s">
        <v>123</v>
      </c>
      <c r="J27" s="14">
        <v>56719.0</v>
      </c>
      <c r="K27" s="14">
        <v>32914.0</v>
      </c>
      <c r="L27" s="15">
        <v>0.580299371</v>
      </c>
      <c r="M27" s="16"/>
      <c r="N27" s="17"/>
      <c r="O27" s="18">
        <v>22.0</v>
      </c>
      <c r="P27" s="18"/>
      <c r="Q27" s="19">
        <v>7.0E-4</v>
      </c>
      <c r="R27" s="19"/>
      <c r="S27" s="20">
        <v>0.0</v>
      </c>
      <c r="T27" s="20">
        <v>0.0</v>
      </c>
      <c r="U27" s="20">
        <v>0.0</v>
      </c>
      <c r="V27" s="21" t="s">
        <v>39</v>
      </c>
      <c r="W27" s="18" t="s">
        <v>62</v>
      </c>
      <c r="X27" s="20" t="s">
        <v>41</v>
      </c>
      <c r="Y27" s="21" t="s">
        <v>124</v>
      </c>
      <c r="Z27" s="20" t="s">
        <v>132</v>
      </c>
      <c r="AA27" s="14">
        <v>37.0</v>
      </c>
      <c r="AB27" s="14">
        <v>7.0</v>
      </c>
      <c r="AC27" s="14">
        <v>30.0</v>
      </c>
      <c r="AD27" s="14">
        <v>311451.0</v>
      </c>
      <c r="AE27" s="14">
        <v>38069.0</v>
      </c>
      <c r="AF27" s="14">
        <v>273382.0</v>
      </c>
      <c r="AG27" s="22"/>
      <c r="AH27" s="22"/>
      <c r="AI27" s="22"/>
      <c r="AJ27" s="22"/>
      <c r="AK27" s="22"/>
      <c r="AL27" s="22"/>
      <c r="AM27" s="22"/>
      <c r="AN27" s="22"/>
      <c r="AO27" s="22"/>
      <c r="AP27" s="22"/>
    </row>
    <row r="28" hidden="1">
      <c r="A28" s="8">
        <v>46029.0</v>
      </c>
      <c r="B28" s="9">
        <v>0.75</v>
      </c>
      <c r="C28" s="10" t="s">
        <v>58</v>
      </c>
      <c r="D28" s="11" t="s">
        <v>33</v>
      </c>
      <c r="E28" s="12" t="s">
        <v>133</v>
      </c>
      <c r="F28" s="44" t="s">
        <v>134</v>
      </c>
      <c r="G28" s="12" t="s">
        <v>135</v>
      </c>
      <c r="H28" s="12" t="s">
        <v>136</v>
      </c>
      <c r="I28" s="13" t="s">
        <v>115</v>
      </c>
      <c r="J28" s="14">
        <v>36309.0</v>
      </c>
      <c r="K28" s="14">
        <v>18933.0</v>
      </c>
      <c r="L28" s="15">
        <v>0.521</v>
      </c>
      <c r="M28" s="45"/>
      <c r="N28" s="46"/>
      <c r="O28" s="47"/>
      <c r="P28" s="48"/>
      <c r="Q28" s="47"/>
      <c r="R28" s="49"/>
      <c r="S28" s="47"/>
      <c r="T28" s="47"/>
      <c r="U28" s="47"/>
      <c r="V28" s="50"/>
      <c r="W28" s="18" t="s">
        <v>62</v>
      </c>
      <c r="X28" s="20" t="s">
        <v>137</v>
      </c>
      <c r="Y28" s="21" t="s">
        <v>138</v>
      </c>
      <c r="Z28" s="20" t="s">
        <v>139</v>
      </c>
      <c r="AA28" s="51"/>
      <c r="AB28" s="52"/>
      <c r="AC28" s="52"/>
      <c r="AD28" s="52"/>
      <c r="AE28" s="52"/>
      <c r="AF28" s="52"/>
      <c r="AG28" s="22"/>
      <c r="AH28" s="22"/>
      <c r="AI28" s="22"/>
      <c r="AJ28" s="22"/>
      <c r="AK28" s="22"/>
      <c r="AL28" s="22"/>
      <c r="AM28" s="22"/>
      <c r="AN28" s="22"/>
      <c r="AO28" s="22"/>
      <c r="AP28" s="22"/>
    </row>
    <row r="29" hidden="1">
      <c r="A29" s="8">
        <v>46030.0</v>
      </c>
      <c r="B29" s="9">
        <v>0.8333333333333334</v>
      </c>
      <c r="C29" s="10" t="s">
        <v>58</v>
      </c>
      <c r="D29" s="11" t="s">
        <v>33</v>
      </c>
      <c r="E29" s="12" t="s">
        <v>71</v>
      </c>
      <c r="F29" s="12" t="s">
        <v>140</v>
      </c>
      <c r="G29" s="12" t="s">
        <v>141</v>
      </c>
      <c r="H29" s="12" t="s">
        <v>142</v>
      </c>
      <c r="I29" s="13" t="s">
        <v>143</v>
      </c>
      <c r="J29" s="14">
        <v>22025.0</v>
      </c>
      <c r="K29" s="14">
        <v>12996.0</v>
      </c>
      <c r="L29" s="15">
        <v>0.5901</v>
      </c>
      <c r="M29" s="16"/>
      <c r="N29" s="17"/>
      <c r="O29" s="18">
        <v>61.0</v>
      </c>
      <c r="P29" s="18"/>
      <c r="Q29" s="19">
        <v>0.0047</v>
      </c>
      <c r="R29" s="53"/>
      <c r="S29" s="20">
        <v>18.0</v>
      </c>
      <c r="T29" s="20">
        <v>42.0</v>
      </c>
      <c r="U29" s="20">
        <v>43671.0</v>
      </c>
      <c r="V29" s="21" t="s">
        <v>39</v>
      </c>
      <c r="W29" s="18" t="s">
        <v>62</v>
      </c>
      <c r="X29" s="54" t="s">
        <v>47</v>
      </c>
      <c r="Y29" s="21" t="s">
        <v>144</v>
      </c>
      <c r="Z29" s="20" t="s">
        <v>145</v>
      </c>
      <c r="AA29" s="14">
        <v>108.0</v>
      </c>
      <c r="AB29" s="14">
        <v>86.0</v>
      </c>
      <c r="AC29" s="14">
        <v>22.0</v>
      </c>
      <c r="AD29" s="14">
        <v>229869.0</v>
      </c>
      <c r="AE29" s="14">
        <v>176825.0</v>
      </c>
      <c r="AF29" s="14">
        <v>53044.0</v>
      </c>
      <c r="AG29" s="22"/>
      <c r="AH29" s="22"/>
      <c r="AI29" s="22"/>
      <c r="AJ29" s="22"/>
      <c r="AK29" s="22"/>
      <c r="AL29" s="22"/>
      <c r="AM29" s="22"/>
      <c r="AN29" s="22"/>
      <c r="AO29" s="22"/>
      <c r="AP29" s="22"/>
    </row>
    <row r="30" hidden="1">
      <c r="A30" s="8">
        <v>46030.0</v>
      </c>
      <c r="B30" s="9">
        <v>0.8333333333333334</v>
      </c>
      <c r="C30" s="10" t="s">
        <v>58</v>
      </c>
      <c r="D30" s="11" t="s">
        <v>33</v>
      </c>
      <c r="E30" s="12" t="s">
        <v>71</v>
      </c>
      <c r="F30" s="12" t="s">
        <v>140</v>
      </c>
      <c r="G30" s="12" t="s">
        <v>146</v>
      </c>
      <c r="H30" s="12" t="s">
        <v>147</v>
      </c>
      <c r="I30" s="13" t="s">
        <v>148</v>
      </c>
      <c r="J30" s="14">
        <v>42521.0</v>
      </c>
      <c r="K30" s="14">
        <v>26350.0</v>
      </c>
      <c r="L30" s="15">
        <v>0.6197</v>
      </c>
      <c r="M30" s="16"/>
      <c r="N30" s="17"/>
      <c r="O30" s="18">
        <v>45.0</v>
      </c>
      <c r="P30" s="18"/>
      <c r="Q30" s="19">
        <v>0.0017</v>
      </c>
      <c r="R30" s="53"/>
      <c r="S30" s="20">
        <v>2.0</v>
      </c>
      <c r="T30" s="20">
        <v>11.0</v>
      </c>
      <c r="U30" s="20">
        <v>3386.0</v>
      </c>
      <c r="V30" s="21" t="s">
        <v>39</v>
      </c>
      <c r="W30" s="18" t="s">
        <v>62</v>
      </c>
      <c r="X30" s="54" t="s">
        <v>149</v>
      </c>
      <c r="Y30" s="21" t="s">
        <v>144</v>
      </c>
      <c r="Z30" s="20" t="s">
        <v>150</v>
      </c>
      <c r="AA30" s="14">
        <v>74.0</v>
      </c>
      <c r="AB30" s="14">
        <v>11.0</v>
      </c>
      <c r="AC30" s="14">
        <v>63.0</v>
      </c>
      <c r="AD30" s="14">
        <v>220935.0</v>
      </c>
      <c r="AE30" s="14">
        <v>13123.0</v>
      </c>
      <c r="AF30" s="14">
        <v>207812.0</v>
      </c>
      <c r="AG30" s="22"/>
      <c r="AH30" s="22"/>
      <c r="AI30" s="22"/>
      <c r="AJ30" s="22"/>
      <c r="AK30" s="22"/>
      <c r="AL30" s="22"/>
      <c r="AM30" s="22"/>
      <c r="AN30" s="22"/>
      <c r="AO30" s="22"/>
      <c r="AP30" s="22"/>
    </row>
    <row r="31" hidden="1">
      <c r="A31" s="8">
        <v>46030.0</v>
      </c>
      <c r="B31" s="9">
        <v>0.8333333333333334</v>
      </c>
      <c r="C31" s="10" t="s">
        <v>58</v>
      </c>
      <c r="D31" s="11" t="s">
        <v>33</v>
      </c>
      <c r="E31" s="12" t="s">
        <v>71</v>
      </c>
      <c r="F31" s="12" t="s">
        <v>140</v>
      </c>
      <c r="G31" s="12" t="s">
        <v>151</v>
      </c>
      <c r="H31" s="12" t="s">
        <v>152</v>
      </c>
      <c r="I31" s="13" t="s">
        <v>153</v>
      </c>
      <c r="J31" s="14">
        <v>71908.0</v>
      </c>
      <c r="K31" s="14">
        <v>45140.0</v>
      </c>
      <c r="L31" s="15">
        <v>0.6277</v>
      </c>
      <c r="M31" s="16"/>
      <c r="N31" s="17"/>
      <c r="O31" s="18">
        <v>56.0</v>
      </c>
      <c r="P31" s="18"/>
      <c r="Q31" s="19">
        <v>0.0012</v>
      </c>
      <c r="R31" s="53"/>
      <c r="S31" s="20">
        <v>17.0</v>
      </c>
      <c r="T31" s="20">
        <v>24.0</v>
      </c>
      <c r="U31" s="20">
        <v>40393.0</v>
      </c>
      <c r="V31" s="21" t="s">
        <v>39</v>
      </c>
      <c r="W31" s="18" t="s">
        <v>62</v>
      </c>
      <c r="X31" s="55" t="s">
        <v>111</v>
      </c>
      <c r="Y31" s="21" t="s">
        <v>144</v>
      </c>
      <c r="Z31" s="20" t="s">
        <v>154</v>
      </c>
      <c r="AA31" s="14">
        <v>117.0</v>
      </c>
      <c r="AB31" s="14">
        <v>72.0</v>
      </c>
      <c r="AC31" s="14">
        <v>45.0</v>
      </c>
      <c r="AD31" s="14">
        <v>310345.0</v>
      </c>
      <c r="AE31" s="14">
        <v>171870.0</v>
      </c>
      <c r="AF31" s="14">
        <v>138475.0</v>
      </c>
      <c r="AG31" s="22"/>
      <c r="AH31" s="22"/>
      <c r="AI31" s="22"/>
      <c r="AJ31" s="22"/>
      <c r="AK31" s="22"/>
      <c r="AL31" s="22"/>
      <c r="AM31" s="22"/>
      <c r="AN31" s="22"/>
      <c r="AO31" s="22"/>
      <c r="AP31" s="22"/>
    </row>
    <row r="32" hidden="1">
      <c r="A32" s="8">
        <v>46031.0</v>
      </c>
      <c r="B32" s="23">
        <v>0.75</v>
      </c>
      <c r="C32" s="10" t="s">
        <v>32</v>
      </c>
      <c r="D32" s="11" t="s">
        <v>33</v>
      </c>
      <c r="E32" s="12" t="s">
        <v>71</v>
      </c>
      <c r="F32" s="12" t="s">
        <v>155</v>
      </c>
      <c r="G32" s="12" t="s">
        <v>156</v>
      </c>
      <c r="H32" s="12" t="s">
        <v>157</v>
      </c>
      <c r="I32" s="13" t="s">
        <v>158</v>
      </c>
      <c r="J32" s="14">
        <v>10067.0</v>
      </c>
      <c r="K32" s="14">
        <v>3370.0</v>
      </c>
      <c r="L32" s="15">
        <v>0.3348</v>
      </c>
      <c r="M32" s="16">
        <v>1493.0</v>
      </c>
      <c r="N32" s="17">
        <v>0.443</v>
      </c>
      <c r="O32" s="18">
        <v>127.0</v>
      </c>
      <c r="P32" s="18">
        <v>115.0</v>
      </c>
      <c r="Q32" s="19">
        <v>0.0341</v>
      </c>
      <c r="R32" s="19">
        <v>0.077</v>
      </c>
      <c r="S32" s="20">
        <v>2.0</v>
      </c>
      <c r="T32" s="20"/>
      <c r="U32" s="20">
        <v>2877.0</v>
      </c>
      <c r="V32" s="21" t="s">
        <v>39</v>
      </c>
      <c r="W32" s="18" t="s">
        <v>76</v>
      </c>
      <c r="X32" s="55" t="s">
        <v>159</v>
      </c>
      <c r="Y32" s="21" t="s">
        <v>160</v>
      </c>
      <c r="Z32" s="20" t="s">
        <v>161</v>
      </c>
      <c r="AA32" s="14">
        <v>52.0</v>
      </c>
      <c r="AB32" s="14">
        <v>35.0</v>
      </c>
      <c r="AC32" s="14">
        <v>17.0</v>
      </c>
      <c r="AD32" s="14">
        <v>183537.0</v>
      </c>
      <c r="AE32" s="14">
        <v>127935.0</v>
      </c>
      <c r="AF32" s="14">
        <v>55602.0</v>
      </c>
      <c r="AG32" s="22"/>
      <c r="AH32" s="22"/>
      <c r="AI32" s="22"/>
      <c r="AJ32" s="22"/>
      <c r="AK32" s="22"/>
      <c r="AL32" s="22"/>
      <c r="AM32" s="22"/>
      <c r="AN32" s="22"/>
      <c r="AO32" s="22"/>
      <c r="AP32" s="22"/>
    </row>
    <row r="33" hidden="1">
      <c r="A33" s="8">
        <v>46031.0</v>
      </c>
      <c r="B33" s="23">
        <v>0.75</v>
      </c>
      <c r="C33" s="10" t="s">
        <v>32</v>
      </c>
      <c r="D33" s="11" t="s">
        <v>33</v>
      </c>
      <c r="E33" s="12" t="s">
        <v>71</v>
      </c>
      <c r="F33" s="12" t="s">
        <v>155</v>
      </c>
      <c r="G33" s="12" t="s">
        <v>162</v>
      </c>
      <c r="H33" s="12" t="s">
        <v>163</v>
      </c>
      <c r="I33" s="13" t="s">
        <v>164</v>
      </c>
      <c r="J33" s="14">
        <v>71586.0</v>
      </c>
      <c r="K33" s="14">
        <v>22024.0</v>
      </c>
      <c r="L33" s="15">
        <v>0.3077</v>
      </c>
      <c r="M33" s="16">
        <v>9580.0</v>
      </c>
      <c r="N33" s="17">
        <v>0.435</v>
      </c>
      <c r="O33" s="18">
        <v>703.0</v>
      </c>
      <c r="P33" s="18">
        <v>654.0</v>
      </c>
      <c r="Q33" s="19">
        <v>0.0297</v>
      </c>
      <c r="R33" s="19">
        <v>0.0683</v>
      </c>
      <c r="S33" s="20">
        <v>17.0</v>
      </c>
      <c r="T33" s="20"/>
      <c r="U33" s="20">
        <v>35570.0</v>
      </c>
      <c r="V33" s="21" t="s">
        <v>39</v>
      </c>
      <c r="W33" s="18" t="s">
        <v>76</v>
      </c>
      <c r="X33" s="54" t="s">
        <v>165</v>
      </c>
      <c r="Y33" s="21" t="s">
        <v>160</v>
      </c>
      <c r="Z33" s="20" t="s">
        <v>166</v>
      </c>
      <c r="AA33" s="14">
        <v>409.0</v>
      </c>
      <c r="AB33" s="14">
        <v>118.0</v>
      </c>
      <c r="AC33" s="14">
        <v>294.0</v>
      </c>
      <c r="AD33" s="14">
        <v>1465338.0</v>
      </c>
      <c r="AE33" s="14">
        <v>349234.0</v>
      </c>
      <c r="AF33" s="14">
        <v>1116104.0</v>
      </c>
      <c r="AG33" s="22"/>
      <c r="AH33" s="22"/>
      <c r="AI33" s="22"/>
      <c r="AJ33" s="22"/>
      <c r="AK33" s="22"/>
      <c r="AL33" s="22"/>
      <c r="AM33" s="22"/>
      <c r="AN33" s="22"/>
      <c r="AO33" s="22"/>
      <c r="AP33" s="22"/>
    </row>
    <row r="34" hidden="1">
      <c r="A34" s="8">
        <v>46031.0</v>
      </c>
      <c r="B34" s="9">
        <v>0.8333333333333334</v>
      </c>
      <c r="C34" s="10" t="s">
        <v>58</v>
      </c>
      <c r="D34" s="11" t="s">
        <v>59</v>
      </c>
      <c r="E34" s="12" t="s">
        <v>71</v>
      </c>
      <c r="F34" s="12" t="s">
        <v>155</v>
      </c>
      <c r="G34" s="12" t="s">
        <v>167</v>
      </c>
      <c r="H34" s="12" t="s">
        <v>157</v>
      </c>
      <c r="I34" s="13" t="s">
        <v>61</v>
      </c>
      <c r="J34" s="14">
        <v>6529.0</v>
      </c>
      <c r="K34" s="14">
        <v>3184.0</v>
      </c>
      <c r="L34" s="15">
        <v>0.4877</v>
      </c>
      <c r="M34" s="16"/>
      <c r="N34" s="17"/>
      <c r="O34" s="18">
        <v>5.0</v>
      </c>
      <c r="P34" s="18"/>
      <c r="Q34" s="19">
        <v>0.0016</v>
      </c>
      <c r="R34" s="53"/>
      <c r="S34" s="20">
        <v>5.0</v>
      </c>
      <c r="T34" s="20">
        <v>7.0</v>
      </c>
      <c r="U34" s="20">
        <v>17557.0</v>
      </c>
      <c r="V34" s="21" t="s">
        <v>39</v>
      </c>
      <c r="W34" s="18" t="s">
        <v>62</v>
      </c>
      <c r="X34" s="55" t="s">
        <v>159</v>
      </c>
      <c r="Y34" s="21" t="s">
        <v>160</v>
      </c>
      <c r="Z34" s="20" t="s">
        <v>168</v>
      </c>
      <c r="AA34" s="14">
        <v>37.0</v>
      </c>
      <c r="AB34" s="14">
        <v>18.0</v>
      </c>
      <c r="AC34" s="14">
        <v>19.0</v>
      </c>
      <c r="AD34" s="14">
        <v>128845.0</v>
      </c>
      <c r="AE34" s="14">
        <v>58568.0</v>
      </c>
      <c r="AF34" s="14">
        <v>70277.0</v>
      </c>
      <c r="AG34" s="22"/>
      <c r="AH34" s="22"/>
      <c r="AI34" s="22"/>
      <c r="AJ34" s="22"/>
      <c r="AK34" s="22"/>
      <c r="AL34" s="22"/>
      <c r="AM34" s="22"/>
      <c r="AN34" s="22"/>
      <c r="AO34" s="22"/>
      <c r="AP34" s="22"/>
    </row>
    <row r="35" hidden="1">
      <c r="A35" s="8">
        <v>46031.0</v>
      </c>
      <c r="B35" s="9">
        <v>0.8333333333333334</v>
      </c>
      <c r="C35" s="10" t="s">
        <v>58</v>
      </c>
      <c r="D35" s="11" t="s">
        <v>59</v>
      </c>
      <c r="E35" s="12" t="s">
        <v>71</v>
      </c>
      <c r="F35" s="12" t="s">
        <v>155</v>
      </c>
      <c r="G35" s="12" t="s">
        <v>169</v>
      </c>
      <c r="H35" s="12" t="s">
        <v>163</v>
      </c>
      <c r="I35" s="13" t="s">
        <v>61</v>
      </c>
      <c r="J35" s="14">
        <v>48479.0</v>
      </c>
      <c r="K35" s="14">
        <v>25374.0</v>
      </c>
      <c r="L35" s="15">
        <v>0.5234</v>
      </c>
      <c r="M35" s="16"/>
      <c r="N35" s="17"/>
      <c r="O35" s="18">
        <v>21.0</v>
      </c>
      <c r="P35" s="18"/>
      <c r="Q35" s="19">
        <v>8.0E-4</v>
      </c>
      <c r="R35" s="53"/>
      <c r="S35" s="20">
        <v>14.0</v>
      </c>
      <c r="T35" s="20">
        <v>30.0</v>
      </c>
      <c r="U35" s="20">
        <v>32759.0</v>
      </c>
      <c r="V35" s="21" t="s">
        <v>39</v>
      </c>
      <c r="W35" s="18" t="s">
        <v>62</v>
      </c>
      <c r="X35" s="54" t="s">
        <v>165</v>
      </c>
      <c r="Y35" s="21" t="s">
        <v>160</v>
      </c>
      <c r="Z35" s="20" t="s">
        <v>170</v>
      </c>
      <c r="AA35" s="14">
        <v>489.0</v>
      </c>
      <c r="AB35" s="14">
        <v>106.0</v>
      </c>
      <c r="AC35" s="14">
        <v>383.0</v>
      </c>
      <c r="AD35" s="14">
        <v>1456653.0</v>
      </c>
      <c r="AE35" s="14">
        <v>259470.0</v>
      </c>
      <c r="AF35" s="14">
        <v>1197183.0</v>
      </c>
      <c r="AG35" s="22"/>
      <c r="AH35" s="22"/>
      <c r="AI35" s="22"/>
      <c r="AJ35" s="22"/>
      <c r="AK35" s="22"/>
      <c r="AL35" s="22"/>
      <c r="AM35" s="22"/>
      <c r="AN35" s="22"/>
      <c r="AO35" s="22"/>
      <c r="AP35" s="22"/>
    </row>
    <row r="36" hidden="1">
      <c r="A36" s="8">
        <v>46031.0</v>
      </c>
      <c r="B36" s="9">
        <v>0.75</v>
      </c>
      <c r="C36" s="10" t="s">
        <v>58</v>
      </c>
      <c r="D36" s="11" t="s">
        <v>33</v>
      </c>
      <c r="E36" s="12" t="s">
        <v>71</v>
      </c>
      <c r="F36" s="12" t="s">
        <v>155</v>
      </c>
      <c r="G36" s="12" t="s">
        <v>171</v>
      </c>
      <c r="H36" s="12" t="s">
        <v>172</v>
      </c>
      <c r="I36" s="13" t="s">
        <v>173</v>
      </c>
      <c r="J36" s="14">
        <v>104244.0</v>
      </c>
      <c r="K36" s="14">
        <v>63257.0</v>
      </c>
      <c r="L36" s="15">
        <v>0.6068</v>
      </c>
      <c r="M36" s="16"/>
      <c r="N36" s="17"/>
      <c r="O36" s="18">
        <v>72.0</v>
      </c>
      <c r="P36" s="18"/>
      <c r="Q36" s="19">
        <v>0.0011</v>
      </c>
      <c r="R36" s="53"/>
      <c r="S36" s="20">
        <v>15.0</v>
      </c>
      <c r="T36" s="20">
        <v>30.0</v>
      </c>
      <c r="U36" s="20">
        <v>26246.0</v>
      </c>
      <c r="V36" s="21" t="s">
        <v>39</v>
      </c>
      <c r="W36" s="18" t="s">
        <v>62</v>
      </c>
      <c r="X36" s="54" t="s">
        <v>47</v>
      </c>
      <c r="Y36" s="21" t="s">
        <v>160</v>
      </c>
      <c r="Z36" s="20" t="s">
        <v>174</v>
      </c>
      <c r="AA36" s="14">
        <v>397.0</v>
      </c>
      <c r="AB36" s="14">
        <v>77.0</v>
      </c>
      <c r="AC36" s="14">
        <v>320.0</v>
      </c>
      <c r="AD36" s="14">
        <v>998832.0</v>
      </c>
      <c r="AE36" s="14">
        <v>146549.0</v>
      </c>
      <c r="AF36" s="14">
        <v>852283.0</v>
      </c>
      <c r="AG36" s="22"/>
      <c r="AH36" s="22"/>
      <c r="AI36" s="22"/>
      <c r="AJ36" s="22"/>
      <c r="AK36" s="22"/>
      <c r="AL36" s="22"/>
      <c r="AM36" s="22"/>
      <c r="AN36" s="22"/>
      <c r="AO36" s="22"/>
      <c r="AP36" s="22"/>
    </row>
    <row r="37" hidden="1">
      <c r="A37" s="8">
        <v>46031.0</v>
      </c>
      <c r="B37" s="9">
        <v>0.75</v>
      </c>
      <c r="C37" s="10" t="s">
        <v>58</v>
      </c>
      <c r="D37" s="11" t="s">
        <v>33</v>
      </c>
      <c r="E37" s="12" t="s">
        <v>71</v>
      </c>
      <c r="F37" s="12" t="s">
        <v>155</v>
      </c>
      <c r="G37" s="12" t="s">
        <v>175</v>
      </c>
      <c r="H37" s="12" t="s">
        <v>176</v>
      </c>
      <c r="I37" s="13" t="s">
        <v>177</v>
      </c>
      <c r="J37" s="14">
        <v>178336.0</v>
      </c>
      <c r="K37" s="14">
        <v>107016.0</v>
      </c>
      <c r="L37" s="15">
        <v>0.6001</v>
      </c>
      <c r="M37" s="16"/>
      <c r="N37" s="17"/>
      <c r="O37" s="18">
        <v>67.0</v>
      </c>
      <c r="P37" s="18"/>
      <c r="Q37" s="19">
        <v>6.0E-4</v>
      </c>
      <c r="R37" s="53"/>
      <c r="S37" s="20">
        <v>13.0</v>
      </c>
      <c r="T37" s="20">
        <v>32.0</v>
      </c>
      <c r="U37" s="20">
        <v>29548.0</v>
      </c>
      <c r="V37" s="21" t="s">
        <v>39</v>
      </c>
      <c r="W37" s="18" t="s">
        <v>62</v>
      </c>
      <c r="X37" s="20" t="s">
        <v>41</v>
      </c>
      <c r="Y37" s="21" t="s">
        <v>160</v>
      </c>
      <c r="Z37" s="20" t="s">
        <v>178</v>
      </c>
      <c r="AA37" s="14">
        <v>633.0</v>
      </c>
      <c r="AB37" s="14">
        <v>89.0</v>
      </c>
      <c r="AC37" s="14">
        <v>544.0</v>
      </c>
      <c r="AD37" s="14">
        <v>1748063.0</v>
      </c>
      <c r="AE37" s="14">
        <v>201065.0</v>
      </c>
      <c r="AF37" s="14">
        <v>1546998.0</v>
      </c>
      <c r="AG37" s="22"/>
      <c r="AH37" s="22"/>
      <c r="AI37" s="22"/>
      <c r="AJ37" s="22"/>
      <c r="AK37" s="22"/>
      <c r="AL37" s="22"/>
      <c r="AM37" s="22"/>
      <c r="AN37" s="22"/>
      <c r="AO37" s="22"/>
      <c r="AP37" s="22"/>
    </row>
    <row r="38" hidden="1">
      <c r="A38" s="8">
        <v>46031.0</v>
      </c>
      <c r="B38" s="23">
        <v>0.7083333333333334</v>
      </c>
      <c r="C38" s="10" t="s">
        <v>32</v>
      </c>
      <c r="D38" s="11" t="s">
        <v>59</v>
      </c>
      <c r="E38" s="12" t="s">
        <v>179</v>
      </c>
      <c r="F38" s="12" t="s">
        <v>180</v>
      </c>
      <c r="G38" s="12" t="s">
        <v>181</v>
      </c>
      <c r="H38" s="12" t="s">
        <v>182</v>
      </c>
      <c r="I38" s="13" t="s">
        <v>123</v>
      </c>
      <c r="J38" s="14">
        <v>10411.0</v>
      </c>
      <c r="K38" s="14">
        <v>5127.0</v>
      </c>
      <c r="L38" s="15">
        <v>0.4925</v>
      </c>
      <c r="M38" s="16">
        <v>1106.0</v>
      </c>
      <c r="N38" s="17">
        <v>0.2157</v>
      </c>
      <c r="O38" s="18">
        <v>278.0</v>
      </c>
      <c r="P38" s="18">
        <v>260.0</v>
      </c>
      <c r="Q38" s="19">
        <v>0.0507</v>
      </c>
      <c r="R38" s="19">
        <v>0.2351</v>
      </c>
      <c r="S38" s="20">
        <v>12.0</v>
      </c>
      <c r="T38" s="20">
        <v>28.0</v>
      </c>
      <c r="U38" s="20">
        <v>67716.0</v>
      </c>
      <c r="V38" s="21" t="s">
        <v>183</v>
      </c>
      <c r="W38" s="18" t="s">
        <v>76</v>
      </c>
      <c r="X38" s="56" t="s">
        <v>184</v>
      </c>
      <c r="Y38" s="21" t="s">
        <v>185</v>
      </c>
      <c r="Z38" s="20" t="s">
        <v>186</v>
      </c>
      <c r="AA38" s="14">
        <v>223.0</v>
      </c>
      <c r="AB38" s="14">
        <v>194.0</v>
      </c>
      <c r="AC38" s="14">
        <v>29.0</v>
      </c>
      <c r="AD38" s="14">
        <v>1131428.0</v>
      </c>
      <c r="AE38" s="14">
        <v>909086.0</v>
      </c>
      <c r="AF38" s="14">
        <v>222342.0</v>
      </c>
      <c r="AG38" s="22"/>
      <c r="AH38" s="22"/>
      <c r="AI38" s="22"/>
      <c r="AJ38" s="22"/>
      <c r="AK38" s="22"/>
      <c r="AL38" s="22"/>
      <c r="AM38" s="22"/>
      <c r="AN38" s="22"/>
      <c r="AO38" s="22"/>
      <c r="AP38" s="22"/>
    </row>
    <row r="39" hidden="1">
      <c r="A39" s="8">
        <v>46031.0</v>
      </c>
      <c r="B39" s="23">
        <v>0.71875</v>
      </c>
      <c r="C39" s="10" t="s">
        <v>32</v>
      </c>
      <c r="D39" s="11" t="s">
        <v>59</v>
      </c>
      <c r="E39" s="12" t="s">
        <v>179</v>
      </c>
      <c r="F39" s="12" t="s">
        <v>180</v>
      </c>
      <c r="G39" s="12" t="s">
        <v>187</v>
      </c>
      <c r="H39" s="12" t="s">
        <v>188</v>
      </c>
      <c r="I39" s="13" t="s">
        <v>123</v>
      </c>
      <c r="J39" s="14">
        <v>38077.0</v>
      </c>
      <c r="K39" s="14">
        <v>19630.0</v>
      </c>
      <c r="L39" s="15">
        <v>0.5155</v>
      </c>
      <c r="M39" s="16">
        <v>3856.0</v>
      </c>
      <c r="N39" s="17">
        <v>0.1964</v>
      </c>
      <c r="O39" s="18">
        <v>758.0</v>
      </c>
      <c r="P39" s="18">
        <v>698.0</v>
      </c>
      <c r="Q39" s="19">
        <v>0.0356</v>
      </c>
      <c r="R39" s="19">
        <v>0.181</v>
      </c>
      <c r="S39" s="20">
        <v>8.0</v>
      </c>
      <c r="T39" s="20">
        <v>11.0</v>
      </c>
      <c r="U39" s="20">
        <v>108997.0</v>
      </c>
      <c r="V39" s="21" t="s">
        <v>183</v>
      </c>
      <c r="W39" s="18" t="s">
        <v>76</v>
      </c>
      <c r="X39" s="56" t="s">
        <v>111</v>
      </c>
      <c r="Y39" s="21" t="s">
        <v>185</v>
      </c>
      <c r="Z39" s="20" t="s">
        <v>189</v>
      </c>
      <c r="AA39" s="14">
        <v>305.0</v>
      </c>
      <c r="AB39" s="14">
        <v>157.0</v>
      </c>
      <c r="AC39" s="14">
        <v>148.0</v>
      </c>
      <c r="AD39" s="14">
        <v>2223973.0</v>
      </c>
      <c r="AE39" s="14">
        <v>821283.0</v>
      </c>
      <c r="AF39" s="14">
        <v>1402690.0</v>
      </c>
      <c r="AG39" s="22"/>
      <c r="AH39" s="22"/>
      <c r="AI39" s="22"/>
      <c r="AJ39" s="22"/>
      <c r="AK39" s="22"/>
      <c r="AL39" s="22"/>
      <c r="AM39" s="22"/>
      <c r="AN39" s="22"/>
      <c r="AO39" s="22"/>
      <c r="AP39" s="22"/>
    </row>
    <row r="40" hidden="1">
      <c r="A40" s="8">
        <v>46031.0</v>
      </c>
      <c r="B40" s="23">
        <v>0.7118055555555556</v>
      </c>
      <c r="C40" s="10" t="s">
        <v>32</v>
      </c>
      <c r="D40" s="11" t="s">
        <v>59</v>
      </c>
      <c r="E40" s="12" t="s">
        <v>179</v>
      </c>
      <c r="F40" s="12" t="s">
        <v>180</v>
      </c>
      <c r="G40" s="12" t="s">
        <v>190</v>
      </c>
      <c r="H40" s="12" t="s">
        <v>191</v>
      </c>
      <c r="I40" s="13" t="s">
        <v>123</v>
      </c>
      <c r="J40" s="14">
        <v>19800.0</v>
      </c>
      <c r="K40" s="14">
        <v>9296.0</v>
      </c>
      <c r="L40" s="15">
        <v>0.4695</v>
      </c>
      <c r="M40" s="16">
        <v>2016.0</v>
      </c>
      <c r="N40" s="17">
        <v>0.2169</v>
      </c>
      <c r="O40" s="18">
        <v>608.0</v>
      </c>
      <c r="P40" s="18">
        <v>557.0</v>
      </c>
      <c r="Q40" s="19">
        <v>0.0599</v>
      </c>
      <c r="R40" s="19">
        <v>0.2763</v>
      </c>
      <c r="S40" s="20">
        <v>18.0</v>
      </c>
      <c r="T40" s="20">
        <v>45.0</v>
      </c>
      <c r="U40" s="20">
        <v>114776.0</v>
      </c>
      <c r="V40" s="21" t="s">
        <v>183</v>
      </c>
      <c r="W40" s="18" t="s">
        <v>76</v>
      </c>
      <c r="X40" s="56" t="s">
        <v>47</v>
      </c>
      <c r="Y40" s="21" t="s">
        <v>185</v>
      </c>
      <c r="Z40" s="20" t="s">
        <v>192</v>
      </c>
      <c r="AA40" s="14">
        <v>479.0</v>
      </c>
      <c r="AB40" s="14">
        <v>247.0</v>
      </c>
      <c r="AC40" s="14">
        <v>232.0</v>
      </c>
      <c r="AD40" s="14">
        <v>3893922.0</v>
      </c>
      <c r="AE40" s="14">
        <v>1488135.0</v>
      </c>
      <c r="AF40" s="14">
        <v>2405787.0</v>
      </c>
      <c r="AG40" s="22"/>
      <c r="AH40" s="22"/>
      <c r="AI40" s="22"/>
      <c r="AJ40" s="22"/>
      <c r="AK40" s="22"/>
      <c r="AL40" s="22"/>
      <c r="AM40" s="22"/>
      <c r="AN40" s="22"/>
      <c r="AO40" s="22"/>
      <c r="AP40" s="22"/>
    </row>
    <row r="41" hidden="1">
      <c r="A41" s="8">
        <v>46031.0</v>
      </c>
      <c r="B41" s="23">
        <v>0.7152777777777778</v>
      </c>
      <c r="C41" s="10" t="s">
        <v>32</v>
      </c>
      <c r="D41" s="11" t="s">
        <v>59</v>
      </c>
      <c r="E41" s="12" t="s">
        <v>179</v>
      </c>
      <c r="F41" s="12" t="s">
        <v>180</v>
      </c>
      <c r="G41" s="12" t="s">
        <v>193</v>
      </c>
      <c r="H41" s="12" t="s">
        <v>194</v>
      </c>
      <c r="I41" s="13" t="s">
        <v>123</v>
      </c>
      <c r="J41" s="14">
        <v>19867.0</v>
      </c>
      <c r="K41" s="14">
        <v>8522.0</v>
      </c>
      <c r="L41" s="15">
        <v>0.429</v>
      </c>
      <c r="M41" s="16">
        <v>1390.0</v>
      </c>
      <c r="N41" s="17">
        <v>0.1631</v>
      </c>
      <c r="O41" s="18">
        <v>317.0</v>
      </c>
      <c r="P41" s="18">
        <v>281.0</v>
      </c>
      <c r="Q41" s="19">
        <v>0.033</v>
      </c>
      <c r="R41" s="19">
        <v>0.2022</v>
      </c>
      <c r="S41" s="20">
        <v>7.0</v>
      </c>
      <c r="T41" s="20">
        <v>0.0</v>
      </c>
      <c r="U41" s="20">
        <v>30304.0</v>
      </c>
      <c r="V41" s="21" t="s">
        <v>183</v>
      </c>
      <c r="W41" s="18" t="s">
        <v>76</v>
      </c>
      <c r="X41" s="56" t="s">
        <v>82</v>
      </c>
      <c r="Y41" s="21" t="s">
        <v>185</v>
      </c>
      <c r="Z41" s="20" t="s">
        <v>195</v>
      </c>
      <c r="AA41" s="14">
        <v>376.0</v>
      </c>
      <c r="AB41" s="14">
        <v>195.0</v>
      </c>
      <c r="AC41" s="14">
        <v>181.0</v>
      </c>
      <c r="AD41" s="14">
        <v>3108337.0</v>
      </c>
      <c r="AE41" s="14">
        <v>1083434.0</v>
      </c>
      <c r="AF41" s="14">
        <v>2024903.0</v>
      </c>
      <c r="AG41" s="22"/>
      <c r="AH41" s="22"/>
      <c r="AI41" s="22"/>
      <c r="AJ41" s="22"/>
      <c r="AK41" s="22"/>
      <c r="AL41" s="22"/>
      <c r="AM41" s="22"/>
      <c r="AN41" s="22"/>
      <c r="AO41" s="22"/>
      <c r="AP41" s="22"/>
    </row>
    <row r="42" hidden="1">
      <c r="A42" s="8">
        <v>46031.0</v>
      </c>
      <c r="B42" s="23">
        <v>0.625</v>
      </c>
      <c r="C42" s="10" t="s">
        <v>196</v>
      </c>
      <c r="D42" s="11" t="s">
        <v>33</v>
      </c>
      <c r="E42" s="12" t="s">
        <v>179</v>
      </c>
      <c r="F42" s="12" t="s">
        <v>180</v>
      </c>
      <c r="G42" s="12" t="s">
        <v>197</v>
      </c>
      <c r="H42" s="12" t="s">
        <v>182</v>
      </c>
      <c r="I42" s="57" t="s">
        <v>198</v>
      </c>
      <c r="J42" s="14">
        <v>12807.0</v>
      </c>
      <c r="K42" s="14">
        <v>2215.0</v>
      </c>
      <c r="L42" s="15">
        <v>0.173</v>
      </c>
      <c r="M42" s="16">
        <v>389.0</v>
      </c>
      <c r="N42" s="17">
        <v>0.176</v>
      </c>
      <c r="O42" s="18">
        <v>55.0</v>
      </c>
      <c r="P42" s="18"/>
      <c r="Q42" s="19">
        <v>0.0248</v>
      </c>
      <c r="R42" s="19"/>
      <c r="S42" s="20">
        <v>4.0</v>
      </c>
      <c r="T42" s="20">
        <v>15.0</v>
      </c>
      <c r="U42" s="20">
        <v>9589.0</v>
      </c>
      <c r="V42" s="21" t="s">
        <v>183</v>
      </c>
      <c r="W42" s="18" t="s">
        <v>95</v>
      </c>
      <c r="X42" s="56" t="s">
        <v>184</v>
      </c>
      <c r="Y42" s="21" t="s">
        <v>185</v>
      </c>
      <c r="Z42" s="20" t="s">
        <v>199</v>
      </c>
      <c r="AA42" s="14">
        <v>85.0</v>
      </c>
      <c r="AB42" s="14">
        <v>78.0</v>
      </c>
      <c r="AC42" s="14">
        <v>7.0</v>
      </c>
      <c r="AD42" s="14">
        <v>474118.0</v>
      </c>
      <c r="AE42" s="14">
        <v>380849.0</v>
      </c>
      <c r="AF42" s="14">
        <v>93269.0</v>
      </c>
      <c r="AG42" s="22"/>
      <c r="AH42" s="22"/>
      <c r="AI42" s="22"/>
      <c r="AJ42" s="22"/>
      <c r="AK42" s="22"/>
      <c r="AL42" s="22"/>
      <c r="AM42" s="22"/>
      <c r="AN42" s="22"/>
      <c r="AO42" s="22"/>
      <c r="AP42" s="22"/>
    </row>
    <row r="43" hidden="1">
      <c r="A43" s="8">
        <v>46031.0</v>
      </c>
      <c r="B43" s="23">
        <v>0.6319444444444444</v>
      </c>
      <c r="C43" s="10" t="s">
        <v>196</v>
      </c>
      <c r="D43" s="11" t="s">
        <v>33</v>
      </c>
      <c r="E43" s="12" t="s">
        <v>179</v>
      </c>
      <c r="F43" s="12" t="s">
        <v>180</v>
      </c>
      <c r="G43" s="12" t="s">
        <v>200</v>
      </c>
      <c r="H43" s="12" t="s">
        <v>194</v>
      </c>
      <c r="I43" s="57" t="s">
        <v>201</v>
      </c>
      <c r="J43" s="14">
        <v>22777.0</v>
      </c>
      <c r="K43" s="14">
        <v>2768.0</v>
      </c>
      <c r="L43" s="15">
        <v>0.1215</v>
      </c>
      <c r="M43" s="16">
        <v>444.0</v>
      </c>
      <c r="N43" s="17">
        <v>0.16</v>
      </c>
      <c r="O43" s="18">
        <v>55.0</v>
      </c>
      <c r="P43" s="18"/>
      <c r="Q43" s="19">
        <v>0.0199</v>
      </c>
      <c r="R43" s="19"/>
      <c r="S43" s="20">
        <v>0.0</v>
      </c>
      <c r="T43" s="20">
        <v>4.0</v>
      </c>
      <c r="U43" s="20">
        <v>0.0</v>
      </c>
      <c r="V43" s="21" t="s">
        <v>183</v>
      </c>
      <c r="W43" s="18" t="s">
        <v>95</v>
      </c>
      <c r="X43" s="56" t="s">
        <v>82</v>
      </c>
      <c r="Y43" s="21" t="s">
        <v>185</v>
      </c>
      <c r="Z43" s="20" t="s">
        <v>202</v>
      </c>
      <c r="AA43" s="14">
        <v>95.0</v>
      </c>
      <c r="AB43" s="14">
        <v>46.0</v>
      </c>
      <c r="AC43" s="14">
        <v>49.0</v>
      </c>
      <c r="AD43" s="14">
        <v>972262.0</v>
      </c>
      <c r="AE43" s="14">
        <v>256822.0</v>
      </c>
      <c r="AF43" s="14">
        <v>715440.0</v>
      </c>
      <c r="AG43" s="22"/>
      <c r="AH43" s="22"/>
      <c r="AI43" s="22"/>
      <c r="AJ43" s="22"/>
      <c r="AK43" s="22"/>
      <c r="AL43" s="22"/>
      <c r="AM43" s="22"/>
      <c r="AN43" s="22"/>
      <c r="AO43" s="22"/>
      <c r="AP43" s="22"/>
    </row>
    <row r="44" hidden="1">
      <c r="A44" s="8">
        <v>46031.0</v>
      </c>
      <c r="B44" s="23">
        <v>0.6284722222222222</v>
      </c>
      <c r="C44" s="10" t="s">
        <v>196</v>
      </c>
      <c r="D44" s="11" t="s">
        <v>33</v>
      </c>
      <c r="E44" s="12" t="s">
        <v>179</v>
      </c>
      <c r="F44" s="12" t="s">
        <v>180</v>
      </c>
      <c r="G44" s="12" t="s">
        <v>203</v>
      </c>
      <c r="H44" s="12" t="s">
        <v>191</v>
      </c>
      <c r="I44" s="57" t="s">
        <v>204</v>
      </c>
      <c r="J44" s="14">
        <v>23072.0</v>
      </c>
      <c r="K44" s="14">
        <v>3150.0</v>
      </c>
      <c r="L44" s="15">
        <v>0.1365</v>
      </c>
      <c r="M44" s="16">
        <v>594.0</v>
      </c>
      <c r="N44" s="17">
        <v>0.189</v>
      </c>
      <c r="O44" s="18">
        <v>80.0</v>
      </c>
      <c r="P44" s="18"/>
      <c r="Q44" s="19">
        <v>0.0254</v>
      </c>
      <c r="R44" s="19"/>
      <c r="S44" s="20">
        <v>2.0</v>
      </c>
      <c r="T44" s="20">
        <v>15.0</v>
      </c>
      <c r="U44" s="20">
        <v>29350.0</v>
      </c>
      <c r="V44" s="21" t="s">
        <v>183</v>
      </c>
      <c r="W44" s="18" t="s">
        <v>95</v>
      </c>
      <c r="X44" s="56" t="s">
        <v>47</v>
      </c>
      <c r="Y44" s="21" t="s">
        <v>185</v>
      </c>
      <c r="Z44" s="20" t="s">
        <v>205</v>
      </c>
      <c r="AA44" s="14">
        <v>126.0</v>
      </c>
      <c r="AB44" s="14">
        <v>72.0</v>
      </c>
      <c r="AC44" s="14">
        <v>54.0</v>
      </c>
      <c r="AD44" s="14">
        <v>1021367.0</v>
      </c>
      <c r="AE44" s="14">
        <v>433952.0</v>
      </c>
      <c r="AF44" s="14">
        <v>587415.0</v>
      </c>
      <c r="AG44" s="22"/>
      <c r="AH44" s="22"/>
      <c r="AI44" s="22"/>
      <c r="AJ44" s="22"/>
      <c r="AK44" s="22"/>
      <c r="AL44" s="22"/>
      <c r="AM44" s="22"/>
      <c r="AN44" s="22"/>
      <c r="AO44" s="22"/>
      <c r="AP44" s="22"/>
    </row>
    <row r="45" hidden="1">
      <c r="A45" s="8">
        <v>46031.0</v>
      </c>
      <c r="B45" s="23">
        <v>0.6354166666666666</v>
      </c>
      <c r="C45" s="10" t="s">
        <v>196</v>
      </c>
      <c r="D45" s="11" t="s">
        <v>33</v>
      </c>
      <c r="E45" s="12" t="s">
        <v>179</v>
      </c>
      <c r="F45" s="12" t="s">
        <v>180</v>
      </c>
      <c r="G45" s="12" t="s">
        <v>206</v>
      </c>
      <c r="H45" s="12" t="s">
        <v>188</v>
      </c>
      <c r="I45" s="57" t="s">
        <v>207</v>
      </c>
      <c r="J45" s="14">
        <v>46038.0</v>
      </c>
      <c r="K45" s="14">
        <v>7608.0</v>
      </c>
      <c r="L45" s="15">
        <v>0.1653</v>
      </c>
      <c r="M45" s="16">
        <v>1066.0</v>
      </c>
      <c r="N45" s="17">
        <v>0.14</v>
      </c>
      <c r="O45" s="18">
        <v>105.0</v>
      </c>
      <c r="P45" s="18"/>
      <c r="Q45" s="19">
        <v>0.0138</v>
      </c>
      <c r="R45" s="19"/>
      <c r="S45" s="20">
        <v>0.0</v>
      </c>
      <c r="T45" s="20">
        <v>4.0</v>
      </c>
      <c r="U45" s="20">
        <v>0.0</v>
      </c>
      <c r="V45" s="21" t="s">
        <v>183</v>
      </c>
      <c r="W45" s="18" t="s">
        <v>95</v>
      </c>
      <c r="X45" s="56" t="s">
        <v>111</v>
      </c>
      <c r="Y45" s="21" t="s">
        <v>185</v>
      </c>
      <c r="Z45" s="20" t="s">
        <v>208</v>
      </c>
      <c r="AA45" s="14">
        <v>50.0</v>
      </c>
      <c r="AB45" s="14">
        <v>26.0</v>
      </c>
      <c r="AC45" s="14">
        <v>24.0</v>
      </c>
      <c r="AD45" s="14">
        <v>334671.0</v>
      </c>
      <c r="AE45" s="14">
        <v>111883.0</v>
      </c>
      <c r="AF45" s="14">
        <v>222788.0</v>
      </c>
      <c r="AG45" s="22"/>
      <c r="AH45" s="22"/>
      <c r="AI45" s="22"/>
      <c r="AJ45" s="22"/>
      <c r="AK45" s="22"/>
      <c r="AL45" s="22"/>
      <c r="AM45" s="22"/>
      <c r="AN45" s="22"/>
      <c r="AO45" s="22"/>
      <c r="AP45" s="22"/>
    </row>
    <row r="46" hidden="1">
      <c r="A46" s="8">
        <v>46031.0</v>
      </c>
      <c r="B46" s="23">
        <v>0.7708333333333334</v>
      </c>
      <c r="C46" s="10" t="s">
        <v>58</v>
      </c>
      <c r="D46" s="11" t="s">
        <v>59</v>
      </c>
      <c r="E46" s="12" t="s">
        <v>179</v>
      </c>
      <c r="F46" s="12" t="s">
        <v>180</v>
      </c>
      <c r="G46" s="12" t="s">
        <v>209</v>
      </c>
      <c r="H46" s="12" t="s">
        <v>182</v>
      </c>
      <c r="I46" s="57" t="s">
        <v>61</v>
      </c>
      <c r="J46" s="14">
        <v>4833.0</v>
      </c>
      <c r="K46" s="14">
        <v>2967.0</v>
      </c>
      <c r="L46" s="15">
        <v>0.6139</v>
      </c>
      <c r="M46" s="16"/>
      <c r="N46" s="17"/>
      <c r="O46" s="18">
        <v>17.0</v>
      </c>
      <c r="P46" s="18"/>
      <c r="Q46" s="19">
        <v>0.0057</v>
      </c>
      <c r="R46" s="19"/>
      <c r="S46" s="20">
        <v>3.0</v>
      </c>
      <c r="T46" s="20">
        <v>14.0</v>
      </c>
      <c r="U46" s="20">
        <v>19683.0</v>
      </c>
      <c r="V46" s="21" t="s">
        <v>183</v>
      </c>
      <c r="W46" s="18" t="s">
        <v>62</v>
      </c>
      <c r="X46" s="56" t="s">
        <v>184</v>
      </c>
      <c r="Y46" s="21" t="s">
        <v>185</v>
      </c>
      <c r="Z46" s="20" t="s">
        <v>210</v>
      </c>
      <c r="AA46" s="14">
        <v>135.0</v>
      </c>
      <c r="AB46" s="18">
        <v>121.0</v>
      </c>
      <c r="AC46" s="18">
        <v>14.0</v>
      </c>
      <c r="AD46" s="14">
        <v>698863.0</v>
      </c>
      <c r="AE46" s="14">
        <v>625131.0</v>
      </c>
      <c r="AF46" s="14">
        <v>73732.0</v>
      </c>
      <c r="AG46" s="22"/>
      <c r="AH46" s="22"/>
      <c r="AI46" s="22"/>
      <c r="AJ46" s="22"/>
      <c r="AK46" s="22"/>
      <c r="AL46" s="22"/>
      <c r="AM46" s="22"/>
      <c r="AN46" s="22"/>
      <c r="AO46" s="22"/>
      <c r="AP46" s="22"/>
    </row>
    <row r="47" hidden="1">
      <c r="A47" s="8">
        <v>46031.0</v>
      </c>
      <c r="B47" s="23">
        <v>0.7708333333333334</v>
      </c>
      <c r="C47" s="10" t="s">
        <v>58</v>
      </c>
      <c r="D47" s="11" t="s">
        <v>59</v>
      </c>
      <c r="E47" s="12" t="s">
        <v>179</v>
      </c>
      <c r="F47" s="12" t="s">
        <v>180</v>
      </c>
      <c r="G47" s="12" t="s">
        <v>211</v>
      </c>
      <c r="H47" s="12" t="s">
        <v>191</v>
      </c>
      <c r="I47" s="57" t="s">
        <v>61</v>
      </c>
      <c r="J47" s="14">
        <v>9581.0</v>
      </c>
      <c r="K47" s="14">
        <v>5580.0</v>
      </c>
      <c r="L47" s="15">
        <v>0.5824</v>
      </c>
      <c r="M47" s="16"/>
      <c r="N47" s="17"/>
      <c r="O47" s="18">
        <v>32.0</v>
      </c>
      <c r="P47" s="18"/>
      <c r="Q47" s="19">
        <v>0.0057</v>
      </c>
      <c r="R47" s="19"/>
      <c r="S47" s="20">
        <v>11.0</v>
      </c>
      <c r="T47" s="20">
        <v>24.0</v>
      </c>
      <c r="U47" s="20">
        <v>75740.0</v>
      </c>
      <c r="V47" s="21" t="s">
        <v>183</v>
      </c>
      <c r="W47" s="18" t="s">
        <v>62</v>
      </c>
      <c r="X47" s="56" t="s">
        <v>47</v>
      </c>
      <c r="Y47" s="21" t="s">
        <v>185</v>
      </c>
      <c r="Z47" s="20" t="s">
        <v>212</v>
      </c>
      <c r="AA47" s="14">
        <v>309.0</v>
      </c>
      <c r="AB47" s="18">
        <v>147.0</v>
      </c>
      <c r="AC47" s="18">
        <v>162.0</v>
      </c>
      <c r="AD47" s="14">
        <v>3216047.0</v>
      </c>
      <c r="AE47" s="14">
        <v>1064200.0</v>
      </c>
      <c r="AF47" s="14">
        <v>2151847.0</v>
      </c>
      <c r="AG47" s="22"/>
      <c r="AH47" s="22"/>
      <c r="AI47" s="22"/>
      <c r="AJ47" s="22"/>
      <c r="AK47" s="22"/>
      <c r="AL47" s="22"/>
      <c r="AM47" s="22"/>
      <c r="AN47" s="22"/>
      <c r="AO47" s="22"/>
      <c r="AP47" s="22"/>
    </row>
    <row r="48" hidden="1">
      <c r="A48" s="8">
        <v>46031.0</v>
      </c>
      <c r="B48" s="23">
        <v>0.7708333333333334</v>
      </c>
      <c r="C48" s="10" t="s">
        <v>58</v>
      </c>
      <c r="D48" s="11" t="s">
        <v>59</v>
      </c>
      <c r="E48" s="12" t="s">
        <v>179</v>
      </c>
      <c r="F48" s="12" t="s">
        <v>180</v>
      </c>
      <c r="G48" s="12" t="s">
        <v>213</v>
      </c>
      <c r="H48" s="12" t="s">
        <v>194</v>
      </c>
      <c r="I48" s="57" t="s">
        <v>61</v>
      </c>
      <c r="J48" s="14">
        <v>9928.0</v>
      </c>
      <c r="K48" s="14">
        <v>5299.0</v>
      </c>
      <c r="L48" s="15">
        <v>0.5337</v>
      </c>
      <c r="M48" s="16"/>
      <c r="N48" s="17"/>
      <c r="O48" s="18">
        <v>22.0</v>
      </c>
      <c r="P48" s="18"/>
      <c r="Q48" s="19">
        <v>0.0042</v>
      </c>
      <c r="R48" s="19"/>
      <c r="S48" s="20">
        <v>7.0</v>
      </c>
      <c r="T48" s="20">
        <v>7.0</v>
      </c>
      <c r="U48" s="20">
        <v>28707.0</v>
      </c>
      <c r="V48" s="21" t="s">
        <v>183</v>
      </c>
      <c r="W48" s="18" t="s">
        <v>62</v>
      </c>
      <c r="X48" s="56" t="s">
        <v>82</v>
      </c>
      <c r="Y48" s="21" t="s">
        <v>185</v>
      </c>
      <c r="Z48" s="20" t="s">
        <v>214</v>
      </c>
      <c r="AA48" s="14">
        <v>221.0</v>
      </c>
      <c r="AB48" s="18">
        <v>110.0</v>
      </c>
      <c r="AC48" s="18">
        <v>111.0</v>
      </c>
      <c r="AD48" s="14">
        <v>1968869.0</v>
      </c>
      <c r="AE48" s="14">
        <v>595595.0</v>
      </c>
      <c r="AF48" s="14">
        <v>1373274.0</v>
      </c>
      <c r="AG48" s="22"/>
      <c r="AH48" s="22"/>
      <c r="AI48" s="22"/>
      <c r="AJ48" s="22"/>
      <c r="AK48" s="22"/>
      <c r="AL48" s="22"/>
      <c r="AM48" s="22"/>
      <c r="AN48" s="22"/>
      <c r="AO48" s="22"/>
      <c r="AP48" s="22"/>
    </row>
    <row r="49" hidden="1">
      <c r="A49" s="8">
        <v>46031.0</v>
      </c>
      <c r="B49" s="23">
        <v>0.7708333333333334</v>
      </c>
      <c r="C49" s="10" t="s">
        <v>58</v>
      </c>
      <c r="D49" s="11" t="s">
        <v>59</v>
      </c>
      <c r="E49" s="12" t="s">
        <v>179</v>
      </c>
      <c r="F49" s="12" t="s">
        <v>180</v>
      </c>
      <c r="G49" s="12" t="s">
        <v>215</v>
      </c>
      <c r="H49" s="12" t="s">
        <v>188</v>
      </c>
      <c r="I49" s="57" t="s">
        <v>61</v>
      </c>
      <c r="J49" s="14">
        <v>16128.0</v>
      </c>
      <c r="K49" s="14">
        <v>8717.0</v>
      </c>
      <c r="L49" s="15">
        <v>0.5405</v>
      </c>
      <c r="M49" s="16"/>
      <c r="N49" s="17"/>
      <c r="O49" s="18">
        <v>25.0</v>
      </c>
      <c r="P49" s="18"/>
      <c r="Q49" s="19">
        <v>0.0029</v>
      </c>
      <c r="R49" s="19"/>
      <c r="S49" s="20">
        <v>3.0</v>
      </c>
      <c r="T49" s="20">
        <v>7.0</v>
      </c>
      <c r="U49" s="20">
        <v>14753.0</v>
      </c>
      <c r="V49" s="21" t="s">
        <v>183</v>
      </c>
      <c r="W49" s="18" t="s">
        <v>62</v>
      </c>
      <c r="X49" s="56" t="s">
        <v>111</v>
      </c>
      <c r="Y49" s="21" t="s">
        <v>185</v>
      </c>
      <c r="Z49" s="20" t="s">
        <v>216</v>
      </c>
      <c r="AA49" s="14">
        <v>118.0</v>
      </c>
      <c r="AB49" s="18">
        <v>64.0</v>
      </c>
      <c r="AC49" s="18">
        <v>54.0</v>
      </c>
      <c r="AD49" s="14">
        <v>965614.0</v>
      </c>
      <c r="AE49" s="14">
        <v>380649.0</v>
      </c>
      <c r="AF49" s="14">
        <v>584965.0</v>
      </c>
      <c r="AG49" s="22"/>
      <c r="AH49" s="22"/>
      <c r="AI49" s="22"/>
      <c r="AJ49" s="22"/>
      <c r="AK49" s="22"/>
      <c r="AL49" s="22"/>
      <c r="AM49" s="22"/>
      <c r="AN49" s="22"/>
      <c r="AO49" s="22"/>
      <c r="AP49" s="22"/>
    </row>
    <row r="50" hidden="1">
      <c r="A50" s="8">
        <v>46031.0</v>
      </c>
      <c r="B50" s="23">
        <v>0.8333333333333334</v>
      </c>
      <c r="C50" s="10" t="s">
        <v>58</v>
      </c>
      <c r="D50" s="11" t="s">
        <v>59</v>
      </c>
      <c r="E50" s="12" t="s">
        <v>217</v>
      </c>
      <c r="F50" s="12" t="s">
        <v>218</v>
      </c>
      <c r="G50" s="12" t="s">
        <v>219</v>
      </c>
      <c r="H50" s="12" t="s">
        <v>220</v>
      </c>
      <c r="I50" s="57" t="s">
        <v>123</v>
      </c>
      <c r="J50" s="14">
        <v>295547.0</v>
      </c>
      <c r="K50" s="14">
        <v>200505.0</v>
      </c>
      <c r="L50" s="15">
        <v>0.678</v>
      </c>
      <c r="M50" s="16"/>
      <c r="N50" s="17"/>
      <c r="O50" s="18">
        <v>198.0</v>
      </c>
      <c r="P50" s="18"/>
      <c r="Q50" s="19">
        <v>0.001</v>
      </c>
      <c r="R50" s="19"/>
      <c r="S50" s="20"/>
      <c r="T50" s="20"/>
      <c r="U50" s="20"/>
      <c r="V50" s="21" t="s">
        <v>221</v>
      </c>
      <c r="W50" s="18" t="s">
        <v>62</v>
      </c>
      <c r="X50" s="56" t="s">
        <v>111</v>
      </c>
      <c r="Y50" s="21" t="s">
        <v>222</v>
      </c>
      <c r="Z50" s="20" t="s">
        <v>223</v>
      </c>
      <c r="AA50" s="18">
        <v>535.0</v>
      </c>
      <c r="AB50" s="18"/>
      <c r="AC50" s="18">
        <v>535.0</v>
      </c>
      <c r="AD50" s="14">
        <v>1105369.0</v>
      </c>
      <c r="AE50" s="52"/>
      <c r="AF50" s="14">
        <v>1105369.0</v>
      </c>
      <c r="AG50" s="22"/>
      <c r="AH50" s="22"/>
      <c r="AI50" s="22"/>
      <c r="AJ50" s="22"/>
      <c r="AK50" s="22"/>
      <c r="AL50" s="22"/>
      <c r="AM50" s="22"/>
      <c r="AN50" s="22"/>
      <c r="AO50" s="22"/>
      <c r="AP50" s="22"/>
    </row>
    <row r="51" hidden="1">
      <c r="A51" s="8">
        <v>46031.0</v>
      </c>
      <c r="B51" s="23">
        <v>0.8333333333333334</v>
      </c>
      <c r="C51" s="10" t="s">
        <v>58</v>
      </c>
      <c r="D51" s="11" t="s">
        <v>59</v>
      </c>
      <c r="E51" s="12" t="s">
        <v>217</v>
      </c>
      <c r="F51" s="12" t="s">
        <v>224</v>
      </c>
      <c r="G51" s="12" t="s">
        <v>225</v>
      </c>
      <c r="H51" s="12" t="s">
        <v>226</v>
      </c>
      <c r="I51" s="57" t="s">
        <v>123</v>
      </c>
      <c r="J51" s="14">
        <v>9398.0</v>
      </c>
      <c r="K51" s="14">
        <v>5271.0</v>
      </c>
      <c r="L51" s="15">
        <v>0.561</v>
      </c>
      <c r="M51" s="16"/>
      <c r="N51" s="17"/>
      <c r="O51" s="18">
        <v>14.0</v>
      </c>
      <c r="P51" s="18"/>
      <c r="Q51" s="19">
        <v>0.003</v>
      </c>
      <c r="R51" s="19"/>
      <c r="S51" s="20"/>
      <c r="T51" s="20"/>
      <c r="U51" s="20"/>
      <c r="V51" s="21" t="s">
        <v>221</v>
      </c>
      <c r="W51" s="18" t="s">
        <v>62</v>
      </c>
      <c r="X51" s="56" t="s">
        <v>137</v>
      </c>
      <c r="Y51" s="21" t="s">
        <v>222</v>
      </c>
      <c r="Z51" s="20" t="s">
        <v>227</v>
      </c>
      <c r="AA51" s="18">
        <v>1.0</v>
      </c>
      <c r="AB51" s="52"/>
      <c r="AC51" s="18">
        <v>1.0</v>
      </c>
      <c r="AD51" s="18">
        <v>599.0</v>
      </c>
      <c r="AE51" s="18"/>
      <c r="AF51" s="18">
        <v>599.0</v>
      </c>
      <c r="AG51" s="22"/>
      <c r="AH51" s="22"/>
      <c r="AI51" s="22"/>
      <c r="AJ51" s="22"/>
      <c r="AK51" s="22"/>
      <c r="AL51" s="22"/>
      <c r="AM51" s="22"/>
      <c r="AN51" s="22"/>
      <c r="AO51" s="22"/>
      <c r="AP51" s="22"/>
    </row>
    <row r="52" hidden="1">
      <c r="A52" s="8">
        <v>46031.0</v>
      </c>
      <c r="B52" s="23">
        <v>0.75</v>
      </c>
      <c r="C52" s="10" t="s">
        <v>196</v>
      </c>
      <c r="D52" s="11" t="s">
        <v>33</v>
      </c>
      <c r="E52" s="12" t="s">
        <v>217</v>
      </c>
      <c r="F52" s="12" t="s">
        <v>218</v>
      </c>
      <c r="G52" s="12" t="s">
        <v>218</v>
      </c>
      <c r="H52" s="12" t="s">
        <v>220</v>
      </c>
      <c r="I52" s="57" t="s">
        <v>228</v>
      </c>
      <c r="J52" s="14">
        <v>379474.0</v>
      </c>
      <c r="K52" s="14">
        <v>85854.0</v>
      </c>
      <c r="L52" s="15">
        <v>0.226</v>
      </c>
      <c r="M52" s="16">
        <v>14956.0</v>
      </c>
      <c r="N52" s="17">
        <v>0.174</v>
      </c>
      <c r="O52" s="18">
        <v>0.0</v>
      </c>
      <c r="P52" s="18"/>
      <c r="Q52" s="19">
        <v>0.0</v>
      </c>
      <c r="R52" s="19"/>
      <c r="S52" s="20"/>
      <c r="T52" s="20"/>
      <c r="U52" s="20"/>
      <c r="V52" s="21" t="s">
        <v>221</v>
      </c>
      <c r="W52" s="18" t="s">
        <v>95</v>
      </c>
      <c r="X52" s="56" t="s">
        <v>111</v>
      </c>
      <c r="Y52" s="21" t="s">
        <v>222</v>
      </c>
      <c r="Z52" s="20" t="s">
        <v>229</v>
      </c>
      <c r="AA52" s="18">
        <v>507.0</v>
      </c>
      <c r="AB52" s="52"/>
      <c r="AC52" s="18">
        <v>507.0</v>
      </c>
      <c r="AD52" s="14">
        <v>1032430.0</v>
      </c>
      <c r="AE52" s="52"/>
      <c r="AF52" s="14">
        <v>1032430.0</v>
      </c>
      <c r="AG52" s="22"/>
      <c r="AH52" s="22"/>
      <c r="AI52" s="22"/>
      <c r="AJ52" s="22"/>
      <c r="AK52" s="22"/>
      <c r="AL52" s="22"/>
      <c r="AM52" s="22"/>
      <c r="AN52" s="22"/>
      <c r="AO52" s="22"/>
      <c r="AP52" s="22"/>
    </row>
    <row r="53" hidden="1">
      <c r="A53" s="8">
        <v>46031.0</v>
      </c>
      <c r="B53" s="23">
        <v>0.75</v>
      </c>
      <c r="C53" s="10" t="s">
        <v>196</v>
      </c>
      <c r="D53" s="11" t="s">
        <v>33</v>
      </c>
      <c r="E53" s="12" t="s">
        <v>217</v>
      </c>
      <c r="F53" s="12" t="s">
        <v>224</v>
      </c>
      <c r="G53" s="12" t="s">
        <v>230</v>
      </c>
      <c r="H53" s="12" t="s">
        <v>226</v>
      </c>
      <c r="I53" s="57" t="s">
        <v>231</v>
      </c>
      <c r="J53" s="14">
        <v>19078.0</v>
      </c>
      <c r="K53" s="14">
        <v>9654.0</v>
      </c>
      <c r="L53" s="15">
        <v>0.506</v>
      </c>
      <c r="M53" s="16">
        <v>2086.0</v>
      </c>
      <c r="N53" s="17">
        <v>0.216</v>
      </c>
      <c r="O53" s="18">
        <v>0.0</v>
      </c>
      <c r="P53" s="18"/>
      <c r="Q53" s="19">
        <v>0.0</v>
      </c>
      <c r="R53" s="19"/>
      <c r="S53" s="20"/>
      <c r="T53" s="20"/>
      <c r="U53" s="20"/>
      <c r="V53" s="21" t="s">
        <v>221</v>
      </c>
      <c r="W53" s="18" t="s">
        <v>95</v>
      </c>
      <c r="X53" s="56" t="s">
        <v>137</v>
      </c>
      <c r="Y53" s="21" t="s">
        <v>222</v>
      </c>
      <c r="Z53" s="20" t="s">
        <v>232</v>
      </c>
      <c r="AA53" s="18">
        <v>2.0</v>
      </c>
      <c r="AB53" s="52"/>
      <c r="AC53" s="18">
        <v>2.0</v>
      </c>
      <c r="AD53" s="14">
        <v>1445.0</v>
      </c>
      <c r="AE53" s="52"/>
      <c r="AF53" s="14">
        <v>1445.0</v>
      </c>
      <c r="AG53" s="22"/>
      <c r="AH53" s="22"/>
      <c r="AI53" s="22"/>
      <c r="AJ53" s="22"/>
      <c r="AK53" s="22"/>
      <c r="AL53" s="22"/>
      <c r="AM53" s="22"/>
      <c r="AN53" s="22"/>
      <c r="AO53" s="22"/>
      <c r="AP53" s="22"/>
    </row>
    <row r="54" hidden="1">
      <c r="A54" s="8">
        <v>46032.0</v>
      </c>
      <c r="B54" s="23">
        <v>0.4583333333333333</v>
      </c>
      <c r="C54" s="10" t="s">
        <v>58</v>
      </c>
      <c r="D54" s="11" t="s">
        <v>33</v>
      </c>
      <c r="E54" s="12" t="s">
        <v>106</v>
      </c>
      <c r="F54" s="12" t="s">
        <v>107</v>
      </c>
      <c r="G54" s="12" t="s">
        <v>233</v>
      </c>
      <c r="H54" s="12" t="s">
        <v>234</v>
      </c>
      <c r="I54" s="57" t="s">
        <v>235</v>
      </c>
      <c r="J54" s="14">
        <v>51374.0</v>
      </c>
      <c r="K54" s="14">
        <v>29414.0</v>
      </c>
      <c r="L54" s="15">
        <v>0.573</v>
      </c>
      <c r="M54" s="45"/>
      <c r="N54" s="46"/>
      <c r="O54" s="47"/>
      <c r="P54" s="48"/>
      <c r="Q54" s="47"/>
      <c r="R54" s="19"/>
      <c r="S54" s="20"/>
      <c r="T54" s="20"/>
      <c r="U54" s="20"/>
      <c r="V54" s="21" t="s">
        <v>39</v>
      </c>
      <c r="W54" s="18" t="s">
        <v>62</v>
      </c>
      <c r="X54" s="20" t="s">
        <v>52</v>
      </c>
      <c r="Y54" s="21" t="s">
        <v>236</v>
      </c>
      <c r="Z54" s="20" t="s">
        <v>237</v>
      </c>
      <c r="AA54" s="14">
        <v>45.0</v>
      </c>
      <c r="AB54" s="18">
        <v>0.0</v>
      </c>
      <c r="AC54" s="14">
        <v>45.0</v>
      </c>
      <c r="AD54" s="14">
        <v>586844.0</v>
      </c>
      <c r="AE54" s="18">
        <v>0.0</v>
      </c>
      <c r="AF54" s="14">
        <v>586844.0</v>
      </c>
      <c r="AG54" s="22"/>
      <c r="AH54" s="22"/>
      <c r="AI54" s="22"/>
      <c r="AJ54" s="22"/>
      <c r="AK54" s="22"/>
      <c r="AL54" s="22"/>
      <c r="AM54" s="22"/>
      <c r="AN54" s="22"/>
      <c r="AO54" s="22"/>
      <c r="AP54" s="22"/>
    </row>
    <row r="55" hidden="1">
      <c r="A55" s="8">
        <v>46032.0</v>
      </c>
      <c r="B55" s="23">
        <v>0.4583333333333333</v>
      </c>
      <c r="C55" s="10" t="s">
        <v>58</v>
      </c>
      <c r="D55" s="11" t="s">
        <v>33</v>
      </c>
      <c r="E55" s="12" t="s">
        <v>106</v>
      </c>
      <c r="F55" s="12" t="s">
        <v>107</v>
      </c>
      <c r="G55" s="12" t="s">
        <v>238</v>
      </c>
      <c r="H55" s="12" t="s">
        <v>114</v>
      </c>
      <c r="I55" s="57" t="s">
        <v>137</v>
      </c>
      <c r="J55" s="14">
        <v>210052.0</v>
      </c>
      <c r="K55" s="14">
        <v>120170.0</v>
      </c>
      <c r="L55" s="15">
        <v>0.572</v>
      </c>
      <c r="M55" s="45"/>
      <c r="N55" s="46"/>
      <c r="O55" s="18"/>
      <c r="P55" s="48"/>
      <c r="Q55" s="47"/>
      <c r="R55" s="49"/>
      <c r="S55" s="47"/>
      <c r="T55" s="20"/>
      <c r="U55" s="47"/>
      <c r="V55" s="21" t="s">
        <v>39</v>
      </c>
      <c r="W55" s="18" t="s">
        <v>62</v>
      </c>
      <c r="X55" s="20" t="s">
        <v>137</v>
      </c>
      <c r="Y55" s="21" t="s">
        <v>236</v>
      </c>
      <c r="Z55" s="20" t="s">
        <v>239</v>
      </c>
      <c r="AA55" s="18">
        <v>138.0</v>
      </c>
      <c r="AB55" s="18">
        <v>0.0</v>
      </c>
      <c r="AC55" s="18">
        <v>138.0</v>
      </c>
      <c r="AD55" s="14">
        <v>1699038.0</v>
      </c>
      <c r="AE55" s="18">
        <v>0.0</v>
      </c>
      <c r="AF55" s="14">
        <v>1699038.0</v>
      </c>
      <c r="AG55" s="22"/>
      <c r="AH55" s="22"/>
      <c r="AI55" s="22"/>
      <c r="AJ55" s="22"/>
      <c r="AK55" s="22"/>
      <c r="AL55" s="22"/>
      <c r="AM55" s="22"/>
      <c r="AN55" s="22"/>
      <c r="AO55" s="22"/>
      <c r="AP55" s="22"/>
    </row>
    <row r="56" hidden="1">
      <c r="A56" s="8">
        <v>46032.0</v>
      </c>
      <c r="B56" s="23">
        <v>0.5145833333333333</v>
      </c>
      <c r="C56" s="10" t="s">
        <v>58</v>
      </c>
      <c r="D56" s="11" t="s">
        <v>33</v>
      </c>
      <c r="E56" s="12" t="s">
        <v>34</v>
      </c>
      <c r="F56" s="12" t="s">
        <v>240</v>
      </c>
      <c r="G56" s="12" t="s">
        <v>241</v>
      </c>
      <c r="H56" s="58" t="s">
        <v>242</v>
      </c>
      <c r="I56" s="59" t="s">
        <v>243</v>
      </c>
      <c r="J56" s="14">
        <v>1584.0</v>
      </c>
      <c r="K56" s="14">
        <v>906.0</v>
      </c>
      <c r="L56" s="15">
        <v>0.572</v>
      </c>
      <c r="M56" s="45"/>
      <c r="N56" s="46"/>
      <c r="O56" s="18"/>
      <c r="P56" s="48"/>
      <c r="Q56" s="47"/>
      <c r="R56" s="19"/>
      <c r="S56" s="20"/>
      <c r="T56" s="20"/>
      <c r="U56" s="20"/>
      <c r="V56" s="21" t="s">
        <v>221</v>
      </c>
      <c r="W56" s="18" t="s">
        <v>62</v>
      </c>
      <c r="X56" s="41" t="s">
        <v>111</v>
      </c>
      <c r="Y56" s="21" t="s">
        <v>244</v>
      </c>
      <c r="Z56" s="20" t="s">
        <v>245</v>
      </c>
      <c r="AA56" s="14">
        <v>1.0</v>
      </c>
      <c r="AB56" s="14"/>
      <c r="AC56" s="14">
        <v>1.0</v>
      </c>
      <c r="AD56" s="14">
        <v>6999.0</v>
      </c>
      <c r="AE56" s="52"/>
      <c r="AF56" s="14">
        <v>6999.0</v>
      </c>
      <c r="AG56" s="22"/>
      <c r="AH56" s="22"/>
      <c r="AI56" s="22"/>
      <c r="AJ56" s="22"/>
      <c r="AK56" s="22"/>
      <c r="AL56" s="22"/>
      <c r="AM56" s="22"/>
      <c r="AN56" s="22"/>
      <c r="AO56" s="22"/>
      <c r="AP56" s="22"/>
    </row>
    <row r="57" hidden="1">
      <c r="A57" s="8">
        <v>46032.0</v>
      </c>
      <c r="B57" s="23">
        <v>0.51875</v>
      </c>
      <c r="C57" s="10" t="s">
        <v>58</v>
      </c>
      <c r="D57" s="11" t="s">
        <v>33</v>
      </c>
      <c r="E57" s="12" t="s">
        <v>34</v>
      </c>
      <c r="F57" s="12" t="s">
        <v>240</v>
      </c>
      <c r="G57" s="12" t="s">
        <v>246</v>
      </c>
      <c r="H57" s="12" t="s">
        <v>247</v>
      </c>
      <c r="I57" s="57" t="s">
        <v>248</v>
      </c>
      <c r="J57" s="14">
        <v>2805.0</v>
      </c>
      <c r="K57" s="14">
        <v>1631.0</v>
      </c>
      <c r="L57" s="15">
        <v>0.5815</v>
      </c>
      <c r="M57" s="45"/>
      <c r="N57" s="46"/>
      <c r="O57" s="18"/>
      <c r="P57" s="48"/>
      <c r="Q57" s="47"/>
      <c r="R57" s="19"/>
      <c r="S57" s="20"/>
      <c r="T57" s="20"/>
      <c r="U57" s="20"/>
      <c r="V57" s="21" t="s">
        <v>221</v>
      </c>
      <c r="W57" s="18" t="s">
        <v>62</v>
      </c>
      <c r="X57" s="41" t="s">
        <v>111</v>
      </c>
      <c r="Y57" s="21" t="s">
        <v>244</v>
      </c>
      <c r="Z57" s="20" t="s">
        <v>249</v>
      </c>
      <c r="AA57" s="14">
        <v>4.0</v>
      </c>
      <c r="AB57" s="14"/>
      <c r="AC57" s="14">
        <v>4.0</v>
      </c>
      <c r="AD57" s="14">
        <v>36449.0</v>
      </c>
      <c r="AE57" s="52"/>
      <c r="AF57" s="14">
        <v>36449.0</v>
      </c>
      <c r="AG57" s="22"/>
      <c r="AH57" s="22"/>
      <c r="AI57" s="22"/>
      <c r="AJ57" s="22"/>
      <c r="AK57" s="22"/>
      <c r="AL57" s="22"/>
      <c r="AM57" s="22"/>
      <c r="AN57" s="22"/>
      <c r="AO57" s="22"/>
      <c r="AP57" s="22"/>
    </row>
    <row r="58" hidden="1">
      <c r="A58" s="8">
        <v>46032.0</v>
      </c>
      <c r="B58" s="23">
        <v>0.5215277777777778</v>
      </c>
      <c r="C58" s="10" t="s">
        <v>58</v>
      </c>
      <c r="D58" s="11" t="s">
        <v>33</v>
      </c>
      <c r="E58" s="12" t="s">
        <v>34</v>
      </c>
      <c r="F58" s="12" t="s">
        <v>240</v>
      </c>
      <c r="G58" s="12" t="s">
        <v>250</v>
      </c>
      <c r="H58" s="12" t="s">
        <v>251</v>
      </c>
      <c r="I58" s="57" t="s">
        <v>252</v>
      </c>
      <c r="J58" s="14">
        <v>1200.0</v>
      </c>
      <c r="K58" s="14">
        <v>713.0</v>
      </c>
      <c r="L58" s="15">
        <v>0.5942</v>
      </c>
      <c r="M58" s="45"/>
      <c r="N58" s="46"/>
      <c r="O58" s="18"/>
      <c r="P58" s="48"/>
      <c r="Q58" s="47"/>
      <c r="R58" s="19"/>
      <c r="S58" s="20"/>
      <c r="T58" s="20"/>
      <c r="U58" s="20"/>
      <c r="V58" s="21" t="s">
        <v>221</v>
      </c>
      <c r="W58" s="18" t="s">
        <v>62</v>
      </c>
      <c r="X58" s="41" t="s">
        <v>111</v>
      </c>
      <c r="Y58" s="21" t="s">
        <v>244</v>
      </c>
      <c r="Z58" s="20" t="s">
        <v>253</v>
      </c>
      <c r="AA58" s="14">
        <v>1.0</v>
      </c>
      <c r="AB58" s="14"/>
      <c r="AC58" s="14">
        <v>1.0</v>
      </c>
      <c r="AD58" s="14">
        <v>6741.0</v>
      </c>
      <c r="AE58" s="52"/>
      <c r="AF58" s="14">
        <v>6741.0</v>
      </c>
      <c r="AG58" s="22"/>
      <c r="AH58" s="22"/>
      <c r="AI58" s="22"/>
      <c r="AJ58" s="22"/>
      <c r="AK58" s="22"/>
      <c r="AL58" s="22"/>
      <c r="AM58" s="22"/>
      <c r="AN58" s="22"/>
      <c r="AO58" s="22"/>
      <c r="AP58" s="22"/>
    </row>
    <row r="59" hidden="1">
      <c r="A59" s="8">
        <v>46032.0</v>
      </c>
      <c r="B59" s="23">
        <v>0.5236111111111111</v>
      </c>
      <c r="C59" s="10" t="s">
        <v>58</v>
      </c>
      <c r="D59" s="11" t="s">
        <v>33</v>
      </c>
      <c r="E59" s="12" t="s">
        <v>34</v>
      </c>
      <c r="F59" s="12" t="s">
        <v>240</v>
      </c>
      <c r="G59" s="12" t="s">
        <v>254</v>
      </c>
      <c r="H59" s="12" t="s">
        <v>255</v>
      </c>
      <c r="I59" s="57" t="s">
        <v>256</v>
      </c>
      <c r="J59" s="14">
        <v>2403.0</v>
      </c>
      <c r="K59" s="14">
        <v>1545.0</v>
      </c>
      <c r="L59" s="15">
        <v>0.6429</v>
      </c>
      <c r="M59" s="45"/>
      <c r="N59" s="46"/>
      <c r="O59" s="18"/>
      <c r="P59" s="48"/>
      <c r="Q59" s="47"/>
      <c r="R59" s="19"/>
      <c r="S59" s="20"/>
      <c r="T59" s="20"/>
      <c r="U59" s="20"/>
      <c r="V59" s="21" t="s">
        <v>221</v>
      </c>
      <c r="W59" s="18" t="s">
        <v>62</v>
      </c>
      <c r="X59" s="41" t="s">
        <v>111</v>
      </c>
      <c r="Y59" s="21" t="s">
        <v>257</v>
      </c>
      <c r="Z59" s="20" t="s">
        <v>258</v>
      </c>
      <c r="AA59" s="14">
        <v>5.0</v>
      </c>
      <c r="AB59" s="14"/>
      <c r="AC59" s="14">
        <v>5.0</v>
      </c>
      <c r="AD59" s="14">
        <v>55829.0</v>
      </c>
      <c r="AE59" s="52"/>
      <c r="AF59" s="14">
        <v>55829.0</v>
      </c>
      <c r="AG59" s="22"/>
      <c r="AH59" s="22"/>
      <c r="AI59" s="22"/>
      <c r="AJ59" s="22"/>
      <c r="AK59" s="22"/>
      <c r="AL59" s="22"/>
      <c r="AM59" s="22"/>
      <c r="AN59" s="22"/>
      <c r="AO59" s="22"/>
      <c r="AP59" s="22"/>
    </row>
    <row r="60" hidden="1">
      <c r="A60" s="8">
        <v>46032.0</v>
      </c>
      <c r="B60" s="23">
        <v>0.5256944444444445</v>
      </c>
      <c r="C60" s="10" t="s">
        <v>58</v>
      </c>
      <c r="D60" s="11" t="s">
        <v>33</v>
      </c>
      <c r="E60" s="12" t="s">
        <v>34</v>
      </c>
      <c r="F60" s="12" t="s">
        <v>240</v>
      </c>
      <c r="G60" s="12" t="s">
        <v>259</v>
      </c>
      <c r="H60" s="12" t="s">
        <v>260</v>
      </c>
      <c r="I60" s="57" t="s">
        <v>261</v>
      </c>
      <c r="J60" s="14">
        <v>2266.0</v>
      </c>
      <c r="K60" s="14">
        <v>1531.0</v>
      </c>
      <c r="L60" s="15">
        <v>0.6756</v>
      </c>
      <c r="M60" s="45"/>
      <c r="N60" s="46"/>
      <c r="O60" s="18"/>
      <c r="P60" s="48"/>
      <c r="Q60" s="47"/>
      <c r="R60" s="19"/>
      <c r="S60" s="20"/>
      <c r="T60" s="20"/>
      <c r="U60" s="20"/>
      <c r="V60" s="21" t="s">
        <v>221</v>
      </c>
      <c r="W60" s="18" t="s">
        <v>62</v>
      </c>
      <c r="X60" s="41" t="s">
        <v>111</v>
      </c>
      <c r="Y60" s="21" t="s">
        <v>257</v>
      </c>
      <c r="Z60" s="20" t="s">
        <v>262</v>
      </c>
      <c r="AA60" s="14">
        <v>5.0</v>
      </c>
      <c r="AB60" s="14"/>
      <c r="AC60" s="14">
        <v>5.0</v>
      </c>
      <c r="AD60" s="14">
        <v>55368.0</v>
      </c>
      <c r="AE60" s="52"/>
      <c r="AF60" s="14">
        <v>55368.0</v>
      </c>
      <c r="AG60" s="22"/>
      <c r="AH60" s="22"/>
      <c r="AI60" s="22"/>
      <c r="AJ60" s="22"/>
      <c r="AK60" s="22"/>
      <c r="AL60" s="22"/>
      <c r="AM60" s="22"/>
      <c r="AN60" s="22"/>
      <c r="AO60" s="22"/>
      <c r="AP60" s="22"/>
    </row>
    <row r="61" hidden="1">
      <c r="A61" s="8">
        <v>46032.0</v>
      </c>
      <c r="B61" s="23">
        <v>0.5284722222222222</v>
      </c>
      <c r="C61" s="10" t="s">
        <v>58</v>
      </c>
      <c r="D61" s="11" t="s">
        <v>33</v>
      </c>
      <c r="E61" s="12" t="s">
        <v>34</v>
      </c>
      <c r="F61" s="12" t="s">
        <v>240</v>
      </c>
      <c r="G61" s="12" t="s">
        <v>263</v>
      </c>
      <c r="H61" s="12" t="s">
        <v>264</v>
      </c>
      <c r="I61" s="57" t="s">
        <v>265</v>
      </c>
      <c r="J61" s="14">
        <v>5460.0</v>
      </c>
      <c r="K61" s="14">
        <v>3552.0</v>
      </c>
      <c r="L61" s="15">
        <v>0.6505</v>
      </c>
      <c r="M61" s="45"/>
      <c r="N61" s="46"/>
      <c r="O61" s="18"/>
      <c r="P61" s="48"/>
      <c r="Q61" s="47"/>
      <c r="R61" s="19"/>
      <c r="S61" s="20"/>
      <c r="T61" s="20">
        <v>1.0</v>
      </c>
      <c r="U61" s="20"/>
      <c r="V61" s="21" t="s">
        <v>221</v>
      </c>
      <c r="W61" s="18" t="s">
        <v>62</v>
      </c>
      <c r="X61" s="41" t="s">
        <v>111</v>
      </c>
      <c r="Y61" s="21" t="s">
        <v>257</v>
      </c>
      <c r="Z61" s="20" t="s">
        <v>266</v>
      </c>
      <c r="AA61" s="14">
        <v>9.0</v>
      </c>
      <c r="AB61" s="14"/>
      <c r="AC61" s="14">
        <v>9.0</v>
      </c>
      <c r="AD61" s="14">
        <v>67705.0</v>
      </c>
      <c r="AE61" s="52"/>
      <c r="AF61" s="14">
        <v>67705.0</v>
      </c>
      <c r="AG61" s="22"/>
      <c r="AH61" s="22"/>
      <c r="AI61" s="22"/>
      <c r="AJ61" s="22"/>
      <c r="AK61" s="22"/>
      <c r="AL61" s="22"/>
      <c r="AM61" s="22"/>
      <c r="AN61" s="22"/>
      <c r="AO61" s="22"/>
      <c r="AP61" s="22"/>
    </row>
    <row r="62" hidden="1">
      <c r="A62" s="8">
        <v>46032.0</v>
      </c>
      <c r="B62" s="23">
        <v>0.5305555555555556</v>
      </c>
      <c r="C62" s="10" t="s">
        <v>58</v>
      </c>
      <c r="D62" s="11" t="s">
        <v>33</v>
      </c>
      <c r="E62" s="12" t="s">
        <v>34</v>
      </c>
      <c r="F62" s="12" t="s">
        <v>240</v>
      </c>
      <c r="G62" s="12" t="s">
        <v>267</v>
      </c>
      <c r="H62" s="12" t="s">
        <v>268</v>
      </c>
      <c r="I62" s="57" t="s">
        <v>269</v>
      </c>
      <c r="J62" s="14">
        <v>2450.0</v>
      </c>
      <c r="K62" s="14">
        <v>1680.0</v>
      </c>
      <c r="L62" s="15">
        <v>0.6857</v>
      </c>
      <c r="M62" s="45"/>
      <c r="N62" s="46"/>
      <c r="O62" s="18"/>
      <c r="P62" s="48"/>
      <c r="Q62" s="47"/>
      <c r="R62" s="19"/>
      <c r="S62" s="20"/>
      <c r="T62" s="20">
        <v>1.0</v>
      </c>
      <c r="U62" s="20"/>
      <c r="V62" s="21" t="s">
        <v>221</v>
      </c>
      <c r="W62" s="18" t="s">
        <v>62</v>
      </c>
      <c r="X62" s="41" t="s">
        <v>111</v>
      </c>
      <c r="Y62" s="21" t="s">
        <v>257</v>
      </c>
      <c r="Z62" s="20" t="s">
        <v>270</v>
      </c>
      <c r="AA62" s="14">
        <v>7.0</v>
      </c>
      <c r="AB62" s="14"/>
      <c r="AC62" s="14">
        <v>7.0</v>
      </c>
      <c r="AD62" s="14">
        <v>45904.0</v>
      </c>
      <c r="AE62" s="52"/>
      <c r="AF62" s="14">
        <v>45904.0</v>
      </c>
      <c r="AG62" s="22"/>
      <c r="AH62" s="22"/>
      <c r="AI62" s="22"/>
      <c r="AJ62" s="22"/>
      <c r="AK62" s="22"/>
      <c r="AL62" s="22"/>
      <c r="AM62" s="22"/>
      <c r="AN62" s="22"/>
      <c r="AO62" s="22"/>
      <c r="AP62" s="22"/>
    </row>
    <row r="63" hidden="1">
      <c r="A63" s="8">
        <v>46032.0</v>
      </c>
      <c r="B63" s="23">
        <v>0.5326388888888889</v>
      </c>
      <c r="C63" s="10" t="s">
        <v>58</v>
      </c>
      <c r="D63" s="11" t="s">
        <v>33</v>
      </c>
      <c r="E63" s="12" t="s">
        <v>34</v>
      </c>
      <c r="F63" s="12" t="s">
        <v>240</v>
      </c>
      <c r="G63" s="12" t="s">
        <v>271</v>
      </c>
      <c r="H63" s="12" t="s">
        <v>272</v>
      </c>
      <c r="I63" s="57" t="s">
        <v>273</v>
      </c>
      <c r="J63" s="14">
        <v>416.0</v>
      </c>
      <c r="K63" s="14">
        <v>288.0</v>
      </c>
      <c r="L63" s="15">
        <v>0.6923</v>
      </c>
      <c r="M63" s="45"/>
      <c r="N63" s="46"/>
      <c r="O63" s="18"/>
      <c r="P63" s="48"/>
      <c r="Q63" s="47"/>
      <c r="R63" s="19"/>
      <c r="S63" s="20"/>
      <c r="T63" s="20"/>
      <c r="U63" s="20"/>
      <c r="V63" s="21" t="s">
        <v>221</v>
      </c>
      <c r="W63" s="18" t="s">
        <v>62</v>
      </c>
      <c r="X63" s="41" t="s">
        <v>111</v>
      </c>
      <c r="Y63" s="21" t="s">
        <v>257</v>
      </c>
      <c r="Z63" s="20" t="s">
        <v>274</v>
      </c>
      <c r="AA63" s="14">
        <v>2.0</v>
      </c>
      <c r="AB63" s="14"/>
      <c r="AC63" s="14">
        <v>2.0</v>
      </c>
      <c r="AD63" s="14">
        <v>9480.0</v>
      </c>
      <c r="AE63" s="52"/>
      <c r="AF63" s="14">
        <v>9480.0</v>
      </c>
      <c r="AG63" s="22"/>
      <c r="AH63" s="22"/>
      <c r="AI63" s="22"/>
      <c r="AJ63" s="22"/>
      <c r="AK63" s="22"/>
      <c r="AL63" s="22"/>
      <c r="AM63" s="22"/>
      <c r="AN63" s="22"/>
      <c r="AO63" s="22"/>
      <c r="AP63" s="22"/>
    </row>
    <row r="64" hidden="1">
      <c r="A64" s="8">
        <v>46032.0</v>
      </c>
      <c r="B64" s="23">
        <v>0.5347222222222222</v>
      </c>
      <c r="C64" s="10" t="s">
        <v>58</v>
      </c>
      <c r="D64" s="11" t="s">
        <v>33</v>
      </c>
      <c r="E64" s="12" t="s">
        <v>34</v>
      </c>
      <c r="F64" s="12" t="s">
        <v>240</v>
      </c>
      <c r="G64" s="12" t="s">
        <v>275</v>
      </c>
      <c r="H64" s="12" t="s">
        <v>276</v>
      </c>
      <c r="I64" s="57" t="s">
        <v>277</v>
      </c>
      <c r="J64" s="14">
        <v>2019.0</v>
      </c>
      <c r="K64" s="14">
        <v>1036.0</v>
      </c>
      <c r="L64" s="15">
        <v>0.5131</v>
      </c>
      <c r="M64" s="45"/>
      <c r="N64" s="46"/>
      <c r="O64" s="18"/>
      <c r="P64" s="48"/>
      <c r="Q64" s="47"/>
      <c r="R64" s="19"/>
      <c r="S64" s="20"/>
      <c r="T64" s="20"/>
      <c r="U64" s="20"/>
      <c r="V64" s="21" t="s">
        <v>221</v>
      </c>
      <c r="W64" s="18" t="s">
        <v>62</v>
      </c>
      <c r="X64" s="41" t="s">
        <v>111</v>
      </c>
      <c r="Y64" s="21" t="s">
        <v>257</v>
      </c>
      <c r="Z64" s="20" t="s">
        <v>278</v>
      </c>
      <c r="AA64" s="14">
        <v>3.0</v>
      </c>
      <c r="AB64" s="14"/>
      <c r="AC64" s="14">
        <v>3.0</v>
      </c>
      <c r="AD64" s="14">
        <v>22469.0</v>
      </c>
      <c r="AE64" s="52"/>
      <c r="AF64" s="14">
        <v>22469.0</v>
      </c>
      <c r="AG64" s="22"/>
      <c r="AH64" s="22"/>
      <c r="AI64" s="22"/>
      <c r="AJ64" s="22"/>
      <c r="AK64" s="22"/>
      <c r="AL64" s="22"/>
      <c r="AM64" s="22"/>
      <c r="AN64" s="22"/>
      <c r="AO64" s="22"/>
      <c r="AP64" s="22"/>
    </row>
    <row r="65" hidden="1">
      <c r="A65" s="8">
        <v>46032.0</v>
      </c>
      <c r="B65" s="23">
        <v>0.5361111111111111</v>
      </c>
      <c r="C65" s="10" t="s">
        <v>58</v>
      </c>
      <c r="D65" s="11" t="s">
        <v>33</v>
      </c>
      <c r="E65" s="12" t="s">
        <v>34</v>
      </c>
      <c r="F65" s="12" t="s">
        <v>240</v>
      </c>
      <c r="G65" s="12" t="s">
        <v>279</v>
      </c>
      <c r="H65" s="12" t="s">
        <v>280</v>
      </c>
      <c r="I65" s="57" t="s">
        <v>281</v>
      </c>
      <c r="J65" s="14">
        <v>4261.0</v>
      </c>
      <c r="K65" s="14">
        <v>2702.0</v>
      </c>
      <c r="L65" s="15">
        <v>0.6341</v>
      </c>
      <c r="M65" s="45"/>
      <c r="N65" s="46"/>
      <c r="O65" s="18"/>
      <c r="P65" s="48"/>
      <c r="Q65" s="47"/>
      <c r="R65" s="19"/>
      <c r="S65" s="20"/>
      <c r="T65" s="20"/>
      <c r="U65" s="20"/>
      <c r="V65" s="21" t="s">
        <v>221</v>
      </c>
      <c r="W65" s="18" t="s">
        <v>62</v>
      </c>
      <c r="X65" s="41" t="s">
        <v>111</v>
      </c>
      <c r="Y65" s="21" t="s">
        <v>257</v>
      </c>
      <c r="Z65" s="20" t="s">
        <v>282</v>
      </c>
      <c r="AA65" s="14">
        <v>8.0</v>
      </c>
      <c r="AB65" s="14"/>
      <c r="AC65" s="14">
        <v>8.0</v>
      </c>
      <c r="AD65" s="14">
        <v>82356.0</v>
      </c>
      <c r="AE65" s="52"/>
      <c r="AF65" s="14">
        <v>82356.0</v>
      </c>
      <c r="AG65" s="22"/>
      <c r="AH65" s="22"/>
      <c r="AI65" s="22"/>
      <c r="AJ65" s="22"/>
      <c r="AK65" s="22"/>
      <c r="AL65" s="22"/>
      <c r="AM65" s="22"/>
      <c r="AN65" s="22"/>
      <c r="AO65" s="22"/>
      <c r="AP65" s="22"/>
    </row>
    <row r="66" hidden="1">
      <c r="A66" s="8">
        <v>46032.0</v>
      </c>
      <c r="B66" s="23">
        <v>0.5375</v>
      </c>
      <c r="C66" s="10" t="s">
        <v>58</v>
      </c>
      <c r="D66" s="11" t="s">
        <v>33</v>
      </c>
      <c r="E66" s="12" t="s">
        <v>34</v>
      </c>
      <c r="F66" s="12" t="s">
        <v>240</v>
      </c>
      <c r="G66" s="12" t="s">
        <v>283</v>
      </c>
      <c r="H66" s="12" t="s">
        <v>284</v>
      </c>
      <c r="I66" s="57" t="s">
        <v>285</v>
      </c>
      <c r="J66" s="14">
        <v>1484.0</v>
      </c>
      <c r="K66" s="14">
        <v>741.0</v>
      </c>
      <c r="L66" s="15">
        <v>0.4993</v>
      </c>
      <c r="M66" s="45"/>
      <c r="N66" s="46"/>
      <c r="O66" s="18"/>
      <c r="P66" s="48"/>
      <c r="Q66" s="47"/>
      <c r="R66" s="19"/>
      <c r="S66" s="20"/>
      <c r="T66" s="20"/>
      <c r="U66" s="20"/>
      <c r="V66" s="21" t="s">
        <v>221</v>
      </c>
      <c r="W66" s="18" t="s">
        <v>62</v>
      </c>
      <c r="X66" s="41" t="s">
        <v>111</v>
      </c>
      <c r="Y66" s="21" t="s">
        <v>257</v>
      </c>
      <c r="Z66" s="20" t="s">
        <v>286</v>
      </c>
      <c r="AA66" s="14">
        <v>1.0</v>
      </c>
      <c r="AB66" s="14"/>
      <c r="AC66" s="14">
        <v>1.0</v>
      </c>
      <c r="AD66" s="14">
        <v>5990.0</v>
      </c>
      <c r="AE66" s="52"/>
      <c r="AF66" s="14">
        <v>5990.0</v>
      </c>
      <c r="AG66" s="22"/>
      <c r="AH66" s="22"/>
      <c r="AI66" s="22"/>
      <c r="AJ66" s="22"/>
      <c r="AK66" s="22"/>
      <c r="AL66" s="22"/>
      <c r="AM66" s="22"/>
      <c r="AN66" s="22"/>
      <c r="AO66" s="22"/>
      <c r="AP66" s="22"/>
    </row>
    <row r="67" hidden="1">
      <c r="A67" s="8">
        <v>46032.0</v>
      </c>
      <c r="B67" s="23">
        <v>0.5395833333333333</v>
      </c>
      <c r="C67" s="10" t="s">
        <v>58</v>
      </c>
      <c r="D67" s="11" t="s">
        <v>33</v>
      </c>
      <c r="E67" s="12" t="s">
        <v>34</v>
      </c>
      <c r="F67" s="12" t="s">
        <v>240</v>
      </c>
      <c r="G67" s="12" t="s">
        <v>287</v>
      </c>
      <c r="H67" s="12" t="s">
        <v>288</v>
      </c>
      <c r="I67" s="57" t="s">
        <v>289</v>
      </c>
      <c r="J67" s="14">
        <v>4068.0</v>
      </c>
      <c r="K67" s="14">
        <v>2772.0</v>
      </c>
      <c r="L67" s="15">
        <v>0.6814</v>
      </c>
      <c r="M67" s="45"/>
      <c r="N67" s="46"/>
      <c r="O67" s="18"/>
      <c r="P67" s="48"/>
      <c r="Q67" s="47"/>
      <c r="R67" s="19"/>
      <c r="S67" s="20"/>
      <c r="T67" s="20"/>
      <c r="U67" s="20"/>
      <c r="V67" s="21" t="s">
        <v>221</v>
      </c>
      <c r="W67" s="18" t="s">
        <v>62</v>
      </c>
      <c r="X67" s="41" t="s">
        <v>111</v>
      </c>
      <c r="Y67" s="21" t="s">
        <v>257</v>
      </c>
      <c r="Z67" s="20" t="s">
        <v>290</v>
      </c>
      <c r="AA67" s="14">
        <v>6.0</v>
      </c>
      <c r="AB67" s="14"/>
      <c r="AC67" s="14">
        <v>6.0</v>
      </c>
      <c r="AD67" s="14">
        <v>40863.0</v>
      </c>
      <c r="AE67" s="52"/>
      <c r="AF67" s="14">
        <v>40863.0</v>
      </c>
      <c r="AG67" s="22"/>
      <c r="AH67" s="22"/>
      <c r="AI67" s="22"/>
      <c r="AJ67" s="22"/>
      <c r="AK67" s="22"/>
      <c r="AL67" s="22"/>
      <c r="AM67" s="22"/>
      <c r="AN67" s="22"/>
      <c r="AO67" s="22"/>
      <c r="AP67" s="22"/>
    </row>
    <row r="68" hidden="1">
      <c r="A68" s="8">
        <v>46032.0</v>
      </c>
      <c r="B68" s="23">
        <v>0.5409722222222222</v>
      </c>
      <c r="C68" s="10" t="s">
        <v>58</v>
      </c>
      <c r="D68" s="11" t="s">
        <v>33</v>
      </c>
      <c r="E68" s="12" t="s">
        <v>34</v>
      </c>
      <c r="F68" s="12" t="s">
        <v>240</v>
      </c>
      <c r="G68" s="12" t="s">
        <v>291</v>
      </c>
      <c r="H68" s="12" t="s">
        <v>292</v>
      </c>
      <c r="I68" s="57" t="s">
        <v>293</v>
      </c>
      <c r="J68" s="14">
        <v>2982.0</v>
      </c>
      <c r="K68" s="14">
        <v>1435.0</v>
      </c>
      <c r="L68" s="15">
        <v>0.4812</v>
      </c>
      <c r="M68" s="45"/>
      <c r="N68" s="46"/>
      <c r="O68" s="18"/>
      <c r="P68" s="48"/>
      <c r="Q68" s="47"/>
      <c r="R68" s="19"/>
      <c r="S68" s="20"/>
      <c r="T68" s="20"/>
      <c r="U68" s="20"/>
      <c r="V68" s="21" t="s">
        <v>221</v>
      </c>
      <c r="W68" s="18" t="s">
        <v>62</v>
      </c>
      <c r="X68" s="41" t="s">
        <v>111</v>
      </c>
      <c r="Y68" s="21" t="s">
        <v>257</v>
      </c>
      <c r="Z68" s="20" t="s">
        <v>294</v>
      </c>
      <c r="AA68" s="14">
        <v>7.0</v>
      </c>
      <c r="AB68" s="14"/>
      <c r="AC68" s="14">
        <v>7.0</v>
      </c>
      <c r="AD68" s="14">
        <v>42992.0</v>
      </c>
      <c r="AE68" s="52"/>
      <c r="AF68" s="14">
        <v>42992.0</v>
      </c>
      <c r="AG68" s="22"/>
      <c r="AH68" s="22"/>
      <c r="AI68" s="22"/>
      <c r="AJ68" s="22"/>
      <c r="AK68" s="22"/>
      <c r="AL68" s="22"/>
      <c r="AM68" s="22"/>
      <c r="AN68" s="22"/>
      <c r="AO68" s="22"/>
      <c r="AP68" s="22"/>
    </row>
    <row r="69" hidden="1">
      <c r="A69" s="8">
        <v>46032.0</v>
      </c>
      <c r="B69" s="23">
        <v>0.5430555555555555</v>
      </c>
      <c r="C69" s="10" t="s">
        <v>58</v>
      </c>
      <c r="D69" s="11" t="s">
        <v>33</v>
      </c>
      <c r="E69" s="12" t="s">
        <v>34</v>
      </c>
      <c r="F69" s="12" t="s">
        <v>240</v>
      </c>
      <c r="G69" s="12" t="s">
        <v>295</v>
      </c>
      <c r="H69" s="12" t="s">
        <v>296</v>
      </c>
      <c r="I69" s="57" t="s">
        <v>297</v>
      </c>
      <c r="J69" s="14">
        <v>219.0</v>
      </c>
      <c r="K69" s="14">
        <v>137.0</v>
      </c>
      <c r="L69" s="15">
        <v>0.6256</v>
      </c>
      <c r="M69" s="45"/>
      <c r="N69" s="46"/>
      <c r="O69" s="18"/>
      <c r="P69" s="48"/>
      <c r="Q69" s="47"/>
      <c r="R69" s="19"/>
      <c r="S69" s="20"/>
      <c r="T69" s="20"/>
      <c r="U69" s="20"/>
      <c r="V69" s="21" t="s">
        <v>221</v>
      </c>
      <c r="W69" s="18" t="s">
        <v>62</v>
      </c>
      <c r="X69" s="21" t="s">
        <v>111</v>
      </c>
      <c r="Y69" s="21" t="s">
        <v>257</v>
      </c>
      <c r="Z69" s="20" t="s">
        <v>298</v>
      </c>
      <c r="AA69" s="14">
        <v>0.0</v>
      </c>
      <c r="AB69" s="14"/>
      <c r="AC69" s="14">
        <v>0.0</v>
      </c>
      <c r="AD69" s="18">
        <v>0.0</v>
      </c>
      <c r="AE69" s="52"/>
      <c r="AF69" s="18">
        <v>0.0</v>
      </c>
      <c r="AG69" s="22"/>
      <c r="AH69" s="22"/>
      <c r="AI69" s="22"/>
      <c r="AJ69" s="22"/>
      <c r="AK69" s="22"/>
      <c r="AL69" s="22"/>
      <c r="AM69" s="22"/>
      <c r="AN69" s="22"/>
      <c r="AO69" s="22"/>
      <c r="AP69" s="22"/>
    </row>
    <row r="70" hidden="1">
      <c r="A70" s="8">
        <v>46032.0</v>
      </c>
      <c r="B70" s="23">
        <v>0.5451388888888888</v>
      </c>
      <c r="C70" s="10" t="s">
        <v>58</v>
      </c>
      <c r="D70" s="11" t="s">
        <v>33</v>
      </c>
      <c r="E70" s="12" t="s">
        <v>34</v>
      </c>
      <c r="F70" s="12" t="s">
        <v>240</v>
      </c>
      <c r="G70" s="12" t="s">
        <v>299</v>
      </c>
      <c r="H70" s="12" t="s">
        <v>300</v>
      </c>
      <c r="I70" s="57" t="s">
        <v>301</v>
      </c>
      <c r="J70" s="14">
        <v>3598.0</v>
      </c>
      <c r="K70" s="14">
        <v>1852.0</v>
      </c>
      <c r="L70" s="15">
        <v>0.5147</v>
      </c>
      <c r="M70" s="45"/>
      <c r="N70" s="46"/>
      <c r="O70" s="18"/>
      <c r="P70" s="48"/>
      <c r="Q70" s="47"/>
      <c r="R70" s="19"/>
      <c r="S70" s="20"/>
      <c r="T70" s="20">
        <v>1.0</v>
      </c>
      <c r="U70" s="20"/>
      <c r="V70" s="21" t="s">
        <v>221</v>
      </c>
      <c r="W70" s="18" t="s">
        <v>62</v>
      </c>
      <c r="X70" s="41" t="s">
        <v>111</v>
      </c>
      <c r="Y70" s="21" t="s">
        <v>257</v>
      </c>
      <c r="Z70" s="20" t="s">
        <v>302</v>
      </c>
      <c r="AA70" s="14">
        <v>1.0</v>
      </c>
      <c r="AB70" s="14"/>
      <c r="AC70" s="14">
        <v>1.0</v>
      </c>
      <c r="AD70" s="14">
        <v>6490.0</v>
      </c>
      <c r="AE70" s="52"/>
      <c r="AF70" s="14">
        <v>6490.0</v>
      </c>
      <c r="AG70" s="22"/>
      <c r="AH70" s="22"/>
      <c r="AI70" s="22"/>
      <c r="AJ70" s="22"/>
      <c r="AK70" s="22"/>
      <c r="AL70" s="22"/>
      <c r="AM70" s="22"/>
      <c r="AN70" s="22"/>
      <c r="AO70" s="22"/>
      <c r="AP70" s="22"/>
    </row>
    <row r="71" hidden="1">
      <c r="A71" s="8">
        <v>46032.0</v>
      </c>
      <c r="B71" s="23">
        <v>0.5465277777777777</v>
      </c>
      <c r="C71" s="10" t="s">
        <v>58</v>
      </c>
      <c r="D71" s="11" t="s">
        <v>33</v>
      </c>
      <c r="E71" s="12" t="s">
        <v>34</v>
      </c>
      <c r="F71" s="12" t="s">
        <v>240</v>
      </c>
      <c r="G71" s="12" t="s">
        <v>303</v>
      </c>
      <c r="H71" s="12" t="s">
        <v>304</v>
      </c>
      <c r="I71" s="57" t="s">
        <v>305</v>
      </c>
      <c r="J71" s="14">
        <v>4611.0</v>
      </c>
      <c r="K71" s="14">
        <v>2685.0</v>
      </c>
      <c r="L71" s="15">
        <v>0.5823</v>
      </c>
      <c r="M71" s="45"/>
      <c r="N71" s="46"/>
      <c r="O71" s="18"/>
      <c r="P71" s="48"/>
      <c r="Q71" s="47"/>
      <c r="R71" s="19"/>
      <c r="S71" s="20"/>
      <c r="T71" s="20"/>
      <c r="U71" s="20"/>
      <c r="V71" s="21" t="s">
        <v>221</v>
      </c>
      <c r="W71" s="18" t="s">
        <v>62</v>
      </c>
      <c r="X71" s="41" t="s">
        <v>111</v>
      </c>
      <c r="Y71" s="21" t="s">
        <v>257</v>
      </c>
      <c r="Z71" s="20" t="s">
        <v>306</v>
      </c>
      <c r="AA71" s="14">
        <v>4.0</v>
      </c>
      <c r="AB71" s="14"/>
      <c r="AC71" s="14">
        <v>4.0</v>
      </c>
      <c r="AD71" s="14">
        <v>33477.0</v>
      </c>
      <c r="AE71" s="52"/>
      <c r="AF71" s="14">
        <v>33477.0</v>
      </c>
      <c r="AG71" s="22"/>
      <c r="AH71" s="22"/>
      <c r="AI71" s="22"/>
      <c r="AJ71" s="22"/>
      <c r="AK71" s="22"/>
      <c r="AL71" s="22"/>
      <c r="AM71" s="22"/>
      <c r="AN71" s="22"/>
      <c r="AO71" s="22"/>
      <c r="AP71" s="22"/>
    </row>
    <row r="72" hidden="1">
      <c r="A72" s="8">
        <v>46032.0</v>
      </c>
      <c r="B72" s="23">
        <v>0.5472222222222223</v>
      </c>
      <c r="C72" s="10" t="s">
        <v>58</v>
      </c>
      <c r="D72" s="11" t="s">
        <v>33</v>
      </c>
      <c r="E72" s="12" t="s">
        <v>34</v>
      </c>
      <c r="F72" s="12" t="s">
        <v>240</v>
      </c>
      <c r="G72" s="12" t="s">
        <v>307</v>
      </c>
      <c r="H72" s="12" t="s">
        <v>308</v>
      </c>
      <c r="I72" s="57" t="s">
        <v>309</v>
      </c>
      <c r="J72" s="14">
        <v>1297.0</v>
      </c>
      <c r="K72" s="14">
        <v>727.0</v>
      </c>
      <c r="L72" s="15">
        <v>0.5605</v>
      </c>
      <c r="M72" s="45"/>
      <c r="N72" s="46"/>
      <c r="O72" s="18"/>
      <c r="P72" s="48"/>
      <c r="Q72" s="47"/>
      <c r="R72" s="19"/>
      <c r="S72" s="20"/>
      <c r="T72" s="20"/>
      <c r="U72" s="20"/>
      <c r="V72" s="21" t="s">
        <v>221</v>
      </c>
      <c r="W72" s="18" t="s">
        <v>62</v>
      </c>
      <c r="X72" s="41" t="s">
        <v>111</v>
      </c>
      <c r="Y72" s="21" t="s">
        <v>257</v>
      </c>
      <c r="Z72" s="20" t="s">
        <v>310</v>
      </c>
      <c r="AA72" s="14">
        <v>3.0</v>
      </c>
      <c r="AB72" s="14"/>
      <c r="AC72" s="14">
        <v>3.0</v>
      </c>
      <c r="AD72" s="14">
        <v>20802.0</v>
      </c>
      <c r="AE72" s="52"/>
      <c r="AF72" s="14">
        <v>20802.0</v>
      </c>
      <c r="AG72" s="22"/>
      <c r="AH72" s="22"/>
      <c r="AI72" s="22"/>
      <c r="AJ72" s="22"/>
      <c r="AK72" s="22"/>
      <c r="AL72" s="22"/>
      <c r="AM72" s="22"/>
      <c r="AN72" s="22"/>
      <c r="AO72" s="22"/>
      <c r="AP72" s="22"/>
    </row>
    <row r="73" hidden="1">
      <c r="A73" s="8">
        <v>46036.0</v>
      </c>
      <c r="B73" s="23">
        <v>0.4166666666666667</v>
      </c>
      <c r="C73" s="10" t="s">
        <v>32</v>
      </c>
      <c r="D73" s="11" t="s">
        <v>33</v>
      </c>
      <c r="E73" s="12" t="s">
        <v>106</v>
      </c>
      <c r="F73" s="12" t="s">
        <v>311</v>
      </c>
      <c r="G73" s="12" t="s">
        <v>312</v>
      </c>
      <c r="H73" s="12" t="s">
        <v>313</v>
      </c>
      <c r="I73" s="57" t="s">
        <v>314</v>
      </c>
      <c r="J73" s="14">
        <v>23677.0</v>
      </c>
      <c r="K73" s="14">
        <v>7499.0</v>
      </c>
      <c r="L73" s="15">
        <v>0.3167</v>
      </c>
      <c r="M73" s="16">
        <v>2640.0</v>
      </c>
      <c r="N73" s="17">
        <v>0.3519</v>
      </c>
      <c r="O73" s="18">
        <v>160.0</v>
      </c>
      <c r="P73" s="18">
        <v>151.0</v>
      </c>
      <c r="Q73" s="19">
        <v>0.0201</v>
      </c>
      <c r="R73" s="19">
        <v>0.0572</v>
      </c>
      <c r="S73" s="20"/>
      <c r="T73" s="20"/>
      <c r="U73" s="20"/>
      <c r="V73" s="21" t="s">
        <v>315</v>
      </c>
      <c r="W73" s="18" t="s">
        <v>76</v>
      </c>
      <c r="X73" s="54" t="s">
        <v>41</v>
      </c>
      <c r="Y73" s="21" t="s">
        <v>316</v>
      </c>
      <c r="Z73" s="20" t="s">
        <v>317</v>
      </c>
      <c r="AA73" s="18">
        <v>36.0</v>
      </c>
      <c r="AB73" s="18"/>
      <c r="AC73" s="18">
        <v>36.0</v>
      </c>
      <c r="AD73" s="14">
        <v>637038.0</v>
      </c>
      <c r="AE73" s="52"/>
      <c r="AF73" s="14">
        <v>637038.0</v>
      </c>
      <c r="AG73" s="22"/>
      <c r="AH73" s="22"/>
      <c r="AI73" s="22"/>
      <c r="AJ73" s="22"/>
      <c r="AK73" s="22"/>
      <c r="AL73" s="22"/>
      <c r="AM73" s="22"/>
      <c r="AN73" s="22"/>
      <c r="AO73" s="22"/>
      <c r="AP73" s="22"/>
    </row>
    <row r="74" hidden="1">
      <c r="A74" s="8">
        <v>46036.0</v>
      </c>
      <c r="B74" s="23">
        <v>0.4166666666666667</v>
      </c>
      <c r="C74" s="10" t="s">
        <v>32</v>
      </c>
      <c r="D74" s="11" t="s">
        <v>33</v>
      </c>
      <c r="E74" s="12" t="s">
        <v>106</v>
      </c>
      <c r="F74" s="12" t="s">
        <v>311</v>
      </c>
      <c r="G74" s="12" t="s">
        <v>318</v>
      </c>
      <c r="H74" s="12" t="s">
        <v>319</v>
      </c>
      <c r="I74" s="57" t="s">
        <v>320</v>
      </c>
      <c r="J74" s="14">
        <v>22590.0</v>
      </c>
      <c r="K74" s="14">
        <v>8248.0</v>
      </c>
      <c r="L74" s="15">
        <v>0.3651</v>
      </c>
      <c r="M74" s="16">
        <v>2902.0</v>
      </c>
      <c r="N74" s="17">
        <v>0.3516</v>
      </c>
      <c r="O74" s="18">
        <v>112.0</v>
      </c>
      <c r="P74" s="18">
        <v>104.0</v>
      </c>
      <c r="Q74" s="19">
        <v>0.0126</v>
      </c>
      <c r="R74" s="19">
        <v>0.0359</v>
      </c>
      <c r="S74" s="20"/>
      <c r="T74" s="20"/>
      <c r="U74" s="20"/>
      <c r="V74" s="21" t="s">
        <v>315</v>
      </c>
      <c r="W74" s="18" t="s">
        <v>76</v>
      </c>
      <c r="X74" s="54" t="s">
        <v>41</v>
      </c>
      <c r="Y74" s="21" t="s">
        <v>316</v>
      </c>
      <c r="Z74" s="20" t="s">
        <v>321</v>
      </c>
      <c r="AA74" s="18">
        <v>37.0</v>
      </c>
      <c r="AB74" s="18"/>
      <c r="AC74" s="18">
        <v>37.0</v>
      </c>
      <c r="AD74" s="14">
        <v>457752.0</v>
      </c>
      <c r="AE74" s="52"/>
      <c r="AF74" s="14">
        <v>457752.0</v>
      </c>
      <c r="AG74" s="22"/>
      <c r="AH74" s="22"/>
      <c r="AI74" s="22"/>
      <c r="AJ74" s="22"/>
      <c r="AK74" s="22"/>
      <c r="AL74" s="22"/>
      <c r="AM74" s="22"/>
      <c r="AN74" s="22"/>
      <c r="AO74" s="22"/>
      <c r="AP74" s="22"/>
    </row>
    <row r="75" hidden="1">
      <c r="A75" s="8">
        <v>46036.0</v>
      </c>
      <c r="B75" s="23">
        <v>0.4166666666666667</v>
      </c>
      <c r="C75" s="10" t="s">
        <v>32</v>
      </c>
      <c r="D75" s="11" t="s">
        <v>33</v>
      </c>
      <c r="E75" s="12" t="s">
        <v>106</v>
      </c>
      <c r="F75" s="12" t="s">
        <v>311</v>
      </c>
      <c r="G75" s="12" t="s">
        <v>322</v>
      </c>
      <c r="H75" s="12" t="s">
        <v>323</v>
      </c>
      <c r="I75" s="57" t="s">
        <v>324</v>
      </c>
      <c r="J75" s="14">
        <v>84931.0</v>
      </c>
      <c r="K75" s="14">
        <v>32706.0</v>
      </c>
      <c r="L75" s="15">
        <v>0.3851</v>
      </c>
      <c r="M75" s="16">
        <v>11976.0</v>
      </c>
      <c r="N75" s="17">
        <v>0.366</v>
      </c>
      <c r="O75" s="18">
        <v>484.0</v>
      </c>
      <c r="P75" s="18">
        <v>466.0</v>
      </c>
      <c r="Q75" s="19">
        <v>0.0142</v>
      </c>
      <c r="R75" s="19">
        <v>0.0389</v>
      </c>
      <c r="S75" s="20"/>
      <c r="T75" s="20"/>
      <c r="U75" s="20"/>
      <c r="V75" s="21" t="s">
        <v>315</v>
      </c>
      <c r="W75" s="18" t="s">
        <v>76</v>
      </c>
      <c r="X75" s="54" t="s">
        <v>41</v>
      </c>
      <c r="Y75" s="21" t="s">
        <v>316</v>
      </c>
      <c r="Z75" s="20" t="s">
        <v>325</v>
      </c>
      <c r="AA75" s="18">
        <v>93.0</v>
      </c>
      <c r="AB75" s="18"/>
      <c r="AC75" s="18">
        <v>93.0</v>
      </c>
      <c r="AD75" s="14">
        <v>1087993.0</v>
      </c>
      <c r="AE75" s="14"/>
      <c r="AF75" s="14">
        <v>1087993.0</v>
      </c>
      <c r="AG75" s="22"/>
      <c r="AH75" s="22"/>
      <c r="AI75" s="22"/>
      <c r="AJ75" s="22"/>
      <c r="AK75" s="22"/>
      <c r="AL75" s="22"/>
      <c r="AM75" s="22"/>
      <c r="AN75" s="22"/>
      <c r="AO75" s="22"/>
      <c r="AP75" s="22"/>
    </row>
    <row r="76" hidden="1">
      <c r="A76" s="8">
        <v>46036.0</v>
      </c>
      <c r="B76" s="23">
        <v>0.5</v>
      </c>
      <c r="C76" s="10" t="s">
        <v>58</v>
      </c>
      <c r="D76" s="11" t="s">
        <v>59</v>
      </c>
      <c r="E76" s="12" t="s">
        <v>106</v>
      </c>
      <c r="F76" s="12" t="s">
        <v>311</v>
      </c>
      <c r="G76" s="12" t="s">
        <v>326</v>
      </c>
      <c r="H76" s="12" t="s">
        <v>319</v>
      </c>
      <c r="I76" s="57" t="s">
        <v>61</v>
      </c>
      <c r="J76" s="14">
        <v>14024.0</v>
      </c>
      <c r="K76" s="14">
        <v>8167.0</v>
      </c>
      <c r="L76" s="15">
        <v>0.5824</v>
      </c>
      <c r="M76" s="16"/>
      <c r="N76" s="17"/>
      <c r="O76" s="18">
        <v>0.0</v>
      </c>
      <c r="P76" s="18"/>
      <c r="Q76" s="19">
        <v>0.0</v>
      </c>
      <c r="R76" s="19"/>
      <c r="S76" s="20"/>
      <c r="T76" s="20"/>
      <c r="U76" s="20"/>
      <c r="V76" s="21" t="s">
        <v>315</v>
      </c>
      <c r="W76" s="18" t="s">
        <v>62</v>
      </c>
      <c r="X76" s="54" t="s">
        <v>41</v>
      </c>
      <c r="Y76" s="21" t="s">
        <v>316</v>
      </c>
      <c r="Z76" s="20" t="s">
        <v>327</v>
      </c>
      <c r="AA76" s="18">
        <v>48.0</v>
      </c>
      <c r="AB76" s="18"/>
      <c r="AC76" s="18">
        <v>48.0</v>
      </c>
      <c r="AD76" s="14">
        <v>642736.0</v>
      </c>
      <c r="AE76" s="14"/>
      <c r="AF76" s="14">
        <v>642736.0</v>
      </c>
      <c r="AG76" s="22"/>
      <c r="AH76" s="22"/>
      <c r="AI76" s="22"/>
      <c r="AJ76" s="22"/>
      <c r="AK76" s="22"/>
      <c r="AL76" s="22"/>
      <c r="AM76" s="22"/>
      <c r="AN76" s="22"/>
      <c r="AO76" s="22"/>
      <c r="AP76" s="22"/>
    </row>
    <row r="77" hidden="1">
      <c r="A77" s="8">
        <v>46036.0</v>
      </c>
      <c r="B77" s="23">
        <v>0.5</v>
      </c>
      <c r="C77" s="10" t="s">
        <v>58</v>
      </c>
      <c r="D77" s="11" t="s">
        <v>59</v>
      </c>
      <c r="E77" s="12" t="s">
        <v>106</v>
      </c>
      <c r="F77" s="12" t="s">
        <v>311</v>
      </c>
      <c r="G77" s="12" t="s">
        <v>328</v>
      </c>
      <c r="H77" s="12" t="s">
        <v>313</v>
      </c>
      <c r="I77" s="57" t="s">
        <v>61</v>
      </c>
      <c r="J77" s="14">
        <v>15806.0</v>
      </c>
      <c r="K77" s="14">
        <v>7968.0</v>
      </c>
      <c r="L77" s="15">
        <v>0.5041</v>
      </c>
      <c r="M77" s="16"/>
      <c r="N77" s="17"/>
      <c r="O77" s="18">
        <v>0.0</v>
      </c>
      <c r="P77" s="18"/>
      <c r="Q77" s="19">
        <v>0.0</v>
      </c>
      <c r="R77" s="19"/>
      <c r="S77" s="20"/>
      <c r="T77" s="20"/>
      <c r="U77" s="20"/>
      <c r="V77" s="21" t="s">
        <v>315</v>
      </c>
      <c r="W77" s="18" t="s">
        <v>62</v>
      </c>
      <c r="X77" s="54" t="s">
        <v>41</v>
      </c>
      <c r="Y77" s="21" t="s">
        <v>316</v>
      </c>
      <c r="Z77" s="20" t="s">
        <v>329</v>
      </c>
      <c r="AA77" s="18">
        <v>46.0</v>
      </c>
      <c r="AB77" s="18"/>
      <c r="AC77" s="18">
        <v>46.0</v>
      </c>
      <c r="AD77" s="14">
        <v>636937.0</v>
      </c>
      <c r="AE77" s="14"/>
      <c r="AF77" s="14">
        <v>636937.0</v>
      </c>
      <c r="AG77" s="22"/>
      <c r="AH77" s="22"/>
      <c r="AI77" s="22"/>
      <c r="AJ77" s="22"/>
      <c r="AK77" s="22"/>
      <c r="AL77" s="22"/>
      <c r="AM77" s="22"/>
      <c r="AN77" s="22"/>
      <c r="AO77" s="22"/>
      <c r="AP77" s="22"/>
    </row>
    <row r="78" hidden="1">
      <c r="A78" s="8">
        <v>46036.0</v>
      </c>
      <c r="B78" s="23">
        <v>0.5</v>
      </c>
      <c r="C78" s="10" t="s">
        <v>58</v>
      </c>
      <c r="D78" s="11" t="s">
        <v>59</v>
      </c>
      <c r="E78" s="12" t="s">
        <v>106</v>
      </c>
      <c r="F78" s="12" t="s">
        <v>311</v>
      </c>
      <c r="G78" s="12" t="s">
        <v>330</v>
      </c>
      <c r="H78" s="12" t="s">
        <v>323</v>
      </c>
      <c r="I78" s="57" t="s">
        <v>61</v>
      </c>
      <c r="J78" s="14">
        <v>50944.0</v>
      </c>
      <c r="K78" s="14">
        <v>29000.0</v>
      </c>
      <c r="L78" s="15">
        <v>0.5693</v>
      </c>
      <c r="M78" s="16"/>
      <c r="N78" s="17"/>
      <c r="O78" s="18">
        <v>0.0</v>
      </c>
      <c r="P78" s="18"/>
      <c r="Q78" s="19">
        <v>0.0</v>
      </c>
      <c r="R78" s="19"/>
      <c r="S78" s="20"/>
      <c r="T78" s="20"/>
      <c r="U78" s="20"/>
      <c r="V78" s="21" t="s">
        <v>315</v>
      </c>
      <c r="W78" s="18" t="s">
        <v>62</v>
      </c>
      <c r="X78" s="54" t="s">
        <v>41</v>
      </c>
      <c r="Y78" s="21" t="s">
        <v>316</v>
      </c>
      <c r="Z78" s="20" t="s">
        <v>331</v>
      </c>
      <c r="AA78" s="18">
        <v>120.0</v>
      </c>
      <c r="AB78" s="18"/>
      <c r="AC78" s="18">
        <v>120.0</v>
      </c>
      <c r="AD78" s="14">
        <v>1549256.0</v>
      </c>
      <c r="AE78" s="14"/>
      <c r="AF78" s="14">
        <v>1549256.0</v>
      </c>
      <c r="AG78" s="22"/>
      <c r="AH78" s="22"/>
      <c r="AI78" s="22"/>
      <c r="AJ78" s="22"/>
      <c r="AK78" s="22"/>
      <c r="AL78" s="22"/>
      <c r="AM78" s="22"/>
      <c r="AN78" s="22"/>
      <c r="AO78" s="22"/>
      <c r="AP78" s="22"/>
    </row>
    <row r="79" hidden="1">
      <c r="A79" s="8">
        <v>46036.0</v>
      </c>
      <c r="B79" s="23">
        <v>0.8333333333333334</v>
      </c>
      <c r="C79" s="10" t="s">
        <v>58</v>
      </c>
      <c r="D79" s="11" t="s">
        <v>59</v>
      </c>
      <c r="E79" s="12" t="s">
        <v>71</v>
      </c>
      <c r="F79" s="12" t="s">
        <v>332</v>
      </c>
      <c r="G79" s="12" t="s">
        <v>333</v>
      </c>
      <c r="H79" s="12" t="s">
        <v>334</v>
      </c>
      <c r="I79" s="57" t="s">
        <v>61</v>
      </c>
      <c r="J79" s="14">
        <v>10003.0</v>
      </c>
      <c r="K79" s="14">
        <v>4922.0</v>
      </c>
      <c r="L79" s="15">
        <v>0.4921</v>
      </c>
      <c r="M79" s="16"/>
      <c r="N79" s="17"/>
      <c r="O79" s="18">
        <v>24.0</v>
      </c>
      <c r="P79" s="18"/>
      <c r="Q79" s="19">
        <v>0.0049</v>
      </c>
      <c r="R79" s="19"/>
      <c r="S79" s="20">
        <v>11.0</v>
      </c>
      <c r="T79" s="20">
        <v>25.0</v>
      </c>
      <c r="U79" s="20">
        <v>30963.0</v>
      </c>
      <c r="V79" s="21" t="s">
        <v>335</v>
      </c>
      <c r="W79" s="18" t="s">
        <v>62</v>
      </c>
      <c r="X79" s="41" t="s">
        <v>165</v>
      </c>
      <c r="Y79" s="21" t="s">
        <v>336</v>
      </c>
      <c r="Z79" s="20" t="s">
        <v>337</v>
      </c>
      <c r="AA79" s="60">
        <v>60.0</v>
      </c>
      <c r="AB79" s="60">
        <v>60.0</v>
      </c>
      <c r="AC79" s="52"/>
      <c r="AD79" s="61">
        <v>177522.0</v>
      </c>
      <c r="AE79" s="61">
        <v>177522.0</v>
      </c>
      <c r="AF79" s="52"/>
      <c r="AG79" s="22"/>
      <c r="AH79" s="22"/>
      <c r="AI79" s="22"/>
      <c r="AJ79" s="22"/>
      <c r="AK79" s="22"/>
      <c r="AL79" s="22"/>
      <c r="AM79" s="22"/>
      <c r="AN79" s="22"/>
      <c r="AO79" s="22"/>
      <c r="AP79" s="22"/>
    </row>
    <row r="80" hidden="1">
      <c r="A80" s="8">
        <v>46036.0</v>
      </c>
      <c r="B80" s="23">
        <v>0.75</v>
      </c>
      <c r="C80" s="10" t="s">
        <v>196</v>
      </c>
      <c r="D80" s="11" t="s">
        <v>33</v>
      </c>
      <c r="E80" s="12" t="s">
        <v>71</v>
      </c>
      <c r="F80" s="12" t="s">
        <v>332</v>
      </c>
      <c r="G80" s="12" t="s">
        <v>338</v>
      </c>
      <c r="H80" s="12" t="s">
        <v>339</v>
      </c>
      <c r="I80" s="57" t="s">
        <v>340</v>
      </c>
      <c r="J80" s="14">
        <v>53878.0</v>
      </c>
      <c r="K80" s="14">
        <v>13699.0</v>
      </c>
      <c r="L80" s="15">
        <v>0.2543</v>
      </c>
      <c r="M80" s="16">
        <v>1762.0</v>
      </c>
      <c r="N80" s="17">
        <v>0.129</v>
      </c>
      <c r="O80" s="18">
        <v>79.0</v>
      </c>
      <c r="P80" s="18"/>
      <c r="Q80" s="19">
        <v>0.0058</v>
      </c>
      <c r="R80" s="19"/>
      <c r="S80" s="20">
        <v>2.0</v>
      </c>
      <c r="T80" s="20">
        <v>12.0</v>
      </c>
      <c r="U80" s="20">
        <v>8899.0</v>
      </c>
      <c r="V80" s="21" t="s">
        <v>335</v>
      </c>
      <c r="W80" s="18" t="s">
        <v>95</v>
      </c>
      <c r="X80" s="41" t="s">
        <v>69</v>
      </c>
      <c r="Y80" s="21" t="s">
        <v>336</v>
      </c>
      <c r="Z80" s="20" t="s">
        <v>341</v>
      </c>
      <c r="AA80" s="62">
        <v>35.0</v>
      </c>
      <c r="AB80" s="62">
        <v>35.0</v>
      </c>
      <c r="AC80" s="52"/>
      <c r="AD80" s="63">
        <v>108787.0</v>
      </c>
      <c r="AE80" s="63">
        <v>108787.0</v>
      </c>
      <c r="AF80" s="52"/>
      <c r="AG80" s="22"/>
      <c r="AH80" s="22"/>
      <c r="AI80" s="22"/>
      <c r="AJ80" s="22"/>
      <c r="AK80" s="22"/>
      <c r="AL80" s="22"/>
      <c r="AM80" s="22"/>
      <c r="AN80" s="22"/>
      <c r="AO80" s="22"/>
      <c r="AP80" s="22"/>
    </row>
    <row r="81" hidden="1">
      <c r="A81" s="8">
        <v>46036.0</v>
      </c>
      <c r="B81" s="23">
        <v>0.8333333333333334</v>
      </c>
      <c r="C81" s="10" t="s">
        <v>58</v>
      </c>
      <c r="D81" s="11" t="s">
        <v>59</v>
      </c>
      <c r="E81" s="12" t="s">
        <v>71</v>
      </c>
      <c r="F81" s="12" t="s">
        <v>332</v>
      </c>
      <c r="G81" s="12" t="s">
        <v>342</v>
      </c>
      <c r="H81" s="12" t="s">
        <v>343</v>
      </c>
      <c r="I81" s="57" t="s">
        <v>61</v>
      </c>
      <c r="J81" s="14">
        <v>8181.0</v>
      </c>
      <c r="K81" s="14">
        <v>4496.0</v>
      </c>
      <c r="L81" s="15">
        <v>0.5496</v>
      </c>
      <c r="M81" s="16"/>
      <c r="N81" s="17"/>
      <c r="O81" s="18">
        <v>12.0</v>
      </c>
      <c r="P81" s="18"/>
      <c r="Q81" s="19">
        <v>0.0027</v>
      </c>
      <c r="R81" s="19"/>
      <c r="S81" s="20">
        <v>12.0</v>
      </c>
      <c r="T81" s="20">
        <v>26.0</v>
      </c>
      <c r="U81" s="20">
        <v>26240.0</v>
      </c>
      <c r="V81" s="21" t="s">
        <v>335</v>
      </c>
      <c r="W81" s="18" t="s">
        <v>62</v>
      </c>
      <c r="X81" s="41" t="s">
        <v>52</v>
      </c>
      <c r="Y81" s="21" t="s">
        <v>336</v>
      </c>
      <c r="Z81" s="20" t="s">
        <v>344</v>
      </c>
      <c r="AA81" s="60">
        <v>43.0</v>
      </c>
      <c r="AB81" s="60">
        <v>43.0</v>
      </c>
      <c r="AC81" s="52"/>
      <c r="AD81" s="61">
        <v>99163.0</v>
      </c>
      <c r="AE81" s="61">
        <v>99163.0</v>
      </c>
      <c r="AF81" s="52"/>
      <c r="AG81" s="22"/>
      <c r="AH81" s="22"/>
      <c r="AI81" s="22"/>
      <c r="AJ81" s="22"/>
      <c r="AK81" s="22"/>
      <c r="AL81" s="22"/>
      <c r="AM81" s="22"/>
      <c r="AN81" s="22"/>
      <c r="AO81" s="22"/>
      <c r="AP81" s="22"/>
    </row>
    <row r="82" hidden="1">
      <c r="A82" s="8">
        <v>46036.0</v>
      </c>
      <c r="B82" s="23">
        <v>0.75</v>
      </c>
      <c r="C82" s="10" t="s">
        <v>32</v>
      </c>
      <c r="D82" s="11" t="s">
        <v>33</v>
      </c>
      <c r="E82" s="12" t="s">
        <v>71</v>
      </c>
      <c r="F82" s="12" t="s">
        <v>332</v>
      </c>
      <c r="G82" s="12" t="s">
        <v>345</v>
      </c>
      <c r="H82" s="12" t="s">
        <v>343</v>
      </c>
      <c r="I82" s="13" t="s">
        <v>346</v>
      </c>
      <c r="J82" s="14">
        <v>12646.0</v>
      </c>
      <c r="K82" s="14">
        <v>4342.0</v>
      </c>
      <c r="L82" s="15">
        <v>0.3433</v>
      </c>
      <c r="M82" s="16">
        <v>2267.0</v>
      </c>
      <c r="N82" s="17">
        <v>0.5224</v>
      </c>
      <c r="O82" s="18">
        <v>235.0</v>
      </c>
      <c r="P82" s="18">
        <v>218.0</v>
      </c>
      <c r="Q82" s="19">
        <v>0.0502</v>
      </c>
      <c r="R82" s="19">
        <v>0.0962</v>
      </c>
      <c r="S82" s="20">
        <v>11.0</v>
      </c>
      <c r="T82" s="20">
        <v>18.0</v>
      </c>
      <c r="U82" s="20">
        <v>27597.0</v>
      </c>
      <c r="V82" s="21" t="s">
        <v>335</v>
      </c>
      <c r="W82" s="18" t="s">
        <v>76</v>
      </c>
      <c r="X82" s="41" t="s">
        <v>52</v>
      </c>
      <c r="Y82" s="21" t="s">
        <v>336</v>
      </c>
      <c r="Z82" s="20" t="s">
        <v>347</v>
      </c>
      <c r="AA82" s="62">
        <v>55.0</v>
      </c>
      <c r="AB82" s="62">
        <v>55.0</v>
      </c>
      <c r="AC82" s="62"/>
      <c r="AD82" s="63">
        <v>125327.0</v>
      </c>
      <c r="AE82" s="63">
        <v>125327.0</v>
      </c>
      <c r="AF82" s="52"/>
      <c r="AG82" s="22"/>
      <c r="AH82" s="22"/>
      <c r="AI82" s="22"/>
      <c r="AJ82" s="22"/>
      <c r="AK82" s="22"/>
      <c r="AL82" s="22"/>
      <c r="AM82" s="22"/>
      <c r="AN82" s="22"/>
      <c r="AO82" s="22"/>
      <c r="AP82" s="22"/>
    </row>
    <row r="83" hidden="1">
      <c r="A83" s="8">
        <v>46036.0</v>
      </c>
      <c r="B83" s="23">
        <v>0.75</v>
      </c>
      <c r="C83" s="10" t="s">
        <v>32</v>
      </c>
      <c r="D83" s="11" t="s">
        <v>33</v>
      </c>
      <c r="E83" s="12" t="s">
        <v>71</v>
      </c>
      <c r="F83" s="12" t="s">
        <v>332</v>
      </c>
      <c r="G83" s="12" t="s">
        <v>348</v>
      </c>
      <c r="H83" s="58" t="s">
        <v>334</v>
      </c>
      <c r="I83" s="13" t="s">
        <v>349</v>
      </c>
      <c r="J83" s="14">
        <v>19850.0</v>
      </c>
      <c r="K83" s="14">
        <v>5020.0</v>
      </c>
      <c r="L83" s="15">
        <v>0.2529</v>
      </c>
      <c r="M83" s="16">
        <v>2251.0</v>
      </c>
      <c r="N83" s="17">
        <v>0.4487</v>
      </c>
      <c r="O83" s="18">
        <v>192.0</v>
      </c>
      <c r="P83" s="18">
        <v>173.0</v>
      </c>
      <c r="Q83" s="19">
        <v>0.0345</v>
      </c>
      <c r="R83" s="19">
        <v>0.0769</v>
      </c>
      <c r="S83" s="20">
        <v>17.0</v>
      </c>
      <c r="T83" s="20">
        <v>25.0</v>
      </c>
      <c r="U83" s="20">
        <v>46664.0</v>
      </c>
      <c r="V83" s="21" t="s">
        <v>335</v>
      </c>
      <c r="W83" s="18" t="s">
        <v>76</v>
      </c>
      <c r="X83" s="41" t="s">
        <v>165</v>
      </c>
      <c r="Y83" s="21" t="s">
        <v>336</v>
      </c>
      <c r="Z83" s="20" t="s">
        <v>350</v>
      </c>
      <c r="AA83" s="62">
        <v>72.0</v>
      </c>
      <c r="AB83" s="62">
        <v>72.0</v>
      </c>
      <c r="AC83" s="52"/>
      <c r="AD83" s="63">
        <v>240339.0</v>
      </c>
      <c r="AE83" s="63">
        <v>240339.0</v>
      </c>
      <c r="AF83" s="52"/>
      <c r="AG83" s="22"/>
      <c r="AH83" s="22"/>
      <c r="AI83" s="22"/>
      <c r="AJ83" s="22"/>
      <c r="AK83" s="22"/>
      <c r="AL83" s="22"/>
      <c r="AM83" s="22"/>
      <c r="AN83" s="22"/>
      <c r="AO83" s="22"/>
      <c r="AP83" s="22"/>
    </row>
    <row r="84" hidden="1">
      <c r="A84" s="8">
        <v>46037.0</v>
      </c>
      <c r="B84" s="23">
        <v>0.40625</v>
      </c>
      <c r="C84" s="10" t="s">
        <v>58</v>
      </c>
      <c r="D84" s="11" t="s">
        <v>33</v>
      </c>
      <c r="E84" s="12" t="s">
        <v>71</v>
      </c>
      <c r="F84" s="12" t="s">
        <v>351</v>
      </c>
      <c r="G84" s="12" t="s">
        <v>352</v>
      </c>
      <c r="H84" s="12" t="s">
        <v>353</v>
      </c>
      <c r="I84" s="57" t="s">
        <v>354</v>
      </c>
      <c r="J84" s="14">
        <v>100976.0</v>
      </c>
      <c r="K84" s="14">
        <v>62805.0</v>
      </c>
      <c r="L84" s="15">
        <v>0.622</v>
      </c>
      <c r="M84" s="16"/>
      <c r="N84" s="17"/>
      <c r="O84" s="18">
        <v>172.0</v>
      </c>
      <c r="P84" s="18"/>
      <c r="Q84" s="19">
        <v>0.0027</v>
      </c>
      <c r="R84" s="19"/>
      <c r="S84" s="20">
        <v>10.0</v>
      </c>
      <c r="T84" s="20">
        <v>34.0</v>
      </c>
      <c r="U84" s="20">
        <v>17375.0</v>
      </c>
      <c r="V84" s="21" t="s">
        <v>335</v>
      </c>
      <c r="W84" s="18" t="s">
        <v>62</v>
      </c>
      <c r="X84" s="41" t="s">
        <v>41</v>
      </c>
      <c r="Y84" s="21" t="s">
        <v>355</v>
      </c>
      <c r="Z84" s="20" t="s">
        <v>356</v>
      </c>
      <c r="AA84" s="64">
        <v>89.0</v>
      </c>
      <c r="AB84" s="64">
        <v>89.0</v>
      </c>
      <c r="AC84" s="65"/>
      <c r="AD84" s="25">
        <v>263718.0</v>
      </c>
      <c r="AE84" s="25">
        <v>263718.0</v>
      </c>
      <c r="AF84" s="65"/>
      <c r="AG84" s="22"/>
      <c r="AH84" s="22"/>
      <c r="AI84" s="22"/>
      <c r="AJ84" s="22"/>
      <c r="AK84" s="22"/>
      <c r="AL84" s="22"/>
      <c r="AM84" s="22"/>
      <c r="AN84" s="22"/>
      <c r="AO84" s="22"/>
      <c r="AP84" s="22"/>
    </row>
    <row r="85" hidden="1">
      <c r="A85" s="8">
        <v>46037.0</v>
      </c>
      <c r="B85" s="23">
        <v>0.40625</v>
      </c>
      <c r="C85" s="10" t="s">
        <v>58</v>
      </c>
      <c r="D85" s="11" t="s">
        <v>33</v>
      </c>
      <c r="E85" s="12" t="s">
        <v>71</v>
      </c>
      <c r="F85" s="12" t="s">
        <v>351</v>
      </c>
      <c r="G85" s="12" t="s">
        <v>357</v>
      </c>
      <c r="H85" s="12" t="s">
        <v>358</v>
      </c>
      <c r="I85" s="57" t="s">
        <v>359</v>
      </c>
      <c r="J85" s="14">
        <v>58147.0</v>
      </c>
      <c r="K85" s="14">
        <v>36808.0</v>
      </c>
      <c r="L85" s="15">
        <v>0.633</v>
      </c>
      <c r="M85" s="16"/>
      <c r="N85" s="17"/>
      <c r="O85" s="18">
        <v>118.0</v>
      </c>
      <c r="P85" s="18"/>
      <c r="Q85" s="19">
        <v>0.0032</v>
      </c>
      <c r="R85" s="19"/>
      <c r="S85" s="20">
        <v>16.0</v>
      </c>
      <c r="T85" s="20">
        <v>35.0</v>
      </c>
      <c r="U85" s="20">
        <v>37394.0</v>
      </c>
      <c r="V85" s="21" t="s">
        <v>335</v>
      </c>
      <c r="W85" s="18" t="s">
        <v>62</v>
      </c>
      <c r="X85" s="41" t="s">
        <v>111</v>
      </c>
      <c r="Y85" s="21" t="s">
        <v>355</v>
      </c>
      <c r="Z85" s="20" t="s">
        <v>360</v>
      </c>
      <c r="AA85" s="64">
        <v>105.0</v>
      </c>
      <c r="AB85" s="64">
        <v>105.0</v>
      </c>
      <c r="AC85" s="65"/>
      <c r="AD85" s="25">
        <v>245563.0</v>
      </c>
      <c r="AE85" s="25">
        <v>245563.0</v>
      </c>
      <c r="AF85" s="65"/>
      <c r="AG85" s="22"/>
      <c r="AH85" s="22"/>
      <c r="AI85" s="22"/>
      <c r="AJ85" s="22"/>
      <c r="AK85" s="22"/>
      <c r="AL85" s="22"/>
      <c r="AM85" s="22"/>
      <c r="AN85" s="22"/>
      <c r="AO85" s="22"/>
      <c r="AP85" s="22"/>
    </row>
    <row r="86" hidden="1">
      <c r="A86" s="8">
        <v>46037.0</v>
      </c>
      <c r="B86" s="23">
        <v>0.4895833333333333</v>
      </c>
      <c r="C86" s="10" t="s">
        <v>58</v>
      </c>
      <c r="D86" s="11" t="s">
        <v>59</v>
      </c>
      <c r="E86" s="12" t="s">
        <v>71</v>
      </c>
      <c r="F86" s="12" t="s">
        <v>351</v>
      </c>
      <c r="G86" s="12" t="s">
        <v>361</v>
      </c>
      <c r="H86" s="12" t="s">
        <v>362</v>
      </c>
      <c r="I86" s="57" t="s">
        <v>61</v>
      </c>
      <c r="J86" s="14">
        <v>19106.0</v>
      </c>
      <c r="K86" s="14">
        <v>9899.0</v>
      </c>
      <c r="L86" s="15">
        <v>0.5181</v>
      </c>
      <c r="M86" s="16"/>
      <c r="N86" s="17"/>
      <c r="O86" s="18">
        <v>9.0</v>
      </c>
      <c r="P86" s="18"/>
      <c r="Q86" s="19">
        <v>9.0E-4</v>
      </c>
      <c r="R86" s="19"/>
      <c r="S86" s="20">
        <v>9.0</v>
      </c>
      <c r="T86" s="20">
        <v>22.0</v>
      </c>
      <c r="U86" s="20">
        <v>37613.0</v>
      </c>
      <c r="V86" s="21" t="s">
        <v>335</v>
      </c>
      <c r="W86" s="18" t="s">
        <v>62</v>
      </c>
      <c r="X86" s="41" t="s">
        <v>159</v>
      </c>
      <c r="Y86" s="21" t="s">
        <v>355</v>
      </c>
      <c r="Z86" s="20" t="s">
        <v>363</v>
      </c>
      <c r="AA86" s="64">
        <v>76.0</v>
      </c>
      <c r="AB86" s="64">
        <v>76.0</v>
      </c>
      <c r="AC86" s="65"/>
      <c r="AD86" s="25">
        <v>253072.0</v>
      </c>
      <c r="AE86" s="25">
        <v>253072.0</v>
      </c>
      <c r="AF86" s="65"/>
      <c r="AG86" s="22"/>
      <c r="AH86" s="22"/>
      <c r="AI86" s="22"/>
      <c r="AJ86" s="22"/>
      <c r="AK86" s="22"/>
      <c r="AL86" s="22"/>
      <c r="AM86" s="22"/>
      <c r="AN86" s="22"/>
      <c r="AO86" s="22"/>
      <c r="AP86" s="22"/>
    </row>
    <row r="87" hidden="1">
      <c r="A87" s="8">
        <v>46037.0</v>
      </c>
      <c r="B87" s="23">
        <v>0.4895833333333333</v>
      </c>
      <c r="C87" s="10" t="s">
        <v>58</v>
      </c>
      <c r="D87" s="11" t="s">
        <v>59</v>
      </c>
      <c r="E87" s="12" t="s">
        <v>71</v>
      </c>
      <c r="F87" s="12" t="s">
        <v>351</v>
      </c>
      <c r="G87" s="12" t="s">
        <v>364</v>
      </c>
      <c r="H87" s="12" t="s">
        <v>365</v>
      </c>
      <c r="I87" s="57" t="s">
        <v>61</v>
      </c>
      <c r="J87" s="14">
        <v>13558.0</v>
      </c>
      <c r="K87" s="14">
        <v>7745.0</v>
      </c>
      <c r="L87" s="15">
        <v>0.5712</v>
      </c>
      <c r="M87" s="16"/>
      <c r="N87" s="17"/>
      <c r="O87" s="18">
        <v>10.0</v>
      </c>
      <c r="P87" s="18"/>
      <c r="Q87" s="19">
        <v>0.0013</v>
      </c>
      <c r="R87" s="19"/>
      <c r="S87" s="20">
        <v>11.0</v>
      </c>
      <c r="T87" s="20">
        <v>32.0</v>
      </c>
      <c r="U87" s="20">
        <v>34992.0</v>
      </c>
      <c r="V87" s="21" t="s">
        <v>335</v>
      </c>
      <c r="W87" s="18" t="s">
        <v>62</v>
      </c>
      <c r="X87" s="41" t="s">
        <v>82</v>
      </c>
      <c r="Y87" s="21" t="s">
        <v>355</v>
      </c>
      <c r="Z87" s="20" t="s">
        <v>366</v>
      </c>
      <c r="AA87" s="64">
        <v>103.0</v>
      </c>
      <c r="AB87" s="64">
        <v>103.0</v>
      </c>
      <c r="AC87" s="65"/>
      <c r="AD87" s="25">
        <v>241189.0</v>
      </c>
      <c r="AE87" s="25">
        <v>241189.0</v>
      </c>
      <c r="AF87" s="65"/>
      <c r="AG87" s="22"/>
      <c r="AH87" s="22"/>
      <c r="AI87" s="22"/>
      <c r="AJ87" s="22"/>
      <c r="AK87" s="22"/>
      <c r="AL87" s="22"/>
      <c r="AM87" s="22"/>
      <c r="AN87" s="22"/>
      <c r="AO87" s="22"/>
      <c r="AP87" s="22"/>
    </row>
    <row r="88" hidden="1">
      <c r="A88" s="8">
        <v>46037.0</v>
      </c>
      <c r="B88" s="23">
        <v>0.4895833333333333</v>
      </c>
      <c r="C88" s="10" t="s">
        <v>58</v>
      </c>
      <c r="D88" s="11" t="s">
        <v>59</v>
      </c>
      <c r="E88" s="12" t="s">
        <v>71</v>
      </c>
      <c r="F88" s="12" t="s">
        <v>351</v>
      </c>
      <c r="G88" s="12" t="s">
        <v>367</v>
      </c>
      <c r="H88" s="12" t="s">
        <v>368</v>
      </c>
      <c r="I88" s="57" t="s">
        <v>61</v>
      </c>
      <c r="J88" s="14">
        <v>14832.0</v>
      </c>
      <c r="K88" s="14">
        <v>9079.0</v>
      </c>
      <c r="L88" s="15">
        <v>0.6121</v>
      </c>
      <c r="M88" s="16"/>
      <c r="N88" s="17"/>
      <c r="O88" s="18">
        <v>25.0</v>
      </c>
      <c r="P88" s="18"/>
      <c r="Q88" s="19">
        <v>0.0028</v>
      </c>
      <c r="R88" s="19"/>
      <c r="S88" s="20">
        <v>6.0</v>
      </c>
      <c r="T88" s="20">
        <v>26.0</v>
      </c>
      <c r="U88" s="20">
        <v>15900.0</v>
      </c>
      <c r="V88" s="21" t="s">
        <v>335</v>
      </c>
      <c r="W88" s="18" t="s">
        <v>62</v>
      </c>
      <c r="X88" s="41" t="s">
        <v>47</v>
      </c>
      <c r="Y88" s="21" t="s">
        <v>355</v>
      </c>
      <c r="Z88" s="20" t="s">
        <v>369</v>
      </c>
      <c r="AA88" s="64">
        <v>54.0</v>
      </c>
      <c r="AB88" s="64">
        <v>54.0</v>
      </c>
      <c r="AC88" s="65"/>
      <c r="AD88" s="25">
        <v>108671.0</v>
      </c>
      <c r="AE88" s="25">
        <v>108671.0</v>
      </c>
      <c r="AF88" s="65"/>
      <c r="AG88" s="22"/>
      <c r="AH88" s="22"/>
      <c r="AI88" s="22"/>
      <c r="AJ88" s="22"/>
      <c r="AK88" s="22"/>
      <c r="AL88" s="22"/>
      <c r="AM88" s="22"/>
      <c r="AN88" s="22"/>
      <c r="AO88" s="22"/>
      <c r="AP88" s="22"/>
    </row>
    <row r="89" hidden="1">
      <c r="A89" s="8">
        <v>46037.0</v>
      </c>
      <c r="B89" s="23">
        <v>0.40625</v>
      </c>
      <c r="C89" s="10" t="s">
        <v>32</v>
      </c>
      <c r="D89" s="11" t="s">
        <v>33</v>
      </c>
      <c r="E89" s="12" t="s">
        <v>71</v>
      </c>
      <c r="F89" s="12" t="s">
        <v>351</v>
      </c>
      <c r="G89" s="12" t="s">
        <v>370</v>
      </c>
      <c r="H89" s="12" t="s">
        <v>368</v>
      </c>
      <c r="I89" s="13" t="s">
        <v>371</v>
      </c>
      <c r="J89" s="14">
        <v>29626.0</v>
      </c>
      <c r="K89" s="14">
        <v>14472.0</v>
      </c>
      <c r="L89" s="15">
        <v>0.4885</v>
      </c>
      <c r="M89" s="16">
        <v>6003.0</v>
      </c>
      <c r="N89" s="17">
        <v>0.4148</v>
      </c>
      <c r="O89" s="18">
        <v>322.0</v>
      </c>
      <c r="P89" s="18">
        <v>310.0</v>
      </c>
      <c r="Q89" s="19">
        <v>0.0214</v>
      </c>
      <c r="R89" s="19">
        <v>0.0516</v>
      </c>
      <c r="S89" s="20">
        <v>12.0</v>
      </c>
      <c r="T89" s="20">
        <v>42.0</v>
      </c>
      <c r="U89" s="20">
        <v>28325.0</v>
      </c>
      <c r="V89" s="21" t="s">
        <v>335</v>
      </c>
      <c r="W89" s="18" t="s">
        <v>40</v>
      </c>
      <c r="X89" s="41" t="s">
        <v>47</v>
      </c>
      <c r="Y89" s="21" t="s">
        <v>372</v>
      </c>
      <c r="Z89" s="20" t="s">
        <v>373</v>
      </c>
      <c r="AA89" s="64">
        <v>71.0</v>
      </c>
      <c r="AB89" s="64">
        <v>71.0</v>
      </c>
      <c r="AC89" s="65"/>
      <c r="AD89" s="25">
        <v>157569.0</v>
      </c>
      <c r="AE89" s="25">
        <v>157569.0</v>
      </c>
      <c r="AF89" s="65"/>
      <c r="AG89" s="22"/>
      <c r="AH89" s="22"/>
      <c r="AI89" s="22"/>
      <c r="AJ89" s="22"/>
      <c r="AK89" s="22"/>
      <c r="AL89" s="22"/>
      <c r="AM89" s="22"/>
      <c r="AN89" s="22"/>
      <c r="AO89" s="22"/>
      <c r="AP89" s="22"/>
    </row>
    <row r="90" hidden="1">
      <c r="A90" s="8">
        <v>46037.0</v>
      </c>
      <c r="B90" s="23">
        <v>0.40625</v>
      </c>
      <c r="C90" s="10" t="s">
        <v>32</v>
      </c>
      <c r="D90" s="11" t="s">
        <v>33</v>
      </c>
      <c r="E90" s="12" t="s">
        <v>71</v>
      </c>
      <c r="F90" s="12" t="s">
        <v>351</v>
      </c>
      <c r="G90" s="12" t="s">
        <v>374</v>
      </c>
      <c r="H90" s="12" t="s">
        <v>362</v>
      </c>
      <c r="I90" s="13" t="s">
        <v>375</v>
      </c>
      <c r="J90" s="14">
        <v>31302.0</v>
      </c>
      <c r="K90" s="14">
        <v>11608.0</v>
      </c>
      <c r="L90" s="15">
        <v>0.3708</v>
      </c>
      <c r="M90" s="16">
        <v>4692.0</v>
      </c>
      <c r="N90" s="17">
        <v>0.4042</v>
      </c>
      <c r="O90" s="18">
        <v>218.0</v>
      </c>
      <c r="P90" s="18">
        <v>198.0</v>
      </c>
      <c r="Q90" s="19">
        <v>0.0171</v>
      </c>
      <c r="R90" s="19">
        <v>0.0422</v>
      </c>
      <c r="S90" s="20">
        <v>23.0</v>
      </c>
      <c r="T90" s="20">
        <v>34.0</v>
      </c>
      <c r="U90" s="20">
        <v>91113.0</v>
      </c>
      <c r="V90" s="21" t="s">
        <v>335</v>
      </c>
      <c r="W90" s="18" t="s">
        <v>40</v>
      </c>
      <c r="X90" s="41" t="s">
        <v>159</v>
      </c>
      <c r="Y90" s="21" t="s">
        <v>372</v>
      </c>
      <c r="Z90" s="20" t="s">
        <v>376</v>
      </c>
      <c r="AA90" s="64">
        <v>98.0</v>
      </c>
      <c r="AB90" s="64">
        <v>98.0</v>
      </c>
      <c r="AC90" s="65"/>
      <c r="AD90" s="25">
        <v>307391.0</v>
      </c>
      <c r="AE90" s="25">
        <v>307391.0</v>
      </c>
      <c r="AF90" s="65"/>
      <c r="AG90" s="22"/>
      <c r="AH90" s="22"/>
      <c r="AI90" s="22"/>
      <c r="AJ90" s="22"/>
      <c r="AK90" s="22"/>
      <c r="AL90" s="22"/>
      <c r="AM90" s="22"/>
      <c r="AN90" s="22"/>
      <c r="AO90" s="22"/>
      <c r="AP90" s="22"/>
    </row>
    <row r="91" hidden="1">
      <c r="A91" s="8">
        <v>46037.0</v>
      </c>
      <c r="B91" s="23">
        <v>0.40625</v>
      </c>
      <c r="C91" s="10" t="s">
        <v>32</v>
      </c>
      <c r="D91" s="11" t="s">
        <v>33</v>
      </c>
      <c r="E91" s="12" t="s">
        <v>71</v>
      </c>
      <c r="F91" s="12" t="s">
        <v>351</v>
      </c>
      <c r="G91" s="12" t="s">
        <v>377</v>
      </c>
      <c r="H91" s="12" t="s">
        <v>365</v>
      </c>
      <c r="I91" s="13" t="s">
        <v>378</v>
      </c>
      <c r="J91" s="14">
        <v>21111.0</v>
      </c>
      <c r="K91" s="14">
        <v>7306.0</v>
      </c>
      <c r="L91" s="15">
        <v>0.3461</v>
      </c>
      <c r="M91" s="16">
        <v>3188.0</v>
      </c>
      <c r="N91" s="17">
        <v>0.4364</v>
      </c>
      <c r="O91" s="18">
        <v>179.0</v>
      </c>
      <c r="P91" s="18">
        <v>169.0</v>
      </c>
      <c r="Q91" s="19">
        <v>0.0231</v>
      </c>
      <c r="R91" s="19">
        <v>0.053</v>
      </c>
      <c r="S91" s="20">
        <v>11.0</v>
      </c>
      <c r="T91" s="20">
        <v>28.0</v>
      </c>
      <c r="U91" s="20">
        <v>25209.0</v>
      </c>
      <c r="V91" s="21" t="s">
        <v>335</v>
      </c>
      <c r="W91" s="18" t="s">
        <v>40</v>
      </c>
      <c r="X91" s="41" t="s">
        <v>82</v>
      </c>
      <c r="Y91" s="21" t="s">
        <v>372</v>
      </c>
      <c r="Z91" s="20" t="s">
        <v>379</v>
      </c>
      <c r="AA91" s="64">
        <v>92.0</v>
      </c>
      <c r="AB91" s="64">
        <v>92.0</v>
      </c>
      <c r="AC91" s="65"/>
      <c r="AD91" s="25">
        <v>241768.0</v>
      </c>
      <c r="AE91" s="25">
        <v>241768.0</v>
      </c>
      <c r="AF91" s="65"/>
      <c r="AG91" s="22"/>
      <c r="AH91" s="22"/>
      <c r="AI91" s="22"/>
      <c r="AJ91" s="22"/>
      <c r="AK91" s="22"/>
      <c r="AL91" s="22"/>
      <c r="AM91" s="22"/>
      <c r="AN91" s="22"/>
      <c r="AO91" s="22"/>
      <c r="AP91" s="22"/>
    </row>
    <row r="92" hidden="1">
      <c r="A92" s="8">
        <v>46038.0</v>
      </c>
      <c r="B92" s="23">
        <v>0.4895833333333333</v>
      </c>
      <c r="C92" s="10" t="s">
        <v>58</v>
      </c>
      <c r="D92" s="11" t="s">
        <v>59</v>
      </c>
      <c r="E92" s="12" t="s">
        <v>71</v>
      </c>
      <c r="F92" s="12" t="s">
        <v>380</v>
      </c>
      <c r="G92" s="12" t="s">
        <v>381</v>
      </c>
      <c r="H92" s="12" t="s">
        <v>382</v>
      </c>
      <c r="I92" s="57" t="s">
        <v>61</v>
      </c>
      <c r="J92" s="14">
        <v>20617.0</v>
      </c>
      <c r="K92" s="14">
        <v>11981.0</v>
      </c>
      <c r="L92" s="15">
        <v>0.5811</v>
      </c>
      <c r="M92" s="16"/>
      <c r="N92" s="17"/>
      <c r="O92" s="18">
        <v>6.0</v>
      </c>
      <c r="P92" s="18"/>
      <c r="Q92" s="19">
        <v>5.0E-4</v>
      </c>
      <c r="R92" s="19"/>
      <c r="S92" s="20">
        <v>2.0</v>
      </c>
      <c r="T92" s="20">
        <v>6.0</v>
      </c>
      <c r="U92" s="20">
        <v>5843.0</v>
      </c>
      <c r="V92" s="21" t="s">
        <v>315</v>
      </c>
      <c r="W92" s="18" t="s">
        <v>62</v>
      </c>
      <c r="X92" s="41" t="s">
        <v>52</v>
      </c>
      <c r="Y92" s="21" t="s">
        <v>383</v>
      </c>
      <c r="Z92" s="20" t="s">
        <v>384</v>
      </c>
      <c r="AA92" s="62">
        <v>106.0</v>
      </c>
      <c r="AB92" s="52"/>
      <c r="AC92" s="62">
        <v>106.0</v>
      </c>
      <c r="AD92" s="63">
        <v>389470.0</v>
      </c>
      <c r="AE92" s="52"/>
      <c r="AF92" s="63">
        <v>389470.0</v>
      </c>
      <c r="AG92" s="22"/>
      <c r="AH92" s="22"/>
      <c r="AI92" s="22"/>
      <c r="AJ92" s="22"/>
      <c r="AK92" s="22"/>
      <c r="AL92" s="22"/>
      <c r="AM92" s="22"/>
      <c r="AN92" s="22"/>
      <c r="AO92" s="22"/>
      <c r="AP92" s="22"/>
    </row>
    <row r="93" hidden="1">
      <c r="A93" s="8">
        <v>46038.0</v>
      </c>
      <c r="B93" s="23">
        <v>0.4895833333333333</v>
      </c>
      <c r="C93" s="10" t="s">
        <v>58</v>
      </c>
      <c r="D93" s="11" t="s">
        <v>59</v>
      </c>
      <c r="E93" s="12" t="s">
        <v>71</v>
      </c>
      <c r="F93" s="12" t="s">
        <v>380</v>
      </c>
      <c r="G93" s="12" t="s">
        <v>385</v>
      </c>
      <c r="H93" s="12" t="s">
        <v>386</v>
      </c>
      <c r="I93" s="57" t="s">
        <v>61</v>
      </c>
      <c r="J93" s="14">
        <v>18957.0</v>
      </c>
      <c r="K93" s="14">
        <v>10251.0</v>
      </c>
      <c r="L93" s="15">
        <v>0.5408</v>
      </c>
      <c r="M93" s="16"/>
      <c r="N93" s="17"/>
      <c r="O93" s="18">
        <v>4.0</v>
      </c>
      <c r="P93" s="18"/>
      <c r="Q93" s="19">
        <v>4.0E-4</v>
      </c>
      <c r="R93" s="19"/>
      <c r="S93" s="20">
        <v>4.0</v>
      </c>
      <c r="T93" s="20">
        <v>12.0</v>
      </c>
      <c r="U93" s="20">
        <v>27490.0</v>
      </c>
      <c r="V93" s="21" t="s">
        <v>315</v>
      </c>
      <c r="W93" s="18" t="s">
        <v>62</v>
      </c>
      <c r="X93" s="41" t="s">
        <v>165</v>
      </c>
      <c r="Y93" s="21" t="s">
        <v>383</v>
      </c>
      <c r="Z93" s="20" t="s">
        <v>387</v>
      </c>
      <c r="AA93" s="62">
        <v>140.0</v>
      </c>
      <c r="AB93" s="52"/>
      <c r="AC93" s="62">
        <v>140.0</v>
      </c>
      <c r="AD93" s="63">
        <v>492132.0</v>
      </c>
      <c r="AE93" s="52"/>
      <c r="AF93" s="63">
        <v>492132.0</v>
      </c>
      <c r="AG93" s="22"/>
      <c r="AH93" s="22"/>
      <c r="AI93" s="22"/>
      <c r="AJ93" s="22"/>
      <c r="AK93" s="22"/>
      <c r="AL93" s="22"/>
      <c r="AM93" s="22"/>
      <c r="AN93" s="22"/>
      <c r="AO93" s="22"/>
      <c r="AP93" s="22"/>
    </row>
    <row r="94" hidden="1">
      <c r="A94" s="8">
        <v>46038.0</v>
      </c>
      <c r="B94" s="23">
        <v>0.40625</v>
      </c>
      <c r="C94" s="10" t="s">
        <v>196</v>
      </c>
      <c r="D94" s="11" t="s">
        <v>33</v>
      </c>
      <c r="E94" s="12" t="s">
        <v>71</v>
      </c>
      <c r="F94" s="12" t="s">
        <v>380</v>
      </c>
      <c r="G94" s="12" t="s">
        <v>388</v>
      </c>
      <c r="H94" s="12" t="s">
        <v>389</v>
      </c>
      <c r="I94" s="57" t="s">
        <v>390</v>
      </c>
      <c r="J94" s="14">
        <v>61596.0</v>
      </c>
      <c r="K94" s="14">
        <v>16416.0</v>
      </c>
      <c r="L94" s="15">
        <v>0.2665</v>
      </c>
      <c r="M94" s="16">
        <v>2459.0</v>
      </c>
      <c r="N94" s="17">
        <v>0.15</v>
      </c>
      <c r="O94" s="18">
        <v>152.0</v>
      </c>
      <c r="P94" s="18"/>
      <c r="Q94" s="19">
        <v>0.0093</v>
      </c>
      <c r="R94" s="19"/>
      <c r="S94" s="20">
        <v>0.0</v>
      </c>
      <c r="T94" s="20">
        <v>9.0</v>
      </c>
      <c r="U94" s="20">
        <v>0.0</v>
      </c>
      <c r="V94" s="21" t="s">
        <v>315</v>
      </c>
      <c r="W94" s="18" t="s">
        <v>95</v>
      </c>
      <c r="X94" s="41" t="s">
        <v>47</v>
      </c>
      <c r="Y94" s="21" t="s">
        <v>383</v>
      </c>
      <c r="Z94" s="20" t="s">
        <v>391</v>
      </c>
      <c r="AA94" s="62">
        <v>72.0</v>
      </c>
      <c r="AB94" s="52"/>
      <c r="AC94" s="62">
        <v>72.0</v>
      </c>
      <c r="AD94" s="63">
        <v>200968.0</v>
      </c>
      <c r="AE94" s="52"/>
      <c r="AF94" s="63">
        <v>200968.0</v>
      </c>
      <c r="AG94" s="22"/>
      <c r="AH94" s="22"/>
      <c r="AI94" s="22"/>
      <c r="AJ94" s="22"/>
      <c r="AK94" s="22"/>
      <c r="AL94" s="22"/>
      <c r="AM94" s="22"/>
      <c r="AN94" s="22"/>
      <c r="AO94" s="22"/>
      <c r="AP94" s="22"/>
    </row>
    <row r="95" hidden="1">
      <c r="A95" s="8">
        <v>46038.0</v>
      </c>
      <c r="B95" s="23">
        <v>0.40625</v>
      </c>
      <c r="C95" s="10" t="s">
        <v>196</v>
      </c>
      <c r="D95" s="11" t="s">
        <v>33</v>
      </c>
      <c r="E95" s="12" t="s">
        <v>71</v>
      </c>
      <c r="F95" s="12" t="s">
        <v>380</v>
      </c>
      <c r="G95" s="12" t="s">
        <v>392</v>
      </c>
      <c r="H95" s="12" t="s">
        <v>393</v>
      </c>
      <c r="I95" s="57" t="s">
        <v>394</v>
      </c>
      <c r="J95" s="14">
        <v>134252.0</v>
      </c>
      <c r="K95" s="14">
        <v>34433.0</v>
      </c>
      <c r="L95" s="15">
        <v>0.2565</v>
      </c>
      <c r="M95" s="16">
        <v>4207.0</v>
      </c>
      <c r="N95" s="17">
        <v>0.122</v>
      </c>
      <c r="O95" s="18">
        <v>107.0</v>
      </c>
      <c r="P95" s="18"/>
      <c r="Q95" s="19">
        <v>0.0031</v>
      </c>
      <c r="R95" s="19"/>
      <c r="S95" s="20">
        <v>3.0</v>
      </c>
      <c r="T95" s="20">
        <v>6.0</v>
      </c>
      <c r="U95" s="20">
        <v>7931.0</v>
      </c>
      <c r="V95" s="21" t="s">
        <v>315</v>
      </c>
      <c r="W95" s="18" t="s">
        <v>95</v>
      </c>
      <c r="X95" s="41" t="s">
        <v>69</v>
      </c>
      <c r="Y95" s="21" t="s">
        <v>383</v>
      </c>
      <c r="Z95" s="20" t="s">
        <v>395</v>
      </c>
      <c r="AA95" s="62">
        <v>113.0</v>
      </c>
      <c r="AB95" s="52"/>
      <c r="AC95" s="62">
        <v>113.0</v>
      </c>
      <c r="AD95" s="63">
        <v>287519.0</v>
      </c>
      <c r="AE95" s="52"/>
      <c r="AF95" s="63">
        <v>287519.0</v>
      </c>
      <c r="AG95" s="22"/>
      <c r="AH95" s="22"/>
      <c r="AI95" s="22"/>
      <c r="AJ95" s="22"/>
      <c r="AK95" s="22"/>
      <c r="AL95" s="22"/>
      <c r="AM95" s="22"/>
      <c r="AN95" s="22"/>
      <c r="AO95" s="22"/>
      <c r="AP95" s="22"/>
    </row>
    <row r="96" hidden="1">
      <c r="A96" s="8">
        <v>46038.0</v>
      </c>
      <c r="B96" s="23">
        <v>0.4895833333333333</v>
      </c>
      <c r="C96" s="10" t="s">
        <v>58</v>
      </c>
      <c r="D96" s="11" t="s">
        <v>59</v>
      </c>
      <c r="E96" s="12" t="s">
        <v>71</v>
      </c>
      <c r="F96" s="12" t="s">
        <v>380</v>
      </c>
      <c r="G96" s="12" t="s">
        <v>396</v>
      </c>
      <c r="H96" s="12" t="s">
        <v>393</v>
      </c>
      <c r="I96" s="57" t="s">
        <v>123</v>
      </c>
      <c r="J96" s="14">
        <v>98258.0</v>
      </c>
      <c r="K96" s="14">
        <v>57271.0</v>
      </c>
      <c r="L96" s="15">
        <v>0.5829</v>
      </c>
      <c r="M96" s="16"/>
      <c r="N96" s="17"/>
      <c r="O96" s="18">
        <v>34.0</v>
      </c>
      <c r="P96" s="18"/>
      <c r="Q96" s="19">
        <v>6.0E-4</v>
      </c>
      <c r="R96" s="19"/>
      <c r="S96" s="20">
        <v>4.0</v>
      </c>
      <c r="T96" s="20">
        <v>15.0</v>
      </c>
      <c r="U96" s="20">
        <v>8649.0</v>
      </c>
      <c r="V96" s="21" t="s">
        <v>315</v>
      </c>
      <c r="W96" s="18" t="s">
        <v>62</v>
      </c>
      <c r="X96" s="41" t="s">
        <v>69</v>
      </c>
      <c r="Y96" s="21" t="s">
        <v>383</v>
      </c>
      <c r="Z96" s="20" t="s">
        <v>397</v>
      </c>
      <c r="AA96" s="62">
        <v>208.0</v>
      </c>
      <c r="AB96" s="52"/>
      <c r="AC96" s="62">
        <v>208.0</v>
      </c>
      <c r="AD96" s="63">
        <v>605884.0</v>
      </c>
      <c r="AE96" s="52"/>
      <c r="AF96" s="63">
        <v>605884.0</v>
      </c>
      <c r="AG96" s="22"/>
      <c r="AH96" s="22"/>
      <c r="AI96" s="22"/>
      <c r="AJ96" s="22"/>
      <c r="AK96" s="22"/>
      <c r="AL96" s="22"/>
      <c r="AM96" s="22"/>
      <c r="AN96" s="22"/>
      <c r="AO96" s="22"/>
      <c r="AP96" s="22"/>
    </row>
    <row r="97" hidden="1">
      <c r="A97" s="8">
        <v>46038.0</v>
      </c>
      <c r="B97" s="23">
        <v>0.4895833333333333</v>
      </c>
      <c r="C97" s="10" t="s">
        <v>58</v>
      </c>
      <c r="D97" s="11" t="s">
        <v>59</v>
      </c>
      <c r="E97" s="12" t="s">
        <v>71</v>
      </c>
      <c r="F97" s="12" t="s">
        <v>380</v>
      </c>
      <c r="G97" s="12" t="s">
        <v>398</v>
      </c>
      <c r="H97" s="12" t="s">
        <v>389</v>
      </c>
      <c r="I97" s="13" t="s">
        <v>123</v>
      </c>
      <c r="J97" s="14">
        <v>45205.0</v>
      </c>
      <c r="K97" s="14">
        <v>27379.0</v>
      </c>
      <c r="L97" s="15">
        <v>0.6057</v>
      </c>
      <c r="M97" s="16"/>
      <c r="N97" s="17"/>
      <c r="O97" s="18">
        <v>34.0</v>
      </c>
      <c r="P97" s="18"/>
      <c r="Q97" s="19">
        <v>0.0012</v>
      </c>
      <c r="R97" s="19"/>
      <c r="S97" s="20">
        <v>5.0</v>
      </c>
      <c r="T97" s="20">
        <v>13.0</v>
      </c>
      <c r="U97" s="20">
        <v>12360.0</v>
      </c>
      <c r="V97" s="21" t="s">
        <v>315</v>
      </c>
      <c r="W97" s="18" t="s">
        <v>62</v>
      </c>
      <c r="X97" s="41" t="s">
        <v>47</v>
      </c>
      <c r="Y97" s="21" t="s">
        <v>383</v>
      </c>
      <c r="Z97" s="20" t="s">
        <v>399</v>
      </c>
      <c r="AA97" s="62">
        <v>144.0</v>
      </c>
      <c r="AB97" s="52"/>
      <c r="AC97" s="62">
        <v>144.0</v>
      </c>
      <c r="AD97" s="63">
        <v>376733.0</v>
      </c>
      <c r="AE97" s="52"/>
      <c r="AF97" s="63">
        <v>376733.0</v>
      </c>
      <c r="AG97" s="22"/>
      <c r="AH97" s="22"/>
      <c r="AI97" s="22"/>
      <c r="AJ97" s="22"/>
      <c r="AK97" s="22"/>
      <c r="AL97" s="22"/>
      <c r="AM97" s="22"/>
      <c r="AN97" s="22"/>
      <c r="AO97" s="22"/>
      <c r="AP97" s="22"/>
    </row>
    <row r="98" hidden="1">
      <c r="A98" s="8">
        <v>46038.0</v>
      </c>
      <c r="B98" s="23">
        <v>0.6875</v>
      </c>
      <c r="C98" s="10" t="s">
        <v>196</v>
      </c>
      <c r="D98" s="11" t="s">
        <v>33</v>
      </c>
      <c r="E98" s="12" t="s">
        <v>71</v>
      </c>
      <c r="F98" s="12" t="s">
        <v>380</v>
      </c>
      <c r="G98" s="12" t="s">
        <v>400</v>
      </c>
      <c r="H98" s="12" t="s">
        <v>401</v>
      </c>
      <c r="I98" s="13" t="s">
        <v>402</v>
      </c>
      <c r="J98" s="14">
        <v>12666.0</v>
      </c>
      <c r="K98" s="14">
        <v>3663.0</v>
      </c>
      <c r="L98" s="15">
        <v>0.2892</v>
      </c>
      <c r="M98" s="16">
        <v>530.0</v>
      </c>
      <c r="N98" s="17">
        <v>0.145</v>
      </c>
      <c r="O98" s="18">
        <v>33.0</v>
      </c>
      <c r="P98" s="18"/>
      <c r="Q98" s="19">
        <v>0.009</v>
      </c>
      <c r="R98" s="19"/>
      <c r="S98" s="20">
        <v>0.0</v>
      </c>
      <c r="T98" s="20">
        <v>2.0</v>
      </c>
      <c r="U98" s="20">
        <v>0.0</v>
      </c>
      <c r="V98" s="21" t="s">
        <v>335</v>
      </c>
      <c r="W98" s="18" t="s">
        <v>95</v>
      </c>
      <c r="X98" s="41" t="s">
        <v>47</v>
      </c>
      <c r="Y98" s="21" t="s">
        <v>383</v>
      </c>
      <c r="Z98" s="20" t="s">
        <v>403</v>
      </c>
      <c r="AA98" s="62">
        <v>8.0</v>
      </c>
      <c r="AB98" s="62">
        <v>8.0</v>
      </c>
      <c r="AC98" s="52"/>
      <c r="AD98" s="63">
        <v>13509.0</v>
      </c>
      <c r="AE98" s="63">
        <v>13509.0</v>
      </c>
      <c r="AF98" s="52"/>
      <c r="AG98" s="22"/>
      <c r="AH98" s="22"/>
      <c r="AI98" s="22"/>
      <c r="AJ98" s="22"/>
      <c r="AK98" s="22"/>
      <c r="AL98" s="22"/>
      <c r="AM98" s="22"/>
      <c r="AN98" s="22"/>
      <c r="AO98" s="22"/>
      <c r="AP98" s="22"/>
    </row>
    <row r="99" hidden="1">
      <c r="A99" s="8">
        <v>46038.0</v>
      </c>
      <c r="B99" s="23">
        <v>0.7708333333333334</v>
      </c>
      <c r="C99" s="10" t="s">
        <v>58</v>
      </c>
      <c r="D99" s="11" t="s">
        <v>59</v>
      </c>
      <c r="E99" s="12" t="s">
        <v>71</v>
      </c>
      <c r="F99" s="12" t="s">
        <v>380</v>
      </c>
      <c r="G99" s="12" t="s">
        <v>404</v>
      </c>
      <c r="H99" s="12" t="s">
        <v>401</v>
      </c>
      <c r="I99" s="13" t="s">
        <v>123</v>
      </c>
      <c r="J99" s="14">
        <v>8618.0</v>
      </c>
      <c r="K99" s="14">
        <v>5169.0</v>
      </c>
      <c r="L99" s="15">
        <v>0.5998</v>
      </c>
      <c r="M99" s="16"/>
      <c r="N99" s="17"/>
      <c r="O99" s="18">
        <v>7.0</v>
      </c>
      <c r="P99" s="18"/>
      <c r="Q99" s="19">
        <v>0.0014</v>
      </c>
      <c r="R99" s="19"/>
      <c r="S99" s="20">
        <v>0.0</v>
      </c>
      <c r="T99" s="20">
        <v>4.0</v>
      </c>
      <c r="U99" s="20">
        <v>0.0</v>
      </c>
      <c r="V99" s="21" t="s">
        <v>335</v>
      </c>
      <c r="W99" s="18" t="s">
        <v>62</v>
      </c>
      <c r="X99" s="41" t="s">
        <v>47</v>
      </c>
      <c r="Y99" s="21" t="s">
        <v>383</v>
      </c>
      <c r="Z99" s="20" t="s">
        <v>405</v>
      </c>
      <c r="AA99" s="60">
        <v>12.0</v>
      </c>
      <c r="AB99" s="60">
        <v>12.0</v>
      </c>
      <c r="AC99" s="52"/>
      <c r="AD99" s="61">
        <v>44483.0</v>
      </c>
      <c r="AE99" s="61">
        <v>44483.0</v>
      </c>
      <c r="AF99" s="52"/>
      <c r="AG99" s="22"/>
      <c r="AH99" s="22"/>
      <c r="AI99" s="22"/>
      <c r="AJ99" s="22"/>
      <c r="AK99" s="22"/>
      <c r="AL99" s="22"/>
      <c r="AM99" s="22"/>
      <c r="AN99" s="22"/>
      <c r="AO99" s="22"/>
      <c r="AP99" s="22"/>
    </row>
    <row r="100" hidden="1">
      <c r="A100" s="8">
        <v>46038.0</v>
      </c>
      <c r="B100" s="23">
        <v>0.6875</v>
      </c>
      <c r="C100" s="10" t="s">
        <v>58</v>
      </c>
      <c r="D100" s="11" t="s">
        <v>59</v>
      </c>
      <c r="E100" s="12" t="s">
        <v>71</v>
      </c>
      <c r="F100" s="12" t="s">
        <v>332</v>
      </c>
      <c r="G100" s="12" t="s">
        <v>406</v>
      </c>
      <c r="H100" s="12" t="s">
        <v>339</v>
      </c>
      <c r="I100" s="13" t="s">
        <v>123</v>
      </c>
      <c r="J100" s="14">
        <v>36624.0</v>
      </c>
      <c r="K100" s="14">
        <v>21872.0</v>
      </c>
      <c r="L100" s="15">
        <v>0.5972</v>
      </c>
      <c r="M100" s="16"/>
      <c r="N100" s="17"/>
      <c r="O100" s="18">
        <v>20.0</v>
      </c>
      <c r="P100" s="18"/>
      <c r="Q100" s="19">
        <v>9.0E-4</v>
      </c>
      <c r="R100" s="19"/>
      <c r="S100" s="20">
        <v>3.0</v>
      </c>
      <c r="T100" s="20">
        <v>10.0</v>
      </c>
      <c r="U100" s="20">
        <v>6468.0</v>
      </c>
      <c r="V100" s="21" t="s">
        <v>335</v>
      </c>
      <c r="W100" s="18" t="s">
        <v>62</v>
      </c>
      <c r="X100" s="41" t="s">
        <v>69</v>
      </c>
      <c r="Y100" s="21" t="s">
        <v>383</v>
      </c>
      <c r="Z100" s="20" t="s">
        <v>407</v>
      </c>
      <c r="AA100" s="60">
        <v>29.0</v>
      </c>
      <c r="AB100" s="60">
        <v>29.0</v>
      </c>
      <c r="AC100" s="52"/>
      <c r="AD100" s="61">
        <v>68869.0</v>
      </c>
      <c r="AE100" s="61">
        <v>68869.0</v>
      </c>
      <c r="AF100" s="52"/>
      <c r="AG100" s="22"/>
      <c r="AH100" s="22"/>
      <c r="AI100" s="22"/>
      <c r="AJ100" s="22"/>
      <c r="AK100" s="22"/>
      <c r="AL100" s="22"/>
      <c r="AM100" s="22"/>
      <c r="AN100" s="22"/>
      <c r="AO100" s="22"/>
      <c r="AP100" s="22"/>
    </row>
    <row r="101" hidden="1">
      <c r="A101" s="8">
        <v>46038.0</v>
      </c>
      <c r="B101" s="23">
        <v>0.40625</v>
      </c>
      <c r="C101" s="10" t="s">
        <v>32</v>
      </c>
      <c r="D101" s="11" t="s">
        <v>33</v>
      </c>
      <c r="E101" s="12" t="s">
        <v>71</v>
      </c>
      <c r="F101" s="12" t="s">
        <v>380</v>
      </c>
      <c r="G101" s="12" t="s">
        <v>408</v>
      </c>
      <c r="H101" s="12" t="s">
        <v>382</v>
      </c>
      <c r="I101" s="13" t="s">
        <v>409</v>
      </c>
      <c r="J101" s="14">
        <v>37971.0</v>
      </c>
      <c r="K101" s="14">
        <v>16735.0</v>
      </c>
      <c r="L101" s="15">
        <v>0.4407</v>
      </c>
      <c r="M101" s="16">
        <v>7096.0</v>
      </c>
      <c r="N101" s="17">
        <v>0.424</v>
      </c>
      <c r="O101" s="18">
        <v>615.0</v>
      </c>
      <c r="P101" s="18">
        <v>578.0</v>
      </c>
      <c r="Q101" s="19">
        <v>0.0345</v>
      </c>
      <c r="R101" s="19">
        <v>0.0815</v>
      </c>
      <c r="S101" s="20">
        <v>4.0</v>
      </c>
      <c r="T101" s="20">
        <v>9.0</v>
      </c>
      <c r="U101" s="20">
        <v>9889.0</v>
      </c>
      <c r="V101" s="21" t="s">
        <v>221</v>
      </c>
      <c r="W101" s="18" t="s">
        <v>76</v>
      </c>
      <c r="X101" s="41" t="s">
        <v>52</v>
      </c>
      <c r="Y101" s="21" t="s">
        <v>383</v>
      </c>
      <c r="Z101" s="20" t="s">
        <v>410</v>
      </c>
      <c r="AA101" s="62">
        <v>154.0</v>
      </c>
      <c r="AB101" s="52"/>
      <c r="AC101" s="62">
        <v>154.0</v>
      </c>
      <c r="AD101" s="63">
        <v>510611.0</v>
      </c>
      <c r="AE101" s="52"/>
      <c r="AF101" s="63">
        <v>510611.0</v>
      </c>
      <c r="AG101" s="22"/>
      <c r="AH101" s="22"/>
      <c r="AI101" s="22"/>
      <c r="AJ101" s="22"/>
      <c r="AK101" s="22"/>
      <c r="AL101" s="22"/>
      <c r="AM101" s="22"/>
      <c r="AN101" s="22"/>
      <c r="AO101" s="22"/>
      <c r="AP101" s="22"/>
    </row>
    <row r="102" hidden="1">
      <c r="A102" s="8">
        <v>46038.0</v>
      </c>
      <c r="B102" s="23">
        <v>0.40625</v>
      </c>
      <c r="C102" s="10" t="s">
        <v>32</v>
      </c>
      <c r="D102" s="11" t="s">
        <v>33</v>
      </c>
      <c r="E102" s="12" t="s">
        <v>71</v>
      </c>
      <c r="F102" s="12" t="s">
        <v>380</v>
      </c>
      <c r="G102" s="12" t="s">
        <v>411</v>
      </c>
      <c r="H102" s="12" t="s">
        <v>386</v>
      </c>
      <c r="I102" s="13" t="s">
        <v>412</v>
      </c>
      <c r="J102" s="14">
        <v>32247.0</v>
      </c>
      <c r="K102" s="14">
        <v>12143.0</v>
      </c>
      <c r="L102" s="15">
        <v>0.3766</v>
      </c>
      <c r="M102" s="16">
        <v>5043.0</v>
      </c>
      <c r="N102" s="17">
        <v>0.4153</v>
      </c>
      <c r="O102" s="18">
        <v>325.0</v>
      </c>
      <c r="P102" s="18">
        <v>310.0</v>
      </c>
      <c r="Q102" s="19">
        <v>0.0255</v>
      </c>
      <c r="R102" s="19">
        <v>0.0615</v>
      </c>
      <c r="S102" s="20">
        <v>4.0</v>
      </c>
      <c r="T102" s="20">
        <v>9.0</v>
      </c>
      <c r="U102" s="20">
        <v>24799.0</v>
      </c>
      <c r="V102" s="21" t="s">
        <v>221</v>
      </c>
      <c r="W102" s="18" t="s">
        <v>76</v>
      </c>
      <c r="X102" s="41" t="s">
        <v>165</v>
      </c>
      <c r="Y102" s="21" t="s">
        <v>383</v>
      </c>
      <c r="Z102" s="20" t="s">
        <v>413</v>
      </c>
      <c r="AA102" s="62">
        <v>189.0</v>
      </c>
      <c r="AB102" s="52"/>
      <c r="AC102" s="62">
        <v>189.0</v>
      </c>
      <c r="AD102" s="63">
        <v>624837.0</v>
      </c>
      <c r="AE102" s="52"/>
      <c r="AF102" s="63">
        <v>624837.0</v>
      </c>
      <c r="AG102" s="22"/>
      <c r="AH102" s="22"/>
      <c r="AI102" s="22"/>
      <c r="AJ102" s="22"/>
      <c r="AK102" s="22"/>
      <c r="AL102" s="22"/>
      <c r="AM102" s="22"/>
      <c r="AN102" s="22"/>
      <c r="AO102" s="22"/>
      <c r="AP102" s="22"/>
    </row>
    <row r="103" hidden="1">
      <c r="A103" s="8">
        <v>46038.0</v>
      </c>
      <c r="B103" s="23">
        <v>0.7708333333333334</v>
      </c>
      <c r="C103" s="10" t="s">
        <v>32</v>
      </c>
      <c r="D103" s="11" t="s">
        <v>33</v>
      </c>
      <c r="E103" s="12" t="s">
        <v>133</v>
      </c>
      <c r="F103" s="12" t="s">
        <v>414</v>
      </c>
      <c r="G103" s="12" t="s">
        <v>415</v>
      </c>
      <c r="H103" s="12" t="s">
        <v>416</v>
      </c>
      <c r="I103" s="13" t="s">
        <v>115</v>
      </c>
      <c r="J103" s="14">
        <v>95.0</v>
      </c>
      <c r="K103" s="14">
        <v>28.0</v>
      </c>
      <c r="L103" s="15">
        <v>0.2947</v>
      </c>
      <c r="M103" s="16">
        <v>22.0</v>
      </c>
      <c r="N103" s="17">
        <v>0.7857</v>
      </c>
      <c r="O103" s="18">
        <v>1.0</v>
      </c>
      <c r="P103" s="18">
        <v>1.0</v>
      </c>
      <c r="Q103" s="19">
        <v>0.04</v>
      </c>
      <c r="R103" s="19">
        <v>0.05</v>
      </c>
      <c r="S103" s="47"/>
      <c r="T103" s="47"/>
      <c r="U103" s="47"/>
      <c r="V103" s="21" t="s">
        <v>221</v>
      </c>
      <c r="W103" s="18" t="s">
        <v>76</v>
      </c>
      <c r="X103" s="41" t="s">
        <v>111</v>
      </c>
      <c r="Y103" s="66" t="s">
        <v>417</v>
      </c>
      <c r="Z103" s="20" t="s">
        <v>418</v>
      </c>
      <c r="AA103" s="14">
        <v>1.0</v>
      </c>
      <c r="AB103" s="14"/>
      <c r="AC103" s="14">
        <v>1.0</v>
      </c>
      <c r="AD103" s="14">
        <v>5995.0</v>
      </c>
      <c r="AE103" s="52"/>
      <c r="AF103" s="14">
        <v>5995.0</v>
      </c>
      <c r="AG103" s="22"/>
      <c r="AH103" s="22"/>
      <c r="AI103" s="22"/>
      <c r="AJ103" s="22"/>
      <c r="AK103" s="22"/>
      <c r="AL103" s="22"/>
      <c r="AM103" s="22"/>
      <c r="AN103" s="22"/>
      <c r="AO103" s="22"/>
      <c r="AP103" s="22"/>
    </row>
    <row r="104" hidden="1">
      <c r="A104" s="8">
        <v>46038.0</v>
      </c>
      <c r="B104" s="9">
        <v>0.8125</v>
      </c>
      <c r="C104" s="10" t="s">
        <v>58</v>
      </c>
      <c r="D104" s="11" t="s">
        <v>59</v>
      </c>
      <c r="E104" s="12" t="s">
        <v>133</v>
      </c>
      <c r="F104" s="12" t="s">
        <v>414</v>
      </c>
      <c r="G104" s="12" t="s">
        <v>419</v>
      </c>
      <c r="H104" s="12" t="s">
        <v>416</v>
      </c>
      <c r="I104" s="57" t="s">
        <v>61</v>
      </c>
      <c r="J104" s="14">
        <v>67.0</v>
      </c>
      <c r="K104" s="14">
        <v>29.0</v>
      </c>
      <c r="L104" s="15">
        <v>0.433</v>
      </c>
      <c r="M104" s="45"/>
      <c r="N104" s="46"/>
      <c r="O104" s="47"/>
      <c r="P104" s="48"/>
      <c r="Q104" s="67"/>
      <c r="R104" s="49"/>
      <c r="S104" s="47"/>
      <c r="T104" s="47"/>
      <c r="U104" s="47"/>
      <c r="V104" s="21" t="s">
        <v>221</v>
      </c>
      <c r="W104" s="18" t="s">
        <v>62</v>
      </c>
      <c r="X104" s="41" t="s">
        <v>111</v>
      </c>
      <c r="Y104" s="66" t="s">
        <v>417</v>
      </c>
      <c r="Z104" s="20" t="s">
        <v>420</v>
      </c>
      <c r="AA104" s="14">
        <v>1.0</v>
      </c>
      <c r="AB104" s="14"/>
      <c r="AC104" s="14">
        <v>1.0</v>
      </c>
      <c r="AD104" s="14">
        <v>3995.0</v>
      </c>
      <c r="AE104" s="52"/>
      <c r="AF104" s="14">
        <v>3995.0</v>
      </c>
      <c r="AG104" s="22"/>
      <c r="AH104" s="22"/>
      <c r="AI104" s="22"/>
      <c r="AJ104" s="22"/>
      <c r="AK104" s="22"/>
      <c r="AL104" s="22"/>
      <c r="AM104" s="22"/>
      <c r="AN104" s="22"/>
      <c r="AO104" s="22"/>
      <c r="AP104" s="22"/>
    </row>
    <row r="105" hidden="1">
      <c r="A105" s="8">
        <v>46039.0</v>
      </c>
      <c r="B105" s="23">
        <v>0.4166666666666667</v>
      </c>
      <c r="C105" s="10" t="s">
        <v>32</v>
      </c>
      <c r="D105" s="11" t="s">
        <v>33</v>
      </c>
      <c r="E105" s="12" t="s">
        <v>106</v>
      </c>
      <c r="F105" s="12" t="s">
        <v>421</v>
      </c>
      <c r="G105" s="12" t="s">
        <v>422</v>
      </c>
      <c r="H105" s="12" t="s">
        <v>423</v>
      </c>
      <c r="I105" s="57" t="s">
        <v>424</v>
      </c>
      <c r="J105" s="14">
        <v>10153.0</v>
      </c>
      <c r="K105" s="14">
        <v>2907.0</v>
      </c>
      <c r="L105" s="15">
        <v>0.2863</v>
      </c>
      <c r="M105" s="16">
        <v>1097.0</v>
      </c>
      <c r="N105" s="17">
        <v>0.3774</v>
      </c>
      <c r="O105" s="18">
        <v>119.0</v>
      </c>
      <c r="P105" s="18">
        <v>116.0</v>
      </c>
      <c r="Q105" s="19">
        <v>0.0399</v>
      </c>
      <c r="R105" s="19">
        <v>0.1057</v>
      </c>
      <c r="S105" s="20"/>
      <c r="T105" s="20"/>
      <c r="U105" s="20"/>
      <c r="V105" s="21" t="s">
        <v>183</v>
      </c>
      <c r="W105" s="18" t="s">
        <v>76</v>
      </c>
      <c r="X105" s="54" t="s">
        <v>52</v>
      </c>
      <c r="Y105" s="21" t="s">
        <v>425</v>
      </c>
      <c r="Z105" s="20" t="s">
        <v>426</v>
      </c>
      <c r="AA105" s="18">
        <v>6.0</v>
      </c>
      <c r="AB105" s="18"/>
      <c r="AC105" s="18">
        <v>6.0</v>
      </c>
      <c r="AD105" s="18">
        <v>100693.0</v>
      </c>
      <c r="AE105" s="18"/>
      <c r="AF105" s="18">
        <v>100693.0</v>
      </c>
      <c r="AG105" s="22"/>
      <c r="AH105" s="22"/>
      <c r="AI105" s="22"/>
      <c r="AJ105" s="22"/>
      <c r="AK105" s="22"/>
      <c r="AL105" s="22"/>
      <c r="AM105" s="22"/>
      <c r="AN105" s="22"/>
      <c r="AO105" s="22"/>
      <c r="AP105" s="22"/>
    </row>
    <row r="106" hidden="1">
      <c r="A106" s="8">
        <v>46039.0</v>
      </c>
      <c r="B106" s="23">
        <v>0.4166666666666667</v>
      </c>
      <c r="C106" s="10" t="s">
        <v>32</v>
      </c>
      <c r="D106" s="11" t="s">
        <v>33</v>
      </c>
      <c r="E106" s="12" t="s">
        <v>106</v>
      </c>
      <c r="F106" s="12" t="s">
        <v>421</v>
      </c>
      <c r="G106" s="12" t="s">
        <v>427</v>
      </c>
      <c r="H106" s="12" t="s">
        <v>428</v>
      </c>
      <c r="I106" s="57" t="s">
        <v>429</v>
      </c>
      <c r="J106" s="14">
        <v>39713.0</v>
      </c>
      <c r="K106" s="14">
        <v>11239.0</v>
      </c>
      <c r="L106" s="15">
        <v>0.283</v>
      </c>
      <c r="M106" s="16">
        <v>3975.0</v>
      </c>
      <c r="N106" s="17">
        <v>0.3537</v>
      </c>
      <c r="O106" s="18">
        <v>346.0</v>
      </c>
      <c r="P106" s="18">
        <v>322.0</v>
      </c>
      <c r="Q106" s="19">
        <v>0.0287</v>
      </c>
      <c r="R106" s="19">
        <v>0.081</v>
      </c>
      <c r="S106" s="20"/>
      <c r="T106" s="20"/>
      <c r="U106" s="20"/>
      <c r="V106" s="21" t="s">
        <v>183</v>
      </c>
      <c r="W106" s="18" t="s">
        <v>76</v>
      </c>
      <c r="X106" s="54" t="s">
        <v>47</v>
      </c>
      <c r="Y106" s="21" t="s">
        <v>425</v>
      </c>
      <c r="Z106" s="20" t="s">
        <v>430</v>
      </c>
      <c r="AA106" s="18">
        <v>16.0</v>
      </c>
      <c r="AB106" s="18"/>
      <c r="AC106" s="18">
        <v>16.0</v>
      </c>
      <c r="AD106" s="14">
        <v>170882.0</v>
      </c>
      <c r="AE106" s="18"/>
      <c r="AF106" s="14">
        <v>170882.0</v>
      </c>
      <c r="AG106" s="22"/>
      <c r="AH106" s="22"/>
      <c r="AI106" s="22"/>
      <c r="AJ106" s="22"/>
      <c r="AK106" s="22"/>
      <c r="AL106" s="22"/>
      <c r="AM106" s="22"/>
      <c r="AN106" s="22"/>
      <c r="AO106" s="22"/>
      <c r="AP106" s="22"/>
    </row>
    <row r="107" hidden="1">
      <c r="A107" s="8">
        <v>46039.0</v>
      </c>
      <c r="B107" s="23">
        <v>0.4166666666666667</v>
      </c>
      <c r="C107" s="10" t="s">
        <v>32</v>
      </c>
      <c r="D107" s="11" t="s">
        <v>33</v>
      </c>
      <c r="E107" s="12" t="s">
        <v>106</v>
      </c>
      <c r="F107" s="12" t="s">
        <v>421</v>
      </c>
      <c r="G107" s="12" t="s">
        <v>431</v>
      </c>
      <c r="H107" s="12" t="s">
        <v>114</v>
      </c>
      <c r="I107" s="57" t="s">
        <v>115</v>
      </c>
      <c r="J107" s="14">
        <v>208864.0</v>
      </c>
      <c r="K107" s="14">
        <v>69367.0</v>
      </c>
      <c r="L107" s="15">
        <v>0.3321</v>
      </c>
      <c r="M107" s="16">
        <v>22865.0</v>
      </c>
      <c r="N107" s="17">
        <v>0.3296</v>
      </c>
      <c r="O107" s="18">
        <v>1690.0</v>
      </c>
      <c r="P107" s="18">
        <v>1591.0</v>
      </c>
      <c r="Q107" s="19">
        <v>0.0229</v>
      </c>
      <c r="R107" s="19">
        <v>0.0696</v>
      </c>
      <c r="S107" s="20"/>
      <c r="T107" s="20"/>
      <c r="U107" s="20"/>
      <c r="V107" s="21" t="s">
        <v>183</v>
      </c>
      <c r="W107" s="18" t="s">
        <v>76</v>
      </c>
      <c r="X107" s="41" t="s">
        <v>41</v>
      </c>
      <c r="Y107" s="21" t="s">
        <v>425</v>
      </c>
      <c r="Z107" s="20" t="s">
        <v>432</v>
      </c>
      <c r="AA107" s="18">
        <v>83.0</v>
      </c>
      <c r="AB107" s="18"/>
      <c r="AC107" s="18">
        <v>83.0</v>
      </c>
      <c r="AD107" s="14">
        <v>946010.0</v>
      </c>
      <c r="AE107" s="18"/>
      <c r="AF107" s="14">
        <v>946010.0</v>
      </c>
      <c r="AG107" s="22"/>
      <c r="AH107" s="22"/>
      <c r="AI107" s="22"/>
      <c r="AJ107" s="22"/>
      <c r="AK107" s="22"/>
      <c r="AL107" s="22"/>
      <c r="AM107" s="22"/>
      <c r="AN107" s="22"/>
      <c r="AO107" s="22"/>
      <c r="AP107" s="22"/>
    </row>
    <row r="108" hidden="1">
      <c r="A108" s="8">
        <v>46039.0</v>
      </c>
      <c r="B108" s="23">
        <v>0.5</v>
      </c>
      <c r="C108" s="10" t="s">
        <v>58</v>
      </c>
      <c r="D108" s="11" t="s">
        <v>59</v>
      </c>
      <c r="E108" s="12" t="s">
        <v>106</v>
      </c>
      <c r="F108" s="12" t="s">
        <v>421</v>
      </c>
      <c r="G108" s="12" t="s">
        <v>433</v>
      </c>
      <c r="H108" s="12" t="s">
        <v>423</v>
      </c>
      <c r="I108" s="57" t="s">
        <v>61</v>
      </c>
      <c r="J108" s="14">
        <v>7144.0</v>
      </c>
      <c r="K108" s="14">
        <v>3901.0</v>
      </c>
      <c r="L108" s="15">
        <v>0.5461</v>
      </c>
      <c r="M108" s="16"/>
      <c r="N108" s="17"/>
      <c r="O108" s="18">
        <v>0.0</v>
      </c>
      <c r="P108" s="18"/>
      <c r="Q108" s="19">
        <v>0.0</v>
      </c>
      <c r="R108" s="19"/>
      <c r="S108" s="20"/>
      <c r="T108" s="20"/>
      <c r="U108" s="20"/>
      <c r="V108" s="21" t="s">
        <v>183</v>
      </c>
      <c r="W108" s="18" t="s">
        <v>62</v>
      </c>
      <c r="X108" s="41" t="s">
        <v>52</v>
      </c>
      <c r="Y108" s="21" t="s">
        <v>425</v>
      </c>
      <c r="Z108" s="20" t="s">
        <v>434</v>
      </c>
      <c r="AA108" s="18">
        <v>12.0</v>
      </c>
      <c r="AB108" s="18"/>
      <c r="AC108" s="18">
        <v>12.0</v>
      </c>
      <c r="AD108" s="14">
        <v>109189.0</v>
      </c>
      <c r="AE108" s="14"/>
      <c r="AF108" s="14">
        <v>109189.0</v>
      </c>
      <c r="AG108" s="22"/>
      <c r="AH108" s="22"/>
      <c r="AI108" s="22"/>
      <c r="AJ108" s="22"/>
      <c r="AK108" s="22"/>
      <c r="AL108" s="22"/>
      <c r="AM108" s="22"/>
      <c r="AN108" s="22"/>
      <c r="AO108" s="22"/>
      <c r="AP108" s="22"/>
    </row>
    <row r="109" hidden="1">
      <c r="A109" s="8">
        <v>46039.0</v>
      </c>
      <c r="B109" s="23">
        <v>0.5</v>
      </c>
      <c r="C109" s="10" t="s">
        <v>58</v>
      </c>
      <c r="D109" s="11" t="s">
        <v>59</v>
      </c>
      <c r="E109" s="12" t="s">
        <v>106</v>
      </c>
      <c r="F109" s="12" t="s">
        <v>421</v>
      </c>
      <c r="G109" s="12" t="s">
        <v>435</v>
      </c>
      <c r="H109" s="12" t="s">
        <v>428</v>
      </c>
      <c r="I109" s="57" t="s">
        <v>61</v>
      </c>
      <c r="J109" s="14">
        <v>27854.0</v>
      </c>
      <c r="K109" s="14">
        <v>15583.0</v>
      </c>
      <c r="L109" s="15">
        <v>0.5595</v>
      </c>
      <c r="M109" s="16"/>
      <c r="N109" s="17"/>
      <c r="O109" s="18">
        <v>0.0</v>
      </c>
      <c r="P109" s="18"/>
      <c r="Q109" s="19">
        <v>0.0</v>
      </c>
      <c r="R109" s="19"/>
      <c r="S109" s="20"/>
      <c r="T109" s="20"/>
      <c r="U109" s="20"/>
      <c r="V109" s="21" t="s">
        <v>183</v>
      </c>
      <c r="W109" s="18" t="s">
        <v>62</v>
      </c>
      <c r="X109" s="41" t="s">
        <v>47</v>
      </c>
      <c r="Y109" s="21" t="s">
        <v>425</v>
      </c>
      <c r="Z109" s="20" t="s">
        <v>436</v>
      </c>
      <c r="AA109" s="14">
        <v>25.0</v>
      </c>
      <c r="AB109" s="14"/>
      <c r="AC109" s="14">
        <v>25.0</v>
      </c>
      <c r="AD109" s="14">
        <v>403658.0</v>
      </c>
      <c r="AE109" s="14"/>
      <c r="AF109" s="14">
        <v>403658.0</v>
      </c>
      <c r="AG109" s="22"/>
      <c r="AH109" s="22"/>
      <c r="AI109" s="22"/>
      <c r="AJ109" s="22"/>
      <c r="AK109" s="22"/>
      <c r="AL109" s="22"/>
      <c r="AM109" s="22"/>
      <c r="AN109" s="22"/>
      <c r="AO109" s="22"/>
      <c r="AP109" s="22"/>
    </row>
    <row r="110" hidden="1">
      <c r="A110" s="8">
        <v>46039.0</v>
      </c>
      <c r="B110" s="23">
        <v>0.5</v>
      </c>
      <c r="C110" s="10" t="s">
        <v>58</v>
      </c>
      <c r="D110" s="11" t="s">
        <v>59</v>
      </c>
      <c r="E110" s="12" t="s">
        <v>106</v>
      </c>
      <c r="F110" s="12" t="s">
        <v>421</v>
      </c>
      <c r="G110" s="12" t="s">
        <v>437</v>
      </c>
      <c r="H110" s="12" t="s">
        <v>114</v>
      </c>
      <c r="I110" s="57" t="s">
        <v>61</v>
      </c>
      <c r="J110" s="14">
        <v>136538.0</v>
      </c>
      <c r="K110" s="14">
        <v>75727.0</v>
      </c>
      <c r="L110" s="15">
        <v>0.5546</v>
      </c>
      <c r="M110" s="16"/>
      <c r="N110" s="17"/>
      <c r="O110" s="18">
        <v>0.0</v>
      </c>
      <c r="P110" s="18"/>
      <c r="Q110" s="19">
        <v>0.0</v>
      </c>
      <c r="R110" s="19"/>
      <c r="S110" s="20"/>
      <c r="T110" s="20"/>
      <c r="U110" s="20"/>
      <c r="V110" s="21" t="s">
        <v>183</v>
      </c>
      <c r="W110" s="18" t="s">
        <v>62</v>
      </c>
      <c r="X110" s="41" t="s">
        <v>41</v>
      </c>
      <c r="Y110" s="21" t="s">
        <v>425</v>
      </c>
      <c r="Z110" s="20" t="s">
        <v>438</v>
      </c>
      <c r="AA110" s="18">
        <v>116.0</v>
      </c>
      <c r="AB110" s="18"/>
      <c r="AC110" s="18">
        <v>116.0</v>
      </c>
      <c r="AD110" s="14">
        <v>1472059.0</v>
      </c>
      <c r="AE110" s="18"/>
      <c r="AF110" s="14">
        <v>1472059.0</v>
      </c>
      <c r="AG110" s="22"/>
      <c r="AH110" s="22"/>
      <c r="AI110" s="22"/>
      <c r="AJ110" s="22"/>
      <c r="AK110" s="22"/>
      <c r="AL110" s="22"/>
      <c r="AM110" s="22"/>
      <c r="AN110" s="22"/>
      <c r="AO110" s="22"/>
      <c r="AP110" s="22"/>
    </row>
    <row r="111" hidden="1">
      <c r="A111" s="8">
        <v>46039.0</v>
      </c>
      <c r="B111" s="23">
        <v>0.3958333333333333</v>
      </c>
      <c r="C111" s="10" t="s">
        <v>196</v>
      </c>
      <c r="D111" s="11" t="s">
        <v>33</v>
      </c>
      <c r="E111" s="12" t="s">
        <v>34</v>
      </c>
      <c r="F111" s="12" t="s">
        <v>439</v>
      </c>
      <c r="G111" s="12" t="s">
        <v>440</v>
      </c>
      <c r="H111" s="12" t="s">
        <v>441</v>
      </c>
      <c r="I111" s="13" t="s">
        <v>442</v>
      </c>
      <c r="J111" s="14">
        <v>5389.0</v>
      </c>
      <c r="K111" s="14">
        <v>1187.0</v>
      </c>
      <c r="L111" s="15">
        <v>0.2203</v>
      </c>
      <c r="M111" s="16">
        <v>172.0</v>
      </c>
      <c r="N111" s="17">
        <v>0.145</v>
      </c>
      <c r="O111" s="18">
        <v>5.0</v>
      </c>
      <c r="P111" s="18"/>
      <c r="Q111" s="19">
        <v>0.0042</v>
      </c>
      <c r="R111" s="19"/>
      <c r="S111" s="20">
        <v>0.0</v>
      </c>
      <c r="T111" s="20">
        <v>0.0</v>
      </c>
      <c r="U111" s="20">
        <v>0.0</v>
      </c>
      <c r="V111" s="21" t="s">
        <v>221</v>
      </c>
      <c r="W111" s="18" t="s">
        <v>95</v>
      </c>
      <c r="X111" s="41" t="s">
        <v>111</v>
      </c>
      <c r="Y111" s="21" t="s">
        <v>443</v>
      </c>
      <c r="Z111" s="20" t="s">
        <v>444</v>
      </c>
      <c r="AA111" s="18">
        <v>4.0</v>
      </c>
      <c r="AB111" s="52"/>
      <c r="AC111" s="18">
        <v>4.0</v>
      </c>
      <c r="AD111" s="14">
        <v>33332.0</v>
      </c>
      <c r="AE111" s="52"/>
      <c r="AF111" s="14">
        <v>33332.0</v>
      </c>
      <c r="AG111" s="22"/>
      <c r="AH111" s="22"/>
      <c r="AI111" s="22"/>
      <c r="AJ111" s="22"/>
      <c r="AK111" s="22"/>
      <c r="AL111" s="22"/>
      <c r="AM111" s="22"/>
      <c r="AN111" s="22"/>
      <c r="AO111" s="22"/>
      <c r="AP111" s="22"/>
    </row>
    <row r="112" hidden="1">
      <c r="A112" s="8">
        <v>46039.0</v>
      </c>
      <c r="B112" s="23">
        <v>0.3958333333333333</v>
      </c>
      <c r="C112" s="10" t="s">
        <v>196</v>
      </c>
      <c r="D112" s="11" t="s">
        <v>33</v>
      </c>
      <c r="E112" s="12" t="s">
        <v>34</v>
      </c>
      <c r="F112" s="12" t="s">
        <v>439</v>
      </c>
      <c r="G112" s="12" t="s">
        <v>445</v>
      </c>
      <c r="H112" s="12" t="s">
        <v>446</v>
      </c>
      <c r="I112" s="13" t="s">
        <v>447</v>
      </c>
      <c r="J112" s="14">
        <v>3434.0</v>
      </c>
      <c r="K112" s="14">
        <v>699.0</v>
      </c>
      <c r="L112" s="15">
        <v>0.2036</v>
      </c>
      <c r="M112" s="16">
        <v>74.0</v>
      </c>
      <c r="N112" s="17">
        <v>0.106</v>
      </c>
      <c r="O112" s="18">
        <v>3.0</v>
      </c>
      <c r="P112" s="18"/>
      <c r="Q112" s="19">
        <v>0.0043</v>
      </c>
      <c r="R112" s="19"/>
      <c r="S112" s="20">
        <v>0.0</v>
      </c>
      <c r="T112" s="20">
        <v>0.0</v>
      </c>
      <c r="U112" s="20">
        <v>0.0</v>
      </c>
      <c r="V112" s="21" t="s">
        <v>221</v>
      </c>
      <c r="W112" s="18" t="s">
        <v>95</v>
      </c>
      <c r="X112" s="41" t="s">
        <v>111</v>
      </c>
      <c r="Y112" s="21" t="s">
        <v>443</v>
      </c>
      <c r="Z112" s="20" t="s">
        <v>448</v>
      </c>
      <c r="AA112" s="18">
        <v>0.0</v>
      </c>
      <c r="AB112" s="52"/>
      <c r="AC112" s="18">
        <v>0.0</v>
      </c>
      <c r="AD112" s="18">
        <v>0.0</v>
      </c>
      <c r="AE112" s="52"/>
      <c r="AF112" s="18">
        <v>0.0</v>
      </c>
      <c r="AG112" s="22"/>
      <c r="AH112" s="22"/>
      <c r="AI112" s="22"/>
      <c r="AJ112" s="22"/>
      <c r="AK112" s="22"/>
      <c r="AL112" s="22"/>
      <c r="AM112" s="22"/>
      <c r="AN112" s="22"/>
      <c r="AO112" s="22"/>
      <c r="AP112" s="22"/>
    </row>
    <row r="113" hidden="1">
      <c r="A113" s="8">
        <v>46039.0</v>
      </c>
      <c r="B113" s="23">
        <v>0.3958333333333333</v>
      </c>
      <c r="C113" s="10" t="s">
        <v>196</v>
      </c>
      <c r="D113" s="11" t="s">
        <v>33</v>
      </c>
      <c r="E113" s="12" t="s">
        <v>34</v>
      </c>
      <c r="F113" s="12" t="s">
        <v>439</v>
      </c>
      <c r="G113" s="12" t="s">
        <v>449</v>
      </c>
      <c r="H113" s="12" t="s">
        <v>450</v>
      </c>
      <c r="I113" s="13" t="s">
        <v>451</v>
      </c>
      <c r="J113" s="14">
        <v>9348.0</v>
      </c>
      <c r="K113" s="14">
        <v>1963.0</v>
      </c>
      <c r="L113" s="15">
        <v>0.21</v>
      </c>
      <c r="M113" s="16">
        <v>302.0</v>
      </c>
      <c r="N113" s="17">
        <v>0.154</v>
      </c>
      <c r="O113" s="18">
        <v>7.0</v>
      </c>
      <c r="P113" s="18"/>
      <c r="Q113" s="19">
        <v>0.0036</v>
      </c>
      <c r="R113" s="19"/>
      <c r="S113" s="20">
        <v>0.0</v>
      </c>
      <c r="T113" s="20">
        <v>0.0</v>
      </c>
      <c r="U113" s="20">
        <v>0.0</v>
      </c>
      <c r="V113" s="21" t="s">
        <v>221</v>
      </c>
      <c r="W113" s="18" t="s">
        <v>95</v>
      </c>
      <c r="X113" s="41" t="s">
        <v>111</v>
      </c>
      <c r="Y113" s="21" t="s">
        <v>443</v>
      </c>
      <c r="Z113" s="20" t="s">
        <v>452</v>
      </c>
      <c r="AA113" s="18">
        <v>10.0</v>
      </c>
      <c r="AB113" s="52"/>
      <c r="AC113" s="18">
        <v>10.0</v>
      </c>
      <c r="AD113" s="14">
        <v>87779.0</v>
      </c>
      <c r="AE113" s="52"/>
      <c r="AF113" s="14">
        <v>87779.0</v>
      </c>
      <c r="AG113" s="22"/>
      <c r="AH113" s="22"/>
      <c r="AI113" s="22"/>
      <c r="AJ113" s="22"/>
      <c r="AK113" s="22"/>
      <c r="AL113" s="22"/>
      <c r="AM113" s="22"/>
      <c r="AN113" s="22"/>
      <c r="AO113" s="22"/>
      <c r="AP113" s="22"/>
    </row>
    <row r="114" hidden="1">
      <c r="A114" s="8">
        <v>46039.0</v>
      </c>
      <c r="B114" s="23">
        <v>0.5</v>
      </c>
      <c r="C114" s="10" t="s">
        <v>58</v>
      </c>
      <c r="D114" s="11" t="s">
        <v>59</v>
      </c>
      <c r="E114" s="12" t="s">
        <v>34</v>
      </c>
      <c r="F114" s="12" t="s">
        <v>439</v>
      </c>
      <c r="G114" s="12" t="s">
        <v>453</v>
      </c>
      <c r="H114" s="12" t="s">
        <v>441</v>
      </c>
      <c r="I114" s="13" t="s">
        <v>454</v>
      </c>
      <c r="J114" s="14">
        <v>4148.0</v>
      </c>
      <c r="K114" s="14">
        <v>2217.0</v>
      </c>
      <c r="L114" s="15">
        <v>0.5345</v>
      </c>
      <c r="M114" s="16"/>
      <c r="N114" s="17"/>
      <c r="O114" s="18">
        <v>0.0</v>
      </c>
      <c r="P114" s="18"/>
      <c r="Q114" s="19">
        <v>0.0</v>
      </c>
      <c r="R114" s="19"/>
      <c r="S114" s="20">
        <v>0.0</v>
      </c>
      <c r="T114" s="20">
        <v>0.0</v>
      </c>
      <c r="U114" s="20">
        <v>0.0</v>
      </c>
      <c r="V114" s="21" t="s">
        <v>221</v>
      </c>
      <c r="W114" s="18" t="s">
        <v>62</v>
      </c>
      <c r="X114" s="41" t="s">
        <v>111</v>
      </c>
      <c r="Y114" s="21" t="s">
        <v>443</v>
      </c>
      <c r="Z114" s="20" t="s">
        <v>455</v>
      </c>
      <c r="AA114" s="18">
        <v>2.0</v>
      </c>
      <c r="AB114" s="52"/>
      <c r="AC114" s="18">
        <v>2.0</v>
      </c>
      <c r="AD114" s="14">
        <v>26450.0</v>
      </c>
      <c r="AE114" s="52"/>
      <c r="AF114" s="14">
        <v>26450.0</v>
      </c>
      <c r="AG114" s="22"/>
      <c r="AH114" s="22"/>
      <c r="AI114" s="22"/>
      <c r="AJ114" s="22"/>
      <c r="AK114" s="22"/>
      <c r="AL114" s="22"/>
      <c r="AM114" s="22"/>
      <c r="AN114" s="22"/>
      <c r="AO114" s="22"/>
      <c r="AP114" s="22"/>
    </row>
    <row r="115" hidden="1">
      <c r="A115" s="8">
        <v>46039.0</v>
      </c>
      <c r="B115" s="23">
        <v>0.5</v>
      </c>
      <c r="C115" s="10" t="s">
        <v>58</v>
      </c>
      <c r="D115" s="11" t="s">
        <v>59</v>
      </c>
      <c r="E115" s="12" t="s">
        <v>34</v>
      </c>
      <c r="F115" s="12" t="s">
        <v>439</v>
      </c>
      <c r="G115" s="12" t="s">
        <v>456</v>
      </c>
      <c r="H115" s="12" t="s">
        <v>446</v>
      </c>
      <c r="I115" s="57" t="s">
        <v>454</v>
      </c>
      <c r="J115" s="14">
        <v>2694.0</v>
      </c>
      <c r="K115" s="14">
        <v>1623.0</v>
      </c>
      <c r="L115" s="15">
        <v>0.6024</v>
      </c>
      <c r="M115" s="16"/>
      <c r="N115" s="17"/>
      <c r="O115" s="18">
        <v>0.0</v>
      </c>
      <c r="P115" s="18"/>
      <c r="Q115" s="19">
        <v>0.0</v>
      </c>
      <c r="R115" s="19"/>
      <c r="S115" s="20">
        <v>0.0</v>
      </c>
      <c r="T115" s="20">
        <v>0.0</v>
      </c>
      <c r="U115" s="20">
        <v>0.0</v>
      </c>
      <c r="V115" s="21" t="s">
        <v>221</v>
      </c>
      <c r="W115" s="18" t="s">
        <v>62</v>
      </c>
      <c r="X115" s="41" t="s">
        <v>111</v>
      </c>
      <c r="Y115" s="21" t="s">
        <v>443</v>
      </c>
      <c r="Z115" s="20" t="s">
        <v>457</v>
      </c>
      <c r="AA115" s="18">
        <v>3.0</v>
      </c>
      <c r="AB115" s="52"/>
      <c r="AC115" s="18">
        <v>3.0</v>
      </c>
      <c r="AD115" s="14">
        <v>31722.0</v>
      </c>
      <c r="AE115" s="52"/>
      <c r="AF115" s="14">
        <v>31722.0</v>
      </c>
      <c r="AG115" s="22"/>
      <c r="AH115" s="22"/>
      <c r="AI115" s="22"/>
      <c r="AJ115" s="22"/>
      <c r="AK115" s="22"/>
      <c r="AL115" s="22"/>
      <c r="AM115" s="22"/>
      <c r="AN115" s="22"/>
      <c r="AO115" s="22"/>
      <c r="AP115" s="22"/>
    </row>
    <row r="116" hidden="1">
      <c r="A116" s="8">
        <v>46039.0</v>
      </c>
      <c r="B116" s="23">
        <v>0.5</v>
      </c>
      <c r="C116" s="10" t="s">
        <v>58</v>
      </c>
      <c r="D116" s="11" t="s">
        <v>59</v>
      </c>
      <c r="E116" s="12" t="s">
        <v>34</v>
      </c>
      <c r="F116" s="12" t="s">
        <v>439</v>
      </c>
      <c r="G116" s="12" t="s">
        <v>458</v>
      </c>
      <c r="H116" s="12" t="s">
        <v>450</v>
      </c>
      <c r="I116" s="57" t="s">
        <v>454</v>
      </c>
      <c r="J116" s="14">
        <v>7292.0</v>
      </c>
      <c r="K116" s="14">
        <v>4373.0</v>
      </c>
      <c r="L116" s="15">
        <v>0.5997</v>
      </c>
      <c r="M116" s="16"/>
      <c r="N116" s="17"/>
      <c r="O116" s="18">
        <v>0.0</v>
      </c>
      <c r="P116" s="18"/>
      <c r="Q116" s="19">
        <v>0.0</v>
      </c>
      <c r="R116" s="19"/>
      <c r="S116" s="20">
        <v>0.0</v>
      </c>
      <c r="T116" s="20">
        <v>0.0</v>
      </c>
      <c r="U116" s="20">
        <v>0.0</v>
      </c>
      <c r="V116" s="21" t="s">
        <v>221</v>
      </c>
      <c r="W116" s="18" t="s">
        <v>62</v>
      </c>
      <c r="X116" s="41" t="s">
        <v>111</v>
      </c>
      <c r="Y116" s="21" t="s">
        <v>443</v>
      </c>
      <c r="Z116" s="20" t="s">
        <v>459</v>
      </c>
      <c r="AA116" s="18">
        <v>7.0</v>
      </c>
      <c r="AB116" s="52"/>
      <c r="AC116" s="18">
        <v>7.0</v>
      </c>
      <c r="AD116" s="14">
        <v>69817.0</v>
      </c>
      <c r="AE116" s="52"/>
      <c r="AF116" s="14">
        <v>69817.0</v>
      </c>
      <c r="AG116" s="22"/>
      <c r="AH116" s="22"/>
      <c r="AI116" s="22"/>
      <c r="AJ116" s="22"/>
      <c r="AK116" s="22"/>
      <c r="AL116" s="22"/>
      <c r="AM116" s="22"/>
      <c r="AN116" s="22"/>
      <c r="AO116" s="22"/>
      <c r="AP116" s="22"/>
    </row>
    <row r="117" hidden="1">
      <c r="A117" s="8">
        <v>46040.0</v>
      </c>
      <c r="B117" s="23">
        <v>0.40625</v>
      </c>
      <c r="C117" s="10" t="s">
        <v>58</v>
      </c>
      <c r="D117" s="11" t="s">
        <v>33</v>
      </c>
      <c r="E117" s="12" t="s">
        <v>71</v>
      </c>
      <c r="F117" s="12" t="s">
        <v>460</v>
      </c>
      <c r="G117" s="12" t="s">
        <v>461</v>
      </c>
      <c r="H117" s="12" t="s">
        <v>462</v>
      </c>
      <c r="I117" s="13" t="s">
        <v>158</v>
      </c>
      <c r="J117" s="14">
        <v>9940.0</v>
      </c>
      <c r="K117" s="14">
        <v>5051.0</v>
      </c>
      <c r="L117" s="15">
        <v>0.5081</v>
      </c>
      <c r="M117" s="16"/>
      <c r="N117" s="17"/>
      <c r="O117" s="18">
        <v>7.0</v>
      </c>
      <c r="P117" s="18"/>
      <c r="Q117" s="19">
        <v>0.0014</v>
      </c>
      <c r="R117" s="19"/>
      <c r="S117" s="20">
        <v>3.0</v>
      </c>
      <c r="T117" s="20">
        <v>4.0</v>
      </c>
      <c r="U117" s="20">
        <v>14475.0</v>
      </c>
      <c r="V117" s="21" t="s">
        <v>183</v>
      </c>
      <c r="W117" s="18" t="s">
        <v>62</v>
      </c>
      <c r="X117" s="41" t="s">
        <v>159</v>
      </c>
      <c r="Y117" s="21" t="s">
        <v>463</v>
      </c>
      <c r="Z117" s="20" t="s">
        <v>464</v>
      </c>
      <c r="AA117" s="60">
        <v>2.0</v>
      </c>
      <c r="AB117" s="18">
        <v>1.0</v>
      </c>
      <c r="AC117" s="18">
        <v>1.0</v>
      </c>
      <c r="AD117" s="14">
        <v>4228.0</v>
      </c>
      <c r="AE117" s="14">
        <v>2230.0</v>
      </c>
      <c r="AF117" s="14">
        <v>1998.0</v>
      </c>
      <c r="AG117" s="22"/>
      <c r="AH117" s="22"/>
      <c r="AI117" s="22"/>
      <c r="AJ117" s="22"/>
      <c r="AK117" s="22"/>
      <c r="AL117" s="22"/>
      <c r="AM117" s="22"/>
      <c r="AN117" s="22"/>
      <c r="AO117" s="22"/>
      <c r="AP117" s="22"/>
    </row>
    <row r="118" hidden="1">
      <c r="A118" s="8">
        <v>46040.0</v>
      </c>
      <c r="B118" s="23">
        <v>0.40625</v>
      </c>
      <c r="C118" s="10" t="s">
        <v>58</v>
      </c>
      <c r="D118" s="11" t="s">
        <v>33</v>
      </c>
      <c r="E118" s="12" t="s">
        <v>71</v>
      </c>
      <c r="F118" s="12" t="s">
        <v>460</v>
      </c>
      <c r="G118" s="12" t="s">
        <v>465</v>
      </c>
      <c r="H118" s="12" t="s">
        <v>163</v>
      </c>
      <c r="I118" s="13" t="s">
        <v>164</v>
      </c>
      <c r="J118" s="14">
        <v>69228.0</v>
      </c>
      <c r="K118" s="14">
        <v>36982.0</v>
      </c>
      <c r="L118" s="15">
        <v>0.5342</v>
      </c>
      <c r="M118" s="16"/>
      <c r="N118" s="17"/>
      <c r="O118" s="18">
        <v>42.0</v>
      </c>
      <c r="P118" s="18"/>
      <c r="Q118" s="19">
        <v>0.0011</v>
      </c>
      <c r="R118" s="19"/>
      <c r="S118" s="20">
        <v>7.0</v>
      </c>
      <c r="T118" s="20">
        <v>20.0</v>
      </c>
      <c r="U118" s="20">
        <v>16786.0</v>
      </c>
      <c r="V118" s="21" t="s">
        <v>183</v>
      </c>
      <c r="W118" s="18" t="s">
        <v>62</v>
      </c>
      <c r="X118" s="41" t="s">
        <v>165</v>
      </c>
      <c r="Y118" s="21" t="s">
        <v>463</v>
      </c>
      <c r="Z118" s="20" t="s">
        <v>466</v>
      </c>
      <c r="AA118" s="62">
        <v>121.0</v>
      </c>
      <c r="AB118" s="18">
        <v>26.0</v>
      </c>
      <c r="AC118" s="18">
        <v>95.0</v>
      </c>
      <c r="AD118" s="14">
        <v>436005.0</v>
      </c>
      <c r="AE118" s="14">
        <v>62844.0</v>
      </c>
      <c r="AF118" s="14">
        <v>373161.0</v>
      </c>
      <c r="AG118" s="22"/>
      <c r="AH118" s="22"/>
      <c r="AI118" s="22"/>
      <c r="AJ118" s="22"/>
      <c r="AK118" s="22"/>
      <c r="AL118" s="22"/>
      <c r="AM118" s="22"/>
      <c r="AN118" s="22"/>
      <c r="AO118" s="22"/>
      <c r="AP118" s="22"/>
    </row>
    <row r="119" hidden="1">
      <c r="A119" s="8">
        <v>46040.0</v>
      </c>
      <c r="B119" s="23">
        <v>0.40625</v>
      </c>
      <c r="C119" s="10" t="s">
        <v>58</v>
      </c>
      <c r="D119" s="11" t="s">
        <v>33</v>
      </c>
      <c r="E119" s="12" t="s">
        <v>71</v>
      </c>
      <c r="F119" s="12" t="s">
        <v>460</v>
      </c>
      <c r="G119" s="12" t="s">
        <v>467</v>
      </c>
      <c r="H119" s="12" t="s">
        <v>172</v>
      </c>
      <c r="I119" s="13" t="s">
        <v>173</v>
      </c>
      <c r="J119" s="14">
        <v>101627.0</v>
      </c>
      <c r="K119" s="14">
        <v>61387.0</v>
      </c>
      <c r="L119" s="15">
        <v>0.604</v>
      </c>
      <c r="M119" s="16"/>
      <c r="N119" s="17"/>
      <c r="O119" s="18">
        <v>52.0</v>
      </c>
      <c r="P119" s="18"/>
      <c r="Q119" s="19">
        <v>8.0E-4</v>
      </c>
      <c r="R119" s="19"/>
      <c r="S119" s="20">
        <v>5.0</v>
      </c>
      <c r="T119" s="20">
        <v>13.0</v>
      </c>
      <c r="U119" s="20">
        <v>10888.0</v>
      </c>
      <c r="V119" s="21" t="s">
        <v>183</v>
      </c>
      <c r="W119" s="18" t="s">
        <v>62</v>
      </c>
      <c r="X119" s="41" t="s">
        <v>47</v>
      </c>
      <c r="Y119" s="21" t="s">
        <v>463</v>
      </c>
      <c r="Z119" s="20" t="s">
        <v>468</v>
      </c>
      <c r="AA119" s="60">
        <v>74.0</v>
      </c>
      <c r="AB119" s="18">
        <v>15.0</v>
      </c>
      <c r="AC119" s="18">
        <v>59.0</v>
      </c>
      <c r="AD119" s="14">
        <v>192051.0</v>
      </c>
      <c r="AE119" s="14">
        <v>27566.0</v>
      </c>
      <c r="AF119" s="14">
        <v>164485.0</v>
      </c>
      <c r="AG119" s="22"/>
      <c r="AH119" s="22"/>
      <c r="AI119" s="22"/>
      <c r="AJ119" s="22"/>
      <c r="AK119" s="22"/>
      <c r="AL119" s="22"/>
      <c r="AM119" s="22"/>
      <c r="AN119" s="22"/>
      <c r="AO119" s="22"/>
      <c r="AP119" s="22"/>
    </row>
    <row r="120" hidden="1">
      <c r="A120" s="8">
        <v>46040.0</v>
      </c>
      <c r="B120" s="23">
        <v>0.40625</v>
      </c>
      <c r="C120" s="10" t="s">
        <v>58</v>
      </c>
      <c r="D120" s="11" t="s">
        <v>33</v>
      </c>
      <c r="E120" s="12" t="s">
        <v>71</v>
      </c>
      <c r="F120" s="12" t="s">
        <v>460</v>
      </c>
      <c r="G120" s="12" t="s">
        <v>469</v>
      </c>
      <c r="H120" s="12" t="s">
        <v>176</v>
      </c>
      <c r="I120" s="13" t="s">
        <v>177</v>
      </c>
      <c r="J120" s="14">
        <v>180489.0</v>
      </c>
      <c r="K120" s="14">
        <v>108064.0</v>
      </c>
      <c r="L120" s="15">
        <v>0.5987</v>
      </c>
      <c r="M120" s="16"/>
      <c r="N120" s="17"/>
      <c r="O120" s="18">
        <v>90.0</v>
      </c>
      <c r="P120" s="18"/>
      <c r="Q120" s="19">
        <v>8.0E-4</v>
      </c>
      <c r="R120" s="19"/>
      <c r="S120" s="20">
        <v>3.0</v>
      </c>
      <c r="T120" s="20">
        <v>9.0</v>
      </c>
      <c r="U120" s="20">
        <v>10274.0</v>
      </c>
      <c r="V120" s="21" t="s">
        <v>183</v>
      </c>
      <c r="W120" s="18" t="s">
        <v>62</v>
      </c>
      <c r="X120" s="41" t="s">
        <v>41</v>
      </c>
      <c r="Y120" s="21" t="s">
        <v>463</v>
      </c>
      <c r="Z120" s="20" t="s">
        <v>470</v>
      </c>
      <c r="AA120" s="60">
        <v>311.0</v>
      </c>
      <c r="AB120" s="18">
        <v>49.0</v>
      </c>
      <c r="AC120" s="18">
        <v>262.0</v>
      </c>
      <c r="AD120" s="14">
        <v>845513.0</v>
      </c>
      <c r="AE120" s="14">
        <v>106505.0</v>
      </c>
      <c r="AF120" s="14">
        <v>739008.0</v>
      </c>
      <c r="AG120" s="22"/>
      <c r="AH120" s="22"/>
      <c r="AI120" s="22"/>
      <c r="AJ120" s="22"/>
      <c r="AK120" s="22"/>
      <c r="AL120" s="22"/>
      <c r="AM120" s="22"/>
      <c r="AN120" s="22"/>
      <c r="AO120" s="22"/>
      <c r="AP120" s="22"/>
    </row>
    <row r="121" hidden="1">
      <c r="A121" s="8">
        <v>46041.0</v>
      </c>
      <c r="B121" s="23">
        <v>0.40625</v>
      </c>
      <c r="C121" s="10" t="s">
        <v>58</v>
      </c>
      <c r="D121" s="11" t="s">
        <v>33</v>
      </c>
      <c r="E121" s="12" t="s">
        <v>71</v>
      </c>
      <c r="F121" s="12" t="s">
        <v>471</v>
      </c>
      <c r="G121" s="12" t="s">
        <v>472</v>
      </c>
      <c r="H121" s="12" t="s">
        <v>473</v>
      </c>
      <c r="I121" s="68" t="s">
        <v>86</v>
      </c>
      <c r="J121" s="14">
        <v>288054.0</v>
      </c>
      <c r="K121" s="14">
        <v>170685.0</v>
      </c>
      <c r="L121" s="15">
        <v>0.5925</v>
      </c>
      <c r="M121" s="16"/>
      <c r="N121" s="17"/>
      <c r="O121" s="18">
        <v>733.0</v>
      </c>
      <c r="P121" s="18"/>
      <c r="Q121" s="19">
        <v>0.0043</v>
      </c>
      <c r="R121" s="19"/>
      <c r="S121" s="20">
        <v>12.0</v>
      </c>
      <c r="T121" s="20">
        <v>31.0</v>
      </c>
      <c r="U121" s="20">
        <v>37188.0</v>
      </c>
      <c r="V121" s="21" t="s">
        <v>183</v>
      </c>
      <c r="W121" s="18" t="s">
        <v>62</v>
      </c>
      <c r="X121" s="21" t="s">
        <v>52</v>
      </c>
      <c r="Y121" s="64" t="s">
        <v>474</v>
      </c>
      <c r="Z121" s="20" t="s">
        <v>475</v>
      </c>
      <c r="AA121" s="18">
        <v>179.0</v>
      </c>
      <c r="AB121" s="18">
        <v>55.0</v>
      </c>
      <c r="AC121" s="18">
        <v>124.0</v>
      </c>
      <c r="AD121" s="14">
        <v>455365.0</v>
      </c>
      <c r="AE121" s="14">
        <v>146832.0</v>
      </c>
      <c r="AF121" s="14">
        <v>308533.0</v>
      </c>
      <c r="AG121" s="22"/>
      <c r="AH121" s="22"/>
      <c r="AI121" s="22"/>
      <c r="AJ121" s="22"/>
      <c r="AK121" s="22"/>
      <c r="AL121" s="22"/>
      <c r="AM121" s="22"/>
      <c r="AN121" s="22"/>
      <c r="AO121" s="22"/>
      <c r="AP121" s="22"/>
    </row>
    <row r="122" hidden="1">
      <c r="A122" s="8">
        <v>46041.0</v>
      </c>
      <c r="B122" s="23">
        <v>0.40625</v>
      </c>
      <c r="C122" s="10" t="s">
        <v>58</v>
      </c>
      <c r="D122" s="11" t="s">
        <v>33</v>
      </c>
      <c r="E122" s="12" t="s">
        <v>71</v>
      </c>
      <c r="F122" s="12" t="s">
        <v>471</v>
      </c>
      <c r="G122" s="12" t="s">
        <v>476</v>
      </c>
      <c r="H122" s="12" t="s">
        <v>477</v>
      </c>
      <c r="I122" s="57" t="s">
        <v>478</v>
      </c>
      <c r="J122" s="14">
        <v>467346.0</v>
      </c>
      <c r="K122" s="14">
        <v>286861.0</v>
      </c>
      <c r="L122" s="15">
        <v>0.6138</v>
      </c>
      <c r="M122" s="16"/>
      <c r="N122" s="17"/>
      <c r="O122" s="18">
        <v>1225.0</v>
      </c>
      <c r="P122" s="18"/>
      <c r="Q122" s="19">
        <v>0.0043</v>
      </c>
      <c r="R122" s="19"/>
      <c r="S122" s="20">
        <v>4.0</v>
      </c>
      <c r="T122" s="20">
        <v>23.0</v>
      </c>
      <c r="U122" s="20">
        <v>9049.0</v>
      </c>
      <c r="V122" s="21" t="s">
        <v>183</v>
      </c>
      <c r="W122" s="18" t="s">
        <v>62</v>
      </c>
      <c r="X122" s="41" t="s">
        <v>87</v>
      </c>
      <c r="Y122" s="64" t="s">
        <v>474</v>
      </c>
      <c r="Z122" s="20" t="s">
        <v>479</v>
      </c>
      <c r="AA122" s="18">
        <v>109.0</v>
      </c>
      <c r="AB122" s="18">
        <v>35.0</v>
      </c>
      <c r="AC122" s="18">
        <v>74.0</v>
      </c>
      <c r="AD122" s="14">
        <v>328207.0</v>
      </c>
      <c r="AE122" s="14">
        <v>68465.0</v>
      </c>
      <c r="AF122" s="14">
        <v>259742.0</v>
      </c>
      <c r="AG122" s="22"/>
      <c r="AH122" s="22"/>
      <c r="AI122" s="22"/>
      <c r="AJ122" s="22"/>
      <c r="AK122" s="22"/>
      <c r="AL122" s="22"/>
      <c r="AM122" s="22"/>
      <c r="AN122" s="22"/>
      <c r="AO122" s="22"/>
      <c r="AP122" s="22"/>
    </row>
    <row r="123" hidden="1">
      <c r="A123" s="8">
        <v>46041.0</v>
      </c>
      <c r="B123" s="23">
        <v>0.40625</v>
      </c>
      <c r="C123" s="10" t="s">
        <v>58</v>
      </c>
      <c r="D123" s="11" t="s">
        <v>33</v>
      </c>
      <c r="E123" s="12" t="s">
        <v>71</v>
      </c>
      <c r="F123" s="12" t="s">
        <v>471</v>
      </c>
      <c r="G123" s="12" t="s">
        <v>480</v>
      </c>
      <c r="H123" s="12" t="s">
        <v>481</v>
      </c>
      <c r="I123" s="57" t="s">
        <v>75</v>
      </c>
      <c r="J123" s="14">
        <v>140041.0</v>
      </c>
      <c r="K123" s="14">
        <v>81517.0</v>
      </c>
      <c r="L123" s="15">
        <v>0.5821</v>
      </c>
      <c r="M123" s="16"/>
      <c r="N123" s="17"/>
      <c r="O123" s="18">
        <v>379.0</v>
      </c>
      <c r="P123" s="18"/>
      <c r="Q123" s="19">
        <v>0.0046</v>
      </c>
      <c r="R123" s="19"/>
      <c r="S123" s="20">
        <v>4.0</v>
      </c>
      <c r="T123" s="20">
        <v>14.0</v>
      </c>
      <c r="U123" s="20">
        <v>11653.0</v>
      </c>
      <c r="V123" s="21" t="s">
        <v>183</v>
      </c>
      <c r="W123" s="18" t="s">
        <v>62</v>
      </c>
      <c r="X123" s="41" t="s">
        <v>82</v>
      </c>
      <c r="Y123" s="64" t="s">
        <v>474</v>
      </c>
      <c r="Z123" s="20" t="s">
        <v>482</v>
      </c>
      <c r="AA123" s="18">
        <v>76.0</v>
      </c>
      <c r="AB123" s="18">
        <v>22.0</v>
      </c>
      <c r="AC123" s="18">
        <v>54.0</v>
      </c>
      <c r="AD123" s="14">
        <v>247934.0</v>
      </c>
      <c r="AE123" s="14">
        <v>48943.0</v>
      </c>
      <c r="AF123" s="14">
        <v>198991.0</v>
      </c>
      <c r="AG123" s="22"/>
      <c r="AH123" s="22"/>
      <c r="AI123" s="22"/>
      <c r="AJ123" s="22"/>
      <c r="AK123" s="22"/>
      <c r="AL123" s="22"/>
      <c r="AM123" s="22"/>
      <c r="AN123" s="22"/>
      <c r="AO123" s="22"/>
      <c r="AP123" s="22"/>
    </row>
    <row r="124" hidden="1">
      <c r="A124" s="8">
        <v>46042.0</v>
      </c>
      <c r="B124" s="23">
        <v>0.8229166666666666</v>
      </c>
      <c r="C124" s="10" t="s">
        <v>58</v>
      </c>
      <c r="D124" s="11" t="s">
        <v>33</v>
      </c>
      <c r="E124" s="12" t="s">
        <v>71</v>
      </c>
      <c r="F124" s="12" t="s">
        <v>483</v>
      </c>
      <c r="G124" s="12" t="s">
        <v>484</v>
      </c>
      <c r="H124" s="12" t="s">
        <v>485</v>
      </c>
      <c r="I124" s="57" t="s">
        <v>486</v>
      </c>
      <c r="J124" s="14">
        <v>17334.0</v>
      </c>
      <c r="K124" s="14">
        <v>9349.0</v>
      </c>
      <c r="L124" s="15">
        <v>0.539</v>
      </c>
      <c r="M124" s="16"/>
      <c r="N124" s="17"/>
      <c r="O124" s="18">
        <v>32.0</v>
      </c>
      <c r="P124" s="18"/>
      <c r="Q124" s="19">
        <v>0.003</v>
      </c>
      <c r="R124" s="19"/>
      <c r="S124" s="20"/>
      <c r="T124" s="20">
        <v>2.0</v>
      </c>
      <c r="U124" s="20"/>
      <c r="V124" s="21" t="s">
        <v>183</v>
      </c>
      <c r="W124" s="18" t="s">
        <v>62</v>
      </c>
      <c r="X124" s="41" t="s">
        <v>52</v>
      </c>
      <c r="Y124" s="64" t="s">
        <v>487</v>
      </c>
      <c r="Z124" s="20" t="s">
        <v>488</v>
      </c>
      <c r="AA124" s="18">
        <v>7.0</v>
      </c>
      <c r="AB124" s="18">
        <v>7.0</v>
      </c>
      <c r="AC124" s="18"/>
      <c r="AD124" s="14">
        <v>13064.0</v>
      </c>
      <c r="AE124" s="52">
        <v>13064.0</v>
      </c>
      <c r="AF124" s="14"/>
      <c r="AG124" s="22"/>
      <c r="AH124" s="22"/>
      <c r="AI124" s="22"/>
      <c r="AJ124" s="22"/>
      <c r="AK124" s="22"/>
      <c r="AL124" s="22"/>
      <c r="AM124" s="22"/>
      <c r="AN124" s="22"/>
      <c r="AO124" s="22"/>
      <c r="AP124" s="22"/>
    </row>
    <row r="125" hidden="1">
      <c r="A125" s="8">
        <v>46042.0</v>
      </c>
      <c r="B125" s="23">
        <v>0.8229166666666666</v>
      </c>
      <c r="C125" s="10" t="s">
        <v>58</v>
      </c>
      <c r="D125" s="11" t="s">
        <v>33</v>
      </c>
      <c r="E125" s="12" t="s">
        <v>71</v>
      </c>
      <c r="F125" s="12" t="s">
        <v>483</v>
      </c>
      <c r="G125" s="12" t="s">
        <v>489</v>
      </c>
      <c r="H125" s="12" t="s">
        <v>490</v>
      </c>
      <c r="I125" s="57" t="s">
        <v>491</v>
      </c>
      <c r="J125" s="14">
        <v>15709.0</v>
      </c>
      <c r="K125" s="14">
        <v>7145.0</v>
      </c>
      <c r="L125" s="15">
        <v>0.455</v>
      </c>
      <c r="M125" s="16"/>
      <c r="N125" s="17"/>
      <c r="O125" s="18">
        <v>52.0</v>
      </c>
      <c r="P125" s="18"/>
      <c r="Q125" s="19">
        <v>0.007</v>
      </c>
      <c r="R125" s="19"/>
      <c r="S125" s="20">
        <v>6.0</v>
      </c>
      <c r="T125" s="20">
        <v>11.0</v>
      </c>
      <c r="U125" s="20">
        <v>15345.0</v>
      </c>
      <c r="V125" s="21" t="s">
        <v>335</v>
      </c>
      <c r="W125" s="18" t="s">
        <v>62</v>
      </c>
      <c r="X125" s="41" t="s">
        <v>165</v>
      </c>
      <c r="Y125" s="64" t="s">
        <v>487</v>
      </c>
      <c r="Z125" s="20" t="s">
        <v>492</v>
      </c>
      <c r="AA125" s="18">
        <v>20.0</v>
      </c>
      <c r="AB125" s="18">
        <v>20.0</v>
      </c>
      <c r="AC125" s="18"/>
      <c r="AD125" s="52">
        <v>40780.0</v>
      </c>
      <c r="AE125" s="52">
        <v>40780.0</v>
      </c>
      <c r="AF125" s="14"/>
      <c r="AG125" s="22"/>
      <c r="AH125" s="22"/>
      <c r="AI125" s="22"/>
      <c r="AJ125" s="22"/>
      <c r="AK125" s="22"/>
      <c r="AL125" s="22"/>
      <c r="AM125" s="22"/>
      <c r="AN125" s="22"/>
      <c r="AO125" s="22"/>
      <c r="AP125" s="22"/>
    </row>
    <row r="126" hidden="1">
      <c r="A126" s="8">
        <v>46042.0</v>
      </c>
      <c r="B126" s="23">
        <v>0.8229166666666666</v>
      </c>
      <c r="C126" s="10" t="s">
        <v>58</v>
      </c>
      <c r="D126" s="11" t="s">
        <v>33</v>
      </c>
      <c r="E126" s="12" t="s">
        <v>71</v>
      </c>
      <c r="F126" s="12" t="s">
        <v>483</v>
      </c>
      <c r="G126" s="12" t="s">
        <v>493</v>
      </c>
      <c r="H126" s="12" t="s">
        <v>494</v>
      </c>
      <c r="I126" s="57" t="s">
        <v>495</v>
      </c>
      <c r="J126" s="14">
        <v>66849.0</v>
      </c>
      <c r="K126" s="14">
        <v>39441.0</v>
      </c>
      <c r="L126" s="15">
        <v>0.59</v>
      </c>
      <c r="M126" s="16"/>
      <c r="N126" s="17"/>
      <c r="O126" s="18">
        <v>78.0</v>
      </c>
      <c r="P126" s="18"/>
      <c r="Q126" s="19">
        <v>0.002</v>
      </c>
      <c r="R126" s="19"/>
      <c r="S126" s="20">
        <v>6.0</v>
      </c>
      <c r="T126" s="20">
        <v>16.0</v>
      </c>
      <c r="U126" s="20">
        <v>20034.0</v>
      </c>
      <c r="V126" s="21" t="s">
        <v>335</v>
      </c>
      <c r="W126" s="18" t="s">
        <v>62</v>
      </c>
      <c r="X126" s="41" t="s">
        <v>496</v>
      </c>
      <c r="Y126" s="64" t="s">
        <v>487</v>
      </c>
      <c r="Z126" s="20" t="s">
        <v>497</v>
      </c>
      <c r="AA126" s="18">
        <v>29.0</v>
      </c>
      <c r="AB126" s="18">
        <v>29.0</v>
      </c>
      <c r="AC126" s="18"/>
      <c r="AD126" s="52">
        <v>72713.0</v>
      </c>
      <c r="AE126" s="52">
        <v>72713.0</v>
      </c>
      <c r="AF126" s="14"/>
      <c r="AG126" s="22"/>
      <c r="AH126" s="22"/>
      <c r="AI126" s="22"/>
      <c r="AJ126" s="22"/>
      <c r="AK126" s="22"/>
      <c r="AL126" s="22"/>
      <c r="AM126" s="22"/>
      <c r="AN126" s="22"/>
      <c r="AO126" s="22"/>
      <c r="AP126" s="22"/>
    </row>
    <row r="127" hidden="1">
      <c r="A127" s="8">
        <v>46042.0</v>
      </c>
      <c r="B127" s="23">
        <v>0.4583333333333333</v>
      </c>
      <c r="C127" s="10" t="s">
        <v>58</v>
      </c>
      <c r="D127" s="11" t="s">
        <v>33</v>
      </c>
      <c r="E127" s="12" t="s">
        <v>71</v>
      </c>
      <c r="F127" s="12" t="s">
        <v>498</v>
      </c>
      <c r="G127" s="12" t="s">
        <v>499</v>
      </c>
      <c r="H127" s="12" t="s">
        <v>500</v>
      </c>
      <c r="I127" s="57" t="s">
        <v>501</v>
      </c>
      <c r="J127" s="14">
        <v>176992.0</v>
      </c>
      <c r="K127" s="14">
        <v>103800.0</v>
      </c>
      <c r="L127" s="15">
        <v>0.5865</v>
      </c>
      <c r="M127" s="16"/>
      <c r="N127" s="17"/>
      <c r="O127" s="18">
        <v>49.0</v>
      </c>
      <c r="P127" s="18"/>
      <c r="Q127" s="19">
        <v>5.0E-4</v>
      </c>
      <c r="R127" s="19"/>
      <c r="S127" s="20">
        <v>9.0</v>
      </c>
      <c r="T127" s="20">
        <v>33.0</v>
      </c>
      <c r="U127" s="20">
        <v>18191.0</v>
      </c>
      <c r="V127" s="21" t="s">
        <v>315</v>
      </c>
      <c r="W127" s="18" t="s">
        <v>62</v>
      </c>
      <c r="X127" s="21" t="s">
        <v>41</v>
      </c>
      <c r="Y127" s="21" t="s">
        <v>502</v>
      </c>
      <c r="Z127" s="20" t="s">
        <v>503</v>
      </c>
      <c r="AA127" s="18">
        <v>115.0</v>
      </c>
      <c r="AB127" s="18"/>
      <c r="AC127" s="18">
        <v>115.0</v>
      </c>
      <c r="AD127" s="14">
        <v>433613.0</v>
      </c>
      <c r="AE127" s="14"/>
      <c r="AF127" s="14">
        <v>433613.0</v>
      </c>
      <c r="AG127" s="22"/>
      <c r="AH127" s="22"/>
      <c r="AI127" s="22"/>
      <c r="AJ127" s="22"/>
      <c r="AK127" s="22"/>
      <c r="AL127" s="22"/>
      <c r="AM127" s="22"/>
      <c r="AN127" s="22"/>
      <c r="AO127" s="22"/>
      <c r="AP127" s="22"/>
    </row>
    <row r="128" hidden="1">
      <c r="A128" s="8">
        <v>46042.0</v>
      </c>
      <c r="B128" s="23">
        <v>0.4583333333333333</v>
      </c>
      <c r="C128" s="10" t="s">
        <v>58</v>
      </c>
      <c r="D128" s="11" t="s">
        <v>33</v>
      </c>
      <c r="E128" s="12" t="s">
        <v>71</v>
      </c>
      <c r="F128" s="12" t="s">
        <v>498</v>
      </c>
      <c r="G128" s="12" t="s">
        <v>504</v>
      </c>
      <c r="H128" s="12" t="s">
        <v>505</v>
      </c>
      <c r="I128" s="57" t="s">
        <v>506</v>
      </c>
      <c r="J128" s="14">
        <v>199430.0</v>
      </c>
      <c r="K128" s="14">
        <v>120198.0</v>
      </c>
      <c r="L128" s="15">
        <v>0.6027</v>
      </c>
      <c r="M128" s="16"/>
      <c r="N128" s="17"/>
      <c r="O128" s="18">
        <v>56.0</v>
      </c>
      <c r="P128" s="18"/>
      <c r="Q128" s="19">
        <v>5.0E-4</v>
      </c>
      <c r="R128" s="19"/>
      <c r="S128" s="20">
        <v>17.0</v>
      </c>
      <c r="T128" s="20">
        <v>41.0</v>
      </c>
      <c r="U128" s="20">
        <v>31437.0</v>
      </c>
      <c r="V128" s="21" t="s">
        <v>315</v>
      </c>
      <c r="W128" s="18" t="s">
        <v>62</v>
      </c>
      <c r="X128" s="21" t="s">
        <v>111</v>
      </c>
      <c r="Y128" s="21" t="s">
        <v>502</v>
      </c>
      <c r="Z128" s="20" t="s">
        <v>507</v>
      </c>
      <c r="AA128" s="18">
        <v>199.0</v>
      </c>
      <c r="AB128" s="18"/>
      <c r="AC128" s="18">
        <v>199.0</v>
      </c>
      <c r="AD128" s="14">
        <v>808052.0</v>
      </c>
      <c r="AE128" s="14"/>
      <c r="AF128" s="14">
        <v>808052.0</v>
      </c>
      <c r="AG128" s="22"/>
      <c r="AH128" s="22"/>
      <c r="AI128" s="22"/>
      <c r="AJ128" s="22"/>
      <c r="AK128" s="22"/>
      <c r="AL128" s="22"/>
      <c r="AM128" s="22"/>
      <c r="AN128" s="22"/>
      <c r="AO128" s="22"/>
      <c r="AP128" s="22"/>
    </row>
    <row r="129" hidden="1">
      <c r="A129" s="8">
        <v>46042.0</v>
      </c>
      <c r="B129" s="23">
        <v>0.5416666666666666</v>
      </c>
      <c r="C129" s="10" t="s">
        <v>58</v>
      </c>
      <c r="D129" s="11" t="s">
        <v>59</v>
      </c>
      <c r="E129" s="12" t="s">
        <v>71</v>
      </c>
      <c r="F129" s="12" t="s">
        <v>498</v>
      </c>
      <c r="G129" s="12" t="s">
        <v>508</v>
      </c>
      <c r="H129" s="12" t="s">
        <v>509</v>
      </c>
      <c r="I129" s="57" t="s">
        <v>61</v>
      </c>
      <c r="J129" s="14">
        <v>39743.0</v>
      </c>
      <c r="K129" s="14">
        <v>23607.0</v>
      </c>
      <c r="L129" s="15">
        <v>0.594</v>
      </c>
      <c r="M129" s="16"/>
      <c r="N129" s="17"/>
      <c r="O129" s="18">
        <v>14.0</v>
      </c>
      <c r="P129" s="18"/>
      <c r="Q129" s="19">
        <v>6.0E-4</v>
      </c>
      <c r="R129" s="19"/>
      <c r="S129" s="20">
        <v>2.0</v>
      </c>
      <c r="T129" s="20">
        <v>8.0</v>
      </c>
      <c r="U129" s="20">
        <v>3416.0</v>
      </c>
      <c r="V129" s="21" t="s">
        <v>315</v>
      </c>
      <c r="W129" s="18" t="s">
        <v>62</v>
      </c>
      <c r="X129" s="21" t="s">
        <v>159</v>
      </c>
      <c r="Y129" s="21" t="s">
        <v>502</v>
      </c>
      <c r="Z129" s="20" t="s">
        <v>510</v>
      </c>
      <c r="AA129" s="18">
        <v>74.0</v>
      </c>
      <c r="AB129" s="18"/>
      <c r="AC129" s="18">
        <v>74.0</v>
      </c>
      <c r="AD129" s="14">
        <v>268396.0</v>
      </c>
      <c r="AE129" s="14"/>
      <c r="AF129" s="14">
        <v>268396.0</v>
      </c>
      <c r="AG129" s="22"/>
      <c r="AH129" s="22"/>
      <c r="AI129" s="22"/>
      <c r="AJ129" s="22"/>
      <c r="AK129" s="22"/>
      <c r="AL129" s="22"/>
      <c r="AM129" s="22"/>
      <c r="AN129" s="22"/>
      <c r="AO129" s="22"/>
      <c r="AP129" s="22"/>
    </row>
    <row r="130" hidden="1">
      <c r="A130" s="8">
        <v>46042.0</v>
      </c>
      <c r="B130" s="23">
        <v>0.5416666666666666</v>
      </c>
      <c r="C130" s="10" t="s">
        <v>58</v>
      </c>
      <c r="D130" s="11" t="s">
        <v>59</v>
      </c>
      <c r="E130" s="12" t="s">
        <v>71</v>
      </c>
      <c r="F130" s="12" t="s">
        <v>498</v>
      </c>
      <c r="G130" s="12" t="s">
        <v>511</v>
      </c>
      <c r="H130" s="12" t="s">
        <v>512</v>
      </c>
      <c r="I130" s="57" t="s">
        <v>61</v>
      </c>
      <c r="J130" s="14">
        <v>49878.0</v>
      </c>
      <c r="K130" s="14">
        <v>27810.0</v>
      </c>
      <c r="L130" s="15">
        <v>0.5576</v>
      </c>
      <c r="M130" s="16"/>
      <c r="N130" s="17"/>
      <c r="O130" s="18">
        <v>18.0</v>
      </c>
      <c r="P130" s="18"/>
      <c r="Q130" s="19">
        <v>6.0E-4</v>
      </c>
      <c r="R130" s="19"/>
      <c r="S130" s="20">
        <v>5.0</v>
      </c>
      <c r="T130" s="20">
        <v>26.0</v>
      </c>
      <c r="U130" s="20">
        <v>9935.0</v>
      </c>
      <c r="V130" s="21" t="s">
        <v>315</v>
      </c>
      <c r="W130" s="18" t="s">
        <v>62</v>
      </c>
      <c r="X130" s="21" t="s">
        <v>82</v>
      </c>
      <c r="Y130" s="21" t="s">
        <v>502</v>
      </c>
      <c r="Z130" s="20" t="s">
        <v>513</v>
      </c>
      <c r="AA130" s="18">
        <v>200.0</v>
      </c>
      <c r="AB130" s="18"/>
      <c r="AC130" s="18">
        <v>200.0</v>
      </c>
      <c r="AD130" s="14">
        <v>940261.0</v>
      </c>
      <c r="AE130" s="52"/>
      <c r="AF130" s="14">
        <v>940261.0</v>
      </c>
      <c r="AG130" s="22"/>
      <c r="AH130" s="22"/>
      <c r="AI130" s="22"/>
      <c r="AJ130" s="22"/>
      <c r="AK130" s="22"/>
      <c r="AL130" s="22"/>
      <c r="AM130" s="22"/>
      <c r="AN130" s="22"/>
      <c r="AO130" s="22"/>
      <c r="AP130" s="22"/>
    </row>
    <row r="131" hidden="1">
      <c r="A131" s="8">
        <v>46042.0</v>
      </c>
      <c r="B131" s="23">
        <v>0.5416666666666666</v>
      </c>
      <c r="C131" s="10" t="s">
        <v>58</v>
      </c>
      <c r="D131" s="11" t="s">
        <v>59</v>
      </c>
      <c r="E131" s="12" t="s">
        <v>71</v>
      </c>
      <c r="F131" s="12" t="s">
        <v>498</v>
      </c>
      <c r="G131" s="12" t="s">
        <v>514</v>
      </c>
      <c r="H131" s="12" t="s">
        <v>515</v>
      </c>
      <c r="I131" s="57" t="s">
        <v>61</v>
      </c>
      <c r="J131" s="14">
        <v>60115.0</v>
      </c>
      <c r="K131" s="14">
        <v>35618.0</v>
      </c>
      <c r="L131" s="15">
        <v>0.5925</v>
      </c>
      <c r="M131" s="16"/>
      <c r="N131" s="17"/>
      <c r="O131" s="18">
        <v>57.0</v>
      </c>
      <c r="P131" s="18"/>
      <c r="Q131" s="19">
        <v>0.0016</v>
      </c>
      <c r="R131" s="19"/>
      <c r="S131" s="20">
        <v>10.0</v>
      </c>
      <c r="T131" s="20">
        <v>22.0</v>
      </c>
      <c r="U131" s="20">
        <v>14357.0</v>
      </c>
      <c r="V131" s="21" t="s">
        <v>315</v>
      </c>
      <c r="W131" s="18" t="s">
        <v>62</v>
      </c>
      <c r="X131" s="21" t="s">
        <v>47</v>
      </c>
      <c r="Y131" s="21" t="s">
        <v>502</v>
      </c>
      <c r="Z131" s="20" t="s">
        <v>516</v>
      </c>
      <c r="AA131" s="18">
        <v>84.0</v>
      </c>
      <c r="AB131" s="18"/>
      <c r="AC131" s="18">
        <v>84.0</v>
      </c>
      <c r="AD131" s="14">
        <v>312740.0</v>
      </c>
      <c r="AE131" s="52"/>
      <c r="AF131" s="14">
        <v>312740.0</v>
      </c>
      <c r="AG131" s="22"/>
      <c r="AH131" s="22"/>
      <c r="AI131" s="22"/>
      <c r="AJ131" s="22"/>
      <c r="AK131" s="22"/>
      <c r="AL131" s="22"/>
      <c r="AM131" s="22"/>
      <c r="AN131" s="22"/>
      <c r="AO131" s="22"/>
      <c r="AP131" s="22"/>
    </row>
    <row r="132" hidden="1">
      <c r="A132" s="69">
        <v>46042.0</v>
      </c>
      <c r="B132" s="70">
        <v>0.4583333333333333</v>
      </c>
      <c r="C132" s="11" t="s">
        <v>32</v>
      </c>
      <c r="D132" s="11" t="s">
        <v>33</v>
      </c>
      <c r="E132" s="71" t="s">
        <v>71</v>
      </c>
      <c r="F132" s="71" t="s">
        <v>517</v>
      </c>
      <c r="G132" s="71" t="s">
        <v>518</v>
      </c>
      <c r="H132" s="71" t="s">
        <v>515</v>
      </c>
      <c r="I132" s="13" t="s">
        <v>519</v>
      </c>
      <c r="J132" s="14">
        <v>117320.0</v>
      </c>
      <c r="K132" s="14">
        <v>55879.0</v>
      </c>
      <c r="L132" s="15">
        <v>0.4763</v>
      </c>
      <c r="M132" s="14">
        <v>26029.0</v>
      </c>
      <c r="N132" s="15">
        <v>0.4655</v>
      </c>
      <c r="O132" s="18">
        <v>1036.0</v>
      </c>
      <c r="P132" s="18">
        <v>948.0</v>
      </c>
      <c r="Q132" s="19">
        <v>0.017</v>
      </c>
      <c r="R132" s="19">
        <v>0.0364</v>
      </c>
      <c r="S132" s="20">
        <v>10.0</v>
      </c>
      <c r="T132" s="20">
        <v>40.0</v>
      </c>
      <c r="U132" s="20">
        <v>28042.0</v>
      </c>
      <c r="V132" s="20" t="s">
        <v>315</v>
      </c>
      <c r="W132" s="18" t="s">
        <v>40</v>
      </c>
      <c r="X132" s="20" t="s">
        <v>47</v>
      </c>
      <c r="Y132" s="20" t="s">
        <v>502</v>
      </c>
      <c r="Z132" s="20" t="s">
        <v>520</v>
      </c>
      <c r="AA132" s="18">
        <v>121.0</v>
      </c>
      <c r="AB132" s="18"/>
      <c r="AC132" s="18">
        <v>121.0</v>
      </c>
      <c r="AD132" s="14">
        <v>351629.0</v>
      </c>
      <c r="AE132" s="52"/>
      <c r="AF132" s="14">
        <v>351629.0</v>
      </c>
      <c r="AG132" s="22"/>
      <c r="AH132" s="22"/>
      <c r="AI132" s="22"/>
      <c r="AJ132" s="22"/>
      <c r="AK132" s="22"/>
      <c r="AL132" s="22"/>
      <c r="AM132" s="22"/>
      <c r="AN132" s="22"/>
      <c r="AO132" s="22"/>
      <c r="AP132" s="22"/>
    </row>
    <row r="133" hidden="1">
      <c r="A133" s="69">
        <v>46042.0</v>
      </c>
      <c r="B133" s="70">
        <v>0.4583333333333333</v>
      </c>
      <c r="C133" s="11" t="s">
        <v>32</v>
      </c>
      <c r="D133" s="11" t="s">
        <v>33</v>
      </c>
      <c r="E133" s="71" t="s">
        <v>71</v>
      </c>
      <c r="F133" s="71" t="s">
        <v>517</v>
      </c>
      <c r="G133" s="71" t="s">
        <v>521</v>
      </c>
      <c r="H133" s="71" t="s">
        <v>512</v>
      </c>
      <c r="I133" s="13" t="s">
        <v>522</v>
      </c>
      <c r="J133" s="14">
        <v>86577.0</v>
      </c>
      <c r="K133" s="14">
        <v>35212.0</v>
      </c>
      <c r="L133" s="15">
        <v>0.4067</v>
      </c>
      <c r="M133" s="14">
        <v>14418.0</v>
      </c>
      <c r="N133" s="15">
        <v>0.4094</v>
      </c>
      <c r="O133" s="18">
        <v>521.0</v>
      </c>
      <c r="P133" s="18">
        <v>493.0</v>
      </c>
      <c r="Q133" s="19">
        <v>0.014</v>
      </c>
      <c r="R133" s="19">
        <v>0.0342</v>
      </c>
      <c r="S133" s="20">
        <v>19.0</v>
      </c>
      <c r="T133" s="20">
        <v>43.0</v>
      </c>
      <c r="U133" s="20">
        <v>41967.0</v>
      </c>
      <c r="V133" s="20" t="s">
        <v>315</v>
      </c>
      <c r="W133" s="18" t="s">
        <v>40</v>
      </c>
      <c r="X133" s="20" t="s">
        <v>82</v>
      </c>
      <c r="Y133" s="20" t="s">
        <v>502</v>
      </c>
      <c r="Z133" s="20" t="s">
        <v>523</v>
      </c>
      <c r="AA133" s="18">
        <v>225.0</v>
      </c>
      <c r="AB133" s="18"/>
      <c r="AC133" s="18">
        <v>225.0</v>
      </c>
      <c r="AD133" s="14">
        <v>975818.0</v>
      </c>
      <c r="AE133" s="52"/>
      <c r="AF133" s="14">
        <v>975818.0</v>
      </c>
      <c r="AG133" s="22"/>
      <c r="AH133" s="22"/>
      <c r="AI133" s="22"/>
      <c r="AJ133" s="22"/>
      <c r="AK133" s="22"/>
      <c r="AL133" s="22"/>
      <c r="AM133" s="22"/>
      <c r="AN133" s="22"/>
      <c r="AO133" s="22"/>
      <c r="AP133" s="22"/>
    </row>
    <row r="134" hidden="1">
      <c r="A134" s="69">
        <v>46042.0</v>
      </c>
      <c r="B134" s="70">
        <v>0.4583333333333333</v>
      </c>
      <c r="C134" s="11" t="s">
        <v>32</v>
      </c>
      <c r="D134" s="11" t="s">
        <v>33</v>
      </c>
      <c r="E134" s="71" t="s">
        <v>71</v>
      </c>
      <c r="F134" s="71" t="s">
        <v>517</v>
      </c>
      <c r="G134" s="71" t="s">
        <v>524</v>
      </c>
      <c r="H134" s="71" t="s">
        <v>509</v>
      </c>
      <c r="I134" s="13" t="s">
        <v>525</v>
      </c>
      <c r="J134" s="14">
        <v>76403.0</v>
      </c>
      <c r="K134" s="14">
        <v>34242.0</v>
      </c>
      <c r="L134" s="15">
        <v>0.4482</v>
      </c>
      <c r="M134" s="14">
        <v>12206.0</v>
      </c>
      <c r="N134" s="15">
        <v>0.3563</v>
      </c>
      <c r="O134" s="18">
        <v>284.0</v>
      </c>
      <c r="P134" s="18">
        <v>265.0</v>
      </c>
      <c r="Q134" s="19">
        <v>0.0077</v>
      </c>
      <c r="R134" s="19">
        <v>0.0217</v>
      </c>
      <c r="S134" s="20">
        <v>2.0</v>
      </c>
      <c r="T134" s="20">
        <v>9.0</v>
      </c>
      <c r="U134" s="20">
        <v>9713.0</v>
      </c>
      <c r="V134" s="20" t="s">
        <v>315</v>
      </c>
      <c r="W134" s="18" t="s">
        <v>40</v>
      </c>
      <c r="X134" s="20" t="s">
        <v>159</v>
      </c>
      <c r="Y134" s="20" t="s">
        <v>502</v>
      </c>
      <c r="Z134" s="20" t="s">
        <v>526</v>
      </c>
      <c r="AA134" s="18">
        <v>100.0</v>
      </c>
      <c r="AB134" s="18"/>
      <c r="AC134" s="18">
        <v>100.0</v>
      </c>
      <c r="AD134" s="14">
        <v>436474.0</v>
      </c>
      <c r="AE134" s="52"/>
      <c r="AF134" s="14">
        <v>436474.0</v>
      </c>
      <c r="AG134" s="22"/>
      <c r="AH134" s="22"/>
      <c r="AI134" s="22"/>
      <c r="AJ134" s="22"/>
      <c r="AK134" s="22"/>
      <c r="AL134" s="22"/>
      <c r="AM134" s="22"/>
      <c r="AN134" s="22"/>
      <c r="AO134" s="22"/>
      <c r="AP134" s="22"/>
    </row>
    <row r="135" hidden="1">
      <c r="A135" s="8">
        <v>46043.0</v>
      </c>
      <c r="B135" s="23">
        <v>0.8229166666666666</v>
      </c>
      <c r="C135" s="10" t="s">
        <v>58</v>
      </c>
      <c r="D135" s="11" t="s">
        <v>33</v>
      </c>
      <c r="E135" s="12" t="s">
        <v>71</v>
      </c>
      <c r="F135" s="12" t="s">
        <v>527</v>
      </c>
      <c r="G135" s="12" t="s">
        <v>528</v>
      </c>
      <c r="H135" s="12" t="s">
        <v>529</v>
      </c>
      <c r="I135" s="57" t="s">
        <v>530</v>
      </c>
      <c r="J135" s="14">
        <v>28506.0</v>
      </c>
      <c r="K135" s="14">
        <v>18002.0</v>
      </c>
      <c r="L135" s="15">
        <v>0.6315</v>
      </c>
      <c r="M135" s="16"/>
      <c r="N135" s="17"/>
      <c r="O135" s="18">
        <v>59.0</v>
      </c>
      <c r="P135" s="18"/>
      <c r="Q135" s="19">
        <v>0.0033</v>
      </c>
      <c r="R135" s="19"/>
      <c r="S135" s="20">
        <v>17.0</v>
      </c>
      <c r="T135" s="20">
        <v>77.0</v>
      </c>
      <c r="U135" s="20">
        <v>39017.0</v>
      </c>
      <c r="V135" s="21" t="s">
        <v>335</v>
      </c>
      <c r="W135" s="18" t="s">
        <v>62</v>
      </c>
      <c r="X135" s="41" t="s">
        <v>47</v>
      </c>
      <c r="Y135" s="21" t="s">
        <v>531</v>
      </c>
      <c r="Z135" s="20" t="s">
        <v>532</v>
      </c>
      <c r="AA135" s="18">
        <v>73.0</v>
      </c>
      <c r="AB135" s="18">
        <v>73.0</v>
      </c>
      <c r="AC135" s="18"/>
      <c r="AD135" s="14">
        <v>136438.0</v>
      </c>
      <c r="AE135" s="14">
        <v>136438.0</v>
      </c>
      <c r="AF135" s="14"/>
      <c r="AG135" s="22"/>
      <c r="AH135" s="22"/>
      <c r="AI135" s="22"/>
      <c r="AJ135" s="22"/>
      <c r="AK135" s="22"/>
      <c r="AL135" s="22"/>
      <c r="AM135" s="22"/>
      <c r="AN135" s="22"/>
      <c r="AO135" s="22"/>
      <c r="AP135" s="22"/>
    </row>
    <row r="136" hidden="1">
      <c r="A136" s="8">
        <v>46043.0</v>
      </c>
      <c r="B136" s="23">
        <v>0.8229166666666666</v>
      </c>
      <c r="C136" s="10" t="s">
        <v>58</v>
      </c>
      <c r="D136" s="11" t="s">
        <v>33</v>
      </c>
      <c r="E136" s="12" t="s">
        <v>71</v>
      </c>
      <c r="F136" s="12" t="s">
        <v>527</v>
      </c>
      <c r="G136" s="12" t="s">
        <v>533</v>
      </c>
      <c r="H136" s="12" t="s">
        <v>534</v>
      </c>
      <c r="I136" s="57" t="s">
        <v>535</v>
      </c>
      <c r="J136" s="14">
        <v>44998.0</v>
      </c>
      <c r="K136" s="14">
        <v>28107.0</v>
      </c>
      <c r="L136" s="15">
        <v>0.6246</v>
      </c>
      <c r="M136" s="16"/>
      <c r="N136" s="17"/>
      <c r="O136" s="18">
        <v>58.0</v>
      </c>
      <c r="P136" s="18"/>
      <c r="Q136" s="19">
        <v>0.0021</v>
      </c>
      <c r="R136" s="19"/>
      <c r="S136" s="20">
        <v>17.0</v>
      </c>
      <c r="T136" s="20">
        <v>35.0</v>
      </c>
      <c r="U136" s="20">
        <v>73110.0</v>
      </c>
      <c r="V136" s="21" t="s">
        <v>183</v>
      </c>
      <c r="W136" s="18" t="s">
        <v>62</v>
      </c>
      <c r="X136" s="21" t="s">
        <v>52</v>
      </c>
      <c r="Y136" s="21" t="s">
        <v>531</v>
      </c>
      <c r="Z136" s="20" t="s">
        <v>536</v>
      </c>
      <c r="AA136" s="18">
        <v>99.0</v>
      </c>
      <c r="AB136" s="18">
        <v>50.0</v>
      </c>
      <c r="AC136" s="18">
        <v>49.0</v>
      </c>
      <c r="AD136" s="14">
        <v>434911.0</v>
      </c>
      <c r="AE136" s="14">
        <v>109529.0</v>
      </c>
      <c r="AF136" s="14">
        <v>325382.0</v>
      </c>
      <c r="AG136" s="22"/>
      <c r="AH136" s="22"/>
      <c r="AI136" s="22"/>
      <c r="AJ136" s="22"/>
      <c r="AK136" s="22"/>
      <c r="AL136" s="22"/>
      <c r="AM136" s="22"/>
      <c r="AN136" s="22"/>
      <c r="AO136" s="22"/>
      <c r="AP136" s="22"/>
    </row>
    <row r="137" hidden="1">
      <c r="A137" s="8">
        <v>46043.0</v>
      </c>
      <c r="B137" s="23">
        <v>0.8229166666666666</v>
      </c>
      <c r="C137" s="10" t="s">
        <v>58</v>
      </c>
      <c r="D137" s="11" t="s">
        <v>33</v>
      </c>
      <c r="E137" s="12" t="s">
        <v>71</v>
      </c>
      <c r="F137" s="12" t="s">
        <v>527</v>
      </c>
      <c r="G137" s="12" t="s">
        <v>537</v>
      </c>
      <c r="H137" s="12" t="s">
        <v>538</v>
      </c>
      <c r="I137" s="57" t="s">
        <v>539</v>
      </c>
      <c r="J137" s="14">
        <v>10525.0</v>
      </c>
      <c r="K137" s="14">
        <v>6610.0</v>
      </c>
      <c r="L137" s="15">
        <v>0.628</v>
      </c>
      <c r="M137" s="16"/>
      <c r="N137" s="17"/>
      <c r="O137" s="18">
        <v>29.0</v>
      </c>
      <c r="P137" s="18"/>
      <c r="Q137" s="19">
        <v>0.0044</v>
      </c>
      <c r="R137" s="19"/>
      <c r="S137" s="20">
        <v>11.0</v>
      </c>
      <c r="T137" s="20">
        <v>19.0</v>
      </c>
      <c r="U137" s="20">
        <v>26865.0</v>
      </c>
      <c r="V137" s="21" t="s">
        <v>335</v>
      </c>
      <c r="W137" s="18" t="s">
        <v>62</v>
      </c>
      <c r="X137" s="41" t="s">
        <v>165</v>
      </c>
      <c r="Y137" s="21" t="s">
        <v>531</v>
      </c>
      <c r="Z137" s="20" t="s">
        <v>540</v>
      </c>
      <c r="AA137" s="18">
        <v>34.0</v>
      </c>
      <c r="AB137" s="18">
        <v>34.0</v>
      </c>
      <c r="AC137" s="18"/>
      <c r="AD137" s="14">
        <v>76907.0</v>
      </c>
      <c r="AE137" s="14">
        <v>76907.0</v>
      </c>
      <c r="AF137" s="14"/>
      <c r="AG137" s="22"/>
      <c r="AH137" s="22"/>
      <c r="AI137" s="22"/>
      <c r="AJ137" s="22"/>
      <c r="AK137" s="22"/>
      <c r="AL137" s="22"/>
      <c r="AM137" s="22"/>
      <c r="AN137" s="22"/>
      <c r="AO137" s="22"/>
      <c r="AP137" s="22"/>
    </row>
    <row r="138" hidden="1">
      <c r="A138" s="8">
        <v>46043.0</v>
      </c>
      <c r="B138" s="23">
        <v>0.8229166666666666</v>
      </c>
      <c r="C138" s="10" t="s">
        <v>58</v>
      </c>
      <c r="D138" s="11" t="s">
        <v>33</v>
      </c>
      <c r="E138" s="12" t="s">
        <v>71</v>
      </c>
      <c r="F138" s="12" t="s">
        <v>527</v>
      </c>
      <c r="G138" s="12" t="s">
        <v>541</v>
      </c>
      <c r="H138" s="12" t="s">
        <v>542</v>
      </c>
      <c r="I138" s="57" t="s">
        <v>543</v>
      </c>
      <c r="J138" s="14">
        <v>35102.0</v>
      </c>
      <c r="K138" s="14">
        <v>23197.0</v>
      </c>
      <c r="L138" s="15">
        <v>0.6608</v>
      </c>
      <c r="M138" s="16"/>
      <c r="N138" s="17"/>
      <c r="O138" s="18">
        <v>64.0</v>
      </c>
      <c r="P138" s="18"/>
      <c r="Q138" s="19">
        <v>0.0028</v>
      </c>
      <c r="R138" s="19"/>
      <c r="S138" s="20">
        <v>10.0</v>
      </c>
      <c r="T138" s="20">
        <v>28.0</v>
      </c>
      <c r="U138" s="20">
        <v>23662.0</v>
      </c>
      <c r="V138" s="21" t="s">
        <v>335</v>
      </c>
      <c r="W138" s="18" t="s">
        <v>62</v>
      </c>
      <c r="X138" s="54" t="s">
        <v>41</v>
      </c>
      <c r="Y138" s="21" t="s">
        <v>531</v>
      </c>
      <c r="Z138" s="20" t="s">
        <v>544</v>
      </c>
      <c r="AA138" s="18">
        <v>52.0</v>
      </c>
      <c r="AB138" s="18">
        <v>52.0</v>
      </c>
      <c r="AC138" s="18"/>
      <c r="AD138" s="14">
        <v>101181.0</v>
      </c>
      <c r="AE138" s="14">
        <v>101181.0</v>
      </c>
      <c r="AF138" s="14"/>
      <c r="AG138" s="22"/>
      <c r="AH138" s="22"/>
      <c r="AI138" s="22"/>
      <c r="AJ138" s="22"/>
      <c r="AK138" s="22"/>
      <c r="AL138" s="22"/>
      <c r="AM138" s="22"/>
      <c r="AN138" s="22"/>
      <c r="AO138" s="22"/>
      <c r="AP138" s="22"/>
    </row>
    <row r="139" hidden="1">
      <c r="A139" s="8">
        <v>46044.0</v>
      </c>
      <c r="B139" s="23">
        <v>0.8333333333333334</v>
      </c>
      <c r="C139" s="10" t="s">
        <v>58</v>
      </c>
      <c r="D139" s="11" t="s">
        <v>59</v>
      </c>
      <c r="E139" s="12" t="s">
        <v>71</v>
      </c>
      <c r="F139" s="12" t="s">
        <v>517</v>
      </c>
      <c r="G139" s="12" t="s">
        <v>545</v>
      </c>
      <c r="H139" s="12" t="s">
        <v>546</v>
      </c>
      <c r="I139" s="57" t="s">
        <v>61</v>
      </c>
      <c r="J139" s="14">
        <v>3840.0</v>
      </c>
      <c r="K139" s="14">
        <v>2047.0</v>
      </c>
      <c r="L139" s="15">
        <v>0.5331</v>
      </c>
      <c r="M139" s="16"/>
      <c r="N139" s="17"/>
      <c r="O139" s="18">
        <v>7.0</v>
      </c>
      <c r="P139" s="18"/>
      <c r="Q139" s="19">
        <v>0.0034</v>
      </c>
      <c r="R139" s="19"/>
      <c r="S139" s="20">
        <v>4.0</v>
      </c>
      <c r="T139" s="20">
        <v>4.0</v>
      </c>
      <c r="U139" s="20">
        <v>14090.0</v>
      </c>
      <c r="V139" s="21" t="s">
        <v>335</v>
      </c>
      <c r="W139" s="18" t="s">
        <v>62</v>
      </c>
      <c r="X139" s="41" t="s">
        <v>52</v>
      </c>
      <c r="Y139" s="21" t="s">
        <v>547</v>
      </c>
      <c r="Z139" s="20" t="s">
        <v>548</v>
      </c>
      <c r="AA139" s="18">
        <v>19.0</v>
      </c>
      <c r="AB139" s="18">
        <v>19.0</v>
      </c>
      <c r="AC139" s="18"/>
      <c r="AD139" s="14">
        <v>74389.0</v>
      </c>
      <c r="AE139" s="14">
        <v>74389.0</v>
      </c>
      <c r="AF139" s="14"/>
      <c r="AG139" s="22"/>
      <c r="AH139" s="22"/>
      <c r="AI139" s="22"/>
      <c r="AJ139" s="22"/>
      <c r="AK139" s="22"/>
      <c r="AL139" s="22"/>
      <c r="AM139" s="22"/>
      <c r="AN139" s="22"/>
      <c r="AO139" s="22"/>
      <c r="AP139" s="22"/>
    </row>
    <row r="140" hidden="1">
      <c r="A140" s="8">
        <v>46044.0</v>
      </c>
      <c r="B140" s="23">
        <v>0.8333333333333334</v>
      </c>
      <c r="C140" s="10" t="s">
        <v>58</v>
      </c>
      <c r="D140" s="11" t="s">
        <v>59</v>
      </c>
      <c r="E140" s="12" t="s">
        <v>71</v>
      </c>
      <c r="F140" s="12" t="s">
        <v>517</v>
      </c>
      <c r="G140" s="12" t="s">
        <v>549</v>
      </c>
      <c r="H140" s="12" t="s">
        <v>550</v>
      </c>
      <c r="I140" s="57" t="s">
        <v>61</v>
      </c>
      <c r="J140" s="14">
        <v>32888.0</v>
      </c>
      <c r="K140" s="14">
        <v>18425.0</v>
      </c>
      <c r="L140" s="15">
        <v>0.5602</v>
      </c>
      <c r="M140" s="16"/>
      <c r="N140" s="17"/>
      <c r="O140" s="18">
        <v>73.0</v>
      </c>
      <c r="P140" s="18"/>
      <c r="Q140" s="19">
        <v>0.004</v>
      </c>
      <c r="R140" s="19"/>
      <c r="S140" s="20">
        <v>18.0</v>
      </c>
      <c r="T140" s="20">
        <v>55.0</v>
      </c>
      <c r="U140" s="20">
        <v>46114.0</v>
      </c>
      <c r="V140" s="21" t="s">
        <v>335</v>
      </c>
      <c r="W140" s="18" t="s">
        <v>62</v>
      </c>
      <c r="X140" s="41" t="s">
        <v>47</v>
      </c>
      <c r="Y140" s="21" t="s">
        <v>547</v>
      </c>
      <c r="Z140" s="20" t="s">
        <v>551</v>
      </c>
      <c r="AA140" s="18">
        <v>128.0</v>
      </c>
      <c r="AB140" s="18">
        <v>128.0</v>
      </c>
      <c r="AC140" s="18"/>
      <c r="AD140" s="14">
        <v>302951.0</v>
      </c>
      <c r="AE140" s="14">
        <v>302951.0</v>
      </c>
      <c r="AF140" s="14"/>
      <c r="AG140" s="22"/>
      <c r="AH140" s="22"/>
      <c r="AI140" s="22"/>
      <c r="AJ140" s="22"/>
      <c r="AK140" s="22"/>
      <c r="AL140" s="22"/>
      <c r="AM140" s="22"/>
      <c r="AN140" s="22"/>
      <c r="AO140" s="22"/>
      <c r="AP140" s="22"/>
    </row>
    <row r="141" hidden="1">
      <c r="A141" s="8">
        <v>46044.0</v>
      </c>
      <c r="B141" s="23">
        <v>0.8333333333333334</v>
      </c>
      <c r="C141" s="10" t="s">
        <v>58</v>
      </c>
      <c r="D141" s="11" t="s">
        <v>59</v>
      </c>
      <c r="E141" s="12" t="s">
        <v>71</v>
      </c>
      <c r="F141" s="12" t="s">
        <v>517</v>
      </c>
      <c r="G141" s="12" t="s">
        <v>552</v>
      </c>
      <c r="H141" s="12" t="s">
        <v>553</v>
      </c>
      <c r="I141" s="57" t="s">
        <v>61</v>
      </c>
      <c r="J141" s="14">
        <v>8787.0</v>
      </c>
      <c r="K141" s="14">
        <v>4849.0</v>
      </c>
      <c r="L141" s="15">
        <v>0.5518</v>
      </c>
      <c r="M141" s="16"/>
      <c r="N141" s="17"/>
      <c r="O141" s="18">
        <v>19.0</v>
      </c>
      <c r="P141" s="18"/>
      <c r="Q141" s="19">
        <v>0.0039</v>
      </c>
      <c r="R141" s="19"/>
      <c r="S141" s="20">
        <v>3.0</v>
      </c>
      <c r="T141" s="20">
        <v>8.0</v>
      </c>
      <c r="U141" s="20">
        <v>7864.0</v>
      </c>
      <c r="V141" s="21" t="s">
        <v>335</v>
      </c>
      <c r="W141" s="18" t="s">
        <v>62</v>
      </c>
      <c r="X141" s="41" t="s">
        <v>82</v>
      </c>
      <c r="Y141" s="21" t="s">
        <v>547</v>
      </c>
      <c r="Z141" s="20" t="s">
        <v>554</v>
      </c>
      <c r="AA141" s="18">
        <v>34.0</v>
      </c>
      <c r="AB141" s="18">
        <v>34.0</v>
      </c>
      <c r="AC141" s="18"/>
      <c r="AD141" s="14">
        <v>85337.0</v>
      </c>
      <c r="AE141" s="14">
        <v>85337.0</v>
      </c>
      <c r="AF141" s="14"/>
      <c r="AG141" s="22"/>
      <c r="AH141" s="22"/>
      <c r="AI141" s="22"/>
      <c r="AJ141" s="22"/>
      <c r="AK141" s="22"/>
      <c r="AL141" s="22"/>
      <c r="AM141" s="22"/>
      <c r="AN141" s="22"/>
      <c r="AO141" s="22"/>
      <c r="AP141" s="22"/>
    </row>
    <row r="142" hidden="1">
      <c r="A142" s="8">
        <v>46044.0</v>
      </c>
      <c r="B142" s="23">
        <v>0.75</v>
      </c>
      <c r="C142" s="10" t="s">
        <v>196</v>
      </c>
      <c r="D142" s="11" t="s">
        <v>33</v>
      </c>
      <c r="E142" s="12" t="s">
        <v>71</v>
      </c>
      <c r="F142" s="12" t="s">
        <v>517</v>
      </c>
      <c r="G142" s="12" t="s">
        <v>555</v>
      </c>
      <c r="H142" s="12" t="s">
        <v>556</v>
      </c>
      <c r="I142" s="57" t="s">
        <v>557</v>
      </c>
      <c r="J142" s="14">
        <v>71652.0</v>
      </c>
      <c r="K142" s="14">
        <v>19000.0</v>
      </c>
      <c r="L142" s="15">
        <v>0.2652</v>
      </c>
      <c r="M142" s="16">
        <v>2279.0</v>
      </c>
      <c r="N142" s="17">
        <v>0.12</v>
      </c>
      <c r="O142" s="18">
        <v>142.0</v>
      </c>
      <c r="P142" s="18"/>
      <c r="Q142" s="19">
        <v>0.0075</v>
      </c>
      <c r="R142" s="19"/>
      <c r="S142" s="20">
        <v>7.0</v>
      </c>
      <c r="T142" s="20">
        <v>9.0</v>
      </c>
      <c r="U142" s="20">
        <v>16791.0</v>
      </c>
      <c r="V142" s="21" t="s">
        <v>335</v>
      </c>
      <c r="W142" s="18" t="s">
        <v>95</v>
      </c>
      <c r="X142" s="41" t="s">
        <v>52</v>
      </c>
      <c r="Y142" s="21" t="s">
        <v>547</v>
      </c>
      <c r="Z142" s="20" t="s">
        <v>558</v>
      </c>
      <c r="AA142" s="18">
        <v>42.0</v>
      </c>
      <c r="AB142" s="18">
        <v>42.0</v>
      </c>
      <c r="AC142" s="18"/>
      <c r="AD142" s="14">
        <v>119941.0</v>
      </c>
      <c r="AE142" s="14">
        <v>119941.0</v>
      </c>
      <c r="AF142" s="14"/>
      <c r="AG142" s="22"/>
      <c r="AH142" s="22"/>
      <c r="AI142" s="22"/>
      <c r="AJ142" s="22"/>
      <c r="AK142" s="22"/>
      <c r="AL142" s="22"/>
      <c r="AM142" s="22"/>
      <c r="AN142" s="22"/>
      <c r="AO142" s="22"/>
      <c r="AP142" s="22"/>
    </row>
    <row r="143" hidden="1">
      <c r="A143" s="8">
        <v>46044.0</v>
      </c>
      <c r="B143" s="23">
        <v>0.8333333333333334</v>
      </c>
      <c r="C143" s="10" t="s">
        <v>58</v>
      </c>
      <c r="D143" s="11" t="s">
        <v>59</v>
      </c>
      <c r="E143" s="12" t="s">
        <v>71</v>
      </c>
      <c r="F143" s="12" t="s">
        <v>517</v>
      </c>
      <c r="G143" s="12" t="s">
        <v>559</v>
      </c>
      <c r="H143" s="12" t="s">
        <v>556</v>
      </c>
      <c r="I143" s="57" t="s">
        <v>454</v>
      </c>
      <c r="J143" s="14">
        <v>52642.0</v>
      </c>
      <c r="K143" s="14">
        <v>32544.0</v>
      </c>
      <c r="L143" s="15">
        <v>0.6182</v>
      </c>
      <c r="M143" s="16"/>
      <c r="N143" s="17"/>
      <c r="O143" s="18">
        <v>100.0</v>
      </c>
      <c r="P143" s="18"/>
      <c r="Q143" s="19">
        <v>0.0031</v>
      </c>
      <c r="R143" s="19"/>
      <c r="S143" s="20">
        <v>11.0</v>
      </c>
      <c r="T143" s="20">
        <v>25.0</v>
      </c>
      <c r="U143" s="20">
        <v>26419.0</v>
      </c>
      <c r="V143" s="21" t="s">
        <v>335</v>
      </c>
      <c r="W143" s="18" t="s">
        <v>62</v>
      </c>
      <c r="X143" s="41" t="s">
        <v>52</v>
      </c>
      <c r="Y143" s="21" t="s">
        <v>547</v>
      </c>
      <c r="Z143" s="20" t="s">
        <v>560</v>
      </c>
      <c r="AA143" s="18">
        <v>60.0</v>
      </c>
      <c r="AB143" s="18">
        <v>60.0</v>
      </c>
      <c r="AC143" s="18"/>
      <c r="AD143" s="14">
        <v>147567.0</v>
      </c>
      <c r="AE143" s="14">
        <v>147567.0</v>
      </c>
      <c r="AF143" s="14"/>
      <c r="AG143" s="22"/>
      <c r="AH143" s="22"/>
      <c r="AI143" s="22"/>
      <c r="AJ143" s="22"/>
      <c r="AK143" s="22"/>
      <c r="AL143" s="22"/>
      <c r="AM143" s="22"/>
      <c r="AN143" s="22"/>
      <c r="AO143" s="22"/>
      <c r="AP143" s="22"/>
    </row>
    <row r="144" hidden="1">
      <c r="A144" s="69">
        <v>46044.0</v>
      </c>
      <c r="B144" s="70">
        <v>0.75</v>
      </c>
      <c r="C144" s="11" t="s">
        <v>32</v>
      </c>
      <c r="D144" s="11" t="s">
        <v>33</v>
      </c>
      <c r="E144" s="71" t="s">
        <v>71</v>
      </c>
      <c r="F144" s="71" t="s">
        <v>517</v>
      </c>
      <c r="G144" s="71" t="s">
        <v>561</v>
      </c>
      <c r="H144" s="71" t="s">
        <v>546</v>
      </c>
      <c r="I144" s="13" t="s">
        <v>562</v>
      </c>
      <c r="J144" s="14">
        <v>5850.0</v>
      </c>
      <c r="K144" s="14">
        <v>1910.0</v>
      </c>
      <c r="L144" s="15">
        <v>0.3265</v>
      </c>
      <c r="M144" s="14">
        <v>873.0</v>
      </c>
      <c r="N144" s="15">
        <v>0.4571</v>
      </c>
      <c r="O144" s="18">
        <v>116.0</v>
      </c>
      <c r="P144" s="18">
        <v>113.0</v>
      </c>
      <c r="Q144" s="19">
        <v>0.0592</v>
      </c>
      <c r="R144" s="19">
        <v>0.1294</v>
      </c>
      <c r="S144" s="20">
        <v>3.0</v>
      </c>
      <c r="T144" s="20">
        <v>4.0</v>
      </c>
      <c r="U144" s="20">
        <v>11906.0</v>
      </c>
      <c r="V144" s="20" t="s">
        <v>335</v>
      </c>
      <c r="W144" s="18" t="s">
        <v>76</v>
      </c>
      <c r="X144" s="20" t="s">
        <v>52</v>
      </c>
      <c r="Y144" s="20" t="s">
        <v>547</v>
      </c>
      <c r="Z144" s="20" t="s">
        <v>563</v>
      </c>
      <c r="AA144" s="18">
        <v>13.0</v>
      </c>
      <c r="AB144" s="18">
        <v>13.0</v>
      </c>
      <c r="AC144" s="18"/>
      <c r="AD144" s="14">
        <v>52488.0</v>
      </c>
      <c r="AE144" s="14">
        <v>52488.0</v>
      </c>
      <c r="AF144" s="14"/>
      <c r="AG144" s="22"/>
      <c r="AH144" s="22"/>
      <c r="AI144" s="22"/>
      <c r="AJ144" s="22"/>
      <c r="AK144" s="22"/>
      <c r="AL144" s="22"/>
      <c r="AM144" s="22"/>
      <c r="AN144" s="22"/>
      <c r="AO144" s="22"/>
      <c r="AP144" s="22"/>
    </row>
    <row r="145" hidden="1">
      <c r="A145" s="69">
        <v>46044.0</v>
      </c>
      <c r="B145" s="70">
        <v>0.75</v>
      </c>
      <c r="C145" s="11" t="s">
        <v>32</v>
      </c>
      <c r="D145" s="11" t="s">
        <v>33</v>
      </c>
      <c r="E145" s="71" t="s">
        <v>71</v>
      </c>
      <c r="F145" s="71" t="s">
        <v>517</v>
      </c>
      <c r="G145" s="71" t="s">
        <v>564</v>
      </c>
      <c r="H145" s="71" t="s">
        <v>550</v>
      </c>
      <c r="I145" s="13" t="s">
        <v>565</v>
      </c>
      <c r="J145" s="14">
        <v>54285.0</v>
      </c>
      <c r="K145" s="14">
        <v>20832.0</v>
      </c>
      <c r="L145" s="15">
        <v>0.3838</v>
      </c>
      <c r="M145" s="14">
        <v>9516.0</v>
      </c>
      <c r="N145" s="15">
        <v>0.4568</v>
      </c>
      <c r="O145" s="18">
        <v>1185.0</v>
      </c>
      <c r="P145" s="18">
        <v>1126.0</v>
      </c>
      <c r="Q145" s="19">
        <v>0.0541</v>
      </c>
      <c r="R145" s="19">
        <v>0.1183</v>
      </c>
      <c r="S145" s="20">
        <v>27.0</v>
      </c>
      <c r="T145" s="20">
        <v>86.0</v>
      </c>
      <c r="U145" s="20">
        <v>77106.0</v>
      </c>
      <c r="V145" s="20" t="s">
        <v>335</v>
      </c>
      <c r="W145" s="18" t="s">
        <v>76</v>
      </c>
      <c r="X145" s="20" t="s">
        <v>47</v>
      </c>
      <c r="Y145" s="20" t="s">
        <v>547</v>
      </c>
      <c r="Z145" s="20" t="s">
        <v>566</v>
      </c>
      <c r="AA145" s="18">
        <v>130.0</v>
      </c>
      <c r="AB145" s="18">
        <v>130.0</v>
      </c>
      <c r="AC145" s="18"/>
      <c r="AD145" s="14">
        <v>326905.0</v>
      </c>
      <c r="AE145" s="14">
        <v>326905.0</v>
      </c>
      <c r="AF145" s="14"/>
      <c r="AG145" s="22"/>
      <c r="AH145" s="22"/>
      <c r="AI145" s="22"/>
      <c r="AJ145" s="22"/>
      <c r="AK145" s="22"/>
      <c r="AL145" s="22"/>
      <c r="AM145" s="22"/>
      <c r="AN145" s="22"/>
      <c r="AO145" s="22"/>
      <c r="AP145" s="22"/>
    </row>
    <row r="146" hidden="1">
      <c r="A146" s="69">
        <v>46044.0</v>
      </c>
      <c r="B146" s="70">
        <v>0.75</v>
      </c>
      <c r="C146" s="11" t="s">
        <v>32</v>
      </c>
      <c r="D146" s="11" t="s">
        <v>33</v>
      </c>
      <c r="E146" s="71" t="s">
        <v>71</v>
      </c>
      <c r="F146" s="71" t="s">
        <v>517</v>
      </c>
      <c r="G146" s="71" t="s">
        <v>567</v>
      </c>
      <c r="H146" s="71" t="s">
        <v>553</v>
      </c>
      <c r="I146" s="13" t="s">
        <v>568</v>
      </c>
      <c r="J146" s="14">
        <v>13081.0</v>
      </c>
      <c r="K146" s="14">
        <v>4092.0</v>
      </c>
      <c r="L146" s="15">
        <v>0.3128</v>
      </c>
      <c r="M146" s="14">
        <v>1792.0</v>
      </c>
      <c r="N146" s="15">
        <v>0.4379</v>
      </c>
      <c r="O146" s="18">
        <v>216.0</v>
      </c>
      <c r="P146" s="18">
        <v>209.0</v>
      </c>
      <c r="Q146" s="19">
        <v>0.0511</v>
      </c>
      <c r="R146" s="19">
        <v>0.1166</v>
      </c>
      <c r="S146" s="20">
        <v>6.0</v>
      </c>
      <c r="T146" s="20">
        <v>14.0</v>
      </c>
      <c r="U146" s="20">
        <v>20429.0</v>
      </c>
      <c r="V146" s="20" t="s">
        <v>335</v>
      </c>
      <c r="W146" s="18" t="s">
        <v>76</v>
      </c>
      <c r="X146" s="20" t="s">
        <v>82</v>
      </c>
      <c r="Y146" s="20" t="s">
        <v>547</v>
      </c>
      <c r="Z146" s="20" t="s">
        <v>569</v>
      </c>
      <c r="AA146" s="18">
        <v>28.0</v>
      </c>
      <c r="AB146" s="18">
        <v>28.0</v>
      </c>
      <c r="AC146" s="18"/>
      <c r="AD146" s="14">
        <v>77432.0</v>
      </c>
      <c r="AE146" s="14">
        <v>77432.0</v>
      </c>
      <c r="AF146" s="14"/>
      <c r="AG146" s="22"/>
      <c r="AH146" s="22"/>
      <c r="AI146" s="22"/>
      <c r="AJ146" s="22"/>
      <c r="AK146" s="22"/>
      <c r="AL146" s="22"/>
      <c r="AM146" s="22"/>
      <c r="AN146" s="22"/>
      <c r="AO146" s="22"/>
      <c r="AP146" s="22"/>
    </row>
    <row r="147" hidden="1">
      <c r="A147" s="8">
        <v>46044.0</v>
      </c>
      <c r="B147" s="23">
        <v>0.625</v>
      </c>
      <c r="C147" s="10" t="s">
        <v>196</v>
      </c>
      <c r="D147" s="11" t="s">
        <v>33</v>
      </c>
      <c r="E147" s="12" t="s">
        <v>217</v>
      </c>
      <c r="F147" s="12" t="s">
        <v>570</v>
      </c>
      <c r="G147" s="12" t="s">
        <v>571</v>
      </c>
      <c r="H147" s="12" t="s">
        <v>572</v>
      </c>
      <c r="I147" s="57" t="s">
        <v>573</v>
      </c>
      <c r="J147" s="14">
        <v>651393.0</v>
      </c>
      <c r="K147" s="14">
        <v>334546.0</v>
      </c>
      <c r="L147" s="15">
        <v>0.5136</v>
      </c>
      <c r="M147" s="16">
        <v>51602.0</v>
      </c>
      <c r="N147" s="17">
        <v>0.154</v>
      </c>
      <c r="O147" s="18">
        <v>0.0</v>
      </c>
      <c r="P147" s="18"/>
      <c r="Q147" s="19">
        <v>0.0</v>
      </c>
      <c r="R147" s="19"/>
      <c r="S147" s="20"/>
      <c r="T147" s="20"/>
      <c r="U147" s="20"/>
      <c r="V147" s="21" t="s">
        <v>315</v>
      </c>
      <c r="W147" s="18" t="s">
        <v>95</v>
      </c>
      <c r="X147" s="41" t="s">
        <v>111</v>
      </c>
      <c r="Y147" s="66" t="s">
        <v>547</v>
      </c>
      <c r="Z147" s="20" t="s">
        <v>574</v>
      </c>
      <c r="AA147" s="14">
        <v>1428.0</v>
      </c>
      <c r="AB147" s="18"/>
      <c r="AC147" s="14">
        <v>1428.0</v>
      </c>
      <c r="AD147" s="14">
        <v>2675285.0</v>
      </c>
      <c r="AE147" s="52"/>
      <c r="AF147" s="14">
        <v>2675285.0</v>
      </c>
      <c r="AG147" s="22"/>
      <c r="AH147" s="22"/>
      <c r="AI147" s="22"/>
      <c r="AJ147" s="22"/>
      <c r="AK147" s="22"/>
      <c r="AL147" s="22"/>
      <c r="AM147" s="22"/>
      <c r="AN147" s="22"/>
      <c r="AO147" s="22"/>
      <c r="AP147" s="22"/>
    </row>
    <row r="148" hidden="1">
      <c r="A148" s="8">
        <v>46044.0</v>
      </c>
      <c r="B148" s="23">
        <v>0.7083333333333334</v>
      </c>
      <c r="C148" s="10" t="s">
        <v>58</v>
      </c>
      <c r="D148" s="11" t="s">
        <v>59</v>
      </c>
      <c r="E148" s="12" t="s">
        <v>217</v>
      </c>
      <c r="F148" s="12" t="s">
        <v>570</v>
      </c>
      <c r="G148" s="12" t="s">
        <v>575</v>
      </c>
      <c r="H148" s="12" t="s">
        <v>572</v>
      </c>
      <c r="I148" s="57" t="s">
        <v>454</v>
      </c>
      <c r="J148" s="14">
        <v>316877.0</v>
      </c>
      <c r="K148" s="14">
        <v>211588.0</v>
      </c>
      <c r="L148" s="15">
        <v>0.6677</v>
      </c>
      <c r="M148" s="16"/>
      <c r="N148" s="17"/>
      <c r="O148" s="18">
        <v>416.0</v>
      </c>
      <c r="P148" s="18"/>
      <c r="Q148" s="19">
        <v>0.002</v>
      </c>
      <c r="R148" s="19"/>
      <c r="S148" s="20"/>
      <c r="T148" s="20"/>
      <c r="U148" s="20"/>
      <c r="V148" s="21" t="s">
        <v>315</v>
      </c>
      <c r="W148" s="18" t="s">
        <v>62</v>
      </c>
      <c r="X148" s="41" t="s">
        <v>111</v>
      </c>
      <c r="Y148" s="66" t="s">
        <v>547</v>
      </c>
      <c r="Z148" s="20" t="s">
        <v>576</v>
      </c>
      <c r="AA148" s="18">
        <v>889.0</v>
      </c>
      <c r="AB148" s="18"/>
      <c r="AC148" s="18">
        <v>889.0</v>
      </c>
      <c r="AD148" s="14">
        <v>1613055.0</v>
      </c>
      <c r="AE148" s="52"/>
      <c r="AF148" s="14">
        <v>1613055.0</v>
      </c>
      <c r="AG148" s="22"/>
      <c r="AH148" s="22"/>
      <c r="AI148" s="22"/>
      <c r="AJ148" s="22"/>
      <c r="AK148" s="22"/>
      <c r="AL148" s="22"/>
      <c r="AM148" s="22"/>
      <c r="AN148" s="22"/>
      <c r="AO148" s="22"/>
      <c r="AP148" s="22"/>
    </row>
    <row r="149" hidden="1">
      <c r="A149" s="8">
        <v>46044.0</v>
      </c>
      <c r="B149" s="23">
        <v>0.625</v>
      </c>
      <c r="C149" s="10" t="s">
        <v>196</v>
      </c>
      <c r="D149" s="11" t="s">
        <v>33</v>
      </c>
      <c r="E149" s="12" t="s">
        <v>217</v>
      </c>
      <c r="F149" s="12" t="s">
        <v>570</v>
      </c>
      <c r="G149" s="12" t="s">
        <v>577</v>
      </c>
      <c r="H149" s="12" t="s">
        <v>578</v>
      </c>
      <c r="I149" s="57" t="s">
        <v>579</v>
      </c>
      <c r="J149" s="14">
        <v>228512.0</v>
      </c>
      <c r="K149" s="14">
        <v>115292.0</v>
      </c>
      <c r="L149" s="15">
        <v>0.5045</v>
      </c>
      <c r="M149" s="16">
        <v>16676.0</v>
      </c>
      <c r="N149" s="17">
        <v>0.145</v>
      </c>
      <c r="O149" s="18">
        <v>0.0</v>
      </c>
      <c r="P149" s="18"/>
      <c r="Q149" s="19">
        <v>0.0</v>
      </c>
      <c r="R149" s="19"/>
      <c r="S149" s="20"/>
      <c r="T149" s="20"/>
      <c r="U149" s="20"/>
      <c r="V149" s="21" t="s">
        <v>315</v>
      </c>
      <c r="W149" s="18" t="s">
        <v>95</v>
      </c>
      <c r="X149" s="41" t="s">
        <v>111</v>
      </c>
      <c r="Y149" s="66" t="s">
        <v>547</v>
      </c>
      <c r="Z149" s="20" t="s">
        <v>580</v>
      </c>
      <c r="AA149" s="18">
        <v>437.0</v>
      </c>
      <c r="AB149" s="18"/>
      <c r="AC149" s="18">
        <v>437.0</v>
      </c>
      <c r="AD149" s="14">
        <v>890779.0</v>
      </c>
      <c r="AE149" s="52"/>
      <c r="AF149" s="14">
        <v>890779.0</v>
      </c>
      <c r="AG149" s="22"/>
      <c r="AH149" s="22"/>
      <c r="AI149" s="22"/>
      <c r="AJ149" s="22"/>
      <c r="AK149" s="22"/>
      <c r="AL149" s="22"/>
      <c r="AM149" s="22"/>
      <c r="AN149" s="22"/>
      <c r="AO149" s="22"/>
      <c r="AP149" s="22"/>
    </row>
    <row r="150" hidden="1">
      <c r="A150" s="8">
        <v>46044.0</v>
      </c>
      <c r="B150" s="23">
        <v>0.7083333333333334</v>
      </c>
      <c r="C150" s="10" t="s">
        <v>58</v>
      </c>
      <c r="D150" s="11" t="s">
        <v>59</v>
      </c>
      <c r="E150" s="12" t="s">
        <v>217</v>
      </c>
      <c r="F150" s="12" t="s">
        <v>570</v>
      </c>
      <c r="G150" s="12" t="s">
        <v>581</v>
      </c>
      <c r="H150" s="12" t="s">
        <v>578</v>
      </c>
      <c r="I150" s="57" t="s">
        <v>454</v>
      </c>
      <c r="J150" s="14">
        <v>113898.0</v>
      </c>
      <c r="K150" s="14">
        <v>71639.0</v>
      </c>
      <c r="L150" s="15">
        <v>0.629</v>
      </c>
      <c r="M150" s="16"/>
      <c r="N150" s="17"/>
      <c r="O150" s="18">
        <v>124.0</v>
      </c>
      <c r="P150" s="18"/>
      <c r="Q150" s="19">
        <v>0.0017</v>
      </c>
      <c r="R150" s="19"/>
      <c r="S150" s="20"/>
      <c r="T150" s="20"/>
      <c r="U150" s="20"/>
      <c r="V150" s="21" t="s">
        <v>315</v>
      </c>
      <c r="W150" s="18" t="s">
        <v>62</v>
      </c>
      <c r="X150" s="41" t="s">
        <v>111</v>
      </c>
      <c r="Y150" s="66" t="s">
        <v>547</v>
      </c>
      <c r="Z150" s="20" t="s">
        <v>582</v>
      </c>
      <c r="AA150" s="18">
        <v>235.0</v>
      </c>
      <c r="AB150" s="18"/>
      <c r="AC150" s="18">
        <v>235.0</v>
      </c>
      <c r="AD150" s="14">
        <v>508347.0</v>
      </c>
      <c r="AE150" s="52"/>
      <c r="AF150" s="14">
        <v>508347.0</v>
      </c>
      <c r="AG150" s="22"/>
      <c r="AH150" s="22"/>
      <c r="AI150" s="22"/>
      <c r="AJ150" s="22"/>
      <c r="AK150" s="22"/>
      <c r="AL150" s="22"/>
      <c r="AM150" s="22"/>
      <c r="AN150" s="22"/>
      <c r="AO150" s="22"/>
      <c r="AP150" s="22"/>
    </row>
    <row r="151" hidden="1">
      <c r="A151" s="8">
        <v>46045.0</v>
      </c>
      <c r="B151" s="23">
        <v>0.5</v>
      </c>
      <c r="C151" s="10" t="s">
        <v>58</v>
      </c>
      <c r="D151" s="11" t="s">
        <v>59</v>
      </c>
      <c r="E151" s="12" t="s">
        <v>71</v>
      </c>
      <c r="F151" s="12" t="s">
        <v>517</v>
      </c>
      <c r="G151" s="12" t="s">
        <v>583</v>
      </c>
      <c r="H151" s="12" t="s">
        <v>584</v>
      </c>
      <c r="I151" s="57" t="s">
        <v>61</v>
      </c>
      <c r="J151" s="14">
        <v>14453.0</v>
      </c>
      <c r="K151" s="14">
        <v>8014.0</v>
      </c>
      <c r="L151" s="15">
        <v>0.5545</v>
      </c>
      <c r="M151" s="16"/>
      <c r="N151" s="17"/>
      <c r="O151" s="18">
        <v>2.0</v>
      </c>
      <c r="P151" s="18"/>
      <c r="Q151" s="19">
        <v>2.0E-4</v>
      </c>
      <c r="R151" s="19"/>
      <c r="S151" s="20">
        <v>0.0</v>
      </c>
      <c r="T151" s="20">
        <v>0.0</v>
      </c>
      <c r="U151" s="20">
        <v>0.0</v>
      </c>
      <c r="V151" s="21" t="s">
        <v>315</v>
      </c>
      <c r="W151" s="18" t="s">
        <v>62</v>
      </c>
      <c r="X151" s="41" t="s">
        <v>52</v>
      </c>
      <c r="Y151" s="21" t="s">
        <v>585</v>
      </c>
      <c r="Z151" s="20" t="s">
        <v>586</v>
      </c>
      <c r="AA151" s="18">
        <v>83.0</v>
      </c>
      <c r="AB151" s="18"/>
      <c r="AC151" s="18">
        <v>83.0</v>
      </c>
      <c r="AD151" s="14">
        <v>418286.0</v>
      </c>
      <c r="AE151" s="14"/>
      <c r="AF151" s="14">
        <v>418286.0</v>
      </c>
      <c r="AG151" s="22"/>
      <c r="AH151" s="22"/>
      <c r="AI151" s="22"/>
      <c r="AJ151" s="22"/>
      <c r="AK151" s="22"/>
      <c r="AL151" s="22"/>
      <c r="AM151" s="22"/>
      <c r="AN151" s="22"/>
      <c r="AO151" s="22"/>
      <c r="AP151" s="22"/>
    </row>
    <row r="152" hidden="1">
      <c r="A152" s="8">
        <v>46045.0</v>
      </c>
      <c r="B152" s="23">
        <v>0.5</v>
      </c>
      <c r="C152" s="10" t="s">
        <v>58</v>
      </c>
      <c r="D152" s="11" t="s">
        <v>59</v>
      </c>
      <c r="E152" s="12" t="s">
        <v>71</v>
      </c>
      <c r="F152" s="12" t="s">
        <v>517</v>
      </c>
      <c r="G152" s="12" t="s">
        <v>587</v>
      </c>
      <c r="H152" s="12" t="s">
        <v>588</v>
      </c>
      <c r="I152" s="57" t="s">
        <v>61</v>
      </c>
      <c r="J152" s="14">
        <v>86911.0</v>
      </c>
      <c r="K152" s="14">
        <v>50840.0</v>
      </c>
      <c r="L152" s="15">
        <v>0.585</v>
      </c>
      <c r="M152" s="16"/>
      <c r="N152" s="17"/>
      <c r="O152" s="18">
        <v>63.0</v>
      </c>
      <c r="P152" s="18"/>
      <c r="Q152" s="19">
        <v>0.0012</v>
      </c>
      <c r="R152" s="19"/>
      <c r="S152" s="20">
        <v>4.0</v>
      </c>
      <c r="T152" s="20">
        <v>21.0</v>
      </c>
      <c r="U152" s="20">
        <v>10640.0</v>
      </c>
      <c r="V152" s="21" t="s">
        <v>315</v>
      </c>
      <c r="W152" s="18" t="s">
        <v>62</v>
      </c>
      <c r="X152" s="41" t="s">
        <v>47</v>
      </c>
      <c r="Y152" s="21" t="s">
        <v>585</v>
      </c>
      <c r="Z152" s="20" t="s">
        <v>589</v>
      </c>
      <c r="AA152" s="18">
        <v>318.0</v>
      </c>
      <c r="AB152" s="18"/>
      <c r="AC152" s="18">
        <v>318.0</v>
      </c>
      <c r="AD152" s="14">
        <v>1350894.0</v>
      </c>
      <c r="AE152" s="52"/>
      <c r="AF152" s="14">
        <v>1350894.0</v>
      </c>
      <c r="AG152" s="22"/>
      <c r="AH152" s="22"/>
      <c r="AI152" s="22"/>
      <c r="AJ152" s="22"/>
      <c r="AK152" s="22"/>
      <c r="AL152" s="22"/>
      <c r="AM152" s="22"/>
      <c r="AN152" s="22"/>
      <c r="AO152" s="22"/>
      <c r="AP152" s="22"/>
    </row>
    <row r="153" hidden="1">
      <c r="A153" s="8">
        <v>46045.0</v>
      </c>
      <c r="B153" s="23">
        <v>0.5</v>
      </c>
      <c r="C153" s="10" t="s">
        <v>58</v>
      </c>
      <c r="D153" s="11" t="s">
        <v>59</v>
      </c>
      <c r="E153" s="12" t="s">
        <v>71</v>
      </c>
      <c r="F153" s="12" t="s">
        <v>517</v>
      </c>
      <c r="G153" s="12" t="s">
        <v>590</v>
      </c>
      <c r="H153" s="12" t="s">
        <v>591</v>
      </c>
      <c r="I153" s="57" t="s">
        <v>61</v>
      </c>
      <c r="J153" s="14">
        <v>24112.0</v>
      </c>
      <c r="K153" s="14">
        <v>13935.0</v>
      </c>
      <c r="L153" s="15">
        <v>0.5779</v>
      </c>
      <c r="M153" s="16"/>
      <c r="N153" s="17"/>
      <c r="O153" s="18">
        <v>6.0</v>
      </c>
      <c r="P153" s="18"/>
      <c r="Q153" s="19">
        <v>4.0E-4</v>
      </c>
      <c r="R153" s="19"/>
      <c r="S153" s="20">
        <v>3.0</v>
      </c>
      <c r="T153" s="20">
        <v>11.0</v>
      </c>
      <c r="U153" s="20">
        <v>13266.0</v>
      </c>
      <c r="V153" s="21" t="s">
        <v>315</v>
      </c>
      <c r="W153" s="18" t="s">
        <v>62</v>
      </c>
      <c r="X153" s="41" t="s">
        <v>82</v>
      </c>
      <c r="Y153" s="21" t="s">
        <v>585</v>
      </c>
      <c r="Z153" s="20" t="s">
        <v>592</v>
      </c>
      <c r="AA153" s="18">
        <v>133.0</v>
      </c>
      <c r="AB153" s="18"/>
      <c r="AC153" s="18">
        <v>133.0</v>
      </c>
      <c r="AD153" s="14">
        <v>605749.0</v>
      </c>
      <c r="AE153" s="52"/>
      <c r="AF153" s="14">
        <v>605749.0</v>
      </c>
      <c r="AG153" s="22"/>
      <c r="AH153" s="22"/>
      <c r="AI153" s="22"/>
      <c r="AJ153" s="22"/>
      <c r="AK153" s="22"/>
      <c r="AL153" s="22"/>
      <c r="AM153" s="22"/>
      <c r="AN153" s="22"/>
      <c r="AO153" s="22"/>
      <c r="AP153" s="22"/>
    </row>
    <row r="154" hidden="1">
      <c r="A154" s="8">
        <v>46045.0</v>
      </c>
      <c r="B154" s="23">
        <v>0.40625</v>
      </c>
      <c r="C154" s="10" t="s">
        <v>196</v>
      </c>
      <c r="D154" s="11" t="s">
        <v>33</v>
      </c>
      <c r="E154" s="12" t="s">
        <v>71</v>
      </c>
      <c r="F154" s="12" t="s">
        <v>517</v>
      </c>
      <c r="G154" s="12" t="s">
        <v>593</v>
      </c>
      <c r="H154" s="12" t="s">
        <v>594</v>
      </c>
      <c r="I154" s="57" t="s">
        <v>595</v>
      </c>
      <c r="J154" s="14">
        <v>238141.0</v>
      </c>
      <c r="K154" s="14">
        <v>62685.0</v>
      </c>
      <c r="L154" s="15">
        <v>0.2632</v>
      </c>
      <c r="M154" s="16">
        <v>6961.0</v>
      </c>
      <c r="N154" s="17">
        <v>0.111</v>
      </c>
      <c r="O154" s="18">
        <v>301.0</v>
      </c>
      <c r="P154" s="18"/>
      <c r="Q154" s="19">
        <v>0.0048</v>
      </c>
      <c r="R154" s="19"/>
      <c r="S154" s="20">
        <v>8.0</v>
      </c>
      <c r="T154" s="20">
        <v>15.0</v>
      </c>
      <c r="U154" s="20">
        <v>28376.0</v>
      </c>
      <c r="V154" s="21" t="s">
        <v>315</v>
      </c>
      <c r="W154" s="18" t="s">
        <v>95</v>
      </c>
      <c r="X154" s="41" t="s">
        <v>52</v>
      </c>
      <c r="Y154" s="21" t="s">
        <v>585</v>
      </c>
      <c r="Z154" s="20" t="s">
        <v>596</v>
      </c>
      <c r="AA154" s="18">
        <v>173.0</v>
      </c>
      <c r="AB154" s="18"/>
      <c r="AC154" s="18">
        <v>173.0</v>
      </c>
      <c r="AD154" s="14">
        <v>777362.0</v>
      </c>
      <c r="AE154" s="52"/>
      <c r="AF154" s="14">
        <v>777362.0</v>
      </c>
      <c r="AG154" s="22"/>
      <c r="AH154" s="22"/>
      <c r="AI154" s="22"/>
      <c r="AJ154" s="22"/>
      <c r="AK154" s="22"/>
      <c r="AL154" s="22"/>
      <c r="AM154" s="22"/>
      <c r="AN154" s="22"/>
      <c r="AO154" s="22"/>
      <c r="AP154" s="22"/>
    </row>
    <row r="155" hidden="1">
      <c r="A155" s="8">
        <v>46045.0</v>
      </c>
      <c r="B155" s="23">
        <v>0.5208333333333334</v>
      </c>
      <c r="C155" s="10" t="s">
        <v>58</v>
      </c>
      <c r="D155" s="11" t="s">
        <v>59</v>
      </c>
      <c r="E155" s="12" t="s">
        <v>71</v>
      </c>
      <c r="F155" s="12" t="s">
        <v>517</v>
      </c>
      <c r="G155" s="12" t="s">
        <v>597</v>
      </c>
      <c r="H155" s="12" t="s">
        <v>598</v>
      </c>
      <c r="I155" s="57" t="s">
        <v>454</v>
      </c>
      <c r="J155" s="14">
        <v>174725.0</v>
      </c>
      <c r="K155" s="14">
        <v>106069.0</v>
      </c>
      <c r="L155" s="15">
        <v>0.6071</v>
      </c>
      <c r="M155" s="16"/>
      <c r="N155" s="17"/>
      <c r="O155" s="18">
        <v>114.0</v>
      </c>
      <c r="P155" s="18"/>
      <c r="Q155" s="19">
        <v>0.0011</v>
      </c>
      <c r="R155" s="19"/>
      <c r="S155" s="20">
        <v>10.0</v>
      </c>
      <c r="T155" s="20">
        <v>24.0</v>
      </c>
      <c r="U155" s="20">
        <v>24067.0</v>
      </c>
      <c r="V155" s="21" t="s">
        <v>315</v>
      </c>
      <c r="W155" s="18" t="s">
        <v>62</v>
      </c>
      <c r="X155" s="41" t="s">
        <v>111</v>
      </c>
      <c r="Y155" s="21" t="s">
        <v>585</v>
      </c>
      <c r="Z155" s="20" t="s">
        <v>599</v>
      </c>
      <c r="AA155" s="18">
        <v>393.0</v>
      </c>
      <c r="AB155" s="18"/>
      <c r="AC155" s="18">
        <v>393.0</v>
      </c>
      <c r="AD155" s="14">
        <v>1593299.0</v>
      </c>
      <c r="AE155" s="52"/>
      <c r="AF155" s="14">
        <v>1593299.0</v>
      </c>
      <c r="AG155" s="22"/>
      <c r="AH155" s="22"/>
      <c r="AI155" s="22"/>
      <c r="AJ155" s="22"/>
      <c r="AK155" s="22"/>
      <c r="AL155" s="22"/>
      <c r="AM155" s="22"/>
      <c r="AN155" s="22"/>
      <c r="AO155" s="22"/>
      <c r="AP155" s="22"/>
    </row>
    <row r="156" hidden="1">
      <c r="A156" s="69">
        <v>46045.0</v>
      </c>
      <c r="B156" s="70">
        <v>0.40625</v>
      </c>
      <c r="C156" s="11" t="s">
        <v>32</v>
      </c>
      <c r="D156" s="11" t="s">
        <v>33</v>
      </c>
      <c r="E156" s="71" t="s">
        <v>71</v>
      </c>
      <c r="F156" s="71" t="s">
        <v>517</v>
      </c>
      <c r="G156" s="71" t="s">
        <v>600</v>
      </c>
      <c r="H156" s="71" t="s">
        <v>591</v>
      </c>
      <c r="I156" s="13" t="s">
        <v>601</v>
      </c>
      <c r="J156" s="14">
        <v>40583.0</v>
      </c>
      <c r="K156" s="14">
        <v>15634.0</v>
      </c>
      <c r="L156" s="15">
        <v>0.3852</v>
      </c>
      <c r="M156" s="14">
        <v>5868.0</v>
      </c>
      <c r="N156" s="15">
        <v>0.3752</v>
      </c>
      <c r="O156" s="18">
        <v>443.0</v>
      </c>
      <c r="P156" s="18">
        <v>423.0</v>
      </c>
      <c r="Q156" s="19">
        <v>0.0271</v>
      </c>
      <c r="R156" s="19">
        <v>0.0721</v>
      </c>
      <c r="S156" s="20">
        <v>2.0</v>
      </c>
      <c r="T156" s="20">
        <v>12.0</v>
      </c>
      <c r="U156" s="20">
        <v>3754.0</v>
      </c>
      <c r="V156" s="20" t="s">
        <v>315</v>
      </c>
      <c r="W156" s="18" t="s">
        <v>76</v>
      </c>
      <c r="X156" s="20" t="s">
        <v>82</v>
      </c>
      <c r="Y156" s="20" t="s">
        <v>585</v>
      </c>
      <c r="Z156" s="20" t="s">
        <v>602</v>
      </c>
      <c r="AA156" s="18">
        <v>191.0</v>
      </c>
      <c r="AB156" s="18"/>
      <c r="AC156" s="18">
        <v>191.0</v>
      </c>
      <c r="AD156" s="14">
        <v>924567.0</v>
      </c>
      <c r="AE156" s="52"/>
      <c r="AF156" s="14">
        <v>924567.0</v>
      </c>
      <c r="AG156" s="22"/>
      <c r="AH156" s="22"/>
      <c r="AI156" s="22"/>
      <c r="AJ156" s="22"/>
      <c r="AK156" s="22"/>
      <c r="AL156" s="22"/>
      <c r="AM156" s="22"/>
      <c r="AN156" s="22"/>
      <c r="AO156" s="22"/>
      <c r="AP156" s="22"/>
    </row>
    <row r="157" hidden="1">
      <c r="A157" s="69">
        <v>46045.0</v>
      </c>
      <c r="B157" s="70">
        <v>0.40625</v>
      </c>
      <c r="C157" s="11" t="s">
        <v>32</v>
      </c>
      <c r="D157" s="11" t="s">
        <v>33</v>
      </c>
      <c r="E157" s="71" t="s">
        <v>71</v>
      </c>
      <c r="F157" s="71" t="s">
        <v>517</v>
      </c>
      <c r="G157" s="71" t="s">
        <v>603</v>
      </c>
      <c r="H157" s="71" t="s">
        <v>588</v>
      </c>
      <c r="I157" s="13" t="s">
        <v>604</v>
      </c>
      <c r="J157" s="14">
        <v>175349.0</v>
      </c>
      <c r="K157" s="14">
        <v>85937.0</v>
      </c>
      <c r="L157" s="15">
        <v>0.4901</v>
      </c>
      <c r="M157" s="14">
        <v>34639.0</v>
      </c>
      <c r="N157" s="15">
        <v>0.4031</v>
      </c>
      <c r="O157" s="18">
        <v>3240.0</v>
      </c>
      <c r="P157" s="18">
        <v>3077.0</v>
      </c>
      <c r="Q157" s="19">
        <v>0.0358</v>
      </c>
      <c r="R157" s="19">
        <v>0.0888</v>
      </c>
      <c r="S157" s="20">
        <v>15.0</v>
      </c>
      <c r="T157" s="20">
        <v>61.0</v>
      </c>
      <c r="U157" s="20">
        <v>50037.0</v>
      </c>
      <c r="V157" s="20" t="s">
        <v>315</v>
      </c>
      <c r="W157" s="18" t="s">
        <v>76</v>
      </c>
      <c r="X157" s="20" t="s">
        <v>47</v>
      </c>
      <c r="Y157" s="20" t="s">
        <v>585</v>
      </c>
      <c r="Z157" s="20" t="s">
        <v>605</v>
      </c>
      <c r="AA157" s="18">
        <v>583.0</v>
      </c>
      <c r="AB157" s="18"/>
      <c r="AC157" s="18">
        <v>583.0</v>
      </c>
      <c r="AD157" s="14">
        <v>2517157.0</v>
      </c>
      <c r="AE157" s="52"/>
      <c r="AF157" s="14">
        <v>2517157.0</v>
      </c>
      <c r="AG157" s="22"/>
      <c r="AH157" s="22"/>
      <c r="AI157" s="22"/>
      <c r="AJ157" s="22"/>
      <c r="AK157" s="22"/>
      <c r="AL157" s="22"/>
      <c r="AM157" s="22"/>
      <c r="AN157" s="22"/>
      <c r="AO157" s="22"/>
      <c r="AP157" s="22"/>
    </row>
    <row r="158" hidden="1">
      <c r="A158" s="69">
        <v>46045.0</v>
      </c>
      <c r="B158" s="70">
        <v>0.40625</v>
      </c>
      <c r="C158" s="11" t="s">
        <v>32</v>
      </c>
      <c r="D158" s="11" t="s">
        <v>33</v>
      </c>
      <c r="E158" s="71" t="s">
        <v>71</v>
      </c>
      <c r="F158" s="71" t="s">
        <v>517</v>
      </c>
      <c r="G158" s="71" t="s">
        <v>606</v>
      </c>
      <c r="H158" s="71" t="s">
        <v>584</v>
      </c>
      <c r="I158" s="13" t="s">
        <v>607</v>
      </c>
      <c r="J158" s="14">
        <v>25975.0</v>
      </c>
      <c r="K158" s="14">
        <v>10959.0</v>
      </c>
      <c r="L158" s="15">
        <v>0.4219</v>
      </c>
      <c r="M158" s="14">
        <v>4305.0</v>
      </c>
      <c r="N158" s="15">
        <v>0.3927</v>
      </c>
      <c r="O158" s="18">
        <v>301.0</v>
      </c>
      <c r="P158" s="18">
        <v>279.0</v>
      </c>
      <c r="Q158" s="19">
        <v>0.0255</v>
      </c>
      <c r="R158" s="19">
        <v>0.0648</v>
      </c>
      <c r="S158" s="20">
        <v>1.0</v>
      </c>
      <c r="T158" s="20">
        <v>5.0</v>
      </c>
      <c r="U158" s="20">
        <v>6835.0</v>
      </c>
      <c r="V158" s="20" t="s">
        <v>315</v>
      </c>
      <c r="W158" s="18" t="s">
        <v>76</v>
      </c>
      <c r="X158" s="20" t="s">
        <v>52</v>
      </c>
      <c r="Y158" s="20" t="s">
        <v>585</v>
      </c>
      <c r="Z158" s="20" t="s">
        <v>608</v>
      </c>
      <c r="AA158" s="18">
        <v>110.0</v>
      </c>
      <c r="AB158" s="18"/>
      <c r="AC158" s="18">
        <v>110.0</v>
      </c>
      <c r="AD158" s="14">
        <v>612198.0</v>
      </c>
      <c r="AE158" s="52"/>
      <c r="AF158" s="14">
        <v>612198.0</v>
      </c>
      <c r="AG158" s="22"/>
      <c r="AH158" s="22"/>
      <c r="AI158" s="22"/>
      <c r="AJ158" s="22"/>
      <c r="AK158" s="22"/>
      <c r="AL158" s="22"/>
      <c r="AM158" s="22"/>
      <c r="AN158" s="22"/>
      <c r="AO158" s="22"/>
      <c r="AP158" s="22"/>
    </row>
    <row r="159" hidden="1">
      <c r="A159" s="8">
        <v>46045.0</v>
      </c>
      <c r="B159" s="23">
        <v>0.4791666666666667</v>
      </c>
      <c r="C159" s="10" t="s">
        <v>58</v>
      </c>
      <c r="D159" s="11" t="s">
        <v>59</v>
      </c>
      <c r="E159" s="12" t="s">
        <v>179</v>
      </c>
      <c r="F159" s="12" t="s">
        <v>570</v>
      </c>
      <c r="G159" s="12" t="s">
        <v>609</v>
      </c>
      <c r="H159" s="12" t="s">
        <v>610</v>
      </c>
      <c r="I159" s="57" t="s">
        <v>61</v>
      </c>
      <c r="J159" s="14">
        <v>25877.0</v>
      </c>
      <c r="K159" s="14">
        <v>17455.0</v>
      </c>
      <c r="L159" s="15">
        <v>0.6745</v>
      </c>
      <c r="M159" s="16"/>
      <c r="N159" s="17"/>
      <c r="O159" s="18">
        <v>45.0</v>
      </c>
      <c r="P159" s="18"/>
      <c r="Q159" s="19">
        <v>0.0026</v>
      </c>
      <c r="R159" s="19"/>
      <c r="S159" s="20">
        <v>12.0</v>
      </c>
      <c r="T159" s="20">
        <v>38.0</v>
      </c>
      <c r="U159" s="20">
        <v>34852.0</v>
      </c>
      <c r="V159" s="21" t="s">
        <v>183</v>
      </c>
      <c r="W159" s="18" t="s">
        <v>62</v>
      </c>
      <c r="X159" s="41" t="s">
        <v>111</v>
      </c>
      <c r="Y159" s="66" t="s">
        <v>611</v>
      </c>
      <c r="Z159" s="20" t="s">
        <v>612</v>
      </c>
      <c r="AA159" s="18">
        <v>31.0</v>
      </c>
      <c r="AB159" s="18">
        <v>22.0</v>
      </c>
      <c r="AC159" s="18">
        <v>9.0</v>
      </c>
      <c r="AD159" s="14">
        <v>117428.0</v>
      </c>
      <c r="AE159" s="14">
        <v>67343.0</v>
      </c>
      <c r="AF159" s="14">
        <v>50085.0</v>
      </c>
      <c r="AG159" s="22"/>
      <c r="AH159" s="22"/>
      <c r="AI159" s="22"/>
      <c r="AJ159" s="22"/>
      <c r="AK159" s="22"/>
      <c r="AL159" s="22"/>
      <c r="AM159" s="22"/>
      <c r="AN159" s="22"/>
      <c r="AO159" s="22"/>
      <c r="AP159" s="22"/>
    </row>
    <row r="160" hidden="1">
      <c r="A160" s="8">
        <v>46045.0</v>
      </c>
      <c r="B160" s="23">
        <v>0.4791666666666667</v>
      </c>
      <c r="C160" s="10" t="s">
        <v>58</v>
      </c>
      <c r="D160" s="11" t="s">
        <v>59</v>
      </c>
      <c r="E160" s="12" t="s">
        <v>179</v>
      </c>
      <c r="F160" s="12" t="s">
        <v>570</v>
      </c>
      <c r="G160" s="12" t="s">
        <v>613</v>
      </c>
      <c r="H160" s="12" t="s">
        <v>614</v>
      </c>
      <c r="I160" s="57" t="s">
        <v>61</v>
      </c>
      <c r="J160" s="14">
        <v>23592.0</v>
      </c>
      <c r="K160" s="14">
        <v>16133.0</v>
      </c>
      <c r="L160" s="15">
        <v>0.6838</v>
      </c>
      <c r="M160" s="16"/>
      <c r="N160" s="17"/>
      <c r="O160" s="18">
        <v>60.0</v>
      </c>
      <c r="P160" s="18"/>
      <c r="Q160" s="19">
        <v>0.0037</v>
      </c>
      <c r="R160" s="19"/>
      <c r="S160" s="20">
        <v>19.0</v>
      </c>
      <c r="T160" s="20">
        <v>29.0</v>
      </c>
      <c r="U160" s="20">
        <v>74839.0</v>
      </c>
      <c r="V160" s="21" t="s">
        <v>183</v>
      </c>
      <c r="W160" s="18" t="s">
        <v>62</v>
      </c>
      <c r="X160" s="41" t="s">
        <v>184</v>
      </c>
      <c r="Y160" s="66" t="s">
        <v>611</v>
      </c>
      <c r="Z160" s="20" t="s">
        <v>615</v>
      </c>
      <c r="AA160" s="18">
        <v>100.0</v>
      </c>
      <c r="AB160" s="18">
        <v>75.0</v>
      </c>
      <c r="AC160" s="18">
        <v>25.0</v>
      </c>
      <c r="AD160" s="14">
        <v>459270.0</v>
      </c>
      <c r="AE160" s="14">
        <v>328979.0</v>
      </c>
      <c r="AF160" s="14">
        <v>130291.0</v>
      </c>
      <c r="AG160" s="22"/>
      <c r="AH160" s="22"/>
      <c r="AI160" s="22"/>
      <c r="AJ160" s="22"/>
      <c r="AK160" s="22"/>
      <c r="AL160" s="22"/>
      <c r="AM160" s="22"/>
      <c r="AN160" s="22"/>
      <c r="AO160" s="22"/>
      <c r="AP160" s="22"/>
    </row>
    <row r="161" hidden="1">
      <c r="A161" s="8">
        <v>46045.0</v>
      </c>
      <c r="B161" s="23">
        <v>0.4791666666666667</v>
      </c>
      <c r="C161" s="10" t="s">
        <v>58</v>
      </c>
      <c r="D161" s="11" t="s">
        <v>59</v>
      </c>
      <c r="E161" s="12" t="s">
        <v>179</v>
      </c>
      <c r="F161" s="12" t="s">
        <v>570</v>
      </c>
      <c r="G161" s="12" t="s">
        <v>616</v>
      </c>
      <c r="H161" s="12" t="s">
        <v>617</v>
      </c>
      <c r="I161" s="57" t="s">
        <v>61</v>
      </c>
      <c r="J161" s="14">
        <v>14041.0</v>
      </c>
      <c r="K161" s="14">
        <v>8800.0</v>
      </c>
      <c r="L161" s="15">
        <v>0.6267</v>
      </c>
      <c r="M161" s="16"/>
      <c r="N161" s="17"/>
      <c r="O161" s="18">
        <v>29.0</v>
      </c>
      <c r="P161" s="18"/>
      <c r="Q161" s="19">
        <v>0.0033</v>
      </c>
      <c r="R161" s="19"/>
      <c r="S161" s="20">
        <v>18.0</v>
      </c>
      <c r="T161" s="20">
        <v>60.0</v>
      </c>
      <c r="U161" s="20">
        <v>76294.0</v>
      </c>
      <c r="V161" s="21" t="s">
        <v>183</v>
      </c>
      <c r="W161" s="18" t="s">
        <v>62</v>
      </c>
      <c r="X161" s="41" t="s">
        <v>184</v>
      </c>
      <c r="Y161" s="66" t="s">
        <v>611</v>
      </c>
      <c r="Z161" s="20" t="s">
        <v>618</v>
      </c>
      <c r="AA161" s="18">
        <v>118.0</v>
      </c>
      <c r="AB161" s="18">
        <v>78.0</v>
      </c>
      <c r="AC161" s="18">
        <v>40.0</v>
      </c>
      <c r="AD161" s="14">
        <v>830529.0</v>
      </c>
      <c r="AE161" s="14">
        <v>362167.0</v>
      </c>
      <c r="AF161" s="14">
        <v>468362.0</v>
      </c>
      <c r="AG161" s="22"/>
      <c r="AH161" s="22"/>
      <c r="AI161" s="22"/>
      <c r="AJ161" s="22"/>
      <c r="AK161" s="22"/>
      <c r="AL161" s="22"/>
      <c r="AM161" s="22"/>
      <c r="AN161" s="22"/>
      <c r="AO161" s="22"/>
      <c r="AP161" s="22"/>
    </row>
    <row r="162" hidden="1">
      <c r="A162" s="8">
        <v>46045.0</v>
      </c>
      <c r="B162" s="23">
        <v>0.4791666666666667</v>
      </c>
      <c r="C162" s="10" t="s">
        <v>58</v>
      </c>
      <c r="D162" s="11" t="s">
        <v>59</v>
      </c>
      <c r="E162" s="12" t="s">
        <v>179</v>
      </c>
      <c r="F162" s="12" t="s">
        <v>570</v>
      </c>
      <c r="G162" s="12" t="s">
        <v>619</v>
      </c>
      <c r="H162" s="12" t="s">
        <v>620</v>
      </c>
      <c r="I162" s="57" t="s">
        <v>61</v>
      </c>
      <c r="J162" s="14">
        <v>38135.0</v>
      </c>
      <c r="K162" s="14">
        <v>25813.0</v>
      </c>
      <c r="L162" s="15">
        <v>0.6769</v>
      </c>
      <c r="M162" s="16"/>
      <c r="N162" s="17"/>
      <c r="O162" s="18">
        <v>66.0</v>
      </c>
      <c r="P162" s="18"/>
      <c r="Q162" s="19">
        <v>0.0026</v>
      </c>
      <c r="R162" s="19"/>
      <c r="S162" s="20">
        <v>3.0</v>
      </c>
      <c r="T162" s="20">
        <v>11.0</v>
      </c>
      <c r="U162" s="20">
        <v>9071.0</v>
      </c>
      <c r="V162" s="21" t="s">
        <v>183</v>
      </c>
      <c r="W162" s="18" t="s">
        <v>62</v>
      </c>
      <c r="X162" s="41" t="s">
        <v>111</v>
      </c>
      <c r="Y162" s="66" t="s">
        <v>611</v>
      </c>
      <c r="Z162" s="20" t="s">
        <v>621</v>
      </c>
      <c r="AA162" s="18">
        <v>89.0</v>
      </c>
      <c r="AB162" s="18">
        <v>17.0</v>
      </c>
      <c r="AC162" s="18">
        <v>72.0</v>
      </c>
      <c r="AD162" s="14">
        <v>324397.0</v>
      </c>
      <c r="AE162" s="14">
        <v>80198.0</v>
      </c>
      <c r="AF162" s="14">
        <v>244199.0</v>
      </c>
      <c r="AG162" s="22"/>
      <c r="AH162" s="22"/>
      <c r="AI162" s="22"/>
      <c r="AJ162" s="22"/>
      <c r="AK162" s="22"/>
      <c r="AL162" s="22"/>
      <c r="AM162" s="22"/>
      <c r="AN162" s="22"/>
      <c r="AO162" s="22"/>
      <c r="AP162" s="22"/>
    </row>
    <row r="163" hidden="1">
      <c r="A163" s="8">
        <v>46045.0</v>
      </c>
      <c r="B163" s="23">
        <v>0.4791666666666667</v>
      </c>
      <c r="C163" s="10" t="s">
        <v>58</v>
      </c>
      <c r="D163" s="11" t="s">
        <v>59</v>
      </c>
      <c r="E163" s="12" t="s">
        <v>179</v>
      </c>
      <c r="F163" s="12" t="s">
        <v>570</v>
      </c>
      <c r="G163" s="12" t="s">
        <v>622</v>
      </c>
      <c r="H163" s="12" t="s">
        <v>623</v>
      </c>
      <c r="I163" s="57" t="s">
        <v>61</v>
      </c>
      <c r="J163" s="14">
        <v>11896.0</v>
      </c>
      <c r="K163" s="14">
        <v>7022.0</v>
      </c>
      <c r="L163" s="15">
        <v>0.5903</v>
      </c>
      <c r="M163" s="16"/>
      <c r="N163" s="17"/>
      <c r="O163" s="18">
        <v>19.0</v>
      </c>
      <c r="P163" s="18"/>
      <c r="Q163" s="19">
        <v>0.0027</v>
      </c>
      <c r="R163" s="19"/>
      <c r="S163" s="20">
        <v>6.0</v>
      </c>
      <c r="T163" s="20">
        <v>9.0</v>
      </c>
      <c r="U163" s="20">
        <v>22007.0</v>
      </c>
      <c r="V163" s="21" t="s">
        <v>183</v>
      </c>
      <c r="W163" s="18" t="s">
        <v>62</v>
      </c>
      <c r="X163" s="41" t="s">
        <v>624</v>
      </c>
      <c r="Y163" s="66" t="s">
        <v>611</v>
      </c>
      <c r="Z163" s="20" t="s">
        <v>625</v>
      </c>
      <c r="AA163" s="18">
        <v>48.0</v>
      </c>
      <c r="AB163" s="18">
        <v>24.0</v>
      </c>
      <c r="AC163" s="18">
        <v>24.0</v>
      </c>
      <c r="AD163" s="14">
        <v>173632.0</v>
      </c>
      <c r="AE163" s="14">
        <v>77276.0</v>
      </c>
      <c r="AF163" s="14">
        <v>96356.0</v>
      </c>
      <c r="AG163" s="22"/>
      <c r="AH163" s="22"/>
      <c r="AI163" s="22"/>
      <c r="AJ163" s="22"/>
      <c r="AK163" s="22"/>
      <c r="AL163" s="22"/>
      <c r="AM163" s="22"/>
      <c r="AN163" s="22"/>
      <c r="AO163" s="22"/>
      <c r="AP163" s="22"/>
    </row>
    <row r="164" hidden="1">
      <c r="A164" s="8">
        <v>46045.0</v>
      </c>
      <c r="B164" s="23">
        <v>0.4791666666666667</v>
      </c>
      <c r="C164" s="10" t="s">
        <v>58</v>
      </c>
      <c r="D164" s="11" t="s">
        <v>59</v>
      </c>
      <c r="E164" s="12" t="s">
        <v>179</v>
      </c>
      <c r="F164" s="12" t="s">
        <v>570</v>
      </c>
      <c r="G164" s="12" t="s">
        <v>626</v>
      </c>
      <c r="H164" s="12" t="s">
        <v>627</v>
      </c>
      <c r="I164" s="57" t="s">
        <v>61</v>
      </c>
      <c r="J164" s="14">
        <v>12596.0</v>
      </c>
      <c r="K164" s="14">
        <v>6823.0</v>
      </c>
      <c r="L164" s="15">
        <v>0.5417</v>
      </c>
      <c r="M164" s="16"/>
      <c r="N164" s="17"/>
      <c r="O164" s="18">
        <v>20.0</v>
      </c>
      <c r="P164" s="18"/>
      <c r="Q164" s="19">
        <v>0.0029</v>
      </c>
      <c r="R164" s="19"/>
      <c r="S164" s="20">
        <v>4.0</v>
      </c>
      <c r="T164" s="20">
        <v>9.0</v>
      </c>
      <c r="U164" s="20">
        <v>12448.0</v>
      </c>
      <c r="V164" s="21" t="s">
        <v>183</v>
      </c>
      <c r="W164" s="18" t="s">
        <v>62</v>
      </c>
      <c r="X164" s="41" t="s">
        <v>624</v>
      </c>
      <c r="Y164" s="66" t="s">
        <v>611</v>
      </c>
      <c r="Z164" s="20" t="s">
        <v>628</v>
      </c>
      <c r="AA164" s="18">
        <v>56.0</v>
      </c>
      <c r="AB164" s="18">
        <v>14.0</v>
      </c>
      <c r="AC164" s="18">
        <v>42.0</v>
      </c>
      <c r="AD164" s="14">
        <v>312087.0</v>
      </c>
      <c r="AE164" s="14">
        <v>32518.0</v>
      </c>
      <c r="AF164" s="14">
        <v>279569.0</v>
      </c>
      <c r="AG164" s="22"/>
      <c r="AH164" s="22"/>
      <c r="AI164" s="22"/>
      <c r="AJ164" s="22"/>
      <c r="AK164" s="22"/>
      <c r="AL164" s="22"/>
      <c r="AM164" s="22"/>
      <c r="AN164" s="22"/>
      <c r="AO164" s="22"/>
      <c r="AP164" s="22"/>
    </row>
    <row r="165" hidden="1">
      <c r="A165" s="8">
        <v>46045.0</v>
      </c>
      <c r="B165" s="23">
        <v>0.4166666666666667</v>
      </c>
      <c r="C165" s="10" t="s">
        <v>32</v>
      </c>
      <c r="D165" s="11" t="s">
        <v>33</v>
      </c>
      <c r="E165" s="12" t="s">
        <v>179</v>
      </c>
      <c r="F165" s="12" t="s">
        <v>570</v>
      </c>
      <c r="G165" s="12" t="s">
        <v>629</v>
      </c>
      <c r="H165" s="12" t="s">
        <v>617</v>
      </c>
      <c r="I165" s="57" t="s">
        <v>630</v>
      </c>
      <c r="J165" s="14">
        <v>30897.0</v>
      </c>
      <c r="K165" s="14">
        <v>15457.0</v>
      </c>
      <c r="L165" s="15">
        <v>0.5003</v>
      </c>
      <c r="M165" s="16">
        <v>4032.0</v>
      </c>
      <c r="N165" s="17">
        <v>0.2608</v>
      </c>
      <c r="O165" s="18">
        <v>584.0</v>
      </c>
      <c r="P165" s="18">
        <v>539.0</v>
      </c>
      <c r="Q165" s="19">
        <v>0.0349</v>
      </c>
      <c r="R165" s="19">
        <v>0.1337</v>
      </c>
      <c r="S165" s="20">
        <v>50.0</v>
      </c>
      <c r="T165" s="20">
        <v>130.0</v>
      </c>
      <c r="U165" s="20">
        <v>210894.0</v>
      </c>
      <c r="V165" s="21" t="s">
        <v>183</v>
      </c>
      <c r="W165" s="18" t="s">
        <v>76</v>
      </c>
      <c r="X165" s="41" t="s">
        <v>184</v>
      </c>
      <c r="Y165" s="66" t="s">
        <v>611</v>
      </c>
      <c r="Z165" s="20" t="s">
        <v>631</v>
      </c>
      <c r="AA165" s="18">
        <v>260.0</v>
      </c>
      <c r="AB165" s="18">
        <v>161.0</v>
      </c>
      <c r="AC165" s="18">
        <v>99.0</v>
      </c>
      <c r="AD165" s="14">
        <v>1875282.0</v>
      </c>
      <c r="AE165" s="14">
        <v>769463.0</v>
      </c>
      <c r="AF165" s="14">
        <v>1105819.0</v>
      </c>
      <c r="AG165" s="22"/>
      <c r="AH165" s="22"/>
      <c r="AI165" s="22"/>
      <c r="AJ165" s="22"/>
      <c r="AK165" s="22"/>
      <c r="AL165" s="22"/>
      <c r="AM165" s="22"/>
      <c r="AN165" s="22"/>
      <c r="AO165" s="22"/>
      <c r="AP165" s="22"/>
    </row>
    <row r="166" hidden="1">
      <c r="A166" s="26">
        <v>46045.0</v>
      </c>
      <c r="B166" s="27">
        <v>0.4201388888888889</v>
      </c>
      <c r="C166" s="28" t="s">
        <v>32</v>
      </c>
      <c r="D166" s="29" t="s">
        <v>33</v>
      </c>
      <c r="E166" s="30" t="s">
        <v>179</v>
      </c>
      <c r="F166" s="30" t="s">
        <v>570</v>
      </c>
      <c r="G166" s="30" t="s">
        <v>632</v>
      </c>
      <c r="H166" s="30" t="s">
        <v>614</v>
      </c>
      <c r="I166" s="72" t="s">
        <v>633</v>
      </c>
      <c r="J166" s="33">
        <v>54245.0</v>
      </c>
      <c r="K166" s="33">
        <v>28858.0</v>
      </c>
      <c r="L166" s="34">
        <v>0.532</v>
      </c>
      <c r="M166" s="35">
        <v>7851.0</v>
      </c>
      <c r="N166" s="36">
        <v>0.272</v>
      </c>
      <c r="O166" s="37">
        <v>975.0</v>
      </c>
      <c r="P166" s="37">
        <v>909.0</v>
      </c>
      <c r="Q166" s="38">
        <v>0.0315</v>
      </c>
      <c r="R166" s="38">
        <v>0.1158</v>
      </c>
      <c r="S166" s="39">
        <v>40.0</v>
      </c>
      <c r="T166" s="39">
        <v>77.0</v>
      </c>
      <c r="U166" s="39">
        <v>170741.0</v>
      </c>
      <c r="V166" s="41" t="s">
        <v>183</v>
      </c>
      <c r="W166" s="37" t="s">
        <v>76</v>
      </c>
      <c r="X166" s="41" t="s">
        <v>184</v>
      </c>
      <c r="Y166" s="73" t="s">
        <v>611</v>
      </c>
      <c r="Z166" s="39" t="s">
        <v>634</v>
      </c>
      <c r="AA166" s="37">
        <v>179.0</v>
      </c>
      <c r="AB166" s="37">
        <v>124.0</v>
      </c>
      <c r="AC166" s="37">
        <v>55.0</v>
      </c>
      <c r="AD166" s="33">
        <v>851011.0</v>
      </c>
      <c r="AE166" s="33">
        <v>551932.0</v>
      </c>
      <c r="AF166" s="33">
        <v>299079.0</v>
      </c>
      <c r="AG166" s="43"/>
      <c r="AH166" s="43"/>
      <c r="AI166" s="43"/>
      <c r="AJ166" s="43"/>
      <c r="AK166" s="43"/>
      <c r="AL166" s="43"/>
      <c r="AM166" s="43"/>
      <c r="AN166" s="43"/>
      <c r="AO166" s="43"/>
      <c r="AP166" s="43"/>
    </row>
    <row r="167" hidden="1">
      <c r="A167" s="8">
        <v>46045.0</v>
      </c>
      <c r="B167" s="23">
        <v>0.4236111111111111</v>
      </c>
      <c r="C167" s="10" t="s">
        <v>32</v>
      </c>
      <c r="D167" s="11" t="s">
        <v>33</v>
      </c>
      <c r="E167" s="12" t="s">
        <v>179</v>
      </c>
      <c r="F167" s="12" t="s">
        <v>570</v>
      </c>
      <c r="G167" s="12" t="s">
        <v>635</v>
      </c>
      <c r="H167" s="12" t="s">
        <v>623</v>
      </c>
      <c r="I167" s="57" t="s">
        <v>636</v>
      </c>
      <c r="J167" s="14">
        <v>25891.0</v>
      </c>
      <c r="K167" s="14">
        <v>12647.0</v>
      </c>
      <c r="L167" s="15">
        <v>0.4885</v>
      </c>
      <c r="M167" s="16">
        <v>2909.0</v>
      </c>
      <c r="N167" s="17">
        <v>0.23</v>
      </c>
      <c r="O167" s="18">
        <v>418.0</v>
      </c>
      <c r="P167" s="18">
        <v>381.0</v>
      </c>
      <c r="Q167" s="19">
        <v>0.0301</v>
      </c>
      <c r="R167" s="19">
        <v>0.131</v>
      </c>
      <c r="S167" s="20">
        <v>5.0</v>
      </c>
      <c r="T167" s="20">
        <v>21.0</v>
      </c>
      <c r="U167" s="20">
        <v>15987.0</v>
      </c>
      <c r="V167" s="21" t="s">
        <v>183</v>
      </c>
      <c r="W167" s="18" t="s">
        <v>76</v>
      </c>
      <c r="X167" s="41" t="s">
        <v>624</v>
      </c>
      <c r="Y167" s="66" t="s">
        <v>611</v>
      </c>
      <c r="Z167" s="20" t="s">
        <v>637</v>
      </c>
      <c r="AA167" s="14">
        <v>101.0</v>
      </c>
      <c r="AB167" s="14">
        <v>43.0</v>
      </c>
      <c r="AC167" s="14">
        <v>58.0</v>
      </c>
      <c r="AD167" s="14">
        <v>465450.0</v>
      </c>
      <c r="AE167" s="14">
        <v>133273.0</v>
      </c>
      <c r="AF167" s="14">
        <v>332177.0</v>
      </c>
      <c r="AG167" s="22"/>
      <c r="AH167" s="22"/>
      <c r="AI167" s="22"/>
      <c r="AJ167" s="22"/>
      <c r="AK167" s="22"/>
      <c r="AL167" s="22"/>
      <c r="AM167" s="22"/>
      <c r="AN167" s="22"/>
      <c r="AO167" s="22"/>
      <c r="AP167" s="22"/>
    </row>
    <row r="168" hidden="1">
      <c r="A168" s="8">
        <v>46045.0</v>
      </c>
      <c r="B168" s="23">
        <v>0.4270833333333333</v>
      </c>
      <c r="C168" s="10" t="s">
        <v>32</v>
      </c>
      <c r="D168" s="11" t="s">
        <v>33</v>
      </c>
      <c r="E168" s="12" t="s">
        <v>179</v>
      </c>
      <c r="F168" s="12" t="s">
        <v>570</v>
      </c>
      <c r="G168" s="12" t="s">
        <v>638</v>
      </c>
      <c r="H168" s="12" t="s">
        <v>627</v>
      </c>
      <c r="I168" s="57" t="s">
        <v>639</v>
      </c>
      <c r="J168" s="14">
        <v>26099.0</v>
      </c>
      <c r="K168" s="14">
        <v>11934.0</v>
      </c>
      <c r="L168" s="15">
        <v>0.4573</v>
      </c>
      <c r="M168" s="16">
        <v>2542.0</v>
      </c>
      <c r="N168" s="17">
        <v>0.2129</v>
      </c>
      <c r="O168" s="18">
        <v>374.0</v>
      </c>
      <c r="P168" s="18">
        <v>339.0</v>
      </c>
      <c r="Q168" s="19">
        <v>0.0284</v>
      </c>
      <c r="R168" s="19">
        <v>0.1334</v>
      </c>
      <c r="S168" s="20">
        <v>10.0</v>
      </c>
      <c r="T168" s="20">
        <v>15.0</v>
      </c>
      <c r="U168" s="20">
        <v>25135.0</v>
      </c>
      <c r="V168" s="21" t="s">
        <v>183</v>
      </c>
      <c r="W168" s="18" t="s">
        <v>76</v>
      </c>
      <c r="X168" s="41" t="s">
        <v>624</v>
      </c>
      <c r="Y168" s="66" t="s">
        <v>611</v>
      </c>
      <c r="Z168" s="20" t="s">
        <v>640</v>
      </c>
      <c r="AA168" s="14">
        <v>94.0</v>
      </c>
      <c r="AB168" s="14">
        <v>40.0</v>
      </c>
      <c r="AC168" s="14">
        <v>54.0</v>
      </c>
      <c r="AD168" s="14">
        <v>526375.0</v>
      </c>
      <c r="AE168" s="14">
        <v>123693.0</v>
      </c>
      <c r="AF168" s="14">
        <v>402682.0</v>
      </c>
      <c r="AG168" s="22"/>
      <c r="AH168" s="22"/>
      <c r="AI168" s="22"/>
      <c r="AJ168" s="22"/>
      <c r="AK168" s="22"/>
      <c r="AL168" s="22"/>
      <c r="AM168" s="22"/>
      <c r="AN168" s="22"/>
      <c r="AO168" s="22"/>
      <c r="AP168" s="22"/>
    </row>
    <row r="169" hidden="1">
      <c r="A169" s="8">
        <v>46045.0</v>
      </c>
      <c r="B169" s="23">
        <v>0.4305555555555556</v>
      </c>
      <c r="C169" s="10" t="s">
        <v>32</v>
      </c>
      <c r="D169" s="11" t="s">
        <v>33</v>
      </c>
      <c r="E169" s="12" t="s">
        <v>179</v>
      </c>
      <c r="F169" s="12" t="s">
        <v>570</v>
      </c>
      <c r="G169" s="12" t="s">
        <v>641</v>
      </c>
      <c r="H169" s="12" t="s">
        <v>642</v>
      </c>
      <c r="I169" s="57" t="s">
        <v>643</v>
      </c>
      <c r="J169" s="14">
        <v>98271.0</v>
      </c>
      <c r="K169" s="14">
        <v>55568.0</v>
      </c>
      <c r="L169" s="15">
        <v>0.5655</v>
      </c>
      <c r="M169" s="16">
        <v>15728.0</v>
      </c>
      <c r="N169" s="17">
        <v>0.283</v>
      </c>
      <c r="O169" s="18">
        <v>1760.0</v>
      </c>
      <c r="P169" s="18">
        <v>1633.0</v>
      </c>
      <c r="Q169" s="19">
        <v>0.0294</v>
      </c>
      <c r="R169" s="19">
        <v>0.1038</v>
      </c>
      <c r="S169" s="20">
        <v>11.0</v>
      </c>
      <c r="T169" s="20">
        <v>36.0</v>
      </c>
      <c r="U169" s="20">
        <v>26627.0</v>
      </c>
      <c r="V169" s="21" t="s">
        <v>183</v>
      </c>
      <c r="W169" s="18" t="s">
        <v>76</v>
      </c>
      <c r="X169" s="41" t="s">
        <v>111</v>
      </c>
      <c r="Y169" s="66" t="s">
        <v>611</v>
      </c>
      <c r="Z169" s="20" t="s">
        <v>644</v>
      </c>
      <c r="AA169" s="14">
        <v>197.0</v>
      </c>
      <c r="AB169" s="14">
        <v>49.0</v>
      </c>
      <c r="AC169" s="14">
        <v>148.0</v>
      </c>
      <c r="AD169" s="14">
        <v>693411.0</v>
      </c>
      <c r="AE169" s="14">
        <v>117697.0</v>
      </c>
      <c r="AF169" s="14">
        <v>575714.0</v>
      </c>
      <c r="AG169" s="22"/>
      <c r="AH169" s="22"/>
      <c r="AI169" s="22"/>
      <c r="AJ169" s="22"/>
      <c r="AK169" s="22"/>
      <c r="AL169" s="22"/>
      <c r="AM169" s="22"/>
      <c r="AN169" s="22"/>
      <c r="AO169" s="22"/>
      <c r="AP169" s="22"/>
    </row>
    <row r="170" hidden="1">
      <c r="A170" s="8">
        <v>46045.0</v>
      </c>
      <c r="B170" s="23">
        <v>0.4305555555555556</v>
      </c>
      <c r="C170" s="10" t="s">
        <v>32</v>
      </c>
      <c r="D170" s="11" t="s">
        <v>33</v>
      </c>
      <c r="E170" s="12" t="s">
        <v>179</v>
      </c>
      <c r="F170" s="12" t="s">
        <v>570</v>
      </c>
      <c r="G170" s="12" t="s">
        <v>645</v>
      </c>
      <c r="H170" s="12" t="s">
        <v>610</v>
      </c>
      <c r="I170" s="57" t="s">
        <v>646</v>
      </c>
      <c r="J170" s="14">
        <v>70478.0</v>
      </c>
      <c r="K170" s="14">
        <v>41484.0</v>
      </c>
      <c r="L170" s="15">
        <v>0.5886</v>
      </c>
      <c r="M170" s="16">
        <v>12086.0</v>
      </c>
      <c r="N170" s="17">
        <v>0.2913</v>
      </c>
      <c r="O170" s="18">
        <v>2218.0</v>
      </c>
      <c r="P170" s="18">
        <v>2031.0</v>
      </c>
      <c r="Q170" s="19">
        <v>0.049</v>
      </c>
      <c r="R170" s="19">
        <v>0.1681</v>
      </c>
      <c r="S170" s="20">
        <v>42.0</v>
      </c>
      <c r="T170" s="20">
        <v>117.0</v>
      </c>
      <c r="U170" s="20">
        <v>214732.0</v>
      </c>
      <c r="V170" s="21" t="s">
        <v>183</v>
      </c>
      <c r="W170" s="18" t="s">
        <v>76</v>
      </c>
      <c r="X170" s="41" t="s">
        <v>111</v>
      </c>
      <c r="Y170" s="66" t="s">
        <v>611</v>
      </c>
      <c r="Z170" s="20" t="s">
        <v>647</v>
      </c>
      <c r="AA170" s="14">
        <v>121.0</v>
      </c>
      <c r="AB170" s="14">
        <v>86.0</v>
      </c>
      <c r="AC170" s="14">
        <v>35.0</v>
      </c>
      <c r="AD170" s="14">
        <v>517738.0</v>
      </c>
      <c r="AE170" s="14">
        <v>392203.0</v>
      </c>
      <c r="AF170" s="14">
        <v>125535.0</v>
      </c>
      <c r="AG170" s="22"/>
      <c r="AH170" s="22"/>
      <c r="AI170" s="22"/>
      <c r="AJ170" s="22"/>
      <c r="AK170" s="22"/>
      <c r="AL170" s="22"/>
      <c r="AM170" s="22"/>
      <c r="AN170" s="22"/>
      <c r="AO170" s="22"/>
      <c r="AP170" s="22"/>
    </row>
    <row r="171" hidden="1">
      <c r="A171" s="26">
        <v>46046.0</v>
      </c>
      <c r="B171" s="27">
        <v>0.4166666666666667</v>
      </c>
      <c r="C171" s="28" t="s">
        <v>58</v>
      </c>
      <c r="D171" s="29" t="s">
        <v>33</v>
      </c>
      <c r="E171" s="29" t="s">
        <v>106</v>
      </c>
      <c r="F171" s="29" t="s">
        <v>107</v>
      </c>
      <c r="G171" s="29" t="s">
        <v>648</v>
      </c>
      <c r="H171" s="29" t="s">
        <v>649</v>
      </c>
      <c r="I171" s="72" t="s">
        <v>650</v>
      </c>
      <c r="J171" s="33">
        <v>10129.0</v>
      </c>
      <c r="K171" s="33">
        <v>5671.0</v>
      </c>
      <c r="L171" s="34">
        <v>0.56</v>
      </c>
      <c r="M171" s="74"/>
      <c r="N171" s="75"/>
      <c r="O171" s="76"/>
      <c r="P171" s="37"/>
      <c r="Q171" s="67"/>
      <c r="R171" s="77"/>
      <c r="S171" s="76"/>
      <c r="T171" s="76"/>
      <c r="U171" s="76"/>
      <c r="V171" s="41" t="s">
        <v>183</v>
      </c>
      <c r="W171" s="37" t="s">
        <v>62</v>
      </c>
      <c r="X171" s="78" t="s">
        <v>52</v>
      </c>
      <c r="Y171" s="41" t="s">
        <v>651</v>
      </c>
      <c r="Z171" s="39" t="s">
        <v>652</v>
      </c>
      <c r="AA171" s="33">
        <v>12.0</v>
      </c>
      <c r="AB171" s="33">
        <v>0.0</v>
      </c>
      <c r="AC171" s="33">
        <v>12.0</v>
      </c>
      <c r="AD171" s="33">
        <v>170984.0</v>
      </c>
      <c r="AE171" s="33">
        <v>0.0</v>
      </c>
      <c r="AF171" s="33">
        <v>170984.0</v>
      </c>
      <c r="AG171" s="43"/>
      <c r="AH171" s="43"/>
      <c r="AI171" s="43"/>
      <c r="AJ171" s="43"/>
      <c r="AK171" s="43"/>
      <c r="AL171" s="43"/>
      <c r="AM171" s="43"/>
      <c r="AN171" s="43"/>
      <c r="AO171" s="43"/>
      <c r="AP171" s="43"/>
    </row>
    <row r="172" hidden="1">
      <c r="A172" s="26">
        <v>46046.0</v>
      </c>
      <c r="B172" s="27">
        <v>0.4166666666666667</v>
      </c>
      <c r="C172" s="28" t="s">
        <v>58</v>
      </c>
      <c r="D172" s="29" t="s">
        <v>33</v>
      </c>
      <c r="E172" s="29" t="s">
        <v>106</v>
      </c>
      <c r="F172" s="29" t="s">
        <v>107</v>
      </c>
      <c r="G172" s="29" t="s">
        <v>653</v>
      </c>
      <c r="H172" s="29" t="s">
        <v>654</v>
      </c>
      <c r="I172" s="31" t="s">
        <v>655</v>
      </c>
      <c r="J172" s="33">
        <v>38446.0</v>
      </c>
      <c r="K172" s="33">
        <v>22022.0</v>
      </c>
      <c r="L172" s="34">
        <v>0.573</v>
      </c>
      <c r="M172" s="74"/>
      <c r="N172" s="75"/>
      <c r="O172" s="76"/>
      <c r="P172" s="37"/>
      <c r="Q172" s="76"/>
      <c r="R172" s="77"/>
      <c r="S172" s="76"/>
      <c r="T172" s="76"/>
      <c r="U172" s="76"/>
      <c r="V172" s="41" t="s">
        <v>183</v>
      </c>
      <c r="W172" s="37" t="s">
        <v>62</v>
      </c>
      <c r="X172" s="78" t="s">
        <v>47</v>
      </c>
      <c r="Y172" s="41" t="s">
        <v>651</v>
      </c>
      <c r="Z172" s="39" t="s">
        <v>656</v>
      </c>
      <c r="AA172" s="33">
        <v>36.0</v>
      </c>
      <c r="AB172" s="33">
        <v>0.0</v>
      </c>
      <c r="AC172" s="33">
        <v>36.0</v>
      </c>
      <c r="AD172" s="33">
        <v>430459.0</v>
      </c>
      <c r="AE172" s="33">
        <v>0.0</v>
      </c>
      <c r="AF172" s="33">
        <v>430459.0</v>
      </c>
      <c r="AG172" s="43"/>
      <c r="AH172" s="43"/>
      <c r="AI172" s="43"/>
      <c r="AJ172" s="43"/>
      <c r="AK172" s="43"/>
      <c r="AL172" s="43"/>
      <c r="AM172" s="43"/>
      <c r="AN172" s="43"/>
      <c r="AO172" s="43"/>
      <c r="AP172" s="43"/>
    </row>
    <row r="173" hidden="1">
      <c r="A173" s="8">
        <v>46046.0</v>
      </c>
      <c r="B173" s="23">
        <v>0.4166666666666667</v>
      </c>
      <c r="C173" s="10" t="s">
        <v>58</v>
      </c>
      <c r="D173" s="11" t="s">
        <v>33</v>
      </c>
      <c r="E173" s="12" t="s">
        <v>106</v>
      </c>
      <c r="F173" s="12" t="s">
        <v>107</v>
      </c>
      <c r="G173" s="11" t="s">
        <v>657</v>
      </c>
      <c r="H173" s="11" t="s">
        <v>114</v>
      </c>
      <c r="I173" s="57" t="s">
        <v>115</v>
      </c>
      <c r="J173" s="14">
        <v>208900.0</v>
      </c>
      <c r="K173" s="14">
        <v>119430.0</v>
      </c>
      <c r="L173" s="15">
        <v>0.572</v>
      </c>
      <c r="M173" s="45"/>
      <c r="N173" s="46"/>
      <c r="O173" s="47"/>
      <c r="P173" s="18"/>
      <c r="Q173" s="47"/>
      <c r="R173" s="49"/>
      <c r="S173" s="47"/>
      <c r="T173" s="47"/>
      <c r="U173" s="47"/>
      <c r="V173" s="21" t="s">
        <v>183</v>
      </c>
      <c r="W173" s="18" t="s">
        <v>62</v>
      </c>
      <c r="X173" s="54" t="s">
        <v>41</v>
      </c>
      <c r="Y173" s="41" t="s">
        <v>651</v>
      </c>
      <c r="Z173" s="20" t="s">
        <v>658</v>
      </c>
      <c r="AA173" s="14">
        <v>163.0</v>
      </c>
      <c r="AB173" s="14"/>
      <c r="AC173" s="14">
        <v>163.0</v>
      </c>
      <c r="AD173" s="14">
        <v>2046404.0</v>
      </c>
      <c r="AE173" s="14"/>
      <c r="AF173" s="14">
        <v>2046404.0</v>
      </c>
      <c r="AG173" s="22"/>
      <c r="AH173" s="22"/>
      <c r="AI173" s="22"/>
      <c r="AJ173" s="22"/>
      <c r="AK173" s="22"/>
      <c r="AL173" s="22"/>
      <c r="AM173" s="22"/>
      <c r="AN173" s="22"/>
      <c r="AO173" s="22"/>
      <c r="AP173" s="22"/>
    </row>
    <row r="174" hidden="1">
      <c r="A174" s="8">
        <v>46046.0</v>
      </c>
      <c r="B174" s="23">
        <v>0.4201388888888889</v>
      </c>
      <c r="C174" s="10" t="s">
        <v>196</v>
      </c>
      <c r="D174" s="11" t="s">
        <v>33</v>
      </c>
      <c r="E174" s="11" t="s">
        <v>34</v>
      </c>
      <c r="F174" s="11" t="s">
        <v>659</v>
      </c>
      <c r="G174" s="11" t="s">
        <v>660</v>
      </c>
      <c r="H174" s="11" t="s">
        <v>661</v>
      </c>
      <c r="I174" s="57" t="s">
        <v>662</v>
      </c>
      <c r="J174" s="14">
        <v>200068.0</v>
      </c>
      <c r="K174" s="14">
        <v>44813.0</v>
      </c>
      <c r="L174" s="15">
        <v>0.224</v>
      </c>
      <c r="M174" s="16">
        <v>5594.0</v>
      </c>
      <c r="N174" s="17">
        <v>0.125</v>
      </c>
      <c r="O174" s="18">
        <v>188.0</v>
      </c>
      <c r="P174" s="18"/>
      <c r="Q174" s="19">
        <v>0.0042</v>
      </c>
      <c r="R174" s="49"/>
      <c r="S174" s="20">
        <v>3.0</v>
      </c>
      <c r="T174" s="20">
        <v>5.0</v>
      </c>
      <c r="U174" s="20">
        <v>21997.0</v>
      </c>
      <c r="V174" s="21" t="s">
        <v>183</v>
      </c>
      <c r="W174" s="64" t="s">
        <v>95</v>
      </c>
      <c r="X174" s="41" t="s">
        <v>41</v>
      </c>
      <c r="Y174" s="64" t="s">
        <v>663</v>
      </c>
      <c r="Z174" s="20" t="s">
        <v>664</v>
      </c>
      <c r="AA174" s="14">
        <v>62.0</v>
      </c>
      <c r="AB174" s="14">
        <v>9.0</v>
      </c>
      <c r="AC174" s="14">
        <v>53.0</v>
      </c>
      <c r="AD174" s="14">
        <v>628840.0</v>
      </c>
      <c r="AE174" s="14">
        <v>64191.0</v>
      </c>
      <c r="AF174" s="14">
        <v>564649.0</v>
      </c>
      <c r="AG174" s="22"/>
      <c r="AH174" s="22"/>
      <c r="AI174" s="22"/>
      <c r="AJ174" s="22"/>
      <c r="AK174" s="22"/>
      <c r="AL174" s="22"/>
      <c r="AM174" s="22"/>
      <c r="AN174" s="22"/>
      <c r="AO174" s="22"/>
      <c r="AP174" s="22"/>
    </row>
    <row r="175" hidden="1">
      <c r="A175" s="8">
        <v>46046.0</v>
      </c>
      <c r="B175" s="23">
        <v>0.4166666666666667</v>
      </c>
      <c r="C175" s="10" t="s">
        <v>196</v>
      </c>
      <c r="D175" s="11" t="s">
        <v>33</v>
      </c>
      <c r="E175" s="11" t="s">
        <v>34</v>
      </c>
      <c r="F175" s="11" t="s">
        <v>659</v>
      </c>
      <c r="G175" s="11" t="s">
        <v>665</v>
      </c>
      <c r="H175" s="11" t="s">
        <v>50</v>
      </c>
      <c r="I175" s="57" t="s">
        <v>51</v>
      </c>
      <c r="J175" s="14">
        <v>96499.0</v>
      </c>
      <c r="K175" s="14">
        <v>22380.0</v>
      </c>
      <c r="L175" s="15">
        <v>0.2319</v>
      </c>
      <c r="M175" s="16">
        <v>2862.0</v>
      </c>
      <c r="N175" s="17">
        <v>0.128</v>
      </c>
      <c r="O175" s="18">
        <v>144.0</v>
      </c>
      <c r="P175" s="18"/>
      <c r="Q175" s="19">
        <v>0.0064</v>
      </c>
      <c r="R175" s="49"/>
      <c r="S175" s="20">
        <v>1.0</v>
      </c>
      <c r="T175" s="20">
        <v>3.0</v>
      </c>
      <c r="U175" s="20">
        <v>8999.0</v>
      </c>
      <c r="V175" s="21" t="s">
        <v>183</v>
      </c>
      <c r="W175" s="64" t="s">
        <v>95</v>
      </c>
      <c r="X175" s="41" t="s">
        <v>52</v>
      </c>
      <c r="Y175" s="64" t="s">
        <v>663</v>
      </c>
      <c r="Z175" s="20" t="s">
        <v>666</v>
      </c>
      <c r="AA175" s="14">
        <v>72.0</v>
      </c>
      <c r="AB175" s="18">
        <v>10.0</v>
      </c>
      <c r="AC175" s="18">
        <v>62.0</v>
      </c>
      <c r="AD175" s="14">
        <v>651366.0</v>
      </c>
      <c r="AE175" s="14">
        <v>68490.0</v>
      </c>
      <c r="AF175" s="14">
        <v>582876.0</v>
      </c>
      <c r="AG175" s="22"/>
      <c r="AH175" s="22"/>
      <c r="AI175" s="22"/>
      <c r="AJ175" s="22"/>
      <c r="AK175" s="22"/>
      <c r="AL175" s="22"/>
      <c r="AM175" s="22"/>
      <c r="AN175" s="22"/>
      <c r="AO175" s="22"/>
      <c r="AP175" s="22"/>
    </row>
    <row r="176" hidden="1">
      <c r="A176" s="8">
        <v>46046.0</v>
      </c>
      <c r="B176" s="23">
        <v>0.4236111111111111</v>
      </c>
      <c r="C176" s="10" t="s">
        <v>196</v>
      </c>
      <c r="D176" s="11" t="s">
        <v>33</v>
      </c>
      <c r="E176" s="11" t="s">
        <v>34</v>
      </c>
      <c r="F176" s="11" t="s">
        <v>659</v>
      </c>
      <c r="G176" s="11" t="s">
        <v>667</v>
      </c>
      <c r="H176" s="11" t="s">
        <v>668</v>
      </c>
      <c r="I176" s="57" t="s">
        <v>669</v>
      </c>
      <c r="J176" s="14">
        <v>43363.0</v>
      </c>
      <c r="K176" s="14">
        <v>10878.0</v>
      </c>
      <c r="L176" s="15">
        <v>0.2509</v>
      </c>
      <c r="M176" s="16">
        <v>1692.0</v>
      </c>
      <c r="N176" s="17">
        <v>0.156</v>
      </c>
      <c r="O176" s="18">
        <v>147.0</v>
      </c>
      <c r="P176" s="18"/>
      <c r="Q176" s="19">
        <v>0.0135</v>
      </c>
      <c r="R176" s="49"/>
      <c r="S176" s="20">
        <v>0.0</v>
      </c>
      <c r="T176" s="20">
        <v>4.0</v>
      </c>
      <c r="U176" s="20">
        <v>0.0</v>
      </c>
      <c r="V176" s="21" t="s">
        <v>183</v>
      </c>
      <c r="W176" s="64" t="s">
        <v>95</v>
      </c>
      <c r="X176" s="41" t="s">
        <v>47</v>
      </c>
      <c r="Y176" s="64" t="s">
        <v>663</v>
      </c>
      <c r="Z176" s="20" t="s">
        <v>670</v>
      </c>
      <c r="AA176" s="14">
        <v>51.0</v>
      </c>
      <c r="AB176" s="18">
        <v>12.0</v>
      </c>
      <c r="AC176" s="18">
        <v>39.0</v>
      </c>
      <c r="AD176" s="14">
        <v>499600.0</v>
      </c>
      <c r="AE176" s="14">
        <v>131731.0</v>
      </c>
      <c r="AF176" s="14">
        <v>367869.0</v>
      </c>
      <c r="AG176" s="22"/>
      <c r="AH176" s="22"/>
      <c r="AI176" s="22"/>
      <c r="AJ176" s="22"/>
      <c r="AK176" s="79"/>
      <c r="AL176" s="80"/>
      <c r="AM176" s="81"/>
      <c r="AN176" s="22"/>
      <c r="AO176" s="22"/>
      <c r="AP176" s="22"/>
    </row>
    <row r="177" hidden="1">
      <c r="A177" s="8">
        <v>46046.0</v>
      </c>
      <c r="B177" s="23">
        <v>0.5</v>
      </c>
      <c r="C177" s="10" t="s">
        <v>58</v>
      </c>
      <c r="D177" s="11" t="s">
        <v>59</v>
      </c>
      <c r="E177" s="11" t="s">
        <v>34</v>
      </c>
      <c r="F177" s="11" t="s">
        <v>659</v>
      </c>
      <c r="G177" s="11" t="s">
        <v>671</v>
      </c>
      <c r="H177" s="11" t="s">
        <v>672</v>
      </c>
      <c r="I177" s="57" t="s">
        <v>61</v>
      </c>
      <c r="J177" s="14">
        <v>227920.0</v>
      </c>
      <c r="K177" s="14">
        <v>127608.0</v>
      </c>
      <c r="L177" s="15">
        <v>0.5599</v>
      </c>
      <c r="M177" s="16"/>
      <c r="N177" s="46"/>
      <c r="O177" s="18">
        <v>266.0</v>
      </c>
      <c r="P177" s="18"/>
      <c r="Q177" s="19">
        <v>0.0021</v>
      </c>
      <c r="R177" s="49"/>
      <c r="S177" s="20">
        <v>2.0</v>
      </c>
      <c r="T177" s="20">
        <v>24.0</v>
      </c>
      <c r="U177" s="20">
        <v>16998.0</v>
      </c>
      <c r="V177" s="21" t="s">
        <v>183</v>
      </c>
      <c r="W177" s="64" t="s">
        <v>62</v>
      </c>
      <c r="X177" s="41" t="s">
        <v>69</v>
      </c>
      <c r="Y177" s="64" t="s">
        <v>663</v>
      </c>
      <c r="Z177" s="20" t="s">
        <v>673</v>
      </c>
      <c r="AA177" s="18">
        <v>112.0</v>
      </c>
      <c r="AB177" s="18">
        <v>15.0</v>
      </c>
      <c r="AC177" s="18">
        <v>97.0</v>
      </c>
      <c r="AD177" s="14">
        <v>970826.0</v>
      </c>
      <c r="AE177" s="14">
        <v>92784.0</v>
      </c>
      <c r="AF177" s="14">
        <v>878042.0</v>
      </c>
      <c r="AG177" s="22"/>
      <c r="AH177" s="22"/>
      <c r="AI177" s="22"/>
      <c r="AJ177" s="22"/>
      <c r="AK177" s="79"/>
      <c r="AL177" s="79"/>
      <c r="AM177" s="82"/>
      <c r="AN177" s="22"/>
      <c r="AO177" s="22"/>
      <c r="AP177" s="22"/>
    </row>
    <row r="178" hidden="1">
      <c r="A178" s="8">
        <v>46046.0</v>
      </c>
      <c r="B178" s="23">
        <v>0.5069444444444444</v>
      </c>
      <c r="C178" s="10" t="s">
        <v>58</v>
      </c>
      <c r="D178" s="11" t="s">
        <v>59</v>
      </c>
      <c r="E178" s="11" t="s">
        <v>34</v>
      </c>
      <c r="F178" s="11" t="s">
        <v>659</v>
      </c>
      <c r="G178" s="11" t="s">
        <v>674</v>
      </c>
      <c r="H178" s="11" t="s">
        <v>50</v>
      </c>
      <c r="I178" s="57" t="s">
        <v>123</v>
      </c>
      <c r="J178" s="14">
        <v>74352.0</v>
      </c>
      <c r="K178" s="14">
        <v>43570.0</v>
      </c>
      <c r="L178" s="15">
        <v>0.586</v>
      </c>
      <c r="M178" s="16"/>
      <c r="N178" s="46"/>
      <c r="O178" s="18">
        <v>137.0</v>
      </c>
      <c r="P178" s="18"/>
      <c r="Q178" s="19">
        <v>0.0031</v>
      </c>
      <c r="R178" s="49"/>
      <c r="S178" s="20">
        <v>3.0</v>
      </c>
      <c r="T178" s="20">
        <v>5.0</v>
      </c>
      <c r="U178" s="20">
        <v>30996.0</v>
      </c>
      <c r="V178" s="21" t="s">
        <v>183</v>
      </c>
      <c r="W178" s="64" t="s">
        <v>62</v>
      </c>
      <c r="X178" s="41" t="s">
        <v>52</v>
      </c>
      <c r="Y178" s="64" t="s">
        <v>663</v>
      </c>
      <c r="Z178" s="20" t="s">
        <v>675</v>
      </c>
      <c r="AA178" s="18">
        <v>107.0</v>
      </c>
      <c r="AB178" s="18">
        <v>13.0</v>
      </c>
      <c r="AC178" s="18">
        <v>94.0</v>
      </c>
      <c r="AD178" s="14">
        <v>956658.0</v>
      </c>
      <c r="AE178" s="14">
        <v>104355.0</v>
      </c>
      <c r="AF178" s="14">
        <v>852303.0</v>
      </c>
      <c r="AG178" s="22"/>
      <c r="AH178" s="22"/>
      <c r="AI178" s="22"/>
      <c r="AJ178" s="22"/>
      <c r="AK178" s="22"/>
      <c r="AL178" s="79"/>
      <c r="AM178" s="82"/>
      <c r="AN178" s="22"/>
      <c r="AO178" s="22"/>
      <c r="AP178" s="22"/>
    </row>
    <row r="179" hidden="1">
      <c r="A179" s="8">
        <v>46046.0</v>
      </c>
      <c r="B179" s="23">
        <v>0.5104166666666666</v>
      </c>
      <c r="C179" s="10" t="s">
        <v>58</v>
      </c>
      <c r="D179" s="11" t="s">
        <v>59</v>
      </c>
      <c r="E179" s="11" t="s">
        <v>34</v>
      </c>
      <c r="F179" s="11" t="s">
        <v>659</v>
      </c>
      <c r="G179" s="11" t="s">
        <v>676</v>
      </c>
      <c r="H179" s="11" t="s">
        <v>661</v>
      </c>
      <c r="I179" s="57" t="s">
        <v>123</v>
      </c>
      <c r="J179" s="14">
        <v>154369.0</v>
      </c>
      <c r="K179" s="14">
        <v>87990.0</v>
      </c>
      <c r="L179" s="15">
        <v>0.57</v>
      </c>
      <c r="M179" s="16"/>
      <c r="N179" s="46"/>
      <c r="O179" s="18">
        <v>161.0</v>
      </c>
      <c r="P179" s="18"/>
      <c r="Q179" s="19">
        <v>0.0018</v>
      </c>
      <c r="R179" s="49"/>
      <c r="S179" s="20">
        <v>2.0</v>
      </c>
      <c r="T179" s="20">
        <v>3.0</v>
      </c>
      <c r="U179" s="20">
        <v>12998.0</v>
      </c>
      <c r="V179" s="21" t="s">
        <v>183</v>
      </c>
      <c r="W179" s="64" t="s">
        <v>62</v>
      </c>
      <c r="X179" s="41" t="s">
        <v>41</v>
      </c>
      <c r="Y179" s="64" t="s">
        <v>663</v>
      </c>
      <c r="Z179" s="20" t="s">
        <v>677</v>
      </c>
      <c r="AA179" s="18">
        <v>156.0</v>
      </c>
      <c r="AB179" s="18">
        <v>16.0</v>
      </c>
      <c r="AC179" s="18">
        <v>140.0</v>
      </c>
      <c r="AD179" s="14">
        <v>1454097.0</v>
      </c>
      <c r="AE179" s="14">
        <v>105283.0</v>
      </c>
      <c r="AF179" s="14">
        <v>1348814.0</v>
      </c>
      <c r="AG179" s="22"/>
      <c r="AH179" s="22"/>
      <c r="AI179" s="22"/>
      <c r="AJ179" s="22"/>
      <c r="AK179" s="22"/>
      <c r="AL179" s="22"/>
      <c r="AM179" s="22"/>
      <c r="AN179" s="22"/>
      <c r="AO179" s="22"/>
      <c r="AP179" s="22"/>
    </row>
    <row r="180" hidden="1">
      <c r="A180" s="8">
        <v>46046.0</v>
      </c>
      <c r="B180" s="23">
        <v>0.5104166666666666</v>
      </c>
      <c r="C180" s="10" t="s">
        <v>58</v>
      </c>
      <c r="D180" s="11" t="s">
        <v>59</v>
      </c>
      <c r="E180" s="11" t="s">
        <v>34</v>
      </c>
      <c r="F180" s="11" t="s">
        <v>659</v>
      </c>
      <c r="G180" s="11" t="s">
        <v>678</v>
      </c>
      <c r="H180" s="11" t="s">
        <v>668</v>
      </c>
      <c r="I180" s="57" t="s">
        <v>123</v>
      </c>
      <c r="J180" s="14">
        <v>32626.0</v>
      </c>
      <c r="K180" s="14">
        <v>19665.0</v>
      </c>
      <c r="L180" s="15">
        <v>0.6027</v>
      </c>
      <c r="M180" s="16"/>
      <c r="N180" s="46"/>
      <c r="O180" s="18">
        <v>81.0</v>
      </c>
      <c r="P180" s="18"/>
      <c r="Q180" s="19">
        <v>0.0041</v>
      </c>
      <c r="R180" s="49"/>
      <c r="S180" s="20">
        <v>2.0</v>
      </c>
      <c r="T180" s="20">
        <v>10.0</v>
      </c>
      <c r="U180" s="20">
        <v>21497.0</v>
      </c>
      <c r="V180" s="21" t="s">
        <v>183</v>
      </c>
      <c r="W180" s="64" t="s">
        <v>62</v>
      </c>
      <c r="X180" s="78" t="s">
        <v>47</v>
      </c>
      <c r="Y180" s="64" t="s">
        <v>663</v>
      </c>
      <c r="Z180" s="20" t="s">
        <v>679</v>
      </c>
      <c r="AA180" s="18">
        <v>75.0</v>
      </c>
      <c r="AB180" s="14">
        <v>14.0</v>
      </c>
      <c r="AC180" s="18">
        <v>62.0</v>
      </c>
      <c r="AD180" s="14">
        <v>635165.0</v>
      </c>
      <c r="AE180" s="14">
        <v>91235.0</v>
      </c>
      <c r="AF180" s="14">
        <v>543930.0</v>
      </c>
      <c r="AG180" s="22"/>
      <c r="AH180" s="22"/>
      <c r="AI180" s="22"/>
      <c r="AJ180" s="22"/>
      <c r="AK180" s="22"/>
      <c r="AL180" s="22"/>
      <c r="AM180" s="22"/>
      <c r="AN180" s="22"/>
      <c r="AO180" s="22"/>
      <c r="AP180" s="22"/>
    </row>
    <row r="181" hidden="1">
      <c r="A181" s="8">
        <v>46046.0</v>
      </c>
      <c r="B181" s="23">
        <v>0.375</v>
      </c>
      <c r="C181" s="10" t="s">
        <v>32</v>
      </c>
      <c r="D181" s="11" t="s">
        <v>33</v>
      </c>
      <c r="E181" s="11" t="s">
        <v>34</v>
      </c>
      <c r="F181" s="11" t="s">
        <v>659</v>
      </c>
      <c r="G181" s="11" t="s">
        <v>680</v>
      </c>
      <c r="H181" s="11" t="s">
        <v>672</v>
      </c>
      <c r="I181" s="57" t="s">
        <v>681</v>
      </c>
      <c r="J181" s="14">
        <v>258747.0</v>
      </c>
      <c r="K181" s="14">
        <v>29725.0</v>
      </c>
      <c r="L181" s="15">
        <v>0.1149</v>
      </c>
      <c r="M181" s="16">
        <v>13083.0</v>
      </c>
      <c r="N181" s="17">
        <v>0.4401</v>
      </c>
      <c r="O181" s="18">
        <v>1372.0</v>
      </c>
      <c r="P181" s="18">
        <v>1145.0</v>
      </c>
      <c r="Q181" s="19">
        <v>0.04</v>
      </c>
      <c r="R181" s="19">
        <v>0.09</v>
      </c>
      <c r="S181" s="20">
        <v>2.0</v>
      </c>
      <c r="T181" s="20">
        <v>10.0</v>
      </c>
      <c r="U181" s="20">
        <v>14998.0</v>
      </c>
      <c r="V181" s="21" t="s">
        <v>183</v>
      </c>
      <c r="W181" s="64" t="s">
        <v>682</v>
      </c>
      <c r="X181" s="41" t="s">
        <v>69</v>
      </c>
      <c r="Y181" s="64" t="s">
        <v>663</v>
      </c>
      <c r="Z181" s="20" t="s">
        <v>683</v>
      </c>
      <c r="AA181" s="18">
        <v>28.0</v>
      </c>
      <c r="AB181" s="18">
        <v>6.0</v>
      </c>
      <c r="AC181" s="18">
        <v>22.0</v>
      </c>
      <c r="AD181" s="14">
        <v>273825.0</v>
      </c>
      <c r="AE181" s="14">
        <v>34743.0</v>
      </c>
      <c r="AF181" s="14">
        <v>239082.0</v>
      </c>
      <c r="AG181" s="22"/>
      <c r="AH181" s="22"/>
      <c r="AI181" s="22"/>
      <c r="AJ181" s="22"/>
      <c r="AK181" s="22"/>
      <c r="AL181" s="22"/>
      <c r="AM181" s="22"/>
      <c r="AN181" s="22"/>
      <c r="AO181" s="22"/>
      <c r="AP181" s="22"/>
    </row>
    <row r="182" hidden="1">
      <c r="A182" s="8">
        <v>46046.0</v>
      </c>
      <c r="B182" s="23">
        <v>0.4166666666666667</v>
      </c>
      <c r="C182" s="10" t="s">
        <v>58</v>
      </c>
      <c r="D182" s="11" t="s">
        <v>33</v>
      </c>
      <c r="E182" s="12" t="s">
        <v>133</v>
      </c>
      <c r="F182" s="12" t="s">
        <v>570</v>
      </c>
      <c r="G182" s="12" t="s">
        <v>684</v>
      </c>
      <c r="H182" s="12" t="s">
        <v>685</v>
      </c>
      <c r="I182" s="57" t="s">
        <v>115</v>
      </c>
      <c r="J182" s="14">
        <v>3959.0</v>
      </c>
      <c r="K182" s="14">
        <v>2156.0</v>
      </c>
      <c r="L182" s="15">
        <v>0.5446</v>
      </c>
      <c r="M182" s="16"/>
      <c r="N182" s="17"/>
      <c r="O182" s="18">
        <v>0.0</v>
      </c>
      <c r="P182" s="18"/>
      <c r="Q182" s="19">
        <v>0.0</v>
      </c>
      <c r="R182" s="19"/>
      <c r="S182" s="20"/>
      <c r="T182" s="20"/>
      <c r="U182" s="20"/>
      <c r="V182" s="21" t="s">
        <v>315</v>
      </c>
      <c r="W182" s="18" t="s">
        <v>62</v>
      </c>
      <c r="X182" s="41" t="s">
        <v>137</v>
      </c>
      <c r="Y182" s="66" t="s">
        <v>686</v>
      </c>
      <c r="Z182" s="20" t="s">
        <v>687</v>
      </c>
      <c r="AA182" s="18">
        <v>5.0</v>
      </c>
      <c r="AB182" s="18"/>
      <c r="AC182" s="18">
        <v>5.0</v>
      </c>
      <c r="AD182" s="14">
        <v>22123.0</v>
      </c>
      <c r="AE182" s="52"/>
      <c r="AF182" s="14">
        <v>22123.0</v>
      </c>
      <c r="AG182" s="22"/>
      <c r="AH182" s="22"/>
      <c r="AI182" s="22"/>
      <c r="AJ182" s="22"/>
      <c r="AK182" s="22"/>
      <c r="AL182" s="22"/>
      <c r="AM182" s="22"/>
      <c r="AN182" s="22"/>
      <c r="AO182" s="22"/>
      <c r="AP182" s="22"/>
    </row>
    <row r="183" hidden="1">
      <c r="A183" s="8">
        <v>46046.0</v>
      </c>
      <c r="B183" s="23">
        <v>0.4166666666666667</v>
      </c>
      <c r="C183" s="10" t="s">
        <v>58</v>
      </c>
      <c r="D183" s="11" t="s">
        <v>33</v>
      </c>
      <c r="E183" s="12" t="s">
        <v>133</v>
      </c>
      <c r="F183" s="12" t="s">
        <v>570</v>
      </c>
      <c r="G183" s="12" t="s">
        <v>688</v>
      </c>
      <c r="H183" s="12" t="s">
        <v>689</v>
      </c>
      <c r="I183" s="57" t="s">
        <v>115</v>
      </c>
      <c r="J183" s="14">
        <v>8444.0</v>
      </c>
      <c r="K183" s="14">
        <v>4491.0</v>
      </c>
      <c r="L183" s="15">
        <v>0.5319</v>
      </c>
      <c r="M183" s="16"/>
      <c r="N183" s="17"/>
      <c r="O183" s="18">
        <v>0.0</v>
      </c>
      <c r="P183" s="18"/>
      <c r="Q183" s="19">
        <v>0.0</v>
      </c>
      <c r="R183" s="19"/>
      <c r="S183" s="20"/>
      <c r="T183" s="20"/>
      <c r="U183" s="20"/>
      <c r="V183" s="21" t="s">
        <v>315</v>
      </c>
      <c r="W183" s="18" t="s">
        <v>62</v>
      </c>
      <c r="X183" s="41" t="s">
        <v>137</v>
      </c>
      <c r="Y183" s="66" t="s">
        <v>686</v>
      </c>
      <c r="Z183" s="20" t="s">
        <v>690</v>
      </c>
      <c r="AA183" s="18">
        <v>7.0</v>
      </c>
      <c r="AB183" s="18"/>
      <c r="AC183" s="18">
        <v>7.0</v>
      </c>
      <c r="AD183" s="14">
        <v>40900.0</v>
      </c>
      <c r="AE183" s="52"/>
      <c r="AF183" s="14">
        <v>40900.0</v>
      </c>
      <c r="AG183" s="22"/>
      <c r="AH183" s="22"/>
      <c r="AI183" s="22"/>
      <c r="AJ183" s="22"/>
      <c r="AK183" s="22"/>
      <c r="AL183" s="22"/>
      <c r="AM183" s="22"/>
      <c r="AN183" s="22"/>
      <c r="AO183" s="22"/>
      <c r="AP183" s="22"/>
    </row>
    <row r="184" hidden="1">
      <c r="A184" s="8">
        <v>46046.0</v>
      </c>
      <c r="B184" s="23">
        <v>0.4166666666666667</v>
      </c>
      <c r="C184" s="10" t="s">
        <v>58</v>
      </c>
      <c r="D184" s="11" t="s">
        <v>33</v>
      </c>
      <c r="E184" s="12" t="s">
        <v>133</v>
      </c>
      <c r="F184" s="12" t="s">
        <v>570</v>
      </c>
      <c r="G184" s="12" t="s">
        <v>691</v>
      </c>
      <c r="H184" s="12" t="s">
        <v>692</v>
      </c>
      <c r="I184" s="57" t="s">
        <v>115</v>
      </c>
      <c r="J184" s="14">
        <v>33134.0</v>
      </c>
      <c r="K184" s="14">
        <v>18103.0</v>
      </c>
      <c r="L184" s="15">
        <v>0.5464</v>
      </c>
      <c r="M184" s="16"/>
      <c r="N184" s="17"/>
      <c r="O184" s="18">
        <v>0.0</v>
      </c>
      <c r="P184" s="18"/>
      <c r="Q184" s="19">
        <v>0.0</v>
      </c>
      <c r="R184" s="19"/>
      <c r="S184" s="20"/>
      <c r="T184" s="20"/>
      <c r="U184" s="20"/>
      <c r="V184" s="21" t="s">
        <v>315</v>
      </c>
      <c r="W184" s="18" t="s">
        <v>62</v>
      </c>
      <c r="X184" s="41" t="s">
        <v>137</v>
      </c>
      <c r="Y184" s="66" t="s">
        <v>686</v>
      </c>
      <c r="Z184" s="20" t="s">
        <v>693</v>
      </c>
      <c r="AA184" s="18">
        <v>14.0</v>
      </c>
      <c r="AB184" s="18"/>
      <c r="AC184" s="18">
        <v>14.0</v>
      </c>
      <c r="AD184" s="14">
        <v>69118.0</v>
      </c>
      <c r="AE184" s="52"/>
      <c r="AF184" s="14">
        <v>69118.0</v>
      </c>
      <c r="AG184" s="22"/>
      <c r="AH184" s="22"/>
      <c r="AI184" s="22"/>
      <c r="AJ184" s="22"/>
      <c r="AK184" s="22"/>
      <c r="AL184" s="22"/>
      <c r="AM184" s="22"/>
      <c r="AN184" s="22"/>
      <c r="AO184" s="22"/>
      <c r="AP184" s="22"/>
    </row>
    <row r="185" hidden="1">
      <c r="A185" s="8">
        <v>46046.0</v>
      </c>
      <c r="B185" s="23">
        <v>0.4166666666666667</v>
      </c>
      <c r="C185" s="10" t="s">
        <v>58</v>
      </c>
      <c r="D185" s="11" t="s">
        <v>33</v>
      </c>
      <c r="E185" s="12" t="s">
        <v>133</v>
      </c>
      <c r="F185" s="12" t="s">
        <v>570</v>
      </c>
      <c r="G185" s="12" t="s">
        <v>694</v>
      </c>
      <c r="H185" s="12" t="s">
        <v>695</v>
      </c>
      <c r="I185" s="57" t="s">
        <v>115</v>
      </c>
      <c r="J185" s="14">
        <v>7182.0</v>
      </c>
      <c r="K185" s="14">
        <v>3973.0</v>
      </c>
      <c r="L185" s="15">
        <v>0.5532</v>
      </c>
      <c r="M185" s="16"/>
      <c r="N185" s="17"/>
      <c r="O185" s="18">
        <v>0.0</v>
      </c>
      <c r="P185" s="18"/>
      <c r="Q185" s="19">
        <v>0.0</v>
      </c>
      <c r="R185" s="19"/>
      <c r="S185" s="20"/>
      <c r="T185" s="20"/>
      <c r="U185" s="20"/>
      <c r="V185" s="21" t="s">
        <v>315</v>
      </c>
      <c r="W185" s="18" t="s">
        <v>62</v>
      </c>
      <c r="X185" s="41" t="s">
        <v>137</v>
      </c>
      <c r="Y185" s="66" t="s">
        <v>686</v>
      </c>
      <c r="Z185" s="20" t="s">
        <v>696</v>
      </c>
      <c r="AA185" s="18">
        <v>6.0</v>
      </c>
      <c r="AB185" s="18"/>
      <c r="AC185" s="18">
        <v>6.0</v>
      </c>
      <c r="AD185" s="14">
        <v>32373.0</v>
      </c>
      <c r="AE185" s="52"/>
      <c r="AF185" s="14">
        <v>32373.0</v>
      </c>
      <c r="AG185" s="22"/>
      <c r="AH185" s="22"/>
      <c r="AI185" s="22"/>
      <c r="AJ185" s="22"/>
      <c r="AK185" s="22"/>
      <c r="AL185" s="22"/>
      <c r="AM185" s="22"/>
      <c r="AN185" s="22"/>
      <c r="AO185" s="22"/>
      <c r="AP185" s="22"/>
    </row>
    <row r="186" hidden="1">
      <c r="A186" s="8">
        <v>46046.0</v>
      </c>
      <c r="B186" s="23">
        <v>0.4166666666666667</v>
      </c>
      <c r="C186" s="10" t="s">
        <v>58</v>
      </c>
      <c r="D186" s="11" t="s">
        <v>33</v>
      </c>
      <c r="E186" s="12" t="s">
        <v>133</v>
      </c>
      <c r="F186" s="12" t="s">
        <v>570</v>
      </c>
      <c r="G186" s="12" t="s">
        <v>697</v>
      </c>
      <c r="H186" s="12" t="s">
        <v>698</v>
      </c>
      <c r="I186" s="57" t="s">
        <v>115</v>
      </c>
      <c r="J186" s="14">
        <v>4450.0</v>
      </c>
      <c r="K186" s="14">
        <v>3132.0</v>
      </c>
      <c r="L186" s="15">
        <v>0.7038</v>
      </c>
      <c r="M186" s="16"/>
      <c r="N186" s="17"/>
      <c r="O186" s="18">
        <v>0.0</v>
      </c>
      <c r="P186" s="18"/>
      <c r="Q186" s="19">
        <v>0.0</v>
      </c>
      <c r="R186" s="19"/>
      <c r="S186" s="20"/>
      <c r="T186" s="20"/>
      <c r="U186" s="20"/>
      <c r="V186" s="21" t="s">
        <v>315</v>
      </c>
      <c r="W186" s="18" t="s">
        <v>62</v>
      </c>
      <c r="X186" s="41" t="s">
        <v>137</v>
      </c>
      <c r="Y186" s="66" t="s">
        <v>686</v>
      </c>
      <c r="Z186" s="20" t="s">
        <v>699</v>
      </c>
      <c r="AA186" s="18">
        <v>12.0</v>
      </c>
      <c r="AB186" s="18"/>
      <c r="AC186" s="18">
        <v>12.0</v>
      </c>
      <c r="AD186" s="14">
        <v>62430.0</v>
      </c>
      <c r="AE186" s="52"/>
      <c r="AF186" s="14">
        <v>62430.0</v>
      </c>
      <c r="AG186" s="22"/>
      <c r="AH186" s="22"/>
      <c r="AI186" s="22"/>
      <c r="AJ186" s="22"/>
      <c r="AK186" s="22"/>
      <c r="AL186" s="22"/>
      <c r="AM186" s="22"/>
      <c r="AN186" s="22"/>
      <c r="AO186" s="22"/>
      <c r="AP186" s="22"/>
    </row>
    <row r="187" hidden="1">
      <c r="A187" s="8">
        <v>46046.0</v>
      </c>
      <c r="B187" s="23">
        <v>0.4166666666666667</v>
      </c>
      <c r="C187" s="10" t="s">
        <v>58</v>
      </c>
      <c r="D187" s="11" t="s">
        <v>33</v>
      </c>
      <c r="E187" s="12" t="s">
        <v>133</v>
      </c>
      <c r="F187" s="12" t="s">
        <v>570</v>
      </c>
      <c r="G187" s="12" t="s">
        <v>700</v>
      </c>
      <c r="H187" s="12" t="s">
        <v>701</v>
      </c>
      <c r="I187" s="57" t="s">
        <v>115</v>
      </c>
      <c r="J187" s="14">
        <v>20911.0</v>
      </c>
      <c r="K187" s="14">
        <v>10840.0</v>
      </c>
      <c r="L187" s="15">
        <v>0.5184</v>
      </c>
      <c r="M187" s="16"/>
      <c r="N187" s="17"/>
      <c r="O187" s="18">
        <v>0.0</v>
      </c>
      <c r="P187" s="18"/>
      <c r="Q187" s="19">
        <v>0.0</v>
      </c>
      <c r="R187" s="19"/>
      <c r="S187" s="20"/>
      <c r="T187" s="20"/>
      <c r="U187" s="20"/>
      <c r="V187" s="21" t="s">
        <v>315</v>
      </c>
      <c r="W187" s="18" t="s">
        <v>62</v>
      </c>
      <c r="X187" s="41" t="s">
        <v>137</v>
      </c>
      <c r="Y187" s="66" t="s">
        <v>686</v>
      </c>
      <c r="Z187" s="20" t="s">
        <v>702</v>
      </c>
      <c r="AA187" s="18">
        <v>19.0</v>
      </c>
      <c r="AB187" s="18"/>
      <c r="AC187" s="18">
        <v>19.0</v>
      </c>
      <c r="AD187" s="14">
        <v>81703.0</v>
      </c>
      <c r="AE187" s="52"/>
      <c r="AF187" s="14">
        <v>81703.0</v>
      </c>
      <c r="AG187" s="22"/>
      <c r="AH187" s="22"/>
      <c r="AI187" s="22"/>
      <c r="AJ187" s="22"/>
      <c r="AK187" s="22"/>
      <c r="AL187" s="22"/>
      <c r="AM187" s="22"/>
      <c r="AN187" s="22"/>
      <c r="AO187" s="22"/>
      <c r="AP187" s="22"/>
    </row>
    <row r="188" hidden="1">
      <c r="A188" s="8">
        <v>46046.0</v>
      </c>
      <c r="B188" s="23">
        <v>0.4166666666666667</v>
      </c>
      <c r="C188" s="10" t="s">
        <v>58</v>
      </c>
      <c r="D188" s="11" t="s">
        <v>33</v>
      </c>
      <c r="E188" s="12" t="s">
        <v>133</v>
      </c>
      <c r="F188" s="12" t="s">
        <v>570</v>
      </c>
      <c r="G188" s="12" t="s">
        <v>703</v>
      </c>
      <c r="H188" s="12" t="s">
        <v>704</v>
      </c>
      <c r="I188" s="57" t="s">
        <v>115</v>
      </c>
      <c r="J188" s="14">
        <v>4669.0</v>
      </c>
      <c r="K188" s="14">
        <v>2735.0</v>
      </c>
      <c r="L188" s="15">
        <v>0.5858</v>
      </c>
      <c r="M188" s="16"/>
      <c r="N188" s="17"/>
      <c r="O188" s="18">
        <v>0.0</v>
      </c>
      <c r="P188" s="18"/>
      <c r="Q188" s="19">
        <v>0.0</v>
      </c>
      <c r="R188" s="19"/>
      <c r="S188" s="20"/>
      <c r="T188" s="20"/>
      <c r="U188" s="20"/>
      <c r="V188" s="21" t="s">
        <v>315</v>
      </c>
      <c r="W188" s="18" t="s">
        <v>62</v>
      </c>
      <c r="X188" s="41" t="s">
        <v>137</v>
      </c>
      <c r="Y188" s="66" t="s">
        <v>686</v>
      </c>
      <c r="Z188" s="20" t="s">
        <v>705</v>
      </c>
      <c r="AA188" s="18">
        <v>2.0</v>
      </c>
      <c r="AB188" s="18"/>
      <c r="AC188" s="18">
        <v>2.0</v>
      </c>
      <c r="AD188" s="14">
        <v>7841.0</v>
      </c>
      <c r="AE188" s="52"/>
      <c r="AF188" s="14">
        <v>7841.0</v>
      </c>
      <c r="AG188" s="22"/>
      <c r="AH188" s="22"/>
      <c r="AI188" s="22"/>
      <c r="AJ188" s="22"/>
      <c r="AK188" s="22"/>
      <c r="AL188" s="22"/>
      <c r="AM188" s="22"/>
      <c r="AN188" s="22"/>
      <c r="AO188" s="22"/>
      <c r="AP188" s="22"/>
    </row>
    <row r="189" hidden="1">
      <c r="A189" s="8">
        <v>46046.0</v>
      </c>
      <c r="B189" s="23">
        <v>0.4166666666666667</v>
      </c>
      <c r="C189" s="10" t="s">
        <v>58</v>
      </c>
      <c r="D189" s="11" t="s">
        <v>33</v>
      </c>
      <c r="E189" s="12" t="s">
        <v>133</v>
      </c>
      <c r="F189" s="12" t="s">
        <v>570</v>
      </c>
      <c r="G189" s="12" t="s">
        <v>706</v>
      </c>
      <c r="H189" s="12" t="s">
        <v>707</v>
      </c>
      <c r="I189" s="57" t="s">
        <v>115</v>
      </c>
      <c r="J189" s="14">
        <v>25815.0</v>
      </c>
      <c r="K189" s="14">
        <v>14175.0</v>
      </c>
      <c r="L189" s="15">
        <v>0.5491</v>
      </c>
      <c r="M189" s="16"/>
      <c r="N189" s="17"/>
      <c r="O189" s="18">
        <v>0.0</v>
      </c>
      <c r="P189" s="18"/>
      <c r="Q189" s="19">
        <v>0.0</v>
      </c>
      <c r="R189" s="19"/>
      <c r="S189" s="20"/>
      <c r="T189" s="20"/>
      <c r="U189" s="20"/>
      <c r="V189" s="21" t="s">
        <v>315</v>
      </c>
      <c r="W189" s="18" t="s">
        <v>62</v>
      </c>
      <c r="X189" s="41" t="s">
        <v>137</v>
      </c>
      <c r="Y189" s="66" t="s">
        <v>686</v>
      </c>
      <c r="Z189" s="20" t="s">
        <v>708</v>
      </c>
      <c r="AA189" s="18">
        <v>10.0</v>
      </c>
      <c r="AB189" s="18"/>
      <c r="AC189" s="18">
        <v>10.0</v>
      </c>
      <c r="AD189" s="14">
        <v>69025.0</v>
      </c>
      <c r="AE189" s="52"/>
      <c r="AF189" s="14">
        <v>69025.0</v>
      </c>
      <c r="AG189" s="22"/>
      <c r="AH189" s="22"/>
      <c r="AI189" s="22"/>
      <c r="AJ189" s="22"/>
      <c r="AK189" s="22"/>
      <c r="AL189" s="22"/>
      <c r="AM189" s="22"/>
      <c r="AN189" s="22"/>
      <c r="AO189" s="22"/>
      <c r="AP189" s="22"/>
    </row>
    <row r="190" hidden="1">
      <c r="A190" s="8">
        <v>46046.0</v>
      </c>
      <c r="B190" s="23">
        <v>0.4166666666666667</v>
      </c>
      <c r="C190" s="10" t="s">
        <v>58</v>
      </c>
      <c r="D190" s="11" t="s">
        <v>33</v>
      </c>
      <c r="E190" s="12" t="s">
        <v>133</v>
      </c>
      <c r="F190" s="12" t="s">
        <v>570</v>
      </c>
      <c r="G190" s="12" t="s">
        <v>709</v>
      </c>
      <c r="H190" s="12" t="s">
        <v>710</v>
      </c>
      <c r="I190" s="57" t="s">
        <v>115</v>
      </c>
      <c r="J190" s="14">
        <v>6929.0</v>
      </c>
      <c r="K190" s="14">
        <v>3901.0</v>
      </c>
      <c r="L190" s="15">
        <v>0.563</v>
      </c>
      <c r="M190" s="16"/>
      <c r="N190" s="17"/>
      <c r="O190" s="18">
        <v>0.0</v>
      </c>
      <c r="P190" s="18"/>
      <c r="Q190" s="19">
        <v>0.0</v>
      </c>
      <c r="R190" s="19"/>
      <c r="S190" s="20"/>
      <c r="T190" s="20"/>
      <c r="U190" s="20"/>
      <c r="V190" s="21" t="s">
        <v>315</v>
      </c>
      <c r="W190" s="18" t="s">
        <v>62</v>
      </c>
      <c r="X190" s="41" t="s">
        <v>137</v>
      </c>
      <c r="Y190" s="66" t="s">
        <v>686</v>
      </c>
      <c r="Z190" s="20" t="s">
        <v>711</v>
      </c>
      <c r="AA190" s="18">
        <v>8.0</v>
      </c>
      <c r="AB190" s="18"/>
      <c r="AC190" s="18">
        <v>8.0</v>
      </c>
      <c r="AD190" s="14">
        <v>29518.0</v>
      </c>
      <c r="AE190" s="52"/>
      <c r="AF190" s="14">
        <v>29518.0</v>
      </c>
      <c r="AG190" s="22"/>
      <c r="AH190" s="22"/>
      <c r="AI190" s="22"/>
      <c r="AJ190" s="22"/>
      <c r="AK190" s="22"/>
      <c r="AL190" s="22"/>
      <c r="AM190" s="22"/>
      <c r="AN190" s="22"/>
      <c r="AO190" s="22"/>
      <c r="AP190" s="22"/>
    </row>
    <row r="191" hidden="1">
      <c r="A191" s="8">
        <v>46046.0</v>
      </c>
      <c r="B191" s="23">
        <v>0.4166666666666667</v>
      </c>
      <c r="C191" s="10" t="s">
        <v>58</v>
      </c>
      <c r="D191" s="11" t="s">
        <v>33</v>
      </c>
      <c r="E191" s="12" t="s">
        <v>133</v>
      </c>
      <c r="F191" s="12" t="s">
        <v>570</v>
      </c>
      <c r="G191" s="12" t="s">
        <v>712</v>
      </c>
      <c r="H191" s="12" t="s">
        <v>713</v>
      </c>
      <c r="I191" s="57" t="s">
        <v>115</v>
      </c>
      <c r="J191" s="14">
        <v>26594.0</v>
      </c>
      <c r="K191" s="14">
        <v>14078.0</v>
      </c>
      <c r="L191" s="15">
        <v>0.5294</v>
      </c>
      <c r="M191" s="16"/>
      <c r="N191" s="17"/>
      <c r="O191" s="18">
        <v>0.0</v>
      </c>
      <c r="P191" s="18"/>
      <c r="Q191" s="19">
        <v>0.0</v>
      </c>
      <c r="R191" s="19"/>
      <c r="S191" s="20"/>
      <c r="T191" s="20"/>
      <c r="U191" s="20"/>
      <c r="V191" s="21" t="s">
        <v>315</v>
      </c>
      <c r="W191" s="18" t="s">
        <v>62</v>
      </c>
      <c r="X191" s="41" t="s">
        <v>137</v>
      </c>
      <c r="Y191" s="66" t="s">
        <v>686</v>
      </c>
      <c r="Z191" s="20" t="s">
        <v>714</v>
      </c>
      <c r="AA191" s="18">
        <v>10.0</v>
      </c>
      <c r="AB191" s="18"/>
      <c r="AC191" s="18">
        <v>10.0</v>
      </c>
      <c r="AD191" s="14">
        <v>38803.0</v>
      </c>
      <c r="AE191" s="52"/>
      <c r="AF191" s="14">
        <v>38803.0</v>
      </c>
      <c r="AG191" s="22"/>
      <c r="AH191" s="22"/>
      <c r="AI191" s="22"/>
      <c r="AJ191" s="22"/>
      <c r="AK191" s="22"/>
      <c r="AL191" s="22"/>
      <c r="AM191" s="22"/>
      <c r="AN191" s="22"/>
      <c r="AO191" s="22"/>
      <c r="AP191" s="22"/>
    </row>
    <row r="192" hidden="1">
      <c r="A192" s="8">
        <v>46046.0</v>
      </c>
      <c r="B192" s="23">
        <v>0.4166666666666667</v>
      </c>
      <c r="C192" s="10" t="s">
        <v>58</v>
      </c>
      <c r="D192" s="11" t="s">
        <v>33</v>
      </c>
      <c r="E192" s="12" t="s">
        <v>133</v>
      </c>
      <c r="F192" s="12" t="s">
        <v>570</v>
      </c>
      <c r="G192" s="12" t="s">
        <v>715</v>
      </c>
      <c r="H192" s="12" t="s">
        <v>716</v>
      </c>
      <c r="I192" s="57" t="s">
        <v>115</v>
      </c>
      <c r="J192" s="14">
        <v>3371.0</v>
      </c>
      <c r="K192" s="14">
        <v>1992.0</v>
      </c>
      <c r="L192" s="15">
        <v>0.5909</v>
      </c>
      <c r="M192" s="16"/>
      <c r="N192" s="17"/>
      <c r="O192" s="18">
        <v>0.0</v>
      </c>
      <c r="P192" s="18"/>
      <c r="Q192" s="19">
        <v>0.0</v>
      </c>
      <c r="R192" s="19"/>
      <c r="S192" s="20"/>
      <c r="T192" s="20"/>
      <c r="U192" s="20"/>
      <c r="V192" s="21" t="s">
        <v>315</v>
      </c>
      <c r="W192" s="18" t="s">
        <v>62</v>
      </c>
      <c r="X192" s="41" t="s">
        <v>137</v>
      </c>
      <c r="Y192" s="66" t="s">
        <v>686</v>
      </c>
      <c r="Z192" s="20" t="s">
        <v>717</v>
      </c>
      <c r="AA192" s="18">
        <v>2.0</v>
      </c>
      <c r="AB192" s="18"/>
      <c r="AC192" s="18">
        <v>2.0</v>
      </c>
      <c r="AD192" s="14">
        <v>5891.0</v>
      </c>
      <c r="AE192" s="52"/>
      <c r="AF192" s="14">
        <v>5891.0</v>
      </c>
      <c r="AG192" s="22"/>
      <c r="AH192" s="22"/>
      <c r="AI192" s="22"/>
      <c r="AJ192" s="22"/>
      <c r="AK192" s="22"/>
      <c r="AL192" s="22"/>
      <c r="AM192" s="22"/>
      <c r="AN192" s="22"/>
      <c r="AO192" s="22"/>
      <c r="AP192" s="22"/>
    </row>
    <row r="193" hidden="1">
      <c r="A193" s="8">
        <v>46046.0</v>
      </c>
      <c r="B193" s="23">
        <v>0.4166666666666667</v>
      </c>
      <c r="C193" s="10" t="s">
        <v>58</v>
      </c>
      <c r="D193" s="11" t="s">
        <v>33</v>
      </c>
      <c r="E193" s="12" t="s">
        <v>133</v>
      </c>
      <c r="F193" s="12" t="s">
        <v>570</v>
      </c>
      <c r="G193" s="12" t="s">
        <v>718</v>
      </c>
      <c r="H193" s="12" t="s">
        <v>719</v>
      </c>
      <c r="I193" s="57" t="s">
        <v>115</v>
      </c>
      <c r="J193" s="14">
        <v>8761.0</v>
      </c>
      <c r="K193" s="14">
        <v>4945.0</v>
      </c>
      <c r="L193" s="15">
        <v>0.5644</v>
      </c>
      <c r="M193" s="16"/>
      <c r="N193" s="17"/>
      <c r="O193" s="18">
        <v>0.0</v>
      </c>
      <c r="P193" s="18"/>
      <c r="Q193" s="19">
        <v>0.0</v>
      </c>
      <c r="R193" s="19"/>
      <c r="S193" s="20"/>
      <c r="T193" s="20"/>
      <c r="U193" s="20"/>
      <c r="V193" s="21" t="s">
        <v>315</v>
      </c>
      <c r="W193" s="18" t="s">
        <v>62</v>
      </c>
      <c r="X193" s="41" t="s">
        <v>137</v>
      </c>
      <c r="Y193" s="66" t="s">
        <v>686</v>
      </c>
      <c r="Z193" s="20" t="s">
        <v>720</v>
      </c>
      <c r="AA193" s="18">
        <v>4.0</v>
      </c>
      <c r="AB193" s="18"/>
      <c r="AC193" s="18">
        <v>4.0</v>
      </c>
      <c r="AD193" s="14">
        <v>13184.0</v>
      </c>
      <c r="AE193" s="52"/>
      <c r="AF193" s="14">
        <v>13184.0</v>
      </c>
      <c r="AG193" s="22"/>
      <c r="AH193" s="22"/>
      <c r="AI193" s="22"/>
      <c r="AJ193" s="22"/>
      <c r="AK193" s="22"/>
      <c r="AL193" s="22"/>
      <c r="AM193" s="22"/>
      <c r="AN193" s="22"/>
      <c r="AO193" s="22"/>
      <c r="AP193" s="22"/>
    </row>
    <row r="194" hidden="1">
      <c r="A194" s="8">
        <v>46046.0</v>
      </c>
      <c r="B194" s="23">
        <v>0.4166666666666667</v>
      </c>
      <c r="C194" s="10" t="s">
        <v>58</v>
      </c>
      <c r="D194" s="11" t="s">
        <v>33</v>
      </c>
      <c r="E194" s="12" t="s">
        <v>133</v>
      </c>
      <c r="F194" s="12" t="s">
        <v>570</v>
      </c>
      <c r="G194" s="12" t="s">
        <v>721</v>
      </c>
      <c r="H194" s="12" t="s">
        <v>722</v>
      </c>
      <c r="I194" s="57" t="s">
        <v>115</v>
      </c>
      <c r="J194" s="14">
        <v>13211.0</v>
      </c>
      <c r="K194" s="14">
        <v>7903.0</v>
      </c>
      <c r="L194" s="15">
        <v>0.5982</v>
      </c>
      <c r="M194" s="16"/>
      <c r="N194" s="17"/>
      <c r="O194" s="18">
        <v>0.0</v>
      </c>
      <c r="P194" s="18"/>
      <c r="Q194" s="19">
        <v>0.0</v>
      </c>
      <c r="R194" s="19"/>
      <c r="S194" s="20"/>
      <c r="T194" s="20"/>
      <c r="U194" s="20"/>
      <c r="V194" s="21" t="s">
        <v>315</v>
      </c>
      <c r="W194" s="18" t="s">
        <v>62</v>
      </c>
      <c r="X194" s="41" t="s">
        <v>137</v>
      </c>
      <c r="Y194" s="66" t="s">
        <v>686</v>
      </c>
      <c r="Z194" s="20" t="s">
        <v>723</v>
      </c>
      <c r="AA194" s="18">
        <v>1.0</v>
      </c>
      <c r="AB194" s="18"/>
      <c r="AC194" s="18">
        <v>1.0</v>
      </c>
      <c r="AD194" s="14">
        <v>1497.0</v>
      </c>
      <c r="AE194" s="52"/>
      <c r="AF194" s="14">
        <v>1497.0</v>
      </c>
      <c r="AG194" s="22"/>
      <c r="AH194" s="22"/>
      <c r="AI194" s="22"/>
      <c r="AJ194" s="22"/>
      <c r="AK194" s="22"/>
      <c r="AL194" s="22"/>
      <c r="AM194" s="22"/>
      <c r="AN194" s="22"/>
      <c r="AO194" s="22"/>
      <c r="AP194" s="22"/>
    </row>
    <row r="195" hidden="1">
      <c r="A195" s="8">
        <v>46046.0</v>
      </c>
      <c r="B195" s="23">
        <v>0.4166666666666667</v>
      </c>
      <c r="C195" s="10" t="s">
        <v>58</v>
      </c>
      <c r="D195" s="11" t="s">
        <v>33</v>
      </c>
      <c r="E195" s="12" t="s">
        <v>133</v>
      </c>
      <c r="F195" s="12" t="s">
        <v>570</v>
      </c>
      <c r="G195" s="12" t="s">
        <v>724</v>
      </c>
      <c r="H195" s="12" t="s">
        <v>725</v>
      </c>
      <c r="I195" s="57" t="s">
        <v>115</v>
      </c>
      <c r="J195" s="14">
        <v>3579.0</v>
      </c>
      <c r="K195" s="14">
        <v>1792.0</v>
      </c>
      <c r="L195" s="15">
        <v>0.5007</v>
      </c>
      <c r="M195" s="16"/>
      <c r="N195" s="17"/>
      <c r="O195" s="18">
        <v>0.0</v>
      </c>
      <c r="P195" s="18"/>
      <c r="Q195" s="19">
        <v>0.0</v>
      </c>
      <c r="R195" s="19"/>
      <c r="S195" s="20"/>
      <c r="T195" s="20"/>
      <c r="U195" s="20"/>
      <c r="V195" s="21" t="s">
        <v>315</v>
      </c>
      <c r="W195" s="18" t="s">
        <v>62</v>
      </c>
      <c r="X195" s="41" t="s">
        <v>137</v>
      </c>
      <c r="Y195" s="66" t="s">
        <v>686</v>
      </c>
      <c r="Z195" s="20" t="s">
        <v>726</v>
      </c>
      <c r="AA195" s="18">
        <v>2.0</v>
      </c>
      <c r="AB195" s="18"/>
      <c r="AC195" s="18">
        <v>2.0</v>
      </c>
      <c r="AD195" s="14">
        <v>11891.0</v>
      </c>
      <c r="AE195" s="52"/>
      <c r="AF195" s="14">
        <v>11891.0</v>
      </c>
      <c r="AG195" s="22"/>
      <c r="AH195" s="22"/>
      <c r="AI195" s="22"/>
      <c r="AJ195" s="22"/>
      <c r="AK195" s="22"/>
      <c r="AL195" s="22"/>
      <c r="AM195" s="22"/>
      <c r="AN195" s="22"/>
      <c r="AO195" s="22"/>
      <c r="AP195" s="22"/>
    </row>
    <row r="196" hidden="1">
      <c r="A196" s="8">
        <v>46046.0</v>
      </c>
      <c r="B196" s="23">
        <v>0.4166666666666667</v>
      </c>
      <c r="C196" s="10" t="s">
        <v>58</v>
      </c>
      <c r="D196" s="11" t="s">
        <v>33</v>
      </c>
      <c r="E196" s="12" t="s">
        <v>133</v>
      </c>
      <c r="F196" s="12" t="s">
        <v>570</v>
      </c>
      <c r="G196" s="12" t="s">
        <v>727</v>
      </c>
      <c r="H196" s="12" t="s">
        <v>728</v>
      </c>
      <c r="I196" s="57" t="s">
        <v>115</v>
      </c>
      <c r="J196" s="14">
        <v>384.0</v>
      </c>
      <c r="K196" s="14">
        <v>233.0</v>
      </c>
      <c r="L196" s="15">
        <v>0.6068</v>
      </c>
      <c r="M196" s="16"/>
      <c r="N196" s="17"/>
      <c r="O196" s="18">
        <v>0.0</v>
      </c>
      <c r="P196" s="18"/>
      <c r="Q196" s="19">
        <v>0.0</v>
      </c>
      <c r="R196" s="19"/>
      <c r="S196" s="20"/>
      <c r="T196" s="20"/>
      <c r="U196" s="20"/>
      <c r="V196" s="21" t="s">
        <v>315</v>
      </c>
      <c r="W196" s="18" t="s">
        <v>62</v>
      </c>
      <c r="X196" s="41" t="s">
        <v>137</v>
      </c>
      <c r="Y196" s="66" t="s">
        <v>686</v>
      </c>
      <c r="Z196" s="20" t="s">
        <v>729</v>
      </c>
      <c r="AA196" s="18">
        <v>0.0</v>
      </c>
      <c r="AB196" s="18"/>
      <c r="AC196" s="18">
        <v>0.0</v>
      </c>
      <c r="AD196" s="14">
        <v>0.0</v>
      </c>
      <c r="AE196" s="52"/>
      <c r="AF196" s="14">
        <v>0.0</v>
      </c>
      <c r="AG196" s="22"/>
      <c r="AH196" s="22"/>
      <c r="AI196" s="22"/>
      <c r="AJ196" s="22"/>
      <c r="AK196" s="22"/>
      <c r="AL196" s="22"/>
      <c r="AM196" s="22"/>
      <c r="AN196" s="22"/>
      <c r="AO196" s="22"/>
      <c r="AP196" s="22"/>
    </row>
    <row r="197" hidden="1">
      <c r="A197" s="8">
        <v>46046.0</v>
      </c>
      <c r="B197" s="23">
        <v>0.4166666666666667</v>
      </c>
      <c r="C197" s="10" t="s">
        <v>58</v>
      </c>
      <c r="D197" s="11" t="s">
        <v>33</v>
      </c>
      <c r="E197" s="12" t="s">
        <v>133</v>
      </c>
      <c r="F197" s="12" t="s">
        <v>570</v>
      </c>
      <c r="G197" s="12" t="s">
        <v>730</v>
      </c>
      <c r="H197" s="12" t="s">
        <v>731</v>
      </c>
      <c r="I197" s="57" t="s">
        <v>115</v>
      </c>
      <c r="J197" s="14">
        <v>10456.0</v>
      </c>
      <c r="K197" s="14">
        <v>5273.0</v>
      </c>
      <c r="L197" s="15">
        <v>0.5043</v>
      </c>
      <c r="M197" s="16"/>
      <c r="N197" s="17"/>
      <c r="O197" s="18">
        <v>0.0</v>
      </c>
      <c r="P197" s="18"/>
      <c r="Q197" s="19">
        <v>0.0</v>
      </c>
      <c r="R197" s="19"/>
      <c r="S197" s="20"/>
      <c r="T197" s="20"/>
      <c r="U197" s="20"/>
      <c r="V197" s="21" t="s">
        <v>315</v>
      </c>
      <c r="W197" s="18" t="s">
        <v>62</v>
      </c>
      <c r="X197" s="41" t="s">
        <v>137</v>
      </c>
      <c r="Y197" s="66" t="s">
        <v>686</v>
      </c>
      <c r="Z197" s="20" t="s">
        <v>732</v>
      </c>
      <c r="AA197" s="18">
        <v>4.0</v>
      </c>
      <c r="AB197" s="18"/>
      <c r="AC197" s="18">
        <v>4.0</v>
      </c>
      <c r="AD197" s="14">
        <v>18933.0</v>
      </c>
      <c r="AE197" s="52"/>
      <c r="AF197" s="14">
        <v>18933.0</v>
      </c>
      <c r="AG197" s="22"/>
      <c r="AH197" s="22"/>
      <c r="AI197" s="22"/>
      <c r="AJ197" s="22"/>
      <c r="AK197" s="22"/>
      <c r="AL197" s="22"/>
      <c r="AM197" s="22"/>
      <c r="AN197" s="22"/>
      <c r="AO197" s="22"/>
      <c r="AP197" s="22"/>
    </row>
    <row r="198" hidden="1">
      <c r="A198" s="8">
        <v>46046.0</v>
      </c>
      <c r="B198" s="23">
        <v>0.4166666666666667</v>
      </c>
      <c r="C198" s="10" t="s">
        <v>58</v>
      </c>
      <c r="D198" s="11" t="s">
        <v>33</v>
      </c>
      <c r="E198" s="12" t="s">
        <v>133</v>
      </c>
      <c r="F198" s="12" t="s">
        <v>570</v>
      </c>
      <c r="G198" s="12" t="s">
        <v>733</v>
      </c>
      <c r="H198" s="12" t="s">
        <v>734</v>
      </c>
      <c r="I198" s="57" t="s">
        <v>115</v>
      </c>
      <c r="J198" s="14">
        <v>3215.0</v>
      </c>
      <c r="K198" s="14">
        <v>1979.0</v>
      </c>
      <c r="L198" s="15">
        <v>0.6156</v>
      </c>
      <c r="M198" s="16"/>
      <c r="N198" s="17"/>
      <c r="O198" s="18">
        <v>0.0</v>
      </c>
      <c r="P198" s="18"/>
      <c r="Q198" s="19">
        <v>0.0</v>
      </c>
      <c r="R198" s="19"/>
      <c r="S198" s="20"/>
      <c r="T198" s="20"/>
      <c r="U198" s="20"/>
      <c r="V198" s="21" t="s">
        <v>315</v>
      </c>
      <c r="W198" s="18" t="s">
        <v>62</v>
      </c>
      <c r="X198" s="41" t="s">
        <v>137</v>
      </c>
      <c r="Y198" s="66" t="s">
        <v>686</v>
      </c>
      <c r="Z198" s="20" t="s">
        <v>735</v>
      </c>
      <c r="AA198" s="18">
        <v>3.0</v>
      </c>
      <c r="AB198" s="18"/>
      <c r="AC198" s="18">
        <v>3.0</v>
      </c>
      <c r="AD198" s="14">
        <v>11986.0</v>
      </c>
      <c r="AE198" s="52"/>
      <c r="AF198" s="14">
        <v>11986.0</v>
      </c>
      <c r="AG198" s="22"/>
      <c r="AH198" s="22"/>
      <c r="AI198" s="22"/>
      <c r="AJ198" s="22"/>
      <c r="AK198" s="22"/>
      <c r="AL198" s="22"/>
      <c r="AM198" s="22"/>
      <c r="AN198" s="22"/>
      <c r="AO198" s="22"/>
      <c r="AP198" s="22"/>
    </row>
    <row r="199" hidden="1">
      <c r="A199" s="8">
        <v>46046.0</v>
      </c>
      <c r="B199" s="23">
        <v>0.4166666666666667</v>
      </c>
      <c r="C199" s="10" t="s">
        <v>58</v>
      </c>
      <c r="D199" s="11" t="s">
        <v>33</v>
      </c>
      <c r="E199" s="12" t="s">
        <v>133</v>
      </c>
      <c r="F199" s="12" t="s">
        <v>570</v>
      </c>
      <c r="G199" s="12" t="s">
        <v>736</v>
      </c>
      <c r="H199" s="12" t="s">
        <v>737</v>
      </c>
      <c r="I199" s="57" t="s">
        <v>115</v>
      </c>
      <c r="J199" s="14">
        <v>6663.0</v>
      </c>
      <c r="K199" s="14">
        <v>3763.0</v>
      </c>
      <c r="L199" s="15">
        <v>0.5648</v>
      </c>
      <c r="M199" s="16"/>
      <c r="N199" s="17"/>
      <c r="O199" s="18">
        <v>0.0</v>
      </c>
      <c r="P199" s="18"/>
      <c r="Q199" s="19">
        <v>0.0</v>
      </c>
      <c r="R199" s="19"/>
      <c r="S199" s="20"/>
      <c r="T199" s="20"/>
      <c r="U199" s="20"/>
      <c r="V199" s="21" t="s">
        <v>315</v>
      </c>
      <c r="W199" s="18" t="s">
        <v>62</v>
      </c>
      <c r="X199" s="41" t="s">
        <v>137</v>
      </c>
      <c r="Y199" s="66" t="s">
        <v>686</v>
      </c>
      <c r="Z199" s="20" t="s">
        <v>738</v>
      </c>
      <c r="AA199" s="18">
        <v>2.0</v>
      </c>
      <c r="AB199" s="18"/>
      <c r="AC199" s="18">
        <v>2.0</v>
      </c>
      <c r="AD199" s="14">
        <v>18126.0</v>
      </c>
      <c r="AE199" s="52"/>
      <c r="AF199" s="14">
        <v>18126.0</v>
      </c>
      <c r="AG199" s="22"/>
      <c r="AH199" s="22"/>
      <c r="AI199" s="22"/>
      <c r="AJ199" s="22"/>
      <c r="AK199" s="22"/>
      <c r="AL199" s="22"/>
      <c r="AM199" s="22"/>
      <c r="AN199" s="22"/>
      <c r="AO199" s="22"/>
      <c r="AP199" s="22"/>
    </row>
    <row r="200" hidden="1">
      <c r="A200" s="8">
        <v>46046.0</v>
      </c>
      <c r="B200" s="23">
        <v>0.4166666666666667</v>
      </c>
      <c r="C200" s="10" t="s">
        <v>58</v>
      </c>
      <c r="D200" s="11" t="s">
        <v>33</v>
      </c>
      <c r="E200" s="12" t="s">
        <v>133</v>
      </c>
      <c r="F200" s="12" t="s">
        <v>570</v>
      </c>
      <c r="G200" s="12" t="s">
        <v>739</v>
      </c>
      <c r="H200" s="12" t="s">
        <v>740</v>
      </c>
      <c r="I200" s="57" t="s">
        <v>115</v>
      </c>
      <c r="J200" s="14">
        <v>3495.0</v>
      </c>
      <c r="K200" s="14">
        <v>2001.0</v>
      </c>
      <c r="L200" s="15">
        <v>0.5725</v>
      </c>
      <c r="M200" s="16"/>
      <c r="N200" s="17"/>
      <c r="O200" s="18">
        <v>0.0</v>
      </c>
      <c r="P200" s="18"/>
      <c r="Q200" s="19">
        <v>0.0</v>
      </c>
      <c r="R200" s="19"/>
      <c r="S200" s="20"/>
      <c r="T200" s="20"/>
      <c r="U200" s="20"/>
      <c r="V200" s="21" t="s">
        <v>315</v>
      </c>
      <c r="W200" s="18" t="s">
        <v>62</v>
      </c>
      <c r="X200" s="41" t="s">
        <v>137</v>
      </c>
      <c r="Y200" s="66" t="s">
        <v>686</v>
      </c>
      <c r="Z200" s="20" t="s">
        <v>741</v>
      </c>
      <c r="AA200" s="18">
        <v>5.0</v>
      </c>
      <c r="AB200" s="18"/>
      <c r="AC200" s="18">
        <v>5.0</v>
      </c>
      <c r="AD200" s="14">
        <v>26567.0</v>
      </c>
      <c r="AE200" s="52"/>
      <c r="AF200" s="14">
        <v>26567.0</v>
      </c>
      <c r="AG200" s="22"/>
      <c r="AH200" s="22"/>
      <c r="AI200" s="22"/>
      <c r="AJ200" s="22"/>
      <c r="AK200" s="22"/>
      <c r="AL200" s="22"/>
      <c r="AM200" s="22"/>
      <c r="AN200" s="22"/>
      <c r="AO200" s="22"/>
      <c r="AP200" s="22"/>
    </row>
    <row r="201" hidden="1">
      <c r="A201" s="8">
        <v>46046.0</v>
      </c>
      <c r="B201" s="23">
        <v>0.4166666666666667</v>
      </c>
      <c r="C201" s="10" t="s">
        <v>58</v>
      </c>
      <c r="D201" s="11" t="s">
        <v>33</v>
      </c>
      <c r="E201" s="12" t="s">
        <v>133</v>
      </c>
      <c r="F201" s="12" t="s">
        <v>570</v>
      </c>
      <c r="G201" s="12" t="s">
        <v>742</v>
      </c>
      <c r="H201" s="12" t="s">
        <v>743</v>
      </c>
      <c r="I201" s="57" t="s">
        <v>115</v>
      </c>
      <c r="J201" s="14">
        <v>531.0</v>
      </c>
      <c r="K201" s="14">
        <v>274.0</v>
      </c>
      <c r="L201" s="15">
        <v>0.516</v>
      </c>
      <c r="M201" s="16"/>
      <c r="N201" s="17"/>
      <c r="O201" s="18">
        <v>0.0</v>
      </c>
      <c r="P201" s="18"/>
      <c r="Q201" s="19">
        <v>0.0</v>
      </c>
      <c r="R201" s="19"/>
      <c r="S201" s="20"/>
      <c r="T201" s="20"/>
      <c r="U201" s="20"/>
      <c r="V201" s="21" t="s">
        <v>315</v>
      </c>
      <c r="W201" s="18" t="s">
        <v>62</v>
      </c>
      <c r="X201" s="41" t="s">
        <v>137</v>
      </c>
      <c r="Y201" s="66" t="s">
        <v>686</v>
      </c>
      <c r="Z201" s="20" t="s">
        <v>744</v>
      </c>
      <c r="AA201" s="18">
        <v>5.0</v>
      </c>
      <c r="AB201" s="18"/>
      <c r="AC201" s="18">
        <v>5.0</v>
      </c>
      <c r="AD201" s="14">
        <v>17278.0</v>
      </c>
      <c r="AE201" s="52"/>
      <c r="AF201" s="14">
        <v>17278.0</v>
      </c>
      <c r="AG201" s="22"/>
      <c r="AH201" s="22"/>
      <c r="AI201" s="22"/>
      <c r="AJ201" s="22"/>
      <c r="AK201" s="22"/>
      <c r="AL201" s="22"/>
      <c r="AM201" s="22"/>
      <c r="AN201" s="22"/>
      <c r="AO201" s="22"/>
      <c r="AP201" s="22"/>
    </row>
    <row r="202" hidden="1">
      <c r="A202" s="8">
        <v>46046.0</v>
      </c>
      <c r="B202" s="23">
        <v>0.4166666666666667</v>
      </c>
      <c r="C202" s="10" t="s">
        <v>58</v>
      </c>
      <c r="D202" s="11" t="s">
        <v>33</v>
      </c>
      <c r="E202" s="12" t="s">
        <v>133</v>
      </c>
      <c r="F202" s="12" t="s">
        <v>570</v>
      </c>
      <c r="G202" s="12" t="s">
        <v>745</v>
      </c>
      <c r="H202" s="12" t="s">
        <v>746</v>
      </c>
      <c r="I202" s="57" t="s">
        <v>115</v>
      </c>
      <c r="J202" s="14">
        <v>120.0</v>
      </c>
      <c r="K202" s="14">
        <v>62.0</v>
      </c>
      <c r="L202" s="15">
        <v>0.5167</v>
      </c>
      <c r="M202" s="16"/>
      <c r="N202" s="17"/>
      <c r="O202" s="18">
        <v>0.0</v>
      </c>
      <c r="P202" s="18"/>
      <c r="Q202" s="19">
        <v>0.0</v>
      </c>
      <c r="R202" s="19"/>
      <c r="S202" s="20"/>
      <c r="T202" s="20"/>
      <c r="U202" s="20"/>
      <c r="V202" s="21" t="s">
        <v>315</v>
      </c>
      <c r="W202" s="18" t="s">
        <v>62</v>
      </c>
      <c r="X202" s="41" t="s">
        <v>137</v>
      </c>
      <c r="Y202" s="66" t="s">
        <v>686</v>
      </c>
      <c r="Z202" s="20" t="s">
        <v>747</v>
      </c>
      <c r="AA202" s="18">
        <v>0.0</v>
      </c>
      <c r="AB202" s="18"/>
      <c r="AC202" s="18">
        <v>0.0</v>
      </c>
      <c r="AD202" s="14">
        <v>0.0</v>
      </c>
      <c r="AE202" s="52"/>
      <c r="AF202" s="14">
        <v>0.0</v>
      </c>
      <c r="AG202" s="22"/>
      <c r="AH202" s="22"/>
      <c r="AI202" s="22"/>
      <c r="AJ202" s="22"/>
      <c r="AK202" s="22"/>
      <c r="AL202" s="22"/>
      <c r="AM202" s="22"/>
      <c r="AN202" s="22"/>
      <c r="AO202" s="22"/>
      <c r="AP202" s="22"/>
    </row>
    <row r="203" hidden="1">
      <c r="A203" s="8">
        <v>46046.0</v>
      </c>
      <c r="B203" s="23">
        <v>0.4166666666666667</v>
      </c>
      <c r="C203" s="10" t="s">
        <v>58</v>
      </c>
      <c r="D203" s="11" t="s">
        <v>33</v>
      </c>
      <c r="E203" s="12" t="s">
        <v>133</v>
      </c>
      <c r="F203" s="12" t="s">
        <v>570</v>
      </c>
      <c r="G203" s="12" t="s">
        <v>748</v>
      </c>
      <c r="H203" s="12" t="s">
        <v>749</v>
      </c>
      <c r="I203" s="57" t="s">
        <v>115</v>
      </c>
      <c r="J203" s="14">
        <v>160.0</v>
      </c>
      <c r="K203" s="14">
        <v>80.0</v>
      </c>
      <c r="L203" s="15">
        <v>0.5</v>
      </c>
      <c r="M203" s="16"/>
      <c r="N203" s="17"/>
      <c r="O203" s="18">
        <v>0.0</v>
      </c>
      <c r="P203" s="18"/>
      <c r="Q203" s="19">
        <v>0.0</v>
      </c>
      <c r="R203" s="19"/>
      <c r="S203" s="20"/>
      <c r="T203" s="20"/>
      <c r="U203" s="20"/>
      <c r="V203" s="21" t="s">
        <v>315</v>
      </c>
      <c r="W203" s="18" t="s">
        <v>62</v>
      </c>
      <c r="X203" s="41" t="s">
        <v>137</v>
      </c>
      <c r="Y203" s="66" t="s">
        <v>686</v>
      </c>
      <c r="Z203" s="20" t="s">
        <v>750</v>
      </c>
      <c r="AA203" s="18">
        <v>0.0</v>
      </c>
      <c r="AB203" s="18"/>
      <c r="AC203" s="18">
        <v>0.0</v>
      </c>
      <c r="AD203" s="14">
        <v>0.0</v>
      </c>
      <c r="AE203" s="52"/>
      <c r="AF203" s="14">
        <v>0.0</v>
      </c>
      <c r="AG203" s="22"/>
      <c r="AH203" s="22"/>
      <c r="AI203" s="22"/>
      <c r="AJ203" s="22"/>
      <c r="AK203" s="22"/>
      <c r="AL203" s="22"/>
      <c r="AM203" s="22"/>
      <c r="AN203" s="22"/>
      <c r="AO203" s="22"/>
      <c r="AP203" s="22"/>
    </row>
    <row r="204" hidden="1">
      <c r="A204" s="8">
        <v>46046.0</v>
      </c>
      <c r="B204" s="23">
        <v>0.4166666666666667</v>
      </c>
      <c r="C204" s="10" t="s">
        <v>58</v>
      </c>
      <c r="D204" s="11" t="s">
        <v>33</v>
      </c>
      <c r="E204" s="12" t="s">
        <v>133</v>
      </c>
      <c r="F204" s="12" t="s">
        <v>570</v>
      </c>
      <c r="G204" s="12" t="s">
        <v>751</v>
      </c>
      <c r="H204" s="12" t="s">
        <v>752</v>
      </c>
      <c r="I204" s="57" t="s">
        <v>115</v>
      </c>
      <c r="J204" s="14">
        <v>2472.0</v>
      </c>
      <c r="K204" s="14">
        <v>986.0</v>
      </c>
      <c r="L204" s="15">
        <v>0.3989</v>
      </c>
      <c r="M204" s="16"/>
      <c r="N204" s="17"/>
      <c r="O204" s="18">
        <v>0.0</v>
      </c>
      <c r="P204" s="18"/>
      <c r="Q204" s="19">
        <v>0.0</v>
      </c>
      <c r="R204" s="19"/>
      <c r="S204" s="20"/>
      <c r="T204" s="20"/>
      <c r="U204" s="20"/>
      <c r="V204" s="21" t="s">
        <v>315</v>
      </c>
      <c r="W204" s="18" t="s">
        <v>62</v>
      </c>
      <c r="X204" s="41" t="s">
        <v>137</v>
      </c>
      <c r="Y204" s="66" t="s">
        <v>686</v>
      </c>
      <c r="Z204" s="20" t="s">
        <v>753</v>
      </c>
      <c r="AA204" s="18">
        <v>0.0</v>
      </c>
      <c r="AB204" s="18"/>
      <c r="AC204" s="18">
        <v>0.0</v>
      </c>
      <c r="AD204" s="14">
        <v>0.0</v>
      </c>
      <c r="AE204" s="52"/>
      <c r="AF204" s="14">
        <v>0.0</v>
      </c>
      <c r="AG204" s="22"/>
      <c r="AH204" s="22"/>
      <c r="AI204" s="22"/>
      <c r="AJ204" s="22"/>
      <c r="AK204" s="22"/>
      <c r="AL204" s="22"/>
      <c r="AM204" s="22"/>
      <c r="AN204" s="22"/>
      <c r="AO204" s="22"/>
      <c r="AP204" s="22"/>
    </row>
    <row r="205" hidden="1">
      <c r="A205" s="8">
        <v>46046.0</v>
      </c>
      <c r="B205" s="23">
        <v>0.4166666666666667</v>
      </c>
      <c r="C205" s="10" t="s">
        <v>58</v>
      </c>
      <c r="D205" s="11" t="s">
        <v>33</v>
      </c>
      <c r="E205" s="12" t="s">
        <v>133</v>
      </c>
      <c r="F205" s="12" t="s">
        <v>570</v>
      </c>
      <c r="G205" s="12" t="s">
        <v>754</v>
      </c>
      <c r="H205" s="12" t="s">
        <v>755</v>
      </c>
      <c r="I205" s="57" t="s">
        <v>115</v>
      </c>
      <c r="J205" s="14">
        <v>36314.0</v>
      </c>
      <c r="K205" s="14">
        <v>18879.0</v>
      </c>
      <c r="L205" s="15">
        <v>0.5199</v>
      </c>
      <c r="M205" s="16"/>
      <c r="N205" s="17"/>
      <c r="O205" s="18">
        <v>0.0</v>
      </c>
      <c r="P205" s="18"/>
      <c r="Q205" s="19">
        <v>0.0</v>
      </c>
      <c r="R205" s="19"/>
      <c r="S205" s="20"/>
      <c r="T205" s="20"/>
      <c r="U205" s="20"/>
      <c r="V205" s="21" t="s">
        <v>315</v>
      </c>
      <c r="W205" s="18" t="s">
        <v>62</v>
      </c>
      <c r="X205" s="41" t="s">
        <v>137</v>
      </c>
      <c r="Y205" s="66" t="s">
        <v>686</v>
      </c>
      <c r="Z205" s="20" t="s">
        <v>756</v>
      </c>
      <c r="AA205" s="18">
        <v>2.0</v>
      </c>
      <c r="AB205" s="18"/>
      <c r="AC205" s="18">
        <v>2.0</v>
      </c>
      <c r="AD205" s="14">
        <v>14280.0</v>
      </c>
      <c r="AE205" s="52"/>
      <c r="AF205" s="14">
        <v>14280.0</v>
      </c>
      <c r="AG205" s="22"/>
      <c r="AH205" s="22"/>
      <c r="AI205" s="22"/>
      <c r="AJ205" s="22"/>
      <c r="AK205" s="22"/>
      <c r="AL205" s="22"/>
      <c r="AM205" s="22"/>
      <c r="AN205" s="22"/>
      <c r="AO205" s="22"/>
      <c r="AP205" s="22"/>
    </row>
    <row r="206" hidden="1">
      <c r="A206" s="8">
        <v>46046.0</v>
      </c>
      <c r="B206" s="23">
        <v>0.4166666666666667</v>
      </c>
      <c r="C206" s="10" t="s">
        <v>196</v>
      </c>
      <c r="D206" s="11" t="s">
        <v>33</v>
      </c>
      <c r="E206" s="12" t="s">
        <v>217</v>
      </c>
      <c r="F206" s="12" t="s">
        <v>570</v>
      </c>
      <c r="G206" s="12" t="s">
        <v>757</v>
      </c>
      <c r="H206" s="12" t="s">
        <v>572</v>
      </c>
      <c r="I206" s="57" t="s">
        <v>573</v>
      </c>
      <c r="J206" s="14">
        <v>651455.0</v>
      </c>
      <c r="K206" s="14">
        <v>338111.0</v>
      </c>
      <c r="L206" s="15">
        <v>0.519</v>
      </c>
      <c r="M206" s="16">
        <v>43871.0</v>
      </c>
      <c r="N206" s="17">
        <v>0.13</v>
      </c>
      <c r="O206" s="18">
        <v>0.0</v>
      </c>
      <c r="P206" s="18"/>
      <c r="Q206" s="19">
        <v>0.0</v>
      </c>
      <c r="R206" s="19"/>
      <c r="S206" s="20"/>
      <c r="T206" s="20"/>
      <c r="U206" s="20"/>
      <c r="V206" s="21" t="s">
        <v>315</v>
      </c>
      <c r="W206" s="18" t="s">
        <v>95</v>
      </c>
      <c r="X206" s="41" t="s">
        <v>111</v>
      </c>
      <c r="Y206" s="66" t="s">
        <v>758</v>
      </c>
      <c r="Z206" s="20" t="s">
        <v>759</v>
      </c>
      <c r="AA206" s="18">
        <v>1069.0</v>
      </c>
      <c r="AB206" s="18"/>
      <c r="AC206" s="18">
        <v>1069.0</v>
      </c>
      <c r="AD206" s="14">
        <v>2046815.0</v>
      </c>
      <c r="AE206" s="52"/>
      <c r="AF206" s="14">
        <v>2046815.0</v>
      </c>
      <c r="AG206" s="22"/>
      <c r="AH206" s="22"/>
      <c r="AI206" s="22"/>
      <c r="AJ206" s="22"/>
      <c r="AK206" s="22"/>
      <c r="AL206" s="22"/>
      <c r="AM206" s="22"/>
      <c r="AN206" s="22"/>
      <c r="AO206" s="22"/>
      <c r="AP206" s="22"/>
    </row>
    <row r="207" hidden="1">
      <c r="A207" s="8">
        <v>46046.0</v>
      </c>
      <c r="B207" s="23">
        <v>0.4166666666666667</v>
      </c>
      <c r="C207" s="10" t="s">
        <v>196</v>
      </c>
      <c r="D207" s="11" t="s">
        <v>33</v>
      </c>
      <c r="E207" s="12" t="s">
        <v>217</v>
      </c>
      <c r="F207" s="12" t="s">
        <v>570</v>
      </c>
      <c r="G207" s="12" t="s">
        <v>760</v>
      </c>
      <c r="H207" s="12" t="s">
        <v>578</v>
      </c>
      <c r="I207" s="57" t="s">
        <v>579</v>
      </c>
      <c r="J207" s="14">
        <v>228501.0</v>
      </c>
      <c r="K207" s="14">
        <v>115660.0</v>
      </c>
      <c r="L207" s="15">
        <v>0.5062</v>
      </c>
      <c r="M207" s="16">
        <v>14191.0</v>
      </c>
      <c r="N207" s="17">
        <v>0.123</v>
      </c>
      <c r="O207" s="18">
        <v>0.0</v>
      </c>
      <c r="P207" s="18"/>
      <c r="Q207" s="19">
        <v>0.0</v>
      </c>
      <c r="R207" s="19"/>
      <c r="S207" s="20"/>
      <c r="T207" s="20"/>
      <c r="U207" s="20"/>
      <c r="V207" s="21" t="s">
        <v>315</v>
      </c>
      <c r="W207" s="18" t="s">
        <v>95</v>
      </c>
      <c r="X207" s="41" t="s">
        <v>111</v>
      </c>
      <c r="Y207" s="66" t="s">
        <v>758</v>
      </c>
      <c r="Z207" s="20" t="s">
        <v>761</v>
      </c>
      <c r="AA207" s="18">
        <v>309.0</v>
      </c>
      <c r="AB207" s="18"/>
      <c r="AC207" s="18">
        <v>309.0</v>
      </c>
      <c r="AD207" s="14">
        <v>611945.0</v>
      </c>
      <c r="AE207" s="52"/>
      <c r="AF207" s="14">
        <v>611945.0</v>
      </c>
      <c r="AG207" s="22"/>
      <c r="AH207" s="22"/>
      <c r="AI207" s="22"/>
      <c r="AJ207" s="22"/>
      <c r="AK207" s="22"/>
      <c r="AL207" s="22"/>
      <c r="AM207" s="22"/>
      <c r="AN207" s="22"/>
      <c r="AO207" s="22"/>
      <c r="AP207" s="22"/>
    </row>
    <row r="208" hidden="1">
      <c r="A208" s="26">
        <v>46046.0</v>
      </c>
      <c r="B208" s="27">
        <v>0.5</v>
      </c>
      <c r="C208" s="28" t="s">
        <v>58</v>
      </c>
      <c r="D208" s="29" t="s">
        <v>59</v>
      </c>
      <c r="E208" s="12" t="s">
        <v>217</v>
      </c>
      <c r="F208" s="30" t="s">
        <v>570</v>
      </c>
      <c r="G208" s="30" t="s">
        <v>762</v>
      </c>
      <c r="H208" s="30" t="s">
        <v>578</v>
      </c>
      <c r="I208" s="72" t="s">
        <v>454</v>
      </c>
      <c r="J208" s="33">
        <v>114342.0</v>
      </c>
      <c r="K208" s="33">
        <v>70623.0</v>
      </c>
      <c r="L208" s="34">
        <v>0.6176</v>
      </c>
      <c r="M208" s="35"/>
      <c r="N208" s="36"/>
      <c r="O208" s="37">
        <v>73.0</v>
      </c>
      <c r="P208" s="37"/>
      <c r="Q208" s="38">
        <v>0.001</v>
      </c>
      <c r="R208" s="38"/>
      <c r="S208" s="39"/>
      <c r="T208" s="39"/>
      <c r="U208" s="39"/>
      <c r="V208" s="41" t="s">
        <v>315</v>
      </c>
      <c r="W208" s="37" t="s">
        <v>62</v>
      </c>
      <c r="X208" s="41" t="s">
        <v>111</v>
      </c>
      <c r="Y208" s="73" t="s">
        <v>758</v>
      </c>
      <c r="Z208" s="39" t="s">
        <v>763</v>
      </c>
      <c r="AA208" s="37">
        <v>153.0</v>
      </c>
      <c r="AB208" s="37"/>
      <c r="AC208" s="37">
        <v>153.0</v>
      </c>
      <c r="AD208" s="33">
        <v>325557.0</v>
      </c>
      <c r="AE208" s="83"/>
      <c r="AF208" s="33">
        <v>325557.0</v>
      </c>
      <c r="AG208" s="43"/>
      <c r="AH208" s="43"/>
      <c r="AI208" s="43"/>
      <c r="AJ208" s="43"/>
      <c r="AK208" s="43"/>
      <c r="AL208" s="43"/>
      <c r="AM208" s="43"/>
      <c r="AN208" s="43"/>
      <c r="AO208" s="43"/>
      <c r="AP208" s="43"/>
    </row>
    <row r="209" hidden="1">
      <c r="A209" s="8">
        <v>46046.0</v>
      </c>
      <c r="B209" s="23">
        <v>0.5</v>
      </c>
      <c r="C209" s="10" t="s">
        <v>58</v>
      </c>
      <c r="D209" s="11" t="s">
        <v>59</v>
      </c>
      <c r="E209" s="12" t="s">
        <v>217</v>
      </c>
      <c r="F209" s="12" t="s">
        <v>570</v>
      </c>
      <c r="G209" s="12" t="s">
        <v>764</v>
      </c>
      <c r="H209" s="12" t="s">
        <v>572</v>
      </c>
      <c r="I209" s="57" t="s">
        <v>454</v>
      </c>
      <c r="J209" s="14">
        <v>317866.0</v>
      </c>
      <c r="K209" s="14">
        <v>206671.0</v>
      </c>
      <c r="L209" s="15">
        <v>0.6502</v>
      </c>
      <c r="M209" s="16"/>
      <c r="N209" s="17"/>
      <c r="O209" s="18">
        <v>279.0</v>
      </c>
      <c r="P209" s="18"/>
      <c r="Q209" s="19">
        <v>0.0013</v>
      </c>
      <c r="R209" s="19"/>
      <c r="S209" s="20"/>
      <c r="T209" s="20"/>
      <c r="U209" s="20"/>
      <c r="V209" s="21" t="s">
        <v>315</v>
      </c>
      <c r="W209" s="18" t="s">
        <v>62</v>
      </c>
      <c r="X209" s="41" t="s">
        <v>111</v>
      </c>
      <c r="Y209" s="66" t="s">
        <v>758</v>
      </c>
      <c r="Z209" s="20" t="s">
        <v>765</v>
      </c>
      <c r="AA209" s="18">
        <v>616.0</v>
      </c>
      <c r="AB209" s="18"/>
      <c r="AC209" s="18">
        <v>616.0</v>
      </c>
      <c r="AD209" s="14">
        <v>1124520.0</v>
      </c>
      <c r="AE209" s="52"/>
      <c r="AF209" s="14">
        <v>1124520.0</v>
      </c>
      <c r="AG209" s="22"/>
      <c r="AH209" s="22"/>
      <c r="AI209" s="22"/>
      <c r="AJ209" s="22"/>
      <c r="AK209" s="22"/>
      <c r="AL209" s="22"/>
      <c r="AM209" s="22"/>
      <c r="AN209" s="22"/>
      <c r="AO209" s="22"/>
      <c r="AP209" s="22"/>
    </row>
    <row r="210" hidden="1">
      <c r="A210" s="8">
        <v>46047.0</v>
      </c>
      <c r="B210" s="23">
        <v>0.4583333333333333</v>
      </c>
      <c r="C210" s="10" t="s">
        <v>58</v>
      </c>
      <c r="D210" s="11" t="s">
        <v>33</v>
      </c>
      <c r="E210" s="12" t="s">
        <v>179</v>
      </c>
      <c r="F210" s="12" t="s">
        <v>570</v>
      </c>
      <c r="G210" s="12" t="s">
        <v>766</v>
      </c>
      <c r="H210" s="12" t="s">
        <v>610</v>
      </c>
      <c r="I210" s="57" t="s">
        <v>646</v>
      </c>
      <c r="J210" s="14">
        <v>71026.0</v>
      </c>
      <c r="K210" s="14">
        <v>49735.0</v>
      </c>
      <c r="L210" s="15">
        <v>0.7002</v>
      </c>
      <c r="M210" s="16"/>
      <c r="N210" s="17"/>
      <c r="O210" s="18">
        <v>133.0</v>
      </c>
      <c r="P210" s="18"/>
      <c r="Q210" s="19">
        <v>0.0027</v>
      </c>
      <c r="R210" s="19"/>
      <c r="S210" s="20">
        <v>24.0</v>
      </c>
      <c r="T210" s="20">
        <v>82.0</v>
      </c>
      <c r="U210" s="20">
        <v>132614.0</v>
      </c>
      <c r="V210" s="21" t="s">
        <v>183</v>
      </c>
      <c r="W210" s="18" t="s">
        <v>62</v>
      </c>
      <c r="X210" s="41" t="s">
        <v>111</v>
      </c>
      <c r="Y210" s="66" t="s">
        <v>767</v>
      </c>
      <c r="Z210" s="20" t="s">
        <v>768</v>
      </c>
      <c r="AA210" s="18">
        <v>76.0</v>
      </c>
      <c r="AB210" s="18">
        <v>53.0</v>
      </c>
      <c r="AC210" s="18">
        <v>23.0</v>
      </c>
      <c r="AD210" s="14">
        <v>297818.0</v>
      </c>
      <c r="AE210" s="14">
        <v>202637.0</v>
      </c>
      <c r="AF210" s="14">
        <v>95181.0</v>
      </c>
      <c r="AG210" s="22"/>
      <c r="AH210" s="22"/>
      <c r="AI210" s="22"/>
      <c r="AJ210" s="22"/>
      <c r="AK210" s="22"/>
      <c r="AL210" s="22"/>
      <c r="AM210" s="22"/>
      <c r="AN210" s="22"/>
      <c r="AO210" s="22"/>
      <c r="AP210" s="22"/>
    </row>
    <row r="211" hidden="1">
      <c r="A211" s="8">
        <v>46047.0</v>
      </c>
      <c r="B211" s="23">
        <v>0.4583333333333333</v>
      </c>
      <c r="C211" s="10" t="s">
        <v>58</v>
      </c>
      <c r="D211" s="11" t="s">
        <v>59</v>
      </c>
      <c r="E211" s="12" t="s">
        <v>179</v>
      </c>
      <c r="F211" s="12" t="s">
        <v>570</v>
      </c>
      <c r="G211" s="12" t="s">
        <v>769</v>
      </c>
      <c r="H211" s="12" t="s">
        <v>770</v>
      </c>
      <c r="I211" s="57" t="s">
        <v>61</v>
      </c>
      <c r="J211" s="14">
        <v>19052.0</v>
      </c>
      <c r="K211" s="14">
        <v>11754.0</v>
      </c>
      <c r="L211" s="15">
        <v>0.6169</v>
      </c>
      <c r="M211" s="16"/>
      <c r="N211" s="17"/>
      <c r="O211" s="18">
        <v>42.0</v>
      </c>
      <c r="P211" s="18"/>
      <c r="Q211" s="19">
        <v>0.0036</v>
      </c>
      <c r="R211" s="19"/>
      <c r="S211" s="20">
        <v>15.0</v>
      </c>
      <c r="T211" s="20">
        <v>59.0</v>
      </c>
      <c r="U211" s="20">
        <v>76335.0</v>
      </c>
      <c r="V211" s="21" t="s">
        <v>183</v>
      </c>
      <c r="W211" s="18" t="s">
        <v>62</v>
      </c>
      <c r="X211" s="41" t="s">
        <v>184</v>
      </c>
      <c r="Y211" s="66" t="s">
        <v>767</v>
      </c>
      <c r="Z211" s="20" t="s">
        <v>771</v>
      </c>
      <c r="AA211" s="18">
        <v>111.0</v>
      </c>
      <c r="AB211" s="18">
        <v>75.0</v>
      </c>
      <c r="AC211" s="18">
        <v>36.0</v>
      </c>
      <c r="AD211" s="14">
        <v>973101.0</v>
      </c>
      <c r="AE211" s="14">
        <v>358892.0</v>
      </c>
      <c r="AF211" s="14">
        <v>614209.0</v>
      </c>
      <c r="AG211" s="22"/>
      <c r="AH211" s="22"/>
      <c r="AI211" s="22"/>
      <c r="AJ211" s="22"/>
      <c r="AK211" s="22"/>
      <c r="AL211" s="22"/>
      <c r="AM211" s="22"/>
      <c r="AN211" s="22"/>
      <c r="AO211" s="22"/>
      <c r="AP211" s="22"/>
    </row>
    <row r="212" hidden="1">
      <c r="A212" s="8">
        <v>46047.0</v>
      </c>
      <c r="B212" s="23">
        <v>0.4583333333333333</v>
      </c>
      <c r="C212" s="10" t="s">
        <v>58</v>
      </c>
      <c r="D212" s="11" t="s">
        <v>59</v>
      </c>
      <c r="E212" s="12" t="s">
        <v>179</v>
      </c>
      <c r="F212" s="12" t="s">
        <v>570</v>
      </c>
      <c r="G212" s="12" t="s">
        <v>772</v>
      </c>
      <c r="H212" s="12" t="s">
        <v>614</v>
      </c>
      <c r="I212" s="57" t="s">
        <v>61</v>
      </c>
      <c r="J212" s="14">
        <v>22635.0</v>
      </c>
      <c r="K212" s="14">
        <v>15311.0</v>
      </c>
      <c r="L212" s="15">
        <v>0.6764</v>
      </c>
      <c r="M212" s="16"/>
      <c r="N212" s="17"/>
      <c r="O212" s="18">
        <v>53.0</v>
      </c>
      <c r="P212" s="18"/>
      <c r="Q212" s="19">
        <v>0.0035</v>
      </c>
      <c r="R212" s="19"/>
      <c r="S212" s="20">
        <v>9.0</v>
      </c>
      <c r="T212" s="20">
        <v>19.0</v>
      </c>
      <c r="U212" s="20">
        <v>31851.0</v>
      </c>
      <c r="V212" s="21" t="s">
        <v>183</v>
      </c>
      <c r="W212" s="18" t="s">
        <v>62</v>
      </c>
      <c r="X212" s="41" t="s">
        <v>184</v>
      </c>
      <c r="Y212" s="66" t="s">
        <v>767</v>
      </c>
      <c r="Z212" s="20" t="s">
        <v>773</v>
      </c>
      <c r="AA212" s="18">
        <v>56.0</v>
      </c>
      <c r="AB212" s="18">
        <v>43.0</v>
      </c>
      <c r="AC212" s="18">
        <v>13.0</v>
      </c>
      <c r="AD212" s="14">
        <v>243748.0</v>
      </c>
      <c r="AE212" s="14">
        <v>190320.0</v>
      </c>
      <c r="AF212" s="14">
        <v>53428.0</v>
      </c>
      <c r="AG212" s="22"/>
      <c r="AH212" s="22"/>
      <c r="AI212" s="22"/>
      <c r="AJ212" s="22"/>
      <c r="AK212" s="22"/>
      <c r="AL212" s="22"/>
      <c r="AM212" s="22"/>
      <c r="AN212" s="22"/>
      <c r="AO212" s="22"/>
      <c r="AP212" s="22"/>
    </row>
    <row r="213" hidden="1">
      <c r="A213" s="8">
        <v>46047.0</v>
      </c>
      <c r="B213" s="23">
        <v>0.4583333333333333</v>
      </c>
      <c r="C213" s="10" t="s">
        <v>58</v>
      </c>
      <c r="D213" s="11" t="s">
        <v>59</v>
      </c>
      <c r="E213" s="12" t="s">
        <v>179</v>
      </c>
      <c r="F213" s="12" t="s">
        <v>570</v>
      </c>
      <c r="G213" s="12" t="s">
        <v>774</v>
      </c>
      <c r="H213" s="12" t="s">
        <v>775</v>
      </c>
      <c r="I213" s="57" t="s">
        <v>61</v>
      </c>
      <c r="J213" s="14">
        <v>11528.0</v>
      </c>
      <c r="K213" s="14">
        <v>6748.0</v>
      </c>
      <c r="L213" s="15">
        <v>0.5854</v>
      </c>
      <c r="M213" s="16"/>
      <c r="N213" s="17"/>
      <c r="O213" s="18">
        <v>10.0</v>
      </c>
      <c r="P213" s="18"/>
      <c r="Q213" s="19">
        <v>0.0015</v>
      </c>
      <c r="R213" s="19"/>
      <c r="S213" s="20">
        <v>0.0</v>
      </c>
      <c r="T213" s="20">
        <v>3.0</v>
      </c>
      <c r="U213" s="20">
        <v>0.0</v>
      </c>
      <c r="V213" s="21" t="s">
        <v>183</v>
      </c>
      <c r="W213" s="18" t="s">
        <v>62</v>
      </c>
      <c r="X213" s="41" t="s">
        <v>624</v>
      </c>
      <c r="Y213" s="66" t="s">
        <v>767</v>
      </c>
      <c r="Z213" s="20" t="s">
        <v>776</v>
      </c>
      <c r="AA213" s="18">
        <v>27.0</v>
      </c>
      <c r="AB213" s="18">
        <v>6.0</v>
      </c>
      <c r="AC213" s="18">
        <v>21.0</v>
      </c>
      <c r="AD213" s="14">
        <v>130931.0</v>
      </c>
      <c r="AE213" s="14">
        <v>15876.0</v>
      </c>
      <c r="AF213" s="14">
        <v>115055.0</v>
      </c>
      <c r="AG213" s="22"/>
      <c r="AH213" s="22"/>
      <c r="AI213" s="22"/>
      <c r="AJ213" s="22"/>
      <c r="AK213" s="22"/>
      <c r="AL213" s="22"/>
      <c r="AM213" s="22"/>
      <c r="AN213" s="22"/>
      <c r="AO213" s="22"/>
      <c r="AP213" s="22"/>
    </row>
    <row r="214" hidden="1">
      <c r="A214" s="8">
        <v>46047.0</v>
      </c>
      <c r="B214" s="23">
        <v>0.4583333333333333</v>
      </c>
      <c r="C214" s="10" t="s">
        <v>58</v>
      </c>
      <c r="D214" s="11" t="s">
        <v>59</v>
      </c>
      <c r="E214" s="12" t="s">
        <v>179</v>
      </c>
      <c r="F214" s="12" t="s">
        <v>570</v>
      </c>
      <c r="G214" s="12" t="s">
        <v>777</v>
      </c>
      <c r="H214" s="12" t="s">
        <v>778</v>
      </c>
      <c r="I214" s="57" t="s">
        <v>61</v>
      </c>
      <c r="J214" s="14">
        <v>11761.0</v>
      </c>
      <c r="K214" s="14">
        <v>6302.0</v>
      </c>
      <c r="L214" s="15">
        <v>0.5358</v>
      </c>
      <c r="M214" s="16"/>
      <c r="N214" s="17"/>
      <c r="O214" s="18">
        <v>16.0</v>
      </c>
      <c r="P214" s="18"/>
      <c r="Q214" s="19">
        <v>0.0025</v>
      </c>
      <c r="R214" s="19"/>
      <c r="S214" s="20">
        <v>0.0</v>
      </c>
      <c r="T214" s="20">
        <v>1.0</v>
      </c>
      <c r="U214" s="20">
        <v>0.0</v>
      </c>
      <c r="V214" s="21" t="s">
        <v>183</v>
      </c>
      <c r="W214" s="18" t="s">
        <v>62</v>
      </c>
      <c r="X214" s="41" t="s">
        <v>624</v>
      </c>
      <c r="Y214" s="66" t="s">
        <v>767</v>
      </c>
      <c r="Z214" s="20" t="s">
        <v>779</v>
      </c>
      <c r="AA214" s="18">
        <v>35.0</v>
      </c>
      <c r="AB214" s="18">
        <v>6.0</v>
      </c>
      <c r="AC214" s="18">
        <v>29.0</v>
      </c>
      <c r="AD214" s="14">
        <v>242673.0</v>
      </c>
      <c r="AE214" s="14">
        <v>8507.0</v>
      </c>
      <c r="AF214" s="14">
        <v>234166.0</v>
      </c>
      <c r="AG214" s="22"/>
      <c r="AH214" s="22"/>
      <c r="AI214" s="22"/>
      <c r="AJ214" s="22"/>
      <c r="AK214" s="22"/>
      <c r="AL214" s="22"/>
      <c r="AM214" s="22"/>
      <c r="AN214" s="22"/>
      <c r="AO214" s="22"/>
      <c r="AP214" s="22"/>
    </row>
    <row r="215" hidden="1">
      <c r="A215" s="8">
        <v>46047.0</v>
      </c>
      <c r="B215" s="23">
        <v>0.4583333333333333</v>
      </c>
      <c r="C215" s="10" t="s">
        <v>58</v>
      </c>
      <c r="D215" s="11" t="s">
        <v>59</v>
      </c>
      <c r="E215" s="12" t="s">
        <v>179</v>
      </c>
      <c r="F215" s="12" t="s">
        <v>570</v>
      </c>
      <c r="G215" s="12" t="s">
        <v>780</v>
      </c>
      <c r="H215" s="12" t="s">
        <v>620</v>
      </c>
      <c r="I215" s="57" t="s">
        <v>61</v>
      </c>
      <c r="J215" s="14">
        <v>11654.0</v>
      </c>
      <c r="K215" s="14">
        <v>7423.0</v>
      </c>
      <c r="L215" s="15">
        <v>0.6369</v>
      </c>
      <c r="M215" s="16"/>
      <c r="N215" s="17"/>
      <c r="O215" s="18">
        <v>16.0</v>
      </c>
      <c r="P215" s="18"/>
      <c r="Q215" s="19">
        <v>0.0022</v>
      </c>
      <c r="R215" s="19"/>
      <c r="S215" s="20">
        <v>0.0</v>
      </c>
      <c r="T215" s="20">
        <v>4.0</v>
      </c>
      <c r="U215" s="20">
        <v>0.0</v>
      </c>
      <c r="V215" s="21" t="s">
        <v>183</v>
      </c>
      <c r="W215" s="18" t="s">
        <v>62</v>
      </c>
      <c r="X215" s="41" t="s">
        <v>111</v>
      </c>
      <c r="Y215" s="66" t="s">
        <v>767</v>
      </c>
      <c r="Z215" s="20" t="s">
        <v>781</v>
      </c>
      <c r="AA215" s="18">
        <v>23.0</v>
      </c>
      <c r="AB215" s="18">
        <v>5.0</v>
      </c>
      <c r="AC215" s="18">
        <v>18.0</v>
      </c>
      <c r="AD215" s="14">
        <v>105880.0</v>
      </c>
      <c r="AE215" s="14">
        <v>11341.0</v>
      </c>
      <c r="AF215" s="14">
        <v>94539.0</v>
      </c>
      <c r="AG215" s="22"/>
      <c r="AH215" s="22"/>
      <c r="AI215" s="22"/>
      <c r="AJ215" s="22"/>
      <c r="AK215" s="22"/>
      <c r="AL215" s="22"/>
      <c r="AM215" s="22"/>
      <c r="AN215" s="22"/>
      <c r="AO215" s="22"/>
      <c r="AP215" s="22"/>
    </row>
    <row r="216" hidden="1">
      <c r="A216" s="8">
        <v>46047.0</v>
      </c>
      <c r="B216" s="23">
        <v>0.375</v>
      </c>
      <c r="C216" s="10" t="s">
        <v>32</v>
      </c>
      <c r="D216" s="11" t="s">
        <v>33</v>
      </c>
      <c r="E216" s="12" t="s">
        <v>179</v>
      </c>
      <c r="F216" s="12" t="s">
        <v>570</v>
      </c>
      <c r="G216" s="12" t="s">
        <v>782</v>
      </c>
      <c r="H216" s="12" t="s">
        <v>770</v>
      </c>
      <c r="I216" s="57" t="s">
        <v>783</v>
      </c>
      <c r="J216" s="14">
        <v>40978.0</v>
      </c>
      <c r="K216" s="14">
        <v>20175.0</v>
      </c>
      <c r="L216" s="15">
        <v>0.4923</v>
      </c>
      <c r="M216" s="16">
        <v>4800.0</v>
      </c>
      <c r="N216" s="17">
        <v>0.2379</v>
      </c>
      <c r="O216" s="18">
        <v>682.0</v>
      </c>
      <c r="P216" s="18">
        <v>633.0</v>
      </c>
      <c r="Q216" s="19">
        <v>0.0314</v>
      </c>
      <c r="R216" s="19">
        <v>0.1319</v>
      </c>
      <c r="S216" s="20">
        <v>40.0</v>
      </c>
      <c r="T216" s="20">
        <v>101.0</v>
      </c>
      <c r="U216" s="20">
        <v>211519.0</v>
      </c>
      <c r="V216" s="21" t="s">
        <v>183</v>
      </c>
      <c r="W216" s="18" t="s">
        <v>76</v>
      </c>
      <c r="X216" s="41" t="s">
        <v>184</v>
      </c>
      <c r="Y216" s="66" t="s">
        <v>767</v>
      </c>
      <c r="Z216" s="20" t="s">
        <v>784</v>
      </c>
      <c r="AA216" s="14">
        <v>199.0</v>
      </c>
      <c r="AB216" s="14">
        <v>131.0</v>
      </c>
      <c r="AC216" s="14">
        <v>68.0</v>
      </c>
      <c r="AD216" s="14">
        <v>1170460.0</v>
      </c>
      <c r="AE216" s="14">
        <v>800457.0</v>
      </c>
      <c r="AF216" s="14">
        <v>370003.0</v>
      </c>
      <c r="AG216" s="22"/>
      <c r="AH216" s="22"/>
      <c r="AI216" s="22"/>
      <c r="AJ216" s="22"/>
      <c r="AK216" s="22"/>
      <c r="AL216" s="22"/>
      <c r="AM216" s="22"/>
      <c r="AN216" s="22"/>
      <c r="AO216" s="22"/>
      <c r="AP216" s="22"/>
    </row>
    <row r="217" hidden="1">
      <c r="A217" s="8">
        <v>46047.0</v>
      </c>
      <c r="B217" s="23">
        <v>0.3784722222222222</v>
      </c>
      <c r="C217" s="10" t="s">
        <v>32</v>
      </c>
      <c r="D217" s="11" t="s">
        <v>33</v>
      </c>
      <c r="E217" s="12" t="s">
        <v>179</v>
      </c>
      <c r="F217" s="12" t="s">
        <v>570</v>
      </c>
      <c r="G217" s="12" t="s">
        <v>785</v>
      </c>
      <c r="H217" s="12" t="s">
        <v>614</v>
      </c>
      <c r="I217" s="57" t="s">
        <v>633</v>
      </c>
      <c r="J217" s="14">
        <v>54184.0</v>
      </c>
      <c r="K217" s="14">
        <v>29804.0</v>
      </c>
      <c r="L217" s="15">
        <v>0.5501</v>
      </c>
      <c r="M217" s="16">
        <v>7322.0</v>
      </c>
      <c r="N217" s="17">
        <v>0.2457</v>
      </c>
      <c r="O217" s="18">
        <v>770.0</v>
      </c>
      <c r="P217" s="18">
        <v>728.0</v>
      </c>
      <c r="Q217" s="19">
        <v>0.0244</v>
      </c>
      <c r="R217" s="19">
        <v>0.0994</v>
      </c>
      <c r="S217" s="20">
        <v>30.0</v>
      </c>
      <c r="T217" s="20">
        <v>46.0</v>
      </c>
      <c r="U217" s="20">
        <v>120587.0</v>
      </c>
      <c r="V217" s="21" t="s">
        <v>183</v>
      </c>
      <c r="W217" s="18" t="s">
        <v>76</v>
      </c>
      <c r="X217" s="41" t="s">
        <v>184</v>
      </c>
      <c r="Y217" s="66" t="s">
        <v>767</v>
      </c>
      <c r="Z217" s="20" t="s">
        <v>786</v>
      </c>
      <c r="AA217" s="18">
        <v>122.0</v>
      </c>
      <c r="AB217" s="18">
        <v>94.0</v>
      </c>
      <c r="AC217" s="18">
        <v>28.0</v>
      </c>
      <c r="AD217" s="14">
        <v>669299.0</v>
      </c>
      <c r="AE217" s="14">
        <v>542315.0</v>
      </c>
      <c r="AF217" s="14">
        <v>126984.0</v>
      </c>
      <c r="AG217" s="22"/>
      <c r="AH217" s="22"/>
      <c r="AI217" s="22"/>
      <c r="AJ217" s="22"/>
      <c r="AK217" s="22"/>
      <c r="AL217" s="22"/>
      <c r="AM217" s="22"/>
      <c r="AN217" s="22"/>
      <c r="AO217" s="22"/>
      <c r="AP217" s="22"/>
    </row>
    <row r="218" hidden="1">
      <c r="A218" s="8">
        <v>46047.0</v>
      </c>
      <c r="B218" s="23">
        <v>0.3819444444444444</v>
      </c>
      <c r="C218" s="10" t="s">
        <v>32</v>
      </c>
      <c r="D218" s="11" t="s">
        <v>33</v>
      </c>
      <c r="E218" s="12" t="s">
        <v>179</v>
      </c>
      <c r="F218" s="12" t="s">
        <v>570</v>
      </c>
      <c r="G218" s="12" t="s">
        <v>787</v>
      </c>
      <c r="H218" s="12" t="s">
        <v>775</v>
      </c>
      <c r="I218" s="57" t="s">
        <v>636</v>
      </c>
      <c r="J218" s="14">
        <v>25012.0</v>
      </c>
      <c r="K218" s="14">
        <v>12231.0</v>
      </c>
      <c r="L218" s="15">
        <v>0.489</v>
      </c>
      <c r="M218" s="16">
        <v>2487.0</v>
      </c>
      <c r="N218" s="17">
        <v>0.2033</v>
      </c>
      <c r="O218" s="18">
        <v>312.0</v>
      </c>
      <c r="P218" s="18">
        <v>288.0</v>
      </c>
      <c r="Q218" s="19">
        <v>0.0235</v>
      </c>
      <c r="R218" s="19">
        <v>0.1158</v>
      </c>
      <c r="S218" s="20">
        <v>4.0</v>
      </c>
      <c r="T218" s="20">
        <v>16.0</v>
      </c>
      <c r="U218" s="20">
        <v>19970.0</v>
      </c>
      <c r="V218" s="21" t="s">
        <v>183</v>
      </c>
      <c r="W218" s="18" t="s">
        <v>76</v>
      </c>
      <c r="X218" s="41" t="s">
        <v>624</v>
      </c>
      <c r="Y218" s="66" t="s">
        <v>767</v>
      </c>
      <c r="Z218" s="20" t="s">
        <v>788</v>
      </c>
      <c r="AA218" s="18">
        <v>57.0</v>
      </c>
      <c r="AB218" s="18">
        <v>27.0</v>
      </c>
      <c r="AC218" s="18">
        <v>30.0</v>
      </c>
      <c r="AD218" s="14">
        <v>229632.0</v>
      </c>
      <c r="AE218" s="14">
        <v>96641.0</v>
      </c>
      <c r="AF218" s="14">
        <v>132991.0</v>
      </c>
      <c r="AG218" s="22"/>
      <c r="AH218" s="22"/>
      <c r="AI218" s="22"/>
      <c r="AJ218" s="22"/>
      <c r="AK218" s="22"/>
      <c r="AL218" s="22"/>
      <c r="AM218" s="22"/>
      <c r="AN218" s="22"/>
      <c r="AO218" s="22"/>
      <c r="AP218" s="22"/>
    </row>
    <row r="219" hidden="1">
      <c r="A219" s="8">
        <v>46047.0</v>
      </c>
      <c r="B219" s="23">
        <v>0.3854166666666667</v>
      </c>
      <c r="C219" s="10" t="s">
        <v>32</v>
      </c>
      <c r="D219" s="11" t="s">
        <v>33</v>
      </c>
      <c r="E219" s="12" t="s">
        <v>179</v>
      </c>
      <c r="F219" s="12" t="s">
        <v>570</v>
      </c>
      <c r="G219" s="12" t="s">
        <v>789</v>
      </c>
      <c r="H219" s="12" t="s">
        <v>778</v>
      </c>
      <c r="I219" s="57" t="s">
        <v>639</v>
      </c>
      <c r="J219" s="14">
        <v>24631.0</v>
      </c>
      <c r="K219" s="14">
        <v>11459.0</v>
      </c>
      <c r="L219" s="15">
        <v>0.4652</v>
      </c>
      <c r="M219" s="16">
        <v>2124.0</v>
      </c>
      <c r="N219" s="17">
        <v>0.1854</v>
      </c>
      <c r="O219" s="18">
        <v>313.0</v>
      </c>
      <c r="P219" s="18">
        <v>289.0</v>
      </c>
      <c r="Q219" s="19">
        <v>0.0252</v>
      </c>
      <c r="R219" s="19">
        <v>0.1361</v>
      </c>
      <c r="S219" s="20">
        <v>11.0</v>
      </c>
      <c r="T219" s="20">
        <v>11.0</v>
      </c>
      <c r="U219" s="20">
        <v>41564.0</v>
      </c>
      <c r="V219" s="21" t="s">
        <v>183</v>
      </c>
      <c r="W219" s="18" t="s">
        <v>76</v>
      </c>
      <c r="X219" s="41" t="s">
        <v>624</v>
      </c>
      <c r="Y219" s="66" t="s">
        <v>767</v>
      </c>
      <c r="Z219" s="20" t="s">
        <v>790</v>
      </c>
      <c r="AA219" s="18">
        <v>60.0</v>
      </c>
      <c r="AB219" s="18">
        <v>24.0</v>
      </c>
      <c r="AC219" s="18">
        <v>36.0</v>
      </c>
      <c r="AD219" s="14">
        <v>363131.0</v>
      </c>
      <c r="AE219" s="14">
        <v>97388.0</v>
      </c>
      <c r="AF219" s="14">
        <v>265743.0</v>
      </c>
      <c r="AG219" s="22"/>
      <c r="AH219" s="22"/>
      <c r="AI219" s="22"/>
      <c r="AJ219" s="22"/>
      <c r="AK219" s="22"/>
      <c r="AL219" s="22"/>
      <c r="AM219" s="22"/>
      <c r="AN219" s="22"/>
      <c r="AO219" s="22"/>
      <c r="AP219" s="22"/>
    </row>
    <row r="220" hidden="1">
      <c r="A220" s="8">
        <v>46047.0</v>
      </c>
      <c r="B220" s="23">
        <v>0.3888888888888889</v>
      </c>
      <c r="C220" s="10" t="s">
        <v>32</v>
      </c>
      <c r="D220" s="11" t="s">
        <v>33</v>
      </c>
      <c r="E220" s="12" t="s">
        <v>179</v>
      </c>
      <c r="F220" s="12" t="s">
        <v>570</v>
      </c>
      <c r="G220" s="12" t="s">
        <v>791</v>
      </c>
      <c r="H220" s="12" t="s">
        <v>620</v>
      </c>
      <c r="I220" s="57" t="s">
        <v>643</v>
      </c>
      <c r="J220" s="14">
        <v>25966.0</v>
      </c>
      <c r="K220" s="14">
        <v>13501.0</v>
      </c>
      <c r="L220" s="15">
        <v>0.5199</v>
      </c>
      <c r="M220" s="16">
        <v>3511.0</v>
      </c>
      <c r="N220" s="17">
        <v>0.2601</v>
      </c>
      <c r="O220" s="18">
        <v>304.0</v>
      </c>
      <c r="P220" s="18">
        <v>288.0</v>
      </c>
      <c r="Q220" s="19">
        <v>0.0213</v>
      </c>
      <c r="R220" s="19">
        <v>0.082</v>
      </c>
      <c r="S220" s="20">
        <v>5.0</v>
      </c>
      <c r="T220" s="20">
        <v>4.0</v>
      </c>
      <c r="U220" s="20">
        <v>13244.0</v>
      </c>
      <c r="V220" s="21" t="s">
        <v>183</v>
      </c>
      <c r="W220" s="18" t="s">
        <v>76</v>
      </c>
      <c r="X220" s="41" t="s">
        <v>111</v>
      </c>
      <c r="Y220" s="66" t="s">
        <v>767</v>
      </c>
      <c r="Z220" s="20" t="s">
        <v>792</v>
      </c>
      <c r="AA220" s="18">
        <v>49.0</v>
      </c>
      <c r="AB220" s="18">
        <v>14.0</v>
      </c>
      <c r="AC220" s="18">
        <v>35.0</v>
      </c>
      <c r="AD220" s="14">
        <v>164005.0</v>
      </c>
      <c r="AE220" s="14">
        <v>40139.0</v>
      </c>
      <c r="AF220" s="14">
        <v>123866.0</v>
      </c>
      <c r="AG220" s="22"/>
      <c r="AH220" s="22"/>
      <c r="AI220" s="22"/>
      <c r="AJ220" s="22"/>
      <c r="AK220" s="22"/>
      <c r="AL220" s="22"/>
      <c r="AM220" s="22"/>
      <c r="AN220" s="22"/>
      <c r="AO220" s="22"/>
      <c r="AP220" s="22"/>
    </row>
    <row r="221" hidden="1">
      <c r="A221" s="8">
        <v>46048.0</v>
      </c>
      <c r="B221" s="23">
        <v>0.46875</v>
      </c>
      <c r="C221" s="10" t="s">
        <v>58</v>
      </c>
      <c r="D221" s="11" t="s">
        <v>33</v>
      </c>
      <c r="E221" s="12" t="s">
        <v>71</v>
      </c>
      <c r="F221" s="12" t="s">
        <v>517</v>
      </c>
      <c r="G221" s="12" t="s">
        <v>793</v>
      </c>
      <c r="H221" s="12" t="s">
        <v>794</v>
      </c>
      <c r="I221" s="57" t="s">
        <v>795</v>
      </c>
      <c r="J221" s="14">
        <v>31721.0</v>
      </c>
      <c r="K221" s="14">
        <v>17997.0</v>
      </c>
      <c r="L221" s="15">
        <v>0.5674</v>
      </c>
      <c r="M221" s="16"/>
      <c r="N221" s="17"/>
      <c r="O221" s="18">
        <v>22.0</v>
      </c>
      <c r="P221" s="18"/>
      <c r="Q221" s="19">
        <v>0.0012</v>
      </c>
      <c r="R221" s="19"/>
      <c r="S221" s="20">
        <v>1.0</v>
      </c>
      <c r="T221" s="20">
        <v>2.0</v>
      </c>
      <c r="U221" s="20">
        <v>1969.0</v>
      </c>
      <c r="V221" s="21" t="s">
        <v>183</v>
      </c>
      <c r="W221" s="18" t="s">
        <v>62</v>
      </c>
      <c r="X221" s="41" t="s">
        <v>52</v>
      </c>
      <c r="Y221" s="21" t="s">
        <v>796</v>
      </c>
      <c r="Z221" s="20" t="s">
        <v>797</v>
      </c>
      <c r="AA221" s="18">
        <v>55.0</v>
      </c>
      <c r="AB221" s="18">
        <v>7.0</v>
      </c>
      <c r="AC221" s="18">
        <v>48.0</v>
      </c>
      <c r="AD221" s="14">
        <v>250990.0</v>
      </c>
      <c r="AE221" s="14">
        <v>30605.0</v>
      </c>
      <c r="AF221" s="14">
        <v>220385.0</v>
      </c>
      <c r="AG221" s="22"/>
      <c r="AH221" s="22"/>
      <c r="AI221" s="22"/>
      <c r="AJ221" s="22"/>
      <c r="AK221" s="22"/>
      <c r="AL221" s="22"/>
      <c r="AM221" s="22"/>
      <c r="AN221" s="22"/>
      <c r="AO221" s="22"/>
      <c r="AP221" s="22"/>
    </row>
    <row r="222" hidden="1">
      <c r="A222" s="8">
        <v>46048.0</v>
      </c>
      <c r="B222" s="23">
        <v>0.46875</v>
      </c>
      <c r="C222" s="10" t="s">
        <v>58</v>
      </c>
      <c r="D222" s="11" t="s">
        <v>33</v>
      </c>
      <c r="E222" s="12" t="s">
        <v>71</v>
      </c>
      <c r="F222" s="12" t="s">
        <v>517</v>
      </c>
      <c r="G222" s="12" t="s">
        <v>798</v>
      </c>
      <c r="H222" s="12" t="s">
        <v>799</v>
      </c>
      <c r="I222" s="57" t="s">
        <v>800</v>
      </c>
      <c r="J222" s="14">
        <v>216522.0</v>
      </c>
      <c r="K222" s="14">
        <v>128863.0</v>
      </c>
      <c r="L222" s="15">
        <v>0.5951</v>
      </c>
      <c r="M222" s="16"/>
      <c r="N222" s="17"/>
      <c r="O222" s="18">
        <v>143.0</v>
      </c>
      <c r="P222" s="18"/>
      <c r="Q222" s="19">
        <v>0.0011</v>
      </c>
      <c r="R222" s="19"/>
      <c r="S222" s="20">
        <v>3.0</v>
      </c>
      <c r="T222" s="20">
        <v>27.0</v>
      </c>
      <c r="U222" s="20">
        <v>11115.0</v>
      </c>
      <c r="V222" s="21" t="s">
        <v>183</v>
      </c>
      <c r="W222" s="18" t="s">
        <v>62</v>
      </c>
      <c r="X222" s="41" t="s">
        <v>47</v>
      </c>
      <c r="Y222" s="21" t="s">
        <v>796</v>
      </c>
      <c r="Z222" s="20" t="s">
        <v>801</v>
      </c>
      <c r="AA222" s="18">
        <v>218.0</v>
      </c>
      <c r="AB222" s="18">
        <v>37.0</v>
      </c>
      <c r="AC222" s="18">
        <v>181.0</v>
      </c>
      <c r="AD222" s="14">
        <v>928888.0</v>
      </c>
      <c r="AE222" s="14">
        <v>98747.0</v>
      </c>
      <c r="AF222" s="14">
        <v>830141.0</v>
      </c>
      <c r="AG222" s="22"/>
      <c r="AH222" s="22"/>
      <c r="AI222" s="22"/>
      <c r="AJ222" s="22"/>
      <c r="AK222" s="22"/>
      <c r="AL222" s="22"/>
      <c r="AM222" s="22"/>
      <c r="AN222" s="22"/>
      <c r="AO222" s="22"/>
      <c r="AP222" s="22"/>
    </row>
    <row r="223" hidden="1">
      <c r="A223" s="8">
        <v>46048.0</v>
      </c>
      <c r="B223" s="23">
        <v>0.46875</v>
      </c>
      <c r="C223" s="10" t="s">
        <v>58</v>
      </c>
      <c r="D223" s="11" t="s">
        <v>33</v>
      </c>
      <c r="E223" s="12" t="s">
        <v>71</v>
      </c>
      <c r="F223" s="12" t="s">
        <v>517</v>
      </c>
      <c r="G223" s="12" t="s">
        <v>802</v>
      </c>
      <c r="H223" s="12" t="s">
        <v>803</v>
      </c>
      <c r="I223" s="57" t="s">
        <v>800</v>
      </c>
      <c r="J223" s="14">
        <v>57459.0</v>
      </c>
      <c r="K223" s="14">
        <v>33577.0</v>
      </c>
      <c r="L223" s="15">
        <v>0.5844</v>
      </c>
      <c r="M223" s="16"/>
      <c r="N223" s="17"/>
      <c r="O223" s="18">
        <v>59.0</v>
      </c>
      <c r="P223" s="18"/>
      <c r="Q223" s="19">
        <v>0.0018</v>
      </c>
      <c r="R223" s="19"/>
      <c r="S223" s="20">
        <v>3.0</v>
      </c>
      <c r="T223" s="20">
        <v>7.0</v>
      </c>
      <c r="U223" s="20">
        <v>16366.0</v>
      </c>
      <c r="V223" s="21" t="s">
        <v>183</v>
      </c>
      <c r="W223" s="18" t="s">
        <v>62</v>
      </c>
      <c r="X223" s="41" t="s">
        <v>82</v>
      </c>
      <c r="Y223" s="21" t="s">
        <v>796</v>
      </c>
      <c r="Z223" s="20" t="s">
        <v>804</v>
      </c>
      <c r="AA223" s="18">
        <v>82.0</v>
      </c>
      <c r="AB223" s="18">
        <v>11.0</v>
      </c>
      <c r="AC223" s="18">
        <v>71.0</v>
      </c>
      <c r="AD223" s="14">
        <v>396801.0</v>
      </c>
      <c r="AE223" s="14">
        <v>36426.0</v>
      </c>
      <c r="AF223" s="14">
        <v>360375.0</v>
      </c>
      <c r="AG223" s="22"/>
      <c r="AH223" s="22"/>
      <c r="AI223" s="22"/>
      <c r="AJ223" s="22"/>
      <c r="AK223" s="22"/>
      <c r="AL223" s="22"/>
      <c r="AM223" s="22"/>
      <c r="AN223" s="22"/>
      <c r="AO223" s="22"/>
      <c r="AP223" s="22"/>
    </row>
    <row r="224" hidden="1">
      <c r="A224" s="8">
        <v>46048.0</v>
      </c>
      <c r="B224" s="23">
        <v>0.46875</v>
      </c>
      <c r="C224" s="10" t="s">
        <v>58</v>
      </c>
      <c r="D224" s="11" t="s">
        <v>33</v>
      </c>
      <c r="E224" s="12" t="s">
        <v>71</v>
      </c>
      <c r="F224" s="12" t="s">
        <v>517</v>
      </c>
      <c r="G224" s="12" t="s">
        <v>805</v>
      </c>
      <c r="H224" s="12" t="s">
        <v>806</v>
      </c>
      <c r="I224" s="57" t="s">
        <v>807</v>
      </c>
      <c r="J224" s="14">
        <v>288500.0</v>
      </c>
      <c r="K224" s="14">
        <v>176373.0</v>
      </c>
      <c r="L224" s="15">
        <v>0.6113</v>
      </c>
      <c r="M224" s="16"/>
      <c r="N224" s="17"/>
      <c r="O224" s="18">
        <v>152.0</v>
      </c>
      <c r="P224" s="18"/>
      <c r="Q224" s="19">
        <v>9.0E-4</v>
      </c>
      <c r="R224" s="19"/>
      <c r="S224" s="20">
        <v>7.0</v>
      </c>
      <c r="T224" s="20">
        <v>13.0</v>
      </c>
      <c r="U224" s="20">
        <v>18347.0</v>
      </c>
      <c r="V224" s="21" t="s">
        <v>183</v>
      </c>
      <c r="W224" s="18" t="s">
        <v>62</v>
      </c>
      <c r="X224" s="41" t="s">
        <v>52</v>
      </c>
      <c r="Y224" s="21" t="s">
        <v>796</v>
      </c>
      <c r="Z224" s="20" t="s">
        <v>808</v>
      </c>
      <c r="AA224" s="18">
        <v>172.0</v>
      </c>
      <c r="AB224" s="18">
        <v>28.0</v>
      </c>
      <c r="AC224" s="18">
        <v>144.0</v>
      </c>
      <c r="AD224" s="14">
        <v>662759.0</v>
      </c>
      <c r="AE224" s="14">
        <v>85416.0</v>
      </c>
      <c r="AF224" s="14">
        <v>577343.0</v>
      </c>
      <c r="AG224" s="22"/>
      <c r="AH224" s="22"/>
      <c r="AI224" s="22"/>
      <c r="AJ224" s="22"/>
      <c r="AK224" s="22"/>
      <c r="AL224" s="22"/>
      <c r="AM224" s="22"/>
      <c r="AN224" s="22"/>
      <c r="AO224" s="22"/>
      <c r="AP224" s="22"/>
    </row>
    <row r="225" hidden="1">
      <c r="A225" s="8">
        <v>46048.0</v>
      </c>
      <c r="B225" s="23">
        <v>0.5208333333333334</v>
      </c>
      <c r="C225" s="10" t="s">
        <v>58</v>
      </c>
      <c r="D225" s="11" t="s">
        <v>33</v>
      </c>
      <c r="E225" s="12" t="s">
        <v>133</v>
      </c>
      <c r="F225" s="12" t="s">
        <v>570</v>
      </c>
      <c r="G225" s="12" t="s">
        <v>809</v>
      </c>
      <c r="H225" s="12" t="s">
        <v>755</v>
      </c>
      <c r="I225" s="57" t="s">
        <v>115</v>
      </c>
      <c r="J225" s="14">
        <v>36313.0</v>
      </c>
      <c r="K225" s="14">
        <v>18900.0</v>
      </c>
      <c r="L225" s="15">
        <v>0.5205</v>
      </c>
      <c r="M225" s="16"/>
      <c r="N225" s="17"/>
      <c r="O225" s="18">
        <v>0.0</v>
      </c>
      <c r="P225" s="18"/>
      <c r="Q225" s="19">
        <v>0.0</v>
      </c>
      <c r="R225" s="19"/>
      <c r="S225" s="20"/>
      <c r="T225" s="20"/>
      <c r="U225" s="20"/>
      <c r="V225" s="21" t="s">
        <v>315</v>
      </c>
      <c r="W225" s="18" t="s">
        <v>62</v>
      </c>
      <c r="X225" s="41" t="s">
        <v>137</v>
      </c>
      <c r="Y225" s="66" t="s">
        <v>810</v>
      </c>
      <c r="Z225" s="20" t="s">
        <v>811</v>
      </c>
      <c r="AA225" s="18">
        <v>1.0</v>
      </c>
      <c r="AB225" s="18"/>
      <c r="AC225" s="18">
        <v>1.0</v>
      </c>
      <c r="AD225" s="14">
        <v>10285.0</v>
      </c>
      <c r="AE225" s="52"/>
      <c r="AF225" s="14">
        <v>10285.0</v>
      </c>
      <c r="AG225" s="22"/>
      <c r="AH225" s="22"/>
      <c r="AI225" s="22"/>
      <c r="AJ225" s="22"/>
      <c r="AK225" s="22"/>
      <c r="AL225" s="22"/>
      <c r="AM225" s="22"/>
      <c r="AN225" s="22"/>
      <c r="AO225" s="22"/>
      <c r="AP225" s="22"/>
    </row>
    <row r="226" hidden="1">
      <c r="A226" s="8">
        <v>46048.0</v>
      </c>
      <c r="B226" s="23">
        <v>0.5208333333333334</v>
      </c>
      <c r="C226" s="10" t="s">
        <v>58</v>
      </c>
      <c r="D226" s="11" t="s">
        <v>33</v>
      </c>
      <c r="E226" s="12" t="s">
        <v>133</v>
      </c>
      <c r="F226" s="12" t="s">
        <v>570</v>
      </c>
      <c r="G226" s="12" t="s">
        <v>812</v>
      </c>
      <c r="H226" s="12" t="s">
        <v>752</v>
      </c>
      <c r="I226" s="57" t="s">
        <v>115</v>
      </c>
      <c r="J226" s="14">
        <v>2472.0</v>
      </c>
      <c r="K226" s="14">
        <v>981.0</v>
      </c>
      <c r="L226" s="15">
        <v>0.3968</v>
      </c>
      <c r="M226" s="16"/>
      <c r="N226" s="17"/>
      <c r="O226" s="18">
        <v>0.0</v>
      </c>
      <c r="P226" s="18"/>
      <c r="Q226" s="19">
        <v>0.0</v>
      </c>
      <c r="R226" s="19"/>
      <c r="S226" s="20"/>
      <c r="T226" s="20"/>
      <c r="U226" s="20"/>
      <c r="V226" s="21" t="s">
        <v>315</v>
      </c>
      <c r="W226" s="18" t="s">
        <v>62</v>
      </c>
      <c r="X226" s="41" t="s">
        <v>137</v>
      </c>
      <c r="Y226" s="66" t="s">
        <v>810</v>
      </c>
      <c r="Z226" s="20" t="s">
        <v>813</v>
      </c>
      <c r="AA226" s="18">
        <v>0.0</v>
      </c>
      <c r="AB226" s="18"/>
      <c r="AC226" s="18">
        <v>0.0</v>
      </c>
      <c r="AD226" s="14">
        <v>0.0</v>
      </c>
      <c r="AE226" s="52"/>
      <c r="AF226" s="14">
        <v>0.0</v>
      </c>
      <c r="AG226" s="22"/>
      <c r="AH226" s="22"/>
      <c r="AI226" s="22"/>
      <c r="AJ226" s="22"/>
      <c r="AK226" s="22"/>
      <c r="AL226" s="22"/>
      <c r="AM226" s="22"/>
      <c r="AN226" s="22"/>
      <c r="AO226" s="22"/>
      <c r="AP226" s="22"/>
    </row>
    <row r="227" hidden="1">
      <c r="A227" s="8">
        <v>46048.0</v>
      </c>
      <c r="B227" s="23">
        <v>0.5208333333333334</v>
      </c>
      <c r="C227" s="10" t="s">
        <v>58</v>
      </c>
      <c r="D227" s="11" t="s">
        <v>33</v>
      </c>
      <c r="E227" s="12" t="s">
        <v>133</v>
      </c>
      <c r="F227" s="12" t="s">
        <v>570</v>
      </c>
      <c r="G227" s="12" t="s">
        <v>814</v>
      </c>
      <c r="H227" s="12" t="s">
        <v>685</v>
      </c>
      <c r="I227" s="57" t="s">
        <v>115</v>
      </c>
      <c r="J227" s="14">
        <v>3956.0</v>
      </c>
      <c r="K227" s="14">
        <v>2146.0</v>
      </c>
      <c r="L227" s="15">
        <v>0.5425</v>
      </c>
      <c r="M227" s="16"/>
      <c r="N227" s="17"/>
      <c r="O227" s="18">
        <v>0.0</v>
      </c>
      <c r="P227" s="18"/>
      <c r="Q227" s="19">
        <v>0.0</v>
      </c>
      <c r="R227" s="19"/>
      <c r="S227" s="20"/>
      <c r="T227" s="20"/>
      <c r="U227" s="20"/>
      <c r="V227" s="21" t="s">
        <v>315</v>
      </c>
      <c r="W227" s="18" t="s">
        <v>62</v>
      </c>
      <c r="X227" s="41" t="s">
        <v>137</v>
      </c>
      <c r="Y227" s="66" t="s">
        <v>810</v>
      </c>
      <c r="Z227" s="20" t="s">
        <v>815</v>
      </c>
      <c r="AA227" s="18">
        <v>3.0</v>
      </c>
      <c r="AB227" s="18"/>
      <c r="AC227" s="18">
        <v>3.0</v>
      </c>
      <c r="AD227" s="14">
        <v>10786.0</v>
      </c>
      <c r="AE227" s="52"/>
      <c r="AF227" s="14">
        <v>10786.0</v>
      </c>
      <c r="AG227" s="22"/>
      <c r="AH227" s="22"/>
      <c r="AI227" s="22"/>
      <c r="AJ227" s="22"/>
      <c r="AK227" s="22"/>
      <c r="AL227" s="22"/>
      <c r="AM227" s="22"/>
      <c r="AN227" s="22"/>
      <c r="AO227" s="22"/>
      <c r="AP227" s="22"/>
    </row>
    <row r="228" hidden="1">
      <c r="A228" s="8">
        <v>46048.0</v>
      </c>
      <c r="B228" s="23">
        <v>0.5208333333333334</v>
      </c>
      <c r="C228" s="10" t="s">
        <v>58</v>
      </c>
      <c r="D228" s="11" t="s">
        <v>33</v>
      </c>
      <c r="E228" s="12" t="s">
        <v>133</v>
      </c>
      <c r="F228" s="12" t="s">
        <v>570</v>
      </c>
      <c r="G228" s="12" t="s">
        <v>816</v>
      </c>
      <c r="H228" s="12" t="s">
        <v>689</v>
      </c>
      <c r="I228" s="57" t="s">
        <v>115</v>
      </c>
      <c r="J228" s="14">
        <v>8440.0</v>
      </c>
      <c r="K228" s="14">
        <v>4471.0</v>
      </c>
      <c r="L228" s="15">
        <v>0.5297</v>
      </c>
      <c r="M228" s="16"/>
      <c r="N228" s="17"/>
      <c r="O228" s="18">
        <v>0.0</v>
      </c>
      <c r="P228" s="18"/>
      <c r="Q228" s="19">
        <v>0.0</v>
      </c>
      <c r="R228" s="19"/>
      <c r="S228" s="20"/>
      <c r="T228" s="20"/>
      <c r="U228" s="20"/>
      <c r="V228" s="21" t="s">
        <v>315</v>
      </c>
      <c r="W228" s="18" t="s">
        <v>62</v>
      </c>
      <c r="X228" s="41" t="s">
        <v>137</v>
      </c>
      <c r="Y228" s="66" t="s">
        <v>810</v>
      </c>
      <c r="Z228" s="20" t="s">
        <v>817</v>
      </c>
      <c r="AA228" s="18">
        <v>5.0</v>
      </c>
      <c r="AB228" s="18"/>
      <c r="AC228" s="18">
        <v>5.0</v>
      </c>
      <c r="AD228" s="14">
        <v>31311.0</v>
      </c>
      <c r="AE228" s="52"/>
      <c r="AF228" s="14">
        <v>31311.0</v>
      </c>
      <c r="AG228" s="22"/>
      <c r="AH228" s="22"/>
      <c r="AI228" s="22"/>
      <c r="AJ228" s="22"/>
      <c r="AK228" s="22"/>
      <c r="AL228" s="22"/>
      <c r="AM228" s="22"/>
      <c r="AN228" s="22"/>
      <c r="AO228" s="22"/>
      <c r="AP228" s="22"/>
    </row>
    <row r="229" hidden="1">
      <c r="A229" s="8">
        <v>46048.0</v>
      </c>
      <c r="B229" s="23">
        <v>0.5208333333333334</v>
      </c>
      <c r="C229" s="10" t="s">
        <v>58</v>
      </c>
      <c r="D229" s="11" t="s">
        <v>33</v>
      </c>
      <c r="E229" s="12" t="s">
        <v>133</v>
      </c>
      <c r="F229" s="12" t="s">
        <v>570</v>
      </c>
      <c r="G229" s="12" t="s">
        <v>818</v>
      </c>
      <c r="H229" s="12" t="s">
        <v>692</v>
      </c>
      <c r="I229" s="57" t="s">
        <v>115</v>
      </c>
      <c r="J229" s="14">
        <v>33127.0</v>
      </c>
      <c r="K229" s="14">
        <v>18129.0</v>
      </c>
      <c r="L229" s="15">
        <v>0.5473</v>
      </c>
      <c r="M229" s="16"/>
      <c r="N229" s="17"/>
      <c r="O229" s="18">
        <v>0.0</v>
      </c>
      <c r="P229" s="18"/>
      <c r="Q229" s="19">
        <v>0.0</v>
      </c>
      <c r="R229" s="19"/>
      <c r="S229" s="20"/>
      <c r="T229" s="20"/>
      <c r="U229" s="20"/>
      <c r="V229" s="21" t="s">
        <v>315</v>
      </c>
      <c r="W229" s="18" t="s">
        <v>62</v>
      </c>
      <c r="X229" s="41" t="s">
        <v>137</v>
      </c>
      <c r="Y229" s="66" t="s">
        <v>810</v>
      </c>
      <c r="Z229" s="20" t="s">
        <v>819</v>
      </c>
      <c r="AA229" s="18">
        <v>8.0</v>
      </c>
      <c r="AB229" s="18"/>
      <c r="AC229" s="18">
        <v>8.0</v>
      </c>
      <c r="AD229" s="14">
        <v>38954.0</v>
      </c>
      <c r="AE229" s="52"/>
      <c r="AF229" s="14">
        <v>38954.0</v>
      </c>
      <c r="AG229" s="22"/>
      <c r="AH229" s="22"/>
      <c r="AI229" s="22"/>
      <c r="AJ229" s="22"/>
      <c r="AK229" s="22"/>
      <c r="AL229" s="22"/>
      <c r="AM229" s="22"/>
      <c r="AN229" s="22"/>
      <c r="AO229" s="22"/>
      <c r="AP229" s="22"/>
    </row>
    <row r="230" hidden="1">
      <c r="A230" s="8">
        <v>46048.0</v>
      </c>
      <c r="B230" s="23">
        <v>0.5208333333333334</v>
      </c>
      <c r="C230" s="10" t="s">
        <v>58</v>
      </c>
      <c r="D230" s="11" t="s">
        <v>33</v>
      </c>
      <c r="E230" s="12" t="s">
        <v>133</v>
      </c>
      <c r="F230" s="12" t="s">
        <v>570</v>
      </c>
      <c r="G230" s="12" t="s">
        <v>820</v>
      </c>
      <c r="H230" s="12" t="s">
        <v>695</v>
      </c>
      <c r="I230" s="57" t="s">
        <v>115</v>
      </c>
      <c r="J230" s="14">
        <v>7179.0</v>
      </c>
      <c r="K230" s="14">
        <v>3963.0</v>
      </c>
      <c r="L230" s="15">
        <v>0.552</v>
      </c>
      <c r="M230" s="16"/>
      <c r="N230" s="17"/>
      <c r="O230" s="18">
        <v>0.0</v>
      </c>
      <c r="P230" s="18"/>
      <c r="Q230" s="19">
        <v>0.0</v>
      </c>
      <c r="R230" s="19"/>
      <c r="S230" s="20"/>
      <c r="T230" s="20"/>
      <c r="U230" s="20"/>
      <c r="V230" s="21" t="s">
        <v>315</v>
      </c>
      <c r="W230" s="18" t="s">
        <v>62</v>
      </c>
      <c r="X230" s="41" t="s">
        <v>137</v>
      </c>
      <c r="Y230" s="66" t="s">
        <v>810</v>
      </c>
      <c r="Z230" s="20" t="s">
        <v>821</v>
      </c>
      <c r="AA230" s="18">
        <v>6.0</v>
      </c>
      <c r="AB230" s="18"/>
      <c r="AC230" s="18">
        <v>6.0</v>
      </c>
      <c r="AD230" s="14">
        <v>32373.0</v>
      </c>
      <c r="AE230" s="52"/>
      <c r="AF230" s="14">
        <v>32373.0</v>
      </c>
      <c r="AG230" s="22"/>
      <c r="AH230" s="22"/>
      <c r="AI230" s="22"/>
      <c r="AJ230" s="22"/>
      <c r="AK230" s="22"/>
      <c r="AL230" s="22"/>
      <c r="AM230" s="22"/>
      <c r="AN230" s="22"/>
      <c r="AO230" s="22"/>
      <c r="AP230" s="22"/>
    </row>
    <row r="231" hidden="1">
      <c r="A231" s="8">
        <v>46048.0</v>
      </c>
      <c r="B231" s="23">
        <v>0.5208333333333334</v>
      </c>
      <c r="C231" s="10" t="s">
        <v>58</v>
      </c>
      <c r="D231" s="11" t="s">
        <v>33</v>
      </c>
      <c r="E231" s="12" t="s">
        <v>133</v>
      </c>
      <c r="F231" s="12" t="s">
        <v>570</v>
      </c>
      <c r="G231" s="12" t="s">
        <v>822</v>
      </c>
      <c r="H231" s="12" t="s">
        <v>749</v>
      </c>
      <c r="I231" s="57" t="s">
        <v>115</v>
      </c>
      <c r="J231" s="14">
        <v>160.0</v>
      </c>
      <c r="K231" s="14">
        <v>79.0</v>
      </c>
      <c r="L231" s="15">
        <v>0.4938</v>
      </c>
      <c r="M231" s="16"/>
      <c r="N231" s="17"/>
      <c r="O231" s="18">
        <v>0.0</v>
      </c>
      <c r="P231" s="18"/>
      <c r="Q231" s="19">
        <v>0.0</v>
      </c>
      <c r="R231" s="19"/>
      <c r="S231" s="20"/>
      <c r="T231" s="20"/>
      <c r="U231" s="20"/>
      <c r="V231" s="21" t="s">
        <v>315</v>
      </c>
      <c r="W231" s="18" t="s">
        <v>62</v>
      </c>
      <c r="X231" s="41" t="s">
        <v>137</v>
      </c>
      <c r="Y231" s="66" t="s">
        <v>810</v>
      </c>
      <c r="Z231" s="20" t="s">
        <v>823</v>
      </c>
      <c r="AA231" s="18">
        <v>0.0</v>
      </c>
      <c r="AB231" s="18"/>
      <c r="AC231" s="18">
        <v>0.0</v>
      </c>
      <c r="AD231" s="14">
        <v>0.0</v>
      </c>
      <c r="AE231" s="52"/>
      <c r="AF231" s="14">
        <v>0.0</v>
      </c>
      <c r="AG231" s="22"/>
      <c r="AH231" s="22"/>
      <c r="AI231" s="22"/>
      <c r="AJ231" s="22"/>
      <c r="AK231" s="22"/>
      <c r="AL231" s="22"/>
      <c r="AM231" s="22"/>
      <c r="AN231" s="22"/>
      <c r="AO231" s="22"/>
      <c r="AP231" s="22"/>
    </row>
    <row r="232" hidden="1">
      <c r="A232" s="8">
        <v>46048.0</v>
      </c>
      <c r="B232" s="23">
        <v>0.5208333333333334</v>
      </c>
      <c r="C232" s="10" t="s">
        <v>58</v>
      </c>
      <c r="D232" s="11" t="s">
        <v>33</v>
      </c>
      <c r="E232" s="12" t="s">
        <v>133</v>
      </c>
      <c r="F232" s="12" t="s">
        <v>570</v>
      </c>
      <c r="G232" s="12" t="s">
        <v>824</v>
      </c>
      <c r="H232" s="12" t="s">
        <v>746</v>
      </c>
      <c r="I232" s="57" t="s">
        <v>115</v>
      </c>
      <c r="J232" s="14">
        <v>120.0</v>
      </c>
      <c r="K232" s="14">
        <v>61.0</v>
      </c>
      <c r="L232" s="15">
        <v>0.5083</v>
      </c>
      <c r="M232" s="16"/>
      <c r="N232" s="17"/>
      <c r="O232" s="18">
        <v>0.0</v>
      </c>
      <c r="P232" s="18"/>
      <c r="Q232" s="19">
        <v>0.0</v>
      </c>
      <c r="R232" s="19"/>
      <c r="S232" s="20"/>
      <c r="T232" s="20"/>
      <c r="U232" s="20"/>
      <c r="V232" s="21" t="s">
        <v>315</v>
      </c>
      <c r="W232" s="18" t="s">
        <v>62</v>
      </c>
      <c r="X232" s="41" t="s">
        <v>137</v>
      </c>
      <c r="Y232" s="66" t="s">
        <v>810</v>
      </c>
      <c r="Z232" s="20" t="s">
        <v>825</v>
      </c>
      <c r="AA232" s="18">
        <v>0.0</v>
      </c>
      <c r="AB232" s="18"/>
      <c r="AC232" s="18">
        <v>0.0</v>
      </c>
      <c r="AD232" s="14">
        <v>0.0</v>
      </c>
      <c r="AE232" s="52"/>
      <c r="AF232" s="14">
        <v>0.0</v>
      </c>
      <c r="AG232" s="22"/>
      <c r="AH232" s="22"/>
      <c r="AI232" s="22"/>
      <c r="AJ232" s="22"/>
      <c r="AK232" s="22"/>
      <c r="AL232" s="22"/>
      <c r="AM232" s="22"/>
      <c r="AN232" s="22"/>
      <c r="AO232" s="22"/>
      <c r="AP232" s="22"/>
    </row>
    <row r="233" hidden="1">
      <c r="A233" s="8">
        <v>46048.0</v>
      </c>
      <c r="B233" s="23">
        <v>0.5208333333333334</v>
      </c>
      <c r="C233" s="10" t="s">
        <v>58</v>
      </c>
      <c r="D233" s="11" t="s">
        <v>33</v>
      </c>
      <c r="E233" s="12" t="s">
        <v>133</v>
      </c>
      <c r="F233" s="12" t="s">
        <v>570</v>
      </c>
      <c r="G233" s="12" t="s">
        <v>826</v>
      </c>
      <c r="H233" s="12" t="s">
        <v>698</v>
      </c>
      <c r="I233" s="57" t="s">
        <v>115</v>
      </c>
      <c r="J233" s="14">
        <v>4447.0</v>
      </c>
      <c r="K233" s="14">
        <v>3123.0</v>
      </c>
      <c r="L233" s="15">
        <v>0.7023</v>
      </c>
      <c r="M233" s="16"/>
      <c r="N233" s="17"/>
      <c r="O233" s="18">
        <v>0.0</v>
      </c>
      <c r="P233" s="18"/>
      <c r="Q233" s="19">
        <v>0.0</v>
      </c>
      <c r="R233" s="19"/>
      <c r="S233" s="20"/>
      <c r="T233" s="20"/>
      <c r="U233" s="20"/>
      <c r="V233" s="21" t="s">
        <v>315</v>
      </c>
      <c r="W233" s="18" t="s">
        <v>62</v>
      </c>
      <c r="X233" s="41" t="s">
        <v>137</v>
      </c>
      <c r="Y233" s="66" t="s">
        <v>810</v>
      </c>
      <c r="Z233" s="20" t="s">
        <v>827</v>
      </c>
      <c r="AA233" s="18">
        <v>9.0</v>
      </c>
      <c r="AB233" s="18"/>
      <c r="AC233" s="18">
        <v>9.0</v>
      </c>
      <c r="AD233" s="14">
        <v>50494.0</v>
      </c>
      <c r="AE233" s="52"/>
      <c r="AF233" s="14">
        <v>50494.0</v>
      </c>
      <c r="AG233" s="22"/>
      <c r="AH233" s="22"/>
      <c r="AI233" s="22"/>
      <c r="AJ233" s="22"/>
      <c r="AK233" s="22"/>
      <c r="AL233" s="22"/>
      <c r="AM233" s="22"/>
      <c r="AN233" s="22"/>
      <c r="AO233" s="22"/>
      <c r="AP233" s="22"/>
    </row>
    <row r="234" hidden="1">
      <c r="A234" s="8">
        <v>46048.0</v>
      </c>
      <c r="B234" s="23">
        <v>0.5208333333333334</v>
      </c>
      <c r="C234" s="10" t="s">
        <v>58</v>
      </c>
      <c r="D234" s="11" t="s">
        <v>33</v>
      </c>
      <c r="E234" s="12" t="s">
        <v>133</v>
      </c>
      <c r="F234" s="12" t="s">
        <v>570</v>
      </c>
      <c r="G234" s="12" t="s">
        <v>828</v>
      </c>
      <c r="H234" s="12" t="s">
        <v>743</v>
      </c>
      <c r="I234" s="57" t="s">
        <v>115</v>
      </c>
      <c r="J234" s="14">
        <v>528.0</v>
      </c>
      <c r="K234" s="14">
        <v>272.0</v>
      </c>
      <c r="L234" s="15">
        <v>0.5152</v>
      </c>
      <c r="M234" s="16"/>
      <c r="N234" s="17"/>
      <c r="O234" s="18">
        <v>0.0</v>
      </c>
      <c r="P234" s="18"/>
      <c r="Q234" s="19">
        <v>0.0</v>
      </c>
      <c r="R234" s="19"/>
      <c r="S234" s="20"/>
      <c r="T234" s="20"/>
      <c r="U234" s="20"/>
      <c r="V234" s="21" t="s">
        <v>315</v>
      </c>
      <c r="W234" s="18" t="s">
        <v>62</v>
      </c>
      <c r="X234" s="41" t="s">
        <v>137</v>
      </c>
      <c r="Y234" s="66" t="s">
        <v>810</v>
      </c>
      <c r="Z234" s="20" t="s">
        <v>829</v>
      </c>
      <c r="AA234" s="18">
        <v>3.0</v>
      </c>
      <c r="AB234" s="18"/>
      <c r="AC234" s="18">
        <v>3.0</v>
      </c>
      <c r="AD234" s="14">
        <v>10886.0</v>
      </c>
      <c r="AE234" s="52"/>
      <c r="AF234" s="14">
        <v>10886.0</v>
      </c>
      <c r="AG234" s="22"/>
      <c r="AH234" s="22"/>
      <c r="AI234" s="22"/>
      <c r="AJ234" s="22"/>
      <c r="AK234" s="22"/>
      <c r="AL234" s="22"/>
      <c r="AM234" s="22"/>
      <c r="AN234" s="22"/>
      <c r="AO234" s="22"/>
      <c r="AP234" s="22"/>
    </row>
    <row r="235" hidden="1">
      <c r="A235" s="8">
        <v>46048.0</v>
      </c>
      <c r="B235" s="23">
        <v>0.5208333333333334</v>
      </c>
      <c r="C235" s="10" t="s">
        <v>58</v>
      </c>
      <c r="D235" s="11" t="s">
        <v>33</v>
      </c>
      <c r="E235" s="12" t="s">
        <v>133</v>
      </c>
      <c r="F235" s="12" t="s">
        <v>570</v>
      </c>
      <c r="G235" s="12" t="s">
        <v>830</v>
      </c>
      <c r="H235" s="12" t="s">
        <v>740</v>
      </c>
      <c r="I235" s="57" t="s">
        <v>115</v>
      </c>
      <c r="J235" s="14">
        <v>3494.0</v>
      </c>
      <c r="K235" s="14">
        <v>2012.0</v>
      </c>
      <c r="L235" s="15">
        <v>0.5758</v>
      </c>
      <c r="M235" s="16"/>
      <c r="N235" s="17"/>
      <c r="O235" s="18">
        <v>0.0</v>
      </c>
      <c r="P235" s="18"/>
      <c r="Q235" s="19">
        <v>0.0</v>
      </c>
      <c r="R235" s="19"/>
      <c r="S235" s="20"/>
      <c r="T235" s="20"/>
      <c r="U235" s="20"/>
      <c r="V235" s="21" t="s">
        <v>315</v>
      </c>
      <c r="W235" s="18" t="s">
        <v>62</v>
      </c>
      <c r="X235" s="41" t="s">
        <v>137</v>
      </c>
      <c r="Y235" s="66" t="s">
        <v>810</v>
      </c>
      <c r="Z235" s="20" t="s">
        <v>831</v>
      </c>
      <c r="AA235" s="18">
        <v>4.0</v>
      </c>
      <c r="AB235" s="18"/>
      <c r="AC235" s="18">
        <v>4.0</v>
      </c>
      <c r="AD235" s="14">
        <v>21072.0</v>
      </c>
      <c r="AE235" s="52"/>
      <c r="AF235" s="14">
        <v>21072.0</v>
      </c>
      <c r="AG235" s="22"/>
      <c r="AH235" s="22"/>
      <c r="AI235" s="22"/>
      <c r="AJ235" s="22"/>
      <c r="AK235" s="22"/>
      <c r="AL235" s="22"/>
      <c r="AM235" s="22"/>
      <c r="AN235" s="22"/>
      <c r="AO235" s="22"/>
      <c r="AP235" s="22"/>
    </row>
    <row r="236" hidden="1">
      <c r="A236" s="8">
        <v>46048.0</v>
      </c>
      <c r="B236" s="23">
        <v>0.5208333333333334</v>
      </c>
      <c r="C236" s="10" t="s">
        <v>58</v>
      </c>
      <c r="D236" s="11" t="s">
        <v>33</v>
      </c>
      <c r="E236" s="12" t="s">
        <v>133</v>
      </c>
      <c r="F236" s="12" t="s">
        <v>570</v>
      </c>
      <c r="G236" s="12" t="s">
        <v>832</v>
      </c>
      <c r="H236" s="12" t="s">
        <v>701</v>
      </c>
      <c r="I236" s="57" t="s">
        <v>115</v>
      </c>
      <c r="J236" s="14">
        <v>20901.0</v>
      </c>
      <c r="K236" s="14">
        <v>10819.0</v>
      </c>
      <c r="L236" s="15">
        <v>0.5176</v>
      </c>
      <c r="M236" s="16"/>
      <c r="N236" s="17"/>
      <c r="O236" s="18">
        <v>0.0</v>
      </c>
      <c r="P236" s="18"/>
      <c r="Q236" s="19">
        <v>0.0</v>
      </c>
      <c r="R236" s="19"/>
      <c r="S236" s="20"/>
      <c r="T236" s="20"/>
      <c r="U236" s="20"/>
      <c r="V236" s="21" t="s">
        <v>315</v>
      </c>
      <c r="W236" s="18" t="s">
        <v>62</v>
      </c>
      <c r="X236" s="41" t="s">
        <v>137</v>
      </c>
      <c r="Y236" s="66" t="s">
        <v>810</v>
      </c>
      <c r="Z236" s="20" t="s">
        <v>833</v>
      </c>
      <c r="AA236" s="18">
        <v>12.0</v>
      </c>
      <c r="AB236" s="18"/>
      <c r="AC236" s="18">
        <v>12.0</v>
      </c>
      <c r="AD236" s="14">
        <v>57531.0</v>
      </c>
      <c r="AE236" s="52"/>
      <c r="AF236" s="14">
        <v>57531.0</v>
      </c>
      <c r="AG236" s="22"/>
      <c r="AH236" s="22"/>
      <c r="AI236" s="22"/>
      <c r="AJ236" s="22"/>
      <c r="AK236" s="22"/>
      <c r="AL236" s="22"/>
      <c r="AM236" s="22"/>
      <c r="AN236" s="22"/>
      <c r="AO236" s="22"/>
      <c r="AP236" s="22"/>
    </row>
    <row r="237" hidden="1">
      <c r="A237" s="8">
        <v>46048.0</v>
      </c>
      <c r="B237" s="23">
        <v>0.5208333333333334</v>
      </c>
      <c r="C237" s="10" t="s">
        <v>58</v>
      </c>
      <c r="D237" s="11" t="s">
        <v>33</v>
      </c>
      <c r="E237" s="12" t="s">
        <v>133</v>
      </c>
      <c r="F237" s="12" t="s">
        <v>570</v>
      </c>
      <c r="G237" s="12" t="s">
        <v>834</v>
      </c>
      <c r="H237" s="12" t="s">
        <v>704</v>
      </c>
      <c r="I237" s="57" t="s">
        <v>115</v>
      </c>
      <c r="J237" s="14">
        <v>4669.0</v>
      </c>
      <c r="K237" s="14">
        <v>2743.0</v>
      </c>
      <c r="L237" s="15">
        <v>0.5875</v>
      </c>
      <c r="M237" s="16"/>
      <c r="N237" s="17"/>
      <c r="O237" s="18">
        <v>0.0</v>
      </c>
      <c r="P237" s="18"/>
      <c r="Q237" s="19">
        <v>0.0</v>
      </c>
      <c r="R237" s="19"/>
      <c r="S237" s="20"/>
      <c r="T237" s="20"/>
      <c r="U237" s="20"/>
      <c r="V237" s="21" t="s">
        <v>315</v>
      </c>
      <c r="W237" s="18" t="s">
        <v>62</v>
      </c>
      <c r="X237" s="41" t="s">
        <v>137</v>
      </c>
      <c r="Y237" s="66" t="s">
        <v>810</v>
      </c>
      <c r="Z237" s="20" t="s">
        <v>835</v>
      </c>
      <c r="AA237" s="18">
        <v>2.0</v>
      </c>
      <c r="AB237" s="18"/>
      <c r="AC237" s="18">
        <v>2.0</v>
      </c>
      <c r="AD237" s="14">
        <v>7841.0</v>
      </c>
      <c r="AE237" s="52"/>
      <c r="AF237" s="14">
        <v>7841.0</v>
      </c>
      <c r="AG237" s="22"/>
      <c r="AH237" s="22"/>
      <c r="AI237" s="22"/>
      <c r="AJ237" s="22"/>
      <c r="AK237" s="22"/>
      <c r="AL237" s="22"/>
      <c r="AM237" s="22"/>
      <c r="AN237" s="22"/>
      <c r="AO237" s="22"/>
      <c r="AP237" s="22"/>
    </row>
    <row r="238" hidden="1">
      <c r="A238" s="8">
        <v>46048.0</v>
      </c>
      <c r="B238" s="23">
        <v>0.5208333333333334</v>
      </c>
      <c r="C238" s="10" t="s">
        <v>58</v>
      </c>
      <c r="D238" s="11" t="s">
        <v>33</v>
      </c>
      <c r="E238" s="12" t="s">
        <v>133</v>
      </c>
      <c r="F238" s="12" t="s">
        <v>570</v>
      </c>
      <c r="G238" s="12" t="s">
        <v>836</v>
      </c>
      <c r="H238" s="12" t="s">
        <v>707</v>
      </c>
      <c r="I238" s="57" t="s">
        <v>115</v>
      </c>
      <c r="J238" s="14">
        <v>25807.0</v>
      </c>
      <c r="K238" s="14">
        <v>14150.0</v>
      </c>
      <c r="L238" s="15">
        <v>0.5483</v>
      </c>
      <c r="M238" s="16"/>
      <c r="N238" s="17"/>
      <c r="O238" s="18">
        <v>0.0</v>
      </c>
      <c r="P238" s="18"/>
      <c r="Q238" s="19">
        <v>0.0</v>
      </c>
      <c r="R238" s="19"/>
      <c r="S238" s="20"/>
      <c r="T238" s="20"/>
      <c r="U238" s="20"/>
      <c r="V238" s="21" t="s">
        <v>315</v>
      </c>
      <c r="W238" s="18" t="s">
        <v>62</v>
      </c>
      <c r="X238" s="41" t="s">
        <v>137</v>
      </c>
      <c r="Y238" s="66" t="s">
        <v>810</v>
      </c>
      <c r="Z238" s="20" t="s">
        <v>837</v>
      </c>
      <c r="AA238" s="18">
        <v>7.0</v>
      </c>
      <c r="AB238" s="18"/>
      <c r="AC238" s="18">
        <v>7.0</v>
      </c>
      <c r="AD238" s="14">
        <v>49148.0</v>
      </c>
      <c r="AE238" s="52"/>
      <c r="AF238" s="14">
        <v>49148.0</v>
      </c>
      <c r="AG238" s="22"/>
      <c r="AH238" s="22"/>
      <c r="AI238" s="22"/>
      <c r="AJ238" s="22"/>
      <c r="AK238" s="22"/>
      <c r="AL238" s="22"/>
      <c r="AM238" s="22"/>
      <c r="AN238" s="22"/>
      <c r="AO238" s="22"/>
      <c r="AP238" s="22"/>
    </row>
    <row r="239" hidden="1">
      <c r="A239" s="8">
        <v>46048.0</v>
      </c>
      <c r="B239" s="23">
        <v>0.5208333333333334</v>
      </c>
      <c r="C239" s="10" t="s">
        <v>58</v>
      </c>
      <c r="D239" s="11" t="s">
        <v>33</v>
      </c>
      <c r="E239" s="12" t="s">
        <v>133</v>
      </c>
      <c r="F239" s="12" t="s">
        <v>570</v>
      </c>
      <c r="G239" s="12" t="s">
        <v>838</v>
      </c>
      <c r="H239" s="12" t="s">
        <v>737</v>
      </c>
      <c r="I239" s="57" t="s">
        <v>115</v>
      </c>
      <c r="J239" s="14">
        <v>6663.0</v>
      </c>
      <c r="K239" s="14">
        <v>3761.0</v>
      </c>
      <c r="L239" s="15">
        <v>0.5645</v>
      </c>
      <c r="M239" s="16"/>
      <c r="N239" s="17"/>
      <c r="O239" s="18">
        <v>0.0</v>
      </c>
      <c r="P239" s="18"/>
      <c r="Q239" s="19">
        <v>0.0</v>
      </c>
      <c r="R239" s="19"/>
      <c r="S239" s="20"/>
      <c r="T239" s="20"/>
      <c r="U239" s="20"/>
      <c r="V239" s="21" t="s">
        <v>315</v>
      </c>
      <c r="W239" s="18" t="s">
        <v>62</v>
      </c>
      <c r="X239" s="41" t="s">
        <v>137</v>
      </c>
      <c r="Y239" s="21" t="s">
        <v>810</v>
      </c>
      <c r="Z239" s="20" t="s">
        <v>839</v>
      </c>
      <c r="AA239" s="14">
        <v>2.0</v>
      </c>
      <c r="AB239" s="14"/>
      <c r="AC239" s="14">
        <v>2.0</v>
      </c>
      <c r="AD239" s="14">
        <v>18126.0</v>
      </c>
      <c r="AE239" s="14"/>
      <c r="AF239" s="14">
        <v>18126.0</v>
      </c>
      <c r="AG239" s="22"/>
      <c r="AH239" s="22"/>
      <c r="AI239" s="22"/>
      <c r="AJ239" s="22"/>
      <c r="AK239" s="22"/>
      <c r="AL239" s="22"/>
      <c r="AM239" s="22"/>
      <c r="AN239" s="22"/>
      <c r="AO239" s="22"/>
      <c r="AP239" s="22"/>
    </row>
    <row r="240" hidden="1">
      <c r="A240" s="8">
        <v>46048.0</v>
      </c>
      <c r="B240" s="23">
        <v>0.5208333333333334</v>
      </c>
      <c r="C240" s="10" t="s">
        <v>58</v>
      </c>
      <c r="D240" s="11" t="s">
        <v>33</v>
      </c>
      <c r="E240" s="12" t="s">
        <v>133</v>
      </c>
      <c r="F240" s="12" t="s">
        <v>570</v>
      </c>
      <c r="G240" s="12" t="s">
        <v>840</v>
      </c>
      <c r="H240" s="12" t="s">
        <v>713</v>
      </c>
      <c r="I240" s="57" t="s">
        <v>115</v>
      </c>
      <c r="J240" s="14">
        <v>26582.0</v>
      </c>
      <c r="K240" s="14">
        <v>14093.0</v>
      </c>
      <c r="L240" s="15">
        <v>0.5302</v>
      </c>
      <c r="M240" s="16"/>
      <c r="N240" s="17"/>
      <c r="O240" s="18">
        <v>0.0</v>
      </c>
      <c r="P240" s="18"/>
      <c r="Q240" s="19">
        <v>0.0</v>
      </c>
      <c r="R240" s="19"/>
      <c r="S240" s="20"/>
      <c r="T240" s="20"/>
      <c r="U240" s="20"/>
      <c r="V240" s="21" t="s">
        <v>315</v>
      </c>
      <c r="W240" s="18" t="s">
        <v>62</v>
      </c>
      <c r="X240" s="41" t="s">
        <v>137</v>
      </c>
      <c r="Y240" s="21" t="s">
        <v>810</v>
      </c>
      <c r="Z240" s="20" t="s">
        <v>841</v>
      </c>
      <c r="AA240" s="14">
        <v>5.0</v>
      </c>
      <c r="AB240" s="14"/>
      <c r="AC240" s="14">
        <v>5.0</v>
      </c>
      <c r="AD240" s="14">
        <v>32863.0</v>
      </c>
      <c r="AE240" s="14"/>
      <c r="AF240" s="14">
        <v>32863.0</v>
      </c>
      <c r="AG240" s="22"/>
      <c r="AH240" s="22"/>
      <c r="AI240" s="22"/>
      <c r="AJ240" s="22"/>
      <c r="AK240" s="22"/>
      <c r="AL240" s="22"/>
      <c r="AM240" s="22"/>
      <c r="AN240" s="22"/>
      <c r="AO240" s="22"/>
      <c r="AP240" s="22"/>
    </row>
    <row r="241" hidden="1">
      <c r="A241" s="8">
        <v>46048.0</v>
      </c>
      <c r="B241" s="23">
        <v>0.5208333333333334</v>
      </c>
      <c r="C241" s="10" t="s">
        <v>58</v>
      </c>
      <c r="D241" s="11" t="s">
        <v>33</v>
      </c>
      <c r="E241" s="12" t="s">
        <v>133</v>
      </c>
      <c r="F241" s="12" t="s">
        <v>570</v>
      </c>
      <c r="G241" s="12" t="s">
        <v>842</v>
      </c>
      <c r="H241" s="12" t="s">
        <v>710</v>
      </c>
      <c r="I241" s="57" t="s">
        <v>115</v>
      </c>
      <c r="J241" s="14">
        <v>6928.0</v>
      </c>
      <c r="K241" s="14">
        <v>3935.0</v>
      </c>
      <c r="L241" s="15">
        <v>0.568</v>
      </c>
      <c r="M241" s="16"/>
      <c r="N241" s="17"/>
      <c r="O241" s="18">
        <v>0.0</v>
      </c>
      <c r="P241" s="18"/>
      <c r="Q241" s="19">
        <v>0.0</v>
      </c>
      <c r="R241" s="19"/>
      <c r="S241" s="20"/>
      <c r="T241" s="20"/>
      <c r="U241" s="20"/>
      <c r="V241" s="21" t="s">
        <v>315</v>
      </c>
      <c r="W241" s="18" t="s">
        <v>62</v>
      </c>
      <c r="X241" s="41" t="s">
        <v>137</v>
      </c>
      <c r="Y241" s="21" t="s">
        <v>810</v>
      </c>
      <c r="Z241" s="20" t="s">
        <v>843</v>
      </c>
      <c r="AA241" s="14">
        <v>7.0</v>
      </c>
      <c r="AB241" s="14"/>
      <c r="AC241" s="14">
        <v>7.0</v>
      </c>
      <c r="AD241" s="14">
        <v>26522.0</v>
      </c>
      <c r="AE241" s="14"/>
      <c r="AF241" s="14">
        <v>26522.0</v>
      </c>
      <c r="AG241" s="22"/>
      <c r="AH241" s="22"/>
      <c r="AI241" s="22"/>
      <c r="AJ241" s="22"/>
      <c r="AK241" s="22"/>
      <c r="AL241" s="22"/>
      <c r="AM241" s="22"/>
      <c r="AN241" s="22"/>
      <c r="AO241" s="22"/>
      <c r="AP241" s="22"/>
    </row>
    <row r="242" hidden="1">
      <c r="A242" s="8">
        <v>46048.0</v>
      </c>
      <c r="B242" s="23">
        <v>0.5208333333333334</v>
      </c>
      <c r="C242" s="10" t="s">
        <v>58</v>
      </c>
      <c r="D242" s="11" t="s">
        <v>33</v>
      </c>
      <c r="E242" s="12" t="s">
        <v>133</v>
      </c>
      <c r="F242" s="12" t="s">
        <v>570</v>
      </c>
      <c r="G242" s="12" t="s">
        <v>844</v>
      </c>
      <c r="H242" s="12" t="s">
        <v>734</v>
      </c>
      <c r="I242" s="57" t="s">
        <v>115</v>
      </c>
      <c r="J242" s="14">
        <v>3214.0</v>
      </c>
      <c r="K242" s="14">
        <v>1980.0</v>
      </c>
      <c r="L242" s="15">
        <v>0.6161</v>
      </c>
      <c r="M242" s="16"/>
      <c r="N242" s="17"/>
      <c r="O242" s="18">
        <v>0.0</v>
      </c>
      <c r="P242" s="18"/>
      <c r="Q242" s="19">
        <v>0.0</v>
      </c>
      <c r="R242" s="19"/>
      <c r="S242" s="20"/>
      <c r="T242" s="20"/>
      <c r="U242" s="20"/>
      <c r="V242" s="21" t="s">
        <v>315</v>
      </c>
      <c r="W242" s="18" t="s">
        <v>62</v>
      </c>
      <c r="X242" s="41" t="s">
        <v>137</v>
      </c>
      <c r="Y242" s="21" t="s">
        <v>810</v>
      </c>
      <c r="Z242" s="20" t="s">
        <v>845</v>
      </c>
      <c r="AA242" s="14">
        <v>2.0</v>
      </c>
      <c r="AB242" s="14"/>
      <c r="AC242" s="14">
        <v>2.0</v>
      </c>
      <c r="AD242" s="14">
        <v>7991.0</v>
      </c>
      <c r="AE242" s="14"/>
      <c r="AF242" s="14">
        <v>7991.0</v>
      </c>
      <c r="AG242" s="22"/>
      <c r="AH242" s="22"/>
      <c r="AI242" s="22"/>
      <c r="AJ242" s="22"/>
      <c r="AK242" s="22"/>
      <c r="AL242" s="22"/>
      <c r="AM242" s="22"/>
      <c r="AN242" s="22"/>
      <c r="AO242" s="22"/>
      <c r="AP242" s="22"/>
    </row>
    <row r="243" hidden="1">
      <c r="A243" s="8">
        <v>46048.0</v>
      </c>
      <c r="B243" s="23">
        <v>0.5208333333333334</v>
      </c>
      <c r="C243" s="10" t="s">
        <v>58</v>
      </c>
      <c r="D243" s="11" t="s">
        <v>33</v>
      </c>
      <c r="E243" s="12" t="s">
        <v>133</v>
      </c>
      <c r="F243" s="12" t="s">
        <v>570</v>
      </c>
      <c r="G243" s="12" t="s">
        <v>846</v>
      </c>
      <c r="H243" s="12" t="s">
        <v>716</v>
      </c>
      <c r="I243" s="57" t="s">
        <v>115</v>
      </c>
      <c r="J243" s="14">
        <v>3371.0</v>
      </c>
      <c r="K243" s="14">
        <v>1990.0</v>
      </c>
      <c r="L243" s="15">
        <v>0.5903</v>
      </c>
      <c r="M243" s="16"/>
      <c r="N243" s="17"/>
      <c r="O243" s="18">
        <v>0.0</v>
      </c>
      <c r="P243" s="18"/>
      <c r="Q243" s="19">
        <v>0.0</v>
      </c>
      <c r="R243" s="19"/>
      <c r="S243" s="20"/>
      <c r="T243" s="20"/>
      <c r="U243" s="20"/>
      <c r="V243" s="21" t="s">
        <v>315</v>
      </c>
      <c r="W243" s="18" t="s">
        <v>62</v>
      </c>
      <c r="X243" s="41" t="s">
        <v>137</v>
      </c>
      <c r="Y243" s="21" t="s">
        <v>810</v>
      </c>
      <c r="Z243" s="20" t="s">
        <v>847</v>
      </c>
      <c r="AA243" s="14">
        <v>2.0</v>
      </c>
      <c r="AB243" s="14"/>
      <c r="AC243" s="14">
        <v>2.0</v>
      </c>
      <c r="AD243" s="14">
        <v>5891.0</v>
      </c>
      <c r="AE243" s="14"/>
      <c r="AF243" s="14">
        <v>5891.0</v>
      </c>
      <c r="AG243" s="22"/>
      <c r="AH243" s="22"/>
      <c r="AI243" s="22"/>
      <c r="AJ243" s="22"/>
      <c r="AK243" s="22"/>
      <c r="AL243" s="22"/>
      <c r="AM243" s="22"/>
      <c r="AN243" s="22"/>
      <c r="AO243" s="22"/>
      <c r="AP243" s="22"/>
    </row>
    <row r="244" hidden="1">
      <c r="A244" s="8">
        <v>46048.0</v>
      </c>
      <c r="B244" s="23">
        <v>0.5208333333333334</v>
      </c>
      <c r="C244" s="10" t="s">
        <v>58</v>
      </c>
      <c r="D244" s="11" t="s">
        <v>33</v>
      </c>
      <c r="E244" s="12" t="s">
        <v>133</v>
      </c>
      <c r="F244" s="12" t="s">
        <v>570</v>
      </c>
      <c r="G244" s="12" t="s">
        <v>848</v>
      </c>
      <c r="H244" s="12" t="s">
        <v>731</v>
      </c>
      <c r="I244" s="57" t="s">
        <v>115</v>
      </c>
      <c r="J244" s="14">
        <v>10454.0</v>
      </c>
      <c r="K244" s="14">
        <v>5262.0</v>
      </c>
      <c r="L244" s="15">
        <v>0.5033</v>
      </c>
      <c r="M244" s="16"/>
      <c r="N244" s="17"/>
      <c r="O244" s="18">
        <v>0.0</v>
      </c>
      <c r="P244" s="18"/>
      <c r="Q244" s="19">
        <v>0.0</v>
      </c>
      <c r="R244" s="19"/>
      <c r="S244" s="20"/>
      <c r="T244" s="20"/>
      <c r="U244" s="20"/>
      <c r="V244" s="21" t="s">
        <v>315</v>
      </c>
      <c r="W244" s="18" t="s">
        <v>62</v>
      </c>
      <c r="X244" s="41" t="s">
        <v>137</v>
      </c>
      <c r="Y244" s="21" t="s">
        <v>810</v>
      </c>
      <c r="Z244" s="20" t="s">
        <v>849</v>
      </c>
      <c r="AA244" s="14">
        <v>3.0</v>
      </c>
      <c r="AB244" s="14"/>
      <c r="AC244" s="14">
        <v>3.0</v>
      </c>
      <c r="AD244" s="14">
        <v>16836.0</v>
      </c>
      <c r="AE244" s="14"/>
      <c r="AF244" s="14">
        <v>16836.0</v>
      </c>
      <c r="AG244" s="22"/>
      <c r="AH244" s="22"/>
      <c r="AI244" s="22"/>
      <c r="AJ244" s="22"/>
      <c r="AK244" s="22"/>
      <c r="AL244" s="22"/>
      <c r="AM244" s="22"/>
      <c r="AN244" s="22"/>
      <c r="AO244" s="22"/>
      <c r="AP244" s="22"/>
    </row>
    <row r="245" hidden="1">
      <c r="A245" s="8">
        <v>46048.0</v>
      </c>
      <c r="B245" s="23">
        <v>0.5208333333333334</v>
      </c>
      <c r="C245" s="10" t="s">
        <v>58</v>
      </c>
      <c r="D245" s="11" t="s">
        <v>33</v>
      </c>
      <c r="E245" s="12" t="s">
        <v>133</v>
      </c>
      <c r="F245" s="12" t="s">
        <v>570</v>
      </c>
      <c r="G245" s="12" t="s">
        <v>850</v>
      </c>
      <c r="H245" s="12" t="s">
        <v>719</v>
      </c>
      <c r="I245" s="57" t="s">
        <v>115</v>
      </c>
      <c r="J245" s="14">
        <v>8756.0</v>
      </c>
      <c r="K245" s="14">
        <v>4973.0</v>
      </c>
      <c r="L245" s="15">
        <v>0.568</v>
      </c>
      <c r="M245" s="16"/>
      <c r="N245" s="17"/>
      <c r="O245" s="18">
        <v>0.0</v>
      </c>
      <c r="P245" s="18"/>
      <c r="Q245" s="19">
        <v>0.0</v>
      </c>
      <c r="R245" s="19"/>
      <c r="S245" s="20"/>
      <c r="T245" s="20"/>
      <c r="U245" s="20"/>
      <c r="V245" s="21" t="s">
        <v>315</v>
      </c>
      <c r="W245" s="18" t="s">
        <v>62</v>
      </c>
      <c r="X245" s="41" t="s">
        <v>137</v>
      </c>
      <c r="Y245" s="21" t="s">
        <v>810</v>
      </c>
      <c r="Z245" s="20" t="s">
        <v>851</v>
      </c>
      <c r="AA245" s="14">
        <v>3.0</v>
      </c>
      <c r="AB245" s="14"/>
      <c r="AC245" s="14">
        <v>3.0</v>
      </c>
      <c r="AD245" s="14">
        <v>8889.0</v>
      </c>
      <c r="AE245" s="14"/>
      <c r="AF245" s="14">
        <v>8889.0</v>
      </c>
      <c r="AG245" s="22"/>
      <c r="AH245" s="22"/>
      <c r="AI245" s="22"/>
      <c r="AJ245" s="22"/>
      <c r="AK245" s="22"/>
      <c r="AL245" s="22"/>
      <c r="AM245" s="22"/>
      <c r="AN245" s="22"/>
      <c r="AO245" s="22"/>
      <c r="AP245" s="22"/>
    </row>
    <row r="246" hidden="1">
      <c r="A246" s="8">
        <v>46048.0</v>
      </c>
      <c r="B246" s="23">
        <v>0.5208333333333334</v>
      </c>
      <c r="C246" s="10" t="s">
        <v>58</v>
      </c>
      <c r="D246" s="11" t="s">
        <v>33</v>
      </c>
      <c r="E246" s="12" t="s">
        <v>133</v>
      </c>
      <c r="F246" s="12" t="s">
        <v>570</v>
      </c>
      <c r="G246" s="12" t="s">
        <v>852</v>
      </c>
      <c r="H246" s="12" t="s">
        <v>728</v>
      </c>
      <c r="I246" s="57" t="s">
        <v>115</v>
      </c>
      <c r="J246" s="14">
        <v>384.0</v>
      </c>
      <c r="K246" s="14">
        <v>234.0</v>
      </c>
      <c r="L246" s="15">
        <v>0.6094</v>
      </c>
      <c r="M246" s="16"/>
      <c r="N246" s="17"/>
      <c r="O246" s="18">
        <v>0.0</v>
      </c>
      <c r="P246" s="18"/>
      <c r="Q246" s="19">
        <v>0.0</v>
      </c>
      <c r="R246" s="19"/>
      <c r="S246" s="20"/>
      <c r="T246" s="20"/>
      <c r="U246" s="20"/>
      <c r="V246" s="21" t="s">
        <v>315</v>
      </c>
      <c r="W246" s="18" t="s">
        <v>62</v>
      </c>
      <c r="X246" s="41" t="s">
        <v>137</v>
      </c>
      <c r="Y246" s="21" t="s">
        <v>810</v>
      </c>
      <c r="Z246" s="20" t="s">
        <v>853</v>
      </c>
      <c r="AA246" s="14">
        <v>0.0</v>
      </c>
      <c r="AB246" s="14"/>
      <c r="AC246" s="14">
        <v>0.0</v>
      </c>
      <c r="AD246" s="14">
        <v>0.0</v>
      </c>
      <c r="AE246" s="14"/>
      <c r="AF246" s="14">
        <v>0.0</v>
      </c>
      <c r="AG246" s="22"/>
      <c r="AH246" s="22"/>
      <c r="AI246" s="22"/>
      <c r="AJ246" s="22"/>
      <c r="AK246" s="22"/>
      <c r="AL246" s="22"/>
      <c r="AM246" s="22"/>
      <c r="AN246" s="22"/>
      <c r="AO246" s="22"/>
      <c r="AP246" s="22"/>
    </row>
    <row r="247" hidden="1">
      <c r="A247" s="8">
        <v>46048.0</v>
      </c>
      <c r="B247" s="23">
        <v>0.5208333333333334</v>
      </c>
      <c r="C247" s="10" t="s">
        <v>58</v>
      </c>
      <c r="D247" s="11" t="s">
        <v>33</v>
      </c>
      <c r="E247" s="12" t="s">
        <v>133</v>
      </c>
      <c r="F247" s="12" t="s">
        <v>570</v>
      </c>
      <c r="G247" s="12" t="s">
        <v>854</v>
      </c>
      <c r="H247" s="12" t="s">
        <v>722</v>
      </c>
      <c r="I247" s="57" t="s">
        <v>115</v>
      </c>
      <c r="J247" s="14">
        <v>13211.0</v>
      </c>
      <c r="K247" s="14">
        <v>7877.0</v>
      </c>
      <c r="L247" s="15">
        <v>0.5962</v>
      </c>
      <c r="M247" s="16"/>
      <c r="N247" s="17"/>
      <c r="O247" s="18">
        <v>0.0</v>
      </c>
      <c r="P247" s="18"/>
      <c r="Q247" s="19">
        <v>0.0</v>
      </c>
      <c r="R247" s="19"/>
      <c r="S247" s="20"/>
      <c r="T247" s="20"/>
      <c r="U247" s="20"/>
      <c r="V247" s="21" t="s">
        <v>315</v>
      </c>
      <c r="W247" s="18" t="s">
        <v>62</v>
      </c>
      <c r="X247" s="41" t="s">
        <v>137</v>
      </c>
      <c r="Y247" s="21" t="s">
        <v>810</v>
      </c>
      <c r="Z247" s="20" t="s">
        <v>855</v>
      </c>
      <c r="AA247" s="14">
        <v>1.0</v>
      </c>
      <c r="AB247" s="14"/>
      <c r="AC247" s="14">
        <v>1.0</v>
      </c>
      <c r="AD247" s="14">
        <v>1497.0</v>
      </c>
      <c r="AE247" s="14"/>
      <c r="AF247" s="14">
        <v>1497.0</v>
      </c>
      <c r="AG247" s="22"/>
      <c r="AH247" s="22"/>
      <c r="AI247" s="22"/>
      <c r="AJ247" s="22"/>
      <c r="AK247" s="22"/>
      <c r="AL247" s="22"/>
      <c r="AM247" s="22"/>
      <c r="AN247" s="22"/>
      <c r="AO247" s="22"/>
      <c r="AP247" s="22"/>
    </row>
    <row r="248" hidden="1">
      <c r="A248" s="8">
        <v>46048.0</v>
      </c>
      <c r="B248" s="23">
        <v>0.5208333333333334</v>
      </c>
      <c r="C248" s="10" t="s">
        <v>58</v>
      </c>
      <c r="D248" s="11" t="s">
        <v>33</v>
      </c>
      <c r="E248" s="12" t="s">
        <v>133</v>
      </c>
      <c r="F248" s="12" t="s">
        <v>570</v>
      </c>
      <c r="G248" s="12" t="s">
        <v>856</v>
      </c>
      <c r="H248" s="12" t="s">
        <v>725</v>
      </c>
      <c r="I248" s="57" t="s">
        <v>115</v>
      </c>
      <c r="J248" s="14">
        <v>3577.0</v>
      </c>
      <c r="K248" s="14">
        <v>1793.0</v>
      </c>
      <c r="L248" s="15">
        <v>0.5013</v>
      </c>
      <c r="M248" s="16"/>
      <c r="N248" s="17"/>
      <c r="O248" s="18">
        <v>0.0</v>
      </c>
      <c r="P248" s="18"/>
      <c r="Q248" s="19">
        <v>0.0</v>
      </c>
      <c r="R248" s="19"/>
      <c r="S248" s="20"/>
      <c r="T248" s="20"/>
      <c r="U248" s="20"/>
      <c r="V248" s="21" t="s">
        <v>315</v>
      </c>
      <c r="W248" s="18" t="s">
        <v>62</v>
      </c>
      <c r="X248" s="41" t="s">
        <v>137</v>
      </c>
      <c r="Y248" s="21" t="s">
        <v>810</v>
      </c>
      <c r="Z248" s="20" t="s">
        <v>857</v>
      </c>
      <c r="AA248" s="14">
        <v>1.0</v>
      </c>
      <c r="AB248" s="14"/>
      <c r="AC248" s="14">
        <v>1.0</v>
      </c>
      <c r="AD248" s="14">
        <v>4896.0</v>
      </c>
      <c r="AE248" s="14"/>
      <c r="AF248" s="14">
        <v>4896.0</v>
      </c>
      <c r="AG248" s="22"/>
      <c r="AH248" s="22"/>
      <c r="AI248" s="22"/>
      <c r="AJ248" s="22"/>
      <c r="AK248" s="22"/>
      <c r="AL248" s="22"/>
      <c r="AM248" s="22"/>
      <c r="AN248" s="22"/>
      <c r="AO248" s="22"/>
      <c r="AP248" s="22"/>
    </row>
    <row r="249" hidden="1">
      <c r="A249" s="8">
        <v>46048.0</v>
      </c>
      <c r="B249" s="23">
        <v>0.4166666666666667</v>
      </c>
      <c r="C249" s="10" t="s">
        <v>196</v>
      </c>
      <c r="D249" s="11" t="s">
        <v>33</v>
      </c>
      <c r="E249" s="12" t="s">
        <v>217</v>
      </c>
      <c r="F249" s="12" t="s">
        <v>570</v>
      </c>
      <c r="G249" s="12" t="s">
        <v>858</v>
      </c>
      <c r="H249" s="12" t="s">
        <v>572</v>
      </c>
      <c r="I249" s="57" t="s">
        <v>573</v>
      </c>
      <c r="J249" s="14">
        <v>653449.0</v>
      </c>
      <c r="K249" s="14">
        <v>335317.0</v>
      </c>
      <c r="L249" s="15">
        <v>0.5131</v>
      </c>
      <c r="M249" s="16">
        <v>42622.0</v>
      </c>
      <c r="N249" s="17">
        <v>0.127</v>
      </c>
      <c r="O249" s="18">
        <v>0.0</v>
      </c>
      <c r="P249" s="18"/>
      <c r="Q249" s="19">
        <v>0.0</v>
      </c>
      <c r="R249" s="19"/>
      <c r="S249" s="20"/>
      <c r="T249" s="20"/>
      <c r="U249" s="20"/>
      <c r="V249" s="21" t="s">
        <v>315</v>
      </c>
      <c r="W249" s="18" t="s">
        <v>95</v>
      </c>
      <c r="X249" s="41" t="s">
        <v>111</v>
      </c>
      <c r="Y249" s="41" t="s">
        <v>859</v>
      </c>
      <c r="Z249" s="20" t="s">
        <v>860</v>
      </c>
      <c r="AA249" s="14">
        <v>414.0</v>
      </c>
      <c r="AB249" s="14"/>
      <c r="AC249" s="14">
        <v>414.0</v>
      </c>
      <c r="AD249" s="14">
        <v>779571.0</v>
      </c>
      <c r="AE249" s="14"/>
      <c r="AF249" s="14">
        <v>779571.0</v>
      </c>
      <c r="AG249" s="22"/>
      <c r="AH249" s="22"/>
      <c r="AI249" s="22"/>
      <c r="AJ249" s="22"/>
      <c r="AK249" s="22"/>
      <c r="AL249" s="22"/>
      <c r="AM249" s="22"/>
      <c r="AN249" s="22"/>
      <c r="AO249" s="22"/>
      <c r="AP249" s="22"/>
    </row>
    <row r="250" hidden="1">
      <c r="A250" s="8">
        <v>46048.0</v>
      </c>
      <c r="B250" s="23">
        <v>0.5</v>
      </c>
      <c r="C250" s="10" t="s">
        <v>58</v>
      </c>
      <c r="D250" s="11" t="s">
        <v>59</v>
      </c>
      <c r="E250" s="12" t="s">
        <v>217</v>
      </c>
      <c r="F250" s="12" t="s">
        <v>570</v>
      </c>
      <c r="G250" s="12" t="s">
        <v>861</v>
      </c>
      <c r="H250" s="12" t="s">
        <v>572</v>
      </c>
      <c r="I250" s="57" t="s">
        <v>454</v>
      </c>
      <c r="J250" s="14">
        <v>321041.0</v>
      </c>
      <c r="K250" s="14">
        <v>213691.0</v>
      </c>
      <c r="L250" s="15">
        <v>0.6656</v>
      </c>
      <c r="M250" s="16"/>
      <c r="N250" s="17"/>
      <c r="O250" s="18">
        <v>272.0</v>
      </c>
      <c r="P250" s="18"/>
      <c r="Q250" s="19">
        <v>0.0013</v>
      </c>
      <c r="R250" s="19"/>
      <c r="S250" s="20"/>
      <c r="T250" s="20"/>
      <c r="U250" s="20"/>
      <c r="V250" s="21" t="s">
        <v>315</v>
      </c>
      <c r="W250" s="18" t="s">
        <v>62</v>
      </c>
      <c r="X250" s="41" t="s">
        <v>111</v>
      </c>
      <c r="Y250" s="41" t="s">
        <v>859</v>
      </c>
      <c r="Z250" s="20" t="s">
        <v>862</v>
      </c>
      <c r="AA250" s="14">
        <v>238.0</v>
      </c>
      <c r="AB250" s="14"/>
      <c r="AC250" s="14">
        <v>238.0</v>
      </c>
      <c r="AD250" s="14">
        <v>409413.0</v>
      </c>
      <c r="AE250" s="14"/>
      <c r="AF250" s="14">
        <v>409413.0</v>
      </c>
      <c r="AG250" s="22"/>
      <c r="AH250" s="22"/>
      <c r="AI250" s="22"/>
      <c r="AJ250" s="22"/>
      <c r="AK250" s="22"/>
      <c r="AL250" s="22"/>
      <c r="AM250" s="22"/>
      <c r="AN250" s="22"/>
      <c r="AO250" s="22"/>
      <c r="AP250" s="22"/>
    </row>
    <row r="251" hidden="1">
      <c r="A251" s="8">
        <v>46048.0</v>
      </c>
      <c r="B251" s="23">
        <v>0.4166666666666667</v>
      </c>
      <c r="C251" s="10" t="s">
        <v>196</v>
      </c>
      <c r="D251" s="11" t="s">
        <v>33</v>
      </c>
      <c r="E251" s="12" t="s">
        <v>217</v>
      </c>
      <c r="F251" s="12" t="s">
        <v>570</v>
      </c>
      <c r="G251" s="12" t="s">
        <v>863</v>
      </c>
      <c r="H251" s="12" t="s">
        <v>578</v>
      </c>
      <c r="I251" s="57" t="s">
        <v>579</v>
      </c>
      <c r="J251" s="14">
        <v>229239.0</v>
      </c>
      <c r="K251" s="14">
        <v>114026.0</v>
      </c>
      <c r="L251" s="15">
        <v>0.4974</v>
      </c>
      <c r="M251" s="16">
        <v>13908.0</v>
      </c>
      <c r="N251" s="17">
        <v>0.122</v>
      </c>
      <c r="O251" s="18">
        <v>0.0</v>
      </c>
      <c r="P251" s="18"/>
      <c r="Q251" s="19">
        <v>0.0</v>
      </c>
      <c r="R251" s="19"/>
      <c r="S251" s="20"/>
      <c r="T251" s="20"/>
      <c r="U251" s="20"/>
      <c r="V251" s="21" t="s">
        <v>315</v>
      </c>
      <c r="W251" s="18" t="s">
        <v>95</v>
      </c>
      <c r="X251" s="41" t="s">
        <v>111</v>
      </c>
      <c r="Y251" s="41" t="s">
        <v>859</v>
      </c>
      <c r="Z251" s="20" t="s">
        <v>864</v>
      </c>
      <c r="AA251" s="14">
        <v>100.0</v>
      </c>
      <c r="AB251" s="14"/>
      <c r="AC251" s="14">
        <v>100.0</v>
      </c>
      <c r="AD251" s="14">
        <v>228107.0</v>
      </c>
      <c r="AE251" s="14"/>
      <c r="AF251" s="14">
        <v>228107.0</v>
      </c>
      <c r="AG251" s="22"/>
      <c r="AH251" s="22"/>
      <c r="AI251" s="22"/>
      <c r="AJ251" s="22"/>
      <c r="AK251" s="22"/>
      <c r="AL251" s="22"/>
      <c r="AM251" s="22"/>
      <c r="AN251" s="22"/>
      <c r="AO251" s="22"/>
      <c r="AP251" s="22"/>
    </row>
    <row r="252" hidden="1">
      <c r="A252" s="8">
        <v>46048.0</v>
      </c>
      <c r="B252" s="23">
        <v>0.5</v>
      </c>
      <c r="C252" s="10" t="s">
        <v>58</v>
      </c>
      <c r="D252" s="11" t="s">
        <v>59</v>
      </c>
      <c r="E252" s="12" t="s">
        <v>217</v>
      </c>
      <c r="F252" s="12" t="s">
        <v>570</v>
      </c>
      <c r="G252" s="12" t="s">
        <v>865</v>
      </c>
      <c r="H252" s="12" t="s">
        <v>578</v>
      </c>
      <c r="I252" s="57" t="s">
        <v>454</v>
      </c>
      <c r="J252" s="14">
        <v>116555.0</v>
      </c>
      <c r="K252" s="14">
        <v>73102.0</v>
      </c>
      <c r="L252" s="15">
        <v>0.6272</v>
      </c>
      <c r="M252" s="16"/>
      <c r="N252" s="17"/>
      <c r="O252" s="18">
        <v>81.0</v>
      </c>
      <c r="P252" s="18"/>
      <c r="Q252" s="19">
        <v>0.0011</v>
      </c>
      <c r="R252" s="19"/>
      <c r="S252" s="20"/>
      <c r="T252" s="20"/>
      <c r="U252" s="20"/>
      <c r="V252" s="21" t="s">
        <v>315</v>
      </c>
      <c r="W252" s="18" t="s">
        <v>62</v>
      </c>
      <c r="X252" s="41" t="s">
        <v>111</v>
      </c>
      <c r="Y252" s="41" t="s">
        <v>859</v>
      </c>
      <c r="Z252" s="20" t="s">
        <v>866</v>
      </c>
      <c r="AA252" s="14">
        <v>62.0</v>
      </c>
      <c r="AB252" s="14"/>
      <c r="AC252" s="14">
        <v>62.0</v>
      </c>
      <c r="AD252" s="14">
        <v>137250.0</v>
      </c>
      <c r="AE252" s="14"/>
      <c r="AF252" s="14">
        <v>137250.0</v>
      </c>
      <c r="AG252" s="22"/>
      <c r="AH252" s="22"/>
      <c r="AI252" s="22"/>
      <c r="AJ252" s="22"/>
      <c r="AK252" s="22"/>
      <c r="AL252" s="22"/>
      <c r="AM252" s="22"/>
      <c r="AN252" s="22"/>
      <c r="AO252" s="22"/>
      <c r="AP252" s="22"/>
    </row>
    <row r="253" hidden="1">
      <c r="A253" s="8">
        <v>46049.0</v>
      </c>
      <c r="B253" s="23">
        <v>0.84375</v>
      </c>
      <c r="C253" s="10" t="s">
        <v>58</v>
      </c>
      <c r="D253" s="11" t="s">
        <v>33</v>
      </c>
      <c r="E253" s="12" t="s">
        <v>71</v>
      </c>
      <c r="F253" s="12" t="s">
        <v>867</v>
      </c>
      <c r="G253" s="12" t="s">
        <v>868</v>
      </c>
      <c r="H253" s="12" t="s">
        <v>869</v>
      </c>
      <c r="I253" s="57" t="s">
        <v>870</v>
      </c>
      <c r="J253" s="14">
        <v>40231.0</v>
      </c>
      <c r="K253" s="14">
        <v>21253.0</v>
      </c>
      <c r="L253" s="15">
        <v>0.5283</v>
      </c>
      <c r="M253" s="16"/>
      <c r="N253" s="17"/>
      <c r="O253" s="18">
        <v>58.0</v>
      </c>
      <c r="P253" s="18"/>
      <c r="Q253" s="19">
        <v>0.0027</v>
      </c>
      <c r="R253" s="19"/>
      <c r="S253" s="20">
        <v>3.0</v>
      </c>
      <c r="T253" s="20">
        <v>7.0</v>
      </c>
      <c r="U253" s="20">
        <v>16103.0</v>
      </c>
      <c r="V253" s="21" t="s">
        <v>335</v>
      </c>
      <c r="W253" s="18" t="s">
        <v>62</v>
      </c>
      <c r="X253" s="41" t="s">
        <v>87</v>
      </c>
      <c r="Y253" s="21" t="s">
        <v>871</v>
      </c>
      <c r="Z253" s="20" t="s">
        <v>872</v>
      </c>
      <c r="AA253" s="14">
        <v>18.0</v>
      </c>
      <c r="AB253" s="14">
        <v>18.0</v>
      </c>
      <c r="AC253" s="14"/>
      <c r="AD253" s="14">
        <v>48707.0</v>
      </c>
      <c r="AE253" s="14">
        <v>48707.0</v>
      </c>
      <c r="AF253" s="14"/>
      <c r="AG253" s="22"/>
      <c r="AH253" s="22"/>
      <c r="AI253" s="22"/>
      <c r="AJ253" s="22"/>
      <c r="AK253" s="22"/>
      <c r="AL253" s="22"/>
      <c r="AM253" s="22"/>
      <c r="AN253" s="22"/>
      <c r="AO253" s="22"/>
      <c r="AP253" s="22"/>
    </row>
    <row r="254" hidden="1">
      <c r="A254" s="8">
        <v>46049.0</v>
      </c>
      <c r="B254" s="23">
        <v>0.84375</v>
      </c>
      <c r="C254" s="10" t="s">
        <v>58</v>
      </c>
      <c r="D254" s="11" t="s">
        <v>33</v>
      </c>
      <c r="E254" s="12" t="s">
        <v>71</v>
      </c>
      <c r="F254" s="12" t="s">
        <v>867</v>
      </c>
      <c r="G254" s="12" t="s">
        <v>873</v>
      </c>
      <c r="H254" s="12" t="s">
        <v>874</v>
      </c>
      <c r="I254" s="57" t="s">
        <v>875</v>
      </c>
      <c r="J254" s="14">
        <v>13769.0</v>
      </c>
      <c r="K254" s="14">
        <v>6387.0</v>
      </c>
      <c r="L254" s="15">
        <v>0.4639</v>
      </c>
      <c r="M254" s="16"/>
      <c r="N254" s="17"/>
      <c r="O254" s="18">
        <v>35.0</v>
      </c>
      <c r="P254" s="18"/>
      <c r="Q254" s="19">
        <v>0.0055</v>
      </c>
      <c r="R254" s="19"/>
      <c r="S254" s="20">
        <v>0.0</v>
      </c>
      <c r="T254" s="20">
        <v>4.0</v>
      </c>
      <c r="U254" s="20">
        <v>0.0</v>
      </c>
      <c r="V254" s="21" t="s">
        <v>335</v>
      </c>
      <c r="W254" s="18" t="s">
        <v>62</v>
      </c>
      <c r="X254" s="41" t="s">
        <v>82</v>
      </c>
      <c r="Y254" s="21" t="s">
        <v>871</v>
      </c>
      <c r="Z254" s="20" t="s">
        <v>876</v>
      </c>
      <c r="AA254" s="14">
        <v>10.0</v>
      </c>
      <c r="AB254" s="14">
        <v>10.0</v>
      </c>
      <c r="AC254" s="14"/>
      <c r="AD254" s="14">
        <v>21940.0</v>
      </c>
      <c r="AE254" s="14">
        <v>21940.0</v>
      </c>
      <c r="AF254" s="14"/>
      <c r="AG254" s="22"/>
      <c r="AH254" s="22"/>
      <c r="AI254" s="22"/>
      <c r="AJ254" s="22"/>
      <c r="AK254" s="22"/>
      <c r="AL254" s="22"/>
      <c r="AM254" s="22"/>
      <c r="AN254" s="22"/>
      <c r="AO254" s="22"/>
      <c r="AP254" s="22"/>
    </row>
    <row r="255" hidden="1">
      <c r="A255" s="8">
        <v>46049.0</v>
      </c>
      <c r="B255" s="23">
        <v>0.84375</v>
      </c>
      <c r="C255" s="10" t="s">
        <v>58</v>
      </c>
      <c r="D255" s="11" t="s">
        <v>33</v>
      </c>
      <c r="E255" s="12" t="s">
        <v>71</v>
      </c>
      <c r="F255" s="12" t="s">
        <v>867</v>
      </c>
      <c r="G255" s="12" t="s">
        <v>877</v>
      </c>
      <c r="H255" s="12" t="s">
        <v>878</v>
      </c>
      <c r="I255" s="57" t="s">
        <v>879</v>
      </c>
      <c r="J255" s="14">
        <v>9385.0</v>
      </c>
      <c r="K255" s="14">
        <v>4826.0</v>
      </c>
      <c r="L255" s="15">
        <v>0.5142</v>
      </c>
      <c r="M255" s="16"/>
      <c r="N255" s="17"/>
      <c r="O255" s="18">
        <v>37.0</v>
      </c>
      <c r="P255" s="18"/>
      <c r="Q255" s="19">
        <v>0.0077</v>
      </c>
      <c r="R255" s="19"/>
      <c r="S255" s="20">
        <v>2.0</v>
      </c>
      <c r="T255" s="20">
        <v>12.0</v>
      </c>
      <c r="U255" s="20">
        <v>2676.0</v>
      </c>
      <c r="V255" s="21" t="s">
        <v>335</v>
      </c>
      <c r="W255" s="18" t="s">
        <v>62</v>
      </c>
      <c r="X255" s="41" t="s">
        <v>47</v>
      </c>
      <c r="Y255" s="21" t="s">
        <v>871</v>
      </c>
      <c r="Z255" s="20" t="s">
        <v>880</v>
      </c>
      <c r="AA255" s="14">
        <v>9.0</v>
      </c>
      <c r="AB255" s="14">
        <v>9.0</v>
      </c>
      <c r="AC255" s="14"/>
      <c r="AD255" s="14">
        <v>24417.0</v>
      </c>
      <c r="AE255" s="14">
        <v>24417.0</v>
      </c>
      <c r="AF255" s="14"/>
      <c r="AG255" s="22"/>
      <c r="AH255" s="22"/>
      <c r="AI255" s="22"/>
      <c r="AJ255" s="22"/>
      <c r="AK255" s="22"/>
      <c r="AL255" s="22"/>
      <c r="AM255" s="22"/>
      <c r="AN255" s="22"/>
      <c r="AO255" s="22"/>
      <c r="AP255" s="22"/>
    </row>
    <row r="256" hidden="1">
      <c r="A256" s="8">
        <v>46052.0</v>
      </c>
      <c r="B256" s="23">
        <v>0.75</v>
      </c>
      <c r="C256" s="10" t="s">
        <v>32</v>
      </c>
      <c r="D256" s="11" t="s">
        <v>33</v>
      </c>
      <c r="E256" s="12" t="s">
        <v>71</v>
      </c>
      <c r="F256" s="12" t="s">
        <v>881</v>
      </c>
      <c r="G256" s="12" t="s">
        <v>882</v>
      </c>
      <c r="H256" s="12" t="s">
        <v>883</v>
      </c>
      <c r="I256" s="57" t="s">
        <v>884</v>
      </c>
      <c r="J256" s="14">
        <v>54977.0</v>
      </c>
      <c r="K256" s="14">
        <v>17352.0</v>
      </c>
      <c r="L256" s="15">
        <v>0.3156</v>
      </c>
      <c r="M256" s="16">
        <v>7031.0</v>
      </c>
      <c r="N256" s="17">
        <v>0.4047</v>
      </c>
      <c r="O256" s="18">
        <v>392.0</v>
      </c>
      <c r="P256" s="18">
        <v>377.0</v>
      </c>
      <c r="Q256" s="19">
        <v>0.0217</v>
      </c>
      <c r="R256" s="19">
        <v>0.0537</v>
      </c>
      <c r="S256" s="20">
        <v>3.0</v>
      </c>
      <c r="T256" s="20"/>
      <c r="U256" s="20">
        <v>9441.0</v>
      </c>
      <c r="V256" s="21" t="s">
        <v>183</v>
      </c>
      <c r="W256" s="18" t="s">
        <v>76</v>
      </c>
      <c r="X256" s="41" t="s">
        <v>165</v>
      </c>
      <c r="Y256" s="41" t="s">
        <v>885</v>
      </c>
      <c r="Z256" s="20" t="s">
        <v>886</v>
      </c>
      <c r="AA256" s="14">
        <v>96.0</v>
      </c>
      <c r="AB256" s="14">
        <v>12.0</v>
      </c>
      <c r="AC256" s="14">
        <v>84.0</v>
      </c>
      <c r="AD256" s="63">
        <v>483893.0</v>
      </c>
      <c r="AE256" s="14">
        <v>37599.0</v>
      </c>
      <c r="AF256" s="63">
        <v>446294.0</v>
      </c>
      <c r="AG256" s="22"/>
      <c r="AH256" s="22"/>
      <c r="AI256" s="22"/>
      <c r="AJ256" s="22"/>
      <c r="AK256" s="22"/>
      <c r="AL256" s="22"/>
      <c r="AM256" s="22"/>
      <c r="AN256" s="22"/>
      <c r="AO256" s="22"/>
      <c r="AP256" s="22"/>
    </row>
    <row r="257" hidden="1">
      <c r="A257" s="8">
        <v>46052.0</v>
      </c>
      <c r="B257" s="23">
        <v>0.75</v>
      </c>
      <c r="C257" s="10" t="s">
        <v>32</v>
      </c>
      <c r="D257" s="11" t="s">
        <v>33</v>
      </c>
      <c r="E257" s="12" t="s">
        <v>71</v>
      </c>
      <c r="F257" s="12" t="s">
        <v>881</v>
      </c>
      <c r="G257" s="12" t="s">
        <v>887</v>
      </c>
      <c r="H257" s="12" t="s">
        <v>888</v>
      </c>
      <c r="I257" s="57" t="s">
        <v>889</v>
      </c>
      <c r="J257" s="14">
        <v>55416.0</v>
      </c>
      <c r="K257" s="14">
        <v>19345.0</v>
      </c>
      <c r="L257" s="15">
        <v>0.3491</v>
      </c>
      <c r="M257" s="16">
        <v>8060.0</v>
      </c>
      <c r="N257" s="17">
        <v>0.4163</v>
      </c>
      <c r="O257" s="18">
        <v>451.0</v>
      </c>
      <c r="P257" s="18">
        <v>428.0</v>
      </c>
      <c r="Q257" s="19">
        <v>0.0221</v>
      </c>
      <c r="R257" s="19">
        <v>0.0531</v>
      </c>
      <c r="S257" s="20">
        <v>1.0</v>
      </c>
      <c r="T257" s="20"/>
      <c r="U257" s="20">
        <v>1798.0</v>
      </c>
      <c r="V257" s="21" t="s">
        <v>183</v>
      </c>
      <c r="W257" s="18" t="s">
        <v>76</v>
      </c>
      <c r="X257" s="41" t="s">
        <v>52</v>
      </c>
      <c r="Y257" s="41" t="s">
        <v>885</v>
      </c>
      <c r="Z257" s="20" t="s">
        <v>890</v>
      </c>
      <c r="AA257" s="14">
        <v>81.0</v>
      </c>
      <c r="AB257" s="14">
        <v>15.0</v>
      </c>
      <c r="AC257" s="14">
        <v>66.0</v>
      </c>
      <c r="AD257" s="63">
        <v>337137.0</v>
      </c>
      <c r="AE257" s="14">
        <v>47544.0</v>
      </c>
      <c r="AF257" s="63">
        <v>289593.0</v>
      </c>
      <c r="AG257" s="22"/>
      <c r="AH257" s="22"/>
      <c r="AI257" s="22"/>
      <c r="AJ257" s="22"/>
      <c r="AK257" s="22"/>
      <c r="AL257" s="22"/>
      <c r="AM257" s="22"/>
      <c r="AN257" s="22"/>
      <c r="AO257" s="22"/>
      <c r="AP257" s="22"/>
    </row>
    <row r="258" hidden="1">
      <c r="A258" s="8">
        <v>46052.0</v>
      </c>
      <c r="B258" s="23">
        <v>0.8333333333333334</v>
      </c>
      <c r="C258" s="10" t="s">
        <v>58</v>
      </c>
      <c r="D258" s="11" t="s">
        <v>59</v>
      </c>
      <c r="E258" s="12" t="s">
        <v>71</v>
      </c>
      <c r="F258" s="12" t="s">
        <v>881</v>
      </c>
      <c r="G258" s="12" t="s">
        <v>891</v>
      </c>
      <c r="H258" s="12" t="s">
        <v>892</v>
      </c>
      <c r="I258" s="57" t="s">
        <v>454</v>
      </c>
      <c r="J258" s="14">
        <v>78927.0</v>
      </c>
      <c r="K258" s="14">
        <v>45409.0</v>
      </c>
      <c r="L258" s="15">
        <v>0.5753</v>
      </c>
      <c r="M258" s="16"/>
      <c r="N258" s="17"/>
      <c r="O258" s="18">
        <v>62.0</v>
      </c>
      <c r="P258" s="18"/>
      <c r="Q258" s="19">
        <v>0.0014</v>
      </c>
      <c r="R258" s="19"/>
      <c r="S258" s="20">
        <v>6.0</v>
      </c>
      <c r="T258" s="20">
        <v>14.0</v>
      </c>
      <c r="U258" s="20">
        <v>14842.0</v>
      </c>
      <c r="V258" s="21" t="s">
        <v>183</v>
      </c>
      <c r="W258" s="18" t="s">
        <v>62</v>
      </c>
      <c r="X258" s="41" t="s">
        <v>111</v>
      </c>
      <c r="Y258" s="41" t="s">
        <v>885</v>
      </c>
      <c r="Z258" s="20" t="s">
        <v>893</v>
      </c>
      <c r="AA258" s="14">
        <v>204.0</v>
      </c>
      <c r="AB258" s="14">
        <v>38.0</v>
      </c>
      <c r="AC258" s="63">
        <v>166.0</v>
      </c>
      <c r="AD258" s="63">
        <v>935617.0</v>
      </c>
      <c r="AE258" s="14">
        <v>124390.0</v>
      </c>
      <c r="AF258" s="63">
        <v>811227.0</v>
      </c>
      <c r="AG258" s="22"/>
      <c r="AH258" s="22"/>
      <c r="AI258" s="22"/>
      <c r="AJ258" s="22"/>
      <c r="AK258" s="22"/>
      <c r="AL258" s="22"/>
      <c r="AM258" s="22"/>
      <c r="AN258" s="22"/>
      <c r="AO258" s="22"/>
      <c r="AP258" s="22"/>
    </row>
    <row r="259" hidden="1">
      <c r="A259" s="8">
        <v>46052.0</v>
      </c>
      <c r="B259" s="23">
        <v>0.8333333333333334</v>
      </c>
      <c r="C259" s="10" t="s">
        <v>58</v>
      </c>
      <c r="D259" s="11" t="s">
        <v>59</v>
      </c>
      <c r="E259" s="12" t="s">
        <v>71</v>
      </c>
      <c r="F259" s="12" t="s">
        <v>881</v>
      </c>
      <c r="G259" s="12" t="s">
        <v>894</v>
      </c>
      <c r="H259" s="12" t="s">
        <v>883</v>
      </c>
      <c r="I259" s="57" t="s">
        <v>61</v>
      </c>
      <c r="J259" s="14">
        <v>36702.0</v>
      </c>
      <c r="K259" s="14">
        <v>20904.0</v>
      </c>
      <c r="L259" s="15">
        <v>0.5696</v>
      </c>
      <c r="M259" s="16"/>
      <c r="N259" s="17"/>
      <c r="O259" s="18">
        <v>18.0</v>
      </c>
      <c r="P259" s="18"/>
      <c r="Q259" s="19">
        <v>9.0E-4</v>
      </c>
      <c r="R259" s="19"/>
      <c r="S259" s="20">
        <v>4.0</v>
      </c>
      <c r="T259" s="20">
        <v>4.0</v>
      </c>
      <c r="U259" s="20">
        <v>24142.0</v>
      </c>
      <c r="V259" s="21" t="s">
        <v>183</v>
      </c>
      <c r="W259" s="18" t="s">
        <v>62</v>
      </c>
      <c r="X259" s="41" t="s">
        <v>165</v>
      </c>
      <c r="Y259" s="41" t="s">
        <v>885</v>
      </c>
      <c r="Z259" s="20" t="s">
        <v>895</v>
      </c>
      <c r="AA259" s="14">
        <v>98.0</v>
      </c>
      <c r="AB259" s="14">
        <v>20.0</v>
      </c>
      <c r="AC259" s="14">
        <v>78.0</v>
      </c>
      <c r="AD259" s="63">
        <v>454838.0</v>
      </c>
      <c r="AE259" s="14">
        <v>119396.0</v>
      </c>
      <c r="AF259" s="63">
        <v>335442.0</v>
      </c>
      <c r="AG259" s="22"/>
      <c r="AH259" s="22"/>
      <c r="AI259" s="22"/>
      <c r="AJ259" s="22"/>
      <c r="AK259" s="22"/>
      <c r="AL259" s="22"/>
      <c r="AM259" s="22"/>
      <c r="AN259" s="22"/>
      <c r="AO259" s="22"/>
      <c r="AP259" s="22"/>
    </row>
    <row r="260" hidden="1">
      <c r="A260" s="8">
        <v>46052.0</v>
      </c>
      <c r="B260" s="23">
        <v>0.8333333333333334</v>
      </c>
      <c r="C260" s="10" t="s">
        <v>58</v>
      </c>
      <c r="D260" s="11" t="s">
        <v>59</v>
      </c>
      <c r="E260" s="12" t="s">
        <v>71</v>
      </c>
      <c r="F260" s="12" t="s">
        <v>881</v>
      </c>
      <c r="G260" s="12" t="s">
        <v>896</v>
      </c>
      <c r="H260" s="12" t="s">
        <v>897</v>
      </c>
      <c r="I260" s="57" t="s">
        <v>454</v>
      </c>
      <c r="J260" s="14">
        <v>261216.0</v>
      </c>
      <c r="K260" s="14">
        <v>160272.0</v>
      </c>
      <c r="L260" s="15">
        <v>0.6136</v>
      </c>
      <c r="M260" s="16"/>
      <c r="N260" s="17"/>
      <c r="O260" s="18">
        <v>109.0</v>
      </c>
      <c r="P260" s="18"/>
      <c r="Q260" s="19">
        <v>7.0E-4</v>
      </c>
      <c r="R260" s="19"/>
      <c r="S260" s="20">
        <v>0.0</v>
      </c>
      <c r="T260" s="20">
        <v>10.0</v>
      </c>
      <c r="U260" s="20">
        <v>0.0</v>
      </c>
      <c r="V260" s="21" t="s">
        <v>183</v>
      </c>
      <c r="W260" s="18" t="s">
        <v>62</v>
      </c>
      <c r="X260" s="41" t="s">
        <v>87</v>
      </c>
      <c r="Y260" s="41" t="s">
        <v>885</v>
      </c>
      <c r="Z260" s="20" t="s">
        <v>898</v>
      </c>
      <c r="AA260" s="14">
        <v>281.0</v>
      </c>
      <c r="AB260" s="14">
        <v>30.0</v>
      </c>
      <c r="AC260" s="14">
        <v>251.0</v>
      </c>
      <c r="AD260" s="63">
        <v>1164530.0</v>
      </c>
      <c r="AE260" s="14">
        <v>79893.0</v>
      </c>
      <c r="AF260" s="63">
        <v>1084637.0</v>
      </c>
      <c r="AG260" s="22"/>
      <c r="AH260" s="22"/>
      <c r="AI260" s="22"/>
      <c r="AJ260" s="22"/>
      <c r="AK260" s="22"/>
      <c r="AL260" s="22"/>
      <c r="AM260" s="22"/>
      <c r="AN260" s="22"/>
      <c r="AO260" s="22"/>
      <c r="AP260" s="22"/>
    </row>
    <row r="261" hidden="1">
      <c r="A261" s="8">
        <v>46052.0</v>
      </c>
      <c r="B261" s="23">
        <v>0.8333333333333334</v>
      </c>
      <c r="C261" s="10" t="s">
        <v>58</v>
      </c>
      <c r="D261" s="11" t="s">
        <v>59</v>
      </c>
      <c r="E261" s="12" t="s">
        <v>71</v>
      </c>
      <c r="F261" s="12" t="s">
        <v>881</v>
      </c>
      <c r="G261" s="12" t="s">
        <v>899</v>
      </c>
      <c r="H261" s="12" t="s">
        <v>888</v>
      </c>
      <c r="I261" s="57" t="s">
        <v>61</v>
      </c>
      <c r="J261" s="14">
        <v>35060.0</v>
      </c>
      <c r="K261" s="14">
        <v>19728.0</v>
      </c>
      <c r="L261" s="15">
        <v>0.5627</v>
      </c>
      <c r="M261" s="16"/>
      <c r="N261" s="17"/>
      <c r="O261" s="18">
        <v>19.0</v>
      </c>
      <c r="P261" s="18"/>
      <c r="Q261" s="19">
        <v>0.001</v>
      </c>
      <c r="R261" s="19"/>
      <c r="S261" s="20">
        <v>0.0</v>
      </c>
      <c r="T261" s="20">
        <v>3.0</v>
      </c>
      <c r="U261" s="20">
        <v>0.0</v>
      </c>
      <c r="V261" s="21" t="s">
        <v>183</v>
      </c>
      <c r="W261" s="18" t="s">
        <v>62</v>
      </c>
      <c r="X261" s="41" t="s">
        <v>52</v>
      </c>
      <c r="Y261" s="41" t="s">
        <v>885</v>
      </c>
      <c r="Z261" s="20" t="s">
        <v>900</v>
      </c>
      <c r="AA261" s="14">
        <v>118.0</v>
      </c>
      <c r="AB261" s="14">
        <v>9.0</v>
      </c>
      <c r="AC261" s="14">
        <v>109.0</v>
      </c>
      <c r="AD261" s="63">
        <v>604424.0</v>
      </c>
      <c r="AE261" s="63">
        <v>31490.0</v>
      </c>
      <c r="AF261" s="63">
        <v>572934.0</v>
      </c>
      <c r="AG261" s="22"/>
      <c r="AH261" s="22"/>
      <c r="AI261" s="22"/>
      <c r="AJ261" s="22"/>
      <c r="AK261" s="22"/>
      <c r="AL261" s="22"/>
      <c r="AM261" s="22"/>
      <c r="AN261" s="22"/>
      <c r="AO261" s="22"/>
      <c r="AP261" s="22"/>
    </row>
    <row r="262" hidden="1">
      <c r="A262" s="8">
        <v>46052.0</v>
      </c>
      <c r="B262" s="23">
        <v>0.75</v>
      </c>
      <c r="C262" s="10" t="s">
        <v>196</v>
      </c>
      <c r="D262" s="11" t="s">
        <v>33</v>
      </c>
      <c r="E262" s="12" t="s">
        <v>71</v>
      </c>
      <c r="F262" s="12" t="s">
        <v>881</v>
      </c>
      <c r="G262" s="12" t="s">
        <v>901</v>
      </c>
      <c r="H262" s="12" t="s">
        <v>892</v>
      </c>
      <c r="I262" s="57" t="s">
        <v>902</v>
      </c>
      <c r="J262" s="14">
        <v>103321.0</v>
      </c>
      <c r="K262" s="14">
        <v>23543.0</v>
      </c>
      <c r="L262" s="15">
        <v>0.228</v>
      </c>
      <c r="M262" s="16">
        <v>3344.0</v>
      </c>
      <c r="N262" s="17">
        <v>0.142</v>
      </c>
      <c r="O262" s="18">
        <v>112.0</v>
      </c>
      <c r="P262" s="18"/>
      <c r="Q262" s="19">
        <v>0.005</v>
      </c>
      <c r="R262" s="19"/>
      <c r="S262" s="20">
        <v>4.0</v>
      </c>
      <c r="T262" s="20">
        <v>17.0</v>
      </c>
      <c r="U262" s="20">
        <v>22721.0</v>
      </c>
      <c r="V262" s="21" t="s">
        <v>183</v>
      </c>
      <c r="W262" s="18" t="s">
        <v>95</v>
      </c>
      <c r="X262" s="41" t="s">
        <v>111</v>
      </c>
      <c r="Y262" s="41" t="s">
        <v>885</v>
      </c>
      <c r="Z262" s="20" t="s">
        <v>903</v>
      </c>
      <c r="AA262" s="14">
        <v>114.0</v>
      </c>
      <c r="AB262" s="14">
        <v>22.0</v>
      </c>
      <c r="AC262" s="14">
        <v>92.0</v>
      </c>
      <c r="AD262" s="63">
        <v>484593.0</v>
      </c>
      <c r="AE262" s="63">
        <v>58729.0</v>
      </c>
      <c r="AF262" s="63">
        <v>425864.0</v>
      </c>
      <c r="AG262" s="22"/>
      <c r="AH262" s="22"/>
      <c r="AI262" s="22"/>
      <c r="AJ262" s="22"/>
      <c r="AK262" s="22"/>
      <c r="AL262" s="22"/>
      <c r="AM262" s="22"/>
      <c r="AN262" s="22"/>
      <c r="AO262" s="22"/>
      <c r="AP262" s="22"/>
    </row>
    <row r="263" hidden="1">
      <c r="A263" s="8">
        <v>46052.0</v>
      </c>
      <c r="B263" s="23">
        <v>0.75</v>
      </c>
      <c r="C263" s="10" t="s">
        <v>196</v>
      </c>
      <c r="D263" s="11" t="s">
        <v>33</v>
      </c>
      <c r="E263" s="12" t="s">
        <v>71</v>
      </c>
      <c r="F263" s="12" t="s">
        <v>881</v>
      </c>
      <c r="G263" s="12" t="s">
        <v>904</v>
      </c>
      <c r="H263" s="12" t="s">
        <v>897</v>
      </c>
      <c r="I263" s="57" t="s">
        <v>905</v>
      </c>
      <c r="J263" s="14">
        <v>354882.0</v>
      </c>
      <c r="K263" s="14">
        <v>90465.0</v>
      </c>
      <c r="L263" s="15">
        <v>0.255</v>
      </c>
      <c r="M263" s="16">
        <v>10652.0</v>
      </c>
      <c r="N263" s="17">
        <v>0.118</v>
      </c>
      <c r="O263" s="18">
        <v>331.0</v>
      </c>
      <c r="P263" s="18"/>
      <c r="Q263" s="19">
        <v>0.004</v>
      </c>
      <c r="R263" s="19"/>
      <c r="S263" s="20">
        <v>8.0</v>
      </c>
      <c r="T263" s="20">
        <v>20.0</v>
      </c>
      <c r="U263" s="20">
        <v>18134.0</v>
      </c>
      <c r="V263" s="21" t="s">
        <v>183</v>
      </c>
      <c r="W263" s="18" t="s">
        <v>95</v>
      </c>
      <c r="X263" s="41" t="s">
        <v>87</v>
      </c>
      <c r="Y263" s="41" t="s">
        <v>885</v>
      </c>
      <c r="Z263" s="20" t="s">
        <v>906</v>
      </c>
      <c r="AA263" s="14">
        <v>152.0</v>
      </c>
      <c r="AB263" s="14">
        <v>30.0</v>
      </c>
      <c r="AC263" s="63">
        <v>122.0</v>
      </c>
      <c r="AD263" s="63">
        <v>588824.0</v>
      </c>
      <c r="AE263" s="63">
        <v>67485.0</v>
      </c>
      <c r="AF263" s="63">
        <v>521339.0</v>
      </c>
      <c r="AG263" s="22"/>
      <c r="AH263" s="22"/>
      <c r="AI263" s="22"/>
      <c r="AJ263" s="22"/>
      <c r="AK263" s="22"/>
      <c r="AL263" s="22"/>
      <c r="AM263" s="22"/>
      <c r="AN263" s="22"/>
      <c r="AO263" s="22"/>
      <c r="AP263" s="22"/>
    </row>
    <row r="264" hidden="1">
      <c r="A264" s="8">
        <v>46053.0</v>
      </c>
      <c r="B264" s="23">
        <v>0.4166666666666667</v>
      </c>
      <c r="C264" s="10" t="s">
        <v>32</v>
      </c>
      <c r="D264" s="11" t="s">
        <v>33</v>
      </c>
      <c r="E264" s="12" t="s">
        <v>106</v>
      </c>
      <c r="F264" s="12" t="s">
        <v>907</v>
      </c>
      <c r="G264" s="12" t="s">
        <v>908</v>
      </c>
      <c r="H264" s="12" t="s">
        <v>428</v>
      </c>
      <c r="I264" s="57" t="s">
        <v>909</v>
      </c>
      <c r="J264" s="14">
        <v>51013.0</v>
      </c>
      <c r="K264" s="14">
        <v>7128.0</v>
      </c>
      <c r="L264" s="15">
        <v>0.1397</v>
      </c>
      <c r="M264" s="16">
        <v>4671.0</v>
      </c>
      <c r="N264" s="17">
        <v>0.6553</v>
      </c>
      <c r="O264" s="18">
        <v>293.0</v>
      </c>
      <c r="P264" s="18">
        <v>285.0</v>
      </c>
      <c r="Q264" s="19">
        <v>0.04</v>
      </c>
      <c r="R264" s="19">
        <v>0.061</v>
      </c>
      <c r="S264" s="20"/>
      <c r="T264" s="20"/>
      <c r="U264" s="20"/>
      <c r="V264" s="21" t="s">
        <v>183</v>
      </c>
      <c r="W264" s="18" t="s">
        <v>76</v>
      </c>
      <c r="X264" s="41" t="s">
        <v>47</v>
      </c>
      <c r="Y264" s="21" t="s">
        <v>910</v>
      </c>
      <c r="Z264" s="20" t="s">
        <v>911</v>
      </c>
      <c r="AA264" s="14">
        <v>10.0</v>
      </c>
      <c r="AB264" s="14">
        <v>0.0</v>
      </c>
      <c r="AC264" s="14">
        <v>10.0</v>
      </c>
      <c r="AD264" s="14">
        <v>101987.0</v>
      </c>
      <c r="AE264" s="14">
        <v>0.0</v>
      </c>
      <c r="AF264" s="14">
        <v>101987.0</v>
      </c>
      <c r="AG264" s="22"/>
      <c r="AH264" s="22"/>
      <c r="AI264" s="22"/>
      <c r="AJ264" s="22"/>
      <c r="AK264" s="22"/>
      <c r="AL264" s="22"/>
      <c r="AM264" s="22"/>
      <c r="AN264" s="22"/>
      <c r="AO264" s="22"/>
      <c r="AP264" s="22"/>
    </row>
    <row r="265" hidden="1">
      <c r="A265" s="8">
        <v>46053.0</v>
      </c>
      <c r="B265" s="23">
        <v>0.4166666666666667</v>
      </c>
      <c r="C265" s="10" t="s">
        <v>32</v>
      </c>
      <c r="D265" s="11" t="s">
        <v>33</v>
      </c>
      <c r="E265" s="12" t="s">
        <v>106</v>
      </c>
      <c r="F265" s="12" t="s">
        <v>907</v>
      </c>
      <c r="G265" s="12" t="s">
        <v>912</v>
      </c>
      <c r="H265" s="12" t="s">
        <v>114</v>
      </c>
      <c r="I265" s="57" t="s">
        <v>115</v>
      </c>
      <c r="J265" s="14">
        <v>211599.0</v>
      </c>
      <c r="K265" s="14">
        <v>86941.0</v>
      </c>
      <c r="L265" s="15">
        <v>0.4109</v>
      </c>
      <c r="M265" s="16">
        <v>29111.0</v>
      </c>
      <c r="N265" s="17">
        <v>0.3347</v>
      </c>
      <c r="O265" s="18">
        <v>2301.0</v>
      </c>
      <c r="P265" s="18">
        <v>2189.0</v>
      </c>
      <c r="Q265" s="19">
        <v>0.0252</v>
      </c>
      <c r="R265" s="19">
        <v>0.0752</v>
      </c>
      <c r="S265" s="20"/>
      <c r="T265" s="20"/>
      <c r="U265" s="20"/>
      <c r="V265" s="21" t="s">
        <v>183</v>
      </c>
      <c r="W265" s="18" t="s">
        <v>76</v>
      </c>
      <c r="X265" s="41" t="s">
        <v>41</v>
      </c>
      <c r="Y265" s="21" t="s">
        <v>910</v>
      </c>
      <c r="Z265" s="20" t="s">
        <v>913</v>
      </c>
      <c r="AA265" s="14">
        <v>66.0</v>
      </c>
      <c r="AB265" s="14">
        <v>0.0</v>
      </c>
      <c r="AC265" s="14">
        <v>66.0</v>
      </c>
      <c r="AD265" s="14">
        <v>759820.0</v>
      </c>
      <c r="AE265" s="14">
        <v>0.0</v>
      </c>
      <c r="AF265" s="14">
        <v>759820.0</v>
      </c>
      <c r="AG265" s="22"/>
      <c r="AH265" s="22"/>
      <c r="AI265" s="22"/>
      <c r="AJ265" s="22"/>
      <c r="AK265" s="22"/>
      <c r="AL265" s="22"/>
      <c r="AM265" s="22"/>
      <c r="AN265" s="22"/>
      <c r="AO265" s="22"/>
      <c r="AP265" s="22"/>
    </row>
    <row r="266" hidden="1">
      <c r="A266" s="8">
        <v>46053.0</v>
      </c>
      <c r="B266" s="23">
        <v>0.5</v>
      </c>
      <c r="C266" s="10" t="s">
        <v>58</v>
      </c>
      <c r="D266" s="11" t="s">
        <v>59</v>
      </c>
      <c r="E266" s="12" t="s">
        <v>106</v>
      </c>
      <c r="F266" s="12" t="s">
        <v>907</v>
      </c>
      <c r="G266" s="12" t="s">
        <v>914</v>
      </c>
      <c r="H266" s="12" t="s">
        <v>428</v>
      </c>
      <c r="I266" s="57" t="s">
        <v>61</v>
      </c>
      <c r="J266" s="14">
        <v>43363.0</v>
      </c>
      <c r="K266" s="14">
        <v>25039.0</v>
      </c>
      <c r="L266" s="15">
        <v>0.5774</v>
      </c>
      <c r="M266" s="16"/>
      <c r="N266" s="17"/>
      <c r="O266" s="18">
        <v>0.0</v>
      </c>
      <c r="P266" s="18"/>
      <c r="Q266" s="19">
        <v>0.0</v>
      </c>
      <c r="R266" s="19"/>
      <c r="S266" s="20"/>
      <c r="T266" s="20"/>
      <c r="U266" s="20"/>
      <c r="V266" s="21" t="s">
        <v>183</v>
      </c>
      <c r="W266" s="18" t="s">
        <v>62</v>
      </c>
      <c r="X266" s="41" t="s">
        <v>47</v>
      </c>
      <c r="Y266" s="21" t="s">
        <v>910</v>
      </c>
      <c r="Z266" s="20" t="s">
        <v>915</v>
      </c>
      <c r="AA266" s="14">
        <v>36.0</v>
      </c>
      <c r="AB266" s="14">
        <v>0.0</v>
      </c>
      <c r="AC266" s="14">
        <v>36.0</v>
      </c>
      <c r="AD266" s="14">
        <v>429756.0</v>
      </c>
      <c r="AE266" s="14">
        <v>0.0</v>
      </c>
      <c r="AF266" s="14">
        <v>429756.0</v>
      </c>
      <c r="AG266" s="22"/>
      <c r="AH266" s="22"/>
      <c r="AI266" s="22"/>
      <c r="AJ266" s="22"/>
      <c r="AK266" s="22"/>
      <c r="AL266" s="22"/>
      <c r="AM266" s="22"/>
      <c r="AN266" s="22"/>
      <c r="AO266" s="22"/>
      <c r="AP266" s="22"/>
    </row>
    <row r="267" hidden="1">
      <c r="A267" s="8">
        <v>46053.0</v>
      </c>
      <c r="B267" s="23">
        <v>0.5</v>
      </c>
      <c r="C267" s="10" t="s">
        <v>58</v>
      </c>
      <c r="D267" s="11" t="s">
        <v>59</v>
      </c>
      <c r="E267" s="12" t="s">
        <v>106</v>
      </c>
      <c r="F267" s="12" t="s">
        <v>907</v>
      </c>
      <c r="G267" s="12" t="s">
        <v>916</v>
      </c>
      <c r="H267" s="12" t="s">
        <v>114</v>
      </c>
      <c r="I267" s="57" t="s">
        <v>61</v>
      </c>
      <c r="J267" s="14">
        <v>120326.0</v>
      </c>
      <c r="K267" s="14">
        <v>66924.0</v>
      </c>
      <c r="L267" s="15">
        <v>0.5562</v>
      </c>
      <c r="M267" s="16"/>
      <c r="N267" s="17"/>
      <c r="O267" s="18">
        <v>0.0</v>
      </c>
      <c r="P267" s="18"/>
      <c r="Q267" s="19">
        <v>0.0</v>
      </c>
      <c r="R267" s="19"/>
      <c r="S267" s="20"/>
      <c r="T267" s="20"/>
      <c r="U267" s="20"/>
      <c r="V267" s="21" t="s">
        <v>183</v>
      </c>
      <c r="W267" s="18" t="s">
        <v>62</v>
      </c>
      <c r="X267" s="41" t="s">
        <v>41</v>
      </c>
      <c r="Y267" s="21" t="s">
        <v>910</v>
      </c>
      <c r="Z267" s="20" t="s">
        <v>917</v>
      </c>
      <c r="AA267" s="14">
        <v>63.0</v>
      </c>
      <c r="AB267" s="14">
        <v>0.0</v>
      </c>
      <c r="AC267" s="14">
        <v>63.0</v>
      </c>
      <c r="AD267" s="14">
        <v>828020.0</v>
      </c>
      <c r="AE267" s="14">
        <v>0.0</v>
      </c>
      <c r="AF267" s="14">
        <v>828020.0</v>
      </c>
      <c r="AG267" s="22"/>
      <c r="AH267" s="22"/>
      <c r="AI267" s="22"/>
      <c r="AJ267" s="22"/>
      <c r="AK267" s="22"/>
      <c r="AL267" s="22"/>
      <c r="AM267" s="22"/>
      <c r="AN267" s="22"/>
      <c r="AO267" s="22"/>
      <c r="AP267" s="22"/>
    </row>
    <row r="268" hidden="1">
      <c r="A268" s="8">
        <v>46054.0</v>
      </c>
      <c r="B268" s="23">
        <v>0.4166666666666667</v>
      </c>
      <c r="C268" s="10" t="s">
        <v>58</v>
      </c>
      <c r="D268" s="11" t="s">
        <v>33</v>
      </c>
      <c r="E268" s="12" t="s">
        <v>71</v>
      </c>
      <c r="F268" s="12" t="s">
        <v>881</v>
      </c>
      <c r="G268" s="12" t="s">
        <v>918</v>
      </c>
      <c r="H268" s="12" t="s">
        <v>892</v>
      </c>
      <c r="I268" s="57" t="s">
        <v>902</v>
      </c>
      <c r="J268" s="14">
        <v>99217.0</v>
      </c>
      <c r="K268" s="14">
        <v>56736.0</v>
      </c>
      <c r="L268" s="15">
        <v>0.5718</v>
      </c>
      <c r="M268" s="16"/>
      <c r="N268" s="17"/>
      <c r="O268" s="18">
        <v>40.0</v>
      </c>
      <c r="P268" s="18"/>
      <c r="Q268" s="19">
        <v>7.0E-4</v>
      </c>
      <c r="R268" s="19"/>
      <c r="S268" s="20">
        <v>4.0</v>
      </c>
      <c r="T268" s="20">
        <v>6.0</v>
      </c>
      <c r="U268" s="20">
        <v>5925.0</v>
      </c>
      <c r="V268" s="21" t="s">
        <v>183</v>
      </c>
      <c r="W268" s="18" t="s">
        <v>62</v>
      </c>
      <c r="X268" s="41" t="s">
        <v>111</v>
      </c>
      <c r="Y268" s="21" t="s">
        <v>919</v>
      </c>
      <c r="Z268" s="20" t="s">
        <v>920</v>
      </c>
      <c r="AA268" s="14">
        <v>1.0</v>
      </c>
      <c r="AB268" s="14">
        <v>1.0</v>
      </c>
      <c r="AC268" s="14">
        <v>0.0</v>
      </c>
      <c r="AD268" s="14">
        <v>899.0</v>
      </c>
      <c r="AE268" s="14">
        <v>0.0</v>
      </c>
      <c r="AF268" s="14">
        <v>899.0</v>
      </c>
      <c r="AG268" s="22"/>
      <c r="AH268" s="22"/>
      <c r="AI268" s="22"/>
      <c r="AJ268" s="22"/>
      <c r="AK268" s="22"/>
      <c r="AL268" s="22"/>
      <c r="AM268" s="22"/>
      <c r="AN268" s="22"/>
      <c r="AO268" s="22"/>
      <c r="AP268" s="22"/>
    </row>
    <row r="269" hidden="1">
      <c r="A269" s="8">
        <v>46054.0</v>
      </c>
      <c r="B269" s="23">
        <v>0.4166666666666667</v>
      </c>
      <c r="C269" s="10" t="s">
        <v>58</v>
      </c>
      <c r="D269" s="11" t="s">
        <v>33</v>
      </c>
      <c r="E269" s="12" t="s">
        <v>71</v>
      </c>
      <c r="F269" s="12" t="s">
        <v>881</v>
      </c>
      <c r="G269" s="12" t="s">
        <v>921</v>
      </c>
      <c r="H269" s="12" t="s">
        <v>922</v>
      </c>
      <c r="I269" s="57" t="s">
        <v>889</v>
      </c>
      <c r="J269" s="14">
        <v>55559.0</v>
      </c>
      <c r="K269" s="14">
        <v>32415.0</v>
      </c>
      <c r="L269" s="15">
        <v>0.5834</v>
      </c>
      <c r="M269" s="16"/>
      <c r="N269" s="17"/>
      <c r="O269" s="18">
        <v>19.0</v>
      </c>
      <c r="P269" s="18"/>
      <c r="Q269" s="19">
        <v>6.0E-4</v>
      </c>
      <c r="R269" s="19"/>
      <c r="S269" s="20">
        <v>0.0</v>
      </c>
      <c r="T269" s="20">
        <v>3.0</v>
      </c>
      <c r="U269" s="20">
        <v>0.0</v>
      </c>
      <c r="V269" s="21" t="s">
        <v>183</v>
      </c>
      <c r="W269" s="18" t="s">
        <v>62</v>
      </c>
      <c r="X269" s="41" t="s">
        <v>52</v>
      </c>
      <c r="Y269" s="21" t="s">
        <v>919</v>
      </c>
      <c r="Z269" s="20" t="s">
        <v>923</v>
      </c>
      <c r="AA269" s="14">
        <v>2.0</v>
      </c>
      <c r="AB269" s="14">
        <v>2.0</v>
      </c>
      <c r="AC269" s="14">
        <v>0.0</v>
      </c>
      <c r="AD269" s="14">
        <v>9295.0</v>
      </c>
      <c r="AE269" s="14">
        <v>0.0</v>
      </c>
      <c r="AF269" s="14">
        <v>9295.0</v>
      </c>
      <c r="AG269" s="22"/>
      <c r="AH269" s="22"/>
      <c r="AI269" s="22"/>
      <c r="AJ269" s="22"/>
      <c r="AK269" s="22"/>
      <c r="AL269" s="22"/>
      <c r="AM269" s="22"/>
      <c r="AN269" s="22"/>
      <c r="AO269" s="22"/>
      <c r="AP269" s="22"/>
    </row>
    <row r="270" hidden="1">
      <c r="A270" s="8">
        <v>46054.0</v>
      </c>
      <c r="B270" s="23">
        <v>0.4166666666666667</v>
      </c>
      <c r="C270" s="10" t="s">
        <v>58</v>
      </c>
      <c r="D270" s="11" t="s">
        <v>33</v>
      </c>
      <c r="E270" s="12" t="s">
        <v>71</v>
      </c>
      <c r="F270" s="12" t="s">
        <v>881</v>
      </c>
      <c r="G270" s="12" t="s">
        <v>924</v>
      </c>
      <c r="H270" s="12" t="s">
        <v>925</v>
      </c>
      <c r="I270" s="57" t="s">
        <v>884</v>
      </c>
      <c r="J270" s="14">
        <v>56112.0</v>
      </c>
      <c r="K270" s="14">
        <v>32676.0</v>
      </c>
      <c r="L270" s="15">
        <v>0.5823</v>
      </c>
      <c r="M270" s="16"/>
      <c r="N270" s="17"/>
      <c r="O270" s="18">
        <v>29.0</v>
      </c>
      <c r="P270" s="18"/>
      <c r="Q270" s="19">
        <v>9.0E-4</v>
      </c>
      <c r="R270" s="19"/>
      <c r="S270" s="20">
        <v>4.0</v>
      </c>
      <c r="T270" s="20">
        <v>4.0</v>
      </c>
      <c r="U270" s="20">
        <v>16096.0</v>
      </c>
      <c r="V270" s="21" t="s">
        <v>183</v>
      </c>
      <c r="W270" s="18" t="s">
        <v>62</v>
      </c>
      <c r="X270" s="41" t="s">
        <v>165</v>
      </c>
      <c r="Y270" s="21" t="s">
        <v>919</v>
      </c>
      <c r="Z270" s="20" t="s">
        <v>926</v>
      </c>
      <c r="AA270" s="14">
        <v>2.0</v>
      </c>
      <c r="AB270" s="14">
        <v>0.0</v>
      </c>
      <c r="AC270" s="14">
        <v>2.0</v>
      </c>
      <c r="AD270" s="14">
        <v>11395.0</v>
      </c>
      <c r="AE270" s="14">
        <v>0.0</v>
      </c>
      <c r="AF270" s="14">
        <v>11395.0</v>
      </c>
      <c r="AG270" s="22"/>
      <c r="AH270" s="22"/>
      <c r="AI270" s="22"/>
      <c r="AJ270" s="22"/>
      <c r="AK270" s="22"/>
      <c r="AL270" s="22"/>
      <c r="AM270" s="22"/>
      <c r="AN270" s="22"/>
      <c r="AO270" s="22"/>
      <c r="AP270" s="22"/>
    </row>
    <row r="271" hidden="1">
      <c r="A271" s="8">
        <v>46054.0</v>
      </c>
      <c r="B271" s="23">
        <v>0.4166666666666667</v>
      </c>
      <c r="C271" s="10" t="s">
        <v>58</v>
      </c>
      <c r="D271" s="11" t="s">
        <v>33</v>
      </c>
      <c r="E271" s="12" t="s">
        <v>71</v>
      </c>
      <c r="F271" s="12" t="s">
        <v>881</v>
      </c>
      <c r="G271" s="12" t="s">
        <v>927</v>
      </c>
      <c r="H271" s="12" t="s">
        <v>897</v>
      </c>
      <c r="I271" s="57" t="s">
        <v>905</v>
      </c>
      <c r="J271" s="14">
        <v>357522.0</v>
      </c>
      <c r="K271" s="14">
        <v>218898.0</v>
      </c>
      <c r="L271" s="15">
        <v>0.6123</v>
      </c>
      <c r="M271" s="16"/>
      <c r="N271" s="17"/>
      <c r="O271" s="18">
        <v>133.0</v>
      </c>
      <c r="P271" s="18"/>
      <c r="Q271" s="19">
        <v>6.0E-4</v>
      </c>
      <c r="R271" s="19"/>
      <c r="S271" s="20">
        <v>5.0</v>
      </c>
      <c r="T271" s="20">
        <v>16.0</v>
      </c>
      <c r="U271" s="20">
        <v>11440.0</v>
      </c>
      <c r="V271" s="21" t="s">
        <v>183</v>
      </c>
      <c r="W271" s="18" t="s">
        <v>62</v>
      </c>
      <c r="X271" s="41" t="s">
        <v>87</v>
      </c>
      <c r="Y271" s="21" t="s">
        <v>919</v>
      </c>
      <c r="Z271" s="20" t="s">
        <v>928</v>
      </c>
      <c r="AA271" s="14">
        <v>4.0</v>
      </c>
      <c r="AB271" s="14">
        <v>2.0</v>
      </c>
      <c r="AC271" s="14">
        <v>2.0</v>
      </c>
      <c r="AD271" s="14">
        <v>18588.0</v>
      </c>
      <c r="AE271" s="14">
        <v>11892.0</v>
      </c>
      <c r="AF271" s="14">
        <v>6696.0</v>
      </c>
      <c r="AG271" s="22"/>
      <c r="AH271" s="22"/>
      <c r="AI271" s="22"/>
      <c r="AJ271" s="22"/>
      <c r="AK271" s="22"/>
      <c r="AL271" s="22"/>
      <c r="AM271" s="22"/>
      <c r="AN271" s="22"/>
      <c r="AO271" s="22"/>
      <c r="AP271" s="22"/>
    </row>
    <row r="272" hidden="1">
      <c r="A272" s="8">
        <v>46057.0</v>
      </c>
      <c r="B272" s="23">
        <v>0.8333333333333334</v>
      </c>
      <c r="C272" s="10" t="s">
        <v>32</v>
      </c>
      <c r="D272" s="11" t="s">
        <v>33</v>
      </c>
      <c r="E272" s="12" t="s">
        <v>179</v>
      </c>
      <c r="F272" s="12" t="s">
        <v>929</v>
      </c>
      <c r="G272" s="12" t="s">
        <v>930</v>
      </c>
      <c r="H272" s="12" t="s">
        <v>931</v>
      </c>
      <c r="I272" s="57" t="s">
        <v>932</v>
      </c>
      <c r="J272" s="14">
        <v>12186.0</v>
      </c>
      <c r="K272" s="14">
        <v>5579.0</v>
      </c>
      <c r="L272" s="15">
        <v>0.4578</v>
      </c>
      <c r="M272" s="16">
        <v>1226.0</v>
      </c>
      <c r="N272" s="17">
        <v>0.2198</v>
      </c>
      <c r="O272" s="18">
        <v>170.0</v>
      </c>
      <c r="P272" s="18">
        <v>156.0</v>
      </c>
      <c r="Q272" s="19">
        <v>0.028</v>
      </c>
      <c r="R272" s="19">
        <v>0.1272</v>
      </c>
      <c r="S272" s="20">
        <v>5.0</v>
      </c>
      <c r="T272" s="20">
        <v>16.0</v>
      </c>
      <c r="U272" s="20">
        <v>16912.0</v>
      </c>
      <c r="V272" s="21" t="s">
        <v>335</v>
      </c>
      <c r="W272" s="18" t="s">
        <v>76</v>
      </c>
      <c r="X272" s="41" t="s">
        <v>52</v>
      </c>
      <c r="Y272" s="21" t="s">
        <v>933</v>
      </c>
      <c r="Z272" s="20" t="s">
        <v>934</v>
      </c>
      <c r="AA272" s="14">
        <v>30.0</v>
      </c>
      <c r="AB272" s="14">
        <v>30.0</v>
      </c>
      <c r="AC272" s="14"/>
      <c r="AD272" s="14">
        <v>133367.0</v>
      </c>
      <c r="AE272" s="14">
        <v>133367.0</v>
      </c>
      <c r="AF272" s="14"/>
      <c r="AG272" s="22"/>
      <c r="AH272" s="22"/>
      <c r="AI272" s="22"/>
      <c r="AJ272" s="22"/>
      <c r="AK272" s="22"/>
      <c r="AL272" s="22"/>
      <c r="AM272" s="22"/>
      <c r="AN272" s="22"/>
      <c r="AO272" s="22"/>
      <c r="AP272" s="22"/>
    </row>
    <row r="273" hidden="1">
      <c r="A273" s="8">
        <v>46057.0</v>
      </c>
      <c r="B273" s="23">
        <v>0.8402777777777778</v>
      </c>
      <c r="C273" s="10" t="s">
        <v>32</v>
      </c>
      <c r="D273" s="11" t="s">
        <v>33</v>
      </c>
      <c r="E273" s="12" t="s">
        <v>179</v>
      </c>
      <c r="F273" s="12" t="s">
        <v>929</v>
      </c>
      <c r="G273" s="12" t="s">
        <v>935</v>
      </c>
      <c r="H273" s="12" t="s">
        <v>936</v>
      </c>
      <c r="I273" s="57" t="s">
        <v>937</v>
      </c>
      <c r="J273" s="14">
        <v>3811.0</v>
      </c>
      <c r="K273" s="14">
        <v>1831.0</v>
      </c>
      <c r="L273" s="15">
        <v>0.4805</v>
      </c>
      <c r="M273" s="16">
        <v>437.0</v>
      </c>
      <c r="N273" s="17">
        <v>0.2387</v>
      </c>
      <c r="O273" s="18">
        <v>47.0</v>
      </c>
      <c r="P273" s="18">
        <v>44.0</v>
      </c>
      <c r="Q273" s="19">
        <v>0.024</v>
      </c>
      <c r="R273" s="19">
        <v>0.1007</v>
      </c>
      <c r="S273" s="20">
        <v>7.0</v>
      </c>
      <c r="T273" s="20">
        <v>9.0</v>
      </c>
      <c r="U273" s="20">
        <v>57885.0</v>
      </c>
      <c r="V273" s="21" t="s">
        <v>335</v>
      </c>
      <c r="W273" s="18" t="s">
        <v>76</v>
      </c>
      <c r="X273" s="41" t="s">
        <v>165</v>
      </c>
      <c r="Y273" s="21" t="s">
        <v>933</v>
      </c>
      <c r="Z273" s="20" t="s">
        <v>938</v>
      </c>
      <c r="AA273" s="14">
        <v>10.0</v>
      </c>
      <c r="AB273" s="14">
        <v>10.0</v>
      </c>
      <c r="AC273" s="14"/>
      <c r="AD273" s="14">
        <v>86337.0</v>
      </c>
      <c r="AE273" s="14">
        <v>86337.0</v>
      </c>
      <c r="AF273" s="14"/>
      <c r="AG273" s="22"/>
      <c r="AH273" s="22"/>
      <c r="AI273" s="22"/>
      <c r="AJ273" s="22"/>
      <c r="AK273" s="22"/>
      <c r="AL273" s="22"/>
      <c r="AM273" s="22"/>
      <c r="AN273" s="22"/>
      <c r="AO273" s="22"/>
      <c r="AP273" s="22"/>
    </row>
    <row r="274" hidden="1">
      <c r="A274" s="8">
        <v>46057.0</v>
      </c>
      <c r="B274" s="23">
        <v>0.8368055555555556</v>
      </c>
      <c r="C274" s="10" t="s">
        <v>32</v>
      </c>
      <c r="D274" s="11" t="s">
        <v>33</v>
      </c>
      <c r="E274" s="12" t="s">
        <v>179</v>
      </c>
      <c r="F274" s="12" t="s">
        <v>929</v>
      </c>
      <c r="G274" s="12" t="s">
        <v>939</v>
      </c>
      <c r="H274" s="12" t="s">
        <v>940</v>
      </c>
      <c r="I274" s="57" t="s">
        <v>941</v>
      </c>
      <c r="J274" s="14">
        <v>7273.0</v>
      </c>
      <c r="K274" s="14">
        <v>3742.0</v>
      </c>
      <c r="L274" s="15">
        <v>0.5145</v>
      </c>
      <c r="M274" s="16">
        <v>1008.0</v>
      </c>
      <c r="N274" s="17">
        <v>0.2694</v>
      </c>
      <c r="O274" s="18">
        <v>108.0</v>
      </c>
      <c r="P274" s="18">
        <v>96.0</v>
      </c>
      <c r="Q274" s="19">
        <v>0.0257</v>
      </c>
      <c r="R274" s="19">
        <v>0.0952</v>
      </c>
      <c r="S274" s="20">
        <v>5.0</v>
      </c>
      <c r="T274" s="20">
        <v>13.0</v>
      </c>
      <c r="U274" s="20">
        <v>19400.0</v>
      </c>
      <c r="V274" s="21" t="s">
        <v>335</v>
      </c>
      <c r="W274" s="18" t="s">
        <v>76</v>
      </c>
      <c r="X274" s="41" t="s">
        <v>47</v>
      </c>
      <c r="Y274" s="21" t="s">
        <v>933</v>
      </c>
      <c r="Z274" s="20" t="s">
        <v>942</v>
      </c>
      <c r="AA274" s="14">
        <v>14.0</v>
      </c>
      <c r="AB274" s="14">
        <v>14.0</v>
      </c>
      <c r="AC274" s="14"/>
      <c r="AD274" s="14">
        <v>50873.0</v>
      </c>
      <c r="AE274" s="14">
        <v>50873.0</v>
      </c>
      <c r="AF274" s="14"/>
      <c r="AG274" s="22"/>
      <c r="AH274" s="22"/>
      <c r="AI274" s="22"/>
      <c r="AJ274" s="22"/>
      <c r="AK274" s="22"/>
      <c r="AL274" s="22"/>
      <c r="AM274" s="22"/>
      <c r="AN274" s="22"/>
      <c r="AO274" s="22"/>
      <c r="AP274" s="22"/>
    </row>
    <row r="275" hidden="1">
      <c r="A275" s="8">
        <v>46057.0</v>
      </c>
      <c r="B275" s="23">
        <v>0.84375</v>
      </c>
      <c r="C275" s="10" t="s">
        <v>32</v>
      </c>
      <c r="D275" s="11" t="s">
        <v>33</v>
      </c>
      <c r="E275" s="12" t="s">
        <v>179</v>
      </c>
      <c r="F275" s="12" t="s">
        <v>929</v>
      </c>
      <c r="G275" s="12" t="s">
        <v>943</v>
      </c>
      <c r="H275" s="12" t="s">
        <v>944</v>
      </c>
      <c r="I275" s="57" t="s">
        <v>945</v>
      </c>
      <c r="J275" s="14">
        <v>23040.0</v>
      </c>
      <c r="K275" s="14">
        <v>9397.0</v>
      </c>
      <c r="L275" s="15">
        <v>0.4079</v>
      </c>
      <c r="M275" s="16">
        <v>1654.0</v>
      </c>
      <c r="N275" s="17">
        <v>0.176</v>
      </c>
      <c r="O275" s="18">
        <v>137.0</v>
      </c>
      <c r="P275" s="18">
        <v>129.0</v>
      </c>
      <c r="Q275" s="19">
        <v>0.0137</v>
      </c>
      <c r="R275" s="19">
        <v>0.078</v>
      </c>
      <c r="S275" s="20">
        <v>13.0</v>
      </c>
      <c r="T275" s="20">
        <v>37.0</v>
      </c>
      <c r="U275" s="20">
        <v>108409.0</v>
      </c>
      <c r="V275" s="21" t="s">
        <v>335</v>
      </c>
      <c r="W275" s="18" t="s">
        <v>76</v>
      </c>
      <c r="X275" s="41" t="s">
        <v>624</v>
      </c>
      <c r="Y275" s="21" t="s">
        <v>933</v>
      </c>
      <c r="Z275" s="20" t="s">
        <v>946</v>
      </c>
      <c r="AA275" s="14">
        <v>36.0</v>
      </c>
      <c r="AB275" s="14">
        <v>36.0</v>
      </c>
      <c r="AC275" s="14"/>
      <c r="AD275" s="14">
        <v>379803.0</v>
      </c>
      <c r="AE275" s="14">
        <v>379803.0</v>
      </c>
      <c r="AF275" s="14"/>
      <c r="AG275" s="22"/>
      <c r="AH275" s="22"/>
      <c r="AI275" s="22"/>
      <c r="AJ275" s="22"/>
      <c r="AK275" s="22"/>
      <c r="AL275" s="22"/>
      <c r="AM275" s="22"/>
      <c r="AN275" s="22"/>
      <c r="AO275" s="22"/>
      <c r="AP275" s="22"/>
    </row>
    <row r="276" hidden="1">
      <c r="A276" s="8">
        <v>46057.0</v>
      </c>
      <c r="B276" s="23">
        <v>0.8472222222222222</v>
      </c>
      <c r="C276" s="10" t="s">
        <v>32</v>
      </c>
      <c r="D276" s="11" t="s">
        <v>33</v>
      </c>
      <c r="E276" s="12" t="s">
        <v>179</v>
      </c>
      <c r="F276" s="12" t="s">
        <v>929</v>
      </c>
      <c r="G276" s="12" t="s">
        <v>947</v>
      </c>
      <c r="H276" s="12" t="s">
        <v>948</v>
      </c>
      <c r="I276" s="57" t="s">
        <v>949</v>
      </c>
      <c r="J276" s="14">
        <v>32517.0</v>
      </c>
      <c r="K276" s="14">
        <v>14044.0</v>
      </c>
      <c r="L276" s="15">
        <v>0.4319</v>
      </c>
      <c r="M276" s="16">
        <v>3027.0</v>
      </c>
      <c r="N276" s="17">
        <v>0.2156</v>
      </c>
      <c r="O276" s="18">
        <v>286.0</v>
      </c>
      <c r="P276" s="18">
        <v>275.0</v>
      </c>
      <c r="Q276" s="19">
        <v>0.0196</v>
      </c>
      <c r="R276" s="19">
        <v>0.0908</v>
      </c>
      <c r="S276" s="20">
        <v>7.0</v>
      </c>
      <c r="T276" s="20">
        <v>17.0</v>
      </c>
      <c r="U276" s="20">
        <v>30059.0</v>
      </c>
      <c r="V276" s="21" t="s">
        <v>335</v>
      </c>
      <c r="W276" s="18" t="s">
        <v>76</v>
      </c>
      <c r="X276" s="41" t="s">
        <v>149</v>
      </c>
      <c r="Y276" s="21" t="s">
        <v>933</v>
      </c>
      <c r="Z276" s="20" t="s">
        <v>950</v>
      </c>
      <c r="AA276" s="14">
        <v>45.0</v>
      </c>
      <c r="AB276" s="14">
        <v>45.0</v>
      </c>
      <c r="AC276" s="14"/>
      <c r="AD276" s="14">
        <v>197010.0</v>
      </c>
      <c r="AE276" s="14">
        <v>197010.0</v>
      </c>
      <c r="AF276" s="14"/>
      <c r="AG276" s="22"/>
      <c r="AH276" s="22"/>
      <c r="AI276" s="22"/>
      <c r="AJ276" s="22"/>
      <c r="AK276" s="22"/>
      <c r="AL276" s="22"/>
      <c r="AM276" s="22"/>
      <c r="AN276" s="22"/>
      <c r="AO276" s="22"/>
      <c r="AP276" s="22"/>
    </row>
    <row r="277" hidden="1">
      <c r="A277" s="8">
        <v>46057.0</v>
      </c>
      <c r="B277" s="23">
        <v>0.8506944444444444</v>
      </c>
      <c r="C277" s="10" t="s">
        <v>32</v>
      </c>
      <c r="D277" s="11" t="s">
        <v>33</v>
      </c>
      <c r="E277" s="12" t="s">
        <v>179</v>
      </c>
      <c r="F277" s="12" t="s">
        <v>929</v>
      </c>
      <c r="G277" s="12" t="s">
        <v>951</v>
      </c>
      <c r="H277" s="12" t="s">
        <v>952</v>
      </c>
      <c r="I277" s="57" t="s">
        <v>953</v>
      </c>
      <c r="J277" s="14">
        <v>136328.0</v>
      </c>
      <c r="K277" s="14">
        <v>67364.0</v>
      </c>
      <c r="L277" s="15">
        <v>0.4941</v>
      </c>
      <c r="M277" s="16">
        <v>15845.0</v>
      </c>
      <c r="N277" s="17">
        <v>0.2352</v>
      </c>
      <c r="O277" s="18">
        <v>1095.0</v>
      </c>
      <c r="P277" s="18">
        <v>1034.0</v>
      </c>
      <c r="Q277" s="19">
        <v>0.0153</v>
      </c>
      <c r="R277" s="19">
        <v>0.0653</v>
      </c>
      <c r="S277" s="20">
        <v>20.0</v>
      </c>
      <c r="T277" s="20">
        <v>56.0</v>
      </c>
      <c r="U277" s="20">
        <v>77126.0</v>
      </c>
      <c r="V277" s="21" t="s">
        <v>335</v>
      </c>
      <c r="W277" s="18" t="s">
        <v>76</v>
      </c>
      <c r="X277" s="41" t="s">
        <v>111</v>
      </c>
      <c r="Y277" s="21" t="s">
        <v>933</v>
      </c>
      <c r="Z277" s="20" t="s">
        <v>954</v>
      </c>
      <c r="AA277" s="14">
        <v>90.0</v>
      </c>
      <c r="AB277" s="14">
        <v>90.0</v>
      </c>
      <c r="AC277" s="14"/>
      <c r="AD277" s="14">
        <v>329304.0</v>
      </c>
      <c r="AE277" s="14">
        <v>329304.0</v>
      </c>
      <c r="AF277" s="14"/>
      <c r="AG277" s="22"/>
      <c r="AH277" s="22"/>
      <c r="AI277" s="22"/>
      <c r="AJ277" s="22"/>
      <c r="AK277" s="22"/>
      <c r="AL277" s="22"/>
      <c r="AM277" s="22"/>
      <c r="AN277" s="22"/>
      <c r="AO277" s="22"/>
      <c r="AP277" s="22"/>
    </row>
    <row r="278" hidden="1">
      <c r="A278" s="8">
        <v>46058.0</v>
      </c>
      <c r="B278" s="23">
        <v>0.7916666666666666</v>
      </c>
      <c r="C278" s="10" t="s">
        <v>32</v>
      </c>
      <c r="D278" s="11" t="s">
        <v>33</v>
      </c>
      <c r="E278" s="12" t="s">
        <v>71</v>
      </c>
      <c r="F278" s="12" t="s">
        <v>955</v>
      </c>
      <c r="G278" s="12" t="s">
        <v>956</v>
      </c>
      <c r="H278" s="12" t="s">
        <v>957</v>
      </c>
      <c r="I278" s="57" t="s">
        <v>958</v>
      </c>
      <c r="J278" s="14">
        <v>8028.0</v>
      </c>
      <c r="K278" s="14">
        <v>1863.0</v>
      </c>
      <c r="L278" s="15">
        <v>0.2321</v>
      </c>
      <c r="M278" s="16">
        <v>876.0</v>
      </c>
      <c r="N278" s="17">
        <v>0.4702</v>
      </c>
      <c r="O278" s="18">
        <v>60.0</v>
      </c>
      <c r="P278" s="18">
        <v>54.0</v>
      </c>
      <c r="Q278" s="19">
        <v>0.029</v>
      </c>
      <c r="R278" s="19">
        <v>0.0616</v>
      </c>
      <c r="S278" s="20">
        <v>4.0</v>
      </c>
      <c r="T278" s="20">
        <v>4.0</v>
      </c>
      <c r="U278" s="20">
        <v>5794.0</v>
      </c>
      <c r="V278" s="21" t="s">
        <v>335</v>
      </c>
      <c r="W278" s="18" t="s">
        <v>40</v>
      </c>
      <c r="X278" s="41" t="s">
        <v>165</v>
      </c>
      <c r="Y278" s="21" t="s">
        <v>959</v>
      </c>
      <c r="Z278" s="20" t="s">
        <v>960</v>
      </c>
      <c r="AA278" s="14">
        <v>36.0</v>
      </c>
      <c r="AB278" s="14">
        <v>36.0</v>
      </c>
      <c r="AC278" s="14"/>
      <c r="AD278" s="14">
        <v>49763.0</v>
      </c>
      <c r="AE278" s="14">
        <v>49763.0</v>
      </c>
      <c r="AF278" s="14"/>
      <c r="AG278" s="22"/>
      <c r="AH278" s="22"/>
      <c r="AI278" s="22"/>
      <c r="AJ278" s="22"/>
      <c r="AK278" s="22"/>
      <c r="AL278" s="22"/>
      <c r="AM278" s="22"/>
      <c r="AN278" s="22"/>
      <c r="AO278" s="22"/>
      <c r="AP278" s="22"/>
    </row>
    <row r="279" hidden="1">
      <c r="A279" s="8">
        <v>46058.0</v>
      </c>
      <c r="B279" s="23">
        <v>0.7916666666666666</v>
      </c>
      <c r="C279" s="10" t="s">
        <v>32</v>
      </c>
      <c r="D279" s="11" t="s">
        <v>33</v>
      </c>
      <c r="E279" s="12" t="s">
        <v>71</v>
      </c>
      <c r="F279" s="12" t="s">
        <v>955</v>
      </c>
      <c r="G279" s="12" t="s">
        <v>961</v>
      </c>
      <c r="H279" s="12" t="s">
        <v>962</v>
      </c>
      <c r="I279" s="57" t="s">
        <v>963</v>
      </c>
      <c r="J279" s="14">
        <v>41855.0</v>
      </c>
      <c r="K279" s="14">
        <v>10161.0</v>
      </c>
      <c r="L279" s="15">
        <v>0.2428</v>
      </c>
      <c r="M279" s="16">
        <v>4699.0</v>
      </c>
      <c r="N279" s="17">
        <v>0.4625</v>
      </c>
      <c r="O279" s="18">
        <v>285.0</v>
      </c>
      <c r="P279" s="18">
        <v>269.0</v>
      </c>
      <c r="Q279" s="19">
        <v>0.0265</v>
      </c>
      <c r="R279" s="19">
        <v>0.0572</v>
      </c>
      <c r="S279" s="20">
        <v>16.0</v>
      </c>
      <c r="T279" s="20">
        <v>45.0</v>
      </c>
      <c r="U279" s="20">
        <v>38892.0</v>
      </c>
      <c r="V279" s="21" t="s">
        <v>335</v>
      </c>
      <c r="W279" s="18" t="s">
        <v>40</v>
      </c>
      <c r="X279" s="41" t="s">
        <v>47</v>
      </c>
      <c r="Y279" s="21" t="s">
        <v>959</v>
      </c>
      <c r="Z279" s="20" t="s">
        <v>964</v>
      </c>
      <c r="AA279" s="14">
        <v>97.0</v>
      </c>
      <c r="AB279" s="14">
        <v>97.0</v>
      </c>
      <c r="AC279" s="14"/>
      <c r="AD279" s="14">
        <v>213120.0</v>
      </c>
      <c r="AE279" s="14">
        <v>213120.0</v>
      </c>
      <c r="AF279" s="14"/>
      <c r="AG279" s="22"/>
      <c r="AH279" s="22"/>
      <c r="AI279" s="22"/>
      <c r="AJ279" s="22"/>
      <c r="AK279" s="22"/>
      <c r="AL279" s="22"/>
      <c r="AM279" s="22"/>
      <c r="AN279" s="22"/>
      <c r="AO279" s="22"/>
      <c r="AP279" s="22"/>
    </row>
    <row r="280" hidden="1">
      <c r="A280" s="8">
        <v>46058.0</v>
      </c>
      <c r="B280" s="23">
        <v>0.84375</v>
      </c>
      <c r="C280" s="10" t="s">
        <v>58</v>
      </c>
      <c r="D280" s="11" t="s">
        <v>59</v>
      </c>
      <c r="E280" s="12" t="s">
        <v>71</v>
      </c>
      <c r="F280" s="12" t="s">
        <v>955</v>
      </c>
      <c r="G280" s="12" t="s">
        <v>965</v>
      </c>
      <c r="H280" s="12" t="s">
        <v>966</v>
      </c>
      <c r="I280" s="57" t="s">
        <v>61</v>
      </c>
      <c r="J280" s="14">
        <v>6078.0</v>
      </c>
      <c r="K280" s="14">
        <v>3731.0</v>
      </c>
      <c r="L280" s="15">
        <v>0.6139</v>
      </c>
      <c r="M280" s="16"/>
      <c r="N280" s="17"/>
      <c r="O280" s="18">
        <v>16.0</v>
      </c>
      <c r="P280" s="18"/>
      <c r="Q280" s="19">
        <v>0.0043</v>
      </c>
      <c r="R280" s="19"/>
      <c r="S280" s="20">
        <v>8.0</v>
      </c>
      <c r="T280" s="20">
        <v>18.0</v>
      </c>
      <c r="U280" s="20">
        <v>21344.0</v>
      </c>
      <c r="V280" s="21" t="s">
        <v>335</v>
      </c>
      <c r="W280" s="18" t="s">
        <v>62</v>
      </c>
      <c r="X280" s="41" t="s">
        <v>165</v>
      </c>
      <c r="Y280" s="21" t="s">
        <v>959</v>
      </c>
      <c r="Z280" s="20" t="s">
        <v>967</v>
      </c>
      <c r="AA280" s="14">
        <v>55.0</v>
      </c>
      <c r="AB280" s="14">
        <v>55.0</v>
      </c>
      <c r="AC280" s="14"/>
      <c r="AD280" s="14">
        <v>97773.0</v>
      </c>
      <c r="AE280" s="14">
        <v>97773.0</v>
      </c>
      <c r="AF280" s="14"/>
      <c r="AG280" s="22"/>
      <c r="AH280" s="22"/>
      <c r="AI280" s="22"/>
      <c r="AJ280" s="22"/>
      <c r="AK280" s="22"/>
      <c r="AL280" s="22"/>
      <c r="AM280" s="22"/>
      <c r="AN280" s="22"/>
      <c r="AO280" s="22"/>
      <c r="AP280" s="22"/>
    </row>
    <row r="281" hidden="1">
      <c r="A281" s="8">
        <v>46058.0</v>
      </c>
      <c r="B281" s="23">
        <v>0.84375</v>
      </c>
      <c r="C281" s="10" t="s">
        <v>58</v>
      </c>
      <c r="D281" s="11" t="s">
        <v>59</v>
      </c>
      <c r="E281" s="12" t="s">
        <v>71</v>
      </c>
      <c r="F281" s="12" t="s">
        <v>955</v>
      </c>
      <c r="G281" s="12" t="s">
        <v>968</v>
      </c>
      <c r="H281" s="12" t="s">
        <v>962</v>
      </c>
      <c r="I281" s="57" t="s">
        <v>61</v>
      </c>
      <c r="J281" s="14">
        <v>31379.0</v>
      </c>
      <c r="K281" s="14">
        <v>17176.0</v>
      </c>
      <c r="L281" s="15">
        <v>0.5474</v>
      </c>
      <c r="M281" s="16"/>
      <c r="N281" s="17"/>
      <c r="O281" s="18">
        <v>58.0</v>
      </c>
      <c r="P281" s="18"/>
      <c r="Q281" s="19">
        <v>0.0034</v>
      </c>
      <c r="R281" s="19"/>
      <c r="S281" s="20">
        <v>36.0</v>
      </c>
      <c r="T281" s="20">
        <v>101.0</v>
      </c>
      <c r="U281" s="20">
        <v>99221.0</v>
      </c>
      <c r="V281" s="21" t="s">
        <v>335</v>
      </c>
      <c r="W281" s="18" t="s">
        <v>62</v>
      </c>
      <c r="X281" s="41" t="s">
        <v>47</v>
      </c>
      <c r="Y281" s="21" t="s">
        <v>959</v>
      </c>
      <c r="Z281" s="20" t="s">
        <v>969</v>
      </c>
      <c r="AA281" s="14">
        <v>187.0</v>
      </c>
      <c r="AB281" s="14">
        <v>187.0</v>
      </c>
      <c r="AC281" s="14"/>
      <c r="AD281" s="14">
        <v>478440.0</v>
      </c>
      <c r="AE281" s="14">
        <v>478440.0</v>
      </c>
      <c r="AF281" s="14"/>
      <c r="AG281" s="22"/>
      <c r="AH281" s="22"/>
      <c r="AI281" s="22"/>
      <c r="AJ281" s="22"/>
      <c r="AK281" s="22"/>
      <c r="AL281" s="22"/>
      <c r="AM281" s="22"/>
      <c r="AN281" s="22"/>
      <c r="AO281" s="22"/>
      <c r="AP281" s="22"/>
    </row>
    <row r="282" hidden="1">
      <c r="A282" s="8">
        <v>46058.0</v>
      </c>
      <c r="B282" s="23">
        <v>0.4375</v>
      </c>
      <c r="C282" s="10" t="s">
        <v>32</v>
      </c>
      <c r="D282" s="11" t="s">
        <v>59</v>
      </c>
      <c r="E282" s="12" t="s">
        <v>179</v>
      </c>
      <c r="F282" s="12" t="s">
        <v>929</v>
      </c>
      <c r="G282" s="12" t="s">
        <v>970</v>
      </c>
      <c r="H282" s="12" t="s">
        <v>971</v>
      </c>
      <c r="I282" s="57" t="s">
        <v>454</v>
      </c>
      <c r="J282" s="14">
        <v>6416.0</v>
      </c>
      <c r="K282" s="14">
        <v>3014.0</v>
      </c>
      <c r="L282" s="15">
        <v>0.4698</v>
      </c>
      <c r="M282" s="16">
        <v>622.0</v>
      </c>
      <c r="N282" s="17">
        <v>0.2064</v>
      </c>
      <c r="O282" s="18">
        <v>54.0</v>
      </c>
      <c r="P282" s="18">
        <v>49.0</v>
      </c>
      <c r="Q282" s="19">
        <v>0.0163</v>
      </c>
      <c r="R282" s="19">
        <v>0.0788</v>
      </c>
      <c r="S282" s="20">
        <v>0.0</v>
      </c>
      <c r="T282" s="20">
        <v>6.0</v>
      </c>
      <c r="U282" s="20">
        <v>0.0</v>
      </c>
      <c r="V282" s="21" t="s">
        <v>315</v>
      </c>
      <c r="W282" s="18" t="s">
        <v>76</v>
      </c>
      <c r="X282" s="21" t="s">
        <v>52</v>
      </c>
      <c r="Y282" s="21" t="s">
        <v>972</v>
      </c>
      <c r="Z282" s="20" t="s">
        <v>973</v>
      </c>
      <c r="AA282" s="14">
        <v>16.0</v>
      </c>
      <c r="AB282" s="14"/>
      <c r="AC282" s="14">
        <v>16.0</v>
      </c>
      <c r="AD282" s="14">
        <v>114822.0</v>
      </c>
      <c r="AE282" s="14"/>
      <c r="AF282" s="25">
        <v>114822.0</v>
      </c>
      <c r="AG282" s="22"/>
      <c r="AH282" s="22"/>
      <c r="AI282" s="22"/>
      <c r="AJ282" s="22"/>
      <c r="AK282" s="22"/>
      <c r="AL282" s="22"/>
      <c r="AM282" s="22"/>
      <c r="AN282" s="22"/>
      <c r="AO282" s="22"/>
      <c r="AP282" s="22"/>
    </row>
    <row r="283" hidden="1">
      <c r="A283" s="8">
        <v>46058.0</v>
      </c>
      <c r="B283" s="23">
        <v>0.4409722222222222</v>
      </c>
      <c r="C283" s="10" t="s">
        <v>32</v>
      </c>
      <c r="D283" s="11" t="s">
        <v>59</v>
      </c>
      <c r="E283" s="12" t="s">
        <v>179</v>
      </c>
      <c r="F283" s="12" t="s">
        <v>929</v>
      </c>
      <c r="G283" s="12" t="s">
        <v>974</v>
      </c>
      <c r="H283" s="12" t="s">
        <v>975</v>
      </c>
      <c r="I283" s="57" t="s">
        <v>454</v>
      </c>
      <c r="J283" s="14">
        <v>15894.0</v>
      </c>
      <c r="K283" s="14">
        <v>8274.0</v>
      </c>
      <c r="L283" s="15">
        <v>0.5206</v>
      </c>
      <c r="M283" s="16">
        <v>2185.0</v>
      </c>
      <c r="N283" s="17">
        <v>0.2641</v>
      </c>
      <c r="O283" s="18">
        <v>289.0</v>
      </c>
      <c r="P283" s="18">
        <v>266.0</v>
      </c>
      <c r="Q283" s="19">
        <v>0.0321</v>
      </c>
      <c r="R283" s="19">
        <v>0.1217</v>
      </c>
      <c r="S283" s="20">
        <v>1.0</v>
      </c>
      <c r="T283" s="20">
        <v>4.0</v>
      </c>
      <c r="U283" s="20">
        <v>5399.0</v>
      </c>
      <c r="V283" s="21" t="s">
        <v>315</v>
      </c>
      <c r="W283" s="18" t="s">
        <v>76</v>
      </c>
      <c r="X283" s="21" t="s">
        <v>47</v>
      </c>
      <c r="Y283" s="21" t="s">
        <v>972</v>
      </c>
      <c r="Z283" s="20" t="s">
        <v>976</v>
      </c>
      <c r="AA283" s="14">
        <v>25.0</v>
      </c>
      <c r="AB283" s="14"/>
      <c r="AC283" s="14">
        <v>25.0</v>
      </c>
      <c r="AD283" s="14">
        <v>161763.0</v>
      </c>
      <c r="AE283" s="14"/>
      <c r="AF283" s="25">
        <v>161763.0</v>
      </c>
      <c r="AG283" s="22"/>
      <c r="AH283" s="22"/>
      <c r="AI283" s="22"/>
      <c r="AJ283" s="22"/>
      <c r="AK283" s="22"/>
      <c r="AL283" s="22"/>
      <c r="AM283" s="22"/>
      <c r="AN283" s="22"/>
      <c r="AO283" s="22"/>
      <c r="AP283" s="22"/>
    </row>
    <row r="284" hidden="1">
      <c r="A284" s="8">
        <v>46058.0</v>
      </c>
      <c r="B284" s="23">
        <v>0.4444444444444444</v>
      </c>
      <c r="C284" s="10" t="s">
        <v>32</v>
      </c>
      <c r="D284" s="11" t="s">
        <v>59</v>
      </c>
      <c r="E284" s="12" t="s">
        <v>179</v>
      </c>
      <c r="F284" s="12" t="s">
        <v>929</v>
      </c>
      <c r="G284" s="12" t="s">
        <v>977</v>
      </c>
      <c r="H284" s="12" t="s">
        <v>978</v>
      </c>
      <c r="I284" s="57" t="s">
        <v>454</v>
      </c>
      <c r="J284" s="14">
        <v>3740.0</v>
      </c>
      <c r="K284" s="14">
        <v>1894.0</v>
      </c>
      <c r="L284" s="15">
        <v>0.5064</v>
      </c>
      <c r="M284" s="16">
        <v>446.0</v>
      </c>
      <c r="N284" s="17">
        <v>0.2355</v>
      </c>
      <c r="O284" s="18">
        <v>71.0</v>
      </c>
      <c r="P284" s="18">
        <v>71.0</v>
      </c>
      <c r="Q284" s="19">
        <v>0.0375</v>
      </c>
      <c r="R284" s="19">
        <v>0.1592</v>
      </c>
      <c r="S284" s="20">
        <v>0.0</v>
      </c>
      <c r="T284" s="20">
        <v>1.0</v>
      </c>
      <c r="U284" s="20">
        <v>0.0</v>
      </c>
      <c r="V284" s="21" t="s">
        <v>315</v>
      </c>
      <c r="W284" s="18" t="s">
        <v>76</v>
      </c>
      <c r="X284" s="21" t="s">
        <v>165</v>
      </c>
      <c r="Y284" s="21" t="s">
        <v>972</v>
      </c>
      <c r="Z284" s="20" t="s">
        <v>979</v>
      </c>
      <c r="AA284" s="14">
        <v>17.0</v>
      </c>
      <c r="AB284" s="14"/>
      <c r="AC284" s="14">
        <v>17.0</v>
      </c>
      <c r="AD284" s="14">
        <v>134553.0</v>
      </c>
      <c r="AE284" s="14"/>
      <c r="AF284" s="25">
        <v>134553.0</v>
      </c>
      <c r="AG284" s="22"/>
      <c r="AH284" s="22"/>
      <c r="AI284" s="22"/>
      <c r="AJ284" s="22"/>
      <c r="AK284" s="22"/>
      <c r="AL284" s="22"/>
      <c r="AM284" s="22"/>
      <c r="AN284" s="22"/>
      <c r="AO284" s="22"/>
      <c r="AP284" s="22"/>
    </row>
    <row r="285" hidden="1">
      <c r="A285" s="8">
        <v>46058.0</v>
      </c>
      <c r="B285" s="23">
        <v>0.4479166666666667</v>
      </c>
      <c r="C285" s="10" t="s">
        <v>32</v>
      </c>
      <c r="D285" s="11" t="s">
        <v>59</v>
      </c>
      <c r="E285" s="12" t="s">
        <v>179</v>
      </c>
      <c r="F285" s="12" t="s">
        <v>929</v>
      </c>
      <c r="G285" s="12" t="s">
        <v>980</v>
      </c>
      <c r="H285" s="12" t="s">
        <v>981</v>
      </c>
      <c r="I285" s="57" t="s">
        <v>454</v>
      </c>
      <c r="J285" s="14">
        <v>39407.0</v>
      </c>
      <c r="K285" s="14">
        <v>17950.0</v>
      </c>
      <c r="L285" s="15">
        <v>0.4555</v>
      </c>
      <c r="M285" s="16">
        <v>3418.0</v>
      </c>
      <c r="N285" s="17">
        <v>0.1904</v>
      </c>
      <c r="O285" s="18">
        <v>180.0</v>
      </c>
      <c r="P285" s="18">
        <v>177.0</v>
      </c>
      <c r="Q285" s="19">
        <v>0.0099</v>
      </c>
      <c r="R285" s="19">
        <v>0.0518</v>
      </c>
      <c r="S285" s="20">
        <v>3.0</v>
      </c>
      <c r="T285" s="20">
        <v>12.0</v>
      </c>
      <c r="U285" s="20">
        <v>32247.0</v>
      </c>
      <c r="V285" s="21" t="s">
        <v>335</v>
      </c>
      <c r="W285" s="18" t="s">
        <v>76</v>
      </c>
      <c r="X285" s="21" t="s">
        <v>624</v>
      </c>
      <c r="Y285" s="21" t="s">
        <v>972</v>
      </c>
      <c r="Z285" s="20" t="s">
        <v>982</v>
      </c>
      <c r="AA285" s="14">
        <v>73.0</v>
      </c>
      <c r="AB285" s="14">
        <v>73.0</v>
      </c>
      <c r="AC285" s="14"/>
      <c r="AD285" s="14">
        <v>972672.0</v>
      </c>
      <c r="AE285" s="25">
        <v>972672.0</v>
      </c>
      <c r="AF285" s="25"/>
      <c r="AG285" s="22"/>
      <c r="AH285" s="22"/>
      <c r="AI285" s="22"/>
      <c r="AJ285" s="22"/>
      <c r="AK285" s="22"/>
      <c r="AL285" s="22"/>
      <c r="AM285" s="22"/>
      <c r="AN285" s="22"/>
      <c r="AO285" s="22"/>
      <c r="AP285" s="22"/>
    </row>
    <row r="286" hidden="1">
      <c r="A286" s="8">
        <v>46058.0</v>
      </c>
      <c r="B286" s="23">
        <v>0.4513888888888889</v>
      </c>
      <c r="C286" s="10" t="s">
        <v>32</v>
      </c>
      <c r="D286" s="11" t="s">
        <v>59</v>
      </c>
      <c r="E286" s="12" t="s">
        <v>179</v>
      </c>
      <c r="F286" s="12" t="s">
        <v>929</v>
      </c>
      <c r="G286" s="12" t="s">
        <v>983</v>
      </c>
      <c r="H286" s="12" t="s">
        <v>984</v>
      </c>
      <c r="I286" s="57" t="s">
        <v>454</v>
      </c>
      <c r="J286" s="14">
        <v>25406.0</v>
      </c>
      <c r="K286" s="14">
        <v>14026.0</v>
      </c>
      <c r="L286" s="15">
        <v>0.5521</v>
      </c>
      <c r="M286" s="16">
        <v>3384.0</v>
      </c>
      <c r="N286" s="17">
        <v>0.2413</v>
      </c>
      <c r="O286" s="18">
        <v>325.0</v>
      </c>
      <c r="P286" s="18">
        <v>303.0</v>
      </c>
      <c r="Q286" s="19">
        <v>0.0216</v>
      </c>
      <c r="R286" s="19">
        <v>0.0895</v>
      </c>
      <c r="S286" s="20">
        <v>4.0</v>
      </c>
      <c r="T286" s="20">
        <v>6.0</v>
      </c>
      <c r="U286" s="20">
        <v>16833.0</v>
      </c>
      <c r="V286" s="21" t="s">
        <v>315</v>
      </c>
      <c r="W286" s="18" t="s">
        <v>76</v>
      </c>
      <c r="X286" s="21" t="s">
        <v>149</v>
      </c>
      <c r="Y286" s="21" t="s">
        <v>972</v>
      </c>
      <c r="Z286" s="20" t="s">
        <v>985</v>
      </c>
      <c r="AA286" s="14">
        <v>46.0</v>
      </c>
      <c r="AB286" s="14"/>
      <c r="AC286" s="14">
        <v>46.0</v>
      </c>
      <c r="AD286" s="14">
        <v>388613.0</v>
      </c>
      <c r="AE286" s="14"/>
      <c r="AF286" s="25">
        <v>388613.0</v>
      </c>
      <c r="AG286" s="22"/>
      <c r="AH286" s="22"/>
      <c r="AI286" s="22"/>
      <c r="AJ286" s="22"/>
      <c r="AK286" s="22"/>
      <c r="AL286" s="22"/>
      <c r="AM286" s="22"/>
      <c r="AN286" s="22"/>
      <c r="AO286" s="22"/>
      <c r="AP286" s="22"/>
    </row>
    <row r="287" hidden="1">
      <c r="A287" s="8">
        <v>46058.0</v>
      </c>
      <c r="B287" s="23">
        <v>0.4548611111111111</v>
      </c>
      <c r="C287" s="10" t="s">
        <v>32</v>
      </c>
      <c r="D287" s="11" t="s">
        <v>59</v>
      </c>
      <c r="E287" s="12" t="s">
        <v>179</v>
      </c>
      <c r="F287" s="12" t="s">
        <v>929</v>
      </c>
      <c r="G287" s="12" t="s">
        <v>986</v>
      </c>
      <c r="H287" s="12" t="s">
        <v>987</v>
      </c>
      <c r="I287" s="57" t="s">
        <v>454</v>
      </c>
      <c r="J287" s="14">
        <v>59590.0</v>
      </c>
      <c r="K287" s="14">
        <v>32570.0</v>
      </c>
      <c r="L287" s="15">
        <v>0.5466</v>
      </c>
      <c r="M287" s="16">
        <v>7421.0</v>
      </c>
      <c r="N287" s="17">
        <v>0.2279</v>
      </c>
      <c r="O287" s="18">
        <v>436.0</v>
      </c>
      <c r="P287" s="18">
        <v>428.0</v>
      </c>
      <c r="Q287" s="19">
        <v>0.0131</v>
      </c>
      <c r="R287" s="19">
        <v>0.0577</v>
      </c>
      <c r="S287" s="20">
        <v>4.0</v>
      </c>
      <c r="T287" s="20">
        <v>13.0</v>
      </c>
      <c r="U287" s="20">
        <v>12423.0</v>
      </c>
      <c r="V287" s="21" t="s">
        <v>315</v>
      </c>
      <c r="W287" s="18" t="s">
        <v>76</v>
      </c>
      <c r="X287" s="21" t="s">
        <v>111</v>
      </c>
      <c r="Y287" s="21" t="s">
        <v>972</v>
      </c>
      <c r="Z287" s="20" t="s">
        <v>988</v>
      </c>
      <c r="AA287" s="14">
        <v>76.0</v>
      </c>
      <c r="AB287" s="14"/>
      <c r="AC287" s="14">
        <v>76.0</v>
      </c>
      <c r="AD287" s="14">
        <v>448015.0</v>
      </c>
      <c r="AE287" s="14"/>
      <c r="AF287" s="25">
        <v>448015.0</v>
      </c>
      <c r="AG287" s="22"/>
      <c r="AH287" s="22"/>
      <c r="AI287" s="22"/>
      <c r="AJ287" s="22"/>
      <c r="AK287" s="22"/>
      <c r="AL287" s="22"/>
      <c r="AM287" s="22"/>
      <c r="AN287" s="22"/>
      <c r="AO287" s="22"/>
      <c r="AP287" s="22"/>
    </row>
    <row r="288" hidden="1">
      <c r="A288" s="8">
        <v>46058.0</v>
      </c>
      <c r="B288" s="23">
        <v>0.3923611111111111</v>
      </c>
      <c r="C288" s="10" t="s">
        <v>196</v>
      </c>
      <c r="D288" s="11" t="s">
        <v>59</v>
      </c>
      <c r="E288" s="12" t="s">
        <v>179</v>
      </c>
      <c r="F288" s="12" t="s">
        <v>929</v>
      </c>
      <c r="G288" s="12" t="s">
        <v>989</v>
      </c>
      <c r="H288" s="12" t="s">
        <v>952</v>
      </c>
      <c r="I288" s="57" t="s">
        <v>61</v>
      </c>
      <c r="J288" s="14">
        <v>62597.0</v>
      </c>
      <c r="K288" s="14">
        <v>12704.0</v>
      </c>
      <c r="L288" s="15">
        <v>0.2029</v>
      </c>
      <c r="M288" s="16">
        <v>1309.0</v>
      </c>
      <c r="N288" s="17">
        <v>0.103</v>
      </c>
      <c r="O288" s="18">
        <v>68.0</v>
      </c>
      <c r="P288" s="18"/>
      <c r="Q288" s="19">
        <v>0.0054</v>
      </c>
      <c r="R288" s="19"/>
      <c r="S288" s="20">
        <v>1.0</v>
      </c>
      <c r="T288" s="20">
        <v>8.0</v>
      </c>
      <c r="U288" s="20">
        <v>2348.0</v>
      </c>
      <c r="V288" s="21" t="s">
        <v>335</v>
      </c>
      <c r="W288" s="18" t="s">
        <v>95</v>
      </c>
      <c r="X288" s="41" t="s">
        <v>111</v>
      </c>
      <c r="Y288" s="21" t="s">
        <v>972</v>
      </c>
      <c r="Z288" s="20" t="s">
        <v>990</v>
      </c>
      <c r="AA288" s="14">
        <v>11.0</v>
      </c>
      <c r="AB288" s="14">
        <v>11.0</v>
      </c>
      <c r="AC288" s="14"/>
      <c r="AD288" s="14">
        <v>50682.0</v>
      </c>
      <c r="AE288" s="14">
        <v>50682.0</v>
      </c>
      <c r="AF288" s="14"/>
      <c r="AG288" s="22"/>
      <c r="AH288" s="22"/>
      <c r="AI288" s="22"/>
      <c r="AJ288" s="22"/>
      <c r="AK288" s="22"/>
      <c r="AL288" s="22"/>
      <c r="AM288" s="22"/>
      <c r="AN288" s="22"/>
      <c r="AO288" s="22"/>
      <c r="AP288" s="22"/>
    </row>
    <row r="289" hidden="1">
      <c r="A289" s="8">
        <v>46058.0</v>
      </c>
      <c r="B289" s="23">
        <v>0.3888888888888889</v>
      </c>
      <c r="C289" s="10" t="s">
        <v>196</v>
      </c>
      <c r="D289" s="11" t="s">
        <v>59</v>
      </c>
      <c r="E289" s="12" t="s">
        <v>179</v>
      </c>
      <c r="F289" s="12" t="s">
        <v>929</v>
      </c>
      <c r="G289" s="12" t="s">
        <v>991</v>
      </c>
      <c r="H289" s="12" t="s">
        <v>948</v>
      </c>
      <c r="I289" s="57" t="s">
        <v>61</v>
      </c>
      <c r="J289" s="14">
        <v>16507.0</v>
      </c>
      <c r="K289" s="14">
        <v>3194.0</v>
      </c>
      <c r="L289" s="15">
        <v>0.1935</v>
      </c>
      <c r="M289" s="16">
        <v>406.0</v>
      </c>
      <c r="N289" s="17">
        <v>0.127</v>
      </c>
      <c r="O289" s="18">
        <v>38.0</v>
      </c>
      <c r="P289" s="18"/>
      <c r="Q289" s="19">
        <v>0.0119</v>
      </c>
      <c r="R289" s="19"/>
      <c r="S289" s="20">
        <v>0.0</v>
      </c>
      <c r="T289" s="20">
        <v>2.0</v>
      </c>
      <c r="U289" s="20">
        <v>0.0</v>
      </c>
      <c r="V289" s="21" t="s">
        <v>335</v>
      </c>
      <c r="W289" s="18" t="s">
        <v>95</v>
      </c>
      <c r="X289" s="41" t="s">
        <v>149</v>
      </c>
      <c r="Y289" s="21" t="s">
        <v>972</v>
      </c>
      <c r="Z289" s="20" t="s">
        <v>992</v>
      </c>
      <c r="AA289" s="14">
        <v>11.0</v>
      </c>
      <c r="AB289" s="14">
        <v>11.0</v>
      </c>
      <c r="AC289" s="14"/>
      <c r="AD289" s="14">
        <v>53392.0</v>
      </c>
      <c r="AE289" s="14">
        <v>53392.0</v>
      </c>
      <c r="AF289" s="14"/>
      <c r="AG289" s="22"/>
      <c r="AH289" s="22"/>
      <c r="AI289" s="22"/>
      <c r="AJ289" s="22"/>
      <c r="AK289" s="22"/>
      <c r="AL289" s="22"/>
      <c r="AM289" s="22"/>
      <c r="AN289" s="22"/>
      <c r="AO289" s="22"/>
      <c r="AP289" s="22"/>
    </row>
    <row r="290" hidden="1">
      <c r="A290" s="8">
        <v>46058.0</v>
      </c>
      <c r="B290" s="23">
        <v>0.3854166666666667</v>
      </c>
      <c r="C290" s="10" t="s">
        <v>196</v>
      </c>
      <c r="D290" s="11" t="s">
        <v>59</v>
      </c>
      <c r="E290" s="12" t="s">
        <v>179</v>
      </c>
      <c r="F290" s="12" t="s">
        <v>929</v>
      </c>
      <c r="G290" s="12" t="s">
        <v>993</v>
      </c>
      <c r="H290" s="12" t="s">
        <v>944</v>
      </c>
      <c r="I290" s="57" t="s">
        <v>61</v>
      </c>
      <c r="J290" s="14">
        <v>12370.0</v>
      </c>
      <c r="K290" s="14">
        <v>1507.0</v>
      </c>
      <c r="L290" s="15">
        <v>0.1218</v>
      </c>
      <c r="M290" s="16">
        <v>189.0</v>
      </c>
      <c r="N290" s="17">
        <v>0.125</v>
      </c>
      <c r="O290" s="18">
        <v>6.0</v>
      </c>
      <c r="P290" s="18"/>
      <c r="Q290" s="19">
        <v>0.004</v>
      </c>
      <c r="R290" s="19"/>
      <c r="S290" s="20">
        <v>0.0</v>
      </c>
      <c r="T290" s="20">
        <v>0.0</v>
      </c>
      <c r="U290" s="20">
        <v>0.0</v>
      </c>
      <c r="V290" s="21" t="s">
        <v>335</v>
      </c>
      <c r="W290" s="18" t="s">
        <v>95</v>
      </c>
      <c r="X290" s="41" t="s">
        <v>624</v>
      </c>
      <c r="Y290" s="21" t="s">
        <v>972</v>
      </c>
      <c r="Z290" s="20" t="s">
        <v>994</v>
      </c>
      <c r="AA290" s="14">
        <v>5.0</v>
      </c>
      <c r="AB290" s="14">
        <v>5.0</v>
      </c>
      <c r="AC290" s="14"/>
      <c r="AD290" s="14">
        <v>49542.0</v>
      </c>
      <c r="AE290" s="14">
        <v>49542.0</v>
      </c>
      <c r="AF290" s="14"/>
      <c r="AG290" s="22"/>
      <c r="AH290" s="22"/>
      <c r="AI290" s="22"/>
      <c r="AJ290" s="22"/>
      <c r="AK290" s="22"/>
      <c r="AL290" s="22"/>
      <c r="AM290" s="22"/>
      <c r="AN290" s="22"/>
      <c r="AO290" s="22"/>
      <c r="AP290" s="22"/>
    </row>
    <row r="291" hidden="1">
      <c r="A291" s="8">
        <v>46058.0</v>
      </c>
      <c r="B291" s="23">
        <v>0.3819444444444444</v>
      </c>
      <c r="C291" s="10" t="s">
        <v>196</v>
      </c>
      <c r="D291" s="11" t="s">
        <v>59</v>
      </c>
      <c r="E291" s="12" t="s">
        <v>179</v>
      </c>
      <c r="F291" s="12" t="s">
        <v>929</v>
      </c>
      <c r="G291" s="12" t="s">
        <v>995</v>
      </c>
      <c r="H291" s="12" t="s">
        <v>936</v>
      </c>
      <c r="I291" s="57" t="s">
        <v>61</v>
      </c>
      <c r="J291" s="14">
        <v>1851.0</v>
      </c>
      <c r="K291" s="14">
        <v>395.0</v>
      </c>
      <c r="L291" s="15">
        <v>0.2134</v>
      </c>
      <c r="M291" s="16">
        <v>55.0</v>
      </c>
      <c r="N291" s="17">
        <v>0.139</v>
      </c>
      <c r="O291" s="18">
        <v>4.0</v>
      </c>
      <c r="P291" s="18"/>
      <c r="Q291" s="19">
        <v>0.0101</v>
      </c>
      <c r="R291" s="19"/>
      <c r="S291" s="20">
        <v>1.0</v>
      </c>
      <c r="T291" s="20">
        <v>1.0</v>
      </c>
      <c r="U291" s="20">
        <v>1853.0</v>
      </c>
      <c r="V291" s="21" t="s">
        <v>335</v>
      </c>
      <c r="W291" s="18" t="s">
        <v>95</v>
      </c>
      <c r="X291" s="41" t="s">
        <v>165</v>
      </c>
      <c r="Y291" s="21" t="s">
        <v>972</v>
      </c>
      <c r="Z291" s="20" t="s">
        <v>996</v>
      </c>
      <c r="AA291" s="14">
        <v>3.0</v>
      </c>
      <c r="AB291" s="14">
        <v>3.0</v>
      </c>
      <c r="AC291" s="14"/>
      <c r="AD291" s="14">
        <v>10696.0</v>
      </c>
      <c r="AE291" s="14">
        <v>10696.0</v>
      </c>
      <c r="AF291" s="14"/>
      <c r="AG291" s="22"/>
      <c r="AH291" s="22"/>
      <c r="AI291" s="22"/>
      <c r="AJ291" s="22"/>
      <c r="AK291" s="22"/>
      <c r="AL291" s="22"/>
      <c r="AM291" s="22"/>
      <c r="AN291" s="22"/>
      <c r="AO291" s="22"/>
      <c r="AP291" s="22"/>
    </row>
    <row r="292" hidden="1">
      <c r="A292" s="8">
        <v>46058.0</v>
      </c>
      <c r="B292" s="23">
        <v>0.3784722222222222</v>
      </c>
      <c r="C292" s="10" t="s">
        <v>196</v>
      </c>
      <c r="D292" s="11" t="s">
        <v>59</v>
      </c>
      <c r="E292" s="12" t="s">
        <v>179</v>
      </c>
      <c r="F292" s="12" t="s">
        <v>929</v>
      </c>
      <c r="G292" s="12" t="s">
        <v>997</v>
      </c>
      <c r="H292" s="12" t="s">
        <v>940</v>
      </c>
      <c r="I292" s="57" t="s">
        <v>61</v>
      </c>
      <c r="J292" s="14">
        <v>3350.0</v>
      </c>
      <c r="K292" s="14">
        <v>713.0</v>
      </c>
      <c r="L292" s="15">
        <v>0.2128</v>
      </c>
      <c r="M292" s="16">
        <v>103.0</v>
      </c>
      <c r="N292" s="17">
        <v>0.144</v>
      </c>
      <c r="O292" s="18">
        <v>7.0</v>
      </c>
      <c r="P292" s="18"/>
      <c r="Q292" s="19">
        <v>0.0098</v>
      </c>
      <c r="R292" s="19"/>
      <c r="S292" s="20">
        <v>1.0</v>
      </c>
      <c r="T292" s="20">
        <v>1.0</v>
      </c>
      <c r="U292" s="20">
        <v>2519.0</v>
      </c>
      <c r="V292" s="21" t="s">
        <v>335</v>
      </c>
      <c r="W292" s="18" t="s">
        <v>95</v>
      </c>
      <c r="X292" s="41" t="s">
        <v>47</v>
      </c>
      <c r="Y292" s="21" t="s">
        <v>972</v>
      </c>
      <c r="Z292" s="20" t="s">
        <v>998</v>
      </c>
      <c r="AA292" s="14">
        <v>3.0</v>
      </c>
      <c r="AB292" s="14">
        <v>3.0</v>
      </c>
      <c r="AC292" s="14"/>
      <c r="AD292" s="14">
        <v>6686.0</v>
      </c>
      <c r="AE292" s="14">
        <v>6686.0</v>
      </c>
      <c r="AF292" s="14"/>
      <c r="AG292" s="22"/>
      <c r="AH292" s="22"/>
      <c r="AI292" s="22"/>
      <c r="AJ292" s="22"/>
      <c r="AK292" s="22"/>
      <c r="AL292" s="22"/>
      <c r="AM292" s="22"/>
      <c r="AN292" s="22"/>
      <c r="AO292" s="22"/>
      <c r="AP292" s="22"/>
    </row>
    <row r="293" hidden="1">
      <c r="A293" s="8">
        <v>46058.0</v>
      </c>
      <c r="B293" s="23">
        <v>0.375</v>
      </c>
      <c r="C293" s="10" t="s">
        <v>196</v>
      </c>
      <c r="D293" s="11" t="s">
        <v>59</v>
      </c>
      <c r="E293" s="12" t="s">
        <v>179</v>
      </c>
      <c r="F293" s="12" t="s">
        <v>929</v>
      </c>
      <c r="G293" s="12" t="s">
        <v>999</v>
      </c>
      <c r="H293" s="12" t="s">
        <v>931</v>
      </c>
      <c r="I293" s="57" t="s">
        <v>61</v>
      </c>
      <c r="J293" s="14">
        <v>6036.0</v>
      </c>
      <c r="K293" s="14">
        <v>1053.0</v>
      </c>
      <c r="L293" s="15">
        <v>0.1745</v>
      </c>
      <c r="M293" s="16">
        <v>106.0</v>
      </c>
      <c r="N293" s="17">
        <v>0.101</v>
      </c>
      <c r="O293" s="18">
        <v>7.0</v>
      </c>
      <c r="P293" s="18"/>
      <c r="Q293" s="19">
        <v>0.0066</v>
      </c>
      <c r="R293" s="19"/>
      <c r="S293" s="20">
        <v>0.0</v>
      </c>
      <c r="T293" s="20">
        <v>0.0</v>
      </c>
      <c r="U293" s="20">
        <v>0.0</v>
      </c>
      <c r="V293" s="21" t="s">
        <v>335</v>
      </c>
      <c r="W293" s="18" t="s">
        <v>95</v>
      </c>
      <c r="X293" s="41" t="s">
        <v>52</v>
      </c>
      <c r="Y293" s="21" t="s">
        <v>972</v>
      </c>
      <c r="Z293" s="20" t="s">
        <v>1000</v>
      </c>
      <c r="AA293" s="14">
        <v>4.0</v>
      </c>
      <c r="AB293" s="14">
        <v>4.0</v>
      </c>
      <c r="AC293" s="14"/>
      <c r="AD293" s="14">
        <v>17791.0</v>
      </c>
      <c r="AE293" s="14">
        <v>17791.0</v>
      </c>
      <c r="AF293" s="14"/>
      <c r="AG293" s="22"/>
      <c r="AH293" s="22"/>
      <c r="AI293" s="22"/>
      <c r="AJ293" s="22"/>
      <c r="AK293" s="22"/>
      <c r="AL293" s="22"/>
      <c r="AM293" s="22"/>
      <c r="AN293" s="22"/>
      <c r="AO293" s="22"/>
      <c r="AP293" s="22"/>
    </row>
    <row r="294" hidden="1">
      <c r="A294" s="8">
        <v>46058.0</v>
      </c>
      <c r="B294" s="23">
        <v>0.375</v>
      </c>
      <c r="C294" s="10" t="s">
        <v>196</v>
      </c>
      <c r="D294" s="11" t="s">
        <v>33</v>
      </c>
      <c r="E294" s="12" t="s">
        <v>179</v>
      </c>
      <c r="F294" s="12" t="s">
        <v>929</v>
      </c>
      <c r="G294" s="12" t="s">
        <v>1001</v>
      </c>
      <c r="H294" s="12" t="s">
        <v>971</v>
      </c>
      <c r="I294" s="57" t="s">
        <v>1002</v>
      </c>
      <c r="J294" s="14">
        <v>7924.0</v>
      </c>
      <c r="K294" s="14">
        <v>1423.0</v>
      </c>
      <c r="L294" s="15">
        <v>0.1796</v>
      </c>
      <c r="M294" s="16">
        <v>166.0</v>
      </c>
      <c r="N294" s="17">
        <v>0.117</v>
      </c>
      <c r="O294" s="18">
        <v>2.0</v>
      </c>
      <c r="P294" s="18"/>
      <c r="Q294" s="19">
        <v>0.0014</v>
      </c>
      <c r="R294" s="19"/>
      <c r="S294" s="20">
        <v>0.0</v>
      </c>
      <c r="T294" s="20">
        <v>0.0</v>
      </c>
      <c r="U294" s="20">
        <v>0.0</v>
      </c>
      <c r="V294" s="21" t="s">
        <v>315</v>
      </c>
      <c r="W294" s="18" t="s">
        <v>95</v>
      </c>
      <c r="X294" s="41" t="s">
        <v>52</v>
      </c>
      <c r="Y294" s="21" t="s">
        <v>972</v>
      </c>
      <c r="Z294" s="20" t="s">
        <v>1003</v>
      </c>
      <c r="AA294" s="14">
        <v>1.0</v>
      </c>
      <c r="AB294" s="14"/>
      <c r="AC294" s="25">
        <v>1.0</v>
      </c>
      <c r="AD294" s="14">
        <v>2598.0</v>
      </c>
      <c r="AE294" s="14"/>
      <c r="AF294" s="25">
        <v>2598.0</v>
      </c>
      <c r="AG294" s="22"/>
      <c r="AH294" s="22"/>
      <c r="AI294" s="22"/>
      <c r="AJ294" s="22"/>
      <c r="AK294" s="22"/>
      <c r="AL294" s="22"/>
      <c r="AM294" s="22"/>
      <c r="AN294" s="22"/>
      <c r="AO294" s="22"/>
      <c r="AP294" s="22"/>
    </row>
    <row r="295" hidden="1">
      <c r="A295" s="8">
        <v>46058.0</v>
      </c>
      <c r="B295" s="23">
        <v>0.3784722222222222</v>
      </c>
      <c r="C295" s="10" t="s">
        <v>196</v>
      </c>
      <c r="D295" s="11" t="s">
        <v>33</v>
      </c>
      <c r="E295" s="12" t="s">
        <v>179</v>
      </c>
      <c r="F295" s="12" t="s">
        <v>929</v>
      </c>
      <c r="G295" s="12" t="s">
        <v>1004</v>
      </c>
      <c r="H295" s="12" t="s">
        <v>975</v>
      </c>
      <c r="I295" s="57" t="s">
        <v>1005</v>
      </c>
      <c r="J295" s="14">
        <v>20744.0</v>
      </c>
      <c r="K295" s="14">
        <v>4739.0</v>
      </c>
      <c r="L295" s="15">
        <v>0.2285</v>
      </c>
      <c r="M295" s="16">
        <v>639.0</v>
      </c>
      <c r="N295" s="17">
        <v>0.135</v>
      </c>
      <c r="O295" s="18">
        <v>38.0</v>
      </c>
      <c r="P295" s="18"/>
      <c r="Q295" s="19">
        <v>0.008</v>
      </c>
      <c r="R295" s="19"/>
      <c r="S295" s="20">
        <v>1.0</v>
      </c>
      <c r="T295" s="20">
        <v>0.0</v>
      </c>
      <c r="U295" s="20">
        <v>5399.0</v>
      </c>
      <c r="V295" s="21" t="s">
        <v>315</v>
      </c>
      <c r="W295" s="18" t="s">
        <v>95</v>
      </c>
      <c r="X295" s="41" t="s">
        <v>47</v>
      </c>
      <c r="Y295" s="21" t="s">
        <v>972</v>
      </c>
      <c r="Z295" s="20" t="s">
        <v>1006</v>
      </c>
      <c r="AA295" s="14">
        <v>4.0</v>
      </c>
      <c r="AB295" s="14"/>
      <c r="AC295" s="25">
        <v>4.0</v>
      </c>
      <c r="AD295" s="14">
        <v>16916.0</v>
      </c>
      <c r="AE295" s="14"/>
      <c r="AF295" s="25">
        <v>16916.0</v>
      </c>
      <c r="AG295" s="22"/>
      <c r="AH295" s="22"/>
      <c r="AI295" s="22"/>
      <c r="AJ295" s="22"/>
      <c r="AK295" s="22"/>
      <c r="AL295" s="22"/>
      <c r="AM295" s="22"/>
      <c r="AN295" s="22"/>
      <c r="AO295" s="22"/>
      <c r="AP295" s="22"/>
    </row>
    <row r="296" hidden="1">
      <c r="A296" s="8">
        <v>46058.0</v>
      </c>
      <c r="B296" s="23">
        <v>0.3819444444444444</v>
      </c>
      <c r="C296" s="10" t="s">
        <v>196</v>
      </c>
      <c r="D296" s="11" t="s">
        <v>33</v>
      </c>
      <c r="E296" s="12" t="s">
        <v>179</v>
      </c>
      <c r="F296" s="12" t="s">
        <v>929</v>
      </c>
      <c r="G296" s="12" t="s">
        <v>1007</v>
      </c>
      <c r="H296" s="12" t="s">
        <v>978</v>
      </c>
      <c r="I296" s="57" t="s">
        <v>1008</v>
      </c>
      <c r="J296" s="14">
        <v>4651.0</v>
      </c>
      <c r="K296" s="14">
        <v>888.0</v>
      </c>
      <c r="L296" s="15">
        <v>0.1909</v>
      </c>
      <c r="M296" s="16">
        <v>139.0</v>
      </c>
      <c r="N296" s="17">
        <v>0.157</v>
      </c>
      <c r="O296" s="18">
        <v>5.0</v>
      </c>
      <c r="P296" s="18"/>
      <c r="Q296" s="19">
        <v>0.0056</v>
      </c>
      <c r="R296" s="19"/>
      <c r="S296" s="20">
        <v>0.0</v>
      </c>
      <c r="T296" s="20">
        <v>2.0</v>
      </c>
      <c r="U296" s="20">
        <v>0.0</v>
      </c>
      <c r="V296" s="21" t="s">
        <v>315</v>
      </c>
      <c r="W296" s="18" t="s">
        <v>95</v>
      </c>
      <c r="X296" s="41" t="s">
        <v>165</v>
      </c>
      <c r="Y296" s="21" t="s">
        <v>972</v>
      </c>
      <c r="Z296" s="20" t="s">
        <v>1009</v>
      </c>
      <c r="AA296" s="14">
        <v>5.0</v>
      </c>
      <c r="AB296" s="14"/>
      <c r="AC296" s="25">
        <v>5.0</v>
      </c>
      <c r="AD296" s="14">
        <v>39189.0</v>
      </c>
      <c r="AE296" s="14"/>
      <c r="AF296" s="25">
        <v>39189.0</v>
      </c>
      <c r="AG296" s="22"/>
      <c r="AH296" s="22"/>
      <c r="AI296" s="22"/>
      <c r="AJ296" s="22"/>
      <c r="AK296" s="22"/>
      <c r="AL296" s="22"/>
      <c r="AM296" s="22"/>
      <c r="AN296" s="22"/>
      <c r="AO296" s="22"/>
      <c r="AP296" s="22"/>
    </row>
    <row r="297" hidden="1">
      <c r="A297" s="8">
        <v>46058.0</v>
      </c>
      <c r="B297" s="23">
        <v>0.3854166666666667</v>
      </c>
      <c r="C297" s="10" t="s">
        <v>196</v>
      </c>
      <c r="D297" s="11" t="s">
        <v>33</v>
      </c>
      <c r="E297" s="12" t="s">
        <v>179</v>
      </c>
      <c r="F297" s="12" t="s">
        <v>929</v>
      </c>
      <c r="G297" s="12" t="s">
        <v>1010</v>
      </c>
      <c r="H297" s="12" t="s">
        <v>981</v>
      </c>
      <c r="I297" s="57" t="s">
        <v>1011</v>
      </c>
      <c r="J297" s="14">
        <v>45835.0</v>
      </c>
      <c r="K297" s="14">
        <v>5967.0</v>
      </c>
      <c r="L297" s="15">
        <v>0.1302</v>
      </c>
      <c r="M297" s="16">
        <v>804.0</v>
      </c>
      <c r="N297" s="17">
        <v>0.135</v>
      </c>
      <c r="O297" s="18">
        <v>18.0</v>
      </c>
      <c r="P297" s="18"/>
      <c r="Q297" s="19">
        <v>0.003</v>
      </c>
      <c r="R297" s="19"/>
      <c r="S297" s="20">
        <v>1.0</v>
      </c>
      <c r="T297" s="20">
        <v>4.0</v>
      </c>
      <c r="U297" s="20">
        <v>8097.0</v>
      </c>
      <c r="V297" s="21" t="s">
        <v>315</v>
      </c>
      <c r="W297" s="18" t="s">
        <v>95</v>
      </c>
      <c r="X297" s="41" t="s">
        <v>624</v>
      </c>
      <c r="Y297" s="21" t="s">
        <v>972</v>
      </c>
      <c r="Z297" s="20" t="s">
        <v>1012</v>
      </c>
      <c r="AA297" s="14">
        <v>20.0</v>
      </c>
      <c r="AB297" s="14"/>
      <c r="AC297" s="14">
        <v>20.0</v>
      </c>
      <c r="AD297" s="14">
        <v>241538.0</v>
      </c>
      <c r="AE297" s="14"/>
      <c r="AF297" s="14">
        <v>241538.0</v>
      </c>
      <c r="AG297" s="22"/>
      <c r="AH297" s="22"/>
      <c r="AI297" s="22"/>
      <c r="AJ297" s="22"/>
      <c r="AK297" s="22"/>
      <c r="AL297" s="22"/>
      <c r="AM297" s="22"/>
      <c r="AN297" s="22"/>
      <c r="AO297" s="22"/>
      <c r="AP297" s="22"/>
    </row>
    <row r="298" hidden="1">
      <c r="A298" s="8">
        <v>46058.0</v>
      </c>
      <c r="B298" s="23">
        <v>0.3888888888888889</v>
      </c>
      <c r="C298" s="10" t="s">
        <v>196</v>
      </c>
      <c r="D298" s="11" t="s">
        <v>33</v>
      </c>
      <c r="E298" s="12" t="s">
        <v>179</v>
      </c>
      <c r="F298" s="12" t="s">
        <v>929</v>
      </c>
      <c r="G298" s="12" t="s">
        <v>1013</v>
      </c>
      <c r="H298" s="12" t="s">
        <v>984</v>
      </c>
      <c r="I298" s="57" t="s">
        <v>1014</v>
      </c>
      <c r="J298" s="14">
        <v>32407.0</v>
      </c>
      <c r="K298" s="14">
        <v>6691.0</v>
      </c>
      <c r="L298" s="15">
        <v>0.2065</v>
      </c>
      <c r="M298" s="16">
        <v>847.0</v>
      </c>
      <c r="N298" s="17">
        <v>0.127</v>
      </c>
      <c r="O298" s="18">
        <v>33.0</v>
      </c>
      <c r="P298" s="18"/>
      <c r="Q298" s="19">
        <v>0.0049</v>
      </c>
      <c r="R298" s="19"/>
      <c r="S298" s="20">
        <v>0.0</v>
      </c>
      <c r="T298" s="20">
        <v>1.0</v>
      </c>
      <c r="U298" s="20">
        <v>0.0</v>
      </c>
      <c r="V298" s="21" t="s">
        <v>315</v>
      </c>
      <c r="W298" s="18" t="s">
        <v>95</v>
      </c>
      <c r="X298" s="41" t="s">
        <v>149</v>
      </c>
      <c r="Y298" s="21" t="s">
        <v>972</v>
      </c>
      <c r="Z298" s="20" t="s">
        <v>1015</v>
      </c>
      <c r="AA298" s="14">
        <v>19.0</v>
      </c>
      <c r="AB298" s="14"/>
      <c r="AC298" s="14">
        <v>19.0</v>
      </c>
      <c r="AD298" s="14">
        <v>97170.0</v>
      </c>
      <c r="AE298" s="14"/>
      <c r="AF298" s="14">
        <v>97170.0</v>
      </c>
      <c r="AG298" s="22"/>
      <c r="AH298" s="22"/>
      <c r="AI298" s="22"/>
      <c r="AJ298" s="22"/>
      <c r="AK298" s="22"/>
      <c r="AL298" s="22"/>
      <c r="AM298" s="22"/>
      <c r="AN298" s="22"/>
      <c r="AO298" s="22"/>
      <c r="AP298" s="22"/>
    </row>
    <row r="299" hidden="1">
      <c r="A299" s="8">
        <v>46058.0</v>
      </c>
      <c r="B299" s="23">
        <v>0.3923611111111111</v>
      </c>
      <c r="C299" s="10" t="s">
        <v>196</v>
      </c>
      <c r="D299" s="11" t="s">
        <v>33</v>
      </c>
      <c r="E299" s="12" t="s">
        <v>179</v>
      </c>
      <c r="F299" s="12" t="s">
        <v>929</v>
      </c>
      <c r="G299" s="12" t="s">
        <v>1016</v>
      </c>
      <c r="H299" s="12" t="s">
        <v>987</v>
      </c>
      <c r="I299" s="57" t="s">
        <v>1017</v>
      </c>
      <c r="J299" s="14">
        <v>75541.0</v>
      </c>
      <c r="K299" s="14">
        <v>14880.0</v>
      </c>
      <c r="L299" s="15">
        <v>0.197</v>
      </c>
      <c r="M299" s="16">
        <v>1754.0</v>
      </c>
      <c r="N299" s="17">
        <v>0.118</v>
      </c>
      <c r="O299" s="18">
        <v>68.0</v>
      </c>
      <c r="P299" s="18"/>
      <c r="Q299" s="19">
        <v>0.0046</v>
      </c>
      <c r="R299" s="19"/>
      <c r="S299" s="20">
        <v>2.0</v>
      </c>
      <c r="T299" s="20">
        <v>3.0</v>
      </c>
      <c r="U299" s="20">
        <v>5666.0</v>
      </c>
      <c r="V299" s="21" t="s">
        <v>315</v>
      </c>
      <c r="W299" s="18" t="s">
        <v>95</v>
      </c>
      <c r="X299" s="41" t="s">
        <v>111</v>
      </c>
      <c r="Y299" s="21" t="s">
        <v>972</v>
      </c>
      <c r="Z299" s="20" t="s">
        <v>1018</v>
      </c>
      <c r="AA299" s="14">
        <v>25.0</v>
      </c>
      <c r="AB299" s="14"/>
      <c r="AC299" s="14">
        <v>25.0</v>
      </c>
      <c r="AD299" s="14">
        <v>126233.0</v>
      </c>
      <c r="AE299" s="14"/>
      <c r="AF299" s="14">
        <v>126233.0</v>
      </c>
      <c r="AG299" s="22"/>
      <c r="AH299" s="22"/>
      <c r="AI299" s="22"/>
      <c r="AJ299" s="22"/>
      <c r="AK299" s="22"/>
      <c r="AL299" s="22"/>
      <c r="AM299" s="22"/>
      <c r="AN299" s="22"/>
      <c r="AO299" s="22"/>
      <c r="AP299" s="22"/>
    </row>
    <row r="300" hidden="1">
      <c r="A300" s="8">
        <v>46058.0</v>
      </c>
      <c r="B300" s="23">
        <v>0.4583333333333333</v>
      </c>
      <c r="C300" s="10" t="s">
        <v>58</v>
      </c>
      <c r="D300" s="11" t="s">
        <v>59</v>
      </c>
      <c r="E300" s="12" t="s">
        <v>179</v>
      </c>
      <c r="F300" s="12" t="s">
        <v>929</v>
      </c>
      <c r="G300" s="12" t="s">
        <v>1019</v>
      </c>
      <c r="H300" s="12" t="s">
        <v>931</v>
      </c>
      <c r="I300" s="57" t="s">
        <v>454</v>
      </c>
      <c r="J300" s="14">
        <v>4956.0</v>
      </c>
      <c r="K300" s="14">
        <v>3265.0</v>
      </c>
      <c r="L300" s="15">
        <v>0.6588</v>
      </c>
      <c r="M300" s="16"/>
      <c r="N300" s="17"/>
      <c r="O300" s="18">
        <v>8.0</v>
      </c>
      <c r="P300" s="18"/>
      <c r="Q300" s="19">
        <v>0.0025</v>
      </c>
      <c r="R300" s="19"/>
      <c r="S300" s="20">
        <v>2.0</v>
      </c>
      <c r="T300" s="20">
        <v>5.0</v>
      </c>
      <c r="U300" s="20">
        <v>11527.0</v>
      </c>
      <c r="V300" s="21" t="s">
        <v>335</v>
      </c>
      <c r="W300" s="18" t="s">
        <v>62</v>
      </c>
      <c r="X300" s="41" t="s">
        <v>52</v>
      </c>
      <c r="Y300" s="21" t="s">
        <v>972</v>
      </c>
      <c r="Z300" s="20" t="s">
        <v>1020</v>
      </c>
      <c r="AA300" s="63">
        <v>13.0</v>
      </c>
      <c r="AB300" s="63">
        <v>13.0</v>
      </c>
      <c r="AC300" s="14"/>
      <c r="AD300" s="63">
        <v>51467.0</v>
      </c>
      <c r="AE300" s="63">
        <v>51467.0</v>
      </c>
      <c r="AF300" s="14"/>
      <c r="AG300" s="22"/>
      <c r="AH300" s="22"/>
      <c r="AI300" s="22"/>
      <c r="AJ300" s="22"/>
      <c r="AK300" s="22"/>
      <c r="AL300" s="22"/>
      <c r="AM300" s="22"/>
      <c r="AN300" s="22"/>
      <c r="AO300" s="22"/>
      <c r="AP300" s="22"/>
    </row>
    <row r="301" hidden="1">
      <c r="A301" s="8">
        <v>46058.0</v>
      </c>
      <c r="B301" s="23">
        <v>0.4583333333333333</v>
      </c>
      <c r="C301" s="10" t="s">
        <v>58</v>
      </c>
      <c r="D301" s="11" t="s">
        <v>59</v>
      </c>
      <c r="E301" s="12" t="s">
        <v>179</v>
      </c>
      <c r="F301" s="12" t="s">
        <v>929</v>
      </c>
      <c r="G301" s="12" t="s">
        <v>1021</v>
      </c>
      <c r="H301" s="12" t="s">
        <v>940</v>
      </c>
      <c r="I301" s="57" t="s">
        <v>454</v>
      </c>
      <c r="J301" s="14">
        <v>2600.0</v>
      </c>
      <c r="K301" s="14">
        <v>1778.0</v>
      </c>
      <c r="L301" s="15">
        <v>0.6838</v>
      </c>
      <c r="M301" s="16"/>
      <c r="N301" s="17"/>
      <c r="O301" s="18">
        <v>5.0</v>
      </c>
      <c r="P301" s="18"/>
      <c r="Q301" s="19">
        <v>0.0028</v>
      </c>
      <c r="R301" s="19"/>
      <c r="S301" s="20">
        <v>2.0</v>
      </c>
      <c r="T301" s="20">
        <v>5.0</v>
      </c>
      <c r="U301" s="20">
        <v>4907.0</v>
      </c>
      <c r="V301" s="21" t="s">
        <v>335</v>
      </c>
      <c r="W301" s="18" t="s">
        <v>62</v>
      </c>
      <c r="X301" s="41" t="s">
        <v>47</v>
      </c>
      <c r="Y301" s="21" t="s">
        <v>972</v>
      </c>
      <c r="Z301" s="20" t="s">
        <v>1022</v>
      </c>
      <c r="AA301" s="14">
        <v>8.0</v>
      </c>
      <c r="AB301" s="14">
        <v>8.0</v>
      </c>
      <c r="AC301" s="14"/>
      <c r="AD301" s="63">
        <v>27002.0</v>
      </c>
      <c r="AE301" s="63">
        <v>27002.0</v>
      </c>
      <c r="AF301" s="14"/>
      <c r="AG301" s="22"/>
      <c r="AH301" s="22"/>
      <c r="AI301" s="22"/>
      <c r="AJ301" s="22"/>
      <c r="AK301" s="22"/>
      <c r="AL301" s="22"/>
      <c r="AM301" s="22"/>
      <c r="AN301" s="22"/>
      <c r="AO301" s="22"/>
      <c r="AP301" s="22"/>
    </row>
    <row r="302" hidden="1">
      <c r="A302" s="8">
        <v>46058.0</v>
      </c>
      <c r="B302" s="23">
        <v>0.4583333333333333</v>
      </c>
      <c r="C302" s="10" t="s">
        <v>58</v>
      </c>
      <c r="D302" s="11" t="s">
        <v>59</v>
      </c>
      <c r="E302" s="12" t="s">
        <v>179</v>
      </c>
      <c r="F302" s="12" t="s">
        <v>929</v>
      </c>
      <c r="G302" s="12" t="s">
        <v>1023</v>
      </c>
      <c r="H302" s="12" t="s">
        <v>936</v>
      </c>
      <c r="I302" s="57" t="s">
        <v>454</v>
      </c>
      <c r="J302" s="14">
        <v>1453.0</v>
      </c>
      <c r="K302" s="14">
        <v>952.0</v>
      </c>
      <c r="L302" s="15">
        <v>0.6552</v>
      </c>
      <c r="M302" s="16"/>
      <c r="N302" s="17"/>
      <c r="O302" s="18">
        <v>3.0</v>
      </c>
      <c r="P302" s="18"/>
      <c r="Q302" s="19">
        <v>0.0032</v>
      </c>
      <c r="R302" s="19"/>
      <c r="S302" s="20">
        <v>0.0</v>
      </c>
      <c r="T302" s="20">
        <v>3.0</v>
      </c>
      <c r="U302" s="20">
        <v>0.0</v>
      </c>
      <c r="V302" s="21" t="s">
        <v>335</v>
      </c>
      <c r="W302" s="18" t="s">
        <v>62</v>
      </c>
      <c r="X302" s="41" t="s">
        <v>165</v>
      </c>
      <c r="Y302" s="21" t="s">
        <v>972</v>
      </c>
      <c r="Z302" s="20" t="s">
        <v>1024</v>
      </c>
      <c r="AA302" s="14">
        <v>4.0</v>
      </c>
      <c r="AB302" s="14">
        <v>4.0</v>
      </c>
      <c r="AC302" s="14"/>
      <c r="AD302" s="63">
        <v>8040.0</v>
      </c>
      <c r="AE302" s="63">
        <v>8040.0</v>
      </c>
      <c r="AF302" s="14"/>
      <c r="AG302" s="22"/>
      <c r="AH302" s="22"/>
      <c r="AI302" s="22"/>
      <c r="AJ302" s="22"/>
      <c r="AK302" s="22"/>
      <c r="AL302" s="22"/>
      <c r="AM302" s="22"/>
      <c r="AN302" s="22"/>
      <c r="AO302" s="22"/>
      <c r="AP302" s="22"/>
    </row>
    <row r="303" hidden="1">
      <c r="A303" s="8">
        <v>46058.0</v>
      </c>
      <c r="B303" s="23">
        <v>0.4583333333333333</v>
      </c>
      <c r="C303" s="10" t="s">
        <v>58</v>
      </c>
      <c r="D303" s="11" t="s">
        <v>59</v>
      </c>
      <c r="E303" s="12" t="s">
        <v>179</v>
      </c>
      <c r="F303" s="12" t="s">
        <v>929</v>
      </c>
      <c r="G303" s="12" t="s">
        <v>1025</v>
      </c>
      <c r="H303" s="12" t="s">
        <v>944</v>
      </c>
      <c r="I303" s="57" t="s">
        <v>454</v>
      </c>
      <c r="J303" s="14">
        <v>10807.0</v>
      </c>
      <c r="K303" s="14">
        <v>5811.0</v>
      </c>
      <c r="L303" s="15">
        <v>0.5377</v>
      </c>
      <c r="M303" s="16"/>
      <c r="N303" s="17"/>
      <c r="O303" s="18">
        <v>12.0</v>
      </c>
      <c r="P303" s="18"/>
      <c r="Q303" s="19">
        <v>0.0021</v>
      </c>
      <c r="R303" s="19"/>
      <c r="S303" s="20">
        <v>5.0</v>
      </c>
      <c r="T303" s="20">
        <v>14.0</v>
      </c>
      <c r="U303" s="20">
        <v>49237.0</v>
      </c>
      <c r="V303" s="21" t="s">
        <v>335</v>
      </c>
      <c r="W303" s="18" t="s">
        <v>62</v>
      </c>
      <c r="X303" s="41" t="s">
        <v>624</v>
      </c>
      <c r="Y303" s="21" t="s">
        <v>972</v>
      </c>
      <c r="Z303" s="20" t="s">
        <v>1026</v>
      </c>
      <c r="AA303" s="14">
        <v>13.0</v>
      </c>
      <c r="AB303" s="14">
        <v>13.0</v>
      </c>
      <c r="AC303" s="14"/>
      <c r="AD303" s="63">
        <v>96131.0</v>
      </c>
      <c r="AE303" s="63">
        <v>96131.0</v>
      </c>
      <c r="AF303" s="14"/>
      <c r="AG303" s="22"/>
      <c r="AH303" s="22"/>
      <c r="AI303" s="22"/>
      <c r="AJ303" s="22"/>
      <c r="AK303" s="22"/>
      <c r="AL303" s="22"/>
      <c r="AM303" s="22"/>
      <c r="AN303" s="22"/>
      <c r="AO303" s="22"/>
      <c r="AP303" s="22"/>
    </row>
    <row r="304" hidden="1">
      <c r="A304" s="8">
        <v>46058.0</v>
      </c>
      <c r="B304" s="23">
        <v>0.4583333333333333</v>
      </c>
      <c r="C304" s="10" t="s">
        <v>58</v>
      </c>
      <c r="D304" s="11" t="s">
        <v>59</v>
      </c>
      <c r="E304" s="12" t="s">
        <v>179</v>
      </c>
      <c r="F304" s="12" t="s">
        <v>929</v>
      </c>
      <c r="G304" s="12" t="s">
        <v>1027</v>
      </c>
      <c r="H304" s="12" t="s">
        <v>948</v>
      </c>
      <c r="I304" s="57" t="s">
        <v>454</v>
      </c>
      <c r="J304" s="14">
        <v>13239.0</v>
      </c>
      <c r="K304" s="14">
        <v>8196.0</v>
      </c>
      <c r="L304" s="15">
        <v>0.6191</v>
      </c>
      <c r="M304" s="16"/>
      <c r="N304" s="17"/>
      <c r="O304" s="18">
        <v>9.0</v>
      </c>
      <c r="P304" s="18"/>
      <c r="Q304" s="19">
        <v>0.0011</v>
      </c>
      <c r="R304" s="19"/>
      <c r="S304" s="20">
        <v>6.0</v>
      </c>
      <c r="T304" s="20">
        <v>1.0</v>
      </c>
      <c r="U304" s="20">
        <v>25036.0</v>
      </c>
      <c r="V304" s="21" t="s">
        <v>335</v>
      </c>
      <c r="W304" s="18" t="s">
        <v>62</v>
      </c>
      <c r="X304" s="41" t="s">
        <v>149</v>
      </c>
      <c r="Y304" s="21" t="s">
        <v>972</v>
      </c>
      <c r="Z304" s="20" t="s">
        <v>1028</v>
      </c>
      <c r="AA304" s="14">
        <v>19.0</v>
      </c>
      <c r="AB304" s="14">
        <v>19.0</v>
      </c>
      <c r="AC304" s="14"/>
      <c r="AD304" s="63">
        <v>109889.0</v>
      </c>
      <c r="AE304" s="63">
        <v>109889.0</v>
      </c>
      <c r="AF304" s="14"/>
      <c r="AG304" s="22"/>
      <c r="AH304" s="22"/>
      <c r="AI304" s="22"/>
      <c r="AJ304" s="22"/>
      <c r="AK304" s="22"/>
      <c r="AL304" s="22"/>
      <c r="AM304" s="22"/>
      <c r="AN304" s="22"/>
      <c r="AO304" s="22"/>
      <c r="AP304" s="22"/>
    </row>
    <row r="305" hidden="1">
      <c r="A305" s="8">
        <v>46058.0</v>
      </c>
      <c r="B305" s="23">
        <v>0.4583333333333333</v>
      </c>
      <c r="C305" s="10" t="s">
        <v>58</v>
      </c>
      <c r="D305" s="11" t="s">
        <v>59</v>
      </c>
      <c r="E305" s="12" t="s">
        <v>179</v>
      </c>
      <c r="F305" s="12" t="s">
        <v>929</v>
      </c>
      <c r="G305" s="12" t="s">
        <v>1029</v>
      </c>
      <c r="H305" s="12" t="s">
        <v>952</v>
      </c>
      <c r="I305" s="57" t="s">
        <v>454</v>
      </c>
      <c r="J305" s="14">
        <v>49413.0</v>
      </c>
      <c r="K305" s="14">
        <v>33145.0</v>
      </c>
      <c r="L305" s="15">
        <v>0.6708</v>
      </c>
      <c r="M305" s="16"/>
      <c r="N305" s="17"/>
      <c r="O305" s="18">
        <v>28.0</v>
      </c>
      <c r="P305" s="18"/>
      <c r="Q305" s="19">
        <v>8.0E-4</v>
      </c>
      <c r="R305" s="19"/>
      <c r="S305" s="20">
        <v>6.0</v>
      </c>
      <c r="T305" s="20">
        <v>28.0</v>
      </c>
      <c r="U305" s="20">
        <v>22818.0</v>
      </c>
      <c r="V305" s="21" t="s">
        <v>335</v>
      </c>
      <c r="W305" s="18" t="s">
        <v>62</v>
      </c>
      <c r="X305" s="41" t="s">
        <v>111</v>
      </c>
      <c r="Y305" s="21" t="s">
        <v>972</v>
      </c>
      <c r="Z305" s="20" t="s">
        <v>1030</v>
      </c>
      <c r="AA305" s="14">
        <v>29.0</v>
      </c>
      <c r="AB305" s="14">
        <v>29.0</v>
      </c>
      <c r="AC305" s="14"/>
      <c r="AD305" s="63">
        <v>99714.0</v>
      </c>
      <c r="AE305" s="63">
        <v>99714.0</v>
      </c>
      <c r="AF305" s="14"/>
      <c r="AG305" s="22"/>
      <c r="AH305" s="22"/>
      <c r="AI305" s="22"/>
      <c r="AJ305" s="22"/>
      <c r="AK305" s="22"/>
      <c r="AL305" s="22"/>
      <c r="AM305" s="22"/>
      <c r="AN305" s="22"/>
      <c r="AO305" s="22"/>
      <c r="AP305" s="22"/>
    </row>
    <row r="306" hidden="1">
      <c r="A306" s="8">
        <v>46058.0</v>
      </c>
      <c r="B306" s="23">
        <v>0.5</v>
      </c>
      <c r="C306" s="10" t="s">
        <v>58</v>
      </c>
      <c r="D306" s="11" t="s">
        <v>59</v>
      </c>
      <c r="E306" s="12" t="s">
        <v>179</v>
      </c>
      <c r="F306" s="12" t="s">
        <v>929</v>
      </c>
      <c r="G306" s="12" t="s">
        <v>1031</v>
      </c>
      <c r="H306" s="12" t="s">
        <v>971</v>
      </c>
      <c r="I306" s="57" t="s">
        <v>61</v>
      </c>
      <c r="J306" s="14">
        <v>3083.0</v>
      </c>
      <c r="K306" s="14">
        <v>1884.0</v>
      </c>
      <c r="L306" s="15">
        <v>0.6111</v>
      </c>
      <c r="M306" s="16"/>
      <c r="N306" s="17"/>
      <c r="O306" s="18">
        <v>1.0</v>
      </c>
      <c r="P306" s="18"/>
      <c r="Q306" s="19">
        <v>5.0E-4</v>
      </c>
      <c r="R306" s="19"/>
      <c r="S306" s="20">
        <v>0.0</v>
      </c>
      <c r="T306" s="20">
        <v>1.0</v>
      </c>
      <c r="U306" s="20">
        <v>0.0</v>
      </c>
      <c r="V306" s="21" t="s">
        <v>315</v>
      </c>
      <c r="W306" s="18" t="s">
        <v>62</v>
      </c>
      <c r="X306" s="41" t="s">
        <v>52</v>
      </c>
      <c r="Y306" s="21" t="s">
        <v>972</v>
      </c>
      <c r="Z306" s="20" t="s">
        <v>1032</v>
      </c>
      <c r="AA306" s="14">
        <v>7.0</v>
      </c>
      <c r="AB306" s="14"/>
      <c r="AC306" s="14">
        <v>7.0</v>
      </c>
      <c r="AD306" s="63">
        <v>51870.0</v>
      </c>
      <c r="AE306" s="63"/>
      <c r="AF306" s="63">
        <v>51870.0</v>
      </c>
      <c r="AG306" s="22"/>
      <c r="AH306" s="22"/>
      <c r="AI306" s="22"/>
      <c r="AJ306" s="22"/>
      <c r="AK306" s="22"/>
      <c r="AL306" s="22"/>
      <c r="AM306" s="22"/>
      <c r="AN306" s="22"/>
      <c r="AO306" s="22"/>
      <c r="AP306" s="22"/>
    </row>
    <row r="307" hidden="1">
      <c r="A307" s="8">
        <v>46058.0</v>
      </c>
      <c r="B307" s="23">
        <v>0.5</v>
      </c>
      <c r="C307" s="10" t="s">
        <v>58</v>
      </c>
      <c r="D307" s="11" t="s">
        <v>59</v>
      </c>
      <c r="E307" s="12" t="s">
        <v>179</v>
      </c>
      <c r="F307" s="12" t="s">
        <v>929</v>
      </c>
      <c r="G307" s="12" t="s">
        <v>1033</v>
      </c>
      <c r="H307" s="12" t="s">
        <v>975</v>
      </c>
      <c r="I307" s="57" t="s">
        <v>61</v>
      </c>
      <c r="J307" s="14">
        <v>7259.0</v>
      </c>
      <c r="K307" s="14">
        <v>5029.0</v>
      </c>
      <c r="L307" s="15">
        <v>0.6928</v>
      </c>
      <c r="M307" s="16"/>
      <c r="N307" s="17"/>
      <c r="O307" s="18">
        <v>7.0</v>
      </c>
      <c r="P307" s="18"/>
      <c r="Q307" s="19">
        <v>0.0014</v>
      </c>
      <c r="R307" s="19"/>
      <c r="S307" s="20">
        <v>0.0</v>
      </c>
      <c r="T307" s="20">
        <v>3.0</v>
      </c>
      <c r="U307" s="20">
        <v>0.0</v>
      </c>
      <c r="V307" s="21" t="s">
        <v>315</v>
      </c>
      <c r="W307" s="18" t="s">
        <v>62</v>
      </c>
      <c r="X307" s="41" t="s">
        <v>47</v>
      </c>
      <c r="Y307" s="21" t="s">
        <v>972</v>
      </c>
      <c r="Z307" s="20" t="s">
        <v>1034</v>
      </c>
      <c r="AA307" s="14">
        <v>18.0</v>
      </c>
      <c r="AB307" s="14"/>
      <c r="AC307" s="14">
        <v>18.0</v>
      </c>
      <c r="AD307" s="63">
        <v>60576.0</v>
      </c>
      <c r="AE307" s="63"/>
      <c r="AF307" s="63">
        <v>60576.0</v>
      </c>
      <c r="AG307" s="22"/>
      <c r="AH307" s="22"/>
      <c r="AI307" s="22"/>
      <c r="AJ307" s="22"/>
      <c r="AK307" s="22"/>
      <c r="AL307" s="22"/>
      <c r="AM307" s="22"/>
      <c r="AN307" s="22"/>
      <c r="AO307" s="22"/>
      <c r="AP307" s="22"/>
    </row>
    <row r="308" hidden="1">
      <c r="A308" s="8">
        <v>46058.0</v>
      </c>
      <c r="B308" s="23">
        <v>0.5</v>
      </c>
      <c r="C308" s="10" t="s">
        <v>58</v>
      </c>
      <c r="D308" s="11" t="s">
        <v>59</v>
      </c>
      <c r="E308" s="12" t="s">
        <v>179</v>
      </c>
      <c r="F308" s="12" t="s">
        <v>929</v>
      </c>
      <c r="G308" s="12" t="s">
        <v>1035</v>
      </c>
      <c r="H308" s="12" t="s">
        <v>978</v>
      </c>
      <c r="I308" s="57" t="s">
        <v>61</v>
      </c>
      <c r="J308" s="14">
        <v>1719.0</v>
      </c>
      <c r="K308" s="14">
        <v>1161.0</v>
      </c>
      <c r="L308" s="15">
        <v>0.6754</v>
      </c>
      <c r="M308" s="16"/>
      <c r="N308" s="17"/>
      <c r="O308" s="18">
        <v>4.0</v>
      </c>
      <c r="P308" s="18"/>
      <c r="Q308" s="19">
        <v>0.0034</v>
      </c>
      <c r="R308" s="19"/>
      <c r="S308" s="20">
        <v>0.0</v>
      </c>
      <c r="T308" s="20">
        <v>2.0</v>
      </c>
      <c r="U308" s="20">
        <v>0.0</v>
      </c>
      <c r="V308" s="21" t="s">
        <v>315</v>
      </c>
      <c r="W308" s="18" t="s">
        <v>62</v>
      </c>
      <c r="X308" s="41" t="s">
        <v>165</v>
      </c>
      <c r="Y308" s="21" t="s">
        <v>972</v>
      </c>
      <c r="Z308" s="20" t="s">
        <v>1036</v>
      </c>
      <c r="AA308" s="14">
        <v>10.0</v>
      </c>
      <c r="AB308" s="14"/>
      <c r="AC308" s="14">
        <v>10.0</v>
      </c>
      <c r="AD308" s="63">
        <v>54183.0</v>
      </c>
      <c r="AE308" s="63"/>
      <c r="AF308" s="63">
        <v>54183.0</v>
      </c>
      <c r="AG308" s="22"/>
      <c r="AH308" s="22"/>
      <c r="AI308" s="22"/>
      <c r="AJ308" s="22"/>
      <c r="AK308" s="22"/>
      <c r="AL308" s="22"/>
      <c r="AM308" s="22"/>
      <c r="AN308" s="22"/>
      <c r="AO308" s="22"/>
      <c r="AP308" s="22"/>
    </row>
    <row r="309" hidden="1">
      <c r="A309" s="8">
        <v>46058.0</v>
      </c>
      <c r="B309" s="23">
        <v>0.5</v>
      </c>
      <c r="C309" s="10" t="s">
        <v>58</v>
      </c>
      <c r="D309" s="11" t="s">
        <v>59</v>
      </c>
      <c r="E309" s="12" t="s">
        <v>179</v>
      </c>
      <c r="F309" s="12" t="s">
        <v>929</v>
      </c>
      <c r="G309" s="12" t="s">
        <v>1037</v>
      </c>
      <c r="H309" s="12" t="s">
        <v>981</v>
      </c>
      <c r="I309" s="57" t="s">
        <v>61</v>
      </c>
      <c r="J309" s="14">
        <v>19034.0</v>
      </c>
      <c r="K309" s="14">
        <v>10248.0</v>
      </c>
      <c r="L309" s="15">
        <v>0.5384</v>
      </c>
      <c r="M309" s="16"/>
      <c r="N309" s="17"/>
      <c r="O309" s="18">
        <v>16.0</v>
      </c>
      <c r="P309" s="18"/>
      <c r="Q309" s="19">
        <v>0.0016</v>
      </c>
      <c r="R309" s="19"/>
      <c r="S309" s="20">
        <v>3.0</v>
      </c>
      <c r="T309" s="20">
        <v>11.0</v>
      </c>
      <c r="U309" s="20">
        <v>67423.0</v>
      </c>
      <c r="V309" s="21" t="s">
        <v>315</v>
      </c>
      <c r="W309" s="18" t="s">
        <v>62</v>
      </c>
      <c r="X309" s="41" t="s">
        <v>624</v>
      </c>
      <c r="Y309" s="21" t="s">
        <v>972</v>
      </c>
      <c r="Z309" s="20" t="s">
        <v>1038</v>
      </c>
      <c r="AA309" s="14">
        <v>40.0</v>
      </c>
      <c r="AB309" s="14"/>
      <c r="AC309" s="14">
        <v>40.0</v>
      </c>
      <c r="AD309" s="63">
        <v>508855.0</v>
      </c>
      <c r="AE309" s="63"/>
      <c r="AF309" s="63">
        <v>508855.0</v>
      </c>
      <c r="AG309" s="22"/>
      <c r="AH309" s="22"/>
      <c r="AI309" s="22"/>
      <c r="AJ309" s="22"/>
      <c r="AK309" s="22"/>
      <c r="AL309" s="22"/>
      <c r="AM309" s="22"/>
      <c r="AN309" s="22"/>
      <c r="AO309" s="22"/>
      <c r="AP309" s="22"/>
    </row>
    <row r="310" hidden="1">
      <c r="A310" s="8">
        <v>46058.0</v>
      </c>
      <c r="B310" s="23">
        <v>0.5</v>
      </c>
      <c r="C310" s="10" t="s">
        <v>58</v>
      </c>
      <c r="D310" s="11" t="s">
        <v>59</v>
      </c>
      <c r="E310" s="12" t="s">
        <v>179</v>
      </c>
      <c r="F310" s="12" t="s">
        <v>929</v>
      </c>
      <c r="G310" s="12" t="s">
        <v>1039</v>
      </c>
      <c r="H310" s="12" t="s">
        <v>984</v>
      </c>
      <c r="I310" s="57" t="s">
        <v>61</v>
      </c>
      <c r="J310" s="14">
        <v>10251.0</v>
      </c>
      <c r="K310" s="14">
        <v>6318.0</v>
      </c>
      <c r="L310" s="15">
        <v>0.6163</v>
      </c>
      <c r="M310" s="16"/>
      <c r="N310" s="17"/>
      <c r="O310" s="18">
        <v>12.0</v>
      </c>
      <c r="P310" s="18"/>
      <c r="Q310" s="19">
        <v>0.0019</v>
      </c>
      <c r="R310" s="19"/>
      <c r="S310" s="20">
        <v>1.0</v>
      </c>
      <c r="T310" s="20">
        <v>0.0</v>
      </c>
      <c r="U310" s="20">
        <v>1898.0</v>
      </c>
      <c r="V310" s="21" t="s">
        <v>315</v>
      </c>
      <c r="W310" s="18" t="s">
        <v>62</v>
      </c>
      <c r="X310" s="41" t="s">
        <v>149</v>
      </c>
      <c r="Y310" s="21" t="s">
        <v>972</v>
      </c>
      <c r="Z310" s="20" t="s">
        <v>1040</v>
      </c>
      <c r="AA310" s="14">
        <v>18.0</v>
      </c>
      <c r="AB310" s="14"/>
      <c r="AC310" s="14">
        <v>18.0</v>
      </c>
      <c r="AD310" s="63">
        <v>84887.0</v>
      </c>
      <c r="AE310" s="63"/>
      <c r="AF310" s="63">
        <v>84887.0</v>
      </c>
      <c r="AG310" s="22"/>
      <c r="AH310" s="22"/>
      <c r="AI310" s="22"/>
      <c r="AJ310" s="22"/>
      <c r="AK310" s="22"/>
      <c r="AL310" s="22"/>
      <c r="AM310" s="22"/>
      <c r="AN310" s="22"/>
      <c r="AO310" s="22"/>
      <c r="AP310" s="22"/>
    </row>
    <row r="311" hidden="1">
      <c r="A311" s="8">
        <v>46058.0</v>
      </c>
      <c r="B311" s="23">
        <v>0.5</v>
      </c>
      <c r="C311" s="10" t="s">
        <v>58</v>
      </c>
      <c r="D311" s="11" t="s">
        <v>59</v>
      </c>
      <c r="E311" s="12" t="s">
        <v>179</v>
      </c>
      <c r="F311" s="12" t="s">
        <v>929</v>
      </c>
      <c r="G311" s="12" t="s">
        <v>1041</v>
      </c>
      <c r="H311" s="12" t="s">
        <v>987</v>
      </c>
      <c r="I311" s="57" t="s">
        <v>61</v>
      </c>
      <c r="J311" s="14">
        <v>24471.0</v>
      </c>
      <c r="K311" s="14">
        <v>15546.0</v>
      </c>
      <c r="L311" s="15">
        <v>0.6353</v>
      </c>
      <c r="M311" s="16"/>
      <c r="N311" s="17"/>
      <c r="O311" s="18">
        <v>20.0</v>
      </c>
      <c r="P311" s="18"/>
      <c r="Q311" s="19">
        <v>0.0013</v>
      </c>
      <c r="R311" s="19"/>
      <c r="S311" s="20">
        <v>1.0</v>
      </c>
      <c r="T311" s="20">
        <v>3.0</v>
      </c>
      <c r="U311" s="20">
        <v>5173.0</v>
      </c>
      <c r="V311" s="21" t="s">
        <v>315</v>
      </c>
      <c r="W311" s="18" t="s">
        <v>62</v>
      </c>
      <c r="X311" s="41" t="s">
        <v>111</v>
      </c>
      <c r="Y311" s="21" t="s">
        <v>972</v>
      </c>
      <c r="Z311" s="20" t="s">
        <v>1042</v>
      </c>
      <c r="AA311" s="14">
        <v>22.0</v>
      </c>
      <c r="AB311" s="14"/>
      <c r="AC311" s="14">
        <v>22.0</v>
      </c>
      <c r="AD311" s="63">
        <v>98331.0</v>
      </c>
      <c r="AE311" s="84"/>
      <c r="AF311" s="63">
        <v>98331.0</v>
      </c>
      <c r="AG311" s="22"/>
      <c r="AH311" s="22"/>
      <c r="AI311" s="22"/>
      <c r="AJ311" s="22"/>
      <c r="AK311" s="22"/>
      <c r="AL311" s="22"/>
      <c r="AM311" s="22"/>
      <c r="AN311" s="22"/>
      <c r="AO311" s="22"/>
      <c r="AP311" s="22"/>
    </row>
    <row r="312" hidden="1">
      <c r="A312" s="8">
        <v>46058.0</v>
      </c>
      <c r="B312" s="23">
        <v>0.7916666666666666</v>
      </c>
      <c r="C312" s="10" t="s">
        <v>196</v>
      </c>
      <c r="D312" s="11" t="s">
        <v>33</v>
      </c>
      <c r="E312" s="12" t="s">
        <v>71</v>
      </c>
      <c r="F312" s="12" t="s">
        <v>955</v>
      </c>
      <c r="G312" s="12" t="s">
        <v>1043</v>
      </c>
      <c r="H312" s="12" t="s">
        <v>1044</v>
      </c>
      <c r="I312" s="57" t="s">
        <v>1045</v>
      </c>
      <c r="J312" s="14">
        <v>54739.0</v>
      </c>
      <c r="K312" s="14">
        <v>4286.0</v>
      </c>
      <c r="L312" s="15">
        <v>0.078</v>
      </c>
      <c r="M312" s="16">
        <v>685.0</v>
      </c>
      <c r="N312" s="17">
        <v>0.16</v>
      </c>
      <c r="O312" s="18">
        <v>66.0</v>
      </c>
      <c r="P312" s="18"/>
      <c r="Q312" s="19">
        <v>0.015</v>
      </c>
      <c r="R312" s="19"/>
      <c r="S312" s="20">
        <v>10.0</v>
      </c>
      <c r="T312" s="20">
        <v>21.0</v>
      </c>
      <c r="U312" s="85">
        <v>22825.0</v>
      </c>
      <c r="V312" s="21" t="s">
        <v>335</v>
      </c>
      <c r="W312" s="18" t="s">
        <v>95</v>
      </c>
      <c r="X312" s="41" t="s">
        <v>111</v>
      </c>
      <c r="Y312" s="21" t="s">
        <v>959</v>
      </c>
      <c r="Z312" s="20" t="s">
        <v>1046</v>
      </c>
      <c r="AA312" s="14">
        <v>49.0</v>
      </c>
      <c r="AB312" s="14">
        <v>49.0</v>
      </c>
      <c r="AC312" s="14"/>
      <c r="AD312" s="14">
        <v>134489.0</v>
      </c>
      <c r="AE312" s="14">
        <v>134489.0</v>
      </c>
      <c r="AF312" s="14"/>
      <c r="AG312" s="22"/>
      <c r="AH312" s="22"/>
      <c r="AI312" s="22"/>
      <c r="AJ312" s="22"/>
      <c r="AK312" s="22"/>
      <c r="AL312" s="22"/>
      <c r="AM312" s="22"/>
      <c r="AN312" s="22"/>
      <c r="AO312" s="22"/>
      <c r="AP312" s="22"/>
    </row>
    <row r="313" hidden="1">
      <c r="A313" s="8">
        <v>46058.0</v>
      </c>
      <c r="B313" s="23">
        <v>0.7916666666666666</v>
      </c>
      <c r="C313" s="10" t="s">
        <v>196</v>
      </c>
      <c r="D313" s="11" t="s">
        <v>33</v>
      </c>
      <c r="E313" s="12" t="s">
        <v>71</v>
      </c>
      <c r="F313" s="12" t="s">
        <v>955</v>
      </c>
      <c r="G313" s="12" t="s">
        <v>1047</v>
      </c>
      <c r="H313" s="12" t="s">
        <v>1048</v>
      </c>
      <c r="I313" s="57" t="s">
        <v>1049</v>
      </c>
      <c r="J313" s="14">
        <v>59012.0</v>
      </c>
      <c r="K313" s="14">
        <v>12348.0</v>
      </c>
      <c r="L313" s="15">
        <v>0.209</v>
      </c>
      <c r="M313" s="16">
        <v>1422.0</v>
      </c>
      <c r="N313" s="17">
        <v>0.115</v>
      </c>
      <c r="O313" s="18">
        <v>52.0</v>
      </c>
      <c r="P313" s="18"/>
      <c r="Q313" s="19">
        <v>0.004</v>
      </c>
      <c r="R313" s="19"/>
      <c r="S313" s="20">
        <v>5.0</v>
      </c>
      <c r="T313" s="20">
        <v>13.0</v>
      </c>
      <c r="U313" s="85">
        <v>10423.0</v>
      </c>
      <c r="V313" s="21" t="s">
        <v>335</v>
      </c>
      <c r="W313" s="18" t="s">
        <v>95</v>
      </c>
      <c r="X313" s="41" t="s">
        <v>69</v>
      </c>
      <c r="Y313" s="21" t="s">
        <v>959</v>
      </c>
      <c r="Z313" s="20" t="s">
        <v>1050</v>
      </c>
      <c r="AA313" s="14">
        <v>36.0</v>
      </c>
      <c r="AB313" s="14">
        <v>36.0</v>
      </c>
      <c r="AC313" s="14"/>
      <c r="AD313" s="14">
        <v>67879.0</v>
      </c>
      <c r="AE313" s="14">
        <v>67879.0</v>
      </c>
      <c r="AF313" s="14"/>
      <c r="AG313" s="22"/>
      <c r="AH313" s="22"/>
      <c r="AI313" s="22"/>
      <c r="AJ313" s="22"/>
      <c r="AK313" s="22"/>
      <c r="AL313" s="22"/>
      <c r="AM313" s="22"/>
      <c r="AN313" s="22"/>
      <c r="AO313" s="22"/>
      <c r="AP313" s="22"/>
    </row>
    <row r="314" hidden="1">
      <c r="A314" s="8">
        <v>46059.0</v>
      </c>
      <c r="B314" s="23">
        <v>0.5604166666666667</v>
      </c>
      <c r="C314" s="10" t="s">
        <v>32</v>
      </c>
      <c r="D314" s="11" t="s">
        <v>33</v>
      </c>
      <c r="E314" s="12" t="s">
        <v>71</v>
      </c>
      <c r="F314" s="12" t="s">
        <v>955</v>
      </c>
      <c r="G314" s="12" t="s">
        <v>1051</v>
      </c>
      <c r="H314" s="12" t="s">
        <v>1052</v>
      </c>
      <c r="I314" s="57" t="s">
        <v>1053</v>
      </c>
      <c r="J314" s="14">
        <v>6913.0</v>
      </c>
      <c r="K314" s="14">
        <v>2260.0</v>
      </c>
      <c r="L314" s="15">
        <v>0.3269</v>
      </c>
      <c r="M314" s="16">
        <v>1004.0</v>
      </c>
      <c r="N314" s="17">
        <v>0.4442</v>
      </c>
      <c r="O314" s="18">
        <v>86.0</v>
      </c>
      <c r="P314" s="18">
        <v>76.0</v>
      </c>
      <c r="Q314" s="19">
        <v>0.0336</v>
      </c>
      <c r="R314" s="19">
        <v>0.0757</v>
      </c>
      <c r="S314" s="20">
        <v>2.0</v>
      </c>
      <c r="T314" s="20">
        <v>3.0</v>
      </c>
      <c r="U314" s="20">
        <v>3506.0</v>
      </c>
      <c r="V314" s="21" t="s">
        <v>315</v>
      </c>
      <c r="W314" s="18" t="s">
        <v>40</v>
      </c>
      <c r="X314" s="41" t="s">
        <v>165</v>
      </c>
      <c r="Y314" s="21" t="s">
        <v>1054</v>
      </c>
      <c r="Z314" s="20" t="s">
        <v>1055</v>
      </c>
      <c r="AA314" s="14">
        <v>26.0</v>
      </c>
      <c r="AB314" s="14"/>
      <c r="AC314" s="14">
        <v>26.0</v>
      </c>
      <c r="AD314" s="14">
        <v>96579.0</v>
      </c>
      <c r="AE314" s="14"/>
      <c r="AF314" s="25">
        <v>96579.0</v>
      </c>
      <c r="AG314" s="22"/>
      <c r="AH314" s="22"/>
      <c r="AI314" s="22"/>
      <c r="AJ314" s="22"/>
      <c r="AK314" s="22"/>
      <c r="AL314" s="22"/>
      <c r="AM314" s="22"/>
      <c r="AN314" s="22"/>
      <c r="AO314" s="22"/>
      <c r="AP314" s="22"/>
    </row>
    <row r="315" hidden="1">
      <c r="A315" s="26">
        <v>46059.0</v>
      </c>
      <c r="B315" s="27">
        <v>0.5604166666666667</v>
      </c>
      <c r="C315" s="28" t="s">
        <v>32</v>
      </c>
      <c r="D315" s="29" t="s">
        <v>33</v>
      </c>
      <c r="E315" s="30" t="s">
        <v>71</v>
      </c>
      <c r="F315" s="30" t="s">
        <v>955</v>
      </c>
      <c r="G315" s="30" t="s">
        <v>1056</v>
      </c>
      <c r="H315" s="30" t="s">
        <v>1057</v>
      </c>
      <c r="I315" s="72" t="s">
        <v>1058</v>
      </c>
      <c r="J315" s="33">
        <v>139870.0</v>
      </c>
      <c r="K315" s="33">
        <v>57126.0</v>
      </c>
      <c r="L315" s="34">
        <v>0.4084</v>
      </c>
      <c r="M315" s="35">
        <v>23892.0</v>
      </c>
      <c r="N315" s="36">
        <v>0.4182</v>
      </c>
      <c r="O315" s="37">
        <v>2047.0</v>
      </c>
      <c r="P315" s="37">
        <v>1871.0</v>
      </c>
      <c r="Q315" s="38">
        <v>0.0328</v>
      </c>
      <c r="R315" s="38">
        <v>0.0783</v>
      </c>
      <c r="S315" s="39">
        <v>21.0</v>
      </c>
      <c r="T315" s="39">
        <v>53.0</v>
      </c>
      <c r="U315" s="39">
        <v>50957.0</v>
      </c>
      <c r="V315" s="41" t="s">
        <v>315</v>
      </c>
      <c r="W315" s="37" t="s">
        <v>40</v>
      </c>
      <c r="X315" s="41" t="s">
        <v>47</v>
      </c>
      <c r="Y315" s="21" t="s">
        <v>1054</v>
      </c>
      <c r="Z315" s="39" t="s">
        <v>1059</v>
      </c>
      <c r="AA315" s="14">
        <v>372.0</v>
      </c>
      <c r="AB315" s="33"/>
      <c r="AC315" s="33">
        <v>372.0</v>
      </c>
      <c r="AD315" s="33">
        <v>1415260.0</v>
      </c>
      <c r="AE315" s="33"/>
      <c r="AF315" s="86">
        <v>1415260.0</v>
      </c>
      <c r="AG315" s="43"/>
      <c r="AH315" s="43"/>
      <c r="AI315" s="43"/>
      <c r="AJ315" s="43"/>
      <c r="AK315" s="43"/>
      <c r="AL315" s="43"/>
      <c r="AM315" s="43"/>
      <c r="AN315" s="43"/>
      <c r="AO315" s="43"/>
      <c r="AP315" s="43"/>
    </row>
    <row r="316" hidden="1">
      <c r="A316" s="8">
        <v>46059.0</v>
      </c>
      <c r="B316" s="23">
        <v>0.4583333333333333</v>
      </c>
      <c r="C316" s="10" t="s">
        <v>58</v>
      </c>
      <c r="D316" s="11" t="s">
        <v>59</v>
      </c>
      <c r="E316" s="12" t="s">
        <v>71</v>
      </c>
      <c r="F316" s="12" t="s">
        <v>955</v>
      </c>
      <c r="G316" s="12" t="s">
        <v>1060</v>
      </c>
      <c r="H316" s="12" t="s">
        <v>1044</v>
      </c>
      <c r="I316" s="57" t="s">
        <v>454</v>
      </c>
      <c r="J316" s="14">
        <v>50387.0</v>
      </c>
      <c r="K316" s="14">
        <v>29153.0</v>
      </c>
      <c r="L316" s="15">
        <v>0.5786</v>
      </c>
      <c r="M316" s="16"/>
      <c r="N316" s="17"/>
      <c r="O316" s="18">
        <v>51.0</v>
      </c>
      <c r="P316" s="18"/>
      <c r="Q316" s="19">
        <v>0.0017</v>
      </c>
      <c r="R316" s="19"/>
      <c r="S316" s="20">
        <v>25.0</v>
      </c>
      <c r="T316" s="20">
        <v>39.0</v>
      </c>
      <c r="U316" s="20">
        <v>53359.0</v>
      </c>
      <c r="V316" s="21" t="s">
        <v>335</v>
      </c>
      <c r="W316" s="18" t="s">
        <v>62</v>
      </c>
      <c r="X316" s="41" t="s">
        <v>111</v>
      </c>
      <c r="Y316" s="21" t="s">
        <v>959</v>
      </c>
      <c r="Z316" s="20" t="s">
        <v>1061</v>
      </c>
      <c r="AA316" s="14">
        <v>162.0</v>
      </c>
      <c r="AB316" s="14">
        <v>162.0</v>
      </c>
      <c r="AC316" s="14"/>
      <c r="AD316" s="14">
        <v>374348.0</v>
      </c>
      <c r="AE316" s="14">
        <v>374348.0</v>
      </c>
      <c r="AF316" s="14"/>
      <c r="AG316" s="22"/>
      <c r="AH316" s="22"/>
      <c r="AI316" s="22"/>
      <c r="AJ316" s="22"/>
      <c r="AK316" s="22"/>
      <c r="AL316" s="22"/>
      <c r="AM316" s="22"/>
      <c r="AN316" s="22"/>
      <c r="AO316" s="22"/>
      <c r="AP316" s="22"/>
    </row>
    <row r="317" hidden="1">
      <c r="A317" s="8">
        <v>46059.0</v>
      </c>
      <c r="B317" s="23">
        <v>0.4583333333333333</v>
      </c>
      <c r="C317" s="10" t="s">
        <v>58</v>
      </c>
      <c r="D317" s="11" t="s">
        <v>59</v>
      </c>
      <c r="E317" s="12" t="s">
        <v>71</v>
      </c>
      <c r="F317" s="12" t="s">
        <v>955</v>
      </c>
      <c r="G317" s="12" t="s">
        <v>1062</v>
      </c>
      <c r="H317" s="12" t="s">
        <v>1048</v>
      </c>
      <c r="I317" s="57" t="s">
        <v>454</v>
      </c>
      <c r="J317" s="14">
        <v>46317.0</v>
      </c>
      <c r="K317" s="14">
        <v>27477.0</v>
      </c>
      <c r="L317" s="15">
        <v>0.5932</v>
      </c>
      <c r="M317" s="16"/>
      <c r="N317" s="17"/>
      <c r="O317" s="18">
        <v>34.0</v>
      </c>
      <c r="P317" s="18"/>
      <c r="Q317" s="19">
        <v>0.0012</v>
      </c>
      <c r="R317" s="19"/>
      <c r="S317" s="20">
        <v>5.0</v>
      </c>
      <c r="T317" s="20">
        <v>19.0</v>
      </c>
      <c r="U317" s="20">
        <v>12157.0</v>
      </c>
      <c r="V317" s="21" t="s">
        <v>335</v>
      </c>
      <c r="W317" s="18" t="s">
        <v>62</v>
      </c>
      <c r="X317" s="41" t="s">
        <v>69</v>
      </c>
      <c r="Y317" s="21" t="s">
        <v>959</v>
      </c>
      <c r="Z317" s="20" t="s">
        <v>1063</v>
      </c>
      <c r="AA317" s="14">
        <v>47.0</v>
      </c>
      <c r="AB317" s="14">
        <v>47.0</v>
      </c>
      <c r="AC317" s="14"/>
      <c r="AD317" s="14">
        <v>102085.0</v>
      </c>
      <c r="AE317" s="14">
        <v>102085.0</v>
      </c>
      <c r="AF317" s="14"/>
      <c r="AG317" s="22"/>
      <c r="AH317" s="22"/>
      <c r="AI317" s="22"/>
      <c r="AJ317" s="22"/>
      <c r="AK317" s="22"/>
      <c r="AL317" s="22"/>
      <c r="AM317" s="22"/>
      <c r="AN317" s="22"/>
      <c r="AO317" s="22"/>
      <c r="AP317" s="22"/>
    </row>
    <row r="318" hidden="1">
      <c r="A318" s="8">
        <v>46059.0</v>
      </c>
      <c r="B318" s="23">
        <v>0.5</v>
      </c>
      <c r="C318" s="10" t="s">
        <v>58</v>
      </c>
      <c r="D318" s="11" t="s">
        <v>59</v>
      </c>
      <c r="E318" s="12" t="s">
        <v>71</v>
      </c>
      <c r="F318" s="12" t="s">
        <v>955</v>
      </c>
      <c r="G318" s="12" t="s">
        <v>1064</v>
      </c>
      <c r="H318" s="12" t="s">
        <v>1065</v>
      </c>
      <c r="I318" s="57" t="s">
        <v>454</v>
      </c>
      <c r="J318" s="14">
        <v>206333.0</v>
      </c>
      <c r="K318" s="14">
        <v>123127.0</v>
      </c>
      <c r="L318" s="15">
        <v>0.5967</v>
      </c>
      <c r="M318" s="16"/>
      <c r="N318" s="17"/>
      <c r="O318" s="18">
        <v>81.0</v>
      </c>
      <c r="P318" s="18"/>
      <c r="Q318" s="19">
        <v>7.0E-4</v>
      </c>
      <c r="R318" s="19"/>
      <c r="S318" s="20">
        <v>16.0</v>
      </c>
      <c r="T318" s="20">
        <v>36.0</v>
      </c>
      <c r="U318" s="20">
        <v>38847.0</v>
      </c>
      <c r="V318" s="21" t="s">
        <v>315</v>
      </c>
      <c r="W318" s="18" t="s">
        <v>62</v>
      </c>
      <c r="X318" s="41" t="s">
        <v>111</v>
      </c>
      <c r="Y318" s="21" t="s">
        <v>1054</v>
      </c>
      <c r="Z318" s="20" t="s">
        <v>1066</v>
      </c>
      <c r="AA318" s="14">
        <v>466.0</v>
      </c>
      <c r="AB318" s="14"/>
      <c r="AC318" s="14">
        <v>466.0</v>
      </c>
      <c r="AD318" s="14">
        <v>1662699.0</v>
      </c>
      <c r="AE318" s="14"/>
      <c r="AF318" s="14">
        <v>1662699.0</v>
      </c>
      <c r="AG318" s="22"/>
      <c r="AH318" s="22"/>
      <c r="AI318" s="22"/>
      <c r="AJ318" s="22"/>
      <c r="AK318" s="22"/>
      <c r="AL318" s="22"/>
      <c r="AM318" s="22"/>
      <c r="AN318" s="22"/>
      <c r="AO318" s="22"/>
      <c r="AP318" s="22"/>
    </row>
    <row r="319" hidden="1">
      <c r="A319" s="8">
        <v>46059.0</v>
      </c>
      <c r="B319" s="23">
        <v>0.5</v>
      </c>
      <c r="C319" s="10" t="s">
        <v>58</v>
      </c>
      <c r="D319" s="11" t="s">
        <v>59</v>
      </c>
      <c r="E319" s="12" t="s">
        <v>71</v>
      </c>
      <c r="F319" s="12" t="s">
        <v>955</v>
      </c>
      <c r="G319" s="12" t="s">
        <v>1067</v>
      </c>
      <c r="H319" s="12" t="s">
        <v>1068</v>
      </c>
      <c r="I319" s="57" t="s">
        <v>454</v>
      </c>
      <c r="J319" s="14">
        <v>102980.0</v>
      </c>
      <c r="K319" s="14">
        <v>59833.0</v>
      </c>
      <c r="L319" s="15">
        <v>0.581</v>
      </c>
      <c r="M319" s="16"/>
      <c r="N319" s="17"/>
      <c r="O319" s="18">
        <v>48.0</v>
      </c>
      <c r="P319" s="18"/>
      <c r="Q319" s="19">
        <v>8.0E-4</v>
      </c>
      <c r="R319" s="19"/>
      <c r="S319" s="20">
        <v>2.0</v>
      </c>
      <c r="T319" s="20">
        <v>14.0</v>
      </c>
      <c r="U319" s="20">
        <v>2517.0</v>
      </c>
      <c r="V319" s="21" t="s">
        <v>315</v>
      </c>
      <c r="W319" s="18" t="s">
        <v>62</v>
      </c>
      <c r="X319" s="41" t="s">
        <v>69</v>
      </c>
      <c r="Y319" s="21" t="s">
        <v>1054</v>
      </c>
      <c r="Z319" s="20" t="s">
        <v>1069</v>
      </c>
      <c r="AA319" s="14">
        <v>158.0</v>
      </c>
      <c r="AB319" s="14"/>
      <c r="AC319" s="14">
        <v>158.0</v>
      </c>
      <c r="AD319" s="14">
        <v>500103.0</v>
      </c>
      <c r="AE319" s="14"/>
      <c r="AF319" s="14">
        <v>500103.0</v>
      </c>
      <c r="AG319" s="22"/>
      <c r="AH319" s="22"/>
      <c r="AI319" s="22"/>
      <c r="AJ319" s="22"/>
      <c r="AK319" s="22"/>
      <c r="AL319" s="22"/>
      <c r="AM319" s="22"/>
      <c r="AN319" s="22"/>
      <c r="AO319" s="22"/>
      <c r="AP319" s="22"/>
    </row>
    <row r="320" hidden="1">
      <c r="A320" s="8">
        <v>46059.0</v>
      </c>
      <c r="B320" s="23">
        <v>0.6041666666666666</v>
      </c>
      <c r="C320" s="10" t="s">
        <v>58</v>
      </c>
      <c r="D320" s="11" t="s">
        <v>59</v>
      </c>
      <c r="E320" s="12" t="s">
        <v>71</v>
      </c>
      <c r="F320" s="12" t="s">
        <v>955</v>
      </c>
      <c r="G320" s="12" t="s">
        <v>1070</v>
      </c>
      <c r="H320" s="12" t="s">
        <v>1071</v>
      </c>
      <c r="I320" s="57" t="s">
        <v>61</v>
      </c>
      <c r="J320" s="14">
        <v>80993.0</v>
      </c>
      <c r="K320" s="14">
        <v>46422.0</v>
      </c>
      <c r="L320" s="15">
        <v>0.5732</v>
      </c>
      <c r="M320" s="16"/>
      <c r="N320" s="17"/>
      <c r="O320" s="18">
        <v>75.0</v>
      </c>
      <c r="P320" s="18"/>
      <c r="Q320" s="19">
        <v>0.0016</v>
      </c>
      <c r="R320" s="19"/>
      <c r="S320" s="20">
        <v>9.0</v>
      </c>
      <c r="T320" s="20">
        <v>29.0</v>
      </c>
      <c r="U320" s="20">
        <v>17368.0</v>
      </c>
      <c r="V320" s="21" t="s">
        <v>315</v>
      </c>
      <c r="W320" s="18" t="s">
        <v>62</v>
      </c>
      <c r="X320" s="41" t="s">
        <v>47</v>
      </c>
      <c r="Y320" s="21" t="s">
        <v>1054</v>
      </c>
      <c r="Z320" s="20" t="s">
        <v>1072</v>
      </c>
      <c r="AA320" s="14">
        <v>280.0</v>
      </c>
      <c r="AB320" s="14"/>
      <c r="AC320" s="14">
        <v>280.0</v>
      </c>
      <c r="AD320" s="14">
        <v>1145779.0</v>
      </c>
      <c r="AE320" s="14"/>
      <c r="AF320" s="14">
        <v>1145779.0</v>
      </c>
      <c r="AG320" s="22"/>
      <c r="AH320" s="22"/>
      <c r="AI320" s="22"/>
      <c r="AJ320" s="22"/>
      <c r="AK320" s="22"/>
      <c r="AL320" s="22"/>
      <c r="AM320" s="22"/>
      <c r="AN320" s="22"/>
      <c r="AO320" s="22"/>
      <c r="AP320" s="22"/>
    </row>
    <row r="321" hidden="1">
      <c r="A321" s="8">
        <v>46059.0</v>
      </c>
      <c r="B321" s="23">
        <v>0.6041666666666666</v>
      </c>
      <c r="C321" s="10" t="s">
        <v>58</v>
      </c>
      <c r="D321" s="11" t="s">
        <v>59</v>
      </c>
      <c r="E321" s="12" t="s">
        <v>71</v>
      </c>
      <c r="F321" s="12" t="s">
        <v>955</v>
      </c>
      <c r="G321" s="12" t="s">
        <v>1073</v>
      </c>
      <c r="H321" s="12" t="s">
        <v>1052</v>
      </c>
      <c r="I321" s="57" t="s">
        <v>61</v>
      </c>
      <c r="J321" s="14">
        <v>4519.0</v>
      </c>
      <c r="K321" s="14">
        <v>2684.0</v>
      </c>
      <c r="L321" s="15">
        <v>0.5939</v>
      </c>
      <c r="M321" s="16"/>
      <c r="N321" s="17"/>
      <c r="O321" s="18">
        <v>3.0</v>
      </c>
      <c r="P321" s="18"/>
      <c r="Q321" s="19">
        <v>0.0011</v>
      </c>
      <c r="R321" s="19"/>
      <c r="S321" s="20">
        <v>0.0</v>
      </c>
      <c r="T321" s="20">
        <v>0.0</v>
      </c>
      <c r="U321" s="20">
        <v>0.0</v>
      </c>
      <c r="V321" s="21" t="s">
        <v>315</v>
      </c>
      <c r="W321" s="18" t="s">
        <v>62</v>
      </c>
      <c r="X321" s="41" t="s">
        <v>165</v>
      </c>
      <c r="Y321" s="21" t="s">
        <v>1054</v>
      </c>
      <c r="Z321" s="20" t="s">
        <v>1074</v>
      </c>
      <c r="AA321" s="14">
        <v>40.0</v>
      </c>
      <c r="AB321" s="14"/>
      <c r="AC321" s="14">
        <v>40.0</v>
      </c>
      <c r="AD321" s="14">
        <v>80343.0</v>
      </c>
      <c r="AE321" s="14"/>
      <c r="AF321" s="14">
        <v>80343.0</v>
      </c>
      <c r="AG321" s="22"/>
      <c r="AH321" s="22"/>
      <c r="AI321" s="22"/>
      <c r="AJ321" s="22"/>
      <c r="AK321" s="22"/>
      <c r="AL321" s="22"/>
      <c r="AM321" s="22"/>
      <c r="AN321" s="22"/>
      <c r="AO321" s="22"/>
      <c r="AP321" s="22"/>
    </row>
    <row r="322" hidden="1">
      <c r="A322" s="8">
        <v>46059.0</v>
      </c>
      <c r="B322" s="9">
        <v>0.4166666666666667</v>
      </c>
      <c r="C322" s="10" t="s">
        <v>196</v>
      </c>
      <c r="D322" s="11" t="s">
        <v>33</v>
      </c>
      <c r="E322" s="12" t="s">
        <v>71</v>
      </c>
      <c r="F322" s="12" t="s">
        <v>955</v>
      </c>
      <c r="G322" s="12" t="s">
        <v>1075</v>
      </c>
      <c r="H322" s="12" t="s">
        <v>1065</v>
      </c>
      <c r="I322" s="57" t="s">
        <v>1076</v>
      </c>
      <c r="J322" s="14">
        <v>237153.0</v>
      </c>
      <c r="K322" s="14">
        <v>20439.0</v>
      </c>
      <c r="L322" s="15">
        <v>0.086</v>
      </c>
      <c r="M322" s="16">
        <v>2602.0</v>
      </c>
      <c r="N322" s="17">
        <v>0.127</v>
      </c>
      <c r="O322" s="18">
        <v>126.0</v>
      </c>
      <c r="P322" s="18"/>
      <c r="Q322" s="19">
        <v>0.006</v>
      </c>
      <c r="R322" s="19"/>
      <c r="S322" s="20">
        <v>4.0</v>
      </c>
      <c r="T322" s="20">
        <v>8.0</v>
      </c>
      <c r="U322" s="85">
        <v>23356.0</v>
      </c>
      <c r="V322" s="21" t="s">
        <v>315</v>
      </c>
      <c r="W322" s="18" t="s">
        <v>95</v>
      </c>
      <c r="X322" s="41" t="s">
        <v>111</v>
      </c>
      <c r="Y322" s="21" t="s">
        <v>1054</v>
      </c>
      <c r="Z322" s="20" t="s">
        <v>1077</v>
      </c>
      <c r="AA322" s="14">
        <v>126.0</v>
      </c>
      <c r="AB322" s="14"/>
      <c r="AC322" s="14">
        <v>126.0</v>
      </c>
      <c r="AD322" s="14">
        <v>476572.0</v>
      </c>
      <c r="AE322" s="14"/>
      <c r="AF322" s="14">
        <v>476572.0</v>
      </c>
      <c r="AG322" s="22"/>
      <c r="AH322" s="22"/>
      <c r="AI322" s="22"/>
      <c r="AJ322" s="22"/>
      <c r="AK322" s="22"/>
      <c r="AL322" s="22"/>
      <c r="AM322" s="22"/>
      <c r="AN322" s="22"/>
      <c r="AO322" s="22"/>
      <c r="AP322" s="22"/>
    </row>
    <row r="323" hidden="1">
      <c r="A323" s="8">
        <v>46059.0</v>
      </c>
      <c r="B323" s="23">
        <v>0.4166666666666667</v>
      </c>
      <c r="C323" s="10" t="s">
        <v>196</v>
      </c>
      <c r="D323" s="11" t="s">
        <v>33</v>
      </c>
      <c r="E323" s="12" t="s">
        <v>71</v>
      </c>
      <c r="F323" s="12" t="s">
        <v>955</v>
      </c>
      <c r="G323" s="12" t="s">
        <v>1078</v>
      </c>
      <c r="H323" s="12" t="s">
        <v>1068</v>
      </c>
      <c r="I323" s="57" t="s">
        <v>1079</v>
      </c>
      <c r="J323" s="14">
        <v>143095.0</v>
      </c>
      <c r="K323" s="14">
        <v>33524.0</v>
      </c>
      <c r="L323" s="15">
        <v>0.234</v>
      </c>
      <c r="M323" s="16">
        <v>3557.0</v>
      </c>
      <c r="N323" s="17">
        <v>0.106</v>
      </c>
      <c r="O323" s="18">
        <v>92.0</v>
      </c>
      <c r="P323" s="18"/>
      <c r="Q323" s="19">
        <v>0.003</v>
      </c>
      <c r="R323" s="19"/>
      <c r="S323" s="20">
        <v>5.0</v>
      </c>
      <c r="T323" s="20">
        <v>9.0</v>
      </c>
      <c r="U323" s="20">
        <v>17962.0</v>
      </c>
      <c r="V323" s="21" t="s">
        <v>315</v>
      </c>
      <c r="W323" s="18" t="s">
        <v>95</v>
      </c>
      <c r="X323" s="41" t="s">
        <v>69</v>
      </c>
      <c r="Y323" s="21" t="s">
        <v>1054</v>
      </c>
      <c r="Z323" s="20" t="s">
        <v>1080</v>
      </c>
      <c r="AA323" s="14">
        <v>64.0</v>
      </c>
      <c r="AB323" s="14"/>
      <c r="AC323" s="14">
        <v>64.0</v>
      </c>
      <c r="AD323" s="14">
        <v>179161.0</v>
      </c>
      <c r="AE323" s="14"/>
      <c r="AF323" s="14">
        <v>179161.0</v>
      </c>
      <c r="AG323" s="22"/>
      <c r="AH323" s="22"/>
      <c r="AI323" s="22"/>
      <c r="AJ323" s="22"/>
      <c r="AK323" s="22"/>
      <c r="AL323" s="22"/>
      <c r="AM323" s="22"/>
      <c r="AN323" s="22"/>
      <c r="AO323" s="22"/>
      <c r="AP323" s="22"/>
    </row>
    <row r="324" hidden="1">
      <c r="A324" s="8">
        <v>46060.0</v>
      </c>
      <c r="B324" s="23">
        <v>0.3541666666666667</v>
      </c>
      <c r="C324" s="10" t="s">
        <v>32</v>
      </c>
      <c r="D324" s="11" t="s">
        <v>33</v>
      </c>
      <c r="E324" s="12" t="s">
        <v>34</v>
      </c>
      <c r="F324" s="12" t="s">
        <v>1081</v>
      </c>
      <c r="G324" s="12" t="s">
        <v>1082</v>
      </c>
      <c r="H324" s="12" t="s">
        <v>1083</v>
      </c>
      <c r="I324" s="57" t="s">
        <v>1084</v>
      </c>
      <c r="J324" s="14">
        <v>306120.0</v>
      </c>
      <c r="K324" s="14">
        <v>136267.0</v>
      </c>
      <c r="L324" s="15">
        <v>0.4451</v>
      </c>
      <c r="M324" s="16">
        <v>53054.0</v>
      </c>
      <c r="N324" s="17">
        <v>0.3893</v>
      </c>
      <c r="O324" s="18">
        <v>2334.0</v>
      </c>
      <c r="P324" s="18">
        <v>2242.0</v>
      </c>
      <c r="Q324" s="19">
        <v>0.0165</v>
      </c>
      <c r="R324" s="19">
        <v>0.0423</v>
      </c>
      <c r="S324" s="20">
        <v>2.0</v>
      </c>
      <c r="T324" s="20">
        <v>9.0</v>
      </c>
      <c r="U324" s="20">
        <v>2700.0</v>
      </c>
      <c r="V324" s="21" t="s">
        <v>183</v>
      </c>
      <c r="W324" s="18" t="s">
        <v>40</v>
      </c>
      <c r="X324" s="41" t="s">
        <v>52</v>
      </c>
      <c r="Y324" s="41" t="s">
        <v>1085</v>
      </c>
      <c r="Z324" s="20" t="s">
        <v>1086</v>
      </c>
      <c r="AA324" s="14">
        <v>274.0</v>
      </c>
      <c r="AB324" s="14">
        <v>51.0</v>
      </c>
      <c r="AC324" s="14">
        <v>223.0</v>
      </c>
      <c r="AD324" s="14">
        <v>3240671.0</v>
      </c>
      <c r="AE324" s="14">
        <v>368021.0</v>
      </c>
      <c r="AF324" s="14">
        <v>2872650.0</v>
      </c>
      <c r="AG324" s="22"/>
      <c r="AH324" s="22"/>
      <c r="AI324" s="22"/>
      <c r="AJ324" s="22"/>
      <c r="AK324" s="22"/>
      <c r="AL324" s="22"/>
      <c r="AM324" s="22"/>
      <c r="AN324" s="22"/>
      <c r="AO324" s="22"/>
      <c r="AP324" s="22"/>
    </row>
    <row r="325" hidden="1">
      <c r="A325" s="8">
        <v>46060.0</v>
      </c>
      <c r="B325" s="23">
        <v>0.4236111111111111</v>
      </c>
      <c r="C325" s="10" t="s">
        <v>196</v>
      </c>
      <c r="D325" s="11" t="s">
        <v>59</v>
      </c>
      <c r="E325" s="12" t="s">
        <v>34</v>
      </c>
      <c r="F325" s="12" t="s">
        <v>1081</v>
      </c>
      <c r="G325" s="12" t="s">
        <v>1087</v>
      </c>
      <c r="H325" s="12" t="s">
        <v>1083</v>
      </c>
      <c r="I325" s="57" t="s">
        <v>61</v>
      </c>
      <c r="J325" s="14">
        <v>164141.0</v>
      </c>
      <c r="K325" s="14">
        <v>31718.0</v>
      </c>
      <c r="L325" s="15">
        <v>0.1932</v>
      </c>
      <c r="M325" s="16">
        <v>3458.0</v>
      </c>
      <c r="N325" s="17">
        <v>0.109</v>
      </c>
      <c r="O325" s="18">
        <v>169.0</v>
      </c>
      <c r="P325" s="18"/>
      <c r="Q325" s="19">
        <v>0.0053</v>
      </c>
      <c r="R325" s="19"/>
      <c r="S325" s="20">
        <v>1.0</v>
      </c>
      <c r="T325" s="20">
        <v>3.0</v>
      </c>
      <c r="U325" s="20">
        <v>25135.0</v>
      </c>
      <c r="V325" s="21" t="s">
        <v>183</v>
      </c>
      <c r="W325" s="18" t="s">
        <v>95</v>
      </c>
      <c r="X325" s="41" t="s">
        <v>52</v>
      </c>
      <c r="Y325" s="41" t="s">
        <v>1085</v>
      </c>
      <c r="Z325" s="20" t="s">
        <v>1088</v>
      </c>
      <c r="AA325" s="14">
        <v>69.0</v>
      </c>
      <c r="AB325" s="14">
        <v>6.0</v>
      </c>
      <c r="AC325" s="14">
        <v>63.0</v>
      </c>
      <c r="AD325" s="14">
        <v>867044.0</v>
      </c>
      <c r="AE325" s="14">
        <v>53123.0</v>
      </c>
      <c r="AF325" s="14">
        <v>813921.0</v>
      </c>
      <c r="AG325" s="22"/>
      <c r="AH325" s="22"/>
      <c r="AI325" s="22"/>
      <c r="AJ325" s="22"/>
      <c r="AK325" s="22"/>
      <c r="AL325" s="22"/>
      <c r="AM325" s="22"/>
      <c r="AN325" s="22"/>
      <c r="AO325" s="22"/>
      <c r="AP325" s="22"/>
    </row>
    <row r="326" hidden="1">
      <c r="A326" s="8">
        <v>46060.0</v>
      </c>
      <c r="B326" s="23">
        <v>0.5208333333333334</v>
      </c>
      <c r="C326" s="10" t="s">
        <v>58</v>
      </c>
      <c r="D326" s="11" t="s">
        <v>59</v>
      </c>
      <c r="E326" s="12" t="s">
        <v>34</v>
      </c>
      <c r="F326" s="12" t="s">
        <v>1081</v>
      </c>
      <c r="G326" s="12" t="s">
        <v>1082</v>
      </c>
      <c r="H326" s="12" t="s">
        <v>1083</v>
      </c>
      <c r="I326" s="57" t="s">
        <v>454</v>
      </c>
      <c r="J326" s="14">
        <v>131221.0</v>
      </c>
      <c r="K326" s="14">
        <v>75914.0</v>
      </c>
      <c r="L326" s="15">
        <v>0.5785</v>
      </c>
      <c r="M326" s="16"/>
      <c r="N326" s="17"/>
      <c r="O326" s="18">
        <v>85.0</v>
      </c>
      <c r="P326" s="18"/>
      <c r="Q326" s="19">
        <v>0.0011</v>
      </c>
      <c r="R326" s="19"/>
      <c r="S326" s="20">
        <v>2.0</v>
      </c>
      <c r="T326" s="20">
        <v>4.0</v>
      </c>
      <c r="U326" s="20">
        <v>21598.0</v>
      </c>
      <c r="V326" s="21" t="s">
        <v>183</v>
      </c>
      <c r="W326" s="18" t="s">
        <v>62</v>
      </c>
      <c r="X326" s="41" t="s">
        <v>52</v>
      </c>
      <c r="Y326" s="41" t="s">
        <v>1085</v>
      </c>
      <c r="Z326" s="20" t="s">
        <v>1089</v>
      </c>
      <c r="AA326" s="14">
        <v>167.0</v>
      </c>
      <c r="AB326" s="14">
        <v>22.0</v>
      </c>
      <c r="AC326" s="14">
        <v>145.0</v>
      </c>
      <c r="AD326" s="14">
        <v>2303625.0</v>
      </c>
      <c r="AE326" s="14">
        <v>195666.0</v>
      </c>
      <c r="AF326" s="14">
        <v>2107959.0</v>
      </c>
      <c r="AG326" s="22"/>
      <c r="AH326" s="22"/>
      <c r="AI326" s="22"/>
      <c r="AJ326" s="22"/>
      <c r="AK326" s="22"/>
      <c r="AL326" s="22"/>
      <c r="AM326" s="22"/>
      <c r="AN326" s="22"/>
      <c r="AO326" s="22"/>
      <c r="AP326" s="22"/>
    </row>
    <row r="327" hidden="1">
      <c r="A327" s="8">
        <v>46060.0</v>
      </c>
      <c r="B327" s="23">
        <v>0.4375</v>
      </c>
      <c r="C327" s="10" t="s">
        <v>32</v>
      </c>
      <c r="D327" s="11" t="s">
        <v>59</v>
      </c>
      <c r="E327" s="12" t="s">
        <v>179</v>
      </c>
      <c r="F327" s="12" t="s">
        <v>929</v>
      </c>
      <c r="G327" s="12" t="s">
        <v>1090</v>
      </c>
      <c r="H327" s="12" t="s">
        <v>1091</v>
      </c>
      <c r="I327" s="57" t="s">
        <v>454</v>
      </c>
      <c r="J327" s="14">
        <v>17223.0</v>
      </c>
      <c r="K327" s="14">
        <v>7652.0</v>
      </c>
      <c r="L327" s="15">
        <v>0.4443</v>
      </c>
      <c r="M327" s="16">
        <v>1413.0</v>
      </c>
      <c r="N327" s="17">
        <v>0.1847</v>
      </c>
      <c r="O327" s="18">
        <v>100.0</v>
      </c>
      <c r="P327" s="18">
        <v>92.0</v>
      </c>
      <c r="Q327" s="19">
        <v>0.012</v>
      </c>
      <c r="R327" s="19">
        <v>0.0651</v>
      </c>
      <c r="S327" s="20">
        <v>0.0</v>
      </c>
      <c r="T327" s="20">
        <v>6.0</v>
      </c>
      <c r="U327" s="20">
        <v>0.0</v>
      </c>
      <c r="V327" s="21" t="s">
        <v>183</v>
      </c>
      <c r="W327" s="18" t="s">
        <v>76</v>
      </c>
      <c r="X327" s="41" t="s">
        <v>52</v>
      </c>
      <c r="Y327" s="21" t="s">
        <v>1092</v>
      </c>
      <c r="Z327" s="20" t="s">
        <v>1093</v>
      </c>
      <c r="AA327" s="14">
        <v>14.0</v>
      </c>
      <c r="AB327" s="14">
        <v>8.0</v>
      </c>
      <c r="AC327" s="14">
        <v>6.0</v>
      </c>
      <c r="AD327" s="14">
        <v>121961.0</v>
      </c>
      <c r="AE327" s="14">
        <v>26617.0</v>
      </c>
      <c r="AF327" s="14">
        <v>95344.0</v>
      </c>
      <c r="AG327" s="22"/>
      <c r="AH327" s="22"/>
      <c r="AI327" s="22"/>
      <c r="AJ327" s="22"/>
      <c r="AK327" s="22"/>
      <c r="AL327" s="22"/>
      <c r="AM327" s="22"/>
      <c r="AN327" s="22"/>
      <c r="AO327" s="22"/>
      <c r="AP327" s="22"/>
    </row>
    <row r="328" hidden="1">
      <c r="A328" s="8">
        <v>46060.0</v>
      </c>
      <c r="B328" s="23">
        <v>0.4409722222222222</v>
      </c>
      <c r="C328" s="10" t="s">
        <v>32</v>
      </c>
      <c r="D328" s="11" t="s">
        <v>59</v>
      </c>
      <c r="E328" s="12" t="s">
        <v>179</v>
      </c>
      <c r="F328" s="12" t="s">
        <v>929</v>
      </c>
      <c r="G328" s="12" t="s">
        <v>974</v>
      </c>
      <c r="H328" s="12" t="s">
        <v>975</v>
      </c>
      <c r="I328" s="57" t="s">
        <v>454</v>
      </c>
      <c r="J328" s="14">
        <v>21144.0</v>
      </c>
      <c r="K328" s="14">
        <v>10298.0</v>
      </c>
      <c r="L328" s="15">
        <v>0.487</v>
      </c>
      <c r="M328" s="16">
        <v>2250.0</v>
      </c>
      <c r="N328" s="17">
        <v>0.2185</v>
      </c>
      <c r="O328" s="18">
        <v>157.0</v>
      </c>
      <c r="P328" s="18">
        <v>148.0</v>
      </c>
      <c r="Q328" s="19">
        <v>0.0144</v>
      </c>
      <c r="R328" s="19">
        <v>0.0658</v>
      </c>
      <c r="S328" s="20">
        <v>1.0</v>
      </c>
      <c r="T328" s="20">
        <v>5.0</v>
      </c>
      <c r="U328" s="20">
        <v>2518.0</v>
      </c>
      <c r="V328" s="21" t="s">
        <v>183</v>
      </c>
      <c r="W328" s="18" t="s">
        <v>76</v>
      </c>
      <c r="X328" s="41" t="s">
        <v>47</v>
      </c>
      <c r="Y328" s="21" t="s">
        <v>1092</v>
      </c>
      <c r="Z328" s="20" t="s">
        <v>1094</v>
      </c>
      <c r="AA328" s="14">
        <v>11.0</v>
      </c>
      <c r="AB328" s="14">
        <v>4.0</v>
      </c>
      <c r="AC328" s="14">
        <v>7.0</v>
      </c>
      <c r="AD328" s="14">
        <v>38804.0</v>
      </c>
      <c r="AE328" s="14">
        <v>13012.0</v>
      </c>
      <c r="AF328" s="14">
        <v>25792.0</v>
      </c>
      <c r="AG328" s="22"/>
      <c r="AH328" s="22"/>
      <c r="AI328" s="22"/>
      <c r="AJ328" s="22"/>
      <c r="AK328" s="22"/>
      <c r="AL328" s="22"/>
      <c r="AM328" s="22"/>
      <c r="AN328" s="22"/>
      <c r="AO328" s="22"/>
      <c r="AP328" s="22"/>
    </row>
    <row r="329" hidden="1">
      <c r="A329" s="8">
        <v>46060.0</v>
      </c>
      <c r="B329" s="23">
        <v>0.4444444444444444</v>
      </c>
      <c r="C329" s="10" t="s">
        <v>32</v>
      </c>
      <c r="D329" s="11" t="s">
        <v>59</v>
      </c>
      <c r="E329" s="12" t="s">
        <v>179</v>
      </c>
      <c r="F329" s="12" t="s">
        <v>929</v>
      </c>
      <c r="G329" s="12" t="s">
        <v>977</v>
      </c>
      <c r="H329" s="12" t="s">
        <v>978</v>
      </c>
      <c r="I329" s="57" t="s">
        <v>454</v>
      </c>
      <c r="J329" s="14">
        <v>7523.0</v>
      </c>
      <c r="K329" s="14">
        <v>3933.0</v>
      </c>
      <c r="L329" s="15">
        <v>0.5228</v>
      </c>
      <c r="M329" s="16">
        <v>814.0</v>
      </c>
      <c r="N329" s="17">
        <v>0.207</v>
      </c>
      <c r="O329" s="18">
        <v>84.0</v>
      </c>
      <c r="P329" s="18">
        <v>79.0</v>
      </c>
      <c r="Q329" s="19">
        <v>0.0201</v>
      </c>
      <c r="R329" s="19">
        <v>0.0971</v>
      </c>
      <c r="S329" s="20">
        <v>1.0</v>
      </c>
      <c r="T329" s="20">
        <v>6.0</v>
      </c>
      <c r="U329" s="20">
        <v>5845.0</v>
      </c>
      <c r="V329" s="21" t="s">
        <v>183</v>
      </c>
      <c r="W329" s="18" t="s">
        <v>76</v>
      </c>
      <c r="X329" s="41" t="s">
        <v>165</v>
      </c>
      <c r="Y329" s="21" t="s">
        <v>1092</v>
      </c>
      <c r="Z329" s="20" t="s">
        <v>1095</v>
      </c>
      <c r="AA329" s="14">
        <v>7.0</v>
      </c>
      <c r="AB329" s="14">
        <v>4.0</v>
      </c>
      <c r="AC329" s="14">
        <v>3.0</v>
      </c>
      <c r="AD329" s="14">
        <v>28697.0</v>
      </c>
      <c r="AE329" s="14">
        <v>11301.0</v>
      </c>
      <c r="AF329" s="14">
        <v>17396.0</v>
      </c>
      <c r="AG329" s="22"/>
      <c r="AH329" s="22"/>
      <c r="AI329" s="22"/>
      <c r="AJ329" s="22"/>
      <c r="AK329" s="22"/>
      <c r="AL329" s="22"/>
      <c r="AM329" s="22"/>
      <c r="AN329" s="22"/>
      <c r="AO329" s="22"/>
      <c r="AP329" s="22"/>
    </row>
    <row r="330" hidden="1">
      <c r="A330" s="8">
        <v>46060.0</v>
      </c>
      <c r="B330" s="23">
        <v>0.4479166666666667</v>
      </c>
      <c r="C330" s="10" t="s">
        <v>32</v>
      </c>
      <c r="D330" s="11" t="s">
        <v>59</v>
      </c>
      <c r="E330" s="12" t="s">
        <v>179</v>
      </c>
      <c r="F330" s="12" t="s">
        <v>929</v>
      </c>
      <c r="G330" s="12" t="s">
        <v>980</v>
      </c>
      <c r="H330" s="12" t="s">
        <v>981</v>
      </c>
      <c r="I330" s="57" t="s">
        <v>454</v>
      </c>
      <c r="J330" s="14">
        <v>54573.0</v>
      </c>
      <c r="K330" s="14">
        <v>21436.0</v>
      </c>
      <c r="L330" s="15">
        <v>0.3928</v>
      </c>
      <c r="M330" s="16">
        <v>2968.0</v>
      </c>
      <c r="N330" s="17">
        <v>0.1385</v>
      </c>
      <c r="O330" s="18">
        <v>126.0</v>
      </c>
      <c r="P330" s="18">
        <v>118.0</v>
      </c>
      <c r="Q330" s="19">
        <v>0.0055</v>
      </c>
      <c r="R330" s="19">
        <v>0.0398</v>
      </c>
      <c r="S330" s="20">
        <v>4.0</v>
      </c>
      <c r="T330" s="20">
        <v>16.0</v>
      </c>
      <c r="U330" s="20">
        <v>26826.0</v>
      </c>
      <c r="V330" s="21" t="s">
        <v>183</v>
      </c>
      <c r="W330" s="18" t="s">
        <v>76</v>
      </c>
      <c r="X330" s="41" t="s">
        <v>624</v>
      </c>
      <c r="Y330" s="21" t="s">
        <v>1092</v>
      </c>
      <c r="Z330" s="20" t="s">
        <v>1096</v>
      </c>
      <c r="AA330" s="14">
        <v>21.0</v>
      </c>
      <c r="AB330" s="14">
        <v>9.0</v>
      </c>
      <c r="AC330" s="14">
        <v>12.0</v>
      </c>
      <c r="AD330" s="14">
        <v>238074.0</v>
      </c>
      <c r="AE330" s="14">
        <v>71782.0</v>
      </c>
      <c r="AF330" s="14">
        <v>166292.0</v>
      </c>
      <c r="AG330" s="22"/>
      <c r="AH330" s="22"/>
      <c r="AI330" s="22"/>
      <c r="AJ330" s="22"/>
      <c r="AK330" s="22"/>
      <c r="AL330" s="22"/>
      <c r="AM330" s="22"/>
      <c r="AN330" s="22"/>
      <c r="AO330" s="22"/>
      <c r="AP330" s="22"/>
    </row>
    <row r="331" hidden="1">
      <c r="A331" s="8">
        <v>46060.0</v>
      </c>
      <c r="B331" s="23">
        <v>0.4513888888888889</v>
      </c>
      <c r="C331" s="10" t="s">
        <v>32</v>
      </c>
      <c r="D331" s="11" t="s">
        <v>59</v>
      </c>
      <c r="E331" s="12" t="s">
        <v>179</v>
      </c>
      <c r="F331" s="12" t="s">
        <v>929</v>
      </c>
      <c r="G331" s="12" t="s">
        <v>983</v>
      </c>
      <c r="H331" s="12" t="s">
        <v>984</v>
      </c>
      <c r="I331" s="57" t="s">
        <v>454</v>
      </c>
      <c r="J331" s="14">
        <v>49080.0</v>
      </c>
      <c r="K331" s="14">
        <v>24642.0</v>
      </c>
      <c r="L331" s="15">
        <v>0.5021</v>
      </c>
      <c r="M331" s="16">
        <v>4830.0</v>
      </c>
      <c r="N331" s="17">
        <v>0.196</v>
      </c>
      <c r="O331" s="18">
        <v>301.0</v>
      </c>
      <c r="P331" s="18">
        <v>287.0</v>
      </c>
      <c r="Q331" s="19">
        <v>0.0116</v>
      </c>
      <c r="R331" s="19">
        <v>0.0594</v>
      </c>
      <c r="S331" s="20">
        <v>2.0</v>
      </c>
      <c r="T331" s="20">
        <v>3.0</v>
      </c>
      <c r="U331" s="20">
        <v>14680.0</v>
      </c>
      <c r="V331" s="21" t="s">
        <v>183</v>
      </c>
      <c r="W331" s="18" t="s">
        <v>76</v>
      </c>
      <c r="X331" s="41" t="s">
        <v>149</v>
      </c>
      <c r="Y331" s="21" t="s">
        <v>1092</v>
      </c>
      <c r="Z331" s="20" t="s">
        <v>1097</v>
      </c>
      <c r="AA331" s="14">
        <v>52.0</v>
      </c>
      <c r="AB331" s="14">
        <v>18.0</v>
      </c>
      <c r="AC331" s="14">
        <v>34.0</v>
      </c>
      <c r="AD331" s="14">
        <v>344962.0</v>
      </c>
      <c r="AE331" s="14">
        <v>112249.0</v>
      </c>
      <c r="AF331" s="14">
        <v>232713.0</v>
      </c>
      <c r="AG331" s="22"/>
      <c r="AH331" s="22"/>
      <c r="AI331" s="22"/>
      <c r="AJ331" s="22"/>
      <c r="AK331" s="22"/>
      <c r="AL331" s="22"/>
      <c r="AM331" s="22"/>
      <c r="AN331" s="22"/>
      <c r="AO331" s="22"/>
      <c r="AP331" s="22"/>
    </row>
    <row r="332" hidden="1">
      <c r="A332" s="8">
        <v>46060.0</v>
      </c>
      <c r="B332" s="23">
        <v>0.4548611111111111</v>
      </c>
      <c r="C332" s="10" t="s">
        <v>32</v>
      </c>
      <c r="D332" s="11" t="s">
        <v>59</v>
      </c>
      <c r="E332" s="12" t="s">
        <v>179</v>
      </c>
      <c r="F332" s="12" t="s">
        <v>929</v>
      </c>
      <c r="G332" s="12" t="s">
        <v>986</v>
      </c>
      <c r="H332" s="12" t="s">
        <v>1098</v>
      </c>
      <c r="I332" s="57" t="s">
        <v>454</v>
      </c>
      <c r="J332" s="14">
        <v>147962.0</v>
      </c>
      <c r="K332" s="14">
        <v>74514.0</v>
      </c>
      <c r="L332" s="15">
        <v>0.5036</v>
      </c>
      <c r="M332" s="16">
        <v>14198.0</v>
      </c>
      <c r="N332" s="17">
        <v>0.1905</v>
      </c>
      <c r="O332" s="18">
        <v>632.0</v>
      </c>
      <c r="P332" s="18">
        <v>600.0</v>
      </c>
      <c r="Q332" s="19">
        <v>0.0081</v>
      </c>
      <c r="R332" s="19">
        <v>0.0423</v>
      </c>
      <c r="S332" s="20">
        <v>8.0</v>
      </c>
      <c r="T332" s="20">
        <v>17.0</v>
      </c>
      <c r="U332" s="20">
        <v>27379.0</v>
      </c>
      <c r="V332" s="21" t="s">
        <v>183</v>
      </c>
      <c r="W332" s="18" t="s">
        <v>76</v>
      </c>
      <c r="X332" s="41" t="s">
        <v>111</v>
      </c>
      <c r="Y332" s="21" t="s">
        <v>1092</v>
      </c>
      <c r="Z332" s="20" t="s">
        <v>1099</v>
      </c>
      <c r="AA332" s="14">
        <v>17.0</v>
      </c>
      <c r="AB332" s="14">
        <v>7.0</v>
      </c>
      <c r="AC332" s="14">
        <v>10.0</v>
      </c>
      <c r="AD332" s="14">
        <v>70455.0</v>
      </c>
      <c r="AE332" s="14">
        <v>21771.0</v>
      </c>
      <c r="AF332" s="14">
        <v>48684.0</v>
      </c>
      <c r="AG332" s="22"/>
      <c r="AH332" s="22"/>
      <c r="AI332" s="22"/>
      <c r="AJ332" s="22"/>
      <c r="AK332" s="22"/>
      <c r="AL332" s="22"/>
      <c r="AM332" s="22"/>
      <c r="AN332" s="22"/>
      <c r="AO332" s="22"/>
      <c r="AP332" s="22"/>
    </row>
    <row r="333" hidden="1">
      <c r="A333" s="8">
        <v>46060.0</v>
      </c>
      <c r="B333" s="23">
        <v>0.375</v>
      </c>
      <c r="C333" s="10" t="s">
        <v>196</v>
      </c>
      <c r="D333" s="11" t="s">
        <v>33</v>
      </c>
      <c r="E333" s="12" t="s">
        <v>179</v>
      </c>
      <c r="F333" s="12" t="s">
        <v>929</v>
      </c>
      <c r="G333" s="12" t="s">
        <v>1100</v>
      </c>
      <c r="H333" s="12" t="s">
        <v>1091</v>
      </c>
      <c r="I333" s="57" t="s">
        <v>1101</v>
      </c>
      <c r="J333" s="14">
        <v>20010.0</v>
      </c>
      <c r="K333" s="14">
        <v>2616.0</v>
      </c>
      <c r="L333" s="15">
        <v>0.1307</v>
      </c>
      <c r="M333" s="16">
        <v>255.0</v>
      </c>
      <c r="N333" s="17">
        <v>0.098</v>
      </c>
      <c r="O333" s="18">
        <v>7.0</v>
      </c>
      <c r="P333" s="18"/>
      <c r="Q333" s="19">
        <v>0.0027</v>
      </c>
      <c r="R333" s="19"/>
      <c r="S333" s="20">
        <v>0.0</v>
      </c>
      <c r="T333" s="20">
        <v>1.0</v>
      </c>
      <c r="U333" s="20">
        <v>0.0</v>
      </c>
      <c r="V333" s="21" t="s">
        <v>183</v>
      </c>
      <c r="W333" s="18" t="s">
        <v>95</v>
      </c>
      <c r="X333" s="41" t="s">
        <v>52</v>
      </c>
      <c r="Y333" s="21" t="s">
        <v>1092</v>
      </c>
      <c r="Z333" s="20" t="s">
        <v>1102</v>
      </c>
      <c r="AA333" s="14">
        <v>2.0</v>
      </c>
      <c r="AB333" s="14">
        <v>2.0</v>
      </c>
      <c r="AC333" s="14">
        <v>0.0</v>
      </c>
      <c r="AD333" s="14">
        <v>14503.0</v>
      </c>
      <c r="AE333" s="14">
        <v>14503.0</v>
      </c>
      <c r="AF333" s="14">
        <v>0.0</v>
      </c>
      <c r="AG333" s="22"/>
      <c r="AH333" s="22"/>
      <c r="AI333" s="22"/>
      <c r="AJ333" s="22"/>
      <c r="AK333" s="22"/>
      <c r="AL333" s="22"/>
      <c r="AM333" s="22"/>
      <c r="AN333" s="22"/>
      <c r="AO333" s="22"/>
      <c r="AP333" s="22"/>
    </row>
    <row r="334" hidden="1">
      <c r="A334" s="8">
        <v>46060.0</v>
      </c>
      <c r="B334" s="23">
        <v>0.375</v>
      </c>
      <c r="C334" s="10" t="s">
        <v>196</v>
      </c>
      <c r="D334" s="11" t="s">
        <v>33</v>
      </c>
      <c r="E334" s="12" t="s">
        <v>179</v>
      </c>
      <c r="F334" s="12" t="s">
        <v>929</v>
      </c>
      <c r="G334" s="12" t="s">
        <v>1103</v>
      </c>
      <c r="H334" s="12" t="s">
        <v>1104</v>
      </c>
      <c r="I334" s="57" t="s">
        <v>1101</v>
      </c>
      <c r="J334" s="14">
        <v>27604.0</v>
      </c>
      <c r="K334" s="14">
        <v>6284.0</v>
      </c>
      <c r="L334" s="15">
        <v>0.2276</v>
      </c>
      <c r="M334" s="16">
        <v>636.0</v>
      </c>
      <c r="N334" s="17">
        <v>0.101</v>
      </c>
      <c r="O334" s="18">
        <v>22.0</v>
      </c>
      <c r="P334" s="18"/>
      <c r="Q334" s="19">
        <v>0.0035</v>
      </c>
      <c r="R334" s="19"/>
      <c r="S334" s="20">
        <v>1.0</v>
      </c>
      <c r="T334" s="20">
        <v>4.0</v>
      </c>
      <c r="U334" s="20">
        <v>2519.0</v>
      </c>
      <c r="V334" s="21" t="s">
        <v>183</v>
      </c>
      <c r="W334" s="18" t="s">
        <v>95</v>
      </c>
      <c r="X334" s="41" t="s">
        <v>47</v>
      </c>
      <c r="Y334" s="21" t="s">
        <v>1092</v>
      </c>
      <c r="Z334" s="20" t="s">
        <v>1105</v>
      </c>
      <c r="AA334" s="14">
        <v>1.0</v>
      </c>
      <c r="AB334" s="14">
        <v>0.0</v>
      </c>
      <c r="AC334" s="14">
        <v>1.0</v>
      </c>
      <c r="AD334" s="14">
        <v>4697.0</v>
      </c>
      <c r="AE334" s="14">
        <v>0.0</v>
      </c>
      <c r="AF334" s="14">
        <v>4697.0</v>
      </c>
      <c r="AG334" s="22"/>
      <c r="AH334" s="22"/>
      <c r="AI334" s="22"/>
      <c r="AJ334" s="22"/>
      <c r="AK334" s="22"/>
      <c r="AL334" s="22"/>
      <c r="AM334" s="22"/>
      <c r="AN334" s="22"/>
      <c r="AO334" s="22"/>
      <c r="AP334" s="22"/>
    </row>
    <row r="335" hidden="1">
      <c r="A335" s="8">
        <v>46060.0</v>
      </c>
      <c r="B335" s="23">
        <v>0.375</v>
      </c>
      <c r="C335" s="10" t="s">
        <v>196</v>
      </c>
      <c r="D335" s="11" t="s">
        <v>33</v>
      </c>
      <c r="E335" s="12" t="s">
        <v>179</v>
      </c>
      <c r="F335" s="12" t="s">
        <v>929</v>
      </c>
      <c r="G335" s="12" t="s">
        <v>1106</v>
      </c>
      <c r="H335" s="12" t="s">
        <v>1107</v>
      </c>
      <c r="I335" s="57" t="s">
        <v>1101</v>
      </c>
      <c r="J335" s="14">
        <v>9354.0</v>
      </c>
      <c r="K335" s="14">
        <v>1753.0</v>
      </c>
      <c r="L335" s="15">
        <v>0.1874</v>
      </c>
      <c r="M335" s="16">
        <v>202.0</v>
      </c>
      <c r="N335" s="17">
        <v>0.115</v>
      </c>
      <c r="O335" s="18">
        <v>8.0</v>
      </c>
      <c r="P335" s="18"/>
      <c r="Q335" s="19">
        <v>0.0046</v>
      </c>
      <c r="R335" s="19"/>
      <c r="S335" s="20">
        <v>2.0</v>
      </c>
      <c r="T335" s="20">
        <v>4.0</v>
      </c>
      <c r="U335" s="20">
        <v>7250.0</v>
      </c>
      <c r="V335" s="21" t="s">
        <v>183</v>
      </c>
      <c r="W335" s="18" t="s">
        <v>95</v>
      </c>
      <c r="X335" s="41" t="s">
        <v>165</v>
      </c>
      <c r="Y335" s="21" t="s">
        <v>1092</v>
      </c>
      <c r="Z335" s="20" t="s">
        <v>1108</v>
      </c>
      <c r="AA335" s="14">
        <v>1.0</v>
      </c>
      <c r="AB335" s="14">
        <v>0.0</v>
      </c>
      <c r="AC335" s="14">
        <v>1.0</v>
      </c>
      <c r="AD335" s="25">
        <v>1199.0</v>
      </c>
      <c r="AE335" s="14">
        <v>0.0</v>
      </c>
      <c r="AF335" s="25">
        <v>1199.0</v>
      </c>
      <c r="AG335" s="22"/>
      <c r="AH335" s="22"/>
      <c r="AI335" s="22"/>
      <c r="AJ335" s="22"/>
      <c r="AK335" s="22"/>
      <c r="AL335" s="22"/>
      <c r="AM335" s="22"/>
      <c r="AN335" s="22"/>
      <c r="AO335" s="22"/>
      <c r="AP335" s="22"/>
    </row>
    <row r="336" hidden="1">
      <c r="A336" s="8">
        <v>46060.0</v>
      </c>
      <c r="B336" s="23">
        <v>0.375</v>
      </c>
      <c r="C336" s="10" t="s">
        <v>196</v>
      </c>
      <c r="D336" s="11" t="s">
        <v>33</v>
      </c>
      <c r="E336" s="12" t="s">
        <v>179</v>
      </c>
      <c r="F336" s="12" t="s">
        <v>929</v>
      </c>
      <c r="G336" s="12" t="s">
        <v>1109</v>
      </c>
      <c r="H336" s="12" t="s">
        <v>1110</v>
      </c>
      <c r="I336" s="57" t="s">
        <v>1101</v>
      </c>
      <c r="J336" s="14">
        <v>63777.0</v>
      </c>
      <c r="K336" s="14">
        <v>8595.0</v>
      </c>
      <c r="L336" s="15">
        <v>0.1348</v>
      </c>
      <c r="M336" s="16">
        <v>1008.0</v>
      </c>
      <c r="N336" s="17">
        <v>0.117</v>
      </c>
      <c r="O336" s="18">
        <v>26.0</v>
      </c>
      <c r="P336" s="18"/>
      <c r="Q336" s="19">
        <v>0.003</v>
      </c>
      <c r="R336" s="19"/>
      <c r="S336" s="20">
        <v>1.0</v>
      </c>
      <c r="T336" s="20">
        <v>5.0</v>
      </c>
      <c r="U336" s="20">
        <v>7919.0</v>
      </c>
      <c r="V336" s="21" t="s">
        <v>183</v>
      </c>
      <c r="W336" s="18" t="s">
        <v>95</v>
      </c>
      <c r="X336" s="41" t="s">
        <v>624</v>
      </c>
      <c r="Y336" s="21" t="s">
        <v>1092</v>
      </c>
      <c r="Z336" s="20" t="s">
        <v>1111</v>
      </c>
      <c r="AA336" s="14">
        <v>4.0</v>
      </c>
      <c r="AB336" s="14">
        <v>2.0</v>
      </c>
      <c r="AC336" s="14">
        <v>2.0</v>
      </c>
      <c r="AD336" s="14">
        <v>41841.0</v>
      </c>
      <c r="AE336" s="14">
        <v>17595.0</v>
      </c>
      <c r="AF336" s="14">
        <v>24246.0</v>
      </c>
      <c r="AG336" s="22"/>
      <c r="AH336" s="22"/>
      <c r="AI336" s="22"/>
      <c r="AJ336" s="22"/>
      <c r="AK336" s="22"/>
      <c r="AL336" s="22"/>
      <c r="AM336" s="22"/>
      <c r="AN336" s="22"/>
      <c r="AO336" s="22"/>
      <c r="AP336" s="22"/>
    </row>
    <row r="337" hidden="1">
      <c r="A337" s="8">
        <v>46060.0</v>
      </c>
      <c r="B337" s="23">
        <v>0.375</v>
      </c>
      <c r="C337" s="10" t="s">
        <v>196</v>
      </c>
      <c r="D337" s="11" t="s">
        <v>33</v>
      </c>
      <c r="E337" s="12" t="s">
        <v>179</v>
      </c>
      <c r="F337" s="12" t="s">
        <v>929</v>
      </c>
      <c r="G337" s="12" t="s">
        <v>1112</v>
      </c>
      <c r="H337" s="12" t="s">
        <v>1113</v>
      </c>
      <c r="I337" s="57" t="s">
        <v>1101</v>
      </c>
      <c r="J337" s="14">
        <v>62558.0</v>
      </c>
      <c r="K337" s="14">
        <v>12764.0</v>
      </c>
      <c r="L337" s="15">
        <v>0.204</v>
      </c>
      <c r="M337" s="16">
        <v>1326.0</v>
      </c>
      <c r="N337" s="17">
        <v>0.104</v>
      </c>
      <c r="O337" s="18">
        <v>65.0</v>
      </c>
      <c r="P337" s="18"/>
      <c r="Q337" s="19">
        <v>0.0051</v>
      </c>
      <c r="R337" s="19"/>
      <c r="S337" s="20">
        <v>1.0</v>
      </c>
      <c r="T337" s="20">
        <v>5.0</v>
      </c>
      <c r="U337" s="20">
        <v>5396.0</v>
      </c>
      <c r="V337" s="21" t="s">
        <v>183</v>
      </c>
      <c r="W337" s="18" t="s">
        <v>95</v>
      </c>
      <c r="X337" s="41" t="s">
        <v>149</v>
      </c>
      <c r="Y337" s="21" t="s">
        <v>1092</v>
      </c>
      <c r="Z337" s="20" t="s">
        <v>1114</v>
      </c>
      <c r="AA337" s="14">
        <v>15.0</v>
      </c>
      <c r="AB337" s="14">
        <v>10.0</v>
      </c>
      <c r="AC337" s="14">
        <v>14.0</v>
      </c>
      <c r="AD337" s="14">
        <v>126489.0</v>
      </c>
      <c r="AE337" s="14">
        <v>40233.0</v>
      </c>
      <c r="AF337" s="14">
        <v>86256.0</v>
      </c>
      <c r="AG337" s="22"/>
      <c r="AH337" s="22"/>
      <c r="AI337" s="22"/>
      <c r="AJ337" s="22"/>
      <c r="AK337" s="22"/>
      <c r="AL337" s="22"/>
      <c r="AM337" s="22"/>
      <c r="AN337" s="22"/>
      <c r="AO337" s="22"/>
      <c r="AP337" s="22"/>
    </row>
    <row r="338" hidden="1">
      <c r="A338" s="8">
        <v>46060.0</v>
      </c>
      <c r="B338" s="23">
        <v>0.375</v>
      </c>
      <c r="C338" s="10" t="s">
        <v>196</v>
      </c>
      <c r="D338" s="11" t="s">
        <v>33</v>
      </c>
      <c r="E338" s="12" t="s">
        <v>179</v>
      </c>
      <c r="F338" s="12" t="s">
        <v>929</v>
      </c>
      <c r="G338" s="12" t="s">
        <v>1115</v>
      </c>
      <c r="H338" s="12" t="s">
        <v>1098</v>
      </c>
      <c r="I338" s="57" t="s">
        <v>1101</v>
      </c>
      <c r="J338" s="14">
        <v>192894.0</v>
      </c>
      <c r="K338" s="14">
        <v>42929.0</v>
      </c>
      <c r="L338" s="15">
        <v>0.2226</v>
      </c>
      <c r="M338" s="16">
        <v>3985.0</v>
      </c>
      <c r="N338" s="17">
        <v>0.093</v>
      </c>
      <c r="O338" s="18">
        <v>115.0</v>
      </c>
      <c r="P338" s="18"/>
      <c r="Q338" s="19">
        <v>0.0027</v>
      </c>
      <c r="R338" s="19"/>
      <c r="S338" s="20">
        <v>1.0</v>
      </c>
      <c r="T338" s="20">
        <v>9.0</v>
      </c>
      <c r="U338" s="20">
        <v>2519.0</v>
      </c>
      <c r="V338" s="21" t="s">
        <v>183</v>
      </c>
      <c r="W338" s="18" t="s">
        <v>95</v>
      </c>
      <c r="X338" s="41" t="s">
        <v>111</v>
      </c>
      <c r="Y338" s="21" t="s">
        <v>1092</v>
      </c>
      <c r="Z338" s="20" t="s">
        <v>1116</v>
      </c>
      <c r="AA338" s="14">
        <v>7.0</v>
      </c>
      <c r="AB338" s="14">
        <v>4.0</v>
      </c>
      <c r="AC338" s="14">
        <v>3.0</v>
      </c>
      <c r="AD338" s="14">
        <v>16629.0</v>
      </c>
      <c r="AE338" s="14">
        <v>6734.0</v>
      </c>
      <c r="AF338" s="14">
        <v>9895.0</v>
      </c>
      <c r="AG338" s="22"/>
      <c r="AH338" s="22"/>
      <c r="AI338" s="22"/>
      <c r="AJ338" s="22"/>
      <c r="AK338" s="22"/>
      <c r="AL338" s="22"/>
      <c r="AM338" s="22"/>
      <c r="AN338" s="22"/>
      <c r="AO338" s="22"/>
      <c r="AP338" s="22"/>
    </row>
    <row r="339" hidden="1">
      <c r="A339" s="8">
        <v>46060.0</v>
      </c>
      <c r="B339" s="23">
        <v>0.5</v>
      </c>
      <c r="C339" s="10" t="s">
        <v>58</v>
      </c>
      <c r="D339" s="11" t="s">
        <v>59</v>
      </c>
      <c r="E339" s="12" t="s">
        <v>179</v>
      </c>
      <c r="F339" s="12" t="s">
        <v>929</v>
      </c>
      <c r="G339" s="12" t="s">
        <v>1117</v>
      </c>
      <c r="H339" s="12" t="s">
        <v>971</v>
      </c>
      <c r="I339" s="57" t="s">
        <v>61</v>
      </c>
      <c r="J339" s="14">
        <v>8743.0</v>
      </c>
      <c r="K339" s="14">
        <v>5572.0</v>
      </c>
      <c r="L339" s="15">
        <v>0.6373</v>
      </c>
      <c r="M339" s="16"/>
      <c r="N339" s="17"/>
      <c r="O339" s="18">
        <v>8.0</v>
      </c>
      <c r="P339" s="18"/>
      <c r="Q339" s="19">
        <v>0.0014</v>
      </c>
      <c r="R339" s="19"/>
      <c r="S339" s="20">
        <v>1.0</v>
      </c>
      <c r="T339" s="20">
        <v>3.0</v>
      </c>
      <c r="U339" s="20">
        <v>2518.0</v>
      </c>
      <c r="V339" s="21" t="s">
        <v>183</v>
      </c>
      <c r="W339" s="18" t="s">
        <v>62</v>
      </c>
      <c r="X339" s="41" t="s">
        <v>52</v>
      </c>
      <c r="Y339" s="21" t="s">
        <v>1092</v>
      </c>
      <c r="Z339" s="20" t="s">
        <v>1118</v>
      </c>
      <c r="AA339" s="14">
        <v>10.0</v>
      </c>
      <c r="AB339" s="14">
        <v>4.0</v>
      </c>
      <c r="AC339" s="14">
        <v>6.0</v>
      </c>
      <c r="AD339" s="14">
        <v>49304.0</v>
      </c>
      <c r="AE339" s="14">
        <v>12865.0</v>
      </c>
      <c r="AF339" s="14">
        <v>36439.0</v>
      </c>
      <c r="AG339" s="22"/>
      <c r="AH339" s="22"/>
      <c r="AI339" s="22"/>
      <c r="AJ339" s="22"/>
      <c r="AK339" s="22"/>
      <c r="AL339" s="22"/>
      <c r="AM339" s="22"/>
      <c r="AN339" s="22"/>
      <c r="AO339" s="22"/>
      <c r="AP339" s="22"/>
    </row>
    <row r="340" hidden="1">
      <c r="A340" s="8">
        <v>46060.0</v>
      </c>
      <c r="B340" s="23">
        <v>0.5</v>
      </c>
      <c r="C340" s="10" t="s">
        <v>58</v>
      </c>
      <c r="D340" s="11" t="s">
        <v>59</v>
      </c>
      <c r="E340" s="12" t="s">
        <v>179</v>
      </c>
      <c r="F340" s="12" t="s">
        <v>929</v>
      </c>
      <c r="G340" s="12" t="s">
        <v>1119</v>
      </c>
      <c r="H340" s="12" t="s">
        <v>975</v>
      </c>
      <c r="I340" s="57" t="s">
        <v>61</v>
      </c>
      <c r="J340" s="14">
        <v>10396.0</v>
      </c>
      <c r="K340" s="14">
        <v>7011.0</v>
      </c>
      <c r="L340" s="15">
        <v>0.6744</v>
      </c>
      <c r="M340" s="16"/>
      <c r="N340" s="17"/>
      <c r="O340" s="18">
        <v>7.0</v>
      </c>
      <c r="P340" s="18"/>
      <c r="Q340" s="19">
        <v>0.001</v>
      </c>
      <c r="R340" s="19"/>
      <c r="S340" s="20">
        <v>0.0</v>
      </c>
      <c r="T340" s="20">
        <v>3.0</v>
      </c>
      <c r="U340" s="20">
        <v>0.0</v>
      </c>
      <c r="V340" s="21" t="s">
        <v>183</v>
      </c>
      <c r="W340" s="18" t="s">
        <v>62</v>
      </c>
      <c r="X340" s="41" t="s">
        <v>47</v>
      </c>
      <c r="Y340" s="21" t="s">
        <v>1092</v>
      </c>
      <c r="Z340" s="20" t="s">
        <v>1120</v>
      </c>
      <c r="AA340" s="14">
        <v>3.0</v>
      </c>
      <c r="AB340" s="14">
        <v>0.0</v>
      </c>
      <c r="AC340" s="14">
        <v>3.0</v>
      </c>
      <c r="AD340" s="63">
        <v>11693.0</v>
      </c>
      <c r="AE340" s="63">
        <v>0.0</v>
      </c>
      <c r="AF340" s="63">
        <v>11693.0</v>
      </c>
      <c r="AG340" s="22"/>
      <c r="AH340" s="22"/>
      <c r="AI340" s="22"/>
      <c r="AJ340" s="22"/>
      <c r="AK340" s="22"/>
      <c r="AL340" s="22"/>
      <c r="AM340" s="22"/>
      <c r="AN340" s="22"/>
      <c r="AO340" s="22"/>
      <c r="AP340" s="22"/>
    </row>
    <row r="341" hidden="1">
      <c r="A341" s="8">
        <v>46060.0</v>
      </c>
      <c r="B341" s="23">
        <v>0.5</v>
      </c>
      <c r="C341" s="10" t="s">
        <v>58</v>
      </c>
      <c r="D341" s="11" t="s">
        <v>59</v>
      </c>
      <c r="E341" s="12" t="s">
        <v>179</v>
      </c>
      <c r="F341" s="12" t="s">
        <v>929</v>
      </c>
      <c r="G341" s="12" t="s">
        <v>1121</v>
      </c>
      <c r="H341" s="12" t="s">
        <v>978</v>
      </c>
      <c r="I341" s="57" t="s">
        <v>61</v>
      </c>
      <c r="J341" s="14">
        <v>3340.0</v>
      </c>
      <c r="K341" s="14">
        <v>2198.0</v>
      </c>
      <c r="L341" s="15">
        <v>0.6581</v>
      </c>
      <c r="M341" s="16"/>
      <c r="N341" s="17"/>
      <c r="O341" s="18">
        <v>2.0</v>
      </c>
      <c r="P341" s="18"/>
      <c r="Q341" s="19">
        <v>9.0E-4</v>
      </c>
      <c r="R341" s="19"/>
      <c r="S341" s="20">
        <v>1.0</v>
      </c>
      <c r="T341" s="20">
        <v>2.0</v>
      </c>
      <c r="U341" s="20">
        <v>2349.0</v>
      </c>
      <c r="V341" s="21" t="s">
        <v>183</v>
      </c>
      <c r="W341" s="18" t="s">
        <v>62</v>
      </c>
      <c r="X341" s="41" t="s">
        <v>165</v>
      </c>
      <c r="Y341" s="21" t="s">
        <v>1092</v>
      </c>
      <c r="Z341" s="20" t="s">
        <v>1122</v>
      </c>
      <c r="AA341" s="14">
        <v>5.0</v>
      </c>
      <c r="AB341" s="14">
        <v>2.0</v>
      </c>
      <c r="AC341" s="14">
        <v>3.0</v>
      </c>
      <c r="AD341" s="14">
        <v>15514.0</v>
      </c>
      <c r="AE341" s="63">
        <v>3418.0</v>
      </c>
      <c r="AF341" s="63">
        <v>12096.0</v>
      </c>
      <c r="AG341" s="22"/>
      <c r="AH341" s="22"/>
      <c r="AI341" s="22"/>
      <c r="AJ341" s="22"/>
      <c r="AK341" s="22"/>
      <c r="AL341" s="22"/>
      <c r="AM341" s="22"/>
      <c r="AN341" s="22"/>
      <c r="AO341" s="22"/>
      <c r="AP341" s="22"/>
    </row>
    <row r="342" hidden="1">
      <c r="A342" s="8">
        <v>46060.0</v>
      </c>
      <c r="B342" s="23">
        <v>0.5</v>
      </c>
      <c r="C342" s="10" t="s">
        <v>58</v>
      </c>
      <c r="D342" s="11" t="s">
        <v>59</v>
      </c>
      <c r="E342" s="12" t="s">
        <v>179</v>
      </c>
      <c r="F342" s="12" t="s">
        <v>929</v>
      </c>
      <c r="G342" s="12" t="s">
        <v>1123</v>
      </c>
      <c r="H342" s="12" t="s">
        <v>981</v>
      </c>
      <c r="I342" s="57" t="s">
        <v>61</v>
      </c>
      <c r="J342" s="14">
        <v>30181.0</v>
      </c>
      <c r="K342" s="14">
        <v>15990.0</v>
      </c>
      <c r="L342" s="15">
        <v>0.5298</v>
      </c>
      <c r="M342" s="16"/>
      <c r="N342" s="17"/>
      <c r="O342" s="18">
        <v>15.0</v>
      </c>
      <c r="P342" s="18"/>
      <c r="Q342" s="19">
        <v>9.0E-4</v>
      </c>
      <c r="R342" s="19"/>
      <c r="S342" s="20">
        <v>2.0</v>
      </c>
      <c r="T342" s="20">
        <v>9.0</v>
      </c>
      <c r="U342" s="20">
        <v>33758.0</v>
      </c>
      <c r="V342" s="21" t="s">
        <v>183</v>
      </c>
      <c r="W342" s="18" t="s">
        <v>62</v>
      </c>
      <c r="X342" s="41" t="s">
        <v>624</v>
      </c>
      <c r="Y342" s="21" t="s">
        <v>1092</v>
      </c>
      <c r="Z342" s="20" t="s">
        <v>1124</v>
      </c>
      <c r="AA342" s="14">
        <v>14.0</v>
      </c>
      <c r="AB342" s="14">
        <v>2.0</v>
      </c>
      <c r="AC342" s="14">
        <v>12.0</v>
      </c>
      <c r="AD342" s="14">
        <v>191988.0</v>
      </c>
      <c r="AE342" s="14">
        <v>13055.0</v>
      </c>
      <c r="AF342" s="14">
        <v>178933.0</v>
      </c>
      <c r="AG342" s="22"/>
      <c r="AH342" s="22"/>
      <c r="AI342" s="22"/>
      <c r="AJ342" s="22"/>
      <c r="AK342" s="22"/>
      <c r="AL342" s="22"/>
      <c r="AM342" s="22"/>
      <c r="AN342" s="22"/>
      <c r="AO342" s="22"/>
      <c r="AP342" s="22"/>
    </row>
    <row r="343" hidden="1">
      <c r="A343" s="8">
        <v>46060.0</v>
      </c>
      <c r="B343" s="23">
        <v>0.5</v>
      </c>
      <c r="C343" s="10" t="s">
        <v>58</v>
      </c>
      <c r="D343" s="11" t="s">
        <v>59</v>
      </c>
      <c r="E343" s="12" t="s">
        <v>179</v>
      </c>
      <c r="F343" s="12" t="s">
        <v>929</v>
      </c>
      <c r="G343" s="12" t="s">
        <v>1125</v>
      </c>
      <c r="H343" s="12" t="s">
        <v>984</v>
      </c>
      <c r="I343" s="57" t="s">
        <v>61</v>
      </c>
      <c r="J343" s="14">
        <v>21954.0</v>
      </c>
      <c r="K343" s="14">
        <v>13386.0</v>
      </c>
      <c r="L343" s="15">
        <v>0.6097</v>
      </c>
      <c r="M343" s="16"/>
      <c r="N343" s="17"/>
      <c r="O343" s="18">
        <v>6.0</v>
      </c>
      <c r="P343" s="18"/>
      <c r="Q343" s="19">
        <v>4.0E-4</v>
      </c>
      <c r="R343" s="19"/>
      <c r="S343" s="20">
        <v>4.0</v>
      </c>
      <c r="T343" s="20">
        <v>2.0</v>
      </c>
      <c r="U343" s="20">
        <v>17014.0</v>
      </c>
      <c r="V343" s="21" t="s">
        <v>183</v>
      </c>
      <c r="W343" s="18" t="s">
        <v>62</v>
      </c>
      <c r="X343" s="41" t="s">
        <v>149</v>
      </c>
      <c r="Y343" s="21" t="s">
        <v>1092</v>
      </c>
      <c r="Z343" s="20" t="s">
        <v>1126</v>
      </c>
      <c r="AA343" s="14">
        <v>15.0</v>
      </c>
      <c r="AB343" s="14">
        <v>2.0</v>
      </c>
      <c r="AC343" s="14">
        <v>13.0</v>
      </c>
      <c r="AD343" s="14">
        <v>86319.0</v>
      </c>
      <c r="AE343" s="14">
        <v>7416.0</v>
      </c>
      <c r="AF343" s="14">
        <v>78903.0</v>
      </c>
      <c r="AG343" s="22"/>
      <c r="AH343" s="22"/>
      <c r="AI343" s="22"/>
      <c r="AJ343" s="22"/>
      <c r="AK343" s="22"/>
      <c r="AL343" s="22"/>
      <c r="AM343" s="22"/>
      <c r="AN343" s="22"/>
      <c r="AO343" s="22"/>
      <c r="AP343" s="22"/>
    </row>
    <row r="344" hidden="1">
      <c r="A344" s="8">
        <v>46060.0</v>
      </c>
      <c r="B344" s="23">
        <v>0.5</v>
      </c>
      <c r="C344" s="10" t="s">
        <v>58</v>
      </c>
      <c r="D344" s="11" t="s">
        <v>59</v>
      </c>
      <c r="E344" s="12" t="s">
        <v>179</v>
      </c>
      <c r="F344" s="12" t="s">
        <v>929</v>
      </c>
      <c r="G344" s="12" t="s">
        <v>1127</v>
      </c>
      <c r="H344" s="12" t="s">
        <v>987</v>
      </c>
      <c r="I344" s="57" t="s">
        <v>61</v>
      </c>
      <c r="J344" s="14">
        <v>66646.0</v>
      </c>
      <c r="K344" s="14">
        <v>43466.0</v>
      </c>
      <c r="L344" s="15">
        <v>0.6522</v>
      </c>
      <c r="M344" s="16"/>
      <c r="N344" s="17"/>
      <c r="O344" s="18">
        <v>21.0</v>
      </c>
      <c r="P344" s="18"/>
      <c r="Q344" s="19">
        <v>5.0E-4</v>
      </c>
      <c r="R344" s="19"/>
      <c r="S344" s="20">
        <v>3.0</v>
      </c>
      <c r="T344" s="20">
        <v>13.0</v>
      </c>
      <c r="U344" s="20">
        <v>13053.0</v>
      </c>
      <c r="V344" s="21" t="s">
        <v>183</v>
      </c>
      <c r="W344" s="18" t="s">
        <v>62</v>
      </c>
      <c r="X344" s="41" t="s">
        <v>111</v>
      </c>
      <c r="Y344" s="21" t="s">
        <v>1092</v>
      </c>
      <c r="Z344" s="20" t="s">
        <v>1128</v>
      </c>
      <c r="AA344" s="14">
        <v>15.0</v>
      </c>
      <c r="AB344" s="14">
        <v>4.0</v>
      </c>
      <c r="AC344" s="14">
        <v>11.0</v>
      </c>
      <c r="AD344" s="63">
        <v>93277.0</v>
      </c>
      <c r="AE344" s="63">
        <v>17173.0</v>
      </c>
      <c r="AF344" s="63">
        <v>76104.0</v>
      </c>
      <c r="AG344" s="22"/>
      <c r="AH344" s="22"/>
      <c r="AI344" s="22"/>
      <c r="AJ344" s="22"/>
      <c r="AK344" s="22"/>
      <c r="AL344" s="22"/>
      <c r="AM344" s="22"/>
      <c r="AN344" s="22"/>
      <c r="AO344" s="22"/>
      <c r="AP344" s="22"/>
    </row>
    <row r="345" hidden="1">
      <c r="A345" s="8">
        <v>46060.0</v>
      </c>
      <c r="B345" s="23">
        <v>0.5</v>
      </c>
      <c r="C345" s="10" t="s">
        <v>58</v>
      </c>
      <c r="D345" s="11" t="s">
        <v>59</v>
      </c>
      <c r="E345" s="12" t="s">
        <v>106</v>
      </c>
      <c r="F345" s="12" t="s">
        <v>1129</v>
      </c>
      <c r="G345" s="12" t="s">
        <v>1130</v>
      </c>
      <c r="H345" s="12" t="s">
        <v>1131</v>
      </c>
      <c r="I345" s="57" t="s">
        <v>61</v>
      </c>
      <c r="J345" s="14">
        <v>39457.0</v>
      </c>
      <c r="K345" s="14">
        <v>22088.0</v>
      </c>
      <c r="L345" s="15">
        <v>0.5598</v>
      </c>
      <c r="M345" s="16"/>
      <c r="N345" s="17"/>
      <c r="O345" s="18">
        <v>0.0</v>
      </c>
      <c r="P345" s="18"/>
      <c r="Q345" s="19">
        <v>0.0</v>
      </c>
      <c r="R345" s="19"/>
      <c r="S345" s="20"/>
      <c r="T345" s="20"/>
      <c r="U345" s="20"/>
      <c r="V345" s="21" t="s">
        <v>183</v>
      </c>
      <c r="W345" s="18" t="s">
        <v>62</v>
      </c>
      <c r="X345" s="41" t="s">
        <v>69</v>
      </c>
      <c r="Y345" s="41" t="s">
        <v>1132</v>
      </c>
      <c r="Z345" s="20" t="s">
        <v>1133</v>
      </c>
      <c r="AA345" s="14">
        <v>117.0</v>
      </c>
      <c r="AB345" s="14">
        <v>0.0</v>
      </c>
      <c r="AC345" s="14">
        <v>117.0</v>
      </c>
      <c r="AD345" s="14">
        <v>1484752.0</v>
      </c>
      <c r="AE345" s="14">
        <v>0.0</v>
      </c>
      <c r="AF345" s="14">
        <v>1484752.0</v>
      </c>
      <c r="AG345" s="22"/>
      <c r="AH345" s="22"/>
      <c r="AI345" s="22"/>
      <c r="AJ345" s="22"/>
      <c r="AK345" s="22"/>
      <c r="AL345" s="22"/>
      <c r="AM345" s="22"/>
      <c r="AN345" s="22"/>
      <c r="AO345" s="22"/>
      <c r="AP345" s="22"/>
    </row>
    <row r="346" hidden="1">
      <c r="A346" s="8">
        <v>46060.0</v>
      </c>
      <c r="B346" s="23">
        <v>0.5</v>
      </c>
      <c r="C346" s="10" t="s">
        <v>58</v>
      </c>
      <c r="D346" s="11" t="s">
        <v>59</v>
      </c>
      <c r="E346" s="12" t="s">
        <v>106</v>
      </c>
      <c r="F346" s="12" t="s">
        <v>1129</v>
      </c>
      <c r="G346" s="12" t="s">
        <v>1134</v>
      </c>
      <c r="H346" s="12" t="s">
        <v>1135</v>
      </c>
      <c r="I346" s="57" t="s">
        <v>61</v>
      </c>
      <c r="J346" s="14">
        <v>73966.0</v>
      </c>
      <c r="K346" s="14">
        <v>40535.0</v>
      </c>
      <c r="L346" s="15">
        <v>0.548</v>
      </c>
      <c r="M346" s="16"/>
      <c r="N346" s="17"/>
      <c r="O346" s="18">
        <v>0.0</v>
      </c>
      <c r="P346" s="18"/>
      <c r="Q346" s="19">
        <v>0.0</v>
      </c>
      <c r="R346" s="19"/>
      <c r="S346" s="20"/>
      <c r="T346" s="20"/>
      <c r="U346" s="20"/>
      <c r="V346" s="21" t="s">
        <v>315</v>
      </c>
      <c r="W346" s="18" t="s">
        <v>62</v>
      </c>
      <c r="X346" s="41" t="s">
        <v>41</v>
      </c>
      <c r="Y346" s="41" t="s">
        <v>1132</v>
      </c>
      <c r="Z346" s="20" t="s">
        <v>1136</v>
      </c>
      <c r="AA346" s="14">
        <v>132.0</v>
      </c>
      <c r="AB346" s="14">
        <v>0.0</v>
      </c>
      <c r="AC346" s="14">
        <v>132.0</v>
      </c>
      <c r="AD346" s="14">
        <v>1662840.0</v>
      </c>
      <c r="AE346" s="14">
        <v>0.0</v>
      </c>
      <c r="AF346" s="14">
        <v>1662840.0</v>
      </c>
      <c r="AG346" s="22"/>
      <c r="AH346" s="22"/>
      <c r="AI346" s="22"/>
      <c r="AJ346" s="22"/>
      <c r="AK346" s="22"/>
      <c r="AL346" s="22"/>
      <c r="AM346" s="22"/>
      <c r="AN346" s="22"/>
      <c r="AO346" s="22"/>
      <c r="AP346" s="22"/>
    </row>
    <row r="347" hidden="1">
      <c r="A347" s="8">
        <v>46060.0</v>
      </c>
      <c r="B347" s="23">
        <v>0.5</v>
      </c>
      <c r="C347" s="10" t="s">
        <v>58</v>
      </c>
      <c r="D347" s="11" t="s">
        <v>59</v>
      </c>
      <c r="E347" s="12" t="s">
        <v>106</v>
      </c>
      <c r="F347" s="12" t="s">
        <v>1129</v>
      </c>
      <c r="G347" s="12" t="s">
        <v>1137</v>
      </c>
      <c r="H347" s="12" t="s">
        <v>1138</v>
      </c>
      <c r="I347" s="57" t="s">
        <v>61</v>
      </c>
      <c r="J347" s="14">
        <v>15131.0</v>
      </c>
      <c r="K347" s="14">
        <v>7800.0</v>
      </c>
      <c r="L347" s="15">
        <v>0.5155</v>
      </c>
      <c r="M347" s="16"/>
      <c r="N347" s="17"/>
      <c r="O347" s="18">
        <v>0.0</v>
      </c>
      <c r="P347" s="18"/>
      <c r="Q347" s="19">
        <v>0.0</v>
      </c>
      <c r="R347" s="19"/>
      <c r="S347" s="20"/>
      <c r="T347" s="20"/>
      <c r="U347" s="20"/>
      <c r="V347" s="21" t="s">
        <v>315</v>
      </c>
      <c r="W347" s="18" t="s">
        <v>62</v>
      </c>
      <c r="X347" s="41" t="s">
        <v>1139</v>
      </c>
      <c r="Y347" s="41" t="s">
        <v>1132</v>
      </c>
      <c r="Z347" s="20" t="s">
        <v>1140</v>
      </c>
      <c r="AA347" s="14">
        <v>47.0</v>
      </c>
      <c r="AB347" s="14">
        <v>0.0</v>
      </c>
      <c r="AC347" s="14">
        <v>47.0</v>
      </c>
      <c r="AD347" s="14">
        <v>742923.0</v>
      </c>
      <c r="AE347" s="14">
        <v>0.0</v>
      </c>
      <c r="AF347" s="14">
        <v>742923.0</v>
      </c>
      <c r="AG347" s="22"/>
      <c r="AH347" s="22"/>
      <c r="AI347" s="22"/>
      <c r="AJ347" s="22"/>
      <c r="AK347" s="22"/>
      <c r="AL347" s="22"/>
      <c r="AM347" s="22"/>
      <c r="AN347" s="22"/>
      <c r="AO347" s="22"/>
      <c r="AP347" s="22"/>
    </row>
    <row r="348" hidden="1">
      <c r="A348" s="8">
        <v>46060.0</v>
      </c>
      <c r="B348" s="23">
        <v>0.4166666666666667</v>
      </c>
      <c r="C348" s="10" t="s">
        <v>32</v>
      </c>
      <c r="D348" s="11" t="s">
        <v>33</v>
      </c>
      <c r="E348" s="12" t="s">
        <v>106</v>
      </c>
      <c r="F348" s="12" t="s">
        <v>1129</v>
      </c>
      <c r="G348" s="12" t="s">
        <v>1141</v>
      </c>
      <c r="H348" s="12" t="s">
        <v>1131</v>
      </c>
      <c r="I348" s="57" t="s">
        <v>1142</v>
      </c>
      <c r="J348" s="14">
        <v>56890.0</v>
      </c>
      <c r="K348" s="14">
        <v>16698.0</v>
      </c>
      <c r="L348" s="15">
        <v>0.2935</v>
      </c>
      <c r="M348" s="16">
        <v>6568.0</v>
      </c>
      <c r="N348" s="17">
        <v>0.3934</v>
      </c>
      <c r="O348" s="18">
        <v>417.0</v>
      </c>
      <c r="P348" s="18">
        <v>388.0</v>
      </c>
      <c r="Q348" s="19">
        <v>0.0232</v>
      </c>
      <c r="R348" s="19">
        <v>0.0591</v>
      </c>
      <c r="S348" s="20"/>
      <c r="T348" s="20"/>
      <c r="U348" s="20"/>
      <c r="V348" s="21" t="s">
        <v>183</v>
      </c>
      <c r="W348" s="18" t="s">
        <v>76</v>
      </c>
      <c r="X348" s="41"/>
      <c r="Y348" s="41" t="s">
        <v>1132</v>
      </c>
      <c r="Z348" s="20" t="s">
        <v>1143</v>
      </c>
      <c r="AA348" s="14">
        <v>68.0</v>
      </c>
      <c r="AB348" s="14">
        <v>0.0</v>
      </c>
      <c r="AC348" s="14">
        <v>68.0</v>
      </c>
      <c r="AD348" s="14">
        <v>851815.0</v>
      </c>
      <c r="AE348" s="14">
        <v>0.0</v>
      </c>
      <c r="AF348" s="14">
        <v>851815.0</v>
      </c>
      <c r="AG348" s="22"/>
      <c r="AH348" s="22"/>
      <c r="AI348" s="22"/>
      <c r="AJ348" s="22"/>
      <c r="AK348" s="22"/>
      <c r="AL348" s="22"/>
      <c r="AM348" s="22"/>
      <c r="AN348" s="22"/>
      <c r="AO348" s="22"/>
      <c r="AP348" s="22"/>
    </row>
    <row r="349" hidden="1">
      <c r="A349" s="8">
        <v>46060.0</v>
      </c>
      <c r="B349" s="23">
        <v>0.4166666666666667</v>
      </c>
      <c r="C349" s="10" t="s">
        <v>32</v>
      </c>
      <c r="D349" s="11" t="s">
        <v>33</v>
      </c>
      <c r="E349" s="12" t="s">
        <v>106</v>
      </c>
      <c r="F349" s="12" t="s">
        <v>1129</v>
      </c>
      <c r="G349" s="12" t="s">
        <v>1144</v>
      </c>
      <c r="H349" s="12" t="s">
        <v>1135</v>
      </c>
      <c r="I349" s="87" t="s">
        <v>1145</v>
      </c>
      <c r="J349" s="14">
        <v>117867.0</v>
      </c>
      <c r="K349" s="14">
        <v>41890.0</v>
      </c>
      <c r="L349" s="15">
        <v>0.3554</v>
      </c>
      <c r="M349" s="16">
        <v>13794.0</v>
      </c>
      <c r="N349" s="17">
        <v>0.3293</v>
      </c>
      <c r="O349" s="18">
        <v>633.0</v>
      </c>
      <c r="P349" s="18">
        <v>588.0</v>
      </c>
      <c r="Q349" s="19">
        <v>0.014</v>
      </c>
      <c r="R349" s="19">
        <v>0.0426</v>
      </c>
      <c r="S349" s="20"/>
      <c r="T349" s="20"/>
      <c r="U349" s="20"/>
      <c r="V349" s="21" t="s">
        <v>315</v>
      </c>
      <c r="W349" s="18" t="s">
        <v>76</v>
      </c>
      <c r="X349" s="41" t="s">
        <v>41</v>
      </c>
      <c r="Y349" s="41" t="s">
        <v>1132</v>
      </c>
      <c r="Z349" s="20" t="s">
        <v>1146</v>
      </c>
      <c r="AA349" s="63">
        <v>117.0</v>
      </c>
      <c r="AB349" s="63">
        <v>0.0</v>
      </c>
      <c r="AC349" s="63">
        <v>117.0</v>
      </c>
      <c r="AD349" s="63">
        <v>1466458.0</v>
      </c>
      <c r="AE349" s="63">
        <v>0.0</v>
      </c>
      <c r="AF349" s="63">
        <v>1466458.0</v>
      </c>
      <c r="AG349" s="22"/>
      <c r="AH349" s="22"/>
      <c r="AI349" s="22"/>
      <c r="AJ349" s="22"/>
      <c r="AK349" s="22"/>
      <c r="AL349" s="22"/>
      <c r="AM349" s="22"/>
      <c r="AN349" s="22"/>
      <c r="AO349" s="22"/>
      <c r="AP349" s="22"/>
    </row>
    <row r="350" hidden="1">
      <c r="A350" s="8">
        <v>46060.0</v>
      </c>
      <c r="B350" s="23">
        <v>0.4166666666666667</v>
      </c>
      <c r="C350" s="10" t="s">
        <v>32</v>
      </c>
      <c r="D350" s="11" t="s">
        <v>33</v>
      </c>
      <c r="E350" s="12" t="s">
        <v>106</v>
      </c>
      <c r="F350" s="12" t="s">
        <v>1129</v>
      </c>
      <c r="G350" s="12" t="s">
        <v>1147</v>
      </c>
      <c r="H350" s="12" t="s">
        <v>1138</v>
      </c>
      <c r="I350" s="57" t="s">
        <v>1148</v>
      </c>
      <c r="J350" s="14">
        <v>20322.0</v>
      </c>
      <c r="K350" s="14">
        <v>4896.0</v>
      </c>
      <c r="L350" s="15">
        <v>0.2409</v>
      </c>
      <c r="M350" s="16">
        <v>1879.0</v>
      </c>
      <c r="N350" s="17">
        <v>0.3838</v>
      </c>
      <c r="O350" s="18">
        <v>96.0</v>
      </c>
      <c r="P350" s="18">
        <v>89.0</v>
      </c>
      <c r="Q350" s="19">
        <v>0.0182</v>
      </c>
      <c r="R350" s="19">
        <v>0.0474</v>
      </c>
      <c r="S350" s="20"/>
      <c r="T350" s="20"/>
      <c r="U350" s="20"/>
      <c r="V350" s="21" t="s">
        <v>315</v>
      </c>
      <c r="W350" s="18" t="s">
        <v>76</v>
      </c>
      <c r="X350" s="41" t="s">
        <v>1139</v>
      </c>
      <c r="Y350" s="41" t="s">
        <v>1132</v>
      </c>
      <c r="Z350" s="20" t="s">
        <v>1149</v>
      </c>
      <c r="AA350" s="63">
        <v>23.0</v>
      </c>
      <c r="AB350" s="63"/>
      <c r="AC350" s="63">
        <v>23.0</v>
      </c>
      <c r="AD350" s="63">
        <v>318566.0</v>
      </c>
      <c r="AE350" s="63">
        <v>0.0</v>
      </c>
      <c r="AF350" s="63">
        <v>318566.0</v>
      </c>
      <c r="AG350" s="22"/>
      <c r="AH350" s="22"/>
      <c r="AI350" s="22"/>
      <c r="AJ350" s="22"/>
      <c r="AK350" s="22"/>
      <c r="AL350" s="22"/>
      <c r="AM350" s="22"/>
      <c r="AN350" s="22"/>
      <c r="AO350" s="22"/>
      <c r="AP350" s="22"/>
    </row>
    <row r="351" hidden="1">
      <c r="A351" s="8">
        <v>46061.0</v>
      </c>
      <c r="B351" s="23">
        <v>0.4166666666666667</v>
      </c>
      <c r="C351" s="10" t="s">
        <v>58</v>
      </c>
      <c r="D351" s="11" t="s">
        <v>33</v>
      </c>
      <c r="E351" s="12" t="s">
        <v>71</v>
      </c>
      <c r="F351" s="12" t="s">
        <v>955</v>
      </c>
      <c r="G351" s="12" t="s">
        <v>1150</v>
      </c>
      <c r="H351" s="12" t="s">
        <v>1151</v>
      </c>
      <c r="I351" s="87" t="s">
        <v>1152</v>
      </c>
      <c r="J351" s="14">
        <v>14668.0</v>
      </c>
      <c r="K351" s="14">
        <v>9006.0</v>
      </c>
      <c r="L351" s="15">
        <v>0.614</v>
      </c>
      <c r="M351" s="16"/>
      <c r="N351" s="17"/>
      <c r="O351" s="18">
        <v>17.0</v>
      </c>
      <c r="P351" s="18"/>
      <c r="Q351" s="19">
        <v>0.0019</v>
      </c>
      <c r="R351" s="19"/>
      <c r="S351" s="20">
        <v>0.0</v>
      </c>
      <c r="T351" s="20">
        <v>2.0</v>
      </c>
      <c r="U351" s="20">
        <v>0.0</v>
      </c>
      <c r="V351" s="21" t="s">
        <v>183</v>
      </c>
      <c r="W351" s="18" t="s">
        <v>62</v>
      </c>
      <c r="X351" s="41" t="s">
        <v>165</v>
      </c>
      <c r="Y351" s="21" t="s">
        <v>1153</v>
      </c>
      <c r="Z351" s="20" t="s">
        <v>1154</v>
      </c>
      <c r="AA351" s="14">
        <v>0.0</v>
      </c>
      <c r="AB351" s="14">
        <v>0.0</v>
      </c>
      <c r="AC351" s="14">
        <v>0.0</v>
      </c>
      <c r="AD351" s="14">
        <v>0.0</v>
      </c>
      <c r="AE351" s="14">
        <v>0.0</v>
      </c>
      <c r="AF351" s="14">
        <v>0.0</v>
      </c>
      <c r="AG351" s="22"/>
      <c r="AH351" s="22"/>
      <c r="AI351" s="22"/>
      <c r="AJ351" s="22"/>
      <c r="AK351" s="22"/>
      <c r="AL351" s="22"/>
      <c r="AM351" s="22"/>
      <c r="AN351" s="22"/>
      <c r="AO351" s="22"/>
      <c r="AP351" s="22"/>
    </row>
    <row r="352" hidden="1">
      <c r="A352" s="8">
        <v>46061.0</v>
      </c>
      <c r="B352" s="23">
        <v>0.4166666666666667</v>
      </c>
      <c r="C352" s="10" t="s">
        <v>58</v>
      </c>
      <c r="D352" s="11" t="s">
        <v>33</v>
      </c>
      <c r="E352" s="12" t="s">
        <v>71</v>
      </c>
      <c r="F352" s="12" t="s">
        <v>955</v>
      </c>
      <c r="G352" s="12" t="s">
        <v>1155</v>
      </c>
      <c r="H352" s="12" t="s">
        <v>1156</v>
      </c>
      <c r="I352" s="87" t="s">
        <v>1157</v>
      </c>
      <c r="J352" s="14">
        <v>177040.0</v>
      </c>
      <c r="K352" s="14">
        <v>103095.0</v>
      </c>
      <c r="L352" s="15">
        <v>0.5823</v>
      </c>
      <c r="M352" s="16"/>
      <c r="N352" s="17"/>
      <c r="O352" s="18">
        <v>119.0</v>
      </c>
      <c r="P352" s="18"/>
      <c r="Q352" s="19">
        <v>0.0012</v>
      </c>
      <c r="R352" s="19"/>
      <c r="S352" s="20">
        <v>11.0</v>
      </c>
      <c r="T352" s="20">
        <v>43.0</v>
      </c>
      <c r="U352" s="20">
        <v>23539.0</v>
      </c>
      <c r="V352" s="21" t="s">
        <v>183</v>
      </c>
      <c r="W352" s="18" t="s">
        <v>62</v>
      </c>
      <c r="X352" s="41" t="s">
        <v>47</v>
      </c>
      <c r="Y352" s="21" t="s">
        <v>1153</v>
      </c>
      <c r="Z352" s="20" t="s">
        <v>1158</v>
      </c>
      <c r="AA352" s="14">
        <v>3.0</v>
      </c>
      <c r="AB352" s="14">
        <v>0.0</v>
      </c>
      <c r="AC352" s="14">
        <v>3.0</v>
      </c>
      <c r="AD352" s="14">
        <v>9490.0</v>
      </c>
      <c r="AE352" s="14">
        <v>0.0</v>
      </c>
      <c r="AF352" s="14">
        <v>9490.0</v>
      </c>
      <c r="AG352" s="22"/>
      <c r="AH352" s="22"/>
      <c r="AI352" s="22"/>
      <c r="AJ352" s="22"/>
      <c r="AK352" s="22"/>
      <c r="AL352" s="22"/>
      <c r="AM352" s="22"/>
      <c r="AN352" s="22"/>
      <c r="AO352" s="22"/>
      <c r="AP352" s="22"/>
    </row>
    <row r="353" hidden="1">
      <c r="A353" s="8">
        <v>46061.0</v>
      </c>
      <c r="B353" s="23">
        <v>0.4166666666666667</v>
      </c>
      <c r="C353" s="10" t="s">
        <v>58</v>
      </c>
      <c r="D353" s="11" t="s">
        <v>33</v>
      </c>
      <c r="E353" s="12" t="s">
        <v>71</v>
      </c>
      <c r="F353" s="12" t="s">
        <v>955</v>
      </c>
      <c r="G353" s="12" t="s">
        <v>1159</v>
      </c>
      <c r="H353" s="12" t="s">
        <v>1160</v>
      </c>
      <c r="I353" s="87" t="s">
        <v>1161</v>
      </c>
      <c r="J353" s="14">
        <v>286171.0</v>
      </c>
      <c r="K353" s="14">
        <v>168717.0</v>
      </c>
      <c r="L353" s="15">
        <v>0.5896</v>
      </c>
      <c r="M353" s="16"/>
      <c r="N353" s="17"/>
      <c r="O353" s="18">
        <v>186.0</v>
      </c>
      <c r="P353" s="18"/>
      <c r="Q353" s="19">
        <v>0.0011</v>
      </c>
      <c r="R353" s="19"/>
      <c r="S353" s="20">
        <v>12.0</v>
      </c>
      <c r="T353" s="20">
        <v>25.0</v>
      </c>
      <c r="U353" s="20">
        <v>23122.0</v>
      </c>
      <c r="V353" s="21" t="s">
        <v>183</v>
      </c>
      <c r="W353" s="18" t="s">
        <v>62</v>
      </c>
      <c r="X353" s="41" t="s">
        <v>111</v>
      </c>
      <c r="Y353" s="21" t="s">
        <v>1153</v>
      </c>
      <c r="Z353" s="20" t="s">
        <v>1162</v>
      </c>
      <c r="AA353" s="14">
        <v>20.0</v>
      </c>
      <c r="AB353" s="14">
        <v>8.0</v>
      </c>
      <c r="AC353" s="14">
        <v>12.0</v>
      </c>
      <c r="AD353" s="14">
        <v>58914.0</v>
      </c>
      <c r="AE353" s="14">
        <v>20365.0</v>
      </c>
      <c r="AF353" s="14">
        <v>38549.0</v>
      </c>
      <c r="AG353" s="22"/>
      <c r="AH353" s="22"/>
      <c r="AI353" s="22"/>
      <c r="AJ353" s="22"/>
      <c r="AK353" s="22"/>
      <c r="AL353" s="22"/>
      <c r="AM353" s="22"/>
      <c r="AN353" s="22"/>
      <c r="AO353" s="22"/>
      <c r="AP353" s="22"/>
    </row>
    <row r="354" hidden="1">
      <c r="A354" s="8">
        <v>46061.0</v>
      </c>
      <c r="B354" s="23">
        <v>0.4166666666666667</v>
      </c>
      <c r="C354" s="10" t="s">
        <v>58</v>
      </c>
      <c r="D354" s="11" t="s">
        <v>33</v>
      </c>
      <c r="E354" s="12" t="s">
        <v>71</v>
      </c>
      <c r="F354" s="12" t="s">
        <v>955</v>
      </c>
      <c r="G354" s="12" t="s">
        <v>1163</v>
      </c>
      <c r="H354" s="12" t="s">
        <v>1164</v>
      </c>
      <c r="I354" s="57" t="s">
        <v>1165</v>
      </c>
      <c r="J354" s="14">
        <v>183663.0</v>
      </c>
      <c r="K354" s="14">
        <v>107489.0</v>
      </c>
      <c r="L354" s="15">
        <v>0.5853</v>
      </c>
      <c r="M354" s="16"/>
      <c r="N354" s="17"/>
      <c r="O354" s="18">
        <v>81.0</v>
      </c>
      <c r="P354" s="18"/>
      <c r="Q354" s="19">
        <v>8.0E-4</v>
      </c>
      <c r="R354" s="19"/>
      <c r="S354" s="20">
        <v>1.0</v>
      </c>
      <c r="T354" s="20">
        <v>8.0</v>
      </c>
      <c r="U354" s="20">
        <v>3596.0</v>
      </c>
      <c r="V354" s="21" t="s">
        <v>183</v>
      </c>
      <c r="W354" s="18" t="s">
        <v>62</v>
      </c>
      <c r="X354" s="41" t="s">
        <v>69</v>
      </c>
      <c r="Y354" s="21" t="s">
        <v>1153</v>
      </c>
      <c r="Z354" s="20" t="s">
        <v>1166</v>
      </c>
      <c r="AA354" s="14">
        <v>2.0</v>
      </c>
      <c r="AB354" s="14">
        <v>1.0</v>
      </c>
      <c r="AC354" s="14">
        <v>1.0</v>
      </c>
      <c r="AD354" s="14">
        <v>4595.0</v>
      </c>
      <c r="AE354" s="14">
        <v>3596.0</v>
      </c>
      <c r="AF354" s="14">
        <v>999.0</v>
      </c>
      <c r="AG354" s="22"/>
      <c r="AH354" s="22"/>
      <c r="AI354" s="22"/>
      <c r="AJ354" s="22"/>
      <c r="AK354" s="22"/>
      <c r="AL354" s="22"/>
      <c r="AM354" s="22"/>
      <c r="AN354" s="22"/>
      <c r="AO354" s="22"/>
      <c r="AP354" s="22"/>
    </row>
    <row r="355" hidden="1">
      <c r="A355" s="8">
        <v>46062.0</v>
      </c>
      <c r="B355" s="23">
        <v>0.75</v>
      </c>
      <c r="C355" s="10" t="s">
        <v>32</v>
      </c>
      <c r="D355" s="10" t="s">
        <v>33</v>
      </c>
      <c r="E355" s="12" t="s">
        <v>71</v>
      </c>
      <c r="F355" s="12" t="s">
        <v>1167</v>
      </c>
      <c r="G355" s="12" t="s">
        <v>1168</v>
      </c>
      <c r="H355" s="12" t="s">
        <v>1169</v>
      </c>
      <c r="I355" s="87" t="s">
        <v>1170</v>
      </c>
      <c r="J355" s="14">
        <v>19168.0</v>
      </c>
      <c r="K355" s="14">
        <v>4556.0</v>
      </c>
      <c r="L355" s="15">
        <v>0.2377</v>
      </c>
      <c r="M355" s="16">
        <v>2195.0</v>
      </c>
      <c r="N355" s="17">
        <v>0.4822</v>
      </c>
      <c r="O355" s="18">
        <v>173.0</v>
      </c>
      <c r="P355" s="18">
        <v>162.0</v>
      </c>
      <c r="Q355" s="19">
        <v>0.0356</v>
      </c>
      <c r="R355" s="19">
        <v>0.0738</v>
      </c>
      <c r="S355" s="20">
        <v>1.0</v>
      </c>
      <c r="T355" s="20">
        <v>9.0</v>
      </c>
      <c r="U355" s="20">
        <v>6264.0</v>
      </c>
      <c r="V355" s="21" t="s">
        <v>335</v>
      </c>
      <c r="W355" s="21" t="s">
        <v>76</v>
      </c>
      <c r="X355" s="21" t="s">
        <v>165</v>
      </c>
      <c r="Y355" s="21" t="s">
        <v>1171</v>
      </c>
      <c r="Z355" s="20" t="s">
        <v>1172</v>
      </c>
      <c r="AA355" s="14">
        <v>22.0</v>
      </c>
      <c r="AB355" s="14">
        <v>22.0</v>
      </c>
      <c r="AC355" s="14"/>
      <c r="AD355" s="61">
        <v>52071.0</v>
      </c>
      <c r="AE355" s="61">
        <v>52071.0</v>
      </c>
      <c r="AF355" s="14"/>
      <c r="AG355" s="22"/>
      <c r="AH355" s="22"/>
      <c r="AI355" s="22"/>
      <c r="AJ355" s="22"/>
      <c r="AK355" s="22"/>
      <c r="AL355" s="22"/>
      <c r="AM355" s="22"/>
      <c r="AN355" s="22"/>
      <c r="AO355" s="22"/>
      <c r="AP355" s="22"/>
    </row>
    <row r="356" hidden="1">
      <c r="A356" s="8">
        <v>46062.0</v>
      </c>
      <c r="B356" s="23">
        <v>0.75</v>
      </c>
      <c r="C356" s="10" t="s">
        <v>32</v>
      </c>
      <c r="D356" s="10" t="s">
        <v>33</v>
      </c>
      <c r="E356" s="12" t="s">
        <v>71</v>
      </c>
      <c r="F356" s="12" t="s">
        <v>1167</v>
      </c>
      <c r="G356" s="12" t="s">
        <v>1173</v>
      </c>
      <c r="H356" s="12" t="s">
        <v>1174</v>
      </c>
      <c r="I356" s="87" t="s">
        <v>1175</v>
      </c>
      <c r="J356" s="14">
        <v>10099.0</v>
      </c>
      <c r="K356" s="14">
        <v>2526.0</v>
      </c>
      <c r="L356" s="15">
        <v>0.2501</v>
      </c>
      <c r="M356" s="16">
        <v>1180.0</v>
      </c>
      <c r="N356" s="17">
        <v>0.4673</v>
      </c>
      <c r="O356" s="18">
        <v>91.0</v>
      </c>
      <c r="P356" s="18">
        <v>80.0</v>
      </c>
      <c r="Q356" s="19">
        <v>0.0317</v>
      </c>
      <c r="R356" s="19">
        <v>0.0678</v>
      </c>
      <c r="S356" s="20">
        <v>3.0</v>
      </c>
      <c r="T356" s="20">
        <v>7.0</v>
      </c>
      <c r="U356" s="20">
        <v>17987.0</v>
      </c>
      <c r="V356" s="21" t="s">
        <v>335</v>
      </c>
      <c r="W356" s="21" t="s">
        <v>76</v>
      </c>
      <c r="X356" s="21" t="s">
        <v>159</v>
      </c>
      <c r="Y356" s="21" t="s">
        <v>1171</v>
      </c>
      <c r="Z356" s="20" t="s">
        <v>1176</v>
      </c>
      <c r="AA356" s="14">
        <v>19.0</v>
      </c>
      <c r="AB356" s="14">
        <v>19.0</v>
      </c>
      <c r="AC356" s="14"/>
      <c r="AD356" s="61">
        <v>60698.0</v>
      </c>
      <c r="AE356" s="61">
        <v>60698.0</v>
      </c>
      <c r="AF356" s="14"/>
      <c r="AG356" s="22"/>
      <c r="AH356" s="22"/>
      <c r="AI356" s="22"/>
      <c r="AJ356" s="22"/>
      <c r="AK356" s="22"/>
      <c r="AL356" s="22"/>
      <c r="AM356" s="22"/>
      <c r="AN356" s="22"/>
      <c r="AO356" s="22"/>
      <c r="AP356" s="22"/>
    </row>
    <row r="357" hidden="1">
      <c r="A357" s="8">
        <v>46062.0</v>
      </c>
      <c r="B357" s="23">
        <v>0.8333333333333334</v>
      </c>
      <c r="C357" s="10" t="s">
        <v>58</v>
      </c>
      <c r="D357" s="10" t="s">
        <v>59</v>
      </c>
      <c r="E357" s="12" t="s">
        <v>71</v>
      </c>
      <c r="F357" s="12" t="s">
        <v>1167</v>
      </c>
      <c r="G357" s="12" t="s">
        <v>1177</v>
      </c>
      <c r="H357" s="12" t="s">
        <v>1174</v>
      </c>
      <c r="I357" s="87" t="s">
        <v>61</v>
      </c>
      <c r="J357" s="14">
        <v>7460.0</v>
      </c>
      <c r="K357" s="14">
        <v>3687.0</v>
      </c>
      <c r="L357" s="15">
        <v>0.4942</v>
      </c>
      <c r="M357" s="16"/>
      <c r="N357" s="17"/>
      <c r="O357" s="18">
        <v>3.0</v>
      </c>
      <c r="P357" s="18"/>
      <c r="Q357" s="19">
        <v>8.0E-4</v>
      </c>
      <c r="R357" s="19"/>
      <c r="S357" s="20">
        <v>4.0</v>
      </c>
      <c r="T357" s="20">
        <v>15.0</v>
      </c>
      <c r="U357" s="20">
        <v>14332.0</v>
      </c>
      <c r="V357" s="21" t="s">
        <v>335</v>
      </c>
      <c r="W357" s="18" t="s">
        <v>62</v>
      </c>
      <c r="X357" s="21" t="s">
        <v>159</v>
      </c>
      <c r="Y357" s="21" t="s">
        <v>1171</v>
      </c>
      <c r="Z357" s="20" t="s">
        <v>1178</v>
      </c>
      <c r="AA357" s="61">
        <v>21.0</v>
      </c>
      <c r="AB357" s="61">
        <v>21.0</v>
      </c>
      <c r="AC357" s="14"/>
      <c r="AD357" s="61">
        <v>54380.0</v>
      </c>
      <c r="AE357" s="61">
        <v>54380.0</v>
      </c>
      <c r="AF357" s="14"/>
      <c r="AG357" s="22"/>
      <c r="AH357" s="22"/>
      <c r="AI357" s="22"/>
      <c r="AJ357" s="22"/>
      <c r="AK357" s="22"/>
      <c r="AL357" s="22"/>
      <c r="AM357" s="22"/>
      <c r="AN357" s="22"/>
      <c r="AO357" s="22"/>
      <c r="AP357" s="22"/>
    </row>
    <row r="358" hidden="1">
      <c r="A358" s="8">
        <v>46062.0</v>
      </c>
      <c r="B358" s="23">
        <v>0.8333333333333334</v>
      </c>
      <c r="C358" s="10" t="s">
        <v>58</v>
      </c>
      <c r="D358" s="10" t="s">
        <v>59</v>
      </c>
      <c r="E358" s="12" t="s">
        <v>71</v>
      </c>
      <c r="F358" s="12" t="s">
        <v>1167</v>
      </c>
      <c r="G358" s="12" t="s">
        <v>1179</v>
      </c>
      <c r="H358" s="12" t="s">
        <v>1169</v>
      </c>
      <c r="I358" s="87" t="s">
        <v>61</v>
      </c>
      <c r="J358" s="14">
        <v>14388.0</v>
      </c>
      <c r="K358" s="14">
        <v>7330.0</v>
      </c>
      <c r="L358" s="15">
        <v>0.5095</v>
      </c>
      <c r="M358" s="16"/>
      <c r="N358" s="17"/>
      <c r="O358" s="18">
        <v>14.0</v>
      </c>
      <c r="P358" s="18"/>
      <c r="Q358" s="19">
        <v>0.0019</v>
      </c>
      <c r="R358" s="19"/>
      <c r="S358" s="20">
        <v>7.0</v>
      </c>
      <c r="T358" s="20">
        <v>18.0</v>
      </c>
      <c r="U358" s="20">
        <v>20188.0</v>
      </c>
      <c r="V358" s="21" t="s">
        <v>335</v>
      </c>
      <c r="W358" s="18" t="s">
        <v>62</v>
      </c>
      <c r="X358" s="21" t="s">
        <v>165</v>
      </c>
      <c r="Y358" s="21" t="s">
        <v>1171</v>
      </c>
      <c r="Z358" s="20" t="s">
        <v>1180</v>
      </c>
      <c r="AA358" s="14">
        <v>34.0</v>
      </c>
      <c r="AB358" s="14">
        <v>34.0</v>
      </c>
      <c r="AC358" s="14"/>
      <c r="AD358" s="61">
        <v>105784.0</v>
      </c>
      <c r="AE358" s="61">
        <v>105784.0</v>
      </c>
      <c r="AF358" s="14"/>
      <c r="AG358" s="22"/>
      <c r="AH358" s="22"/>
      <c r="AI358" s="22"/>
      <c r="AJ358" s="22"/>
      <c r="AK358" s="22"/>
      <c r="AL358" s="22"/>
      <c r="AM358" s="22"/>
      <c r="AN358" s="22"/>
      <c r="AO358" s="22"/>
      <c r="AP358" s="22"/>
    </row>
    <row r="359" hidden="1">
      <c r="A359" s="8">
        <v>46062.0</v>
      </c>
      <c r="B359" s="23">
        <v>0.8333333333333334</v>
      </c>
      <c r="C359" s="10" t="s">
        <v>58</v>
      </c>
      <c r="D359" s="10" t="s">
        <v>59</v>
      </c>
      <c r="E359" s="12" t="s">
        <v>71</v>
      </c>
      <c r="F359" s="12" t="s">
        <v>1167</v>
      </c>
      <c r="G359" s="12" t="s">
        <v>1181</v>
      </c>
      <c r="H359" s="12" t="s">
        <v>1182</v>
      </c>
      <c r="I359" s="87" t="s">
        <v>454</v>
      </c>
      <c r="J359" s="14">
        <v>46450.0</v>
      </c>
      <c r="K359" s="14">
        <v>27836.0</v>
      </c>
      <c r="L359" s="15">
        <v>0.5993</v>
      </c>
      <c r="M359" s="16"/>
      <c r="N359" s="17"/>
      <c r="O359" s="18">
        <v>29.0</v>
      </c>
      <c r="P359" s="18"/>
      <c r="Q359" s="19">
        <v>0.001</v>
      </c>
      <c r="R359" s="19"/>
      <c r="S359" s="20">
        <v>12.0</v>
      </c>
      <c r="T359" s="20">
        <v>19.0</v>
      </c>
      <c r="U359" s="20">
        <v>49356.0</v>
      </c>
      <c r="V359" s="21" t="s">
        <v>335</v>
      </c>
      <c r="W359" s="18" t="s">
        <v>62</v>
      </c>
      <c r="X359" s="21"/>
      <c r="Y359" s="21" t="s">
        <v>1171</v>
      </c>
      <c r="Z359" s="20" t="s">
        <v>1183</v>
      </c>
      <c r="AA359" s="14">
        <v>48.0</v>
      </c>
      <c r="AB359" s="14">
        <v>48.0</v>
      </c>
      <c r="AC359" s="14"/>
      <c r="AD359" s="14">
        <v>128587.0</v>
      </c>
      <c r="AE359" s="14">
        <v>128587.0</v>
      </c>
      <c r="AF359" s="14"/>
      <c r="AG359" s="22"/>
      <c r="AH359" s="22"/>
      <c r="AI359" s="22"/>
      <c r="AJ359" s="22"/>
      <c r="AK359" s="22"/>
      <c r="AL359" s="22"/>
      <c r="AM359" s="22"/>
      <c r="AN359" s="22"/>
      <c r="AO359" s="22"/>
      <c r="AP359" s="22"/>
    </row>
    <row r="360" hidden="1">
      <c r="A360" s="8">
        <v>46062.0</v>
      </c>
      <c r="B360" s="23">
        <v>0.8333333333333334</v>
      </c>
      <c r="C360" s="10" t="s">
        <v>58</v>
      </c>
      <c r="D360" s="10" t="s">
        <v>59</v>
      </c>
      <c r="E360" s="12" t="s">
        <v>71</v>
      </c>
      <c r="F360" s="12" t="s">
        <v>1167</v>
      </c>
      <c r="G360" s="12" t="s">
        <v>1184</v>
      </c>
      <c r="H360" s="12" t="s">
        <v>1185</v>
      </c>
      <c r="I360" s="87" t="s">
        <v>454</v>
      </c>
      <c r="J360" s="14">
        <v>15344.0</v>
      </c>
      <c r="K360" s="14">
        <v>9187.0</v>
      </c>
      <c r="L360" s="15">
        <v>0.5987</v>
      </c>
      <c r="M360" s="16"/>
      <c r="N360" s="17"/>
      <c r="O360" s="18">
        <v>12.0</v>
      </c>
      <c r="P360" s="18"/>
      <c r="Q360" s="19">
        <v>0.0013</v>
      </c>
      <c r="R360" s="19"/>
      <c r="S360" s="20">
        <v>7.0</v>
      </c>
      <c r="T360" s="20">
        <v>29.0</v>
      </c>
      <c r="U360" s="20">
        <v>15510.0</v>
      </c>
      <c r="V360" s="21"/>
      <c r="W360" s="18" t="s">
        <v>62</v>
      </c>
      <c r="X360" s="21"/>
      <c r="Y360" s="21" t="s">
        <v>1171</v>
      </c>
      <c r="Z360" s="20" t="s">
        <v>1186</v>
      </c>
      <c r="AA360" s="14">
        <v>28.0</v>
      </c>
      <c r="AB360" s="14">
        <v>28.0</v>
      </c>
      <c r="AC360" s="14"/>
      <c r="AD360" s="14">
        <v>72952.0</v>
      </c>
      <c r="AE360" s="14">
        <v>72952.0</v>
      </c>
      <c r="AF360" s="14"/>
      <c r="AG360" s="22"/>
      <c r="AH360" s="22"/>
      <c r="AI360" s="22"/>
      <c r="AJ360" s="22"/>
      <c r="AK360" s="22"/>
      <c r="AL360" s="22"/>
      <c r="AM360" s="22"/>
      <c r="AN360" s="22"/>
      <c r="AO360" s="22"/>
      <c r="AP360" s="22"/>
    </row>
    <row r="361" hidden="1">
      <c r="A361" s="8">
        <v>46062.0</v>
      </c>
      <c r="B361" s="23">
        <v>0.75</v>
      </c>
      <c r="C361" s="10" t="s">
        <v>196</v>
      </c>
      <c r="D361" s="10" t="s">
        <v>33</v>
      </c>
      <c r="E361" s="10" t="s">
        <v>71</v>
      </c>
      <c r="F361" s="12" t="s">
        <v>1167</v>
      </c>
      <c r="G361" s="12" t="s">
        <v>1187</v>
      </c>
      <c r="H361" s="12" t="s">
        <v>1182</v>
      </c>
      <c r="I361" s="87" t="s">
        <v>1188</v>
      </c>
      <c r="J361" s="14">
        <v>47812.0</v>
      </c>
      <c r="K361" s="14">
        <v>1243.0</v>
      </c>
      <c r="L361" s="15">
        <v>0.026</v>
      </c>
      <c r="M361" s="16">
        <v>184.0</v>
      </c>
      <c r="N361" s="17">
        <v>0.148</v>
      </c>
      <c r="O361" s="18">
        <v>21.0</v>
      </c>
      <c r="P361" s="48"/>
      <c r="Q361" s="19">
        <v>0.017</v>
      </c>
      <c r="R361" s="49"/>
      <c r="S361" s="88">
        <v>4.0</v>
      </c>
      <c r="T361" s="88">
        <v>1.0</v>
      </c>
      <c r="U361" s="89">
        <v>13673.0</v>
      </c>
      <c r="V361" s="21" t="s">
        <v>335</v>
      </c>
      <c r="W361" s="21" t="s">
        <v>95</v>
      </c>
      <c r="X361" s="21" t="s">
        <v>41</v>
      </c>
      <c r="Y361" s="21" t="s">
        <v>1171</v>
      </c>
      <c r="Z361" s="20" t="s">
        <v>1189</v>
      </c>
      <c r="AA361" s="14">
        <v>5.0</v>
      </c>
      <c r="AB361" s="14">
        <v>5.0</v>
      </c>
      <c r="AC361" s="14"/>
      <c r="AD361" s="14">
        <v>11650.0</v>
      </c>
      <c r="AE361" s="14">
        <v>11650.0</v>
      </c>
      <c r="AF361" s="52"/>
      <c r="AG361" s="22"/>
      <c r="AH361" s="22"/>
      <c r="AI361" s="22"/>
      <c r="AJ361" s="22"/>
      <c r="AK361" s="22"/>
      <c r="AL361" s="22"/>
      <c r="AM361" s="22"/>
      <c r="AN361" s="22"/>
      <c r="AO361" s="22"/>
      <c r="AP361" s="22"/>
    </row>
    <row r="362" hidden="1">
      <c r="A362" s="8">
        <v>46062.0</v>
      </c>
      <c r="B362" s="23">
        <v>0.75</v>
      </c>
      <c r="C362" s="10" t="s">
        <v>196</v>
      </c>
      <c r="D362" s="10" t="s">
        <v>33</v>
      </c>
      <c r="E362" s="10" t="s">
        <v>71</v>
      </c>
      <c r="F362" s="12" t="s">
        <v>1167</v>
      </c>
      <c r="G362" s="12" t="s">
        <v>1190</v>
      </c>
      <c r="H362" s="12" t="s">
        <v>1185</v>
      </c>
      <c r="I362" s="87" t="s">
        <v>1191</v>
      </c>
      <c r="J362" s="14">
        <v>17496.0</v>
      </c>
      <c r="K362" s="14">
        <v>2036.0</v>
      </c>
      <c r="L362" s="15">
        <v>0.116</v>
      </c>
      <c r="M362" s="16">
        <v>311.0</v>
      </c>
      <c r="N362" s="17">
        <v>0.153</v>
      </c>
      <c r="O362" s="18">
        <v>24.0</v>
      </c>
      <c r="P362" s="48"/>
      <c r="Q362" s="19">
        <v>0.012</v>
      </c>
      <c r="R362" s="49"/>
      <c r="S362" s="88">
        <v>2.0</v>
      </c>
      <c r="T362" s="88">
        <v>6.0</v>
      </c>
      <c r="U362" s="88">
        <v>9766.0</v>
      </c>
      <c r="V362" s="21" t="s">
        <v>335</v>
      </c>
      <c r="W362" s="21" t="s">
        <v>95</v>
      </c>
      <c r="X362" s="21" t="s">
        <v>47</v>
      </c>
      <c r="Y362" s="21" t="s">
        <v>1171</v>
      </c>
      <c r="Z362" s="20" t="s">
        <v>1192</v>
      </c>
      <c r="AA362" s="14">
        <v>35.0</v>
      </c>
      <c r="AB362" s="14">
        <v>35.0</v>
      </c>
      <c r="AC362" s="14"/>
      <c r="AD362" s="14">
        <v>73775.0</v>
      </c>
      <c r="AE362" s="14">
        <v>73775.0</v>
      </c>
      <c r="AF362" s="52"/>
      <c r="AG362" s="22"/>
      <c r="AH362" s="22"/>
      <c r="AI362" s="22"/>
      <c r="AJ362" s="22"/>
      <c r="AK362" s="22"/>
      <c r="AL362" s="22"/>
      <c r="AM362" s="22"/>
      <c r="AN362" s="22"/>
      <c r="AO362" s="22"/>
      <c r="AP362" s="22"/>
    </row>
    <row r="363" hidden="1">
      <c r="A363" s="8">
        <v>46063.0</v>
      </c>
      <c r="B363" s="23">
        <v>0.5208333333333334</v>
      </c>
      <c r="C363" s="10" t="s">
        <v>32</v>
      </c>
      <c r="D363" s="11" t="s">
        <v>33</v>
      </c>
      <c r="E363" s="12" t="s">
        <v>179</v>
      </c>
      <c r="F363" s="12" t="s">
        <v>1129</v>
      </c>
      <c r="G363" s="12" t="s">
        <v>1193</v>
      </c>
      <c r="H363" s="12" t="s">
        <v>1194</v>
      </c>
      <c r="I363" s="87" t="s">
        <v>1195</v>
      </c>
      <c r="J363" s="14">
        <v>7626.0</v>
      </c>
      <c r="K363" s="14">
        <v>3441.0</v>
      </c>
      <c r="L363" s="15">
        <v>0.4512</v>
      </c>
      <c r="M363" s="16">
        <v>732.0</v>
      </c>
      <c r="N363" s="17">
        <v>0.2128</v>
      </c>
      <c r="O363" s="18">
        <v>59.0</v>
      </c>
      <c r="P363" s="18">
        <v>44.0</v>
      </c>
      <c r="Q363" s="19">
        <v>0.0128</v>
      </c>
      <c r="R363" s="19">
        <v>0.0601</v>
      </c>
      <c r="S363" s="20">
        <v>1.0</v>
      </c>
      <c r="T363" s="20">
        <v>4.0</v>
      </c>
      <c r="U363" s="20">
        <v>2595.0</v>
      </c>
      <c r="V363" s="21" t="s">
        <v>183</v>
      </c>
      <c r="W363" s="18" t="s">
        <v>40</v>
      </c>
      <c r="X363" s="21" t="s">
        <v>52</v>
      </c>
      <c r="Y363" s="73" t="s">
        <v>1196</v>
      </c>
      <c r="Z363" s="20" t="s">
        <v>1197</v>
      </c>
      <c r="AA363" s="14">
        <v>16.0</v>
      </c>
      <c r="AB363" s="14">
        <v>7.0</v>
      </c>
      <c r="AC363" s="14">
        <v>9.0</v>
      </c>
      <c r="AD363" s="14">
        <v>99321.0</v>
      </c>
      <c r="AE363" s="14">
        <v>63414.0</v>
      </c>
      <c r="AF363" s="14">
        <v>35907.0</v>
      </c>
      <c r="AG363" s="22"/>
      <c r="AH363" s="22"/>
      <c r="AI363" s="22"/>
      <c r="AJ363" s="22"/>
      <c r="AK363" s="22"/>
      <c r="AL363" s="22"/>
      <c r="AM363" s="22"/>
      <c r="AN363" s="22"/>
      <c r="AO363" s="22"/>
      <c r="AP363" s="22"/>
    </row>
    <row r="364" hidden="1">
      <c r="A364" s="8">
        <v>46063.0</v>
      </c>
      <c r="B364" s="23">
        <v>0.5243055555555556</v>
      </c>
      <c r="C364" s="10" t="s">
        <v>32</v>
      </c>
      <c r="D364" s="11" t="s">
        <v>33</v>
      </c>
      <c r="E364" s="12" t="s">
        <v>179</v>
      </c>
      <c r="F364" s="12" t="s">
        <v>1129</v>
      </c>
      <c r="G364" s="12" t="s">
        <v>1198</v>
      </c>
      <c r="H364" s="12" t="s">
        <v>1199</v>
      </c>
      <c r="I364" s="87" t="s">
        <v>1200</v>
      </c>
      <c r="J364" s="14">
        <v>14542.0</v>
      </c>
      <c r="K364" s="14">
        <v>6656.0</v>
      </c>
      <c r="L364" s="15">
        <v>0.4577</v>
      </c>
      <c r="M364" s="16">
        <v>1524.0</v>
      </c>
      <c r="N364" s="17">
        <v>0.2287</v>
      </c>
      <c r="O364" s="18">
        <v>97.0</v>
      </c>
      <c r="P364" s="18">
        <v>82.0</v>
      </c>
      <c r="Q364" s="19">
        <v>0.0123</v>
      </c>
      <c r="R364" s="19">
        <v>0.0539</v>
      </c>
      <c r="S364" s="20">
        <v>1.0</v>
      </c>
      <c r="T364" s="20">
        <v>2.0</v>
      </c>
      <c r="U364" s="20">
        <v>4814.0</v>
      </c>
      <c r="V364" s="21" t="s">
        <v>183</v>
      </c>
      <c r="W364" s="18" t="s">
        <v>40</v>
      </c>
      <c r="X364" s="21" t="s">
        <v>159</v>
      </c>
      <c r="Y364" s="73" t="s">
        <v>1196</v>
      </c>
      <c r="Z364" s="20" t="s">
        <v>1201</v>
      </c>
      <c r="AA364" s="14">
        <v>12.0</v>
      </c>
      <c r="AB364" s="14">
        <v>8.0</v>
      </c>
      <c r="AC364" s="14">
        <v>4.0</v>
      </c>
      <c r="AD364" s="14">
        <v>64142.0</v>
      </c>
      <c r="AE364" s="14">
        <v>52262.0</v>
      </c>
      <c r="AF364" s="14">
        <v>11880.0</v>
      </c>
      <c r="AG364" s="22"/>
      <c r="AH364" s="22"/>
      <c r="AI364" s="22"/>
      <c r="AJ364" s="22"/>
      <c r="AK364" s="22"/>
      <c r="AL364" s="22"/>
      <c r="AM364" s="22"/>
      <c r="AN364" s="22"/>
      <c r="AO364" s="22"/>
      <c r="AP364" s="22"/>
    </row>
    <row r="365" hidden="1">
      <c r="A365" s="8">
        <v>46063.0</v>
      </c>
      <c r="B365" s="23">
        <v>0.5277777777777778</v>
      </c>
      <c r="C365" s="10" t="s">
        <v>32</v>
      </c>
      <c r="D365" s="11" t="s">
        <v>33</v>
      </c>
      <c r="E365" s="12" t="s">
        <v>179</v>
      </c>
      <c r="F365" s="12" t="s">
        <v>1129</v>
      </c>
      <c r="G365" s="12" t="s">
        <v>1202</v>
      </c>
      <c r="H365" s="12" t="s">
        <v>1203</v>
      </c>
      <c r="I365" s="57" t="s">
        <v>1204</v>
      </c>
      <c r="J365" s="14">
        <v>39264.0</v>
      </c>
      <c r="K365" s="14">
        <v>16065.0</v>
      </c>
      <c r="L365" s="15">
        <v>0.4092</v>
      </c>
      <c r="M365" s="16">
        <v>2937.0</v>
      </c>
      <c r="N365" s="17">
        <v>0.1828</v>
      </c>
      <c r="O365" s="18">
        <v>281.0</v>
      </c>
      <c r="P365" s="18">
        <v>248.0</v>
      </c>
      <c r="Q365" s="19">
        <v>0.0154</v>
      </c>
      <c r="R365" s="19">
        <v>0.0844</v>
      </c>
      <c r="S365" s="20">
        <v>29.0</v>
      </c>
      <c r="T365" s="20">
        <v>75.0</v>
      </c>
      <c r="U365" s="20">
        <v>132822.0</v>
      </c>
      <c r="V365" s="21" t="s">
        <v>183</v>
      </c>
      <c r="W365" s="18" t="s">
        <v>40</v>
      </c>
      <c r="X365" s="21" t="s">
        <v>82</v>
      </c>
      <c r="Y365" s="73" t="s">
        <v>1196</v>
      </c>
      <c r="Z365" s="20" t="s">
        <v>1205</v>
      </c>
      <c r="AA365" s="14">
        <v>153.0</v>
      </c>
      <c r="AB365" s="14">
        <v>70.0</v>
      </c>
      <c r="AC365" s="14">
        <v>83.0</v>
      </c>
      <c r="AD365" s="14">
        <v>1185836.0</v>
      </c>
      <c r="AE365" s="14">
        <v>639243.0</v>
      </c>
      <c r="AF365" s="14">
        <v>546593.0</v>
      </c>
      <c r="AG365" s="22"/>
      <c r="AH365" s="22"/>
      <c r="AI365" s="22"/>
      <c r="AJ365" s="22"/>
      <c r="AK365" s="22"/>
      <c r="AL365" s="22"/>
      <c r="AM365" s="22"/>
      <c r="AN365" s="22"/>
      <c r="AO365" s="22"/>
      <c r="AP365" s="22"/>
    </row>
    <row r="366" hidden="1">
      <c r="A366" s="8">
        <v>46063.0</v>
      </c>
      <c r="B366" s="23">
        <v>0.53125</v>
      </c>
      <c r="C366" s="10" t="s">
        <v>32</v>
      </c>
      <c r="D366" s="11" t="s">
        <v>33</v>
      </c>
      <c r="E366" s="12" t="s">
        <v>179</v>
      </c>
      <c r="F366" s="12" t="s">
        <v>1129</v>
      </c>
      <c r="G366" s="12" t="s">
        <v>1206</v>
      </c>
      <c r="H366" s="12" t="s">
        <v>1207</v>
      </c>
      <c r="I366" s="57" t="s">
        <v>1208</v>
      </c>
      <c r="J366" s="14">
        <v>51071.0</v>
      </c>
      <c r="K366" s="14">
        <v>25199.0</v>
      </c>
      <c r="L366" s="15">
        <v>0.4934</v>
      </c>
      <c r="M366" s="16">
        <v>6757.0</v>
      </c>
      <c r="N366" s="17">
        <v>0.2681</v>
      </c>
      <c r="O366" s="18">
        <v>538.0</v>
      </c>
      <c r="P366" s="18">
        <v>457.0</v>
      </c>
      <c r="Q366" s="19">
        <v>0.0181</v>
      </c>
      <c r="R366" s="19">
        <v>0.0676</v>
      </c>
      <c r="S366" s="20">
        <v>15.0</v>
      </c>
      <c r="T366" s="20">
        <v>65.0</v>
      </c>
      <c r="U366" s="20">
        <v>52297.0</v>
      </c>
      <c r="V366" s="21" t="s">
        <v>183</v>
      </c>
      <c r="W366" s="18" t="s">
        <v>40</v>
      </c>
      <c r="X366" s="21" t="s">
        <v>47</v>
      </c>
      <c r="Y366" s="73" t="s">
        <v>1196</v>
      </c>
      <c r="Z366" s="20" t="s">
        <v>1209</v>
      </c>
      <c r="AA366" s="14">
        <v>88.0</v>
      </c>
      <c r="AB366" s="14">
        <v>48.0</v>
      </c>
      <c r="AC366" s="14">
        <v>40.0</v>
      </c>
      <c r="AD366" s="14">
        <v>444917.0</v>
      </c>
      <c r="AE366" s="14">
        <v>290339.0</v>
      </c>
      <c r="AF366" s="14">
        <v>154578.0</v>
      </c>
      <c r="AG366" s="22"/>
      <c r="AH366" s="22"/>
      <c r="AI366" s="22"/>
      <c r="AJ366" s="22"/>
      <c r="AK366" s="22"/>
      <c r="AL366" s="22"/>
      <c r="AM366" s="22"/>
      <c r="AN366" s="22"/>
      <c r="AO366" s="22"/>
      <c r="AP366" s="22"/>
    </row>
    <row r="367" hidden="1">
      <c r="A367" s="8">
        <v>46063.0</v>
      </c>
      <c r="B367" s="23">
        <v>0.5625</v>
      </c>
      <c r="C367" s="10" t="s">
        <v>58</v>
      </c>
      <c r="D367" s="11" t="s">
        <v>59</v>
      </c>
      <c r="E367" s="12" t="s">
        <v>179</v>
      </c>
      <c r="F367" s="12" t="s">
        <v>1129</v>
      </c>
      <c r="G367" s="12" t="s">
        <v>1210</v>
      </c>
      <c r="H367" s="12" t="s">
        <v>1194</v>
      </c>
      <c r="I367" s="57" t="s">
        <v>61</v>
      </c>
      <c r="J367" s="14">
        <v>3774.0</v>
      </c>
      <c r="K367" s="14">
        <v>2304.0</v>
      </c>
      <c r="L367" s="15">
        <v>0.6105</v>
      </c>
      <c r="M367" s="16"/>
      <c r="N367" s="17"/>
      <c r="O367" s="18">
        <v>5.0</v>
      </c>
      <c r="P367" s="18"/>
      <c r="Q367" s="19">
        <v>0.0022</v>
      </c>
      <c r="R367" s="19"/>
      <c r="S367" s="20">
        <v>5.0</v>
      </c>
      <c r="T367" s="20">
        <v>3.0</v>
      </c>
      <c r="U367" s="20">
        <v>48850.0</v>
      </c>
      <c r="V367" s="21" t="s">
        <v>183</v>
      </c>
      <c r="W367" s="18" t="s">
        <v>62</v>
      </c>
      <c r="X367" s="21" t="s">
        <v>52</v>
      </c>
      <c r="Y367" s="73" t="s">
        <v>1196</v>
      </c>
      <c r="Z367" s="20" t="s">
        <v>1211</v>
      </c>
      <c r="AA367" s="14">
        <v>9.0</v>
      </c>
      <c r="AB367" s="14">
        <v>7.0</v>
      </c>
      <c r="AC367" s="14">
        <v>2.0</v>
      </c>
      <c r="AD367" s="14">
        <v>44295.0</v>
      </c>
      <c r="AE367" s="14">
        <v>38577.0</v>
      </c>
      <c r="AF367" s="14">
        <v>5718.0</v>
      </c>
      <c r="AG367" s="22"/>
      <c r="AH367" s="22"/>
      <c r="AI367" s="22"/>
      <c r="AJ367" s="22"/>
      <c r="AK367" s="22"/>
      <c r="AL367" s="22"/>
      <c r="AM367" s="22"/>
      <c r="AN367" s="22"/>
      <c r="AO367" s="22"/>
      <c r="AP367" s="22"/>
    </row>
    <row r="368" hidden="1">
      <c r="A368" s="8">
        <v>46063.0</v>
      </c>
      <c r="B368" s="23">
        <v>0.5625</v>
      </c>
      <c r="C368" s="10" t="s">
        <v>58</v>
      </c>
      <c r="D368" s="11" t="s">
        <v>59</v>
      </c>
      <c r="E368" s="12" t="s">
        <v>179</v>
      </c>
      <c r="F368" s="12" t="s">
        <v>1129</v>
      </c>
      <c r="G368" s="12" t="s">
        <v>1212</v>
      </c>
      <c r="H368" s="12" t="s">
        <v>1199</v>
      </c>
      <c r="I368" s="57" t="s">
        <v>61</v>
      </c>
      <c r="J368" s="14">
        <v>7164.0</v>
      </c>
      <c r="K368" s="14">
        <v>4249.0</v>
      </c>
      <c r="L368" s="15">
        <v>0.5931</v>
      </c>
      <c r="M368" s="16"/>
      <c r="N368" s="17"/>
      <c r="O368" s="18">
        <v>7.0</v>
      </c>
      <c r="P368" s="18"/>
      <c r="Q368" s="19">
        <v>0.0016</v>
      </c>
      <c r="R368" s="19"/>
      <c r="S368" s="20">
        <v>0.0</v>
      </c>
      <c r="T368" s="20">
        <v>2.0</v>
      </c>
      <c r="U368" s="20">
        <v>0.0</v>
      </c>
      <c r="V368" s="21" t="s">
        <v>183</v>
      </c>
      <c r="W368" s="18" t="s">
        <v>62</v>
      </c>
      <c r="X368" s="21" t="s">
        <v>159</v>
      </c>
      <c r="Y368" s="73" t="s">
        <v>1196</v>
      </c>
      <c r="Z368" s="20" t="s">
        <v>1213</v>
      </c>
      <c r="AA368" s="14">
        <v>9.0</v>
      </c>
      <c r="AB368" s="14">
        <v>6.0</v>
      </c>
      <c r="AC368" s="14">
        <v>3.0</v>
      </c>
      <c r="AD368" s="14">
        <v>95604.0</v>
      </c>
      <c r="AE368" s="14">
        <v>85549.0</v>
      </c>
      <c r="AF368" s="14">
        <v>10055.0</v>
      </c>
      <c r="AG368" s="22"/>
      <c r="AH368" s="22"/>
      <c r="AI368" s="22"/>
      <c r="AJ368" s="22"/>
      <c r="AK368" s="22"/>
      <c r="AL368" s="22"/>
      <c r="AM368" s="22"/>
      <c r="AN368" s="22"/>
      <c r="AO368" s="22"/>
      <c r="AP368" s="22"/>
    </row>
    <row r="369" hidden="1">
      <c r="A369" s="8">
        <v>46063.0</v>
      </c>
      <c r="B369" s="23">
        <v>0.5625</v>
      </c>
      <c r="C369" s="10" t="s">
        <v>58</v>
      </c>
      <c r="D369" s="11" t="s">
        <v>59</v>
      </c>
      <c r="E369" s="12" t="s">
        <v>179</v>
      </c>
      <c r="F369" s="12" t="s">
        <v>1129</v>
      </c>
      <c r="G369" s="12" t="s">
        <v>1214</v>
      </c>
      <c r="H369" s="12" t="s">
        <v>1203</v>
      </c>
      <c r="I369" s="57" t="s">
        <v>61</v>
      </c>
      <c r="J369" s="14">
        <v>20574.0</v>
      </c>
      <c r="K369" s="14">
        <v>12215.0</v>
      </c>
      <c r="L369" s="15">
        <v>0.5937</v>
      </c>
      <c r="M369" s="16"/>
      <c r="N369" s="17"/>
      <c r="O369" s="18">
        <v>41.0</v>
      </c>
      <c r="P369" s="18"/>
      <c r="Q369" s="19">
        <v>0.0034</v>
      </c>
      <c r="R369" s="19"/>
      <c r="S369" s="20">
        <v>28.0</v>
      </c>
      <c r="T369" s="20">
        <v>57.0</v>
      </c>
      <c r="U369" s="20">
        <v>166716.0</v>
      </c>
      <c r="V369" s="21" t="s">
        <v>183</v>
      </c>
      <c r="W369" s="18" t="s">
        <v>62</v>
      </c>
      <c r="X369" s="21" t="s">
        <v>82</v>
      </c>
      <c r="Y369" s="73" t="s">
        <v>1196</v>
      </c>
      <c r="Z369" s="20" t="s">
        <v>1215</v>
      </c>
      <c r="AA369" s="14">
        <v>133.0</v>
      </c>
      <c r="AB369" s="14">
        <v>63.0</v>
      </c>
      <c r="AC369" s="14">
        <v>70.0</v>
      </c>
      <c r="AD369" s="14">
        <v>2124929.0</v>
      </c>
      <c r="AE369" s="14">
        <v>398020.0</v>
      </c>
      <c r="AF369" s="14">
        <v>1726909.0</v>
      </c>
      <c r="AG369" s="22"/>
      <c r="AH369" s="22"/>
      <c r="AI369" s="22"/>
      <c r="AJ369" s="22"/>
      <c r="AK369" s="22"/>
      <c r="AL369" s="22"/>
      <c r="AM369" s="22"/>
      <c r="AN369" s="22"/>
      <c r="AO369" s="22"/>
      <c r="AP369" s="22"/>
    </row>
    <row r="370" hidden="1">
      <c r="A370" s="8">
        <v>46063.0</v>
      </c>
      <c r="B370" s="23">
        <v>0.5625</v>
      </c>
      <c r="C370" s="10" t="s">
        <v>58</v>
      </c>
      <c r="D370" s="11" t="s">
        <v>59</v>
      </c>
      <c r="E370" s="12" t="s">
        <v>179</v>
      </c>
      <c r="F370" s="12" t="s">
        <v>1129</v>
      </c>
      <c r="G370" s="12" t="s">
        <v>1216</v>
      </c>
      <c r="H370" s="12" t="s">
        <v>1207</v>
      </c>
      <c r="I370" s="57" t="s">
        <v>61</v>
      </c>
      <c r="J370" s="14">
        <v>24730.0</v>
      </c>
      <c r="K370" s="14">
        <v>16214.0</v>
      </c>
      <c r="L370" s="15">
        <v>0.6556</v>
      </c>
      <c r="M370" s="16"/>
      <c r="N370" s="17"/>
      <c r="O370" s="18">
        <v>44.0</v>
      </c>
      <c r="P370" s="18"/>
      <c r="Q370" s="19">
        <v>0.0027</v>
      </c>
      <c r="R370" s="19"/>
      <c r="S370" s="20">
        <v>14.0</v>
      </c>
      <c r="T370" s="20">
        <v>47.0</v>
      </c>
      <c r="U370" s="20">
        <v>53072.0</v>
      </c>
      <c r="V370" s="21" t="s">
        <v>183</v>
      </c>
      <c r="W370" s="18" t="s">
        <v>62</v>
      </c>
      <c r="X370" s="21" t="s">
        <v>47</v>
      </c>
      <c r="Y370" s="73" t="s">
        <v>1196</v>
      </c>
      <c r="Z370" s="20" t="s">
        <v>1217</v>
      </c>
      <c r="AA370" s="14">
        <v>92.0</v>
      </c>
      <c r="AB370" s="14">
        <v>48.0</v>
      </c>
      <c r="AC370" s="14">
        <v>44.0</v>
      </c>
      <c r="AD370" s="14">
        <v>520704.0</v>
      </c>
      <c r="AE370" s="14">
        <v>233383.0</v>
      </c>
      <c r="AF370" s="14">
        <v>287321.0</v>
      </c>
      <c r="AG370" s="22"/>
      <c r="AH370" s="22"/>
      <c r="AI370" s="22"/>
      <c r="AJ370" s="22"/>
      <c r="AK370" s="22"/>
      <c r="AL370" s="22"/>
      <c r="AM370" s="22"/>
      <c r="AN370" s="22"/>
      <c r="AO370" s="22"/>
      <c r="AP370" s="22"/>
    </row>
    <row r="371" hidden="1">
      <c r="A371" s="26">
        <v>46064.0</v>
      </c>
      <c r="B371" s="27">
        <v>0.7604166666666666</v>
      </c>
      <c r="C371" s="28" t="s">
        <v>196</v>
      </c>
      <c r="D371" s="29" t="s">
        <v>33</v>
      </c>
      <c r="E371" s="30" t="s">
        <v>34</v>
      </c>
      <c r="F371" s="30" t="s">
        <v>1129</v>
      </c>
      <c r="G371" s="30" t="s">
        <v>1218</v>
      </c>
      <c r="H371" s="30" t="s">
        <v>1219</v>
      </c>
      <c r="I371" s="72" t="s">
        <v>1220</v>
      </c>
      <c r="J371" s="33">
        <v>1109.0</v>
      </c>
      <c r="K371" s="33">
        <v>301.0</v>
      </c>
      <c r="L371" s="34">
        <v>0.2714</v>
      </c>
      <c r="M371" s="35">
        <v>56.0</v>
      </c>
      <c r="N371" s="36">
        <v>0.186</v>
      </c>
      <c r="O371" s="37">
        <v>8.0</v>
      </c>
      <c r="P371" s="37"/>
      <c r="Q371" s="38">
        <v>0.0266</v>
      </c>
      <c r="R371" s="38"/>
      <c r="S371" s="39">
        <v>0.0</v>
      </c>
      <c r="T371" s="39">
        <v>3.0</v>
      </c>
      <c r="U371" s="39">
        <v>0.0</v>
      </c>
      <c r="V371" s="41" t="s">
        <v>335</v>
      </c>
      <c r="W371" s="37" t="s">
        <v>95</v>
      </c>
      <c r="X371" s="41" t="s">
        <v>1221</v>
      </c>
      <c r="Y371" s="21" t="s">
        <v>1222</v>
      </c>
      <c r="Z371" s="39" t="s">
        <v>1223</v>
      </c>
      <c r="AA371" s="14">
        <v>0.0</v>
      </c>
      <c r="AB371" s="14">
        <v>0.0</v>
      </c>
      <c r="AC371" s="33"/>
      <c r="AD371" s="33">
        <v>0.0</v>
      </c>
      <c r="AE371" s="33">
        <v>0.0</v>
      </c>
      <c r="AF371" s="33"/>
      <c r="AG371" s="43"/>
      <c r="AH371" s="43"/>
      <c r="AI371" s="43"/>
      <c r="AJ371" s="43"/>
      <c r="AK371" s="43"/>
      <c r="AL371" s="43"/>
      <c r="AM371" s="43"/>
      <c r="AN371" s="43"/>
      <c r="AO371" s="43"/>
      <c r="AP371" s="43"/>
    </row>
    <row r="372" hidden="1">
      <c r="A372" s="26">
        <v>46064.0</v>
      </c>
      <c r="B372" s="27">
        <v>0.7604166666666666</v>
      </c>
      <c r="C372" s="28" t="s">
        <v>196</v>
      </c>
      <c r="D372" s="29" t="s">
        <v>33</v>
      </c>
      <c r="E372" s="30" t="s">
        <v>34</v>
      </c>
      <c r="F372" s="30" t="s">
        <v>1129</v>
      </c>
      <c r="G372" s="30" t="s">
        <v>1224</v>
      </c>
      <c r="H372" s="30" t="s">
        <v>1225</v>
      </c>
      <c r="I372" s="72" t="s">
        <v>1226</v>
      </c>
      <c r="J372" s="33">
        <v>1268.0</v>
      </c>
      <c r="K372" s="33">
        <v>246.0</v>
      </c>
      <c r="L372" s="34">
        <v>0.194</v>
      </c>
      <c r="M372" s="35">
        <v>33.0</v>
      </c>
      <c r="N372" s="36">
        <v>0.134</v>
      </c>
      <c r="O372" s="37">
        <v>0.0</v>
      </c>
      <c r="P372" s="37"/>
      <c r="Q372" s="38">
        <v>0.0</v>
      </c>
      <c r="R372" s="38"/>
      <c r="S372" s="39">
        <v>0.0</v>
      </c>
      <c r="T372" s="39">
        <v>0.0</v>
      </c>
      <c r="U372" s="39">
        <v>0.0</v>
      </c>
      <c r="V372" s="41" t="s">
        <v>183</v>
      </c>
      <c r="W372" s="37" t="s">
        <v>95</v>
      </c>
      <c r="X372" s="41" t="s">
        <v>1227</v>
      </c>
      <c r="Y372" s="21" t="s">
        <v>1222</v>
      </c>
      <c r="Z372" s="39" t="s">
        <v>1228</v>
      </c>
      <c r="AA372" s="14">
        <v>0.0</v>
      </c>
      <c r="AB372" s="14">
        <v>0.0</v>
      </c>
      <c r="AC372" s="33">
        <v>0.0</v>
      </c>
      <c r="AD372" s="33">
        <v>0.0</v>
      </c>
      <c r="AE372" s="33">
        <v>0.0</v>
      </c>
      <c r="AF372" s="33">
        <v>0.0</v>
      </c>
      <c r="AG372" s="43"/>
      <c r="AH372" s="43"/>
      <c r="AI372" s="43"/>
      <c r="AJ372" s="43"/>
      <c r="AK372" s="43"/>
      <c r="AL372" s="43"/>
      <c r="AM372" s="43"/>
      <c r="AN372" s="43"/>
      <c r="AO372" s="43"/>
      <c r="AP372" s="43"/>
    </row>
    <row r="373" hidden="1">
      <c r="A373" s="26">
        <v>46064.0</v>
      </c>
      <c r="B373" s="27">
        <v>0.7604166666666666</v>
      </c>
      <c r="C373" s="28" t="s">
        <v>196</v>
      </c>
      <c r="D373" s="29" t="s">
        <v>33</v>
      </c>
      <c r="E373" s="30" t="s">
        <v>34</v>
      </c>
      <c r="F373" s="30" t="s">
        <v>1129</v>
      </c>
      <c r="G373" s="30" t="s">
        <v>1229</v>
      </c>
      <c r="H373" s="30" t="s">
        <v>1230</v>
      </c>
      <c r="I373" s="72" t="s">
        <v>1231</v>
      </c>
      <c r="J373" s="33">
        <v>5119.0</v>
      </c>
      <c r="K373" s="33">
        <v>1071.0</v>
      </c>
      <c r="L373" s="34">
        <v>0.2092</v>
      </c>
      <c r="M373" s="35">
        <v>153.0</v>
      </c>
      <c r="N373" s="36">
        <v>0.143</v>
      </c>
      <c r="O373" s="37">
        <v>2.0</v>
      </c>
      <c r="P373" s="37"/>
      <c r="Q373" s="38">
        <v>0.0019</v>
      </c>
      <c r="R373" s="38"/>
      <c r="S373" s="39">
        <v>0.0</v>
      </c>
      <c r="T373" s="39">
        <v>1.0</v>
      </c>
      <c r="U373" s="39">
        <v>0.0</v>
      </c>
      <c r="V373" s="41" t="s">
        <v>183</v>
      </c>
      <c r="W373" s="37" t="s">
        <v>95</v>
      </c>
      <c r="X373" s="41" t="s">
        <v>52</v>
      </c>
      <c r="Y373" s="21" t="s">
        <v>1222</v>
      </c>
      <c r="Z373" s="39" t="s">
        <v>1232</v>
      </c>
      <c r="AA373" s="14">
        <v>1.0</v>
      </c>
      <c r="AB373" s="14">
        <v>0.0</v>
      </c>
      <c r="AC373" s="33">
        <v>1.0</v>
      </c>
      <c r="AD373" s="33">
        <v>29997.0</v>
      </c>
      <c r="AE373" s="33">
        <v>0.0</v>
      </c>
      <c r="AF373" s="33">
        <v>29997.0</v>
      </c>
      <c r="AG373" s="43"/>
      <c r="AH373" s="43"/>
      <c r="AI373" s="43"/>
      <c r="AJ373" s="43"/>
      <c r="AK373" s="43"/>
      <c r="AL373" s="43"/>
      <c r="AM373" s="43"/>
      <c r="AN373" s="43"/>
      <c r="AO373" s="43"/>
      <c r="AP373" s="43"/>
    </row>
    <row r="374" hidden="1">
      <c r="A374" s="26">
        <v>46064.0</v>
      </c>
      <c r="B374" s="27">
        <v>0.7604166666666666</v>
      </c>
      <c r="C374" s="28" t="s">
        <v>196</v>
      </c>
      <c r="D374" s="29" t="s">
        <v>33</v>
      </c>
      <c r="E374" s="30" t="s">
        <v>34</v>
      </c>
      <c r="F374" s="30" t="s">
        <v>1129</v>
      </c>
      <c r="G374" s="30" t="s">
        <v>1233</v>
      </c>
      <c r="H374" s="30" t="s">
        <v>1234</v>
      </c>
      <c r="I374" s="72" t="s">
        <v>1235</v>
      </c>
      <c r="J374" s="33">
        <v>90120.0</v>
      </c>
      <c r="K374" s="33">
        <v>19508.0</v>
      </c>
      <c r="L374" s="34">
        <v>0.2165</v>
      </c>
      <c r="M374" s="35">
        <v>2594.0</v>
      </c>
      <c r="N374" s="36">
        <v>0.133</v>
      </c>
      <c r="O374" s="37">
        <v>104.0</v>
      </c>
      <c r="P374" s="37"/>
      <c r="Q374" s="38">
        <v>0.0053</v>
      </c>
      <c r="R374" s="38"/>
      <c r="S374" s="39">
        <v>0.0</v>
      </c>
      <c r="T374" s="39">
        <v>1.0</v>
      </c>
      <c r="U374" s="39">
        <v>0.0</v>
      </c>
      <c r="V374" s="41" t="s">
        <v>183</v>
      </c>
      <c r="W374" s="37" t="s">
        <v>95</v>
      </c>
      <c r="X374" s="41" t="s">
        <v>1236</v>
      </c>
      <c r="Y374" s="21" t="s">
        <v>1222</v>
      </c>
      <c r="Z374" s="39" t="s">
        <v>1237</v>
      </c>
      <c r="AA374" s="14">
        <v>18.0</v>
      </c>
      <c r="AB374" s="14">
        <v>2.0</v>
      </c>
      <c r="AC374" s="33">
        <v>16.0</v>
      </c>
      <c r="AD374" s="33">
        <v>220452.0</v>
      </c>
      <c r="AE374" s="33">
        <v>8159.0</v>
      </c>
      <c r="AF374" s="33">
        <v>212293.0</v>
      </c>
      <c r="AG374" s="43"/>
      <c r="AH374" s="43"/>
      <c r="AI374" s="43"/>
      <c r="AJ374" s="43"/>
      <c r="AK374" s="43"/>
      <c r="AL374" s="43"/>
      <c r="AM374" s="43"/>
      <c r="AN374" s="43"/>
      <c r="AO374" s="43"/>
      <c r="AP374" s="43"/>
    </row>
    <row r="375" hidden="1">
      <c r="A375" s="26">
        <v>46064.0</v>
      </c>
      <c r="B375" s="27">
        <v>0.7604166666666666</v>
      </c>
      <c r="C375" s="28" t="s">
        <v>196</v>
      </c>
      <c r="D375" s="29" t="s">
        <v>33</v>
      </c>
      <c r="E375" s="30" t="s">
        <v>34</v>
      </c>
      <c r="F375" s="30" t="s">
        <v>1129</v>
      </c>
      <c r="G375" s="30" t="s">
        <v>1238</v>
      </c>
      <c r="H375" s="30" t="s">
        <v>1239</v>
      </c>
      <c r="I375" s="72" t="s">
        <v>1240</v>
      </c>
      <c r="J375" s="33">
        <v>15260.0</v>
      </c>
      <c r="K375" s="33">
        <v>3467.0</v>
      </c>
      <c r="L375" s="34">
        <v>0.2272</v>
      </c>
      <c r="M375" s="35">
        <v>683.0</v>
      </c>
      <c r="N375" s="36">
        <v>0.197</v>
      </c>
      <c r="O375" s="37">
        <v>9.0</v>
      </c>
      <c r="P375" s="37"/>
      <c r="Q375" s="38">
        <v>0.0026</v>
      </c>
      <c r="R375" s="38"/>
      <c r="S375" s="39">
        <v>0.0</v>
      </c>
      <c r="T375" s="39">
        <v>1.0</v>
      </c>
      <c r="U375" s="39">
        <v>0.0</v>
      </c>
      <c r="V375" s="41" t="s">
        <v>183</v>
      </c>
      <c r="W375" s="37" t="s">
        <v>95</v>
      </c>
      <c r="X375" s="41" t="s">
        <v>1241</v>
      </c>
      <c r="Y375" s="21" t="s">
        <v>1222</v>
      </c>
      <c r="Z375" s="39" t="s">
        <v>1242</v>
      </c>
      <c r="AA375" s="14">
        <v>2.0</v>
      </c>
      <c r="AB375" s="14">
        <v>0.0</v>
      </c>
      <c r="AC375" s="33">
        <v>2.0</v>
      </c>
      <c r="AD375" s="33">
        <v>17097.0</v>
      </c>
      <c r="AE375" s="33">
        <v>0.0</v>
      </c>
      <c r="AF375" s="33">
        <v>17097.0</v>
      </c>
      <c r="AG375" s="43"/>
      <c r="AH375" s="43"/>
      <c r="AI375" s="43"/>
      <c r="AJ375" s="43"/>
      <c r="AK375" s="43"/>
      <c r="AL375" s="43"/>
      <c r="AM375" s="43"/>
      <c r="AN375" s="43"/>
      <c r="AO375" s="43"/>
      <c r="AP375" s="43"/>
    </row>
    <row r="376" hidden="1">
      <c r="A376" s="26">
        <v>46064.0</v>
      </c>
      <c r="B376" s="27">
        <v>0.8125</v>
      </c>
      <c r="C376" s="28" t="s">
        <v>58</v>
      </c>
      <c r="D376" s="29" t="s">
        <v>59</v>
      </c>
      <c r="E376" s="30" t="s">
        <v>34</v>
      </c>
      <c r="F376" s="30" t="s">
        <v>1129</v>
      </c>
      <c r="G376" s="30" t="s">
        <v>1243</v>
      </c>
      <c r="H376" s="30" t="s">
        <v>1219</v>
      </c>
      <c r="I376" s="72" t="s">
        <v>454</v>
      </c>
      <c r="J376" s="33">
        <v>801.0</v>
      </c>
      <c r="K376" s="33">
        <v>545.0</v>
      </c>
      <c r="L376" s="34">
        <v>0.6804</v>
      </c>
      <c r="M376" s="35"/>
      <c r="N376" s="36"/>
      <c r="O376" s="37">
        <v>7.0</v>
      </c>
      <c r="P376" s="37"/>
      <c r="Q376" s="38">
        <v>0.0128</v>
      </c>
      <c r="R376" s="38"/>
      <c r="S376" s="39">
        <v>0.0</v>
      </c>
      <c r="T376" s="39">
        <v>3.0</v>
      </c>
      <c r="U376" s="39">
        <v>0.0</v>
      </c>
      <c r="V376" s="41" t="s">
        <v>335</v>
      </c>
      <c r="W376" s="37" t="s">
        <v>62</v>
      </c>
      <c r="X376" s="41" t="s">
        <v>1221</v>
      </c>
      <c r="Y376" s="21" t="s">
        <v>1222</v>
      </c>
      <c r="Z376" s="39" t="s">
        <v>1244</v>
      </c>
      <c r="AA376" s="14">
        <v>4.0</v>
      </c>
      <c r="AB376" s="14">
        <v>4.0</v>
      </c>
      <c r="AC376" s="33"/>
      <c r="AD376" s="33">
        <v>26996.0</v>
      </c>
      <c r="AE376" s="33">
        <v>26996.0</v>
      </c>
      <c r="AF376" s="33"/>
      <c r="AG376" s="43"/>
      <c r="AH376" s="43"/>
      <c r="AI376" s="43"/>
      <c r="AJ376" s="43"/>
      <c r="AK376" s="43"/>
      <c r="AL376" s="43"/>
      <c r="AM376" s="43"/>
      <c r="AN376" s="43"/>
      <c r="AO376" s="43"/>
      <c r="AP376" s="43"/>
    </row>
    <row r="377" hidden="1">
      <c r="A377" s="26">
        <v>46064.0</v>
      </c>
      <c r="B377" s="27">
        <v>0.8125</v>
      </c>
      <c r="C377" s="28" t="s">
        <v>58</v>
      </c>
      <c r="D377" s="29" t="s">
        <v>59</v>
      </c>
      <c r="E377" s="30" t="s">
        <v>34</v>
      </c>
      <c r="F377" s="30" t="s">
        <v>1129</v>
      </c>
      <c r="G377" s="30" t="s">
        <v>1245</v>
      </c>
      <c r="H377" s="30" t="s">
        <v>1225</v>
      </c>
      <c r="I377" s="72" t="s">
        <v>454</v>
      </c>
      <c r="J377" s="33">
        <v>1012.0</v>
      </c>
      <c r="K377" s="33">
        <v>555.0</v>
      </c>
      <c r="L377" s="34">
        <v>0.5484</v>
      </c>
      <c r="M377" s="35"/>
      <c r="N377" s="36"/>
      <c r="O377" s="37">
        <v>2.0</v>
      </c>
      <c r="P377" s="37"/>
      <c r="Q377" s="38">
        <v>0.0036</v>
      </c>
      <c r="R377" s="38"/>
      <c r="S377" s="39">
        <v>0.0</v>
      </c>
      <c r="T377" s="39">
        <v>0.0</v>
      </c>
      <c r="U377" s="39">
        <v>0.0</v>
      </c>
      <c r="V377" s="41" t="s">
        <v>183</v>
      </c>
      <c r="W377" s="37" t="s">
        <v>62</v>
      </c>
      <c r="X377" s="41" t="s">
        <v>1227</v>
      </c>
      <c r="Y377" s="21" t="s">
        <v>1222</v>
      </c>
      <c r="Z377" s="39" t="s">
        <v>1246</v>
      </c>
      <c r="AA377" s="14">
        <v>2.0</v>
      </c>
      <c r="AB377" s="14">
        <v>1.0</v>
      </c>
      <c r="AC377" s="33">
        <v>1.0</v>
      </c>
      <c r="AD377" s="33">
        <v>26807.0</v>
      </c>
      <c r="AE377" s="33">
        <v>17798.0</v>
      </c>
      <c r="AF377" s="33">
        <v>9009.0</v>
      </c>
      <c r="AG377" s="43"/>
      <c r="AH377" s="43"/>
      <c r="AI377" s="43"/>
      <c r="AJ377" s="43"/>
      <c r="AK377" s="43"/>
      <c r="AL377" s="43"/>
      <c r="AM377" s="43"/>
      <c r="AN377" s="43"/>
      <c r="AO377" s="43"/>
      <c r="AP377" s="43"/>
    </row>
    <row r="378" hidden="1">
      <c r="A378" s="26">
        <v>46064.0</v>
      </c>
      <c r="B378" s="27">
        <v>0.8125</v>
      </c>
      <c r="C378" s="28" t="s">
        <v>58</v>
      </c>
      <c r="D378" s="29" t="s">
        <v>59</v>
      </c>
      <c r="E378" s="30" t="s">
        <v>34</v>
      </c>
      <c r="F378" s="30" t="s">
        <v>1129</v>
      </c>
      <c r="G378" s="30" t="s">
        <v>1247</v>
      </c>
      <c r="H378" s="30" t="s">
        <v>1230</v>
      </c>
      <c r="I378" s="72" t="s">
        <v>454</v>
      </c>
      <c r="J378" s="33">
        <v>4021.0</v>
      </c>
      <c r="K378" s="33">
        <v>2188.0</v>
      </c>
      <c r="L378" s="34">
        <v>0.5441</v>
      </c>
      <c r="M378" s="35"/>
      <c r="N378" s="36"/>
      <c r="O378" s="37">
        <v>2.0</v>
      </c>
      <c r="P378" s="37"/>
      <c r="Q378" s="38">
        <v>9.0E-4</v>
      </c>
      <c r="R378" s="38"/>
      <c r="S378" s="39">
        <v>0.0</v>
      </c>
      <c r="T378" s="39">
        <v>0.0</v>
      </c>
      <c r="U378" s="39">
        <v>0.0</v>
      </c>
      <c r="V378" s="41" t="s">
        <v>183</v>
      </c>
      <c r="W378" s="37" t="s">
        <v>62</v>
      </c>
      <c r="X378" s="41" t="s">
        <v>52</v>
      </c>
      <c r="Y378" s="21" t="s">
        <v>1222</v>
      </c>
      <c r="Z378" s="39" t="s">
        <v>1248</v>
      </c>
      <c r="AA378" s="14">
        <v>3.0</v>
      </c>
      <c r="AB378" s="14">
        <v>0.0</v>
      </c>
      <c r="AC378" s="33">
        <v>3.0</v>
      </c>
      <c r="AD378" s="33">
        <v>38283.0</v>
      </c>
      <c r="AE378" s="33">
        <v>0.0</v>
      </c>
      <c r="AF378" s="33">
        <v>38283.0</v>
      </c>
      <c r="AG378" s="43"/>
      <c r="AH378" s="43"/>
      <c r="AI378" s="43"/>
      <c r="AJ378" s="43"/>
      <c r="AK378" s="43"/>
      <c r="AL378" s="43"/>
      <c r="AM378" s="43"/>
      <c r="AN378" s="43"/>
      <c r="AO378" s="43"/>
      <c r="AP378" s="43"/>
    </row>
    <row r="379" hidden="1">
      <c r="A379" s="26">
        <v>46064.0</v>
      </c>
      <c r="B379" s="27">
        <v>0.8125</v>
      </c>
      <c r="C379" s="28" t="s">
        <v>58</v>
      </c>
      <c r="D379" s="29" t="s">
        <v>59</v>
      </c>
      <c r="E379" s="30" t="s">
        <v>34</v>
      </c>
      <c r="F379" s="30" t="s">
        <v>1129</v>
      </c>
      <c r="G379" s="30" t="s">
        <v>1249</v>
      </c>
      <c r="H379" s="30" t="s">
        <v>1234</v>
      </c>
      <c r="I379" s="72" t="s">
        <v>454</v>
      </c>
      <c r="J379" s="33">
        <v>70431.0</v>
      </c>
      <c r="K379" s="33">
        <v>39457.0</v>
      </c>
      <c r="L379" s="34">
        <v>0.5602</v>
      </c>
      <c r="M379" s="35"/>
      <c r="N379" s="36"/>
      <c r="O379" s="37">
        <v>117.0</v>
      </c>
      <c r="P379" s="37"/>
      <c r="Q379" s="38">
        <v>0.003</v>
      </c>
      <c r="R379" s="38"/>
      <c r="S379" s="39">
        <v>1.0</v>
      </c>
      <c r="T379" s="39">
        <v>2.0</v>
      </c>
      <c r="U379" s="39">
        <v>4000.0</v>
      </c>
      <c r="V379" s="41" t="s">
        <v>183</v>
      </c>
      <c r="W379" s="37" t="s">
        <v>62</v>
      </c>
      <c r="X379" s="41" t="s">
        <v>1236</v>
      </c>
      <c r="Y379" s="21" t="s">
        <v>1222</v>
      </c>
      <c r="Z379" s="39" t="s">
        <v>1250</v>
      </c>
      <c r="AA379" s="14">
        <v>55.0</v>
      </c>
      <c r="AB379" s="14">
        <v>10.0</v>
      </c>
      <c r="AC379" s="33">
        <v>45.0</v>
      </c>
      <c r="AD379" s="33">
        <v>697229.0</v>
      </c>
      <c r="AE379" s="33">
        <v>75567.0</v>
      </c>
      <c r="AF379" s="33">
        <v>621662.0</v>
      </c>
      <c r="AG379" s="43"/>
      <c r="AH379" s="43"/>
      <c r="AI379" s="43"/>
      <c r="AJ379" s="43"/>
      <c r="AK379" s="43"/>
      <c r="AL379" s="43"/>
      <c r="AM379" s="43"/>
      <c r="AN379" s="43"/>
      <c r="AO379" s="43"/>
      <c r="AP379" s="43"/>
    </row>
    <row r="380" hidden="1">
      <c r="A380" s="26">
        <v>46064.0</v>
      </c>
      <c r="B380" s="27">
        <v>0.8125</v>
      </c>
      <c r="C380" s="28" t="s">
        <v>58</v>
      </c>
      <c r="D380" s="29" t="s">
        <v>59</v>
      </c>
      <c r="E380" s="30" t="s">
        <v>34</v>
      </c>
      <c r="F380" s="30" t="s">
        <v>1129</v>
      </c>
      <c r="G380" s="30" t="s">
        <v>1251</v>
      </c>
      <c r="H380" s="30" t="s">
        <v>1239</v>
      </c>
      <c r="I380" s="72" t="s">
        <v>454</v>
      </c>
      <c r="J380" s="33">
        <v>11728.0</v>
      </c>
      <c r="K380" s="33">
        <v>5025.0</v>
      </c>
      <c r="L380" s="34">
        <v>0.4285</v>
      </c>
      <c r="M380" s="35"/>
      <c r="N380" s="36"/>
      <c r="O380" s="37">
        <v>17.0</v>
      </c>
      <c r="P380" s="37"/>
      <c r="Q380" s="38">
        <v>0.0034</v>
      </c>
      <c r="R380" s="38"/>
      <c r="S380" s="39">
        <v>0.0</v>
      </c>
      <c r="T380" s="39">
        <v>0.0</v>
      </c>
      <c r="U380" s="39">
        <v>0.0</v>
      </c>
      <c r="V380" s="41" t="s">
        <v>183</v>
      </c>
      <c r="W380" s="37" t="s">
        <v>62</v>
      </c>
      <c r="X380" s="41" t="s">
        <v>1241</v>
      </c>
      <c r="Y380" s="21" t="s">
        <v>1222</v>
      </c>
      <c r="Z380" s="39" t="s">
        <v>1252</v>
      </c>
      <c r="AA380" s="14">
        <v>4.0</v>
      </c>
      <c r="AB380" s="14">
        <v>1.0</v>
      </c>
      <c r="AC380" s="33">
        <v>3.0</v>
      </c>
      <c r="AD380" s="33">
        <v>47717.0</v>
      </c>
      <c r="AE380" s="33">
        <v>2490.0</v>
      </c>
      <c r="AF380" s="33">
        <v>45227.0</v>
      </c>
      <c r="AG380" s="43"/>
      <c r="AH380" s="43"/>
      <c r="AI380" s="43"/>
      <c r="AJ380" s="43"/>
      <c r="AK380" s="43"/>
      <c r="AL380" s="43"/>
      <c r="AM380" s="43"/>
      <c r="AN380" s="43"/>
      <c r="AO380" s="43"/>
      <c r="AP380" s="43"/>
    </row>
    <row r="381" hidden="1">
      <c r="A381" s="8">
        <v>46064.0</v>
      </c>
      <c r="B381" s="23">
        <v>0.4375</v>
      </c>
      <c r="C381" s="10" t="s">
        <v>32</v>
      </c>
      <c r="D381" s="10" t="s">
        <v>33</v>
      </c>
      <c r="E381" s="12" t="s">
        <v>71</v>
      </c>
      <c r="F381" s="12" t="s">
        <v>1129</v>
      </c>
      <c r="G381" s="12" t="s">
        <v>1253</v>
      </c>
      <c r="H381" s="12" t="s">
        <v>1254</v>
      </c>
      <c r="I381" s="57" t="s">
        <v>1255</v>
      </c>
      <c r="J381" s="14">
        <v>178984.0</v>
      </c>
      <c r="K381" s="14">
        <v>59081.0</v>
      </c>
      <c r="L381" s="15">
        <v>0.3301</v>
      </c>
      <c r="M381" s="16">
        <v>24220.0</v>
      </c>
      <c r="N381" s="17">
        <v>0.4093</v>
      </c>
      <c r="O381" s="18">
        <v>1082.0</v>
      </c>
      <c r="P381" s="18">
        <v>1008.0</v>
      </c>
      <c r="Q381" s="19">
        <v>0.0171</v>
      </c>
      <c r="R381" s="19">
        <v>0.0417</v>
      </c>
      <c r="S381" s="20">
        <v>15.0</v>
      </c>
      <c r="T381" s="20">
        <v>62.0</v>
      </c>
      <c r="U381" s="20">
        <v>55587.0</v>
      </c>
      <c r="V381" s="21" t="s">
        <v>183</v>
      </c>
      <c r="W381" s="18" t="s">
        <v>40</v>
      </c>
      <c r="X381" s="21" t="s">
        <v>165</v>
      </c>
      <c r="Y381" s="21" t="s">
        <v>1222</v>
      </c>
      <c r="Z381" s="20" t="s">
        <v>1256</v>
      </c>
      <c r="AA381" s="14">
        <v>397.0</v>
      </c>
      <c r="AB381" s="14">
        <v>74.0</v>
      </c>
      <c r="AC381" s="14">
        <v>323.0</v>
      </c>
      <c r="AD381" s="14">
        <v>2037282.0</v>
      </c>
      <c r="AE381" s="14">
        <v>306880.0</v>
      </c>
      <c r="AF381" s="14">
        <v>1730402.0</v>
      </c>
      <c r="AG381" s="22"/>
      <c r="AH381" s="22"/>
      <c r="AI381" s="22"/>
      <c r="AJ381" s="22"/>
      <c r="AK381" s="22"/>
      <c r="AL381" s="22"/>
      <c r="AM381" s="22"/>
      <c r="AN381" s="22"/>
      <c r="AO381" s="22"/>
      <c r="AP381" s="22"/>
    </row>
    <row r="382" hidden="1">
      <c r="A382" s="8">
        <v>46064.0</v>
      </c>
      <c r="B382" s="23">
        <v>0.4375</v>
      </c>
      <c r="C382" s="10" t="s">
        <v>32</v>
      </c>
      <c r="D382" s="10" t="s">
        <v>33</v>
      </c>
      <c r="E382" s="12" t="s">
        <v>71</v>
      </c>
      <c r="F382" s="12" t="s">
        <v>1129</v>
      </c>
      <c r="G382" s="12" t="s">
        <v>1257</v>
      </c>
      <c r="H382" s="12" t="s">
        <v>1258</v>
      </c>
      <c r="I382" s="57" t="s">
        <v>1259</v>
      </c>
      <c r="J382" s="14">
        <v>24450.0</v>
      </c>
      <c r="K382" s="14">
        <v>7785.0</v>
      </c>
      <c r="L382" s="15">
        <v>0.3184</v>
      </c>
      <c r="M382" s="16">
        <v>3177.0</v>
      </c>
      <c r="N382" s="17">
        <v>0.407</v>
      </c>
      <c r="O382" s="18">
        <v>65.0</v>
      </c>
      <c r="P382" s="18">
        <v>60.0</v>
      </c>
      <c r="Q382" s="19">
        <v>0.0077</v>
      </c>
      <c r="R382" s="19">
        <v>0.0189</v>
      </c>
      <c r="S382" s="20">
        <v>1.0</v>
      </c>
      <c r="T382" s="20">
        <v>3.0</v>
      </c>
      <c r="U382" s="20">
        <v>4948.0</v>
      </c>
      <c r="V382" s="21" t="s">
        <v>183</v>
      </c>
      <c r="W382" s="18" t="s">
        <v>40</v>
      </c>
      <c r="X382" s="21" t="s">
        <v>159</v>
      </c>
      <c r="Y382" s="21" t="s">
        <v>1222</v>
      </c>
      <c r="Z382" s="20" t="s">
        <v>1260</v>
      </c>
      <c r="AA382" s="14">
        <v>16.0</v>
      </c>
      <c r="AB382" s="14">
        <v>1.0</v>
      </c>
      <c r="AC382" s="14">
        <v>15.0</v>
      </c>
      <c r="AD382" s="14">
        <v>52174.0</v>
      </c>
      <c r="AE382" s="14">
        <v>1798.0</v>
      </c>
      <c r="AF382" s="14">
        <v>50376.0</v>
      </c>
      <c r="AG382" s="22"/>
      <c r="AH382" s="22"/>
      <c r="AI382" s="22"/>
      <c r="AJ382" s="22"/>
      <c r="AK382" s="22"/>
      <c r="AL382" s="22"/>
      <c r="AM382" s="22"/>
      <c r="AN382" s="22"/>
      <c r="AO382" s="22"/>
      <c r="AP382" s="22"/>
    </row>
    <row r="383" hidden="1">
      <c r="A383" s="8">
        <v>46064.0</v>
      </c>
      <c r="B383" s="23">
        <v>0.5208333333333334</v>
      </c>
      <c r="C383" s="10" t="s">
        <v>58</v>
      </c>
      <c r="D383" s="10" t="s">
        <v>59</v>
      </c>
      <c r="E383" s="12" t="s">
        <v>71</v>
      </c>
      <c r="F383" s="12" t="s">
        <v>1129</v>
      </c>
      <c r="G383" s="12" t="s">
        <v>1261</v>
      </c>
      <c r="H383" s="12" t="s">
        <v>1258</v>
      </c>
      <c r="I383" s="57" t="s">
        <v>61</v>
      </c>
      <c r="J383" s="14">
        <v>15965.0</v>
      </c>
      <c r="K383" s="14">
        <v>9689.0</v>
      </c>
      <c r="L383" s="15">
        <v>0.6069</v>
      </c>
      <c r="M383" s="16"/>
      <c r="N383" s="17"/>
      <c r="O383" s="18">
        <v>1.0</v>
      </c>
      <c r="P383" s="18"/>
      <c r="Q383" s="19">
        <v>1.0E-4</v>
      </c>
      <c r="R383" s="19"/>
      <c r="S383" s="20">
        <v>1.0</v>
      </c>
      <c r="T383" s="20">
        <v>2.0</v>
      </c>
      <c r="U383" s="20">
        <v>2338.0</v>
      </c>
      <c r="V383" s="21" t="s">
        <v>183</v>
      </c>
      <c r="W383" s="18" t="s">
        <v>62</v>
      </c>
      <c r="X383" s="21" t="s">
        <v>159</v>
      </c>
      <c r="Y383" s="21" t="s">
        <v>1222</v>
      </c>
      <c r="Z383" s="20" t="s">
        <v>1262</v>
      </c>
      <c r="AA383" s="14">
        <v>18.0</v>
      </c>
      <c r="AB383" s="14">
        <v>1.0</v>
      </c>
      <c r="AC383" s="14">
        <v>17.0</v>
      </c>
      <c r="AD383" s="14">
        <v>97835.0</v>
      </c>
      <c r="AE383" s="14">
        <v>2398.0</v>
      </c>
      <c r="AF383" s="14">
        <v>95437.0</v>
      </c>
      <c r="AG383" s="22"/>
      <c r="AH383" s="22"/>
      <c r="AI383" s="22"/>
      <c r="AJ383" s="22"/>
      <c r="AK383" s="22"/>
      <c r="AL383" s="22"/>
      <c r="AM383" s="22"/>
      <c r="AN383" s="22"/>
      <c r="AO383" s="22"/>
      <c r="AP383" s="22"/>
    </row>
    <row r="384" hidden="1">
      <c r="A384" s="8">
        <v>46064.0</v>
      </c>
      <c r="B384" s="23">
        <v>0.5208333333333334</v>
      </c>
      <c r="C384" s="10" t="s">
        <v>58</v>
      </c>
      <c r="D384" s="10" t="s">
        <v>59</v>
      </c>
      <c r="E384" s="12" t="s">
        <v>71</v>
      </c>
      <c r="F384" s="12" t="s">
        <v>1129</v>
      </c>
      <c r="G384" s="12" t="s">
        <v>1263</v>
      </c>
      <c r="H384" s="12" t="s">
        <v>1254</v>
      </c>
      <c r="I384" s="57" t="s">
        <v>61</v>
      </c>
      <c r="J384" s="14">
        <v>116966.0</v>
      </c>
      <c r="K384" s="14">
        <v>64699.0</v>
      </c>
      <c r="L384" s="15">
        <v>0.5531</v>
      </c>
      <c r="M384" s="16"/>
      <c r="N384" s="17"/>
      <c r="O384" s="18">
        <v>51.0</v>
      </c>
      <c r="P384" s="18"/>
      <c r="Q384" s="19">
        <v>8.0E-4</v>
      </c>
      <c r="R384" s="19"/>
      <c r="S384" s="20">
        <v>13.0</v>
      </c>
      <c r="T384" s="20">
        <v>47.0</v>
      </c>
      <c r="U384" s="20">
        <v>70193.0</v>
      </c>
      <c r="V384" s="21" t="s">
        <v>183</v>
      </c>
      <c r="W384" s="18" t="s">
        <v>62</v>
      </c>
      <c r="X384" s="21" t="s">
        <v>165</v>
      </c>
      <c r="Y384" s="21" t="s">
        <v>1222</v>
      </c>
      <c r="Z384" s="20" t="s">
        <v>1264</v>
      </c>
      <c r="AA384" s="14">
        <v>442.0</v>
      </c>
      <c r="AB384" s="14">
        <v>60.0</v>
      </c>
      <c r="AC384" s="14">
        <v>382.0</v>
      </c>
      <c r="AD384" s="14">
        <v>2381066.0</v>
      </c>
      <c r="AE384" s="14">
        <v>250205.0</v>
      </c>
      <c r="AF384" s="14">
        <v>2130861.0</v>
      </c>
      <c r="AG384" s="22"/>
      <c r="AH384" s="22"/>
      <c r="AI384" s="22"/>
      <c r="AJ384" s="22"/>
      <c r="AK384" s="22"/>
      <c r="AL384" s="22"/>
      <c r="AM384" s="22"/>
      <c r="AN384" s="22"/>
      <c r="AO384" s="22"/>
      <c r="AP384" s="22"/>
    </row>
    <row r="385" hidden="1">
      <c r="A385" s="8">
        <v>46064.0</v>
      </c>
      <c r="B385" s="23">
        <v>0.5208333333333334</v>
      </c>
      <c r="C385" s="10" t="s">
        <v>58</v>
      </c>
      <c r="D385" s="10" t="s">
        <v>59</v>
      </c>
      <c r="E385" s="12" t="s">
        <v>71</v>
      </c>
      <c r="F385" s="12" t="s">
        <v>1129</v>
      </c>
      <c r="G385" s="12" t="s">
        <v>1265</v>
      </c>
      <c r="H385" s="12" t="s">
        <v>1266</v>
      </c>
      <c r="I385" s="57" t="s">
        <v>454</v>
      </c>
      <c r="J385" s="14">
        <v>12674.0</v>
      </c>
      <c r="K385" s="14">
        <v>7844.0</v>
      </c>
      <c r="L385" s="15">
        <v>0.6189</v>
      </c>
      <c r="M385" s="16"/>
      <c r="N385" s="17"/>
      <c r="O385" s="18">
        <v>1.0</v>
      </c>
      <c r="P385" s="18"/>
      <c r="Q385" s="19">
        <v>1.0E-4</v>
      </c>
      <c r="R385" s="19"/>
      <c r="S385" s="20">
        <v>1.0</v>
      </c>
      <c r="T385" s="20">
        <v>2.0</v>
      </c>
      <c r="U385" s="20">
        <v>5396.0</v>
      </c>
      <c r="V385" s="21" t="s">
        <v>183</v>
      </c>
      <c r="W385" s="18" t="s">
        <v>62</v>
      </c>
      <c r="X385" s="21" t="s">
        <v>52</v>
      </c>
      <c r="Y385" s="21" t="s">
        <v>1222</v>
      </c>
      <c r="Z385" s="20" t="s">
        <v>1267</v>
      </c>
      <c r="AA385" s="14">
        <v>25.0</v>
      </c>
      <c r="AB385" s="14">
        <v>4.0</v>
      </c>
      <c r="AC385" s="14">
        <v>21.0</v>
      </c>
      <c r="AD385" s="14">
        <v>108331.0</v>
      </c>
      <c r="AE385" s="14">
        <v>10980.0</v>
      </c>
      <c r="AF385" s="14">
        <v>97351.0</v>
      </c>
      <c r="AG385" s="22"/>
      <c r="AH385" s="22"/>
      <c r="AI385" s="22"/>
      <c r="AJ385" s="22"/>
      <c r="AK385" s="22"/>
      <c r="AL385" s="22"/>
      <c r="AM385" s="22"/>
      <c r="AN385" s="22"/>
      <c r="AO385" s="22"/>
      <c r="AP385" s="22"/>
    </row>
    <row r="386" hidden="1">
      <c r="A386" s="8">
        <v>46064.0</v>
      </c>
      <c r="B386" s="23">
        <v>0.5208333333333334</v>
      </c>
      <c r="C386" s="10" t="s">
        <v>58</v>
      </c>
      <c r="D386" s="10" t="s">
        <v>59</v>
      </c>
      <c r="E386" s="12" t="s">
        <v>71</v>
      </c>
      <c r="F386" s="12" t="s">
        <v>1129</v>
      </c>
      <c r="G386" s="12" t="s">
        <v>1268</v>
      </c>
      <c r="H386" s="12" t="s">
        <v>1269</v>
      </c>
      <c r="I386" s="57" t="s">
        <v>454</v>
      </c>
      <c r="J386" s="14">
        <v>58088.0</v>
      </c>
      <c r="K386" s="14">
        <v>35608.0</v>
      </c>
      <c r="L386" s="15">
        <v>0.613</v>
      </c>
      <c r="M386" s="16"/>
      <c r="N386" s="17"/>
      <c r="O386" s="18">
        <v>28.0</v>
      </c>
      <c r="P386" s="18"/>
      <c r="Q386" s="19">
        <v>8.0E-4</v>
      </c>
      <c r="R386" s="19"/>
      <c r="S386" s="20">
        <v>5.0</v>
      </c>
      <c r="T386" s="20">
        <v>28.0</v>
      </c>
      <c r="U386" s="20">
        <v>14517.0</v>
      </c>
      <c r="V386" s="21" t="s">
        <v>183</v>
      </c>
      <c r="W386" s="18" t="s">
        <v>62</v>
      </c>
      <c r="X386" s="21" t="s">
        <v>47</v>
      </c>
      <c r="Y386" s="21" t="s">
        <v>1222</v>
      </c>
      <c r="Z386" s="20" t="s">
        <v>1270</v>
      </c>
      <c r="AA386" s="14">
        <v>112.0</v>
      </c>
      <c r="AB386" s="14">
        <v>20.0</v>
      </c>
      <c r="AC386" s="14">
        <v>92.0</v>
      </c>
      <c r="AD386" s="14">
        <v>480043.0</v>
      </c>
      <c r="AE386" s="14">
        <v>73421.0</v>
      </c>
      <c r="AF386" s="14">
        <v>406622.0</v>
      </c>
      <c r="AG386" s="22"/>
      <c r="AH386" s="22"/>
      <c r="AI386" s="22"/>
      <c r="AJ386" s="22"/>
      <c r="AK386" s="22"/>
      <c r="AL386" s="22"/>
      <c r="AM386" s="22"/>
      <c r="AN386" s="22"/>
      <c r="AO386" s="22"/>
      <c r="AP386" s="22"/>
    </row>
    <row r="387" hidden="1">
      <c r="A387" s="8">
        <v>46064.0</v>
      </c>
      <c r="B387" s="23">
        <v>0.4375</v>
      </c>
      <c r="C387" s="10" t="s">
        <v>196</v>
      </c>
      <c r="D387" s="10" t="s">
        <v>33</v>
      </c>
      <c r="E387" s="10" t="s">
        <v>71</v>
      </c>
      <c r="F387" s="12" t="s">
        <v>1129</v>
      </c>
      <c r="G387" s="12" t="s">
        <v>1271</v>
      </c>
      <c r="H387" s="12" t="s">
        <v>1269</v>
      </c>
      <c r="I387" s="57" t="s">
        <v>1272</v>
      </c>
      <c r="J387" s="14">
        <v>69788.0</v>
      </c>
      <c r="K387" s="14">
        <v>11381.0</v>
      </c>
      <c r="L387" s="15">
        <v>0.163</v>
      </c>
      <c r="M387" s="16">
        <v>1509.0</v>
      </c>
      <c r="N387" s="17">
        <v>0.133</v>
      </c>
      <c r="O387" s="18">
        <v>64.0</v>
      </c>
      <c r="P387" s="48"/>
      <c r="Q387" s="19">
        <v>0.006</v>
      </c>
      <c r="R387" s="49"/>
      <c r="S387" s="88">
        <v>1.0</v>
      </c>
      <c r="T387" s="88">
        <v>9.0</v>
      </c>
      <c r="U387" s="89">
        <v>3776.0</v>
      </c>
      <c r="V387" s="21" t="s">
        <v>183</v>
      </c>
      <c r="W387" s="21" t="s">
        <v>95</v>
      </c>
      <c r="X387" s="21" t="s">
        <v>47</v>
      </c>
      <c r="Y387" s="21" t="s">
        <v>1222</v>
      </c>
      <c r="Z387" s="20" t="s">
        <v>1192</v>
      </c>
      <c r="AA387" s="14">
        <v>20.0</v>
      </c>
      <c r="AB387" s="14">
        <v>4.0</v>
      </c>
      <c r="AC387" s="14">
        <v>16.0</v>
      </c>
      <c r="AD387" s="14">
        <v>124642.0</v>
      </c>
      <c r="AE387" s="14">
        <v>7594.0</v>
      </c>
      <c r="AF387" s="14">
        <v>117048.0</v>
      </c>
      <c r="AG387" s="22"/>
      <c r="AH387" s="22"/>
      <c r="AI387" s="22"/>
      <c r="AJ387" s="22"/>
      <c r="AK387" s="22"/>
      <c r="AL387" s="22"/>
      <c r="AM387" s="22"/>
      <c r="AN387" s="22"/>
      <c r="AO387" s="22"/>
      <c r="AP387" s="22"/>
    </row>
    <row r="388" hidden="1">
      <c r="A388" s="8">
        <v>46064.0</v>
      </c>
      <c r="B388" s="23">
        <v>0.4375</v>
      </c>
      <c r="C388" s="10" t="s">
        <v>196</v>
      </c>
      <c r="D388" s="10" t="s">
        <v>33</v>
      </c>
      <c r="E388" s="10" t="s">
        <v>71</v>
      </c>
      <c r="F388" s="12" t="s">
        <v>1129</v>
      </c>
      <c r="G388" s="12" t="s">
        <v>1273</v>
      </c>
      <c r="H388" s="12" t="s">
        <v>1266</v>
      </c>
      <c r="I388" s="57" t="s">
        <v>1274</v>
      </c>
      <c r="J388" s="14">
        <v>13987.0</v>
      </c>
      <c r="K388" s="14">
        <v>1088.0</v>
      </c>
      <c r="L388" s="15">
        <v>0.078</v>
      </c>
      <c r="M388" s="16">
        <v>136.0</v>
      </c>
      <c r="N388" s="17">
        <v>0.125</v>
      </c>
      <c r="O388" s="18">
        <v>3.0</v>
      </c>
      <c r="P388" s="48"/>
      <c r="Q388" s="19">
        <v>0.003</v>
      </c>
      <c r="R388" s="49"/>
      <c r="S388" s="88">
        <v>0.0</v>
      </c>
      <c r="T388" s="88">
        <v>1.0</v>
      </c>
      <c r="U388" s="88">
        <v>0.0</v>
      </c>
      <c r="V388" s="21" t="s">
        <v>183</v>
      </c>
      <c r="W388" s="21" t="s">
        <v>95</v>
      </c>
      <c r="X388" s="21" t="s">
        <v>52</v>
      </c>
      <c r="Y388" s="21" t="s">
        <v>1222</v>
      </c>
      <c r="Z388" s="20" t="s">
        <v>1275</v>
      </c>
      <c r="AA388" s="14">
        <v>3.0</v>
      </c>
      <c r="AB388" s="14">
        <v>0.0</v>
      </c>
      <c r="AC388" s="14">
        <v>3.0</v>
      </c>
      <c r="AD388" s="14">
        <v>13694.0</v>
      </c>
      <c r="AE388" s="14">
        <v>0.0</v>
      </c>
      <c r="AF388" s="14">
        <v>13694.0</v>
      </c>
      <c r="AG388" s="22"/>
      <c r="AH388" s="22"/>
      <c r="AI388" s="22"/>
      <c r="AJ388" s="22"/>
      <c r="AK388" s="22"/>
      <c r="AL388" s="22"/>
      <c r="AM388" s="22"/>
      <c r="AN388" s="22"/>
      <c r="AO388" s="22"/>
      <c r="AP388" s="22"/>
    </row>
    <row r="389" hidden="1">
      <c r="A389" s="8">
        <v>46065.0</v>
      </c>
      <c r="B389" s="23">
        <v>0.7916666666666666</v>
      </c>
      <c r="C389" s="10" t="s">
        <v>32</v>
      </c>
      <c r="D389" s="11" t="s">
        <v>33</v>
      </c>
      <c r="E389" s="12" t="s">
        <v>179</v>
      </c>
      <c r="F389" s="12" t="s">
        <v>867</v>
      </c>
      <c r="G389" s="12" t="s">
        <v>1276</v>
      </c>
      <c r="H389" s="12" t="s">
        <v>1277</v>
      </c>
      <c r="I389" s="57" t="s">
        <v>1278</v>
      </c>
      <c r="J389" s="14">
        <v>62572.0</v>
      </c>
      <c r="K389" s="14">
        <v>29730.0</v>
      </c>
      <c r="L389" s="15">
        <v>0.4751</v>
      </c>
      <c r="M389" s="16">
        <v>6612.0</v>
      </c>
      <c r="N389" s="17">
        <v>0.2224</v>
      </c>
      <c r="O389" s="18">
        <v>843.0</v>
      </c>
      <c r="P389" s="18">
        <v>749.0</v>
      </c>
      <c r="Q389" s="19">
        <v>0.0252</v>
      </c>
      <c r="R389" s="19">
        <v>0.1133</v>
      </c>
      <c r="S389" s="20">
        <v>44.0</v>
      </c>
      <c r="T389" s="20">
        <v>105.0</v>
      </c>
      <c r="U389" s="20">
        <v>250255.0</v>
      </c>
      <c r="V389" s="21" t="s">
        <v>335</v>
      </c>
      <c r="W389" s="18" t="s">
        <v>76</v>
      </c>
      <c r="X389" s="21" t="s">
        <v>184</v>
      </c>
      <c r="Y389" s="73" t="s">
        <v>1279</v>
      </c>
      <c r="Z389" s="20" t="s">
        <v>1280</v>
      </c>
      <c r="AA389" s="14">
        <v>98.0</v>
      </c>
      <c r="AB389" s="14">
        <v>98.0</v>
      </c>
      <c r="AC389" s="14"/>
      <c r="AD389" s="14">
        <v>500586.0</v>
      </c>
      <c r="AE389" s="14">
        <v>500586.0</v>
      </c>
      <c r="AF389" s="14"/>
      <c r="AG389" s="22"/>
      <c r="AH389" s="22"/>
      <c r="AI389" s="22"/>
      <c r="AJ389" s="22"/>
      <c r="AK389" s="22"/>
      <c r="AL389" s="22"/>
      <c r="AM389" s="22"/>
      <c r="AN389" s="22"/>
      <c r="AO389" s="22"/>
      <c r="AP389" s="22"/>
    </row>
    <row r="390" hidden="1">
      <c r="A390" s="8">
        <v>46065.0</v>
      </c>
      <c r="B390" s="23">
        <v>0.7951388888888888</v>
      </c>
      <c r="C390" s="10" t="s">
        <v>32</v>
      </c>
      <c r="D390" s="11" t="s">
        <v>33</v>
      </c>
      <c r="E390" s="12" t="s">
        <v>179</v>
      </c>
      <c r="F390" s="12" t="s">
        <v>867</v>
      </c>
      <c r="G390" s="12" t="s">
        <v>1281</v>
      </c>
      <c r="H390" s="12" t="s">
        <v>1282</v>
      </c>
      <c r="I390" s="57" t="s">
        <v>1283</v>
      </c>
      <c r="J390" s="14">
        <v>5033.0</v>
      </c>
      <c r="K390" s="14">
        <v>2225.0</v>
      </c>
      <c r="L390" s="15">
        <v>0.4421</v>
      </c>
      <c r="M390" s="16">
        <v>444.0</v>
      </c>
      <c r="N390" s="17">
        <v>0.1996</v>
      </c>
      <c r="O390" s="18">
        <v>118.0</v>
      </c>
      <c r="P390" s="18">
        <v>97.0</v>
      </c>
      <c r="Q390" s="19">
        <v>0.0436</v>
      </c>
      <c r="R390" s="19">
        <v>0.2185</v>
      </c>
      <c r="S390" s="20">
        <v>5.0</v>
      </c>
      <c r="T390" s="20">
        <v>9.0</v>
      </c>
      <c r="U390" s="20">
        <v>20497.0</v>
      </c>
      <c r="V390" s="21" t="s">
        <v>335</v>
      </c>
      <c r="W390" s="18" t="s">
        <v>76</v>
      </c>
      <c r="X390" s="21" t="s">
        <v>47</v>
      </c>
      <c r="Y390" s="73" t="s">
        <v>1279</v>
      </c>
      <c r="Z390" s="20" t="s">
        <v>1284</v>
      </c>
      <c r="AA390" s="14">
        <v>16.0</v>
      </c>
      <c r="AB390" s="14">
        <v>16.0</v>
      </c>
      <c r="AC390" s="14"/>
      <c r="AD390" s="14">
        <v>116299.0</v>
      </c>
      <c r="AE390" s="14">
        <v>116299.0</v>
      </c>
      <c r="AF390" s="14"/>
      <c r="AG390" s="22"/>
      <c r="AH390" s="22"/>
      <c r="AI390" s="22"/>
      <c r="AJ390" s="22"/>
      <c r="AK390" s="22"/>
      <c r="AL390" s="22"/>
      <c r="AM390" s="22"/>
      <c r="AN390" s="22"/>
      <c r="AO390" s="22"/>
      <c r="AP390" s="22"/>
    </row>
    <row r="391" hidden="1">
      <c r="A391" s="8">
        <v>46065.0</v>
      </c>
      <c r="B391" s="23">
        <v>0.7986111111111112</v>
      </c>
      <c r="C391" s="10" t="s">
        <v>32</v>
      </c>
      <c r="D391" s="11" t="s">
        <v>33</v>
      </c>
      <c r="E391" s="12" t="s">
        <v>179</v>
      </c>
      <c r="F391" s="12" t="s">
        <v>867</v>
      </c>
      <c r="G391" s="12" t="s">
        <v>1285</v>
      </c>
      <c r="H391" s="12" t="s">
        <v>1286</v>
      </c>
      <c r="I391" s="57" t="s">
        <v>1287</v>
      </c>
      <c r="J391" s="14">
        <v>7527.0</v>
      </c>
      <c r="K391" s="14">
        <v>3134.0</v>
      </c>
      <c r="L391" s="15">
        <v>0.4164</v>
      </c>
      <c r="M391" s="16">
        <v>470.0</v>
      </c>
      <c r="N391" s="17">
        <v>0.15</v>
      </c>
      <c r="O391" s="18">
        <v>104.0</v>
      </c>
      <c r="P391" s="18">
        <v>92.0</v>
      </c>
      <c r="Q391" s="19">
        <v>0.0294</v>
      </c>
      <c r="R391" s="19">
        <v>0.1957</v>
      </c>
      <c r="S391" s="20">
        <v>3.0</v>
      </c>
      <c r="T391" s="20">
        <v>3.0</v>
      </c>
      <c r="U391" s="20">
        <v>9691.0</v>
      </c>
      <c r="V391" s="21" t="s">
        <v>335</v>
      </c>
      <c r="W391" s="18" t="s">
        <v>76</v>
      </c>
      <c r="X391" s="21" t="s">
        <v>82</v>
      </c>
      <c r="Y391" s="73" t="s">
        <v>1279</v>
      </c>
      <c r="Z391" s="20" t="s">
        <v>1288</v>
      </c>
      <c r="AA391" s="14">
        <v>9.0</v>
      </c>
      <c r="AB391" s="14">
        <v>9.0</v>
      </c>
      <c r="AC391" s="14"/>
      <c r="AD391" s="14">
        <v>36949.0</v>
      </c>
      <c r="AE391" s="14">
        <v>36949.0</v>
      </c>
      <c r="AF391" s="14"/>
      <c r="AG391" s="22"/>
      <c r="AH391" s="22"/>
      <c r="AI391" s="22"/>
      <c r="AJ391" s="22"/>
      <c r="AK391" s="22"/>
      <c r="AL391" s="22"/>
      <c r="AM391" s="22"/>
      <c r="AN391" s="22"/>
      <c r="AO391" s="22"/>
      <c r="AP391" s="22"/>
    </row>
    <row r="392" hidden="1">
      <c r="A392" s="8">
        <v>46065.0</v>
      </c>
      <c r="B392" s="23">
        <v>0.8020833333333334</v>
      </c>
      <c r="C392" s="10" t="s">
        <v>32</v>
      </c>
      <c r="D392" s="11" t="s">
        <v>33</v>
      </c>
      <c r="E392" s="12" t="s">
        <v>179</v>
      </c>
      <c r="F392" s="12" t="s">
        <v>867</v>
      </c>
      <c r="G392" s="12" t="s">
        <v>1289</v>
      </c>
      <c r="H392" s="12" t="s">
        <v>1290</v>
      </c>
      <c r="I392" s="57" t="s">
        <v>1291</v>
      </c>
      <c r="J392" s="14">
        <v>2911.0</v>
      </c>
      <c r="K392" s="14">
        <v>1492.0</v>
      </c>
      <c r="L392" s="15">
        <v>0.5125</v>
      </c>
      <c r="M392" s="16">
        <v>383.0</v>
      </c>
      <c r="N392" s="17">
        <v>0.2567</v>
      </c>
      <c r="O392" s="18">
        <v>36.0</v>
      </c>
      <c r="P392" s="18">
        <v>33.0</v>
      </c>
      <c r="Q392" s="19">
        <v>0.0221</v>
      </c>
      <c r="R392" s="19">
        <v>0.0862</v>
      </c>
      <c r="S392" s="20">
        <v>0.0</v>
      </c>
      <c r="T392" s="20">
        <v>2.0</v>
      </c>
      <c r="U392" s="20">
        <v>0.0</v>
      </c>
      <c r="V392" s="21" t="s">
        <v>335</v>
      </c>
      <c r="W392" s="18" t="s">
        <v>76</v>
      </c>
      <c r="X392" s="21" t="s">
        <v>52</v>
      </c>
      <c r="Y392" s="73" t="s">
        <v>1279</v>
      </c>
      <c r="Z392" s="20" t="s">
        <v>1292</v>
      </c>
      <c r="AA392" s="14">
        <v>0.0</v>
      </c>
      <c r="AB392" s="14">
        <v>0.0</v>
      </c>
      <c r="AC392" s="14"/>
      <c r="AD392" s="14">
        <v>0.0</v>
      </c>
      <c r="AE392" s="14">
        <v>0.0</v>
      </c>
      <c r="AF392" s="14"/>
      <c r="AG392" s="22"/>
      <c r="AH392" s="22"/>
      <c r="AI392" s="22"/>
      <c r="AJ392" s="22"/>
      <c r="AK392" s="22"/>
      <c r="AL392" s="22"/>
      <c r="AM392" s="22"/>
      <c r="AN392" s="22"/>
      <c r="AO392" s="22"/>
      <c r="AP392" s="22"/>
    </row>
    <row r="393" hidden="1">
      <c r="A393" s="8">
        <v>46065.0</v>
      </c>
      <c r="B393" s="23">
        <v>0.75</v>
      </c>
      <c r="C393" s="10" t="s">
        <v>32</v>
      </c>
      <c r="D393" s="10" t="s">
        <v>33</v>
      </c>
      <c r="E393" s="12" t="s">
        <v>71</v>
      </c>
      <c r="F393" s="12" t="s">
        <v>1129</v>
      </c>
      <c r="G393" s="12" t="s">
        <v>1293</v>
      </c>
      <c r="H393" s="12" t="s">
        <v>1294</v>
      </c>
      <c r="I393" s="57" t="s">
        <v>1295</v>
      </c>
      <c r="J393" s="14">
        <v>6464.0</v>
      </c>
      <c r="K393" s="14">
        <v>1783.0</v>
      </c>
      <c r="L393" s="15">
        <v>0.2758</v>
      </c>
      <c r="M393" s="16">
        <v>778.0</v>
      </c>
      <c r="N393" s="17">
        <v>0.4366</v>
      </c>
      <c r="O393" s="18">
        <v>72.0</v>
      </c>
      <c r="P393" s="18">
        <v>71.0</v>
      </c>
      <c r="Q393" s="19">
        <v>0.0398</v>
      </c>
      <c r="R393" s="19">
        <v>0.0913</v>
      </c>
      <c r="S393" s="20">
        <v>0.0</v>
      </c>
      <c r="T393" s="20">
        <v>4.0</v>
      </c>
      <c r="U393" s="20">
        <v>0.0</v>
      </c>
      <c r="V393" s="21" t="s">
        <v>335</v>
      </c>
      <c r="W393" s="18" t="s">
        <v>76</v>
      </c>
      <c r="X393" s="21" t="s">
        <v>52</v>
      </c>
      <c r="Y393" s="21" t="s">
        <v>1296</v>
      </c>
      <c r="Z393" s="20" t="s">
        <v>1297</v>
      </c>
      <c r="AA393" s="14">
        <v>4.0</v>
      </c>
      <c r="AB393" s="14">
        <v>4.0</v>
      </c>
      <c r="AC393" s="14"/>
      <c r="AD393" s="14">
        <v>15588.0</v>
      </c>
      <c r="AE393" s="14">
        <v>15588.0</v>
      </c>
      <c r="AF393" s="14"/>
      <c r="AG393" s="22"/>
      <c r="AH393" s="22"/>
      <c r="AI393" s="22"/>
      <c r="AJ393" s="22"/>
      <c r="AK393" s="22"/>
      <c r="AL393" s="22"/>
      <c r="AM393" s="22"/>
      <c r="AN393" s="22"/>
      <c r="AO393" s="22"/>
      <c r="AP393" s="22"/>
    </row>
    <row r="394" hidden="1">
      <c r="A394" s="8">
        <v>46065.0</v>
      </c>
      <c r="B394" s="23">
        <v>0.75</v>
      </c>
      <c r="C394" s="10" t="s">
        <v>32</v>
      </c>
      <c r="D394" s="10" t="s">
        <v>33</v>
      </c>
      <c r="E394" s="12" t="s">
        <v>71</v>
      </c>
      <c r="F394" s="12" t="s">
        <v>1129</v>
      </c>
      <c r="G394" s="12" t="s">
        <v>1298</v>
      </c>
      <c r="H394" s="12" t="s">
        <v>553</v>
      </c>
      <c r="I394" s="57" t="s">
        <v>1299</v>
      </c>
      <c r="J394" s="14">
        <v>28762.0</v>
      </c>
      <c r="K394" s="14">
        <v>7369.0</v>
      </c>
      <c r="L394" s="15">
        <v>0.2562</v>
      </c>
      <c r="M394" s="16">
        <v>3381.0</v>
      </c>
      <c r="N394" s="17">
        <v>0.459</v>
      </c>
      <c r="O394" s="18">
        <v>367.0</v>
      </c>
      <c r="P394" s="18">
        <v>351.0</v>
      </c>
      <c r="Q394" s="19">
        <v>0.0477</v>
      </c>
      <c r="R394" s="19">
        <v>0.1038</v>
      </c>
      <c r="S394" s="20">
        <v>5.0</v>
      </c>
      <c r="T394" s="20">
        <v>17.0</v>
      </c>
      <c r="U394" s="20">
        <v>30110.0</v>
      </c>
      <c r="V394" s="21" t="s">
        <v>335</v>
      </c>
      <c r="W394" s="18" t="s">
        <v>76</v>
      </c>
      <c r="X394" s="21" t="s">
        <v>82</v>
      </c>
      <c r="Y394" s="21" t="s">
        <v>1296</v>
      </c>
      <c r="Z394" s="20" t="s">
        <v>1300</v>
      </c>
      <c r="AA394" s="14">
        <v>19.0</v>
      </c>
      <c r="AB394" s="14">
        <v>19.0</v>
      </c>
      <c r="AC394" s="14"/>
      <c r="AD394" s="14">
        <v>89767.0</v>
      </c>
      <c r="AE394" s="14">
        <v>89767.0</v>
      </c>
      <c r="AF394" s="14"/>
      <c r="AG394" s="22"/>
      <c r="AH394" s="22"/>
      <c r="AI394" s="22"/>
      <c r="AJ394" s="22"/>
      <c r="AK394" s="22"/>
      <c r="AL394" s="22"/>
      <c r="AM394" s="22"/>
      <c r="AN394" s="22"/>
      <c r="AO394" s="22"/>
      <c r="AP394" s="22"/>
    </row>
    <row r="395" hidden="1">
      <c r="A395" s="8">
        <v>46065.0</v>
      </c>
      <c r="B395" s="23">
        <v>0.8333333333333334</v>
      </c>
      <c r="C395" s="10" t="s">
        <v>58</v>
      </c>
      <c r="D395" s="10" t="s">
        <v>59</v>
      </c>
      <c r="E395" s="12" t="s">
        <v>71</v>
      </c>
      <c r="F395" s="12" t="s">
        <v>1129</v>
      </c>
      <c r="G395" s="12" t="s">
        <v>1301</v>
      </c>
      <c r="H395" s="12" t="s">
        <v>1294</v>
      </c>
      <c r="I395" s="87" t="s">
        <v>61</v>
      </c>
      <c r="J395" s="14">
        <v>4606.0</v>
      </c>
      <c r="K395" s="14">
        <v>2428.0</v>
      </c>
      <c r="L395" s="15">
        <v>0.5271</v>
      </c>
      <c r="M395" s="16"/>
      <c r="N395" s="17"/>
      <c r="O395" s="18">
        <v>12.0</v>
      </c>
      <c r="P395" s="18"/>
      <c r="Q395" s="19">
        <v>0.0049</v>
      </c>
      <c r="R395" s="19"/>
      <c r="S395" s="20">
        <v>3.0</v>
      </c>
      <c r="T395" s="20">
        <v>9.0</v>
      </c>
      <c r="U395" s="20">
        <v>21158.0</v>
      </c>
      <c r="V395" s="21" t="s">
        <v>335</v>
      </c>
      <c r="W395" s="18" t="s">
        <v>62</v>
      </c>
      <c r="X395" s="21" t="s">
        <v>52</v>
      </c>
      <c r="Y395" s="21" t="s">
        <v>1296</v>
      </c>
      <c r="Z395" s="90" t="s">
        <v>1302</v>
      </c>
      <c r="AA395" s="14">
        <v>11.0</v>
      </c>
      <c r="AB395" s="14">
        <v>11.0</v>
      </c>
      <c r="AC395" s="14"/>
      <c r="AD395" s="14">
        <v>70277.0</v>
      </c>
      <c r="AE395" s="14">
        <v>70277.0</v>
      </c>
      <c r="AF395" s="14"/>
      <c r="AG395" s="22"/>
      <c r="AH395" s="22"/>
      <c r="AI395" s="22"/>
      <c r="AJ395" s="22"/>
      <c r="AK395" s="22"/>
      <c r="AL395" s="22"/>
      <c r="AM395" s="22"/>
      <c r="AN395" s="22"/>
      <c r="AO395" s="22"/>
      <c r="AP395" s="22"/>
    </row>
    <row r="396" hidden="1">
      <c r="A396" s="8">
        <v>46065.0</v>
      </c>
      <c r="B396" s="23">
        <v>0.8333333333333334</v>
      </c>
      <c r="C396" s="10" t="s">
        <v>58</v>
      </c>
      <c r="D396" s="10" t="s">
        <v>59</v>
      </c>
      <c r="E396" s="12" t="s">
        <v>71</v>
      </c>
      <c r="F396" s="12" t="s">
        <v>1129</v>
      </c>
      <c r="G396" s="12" t="s">
        <v>1303</v>
      </c>
      <c r="H396" s="12" t="s">
        <v>553</v>
      </c>
      <c r="I396" s="87" t="s">
        <v>61</v>
      </c>
      <c r="J396" s="14">
        <v>21109.0</v>
      </c>
      <c r="K396" s="14">
        <v>11255.0</v>
      </c>
      <c r="L396" s="15">
        <v>0.5332</v>
      </c>
      <c r="M396" s="16"/>
      <c r="N396" s="17"/>
      <c r="O396" s="18">
        <v>81.0</v>
      </c>
      <c r="P396" s="18"/>
      <c r="Q396" s="19">
        <v>0.0072</v>
      </c>
      <c r="R396" s="19"/>
      <c r="S396" s="20">
        <v>7.0</v>
      </c>
      <c r="T396" s="20">
        <v>19.0</v>
      </c>
      <c r="U396" s="20">
        <v>33698.0</v>
      </c>
      <c r="V396" s="21" t="s">
        <v>335</v>
      </c>
      <c r="W396" s="18" t="s">
        <v>62</v>
      </c>
      <c r="X396" s="21" t="s">
        <v>82</v>
      </c>
      <c r="Y396" s="21" t="s">
        <v>1296</v>
      </c>
      <c r="Z396" s="90" t="s">
        <v>1304</v>
      </c>
      <c r="AA396" s="14">
        <v>29.0</v>
      </c>
      <c r="AB396" s="14">
        <v>29.0</v>
      </c>
      <c r="AC396" s="14"/>
      <c r="AD396" s="14">
        <v>120316.0</v>
      </c>
      <c r="AE396" s="14">
        <v>120316.0</v>
      </c>
      <c r="AF396" s="14"/>
      <c r="AG396" s="22"/>
      <c r="AH396" s="22"/>
      <c r="AI396" s="22"/>
      <c r="AJ396" s="22"/>
      <c r="AK396" s="22"/>
      <c r="AL396" s="22"/>
      <c r="AM396" s="22"/>
      <c r="AN396" s="22"/>
      <c r="AO396" s="22"/>
      <c r="AP396" s="22"/>
    </row>
    <row r="397" hidden="1">
      <c r="A397" s="8">
        <v>46065.0</v>
      </c>
      <c r="B397" s="23">
        <v>0.8333333333333334</v>
      </c>
      <c r="C397" s="10" t="s">
        <v>58</v>
      </c>
      <c r="D397" s="10" t="s">
        <v>59</v>
      </c>
      <c r="E397" s="12" t="s">
        <v>71</v>
      </c>
      <c r="F397" s="12" t="s">
        <v>1129</v>
      </c>
      <c r="G397" s="12" t="s">
        <v>1305</v>
      </c>
      <c r="H397" s="12" t="s">
        <v>1306</v>
      </c>
      <c r="I397" s="57" t="s">
        <v>454</v>
      </c>
      <c r="J397" s="14">
        <v>28241.0</v>
      </c>
      <c r="K397" s="14">
        <v>17176.0</v>
      </c>
      <c r="L397" s="15">
        <v>0.6082</v>
      </c>
      <c r="M397" s="16"/>
      <c r="N397" s="17"/>
      <c r="O397" s="18">
        <v>62.0</v>
      </c>
      <c r="P397" s="18"/>
      <c r="Q397" s="19">
        <v>0.0036</v>
      </c>
      <c r="R397" s="19"/>
      <c r="S397" s="20">
        <v>1.0</v>
      </c>
      <c r="T397" s="20">
        <v>23.0</v>
      </c>
      <c r="U397" s="20">
        <v>2499.0</v>
      </c>
      <c r="V397" s="21" t="s">
        <v>335</v>
      </c>
      <c r="W397" s="18" t="s">
        <v>62</v>
      </c>
      <c r="X397" s="21" t="s">
        <v>47</v>
      </c>
      <c r="Y397" s="21" t="s">
        <v>1296</v>
      </c>
      <c r="Z397" s="90" t="s">
        <v>1307</v>
      </c>
      <c r="AA397" s="14">
        <v>14.0</v>
      </c>
      <c r="AB397" s="14">
        <v>14.0</v>
      </c>
      <c r="AC397" s="14"/>
      <c r="AD397" s="14">
        <v>47366.0</v>
      </c>
      <c r="AE397" s="14">
        <v>47366.0</v>
      </c>
      <c r="AF397" s="14"/>
      <c r="AG397" s="22"/>
      <c r="AH397" s="22"/>
      <c r="AI397" s="22"/>
      <c r="AJ397" s="22"/>
      <c r="AK397" s="22"/>
      <c r="AL397" s="22"/>
      <c r="AM397" s="22"/>
      <c r="AN397" s="22"/>
      <c r="AO397" s="22"/>
      <c r="AP397" s="22"/>
    </row>
    <row r="398" hidden="1">
      <c r="A398" s="8">
        <v>46065.0</v>
      </c>
      <c r="B398" s="23">
        <v>0.75</v>
      </c>
      <c r="C398" s="10" t="s">
        <v>196</v>
      </c>
      <c r="D398" s="10" t="s">
        <v>33</v>
      </c>
      <c r="E398" s="10" t="s">
        <v>71</v>
      </c>
      <c r="F398" s="12" t="s">
        <v>1129</v>
      </c>
      <c r="G398" s="12" t="s">
        <v>1308</v>
      </c>
      <c r="H398" s="12" t="s">
        <v>1306</v>
      </c>
      <c r="I398" s="57" t="s">
        <v>1309</v>
      </c>
      <c r="J398" s="14">
        <v>33088.0</v>
      </c>
      <c r="K398" s="14">
        <v>4620.0</v>
      </c>
      <c r="L398" s="15">
        <v>0.14</v>
      </c>
      <c r="M398" s="16">
        <v>620.0</v>
      </c>
      <c r="N398" s="17">
        <v>0.134</v>
      </c>
      <c r="O398" s="18">
        <v>48.0</v>
      </c>
      <c r="P398" s="48"/>
      <c r="Q398" s="19">
        <v>0.01</v>
      </c>
      <c r="R398" s="49"/>
      <c r="S398" s="88">
        <v>2.0</v>
      </c>
      <c r="T398" s="88">
        <v>6.0</v>
      </c>
      <c r="U398" s="25">
        <v>10525.0</v>
      </c>
      <c r="V398" s="21" t="s">
        <v>335</v>
      </c>
      <c r="W398" s="21" t="s">
        <v>95</v>
      </c>
      <c r="X398" s="21" t="s">
        <v>47</v>
      </c>
      <c r="Y398" s="21" t="s">
        <v>1296</v>
      </c>
      <c r="Z398" s="20" t="s">
        <v>1310</v>
      </c>
      <c r="AA398" s="14">
        <v>4.0</v>
      </c>
      <c r="AB398" s="14">
        <v>4.0</v>
      </c>
      <c r="AC398" s="14"/>
      <c r="AD398" s="14">
        <v>12423.0</v>
      </c>
      <c r="AE398" s="14">
        <v>12423.0</v>
      </c>
      <c r="AF398" s="14"/>
      <c r="AG398" s="22"/>
      <c r="AH398" s="22"/>
      <c r="AI398" s="22"/>
      <c r="AJ398" s="22"/>
      <c r="AK398" s="22"/>
      <c r="AL398" s="22"/>
      <c r="AM398" s="22"/>
      <c r="AN398" s="22"/>
      <c r="AO398" s="22"/>
      <c r="AP398" s="22"/>
    </row>
    <row r="399" hidden="1">
      <c r="A399" s="8">
        <v>46066.0</v>
      </c>
      <c r="B399" s="23">
        <v>0.3541666666666667</v>
      </c>
      <c r="C399" s="10" t="s">
        <v>32</v>
      </c>
      <c r="D399" s="11" t="s">
        <v>59</v>
      </c>
      <c r="E399" s="12" t="s">
        <v>179</v>
      </c>
      <c r="F399" s="12" t="s">
        <v>867</v>
      </c>
      <c r="G399" s="12" t="s">
        <v>1311</v>
      </c>
      <c r="H399" s="12" t="s">
        <v>1277</v>
      </c>
      <c r="I399" s="87" t="s">
        <v>61</v>
      </c>
      <c r="J399" s="14">
        <v>30975.0</v>
      </c>
      <c r="K399" s="14">
        <v>15051.0</v>
      </c>
      <c r="L399" s="15">
        <v>0.4859</v>
      </c>
      <c r="M399" s="16">
        <v>3058.0</v>
      </c>
      <c r="N399" s="17">
        <v>0.2032</v>
      </c>
      <c r="O399" s="18">
        <v>487.0</v>
      </c>
      <c r="P399" s="18">
        <v>433.0</v>
      </c>
      <c r="Q399" s="19">
        <v>0.0288</v>
      </c>
      <c r="R399" s="19">
        <v>0.1416</v>
      </c>
      <c r="S399" s="20">
        <v>11.0</v>
      </c>
      <c r="T399" s="20">
        <v>35.0</v>
      </c>
      <c r="U399" s="20">
        <v>53314.0</v>
      </c>
      <c r="V399" s="21" t="s">
        <v>335</v>
      </c>
      <c r="W399" s="18" t="s">
        <v>76</v>
      </c>
      <c r="X399" s="21" t="s">
        <v>184</v>
      </c>
      <c r="Y399" s="73" t="s">
        <v>1312</v>
      </c>
      <c r="Z399" s="20" t="s">
        <v>1313</v>
      </c>
      <c r="AA399" s="14">
        <v>37.0</v>
      </c>
      <c r="AB399" s="14">
        <v>37.0</v>
      </c>
      <c r="AC399" s="14"/>
      <c r="AD399" s="14">
        <v>138985.0</v>
      </c>
      <c r="AE399" s="14">
        <v>138985.0</v>
      </c>
      <c r="AF399" s="14"/>
      <c r="AG399" s="22"/>
      <c r="AH399" s="22"/>
      <c r="AI399" s="22"/>
      <c r="AJ399" s="22"/>
      <c r="AK399" s="22"/>
      <c r="AL399" s="22"/>
      <c r="AM399" s="22"/>
      <c r="AN399" s="22"/>
      <c r="AO399" s="22"/>
      <c r="AP399" s="22"/>
    </row>
    <row r="400" hidden="1">
      <c r="A400" s="8">
        <v>46066.0</v>
      </c>
      <c r="B400" s="23">
        <v>0.3576388888888889</v>
      </c>
      <c r="C400" s="10" t="s">
        <v>32</v>
      </c>
      <c r="D400" s="11" t="s">
        <v>59</v>
      </c>
      <c r="E400" s="12" t="s">
        <v>179</v>
      </c>
      <c r="F400" s="12" t="s">
        <v>867</v>
      </c>
      <c r="G400" s="12" t="s">
        <v>1314</v>
      </c>
      <c r="H400" s="12" t="s">
        <v>1282</v>
      </c>
      <c r="I400" s="87" t="s">
        <v>61</v>
      </c>
      <c r="J400" s="14">
        <v>2608.0</v>
      </c>
      <c r="K400" s="14">
        <v>1241.0</v>
      </c>
      <c r="L400" s="15">
        <v>0.4758</v>
      </c>
      <c r="M400" s="16">
        <v>244.0</v>
      </c>
      <c r="N400" s="17">
        <v>0.1966</v>
      </c>
      <c r="O400" s="18">
        <v>57.0</v>
      </c>
      <c r="P400" s="18">
        <v>51.0</v>
      </c>
      <c r="Q400" s="19">
        <v>0.0411</v>
      </c>
      <c r="R400" s="19">
        <v>0.209</v>
      </c>
      <c r="S400" s="20">
        <v>3.0</v>
      </c>
      <c r="T400" s="20">
        <v>5.0</v>
      </c>
      <c r="U400" s="20">
        <v>17128.0</v>
      </c>
      <c r="V400" s="21" t="s">
        <v>335</v>
      </c>
      <c r="W400" s="18" t="s">
        <v>76</v>
      </c>
      <c r="X400" s="21" t="s">
        <v>47</v>
      </c>
      <c r="Y400" s="73" t="s">
        <v>1312</v>
      </c>
      <c r="Z400" s="20" t="s">
        <v>1315</v>
      </c>
      <c r="AA400" s="14">
        <v>6.0</v>
      </c>
      <c r="AB400" s="14">
        <v>6.0</v>
      </c>
      <c r="AC400" s="14"/>
      <c r="AD400" s="14">
        <v>42781.0</v>
      </c>
      <c r="AE400" s="14">
        <v>42781.0</v>
      </c>
      <c r="AF400" s="14"/>
      <c r="AG400" s="22"/>
      <c r="AH400" s="22"/>
      <c r="AI400" s="22"/>
      <c r="AJ400" s="22"/>
      <c r="AK400" s="22"/>
      <c r="AL400" s="22"/>
      <c r="AM400" s="22"/>
      <c r="AN400" s="22"/>
      <c r="AO400" s="22"/>
      <c r="AP400" s="22"/>
    </row>
    <row r="401" hidden="1">
      <c r="A401" s="8">
        <v>46066.0</v>
      </c>
      <c r="B401" s="23">
        <v>0.3645833333333333</v>
      </c>
      <c r="C401" s="10" t="s">
        <v>32</v>
      </c>
      <c r="D401" s="11" t="s">
        <v>59</v>
      </c>
      <c r="E401" s="12" t="s">
        <v>179</v>
      </c>
      <c r="F401" s="12" t="s">
        <v>867</v>
      </c>
      <c r="G401" s="12" t="s">
        <v>1316</v>
      </c>
      <c r="H401" s="12" t="s">
        <v>1290</v>
      </c>
      <c r="I401" s="57" t="s">
        <v>61</v>
      </c>
      <c r="J401" s="14">
        <v>1340.0</v>
      </c>
      <c r="K401" s="14">
        <v>631.0</v>
      </c>
      <c r="L401" s="15">
        <v>0.4709</v>
      </c>
      <c r="M401" s="16">
        <v>146.0</v>
      </c>
      <c r="N401" s="17">
        <v>0.2314</v>
      </c>
      <c r="O401" s="18">
        <v>20.0</v>
      </c>
      <c r="P401" s="18">
        <v>19.0</v>
      </c>
      <c r="Q401" s="19">
        <v>0.0301</v>
      </c>
      <c r="R401" s="19">
        <v>0.1301</v>
      </c>
      <c r="S401" s="20">
        <v>0.0</v>
      </c>
      <c r="T401" s="20">
        <v>1.0</v>
      </c>
      <c r="U401" s="20">
        <v>0.0</v>
      </c>
      <c r="V401" s="21" t="s">
        <v>335</v>
      </c>
      <c r="W401" s="18" t="s">
        <v>76</v>
      </c>
      <c r="X401" s="21" t="s">
        <v>52</v>
      </c>
      <c r="Y401" s="73" t="s">
        <v>1312</v>
      </c>
      <c r="Z401" s="20" t="s">
        <v>1317</v>
      </c>
      <c r="AA401" s="14">
        <v>1.0</v>
      </c>
      <c r="AB401" s="14">
        <v>1.0</v>
      </c>
      <c r="AC401" s="14"/>
      <c r="AD401" s="14">
        <v>1657.0</v>
      </c>
      <c r="AE401" s="14">
        <v>1657.0</v>
      </c>
      <c r="AF401" s="14"/>
      <c r="AG401" s="22"/>
      <c r="AH401" s="22"/>
      <c r="AI401" s="22"/>
      <c r="AJ401" s="22"/>
      <c r="AK401" s="22"/>
      <c r="AL401" s="22"/>
      <c r="AM401" s="22"/>
      <c r="AN401" s="22"/>
      <c r="AO401" s="22"/>
      <c r="AP401" s="22"/>
    </row>
    <row r="402" hidden="1">
      <c r="A402" s="8">
        <v>46066.0</v>
      </c>
      <c r="B402" s="23">
        <v>0.3611111111111111</v>
      </c>
      <c r="C402" s="10" t="s">
        <v>32</v>
      </c>
      <c r="D402" s="11" t="s">
        <v>59</v>
      </c>
      <c r="E402" s="12" t="s">
        <v>179</v>
      </c>
      <c r="F402" s="12" t="s">
        <v>867</v>
      </c>
      <c r="G402" s="12" t="s">
        <v>1318</v>
      </c>
      <c r="H402" s="12" t="s">
        <v>1286</v>
      </c>
      <c r="I402" s="57" t="s">
        <v>61</v>
      </c>
      <c r="J402" s="14">
        <v>3910.0</v>
      </c>
      <c r="K402" s="14">
        <v>1688.0</v>
      </c>
      <c r="L402" s="15">
        <v>0.4317</v>
      </c>
      <c r="M402" s="16">
        <v>268.0</v>
      </c>
      <c r="N402" s="17">
        <v>0.1588</v>
      </c>
      <c r="O402" s="18">
        <v>51.0</v>
      </c>
      <c r="P402" s="18">
        <v>47.0</v>
      </c>
      <c r="Q402" s="19">
        <v>0.0278</v>
      </c>
      <c r="R402" s="19">
        <v>0.1754</v>
      </c>
      <c r="S402" s="20">
        <v>5.0</v>
      </c>
      <c r="T402" s="20">
        <v>7.0</v>
      </c>
      <c r="U402" s="20">
        <v>22751.0</v>
      </c>
      <c r="V402" s="21" t="s">
        <v>335</v>
      </c>
      <c r="W402" s="18" t="s">
        <v>76</v>
      </c>
      <c r="X402" s="21" t="s">
        <v>82</v>
      </c>
      <c r="Y402" s="73" t="s">
        <v>1312</v>
      </c>
      <c r="Z402" s="20" t="s">
        <v>1319</v>
      </c>
      <c r="AA402" s="14">
        <v>5.0</v>
      </c>
      <c r="AB402" s="14">
        <v>5.0</v>
      </c>
      <c r="AC402" s="14"/>
      <c r="AD402" s="14">
        <v>31745.0</v>
      </c>
      <c r="AE402" s="14">
        <v>31745.0</v>
      </c>
      <c r="AF402" s="14"/>
      <c r="AG402" s="22"/>
      <c r="AH402" s="22"/>
      <c r="AI402" s="22"/>
      <c r="AJ402" s="22"/>
      <c r="AK402" s="22"/>
      <c r="AL402" s="22"/>
      <c r="AM402" s="22"/>
      <c r="AN402" s="22"/>
      <c r="AO402" s="22"/>
      <c r="AP402" s="22"/>
    </row>
    <row r="403" hidden="1">
      <c r="A403" s="8">
        <v>46066.0</v>
      </c>
      <c r="B403" s="23">
        <v>0.4166666666666667</v>
      </c>
      <c r="C403" s="10" t="s">
        <v>58</v>
      </c>
      <c r="D403" s="11" t="s">
        <v>59</v>
      </c>
      <c r="E403" s="12" t="s">
        <v>179</v>
      </c>
      <c r="F403" s="12" t="s">
        <v>867</v>
      </c>
      <c r="G403" s="12" t="s">
        <v>1320</v>
      </c>
      <c r="H403" s="12" t="s">
        <v>1277</v>
      </c>
      <c r="I403" s="87" t="s">
        <v>61</v>
      </c>
      <c r="J403" s="14">
        <v>15671.0</v>
      </c>
      <c r="K403" s="14">
        <v>10708.0</v>
      </c>
      <c r="L403" s="15">
        <v>0.6833</v>
      </c>
      <c r="M403" s="16"/>
      <c r="N403" s="17"/>
      <c r="O403" s="18">
        <v>59.0</v>
      </c>
      <c r="P403" s="18"/>
      <c r="Q403" s="19">
        <v>0.0055</v>
      </c>
      <c r="R403" s="19"/>
      <c r="S403" s="20">
        <v>3.0</v>
      </c>
      <c r="T403" s="20">
        <v>21.0</v>
      </c>
      <c r="U403" s="20">
        <v>13209.0</v>
      </c>
      <c r="V403" s="21" t="s">
        <v>335</v>
      </c>
      <c r="W403" s="18" t="s">
        <v>62</v>
      </c>
      <c r="X403" s="21" t="s">
        <v>184</v>
      </c>
      <c r="Y403" s="73" t="s">
        <v>1312</v>
      </c>
      <c r="Z403" s="20" t="s">
        <v>1321</v>
      </c>
      <c r="AA403" s="14">
        <v>27.0</v>
      </c>
      <c r="AB403" s="14">
        <v>27.0</v>
      </c>
      <c r="AC403" s="14"/>
      <c r="AD403" s="14">
        <v>123739.0</v>
      </c>
      <c r="AE403" s="14">
        <v>123739.0</v>
      </c>
      <c r="AF403" s="14"/>
      <c r="AG403" s="22"/>
      <c r="AH403" s="22"/>
      <c r="AI403" s="22"/>
      <c r="AJ403" s="22"/>
      <c r="AK403" s="22"/>
      <c r="AL403" s="22"/>
      <c r="AM403" s="22"/>
      <c r="AN403" s="22"/>
      <c r="AO403" s="22"/>
      <c r="AP403" s="22"/>
    </row>
    <row r="404" hidden="1">
      <c r="A404" s="8">
        <v>46066.0</v>
      </c>
      <c r="B404" s="23">
        <v>0.4166666666666667</v>
      </c>
      <c r="C404" s="10" t="s">
        <v>58</v>
      </c>
      <c r="D404" s="11" t="s">
        <v>59</v>
      </c>
      <c r="E404" s="12" t="s">
        <v>179</v>
      </c>
      <c r="F404" s="12" t="s">
        <v>867</v>
      </c>
      <c r="G404" s="12" t="s">
        <v>1322</v>
      </c>
      <c r="H404" s="12" t="s">
        <v>1282</v>
      </c>
      <c r="I404" s="57" t="s">
        <v>61</v>
      </c>
      <c r="J404" s="14">
        <v>1348.0</v>
      </c>
      <c r="K404" s="14">
        <v>739.0</v>
      </c>
      <c r="L404" s="15">
        <v>0.5482</v>
      </c>
      <c r="M404" s="16"/>
      <c r="N404" s="17"/>
      <c r="O404" s="18">
        <v>3.0</v>
      </c>
      <c r="P404" s="18"/>
      <c r="Q404" s="19">
        <v>0.0041</v>
      </c>
      <c r="R404" s="19"/>
      <c r="S404" s="20">
        <v>1.0</v>
      </c>
      <c r="T404" s="20">
        <v>2.0</v>
      </c>
      <c r="U404" s="20">
        <v>1317.0</v>
      </c>
      <c r="V404" s="21" t="s">
        <v>335</v>
      </c>
      <c r="W404" s="18" t="s">
        <v>62</v>
      </c>
      <c r="X404" s="21" t="s">
        <v>47</v>
      </c>
      <c r="Y404" s="73" t="s">
        <v>1312</v>
      </c>
      <c r="Z404" s="20" t="s">
        <v>1323</v>
      </c>
      <c r="AA404" s="14">
        <v>3.0</v>
      </c>
      <c r="AB404" s="14">
        <v>3.0</v>
      </c>
      <c r="AC404" s="14"/>
      <c r="AD404" s="14">
        <v>46737.0</v>
      </c>
      <c r="AE404" s="14">
        <v>46737.0</v>
      </c>
      <c r="AF404" s="14"/>
      <c r="AG404" s="22"/>
      <c r="AH404" s="22"/>
      <c r="AI404" s="22"/>
      <c r="AJ404" s="22"/>
      <c r="AK404" s="22"/>
      <c r="AL404" s="22"/>
      <c r="AM404" s="22"/>
      <c r="AN404" s="22"/>
      <c r="AO404" s="22"/>
      <c r="AP404" s="22"/>
    </row>
    <row r="405" hidden="1">
      <c r="A405" s="8">
        <v>46066.0</v>
      </c>
      <c r="B405" s="23">
        <v>0.4166666666666667</v>
      </c>
      <c r="C405" s="10" t="s">
        <v>58</v>
      </c>
      <c r="D405" s="11" t="s">
        <v>59</v>
      </c>
      <c r="E405" s="12" t="s">
        <v>179</v>
      </c>
      <c r="F405" s="12" t="s">
        <v>867</v>
      </c>
      <c r="G405" s="12" t="s">
        <v>1324</v>
      </c>
      <c r="H405" s="12" t="s">
        <v>1290</v>
      </c>
      <c r="I405" s="57" t="s">
        <v>61</v>
      </c>
      <c r="J405" s="14">
        <v>691.0</v>
      </c>
      <c r="K405" s="14">
        <v>458.0</v>
      </c>
      <c r="L405" s="15">
        <v>0.6628</v>
      </c>
      <c r="M405" s="16"/>
      <c r="N405" s="17"/>
      <c r="O405" s="18">
        <v>0.0</v>
      </c>
      <c r="P405" s="18"/>
      <c r="Q405" s="19">
        <v>0.0</v>
      </c>
      <c r="R405" s="19"/>
      <c r="S405" s="20">
        <v>0.0</v>
      </c>
      <c r="T405" s="20">
        <v>0.0</v>
      </c>
      <c r="U405" s="20">
        <v>0.0</v>
      </c>
      <c r="V405" s="21" t="s">
        <v>335</v>
      </c>
      <c r="W405" s="18" t="s">
        <v>62</v>
      </c>
      <c r="X405" s="21" t="s">
        <v>52</v>
      </c>
      <c r="Y405" s="73" t="s">
        <v>1312</v>
      </c>
      <c r="Z405" s="20" t="s">
        <v>1325</v>
      </c>
      <c r="AA405" s="14">
        <v>0.0</v>
      </c>
      <c r="AB405" s="14">
        <v>0.0</v>
      </c>
      <c r="AC405" s="14"/>
      <c r="AD405" s="14">
        <v>0.0</v>
      </c>
      <c r="AE405" s="14">
        <v>0.0</v>
      </c>
      <c r="AF405" s="14"/>
      <c r="AG405" s="22"/>
      <c r="AH405" s="22"/>
      <c r="AI405" s="22"/>
      <c r="AJ405" s="22"/>
      <c r="AK405" s="22"/>
      <c r="AL405" s="22"/>
      <c r="AM405" s="22"/>
      <c r="AN405" s="22"/>
      <c r="AO405" s="22"/>
      <c r="AP405" s="22"/>
    </row>
    <row r="406" hidden="1">
      <c r="A406" s="8">
        <v>46066.0</v>
      </c>
      <c r="B406" s="23">
        <v>0.4166666666666667</v>
      </c>
      <c r="C406" s="10" t="s">
        <v>58</v>
      </c>
      <c r="D406" s="10" t="s">
        <v>59</v>
      </c>
      <c r="E406" s="12" t="s">
        <v>179</v>
      </c>
      <c r="F406" s="12" t="s">
        <v>867</v>
      </c>
      <c r="G406" s="12" t="s">
        <v>1326</v>
      </c>
      <c r="H406" s="58" t="s">
        <v>1286</v>
      </c>
      <c r="I406" s="87" t="s">
        <v>61</v>
      </c>
      <c r="J406" s="14">
        <v>2161.0</v>
      </c>
      <c r="K406" s="14">
        <v>1148.0</v>
      </c>
      <c r="L406" s="15">
        <v>0.5312</v>
      </c>
      <c r="M406" s="16"/>
      <c r="N406" s="17"/>
      <c r="O406" s="18">
        <v>9.0</v>
      </c>
      <c r="P406" s="18"/>
      <c r="Q406" s="19">
        <v>0.0078</v>
      </c>
      <c r="R406" s="19"/>
      <c r="S406" s="20">
        <v>0.0</v>
      </c>
      <c r="T406" s="20">
        <v>2.0</v>
      </c>
      <c r="U406" s="20">
        <v>0.0</v>
      </c>
      <c r="V406" s="21" t="s">
        <v>335</v>
      </c>
      <c r="W406" s="18" t="s">
        <v>62</v>
      </c>
      <c r="X406" s="21" t="s">
        <v>82</v>
      </c>
      <c r="Y406" s="73" t="s">
        <v>1312</v>
      </c>
      <c r="Z406" s="20" t="s">
        <v>1327</v>
      </c>
      <c r="AA406" s="14">
        <v>4.0</v>
      </c>
      <c r="AB406" s="14">
        <v>4.0</v>
      </c>
      <c r="AC406" s="14"/>
      <c r="AD406" s="14">
        <v>23372.0</v>
      </c>
      <c r="AE406" s="14"/>
      <c r="AF406" s="25">
        <v>23372.0</v>
      </c>
      <c r="AG406" s="22"/>
      <c r="AH406" s="22"/>
      <c r="AI406" s="22"/>
      <c r="AJ406" s="22"/>
      <c r="AK406" s="22"/>
      <c r="AL406" s="22"/>
      <c r="AM406" s="22"/>
      <c r="AN406" s="22"/>
      <c r="AO406" s="22"/>
      <c r="AP406" s="22"/>
    </row>
    <row r="407" hidden="1">
      <c r="A407" s="8">
        <v>46066.0</v>
      </c>
      <c r="B407" s="23">
        <v>0.6666666666666666</v>
      </c>
      <c r="C407" s="10" t="s">
        <v>32</v>
      </c>
      <c r="D407" s="10" t="s">
        <v>33</v>
      </c>
      <c r="E407" s="12" t="s">
        <v>217</v>
      </c>
      <c r="F407" s="12" t="s">
        <v>35</v>
      </c>
      <c r="G407" s="12" t="s">
        <v>1328</v>
      </c>
      <c r="H407" s="12" t="s">
        <v>1329</v>
      </c>
      <c r="I407" s="12" t="s">
        <v>1330</v>
      </c>
      <c r="J407" s="14">
        <v>37851.0</v>
      </c>
      <c r="K407" s="14">
        <v>22292.0</v>
      </c>
      <c r="L407" s="15">
        <v>0.5887</v>
      </c>
      <c r="M407" s="16">
        <v>13249.0</v>
      </c>
      <c r="N407" s="17">
        <v>0.5945</v>
      </c>
      <c r="O407" s="18">
        <v>811.0</v>
      </c>
      <c r="P407" s="18">
        <v>777.0</v>
      </c>
      <c r="Q407" s="19">
        <v>0.03</v>
      </c>
      <c r="R407" s="19">
        <v>0.06</v>
      </c>
      <c r="S407" s="20"/>
      <c r="T407" s="20"/>
      <c r="U407" s="20"/>
      <c r="V407" s="21" t="s">
        <v>315</v>
      </c>
      <c r="W407" s="21" t="s">
        <v>76</v>
      </c>
      <c r="X407" s="21" t="s">
        <v>111</v>
      </c>
      <c r="Y407" s="66" t="s">
        <v>1331</v>
      </c>
      <c r="Z407" s="20" t="s">
        <v>1332</v>
      </c>
      <c r="AA407" s="20">
        <v>67.0</v>
      </c>
      <c r="AB407" s="20"/>
      <c r="AC407" s="20">
        <v>67.0</v>
      </c>
      <c r="AD407" s="14">
        <v>129867.0</v>
      </c>
      <c r="AE407" s="14"/>
      <c r="AF407" s="14">
        <v>129867.0</v>
      </c>
      <c r="AG407" s="22"/>
      <c r="AH407" s="22"/>
      <c r="AI407" s="22"/>
      <c r="AJ407" s="22"/>
      <c r="AK407" s="22"/>
      <c r="AL407" s="22"/>
      <c r="AM407" s="22"/>
      <c r="AN407" s="22"/>
      <c r="AO407" s="22"/>
      <c r="AP407" s="22"/>
    </row>
    <row r="408" hidden="1">
      <c r="A408" s="8">
        <v>46066.0</v>
      </c>
      <c r="B408" s="23">
        <v>0.75</v>
      </c>
      <c r="C408" s="10" t="s">
        <v>58</v>
      </c>
      <c r="D408" s="10" t="s">
        <v>59</v>
      </c>
      <c r="E408" s="12" t="s">
        <v>217</v>
      </c>
      <c r="F408" s="12" t="s">
        <v>35</v>
      </c>
      <c r="G408" s="12" t="s">
        <v>1333</v>
      </c>
      <c r="H408" s="12" t="s">
        <v>1329</v>
      </c>
      <c r="I408" s="57" t="s">
        <v>61</v>
      </c>
      <c r="J408" s="14">
        <v>15091.0</v>
      </c>
      <c r="K408" s="14">
        <v>10420.0</v>
      </c>
      <c r="L408" s="15">
        <v>0.69</v>
      </c>
      <c r="M408" s="16"/>
      <c r="N408" s="17"/>
      <c r="O408" s="18">
        <v>15.0</v>
      </c>
      <c r="P408" s="18"/>
      <c r="Q408" s="19">
        <v>0.001</v>
      </c>
      <c r="R408" s="19"/>
      <c r="S408" s="20"/>
      <c r="T408" s="20"/>
      <c r="U408" s="20"/>
      <c r="V408" s="21" t="s">
        <v>315</v>
      </c>
      <c r="W408" s="21" t="s">
        <v>62</v>
      </c>
      <c r="X408" s="21" t="s">
        <v>111</v>
      </c>
      <c r="Y408" s="66" t="s">
        <v>1331</v>
      </c>
      <c r="Z408" s="20" t="s">
        <v>1334</v>
      </c>
      <c r="AA408" s="20">
        <v>30.0</v>
      </c>
      <c r="AB408" s="20"/>
      <c r="AC408" s="20">
        <v>30.0</v>
      </c>
      <c r="AD408" s="14">
        <v>82708.0</v>
      </c>
      <c r="AE408" s="14"/>
      <c r="AF408" s="14">
        <v>82708.0</v>
      </c>
      <c r="AG408" s="22"/>
      <c r="AH408" s="22"/>
      <c r="AI408" s="22"/>
      <c r="AJ408" s="22"/>
      <c r="AK408" s="22"/>
      <c r="AL408" s="22"/>
      <c r="AM408" s="22"/>
      <c r="AN408" s="22"/>
      <c r="AO408" s="22"/>
      <c r="AP408" s="22"/>
    </row>
    <row r="409" hidden="1">
      <c r="A409" s="8">
        <v>46067.0</v>
      </c>
      <c r="B409" s="23">
        <v>0.4583333333333333</v>
      </c>
      <c r="C409" s="10" t="s">
        <v>58</v>
      </c>
      <c r="D409" s="10" t="s">
        <v>33</v>
      </c>
      <c r="E409" s="12" t="s">
        <v>106</v>
      </c>
      <c r="F409" s="12" t="s">
        <v>1129</v>
      </c>
      <c r="G409" s="12" t="s">
        <v>1335</v>
      </c>
      <c r="H409" s="12" t="s">
        <v>1131</v>
      </c>
      <c r="I409" s="57" t="s">
        <v>1142</v>
      </c>
      <c r="J409" s="14">
        <v>58191.0</v>
      </c>
      <c r="K409" s="14">
        <v>33094.0</v>
      </c>
      <c r="L409" s="15">
        <v>0.5687</v>
      </c>
      <c r="M409" s="16"/>
      <c r="N409" s="17"/>
      <c r="O409" s="18"/>
      <c r="P409" s="18"/>
      <c r="Q409" s="19"/>
      <c r="R409" s="19"/>
      <c r="S409" s="20"/>
      <c r="T409" s="20"/>
      <c r="U409" s="20"/>
      <c r="V409" s="21" t="s">
        <v>183</v>
      </c>
      <c r="W409" s="18" t="s">
        <v>62</v>
      </c>
      <c r="X409" s="21" t="s">
        <v>47</v>
      </c>
      <c r="Y409" s="21" t="s">
        <v>1336</v>
      </c>
      <c r="Z409" s="20" t="s">
        <v>1337</v>
      </c>
      <c r="AA409" s="14">
        <v>44.0</v>
      </c>
      <c r="AB409" s="14"/>
      <c r="AC409" s="14">
        <v>44.0</v>
      </c>
      <c r="AD409" s="14">
        <v>502848.0</v>
      </c>
      <c r="AE409" s="14"/>
      <c r="AF409" s="14">
        <v>502848.0</v>
      </c>
      <c r="AG409" s="22"/>
      <c r="AH409" s="22"/>
      <c r="AI409" s="22"/>
      <c r="AJ409" s="22"/>
      <c r="AK409" s="22"/>
      <c r="AL409" s="22"/>
      <c r="AM409" s="22"/>
      <c r="AN409" s="22"/>
      <c r="AO409" s="22"/>
      <c r="AP409" s="22"/>
    </row>
    <row r="410" hidden="1">
      <c r="A410" s="8">
        <v>46067.0</v>
      </c>
      <c r="B410" s="23">
        <v>0.4583333333333333</v>
      </c>
      <c r="C410" s="10" t="s">
        <v>58</v>
      </c>
      <c r="D410" s="10" t="s">
        <v>33</v>
      </c>
      <c r="E410" s="12" t="s">
        <v>106</v>
      </c>
      <c r="F410" s="12" t="s">
        <v>1129</v>
      </c>
      <c r="G410" s="12" t="s">
        <v>1338</v>
      </c>
      <c r="H410" s="12" t="s">
        <v>1135</v>
      </c>
      <c r="I410" s="57" t="s">
        <v>1145</v>
      </c>
      <c r="J410" s="14">
        <v>118532.0</v>
      </c>
      <c r="K410" s="14">
        <v>67231.0</v>
      </c>
      <c r="L410" s="15">
        <v>0.5672</v>
      </c>
      <c r="M410" s="16"/>
      <c r="N410" s="17"/>
      <c r="O410" s="18"/>
      <c r="P410" s="18"/>
      <c r="Q410" s="19"/>
      <c r="R410" s="19"/>
      <c r="S410" s="20"/>
      <c r="T410" s="20"/>
      <c r="U410" s="20"/>
      <c r="V410" s="21" t="s">
        <v>315</v>
      </c>
      <c r="W410" s="18" t="s">
        <v>62</v>
      </c>
      <c r="X410" s="21" t="s">
        <v>41</v>
      </c>
      <c r="Y410" s="21" t="s">
        <v>1336</v>
      </c>
      <c r="Z410" s="20" t="s">
        <v>1339</v>
      </c>
      <c r="AA410" s="14">
        <v>67.0</v>
      </c>
      <c r="AB410" s="14"/>
      <c r="AC410" s="14">
        <v>67.0</v>
      </c>
      <c r="AD410" s="14">
        <v>877811.0</v>
      </c>
      <c r="AE410" s="14"/>
      <c r="AF410" s="14">
        <v>877811.0</v>
      </c>
      <c r="AG410" s="22"/>
      <c r="AH410" s="22"/>
      <c r="AI410" s="22"/>
      <c r="AJ410" s="22"/>
      <c r="AK410" s="22"/>
      <c r="AL410" s="22"/>
      <c r="AM410" s="22"/>
      <c r="AN410" s="22"/>
      <c r="AO410" s="22"/>
      <c r="AP410" s="22"/>
    </row>
    <row r="411" hidden="1">
      <c r="A411" s="8">
        <v>46067.0</v>
      </c>
      <c r="B411" s="23">
        <v>0.4583333333333333</v>
      </c>
      <c r="C411" s="10" t="s">
        <v>58</v>
      </c>
      <c r="D411" s="10" t="s">
        <v>33</v>
      </c>
      <c r="E411" s="12" t="s">
        <v>106</v>
      </c>
      <c r="F411" s="12" t="s">
        <v>1129</v>
      </c>
      <c r="G411" s="12" t="s">
        <v>1340</v>
      </c>
      <c r="H411" s="12" t="s">
        <v>1138</v>
      </c>
      <c r="I411" s="57" t="s">
        <v>1148</v>
      </c>
      <c r="J411" s="14">
        <v>20428.0</v>
      </c>
      <c r="K411" s="14">
        <v>10879.0</v>
      </c>
      <c r="L411" s="15">
        <v>0.5326</v>
      </c>
      <c r="M411" s="16"/>
      <c r="N411" s="17"/>
      <c r="O411" s="18"/>
      <c r="P411" s="18"/>
      <c r="Q411" s="19"/>
      <c r="R411" s="19"/>
      <c r="S411" s="20"/>
      <c r="T411" s="20"/>
      <c r="U411" s="85"/>
      <c r="V411" s="21" t="s">
        <v>315</v>
      </c>
      <c r="W411" s="18" t="s">
        <v>62</v>
      </c>
      <c r="X411" s="91" t="s">
        <v>1341</v>
      </c>
      <c r="Y411" s="21" t="s">
        <v>1336</v>
      </c>
      <c r="Z411" s="20" t="s">
        <v>1342</v>
      </c>
      <c r="AA411" s="14">
        <v>19.0</v>
      </c>
      <c r="AB411" s="14"/>
      <c r="AC411" s="14">
        <v>19.0</v>
      </c>
      <c r="AD411" s="14">
        <v>297967.0</v>
      </c>
      <c r="AE411" s="14"/>
      <c r="AF411" s="14">
        <v>297967.0</v>
      </c>
      <c r="AG411" s="22"/>
      <c r="AH411" s="22"/>
      <c r="AI411" s="22"/>
      <c r="AJ411" s="22"/>
      <c r="AK411" s="22"/>
      <c r="AL411" s="22"/>
      <c r="AM411" s="22"/>
      <c r="AN411" s="22"/>
      <c r="AO411" s="22"/>
      <c r="AP411" s="22"/>
    </row>
    <row r="412" hidden="1">
      <c r="A412" s="8">
        <v>46068.0</v>
      </c>
      <c r="B412" s="23">
        <v>0.5</v>
      </c>
      <c r="C412" s="10" t="s">
        <v>58</v>
      </c>
      <c r="D412" s="10" t="s">
        <v>33</v>
      </c>
      <c r="E412" s="12" t="s">
        <v>71</v>
      </c>
      <c r="F412" s="12" t="s">
        <v>517</v>
      </c>
      <c r="G412" s="12" t="s">
        <v>1343</v>
      </c>
      <c r="H412" s="12" t="s">
        <v>1294</v>
      </c>
      <c r="I412" s="57" t="s">
        <v>1295</v>
      </c>
      <c r="J412" s="14">
        <v>6494.0</v>
      </c>
      <c r="K412" s="14">
        <v>3570.0</v>
      </c>
      <c r="L412" s="15">
        <v>0.5497</v>
      </c>
      <c r="M412" s="16"/>
      <c r="N412" s="17"/>
      <c r="O412" s="18">
        <v>8.0</v>
      </c>
      <c r="P412" s="18"/>
      <c r="Q412" s="19">
        <v>0.0022</v>
      </c>
      <c r="R412" s="19"/>
      <c r="S412" s="20">
        <v>1.0</v>
      </c>
      <c r="T412" s="20">
        <v>5.0</v>
      </c>
      <c r="U412" s="20">
        <v>4598.0</v>
      </c>
      <c r="V412" s="21" t="s">
        <v>335</v>
      </c>
      <c r="W412" s="18" t="s">
        <v>62</v>
      </c>
      <c r="X412" s="21" t="s">
        <v>52</v>
      </c>
      <c r="Y412" s="21" t="s">
        <v>1344</v>
      </c>
      <c r="Z412" s="20" t="s">
        <v>1345</v>
      </c>
      <c r="AA412" s="14">
        <v>4.0</v>
      </c>
      <c r="AB412" s="14">
        <v>4.0</v>
      </c>
      <c r="AC412" s="14"/>
      <c r="AD412" s="14">
        <v>24584.0</v>
      </c>
      <c r="AE412" s="14">
        <v>24584.0</v>
      </c>
      <c r="AF412" s="14"/>
      <c r="AG412" s="22"/>
      <c r="AH412" s="22"/>
      <c r="AI412" s="22"/>
      <c r="AJ412" s="22"/>
      <c r="AK412" s="22"/>
      <c r="AL412" s="22"/>
      <c r="AM412" s="22"/>
      <c r="AN412" s="22"/>
      <c r="AO412" s="22"/>
      <c r="AP412" s="22"/>
    </row>
    <row r="413" hidden="1">
      <c r="A413" s="8">
        <v>46068.0</v>
      </c>
      <c r="B413" s="23">
        <v>0.5</v>
      </c>
      <c r="C413" s="10" t="s">
        <v>58</v>
      </c>
      <c r="D413" s="10" t="s">
        <v>33</v>
      </c>
      <c r="E413" s="12" t="s">
        <v>71</v>
      </c>
      <c r="F413" s="12" t="s">
        <v>517</v>
      </c>
      <c r="G413" s="12" t="s">
        <v>1346</v>
      </c>
      <c r="H413" s="12" t="s">
        <v>553</v>
      </c>
      <c r="I413" s="57" t="s">
        <v>1299</v>
      </c>
      <c r="J413" s="14">
        <v>28931.0</v>
      </c>
      <c r="K413" s="14">
        <v>15718.0</v>
      </c>
      <c r="L413" s="15">
        <v>0.5433</v>
      </c>
      <c r="M413" s="16"/>
      <c r="N413" s="17"/>
      <c r="O413" s="18">
        <v>51.0</v>
      </c>
      <c r="P413" s="18"/>
      <c r="Q413" s="19">
        <v>0.0032</v>
      </c>
      <c r="R413" s="19"/>
      <c r="S413" s="20">
        <v>2.0</v>
      </c>
      <c r="T413" s="20">
        <v>10.0</v>
      </c>
      <c r="U413" s="20">
        <v>10793.0</v>
      </c>
      <c r="V413" s="21" t="s">
        <v>335</v>
      </c>
      <c r="W413" s="18" t="s">
        <v>62</v>
      </c>
      <c r="X413" s="21" t="s">
        <v>82</v>
      </c>
      <c r="Y413" s="21" t="s">
        <v>1344</v>
      </c>
      <c r="Z413" s="20" t="s">
        <v>1347</v>
      </c>
      <c r="AA413" s="14">
        <v>8.0</v>
      </c>
      <c r="AB413" s="14">
        <v>8.0</v>
      </c>
      <c r="AC413" s="14"/>
      <c r="AD413" s="14">
        <v>34764.0</v>
      </c>
      <c r="AE413" s="14">
        <v>34764.0</v>
      </c>
      <c r="AF413" s="14"/>
      <c r="AG413" s="22"/>
      <c r="AH413" s="22"/>
      <c r="AI413" s="22"/>
      <c r="AJ413" s="22"/>
      <c r="AK413" s="22"/>
      <c r="AL413" s="22"/>
      <c r="AM413" s="22"/>
      <c r="AN413" s="22"/>
      <c r="AO413" s="22"/>
      <c r="AP413" s="22"/>
    </row>
    <row r="414" hidden="1">
      <c r="A414" s="8">
        <v>46068.0</v>
      </c>
      <c r="B414" s="23">
        <v>0.5</v>
      </c>
      <c r="C414" s="10" t="s">
        <v>58</v>
      </c>
      <c r="D414" s="10" t="s">
        <v>33</v>
      </c>
      <c r="E414" s="12" t="s">
        <v>71</v>
      </c>
      <c r="F414" s="12" t="s">
        <v>517</v>
      </c>
      <c r="G414" s="12" t="s">
        <v>1348</v>
      </c>
      <c r="H414" s="12" t="s">
        <v>1306</v>
      </c>
      <c r="I414" s="57" t="s">
        <v>1309</v>
      </c>
      <c r="J414" s="14">
        <v>32303.0</v>
      </c>
      <c r="K414" s="14">
        <v>19672.0</v>
      </c>
      <c r="L414" s="15">
        <v>0.609</v>
      </c>
      <c r="M414" s="16"/>
      <c r="N414" s="17"/>
      <c r="O414" s="18">
        <v>17.0</v>
      </c>
      <c r="P414" s="18"/>
      <c r="Q414" s="19">
        <v>9.0E-4</v>
      </c>
      <c r="R414" s="19"/>
      <c r="S414" s="20">
        <v>0.0</v>
      </c>
      <c r="T414" s="20">
        <v>3.0</v>
      </c>
      <c r="U414" s="20">
        <v>0.0</v>
      </c>
      <c r="V414" s="21" t="s">
        <v>335</v>
      </c>
      <c r="W414" s="18" t="s">
        <v>62</v>
      </c>
      <c r="X414" s="21" t="s">
        <v>47</v>
      </c>
      <c r="Y414" s="21" t="s">
        <v>1344</v>
      </c>
      <c r="Z414" s="20" t="s">
        <v>1349</v>
      </c>
      <c r="AA414" s="14">
        <v>3.0</v>
      </c>
      <c r="AB414" s="14">
        <v>3.0</v>
      </c>
      <c r="AC414" s="14"/>
      <c r="AD414" s="14">
        <v>17691.0</v>
      </c>
      <c r="AE414" s="14">
        <v>17691.0</v>
      </c>
      <c r="AF414" s="14"/>
      <c r="AG414" s="22"/>
      <c r="AH414" s="22"/>
      <c r="AI414" s="22"/>
      <c r="AJ414" s="22"/>
      <c r="AK414" s="22"/>
      <c r="AL414" s="22"/>
      <c r="AM414" s="22"/>
      <c r="AN414" s="22"/>
      <c r="AO414" s="22"/>
      <c r="AP414" s="22"/>
    </row>
    <row r="415" hidden="1">
      <c r="A415" s="8">
        <v>46069.0</v>
      </c>
      <c r="B415" s="23">
        <v>0.75</v>
      </c>
      <c r="C415" s="10" t="s">
        <v>32</v>
      </c>
      <c r="D415" s="10" t="s">
        <v>33</v>
      </c>
      <c r="E415" s="12" t="s">
        <v>71</v>
      </c>
      <c r="F415" s="10">
        <v>899.0</v>
      </c>
      <c r="G415" s="12" t="s">
        <v>1350</v>
      </c>
      <c r="H415" s="12" t="s">
        <v>1351</v>
      </c>
      <c r="I415" s="57" t="s">
        <v>1352</v>
      </c>
      <c r="J415" s="14">
        <v>106506.0</v>
      </c>
      <c r="K415" s="14">
        <v>37639.0</v>
      </c>
      <c r="L415" s="15">
        <v>0.3534</v>
      </c>
      <c r="M415" s="16">
        <v>15204.0</v>
      </c>
      <c r="N415" s="17">
        <v>0.4038</v>
      </c>
      <c r="O415" s="18">
        <v>1464.0</v>
      </c>
      <c r="P415" s="18">
        <v>1297.0</v>
      </c>
      <c r="Q415" s="19">
        <v>0.0345</v>
      </c>
      <c r="R415" s="19">
        <v>0.0854</v>
      </c>
      <c r="S415" s="20">
        <v>21.0</v>
      </c>
      <c r="T415" s="20">
        <v>54.0</v>
      </c>
      <c r="U415" s="20">
        <v>67390.0</v>
      </c>
      <c r="V415" s="21" t="s">
        <v>335</v>
      </c>
      <c r="W415" s="18" t="s">
        <v>76</v>
      </c>
      <c r="X415" s="21" t="s">
        <v>1353</v>
      </c>
      <c r="Y415" s="21" t="s">
        <v>1354</v>
      </c>
      <c r="Z415" s="20" t="s">
        <v>1355</v>
      </c>
      <c r="AA415" s="14">
        <v>116.0</v>
      </c>
      <c r="AB415" s="14">
        <v>116.0</v>
      </c>
      <c r="AC415" s="14"/>
      <c r="AD415" s="14">
        <v>271058.0</v>
      </c>
      <c r="AE415" s="14">
        <v>271058.0</v>
      </c>
      <c r="AF415" s="14"/>
      <c r="AG415" s="22"/>
      <c r="AH415" s="22"/>
      <c r="AI415" s="22"/>
      <c r="AJ415" s="22"/>
      <c r="AK415" s="22"/>
      <c r="AL415" s="22"/>
      <c r="AM415" s="22"/>
      <c r="AN415" s="22"/>
      <c r="AO415" s="22"/>
      <c r="AP415" s="22"/>
    </row>
    <row r="416" hidden="1">
      <c r="A416" s="8">
        <v>46069.0</v>
      </c>
      <c r="B416" s="23">
        <v>0.8125</v>
      </c>
      <c r="C416" s="10" t="s">
        <v>58</v>
      </c>
      <c r="D416" s="10" t="s">
        <v>33</v>
      </c>
      <c r="E416" s="12" t="s">
        <v>71</v>
      </c>
      <c r="F416" s="10">
        <v>899.0</v>
      </c>
      <c r="G416" s="12" t="s">
        <v>1356</v>
      </c>
      <c r="H416" s="12" t="s">
        <v>1351</v>
      </c>
      <c r="I416" s="57" t="s">
        <v>61</v>
      </c>
      <c r="J416" s="14">
        <v>66948.0</v>
      </c>
      <c r="K416" s="14">
        <v>42345.0</v>
      </c>
      <c r="L416" s="15">
        <v>0.6325</v>
      </c>
      <c r="M416" s="16"/>
      <c r="N416" s="17"/>
      <c r="O416" s="18">
        <v>95.0</v>
      </c>
      <c r="P416" s="18"/>
      <c r="Q416" s="19">
        <v>0.0022</v>
      </c>
      <c r="R416" s="19"/>
      <c r="S416" s="20">
        <v>17.0</v>
      </c>
      <c r="T416" s="20">
        <v>38.0</v>
      </c>
      <c r="U416" s="20">
        <v>39405.0</v>
      </c>
      <c r="V416" s="21" t="s">
        <v>335</v>
      </c>
      <c r="W416" s="18" t="s">
        <v>62</v>
      </c>
      <c r="X416" s="21" t="s">
        <v>1353</v>
      </c>
      <c r="Y416" s="21" t="s">
        <v>1354</v>
      </c>
      <c r="Z416" s="20" t="s">
        <v>1357</v>
      </c>
      <c r="AA416" s="14">
        <v>94.0</v>
      </c>
      <c r="AB416" s="14">
        <v>94.0</v>
      </c>
      <c r="AC416" s="14"/>
      <c r="AD416" s="14">
        <v>193894.0</v>
      </c>
      <c r="AE416" s="14">
        <v>193894.0</v>
      </c>
      <c r="AF416" s="14"/>
      <c r="AG416" s="22"/>
      <c r="AH416" s="22"/>
      <c r="AI416" s="22"/>
      <c r="AJ416" s="22"/>
      <c r="AK416" s="22"/>
      <c r="AL416" s="22"/>
      <c r="AM416" s="22"/>
      <c r="AN416" s="22"/>
      <c r="AO416" s="22"/>
      <c r="AP416" s="22"/>
    </row>
    <row r="417" hidden="1">
      <c r="A417" s="8">
        <v>46069.0</v>
      </c>
      <c r="B417" s="23">
        <v>0.75</v>
      </c>
      <c r="C417" s="10" t="s">
        <v>58</v>
      </c>
      <c r="D417" s="10" t="s">
        <v>33</v>
      </c>
      <c r="E417" s="12" t="s">
        <v>71</v>
      </c>
      <c r="F417" s="10">
        <v>899.0</v>
      </c>
      <c r="G417" s="12" t="s">
        <v>1358</v>
      </c>
      <c r="H417" s="12" t="s">
        <v>1359</v>
      </c>
      <c r="I417" s="57" t="s">
        <v>1360</v>
      </c>
      <c r="J417" s="14">
        <v>23740.0</v>
      </c>
      <c r="K417" s="14">
        <v>13668.0</v>
      </c>
      <c r="L417" s="15">
        <v>0.5757</v>
      </c>
      <c r="M417" s="16"/>
      <c r="N417" s="17"/>
      <c r="O417" s="18">
        <v>33.0</v>
      </c>
      <c r="P417" s="18"/>
      <c r="Q417" s="19">
        <v>0.0024</v>
      </c>
      <c r="R417" s="19"/>
      <c r="S417" s="20">
        <v>6.0</v>
      </c>
      <c r="T417" s="20">
        <v>16.0</v>
      </c>
      <c r="U417" s="20">
        <v>15984.0</v>
      </c>
      <c r="V417" s="21" t="s">
        <v>335</v>
      </c>
      <c r="W417" s="18" t="s">
        <v>62</v>
      </c>
      <c r="X417" s="21" t="s">
        <v>82</v>
      </c>
      <c r="Y417" s="21" t="s">
        <v>1354</v>
      </c>
      <c r="Z417" s="20" t="s">
        <v>1361</v>
      </c>
      <c r="AA417" s="14">
        <v>21.0</v>
      </c>
      <c r="AB417" s="14">
        <v>21.0</v>
      </c>
      <c r="AC417" s="14"/>
      <c r="AD417" s="14">
        <v>51664.0</v>
      </c>
      <c r="AE417" s="14">
        <v>51664.0</v>
      </c>
      <c r="AF417" s="14"/>
      <c r="AG417" s="22"/>
      <c r="AH417" s="22"/>
      <c r="AI417" s="22"/>
      <c r="AJ417" s="22"/>
      <c r="AK417" s="22"/>
      <c r="AL417" s="22"/>
      <c r="AM417" s="22"/>
      <c r="AN417" s="22"/>
      <c r="AO417" s="22"/>
      <c r="AP417" s="22"/>
    </row>
    <row r="418" hidden="1">
      <c r="A418" s="8">
        <v>46069.0</v>
      </c>
      <c r="B418" s="23">
        <v>0.75</v>
      </c>
      <c r="C418" s="10" t="s">
        <v>58</v>
      </c>
      <c r="D418" s="10" t="s">
        <v>33</v>
      </c>
      <c r="E418" s="12" t="s">
        <v>71</v>
      </c>
      <c r="F418" s="10">
        <v>899.0</v>
      </c>
      <c r="G418" s="12" t="s">
        <v>1362</v>
      </c>
      <c r="H418" s="12" t="s">
        <v>1363</v>
      </c>
      <c r="I418" s="57" t="s">
        <v>1364</v>
      </c>
      <c r="J418" s="14">
        <v>35272.0</v>
      </c>
      <c r="K418" s="14">
        <v>24900.0</v>
      </c>
      <c r="L418" s="15">
        <v>0.7059</v>
      </c>
      <c r="M418" s="16"/>
      <c r="N418" s="17"/>
      <c r="O418" s="18">
        <v>30.0</v>
      </c>
      <c r="P418" s="18"/>
      <c r="Q418" s="19">
        <v>0.0012</v>
      </c>
      <c r="R418" s="19"/>
      <c r="S418" s="20">
        <v>1.0</v>
      </c>
      <c r="T418" s="20">
        <v>4.0</v>
      </c>
      <c r="U418" s="20">
        <v>647.0</v>
      </c>
      <c r="V418" s="21" t="s">
        <v>335</v>
      </c>
      <c r="W418" s="18" t="s">
        <v>62</v>
      </c>
      <c r="X418" s="21" t="s">
        <v>1365</v>
      </c>
      <c r="Y418" s="21" t="s">
        <v>1354</v>
      </c>
      <c r="Z418" s="20" t="s">
        <v>1366</v>
      </c>
      <c r="AA418" s="14">
        <v>11.0</v>
      </c>
      <c r="AB418" s="14">
        <v>11.0</v>
      </c>
      <c r="AC418" s="14"/>
      <c r="AD418" s="14">
        <v>15782.0</v>
      </c>
      <c r="AE418" s="14">
        <v>15782.0</v>
      </c>
      <c r="AF418" s="14"/>
      <c r="AG418" s="22"/>
      <c r="AH418" s="22"/>
      <c r="AI418" s="22"/>
      <c r="AJ418" s="22"/>
      <c r="AK418" s="22"/>
      <c r="AL418" s="22"/>
      <c r="AM418" s="22"/>
      <c r="AN418" s="22"/>
      <c r="AO418" s="22"/>
      <c r="AP418" s="22"/>
    </row>
    <row r="419" hidden="1">
      <c r="A419" s="8">
        <v>46071.0</v>
      </c>
      <c r="B419" s="23">
        <v>0.75</v>
      </c>
      <c r="C419" s="10" t="s">
        <v>32</v>
      </c>
      <c r="D419" s="10" t="s">
        <v>33</v>
      </c>
      <c r="E419" s="12" t="s">
        <v>71</v>
      </c>
      <c r="F419" s="12" t="s">
        <v>1367</v>
      </c>
      <c r="G419" s="12" t="s">
        <v>1368</v>
      </c>
      <c r="H419" s="12" t="s">
        <v>1369</v>
      </c>
      <c r="I419" s="57" t="s">
        <v>1370</v>
      </c>
      <c r="J419" s="14">
        <v>854.0</v>
      </c>
      <c r="K419" s="14">
        <v>302.0</v>
      </c>
      <c r="L419" s="15">
        <v>0.3536</v>
      </c>
      <c r="M419" s="16">
        <v>145.0</v>
      </c>
      <c r="N419" s="17">
        <v>0.4801</v>
      </c>
      <c r="O419" s="18">
        <v>21.0</v>
      </c>
      <c r="P419" s="18">
        <v>20.0</v>
      </c>
      <c r="Q419" s="19">
        <v>0.0662</v>
      </c>
      <c r="R419" s="19">
        <v>0.1379</v>
      </c>
      <c r="S419" s="20">
        <v>1.0</v>
      </c>
      <c r="T419" s="20">
        <v>3.0</v>
      </c>
      <c r="U419" s="20">
        <v>548.0</v>
      </c>
      <c r="V419" s="21" t="s">
        <v>335</v>
      </c>
      <c r="W419" s="18" t="s">
        <v>76</v>
      </c>
      <c r="X419" s="21" t="s">
        <v>1371</v>
      </c>
      <c r="Y419" s="21" t="s">
        <v>1372</v>
      </c>
      <c r="Z419" s="20" t="s">
        <v>1373</v>
      </c>
      <c r="AA419" s="14">
        <v>1.0</v>
      </c>
      <c r="AB419" s="14">
        <v>1.0</v>
      </c>
      <c r="AC419" s="14"/>
      <c r="AD419" s="14">
        <v>899.0</v>
      </c>
      <c r="AE419" s="14">
        <v>899.0</v>
      </c>
      <c r="AF419" s="14"/>
      <c r="AG419" s="22"/>
      <c r="AH419" s="22"/>
      <c r="AI419" s="22"/>
      <c r="AJ419" s="22"/>
      <c r="AK419" s="22"/>
      <c r="AL419" s="22"/>
      <c r="AM419" s="22"/>
      <c r="AN419" s="22"/>
      <c r="AO419" s="22"/>
      <c r="AP419" s="22"/>
    </row>
    <row r="420" hidden="1">
      <c r="A420" s="8">
        <v>46071.0</v>
      </c>
      <c r="B420" s="23">
        <v>0.75</v>
      </c>
      <c r="C420" s="10" t="s">
        <v>32</v>
      </c>
      <c r="D420" s="10" t="s">
        <v>33</v>
      </c>
      <c r="E420" s="12" t="s">
        <v>71</v>
      </c>
      <c r="F420" s="12" t="s">
        <v>1367</v>
      </c>
      <c r="G420" s="12" t="s">
        <v>1374</v>
      </c>
      <c r="H420" s="12" t="s">
        <v>1375</v>
      </c>
      <c r="I420" s="57" t="s">
        <v>1376</v>
      </c>
      <c r="J420" s="14">
        <v>817.0</v>
      </c>
      <c r="K420" s="14">
        <v>313.0</v>
      </c>
      <c r="L420" s="15">
        <v>0.3831</v>
      </c>
      <c r="M420" s="16">
        <v>155.0</v>
      </c>
      <c r="N420" s="17">
        <v>0.4952</v>
      </c>
      <c r="O420" s="18">
        <v>21.0</v>
      </c>
      <c r="P420" s="18">
        <v>21.0</v>
      </c>
      <c r="Q420" s="19">
        <v>0.0671</v>
      </c>
      <c r="R420" s="19">
        <v>0.1355</v>
      </c>
      <c r="S420" s="20">
        <v>0.0</v>
      </c>
      <c r="T420" s="20">
        <v>3.0</v>
      </c>
      <c r="U420" s="20">
        <v>0.0</v>
      </c>
      <c r="V420" s="21" t="s">
        <v>335</v>
      </c>
      <c r="W420" s="18" t="s">
        <v>76</v>
      </c>
      <c r="X420" s="21" t="s">
        <v>1377</v>
      </c>
      <c r="Y420" s="21" t="s">
        <v>1372</v>
      </c>
      <c r="Z420" s="20" t="s">
        <v>1378</v>
      </c>
      <c r="AA420" s="14">
        <v>0.0</v>
      </c>
      <c r="AB420" s="14">
        <v>0.0</v>
      </c>
      <c r="AC420" s="14"/>
      <c r="AD420" s="14">
        <v>0.0</v>
      </c>
      <c r="AE420" s="14">
        <v>0.0</v>
      </c>
      <c r="AF420" s="14"/>
      <c r="AG420" s="22"/>
      <c r="AH420" s="22"/>
      <c r="AI420" s="22"/>
      <c r="AJ420" s="22"/>
      <c r="AK420" s="22"/>
      <c r="AL420" s="22"/>
      <c r="AM420" s="22"/>
      <c r="AN420" s="22"/>
      <c r="AO420" s="22"/>
      <c r="AP420" s="22"/>
    </row>
    <row r="421" hidden="1">
      <c r="A421" s="8">
        <v>46071.0</v>
      </c>
      <c r="B421" s="23">
        <v>0.75</v>
      </c>
      <c r="C421" s="10" t="s">
        <v>32</v>
      </c>
      <c r="D421" s="10" t="s">
        <v>33</v>
      </c>
      <c r="E421" s="12" t="s">
        <v>71</v>
      </c>
      <c r="F421" s="12" t="s">
        <v>1367</v>
      </c>
      <c r="G421" s="12" t="s">
        <v>1379</v>
      </c>
      <c r="H421" s="12" t="s">
        <v>1380</v>
      </c>
      <c r="I421" s="57" t="s">
        <v>1381</v>
      </c>
      <c r="J421" s="14">
        <v>16839.0</v>
      </c>
      <c r="K421" s="14">
        <v>5377.0</v>
      </c>
      <c r="L421" s="15">
        <v>0.3193</v>
      </c>
      <c r="M421" s="16">
        <v>2424.0</v>
      </c>
      <c r="N421" s="17">
        <v>0.451</v>
      </c>
      <c r="O421" s="18">
        <v>313.0</v>
      </c>
      <c r="P421" s="18">
        <v>299.0</v>
      </c>
      <c r="Q421" s="19">
        <v>0.0556</v>
      </c>
      <c r="R421" s="19">
        <v>0.1233</v>
      </c>
      <c r="S421" s="20">
        <v>0.0</v>
      </c>
      <c r="T421" s="20">
        <v>4.0</v>
      </c>
      <c r="U421" s="20">
        <v>0.0</v>
      </c>
      <c r="V421" s="21" t="s">
        <v>335</v>
      </c>
      <c r="W421" s="18" t="s">
        <v>76</v>
      </c>
      <c r="X421" s="21" t="s">
        <v>52</v>
      </c>
      <c r="Y421" s="21" t="s">
        <v>1372</v>
      </c>
      <c r="Z421" s="20" t="s">
        <v>1382</v>
      </c>
      <c r="AA421" s="14">
        <v>12.0</v>
      </c>
      <c r="AB421" s="14">
        <v>12.0</v>
      </c>
      <c r="AC421" s="14"/>
      <c r="AD421" s="14">
        <v>42403.0</v>
      </c>
      <c r="AE421" s="14">
        <v>42403.0</v>
      </c>
      <c r="AF421" s="14"/>
      <c r="AG421" s="22"/>
      <c r="AH421" s="22"/>
      <c r="AI421" s="22"/>
      <c r="AJ421" s="22"/>
      <c r="AK421" s="22"/>
      <c r="AL421" s="22"/>
      <c r="AM421" s="22"/>
      <c r="AN421" s="22"/>
      <c r="AO421" s="22"/>
      <c r="AP421" s="22"/>
    </row>
    <row r="422" hidden="1">
      <c r="A422" s="8">
        <v>46071.0</v>
      </c>
      <c r="B422" s="23">
        <v>0.75</v>
      </c>
      <c r="C422" s="10" t="s">
        <v>196</v>
      </c>
      <c r="D422" s="10" t="s">
        <v>33</v>
      </c>
      <c r="E422" s="12" t="s">
        <v>71</v>
      </c>
      <c r="F422" s="12" t="s">
        <v>1367</v>
      </c>
      <c r="G422" s="12" t="s">
        <v>1383</v>
      </c>
      <c r="H422" s="12" t="s">
        <v>1384</v>
      </c>
      <c r="I422" s="57" t="s">
        <v>1385</v>
      </c>
      <c r="J422" s="14">
        <v>83445.0</v>
      </c>
      <c r="K422" s="14">
        <v>14018.0</v>
      </c>
      <c r="L422" s="15">
        <v>0.168</v>
      </c>
      <c r="M422" s="16">
        <v>1727.0</v>
      </c>
      <c r="N422" s="17">
        <v>0.123</v>
      </c>
      <c r="O422" s="18">
        <v>82.0</v>
      </c>
      <c r="P422" s="18"/>
      <c r="Q422" s="19">
        <v>0.0058</v>
      </c>
      <c r="R422" s="19"/>
      <c r="S422" s="20">
        <v>3.0</v>
      </c>
      <c r="T422" s="20">
        <v>4.0</v>
      </c>
      <c r="U422" s="20">
        <v>4640.0</v>
      </c>
      <c r="V422" s="21" t="s">
        <v>335</v>
      </c>
      <c r="W422" s="18" t="s">
        <v>95</v>
      </c>
      <c r="X422" s="21" t="s">
        <v>1386</v>
      </c>
      <c r="Y422" s="21" t="s">
        <v>1372</v>
      </c>
      <c r="Z422" s="20" t="s">
        <v>1387</v>
      </c>
      <c r="AA422" s="14">
        <v>16.0</v>
      </c>
      <c r="AB422" s="14">
        <v>16.0</v>
      </c>
      <c r="AC422" s="14"/>
      <c r="AD422" s="14">
        <v>38977.0</v>
      </c>
      <c r="AE422" s="14">
        <v>38977.0</v>
      </c>
      <c r="AF422" s="14"/>
      <c r="AG422" s="22"/>
      <c r="AH422" s="22"/>
      <c r="AI422" s="22"/>
      <c r="AJ422" s="22"/>
      <c r="AK422" s="22"/>
      <c r="AL422" s="22"/>
      <c r="AM422" s="22"/>
      <c r="AN422" s="22"/>
      <c r="AO422" s="22"/>
      <c r="AP422" s="22"/>
    </row>
    <row r="423" hidden="1">
      <c r="A423" s="8">
        <v>46071.0</v>
      </c>
      <c r="B423" s="23">
        <v>0.75</v>
      </c>
      <c r="C423" s="10" t="s">
        <v>196</v>
      </c>
      <c r="D423" s="10" t="s">
        <v>33</v>
      </c>
      <c r="E423" s="12" t="s">
        <v>71</v>
      </c>
      <c r="F423" s="12" t="s">
        <v>1367</v>
      </c>
      <c r="G423" s="12" t="s">
        <v>1388</v>
      </c>
      <c r="H423" s="12" t="s">
        <v>1389</v>
      </c>
      <c r="I423" s="57" t="s">
        <v>1390</v>
      </c>
      <c r="J423" s="14">
        <v>62516.0</v>
      </c>
      <c r="K423" s="14">
        <v>11281.0</v>
      </c>
      <c r="L423" s="15">
        <v>0.1804</v>
      </c>
      <c r="M423" s="16">
        <v>1440.0</v>
      </c>
      <c r="N423" s="17">
        <v>0.128</v>
      </c>
      <c r="O423" s="18">
        <v>117.0</v>
      </c>
      <c r="P423" s="18"/>
      <c r="Q423" s="19">
        <v>0.0104</v>
      </c>
      <c r="R423" s="19"/>
      <c r="S423" s="20">
        <v>2.0</v>
      </c>
      <c r="T423" s="20">
        <v>4.0</v>
      </c>
      <c r="U423" s="20">
        <v>4137.0</v>
      </c>
      <c r="V423" s="21" t="s">
        <v>335</v>
      </c>
      <c r="W423" s="18" t="s">
        <v>95</v>
      </c>
      <c r="X423" s="21" t="s">
        <v>82</v>
      </c>
      <c r="Y423" s="21" t="s">
        <v>1372</v>
      </c>
      <c r="Z423" s="20" t="s">
        <v>1391</v>
      </c>
      <c r="AA423" s="14">
        <v>10.0</v>
      </c>
      <c r="AB423" s="14">
        <v>10.0</v>
      </c>
      <c r="AC423" s="14"/>
      <c r="AD423" s="14">
        <v>29618.0</v>
      </c>
      <c r="AE423" s="14">
        <v>29618.0</v>
      </c>
      <c r="AF423" s="14"/>
      <c r="AG423" s="22"/>
      <c r="AH423" s="22"/>
      <c r="AI423" s="22"/>
      <c r="AJ423" s="22"/>
      <c r="AK423" s="22"/>
      <c r="AL423" s="22"/>
      <c r="AM423" s="22"/>
      <c r="AN423" s="22"/>
      <c r="AO423" s="22"/>
      <c r="AP423" s="22"/>
    </row>
    <row r="424" hidden="1">
      <c r="A424" s="8">
        <v>46071.0</v>
      </c>
      <c r="B424" s="23">
        <v>0.8333333333333334</v>
      </c>
      <c r="C424" s="10" t="s">
        <v>58</v>
      </c>
      <c r="D424" s="10" t="s">
        <v>59</v>
      </c>
      <c r="E424" s="12" t="s">
        <v>71</v>
      </c>
      <c r="F424" s="12" t="s">
        <v>1367</v>
      </c>
      <c r="G424" s="12" t="s">
        <v>1392</v>
      </c>
      <c r="H424" s="12" t="s">
        <v>1389</v>
      </c>
      <c r="I424" s="57" t="s">
        <v>454</v>
      </c>
      <c r="J424" s="14">
        <v>51197.0</v>
      </c>
      <c r="K424" s="14">
        <v>31476.0</v>
      </c>
      <c r="L424" s="15">
        <v>0.6148</v>
      </c>
      <c r="M424" s="16"/>
      <c r="N424" s="17"/>
      <c r="O424" s="18">
        <v>66.0</v>
      </c>
      <c r="P424" s="18"/>
      <c r="Q424" s="19">
        <v>0.0021</v>
      </c>
      <c r="R424" s="19"/>
      <c r="S424" s="20">
        <v>9.0</v>
      </c>
      <c r="T424" s="20">
        <v>7.0</v>
      </c>
      <c r="U424" s="20">
        <v>91793.0</v>
      </c>
      <c r="V424" s="21" t="s">
        <v>335</v>
      </c>
      <c r="W424" s="18" t="s">
        <v>62</v>
      </c>
      <c r="X424" s="21" t="s">
        <v>82</v>
      </c>
      <c r="Y424" s="21" t="s">
        <v>1372</v>
      </c>
      <c r="Z424" s="20" t="s">
        <v>1393</v>
      </c>
      <c r="AA424" s="14">
        <v>31.0</v>
      </c>
      <c r="AB424" s="14">
        <v>31.0</v>
      </c>
      <c r="AC424" s="14"/>
      <c r="AD424" s="14">
        <v>120397.0</v>
      </c>
      <c r="AE424" s="14">
        <v>120397.0</v>
      </c>
      <c r="AF424" s="14"/>
      <c r="AG424" s="22"/>
      <c r="AH424" s="22"/>
      <c r="AI424" s="22"/>
      <c r="AJ424" s="22"/>
      <c r="AK424" s="22"/>
      <c r="AL424" s="22"/>
      <c r="AM424" s="22"/>
      <c r="AN424" s="22"/>
      <c r="AO424" s="22"/>
      <c r="AP424" s="22"/>
    </row>
    <row r="425" hidden="1">
      <c r="A425" s="8">
        <v>46071.0</v>
      </c>
      <c r="B425" s="23">
        <v>0.8333333333333334</v>
      </c>
      <c r="C425" s="10" t="s">
        <v>58</v>
      </c>
      <c r="D425" s="10" t="s">
        <v>59</v>
      </c>
      <c r="E425" s="12" t="s">
        <v>71</v>
      </c>
      <c r="F425" s="12" t="s">
        <v>1367</v>
      </c>
      <c r="G425" s="12" t="s">
        <v>1394</v>
      </c>
      <c r="H425" s="12" t="s">
        <v>1384</v>
      </c>
      <c r="I425" s="57" t="s">
        <v>454</v>
      </c>
      <c r="J425" s="14">
        <v>69246.0</v>
      </c>
      <c r="K425" s="14">
        <v>36777.0</v>
      </c>
      <c r="L425" s="15">
        <v>0.5311</v>
      </c>
      <c r="M425" s="16"/>
      <c r="N425" s="17"/>
      <c r="O425" s="18">
        <v>54.0</v>
      </c>
      <c r="P425" s="18"/>
      <c r="Q425" s="19">
        <v>0.0015</v>
      </c>
      <c r="R425" s="19"/>
      <c r="S425" s="20">
        <v>5.0</v>
      </c>
      <c r="T425" s="20">
        <v>11.0</v>
      </c>
      <c r="U425" s="20">
        <v>8394.0</v>
      </c>
      <c r="V425" s="21" t="s">
        <v>335</v>
      </c>
      <c r="W425" s="18" t="s">
        <v>62</v>
      </c>
      <c r="X425" s="21" t="s">
        <v>1386</v>
      </c>
      <c r="Y425" s="21" t="s">
        <v>1372</v>
      </c>
      <c r="Z425" s="20" t="s">
        <v>1395</v>
      </c>
      <c r="AA425" s="14">
        <v>31.0</v>
      </c>
      <c r="AB425" s="14">
        <v>31.0</v>
      </c>
      <c r="AC425" s="14"/>
      <c r="AD425" s="14">
        <v>93923.0</v>
      </c>
      <c r="AE425" s="14">
        <v>93923.0</v>
      </c>
      <c r="AF425" s="14"/>
      <c r="AG425" s="22"/>
      <c r="AH425" s="22"/>
      <c r="AI425" s="22"/>
      <c r="AJ425" s="22"/>
      <c r="AK425" s="22"/>
      <c r="AL425" s="22"/>
      <c r="AM425" s="22"/>
      <c r="AN425" s="22"/>
      <c r="AO425" s="22"/>
      <c r="AP425" s="22"/>
    </row>
    <row r="426" hidden="1">
      <c r="A426" s="8">
        <v>46071.0</v>
      </c>
      <c r="B426" s="23">
        <v>0.8333333333333334</v>
      </c>
      <c r="C426" s="10" t="s">
        <v>58</v>
      </c>
      <c r="D426" s="10" t="s">
        <v>59</v>
      </c>
      <c r="E426" s="12" t="s">
        <v>71</v>
      </c>
      <c r="F426" s="12" t="s">
        <v>1367</v>
      </c>
      <c r="G426" s="12" t="s">
        <v>1396</v>
      </c>
      <c r="H426" s="12" t="s">
        <v>1369</v>
      </c>
      <c r="I426" s="57" t="s">
        <v>61</v>
      </c>
      <c r="J426" s="14">
        <v>552.0</v>
      </c>
      <c r="K426" s="14">
        <v>354.0</v>
      </c>
      <c r="L426" s="15">
        <v>0.6413</v>
      </c>
      <c r="M426" s="16"/>
      <c r="N426" s="17"/>
      <c r="O426" s="18">
        <v>1.0</v>
      </c>
      <c r="P426" s="18"/>
      <c r="Q426" s="19">
        <v>0.0028</v>
      </c>
      <c r="R426" s="19"/>
      <c r="S426" s="20">
        <v>2.0</v>
      </c>
      <c r="T426" s="20">
        <v>6.0</v>
      </c>
      <c r="U426" s="20">
        <v>9279.0</v>
      </c>
      <c r="V426" s="21" t="s">
        <v>183</v>
      </c>
      <c r="W426" s="18" t="s">
        <v>62</v>
      </c>
      <c r="X426" s="21" t="s">
        <v>1371</v>
      </c>
      <c r="Y426" s="21" t="s">
        <v>1372</v>
      </c>
      <c r="Z426" s="20" t="s">
        <v>1397</v>
      </c>
      <c r="AA426" s="14">
        <v>3.0</v>
      </c>
      <c r="AB426" s="14">
        <v>3.0</v>
      </c>
      <c r="AC426" s="14"/>
      <c r="AD426" s="14">
        <v>15327.0</v>
      </c>
      <c r="AE426" s="14">
        <v>15327.0</v>
      </c>
      <c r="AF426" s="14"/>
      <c r="AG426" s="22"/>
      <c r="AH426" s="22"/>
      <c r="AI426" s="22"/>
      <c r="AJ426" s="22"/>
      <c r="AK426" s="22"/>
      <c r="AL426" s="22"/>
      <c r="AM426" s="22"/>
      <c r="AN426" s="22"/>
      <c r="AO426" s="22"/>
      <c r="AP426" s="22"/>
    </row>
    <row r="427" hidden="1">
      <c r="A427" s="8">
        <v>46071.0</v>
      </c>
      <c r="B427" s="23">
        <v>0.8333333333333334</v>
      </c>
      <c r="C427" s="10" t="s">
        <v>58</v>
      </c>
      <c r="D427" s="10" t="s">
        <v>59</v>
      </c>
      <c r="E427" s="12" t="s">
        <v>71</v>
      </c>
      <c r="F427" s="12" t="s">
        <v>1367</v>
      </c>
      <c r="G427" s="12" t="s">
        <v>1398</v>
      </c>
      <c r="H427" s="12" t="s">
        <v>1375</v>
      </c>
      <c r="I427" s="57" t="s">
        <v>61</v>
      </c>
      <c r="J427" s="14">
        <v>501.0</v>
      </c>
      <c r="K427" s="14">
        <v>339.0</v>
      </c>
      <c r="L427" s="15">
        <v>0.6766</v>
      </c>
      <c r="M427" s="16"/>
      <c r="N427" s="17"/>
      <c r="O427" s="18">
        <v>0.0</v>
      </c>
      <c r="P427" s="18"/>
      <c r="Q427" s="19">
        <v>0.0</v>
      </c>
      <c r="R427" s="19"/>
      <c r="S427" s="20">
        <v>1.0</v>
      </c>
      <c r="T427" s="20">
        <v>5.0</v>
      </c>
      <c r="U427" s="20">
        <v>647.0</v>
      </c>
      <c r="V427" s="21" t="s">
        <v>183</v>
      </c>
      <c r="W427" s="18" t="s">
        <v>62</v>
      </c>
      <c r="X427" s="21" t="s">
        <v>1377</v>
      </c>
      <c r="Y427" s="21" t="s">
        <v>1372</v>
      </c>
      <c r="Z427" s="20" t="s">
        <v>1399</v>
      </c>
      <c r="AA427" s="14">
        <v>2.0</v>
      </c>
      <c r="AB427" s="14">
        <v>2.0</v>
      </c>
      <c r="AC427" s="14"/>
      <c r="AD427" s="14">
        <v>1497.0</v>
      </c>
      <c r="AE427" s="14">
        <v>1497.0</v>
      </c>
      <c r="AF427" s="14"/>
      <c r="AG427" s="22"/>
      <c r="AH427" s="22"/>
      <c r="AI427" s="22"/>
      <c r="AJ427" s="22"/>
      <c r="AK427" s="22"/>
      <c r="AL427" s="22"/>
      <c r="AM427" s="22"/>
      <c r="AN427" s="22"/>
      <c r="AO427" s="22"/>
      <c r="AP427" s="22"/>
    </row>
    <row r="428" hidden="1">
      <c r="A428" s="8">
        <v>46071.0</v>
      </c>
      <c r="B428" s="23">
        <v>0.8333333333333334</v>
      </c>
      <c r="C428" s="10" t="s">
        <v>58</v>
      </c>
      <c r="D428" s="10" t="s">
        <v>59</v>
      </c>
      <c r="E428" s="12" t="s">
        <v>71</v>
      </c>
      <c r="F428" s="12" t="s">
        <v>1367</v>
      </c>
      <c r="G428" s="12" t="s">
        <v>1400</v>
      </c>
      <c r="H428" s="12" t="s">
        <v>1380</v>
      </c>
      <c r="I428" s="57" t="s">
        <v>61</v>
      </c>
      <c r="J428" s="14">
        <v>11262.0</v>
      </c>
      <c r="K428" s="14">
        <v>6386.0</v>
      </c>
      <c r="L428" s="15">
        <v>0.567</v>
      </c>
      <c r="M428" s="16"/>
      <c r="N428" s="17"/>
      <c r="O428" s="18">
        <v>19.0</v>
      </c>
      <c r="P428" s="18"/>
      <c r="Q428" s="19">
        <v>0.003</v>
      </c>
      <c r="R428" s="19"/>
      <c r="S428" s="20">
        <v>1.0</v>
      </c>
      <c r="T428" s="20">
        <v>2.0</v>
      </c>
      <c r="U428" s="20">
        <v>2397.0</v>
      </c>
      <c r="V428" s="21" t="s">
        <v>335</v>
      </c>
      <c r="W428" s="18" t="s">
        <v>62</v>
      </c>
      <c r="X428" s="21" t="s">
        <v>52</v>
      </c>
      <c r="Y428" s="21" t="s">
        <v>1372</v>
      </c>
      <c r="Z428" s="20" t="s">
        <v>1401</v>
      </c>
      <c r="AA428" s="14">
        <v>16.0</v>
      </c>
      <c r="AB428" s="14">
        <v>16.0</v>
      </c>
      <c r="AC428" s="14"/>
      <c r="AD428" s="14">
        <v>47976.0</v>
      </c>
      <c r="AE428" s="14">
        <v>47976.0</v>
      </c>
      <c r="AF428" s="14"/>
      <c r="AG428" s="22"/>
      <c r="AH428" s="22"/>
      <c r="AI428" s="22"/>
      <c r="AJ428" s="22"/>
      <c r="AK428" s="22"/>
      <c r="AL428" s="22"/>
      <c r="AM428" s="22"/>
      <c r="AN428" s="22"/>
      <c r="AO428" s="22"/>
      <c r="AP428" s="22"/>
    </row>
    <row r="429" hidden="1">
      <c r="A429" s="8">
        <v>46073.0</v>
      </c>
      <c r="B429" s="23">
        <v>0.75</v>
      </c>
      <c r="C429" s="10" t="s">
        <v>32</v>
      </c>
      <c r="D429" s="10" t="s">
        <v>33</v>
      </c>
      <c r="E429" s="12" t="s">
        <v>71</v>
      </c>
      <c r="F429" s="12" t="s">
        <v>881</v>
      </c>
      <c r="G429" s="12" t="s">
        <v>1402</v>
      </c>
      <c r="H429" s="12" t="s">
        <v>1403</v>
      </c>
      <c r="I429" s="57" t="s">
        <v>1404</v>
      </c>
      <c r="J429" s="14">
        <v>5207.0</v>
      </c>
      <c r="K429" s="14">
        <v>1722.0</v>
      </c>
      <c r="L429" s="15">
        <v>0.3307</v>
      </c>
      <c r="M429" s="16">
        <v>743.0</v>
      </c>
      <c r="N429" s="17">
        <v>0.4315</v>
      </c>
      <c r="O429" s="18">
        <v>15.0</v>
      </c>
      <c r="P429" s="18">
        <v>15.0</v>
      </c>
      <c r="Q429" s="19">
        <v>0.0087</v>
      </c>
      <c r="R429" s="19">
        <v>0.0202</v>
      </c>
      <c r="S429" s="20">
        <v>0.0</v>
      </c>
      <c r="T429" s="20">
        <v>0.0</v>
      </c>
      <c r="U429" s="20">
        <v>0.0</v>
      </c>
      <c r="V429" s="21" t="s">
        <v>335</v>
      </c>
      <c r="W429" s="18" t="s">
        <v>76</v>
      </c>
      <c r="X429" s="21" t="s">
        <v>52</v>
      </c>
      <c r="Y429" s="21" t="s">
        <v>1405</v>
      </c>
      <c r="Z429" s="20" t="s">
        <v>1406</v>
      </c>
      <c r="AA429" s="14">
        <v>0.0</v>
      </c>
      <c r="AB429" s="14">
        <v>0.0</v>
      </c>
      <c r="AC429" s="14"/>
      <c r="AD429" s="14">
        <v>0.0</v>
      </c>
      <c r="AE429" s="14">
        <v>0.0</v>
      </c>
      <c r="AF429" s="14"/>
      <c r="AG429" s="22"/>
      <c r="AH429" s="22"/>
      <c r="AI429" s="22"/>
      <c r="AJ429" s="22"/>
      <c r="AK429" s="22"/>
      <c r="AL429" s="22"/>
      <c r="AM429" s="22"/>
      <c r="AN429" s="22"/>
      <c r="AO429" s="22"/>
      <c r="AP429" s="22"/>
    </row>
    <row r="430" hidden="1">
      <c r="A430" s="8">
        <v>46073.0</v>
      </c>
      <c r="B430" s="23">
        <v>0.75</v>
      </c>
      <c r="C430" s="10" t="s">
        <v>32</v>
      </c>
      <c r="D430" s="10" t="s">
        <v>33</v>
      </c>
      <c r="E430" s="12" t="s">
        <v>71</v>
      </c>
      <c r="F430" s="12" t="s">
        <v>881</v>
      </c>
      <c r="G430" s="12" t="s">
        <v>1407</v>
      </c>
      <c r="H430" s="12" t="s">
        <v>1408</v>
      </c>
      <c r="I430" s="57" t="s">
        <v>1409</v>
      </c>
      <c r="J430" s="14">
        <v>18210.0</v>
      </c>
      <c r="K430" s="14">
        <v>5023.0</v>
      </c>
      <c r="L430" s="15">
        <v>0.2758</v>
      </c>
      <c r="M430" s="16">
        <v>1889.0</v>
      </c>
      <c r="N430" s="17">
        <v>0.3761</v>
      </c>
      <c r="O430" s="18">
        <v>110.0</v>
      </c>
      <c r="P430" s="18">
        <v>106.0</v>
      </c>
      <c r="Q430" s="19">
        <v>0.0211</v>
      </c>
      <c r="R430" s="19">
        <v>0.0561</v>
      </c>
      <c r="S430" s="20">
        <v>1.0</v>
      </c>
      <c r="T430" s="20">
        <v>1.0</v>
      </c>
      <c r="U430" s="20">
        <v>6475.0</v>
      </c>
      <c r="V430" s="21" t="s">
        <v>335</v>
      </c>
      <c r="W430" s="18" t="s">
        <v>76</v>
      </c>
      <c r="X430" s="21" t="s">
        <v>165</v>
      </c>
      <c r="Y430" s="21" t="s">
        <v>1405</v>
      </c>
      <c r="Z430" s="20" t="s">
        <v>1410</v>
      </c>
      <c r="AA430" s="14">
        <v>2.0</v>
      </c>
      <c r="AB430" s="14">
        <v>2.0</v>
      </c>
      <c r="AC430" s="14"/>
      <c r="AD430" s="14">
        <v>10224.0</v>
      </c>
      <c r="AE430" s="14">
        <v>10224.0</v>
      </c>
      <c r="AF430" s="14"/>
      <c r="AG430" s="22"/>
      <c r="AH430" s="22"/>
      <c r="AI430" s="22"/>
      <c r="AJ430" s="22"/>
      <c r="AK430" s="22"/>
      <c r="AL430" s="22"/>
      <c r="AM430" s="22"/>
      <c r="AN430" s="22"/>
      <c r="AO430" s="22"/>
      <c r="AP430" s="22"/>
    </row>
    <row r="431" hidden="1">
      <c r="A431" s="8">
        <v>46073.0</v>
      </c>
      <c r="B431" s="23">
        <v>0.8333333333333334</v>
      </c>
      <c r="C431" s="10" t="s">
        <v>58</v>
      </c>
      <c r="D431" s="10" t="s">
        <v>59</v>
      </c>
      <c r="E431" s="12" t="s">
        <v>71</v>
      </c>
      <c r="F431" s="12" t="s">
        <v>881</v>
      </c>
      <c r="G431" s="12" t="s">
        <v>1411</v>
      </c>
      <c r="H431" s="12" t="s">
        <v>1403</v>
      </c>
      <c r="I431" s="57" t="s">
        <v>61</v>
      </c>
      <c r="J431" s="14">
        <v>3407.0</v>
      </c>
      <c r="K431" s="14">
        <v>1989.0</v>
      </c>
      <c r="L431" s="15">
        <v>0.5838</v>
      </c>
      <c r="M431" s="16"/>
      <c r="N431" s="17"/>
      <c r="O431" s="18">
        <v>0.0</v>
      </c>
      <c r="P431" s="18"/>
      <c r="Q431" s="19">
        <v>0.0</v>
      </c>
      <c r="R431" s="19"/>
      <c r="S431" s="20">
        <v>0.0</v>
      </c>
      <c r="T431" s="20">
        <v>0.0</v>
      </c>
      <c r="U431" s="20">
        <v>0.0</v>
      </c>
      <c r="V431" s="21" t="s">
        <v>335</v>
      </c>
      <c r="W431" s="18" t="s">
        <v>62</v>
      </c>
      <c r="X431" s="21" t="s">
        <v>52</v>
      </c>
      <c r="Y431" s="21" t="s">
        <v>1405</v>
      </c>
      <c r="Z431" s="20" t="s">
        <v>1412</v>
      </c>
      <c r="AA431" s="14">
        <v>0.0</v>
      </c>
      <c r="AB431" s="14">
        <v>0.0</v>
      </c>
      <c r="AC431" s="14"/>
      <c r="AD431" s="14">
        <v>0.0</v>
      </c>
      <c r="AE431" s="14">
        <v>0.0</v>
      </c>
      <c r="AF431" s="14"/>
      <c r="AG431" s="22"/>
      <c r="AH431" s="22"/>
      <c r="AI431" s="22"/>
      <c r="AJ431" s="22"/>
      <c r="AK431" s="22"/>
      <c r="AL431" s="22"/>
      <c r="AM431" s="22"/>
      <c r="AN431" s="22"/>
      <c r="AO431" s="22"/>
      <c r="AP431" s="22"/>
    </row>
    <row r="432" hidden="1">
      <c r="A432" s="8">
        <v>46073.0</v>
      </c>
      <c r="B432" s="23">
        <v>0.8333333333333334</v>
      </c>
      <c r="C432" s="10" t="s">
        <v>58</v>
      </c>
      <c r="D432" s="10" t="s">
        <v>59</v>
      </c>
      <c r="E432" s="12" t="s">
        <v>71</v>
      </c>
      <c r="F432" s="12" t="s">
        <v>881</v>
      </c>
      <c r="G432" s="12" t="s">
        <v>1413</v>
      </c>
      <c r="H432" s="12" t="s">
        <v>1408</v>
      </c>
      <c r="I432" s="57" t="s">
        <v>61</v>
      </c>
      <c r="J432" s="14">
        <v>12826.0</v>
      </c>
      <c r="K432" s="14">
        <v>7083.0</v>
      </c>
      <c r="L432" s="15">
        <v>0.5522</v>
      </c>
      <c r="M432" s="16"/>
      <c r="N432" s="17"/>
      <c r="O432" s="18">
        <v>6.0</v>
      </c>
      <c r="P432" s="18"/>
      <c r="Q432" s="19">
        <v>8.0E-4</v>
      </c>
      <c r="R432" s="19"/>
      <c r="S432" s="20">
        <v>1.0</v>
      </c>
      <c r="T432" s="20">
        <v>0.0</v>
      </c>
      <c r="U432" s="20">
        <v>2397.0</v>
      </c>
      <c r="V432" s="21" t="s">
        <v>335</v>
      </c>
      <c r="W432" s="18" t="s">
        <v>62</v>
      </c>
      <c r="X432" s="21" t="s">
        <v>165</v>
      </c>
      <c r="Y432" s="21" t="s">
        <v>1405</v>
      </c>
      <c r="Z432" s="20" t="s">
        <v>1414</v>
      </c>
      <c r="AA432" s="14">
        <v>2.0</v>
      </c>
      <c r="AB432" s="14">
        <v>2.0</v>
      </c>
      <c r="AC432" s="14"/>
      <c r="AD432" s="14">
        <v>7191.0</v>
      </c>
      <c r="AE432" s="14">
        <v>7191.0</v>
      </c>
      <c r="AF432" s="14"/>
      <c r="AG432" s="22"/>
      <c r="AH432" s="22"/>
      <c r="AI432" s="22"/>
      <c r="AJ432" s="22"/>
      <c r="AK432" s="22"/>
      <c r="AL432" s="22"/>
      <c r="AM432" s="22"/>
      <c r="AN432" s="22"/>
      <c r="AO432" s="22"/>
      <c r="AP432" s="22"/>
    </row>
    <row r="433" hidden="1">
      <c r="A433" s="8">
        <v>46073.0</v>
      </c>
      <c r="B433" s="23">
        <v>0.75</v>
      </c>
      <c r="C433" s="10" t="s">
        <v>196</v>
      </c>
      <c r="D433" s="10" t="s">
        <v>33</v>
      </c>
      <c r="E433" s="12" t="s">
        <v>71</v>
      </c>
      <c r="F433" s="12" t="s">
        <v>881</v>
      </c>
      <c r="G433" s="12" t="s">
        <v>1415</v>
      </c>
      <c r="H433" s="12" t="s">
        <v>1416</v>
      </c>
      <c r="I433" s="57" t="s">
        <v>1417</v>
      </c>
      <c r="J433" s="14">
        <v>130892.0</v>
      </c>
      <c r="K433" s="14">
        <v>23721.0</v>
      </c>
      <c r="L433" s="15">
        <v>0.1812</v>
      </c>
      <c r="M433" s="16">
        <v>2453.0</v>
      </c>
      <c r="N433" s="17">
        <v>0.103</v>
      </c>
      <c r="O433" s="18">
        <v>110.0</v>
      </c>
      <c r="P433" s="18"/>
      <c r="Q433" s="19">
        <v>0.0046</v>
      </c>
      <c r="R433" s="19"/>
      <c r="S433" s="20">
        <v>2.0</v>
      </c>
      <c r="T433" s="20">
        <v>15.0</v>
      </c>
      <c r="U433" s="20">
        <v>5544.0</v>
      </c>
      <c r="V433" s="21" t="s">
        <v>335</v>
      </c>
      <c r="W433" s="18" t="s">
        <v>95</v>
      </c>
      <c r="X433" s="21" t="s">
        <v>184</v>
      </c>
      <c r="Y433" s="21" t="s">
        <v>1405</v>
      </c>
      <c r="Z433" s="20" t="s">
        <v>1418</v>
      </c>
      <c r="AA433" s="14">
        <v>10.0</v>
      </c>
      <c r="AB433" s="14">
        <v>10.0</v>
      </c>
      <c r="AC433" s="14"/>
      <c r="AD433" s="14">
        <v>51062.0</v>
      </c>
      <c r="AE433" s="14">
        <v>51062.0</v>
      </c>
      <c r="AF433" s="14"/>
      <c r="AG433" s="22"/>
      <c r="AH433" s="22"/>
      <c r="AI433" s="22"/>
      <c r="AJ433" s="22"/>
      <c r="AK433" s="22"/>
      <c r="AL433" s="22"/>
      <c r="AM433" s="22"/>
      <c r="AN433" s="22"/>
      <c r="AO433" s="22"/>
      <c r="AP433" s="22"/>
    </row>
    <row r="434" hidden="1">
      <c r="A434" s="8">
        <v>46073.0</v>
      </c>
      <c r="B434" s="23">
        <v>0.8333333333333334</v>
      </c>
      <c r="C434" s="10" t="s">
        <v>58</v>
      </c>
      <c r="D434" s="10" t="s">
        <v>59</v>
      </c>
      <c r="E434" s="12" t="s">
        <v>71</v>
      </c>
      <c r="F434" s="12" t="s">
        <v>881</v>
      </c>
      <c r="G434" s="12" t="s">
        <v>1419</v>
      </c>
      <c r="H434" s="12" t="s">
        <v>1416</v>
      </c>
      <c r="I434" s="57" t="s">
        <v>454</v>
      </c>
      <c r="J434" s="14">
        <v>106418.0</v>
      </c>
      <c r="K434" s="14">
        <v>63278.0</v>
      </c>
      <c r="L434" s="15">
        <v>0.5946</v>
      </c>
      <c r="M434" s="16"/>
      <c r="N434" s="17"/>
      <c r="O434" s="18">
        <v>88.0</v>
      </c>
      <c r="P434" s="18"/>
      <c r="Q434" s="19">
        <v>0.0014</v>
      </c>
      <c r="R434" s="19"/>
      <c r="S434" s="20">
        <v>3.0</v>
      </c>
      <c r="T434" s="20">
        <v>17.0</v>
      </c>
      <c r="U434" s="20">
        <v>10332.0</v>
      </c>
      <c r="V434" s="21" t="s">
        <v>335</v>
      </c>
      <c r="W434" s="18" t="s">
        <v>62</v>
      </c>
      <c r="X434" s="21" t="s">
        <v>184</v>
      </c>
      <c r="Y434" s="21" t="s">
        <v>1405</v>
      </c>
      <c r="Z434" s="20" t="s">
        <v>1420</v>
      </c>
      <c r="AA434" s="14">
        <v>35.0</v>
      </c>
      <c r="AB434" s="14">
        <v>35.0</v>
      </c>
      <c r="AC434" s="14"/>
      <c r="AD434" s="14">
        <v>122273.0</v>
      </c>
      <c r="AE434" s="14">
        <v>122273.0</v>
      </c>
      <c r="AF434" s="14"/>
      <c r="AG434" s="22"/>
      <c r="AH434" s="22"/>
      <c r="AI434" s="22"/>
      <c r="AJ434" s="22"/>
      <c r="AK434" s="22"/>
      <c r="AL434" s="22"/>
      <c r="AM434" s="22"/>
      <c r="AN434" s="22"/>
      <c r="AO434" s="22"/>
      <c r="AP434" s="22"/>
    </row>
    <row r="435" hidden="1">
      <c r="A435" s="8">
        <v>46073.0</v>
      </c>
      <c r="B435" s="23">
        <v>0.75</v>
      </c>
      <c r="C435" s="10" t="s">
        <v>196</v>
      </c>
      <c r="D435" s="10" t="s">
        <v>33</v>
      </c>
      <c r="E435" s="12" t="s">
        <v>71</v>
      </c>
      <c r="F435" s="12" t="s">
        <v>881</v>
      </c>
      <c r="G435" s="12" t="s">
        <v>1421</v>
      </c>
      <c r="H435" s="12" t="s">
        <v>1422</v>
      </c>
      <c r="I435" s="57" t="s">
        <v>1423</v>
      </c>
      <c r="J435" s="14">
        <v>88055.0</v>
      </c>
      <c r="K435" s="14">
        <v>21241.0</v>
      </c>
      <c r="L435" s="15">
        <v>0.2412</v>
      </c>
      <c r="M435" s="16">
        <v>1803.0</v>
      </c>
      <c r="N435" s="17">
        <v>0.085</v>
      </c>
      <c r="O435" s="18">
        <v>56.0</v>
      </c>
      <c r="P435" s="18"/>
      <c r="Q435" s="19">
        <v>0.0026</v>
      </c>
      <c r="R435" s="19"/>
      <c r="S435" s="20">
        <v>0.0</v>
      </c>
      <c r="T435" s="20">
        <v>1.0</v>
      </c>
      <c r="U435" s="20">
        <v>0.0</v>
      </c>
      <c r="V435" s="21" t="s">
        <v>335</v>
      </c>
      <c r="W435" s="18" t="s">
        <v>95</v>
      </c>
      <c r="X435" s="21" t="s">
        <v>69</v>
      </c>
      <c r="Y435" s="21" t="s">
        <v>1405</v>
      </c>
      <c r="Z435" s="20" t="s">
        <v>1424</v>
      </c>
      <c r="AA435" s="14">
        <v>2.0</v>
      </c>
      <c r="AB435" s="14">
        <v>2.0</v>
      </c>
      <c r="AC435" s="14"/>
      <c r="AD435" s="14">
        <v>6095.0</v>
      </c>
      <c r="AE435" s="14">
        <v>6095.0</v>
      </c>
      <c r="AF435" s="14"/>
      <c r="AG435" s="22"/>
      <c r="AH435" s="22"/>
      <c r="AI435" s="22"/>
      <c r="AJ435" s="22"/>
      <c r="AK435" s="22"/>
      <c r="AL435" s="22"/>
      <c r="AM435" s="22"/>
      <c r="AN435" s="22"/>
      <c r="AO435" s="22"/>
      <c r="AP435" s="22"/>
    </row>
    <row r="436" hidden="1">
      <c r="A436" s="8">
        <v>46073.0</v>
      </c>
      <c r="B436" s="23">
        <v>0.8333333333333334</v>
      </c>
      <c r="C436" s="10" t="s">
        <v>58</v>
      </c>
      <c r="D436" s="10" t="s">
        <v>59</v>
      </c>
      <c r="E436" s="12" t="s">
        <v>71</v>
      </c>
      <c r="F436" s="12" t="s">
        <v>881</v>
      </c>
      <c r="G436" s="12" t="s">
        <v>1425</v>
      </c>
      <c r="H436" s="12" t="s">
        <v>1422</v>
      </c>
      <c r="I436" s="57" t="s">
        <v>454</v>
      </c>
      <c r="J436" s="14">
        <v>65895.0</v>
      </c>
      <c r="K436" s="14">
        <v>41409.0</v>
      </c>
      <c r="L436" s="15">
        <v>0.6284</v>
      </c>
      <c r="M436" s="16"/>
      <c r="N436" s="17"/>
      <c r="O436" s="18">
        <v>23.0</v>
      </c>
      <c r="P436" s="18"/>
      <c r="Q436" s="19">
        <v>6.0E-4</v>
      </c>
      <c r="R436" s="19"/>
      <c r="S436" s="20">
        <v>0.0</v>
      </c>
      <c r="T436" s="20">
        <v>3.0</v>
      </c>
      <c r="U436" s="20">
        <v>0.0</v>
      </c>
      <c r="V436" s="21" t="s">
        <v>335</v>
      </c>
      <c r="W436" s="18" t="s">
        <v>62</v>
      </c>
      <c r="X436" s="21" t="s">
        <v>69</v>
      </c>
      <c r="Y436" s="21" t="s">
        <v>1405</v>
      </c>
      <c r="Z436" s="20" t="s">
        <v>1426</v>
      </c>
      <c r="AA436" s="14">
        <v>4.0</v>
      </c>
      <c r="AB436" s="14">
        <v>4.0</v>
      </c>
      <c r="AC436" s="14"/>
      <c r="AD436" s="14">
        <v>14190.0</v>
      </c>
      <c r="AE436" s="14">
        <v>14190.0</v>
      </c>
      <c r="AF436" s="14"/>
      <c r="AG436" s="22"/>
      <c r="AH436" s="22"/>
      <c r="AI436" s="22"/>
      <c r="AJ436" s="22"/>
      <c r="AK436" s="22"/>
      <c r="AL436" s="22"/>
      <c r="AM436" s="22"/>
      <c r="AN436" s="22"/>
      <c r="AO436" s="22"/>
      <c r="AP436" s="22"/>
    </row>
    <row r="437" hidden="1">
      <c r="A437" s="8">
        <v>46073.0</v>
      </c>
      <c r="B437" s="23">
        <v>0.4375</v>
      </c>
      <c r="C437" s="10" t="s">
        <v>58</v>
      </c>
      <c r="D437" s="10" t="s">
        <v>59</v>
      </c>
      <c r="E437" s="12" t="s">
        <v>179</v>
      </c>
      <c r="F437" s="12" t="s">
        <v>1427</v>
      </c>
      <c r="G437" s="12" t="s">
        <v>1428</v>
      </c>
      <c r="H437" s="12" t="s">
        <v>1429</v>
      </c>
      <c r="I437" s="57" t="s">
        <v>61</v>
      </c>
      <c r="J437" s="14">
        <v>3461.0</v>
      </c>
      <c r="K437" s="14">
        <v>2216.0</v>
      </c>
      <c r="L437" s="15">
        <v>0.6403</v>
      </c>
      <c r="M437" s="16"/>
      <c r="N437" s="17"/>
      <c r="O437" s="18">
        <v>0.0</v>
      </c>
      <c r="P437" s="18"/>
      <c r="Q437" s="19">
        <v>0.0</v>
      </c>
      <c r="R437" s="19"/>
      <c r="S437" s="20">
        <v>0.0</v>
      </c>
      <c r="T437" s="20">
        <v>0.0</v>
      </c>
      <c r="U437" s="20">
        <v>0.0</v>
      </c>
      <c r="V437" s="21" t="s">
        <v>315</v>
      </c>
      <c r="W437" s="18" t="s">
        <v>62</v>
      </c>
      <c r="X437" s="21" t="s">
        <v>111</v>
      </c>
      <c r="Y437" s="21" t="s">
        <v>1430</v>
      </c>
      <c r="Z437" s="20" t="s">
        <v>1431</v>
      </c>
      <c r="AA437" s="14">
        <v>2.0</v>
      </c>
      <c r="AB437" s="14"/>
      <c r="AC437" s="14">
        <v>2.0</v>
      </c>
      <c r="AD437" s="14">
        <v>39793.0</v>
      </c>
      <c r="AE437" s="14"/>
      <c r="AF437" s="25">
        <v>39793.0</v>
      </c>
      <c r="AG437" s="22"/>
      <c r="AH437" s="22"/>
      <c r="AI437" s="22"/>
      <c r="AJ437" s="22"/>
      <c r="AK437" s="22"/>
      <c r="AL437" s="22"/>
      <c r="AM437" s="22"/>
      <c r="AN437" s="22"/>
      <c r="AO437" s="22"/>
      <c r="AP437" s="22"/>
    </row>
    <row r="438" hidden="1">
      <c r="A438" s="8">
        <v>46073.0</v>
      </c>
      <c r="B438" s="23">
        <v>0.4375</v>
      </c>
      <c r="C438" s="10" t="s">
        <v>58</v>
      </c>
      <c r="D438" s="10" t="s">
        <v>59</v>
      </c>
      <c r="E438" s="12" t="s">
        <v>179</v>
      </c>
      <c r="F438" s="12" t="s">
        <v>1427</v>
      </c>
      <c r="G438" s="12" t="s">
        <v>1432</v>
      </c>
      <c r="H438" s="12" t="s">
        <v>1433</v>
      </c>
      <c r="I438" s="57" t="s">
        <v>61</v>
      </c>
      <c r="J438" s="14">
        <v>2763.0</v>
      </c>
      <c r="K438" s="14">
        <v>1697.0</v>
      </c>
      <c r="L438" s="15">
        <v>0.6142</v>
      </c>
      <c r="M438" s="16"/>
      <c r="N438" s="17"/>
      <c r="O438" s="18">
        <v>0.0</v>
      </c>
      <c r="P438" s="18"/>
      <c r="Q438" s="19">
        <v>0.0</v>
      </c>
      <c r="R438" s="19"/>
      <c r="S438" s="20">
        <v>0.0</v>
      </c>
      <c r="T438" s="20">
        <v>1.0</v>
      </c>
      <c r="U438" s="20">
        <v>0.0</v>
      </c>
      <c r="V438" s="21" t="s">
        <v>315</v>
      </c>
      <c r="W438" s="18" t="s">
        <v>62</v>
      </c>
      <c r="X438" s="21" t="s">
        <v>111</v>
      </c>
      <c r="Y438" s="21" t="s">
        <v>1430</v>
      </c>
      <c r="Z438" s="20" t="s">
        <v>1434</v>
      </c>
      <c r="AA438" s="14">
        <v>1.0</v>
      </c>
      <c r="AB438" s="14"/>
      <c r="AC438" s="14">
        <v>1.0</v>
      </c>
      <c r="AD438" s="14">
        <v>75834.0</v>
      </c>
      <c r="AE438" s="14"/>
      <c r="AF438" s="25">
        <v>75834.0</v>
      </c>
      <c r="AG438" s="22"/>
      <c r="AH438" s="22"/>
      <c r="AI438" s="22"/>
      <c r="AJ438" s="22"/>
      <c r="AK438" s="22"/>
      <c r="AL438" s="22"/>
      <c r="AM438" s="22"/>
      <c r="AN438" s="22"/>
      <c r="AO438" s="22"/>
      <c r="AP438" s="22"/>
    </row>
    <row r="439" hidden="1">
      <c r="A439" s="8">
        <v>46073.0</v>
      </c>
      <c r="B439" s="23">
        <v>0.4375</v>
      </c>
      <c r="C439" s="10" t="s">
        <v>58</v>
      </c>
      <c r="D439" s="10" t="s">
        <v>59</v>
      </c>
      <c r="E439" s="12" t="s">
        <v>179</v>
      </c>
      <c r="F439" s="12" t="s">
        <v>1427</v>
      </c>
      <c r="G439" s="12" t="s">
        <v>1435</v>
      </c>
      <c r="H439" s="12" t="s">
        <v>1436</v>
      </c>
      <c r="I439" s="57" t="s">
        <v>61</v>
      </c>
      <c r="J439" s="14">
        <v>2525.0</v>
      </c>
      <c r="K439" s="14">
        <v>1562.0</v>
      </c>
      <c r="L439" s="15">
        <v>0.6186</v>
      </c>
      <c r="M439" s="16"/>
      <c r="N439" s="17"/>
      <c r="O439" s="18">
        <v>0.0</v>
      </c>
      <c r="P439" s="18"/>
      <c r="Q439" s="19">
        <v>0.0</v>
      </c>
      <c r="R439" s="19"/>
      <c r="S439" s="20">
        <v>0.0</v>
      </c>
      <c r="T439" s="20">
        <v>0.0</v>
      </c>
      <c r="U439" s="20">
        <v>0.0</v>
      </c>
      <c r="V439" s="21" t="s">
        <v>315</v>
      </c>
      <c r="W439" s="18" t="s">
        <v>62</v>
      </c>
      <c r="X439" s="21" t="s">
        <v>111</v>
      </c>
      <c r="Y439" s="21" t="s">
        <v>1430</v>
      </c>
      <c r="Z439" s="20" t="s">
        <v>1437</v>
      </c>
      <c r="AA439" s="14">
        <v>2.0</v>
      </c>
      <c r="AB439" s="14"/>
      <c r="AC439" s="14">
        <v>2.0</v>
      </c>
      <c r="AD439" s="14">
        <v>36793.0</v>
      </c>
      <c r="AE439" s="14"/>
      <c r="AF439" s="14">
        <v>36793.0</v>
      </c>
      <c r="AG439" s="22"/>
      <c r="AH439" s="22"/>
      <c r="AI439" s="22"/>
      <c r="AJ439" s="22"/>
      <c r="AK439" s="22"/>
      <c r="AL439" s="22"/>
      <c r="AM439" s="22"/>
      <c r="AN439" s="22"/>
      <c r="AO439" s="22"/>
      <c r="AP439" s="22"/>
    </row>
    <row r="440" hidden="1">
      <c r="A440" s="8">
        <v>46073.0</v>
      </c>
      <c r="B440" s="23">
        <v>0.4375</v>
      </c>
      <c r="C440" s="10" t="s">
        <v>58</v>
      </c>
      <c r="D440" s="10" t="s">
        <v>59</v>
      </c>
      <c r="E440" s="12" t="s">
        <v>179</v>
      </c>
      <c r="F440" s="12" t="s">
        <v>1427</v>
      </c>
      <c r="G440" s="12" t="s">
        <v>1438</v>
      </c>
      <c r="H440" s="12" t="s">
        <v>1439</v>
      </c>
      <c r="I440" s="57" t="s">
        <v>61</v>
      </c>
      <c r="J440" s="14">
        <v>3931.0</v>
      </c>
      <c r="K440" s="14">
        <v>2634.0</v>
      </c>
      <c r="L440" s="15">
        <v>0.6701</v>
      </c>
      <c r="M440" s="16"/>
      <c r="N440" s="17"/>
      <c r="O440" s="18">
        <v>0.0</v>
      </c>
      <c r="P440" s="18"/>
      <c r="Q440" s="19">
        <v>0.0</v>
      </c>
      <c r="R440" s="19"/>
      <c r="S440" s="20">
        <v>1.0</v>
      </c>
      <c r="T440" s="20">
        <v>2.0</v>
      </c>
      <c r="U440" s="20">
        <v>7577.0</v>
      </c>
      <c r="V440" s="21" t="s">
        <v>315</v>
      </c>
      <c r="W440" s="18" t="s">
        <v>62</v>
      </c>
      <c r="X440" s="21" t="s">
        <v>111</v>
      </c>
      <c r="Y440" s="21" t="s">
        <v>1430</v>
      </c>
      <c r="Z440" s="20" t="s">
        <v>1440</v>
      </c>
      <c r="AA440" s="14">
        <v>3.0</v>
      </c>
      <c r="AB440" s="14"/>
      <c r="AC440" s="14">
        <v>3.0</v>
      </c>
      <c r="AD440" s="14">
        <v>23395.0</v>
      </c>
      <c r="AE440" s="14"/>
      <c r="AF440" s="14">
        <v>23395.0</v>
      </c>
      <c r="AG440" s="22"/>
      <c r="AH440" s="22"/>
      <c r="AI440" s="22"/>
      <c r="AJ440" s="22"/>
      <c r="AK440" s="22"/>
      <c r="AL440" s="22"/>
      <c r="AM440" s="22"/>
      <c r="AN440" s="22"/>
      <c r="AO440" s="22"/>
      <c r="AP440" s="22"/>
    </row>
    <row r="441" hidden="1">
      <c r="A441" s="8">
        <v>46073.0</v>
      </c>
      <c r="B441" s="23">
        <v>0.4375</v>
      </c>
      <c r="C441" s="10" t="s">
        <v>58</v>
      </c>
      <c r="D441" s="10" t="s">
        <v>59</v>
      </c>
      <c r="E441" s="12" t="s">
        <v>179</v>
      </c>
      <c r="F441" s="12" t="s">
        <v>1427</v>
      </c>
      <c r="G441" s="12" t="s">
        <v>1441</v>
      </c>
      <c r="H441" s="12" t="s">
        <v>1442</v>
      </c>
      <c r="I441" s="57" t="s">
        <v>61</v>
      </c>
      <c r="J441" s="14">
        <v>13145.0</v>
      </c>
      <c r="K441" s="14">
        <v>7371.0</v>
      </c>
      <c r="L441" s="15">
        <v>0.5607</v>
      </c>
      <c r="M441" s="16"/>
      <c r="N441" s="17"/>
      <c r="O441" s="18">
        <v>0.0</v>
      </c>
      <c r="P441" s="18"/>
      <c r="Q441" s="19">
        <v>0.0</v>
      </c>
      <c r="R441" s="19"/>
      <c r="S441" s="20">
        <v>2.0</v>
      </c>
      <c r="T441" s="20">
        <v>2.0</v>
      </c>
      <c r="U441" s="20">
        <v>36899.0</v>
      </c>
      <c r="V441" s="21" t="s">
        <v>315</v>
      </c>
      <c r="W441" s="18" t="s">
        <v>62</v>
      </c>
      <c r="X441" s="21" t="s">
        <v>111</v>
      </c>
      <c r="Y441" s="21" t="s">
        <v>1430</v>
      </c>
      <c r="Z441" s="20" t="s">
        <v>1443</v>
      </c>
      <c r="AA441" s="14">
        <v>22.0</v>
      </c>
      <c r="AB441" s="14"/>
      <c r="AC441" s="14">
        <v>22.0</v>
      </c>
      <c r="AD441" s="14">
        <v>335136.0</v>
      </c>
      <c r="AE441" s="14"/>
      <c r="AF441" s="14">
        <v>335136.0</v>
      </c>
      <c r="AG441" s="22"/>
      <c r="AH441" s="22"/>
      <c r="AI441" s="22"/>
      <c r="AJ441" s="22"/>
      <c r="AK441" s="22"/>
      <c r="AL441" s="22"/>
      <c r="AM441" s="22"/>
      <c r="AN441" s="22"/>
      <c r="AO441" s="22"/>
      <c r="AP441" s="22"/>
    </row>
    <row r="442" hidden="1">
      <c r="A442" s="8">
        <v>46073.0</v>
      </c>
      <c r="B442" s="23">
        <v>0.4375</v>
      </c>
      <c r="C442" s="10" t="s">
        <v>58</v>
      </c>
      <c r="D442" s="10" t="s">
        <v>59</v>
      </c>
      <c r="E442" s="12" t="s">
        <v>179</v>
      </c>
      <c r="F442" s="12" t="s">
        <v>1427</v>
      </c>
      <c r="G442" s="12" t="s">
        <v>1444</v>
      </c>
      <c r="H442" s="12" t="s">
        <v>1445</v>
      </c>
      <c r="I442" s="57" t="s">
        <v>61</v>
      </c>
      <c r="J442" s="14">
        <v>1982.0</v>
      </c>
      <c r="K442" s="14">
        <v>1341.0</v>
      </c>
      <c r="L442" s="15">
        <v>0.6766</v>
      </c>
      <c r="M442" s="16"/>
      <c r="N442" s="17"/>
      <c r="O442" s="18">
        <v>0.0</v>
      </c>
      <c r="P442" s="18"/>
      <c r="Q442" s="19">
        <v>0.0</v>
      </c>
      <c r="R442" s="19"/>
      <c r="S442" s="20">
        <v>0.0</v>
      </c>
      <c r="T442" s="20">
        <v>0.0</v>
      </c>
      <c r="U442" s="20">
        <v>0.0</v>
      </c>
      <c r="V442" s="21" t="s">
        <v>315</v>
      </c>
      <c r="W442" s="18" t="s">
        <v>62</v>
      </c>
      <c r="X442" s="21" t="s">
        <v>111</v>
      </c>
      <c r="Y442" s="21" t="s">
        <v>1430</v>
      </c>
      <c r="Z442" s="20" t="s">
        <v>1446</v>
      </c>
      <c r="AA442" s="14">
        <v>0.0</v>
      </c>
      <c r="AB442" s="14"/>
      <c r="AC442" s="14">
        <v>0.0</v>
      </c>
      <c r="AD442" s="14">
        <v>0.0</v>
      </c>
      <c r="AE442" s="14"/>
      <c r="AF442" s="14">
        <v>0.0</v>
      </c>
      <c r="AG442" s="22"/>
      <c r="AH442" s="22"/>
      <c r="AI442" s="22"/>
      <c r="AJ442" s="22"/>
      <c r="AK442" s="22"/>
      <c r="AL442" s="22"/>
      <c r="AM442" s="22"/>
      <c r="AN442" s="22"/>
      <c r="AO442" s="22"/>
      <c r="AP442" s="22"/>
    </row>
    <row r="443" hidden="1">
      <c r="A443" s="8">
        <v>46073.0</v>
      </c>
      <c r="B443" s="23">
        <v>0.4375</v>
      </c>
      <c r="C443" s="10" t="s">
        <v>58</v>
      </c>
      <c r="D443" s="10" t="s">
        <v>59</v>
      </c>
      <c r="E443" s="12" t="s">
        <v>179</v>
      </c>
      <c r="F443" s="12" t="s">
        <v>1427</v>
      </c>
      <c r="G443" s="12" t="s">
        <v>1447</v>
      </c>
      <c r="H443" s="12" t="s">
        <v>1448</v>
      </c>
      <c r="I443" s="57" t="s">
        <v>61</v>
      </c>
      <c r="J443" s="14">
        <v>2456.0</v>
      </c>
      <c r="K443" s="14">
        <v>1668.0</v>
      </c>
      <c r="L443" s="15">
        <v>0.6792</v>
      </c>
      <c r="M443" s="16"/>
      <c r="N443" s="17"/>
      <c r="O443" s="18">
        <v>0.0</v>
      </c>
      <c r="P443" s="18"/>
      <c r="Q443" s="19">
        <v>0.0</v>
      </c>
      <c r="R443" s="19"/>
      <c r="S443" s="20">
        <v>0.0</v>
      </c>
      <c r="T443" s="20">
        <v>0.0</v>
      </c>
      <c r="U443" s="20">
        <v>0.0</v>
      </c>
      <c r="V443" s="21" t="s">
        <v>315</v>
      </c>
      <c r="W443" s="18" t="s">
        <v>62</v>
      </c>
      <c r="X443" s="21" t="s">
        <v>111</v>
      </c>
      <c r="Y443" s="21" t="s">
        <v>1430</v>
      </c>
      <c r="Z443" s="20" t="s">
        <v>1449</v>
      </c>
      <c r="AA443" s="14">
        <v>0.0</v>
      </c>
      <c r="AB443" s="14"/>
      <c r="AC443" s="14">
        <v>0.0</v>
      </c>
      <c r="AD443" s="14">
        <v>0.0</v>
      </c>
      <c r="AE443" s="14"/>
      <c r="AF443" s="14">
        <v>0.0</v>
      </c>
      <c r="AG443" s="22"/>
      <c r="AH443" s="22"/>
      <c r="AI443" s="22"/>
      <c r="AJ443" s="22"/>
      <c r="AK443" s="22"/>
      <c r="AL443" s="22"/>
      <c r="AM443" s="22"/>
      <c r="AN443" s="22"/>
      <c r="AO443" s="22"/>
      <c r="AP443" s="22"/>
    </row>
    <row r="444" hidden="1">
      <c r="A444" s="8">
        <v>46073.0</v>
      </c>
      <c r="B444" s="23">
        <v>0.4375</v>
      </c>
      <c r="C444" s="10" t="s">
        <v>58</v>
      </c>
      <c r="D444" s="10" t="s">
        <v>59</v>
      </c>
      <c r="E444" s="12" t="s">
        <v>179</v>
      </c>
      <c r="F444" s="12" t="s">
        <v>1427</v>
      </c>
      <c r="G444" s="12" t="s">
        <v>1450</v>
      </c>
      <c r="H444" s="12" t="s">
        <v>1451</v>
      </c>
      <c r="I444" s="57" t="s">
        <v>61</v>
      </c>
      <c r="J444" s="14">
        <v>4090.0</v>
      </c>
      <c r="K444" s="14">
        <v>2784.0</v>
      </c>
      <c r="L444" s="15">
        <v>0.6807</v>
      </c>
      <c r="M444" s="16"/>
      <c r="N444" s="17"/>
      <c r="O444" s="18">
        <v>0.0</v>
      </c>
      <c r="P444" s="18"/>
      <c r="Q444" s="19">
        <v>0.0</v>
      </c>
      <c r="R444" s="19"/>
      <c r="S444" s="20">
        <v>0.0</v>
      </c>
      <c r="T444" s="20">
        <v>0.0</v>
      </c>
      <c r="U444" s="20">
        <v>0.0</v>
      </c>
      <c r="V444" s="21" t="s">
        <v>315</v>
      </c>
      <c r="W444" s="18" t="s">
        <v>62</v>
      </c>
      <c r="X444" s="21" t="s">
        <v>111</v>
      </c>
      <c r="Y444" s="21" t="s">
        <v>1430</v>
      </c>
      <c r="Z444" s="20" t="s">
        <v>1452</v>
      </c>
      <c r="AA444" s="14">
        <v>2.0</v>
      </c>
      <c r="AB444" s="14"/>
      <c r="AC444" s="14">
        <v>2.0</v>
      </c>
      <c r="AD444" s="14">
        <v>25593.0</v>
      </c>
      <c r="AE444" s="14"/>
      <c r="AF444" s="14">
        <v>25593.0</v>
      </c>
      <c r="AG444" s="22"/>
      <c r="AH444" s="22"/>
      <c r="AI444" s="22"/>
      <c r="AJ444" s="22"/>
      <c r="AK444" s="22"/>
      <c r="AL444" s="22"/>
      <c r="AM444" s="22"/>
      <c r="AN444" s="22"/>
      <c r="AO444" s="22"/>
      <c r="AP444" s="22"/>
    </row>
    <row r="445" hidden="1">
      <c r="A445" s="8">
        <v>46073.0</v>
      </c>
      <c r="B445" s="23">
        <v>0.4375</v>
      </c>
      <c r="C445" s="10" t="s">
        <v>58</v>
      </c>
      <c r="D445" s="10" t="s">
        <v>59</v>
      </c>
      <c r="E445" s="12" t="s">
        <v>179</v>
      </c>
      <c r="F445" s="12" t="s">
        <v>1427</v>
      </c>
      <c r="G445" s="12" t="s">
        <v>1453</v>
      </c>
      <c r="H445" s="12" t="s">
        <v>1454</v>
      </c>
      <c r="I445" s="57" t="s">
        <v>61</v>
      </c>
      <c r="J445" s="14">
        <v>618.0</v>
      </c>
      <c r="K445" s="14">
        <v>437.0</v>
      </c>
      <c r="L445" s="15">
        <v>0.7071</v>
      </c>
      <c r="M445" s="16"/>
      <c r="N445" s="17"/>
      <c r="O445" s="18">
        <v>0.0</v>
      </c>
      <c r="P445" s="18"/>
      <c r="Q445" s="19">
        <v>0.0</v>
      </c>
      <c r="R445" s="19"/>
      <c r="S445" s="20">
        <v>0.0</v>
      </c>
      <c r="T445" s="20">
        <v>0.0</v>
      </c>
      <c r="U445" s="20">
        <v>0.0</v>
      </c>
      <c r="V445" s="21" t="s">
        <v>315</v>
      </c>
      <c r="W445" s="18" t="s">
        <v>62</v>
      </c>
      <c r="X445" s="21" t="s">
        <v>111</v>
      </c>
      <c r="Y445" s="21" t="s">
        <v>1430</v>
      </c>
      <c r="Z445" s="20" t="s">
        <v>1455</v>
      </c>
      <c r="AA445" s="14">
        <v>2.0</v>
      </c>
      <c r="AB445" s="14"/>
      <c r="AC445" s="14">
        <v>2.0</v>
      </c>
      <c r="AD445" s="14">
        <v>41558.0</v>
      </c>
      <c r="AE445" s="14"/>
      <c r="AF445" s="14">
        <v>41558.0</v>
      </c>
      <c r="AG445" s="22"/>
      <c r="AH445" s="22"/>
      <c r="AI445" s="22"/>
      <c r="AJ445" s="22"/>
      <c r="AK445" s="22"/>
      <c r="AL445" s="22"/>
      <c r="AM445" s="22"/>
      <c r="AN445" s="22"/>
      <c r="AO445" s="22"/>
      <c r="AP445" s="22"/>
    </row>
    <row r="446" hidden="1">
      <c r="A446" s="8">
        <v>46073.0</v>
      </c>
      <c r="B446" s="23">
        <v>0.4375</v>
      </c>
      <c r="C446" s="10" t="s">
        <v>58</v>
      </c>
      <c r="D446" s="10" t="s">
        <v>59</v>
      </c>
      <c r="E446" s="12" t="s">
        <v>179</v>
      </c>
      <c r="F446" s="12" t="s">
        <v>1427</v>
      </c>
      <c r="G446" s="12" t="s">
        <v>1456</v>
      </c>
      <c r="H446" s="12" t="s">
        <v>1457</v>
      </c>
      <c r="I446" s="57" t="s">
        <v>61</v>
      </c>
      <c r="J446" s="14">
        <v>1062.0</v>
      </c>
      <c r="K446" s="14">
        <v>758.0</v>
      </c>
      <c r="L446" s="15">
        <v>0.7137</v>
      </c>
      <c r="M446" s="16"/>
      <c r="N446" s="17"/>
      <c r="O446" s="18">
        <v>0.0</v>
      </c>
      <c r="P446" s="18"/>
      <c r="Q446" s="19">
        <v>0.0</v>
      </c>
      <c r="R446" s="19"/>
      <c r="S446" s="20">
        <v>0.0</v>
      </c>
      <c r="T446" s="20">
        <v>0.0</v>
      </c>
      <c r="U446" s="20">
        <v>0.0</v>
      </c>
      <c r="V446" s="21" t="s">
        <v>315</v>
      </c>
      <c r="W446" s="18" t="s">
        <v>62</v>
      </c>
      <c r="X446" s="21" t="s">
        <v>111</v>
      </c>
      <c r="Y446" s="21" t="s">
        <v>1430</v>
      </c>
      <c r="Z446" s="20" t="s">
        <v>1458</v>
      </c>
      <c r="AA446" s="14">
        <v>0.0</v>
      </c>
      <c r="AB446" s="14"/>
      <c r="AC446" s="14">
        <v>0.0</v>
      </c>
      <c r="AD446" s="14">
        <v>0.0</v>
      </c>
      <c r="AE446" s="14"/>
      <c r="AF446" s="14">
        <v>0.0</v>
      </c>
      <c r="AG446" s="22"/>
      <c r="AH446" s="22"/>
      <c r="AI446" s="22"/>
      <c r="AJ446" s="22"/>
      <c r="AK446" s="22"/>
      <c r="AL446" s="22"/>
      <c r="AM446" s="22"/>
      <c r="AN446" s="22"/>
      <c r="AO446" s="22"/>
      <c r="AP446" s="22"/>
    </row>
    <row r="447" hidden="1">
      <c r="A447" s="8">
        <v>46073.0</v>
      </c>
      <c r="B447" s="23">
        <v>0.4375</v>
      </c>
      <c r="C447" s="10" t="s">
        <v>58</v>
      </c>
      <c r="D447" s="10" t="s">
        <v>59</v>
      </c>
      <c r="E447" s="12" t="s">
        <v>179</v>
      </c>
      <c r="F447" s="12" t="s">
        <v>1427</v>
      </c>
      <c r="G447" s="12" t="s">
        <v>1459</v>
      </c>
      <c r="H447" s="12" t="s">
        <v>1460</v>
      </c>
      <c r="I447" s="57" t="s">
        <v>61</v>
      </c>
      <c r="J447" s="14">
        <v>1796.0</v>
      </c>
      <c r="K447" s="14">
        <v>1242.0</v>
      </c>
      <c r="L447" s="15">
        <v>0.6915</v>
      </c>
      <c r="M447" s="16"/>
      <c r="N447" s="17"/>
      <c r="O447" s="18">
        <v>0.0</v>
      </c>
      <c r="P447" s="18"/>
      <c r="Q447" s="19">
        <v>0.0</v>
      </c>
      <c r="R447" s="19"/>
      <c r="S447" s="20">
        <v>0.0</v>
      </c>
      <c r="T447" s="20">
        <v>0.0</v>
      </c>
      <c r="U447" s="20">
        <v>0.0</v>
      </c>
      <c r="V447" s="21" t="s">
        <v>315</v>
      </c>
      <c r="W447" s="18" t="s">
        <v>62</v>
      </c>
      <c r="X447" s="21" t="s">
        <v>111</v>
      </c>
      <c r="Y447" s="21" t="s">
        <v>1430</v>
      </c>
      <c r="Z447" s="20" t="s">
        <v>1461</v>
      </c>
      <c r="AA447" s="14">
        <v>1.0</v>
      </c>
      <c r="AB447" s="14"/>
      <c r="AC447" s="14">
        <v>1.0</v>
      </c>
      <c r="AD447" s="14">
        <v>18588.0</v>
      </c>
      <c r="AE447" s="14"/>
      <c r="AF447" s="14">
        <v>18588.0</v>
      </c>
      <c r="AG447" s="22"/>
      <c r="AH447" s="22"/>
      <c r="AI447" s="22"/>
      <c r="AJ447" s="22"/>
      <c r="AK447" s="22"/>
      <c r="AL447" s="22"/>
      <c r="AM447" s="22"/>
      <c r="AN447" s="22"/>
      <c r="AO447" s="22"/>
      <c r="AP447" s="22"/>
    </row>
    <row r="448" hidden="1">
      <c r="A448" s="8">
        <v>46073.0</v>
      </c>
      <c r="B448" s="23">
        <v>0.4375</v>
      </c>
      <c r="C448" s="10" t="s">
        <v>58</v>
      </c>
      <c r="D448" s="10" t="s">
        <v>59</v>
      </c>
      <c r="E448" s="12" t="s">
        <v>179</v>
      </c>
      <c r="F448" s="12" t="s">
        <v>1427</v>
      </c>
      <c r="G448" s="12" t="s">
        <v>1462</v>
      </c>
      <c r="H448" s="12" t="s">
        <v>1463</v>
      </c>
      <c r="I448" s="57" t="s">
        <v>61</v>
      </c>
      <c r="J448" s="14">
        <v>1109.0</v>
      </c>
      <c r="K448" s="14">
        <v>755.0</v>
      </c>
      <c r="L448" s="15">
        <v>0.6808</v>
      </c>
      <c r="M448" s="16"/>
      <c r="N448" s="17"/>
      <c r="O448" s="18">
        <v>0.0</v>
      </c>
      <c r="P448" s="18"/>
      <c r="Q448" s="19">
        <v>0.0</v>
      </c>
      <c r="R448" s="19"/>
      <c r="S448" s="20">
        <v>0.0</v>
      </c>
      <c r="T448" s="20">
        <v>1.0</v>
      </c>
      <c r="U448" s="20">
        <v>0.0</v>
      </c>
      <c r="V448" s="21" t="s">
        <v>315</v>
      </c>
      <c r="W448" s="18" t="s">
        <v>62</v>
      </c>
      <c r="X448" s="21" t="s">
        <v>111</v>
      </c>
      <c r="Y448" s="21" t="s">
        <v>1430</v>
      </c>
      <c r="Z448" s="20" t="s">
        <v>1464</v>
      </c>
      <c r="AA448" s="14">
        <v>3.0</v>
      </c>
      <c r="AB448" s="14"/>
      <c r="AC448" s="14">
        <v>3.0</v>
      </c>
      <c r="AD448" s="14">
        <v>24388.0</v>
      </c>
      <c r="AE448" s="14"/>
      <c r="AF448" s="14">
        <v>24388.0</v>
      </c>
      <c r="AG448" s="22"/>
      <c r="AH448" s="22"/>
      <c r="AI448" s="22"/>
      <c r="AJ448" s="22"/>
      <c r="AK448" s="22"/>
      <c r="AL448" s="22"/>
      <c r="AM448" s="22"/>
      <c r="AN448" s="22"/>
      <c r="AO448" s="22"/>
      <c r="AP448" s="22"/>
    </row>
    <row r="449" hidden="1">
      <c r="A449" s="8">
        <v>46073.0</v>
      </c>
      <c r="B449" s="23">
        <v>0.4375</v>
      </c>
      <c r="C449" s="10" t="s">
        <v>58</v>
      </c>
      <c r="D449" s="10" t="s">
        <v>59</v>
      </c>
      <c r="E449" s="12" t="s">
        <v>179</v>
      </c>
      <c r="F449" s="12" t="s">
        <v>1427</v>
      </c>
      <c r="G449" s="12" t="s">
        <v>1465</v>
      </c>
      <c r="H449" s="12" t="s">
        <v>1466</v>
      </c>
      <c r="I449" s="57" t="s">
        <v>61</v>
      </c>
      <c r="J449" s="14">
        <v>460.0</v>
      </c>
      <c r="K449" s="14">
        <v>325.0</v>
      </c>
      <c r="L449" s="15">
        <v>0.7065</v>
      </c>
      <c r="M449" s="16"/>
      <c r="N449" s="17"/>
      <c r="O449" s="18">
        <v>0.0</v>
      </c>
      <c r="P449" s="18"/>
      <c r="Q449" s="19">
        <v>0.0</v>
      </c>
      <c r="R449" s="19"/>
      <c r="S449" s="20">
        <v>0.0</v>
      </c>
      <c r="T449" s="20">
        <v>0.0</v>
      </c>
      <c r="U449" s="20">
        <v>0.0</v>
      </c>
      <c r="V449" s="21" t="s">
        <v>315</v>
      </c>
      <c r="W449" s="18" t="s">
        <v>62</v>
      </c>
      <c r="X449" s="21" t="s">
        <v>111</v>
      </c>
      <c r="Y449" s="21" t="s">
        <v>1430</v>
      </c>
      <c r="Z449" s="20" t="s">
        <v>1467</v>
      </c>
      <c r="AA449" s="14">
        <v>2.0</v>
      </c>
      <c r="AB449" s="14"/>
      <c r="AC449" s="14">
        <v>2.0</v>
      </c>
      <c r="AD449" s="14">
        <v>47975.0</v>
      </c>
      <c r="AE449" s="14"/>
      <c r="AF449" s="14">
        <v>47975.0</v>
      </c>
      <c r="AG449" s="22"/>
      <c r="AH449" s="22"/>
      <c r="AI449" s="22"/>
      <c r="AJ449" s="22"/>
      <c r="AK449" s="22"/>
      <c r="AL449" s="22"/>
      <c r="AM449" s="22"/>
      <c r="AN449" s="22"/>
      <c r="AO449" s="22"/>
      <c r="AP449" s="22"/>
    </row>
    <row r="450" hidden="1">
      <c r="A450" s="8">
        <v>46073.0</v>
      </c>
      <c r="B450" s="23">
        <v>0.4375</v>
      </c>
      <c r="C450" s="10" t="s">
        <v>58</v>
      </c>
      <c r="D450" s="10" t="s">
        <v>59</v>
      </c>
      <c r="E450" s="12" t="s">
        <v>179</v>
      </c>
      <c r="F450" s="12" t="s">
        <v>1427</v>
      </c>
      <c r="G450" s="12" t="s">
        <v>1468</v>
      </c>
      <c r="H450" s="12" t="s">
        <v>1469</v>
      </c>
      <c r="I450" s="57" t="s">
        <v>61</v>
      </c>
      <c r="J450" s="14">
        <v>205.0</v>
      </c>
      <c r="K450" s="14">
        <v>148.0</v>
      </c>
      <c r="L450" s="15">
        <v>0.722</v>
      </c>
      <c r="M450" s="16"/>
      <c r="N450" s="17"/>
      <c r="O450" s="18">
        <v>0.0</v>
      </c>
      <c r="P450" s="18"/>
      <c r="Q450" s="19">
        <v>0.0</v>
      </c>
      <c r="R450" s="19"/>
      <c r="S450" s="20">
        <v>0.0</v>
      </c>
      <c r="T450" s="20">
        <v>0.0</v>
      </c>
      <c r="U450" s="20">
        <v>0.0</v>
      </c>
      <c r="V450" s="21" t="s">
        <v>315</v>
      </c>
      <c r="W450" s="18" t="s">
        <v>62</v>
      </c>
      <c r="X450" s="21" t="s">
        <v>111</v>
      </c>
      <c r="Y450" s="21" t="s">
        <v>1430</v>
      </c>
      <c r="Z450" s="20" t="s">
        <v>1470</v>
      </c>
      <c r="AA450" s="14">
        <v>0.0</v>
      </c>
      <c r="AB450" s="14"/>
      <c r="AC450" s="14">
        <v>0.0</v>
      </c>
      <c r="AD450" s="14">
        <v>0.0</v>
      </c>
      <c r="AE450" s="14"/>
      <c r="AF450" s="14">
        <v>0.0</v>
      </c>
      <c r="AG450" s="22"/>
      <c r="AH450" s="22"/>
      <c r="AI450" s="22"/>
      <c r="AJ450" s="22"/>
      <c r="AK450" s="22"/>
      <c r="AL450" s="22"/>
      <c r="AM450" s="22"/>
      <c r="AN450" s="22"/>
      <c r="AO450" s="22"/>
      <c r="AP450" s="22"/>
    </row>
    <row r="451" hidden="1">
      <c r="A451" s="8">
        <v>46073.0</v>
      </c>
      <c r="B451" s="23">
        <v>0.4375</v>
      </c>
      <c r="C451" s="10" t="s">
        <v>58</v>
      </c>
      <c r="D451" s="10" t="s">
        <v>59</v>
      </c>
      <c r="E451" s="12" t="s">
        <v>179</v>
      </c>
      <c r="F451" s="12" t="s">
        <v>1427</v>
      </c>
      <c r="G451" s="12" t="s">
        <v>1471</v>
      </c>
      <c r="H451" s="12" t="s">
        <v>1472</v>
      </c>
      <c r="I451" s="57" t="s">
        <v>61</v>
      </c>
      <c r="J451" s="14">
        <v>899.0</v>
      </c>
      <c r="K451" s="14">
        <v>559.0</v>
      </c>
      <c r="L451" s="15">
        <v>0.6218</v>
      </c>
      <c r="M451" s="16"/>
      <c r="N451" s="17"/>
      <c r="O451" s="18">
        <v>0.0</v>
      </c>
      <c r="P451" s="18"/>
      <c r="Q451" s="19">
        <v>0.0</v>
      </c>
      <c r="R451" s="19"/>
      <c r="S451" s="20">
        <v>0.0</v>
      </c>
      <c r="T451" s="20">
        <v>0.0</v>
      </c>
      <c r="U451" s="20">
        <v>0.0</v>
      </c>
      <c r="V451" s="21" t="s">
        <v>315</v>
      </c>
      <c r="W451" s="18" t="s">
        <v>62</v>
      </c>
      <c r="X451" s="21" t="s">
        <v>111</v>
      </c>
      <c r="Y451" s="21" t="s">
        <v>1430</v>
      </c>
      <c r="Z451" s="20" t="s">
        <v>1473</v>
      </c>
      <c r="AA451" s="14">
        <v>1.0</v>
      </c>
      <c r="AB451" s="14"/>
      <c r="AC451" s="14">
        <v>1.0</v>
      </c>
      <c r="AD451" s="14">
        <v>10996.0</v>
      </c>
      <c r="AE451" s="14"/>
      <c r="AF451" s="14">
        <v>10996.0</v>
      </c>
      <c r="AG451" s="22"/>
      <c r="AH451" s="22"/>
      <c r="AI451" s="22"/>
      <c r="AJ451" s="22"/>
      <c r="AK451" s="22"/>
      <c r="AL451" s="22"/>
      <c r="AM451" s="22"/>
      <c r="AN451" s="22"/>
      <c r="AO451" s="22"/>
      <c r="AP451" s="22"/>
    </row>
    <row r="452" hidden="1">
      <c r="A452" s="8">
        <v>46073.0</v>
      </c>
      <c r="B452" s="23">
        <v>0.4375</v>
      </c>
      <c r="C452" s="10" t="s">
        <v>58</v>
      </c>
      <c r="D452" s="10" t="s">
        <v>59</v>
      </c>
      <c r="E452" s="12" t="s">
        <v>179</v>
      </c>
      <c r="F452" s="12" t="s">
        <v>1427</v>
      </c>
      <c r="G452" s="12" t="s">
        <v>1474</v>
      </c>
      <c r="H452" s="12" t="s">
        <v>1475</v>
      </c>
      <c r="I452" s="57" t="s">
        <v>61</v>
      </c>
      <c r="J452" s="14">
        <v>14453.0</v>
      </c>
      <c r="K452" s="14">
        <v>8038.0</v>
      </c>
      <c r="L452" s="15">
        <v>0.5561</v>
      </c>
      <c r="M452" s="16"/>
      <c r="N452" s="17"/>
      <c r="O452" s="18">
        <v>0.0</v>
      </c>
      <c r="P452" s="18"/>
      <c r="Q452" s="19">
        <v>0.0</v>
      </c>
      <c r="R452" s="19"/>
      <c r="S452" s="20">
        <v>4.0</v>
      </c>
      <c r="T452" s="20">
        <v>4.0</v>
      </c>
      <c r="U452" s="20">
        <v>11787.0</v>
      </c>
      <c r="V452" s="21" t="s">
        <v>315</v>
      </c>
      <c r="W452" s="18" t="s">
        <v>62</v>
      </c>
      <c r="X452" s="21" t="s">
        <v>111</v>
      </c>
      <c r="Y452" s="21" t="s">
        <v>1430</v>
      </c>
      <c r="Z452" s="20" t="s">
        <v>1476</v>
      </c>
      <c r="AA452" s="14">
        <v>16.0</v>
      </c>
      <c r="AB452" s="14"/>
      <c r="AC452" s="14">
        <v>16.0</v>
      </c>
      <c r="AD452" s="14">
        <v>348598.0</v>
      </c>
      <c r="AE452" s="14"/>
      <c r="AF452" s="14">
        <v>348598.0</v>
      </c>
      <c r="AG452" s="22"/>
      <c r="AH452" s="22"/>
      <c r="AI452" s="22"/>
      <c r="AJ452" s="22"/>
      <c r="AK452" s="22"/>
      <c r="AL452" s="22"/>
      <c r="AM452" s="22"/>
      <c r="AN452" s="22"/>
      <c r="AO452" s="22"/>
      <c r="AP452" s="22"/>
    </row>
    <row r="453" hidden="1">
      <c r="A453" s="8">
        <v>46073.0</v>
      </c>
      <c r="B453" s="23">
        <v>0.3576388888888889</v>
      </c>
      <c r="C453" s="10" t="s">
        <v>32</v>
      </c>
      <c r="D453" s="10" t="s">
        <v>33</v>
      </c>
      <c r="E453" s="12" t="s">
        <v>179</v>
      </c>
      <c r="F453" s="12" t="s">
        <v>1427</v>
      </c>
      <c r="G453" s="12" t="s">
        <v>1477</v>
      </c>
      <c r="H453" s="12" t="s">
        <v>1429</v>
      </c>
      <c r="I453" s="57" t="s">
        <v>1478</v>
      </c>
      <c r="J453" s="14">
        <v>8891.0</v>
      </c>
      <c r="K453" s="14">
        <v>5087.0</v>
      </c>
      <c r="L453" s="15">
        <v>0.5722</v>
      </c>
      <c r="M453" s="16">
        <v>1482.0</v>
      </c>
      <c r="N453" s="17">
        <v>0.2913</v>
      </c>
      <c r="O453" s="18">
        <v>0.0</v>
      </c>
      <c r="P453" s="18">
        <v>0.0</v>
      </c>
      <c r="Q453" s="19">
        <v>0.0</v>
      </c>
      <c r="R453" s="19">
        <v>0.0</v>
      </c>
      <c r="S453" s="20">
        <v>2.0</v>
      </c>
      <c r="T453" s="20">
        <v>3.0</v>
      </c>
      <c r="U453" s="20">
        <v>2134.0</v>
      </c>
      <c r="V453" s="21" t="s">
        <v>315</v>
      </c>
      <c r="W453" s="18" t="s">
        <v>76</v>
      </c>
      <c r="X453" s="21" t="s">
        <v>111</v>
      </c>
      <c r="Y453" s="21" t="s">
        <v>1430</v>
      </c>
      <c r="Z453" s="20" t="s">
        <v>1479</v>
      </c>
      <c r="AA453" s="14">
        <v>6.0</v>
      </c>
      <c r="AB453" s="14"/>
      <c r="AC453" s="14">
        <v>6.0</v>
      </c>
      <c r="AD453" s="14">
        <v>43484.0</v>
      </c>
      <c r="AE453" s="14"/>
      <c r="AF453" s="14">
        <v>43484.0</v>
      </c>
      <c r="AG453" s="22"/>
      <c r="AH453" s="22"/>
      <c r="AI453" s="22"/>
      <c r="AJ453" s="22"/>
      <c r="AK453" s="22"/>
      <c r="AL453" s="22"/>
      <c r="AM453" s="22"/>
      <c r="AN453" s="22"/>
      <c r="AO453" s="22"/>
      <c r="AP453" s="22"/>
    </row>
    <row r="454" hidden="1">
      <c r="A454" s="8">
        <v>46073.0</v>
      </c>
      <c r="B454" s="23">
        <v>0.3611111111111111</v>
      </c>
      <c r="C454" s="10" t="s">
        <v>32</v>
      </c>
      <c r="D454" s="10" t="s">
        <v>33</v>
      </c>
      <c r="E454" s="12" t="s">
        <v>179</v>
      </c>
      <c r="F454" s="12" t="s">
        <v>1427</v>
      </c>
      <c r="G454" s="12" t="s">
        <v>1480</v>
      </c>
      <c r="H454" s="12" t="s">
        <v>1433</v>
      </c>
      <c r="I454" s="57" t="s">
        <v>1481</v>
      </c>
      <c r="J454" s="14">
        <v>7388.0</v>
      </c>
      <c r="K454" s="14">
        <v>4275.0</v>
      </c>
      <c r="L454" s="15">
        <v>0.5786</v>
      </c>
      <c r="M454" s="16">
        <v>1243.0</v>
      </c>
      <c r="N454" s="17">
        <v>0.2908</v>
      </c>
      <c r="O454" s="18">
        <v>0.0</v>
      </c>
      <c r="P454" s="18">
        <v>0.0</v>
      </c>
      <c r="Q454" s="19">
        <v>0.0</v>
      </c>
      <c r="R454" s="19">
        <v>0.0</v>
      </c>
      <c r="S454" s="20">
        <v>0.0</v>
      </c>
      <c r="T454" s="20">
        <v>1.0</v>
      </c>
      <c r="U454" s="20">
        <v>0.0</v>
      </c>
      <c r="V454" s="21" t="s">
        <v>315</v>
      </c>
      <c r="W454" s="18" t="s">
        <v>76</v>
      </c>
      <c r="X454" s="21" t="s">
        <v>111</v>
      </c>
      <c r="Y454" s="21" t="s">
        <v>1430</v>
      </c>
      <c r="Z454" s="20" t="s">
        <v>1482</v>
      </c>
      <c r="AA454" s="14">
        <v>5.0</v>
      </c>
      <c r="AB454" s="14"/>
      <c r="AC454" s="14">
        <v>5.0</v>
      </c>
      <c r="AD454" s="14">
        <v>30092.0</v>
      </c>
      <c r="AE454" s="14"/>
      <c r="AF454" s="14">
        <v>30092.0</v>
      </c>
      <c r="AG454" s="22"/>
      <c r="AH454" s="22"/>
      <c r="AI454" s="22"/>
      <c r="AJ454" s="22"/>
      <c r="AK454" s="22"/>
      <c r="AL454" s="22"/>
      <c r="AM454" s="22"/>
      <c r="AN454" s="22"/>
      <c r="AO454" s="22"/>
      <c r="AP454" s="22"/>
    </row>
    <row r="455" hidden="1">
      <c r="A455" s="8">
        <v>46073.0</v>
      </c>
      <c r="B455" s="23">
        <v>0.3645833333333333</v>
      </c>
      <c r="C455" s="10" t="s">
        <v>32</v>
      </c>
      <c r="D455" s="10" t="s">
        <v>33</v>
      </c>
      <c r="E455" s="12" t="s">
        <v>179</v>
      </c>
      <c r="F455" s="12" t="s">
        <v>1427</v>
      </c>
      <c r="G455" s="12" t="s">
        <v>1483</v>
      </c>
      <c r="H455" s="12" t="s">
        <v>1436</v>
      </c>
      <c r="I455" s="57" t="s">
        <v>1484</v>
      </c>
      <c r="J455" s="14">
        <v>6322.0</v>
      </c>
      <c r="K455" s="14">
        <v>3531.0</v>
      </c>
      <c r="L455" s="15">
        <v>0.5585</v>
      </c>
      <c r="M455" s="16">
        <v>965.0</v>
      </c>
      <c r="N455" s="17">
        <v>0.2733</v>
      </c>
      <c r="O455" s="18">
        <v>0.0</v>
      </c>
      <c r="P455" s="18">
        <v>0.0</v>
      </c>
      <c r="Q455" s="19">
        <v>0.0</v>
      </c>
      <c r="R455" s="19">
        <v>0.0</v>
      </c>
      <c r="S455" s="20">
        <v>0.0</v>
      </c>
      <c r="T455" s="20">
        <v>1.0</v>
      </c>
      <c r="U455" s="20">
        <v>0.0</v>
      </c>
      <c r="V455" s="21" t="s">
        <v>315</v>
      </c>
      <c r="W455" s="18" t="s">
        <v>76</v>
      </c>
      <c r="X455" s="21" t="s">
        <v>111</v>
      </c>
      <c r="Y455" s="21" t="s">
        <v>1430</v>
      </c>
      <c r="Z455" s="20" t="s">
        <v>1485</v>
      </c>
      <c r="AA455" s="14">
        <v>5.0</v>
      </c>
      <c r="AB455" s="14"/>
      <c r="AC455" s="14">
        <v>5.0</v>
      </c>
      <c r="AD455" s="14">
        <v>29793.0</v>
      </c>
      <c r="AE455" s="14"/>
      <c r="AF455" s="14">
        <v>29793.0</v>
      </c>
      <c r="AG455" s="22"/>
      <c r="AH455" s="22"/>
      <c r="AI455" s="22"/>
      <c r="AJ455" s="22"/>
      <c r="AK455" s="22"/>
      <c r="AL455" s="22"/>
      <c r="AM455" s="22"/>
      <c r="AN455" s="22"/>
      <c r="AO455" s="22"/>
      <c r="AP455" s="22"/>
    </row>
    <row r="456" hidden="1">
      <c r="A456" s="8">
        <v>46073.0</v>
      </c>
      <c r="B456" s="23">
        <v>0.3680555555555556</v>
      </c>
      <c r="C456" s="10" t="s">
        <v>32</v>
      </c>
      <c r="D456" s="10" t="s">
        <v>33</v>
      </c>
      <c r="E456" s="12" t="s">
        <v>179</v>
      </c>
      <c r="F456" s="12" t="s">
        <v>1427</v>
      </c>
      <c r="G456" s="12" t="s">
        <v>1486</v>
      </c>
      <c r="H456" s="12" t="s">
        <v>1439</v>
      </c>
      <c r="I456" s="57" t="s">
        <v>1487</v>
      </c>
      <c r="J456" s="14">
        <v>10287.0</v>
      </c>
      <c r="K456" s="14">
        <v>5998.0</v>
      </c>
      <c r="L456" s="15">
        <v>0.5831</v>
      </c>
      <c r="M456" s="16">
        <v>1838.0</v>
      </c>
      <c r="N456" s="17">
        <v>0.3065</v>
      </c>
      <c r="O456" s="18">
        <v>0.0</v>
      </c>
      <c r="P456" s="18">
        <v>0.0</v>
      </c>
      <c r="Q456" s="19">
        <v>0.0</v>
      </c>
      <c r="R456" s="19">
        <v>0.0</v>
      </c>
      <c r="S456" s="20">
        <v>0.0</v>
      </c>
      <c r="T456" s="20">
        <v>1.0</v>
      </c>
      <c r="U456" s="20">
        <v>0.0</v>
      </c>
      <c r="V456" s="21" t="s">
        <v>315</v>
      </c>
      <c r="W456" s="18" t="s">
        <v>76</v>
      </c>
      <c r="X456" s="21" t="s">
        <v>111</v>
      </c>
      <c r="Y456" s="21" t="s">
        <v>1430</v>
      </c>
      <c r="Z456" s="20" t="s">
        <v>1488</v>
      </c>
      <c r="AA456" s="14">
        <v>1.0</v>
      </c>
      <c r="AB456" s="14"/>
      <c r="AC456" s="14">
        <v>1.0</v>
      </c>
      <c r="AD456" s="14">
        <v>3899.0</v>
      </c>
      <c r="AE456" s="14"/>
      <c r="AF456" s="14">
        <v>3899.0</v>
      </c>
      <c r="AG456" s="22"/>
      <c r="AH456" s="22"/>
      <c r="AI456" s="22"/>
      <c r="AJ456" s="22"/>
      <c r="AK456" s="22"/>
      <c r="AL456" s="22"/>
      <c r="AM456" s="22"/>
      <c r="AN456" s="22"/>
      <c r="AO456" s="22"/>
      <c r="AP456" s="22"/>
    </row>
    <row r="457" hidden="1">
      <c r="A457" s="8">
        <v>46073.0</v>
      </c>
      <c r="B457" s="23">
        <v>0.3715277777777778</v>
      </c>
      <c r="C457" s="10" t="s">
        <v>32</v>
      </c>
      <c r="D457" s="10" t="s">
        <v>33</v>
      </c>
      <c r="E457" s="12" t="s">
        <v>179</v>
      </c>
      <c r="F457" s="12" t="s">
        <v>1427</v>
      </c>
      <c r="G457" s="12" t="s">
        <v>1489</v>
      </c>
      <c r="H457" s="12" t="s">
        <v>1442</v>
      </c>
      <c r="I457" s="57" t="s">
        <v>1490</v>
      </c>
      <c r="J457" s="14">
        <v>31411.0</v>
      </c>
      <c r="K457" s="14">
        <v>16218.0</v>
      </c>
      <c r="L457" s="15">
        <v>0.5163</v>
      </c>
      <c r="M457" s="16">
        <v>3677.0</v>
      </c>
      <c r="N457" s="17">
        <v>0.2266</v>
      </c>
      <c r="O457" s="18">
        <v>0.0</v>
      </c>
      <c r="P457" s="18">
        <v>0.0</v>
      </c>
      <c r="Q457" s="19">
        <v>0.0</v>
      </c>
      <c r="R457" s="19">
        <v>0.0</v>
      </c>
      <c r="S457" s="20">
        <v>2.0</v>
      </c>
      <c r="T457" s="20">
        <v>7.0</v>
      </c>
      <c r="U457" s="20">
        <v>0.0</v>
      </c>
      <c r="V457" s="21" t="s">
        <v>315</v>
      </c>
      <c r="W457" s="18" t="s">
        <v>76</v>
      </c>
      <c r="X457" s="21" t="s">
        <v>111</v>
      </c>
      <c r="Y457" s="21" t="s">
        <v>1430</v>
      </c>
      <c r="Z457" s="20" t="s">
        <v>1491</v>
      </c>
      <c r="AA457" s="14">
        <v>27.0</v>
      </c>
      <c r="AB457" s="14"/>
      <c r="AC457" s="14">
        <v>27.0</v>
      </c>
      <c r="AD457" s="14">
        <v>494785.0</v>
      </c>
      <c r="AE457" s="14"/>
      <c r="AF457" s="14">
        <v>494785.0</v>
      </c>
      <c r="AG457" s="22"/>
      <c r="AH457" s="22"/>
      <c r="AI457" s="22"/>
      <c r="AJ457" s="22"/>
      <c r="AK457" s="22"/>
      <c r="AL457" s="22"/>
      <c r="AM457" s="22"/>
      <c r="AN457" s="22"/>
      <c r="AO457" s="22"/>
      <c r="AP457" s="22"/>
    </row>
    <row r="458" hidden="1">
      <c r="A458" s="8">
        <v>46073.0</v>
      </c>
      <c r="B458" s="23">
        <v>0.3715277777777778</v>
      </c>
      <c r="C458" s="10" t="s">
        <v>32</v>
      </c>
      <c r="D458" s="10" t="s">
        <v>33</v>
      </c>
      <c r="E458" s="12" t="s">
        <v>179</v>
      </c>
      <c r="F458" s="12" t="s">
        <v>1427</v>
      </c>
      <c r="G458" s="12" t="s">
        <v>1492</v>
      </c>
      <c r="H458" s="12" t="s">
        <v>1445</v>
      </c>
      <c r="I458" s="57" t="s">
        <v>1493</v>
      </c>
      <c r="J458" s="14">
        <v>4717.0</v>
      </c>
      <c r="K458" s="14">
        <v>2570.0</v>
      </c>
      <c r="L458" s="15">
        <v>0.5448</v>
      </c>
      <c r="M458" s="16">
        <v>720.0</v>
      </c>
      <c r="N458" s="17">
        <v>0.2802</v>
      </c>
      <c r="O458" s="18">
        <v>0.0</v>
      </c>
      <c r="P458" s="18">
        <v>0.0</v>
      </c>
      <c r="Q458" s="19">
        <v>0.0</v>
      </c>
      <c r="R458" s="19">
        <v>0.0</v>
      </c>
      <c r="S458" s="20">
        <v>0.0</v>
      </c>
      <c r="T458" s="20">
        <v>0.0</v>
      </c>
      <c r="U458" s="20">
        <v>0.0</v>
      </c>
      <c r="V458" s="21" t="s">
        <v>315</v>
      </c>
      <c r="W458" s="18" t="s">
        <v>76</v>
      </c>
      <c r="X458" s="21" t="s">
        <v>111</v>
      </c>
      <c r="Y458" s="21" t="s">
        <v>1430</v>
      </c>
      <c r="Z458" s="20" t="s">
        <v>1494</v>
      </c>
      <c r="AA458" s="14">
        <v>6.0</v>
      </c>
      <c r="AB458" s="14"/>
      <c r="AC458" s="14">
        <v>6.0</v>
      </c>
      <c r="AD458" s="14">
        <v>117513.0</v>
      </c>
      <c r="AE458" s="14"/>
      <c r="AF458" s="14">
        <v>117513.0</v>
      </c>
      <c r="AG458" s="22"/>
      <c r="AH458" s="22"/>
      <c r="AI458" s="22"/>
      <c r="AJ458" s="22"/>
      <c r="AK458" s="22"/>
      <c r="AL458" s="22"/>
      <c r="AM458" s="22"/>
      <c r="AN458" s="22"/>
      <c r="AO458" s="22"/>
      <c r="AP458" s="22"/>
    </row>
    <row r="459" hidden="1">
      <c r="A459" s="8">
        <v>46073.0</v>
      </c>
      <c r="B459" s="23">
        <v>0.375</v>
      </c>
      <c r="C459" s="10" t="s">
        <v>32</v>
      </c>
      <c r="D459" s="10" t="s">
        <v>33</v>
      </c>
      <c r="E459" s="12" t="s">
        <v>179</v>
      </c>
      <c r="F459" s="12" t="s">
        <v>1427</v>
      </c>
      <c r="G459" s="12" t="s">
        <v>1495</v>
      </c>
      <c r="H459" s="12" t="s">
        <v>1448</v>
      </c>
      <c r="I459" s="57" t="s">
        <v>1496</v>
      </c>
      <c r="J459" s="14">
        <v>7293.0</v>
      </c>
      <c r="K459" s="14">
        <v>4623.0</v>
      </c>
      <c r="L459" s="15">
        <v>0.6339</v>
      </c>
      <c r="M459" s="16">
        <v>1165.0</v>
      </c>
      <c r="N459" s="17">
        <v>0.2519</v>
      </c>
      <c r="O459" s="18">
        <v>0.0</v>
      </c>
      <c r="P459" s="18">
        <v>0.0</v>
      </c>
      <c r="Q459" s="19">
        <v>0.0</v>
      </c>
      <c r="R459" s="19">
        <v>0.0</v>
      </c>
      <c r="S459" s="20">
        <v>0.0</v>
      </c>
      <c r="T459" s="20">
        <v>1.0</v>
      </c>
      <c r="U459" s="20">
        <v>0.0</v>
      </c>
      <c r="V459" s="21" t="s">
        <v>315</v>
      </c>
      <c r="W459" s="18" t="s">
        <v>76</v>
      </c>
      <c r="X459" s="21" t="s">
        <v>111</v>
      </c>
      <c r="Y459" s="21" t="s">
        <v>1430</v>
      </c>
      <c r="Z459" s="20" t="s">
        <v>1497</v>
      </c>
      <c r="AA459" s="14">
        <v>3.0</v>
      </c>
      <c r="AB459" s="14"/>
      <c r="AC459" s="14">
        <v>3.0</v>
      </c>
      <c r="AD459" s="14">
        <v>15297.0</v>
      </c>
      <c r="AE459" s="14"/>
      <c r="AF459" s="14">
        <v>15297.0</v>
      </c>
      <c r="AG459" s="22"/>
      <c r="AH459" s="22"/>
      <c r="AI459" s="22"/>
      <c r="AJ459" s="22"/>
      <c r="AK459" s="22"/>
      <c r="AL459" s="22"/>
      <c r="AM459" s="22"/>
      <c r="AN459" s="22"/>
      <c r="AO459" s="22"/>
      <c r="AP459" s="22"/>
    </row>
    <row r="460" hidden="1">
      <c r="A460" s="8">
        <v>46073.0</v>
      </c>
      <c r="B460" s="23">
        <v>0.3784722222222222</v>
      </c>
      <c r="C460" s="10" t="s">
        <v>32</v>
      </c>
      <c r="D460" s="10" t="s">
        <v>33</v>
      </c>
      <c r="E460" s="12" t="s">
        <v>179</v>
      </c>
      <c r="F460" s="12" t="s">
        <v>1427</v>
      </c>
      <c r="G460" s="12" t="s">
        <v>1498</v>
      </c>
      <c r="H460" s="12" t="s">
        <v>1451</v>
      </c>
      <c r="I460" s="57" t="s">
        <v>1499</v>
      </c>
      <c r="J460" s="14">
        <v>11706.0</v>
      </c>
      <c r="K460" s="14">
        <v>7109.0</v>
      </c>
      <c r="L460" s="15">
        <v>0.6073</v>
      </c>
      <c r="M460" s="16">
        <v>1971.0</v>
      </c>
      <c r="N460" s="17">
        <v>0.2773</v>
      </c>
      <c r="O460" s="18">
        <v>0.0</v>
      </c>
      <c r="P460" s="18">
        <v>0.0</v>
      </c>
      <c r="Q460" s="19">
        <v>0.0</v>
      </c>
      <c r="R460" s="19">
        <v>0.0</v>
      </c>
      <c r="S460" s="20">
        <v>2.0</v>
      </c>
      <c r="T460" s="20">
        <v>5.0</v>
      </c>
      <c r="U460" s="20">
        <v>13572.0</v>
      </c>
      <c r="V460" s="21" t="s">
        <v>315</v>
      </c>
      <c r="W460" s="18" t="s">
        <v>76</v>
      </c>
      <c r="X460" s="21" t="s">
        <v>111</v>
      </c>
      <c r="Y460" s="21" t="s">
        <v>1430</v>
      </c>
      <c r="Z460" s="20" t="s">
        <v>1500</v>
      </c>
      <c r="AA460" s="14">
        <v>4.0</v>
      </c>
      <c r="AB460" s="14"/>
      <c r="AC460" s="14">
        <v>4.0</v>
      </c>
      <c r="AD460" s="14">
        <v>55688.0</v>
      </c>
      <c r="AE460" s="14"/>
      <c r="AF460" s="14">
        <v>55688.0</v>
      </c>
      <c r="AG460" s="22"/>
      <c r="AH460" s="22"/>
      <c r="AI460" s="22"/>
      <c r="AJ460" s="22"/>
      <c r="AK460" s="22"/>
      <c r="AL460" s="22"/>
      <c r="AM460" s="22"/>
      <c r="AN460" s="22"/>
      <c r="AO460" s="22"/>
      <c r="AP460" s="22"/>
    </row>
    <row r="461" hidden="1">
      <c r="A461" s="8">
        <v>46073.0</v>
      </c>
      <c r="B461" s="23">
        <v>0.3993055555555556</v>
      </c>
      <c r="C461" s="10" t="s">
        <v>32</v>
      </c>
      <c r="D461" s="10" t="s">
        <v>33</v>
      </c>
      <c r="E461" s="12" t="s">
        <v>179</v>
      </c>
      <c r="F461" s="12" t="s">
        <v>1427</v>
      </c>
      <c r="G461" s="12" t="s">
        <v>1501</v>
      </c>
      <c r="H461" s="12" t="s">
        <v>1472</v>
      </c>
      <c r="I461" s="57" t="s">
        <v>1502</v>
      </c>
      <c r="J461" s="14">
        <v>2863.0</v>
      </c>
      <c r="K461" s="14">
        <v>1890.0</v>
      </c>
      <c r="L461" s="15">
        <v>0.6601</v>
      </c>
      <c r="M461" s="16">
        <v>587.0</v>
      </c>
      <c r="N461" s="17">
        <v>0.3106</v>
      </c>
      <c r="O461" s="18">
        <v>0.0</v>
      </c>
      <c r="P461" s="18">
        <v>0.0</v>
      </c>
      <c r="Q461" s="19">
        <v>0.0</v>
      </c>
      <c r="R461" s="19">
        <v>0.0</v>
      </c>
      <c r="S461" s="20">
        <v>0.0</v>
      </c>
      <c r="T461" s="20">
        <v>1.0</v>
      </c>
      <c r="U461" s="20">
        <v>0.0</v>
      </c>
      <c r="V461" s="21" t="s">
        <v>315</v>
      </c>
      <c r="W461" s="18" t="s">
        <v>76</v>
      </c>
      <c r="X461" s="21" t="s">
        <v>111</v>
      </c>
      <c r="Y461" s="21" t="s">
        <v>1430</v>
      </c>
      <c r="Z461" s="20" t="s">
        <v>1503</v>
      </c>
      <c r="AA461" s="14">
        <v>0.0</v>
      </c>
      <c r="AB461" s="14"/>
      <c r="AC461" s="14">
        <v>0.0</v>
      </c>
      <c r="AD461" s="14">
        <v>0.0</v>
      </c>
      <c r="AE461" s="14"/>
      <c r="AF461" s="14">
        <v>0.0</v>
      </c>
      <c r="AG461" s="22"/>
      <c r="AH461" s="22"/>
      <c r="AI461" s="22"/>
      <c r="AJ461" s="22"/>
      <c r="AK461" s="22"/>
      <c r="AL461" s="22"/>
      <c r="AM461" s="22"/>
      <c r="AN461" s="22"/>
      <c r="AO461" s="22"/>
      <c r="AP461" s="22"/>
    </row>
    <row r="462" hidden="1">
      <c r="A462" s="8">
        <v>46073.0</v>
      </c>
      <c r="B462" s="23">
        <v>0.3819444444444444</v>
      </c>
      <c r="C462" s="10" t="s">
        <v>32</v>
      </c>
      <c r="D462" s="10" t="s">
        <v>33</v>
      </c>
      <c r="E462" s="12" t="s">
        <v>179</v>
      </c>
      <c r="F462" s="12" t="s">
        <v>1427</v>
      </c>
      <c r="G462" s="12" t="s">
        <v>1504</v>
      </c>
      <c r="H462" s="12" t="s">
        <v>1457</v>
      </c>
      <c r="I462" s="57" t="s">
        <v>1505</v>
      </c>
      <c r="J462" s="14">
        <v>3297.0</v>
      </c>
      <c r="K462" s="14">
        <v>2149.0</v>
      </c>
      <c r="L462" s="15">
        <v>0.6518</v>
      </c>
      <c r="M462" s="16">
        <v>685.0</v>
      </c>
      <c r="N462" s="17">
        <v>0.3186</v>
      </c>
      <c r="O462" s="18">
        <v>0.0</v>
      </c>
      <c r="P462" s="18">
        <v>0.0</v>
      </c>
      <c r="Q462" s="19">
        <v>0.0</v>
      </c>
      <c r="R462" s="19">
        <v>0.0</v>
      </c>
      <c r="S462" s="20">
        <v>0.0</v>
      </c>
      <c r="T462" s="20">
        <v>0.0</v>
      </c>
      <c r="U462" s="20">
        <v>0.0</v>
      </c>
      <c r="V462" s="21" t="s">
        <v>315</v>
      </c>
      <c r="W462" s="18" t="s">
        <v>76</v>
      </c>
      <c r="X462" s="21" t="s">
        <v>111</v>
      </c>
      <c r="Y462" s="21" t="s">
        <v>1430</v>
      </c>
      <c r="Z462" s="20" t="s">
        <v>1506</v>
      </c>
      <c r="AA462" s="14">
        <v>4.0</v>
      </c>
      <c r="AB462" s="14"/>
      <c r="AC462" s="14">
        <v>4.0</v>
      </c>
      <c r="AD462" s="14">
        <v>38989.0</v>
      </c>
      <c r="AE462" s="14"/>
      <c r="AF462" s="14">
        <v>38989.0</v>
      </c>
      <c r="AG462" s="22"/>
      <c r="AH462" s="22"/>
      <c r="AI462" s="22"/>
      <c r="AJ462" s="22"/>
      <c r="AK462" s="22"/>
      <c r="AL462" s="22"/>
      <c r="AM462" s="22"/>
      <c r="AN462" s="22"/>
      <c r="AO462" s="22"/>
      <c r="AP462" s="22"/>
    </row>
    <row r="463" hidden="1">
      <c r="A463" s="8">
        <v>46073.0</v>
      </c>
      <c r="B463" s="23">
        <v>0.3854166666666667</v>
      </c>
      <c r="C463" s="10" t="s">
        <v>32</v>
      </c>
      <c r="D463" s="10" t="s">
        <v>33</v>
      </c>
      <c r="E463" s="12" t="s">
        <v>179</v>
      </c>
      <c r="F463" s="12" t="s">
        <v>1427</v>
      </c>
      <c r="G463" s="12" t="s">
        <v>1507</v>
      </c>
      <c r="H463" s="12" t="s">
        <v>1469</v>
      </c>
      <c r="I463" s="57" t="s">
        <v>1508</v>
      </c>
      <c r="J463" s="14">
        <v>746.0</v>
      </c>
      <c r="K463" s="14">
        <v>530.0</v>
      </c>
      <c r="L463" s="15">
        <v>0.7105</v>
      </c>
      <c r="M463" s="16">
        <v>223.0</v>
      </c>
      <c r="N463" s="17">
        <v>0.4208</v>
      </c>
      <c r="O463" s="18">
        <v>0.0</v>
      </c>
      <c r="P463" s="18">
        <v>0.0</v>
      </c>
      <c r="Q463" s="19">
        <v>0.0</v>
      </c>
      <c r="R463" s="19">
        <v>0.0</v>
      </c>
      <c r="S463" s="20">
        <v>0.0</v>
      </c>
      <c r="T463" s="20">
        <v>0.0</v>
      </c>
      <c r="U463" s="20">
        <v>0.0</v>
      </c>
      <c r="V463" s="21" t="s">
        <v>315</v>
      </c>
      <c r="W463" s="18" t="s">
        <v>76</v>
      </c>
      <c r="X463" s="21" t="s">
        <v>111</v>
      </c>
      <c r="Y463" s="21" t="s">
        <v>1430</v>
      </c>
      <c r="Z463" s="20" t="s">
        <v>1509</v>
      </c>
      <c r="AA463" s="14">
        <v>0.0</v>
      </c>
      <c r="AB463" s="14"/>
      <c r="AC463" s="14">
        <v>0.0</v>
      </c>
      <c r="AD463" s="14">
        <v>0.0</v>
      </c>
      <c r="AE463" s="14"/>
      <c r="AF463" s="14">
        <v>0.0</v>
      </c>
      <c r="AG463" s="22"/>
      <c r="AH463" s="22"/>
      <c r="AI463" s="22"/>
      <c r="AJ463" s="22"/>
      <c r="AK463" s="22"/>
      <c r="AL463" s="22"/>
      <c r="AM463" s="22"/>
      <c r="AN463" s="22"/>
      <c r="AO463" s="22"/>
      <c r="AP463" s="22"/>
    </row>
    <row r="464" hidden="1">
      <c r="A464" s="8">
        <v>46073.0</v>
      </c>
      <c r="B464" s="23">
        <v>0.3888888888888889</v>
      </c>
      <c r="C464" s="10" t="s">
        <v>32</v>
      </c>
      <c r="D464" s="10" t="s">
        <v>33</v>
      </c>
      <c r="E464" s="12" t="s">
        <v>179</v>
      </c>
      <c r="F464" s="12" t="s">
        <v>1427</v>
      </c>
      <c r="G464" s="12" t="s">
        <v>1510</v>
      </c>
      <c r="H464" s="12" t="s">
        <v>1463</v>
      </c>
      <c r="I464" s="57" t="s">
        <v>1511</v>
      </c>
      <c r="J464" s="14">
        <v>3509.0</v>
      </c>
      <c r="K464" s="14">
        <v>2226.0</v>
      </c>
      <c r="L464" s="15">
        <v>0.6344</v>
      </c>
      <c r="M464" s="16">
        <v>649.0</v>
      </c>
      <c r="N464" s="17">
        <v>0.2916</v>
      </c>
      <c r="O464" s="18">
        <v>0.0</v>
      </c>
      <c r="P464" s="18">
        <v>0.0</v>
      </c>
      <c r="Q464" s="19">
        <v>0.0</v>
      </c>
      <c r="R464" s="19">
        <v>0.0</v>
      </c>
      <c r="S464" s="20">
        <v>0.0</v>
      </c>
      <c r="T464" s="20">
        <v>0.0</v>
      </c>
      <c r="U464" s="20">
        <v>0.0</v>
      </c>
      <c r="V464" s="21" t="s">
        <v>315</v>
      </c>
      <c r="W464" s="18" t="s">
        <v>76</v>
      </c>
      <c r="X464" s="21" t="s">
        <v>111</v>
      </c>
      <c r="Y464" s="21" t="s">
        <v>1430</v>
      </c>
      <c r="Z464" s="20" t="s">
        <v>1512</v>
      </c>
      <c r="AA464" s="14">
        <v>5.0</v>
      </c>
      <c r="AB464" s="14"/>
      <c r="AC464" s="14">
        <v>5.0</v>
      </c>
      <c r="AD464" s="14">
        <v>49888.0</v>
      </c>
      <c r="AE464" s="14"/>
      <c r="AF464" s="14">
        <v>49888.0</v>
      </c>
      <c r="AG464" s="22"/>
      <c r="AH464" s="22"/>
      <c r="AI464" s="22"/>
      <c r="AJ464" s="22"/>
      <c r="AK464" s="22"/>
      <c r="AL464" s="22"/>
      <c r="AM464" s="22"/>
      <c r="AN464" s="22"/>
      <c r="AO464" s="22"/>
      <c r="AP464" s="22"/>
    </row>
    <row r="465" hidden="1">
      <c r="A465" s="8">
        <v>46073.0</v>
      </c>
      <c r="B465" s="23">
        <v>0.3923611111111111</v>
      </c>
      <c r="C465" s="10" t="s">
        <v>32</v>
      </c>
      <c r="D465" s="10" t="s">
        <v>33</v>
      </c>
      <c r="E465" s="12" t="s">
        <v>179</v>
      </c>
      <c r="F465" s="12" t="s">
        <v>1427</v>
      </c>
      <c r="G465" s="12" t="s">
        <v>1513</v>
      </c>
      <c r="H465" s="12" t="s">
        <v>1460</v>
      </c>
      <c r="I465" s="57" t="s">
        <v>1514</v>
      </c>
      <c r="J465" s="14">
        <v>5760.0</v>
      </c>
      <c r="K465" s="14">
        <v>3750.0</v>
      </c>
      <c r="L465" s="15">
        <v>0.651</v>
      </c>
      <c r="M465" s="16">
        <v>1206.0</v>
      </c>
      <c r="N465" s="17">
        <v>0.3211</v>
      </c>
      <c r="O465" s="18">
        <v>0.0</v>
      </c>
      <c r="P465" s="18">
        <v>0.0</v>
      </c>
      <c r="Q465" s="19">
        <v>0.0</v>
      </c>
      <c r="R465" s="19">
        <v>0.0</v>
      </c>
      <c r="S465" s="20">
        <v>1.0</v>
      </c>
      <c r="T465" s="20">
        <v>1.0</v>
      </c>
      <c r="U465" s="20">
        <v>13946.0</v>
      </c>
      <c r="V465" s="21" t="s">
        <v>315</v>
      </c>
      <c r="W465" s="18" t="s">
        <v>76</v>
      </c>
      <c r="X465" s="21" t="s">
        <v>111</v>
      </c>
      <c r="Y465" s="21" t="s">
        <v>1430</v>
      </c>
      <c r="Z465" s="20" t="s">
        <v>1515</v>
      </c>
      <c r="AA465" s="14">
        <v>3.0</v>
      </c>
      <c r="AB465" s="14"/>
      <c r="AC465" s="14">
        <v>3.0</v>
      </c>
      <c r="AD465" s="14">
        <v>18095.0</v>
      </c>
      <c r="AE465" s="14"/>
      <c r="AF465" s="14">
        <v>18095.0</v>
      </c>
      <c r="AG465" s="22"/>
      <c r="AH465" s="22"/>
      <c r="AI465" s="22"/>
      <c r="AJ465" s="22"/>
      <c r="AK465" s="22"/>
      <c r="AL465" s="22"/>
      <c r="AM465" s="22"/>
      <c r="AN465" s="22"/>
      <c r="AO465" s="22"/>
      <c r="AP465" s="22"/>
    </row>
    <row r="466" hidden="1">
      <c r="A466" s="8">
        <v>46073.0</v>
      </c>
      <c r="B466" s="23">
        <v>0.3958333333333333</v>
      </c>
      <c r="C466" s="10" t="s">
        <v>32</v>
      </c>
      <c r="D466" s="10" t="s">
        <v>33</v>
      </c>
      <c r="E466" s="12" t="s">
        <v>179</v>
      </c>
      <c r="F466" s="12" t="s">
        <v>1427</v>
      </c>
      <c r="G466" s="12" t="s">
        <v>1516</v>
      </c>
      <c r="H466" s="12" t="s">
        <v>1454</v>
      </c>
      <c r="I466" s="57" t="s">
        <v>1517</v>
      </c>
      <c r="J466" s="14">
        <v>1840.0</v>
      </c>
      <c r="K466" s="14">
        <v>1180.0</v>
      </c>
      <c r="L466" s="15">
        <v>0.6413</v>
      </c>
      <c r="M466" s="16">
        <v>354.0</v>
      </c>
      <c r="N466" s="17">
        <v>0.3</v>
      </c>
      <c r="O466" s="18">
        <v>0.0</v>
      </c>
      <c r="P466" s="18">
        <v>0.0</v>
      </c>
      <c r="Q466" s="19">
        <v>0.0</v>
      </c>
      <c r="R466" s="19">
        <v>0.0</v>
      </c>
      <c r="S466" s="20">
        <v>0.0</v>
      </c>
      <c r="T466" s="20">
        <v>0.0</v>
      </c>
      <c r="U466" s="20">
        <v>0.0</v>
      </c>
      <c r="V466" s="21" t="s">
        <v>315</v>
      </c>
      <c r="W466" s="18" t="s">
        <v>76</v>
      </c>
      <c r="X466" s="21" t="s">
        <v>111</v>
      </c>
      <c r="Y466" s="21" t="s">
        <v>1430</v>
      </c>
      <c r="Z466" s="20" t="s">
        <v>1518</v>
      </c>
      <c r="AA466" s="14">
        <v>1.0</v>
      </c>
      <c r="AB466" s="14"/>
      <c r="AC466" s="14">
        <v>1.0</v>
      </c>
      <c r="AD466" s="14">
        <v>3499.0</v>
      </c>
      <c r="AE466" s="14"/>
      <c r="AF466" s="14">
        <v>3499.0</v>
      </c>
      <c r="AG466" s="22"/>
      <c r="AH466" s="22"/>
      <c r="AI466" s="22"/>
      <c r="AJ466" s="22"/>
      <c r="AK466" s="22"/>
      <c r="AL466" s="22"/>
      <c r="AM466" s="22"/>
      <c r="AN466" s="22"/>
      <c r="AO466" s="22"/>
      <c r="AP466" s="22"/>
    </row>
    <row r="467" hidden="1">
      <c r="A467" s="8">
        <v>46073.0</v>
      </c>
      <c r="B467" s="23">
        <v>0.3993055555555556</v>
      </c>
      <c r="C467" s="10" t="s">
        <v>32</v>
      </c>
      <c r="D467" s="10" t="s">
        <v>33</v>
      </c>
      <c r="E467" s="12" t="s">
        <v>179</v>
      </c>
      <c r="F467" s="12" t="s">
        <v>1427</v>
      </c>
      <c r="G467" s="12" t="s">
        <v>1519</v>
      </c>
      <c r="H467" s="12" t="s">
        <v>1466</v>
      </c>
      <c r="I467" s="57" t="s">
        <v>1520</v>
      </c>
      <c r="J467" s="14">
        <v>1412.0</v>
      </c>
      <c r="K467" s="14">
        <v>922.0</v>
      </c>
      <c r="L467" s="15">
        <v>0.653</v>
      </c>
      <c r="M467" s="16">
        <v>299.0</v>
      </c>
      <c r="N467" s="17">
        <v>0.3221</v>
      </c>
      <c r="O467" s="18">
        <v>0.0</v>
      </c>
      <c r="P467" s="18">
        <v>0.0</v>
      </c>
      <c r="Q467" s="19">
        <v>0.0</v>
      </c>
      <c r="R467" s="19">
        <v>0.0</v>
      </c>
      <c r="S467" s="20">
        <v>0.0</v>
      </c>
      <c r="T467" s="20">
        <v>0.0</v>
      </c>
      <c r="U467" s="20">
        <v>0.0</v>
      </c>
      <c r="V467" s="21" t="s">
        <v>315</v>
      </c>
      <c r="W467" s="18" t="s">
        <v>76</v>
      </c>
      <c r="X467" s="21" t="s">
        <v>111</v>
      </c>
      <c r="Y467" s="21" t="s">
        <v>1430</v>
      </c>
      <c r="Z467" s="20" t="s">
        <v>1521</v>
      </c>
      <c r="AA467" s="14">
        <v>1.0</v>
      </c>
      <c r="AB467" s="14"/>
      <c r="AC467" s="14">
        <v>1.0</v>
      </c>
      <c r="AD467" s="14">
        <v>13497.0</v>
      </c>
      <c r="AE467" s="14"/>
      <c r="AF467" s="14">
        <v>13497.0</v>
      </c>
      <c r="AG467" s="22"/>
      <c r="AH467" s="22"/>
      <c r="AI467" s="22"/>
      <c r="AJ467" s="22"/>
      <c r="AK467" s="22"/>
      <c r="AL467" s="22"/>
      <c r="AM467" s="22"/>
      <c r="AN467" s="22"/>
      <c r="AO467" s="22"/>
      <c r="AP467" s="22"/>
    </row>
    <row r="468" hidden="1">
      <c r="A468" s="8">
        <v>46073.0</v>
      </c>
      <c r="B468" s="23">
        <v>0.3541666666666667</v>
      </c>
      <c r="C468" s="10" t="s">
        <v>32</v>
      </c>
      <c r="D468" s="10" t="s">
        <v>33</v>
      </c>
      <c r="E468" s="12" t="s">
        <v>179</v>
      </c>
      <c r="F468" s="12" t="s">
        <v>1427</v>
      </c>
      <c r="G468" s="12" t="s">
        <v>1522</v>
      </c>
      <c r="H468" s="12" t="s">
        <v>1475</v>
      </c>
      <c r="I468" s="57" t="s">
        <v>1523</v>
      </c>
      <c r="J468" s="14">
        <v>36812.0</v>
      </c>
      <c r="K468" s="14">
        <v>19803.0</v>
      </c>
      <c r="L468" s="15">
        <v>0.5379</v>
      </c>
      <c r="M468" s="16">
        <v>4992.0</v>
      </c>
      <c r="N468" s="17">
        <v>0.2521</v>
      </c>
      <c r="O468" s="18">
        <v>124.0</v>
      </c>
      <c r="P468" s="18">
        <v>116.0</v>
      </c>
      <c r="Q468" s="19">
        <v>0.0059</v>
      </c>
      <c r="R468" s="19">
        <v>0.0232</v>
      </c>
      <c r="S468" s="20">
        <v>3.0</v>
      </c>
      <c r="T468" s="20">
        <v>6.0</v>
      </c>
      <c r="U468" s="20">
        <v>51574.0</v>
      </c>
      <c r="V468" s="21" t="s">
        <v>315</v>
      </c>
      <c r="W468" s="18" t="s">
        <v>40</v>
      </c>
      <c r="X468" s="21" t="s">
        <v>111</v>
      </c>
      <c r="Y468" s="21" t="s">
        <v>1430</v>
      </c>
      <c r="Z468" s="20" t="s">
        <v>1524</v>
      </c>
      <c r="AA468" s="14">
        <v>47.0</v>
      </c>
      <c r="AB468" s="14"/>
      <c r="AC468" s="14">
        <v>47.0</v>
      </c>
      <c r="AD468" s="14">
        <v>733395.0</v>
      </c>
      <c r="AE468" s="14"/>
      <c r="AF468" s="14">
        <v>733395.0</v>
      </c>
      <c r="AG468" s="22"/>
      <c r="AH468" s="22"/>
      <c r="AI468" s="22"/>
      <c r="AJ468" s="22"/>
      <c r="AK468" s="22"/>
      <c r="AL468" s="22"/>
      <c r="AM468" s="22"/>
      <c r="AN468" s="22"/>
      <c r="AO468" s="22"/>
      <c r="AP468" s="22"/>
    </row>
    <row r="469" hidden="1">
      <c r="A469" s="8">
        <v>46075.0</v>
      </c>
      <c r="B469" s="23">
        <v>0.5</v>
      </c>
      <c r="C469" s="10" t="s">
        <v>58</v>
      </c>
      <c r="D469" s="10" t="s">
        <v>33</v>
      </c>
      <c r="E469" s="12" t="s">
        <v>71</v>
      </c>
      <c r="F469" s="12" t="s">
        <v>881</v>
      </c>
      <c r="G469" s="12" t="s">
        <v>1525</v>
      </c>
      <c r="H469" s="12" t="s">
        <v>1403</v>
      </c>
      <c r="I469" s="57" t="s">
        <v>1404</v>
      </c>
      <c r="J469" s="14">
        <v>5212.0</v>
      </c>
      <c r="K469" s="14">
        <v>3085.0</v>
      </c>
      <c r="L469" s="15">
        <v>0.5919</v>
      </c>
      <c r="M469" s="16"/>
      <c r="N469" s="17"/>
      <c r="O469" s="18">
        <v>0.0</v>
      </c>
      <c r="P469" s="18"/>
      <c r="Q469" s="19">
        <v>0.0</v>
      </c>
      <c r="R469" s="19"/>
      <c r="S469" s="20">
        <v>0.0</v>
      </c>
      <c r="T469" s="20">
        <v>0.0</v>
      </c>
      <c r="U469" s="20">
        <v>0.0</v>
      </c>
      <c r="V469" s="21" t="s">
        <v>335</v>
      </c>
      <c r="W469" s="18" t="s">
        <v>62</v>
      </c>
      <c r="X469" s="21" t="s">
        <v>52</v>
      </c>
      <c r="Y469" s="21" t="s">
        <v>1526</v>
      </c>
      <c r="Z469" s="20" t="s">
        <v>1527</v>
      </c>
      <c r="AA469" s="14">
        <v>0.0</v>
      </c>
      <c r="AB469" s="14">
        <v>0.0</v>
      </c>
      <c r="AC469" s="14"/>
      <c r="AD469" s="14">
        <v>0.0</v>
      </c>
      <c r="AE469" s="14">
        <v>0.0</v>
      </c>
      <c r="AF469" s="14"/>
      <c r="AG469" s="22"/>
      <c r="AH469" s="22"/>
      <c r="AI469" s="22"/>
      <c r="AJ469" s="22"/>
      <c r="AK469" s="22"/>
      <c r="AL469" s="22"/>
      <c r="AM469" s="22"/>
      <c r="AN469" s="22"/>
      <c r="AO469" s="22"/>
      <c r="AP469" s="22"/>
    </row>
    <row r="470" hidden="1">
      <c r="A470" s="8">
        <v>46075.0</v>
      </c>
      <c r="B470" s="23">
        <v>0.5</v>
      </c>
      <c r="C470" s="10" t="s">
        <v>58</v>
      </c>
      <c r="D470" s="10" t="s">
        <v>33</v>
      </c>
      <c r="E470" s="12" t="s">
        <v>71</v>
      </c>
      <c r="F470" s="12" t="s">
        <v>881</v>
      </c>
      <c r="G470" s="12" t="s">
        <v>1528</v>
      </c>
      <c r="H470" s="12" t="s">
        <v>1529</v>
      </c>
      <c r="I470" s="57" t="s">
        <v>1409</v>
      </c>
      <c r="J470" s="14">
        <v>18273.0</v>
      </c>
      <c r="K470" s="14">
        <v>10256.0</v>
      </c>
      <c r="L470" s="15">
        <v>0.5613</v>
      </c>
      <c r="M470" s="16"/>
      <c r="N470" s="17"/>
      <c r="O470" s="18">
        <v>7.0</v>
      </c>
      <c r="P470" s="18"/>
      <c r="Q470" s="19">
        <v>7.0E-4</v>
      </c>
      <c r="R470" s="19"/>
      <c r="S470" s="20">
        <v>0.0</v>
      </c>
      <c r="T470" s="20">
        <v>0.0</v>
      </c>
      <c r="U470" s="20">
        <v>0.0</v>
      </c>
      <c r="V470" s="21" t="s">
        <v>335</v>
      </c>
      <c r="W470" s="18" t="s">
        <v>62</v>
      </c>
      <c r="X470" s="21" t="s">
        <v>165</v>
      </c>
      <c r="Y470" s="21" t="s">
        <v>1526</v>
      </c>
      <c r="Z470" s="90" t="s">
        <v>1530</v>
      </c>
      <c r="AA470" s="14">
        <v>3.0</v>
      </c>
      <c r="AB470" s="14">
        <v>3.0</v>
      </c>
      <c r="AC470" s="14"/>
      <c r="AD470" s="14">
        <v>8390.0</v>
      </c>
      <c r="AE470" s="14">
        <v>8390.0</v>
      </c>
      <c r="AF470" s="14"/>
      <c r="AG470" s="22"/>
      <c r="AH470" s="22"/>
      <c r="AI470" s="22"/>
      <c r="AJ470" s="22"/>
      <c r="AK470" s="22"/>
      <c r="AL470" s="22"/>
      <c r="AM470" s="22"/>
      <c r="AN470" s="22"/>
      <c r="AO470" s="22"/>
      <c r="AP470" s="22"/>
    </row>
    <row r="471" hidden="1">
      <c r="A471" s="8">
        <v>46075.0</v>
      </c>
      <c r="B471" s="23">
        <v>0.5</v>
      </c>
      <c r="C471" s="10" t="s">
        <v>58</v>
      </c>
      <c r="D471" s="10" t="s">
        <v>33</v>
      </c>
      <c r="E471" s="12" t="s">
        <v>71</v>
      </c>
      <c r="F471" s="12" t="s">
        <v>881</v>
      </c>
      <c r="G471" s="12" t="s">
        <v>1531</v>
      </c>
      <c r="H471" s="12" t="s">
        <v>1422</v>
      </c>
      <c r="I471" s="57" t="s">
        <v>1423</v>
      </c>
      <c r="J471" s="14">
        <v>87981.0</v>
      </c>
      <c r="K471" s="14">
        <v>55451.0</v>
      </c>
      <c r="L471" s="15">
        <v>0.6303</v>
      </c>
      <c r="M471" s="16"/>
      <c r="N471" s="17"/>
      <c r="O471" s="18">
        <v>14.0</v>
      </c>
      <c r="P471" s="18"/>
      <c r="Q471" s="19">
        <v>3.0E-4</v>
      </c>
      <c r="R471" s="19"/>
      <c r="S471" s="20">
        <v>0.0</v>
      </c>
      <c r="T471" s="20">
        <v>0.0</v>
      </c>
      <c r="U471" s="20">
        <v>0.0</v>
      </c>
      <c r="V471" s="21" t="s">
        <v>335</v>
      </c>
      <c r="W471" s="18" t="s">
        <v>62</v>
      </c>
      <c r="X471" s="21" t="s">
        <v>69</v>
      </c>
      <c r="Y471" s="21" t="s">
        <v>1526</v>
      </c>
      <c r="Z471" s="90" t="s">
        <v>1532</v>
      </c>
      <c r="AA471" s="14">
        <v>1.0</v>
      </c>
      <c r="AB471" s="14">
        <v>1.0</v>
      </c>
      <c r="AC471" s="14"/>
      <c r="AD471" s="14">
        <v>3597.0</v>
      </c>
      <c r="AE471" s="14">
        <v>3597.0</v>
      </c>
      <c r="AF471" s="14"/>
      <c r="AG471" s="22"/>
      <c r="AH471" s="22"/>
      <c r="AI471" s="22"/>
      <c r="AJ471" s="22"/>
      <c r="AK471" s="22"/>
      <c r="AL471" s="22"/>
      <c r="AM471" s="22"/>
      <c r="AN471" s="22"/>
      <c r="AO471" s="22"/>
      <c r="AP471" s="22"/>
    </row>
    <row r="472" hidden="1">
      <c r="A472" s="8">
        <v>46075.0</v>
      </c>
      <c r="B472" s="23">
        <v>0.5</v>
      </c>
      <c r="C472" s="10" t="s">
        <v>58</v>
      </c>
      <c r="D472" s="10" t="s">
        <v>33</v>
      </c>
      <c r="E472" s="12" t="s">
        <v>71</v>
      </c>
      <c r="F472" s="12" t="s">
        <v>881</v>
      </c>
      <c r="G472" s="12" t="s">
        <v>1533</v>
      </c>
      <c r="H472" s="12" t="s">
        <v>1534</v>
      </c>
      <c r="I472" s="57" t="s">
        <v>1417</v>
      </c>
      <c r="J472" s="14">
        <v>130556.0</v>
      </c>
      <c r="K472" s="14">
        <v>77670.0</v>
      </c>
      <c r="L472" s="15">
        <v>0.5949</v>
      </c>
      <c r="M472" s="16"/>
      <c r="N472" s="17"/>
      <c r="O472" s="18">
        <v>79.0</v>
      </c>
      <c r="P472" s="18"/>
      <c r="Q472" s="19">
        <v>0.001</v>
      </c>
      <c r="R472" s="19"/>
      <c r="S472" s="20">
        <v>0.0</v>
      </c>
      <c r="T472" s="20">
        <v>10.0</v>
      </c>
      <c r="U472" s="20">
        <v>0.0</v>
      </c>
      <c r="V472" s="21" t="s">
        <v>335</v>
      </c>
      <c r="W472" s="18" t="s">
        <v>62</v>
      </c>
      <c r="X472" s="21" t="s">
        <v>184</v>
      </c>
      <c r="Y472" s="21" t="s">
        <v>1526</v>
      </c>
      <c r="Z472" s="90" t="s">
        <v>1535</v>
      </c>
      <c r="AA472" s="14">
        <v>13.0</v>
      </c>
      <c r="AB472" s="14">
        <v>13.0</v>
      </c>
      <c r="AC472" s="14"/>
      <c r="AD472" s="14">
        <v>30069.0</v>
      </c>
      <c r="AE472" s="14">
        <v>30069.0</v>
      </c>
      <c r="AF472" s="14"/>
      <c r="AG472" s="22"/>
      <c r="AH472" s="22"/>
      <c r="AI472" s="22"/>
      <c r="AJ472" s="22"/>
      <c r="AK472" s="22"/>
      <c r="AL472" s="22"/>
      <c r="AM472" s="22"/>
      <c r="AN472" s="22"/>
      <c r="AO472" s="22"/>
      <c r="AP472" s="22"/>
    </row>
    <row r="473" hidden="1">
      <c r="A473" s="8">
        <v>46077.0</v>
      </c>
      <c r="B473" s="23">
        <v>0.7083333333333334</v>
      </c>
      <c r="C473" s="10" t="s">
        <v>32</v>
      </c>
      <c r="D473" s="10" t="s">
        <v>33</v>
      </c>
      <c r="E473" s="12" t="s">
        <v>71</v>
      </c>
      <c r="F473" s="12" t="s">
        <v>1536</v>
      </c>
      <c r="G473" s="12" t="s">
        <v>1537</v>
      </c>
      <c r="H473" s="12" t="s">
        <v>1538</v>
      </c>
      <c r="I473" s="57" t="s">
        <v>1539</v>
      </c>
      <c r="J473" s="14">
        <v>13954.0</v>
      </c>
      <c r="K473" s="14">
        <v>4351.0</v>
      </c>
      <c r="L473" s="15">
        <v>0.3118</v>
      </c>
      <c r="M473" s="16">
        <v>1719.0</v>
      </c>
      <c r="N473" s="17">
        <v>0.3948</v>
      </c>
      <c r="O473" s="18">
        <v>135.0</v>
      </c>
      <c r="P473" s="18">
        <v>122.0</v>
      </c>
      <c r="Q473" s="19">
        <v>0.0281</v>
      </c>
      <c r="R473" s="19">
        <v>0.0711</v>
      </c>
      <c r="S473" s="20">
        <v>0.0</v>
      </c>
      <c r="T473" s="20">
        <v>3.0</v>
      </c>
      <c r="U473" s="20">
        <v>0.0</v>
      </c>
      <c r="V473" s="21" t="s">
        <v>335</v>
      </c>
      <c r="W473" s="18" t="s">
        <v>76</v>
      </c>
      <c r="X473" s="21" t="s">
        <v>1540</v>
      </c>
      <c r="Y473" s="21" t="s">
        <v>1541</v>
      </c>
      <c r="Z473" s="20" t="s">
        <v>1542</v>
      </c>
      <c r="AA473" s="14">
        <v>10.0</v>
      </c>
      <c r="AB473" s="14">
        <v>10.0</v>
      </c>
      <c r="AC473" s="14"/>
      <c r="AD473" s="14">
        <v>13106.0</v>
      </c>
      <c r="AE473" s="14">
        <v>13106.0</v>
      </c>
      <c r="AF473" s="14"/>
      <c r="AG473" s="22"/>
      <c r="AH473" s="22"/>
      <c r="AI473" s="22"/>
      <c r="AJ473" s="22"/>
      <c r="AK473" s="22"/>
      <c r="AL473" s="22"/>
      <c r="AM473" s="22"/>
      <c r="AN473" s="22"/>
      <c r="AO473" s="22"/>
      <c r="AP473" s="22"/>
    </row>
    <row r="474" hidden="1">
      <c r="A474" s="8">
        <v>46077.0</v>
      </c>
      <c r="B474" s="23">
        <v>0.7083333333333334</v>
      </c>
      <c r="C474" s="10" t="s">
        <v>32</v>
      </c>
      <c r="D474" s="10" t="s">
        <v>33</v>
      </c>
      <c r="E474" s="12" t="s">
        <v>71</v>
      </c>
      <c r="F474" s="12" t="s">
        <v>1536</v>
      </c>
      <c r="G474" s="12" t="s">
        <v>1543</v>
      </c>
      <c r="H474" s="12" t="s">
        <v>1544</v>
      </c>
      <c r="I474" s="57" t="s">
        <v>1545</v>
      </c>
      <c r="J474" s="14">
        <v>2370.0</v>
      </c>
      <c r="K474" s="14">
        <v>513.0</v>
      </c>
      <c r="L474" s="15">
        <v>0.2165</v>
      </c>
      <c r="M474" s="16">
        <v>211.0</v>
      </c>
      <c r="N474" s="17">
        <v>0.4074</v>
      </c>
      <c r="O474" s="18">
        <v>28.0</v>
      </c>
      <c r="P474" s="18">
        <v>26.0</v>
      </c>
      <c r="Q474" s="19">
        <v>0.0507</v>
      </c>
      <c r="R474" s="19">
        <v>0.1244</v>
      </c>
      <c r="S474" s="20">
        <v>1.0</v>
      </c>
      <c r="T474" s="20">
        <v>2.0</v>
      </c>
      <c r="U474" s="20">
        <v>1097.0</v>
      </c>
      <c r="V474" s="21" t="s">
        <v>335</v>
      </c>
      <c r="W474" s="18" t="s">
        <v>76</v>
      </c>
      <c r="X474" s="92" t="s">
        <v>82</v>
      </c>
      <c r="Y474" s="21" t="s">
        <v>1541</v>
      </c>
      <c r="Z474" s="20" t="s">
        <v>1546</v>
      </c>
      <c r="AA474" s="14">
        <v>6.0</v>
      </c>
      <c r="AB474" s="14">
        <v>6.0</v>
      </c>
      <c r="AC474" s="14"/>
      <c r="AD474" s="14">
        <v>14228.0</v>
      </c>
      <c r="AE474" s="14">
        <v>14228.0</v>
      </c>
      <c r="AF474" s="14"/>
      <c r="AG474" s="22"/>
      <c r="AH474" s="22"/>
      <c r="AI474" s="22"/>
      <c r="AJ474" s="22"/>
      <c r="AK474" s="22"/>
      <c r="AL474" s="22"/>
      <c r="AM474" s="22"/>
      <c r="AN474" s="22"/>
      <c r="AO474" s="22"/>
      <c r="AP474" s="22"/>
    </row>
    <row r="475" hidden="1">
      <c r="A475" s="8">
        <v>46077.0</v>
      </c>
      <c r="B475" s="23">
        <v>0.7083333333333334</v>
      </c>
      <c r="C475" s="10" t="s">
        <v>32</v>
      </c>
      <c r="D475" s="10" t="s">
        <v>33</v>
      </c>
      <c r="E475" s="12" t="s">
        <v>71</v>
      </c>
      <c r="F475" s="12" t="s">
        <v>1536</v>
      </c>
      <c r="G475" s="12" t="s">
        <v>1547</v>
      </c>
      <c r="H475" s="12" t="s">
        <v>1548</v>
      </c>
      <c r="I475" s="57" t="s">
        <v>1549</v>
      </c>
      <c r="J475" s="14">
        <v>15646.0</v>
      </c>
      <c r="K475" s="14">
        <v>4099.0</v>
      </c>
      <c r="L475" s="15">
        <v>0.262</v>
      </c>
      <c r="M475" s="16">
        <v>1921.0</v>
      </c>
      <c r="N475" s="17">
        <v>0.4679</v>
      </c>
      <c r="O475" s="18">
        <v>180.0</v>
      </c>
      <c r="P475" s="18">
        <v>166.0</v>
      </c>
      <c r="Q475" s="19">
        <v>0.0405</v>
      </c>
      <c r="R475" s="19">
        <v>0.0865</v>
      </c>
      <c r="S475" s="20">
        <v>8.0</v>
      </c>
      <c r="T475" s="20">
        <v>15.0</v>
      </c>
      <c r="U475" s="20">
        <v>33126.0</v>
      </c>
      <c r="V475" s="21" t="s">
        <v>335</v>
      </c>
      <c r="W475" s="18" t="s">
        <v>76</v>
      </c>
      <c r="X475" s="92" t="s">
        <v>47</v>
      </c>
      <c r="Y475" s="21" t="s">
        <v>1541</v>
      </c>
      <c r="Z475" s="20" t="s">
        <v>1550</v>
      </c>
      <c r="AA475" s="14">
        <v>33.0</v>
      </c>
      <c r="AB475" s="14">
        <v>33.0</v>
      </c>
      <c r="AC475" s="14"/>
      <c r="AD475" s="14">
        <v>76910.0</v>
      </c>
      <c r="AE475" s="14">
        <v>76910.0</v>
      </c>
      <c r="AF475" s="14"/>
      <c r="AG475" s="22"/>
      <c r="AH475" s="22"/>
      <c r="AI475" s="22"/>
      <c r="AJ475" s="22"/>
      <c r="AK475" s="22"/>
      <c r="AL475" s="22"/>
      <c r="AM475" s="22"/>
      <c r="AN475" s="22"/>
      <c r="AO475" s="22"/>
      <c r="AP475" s="22"/>
    </row>
    <row r="476" hidden="1">
      <c r="A476" s="8">
        <v>46077.0</v>
      </c>
      <c r="B476" s="23">
        <v>0.7916666666666666</v>
      </c>
      <c r="C476" s="10" t="s">
        <v>58</v>
      </c>
      <c r="D476" s="10" t="s">
        <v>59</v>
      </c>
      <c r="E476" s="12" t="s">
        <v>71</v>
      </c>
      <c r="F476" s="12" t="s">
        <v>1536</v>
      </c>
      <c r="G476" s="12" t="s">
        <v>1551</v>
      </c>
      <c r="H476" s="93" t="s">
        <v>1538</v>
      </c>
      <c r="I476" s="57" t="s">
        <v>61</v>
      </c>
      <c r="J476" s="14">
        <v>9242.0</v>
      </c>
      <c r="K476" s="14">
        <v>6122.0</v>
      </c>
      <c r="L476" s="15">
        <v>0.6624</v>
      </c>
      <c r="M476" s="16"/>
      <c r="N476" s="17"/>
      <c r="O476" s="18">
        <v>16.0</v>
      </c>
      <c r="P476" s="18"/>
      <c r="Q476" s="19">
        <v>0.0026</v>
      </c>
      <c r="R476" s="19"/>
      <c r="S476" s="20">
        <v>1.0</v>
      </c>
      <c r="T476" s="20">
        <v>4.0</v>
      </c>
      <c r="U476" s="20">
        <v>1037.0</v>
      </c>
      <c r="V476" s="21" t="s">
        <v>335</v>
      </c>
      <c r="W476" s="18" t="s">
        <v>62</v>
      </c>
      <c r="X476" s="21" t="s">
        <v>1540</v>
      </c>
      <c r="Y476" s="21" t="s">
        <v>1552</v>
      </c>
      <c r="Z476" s="20" t="s">
        <v>1553</v>
      </c>
      <c r="AA476" s="14">
        <v>1.0</v>
      </c>
      <c r="AB476" s="14">
        <v>1.0</v>
      </c>
      <c r="AC476" s="14"/>
      <c r="AD476" s="14">
        <v>1048.0</v>
      </c>
      <c r="AE476" s="14">
        <v>1048.0</v>
      </c>
      <c r="AF476" s="14"/>
      <c r="AG476" s="22"/>
      <c r="AH476" s="22"/>
      <c r="AI476" s="22"/>
      <c r="AJ476" s="22"/>
      <c r="AK476" s="22"/>
      <c r="AL476" s="22"/>
      <c r="AM476" s="22"/>
      <c r="AN476" s="22"/>
      <c r="AO476" s="22"/>
      <c r="AP476" s="22"/>
    </row>
    <row r="477" hidden="1">
      <c r="A477" s="8">
        <v>46077.0</v>
      </c>
      <c r="B477" s="23">
        <v>0.7916666666666666</v>
      </c>
      <c r="C477" s="10" t="s">
        <v>58</v>
      </c>
      <c r="D477" s="10" t="s">
        <v>59</v>
      </c>
      <c r="E477" s="12" t="s">
        <v>71</v>
      </c>
      <c r="F477" s="12" t="s">
        <v>1536</v>
      </c>
      <c r="G477" s="12" t="s">
        <v>1554</v>
      </c>
      <c r="H477" s="12" t="s">
        <v>1555</v>
      </c>
      <c r="I477" s="57" t="s">
        <v>454</v>
      </c>
      <c r="J477" s="14">
        <v>24623.0</v>
      </c>
      <c r="K477" s="14">
        <v>13059.0</v>
      </c>
      <c r="L477" s="15">
        <v>0.5304</v>
      </c>
      <c r="M477" s="16"/>
      <c r="N477" s="17"/>
      <c r="O477" s="18">
        <v>25.0</v>
      </c>
      <c r="P477" s="18"/>
      <c r="Q477" s="19">
        <v>0.0019</v>
      </c>
      <c r="R477" s="19"/>
      <c r="S477" s="12"/>
      <c r="T477" s="20">
        <v>5.0</v>
      </c>
      <c r="U477" s="20">
        <v>5478.0</v>
      </c>
      <c r="V477" s="21" t="s">
        <v>335</v>
      </c>
      <c r="W477" s="18" t="s">
        <v>62</v>
      </c>
      <c r="X477" s="21"/>
      <c r="Y477" s="21" t="s">
        <v>1552</v>
      </c>
      <c r="Z477" s="20" t="s">
        <v>1556</v>
      </c>
      <c r="AA477" s="14">
        <v>11.0</v>
      </c>
      <c r="AB477" s="14">
        <v>11.0</v>
      </c>
      <c r="AC477" s="14"/>
      <c r="AD477" s="14">
        <v>25194.0</v>
      </c>
      <c r="AE477" s="14">
        <v>25194.0</v>
      </c>
      <c r="AF477" s="14"/>
      <c r="AG477" s="22"/>
      <c r="AH477" s="22"/>
      <c r="AI477" s="22"/>
      <c r="AJ477" s="22"/>
      <c r="AK477" s="22"/>
      <c r="AL477" s="22"/>
      <c r="AM477" s="22"/>
      <c r="AN477" s="22"/>
      <c r="AO477" s="22"/>
      <c r="AP477" s="22"/>
    </row>
    <row r="478" hidden="1">
      <c r="A478" s="8">
        <v>46077.0</v>
      </c>
      <c r="B478" s="23">
        <v>0.7916666666666666</v>
      </c>
      <c r="C478" s="10" t="s">
        <v>58</v>
      </c>
      <c r="D478" s="10" t="s">
        <v>59</v>
      </c>
      <c r="E478" s="12" t="s">
        <v>71</v>
      </c>
      <c r="F478" s="12" t="s">
        <v>1536</v>
      </c>
      <c r="G478" s="12" t="s">
        <v>1557</v>
      </c>
      <c r="H478" s="93" t="s">
        <v>1544</v>
      </c>
      <c r="I478" s="57" t="s">
        <v>61</v>
      </c>
      <c r="J478" s="14">
        <v>1811.0</v>
      </c>
      <c r="K478" s="14">
        <v>846.0</v>
      </c>
      <c r="L478" s="15">
        <v>0.4671</v>
      </c>
      <c r="M478" s="16"/>
      <c r="N478" s="17"/>
      <c r="O478" s="18">
        <v>4.0</v>
      </c>
      <c r="P478" s="18"/>
      <c r="Q478" s="19">
        <v>0.0047</v>
      </c>
      <c r="R478" s="19"/>
      <c r="S478" s="20">
        <v>0.0</v>
      </c>
      <c r="T478" s="20">
        <v>0.0</v>
      </c>
      <c r="U478" s="20">
        <v>0.0</v>
      </c>
      <c r="V478" s="21" t="s">
        <v>335</v>
      </c>
      <c r="W478" s="18" t="s">
        <v>62</v>
      </c>
      <c r="X478" s="92" t="s">
        <v>82</v>
      </c>
      <c r="Y478" s="21" t="s">
        <v>1552</v>
      </c>
      <c r="Z478" s="20" t="s">
        <v>1558</v>
      </c>
      <c r="AA478" s="14">
        <v>1.0</v>
      </c>
      <c r="AB478" s="14">
        <v>1.0</v>
      </c>
      <c r="AC478" s="14"/>
      <c r="AD478" s="14">
        <v>998.0</v>
      </c>
      <c r="AE478" s="14">
        <v>998.0</v>
      </c>
      <c r="AF478" s="14"/>
      <c r="AG478" s="22"/>
      <c r="AH478" s="22"/>
      <c r="AI478" s="22"/>
      <c r="AJ478" s="22"/>
      <c r="AK478" s="22"/>
      <c r="AL478" s="22"/>
      <c r="AM478" s="22"/>
      <c r="AN478" s="22"/>
      <c r="AO478" s="22"/>
      <c r="AP478" s="22"/>
    </row>
    <row r="479" hidden="1">
      <c r="A479" s="8">
        <v>46077.0</v>
      </c>
      <c r="B479" s="23">
        <v>0.7916666666666666</v>
      </c>
      <c r="C479" s="10" t="s">
        <v>58</v>
      </c>
      <c r="D479" s="10" t="s">
        <v>59</v>
      </c>
      <c r="E479" s="12" t="s">
        <v>71</v>
      </c>
      <c r="F479" s="12" t="s">
        <v>1536</v>
      </c>
      <c r="G479" s="12" t="s">
        <v>1559</v>
      </c>
      <c r="H479" s="12" t="s">
        <v>1560</v>
      </c>
      <c r="I479" s="57" t="s">
        <v>454</v>
      </c>
      <c r="J479" s="14">
        <v>1639.0</v>
      </c>
      <c r="K479" s="14">
        <v>1013.0</v>
      </c>
      <c r="L479" s="15">
        <v>0.6181</v>
      </c>
      <c r="M479" s="16"/>
      <c r="N479" s="17"/>
      <c r="O479" s="18">
        <v>6.0</v>
      </c>
      <c r="P479" s="18"/>
      <c r="Q479" s="19">
        <v>0.0059</v>
      </c>
      <c r="R479" s="19"/>
      <c r="S479" s="20">
        <v>0.0</v>
      </c>
      <c r="T479" s="20">
        <v>0.0</v>
      </c>
      <c r="U479" s="20">
        <v>0.0</v>
      </c>
      <c r="V479" s="21" t="s">
        <v>335</v>
      </c>
      <c r="W479" s="18" t="s">
        <v>62</v>
      </c>
      <c r="X479" s="94" t="s">
        <v>1561</v>
      </c>
      <c r="Y479" s="21" t="s">
        <v>1552</v>
      </c>
      <c r="Z479" s="20" t="s">
        <v>1562</v>
      </c>
      <c r="AA479" s="14">
        <v>0.0</v>
      </c>
      <c r="AB479" s="14">
        <v>0.0</v>
      </c>
      <c r="AC479" s="14"/>
      <c r="AD479" s="14">
        <v>0.0</v>
      </c>
      <c r="AE479" s="14">
        <v>0.0</v>
      </c>
      <c r="AF479" s="14"/>
      <c r="AG479" s="22"/>
      <c r="AH479" s="22"/>
      <c r="AI479" s="22"/>
      <c r="AJ479" s="22"/>
      <c r="AK479" s="22"/>
      <c r="AL479" s="22"/>
      <c r="AM479" s="22"/>
      <c r="AN479" s="22"/>
      <c r="AO479" s="22"/>
      <c r="AP479" s="22"/>
    </row>
    <row r="480" hidden="1">
      <c r="A480" s="8">
        <v>46077.0</v>
      </c>
      <c r="B480" s="23">
        <v>0.7916666666666666</v>
      </c>
      <c r="C480" s="10" t="s">
        <v>58</v>
      </c>
      <c r="D480" s="10" t="s">
        <v>59</v>
      </c>
      <c r="E480" s="12" t="s">
        <v>71</v>
      </c>
      <c r="F480" s="12" t="s">
        <v>1536</v>
      </c>
      <c r="G480" s="12" t="s">
        <v>1563</v>
      </c>
      <c r="H480" s="12" t="s">
        <v>1548</v>
      </c>
      <c r="I480" s="57" t="s">
        <v>61</v>
      </c>
      <c r="J480" s="14">
        <v>11418.0</v>
      </c>
      <c r="K480" s="14">
        <v>5856.0</v>
      </c>
      <c r="L480" s="15">
        <v>0.5129</v>
      </c>
      <c r="M480" s="16"/>
      <c r="N480" s="17"/>
      <c r="O480" s="18">
        <v>20.0</v>
      </c>
      <c r="P480" s="18"/>
      <c r="Q480" s="19">
        <v>0.0034</v>
      </c>
      <c r="R480" s="19"/>
      <c r="S480" s="20">
        <v>2.0</v>
      </c>
      <c r="T480" s="20">
        <v>9.0</v>
      </c>
      <c r="U480" s="20">
        <v>11887.0</v>
      </c>
      <c r="V480" s="21" t="s">
        <v>335</v>
      </c>
      <c r="W480" s="18" t="s">
        <v>62</v>
      </c>
      <c r="X480" s="92" t="s">
        <v>47</v>
      </c>
      <c r="Y480" s="21" t="s">
        <v>1552</v>
      </c>
      <c r="Z480" s="20" t="s">
        <v>1564</v>
      </c>
      <c r="AA480" s="14">
        <v>9.0</v>
      </c>
      <c r="AB480" s="14">
        <v>9.0</v>
      </c>
      <c r="AC480" s="14"/>
      <c r="AD480" s="14">
        <v>26711.0</v>
      </c>
      <c r="AE480" s="14">
        <v>26711.0</v>
      </c>
      <c r="AF480" s="14"/>
      <c r="AG480" s="22"/>
      <c r="AH480" s="22"/>
      <c r="AI480" s="22"/>
      <c r="AJ480" s="22"/>
      <c r="AK480" s="22"/>
      <c r="AL480" s="22"/>
      <c r="AM480" s="22"/>
      <c r="AN480" s="22"/>
      <c r="AO480" s="22"/>
      <c r="AP480" s="22"/>
    </row>
    <row r="481" hidden="1">
      <c r="A481" s="8">
        <v>46077.0</v>
      </c>
      <c r="B481" s="23">
        <v>0.7083333333333334</v>
      </c>
      <c r="C481" s="10" t="s">
        <v>196</v>
      </c>
      <c r="D481" s="10" t="s">
        <v>33</v>
      </c>
      <c r="E481" s="12" t="s">
        <v>71</v>
      </c>
      <c r="F481" s="12" t="s">
        <v>1536</v>
      </c>
      <c r="G481" s="12" t="s">
        <v>1537</v>
      </c>
      <c r="H481" s="12" t="s">
        <v>1555</v>
      </c>
      <c r="I481" s="57" t="s">
        <v>1565</v>
      </c>
      <c r="J481" s="14">
        <v>30761.0</v>
      </c>
      <c r="K481" s="14">
        <v>6011.0</v>
      </c>
      <c r="L481" s="15">
        <v>0.195</v>
      </c>
      <c r="M481" s="16">
        <v>752.0</v>
      </c>
      <c r="N481" s="17">
        <v>0.125</v>
      </c>
      <c r="O481" s="18">
        <v>29.0</v>
      </c>
      <c r="P481" s="18"/>
      <c r="Q481" s="19">
        <v>0.005</v>
      </c>
      <c r="R481" s="19"/>
      <c r="S481" s="20">
        <v>2.0</v>
      </c>
      <c r="T481" s="20">
        <v>3.0</v>
      </c>
      <c r="U481" s="20">
        <v>1794.0</v>
      </c>
      <c r="V481" s="21" t="s">
        <v>335</v>
      </c>
      <c r="W481" s="18" t="s">
        <v>95</v>
      </c>
      <c r="X481" s="94" t="s">
        <v>1566</v>
      </c>
      <c r="Y481" s="21" t="s">
        <v>1541</v>
      </c>
      <c r="Z481" s="20" t="s">
        <v>1567</v>
      </c>
      <c r="AA481" s="14">
        <v>13.0</v>
      </c>
      <c r="AB481" s="14">
        <v>13.0</v>
      </c>
      <c r="AC481" s="14"/>
      <c r="AD481" s="14">
        <v>21065.0</v>
      </c>
      <c r="AE481" s="14">
        <v>21065.0</v>
      </c>
      <c r="AF481" s="14"/>
      <c r="AG481" s="22"/>
      <c r="AH481" s="22"/>
      <c r="AI481" s="22"/>
      <c r="AJ481" s="22"/>
      <c r="AK481" s="22"/>
      <c r="AL481" s="22"/>
      <c r="AM481" s="22"/>
      <c r="AN481" s="22"/>
      <c r="AO481" s="22"/>
      <c r="AP481" s="22"/>
    </row>
    <row r="482" hidden="1">
      <c r="A482" s="8">
        <v>46077.0</v>
      </c>
      <c r="B482" s="23">
        <v>0.7083333333333334</v>
      </c>
      <c r="C482" s="10" t="s">
        <v>196</v>
      </c>
      <c r="D482" s="10" t="s">
        <v>33</v>
      </c>
      <c r="E482" s="12" t="s">
        <v>71</v>
      </c>
      <c r="F482" s="12" t="s">
        <v>1536</v>
      </c>
      <c r="G482" s="12" t="s">
        <v>1543</v>
      </c>
      <c r="H482" s="12" t="s">
        <v>1560</v>
      </c>
      <c r="I482" s="57" t="s">
        <v>1568</v>
      </c>
      <c r="J482" s="14">
        <v>1946.0</v>
      </c>
      <c r="K482" s="14">
        <v>297.0</v>
      </c>
      <c r="L482" s="15">
        <v>0.153</v>
      </c>
      <c r="M482" s="16">
        <v>37.0</v>
      </c>
      <c r="N482" s="17">
        <v>0.125</v>
      </c>
      <c r="O482" s="18">
        <v>5.0</v>
      </c>
      <c r="P482" s="18"/>
      <c r="Q482" s="19">
        <v>0.017</v>
      </c>
      <c r="R482" s="19"/>
      <c r="S482" s="20"/>
      <c r="T482" s="20"/>
      <c r="U482" s="20"/>
      <c r="V482" s="21" t="s">
        <v>335</v>
      </c>
      <c r="W482" s="18" t="s">
        <v>95</v>
      </c>
      <c r="X482" s="94" t="s">
        <v>1561</v>
      </c>
      <c r="Y482" s="21" t="s">
        <v>1541</v>
      </c>
      <c r="Z482" s="20" t="s">
        <v>1569</v>
      </c>
      <c r="AA482" s="14">
        <v>0.0</v>
      </c>
      <c r="AB482" s="14">
        <v>0.0</v>
      </c>
      <c r="AC482" s="14"/>
      <c r="AD482" s="14">
        <v>0.0</v>
      </c>
      <c r="AE482" s="14">
        <v>0.0</v>
      </c>
      <c r="AF482" s="14"/>
      <c r="AG482" s="22"/>
      <c r="AH482" s="22"/>
      <c r="AI482" s="22"/>
      <c r="AJ482" s="22"/>
      <c r="AK482" s="22"/>
      <c r="AL482" s="22"/>
      <c r="AM482" s="22"/>
      <c r="AN482" s="22"/>
      <c r="AO482" s="22"/>
      <c r="AP482" s="22"/>
    </row>
    <row r="483" hidden="1">
      <c r="A483" s="8">
        <v>46079.0</v>
      </c>
      <c r="B483" s="23">
        <v>0.7708333333333334</v>
      </c>
      <c r="C483" s="10" t="s">
        <v>32</v>
      </c>
      <c r="D483" s="10" t="s">
        <v>33</v>
      </c>
      <c r="E483" s="12" t="s">
        <v>71</v>
      </c>
      <c r="F483" s="12" t="s">
        <v>1167</v>
      </c>
      <c r="G483" s="12" t="s">
        <v>1570</v>
      </c>
      <c r="H483" s="12" t="s">
        <v>1571</v>
      </c>
      <c r="I483" s="57" t="s">
        <v>1572</v>
      </c>
      <c r="J483" s="14">
        <v>8997.0</v>
      </c>
      <c r="K483" s="14">
        <v>2769.0</v>
      </c>
      <c r="L483" s="15">
        <v>0.3078</v>
      </c>
      <c r="M483" s="16">
        <v>1406.0</v>
      </c>
      <c r="N483" s="17">
        <v>0.5078</v>
      </c>
      <c r="O483" s="18">
        <v>168.0</v>
      </c>
      <c r="P483" s="18">
        <v>152.0</v>
      </c>
      <c r="Q483" s="19">
        <v>0.0549</v>
      </c>
      <c r="R483" s="19">
        <v>0.1081</v>
      </c>
      <c r="S483" s="20">
        <v>3.0</v>
      </c>
      <c r="T483" s="20">
        <v>8.0</v>
      </c>
      <c r="U483" s="20">
        <v>10231.0</v>
      </c>
      <c r="V483" s="21" t="s">
        <v>335</v>
      </c>
      <c r="W483" s="18" t="s">
        <v>76</v>
      </c>
      <c r="X483" s="42" t="s">
        <v>47</v>
      </c>
      <c r="Y483" s="21" t="s">
        <v>1573</v>
      </c>
      <c r="Z483" s="20" t="s">
        <v>1574</v>
      </c>
      <c r="AA483" s="14">
        <v>12.0</v>
      </c>
      <c r="AB483" s="14">
        <v>12.0</v>
      </c>
      <c r="AC483" s="14"/>
      <c r="AD483" s="14">
        <v>33407.0</v>
      </c>
      <c r="AE483" s="14">
        <v>33407.0</v>
      </c>
      <c r="AF483" s="14"/>
      <c r="AG483" s="22"/>
      <c r="AH483" s="22"/>
      <c r="AI483" s="22"/>
      <c r="AJ483" s="22"/>
      <c r="AK483" s="22"/>
      <c r="AL483" s="22"/>
      <c r="AM483" s="22"/>
      <c r="AN483" s="22"/>
      <c r="AO483" s="22"/>
      <c r="AP483" s="22"/>
    </row>
    <row r="484" hidden="1">
      <c r="A484" s="8">
        <v>46079.0</v>
      </c>
      <c r="B484" s="23">
        <v>0.7708333333333334</v>
      </c>
      <c r="C484" s="10" t="s">
        <v>32</v>
      </c>
      <c r="D484" s="10" t="s">
        <v>33</v>
      </c>
      <c r="E484" s="12" t="s">
        <v>71</v>
      </c>
      <c r="F484" s="12" t="s">
        <v>1167</v>
      </c>
      <c r="G484" s="12" t="s">
        <v>1575</v>
      </c>
      <c r="H484" s="12" t="s">
        <v>1576</v>
      </c>
      <c r="I484" s="57" t="s">
        <v>1577</v>
      </c>
      <c r="J484" s="14">
        <v>5646.0</v>
      </c>
      <c r="K484" s="14">
        <v>1575.0</v>
      </c>
      <c r="L484" s="15">
        <v>0.279</v>
      </c>
      <c r="M484" s="16">
        <v>701.0</v>
      </c>
      <c r="N484" s="17">
        <v>0.4451</v>
      </c>
      <c r="O484" s="18">
        <v>82.0</v>
      </c>
      <c r="P484" s="18">
        <v>71.0</v>
      </c>
      <c r="Q484" s="19">
        <v>0.0451</v>
      </c>
      <c r="R484" s="19">
        <v>0.1013</v>
      </c>
      <c r="S484" s="20">
        <v>2.0</v>
      </c>
      <c r="T484" s="20">
        <v>5.0</v>
      </c>
      <c r="U484" s="20">
        <v>3996.0</v>
      </c>
      <c r="V484" s="21" t="s">
        <v>335</v>
      </c>
      <c r="W484" s="18" t="s">
        <v>76</v>
      </c>
      <c r="X484" s="21" t="s">
        <v>52</v>
      </c>
      <c r="Y484" s="21" t="s">
        <v>1573</v>
      </c>
      <c r="Z484" s="20" t="s">
        <v>1578</v>
      </c>
      <c r="AA484" s="14">
        <v>4.0</v>
      </c>
      <c r="AB484" s="14">
        <v>4.0</v>
      </c>
      <c r="AC484" s="14"/>
      <c r="AD484" s="14">
        <v>6993.0</v>
      </c>
      <c r="AE484" s="14">
        <v>6993.0</v>
      </c>
      <c r="AF484" s="14"/>
      <c r="AG484" s="22"/>
      <c r="AH484" s="22"/>
      <c r="AI484" s="22"/>
      <c r="AJ484" s="22"/>
      <c r="AK484" s="22"/>
      <c r="AL484" s="22"/>
      <c r="AM484" s="22"/>
      <c r="AN484" s="22"/>
      <c r="AO484" s="22"/>
      <c r="AP484" s="22"/>
    </row>
    <row r="485" hidden="1">
      <c r="A485" s="8">
        <v>46079.0</v>
      </c>
      <c r="B485" s="23">
        <v>0.7708333333333334</v>
      </c>
      <c r="C485" s="10" t="s">
        <v>32</v>
      </c>
      <c r="D485" s="10" t="s">
        <v>33</v>
      </c>
      <c r="E485" s="12" t="s">
        <v>71</v>
      </c>
      <c r="F485" s="12" t="s">
        <v>1167</v>
      </c>
      <c r="G485" s="12" t="s">
        <v>1579</v>
      </c>
      <c r="H485" s="12" t="s">
        <v>1580</v>
      </c>
      <c r="I485" s="57" t="s">
        <v>1581</v>
      </c>
      <c r="J485" s="14">
        <v>22071.0</v>
      </c>
      <c r="K485" s="14">
        <v>5204.0</v>
      </c>
      <c r="L485" s="15">
        <v>0.2358</v>
      </c>
      <c r="M485" s="16">
        <v>2427.0</v>
      </c>
      <c r="N485" s="17">
        <v>0.4666</v>
      </c>
      <c r="O485" s="18">
        <v>238.0</v>
      </c>
      <c r="P485" s="18">
        <v>212.0</v>
      </c>
      <c r="Q485" s="19">
        <v>0.0408</v>
      </c>
      <c r="R485" s="19">
        <v>0.0874</v>
      </c>
      <c r="S485" s="20">
        <v>5.0</v>
      </c>
      <c r="T485" s="20">
        <v>26.0</v>
      </c>
      <c r="U485" s="20">
        <v>17482.0</v>
      </c>
      <c r="V485" s="21" t="s">
        <v>335</v>
      </c>
      <c r="W485" s="18" t="s">
        <v>76</v>
      </c>
      <c r="X485" s="42" t="s">
        <v>165</v>
      </c>
      <c r="Y485" s="21" t="s">
        <v>1573</v>
      </c>
      <c r="Z485" s="20" t="s">
        <v>1582</v>
      </c>
      <c r="AA485" s="14">
        <v>56.0</v>
      </c>
      <c r="AB485" s="14">
        <v>56.0</v>
      </c>
      <c r="AC485" s="14"/>
      <c r="AD485" s="14">
        <v>146714.0</v>
      </c>
      <c r="AE485" s="14">
        <v>146714.0</v>
      </c>
      <c r="AF485" s="14"/>
      <c r="AG485" s="22"/>
      <c r="AH485" s="22"/>
      <c r="AI485" s="22"/>
      <c r="AJ485" s="22"/>
      <c r="AK485" s="22"/>
      <c r="AL485" s="22"/>
      <c r="AM485" s="22"/>
      <c r="AN485" s="22"/>
      <c r="AO485" s="22"/>
      <c r="AP485" s="22"/>
    </row>
    <row r="486" hidden="1">
      <c r="A486" s="8">
        <v>46079.0</v>
      </c>
      <c r="B486" s="23">
        <v>0.7708333333333334</v>
      </c>
      <c r="C486" s="10" t="s">
        <v>32</v>
      </c>
      <c r="D486" s="10" t="s">
        <v>33</v>
      </c>
      <c r="E486" s="12" t="s">
        <v>71</v>
      </c>
      <c r="F486" s="12" t="s">
        <v>1167</v>
      </c>
      <c r="G486" s="12" t="s">
        <v>1583</v>
      </c>
      <c r="H486" s="12" t="s">
        <v>1584</v>
      </c>
      <c r="I486" s="57" t="s">
        <v>1585</v>
      </c>
      <c r="J486" s="14">
        <v>910.0</v>
      </c>
      <c r="K486" s="14">
        <v>351.0</v>
      </c>
      <c r="L486" s="15">
        <v>0.3857</v>
      </c>
      <c r="M486" s="16">
        <v>195.0</v>
      </c>
      <c r="N486" s="17">
        <v>0.5556</v>
      </c>
      <c r="O486" s="18">
        <v>40.0</v>
      </c>
      <c r="P486" s="18">
        <v>36.0</v>
      </c>
      <c r="Q486" s="19">
        <v>0.1026</v>
      </c>
      <c r="R486" s="19">
        <v>0.1846</v>
      </c>
      <c r="S486" s="20">
        <v>2.0</v>
      </c>
      <c r="T486" s="20">
        <v>6.0</v>
      </c>
      <c r="U486" s="20">
        <v>2075.0</v>
      </c>
      <c r="V486" s="21" t="s">
        <v>335</v>
      </c>
      <c r="W486" s="18" t="s">
        <v>76</v>
      </c>
      <c r="X486" s="21" t="s">
        <v>1586</v>
      </c>
      <c r="Y486" s="21" t="s">
        <v>1573</v>
      </c>
      <c r="Z486" s="20" t="s">
        <v>1587</v>
      </c>
      <c r="AA486" s="14">
        <v>3.0</v>
      </c>
      <c r="AB486" s="14">
        <v>3.0</v>
      </c>
      <c r="AC486" s="14"/>
      <c r="AD486" s="14">
        <v>3775.0</v>
      </c>
      <c r="AE486" s="14">
        <v>3775.0</v>
      </c>
      <c r="AF486" s="14"/>
      <c r="AG486" s="22"/>
      <c r="AH486" s="22"/>
      <c r="AI486" s="22"/>
      <c r="AJ486" s="22"/>
      <c r="AK486" s="22"/>
      <c r="AL486" s="22"/>
      <c r="AM486" s="22"/>
      <c r="AN486" s="22"/>
      <c r="AO486" s="22"/>
      <c r="AP486" s="22"/>
    </row>
    <row r="487" hidden="1">
      <c r="A487" s="8">
        <v>46079.0</v>
      </c>
      <c r="B487" s="23">
        <v>0.7708333333333334</v>
      </c>
      <c r="C487" s="10" t="s">
        <v>32</v>
      </c>
      <c r="D487" s="10" t="s">
        <v>33</v>
      </c>
      <c r="E487" s="12" t="s">
        <v>71</v>
      </c>
      <c r="F487" s="12" t="s">
        <v>1167</v>
      </c>
      <c r="G487" s="12" t="s">
        <v>1588</v>
      </c>
      <c r="H487" s="12" t="s">
        <v>1589</v>
      </c>
      <c r="I487" s="57" t="s">
        <v>1590</v>
      </c>
      <c r="J487" s="14">
        <v>3534.0</v>
      </c>
      <c r="K487" s="14">
        <v>1172.0</v>
      </c>
      <c r="L487" s="15">
        <v>0.3316</v>
      </c>
      <c r="M487" s="16">
        <v>559.0</v>
      </c>
      <c r="N487" s="17">
        <v>0.4778</v>
      </c>
      <c r="O487" s="18">
        <v>92.0</v>
      </c>
      <c r="P487" s="18">
        <v>83.0</v>
      </c>
      <c r="Q487" s="19">
        <v>0.0709</v>
      </c>
      <c r="R487" s="19">
        <v>0.1485</v>
      </c>
      <c r="S487" s="20">
        <v>12.0</v>
      </c>
      <c r="T487" s="20">
        <v>48.0</v>
      </c>
      <c r="U487" s="20">
        <v>23199.0</v>
      </c>
      <c r="V487" s="21" t="s">
        <v>335</v>
      </c>
      <c r="W487" s="18" t="s">
        <v>76</v>
      </c>
      <c r="X487" s="21" t="s">
        <v>1591</v>
      </c>
      <c r="Y487" s="21" t="s">
        <v>1573</v>
      </c>
      <c r="Z487" s="20" t="s">
        <v>1592</v>
      </c>
      <c r="AA487" s="14">
        <v>22.0</v>
      </c>
      <c r="AB487" s="14">
        <v>22.0</v>
      </c>
      <c r="AC487" s="14"/>
      <c r="AD487" s="14">
        <v>45771.0</v>
      </c>
      <c r="AE487" s="14">
        <v>45771.0</v>
      </c>
      <c r="AF487" s="14"/>
      <c r="AG487" s="22"/>
      <c r="AH487" s="22"/>
      <c r="AI487" s="22"/>
      <c r="AJ487" s="22"/>
      <c r="AK487" s="22"/>
      <c r="AL487" s="22"/>
      <c r="AM487" s="22"/>
      <c r="AN487" s="22"/>
      <c r="AO487" s="22"/>
      <c r="AP487" s="22"/>
    </row>
    <row r="488" hidden="1">
      <c r="A488" s="8">
        <v>46079.0</v>
      </c>
      <c r="B488" s="23">
        <v>0.8541666666666666</v>
      </c>
      <c r="C488" s="10" t="s">
        <v>58</v>
      </c>
      <c r="D488" s="10" t="s">
        <v>59</v>
      </c>
      <c r="E488" s="12" t="s">
        <v>71</v>
      </c>
      <c r="F488" s="12" t="s">
        <v>1167</v>
      </c>
      <c r="G488" s="12" t="s">
        <v>1593</v>
      </c>
      <c r="H488" s="12" t="s">
        <v>1571</v>
      </c>
      <c r="I488" s="57" t="s">
        <v>61</v>
      </c>
      <c r="J488" s="14">
        <v>2732.0</v>
      </c>
      <c r="K488" s="14">
        <v>1672.0</v>
      </c>
      <c r="L488" s="15">
        <v>0.612</v>
      </c>
      <c r="M488" s="16"/>
      <c r="N488" s="17"/>
      <c r="O488" s="18">
        <v>3.0</v>
      </c>
      <c r="P488" s="18"/>
      <c r="Q488" s="19">
        <v>0.0018</v>
      </c>
      <c r="R488" s="19"/>
      <c r="S488" s="20">
        <v>1.0</v>
      </c>
      <c r="T488" s="20">
        <v>3.0</v>
      </c>
      <c r="U488" s="20">
        <v>2498.0</v>
      </c>
      <c r="V488" s="21" t="s">
        <v>335</v>
      </c>
      <c r="W488" s="18" t="s">
        <v>62</v>
      </c>
      <c r="X488" s="42" t="s">
        <v>47</v>
      </c>
      <c r="Y488" s="21" t="s">
        <v>1594</v>
      </c>
      <c r="Z488" s="20" t="s">
        <v>1595</v>
      </c>
      <c r="AA488" s="14">
        <v>4.0</v>
      </c>
      <c r="AB488" s="14">
        <v>4.0</v>
      </c>
      <c r="AC488" s="14"/>
      <c r="AD488" s="14">
        <v>10490.0</v>
      </c>
      <c r="AE488" s="14">
        <v>10490.0</v>
      </c>
      <c r="AF488" s="14"/>
      <c r="AG488" s="22"/>
      <c r="AH488" s="22"/>
      <c r="AI488" s="22"/>
      <c r="AJ488" s="22"/>
      <c r="AK488" s="22"/>
      <c r="AL488" s="22"/>
      <c r="AM488" s="22"/>
      <c r="AN488" s="22"/>
      <c r="AO488" s="22"/>
      <c r="AP488" s="22"/>
    </row>
    <row r="489" hidden="1">
      <c r="A489" s="8">
        <v>46079.0</v>
      </c>
      <c r="B489" s="23">
        <v>0.8541666666666666</v>
      </c>
      <c r="C489" s="10" t="s">
        <v>58</v>
      </c>
      <c r="D489" s="10" t="s">
        <v>59</v>
      </c>
      <c r="E489" s="12" t="s">
        <v>71</v>
      </c>
      <c r="F489" s="12" t="s">
        <v>1167</v>
      </c>
      <c r="G489" s="12" t="s">
        <v>1596</v>
      </c>
      <c r="H489" s="12" t="s">
        <v>1576</v>
      </c>
      <c r="I489" s="57" t="s">
        <v>61</v>
      </c>
      <c r="J489" s="14">
        <v>1552.0</v>
      </c>
      <c r="K489" s="14">
        <v>996.0</v>
      </c>
      <c r="L489" s="15">
        <v>0.6418</v>
      </c>
      <c r="M489" s="16"/>
      <c r="N489" s="17"/>
      <c r="O489" s="18">
        <v>1.0</v>
      </c>
      <c r="P489" s="18"/>
      <c r="Q489" s="19">
        <v>0.001</v>
      </c>
      <c r="R489" s="19"/>
      <c r="S489" s="20">
        <v>0.0</v>
      </c>
      <c r="T489" s="20">
        <v>2.0</v>
      </c>
      <c r="U489" s="20">
        <v>0.0</v>
      </c>
      <c r="V489" s="21" t="s">
        <v>335</v>
      </c>
      <c r="W489" s="18" t="s">
        <v>62</v>
      </c>
      <c r="X489" s="21" t="s">
        <v>52</v>
      </c>
      <c r="Y489" s="21" t="s">
        <v>1594</v>
      </c>
      <c r="Z489" s="20" t="s">
        <v>1597</v>
      </c>
      <c r="AA489" s="14">
        <v>1.0</v>
      </c>
      <c r="AB489" s="14">
        <v>1.0</v>
      </c>
      <c r="AC489" s="14"/>
      <c r="AD489" s="14">
        <v>999.0</v>
      </c>
      <c r="AE489" s="14">
        <v>999.0</v>
      </c>
      <c r="AF489" s="14"/>
      <c r="AG489" s="22"/>
      <c r="AH489" s="22"/>
      <c r="AI489" s="22"/>
      <c r="AJ489" s="22"/>
      <c r="AK489" s="22"/>
      <c r="AL489" s="22"/>
      <c r="AM489" s="22"/>
      <c r="AN489" s="22"/>
      <c r="AO489" s="22"/>
      <c r="AP489" s="22"/>
    </row>
    <row r="490" hidden="1">
      <c r="A490" s="8">
        <v>46079.0</v>
      </c>
      <c r="B490" s="23">
        <v>0.8541666666666666</v>
      </c>
      <c r="C490" s="10" t="s">
        <v>58</v>
      </c>
      <c r="D490" s="10" t="s">
        <v>59</v>
      </c>
      <c r="E490" s="12" t="s">
        <v>71</v>
      </c>
      <c r="F490" s="12" t="s">
        <v>1167</v>
      </c>
      <c r="G490" s="12" t="s">
        <v>1598</v>
      </c>
      <c r="H490" s="12" t="s">
        <v>1599</v>
      </c>
      <c r="I490" s="57" t="s">
        <v>454</v>
      </c>
      <c r="J490" s="14">
        <v>22855.0</v>
      </c>
      <c r="K490" s="14">
        <v>12513.0</v>
      </c>
      <c r="L490" s="15">
        <v>0.5475</v>
      </c>
      <c r="M490" s="16"/>
      <c r="N490" s="17"/>
      <c r="O490" s="18">
        <v>26.0</v>
      </c>
      <c r="P490" s="18"/>
      <c r="Q490" s="19">
        <v>0.0021</v>
      </c>
      <c r="R490" s="19"/>
      <c r="S490" s="20">
        <v>5.0</v>
      </c>
      <c r="T490" s="20">
        <v>3.0</v>
      </c>
      <c r="U490" s="20">
        <v>9361.0</v>
      </c>
      <c r="V490" s="21" t="s">
        <v>335</v>
      </c>
      <c r="W490" s="18" t="s">
        <v>95</v>
      </c>
      <c r="X490" s="42" t="s">
        <v>82</v>
      </c>
      <c r="Y490" s="21" t="s">
        <v>1594</v>
      </c>
      <c r="Z490" s="20" t="s">
        <v>1600</v>
      </c>
      <c r="AA490" s="14">
        <v>16.0</v>
      </c>
      <c r="AB490" s="14">
        <v>16.0</v>
      </c>
      <c r="AC490" s="14"/>
      <c r="AD490" s="14">
        <v>31540.0</v>
      </c>
      <c r="AE490" s="14">
        <v>31540.0</v>
      </c>
      <c r="AF490" s="14"/>
      <c r="AG490" s="22"/>
      <c r="AH490" s="22"/>
      <c r="AI490" s="22"/>
      <c r="AJ490" s="22"/>
      <c r="AK490" s="22"/>
      <c r="AL490" s="22"/>
      <c r="AM490" s="22"/>
      <c r="AN490" s="22"/>
      <c r="AO490" s="22"/>
      <c r="AP490" s="22"/>
    </row>
    <row r="491" hidden="1">
      <c r="A491" s="8">
        <v>46079.0</v>
      </c>
      <c r="B491" s="23">
        <v>0.8541666666666666</v>
      </c>
      <c r="C491" s="10" t="s">
        <v>58</v>
      </c>
      <c r="D491" s="10" t="s">
        <v>59</v>
      </c>
      <c r="E491" s="12" t="s">
        <v>71</v>
      </c>
      <c r="F491" s="12" t="s">
        <v>1167</v>
      </c>
      <c r="G491" s="12" t="s">
        <v>1601</v>
      </c>
      <c r="H491" s="12" t="s">
        <v>1580</v>
      </c>
      <c r="I491" s="57" t="s">
        <v>61</v>
      </c>
      <c r="J491" s="14">
        <v>5152.0</v>
      </c>
      <c r="K491" s="14">
        <v>2730.0</v>
      </c>
      <c r="L491" s="15">
        <v>0.5299</v>
      </c>
      <c r="M491" s="16"/>
      <c r="N491" s="17"/>
      <c r="O491" s="18">
        <v>11.0</v>
      </c>
      <c r="P491" s="18"/>
      <c r="Q491" s="19">
        <v>0.004</v>
      </c>
      <c r="R491" s="19"/>
      <c r="S491" s="20">
        <v>1.0</v>
      </c>
      <c r="T491" s="20">
        <v>7.0</v>
      </c>
      <c r="U491" s="20">
        <v>2697.0</v>
      </c>
      <c r="V491" s="21" t="s">
        <v>335</v>
      </c>
      <c r="W491" s="18" t="s">
        <v>62</v>
      </c>
      <c r="X491" s="42" t="s">
        <v>165</v>
      </c>
      <c r="Y491" s="21" t="s">
        <v>1594</v>
      </c>
      <c r="Z491" s="20" t="s">
        <v>1602</v>
      </c>
      <c r="AA491" s="14">
        <v>18.0</v>
      </c>
      <c r="AB491" s="14">
        <v>18.0</v>
      </c>
      <c r="AC491" s="14"/>
      <c r="AD491" s="14">
        <v>57738.0</v>
      </c>
      <c r="AE491" s="14">
        <v>57738.0</v>
      </c>
      <c r="AF491" s="14"/>
      <c r="AG491" s="22"/>
      <c r="AH491" s="22"/>
      <c r="AI491" s="22"/>
      <c r="AJ491" s="22"/>
      <c r="AK491" s="22"/>
      <c r="AL491" s="22"/>
      <c r="AM491" s="22"/>
      <c r="AN491" s="22"/>
      <c r="AO491" s="22"/>
      <c r="AP491" s="22"/>
    </row>
    <row r="492" hidden="1">
      <c r="A492" s="8">
        <v>46079.0</v>
      </c>
      <c r="B492" s="23">
        <v>0.8541666666666666</v>
      </c>
      <c r="C492" s="10" t="s">
        <v>58</v>
      </c>
      <c r="D492" s="10" t="s">
        <v>59</v>
      </c>
      <c r="E492" s="12" t="s">
        <v>71</v>
      </c>
      <c r="F492" s="12" t="s">
        <v>1167</v>
      </c>
      <c r="G492" s="12" t="s">
        <v>1603</v>
      </c>
      <c r="H492" s="12" t="s">
        <v>1604</v>
      </c>
      <c r="I492" s="57" t="s">
        <v>454</v>
      </c>
      <c r="J492" s="14">
        <v>27484.0</v>
      </c>
      <c r="K492" s="14">
        <v>17797.0</v>
      </c>
      <c r="L492" s="15">
        <v>0.6475</v>
      </c>
      <c r="M492" s="16"/>
      <c r="N492" s="17"/>
      <c r="O492" s="18">
        <v>35.0</v>
      </c>
      <c r="P492" s="18"/>
      <c r="Q492" s="19">
        <v>0.002</v>
      </c>
      <c r="R492" s="19"/>
      <c r="S492" s="20">
        <v>3.0</v>
      </c>
      <c r="T492" s="20">
        <v>4.0</v>
      </c>
      <c r="U492" s="20">
        <v>7395.0</v>
      </c>
      <c r="V492" s="21" t="s">
        <v>335</v>
      </c>
      <c r="W492" s="18" t="s">
        <v>62</v>
      </c>
      <c r="X492" s="95" t="s">
        <v>1605</v>
      </c>
      <c r="Y492" s="21" t="s">
        <v>1594</v>
      </c>
      <c r="Z492" s="20" t="s">
        <v>1606</v>
      </c>
      <c r="AA492" s="14">
        <v>19.0</v>
      </c>
      <c r="AB492" s="14">
        <v>19.0</v>
      </c>
      <c r="AC492" s="14"/>
      <c r="AD492" s="14">
        <v>36999.0</v>
      </c>
      <c r="AE492" s="14">
        <v>36999.0</v>
      </c>
      <c r="AF492" s="14"/>
      <c r="AG492" s="22"/>
      <c r="AH492" s="22"/>
      <c r="AI492" s="22"/>
      <c r="AJ492" s="22"/>
      <c r="AK492" s="22"/>
      <c r="AL492" s="22"/>
      <c r="AM492" s="22"/>
      <c r="AN492" s="22"/>
      <c r="AO492" s="22"/>
      <c r="AP492" s="22"/>
    </row>
    <row r="493" hidden="1">
      <c r="A493" s="8">
        <v>46079.0</v>
      </c>
      <c r="B493" s="23">
        <v>0.8541666666666666</v>
      </c>
      <c r="C493" s="10" t="s">
        <v>58</v>
      </c>
      <c r="D493" s="10" t="s">
        <v>59</v>
      </c>
      <c r="E493" s="12" t="s">
        <v>71</v>
      </c>
      <c r="F493" s="12" t="s">
        <v>1167</v>
      </c>
      <c r="G493" s="12" t="s">
        <v>1607</v>
      </c>
      <c r="H493" s="12" t="s">
        <v>1584</v>
      </c>
      <c r="I493" s="57" t="s">
        <v>61</v>
      </c>
      <c r="J493" s="14">
        <v>343.0</v>
      </c>
      <c r="K493" s="14">
        <v>263.0</v>
      </c>
      <c r="L493" s="15">
        <v>0.7668</v>
      </c>
      <c r="M493" s="16"/>
      <c r="N493" s="17"/>
      <c r="O493" s="18">
        <v>1.0</v>
      </c>
      <c r="P493" s="18"/>
      <c r="Q493" s="19">
        <v>0.0038</v>
      </c>
      <c r="R493" s="19"/>
      <c r="S493" s="20">
        <v>1.0</v>
      </c>
      <c r="T493" s="20">
        <v>2.0</v>
      </c>
      <c r="U493" s="20">
        <v>948.0</v>
      </c>
      <c r="V493" s="21" t="s">
        <v>335</v>
      </c>
      <c r="W493" s="18" t="s">
        <v>62</v>
      </c>
      <c r="X493" s="21" t="s">
        <v>1586</v>
      </c>
      <c r="Y493" s="21" t="s">
        <v>1594</v>
      </c>
      <c r="Z493" s="20" t="s">
        <v>1608</v>
      </c>
      <c r="AA493" s="14">
        <v>2.0</v>
      </c>
      <c r="AB493" s="14">
        <v>2.0</v>
      </c>
      <c r="AC493" s="14"/>
      <c r="AD493" s="14">
        <v>1798.0</v>
      </c>
      <c r="AE493" s="14">
        <v>1798.0</v>
      </c>
      <c r="AF493" s="14"/>
      <c r="AG493" s="22"/>
      <c r="AH493" s="22"/>
      <c r="AI493" s="22"/>
      <c r="AJ493" s="22"/>
      <c r="AK493" s="22"/>
      <c r="AL493" s="22"/>
      <c r="AM493" s="22"/>
      <c r="AN493" s="22"/>
      <c r="AO493" s="22"/>
      <c r="AP493" s="22"/>
    </row>
    <row r="494" hidden="1">
      <c r="A494" s="8">
        <v>46079.0</v>
      </c>
      <c r="B494" s="23">
        <v>0.8541666666666666</v>
      </c>
      <c r="C494" s="10" t="s">
        <v>58</v>
      </c>
      <c r="D494" s="10" t="s">
        <v>59</v>
      </c>
      <c r="E494" s="12" t="s">
        <v>71</v>
      </c>
      <c r="F494" s="12" t="s">
        <v>1167</v>
      </c>
      <c r="G494" s="12" t="s">
        <v>1609</v>
      </c>
      <c r="H494" s="12" t="s">
        <v>1589</v>
      </c>
      <c r="I494" s="57" t="s">
        <v>61</v>
      </c>
      <c r="J494" s="14">
        <v>2351.0</v>
      </c>
      <c r="K494" s="14">
        <v>1654.0</v>
      </c>
      <c r="L494" s="15">
        <v>0.7035</v>
      </c>
      <c r="M494" s="16"/>
      <c r="N494" s="17"/>
      <c r="O494" s="18">
        <v>7.0</v>
      </c>
      <c r="P494" s="18"/>
      <c r="Q494" s="19">
        <v>0.0042</v>
      </c>
      <c r="R494" s="19"/>
      <c r="S494" s="20">
        <v>7.0</v>
      </c>
      <c r="T494" s="20">
        <v>32.0</v>
      </c>
      <c r="U494" s="20">
        <v>9835.0</v>
      </c>
      <c r="V494" s="21" t="s">
        <v>335</v>
      </c>
      <c r="W494" s="18"/>
      <c r="X494" s="21" t="s">
        <v>1591</v>
      </c>
      <c r="Y494" s="21" t="s">
        <v>1594</v>
      </c>
      <c r="Z494" s="20" t="s">
        <v>1610</v>
      </c>
      <c r="AA494" s="14">
        <v>25.0</v>
      </c>
      <c r="AB494" s="14">
        <v>25.0</v>
      </c>
      <c r="AC494" s="14"/>
      <c r="AD494" s="14">
        <v>41249.0</v>
      </c>
      <c r="AE494" s="14">
        <v>41249.0</v>
      </c>
      <c r="AF494" s="14"/>
      <c r="AG494" s="22"/>
      <c r="AH494" s="22"/>
      <c r="AI494" s="22"/>
      <c r="AJ494" s="22"/>
      <c r="AK494" s="22"/>
      <c r="AL494" s="22"/>
      <c r="AM494" s="22"/>
      <c r="AN494" s="22"/>
      <c r="AO494" s="22"/>
      <c r="AP494" s="22"/>
    </row>
    <row r="495" hidden="1">
      <c r="A495" s="8">
        <v>46079.0</v>
      </c>
      <c r="B495" s="23">
        <v>0.6666666666666666</v>
      </c>
      <c r="C495" s="10" t="s">
        <v>32</v>
      </c>
      <c r="D495" s="10" t="s">
        <v>33</v>
      </c>
      <c r="E495" s="12" t="s">
        <v>217</v>
      </c>
      <c r="F495" s="12" t="s">
        <v>1611</v>
      </c>
      <c r="G495" s="12" t="s">
        <v>1612</v>
      </c>
      <c r="H495" s="12" t="s">
        <v>1613</v>
      </c>
      <c r="I495" s="57" t="s">
        <v>1614</v>
      </c>
      <c r="J495" s="14">
        <v>35865.0</v>
      </c>
      <c r="K495" s="14">
        <v>16323.0</v>
      </c>
      <c r="L495" s="15">
        <v>0.4551</v>
      </c>
      <c r="M495" s="16">
        <v>10741.0</v>
      </c>
      <c r="N495" s="17">
        <v>0.6581</v>
      </c>
      <c r="O495" s="18">
        <v>964.0</v>
      </c>
      <c r="P495" s="18">
        <v>921.0</v>
      </c>
      <c r="Q495" s="19">
        <v>0.0564</v>
      </c>
      <c r="R495" s="19">
        <v>0.0857</v>
      </c>
      <c r="S495" s="20"/>
      <c r="T495" s="20"/>
      <c r="U495" s="20"/>
      <c r="V495" s="21" t="s">
        <v>315</v>
      </c>
      <c r="W495" s="18" t="s">
        <v>76</v>
      </c>
      <c r="X495" s="41" t="s">
        <v>82</v>
      </c>
      <c r="Y495" s="21" t="s">
        <v>1615</v>
      </c>
      <c r="Z495" s="20" t="s">
        <v>1616</v>
      </c>
      <c r="AA495" s="14">
        <v>235.0</v>
      </c>
      <c r="AB495" s="14"/>
      <c r="AC495" s="14">
        <v>235.0</v>
      </c>
      <c r="AD495" s="14">
        <v>579413.0</v>
      </c>
      <c r="AE495" s="14"/>
      <c r="AF495" s="14">
        <v>579413.0</v>
      </c>
      <c r="AG495" s="22"/>
      <c r="AH495" s="22"/>
      <c r="AI495" s="22"/>
      <c r="AJ495" s="22"/>
      <c r="AK495" s="22"/>
      <c r="AL495" s="22"/>
      <c r="AM495" s="22"/>
      <c r="AN495" s="22"/>
      <c r="AO495" s="22"/>
      <c r="AP495" s="22"/>
    </row>
    <row r="496" hidden="1">
      <c r="A496" s="8">
        <v>46079.0</v>
      </c>
      <c r="B496" s="23">
        <v>0.6666666666666666</v>
      </c>
      <c r="C496" s="10" t="s">
        <v>32</v>
      </c>
      <c r="D496" s="10" t="s">
        <v>33</v>
      </c>
      <c r="E496" s="12" t="s">
        <v>217</v>
      </c>
      <c r="F496" s="12" t="s">
        <v>1611</v>
      </c>
      <c r="G496" s="12" t="s">
        <v>1617</v>
      </c>
      <c r="H496" s="12" t="s">
        <v>1618</v>
      </c>
      <c r="I496" s="57" t="s">
        <v>1619</v>
      </c>
      <c r="J496" s="14">
        <v>11664.0</v>
      </c>
      <c r="K496" s="14">
        <v>5179.0</v>
      </c>
      <c r="L496" s="15">
        <v>0.444</v>
      </c>
      <c r="M496" s="16">
        <v>3138.0</v>
      </c>
      <c r="N496" s="17">
        <v>0.606</v>
      </c>
      <c r="O496" s="18">
        <v>207.0</v>
      </c>
      <c r="P496" s="18">
        <v>201.0</v>
      </c>
      <c r="Q496" s="19">
        <v>0.0388</v>
      </c>
      <c r="R496" s="19">
        <v>0.0641</v>
      </c>
      <c r="S496" s="20"/>
      <c r="T496" s="20"/>
      <c r="U496" s="20"/>
      <c r="V496" s="21" t="s">
        <v>315</v>
      </c>
      <c r="W496" s="18" t="s">
        <v>76</v>
      </c>
      <c r="X496" s="41" t="s">
        <v>1620</v>
      </c>
      <c r="Y496" s="21" t="s">
        <v>1615</v>
      </c>
      <c r="Z496" s="20" t="s">
        <v>1621</v>
      </c>
      <c r="AA496" s="14">
        <v>85.0</v>
      </c>
      <c r="AB496" s="14"/>
      <c r="AC496" s="14">
        <v>85.0</v>
      </c>
      <c r="AD496" s="14">
        <v>230336.0</v>
      </c>
      <c r="AE496" s="14"/>
      <c r="AF496" s="14">
        <v>230336.0</v>
      </c>
      <c r="AG496" s="22"/>
      <c r="AH496" s="22"/>
      <c r="AI496" s="22"/>
      <c r="AJ496" s="22"/>
      <c r="AK496" s="22"/>
      <c r="AL496" s="22"/>
      <c r="AM496" s="22"/>
      <c r="AN496" s="22"/>
      <c r="AO496" s="22"/>
      <c r="AP496" s="22"/>
    </row>
    <row r="497" hidden="1">
      <c r="A497" s="8">
        <v>46079.0</v>
      </c>
      <c r="B497" s="23">
        <v>0.6666666666666666</v>
      </c>
      <c r="C497" s="10" t="s">
        <v>32</v>
      </c>
      <c r="D497" s="10" t="s">
        <v>33</v>
      </c>
      <c r="E497" s="12" t="s">
        <v>217</v>
      </c>
      <c r="F497" s="12" t="s">
        <v>1611</v>
      </c>
      <c r="G497" s="12" t="s">
        <v>1622</v>
      </c>
      <c r="H497" s="12" t="s">
        <v>1623</v>
      </c>
      <c r="I497" s="57" t="s">
        <v>1624</v>
      </c>
      <c r="J497" s="14">
        <v>21417.0</v>
      </c>
      <c r="K497" s="14">
        <v>10344.0</v>
      </c>
      <c r="L497" s="15">
        <v>0.483</v>
      </c>
      <c r="M497" s="16">
        <v>7175.0</v>
      </c>
      <c r="N497" s="17">
        <v>0.6938</v>
      </c>
      <c r="O497" s="18">
        <v>663.0</v>
      </c>
      <c r="P497" s="18">
        <v>619.0</v>
      </c>
      <c r="Q497" s="19">
        <v>0.0599</v>
      </c>
      <c r="R497" s="19">
        <v>0.0863</v>
      </c>
      <c r="S497" s="20"/>
      <c r="T497" s="20"/>
      <c r="U497" s="20"/>
      <c r="V497" s="21" t="s">
        <v>315</v>
      </c>
      <c r="W497" s="18" t="s">
        <v>76</v>
      </c>
      <c r="X497" s="41" t="s">
        <v>82</v>
      </c>
      <c r="Y497" s="21" t="s">
        <v>1615</v>
      </c>
      <c r="Z497" s="20" t="s">
        <v>1625</v>
      </c>
      <c r="AA497" s="14">
        <v>173.0</v>
      </c>
      <c r="AB497" s="14"/>
      <c r="AC497" s="14">
        <v>173.0</v>
      </c>
      <c r="AD497" s="14">
        <v>482869.0</v>
      </c>
      <c r="AE497" s="14"/>
      <c r="AF497" s="14">
        <v>482869.0</v>
      </c>
      <c r="AG497" s="22"/>
      <c r="AH497" s="22"/>
      <c r="AI497" s="22"/>
      <c r="AJ497" s="22"/>
      <c r="AK497" s="22"/>
      <c r="AL497" s="22"/>
      <c r="AM497" s="22"/>
      <c r="AN497" s="22"/>
      <c r="AO497" s="22"/>
      <c r="AP497" s="22"/>
    </row>
    <row r="498" hidden="1">
      <c r="A498" s="8">
        <v>46079.0</v>
      </c>
      <c r="B498" s="23">
        <v>0.6666666666666666</v>
      </c>
      <c r="C498" s="10" t="s">
        <v>32</v>
      </c>
      <c r="D498" s="10" t="s">
        <v>33</v>
      </c>
      <c r="E498" s="12" t="s">
        <v>217</v>
      </c>
      <c r="F498" s="12" t="s">
        <v>1611</v>
      </c>
      <c r="G498" s="12" t="s">
        <v>1626</v>
      </c>
      <c r="H498" s="12" t="s">
        <v>1627</v>
      </c>
      <c r="I498" s="57" t="s">
        <v>1628</v>
      </c>
      <c r="J498" s="14">
        <v>4103.0</v>
      </c>
      <c r="K498" s="14">
        <v>1981.0</v>
      </c>
      <c r="L498" s="15">
        <v>0.4828</v>
      </c>
      <c r="M498" s="16">
        <v>1361.0</v>
      </c>
      <c r="N498" s="17">
        <v>0.687</v>
      </c>
      <c r="O498" s="18">
        <v>99.0</v>
      </c>
      <c r="P498" s="18">
        <v>94.0</v>
      </c>
      <c r="Q498" s="19">
        <v>0.0475</v>
      </c>
      <c r="R498" s="19">
        <v>0.0691</v>
      </c>
      <c r="S498" s="20"/>
      <c r="T498" s="20"/>
      <c r="U498" s="20"/>
      <c r="V498" s="21" t="s">
        <v>315</v>
      </c>
      <c r="W498" s="18" t="s">
        <v>76</v>
      </c>
      <c r="X498" s="41" t="s">
        <v>1620</v>
      </c>
      <c r="Y498" s="21" t="s">
        <v>1615</v>
      </c>
      <c r="Z498" s="20" t="s">
        <v>1629</v>
      </c>
      <c r="AA498" s="14">
        <v>41.0</v>
      </c>
      <c r="AB498" s="14"/>
      <c r="AC498" s="14">
        <v>41.0</v>
      </c>
      <c r="AD498" s="14">
        <v>91354.0</v>
      </c>
      <c r="AE498" s="14"/>
      <c r="AF498" s="14">
        <v>91354.0</v>
      </c>
      <c r="AG498" s="22"/>
      <c r="AH498" s="22"/>
      <c r="AI498" s="22"/>
      <c r="AJ498" s="22"/>
      <c r="AK498" s="22"/>
      <c r="AL498" s="22"/>
      <c r="AM498" s="22"/>
      <c r="AN498" s="22"/>
      <c r="AO498" s="22"/>
      <c r="AP498" s="22"/>
    </row>
    <row r="499" hidden="1">
      <c r="A499" s="8">
        <v>46079.0</v>
      </c>
      <c r="B499" s="23">
        <v>0.6666666666666666</v>
      </c>
      <c r="C499" s="10" t="s">
        <v>196</v>
      </c>
      <c r="D499" s="10" t="s">
        <v>33</v>
      </c>
      <c r="E499" s="12" t="s">
        <v>217</v>
      </c>
      <c r="F499" s="12" t="s">
        <v>1611</v>
      </c>
      <c r="G499" s="12" t="s">
        <v>1630</v>
      </c>
      <c r="H499" s="96" t="s">
        <v>1631</v>
      </c>
      <c r="I499" s="57" t="s">
        <v>1632</v>
      </c>
      <c r="J499" s="14">
        <v>187766.0</v>
      </c>
      <c r="K499" s="14">
        <v>98725.0</v>
      </c>
      <c r="L499" s="15">
        <v>0.5258</v>
      </c>
      <c r="M499" s="16">
        <v>14667.0</v>
      </c>
      <c r="N499" s="17">
        <v>0.149</v>
      </c>
      <c r="O499" s="18"/>
      <c r="P499" s="18"/>
      <c r="Q499" s="19"/>
      <c r="R499" s="19"/>
      <c r="S499" s="20"/>
      <c r="T499" s="20"/>
      <c r="U499" s="20"/>
      <c r="V499" s="21" t="s">
        <v>315</v>
      </c>
      <c r="W499" s="18" t="s">
        <v>95</v>
      </c>
      <c r="X499" s="41" t="s">
        <v>87</v>
      </c>
      <c r="Y499" s="21" t="s">
        <v>1615</v>
      </c>
      <c r="Z499" s="20" t="s">
        <v>1633</v>
      </c>
      <c r="AA499" s="14">
        <v>425.0</v>
      </c>
      <c r="AB499" s="14"/>
      <c r="AC499" s="14">
        <v>425.0</v>
      </c>
      <c r="AD499" s="14">
        <v>1048534.0</v>
      </c>
      <c r="AE499" s="14"/>
      <c r="AF499" s="14">
        <v>1048534.0</v>
      </c>
      <c r="AG499" s="22"/>
      <c r="AH499" s="22"/>
      <c r="AI499" s="22"/>
      <c r="AJ499" s="22"/>
      <c r="AK499" s="22"/>
      <c r="AL499" s="22"/>
      <c r="AM499" s="22"/>
      <c r="AN499" s="22"/>
      <c r="AO499" s="22"/>
      <c r="AP499" s="22"/>
    </row>
    <row r="500" hidden="1">
      <c r="A500" s="8">
        <v>46079.0</v>
      </c>
      <c r="B500" s="23">
        <v>0.6666666666666666</v>
      </c>
      <c r="C500" s="10" t="s">
        <v>196</v>
      </c>
      <c r="D500" s="10" t="s">
        <v>33</v>
      </c>
      <c r="E500" s="12" t="s">
        <v>217</v>
      </c>
      <c r="F500" s="12" t="s">
        <v>1611</v>
      </c>
      <c r="G500" s="12" t="s">
        <v>1634</v>
      </c>
      <c r="H500" s="96" t="s">
        <v>1635</v>
      </c>
      <c r="I500" s="57" t="s">
        <v>1636</v>
      </c>
      <c r="J500" s="14">
        <v>31498.0</v>
      </c>
      <c r="K500" s="14">
        <v>15621.0</v>
      </c>
      <c r="L500" s="15">
        <v>0.4959</v>
      </c>
      <c r="M500" s="16">
        <v>2116.0</v>
      </c>
      <c r="N500" s="17">
        <v>0.136</v>
      </c>
      <c r="O500" s="18"/>
      <c r="P500" s="18"/>
      <c r="Q500" s="19"/>
      <c r="R500" s="19"/>
      <c r="S500" s="20"/>
      <c r="T500" s="20"/>
      <c r="U500" s="20"/>
      <c r="V500" s="21" t="s">
        <v>315</v>
      </c>
      <c r="W500" s="18" t="s">
        <v>95</v>
      </c>
      <c r="X500" s="21" t="s">
        <v>1637</v>
      </c>
      <c r="Y500" s="21" t="s">
        <v>1615</v>
      </c>
      <c r="Z500" s="20" t="s">
        <v>1638</v>
      </c>
      <c r="AA500" s="14">
        <v>60.0</v>
      </c>
      <c r="AB500" s="14"/>
      <c r="AC500" s="14">
        <v>60.0</v>
      </c>
      <c r="AD500" s="14">
        <v>172126.0</v>
      </c>
      <c r="AE500" s="14"/>
      <c r="AF500" s="14">
        <v>172126.0</v>
      </c>
      <c r="AG500" s="22"/>
      <c r="AH500" s="22"/>
      <c r="AI500" s="22"/>
      <c r="AJ500" s="22"/>
      <c r="AK500" s="22"/>
      <c r="AL500" s="22"/>
      <c r="AM500" s="22"/>
      <c r="AN500" s="22"/>
      <c r="AO500" s="22"/>
      <c r="AP500" s="22"/>
    </row>
    <row r="501" hidden="1">
      <c r="A501" s="8">
        <v>46079.0</v>
      </c>
      <c r="B501" s="23">
        <v>0.6666666666666666</v>
      </c>
      <c r="C501" s="10" t="s">
        <v>196</v>
      </c>
      <c r="D501" s="10" t="s">
        <v>33</v>
      </c>
      <c r="E501" s="12" t="s">
        <v>217</v>
      </c>
      <c r="F501" s="12" t="s">
        <v>1611</v>
      </c>
      <c r="G501" s="12" t="s">
        <v>1639</v>
      </c>
      <c r="H501" s="96" t="s">
        <v>1640</v>
      </c>
      <c r="I501" s="57" t="s">
        <v>1641</v>
      </c>
      <c r="J501" s="14">
        <v>93229.0</v>
      </c>
      <c r="K501" s="14">
        <v>50476.0</v>
      </c>
      <c r="L501" s="15">
        <v>0.5414</v>
      </c>
      <c r="M501" s="16">
        <v>8547.0</v>
      </c>
      <c r="N501" s="17">
        <v>0.169</v>
      </c>
      <c r="O501" s="18"/>
      <c r="P501" s="18"/>
      <c r="Q501" s="19"/>
      <c r="R501" s="19"/>
      <c r="S501" s="20"/>
      <c r="T501" s="20"/>
      <c r="U501" s="20"/>
      <c r="V501" s="21" t="s">
        <v>315</v>
      </c>
      <c r="W501" s="18" t="s">
        <v>95</v>
      </c>
      <c r="X501" s="41" t="s">
        <v>87</v>
      </c>
      <c r="Y501" s="21" t="s">
        <v>1615</v>
      </c>
      <c r="Z501" s="20" t="s">
        <v>1642</v>
      </c>
      <c r="AA501" s="14">
        <v>236.0</v>
      </c>
      <c r="AB501" s="14"/>
      <c r="AC501" s="14">
        <v>236.0</v>
      </c>
      <c r="AD501" s="14">
        <v>545867.0</v>
      </c>
      <c r="AE501" s="14"/>
      <c r="AF501" s="14">
        <v>545867.0</v>
      </c>
      <c r="AG501" s="22"/>
      <c r="AH501" s="22"/>
      <c r="AI501" s="22"/>
      <c r="AJ501" s="22"/>
      <c r="AK501" s="22"/>
      <c r="AL501" s="22"/>
      <c r="AM501" s="22"/>
      <c r="AN501" s="22"/>
      <c r="AO501" s="22"/>
      <c r="AP501" s="22"/>
    </row>
    <row r="502" hidden="1">
      <c r="A502" s="8">
        <v>46079.0</v>
      </c>
      <c r="B502" s="23">
        <v>0.6666666666666666</v>
      </c>
      <c r="C502" s="10" t="s">
        <v>196</v>
      </c>
      <c r="D502" s="10" t="s">
        <v>33</v>
      </c>
      <c r="E502" s="12" t="s">
        <v>217</v>
      </c>
      <c r="F502" s="12" t="s">
        <v>1611</v>
      </c>
      <c r="G502" s="12" t="s">
        <v>1643</v>
      </c>
      <c r="H502" s="96" t="s">
        <v>1644</v>
      </c>
      <c r="I502" s="57" t="s">
        <v>1645</v>
      </c>
      <c r="J502" s="14">
        <v>10736.0</v>
      </c>
      <c r="K502" s="14">
        <v>5473.0</v>
      </c>
      <c r="L502" s="15">
        <v>0.5098</v>
      </c>
      <c r="M502" s="16">
        <v>873.0</v>
      </c>
      <c r="N502" s="17">
        <v>0.159</v>
      </c>
      <c r="O502" s="18"/>
      <c r="P502" s="18"/>
      <c r="Q502" s="19"/>
      <c r="R502" s="19"/>
      <c r="S502" s="20"/>
      <c r="T502" s="20"/>
      <c r="U502" s="20"/>
      <c r="V502" s="21" t="s">
        <v>315</v>
      </c>
      <c r="W502" s="18" t="s">
        <v>95</v>
      </c>
      <c r="X502" s="21" t="s">
        <v>1637</v>
      </c>
      <c r="Y502" s="21" t="s">
        <v>1615</v>
      </c>
      <c r="Z502" s="20" t="s">
        <v>1646</v>
      </c>
      <c r="AA502" s="14">
        <v>11.0</v>
      </c>
      <c r="AB502" s="14"/>
      <c r="AC502" s="14">
        <v>11.0</v>
      </c>
      <c r="AD502" s="14">
        <v>18179.0</v>
      </c>
      <c r="AE502" s="14"/>
      <c r="AF502" s="14">
        <v>18179.0</v>
      </c>
      <c r="AG502" s="22"/>
      <c r="AH502" s="22"/>
      <c r="AI502" s="22"/>
      <c r="AJ502" s="22"/>
      <c r="AK502" s="22"/>
      <c r="AL502" s="22"/>
      <c r="AM502" s="22"/>
      <c r="AN502" s="22"/>
      <c r="AO502" s="22"/>
      <c r="AP502" s="22"/>
    </row>
    <row r="503" hidden="1">
      <c r="A503" s="8">
        <v>46079.0</v>
      </c>
      <c r="B503" s="23">
        <v>0.75</v>
      </c>
      <c r="C503" s="10" t="s">
        <v>58</v>
      </c>
      <c r="D503" s="10" t="s">
        <v>59</v>
      </c>
      <c r="E503" s="12" t="s">
        <v>217</v>
      </c>
      <c r="F503" s="12" t="s">
        <v>1611</v>
      </c>
      <c r="G503" s="12" t="s">
        <v>1647</v>
      </c>
      <c r="H503" s="12" t="s">
        <v>1648</v>
      </c>
      <c r="I503" s="57" t="s">
        <v>1649</v>
      </c>
      <c r="J503" s="14">
        <v>59388.0</v>
      </c>
      <c r="K503" s="14">
        <v>38476.0</v>
      </c>
      <c r="L503" s="15">
        <v>0.6479</v>
      </c>
      <c r="M503" s="16"/>
      <c r="N503" s="17"/>
      <c r="O503" s="18">
        <v>99.0</v>
      </c>
      <c r="P503" s="18"/>
      <c r="Q503" s="19">
        <v>0.0026</v>
      </c>
      <c r="R503" s="19"/>
      <c r="S503" s="20"/>
      <c r="T503" s="20"/>
      <c r="U503" s="20"/>
      <c r="V503" s="21" t="s">
        <v>315</v>
      </c>
      <c r="W503" s="18" t="s">
        <v>62</v>
      </c>
      <c r="X503" s="21" t="s">
        <v>1650</v>
      </c>
      <c r="Y503" s="21" t="s">
        <v>1615</v>
      </c>
      <c r="Z503" s="20" t="s">
        <v>1651</v>
      </c>
      <c r="AA503" s="14">
        <v>251.0</v>
      </c>
      <c r="AB503" s="14"/>
      <c r="AC503" s="14">
        <v>251.0</v>
      </c>
      <c r="AD503" s="14">
        <v>630065.0</v>
      </c>
      <c r="AE503" s="14"/>
      <c r="AF503" s="14">
        <v>630065.0</v>
      </c>
      <c r="AG503" s="22"/>
      <c r="AH503" s="22"/>
      <c r="AI503" s="22"/>
      <c r="AJ503" s="22"/>
      <c r="AK503" s="22"/>
      <c r="AL503" s="22"/>
      <c r="AM503" s="22"/>
      <c r="AN503" s="22"/>
      <c r="AO503" s="22"/>
      <c r="AP503" s="22"/>
    </row>
    <row r="504" hidden="1">
      <c r="A504" s="8">
        <v>46079.0</v>
      </c>
      <c r="B504" s="23">
        <v>0.75</v>
      </c>
      <c r="C504" s="10" t="s">
        <v>58</v>
      </c>
      <c r="D504" s="10" t="s">
        <v>59</v>
      </c>
      <c r="E504" s="12" t="s">
        <v>217</v>
      </c>
      <c r="F504" s="12" t="s">
        <v>1611</v>
      </c>
      <c r="G504" s="12" t="s">
        <v>1652</v>
      </c>
      <c r="H504" s="12" t="s">
        <v>1653</v>
      </c>
      <c r="I504" s="57" t="s">
        <v>1649</v>
      </c>
      <c r="J504" s="14">
        <v>125121.0</v>
      </c>
      <c r="K504" s="14">
        <v>82532.0</v>
      </c>
      <c r="L504" s="15">
        <v>0.6596</v>
      </c>
      <c r="M504" s="16"/>
      <c r="N504" s="17"/>
      <c r="O504" s="18">
        <v>127.0</v>
      </c>
      <c r="P504" s="18"/>
      <c r="Q504" s="19">
        <v>0.0015</v>
      </c>
      <c r="R504" s="19"/>
      <c r="S504" s="20"/>
      <c r="T504" s="20"/>
      <c r="U504" s="20"/>
      <c r="V504" s="21" t="s">
        <v>315</v>
      </c>
      <c r="W504" s="18" t="s">
        <v>62</v>
      </c>
      <c r="X504" s="21" t="s">
        <v>1650</v>
      </c>
      <c r="Y504" s="21" t="s">
        <v>1615</v>
      </c>
      <c r="Z504" s="20" t="s">
        <v>1654</v>
      </c>
      <c r="AA504" s="14">
        <v>490.0</v>
      </c>
      <c r="AB504" s="14"/>
      <c r="AC504" s="14">
        <v>490.0</v>
      </c>
      <c r="AD504" s="14">
        <v>1304653.0</v>
      </c>
      <c r="AE504" s="14"/>
      <c r="AF504" s="14">
        <v>1304653.0</v>
      </c>
      <c r="AG504" s="22"/>
      <c r="AH504" s="22"/>
      <c r="AI504" s="22"/>
      <c r="AJ504" s="22"/>
      <c r="AK504" s="22"/>
      <c r="AL504" s="22"/>
      <c r="AM504" s="22"/>
      <c r="AN504" s="22"/>
      <c r="AO504" s="22"/>
      <c r="AP504" s="22"/>
    </row>
    <row r="505" hidden="1">
      <c r="A505" s="8">
        <v>46079.0</v>
      </c>
      <c r="B505" s="23">
        <v>0.7708333333333334</v>
      </c>
      <c r="C505" s="10" t="s">
        <v>196</v>
      </c>
      <c r="D505" s="10" t="s">
        <v>33</v>
      </c>
      <c r="E505" s="12" t="s">
        <v>71</v>
      </c>
      <c r="F505" s="12" t="s">
        <v>1167</v>
      </c>
      <c r="G505" s="12" t="s">
        <v>1655</v>
      </c>
      <c r="H505" s="12" t="s">
        <v>1604</v>
      </c>
      <c r="I505" s="57" t="s">
        <v>1656</v>
      </c>
      <c r="J505" s="14">
        <v>34247.0</v>
      </c>
      <c r="K505" s="14">
        <v>6516.0</v>
      </c>
      <c r="L505" s="15">
        <v>0.19</v>
      </c>
      <c r="M505" s="16">
        <v>734.0</v>
      </c>
      <c r="N505" s="17">
        <v>0.113</v>
      </c>
      <c r="O505" s="18">
        <v>37.0</v>
      </c>
      <c r="P505" s="18"/>
      <c r="Q505" s="19">
        <v>0.006</v>
      </c>
      <c r="R505" s="19"/>
      <c r="S505" s="20">
        <v>3.0</v>
      </c>
      <c r="T505" s="20">
        <v>10.0</v>
      </c>
      <c r="U505" s="85">
        <v>9539.0</v>
      </c>
      <c r="V505" s="21" t="s">
        <v>335</v>
      </c>
      <c r="W505" s="18" t="s">
        <v>95</v>
      </c>
      <c r="X505" s="95" t="s">
        <v>1605</v>
      </c>
      <c r="Y505" s="21" t="s">
        <v>1573</v>
      </c>
      <c r="Z505" s="20" t="s">
        <v>1657</v>
      </c>
      <c r="AA505" s="14">
        <v>9.0</v>
      </c>
      <c r="AB505" s="14">
        <v>9.0</v>
      </c>
      <c r="AC505" s="14"/>
      <c r="AD505" s="14">
        <v>13285.0</v>
      </c>
      <c r="AE505" s="14">
        <v>13285.0</v>
      </c>
      <c r="AF505" s="14"/>
      <c r="AG505" s="22"/>
      <c r="AH505" s="22"/>
      <c r="AI505" s="22"/>
      <c r="AJ505" s="22"/>
      <c r="AK505" s="22"/>
      <c r="AL505" s="22"/>
      <c r="AM505" s="22"/>
      <c r="AN505" s="22"/>
      <c r="AO505" s="22"/>
      <c r="AP505" s="22"/>
    </row>
    <row r="506" hidden="1">
      <c r="A506" s="8">
        <v>46079.0</v>
      </c>
      <c r="B506" s="23">
        <v>0.7708333333333334</v>
      </c>
      <c r="C506" s="10" t="s">
        <v>196</v>
      </c>
      <c r="D506" s="10" t="s">
        <v>33</v>
      </c>
      <c r="E506" s="12" t="s">
        <v>71</v>
      </c>
      <c r="F506" s="12" t="s">
        <v>1167</v>
      </c>
      <c r="G506" s="12" t="s">
        <v>1658</v>
      </c>
      <c r="H506" s="12" t="s">
        <v>1599</v>
      </c>
      <c r="I506" s="57" t="s">
        <v>1659</v>
      </c>
      <c r="J506" s="14">
        <v>25405.0</v>
      </c>
      <c r="K506" s="14">
        <v>2463.0</v>
      </c>
      <c r="L506" s="15">
        <v>0.097</v>
      </c>
      <c r="M506" s="16">
        <v>348.0</v>
      </c>
      <c r="N506" s="17">
        <v>0.141</v>
      </c>
      <c r="O506" s="18">
        <v>19.0</v>
      </c>
      <c r="P506" s="18"/>
      <c r="Q506" s="19">
        <v>0.008</v>
      </c>
      <c r="R506" s="19"/>
      <c r="S506" s="20">
        <v>1.0</v>
      </c>
      <c r="T506" s="20">
        <v>3.0</v>
      </c>
      <c r="U506" s="85">
        <v>1048.0</v>
      </c>
      <c r="V506" s="21" t="s">
        <v>335</v>
      </c>
      <c r="W506" s="18" t="s">
        <v>95</v>
      </c>
      <c r="X506" s="95" t="s">
        <v>1660</v>
      </c>
      <c r="Y506" s="21" t="s">
        <v>1573</v>
      </c>
      <c r="Z506" s="20" t="s">
        <v>1661</v>
      </c>
      <c r="AA506" s="14">
        <v>8.0</v>
      </c>
      <c r="AB506" s="14">
        <v>8.0</v>
      </c>
      <c r="AC506" s="14"/>
      <c r="AD506" s="14">
        <v>21175.0</v>
      </c>
      <c r="AE506" s="14">
        <v>21175.0</v>
      </c>
      <c r="AF506" s="14"/>
      <c r="AG506" s="22"/>
      <c r="AH506" s="22"/>
      <c r="AI506" s="22"/>
      <c r="AJ506" s="22"/>
      <c r="AK506" s="22"/>
      <c r="AL506" s="22"/>
      <c r="AM506" s="22"/>
      <c r="AN506" s="22"/>
      <c r="AO506" s="22"/>
      <c r="AP506" s="22"/>
    </row>
    <row r="507" hidden="1">
      <c r="A507" s="8">
        <v>46081.0</v>
      </c>
      <c r="B507" s="23">
        <v>0.375</v>
      </c>
      <c r="C507" s="10" t="s">
        <v>32</v>
      </c>
      <c r="D507" s="10" t="s">
        <v>33</v>
      </c>
      <c r="E507" s="12" t="s">
        <v>34</v>
      </c>
      <c r="F507" s="12" t="s">
        <v>1662</v>
      </c>
      <c r="G507" s="12" t="s">
        <v>1663</v>
      </c>
      <c r="H507" s="12" t="s">
        <v>1664</v>
      </c>
      <c r="I507" s="57" t="s">
        <v>1665</v>
      </c>
      <c r="J507" s="14">
        <v>34301.0</v>
      </c>
      <c r="K507" s="14">
        <v>13614.0</v>
      </c>
      <c r="L507" s="15">
        <v>0.3969</v>
      </c>
      <c r="M507" s="16">
        <v>6507.0</v>
      </c>
      <c r="N507" s="17">
        <v>0.478</v>
      </c>
      <c r="O507" s="18">
        <v>491.0</v>
      </c>
      <c r="P507" s="18">
        <v>442.0</v>
      </c>
      <c r="Q507" s="19">
        <v>0.0325</v>
      </c>
      <c r="R507" s="19">
        <v>0.0679</v>
      </c>
      <c r="S507" s="20">
        <v>1.0</v>
      </c>
      <c r="T507" s="20">
        <v>0.0</v>
      </c>
      <c r="U507" s="20">
        <v>6400.0</v>
      </c>
      <c r="V507" s="21" t="s">
        <v>183</v>
      </c>
      <c r="W507" s="18" t="s">
        <v>40</v>
      </c>
      <c r="X507" s="41" t="s">
        <v>47</v>
      </c>
      <c r="Y507" s="21" t="s">
        <v>1666</v>
      </c>
      <c r="Z507" s="20" t="s">
        <v>1667</v>
      </c>
      <c r="AA507" s="14">
        <v>8.0</v>
      </c>
      <c r="AB507" s="14">
        <v>1.0</v>
      </c>
      <c r="AC507" s="14">
        <v>7.0</v>
      </c>
      <c r="AD507" s="14">
        <v>71154.0</v>
      </c>
      <c r="AE507" s="14">
        <v>10199.0</v>
      </c>
      <c r="AF507" s="14">
        <v>60955.0</v>
      </c>
      <c r="AG507" s="22"/>
      <c r="AH507" s="22"/>
      <c r="AI507" s="22"/>
      <c r="AJ507" s="22"/>
      <c r="AK507" s="22"/>
      <c r="AL507" s="22"/>
      <c r="AM507" s="22"/>
      <c r="AN507" s="22"/>
      <c r="AO507" s="22"/>
      <c r="AP507" s="22"/>
    </row>
    <row r="508" hidden="1">
      <c r="A508" s="8">
        <v>46081.0</v>
      </c>
      <c r="B508" s="23">
        <v>0.375</v>
      </c>
      <c r="C508" s="10" t="s">
        <v>32</v>
      </c>
      <c r="D508" s="10" t="s">
        <v>33</v>
      </c>
      <c r="E508" s="12" t="s">
        <v>34</v>
      </c>
      <c r="F508" s="12" t="s">
        <v>1662</v>
      </c>
      <c r="G508" s="12" t="s">
        <v>1668</v>
      </c>
      <c r="H508" s="12" t="s">
        <v>1669</v>
      </c>
      <c r="I508" s="57" t="s">
        <v>1670</v>
      </c>
      <c r="J508" s="14">
        <v>15808.0</v>
      </c>
      <c r="K508" s="14">
        <v>5626.0</v>
      </c>
      <c r="L508" s="15">
        <v>0.3559</v>
      </c>
      <c r="M508" s="16">
        <v>2329.0</v>
      </c>
      <c r="N508" s="17">
        <v>0.414</v>
      </c>
      <c r="O508" s="18">
        <v>54.0</v>
      </c>
      <c r="P508" s="18">
        <v>48.0</v>
      </c>
      <c r="Q508" s="19">
        <v>0.0085</v>
      </c>
      <c r="R508" s="19">
        <v>0.0206</v>
      </c>
      <c r="S508" s="20">
        <v>0.0</v>
      </c>
      <c r="T508" s="20">
        <v>0.0</v>
      </c>
      <c r="U508" s="20">
        <v>0.0</v>
      </c>
      <c r="V508" s="21" t="s">
        <v>183</v>
      </c>
      <c r="W508" s="18" t="s">
        <v>40</v>
      </c>
      <c r="X508" s="41" t="s">
        <v>159</v>
      </c>
      <c r="Y508" s="21" t="s">
        <v>1666</v>
      </c>
      <c r="Z508" s="20" t="s">
        <v>1671</v>
      </c>
      <c r="AA508" s="14">
        <v>1.0</v>
      </c>
      <c r="AB508" s="14">
        <v>0.0</v>
      </c>
      <c r="AC508" s="14">
        <v>1.0</v>
      </c>
      <c r="AD508" s="14">
        <v>23397.0</v>
      </c>
      <c r="AE508" s="14">
        <v>0.0</v>
      </c>
      <c r="AF508" s="14">
        <v>23397.0</v>
      </c>
      <c r="AG508" s="22"/>
      <c r="AH508" s="22"/>
      <c r="AI508" s="22"/>
      <c r="AJ508" s="22"/>
      <c r="AK508" s="22"/>
      <c r="AL508" s="22"/>
      <c r="AM508" s="22"/>
      <c r="AN508" s="22"/>
      <c r="AO508" s="22"/>
      <c r="AP508" s="22"/>
    </row>
    <row r="509" hidden="1">
      <c r="A509" s="8">
        <v>46081.0</v>
      </c>
      <c r="B509" s="23">
        <v>0.375</v>
      </c>
      <c r="C509" s="10" t="s">
        <v>32</v>
      </c>
      <c r="D509" s="10" t="s">
        <v>33</v>
      </c>
      <c r="E509" s="12" t="s">
        <v>34</v>
      </c>
      <c r="F509" s="12" t="s">
        <v>1662</v>
      </c>
      <c r="G509" s="12" t="s">
        <v>1672</v>
      </c>
      <c r="H509" s="12" t="s">
        <v>1673</v>
      </c>
      <c r="I509" s="57" t="s">
        <v>1674</v>
      </c>
      <c r="J509" s="14">
        <v>18039.0</v>
      </c>
      <c r="K509" s="14">
        <v>5730.0</v>
      </c>
      <c r="L509" s="15">
        <v>0.3176</v>
      </c>
      <c r="M509" s="16">
        <v>2304.0</v>
      </c>
      <c r="N509" s="17">
        <v>0.4021</v>
      </c>
      <c r="O509" s="18">
        <v>91.0</v>
      </c>
      <c r="P509" s="18">
        <v>82.0</v>
      </c>
      <c r="Q509" s="19">
        <v>0.0143</v>
      </c>
      <c r="R509" s="19">
        <v>0.0356</v>
      </c>
      <c r="S509" s="20">
        <v>0.0</v>
      </c>
      <c r="T509" s="20">
        <v>0.0</v>
      </c>
      <c r="U509" s="20">
        <v>0.0</v>
      </c>
      <c r="V509" s="21" t="s">
        <v>183</v>
      </c>
      <c r="W509" s="18" t="s">
        <v>40</v>
      </c>
      <c r="X509" s="41" t="s">
        <v>159</v>
      </c>
      <c r="Y509" s="21" t="s">
        <v>1666</v>
      </c>
      <c r="Z509" s="20" t="s">
        <v>1675</v>
      </c>
      <c r="AA509" s="14">
        <v>2.0</v>
      </c>
      <c r="AB509" s="14">
        <v>0.0</v>
      </c>
      <c r="AC509" s="14">
        <v>2.0</v>
      </c>
      <c r="AD509" s="14">
        <v>31996.0</v>
      </c>
      <c r="AE509" s="14">
        <v>0.0</v>
      </c>
      <c r="AF509" s="14">
        <v>31996.0</v>
      </c>
      <c r="AG509" s="22"/>
      <c r="AH509" s="22"/>
      <c r="AI509" s="22"/>
      <c r="AJ509" s="22"/>
      <c r="AK509" s="22"/>
      <c r="AL509" s="22"/>
      <c r="AM509" s="22"/>
      <c r="AN509" s="22"/>
      <c r="AO509" s="22"/>
      <c r="AP509" s="22"/>
    </row>
    <row r="510" hidden="1">
      <c r="A510" s="8">
        <v>46081.0</v>
      </c>
      <c r="B510" s="23">
        <v>0.5</v>
      </c>
      <c r="C510" s="10" t="s">
        <v>58</v>
      </c>
      <c r="D510" s="10" t="s">
        <v>59</v>
      </c>
      <c r="E510" s="12" t="s">
        <v>34</v>
      </c>
      <c r="F510" s="12" t="s">
        <v>1662</v>
      </c>
      <c r="G510" s="12" t="s">
        <v>1676</v>
      </c>
      <c r="H510" s="12" t="s">
        <v>1664</v>
      </c>
      <c r="I510" s="57" t="s">
        <v>61</v>
      </c>
      <c r="J510" s="14">
        <v>15437.0</v>
      </c>
      <c r="K510" s="14">
        <v>9167.0</v>
      </c>
      <c r="L510" s="15">
        <v>0.5938</v>
      </c>
      <c r="M510" s="16"/>
      <c r="N510" s="17"/>
      <c r="O510" s="18">
        <v>23.0</v>
      </c>
      <c r="P510" s="18"/>
      <c r="Q510" s="19">
        <v>0.0025</v>
      </c>
      <c r="R510" s="19"/>
      <c r="S510" s="20">
        <v>0.0</v>
      </c>
      <c r="T510" s="20">
        <v>5.0</v>
      </c>
      <c r="U510" s="20">
        <v>0.0</v>
      </c>
      <c r="V510" s="21" t="s">
        <v>183</v>
      </c>
      <c r="W510" s="18" t="s">
        <v>62</v>
      </c>
      <c r="X510" s="41" t="s">
        <v>47</v>
      </c>
      <c r="Y510" s="21" t="s">
        <v>1666</v>
      </c>
      <c r="Z510" s="20" t="s">
        <v>1677</v>
      </c>
      <c r="AA510" s="14">
        <v>3.0</v>
      </c>
      <c r="AB510" s="14">
        <v>1.0</v>
      </c>
      <c r="AC510" s="14">
        <v>2.0</v>
      </c>
      <c r="AD510" s="14">
        <v>21803.0</v>
      </c>
      <c r="AE510" s="14">
        <v>1200.0</v>
      </c>
      <c r="AF510" s="14">
        <v>20603.0</v>
      </c>
      <c r="AG510" s="22"/>
      <c r="AH510" s="22"/>
      <c r="AI510" s="22"/>
      <c r="AJ510" s="22"/>
      <c r="AK510" s="22"/>
      <c r="AL510" s="22"/>
      <c r="AM510" s="22"/>
      <c r="AN510" s="22"/>
      <c r="AO510" s="22"/>
      <c r="AP510" s="22"/>
    </row>
    <row r="511" hidden="1">
      <c r="A511" s="8">
        <v>46081.0</v>
      </c>
      <c r="B511" s="23">
        <v>0.5</v>
      </c>
      <c r="C511" s="10" t="s">
        <v>58</v>
      </c>
      <c r="D511" s="10" t="s">
        <v>59</v>
      </c>
      <c r="E511" s="12" t="s">
        <v>34</v>
      </c>
      <c r="F511" s="12" t="s">
        <v>1662</v>
      </c>
      <c r="G511" s="12" t="s">
        <v>1678</v>
      </c>
      <c r="H511" s="12" t="s">
        <v>1669</v>
      </c>
      <c r="I511" s="57" t="s">
        <v>61</v>
      </c>
      <c r="J511" s="14">
        <v>7618.0</v>
      </c>
      <c r="K511" s="14">
        <v>4516.0</v>
      </c>
      <c r="L511" s="15">
        <v>0.5928</v>
      </c>
      <c r="M511" s="16"/>
      <c r="N511" s="17"/>
      <c r="O511" s="18">
        <v>5.0</v>
      </c>
      <c r="P511" s="18"/>
      <c r="Q511" s="19">
        <v>0.0011</v>
      </c>
      <c r="R511" s="19"/>
      <c r="S511" s="20">
        <v>0.0</v>
      </c>
      <c r="T511" s="20">
        <v>0.0</v>
      </c>
      <c r="U511" s="20">
        <v>0.0</v>
      </c>
      <c r="V511" s="21" t="s">
        <v>183</v>
      </c>
      <c r="W511" s="18" t="s">
        <v>62</v>
      </c>
      <c r="X511" s="41" t="s">
        <v>159</v>
      </c>
      <c r="Y511" s="21" t="s">
        <v>1666</v>
      </c>
      <c r="Z511" s="20" t="s">
        <v>1679</v>
      </c>
      <c r="AA511" s="14">
        <v>0.0</v>
      </c>
      <c r="AB511" s="14">
        <v>0.0</v>
      </c>
      <c r="AC511" s="14">
        <v>0.0</v>
      </c>
      <c r="AD511" s="14">
        <v>0.0</v>
      </c>
      <c r="AE511" s="14">
        <v>0.0</v>
      </c>
      <c r="AF511" s="14">
        <v>0.0</v>
      </c>
      <c r="AG511" s="22"/>
      <c r="AH511" s="22"/>
      <c r="AI511" s="22"/>
      <c r="AJ511" s="22"/>
      <c r="AK511" s="22"/>
      <c r="AL511" s="22"/>
      <c r="AM511" s="22"/>
      <c r="AN511" s="22"/>
      <c r="AO511" s="22"/>
      <c r="AP511" s="22"/>
    </row>
    <row r="512" hidden="1">
      <c r="A512" s="8">
        <v>46081.0</v>
      </c>
      <c r="B512" s="23">
        <v>0.5</v>
      </c>
      <c r="C512" s="10" t="s">
        <v>58</v>
      </c>
      <c r="D512" s="10" t="s">
        <v>59</v>
      </c>
      <c r="E512" s="12" t="s">
        <v>34</v>
      </c>
      <c r="F512" s="12" t="s">
        <v>1662</v>
      </c>
      <c r="G512" s="12" t="s">
        <v>1680</v>
      </c>
      <c r="H512" s="12" t="s">
        <v>1673</v>
      </c>
      <c r="I512" s="57" t="s">
        <v>61</v>
      </c>
      <c r="J512" s="14">
        <v>9201.0</v>
      </c>
      <c r="K512" s="14">
        <v>4830.0</v>
      </c>
      <c r="L512" s="15">
        <v>0.5249</v>
      </c>
      <c r="M512" s="16"/>
      <c r="N512" s="17"/>
      <c r="O512" s="18">
        <v>5.0</v>
      </c>
      <c r="P512" s="18"/>
      <c r="Q512" s="19">
        <v>0.001</v>
      </c>
      <c r="R512" s="19"/>
      <c r="S512" s="20">
        <v>0.0</v>
      </c>
      <c r="T512" s="20">
        <v>0.0</v>
      </c>
      <c r="U512" s="20">
        <v>0.0</v>
      </c>
      <c r="V512" s="21" t="s">
        <v>183</v>
      </c>
      <c r="W512" s="18" t="s">
        <v>62</v>
      </c>
      <c r="X512" s="41" t="s">
        <v>159</v>
      </c>
      <c r="Y512" s="21" t="s">
        <v>1666</v>
      </c>
      <c r="Z512" s="20" t="s">
        <v>1681</v>
      </c>
      <c r="AA512" s="14">
        <v>2.0</v>
      </c>
      <c r="AB512" s="14">
        <v>0.0</v>
      </c>
      <c r="AC512" s="14">
        <v>2.0</v>
      </c>
      <c r="AD512" s="14">
        <v>19937.0</v>
      </c>
      <c r="AE512" s="14">
        <v>0.0</v>
      </c>
      <c r="AF512" s="14">
        <v>19937.0</v>
      </c>
      <c r="AG512" s="22"/>
      <c r="AH512" s="22"/>
      <c r="AI512" s="22"/>
      <c r="AJ512" s="22"/>
      <c r="AK512" s="22"/>
      <c r="AL512" s="22"/>
      <c r="AM512" s="22"/>
      <c r="AN512" s="22"/>
      <c r="AO512" s="22"/>
      <c r="AP512" s="22"/>
    </row>
    <row r="513" hidden="1">
      <c r="A513" s="8">
        <v>46081.0</v>
      </c>
      <c r="B513" s="23">
        <v>0.4166666666666667</v>
      </c>
      <c r="C513" s="10" t="s">
        <v>32</v>
      </c>
      <c r="D513" s="10" t="s">
        <v>33</v>
      </c>
      <c r="E513" s="12" t="s">
        <v>106</v>
      </c>
      <c r="F513" s="12" t="s">
        <v>1682</v>
      </c>
      <c r="G513" s="12" t="s">
        <v>1682</v>
      </c>
      <c r="H513" s="12" t="s">
        <v>1683</v>
      </c>
      <c r="I513" s="57" t="s">
        <v>324</v>
      </c>
      <c r="J513" s="14">
        <v>175239.0</v>
      </c>
      <c r="K513" s="14">
        <v>51108.0</v>
      </c>
      <c r="L513" s="15">
        <v>0.2916</v>
      </c>
      <c r="M513" s="16">
        <v>18394.0</v>
      </c>
      <c r="N513" s="17">
        <v>0.3599</v>
      </c>
      <c r="O513" s="18">
        <v>953.0</v>
      </c>
      <c r="P513" s="18">
        <v>896.0</v>
      </c>
      <c r="Q513" s="19">
        <v>0.0175</v>
      </c>
      <c r="R513" s="19">
        <v>0.0487</v>
      </c>
      <c r="S513" s="20"/>
      <c r="T513" s="20"/>
      <c r="U513" s="20"/>
      <c r="V513" s="21" t="s">
        <v>183</v>
      </c>
      <c r="W513" s="18" t="s">
        <v>76</v>
      </c>
      <c r="X513" s="54" t="s">
        <v>41</v>
      </c>
      <c r="Y513" s="21" t="s">
        <v>1684</v>
      </c>
      <c r="Z513" s="20" t="s">
        <v>1685</v>
      </c>
      <c r="AA513" s="14">
        <v>90.0</v>
      </c>
      <c r="AB513" s="14"/>
      <c r="AC513" s="14">
        <v>90.0</v>
      </c>
      <c r="AD513" s="14">
        <v>1083983.0</v>
      </c>
      <c r="AE513" s="14"/>
      <c r="AF513" s="14">
        <v>1083983.0</v>
      </c>
      <c r="AG513" s="22"/>
      <c r="AH513" s="22"/>
      <c r="AI513" s="22"/>
      <c r="AJ513" s="22"/>
      <c r="AK513" s="22"/>
      <c r="AL513" s="22"/>
      <c r="AM513" s="22"/>
      <c r="AN513" s="22"/>
      <c r="AO513" s="22"/>
      <c r="AP513" s="22"/>
    </row>
    <row r="514" hidden="1">
      <c r="A514" s="8">
        <v>46081.0</v>
      </c>
      <c r="B514" s="23">
        <v>0.4166666666666667</v>
      </c>
      <c r="C514" s="10" t="s">
        <v>32</v>
      </c>
      <c r="D514" s="10" t="s">
        <v>33</v>
      </c>
      <c r="E514" s="12" t="s">
        <v>106</v>
      </c>
      <c r="F514" s="12" t="s">
        <v>1686</v>
      </c>
      <c r="G514" s="12" t="s">
        <v>1686</v>
      </c>
      <c r="H514" s="12" t="s">
        <v>313</v>
      </c>
      <c r="I514" s="57" t="s">
        <v>314</v>
      </c>
      <c r="J514" s="14">
        <v>23049.0</v>
      </c>
      <c r="K514" s="14">
        <v>1808.0</v>
      </c>
      <c r="L514" s="15">
        <v>0.0784</v>
      </c>
      <c r="M514" s="16">
        <v>1240.0</v>
      </c>
      <c r="N514" s="17">
        <v>0.6858</v>
      </c>
      <c r="O514" s="18">
        <v>55.0</v>
      </c>
      <c r="P514" s="18">
        <v>51.0</v>
      </c>
      <c r="Q514" s="19">
        <v>0.0282</v>
      </c>
      <c r="R514" s="19">
        <v>0.0411</v>
      </c>
      <c r="S514" s="20"/>
      <c r="T514" s="20"/>
      <c r="U514" s="20"/>
      <c r="V514" s="21" t="s">
        <v>315</v>
      </c>
      <c r="W514" s="18" t="s">
        <v>76</v>
      </c>
      <c r="X514" s="21" t="s">
        <v>1139</v>
      </c>
      <c r="Y514" s="21" t="s">
        <v>1684</v>
      </c>
      <c r="Z514" s="20" t="s">
        <v>1687</v>
      </c>
      <c r="AA514" s="14">
        <v>7.0</v>
      </c>
      <c r="AB514" s="14"/>
      <c r="AC514" s="14">
        <v>7.0</v>
      </c>
      <c r="AD514" s="14">
        <v>105989.0</v>
      </c>
      <c r="AE514" s="14"/>
      <c r="AF514" s="14">
        <v>105989.0</v>
      </c>
      <c r="AG514" s="22"/>
      <c r="AH514" s="22"/>
      <c r="AI514" s="22"/>
      <c r="AJ514" s="22"/>
      <c r="AK514" s="22"/>
      <c r="AL514" s="22"/>
      <c r="AM514" s="22"/>
      <c r="AN514" s="22"/>
      <c r="AO514" s="22"/>
      <c r="AP514" s="22"/>
    </row>
    <row r="515" hidden="1">
      <c r="A515" s="8">
        <v>46081.0</v>
      </c>
      <c r="B515" s="23">
        <v>0.5</v>
      </c>
      <c r="C515" s="10" t="s">
        <v>58</v>
      </c>
      <c r="D515" s="10" t="s">
        <v>59</v>
      </c>
      <c r="E515" s="12" t="s">
        <v>106</v>
      </c>
      <c r="F515" s="12" t="s">
        <v>1686</v>
      </c>
      <c r="G515" s="12" t="s">
        <v>1688</v>
      </c>
      <c r="H515" s="12" t="s">
        <v>313</v>
      </c>
      <c r="I515" s="57" t="s">
        <v>61</v>
      </c>
      <c r="J515" s="14">
        <v>21137.0</v>
      </c>
      <c r="K515" s="14">
        <v>10764.0</v>
      </c>
      <c r="L515" s="15">
        <v>0.5092</v>
      </c>
      <c r="M515" s="16"/>
      <c r="N515" s="17"/>
      <c r="O515" s="18">
        <v>0.0</v>
      </c>
      <c r="P515" s="18"/>
      <c r="Q515" s="19">
        <v>0.0</v>
      </c>
      <c r="R515" s="19"/>
      <c r="S515" s="20"/>
      <c r="T515" s="20"/>
      <c r="U515" s="20"/>
      <c r="V515" s="21" t="s">
        <v>315</v>
      </c>
      <c r="W515" s="18" t="s">
        <v>62</v>
      </c>
      <c r="X515" s="21" t="s">
        <v>1139</v>
      </c>
      <c r="Y515" s="21" t="s">
        <v>1684</v>
      </c>
      <c r="Z515" s="20" t="s">
        <v>1689</v>
      </c>
      <c r="AA515" s="14">
        <v>62.0</v>
      </c>
      <c r="AB515" s="14"/>
      <c r="AC515" s="14">
        <v>62.0</v>
      </c>
      <c r="AD515" s="14">
        <v>916505.0</v>
      </c>
      <c r="AE515" s="14"/>
      <c r="AF515" s="14">
        <v>916505.0</v>
      </c>
      <c r="AG515" s="22"/>
      <c r="AH515" s="22"/>
      <c r="AI515" s="22"/>
      <c r="AJ515" s="22"/>
      <c r="AK515" s="22"/>
      <c r="AL515" s="22"/>
      <c r="AM515" s="22"/>
      <c r="AN515" s="22"/>
      <c r="AO515" s="22"/>
      <c r="AP515" s="22"/>
    </row>
    <row r="516" hidden="1">
      <c r="A516" s="8">
        <v>46081.0</v>
      </c>
      <c r="B516" s="23">
        <v>0.5</v>
      </c>
      <c r="C516" s="10" t="s">
        <v>58</v>
      </c>
      <c r="D516" s="10" t="s">
        <v>59</v>
      </c>
      <c r="E516" s="12" t="s">
        <v>106</v>
      </c>
      <c r="F516" s="12" t="s">
        <v>1682</v>
      </c>
      <c r="G516" s="12" t="s">
        <v>1690</v>
      </c>
      <c r="H516" s="12" t="s">
        <v>1683</v>
      </c>
      <c r="I516" s="57" t="s">
        <v>61</v>
      </c>
      <c r="J516" s="14">
        <v>122083.0</v>
      </c>
      <c r="K516" s="14">
        <v>70697.0</v>
      </c>
      <c r="L516" s="15">
        <v>0.5791</v>
      </c>
      <c r="M516" s="16"/>
      <c r="N516" s="17"/>
      <c r="O516" s="18">
        <v>0.0</v>
      </c>
      <c r="P516" s="18"/>
      <c r="Q516" s="19">
        <v>0.0</v>
      </c>
      <c r="R516" s="19"/>
      <c r="S516" s="20"/>
      <c r="T516" s="20"/>
      <c r="U516" s="20"/>
      <c r="V516" s="21" t="s">
        <v>183</v>
      </c>
      <c r="W516" s="18" t="s">
        <v>62</v>
      </c>
      <c r="X516" s="54" t="s">
        <v>41</v>
      </c>
      <c r="Y516" s="21" t="s">
        <v>1684</v>
      </c>
      <c r="Z516" s="20" t="s">
        <v>1691</v>
      </c>
      <c r="AA516" s="14">
        <v>165.0</v>
      </c>
      <c r="AB516" s="14"/>
      <c r="AC516" s="14">
        <v>165.0</v>
      </c>
      <c r="AD516" s="14">
        <v>2079688.0</v>
      </c>
      <c r="AE516" s="14"/>
      <c r="AF516" s="14">
        <v>2079688.0</v>
      </c>
      <c r="AG516" s="22"/>
      <c r="AH516" s="22"/>
      <c r="AI516" s="22"/>
      <c r="AJ516" s="22"/>
      <c r="AK516" s="22"/>
      <c r="AL516" s="22"/>
      <c r="AM516" s="22"/>
      <c r="AN516" s="22"/>
      <c r="AO516" s="22"/>
      <c r="AP516" s="22"/>
    </row>
    <row r="517" hidden="1">
      <c r="A517" s="8">
        <v>46082.0</v>
      </c>
      <c r="B517" s="23">
        <v>0.5</v>
      </c>
      <c r="C517" s="10" t="s">
        <v>32</v>
      </c>
      <c r="D517" s="10" t="s">
        <v>33</v>
      </c>
      <c r="E517" s="12" t="s">
        <v>71</v>
      </c>
      <c r="F517" s="12" t="s">
        <v>1167</v>
      </c>
      <c r="G517" s="12" t="s">
        <v>1692</v>
      </c>
      <c r="H517" s="12" t="s">
        <v>1576</v>
      </c>
      <c r="I517" s="57" t="s">
        <v>1577</v>
      </c>
      <c r="J517" s="14">
        <v>5620.0</v>
      </c>
      <c r="K517" s="14">
        <v>1211.0</v>
      </c>
      <c r="L517" s="15">
        <v>0.2155</v>
      </c>
      <c r="M517" s="16">
        <v>500.0</v>
      </c>
      <c r="N517" s="17">
        <v>0.4129</v>
      </c>
      <c r="O517" s="18">
        <v>47.0</v>
      </c>
      <c r="P517" s="18">
        <v>39.0</v>
      </c>
      <c r="Q517" s="19">
        <v>0.0322</v>
      </c>
      <c r="R517" s="19">
        <v>0.078</v>
      </c>
      <c r="S517" s="20">
        <v>0.0</v>
      </c>
      <c r="T517" s="20">
        <v>1.0</v>
      </c>
      <c r="U517" s="20">
        <v>0.0</v>
      </c>
      <c r="V517" s="21" t="s">
        <v>335</v>
      </c>
      <c r="W517" s="18" t="s">
        <v>76</v>
      </c>
      <c r="X517" s="21" t="s">
        <v>52</v>
      </c>
      <c r="Y517" s="41" t="s">
        <v>1693</v>
      </c>
      <c r="Z517" s="20" t="s">
        <v>1694</v>
      </c>
      <c r="AA517" s="14">
        <v>6.0</v>
      </c>
      <c r="AB517" s="14">
        <v>6.0</v>
      </c>
      <c r="AC517" s="14"/>
      <c r="AD517" s="14">
        <v>19579.0</v>
      </c>
      <c r="AE517" s="14">
        <v>19579.0</v>
      </c>
      <c r="AF517" s="14"/>
      <c r="AG517" s="22"/>
      <c r="AH517" s="22"/>
      <c r="AI517" s="22"/>
      <c r="AJ517" s="22"/>
      <c r="AK517" s="22"/>
      <c r="AL517" s="22"/>
      <c r="AM517" s="22"/>
      <c r="AN517" s="22"/>
      <c r="AO517" s="22"/>
      <c r="AP517" s="22"/>
    </row>
    <row r="518" hidden="1">
      <c r="A518" s="8">
        <v>46082.0</v>
      </c>
      <c r="B518" s="23">
        <v>0.5</v>
      </c>
      <c r="C518" s="10" t="s">
        <v>32</v>
      </c>
      <c r="D518" s="10" t="s">
        <v>33</v>
      </c>
      <c r="E518" s="12" t="s">
        <v>71</v>
      </c>
      <c r="F518" s="12" t="s">
        <v>1167</v>
      </c>
      <c r="G518" s="12" t="s">
        <v>1695</v>
      </c>
      <c r="H518" s="12" t="s">
        <v>1580</v>
      </c>
      <c r="I518" s="57" t="s">
        <v>1581</v>
      </c>
      <c r="J518" s="14">
        <v>21835.0</v>
      </c>
      <c r="K518" s="14">
        <v>4033.0</v>
      </c>
      <c r="L518" s="15">
        <v>0.1847</v>
      </c>
      <c r="M518" s="16">
        <v>1681.0</v>
      </c>
      <c r="N518" s="17">
        <v>0.4168</v>
      </c>
      <c r="O518" s="18">
        <v>130.0</v>
      </c>
      <c r="P518" s="18">
        <v>123.0</v>
      </c>
      <c r="Q518" s="19">
        <v>0.0305</v>
      </c>
      <c r="R518" s="19">
        <v>0.0732</v>
      </c>
      <c r="S518" s="20">
        <v>1.0</v>
      </c>
      <c r="T518" s="20">
        <v>6.0</v>
      </c>
      <c r="U518" s="20">
        <v>2997.0</v>
      </c>
      <c r="V518" s="21" t="s">
        <v>335</v>
      </c>
      <c r="W518" s="18" t="s">
        <v>76</v>
      </c>
      <c r="X518" s="42" t="s">
        <v>165</v>
      </c>
      <c r="Y518" s="41" t="s">
        <v>1693</v>
      </c>
      <c r="Z518" s="20" t="s">
        <v>1696</v>
      </c>
      <c r="AA518" s="14">
        <v>16.0</v>
      </c>
      <c r="AB518" s="14">
        <v>16.0</v>
      </c>
      <c r="AC518" s="14"/>
      <c r="AD518" s="14">
        <v>46358.0</v>
      </c>
      <c r="AE518" s="14">
        <v>46358.0</v>
      </c>
      <c r="AF518" s="14"/>
      <c r="AG518" s="22"/>
      <c r="AH518" s="22"/>
      <c r="AI518" s="22"/>
      <c r="AJ518" s="22"/>
      <c r="AK518" s="22"/>
      <c r="AL518" s="22"/>
      <c r="AM518" s="22"/>
      <c r="AN518" s="22"/>
      <c r="AO518" s="22"/>
      <c r="AP518" s="22"/>
    </row>
    <row r="519" hidden="1">
      <c r="A519" s="8">
        <v>46082.0</v>
      </c>
      <c r="B519" s="23">
        <v>0.5</v>
      </c>
      <c r="C519" s="10" t="s">
        <v>32</v>
      </c>
      <c r="D519" s="10" t="s">
        <v>33</v>
      </c>
      <c r="E519" s="12" t="s">
        <v>71</v>
      </c>
      <c r="F519" s="12" t="s">
        <v>1167</v>
      </c>
      <c r="G519" s="12" t="s">
        <v>1697</v>
      </c>
      <c r="H519" s="12" t="s">
        <v>1584</v>
      </c>
      <c r="I519" s="57" t="s">
        <v>1585</v>
      </c>
      <c r="J519" s="14">
        <v>947.0</v>
      </c>
      <c r="K519" s="14">
        <v>244.0</v>
      </c>
      <c r="L519" s="15">
        <v>0.2577</v>
      </c>
      <c r="M519" s="16">
        <v>120.0</v>
      </c>
      <c r="N519" s="17">
        <v>0.4918</v>
      </c>
      <c r="O519" s="18">
        <v>17.0</v>
      </c>
      <c r="P519" s="18">
        <v>16.0</v>
      </c>
      <c r="Q519" s="19">
        <v>0.0656</v>
      </c>
      <c r="R519" s="19">
        <v>0.1333</v>
      </c>
      <c r="S519" s="20">
        <v>2.0</v>
      </c>
      <c r="T519" s="20">
        <v>3.0</v>
      </c>
      <c r="U519" s="20">
        <v>2908.0</v>
      </c>
      <c r="V519" s="21" t="s">
        <v>335</v>
      </c>
      <c r="W519" s="18" t="s">
        <v>76</v>
      </c>
      <c r="X519" s="21" t="s">
        <v>1586</v>
      </c>
      <c r="Y519" s="41" t="s">
        <v>1693</v>
      </c>
      <c r="Z519" s="20" t="s">
        <v>1698</v>
      </c>
      <c r="AA519" s="14">
        <v>2.0</v>
      </c>
      <c r="AB519" s="14">
        <v>2.0</v>
      </c>
      <c r="AC519" s="14"/>
      <c r="AD519" s="14">
        <v>2897.0</v>
      </c>
      <c r="AE519" s="14">
        <v>2897.0</v>
      </c>
      <c r="AF519" s="14"/>
      <c r="AG519" s="22"/>
      <c r="AH519" s="22"/>
      <c r="AI519" s="22"/>
      <c r="AJ519" s="22"/>
      <c r="AK519" s="22"/>
      <c r="AL519" s="22"/>
      <c r="AM519" s="22"/>
      <c r="AN519" s="22"/>
      <c r="AO519" s="22"/>
      <c r="AP519" s="22"/>
    </row>
    <row r="520" hidden="1">
      <c r="A520" s="8">
        <v>46082.0</v>
      </c>
      <c r="B520" s="23">
        <v>0.5</v>
      </c>
      <c r="C520" s="10" t="s">
        <v>32</v>
      </c>
      <c r="D520" s="10" t="s">
        <v>33</v>
      </c>
      <c r="E520" s="12" t="s">
        <v>71</v>
      </c>
      <c r="F520" s="12" t="s">
        <v>1167</v>
      </c>
      <c r="G520" s="12" t="s">
        <v>1699</v>
      </c>
      <c r="H520" s="12" t="s">
        <v>1589</v>
      </c>
      <c r="I520" s="57" t="s">
        <v>1590</v>
      </c>
      <c r="J520" s="14">
        <v>3699.0</v>
      </c>
      <c r="K520" s="14">
        <v>872.0</v>
      </c>
      <c r="L520" s="15">
        <v>0.2357</v>
      </c>
      <c r="M520" s="16">
        <v>417.0</v>
      </c>
      <c r="N520" s="17">
        <v>0.4782</v>
      </c>
      <c r="O520" s="18">
        <v>50.0</v>
      </c>
      <c r="P520" s="18">
        <v>47.0</v>
      </c>
      <c r="Q520" s="19">
        <v>0.0539</v>
      </c>
      <c r="R520" s="19">
        <v>0.1127</v>
      </c>
      <c r="S520" s="20">
        <v>6.0</v>
      </c>
      <c r="T520" s="20">
        <v>15.0</v>
      </c>
      <c r="U520" s="20">
        <v>23344.0</v>
      </c>
      <c r="V520" s="21" t="s">
        <v>335</v>
      </c>
      <c r="W520" s="18" t="s">
        <v>76</v>
      </c>
      <c r="X520" s="21" t="s">
        <v>1591</v>
      </c>
      <c r="Y520" s="41" t="s">
        <v>1693</v>
      </c>
      <c r="Z520" s="20" t="s">
        <v>1700</v>
      </c>
      <c r="AA520" s="14">
        <v>13.0</v>
      </c>
      <c r="AB520" s="14">
        <v>13.0</v>
      </c>
      <c r="AC520" s="14"/>
      <c r="AD520" s="14">
        <v>32863.0</v>
      </c>
      <c r="AE520" s="14">
        <v>32863.0</v>
      </c>
      <c r="AF520" s="14"/>
      <c r="AG520" s="22"/>
      <c r="AH520" s="22"/>
      <c r="AI520" s="22"/>
      <c r="AJ520" s="22"/>
      <c r="AK520" s="22"/>
      <c r="AL520" s="22"/>
      <c r="AM520" s="22"/>
      <c r="AN520" s="22"/>
      <c r="AO520" s="22"/>
      <c r="AP520" s="22"/>
    </row>
    <row r="521" hidden="1">
      <c r="A521" s="8">
        <v>46082.0</v>
      </c>
      <c r="B521" s="23">
        <v>0.5</v>
      </c>
      <c r="C521" s="10" t="s">
        <v>32</v>
      </c>
      <c r="D521" s="10" t="s">
        <v>33</v>
      </c>
      <c r="E521" s="12" t="s">
        <v>71</v>
      </c>
      <c r="F521" s="12" t="s">
        <v>1167</v>
      </c>
      <c r="G521" s="12" t="s">
        <v>1701</v>
      </c>
      <c r="H521" s="12" t="s">
        <v>1571</v>
      </c>
      <c r="I521" s="57" t="s">
        <v>1572</v>
      </c>
      <c r="J521" s="14">
        <v>8037.0</v>
      </c>
      <c r="K521" s="14">
        <v>1882.0</v>
      </c>
      <c r="L521" s="15">
        <v>0.2342</v>
      </c>
      <c r="M521" s="16">
        <v>873.0</v>
      </c>
      <c r="N521" s="17">
        <v>0.4641</v>
      </c>
      <c r="O521" s="18">
        <v>70.0</v>
      </c>
      <c r="P521" s="18">
        <v>66.0</v>
      </c>
      <c r="Q521" s="19">
        <v>0.0351</v>
      </c>
      <c r="R521" s="19">
        <v>0.0756</v>
      </c>
      <c r="S521" s="20">
        <v>0.0</v>
      </c>
      <c r="T521" s="20">
        <v>0.0</v>
      </c>
      <c r="U521" s="20">
        <v>0.0</v>
      </c>
      <c r="V521" s="21" t="s">
        <v>335</v>
      </c>
      <c r="W521" s="18" t="s">
        <v>76</v>
      </c>
      <c r="X521" s="42" t="s">
        <v>47</v>
      </c>
      <c r="Y521" s="41" t="s">
        <v>1693</v>
      </c>
      <c r="Z521" s="20" t="s">
        <v>1702</v>
      </c>
      <c r="AA521" s="14">
        <v>3.0</v>
      </c>
      <c r="AB521" s="14">
        <v>3.0</v>
      </c>
      <c r="AC521" s="14"/>
      <c r="AD521" s="14">
        <v>4791.0</v>
      </c>
      <c r="AE521" s="14">
        <v>4791.0</v>
      </c>
      <c r="AF521" s="14"/>
      <c r="AG521" s="22"/>
      <c r="AH521" s="22"/>
      <c r="AI521" s="22"/>
      <c r="AJ521" s="22"/>
      <c r="AK521" s="22"/>
      <c r="AL521" s="22"/>
      <c r="AM521" s="22"/>
      <c r="AN521" s="22"/>
      <c r="AO521" s="22"/>
      <c r="AP521" s="22"/>
    </row>
    <row r="522" hidden="1">
      <c r="A522" s="8">
        <v>46082.0</v>
      </c>
      <c r="B522" s="23">
        <v>0.5833333333333334</v>
      </c>
      <c r="C522" s="10" t="s">
        <v>58</v>
      </c>
      <c r="D522" s="10" t="s">
        <v>59</v>
      </c>
      <c r="E522" s="12" t="s">
        <v>71</v>
      </c>
      <c r="F522" s="12" t="s">
        <v>1167</v>
      </c>
      <c r="G522" s="12" t="s">
        <v>1703</v>
      </c>
      <c r="H522" s="12" t="s">
        <v>1704</v>
      </c>
      <c r="I522" s="57" t="s">
        <v>454</v>
      </c>
      <c r="J522" s="14">
        <v>31244.0</v>
      </c>
      <c r="K522" s="14">
        <v>20326.0</v>
      </c>
      <c r="L522" s="15">
        <v>0.6506</v>
      </c>
      <c r="M522" s="16"/>
      <c r="N522" s="17"/>
      <c r="O522" s="18">
        <v>16.0</v>
      </c>
      <c r="P522" s="18"/>
      <c r="Q522" s="19">
        <v>8.0E-4</v>
      </c>
      <c r="R522" s="19"/>
      <c r="S522" s="20">
        <v>0.0</v>
      </c>
      <c r="T522" s="20">
        <v>1.0</v>
      </c>
      <c r="U522" s="20">
        <v>0.0</v>
      </c>
      <c r="V522" s="21" t="s">
        <v>335</v>
      </c>
      <c r="W522" s="18" t="s">
        <v>62</v>
      </c>
      <c r="X522" s="95" t="s">
        <v>1605</v>
      </c>
      <c r="Y522" s="41" t="s">
        <v>1705</v>
      </c>
      <c r="Z522" s="20" t="s">
        <v>1706</v>
      </c>
      <c r="AA522" s="14">
        <v>8.0</v>
      </c>
      <c r="AB522" s="14">
        <v>8.0</v>
      </c>
      <c r="AC522" s="14"/>
      <c r="AD522" s="14">
        <v>9486.0</v>
      </c>
      <c r="AE522" s="14">
        <v>9486.0</v>
      </c>
      <c r="AF522" s="14"/>
      <c r="AG522" s="22"/>
      <c r="AH522" s="22"/>
      <c r="AI522" s="22"/>
      <c r="AJ522" s="22"/>
      <c r="AK522" s="22"/>
      <c r="AL522" s="22"/>
      <c r="AM522" s="22"/>
      <c r="AN522" s="22"/>
      <c r="AO522" s="22"/>
      <c r="AP522" s="22"/>
    </row>
    <row r="523" hidden="1">
      <c r="A523" s="8">
        <v>46082.0</v>
      </c>
      <c r="B523" s="23">
        <v>0.5833333333333334</v>
      </c>
      <c r="C523" s="10" t="s">
        <v>58</v>
      </c>
      <c r="D523" s="10" t="s">
        <v>59</v>
      </c>
      <c r="E523" s="12" t="s">
        <v>71</v>
      </c>
      <c r="F523" s="12" t="s">
        <v>1167</v>
      </c>
      <c r="G523" s="12" t="s">
        <v>1707</v>
      </c>
      <c r="H523" s="12" t="s">
        <v>1599</v>
      </c>
      <c r="I523" s="57" t="s">
        <v>454</v>
      </c>
      <c r="J523" s="14">
        <v>24318.0</v>
      </c>
      <c r="K523" s="14">
        <v>13340.0</v>
      </c>
      <c r="L523" s="15">
        <v>0.5486</v>
      </c>
      <c r="M523" s="16"/>
      <c r="N523" s="17"/>
      <c r="O523" s="18">
        <v>13.0</v>
      </c>
      <c r="P523" s="18"/>
      <c r="Q523" s="19">
        <v>0.001</v>
      </c>
      <c r="R523" s="19"/>
      <c r="S523" s="20">
        <v>0.0</v>
      </c>
      <c r="T523" s="20">
        <v>1.0</v>
      </c>
      <c r="U523" s="20">
        <v>0.0</v>
      </c>
      <c r="V523" s="21" t="s">
        <v>335</v>
      </c>
      <c r="W523" s="18" t="s">
        <v>62</v>
      </c>
      <c r="X523" s="42" t="s">
        <v>82</v>
      </c>
      <c r="Y523" s="41" t="s">
        <v>1705</v>
      </c>
      <c r="Z523" s="20" t="s">
        <v>1708</v>
      </c>
      <c r="AA523" s="14">
        <v>14.0</v>
      </c>
      <c r="AB523" s="14">
        <v>14.0</v>
      </c>
      <c r="AC523" s="14"/>
      <c r="AD523" s="14">
        <v>47299.0</v>
      </c>
      <c r="AE523" s="14">
        <v>47299.0</v>
      </c>
      <c r="AF523" s="14"/>
      <c r="AG523" s="22"/>
      <c r="AH523" s="22"/>
      <c r="AI523" s="22"/>
      <c r="AJ523" s="22"/>
      <c r="AK523" s="22"/>
      <c r="AL523" s="22"/>
      <c r="AM523" s="22"/>
      <c r="AN523" s="22"/>
      <c r="AO523" s="22"/>
      <c r="AP523" s="22"/>
    </row>
    <row r="524" hidden="1">
      <c r="A524" s="8">
        <v>46082.0</v>
      </c>
      <c r="B524" s="23">
        <v>0.5833333333333334</v>
      </c>
      <c r="C524" s="10" t="s">
        <v>58</v>
      </c>
      <c r="D524" s="10" t="s">
        <v>59</v>
      </c>
      <c r="E524" s="12" t="s">
        <v>71</v>
      </c>
      <c r="F524" s="12" t="s">
        <v>1167</v>
      </c>
      <c r="G524" s="12" t="s">
        <v>1709</v>
      </c>
      <c r="H524" s="12" t="s">
        <v>1571</v>
      </c>
      <c r="I524" s="57" t="s">
        <v>61</v>
      </c>
      <c r="J524" s="14">
        <v>6092.0</v>
      </c>
      <c r="K524" s="14">
        <v>3695.0</v>
      </c>
      <c r="L524" s="15">
        <v>0.6065</v>
      </c>
      <c r="M524" s="16"/>
      <c r="N524" s="17"/>
      <c r="O524" s="18">
        <v>7.0</v>
      </c>
      <c r="P524" s="18"/>
      <c r="Q524" s="19">
        <v>0.0019</v>
      </c>
      <c r="R524" s="19"/>
      <c r="S524" s="20">
        <v>0.0</v>
      </c>
      <c r="T524" s="20">
        <v>0.0</v>
      </c>
      <c r="U524" s="20">
        <v>0.0</v>
      </c>
      <c r="V524" s="21" t="s">
        <v>335</v>
      </c>
      <c r="W524" s="18" t="s">
        <v>62</v>
      </c>
      <c r="X524" s="42" t="s">
        <v>47</v>
      </c>
      <c r="Y524" s="41" t="s">
        <v>1705</v>
      </c>
      <c r="Z524" s="20" t="s">
        <v>1710</v>
      </c>
      <c r="AA524" s="14">
        <v>4.0</v>
      </c>
      <c r="AB524" s="14">
        <v>4.0</v>
      </c>
      <c r="AC524" s="14"/>
      <c r="AD524" s="14">
        <v>25864.0</v>
      </c>
      <c r="AE524" s="14">
        <v>25864.0</v>
      </c>
      <c r="AF524" s="14"/>
      <c r="AG524" s="22"/>
      <c r="AH524" s="22"/>
      <c r="AI524" s="22"/>
      <c r="AJ524" s="22"/>
      <c r="AK524" s="22"/>
      <c r="AL524" s="22"/>
      <c r="AM524" s="22"/>
      <c r="AN524" s="22"/>
      <c r="AO524" s="22"/>
      <c r="AP524" s="22"/>
    </row>
    <row r="525" hidden="1">
      <c r="A525" s="8">
        <v>46082.0</v>
      </c>
      <c r="B525" s="23">
        <v>0.5833333333333334</v>
      </c>
      <c r="C525" s="10" t="s">
        <v>58</v>
      </c>
      <c r="D525" s="10" t="s">
        <v>59</v>
      </c>
      <c r="E525" s="12" t="s">
        <v>71</v>
      </c>
      <c r="F525" s="12" t="s">
        <v>1167</v>
      </c>
      <c r="G525" s="12" t="s">
        <v>1711</v>
      </c>
      <c r="H525" s="12" t="s">
        <v>1576</v>
      </c>
      <c r="I525" s="57" t="s">
        <v>61</v>
      </c>
      <c r="J525" s="14">
        <v>4339.0</v>
      </c>
      <c r="K525" s="14">
        <v>2611.0</v>
      </c>
      <c r="L525" s="15">
        <v>0.6018</v>
      </c>
      <c r="M525" s="16"/>
      <c r="N525" s="17"/>
      <c r="O525" s="18">
        <v>9.0</v>
      </c>
      <c r="P525" s="18"/>
      <c r="Q525" s="19">
        <v>0.0034</v>
      </c>
      <c r="R525" s="19"/>
      <c r="S525" s="20">
        <v>0.0</v>
      </c>
      <c r="T525" s="20">
        <v>1.0</v>
      </c>
      <c r="U525" s="20">
        <v>0.0</v>
      </c>
      <c r="V525" s="21" t="s">
        <v>335</v>
      </c>
      <c r="W525" s="18" t="s">
        <v>62</v>
      </c>
      <c r="X525" s="21" t="s">
        <v>52</v>
      </c>
      <c r="Y525" s="41" t="s">
        <v>1705</v>
      </c>
      <c r="Z525" s="20" t="s">
        <v>1712</v>
      </c>
      <c r="AA525" s="14">
        <v>2.0</v>
      </c>
      <c r="AB525" s="14">
        <v>2.0</v>
      </c>
      <c r="AC525" s="14"/>
      <c r="AD525" s="14">
        <v>6393.0</v>
      </c>
      <c r="AE525" s="14">
        <v>6393.0</v>
      </c>
      <c r="AF525" s="14"/>
      <c r="AG525" s="22"/>
      <c r="AH525" s="22"/>
      <c r="AI525" s="22"/>
      <c r="AJ525" s="22"/>
      <c r="AK525" s="22"/>
      <c r="AL525" s="22"/>
      <c r="AM525" s="22"/>
      <c r="AN525" s="22"/>
      <c r="AO525" s="22"/>
      <c r="AP525" s="22"/>
    </row>
    <row r="526" hidden="1">
      <c r="A526" s="8">
        <v>46082.0</v>
      </c>
      <c r="B526" s="23">
        <v>0.5833333333333334</v>
      </c>
      <c r="C526" s="10" t="s">
        <v>58</v>
      </c>
      <c r="D526" s="10" t="s">
        <v>59</v>
      </c>
      <c r="E526" s="12" t="s">
        <v>71</v>
      </c>
      <c r="F526" s="12" t="s">
        <v>1167</v>
      </c>
      <c r="G526" s="12" t="s">
        <v>1713</v>
      </c>
      <c r="H526" s="12" t="s">
        <v>1580</v>
      </c>
      <c r="I526" s="57" t="s">
        <v>61</v>
      </c>
      <c r="J526" s="14">
        <v>17526.0</v>
      </c>
      <c r="K526" s="14">
        <v>8691.0</v>
      </c>
      <c r="L526" s="15">
        <v>0.4959</v>
      </c>
      <c r="M526" s="16"/>
      <c r="N526" s="17"/>
      <c r="O526" s="18">
        <v>29.0</v>
      </c>
      <c r="P526" s="18"/>
      <c r="Q526" s="19">
        <v>0.0033</v>
      </c>
      <c r="R526" s="19"/>
      <c r="S526" s="20">
        <v>1.0</v>
      </c>
      <c r="T526" s="20">
        <v>3.0</v>
      </c>
      <c r="U526" s="20">
        <v>3996.0</v>
      </c>
      <c r="V526" s="21" t="s">
        <v>335</v>
      </c>
      <c r="W526" s="18" t="s">
        <v>62</v>
      </c>
      <c r="X526" s="42" t="s">
        <v>165</v>
      </c>
      <c r="Y526" s="41" t="s">
        <v>1705</v>
      </c>
      <c r="Z526" s="20" t="s">
        <v>1714</v>
      </c>
      <c r="AA526" s="14">
        <v>21.0</v>
      </c>
      <c r="AB526" s="14">
        <v>21.0</v>
      </c>
      <c r="AC526" s="14"/>
      <c r="AD526" s="14">
        <v>72254.0</v>
      </c>
      <c r="AE526" s="14">
        <v>72254.0</v>
      </c>
      <c r="AF526" s="14"/>
      <c r="AG526" s="22"/>
      <c r="AH526" s="22"/>
      <c r="AI526" s="22"/>
      <c r="AJ526" s="22"/>
      <c r="AK526" s="22"/>
      <c r="AL526" s="22"/>
      <c r="AM526" s="22"/>
      <c r="AN526" s="22"/>
      <c r="AO526" s="22"/>
      <c r="AP526" s="22"/>
    </row>
    <row r="527" hidden="1">
      <c r="A527" s="8">
        <v>46082.0</v>
      </c>
      <c r="B527" s="23">
        <v>0.5833333333333334</v>
      </c>
      <c r="C527" s="10" t="s">
        <v>58</v>
      </c>
      <c r="D527" s="10" t="s">
        <v>59</v>
      </c>
      <c r="E527" s="12" t="s">
        <v>71</v>
      </c>
      <c r="F527" s="12" t="s">
        <v>1167</v>
      </c>
      <c r="G527" s="12" t="s">
        <v>1715</v>
      </c>
      <c r="H527" s="12" t="s">
        <v>1584</v>
      </c>
      <c r="I527" s="57" t="s">
        <v>61</v>
      </c>
      <c r="J527" s="14">
        <v>689.0</v>
      </c>
      <c r="K527" s="14">
        <v>484.0</v>
      </c>
      <c r="L527" s="15">
        <v>0.7025</v>
      </c>
      <c r="M527" s="16"/>
      <c r="N527" s="17"/>
      <c r="O527" s="18">
        <v>1.0</v>
      </c>
      <c r="P527" s="18"/>
      <c r="Q527" s="19">
        <v>0.0021</v>
      </c>
      <c r="R527" s="19"/>
      <c r="S527" s="20">
        <v>0.0</v>
      </c>
      <c r="T527" s="20">
        <v>1.0</v>
      </c>
      <c r="U527" s="20">
        <v>0.0</v>
      </c>
      <c r="V527" s="21" t="s">
        <v>335</v>
      </c>
      <c r="W527" s="18" t="s">
        <v>62</v>
      </c>
      <c r="X527" s="21" t="s">
        <v>1586</v>
      </c>
      <c r="Y527" s="41" t="s">
        <v>1705</v>
      </c>
      <c r="Z527" s="20" t="s">
        <v>1716</v>
      </c>
      <c r="AA527" s="14">
        <v>0.0</v>
      </c>
      <c r="AB527" s="14">
        <v>0.0</v>
      </c>
      <c r="AC527" s="14"/>
      <c r="AD527" s="14">
        <v>0.0</v>
      </c>
      <c r="AE527" s="14">
        <v>0.0</v>
      </c>
      <c r="AF527" s="14"/>
      <c r="AG527" s="22"/>
      <c r="AH527" s="22"/>
      <c r="AI527" s="22"/>
      <c r="AJ527" s="22"/>
      <c r="AK527" s="22"/>
      <c r="AL527" s="22"/>
      <c r="AM527" s="22"/>
      <c r="AN527" s="22"/>
      <c r="AO527" s="22"/>
      <c r="AP527" s="22"/>
    </row>
    <row r="528" hidden="1">
      <c r="A528" s="8">
        <v>46082.0</v>
      </c>
      <c r="B528" s="23">
        <v>0.5833333333333334</v>
      </c>
      <c r="C528" s="10" t="s">
        <v>58</v>
      </c>
      <c r="D528" s="10" t="s">
        <v>59</v>
      </c>
      <c r="E528" s="12" t="s">
        <v>71</v>
      </c>
      <c r="F528" s="12" t="s">
        <v>1167</v>
      </c>
      <c r="G528" s="12" t="s">
        <v>1717</v>
      </c>
      <c r="H528" s="12" t="s">
        <v>1589</v>
      </c>
      <c r="I528" s="57" t="s">
        <v>61</v>
      </c>
      <c r="J528" s="14">
        <v>2806.0</v>
      </c>
      <c r="K528" s="14">
        <v>1996.0</v>
      </c>
      <c r="L528" s="15">
        <v>0.7113</v>
      </c>
      <c r="M528" s="16"/>
      <c r="N528" s="17"/>
      <c r="O528" s="18">
        <v>10.0</v>
      </c>
      <c r="P528" s="18"/>
      <c r="Q528" s="19">
        <v>0.005</v>
      </c>
      <c r="R528" s="19"/>
      <c r="S528" s="20">
        <v>3.0</v>
      </c>
      <c r="T528" s="20">
        <v>11.0</v>
      </c>
      <c r="U528" s="20">
        <v>3562.0</v>
      </c>
      <c r="V528" s="21" t="s">
        <v>335</v>
      </c>
      <c r="W528" s="18" t="s">
        <v>62</v>
      </c>
      <c r="X528" s="21" t="s">
        <v>1591</v>
      </c>
      <c r="Y528" s="41" t="s">
        <v>1705</v>
      </c>
      <c r="Z528" s="20" t="s">
        <v>1718</v>
      </c>
      <c r="AA528" s="14">
        <v>10.0</v>
      </c>
      <c r="AB528" s="14">
        <v>10.0</v>
      </c>
      <c r="AC528" s="14"/>
      <c r="AD528" s="14">
        <v>18778.0</v>
      </c>
      <c r="AE528" s="14">
        <v>18778.0</v>
      </c>
      <c r="AF528" s="14"/>
      <c r="AG528" s="22"/>
      <c r="AH528" s="22"/>
      <c r="AI528" s="22"/>
      <c r="AJ528" s="22"/>
      <c r="AK528" s="22"/>
      <c r="AL528" s="22"/>
      <c r="AM528" s="22"/>
      <c r="AN528" s="22"/>
      <c r="AO528" s="22"/>
      <c r="AP528" s="22"/>
    </row>
    <row r="529" hidden="1">
      <c r="A529" s="8">
        <v>46082.0</v>
      </c>
      <c r="B529" s="23">
        <v>0.5</v>
      </c>
      <c r="C529" s="10" t="s">
        <v>196</v>
      </c>
      <c r="D529" s="10" t="s">
        <v>33</v>
      </c>
      <c r="E529" s="12" t="s">
        <v>71</v>
      </c>
      <c r="F529" s="12" t="s">
        <v>1167</v>
      </c>
      <c r="G529" s="12" t="s">
        <v>1719</v>
      </c>
      <c r="H529" s="12" t="s">
        <v>1704</v>
      </c>
      <c r="I529" s="57" t="s">
        <v>1656</v>
      </c>
      <c r="J529" s="14">
        <v>34140.0</v>
      </c>
      <c r="K529" s="14">
        <v>2787.0</v>
      </c>
      <c r="L529" s="15">
        <v>0.082</v>
      </c>
      <c r="M529" s="16">
        <v>252.0</v>
      </c>
      <c r="N529" s="17">
        <v>0.09</v>
      </c>
      <c r="O529" s="18">
        <v>16.0</v>
      </c>
      <c r="P529" s="18"/>
      <c r="Q529" s="19">
        <v>0.006</v>
      </c>
      <c r="R529" s="19"/>
      <c r="S529" s="20">
        <v>1.0</v>
      </c>
      <c r="T529" s="20">
        <v>3.0</v>
      </c>
      <c r="U529" s="20">
        <v>4995.0</v>
      </c>
      <c r="V529" s="21" t="s">
        <v>335</v>
      </c>
      <c r="W529" s="18" t="s">
        <v>95</v>
      </c>
      <c r="X529" s="95" t="s">
        <v>1605</v>
      </c>
      <c r="Y529" s="41" t="s">
        <v>1693</v>
      </c>
      <c r="Z529" s="20" t="s">
        <v>1720</v>
      </c>
      <c r="AA529" s="14">
        <v>4.0</v>
      </c>
      <c r="AB529" s="14">
        <v>4.0</v>
      </c>
      <c r="AC529" s="14"/>
      <c r="AD529" s="14">
        <v>9292.0</v>
      </c>
      <c r="AE529" s="14">
        <v>9292.0</v>
      </c>
      <c r="AF529" s="14"/>
      <c r="AG529" s="22"/>
      <c r="AH529" s="22"/>
      <c r="AI529" s="22"/>
      <c r="AJ529" s="22"/>
      <c r="AK529" s="22"/>
      <c r="AL529" s="22"/>
      <c r="AM529" s="22"/>
      <c r="AN529" s="22"/>
      <c r="AO529" s="22"/>
      <c r="AP529" s="22"/>
    </row>
    <row r="530" hidden="1">
      <c r="A530" s="8">
        <v>46082.0</v>
      </c>
      <c r="B530" s="23">
        <v>0.5</v>
      </c>
      <c r="C530" s="10" t="s">
        <v>196</v>
      </c>
      <c r="D530" s="10" t="s">
        <v>33</v>
      </c>
      <c r="E530" s="12" t="s">
        <v>71</v>
      </c>
      <c r="F530" s="12" t="s">
        <v>1167</v>
      </c>
      <c r="G530" s="12" t="s">
        <v>1721</v>
      </c>
      <c r="H530" s="12" t="s">
        <v>1599</v>
      </c>
      <c r="I530" s="57" t="s">
        <v>1659</v>
      </c>
      <c r="J530" s="14">
        <v>25313.0</v>
      </c>
      <c r="K530" s="14">
        <v>945.0</v>
      </c>
      <c r="L530" s="15">
        <v>0.037</v>
      </c>
      <c r="M530" s="16">
        <v>103.0</v>
      </c>
      <c r="N530" s="17">
        <v>0.109</v>
      </c>
      <c r="O530" s="18">
        <v>4.0</v>
      </c>
      <c r="P530" s="18"/>
      <c r="Q530" s="19">
        <v>0.004</v>
      </c>
      <c r="R530" s="19"/>
      <c r="S530" s="20"/>
      <c r="T530" s="20"/>
      <c r="U530" s="20"/>
      <c r="V530" s="21" t="s">
        <v>335</v>
      </c>
      <c r="W530" s="18" t="s">
        <v>95</v>
      </c>
      <c r="X530" s="95" t="s">
        <v>1660</v>
      </c>
      <c r="Y530" s="41" t="s">
        <v>1693</v>
      </c>
      <c r="Z530" s="20" t="s">
        <v>1722</v>
      </c>
      <c r="AA530" s="14">
        <v>1.0</v>
      </c>
      <c r="AB530" s="14">
        <v>1.0</v>
      </c>
      <c r="AC530" s="14"/>
      <c r="AD530" s="14">
        <v>2398.0</v>
      </c>
      <c r="AE530" s="14">
        <v>2398.0</v>
      </c>
      <c r="AF530" s="14"/>
      <c r="AG530" s="22"/>
      <c r="AH530" s="22"/>
      <c r="AI530" s="22"/>
      <c r="AJ530" s="22"/>
      <c r="AK530" s="22"/>
      <c r="AL530" s="22"/>
      <c r="AM530" s="22"/>
      <c r="AN530" s="22"/>
      <c r="AO530" s="22"/>
      <c r="AP530" s="22"/>
    </row>
    <row r="531" hidden="1">
      <c r="A531" s="8">
        <v>46084.0</v>
      </c>
      <c r="B531" s="23">
        <v>0.75</v>
      </c>
      <c r="C531" s="10" t="s">
        <v>58</v>
      </c>
      <c r="D531" s="10" t="s">
        <v>33</v>
      </c>
      <c r="E531" s="12" t="s">
        <v>71</v>
      </c>
      <c r="F531" s="12" t="s">
        <v>517</v>
      </c>
      <c r="G531" s="12" t="s">
        <v>1723</v>
      </c>
      <c r="H531" s="96" t="s">
        <v>1724</v>
      </c>
      <c r="I531" s="57" t="s">
        <v>1725</v>
      </c>
      <c r="J531" s="14">
        <v>51833.0</v>
      </c>
      <c r="K531" s="14">
        <v>27580.0</v>
      </c>
      <c r="L531" s="15">
        <v>0.5321</v>
      </c>
      <c r="M531" s="16"/>
      <c r="N531" s="17"/>
      <c r="O531" s="18">
        <v>113.0</v>
      </c>
      <c r="P531" s="18"/>
      <c r="Q531" s="19">
        <v>0.0041</v>
      </c>
      <c r="R531" s="19"/>
      <c r="S531" s="20">
        <v>3.0</v>
      </c>
      <c r="T531" s="20">
        <v>16.0</v>
      </c>
      <c r="U531" s="20">
        <v>9988.0</v>
      </c>
      <c r="V531" s="21" t="s">
        <v>335</v>
      </c>
      <c r="W531" s="18" t="s">
        <v>62</v>
      </c>
      <c r="X531" s="21" t="s">
        <v>1726</v>
      </c>
      <c r="Y531" s="92" t="s">
        <v>1727</v>
      </c>
      <c r="Z531" s="20" t="s">
        <v>1728</v>
      </c>
      <c r="AA531" s="25">
        <v>16.0</v>
      </c>
      <c r="AB531" s="25">
        <v>16.0</v>
      </c>
      <c r="AC531" s="97"/>
      <c r="AD531" s="25">
        <v>64192.0</v>
      </c>
      <c r="AE531" s="25">
        <v>64192.0</v>
      </c>
      <c r="AF531" s="97"/>
      <c r="AG531" s="22"/>
      <c r="AH531" s="22"/>
      <c r="AI531" s="22"/>
      <c r="AJ531" s="22"/>
      <c r="AK531" s="22"/>
      <c r="AL531" s="22"/>
      <c r="AM531" s="22"/>
      <c r="AN531" s="22"/>
      <c r="AO531" s="22"/>
      <c r="AP531" s="22"/>
    </row>
    <row r="532" hidden="1">
      <c r="A532" s="26">
        <v>46084.0</v>
      </c>
      <c r="B532" s="27">
        <v>0.75</v>
      </c>
      <c r="C532" s="28" t="s">
        <v>58</v>
      </c>
      <c r="D532" s="28" t="s">
        <v>33</v>
      </c>
      <c r="E532" s="30" t="s">
        <v>71</v>
      </c>
      <c r="F532" s="30" t="s">
        <v>517</v>
      </c>
      <c r="G532" s="30" t="s">
        <v>1729</v>
      </c>
      <c r="H532" s="96" t="s">
        <v>1730</v>
      </c>
      <c r="I532" s="72" t="s">
        <v>1731</v>
      </c>
      <c r="J532" s="33">
        <v>6634.0</v>
      </c>
      <c r="K532" s="33">
        <v>4601.0</v>
      </c>
      <c r="L532" s="34">
        <v>0.6935</v>
      </c>
      <c r="M532" s="35"/>
      <c r="N532" s="36"/>
      <c r="O532" s="37">
        <v>22.0</v>
      </c>
      <c r="P532" s="37"/>
      <c r="Q532" s="38">
        <v>0.0048</v>
      </c>
      <c r="R532" s="38"/>
      <c r="S532" s="39">
        <v>2.0</v>
      </c>
      <c r="T532" s="39">
        <v>20.0</v>
      </c>
      <c r="U532" s="39">
        <v>4316.0</v>
      </c>
      <c r="V532" s="41" t="s">
        <v>335</v>
      </c>
      <c r="W532" s="37" t="s">
        <v>62</v>
      </c>
      <c r="X532" s="41" t="s">
        <v>1726</v>
      </c>
      <c r="Y532" s="42" t="s">
        <v>1727</v>
      </c>
      <c r="Z532" s="39" t="s">
        <v>1732</v>
      </c>
      <c r="AA532" s="98">
        <v>2.0</v>
      </c>
      <c r="AB532" s="98">
        <v>2.0</v>
      </c>
      <c r="AC532" s="98"/>
      <c r="AD532" s="98">
        <v>7015.0</v>
      </c>
      <c r="AE532" s="98">
        <v>7015.0</v>
      </c>
      <c r="AF532" s="98"/>
      <c r="AG532" s="43"/>
      <c r="AH532" s="43"/>
      <c r="AI532" s="43"/>
      <c r="AJ532" s="43"/>
      <c r="AK532" s="43"/>
      <c r="AL532" s="43"/>
      <c r="AM532" s="43"/>
      <c r="AN532" s="43"/>
      <c r="AO532" s="43"/>
      <c r="AP532" s="43"/>
    </row>
    <row r="533" hidden="1">
      <c r="A533" s="8">
        <v>46084.0</v>
      </c>
      <c r="B533" s="23">
        <v>0.75</v>
      </c>
      <c r="C533" s="10" t="s">
        <v>58</v>
      </c>
      <c r="D533" s="10" t="s">
        <v>33</v>
      </c>
      <c r="E533" s="12" t="s">
        <v>71</v>
      </c>
      <c r="F533" s="12" t="s">
        <v>517</v>
      </c>
      <c r="G533" s="12" t="s">
        <v>1733</v>
      </c>
      <c r="H533" s="96" t="s">
        <v>1734</v>
      </c>
      <c r="I533" s="57" t="s">
        <v>1735</v>
      </c>
      <c r="J533" s="14">
        <v>55883.0</v>
      </c>
      <c r="K533" s="14">
        <v>33179.0</v>
      </c>
      <c r="L533" s="15">
        <v>0.5937</v>
      </c>
      <c r="M533" s="16"/>
      <c r="N533" s="17"/>
      <c r="O533" s="18">
        <v>47.0</v>
      </c>
      <c r="P533" s="18"/>
      <c r="Q533" s="19">
        <v>0.0014</v>
      </c>
      <c r="R533" s="19"/>
      <c r="S533" s="20">
        <v>1.0</v>
      </c>
      <c r="T533" s="20">
        <v>8.0</v>
      </c>
      <c r="U533" s="20">
        <v>2787.0</v>
      </c>
      <c r="V533" s="21" t="s">
        <v>335</v>
      </c>
      <c r="W533" s="18" t="s">
        <v>62</v>
      </c>
      <c r="X533" s="21" t="s">
        <v>1726</v>
      </c>
      <c r="Y533" s="92" t="s">
        <v>1727</v>
      </c>
      <c r="Z533" s="20" t="s">
        <v>1736</v>
      </c>
      <c r="AA533" s="25">
        <v>7.0</v>
      </c>
      <c r="AB533" s="25">
        <v>7.0</v>
      </c>
      <c r="AC533" s="97"/>
      <c r="AD533" s="25">
        <v>14138.0</v>
      </c>
      <c r="AE533" s="25">
        <v>14138.0</v>
      </c>
      <c r="AF533" s="97"/>
      <c r="AG533" s="22"/>
      <c r="AH533" s="22"/>
      <c r="AI533" s="22"/>
      <c r="AJ533" s="22"/>
      <c r="AK533" s="22"/>
      <c r="AL533" s="22"/>
      <c r="AM533" s="22"/>
      <c r="AN533" s="22"/>
      <c r="AO533" s="22"/>
      <c r="AP533" s="22"/>
    </row>
    <row r="534" hidden="1">
      <c r="A534" s="8">
        <v>46084.0</v>
      </c>
      <c r="B534" s="23">
        <v>0.75</v>
      </c>
      <c r="C534" s="10" t="s">
        <v>58</v>
      </c>
      <c r="D534" s="10" t="s">
        <v>33</v>
      </c>
      <c r="E534" s="12" t="s">
        <v>71</v>
      </c>
      <c r="F534" s="12" t="s">
        <v>517</v>
      </c>
      <c r="G534" s="12" t="s">
        <v>1737</v>
      </c>
      <c r="H534" s="96" t="s">
        <v>1738</v>
      </c>
      <c r="I534" s="57" t="s">
        <v>1739</v>
      </c>
      <c r="J534" s="14">
        <v>2787.0</v>
      </c>
      <c r="K534" s="14">
        <v>1946.0</v>
      </c>
      <c r="L534" s="15">
        <v>0.6982</v>
      </c>
      <c r="M534" s="16"/>
      <c r="N534" s="17"/>
      <c r="O534" s="18">
        <v>13.0</v>
      </c>
      <c r="P534" s="18"/>
      <c r="Q534" s="19">
        <v>0.0067</v>
      </c>
      <c r="R534" s="19"/>
      <c r="S534" s="20">
        <v>2.0</v>
      </c>
      <c r="T534" s="20">
        <v>22.0</v>
      </c>
      <c r="U534" s="20">
        <v>9945.0</v>
      </c>
      <c r="V534" s="21" t="s">
        <v>335</v>
      </c>
      <c r="W534" s="18" t="s">
        <v>62</v>
      </c>
      <c r="X534" s="21" t="s">
        <v>1726</v>
      </c>
      <c r="Y534" s="92" t="s">
        <v>1727</v>
      </c>
      <c r="Z534" s="20" t="s">
        <v>1740</v>
      </c>
      <c r="AA534" s="25">
        <v>3.0</v>
      </c>
      <c r="AB534" s="25">
        <v>3.0</v>
      </c>
      <c r="AC534" s="97"/>
      <c r="AD534" s="25">
        <v>11154.0</v>
      </c>
      <c r="AE534" s="25">
        <v>11154.0</v>
      </c>
      <c r="AF534" s="97"/>
      <c r="AG534" s="22"/>
      <c r="AH534" s="22"/>
      <c r="AI534" s="22"/>
      <c r="AJ534" s="22"/>
      <c r="AK534" s="22"/>
      <c r="AL534" s="22"/>
      <c r="AM534" s="22"/>
      <c r="AN534" s="22"/>
      <c r="AO534" s="22"/>
      <c r="AP534" s="22"/>
    </row>
    <row r="535" hidden="1">
      <c r="A535" s="8">
        <v>46086.0</v>
      </c>
      <c r="B535" s="23">
        <v>0.4375</v>
      </c>
      <c r="C535" s="10" t="s">
        <v>32</v>
      </c>
      <c r="D535" s="10" t="s">
        <v>33</v>
      </c>
      <c r="E535" s="12" t="s">
        <v>71</v>
      </c>
      <c r="F535" s="12" t="s">
        <v>517</v>
      </c>
      <c r="G535" s="12" t="s">
        <v>1741</v>
      </c>
      <c r="H535" s="96" t="s">
        <v>1742</v>
      </c>
      <c r="I535" s="57" t="s">
        <v>1739</v>
      </c>
      <c r="J535" s="14">
        <v>2735.0</v>
      </c>
      <c r="K535" s="14">
        <v>1201.0</v>
      </c>
      <c r="L535" s="15">
        <v>0.4391</v>
      </c>
      <c r="M535" s="16">
        <v>610.0</v>
      </c>
      <c r="N535" s="17">
        <v>0.5079</v>
      </c>
      <c r="O535" s="18">
        <v>92.0</v>
      </c>
      <c r="P535" s="18">
        <v>87.0</v>
      </c>
      <c r="Q535" s="19">
        <v>0.0724</v>
      </c>
      <c r="R535" s="19">
        <v>0.1426</v>
      </c>
      <c r="S535" s="20">
        <v>6.0</v>
      </c>
      <c r="T535" s="20">
        <v>37.0</v>
      </c>
      <c r="U535" s="20">
        <v>47630.0</v>
      </c>
      <c r="V535" s="21" t="s">
        <v>335</v>
      </c>
      <c r="W535" s="18" t="s">
        <v>76</v>
      </c>
      <c r="X535" s="21" t="s">
        <v>1101</v>
      </c>
      <c r="Y535" s="18" t="s">
        <v>1743</v>
      </c>
      <c r="Z535" s="20" t="s">
        <v>1744</v>
      </c>
      <c r="AA535" s="25">
        <v>9.0</v>
      </c>
      <c r="AB535" s="25">
        <v>9.0</v>
      </c>
      <c r="AC535" s="97"/>
      <c r="AD535" s="25">
        <v>57085.0</v>
      </c>
      <c r="AE535" s="25">
        <v>57085.0</v>
      </c>
      <c r="AF535" s="97"/>
      <c r="AG535" s="22"/>
      <c r="AH535" s="22"/>
      <c r="AI535" s="22"/>
      <c r="AJ535" s="22"/>
      <c r="AK535" s="22"/>
      <c r="AL535" s="22"/>
      <c r="AM535" s="22"/>
      <c r="AN535" s="22"/>
      <c r="AO535" s="22"/>
      <c r="AP535" s="22"/>
    </row>
    <row r="536" hidden="1">
      <c r="A536" s="8">
        <v>46086.0</v>
      </c>
      <c r="B536" s="23">
        <v>0.4375</v>
      </c>
      <c r="C536" s="10" t="s">
        <v>32</v>
      </c>
      <c r="D536" s="10" t="s">
        <v>33</v>
      </c>
      <c r="E536" s="12" t="s">
        <v>71</v>
      </c>
      <c r="F536" s="12" t="s">
        <v>517</v>
      </c>
      <c r="G536" s="12" t="s">
        <v>1745</v>
      </c>
      <c r="H536" s="96" t="s">
        <v>1746</v>
      </c>
      <c r="I536" s="30" t="s">
        <v>1725</v>
      </c>
      <c r="J536" s="14">
        <v>93522.0</v>
      </c>
      <c r="K536" s="14">
        <v>33808.0</v>
      </c>
      <c r="L536" s="15">
        <v>0.3615</v>
      </c>
      <c r="M536" s="16">
        <v>13424.0</v>
      </c>
      <c r="N536" s="17">
        <v>0.3971</v>
      </c>
      <c r="O536" s="18">
        <v>1436.0</v>
      </c>
      <c r="P536" s="18">
        <v>1328.0</v>
      </c>
      <c r="Q536" s="19">
        <v>0.0393</v>
      </c>
      <c r="R536" s="19">
        <v>0.0989</v>
      </c>
      <c r="S536" s="20">
        <v>15.0</v>
      </c>
      <c r="T536" s="20">
        <v>31.0</v>
      </c>
      <c r="U536" s="20">
        <v>72185.0</v>
      </c>
      <c r="V536" s="21" t="s">
        <v>183</v>
      </c>
      <c r="W536" s="18" t="s">
        <v>76</v>
      </c>
      <c r="X536" s="21" t="s">
        <v>1726</v>
      </c>
      <c r="Y536" s="18" t="s">
        <v>1743</v>
      </c>
      <c r="Z536" s="20" t="s">
        <v>1747</v>
      </c>
      <c r="AA536" s="25">
        <v>204.0</v>
      </c>
      <c r="AB536" s="25">
        <v>69.0</v>
      </c>
      <c r="AC536" s="25">
        <v>135.0</v>
      </c>
      <c r="AD536" s="25">
        <v>1060832.0</v>
      </c>
      <c r="AE536" s="25">
        <v>322446.0</v>
      </c>
      <c r="AF536" s="25">
        <v>738386.0</v>
      </c>
      <c r="AG536" s="22"/>
      <c r="AH536" s="22"/>
      <c r="AI536" s="22"/>
      <c r="AJ536" s="22"/>
      <c r="AK536" s="22"/>
      <c r="AL536" s="22"/>
      <c r="AM536" s="22"/>
      <c r="AN536" s="22"/>
      <c r="AO536" s="22"/>
      <c r="AP536" s="22"/>
    </row>
    <row r="537" hidden="1">
      <c r="A537" s="8">
        <v>46086.0</v>
      </c>
      <c r="B537" s="23">
        <v>0.4375</v>
      </c>
      <c r="C537" s="10" t="s">
        <v>32</v>
      </c>
      <c r="D537" s="10" t="s">
        <v>33</v>
      </c>
      <c r="E537" s="12" t="s">
        <v>71</v>
      </c>
      <c r="F537" s="12" t="s">
        <v>517</v>
      </c>
      <c r="G537" s="12" t="s">
        <v>1748</v>
      </c>
      <c r="H537" s="96" t="s">
        <v>1749</v>
      </c>
      <c r="I537" s="57" t="s">
        <v>1750</v>
      </c>
      <c r="J537" s="14">
        <v>205454.0</v>
      </c>
      <c r="K537" s="14">
        <v>92928.0</v>
      </c>
      <c r="L537" s="15">
        <v>0.4523</v>
      </c>
      <c r="M537" s="16">
        <v>35328.0</v>
      </c>
      <c r="N537" s="17">
        <v>0.3802</v>
      </c>
      <c r="O537" s="18">
        <v>2896.0</v>
      </c>
      <c r="P537" s="18">
        <v>2750.0</v>
      </c>
      <c r="Q537" s="19">
        <v>0.0296</v>
      </c>
      <c r="R537" s="19">
        <v>0.0778</v>
      </c>
      <c r="S537" s="20">
        <v>16.0</v>
      </c>
      <c r="T537" s="20">
        <v>27.0</v>
      </c>
      <c r="U537" s="20">
        <v>73885.0</v>
      </c>
      <c r="V537" s="21" t="s">
        <v>183</v>
      </c>
      <c r="W537" s="18" t="s">
        <v>76</v>
      </c>
      <c r="X537" s="21" t="s">
        <v>1726</v>
      </c>
      <c r="Y537" s="18" t="s">
        <v>1743</v>
      </c>
      <c r="Z537" s="20" t="s">
        <v>1751</v>
      </c>
      <c r="AA537" s="25">
        <v>234.0</v>
      </c>
      <c r="AB537" s="25">
        <v>54.0</v>
      </c>
      <c r="AC537" s="25">
        <v>180.0</v>
      </c>
      <c r="AD537" s="25">
        <v>1218661.0</v>
      </c>
      <c r="AE537" s="25">
        <v>255655.0</v>
      </c>
      <c r="AF537" s="25">
        <v>963006.0</v>
      </c>
      <c r="AG537" s="22"/>
      <c r="AH537" s="22"/>
      <c r="AI537" s="22"/>
      <c r="AJ537" s="22"/>
      <c r="AK537" s="22"/>
      <c r="AL537" s="22"/>
      <c r="AM537" s="22"/>
      <c r="AN537" s="22"/>
      <c r="AO537" s="22"/>
      <c r="AP537" s="22"/>
    </row>
    <row r="538" hidden="1">
      <c r="A538" s="8">
        <v>46086.0</v>
      </c>
      <c r="B538" s="23">
        <v>0.4375</v>
      </c>
      <c r="C538" s="10" t="s">
        <v>32</v>
      </c>
      <c r="D538" s="10" t="s">
        <v>33</v>
      </c>
      <c r="E538" s="12" t="s">
        <v>71</v>
      </c>
      <c r="F538" s="12" t="s">
        <v>517</v>
      </c>
      <c r="G538" s="12" t="s">
        <v>1752</v>
      </c>
      <c r="H538" s="96" t="s">
        <v>1753</v>
      </c>
      <c r="I538" s="57" t="s">
        <v>1754</v>
      </c>
      <c r="J538" s="14">
        <v>8912.0</v>
      </c>
      <c r="K538" s="14">
        <v>3480.0</v>
      </c>
      <c r="L538" s="15">
        <v>0.3905</v>
      </c>
      <c r="M538" s="16">
        <v>1318.0</v>
      </c>
      <c r="N538" s="17">
        <v>0.3787</v>
      </c>
      <c r="O538" s="18">
        <v>81.0</v>
      </c>
      <c r="P538" s="18">
        <v>74.0</v>
      </c>
      <c r="Q538" s="19">
        <v>0.0213</v>
      </c>
      <c r="R538" s="19">
        <v>0.0561</v>
      </c>
      <c r="S538" s="20">
        <v>0.0</v>
      </c>
      <c r="T538" s="20">
        <v>0.0</v>
      </c>
      <c r="U538" s="20">
        <v>0.0</v>
      </c>
      <c r="V538" s="21" t="s">
        <v>183</v>
      </c>
      <c r="W538" s="18" t="s">
        <v>76</v>
      </c>
      <c r="X538" s="21" t="s">
        <v>1726</v>
      </c>
      <c r="Y538" s="18" t="s">
        <v>1743</v>
      </c>
      <c r="Z538" s="20" t="s">
        <v>1755</v>
      </c>
      <c r="AA538" s="25">
        <v>7.0</v>
      </c>
      <c r="AB538" s="25">
        <v>2.0</v>
      </c>
      <c r="AC538" s="25">
        <v>5.0</v>
      </c>
      <c r="AD538" s="25">
        <v>31386.0</v>
      </c>
      <c r="AE538" s="25">
        <v>8396.0</v>
      </c>
      <c r="AF538" s="25">
        <v>22990.0</v>
      </c>
      <c r="AG538" s="22"/>
      <c r="AH538" s="22"/>
      <c r="AI538" s="22"/>
      <c r="AJ538" s="22"/>
      <c r="AK538" s="22"/>
      <c r="AL538" s="22"/>
      <c r="AM538" s="22"/>
      <c r="AN538" s="22"/>
      <c r="AO538" s="22"/>
      <c r="AP538" s="22"/>
    </row>
    <row r="539" hidden="1">
      <c r="A539" s="8">
        <v>46086.0</v>
      </c>
      <c r="B539" s="23">
        <v>0.5</v>
      </c>
      <c r="C539" s="10" t="s">
        <v>196</v>
      </c>
      <c r="D539" s="10" t="s">
        <v>59</v>
      </c>
      <c r="E539" s="12" t="s">
        <v>71</v>
      </c>
      <c r="F539" s="12" t="s">
        <v>517</v>
      </c>
      <c r="G539" s="12" t="s">
        <v>1756</v>
      </c>
      <c r="H539" s="96" t="s">
        <v>1749</v>
      </c>
      <c r="I539" s="57" t="s">
        <v>61</v>
      </c>
      <c r="J539" s="14">
        <v>106206.0</v>
      </c>
      <c r="K539" s="14">
        <v>21364.0</v>
      </c>
      <c r="L539" s="15">
        <v>0.2012</v>
      </c>
      <c r="M539" s="16"/>
      <c r="N539" s="17"/>
      <c r="O539" s="18">
        <v>84.0</v>
      </c>
      <c r="P539" s="18"/>
      <c r="Q539" s="19">
        <v>0.0039</v>
      </c>
      <c r="R539" s="19"/>
      <c r="S539" s="20">
        <v>0.0</v>
      </c>
      <c r="T539" s="20">
        <v>0.0</v>
      </c>
      <c r="U539" s="20">
        <v>0.0</v>
      </c>
      <c r="V539" s="21" t="s">
        <v>183</v>
      </c>
      <c r="W539" s="18" t="s">
        <v>95</v>
      </c>
      <c r="X539" s="21" t="s">
        <v>1726</v>
      </c>
      <c r="Y539" s="66" t="s">
        <v>1743</v>
      </c>
      <c r="Z539" s="20" t="s">
        <v>1757</v>
      </c>
      <c r="AA539" s="25">
        <v>37.0</v>
      </c>
      <c r="AB539" s="25">
        <v>3.0</v>
      </c>
      <c r="AC539" s="25">
        <v>34.0</v>
      </c>
      <c r="AD539" s="25">
        <v>229992.0</v>
      </c>
      <c r="AE539" s="25">
        <v>10888.0</v>
      </c>
      <c r="AF539" s="25">
        <v>219104.0</v>
      </c>
      <c r="AG539" s="22"/>
      <c r="AH539" s="22"/>
      <c r="AI539" s="22"/>
      <c r="AJ539" s="22"/>
      <c r="AK539" s="22"/>
      <c r="AL539" s="22"/>
      <c r="AM539" s="22"/>
      <c r="AN539" s="22"/>
      <c r="AO539" s="22"/>
      <c r="AP539" s="22"/>
    </row>
    <row r="540" hidden="1">
      <c r="A540" s="8">
        <v>46086.0</v>
      </c>
      <c r="B540" s="23">
        <v>0.5</v>
      </c>
      <c r="C540" s="10" t="s">
        <v>196</v>
      </c>
      <c r="D540" s="10" t="s">
        <v>59</v>
      </c>
      <c r="E540" s="12" t="s">
        <v>71</v>
      </c>
      <c r="F540" s="12" t="s">
        <v>517</v>
      </c>
      <c r="G540" s="12" t="s">
        <v>1758</v>
      </c>
      <c r="H540" s="96" t="s">
        <v>1746</v>
      </c>
      <c r="I540" s="57" t="s">
        <v>61</v>
      </c>
      <c r="J540" s="14">
        <v>57708.0</v>
      </c>
      <c r="K540" s="14">
        <v>7680.0</v>
      </c>
      <c r="L540" s="15">
        <v>0.1331</v>
      </c>
      <c r="M540" s="16"/>
      <c r="N540" s="17"/>
      <c r="O540" s="18">
        <v>72.0</v>
      </c>
      <c r="P540" s="18"/>
      <c r="Q540" s="19">
        <v>0.0094</v>
      </c>
      <c r="R540" s="19"/>
      <c r="S540" s="20">
        <v>2.0</v>
      </c>
      <c r="T540" s="20">
        <v>10.0</v>
      </c>
      <c r="U540" s="20">
        <v>8846.0</v>
      </c>
      <c r="V540" s="21" t="s">
        <v>183</v>
      </c>
      <c r="W540" s="18" t="s">
        <v>95</v>
      </c>
      <c r="X540" s="21" t="s">
        <v>1726</v>
      </c>
      <c r="Y540" s="66" t="s">
        <v>1743</v>
      </c>
      <c r="Z540" s="20" t="s">
        <v>1759</v>
      </c>
      <c r="AA540" s="25">
        <v>44.0</v>
      </c>
      <c r="AB540" s="25">
        <v>11.0</v>
      </c>
      <c r="AC540" s="25">
        <v>33.0</v>
      </c>
      <c r="AD540" s="25">
        <v>217671.0</v>
      </c>
      <c r="AE540" s="25">
        <v>43824.0</v>
      </c>
      <c r="AF540" s="25">
        <v>173847.0</v>
      </c>
      <c r="AG540" s="22"/>
      <c r="AH540" s="22"/>
      <c r="AI540" s="22"/>
      <c r="AJ540" s="22"/>
      <c r="AK540" s="22"/>
      <c r="AL540" s="22"/>
      <c r="AM540" s="22"/>
      <c r="AN540" s="22"/>
      <c r="AO540" s="22"/>
      <c r="AP540" s="22"/>
    </row>
    <row r="541" hidden="1">
      <c r="A541" s="8">
        <v>46086.0</v>
      </c>
      <c r="B541" s="23">
        <v>0.5</v>
      </c>
      <c r="C541" s="10" t="s">
        <v>196</v>
      </c>
      <c r="D541" s="10" t="s">
        <v>59</v>
      </c>
      <c r="E541" s="12" t="s">
        <v>71</v>
      </c>
      <c r="F541" s="12" t="s">
        <v>517</v>
      </c>
      <c r="G541" s="12" t="s">
        <v>1760</v>
      </c>
      <c r="H541" s="96" t="s">
        <v>1742</v>
      </c>
      <c r="I541" s="57" t="s">
        <v>61</v>
      </c>
      <c r="J541" s="14">
        <v>1515.0</v>
      </c>
      <c r="K541" s="14">
        <v>373.0</v>
      </c>
      <c r="L541" s="15">
        <v>0.2462</v>
      </c>
      <c r="M541" s="16"/>
      <c r="N541" s="17"/>
      <c r="O541" s="18">
        <v>4.0</v>
      </c>
      <c r="P541" s="18"/>
      <c r="Q541" s="19">
        <v>0.0107</v>
      </c>
      <c r="R541" s="19"/>
      <c r="S541" s="20">
        <v>3.0</v>
      </c>
      <c r="T541" s="20">
        <v>9.0</v>
      </c>
      <c r="U541" s="20">
        <v>5791.0</v>
      </c>
      <c r="V541" s="21" t="s">
        <v>335</v>
      </c>
      <c r="W541" s="18" t="s">
        <v>95</v>
      </c>
      <c r="X541" s="21" t="s">
        <v>1726</v>
      </c>
      <c r="Y541" s="66" t="s">
        <v>1743</v>
      </c>
      <c r="Z541" s="20" t="s">
        <v>1761</v>
      </c>
      <c r="AA541" s="25">
        <v>2.0</v>
      </c>
      <c r="AB541" s="25">
        <v>2.0</v>
      </c>
      <c r="AC541" s="25">
        <v>0.0</v>
      </c>
      <c r="AD541" s="25">
        <v>10377.0</v>
      </c>
      <c r="AE541" s="25">
        <v>10377.0</v>
      </c>
      <c r="AF541" s="25">
        <v>0.0</v>
      </c>
      <c r="AG541" s="22"/>
      <c r="AH541" s="22"/>
      <c r="AI541" s="22"/>
      <c r="AJ541" s="22"/>
      <c r="AK541" s="22"/>
      <c r="AL541" s="22"/>
      <c r="AM541" s="22"/>
      <c r="AN541" s="22"/>
      <c r="AO541" s="22"/>
      <c r="AP541" s="22"/>
    </row>
    <row r="542" hidden="1">
      <c r="A542" s="8">
        <v>46086.0</v>
      </c>
      <c r="B542" s="23">
        <v>0.5</v>
      </c>
      <c r="C542" s="10" t="s">
        <v>196</v>
      </c>
      <c r="D542" s="10" t="s">
        <v>59</v>
      </c>
      <c r="E542" s="12" t="s">
        <v>71</v>
      </c>
      <c r="F542" s="12" t="s">
        <v>517</v>
      </c>
      <c r="G542" s="12" t="s">
        <v>1762</v>
      </c>
      <c r="H542" s="96" t="s">
        <v>1753</v>
      </c>
      <c r="I542" s="57" t="s">
        <v>61</v>
      </c>
      <c r="J542" s="14">
        <v>5121.0</v>
      </c>
      <c r="K542" s="14">
        <v>1107.0</v>
      </c>
      <c r="L542" s="15">
        <v>0.2162</v>
      </c>
      <c r="M542" s="16"/>
      <c r="N542" s="17"/>
      <c r="O542" s="18">
        <v>3.0</v>
      </c>
      <c r="P542" s="18"/>
      <c r="Q542" s="19">
        <v>0.0027</v>
      </c>
      <c r="R542" s="19"/>
      <c r="S542" s="20">
        <v>0.0</v>
      </c>
      <c r="T542" s="20">
        <v>0.0</v>
      </c>
      <c r="U542" s="20">
        <v>0.0</v>
      </c>
      <c r="V542" s="21" t="s">
        <v>183</v>
      </c>
      <c r="W542" s="18" t="s">
        <v>95</v>
      </c>
      <c r="X542" s="21" t="s">
        <v>1726</v>
      </c>
      <c r="Y542" s="66" t="s">
        <v>1743</v>
      </c>
      <c r="Z542" s="20" t="s">
        <v>1763</v>
      </c>
      <c r="AA542" s="25">
        <v>2.0</v>
      </c>
      <c r="AB542" s="25">
        <v>0.0</v>
      </c>
      <c r="AC542" s="25">
        <v>2.0</v>
      </c>
      <c r="AD542" s="25">
        <v>9436.0</v>
      </c>
      <c r="AE542" s="25">
        <v>0.0</v>
      </c>
      <c r="AF542" s="25">
        <v>9436.0</v>
      </c>
      <c r="AG542" s="22"/>
      <c r="AH542" s="22"/>
      <c r="AI542" s="22"/>
      <c r="AJ542" s="22"/>
      <c r="AK542" s="22"/>
      <c r="AL542" s="22"/>
      <c r="AM542" s="22"/>
      <c r="AN542" s="22"/>
      <c r="AO542" s="22"/>
      <c r="AP542" s="22"/>
    </row>
    <row r="543" hidden="1">
      <c r="A543" s="8">
        <v>46086.0</v>
      </c>
      <c r="B543" s="23">
        <v>0.5625</v>
      </c>
      <c r="C543" s="10" t="s">
        <v>58</v>
      </c>
      <c r="D543" s="10" t="s">
        <v>59</v>
      </c>
      <c r="E543" s="12" t="s">
        <v>71</v>
      </c>
      <c r="F543" s="12" t="s">
        <v>517</v>
      </c>
      <c r="G543" s="12" t="s">
        <v>1764</v>
      </c>
      <c r="H543" s="96" t="s">
        <v>1724</v>
      </c>
      <c r="I543" s="57" t="s">
        <v>454</v>
      </c>
      <c r="J543" s="14">
        <v>49737.0</v>
      </c>
      <c r="K543" s="14">
        <v>27566.0</v>
      </c>
      <c r="L543" s="15">
        <v>0.5542</v>
      </c>
      <c r="M543" s="16"/>
      <c r="N543" s="17"/>
      <c r="O543" s="18">
        <v>13.0</v>
      </c>
      <c r="P543" s="18"/>
      <c r="Q543" s="19">
        <v>5.0E-4</v>
      </c>
      <c r="R543" s="19"/>
      <c r="S543" s="20">
        <v>3.0</v>
      </c>
      <c r="T543" s="20">
        <v>4.0</v>
      </c>
      <c r="U543" s="20">
        <v>10970.0</v>
      </c>
      <c r="V543" s="21" t="s">
        <v>335</v>
      </c>
      <c r="W543" s="18" t="s">
        <v>62</v>
      </c>
      <c r="X543" s="21" t="s">
        <v>1726</v>
      </c>
      <c r="Y543" s="92" t="s">
        <v>1765</v>
      </c>
      <c r="Z543" s="20" t="s">
        <v>1766</v>
      </c>
      <c r="AA543" s="25">
        <v>10.0</v>
      </c>
      <c r="AB543" s="25">
        <v>10.0</v>
      </c>
      <c r="AC543" s="97"/>
      <c r="AD543" s="25">
        <v>34172.0</v>
      </c>
      <c r="AE543" s="25">
        <v>34172.0</v>
      </c>
      <c r="AF543" s="14"/>
      <c r="AG543" s="22"/>
      <c r="AH543" s="22"/>
      <c r="AI543" s="22"/>
      <c r="AJ543" s="22"/>
      <c r="AK543" s="22"/>
      <c r="AL543" s="22"/>
      <c r="AM543" s="22"/>
      <c r="AN543" s="22"/>
      <c r="AO543" s="22"/>
      <c r="AP543" s="22"/>
    </row>
    <row r="544" hidden="1">
      <c r="A544" s="8">
        <v>46086.0</v>
      </c>
      <c r="B544" s="23">
        <v>0.5625</v>
      </c>
      <c r="C544" s="10" t="s">
        <v>58</v>
      </c>
      <c r="D544" s="10" t="s">
        <v>59</v>
      </c>
      <c r="E544" s="12" t="s">
        <v>71</v>
      </c>
      <c r="F544" s="12" t="s">
        <v>517</v>
      </c>
      <c r="G544" s="12" t="s">
        <v>1767</v>
      </c>
      <c r="H544" s="96" t="s">
        <v>1749</v>
      </c>
      <c r="I544" s="57" t="s">
        <v>454</v>
      </c>
      <c r="J544" s="14">
        <v>83731.0</v>
      </c>
      <c r="K544" s="14">
        <v>47133.0</v>
      </c>
      <c r="L544" s="15">
        <v>0.5629</v>
      </c>
      <c r="M544" s="16"/>
      <c r="N544" s="17"/>
      <c r="O544" s="18">
        <v>9.0</v>
      </c>
      <c r="P544" s="18"/>
      <c r="Q544" s="19">
        <v>2.0E-4</v>
      </c>
      <c r="R544" s="19"/>
      <c r="S544" s="20">
        <v>1.0</v>
      </c>
      <c r="T544" s="20">
        <v>2.0</v>
      </c>
      <c r="U544" s="20">
        <v>3958.0</v>
      </c>
      <c r="V544" s="21" t="s">
        <v>183</v>
      </c>
      <c r="W544" s="18" t="s">
        <v>62</v>
      </c>
      <c r="X544" s="21" t="s">
        <v>1726</v>
      </c>
      <c r="Y544" s="92" t="s">
        <v>1765</v>
      </c>
      <c r="Z544" s="20" t="s">
        <v>1768</v>
      </c>
      <c r="AA544" s="25">
        <v>1.0</v>
      </c>
      <c r="AB544" s="25">
        <v>1.0</v>
      </c>
      <c r="AC544" s="97"/>
      <c r="AD544" s="25">
        <v>4398.0</v>
      </c>
      <c r="AE544" s="25">
        <v>4398.0</v>
      </c>
      <c r="AF544" s="14"/>
      <c r="AG544" s="22"/>
      <c r="AH544" s="22"/>
      <c r="AI544" s="22"/>
      <c r="AJ544" s="22"/>
      <c r="AK544" s="22"/>
      <c r="AL544" s="22"/>
      <c r="AM544" s="22"/>
      <c r="AN544" s="22"/>
      <c r="AO544" s="22"/>
      <c r="AP544" s="22"/>
    </row>
    <row r="545" hidden="1">
      <c r="A545" s="8">
        <v>46086.0</v>
      </c>
      <c r="B545" s="23">
        <v>0.5625</v>
      </c>
      <c r="C545" s="10" t="s">
        <v>58</v>
      </c>
      <c r="D545" s="10" t="s">
        <v>59</v>
      </c>
      <c r="E545" s="12" t="s">
        <v>71</v>
      </c>
      <c r="F545" s="12" t="s">
        <v>517</v>
      </c>
      <c r="G545" s="12" t="s">
        <v>1769</v>
      </c>
      <c r="H545" s="96" t="s">
        <v>1753</v>
      </c>
      <c r="I545" s="57" t="s">
        <v>454</v>
      </c>
      <c r="J545" s="14">
        <v>3969.0</v>
      </c>
      <c r="K545" s="14">
        <v>2249.0</v>
      </c>
      <c r="L545" s="15">
        <v>0.5666</v>
      </c>
      <c r="M545" s="16"/>
      <c r="N545" s="17"/>
      <c r="O545" s="18">
        <v>1.0</v>
      </c>
      <c r="P545" s="18"/>
      <c r="Q545" s="19">
        <v>4.0E-4</v>
      </c>
      <c r="R545" s="19"/>
      <c r="S545" s="20">
        <v>0.0</v>
      </c>
      <c r="T545" s="20">
        <v>0.0</v>
      </c>
      <c r="U545" s="20">
        <v>0.0</v>
      </c>
      <c r="V545" s="21" t="s">
        <v>183</v>
      </c>
      <c r="W545" s="18" t="s">
        <v>62</v>
      </c>
      <c r="X545" s="21" t="s">
        <v>1726</v>
      </c>
      <c r="Y545" s="92" t="s">
        <v>1765</v>
      </c>
      <c r="Z545" s="20" t="s">
        <v>1770</v>
      </c>
      <c r="AA545" s="25">
        <v>1.0</v>
      </c>
      <c r="AB545" s="25">
        <v>0.0</v>
      </c>
      <c r="AC545" s="25">
        <v>1.0</v>
      </c>
      <c r="AD545" s="25">
        <v>4598.0</v>
      </c>
      <c r="AE545" s="25">
        <v>0.0</v>
      </c>
      <c r="AF545" s="25">
        <v>4598.0</v>
      </c>
      <c r="AG545" s="22"/>
      <c r="AH545" s="22"/>
      <c r="AI545" s="22"/>
      <c r="AJ545" s="22"/>
      <c r="AK545" s="22"/>
      <c r="AL545" s="22"/>
      <c r="AM545" s="22"/>
      <c r="AN545" s="22"/>
      <c r="AO545" s="22"/>
      <c r="AP545" s="22"/>
    </row>
    <row r="546" hidden="1">
      <c r="A546" s="8">
        <v>46086.0</v>
      </c>
      <c r="B546" s="23">
        <v>0.7083333333333334</v>
      </c>
      <c r="C546" s="10" t="s">
        <v>58</v>
      </c>
      <c r="D546" s="10" t="s">
        <v>59</v>
      </c>
      <c r="E546" s="12" t="s">
        <v>71</v>
      </c>
      <c r="F546" s="12" t="s">
        <v>517</v>
      </c>
      <c r="G546" s="12" t="s">
        <v>1771</v>
      </c>
      <c r="H546" s="96" t="s">
        <v>1742</v>
      </c>
      <c r="I546" s="57" t="s">
        <v>454</v>
      </c>
      <c r="J546" s="14">
        <v>1084.0</v>
      </c>
      <c r="K546" s="14">
        <v>772.0</v>
      </c>
      <c r="L546" s="15">
        <v>0.7122</v>
      </c>
      <c r="M546" s="16"/>
      <c r="N546" s="17"/>
      <c r="O546" s="18">
        <v>1.0</v>
      </c>
      <c r="P546" s="18"/>
      <c r="Q546" s="19">
        <v>0.0013</v>
      </c>
      <c r="R546" s="19"/>
      <c r="S546" s="20">
        <v>0.0</v>
      </c>
      <c r="T546" s="20">
        <v>6.0</v>
      </c>
      <c r="U546" s="20">
        <v>0.0</v>
      </c>
      <c r="V546" s="21" t="s">
        <v>335</v>
      </c>
      <c r="W546" s="18" t="s">
        <v>62</v>
      </c>
      <c r="X546" s="21" t="s">
        <v>1726</v>
      </c>
      <c r="Y546" s="92" t="s">
        <v>1765</v>
      </c>
      <c r="Z546" s="20" t="s">
        <v>1772</v>
      </c>
      <c r="AA546" s="25">
        <v>1.0</v>
      </c>
      <c r="AB546" s="25">
        <v>1.0</v>
      </c>
      <c r="AC546" s="97"/>
      <c r="AD546" s="25">
        <v>2159.0</v>
      </c>
      <c r="AE546" s="25">
        <v>2159.0</v>
      </c>
      <c r="AF546" s="14"/>
      <c r="AG546" s="22"/>
      <c r="AH546" s="22"/>
      <c r="AI546" s="22"/>
      <c r="AJ546" s="22"/>
      <c r="AK546" s="22"/>
      <c r="AL546" s="22"/>
      <c r="AM546" s="22"/>
      <c r="AN546" s="22"/>
      <c r="AO546" s="22"/>
      <c r="AP546" s="22"/>
    </row>
    <row r="547" hidden="1">
      <c r="A547" s="8">
        <v>46086.0</v>
      </c>
      <c r="B547" s="23">
        <v>0.4583333333333333</v>
      </c>
      <c r="C547" s="10" t="s">
        <v>58</v>
      </c>
      <c r="D547" s="10" t="s">
        <v>33</v>
      </c>
      <c r="E547" s="12" t="s">
        <v>106</v>
      </c>
      <c r="F547" s="12" t="s">
        <v>1773</v>
      </c>
      <c r="G547" s="12" t="s">
        <v>1774</v>
      </c>
      <c r="H547" s="96" t="s">
        <v>1775</v>
      </c>
      <c r="I547" s="57" t="s">
        <v>1776</v>
      </c>
      <c r="J547" s="14">
        <v>23812.0</v>
      </c>
      <c r="K547" s="14">
        <v>14167.0</v>
      </c>
      <c r="L547" s="15">
        <v>0.595</v>
      </c>
      <c r="M547" s="16"/>
      <c r="N547" s="17"/>
      <c r="O547" s="18">
        <v>0.0</v>
      </c>
      <c r="P547" s="18"/>
      <c r="Q547" s="19">
        <v>0.0</v>
      </c>
      <c r="R547" s="19"/>
      <c r="S547" s="20"/>
      <c r="T547" s="20"/>
      <c r="U547" s="20"/>
      <c r="V547" s="21" t="s">
        <v>315</v>
      </c>
      <c r="W547" s="18" t="s">
        <v>62</v>
      </c>
      <c r="X547" s="99" t="s">
        <v>47</v>
      </c>
      <c r="Y547" s="100" t="s">
        <v>1777</v>
      </c>
      <c r="Z547" s="20" t="s">
        <v>1778</v>
      </c>
      <c r="AA547" s="25">
        <v>76.0</v>
      </c>
      <c r="AB547" s="97"/>
      <c r="AC547" s="25">
        <v>76.0</v>
      </c>
      <c r="AD547" s="25">
        <v>1052584.0</v>
      </c>
      <c r="AE547" s="97"/>
      <c r="AF547" s="25">
        <v>1052584.0</v>
      </c>
      <c r="AG547" s="22"/>
      <c r="AH547" s="22"/>
      <c r="AI547" s="22"/>
      <c r="AJ547" s="22"/>
      <c r="AK547" s="22"/>
      <c r="AL547" s="22"/>
      <c r="AM547" s="22"/>
      <c r="AN547" s="22"/>
      <c r="AO547" s="22"/>
      <c r="AP547" s="22"/>
    </row>
    <row r="548" hidden="1">
      <c r="A548" s="8">
        <v>46086.0</v>
      </c>
      <c r="B548" s="23">
        <v>0.4583333333333333</v>
      </c>
      <c r="C548" s="10" t="s">
        <v>58</v>
      </c>
      <c r="D548" s="10" t="s">
        <v>33</v>
      </c>
      <c r="E548" s="12" t="s">
        <v>106</v>
      </c>
      <c r="F548" s="12" t="s">
        <v>1773</v>
      </c>
      <c r="G548" s="12" t="s">
        <v>1779</v>
      </c>
      <c r="H548" s="96" t="s">
        <v>1780</v>
      </c>
      <c r="I548" s="57" t="s">
        <v>1781</v>
      </c>
      <c r="J548" s="14">
        <v>143568.0</v>
      </c>
      <c r="K548" s="14">
        <v>80992.0</v>
      </c>
      <c r="L548" s="15">
        <v>0.5641</v>
      </c>
      <c r="M548" s="16"/>
      <c r="N548" s="17"/>
      <c r="O548" s="18">
        <v>0.0</v>
      </c>
      <c r="P548" s="18"/>
      <c r="Q548" s="19">
        <v>0.0</v>
      </c>
      <c r="R548" s="19"/>
      <c r="S548" s="20"/>
      <c r="T548" s="20"/>
      <c r="U548" s="20"/>
      <c r="V548" s="21" t="s">
        <v>315</v>
      </c>
      <c r="W548" s="18" t="s">
        <v>62</v>
      </c>
      <c r="X548" s="99" t="s">
        <v>52</v>
      </c>
      <c r="Y548" s="100" t="s">
        <v>1777</v>
      </c>
      <c r="Z548" s="20" t="s">
        <v>1782</v>
      </c>
      <c r="AA548" s="25">
        <v>234.0</v>
      </c>
      <c r="AB548" s="97"/>
      <c r="AC548" s="25">
        <v>234.0</v>
      </c>
      <c r="AD548" s="25">
        <v>3179641.0</v>
      </c>
      <c r="AE548" s="97"/>
      <c r="AF548" s="25">
        <v>3179641.0</v>
      </c>
      <c r="AG548" s="22"/>
      <c r="AH548" s="22"/>
      <c r="AI548" s="22"/>
      <c r="AJ548" s="22"/>
      <c r="AK548" s="22"/>
      <c r="AL548" s="22"/>
      <c r="AM548" s="22"/>
      <c r="AN548" s="22"/>
      <c r="AO548" s="22"/>
      <c r="AP548" s="22"/>
    </row>
    <row r="549" hidden="1">
      <c r="A549" s="8">
        <v>46087.0</v>
      </c>
      <c r="B549" s="23">
        <v>0.4166666666666667</v>
      </c>
      <c r="C549" s="10" t="s">
        <v>32</v>
      </c>
      <c r="D549" s="10" t="s">
        <v>59</v>
      </c>
      <c r="E549" s="12" t="s">
        <v>179</v>
      </c>
      <c r="F549" s="12" t="s">
        <v>1773</v>
      </c>
      <c r="G549" s="12" t="s">
        <v>1783</v>
      </c>
      <c r="H549" s="96" t="s">
        <v>1784</v>
      </c>
      <c r="I549" s="57" t="s">
        <v>454</v>
      </c>
      <c r="J549" s="14">
        <v>831.0</v>
      </c>
      <c r="K549" s="14">
        <v>398.0</v>
      </c>
      <c r="L549" s="15">
        <v>0.4789</v>
      </c>
      <c r="M549" s="16">
        <v>91.0</v>
      </c>
      <c r="N549" s="17">
        <v>0.2286</v>
      </c>
      <c r="O549" s="18">
        <v>7.0</v>
      </c>
      <c r="P549" s="18">
        <v>6.0</v>
      </c>
      <c r="Q549" s="19">
        <v>0.0151</v>
      </c>
      <c r="R549" s="19">
        <v>0.0659</v>
      </c>
      <c r="S549" s="20">
        <v>1.0</v>
      </c>
      <c r="T549" s="20">
        <v>1.0</v>
      </c>
      <c r="U549" s="20">
        <v>4739.0</v>
      </c>
      <c r="V549" s="21" t="s">
        <v>335</v>
      </c>
      <c r="W549" s="18" t="s">
        <v>40</v>
      </c>
      <c r="X549" s="21" t="s">
        <v>1726</v>
      </c>
      <c r="Y549" s="73" t="s">
        <v>1785</v>
      </c>
      <c r="Z549" s="20" t="s">
        <v>1786</v>
      </c>
      <c r="AA549" s="14">
        <v>8.0</v>
      </c>
      <c r="AB549" s="14">
        <v>8.0</v>
      </c>
      <c r="AC549" s="14"/>
      <c r="AD549" s="14">
        <v>62556.0</v>
      </c>
      <c r="AE549" s="14">
        <v>62556.0</v>
      </c>
      <c r="AF549" s="14"/>
      <c r="AG549" s="22"/>
      <c r="AH549" s="22"/>
      <c r="AI549" s="22"/>
      <c r="AJ549" s="22"/>
      <c r="AK549" s="22"/>
      <c r="AL549" s="22"/>
      <c r="AM549" s="22"/>
      <c r="AN549" s="22"/>
      <c r="AO549" s="22"/>
      <c r="AP549" s="22"/>
    </row>
    <row r="550" hidden="1">
      <c r="A550" s="8">
        <v>46087.0</v>
      </c>
      <c r="B550" s="23">
        <v>0.4201388888888889</v>
      </c>
      <c r="C550" s="10" t="s">
        <v>32</v>
      </c>
      <c r="D550" s="10" t="s">
        <v>59</v>
      </c>
      <c r="E550" s="12" t="s">
        <v>179</v>
      </c>
      <c r="F550" s="12" t="s">
        <v>1773</v>
      </c>
      <c r="G550" s="12" t="s">
        <v>1787</v>
      </c>
      <c r="H550" s="96" t="s">
        <v>1788</v>
      </c>
      <c r="I550" s="57" t="s">
        <v>454</v>
      </c>
      <c r="J550" s="14">
        <v>45153.0</v>
      </c>
      <c r="K550" s="14">
        <v>23445.0</v>
      </c>
      <c r="L550" s="15">
        <v>0.5192</v>
      </c>
      <c r="M550" s="16">
        <v>5481.0</v>
      </c>
      <c r="N550" s="17">
        <v>0.2337</v>
      </c>
      <c r="O550" s="18">
        <v>662.0</v>
      </c>
      <c r="P550" s="18">
        <v>603.0</v>
      </c>
      <c r="Q550" s="19">
        <v>0.0257</v>
      </c>
      <c r="R550" s="19">
        <v>0.1101</v>
      </c>
      <c r="S550" s="20">
        <v>22.0</v>
      </c>
      <c r="T550" s="20">
        <v>56.0</v>
      </c>
      <c r="U550" s="20">
        <v>112923.0</v>
      </c>
      <c r="V550" s="21" t="s">
        <v>335</v>
      </c>
      <c r="W550" s="18" t="s">
        <v>40</v>
      </c>
      <c r="X550" s="21" t="s">
        <v>1139</v>
      </c>
      <c r="Y550" s="73" t="s">
        <v>1785</v>
      </c>
      <c r="Z550" s="20" t="s">
        <v>1789</v>
      </c>
      <c r="AA550" s="14">
        <v>70.0</v>
      </c>
      <c r="AB550" s="14">
        <v>70.0</v>
      </c>
      <c r="AC550" s="14"/>
      <c r="AD550" s="14">
        <v>395667.0</v>
      </c>
      <c r="AE550" s="14">
        <v>395667.0</v>
      </c>
      <c r="AF550" s="14"/>
      <c r="AG550" s="22"/>
      <c r="AH550" s="22"/>
      <c r="AI550" s="22"/>
      <c r="AJ550" s="22"/>
      <c r="AK550" s="22"/>
      <c r="AL550" s="22"/>
      <c r="AM550" s="22"/>
      <c r="AN550" s="22"/>
      <c r="AO550" s="22"/>
      <c r="AP550" s="22"/>
    </row>
    <row r="551" hidden="1">
      <c r="A551" s="8">
        <v>46087.0</v>
      </c>
      <c r="B551" s="23">
        <v>0.4236111111111111</v>
      </c>
      <c r="C551" s="10" t="s">
        <v>32</v>
      </c>
      <c r="D551" s="10" t="s">
        <v>59</v>
      </c>
      <c r="E551" s="12" t="s">
        <v>179</v>
      </c>
      <c r="F551" s="12" t="s">
        <v>1773</v>
      </c>
      <c r="G551" s="12" t="s">
        <v>1790</v>
      </c>
      <c r="H551" s="96" t="s">
        <v>1791</v>
      </c>
      <c r="I551" s="57" t="s">
        <v>454</v>
      </c>
      <c r="J551" s="14">
        <v>7984.0</v>
      </c>
      <c r="K551" s="14">
        <v>3961.0</v>
      </c>
      <c r="L551" s="15">
        <v>0.4961</v>
      </c>
      <c r="M551" s="16">
        <v>855.0</v>
      </c>
      <c r="N551" s="17">
        <v>0.2156</v>
      </c>
      <c r="O551" s="18">
        <v>134.0</v>
      </c>
      <c r="P551" s="18">
        <v>131.0</v>
      </c>
      <c r="Q551" s="19">
        <v>0.0331</v>
      </c>
      <c r="R551" s="19">
        <v>0.1534</v>
      </c>
      <c r="S551" s="20">
        <v>9.0</v>
      </c>
      <c r="T551" s="20">
        <v>16.0</v>
      </c>
      <c r="U551" s="20">
        <v>40753.0</v>
      </c>
      <c r="V551" s="21" t="s">
        <v>335</v>
      </c>
      <c r="W551" s="18" t="s">
        <v>40</v>
      </c>
      <c r="X551" s="21" t="s">
        <v>1139</v>
      </c>
      <c r="Y551" s="73" t="s">
        <v>1785</v>
      </c>
      <c r="Z551" s="20" t="s">
        <v>1792</v>
      </c>
      <c r="AA551" s="14">
        <v>23.0</v>
      </c>
      <c r="AB551" s="14">
        <v>23.0</v>
      </c>
      <c r="AC551" s="14"/>
      <c r="AD551" s="14">
        <v>102951.0</v>
      </c>
      <c r="AE551" s="14">
        <v>102951.0</v>
      </c>
      <c r="AF551" s="14"/>
      <c r="AG551" s="22"/>
      <c r="AH551" s="22"/>
      <c r="AI551" s="22"/>
      <c r="AJ551" s="22"/>
      <c r="AK551" s="22"/>
      <c r="AL551" s="22"/>
      <c r="AM551" s="22"/>
      <c r="AN551" s="22"/>
      <c r="AO551" s="22"/>
      <c r="AP551" s="22"/>
    </row>
    <row r="552" hidden="1">
      <c r="A552" s="8">
        <v>46087.0</v>
      </c>
      <c r="B552" s="23">
        <v>0.4270833333333333</v>
      </c>
      <c r="C552" s="10" t="s">
        <v>32</v>
      </c>
      <c r="D552" s="10" t="s">
        <v>59</v>
      </c>
      <c r="E552" s="12" t="s">
        <v>179</v>
      </c>
      <c r="F552" s="12" t="s">
        <v>1773</v>
      </c>
      <c r="G552" s="12" t="s">
        <v>1793</v>
      </c>
      <c r="H552" s="96" t="s">
        <v>1794</v>
      </c>
      <c r="I552" s="57" t="s">
        <v>454</v>
      </c>
      <c r="J552" s="14">
        <v>25706.0</v>
      </c>
      <c r="K552" s="14">
        <v>11836.0</v>
      </c>
      <c r="L552" s="15">
        <v>0.4604</v>
      </c>
      <c r="M552" s="16">
        <v>2328.0</v>
      </c>
      <c r="N552" s="17">
        <v>0.1967</v>
      </c>
      <c r="O552" s="18">
        <v>222.0</v>
      </c>
      <c r="P552" s="18">
        <v>211.0</v>
      </c>
      <c r="Q552" s="19">
        <v>0.0178</v>
      </c>
      <c r="R552" s="19">
        <v>0.0906</v>
      </c>
      <c r="S552" s="20">
        <v>8.0</v>
      </c>
      <c r="T552" s="20">
        <v>13.0</v>
      </c>
      <c r="U552" s="20">
        <v>33143.0</v>
      </c>
      <c r="V552" s="21" t="s">
        <v>335</v>
      </c>
      <c r="W552" s="18" t="s">
        <v>40</v>
      </c>
      <c r="X552" s="21" t="s">
        <v>1139</v>
      </c>
      <c r="Y552" s="73" t="s">
        <v>1785</v>
      </c>
      <c r="Z552" s="20" t="s">
        <v>1795</v>
      </c>
      <c r="AA552" s="14">
        <v>25.0</v>
      </c>
      <c r="AB552" s="14">
        <v>25.0</v>
      </c>
      <c r="AC552" s="14"/>
      <c r="AD552" s="14">
        <v>124869.0</v>
      </c>
      <c r="AE552" s="14">
        <v>124869.0</v>
      </c>
      <c r="AF552" s="14"/>
      <c r="AG552" s="22"/>
      <c r="AH552" s="22"/>
      <c r="AI552" s="22"/>
      <c r="AJ552" s="22"/>
      <c r="AK552" s="22"/>
      <c r="AL552" s="22"/>
      <c r="AM552" s="22"/>
      <c r="AN552" s="22"/>
      <c r="AO552" s="22"/>
      <c r="AP552" s="22"/>
    </row>
    <row r="553" hidden="1">
      <c r="A553" s="8">
        <v>46087.0</v>
      </c>
      <c r="B553" s="23">
        <v>0.4305555555555556</v>
      </c>
      <c r="C553" s="10" t="s">
        <v>32</v>
      </c>
      <c r="D553" s="10" t="s">
        <v>59</v>
      </c>
      <c r="E553" s="12" t="s">
        <v>179</v>
      </c>
      <c r="F553" s="12" t="s">
        <v>1773</v>
      </c>
      <c r="G553" s="12" t="s">
        <v>1796</v>
      </c>
      <c r="H553" s="96" t="s">
        <v>1797</v>
      </c>
      <c r="I553" s="57" t="s">
        <v>454</v>
      </c>
      <c r="J553" s="14">
        <v>16442.0</v>
      </c>
      <c r="K553" s="14">
        <v>8232.0</v>
      </c>
      <c r="L553" s="15">
        <v>0.5007</v>
      </c>
      <c r="M553" s="16">
        <v>1768.0</v>
      </c>
      <c r="N553" s="17">
        <v>0.2148</v>
      </c>
      <c r="O553" s="18">
        <v>191.0</v>
      </c>
      <c r="P553" s="18">
        <v>172.0</v>
      </c>
      <c r="Q553" s="19">
        <v>0.0209</v>
      </c>
      <c r="R553" s="19">
        <v>0.0973</v>
      </c>
      <c r="S553" s="20">
        <v>10.0</v>
      </c>
      <c r="T553" s="20">
        <v>12.0</v>
      </c>
      <c r="U553" s="20">
        <v>37973.0</v>
      </c>
      <c r="V553" s="21" t="s">
        <v>335</v>
      </c>
      <c r="W553" s="18" t="s">
        <v>40</v>
      </c>
      <c r="X553" s="21" t="s">
        <v>1139</v>
      </c>
      <c r="Y553" s="73" t="s">
        <v>1785</v>
      </c>
      <c r="Z553" s="20" t="s">
        <v>1798</v>
      </c>
      <c r="AA553" s="14">
        <v>15.0</v>
      </c>
      <c r="AB553" s="14">
        <v>15.0</v>
      </c>
      <c r="AC553" s="14"/>
      <c r="AD553" s="14">
        <v>49653.0</v>
      </c>
      <c r="AE553" s="14">
        <v>49653.0</v>
      </c>
      <c r="AF553" s="14"/>
      <c r="AG553" s="22"/>
      <c r="AH553" s="22"/>
      <c r="AI553" s="22"/>
      <c r="AJ553" s="22"/>
      <c r="AK553" s="22"/>
      <c r="AL553" s="22"/>
      <c r="AM553" s="22"/>
      <c r="AN553" s="22"/>
      <c r="AO553" s="22"/>
      <c r="AP553" s="22"/>
    </row>
    <row r="554" hidden="1">
      <c r="A554" s="8">
        <v>46087.0</v>
      </c>
      <c r="B554" s="23">
        <v>0.3541666666666667</v>
      </c>
      <c r="C554" s="10" t="s">
        <v>32</v>
      </c>
      <c r="D554" s="10" t="s">
        <v>33</v>
      </c>
      <c r="E554" s="12" t="s">
        <v>179</v>
      </c>
      <c r="F554" s="12" t="s">
        <v>1773</v>
      </c>
      <c r="G554" s="12" t="s">
        <v>1799</v>
      </c>
      <c r="H554" s="96" t="s">
        <v>1800</v>
      </c>
      <c r="I554" s="96" t="s">
        <v>1801</v>
      </c>
      <c r="J554" s="14">
        <v>15396.0</v>
      </c>
      <c r="K554" s="14">
        <v>8241.0</v>
      </c>
      <c r="L554" s="15">
        <v>0.5353</v>
      </c>
      <c r="M554" s="16">
        <v>2323.0</v>
      </c>
      <c r="N554" s="17">
        <v>0.2818</v>
      </c>
      <c r="O554" s="18">
        <v>0.0</v>
      </c>
      <c r="P554" s="18">
        <v>0.0</v>
      </c>
      <c r="Q554" s="19">
        <v>0.0</v>
      </c>
      <c r="R554" s="19">
        <v>0.0</v>
      </c>
      <c r="S554" s="20">
        <v>2.0</v>
      </c>
      <c r="T554" s="20">
        <v>5.0</v>
      </c>
      <c r="U554" s="20">
        <v>5398.0</v>
      </c>
      <c r="V554" s="21" t="s">
        <v>315</v>
      </c>
      <c r="W554" s="18" t="s">
        <v>76</v>
      </c>
      <c r="X554" s="21" t="s">
        <v>1139</v>
      </c>
      <c r="Y554" s="73" t="s">
        <v>1785</v>
      </c>
      <c r="Z554" s="20" t="s">
        <v>1802</v>
      </c>
      <c r="AA554" s="14">
        <v>16.0</v>
      </c>
      <c r="AB554" s="14"/>
      <c r="AC554" s="25">
        <v>16.0</v>
      </c>
      <c r="AD554" s="14">
        <v>66116.0</v>
      </c>
      <c r="AE554" s="14"/>
      <c r="AF554" s="14">
        <v>66116.0</v>
      </c>
      <c r="AG554" s="22"/>
      <c r="AH554" s="22"/>
      <c r="AI554" s="22"/>
      <c r="AJ554" s="22"/>
      <c r="AK554" s="22"/>
      <c r="AL554" s="22"/>
      <c r="AM554" s="22"/>
      <c r="AN554" s="22"/>
      <c r="AO554" s="22"/>
      <c r="AP554" s="22"/>
    </row>
    <row r="555" hidden="1">
      <c r="A555" s="8">
        <v>46087.0</v>
      </c>
      <c r="B555" s="23">
        <v>0.3576388888888889</v>
      </c>
      <c r="C555" s="10" t="s">
        <v>32</v>
      </c>
      <c r="D555" s="10" t="s">
        <v>33</v>
      </c>
      <c r="E555" s="12" t="s">
        <v>179</v>
      </c>
      <c r="F555" s="12" t="s">
        <v>1773</v>
      </c>
      <c r="G555" s="12" t="s">
        <v>1803</v>
      </c>
      <c r="H555" s="96" t="s">
        <v>1804</v>
      </c>
      <c r="I555" s="96" t="s">
        <v>1805</v>
      </c>
      <c r="J555" s="14">
        <v>34032.0</v>
      </c>
      <c r="K555" s="14">
        <v>16411.0</v>
      </c>
      <c r="L555" s="15">
        <v>0.4822</v>
      </c>
      <c r="M555" s="16">
        <v>3582.0</v>
      </c>
      <c r="N555" s="17">
        <v>0.2183</v>
      </c>
      <c r="O555" s="18">
        <v>175.0</v>
      </c>
      <c r="P555" s="18">
        <v>167.0</v>
      </c>
      <c r="Q555" s="19">
        <v>0.0102</v>
      </c>
      <c r="R555" s="19">
        <v>0.0466</v>
      </c>
      <c r="S555" s="20">
        <v>10.0</v>
      </c>
      <c r="T555" s="20">
        <v>14.0</v>
      </c>
      <c r="U555" s="20">
        <v>63804.0</v>
      </c>
      <c r="V555" s="21" t="s">
        <v>315</v>
      </c>
      <c r="W555" s="18" t="s">
        <v>76</v>
      </c>
      <c r="X555" s="21" t="s">
        <v>1139</v>
      </c>
      <c r="Y555" s="73" t="s">
        <v>1785</v>
      </c>
      <c r="Z555" s="20" t="s">
        <v>1806</v>
      </c>
      <c r="AA555" s="14">
        <v>61.0</v>
      </c>
      <c r="AB555" s="14"/>
      <c r="AC555" s="25">
        <v>61.0</v>
      </c>
      <c r="AD555" s="14">
        <v>549472.0</v>
      </c>
      <c r="AE555" s="14"/>
      <c r="AF555" s="14">
        <v>549472.0</v>
      </c>
      <c r="AG555" s="22"/>
      <c r="AH555" s="22"/>
      <c r="AI555" s="22"/>
      <c r="AJ555" s="22"/>
      <c r="AK555" s="22"/>
      <c r="AL555" s="22"/>
      <c r="AM555" s="22"/>
      <c r="AN555" s="22"/>
      <c r="AO555" s="22"/>
      <c r="AP555" s="22"/>
    </row>
    <row r="556" hidden="1">
      <c r="A556" s="8">
        <v>46087.0</v>
      </c>
      <c r="B556" s="23">
        <v>0.375</v>
      </c>
      <c r="C556" s="10" t="s">
        <v>32</v>
      </c>
      <c r="D556" s="10" t="s">
        <v>33</v>
      </c>
      <c r="E556" s="12" t="s">
        <v>179</v>
      </c>
      <c r="F556" s="12" t="s">
        <v>1773</v>
      </c>
      <c r="G556" s="12" t="s">
        <v>1807</v>
      </c>
      <c r="H556" s="96" t="s">
        <v>1808</v>
      </c>
      <c r="I556" s="96" t="s">
        <v>1809</v>
      </c>
      <c r="J556" s="14">
        <v>5803.0</v>
      </c>
      <c r="K556" s="14">
        <v>3582.0</v>
      </c>
      <c r="L556" s="15">
        <v>0.6173</v>
      </c>
      <c r="M556" s="16">
        <v>1092.0</v>
      </c>
      <c r="N556" s="17">
        <v>0.3049</v>
      </c>
      <c r="O556" s="18">
        <v>0.0</v>
      </c>
      <c r="P556" s="18">
        <v>0.0</v>
      </c>
      <c r="Q556" s="19">
        <v>0.0</v>
      </c>
      <c r="R556" s="19">
        <v>0.0</v>
      </c>
      <c r="S556" s="20">
        <v>0.0</v>
      </c>
      <c r="T556" s="20">
        <v>1.0</v>
      </c>
      <c r="U556" s="20">
        <v>0.0</v>
      </c>
      <c r="V556" s="21" t="s">
        <v>315</v>
      </c>
      <c r="W556" s="18" t="s">
        <v>76</v>
      </c>
      <c r="X556" s="21" t="s">
        <v>1139</v>
      </c>
      <c r="Y556" s="73" t="s">
        <v>1785</v>
      </c>
      <c r="Z556" s="20" t="s">
        <v>1810</v>
      </c>
      <c r="AA556" s="14">
        <v>9.0</v>
      </c>
      <c r="AB556" s="14"/>
      <c r="AC556" s="14">
        <v>9.0</v>
      </c>
      <c r="AD556" s="14">
        <v>30686.0</v>
      </c>
      <c r="AE556" s="14"/>
      <c r="AF556" s="14">
        <v>30686.0</v>
      </c>
      <c r="AG556" s="22"/>
      <c r="AH556" s="22"/>
      <c r="AI556" s="22"/>
      <c r="AJ556" s="22"/>
      <c r="AK556" s="22"/>
      <c r="AL556" s="22"/>
      <c r="AM556" s="22"/>
      <c r="AN556" s="22"/>
      <c r="AO556" s="22"/>
      <c r="AP556" s="22"/>
    </row>
    <row r="557" hidden="1">
      <c r="A557" s="8">
        <v>46087.0</v>
      </c>
      <c r="B557" s="23">
        <v>0.3611111111111111</v>
      </c>
      <c r="C557" s="10" t="s">
        <v>32</v>
      </c>
      <c r="D557" s="10" t="s">
        <v>33</v>
      </c>
      <c r="E557" s="12" t="s">
        <v>179</v>
      </c>
      <c r="F557" s="12" t="s">
        <v>1773</v>
      </c>
      <c r="G557" s="12" t="s">
        <v>1811</v>
      </c>
      <c r="H557" s="96" t="s">
        <v>1812</v>
      </c>
      <c r="I557" s="96" t="s">
        <v>1813</v>
      </c>
      <c r="J557" s="14">
        <v>16398.0</v>
      </c>
      <c r="K557" s="14">
        <v>9257.0</v>
      </c>
      <c r="L557" s="15">
        <v>0.5645</v>
      </c>
      <c r="M557" s="16">
        <v>2747.0</v>
      </c>
      <c r="N557" s="17">
        <v>0.2968</v>
      </c>
      <c r="O557" s="18">
        <v>0.0</v>
      </c>
      <c r="P557" s="18">
        <v>0.0</v>
      </c>
      <c r="Q557" s="19">
        <v>0.0</v>
      </c>
      <c r="R557" s="19">
        <v>0.0</v>
      </c>
      <c r="S557" s="20">
        <v>1.0</v>
      </c>
      <c r="T557" s="20">
        <v>6.0</v>
      </c>
      <c r="U557" s="20">
        <v>2449.0</v>
      </c>
      <c r="V557" s="21" t="s">
        <v>315</v>
      </c>
      <c r="W557" s="18" t="s">
        <v>76</v>
      </c>
      <c r="X557" s="21" t="s">
        <v>1139</v>
      </c>
      <c r="Y557" s="73" t="s">
        <v>1785</v>
      </c>
      <c r="Z557" s="20" t="s">
        <v>1814</v>
      </c>
      <c r="AA557" s="14">
        <v>22.0</v>
      </c>
      <c r="AB557" s="14"/>
      <c r="AC557" s="14">
        <v>22.0</v>
      </c>
      <c r="AD557" s="14">
        <v>93384.0</v>
      </c>
      <c r="AE557" s="14"/>
      <c r="AF557" s="14">
        <v>93384.0</v>
      </c>
      <c r="AG557" s="22"/>
      <c r="AH557" s="22"/>
      <c r="AI557" s="22"/>
      <c r="AJ557" s="22"/>
      <c r="AK557" s="22"/>
      <c r="AL557" s="22"/>
      <c r="AM557" s="22"/>
      <c r="AN557" s="22"/>
      <c r="AO557" s="22"/>
      <c r="AP557" s="22"/>
    </row>
    <row r="558" hidden="1">
      <c r="A558" s="8">
        <v>46087.0</v>
      </c>
      <c r="B558" s="23">
        <v>0.3923611111111111</v>
      </c>
      <c r="C558" s="10" t="s">
        <v>32</v>
      </c>
      <c r="D558" s="10" t="s">
        <v>33</v>
      </c>
      <c r="E558" s="12" t="s">
        <v>179</v>
      </c>
      <c r="F558" s="12" t="s">
        <v>1773</v>
      </c>
      <c r="G558" s="12" t="s">
        <v>1815</v>
      </c>
      <c r="H558" s="96" t="s">
        <v>1816</v>
      </c>
      <c r="I558" s="96" t="s">
        <v>1817</v>
      </c>
      <c r="J558" s="14">
        <v>7373.0</v>
      </c>
      <c r="K558" s="14">
        <v>4416.0</v>
      </c>
      <c r="L558" s="15">
        <v>0.5989</v>
      </c>
      <c r="M558" s="16">
        <v>1100.0</v>
      </c>
      <c r="N558" s="17">
        <v>0.2491</v>
      </c>
      <c r="O558" s="18">
        <v>0.0</v>
      </c>
      <c r="P558" s="18">
        <v>0.0</v>
      </c>
      <c r="Q558" s="19">
        <v>0.0</v>
      </c>
      <c r="R558" s="19">
        <v>0.0</v>
      </c>
      <c r="S558" s="20">
        <v>1.0</v>
      </c>
      <c r="T558" s="20">
        <v>1.0</v>
      </c>
      <c r="U558" s="20">
        <v>3599.0</v>
      </c>
      <c r="V558" s="21" t="s">
        <v>315</v>
      </c>
      <c r="W558" s="18" t="s">
        <v>76</v>
      </c>
      <c r="X558" s="21" t="s">
        <v>1139</v>
      </c>
      <c r="Y558" s="73" t="s">
        <v>1785</v>
      </c>
      <c r="Z558" s="20" t="s">
        <v>1818</v>
      </c>
      <c r="AA558" s="14">
        <v>12.0</v>
      </c>
      <c r="AB558" s="14"/>
      <c r="AC558" s="14">
        <v>12.0</v>
      </c>
      <c r="AD558" s="14">
        <v>67037.0</v>
      </c>
      <c r="AE558" s="14"/>
      <c r="AF558" s="14">
        <v>67037.0</v>
      </c>
      <c r="AG558" s="22"/>
      <c r="AH558" s="22"/>
      <c r="AI558" s="22"/>
      <c r="AJ558" s="22"/>
      <c r="AK558" s="22"/>
      <c r="AL558" s="22"/>
      <c r="AM558" s="22"/>
      <c r="AN558" s="22"/>
      <c r="AO558" s="22"/>
      <c r="AP558" s="22"/>
    </row>
    <row r="559" hidden="1">
      <c r="A559" s="8">
        <v>46087.0</v>
      </c>
      <c r="B559" s="23">
        <v>0.3888888888888889</v>
      </c>
      <c r="C559" s="10" t="s">
        <v>32</v>
      </c>
      <c r="D559" s="10" t="s">
        <v>33</v>
      </c>
      <c r="E559" s="12" t="s">
        <v>179</v>
      </c>
      <c r="F559" s="12" t="s">
        <v>1773</v>
      </c>
      <c r="G559" s="12" t="s">
        <v>1819</v>
      </c>
      <c r="H559" s="96" t="s">
        <v>1820</v>
      </c>
      <c r="I559" s="96" t="s">
        <v>1821</v>
      </c>
      <c r="J559" s="14">
        <v>16219.0</v>
      </c>
      <c r="K559" s="14">
        <v>10172.0</v>
      </c>
      <c r="L559" s="15">
        <v>0.6272</v>
      </c>
      <c r="M559" s="16">
        <v>3033.0</v>
      </c>
      <c r="N559" s="17">
        <v>0.2981</v>
      </c>
      <c r="O559" s="18">
        <v>0.0</v>
      </c>
      <c r="P559" s="18">
        <v>0.0</v>
      </c>
      <c r="Q559" s="19">
        <v>0.0</v>
      </c>
      <c r="R559" s="19">
        <v>0.0</v>
      </c>
      <c r="S559" s="20">
        <v>0.0</v>
      </c>
      <c r="T559" s="20">
        <v>8.0</v>
      </c>
      <c r="U559" s="20">
        <v>0.0</v>
      </c>
      <c r="V559" s="21" t="s">
        <v>315</v>
      </c>
      <c r="W559" s="18" t="s">
        <v>76</v>
      </c>
      <c r="X559" s="21" t="s">
        <v>1139</v>
      </c>
      <c r="Y559" s="73" t="s">
        <v>1785</v>
      </c>
      <c r="Z559" s="20" t="s">
        <v>1822</v>
      </c>
      <c r="AA559" s="14">
        <v>25.0</v>
      </c>
      <c r="AB559" s="14"/>
      <c r="AC559" s="14">
        <v>25.0</v>
      </c>
      <c r="AD559" s="14">
        <v>169454.0</v>
      </c>
      <c r="AE559" s="14"/>
      <c r="AF559" s="14">
        <v>169454.0</v>
      </c>
      <c r="AG559" s="22"/>
      <c r="AH559" s="22"/>
      <c r="AI559" s="22"/>
      <c r="AJ559" s="22"/>
      <c r="AK559" s="22"/>
      <c r="AL559" s="22"/>
      <c r="AM559" s="22"/>
      <c r="AN559" s="22"/>
      <c r="AO559" s="22"/>
      <c r="AP559" s="22"/>
    </row>
    <row r="560" hidden="1">
      <c r="A560" s="8">
        <v>46087.0</v>
      </c>
      <c r="B560" s="23">
        <v>0.3645833333333333</v>
      </c>
      <c r="C560" s="10" t="s">
        <v>32</v>
      </c>
      <c r="D560" s="10" t="s">
        <v>33</v>
      </c>
      <c r="E560" s="12" t="s">
        <v>179</v>
      </c>
      <c r="F560" s="12" t="s">
        <v>1773</v>
      </c>
      <c r="G560" s="12" t="s">
        <v>1823</v>
      </c>
      <c r="H560" s="96" t="s">
        <v>1824</v>
      </c>
      <c r="I560" s="96" t="s">
        <v>1825</v>
      </c>
      <c r="J560" s="14">
        <v>31485.0</v>
      </c>
      <c r="K560" s="14">
        <v>16684.0</v>
      </c>
      <c r="L560" s="15">
        <v>0.5299</v>
      </c>
      <c r="M560" s="16">
        <v>4077.0</v>
      </c>
      <c r="N560" s="17">
        <v>0.2442</v>
      </c>
      <c r="O560" s="18">
        <v>241.0</v>
      </c>
      <c r="P560" s="18">
        <v>225.0</v>
      </c>
      <c r="Q560" s="19">
        <v>0.0135</v>
      </c>
      <c r="R560" s="19">
        <v>0.0552</v>
      </c>
      <c r="S560" s="20">
        <v>6.0</v>
      </c>
      <c r="T560" s="20">
        <v>17.0</v>
      </c>
      <c r="U560" s="20">
        <v>30634.0</v>
      </c>
      <c r="V560" s="21" t="s">
        <v>315</v>
      </c>
      <c r="W560" s="18" t="s">
        <v>76</v>
      </c>
      <c r="X560" s="21" t="s">
        <v>1139</v>
      </c>
      <c r="Y560" s="73" t="s">
        <v>1785</v>
      </c>
      <c r="Z560" s="20" t="s">
        <v>1826</v>
      </c>
      <c r="AA560" s="14">
        <v>44.0</v>
      </c>
      <c r="AB560" s="14"/>
      <c r="AC560" s="14">
        <v>44.0</v>
      </c>
      <c r="AD560" s="14">
        <v>496637.0</v>
      </c>
      <c r="AE560" s="14"/>
      <c r="AF560" s="14">
        <v>496637.0</v>
      </c>
      <c r="AG560" s="22"/>
      <c r="AH560" s="22"/>
      <c r="AI560" s="22"/>
      <c r="AJ560" s="22"/>
      <c r="AK560" s="22"/>
      <c r="AL560" s="22"/>
      <c r="AM560" s="22"/>
      <c r="AN560" s="22"/>
      <c r="AO560" s="22"/>
      <c r="AP560" s="22"/>
    </row>
    <row r="561" hidden="1">
      <c r="A561" s="8">
        <v>46087.0</v>
      </c>
      <c r="B561" s="23">
        <v>0.3715277777777778</v>
      </c>
      <c r="C561" s="10" t="s">
        <v>32</v>
      </c>
      <c r="D561" s="10" t="s">
        <v>33</v>
      </c>
      <c r="E561" s="12" t="s">
        <v>179</v>
      </c>
      <c r="F561" s="12" t="s">
        <v>1773</v>
      </c>
      <c r="G561" s="12" t="s">
        <v>1827</v>
      </c>
      <c r="H561" s="96" t="s">
        <v>1828</v>
      </c>
      <c r="I561" s="96" t="s">
        <v>1829</v>
      </c>
      <c r="J561" s="14">
        <v>1906.0</v>
      </c>
      <c r="K561" s="14">
        <v>1147.0</v>
      </c>
      <c r="L561" s="15">
        <v>0.6018</v>
      </c>
      <c r="M561" s="16">
        <v>348.0</v>
      </c>
      <c r="N561" s="17">
        <v>0.3034</v>
      </c>
      <c r="O561" s="18">
        <v>0.0</v>
      </c>
      <c r="P561" s="18">
        <v>0.0</v>
      </c>
      <c r="Q561" s="19">
        <v>0.0</v>
      </c>
      <c r="R561" s="19">
        <v>0.0</v>
      </c>
      <c r="S561" s="20">
        <v>0.0</v>
      </c>
      <c r="T561" s="20">
        <v>0.0</v>
      </c>
      <c r="U561" s="20">
        <v>0.0</v>
      </c>
      <c r="V561" s="21" t="s">
        <v>315</v>
      </c>
      <c r="W561" s="18" t="s">
        <v>76</v>
      </c>
      <c r="X561" s="21" t="s">
        <v>1139</v>
      </c>
      <c r="Y561" s="73" t="s">
        <v>1785</v>
      </c>
      <c r="Z561" s="20" t="s">
        <v>1830</v>
      </c>
      <c r="AA561" s="14">
        <v>2.0</v>
      </c>
      <c r="AB561" s="14"/>
      <c r="AC561" s="14">
        <v>2.0</v>
      </c>
      <c r="AD561" s="14">
        <v>9995.0</v>
      </c>
      <c r="AE561" s="14"/>
      <c r="AF561" s="14">
        <v>9995.0</v>
      </c>
      <c r="AG561" s="22"/>
      <c r="AH561" s="22"/>
      <c r="AI561" s="22"/>
      <c r="AJ561" s="22"/>
      <c r="AK561" s="22"/>
      <c r="AL561" s="22"/>
      <c r="AM561" s="22"/>
      <c r="AN561" s="22"/>
      <c r="AO561" s="22"/>
      <c r="AP561" s="22"/>
    </row>
    <row r="562" hidden="1">
      <c r="A562" s="8">
        <v>46087.0</v>
      </c>
      <c r="B562" s="23">
        <v>0.3680555555555556</v>
      </c>
      <c r="C562" s="10" t="s">
        <v>32</v>
      </c>
      <c r="D562" s="10" t="s">
        <v>33</v>
      </c>
      <c r="E562" s="12" t="s">
        <v>179</v>
      </c>
      <c r="F562" s="12" t="s">
        <v>1773</v>
      </c>
      <c r="G562" s="12" t="s">
        <v>1831</v>
      </c>
      <c r="H562" s="96" t="s">
        <v>1832</v>
      </c>
      <c r="I562" s="96" t="s">
        <v>1833</v>
      </c>
      <c r="J562" s="14">
        <v>1450.0</v>
      </c>
      <c r="K562" s="14">
        <v>813.0</v>
      </c>
      <c r="L562" s="15">
        <v>0.5607</v>
      </c>
      <c r="M562" s="16">
        <v>262.0</v>
      </c>
      <c r="N562" s="17">
        <v>0.3223</v>
      </c>
      <c r="O562" s="18">
        <v>0.0</v>
      </c>
      <c r="P562" s="18">
        <v>0.0</v>
      </c>
      <c r="Q562" s="19">
        <v>0.0</v>
      </c>
      <c r="R562" s="19">
        <v>0.0</v>
      </c>
      <c r="S562" s="20">
        <v>0.0</v>
      </c>
      <c r="T562" s="20">
        <v>1.0</v>
      </c>
      <c r="U562" s="20">
        <v>0.0</v>
      </c>
      <c r="V562" s="21" t="s">
        <v>315</v>
      </c>
      <c r="W562" s="18" t="s">
        <v>76</v>
      </c>
      <c r="X562" s="21" t="s">
        <v>1139</v>
      </c>
      <c r="Y562" s="73" t="s">
        <v>1785</v>
      </c>
      <c r="Z562" s="20" t="s">
        <v>1834</v>
      </c>
      <c r="AA562" s="14">
        <v>3.0</v>
      </c>
      <c r="AB562" s="14"/>
      <c r="AC562" s="14">
        <v>3.0</v>
      </c>
      <c r="AD562" s="14">
        <v>8297.0</v>
      </c>
      <c r="AE562" s="14"/>
      <c r="AF562" s="14">
        <v>8297.0</v>
      </c>
      <c r="AG562" s="22"/>
      <c r="AH562" s="22"/>
      <c r="AI562" s="22"/>
      <c r="AJ562" s="22"/>
      <c r="AK562" s="22"/>
      <c r="AL562" s="22"/>
      <c r="AM562" s="22"/>
      <c r="AN562" s="22"/>
      <c r="AO562" s="22"/>
      <c r="AP562" s="22"/>
    </row>
    <row r="563" hidden="1">
      <c r="A563" s="8">
        <v>46087.0</v>
      </c>
      <c r="B563" s="23">
        <v>0.3784722222222222</v>
      </c>
      <c r="C563" s="10" t="s">
        <v>32</v>
      </c>
      <c r="D563" s="10" t="s">
        <v>33</v>
      </c>
      <c r="E563" s="12" t="s">
        <v>179</v>
      </c>
      <c r="F563" s="12" t="s">
        <v>1773</v>
      </c>
      <c r="G563" s="12" t="s">
        <v>1835</v>
      </c>
      <c r="H563" s="96" t="s">
        <v>1836</v>
      </c>
      <c r="I563" s="96" t="s">
        <v>1837</v>
      </c>
      <c r="J563" s="14">
        <v>3591.0</v>
      </c>
      <c r="K563" s="14">
        <v>2203.0</v>
      </c>
      <c r="L563" s="15">
        <v>0.6135</v>
      </c>
      <c r="M563" s="16">
        <v>648.0</v>
      </c>
      <c r="N563" s="17">
        <v>0.2941</v>
      </c>
      <c r="O563" s="18">
        <v>0.0</v>
      </c>
      <c r="P563" s="18">
        <v>0.0</v>
      </c>
      <c r="Q563" s="19">
        <v>0.0</v>
      </c>
      <c r="R563" s="19">
        <v>0.0</v>
      </c>
      <c r="S563" s="20">
        <v>1.0</v>
      </c>
      <c r="T563" s="20">
        <v>2.0</v>
      </c>
      <c r="U563" s="20">
        <v>4798.0</v>
      </c>
      <c r="V563" s="21" t="s">
        <v>315</v>
      </c>
      <c r="W563" s="18" t="s">
        <v>76</v>
      </c>
      <c r="X563" s="21" t="s">
        <v>1139</v>
      </c>
      <c r="Y563" s="73" t="s">
        <v>1785</v>
      </c>
      <c r="Z563" s="20" t="s">
        <v>1838</v>
      </c>
      <c r="AA563" s="14">
        <v>6.0</v>
      </c>
      <c r="AB563" s="14"/>
      <c r="AC563" s="14">
        <v>6.0</v>
      </c>
      <c r="AD563" s="14">
        <v>20117.0</v>
      </c>
      <c r="AE563" s="14"/>
      <c r="AF563" s="14">
        <v>20117.0</v>
      </c>
      <c r="AG563" s="22"/>
      <c r="AH563" s="22"/>
      <c r="AI563" s="22"/>
      <c r="AJ563" s="22"/>
      <c r="AK563" s="22"/>
      <c r="AL563" s="22"/>
      <c r="AM563" s="22"/>
      <c r="AN563" s="22"/>
      <c r="AO563" s="22"/>
      <c r="AP563" s="22"/>
    </row>
    <row r="564" hidden="1">
      <c r="A564" s="8">
        <v>46087.0</v>
      </c>
      <c r="B564" s="23">
        <v>0.6666666666666666</v>
      </c>
      <c r="C564" s="10" t="s">
        <v>32</v>
      </c>
      <c r="D564" s="10" t="s">
        <v>33</v>
      </c>
      <c r="E564" s="12" t="s">
        <v>179</v>
      </c>
      <c r="F564" s="12" t="s">
        <v>1773</v>
      </c>
      <c r="G564" s="12" t="s">
        <v>1839</v>
      </c>
      <c r="H564" s="96" t="s">
        <v>1840</v>
      </c>
      <c r="I564" s="96" t="s">
        <v>1841</v>
      </c>
      <c r="J564" s="14">
        <v>24152.0</v>
      </c>
      <c r="K564" s="14">
        <v>11003.0</v>
      </c>
      <c r="L564" s="15">
        <v>0.4556</v>
      </c>
      <c r="M564" s="16">
        <v>2485.0</v>
      </c>
      <c r="N564" s="17">
        <v>0.2259</v>
      </c>
      <c r="O564" s="18">
        <v>0.0</v>
      </c>
      <c r="P564" s="18">
        <v>0.0</v>
      </c>
      <c r="Q564" s="19">
        <v>0.0</v>
      </c>
      <c r="R564" s="19">
        <v>0.0</v>
      </c>
      <c r="S564" s="20">
        <v>1.0</v>
      </c>
      <c r="T564" s="20">
        <v>7.0</v>
      </c>
      <c r="U564" s="20">
        <v>4100.0</v>
      </c>
      <c r="V564" s="21" t="s">
        <v>315</v>
      </c>
      <c r="W564" s="18" t="s">
        <v>76</v>
      </c>
      <c r="X564" s="21" t="s">
        <v>1139</v>
      </c>
      <c r="Y564" s="73" t="s">
        <v>1785</v>
      </c>
      <c r="Z564" s="20" t="s">
        <v>1842</v>
      </c>
      <c r="AA564" s="14">
        <v>38.0</v>
      </c>
      <c r="AB564" s="14"/>
      <c r="AC564" s="14">
        <v>38.0</v>
      </c>
      <c r="AD564" s="14">
        <v>290264.0</v>
      </c>
      <c r="AE564" s="14"/>
      <c r="AF564" s="14">
        <v>290264.0</v>
      </c>
      <c r="AG564" s="22"/>
      <c r="AH564" s="22"/>
      <c r="AI564" s="22"/>
      <c r="AJ564" s="22"/>
      <c r="AK564" s="22"/>
      <c r="AL564" s="22"/>
      <c r="AM564" s="22"/>
      <c r="AN564" s="22"/>
      <c r="AO564" s="22"/>
      <c r="AP564" s="22"/>
    </row>
    <row r="565" hidden="1">
      <c r="A565" s="8">
        <v>46087.0</v>
      </c>
      <c r="B565" s="23">
        <v>0.6666666666666666</v>
      </c>
      <c r="C565" s="10" t="s">
        <v>32</v>
      </c>
      <c r="D565" s="10" t="s">
        <v>33</v>
      </c>
      <c r="E565" s="12" t="s">
        <v>179</v>
      </c>
      <c r="F565" s="12" t="s">
        <v>1773</v>
      </c>
      <c r="G565" s="12" t="s">
        <v>1843</v>
      </c>
      <c r="H565" s="96" t="s">
        <v>1844</v>
      </c>
      <c r="I565" s="96" t="s">
        <v>1845</v>
      </c>
      <c r="J565" s="14">
        <v>36905.0</v>
      </c>
      <c r="K565" s="14">
        <v>17074.0</v>
      </c>
      <c r="L565" s="15">
        <v>0.4626</v>
      </c>
      <c r="M565" s="16">
        <v>3749.0</v>
      </c>
      <c r="N565" s="17">
        <v>0.2196</v>
      </c>
      <c r="O565" s="18">
        <v>0.0</v>
      </c>
      <c r="P565" s="18">
        <v>0.0</v>
      </c>
      <c r="Q565" s="19">
        <v>0.0</v>
      </c>
      <c r="R565" s="19">
        <v>0.0</v>
      </c>
      <c r="S565" s="20">
        <v>3.0</v>
      </c>
      <c r="T565" s="20">
        <v>11.0</v>
      </c>
      <c r="U565" s="20">
        <v>16824.0</v>
      </c>
      <c r="V565" s="21" t="s">
        <v>315</v>
      </c>
      <c r="W565" s="18" t="s">
        <v>76</v>
      </c>
      <c r="X565" s="21" t="s">
        <v>1139</v>
      </c>
      <c r="Y565" s="73" t="s">
        <v>1785</v>
      </c>
      <c r="Z565" s="20" t="s">
        <v>1846</v>
      </c>
      <c r="AA565" s="14">
        <v>49.0</v>
      </c>
      <c r="AB565" s="14"/>
      <c r="AC565" s="14">
        <v>49.0</v>
      </c>
      <c r="AD565" s="14">
        <v>630400.0</v>
      </c>
      <c r="AE565" s="14"/>
      <c r="AF565" s="14">
        <v>630400.0</v>
      </c>
      <c r="AG565" s="22"/>
      <c r="AH565" s="22"/>
      <c r="AI565" s="22"/>
      <c r="AJ565" s="22"/>
      <c r="AK565" s="22"/>
      <c r="AL565" s="22"/>
      <c r="AM565" s="22"/>
      <c r="AN565" s="22"/>
      <c r="AO565" s="22"/>
      <c r="AP565" s="22"/>
    </row>
    <row r="566" hidden="1">
      <c r="A566" s="8">
        <v>46087.0</v>
      </c>
      <c r="B566" s="23">
        <v>0.3541666666666667</v>
      </c>
      <c r="C566" s="10" t="s">
        <v>196</v>
      </c>
      <c r="D566" s="10" t="s">
        <v>33</v>
      </c>
      <c r="E566" s="12" t="s">
        <v>179</v>
      </c>
      <c r="F566" s="12" t="s">
        <v>1773</v>
      </c>
      <c r="G566" s="12" t="s">
        <v>1847</v>
      </c>
      <c r="H566" s="96" t="s">
        <v>1784</v>
      </c>
      <c r="I566" s="96" t="s">
        <v>1848</v>
      </c>
      <c r="J566" s="14">
        <v>980.0</v>
      </c>
      <c r="K566" s="14">
        <v>138.0</v>
      </c>
      <c r="L566" s="15">
        <v>0.1408</v>
      </c>
      <c r="M566" s="16"/>
      <c r="N566" s="17"/>
      <c r="O566" s="18">
        <v>0.0</v>
      </c>
      <c r="P566" s="18"/>
      <c r="Q566" s="19">
        <v>0.0</v>
      </c>
      <c r="R566" s="19"/>
      <c r="S566" s="20">
        <v>0.0</v>
      </c>
      <c r="T566" s="20">
        <v>0.0</v>
      </c>
      <c r="U566" s="20">
        <v>0.0</v>
      </c>
      <c r="V566" s="21" t="s">
        <v>335</v>
      </c>
      <c r="W566" s="18" t="s">
        <v>95</v>
      </c>
      <c r="X566" s="21" t="s">
        <v>1139</v>
      </c>
      <c r="Y566" s="73" t="s">
        <v>1785</v>
      </c>
      <c r="Z566" s="20" t="s">
        <v>1849</v>
      </c>
      <c r="AA566" s="14">
        <v>0.0</v>
      </c>
      <c r="AB566" s="14">
        <v>0.0</v>
      </c>
      <c r="AC566" s="14"/>
      <c r="AD566" s="14">
        <v>0.0</v>
      </c>
      <c r="AE566" s="14">
        <v>0.0</v>
      </c>
      <c r="AF566" s="14"/>
      <c r="AG566" s="22"/>
      <c r="AH566" s="22"/>
      <c r="AI566" s="22"/>
      <c r="AJ566" s="22"/>
      <c r="AK566" s="22"/>
      <c r="AL566" s="22"/>
      <c r="AM566" s="22"/>
      <c r="AN566" s="22"/>
      <c r="AO566" s="22"/>
      <c r="AP566" s="22"/>
    </row>
    <row r="567" hidden="1">
      <c r="A567" s="8">
        <v>46087.0</v>
      </c>
      <c r="B567" s="23">
        <v>0.3541666666666667</v>
      </c>
      <c r="C567" s="10" t="s">
        <v>196</v>
      </c>
      <c r="D567" s="10" t="s">
        <v>33</v>
      </c>
      <c r="E567" s="12" t="s">
        <v>179</v>
      </c>
      <c r="F567" s="12" t="s">
        <v>1773</v>
      </c>
      <c r="G567" s="12" t="s">
        <v>1850</v>
      </c>
      <c r="H567" s="96" t="s">
        <v>1788</v>
      </c>
      <c r="I567" s="96" t="s">
        <v>1851</v>
      </c>
      <c r="J567" s="14">
        <v>58134.0</v>
      </c>
      <c r="K567" s="14">
        <v>12399.0</v>
      </c>
      <c r="L567" s="15">
        <v>0.2133</v>
      </c>
      <c r="M567" s="16"/>
      <c r="N567" s="17"/>
      <c r="O567" s="18">
        <v>155.0</v>
      </c>
      <c r="P567" s="18"/>
      <c r="Q567" s="19">
        <v>0.0125</v>
      </c>
      <c r="R567" s="19"/>
      <c r="S567" s="20">
        <v>9.0</v>
      </c>
      <c r="T567" s="20">
        <v>25.0</v>
      </c>
      <c r="U567" s="20">
        <v>52858.0</v>
      </c>
      <c r="V567" s="21" t="s">
        <v>335</v>
      </c>
      <c r="W567" s="18" t="s">
        <v>95</v>
      </c>
      <c r="X567" s="21" t="s">
        <v>1139</v>
      </c>
      <c r="Y567" s="73" t="s">
        <v>1785</v>
      </c>
      <c r="Z567" s="20" t="s">
        <v>1852</v>
      </c>
      <c r="AA567" s="14">
        <v>32.0</v>
      </c>
      <c r="AB567" s="14">
        <v>32.0</v>
      </c>
      <c r="AC567" s="14"/>
      <c r="AD567" s="14">
        <v>163239.0</v>
      </c>
      <c r="AE567" s="14">
        <v>163239.0</v>
      </c>
      <c r="AF567" s="14"/>
      <c r="AG567" s="22"/>
      <c r="AH567" s="22"/>
      <c r="AI567" s="22"/>
      <c r="AJ567" s="22"/>
      <c r="AK567" s="22"/>
      <c r="AL567" s="22"/>
      <c r="AM567" s="22"/>
      <c r="AN567" s="22"/>
      <c r="AO567" s="22"/>
      <c r="AP567" s="22"/>
    </row>
    <row r="568" hidden="1">
      <c r="A568" s="8">
        <v>46087.0</v>
      </c>
      <c r="B568" s="23">
        <v>0.3541666666666667</v>
      </c>
      <c r="C568" s="10" t="s">
        <v>196</v>
      </c>
      <c r="D568" s="10" t="s">
        <v>33</v>
      </c>
      <c r="E568" s="12" t="s">
        <v>179</v>
      </c>
      <c r="F568" s="12" t="s">
        <v>1773</v>
      </c>
      <c r="G568" s="12" t="s">
        <v>1853</v>
      </c>
      <c r="H568" s="96" t="s">
        <v>1791</v>
      </c>
      <c r="I568" s="96" t="s">
        <v>1854</v>
      </c>
      <c r="J568" s="14">
        <v>9447.0</v>
      </c>
      <c r="K568" s="14">
        <v>1403.0</v>
      </c>
      <c r="L568" s="15">
        <v>0.1485</v>
      </c>
      <c r="M568" s="16"/>
      <c r="N568" s="17"/>
      <c r="O568" s="18">
        <v>25.0</v>
      </c>
      <c r="P568" s="18"/>
      <c r="Q568" s="19">
        <v>0.0178</v>
      </c>
      <c r="R568" s="19"/>
      <c r="S568" s="20">
        <v>1.0</v>
      </c>
      <c r="T568" s="20">
        <v>5.0</v>
      </c>
      <c r="U568" s="20">
        <v>5518.0</v>
      </c>
      <c r="V568" s="21" t="s">
        <v>335</v>
      </c>
      <c r="W568" s="18" t="s">
        <v>95</v>
      </c>
      <c r="X568" s="21" t="s">
        <v>1139</v>
      </c>
      <c r="Y568" s="73" t="s">
        <v>1785</v>
      </c>
      <c r="Z568" s="20" t="s">
        <v>1855</v>
      </c>
      <c r="AA568" s="14">
        <v>5.0</v>
      </c>
      <c r="AB568" s="14">
        <v>5.0</v>
      </c>
      <c r="AC568" s="14"/>
      <c r="AD568" s="14">
        <v>38171.0</v>
      </c>
      <c r="AE568" s="14">
        <v>38171.0</v>
      </c>
      <c r="AF568" s="14"/>
      <c r="AG568" s="22"/>
      <c r="AH568" s="22"/>
      <c r="AI568" s="22"/>
      <c r="AJ568" s="22"/>
      <c r="AK568" s="22"/>
      <c r="AL568" s="22"/>
      <c r="AM568" s="22"/>
      <c r="AN568" s="22"/>
      <c r="AO568" s="22"/>
      <c r="AP568" s="22"/>
    </row>
    <row r="569" hidden="1">
      <c r="A569" s="8">
        <v>46087.0</v>
      </c>
      <c r="B569" s="23">
        <v>0.3541666666666667</v>
      </c>
      <c r="C569" s="10" t="s">
        <v>196</v>
      </c>
      <c r="D569" s="10" t="s">
        <v>33</v>
      </c>
      <c r="E569" s="12" t="s">
        <v>179</v>
      </c>
      <c r="F569" s="12" t="s">
        <v>1773</v>
      </c>
      <c r="G569" s="12" t="s">
        <v>1856</v>
      </c>
      <c r="H569" s="96" t="s">
        <v>1794</v>
      </c>
      <c r="I569" s="96" t="s">
        <v>1857</v>
      </c>
      <c r="J569" s="14">
        <v>30288.0</v>
      </c>
      <c r="K569" s="14">
        <v>4278.0</v>
      </c>
      <c r="L569" s="15">
        <v>0.1412</v>
      </c>
      <c r="M569" s="16"/>
      <c r="N569" s="17"/>
      <c r="O569" s="18">
        <v>59.0</v>
      </c>
      <c r="P569" s="18"/>
      <c r="Q569" s="19">
        <v>0.0138</v>
      </c>
      <c r="R569" s="19"/>
      <c r="S569" s="20">
        <v>8.0</v>
      </c>
      <c r="T569" s="20">
        <v>10.0</v>
      </c>
      <c r="U569" s="20">
        <v>47134.0</v>
      </c>
      <c r="V569" s="21" t="s">
        <v>335</v>
      </c>
      <c r="W569" s="18" t="s">
        <v>95</v>
      </c>
      <c r="X569" s="21" t="s">
        <v>1139</v>
      </c>
      <c r="Y569" s="73" t="s">
        <v>1785</v>
      </c>
      <c r="Z569" s="20" t="s">
        <v>1858</v>
      </c>
      <c r="AA569" s="14">
        <v>9.0</v>
      </c>
      <c r="AB569" s="14">
        <v>9.0</v>
      </c>
      <c r="AC569" s="14"/>
      <c r="AD569" s="14">
        <v>41643.0</v>
      </c>
      <c r="AE569" s="14">
        <v>41643.0</v>
      </c>
      <c r="AF569" s="14"/>
      <c r="AG569" s="22"/>
      <c r="AH569" s="22"/>
      <c r="AI569" s="22"/>
      <c r="AJ569" s="22"/>
      <c r="AK569" s="22"/>
      <c r="AL569" s="22"/>
      <c r="AM569" s="22"/>
      <c r="AN569" s="22"/>
      <c r="AO569" s="22"/>
      <c r="AP569" s="22"/>
    </row>
    <row r="570" hidden="1">
      <c r="A570" s="8">
        <v>46087.0</v>
      </c>
      <c r="B570" s="23">
        <v>0.3541666666666667</v>
      </c>
      <c r="C570" s="10" t="s">
        <v>196</v>
      </c>
      <c r="D570" s="10" t="s">
        <v>33</v>
      </c>
      <c r="E570" s="12" t="s">
        <v>179</v>
      </c>
      <c r="F570" s="12" t="s">
        <v>1773</v>
      </c>
      <c r="G570" s="12" t="s">
        <v>1859</v>
      </c>
      <c r="H570" s="96" t="s">
        <v>1797</v>
      </c>
      <c r="I570" s="96" t="s">
        <v>1809</v>
      </c>
      <c r="J570" s="14">
        <v>20243.0</v>
      </c>
      <c r="K570" s="14">
        <v>3575.0</v>
      </c>
      <c r="L570" s="15">
        <v>0.1766</v>
      </c>
      <c r="M570" s="16"/>
      <c r="N570" s="17"/>
      <c r="O570" s="18">
        <v>35.0</v>
      </c>
      <c r="P570" s="18"/>
      <c r="Q570" s="19">
        <v>0.0098</v>
      </c>
      <c r="R570" s="19"/>
      <c r="S570" s="20">
        <v>1.0</v>
      </c>
      <c r="T570" s="20">
        <v>3.0</v>
      </c>
      <c r="U570" s="20">
        <v>7499.0</v>
      </c>
      <c r="V570" s="21" t="s">
        <v>335</v>
      </c>
      <c r="W570" s="18" t="s">
        <v>95</v>
      </c>
      <c r="X570" s="21" t="s">
        <v>1139</v>
      </c>
      <c r="Y570" s="73" t="s">
        <v>1785</v>
      </c>
      <c r="Z570" s="20" t="s">
        <v>1860</v>
      </c>
      <c r="AA570" s="14">
        <v>3.0</v>
      </c>
      <c r="AB570" s="14">
        <v>3.0</v>
      </c>
      <c r="AC570" s="14"/>
      <c r="AD570" s="14">
        <v>25350.0</v>
      </c>
      <c r="AE570" s="14">
        <v>25350.0</v>
      </c>
      <c r="AF570" s="14"/>
      <c r="AG570" s="22"/>
      <c r="AH570" s="22"/>
      <c r="AI570" s="22"/>
      <c r="AJ570" s="22"/>
      <c r="AK570" s="22"/>
      <c r="AL570" s="22"/>
      <c r="AM570" s="22"/>
      <c r="AN570" s="22"/>
      <c r="AO570" s="22"/>
      <c r="AP570" s="22"/>
    </row>
    <row r="571" hidden="1">
      <c r="A571" s="8">
        <v>46087.0</v>
      </c>
      <c r="B571" s="23">
        <v>0.4791666666666667</v>
      </c>
      <c r="C571" s="10" t="s">
        <v>58</v>
      </c>
      <c r="D571" s="10" t="s">
        <v>59</v>
      </c>
      <c r="E571" s="12" t="s">
        <v>179</v>
      </c>
      <c r="F571" s="12" t="s">
        <v>1773</v>
      </c>
      <c r="G571" s="12" t="s">
        <v>1861</v>
      </c>
      <c r="H571" s="96" t="s">
        <v>1784</v>
      </c>
      <c r="I571" s="57" t="s">
        <v>61</v>
      </c>
      <c r="J571" s="14">
        <v>374.0</v>
      </c>
      <c r="K571" s="14">
        <v>224.0</v>
      </c>
      <c r="L571" s="15">
        <v>0.5989</v>
      </c>
      <c r="M571" s="16"/>
      <c r="N571" s="17"/>
      <c r="O571" s="18">
        <v>0.0</v>
      </c>
      <c r="P571" s="18"/>
      <c r="Q571" s="19">
        <v>0.0</v>
      </c>
      <c r="R571" s="19"/>
      <c r="S571" s="20">
        <v>0.0</v>
      </c>
      <c r="T571" s="20">
        <v>1.0</v>
      </c>
      <c r="U571" s="20">
        <v>0.0</v>
      </c>
      <c r="V571" s="21" t="s">
        <v>335</v>
      </c>
      <c r="W571" s="18" t="s">
        <v>62</v>
      </c>
      <c r="X571" s="21" t="s">
        <v>1139</v>
      </c>
      <c r="Y571" s="73" t="s">
        <v>1785</v>
      </c>
      <c r="Z571" s="20" t="s">
        <v>1862</v>
      </c>
      <c r="AA571" s="14">
        <v>0.0</v>
      </c>
      <c r="AB571" s="14">
        <v>0.0</v>
      </c>
      <c r="AC571" s="14"/>
      <c r="AD571" s="14">
        <v>0.0</v>
      </c>
      <c r="AE571" s="14">
        <v>0.0</v>
      </c>
      <c r="AF571" s="14"/>
      <c r="AG571" s="22"/>
      <c r="AH571" s="22"/>
      <c r="AI571" s="22"/>
      <c r="AJ571" s="22"/>
      <c r="AK571" s="22"/>
      <c r="AL571" s="22"/>
      <c r="AM571" s="22"/>
      <c r="AN571" s="22"/>
      <c r="AO571" s="22"/>
      <c r="AP571" s="22"/>
    </row>
    <row r="572" hidden="1">
      <c r="A572" s="8">
        <v>46087.0</v>
      </c>
      <c r="B572" s="23">
        <v>0.4791666666666667</v>
      </c>
      <c r="C572" s="10" t="s">
        <v>58</v>
      </c>
      <c r="D572" s="10" t="s">
        <v>59</v>
      </c>
      <c r="E572" s="12" t="s">
        <v>179</v>
      </c>
      <c r="F572" s="12" t="s">
        <v>1773</v>
      </c>
      <c r="G572" s="12" t="s">
        <v>1863</v>
      </c>
      <c r="H572" s="96" t="s">
        <v>1788</v>
      </c>
      <c r="I572" s="57" t="s">
        <v>61</v>
      </c>
      <c r="J572" s="14">
        <v>20244.0</v>
      </c>
      <c r="K572" s="14">
        <v>13620.0</v>
      </c>
      <c r="L572" s="15">
        <v>0.6728</v>
      </c>
      <c r="M572" s="16"/>
      <c r="N572" s="17"/>
      <c r="O572" s="18">
        <v>24.0</v>
      </c>
      <c r="P572" s="18"/>
      <c r="Q572" s="19">
        <v>0.0018</v>
      </c>
      <c r="R572" s="19"/>
      <c r="S572" s="20">
        <v>5.0</v>
      </c>
      <c r="T572" s="20">
        <v>18.0</v>
      </c>
      <c r="U572" s="20">
        <v>24762.0</v>
      </c>
      <c r="V572" s="21" t="s">
        <v>335</v>
      </c>
      <c r="W572" s="18" t="s">
        <v>62</v>
      </c>
      <c r="X572" s="21" t="s">
        <v>1139</v>
      </c>
      <c r="Y572" s="73" t="s">
        <v>1785</v>
      </c>
      <c r="Z572" s="20" t="s">
        <v>1864</v>
      </c>
      <c r="AA572" s="14">
        <v>32.0</v>
      </c>
      <c r="AB572" s="14">
        <v>32.0</v>
      </c>
      <c r="AC572" s="14"/>
      <c r="AD572" s="14">
        <v>162349.0</v>
      </c>
      <c r="AE572" s="14">
        <v>162349.0</v>
      </c>
      <c r="AF572" s="14"/>
      <c r="AG572" s="22"/>
      <c r="AH572" s="22"/>
      <c r="AI572" s="22"/>
      <c r="AJ572" s="22"/>
      <c r="AK572" s="22"/>
      <c r="AL572" s="22"/>
      <c r="AM572" s="22"/>
      <c r="AN572" s="22"/>
      <c r="AO572" s="22"/>
      <c r="AP572" s="22"/>
    </row>
    <row r="573" hidden="1">
      <c r="A573" s="8">
        <v>46087.0</v>
      </c>
      <c r="B573" s="23">
        <v>0.4791666666666667</v>
      </c>
      <c r="C573" s="10" t="s">
        <v>58</v>
      </c>
      <c r="D573" s="10" t="s">
        <v>59</v>
      </c>
      <c r="E573" s="12" t="s">
        <v>179</v>
      </c>
      <c r="F573" s="12" t="s">
        <v>1773</v>
      </c>
      <c r="G573" s="12" t="s">
        <v>1865</v>
      </c>
      <c r="H573" s="96" t="s">
        <v>1791</v>
      </c>
      <c r="I573" s="57" t="s">
        <v>61</v>
      </c>
      <c r="J573" s="14">
        <v>3668.0</v>
      </c>
      <c r="K573" s="14">
        <v>2220.0</v>
      </c>
      <c r="L573" s="15">
        <v>0.6052</v>
      </c>
      <c r="M573" s="16"/>
      <c r="N573" s="17"/>
      <c r="O573" s="18">
        <v>6.0</v>
      </c>
      <c r="P573" s="18"/>
      <c r="Q573" s="19">
        <v>0.0027</v>
      </c>
      <c r="R573" s="19"/>
      <c r="S573" s="20">
        <v>3.0</v>
      </c>
      <c r="T573" s="20">
        <v>16.0</v>
      </c>
      <c r="U573" s="20">
        <v>12038.0</v>
      </c>
      <c r="V573" s="21" t="s">
        <v>335</v>
      </c>
      <c r="W573" s="18" t="s">
        <v>62</v>
      </c>
      <c r="X573" s="21" t="s">
        <v>1139</v>
      </c>
      <c r="Y573" s="73" t="s">
        <v>1785</v>
      </c>
      <c r="Z573" s="20" t="s">
        <v>1866</v>
      </c>
      <c r="AA573" s="14">
        <v>8.0</v>
      </c>
      <c r="AB573" s="14">
        <v>8.0</v>
      </c>
      <c r="AC573" s="14"/>
      <c r="AD573" s="14">
        <v>71065.0</v>
      </c>
      <c r="AE573" s="14">
        <v>71065.0</v>
      </c>
      <c r="AF573" s="14"/>
      <c r="AG573" s="22"/>
      <c r="AH573" s="22"/>
      <c r="AI573" s="22"/>
      <c r="AJ573" s="22"/>
      <c r="AK573" s="22"/>
      <c r="AL573" s="22"/>
      <c r="AM573" s="22"/>
      <c r="AN573" s="22"/>
      <c r="AO573" s="22"/>
      <c r="AP573" s="22"/>
    </row>
    <row r="574" hidden="1">
      <c r="A574" s="8">
        <v>46087.0</v>
      </c>
      <c r="B574" s="23">
        <v>0.4791666666666667</v>
      </c>
      <c r="C574" s="10" t="s">
        <v>58</v>
      </c>
      <c r="D574" s="10" t="s">
        <v>59</v>
      </c>
      <c r="E574" s="12" t="s">
        <v>179</v>
      </c>
      <c r="F574" s="12" t="s">
        <v>1773</v>
      </c>
      <c r="G574" s="12" t="s">
        <v>1867</v>
      </c>
      <c r="H574" s="96" t="s">
        <v>1794</v>
      </c>
      <c r="I574" s="57" t="s">
        <v>61</v>
      </c>
      <c r="J574" s="14">
        <v>11988.0</v>
      </c>
      <c r="K574" s="14">
        <v>7258.0</v>
      </c>
      <c r="L574" s="15">
        <v>0.6054</v>
      </c>
      <c r="M574" s="16"/>
      <c r="N574" s="17"/>
      <c r="O574" s="18">
        <v>7.0</v>
      </c>
      <c r="P574" s="18"/>
      <c r="Q574" s="19">
        <v>0.001</v>
      </c>
      <c r="R574" s="19"/>
      <c r="S574" s="20">
        <v>5.0</v>
      </c>
      <c r="T574" s="20">
        <v>6.0</v>
      </c>
      <c r="U574" s="20">
        <v>19541.0</v>
      </c>
      <c r="V574" s="21" t="s">
        <v>335</v>
      </c>
      <c r="W574" s="18" t="s">
        <v>62</v>
      </c>
      <c r="X574" s="21" t="s">
        <v>1139</v>
      </c>
      <c r="Y574" s="73" t="s">
        <v>1785</v>
      </c>
      <c r="Z574" s="20" t="s">
        <v>1868</v>
      </c>
      <c r="AA574" s="14">
        <v>11.0</v>
      </c>
      <c r="AB574" s="14">
        <v>11.0</v>
      </c>
      <c r="AC574" s="14"/>
      <c r="AD574" s="14">
        <v>98780.0</v>
      </c>
      <c r="AE574" s="14">
        <v>98780.0</v>
      </c>
      <c r="AF574" s="14"/>
      <c r="AG574" s="22"/>
      <c r="AH574" s="22"/>
      <c r="AI574" s="22"/>
      <c r="AJ574" s="22"/>
      <c r="AK574" s="22"/>
      <c r="AL574" s="22"/>
      <c r="AM574" s="22"/>
      <c r="AN574" s="22"/>
      <c r="AO574" s="22"/>
      <c r="AP574" s="22"/>
    </row>
    <row r="575" hidden="1">
      <c r="A575" s="8">
        <v>46087.0</v>
      </c>
      <c r="B575" s="23">
        <v>0.4791666666666667</v>
      </c>
      <c r="C575" s="10" t="s">
        <v>58</v>
      </c>
      <c r="D575" s="10" t="s">
        <v>59</v>
      </c>
      <c r="E575" s="12" t="s">
        <v>179</v>
      </c>
      <c r="F575" s="12" t="s">
        <v>1773</v>
      </c>
      <c r="G575" s="12" t="s">
        <v>1869</v>
      </c>
      <c r="H575" s="96" t="s">
        <v>1797</v>
      </c>
      <c r="I575" s="57" t="s">
        <v>61</v>
      </c>
      <c r="J575" s="14">
        <v>7624.0</v>
      </c>
      <c r="K575" s="14">
        <v>4831.0</v>
      </c>
      <c r="L575" s="15">
        <v>0.6337</v>
      </c>
      <c r="M575" s="16"/>
      <c r="N575" s="17"/>
      <c r="O575" s="18">
        <v>13.0</v>
      </c>
      <c r="P575" s="18"/>
      <c r="Q575" s="19">
        <v>0.0027</v>
      </c>
      <c r="R575" s="19"/>
      <c r="S575" s="20">
        <v>2.0</v>
      </c>
      <c r="T575" s="20">
        <v>2.0</v>
      </c>
      <c r="U575" s="20">
        <v>10697.0</v>
      </c>
      <c r="V575" s="21" t="s">
        <v>335</v>
      </c>
      <c r="W575" s="18" t="s">
        <v>62</v>
      </c>
      <c r="X575" s="21" t="s">
        <v>1139</v>
      </c>
      <c r="Y575" s="73" t="s">
        <v>1785</v>
      </c>
      <c r="Z575" s="20" t="s">
        <v>1870</v>
      </c>
      <c r="AA575" s="14">
        <v>5.0</v>
      </c>
      <c r="AB575" s="14">
        <v>5.0</v>
      </c>
      <c r="AC575" s="14"/>
      <c r="AD575" s="14">
        <v>23709.0</v>
      </c>
      <c r="AE575" s="14">
        <v>23709.0</v>
      </c>
      <c r="AF575" s="14"/>
      <c r="AG575" s="22"/>
      <c r="AH575" s="22"/>
      <c r="AI575" s="22"/>
      <c r="AJ575" s="22"/>
      <c r="AK575" s="22"/>
      <c r="AL575" s="22"/>
      <c r="AM575" s="22"/>
      <c r="AN575" s="22"/>
      <c r="AO575" s="22"/>
      <c r="AP575" s="22"/>
    </row>
    <row r="576" hidden="1">
      <c r="A576" s="8">
        <v>46087.0</v>
      </c>
      <c r="B576" s="23">
        <v>0.4791666666666667</v>
      </c>
      <c r="C576" s="10" t="s">
        <v>58</v>
      </c>
      <c r="D576" s="10" t="s">
        <v>59</v>
      </c>
      <c r="E576" s="12" t="s">
        <v>179</v>
      </c>
      <c r="F576" s="12" t="s">
        <v>1773</v>
      </c>
      <c r="G576" s="12" t="s">
        <v>1871</v>
      </c>
      <c r="H576" s="96" t="s">
        <v>1800</v>
      </c>
      <c r="I576" s="57" t="s">
        <v>61</v>
      </c>
      <c r="J576" s="14">
        <v>6574.0</v>
      </c>
      <c r="K576" s="14">
        <v>4571.0</v>
      </c>
      <c r="L576" s="15">
        <v>0.6953</v>
      </c>
      <c r="M576" s="16"/>
      <c r="N576" s="17"/>
      <c r="O576" s="18">
        <v>0.0</v>
      </c>
      <c r="P576" s="18"/>
      <c r="Q576" s="19">
        <v>0.0</v>
      </c>
      <c r="R576" s="19"/>
      <c r="S576" s="20">
        <v>1.0</v>
      </c>
      <c r="T576" s="20">
        <v>1.0</v>
      </c>
      <c r="U576" s="20">
        <v>2349.0</v>
      </c>
      <c r="V576" s="21" t="s">
        <v>315</v>
      </c>
      <c r="W576" s="18" t="s">
        <v>62</v>
      </c>
      <c r="X576" s="21" t="s">
        <v>1139</v>
      </c>
      <c r="Y576" s="73" t="s">
        <v>1785</v>
      </c>
      <c r="Z576" s="20" t="s">
        <v>1872</v>
      </c>
      <c r="AA576" s="14">
        <v>11.0</v>
      </c>
      <c r="AB576" s="14"/>
      <c r="AC576" s="25">
        <v>11.0</v>
      </c>
      <c r="AD576" s="14">
        <v>32386.0</v>
      </c>
      <c r="AE576" s="14"/>
      <c r="AF576" s="25">
        <v>32386.0</v>
      </c>
      <c r="AG576" s="22"/>
      <c r="AH576" s="22"/>
      <c r="AI576" s="22"/>
      <c r="AJ576" s="22"/>
      <c r="AK576" s="22"/>
      <c r="AL576" s="22"/>
      <c r="AM576" s="22"/>
      <c r="AN576" s="22"/>
      <c r="AO576" s="22"/>
      <c r="AP576" s="22"/>
    </row>
    <row r="577" hidden="1">
      <c r="A577" s="8">
        <v>46087.0</v>
      </c>
      <c r="B577" s="23">
        <v>0.4791666666666667</v>
      </c>
      <c r="C577" s="10" t="s">
        <v>58</v>
      </c>
      <c r="D577" s="10" t="s">
        <v>59</v>
      </c>
      <c r="E577" s="12" t="s">
        <v>179</v>
      </c>
      <c r="F577" s="12" t="s">
        <v>1773</v>
      </c>
      <c r="G577" s="12" t="s">
        <v>1873</v>
      </c>
      <c r="H577" s="96" t="s">
        <v>1812</v>
      </c>
      <c r="I577" s="57" t="s">
        <v>61</v>
      </c>
      <c r="J577" s="14">
        <v>6476.0</v>
      </c>
      <c r="K577" s="14">
        <v>4152.0</v>
      </c>
      <c r="L577" s="15">
        <v>0.6411</v>
      </c>
      <c r="M577" s="16"/>
      <c r="N577" s="17"/>
      <c r="O577" s="18">
        <v>0.0</v>
      </c>
      <c r="P577" s="18"/>
      <c r="Q577" s="19">
        <v>0.0</v>
      </c>
      <c r="R577" s="19"/>
      <c r="S577" s="20">
        <v>0.0</v>
      </c>
      <c r="T577" s="20">
        <v>1.0</v>
      </c>
      <c r="U577" s="20">
        <v>0.0</v>
      </c>
      <c r="V577" s="21" t="s">
        <v>315</v>
      </c>
      <c r="W577" s="18" t="s">
        <v>62</v>
      </c>
      <c r="X577" s="21" t="s">
        <v>1139</v>
      </c>
      <c r="Y577" s="73" t="s">
        <v>1785</v>
      </c>
      <c r="Z577" s="20" t="s">
        <v>1874</v>
      </c>
      <c r="AA577" s="14">
        <v>7.0</v>
      </c>
      <c r="AB577" s="14"/>
      <c r="AC577" s="25">
        <v>7.0</v>
      </c>
      <c r="AD577" s="14">
        <v>26668.0</v>
      </c>
      <c r="AE577" s="14"/>
      <c r="AF577" s="25">
        <v>26668.0</v>
      </c>
      <c r="AG577" s="22"/>
      <c r="AH577" s="22"/>
      <c r="AI577" s="22"/>
      <c r="AJ577" s="22"/>
      <c r="AK577" s="22"/>
      <c r="AL577" s="22"/>
      <c r="AM577" s="22"/>
      <c r="AN577" s="22"/>
      <c r="AO577" s="22"/>
      <c r="AP577" s="22"/>
    </row>
    <row r="578" hidden="1">
      <c r="A578" s="8">
        <v>46087.0</v>
      </c>
      <c r="B578" s="23">
        <v>0.4791666666666667</v>
      </c>
      <c r="C578" s="10" t="s">
        <v>58</v>
      </c>
      <c r="D578" s="10" t="s">
        <v>59</v>
      </c>
      <c r="E578" s="12" t="s">
        <v>179</v>
      </c>
      <c r="F578" s="12" t="s">
        <v>1773</v>
      </c>
      <c r="G578" s="12" t="s">
        <v>1875</v>
      </c>
      <c r="H578" s="96" t="s">
        <v>1824</v>
      </c>
      <c r="I578" s="57" t="s">
        <v>61</v>
      </c>
      <c r="J578" s="14">
        <v>13324.0</v>
      </c>
      <c r="K578" s="14">
        <v>7853.0</v>
      </c>
      <c r="L578" s="15">
        <v>0.5894</v>
      </c>
      <c r="M578" s="16"/>
      <c r="N578" s="17"/>
      <c r="O578" s="18">
        <v>0.0</v>
      </c>
      <c r="P578" s="18"/>
      <c r="Q578" s="19">
        <v>0.0</v>
      </c>
      <c r="R578" s="19"/>
      <c r="S578" s="20">
        <v>3.0</v>
      </c>
      <c r="T578" s="20">
        <v>3.0</v>
      </c>
      <c r="U578" s="20">
        <v>9394.0</v>
      </c>
      <c r="V578" s="21" t="s">
        <v>315</v>
      </c>
      <c r="W578" s="18" t="s">
        <v>62</v>
      </c>
      <c r="X578" s="21" t="s">
        <v>1139</v>
      </c>
      <c r="Y578" s="73" t="s">
        <v>1785</v>
      </c>
      <c r="Z578" s="20" t="s">
        <v>1876</v>
      </c>
      <c r="AA578" s="14">
        <v>17.0</v>
      </c>
      <c r="AB578" s="14"/>
      <c r="AC578" s="25">
        <v>17.0</v>
      </c>
      <c r="AD578" s="14">
        <v>175311.0</v>
      </c>
      <c r="AE578" s="14"/>
      <c r="AF578" s="25">
        <v>175311.0</v>
      </c>
      <c r="AG578" s="22"/>
      <c r="AH578" s="22"/>
      <c r="AI578" s="22"/>
      <c r="AJ578" s="22"/>
      <c r="AK578" s="22"/>
      <c r="AL578" s="22"/>
      <c r="AM578" s="22"/>
      <c r="AN578" s="22"/>
      <c r="AO578" s="22"/>
      <c r="AP578" s="22"/>
    </row>
    <row r="579" hidden="1">
      <c r="A579" s="8">
        <v>46087.0</v>
      </c>
      <c r="B579" s="23">
        <v>0.4791666666666667</v>
      </c>
      <c r="C579" s="10" t="s">
        <v>58</v>
      </c>
      <c r="D579" s="10" t="s">
        <v>59</v>
      </c>
      <c r="E579" s="12" t="s">
        <v>179</v>
      </c>
      <c r="F579" s="12" t="s">
        <v>1773</v>
      </c>
      <c r="G579" s="12" t="s">
        <v>1877</v>
      </c>
      <c r="H579" s="96" t="s">
        <v>1832</v>
      </c>
      <c r="I579" s="57" t="s">
        <v>61</v>
      </c>
      <c r="J579" s="14">
        <v>609.0</v>
      </c>
      <c r="K579" s="14">
        <v>429.0</v>
      </c>
      <c r="L579" s="15">
        <v>0.7044</v>
      </c>
      <c r="M579" s="16"/>
      <c r="N579" s="17"/>
      <c r="O579" s="18">
        <v>0.0</v>
      </c>
      <c r="P579" s="18"/>
      <c r="Q579" s="19">
        <v>0.0</v>
      </c>
      <c r="R579" s="19"/>
      <c r="S579" s="20">
        <v>0.0</v>
      </c>
      <c r="T579" s="20">
        <v>0.0</v>
      </c>
      <c r="U579" s="20">
        <v>0.0</v>
      </c>
      <c r="V579" s="21" t="s">
        <v>315</v>
      </c>
      <c r="W579" s="18" t="s">
        <v>62</v>
      </c>
      <c r="X579" s="21" t="s">
        <v>1139</v>
      </c>
      <c r="Y579" s="73" t="s">
        <v>1785</v>
      </c>
      <c r="Z579" s="20" t="s">
        <v>1878</v>
      </c>
      <c r="AA579" s="14">
        <v>2.0</v>
      </c>
      <c r="AB579" s="14"/>
      <c r="AC579" s="14">
        <v>2.0</v>
      </c>
      <c r="AD579" s="14">
        <v>6146.0</v>
      </c>
      <c r="AE579" s="14"/>
      <c r="AF579" s="25">
        <v>6146.0</v>
      </c>
      <c r="AG579" s="22"/>
      <c r="AH579" s="22"/>
      <c r="AI579" s="22"/>
      <c r="AJ579" s="22"/>
      <c r="AK579" s="22"/>
      <c r="AL579" s="22"/>
      <c r="AM579" s="22"/>
      <c r="AN579" s="22"/>
      <c r="AO579" s="22"/>
      <c r="AP579" s="22"/>
    </row>
    <row r="580" hidden="1">
      <c r="A580" s="8">
        <v>46087.0</v>
      </c>
      <c r="B580" s="23">
        <v>0.4791666666666667</v>
      </c>
      <c r="C580" s="10" t="s">
        <v>58</v>
      </c>
      <c r="D580" s="10" t="s">
        <v>59</v>
      </c>
      <c r="E580" s="12" t="s">
        <v>179</v>
      </c>
      <c r="F580" s="12" t="s">
        <v>1773</v>
      </c>
      <c r="G580" s="12" t="s">
        <v>1879</v>
      </c>
      <c r="H580" s="96" t="s">
        <v>1828</v>
      </c>
      <c r="I580" s="57" t="s">
        <v>61</v>
      </c>
      <c r="J580" s="14">
        <v>708.0</v>
      </c>
      <c r="K580" s="14">
        <v>513.0</v>
      </c>
      <c r="L580" s="15">
        <v>0.7246</v>
      </c>
      <c r="M580" s="16"/>
      <c r="N580" s="17"/>
      <c r="O580" s="18">
        <v>0.0</v>
      </c>
      <c r="P580" s="18"/>
      <c r="Q580" s="19">
        <v>0.0</v>
      </c>
      <c r="R580" s="19"/>
      <c r="S580" s="20">
        <v>0.0</v>
      </c>
      <c r="T580" s="20">
        <v>0.0</v>
      </c>
      <c r="U580" s="20">
        <v>0.0</v>
      </c>
      <c r="V580" s="21" t="s">
        <v>315</v>
      </c>
      <c r="W580" s="18" t="s">
        <v>62</v>
      </c>
      <c r="X580" s="21" t="s">
        <v>1139</v>
      </c>
      <c r="Y580" s="73" t="s">
        <v>1785</v>
      </c>
      <c r="Z580" s="20" t="s">
        <v>1880</v>
      </c>
      <c r="AA580" s="14">
        <v>1.0</v>
      </c>
      <c r="AB580" s="14"/>
      <c r="AC580" s="14">
        <v>1.0</v>
      </c>
      <c r="AD580" s="14">
        <v>20463.0</v>
      </c>
      <c r="AE580" s="14"/>
      <c r="AF580" s="14">
        <v>20463.0</v>
      </c>
      <c r="AG580" s="22"/>
      <c r="AH580" s="22"/>
      <c r="AI580" s="22"/>
      <c r="AJ580" s="22"/>
      <c r="AK580" s="22"/>
      <c r="AL580" s="22"/>
      <c r="AM580" s="22"/>
      <c r="AN580" s="22"/>
      <c r="AO580" s="22"/>
      <c r="AP580" s="22"/>
    </row>
    <row r="581" hidden="1">
      <c r="A581" s="8">
        <v>46087.0</v>
      </c>
      <c r="B581" s="23">
        <v>0.4791666666666667</v>
      </c>
      <c r="C581" s="10" t="s">
        <v>58</v>
      </c>
      <c r="D581" s="10" t="s">
        <v>59</v>
      </c>
      <c r="E581" s="12" t="s">
        <v>179</v>
      </c>
      <c r="F581" s="12" t="s">
        <v>1773</v>
      </c>
      <c r="G581" s="12" t="s">
        <v>1881</v>
      </c>
      <c r="H581" s="96" t="s">
        <v>1808</v>
      </c>
      <c r="I581" s="57" t="s">
        <v>61</v>
      </c>
      <c r="J581" s="14">
        <v>2009.0</v>
      </c>
      <c r="K581" s="14">
        <v>1386.0</v>
      </c>
      <c r="L581" s="15">
        <v>0.6899</v>
      </c>
      <c r="M581" s="16"/>
      <c r="N581" s="17"/>
      <c r="O581" s="18">
        <v>0.0</v>
      </c>
      <c r="P581" s="18"/>
      <c r="Q581" s="19">
        <v>0.0</v>
      </c>
      <c r="R581" s="19"/>
      <c r="S581" s="20">
        <v>0.0</v>
      </c>
      <c r="T581" s="20">
        <v>0.0</v>
      </c>
      <c r="U581" s="20">
        <v>0.0</v>
      </c>
      <c r="V581" s="21" t="s">
        <v>315</v>
      </c>
      <c r="W581" s="18" t="s">
        <v>62</v>
      </c>
      <c r="X581" s="21" t="s">
        <v>1139</v>
      </c>
      <c r="Y581" s="73" t="s">
        <v>1785</v>
      </c>
      <c r="Z581" s="20" t="s">
        <v>1882</v>
      </c>
      <c r="AA581" s="14">
        <v>0.0</v>
      </c>
      <c r="AB581" s="14"/>
      <c r="AC581" s="14">
        <v>0.0</v>
      </c>
      <c r="AD581" s="14">
        <v>0.0</v>
      </c>
      <c r="AE581" s="14"/>
      <c r="AF581" s="14">
        <v>0.0</v>
      </c>
      <c r="AG581" s="22"/>
      <c r="AH581" s="22"/>
      <c r="AI581" s="22"/>
      <c r="AJ581" s="22"/>
      <c r="AK581" s="22"/>
      <c r="AL581" s="22"/>
      <c r="AM581" s="22"/>
      <c r="AN581" s="22"/>
      <c r="AO581" s="22"/>
      <c r="AP581" s="22"/>
    </row>
    <row r="582" hidden="1">
      <c r="A582" s="8">
        <v>46087.0</v>
      </c>
      <c r="B582" s="23">
        <v>0.4791666666666667</v>
      </c>
      <c r="C582" s="10" t="s">
        <v>58</v>
      </c>
      <c r="D582" s="10" t="s">
        <v>59</v>
      </c>
      <c r="E582" s="12" t="s">
        <v>179</v>
      </c>
      <c r="F582" s="12" t="s">
        <v>1773</v>
      </c>
      <c r="G582" s="12" t="s">
        <v>1883</v>
      </c>
      <c r="H582" s="96" t="s">
        <v>1836</v>
      </c>
      <c r="I582" s="57" t="s">
        <v>61</v>
      </c>
      <c r="J582" s="14">
        <v>1231.0</v>
      </c>
      <c r="K582" s="14">
        <v>841.0</v>
      </c>
      <c r="L582" s="15">
        <v>0.6832</v>
      </c>
      <c r="M582" s="16"/>
      <c r="N582" s="17"/>
      <c r="O582" s="18">
        <v>0.0</v>
      </c>
      <c r="P582" s="18"/>
      <c r="Q582" s="19">
        <v>0.0</v>
      </c>
      <c r="R582" s="19"/>
      <c r="S582" s="20">
        <v>0.0</v>
      </c>
      <c r="T582" s="20">
        <v>0.0</v>
      </c>
      <c r="U582" s="20">
        <v>0.0</v>
      </c>
      <c r="V582" s="21" t="s">
        <v>315</v>
      </c>
      <c r="W582" s="18" t="s">
        <v>62</v>
      </c>
      <c r="X582" s="21" t="s">
        <v>1139</v>
      </c>
      <c r="Y582" s="73" t="s">
        <v>1785</v>
      </c>
      <c r="Z582" s="20" t="s">
        <v>1884</v>
      </c>
      <c r="AA582" s="14">
        <v>1.0</v>
      </c>
      <c r="AB582" s="14"/>
      <c r="AC582" s="14">
        <v>1.0</v>
      </c>
      <c r="AD582" s="14">
        <v>2099.0</v>
      </c>
      <c r="AE582" s="14"/>
      <c r="AF582" s="14">
        <v>2099.0</v>
      </c>
      <c r="AG582" s="22"/>
      <c r="AH582" s="22"/>
      <c r="AI582" s="22"/>
      <c r="AJ582" s="22"/>
      <c r="AK582" s="22"/>
      <c r="AL582" s="22"/>
      <c r="AM582" s="22"/>
      <c r="AN582" s="22"/>
      <c r="AO582" s="22"/>
      <c r="AP582" s="22"/>
    </row>
    <row r="583" hidden="1">
      <c r="A583" s="8">
        <v>46087.0</v>
      </c>
      <c r="B583" s="23">
        <v>0.4791666666666667</v>
      </c>
      <c r="C583" s="10" t="s">
        <v>58</v>
      </c>
      <c r="D583" s="10" t="s">
        <v>59</v>
      </c>
      <c r="E583" s="12" t="s">
        <v>179</v>
      </c>
      <c r="F583" s="12" t="s">
        <v>1773</v>
      </c>
      <c r="G583" s="12" t="s">
        <v>1885</v>
      </c>
      <c r="H583" s="96" t="s">
        <v>1820</v>
      </c>
      <c r="I583" s="57" t="s">
        <v>61</v>
      </c>
      <c r="J583" s="14">
        <v>5317.0</v>
      </c>
      <c r="K583" s="14">
        <v>3342.0</v>
      </c>
      <c r="L583" s="15">
        <v>0.6285</v>
      </c>
      <c r="M583" s="16"/>
      <c r="N583" s="17"/>
      <c r="O583" s="18">
        <v>0.0</v>
      </c>
      <c r="P583" s="18"/>
      <c r="Q583" s="19">
        <v>0.0</v>
      </c>
      <c r="R583" s="19"/>
      <c r="S583" s="20">
        <v>1.0</v>
      </c>
      <c r="T583" s="20">
        <v>1.0</v>
      </c>
      <c r="U583" s="20">
        <v>3599.0</v>
      </c>
      <c r="V583" s="21" t="s">
        <v>315</v>
      </c>
      <c r="W583" s="18" t="s">
        <v>62</v>
      </c>
      <c r="X583" s="21" t="s">
        <v>1139</v>
      </c>
      <c r="Y583" s="73" t="s">
        <v>1785</v>
      </c>
      <c r="Z583" s="20" t="s">
        <v>1886</v>
      </c>
      <c r="AA583" s="14">
        <v>12.0</v>
      </c>
      <c r="AB583" s="14"/>
      <c r="AC583" s="14">
        <v>12.0</v>
      </c>
      <c r="AD583" s="14">
        <v>112096.0</v>
      </c>
      <c r="AE583" s="14"/>
      <c r="AF583" s="14">
        <v>112096.0</v>
      </c>
      <c r="AG583" s="22"/>
      <c r="AH583" s="22"/>
      <c r="AI583" s="22"/>
      <c r="AJ583" s="22"/>
      <c r="AK583" s="22"/>
      <c r="AL583" s="22"/>
      <c r="AM583" s="22"/>
      <c r="AN583" s="22"/>
      <c r="AO583" s="22"/>
      <c r="AP583" s="22"/>
    </row>
    <row r="584" hidden="1">
      <c r="A584" s="8">
        <v>46087.0</v>
      </c>
      <c r="B584" s="23">
        <v>0.4791666666666667</v>
      </c>
      <c r="C584" s="10" t="s">
        <v>58</v>
      </c>
      <c r="D584" s="10" t="s">
        <v>59</v>
      </c>
      <c r="E584" s="12" t="s">
        <v>179</v>
      </c>
      <c r="F584" s="12" t="s">
        <v>1773</v>
      </c>
      <c r="G584" s="12" t="s">
        <v>1887</v>
      </c>
      <c r="H584" s="96" t="s">
        <v>1816</v>
      </c>
      <c r="I584" s="57" t="s">
        <v>61</v>
      </c>
      <c r="J584" s="14">
        <v>2739.0</v>
      </c>
      <c r="K584" s="14">
        <v>1887.0</v>
      </c>
      <c r="L584" s="15">
        <v>0.6889</v>
      </c>
      <c r="M584" s="16"/>
      <c r="N584" s="17"/>
      <c r="O584" s="18">
        <v>0.0</v>
      </c>
      <c r="P584" s="18"/>
      <c r="Q584" s="19">
        <v>0.0</v>
      </c>
      <c r="R584" s="19"/>
      <c r="S584" s="20">
        <v>0.0</v>
      </c>
      <c r="T584" s="20">
        <v>1.0</v>
      </c>
      <c r="U584" s="20">
        <v>0.0</v>
      </c>
      <c r="V584" s="21" t="s">
        <v>315</v>
      </c>
      <c r="W584" s="18" t="s">
        <v>62</v>
      </c>
      <c r="X584" s="21" t="s">
        <v>1139</v>
      </c>
      <c r="Y584" s="73" t="s">
        <v>1785</v>
      </c>
      <c r="Z584" s="20" t="s">
        <v>1888</v>
      </c>
      <c r="AA584" s="14">
        <v>7.0</v>
      </c>
      <c r="AB584" s="14"/>
      <c r="AC584" s="14">
        <v>7.0</v>
      </c>
      <c r="AD584" s="14">
        <v>80633.0</v>
      </c>
      <c r="AE584" s="14"/>
      <c r="AF584" s="14">
        <v>80633.0</v>
      </c>
      <c r="AG584" s="22"/>
      <c r="AH584" s="22"/>
      <c r="AI584" s="22"/>
      <c r="AJ584" s="22"/>
      <c r="AK584" s="22"/>
      <c r="AL584" s="22"/>
      <c r="AM584" s="22"/>
      <c r="AN584" s="22"/>
      <c r="AO584" s="22"/>
      <c r="AP584" s="22"/>
    </row>
    <row r="585" hidden="1">
      <c r="A585" s="8">
        <v>46087.0</v>
      </c>
      <c r="B585" s="23">
        <v>0.4826388888888889</v>
      </c>
      <c r="C585" s="10" t="s">
        <v>58</v>
      </c>
      <c r="D585" s="10" t="s">
        <v>59</v>
      </c>
      <c r="E585" s="12" t="s">
        <v>179</v>
      </c>
      <c r="F585" s="12" t="s">
        <v>1773</v>
      </c>
      <c r="G585" s="12" t="s">
        <v>1889</v>
      </c>
      <c r="H585" s="96" t="s">
        <v>1804</v>
      </c>
      <c r="I585" s="57" t="s">
        <v>61</v>
      </c>
      <c r="J585" s="14">
        <v>15501.0</v>
      </c>
      <c r="K585" s="14">
        <v>8813.0</v>
      </c>
      <c r="L585" s="15">
        <v>0.5685</v>
      </c>
      <c r="M585" s="16"/>
      <c r="N585" s="17"/>
      <c r="O585" s="18">
        <v>0.0</v>
      </c>
      <c r="P585" s="18"/>
      <c r="Q585" s="19">
        <v>0.0</v>
      </c>
      <c r="R585" s="19"/>
      <c r="S585" s="20">
        <v>5.0</v>
      </c>
      <c r="T585" s="20">
        <v>11.0</v>
      </c>
      <c r="U585" s="20">
        <v>21536.0</v>
      </c>
      <c r="V585" s="21" t="s">
        <v>315</v>
      </c>
      <c r="W585" s="18" t="s">
        <v>62</v>
      </c>
      <c r="X585" s="21" t="s">
        <v>1139</v>
      </c>
      <c r="Y585" s="73" t="s">
        <v>1785</v>
      </c>
      <c r="Z585" s="20" t="s">
        <v>1890</v>
      </c>
      <c r="AA585" s="14">
        <v>22.0</v>
      </c>
      <c r="AB585" s="14"/>
      <c r="AC585" s="14">
        <v>22.0</v>
      </c>
      <c r="AD585" s="14">
        <v>257219.0</v>
      </c>
      <c r="AE585" s="14"/>
      <c r="AF585" s="14">
        <v>257219.0</v>
      </c>
      <c r="AG585" s="22"/>
      <c r="AH585" s="22"/>
      <c r="AI585" s="22"/>
      <c r="AJ585" s="22"/>
      <c r="AK585" s="22"/>
      <c r="AL585" s="22"/>
      <c r="AM585" s="22"/>
      <c r="AN585" s="22"/>
      <c r="AO585" s="22"/>
      <c r="AP585" s="22"/>
    </row>
    <row r="586" hidden="1">
      <c r="A586" s="8">
        <v>46087.0</v>
      </c>
      <c r="B586" s="23">
        <v>0.7291666666666666</v>
      </c>
      <c r="C586" s="10" t="s">
        <v>58</v>
      </c>
      <c r="D586" s="10" t="s">
        <v>59</v>
      </c>
      <c r="E586" s="12" t="s">
        <v>179</v>
      </c>
      <c r="F586" s="12" t="s">
        <v>1773</v>
      </c>
      <c r="G586" s="12" t="s">
        <v>1891</v>
      </c>
      <c r="H586" s="96" t="s">
        <v>1840</v>
      </c>
      <c r="I586" s="57" t="s">
        <v>61</v>
      </c>
      <c r="J586" s="14">
        <v>12198.0</v>
      </c>
      <c r="K586" s="14">
        <v>7862.0</v>
      </c>
      <c r="L586" s="15">
        <v>0.6445</v>
      </c>
      <c r="M586" s="16"/>
      <c r="N586" s="17"/>
      <c r="O586" s="18">
        <v>0.0</v>
      </c>
      <c r="P586" s="18"/>
      <c r="Q586" s="19">
        <v>0.0</v>
      </c>
      <c r="R586" s="19"/>
      <c r="S586" s="20">
        <v>1.0</v>
      </c>
      <c r="T586" s="20">
        <v>3.0</v>
      </c>
      <c r="U586" s="20">
        <v>5946.0</v>
      </c>
      <c r="V586" s="21" t="s">
        <v>315</v>
      </c>
      <c r="W586" s="18" t="s">
        <v>62</v>
      </c>
      <c r="X586" s="21" t="s">
        <v>1139</v>
      </c>
      <c r="Y586" s="73" t="s">
        <v>1785</v>
      </c>
      <c r="Z586" s="20" t="s">
        <v>1892</v>
      </c>
      <c r="AA586" s="14">
        <v>23.0</v>
      </c>
      <c r="AB586" s="14"/>
      <c r="AC586" s="14">
        <v>23.0</v>
      </c>
      <c r="AD586" s="14">
        <v>161429.0</v>
      </c>
      <c r="AE586" s="14"/>
      <c r="AF586" s="14">
        <v>161429.0</v>
      </c>
      <c r="AG586" s="22"/>
      <c r="AH586" s="22"/>
      <c r="AI586" s="22"/>
      <c r="AJ586" s="22"/>
      <c r="AK586" s="22"/>
      <c r="AL586" s="22"/>
      <c r="AM586" s="22"/>
      <c r="AN586" s="22"/>
      <c r="AO586" s="22"/>
      <c r="AP586" s="22"/>
    </row>
    <row r="587" hidden="1">
      <c r="A587" s="8">
        <v>46087.0</v>
      </c>
      <c r="B587" s="23">
        <v>0.7291666666666666</v>
      </c>
      <c r="C587" s="10" t="s">
        <v>58</v>
      </c>
      <c r="D587" s="10" t="s">
        <v>59</v>
      </c>
      <c r="E587" s="12" t="s">
        <v>179</v>
      </c>
      <c r="F587" s="12" t="s">
        <v>1773</v>
      </c>
      <c r="G587" s="12" t="s">
        <v>1893</v>
      </c>
      <c r="H587" s="96" t="s">
        <v>1844</v>
      </c>
      <c r="I587" s="57" t="s">
        <v>61</v>
      </c>
      <c r="J587" s="14">
        <v>17360.0</v>
      </c>
      <c r="K587" s="14">
        <v>9551.0</v>
      </c>
      <c r="L587" s="15">
        <v>0.5502</v>
      </c>
      <c r="M587" s="16"/>
      <c r="N587" s="17"/>
      <c r="O587" s="18">
        <v>0.0</v>
      </c>
      <c r="P587" s="18"/>
      <c r="Q587" s="19">
        <v>0.0</v>
      </c>
      <c r="R587" s="19"/>
      <c r="S587" s="20">
        <v>0.0</v>
      </c>
      <c r="T587" s="20">
        <v>3.0</v>
      </c>
      <c r="U587" s="20">
        <v>0.0</v>
      </c>
      <c r="V587" s="21" t="s">
        <v>315</v>
      </c>
      <c r="W587" s="18" t="s">
        <v>62</v>
      </c>
      <c r="X587" s="21" t="s">
        <v>1139</v>
      </c>
      <c r="Y587" s="73" t="s">
        <v>1785</v>
      </c>
      <c r="Z587" s="20" t="s">
        <v>1894</v>
      </c>
      <c r="AA587" s="14">
        <v>31.0</v>
      </c>
      <c r="AB587" s="14"/>
      <c r="AC587" s="14">
        <v>31.0</v>
      </c>
      <c r="AD587" s="14">
        <v>581879.0</v>
      </c>
      <c r="AE587" s="14"/>
      <c r="AF587" s="14">
        <v>581879.0</v>
      </c>
      <c r="AG587" s="22"/>
      <c r="AH587" s="22"/>
      <c r="AI587" s="22"/>
      <c r="AJ587" s="22"/>
      <c r="AK587" s="22"/>
      <c r="AL587" s="22"/>
      <c r="AM587" s="22"/>
      <c r="AN587" s="22"/>
      <c r="AO587" s="22"/>
      <c r="AP587" s="22"/>
    </row>
    <row r="588" hidden="1">
      <c r="A588" s="8">
        <v>46087.0</v>
      </c>
      <c r="B588" s="23">
        <v>0.8333333333333334</v>
      </c>
      <c r="C588" s="10" t="s">
        <v>32</v>
      </c>
      <c r="D588" s="10" t="s">
        <v>33</v>
      </c>
      <c r="E588" s="12" t="s">
        <v>34</v>
      </c>
      <c r="F588" s="12" t="s">
        <v>1895</v>
      </c>
      <c r="G588" s="12" t="s">
        <v>1896</v>
      </c>
      <c r="H588" s="96" t="s">
        <v>1897</v>
      </c>
      <c r="I588" s="72" t="s">
        <v>1898</v>
      </c>
      <c r="J588" s="14">
        <v>311455.0</v>
      </c>
      <c r="K588" s="14">
        <v>125410.0</v>
      </c>
      <c r="L588" s="15">
        <v>0.4027</v>
      </c>
      <c r="M588" s="16">
        <v>51676.0</v>
      </c>
      <c r="N588" s="17">
        <v>0.4121</v>
      </c>
      <c r="O588" s="18">
        <v>3567.0</v>
      </c>
      <c r="P588" s="18">
        <v>3398.0</v>
      </c>
      <c r="Q588" s="19">
        <v>0.0271</v>
      </c>
      <c r="R588" s="19">
        <v>0.0658</v>
      </c>
      <c r="S588" s="20">
        <v>1.0</v>
      </c>
      <c r="T588" s="20">
        <v>4.0</v>
      </c>
      <c r="U588" s="20">
        <v>7499.0</v>
      </c>
      <c r="V588" s="41" t="s">
        <v>335</v>
      </c>
      <c r="W588" s="18" t="s">
        <v>1899</v>
      </c>
      <c r="X588" s="41" t="s">
        <v>1897</v>
      </c>
      <c r="Y588" s="100" t="s">
        <v>1900</v>
      </c>
      <c r="Z588" s="20" t="s">
        <v>1901</v>
      </c>
      <c r="AA588" s="14">
        <v>3.0</v>
      </c>
      <c r="AB588" s="14">
        <v>3.0</v>
      </c>
      <c r="AC588" s="86">
        <v>0.0</v>
      </c>
      <c r="AD588" s="86">
        <v>42116.0</v>
      </c>
      <c r="AE588" s="25">
        <v>42116.0</v>
      </c>
      <c r="AF588" s="89">
        <v>0.0</v>
      </c>
      <c r="AG588" s="22"/>
      <c r="AH588" s="22"/>
      <c r="AI588" s="22"/>
      <c r="AJ588" s="22"/>
      <c r="AK588" s="22"/>
      <c r="AL588" s="22"/>
      <c r="AM588" s="22"/>
      <c r="AN588" s="22"/>
      <c r="AO588" s="22"/>
      <c r="AP588" s="22"/>
    </row>
    <row r="589" hidden="1">
      <c r="A589" s="8">
        <v>46088.0</v>
      </c>
      <c r="B589" s="23">
        <v>0.5</v>
      </c>
      <c r="C589" s="10" t="s">
        <v>32</v>
      </c>
      <c r="D589" s="10" t="s">
        <v>33</v>
      </c>
      <c r="E589" s="12" t="s">
        <v>71</v>
      </c>
      <c r="F589" s="12" t="s">
        <v>517</v>
      </c>
      <c r="G589" s="12" t="s">
        <v>1902</v>
      </c>
      <c r="H589" s="96" t="s">
        <v>1903</v>
      </c>
      <c r="I589" s="57" t="s">
        <v>1904</v>
      </c>
      <c r="J589" s="14">
        <v>82775.0</v>
      </c>
      <c r="K589" s="14">
        <v>29498.0</v>
      </c>
      <c r="L589" s="15">
        <v>0.3564</v>
      </c>
      <c r="M589" s="16">
        <v>10793.0</v>
      </c>
      <c r="N589" s="17">
        <v>0.3659</v>
      </c>
      <c r="O589" s="18">
        <v>829.0</v>
      </c>
      <c r="P589" s="18">
        <v>796.0</v>
      </c>
      <c r="Q589" s="19">
        <v>0.027</v>
      </c>
      <c r="R589" s="19">
        <v>0.0738</v>
      </c>
      <c r="S589" s="20">
        <v>1.0</v>
      </c>
      <c r="T589" s="20">
        <v>4.0</v>
      </c>
      <c r="U589" s="20">
        <v>3958.0</v>
      </c>
      <c r="V589" s="21" t="s">
        <v>183</v>
      </c>
      <c r="W589" s="18" t="s">
        <v>76</v>
      </c>
      <c r="X589" s="95" t="s">
        <v>1905</v>
      </c>
      <c r="Y589" s="18" t="s">
        <v>1906</v>
      </c>
      <c r="Z589" s="20" t="s">
        <v>1907</v>
      </c>
      <c r="AA589" s="25">
        <v>31.0</v>
      </c>
      <c r="AB589" s="25">
        <v>7.0</v>
      </c>
      <c r="AC589" s="25">
        <v>24.0</v>
      </c>
      <c r="AD589" s="25">
        <v>154354.0</v>
      </c>
      <c r="AE589" s="25">
        <v>23842.0</v>
      </c>
      <c r="AF589" s="25">
        <v>130512.0</v>
      </c>
      <c r="AG589" s="22"/>
      <c r="AH589" s="22"/>
      <c r="AI589" s="22"/>
      <c r="AJ589" s="22"/>
      <c r="AK589" s="22"/>
      <c r="AL589" s="22"/>
      <c r="AM589" s="22"/>
      <c r="AN589" s="22"/>
      <c r="AO589" s="22"/>
      <c r="AP589" s="22"/>
    </row>
    <row r="590" hidden="1">
      <c r="A590" s="8">
        <v>46088.0</v>
      </c>
      <c r="B590" s="23">
        <v>0.5</v>
      </c>
      <c r="C590" s="10" t="s">
        <v>32</v>
      </c>
      <c r="D590" s="10" t="s">
        <v>33</v>
      </c>
      <c r="E590" s="12" t="s">
        <v>71</v>
      </c>
      <c r="F590" s="12" t="s">
        <v>517</v>
      </c>
      <c r="G590" s="12" t="s">
        <v>1908</v>
      </c>
      <c r="H590" s="96" t="s">
        <v>1909</v>
      </c>
      <c r="I590" s="30" t="s">
        <v>1910</v>
      </c>
      <c r="J590" s="14">
        <v>135439.0</v>
      </c>
      <c r="K590" s="14">
        <v>44719.0</v>
      </c>
      <c r="L590" s="15">
        <v>0.3302</v>
      </c>
      <c r="M590" s="16">
        <v>16315.0</v>
      </c>
      <c r="N590" s="17">
        <v>0.3648</v>
      </c>
      <c r="O590" s="18">
        <v>1013.0</v>
      </c>
      <c r="P590" s="18">
        <v>981.0</v>
      </c>
      <c r="Q590" s="19">
        <v>0.0219</v>
      </c>
      <c r="R590" s="19">
        <v>0.0601</v>
      </c>
      <c r="S590" s="20">
        <v>0.0</v>
      </c>
      <c r="T590" s="20">
        <v>3.0</v>
      </c>
      <c r="U590" s="20">
        <v>0.0</v>
      </c>
      <c r="V590" s="21" t="s">
        <v>183</v>
      </c>
      <c r="W590" s="18" t="s">
        <v>76</v>
      </c>
      <c r="X590" s="95" t="s">
        <v>1909</v>
      </c>
      <c r="Y590" s="18" t="s">
        <v>1906</v>
      </c>
      <c r="Z590" s="20" t="s">
        <v>1911</v>
      </c>
      <c r="AA590" s="25">
        <v>44.0</v>
      </c>
      <c r="AB590" s="25">
        <v>5.0</v>
      </c>
      <c r="AC590" s="25">
        <v>39.0</v>
      </c>
      <c r="AD590" s="25">
        <v>217959.0</v>
      </c>
      <c r="AE590" s="25">
        <v>20089.0</v>
      </c>
      <c r="AF590" s="25">
        <v>197870.0</v>
      </c>
      <c r="AG590" s="22"/>
      <c r="AH590" s="22"/>
      <c r="AI590" s="22"/>
      <c r="AJ590" s="22"/>
      <c r="AK590" s="22"/>
      <c r="AL590" s="22"/>
      <c r="AM590" s="22"/>
      <c r="AN590" s="22"/>
      <c r="AO590" s="22"/>
      <c r="AP590" s="22"/>
    </row>
    <row r="591" hidden="1">
      <c r="A591" s="8">
        <v>46088.0</v>
      </c>
      <c r="B591" s="23">
        <v>0.5</v>
      </c>
      <c r="C591" s="10" t="s">
        <v>32</v>
      </c>
      <c r="D591" s="10" t="s">
        <v>33</v>
      </c>
      <c r="E591" s="12" t="s">
        <v>71</v>
      </c>
      <c r="F591" s="12" t="s">
        <v>517</v>
      </c>
      <c r="G591" s="12" t="s">
        <v>1912</v>
      </c>
      <c r="H591" s="96" t="s">
        <v>1913</v>
      </c>
      <c r="I591" s="57" t="s">
        <v>1914</v>
      </c>
      <c r="J591" s="14">
        <v>72709.0</v>
      </c>
      <c r="K591" s="14">
        <v>13914.0</v>
      </c>
      <c r="L591" s="15">
        <v>0.1914</v>
      </c>
      <c r="M591" s="16">
        <v>5095.0</v>
      </c>
      <c r="N591" s="17">
        <v>0.3662</v>
      </c>
      <c r="O591" s="18">
        <v>478.0</v>
      </c>
      <c r="P591" s="18">
        <v>459.0</v>
      </c>
      <c r="Q591" s="19">
        <v>0.033</v>
      </c>
      <c r="R591" s="19">
        <v>0.0901</v>
      </c>
      <c r="S591" s="20">
        <v>3.0</v>
      </c>
      <c r="T591" s="20">
        <v>7.0</v>
      </c>
      <c r="U591" s="20">
        <v>15163.0</v>
      </c>
      <c r="V591" s="21" t="s">
        <v>183</v>
      </c>
      <c r="W591" s="18" t="s">
        <v>76</v>
      </c>
      <c r="X591" s="95" t="s">
        <v>1915</v>
      </c>
      <c r="Y591" s="18" t="s">
        <v>1906</v>
      </c>
      <c r="Z591" s="20" t="s">
        <v>1916</v>
      </c>
      <c r="AA591" s="25">
        <v>81.0</v>
      </c>
      <c r="AB591" s="25">
        <v>15.0</v>
      </c>
      <c r="AC591" s="25">
        <v>66.0</v>
      </c>
      <c r="AD591" s="25">
        <v>535462.0</v>
      </c>
      <c r="AE591" s="25">
        <v>74313.0</v>
      </c>
      <c r="AF591" s="25">
        <v>461149.0</v>
      </c>
      <c r="AG591" s="22"/>
      <c r="AH591" s="22"/>
      <c r="AI591" s="22"/>
      <c r="AJ591" s="22"/>
      <c r="AK591" s="22"/>
      <c r="AL591" s="22"/>
      <c r="AM591" s="22"/>
      <c r="AN591" s="22"/>
      <c r="AO591" s="22"/>
      <c r="AP591" s="22"/>
    </row>
    <row r="592" hidden="1">
      <c r="A592" s="8">
        <v>46088.0</v>
      </c>
      <c r="B592" s="23">
        <v>0.5</v>
      </c>
      <c r="C592" s="10" t="s">
        <v>32</v>
      </c>
      <c r="D592" s="10" t="s">
        <v>33</v>
      </c>
      <c r="E592" s="12" t="s">
        <v>71</v>
      </c>
      <c r="F592" s="12" t="s">
        <v>517</v>
      </c>
      <c r="G592" s="12" t="s">
        <v>1917</v>
      </c>
      <c r="H592" s="96" t="s">
        <v>1918</v>
      </c>
      <c r="I592" s="57" t="s">
        <v>1919</v>
      </c>
      <c r="J592" s="14">
        <v>3546.0</v>
      </c>
      <c r="K592" s="14">
        <v>370.0</v>
      </c>
      <c r="L592" s="15">
        <v>0.1043</v>
      </c>
      <c r="M592" s="16">
        <v>145.0</v>
      </c>
      <c r="N592" s="17">
        <v>0.3919</v>
      </c>
      <c r="O592" s="18">
        <v>24.0</v>
      </c>
      <c r="P592" s="18">
        <v>24.0</v>
      </c>
      <c r="Q592" s="19">
        <v>0.0649</v>
      </c>
      <c r="R592" s="19">
        <v>0.1655</v>
      </c>
      <c r="S592" s="20">
        <v>0.0</v>
      </c>
      <c r="T592" s="20">
        <v>0.0</v>
      </c>
      <c r="U592" s="20">
        <v>0.0</v>
      </c>
      <c r="V592" s="21" t="s">
        <v>183</v>
      </c>
      <c r="W592" s="18" t="s">
        <v>76</v>
      </c>
      <c r="X592" s="95" t="s">
        <v>1920</v>
      </c>
      <c r="Y592" s="18" t="s">
        <v>1906</v>
      </c>
      <c r="Z592" s="20" t="s">
        <v>1921</v>
      </c>
      <c r="AA592" s="25">
        <v>3.0</v>
      </c>
      <c r="AB592" s="25">
        <v>2.0</v>
      </c>
      <c r="AC592" s="25">
        <v>1.0</v>
      </c>
      <c r="AD592" s="25">
        <v>3392.0</v>
      </c>
      <c r="AE592" s="25">
        <v>2794.0</v>
      </c>
      <c r="AF592" s="25">
        <v>598.0</v>
      </c>
      <c r="AG592" s="22"/>
      <c r="AH592" s="22"/>
      <c r="AI592" s="22"/>
      <c r="AJ592" s="22"/>
      <c r="AK592" s="22"/>
      <c r="AL592" s="22"/>
      <c r="AM592" s="22"/>
      <c r="AN592" s="22"/>
      <c r="AO592" s="22"/>
      <c r="AP592" s="22"/>
    </row>
    <row r="593" hidden="1">
      <c r="A593" s="8">
        <v>46088.0</v>
      </c>
      <c r="B593" s="23">
        <v>0.5</v>
      </c>
      <c r="C593" s="10" t="s">
        <v>32</v>
      </c>
      <c r="D593" s="10" t="s">
        <v>33</v>
      </c>
      <c r="E593" s="12" t="s">
        <v>71</v>
      </c>
      <c r="F593" s="12" t="s">
        <v>517</v>
      </c>
      <c r="G593" s="12" t="s">
        <v>1922</v>
      </c>
      <c r="H593" s="96" t="s">
        <v>1923</v>
      </c>
      <c r="I593" s="30" t="s">
        <v>1924</v>
      </c>
      <c r="J593" s="14">
        <v>321.0</v>
      </c>
      <c r="K593" s="14">
        <v>50.0</v>
      </c>
      <c r="L593" s="15">
        <v>0.1558</v>
      </c>
      <c r="M593" s="16">
        <v>23.0</v>
      </c>
      <c r="N593" s="17">
        <v>0.46</v>
      </c>
      <c r="O593" s="18">
        <v>2.0</v>
      </c>
      <c r="P593" s="18">
        <v>2.0</v>
      </c>
      <c r="Q593" s="19">
        <v>0.04</v>
      </c>
      <c r="R593" s="19">
        <v>0.087</v>
      </c>
      <c r="S593" s="20">
        <v>0.0</v>
      </c>
      <c r="T593" s="20">
        <v>4.0</v>
      </c>
      <c r="U593" s="20">
        <v>0.0</v>
      </c>
      <c r="V593" s="21" t="s">
        <v>183</v>
      </c>
      <c r="W593" s="18" t="s">
        <v>76</v>
      </c>
      <c r="X593" s="21" t="s">
        <v>1925</v>
      </c>
      <c r="Y593" s="18" t="s">
        <v>1906</v>
      </c>
      <c r="Z593" s="39" t="s">
        <v>1926</v>
      </c>
      <c r="AA593" s="25">
        <v>0.0</v>
      </c>
      <c r="AB593" s="25">
        <v>0.0</v>
      </c>
      <c r="AC593" s="25">
        <v>0.0</v>
      </c>
      <c r="AD593" s="25">
        <v>0.0</v>
      </c>
      <c r="AE593" s="25">
        <v>0.0</v>
      </c>
      <c r="AF593" s="25">
        <v>0.0</v>
      </c>
      <c r="AG593" s="22"/>
      <c r="AH593" s="22"/>
      <c r="AI593" s="22"/>
      <c r="AJ593" s="22"/>
      <c r="AK593" s="22"/>
      <c r="AL593" s="22"/>
      <c r="AM593" s="22"/>
      <c r="AN593" s="22"/>
      <c r="AO593" s="22"/>
      <c r="AP593" s="22"/>
    </row>
    <row r="594" hidden="1">
      <c r="A594" s="8">
        <v>46088.0</v>
      </c>
      <c r="B594" s="23">
        <v>0.5</v>
      </c>
      <c r="C594" s="10" t="s">
        <v>32</v>
      </c>
      <c r="D594" s="10" t="s">
        <v>33</v>
      </c>
      <c r="E594" s="12" t="s">
        <v>71</v>
      </c>
      <c r="F594" s="12" t="s">
        <v>517</v>
      </c>
      <c r="G594" s="12" t="s">
        <v>1927</v>
      </c>
      <c r="H594" s="96" t="s">
        <v>1928</v>
      </c>
      <c r="I594" s="57" t="s">
        <v>1929</v>
      </c>
      <c r="J594" s="14">
        <v>1416.0</v>
      </c>
      <c r="K594" s="14">
        <v>177.0</v>
      </c>
      <c r="L594" s="15">
        <v>0.125</v>
      </c>
      <c r="M594" s="16">
        <v>65.0</v>
      </c>
      <c r="N594" s="17">
        <v>0.3672</v>
      </c>
      <c r="O594" s="18">
        <v>13.0</v>
      </c>
      <c r="P594" s="18">
        <v>11.0</v>
      </c>
      <c r="Q594" s="19">
        <v>0.0621</v>
      </c>
      <c r="R594" s="19">
        <v>0.1692</v>
      </c>
      <c r="S594" s="20">
        <v>0.0</v>
      </c>
      <c r="T594" s="20">
        <v>0.0</v>
      </c>
      <c r="U594" s="20">
        <v>0.0</v>
      </c>
      <c r="V594" s="21" t="s">
        <v>183</v>
      </c>
      <c r="W594" s="18" t="s">
        <v>76</v>
      </c>
      <c r="X594" s="21" t="s">
        <v>1930</v>
      </c>
      <c r="Y594" s="18" t="s">
        <v>1906</v>
      </c>
      <c r="Z594" s="39" t="s">
        <v>1931</v>
      </c>
      <c r="AA594" s="25">
        <v>1.0</v>
      </c>
      <c r="AB594" s="25">
        <v>0.0</v>
      </c>
      <c r="AC594" s="25">
        <v>1.0</v>
      </c>
      <c r="AD594" s="25">
        <v>2398.0</v>
      </c>
      <c r="AE594" s="25">
        <v>0.0</v>
      </c>
      <c r="AF594" s="25">
        <v>2398.0</v>
      </c>
      <c r="AG594" s="22"/>
      <c r="AH594" s="22"/>
      <c r="AI594" s="22"/>
      <c r="AJ594" s="22"/>
      <c r="AK594" s="22"/>
      <c r="AL594" s="22"/>
      <c r="AM594" s="22"/>
      <c r="AN594" s="22"/>
      <c r="AO594" s="22"/>
      <c r="AP594" s="22"/>
    </row>
    <row r="595" hidden="1">
      <c r="A595" s="8">
        <v>46088.0</v>
      </c>
      <c r="B595" s="23">
        <v>0.5</v>
      </c>
      <c r="C595" s="10" t="s">
        <v>32</v>
      </c>
      <c r="D595" s="10" t="s">
        <v>33</v>
      </c>
      <c r="E595" s="12" t="s">
        <v>71</v>
      </c>
      <c r="F595" s="12" t="s">
        <v>517</v>
      </c>
      <c r="G595" s="12" t="s">
        <v>1932</v>
      </c>
      <c r="H595" s="96" t="s">
        <v>1933</v>
      </c>
      <c r="I595" s="57" t="s">
        <v>1934</v>
      </c>
      <c r="J595" s="14">
        <v>931.0</v>
      </c>
      <c r="K595" s="14">
        <v>131.0</v>
      </c>
      <c r="L595" s="15">
        <v>0.1407</v>
      </c>
      <c r="M595" s="16">
        <v>50.0</v>
      </c>
      <c r="N595" s="17">
        <v>0.3817</v>
      </c>
      <c r="O595" s="18">
        <v>1.0</v>
      </c>
      <c r="P595" s="18">
        <v>1.0</v>
      </c>
      <c r="Q595" s="19">
        <v>0.0076</v>
      </c>
      <c r="R595" s="19">
        <v>0.02</v>
      </c>
      <c r="S595" s="20">
        <v>0.0</v>
      </c>
      <c r="T595" s="20">
        <v>0.0</v>
      </c>
      <c r="U595" s="20">
        <v>0.0</v>
      </c>
      <c r="V595" s="21" t="s">
        <v>183</v>
      </c>
      <c r="W595" s="18" t="s">
        <v>76</v>
      </c>
      <c r="X595" s="21" t="s">
        <v>1935</v>
      </c>
      <c r="Y595" s="18" t="s">
        <v>1906</v>
      </c>
      <c r="Z595" s="39" t="s">
        <v>1936</v>
      </c>
      <c r="AA595" s="25">
        <v>0.0</v>
      </c>
      <c r="AB595" s="25">
        <v>0.0</v>
      </c>
      <c r="AC595" s="25">
        <v>0.0</v>
      </c>
      <c r="AD595" s="25">
        <v>0.0</v>
      </c>
      <c r="AE595" s="25">
        <v>0.0</v>
      </c>
      <c r="AF595" s="25">
        <v>0.0</v>
      </c>
      <c r="AG595" s="22"/>
      <c r="AH595" s="22"/>
      <c r="AI595" s="22"/>
      <c r="AJ595" s="22"/>
      <c r="AK595" s="22"/>
      <c r="AL595" s="22"/>
      <c r="AM595" s="22"/>
      <c r="AN595" s="22"/>
      <c r="AO595" s="22"/>
      <c r="AP595" s="22"/>
    </row>
    <row r="596" hidden="1">
      <c r="A596" s="8">
        <v>46088.0</v>
      </c>
      <c r="B596" s="23">
        <v>0.5</v>
      </c>
      <c r="C596" s="10" t="s">
        <v>32</v>
      </c>
      <c r="D596" s="10" t="s">
        <v>33</v>
      </c>
      <c r="E596" s="12" t="s">
        <v>71</v>
      </c>
      <c r="F596" s="12" t="s">
        <v>517</v>
      </c>
      <c r="G596" s="12" t="s">
        <v>1937</v>
      </c>
      <c r="H596" s="96" t="s">
        <v>1938</v>
      </c>
      <c r="I596" s="57" t="s">
        <v>1939</v>
      </c>
      <c r="J596" s="14">
        <v>2000.0</v>
      </c>
      <c r="K596" s="14">
        <v>366.0</v>
      </c>
      <c r="L596" s="15">
        <v>0.183</v>
      </c>
      <c r="M596" s="16">
        <v>146.0</v>
      </c>
      <c r="N596" s="17">
        <v>0.3989</v>
      </c>
      <c r="O596" s="18">
        <v>12.0</v>
      </c>
      <c r="P596" s="18">
        <v>11.0</v>
      </c>
      <c r="Q596" s="19">
        <v>0.0301</v>
      </c>
      <c r="R596" s="19">
        <v>0.0753</v>
      </c>
      <c r="S596" s="20">
        <v>0.0</v>
      </c>
      <c r="T596" s="20">
        <v>0.0</v>
      </c>
      <c r="U596" s="20">
        <v>0.0</v>
      </c>
      <c r="V596" s="21" t="s">
        <v>183</v>
      </c>
      <c r="W596" s="18" t="s">
        <v>76</v>
      </c>
      <c r="X596" s="21" t="s">
        <v>1940</v>
      </c>
      <c r="Y596" s="18" t="s">
        <v>1906</v>
      </c>
      <c r="Z596" s="20" t="s">
        <v>1941</v>
      </c>
      <c r="AA596" s="25">
        <v>1.0</v>
      </c>
      <c r="AB596" s="25">
        <v>0.0</v>
      </c>
      <c r="AC596" s="25">
        <v>1.0</v>
      </c>
      <c r="AD596" s="25">
        <v>3398.0</v>
      </c>
      <c r="AE596" s="25">
        <v>0.0</v>
      </c>
      <c r="AF596" s="25">
        <v>3398.0</v>
      </c>
      <c r="AG596" s="22"/>
      <c r="AH596" s="22"/>
      <c r="AI596" s="22"/>
      <c r="AJ596" s="22"/>
      <c r="AK596" s="22"/>
      <c r="AL596" s="22"/>
      <c r="AM596" s="22"/>
      <c r="AN596" s="22"/>
      <c r="AO596" s="22"/>
      <c r="AP596" s="22"/>
    </row>
    <row r="597" hidden="1">
      <c r="A597" s="8">
        <v>46088.0</v>
      </c>
      <c r="B597" s="23">
        <v>0.5</v>
      </c>
      <c r="C597" s="10" t="s">
        <v>32</v>
      </c>
      <c r="D597" s="10" t="s">
        <v>33</v>
      </c>
      <c r="E597" s="12" t="s">
        <v>71</v>
      </c>
      <c r="F597" s="12" t="s">
        <v>517</v>
      </c>
      <c r="G597" s="12" t="s">
        <v>1942</v>
      </c>
      <c r="H597" s="96" t="s">
        <v>1943</v>
      </c>
      <c r="I597" s="57" t="s">
        <v>1944</v>
      </c>
      <c r="J597" s="14">
        <v>844.0</v>
      </c>
      <c r="K597" s="14">
        <v>108.0</v>
      </c>
      <c r="L597" s="15">
        <v>0.128</v>
      </c>
      <c r="M597" s="16">
        <v>43.0</v>
      </c>
      <c r="N597" s="17">
        <v>0.3981</v>
      </c>
      <c r="O597" s="18">
        <v>4.0</v>
      </c>
      <c r="P597" s="18">
        <v>3.0</v>
      </c>
      <c r="Q597" s="19">
        <v>0.0278</v>
      </c>
      <c r="R597" s="19">
        <v>0.0698</v>
      </c>
      <c r="S597" s="20">
        <v>0.0</v>
      </c>
      <c r="T597" s="20">
        <v>0.0</v>
      </c>
      <c r="U597" s="20">
        <v>0.0</v>
      </c>
      <c r="V597" s="21" t="s">
        <v>183</v>
      </c>
      <c r="W597" s="18" t="s">
        <v>76</v>
      </c>
      <c r="X597" s="21" t="s">
        <v>1945</v>
      </c>
      <c r="Y597" s="18" t="s">
        <v>1906</v>
      </c>
      <c r="Z597" s="20" t="s">
        <v>1946</v>
      </c>
      <c r="AA597" s="25">
        <v>0.0</v>
      </c>
      <c r="AB597" s="25">
        <v>0.0</v>
      </c>
      <c r="AC597" s="25">
        <v>0.0</v>
      </c>
      <c r="AD597" s="25">
        <v>0.0</v>
      </c>
      <c r="AE597" s="25">
        <v>0.0</v>
      </c>
      <c r="AF597" s="25">
        <v>0.0</v>
      </c>
      <c r="AG597" s="22"/>
      <c r="AH597" s="22"/>
      <c r="AI597" s="22"/>
      <c r="AJ597" s="22"/>
      <c r="AK597" s="22"/>
      <c r="AL597" s="22"/>
      <c r="AM597" s="22"/>
      <c r="AN597" s="22"/>
      <c r="AO597" s="22"/>
      <c r="AP597" s="22"/>
    </row>
    <row r="598" hidden="1">
      <c r="A598" s="8">
        <v>46088.0</v>
      </c>
      <c r="B598" s="23">
        <v>0.5</v>
      </c>
      <c r="C598" s="10" t="s">
        <v>32</v>
      </c>
      <c r="D598" s="10" t="s">
        <v>33</v>
      </c>
      <c r="E598" s="12" t="s">
        <v>71</v>
      </c>
      <c r="F598" s="12" t="s">
        <v>517</v>
      </c>
      <c r="G598" s="12" t="s">
        <v>1947</v>
      </c>
      <c r="H598" s="96" t="s">
        <v>1948</v>
      </c>
      <c r="I598" s="57" t="s">
        <v>1949</v>
      </c>
      <c r="J598" s="14">
        <v>20068.0</v>
      </c>
      <c r="K598" s="14">
        <v>6710.0</v>
      </c>
      <c r="L598" s="15">
        <v>0.3344</v>
      </c>
      <c r="M598" s="16">
        <v>3220.0</v>
      </c>
      <c r="N598" s="17">
        <v>0.4799</v>
      </c>
      <c r="O598" s="18">
        <v>398.0</v>
      </c>
      <c r="P598" s="18">
        <v>374.0</v>
      </c>
      <c r="Q598" s="19">
        <v>0.0557</v>
      </c>
      <c r="R598" s="19">
        <v>0.1161</v>
      </c>
      <c r="S598" s="20">
        <v>0.0</v>
      </c>
      <c r="T598" s="20">
        <v>4.0</v>
      </c>
      <c r="U598" s="20">
        <v>0.0</v>
      </c>
      <c r="V598" s="21" t="s">
        <v>183</v>
      </c>
      <c r="W598" s="18" t="s">
        <v>76</v>
      </c>
      <c r="X598" s="21" t="s">
        <v>1950</v>
      </c>
      <c r="Y598" s="18" t="s">
        <v>1906</v>
      </c>
      <c r="Z598" s="20" t="s">
        <v>1951</v>
      </c>
      <c r="AA598" s="25">
        <v>35.0</v>
      </c>
      <c r="AB598" s="25">
        <v>2.0</v>
      </c>
      <c r="AC598" s="25">
        <v>33.0</v>
      </c>
      <c r="AD598" s="25">
        <v>276492.0</v>
      </c>
      <c r="AE598" s="25">
        <v>10895.0</v>
      </c>
      <c r="AF598" s="25">
        <v>265597.0</v>
      </c>
      <c r="AG598" s="22"/>
      <c r="AH598" s="22"/>
      <c r="AI598" s="22"/>
      <c r="AJ598" s="22"/>
      <c r="AK598" s="22"/>
      <c r="AL598" s="22"/>
      <c r="AM598" s="22"/>
      <c r="AN598" s="22"/>
      <c r="AO598" s="22"/>
      <c r="AP598" s="22"/>
    </row>
    <row r="599" hidden="1">
      <c r="A599" s="8">
        <v>46088.0</v>
      </c>
      <c r="B599" s="23">
        <v>0.5</v>
      </c>
      <c r="C599" s="10" t="s">
        <v>32</v>
      </c>
      <c r="D599" s="10" t="s">
        <v>33</v>
      </c>
      <c r="E599" s="12" t="s">
        <v>71</v>
      </c>
      <c r="F599" s="12" t="s">
        <v>517</v>
      </c>
      <c r="G599" s="12" t="s">
        <v>1952</v>
      </c>
      <c r="H599" s="96" t="s">
        <v>1953</v>
      </c>
      <c r="I599" s="57" t="s">
        <v>1954</v>
      </c>
      <c r="J599" s="14">
        <v>24115.0</v>
      </c>
      <c r="K599" s="14">
        <v>7135.0</v>
      </c>
      <c r="L599" s="15">
        <v>0.2959</v>
      </c>
      <c r="M599" s="16">
        <v>3166.0</v>
      </c>
      <c r="N599" s="17">
        <v>0.4438</v>
      </c>
      <c r="O599" s="18">
        <v>266.0</v>
      </c>
      <c r="P599" s="18">
        <v>252.0</v>
      </c>
      <c r="Q599" s="19">
        <v>0.0353</v>
      </c>
      <c r="R599" s="19">
        <v>0.0796</v>
      </c>
      <c r="S599" s="20">
        <v>1.0</v>
      </c>
      <c r="T599" s="20">
        <v>11.0</v>
      </c>
      <c r="U599" s="20">
        <v>9998.0</v>
      </c>
      <c r="V599" s="21" t="s">
        <v>183</v>
      </c>
      <c r="W599" s="18" t="s">
        <v>76</v>
      </c>
      <c r="X599" s="21" t="s">
        <v>1955</v>
      </c>
      <c r="Y599" s="18" t="s">
        <v>1906</v>
      </c>
      <c r="Z599" s="20" t="s">
        <v>1956</v>
      </c>
      <c r="AA599" s="25">
        <v>91.0</v>
      </c>
      <c r="AB599" s="25">
        <v>15.0</v>
      </c>
      <c r="AC599" s="25">
        <v>76.0</v>
      </c>
      <c r="AD599" s="25">
        <v>567946.0</v>
      </c>
      <c r="AE599" s="25">
        <v>122849.0</v>
      </c>
      <c r="AF599" s="25">
        <v>445097.0</v>
      </c>
      <c r="AG599" s="22"/>
      <c r="AH599" s="22"/>
      <c r="AI599" s="22"/>
      <c r="AJ599" s="22"/>
      <c r="AK599" s="22"/>
      <c r="AL599" s="22"/>
      <c r="AM599" s="22"/>
      <c r="AN599" s="22"/>
      <c r="AO599" s="22"/>
      <c r="AP599" s="22"/>
    </row>
    <row r="600" hidden="1">
      <c r="A600" s="8">
        <v>46088.0</v>
      </c>
      <c r="B600" s="23">
        <v>0.3333333333333333</v>
      </c>
      <c r="C600" s="10" t="s">
        <v>32</v>
      </c>
      <c r="D600" s="10" t="s">
        <v>33</v>
      </c>
      <c r="E600" s="12" t="s">
        <v>34</v>
      </c>
      <c r="F600" s="12" t="s">
        <v>1957</v>
      </c>
      <c r="G600" s="12" t="s">
        <v>1958</v>
      </c>
      <c r="H600" s="96" t="s">
        <v>1959</v>
      </c>
      <c r="I600" s="57" t="s">
        <v>1726</v>
      </c>
      <c r="J600" s="14">
        <v>268.0</v>
      </c>
      <c r="K600" s="14">
        <v>111.0</v>
      </c>
      <c r="L600" s="15">
        <v>0.4142</v>
      </c>
      <c r="M600" s="16">
        <v>57.0</v>
      </c>
      <c r="N600" s="17">
        <v>0.5135</v>
      </c>
      <c r="O600" s="18">
        <v>4.0</v>
      </c>
      <c r="P600" s="18">
        <v>4.0</v>
      </c>
      <c r="Q600" s="19">
        <v>0.036</v>
      </c>
      <c r="R600" s="19">
        <v>0.0702</v>
      </c>
      <c r="S600" s="20">
        <v>0.0</v>
      </c>
      <c r="T600" s="20">
        <v>0.0</v>
      </c>
      <c r="U600" s="20">
        <v>0.0</v>
      </c>
      <c r="V600" s="21" t="s">
        <v>335</v>
      </c>
      <c r="W600" s="18" t="s">
        <v>1899</v>
      </c>
      <c r="X600" s="21" t="s">
        <v>1726</v>
      </c>
      <c r="Y600" s="101" t="s">
        <v>1900</v>
      </c>
      <c r="Z600" s="20" t="s">
        <v>1960</v>
      </c>
      <c r="AA600" s="14">
        <v>0.0</v>
      </c>
      <c r="AB600" s="14">
        <v>0.0</v>
      </c>
      <c r="AC600" s="89">
        <v>0.0</v>
      </c>
      <c r="AD600" s="89">
        <v>0.0</v>
      </c>
      <c r="AE600" s="89">
        <v>0.0</v>
      </c>
      <c r="AF600" s="89">
        <v>0.0</v>
      </c>
      <c r="AG600" s="22"/>
      <c r="AH600" s="22"/>
      <c r="AI600" s="22"/>
      <c r="AJ600" s="22"/>
      <c r="AK600" s="22"/>
      <c r="AL600" s="22"/>
      <c r="AM600" s="22"/>
      <c r="AN600" s="22"/>
      <c r="AO600" s="22"/>
      <c r="AP600" s="22"/>
    </row>
    <row r="601" hidden="1">
      <c r="A601" s="8">
        <v>46088.0</v>
      </c>
      <c r="B601" s="23">
        <v>0.3333333333333333</v>
      </c>
      <c r="C601" s="10" t="s">
        <v>32</v>
      </c>
      <c r="D601" s="10" t="s">
        <v>33</v>
      </c>
      <c r="E601" s="12" t="s">
        <v>34</v>
      </c>
      <c r="F601" s="12" t="s">
        <v>1957</v>
      </c>
      <c r="G601" s="12" t="s">
        <v>1961</v>
      </c>
      <c r="H601" s="96" t="s">
        <v>1962</v>
      </c>
      <c r="I601" s="57" t="s">
        <v>1726</v>
      </c>
      <c r="J601" s="14">
        <v>1981.0</v>
      </c>
      <c r="K601" s="14">
        <v>844.0</v>
      </c>
      <c r="L601" s="15">
        <v>0.426</v>
      </c>
      <c r="M601" s="16">
        <v>474.0</v>
      </c>
      <c r="N601" s="17">
        <v>0.5616</v>
      </c>
      <c r="O601" s="18">
        <v>89.0</v>
      </c>
      <c r="P601" s="18">
        <v>86.0</v>
      </c>
      <c r="Q601" s="19">
        <v>0.1019</v>
      </c>
      <c r="R601" s="19">
        <v>0.1814</v>
      </c>
      <c r="S601" s="20">
        <v>1.0</v>
      </c>
      <c r="T601" s="20">
        <v>5.0</v>
      </c>
      <c r="U601" s="20">
        <v>5398.0</v>
      </c>
      <c r="V601" s="21" t="s">
        <v>335</v>
      </c>
      <c r="W601" s="18" t="s">
        <v>1899</v>
      </c>
      <c r="X601" s="21" t="s">
        <v>1726</v>
      </c>
      <c r="Y601" s="101" t="s">
        <v>1900</v>
      </c>
      <c r="Z601" s="20" t="s">
        <v>1963</v>
      </c>
      <c r="AA601" s="14">
        <v>2.0</v>
      </c>
      <c r="AB601" s="14">
        <v>2.0</v>
      </c>
      <c r="AC601" s="89">
        <v>0.0</v>
      </c>
      <c r="AD601" s="25">
        <v>16017.0</v>
      </c>
      <c r="AE601" s="25">
        <v>16017.0</v>
      </c>
      <c r="AF601" s="89">
        <v>0.0</v>
      </c>
      <c r="AG601" s="22"/>
      <c r="AH601" s="22"/>
      <c r="AI601" s="22"/>
      <c r="AJ601" s="22"/>
      <c r="AK601" s="22"/>
      <c r="AL601" s="22"/>
      <c r="AM601" s="22"/>
      <c r="AN601" s="22"/>
      <c r="AO601" s="22"/>
      <c r="AP601" s="22"/>
    </row>
    <row r="602" hidden="1">
      <c r="A602" s="8">
        <v>46088.0</v>
      </c>
      <c r="B602" s="23">
        <v>0.3333333333333333</v>
      </c>
      <c r="C602" s="10" t="s">
        <v>32</v>
      </c>
      <c r="D602" s="10" t="s">
        <v>33</v>
      </c>
      <c r="E602" s="12" t="s">
        <v>34</v>
      </c>
      <c r="F602" s="12" t="s">
        <v>1957</v>
      </c>
      <c r="G602" s="12" t="s">
        <v>1964</v>
      </c>
      <c r="H602" s="96" t="s">
        <v>1965</v>
      </c>
      <c r="I602" s="57" t="s">
        <v>1726</v>
      </c>
      <c r="J602" s="14">
        <v>657.0</v>
      </c>
      <c r="K602" s="14">
        <v>196.0</v>
      </c>
      <c r="L602" s="15">
        <v>0.2983</v>
      </c>
      <c r="M602" s="16">
        <v>75.0</v>
      </c>
      <c r="N602" s="17">
        <v>0.3827</v>
      </c>
      <c r="O602" s="18">
        <v>1.0</v>
      </c>
      <c r="P602" s="18">
        <v>1.0</v>
      </c>
      <c r="Q602" s="19">
        <v>0.0051</v>
      </c>
      <c r="R602" s="19">
        <v>0.0133</v>
      </c>
      <c r="S602" s="20">
        <v>0.0</v>
      </c>
      <c r="T602" s="20">
        <v>0.0</v>
      </c>
      <c r="U602" s="20">
        <v>0.0</v>
      </c>
      <c r="V602" s="21" t="s">
        <v>335</v>
      </c>
      <c r="W602" s="18" t="s">
        <v>1899</v>
      </c>
      <c r="X602" s="21" t="s">
        <v>1726</v>
      </c>
      <c r="Y602" s="100" t="s">
        <v>1900</v>
      </c>
      <c r="Z602" s="20" t="s">
        <v>1966</v>
      </c>
      <c r="AA602" s="14">
        <v>0.0</v>
      </c>
      <c r="AB602" s="14">
        <v>0.0</v>
      </c>
      <c r="AC602" s="97"/>
      <c r="AD602" s="25">
        <v>0.0</v>
      </c>
      <c r="AE602" s="25">
        <v>0.0</v>
      </c>
      <c r="AF602" s="97"/>
      <c r="AG602" s="22"/>
      <c r="AH602" s="22"/>
      <c r="AI602" s="22"/>
      <c r="AJ602" s="22"/>
      <c r="AK602" s="22"/>
      <c r="AL602" s="22"/>
      <c r="AM602" s="22"/>
      <c r="AN602" s="22"/>
      <c r="AO602" s="22"/>
      <c r="AP602" s="22"/>
    </row>
    <row r="603" hidden="1">
      <c r="A603" s="8">
        <v>46088.0</v>
      </c>
      <c r="B603" s="23">
        <v>0.3333333333333333</v>
      </c>
      <c r="C603" s="10" t="s">
        <v>32</v>
      </c>
      <c r="D603" s="10" t="s">
        <v>33</v>
      </c>
      <c r="E603" s="12" t="s">
        <v>34</v>
      </c>
      <c r="F603" s="12" t="s">
        <v>1957</v>
      </c>
      <c r="G603" s="12" t="s">
        <v>1967</v>
      </c>
      <c r="H603" s="96" t="s">
        <v>1968</v>
      </c>
      <c r="I603" s="57" t="s">
        <v>1726</v>
      </c>
      <c r="J603" s="14">
        <v>26947.0</v>
      </c>
      <c r="K603" s="14">
        <v>9453.0</v>
      </c>
      <c r="L603" s="15">
        <v>0.3508</v>
      </c>
      <c r="M603" s="16">
        <v>3912.0</v>
      </c>
      <c r="N603" s="17">
        <v>0.4138</v>
      </c>
      <c r="O603" s="18">
        <v>179.0</v>
      </c>
      <c r="P603" s="18">
        <v>172.0</v>
      </c>
      <c r="Q603" s="19">
        <v>0.0182</v>
      </c>
      <c r="R603" s="19">
        <v>0.044</v>
      </c>
      <c r="S603" s="20">
        <v>0.0</v>
      </c>
      <c r="T603" s="20">
        <v>0.0</v>
      </c>
      <c r="U603" s="20">
        <v>0.0</v>
      </c>
      <c r="V603" s="21" t="s">
        <v>335</v>
      </c>
      <c r="W603" s="18" t="s">
        <v>1899</v>
      </c>
      <c r="X603" s="21" t="s">
        <v>1726</v>
      </c>
      <c r="Y603" s="100" t="s">
        <v>1900</v>
      </c>
      <c r="Z603" s="20" t="s">
        <v>1969</v>
      </c>
      <c r="AA603" s="14">
        <v>3.0</v>
      </c>
      <c r="AB603" s="14">
        <v>3.0</v>
      </c>
      <c r="AC603" s="97"/>
      <c r="AD603" s="25">
        <v>32498.0</v>
      </c>
      <c r="AE603" s="25">
        <v>32498.0</v>
      </c>
      <c r="AF603" s="97"/>
      <c r="AG603" s="22"/>
      <c r="AH603" s="22"/>
      <c r="AI603" s="22"/>
      <c r="AJ603" s="22"/>
      <c r="AK603" s="22"/>
      <c r="AL603" s="22"/>
      <c r="AM603" s="22"/>
      <c r="AN603" s="22"/>
      <c r="AO603" s="22"/>
      <c r="AP603" s="22"/>
    </row>
    <row r="604" hidden="1">
      <c r="A604" s="8">
        <v>46088.0</v>
      </c>
      <c r="B604" s="23">
        <v>0.3333333333333333</v>
      </c>
      <c r="C604" s="10" t="s">
        <v>32</v>
      </c>
      <c r="D604" s="10" t="s">
        <v>33</v>
      </c>
      <c r="E604" s="12" t="s">
        <v>34</v>
      </c>
      <c r="F604" s="12" t="s">
        <v>1957</v>
      </c>
      <c r="G604" s="12" t="s">
        <v>1970</v>
      </c>
      <c r="H604" s="96" t="s">
        <v>1971</v>
      </c>
      <c r="I604" s="57" t="s">
        <v>1726</v>
      </c>
      <c r="J604" s="14">
        <v>10993.0</v>
      </c>
      <c r="K604" s="14">
        <v>3635.0</v>
      </c>
      <c r="L604" s="15">
        <v>0.3307</v>
      </c>
      <c r="M604" s="16">
        <v>1426.0</v>
      </c>
      <c r="N604" s="17">
        <v>0.3923</v>
      </c>
      <c r="O604" s="18">
        <v>79.0</v>
      </c>
      <c r="P604" s="18">
        <v>75.0</v>
      </c>
      <c r="Q604" s="19">
        <v>0.0206</v>
      </c>
      <c r="R604" s="19">
        <v>0.0526</v>
      </c>
      <c r="S604" s="20">
        <v>0.0</v>
      </c>
      <c r="T604" s="20">
        <v>2.0</v>
      </c>
      <c r="U604" s="20">
        <v>0.0</v>
      </c>
      <c r="V604" s="21" t="s">
        <v>335</v>
      </c>
      <c r="W604" s="18" t="s">
        <v>1899</v>
      </c>
      <c r="X604" s="21" t="s">
        <v>1726</v>
      </c>
      <c r="Y604" s="100" t="s">
        <v>1900</v>
      </c>
      <c r="Z604" s="20" t="s">
        <v>1972</v>
      </c>
      <c r="AA604" s="14">
        <v>0.0</v>
      </c>
      <c r="AB604" s="14">
        <v>0.0</v>
      </c>
      <c r="AC604" s="97"/>
      <c r="AD604" s="25">
        <v>0.0</v>
      </c>
      <c r="AE604" s="25">
        <v>0.0</v>
      </c>
      <c r="AF604" s="97"/>
      <c r="AG604" s="22"/>
      <c r="AH604" s="22"/>
      <c r="AI604" s="22"/>
      <c r="AJ604" s="22"/>
      <c r="AK604" s="22"/>
      <c r="AL604" s="22"/>
      <c r="AM604" s="22"/>
      <c r="AN604" s="22"/>
      <c r="AO604" s="22"/>
      <c r="AP604" s="22"/>
    </row>
    <row r="605" hidden="1">
      <c r="A605" s="8">
        <v>46088.0</v>
      </c>
      <c r="B605" s="23">
        <v>0.4166666666666667</v>
      </c>
      <c r="C605" s="10" t="s">
        <v>58</v>
      </c>
      <c r="D605" s="10" t="s">
        <v>33</v>
      </c>
      <c r="E605" s="12" t="s">
        <v>34</v>
      </c>
      <c r="F605" s="12" t="s">
        <v>1773</v>
      </c>
      <c r="G605" s="12" t="s">
        <v>1973</v>
      </c>
      <c r="H605" s="96" t="s">
        <v>1974</v>
      </c>
      <c r="I605" s="57" t="s">
        <v>1726</v>
      </c>
      <c r="J605" s="14">
        <v>122646.0</v>
      </c>
      <c r="K605" s="14">
        <v>71838.0</v>
      </c>
      <c r="L605" s="15">
        <v>0.5857</v>
      </c>
      <c r="M605" s="16"/>
      <c r="N605" s="17"/>
      <c r="O605" s="18">
        <v>138.0</v>
      </c>
      <c r="P605" s="18"/>
      <c r="Q605" s="19">
        <v>0.0019</v>
      </c>
      <c r="R605" s="19"/>
      <c r="S605" s="20">
        <v>0.0</v>
      </c>
      <c r="T605" s="20">
        <v>1.0</v>
      </c>
      <c r="U605" s="20">
        <v>0.0</v>
      </c>
      <c r="V605" s="21" t="s">
        <v>315</v>
      </c>
      <c r="W605" s="18" t="s">
        <v>62</v>
      </c>
      <c r="X605" s="21" t="s">
        <v>1726</v>
      </c>
      <c r="Y605" s="100" t="s">
        <v>1900</v>
      </c>
      <c r="Z605" s="20" t="s">
        <v>1975</v>
      </c>
      <c r="AA605" s="14">
        <v>133.0</v>
      </c>
      <c r="AB605" s="14"/>
      <c r="AC605" s="25">
        <v>133.0</v>
      </c>
      <c r="AD605" s="25">
        <v>2028865.0</v>
      </c>
      <c r="AE605" s="97"/>
      <c r="AF605" s="25">
        <v>2028865.0</v>
      </c>
      <c r="AG605" s="22"/>
      <c r="AH605" s="22"/>
      <c r="AI605" s="22"/>
      <c r="AJ605" s="22"/>
      <c r="AK605" s="22"/>
      <c r="AL605" s="22"/>
      <c r="AM605" s="22"/>
      <c r="AN605" s="22"/>
      <c r="AO605" s="22"/>
      <c r="AP605" s="22"/>
    </row>
    <row r="606" hidden="1">
      <c r="A606" s="8">
        <v>46088.0</v>
      </c>
      <c r="B606" s="23">
        <v>0.5208333333333334</v>
      </c>
      <c r="C606" s="10" t="s">
        <v>58</v>
      </c>
      <c r="D606" s="10" t="s">
        <v>59</v>
      </c>
      <c r="E606" s="12" t="s">
        <v>34</v>
      </c>
      <c r="F606" s="12" t="s">
        <v>1957</v>
      </c>
      <c r="G606" s="12" t="s">
        <v>1976</v>
      </c>
      <c r="H606" s="102" t="s">
        <v>1959</v>
      </c>
      <c r="I606" s="57" t="s">
        <v>61</v>
      </c>
      <c r="J606" s="14">
        <v>155.0</v>
      </c>
      <c r="K606" s="14">
        <v>90.0</v>
      </c>
      <c r="L606" s="15">
        <v>0.5806</v>
      </c>
      <c r="M606" s="16"/>
      <c r="N606" s="17"/>
      <c r="O606" s="18">
        <v>0.0</v>
      </c>
      <c r="P606" s="18"/>
      <c r="Q606" s="19">
        <v>0.0</v>
      </c>
      <c r="R606" s="19"/>
      <c r="S606" s="20">
        <v>0.0</v>
      </c>
      <c r="T606" s="20">
        <v>1.0</v>
      </c>
      <c r="U606" s="20">
        <v>0.0</v>
      </c>
      <c r="V606" s="21" t="s">
        <v>335</v>
      </c>
      <c r="W606" s="18" t="s">
        <v>62</v>
      </c>
      <c r="X606" s="21" t="s">
        <v>1726</v>
      </c>
      <c r="Y606" s="100" t="s">
        <v>1900</v>
      </c>
      <c r="Z606" s="20" t="s">
        <v>1977</v>
      </c>
      <c r="AA606" s="14">
        <v>1.0</v>
      </c>
      <c r="AB606" s="14">
        <v>1.0</v>
      </c>
      <c r="AC606" s="25"/>
      <c r="AD606" s="25">
        <v>11159.0</v>
      </c>
      <c r="AE606" s="25">
        <v>11159.0</v>
      </c>
      <c r="AF606" s="25"/>
      <c r="AG606" s="22"/>
      <c r="AH606" s="22"/>
      <c r="AI606" s="22"/>
      <c r="AJ606" s="22"/>
      <c r="AK606" s="22"/>
      <c r="AL606" s="22"/>
      <c r="AM606" s="22"/>
      <c r="AN606" s="22"/>
      <c r="AO606" s="22"/>
      <c r="AP606" s="22"/>
    </row>
    <row r="607" hidden="1">
      <c r="A607" s="8">
        <v>46088.0</v>
      </c>
      <c r="B607" s="23">
        <v>0.5208333333333334</v>
      </c>
      <c r="C607" s="10" t="s">
        <v>58</v>
      </c>
      <c r="D607" s="10" t="s">
        <v>59</v>
      </c>
      <c r="E607" s="12" t="s">
        <v>34</v>
      </c>
      <c r="F607" s="12" t="s">
        <v>1957</v>
      </c>
      <c r="G607" s="12" t="s">
        <v>1978</v>
      </c>
      <c r="H607" s="102" t="s">
        <v>1962</v>
      </c>
      <c r="I607" s="57" t="s">
        <v>61</v>
      </c>
      <c r="J607" s="14">
        <v>1122.0</v>
      </c>
      <c r="K607" s="14">
        <v>729.0</v>
      </c>
      <c r="L607" s="15">
        <v>0.6497</v>
      </c>
      <c r="M607" s="16"/>
      <c r="N607" s="17"/>
      <c r="O607" s="18">
        <v>1.0</v>
      </c>
      <c r="P607" s="18"/>
      <c r="Q607" s="19">
        <v>0.0014</v>
      </c>
      <c r="R607" s="19"/>
      <c r="S607" s="20">
        <v>0.0</v>
      </c>
      <c r="T607" s="20">
        <v>3.0</v>
      </c>
      <c r="U607" s="20">
        <v>0.0</v>
      </c>
      <c r="V607" s="21" t="s">
        <v>335</v>
      </c>
      <c r="W607" s="18" t="s">
        <v>62</v>
      </c>
      <c r="X607" s="21" t="s">
        <v>1726</v>
      </c>
      <c r="Y607" s="100" t="s">
        <v>1900</v>
      </c>
      <c r="Z607" s="20" t="s">
        <v>1979</v>
      </c>
      <c r="AA607" s="14">
        <v>2.0</v>
      </c>
      <c r="AB607" s="14">
        <v>2.0</v>
      </c>
      <c r="AC607" s="25"/>
      <c r="AD607" s="25">
        <v>14158.0</v>
      </c>
      <c r="AE607" s="25">
        <v>14158.0</v>
      </c>
      <c r="AF607" s="25"/>
      <c r="AG607" s="22"/>
      <c r="AH607" s="22"/>
      <c r="AI607" s="22"/>
      <c r="AJ607" s="22"/>
      <c r="AK607" s="22"/>
      <c r="AL607" s="22"/>
      <c r="AM607" s="22"/>
      <c r="AN607" s="22"/>
      <c r="AO607" s="22"/>
      <c r="AP607" s="22"/>
    </row>
    <row r="608" hidden="1">
      <c r="A608" s="8">
        <v>46088.0</v>
      </c>
      <c r="B608" s="23">
        <v>0.5208333333333334</v>
      </c>
      <c r="C608" s="10" t="s">
        <v>58</v>
      </c>
      <c r="D608" s="10" t="s">
        <v>59</v>
      </c>
      <c r="E608" s="12" t="s">
        <v>34</v>
      </c>
      <c r="F608" s="12" t="s">
        <v>1957</v>
      </c>
      <c r="G608" s="12" t="s">
        <v>1980</v>
      </c>
      <c r="H608" s="96" t="s">
        <v>1971</v>
      </c>
      <c r="I608" s="57" t="s">
        <v>61</v>
      </c>
      <c r="J608" s="14">
        <v>16904.0</v>
      </c>
      <c r="K608" s="14">
        <v>8203.0</v>
      </c>
      <c r="L608" s="15">
        <v>0.4853</v>
      </c>
      <c r="M608" s="16"/>
      <c r="N608" s="17"/>
      <c r="O608" s="18">
        <v>18.0</v>
      </c>
      <c r="P608" s="18"/>
      <c r="Q608" s="19">
        <v>0.0022</v>
      </c>
      <c r="R608" s="19"/>
      <c r="S608" s="20">
        <v>0.0</v>
      </c>
      <c r="T608" s="20">
        <v>0.0</v>
      </c>
      <c r="U608" s="20">
        <v>0.0</v>
      </c>
      <c r="V608" s="21" t="s">
        <v>335</v>
      </c>
      <c r="W608" s="18" t="s">
        <v>62</v>
      </c>
      <c r="X608" s="21" t="s">
        <v>1726</v>
      </c>
      <c r="Y608" s="100" t="s">
        <v>1900</v>
      </c>
      <c r="Z608" s="20" t="s">
        <v>1981</v>
      </c>
      <c r="AA608" s="14">
        <v>4.0</v>
      </c>
      <c r="AB608" s="14">
        <v>4.0</v>
      </c>
      <c r="AC608" s="97"/>
      <c r="AD608" s="25">
        <v>22344.0</v>
      </c>
      <c r="AE608" s="25">
        <v>22344.0</v>
      </c>
      <c r="AF608" s="97"/>
      <c r="AG608" s="22"/>
      <c r="AH608" s="22"/>
      <c r="AI608" s="22"/>
      <c r="AJ608" s="22"/>
      <c r="AK608" s="22"/>
      <c r="AL608" s="22"/>
      <c r="AM608" s="22"/>
      <c r="AN608" s="22"/>
      <c r="AO608" s="22"/>
      <c r="AP608" s="22"/>
    </row>
    <row r="609" hidden="1">
      <c r="A609" s="8">
        <v>46088.0</v>
      </c>
      <c r="B609" s="23">
        <v>0.5208333333333334</v>
      </c>
      <c r="C609" s="10" t="s">
        <v>58</v>
      </c>
      <c r="D609" s="10" t="s">
        <v>59</v>
      </c>
      <c r="E609" s="12" t="s">
        <v>34</v>
      </c>
      <c r="F609" s="12" t="s">
        <v>1957</v>
      </c>
      <c r="G609" s="12" t="s">
        <v>1982</v>
      </c>
      <c r="H609" s="96" t="s">
        <v>1965</v>
      </c>
      <c r="I609" s="57" t="s">
        <v>61</v>
      </c>
      <c r="J609" s="14">
        <v>443.0</v>
      </c>
      <c r="K609" s="14">
        <v>228.0</v>
      </c>
      <c r="L609" s="15">
        <v>0.5147</v>
      </c>
      <c r="M609" s="16"/>
      <c r="N609" s="17"/>
      <c r="O609" s="18">
        <v>0.0</v>
      </c>
      <c r="P609" s="18"/>
      <c r="Q609" s="19">
        <v>0.0</v>
      </c>
      <c r="R609" s="19"/>
      <c r="S609" s="20">
        <v>0.0</v>
      </c>
      <c r="T609" s="20">
        <v>0.0</v>
      </c>
      <c r="U609" s="20">
        <v>0.0</v>
      </c>
      <c r="V609" s="21" t="s">
        <v>335</v>
      </c>
      <c r="W609" s="18" t="s">
        <v>62</v>
      </c>
      <c r="X609" s="21" t="s">
        <v>1726</v>
      </c>
      <c r="Y609" s="100" t="s">
        <v>1900</v>
      </c>
      <c r="Z609" s="20" t="s">
        <v>1983</v>
      </c>
      <c r="AA609" s="14">
        <v>0.0</v>
      </c>
      <c r="AB609" s="14">
        <v>0.0</v>
      </c>
      <c r="AC609" s="97"/>
      <c r="AD609" s="25">
        <v>0.0</v>
      </c>
      <c r="AE609" s="25">
        <v>0.0</v>
      </c>
      <c r="AF609" s="103"/>
      <c r="AG609" s="22"/>
      <c r="AH609" s="22"/>
      <c r="AI609" s="22"/>
      <c r="AJ609" s="22"/>
      <c r="AK609" s="22"/>
      <c r="AL609" s="22"/>
      <c r="AM609" s="22"/>
      <c r="AN609" s="22"/>
      <c r="AO609" s="22"/>
      <c r="AP609" s="22"/>
    </row>
    <row r="610" hidden="1">
      <c r="A610" s="8">
        <v>46088.0</v>
      </c>
      <c r="B610" s="23">
        <v>0.5208333333333334</v>
      </c>
      <c r="C610" s="10" t="s">
        <v>58</v>
      </c>
      <c r="D610" s="10" t="s">
        <v>59</v>
      </c>
      <c r="E610" s="12" t="s">
        <v>34</v>
      </c>
      <c r="F610" s="12" t="s">
        <v>1957</v>
      </c>
      <c r="G610" s="12" t="s">
        <v>1984</v>
      </c>
      <c r="H610" s="96" t="s">
        <v>1971</v>
      </c>
      <c r="I610" s="57" t="s">
        <v>61</v>
      </c>
      <c r="J610" s="14">
        <v>7125.0</v>
      </c>
      <c r="K610" s="14">
        <v>3945.0</v>
      </c>
      <c r="L610" s="15">
        <v>0.5537</v>
      </c>
      <c r="M610" s="16"/>
      <c r="N610" s="17"/>
      <c r="O610" s="18">
        <v>8.0</v>
      </c>
      <c r="P610" s="18"/>
      <c r="Q610" s="19">
        <v>0.002</v>
      </c>
      <c r="R610" s="19"/>
      <c r="S610" s="20">
        <v>0.0</v>
      </c>
      <c r="T610" s="20">
        <v>2.0</v>
      </c>
      <c r="U610" s="20">
        <v>0.0</v>
      </c>
      <c r="V610" s="21" t="s">
        <v>335</v>
      </c>
      <c r="W610" s="18" t="s">
        <v>62</v>
      </c>
      <c r="X610" s="21" t="s">
        <v>1726</v>
      </c>
      <c r="Y610" s="100" t="s">
        <v>1900</v>
      </c>
      <c r="Z610" s="20" t="s">
        <v>1985</v>
      </c>
      <c r="AA610" s="14">
        <v>0.0</v>
      </c>
      <c r="AB610" s="14">
        <v>0.0</v>
      </c>
      <c r="AC610" s="97"/>
      <c r="AD610" s="25">
        <v>0.0</v>
      </c>
      <c r="AE610" s="25">
        <v>0.0</v>
      </c>
      <c r="AF610" s="104"/>
      <c r="AG610" s="22"/>
      <c r="AH610" s="22"/>
      <c r="AI610" s="22"/>
      <c r="AJ610" s="22"/>
      <c r="AK610" s="22"/>
      <c r="AL610" s="22"/>
      <c r="AM610" s="22"/>
      <c r="AN610" s="22"/>
      <c r="AO610" s="22"/>
      <c r="AP610" s="22"/>
    </row>
    <row r="611" hidden="1">
      <c r="A611" s="8">
        <v>46088.0</v>
      </c>
      <c r="B611" s="23">
        <v>0.4166666666666667</v>
      </c>
      <c r="C611" s="10" t="s">
        <v>32</v>
      </c>
      <c r="D611" s="10" t="s">
        <v>33</v>
      </c>
      <c r="E611" s="12" t="s">
        <v>106</v>
      </c>
      <c r="F611" s="12" t="s">
        <v>1773</v>
      </c>
      <c r="G611" s="12" t="s">
        <v>1986</v>
      </c>
      <c r="H611" s="96" t="s">
        <v>1987</v>
      </c>
      <c r="I611" s="57" t="s">
        <v>1988</v>
      </c>
      <c r="J611" s="14">
        <v>10209.0</v>
      </c>
      <c r="K611" s="14">
        <v>3564.0</v>
      </c>
      <c r="L611" s="15">
        <v>0.3491</v>
      </c>
      <c r="M611" s="16">
        <v>1650.0</v>
      </c>
      <c r="N611" s="17">
        <v>0.463</v>
      </c>
      <c r="O611" s="18">
        <v>144.0</v>
      </c>
      <c r="P611" s="18">
        <v>134.0</v>
      </c>
      <c r="Q611" s="19">
        <v>0.0376</v>
      </c>
      <c r="R611" s="19">
        <v>0.0812</v>
      </c>
      <c r="S611" s="20"/>
      <c r="T611" s="20"/>
      <c r="U611" s="20"/>
      <c r="V611" s="21" t="s">
        <v>183</v>
      </c>
      <c r="W611" s="18" t="s">
        <v>76</v>
      </c>
      <c r="X611" s="105" t="s">
        <v>47</v>
      </c>
      <c r="Y611" s="100" t="s">
        <v>1900</v>
      </c>
      <c r="Z611" s="20" t="s">
        <v>1989</v>
      </c>
      <c r="AA611" s="14">
        <v>9.0</v>
      </c>
      <c r="AB611" s="14"/>
      <c r="AC611" s="14">
        <v>9.0</v>
      </c>
      <c r="AD611" s="14">
        <v>81991.0</v>
      </c>
      <c r="AE611" s="14"/>
      <c r="AF611" s="14">
        <v>81991.0</v>
      </c>
      <c r="AG611" s="22"/>
      <c r="AH611" s="22"/>
      <c r="AI611" s="22"/>
      <c r="AJ611" s="22"/>
      <c r="AK611" s="22"/>
      <c r="AL611" s="22"/>
      <c r="AM611" s="22"/>
      <c r="AN611" s="22"/>
      <c r="AO611" s="22"/>
      <c r="AP611" s="22"/>
    </row>
    <row r="612" hidden="1">
      <c r="A612" s="8">
        <v>46088.0</v>
      </c>
      <c r="B612" s="23">
        <v>0.4166666666666667</v>
      </c>
      <c r="C612" s="10" t="s">
        <v>32</v>
      </c>
      <c r="D612" s="10" t="s">
        <v>33</v>
      </c>
      <c r="E612" s="12" t="s">
        <v>106</v>
      </c>
      <c r="F612" s="12" t="s">
        <v>1773</v>
      </c>
      <c r="G612" s="12" t="s">
        <v>1990</v>
      </c>
      <c r="H612" s="102" t="s">
        <v>1991</v>
      </c>
      <c r="I612" s="57" t="s">
        <v>1992</v>
      </c>
      <c r="J612" s="14">
        <v>182473.0</v>
      </c>
      <c r="K612" s="14">
        <v>75765.0</v>
      </c>
      <c r="L612" s="15">
        <v>0.4152</v>
      </c>
      <c r="M612" s="16">
        <v>27104.0</v>
      </c>
      <c r="N612" s="17">
        <v>0.3577</v>
      </c>
      <c r="O612" s="18">
        <v>1795.0</v>
      </c>
      <c r="P612" s="18">
        <v>1713.0</v>
      </c>
      <c r="Q612" s="19">
        <v>0.0226</v>
      </c>
      <c r="R612" s="19">
        <v>0.0632</v>
      </c>
      <c r="S612" s="20"/>
      <c r="T612" s="20"/>
      <c r="U612" s="20"/>
      <c r="V612" s="21" t="s">
        <v>183</v>
      </c>
      <c r="W612" s="18" t="s">
        <v>76</v>
      </c>
      <c r="X612" s="106" t="s">
        <v>41</v>
      </c>
      <c r="Y612" s="100" t="s">
        <v>1900</v>
      </c>
      <c r="Z612" s="20" t="s">
        <v>1993</v>
      </c>
      <c r="AA612" s="14">
        <v>133.0</v>
      </c>
      <c r="AB612" s="14"/>
      <c r="AC612" s="14">
        <v>133.0</v>
      </c>
      <c r="AD612" s="14">
        <v>1703909.0</v>
      </c>
      <c r="AE612" s="14"/>
      <c r="AF612" s="14">
        <v>1703909.0</v>
      </c>
      <c r="AG612" s="22"/>
      <c r="AH612" s="22"/>
      <c r="AI612" s="22"/>
      <c r="AJ612" s="22"/>
      <c r="AK612" s="22"/>
      <c r="AL612" s="22"/>
      <c r="AM612" s="22"/>
      <c r="AN612" s="22"/>
      <c r="AO612" s="22"/>
      <c r="AP612" s="22"/>
    </row>
    <row r="613" hidden="1">
      <c r="A613" s="8">
        <v>46088.0</v>
      </c>
      <c r="B613" s="23">
        <v>0.5</v>
      </c>
      <c r="C613" s="10" t="s">
        <v>58</v>
      </c>
      <c r="D613" s="10" t="s">
        <v>59</v>
      </c>
      <c r="E613" s="12" t="s">
        <v>106</v>
      </c>
      <c r="F613" s="12" t="s">
        <v>1773</v>
      </c>
      <c r="G613" s="12" t="s">
        <v>1994</v>
      </c>
      <c r="H613" s="102" t="s">
        <v>1987</v>
      </c>
      <c r="I613" s="57" t="s">
        <v>61</v>
      </c>
      <c r="J613" s="14">
        <v>6568.0</v>
      </c>
      <c r="K613" s="14">
        <v>3923.0</v>
      </c>
      <c r="L613" s="15">
        <v>0.5973</v>
      </c>
      <c r="M613" s="16"/>
      <c r="N613" s="17"/>
      <c r="O613" s="18">
        <v>0.0</v>
      </c>
      <c r="P613" s="18"/>
      <c r="Q613" s="19">
        <v>0.0</v>
      </c>
      <c r="R613" s="19"/>
      <c r="S613" s="20"/>
      <c r="T613" s="20"/>
      <c r="U613" s="20"/>
      <c r="V613" s="21" t="s">
        <v>183</v>
      </c>
      <c r="W613" s="18"/>
      <c r="X613" s="107" t="s">
        <v>47</v>
      </c>
      <c r="Y613" s="100" t="s">
        <v>1900</v>
      </c>
      <c r="Z613" s="20" t="s">
        <v>1995</v>
      </c>
      <c r="AA613" s="25">
        <v>17.0</v>
      </c>
      <c r="AB613" s="89"/>
      <c r="AC613" s="25">
        <v>17.0</v>
      </c>
      <c r="AD613" s="25">
        <v>183279.0</v>
      </c>
      <c r="AE613" s="25"/>
      <c r="AF613" s="25">
        <v>183279.0</v>
      </c>
      <c r="AG613" s="22"/>
      <c r="AH613" s="22"/>
      <c r="AI613" s="22"/>
      <c r="AJ613" s="22"/>
      <c r="AK613" s="22"/>
      <c r="AL613" s="22"/>
      <c r="AM613" s="22"/>
      <c r="AN613" s="22"/>
      <c r="AO613" s="22"/>
      <c r="AP613" s="22"/>
    </row>
    <row r="614" hidden="1">
      <c r="A614" s="8">
        <v>46088.0</v>
      </c>
      <c r="B614" s="23">
        <v>0.5</v>
      </c>
      <c r="C614" s="10" t="s">
        <v>58</v>
      </c>
      <c r="D614" s="10" t="s">
        <v>59</v>
      </c>
      <c r="E614" s="12" t="s">
        <v>106</v>
      </c>
      <c r="F614" s="12" t="s">
        <v>1773</v>
      </c>
      <c r="G614" s="12" t="s">
        <v>1996</v>
      </c>
      <c r="H614" s="102" t="s">
        <v>1991</v>
      </c>
      <c r="I614" s="57" t="s">
        <v>61</v>
      </c>
      <c r="J614" s="14">
        <v>102784.0</v>
      </c>
      <c r="K614" s="14">
        <v>57127.0</v>
      </c>
      <c r="L614" s="15">
        <v>0.5558</v>
      </c>
      <c r="M614" s="16"/>
      <c r="N614" s="17"/>
      <c r="O614" s="18">
        <v>0.0</v>
      </c>
      <c r="P614" s="18"/>
      <c r="Q614" s="19">
        <v>0.0</v>
      </c>
      <c r="R614" s="19"/>
      <c r="S614" s="20"/>
      <c r="T614" s="20"/>
      <c r="U614" s="20"/>
      <c r="V614" s="21" t="s">
        <v>183</v>
      </c>
      <c r="W614" s="18" t="s">
        <v>62</v>
      </c>
      <c r="X614" s="106" t="s">
        <v>41</v>
      </c>
      <c r="Y614" s="100" t="s">
        <v>1900</v>
      </c>
      <c r="Z614" s="20" t="s">
        <v>1997</v>
      </c>
      <c r="AA614" s="25">
        <v>110.0</v>
      </c>
      <c r="AB614" s="89"/>
      <c r="AC614" s="25">
        <v>110.0</v>
      </c>
      <c r="AD614" s="25">
        <v>1502527.0</v>
      </c>
      <c r="AE614" s="25"/>
      <c r="AF614" s="25">
        <v>1502527.0</v>
      </c>
      <c r="AG614" s="22"/>
      <c r="AH614" s="22"/>
      <c r="AI614" s="22"/>
      <c r="AJ614" s="22"/>
      <c r="AK614" s="22"/>
      <c r="AL614" s="22"/>
      <c r="AM614" s="22"/>
      <c r="AN614" s="22"/>
      <c r="AO614" s="22"/>
      <c r="AP614" s="22"/>
    </row>
    <row r="615" hidden="1">
      <c r="A615" s="8">
        <v>46089.0</v>
      </c>
      <c r="B615" s="23">
        <v>0.4270833333333333</v>
      </c>
      <c r="C615" s="10" t="s">
        <v>58</v>
      </c>
      <c r="D615" s="10" t="s">
        <v>33</v>
      </c>
      <c r="E615" s="12" t="s">
        <v>34</v>
      </c>
      <c r="F615" s="12" t="s">
        <v>1998</v>
      </c>
      <c r="G615" s="12" t="s">
        <v>1999</v>
      </c>
      <c r="H615" s="96" t="s">
        <v>2000</v>
      </c>
      <c r="I615" s="57" t="s">
        <v>1726</v>
      </c>
      <c r="J615" s="14">
        <v>18748.0</v>
      </c>
      <c r="K615" s="14">
        <v>11006.0</v>
      </c>
      <c r="L615" s="15">
        <v>0.587</v>
      </c>
      <c r="M615" s="16"/>
      <c r="N615" s="17"/>
      <c r="O615" s="18">
        <v>34.0</v>
      </c>
      <c r="P615" s="18"/>
      <c r="Q615" s="19">
        <v>0.0031</v>
      </c>
      <c r="R615" s="19"/>
      <c r="S615" s="20">
        <v>1.0</v>
      </c>
      <c r="T615" s="20">
        <v>3.0</v>
      </c>
      <c r="U615" s="20">
        <v>2699.0</v>
      </c>
      <c r="V615" s="21" t="s">
        <v>183</v>
      </c>
      <c r="W615" s="18" t="s">
        <v>62</v>
      </c>
      <c r="X615" s="21" t="s">
        <v>1726</v>
      </c>
      <c r="Y615" s="21" t="s">
        <v>2001</v>
      </c>
      <c r="Z615" s="20" t="s">
        <v>2002</v>
      </c>
      <c r="AA615" s="14">
        <v>7.0</v>
      </c>
      <c r="AB615" s="14">
        <v>6.0</v>
      </c>
      <c r="AC615" s="14">
        <v>1.0</v>
      </c>
      <c r="AD615" s="14">
        <v>84519.0</v>
      </c>
      <c r="AE615" s="14">
        <v>44523.0</v>
      </c>
      <c r="AF615" s="14">
        <v>39996.0</v>
      </c>
      <c r="AG615" s="22"/>
      <c r="AH615" s="22"/>
      <c r="AI615" s="22"/>
      <c r="AJ615" s="22"/>
      <c r="AK615" s="22"/>
      <c r="AL615" s="22"/>
      <c r="AM615" s="22"/>
      <c r="AN615" s="22"/>
      <c r="AO615" s="22"/>
      <c r="AP615" s="22"/>
    </row>
    <row r="616" hidden="1">
      <c r="A616" s="8">
        <v>46089.0</v>
      </c>
      <c r="B616" s="23">
        <v>0.4583333333333333</v>
      </c>
      <c r="C616" s="10" t="s">
        <v>58</v>
      </c>
      <c r="D616" s="10" t="s">
        <v>33</v>
      </c>
      <c r="E616" s="12" t="s">
        <v>106</v>
      </c>
      <c r="F616" s="12" t="s">
        <v>1773</v>
      </c>
      <c r="G616" s="12" t="s">
        <v>2003</v>
      </c>
      <c r="H616" s="102" t="s">
        <v>1991</v>
      </c>
      <c r="I616" s="57" t="s">
        <v>1992</v>
      </c>
      <c r="J616" s="14">
        <v>183070.0</v>
      </c>
      <c r="K616" s="14">
        <v>103267.0</v>
      </c>
      <c r="L616" s="15">
        <v>0.5641</v>
      </c>
      <c r="M616" s="16"/>
      <c r="N616" s="17"/>
      <c r="O616" s="18">
        <v>0.0</v>
      </c>
      <c r="P616" s="18"/>
      <c r="Q616" s="19">
        <v>0.0</v>
      </c>
      <c r="R616" s="19"/>
      <c r="S616" s="20"/>
      <c r="T616" s="20"/>
      <c r="U616" s="20"/>
      <c r="V616" s="21" t="s">
        <v>183</v>
      </c>
      <c r="W616" s="18" t="s">
        <v>62</v>
      </c>
      <c r="X616" s="106" t="s">
        <v>52</v>
      </c>
      <c r="Y616" s="100" t="s">
        <v>2004</v>
      </c>
      <c r="Z616" s="20" t="s">
        <v>2005</v>
      </c>
      <c r="AA616" s="14">
        <v>79.0</v>
      </c>
      <c r="AB616" s="14"/>
      <c r="AC616" s="14">
        <v>79.0</v>
      </c>
      <c r="AD616" s="14">
        <v>1070577.0</v>
      </c>
      <c r="AE616" s="14"/>
      <c r="AF616" s="14">
        <v>1070577.0</v>
      </c>
      <c r="AG616" s="22"/>
      <c r="AH616" s="22"/>
      <c r="AI616" s="22"/>
      <c r="AJ616" s="22"/>
      <c r="AK616" s="22"/>
      <c r="AL616" s="22"/>
      <c r="AM616" s="22"/>
      <c r="AN616" s="22"/>
      <c r="AO616" s="22"/>
      <c r="AP616" s="22"/>
    </row>
    <row r="617" hidden="1">
      <c r="A617" s="8">
        <v>46089.0</v>
      </c>
      <c r="B617" s="23">
        <v>0.4583333333333333</v>
      </c>
      <c r="C617" s="10" t="s">
        <v>58</v>
      </c>
      <c r="D617" s="10" t="s">
        <v>33</v>
      </c>
      <c r="E617" s="12" t="s">
        <v>106</v>
      </c>
      <c r="F617" s="12" t="s">
        <v>1773</v>
      </c>
      <c r="G617" s="12" t="s">
        <v>2006</v>
      </c>
      <c r="H617" s="96" t="s">
        <v>1987</v>
      </c>
      <c r="I617" s="57" t="s">
        <v>1988</v>
      </c>
      <c r="J617" s="14">
        <v>9936.0</v>
      </c>
      <c r="K617" s="14">
        <v>5973.0</v>
      </c>
      <c r="L617" s="15">
        <v>0.6011</v>
      </c>
      <c r="M617" s="16"/>
      <c r="N617" s="17"/>
      <c r="O617" s="18">
        <v>0.0</v>
      </c>
      <c r="P617" s="18"/>
      <c r="Q617" s="19">
        <v>0.0</v>
      </c>
      <c r="R617" s="19"/>
      <c r="S617" s="20"/>
      <c r="T617" s="20"/>
      <c r="U617" s="20"/>
      <c r="V617" s="21" t="s">
        <v>183</v>
      </c>
      <c r="W617" s="18" t="s">
        <v>62</v>
      </c>
      <c r="X617" s="105" t="s">
        <v>47</v>
      </c>
      <c r="Y617" s="100" t="s">
        <v>2004</v>
      </c>
      <c r="Z617" s="20" t="s">
        <v>2007</v>
      </c>
      <c r="AA617" s="14">
        <v>8.0</v>
      </c>
      <c r="AB617" s="14"/>
      <c r="AC617" s="14">
        <v>8.0</v>
      </c>
      <c r="AD617" s="14">
        <v>77792.0</v>
      </c>
      <c r="AE617" s="14"/>
      <c r="AF617" s="14">
        <v>77792.0</v>
      </c>
      <c r="AG617" s="22"/>
      <c r="AH617" s="22"/>
      <c r="AI617" s="22"/>
      <c r="AJ617" s="22"/>
      <c r="AK617" s="22"/>
      <c r="AL617" s="22"/>
      <c r="AM617" s="22"/>
      <c r="AN617" s="22"/>
      <c r="AO617" s="22"/>
      <c r="AP617" s="22"/>
    </row>
    <row r="618" hidden="1">
      <c r="A618" s="8">
        <v>46092.0</v>
      </c>
      <c r="B618" s="23">
        <v>0.4375</v>
      </c>
      <c r="C618" s="10" t="s">
        <v>32</v>
      </c>
      <c r="D618" s="10" t="s">
        <v>33</v>
      </c>
      <c r="E618" s="12" t="s">
        <v>71</v>
      </c>
      <c r="F618" s="12" t="s">
        <v>2008</v>
      </c>
      <c r="G618" s="12" t="s">
        <v>2009</v>
      </c>
      <c r="H618" s="96" t="s">
        <v>2010</v>
      </c>
      <c r="I618" s="57" t="s">
        <v>2011</v>
      </c>
      <c r="J618" s="14">
        <v>98424.0</v>
      </c>
      <c r="K618" s="14">
        <v>34212.0</v>
      </c>
      <c r="L618" s="15">
        <v>0.3476</v>
      </c>
      <c r="M618" s="16">
        <v>13208.0</v>
      </c>
      <c r="N618" s="17">
        <v>0.3861</v>
      </c>
      <c r="O618" s="18">
        <v>1446.0</v>
      </c>
      <c r="P618" s="18">
        <v>1316.0</v>
      </c>
      <c r="Q618" s="19">
        <v>0.0385</v>
      </c>
      <c r="R618" s="19">
        <v>0.0996</v>
      </c>
      <c r="S618" s="20">
        <v>9.0</v>
      </c>
      <c r="T618" s="20">
        <v>26.0</v>
      </c>
      <c r="U618" s="20">
        <v>18146.0</v>
      </c>
      <c r="V618" s="21" t="s">
        <v>335</v>
      </c>
      <c r="W618" s="18" t="s">
        <v>76</v>
      </c>
      <c r="X618" s="73" t="s">
        <v>2012</v>
      </c>
      <c r="Y618" s="66" t="s">
        <v>2013</v>
      </c>
      <c r="Z618" s="20" t="s">
        <v>2014</v>
      </c>
      <c r="AA618" s="14">
        <v>78.0</v>
      </c>
      <c r="AB618" s="14">
        <v>78.0</v>
      </c>
      <c r="AC618" s="14"/>
      <c r="AD618" s="14">
        <v>147704.0</v>
      </c>
      <c r="AE618" s="14">
        <v>147704.0</v>
      </c>
      <c r="AF618" s="14"/>
      <c r="AG618" s="22"/>
      <c r="AH618" s="22"/>
      <c r="AI618" s="22"/>
      <c r="AJ618" s="22"/>
      <c r="AK618" s="22"/>
      <c r="AL618" s="22"/>
      <c r="AM618" s="22"/>
      <c r="AN618" s="22"/>
      <c r="AO618" s="22"/>
      <c r="AP618" s="22"/>
    </row>
    <row r="619" hidden="1">
      <c r="A619" s="8">
        <v>46092.0</v>
      </c>
      <c r="B619" s="23">
        <v>0.4375</v>
      </c>
      <c r="C619" s="10" t="s">
        <v>32</v>
      </c>
      <c r="D619" s="10" t="s">
        <v>33</v>
      </c>
      <c r="E619" s="12" t="s">
        <v>71</v>
      </c>
      <c r="F619" s="12" t="s">
        <v>2008</v>
      </c>
      <c r="G619" s="12" t="s">
        <v>2015</v>
      </c>
      <c r="H619" s="96" t="s">
        <v>2016</v>
      </c>
      <c r="I619" s="57" t="s">
        <v>2017</v>
      </c>
      <c r="J619" s="14">
        <v>1238.0</v>
      </c>
      <c r="K619" s="14">
        <v>331.0</v>
      </c>
      <c r="L619" s="15">
        <v>0.2674</v>
      </c>
      <c r="M619" s="16">
        <v>149.0</v>
      </c>
      <c r="N619" s="17">
        <v>0.4502</v>
      </c>
      <c r="O619" s="18">
        <v>26.0</v>
      </c>
      <c r="P619" s="18">
        <v>25.0</v>
      </c>
      <c r="Q619" s="19">
        <v>0.0755</v>
      </c>
      <c r="R619" s="19">
        <v>0.1678</v>
      </c>
      <c r="S619" s="20">
        <v>3.0</v>
      </c>
      <c r="T619" s="20">
        <v>2.0</v>
      </c>
      <c r="U619" s="20">
        <v>2643.0</v>
      </c>
      <c r="V619" s="21" t="s">
        <v>335</v>
      </c>
      <c r="W619" s="18" t="s">
        <v>76</v>
      </c>
      <c r="X619" s="73" t="s">
        <v>82</v>
      </c>
      <c r="Y619" s="66" t="s">
        <v>2013</v>
      </c>
      <c r="Z619" s="20" t="s">
        <v>2018</v>
      </c>
      <c r="AA619" s="14">
        <v>4.0</v>
      </c>
      <c r="AB619" s="14">
        <v>4.0</v>
      </c>
      <c r="AC619" s="14"/>
      <c r="AD619" s="14">
        <v>5193.0</v>
      </c>
      <c r="AE619" s="14">
        <v>5193.0</v>
      </c>
      <c r="AF619" s="14"/>
      <c r="AG619" s="22"/>
      <c r="AH619" s="22"/>
      <c r="AI619" s="22"/>
      <c r="AJ619" s="22"/>
      <c r="AK619" s="22"/>
      <c r="AL619" s="22"/>
      <c r="AM619" s="22"/>
      <c r="AN619" s="22"/>
      <c r="AO619" s="22"/>
      <c r="AP619" s="22"/>
    </row>
    <row r="620" hidden="1">
      <c r="A620" s="8">
        <v>46092.0</v>
      </c>
      <c r="B620" s="23">
        <v>0.4375</v>
      </c>
      <c r="C620" s="10" t="s">
        <v>32</v>
      </c>
      <c r="D620" s="10" t="s">
        <v>33</v>
      </c>
      <c r="E620" s="12" t="s">
        <v>71</v>
      </c>
      <c r="F620" s="12" t="s">
        <v>2008</v>
      </c>
      <c r="G620" s="12" t="s">
        <v>2019</v>
      </c>
      <c r="H620" s="96" t="s">
        <v>2020</v>
      </c>
      <c r="I620" s="57" t="s">
        <v>2021</v>
      </c>
      <c r="J620" s="14">
        <v>218.0</v>
      </c>
      <c r="K620" s="14">
        <v>87.0</v>
      </c>
      <c r="L620" s="15">
        <v>0.3991</v>
      </c>
      <c r="M620" s="16">
        <v>45.0</v>
      </c>
      <c r="N620" s="17">
        <v>0.5172</v>
      </c>
      <c r="O620" s="18">
        <v>5.0</v>
      </c>
      <c r="P620" s="18">
        <v>3.0</v>
      </c>
      <c r="Q620" s="19">
        <v>0.0345</v>
      </c>
      <c r="R620" s="19">
        <v>0.0667</v>
      </c>
      <c r="S620" s="20">
        <v>0.0</v>
      </c>
      <c r="T620" s="20">
        <v>0.0</v>
      </c>
      <c r="U620" s="20">
        <v>0.0</v>
      </c>
      <c r="V620" s="21" t="s">
        <v>335</v>
      </c>
      <c r="W620" s="18" t="s">
        <v>76</v>
      </c>
      <c r="X620" s="73" t="s">
        <v>82</v>
      </c>
      <c r="Y620" s="66" t="s">
        <v>2013</v>
      </c>
      <c r="Z620" s="20" t="s">
        <v>2022</v>
      </c>
      <c r="AA620" s="14">
        <v>1.0</v>
      </c>
      <c r="AB620" s="14">
        <v>1.0</v>
      </c>
      <c r="AC620" s="14"/>
      <c r="AD620" s="14">
        <v>1798.0</v>
      </c>
      <c r="AE620" s="14">
        <v>1798.0</v>
      </c>
      <c r="AF620" s="14"/>
      <c r="AG620" s="22"/>
      <c r="AH620" s="22"/>
      <c r="AI620" s="22"/>
      <c r="AJ620" s="22"/>
      <c r="AK620" s="22"/>
      <c r="AL620" s="22"/>
      <c r="AM620" s="22"/>
      <c r="AN620" s="22"/>
      <c r="AO620" s="22"/>
      <c r="AP620" s="22"/>
    </row>
    <row r="621" hidden="1">
      <c r="A621" s="8">
        <v>46092.0</v>
      </c>
      <c r="B621" s="23">
        <v>0.4375</v>
      </c>
      <c r="C621" s="10" t="s">
        <v>32</v>
      </c>
      <c r="D621" s="10" t="s">
        <v>33</v>
      </c>
      <c r="E621" s="12" t="s">
        <v>71</v>
      </c>
      <c r="F621" s="12" t="s">
        <v>2008</v>
      </c>
      <c r="G621" s="12" t="s">
        <v>2023</v>
      </c>
      <c r="H621" s="96" t="s">
        <v>2024</v>
      </c>
      <c r="I621" s="57" t="s">
        <v>2025</v>
      </c>
      <c r="J621" s="14">
        <v>2102.0</v>
      </c>
      <c r="K621" s="14">
        <v>708.0</v>
      </c>
      <c r="L621" s="15">
        <v>0.3368</v>
      </c>
      <c r="M621" s="16">
        <v>344.0</v>
      </c>
      <c r="N621" s="17">
        <v>0.4859</v>
      </c>
      <c r="O621" s="18">
        <v>54.0</v>
      </c>
      <c r="P621" s="18">
        <v>49.0</v>
      </c>
      <c r="Q621" s="19">
        <v>0.0692</v>
      </c>
      <c r="R621" s="19">
        <v>0.1424</v>
      </c>
      <c r="S621" s="20">
        <v>4.0</v>
      </c>
      <c r="T621" s="20">
        <v>17.0</v>
      </c>
      <c r="U621" s="20">
        <v>5841.0</v>
      </c>
      <c r="V621" s="21" t="s">
        <v>335</v>
      </c>
      <c r="W621" s="18" t="s">
        <v>76</v>
      </c>
      <c r="X621" s="73" t="s">
        <v>2026</v>
      </c>
      <c r="Y621" s="66" t="s">
        <v>2013</v>
      </c>
      <c r="Z621" s="20" t="s">
        <v>2027</v>
      </c>
      <c r="AA621" s="14">
        <v>7.0</v>
      </c>
      <c r="AB621" s="14">
        <v>7.0</v>
      </c>
      <c r="AC621" s="14"/>
      <c r="AD621" s="14">
        <v>8491.0</v>
      </c>
      <c r="AE621" s="14">
        <v>8491.0</v>
      </c>
      <c r="AF621" s="14"/>
      <c r="AG621" s="22"/>
      <c r="AH621" s="22"/>
      <c r="AI621" s="22"/>
      <c r="AJ621" s="22"/>
      <c r="AK621" s="22"/>
      <c r="AL621" s="22"/>
      <c r="AM621" s="22"/>
      <c r="AN621" s="22"/>
      <c r="AO621" s="22"/>
      <c r="AP621" s="22"/>
    </row>
    <row r="622" hidden="1">
      <c r="A622" s="8">
        <v>46092.0</v>
      </c>
      <c r="B622" s="23">
        <v>0.4375</v>
      </c>
      <c r="C622" s="10" t="s">
        <v>32</v>
      </c>
      <c r="D622" s="10" t="s">
        <v>33</v>
      </c>
      <c r="E622" s="12" t="s">
        <v>71</v>
      </c>
      <c r="F622" s="12" t="s">
        <v>2008</v>
      </c>
      <c r="G622" s="12" t="s">
        <v>2028</v>
      </c>
      <c r="H622" s="96" t="s">
        <v>2029</v>
      </c>
      <c r="I622" s="57" t="s">
        <v>2030</v>
      </c>
      <c r="J622" s="14">
        <v>331.0</v>
      </c>
      <c r="K622" s="14">
        <v>124.0</v>
      </c>
      <c r="L622" s="15">
        <v>0.3746</v>
      </c>
      <c r="M622" s="16">
        <v>55.0</v>
      </c>
      <c r="N622" s="17">
        <v>0.4435</v>
      </c>
      <c r="O622" s="18">
        <v>12.0</v>
      </c>
      <c r="P622" s="18">
        <v>10.0</v>
      </c>
      <c r="Q622" s="19">
        <v>0.0806</v>
      </c>
      <c r="R622" s="19">
        <v>0.1818</v>
      </c>
      <c r="S622" s="20">
        <v>1.0</v>
      </c>
      <c r="T622" s="20">
        <v>3.0</v>
      </c>
      <c r="U622" s="20">
        <v>1618.0</v>
      </c>
      <c r="V622" s="21" t="s">
        <v>335</v>
      </c>
      <c r="W622" s="18" t="s">
        <v>76</v>
      </c>
      <c r="X622" s="73" t="s">
        <v>2031</v>
      </c>
      <c r="Y622" s="66" t="s">
        <v>2013</v>
      </c>
      <c r="Z622" s="20" t="s">
        <v>2032</v>
      </c>
      <c r="AA622" s="14">
        <v>2.0</v>
      </c>
      <c r="AB622" s="14">
        <v>2.0</v>
      </c>
      <c r="AC622" s="14"/>
      <c r="AD622" s="14">
        <v>4615.0</v>
      </c>
      <c r="AE622" s="14">
        <v>4615.0</v>
      </c>
      <c r="AF622" s="14"/>
      <c r="AG622" s="22"/>
      <c r="AH622" s="22"/>
      <c r="AI622" s="22"/>
      <c r="AJ622" s="22"/>
      <c r="AK622" s="22"/>
      <c r="AL622" s="22"/>
      <c r="AM622" s="22"/>
      <c r="AN622" s="22"/>
      <c r="AO622" s="22"/>
      <c r="AP622" s="22"/>
    </row>
    <row r="623" hidden="1">
      <c r="A623" s="8">
        <v>46092.0</v>
      </c>
      <c r="B623" s="23">
        <v>0.4375</v>
      </c>
      <c r="C623" s="10" t="s">
        <v>32</v>
      </c>
      <c r="D623" s="10" t="s">
        <v>33</v>
      </c>
      <c r="E623" s="12" t="s">
        <v>71</v>
      </c>
      <c r="F623" s="12" t="s">
        <v>2008</v>
      </c>
      <c r="G623" s="12" t="s">
        <v>2033</v>
      </c>
      <c r="H623" s="96" t="s">
        <v>2034</v>
      </c>
      <c r="I623" s="57" t="s">
        <v>2035</v>
      </c>
      <c r="J623" s="14">
        <v>21471.0</v>
      </c>
      <c r="K623" s="14">
        <v>8389.0</v>
      </c>
      <c r="L623" s="15">
        <v>0.3907</v>
      </c>
      <c r="M623" s="16">
        <v>3619.0</v>
      </c>
      <c r="N623" s="17">
        <v>0.4313</v>
      </c>
      <c r="O623" s="18">
        <v>474.0</v>
      </c>
      <c r="P623" s="18">
        <v>414.0</v>
      </c>
      <c r="Q623" s="19">
        <v>0.0494</v>
      </c>
      <c r="R623" s="19">
        <v>0.1144</v>
      </c>
      <c r="S623" s="20">
        <v>4.0</v>
      </c>
      <c r="T623" s="20">
        <v>9.0</v>
      </c>
      <c r="U623" s="20">
        <v>6742.0</v>
      </c>
      <c r="V623" s="21" t="s">
        <v>335</v>
      </c>
      <c r="W623" s="18" t="s">
        <v>76</v>
      </c>
      <c r="X623" s="73" t="s">
        <v>2036</v>
      </c>
      <c r="Y623" s="66" t="s">
        <v>2013</v>
      </c>
      <c r="Z623" s="20" t="s">
        <v>2037</v>
      </c>
      <c r="AA623" s="14">
        <v>36.0</v>
      </c>
      <c r="AB623" s="14">
        <v>36.0</v>
      </c>
      <c r="AC623" s="14"/>
      <c r="AD623" s="14">
        <v>71767.0</v>
      </c>
      <c r="AE623" s="14">
        <v>71767.0</v>
      </c>
      <c r="AF623" s="14"/>
      <c r="AG623" s="22"/>
      <c r="AH623" s="22"/>
      <c r="AI623" s="22"/>
      <c r="AJ623" s="22"/>
      <c r="AK623" s="22"/>
      <c r="AL623" s="22"/>
      <c r="AM623" s="22"/>
      <c r="AN623" s="22"/>
      <c r="AO623" s="22"/>
      <c r="AP623" s="22"/>
    </row>
    <row r="624" hidden="1">
      <c r="A624" s="8">
        <v>46092.0</v>
      </c>
      <c r="B624" s="23">
        <v>0.4375</v>
      </c>
      <c r="C624" s="10" t="s">
        <v>32</v>
      </c>
      <c r="D624" s="10" t="s">
        <v>33</v>
      </c>
      <c r="E624" s="12" t="s">
        <v>71</v>
      </c>
      <c r="F624" s="12" t="s">
        <v>2008</v>
      </c>
      <c r="G624" s="12" t="s">
        <v>2038</v>
      </c>
      <c r="H624" s="96" t="s">
        <v>2039</v>
      </c>
      <c r="I624" s="57" t="s">
        <v>2040</v>
      </c>
      <c r="J624" s="14">
        <v>162.0</v>
      </c>
      <c r="K624" s="14">
        <v>48.0</v>
      </c>
      <c r="L624" s="15">
        <v>0.2963</v>
      </c>
      <c r="M624" s="16">
        <v>22.0</v>
      </c>
      <c r="N624" s="17">
        <v>0.4583</v>
      </c>
      <c r="O624" s="18">
        <v>4.0</v>
      </c>
      <c r="P624" s="18">
        <v>4.0</v>
      </c>
      <c r="Q624" s="19">
        <v>0.0833</v>
      </c>
      <c r="R624" s="19">
        <v>0.1818</v>
      </c>
      <c r="S624" s="20">
        <v>0.0</v>
      </c>
      <c r="T624" s="20">
        <v>0.0</v>
      </c>
      <c r="U624" s="20">
        <v>0.0</v>
      </c>
      <c r="V624" s="21" t="s">
        <v>335</v>
      </c>
      <c r="W624" s="18" t="s">
        <v>76</v>
      </c>
      <c r="X624" s="73" t="s">
        <v>2041</v>
      </c>
      <c r="Y624" s="66" t="s">
        <v>2013</v>
      </c>
      <c r="Z624" s="20" t="s">
        <v>2042</v>
      </c>
      <c r="AA624" s="14">
        <v>0.0</v>
      </c>
      <c r="AB624" s="14">
        <v>0.0</v>
      </c>
      <c r="AC624" s="14"/>
      <c r="AD624" s="14">
        <v>0.0</v>
      </c>
      <c r="AE624" s="14">
        <v>0.0</v>
      </c>
      <c r="AF624" s="14"/>
      <c r="AG624" s="22"/>
      <c r="AH624" s="22"/>
      <c r="AI624" s="22"/>
      <c r="AJ624" s="22"/>
      <c r="AK624" s="22"/>
      <c r="AL624" s="22"/>
      <c r="AM624" s="22"/>
      <c r="AN624" s="22"/>
      <c r="AO624" s="22"/>
      <c r="AP624" s="22"/>
    </row>
    <row r="625" hidden="1">
      <c r="A625" s="8">
        <v>46092.0</v>
      </c>
      <c r="B625" s="23">
        <v>0.5208333333333334</v>
      </c>
      <c r="C625" s="10" t="s">
        <v>58</v>
      </c>
      <c r="D625" s="10" t="s">
        <v>59</v>
      </c>
      <c r="E625" s="12" t="s">
        <v>71</v>
      </c>
      <c r="F625" s="12" t="s">
        <v>2008</v>
      </c>
      <c r="G625" s="12" t="s">
        <v>2043</v>
      </c>
      <c r="H625" s="96" t="s">
        <v>2020</v>
      </c>
      <c r="I625" s="96" t="s">
        <v>2020</v>
      </c>
      <c r="J625" s="14">
        <v>129.0</v>
      </c>
      <c r="K625" s="14">
        <v>66.0</v>
      </c>
      <c r="L625" s="15">
        <v>0.5116</v>
      </c>
      <c r="M625" s="16"/>
      <c r="N625" s="17"/>
      <c r="O625" s="18">
        <v>1.0</v>
      </c>
      <c r="P625" s="18"/>
      <c r="Q625" s="19">
        <v>0.0152</v>
      </c>
      <c r="R625" s="19"/>
      <c r="S625" s="20">
        <v>0.0</v>
      </c>
      <c r="T625" s="20">
        <v>0.0</v>
      </c>
      <c r="U625" s="20">
        <v>0.0</v>
      </c>
      <c r="V625" s="21" t="s">
        <v>335</v>
      </c>
      <c r="W625" s="18" t="s">
        <v>62</v>
      </c>
      <c r="X625" s="73" t="s">
        <v>82</v>
      </c>
      <c r="Y625" s="66" t="s">
        <v>2044</v>
      </c>
      <c r="Z625" s="20" t="s">
        <v>2045</v>
      </c>
      <c r="AA625" s="14">
        <v>1.0</v>
      </c>
      <c r="AB625" s="14">
        <v>1.0</v>
      </c>
      <c r="AC625" s="14"/>
      <c r="AD625" s="14">
        <v>598.0</v>
      </c>
      <c r="AE625" s="14">
        <v>598.0</v>
      </c>
      <c r="AF625" s="14"/>
      <c r="AG625" s="22"/>
      <c r="AH625" s="22"/>
      <c r="AI625" s="22"/>
      <c r="AJ625" s="22"/>
      <c r="AK625" s="22"/>
      <c r="AL625" s="22"/>
      <c r="AM625" s="22"/>
      <c r="AN625" s="22"/>
      <c r="AO625" s="22"/>
      <c r="AP625" s="22"/>
    </row>
    <row r="626" hidden="1">
      <c r="A626" s="8">
        <v>46092.0</v>
      </c>
      <c r="B626" s="23">
        <v>0.5208333333333334</v>
      </c>
      <c r="C626" s="10" t="s">
        <v>58</v>
      </c>
      <c r="D626" s="10" t="s">
        <v>59</v>
      </c>
      <c r="E626" s="12" t="s">
        <v>71</v>
      </c>
      <c r="F626" s="12" t="s">
        <v>2008</v>
      </c>
      <c r="G626" s="12" t="s">
        <v>2046</v>
      </c>
      <c r="H626" s="96" t="s">
        <v>2010</v>
      </c>
      <c r="I626" s="57" t="s">
        <v>61</v>
      </c>
      <c r="J626" s="14">
        <v>60932.0</v>
      </c>
      <c r="K626" s="14">
        <v>39178.0</v>
      </c>
      <c r="L626" s="15">
        <v>0.643</v>
      </c>
      <c r="M626" s="16"/>
      <c r="N626" s="17"/>
      <c r="O626" s="18">
        <v>72.0</v>
      </c>
      <c r="P626" s="18"/>
      <c r="Q626" s="19">
        <v>0.0018</v>
      </c>
      <c r="R626" s="19"/>
      <c r="S626" s="20">
        <v>5.0</v>
      </c>
      <c r="T626" s="20">
        <v>12.0</v>
      </c>
      <c r="U626" s="20">
        <v>6740.0</v>
      </c>
      <c r="V626" s="21" t="s">
        <v>335</v>
      </c>
      <c r="W626" s="18" t="s">
        <v>62</v>
      </c>
      <c r="X626" s="73" t="s">
        <v>2012</v>
      </c>
      <c r="Y626" s="66" t="s">
        <v>2044</v>
      </c>
      <c r="Z626" s="20" t="s">
        <v>2047</v>
      </c>
      <c r="AA626" s="14">
        <v>96.0</v>
      </c>
      <c r="AB626" s="14">
        <v>96.0</v>
      </c>
      <c r="AC626" s="14"/>
      <c r="AD626" s="14">
        <v>222410.0</v>
      </c>
      <c r="AE626" s="14">
        <v>222410.0</v>
      </c>
      <c r="AF626" s="14"/>
      <c r="AG626" s="22"/>
      <c r="AH626" s="22"/>
      <c r="AI626" s="22"/>
      <c r="AJ626" s="22"/>
      <c r="AK626" s="22"/>
      <c r="AL626" s="22"/>
      <c r="AM626" s="22"/>
      <c r="AN626" s="22"/>
      <c r="AO626" s="22"/>
      <c r="AP626" s="22"/>
    </row>
    <row r="627" hidden="1">
      <c r="A627" s="8">
        <v>46092.0</v>
      </c>
      <c r="B627" s="23">
        <v>0.5208333333333334</v>
      </c>
      <c r="C627" s="10" t="s">
        <v>58</v>
      </c>
      <c r="D627" s="10" t="s">
        <v>59</v>
      </c>
      <c r="E627" s="12" t="s">
        <v>71</v>
      </c>
      <c r="F627" s="12" t="s">
        <v>2008</v>
      </c>
      <c r="G627" s="12" t="s">
        <v>2048</v>
      </c>
      <c r="H627" s="96" t="s">
        <v>2016</v>
      </c>
      <c r="I627" s="57" t="s">
        <v>61</v>
      </c>
      <c r="J627" s="14">
        <v>886.0</v>
      </c>
      <c r="K627" s="14">
        <v>419.0</v>
      </c>
      <c r="L627" s="15">
        <v>0.4729</v>
      </c>
      <c r="M627" s="16"/>
      <c r="N627" s="17"/>
      <c r="O627" s="18">
        <v>4.0</v>
      </c>
      <c r="P627" s="18"/>
      <c r="Q627" s="19">
        <v>0.0095</v>
      </c>
      <c r="R627" s="19"/>
      <c r="S627" s="20">
        <v>1.0</v>
      </c>
      <c r="T627" s="20">
        <v>1.0</v>
      </c>
      <c r="U627" s="20">
        <v>2997.0</v>
      </c>
      <c r="V627" s="21" t="s">
        <v>335</v>
      </c>
      <c r="W627" s="18" t="s">
        <v>62</v>
      </c>
      <c r="X627" s="73" t="s">
        <v>82</v>
      </c>
      <c r="Y627" s="66" t="s">
        <v>2044</v>
      </c>
      <c r="Z627" s="20" t="s">
        <v>2049</v>
      </c>
      <c r="AA627" s="14">
        <v>21.0</v>
      </c>
      <c r="AB627" s="14">
        <v>21.0</v>
      </c>
      <c r="AC627" s="14"/>
      <c r="AD627" s="14">
        <v>56633.0</v>
      </c>
      <c r="AE627" s="14">
        <v>56633.0</v>
      </c>
      <c r="AF627" s="14"/>
      <c r="AG627" s="22"/>
      <c r="AH627" s="22"/>
      <c r="AI627" s="22"/>
      <c r="AJ627" s="22"/>
      <c r="AK627" s="22"/>
      <c r="AL627" s="22"/>
      <c r="AM627" s="22"/>
      <c r="AN627" s="22"/>
      <c r="AO627" s="22"/>
      <c r="AP627" s="22"/>
    </row>
    <row r="628" hidden="1">
      <c r="A628" s="8">
        <v>46092.0</v>
      </c>
      <c r="B628" s="23">
        <v>0.5208333333333334</v>
      </c>
      <c r="C628" s="10" t="s">
        <v>58</v>
      </c>
      <c r="D628" s="10" t="s">
        <v>59</v>
      </c>
      <c r="E628" s="12" t="s">
        <v>71</v>
      </c>
      <c r="F628" s="12" t="s">
        <v>2008</v>
      </c>
      <c r="G628" s="12" t="s">
        <v>2050</v>
      </c>
      <c r="H628" s="96" t="s">
        <v>2024</v>
      </c>
      <c r="I628" s="57" t="s">
        <v>61</v>
      </c>
      <c r="J628" s="14">
        <v>1373.0</v>
      </c>
      <c r="K628" s="14">
        <v>989.0</v>
      </c>
      <c r="L628" s="15">
        <v>0.7203</v>
      </c>
      <c r="M628" s="16"/>
      <c r="N628" s="17"/>
      <c r="O628" s="18">
        <v>8.0</v>
      </c>
      <c r="P628" s="18"/>
      <c r="Q628" s="19">
        <v>0.0081</v>
      </c>
      <c r="R628" s="19"/>
      <c r="S628" s="20">
        <v>0.0</v>
      </c>
      <c r="T628" s="20">
        <v>11.0</v>
      </c>
      <c r="U628" s="20">
        <v>0.0</v>
      </c>
      <c r="V628" s="21" t="s">
        <v>335</v>
      </c>
      <c r="W628" s="18" t="s">
        <v>62</v>
      </c>
      <c r="X628" s="73" t="s">
        <v>2026</v>
      </c>
      <c r="Y628" s="66" t="s">
        <v>2044</v>
      </c>
      <c r="Z628" s="20" t="s">
        <v>2051</v>
      </c>
      <c r="AA628" s="14">
        <v>5.0</v>
      </c>
      <c r="AB628" s="14">
        <v>5.0</v>
      </c>
      <c r="AC628" s="14"/>
      <c r="AD628" s="14">
        <v>2306.33</v>
      </c>
      <c r="AE628" s="14">
        <v>2306.33</v>
      </c>
      <c r="AF628" s="14"/>
      <c r="AG628" s="22"/>
      <c r="AH628" s="22"/>
      <c r="AI628" s="22"/>
      <c r="AJ628" s="22"/>
      <c r="AK628" s="22"/>
      <c r="AL628" s="22"/>
      <c r="AM628" s="22"/>
      <c r="AN628" s="22"/>
      <c r="AO628" s="22"/>
      <c r="AP628" s="22"/>
    </row>
    <row r="629" hidden="1">
      <c r="A629" s="8">
        <v>46092.0</v>
      </c>
      <c r="B629" s="23">
        <v>0.5208333333333334</v>
      </c>
      <c r="C629" s="10" t="s">
        <v>58</v>
      </c>
      <c r="D629" s="10" t="s">
        <v>59</v>
      </c>
      <c r="E629" s="12" t="s">
        <v>71</v>
      </c>
      <c r="F629" s="12" t="s">
        <v>2008</v>
      </c>
      <c r="G629" s="12" t="s">
        <v>2052</v>
      </c>
      <c r="H629" s="96" t="s">
        <v>2029</v>
      </c>
      <c r="I629" s="57" t="s">
        <v>61</v>
      </c>
      <c r="J629" s="14">
        <v>204.0</v>
      </c>
      <c r="K629" s="14">
        <v>142.0</v>
      </c>
      <c r="L629" s="15">
        <v>0.6961</v>
      </c>
      <c r="M629" s="16"/>
      <c r="N629" s="17"/>
      <c r="O629" s="18">
        <v>1.0</v>
      </c>
      <c r="P629" s="18"/>
      <c r="Q629" s="19">
        <v>0.007</v>
      </c>
      <c r="R629" s="19"/>
      <c r="S629" s="20">
        <v>0.0</v>
      </c>
      <c r="T629" s="20">
        <v>2.0</v>
      </c>
      <c r="U629" s="20">
        <v>0.0</v>
      </c>
      <c r="V629" s="21" t="s">
        <v>335</v>
      </c>
      <c r="W629" s="18" t="s">
        <v>62</v>
      </c>
      <c r="X629" s="73" t="s">
        <v>2031</v>
      </c>
      <c r="Y629" s="66" t="s">
        <v>2044</v>
      </c>
      <c r="Z629" s="20" t="s">
        <v>2053</v>
      </c>
      <c r="AA629" s="14">
        <v>3.0</v>
      </c>
      <c r="AB629" s="14">
        <v>3.0</v>
      </c>
      <c r="AC629" s="14"/>
      <c r="AD629" s="14">
        <v>6393.0</v>
      </c>
      <c r="AE629" s="14">
        <v>6393.0</v>
      </c>
      <c r="AF629" s="14"/>
      <c r="AG629" s="22"/>
      <c r="AH629" s="22"/>
      <c r="AI629" s="22"/>
      <c r="AJ629" s="22"/>
      <c r="AK629" s="22"/>
      <c r="AL629" s="22"/>
      <c r="AM629" s="22"/>
      <c r="AN629" s="22"/>
      <c r="AO629" s="22"/>
      <c r="AP629" s="22"/>
    </row>
    <row r="630" hidden="1">
      <c r="A630" s="8">
        <v>46092.0</v>
      </c>
      <c r="B630" s="23">
        <v>0.5208333333333334</v>
      </c>
      <c r="C630" s="10" t="s">
        <v>58</v>
      </c>
      <c r="D630" s="10" t="s">
        <v>59</v>
      </c>
      <c r="E630" s="12" t="s">
        <v>71</v>
      </c>
      <c r="F630" s="12" t="s">
        <v>2008</v>
      </c>
      <c r="G630" s="12" t="s">
        <v>2054</v>
      </c>
      <c r="H630" s="96" t="s">
        <v>2034</v>
      </c>
      <c r="I630" s="57" t="s">
        <v>61</v>
      </c>
      <c r="J630" s="14">
        <v>12693.0</v>
      </c>
      <c r="K630" s="14">
        <v>8027.0</v>
      </c>
      <c r="L630" s="15">
        <v>0.6324</v>
      </c>
      <c r="M630" s="16"/>
      <c r="N630" s="17"/>
      <c r="O630" s="18">
        <v>42.0</v>
      </c>
      <c r="P630" s="18"/>
      <c r="Q630" s="19">
        <v>0.0052</v>
      </c>
      <c r="R630" s="19"/>
      <c r="S630" s="20">
        <v>1.0</v>
      </c>
      <c r="T630" s="20">
        <v>5.0</v>
      </c>
      <c r="U630" s="20">
        <v>1998.0</v>
      </c>
      <c r="V630" s="21" t="s">
        <v>335</v>
      </c>
      <c r="W630" s="18" t="s">
        <v>62</v>
      </c>
      <c r="X630" s="73" t="s">
        <v>2036</v>
      </c>
      <c r="Y630" s="66" t="s">
        <v>2044</v>
      </c>
      <c r="Z630" s="20" t="s">
        <v>2055</v>
      </c>
      <c r="AA630" s="14">
        <v>67.0</v>
      </c>
      <c r="AB630" s="14">
        <v>67.0</v>
      </c>
      <c r="AC630" s="14"/>
      <c r="AD630" s="14">
        <v>133868.0</v>
      </c>
      <c r="AE630" s="14">
        <v>133868.0</v>
      </c>
      <c r="AF630" s="14"/>
      <c r="AG630" s="22"/>
      <c r="AH630" s="22"/>
      <c r="AI630" s="22"/>
      <c r="AJ630" s="22"/>
      <c r="AK630" s="22"/>
      <c r="AL630" s="22"/>
      <c r="AM630" s="22"/>
      <c r="AN630" s="22"/>
      <c r="AO630" s="22"/>
      <c r="AP630" s="22"/>
    </row>
    <row r="631" hidden="1">
      <c r="A631" s="8">
        <v>46092.0</v>
      </c>
      <c r="B631" s="23">
        <v>0.5208333333333334</v>
      </c>
      <c r="C631" s="10" t="s">
        <v>58</v>
      </c>
      <c r="D631" s="10" t="s">
        <v>59</v>
      </c>
      <c r="E631" s="12" t="s">
        <v>71</v>
      </c>
      <c r="F631" s="12" t="s">
        <v>2008</v>
      </c>
      <c r="G631" s="12" t="s">
        <v>2056</v>
      </c>
      <c r="H631" s="102" t="s">
        <v>2039</v>
      </c>
      <c r="I631" s="57" t="s">
        <v>61</v>
      </c>
      <c r="J631" s="14">
        <v>111.0</v>
      </c>
      <c r="K631" s="14">
        <v>44.0</v>
      </c>
      <c r="L631" s="15">
        <v>0.3964</v>
      </c>
      <c r="M631" s="16"/>
      <c r="N631" s="17"/>
      <c r="O631" s="18">
        <v>0.0</v>
      </c>
      <c r="P631" s="18"/>
      <c r="Q631" s="19">
        <v>0.0</v>
      </c>
      <c r="R631" s="19"/>
      <c r="S631" s="20">
        <v>0.0</v>
      </c>
      <c r="T631" s="20">
        <v>0.0</v>
      </c>
      <c r="U631" s="20">
        <v>0.0</v>
      </c>
      <c r="V631" s="21" t="s">
        <v>335</v>
      </c>
      <c r="W631" s="18" t="s">
        <v>62</v>
      </c>
      <c r="X631" s="66" t="s">
        <v>2041</v>
      </c>
      <c r="Y631" s="66" t="s">
        <v>2044</v>
      </c>
      <c r="Z631" s="20" t="s">
        <v>2057</v>
      </c>
      <c r="AA631" s="14">
        <v>0.0</v>
      </c>
      <c r="AB631" s="14">
        <v>0.0</v>
      </c>
      <c r="AC631" s="14"/>
      <c r="AD631" s="14">
        <v>0.0</v>
      </c>
      <c r="AE631" s="14">
        <v>0.0</v>
      </c>
      <c r="AF631" s="14"/>
      <c r="AG631" s="22"/>
      <c r="AH631" s="22"/>
      <c r="AI631" s="22"/>
      <c r="AJ631" s="22"/>
      <c r="AK631" s="22"/>
      <c r="AL631" s="22"/>
      <c r="AM631" s="22"/>
      <c r="AN631" s="22"/>
      <c r="AO631" s="22"/>
      <c r="AP631" s="22"/>
    </row>
    <row r="632" hidden="1">
      <c r="A632" s="8">
        <v>46093.0</v>
      </c>
      <c r="B632" s="23">
        <v>0.7708333333333334</v>
      </c>
      <c r="C632" s="10" t="s">
        <v>32</v>
      </c>
      <c r="D632" s="10" t="s">
        <v>33</v>
      </c>
      <c r="E632" s="12" t="s">
        <v>71</v>
      </c>
      <c r="F632" s="12" t="s">
        <v>2058</v>
      </c>
      <c r="G632" s="12" t="s">
        <v>2059</v>
      </c>
      <c r="H632" s="96" t="s">
        <v>2060</v>
      </c>
      <c r="I632" s="57" t="s">
        <v>2061</v>
      </c>
      <c r="J632" s="14">
        <v>10064.0</v>
      </c>
      <c r="K632" s="14">
        <v>2179.0</v>
      </c>
      <c r="L632" s="15">
        <v>0.2165</v>
      </c>
      <c r="M632" s="16">
        <v>1070.0</v>
      </c>
      <c r="N632" s="17">
        <v>0.4911</v>
      </c>
      <c r="O632" s="18">
        <v>143.0</v>
      </c>
      <c r="P632" s="18">
        <v>118.0</v>
      </c>
      <c r="Q632" s="19">
        <v>0.0542</v>
      </c>
      <c r="R632" s="19">
        <v>0.1103</v>
      </c>
      <c r="S632" s="20">
        <v>4.0</v>
      </c>
      <c r="T632" s="20">
        <v>7.0</v>
      </c>
      <c r="U632" s="20">
        <v>7600.0</v>
      </c>
      <c r="V632" s="21" t="s">
        <v>335</v>
      </c>
      <c r="W632" s="18" t="s">
        <v>76</v>
      </c>
      <c r="X632" s="73" t="s">
        <v>2062</v>
      </c>
      <c r="Y632" s="66" t="s">
        <v>2063</v>
      </c>
      <c r="Z632" s="20" t="s">
        <v>2064</v>
      </c>
      <c r="AA632" s="14">
        <v>36.0</v>
      </c>
      <c r="AB632" s="14">
        <v>36.0</v>
      </c>
      <c r="AC632" s="14"/>
      <c r="AD632" s="14">
        <v>89930.0</v>
      </c>
      <c r="AE632" s="14">
        <v>89930.0</v>
      </c>
      <c r="AF632" s="14"/>
      <c r="AG632" s="22"/>
      <c r="AH632" s="22"/>
      <c r="AI632" s="22"/>
      <c r="AJ632" s="22"/>
      <c r="AK632" s="22"/>
      <c r="AL632" s="22"/>
      <c r="AM632" s="22"/>
      <c r="AN632" s="22"/>
      <c r="AO632" s="22"/>
      <c r="AP632" s="22"/>
    </row>
    <row r="633" hidden="1">
      <c r="A633" s="8">
        <v>46093.0</v>
      </c>
      <c r="B633" s="23">
        <v>0.7708333333333334</v>
      </c>
      <c r="C633" s="10" t="s">
        <v>32</v>
      </c>
      <c r="D633" s="10" t="s">
        <v>33</v>
      </c>
      <c r="E633" s="12" t="s">
        <v>71</v>
      </c>
      <c r="F633" s="12" t="s">
        <v>2058</v>
      </c>
      <c r="G633" s="12" t="s">
        <v>2065</v>
      </c>
      <c r="H633" s="96" t="s">
        <v>2066</v>
      </c>
      <c r="I633" s="57" t="s">
        <v>2067</v>
      </c>
      <c r="J633" s="14">
        <v>46599.0</v>
      </c>
      <c r="K633" s="14">
        <v>9503.0</v>
      </c>
      <c r="L633" s="15">
        <v>0.2039</v>
      </c>
      <c r="M633" s="16">
        <v>4072.0</v>
      </c>
      <c r="N633" s="17">
        <v>0.4282</v>
      </c>
      <c r="O633" s="18">
        <v>426.0</v>
      </c>
      <c r="P633" s="18">
        <v>379.0</v>
      </c>
      <c r="Q633" s="19">
        <v>0.0399</v>
      </c>
      <c r="R633" s="19">
        <v>0.0931</v>
      </c>
      <c r="S633" s="20">
        <v>4.0</v>
      </c>
      <c r="T633" s="20">
        <v>7.0</v>
      </c>
      <c r="U633" s="20">
        <v>13316.0</v>
      </c>
      <c r="V633" s="21" t="s">
        <v>335</v>
      </c>
      <c r="W633" s="18" t="s">
        <v>76</v>
      </c>
      <c r="X633" s="73" t="s">
        <v>41</v>
      </c>
      <c r="Y633" s="66" t="s">
        <v>2063</v>
      </c>
      <c r="Z633" s="20" t="s">
        <v>2068</v>
      </c>
      <c r="AA633" s="14">
        <v>22.0</v>
      </c>
      <c r="AB633" s="14">
        <v>22.0</v>
      </c>
      <c r="AC633" s="14"/>
      <c r="AD633" s="14">
        <v>66660.0</v>
      </c>
      <c r="AE633" s="14">
        <v>66660.0</v>
      </c>
      <c r="AF633" s="14"/>
      <c r="AG633" s="22"/>
      <c r="AH633" s="22"/>
      <c r="AI633" s="22"/>
      <c r="AJ633" s="22"/>
      <c r="AK633" s="22"/>
      <c r="AL633" s="22"/>
      <c r="AM633" s="22"/>
      <c r="AN633" s="22"/>
      <c r="AO633" s="22"/>
      <c r="AP633" s="22"/>
    </row>
    <row r="634" hidden="1">
      <c r="A634" s="8">
        <v>46093.0</v>
      </c>
      <c r="B634" s="23">
        <v>0.7708333333333334</v>
      </c>
      <c r="C634" s="10" t="s">
        <v>32</v>
      </c>
      <c r="D634" s="10" t="s">
        <v>33</v>
      </c>
      <c r="E634" s="12" t="s">
        <v>71</v>
      </c>
      <c r="F634" s="12" t="s">
        <v>2058</v>
      </c>
      <c r="G634" s="12" t="s">
        <v>2069</v>
      </c>
      <c r="H634" s="96" t="s">
        <v>2070</v>
      </c>
      <c r="I634" s="57" t="s">
        <v>2071</v>
      </c>
      <c r="J634" s="14">
        <v>962.0</v>
      </c>
      <c r="K634" s="14">
        <v>220.0</v>
      </c>
      <c r="L634" s="15">
        <v>0.2287</v>
      </c>
      <c r="M634" s="16">
        <v>91.0</v>
      </c>
      <c r="N634" s="17">
        <v>0.4136</v>
      </c>
      <c r="O634" s="18">
        <v>14.0</v>
      </c>
      <c r="P634" s="18">
        <v>8.0</v>
      </c>
      <c r="Q634" s="19">
        <v>0.0364</v>
      </c>
      <c r="R634" s="19">
        <v>0.0879</v>
      </c>
      <c r="S634" s="20">
        <v>0.0</v>
      </c>
      <c r="T634" s="20">
        <v>1.0</v>
      </c>
      <c r="U634" s="20">
        <v>0.0</v>
      </c>
      <c r="V634" s="21" t="s">
        <v>335</v>
      </c>
      <c r="W634" s="18" t="s">
        <v>76</v>
      </c>
      <c r="X634" s="73" t="s">
        <v>52</v>
      </c>
      <c r="Y634" s="66" t="s">
        <v>2063</v>
      </c>
      <c r="Z634" s="20" t="s">
        <v>2072</v>
      </c>
      <c r="AA634" s="14">
        <v>3.0</v>
      </c>
      <c r="AB634" s="14">
        <v>3.0</v>
      </c>
      <c r="AC634" s="14"/>
      <c r="AD634" s="14">
        <v>6293.0</v>
      </c>
      <c r="AE634" s="14">
        <v>6293.0</v>
      </c>
      <c r="AF634" s="14"/>
      <c r="AG634" s="22"/>
      <c r="AH634" s="22"/>
      <c r="AI634" s="22"/>
      <c r="AJ634" s="22"/>
      <c r="AK634" s="22"/>
      <c r="AL634" s="22"/>
      <c r="AM634" s="22"/>
      <c r="AN634" s="22"/>
      <c r="AO634" s="22"/>
      <c r="AP634" s="22"/>
    </row>
    <row r="635" hidden="1">
      <c r="A635" s="8">
        <v>46093.0</v>
      </c>
      <c r="B635" s="23">
        <v>0.8125</v>
      </c>
      <c r="C635" s="10" t="s">
        <v>58</v>
      </c>
      <c r="D635" s="10" t="s">
        <v>59</v>
      </c>
      <c r="E635" s="12" t="s">
        <v>71</v>
      </c>
      <c r="F635" s="12" t="s">
        <v>2058</v>
      </c>
      <c r="G635" s="12" t="s">
        <v>2073</v>
      </c>
      <c r="H635" s="96" t="s">
        <v>2070</v>
      </c>
      <c r="I635" s="57" t="s">
        <v>61</v>
      </c>
      <c r="J635" s="14">
        <v>723.0</v>
      </c>
      <c r="K635" s="14">
        <v>399.0</v>
      </c>
      <c r="L635" s="15">
        <v>0.5519</v>
      </c>
      <c r="M635" s="16"/>
      <c r="N635" s="17"/>
      <c r="O635" s="18">
        <v>0.0</v>
      </c>
      <c r="P635" s="18"/>
      <c r="Q635" s="19">
        <v>0.0</v>
      </c>
      <c r="R635" s="19"/>
      <c r="S635" s="20">
        <v>0.0</v>
      </c>
      <c r="T635" s="20">
        <v>1.0</v>
      </c>
      <c r="U635" s="20">
        <v>0.0</v>
      </c>
      <c r="V635" s="21" t="s">
        <v>335</v>
      </c>
      <c r="W635" s="18" t="s">
        <v>62</v>
      </c>
      <c r="X635" s="73" t="s">
        <v>52</v>
      </c>
      <c r="Y635" s="66" t="s">
        <v>2074</v>
      </c>
      <c r="Z635" s="20" t="s">
        <v>2075</v>
      </c>
      <c r="AA635" s="14">
        <v>0.0</v>
      </c>
      <c r="AB635" s="14">
        <v>0.0</v>
      </c>
      <c r="AC635" s="14"/>
      <c r="AD635" s="14">
        <v>0.0</v>
      </c>
      <c r="AE635" s="14">
        <v>0.0</v>
      </c>
      <c r="AF635" s="14"/>
      <c r="AG635" s="22"/>
      <c r="AH635" s="22"/>
      <c r="AI635" s="22"/>
      <c r="AJ635" s="22"/>
      <c r="AK635" s="22"/>
      <c r="AL635" s="22"/>
      <c r="AM635" s="22"/>
      <c r="AN635" s="22"/>
      <c r="AO635" s="22"/>
      <c r="AP635" s="22"/>
    </row>
    <row r="636" hidden="1">
      <c r="A636" s="8">
        <v>46093.0</v>
      </c>
      <c r="B636" s="23">
        <v>0.8125</v>
      </c>
      <c r="C636" s="10" t="s">
        <v>58</v>
      </c>
      <c r="D636" s="10" t="s">
        <v>59</v>
      </c>
      <c r="E636" s="12" t="s">
        <v>71</v>
      </c>
      <c r="F636" s="12" t="s">
        <v>2058</v>
      </c>
      <c r="G636" s="12" t="s">
        <v>2076</v>
      </c>
      <c r="H636" s="96" t="s">
        <v>2066</v>
      </c>
      <c r="I636" s="57" t="s">
        <v>61</v>
      </c>
      <c r="J636" s="14">
        <v>35719.0</v>
      </c>
      <c r="K636" s="14">
        <v>20252.0</v>
      </c>
      <c r="L636" s="15">
        <v>0.567</v>
      </c>
      <c r="M636" s="16"/>
      <c r="N636" s="17"/>
      <c r="O636" s="18">
        <v>48.0</v>
      </c>
      <c r="P636" s="18"/>
      <c r="Q636" s="19">
        <v>0.0024</v>
      </c>
      <c r="R636" s="19"/>
      <c r="S636" s="20">
        <v>7.0</v>
      </c>
      <c r="T636" s="20">
        <v>9.0</v>
      </c>
      <c r="U636" s="20">
        <v>26057.0</v>
      </c>
      <c r="V636" s="21" t="s">
        <v>335</v>
      </c>
      <c r="W636" s="18" t="s">
        <v>62</v>
      </c>
      <c r="X636" s="73" t="s">
        <v>41</v>
      </c>
      <c r="Y636" s="66" t="s">
        <v>2074</v>
      </c>
      <c r="Z636" s="20" t="s">
        <v>2077</v>
      </c>
      <c r="AA636" s="14">
        <v>12.0</v>
      </c>
      <c r="AB636" s="14">
        <v>12.0</v>
      </c>
      <c r="AC636" s="14"/>
      <c r="AD636" s="14">
        <v>25102.0</v>
      </c>
      <c r="AE636" s="14">
        <v>25102.0</v>
      </c>
      <c r="AF636" s="14"/>
      <c r="AG636" s="22"/>
      <c r="AH636" s="22"/>
      <c r="AI636" s="22"/>
      <c r="AJ636" s="22"/>
      <c r="AK636" s="22"/>
      <c r="AL636" s="22"/>
      <c r="AM636" s="22"/>
      <c r="AN636" s="22"/>
      <c r="AO636" s="22"/>
      <c r="AP636" s="22"/>
    </row>
    <row r="637" hidden="1">
      <c r="A637" s="8">
        <v>46093.0</v>
      </c>
      <c r="B637" s="23">
        <v>0.8125</v>
      </c>
      <c r="C637" s="10" t="s">
        <v>58</v>
      </c>
      <c r="D637" s="10" t="s">
        <v>59</v>
      </c>
      <c r="E637" s="12" t="s">
        <v>71</v>
      </c>
      <c r="F637" s="12" t="s">
        <v>2058</v>
      </c>
      <c r="G637" s="12" t="s">
        <v>2078</v>
      </c>
      <c r="H637" s="96" t="s">
        <v>2060</v>
      </c>
      <c r="I637" s="57" t="s">
        <v>61</v>
      </c>
      <c r="J637" s="14">
        <v>7693.0</v>
      </c>
      <c r="K637" s="14">
        <v>4217.0</v>
      </c>
      <c r="L637" s="15">
        <v>0.5482</v>
      </c>
      <c r="M637" s="16"/>
      <c r="N637" s="17"/>
      <c r="O637" s="18">
        <v>13.0</v>
      </c>
      <c r="P637" s="18"/>
      <c r="Q637" s="19">
        <v>0.0031</v>
      </c>
      <c r="R637" s="19"/>
      <c r="S637" s="20">
        <v>7.0</v>
      </c>
      <c r="T637" s="20">
        <v>6.0</v>
      </c>
      <c r="U637" s="20">
        <v>16361.0</v>
      </c>
      <c r="V637" s="21" t="s">
        <v>335</v>
      </c>
      <c r="W637" s="18" t="s">
        <v>62</v>
      </c>
      <c r="X637" s="73" t="s">
        <v>2062</v>
      </c>
      <c r="Y637" s="66" t="s">
        <v>2074</v>
      </c>
      <c r="Z637" s="20" t="s">
        <v>2079</v>
      </c>
      <c r="AA637" s="14">
        <v>12.0</v>
      </c>
      <c r="AB637" s="14">
        <v>12.0</v>
      </c>
      <c r="AC637" s="14"/>
      <c r="AD637" s="14">
        <v>26071.0</v>
      </c>
      <c r="AE637" s="14">
        <v>26071.0</v>
      </c>
      <c r="AF637" s="14"/>
      <c r="AG637" s="22"/>
      <c r="AH637" s="22"/>
      <c r="AI637" s="22"/>
      <c r="AJ637" s="22"/>
      <c r="AK637" s="22"/>
      <c r="AL637" s="22"/>
      <c r="AM637" s="22"/>
      <c r="AN637" s="22"/>
      <c r="AO637" s="22"/>
      <c r="AP637" s="22"/>
    </row>
    <row r="638" hidden="1">
      <c r="A638" s="8">
        <v>46094.0</v>
      </c>
      <c r="B638" s="23">
        <v>46094.666666666664</v>
      </c>
      <c r="C638" s="8" t="s">
        <v>196</v>
      </c>
      <c r="D638" s="10" t="s">
        <v>33</v>
      </c>
      <c r="E638" s="12" t="s">
        <v>217</v>
      </c>
      <c r="F638" s="102" t="s">
        <v>2080</v>
      </c>
      <c r="G638" s="8" t="s">
        <v>2081</v>
      </c>
      <c r="H638" s="8" t="s">
        <v>2082</v>
      </c>
      <c r="I638" s="57" t="s">
        <v>2083</v>
      </c>
      <c r="J638" s="14">
        <v>171233.0</v>
      </c>
      <c r="K638" s="14">
        <v>77644.0</v>
      </c>
      <c r="L638" s="15">
        <v>0.4534</v>
      </c>
      <c r="M638" s="18"/>
      <c r="N638" s="18"/>
      <c r="O638" s="18">
        <v>0.0</v>
      </c>
      <c r="P638" s="18"/>
      <c r="Q638" s="19">
        <v>0.0</v>
      </c>
      <c r="R638" s="21"/>
      <c r="S638" s="21"/>
      <c r="T638" s="21"/>
      <c r="U638" s="21"/>
      <c r="V638" s="21" t="s">
        <v>315</v>
      </c>
      <c r="W638" s="21" t="s">
        <v>95</v>
      </c>
      <c r="X638" s="66" t="s">
        <v>87</v>
      </c>
      <c r="Y638" s="73" t="s">
        <v>2084</v>
      </c>
      <c r="Z638" s="21" t="s">
        <v>2085</v>
      </c>
      <c r="AA638" s="88">
        <v>304.0</v>
      </c>
      <c r="AB638" s="21"/>
      <c r="AC638" s="88">
        <v>304.0</v>
      </c>
      <c r="AD638" s="89">
        <v>790532.0</v>
      </c>
      <c r="AE638" s="88"/>
      <c r="AF638" s="88">
        <v>790532.0</v>
      </c>
      <c r="AG638" s="22"/>
      <c r="AH638" s="22"/>
      <c r="AI638" s="22"/>
      <c r="AJ638" s="22"/>
      <c r="AK638" s="22"/>
      <c r="AL638" s="22"/>
      <c r="AM638" s="22"/>
      <c r="AN638" s="22"/>
      <c r="AO638" s="22"/>
      <c r="AP638" s="22"/>
    </row>
    <row r="639" hidden="1">
      <c r="A639" s="8">
        <v>46094.0</v>
      </c>
      <c r="B639" s="23">
        <v>46094.666666666664</v>
      </c>
      <c r="C639" s="10" t="s">
        <v>196</v>
      </c>
      <c r="D639" s="10" t="s">
        <v>33</v>
      </c>
      <c r="E639" s="12" t="s">
        <v>217</v>
      </c>
      <c r="F639" s="12" t="s">
        <v>2080</v>
      </c>
      <c r="G639" s="12" t="s">
        <v>2086</v>
      </c>
      <c r="H639" s="96" t="s">
        <v>2087</v>
      </c>
      <c r="I639" s="57" t="s">
        <v>2088</v>
      </c>
      <c r="J639" s="14">
        <v>144365.0</v>
      </c>
      <c r="K639" s="14">
        <v>64014.0</v>
      </c>
      <c r="L639" s="15">
        <v>0.4434</v>
      </c>
      <c r="M639" s="16"/>
      <c r="N639" s="17"/>
      <c r="O639" s="18">
        <v>0.0</v>
      </c>
      <c r="P639" s="18"/>
      <c r="Q639" s="19">
        <v>0.0</v>
      </c>
      <c r="R639" s="19"/>
      <c r="S639" s="20"/>
      <c r="T639" s="20"/>
      <c r="U639" s="20"/>
      <c r="V639" s="21" t="s">
        <v>315</v>
      </c>
      <c r="W639" s="18" t="s">
        <v>95</v>
      </c>
      <c r="X639" s="101"/>
      <c r="Y639" s="73" t="s">
        <v>2084</v>
      </c>
      <c r="Z639" s="20" t="s">
        <v>2089</v>
      </c>
      <c r="AA639" s="88">
        <v>156.0</v>
      </c>
      <c r="AB639" s="21"/>
      <c r="AC639" s="88">
        <v>156.0</v>
      </c>
      <c r="AD639" s="89">
        <v>343698.0</v>
      </c>
      <c r="AE639" s="88"/>
      <c r="AF639" s="88">
        <v>343698.0</v>
      </c>
      <c r="AG639" s="22"/>
      <c r="AH639" s="22"/>
      <c r="AI639" s="22"/>
      <c r="AJ639" s="22"/>
      <c r="AK639" s="22"/>
      <c r="AL639" s="22"/>
      <c r="AM639" s="22"/>
      <c r="AN639" s="22"/>
      <c r="AO639" s="22"/>
      <c r="AP639" s="22"/>
    </row>
    <row r="640" hidden="1">
      <c r="A640" s="8">
        <v>46094.0</v>
      </c>
      <c r="B640" s="23">
        <v>46094.666666666664</v>
      </c>
      <c r="C640" s="10" t="s">
        <v>196</v>
      </c>
      <c r="D640" s="10" t="s">
        <v>33</v>
      </c>
      <c r="E640" s="12" t="s">
        <v>217</v>
      </c>
      <c r="F640" s="12" t="s">
        <v>2090</v>
      </c>
      <c r="G640" s="12" t="s">
        <v>2091</v>
      </c>
      <c r="H640" s="96" t="s">
        <v>2092</v>
      </c>
      <c r="I640" s="57" t="s">
        <v>2093</v>
      </c>
      <c r="J640" s="14">
        <v>84744.0</v>
      </c>
      <c r="K640" s="14">
        <v>39619.0</v>
      </c>
      <c r="L640" s="15">
        <v>0.4675</v>
      </c>
      <c r="M640" s="16"/>
      <c r="N640" s="17"/>
      <c r="O640" s="18">
        <v>0.0</v>
      </c>
      <c r="P640" s="18"/>
      <c r="Q640" s="19">
        <v>0.0</v>
      </c>
      <c r="R640" s="19"/>
      <c r="S640" s="20"/>
      <c r="T640" s="20"/>
      <c r="U640" s="20"/>
      <c r="V640" s="21" t="s">
        <v>315</v>
      </c>
      <c r="W640" s="18" t="s">
        <v>95</v>
      </c>
      <c r="X640" s="73" t="s">
        <v>87</v>
      </c>
      <c r="Y640" s="73" t="s">
        <v>2084</v>
      </c>
      <c r="Z640" s="20" t="s">
        <v>2094</v>
      </c>
      <c r="AA640" s="88">
        <v>158.0</v>
      </c>
      <c r="AB640" s="21"/>
      <c r="AC640" s="88">
        <v>158.0</v>
      </c>
      <c r="AD640" s="89">
        <v>382311.0</v>
      </c>
      <c r="AE640" s="88"/>
      <c r="AF640" s="88">
        <v>382311.0</v>
      </c>
      <c r="AG640" s="22"/>
      <c r="AH640" s="22"/>
      <c r="AI640" s="22"/>
      <c r="AJ640" s="22"/>
      <c r="AK640" s="22"/>
      <c r="AL640" s="22"/>
      <c r="AM640" s="22"/>
      <c r="AN640" s="22"/>
      <c r="AO640" s="22"/>
      <c r="AP640" s="22"/>
    </row>
    <row r="641" hidden="1">
      <c r="A641" s="8">
        <v>46094.0</v>
      </c>
      <c r="B641" s="23">
        <v>46094.666666666664</v>
      </c>
      <c r="C641" s="10" t="s">
        <v>196</v>
      </c>
      <c r="D641" s="10" t="s">
        <v>33</v>
      </c>
      <c r="E641" s="12" t="s">
        <v>217</v>
      </c>
      <c r="F641" s="12" t="s">
        <v>2090</v>
      </c>
      <c r="G641" s="12" t="s">
        <v>2095</v>
      </c>
      <c r="H641" s="96" t="s">
        <v>2096</v>
      </c>
      <c r="I641" s="57" t="s">
        <v>2097</v>
      </c>
      <c r="J641" s="14">
        <v>53052.0</v>
      </c>
      <c r="K641" s="14">
        <v>25178.0</v>
      </c>
      <c r="L641" s="15">
        <v>0.4746</v>
      </c>
      <c r="M641" s="16"/>
      <c r="N641" s="17"/>
      <c r="O641" s="18">
        <v>0.0</v>
      </c>
      <c r="P641" s="18"/>
      <c r="Q641" s="19">
        <v>0.0</v>
      </c>
      <c r="R641" s="19"/>
      <c r="S641" s="20"/>
      <c r="T641" s="20"/>
      <c r="U641" s="20"/>
      <c r="V641" s="21" t="s">
        <v>315</v>
      </c>
      <c r="W641" s="18" t="s">
        <v>95</v>
      </c>
      <c r="X641" s="101"/>
      <c r="Y641" s="73" t="s">
        <v>2084</v>
      </c>
      <c r="Z641" s="20" t="s">
        <v>2098</v>
      </c>
      <c r="AA641" s="88">
        <v>66.0</v>
      </c>
      <c r="AB641" s="21"/>
      <c r="AC641" s="88">
        <v>66.0</v>
      </c>
      <c r="AD641" s="89">
        <v>183180.0</v>
      </c>
      <c r="AE641" s="88"/>
      <c r="AF641" s="88">
        <v>183180.0</v>
      </c>
      <c r="AG641" s="22"/>
      <c r="AH641" s="22"/>
      <c r="AI641" s="22"/>
      <c r="AJ641" s="22"/>
      <c r="AK641" s="22"/>
      <c r="AL641" s="22"/>
      <c r="AM641" s="22"/>
      <c r="AN641" s="22"/>
      <c r="AO641" s="22"/>
      <c r="AP641" s="22"/>
    </row>
    <row r="642" hidden="1">
      <c r="A642" s="8">
        <v>46094.0</v>
      </c>
      <c r="B642" s="23">
        <v>0.4375</v>
      </c>
      <c r="C642" s="10" t="s">
        <v>32</v>
      </c>
      <c r="D642" s="10" t="s">
        <v>33</v>
      </c>
      <c r="E642" s="12" t="s">
        <v>71</v>
      </c>
      <c r="F642" s="12" t="s">
        <v>2058</v>
      </c>
      <c r="G642" s="12" t="s">
        <v>2099</v>
      </c>
      <c r="H642" s="96" t="s">
        <v>2100</v>
      </c>
      <c r="I642" s="57" t="s">
        <v>2101</v>
      </c>
      <c r="J642" s="14">
        <v>487.0</v>
      </c>
      <c r="K642" s="14">
        <v>179.0</v>
      </c>
      <c r="L642" s="15">
        <v>0.3676</v>
      </c>
      <c r="M642" s="16">
        <v>79.0</v>
      </c>
      <c r="N642" s="17">
        <v>0.4413</v>
      </c>
      <c r="O642" s="18">
        <v>20.0</v>
      </c>
      <c r="P642" s="18">
        <v>18.0</v>
      </c>
      <c r="Q642" s="19">
        <v>0.1006</v>
      </c>
      <c r="R642" s="19">
        <v>0.2278</v>
      </c>
      <c r="S642" s="20">
        <v>2.0</v>
      </c>
      <c r="T642" s="20">
        <v>5.0</v>
      </c>
      <c r="U642" s="20">
        <v>1896.0</v>
      </c>
      <c r="V642" s="21" t="s">
        <v>335</v>
      </c>
      <c r="W642" s="18" t="s">
        <v>76</v>
      </c>
      <c r="X642" s="73" t="s">
        <v>2102</v>
      </c>
      <c r="Y642" s="66" t="s">
        <v>2103</v>
      </c>
      <c r="Z642" s="20" t="s">
        <v>2104</v>
      </c>
      <c r="AA642" s="14">
        <v>1.0</v>
      </c>
      <c r="AB642" s="14">
        <v>1.0</v>
      </c>
      <c r="AC642" s="14"/>
      <c r="AD642" s="14">
        <v>899.0</v>
      </c>
      <c r="AE642" s="14">
        <v>899.0</v>
      </c>
      <c r="AF642" s="14"/>
      <c r="AG642" s="22"/>
      <c r="AH642" s="22"/>
      <c r="AI642" s="22"/>
      <c r="AJ642" s="22"/>
      <c r="AK642" s="22"/>
      <c r="AL642" s="22"/>
      <c r="AM642" s="22"/>
      <c r="AN642" s="22"/>
      <c r="AO642" s="22"/>
      <c r="AP642" s="22"/>
    </row>
    <row r="643" hidden="1">
      <c r="A643" s="8">
        <v>46094.0</v>
      </c>
      <c r="B643" s="23">
        <v>0.4375</v>
      </c>
      <c r="C643" s="10" t="s">
        <v>32</v>
      </c>
      <c r="D643" s="10" t="s">
        <v>33</v>
      </c>
      <c r="E643" s="12" t="s">
        <v>71</v>
      </c>
      <c r="F643" s="12" t="s">
        <v>2058</v>
      </c>
      <c r="G643" s="12" t="s">
        <v>2105</v>
      </c>
      <c r="H643" s="96" t="s">
        <v>2106</v>
      </c>
      <c r="I643" s="57" t="s">
        <v>2107</v>
      </c>
      <c r="J643" s="14">
        <v>5573.0</v>
      </c>
      <c r="K643" s="14">
        <v>1670.0</v>
      </c>
      <c r="L643" s="15">
        <v>0.2997</v>
      </c>
      <c r="M643" s="16">
        <v>795.0</v>
      </c>
      <c r="N643" s="17">
        <v>0.4763</v>
      </c>
      <c r="O643" s="18">
        <v>127.0</v>
      </c>
      <c r="P643" s="18">
        <v>116.0</v>
      </c>
      <c r="Q643" s="19">
        <v>0.0695</v>
      </c>
      <c r="R643" s="19">
        <v>0.1459</v>
      </c>
      <c r="S643" s="20">
        <v>7.0</v>
      </c>
      <c r="T643" s="20">
        <v>12.0</v>
      </c>
      <c r="U643" s="20">
        <v>22096.0</v>
      </c>
      <c r="V643" s="21" t="s">
        <v>335</v>
      </c>
      <c r="W643" s="18" t="s">
        <v>76</v>
      </c>
      <c r="X643" s="73" t="s">
        <v>82</v>
      </c>
      <c r="Y643" s="66" t="s">
        <v>2103</v>
      </c>
      <c r="Z643" s="20" t="s">
        <v>2108</v>
      </c>
      <c r="AA643" s="14">
        <v>45.0</v>
      </c>
      <c r="AB643" s="14">
        <v>45.0</v>
      </c>
      <c r="AC643" s="14"/>
      <c r="AD643" s="14">
        <v>128844.0</v>
      </c>
      <c r="AE643" s="14">
        <v>128844.0</v>
      </c>
      <c r="AF643" s="14"/>
      <c r="AG643" s="22"/>
      <c r="AH643" s="22"/>
      <c r="AI643" s="22"/>
      <c r="AJ643" s="22"/>
      <c r="AK643" s="22"/>
      <c r="AL643" s="22"/>
      <c r="AM643" s="22"/>
      <c r="AN643" s="22"/>
      <c r="AO643" s="22"/>
      <c r="AP643" s="22"/>
    </row>
    <row r="644" hidden="1">
      <c r="A644" s="8">
        <v>46094.0</v>
      </c>
      <c r="B644" s="23">
        <v>0.4375</v>
      </c>
      <c r="C644" s="10" t="s">
        <v>32</v>
      </c>
      <c r="D644" s="10" t="s">
        <v>33</v>
      </c>
      <c r="E644" s="12" t="s">
        <v>71</v>
      </c>
      <c r="F644" s="12" t="s">
        <v>2058</v>
      </c>
      <c r="G644" s="12" t="s">
        <v>2109</v>
      </c>
      <c r="H644" s="96" t="s">
        <v>2110</v>
      </c>
      <c r="I644" s="57" t="s">
        <v>2111</v>
      </c>
      <c r="J644" s="14">
        <v>19291.0</v>
      </c>
      <c r="K644" s="14">
        <v>5081.0</v>
      </c>
      <c r="L644" s="15">
        <v>0.2634</v>
      </c>
      <c r="M644" s="16">
        <v>2291.0</v>
      </c>
      <c r="N644" s="17">
        <v>0.451</v>
      </c>
      <c r="O644" s="18">
        <v>285.0</v>
      </c>
      <c r="P644" s="18">
        <v>255.0</v>
      </c>
      <c r="Q644" s="19">
        <v>0.0502</v>
      </c>
      <c r="R644" s="19">
        <v>0.1113</v>
      </c>
      <c r="S644" s="20">
        <v>12.0</v>
      </c>
      <c r="T644" s="20">
        <v>20.0</v>
      </c>
      <c r="U644" s="20">
        <v>45797.0</v>
      </c>
      <c r="V644" s="21" t="s">
        <v>335</v>
      </c>
      <c r="W644" s="18" t="s">
        <v>76</v>
      </c>
      <c r="X644" s="73" t="s">
        <v>2112</v>
      </c>
      <c r="Y644" s="66" t="s">
        <v>2103</v>
      </c>
      <c r="Z644" s="20" t="s">
        <v>2113</v>
      </c>
      <c r="AA644" s="14">
        <v>52.0</v>
      </c>
      <c r="AB644" s="14">
        <v>52.0</v>
      </c>
      <c r="AC644" s="14"/>
      <c r="AD644" s="14">
        <v>151703.0</v>
      </c>
      <c r="AE644" s="14">
        <v>151703.0</v>
      </c>
      <c r="AF644" s="14"/>
      <c r="AG644" s="22"/>
      <c r="AH644" s="22"/>
      <c r="AI644" s="22"/>
      <c r="AJ644" s="22"/>
      <c r="AK644" s="22"/>
      <c r="AL644" s="22"/>
      <c r="AM644" s="22"/>
      <c r="AN644" s="22"/>
      <c r="AO644" s="22"/>
      <c r="AP644" s="22"/>
    </row>
    <row r="645" hidden="1">
      <c r="A645" s="8">
        <v>46094.0</v>
      </c>
      <c r="B645" s="23">
        <v>0.4375</v>
      </c>
      <c r="C645" s="10" t="s">
        <v>32</v>
      </c>
      <c r="D645" s="10" t="s">
        <v>33</v>
      </c>
      <c r="E645" s="12" t="s">
        <v>71</v>
      </c>
      <c r="F645" s="12" t="s">
        <v>2058</v>
      </c>
      <c r="G645" s="12" t="s">
        <v>2114</v>
      </c>
      <c r="H645" s="96" t="s">
        <v>2115</v>
      </c>
      <c r="I645" s="57" t="s">
        <v>2116</v>
      </c>
      <c r="J645" s="14">
        <v>287.0</v>
      </c>
      <c r="K645" s="14">
        <v>77.0</v>
      </c>
      <c r="L645" s="15">
        <v>0.2683</v>
      </c>
      <c r="M645" s="16">
        <v>32.0</v>
      </c>
      <c r="N645" s="17">
        <v>0.4156</v>
      </c>
      <c r="O645" s="18">
        <v>1.0</v>
      </c>
      <c r="P645" s="18">
        <v>1.0</v>
      </c>
      <c r="Q645" s="19">
        <v>0.013</v>
      </c>
      <c r="R645" s="19">
        <v>0.0312</v>
      </c>
      <c r="S645" s="20">
        <v>0.0</v>
      </c>
      <c r="T645" s="20">
        <v>0.0</v>
      </c>
      <c r="U645" s="20">
        <v>0.0</v>
      </c>
      <c r="V645" s="21" t="s">
        <v>335</v>
      </c>
      <c r="W645" s="18" t="s">
        <v>76</v>
      </c>
      <c r="X645" s="73" t="s">
        <v>2117</v>
      </c>
      <c r="Y645" s="66" t="s">
        <v>2103</v>
      </c>
      <c r="Z645" s="20" t="s">
        <v>2118</v>
      </c>
      <c r="AA645" s="14">
        <v>0.0</v>
      </c>
      <c r="AB645" s="14">
        <v>0.0</v>
      </c>
      <c r="AC645" s="14"/>
      <c r="AD645" s="14">
        <v>0.0</v>
      </c>
      <c r="AE645" s="14">
        <v>0.0</v>
      </c>
      <c r="AF645" s="14"/>
      <c r="AG645" s="22"/>
      <c r="AH645" s="22"/>
      <c r="AI645" s="22"/>
      <c r="AJ645" s="22"/>
      <c r="AK645" s="22"/>
      <c r="AL645" s="22"/>
      <c r="AM645" s="22"/>
      <c r="AN645" s="22"/>
      <c r="AO645" s="22"/>
      <c r="AP645" s="22"/>
    </row>
    <row r="646" hidden="1">
      <c r="A646" s="8">
        <v>46094.0</v>
      </c>
      <c r="B646" s="23">
        <v>0.4375</v>
      </c>
      <c r="C646" s="10" t="s">
        <v>32</v>
      </c>
      <c r="D646" s="10" t="s">
        <v>33</v>
      </c>
      <c r="E646" s="12" t="s">
        <v>71</v>
      </c>
      <c r="F646" s="12" t="s">
        <v>2058</v>
      </c>
      <c r="G646" s="12" t="s">
        <v>2119</v>
      </c>
      <c r="H646" s="96" t="s">
        <v>2120</v>
      </c>
      <c r="I646" s="57" t="s">
        <v>2121</v>
      </c>
      <c r="J646" s="14">
        <v>34115.0</v>
      </c>
      <c r="K646" s="14">
        <v>10649.0</v>
      </c>
      <c r="L646" s="15">
        <v>0.3122</v>
      </c>
      <c r="M646" s="16">
        <v>4064.0</v>
      </c>
      <c r="N646" s="17">
        <v>0.3817</v>
      </c>
      <c r="O646" s="18">
        <v>295.0</v>
      </c>
      <c r="P646" s="18">
        <v>272.0</v>
      </c>
      <c r="Q646" s="19">
        <v>0.0255</v>
      </c>
      <c r="R646" s="19">
        <v>0.0669</v>
      </c>
      <c r="S646" s="20">
        <v>4.0</v>
      </c>
      <c r="T646" s="20">
        <v>10.0</v>
      </c>
      <c r="U646" s="20">
        <v>9038.0</v>
      </c>
      <c r="V646" s="21" t="s">
        <v>335</v>
      </c>
      <c r="W646" s="18" t="s">
        <v>76</v>
      </c>
      <c r="X646" s="73" t="s">
        <v>2062</v>
      </c>
      <c r="Y646" s="66" t="s">
        <v>2103</v>
      </c>
      <c r="Z646" s="20" t="s">
        <v>2122</v>
      </c>
      <c r="AA646" s="14">
        <v>35.0</v>
      </c>
      <c r="AB646" s="14">
        <v>35.0</v>
      </c>
      <c r="AC646" s="14"/>
      <c r="AD646" s="14">
        <v>92563.0</v>
      </c>
      <c r="AE646" s="14">
        <v>92563.0</v>
      </c>
      <c r="AF646" s="14"/>
      <c r="AG646" s="22"/>
      <c r="AH646" s="22"/>
      <c r="AI646" s="22"/>
      <c r="AJ646" s="22"/>
      <c r="AK646" s="22"/>
      <c r="AL646" s="22"/>
      <c r="AM646" s="22"/>
      <c r="AN646" s="22"/>
      <c r="AO646" s="22"/>
      <c r="AP646" s="22"/>
    </row>
    <row r="647" hidden="1">
      <c r="A647" s="8">
        <v>46094.0</v>
      </c>
      <c r="B647" s="23">
        <v>0.4375</v>
      </c>
      <c r="C647" s="10" t="s">
        <v>32</v>
      </c>
      <c r="D647" s="10" t="s">
        <v>33</v>
      </c>
      <c r="E647" s="12" t="s">
        <v>71</v>
      </c>
      <c r="F647" s="12" t="s">
        <v>2058</v>
      </c>
      <c r="G647" s="12" t="s">
        <v>2123</v>
      </c>
      <c r="H647" s="96" t="s">
        <v>2124</v>
      </c>
      <c r="I647" s="57" t="s">
        <v>2125</v>
      </c>
      <c r="J647" s="14">
        <v>585.0</v>
      </c>
      <c r="K647" s="14">
        <v>172.0</v>
      </c>
      <c r="L647" s="15">
        <v>0.294</v>
      </c>
      <c r="M647" s="16">
        <v>82.0</v>
      </c>
      <c r="N647" s="17">
        <v>0.4767</v>
      </c>
      <c r="O647" s="18">
        <v>8.0</v>
      </c>
      <c r="P647" s="18">
        <v>6.0</v>
      </c>
      <c r="Q647" s="19">
        <v>0.0349</v>
      </c>
      <c r="R647" s="19">
        <v>0.0732</v>
      </c>
      <c r="S647" s="20">
        <v>0.0</v>
      </c>
      <c r="T647" s="20">
        <v>0.0</v>
      </c>
      <c r="U647" s="20">
        <v>0.0</v>
      </c>
      <c r="V647" s="21" t="s">
        <v>335</v>
      </c>
      <c r="W647" s="18" t="s">
        <v>76</v>
      </c>
      <c r="X647" s="73" t="s">
        <v>2126</v>
      </c>
      <c r="Y647" s="66" t="s">
        <v>2103</v>
      </c>
      <c r="Z647" s="20" t="s">
        <v>2127</v>
      </c>
      <c r="AA647" s="14">
        <v>0.0</v>
      </c>
      <c r="AB647" s="14">
        <v>0.0</v>
      </c>
      <c r="AC647" s="14"/>
      <c r="AD647" s="14">
        <v>0.0</v>
      </c>
      <c r="AE647" s="14">
        <v>0.0</v>
      </c>
      <c r="AF647" s="14"/>
      <c r="AG647" s="22"/>
      <c r="AH647" s="22"/>
      <c r="AI647" s="22"/>
      <c r="AJ647" s="22"/>
      <c r="AK647" s="22"/>
      <c r="AL647" s="22"/>
      <c r="AM647" s="22"/>
      <c r="AN647" s="22"/>
      <c r="AO647" s="22"/>
      <c r="AP647" s="22"/>
    </row>
    <row r="648" hidden="1">
      <c r="A648" s="8">
        <v>46094.0</v>
      </c>
      <c r="B648" s="23">
        <v>0.4375</v>
      </c>
      <c r="C648" s="10" t="s">
        <v>32</v>
      </c>
      <c r="D648" s="10" t="s">
        <v>33</v>
      </c>
      <c r="E648" s="12" t="s">
        <v>71</v>
      </c>
      <c r="F648" s="12" t="s">
        <v>2058</v>
      </c>
      <c r="G648" s="12" t="s">
        <v>2128</v>
      </c>
      <c r="H648" s="96" t="s">
        <v>2129</v>
      </c>
      <c r="I648" s="57" t="s">
        <v>2130</v>
      </c>
      <c r="J648" s="14">
        <v>216.0</v>
      </c>
      <c r="K648" s="14">
        <v>77.0</v>
      </c>
      <c r="L648" s="15">
        <v>0.3565</v>
      </c>
      <c r="M648" s="16">
        <v>34.0</v>
      </c>
      <c r="N648" s="17">
        <v>0.4416</v>
      </c>
      <c r="O648" s="18">
        <v>5.0</v>
      </c>
      <c r="P648" s="18">
        <v>5.0</v>
      </c>
      <c r="Q648" s="19">
        <v>0.0649</v>
      </c>
      <c r="R648" s="19">
        <v>0.1471</v>
      </c>
      <c r="S648" s="20">
        <v>1.0</v>
      </c>
      <c r="T648" s="20">
        <v>3.0</v>
      </c>
      <c r="U648" s="20">
        <v>2427.0</v>
      </c>
      <c r="V648" s="21" t="s">
        <v>335</v>
      </c>
      <c r="W648" s="18" t="s">
        <v>76</v>
      </c>
      <c r="X648" s="73" t="s">
        <v>2131</v>
      </c>
      <c r="Y648" s="66" t="s">
        <v>2103</v>
      </c>
      <c r="Z648" s="20" t="s">
        <v>2132</v>
      </c>
      <c r="AA648" s="14">
        <v>1.0</v>
      </c>
      <c r="AB648" s="14">
        <v>1.0</v>
      </c>
      <c r="AC648" s="14"/>
      <c r="AD648" s="14">
        <v>2427.0</v>
      </c>
      <c r="AE648" s="14">
        <v>2427.0</v>
      </c>
      <c r="AF648" s="14"/>
      <c r="AG648" s="22"/>
      <c r="AH648" s="22"/>
      <c r="AI648" s="22"/>
      <c r="AJ648" s="22"/>
      <c r="AK648" s="22"/>
      <c r="AL648" s="22"/>
      <c r="AM648" s="22"/>
      <c r="AN648" s="22"/>
      <c r="AO648" s="22"/>
      <c r="AP648" s="22"/>
    </row>
    <row r="649" hidden="1">
      <c r="A649" s="8">
        <v>46094.0</v>
      </c>
      <c r="B649" s="23">
        <v>0.5208333333333334</v>
      </c>
      <c r="C649" s="10" t="s">
        <v>58</v>
      </c>
      <c r="D649" s="10" t="s">
        <v>59</v>
      </c>
      <c r="E649" s="12" t="s">
        <v>71</v>
      </c>
      <c r="F649" s="12" t="s">
        <v>2058</v>
      </c>
      <c r="G649" s="12" t="s">
        <v>2133</v>
      </c>
      <c r="H649" s="96" t="s">
        <v>2100</v>
      </c>
      <c r="I649" s="57" t="s">
        <v>61</v>
      </c>
      <c r="J649" s="14">
        <v>305.0</v>
      </c>
      <c r="K649" s="14">
        <v>212.0</v>
      </c>
      <c r="L649" s="15">
        <v>0.6951</v>
      </c>
      <c r="M649" s="16"/>
      <c r="N649" s="17"/>
      <c r="O649" s="18">
        <v>0.0</v>
      </c>
      <c r="P649" s="18"/>
      <c r="Q649" s="19">
        <v>0.0</v>
      </c>
      <c r="R649" s="19"/>
      <c r="S649" s="20">
        <v>0.0</v>
      </c>
      <c r="T649" s="20">
        <v>4.0</v>
      </c>
      <c r="U649" s="20">
        <v>0.0</v>
      </c>
      <c r="V649" s="21" t="s">
        <v>335</v>
      </c>
      <c r="W649" s="18" t="s">
        <v>62</v>
      </c>
      <c r="X649" s="73" t="s">
        <v>2102</v>
      </c>
      <c r="Y649" s="66" t="s">
        <v>2134</v>
      </c>
      <c r="Z649" s="20" t="s">
        <v>2135</v>
      </c>
      <c r="AA649" s="14">
        <v>1.0</v>
      </c>
      <c r="AB649" s="14">
        <v>1.0</v>
      </c>
      <c r="AC649" s="14"/>
      <c r="AD649" s="14">
        <v>2427.0</v>
      </c>
      <c r="AE649" s="14">
        <v>2427.0</v>
      </c>
      <c r="AF649" s="14"/>
      <c r="AG649" s="22"/>
      <c r="AH649" s="22"/>
      <c r="AI649" s="22"/>
      <c r="AJ649" s="22"/>
      <c r="AK649" s="22"/>
      <c r="AL649" s="22"/>
      <c r="AM649" s="22"/>
      <c r="AN649" s="22"/>
      <c r="AO649" s="22"/>
      <c r="AP649" s="22"/>
    </row>
    <row r="650" hidden="1">
      <c r="A650" s="8">
        <v>46094.0</v>
      </c>
      <c r="B650" s="23">
        <v>0.5208333333333334</v>
      </c>
      <c r="C650" s="10" t="s">
        <v>58</v>
      </c>
      <c r="D650" s="10" t="s">
        <v>59</v>
      </c>
      <c r="E650" s="12" t="s">
        <v>71</v>
      </c>
      <c r="F650" s="12" t="s">
        <v>2058</v>
      </c>
      <c r="G650" s="12" t="s">
        <v>2136</v>
      </c>
      <c r="H650" s="96" t="s">
        <v>2106</v>
      </c>
      <c r="I650" s="57" t="s">
        <v>61</v>
      </c>
      <c r="J650" s="14">
        <v>3775.0</v>
      </c>
      <c r="K650" s="14">
        <v>1955.0</v>
      </c>
      <c r="L650" s="15">
        <v>0.5179</v>
      </c>
      <c r="M650" s="16"/>
      <c r="N650" s="17"/>
      <c r="O650" s="18">
        <v>13.0</v>
      </c>
      <c r="P650" s="18"/>
      <c r="Q650" s="19">
        <v>0.0066</v>
      </c>
      <c r="R650" s="19"/>
      <c r="S650" s="20">
        <v>4.0</v>
      </c>
      <c r="T650" s="20">
        <v>5.0</v>
      </c>
      <c r="U650" s="20">
        <v>7461.0</v>
      </c>
      <c r="V650" s="21" t="s">
        <v>335</v>
      </c>
      <c r="W650" s="18" t="s">
        <v>62</v>
      </c>
      <c r="X650" s="73" t="s">
        <v>82</v>
      </c>
      <c r="Y650" s="66" t="s">
        <v>2134</v>
      </c>
      <c r="Z650" s="20" t="s">
        <v>2137</v>
      </c>
      <c r="AA650" s="14">
        <v>22.0</v>
      </c>
      <c r="AB650" s="14">
        <v>22.0</v>
      </c>
      <c r="AC650" s="14"/>
      <c r="AD650" s="14">
        <v>50140.0</v>
      </c>
      <c r="AE650" s="14">
        <v>50140.0</v>
      </c>
      <c r="AF650" s="14"/>
      <c r="AG650" s="22"/>
      <c r="AH650" s="22"/>
      <c r="AI650" s="22"/>
      <c r="AJ650" s="22"/>
      <c r="AK650" s="22"/>
      <c r="AL650" s="22"/>
      <c r="AM650" s="22"/>
      <c r="AN650" s="22"/>
      <c r="AO650" s="22"/>
      <c r="AP650" s="22"/>
    </row>
    <row r="651" hidden="1">
      <c r="A651" s="8">
        <v>46094.0</v>
      </c>
      <c r="B651" s="23">
        <v>0.5208333333333334</v>
      </c>
      <c r="C651" s="10" t="s">
        <v>58</v>
      </c>
      <c r="D651" s="10" t="s">
        <v>59</v>
      </c>
      <c r="E651" s="12" t="s">
        <v>71</v>
      </c>
      <c r="F651" s="12" t="s">
        <v>2058</v>
      </c>
      <c r="G651" s="12" t="s">
        <v>2138</v>
      </c>
      <c r="H651" s="96" t="s">
        <v>2124</v>
      </c>
      <c r="I651" s="57" t="s">
        <v>61</v>
      </c>
      <c r="J651" s="14">
        <v>400.0</v>
      </c>
      <c r="K651" s="14">
        <v>214.0</v>
      </c>
      <c r="L651" s="15">
        <v>0.535</v>
      </c>
      <c r="M651" s="16"/>
      <c r="N651" s="17"/>
      <c r="O651" s="18">
        <v>1.0</v>
      </c>
      <c r="P651" s="18"/>
      <c r="Q651" s="19">
        <v>0.0047</v>
      </c>
      <c r="R651" s="19"/>
      <c r="S651" s="20">
        <v>0.0</v>
      </c>
      <c r="T651" s="20">
        <v>1.0</v>
      </c>
      <c r="U651" s="20">
        <v>0.0</v>
      </c>
      <c r="V651" s="21" t="s">
        <v>335</v>
      </c>
      <c r="W651" s="18" t="s">
        <v>62</v>
      </c>
      <c r="X651" s="73" t="s">
        <v>2126</v>
      </c>
      <c r="Y651" s="66" t="s">
        <v>2134</v>
      </c>
      <c r="Z651" s="20" t="s">
        <v>2139</v>
      </c>
      <c r="AA651" s="14">
        <v>0.0</v>
      </c>
      <c r="AB651" s="14">
        <v>0.0</v>
      </c>
      <c r="AC651" s="14"/>
      <c r="AD651" s="14">
        <v>0.0</v>
      </c>
      <c r="AE651" s="14">
        <v>0.0</v>
      </c>
      <c r="AF651" s="14"/>
      <c r="AG651" s="22"/>
      <c r="AH651" s="22"/>
      <c r="AI651" s="22"/>
      <c r="AJ651" s="22"/>
      <c r="AK651" s="22"/>
      <c r="AL651" s="22"/>
      <c r="AM651" s="22"/>
      <c r="AN651" s="22"/>
      <c r="AO651" s="22"/>
      <c r="AP651" s="22"/>
    </row>
    <row r="652" hidden="1">
      <c r="A652" s="8">
        <v>46094.0</v>
      </c>
      <c r="B652" s="23">
        <v>0.5208333333333334</v>
      </c>
      <c r="C652" s="10" t="s">
        <v>58</v>
      </c>
      <c r="D652" s="10" t="s">
        <v>59</v>
      </c>
      <c r="E652" s="12" t="s">
        <v>71</v>
      </c>
      <c r="F652" s="12" t="s">
        <v>2058</v>
      </c>
      <c r="G652" s="12" t="s">
        <v>2140</v>
      </c>
      <c r="H652" s="96" t="s">
        <v>2129</v>
      </c>
      <c r="I652" s="57" t="s">
        <v>61</v>
      </c>
      <c r="J652" s="14">
        <v>135.0</v>
      </c>
      <c r="K652" s="14">
        <v>100.0</v>
      </c>
      <c r="L652" s="15">
        <v>0.7407</v>
      </c>
      <c r="M652" s="16"/>
      <c r="N652" s="17"/>
      <c r="O652" s="18">
        <v>2.0</v>
      </c>
      <c r="P652" s="18"/>
      <c r="Q652" s="19">
        <v>0.02</v>
      </c>
      <c r="R652" s="19"/>
      <c r="S652" s="20">
        <v>0.0</v>
      </c>
      <c r="T652" s="20">
        <v>1.0</v>
      </c>
      <c r="U652" s="20">
        <v>0.0</v>
      </c>
      <c r="V652" s="21" t="s">
        <v>335</v>
      </c>
      <c r="W652" s="18" t="s">
        <v>62</v>
      </c>
      <c r="X652" s="73" t="s">
        <v>2131</v>
      </c>
      <c r="Y652" s="66" t="s">
        <v>2134</v>
      </c>
      <c r="Z652" s="20" t="s">
        <v>2141</v>
      </c>
      <c r="AA652" s="14">
        <v>0.0</v>
      </c>
      <c r="AB652" s="14">
        <v>0.0</v>
      </c>
      <c r="AC652" s="14"/>
      <c r="AD652" s="14">
        <v>0.0</v>
      </c>
      <c r="AE652" s="14">
        <v>0.0</v>
      </c>
      <c r="AF652" s="14"/>
      <c r="AG652" s="22"/>
      <c r="AH652" s="22"/>
      <c r="AI652" s="22"/>
      <c r="AJ652" s="22"/>
      <c r="AK652" s="22"/>
      <c r="AL652" s="22"/>
      <c r="AM652" s="22"/>
      <c r="AN652" s="22"/>
      <c r="AO652" s="22"/>
      <c r="AP652" s="22"/>
    </row>
    <row r="653" hidden="1">
      <c r="A653" s="26">
        <v>46094.0</v>
      </c>
      <c r="B653" s="27">
        <v>0.5208333333333334</v>
      </c>
      <c r="C653" s="28" t="s">
        <v>58</v>
      </c>
      <c r="D653" s="28" t="s">
        <v>59</v>
      </c>
      <c r="E653" s="30" t="s">
        <v>71</v>
      </c>
      <c r="F653" s="30" t="s">
        <v>2058</v>
      </c>
      <c r="G653" s="30" t="s">
        <v>2142</v>
      </c>
      <c r="H653" s="96" t="s">
        <v>2110</v>
      </c>
      <c r="I653" s="72" t="s">
        <v>61</v>
      </c>
      <c r="J653" s="33">
        <v>13753.0</v>
      </c>
      <c r="K653" s="33">
        <v>7557.0</v>
      </c>
      <c r="L653" s="34">
        <v>0.5495</v>
      </c>
      <c r="M653" s="35"/>
      <c r="N653" s="36"/>
      <c r="O653" s="37">
        <v>9.0</v>
      </c>
      <c r="P653" s="37"/>
      <c r="Q653" s="38">
        <v>0.0012</v>
      </c>
      <c r="R653" s="38"/>
      <c r="S653" s="39">
        <v>3.0</v>
      </c>
      <c r="T653" s="39">
        <v>4.0</v>
      </c>
      <c r="U653" s="39">
        <v>7461.0</v>
      </c>
      <c r="V653" s="41" t="s">
        <v>335</v>
      </c>
      <c r="W653" s="37" t="s">
        <v>62</v>
      </c>
      <c r="X653" s="73" t="s">
        <v>2112</v>
      </c>
      <c r="Y653" s="73" t="s">
        <v>2134</v>
      </c>
      <c r="Z653" s="39" t="s">
        <v>2143</v>
      </c>
      <c r="AA653" s="33">
        <v>22.0</v>
      </c>
      <c r="AB653" s="33">
        <v>22.0</v>
      </c>
      <c r="AC653" s="33"/>
      <c r="AD653" s="33">
        <v>48994.0</v>
      </c>
      <c r="AE653" s="33">
        <v>48994.0</v>
      </c>
      <c r="AF653" s="33"/>
      <c r="AG653" s="43"/>
      <c r="AH653" s="43"/>
      <c r="AI653" s="43"/>
      <c r="AJ653" s="43"/>
      <c r="AK653" s="43"/>
      <c r="AL653" s="43"/>
      <c r="AM653" s="43"/>
      <c r="AN653" s="43"/>
      <c r="AO653" s="43"/>
      <c r="AP653" s="43"/>
    </row>
    <row r="654" hidden="1">
      <c r="A654" s="8">
        <v>46094.0</v>
      </c>
      <c r="B654" s="23">
        <v>0.5208333333333334</v>
      </c>
      <c r="C654" s="10" t="s">
        <v>58</v>
      </c>
      <c r="D654" s="10" t="s">
        <v>59</v>
      </c>
      <c r="E654" s="12" t="s">
        <v>71</v>
      </c>
      <c r="F654" s="12" t="s">
        <v>2058</v>
      </c>
      <c r="G654" s="12" t="s">
        <v>2144</v>
      </c>
      <c r="H654" s="96" t="s">
        <v>2120</v>
      </c>
      <c r="I654" s="57" t="s">
        <v>61</v>
      </c>
      <c r="J654" s="14">
        <v>22109.0</v>
      </c>
      <c r="K654" s="14">
        <v>12391.0</v>
      </c>
      <c r="L654" s="15">
        <v>0.5605</v>
      </c>
      <c r="M654" s="16"/>
      <c r="N654" s="17"/>
      <c r="O654" s="18">
        <v>25.0</v>
      </c>
      <c r="P654" s="18"/>
      <c r="Q654" s="19">
        <v>0.002</v>
      </c>
      <c r="R654" s="19"/>
      <c r="S654" s="20">
        <v>1.0</v>
      </c>
      <c r="T654" s="20">
        <v>2.0</v>
      </c>
      <c r="U654" s="20">
        <v>4675.0</v>
      </c>
      <c r="V654" s="21" t="s">
        <v>335</v>
      </c>
      <c r="W654" s="18" t="s">
        <v>62</v>
      </c>
      <c r="X654" s="73" t="s">
        <v>2062</v>
      </c>
      <c r="Y654" s="66" t="s">
        <v>2134</v>
      </c>
      <c r="Z654" s="20" t="s">
        <v>2145</v>
      </c>
      <c r="AA654" s="14">
        <v>17.0</v>
      </c>
      <c r="AB654" s="14">
        <v>17.0</v>
      </c>
      <c r="AC654" s="14"/>
      <c r="AD654" s="14">
        <v>49997.0</v>
      </c>
      <c r="AE654" s="14">
        <v>49997.0</v>
      </c>
      <c r="AF654" s="14"/>
      <c r="AG654" s="22"/>
      <c r="AH654" s="22"/>
      <c r="AI654" s="22"/>
      <c r="AJ654" s="22"/>
      <c r="AK654" s="22"/>
      <c r="AL654" s="22"/>
      <c r="AM654" s="22"/>
      <c r="AN654" s="22"/>
      <c r="AO654" s="22"/>
      <c r="AP654" s="22"/>
    </row>
    <row r="655" hidden="1">
      <c r="A655" s="8">
        <v>46094.0</v>
      </c>
      <c r="B655" s="23">
        <v>0.5208333333333334</v>
      </c>
      <c r="C655" s="10" t="s">
        <v>58</v>
      </c>
      <c r="D655" s="10" t="s">
        <v>59</v>
      </c>
      <c r="E655" s="12" t="s">
        <v>71</v>
      </c>
      <c r="F655" s="12" t="s">
        <v>2058</v>
      </c>
      <c r="G655" s="12" t="s">
        <v>2146</v>
      </c>
      <c r="H655" s="96" t="s">
        <v>2115</v>
      </c>
      <c r="I655" s="57" t="s">
        <v>61</v>
      </c>
      <c r="J655" s="14">
        <v>203.0</v>
      </c>
      <c r="K655" s="14">
        <v>96.0</v>
      </c>
      <c r="L655" s="15">
        <v>0.4729</v>
      </c>
      <c r="M655" s="16"/>
      <c r="N655" s="17"/>
      <c r="O655" s="18">
        <v>0.0</v>
      </c>
      <c r="P655" s="18"/>
      <c r="Q655" s="19">
        <v>0.0</v>
      </c>
      <c r="R655" s="19"/>
      <c r="S655" s="20">
        <v>0.0</v>
      </c>
      <c r="T655" s="20">
        <v>0.0</v>
      </c>
      <c r="U655" s="20">
        <v>0.0</v>
      </c>
      <c r="V655" s="21" t="s">
        <v>335</v>
      </c>
      <c r="W655" s="18" t="s">
        <v>62</v>
      </c>
      <c r="X655" s="73" t="s">
        <v>2117</v>
      </c>
      <c r="Y655" s="66" t="s">
        <v>2134</v>
      </c>
      <c r="Z655" s="20" t="s">
        <v>2147</v>
      </c>
      <c r="AA655" s="14">
        <v>0.0</v>
      </c>
      <c r="AB655" s="14">
        <v>0.0</v>
      </c>
      <c r="AC655" s="14"/>
      <c r="AD655" s="14">
        <v>0.0</v>
      </c>
      <c r="AE655" s="14">
        <v>0.0</v>
      </c>
      <c r="AF655" s="14"/>
      <c r="AG655" s="22"/>
      <c r="AH655" s="22"/>
      <c r="AI655" s="22"/>
      <c r="AJ655" s="22"/>
      <c r="AK655" s="22"/>
      <c r="AL655" s="22"/>
      <c r="AM655" s="22"/>
      <c r="AN655" s="22"/>
      <c r="AO655" s="22"/>
      <c r="AP655" s="22"/>
    </row>
    <row r="656" hidden="1">
      <c r="A656" s="8">
        <v>46095.0</v>
      </c>
      <c r="B656" s="23">
        <v>46095.416666666664</v>
      </c>
      <c r="C656" s="10" t="s">
        <v>32</v>
      </c>
      <c r="D656" s="10" t="s">
        <v>33</v>
      </c>
      <c r="E656" s="12" t="s">
        <v>217</v>
      </c>
      <c r="F656" s="12" t="s">
        <v>2080</v>
      </c>
      <c r="G656" s="12" t="s">
        <v>2148</v>
      </c>
      <c r="H656" s="96" t="s">
        <v>2149</v>
      </c>
      <c r="I656" s="57" t="s">
        <v>1614</v>
      </c>
      <c r="J656" s="14">
        <v>30781.0</v>
      </c>
      <c r="K656" s="14">
        <v>16222.0</v>
      </c>
      <c r="L656" s="15">
        <v>0.527</v>
      </c>
      <c r="M656" s="16">
        <v>9842.0</v>
      </c>
      <c r="N656" s="17">
        <v>0.6063</v>
      </c>
      <c r="O656" s="18">
        <v>669.0</v>
      </c>
      <c r="P656" s="18">
        <v>642.0</v>
      </c>
      <c r="Q656" s="19">
        <v>0.0396</v>
      </c>
      <c r="R656" s="19">
        <v>0.0653</v>
      </c>
      <c r="S656" s="20"/>
      <c r="T656" s="20"/>
      <c r="U656" s="20"/>
      <c r="V656" s="21" t="s">
        <v>315</v>
      </c>
      <c r="W656" s="18" t="s">
        <v>76</v>
      </c>
      <c r="X656" s="73" t="s">
        <v>82</v>
      </c>
      <c r="Y656" s="73" t="s">
        <v>2150</v>
      </c>
      <c r="Z656" s="20" t="s">
        <v>2151</v>
      </c>
      <c r="AA656" s="14">
        <v>303.0</v>
      </c>
      <c r="AB656" s="14"/>
      <c r="AC656" s="14">
        <v>303.0</v>
      </c>
      <c r="AD656" s="14">
        <v>876895.0</v>
      </c>
      <c r="AE656" s="14"/>
      <c r="AF656" s="14">
        <v>876895.0</v>
      </c>
      <c r="AG656" s="22"/>
      <c r="AH656" s="22"/>
      <c r="AI656" s="22"/>
      <c r="AJ656" s="22"/>
      <c r="AK656" s="22"/>
      <c r="AL656" s="22"/>
      <c r="AM656" s="22"/>
      <c r="AN656" s="22"/>
      <c r="AO656" s="22"/>
      <c r="AP656" s="22"/>
    </row>
    <row r="657" hidden="1">
      <c r="A657" s="8">
        <v>46095.0</v>
      </c>
      <c r="B657" s="23">
        <v>46095.42013888889</v>
      </c>
      <c r="C657" s="10" t="s">
        <v>32</v>
      </c>
      <c r="D657" s="10" t="s">
        <v>33</v>
      </c>
      <c r="E657" s="12" t="s">
        <v>217</v>
      </c>
      <c r="F657" s="12" t="s">
        <v>2080</v>
      </c>
      <c r="G657" s="12" t="s">
        <v>2152</v>
      </c>
      <c r="H657" s="96" t="s">
        <v>2153</v>
      </c>
      <c r="I657" s="57" t="s">
        <v>2154</v>
      </c>
      <c r="J657" s="14">
        <v>11303.0</v>
      </c>
      <c r="K657" s="14">
        <v>5440.0</v>
      </c>
      <c r="L657" s="15">
        <v>0.4813</v>
      </c>
      <c r="M657" s="16">
        <v>3058.0</v>
      </c>
      <c r="N657" s="17">
        <v>0.5621</v>
      </c>
      <c r="O657" s="18">
        <v>175.0</v>
      </c>
      <c r="P657" s="18">
        <v>166.0</v>
      </c>
      <c r="Q657" s="19">
        <v>0.0305</v>
      </c>
      <c r="R657" s="19">
        <v>0.0543</v>
      </c>
      <c r="S657" s="20"/>
      <c r="T657" s="20"/>
      <c r="U657" s="20"/>
      <c r="V657" s="21" t="s">
        <v>315</v>
      </c>
      <c r="W657" s="18" t="s">
        <v>76</v>
      </c>
      <c r="X657" s="73" t="s">
        <v>1620</v>
      </c>
      <c r="Y657" s="73" t="s">
        <v>2150</v>
      </c>
      <c r="Z657" s="20" t="s">
        <v>2155</v>
      </c>
      <c r="AA657" s="14">
        <v>158.0</v>
      </c>
      <c r="AB657" s="14"/>
      <c r="AC657" s="14">
        <v>158.0</v>
      </c>
      <c r="AD657" s="14">
        <v>449987.0</v>
      </c>
      <c r="AE657" s="14"/>
      <c r="AF657" s="14">
        <v>449987.0</v>
      </c>
      <c r="AG657" s="22"/>
      <c r="AH657" s="22"/>
      <c r="AI657" s="22"/>
      <c r="AJ657" s="22"/>
      <c r="AK657" s="22"/>
      <c r="AL657" s="22"/>
      <c r="AM657" s="22"/>
      <c r="AN657" s="22"/>
      <c r="AO657" s="22"/>
      <c r="AP657" s="22"/>
    </row>
    <row r="658" hidden="1">
      <c r="A658" s="8">
        <v>46095.0</v>
      </c>
      <c r="B658" s="23">
        <v>46095.42361111111</v>
      </c>
      <c r="C658" s="10" t="s">
        <v>32</v>
      </c>
      <c r="D658" s="10" t="s">
        <v>33</v>
      </c>
      <c r="E658" s="12" t="s">
        <v>217</v>
      </c>
      <c r="F658" s="12" t="s">
        <v>2080</v>
      </c>
      <c r="G658" s="12" t="s">
        <v>2156</v>
      </c>
      <c r="H658" s="96" t="s">
        <v>2157</v>
      </c>
      <c r="I658" s="57" t="s">
        <v>2158</v>
      </c>
      <c r="J658" s="14">
        <v>30978.0</v>
      </c>
      <c r="K658" s="14">
        <v>17145.0</v>
      </c>
      <c r="L658" s="15">
        <v>0.5535</v>
      </c>
      <c r="M658" s="16">
        <v>8952.0</v>
      </c>
      <c r="N658" s="17">
        <v>0.522</v>
      </c>
      <c r="O658" s="18">
        <v>426.0</v>
      </c>
      <c r="P658" s="18">
        <v>411.0</v>
      </c>
      <c r="Q658" s="19">
        <v>0.024</v>
      </c>
      <c r="R658" s="19">
        <v>0.0459</v>
      </c>
      <c r="S658" s="20"/>
      <c r="T658" s="20"/>
      <c r="U658" s="20"/>
      <c r="V658" s="21" t="s">
        <v>315</v>
      </c>
      <c r="W658" s="18" t="s">
        <v>76</v>
      </c>
      <c r="X658" s="73" t="s">
        <v>1637</v>
      </c>
      <c r="Y658" s="73" t="s">
        <v>2150</v>
      </c>
      <c r="Z658" s="20" t="s">
        <v>2159</v>
      </c>
      <c r="AA658" s="14">
        <v>118.0</v>
      </c>
      <c r="AB658" s="14"/>
      <c r="AC658" s="14">
        <v>118.0</v>
      </c>
      <c r="AD658" s="14">
        <v>359945.0</v>
      </c>
      <c r="AE658" s="14"/>
      <c r="AF658" s="14">
        <v>359945.0</v>
      </c>
      <c r="AG658" s="22"/>
      <c r="AH658" s="22"/>
      <c r="AI658" s="22"/>
      <c r="AJ658" s="22"/>
      <c r="AK658" s="22"/>
      <c r="AL658" s="22"/>
      <c r="AM658" s="22"/>
      <c r="AN658" s="22"/>
      <c r="AO658" s="22"/>
      <c r="AP658" s="22"/>
    </row>
    <row r="659" hidden="1">
      <c r="A659" s="8">
        <v>46095.0</v>
      </c>
      <c r="B659" s="23">
        <v>46095.427083333336</v>
      </c>
      <c r="C659" s="10" t="s">
        <v>32</v>
      </c>
      <c r="D659" s="10" t="s">
        <v>33</v>
      </c>
      <c r="E659" s="12" t="s">
        <v>217</v>
      </c>
      <c r="F659" s="12" t="s">
        <v>2090</v>
      </c>
      <c r="G659" s="12" t="s">
        <v>2160</v>
      </c>
      <c r="H659" s="96" t="s">
        <v>2161</v>
      </c>
      <c r="I659" s="57" t="s">
        <v>2162</v>
      </c>
      <c r="J659" s="14">
        <v>17939.0</v>
      </c>
      <c r="K659" s="14">
        <v>9957.0</v>
      </c>
      <c r="L659" s="15">
        <v>0.555</v>
      </c>
      <c r="M659" s="16">
        <v>6465.0</v>
      </c>
      <c r="N659" s="17">
        <v>0.6483</v>
      </c>
      <c r="O659" s="18">
        <v>502.0</v>
      </c>
      <c r="P659" s="18">
        <v>482.0</v>
      </c>
      <c r="Q659" s="19">
        <v>0.0484</v>
      </c>
      <c r="R659" s="19">
        <v>0.0747</v>
      </c>
      <c r="S659" s="20"/>
      <c r="T659" s="20"/>
      <c r="U659" s="20"/>
      <c r="V659" s="21" t="s">
        <v>315</v>
      </c>
      <c r="W659" s="18" t="s">
        <v>76</v>
      </c>
      <c r="X659" s="73" t="s">
        <v>82</v>
      </c>
      <c r="Y659" s="73" t="s">
        <v>2150</v>
      </c>
      <c r="Z659" s="20" t="s">
        <v>2163</v>
      </c>
      <c r="AA659" s="14">
        <v>157.0</v>
      </c>
      <c r="AB659" s="14"/>
      <c r="AC659" s="14">
        <v>157.0</v>
      </c>
      <c r="AD659" s="14">
        <v>442178.0</v>
      </c>
      <c r="AE659" s="14"/>
      <c r="AF659" s="14">
        <v>442178.0</v>
      </c>
      <c r="AG659" s="22"/>
      <c r="AH659" s="22"/>
      <c r="AI659" s="22"/>
      <c r="AJ659" s="22"/>
      <c r="AK659" s="22"/>
      <c r="AL659" s="22"/>
      <c r="AM659" s="22"/>
      <c r="AN659" s="22"/>
      <c r="AO659" s="22"/>
      <c r="AP659" s="22"/>
    </row>
    <row r="660" hidden="1">
      <c r="A660" s="8">
        <v>46095.0</v>
      </c>
      <c r="B660" s="23">
        <v>46095.430555555555</v>
      </c>
      <c r="C660" s="10" t="s">
        <v>32</v>
      </c>
      <c r="D660" s="10" t="s">
        <v>33</v>
      </c>
      <c r="E660" s="12" t="s">
        <v>217</v>
      </c>
      <c r="F660" s="12" t="s">
        <v>2090</v>
      </c>
      <c r="G660" s="12" t="s">
        <v>2164</v>
      </c>
      <c r="H660" s="96" t="s">
        <v>2165</v>
      </c>
      <c r="I660" s="57" t="s">
        <v>2166</v>
      </c>
      <c r="J660" s="14">
        <v>3984.0</v>
      </c>
      <c r="K660" s="14">
        <v>2075.0</v>
      </c>
      <c r="L660" s="15">
        <v>0.5208</v>
      </c>
      <c r="M660" s="16">
        <v>1334.0</v>
      </c>
      <c r="N660" s="17">
        <v>0.6419</v>
      </c>
      <c r="O660" s="18">
        <v>88.0</v>
      </c>
      <c r="P660" s="18">
        <v>85.0</v>
      </c>
      <c r="Q660" s="19">
        <v>0.041</v>
      </c>
      <c r="R660" s="19">
        <v>0.0638</v>
      </c>
      <c r="S660" s="20"/>
      <c r="T660" s="20"/>
      <c r="U660" s="20"/>
      <c r="V660" s="21" t="s">
        <v>315</v>
      </c>
      <c r="W660" s="18" t="s">
        <v>76</v>
      </c>
      <c r="X660" s="73" t="s">
        <v>1620</v>
      </c>
      <c r="Y660" s="73" t="s">
        <v>2150</v>
      </c>
      <c r="Z660" s="20" t="s">
        <v>2167</v>
      </c>
      <c r="AA660" s="14">
        <v>50.0</v>
      </c>
      <c r="AB660" s="14"/>
      <c r="AC660" s="14">
        <v>50.0</v>
      </c>
      <c r="AD660" s="14">
        <v>148867.0</v>
      </c>
      <c r="AE660" s="14"/>
      <c r="AF660" s="14">
        <v>148867.0</v>
      </c>
      <c r="AG660" s="22"/>
      <c r="AH660" s="22"/>
      <c r="AI660" s="22"/>
      <c r="AJ660" s="22"/>
      <c r="AK660" s="22"/>
      <c r="AL660" s="22"/>
      <c r="AM660" s="22"/>
      <c r="AN660" s="22"/>
      <c r="AO660" s="22"/>
      <c r="AP660" s="22"/>
    </row>
    <row r="661" hidden="1">
      <c r="A661" s="8">
        <v>46095.0</v>
      </c>
      <c r="B661" s="23">
        <v>46095.43402777778</v>
      </c>
      <c r="C661" s="10" t="s">
        <v>32</v>
      </c>
      <c r="D661" s="10" t="s">
        <v>33</v>
      </c>
      <c r="E661" s="12" t="s">
        <v>217</v>
      </c>
      <c r="F661" s="12" t="s">
        <v>2090</v>
      </c>
      <c r="G661" s="12" t="s">
        <v>2168</v>
      </c>
      <c r="H661" s="96" t="s">
        <v>2169</v>
      </c>
      <c r="I661" s="57" t="s">
        <v>2170</v>
      </c>
      <c r="J661" s="14">
        <v>10606.0</v>
      </c>
      <c r="K661" s="14">
        <v>5868.0</v>
      </c>
      <c r="L661" s="15">
        <v>0.5533</v>
      </c>
      <c r="M661" s="16">
        <v>3440.0</v>
      </c>
      <c r="N661" s="17">
        <v>0.5847</v>
      </c>
      <c r="O661" s="18">
        <v>131.0</v>
      </c>
      <c r="P661" s="18">
        <v>124.0</v>
      </c>
      <c r="Q661" s="19">
        <v>0.0211</v>
      </c>
      <c r="R661" s="19">
        <v>0.0362</v>
      </c>
      <c r="S661" s="20"/>
      <c r="T661" s="20"/>
      <c r="U661" s="20"/>
      <c r="V661" s="21" t="s">
        <v>315</v>
      </c>
      <c r="W661" s="18" t="s">
        <v>76</v>
      </c>
      <c r="X661" s="73" t="s">
        <v>1637</v>
      </c>
      <c r="Y661" s="73" t="s">
        <v>2150</v>
      </c>
      <c r="Z661" s="20" t="s">
        <v>2171</v>
      </c>
      <c r="AA661" s="14">
        <v>34.0</v>
      </c>
      <c r="AB661" s="14"/>
      <c r="AC661" s="14">
        <v>34.0</v>
      </c>
      <c r="AD661" s="14">
        <v>162547.0</v>
      </c>
      <c r="AE661" s="14"/>
      <c r="AF661" s="14">
        <v>162547.0</v>
      </c>
      <c r="AG661" s="22"/>
      <c r="AH661" s="22"/>
      <c r="AI661" s="22"/>
      <c r="AJ661" s="22"/>
      <c r="AK661" s="22"/>
      <c r="AL661" s="22"/>
      <c r="AM661" s="22"/>
      <c r="AN661" s="22"/>
      <c r="AO661" s="22"/>
      <c r="AP661" s="22"/>
    </row>
    <row r="662" hidden="1">
      <c r="A662" s="8">
        <v>46095.354166666664</v>
      </c>
      <c r="B662" s="23">
        <v>46095.354166666664</v>
      </c>
      <c r="C662" s="10" t="s">
        <v>32</v>
      </c>
      <c r="D662" s="10" t="s">
        <v>33</v>
      </c>
      <c r="E662" s="12" t="s">
        <v>34</v>
      </c>
      <c r="F662" s="12" t="s">
        <v>2172</v>
      </c>
      <c r="G662" s="12" t="s">
        <v>2173</v>
      </c>
      <c r="H662" s="108" t="s">
        <v>2174</v>
      </c>
      <c r="I662" s="72" t="s">
        <v>41</v>
      </c>
      <c r="J662" s="14">
        <v>124453.0</v>
      </c>
      <c r="K662" s="14">
        <v>63604.0</v>
      </c>
      <c r="L662" s="15">
        <v>0.511</v>
      </c>
      <c r="M662" s="16">
        <v>25656.0</v>
      </c>
      <c r="N662" s="17">
        <v>0.4032</v>
      </c>
      <c r="O662" s="18">
        <v>6606.0</v>
      </c>
      <c r="P662" s="18">
        <v>5430.0</v>
      </c>
      <c r="Q662" s="19">
        <v>0.0854</v>
      </c>
      <c r="R662" s="19">
        <v>0.2118</v>
      </c>
      <c r="S662" s="20"/>
      <c r="T662" s="20"/>
      <c r="U662" s="20"/>
      <c r="V662" s="21" t="s">
        <v>2175</v>
      </c>
      <c r="W662" s="18" t="s">
        <v>76</v>
      </c>
      <c r="X662" s="105" t="s">
        <v>41</v>
      </c>
      <c r="Y662" s="73" t="s">
        <v>2176</v>
      </c>
      <c r="Z662" s="20" t="s">
        <v>2177</v>
      </c>
      <c r="AA662" s="14">
        <v>104.0</v>
      </c>
      <c r="AB662" s="14">
        <v>53.0</v>
      </c>
      <c r="AC662" s="14">
        <v>51.0</v>
      </c>
      <c r="AD662" s="14">
        <v>1217185.0</v>
      </c>
      <c r="AE662" s="14">
        <v>416109.0</v>
      </c>
      <c r="AF662" s="14">
        <v>801076.0</v>
      </c>
      <c r="AG662" s="22"/>
      <c r="AH662" s="22"/>
      <c r="AI662" s="22"/>
      <c r="AJ662" s="22"/>
      <c r="AK662" s="22"/>
      <c r="AL662" s="22"/>
      <c r="AM662" s="22"/>
      <c r="AN662" s="22"/>
      <c r="AO662" s="22"/>
      <c r="AP662" s="22"/>
    </row>
    <row r="663" hidden="1">
      <c r="A663" s="8">
        <v>46095.520833333336</v>
      </c>
      <c r="B663" s="23">
        <v>46095.520833333336</v>
      </c>
      <c r="C663" s="10" t="s">
        <v>58</v>
      </c>
      <c r="D663" s="10" t="s">
        <v>59</v>
      </c>
      <c r="E663" s="12" t="s">
        <v>34</v>
      </c>
      <c r="F663" s="12" t="s">
        <v>2172</v>
      </c>
      <c r="G663" s="12" t="s">
        <v>2178</v>
      </c>
      <c r="H663" s="12" t="s">
        <v>2174</v>
      </c>
      <c r="I663" s="57" t="s">
        <v>2179</v>
      </c>
      <c r="J663" s="14">
        <v>58457.0</v>
      </c>
      <c r="K663" s="14">
        <v>34324.0</v>
      </c>
      <c r="L663" s="15">
        <v>0.587</v>
      </c>
      <c r="M663" s="16">
        <v>0.0</v>
      </c>
      <c r="N663" s="16">
        <v>0.0</v>
      </c>
      <c r="O663" s="18">
        <v>112.0</v>
      </c>
      <c r="P663" s="18">
        <v>0.0</v>
      </c>
      <c r="Q663" s="19">
        <v>0.003</v>
      </c>
      <c r="R663" s="19">
        <v>0.0</v>
      </c>
      <c r="S663" s="20">
        <v>1.0</v>
      </c>
      <c r="T663" s="20">
        <v>2.0</v>
      </c>
      <c r="U663" s="85">
        <v>4999.0</v>
      </c>
      <c r="V663" s="21" t="s">
        <v>2175</v>
      </c>
      <c r="W663" s="18" t="s">
        <v>62</v>
      </c>
      <c r="X663" s="106" t="s">
        <v>41</v>
      </c>
      <c r="Y663" s="73" t="s">
        <v>2176</v>
      </c>
      <c r="Z663" s="20" t="s">
        <v>2180</v>
      </c>
      <c r="AA663" s="14">
        <v>40.0</v>
      </c>
      <c r="AB663" s="14">
        <v>5.0</v>
      </c>
      <c r="AC663" s="14">
        <v>35.0</v>
      </c>
      <c r="AD663" s="14">
        <v>547343.0</v>
      </c>
      <c r="AE663" s="14">
        <v>28077.0</v>
      </c>
      <c r="AF663" s="14">
        <v>519266.0</v>
      </c>
      <c r="AG663" s="22"/>
      <c r="AH663" s="22"/>
      <c r="AI663" s="22"/>
      <c r="AJ663" s="22"/>
      <c r="AK663" s="22"/>
      <c r="AL663" s="22"/>
      <c r="AM663" s="22"/>
      <c r="AN663" s="22"/>
      <c r="AO663" s="22"/>
      <c r="AP663" s="22"/>
    </row>
    <row r="664" hidden="1">
      <c r="A664" s="8">
        <v>46096.0</v>
      </c>
      <c r="B664" s="23">
        <v>0.5</v>
      </c>
      <c r="C664" s="10" t="s">
        <v>32</v>
      </c>
      <c r="D664" s="10" t="s">
        <v>33</v>
      </c>
      <c r="E664" s="12" t="s">
        <v>71</v>
      </c>
      <c r="F664" s="12" t="s">
        <v>2058</v>
      </c>
      <c r="G664" s="12" t="s">
        <v>2181</v>
      </c>
      <c r="H664" s="96" t="s">
        <v>2060</v>
      </c>
      <c r="I664" s="57" t="s">
        <v>2182</v>
      </c>
      <c r="J664" s="14">
        <v>813.0</v>
      </c>
      <c r="K664" s="14">
        <v>524.0</v>
      </c>
      <c r="L664" s="15">
        <v>0.6445</v>
      </c>
      <c r="M664" s="16">
        <v>415.0</v>
      </c>
      <c r="N664" s="17">
        <v>0.792</v>
      </c>
      <c r="O664" s="18">
        <v>11.0</v>
      </c>
      <c r="P664" s="18">
        <v>11.0</v>
      </c>
      <c r="Q664" s="19">
        <v>0.021</v>
      </c>
      <c r="R664" s="19">
        <v>0.0265</v>
      </c>
      <c r="S664" s="20">
        <v>0.0</v>
      </c>
      <c r="T664" s="20">
        <v>0.0</v>
      </c>
      <c r="U664" s="20">
        <v>0.0</v>
      </c>
      <c r="V664" s="21" t="s">
        <v>335</v>
      </c>
      <c r="W664" s="18" t="s">
        <v>76</v>
      </c>
      <c r="X664" s="73" t="s">
        <v>2062</v>
      </c>
      <c r="Y664" s="66" t="s">
        <v>2183</v>
      </c>
      <c r="Z664" s="20" t="s">
        <v>2184</v>
      </c>
      <c r="AA664" s="14">
        <v>3.0</v>
      </c>
      <c r="AB664" s="14">
        <v>3.0</v>
      </c>
      <c r="AC664" s="14"/>
      <c r="AD664" s="14">
        <v>10487.0</v>
      </c>
      <c r="AE664" s="14">
        <v>10487.0</v>
      </c>
      <c r="AF664" s="14"/>
      <c r="AG664" s="109"/>
      <c r="AH664" s="109"/>
      <c r="AI664" s="109"/>
      <c r="AJ664" s="22"/>
      <c r="AK664" s="22"/>
      <c r="AL664" s="22"/>
      <c r="AM664" s="22"/>
      <c r="AN664" s="22"/>
      <c r="AO664" s="22"/>
      <c r="AP664" s="22"/>
    </row>
    <row r="665" hidden="1">
      <c r="A665" s="8">
        <v>46096.0</v>
      </c>
      <c r="B665" s="23">
        <v>0.5</v>
      </c>
      <c r="C665" s="10" t="s">
        <v>32</v>
      </c>
      <c r="D665" s="10" t="s">
        <v>33</v>
      </c>
      <c r="E665" s="12" t="s">
        <v>71</v>
      </c>
      <c r="F665" s="12" t="s">
        <v>2058</v>
      </c>
      <c r="G665" s="12" t="s">
        <v>2185</v>
      </c>
      <c r="H665" s="96" t="s">
        <v>2066</v>
      </c>
      <c r="I665" s="57" t="s">
        <v>2186</v>
      </c>
      <c r="J665" s="14">
        <v>4424.0</v>
      </c>
      <c r="K665" s="14">
        <v>2765.0</v>
      </c>
      <c r="L665" s="15">
        <v>0.625</v>
      </c>
      <c r="M665" s="16">
        <v>2133.0</v>
      </c>
      <c r="N665" s="17">
        <v>0.7717</v>
      </c>
      <c r="O665" s="18">
        <v>87.0</v>
      </c>
      <c r="P665" s="18">
        <v>75.0</v>
      </c>
      <c r="Q665" s="19">
        <v>0.0271</v>
      </c>
      <c r="R665" s="19">
        <v>0.0352</v>
      </c>
      <c r="S665" s="20">
        <v>2.0</v>
      </c>
      <c r="T665" s="20">
        <v>2.0</v>
      </c>
      <c r="U665" s="20">
        <v>4839.0</v>
      </c>
      <c r="V665" s="21" t="s">
        <v>335</v>
      </c>
      <c r="W665" s="18" t="s">
        <v>76</v>
      </c>
      <c r="X665" s="73" t="s">
        <v>41</v>
      </c>
      <c r="Y665" s="66" t="s">
        <v>2183</v>
      </c>
      <c r="Z665" s="20" t="s">
        <v>2187</v>
      </c>
      <c r="AA665" s="14">
        <v>6.0</v>
      </c>
      <c r="AB665" s="14">
        <v>6.0</v>
      </c>
      <c r="AC665" s="14"/>
      <c r="AD665" s="14">
        <v>14444.0</v>
      </c>
      <c r="AE665" s="14">
        <v>14444.0</v>
      </c>
      <c r="AF665" s="14"/>
      <c r="AG665" s="109"/>
      <c r="AH665" s="109"/>
      <c r="AI665" s="109"/>
      <c r="AJ665" s="22"/>
      <c r="AK665" s="22"/>
      <c r="AL665" s="22"/>
      <c r="AM665" s="22"/>
      <c r="AN665" s="22"/>
      <c r="AO665" s="22"/>
      <c r="AP665" s="22"/>
    </row>
    <row r="666" hidden="1">
      <c r="A666" s="8">
        <v>46096.0</v>
      </c>
      <c r="B666" s="23">
        <v>0.5</v>
      </c>
      <c r="C666" s="10" t="s">
        <v>32</v>
      </c>
      <c r="D666" s="10" t="s">
        <v>33</v>
      </c>
      <c r="E666" s="12" t="s">
        <v>71</v>
      </c>
      <c r="F666" s="12" t="s">
        <v>2058</v>
      </c>
      <c r="G666" s="12" t="s">
        <v>2188</v>
      </c>
      <c r="H666" s="96" t="s">
        <v>2100</v>
      </c>
      <c r="I666" s="57" t="s">
        <v>2189</v>
      </c>
      <c r="J666" s="14">
        <v>115.0</v>
      </c>
      <c r="K666" s="14">
        <v>79.0</v>
      </c>
      <c r="L666" s="15">
        <v>0.687</v>
      </c>
      <c r="M666" s="16">
        <v>56.0</v>
      </c>
      <c r="N666" s="17">
        <v>0.7089</v>
      </c>
      <c r="O666" s="18">
        <v>5.0</v>
      </c>
      <c r="P666" s="18">
        <v>5.0</v>
      </c>
      <c r="Q666" s="19">
        <v>0.0633</v>
      </c>
      <c r="R666" s="19">
        <v>0.0893</v>
      </c>
      <c r="S666" s="20">
        <v>1.0</v>
      </c>
      <c r="T666" s="20">
        <v>1.0</v>
      </c>
      <c r="U666" s="20">
        <v>948.0</v>
      </c>
      <c r="V666" s="21" t="s">
        <v>335</v>
      </c>
      <c r="W666" s="18" t="s">
        <v>76</v>
      </c>
      <c r="X666" s="73" t="s">
        <v>2102</v>
      </c>
      <c r="Y666" s="66" t="s">
        <v>2183</v>
      </c>
      <c r="Z666" s="20" t="s">
        <v>2190</v>
      </c>
      <c r="AA666" s="14">
        <v>2.0</v>
      </c>
      <c r="AB666" s="14">
        <v>2.0</v>
      </c>
      <c r="AC666" s="14"/>
      <c r="AD666" s="14">
        <v>2697.0</v>
      </c>
      <c r="AE666" s="14">
        <v>2697.0</v>
      </c>
      <c r="AF666" s="14"/>
      <c r="AG666" s="109"/>
      <c r="AH666" s="109"/>
      <c r="AI666" s="109"/>
      <c r="AJ666" s="22"/>
      <c r="AK666" s="22"/>
      <c r="AL666" s="22"/>
      <c r="AM666" s="22"/>
      <c r="AN666" s="22"/>
      <c r="AO666" s="22"/>
      <c r="AP666" s="22"/>
    </row>
    <row r="667" hidden="1">
      <c r="A667" s="8">
        <v>46096.0</v>
      </c>
      <c r="B667" s="23">
        <v>0.5</v>
      </c>
      <c r="C667" s="10" t="s">
        <v>32</v>
      </c>
      <c r="D667" s="10" t="s">
        <v>33</v>
      </c>
      <c r="E667" s="12" t="s">
        <v>71</v>
      </c>
      <c r="F667" s="12" t="s">
        <v>2058</v>
      </c>
      <c r="G667" s="12" t="s">
        <v>2191</v>
      </c>
      <c r="H667" s="96" t="s">
        <v>2129</v>
      </c>
      <c r="I667" s="57" t="s">
        <v>2192</v>
      </c>
      <c r="J667" s="14">
        <v>46.0</v>
      </c>
      <c r="K667" s="14">
        <v>35.0</v>
      </c>
      <c r="L667" s="15">
        <v>0.7609</v>
      </c>
      <c r="M667" s="16">
        <v>27.0</v>
      </c>
      <c r="N667" s="17">
        <v>0.7714</v>
      </c>
      <c r="O667" s="18">
        <v>2.0</v>
      </c>
      <c r="P667" s="18">
        <v>2.0</v>
      </c>
      <c r="Q667" s="19">
        <v>0.0571</v>
      </c>
      <c r="R667" s="19">
        <v>0.0741</v>
      </c>
      <c r="S667" s="20">
        <v>0.0</v>
      </c>
      <c r="T667" s="20">
        <v>0.0</v>
      </c>
      <c r="U667" s="20">
        <v>0.0</v>
      </c>
      <c r="V667" s="21" t="s">
        <v>335</v>
      </c>
      <c r="W667" s="18" t="s">
        <v>76</v>
      </c>
      <c r="X667" s="73" t="s">
        <v>2131</v>
      </c>
      <c r="Y667" s="66" t="s">
        <v>2183</v>
      </c>
      <c r="Z667" s="20" t="s">
        <v>2193</v>
      </c>
      <c r="AA667" s="14">
        <v>1.0</v>
      </c>
      <c r="AB667" s="14">
        <v>1.0</v>
      </c>
      <c r="AC667" s="14"/>
      <c r="AD667" s="14">
        <v>3236.0</v>
      </c>
      <c r="AE667" s="14">
        <v>3236.0</v>
      </c>
      <c r="AF667" s="14"/>
      <c r="AG667" s="22"/>
      <c r="AH667" s="22"/>
      <c r="AI667" s="22"/>
      <c r="AJ667" s="22"/>
      <c r="AK667" s="22"/>
      <c r="AL667" s="22"/>
      <c r="AM667" s="22"/>
      <c r="AN667" s="22"/>
      <c r="AO667" s="22"/>
      <c r="AP667" s="22"/>
    </row>
    <row r="668" hidden="1">
      <c r="A668" s="8">
        <v>46096.0</v>
      </c>
      <c r="B668" s="23">
        <v>0.5</v>
      </c>
      <c r="C668" s="10" t="s">
        <v>32</v>
      </c>
      <c r="D668" s="10" t="s">
        <v>33</v>
      </c>
      <c r="E668" s="12" t="s">
        <v>71</v>
      </c>
      <c r="F668" s="12" t="s">
        <v>2058</v>
      </c>
      <c r="G668" s="12" t="s">
        <v>2194</v>
      </c>
      <c r="H668" s="96" t="s">
        <v>2070</v>
      </c>
      <c r="I668" s="57" t="s">
        <v>2195</v>
      </c>
      <c r="J668" s="14">
        <v>104.0</v>
      </c>
      <c r="K668" s="14">
        <v>68.0</v>
      </c>
      <c r="L668" s="15">
        <v>0.6538</v>
      </c>
      <c r="M668" s="16">
        <v>50.0</v>
      </c>
      <c r="N668" s="17">
        <v>0.7353</v>
      </c>
      <c r="O668" s="18">
        <v>0.0</v>
      </c>
      <c r="P668" s="18">
        <v>0.0</v>
      </c>
      <c r="Q668" s="19">
        <v>0.0</v>
      </c>
      <c r="R668" s="19">
        <v>0.0</v>
      </c>
      <c r="S668" s="20">
        <v>0.0</v>
      </c>
      <c r="T668" s="20">
        <v>0.0</v>
      </c>
      <c r="U668" s="20">
        <v>0.0</v>
      </c>
      <c r="V668" s="21" t="s">
        <v>335</v>
      </c>
      <c r="W668" s="18" t="s">
        <v>76</v>
      </c>
      <c r="X668" s="73" t="s">
        <v>52</v>
      </c>
      <c r="Y668" s="66" t="s">
        <v>2183</v>
      </c>
      <c r="Z668" s="20" t="s">
        <v>2196</v>
      </c>
      <c r="AA668" s="14">
        <v>0.0</v>
      </c>
      <c r="AB668" s="14">
        <v>0.0</v>
      </c>
      <c r="AC668" s="14"/>
      <c r="AD668" s="14">
        <v>0.0</v>
      </c>
      <c r="AE668" s="14">
        <v>0.0</v>
      </c>
      <c r="AF668" s="14"/>
      <c r="AG668" s="22"/>
      <c r="AH668" s="22"/>
      <c r="AI668" s="22"/>
      <c r="AJ668" s="22"/>
      <c r="AK668" s="22"/>
      <c r="AL668" s="22"/>
      <c r="AM668" s="22"/>
      <c r="AN668" s="22"/>
      <c r="AO668" s="22"/>
      <c r="AP668" s="22"/>
    </row>
    <row r="669" hidden="1">
      <c r="A669" s="8">
        <v>46096.0</v>
      </c>
      <c r="B669" s="23">
        <v>0.5</v>
      </c>
      <c r="C669" s="10" t="s">
        <v>32</v>
      </c>
      <c r="D669" s="10" t="s">
        <v>33</v>
      </c>
      <c r="E669" s="12" t="s">
        <v>71</v>
      </c>
      <c r="F669" s="12" t="s">
        <v>2058</v>
      </c>
      <c r="G669" s="12" t="s">
        <v>2197</v>
      </c>
      <c r="H669" s="96" t="s">
        <v>2124</v>
      </c>
      <c r="I669" s="57" t="s">
        <v>2198</v>
      </c>
      <c r="J669" s="14">
        <v>78.0</v>
      </c>
      <c r="K669" s="14">
        <v>38.0</v>
      </c>
      <c r="L669" s="15">
        <v>0.4872</v>
      </c>
      <c r="M669" s="16">
        <v>27.0</v>
      </c>
      <c r="N669" s="17">
        <v>0.7105</v>
      </c>
      <c r="O669" s="18">
        <v>0.0</v>
      </c>
      <c r="P669" s="18">
        <v>0.0</v>
      </c>
      <c r="Q669" s="19">
        <v>0.0</v>
      </c>
      <c r="R669" s="19">
        <v>0.0</v>
      </c>
      <c r="S669" s="20">
        <v>0.0</v>
      </c>
      <c r="T669" s="20">
        <v>0.0</v>
      </c>
      <c r="U669" s="20">
        <v>0.0</v>
      </c>
      <c r="V669" s="21" t="s">
        <v>335</v>
      </c>
      <c r="W669" s="18" t="s">
        <v>76</v>
      </c>
      <c r="X669" s="73" t="s">
        <v>2126</v>
      </c>
      <c r="Y669" s="66" t="s">
        <v>2183</v>
      </c>
      <c r="Z669" s="20" t="s">
        <v>2199</v>
      </c>
      <c r="AA669" s="14">
        <v>0.0</v>
      </c>
      <c r="AB669" s="14">
        <v>0.0</v>
      </c>
      <c r="AC669" s="14"/>
      <c r="AD669" s="14">
        <v>0.0</v>
      </c>
      <c r="AE669" s="14">
        <v>0.0</v>
      </c>
      <c r="AF669" s="14"/>
      <c r="AG669" s="22"/>
      <c r="AH669" s="22"/>
      <c r="AI669" s="22"/>
      <c r="AJ669" s="22"/>
      <c r="AK669" s="22"/>
      <c r="AL669" s="22"/>
      <c r="AM669" s="22"/>
      <c r="AN669" s="22"/>
      <c r="AO669" s="22"/>
      <c r="AP669" s="22"/>
    </row>
    <row r="670" hidden="1">
      <c r="A670" s="8">
        <v>46096.0</v>
      </c>
      <c r="B670" s="23">
        <v>0.5</v>
      </c>
      <c r="C670" s="10" t="s">
        <v>32</v>
      </c>
      <c r="D670" s="10" t="s">
        <v>33</v>
      </c>
      <c r="E670" s="12" t="s">
        <v>71</v>
      </c>
      <c r="F670" s="12" t="s">
        <v>2058</v>
      </c>
      <c r="G670" s="12" t="s">
        <v>2200</v>
      </c>
      <c r="H670" s="96" t="s">
        <v>2120</v>
      </c>
      <c r="I670" s="57" t="s">
        <v>2201</v>
      </c>
      <c r="J670" s="14">
        <v>3728.0</v>
      </c>
      <c r="K670" s="14">
        <v>2421.0</v>
      </c>
      <c r="L670" s="15">
        <v>0.6494</v>
      </c>
      <c r="M670" s="16">
        <v>1903.0</v>
      </c>
      <c r="N670" s="17">
        <v>0.786</v>
      </c>
      <c r="O670" s="18">
        <v>60.0</v>
      </c>
      <c r="P670" s="18">
        <v>58.0</v>
      </c>
      <c r="Q670" s="19">
        <v>0.024</v>
      </c>
      <c r="R670" s="19">
        <v>0.0305</v>
      </c>
      <c r="S670" s="20">
        <v>0.0</v>
      </c>
      <c r="T670" s="20">
        <v>1.0</v>
      </c>
      <c r="U670" s="20">
        <v>0.0</v>
      </c>
      <c r="V670" s="21" t="s">
        <v>335</v>
      </c>
      <c r="W670" s="18" t="s">
        <v>76</v>
      </c>
      <c r="X670" s="73" t="s">
        <v>2062</v>
      </c>
      <c r="Y670" s="66" t="s">
        <v>2183</v>
      </c>
      <c r="Z670" s="20" t="s">
        <v>2202</v>
      </c>
      <c r="AA670" s="14">
        <v>7.0</v>
      </c>
      <c r="AB670" s="14">
        <v>7.0</v>
      </c>
      <c r="AC670" s="14"/>
      <c r="AD670" s="14">
        <v>20497.0</v>
      </c>
      <c r="AE670" s="14">
        <v>20497.0</v>
      </c>
      <c r="AF670" s="14"/>
      <c r="AG670" s="22"/>
      <c r="AH670" s="22"/>
      <c r="AI670" s="22"/>
      <c r="AJ670" s="22"/>
      <c r="AK670" s="22"/>
      <c r="AL670" s="22"/>
      <c r="AM670" s="22"/>
      <c r="AN670" s="22"/>
      <c r="AO670" s="22"/>
      <c r="AP670" s="22"/>
    </row>
    <row r="671" hidden="1">
      <c r="A671" s="8">
        <v>46096.0</v>
      </c>
      <c r="B671" s="23">
        <v>0.5</v>
      </c>
      <c r="C671" s="10" t="s">
        <v>32</v>
      </c>
      <c r="D671" s="10" t="s">
        <v>33</v>
      </c>
      <c r="E671" s="12" t="s">
        <v>71</v>
      </c>
      <c r="F671" s="12" t="s">
        <v>2058</v>
      </c>
      <c r="G671" s="12" t="s">
        <v>2203</v>
      </c>
      <c r="H671" s="96" t="s">
        <v>2110</v>
      </c>
      <c r="I671" s="57" t="s">
        <v>2204</v>
      </c>
      <c r="J671" s="14">
        <v>1874.0</v>
      </c>
      <c r="K671" s="14">
        <v>1122.0</v>
      </c>
      <c r="L671" s="15">
        <v>0.5987</v>
      </c>
      <c r="M671" s="16">
        <v>877.0</v>
      </c>
      <c r="N671" s="17">
        <v>0.7816</v>
      </c>
      <c r="O671" s="18">
        <v>56.0</v>
      </c>
      <c r="P671" s="18">
        <v>51.0</v>
      </c>
      <c r="Q671" s="19">
        <v>0.0455</v>
      </c>
      <c r="R671" s="19">
        <v>0.0582</v>
      </c>
      <c r="S671" s="20">
        <v>0.0</v>
      </c>
      <c r="T671" s="20">
        <v>0.0</v>
      </c>
      <c r="U671" s="20">
        <v>0.0</v>
      </c>
      <c r="V671" s="21" t="s">
        <v>335</v>
      </c>
      <c r="W671" s="18" t="s">
        <v>76</v>
      </c>
      <c r="X671" s="73" t="s">
        <v>2112</v>
      </c>
      <c r="Y671" s="66" t="s">
        <v>2183</v>
      </c>
      <c r="Z671" s="20" t="s">
        <v>2205</v>
      </c>
      <c r="AA671" s="14">
        <v>4.0</v>
      </c>
      <c r="AB671" s="14">
        <v>4.0</v>
      </c>
      <c r="AC671" s="14"/>
      <c r="AD671" s="14">
        <v>7012.0</v>
      </c>
      <c r="AE671" s="14">
        <v>7012.0</v>
      </c>
      <c r="AF671" s="14"/>
      <c r="AG671" s="22"/>
      <c r="AH671" s="22"/>
      <c r="AI671" s="22"/>
      <c r="AJ671" s="22"/>
      <c r="AK671" s="22"/>
      <c r="AL671" s="22"/>
      <c r="AM671" s="22"/>
      <c r="AN671" s="22"/>
      <c r="AO671" s="22"/>
      <c r="AP671" s="22"/>
    </row>
    <row r="672" hidden="1">
      <c r="A672" s="8">
        <v>46096.0</v>
      </c>
      <c r="B672" s="23">
        <v>0.5</v>
      </c>
      <c r="C672" s="10" t="s">
        <v>32</v>
      </c>
      <c r="D672" s="10" t="s">
        <v>33</v>
      </c>
      <c r="E672" s="12" t="s">
        <v>71</v>
      </c>
      <c r="F672" s="12" t="s">
        <v>2058</v>
      </c>
      <c r="G672" s="12" t="s">
        <v>2206</v>
      </c>
      <c r="H672" s="96" t="s">
        <v>2115</v>
      </c>
      <c r="I672" s="57" t="s">
        <v>2207</v>
      </c>
      <c r="J672" s="14">
        <v>11.0</v>
      </c>
      <c r="K672" s="14">
        <v>5.0</v>
      </c>
      <c r="L672" s="15">
        <v>0.4545</v>
      </c>
      <c r="M672" s="16">
        <v>4.0</v>
      </c>
      <c r="N672" s="17">
        <v>0.8</v>
      </c>
      <c r="O672" s="18">
        <v>0.0</v>
      </c>
      <c r="P672" s="18">
        <v>0.0</v>
      </c>
      <c r="Q672" s="19">
        <v>0.0</v>
      </c>
      <c r="R672" s="19">
        <v>0.0</v>
      </c>
      <c r="S672" s="20">
        <v>0.0</v>
      </c>
      <c r="T672" s="20">
        <v>0.0</v>
      </c>
      <c r="U672" s="20">
        <v>0.0</v>
      </c>
      <c r="V672" s="21" t="s">
        <v>335</v>
      </c>
      <c r="W672" s="18" t="s">
        <v>76</v>
      </c>
      <c r="X672" s="73" t="s">
        <v>2117</v>
      </c>
      <c r="Y672" s="66" t="s">
        <v>2183</v>
      </c>
      <c r="Z672" s="20" t="s">
        <v>2208</v>
      </c>
      <c r="AA672" s="14">
        <v>0.0</v>
      </c>
      <c r="AB672" s="14">
        <v>0.0</v>
      </c>
      <c r="AC672" s="14"/>
      <c r="AD672" s="14">
        <v>0.0</v>
      </c>
      <c r="AE672" s="14">
        <v>0.0</v>
      </c>
      <c r="AF672" s="14"/>
      <c r="AG672" s="22"/>
      <c r="AH672" s="22"/>
      <c r="AI672" s="22"/>
      <c r="AJ672" s="22"/>
      <c r="AK672" s="22"/>
      <c r="AL672" s="22"/>
      <c r="AM672" s="22"/>
      <c r="AN672" s="22"/>
      <c r="AO672" s="22"/>
      <c r="AP672" s="22"/>
    </row>
    <row r="673" hidden="1">
      <c r="A673" s="8">
        <v>46096.0</v>
      </c>
      <c r="B673" s="23">
        <v>0.5</v>
      </c>
      <c r="C673" s="10" t="s">
        <v>32</v>
      </c>
      <c r="D673" s="10" t="s">
        <v>33</v>
      </c>
      <c r="E673" s="12" t="s">
        <v>71</v>
      </c>
      <c r="F673" s="12" t="s">
        <v>2058</v>
      </c>
      <c r="G673" s="12" t="s">
        <v>2209</v>
      </c>
      <c r="H673" s="96" t="s">
        <v>2106</v>
      </c>
      <c r="I673" s="57" t="s">
        <v>2210</v>
      </c>
      <c r="J673" s="14">
        <v>1020.0</v>
      </c>
      <c r="K673" s="14">
        <v>607.0</v>
      </c>
      <c r="L673" s="15">
        <v>0.5951</v>
      </c>
      <c r="M673" s="16">
        <v>486.0</v>
      </c>
      <c r="N673" s="17">
        <v>0.8007</v>
      </c>
      <c r="O673" s="18">
        <v>30.0</v>
      </c>
      <c r="P673" s="18">
        <v>28.0</v>
      </c>
      <c r="Q673" s="19">
        <v>0.0461</v>
      </c>
      <c r="R673" s="19">
        <v>0.0576</v>
      </c>
      <c r="S673" s="20">
        <v>1.0</v>
      </c>
      <c r="T673" s="20">
        <v>0.0</v>
      </c>
      <c r="U673" s="20">
        <v>4495.0</v>
      </c>
      <c r="V673" s="21" t="s">
        <v>335</v>
      </c>
      <c r="W673" s="18" t="s">
        <v>76</v>
      </c>
      <c r="X673" s="73" t="s">
        <v>82</v>
      </c>
      <c r="Y673" s="66" t="s">
        <v>2183</v>
      </c>
      <c r="Z673" s="20" t="s">
        <v>2211</v>
      </c>
      <c r="AA673" s="14">
        <v>10.0</v>
      </c>
      <c r="AB673" s="14">
        <v>10.0</v>
      </c>
      <c r="AC673" s="14"/>
      <c r="AD673" s="14">
        <v>14024.0</v>
      </c>
      <c r="AE673" s="14">
        <v>14024.0</v>
      </c>
      <c r="AF673" s="14"/>
      <c r="AG673" s="22"/>
      <c r="AH673" s="22"/>
      <c r="AI673" s="22"/>
      <c r="AJ673" s="22"/>
      <c r="AK673" s="22"/>
      <c r="AL673" s="22"/>
      <c r="AM673" s="22"/>
      <c r="AN673" s="22"/>
      <c r="AO673" s="22"/>
      <c r="AP673" s="22"/>
    </row>
    <row r="674" hidden="1">
      <c r="A674" s="8">
        <v>46096.0</v>
      </c>
      <c r="B674" s="23">
        <v>0.3333333333333333</v>
      </c>
      <c r="C674" s="10" t="s">
        <v>32</v>
      </c>
      <c r="D674" s="10" t="s">
        <v>33</v>
      </c>
      <c r="E674" s="10" t="s">
        <v>2212</v>
      </c>
      <c r="F674" s="10" t="s">
        <v>2213</v>
      </c>
      <c r="G674" s="10" t="s">
        <v>2214</v>
      </c>
      <c r="H674" s="10" t="s">
        <v>2215</v>
      </c>
      <c r="I674" s="13" t="s">
        <v>2216</v>
      </c>
      <c r="J674" s="14">
        <v>23473.0</v>
      </c>
      <c r="K674" s="14">
        <v>12285.0</v>
      </c>
      <c r="L674" s="15">
        <v>0.5234</v>
      </c>
      <c r="M674" s="16">
        <v>6364.0</v>
      </c>
      <c r="N674" s="17">
        <v>0.5181</v>
      </c>
      <c r="O674" s="18">
        <v>279.0</v>
      </c>
      <c r="P674" s="18">
        <v>262.0</v>
      </c>
      <c r="Q674" s="19">
        <v>0.0213</v>
      </c>
      <c r="R674" s="19">
        <v>0.0412</v>
      </c>
      <c r="S674" s="110"/>
      <c r="T674" s="110"/>
      <c r="U674" s="110"/>
      <c r="V674" s="21" t="s">
        <v>183</v>
      </c>
      <c r="W674" s="18" t="s">
        <v>76</v>
      </c>
      <c r="X674" s="106" t="s">
        <v>2217</v>
      </c>
      <c r="Y674" s="21" t="s">
        <v>2218</v>
      </c>
      <c r="Z674" s="20" t="s">
        <v>2219</v>
      </c>
      <c r="AA674" s="111"/>
      <c r="AB674" s="111"/>
      <c r="AC674" s="111"/>
      <c r="AD674" s="111"/>
      <c r="AE674" s="111"/>
      <c r="AF674" s="18"/>
      <c r="AG674" s="22"/>
      <c r="AH674" s="22"/>
      <c r="AI674" s="22"/>
      <c r="AJ674" s="22"/>
      <c r="AK674" s="22"/>
      <c r="AL674" s="22"/>
      <c r="AM674" s="22"/>
      <c r="AN674" s="22"/>
      <c r="AO674" s="22"/>
      <c r="AP674" s="22"/>
    </row>
    <row r="675" hidden="1">
      <c r="A675" s="8">
        <v>46096.0</v>
      </c>
      <c r="B675" s="23">
        <v>0.3333333333333333</v>
      </c>
      <c r="C675" s="10" t="s">
        <v>32</v>
      </c>
      <c r="D675" s="10" t="s">
        <v>33</v>
      </c>
      <c r="E675" s="10" t="s">
        <v>2212</v>
      </c>
      <c r="F675" s="10" t="s">
        <v>2213</v>
      </c>
      <c r="G675" s="10" t="s">
        <v>2220</v>
      </c>
      <c r="H675" s="10" t="s">
        <v>2221</v>
      </c>
      <c r="I675" s="13" t="s">
        <v>2222</v>
      </c>
      <c r="J675" s="14">
        <v>116282.0</v>
      </c>
      <c r="K675" s="14">
        <v>56180.0</v>
      </c>
      <c r="L675" s="15">
        <v>0.4831</v>
      </c>
      <c r="M675" s="16">
        <v>29250.0</v>
      </c>
      <c r="N675" s="17">
        <v>0.5205</v>
      </c>
      <c r="O675" s="18">
        <v>1431.0</v>
      </c>
      <c r="P675" s="18">
        <v>1367.0</v>
      </c>
      <c r="Q675" s="19">
        <v>0.0243</v>
      </c>
      <c r="R675" s="19">
        <v>0.0468</v>
      </c>
      <c r="S675" s="110"/>
      <c r="T675" s="110"/>
      <c r="U675" s="110"/>
      <c r="V675" s="21" t="s">
        <v>183</v>
      </c>
      <c r="W675" s="18" t="s">
        <v>76</v>
      </c>
      <c r="X675" s="106" t="s">
        <v>2217</v>
      </c>
      <c r="Y675" s="21" t="s">
        <v>2218</v>
      </c>
      <c r="Z675" s="20" t="s">
        <v>2223</v>
      </c>
      <c r="AA675" s="51"/>
      <c r="AB675" s="51"/>
      <c r="AC675" s="51"/>
      <c r="AD675" s="51"/>
      <c r="AE675" s="51"/>
      <c r="AF675" s="52"/>
      <c r="AG675" s="22"/>
      <c r="AH675" s="22"/>
      <c r="AI675" s="22"/>
      <c r="AJ675" s="22"/>
      <c r="AK675" s="22"/>
      <c r="AL675" s="22"/>
      <c r="AM675" s="22"/>
      <c r="AN675" s="22"/>
      <c r="AO675" s="22"/>
      <c r="AP675" s="22"/>
    </row>
    <row r="676" hidden="1">
      <c r="A676" s="8">
        <v>46096.0</v>
      </c>
      <c r="B676" s="23">
        <v>0.3333333333333333</v>
      </c>
      <c r="C676" s="10" t="s">
        <v>32</v>
      </c>
      <c r="D676" s="10" t="s">
        <v>33</v>
      </c>
      <c r="E676" s="10" t="s">
        <v>2212</v>
      </c>
      <c r="F676" s="10" t="s">
        <v>2213</v>
      </c>
      <c r="G676" s="10" t="s">
        <v>2224</v>
      </c>
      <c r="H676" s="10" t="s">
        <v>2225</v>
      </c>
      <c r="I676" s="13" t="s">
        <v>2226</v>
      </c>
      <c r="J676" s="14">
        <v>343424.0</v>
      </c>
      <c r="K676" s="14">
        <v>49033.0</v>
      </c>
      <c r="L676" s="15">
        <v>0.1428</v>
      </c>
      <c r="M676" s="16">
        <v>17718.0</v>
      </c>
      <c r="N676" s="17">
        <v>0.361</v>
      </c>
      <c r="O676" s="18">
        <v>521.0</v>
      </c>
      <c r="P676" s="18">
        <v>494.0</v>
      </c>
      <c r="Q676" s="19">
        <v>0.0101</v>
      </c>
      <c r="R676" s="19">
        <v>0.0279</v>
      </c>
      <c r="S676" s="110"/>
      <c r="T676" s="110"/>
      <c r="U676" s="110"/>
      <c r="V676" s="21" t="s">
        <v>183</v>
      </c>
      <c r="W676" s="18" t="s">
        <v>76</v>
      </c>
      <c r="X676" s="106" t="s">
        <v>2217</v>
      </c>
      <c r="Y676" s="21" t="s">
        <v>2218</v>
      </c>
      <c r="Z676" s="20" t="s">
        <v>2227</v>
      </c>
      <c r="AA676" s="51"/>
      <c r="AB676" s="51"/>
      <c r="AC676" s="51"/>
      <c r="AD676" s="51"/>
      <c r="AE676" s="51"/>
      <c r="AF676" s="52"/>
      <c r="AG676" s="22"/>
      <c r="AH676" s="22"/>
      <c r="AI676" s="22"/>
      <c r="AJ676" s="22"/>
      <c r="AK676" s="22"/>
      <c r="AL676" s="22"/>
      <c r="AM676" s="22"/>
      <c r="AN676" s="22"/>
      <c r="AO676" s="22"/>
      <c r="AP676" s="22"/>
    </row>
    <row r="677" hidden="1">
      <c r="A677" s="8">
        <v>46096.0</v>
      </c>
      <c r="B677" s="23">
        <v>0.75</v>
      </c>
      <c r="C677" s="10" t="s">
        <v>58</v>
      </c>
      <c r="D677" s="10" t="s">
        <v>59</v>
      </c>
      <c r="E677" s="10" t="s">
        <v>2212</v>
      </c>
      <c r="F677" s="10" t="s">
        <v>2213</v>
      </c>
      <c r="G677" s="10" t="s">
        <v>2228</v>
      </c>
      <c r="H677" s="10" t="s">
        <v>2225</v>
      </c>
      <c r="I677" s="102" t="s">
        <v>61</v>
      </c>
      <c r="J677" s="14">
        <v>293882.0</v>
      </c>
      <c r="K677" s="14">
        <v>188873.0</v>
      </c>
      <c r="L677" s="15">
        <v>0.6427</v>
      </c>
      <c r="M677" s="16"/>
      <c r="N677" s="17"/>
      <c r="O677" s="18">
        <v>56.0</v>
      </c>
      <c r="P677" s="18"/>
      <c r="Q677" s="19">
        <v>3.0E-4</v>
      </c>
      <c r="R677" s="19"/>
      <c r="S677" s="110"/>
      <c r="T677" s="110"/>
      <c r="U677" s="110"/>
      <c r="V677" s="21" t="s">
        <v>183</v>
      </c>
      <c r="W677" s="18" t="s">
        <v>62</v>
      </c>
      <c r="X677" s="106" t="s">
        <v>2217</v>
      </c>
      <c r="Y677" s="21" t="s">
        <v>2218</v>
      </c>
      <c r="Z677" s="20" t="s">
        <v>2229</v>
      </c>
      <c r="AA677" s="51"/>
      <c r="AB677" s="51"/>
      <c r="AC677" s="51"/>
      <c r="AD677" s="51"/>
      <c r="AE677" s="51"/>
      <c r="AF677" s="52"/>
      <c r="AG677" s="22"/>
      <c r="AH677" s="22"/>
      <c r="AI677" s="22"/>
      <c r="AJ677" s="22"/>
      <c r="AK677" s="22"/>
      <c r="AL677" s="22"/>
      <c r="AM677" s="22"/>
      <c r="AN677" s="22"/>
      <c r="AO677" s="22"/>
      <c r="AP677" s="22"/>
    </row>
    <row r="678" hidden="1">
      <c r="A678" s="8">
        <v>46096.0</v>
      </c>
      <c r="B678" s="23">
        <v>0.75</v>
      </c>
      <c r="C678" s="10" t="s">
        <v>58</v>
      </c>
      <c r="D678" s="10" t="s">
        <v>59</v>
      </c>
      <c r="E678" s="10" t="s">
        <v>2212</v>
      </c>
      <c r="F678" s="10" t="s">
        <v>2213</v>
      </c>
      <c r="G678" s="10" t="s">
        <v>2230</v>
      </c>
      <c r="H678" s="10" t="s">
        <v>2221</v>
      </c>
      <c r="I678" s="102" t="s">
        <v>61</v>
      </c>
      <c r="J678" s="14">
        <v>59214.0</v>
      </c>
      <c r="K678" s="14">
        <v>33044.0</v>
      </c>
      <c r="L678" s="15">
        <v>0.558</v>
      </c>
      <c r="M678" s="16"/>
      <c r="N678" s="17"/>
      <c r="O678" s="18">
        <v>26.0</v>
      </c>
      <c r="P678" s="18"/>
      <c r="Q678" s="19">
        <v>8.0E-4</v>
      </c>
      <c r="R678" s="19"/>
      <c r="S678" s="110"/>
      <c r="T678" s="110"/>
      <c r="U678" s="110"/>
      <c r="V678" s="21" t="s">
        <v>183</v>
      </c>
      <c r="W678" s="18" t="s">
        <v>62</v>
      </c>
      <c r="X678" s="106" t="s">
        <v>2217</v>
      </c>
      <c r="Y678" s="21" t="s">
        <v>2218</v>
      </c>
      <c r="Z678" s="20" t="s">
        <v>2231</v>
      </c>
      <c r="AA678" s="51"/>
      <c r="AB678" s="51"/>
      <c r="AC678" s="51"/>
      <c r="AD678" s="51"/>
      <c r="AE678" s="51"/>
      <c r="AF678" s="52"/>
      <c r="AG678" s="22"/>
      <c r="AH678" s="22"/>
      <c r="AI678" s="22"/>
      <c r="AJ678" s="22"/>
      <c r="AK678" s="22"/>
      <c r="AL678" s="22"/>
      <c r="AM678" s="22"/>
      <c r="AN678" s="22"/>
      <c r="AO678" s="22"/>
      <c r="AP678" s="22"/>
    </row>
    <row r="679" hidden="1">
      <c r="A679" s="8">
        <v>46096.0</v>
      </c>
      <c r="B679" s="23">
        <v>0.75</v>
      </c>
      <c r="C679" s="10" t="s">
        <v>58</v>
      </c>
      <c r="D679" s="10" t="s">
        <v>59</v>
      </c>
      <c r="E679" s="10" t="s">
        <v>2212</v>
      </c>
      <c r="F679" s="10" t="s">
        <v>2213</v>
      </c>
      <c r="G679" s="10" t="s">
        <v>2232</v>
      </c>
      <c r="H679" s="10" t="s">
        <v>2215</v>
      </c>
      <c r="I679" s="102" t="s">
        <v>61</v>
      </c>
      <c r="J679" s="14">
        <v>11011.0</v>
      </c>
      <c r="K679" s="14">
        <v>6294.0</v>
      </c>
      <c r="L679" s="15">
        <v>0.5716</v>
      </c>
      <c r="M679" s="16"/>
      <c r="N679" s="17"/>
      <c r="O679" s="18">
        <v>3.0</v>
      </c>
      <c r="P679" s="18"/>
      <c r="Q679" s="19">
        <v>5.0E-4</v>
      </c>
      <c r="R679" s="19"/>
      <c r="S679" s="110"/>
      <c r="T679" s="110"/>
      <c r="U679" s="110"/>
      <c r="V679" s="21" t="s">
        <v>183</v>
      </c>
      <c r="W679" s="18" t="s">
        <v>62</v>
      </c>
      <c r="X679" s="106" t="s">
        <v>2217</v>
      </c>
      <c r="Y679" s="21" t="s">
        <v>2218</v>
      </c>
      <c r="Z679" s="20" t="s">
        <v>2233</v>
      </c>
      <c r="AA679" s="51"/>
      <c r="AB679" s="51"/>
      <c r="AC679" s="51"/>
      <c r="AD679" s="51"/>
      <c r="AE679" s="51"/>
      <c r="AF679" s="52"/>
      <c r="AG679" s="22"/>
      <c r="AH679" s="22"/>
      <c r="AI679" s="22"/>
      <c r="AJ679" s="22"/>
      <c r="AK679" s="22"/>
      <c r="AL679" s="22"/>
      <c r="AM679" s="22"/>
      <c r="AN679" s="22"/>
      <c r="AO679" s="22"/>
      <c r="AP679" s="22"/>
    </row>
    <row r="680" hidden="1">
      <c r="A680" s="8">
        <v>46099.0</v>
      </c>
      <c r="B680" s="23">
        <v>0.7708333333333334</v>
      </c>
      <c r="C680" s="10" t="s">
        <v>32</v>
      </c>
      <c r="D680" s="10" t="s">
        <v>33</v>
      </c>
      <c r="E680" s="12" t="s">
        <v>71</v>
      </c>
      <c r="F680" s="12" t="s">
        <v>2234</v>
      </c>
      <c r="G680" s="12" t="s">
        <v>2235</v>
      </c>
      <c r="H680" s="96" t="s">
        <v>2236</v>
      </c>
      <c r="I680" s="30" t="s">
        <v>2237</v>
      </c>
      <c r="J680" s="14">
        <v>2845.0</v>
      </c>
      <c r="K680" s="14">
        <v>1421.0</v>
      </c>
      <c r="L680" s="15">
        <v>0.4995</v>
      </c>
      <c r="M680" s="16">
        <v>686.0</v>
      </c>
      <c r="N680" s="17">
        <v>0.4828</v>
      </c>
      <c r="O680" s="18">
        <v>175.0</v>
      </c>
      <c r="P680" s="18">
        <v>169.0</v>
      </c>
      <c r="Q680" s="19">
        <v>0.1189</v>
      </c>
      <c r="R680" s="19">
        <v>0.2464</v>
      </c>
      <c r="S680" s="20">
        <v>10.0</v>
      </c>
      <c r="T680" s="20">
        <v>38.0</v>
      </c>
      <c r="U680" s="20">
        <v>18102.0</v>
      </c>
      <c r="V680" s="21" t="s">
        <v>335</v>
      </c>
      <c r="W680" s="18" t="s">
        <v>76</v>
      </c>
      <c r="X680" s="95" t="s">
        <v>2238</v>
      </c>
      <c r="Y680" s="42" t="s">
        <v>2239</v>
      </c>
      <c r="Z680" s="20" t="s">
        <v>2240</v>
      </c>
      <c r="AA680" s="14">
        <v>12.0</v>
      </c>
      <c r="AB680" s="14">
        <v>12.0</v>
      </c>
      <c r="AC680" s="14"/>
      <c r="AD680" s="14">
        <v>27450.0</v>
      </c>
      <c r="AE680" s="14">
        <v>27450.0</v>
      </c>
      <c r="AF680" s="14"/>
      <c r="AG680" s="22"/>
      <c r="AH680" s="22"/>
      <c r="AI680" s="22"/>
      <c r="AJ680" s="22"/>
      <c r="AK680" s="22"/>
      <c r="AL680" s="22"/>
      <c r="AM680" s="22"/>
      <c r="AN680" s="22"/>
      <c r="AO680" s="22"/>
      <c r="AP680" s="22"/>
    </row>
    <row r="681" hidden="1">
      <c r="A681" s="8">
        <v>46099.0</v>
      </c>
      <c r="B681" s="23">
        <v>0.7708333333333334</v>
      </c>
      <c r="C681" s="10" t="s">
        <v>32</v>
      </c>
      <c r="D681" s="10" t="s">
        <v>33</v>
      </c>
      <c r="E681" s="12" t="s">
        <v>71</v>
      </c>
      <c r="F681" s="12" t="s">
        <v>2234</v>
      </c>
      <c r="G681" s="12" t="s">
        <v>2241</v>
      </c>
      <c r="H681" s="96" t="s">
        <v>2242</v>
      </c>
      <c r="I681" s="112" t="s">
        <v>2243</v>
      </c>
      <c r="J681" s="14">
        <v>4381.0</v>
      </c>
      <c r="K681" s="14">
        <v>1132.0</v>
      </c>
      <c r="L681" s="15">
        <v>0.2584</v>
      </c>
      <c r="M681" s="16">
        <v>582.0</v>
      </c>
      <c r="N681" s="17">
        <v>0.5141</v>
      </c>
      <c r="O681" s="18">
        <v>159.0</v>
      </c>
      <c r="P681" s="18">
        <v>154.0</v>
      </c>
      <c r="Q681" s="19">
        <v>0.136</v>
      </c>
      <c r="R681" s="19">
        <v>0.2646</v>
      </c>
      <c r="S681" s="20">
        <v>4.0</v>
      </c>
      <c r="T681" s="20">
        <v>5.0</v>
      </c>
      <c r="U681" s="20">
        <v>10012.0</v>
      </c>
      <c r="V681" s="21" t="s">
        <v>335</v>
      </c>
      <c r="W681" s="18" t="s">
        <v>76</v>
      </c>
      <c r="X681" s="101" t="s">
        <v>165</v>
      </c>
      <c r="Y681" s="42" t="s">
        <v>2239</v>
      </c>
      <c r="Z681" s="20" t="s">
        <v>2244</v>
      </c>
      <c r="AA681" s="14">
        <v>17.0</v>
      </c>
      <c r="AB681" s="14">
        <v>17.0</v>
      </c>
      <c r="AC681" s="14"/>
      <c r="AD681" s="14">
        <v>46974.0</v>
      </c>
      <c r="AE681" s="14">
        <v>46974.0</v>
      </c>
      <c r="AF681" s="14"/>
      <c r="AG681" s="22"/>
      <c r="AH681" s="22"/>
      <c r="AI681" s="22"/>
      <c r="AJ681" s="22"/>
      <c r="AK681" s="22"/>
      <c r="AL681" s="22"/>
      <c r="AM681" s="22"/>
      <c r="AN681" s="22"/>
      <c r="AO681" s="22"/>
      <c r="AP681" s="22"/>
    </row>
    <row r="682" hidden="1">
      <c r="A682" s="8">
        <v>46099.0</v>
      </c>
      <c r="B682" s="23">
        <v>0.7708333333333334</v>
      </c>
      <c r="C682" s="10" t="s">
        <v>32</v>
      </c>
      <c r="D682" s="10" t="s">
        <v>33</v>
      </c>
      <c r="E682" s="12" t="s">
        <v>71</v>
      </c>
      <c r="F682" s="12" t="s">
        <v>2234</v>
      </c>
      <c r="G682" s="12" t="s">
        <v>2245</v>
      </c>
      <c r="H682" s="96" t="s">
        <v>2246</v>
      </c>
      <c r="I682" s="112" t="s">
        <v>2247</v>
      </c>
      <c r="J682" s="14">
        <v>61385.0</v>
      </c>
      <c r="K682" s="14">
        <v>21972.0</v>
      </c>
      <c r="L682" s="15">
        <v>0.3579</v>
      </c>
      <c r="M682" s="16">
        <v>8610.0</v>
      </c>
      <c r="N682" s="17">
        <v>0.3919</v>
      </c>
      <c r="O682" s="18">
        <v>1625.0</v>
      </c>
      <c r="P682" s="18">
        <v>1537.0</v>
      </c>
      <c r="Q682" s="19">
        <v>0.07</v>
      </c>
      <c r="R682" s="19">
        <v>0.1785</v>
      </c>
      <c r="S682" s="20">
        <v>25.0</v>
      </c>
      <c r="T682" s="20">
        <v>51.0</v>
      </c>
      <c r="U682" s="20">
        <v>63888.0</v>
      </c>
      <c r="V682" s="21" t="s">
        <v>335</v>
      </c>
      <c r="W682" s="18" t="s">
        <v>76</v>
      </c>
      <c r="X682" s="101" t="s">
        <v>82</v>
      </c>
      <c r="Y682" s="42" t="s">
        <v>2239</v>
      </c>
      <c r="Z682" s="20" t="s">
        <v>2248</v>
      </c>
      <c r="AA682" s="14">
        <v>113.0</v>
      </c>
      <c r="AB682" s="14">
        <v>113.0</v>
      </c>
      <c r="AC682" s="14"/>
      <c r="AD682" s="14">
        <v>355037.0</v>
      </c>
      <c r="AE682" s="14">
        <v>355037.0</v>
      </c>
      <c r="AF682" s="14"/>
      <c r="AG682" s="22"/>
      <c r="AH682" s="22"/>
      <c r="AI682" s="22"/>
      <c r="AJ682" s="22"/>
      <c r="AK682" s="22"/>
      <c r="AL682" s="22"/>
      <c r="AM682" s="22"/>
      <c r="AN682" s="22"/>
      <c r="AO682" s="22"/>
      <c r="AP682" s="22"/>
    </row>
    <row r="683" hidden="1">
      <c r="A683" s="8">
        <v>46099.0</v>
      </c>
      <c r="B683" s="23">
        <v>0.7708333333333334</v>
      </c>
      <c r="C683" s="10" t="s">
        <v>32</v>
      </c>
      <c r="D683" s="10" t="s">
        <v>33</v>
      </c>
      <c r="E683" s="12" t="s">
        <v>71</v>
      </c>
      <c r="F683" s="12" t="s">
        <v>2234</v>
      </c>
      <c r="G683" s="12" t="s">
        <v>2249</v>
      </c>
      <c r="H683" s="96" t="s">
        <v>2250</v>
      </c>
      <c r="I683" s="112" t="s">
        <v>2251</v>
      </c>
      <c r="J683" s="14">
        <v>65241.0</v>
      </c>
      <c r="K683" s="14">
        <v>24413.0</v>
      </c>
      <c r="L683" s="15">
        <v>0.3742</v>
      </c>
      <c r="M683" s="16">
        <v>9962.0</v>
      </c>
      <c r="N683" s="17">
        <v>0.4081</v>
      </c>
      <c r="O683" s="18">
        <v>1561.0</v>
      </c>
      <c r="P683" s="18">
        <v>1455.0</v>
      </c>
      <c r="Q683" s="19">
        <v>0.0596</v>
      </c>
      <c r="R683" s="19">
        <v>0.1461</v>
      </c>
      <c r="S683" s="20">
        <v>12.0</v>
      </c>
      <c r="T683" s="20">
        <v>26.0</v>
      </c>
      <c r="U683" s="20">
        <v>21464.0</v>
      </c>
      <c r="V683" s="21" t="s">
        <v>335</v>
      </c>
      <c r="W683" s="18" t="s">
        <v>76</v>
      </c>
      <c r="X683" s="101" t="s">
        <v>2252</v>
      </c>
      <c r="Y683" s="42" t="s">
        <v>2239</v>
      </c>
      <c r="Z683" s="20" t="s">
        <v>2253</v>
      </c>
      <c r="AA683" s="14">
        <v>49.0</v>
      </c>
      <c r="AB683" s="14">
        <v>49.0</v>
      </c>
      <c r="AC683" s="14"/>
      <c r="AD683" s="14">
        <v>83604.0</v>
      </c>
      <c r="AE683" s="14">
        <v>83604.0</v>
      </c>
      <c r="AF683" s="14"/>
      <c r="AG683" s="22"/>
      <c r="AH683" s="22"/>
      <c r="AI683" s="22"/>
      <c r="AJ683" s="22"/>
      <c r="AK683" s="22"/>
      <c r="AL683" s="22"/>
      <c r="AM683" s="22"/>
      <c r="AN683" s="22"/>
      <c r="AO683" s="22"/>
      <c r="AP683" s="22"/>
    </row>
    <row r="684" hidden="1">
      <c r="A684" s="8">
        <v>46099.0</v>
      </c>
      <c r="B684" s="23">
        <v>0.7708333333333334</v>
      </c>
      <c r="C684" s="10" t="s">
        <v>32</v>
      </c>
      <c r="D684" s="10" t="s">
        <v>33</v>
      </c>
      <c r="E684" s="12" t="s">
        <v>71</v>
      </c>
      <c r="F684" s="12" t="s">
        <v>2234</v>
      </c>
      <c r="G684" s="12" t="s">
        <v>2254</v>
      </c>
      <c r="H684" s="96" t="s">
        <v>2255</v>
      </c>
      <c r="I684" s="112" t="s">
        <v>2256</v>
      </c>
      <c r="J684" s="14">
        <v>53675.0</v>
      </c>
      <c r="K684" s="14">
        <v>18988.0</v>
      </c>
      <c r="L684" s="15">
        <v>0.3538</v>
      </c>
      <c r="M684" s="16">
        <v>6805.0</v>
      </c>
      <c r="N684" s="17">
        <v>0.3586</v>
      </c>
      <c r="O684" s="18">
        <v>882.0</v>
      </c>
      <c r="P684" s="18">
        <v>836.0</v>
      </c>
      <c r="Q684" s="19">
        <v>0.0441</v>
      </c>
      <c r="R684" s="19">
        <v>0.1229</v>
      </c>
      <c r="S684" s="20">
        <v>7.0</v>
      </c>
      <c r="T684" s="20">
        <v>13.0</v>
      </c>
      <c r="U684" s="20">
        <v>15825.0</v>
      </c>
      <c r="V684" s="21" t="s">
        <v>335</v>
      </c>
      <c r="W684" s="18" t="s">
        <v>76</v>
      </c>
      <c r="X684" s="101" t="s">
        <v>2257</v>
      </c>
      <c r="Y684" s="42" t="s">
        <v>2239</v>
      </c>
      <c r="Z684" s="20" t="s">
        <v>2258</v>
      </c>
      <c r="AA684" s="14">
        <v>33.0</v>
      </c>
      <c r="AB684" s="14">
        <v>33.0</v>
      </c>
      <c r="AC684" s="14"/>
      <c r="AD684" s="14">
        <v>98399.0</v>
      </c>
      <c r="AE684" s="14">
        <v>98399.0</v>
      </c>
      <c r="AF684" s="14"/>
      <c r="AG684" s="22"/>
      <c r="AH684" s="22"/>
      <c r="AI684" s="22"/>
      <c r="AJ684" s="22"/>
      <c r="AK684" s="22"/>
      <c r="AL684" s="22"/>
      <c r="AM684" s="22"/>
      <c r="AN684" s="22"/>
      <c r="AO684" s="22"/>
      <c r="AP684" s="22"/>
    </row>
    <row r="685" hidden="1">
      <c r="A685" s="8">
        <v>46099.0</v>
      </c>
      <c r="B685" s="23">
        <v>0.7708333333333334</v>
      </c>
      <c r="C685" s="10" t="s">
        <v>32</v>
      </c>
      <c r="D685" s="10" t="s">
        <v>33</v>
      </c>
      <c r="E685" s="12" t="s">
        <v>71</v>
      </c>
      <c r="F685" s="12" t="s">
        <v>2234</v>
      </c>
      <c r="G685" s="12" t="s">
        <v>2259</v>
      </c>
      <c r="H685" s="96" t="s">
        <v>2260</v>
      </c>
      <c r="I685" s="112" t="s">
        <v>2261</v>
      </c>
      <c r="J685" s="14">
        <v>712.0</v>
      </c>
      <c r="K685" s="14">
        <v>312.0</v>
      </c>
      <c r="L685" s="15">
        <v>0.4382</v>
      </c>
      <c r="M685" s="16">
        <v>126.0</v>
      </c>
      <c r="N685" s="17">
        <v>0.4038</v>
      </c>
      <c r="O685" s="18">
        <v>22.0</v>
      </c>
      <c r="P685" s="18">
        <v>21.0</v>
      </c>
      <c r="Q685" s="19">
        <v>0.0673</v>
      </c>
      <c r="R685" s="19">
        <v>0.1667</v>
      </c>
      <c r="S685" s="20">
        <v>0.0</v>
      </c>
      <c r="T685" s="20">
        <v>0.0</v>
      </c>
      <c r="U685" s="20">
        <v>0.0</v>
      </c>
      <c r="V685" s="21" t="s">
        <v>335</v>
      </c>
      <c r="W685" s="18" t="s">
        <v>76</v>
      </c>
      <c r="X685" s="101" t="s">
        <v>47</v>
      </c>
      <c r="Y685" s="42" t="s">
        <v>2239</v>
      </c>
      <c r="Z685" s="20" t="s">
        <v>2262</v>
      </c>
      <c r="AA685" s="14">
        <v>0.0</v>
      </c>
      <c r="AB685" s="14">
        <v>0.0</v>
      </c>
      <c r="AC685" s="14"/>
      <c r="AD685" s="14">
        <v>0.0</v>
      </c>
      <c r="AE685" s="14">
        <v>0.0</v>
      </c>
      <c r="AF685" s="14"/>
      <c r="AG685" s="22"/>
      <c r="AH685" s="22"/>
      <c r="AI685" s="22"/>
      <c r="AJ685" s="22"/>
      <c r="AK685" s="22"/>
      <c r="AL685" s="22"/>
      <c r="AM685" s="22"/>
      <c r="AN685" s="22"/>
      <c r="AO685" s="22"/>
      <c r="AP685" s="22"/>
    </row>
    <row r="686" hidden="1">
      <c r="A686" s="8">
        <v>46099.0</v>
      </c>
      <c r="B686" s="23">
        <v>0.7708333333333334</v>
      </c>
      <c r="C686" s="10" t="s">
        <v>32</v>
      </c>
      <c r="D686" s="10" t="s">
        <v>33</v>
      </c>
      <c r="E686" s="12" t="s">
        <v>71</v>
      </c>
      <c r="F686" s="12" t="s">
        <v>2234</v>
      </c>
      <c r="G686" s="12" t="s">
        <v>2263</v>
      </c>
      <c r="H686" s="96" t="s">
        <v>2264</v>
      </c>
      <c r="I686" s="112" t="s">
        <v>2265</v>
      </c>
      <c r="J686" s="14">
        <v>3564.0</v>
      </c>
      <c r="K686" s="14">
        <v>1551.0</v>
      </c>
      <c r="L686" s="15">
        <v>0.4352</v>
      </c>
      <c r="M686" s="16">
        <v>545.0</v>
      </c>
      <c r="N686" s="17">
        <v>0.3516</v>
      </c>
      <c r="O686" s="18">
        <v>57.0</v>
      </c>
      <c r="P686" s="18">
        <v>55.0</v>
      </c>
      <c r="Q686" s="19">
        <v>0.0355</v>
      </c>
      <c r="R686" s="19">
        <v>0.1009</v>
      </c>
      <c r="S686" s="20">
        <v>0.0</v>
      </c>
      <c r="T686" s="20">
        <v>0.0</v>
      </c>
      <c r="U686" s="20">
        <v>0.0</v>
      </c>
      <c r="V686" s="21" t="s">
        <v>335</v>
      </c>
      <c r="W686" s="18" t="s">
        <v>76</v>
      </c>
      <c r="X686" s="101" t="s">
        <v>41</v>
      </c>
      <c r="Y686" s="42" t="s">
        <v>2239</v>
      </c>
      <c r="Z686" s="20" t="s">
        <v>2266</v>
      </c>
      <c r="AA686" s="14">
        <v>2.0</v>
      </c>
      <c r="AB686" s="14">
        <v>2.0</v>
      </c>
      <c r="AC686" s="14"/>
      <c r="AD686" s="14">
        <v>6289.0</v>
      </c>
      <c r="AE686" s="14">
        <v>6289.0</v>
      </c>
      <c r="AF686" s="14"/>
      <c r="AG686" s="22"/>
      <c r="AH686" s="22"/>
      <c r="AI686" s="22"/>
      <c r="AJ686" s="22"/>
      <c r="AK686" s="22"/>
      <c r="AL686" s="22"/>
      <c r="AM686" s="22"/>
      <c r="AN686" s="22"/>
      <c r="AO686" s="22"/>
      <c r="AP686" s="22"/>
    </row>
    <row r="687" hidden="1">
      <c r="A687" s="8">
        <v>46099.0</v>
      </c>
      <c r="B687" s="23">
        <v>0.7708333333333334</v>
      </c>
      <c r="C687" s="10" t="s">
        <v>32</v>
      </c>
      <c r="D687" s="10" t="s">
        <v>33</v>
      </c>
      <c r="E687" s="12" t="s">
        <v>71</v>
      </c>
      <c r="F687" s="12" t="s">
        <v>2234</v>
      </c>
      <c r="G687" s="12" t="s">
        <v>2267</v>
      </c>
      <c r="H687" s="96" t="s">
        <v>2268</v>
      </c>
      <c r="I687" s="30" t="s">
        <v>2269</v>
      </c>
      <c r="J687" s="14">
        <v>8334.0</v>
      </c>
      <c r="K687" s="14">
        <v>5248.0</v>
      </c>
      <c r="L687" s="15">
        <v>0.6297</v>
      </c>
      <c r="M687" s="16">
        <v>2703.0</v>
      </c>
      <c r="N687" s="17">
        <v>0.5151</v>
      </c>
      <c r="O687" s="18">
        <v>778.0</v>
      </c>
      <c r="P687" s="18">
        <v>717.0</v>
      </c>
      <c r="Q687" s="19">
        <v>0.1367</v>
      </c>
      <c r="R687" s="19">
        <v>0.2654</v>
      </c>
      <c r="S687" s="20">
        <v>6.0</v>
      </c>
      <c r="T687" s="20">
        <v>20.0</v>
      </c>
      <c r="U687" s="20">
        <v>8148.0</v>
      </c>
      <c r="V687" s="21" t="s">
        <v>335</v>
      </c>
      <c r="W687" s="18" t="s">
        <v>76</v>
      </c>
      <c r="X687" s="95" t="s">
        <v>2270</v>
      </c>
      <c r="Y687" s="42" t="s">
        <v>2239</v>
      </c>
      <c r="Z687" s="20" t="s">
        <v>2271</v>
      </c>
      <c r="AA687" s="14">
        <v>11.0</v>
      </c>
      <c r="AB687" s="14">
        <v>11.0</v>
      </c>
      <c r="AC687" s="14"/>
      <c r="AD687" s="14">
        <v>15376.0</v>
      </c>
      <c r="AE687" s="14">
        <v>15376.0</v>
      </c>
      <c r="AF687" s="14"/>
      <c r="AG687" s="22"/>
      <c r="AH687" s="22"/>
      <c r="AI687" s="22"/>
      <c r="AJ687" s="22"/>
      <c r="AK687" s="22"/>
      <c r="AL687" s="22"/>
      <c r="AM687" s="22"/>
      <c r="AN687" s="22"/>
      <c r="AO687" s="22"/>
      <c r="AP687" s="22"/>
    </row>
    <row r="688" hidden="1">
      <c r="A688" s="8">
        <v>46099.0</v>
      </c>
      <c r="B688" s="23">
        <v>0.8125</v>
      </c>
      <c r="C688" s="10" t="s">
        <v>58</v>
      </c>
      <c r="D688" s="10" t="s">
        <v>59</v>
      </c>
      <c r="E688" s="12" t="s">
        <v>71</v>
      </c>
      <c r="F688" s="12" t="s">
        <v>2234</v>
      </c>
      <c r="G688" s="30" t="s">
        <v>2272</v>
      </c>
      <c r="H688" s="96" t="s">
        <v>2273</v>
      </c>
      <c r="I688" s="96" t="s">
        <v>2273</v>
      </c>
      <c r="J688" s="14">
        <v>121278.0</v>
      </c>
      <c r="K688" s="14">
        <v>67470.0</v>
      </c>
      <c r="L688" s="15">
        <v>0.5563</v>
      </c>
      <c r="M688" s="16"/>
      <c r="N688" s="17"/>
      <c r="O688" s="18">
        <v>253.0</v>
      </c>
      <c r="P688" s="18"/>
      <c r="Q688" s="19">
        <v>0.0037</v>
      </c>
      <c r="R688" s="19"/>
      <c r="S688" s="20">
        <v>11.0</v>
      </c>
      <c r="T688" s="20">
        <v>42.0</v>
      </c>
      <c r="U688" s="20">
        <v>35603.0</v>
      </c>
      <c r="V688" s="21" t="s">
        <v>335</v>
      </c>
      <c r="W688" s="18" t="s">
        <v>62</v>
      </c>
      <c r="X688" s="73" t="s">
        <v>1650</v>
      </c>
      <c r="Y688" s="113">
        <v>46099.0</v>
      </c>
      <c r="Z688" s="20" t="s">
        <v>2274</v>
      </c>
      <c r="AA688" s="14">
        <v>50.0</v>
      </c>
      <c r="AB688" s="14">
        <v>50.0</v>
      </c>
      <c r="AC688" s="14"/>
      <c r="AD688" s="14">
        <v>119632.0</v>
      </c>
      <c r="AE688" s="14">
        <v>119632.0</v>
      </c>
      <c r="AF688" s="14"/>
      <c r="AG688" s="22"/>
      <c r="AH688" s="22"/>
      <c r="AI688" s="22"/>
      <c r="AJ688" s="22"/>
      <c r="AK688" s="22"/>
      <c r="AL688" s="22"/>
      <c r="AM688" s="22"/>
      <c r="AN688" s="22"/>
      <c r="AO688" s="22"/>
      <c r="AP688" s="22"/>
    </row>
    <row r="689" hidden="1">
      <c r="A689" s="8">
        <v>46100.0</v>
      </c>
      <c r="B689" s="23">
        <v>0.8125</v>
      </c>
      <c r="C689" s="10" t="s">
        <v>32</v>
      </c>
      <c r="D689" s="10" t="s">
        <v>59</v>
      </c>
      <c r="E689" s="12" t="s">
        <v>179</v>
      </c>
      <c r="F689" s="12" t="s">
        <v>2275</v>
      </c>
      <c r="G689" s="12" t="s">
        <v>2276</v>
      </c>
      <c r="H689" s="12" t="s">
        <v>2277</v>
      </c>
      <c r="I689" s="57" t="s">
        <v>454</v>
      </c>
      <c r="J689" s="14">
        <v>1708.0</v>
      </c>
      <c r="K689" s="14">
        <v>886.0</v>
      </c>
      <c r="L689" s="15">
        <v>0.5187</v>
      </c>
      <c r="M689" s="16">
        <v>245.0</v>
      </c>
      <c r="N689" s="17">
        <v>0.2765</v>
      </c>
      <c r="O689" s="18">
        <v>44.0</v>
      </c>
      <c r="P689" s="18">
        <v>43.0</v>
      </c>
      <c r="Q689" s="19">
        <v>0.0485</v>
      </c>
      <c r="R689" s="19">
        <v>0.1755</v>
      </c>
      <c r="S689" s="20">
        <v>6.0</v>
      </c>
      <c r="T689" s="20">
        <v>34.0</v>
      </c>
      <c r="U689" s="20">
        <v>15282.0</v>
      </c>
      <c r="V689" s="21" t="s">
        <v>335</v>
      </c>
      <c r="W689" s="18" t="s">
        <v>76</v>
      </c>
      <c r="X689" s="101" t="s">
        <v>2131</v>
      </c>
      <c r="Y689" s="73" t="s">
        <v>2278</v>
      </c>
      <c r="Z689" s="20" t="s">
        <v>2279</v>
      </c>
      <c r="AA689" s="14">
        <v>10.0</v>
      </c>
      <c r="AB689" s="14">
        <v>10.0</v>
      </c>
      <c r="AC689" s="14"/>
      <c r="AD689" s="14">
        <v>22308.0</v>
      </c>
      <c r="AE689" s="14">
        <v>22308.0</v>
      </c>
      <c r="AF689" s="14"/>
      <c r="AG689" s="22"/>
      <c r="AH689" s="22"/>
      <c r="AI689" s="22"/>
      <c r="AJ689" s="22"/>
      <c r="AK689" s="22"/>
      <c r="AL689" s="22"/>
      <c r="AM689" s="22"/>
      <c r="AN689" s="22"/>
      <c r="AO689" s="22"/>
      <c r="AP689" s="22"/>
    </row>
    <row r="690" hidden="1">
      <c r="A690" s="8">
        <v>46100.0</v>
      </c>
      <c r="B690" s="23">
        <v>0.8159722222222222</v>
      </c>
      <c r="C690" s="10" t="s">
        <v>32</v>
      </c>
      <c r="D690" s="10" t="s">
        <v>59</v>
      </c>
      <c r="E690" s="12" t="s">
        <v>179</v>
      </c>
      <c r="F690" s="12" t="s">
        <v>2275</v>
      </c>
      <c r="G690" s="12" t="s">
        <v>2280</v>
      </c>
      <c r="H690" s="12" t="s">
        <v>2281</v>
      </c>
      <c r="I690" s="57" t="s">
        <v>454</v>
      </c>
      <c r="J690" s="14">
        <v>149.0</v>
      </c>
      <c r="K690" s="14">
        <v>91.0</v>
      </c>
      <c r="L690" s="15">
        <v>0.6107</v>
      </c>
      <c r="M690" s="16">
        <v>24.0</v>
      </c>
      <c r="N690" s="17">
        <v>0.2637</v>
      </c>
      <c r="O690" s="18">
        <v>8.0</v>
      </c>
      <c r="P690" s="18">
        <v>7.0</v>
      </c>
      <c r="Q690" s="19">
        <v>0.0769</v>
      </c>
      <c r="R690" s="19">
        <v>0.2917</v>
      </c>
      <c r="S690" s="20">
        <v>3.0</v>
      </c>
      <c r="T690" s="20">
        <v>4.0</v>
      </c>
      <c r="U690" s="20">
        <v>9896.0</v>
      </c>
      <c r="V690" s="21" t="s">
        <v>335</v>
      </c>
      <c r="W690" s="18" t="s">
        <v>76</v>
      </c>
      <c r="X690" s="101" t="s">
        <v>2282</v>
      </c>
      <c r="Y690" s="73" t="s">
        <v>2278</v>
      </c>
      <c r="Z690" s="20" t="s">
        <v>2283</v>
      </c>
      <c r="AA690" s="14">
        <v>2.0</v>
      </c>
      <c r="AB690" s="14">
        <v>2.0</v>
      </c>
      <c r="AC690" s="14"/>
      <c r="AD690" s="14">
        <v>9796.0</v>
      </c>
      <c r="AE690" s="14">
        <v>9796.0</v>
      </c>
      <c r="AF690" s="14"/>
      <c r="AG690" s="22"/>
      <c r="AH690" s="22"/>
      <c r="AI690" s="22"/>
      <c r="AJ690" s="22"/>
      <c r="AK690" s="22"/>
      <c r="AL690" s="22"/>
      <c r="AM690" s="22"/>
      <c r="AN690" s="22"/>
      <c r="AO690" s="22"/>
      <c r="AP690" s="22"/>
    </row>
    <row r="691" hidden="1">
      <c r="A691" s="8">
        <v>46100.0</v>
      </c>
      <c r="B691" s="23">
        <v>0.8194444444444444</v>
      </c>
      <c r="C691" s="10" t="s">
        <v>32</v>
      </c>
      <c r="D691" s="10" t="s">
        <v>59</v>
      </c>
      <c r="E691" s="12" t="s">
        <v>179</v>
      </c>
      <c r="F691" s="12" t="s">
        <v>2275</v>
      </c>
      <c r="G691" s="12" t="s">
        <v>2284</v>
      </c>
      <c r="H691" s="12" t="s">
        <v>2285</v>
      </c>
      <c r="I691" s="57" t="s">
        <v>454</v>
      </c>
      <c r="J691" s="14">
        <v>3928.0</v>
      </c>
      <c r="K691" s="14">
        <v>1947.0</v>
      </c>
      <c r="L691" s="15">
        <v>0.4957</v>
      </c>
      <c r="M691" s="16">
        <v>495.0</v>
      </c>
      <c r="N691" s="17">
        <v>0.2542</v>
      </c>
      <c r="O691" s="18">
        <v>87.0</v>
      </c>
      <c r="P691" s="18">
        <v>81.0</v>
      </c>
      <c r="Q691" s="19">
        <v>0.0416</v>
      </c>
      <c r="R691" s="19">
        <v>0.1636</v>
      </c>
      <c r="S691" s="20">
        <v>6.0</v>
      </c>
      <c r="T691" s="20">
        <v>15.0</v>
      </c>
      <c r="U691" s="20">
        <v>20261.0</v>
      </c>
      <c r="V691" s="21" t="s">
        <v>335</v>
      </c>
      <c r="W691" s="18" t="s">
        <v>76</v>
      </c>
      <c r="X691" s="101" t="s">
        <v>2286</v>
      </c>
      <c r="Y691" s="73" t="s">
        <v>2278</v>
      </c>
      <c r="Z691" s="20" t="s">
        <v>2287</v>
      </c>
      <c r="AA691" s="14">
        <v>13.0</v>
      </c>
      <c r="AB691" s="14">
        <v>13.0</v>
      </c>
      <c r="AC691" s="14"/>
      <c r="AD691" s="14">
        <v>40937.0</v>
      </c>
      <c r="AE691" s="14">
        <v>40937.0</v>
      </c>
      <c r="AF691" s="14"/>
      <c r="AG691" s="22"/>
      <c r="AH691" s="22"/>
      <c r="AI691" s="22"/>
      <c r="AJ691" s="22"/>
      <c r="AK691" s="22"/>
      <c r="AL691" s="22"/>
      <c r="AM691" s="22"/>
      <c r="AN691" s="22"/>
      <c r="AO691" s="22"/>
      <c r="AP691" s="22"/>
    </row>
    <row r="692" hidden="1">
      <c r="A692" s="8">
        <v>46100.0</v>
      </c>
      <c r="B692" s="23">
        <v>0.8229166666666666</v>
      </c>
      <c r="C692" s="10" t="s">
        <v>32</v>
      </c>
      <c r="D692" s="10" t="s">
        <v>59</v>
      </c>
      <c r="E692" s="12" t="s">
        <v>179</v>
      </c>
      <c r="F692" s="12" t="s">
        <v>2275</v>
      </c>
      <c r="G692" s="12" t="s">
        <v>2288</v>
      </c>
      <c r="H692" s="12" t="s">
        <v>2289</v>
      </c>
      <c r="I692" s="57" t="s">
        <v>454</v>
      </c>
      <c r="J692" s="14">
        <v>2292.0</v>
      </c>
      <c r="K692" s="14">
        <v>1610.0</v>
      </c>
      <c r="L692" s="15">
        <v>0.7024</v>
      </c>
      <c r="M692" s="16">
        <v>407.0</v>
      </c>
      <c r="N692" s="17">
        <v>0.2528</v>
      </c>
      <c r="O692" s="18">
        <v>93.0</v>
      </c>
      <c r="P692" s="18">
        <v>86.0</v>
      </c>
      <c r="Q692" s="19">
        <v>0.0534</v>
      </c>
      <c r="R692" s="19">
        <v>0.2113</v>
      </c>
      <c r="S692" s="20">
        <v>3.0</v>
      </c>
      <c r="T692" s="20">
        <v>3.0</v>
      </c>
      <c r="U692" s="20">
        <v>7297.0</v>
      </c>
      <c r="V692" s="21" t="s">
        <v>335</v>
      </c>
      <c r="W692" s="18" t="s">
        <v>76</v>
      </c>
      <c r="X692" s="101" t="s">
        <v>2290</v>
      </c>
      <c r="Y692" s="73" t="s">
        <v>2278</v>
      </c>
      <c r="Z692" s="20" t="s">
        <v>2291</v>
      </c>
      <c r="AA692" s="14">
        <v>14.0</v>
      </c>
      <c r="AB692" s="14">
        <v>14.0</v>
      </c>
      <c r="AC692" s="14"/>
      <c r="AD692" s="14">
        <v>36995.0</v>
      </c>
      <c r="AE692" s="14">
        <v>36995.0</v>
      </c>
      <c r="AF692" s="14"/>
      <c r="AG692" s="22"/>
      <c r="AH692" s="22"/>
      <c r="AI692" s="22"/>
      <c r="AJ692" s="22"/>
      <c r="AK692" s="22"/>
      <c r="AL692" s="22"/>
      <c r="AM692" s="22"/>
      <c r="AN692" s="22"/>
      <c r="AO692" s="22"/>
      <c r="AP692" s="22"/>
    </row>
    <row r="693" hidden="1">
      <c r="A693" s="8">
        <v>46100.0</v>
      </c>
      <c r="B693" s="23">
        <v>0.8263888888888888</v>
      </c>
      <c r="C693" s="10" t="s">
        <v>32</v>
      </c>
      <c r="D693" s="10" t="s">
        <v>59</v>
      </c>
      <c r="E693" s="12" t="s">
        <v>179</v>
      </c>
      <c r="F693" s="12" t="s">
        <v>2275</v>
      </c>
      <c r="G693" s="12" t="s">
        <v>2292</v>
      </c>
      <c r="H693" s="12" t="s">
        <v>2293</v>
      </c>
      <c r="I693" s="57" t="s">
        <v>454</v>
      </c>
      <c r="J693" s="14">
        <v>29043.0</v>
      </c>
      <c r="K693" s="14">
        <v>18770.0</v>
      </c>
      <c r="L693" s="15">
        <v>0.6463</v>
      </c>
      <c r="M693" s="16">
        <v>4248.0</v>
      </c>
      <c r="N693" s="17">
        <v>0.2264</v>
      </c>
      <c r="O693" s="18">
        <v>713.0</v>
      </c>
      <c r="P693" s="18">
        <v>664.0</v>
      </c>
      <c r="Q693" s="19">
        <v>0.0354</v>
      </c>
      <c r="R693" s="19">
        <v>0.1563</v>
      </c>
      <c r="S693" s="20">
        <v>7.0</v>
      </c>
      <c r="T693" s="20">
        <v>13.0</v>
      </c>
      <c r="U693" s="20">
        <v>26371.0</v>
      </c>
      <c r="V693" s="21" t="s">
        <v>335</v>
      </c>
      <c r="W693" s="18" t="s">
        <v>76</v>
      </c>
      <c r="X693" s="101" t="s">
        <v>2294</v>
      </c>
      <c r="Y693" s="73" t="s">
        <v>2278</v>
      </c>
      <c r="Z693" s="20" t="s">
        <v>2295</v>
      </c>
      <c r="AA693" s="14">
        <v>34.0</v>
      </c>
      <c r="AB693" s="14">
        <v>34.0</v>
      </c>
      <c r="AC693" s="14"/>
      <c r="AD693" s="14">
        <v>100917.0</v>
      </c>
      <c r="AE693" s="14">
        <v>100917.0</v>
      </c>
      <c r="AF693" s="14"/>
      <c r="AG693" s="22"/>
      <c r="AH693" s="22"/>
      <c r="AI693" s="22"/>
      <c r="AJ693" s="22"/>
      <c r="AK693" s="22"/>
      <c r="AL693" s="22"/>
      <c r="AM693" s="22"/>
      <c r="AN693" s="22"/>
      <c r="AO693" s="22"/>
      <c r="AP693" s="22"/>
    </row>
    <row r="694" hidden="1">
      <c r="A694" s="8">
        <v>46100.0</v>
      </c>
      <c r="B694" s="23">
        <v>0.8298611111111112</v>
      </c>
      <c r="C694" s="10" t="s">
        <v>32</v>
      </c>
      <c r="D694" s="10" t="s">
        <v>59</v>
      </c>
      <c r="E694" s="12" t="s">
        <v>179</v>
      </c>
      <c r="F694" s="12" t="s">
        <v>2275</v>
      </c>
      <c r="G694" s="12" t="s">
        <v>2296</v>
      </c>
      <c r="H694" s="12" t="s">
        <v>2297</v>
      </c>
      <c r="I694" s="57" t="s">
        <v>454</v>
      </c>
      <c r="J694" s="14">
        <v>6461.0</v>
      </c>
      <c r="K694" s="14">
        <v>2859.0</v>
      </c>
      <c r="L694" s="15">
        <v>0.4425</v>
      </c>
      <c r="M694" s="16">
        <v>537.0</v>
      </c>
      <c r="N694" s="17">
        <v>0.1878</v>
      </c>
      <c r="O694" s="18">
        <v>109.0</v>
      </c>
      <c r="P694" s="18">
        <v>101.0</v>
      </c>
      <c r="Q694" s="19">
        <v>0.0353</v>
      </c>
      <c r="R694" s="19">
        <v>0.1881</v>
      </c>
      <c r="S694" s="20">
        <v>5.0</v>
      </c>
      <c r="T694" s="20">
        <v>5.0</v>
      </c>
      <c r="U694" s="20">
        <v>29658.0</v>
      </c>
      <c r="V694" s="21" t="s">
        <v>335</v>
      </c>
      <c r="W694" s="18" t="s">
        <v>76</v>
      </c>
      <c r="X694" s="101" t="s">
        <v>2112</v>
      </c>
      <c r="Y694" s="73" t="s">
        <v>2278</v>
      </c>
      <c r="Z694" s="20" t="s">
        <v>2298</v>
      </c>
      <c r="AA694" s="14">
        <v>21.0</v>
      </c>
      <c r="AB694" s="14">
        <v>21.0</v>
      </c>
      <c r="AC694" s="14"/>
      <c r="AD694" s="14">
        <v>99859.0</v>
      </c>
      <c r="AE694" s="14">
        <v>99859.0</v>
      </c>
      <c r="AF694" s="14"/>
      <c r="AG694" s="22"/>
      <c r="AH694" s="22"/>
      <c r="AI694" s="22"/>
      <c r="AJ694" s="22"/>
      <c r="AK694" s="22"/>
      <c r="AL694" s="22"/>
      <c r="AM694" s="22"/>
      <c r="AN694" s="22"/>
      <c r="AO694" s="22"/>
      <c r="AP694" s="22"/>
    </row>
    <row r="695" hidden="1">
      <c r="A695" s="8">
        <v>46100.0</v>
      </c>
      <c r="B695" s="23">
        <v>0.8333333333333334</v>
      </c>
      <c r="C695" s="10" t="s">
        <v>32</v>
      </c>
      <c r="D695" s="10" t="s">
        <v>59</v>
      </c>
      <c r="E695" s="12" t="s">
        <v>179</v>
      </c>
      <c r="F695" s="12" t="s">
        <v>2275</v>
      </c>
      <c r="G695" s="12" t="s">
        <v>2299</v>
      </c>
      <c r="H695" s="12" t="s">
        <v>2300</v>
      </c>
      <c r="I695" s="57" t="s">
        <v>454</v>
      </c>
      <c r="J695" s="14">
        <v>39436.0</v>
      </c>
      <c r="K695" s="14">
        <v>19217.0</v>
      </c>
      <c r="L695" s="15">
        <v>0.4873</v>
      </c>
      <c r="M695" s="16">
        <v>3914.0</v>
      </c>
      <c r="N695" s="17">
        <v>0.2036</v>
      </c>
      <c r="O695" s="18">
        <v>370.0</v>
      </c>
      <c r="P695" s="18">
        <v>354.0</v>
      </c>
      <c r="Q695" s="19">
        <v>0.0184</v>
      </c>
      <c r="R695" s="19">
        <v>0.0905</v>
      </c>
      <c r="S695" s="20">
        <v>0.0</v>
      </c>
      <c r="T695" s="20">
        <v>4.0</v>
      </c>
      <c r="U695" s="20">
        <v>0.0</v>
      </c>
      <c r="V695" s="21" t="s">
        <v>335</v>
      </c>
      <c r="W695" s="18" t="s">
        <v>76</v>
      </c>
      <c r="X695" s="101" t="s">
        <v>2301</v>
      </c>
      <c r="Y695" s="73" t="s">
        <v>2278</v>
      </c>
      <c r="Z695" s="20" t="s">
        <v>2302</v>
      </c>
      <c r="AA695" s="14">
        <v>16.0</v>
      </c>
      <c r="AB695" s="14">
        <v>16.0</v>
      </c>
      <c r="AC695" s="14"/>
      <c r="AD695" s="14">
        <v>44545.0</v>
      </c>
      <c r="AE695" s="14">
        <v>44545.0</v>
      </c>
      <c r="AF695" s="14"/>
      <c r="AG695" s="22"/>
      <c r="AH695" s="22"/>
      <c r="AI695" s="22"/>
      <c r="AJ695" s="22"/>
      <c r="AK695" s="22"/>
      <c r="AL695" s="22"/>
      <c r="AM695" s="22"/>
      <c r="AN695" s="22"/>
      <c r="AO695" s="22"/>
      <c r="AP695" s="22"/>
    </row>
    <row r="696" hidden="1">
      <c r="A696" s="8">
        <v>46100.0</v>
      </c>
      <c r="B696" s="23">
        <v>0.75</v>
      </c>
      <c r="C696" s="10" t="s">
        <v>196</v>
      </c>
      <c r="D696" s="10" t="s">
        <v>33</v>
      </c>
      <c r="E696" s="12" t="s">
        <v>179</v>
      </c>
      <c r="F696" s="12" t="s">
        <v>2275</v>
      </c>
      <c r="G696" s="12" t="s">
        <v>2277</v>
      </c>
      <c r="H696" s="96" t="s">
        <v>2303</v>
      </c>
      <c r="I696" s="112" t="s">
        <v>2304</v>
      </c>
      <c r="J696" s="14">
        <v>2126.0</v>
      </c>
      <c r="K696" s="14">
        <v>397.0</v>
      </c>
      <c r="L696" s="15">
        <v>0.1867</v>
      </c>
      <c r="M696" s="16">
        <v>57.0</v>
      </c>
      <c r="N696" s="17">
        <v>0.144</v>
      </c>
      <c r="O696" s="18">
        <v>4.0</v>
      </c>
      <c r="P696" s="18"/>
      <c r="Q696" s="19">
        <v>0.0101</v>
      </c>
      <c r="R696" s="19"/>
      <c r="S696" s="20">
        <v>5.0</v>
      </c>
      <c r="T696" s="20">
        <v>15.0</v>
      </c>
      <c r="U696" s="20">
        <v>29690.0</v>
      </c>
      <c r="V696" s="21" t="s">
        <v>335</v>
      </c>
      <c r="W696" s="18" t="s">
        <v>95</v>
      </c>
      <c r="X696" s="101" t="s">
        <v>2131</v>
      </c>
      <c r="Y696" s="73" t="s">
        <v>2278</v>
      </c>
      <c r="Z696" s="20" t="s">
        <v>2305</v>
      </c>
      <c r="AA696" s="14">
        <v>2.0</v>
      </c>
      <c r="AB696" s="14">
        <v>2.0</v>
      </c>
      <c r="AC696" s="14"/>
      <c r="AD696" s="14">
        <v>5398.0</v>
      </c>
      <c r="AE696" s="14">
        <v>5398.0</v>
      </c>
      <c r="AF696" s="14"/>
      <c r="AG696" s="22"/>
      <c r="AH696" s="22"/>
      <c r="AI696" s="22"/>
      <c r="AJ696" s="22"/>
      <c r="AK696" s="22"/>
      <c r="AL696" s="22"/>
      <c r="AM696" s="22"/>
      <c r="AN696" s="22"/>
      <c r="AO696" s="22"/>
      <c r="AP696" s="22"/>
    </row>
    <row r="697" hidden="1">
      <c r="A697" s="8">
        <v>46100.0</v>
      </c>
      <c r="B697" s="23">
        <v>0.75</v>
      </c>
      <c r="C697" s="10" t="s">
        <v>196</v>
      </c>
      <c r="D697" s="10" t="s">
        <v>33</v>
      </c>
      <c r="E697" s="12" t="s">
        <v>179</v>
      </c>
      <c r="F697" s="12" t="s">
        <v>2275</v>
      </c>
      <c r="G697" s="12" t="s">
        <v>2281</v>
      </c>
      <c r="H697" s="96" t="s">
        <v>2306</v>
      </c>
      <c r="I697" s="112" t="s">
        <v>2307</v>
      </c>
      <c r="J697" s="14">
        <v>183.0</v>
      </c>
      <c r="K697" s="14">
        <v>31.0</v>
      </c>
      <c r="L697" s="15">
        <v>0.1694</v>
      </c>
      <c r="M697" s="16">
        <v>7.0</v>
      </c>
      <c r="N697" s="17">
        <v>0.226</v>
      </c>
      <c r="O697" s="18">
        <v>0.0</v>
      </c>
      <c r="P697" s="18"/>
      <c r="Q697" s="19">
        <v>0.0</v>
      </c>
      <c r="R697" s="19"/>
      <c r="S697" s="20">
        <v>0.0</v>
      </c>
      <c r="T697" s="20">
        <v>0.0</v>
      </c>
      <c r="U697" s="20">
        <v>0.0</v>
      </c>
      <c r="V697" s="21" t="s">
        <v>335</v>
      </c>
      <c r="W697" s="18" t="s">
        <v>95</v>
      </c>
      <c r="X697" s="101" t="s">
        <v>2282</v>
      </c>
      <c r="Y697" s="73" t="s">
        <v>2278</v>
      </c>
      <c r="Z697" s="20" t="s">
        <v>2308</v>
      </c>
      <c r="AA697" s="14">
        <v>0.0</v>
      </c>
      <c r="AB697" s="14">
        <v>0.0</v>
      </c>
      <c r="AC697" s="14"/>
      <c r="AD697" s="14">
        <v>0.0</v>
      </c>
      <c r="AE697" s="14">
        <v>0.0</v>
      </c>
      <c r="AF697" s="14"/>
      <c r="AG697" s="22"/>
      <c r="AH697" s="22"/>
      <c r="AI697" s="22"/>
      <c r="AJ697" s="22"/>
      <c r="AK697" s="22"/>
      <c r="AL697" s="22"/>
      <c r="AM697" s="22"/>
      <c r="AN697" s="22"/>
      <c r="AO697" s="22"/>
      <c r="AP697" s="22"/>
    </row>
    <row r="698" hidden="1">
      <c r="A698" s="8">
        <v>46100.0</v>
      </c>
      <c r="B698" s="23">
        <v>0.75</v>
      </c>
      <c r="C698" s="10" t="s">
        <v>196</v>
      </c>
      <c r="D698" s="10" t="s">
        <v>33</v>
      </c>
      <c r="E698" s="12" t="s">
        <v>179</v>
      </c>
      <c r="F698" s="12" t="s">
        <v>2275</v>
      </c>
      <c r="G698" s="12" t="s">
        <v>2285</v>
      </c>
      <c r="H698" s="96" t="s">
        <v>2309</v>
      </c>
      <c r="I698" s="112" t="s">
        <v>2310</v>
      </c>
      <c r="J698" s="14">
        <v>4955.0</v>
      </c>
      <c r="K698" s="14">
        <v>1015.0</v>
      </c>
      <c r="L698" s="15">
        <v>0.2048</v>
      </c>
      <c r="M698" s="16">
        <v>144.0</v>
      </c>
      <c r="N698" s="17">
        <v>0.142</v>
      </c>
      <c r="O698" s="18">
        <v>26.0</v>
      </c>
      <c r="P698" s="18"/>
      <c r="Q698" s="19">
        <v>0.0256</v>
      </c>
      <c r="R698" s="19"/>
      <c r="S698" s="20">
        <v>2.0</v>
      </c>
      <c r="T698" s="20">
        <v>9.0</v>
      </c>
      <c r="U698" s="20">
        <v>9247.0</v>
      </c>
      <c r="V698" s="21" t="s">
        <v>335</v>
      </c>
      <c r="W698" s="18" t="s">
        <v>95</v>
      </c>
      <c r="X698" s="101" t="s">
        <v>2286</v>
      </c>
      <c r="Y698" s="73" t="s">
        <v>2278</v>
      </c>
      <c r="Z698" s="20" t="s">
        <v>2311</v>
      </c>
      <c r="AA698" s="14">
        <v>2.0</v>
      </c>
      <c r="AB698" s="14">
        <v>2.0</v>
      </c>
      <c r="AC698" s="14"/>
      <c r="AD698" s="14">
        <v>10579.0</v>
      </c>
      <c r="AE698" s="14">
        <v>10579.0</v>
      </c>
      <c r="AF698" s="14"/>
      <c r="AG698" s="22"/>
      <c r="AH698" s="22"/>
      <c r="AI698" s="22"/>
      <c r="AJ698" s="22"/>
      <c r="AK698" s="22"/>
      <c r="AL698" s="22"/>
      <c r="AM698" s="22"/>
      <c r="AN698" s="22"/>
      <c r="AO698" s="22"/>
      <c r="AP698" s="22"/>
    </row>
    <row r="699" hidden="1">
      <c r="A699" s="8">
        <v>46100.0</v>
      </c>
      <c r="B699" s="23">
        <v>0.75</v>
      </c>
      <c r="C699" s="10" t="s">
        <v>196</v>
      </c>
      <c r="D699" s="10" t="s">
        <v>33</v>
      </c>
      <c r="E699" s="12" t="s">
        <v>179</v>
      </c>
      <c r="F699" s="12" t="s">
        <v>2275</v>
      </c>
      <c r="G699" s="12" t="s">
        <v>2289</v>
      </c>
      <c r="H699" s="96" t="s">
        <v>2312</v>
      </c>
      <c r="I699" s="112" t="s">
        <v>2313</v>
      </c>
      <c r="J699" s="14">
        <v>2860.0</v>
      </c>
      <c r="K699" s="14">
        <v>560.0</v>
      </c>
      <c r="L699" s="15">
        <v>0.1958</v>
      </c>
      <c r="M699" s="16">
        <v>71.0</v>
      </c>
      <c r="N699" s="17">
        <v>0.127</v>
      </c>
      <c r="O699" s="18">
        <v>25.0</v>
      </c>
      <c r="P699" s="18"/>
      <c r="Q699" s="19">
        <v>0.0446</v>
      </c>
      <c r="R699" s="19"/>
      <c r="S699" s="20">
        <v>1.0</v>
      </c>
      <c r="T699" s="20">
        <v>2.0</v>
      </c>
      <c r="U699" s="20">
        <v>1899.0</v>
      </c>
      <c r="V699" s="21" t="s">
        <v>335</v>
      </c>
      <c r="W699" s="18" t="s">
        <v>95</v>
      </c>
      <c r="X699" s="101" t="s">
        <v>2290</v>
      </c>
      <c r="Y699" s="73" t="s">
        <v>2278</v>
      </c>
      <c r="Z699" s="20" t="s">
        <v>2314</v>
      </c>
      <c r="AA699" s="14">
        <v>5.0</v>
      </c>
      <c r="AB699" s="14">
        <v>5.0</v>
      </c>
      <c r="AC699" s="14"/>
      <c r="AD699" s="14">
        <v>12695.0</v>
      </c>
      <c r="AE699" s="14">
        <v>12695.0</v>
      </c>
      <c r="AF699" s="14"/>
      <c r="AG699" s="22"/>
      <c r="AH699" s="22"/>
      <c r="AI699" s="22"/>
      <c r="AJ699" s="22"/>
      <c r="AK699" s="22"/>
      <c r="AL699" s="22"/>
      <c r="AM699" s="22"/>
      <c r="AN699" s="22"/>
      <c r="AO699" s="22"/>
      <c r="AP699" s="22"/>
    </row>
    <row r="700" hidden="1">
      <c r="A700" s="8">
        <v>46100.0</v>
      </c>
      <c r="B700" s="23">
        <v>0.75</v>
      </c>
      <c r="C700" s="10" t="s">
        <v>196</v>
      </c>
      <c r="D700" s="10" t="s">
        <v>33</v>
      </c>
      <c r="E700" s="12" t="s">
        <v>179</v>
      </c>
      <c r="F700" s="12" t="s">
        <v>2275</v>
      </c>
      <c r="G700" s="12" t="s">
        <v>2293</v>
      </c>
      <c r="H700" s="96" t="s">
        <v>2315</v>
      </c>
      <c r="I700" s="112" t="s">
        <v>2316</v>
      </c>
      <c r="J700" s="14">
        <v>37795.0</v>
      </c>
      <c r="K700" s="14">
        <v>8441.0</v>
      </c>
      <c r="L700" s="15">
        <v>0.2233</v>
      </c>
      <c r="M700" s="16">
        <v>792.0</v>
      </c>
      <c r="N700" s="17">
        <v>0.094</v>
      </c>
      <c r="O700" s="18">
        <v>110.0</v>
      </c>
      <c r="P700" s="18"/>
      <c r="Q700" s="19">
        <v>0.013</v>
      </c>
      <c r="R700" s="19"/>
      <c r="S700" s="20">
        <v>0.0</v>
      </c>
      <c r="T700" s="20">
        <v>2.0</v>
      </c>
      <c r="U700" s="20">
        <v>0.0</v>
      </c>
      <c r="V700" s="21" t="s">
        <v>335</v>
      </c>
      <c r="W700" s="18" t="s">
        <v>95</v>
      </c>
      <c r="X700" s="101" t="s">
        <v>2294</v>
      </c>
      <c r="Y700" s="73" t="s">
        <v>2278</v>
      </c>
      <c r="Z700" s="20" t="s">
        <v>2317</v>
      </c>
      <c r="AA700" s="14">
        <v>8.0</v>
      </c>
      <c r="AB700" s="14">
        <v>8.0</v>
      </c>
      <c r="AC700" s="14"/>
      <c r="AD700" s="14">
        <v>24910.0</v>
      </c>
      <c r="AE700" s="14">
        <v>24910.0</v>
      </c>
      <c r="AF700" s="14"/>
      <c r="AG700" s="22"/>
      <c r="AH700" s="22"/>
      <c r="AI700" s="22"/>
      <c r="AJ700" s="22"/>
      <c r="AK700" s="22"/>
      <c r="AL700" s="22"/>
      <c r="AM700" s="22"/>
      <c r="AN700" s="22"/>
      <c r="AO700" s="22"/>
      <c r="AP700" s="22"/>
    </row>
    <row r="701" hidden="1">
      <c r="A701" s="8">
        <v>46100.0</v>
      </c>
      <c r="B701" s="23">
        <v>0.75</v>
      </c>
      <c r="C701" s="10" t="s">
        <v>196</v>
      </c>
      <c r="D701" s="10" t="s">
        <v>33</v>
      </c>
      <c r="E701" s="12" t="s">
        <v>179</v>
      </c>
      <c r="F701" s="12" t="s">
        <v>2275</v>
      </c>
      <c r="G701" s="12" t="s">
        <v>2297</v>
      </c>
      <c r="H701" s="96" t="s">
        <v>2318</v>
      </c>
      <c r="I701" s="112" t="s">
        <v>2319</v>
      </c>
      <c r="J701" s="14">
        <v>7707.0</v>
      </c>
      <c r="K701" s="14">
        <v>1215.0</v>
      </c>
      <c r="L701" s="15">
        <v>0.1576</v>
      </c>
      <c r="M701" s="16">
        <v>150.0</v>
      </c>
      <c r="N701" s="17">
        <v>0.123</v>
      </c>
      <c r="O701" s="18">
        <v>25.0</v>
      </c>
      <c r="P701" s="18"/>
      <c r="Q701" s="19">
        <v>0.0206</v>
      </c>
      <c r="R701" s="19"/>
      <c r="S701" s="20">
        <v>0.0</v>
      </c>
      <c r="T701" s="20">
        <v>2.0</v>
      </c>
      <c r="U701" s="20">
        <v>0.0</v>
      </c>
      <c r="V701" s="21" t="s">
        <v>335</v>
      </c>
      <c r="W701" s="18" t="s">
        <v>95</v>
      </c>
      <c r="X701" s="101" t="s">
        <v>2112</v>
      </c>
      <c r="Y701" s="73" t="s">
        <v>2278</v>
      </c>
      <c r="Z701" s="20" t="s">
        <v>2320</v>
      </c>
      <c r="AA701" s="14">
        <v>4.0</v>
      </c>
      <c r="AB701" s="14">
        <v>4.0</v>
      </c>
      <c r="AC701" s="14"/>
      <c r="AD701" s="14">
        <v>11115.0</v>
      </c>
      <c r="AE701" s="14">
        <v>11115.0</v>
      </c>
      <c r="AF701" s="14"/>
      <c r="AG701" s="22"/>
      <c r="AH701" s="22"/>
      <c r="AI701" s="22"/>
      <c r="AJ701" s="22"/>
      <c r="AK701" s="22"/>
      <c r="AL701" s="22"/>
      <c r="AM701" s="22"/>
      <c r="AN701" s="22"/>
      <c r="AO701" s="22"/>
      <c r="AP701" s="22"/>
    </row>
    <row r="702" hidden="1">
      <c r="A702" s="8">
        <v>46100.0</v>
      </c>
      <c r="B702" s="23">
        <v>0.75</v>
      </c>
      <c r="C702" s="10" t="s">
        <v>196</v>
      </c>
      <c r="D702" s="10" t="s">
        <v>33</v>
      </c>
      <c r="E702" s="12" t="s">
        <v>179</v>
      </c>
      <c r="F702" s="12" t="s">
        <v>2275</v>
      </c>
      <c r="G702" s="12" t="s">
        <v>2300</v>
      </c>
      <c r="H702" s="96" t="s">
        <v>2321</v>
      </c>
      <c r="I702" s="112" t="s">
        <v>2322</v>
      </c>
      <c r="J702" s="14">
        <v>49963.0</v>
      </c>
      <c r="K702" s="14">
        <v>10056.0</v>
      </c>
      <c r="L702" s="15">
        <v>0.2013</v>
      </c>
      <c r="M702" s="16">
        <v>1009.0</v>
      </c>
      <c r="N702" s="17">
        <v>0.1</v>
      </c>
      <c r="O702" s="18">
        <v>93.0</v>
      </c>
      <c r="P702" s="18"/>
      <c r="Q702" s="19">
        <v>0.0092</v>
      </c>
      <c r="R702" s="19"/>
      <c r="S702" s="20">
        <v>2.0</v>
      </c>
      <c r="T702" s="20">
        <v>5.0</v>
      </c>
      <c r="U702" s="20">
        <v>8097.0</v>
      </c>
      <c r="V702" s="21" t="s">
        <v>335</v>
      </c>
      <c r="W702" s="18" t="s">
        <v>95</v>
      </c>
      <c r="X702" s="101" t="s">
        <v>2301</v>
      </c>
      <c r="Y702" s="73" t="s">
        <v>2278</v>
      </c>
      <c r="Z702" s="20" t="s">
        <v>2323</v>
      </c>
      <c r="AA702" s="14">
        <v>5.0</v>
      </c>
      <c r="AB702" s="14">
        <v>5.0</v>
      </c>
      <c r="AC702" s="14"/>
      <c r="AD702" s="14">
        <v>18790.0</v>
      </c>
      <c r="AE702" s="14">
        <v>18790.0</v>
      </c>
      <c r="AF702" s="14"/>
      <c r="AG702" s="22"/>
      <c r="AH702" s="22"/>
      <c r="AI702" s="22"/>
      <c r="AJ702" s="22"/>
      <c r="AK702" s="22"/>
      <c r="AL702" s="22"/>
      <c r="AM702" s="22"/>
      <c r="AN702" s="22"/>
      <c r="AO702" s="22"/>
      <c r="AP702" s="22"/>
    </row>
    <row r="703" hidden="1">
      <c r="A703" s="8">
        <v>46100.0</v>
      </c>
      <c r="B703" s="23">
        <v>0.5</v>
      </c>
      <c r="C703" s="10" t="s">
        <v>32</v>
      </c>
      <c r="D703" s="10" t="s">
        <v>33</v>
      </c>
      <c r="E703" s="12" t="s">
        <v>71</v>
      </c>
      <c r="F703" s="12" t="s">
        <v>2234</v>
      </c>
      <c r="G703" s="12" t="s">
        <v>2324</v>
      </c>
      <c r="H703" s="96" t="s">
        <v>2325</v>
      </c>
      <c r="I703" s="30" t="s">
        <v>2326</v>
      </c>
      <c r="J703" s="14">
        <v>11696.0</v>
      </c>
      <c r="K703" s="14">
        <v>4840.0</v>
      </c>
      <c r="L703" s="15">
        <v>0.4138</v>
      </c>
      <c r="M703" s="16">
        <v>1917.0</v>
      </c>
      <c r="N703" s="17">
        <v>0.3961</v>
      </c>
      <c r="O703" s="18">
        <v>291.0</v>
      </c>
      <c r="P703" s="18">
        <v>280.0</v>
      </c>
      <c r="Q703" s="19">
        <v>0.0579</v>
      </c>
      <c r="R703" s="19">
        <v>0.1461</v>
      </c>
      <c r="S703" s="20">
        <v>0.0</v>
      </c>
      <c r="T703" s="20">
        <v>2.0</v>
      </c>
      <c r="U703" s="20">
        <v>0.0</v>
      </c>
      <c r="V703" s="21" t="s">
        <v>315</v>
      </c>
      <c r="W703" s="18" t="s">
        <v>76</v>
      </c>
      <c r="X703" s="101" t="s">
        <v>165</v>
      </c>
      <c r="Y703" s="42" t="s">
        <v>2327</v>
      </c>
      <c r="Z703" s="20" t="s">
        <v>2328</v>
      </c>
      <c r="AA703" s="14">
        <v>125.0</v>
      </c>
      <c r="AB703" s="14"/>
      <c r="AC703" s="14">
        <v>125.0</v>
      </c>
      <c r="AD703" s="14">
        <v>564787.0</v>
      </c>
      <c r="AE703" s="14"/>
      <c r="AF703" s="14">
        <v>564787.0</v>
      </c>
      <c r="AG703" s="22"/>
      <c r="AH703" s="22"/>
      <c r="AI703" s="22"/>
      <c r="AJ703" s="22"/>
      <c r="AK703" s="22"/>
      <c r="AL703" s="22"/>
      <c r="AM703" s="22"/>
      <c r="AN703" s="22"/>
      <c r="AO703" s="22"/>
      <c r="AP703" s="22"/>
    </row>
    <row r="704" hidden="1">
      <c r="A704" s="8">
        <v>46100.0</v>
      </c>
      <c r="B704" s="23">
        <v>0.5</v>
      </c>
      <c r="C704" s="10" t="s">
        <v>32</v>
      </c>
      <c r="D704" s="10" t="s">
        <v>33</v>
      </c>
      <c r="E704" s="12" t="s">
        <v>71</v>
      </c>
      <c r="F704" s="12" t="s">
        <v>2234</v>
      </c>
      <c r="G704" s="12" t="s">
        <v>2329</v>
      </c>
      <c r="H704" s="96" t="s">
        <v>2330</v>
      </c>
      <c r="I704" s="30" t="s">
        <v>2331</v>
      </c>
      <c r="J704" s="14">
        <v>25029.0</v>
      </c>
      <c r="K704" s="14">
        <v>11457.0</v>
      </c>
      <c r="L704" s="15">
        <v>0.4577</v>
      </c>
      <c r="M704" s="16">
        <v>4484.0</v>
      </c>
      <c r="N704" s="17">
        <v>0.3914</v>
      </c>
      <c r="O704" s="18">
        <v>637.0</v>
      </c>
      <c r="P704" s="18">
        <v>606.0</v>
      </c>
      <c r="Q704" s="19">
        <v>0.0529</v>
      </c>
      <c r="R704" s="19">
        <v>0.1351</v>
      </c>
      <c r="S704" s="20">
        <v>8.0</v>
      </c>
      <c r="T704" s="20">
        <v>13.0</v>
      </c>
      <c r="U704" s="20">
        <v>22498.0</v>
      </c>
      <c r="V704" s="21" t="s">
        <v>315</v>
      </c>
      <c r="W704" s="18" t="s">
        <v>76</v>
      </c>
      <c r="X704" s="101" t="s">
        <v>82</v>
      </c>
      <c r="Y704" s="42" t="s">
        <v>2327</v>
      </c>
      <c r="Z704" s="20" t="s">
        <v>2332</v>
      </c>
      <c r="AA704" s="14">
        <v>99.0</v>
      </c>
      <c r="AB704" s="14"/>
      <c r="AC704" s="14">
        <v>99.0</v>
      </c>
      <c r="AD704" s="14">
        <v>361150.0</v>
      </c>
      <c r="AE704" s="14"/>
      <c r="AF704" s="14">
        <v>361150.0</v>
      </c>
      <c r="AG704" s="22"/>
      <c r="AH704" s="22"/>
      <c r="AI704" s="22"/>
      <c r="AJ704" s="22"/>
      <c r="AK704" s="22"/>
      <c r="AL704" s="22"/>
      <c r="AM704" s="22"/>
      <c r="AN704" s="22"/>
      <c r="AO704" s="22"/>
      <c r="AP704" s="22"/>
    </row>
    <row r="705" hidden="1">
      <c r="A705" s="8">
        <v>46100.0</v>
      </c>
      <c r="B705" s="23">
        <v>0.5</v>
      </c>
      <c r="C705" s="10" t="s">
        <v>32</v>
      </c>
      <c r="D705" s="10" t="s">
        <v>33</v>
      </c>
      <c r="E705" s="12" t="s">
        <v>71</v>
      </c>
      <c r="F705" s="12" t="s">
        <v>2234</v>
      </c>
      <c r="G705" s="12" t="s">
        <v>2333</v>
      </c>
      <c r="H705" s="96" t="s">
        <v>2334</v>
      </c>
      <c r="I705" s="112" t="s">
        <v>2335</v>
      </c>
      <c r="J705" s="14">
        <v>124358.0</v>
      </c>
      <c r="K705" s="14">
        <v>62356.0</v>
      </c>
      <c r="L705" s="15">
        <v>0.5014</v>
      </c>
      <c r="M705" s="16">
        <v>24989.0</v>
      </c>
      <c r="N705" s="17">
        <v>0.4008</v>
      </c>
      <c r="O705" s="18">
        <v>3616.0</v>
      </c>
      <c r="P705" s="18">
        <v>3393.0</v>
      </c>
      <c r="Q705" s="19">
        <v>0.0544</v>
      </c>
      <c r="R705" s="19">
        <v>0.1358</v>
      </c>
      <c r="S705" s="20">
        <v>12.0</v>
      </c>
      <c r="T705" s="20">
        <v>28.0</v>
      </c>
      <c r="U705" s="20">
        <v>28372.0</v>
      </c>
      <c r="V705" s="21" t="s">
        <v>315</v>
      </c>
      <c r="W705" s="18" t="s">
        <v>76</v>
      </c>
      <c r="X705" s="101" t="s">
        <v>2252</v>
      </c>
      <c r="Y705" s="42" t="s">
        <v>2327</v>
      </c>
      <c r="Z705" s="20" t="s">
        <v>2336</v>
      </c>
      <c r="AA705" s="14">
        <v>209.0</v>
      </c>
      <c r="AB705" s="14"/>
      <c r="AC705" s="14">
        <v>209.0</v>
      </c>
      <c r="AD705" s="14">
        <v>544294.0</v>
      </c>
      <c r="AE705" s="14"/>
      <c r="AF705" s="14">
        <v>544294.0</v>
      </c>
      <c r="AG705" s="22"/>
      <c r="AH705" s="22"/>
      <c r="AI705" s="22"/>
      <c r="AJ705" s="22"/>
      <c r="AK705" s="22"/>
      <c r="AL705" s="22"/>
      <c r="AM705" s="22"/>
      <c r="AN705" s="22"/>
      <c r="AO705" s="22"/>
      <c r="AP705" s="22"/>
    </row>
    <row r="706" hidden="1">
      <c r="A706" s="8">
        <v>46100.0</v>
      </c>
      <c r="B706" s="23">
        <v>0.5</v>
      </c>
      <c r="C706" s="10" t="s">
        <v>32</v>
      </c>
      <c r="D706" s="10" t="s">
        <v>33</v>
      </c>
      <c r="E706" s="12" t="s">
        <v>71</v>
      </c>
      <c r="F706" s="12" t="s">
        <v>2234</v>
      </c>
      <c r="G706" s="12" t="s">
        <v>2337</v>
      </c>
      <c r="H706" s="96" t="s">
        <v>2338</v>
      </c>
      <c r="I706" s="112" t="s">
        <v>2339</v>
      </c>
      <c r="J706" s="14">
        <v>76684.0</v>
      </c>
      <c r="K706" s="14">
        <v>35309.0</v>
      </c>
      <c r="L706" s="15">
        <v>0.4604</v>
      </c>
      <c r="M706" s="16">
        <v>13896.0</v>
      </c>
      <c r="N706" s="17">
        <v>0.3935</v>
      </c>
      <c r="O706" s="18">
        <v>1504.0</v>
      </c>
      <c r="P706" s="18">
        <v>1441.0</v>
      </c>
      <c r="Q706" s="19">
        <v>0.0408</v>
      </c>
      <c r="R706" s="19">
        <v>0.1037</v>
      </c>
      <c r="S706" s="20">
        <v>3.0</v>
      </c>
      <c r="T706" s="20">
        <v>14.0</v>
      </c>
      <c r="U706" s="20">
        <v>13522.0</v>
      </c>
      <c r="V706" s="21" t="s">
        <v>315</v>
      </c>
      <c r="W706" s="18" t="s">
        <v>76</v>
      </c>
      <c r="X706" s="101" t="s">
        <v>2257</v>
      </c>
      <c r="Y706" s="42" t="s">
        <v>2327</v>
      </c>
      <c r="Z706" s="20" t="s">
        <v>2340</v>
      </c>
      <c r="AA706" s="14">
        <v>162.0</v>
      </c>
      <c r="AB706" s="14"/>
      <c r="AC706" s="14">
        <v>162.0</v>
      </c>
      <c r="AD706" s="14">
        <v>865743.0</v>
      </c>
      <c r="AE706" s="14"/>
      <c r="AF706" s="14">
        <v>865743.0</v>
      </c>
      <c r="AG706" s="22"/>
      <c r="AH706" s="22"/>
      <c r="AI706" s="22"/>
      <c r="AJ706" s="22"/>
      <c r="AK706" s="22"/>
      <c r="AL706" s="22"/>
      <c r="AM706" s="22"/>
      <c r="AN706" s="22"/>
      <c r="AO706" s="22"/>
      <c r="AP706" s="22"/>
    </row>
    <row r="707" hidden="1">
      <c r="A707" s="8">
        <v>46100.0</v>
      </c>
      <c r="B707" s="23">
        <v>0.5</v>
      </c>
      <c r="C707" s="10" t="s">
        <v>32</v>
      </c>
      <c r="D707" s="10" t="s">
        <v>33</v>
      </c>
      <c r="E707" s="12" t="s">
        <v>71</v>
      </c>
      <c r="F707" s="12" t="s">
        <v>2234</v>
      </c>
      <c r="G707" s="12" t="s">
        <v>2341</v>
      </c>
      <c r="H707" s="96" t="s">
        <v>2342</v>
      </c>
      <c r="I707" s="112" t="s">
        <v>2343</v>
      </c>
      <c r="J707" s="14">
        <v>1937.0</v>
      </c>
      <c r="K707" s="14">
        <v>976.0</v>
      </c>
      <c r="L707" s="15">
        <v>0.5039</v>
      </c>
      <c r="M707" s="16">
        <v>388.0</v>
      </c>
      <c r="N707" s="17">
        <v>0.3975</v>
      </c>
      <c r="O707" s="18">
        <v>41.0</v>
      </c>
      <c r="P707" s="18">
        <v>40.0</v>
      </c>
      <c r="Q707" s="19">
        <v>0.041</v>
      </c>
      <c r="R707" s="19">
        <v>0.1031</v>
      </c>
      <c r="S707" s="20">
        <v>0.0</v>
      </c>
      <c r="T707" s="20">
        <v>0.0</v>
      </c>
      <c r="U707" s="20">
        <v>0.0</v>
      </c>
      <c r="V707" s="21" t="s">
        <v>315</v>
      </c>
      <c r="W707" s="18" t="s">
        <v>76</v>
      </c>
      <c r="X707" s="101" t="s">
        <v>47</v>
      </c>
      <c r="Y707" s="42" t="s">
        <v>2327</v>
      </c>
      <c r="Z707" s="20" t="s">
        <v>2344</v>
      </c>
      <c r="AA707" s="14">
        <v>1.0</v>
      </c>
      <c r="AB707" s="14"/>
      <c r="AC707" s="14">
        <v>1.0</v>
      </c>
      <c r="AD707" s="14">
        <v>1379.0</v>
      </c>
      <c r="AE707" s="14"/>
      <c r="AF707" s="14">
        <v>1379.0</v>
      </c>
      <c r="AG707" s="22"/>
      <c r="AH707" s="22"/>
      <c r="AI707" s="22"/>
      <c r="AJ707" s="22"/>
      <c r="AK707" s="22"/>
      <c r="AL707" s="22"/>
      <c r="AM707" s="22"/>
      <c r="AN707" s="22"/>
      <c r="AO707" s="22"/>
      <c r="AP707" s="22"/>
    </row>
    <row r="708" hidden="1">
      <c r="A708" s="8">
        <v>46100.0</v>
      </c>
      <c r="B708" s="23">
        <v>0.5</v>
      </c>
      <c r="C708" s="10" t="s">
        <v>32</v>
      </c>
      <c r="D708" s="10" t="s">
        <v>33</v>
      </c>
      <c r="E708" s="12" t="s">
        <v>71</v>
      </c>
      <c r="F708" s="12" t="s">
        <v>2234</v>
      </c>
      <c r="G708" s="12" t="s">
        <v>2345</v>
      </c>
      <c r="H708" s="96" t="s">
        <v>2346</v>
      </c>
      <c r="I708" s="30" t="s">
        <v>2347</v>
      </c>
      <c r="J708" s="14">
        <v>2798.0</v>
      </c>
      <c r="K708" s="14">
        <v>1041.0</v>
      </c>
      <c r="L708" s="15">
        <v>0.3721</v>
      </c>
      <c r="M708" s="16">
        <v>336.0</v>
      </c>
      <c r="N708" s="17">
        <v>0.3228</v>
      </c>
      <c r="O708" s="18">
        <v>23.0</v>
      </c>
      <c r="P708" s="18">
        <v>23.0</v>
      </c>
      <c r="Q708" s="19">
        <v>0.0221</v>
      </c>
      <c r="R708" s="19">
        <v>0.0685</v>
      </c>
      <c r="S708" s="20">
        <v>1.0</v>
      </c>
      <c r="T708" s="20">
        <v>0.0</v>
      </c>
      <c r="U708" s="20">
        <v>3075.0</v>
      </c>
      <c r="V708" s="21" t="s">
        <v>315</v>
      </c>
      <c r="W708" s="18" t="s">
        <v>76</v>
      </c>
      <c r="X708" s="95" t="s">
        <v>2348</v>
      </c>
      <c r="Y708" s="42" t="s">
        <v>2327</v>
      </c>
      <c r="Z708" s="20" t="s">
        <v>2349</v>
      </c>
      <c r="AA708" s="14">
        <v>7.0</v>
      </c>
      <c r="AB708" s="14"/>
      <c r="AC708" s="14">
        <v>7.0</v>
      </c>
      <c r="AD708" s="14">
        <v>36198.0</v>
      </c>
      <c r="AE708" s="14"/>
      <c r="AF708" s="14">
        <v>36198.0</v>
      </c>
      <c r="AG708" s="22"/>
      <c r="AH708" s="22"/>
      <c r="AI708" s="22"/>
      <c r="AJ708" s="22"/>
      <c r="AK708" s="22"/>
      <c r="AL708" s="22"/>
      <c r="AM708" s="22"/>
      <c r="AN708" s="22"/>
      <c r="AO708" s="22"/>
      <c r="AP708" s="22"/>
    </row>
    <row r="709" hidden="1">
      <c r="A709" s="8">
        <v>46100.0</v>
      </c>
      <c r="B709" s="23">
        <v>0.5</v>
      </c>
      <c r="C709" s="10" t="s">
        <v>32</v>
      </c>
      <c r="D709" s="10" t="s">
        <v>33</v>
      </c>
      <c r="E709" s="12" t="s">
        <v>71</v>
      </c>
      <c r="F709" s="12" t="s">
        <v>2234</v>
      </c>
      <c r="G709" s="12" t="s">
        <v>2350</v>
      </c>
      <c r="H709" s="96" t="s">
        <v>2351</v>
      </c>
      <c r="I709" s="30" t="s">
        <v>2352</v>
      </c>
      <c r="J709" s="14">
        <v>2529.0</v>
      </c>
      <c r="K709" s="14">
        <v>976.0</v>
      </c>
      <c r="L709" s="15">
        <v>0.3859</v>
      </c>
      <c r="M709" s="16">
        <v>307.0</v>
      </c>
      <c r="N709" s="17">
        <v>0.3145</v>
      </c>
      <c r="O709" s="18">
        <v>12.0</v>
      </c>
      <c r="P709" s="18">
        <v>12.0</v>
      </c>
      <c r="Q709" s="19">
        <v>0.0123</v>
      </c>
      <c r="R709" s="19">
        <v>0.0391</v>
      </c>
      <c r="S709" s="20">
        <v>1.0</v>
      </c>
      <c r="T709" s="20">
        <v>1.0</v>
      </c>
      <c r="U709" s="20">
        <v>4371.0</v>
      </c>
      <c r="V709" s="21" t="s">
        <v>315</v>
      </c>
      <c r="W709" s="18" t="s">
        <v>76</v>
      </c>
      <c r="X709" s="95" t="s">
        <v>2348</v>
      </c>
      <c r="Y709" s="42" t="s">
        <v>2327</v>
      </c>
      <c r="Z709" s="20" t="s">
        <v>2353</v>
      </c>
      <c r="AA709" s="14">
        <v>1.0</v>
      </c>
      <c r="AB709" s="14"/>
      <c r="AC709" s="14">
        <v>1.0</v>
      </c>
      <c r="AD709" s="14">
        <v>539.0</v>
      </c>
      <c r="AE709" s="14"/>
      <c r="AF709" s="14">
        <v>539.0</v>
      </c>
      <c r="AG709" s="22"/>
      <c r="AH709" s="22"/>
      <c r="AI709" s="22"/>
      <c r="AJ709" s="22"/>
      <c r="AK709" s="22"/>
      <c r="AL709" s="22"/>
      <c r="AM709" s="22"/>
      <c r="AN709" s="22"/>
      <c r="AO709" s="22"/>
      <c r="AP709" s="22"/>
    </row>
    <row r="710" hidden="1">
      <c r="A710" s="8">
        <v>46100.0</v>
      </c>
      <c r="B710" s="23">
        <v>0.5416666666666666</v>
      </c>
      <c r="C710" s="10" t="s">
        <v>58</v>
      </c>
      <c r="D710" s="10" t="s">
        <v>59</v>
      </c>
      <c r="E710" s="12" t="s">
        <v>71</v>
      </c>
      <c r="F710" s="12" t="s">
        <v>2234</v>
      </c>
      <c r="G710" s="12" t="s">
        <v>2354</v>
      </c>
      <c r="H710" s="102" t="s">
        <v>2355</v>
      </c>
      <c r="I710" s="102" t="s">
        <v>2355</v>
      </c>
      <c r="J710" s="14">
        <v>122119.0</v>
      </c>
      <c r="K710" s="14">
        <v>69871.0</v>
      </c>
      <c r="L710" s="15">
        <v>0.5722</v>
      </c>
      <c r="M710" s="16"/>
      <c r="N710" s="17"/>
      <c r="O710" s="18">
        <v>173.0</v>
      </c>
      <c r="P710" s="18"/>
      <c r="Q710" s="19">
        <v>0.0025</v>
      </c>
      <c r="R710" s="19"/>
      <c r="S710" s="20">
        <v>3.0</v>
      </c>
      <c r="T710" s="20">
        <v>5.0</v>
      </c>
      <c r="U710" s="20">
        <v>26011.0</v>
      </c>
      <c r="V710" s="21" t="s">
        <v>315</v>
      </c>
      <c r="W710" s="18" t="s">
        <v>62</v>
      </c>
      <c r="X710" s="66" t="s">
        <v>1650</v>
      </c>
      <c r="Y710" s="114">
        <v>46100.0</v>
      </c>
      <c r="Z710" s="20" t="s">
        <v>2356</v>
      </c>
      <c r="AA710" s="14">
        <v>121.0</v>
      </c>
      <c r="AB710" s="14"/>
      <c r="AC710" s="14">
        <v>121.0</v>
      </c>
      <c r="AD710" s="14">
        <v>533170.0</v>
      </c>
      <c r="AE710" s="14"/>
      <c r="AF710" s="14">
        <v>533170.0</v>
      </c>
      <c r="AG710" s="79"/>
      <c r="AH710" s="22"/>
      <c r="AI710" s="22"/>
      <c r="AJ710" s="22"/>
      <c r="AK710" s="22"/>
      <c r="AL710" s="22"/>
      <c r="AM710" s="22"/>
      <c r="AN710" s="22"/>
      <c r="AO710" s="22"/>
      <c r="AP710" s="22"/>
    </row>
    <row r="711" hidden="1">
      <c r="A711" s="8">
        <v>46101.0</v>
      </c>
      <c r="B711" s="23">
        <v>0.3784722222222222</v>
      </c>
      <c r="C711" s="10" t="s">
        <v>32</v>
      </c>
      <c r="D711" s="10" t="s">
        <v>59</v>
      </c>
      <c r="E711" s="12" t="s">
        <v>179</v>
      </c>
      <c r="F711" s="12" t="s">
        <v>2275</v>
      </c>
      <c r="G711" s="12" t="s">
        <v>2357</v>
      </c>
      <c r="H711" s="12" t="s">
        <v>2281</v>
      </c>
      <c r="I711" s="57" t="s">
        <v>61</v>
      </c>
      <c r="J711" s="14">
        <v>56.0</v>
      </c>
      <c r="K711" s="14">
        <v>18.0</v>
      </c>
      <c r="L711" s="15">
        <v>0.3214</v>
      </c>
      <c r="M711" s="16">
        <v>5.0</v>
      </c>
      <c r="N711" s="17">
        <v>0.2778</v>
      </c>
      <c r="O711" s="18">
        <v>0.0</v>
      </c>
      <c r="P711" s="18">
        <v>0.0</v>
      </c>
      <c r="Q711" s="19">
        <v>0.0</v>
      </c>
      <c r="R711" s="19">
        <v>0.0</v>
      </c>
      <c r="S711" s="20">
        <v>0.0</v>
      </c>
      <c r="T711" s="20">
        <v>1.0</v>
      </c>
      <c r="U711" s="20">
        <v>0.0</v>
      </c>
      <c r="V711" s="21" t="s">
        <v>335</v>
      </c>
      <c r="W711" s="18" t="s">
        <v>76</v>
      </c>
      <c r="X711" s="101" t="s">
        <v>2282</v>
      </c>
      <c r="Y711" s="73" t="s">
        <v>2358</v>
      </c>
      <c r="Z711" s="20" t="s">
        <v>2359</v>
      </c>
      <c r="AA711" s="14">
        <v>0.0</v>
      </c>
      <c r="AB711" s="14">
        <v>0.0</v>
      </c>
      <c r="AC711" s="14"/>
      <c r="AD711" s="14">
        <v>0.0</v>
      </c>
      <c r="AE711" s="14">
        <v>0.0</v>
      </c>
      <c r="AF711" s="14"/>
      <c r="AG711" s="22"/>
      <c r="AH711" s="22"/>
      <c r="AI711" s="22"/>
      <c r="AJ711" s="22"/>
      <c r="AK711" s="22"/>
      <c r="AL711" s="22"/>
      <c r="AM711" s="22"/>
      <c r="AN711" s="22"/>
      <c r="AO711" s="22"/>
      <c r="AP711" s="22"/>
    </row>
    <row r="712" hidden="1">
      <c r="A712" s="8">
        <v>46101.0</v>
      </c>
      <c r="B712" s="23">
        <v>0.3819444444444444</v>
      </c>
      <c r="C712" s="10" t="s">
        <v>32</v>
      </c>
      <c r="D712" s="10" t="s">
        <v>59</v>
      </c>
      <c r="E712" s="12" t="s">
        <v>179</v>
      </c>
      <c r="F712" s="12" t="s">
        <v>2275</v>
      </c>
      <c r="G712" s="12" t="s">
        <v>2360</v>
      </c>
      <c r="H712" s="12" t="s">
        <v>2285</v>
      </c>
      <c r="I712" s="57" t="s">
        <v>61</v>
      </c>
      <c r="J712" s="14">
        <v>1875.0</v>
      </c>
      <c r="K712" s="14">
        <v>761.0</v>
      </c>
      <c r="L712" s="15">
        <v>0.4059</v>
      </c>
      <c r="M712" s="16">
        <v>135.0</v>
      </c>
      <c r="N712" s="17">
        <v>0.1774</v>
      </c>
      <c r="O712" s="18">
        <v>22.0</v>
      </c>
      <c r="P712" s="18">
        <v>21.0</v>
      </c>
      <c r="Q712" s="19">
        <v>0.0276</v>
      </c>
      <c r="R712" s="19">
        <v>0.1556</v>
      </c>
      <c r="S712" s="20">
        <v>2.0</v>
      </c>
      <c r="T712" s="20">
        <v>3.0</v>
      </c>
      <c r="U712" s="20">
        <v>5973.0</v>
      </c>
      <c r="V712" s="21" t="s">
        <v>335</v>
      </c>
      <c r="W712" s="18" t="s">
        <v>76</v>
      </c>
      <c r="X712" s="101" t="s">
        <v>2286</v>
      </c>
      <c r="Y712" s="73" t="s">
        <v>2358</v>
      </c>
      <c r="Z712" s="20" t="s">
        <v>2361</v>
      </c>
      <c r="AA712" s="14">
        <v>3.0</v>
      </c>
      <c r="AB712" s="14">
        <v>3.0</v>
      </c>
      <c r="AC712" s="14"/>
      <c r="AD712" s="14">
        <v>7721.0</v>
      </c>
      <c r="AE712" s="14">
        <v>7721.0</v>
      </c>
      <c r="AF712" s="14"/>
      <c r="AG712" s="22"/>
      <c r="AH712" s="22"/>
      <c r="AI712" s="22"/>
      <c r="AJ712" s="22"/>
      <c r="AK712" s="22"/>
      <c r="AL712" s="22"/>
      <c r="AM712" s="22"/>
      <c r="AN712" s="22"/>
      <c r="AO712" s="22"/>
      <c r="AP712" s="22"/>
    </row>
    <row r="713" hidden="1">
      <c r="A713" s="8">
        <v>46101.0</v>
      </c>
      <c r="B713" s="23">
        <v>0.3854166666666667</v>
      </c>
      <c r="C713" s="10" t="s">
        <v>32</v>
      </c>
      <c r="D713" s="10" t="s">
        <v>59</v>
      </c>
      <c r="E713" s="12" t="s">
        <v>179</v>
      </c>
      <c r="F713" s="12" t="s">
        <v>2275</v>
      </c>
      <c r="G713" s="12" t="s">
        <v>2362</v>
      </c>
      <c r="H713" s="12" t="s">
        <v>2289</v>
      </c>
      <c r="I713" s="57" t="s">
        <v>61</v>
      </c>
      <c r="J713" s="14">
        <v>586.0</v>
      </c>
      <c r="K713" s="14">
        <v>308.0</v>
      </c>
      <c r="L713" s="15">
        <v>0.5256</v>
      </c>
      <c r="M713" s="16">
        <v>82.0</v>
      </c>
      <c r="N713" s="17">
        <v>0.2662</v>
      </c>
      <c r="O713" s="18">
        <v>25.0</v>
      </c>
      <c r="P713" s="18">
        <v>24.0</v>
      </c>
      <c r="Q713" s="19">
        <v>0.0779</v>
      </c>
      <c r="R713" s="19">
        <v>0.2927</v>
      </c>
      <c r="S713" s="20">
        <v>0.0</v>
      </c>
      <c r="T713" s="20">
        <v>0.0</v>
      </c>
      <c r="U713" s="20">
        <v>0.0</v>
      </c>
      <c r="V713" s="21" t="s">
        <v>335</v>
      </c>
      <c r="W713" s="18" t="s">
        <v>76</v>
      </c>
      <c r="X713" s="101" t="s">
        <v>2290</v>
      </c>
      <c r="Y713" s="73" t="s">
        <v>2358</v>
      </c>
      <c r="Z713" s="20" t="s">
        <v>2363</v>
      </c>
      <c r="AA713" s="14">
        <v>2.0</v>
      </c>
      <c r="AB713" s="14">
        <v>2.0</v>
      </c>
      <c r="AC713" s="14"/>
      <c r="AD713" s="14">
        <v>5698.0</v>
      </c>
      <c r="AE713" s="14">
        <v>5698.0</v>
      </c>
      <c r="AF713" s="14"/>
      <c r="AG713" s="22"/>
      <c r="AH713" s="22"/>
      <c r="AI713" s="22"/>
      <c r="AJ713" s="22"/>
      <c r="AK713" s="22"/>
      <c r="AL713" s="22"/>
      <c r="AM713" s="22"/>
      <c r="AN713" s="22"/>
      <c r="AO713" s="22"/>
      <c r="AP713" s="22"/>
    </row>
    <row r="714" hidden="1">
      <c r="A714" s="8">
        <v>46101.0</v>
      </c>
      <c r="B714" s="23">
        <v>0.3888888888888889</v>
      </c>
      <c r="C714" s="10" t="s">
        <v>32</v>
      </c>
      <c r="D714" s="10" t="s">
        <v>59</v>
      </c>
      <c r="E714" s="12" t="s">
        <v>179</v>
      </c>
      <c r="F714" s="12" t="s">
        <v>2275</v>
      </c>
      <c r="G714" s="12" t="s">
        <v>2364</v>
      </c>
      <c r="H714" s="12" t="s">
        <v>2293</v>
      </c>
      <c r="I714" s="57" t="s">
        <v>61</v>
      </c>
      <c r="J714" s="14">
        <v>9520.0</v>
      </c>
      <c r="K714" s="14">
        <v>4499.0</v>
      </c>
      <c r="L714" s="15">
        <v>0.4726</v>
      </c>
      <c r="M714" s="16">
        <v>958.0</v>
      </c>
      <c r="N714" s="17">
        <v>0.2129</v>
      </c>
      <c r="O714" s="18">
        <v>149.0</v>
      </c>
      <c r="P714" s="18">
        <v>139.0</v>
      </c>
      <c r="Q714" s="19">
        <v>0.0309</v>
      </c>
      <c r="R714" s="19">
        <v>0.1451</v>
      </c>
      <c r="S714" s="20">
        <v>2.0</v>
      </c>
      <c r="T714" s="20">
        <v>1.0</v>
      </c>
      <c r="U714" s="20">
        <v>5398.0</v>
      </c>
      <c r="V714" s="21" t="s">
        <v>335</v>
      </c>
      <c r="W714" s="18" t="s">
        <v>76</v>
      </c>
      <c r="X714" s="101" t="s">
        <v>2294</v>
      </c>
      <c r="Y714" s="73" t="s">
        <v>2358</v>
      </c>
      <c r="Z714" s="20" t="s">
        <v>2365</v>
      </c>
      <c r="AA714" s="14">
        <v>9.0</v>
      </c>
      <c r="AB714" s="14">
        <v>9.0</v>
      </c>
      <c r="AC714" s="14"/>
      <c r="AD714" s="14">
        <v>32389.0</v>
      </c>
      <c r="AE714" s="14">
        <v>32389.0</v>
      </c>
      <c r="AF714" s="14"/>
      <c r="AG714" s="22"/>
      <c r="AH714" s="22"/>
      <c r="AI714" s="22"/>
      <c r="AJ714" s="22"/>
      <c r="AK714" s="22"/>
      <c r="AL714" s="22"/>
      <c r="AM714" s="22"/>
      <c r="AN714" s="22"/>
      <c r="AO714" s="22"/>
      <c r="AP714" s="22"/>
    </row>
    <row r="715" hidden="1">
      <c r="A715" s="8">
        <v>46101.0</v>
      </c>
      <c r="B715" s="23">
        <v>0.3923611111111111</v>
      </c>
      <c r="C715" s="10" t="s">
        <v>32</v>
      </c>
      <c r="D715" s="10" t="s">
        <v>59</v>
      </c>
      <c r="E715" s="12" t="s">
        <v>179</v>
      </c>
      <c r="F715" s="12" t="s">
        <v>2275</v>
      </c>
      <c r="G715" s="12" t="s">
        <v>2366</v>
      </c>
      <c r="H715" s="12" t="s">
        <v>2297</v>
      </c>
      <c r="I715" s="57" t="s">
        <v>61</v>
      </c>
      <c r="J715" s="14">
        <v>3298.0</v>
      </c>
      <c r="K715" s="14">
        <v>1363.0</v>
      </c>
      <c r="L715" s="15">
        <v>0.4133</v>
      </c>
      <c r="M715" s="16">
        <v>258.0</v>
      </c>
      <c r="N715" s="17">
        <v>0.1893</v>
      </c>
      <c r="O715" s="18">
        <v>44.0</v>
      </c>
      <c r="P715" s="18">
        <v>42.0</v>
      </c>
      <c r="Q715" s="19">
        <v>0.0308</v>
      </c>
      <c r="R715" s="19">
        <v>0.1628</v>
      </c>
      <c r="S715" s="20">
        <v>1.0</v>
      </c>
      <c r="T715" s="20">
        <v>0.0</v>
      </c>
      <c r="U715" s="20">
        <v>1099.0</v>
      </c>
      <c r="V715" s="21" t="s">
        <v>335</v>
      </c>
      <c r="W715" s="18" t="s">
        <v>76</v>
      </c>
      <c r="X715" s="101" t="s">
        <v>2112</v>
      </c>
      <c r="Y715" s="73" t="s">
        <v>2358</v>
      </c>
      <c r="Z715" s="20" t="s">
        <v>2367</v>
      </c>
      <c r="AA715" s="14">
        <v>3.0</v>
      </c>
      <c r="AB715" s="14">
        <v>3.0</v>
      </c>
      <c r="AC715" s="14"/>
      <c r="AD715" s="14">
        <v>8697.0</v>
      </c>
      <c r="AE715" s="14">
        <v>8697.0</v>
      </c>
      <c r="AF715" s="14"/>
      <c r="AG715" s="22"/>
      <c r="AH715" s="22"/>
      <c r="AI715" s="22"/>
      <c r="AJ715" s="22"/>
      <c r="AK715" s="22"/>
      <c r="AL715" s="22"/>
      <c r="AM715" s="22"/>
      <c r="AN715" s="22"/>
      <c r="AO715" s="22"/>
      <c r="AP715" s="22"/>
    </row>
    <row r="716" hidden="1">
      <c r="A716" s="8">
        <v>46101.0</v>
      </c>
      <c r="B716" s="23">
        <v>0.3958333333333333</v>
      </c>
      <c r="C716" s="10" t="s">
        <v>32</v>
      </c>
      <c r="D716" s="10" t="s">
        <v>59</v>
      </c>
      <c r="E716" s="12" t="s">
        <v>179</v>
      </c>
      <c r="F716" s="12" t="s">
        <v>2275</v>
      </c>
      <c r="G716" s="12" t="s">
        <v>2368</v>
      </c>
      <c r="H716" s="12" t="s">
        <v>2300</v>
      </c>
      <c r="I716" s="57" t="s">
        <v>61</v>
      </c>
      <c r="J716" s="14">
        <v>17952.0</v>
      </c>
      <c r="K716" s="14">
        <v>8424.0</v>
      </c>
      <c r="L716" s="15">
        <v>0.4693</v>
      </c>
      <c r="M716" s="16">
        <v>1550.0</v>
      </c>
      <c r="N716" s="17">
        <v>0.184</v>
      </c>
      <c r="O716" s="18">
        <v>196.0</v>
      </c>
      <c r="P716" s="18">
        <v>190.0</v>
      </c>
      <c r="Q716" s="19">
        <v>0.0226</v>
      </c>
      <c r="R716" s="19">
        <v>0.1226</v>
      </c>
      <c r="S716" s="20">
        <v>2.0</v>
      </c>
      <c r="T716" s="20">
        <v>6.0</v>
      </c>
      <c r="U716" s="20">
        <v>7716.0</v>
      </c>
      <c r="V716" s="21" t="s">
        <v>335</v>
      </c>
      <c r="W716" s="18" t="s">
        <v>76</v>
      </c>
      <c r="X716" s="101" t="s">
        <v>2301</v>
      </c>
      <c r="Y716" s="73" t="s">
        <v>2358</v>
      </c>
      <c r="Z716" s="20" t="s">
        <v>2369</v>
      </c>
      <c r="AA716" s="14">
        <v>8.0</v>
      </c>
      <c r="AB716" s="14">
        <v>8.0</v>
      </c>
      <c r="AC716" s="14"/>
      <c r="AD716" s="14">
        <v>34813.0</v>
      </c>
      <c r="AE716" s="14">
        <v>34813.0</v>
      </c>
      <c r="AF716" s="14"/>
      <c r="AG716" s="22"/>
      <c r="AH716" s="22"/>
      <c r="AI716" s="22"/>
      <c r="AJ716" s="22"/>
      <c r="AK716" s="22"/>
      <c r="AL716" s="22"/>
      <c r="AM716" s="22"/>
      <c r="AN716" s="22"/>
      <c r="AO716" s="22"/>
      <c r="AP716" s="22"/>
    </row>
    <row r="717" hidden="1">
      <c r="A717" s="8">
        <v>46101.0</v>
      </c>
      <c r="B717" s="23">
        <v>0.375</v>
      </c>
      <c r="C717" s="10" t="s">
        <v>32</v>
      </c>
      <c r="D717" s="10" t="s">
        <v>59</v>
      </c>
      <c r="E717" s="12" t="s">
        <v>179</v>
      </c>
      <c r="F717" s="12" t="s">
        <v>2275</v>
      </c>
      <c r="G717" s="12" t="s">
        <v>2370</v>
      </c>
      <c r="H717" s="12" t="s">
        <v>2277</v>
      </c>
      <c r="I717" s="57" t="s">
        <v>61</v>
      </c>
      <c r="J717" s="14">
        <v>792.0</v>
      </c>
      <c r="K717" s="14">
        <v>403.0</v>
      </c>
      <c r="L717" s="15">
        <v>0.5088</v>
      </c>
      <c r="M717" s="16">
        <v>96.0</v>
      </c>
      <c r="N717" s="17">
        <v>0.2382</v>
      </c>
      <c r="O717" s="18">
        <v>23.0</v>
      </c>
      <c r="P717" s="18">
        <v>23.0</v>
      </c>
      <c r="Q717" s="19">
        <v>0.0571</v>
      </c>
      <c r="R717" s="19">
        <v>0.2396</v>
      </c>
      <c r="S717" s="20">
        <v>1.0</v>
      </c>
      <c r="T717" s="20">
        <v>16.0</v>
      </c>
      <c r="U717" s="20">
        <v>2529.0</v>
      </c>
      <c r="V717" s="21" t="s">
        <v>335</v>
      </c>
      <c r="W717" s="18" t="s">
        <v>76</v>
      </c>
      <c r="X717" s="101" t="s">
        <v>2131</v>
      </c>
      <c r="Y717" s="73" t="s">
        <v>2358</v>
      </c>
      <c r="Z717" s="20" t="s">
        <v>2371</v>
      </c>
      <c r="AA717" s="14">
        <v>3.0</v>
      </c>
      <c r="AB717" s="14">
        <v>3.0</v>
      </c>
      <c r="AC717" s="14"/>
      <c r="AD717" s="14">
        <v>7126.0</v>
      </c>
      <c r="AE717" s="14">
        <v>7126.0</v>
      </c>
      <c r="AF717" s="14"/>
      <c r="AG717" s="22"/>
      <c r="AH717" s="22"/>
      <c r="AI717" s="22"/>
      <c r="AJ717" s="22"/>
      <c r="AK717" s="22"/>
      <c r="AL717" s="22"/>
      <c r="AM717" s="22"/>
      <c r="AN717" s="22"/>
      <c r="AO717" s="22"/>
      <c r="AP717" s="22"/>
    </row>
    <row r="718" hidden="1">
      <c r="A718" s="8">
        <v>46101.0</v>
      </c>
      <c r="B718" s="23">
        <v>0.3541666666666667</v>
      </c>
      <c r="C718" s="10" t="s">
        <v>32</v>
      </c>
      <c r="D718" s="10" t="s">
        <v>33</v>
      </c>
      <c r="E718" s="12" t="s">
        <v>179</v>
      </c>
      <c r="F718" s="12" t="s">
        <v>2275</v>
      </c>
      <c r="G718" s="12" t="s">
        <v>2372</v>
      </c>
      <c r="H718" s="96" t="s">
        <v>2373</v>
      </c>
      <c r="I718" s="72" t="s">
        <v>1801</v>
      </c>
      <c r="J718" s="14">
        <v>15067.0</v>
      </c>
      <c r="K718" s="14">
        <v>8974.0</v>
      </c>
      <c r="L718" s="15">
        <v>0.5956</v>
      </c>
      <c r="M718" s="16">
        <v>2569.0</v>
      </c>
      <c r="N718" s="17">
        <v>0.2862</v>
      </c>
      <c r="O718" s="18">
        <v>0.0</v>
      </c>
      <c r="P718" s="18">
        <v>0.0</v>
      </c>
      <c r="Q718" s="19">
        <v>0.0</v>
      </c>
      <c r="R718" s="19">
        <v>0.0</v>
      </c>
      <c r="S718" s="20">
        <v>1.0</v>
      </c>
      <c r="T718" s="20">
        <v>1.0</v>
      </c>
      <c r="U718" s="20">
        <v>7296.0</v>
      </c>
      <c r="V718" s="21" t="s">
        <v>315</v>
      </c>
      <c r="W718" s="18" t="s">
        <v>76</v>
      </c>
      <c r="X718" s="73" t="s">
        <v>2374</v>
      </c>
      <c r="Y718" s="73" t="s">
        <v>2375</v>
      </c>
      <c r="Z718" s="20" t="s">
        <v>2376</v>
      </c>
      <c r="AA718" s="14">
        <v>22.0</v>
      </c>
      <c r="AB718" s="14"/>
      <c r="AC718" s="14">
        <v>22.0</v>
      </c>
      <c r="AD718" s="14">
        <v>107389.0</v>
      </c>
      <c r="AE718" s="14"/>
      <c r="AF718" s="14">
        <v>107389.0</v>
      </c>
      <c r="AG718" s="22"/>
      <c r="AH718" s="22"/>
      <c r="AI718" s="22"/>
      <c r="AJ718" s="22"/>
      <c r="AK718" s="22"/>
      <c r="AL718" s="22"/>
      <c r="AM718" s="22"/>
      <c r="AN718" s="22"/>
      <c r="AO718" s="22"/>
      <c r="AP718" s="22"/>
    </row>
    <row r="719" hidden="1">
      <c r="A719" s="8">
        <v>46101.0</v>
      </c>
      <c r="B719" s="23">
        <v>0.3576388888888889</v>
      </c>
      <c r="C719" s="10" t="s">
        <v>32</v>
      </c>
      <c r="D719" s="10" t="s">
        <v>33</v>
      </c>
      <c r="E719" s="12" t="s">
        <v>179</v>
      </c>
      <c r="F719" s="12" t="s">
        <v>2275</v>
      </c>
      <c r="G719" s="12" t="s">
        <v>2377</v>
      </c>
      <c r="H719" s="96" t="s">
        <v>2378</v>
      </c>
      <c r="I719" s="72" t="s">
        <v>1805</v>
      </c>
      <c r="J719" s="14">
        <v>32644.0</v>
      </c>
      <c r="K719" s="14">
        <v>17061.0</v>
      </c>
      <c r="L719" s="15">
        <v>0.5226</v>
      </c>
      <c r="M719" s="16">
        <v>3879.0</v>
      </c>
      <c r="N719" s="17">
        <v>0.2273</v>
      </c>
      <c r="O719" s="18">
        <v>0.0</v>
      </c>
      <c r="P719" s="18">
        <v>0.0</v>
      </c>
      <c r="Q719" s="19">
        <v>0.0</v>
      </c>
      <c r="R719" s="19">
        <v>0.0</v>
      </c>
      <c r="S719" s="20">
        <v>2.0</v>
      </c>
      <c r="T719" s="20">
        <v>5.0</v>
      </c>
      <c r="U719" s="20">
        <v>6698.0</v>
      </c>
      <c r="V719" s="21" t="s">
        <v>315</v>
      </c>
      <c r="W719" s="18" t="s">
        <v>76</v>
      </c>
      <c r="X719" s="73" t="s">
        <v>2374</v>
      </c>
      <c r="Y719" s="73" t="s">
        <v>2375</v>
      </c>
      <c r="Z719" s="20" t="s">
        <v>2379</v>
      </c>
      <c r="AA719" s="14">
        <v>70.0</v>
      </c>
      <c r="AB719" s="14"/>
      <c r="AC719" s="14">
        <v>70.0</v>
      </c>
      <c r="AD719" s="14">
        <v>753753.0</v>
      </c>
      <c r="AE719" s="14"/>
      <c r="AF719" s="14">
        <v>753753.0</v>
      </c>
      <c r="AG719" s="22"/>
      <c r="AH719" s="22"/>
      <c r="AI719" s="22"/>
      <c r="AJ719" s="22"/>
      <c r="AK719" s="22"/>
      <c r="AL719" s="22"/>
      <c r="AM719" s="22"/>
      <c r="AN719" s="22"/>
      <c r="AO719" s="22"/>
      <c r="AP719" s="22"/>
    </row>
    <row r="720" hidden="1">
      <c r="A720" s="8">
        <v>46101.0</v>
      </c>
      <c r="B720" s="23">
        <v>0.3611111111111111</v>
      </c>
      <c r="C720" s="10" t="s">
        <v>32</v>
      </c>
      <c r="D720" s="10" t="s">
        <v>33</v>
      </c>
      <c r="E720" s="12" t="s">
        <v>179</v>
      </c>
      <c r="F720" s="12" t="s">
        <v>2275</v>
      </c>
      <c r="G720" s="12" t="s">
        <v>2380</v>
      </c>
      <c r="H720" s="96" t="s">
        <v>2381</v>
      </c>
      <c r="I720" s="57" t="s">
        <v>1813</v>
      </c>
      <c r="J720" s="14">
        <v>15790.0</v>
      </c>
      <c r="K720" s="14">
        <v>8429.0</v>
      </c>
      <c r="L720" s="15">
        <v>0.5338</v>
      </c>
      <c r="M720" s="16">
        <v>2401.0</v>
      </c>
      <c r="N720" s="17">
        <v>0.2849</v>
      </c>
      <c r="O720" s="18">
        <v>0.0</v>
      </c>
      <c r="P720" s="18">
        <v>0.0</v>
      </c>
      <c r="Q720" s="19">
        <v>0.0</v>
      </c>
      <c r="R720" s="19">
        <v>0.0</v>
      </c>
      <c r="S720" s="20">
        <v>1.0</v>
      </c>
      <c r="T720" s="20">
        <v>1.0</v>
      </c>
      <c r="U720" s="20">
        <v>1099.0</v>
      </c>
      <c r="V720" s="21" t="s">
        <v>315</v>
      </c>
      <c r="W720" s="18" t="s">
        <v>76</v>
      </c>
      <c r="X720" s="73" t="s">
        <v>2374</v>
      </c>
      <c r="Y720" s="73" t="s">
        <v>2375</v>
      </c>
      <c r="Z720" s="20" t="s">
        <v>2382</v>
      </c>
      <c r="AA720" s="14">
        <v>29.0</v>
      </c>
      <c r="AB720" s="14"/>
      <c r="AC720" s="14">
        <v>29.0</v>
      </c>
      <c r="AD720" s="14">
        <v>142258.0</v>
      </c>
      <c r="AE720" s="14"/>
      <c r="AF720" s="14">
        <v>142258.0</v>
      </c>
      <c r="AG720" s="22"/>
      <c r="AH720" s="22"/>
      <c r="AI720" s="22"/>
      <c r="AJ720" s="22"/>
      <c r="AK720" s="22"/>
      <c r="AL720" s="22"/>
      <c r="AM720" s="22"/>
      <c r="AN720" s="22"/>
      <c r="AO720" s="22"/>
      <c r="AP720" s="22"/>
    </row>
    <row r="721" hidden="1">
      <c r="A721" s="8">
        <v>46101.0</v>
      </c>
      <c r="B721" s="23">
        <v>0.3645833333333333</v>
      </c>
      <c r="C721" s="10" t="s">
        <v>32</v>
      </c>
      <c r="D721" s="10" t="s">
        <v>33</v>
      </c>
      <c r="E721" s="12" t="s">
        <v>179</v>
      </c>
      <c r="F721" s="12" t="s">
        <v>2275</v>
      </c>
      <c r="G721" s="12" t="s">
        <v>2383</v>
      </c>
      <c r="H721" s="96" t="s">
        <v>2384</v>
      </c>
      <c r="I721" s="112" t="s">
        <v>1825</v>
      </c>
      <c r="J721" s="14">
        <v>30325.0</v>
      </c>
      <c r="K721" s="14">
        <v>15292.0</v>
      </c>
      <c r="L721" s="15">
        <v>0.5043</v>
      </c>
      <c r="M721" s="16">
        <v>3602.0</v>
      </c>
      <c r="N721" s="17">
        <v>0.2356</v>
      </c>
      <c r="O721" s="18">
        <v>0.0</v>
      </c>
      <c r="P721" s="18">
        <v>0.0</v>
      </c>
      <c r="Q721" s="19">
        <v>0.0</v>
      </c>
      <c r="R721" s="19">
        <v>0.0</v>
      </c>
      <c r="S721" s="20">
        <v>2.0</v>
      </c>
      <c r="T721" s="20">
        <v>4.0</v>
      </c>
      <c r="U721" s="20">
        <v>4206.0</v>
      </c>
      <c r="V721" s="21" t="s">
        <v>315</v>
      </c>
      <c r="W721" s="18" t="s">
        <v>76</v>
      </c>
      <c r="X721" s="73" t="s">
        <v>2374</v>
      </c>
      <c r="Y721" s="73" t="s">
        <v>2375</v>
      </c>
      <c r="Z721" s="20" t="s">
        <v>2385</v>
      </c>
      <c r="AA721" s="14">
        <v>55.0</v>
      </c>
      <c r="AB721" s="14"/>
      <c r="AC721" s="14">
        <v>55.0</v>
      </c>
      <c r="AD721" s="14">
        <v>443085.0</v>
      </c>
      <c r="AE721" s="14"/>
      <c r="AF721" s="14">
        <v>443085.0</v>
      </c>
      <c r="AG721" s="22"/>
      <c r="AH721" s="22"/>
      <c r="AI721" s="22"/>
      <c r="AJ721" s="22"/>
      <c r="AK721" s="22"/>
      <c r="AL721" s="22"/>
      <c r="AM721" s="22"/>
      <c r="AN721" s="22"/>
      <c r="AO721" s="22"/>
      <c r="AP721" s="22"/>
    </row>
    <row r="722" hidden="1">
      <c r="A722" s="8">
        <v>46101.0</v>
      </c>
      <c r="B722" s="23">
        <v>0.3680555555555556</v>
      </c>
      <c r="C722" s="10" t="s">
        <v>32</v>
      </c>
      <c r="D722" s="10" t="s">
        <v>33</v>
      </c>
      <c r="E722" s="12" t="s">
        <v>179</v>
      </c>
      <c r="F722" s="12" t="s">
        <v>2275</v>
      </c>
      <c r="G722" s="12" t="s">
        <v>2386</v>
      </c>
      <c r="H722" s="96" t="s">
        <v>2387</v>
      </c>
      <c r="I722" s="112" t="s">
        <v>1833</v>
      </c>
      <c r="J722" s="14">
        <v>1444.0</v>
      </c>
      <c r="K722" s="14">
        <v>795.0</v>
      </c>
      <c r="L722" s="15">
        <v>0.5506</v>
      </c>
      <c r="M722" s="16">
        <v>241.0</v>
      </c>
      <c r="N722" s="17">
        <v>0.3031</v>
      </c>
      <c r="O722" s="18">
        <v>0.0</v>
      </c>
      <c r="P722" s="18">
        <v>0.0</v>
      </c>
      <c r="Q722" s="19">
        <v>0.0</v>
      </c>
      <c r="R722" s="19">
        <v>0.0</v>
      </c>
      <c r="S722" s="20">
        <v>0.0</v>
      </c>
      <c r="T722" s="20">
        <v>1.0</v>
      </c>
      <c r="U722" s="20">
        <v>0.0</v>
      </c>
      <c r="V722" s="21" t="s">
        <v>315</v>
      </c>
      <c r="W722" s="18" t="s">
        <v>76</v>
      </c>
      <c r="X722" s="73" t="s">
        <v>2374</v>
      </c>
      <c r="Y722" s="73" t="s">
        <v>2375</v>
      </c>
      <c r="Z722" s="20" t="s">
        <v>2388</v>
      </c>
      <c r="AA722" s="14">
        <v>4.0</v>
      </c>
      <c r="AB722" s="14"/>
      <c r="AC722" s="14">
        <v>4.0</v>
      </c>
      <c r="AD722" s="14">
        <v>19872.0</v>
      </c>
      <c r="AE722" s="14"/>
      <c r="AF722" s="14">
        <v>19872.0</v>
      </c>
      <c r="AG722" s="22"/>
      <c r="AH722" s="22"/>
      <c r="AI722" s="22"/>
      <c r="AJ722" s="22"/>
      <c r="AK722" s="22"/>
      <c r="AL722" s="22"/>
      <c r="AM722" s="22"/>
      <c r="AN722" s="22"/>
      <c r="AO722" s="22"/>
      <c r="AP722" s="22"/>
    </row>
    <row r="723" hidden="1">
      <c r="A723" s="8">
        <v>46101.0</v>
      </c>
      <c r="B723" s="23">
        <v>0.3715277777777778</v>
      </c>
      <c r="C723" s="10" t="s">
        <v>32</v>
      </c>
      <c r="D723" s="10" t="s">
        <v>33</v>
      </c>
      <c r="E723" s="12" t="s">
        <v>179</v>
      </c>
      <c r="F723" s="12" t="s">
        <v>2275</v>
      </c>
      <c r="G723" s="12" t="s">
        <v>2389</v>
      </c>
      <c r="H723" s="96" t="s">
        <v>2390</v>
      </c>
      <c r="I723" s="112" t="s">
        <v>1829</v>
      </c>
      <c r="J723" s="14">
        <v>1914.0</v>
      </c>
      <c r="K723" s="14">
        <v>987.0</v>
      </c>
      <c r="L723" s="15">
        <v>0.5157</v>
      </c>
      <c r="M723" s="16">
        <v>281.0</v>
      </c>
      <c r="N723" s="17">
        <v>0.2847</v>
      </c>
      <c r="O723" s="18">
        <v>0.0</v>
      </c>
      <c r="P723" s="18">
        <v>0.0</v>
      </c>
      <c r="Q723" s="19">
        <v>0.0</v>
      </c>
      <c r="R723" s="19">
        <v>0.0</v>
      </c>
      <c r="S723" s="20">
        <v>0.0</v>
      </c>
      <c r="T723" s="20">
        <v>0.0</v>
      </c>
      <c r="U723" s="20">
        <v>0.0</v>
      </c>
      <c r="V723" s="21" t="s">
        <v>315</v>
      </c>
      <c r="W723" s="18" t="s">
        <v>76</v>
      </c>
      <c r="X723" s="73" t="s">
        <v>2374</v>
      </c>
      <c r="Y723" s="73" t="s">
        <v>2375</v>
      </c>
      <c r="Z723" s="20" t="s">
        <v>2391</v>
      </c>
      <c r="AA723" s="14">
        <v>4.0</v>
      </c>
      <c r="AB723" s="14"/>
      <c r="AC723" s="14">
        <v>4.0</v>
      </c>
      <c r="AD723" s="14">
        <v>19693.0</v>
      </c>
      <c r="AE723" s="14"/>
      <c r="AF723" s="14">
        <v>19693.0</v>
      </c>
      <c r="AG723" s="22"/>
      <c r="AH723" s="22"/>
      <c r="AI723" s="22"/>
      <c r="AJ723" s="22"/>
      <c r="AK723" s="22"/>
      <c r="AL723" s="22"/>
      <c r="AM723" s="22"/>
      <c r="AN723" s="22"/>
      <c r="AO723" s="22"/>
      <c r="AP723" s="22"/>
    </row>
    <row r="724" hidden="1">
      <c r="A724" s="8">
        <v>46101.0</v>
      </c>
      <c r="B724" s="23">
        <v>0.375</v>
      </c>
      <c r="C724" s="10" t="s">
        <v>32</v>
      </c>
      <c r="D724" s="10" t="s">
        <v>33</v>
      </c>
      <c r="E724" s="12" t="s">
        <v>179</v>
      </c>
      <c r="F724" s="12" t="s">
        <v>2275</v>
      </c>
      <c r="G724" s="12" t="s">
        <v>2392</v>
      </c>
      <c r="H724" s="96" t="s">
        <v>2393</v>
      </c>
      <c r="I724" s="112" t="s">
        <v>2394</v>
      </c>
      <c r="J724" s="14">
        <v>5621.0</v>
      </c>
      <c r="K724" s="14">
        <v>3107.0</v>
      </c>
      <c r="L724" s="15">
        <v>0.5527</v>
      </c>
      <c r="M724" s="16">
        <v>923.0</v>
      </c>
      <c r="N724" s="17">
        <v>0.2971</v>
      </c>
      <c r="O724" s="18">
        <v>0.0</v>
      </c>
      <c r="P724" s="18">
        <v>0.0</v>
      </c>
      <c r="Q724" s="19">
        <v>0.0</v>
      </c>
      <c r="R724" s="19">
        <v>0.0</v>
      </c>
      <c r="S724" s="20">
        <v>0.0</v>
      </c>
      <c r="T724" s="20">
        <v>1.0</v>
      </c>
      <c r="U724" s="20">
        <v>0.0</v>
      </c>
      <c r="V724" s="21" t="s">
        <v>315</v>
      </c>
      <c r="W724" s="18" t="s">
        <v>76</v>
      </c>
      <c r="X724" s="73" t="s">
        <v>2374</v>
      </c>
      <c r="Y724" s="73" t="s">
        <v>2375</v>
      </c>
      <c r="Z724" s="20" t="s">
        <v>2395</v>
      </c>
      <c r="AA724" s="14">
        <v>8.0</v>
      </c>
      <c r="AB724" s="14"/>
      <c r="AC724" s="14">
        <v>8.0</v>
      </c>
      <c r="AD724" s="14">
        <v>1787881.0</v>
      </c>
      <c r="AE724" s="14"/>
      <c r="AF724" s="14">
        <v>1787881.0</v>
      </c>
      <c r="AG724" s="22"/>
      <c r="AH724" s="22"/>
      <c r="AI724" s="22"/>
      <c r="AJ724" s="22"/>
      <c r="AK724" s="22"/>
      <c r="AL724" s="22"/>
      <c r="AM724" s="22"/>
      <c r="AN724" s="22"/>
      <c r="AO724" s="22"/>
      <c r="AP724" s="22"/>
    </row>
    <row r="725" hidden="1">
      <c r="A725" s="8">
        <v>46101.0</v>
      </c>
      <c r="B725" s="23">
        <v>0.3784722222222222</v>
      </c>
      <c r="C725" s="10" t="s">
        <v>32</v>
      </c>
      <c r="D725" s="10" t="s">
        <v>33</v>
      </c>
      <c r="E725" s="12" t="s">
        <v>179</v>
      </c>
      <c r="F725" s="12" t="s">
        <v>2275</v>
      </c>
      <c r="G725" s="12" t="s">
        <v>2396</v>
      </c>
      <c r="H725" s="96" t="s">
        <v>2397</v>
      </c>
      <c r="I725" s="112" t="s">
        <v>1837</v>
      </c>
      <c r="J725" s="14">
        <v>3538.0</v>
      </c>
      <c r="K725" s="14">
        <v>1968.0</v>
      </c>
      <c r="L725" s="15">
        <v>0.5562</v>
      </c>
      <c r="M725" s="16">
        <v>582.0</v>
      </c>
      <c r="N725" s="17">
        <v>0.2957</v>
      </c>
      <c r="O725" s="18">
        <v>0.0</v>
      </c>
      <c r="P725" s="18">
        <v>0.0</v>
      </c>
      <c r="Q725" s="19">
        <v>0.0</v>
      </c>
      <c r="R725" s="19">
        <v>0.0</v>
      </c>
      <c r="S725" s="20">
        <v>0.0</v>
      </c>
      <c r="T725" s="20">
        <v>0.0</v>
      </c>
      <c r="U725" s="20">
        <v>0.0</v>
      </c>
      <c r="V725" s="21" t="s">
        <v>315</v>
      </c>
      <c r="W725" s="18" t="s">
        <v>76</v>
      </c>
      <c r="X725" s="73" t="s">
        <v>2374</v>
      </c>
      <c r="Y725" s="73" t="s">
        <v>2375</v>
      </c>
      <c r="Z725" s="20" t="s">
        <v>2398</v>
      </c>
      <c r="AA725" s="14">
        <v>4.0</v>
      </c>
      <c r="AB725" s="14"/>
      <c r="AC725" s="14">
        <v>4.0</v>
      </c>
      <c r="AD725" s="14">
        <v>10796.0</v>
      </c>
      <c r="AE725" s="14"/>
      <c r="AF725" s="14">
        <v>10796.0</v>
      </c>
      <c r="AG725" s="22"/>
      <c r="AH725" s="22"/>
      <c r="AI725" s="22"/>
      <c r="AJ725" s="22"/>
      <c r="AK725" s="22"/>
      <c r="AL725" s="22"/>
      <c r="AM725" s="22"/>
      <c r="AN725" s="22"/>
      <c r="AO725" s="22"/>
      <c r="AP725" s="22"/>
    </row>
    <row r="726" hidden="1">
      <c r="A726" s="8">
        <v>46101.0</v>
      </c>
      <c r="B726" s="23">
        <v>0.3819444444444444</v>
      </c>
      <c r="C726" s="10" t="s">
        <v>32</v>
      </c>
      <c r="D726" s="10" t="s">
        <v>33</v>
      </c>
      <c r="E726" s="12" t="s">
        <v>179</v>
      </c>
      <c r="F726" s="12" t="s">
        <v>2275</v>
      </c>
      <c r="G726" s="12" t="s">
        <v>2399</v>
      </c>
      <c r="H726" s="96" t="s">
        <v>2400</v>
      </c>
      <c r="I726" s="112" t="s">
        <v>1841</v>
      </c>
      <c r="J726" s="14">
        <v>23373.0</v>
      </c>
      <c r="K726" s="14">
        <v>12361.0</v>
      </c>
      <c r="L726" s="15">
        <v>0.5289</v>
      </c>
      <c r="M726" s="16">
        <v>3241.0</v>
      </c>
      <c r="N726" s="17">
        <v>0.2622</v>
      </c>
      <c r="O726" s="18">
        <v>0.0</v>
      </c>
      <c r="P726" s="18">
        <v>0.0</v>
      </c>
      <c r="Q726" s="19">
        <v>0.0</v>
      </c>
      <c r="R726" s="19">
        <v>0.0</v>
      </c>
      <c r="S726" s="20">
        <v>1.0</v>
      </c>
      <c r="T726" s="20">
        <v>5.0</v>
      </c>
      <c r="U726" s="20">
        <v>2699.0</v>
      </c>
      <c r="V726" s="21" t="s">
        <v>315</v>
      </c>
      <c r="W726" s="18" t="s">
        <v>76</v>
      </c>
      <c r="X726" s="73" t="s">
        <v>2374</v>
      </c>
      <c r="Y726" s="73" t="s">
        <v>2375</v>
      </c>
      <c r="Z726" s="20" t="s">
        <v>2401</v>
      </c>
      <c r="AA726" s="14">
        <v>40.0</v>
      </c>
      <c r="AB726" s="14"/>
      <c r="AC726" s="14">
        <v>40.0</v>
      </c>
      <c r="AD726" s="14">
        <v>305892.0</v>
      </c>
      <c r="AE726" s="14"/>
      <c r="AF726" s="14">
        <v>305892.0</v>
      </c>
      <c r="AG726" s="22"/>
      <c r="AH726" s="22"/>
      <c r="AI726" s="22"/>
      <c r="AJ726" s="22"/>
      <c r="AK726" s="22"/>
      <c r="AL726" s="22"/>
      <c r="AM726" s="22"/>
      <c r="AN726" s="22"/>
      <c r="AO726" s="22"/>
      <c r="AP726" s="22"/>
    </row>
    <row r="727" hidden="1">
      <c r="A727" s="8">
        <v>46101.0</v>
      </c>
      <c r="B727" s="23">
        <v>0.3854166666666667</v>
      </c>
      <c r="C727" s="10" t="s">
        <v>32</v>
      </c>
      <c r="D727" s="10" t="s">
        <v>33</v>
      </c>
      <c r="E727" s="12" t="s">
        <v>179</v>
      </c>
      <c r="F727" s="12" t="s">
        <v>2275</v>
      </c>
      <c r="G727" s="12" t="s">
        <v>2402</v>
      </c>
      <c r="H727" s="96" t="s">
        <v>2403</v>
      </c>
      <c r="I727" s="112" t="s">
        <v>1817</v>
      </c>
      <c r="J727" s="14">
        <v>7141.0</v>
      </c>
      <c r="K727" s="14">
        <v>3787.0</v>
      </c>
      <c r="L727" s="15">
        <v>0.5303</v>
      </c>
      <c r="M727" s="16">
        <v>845.0</v>
      </c>
      <c r="N727" s="17">
        <v>0.2232</v>
      </c>
      <c r="O727" s="18">
        <v>0.0</v>
      </c>
      <c r="P727" s="18">
        <v>0.0</v>
      </c>
      <c r="Q727" s="19">
        <v>0.0</v>
      </c>
      <c r="R727" s="19">
        <v>0.0</v>
      </c>
      <c r="S727" s="20">
        <v>0.0</v>
      </c>
      <c r="T727" s="20">
        <v>1.0</v>
      </c>
      <c r="U727" s="20">
        <v>0.0</v>
      </c>
      <c r="V727" s="21" t="s">
        <v>315</v>
      </c>
      <c r="W727" s="18" t="s">
        <v>76</v>
      </c>
      <c r="X727" s="73" t="s">
        <v>2374</v>
      </c>
      <c r="Y727" s="73" t="s">
        <v>2375</v>
      </c>
      <c r="Z727" s="20" t="s">
        <v>2404</v>
      </c>
      <c r="AA727" s="14">
        <v>17.0</v>
      </c>
      <c r="AB727" s="14"/>
      <c r="AC727" s="14">
        <v>17.0</v>
      </c>
      <c r="AD727" s="14">
        <v>75878.0</v>
      </c>
      <c r="AE727" s="14"/>
      <c r="AF727" s="14">
        <v>75878.0</v>
      </c>
      <c r="AG727" s="22"/>
      <c r="AH727" s="22"/>
      <c r="AI727" s="22"/>
      <c r="AJ727" s="22"/>
      <c r="AK727" s="22"/>
      <c r="AL727" s="22"/>
      <c r="AM727" s="22"/>
      <c r="AN727" s="22"/>
      <c r="AO727" s="22"/>
      <c r="AP727" s="22"/>
    </row>
    <row r="728" hidden="1">
      <c r="A728" s="8">
        <v>46101.0</v>
      </c>
      <c r="B728" s="23">
        <v>0.3888888888888889</v>
      </c>
      <c r="C728" s="10" t="s">
        <v>32</v>
      </c>
      <c r="D728" s="10" t="s">
        <v>33</v>
      </c>
      <c r="E728" s="12" t="s">
        <v>179</v>
      </c>
      <c r="F728" s="12" t="s">
        <v>2275</v>
      </c>
      <c r="G728" s="12" t="s">
        <v>2405</v>
      </c>
      <c r="H728" s="96" t="s">
        <v>2406</v>
      </c>
      <c r="I728" s="112" t="s">
        <v>1821</v>
      </c>
      <c r="J728" s="14">
        <v>15530.0</v>
      </c>
      <c r="K728" s="14">
        <v>8495.0</v>
      </c>
      <c r="L728" s="15">
        <v>0.547</v>
      </c>
      <c r="M728" s="16">
        <v>2455.0</v>
      </c>
      <c r="N728" s="17">
        <v>0.289</v>
      </c>
      <c r="O728" s="18">
        <v>0.0</v>
      </c>
      <c r="P728" s="18">
        <v>0.0</v>
      </c>
      <c r="Q728" s="19">
        <v>0.0</v>
      </c>
      <c r="R728" s="19">
        <v>0.0</v>
      </c>
      <c r="S728" s="20">
        <v>1.0</v>
      </c>
      <c r="T728" s="20">
        <v>2.0</v>
      </c>
      <c r="U728" s="20">
        <v>2999.0</v>
      </c>
      <c r="V728" s="21" t="s">
        <v>315</v>
      </c>
      <c r="W728" s="18" t="s">
        <v>76</v>
      </c>
      <c r="X728" s="73" t="s">
        <v>2374</v>
      </c>
      <c r="Y728" s="73" t="s">
        <v>2375</v>
      </c>
      <c r="Z728" s="20" t="s">
        <v>2407</v>
      </c>
      <c r="AA728" s="14">
        <v>23.0</v>
      </c>
      <c r="AB728" s="14"/>
      <c r="AC728" s="14">
        <v>23.0</v>
      </c>
      <c r="AD728" s="14">
        <v>126071.0</v>
      </c>
      <c r="AE728" s="14"/>
      <c r="AF728" s="14">
        <v>126071.0</v>
      </c>
      <c r="AG728" s="22"/>
      <c r="AH728" s="22"/>
      <c r="AI728" s="22"/>
      <c r="AJ728" s="22"/>
      <c r="AK728" s="22"/>
      <c r="AL728" s="22"/>
      <c r="AM728" s="22"/>
      <c r="AN728" s="22"/>
      <c r="AO728" s="22"/>
      <c r="AP728" s="22"/>
    </row>
    <row r="729" hidden="1">
      <c r="A729" s="8">
        <v>46101.0</v>
      </c>
      <c r="B729" s="23">
        <v>0.3923611111111111</v>
      </c>
      <c r="C729" s="10" t="s">
        <v>32</v>
      </c>
      <c r="D729" s="10" t="s">
        <v>33</v>
      </c>
      <c r="E729" s="12" t="s">
        <v>179</v>
      </c>
      <c r="F729" s="12" t="s">
        <v>2275</v>
      </c>
      <c r="G729" s="12" t="s">
        <v>2408</v>
      </c>
      <c r="H729" s="96" t="s">
        <v>2409</v>
      </c>
      <c r="I729" s="112" t="s">
        <v>1845</v>
      </c>
      <c r="J729" s="14">
        <v>35580.0</v>
      </c>
      <c r="K729" s="14">
        <v>18686.0</v>
      </c>
      <c r="L729" s="15">
        <v>0.5252</v>
      </c>
      <c r="M729" s="16">
        <v>4610.0</v>
      </c>
      <c r="N729" s="17">
        <v>0.2467</v>
      </c>
      <c r="O729" s="18">
        <v>0.0</v>
      </c>
      <c r="P729" s="18">
        <v>0.0</v>
      </c>
      <c r="Q729" s="19">
        <v>0.0</v>
      </c>
      <c r="R729" s="19">
        <v>0.0</v>
      </c>
      <c r="S729" s="20">
        <v>1.0</v>
      </c>
      <c r="T729" s="20">
        <v>4.0</v>
      </c>
      <c r="U729" s="20">
        <v>1707.0</v>
      </c>
      <c r="V729" s="21" t="s">
        <v>315</v>
      </c>
      <c r="W729" s="18" t="s">
        <v>76</v>
      </c>
      <c r="X729" s="73" t="s">
        <v>2374</v>
      </c>
      <c r="Y729" s="73" t="s">
        <v>2375</v>
      </c>
      <c r="Z729" s="20" t="s">
        <v>2410</v>
      </c>
      <c r="AA729" s="14">
        <v>61.0</v>
      </c>
      <c r="AB729" s="14"/>
      <c r="AC729" s="14">
        <v>61.0</v>
      </c>
      <c r="AD729" s="14">
        <v>875259.0</v>
      </c>
      <c r="AE729" s="14"/>
      <c r="AF729" s="14">
        <v>875259.0</v>
      </c>
      <c r="AG729" s="22"/>
      <c r="AH729" s="22"/>
      <c r="AI729" s="22"/>
      <c r="AJ729" s="22"/>
      <c r="AK729" s="22"/>
      <c r="AL729" s="22"/>
      <c r="AM729" s="22"/>
      <c r="AN729" s="22"/>
      <c r="AO729" s="22"/>
      <c r="AP729" s="22"/>
    </row>
    <row r="730" hidden="1">
      <c r="A730" s="8">
        <v>46101.0</v>
      </c>
      <c r="B730" s="23">
        <v>0.4583333333333333</v>
      </c>
      <c r="C730" s="10" t="s">
        <v>58</v>
      </c>
      <c r="D730" s="10" t="s">
        <v>59</v>
      </c>
      <c r="E730" s="12" t="s">
        <v>179</v>
      </c>
      <c r="F730" s="12" t="s">
        <v>2275</v>
      </c>
      <c r="G730" s="12" t="s">
        <v>2411</v>
      </c>
      <c r="H730" s="96" t="s">
        <v>2303</v>
      </c>
      <c r="I730" s="57" t="s">
        <v>61</v>
      </c>
      <c r="J730" s="14">
        <v>385.0</v>
      </c>
      <c r="K730" s="14">
        <v>287.0</v>
      </c>
      <c r="L730" s="15">
        <v>0.7455</v>
      </c>
      <c r="M730" s="16"/>
      <c r="N730" s="17"/>
      <c r="O730" s="18">
        <v>0.0</v>
      </c>
      <c r="P730" s="18"/>
      <c r="Q730" s="19">
        <v>0.0</v>
      </c>
      <c r="R730" s="19"/>
      <c r="S730" s="20">
        <v>0.0</v>
      </c>
      <c r="T730" s="20">
        <v>5.0</v>
      </c>
      <c r="U730" s="20">
        <v>0.0</v>
      </c>
      <c r="V730" s="21" t="s">
        <v>335</v>
      </c>
      <c r="W730" s="18" t="s">
        <v>62</v>
      </c>
      <c r="X730" s="101" t="s">
        <v>2131</v>
      </c>
      <c r="Y730" s="73" t="s">
        <v>2375</v>
      </c>
      <c r="Z730" s="20" t="s">
        <v>2412</v>
      </c>
      <c r="AA730" s="14">
        <v>0.0</v>
      </c>
      <c r="AB730" s="14">
        <v>0.0</v>
      </c>
      <c r="AC730" s="14"/>
      <c r="AD730" s="14">
        <v>0.0</v>
      </c>
      <c r="AE730" s="14">
        <v>0.0</v>
      </c>
      <c r="AF730" s="14"/>
      <c r="AG730" s="22"/>
      <c r="AH730" s="22"/>
      <c r="AI730" s="22"/>
      <c r="AJ730" s="22"/>
      <c r="AK730" s="22"/>
      <c r="AL730" s="22"/>
      <c r="AM730" s="22"/>
      <c r="AN730" s="22"/>
      <c r="AO730" s="22"/>
      <c r="AP730" s="22"/>
    </row>
    <row r="731" hidden="1">
      <c r="A731" s="8">
        <v>46101.0</v>
      </c>
      <c r="B731" s="23">
        <v>0.4583333333333333</v>
      </c>
      <c r="C731" s="10" t="s">
        <v>58</v>
      </c>
      <c r="D731" s="10" t="s">
        <v>59</v>
      </c>
      <c r="E731" s="12" t="s">
        <v>179</v>
      </c>
      <c r="F731" s="12" t="s">
        <v>2275</v>
      </c>
      <c r="G731" s="12" t="s">
        <v>2413</v>
      </c>
      <c r="H731" s="96" t="s">
        <v>2306</v>
      </c>
      <c r="I731" s="57" t="s">
        <v>61</v>
      </c>
      <c r="J731" s="14">
        <v>38.0</v>
      </c>
      <c r="K731" s="14">
        <v>25.0</v>
      </c>
      <c r="L731" s="15">
        <v>0.6579</v>
      </c>
      <c r="M731" s="16"/>
      <c r="N731" s="17"/>
      <c r="O731" s="18">
        <v>0.0</v>
      </c>
      <c r="P731" s="18"/>
      <c r="Q731" s="19">
        <v>0.0</v>
      </c>
      <c r="R731" s="19"/>
      <c r="S731" s="20">
        <v>0.0</v>
      </c>
      <c r="T731" s="20">
        <v>2.0</v>
      </c>
      <c r="U731" s="20">
        <v>0.0</v>
      </c>
      <c r="V731" s="21" t="s">
        <v>335</v>
      </c>
      <c r="W731" s="18" t="s">
        <v>62</v>
      </c>
      <c r="X731" s="101" t="s">
        <v>2282</v>
      </c>
      <c r="Y731" s="73" t="s">
        <v>2375</v>
      </c>
      <c r="Z731" s="20" t="s">
        <v>2414</v>
      </c>
      <c r="AA731" s="14">
        <v>0.0</v>
      </c>
      <c r="AB731" s="14">
        <v>0.0</v>
      </c>
      <c r="AC731" s="14"/>
      <c r="AD731" s="14">
        <v>0.0</v>
      </c>
      <c r="AE731" s="14">
        <v>0.0</v>
      </c>
      <c r="AF731" s="14"/>
      <c r="AG731" s="22"/>
      <c r="AH731" s="22"/>
      <c r="AI731" s="22"/>
      <c r="AJ731" s="22"/>
      <c r="AK731" s="22"/>
      <c r="AL731" s="22"/>
      <c r="AM731" s="22"/>
      <c r="AN731" s="22"/>
      <c r="AO731" s="22"/>
      <c r="AP731" s="22"/>
    </row>
    <row r="732" hidden="1">
      <c r="A732" s="8">
        <v>46101.0</v>
      </c>
      <c r="B732" s="23">
        <v>0.4583333333333333</v>
      </c>
      <c r="C732" s="10" t="s">
        <v>58</v>
      </c>
      <c r="D732" s="10" t="s">
        <v>59</v>
      </c>
      <c r="E732" s="12" t="s">
        <v>179</v>
      </c>
      <c r="F732" s="12" t="s">
        <v>2275</v>
      </c>
      <c r="G732" s="12" t="s">
        <v>2415</v>
      </c>
      <c r="H732" s="96" t="s">
        <v>2309</v>
      </c>
      <c r="I732" s="57" t="s">
        <v>61</v>
      </c>
      <c r="J732" s="14">
        <v>1103.0</v>
      </c>
      <c r="K732" s="14">
        <v>710.0</v>
      </c>
      <c r="L732" s="15">
        <v>0.6437</v>
      </c>
      <c r="M732" s="16"/>
      <c r="N732" s="17"/>
      <c r="O732" s="18">
        <v>1.0</v>
      </c>
      <c r="P732" s="18"/>
      <c r="Q732" s="19">
        <v>0.0014</v>
      </c>
      <c r="R732" s="19"/>
      <c r="S732" s="20">
        <v>1.0</v>
      </c>
      <c r="T732" s="20">
        <v>5.0</v>
      </c>
      <c r="U732" s="20">
        <v>4228.0</v>
      </c>
      <c r="V732" s="21" t="s">
        <v>335</v>
      </c>
      <c r="W732" s="18" t="s">
        <v>62</v>
      </c>
      <c r="X732" s="101" t="s">
        <v>2286</v>
      </c>
      <c r="Y732" s="73" t="s">
        <v>2375</v>
      </c>
      <c r="Z732" s="20" t="s">
        <v>2416</v>
      </c>
      <c r="AA732" s="14">
        <v>3.0</v>
      </c>
      <c r="AB732" s="14">
        <v>3.0</v>
      </c>
      <c r="AC732" s="14"/>
      <c r="AD732" s="14">
        <v>12166.0</v>
      </c>
      <c r="AE732" s="14">
        <v>12166.0</v>
      </c>
      <c r="AF732" s="14"/>
      <c r="AG732" s="22"/>
      <c r="AH732" s="22"/>
      <c r="AI732" s="22"/>
      <c r="AJ732" s="22"/>
      <c r="AK732" s="22"/>
      <c r="AL732" s="22"/>
      <c r="AM732" s="22"/>
      <c r="AN732" s="22"/>
      <c r="AO732" s="22"/>
      <c r="AP732" s="22"/>
    </row>
    <row r="733" hidden="1">
      <c r="A733" s="8">
        <v>46101.0</v>
      </c>
      <c r="B733" s="23">
        <v>0.4583333333333333</v>
      </c>
      <c r="C733" s="10" t="s">
        <v>58</v>
      </c>
      <c r="D733" s="10" t="s">
        <v>59</v>
      </c>
      <c r="E733" s="12" t="s">
        <v>179</v>
      </c>
      <c r="F733" s="12" t="s">
        <v>2275</v>
      </c>
      <c r="G733" s="12" t="s">
        <v>2417</v>
      </c>
      <c r="H733" s="96" t="s">
        <v>2312</v>
      </c>
      <c r="I733" s="57" t="s">
        <v>61</v>
      </c>
      <c r="J733" s="14">
        <v>268.0</v>
      </c>
      <c r="K733" s="14">
        <v>162.0</v>
      </c>
      <c r="L733" s="15">
        <v>0.6045</v>
      </c>
      <c r="M733" s="16"/>
      <c r="N733" s="17"/>
      <c r="O733" s="18">
        <v>1.0</v>
      </c>
      <c r="P733" s="18"/>
      <c r="Q733" s="19">
        <v>0.0062</v>
      </c>
      <c r="R733" s="19"/>
      <c r="S733" s="20">
        <v>0.0</v>
      </c>
      <c r="T733" s="20">
        <v>0.0</v>
      </c>
      <c r="U733" s="20">
        <v>0.0</v>
      </c>
      <c r="V733" s="21" t="s">
        <v>335</v>
      </c>
      <c r="W733" s="18" t="s">
        <v>62</v>
      </c>
      <c r="X733" s="101" t="s">
        <v>2290</v>
      </c>
      <c r="Y733" s="73" t="s">
        <v>2375</v>
      </c>
      <c r="Z733" s="20" t="s">
        <v>2418</v>
      </c>
      <c r="AA733" s="14">
        <v>0.0</v>
      </c>
      <c r="AB733" s="14">
        <v>0.0</v>
      </c>
      <c r="AC733" s="14"/>
      <c r="AD733" s="14">
        <v>0.0</v>
      </c>
      <c r="AE733" s="14">
        <v>0.0</v>
      </c>
      <c r="AF733" s="14"/>
      <c r="AG733" s="22"/>
      <c r="AH733" s="22"/>
      <c r="AI733" s="22"/>
      <c r="AJ733" s="22"/>
      <c r="AK733" s="22"/>
      <c r="AL733" s="22"/>
      <c r="AM733" s="22"/>
      <c r="AN733" s="22"/>
      <c r="AO733" s="22"/>
      <c r="AP733" s="22"/>
    </row>
    <row r="734" hidden="1">
      <c r="A734" s="8">
        <v>46101.0</v>
      </c>
      <c r="B734" s="23">
        <v>0.4583333333333333</v>
      </c>
      <c r="C734" s="10" t="s">
        <v>58</v>
      </c>
      <c r="D734" s="10" t="s">
        <v>59</v>
      </c>
      <c r="E734" s="12" t="s">
        <v>179</v>
      </c>
      <c r="F734" s="12" t="s">
        <v>2275</v>
      </c>
      <c r="G734" s="12" t="s">
        <v>2419</v>
      </c>
      <c r="H734" s="96" t="s">
        <v>2315</v>
      </c>
      <c r="I734" s="57" t="s">
        <v>61</v>
      </c>
      <c r="J734" s="14">
        <v>4912.0</v>
      </c>
      <c r="K734" s="14">
        <v>3297.0</v>
      </c>
      <c r="L734" s="15">
        <v>0.6712</v>
      </c>
      <c r="M734" s="16"/>
      <c r="N734" s="17"/>
      <c r="O734" s="18">
        <v>5.0</v>
      </c>
      <c r="P734" s="18"/>
      <c r="Q734" s="19">
        <v>0.0015</v>
      </c>
      <c r="R734" s="19"/>
      <c r="S734" s="20">
        <v>0.0</v>
      </c>
      <c r="T734" s="20">
        <v>1.0</v>
      </c>
      <c r="U734" s="20">
        <v>0.0</v>
      </c>
      <c r="V734" s="21" t="s">
        <v>335</v>
      </c>
      <c r="W734" s="18" t="s">
        <v>62</v>
      </c>
      <c r="X734" s="101" t="s">
        <v>2294</v>
      </c>
      <c r="Y734" s="73" t="s">
        <v>2375</v>
      </c>
      <c r="Z734" s="20" t="s">
        <v>2420</v>
      </c>
      <c r="AA734" s="14">
        <v>3.0</v>
      </c>
      <c r="AB734" s="14">
        <v>3.0</v>
      </c>
      <c r="AC734" s="14"/>
      <c r="AD734" s="14">
        <v>10014.0</v>
      </c>
      <c r="AE734" s="14">
        <v>10014.0</v>
      </c>
      <c r="AF734" s="14"/>
      <c r="AG734" s="22"/>
      <c r="AH734" s="22"/>
      <c r="AI734" s="22"/>
      <c r="AJ734" s="22"/>
      <c r="AK734" s="22"/>
      <c r="AL734" s="22"/>
      <c r="AM734" s="22"/>
      <c r="AN734" s="22"/>
      <c r="AO734" s="22"/>
      <c r="AP734" s="22"/>
    </row>
    <row r="735" hidden="1">
      <c r="A735" s="8">
        <v>46101.0</v>
      </c>
      <c r="B735" s="23">
        <v>0.4583333333333333</v>
      </c>
      <c r="C735" s="10" t="s">
        <v>58</v>
      </c>
      <c r="D735" s="10" t="s">
        <v>59</v>
      </c>
      <c r="E735" s="12" t="s">
        <v>179</v>
      </c>
      <c r="F735" s="12" t="s">
        <v>2275</v>
      </c>
      <c r="G735" s="12" t="s">
        <v>2421</v>
      </c>
      <c r="H735" s="96" t="s">
        <v>2318</v>
      </c>
      <c r="I735" s="57" t="s">
        <v>61</v>
      </c>
      <c r="J735" s="14">
        <v>1905.0</v>
      </c>
      <c r="K735" s="14">
        <v>1191.0</v>
      </c>
      <c r="L735" s="15">
        <v>0.6252</v>
      </c>
      <c r="M735" s="16"/>
      <c r="N735" s="17"/>
      <c r="O735" s="18">
        <v>4.0</v>
      </c>
      <c r="P735" s="18"/>
      <c r="Q735" s="19">
        <v>0.0034</v>
      </c>
      <c r="R735" s="19"/>
      <c r="S735" s="20">
        <v>0.0</v>
      </c>
      <c r="T735" s="20">
        <v>0.0</v>
      </c>
      <c r="U735" s="20">
        <v>0.0</v>
      </c>
      <c r="V735" s="21" t="s">
        <v>335</v>
      </c>
      <c r="W735" s="18" t="s">
        <v>62</v>
      </c>
      <c r="X735" s="101" t="s">
        <v>2112</v>
      </c>
      <c r="Y735" s="73" t="s">
        <v>2375</v>
      </c>
      <c r="Z735" s="20" t="s">
        <v>2422</v>
      </c>
      <c r="AA735" s="14">
        <v>1.0</v>
      </c>
      <c r="AB735" s="14">
        <v>1.0</v>
      </c>
      <c r="AC735" s="14"/>
      <c r="AD735" s="14">
        <v>6499.0</v>
      </c>
      <c r="AE735" s="14">
        <v>6499.0</v>
      </c>
      <c r="AF735" s="14"/>
      <c r="AG735" s="22"/>
      <c r="AH735" s="22"/>
      <c r="AI735" s="22"/>
      <c r="AJ735" s="22"/>
      <c r="AK735" s="22"/>
      <c r="AL735" s="22"/>
      <c r="AM735" s="22"/>
      <c r="AN735" s="22"/>
      <c r="AO735" s="22"/>
      <c r="AP735" s="22"/>
    </row>
    <row r="736" hidden="1">
      <c r="A736" s="8">
        <v>46101.0</v>
      </c>
      <c r="B736" s="23">
        <v>0.4583333333333333</v>
      </c>
      <c r="C736" s="10" t="s">
        <v>58</v>
      </c>
      <c r="D736" s="10" t="s">
        <v>59</v>
      </c>
      <c r="E736" s="12" t="s">
        <v>179</v>
      </c>
      <c r="F736" s="12" t="s">
        <v>2275</v>
      </c>
      <c r="G736" s="12" t="s">
        <v>2423</v>
      </c>
      <c r="H736" s="96" t="s">
        <v>2321</v>
      </c>
      <c r="I736" s="57" t="s">
        <v>61</v>
      </c>
      <c r="J736" s="14">
        <v>9247.0</v>
      </c>
      <c r="K736" s="14">
        <v>6043.0</v>
      </c>
      <c r="L736" s="15">
        <v>0.6535</v>
      </c>
      <c r="M736" s="16"/>
      <c r="N736" s="17"/>
      <c r="O736" s="18">
        <v>6.0</v>
      </c>
      <c r="P736" s="18"/>
      <c r="Q736" s="19">
        <v>0.001</v>
      </c>
      <c r="R736" s="19"/>
      <c r="S736" s="20">
        <v>0.0</v>
      </c>
      <c r="T736" s="20">
        <v>2.0</v>
      </c>
      <c r="U736" s="20">
        <v>0.0</v>
      </c>
      <c r="V736" s="21" t="s">
        <v>335</v>
      </c>
      <c r="W736" s="18" t="s">
        <v>62</v>
      </c>
      <c r="X736" s="101" t="s">
        <v>2301</v>
      </c>
      <c r="Y736" s="73" t="s">
        <v>2375</v>
      </c>
      <c r="Z736" s="20" t="s">
        <v>2424</v>
      </c>
      <c r="AA736" s="14">
        <v>0.0</v>
      </c>
      <c r="AB736" s="14">
        <v>0.0</v>
      </c>
      <c r="AC736" s="14"/>
      <c r="AD736" s="14">
        <v>0.0</v>
      </c>
      <c r="AE736" s="14">
        <v>0.0</v>
      </c>
      <c r="AF736" s="14"/>
      <c r="AG736" s="22"/>
      <c r="AH736" s="22"/>
      <c r="AI736" s="22"/>
      <c r="AJ736" s="22"/>
      <c r="AK736" s="22"/>
      <c r="AL736" s="22"/>
      <c r="AM736" s="22"/>
      <c r="AN736" s="22"/>
      <c r="AO736" s="22"/>
      <c r="AP736" s="22"/>
    </row>
    <row r="737" hidden="1">
      <c r="A737" s="8">
        <v>46101.0</v>
      </c>
      <c r="B737" s="23">
        <v>0.4583333333333333</v>
      </c>
      <c r="C737" s="10" t="s">
        <v>58</v>
      </c>
      <c r="D737" s="10" t="s">
        <v>59</v>
      </c>
      <c r="E737" s="12" t="s">
        <v>179</v>
      </c>
      <c r="F737" s="12" t="s">
        <v>2275</v>
      </c>
      <c r="G737" s="12" t="s">
        <v>2425</v>
      </c>
      <c r="H737" s="96" t="s">
        <v>2373</v>
      </c>
      <c r="I737" s="57" t="s">
        <v>61</v>
      </c>
      <c r="J737" s="14">
        <v>5525.0</v>
      </c>
      <c r="K737" s="14">
        <v>3832.0</v>
      </c>
      <c r="L737" s="15">
        <v>0.6936</v>
      </c>
      <c r="M737" s="16"/>
      <c r="N737" s="17"/>
      <c r="O737" s="18">
        <v>0.0</v>
      </c>
      <c r="P737" s="18"/>
      <c r="Q737" s="19">
        <v>0.0</v>
      </c>
      <c r="R737" s="19"/>
      <c r="S737" s="20">
        <v>0.0</v>
      </c>
      <c r="T737" s="20">
        <v>0.0</v>
      </c>
      <c r="U737" s="20">
        <v>0.0</v>
      </c>
      <c r="V737" s="21" t="s">
        <v>315</v>
      </c>
      <c r="W737" s="18" t="s">
        <v>62</v>
      </c>
      <c r="X737" s="73" t="s">
        <v>2374</v>
      </c>
      <c r="Y737" s="73" t="s">
        <v>2375</v>
      </c>
      <c r="Z737" s="20" t="s">
        <v>2426</v>
      </c>
      <c r="AA737" s="14">
        <v>8.0</v>
      </c>
      <c r="AB737" s="14"/>
      <c r="AC737" s="14">
        <v>8.0</v>
      </c>
      <c r="AD737" s="14">
        <v>33131.0</v>
      </c>
      <c r="AE737" s="14"/>
      <c r="AF737" s="14">
        <v>33131.0</v>
      </c>
      <c r="AG737" s="22"/>
      <c r="AH737" s="22"/>
      <c r="AI737" s="22"/>
      <c r="AJ737" s="22"/>
      <c r="AK737" s="22"/>
      <c r="AL737" s="22"/>
      <c r="AM737" s="22"/>
      <c r="AN737" s="22"/>
      <c r="AO737" s="22"/>
      <c r="AP737" s="22"/>
    </row>
    <row r="738" hidden="1">
      <c r="A738" s="8">
        <v>46101.0</v>
      </c>
      <c r="B738" s="23">
        <v>0.4583333333333333</v>
      </c>
      <c r="C738" s="10" t="s">
        <v>58</v>
      </c>
      <c r="D738" s="10" t="s">
        <v>59</v>
      </c>
      <c r="E738" s="12" t="s">
        <v>179</v>
      </c>
      <c r="F738" s="12" t="s">
        <v>2275</v>
      </c>
      <c r="G738" s="12" t="s">
        <v>2427</v>
      </c>
      <c r="H738" s="96" t="s">
        <v>2378</v>
      </c>
      <c r="I738" s="57" t="s">
        <v>61</v>
      </c>
      <c r="J738" s="14">
        <v>13523.0</v>
      </c>
      <c r="K738" s="14">
        <v>7673.0</v>
      </c>
      <c r="L738" s="15">
        <v>0.5674</v>
      </c>
      <c r="M738" s="16"/>
      <c r="N738" s="17"/>
      <c r="O738" s="18">
        <v>0.0</v>
      </c>
      <c r="P738" s="18"/>
      <c r="Q738" s="19">
        <v>0.0</v>
      </c>
      <c r="R738" s="19"/>
      <c r="S738" s="20">
        <v>1.0</v>
      </c>
      <c r="T738" s="20">
        <v>3.0</v>
      </c>
      <c r="U738" s="20">
        <v>3400.0</v>
      </c>
      <c r="V738" s="21" t="s">
        <v>315</v>
      </c>
      <c r="W738" s="18" t="s">
        <v>62</v>
      </c>
      <c r="X738" s="73" t="s">
        <v>2374</v>
      </c>
      <c r="Y738" s="73" t="s">
        <v>2375</v>
      </c>
      <c r="Z738" s="20" t="s">
        <v>2428</v>
      </c>
      <c r="AA738" s="14">
        <v>23.0</v>
      </c>
      <c r="AB738" s="14"/>
      <c r="AC738" s="14">
        <v>23.0</v>
      </c>
      <c r="AD738" s="14">
        <v>268311.0</v>
      </c>
      <c r="AE738" s="14"/>
      <c r="AF738" s="14">
        <v>268311.0</v>
      </c>
      <c r="AG738" s="22"/>
      <c r="AH738" s="22"/>
      <c r="AI738" s="22"/>
      <c r="AJ738" s="22"/>
      <c r="AK738" s="22"/>
      <c r="AL738" s="22"/>
      <c r="AM738" s="22"/>
      <c r="AN738" s="22"/>
      <c r="AO738" s="22"/>
      <c r="AP738" s="22"/>
    </row>
    <row r="739" hidden="1">
      <c r="A739" s="8">
        <v>46101.0</v>
      </c>
      <c r="B739" s="23">
        <v>0.4583333333333333</v>
      </c>
      <c r="C739" s="10" t="s">
        <v>58</v>
      </c>
      <c r="D739" s="10" t="s">
        <v>59</v>
      </c>
      <c r="E739" s="12" t="s">
        <v>179</v>
      </c>
      <c r="F739" s="12" t="s">
        <v>2275</v>
      </c>
      <c r="G739" s="12" t="s">
        <v>2429</v>
      </c>
      <c r="H739" s="96" t="s">
        <v>2381</v>
      </c>
      <c r="I739" s="57" t="s">
        <v>61</v>
      </c>
      <c r="J739" s="14">
        <v>6773.0</v>
      </c>
      <c r="K739" s="14">
        <v>4357.0</v>
      </c>
      <c r="L739" s="15">
        <v>0.6433</v>
      </c>
      <c r="M739" s="16"/>
      <c r="N739" s="17"/>
      <c r="O739" s="18">
        <v>0.0</v>
      </c>
      <c r="P739" s="18"/>
      <c r="Q739" s="19">
        <v>0.0</v>
      </c>
      <c r="R739" s="19"/>
      <c r="S739" s="20">
        <v>0.0</v>
      </c>
      <c r="T739" s="20">
        <v>0.0</v>
      </c>
      <c r="U739" s="20">
        <v>0.0</v>
      </c>
      <c r="V739" s="21" t="s">
        <v>315</v>
      </c>
      <c r="W739" s="18" t="s">
        <v>62</v>
      </c>
      <c r="X739" s="73" t="s">
        <v>2374</v>
      </c>
      <c r="Y739" s="73" t="s">
        <v>2375</v>
      </c>
      <c r="Z739" s="20" t="s">
        <v>2430</v>
      </c>
      <c r="AA739" s="14">
        <v>14.0</v>
      </c>
      <c r="AB739" s="14"/>
      <c r="AC739" s="14">
        <v>14.0</v>
      </c>
      <c r="AD739" s="14">
        <v>77866.0</v>
      </c>
      <c r="AE739" s="14"/>
      <c r="AF739" s="14">
        <v>77866.0</v>
      </c>
      <c r="AG739" s="22"/>
      <c r="AH739" s="22"/>
      <c r="AI739" s="22"/>
      <c r="AJ739" s="22"/>
      <c r="AK739" s="22"/>
      <c r="AL739" s="22"/>
      <c r="AM739" s="22"/>
      <c r="AN739" s="22"/>
      <c r="AO739" s="22"/>
      <c r="AP739" s="22"/>
    </row>
    <row r="740" hidden="1">
      <c r="A740" s="8">
        <v>46101.0</v>
      </c>
      <c r="B740" s="23">
        <v>0.4583333333333333</v>
      </c>
      <c r="C740" s="10" t="s">
        <v>58</v>
      </c>
      <c r="D740" s="10" t="s">
        <v>59</v>
      </c>
      <c r="E740" s="12" t="s">
        <v>179</v>
      </c>
      <c r="F740" s="12" t="s">
        <v>2275</v>
      </c>
      <c r="G740" s="12" t="s">
        <v>2431</v>
      </c>
      <c r="H740" s="96" t="s">
        <v>2384</v>
      </c>
      <c r="I740" s="57" t="s">
        <v>61</v>
      </c>
      <c r="J740" s="14">
        <v>13684.0</v>
      </c>
      <c r="K740" s="14">
        <v>7869.0</v>
      </c>
      <c r="L740" s="15">
        <v>0.5751</v>
      </c>
      <c r="M740" s="16"/>
      <c r="N740" s="17"/>
      <c r="O740" s="18">
        <v>0.0</v>
      </c>
      <c r="P740" s="18"/>
      <c r="Q740" s="19">
        <v>0.0</v>
      </c>
      <c r="R740" s="19"/>
      <c r="S740" s="20">
        <v>1.0</v>
      </c>
      <c r="T740" s="20">
        <v>2.0</v>
      </c>
      <c r="U740" s="20">
        <v>3400.0</v>
      </c>
      <c r="V740" s="21" t="s">
        <v>315</v>
      </c>
      <c r="W740" s="18" t="s">
        <v>62</v>
      </c>
      <c r="X740" s="73" t="s">
        <v>2374</v>
      </c>
      <c r="Y740" s="73" t="s">
        <v>2375</v>
      </c>
      <c r="Z740" s="20" t="s">
        <v>2432</v>
      </c>
      <c r="AA740" s="14">
        <v>23.0</v>
      </c>
      <c r="AB740" s="14"/>
      <c r="AC740" s="14">
        <v>23.0</v>
      </c>
      <c r="AD740" s="14">
        <v>185296.0</v>
      </c>
      <c r="AE740" s="14"/>
      <c r="AF740" s="14">
        <v>185296.0</v>
      </c>
      <c r="AG740" s="22"/>
      <c r="AH740" s="22"/>
      <c r="AI740" s="22"/>
      <c r="AJ740" s="22"/>
      <c r="AK740" s="22"/>
      <c r="AL740" s="22"/>
      <c r="AM740" s="22"/>
      <c r="AN740" s="22"/>
      <c r="AO740" s="22"/>
      <c r="AP740" s="22"/>
    </row>
    <row r="741" hidden="1">
      <c r="A741" s="8">
        <v>46101.0</v>
      </c>
      <c r="B741" s="23">
        <v>0.4583333333333333</v>
      </c>
      <c r="C741" s="10" t="s">
        <v>58</v>
      </c>
      <c r="D741" s="10" t="s">
        <v>59</v>
      </c>
      <c r="E741" s="12" t="s">
        <v>179</v>
      </c>
      <c r="F741" s="12" t="s">
        <v>2275</v>
      </c>
      <c r="G741" s="12" t="s">
        <v>2433</v>
      </c>
      <c r="H741" s="96" t="s">
        <v>2387</v>
      </c>
      <c r="I741" s="57" t="s">
        <v>61</v>
      </c>
      <c r="J741" s="14">
        <v>623.0</v>
      </c>
      <c r="K741" s="14">
        <v>438.0</v>
      </c>
      <c r="L741" s="15">
        <v>0.703</v>
      </c>
      <c r="M741" s="16"/>
      <c r="N741" s="17"/>
      <c r="O741" s="18">
        <v>0.0</v>
      </c>
      <c r="P741" s="18"/>
      <c r="Q741" s="19">
        <v>0.0</v>
      </c>
      <c r="R741" s="19"/>
      <c r="S741" s="20">
        <v>0.0</v>
      </c>
      <c r="T741" s="20">
        <v>0.0</v>
      </c>
      <c r="U741" s="20">
        <v>0.0</v>
      </c>
      <c r="V741" s="21" t="s">
        <v>315</v>
      </c>
      <c r="W741" s="18" t="s">
        <v>62</v>
      </c>
      <c r="X741" s="73" t="s">
        <v>2374</v>
      </c>
      <c r="Y741" s="73" t="s">
        <v>2375</v>
      </c>
      <c r="Z741" s="20" t="s">
        <v>2434</v>
      </c>
      <c r="AA741" s="14">
        <v>1.0</v>
      </c>
      <c r="AB741" s="14"/>
      <c r="AC741" s="14">
        <v>1.0</v>
      </c>
      <c r="AD741" s="14">
        <v>9497.0</v>
      </c>
      <c r="AE741" s="14"/>
      <c r="AF741" s="14">
        <v>9497.0</v>
      </c>
      <c r="AG741" s="22"/>
      <c r="AH741" s="22"/>
      <c r="AI741" s="22"/>
      <c r="AJ741" s="22"/>
      <c r="AK741" s="22"/>
      <c r="AL741" s="22"/>
      <c r="AM741" s="22"/>
      <c r="AN741" s="22"/>
      <c r="AO741" s="22"/>
      <c r="AP741" s="22"/>
    </row>
    <row r="742" hidden="1">
      <c r="A742" s="8">
        <v>46101.0</v>
      </c>
      <c r="B742" s="23">
        <v>0.4583333333333333</v>
      </c>
      <c r="C742" s="10" t="s">
        <v>58</v>
      </c>
      <c r="D742" s="10" t="s">
        <v>59</v>
      </c>
      <c r="E742" s="12" t="s">
        <v>179</v>
      </c>
      <c r="F742" s="12" t="s">
        <v>2275</v>
      </c>
      <c r="G742" s="12" t="s">
        <v>2435</v>
      </c>
      <c r="H742" s="96" t="s">
        <v>2390</v>
      </c>
      <c r="I742" s="57" t="s">
        <v>61</v>
      </c>
      <c r="J742" s="14">
        <v>877.0</v>
      </c>
      <c r="K742" s="14">
        <v>623.0</v>
      </c>
      <c r="L742" s="15">
        <v>0.7104</v>
      </c>
      <c r="M742" s="16"/>
      <c r="N742" s="17"/>
      <c r="O742" s="18">
        <v>0.0</v>
      </c>
      <c r="P742" s="18"/>
      <c r="Q742" s="19">
        <v>0.0</v>
      </c>
      <c r="R742" s="19"/>
      <c r="S742" s="20">
        <v>0.0</v>
      </c>
      <c r="T742" s="20">
        <v>0.0</v>
      </c>
      <c r="U742" s="20">
        <v>0.0</v>
      </c>
      <c r="V742" s="21" t="s">
        <v>315</v>
      </c>
      <c r="W742" s="18" t="s">
        <v>62</v>
      </c>
      <c r="X742" s="73" t="s">
        <v>2374</v>
      </c>
      <c r="Y742" s="73" t="s">
        <v>2375</v>
      </c>
      <c r="Z742" s="20" t="s">
        <v>2436</v>
      </c>
      <c r="AA742" s="14">
        <v>1.0</v>
      </c>
      <c r="AB742" s="14"/>
      <c r="AC742" s="14">
        <v>1.0</v>
      </c>
      <c r="AD742" s="14">
        <v>6997.0</v>
      </c>
      <c r="AE742" s="14"/>
      <c r="AF742" s="14">
        <v>6997.0</v>
      </c>
      <c r="AG742" s="22"/>
      <c r="AH742" s="22"/>
      <c r="AI742" s="22"/>
      <c r="AJ742" s="22"/>
      <c r="AK742" s="22"/>
      <c r="AL742" s="22"/>
      <c r="AM742" s="22"/>
      <c r="AN742" s="22"/>
      <c r="AO742" s="22"/>
      <c r="AP742" s="22"/>
    </row>
    <row r="743" hidden="1">
      <c r="A743" s="8">
        <v>46101.0</v>
      </c>
      <c r="B743" s="23">
        <v>0.4583333333333333</v>
      </c>
      <c r="C743" s="10" t="s">
        <v>58</v>
      </c>
      <c r="D743" s="10" t="s">
        <v>59</v>
      </c>
      <c r="E743" s="12" t="s">
        <v>179</v>
      </c>
      <c r="F743" s="12" t="s">
        <v>2275</v>
      </c>
      <c r="G743" s="12" t="s">
        <v>2437</v>
      </c>
      <c r="H743" s="96" t="s">
        <v>2393</v>
      </c>
      <c r="I743" s="57" t="s">
        <v>61</v>
      </c>
      <c r="J743" s="14">
        <v>2317.0</v>
      </c>
      <c r="K743" s="14">
        <v>1596.0</v>
      </c>
      <c r="L743" s="15">
        <v>0.6888</v>
      </c>
      <c r="M743" s="16"/>
      <c r="N743" s="17"/>
      <c r="O743" s="18">
        <v>0.0</v>
      </c>
      <c r="P743" s="18"/>
      <c r="Q743" s="19">
        <v>0.0</v>
      </c>
      <c r="R743" s="19"/>
      <c r="S743" s="20">
        <v>0.0</v>
      </c>
      <c r="T743" s="20">
        <v>0.0</v>
      </c>
      <c r="U743" s="20">
        <v>0.0</v>
      </c>
      <c r="V743" s="21" t="s">
        <v>315</v>
      </c>
      <c r="W743" s="18" t="s">
        <v>62</v>
      </c>
      <c r="X743" s="73" t="s">
        <v>2374</v>
      </c>
      <c r="Y743" s="73" t="s">
        <v>2375</v>
      </c>
      <c r="Z743" s="20" t="s">
        <v>2438</v>
      </c>
      <c r="AA743" s="14">
        <v>3.0</v>
      </c>
      <c r="AB743" s="14"/>
      <c r="AC743" s="14">
        <v>3.0</v>
      </c>
      <c r="AD743" s="14">
        <v>13444.0</v>
      </c>
      <c r="AE743" s="14"/>
      <c r="AF743" s="14">
        <v>13444.0</v>
      </c>
      <c r="AG743" s="22"/>
      <c r="AH743" s="22"/>
      <c r="AI743" s="22"/>
      <c r="AJ743" s="22"/>
      <c r="AK743" s="22"/>
      <c r="AL743" s="22"/>
      <c r="AM743" s="22"/>
      <c r="AN743" s="22"/>
      <c r="AO743" s="22"/>
      <c r="AP743" s="22"/>
    </row>
    <row r="744" hidden="1">
      <c r="A744" s="8">
        <v>46101.0</v>
      </c>
      <c r="B744" s="23">
        <v>0.4583333333333333</v>
      </c>
      <c r="C744" s="10" t="s">
        <v>58</v>
      </c>
      <c r="D744" s="10" t="s">
        <v>59</v>
      </c>
      <c r="E744" s="12" t="s">
        <v>179</v>
      </c>
      <c r="F744" s="12" t="s">
        <v>2275</v>
      </c>
      <c r="G744" s="12" t="s">
        <v>2439</v>
      </c>
      <c r="H744" s="96" t="s">
        <v>2397</v>
      </c>
      <c r="I744" s="57" t="s">
        <v>61</v>
      </c>
      <c r="J744" s="14">
        <v>1420.0</v>
      </c>
      <c r="K744" s="14">
        <v>990.0</v>
      </c>
      <c r="L744" s="15">
        <v>0.6972</v>
      </c>
      <c r="M744" s="16"/>
      <c r="N744" s="17"/>
      <c r="O744" s="18">
        <v>0.0</v>
      </c>
      <c r="P744" s="18"/>
      <c r="Q744" s="19">
        <v>0.0</v>
      </c>
      <c r="R744" s="19"/>
      <c r="S744" s="20">
        <v>0.0</v>
      </c>
      <c r="T744" s="20">
        <v>0.0</v>
      </c>
      <c r="U744" s="20">
        <v>0.0</v>
      </c>
      <c r="V744" s="21" t="s">
        <v>315</v>
      </c>
      <c r="W744" s="18" t="s">
        <v>62</v>
      </c>
      <c r="X744" s="73" t="s">
        <v>2374</v>
      </c>
      <c r="Y744" s="73" t="s">
        <v>2375</v>
      </c>
      <c r="Z744" s="20" t="s">
        <v>2440</v>
      </c>
      <c r="AA744" s="14">
        <v>2.0</v>
      </c>
      <c r="AB744" s="14"/>
      <c r="AC744" s="14">
        <v>2.0</v>
      </c>
      <c r="AD744" s="14">
        <v>16544.0</v>
      </c>
      <c r="AE744" s="14"/>
      <c r="AF744" s="14">
        <v>16544.0</v>
      </c>
      <c r="AG744" s="22"/>
      <c r="AH744" s="22"/>
      <c r="AI744" s="22"/>
      <c r="AJ744" s="22"/>
      <c r="AK744" s="22"/>
      <c r="AL744" s="22"/>
      <c r="AM744" s="22"/>
      <c r="AN744" s="22"/>
      <c r="AO744" s="22"/>
      <c r="AP744" s="22"/>
    </row>
    <row r="745" hidden="1">
      <c r="A745" s="8">
        <v>46101.0</v>
      </c>
      <c r="B745" s="23">
        <v>0.4583333333333333</v>
      </c>
      <c r="C745" s="10" t="s">
        <v>58</v>
      </c>
      <c r="D745" s="10" t="s">
        <v>59</v>
      </c>
      <c r="E745" s="12" t="s">
        <v>179</v>
      </c>
      <c r="F745" s="12" t="s">
        <v>2275</v>
      </c>
      <c r="G745" s="12" t="s">
        <v>2441</v>
      </c>
      <c r="H745" s="96" t="s">
        <v>2400</v>
      </c>
      <c r="I745" s="57" t="s">
        <v>61</v>
      </c>
      <c r="J745" s="14">
        <v>9979.0</v>
      </c>
      <c r="K745" s="14">
        <v>6481.0</v>
      </c>
      <c r="L745" s="15">
        <v>0.6495</v>
      </c>
      <c r="M745" s="16"/>
      <c r="N745" s="17"/>
      <c r="O745" s="18">
        <v>0.0</v>
      </c>
      <c r="P745" s="18"/>
      <c r="Q745" s="19">
        <v>0.0</v>
      </c>
      <c r="R745" s="19"/>
      <c r="S745" s="20">
        <v>0.0</v>
      </c>
      <c r="T745" s="20">
        <v>0.0</v>
      </c>
      <c r="U745" s="20">
        <v>0.0</v>
      </c>
      <c r="V745" s="21" t="s">
        <v>315</v>
      </c>
      <c r="W745" s="18" t="s">
        <v>62</v>
      </c>
      <c r="X745" s="73" t="s">
        <v>2374</v>
      </c>
      <c r="Y745" s="73" t="s">
        <v>2375</v>
      </c>
      <c r="Z745" s="20" t="s">
        <v>2442</v>
      </c>
      <c r="AA745" s="14">
        <v>11.0</v>
      </c>
      <c r="AB745" s="14"/>
      <c r="AC745" s="14">
        <v>11.0</v>
      </c>
      <c r="AD745" s="14">
        <v>39047.0</v>
      </c>
      <c r="AE745" s="14"/>
      <c r="AF745" s="14">
        <v>39047.0</v>
      </c>
      <c r="AG745" s="22"/>
      <c r="AH745" s="22"/>
      <c r="AI745" s="22"/>
      <c r="AJ745" s="22"/>
      <c r="AK745" s="22"/>
      <c r="AL745" s="22"/>
      <c r="AM745" s="22"/>
      <c r="AN745" s="22"/>
      <c r="AO745" s="22"/>
      <c r="AP745" s="22"/>
    </row>
    <row r="746" hidden="1">
      <c r="A746" s="8">
        <v>46101.0</v>
      </c>
      <c r="B746" s="23">
        <v>0.4583333333333333</v>
      </c>
      <c r="C746" s="10" t="s">
        <v>58</v>
      </c>
      <c r="D746" s="10" t="s">
        <v>59</v>
      </c>
      <c r="E746" s="12" t="s">
        <v>179</v>
      </c>
      <c r="F746" s="12" t="s">
        <v>2275</v>
      </c>
      <c r="G746" s="12" t="s">
        <v>2443</v>
      </c>
      <c r="H746" s="96" t="s">
        <v>2403</v>
      </c>
      <c r="I746" s="57" t="s">
        <v>61</v>
      </c>
      <c r="J746" s="14">
        <v>3160.0</v>
      </c>
      <c r="K746" s="14">
        <v>2168.0</v>
      </c>
      <c r="L746" s="15">
        <v>0.6861</v>
      </c>
      <c r="M746" s="16"/>
      <c r="N746" s="17"/>
      <c r="O746" s="18">
        <v>0.0</v>
      </c>
      <c r="P746" s="18"/>
      <c r="Q746" s="19">
        <v>0.0</v>
      </c>
      <c r="R746" s="19"/>
      <c r="S746" s="20">
        <v>0.0</v>
      </c>
      <c r="T746" s="20">
        <v>0.0</v>
      </c>
      <c r="U746" s="20">
        <v>0.0</v>
      </c>
      <c r="V746" s="21" t="s">
        <v>315</v>
      </c>
      <c r="W746" s="18" t="s">
        <v>62</v>
      </c>
      <c r="X746" s="73" t="s">
        <v>2374</v>
      </c>
      <c r="Y746" s="73" t="s">
        <v>2375</v>
      </c>
      <c r="Z746" s="20" t="s">
        <v>2444</v>
      </c>
      <c r="AA746" s="14">
        <v>5.0</v>
      </c>
      <c r="AB746" s="14"/>
      <c r="AC746" s="14">
        <v>5.0</v>
      </c>
      <c r="AD746" s="14">
        <v>16094.0</v>
      </c>
      <c r="AE746" s="14"/>
      <c r="AF746" s="14">
        <v>16094.0</v>
      </c>
      <c r="AG746" s="22"/>
      <c r="AH746" s="22"/>
      <c r="AI746" s="22"/>
      <c r="AJ746" s="22"/>
      <c r="AK746" s="22"/>
      <c r="AL746" s="22"/>
      <c r="AM746" s="22"/>
      <c r="AN746" s="22"/>
      <c r="AO746" s="22"/>
      <c r="AP746" s="22"/>
    </row>
    <row r="747" hidden="1">
      <c r="A747" s="8">
        <v>46101.0</v>
      </c>
      <c r="B747" s="23">
        <v>0.4583333333333333</v>
      </c>
      <c r="C747" s="10" t="s">
        <v>58</v>
      </c>
      <c r="D747" s="10" t="s">
        <v>59</v>
      </c>
      <c r="E747" s="12" t="s">
        <v>179</v>
      </c>
      <c r="F747" s="12" t="s">
        <v>2275</v>
      </c>
      <c r="G747" s="12" t="s">
        <v>2445</v>
      </c>
      <c r="H747" s="96" t="s">
        <v>2406</v>
      </c>
      <c r="I747" s="57" t="s">
        <v>61</v>
      </c>
      <c r="J747" s="14">
        <v>6392.0</v>
      </c>
      <c r="K747" s="14">
        <v>4001.0</v>
      </c>
      <c r="L747" s="15">
        <v>0.6259</v>
      </c>
      <c r="M747" s="16"/>
      <c r="N747" s="17"/>
      <c r="O747" s="18">
        <v>0.0</v>
      </c>
      <c r="P747" s="18"/>
      <c r="Q747" s="19">
        <v>0.0</v>
      </c>
      <c r="R747" s="19"/>
      <c r="S747" s="20">
        <v>0.0</v>
      </c>
      <c r="T747" s="20">
        <v>0.0</v>
      </c>
      <c r="U747" s="20">
        <v>0.0</v>
      </c>
      <c r="V747" s="21" t="s">
        <v>315</v>
      </c>
      <c r="W747" s="18" t="s">
        <v>62</v>
      </c>
      <c r="X747" s="73" t="s">
        <v>2374</v>
      </c>
      <c r="Y747" s="73" t="s">
        <v>2375</v>
      </c>
      <c r="Z747" s="20" t="s">
        <v>2446</v>
      </c>
      <c r="AA747" s="14">
        <v>12.0</v>
      </c>
      <c r="AB747" s="14"/>
      <c r="AC747" s="14">
        <v>12.0</v>
      </c>
      <c r="AD747" s="14">
        <v>125313.0</v>
      </c>
      <c r="AE747" s="14"/>
      <c r="AF747" s="14">
        <v>125313.0</v>
      </c>
      <c r="AG747" s="22"/>
      <c r="AH747" s="22"/>
      <c r="AI747" s="22"/>
      <c r="AJ747" s="22"/>
      <c r="AK747" s="22"/>
      <c r="AL747" s="22"/>
      <c r="AM747" s="22"/>
      <c r="AN747" s="22"/>
      <c r="AO747" s="22"/>
      <c r="AP747" s="22"/>
    </row>
    <row r="748" hidden="1">
      <c r="A748" s="8">
        <v>46101.0</v>
      </c>
      <c r="B748" s="23">
        <v>0.4583333333333333</v>
      </c>
      <c r="C748" s="10" t="s">
        <v>58</v>
      </c>
      <c r="D748" s="10" t="s">
        <v>59</v>
      </c>
      <c r="E748" s="12" t="s">
        <v>179</v>
      </c>
      <c r="F748" s="12" t="s">
        <v>2275</v>
      </c>
      <c r="G748" s="12" t="s">
        <v>2447</v>
      </c>
      <c r="H748" s="96" t="s">
        <v>2409</v>
      </c>
      <c r="I748" s="57" t="s">
        <v>61</v>
      </c>
      <c r="J748" s="14">
        <v>14386.0</v>
      </c>
      <c r="K748" s="14">
        <v>7952.0</v>
      </c>
      <c r="L748" s="15">
        <v>0.5528</v>
      </c>
      <c r="M748" s="16"/>
      <c r="N748" s="17"/>
      <c r="O748" s="18">
        <v>0.0</v>
      </c>
      <c r="P748" s="18"/>
      <c r="Q748" s="19">
        <v>0.0</v>
      </c>
      <c r="R748" s="19"/>
      <c r="S748" s="20">
        <v>0.0</v>
      </c>
      <c r="T748" s="20">
        <v>0.0</v>
      </c>
      <c r="U748" s="20">
        <v>0.0</v>
      </c>
      <c r="V748" s="21" t="s">
        <v>315</v>
      </c>
      <c r="W748" s="18" t="s">
        <v>62</v>
      </c>
      <c r="X748" s="73" t="s">
        <v>2374</v>
      </c>
      <c r="Y748" s="73" t="s">
        <v>2375</v>
      </c>
      <c r="Z748" s="20" t="s">
        <v>2448</v>
      </c>
      <c r="AA748" s="14">
        <v>30.0</v>
      </c>
      <c r="AB748" s="14"/>
      <c r="AC748" s="14">
        <v>30.0</v>
      </c>
      <c r="AD748" s="14">
        <v>344005.0</v>
      </c>
      <c r="AE748" s="14"/>
      <c r="AF748" s="14">
        <v>344005.0</v>
      </c>
      <c r="AG748" s="22"/>
      <c r="AH748" s="22"/>
      <c r="AI748" s="22"/>
      <c r="AJ748" s="22"/>
      <c r="AK748" s="22"/>
      <c r="AL748" s="22"/>
      <c r="AM748" s="22"/>
      <c r="AN748" s="22"/>
      <c r="AO748" s="22"/>
      <c r="AP748" s="22"/>
    </row>
    <row r="749" hidden="1">
      <c r="A749" s="26">
        <v>46102.0</v>
      </c>
      <c r="B749" s="27">
        <v>0.4583333333333333</v>
      </c>
      <c r="C749" s="28" t="s">
        <v>32</v>
      </c>
      <c r="D749" s="28" t="s">
        <v>33</v>
      </c>
      <c r="E749" s="30" t="s">
        <v>71</v>
      </c>
      <c r="F749" s="30" t="s">
        <v>2234</v>
      </c>
      <c r="G749" s="30" t="s">
        <v>2449</v>
      </c>
      <c r="H749" s="96" t="s">
        <v>2450</v>
      </c>
      <c r="I749" s="112" t="s">
        <v>2451</v>
      </c>
      <c r="J749" s="33">
        <v>39604.0</v>
      </c>
      <c r="K749" s="33">
        <v>14279.0</v>
      </c>
      <c r="L749" s="34">
        <v>0.3605</v>
      </c>
      <c r="M749" s="35">
        <v>6771.0</v>
      </c>
      <c r="N749" s="36">
        <v>0.4742</v>
      </c>
      <c r="O749" s="37">
        <v>563.0</v>
      </c>
      <c r="P749" s="37">
        <v>532.0</v>
      </c>
      <c r="Q749" s="38">
        <v>0.0373</v>
      </c>
      <c r="R749" s="38">
        <v>0.0786</v>
      </c>
      <c r="S749" s="39">
        <v>6.0</v>
      </c>
      <c r="T749" s="39">
        <v>15.0</v>
      </c>
      <c r="U749" s="39">
        <v>21903.0</v>
      </c>
      <c r="V749" s="41" t="s">
        <v>183</v>
      </c>
      <c r="W749" s="37" t="s">
        <v>76</v>
      </c>
      <c r="X749" s="101" t="s">
        <v>2452</v>
      </c>
      <c r="Y749" s="42" t="s">
        <v>2453</v>
      </c>
      <c r="Z749" s="39" t="s">
        <v>2454</v>
      </c>
      <c r="AA749" s="33">
        <v>205.0</v>
      </c>
      <c r="AB749" s="33">
        <v>37.0</v>
      </c>
      <c r="AC749" s="33">
        <v>168.0</v>
      </c>
      <c r="AD749" s="33">
        <v>954540.0</v>
      </c>
      <c r="AE749" s="33">
        <v>116261.0</v>
      </c>
      <c r="AF749" s="33">
        <v>838279.0</v>
      </c>
      <c r="AG749" s="43"/>
      <c r="AH749" s="43"/>
      <c r="AI749" s="43"/>
      <c r="AJ749" s="43"/>
      <c r="AK749" s="43"/>
      <c r="AL749" s="43"/>
      <c r="AM749" s="43"/>
      <c r="AN749" s="43"/>
      <c r="AO749" s="43"/>
      <c r="AP749" s="43"/>
    </row>
    <row r="750" hidden="1">
      <c r="A750" s="26">
        <v>46102.0</v>
      </c>
      <c r="B750" s="27">
        <v>0.4583333333333333</v>
      </c>
      <c r="C750" s="28" t="s">
        <v>32</v>
      </c>
      <c r="D750" s="28" t="s">
        <v>33</v>
      </c>
      <c r="E750" s="30" t="s">
        <v>71</v>
      </c>
      <c r="F750" s="30" t="s">
        <v>2234</v>
      </c>
      <c r="G750" s="30" t="s">
        <v>2455</v>
      </c>
      <c r="H750" s="96" t="s">
        <v>2456</v>
      </c>
      <c r="I750" s="112" t="s">
        <v>2457</v>
      </c>
      <c r="J750" s="33">
        <v>41725.0</v>
      </c>
      <c r="K750" s="33">
        <v>15703.0</v>
      </c>
      <c r="L750" s="34">
        <v>0.3763</v>
      </c>
      <c r="M750" s="35">
        <v>5526.0</v>
      </c>
      <c r="N750" s="36">
        <v>0.3519</v>
      </c>
      <c r="O750" s="37">
        <v>512.0</v>
      </c>
      <c r="P750" s="37">
        <v>488.0</v>
      </c>
      <c r="Q750" s="38">
        <v>0.0311</v>
      </c>
      <c r="R750" s="38">
        <v>0.0883</v>
      </c>
      <c r="S750" s="39">
        <v>7.0</v>
      </c>
      <c r="T750" s="39">
        <v>11.0</v>
      </c>
      <c r="U750" s="39">
        <v>17279.0</v>
      </c>
      <c r="V750" s="41" t="s">
        <v>183</v>
      </c>
      <c r="W750" s="37" t="s">
        <v>76</v>
      </c>
      <c r="X750" s="101" t="s">
        <v>2458</v>
      </c>
      <c r="Y750" s="42" t="s">
        <v>2453</v>
      </c>
      <c r="Z750" s="39" t="s">
        <v>2459</v>
      </c>
      <c r="AA750" s="33">
        <v>92.0</v>
      </c>
      <c r="AB750" s="33">
        <v>25.0</v>
      </c>
      <c r="AC750" s="33">
        <v>67.0</v>
      </c>
      <c r="AD750" s="33">
        <v>365220.0</v>
      </c>
      <c r="AE750" s="33">
        <v>61209.0</v>
      </c>
      <c r="AF750" s="33">
        <v>304011.0</v>
      </c>
      <c r="AG750" s="43"/>
      <c r="AH750" s="43"/>
      <c r="AI750" s="43"/>
      <c r="AJ750" s="43"/>
      <c r="AK750" s="43"/>
      <c r="AL750" s="43"/>
      <c r="AM750" s="43"/>
      <c r="AN750" s="43"/>
      <c r="AO750" s="43"/>
      <c r="AP750" s="43"/>
    </row>
    <row r="751" hidden="1">
      <c r="A751" s="26">
        <v>46102.0</v>
      </c>
      <c r="B751" s="27">
        <v>0.4583333333333333</v>
      </c>
      <c r="C751" s="28" t="s">
        <v>32</v>
      </c>
      <c r="D751" s="28" t="s">
        <v>33</v>
      </c>
      <c r="E751" s="30" t="s">
        <v>71</v>
      </c>
      <c r="F751" s="30" t="s">
        <v>2234</v>
      </c>
      <c r="G751" s="30" t="s">
        <v>2460</v>
      </c>
      <c r="H751" s="96" t="s">
        <v>2461</v>
      </c>
      <c r="I751" s="112" t="s">
        <v>2462</v>
      </c>
      <c r="J751" s="33">
        <v>53567.0</v>
      </c>
      <c r="K751" s="33">
        <v>19735.0</v>
      </c>
      <c r="L751" s="34">
        <v>0.3684</v>
      </c>
      <c r="M751" s="35">
        <v>8324.0</v>
      </c>
      <c r="N751" s="36">
        <v>0.4218</v>
      </c>
      <c r="O751" s="37">
        <v>771.0</v>
      </c>
      <c r="P751" s="37">
        <v>723.0</v>
      </c>
      <c r="Q751" s="38">
        <v>0.0366</v>
      </c>
      <c r="R751" s="38">
        <v>0.0869</v>
      </c>
      <c r="S751" s="39">
        <v>8.0</v>
      </c>
      <c r="T751" s="39">
        <v>15.0</v>
      </c>
      <c r="U751" s="39">
        <v>16389.0</v>
      </c>
      <c r="V751" s="41" t="s">
        <v>183</v>
      </c>
      <c r="W751" s="37" t="s">
        <v>76</v>
      </c>
      <c r="X751" s="101" t="s">
        <v>2463</v>
      </c>
      <c r="Y751" s="42" t="s">
        <v>2453</v>
      </c>
      <c r="Z751" s="39" t="s">
        <v>2464</v>
      </c>
      <c r="AA751" s="33">
        <v>168.0</v>
      </c>
      <c r="AB751" s="33">
        <v>59.0</v>
      </c>
      <c r="AC751" s="33">
        <v>109.0</v>
      </c>
      <c r="AD751" s="33">
        <v>565627.0</v>
      </c>
      <c r="AE751" s="33">
        <v>146066.0</v>
      </c>
      <c r="AF751" s="33">
        <v>419561.0</v>
      </c>
      <c r="AG751" s="43"/>
      <c r="AH751" s="43"/>
      <c r="AI751" s="43"/>
      <c r="AJ751" s="43"/>
      <c r="AK751" s="43"/>
      <c r="AL751" s="43"/>
      <c r="AM751" s="43"/>
      <c r="AN751" s="43"/>
      <c r="AO751" s="43"/>
      <c r="AP751" s="43"/>
    </row>
    <row r="752" hidden="1">
      <c r="A752" s="8">
        <v>46102.0</v>
      </c>
      <c r="B752" s="23">
        <v>0.4166666666666667</v>
      </c>
      <c r="C752" s="10" t="s">
        <v>32</v>
      </c>
      <c r="D752" s="10" t="s">
        <v>33</v>
      </c>
      <c r="E752" s="12" t="s">
        <v>106</v>
      </c>
      <c r="F752" s="12" t="s">
        <v>2465</v>
      </c>
      <c r="G752" s="12" t="s">
        <v>2466</v>
      </c>
      <c r="H752" s="96" t="s">
        <v>2467</v>
      </c>
      <c r="I752" s="96" t="s">
        <v>2468</v>
      </c>
      <c r="J752" s="14">
        <v>33779.0</v>
      </c>
      <c r="K752" s="14">
        <v>5083.0</v>
      </c>
      <c r="L752" s="15">
        <v>0.1505</v>
      </c>
      <c r="M752" s="16">
        <v>3512.0</v>
      </c>
      <c r="N752" s="17">
        <v>0.6911</v>
      </c>
      <c r="O752" s="18">
        <v>109.0</v>
      </c>
      <c r="P752" s="18">
        <v>103.0</v>
      </c>
      <c r="Q752" s="19">
        <v>0.0203</v>
      </c>
      <c r="R752" s="19">
        <v>0.0293</v>
      </c>
      <c r="S752" s="20"/>
      <c r="T752" s="20"/>
      <c r="U752" s="20"/>
      <c r="V752" s="21" t="s">
        <v>315</v>
      </c>
      <c r="W752" s="18" t="s">
        <v>76</v>
      </c>
      <c r="X752" s="99" t="s">
        <v>149</v>
      </c>
      <c r="Y752" s="66" t="s">
        <v>2469</v>
      </c>
      <c r="Z752" s="20" t="s">
        <v>2470</v>
      </c>
      <c r="AA752" s="14">
        <v>17.0</v>
      </c>
      <c r="AB752" s="14"/>
      <c r="AC752" s="14">
        <v>17.0</v>
      </c>
      <c r="AD752" s="14">
        <v>197379.0</v>
      </c>
      <c r="AE752" s="14"/>
      <c r="AF752" s="14">
        <v>197379.0</v>
      </c>
      <c r="AG752" s="22"/>
      <c r="AH752" s="22"/>
      <c r="AI752" s="22"/>
      <c r="AJ752" s="22"/>
      <c r="AK752" s="22"/>
      <c r="AL752" s="22"/>
      <c r="AM752" s="22"/>
      <c r="AN752" s="22"/>
      <c r="AO752" s="22"/>
      <c r="AP752" s="22"/>
    </row>
    <row r="753" hidden="1">
      <c r="A753" s="8">
        <v>46102.0</v>
      </c>
      <c r="B753" s="23">
        <v>0.4166666666666667</v>
      </c>
      <c r="C753" s="10" t="s">
        <v>32</v>
      </c>
      <c r="D753" s="10" t="s">
        <v>33</v>
      </c>
      <c r="E753" s="12" t="s">
        <v>106</v>
      </c>
      <c r="F753" s="12" t="s">
        <v>2465</v>
      </c>
      <c r="G753" s="12" t="s">
        <v>2471</v>
      </c>
      <c r="H753" s="96" t="s">
        <v>2472</v>
      </c>
      <c r="I753" s="96" t="s">
        <v>2473</v>
      </c>
      <c r="J753" s="14">
        <v>6345.0</v>
      </c>
      <c r="K753" s="14">
        <v>774.0</v>
      </c>
      <c r="L753" s="15">
        <v>0.122</v>
      </c>
      <c r="M753" s="16">
        <v>499.0</v>
      </c>
      <c r="N753" s="17">
        <v>0.6447</v>
      </c>
      <c r="O753" s="18">
        <v>16.0</v>
      </c>
      <c r="P753" s="18">
        <v>15.0</v>
      </c>
      <c r="Q753" s="19">
        <v>0.0194</v>
      </c>
      <c r="R753" s="19">
        <v>0.0301</v>
      </c>
      <c r="S753" s="20"/>
      <c r="T753" s="20"/>
      <c r="U753" s="20"/>
      <c r="V753" s="21" t="s">
        <v>315</v>
      </c>
      <c r="W753" s="18" t="s">
        <v>76</v>
      </c>
      <c r="X753" s="99" t="s">
        <v>149</v>
      </c>
      <c r="Y753" s="66" t="s">
        <v>2469</v>
      </c>
      <c r="Z753" s="20" t="s">
        <v>2474</v>
      </c>
      <c r="AA753" s="14">
        <v>4.0</v>
      </c>
      <c r="AB753" s="14"/>
      <c r="AC753" s="14">
        <v>4.0</v>
      </c>
      <c r="AD753" s="14">
        <v>36996.0</v>
      </c>
      <c r="AE753" s="14"/>
      <c r="AF753" s="14">
        <v>36996.0</v>
      </c>
      <c r="AG753" s="22"/>
      <c r="AH753" s="22"/>
      <c r="AI753" s="22"/>
      <c r="AJ753" s="22"/>
      <c r="AK753" s="22"/>
      <c r="AL753" s="22"/>
      <c r="AM753" s="22"/>
      <c r="AN753" s="22"/>
      <c r="AO753" s="22"/>
      <c r="AP753" s="22"/>
    </row>
    <row r="754" hidden="1">
      <c r="A754" s="8">
        <v>46102.0</v>
      </c>
      <c r="B754" s="23">
        <v>0.5</v>
      </c>
      <c r="C754" s="10" t="s">
        <v>58</v>
      </c>
      <c r="D754" s="10" t="s">
        <v>59</v>
      </c>
      <c r="E754" s="12" t="s">
        <v>106</v>
      </c>
      <c r="F754" s="12" t="s">
        <v>2465</v>
      </c>
      <c r="G754" s="12" t="s">
        <v>2475</v>
      </c>
      <c r="H754" s="96" t="s">
        <v>2467</v>
      </c>
      <c r="I754" s="57" t="s">
        <v>61</v>
      </c>
      <c r="J754" s="14">
        <v>28454.0</v>
      </c>
      <c r="K754" s="14">
        <v>16198.0</v>
      </c>
      <c r="L754" s="15">
        <v>0.5693</v>
      </c>
      <c r="M754" s="16"/>
      <c r="N754" s="17"/>
      <c r="O754" s="18">
        <v>0.0</v>
      </c>
      <c r="P754" s="18"/>
      <c r="Q754" s="19">
        <v>0.0</v>
      </c>
      <c r="R754" s="19"/>
      <c r="S754" s="20"/>
      <c r="T754" s="20"/>
      <c r="U754" s="20"/>
      <c r="V754" s="21" t="s">
        <v>315</v>
      </c>
      <c r="W754" s="18" t="s">
        <v>62</v>
      </c>
      <c r="X754" s="99" t="s">
        <v>149</v>
      </c>
      <c r="Y754" s="66" t="s">
        <v>2469</v>
      </c>
      <c r="Z754" s="20" t="s">
        <v>2476</v>
      </c>
      <c r="AA754" s="14">
        <v>70.0</v>
      </c>
      <c r="AB754" s="14"/>
      <c r="AC754" s="14">
        <v>70.0</v>
      </c>
      <c r="AD754" s="14">
        <v>766415.0</v>
      </c>
      <c r="AE754" s="14"/>
      <c r="AF754" s="14">
        <v>766415.0</v>
      </c>
      <c r="AG754" s="22"/>
      <c r="AH754" s="22"/>
      <c r="AI754" s="22"/>
      <c r="AJ754" s="22"/>
      <c r="AK754" s="22"/>
      <c r="AL754" s="22"/>
      <c r="AM754" s="22"/>
      <c r="AN754" s="22"/>
      <c r="AO754" s="22"/>
      <c r="AP754" s="22"/>
    </row>
    <row r="755" hidden="1">
      <c r="A755" s="8">
        <v>46102.0</v>
      </c>
      <c r="B755" s="23">
        <v>0.5</v>
      </c>
      <c r="C755" s="10" t="s">
        <v>58</v>
      </c>
      <c r="D755" s="10" t="s">
        <v>59</v>
      </c>
      <c r="E755" s="12" t="s">
        <v>106</v>
      </c>
      <c r="F755" s="12" t="s">
        <v>2465</v>
      </c>
      <c r="G755" s="12" t="s">
        <v>2477</v>
      </c>
      <c r="H755" s="96" t="s">
        <v>2472</v>
      </c>
      <c r="I755" s="57" t="s">
        <v>61</v>
      </c>
      <c r="J755" s="14">
        <v>5525.0</v>
      </c>
      <c r="K755" s="14">
        <v>2657.0</v>
      </c>
      <c r="L755" s="15">
        <v>0.4809</v>
      </c>
      <c r="M755" s="16"/>
      <c r="N755" s="17"/>
      <c r="O755" s="18">
        <v>0.0</v>
      </c>
      <c r="P755" s="18"/>
      <c r="Q755" s="19">
        <v>0.0</v>
      </c>
      <c r="R755" s="19"/>
      <c r="S755" s="20"/>
      <c r="T755" s="20"/>
      <c r="U755" s="20"/>
      <c r="V755" s="21" t="s">
        <v>315</v>
      </c>
      <c r="W755" s="18" t="s">
        <v>62</v>
      </c>
      <c r="X755" s="99" t="s">
        <v>149</v>
      </c>
      <c r="Y755" s="66" t="s">
        <v>2469</v>
      </c>
      <c r="Z755" s="20" t="s">
        <v>2478</v>
      </c>
      <c r="AA755" s="14">
        <v>15.0</v>
      </c>
      <c r="AB755" s="14"/>
      <c r="AC755" s="14">
        <v>15.0</v>
      </c>
      <c r="AD755" s="14">
        <v>241474.0</v>
      </c>
      <c r="AE755" s="14"/>
      <c r="AF755" s="14">
        <v>241474.0</v>
      </c>
      <c r="AG755" s="22"/>
      <c r="AH755" s="22"/>
      <c r="AI755" s="22"/>
      <c r="AJ755" s="22"/>
      <c r="AK755" s="22"/>
      <c r="AL755" s="22"/>
      <c r="AM755" s="22"/>
      <c r="AN755" s="22"/>
      <c r="AO755" s="22"/>
      <c r="AP755" s="22"/>
    </row>
    <row r="756" hidden="1">
      <c r="A756" s="8">
        <v>46103.0</v>
      </c>
      <c r="B756" s="23">
        <v>0.5</v>
      </c>
      <c r="C756" s="10" t="s">
        <v>32</v>
      </c>
      <c r="D756" s="10" t="s">
        <v>33</v>
      </c>
      <c r="E756" s="12" t="s">
        <v>71</v>
      </c>
      <c r="F756" s="12" t="s">
        <v>2234</v>
      </c>
      <c r="G756" s="12" t="s">
        <v>2479</v>
      </c>
      <c r="H756" s="96" t="s">
        <v>2480</v>
      </c>
      <c r="I756" s="112" t="s">
        <v>2481</v>
      </c>
      <c r="J756" s="14">
        <v>540.0</v>
      </c>
      <c r="K756" s="14">
        <v>248.0</v>
      </c>
      <c r="L756" s="15">
        <v>0.4593</v>
      </c>
      <c r="M756" s="16">
        <v>125.0</v>
      </c>
      <c r="N756" s="17">
        <v>0.504</v>
      </c>
      <c r="O756" s="18">
        <v>27.0</v>
      </c>
      <c r="P756" s="18">
        <v>27.0</v>
      </c>
      <c r="Q756" s="19">
        <v>0.1089</v>
      </c>
      <c r="R756" s="19">
        <v>0.216</v>
      </c>
      <c r="S756" s="20">
        <v>5.0</v>
      </c>
      <c r="T756" s="20">
        <v>9.0</v>
      </c>
      <c r="U756" s="20">
        <v>11144.0</v>
      </c>
      <c r="V756" s="21" t="s">
        <v>335</v>
      </c>
      <c r="W756" s="18" t="s">
        <v>76</v>
      </c>
      <c r="X756" s="101" t="s">
        <v>2238</v>
      </c>
      <c r="Y756" s="92" t="s">
        <v>2482</v>
      </c>
      <c r="Z756" s="20" t="s">
        <v>2483</v>
      </c>
      <c r="AA756" s="14">
        <v>12.0</v>
      </c>
      <c r="AB756" s="14">
        <v>12.0</v>
      </c>
      <c r="AC756" s="14"/>
      <c r="AD756" s="14">
        <v>19874.0</v>
      </c>
      <c r="AE756" s="14">
        <v>19874.0</v>
      </c>
      <c r="AF756" s="14"/>
      <c r="AG756" s="22"/>
      <c r="AH756" s="22"/>
      <c r="AI756" s="22"/>
      <c r="AJ756" s="22"/>
      <c r="AK756" s="22"/>
      <c r="AL756" s="22"/>
      <c r="AM756" s="22"/>
      <c r="AN756" s="22"/>
      <c r="AO756" s="22"/>
      <c r="AP756" s="22"/>
    </row>
    <row r="757" hidden="1">
      <c r="A757" s="8">
        <v>46103.0</v>
      </c>
      <c r="B757" s="23">
        <v>0.5</v>
      </c>
      <c r="C757" s="10" t="s">
        <v>32</v>
      </c>
      <c r="D757" s="10" t="s">
        <v>33</v>
      </c>
      <c r="E757" s="12" t="s">
        <v>71</v>
      </c>
      <c r="F757" s="12" t="s">
        <v>2234</v>
      </c>
      <c r="G757" s="12" t="s">
        <v>2484</v>
      </c>
      <c r="H757" s="96" t="s">
        <v>2485</v>
      </c>
      <c r="I757" s="112" t="s">
        <v>2486</v>
      </c>
      <c r="J757" s="14">
        <v>7057.0</v>
      </c>
      <c r="K757" s="14">
        <v>4914.0</v>
      </c>
      <c r="L757" s="15">
        <v>0.6963</v>
      </c>
      <c r="M757" s="16">
        <v>2336.0</v>
      </c>
      <c r="N757" s="17">
        <v>0.4754</v>
      </c>
      <c r="O757" s="18">
        <v>621.0</v>
      </c>
      <c r="P757" s="18">
        <v>583.0</v>
      </c>
      <c r="Q757" s="19">
        <v>0.1186</v>
      </c>
      <c r="R757" s="19">
        <v>0.2496</v>
      </c>
      <c r="S757" s="20">
        <v>0.0</v>
      </c>
      <c r="T757" s="20">
        <v>2.0</v>
      </c>
      <c r="U757" s="20">
        <v>0.0</v>
      </c>
      <c r="V757" s="21" t="s">
        <v>335</v>
      </c>
      <c r="W757" s="18" t="s">
        <v>76</v>
      </c>
      <c r="X757" s="101" t="s">
        <v>2487</v>
      </c>
      <c r="Y757" s="92" t="s">
        <v>2482</v>
      </c>
      <c r="Z757" s="20" t="s">
        <v>2488</v>
      </c>
      <c r="AA757" s="14">
        <v>14.0</v>
      </c>
      <c r="AB757" s="14">
        <v>14.0</v>
      </c>
      <c r="AC757" s="14"/>
      <c r="AD757" s="14">
        <v>35776.0</v>
      </c>
      <c r="AE757" s="14">
        <v>35776.0</v>
      </c>
      <c r="AF757" s="14"/>
      <c r="AG757" s="22"/>
      <c r="AH757" s="22"/>
      <c r="AI757" s="22"/>
      <c r="AJ757" s="22"/>
      <c r="AK757" s="22"/>
      <c r="AL757" s="22"/>
      <c r="AM757" s="22"/>
      <c r="AN757" s="22"/>
      <c r="AO757" s="22"/>
      <c r="AP757" s="22"/>
    </row>
    <row r="758" hidden="1">
      <c r="A758" s="8">
        <v>46103.0</v>
      </c>
      <c r="B758" s="23">
        <v>0.5</v>
      </c>
      <c r="C758" s="10" t="s">
        <v>32</v>
      </c>
      <c r="D758" s="10" t="s">
        <v>33</v>
      </c>
      <c r="E758" s="12" t="s">
        <v>71</v>
      </c>
      <c r="F758" s="12" t="s">
        <v>2234</v>
      </c>
      <c r="G758" s="12" t="s">
        <v>2489</v>
      </c>
      <c r="H758" s="96" t="s">
        <v>2490</v>
      </c>
      <c r="I758" s="112" t="s">
        <v>2491</v>
      </c>
      <c r="J758" s="14">
        <v>2409.0</v>
      </c>
      <c r="K758" s="14">
        <v>1076.0</v>
      </c>
      <c r="L758" s="15">
        <v>0.4467</v>
      </c>
      <c r="M758" s="16">
        <v>501.0</v>
      </c>
      <c r="N758" s="17">
        <v>0.466</v>
      </c>
      <c r="O758" s="18">
        <v>75.0</v>
      </c>
      <c r="P758" s="18">
        <v>72.0</v>
      </c>
      <c r="Q758" s="19">
        <v>0.067</v>
      </c>
      <c r="R758" s="19">
        <v>0.1437</v>
      </c>
      <c r="S758" s="20">
        <v>1.0</v>
      </c>
      <c r="T758" s="20">
        <v>22.0</v>
      </c>
      <c r="U758" s="20">
        <v>1379.0</v>
      </c>
      <c r="V758" s="21" t="s">
        <v>335</v>
      </c>
      <c r="W758" s="18" t="s">
        <v>76</v>
      </c>
      <c r="X758" s="101" t="s">
        <v>2492</v>
      </c>
      <c r="Y758" s="92" t="s">
        <v>2482</v>
      </c>
      <c r="Z758" s="20" t="s">
        <v>2493</v>
      </c>
      <c r="AA758" s="14">
        <v>2.0</v>
      </c>
      <c r="AB758" s="14">
        <v>2.0</v>
      </c>
      <c r="AC758" s="14"/>
      <c r="AD758" s="14">
        <v>3861.0</v>
      </c>
      <c r="AE758" s="14">
        <v>3861.0</v>
      </c>
      <c r="AF758" s="14"/>
      <c r="AG758" s="22"/>
      <c r="AH758" s="22"/>
      <c r="AI758" s="22"/>
      <c r="AJ758" s="22"/>
      <c r="AK758" s="22"/>
      <c r="AL758" s="22"/>
      <c r="AM758" s="22"/>
      <c r="AN758" s="22"/>
      <c r="AO758" s="22"/>
      <c r="AP758" s="22"/>
    </row>
    <row r="759" hidden="1">
      <c r="A759" s="8">
        <v>46103.0</v>
      </c>
      <c r="B759" s="23">
        <v>0.5</v>
      </c>
      <c r="C759" s="10" t="s">
        <v>32</v>
      </c>
      <c r="D759" s="10" t="s">
        <v>59</v>
      </c>
      <c r="E759" s="12" t="s">
        <v>71</v>
      </c>
      <c r="F759" s="12" t="s">
        <v>2234</v>
      </c>
      <c r="G759" s="12" t="s">
        <v>2494</v>
      </c>
      <c r="H759" s="96" t="s">
        <v>2495</v>
      </c>
      <c r="I759" s="96" t="s">
        <v>2495</v>
      </c>
      <c r="J759" s="14">
        <v>435910.0</v>
      </c>
      <c r="K759" s="14">
        <v>187558.0</v>
      </c>
      <c r="L759" s="15">
        <v>0.4303</v>
      </c>
      <c r="M759" s="16">
        <v>65477.0</v>
      </c>
      <c r="N759" s="17">
        <v>0.3491</v>
      </c>
      <c r="O759" s="18">
        <v>5991.0</v>
      </c>
      <c r="P759" s="18">
        <v>5774.0</v>
      </c>
      <c r="Q759" s="19">
        <v>0.0308</v>
      </c>
      <c r="R759" s="19">
        <v>0.0882</v>
      </c>
      <c r="S759" s="20">
        <v>28.0</v>
      </c>
      <c r="T759" s="20">
        <v>47.0</v>
      </c>
      <c r="U759" s="20">
        <v>63536.0</v>
      </c>
      <c r="V759" s="21" t="s">
        <v>2175</v>
      </c>
      <c r="W759" s="18" t="s">
        <v>76</v>
      </c>
      <c r="X759" s="73" t="s">
        <v>1650</v>
      </c>
      <c r="Y759" s="92" t="s">
        <v>2482</v>
      </c>
      <c r="Z759" s="20" t="s">
        <v>2496</v>
      </c>
      <c r="AA759" s="14">
        <v>756.0</v>
      </c>
      <c r="AB759" s="14">
        <v>278.0</v>
      </c>
      <c r="AC759" s="14">
        <v>480.0</v>
      </c>
      <c r="AD759" s="14">
        <v>2684889.0</v>
      </c>
      <c r="AE759" s="14">
        <v>665484.0</v>
      </c>
      <c r="AF759" s="14">
        <v>2019405.0</v>
      </c>
      <c r="AG759" s="22"/>
      <c r="AH759" s="22"/>
      <c r="AI759" s="22"/>
      <c r="AJ759" s="22"/>
      <c r="AK759" s="22"/>
      <c r="AL759" s="22"/>
      <c r="AM759" s="22"/>
      <c r="AN759" s="22"/>
      <c r="AO759" s="22"/>
      <c r="AP759" s="22"/>
    </row>
    <row r="760" hidden="1">
      <c r="A760" s="8">
        <v>46103.0</v>
      </c>
      <c r="B760" s="23">
        <v>0.5416666666666666</v>
      </c>
      <c r="C760" s="10" t="s">
        <v>58</v>
      </c>
      <c r="D760" s="10" t="s">
        <v>59</v>
      </c>
      <c r="E760" s="12" t="s">
        <v>71</v>
      </c>
      <c r="F760" s="12" t="s">
        <v>2234</v>
      </c>
      <c r="G760" s="12" t="s">
        <v>2497</v>
      </c>
      <c r="H760" s="96" t="s">
        <v>2480</v>
      </c>
      <c r="I760" s="57" t="s">
        <v>61</v>
      </c>
      <c r="J760" s="14">
        <v>288.0</v>
      </c>
      <c r="K760" s="14">
        <v>189.0</v>
      </c>
      <c r="L760" s="15">
        <v>0.6563</v>
      </c>
      <c r="M760" s="16"/>
      <c r="N760" s="17"/>
      <c r="O760" s="18">
        <v>1.0</v>
      </c>
      <c r="P760" s="18"/>
      <c r="Q760" s="19">
        <v>0.0053</v>
      </c>
      <c r="R760" s="19"/>
      <c r="S760" s="20">
        <v>1.0</v>
      </c>
      <c r="T760" s="20">
        <v>5.0</v>
      </c>
      <c r="U760" s="20">
        <v>2050.0</v>
      </c>
      <c r="V760" s="21" t="s">
        <v>335</v>
      </c>
      <c r="W760" s="18" t="s">
        <v>62</v>
      </c>
      <c r="X760" s="101" t="s">
        <v>2238</v>
      </c>
      <c r="Y760" s="113">
        <v>46103.0</v>
      </c>
      <c r="Z760" s="20" t="s">
        <v>2498</v>
      </c>
      <c r="AA760" s="14">
        <v>1.0</v>
      </c>
      <c r="AB760" s="14">
        <v>1.0</v>
      </c>
      <c r="AC760" s="14"/>
      <c r="AD760" s="25">
        <v>2050.0</v>
      </c>
      <c r="AE760" s="25">
        <v>2050.0</v>
      </c>
      <c r="AF760" s="14"/>
      <c r="AG760" s="22"/>
      <c r="AH760" s="22"/>
      <c r="AI760" s="22"/>
      <c r="AJ760" s="22"/>
      <c r="AK760" s="22"/>
      <c r="AL760" s="22"/>
      <c r="AM760" s="22"/>
      <c r="AN760" s="22"/>
      <c r="AO760" s="22"/>
      <c r="AP760" s="22"/>
    </row>
    <row r="761" hidden="1">
      <c r="A761" s="8">
        <v>46103.0</v>
      </c>
      <c r="B761" s="23">
        <v>0.5416666666666666</v>
      </c>
      <c r="C761" s="10" t="s">
        <v>58</v>
      </c>
      <c r="D761" s="10" t="s">
        <v>59</v>
      </c>
      <c r="E761" s="12" t="s">
        <v>71</v>
      </c>
      <c r="F761" s="12" t="s">
        <v>2234</v>
      </c>
      <c r="G761" s="12" t="s">
        <v>2499</v>
      </c>
      <c r="H761" s="96" t="s">
        <v>2485</v>
      </c>
      <c r="I761" s="57" t="s">
        <v>61</v>
      </c>
      <c r="J761" s="14">
        <v>2127.0</v>
      </c>
      <c r="K761" s="14">
        <v>1270.0</v>
      </c>
      <c r="L761" s="15">
        <v>0.5971</v>
      </c>
      <c r="M761" s="16"/>
      <c r="N761" s="17"/>
      <c r="O761" s="18">
        <v>2.0</v>
      </c>
      <c r="P761" s="18"/>
      <c r="Q761" s="19">
        <v>0.0016</v>
      </c>
      <c r="R761" s="19"/>
      <c r="S761" s="20">
        <v>0.0</v>
      </c>
      <c r="T761" s="20">
        <v>0.0</v>
      </c>
      <c r="U761" s="20">
        <v>0.0</v>
      </c>
      <c r="V761" s="21" t="s">
        <v>335</v>
      </c>
      <c r="W761" s="18" t="s">
        <v>62</v>
      </c>
      <c r="X761" s="101" t="s">
        <v>2487</v>
      </c>
      <c r="Y761" s="113">
        <v>46103.0</v>
      </c>
      <c r="Z761" s="20" t="s">
        <v>2500</v>
      </c>
      <c r="AA761" s="14">
        <v>0.0</v>
      </c>
      <c r="AB761" s="14">
        <v>0.0</v>
      </c>
      <c r="AC761" s="14"/>
      <c r="AD761" s="14">
        <v>0.0</v>
      </c>
      <c r="AE761" s="14">
        <v>0.0</v>
      </c>
      <c r="AF761" s="14"/>
      <c r="AG761" s="22"/>
      <c r="AH761" s="22"/>
      <c r="AI761" s="22"/>
      <c r="AJ761" s="22"/>
      <c r="AK761" s="22"/>
      <c r="AL761" s="22"/>
      <c r="AM761" s="22"/>
      <c r="AN761" s="22"/>
      <c r="AO761" s="22"/>
      <c r="AP761" s="22"/>
    </row>
    <row r="762" hidden="1">
      <c r="A762" s="8">
        <v>46103.0</v>
      </c>
      <c r="B762" s="23">
        <v>0.5416666666666666</v>
      </c>
      <c r="C762" s="10" t="s">
        <v>58</v>
      </c>
      <c r="D762" s="10" t="s">
        <v>59</v>
      </c>
      <c r="E762" s="12" t="s">
        <v>71</v>
      </c>
      <c r="F762" s="12" t="s">
        <v>2234</v>
      </c>
      <c r="G762" s="12" t="s">
        <v>2501</v>
      </c>
      <c r="H762" s="96" t="s">
        <v>2490</v>
      </c>
      <c r="I762" s="57" t="s">
        <v>61</v>
      </c>
      <c r="J762" s="14">
        <v>1310.0</v>
      </c>
      <c r="K762" s="14">
        <v>906.0</v>
      </c>
      <c r="L762" s="15">
        <v>0.6916</v>
      </c>
      <c r="M762" s="16"/>
      <c r="N762" s="17"/>
      <c r="O762" s="18">
        <v>2.0</v>
      </c>
      <c r="P762" s="18"/>
      <c r="Q762" s="19">
        <v>0.0022</v>
      </c>
      <c r="R762" s="19"/>
      <c r="S762" s="20">
        <v>0.0</v>
      </c>
      <c r="T762" s="20">
        <v>3.0</v>
      </c>
      <c r="U762" s="20">
        <v>0.0</v>
      </c>
      <c r="V762" s="21" t="s">
        <v>335</v>
      </c>
      <c r="W762" s="18" t="s">
        <v>62</v>
      </c>
      <c r="X762" s="101" t="s">
        <v>2492</v>
      </c>
      <c r="Y762" s="113">
        <v>46103.0</v>
      </c>
      <c r="Z762" s="20" t="s">
        <v>2502</v>
      </c>
      <c r="AA762" s="14">
        <v>1.0</v>
      </c>
      <c r="AB762" s="14">
        <v>1.0</v>
      </c>
      <c r="AC762" s="14"/>
      <c r="AD762" s="14">
        <v>1833.0</v>
      </c>
      <c r="AE762" s="14">
        <v>1833.0</v>
      </c>
      <c r="AF762" s="14"/>
      <c r="AG762" s="22"/>
      <c r="AH762" s="22"/>
      <c r="AI762" s="22"/>
      <c r="AJ762" s="22"/>
      <c r="AK762" s="22"/>
      <c r="AL762" s="22"/>
      <c r="AM762" s="22"/>
      <c r="AN762" s="22"/>
      <c r="AO762" s="22"/>
      <c r="AP762" s="22"/>
    </row>
    <row r="763" hidden="1">
      <c r="A763" s="8">
        <v>46103.0</v>
      </c>
      <c r="B763" s="23">
        <v>0.5416666666666666</v>
      </c>
      <c r="C763" s="10" t="s">
        <v>58</v>
      </c>
      <c r="D763" s="10" t="s">
        <v>59</v>
      </c>
      <c r="E763" s="12" t="s">
        <v>71</v>
      </c>
      <c r="F763" s="12" t="s">
        <v>2234</v>
      </c>
      <c r="G763" s="12" t="s">
        <v>2503</v>
      </c>
      <c r="H763" s="96" t="s">
        <v>2495</v>
      </c>
      <c r="I763" s="57" t="s">
        <v>61</v>
      </c>
      <c r="J763" s="14">
        <v>238838.0</v>
      </c>
      <c r="K763" s="14">
        <v>136943.0</v>
      </c>
      <c r="L763" s="15">
        <v>0.5734</v>
      </c>
      <c r="M763" s="16"/>
      <c r="N763" s="17"/>
      <c r="O763" s="18">
        <v>92.0</v>
      </c>
      <c r="P763" s="18"/>
      <c r="Q763" s="19">
        <v>7.0E-4</v>
      </c>
      <c r="R763" s="19"/>
      <c r="S763" s="20">
        <v>3.0</v>
      </c>
      <c r="T763" s="20">
        <v>14.0</v>
      </c>
      <c r="U763" s="20">
        <v>7835.0</v>
      </c>
      <c r="V763" s="21" t="s">
        <v>2175</v>
      </c>
      <c r="W763" s="18" t="s">
        <v>62</v>
      </c>
      <c r="X763" s="73" t="s">
        <v>1650</v>
      </c>
      <c r="Y763" s="113">
        <v>46103.0</v>
      </c>
      <c r="Z763" s="20" t="s">
        <v>2504</v>
      </c>
      <c r="AA763" s="14">
        <v>236.0</v>
      </c>
      <c r="AB763" s="14">
        <v>16.0</v>
      </c>
      <c r="AC763" s="14">
        <v>220.0</v>
      </c>
      <c r="AD763" s="14">
        <v>940182.0</v>
      </c>
      <c r="AE763" s="14">
        <v>59183.0</v>
      </c>
      <c r="AF763" s="14">
        <v>880999.0</v>
      </c>
      <c r="AG763" s="22"/>
      <c r="AH763" s="22"/>
      <c r="AI763" s="22"/>
      <c r="AJ763" s="22"/>
      <c r="AK763" s="22"/>
      <c r="AL763" s="22"/>
      <c r="AM763" s="22"/>
      <c r="AN763" s="22"/>
      <c r="AO763" s="22"/>
      <c r="AP763" s="22"/>
    </row>
    <row r="764" hidden="1">
      <c r="A764" s="8">
        <v>46105.0</v>
      </c>
      <c r="B764" s="23">
        <v>0.8333333333333334</v>
      </c>
      <c r="C764" s="10" t="s">
        <v>58</v>
      </c>
      <c r="D764" s="10" t="s">
        <v>33</v>
      </c>
      <c r="E764" s="12" t="s">
        <v>71</v>
      </c>
      <c r="F764" s="12" t="s">
        <v>2505</v>
      </c>
      <c r="G764" s="12" t="s">
        <v>2506</v>
      </c>
      <c r="H764" s="102" t="s">
        <v>2507</v>
      </c>
      <c r="I764" s="102" t="s">
        <v>2508</v>
      </c>
      <c r="J764" s="14">
        <v>830.0</v>
      </c>
      <c r="K764" s="14">
        <v>441.0</v>
      </c>
      <c r="L764" s="15">
        <v>0.5313</v>
      </c>
      <c r="M764" s="16"/>
      <c r="N764" s="17"/>
      <c r="O764" s="18">
        <v>1.0</v>
      </c>
      <c r="P764" s="18"/>
      <c r="Q764" s="19">
        <v>0.0023</v>
      </c>
      <c r="R764" s="19"/>
      <c r="S764" s="20">
        <v>8.0</v>
      </c>
      <c r="T764" s="20">
        <v>15.0</v>
      </c>
      <c r="U764" s="20">
        <v>28344.0</v>
      </c>
      <c r="V764" s="21" t="s">
        <v>335</v>
      </c>
      <c r="W764" s="18" t="s">
        <v>62</v>
      </c>
      <c r="X764" s="94" t="s">
        <v>2131</v>
      </c>
      <c r="Y764" s="114">
        <v>46105.0</v>
      </c>
      <c r="Z764" s="20" t="s">
        <v>2509</v>
      </c>
      <c r="AA764" s="14">
        <v>7.0</v>
      </c>
      <c r="AB764" s="14">
        <v>7.0</v>
      </c>
      <c r="AC764" s="14"/>
      <c r="AD764" s="14">
        <v>8045.0</v>
      </c>
      <c r="AE764" s="14">
        <v>8045.0</v>
      </c>
      <c r="AF764" s="14"/>
      <c r="AG764" s="79"/>
      <c r="AH764" s="22"/>
      <c r="AI764" s="22"/>
      <c r="AJ764" s="22"/>
      <c r="AK764" s="22"/>
      <c r="AL764" s="22"/>
      <c r="AM764" s="22"/>
      <c r="AN764" s="22"/>
      <c r="AO764" s="22"/>
      <c r="AP764" s="22"/>
    </row>
    <row r="765" hidden="1">
      <c r="A765" s="8">
        <v>46105.0</v>
      </c>
      <c r="B765" s="23">
        <v>0.8333333333333334</v>
      </c>
      <c r="C765" s="10" t="s">
        <v>58</v>
      </c>
      <c r="D765" s="10" t="s">
        <v>33</v>
      </c>
      <c r="E765" s="12" t="s">
        <v>71</v>
      </c>
      <c r="F765" s="12" t="s">
        <v>2505</v>
      </c>
      <c r="G765" s="12" t="s">
        <v>2510</v>
      </c>
      <c r="H765" s="96" t="s">
        <v>2511</v>
      </c>
      <c r="I765" s="30" t="s">
        <v>2512</v>
      </c>
      <c r="J765" s="14">
        <v>17961.0</v>
      </c>
      <c r="K765" s="14">
        <v>10116.0</v>
      </c>
      <c r="L765" s="15">
        <v>0.5632</v>
      </c>
      <c r="M765" s="16"/>
      <c r="N765" s="17"/>
      <c r="O765" s="18">
        <v>10.0</v>
      </c>
      <c r="P765" s="18"/>
      <c r="Q765" s="19">
        <v>0.001</v>
      </c>
      <c r="R765" s="19"/>
      <c r="S765" s="20">
        <v>0.0</v>
      </c>
      <c r="T765" s="20">
        <v>2.0</v>
      </c>
      <c r="U765" s="20">
        <v>0.0</v>
      </c>
      <c r="V765" s="21" t="s">
        <v>183</v>
      </c>
      <c r="W765" s="18" t="s">
        <v>62</v>
      </c>
      <c r="X765" s="95" t="s">
        <v>2513</v>
      </c>
      <c r="Y765" s="113">
        <v>46105.0</v>
      </c>
      <c r="Z765" s="20" t="s">
        <v>2514</v>
      </c>
      <c r="AA765" s="14">
        <v>3.0</v>
      </c>
      <c r="AB765" s="14">
        <v>1.0</v>
      </c>
      <c r="AC765" s="14">
        <v>2.0</v>
      </c>
      <c r="AD765" s="14">
        <v>13294.0</v>
      </c>
      <c r="AE765" s="14">
        <v>1999.0</v>
      </c>
      <c r="AF765" s="14">
        <v>11295.0</v>
      </c>
      <c r="AG765" s="22"/>
      <c r="AH765" s="22"/>
      <c r="AI765" s="22"/>
      <c r="AJ765" s="22"/>
      <c r="AK765" s="22"/>
      <c r="AL765" s="22"/>
      <c r="AM765" s="22"/>
      <c r="AN765" s="22"/>
      <c r="AO765" s="22"/>
      <c r="AP765" s="22"/>
    </row>
    <row r="766" hidden="1">
      <c r="A766" s="8">
        <v>46105.0</v>
      </c>
      <c r="B766" s="23">
        <v>0.8333333333333334</v>
      </c>
      <c r="C766" s="10" t="s">
        <v>58</v>
      </c>
      <c r="D766" s="10" t="s">
        <v>33</v>
      </c>
      <c r="E766" s="12" t="s">
        <v>71</v>
      </c>
      <c r="F766" s="12" t="s">
        <v>2505</v>
      </c>
      <c r="G766" s="12" t="s">
        <v>2515</v>
      </c>
      <c r="H766" s="96" t="s">
        <v>2516</v>
      </c>
      <c r="I766" s="96" t="s">
        <v>2517</v>
      </c>
      <c r="J766" s="14">
        <v>30371.0</v>
      </c>
      <c r="K766" s="14">
        <v>18687.0</v>
      </c>
      <c r="L766" s="15">
        <v>0.6153</v>
      </c>
      <c r="M766" s="16"/>
      <c r="N766" s="17"/>
      <c r="O766" s="18">
        <v>25.0</v>
      </c>
      <c r="P766" s="18"/>
      <c r="Q766" s="19">
        <v>0.0013</v>
      </c>
      <c r="R766" s="19"/>
      <c r="S766" s="20">
        <v>0.0</v>
      </c>
      <c r="T766" s="20">
        <v>0.0</v>
      </c>
      <c r="U766" s="20">
        <v>0.0</v>
      </c>
      <c r="V766" s="21" t="s">
        <v>183</v>
      </c>
      <c r="W766" s="18" t="s">
        <v>62</v>
      </c>
      <c r="X766" s="95" t="s">
        <v>2518</v>
      </c>
      <c r="Y766" s="113">
        <v>46105.0</v>
      </c>
      <c r="Z766" s="20" t="s">
        <v>2519</v>
      </c>
      <c r="AA766" s="14">
        <v>5.0</v>
      </c>
      <c r="AB766" s="14">
        <v>1.0</v>
      </c>
      <c r="AC766" s="14">
        <v>4.0</v>
      </c>
      <c r="AD766" s="14">
        <v>7792.0</v>
      </c>
      <c r="AE766" s="14">
        <v>299.0</v>
      </c>
      <c r="AF766" s="14">
        <v>7493.0</v>
      </c>
      <c r="AG766" s="22"/>
      <c r="AH766" s="22"/>
      <c r="AI766" s="22"/>
      <c r="AJ766" s="22"/>
      <c r="AK766" s="22"/>
      <c r="AL766" s="22"/>
      <c r="AM766" s="22"/>
      <c r="AN766" s="22"/>
      <c r="AO766" s="22"/>
      <c r="AP766" s="22"/>
    </row>
    <row r="767" hidden="1">
      <c r="A767" s="8">
        <v>46105.0</v>
      </c>
      <c r="B767" s="23">
        <v>0.8333333333333334</v>
      </c>
      <c r="C767" s="10" t="s">
        <v>58</v>
      </c>
      <c r="D767" s="10" t="s">
        <v>33</v>
      </c>
      <c r="E767" s="12" t="s">
        <v>71</v>
      </c>
      <c r="F767" s="12" t="s">
        <v>2505</v>
      </c>
      <c r="G767" s="12" t="s">
        <v>2520</v>
      </c>
      <c r="H767" s="96" t="s">
        <v>2521</v>
      </c>
      <c r="I767" s="96" t="s">
        <v>2522</v>
      </c>
      <c r="J767" s="14">
        <v>2670.0</v>
      </c>
      <c r="K767" s="14">
        <v>1715.0</v>
      </c>
      <c r="L767" s="15">
        <v>0.6423</v>
      </c>
      <c r="M767" s="16"/>
      <c r="N767" s="17"/>
      <c r="O767" s="18">
        <v>1.0</v>
      </c>
      <c r="P767" s="18"/>
      <c r="Q767" s="19">
        <v>6.0E-4</v>
      </c>
      <c r="R767" s="19"/>
      <c r="S767" s="20">
        <v>0.0</v>
      </c>
      <c r="T767" s="20">
        <v>0.0</v>
      </c>
      <c r="U767" s="20">
        <v>0.0</v>
      </c>
      <c r="V767" s="21" t="s">
        <v>183</v>
      </c>
      <c r="W767" s="18" t="s">
        <v>62</v>
      </c>
      <c r="X767" s="95" t="s">
        <v>2523</v>
      </c>
      <c r="Y767" s="113">
        <v>46105.0</v>
      </c>
      <c r="Z767" s="20" t="s">
        <v>2524</v>
      </c>
      <c r="AA767" s="14">
        <v>0.0</v>
      </c>
      <c r="AB767" s="14">
        <v>0.0</v>
      </c>
      <c r="AC767" s="14">
        <v>0.0</v>
      </c>
      <c r="AD767" s="14">
        <v>0.0</v>
      </c>
      <c r="AE767" s="14">
        <v>0.0</v>
      </c>
      <c r="AF767" s="14">
        <v>0.0</v>
      </c>
      <c r="AG767" s="22"/>
      <c r="AH767" s="22"/>
      <c r="AI767" s="22"/>
      <c r="AJ767" s="22"/>
      <c r="AK767" s="22"/>
      <c r="AL767" s="22"/>
      <c r="AM767" s="22"/>
      <c r="AN767" s="22"/>
      <c r="AO767" s="22"/>
      <c r="AP767" s="22"/>
    </row>
    <row r="768" hidden="1">
      <c r="A768" s="8">
        <v>46105.0</v>
      </c>
      <c r="B768" s="23">
        <v>0.8333333333333334</v>
      </c>
      <c r="C768" s="10" t="s">
        <v>58</v>
      </c>
      <c r="D768" s="10" t="s">
        <v>33</v>
      </c>
      <c r="E768" s="12" t="s">
        <v>71</v>
      </c>
      <c r="F768" s="12" t="s">
        <v>2505</v>
      </c>
      <c r="G768" s="12" t="s">
        <v>2525</v>
      </c>
      <c r="H768" s="96" t="s">
        <v>2526</v>
      </c>
      <c r="I768" s="96" t="s">
        <v>2527</v>
      </c>
      <c r="J768" s="14">
        <v>40291.0</v>
      </c>
      <c r="K768" s="14">
        <v>22389.0</v>
      </c>
      <c r="L768" s="15">
        <v>0.5557</v>
      </c>
      <c r="M768" s="16"/>
      <c r="N768" s="17"/>
      <c r="O768" s="18">
        <v>23.0</v>
      </c>
      <c r="P768" s="18"/>
      <c r="Q768" s="19">
        <v>0.001</v>
      </c>
      <c r="R768" s="19"/>
      <c r="S768" s="20">
        <v>1.0</v>
      </c>
      <c r="T768" s="20">
        <v>3.0</v>
      </c>
      <c r="U768" s="20">
        <v>1076.0</v>
      </c>
      <c r="V768" s="21" t="s">
        <v>183</v>
      </c>
      <c r="W768" s="18" t="s">
        <v>62</v>
      </c>
      <c r="X768" s="95" t="s">
        <v>2290</v>
      </c>
      <c r="Y768" s="113">
        <v>46105.0</v>
      </c>
      <c r="Z768" s="20" t="s">
        <v>2528</v>
      </c>
      <c r="AA768" s="14">
        <v>14.0</v>
      </c>
      <c r="AB768" s="14">
        <v>6.0</v>
      </c>
      <c r="AC768" s="14">
        <v>8.0</v>
      </c>
      <c r="AD768" s="14">
        <v>45779.0</v>
      </c>
      <c r="AE768" s="14">
        <v>8462.0</v>
      </c>
      <c r="AF768" s="14">
        <v>37317.0</v>
      </c>
      <c r="AG768" s="22"/>
      <c r="AH768" s="22"/>
      <c r="AI768" s="22"/>
      <c r="AJ768" s="22"/>
      <c r="AK768" s="22"/>
      <c r="AL768" s="22"/>
      <c r="AM768" s="22"/>
      <c r="AN768" s="22"/>
      <c r="AO768" s="22"/>
      <c r="AP768" s="22"/>
    </row>
    <row r="769" hidden="1">
      <c r="A769" s="8">
        <v>46105.0</v>
      </c>
      <c r="B769" s="23">
        <v>0.8333333333333334</v>
      </c>
      <c r="C769" s="10" t="s">
        <v>58</v>
      </c>
      <c r="D769" s="10" t="s">
        <v>33</v>
      </c>
      <c r="E769" s="12" t="s">
        <v>71</v>
      </c>
      <c r="F769" s="12" t="s">
        <v>2505</v>
      </c>
      <c r="G769" s="12" t="s">
        <v>2529</v>
      </c>
      <c r="H769" s="96" t="s">
        <v>2530</v>
      </c>
      <c r="I769" s="96" t="s">
        <v>2531</v>
      </c>
      <c r="J769" s="14">
        <v>23186.0</v>
      </c>
      <c r="K769" s="14">
        <v>12502.0</v>
      </c>
      <c r="L769" s="15">
        <v>0.5392</v>
      </c>
      <c r="M769" s="16"/>
      <c r="N769" s="17"/>
      <c r="O769" s="18">
        <v>21.0</v>
      </c>
      <c r="P769" s="18"/>
      <c r="Q769" s="19">
        <v>0.0017</v>
      </c>
      <c r="R769" s="19"/>
      <c r="S769" s="20">
        <v>3.0</v>
      </c>
      <c r="T769" s="20">
        <v>4.0</v>
      </c>
      <c r="U769" s="20">
        <v>8901.0</v>
      </c>
      <c r="V769" s="21" t="s">
        <v>183</v>
      </c>
      <c r="W769" s="18" t="s">
        <v>62</v>
      </c>
      <c r="X769" s="95" t="s">
        <v>2286</v>
      </c>
      <c r="Y769" s="113">
        <v>46105.0</v>
      </c>
      <c r="Z769" s="20" t="s">
        <v>2532</v>
      </c>
      <c r="AA769" s="14">
        <v>17.0</v>
      </c>
      <c r="AB769" s="14">
        <v>5.0</v>
      </c>
      <c r="AC769" s="14">
        <v>12.0</v>
      </c>
      <c r="AD769" s="14">
        <v>110770.0</v>
      </c>
      <c r="AE769" s="14">
        <v>14999.0</v>
      </c>
      <c r="AF769" s="14">
        <v>95771.0</v>
      </c>
      <c r="AG769" s="22"/>
      <c r="AH769" s="22"/>
      <c r="AI769" s="22"/>
      <c r="AJ769" s="22"/>
      <c r="AK769" s="22"/>
      <c r="AL769" s="22"/>
      <c r="AM769" s="22"/>
      <c r="AN769" s="22"/>
      <c r="AO769" s="22"/>
      <c r="AP769" s="22"/>
    </row>
    <row r="770" hidden="1">
      <c r="A770" s="8">
        <v>46107.0</v>
      </c>
      <c r="B770" s="23">
        <v>0.75</v>
      </c>
      <c r="C770" s="10" t="s">
        <v>32</v>
      </c>
      <c r="D770" s="10" t="s">
        <v>33</v>
      </c>
      <c r="E770" s="12" t="s">
        <v>179</v>
      </c>
      <c r="F770" s="12" t="s">
        <v>2533</v>
      </c>
      <c r="G770" s="12" t="s">
        <v>2534</v>
      </c>
      <c r="H770" s="96" t="s">
        <v>2535</v>
      </c>
      <c r="I770" s="96" t="s">
        <v>2536</v>
      </c>
      <c r="J770" s="14">
        <v>825.0</v>
      </c>
      <c r="K770" s="14">
        <v>424.0</v>
      </c>
      <c r="L770" s="15">
        <v>0.5139</v>
      </c>
      <c r="M770" s="16">
        <v>103.0</v>
      </c>
      <c r="N770" s="17">
        <v>0.2429</v>
      </c>
      <c r="O770" s="18">
        <v>25.0</v>
      </c>
      <c r="P770" s="18">
        <v>25.0</v>
      </c>
      <c r="Q770" s="19">
        <v>0.059</v>
      </c>
      <c r="R770" s="19">
        <v>0.2427</v>
      </c>
      <c r="S770" s="20">
        <v>5.0</v>
      </c>
      <c r="T770" s="20">
        <v>17.0</v>
      </c>
      <c r="U770" s="20">
        <v>24741.0</v>
      </c>
      <c r="V770" s="21" t="s">
        <v>335</v>
      </c>
      <c r="W770" s="18" t="s">
        <v>76</v>
      </c>
      <c r="X770" s="18" t="s">
        <v>2282</v>
      </c>
      <c r="Y770" s="66" t="s">
        <v>2537</v>
      </c>
      <c r="Z770" s="20" t="s">
        <v>2538</v>
      </c>
      <c r="AA770" s="14">
        <v>5.0</v>
      </c>
      <c r="AB770" s="14">
        <v>5.0</v>
      </c>
      <c r="AC770" s="14"/>
      <c r="AD770" s="14">
        <v>42683.0</v>
      </c>
      <c r="AE770" s="14">
        <v>42683.0</v>
      </c>
      <c r="AF770" s="14"/>
      <c r="AG770" s="22"/>
      <c r="AH770" s="22"/>
      <c r="AI770" s="22"/>
      <c r="AJ770" s="22"/>
      <c r="AK770" s="22"/>
      <c r="AL770" s="22"/>
      <c r="AM770" s="22"/>
      <c r="AN770" s="22"/>
      <c r="AO770" s="22"/>
      <c r="AP770" s="22"/>
    </row>
    <row r="771" hidden="1">
      <c r="A771" s="8">
        <v>46107.0</v>
      </c>
      <c r="B771" s="23">
        <v>0.7534722222222222</v>
      </c>
      <c r="C771" s="10" t="s">
        <v>32</v>
      </c>
      <c r="D771" s="10" t="s">
        <v>33</v>
      </c>
      <c r="E771" s="12" t="s">
        <v>179</v>
      </c>
      <c r="F771" s="12" t="s">
        <v>2533</v>
      </c>
      <c r="G771" s="12" t="s">
        <v>2539</v>
      </c>
      <c r="H771" s="96" t="s">
        <v>2540</v>
      </c>
      <c r="I771" s="96" t="s">
        <v>2541</v>
      </c>
      <c r="J771" s="14">
        <v>12285.0</v>
      </c>
      <c r="K771" s="14">
        <v>5406.0</v>
      </c>
      <c r="L771" s="15">
        <v>0.44</v>
      </c>
      <c r="M771" s="16">
        <v>1056.0</v>
      </c>
      <c r="N771" s="17">
        <v>0.1954</v>
      </c>
      <c r="O771" s="18">
        <v>107.0</v>
      </c>
      <c r="P771" s="18">
        <v>103.0</v>
      </c>
      <c r="Q771" s="19">
        <v>0.0191</v>
      </c>
      <c r="R771" s="19">
        <v>0.0975</v>
      </c>
      <c r="S771" s="20">
        <v>1.0</v>
      </c>
      <c r="T771" s="20">
        <v>12.0</v>
      </c>
      <c r="U771" s="20">
        <v>4498.0</v>
      </c>
      <c r="V771" s="21" t="s">
        <v>335</v>
      </c>
      <c r="W771" s="18" t="s">
        <v>76</v>
      </c>
      <c r="X771" s="18" t="s">
        <v>2542</v>
      </c>
      <c r="Y771" s="66" t="s">
        <v>2537</v>
      </c>
      <c r="Z771" s="20" t="s">
        <v>2543</v>
      </c>
      <c r="AA771" s="14">
        <v>15.0</v>
      </c>
      <c r="AB771" s="14">
        <v>15.0</v>
      </c>
      <c r="AC771" s="14"/>
      <c r="AD771" s="14">
        <v>167749.0</v>
      </c>
      <c r="AE771" s="14">
        <v>167749.0</v>
      </c>
      <c r="AF771" s="14"/>
      <c r="AG771" s="22"/>
      <c r="AH771" s="22"/>
      <c r="AI771" s="22"/>
      <c r="AJ771" s="22"/>
      <c r="AK771" s="22"/>
      <c r="AL771" s="22"/>
      <c r="AM771" s="22"/>
      <c r="AN771" s="22"/>
      <c r="AO771" s="22"/>
      <c r="AP771" s="22"/>
    </row>
    <row r="772" hidden="1">
      <c r="A772" s="8">
        <v>46107.0</v>
      </c>
      <c r="B772" s="23">
        <v>0.7569444444444444</v>
      </c>
      <c r="C772" s="10" t="s">
        <v>32</v>
      </c>
      <c r="D772" s="10" t="s">
        <v>33</v>
      </c>
      <c r="E772" s="12" t="s">
        <v>179</v>
      </c>
      <c r="F772" s="12" t="s">
        <v>2533</v>
      </c>
      <c r="G772" s="12" t="s">
        <v>2544</v>
      </c>
      <c r="H772" s="96" t="s">
        <v>2545</v>
      </c>
      <c r="I772" s="96" t="s">
        <v>2546</v>
      </c>
      <c r="J772" s="14">
        <v>3979.0</v>
      </c>
      <c r="K772" s="14">
        <v>1857.0</v>
      </c>
      <c r="L772" s="15">
        <v>0.4667</v>
      </c>
      <c r="M772" s="16">
        <v>348.0</v>
      </c>
      <c r="N772" s="17">
        <v>0.1875</v>
      </c>
      <c r="O772" s="18">
        <v>56.0</v>
      </c>
      <c r="P772" s="18">
        <v>51.0</v>
      </c>
      <c r="Q772" s="19">
        <v>0.0275</v>
      </c>
      <c r="R772" s="19">
        <v>0.1466</v>
      </c>
      <c r="S772" s="20">
        <v>2.0</v>
      </c>
      <c r="T772" s="20">
        <v>5.0</v>
      </c>
      <c r="U772" s="20">
        <v>10008.0</v>
      </c>
      <c r="V772" s="21" t="s">
        <v>335</v>
      </c>
      <c r="W772" s="18" t="s">
        <v>76</v>
      </c>
      <c r="X772" s="18" t="s">
        <v>2547</v>
      </c>
      <c r="Y772" s="66" t="s">
        <v>2537</v>
      </c>
      <c r="Z772" s="20" t="s">
        <v>2548</v>
      </c>
      <c r="AA772" s="14">
        <v>5.0</v>
      </c>
      <c r="AB772" s="14">
        <v>5.0</v>
      </c>
      <c r="AC772" s="14"/>
      <c r="AD772" s="14">
        <v>28312.0</v>
      </c>
      <c r="AE772" s="14">
        <v>28312.0</v>
      </c>
      <c r="AF772" s="14"/>
      <c r="AG772" s="22"/>
      <c r="AH772" s="22"/>
      <c r="AI772" s="22"/>
      <c r="AJ772" s="22"/>
      <c r="AK772" s="22"/>
      <c r="AL772" s="22"/>
      <c r="AM772" s="22"/>
      <c r="AN772" s="22"/>
      <c r="AO772" s="22"/>
      <c r="AP772" s="22"/>
    </row>
    <row r="773" hidden="1">
      <c r="A773" s="8">
        <v>46107.0</v>
      </c>
      <c r="B773" s="23">
        <v>0.7604166666666666</v>
      </c>
      <c r="C773" s="10" t="s">
        <v>32</v>
      </c>
      <c r="D773" s="10" t="s">
        <v>33</v>
      </c>
      <c r="E773" s="12" t="s">
        <v>179</v>
      </c>
      <c r="F773" s="12" t="s">
        <v>2533</v>
      </c>
      <c r="G773" s="12" t="s">
        <v>2549</v>
      </c>
      <c r="H773" s="96" t="s">
        <v>2550</v>
      </c>
      <c r="I773" s="96" t="s">
        <v>2551</v>
      </c>
      <c r="J773" s="14">
        <v>86850.0</v>
      </c>
      <c r="K773" s="14">
        <v>54519.0</v>
      </c>
      <c r="L773" s="15">
        <v>0.6277</v>
      </c>
      <c r="M773" s="16">
        <v>14298.0</v>
      </c>
      <c r="N773" s="17">
        <v>0.2623</v>
      </c>
      <c r="O773" s="18">
        <v>1000.0</v>
      </c>
      <c r="P773" s="18">
        <v>950.0</v>
      </c>
      <c r="Q773" s="19">
        <v>0.0174</v>
      </c>
      <c r="R773" s="19">
        <v>0.0664</v>
      </c>
      <c r="S773" s="20">
        <v>8.0</v>
      </c>
      <c r="T773" s="20">
        <v>52.0</v>
      </c>
      <c r="U773" s="20">
        <v>31343.0</v>
      </c>
      <c r="V773" s="21" t="s">
        <v>335</v>
      </c>
      <c r="W773" s="18" t="s">
        <v>76</v>
      </c>
      <c r="X773" s="18" t="s">
        <v>2552</v>
      </c>
      <c r="Y773" s="66" t="s">
        <v>2537</v>
      </c>
      <c r="Z773" s="20" t="s">
        <v>2553</v>
      </c>
      <c r="AA773" s="14">
        <v>35.0</v>
      </c>
      <c r="AB773" s="14">
        <v>35.0</v>
      </c>
      <c r="AC773" s="115"/>
      <c r="AD773" s="14">
        <v>214864.0</v>
      </c>
      <c r="AE773" s="14">
        <v>214864.0</v>
      </c>
      <c r="AF773" s="14"/>
      <c r="AG773" s="22"/>
      <c r="AH773" s="22"/>
      <c r="AI773" s="22"/>
      <c r="AJ773" s="22"/>
      <c r="AK773" s="22"/>
      <c r="AL773" s="22"/>
      <c r="AM773" s="22"/>
      <c r="AN773" s="22"/>
      <c r="AO773" s="22"/>
      <c r="AP773" s="22"/>
    </row>
    <row r="774" hidden="1">
      <c r="A774" s="8">
        <v>46107.0</v>
      </c>
      <c r="B774" s="23">
        <v>0.7638888888888888</v>
      </c>
      <c r="C774" s="10" t="s">
        <v>32</v>
      </c>
      <c r="D774" s="10" t="s">
        <v>33</v>
      </c>
      <c r="E774" s="12" t="s">
        <v>179</v>
      </c>
      <c r="F774" s="12" t="s">
        <v>2533</v>
      </c>
      <c r="G774" s="12" t="s">
        <v>2554</v>
      </c>
      <c r="H774" s="96" t="s">
        <v>2555</v>
      </c>
      <c r="I774" s="96" t="s">
        <v>2556</v>
      </c>
      <c r="J774" s="14">
        <v>40856.0</v>
      </c>
      <c r="K774" s="14">
        <v>22448.0</v>
      </c>
      <c r="L774" s="15">
        <v>0.5494</v>
      </c>
      <c r="M774" s="16">
        <v>5596.0</v>
      </c>
      <c r="N774" s="17">
        <v>0.2493</v>
      </c>
      <c r="O774" s="18">
        <v>229.0</v>
      </c>
      <c r="P774" s="18">
        <v>225.0</v>
      </c>
      <c r="Q774" s="19">
        <v>0.01</v>
      </c>
      <c r="R774" s="19">
        <v>0.0402</v>
      </c>
      <c r="S774" s="20">
        <v>2.0</v>
      </c>
      <c r="T774" s="20">
        <v>2.0</v>
      </c>
      <c r="U774" s="20">
        <v>3698.0</v>
      </c>
      <c r="V774" s="21" t="s">
        <v>335</v>
      </c>
      <c r="W774" s="18" t="s">
        <v>76</v>
      </c>
      <c r="X774" s="18" t="s">
        <v>2557</v>
      </c>
      <c r="Y774" s="66" t="s">
        <v>2537</v>
      </c>
      <c r="Z774" s="20" t="s">
        <v>2558</v>
      </c>
      <c r="AA774" s="14">
        <v>3.0</v>
      </c>
      <c r="AB774" s="14">
        <v>3.0</v>
      </c>
      <c r="AC774" s="115"/>
      <c r="AD774" s="14">
        <v>19769.0</v>
      </c>
      <c r="AE774" s="14">
        <v>19769.0</v>
      </c>
      <c r="AF774" s="14"/>
      <c r="AG774" s="22"/>
      <c r="AH774" s="22"/>
      <c r="AI774" s="22"/>
      <c r="AJ774" s="22"/>
      <c r="AK774" s="22"/>
      <c r="AL774" s="22"/>
      <c r="AM774" s="22"/>
      <c r="AN774" s="22"/>
      <c r="AO774" s="22"/>
      <c r="AP774" s="22"/>
    </row>
    <row r="775" hidden="1">
      <c r="A775" s="8">
        <v>46107.0</v>
      </c>
      <c r="B775" s="23">
        <v>0.7673611111111112</v>
      </c>
      <c r="C775" s="10" t="s">
        <v>32</v>
      </c>
      <c r="D775" s="10" t="s">
        <v>33</v>
      </c>
      <c r="E775" s="12" t="s">
        <v>179</v>
      </c>
      <c r="F775" s="12" t="s">
        <v>2533</v>
      </c>
      <c r="G775" s="12" t="s">
        <v>2559</v>
      </c>
      <c r="H775" s="96" t="s">
        <v>2560</v>
      </c>
      <c r="I775" s="96" t="s">
        <v>2561</v>
      </c>
      <c r="J775" s="14">
        <v>4482.0</v>
      </c>
      <c r="K775" s="14">
        <v>2018.0</v>
      </c>
      <c r="L775" s="15">
        <v>0.4502</v>
      </c>
      <c r="M775" s="16">
        <v>386.0</v>
      </c>
      <c r="N775" s="17">
        <v>0.1914</v>
      </c>
      <c r="O775" s="18">
        <v>30.0</v>
      </c>
      <c r="P775" s="18">
        <v>30.0</v>
      </c>
      <c r="Q775" s="19">
        <v>0.0149</v>
      </c>
      <c r="R775" s="19">
        <v>0.0777</v>
      </c>
      <c r="S775" s="20">
        <v>0.0</v>
      </c>
      <c r="T775" s="20">
        <v>0.0</v>
      </c>
      <c r="U775" s="20">
        <v>0.0</v>
      </c>
      <c r="V775" s="21" t="s">
        <v>335</v>
      </c>
      <c r="W775" s="18" t="s">
        <v>76</v>
      </c>
      <c r="X775" s="18" t="s">
        <v>2562</v>
      </c>
      <c r="Y775" s="66" t="s">
        <v>2537</v>
      </c>
      <c r="Z775" s="20" t="s">
        <v>2563</v>
      </c>
      <c r="AA775" s="14">
        <v>2.0</v>
      </c>
      <c r="AB775" s="14">
        <v>2.0</v>
      </c>
      <c r="AC775" s="14"/>
      <c r="AD775" s="14">
        <v>12834.0</v>
      </c>
      <c r="AE775" s="14">
        <v>12834.0</v>
      </c>
      <c r="AF775" s="14"/>
      <c r="AG775" s="22"/>
      <c r="AH775" s="22"/>
      <c r="AI775" s="22"/>
      <c r="AJ775" s="22"/>
      <c r="AK775" s="22"/>
      <c r="AL775" s="22"/>
      <c r="AM775" s="22"/>
      <c r="AN775" s="22"/>
      <c r="AO775" s="22"/>
      <c r="AP775" s="22"/>
    </row>
    <row r="776" hidden="1">
      <c r="A776" s="8">
        <v>46107.0</v>
      </c>
      <c r="B776" s="23">
        <v>0.8333333333333334</v>
      </c>
      <c r="C776" s="10" t="s">
        <v>58</v>
      </c>
      <c r="D776" s="10" t="s">
        <v>59</v>
      </c>
      <c r="E776" s="12" t="s">
        <v>179</v>
      </c>
      <c r="F776" s="12" t="s">
        <v>2533</v>
      </c>
      <c r="G776" s="12" t="s">
        <v>2564</v>
      </c>
      <c r="H776" s="96" t="s">
        <v>2535</v>
      </c>
      <c r="I776" s="96" t="s">
        <v>61</v>
      </c>
      <c r="J776" s="14">
        <v>370.0</v>
      </c>
      <c r="K776" s="14">
        <v>254.0</v>
      </c>
      <c r="L776" s="15">
        <v>0.6865</v>
      </c>
      <c r="M776" s="16"/>
      <c r="N776" s="17"/>
      <c r="O776" s="18">
        <v>3.0</v>
      </c>
      <c r="P776" s="18"/>
      <c r="Q776" s="19">
        <v>0.0118</v>
      </c>
      <c r="R776" s="19"/>
      <c r="S776" s="20">
        <v>2.0</v>
      </c>
      <c r="T776" s="20">
        <v>8.0</v>
      </c>
      <c r="U776" s="20">
        <v>15331.0</v>
      </c>
      <c r="V776" s="21" t="s">
        <v>335</v>
      </c>
      <c r="W776" s="18" t="s">
        <v>62</v>
      </c>
      <c r="X776" s="18" t="s">
        <v>2282</v>
      </c>
      <c r="Y776" s="66" t="s">
        <v>2537</v>
      </c>
      <c r="Z776" s="20" t="s">
        <v>2565</v>
      </c>
      <c r="AA776" s="14">
        <v>4.0</v>
      </c>
      <c r="AB776" s="14">
        <v>4.0</v>
      </c>
      <c r="AC776" s="14"/>
      <c r="AD776" s="14">
        <v>101055.0</v>
      </c>
      <c r="AE776" s="14">
        <v>101055.0</v>
      </c>
      <c r="AF776" s="14"/>
      <c r="AG776" s="22"/>
      <c r="AH776" s="22"/>
      <c r="AI776" s="22"/>
      <c r="AJ776" s="22"/>
      <c r="AK776" s="22"/>
      <c r="AL776" s="22"/>
      <c r="AM776" s="22"/>
      <c r="AN776" s="22"/>
      <c r="AO776" s="22"/>
      <c r="AP776" s="22"/>
    </row>
    <row r="777" hidden="1">
      <c r="A777" s="8">
        <v>46107.0</v>
      </c>
      <c r="B777" s="23">
        <v>0.8333333333333334</v>
      </c>
      <c r="C777" s="10" t="s">
        <v>58</v>
      </c>
      <c r="D777" s="10" t="s">
        <v>59</v>
      </c>
      <c r="E777" s="12" t="s">
        <v>179</v>
      </c>
      <c r="F777" s="12" t="s">
        <v>2533</v>
      </c>
      <c r="G777" s="12" t="s">
        <v>2566</v>
      </c>
      <c r="H777" s="96" t="s">
        <v>2540</v>
      </c>
      <c r="I777" s="96" t="s">
        <v>61</v>
      </c>
      <c r="J777" s="14">
        <v>6147.0</v>
      </c>
      <c r="K777" s="14">
        <v>3148.0</v>
      </c>
      <c r="L777" s="15">
        <v>0.5121</v>
      </c>
      <c r="M777" s="16"/>
      <c r="N777" s="17"/>
      <c r="O777" s="18">
        <v>5.0</v>
      </c>
      <c r="P777" s="18"/>
      <c r="Q777" s="19">
        <v>0.0016</v>
      </c>
      <c r="R777" s="19"/>
      <c r="S777" s="20">
        <v>2.0</v>
      </c>
      <c r="T777" s="20">
        <v>6.0</v>
      </c>
      <c r="U777" s="20">
        <v>26848.0</v>
      </c>
      <c r="V777" s="21" t="s">
        <v>335</v>
      </c>
      <c r="W777" s="18" t="s">
        <v>62</v>
      </c>
      <c r="X777" s="18" t="s">
        <v>2542</v>
      </c>
      <c r="Y777" s="66" t="s">
        <v>2537</v>
      </c>
      <c r="Z777" s="20" t="s">
        <v>2567</v>
      </c>
      <c r="AA777" s="14">
        <v>7.0</v>
      </c>
      <c r="AB777" s="14">
        <v>7.0</v>
      </c>
      <c r="AC777" s="14"/>
      <c r="AD777" s="14">
        <v>115308.0</v>
      </c>
      <c r="AE777" s="14">
        <v>115308.0</v>
      </c>
      <c r="AF777" s="14"/>
      <c r="AG777" s="22"/>
      <c r="AH777" s="22"/>
      <c r="AI777" s="22"/>
      <c r="AJ777" s="22"/>
      <c r="AK777" s="22"/>
      <c r="AL777" s="22"/>
      <c r="AM777" s="22"/>
      <c r="AN777" s="22"/>
      <c r="AO777" s="22"/>
      <c r="AP777" s="22"/>
    </row>
    <row r="778" hidden="1">
      <c r="A778" s="8">
        <v>46107.0</v>
      </c>
      <c r="B778" s="23">
        <v>0.8333333333333334</v>
      </c>
      <c r="C778" s="10" t="s">
        <v>58</v>
      </c>
      <c r="D778" s="10" t="s">
        <v>59</v>
      </c>
      <c r="E778" s="12" t="s">
        <v>179</v>
      </c>
      <c r="F778" s="12" t="s">
        <v>2533</v>
      </c>
      <c r="G778" s="12" t="s">
        <v>2568</v>
      </c>
      <c r="H778" s="96" t="s">
        <v>2545</v>
      </c>
      <c r="I778" s="96" t="s">
        <v>61</v>
      </c>
      <c r="J778" s="14">
        <v>1891.0</v>
      </c>
      <c r="K778" s="14">
        <v>1127.0</v>
      </c>
      <c r="L778" s="15">
        <v>0.596</v>
      </c>
      <c r="M778" s="16"/>
      <c r="N778" s="17"/>
      <c r="O778" s="18">
        <v>0.0</v>
      </c>
      <c r="P778" s="18"/>
      <c r="Q778" s="19">
        <v>0.0</v>
      </c>
      <c r="R778" s="19"/>
      <c r="S778" s="20">
        <v>4.0</v>
      </c>
      <c r="T778" s="20">
        <v>3.0</v>
      </c>
      <c r="U778" s="20">
        <v>31433.0</v>
      </c>
      <c r="V778" s="21" t="s">
        <v>335</v>
      </c>
      <c r="W778" s="18" t="s">
        <v>62</v>
      </c>
      <c r="X778" s="18" t="s">
        <v>2547</v>
      </c>
      <c r="Y778" s="66" t="s">
        <v>2537</v>
      </c>
      <c r="Z778" s="20" t="s">
        <v>2569</v>
      </c>
      <c r="AA778" s="14">
        <v>8.0</v>
      </c>
      <c r="AB778" s="14">
        <v>8.0</v>
      </c>
      <c r="AC778" s="14"/>
      <c r="AD778" s="14">
        <v>43989.0</v>
      </c>
      <c r="AE778" s="14">
        <v>43989.0</v>
      </c>
      <c r="AF778" s="14"/>
      <c r="AG778" s="22"/>
      <c r="AH778" s="22"/>
      <c r="AI778" s="22"/>
      <c r="AJ778" s="22"/>
      <c r="AK778" s="22"/>
      <c r="AL778" s="22"/>
      <c r="AM778" s="22"/>
      <c r="AN778" s="22"/>
      <c r="AO778" s="22"/>
      <c r="AP778" s="22"/>
    </row>
    <row r="779" hidden="1">
      <c r="A779" s="8">
        <v>46107.0</v>
      </c>
      <c r="B779" s="23">
        <v>0.8333333333333334</v>
      </c>
      <c r="C779" s="10" t="s">
        <v>58</v>
      </c>
      <c r="D779" s="10" t="s">
        <v>59</v>
      </c>
      <c r="E779" s="12" t="s">
        <v>179</v>
      </c>
      <c r="F779" s="12" t="s">
        <v>2533</v>
      </c>
      <c r="G779" s="12" t="s">
        <v>2570</v>
      </c>
      <c r="H779" s="96" t="s">
        <v>2550</v>
      </c>
      <c r="I779" s="96" t="s">
        <v>61</v>
      </c>
      <c r="J779" s="14">
        <v>29040.0</v>
      </c>
      <c r="K779" s="14">
        <v>18910.0</v>
      </c>
      <c r="L779" s="15">
        <v>0.6512</v>
      </c>
      <c r="M779" s="16"/>
      <c r="N779" s="17"/>
      <c r="O779" s="18">
        <v>26.0</v>
      </c>
      <c r="P779" s="18"/>
      <c r="Q779" s="19">
        <v>0.0014</v>
      </c>
      <c r="R779" s="19"/>
      <c r="S779" s="20">
        <v>7.0</v>
      </c>
      <c r="T779" s="20">
        <v>19.0</v>
      </c>
      <c r="U779" s="20">
        <v>54730.0</v>
      </c>
      <c r="V779" s="21" t="s">
        <v>335</v>
      </c>
      <c r="W779" s="18" t="s">
        <v>62</v>
      </c>
      <c r="X779" s="18" t="s">
        <v>2552</v>
      </c>
      <c r="Y779" s="66" t="s">
        <v>2537</v>
      </c>
      <c r="Z779" s="20" t="s">
        <v>2571</v>
      </c>
      <c r="AA779" s="14">
        <v>12.0</v>
      </c>
      <c r="AB779" s="14">
        <v>12.0</v>
      </c>
      <c r="AC779" s="14"/>
      <c r="AD779" s="14">
        <v>66192.0</v>
      </c>
      <c r="AE779" s="14">
        <v>66192.0</v>
      </c>
      <c r="AF779" s="14"/>
      <c r="AG779" s="22"/>
      <c r="AH779" s="22"/>
      <c r="AI779" s="22"/>
      <c r="AJ779" s="22"/>
      <c r="AK779" s="22"/>
      <c r="AL779" s="22"/>
      <c r="AM779" s="22"/>
      <c r="AN779" s="22"/>
      <c r="AO779" s="22"/>
      <c r="AP779" s="22"/>
    </row>
    <row r="780" hidden="1">
      <c r="A780" s="8">
        <v>46107.0</v>
      </c>
      <c r="B780" s="23">
        <v>0.8333333333333334</v>
      </c>
      <c r="C780" s="10" t="s">
        <v>58</v>
      </c>
      <c r="D780" s="10" t="s">
        <v>59</v>
      </c>
      <c r="E780" s="12" t="s">
        <v>179</v>
      </c>
      <c r="F780" s="12" t="s">
        <v>2533</v>
      </c>
      <c r="G780" s="12" t="s">
        <v>2572</v>
      </c>
      <c r="H780" s="96" t="s">
        <v>2555</v>
      </c>
      <c r="I780" s="96" t="s">
        <v>61</v>
      </c>
      <c r="J780" s="14">
        <v>15504.0</v>
      </c>
      <c r="K780" s="14">
        <v>10583.0</v>
      </c>
      <c r="L780" s="15">
        <v>0.6826</v>
      </c>
      <c r="M780" s="16"/>
      <c r="N780" s="17"/>
      <c r="O780" s="18">
        <v>8.0</v>
      </c>
      <c r="P780" s="18"/>
      <c r="Q780" s="19">
        <v>8.0E-4</v>
      </c>
      <c r="R780" s="19"/>
      <c r="S780" s="20">
        <v>1.0</v>
      </c>
      <c r="T780" s="20">
        <v>2.0</v>
      </c>
      <c r="U780" s="20">
        <v>3373.0</v>
      </c>
      <c r="V780" s="21" t="s">
        <v>335</v>
      </c>
      <c r="W780" s="18" t="s">
        <v>62</v>
      </c>
      <c r="X780" s="18" t="s">
        <v>2557</v>
      </c>
      <c r="Y780" s="66" t="s">
        <v>2537</v>
      </c>
      <c r="Z780" s="20" t="s">
        <v>2573</v>
      </c>
      <c r="AA780" s="14">
        <v>3.0</v>
      </c>
      <c r="AB780" s="14">
        <v>3.0</v>
      </c>
      <c r="AC780" s="14"/>
      <c r="AD780" s="14">
        <v>9813.0</v>
      </c>
      <c r="AE780" s="14">
        <v>9813.0</v>
      </c>
      <c r="AF780" s="14"/>
      <c r="AG780" s="22"/>
      <c r="AH780" s="22"/>
      <c r="AI780" s="22"/>
      <c r="AJ780" s="22"/>
      <c r="AK780" s="22"/>
      <c r="AL780" s="22"/>
      <c r="AM780" s="22"/>
      <c r="AN780" s="22"/>
      <c r="AO780" s="22"/>
      <c r="AP780" s="22"/>
    </row>
    <row r="781" hidden="1">
      <c r="A781" s="8">
        <v>46107.0</v>
      </c>
      <c r="B781" s="23">
        <v>0.8333333333333334</v>
      </c>
      <c r="C781" s="10" t="s">
        <v>58</v>
      </c>
      <c r="D781" s="10" t="s">
        <v>59</v>
      </c>
      <c r="E781" s="12" t="s">
        <v>179</v>
      </c>
      <c r="F781" s="12" t="s">
        <v>2533</v>
      </c>
      <c r="G781" s="12" t="s">
        <v>2574</v>
      </c>
      <c r="H781" s="96" t="s">
        <v>2560</v>
      </c>
      <c r="I781" s="96" t="s">
        <v>61</v>
      </c>
      <c r="J781" s="14">
        <v>2187.0</v>
      </c>
      <c r="K781" s="14">
        <v>1255.0</v>
      </c>
      <c r="L781" s="15">
        <v>0.5738</v>
      </c>
      <c r="M781" s="16"/>
      <c r="N781" s="17"/>
      <c r="O781" s="18">
        <v>2.0</v>
      </c>
      <c r="P781" s="18"/>
      <c r="Q781" s="19">
        <v>0.0016</v>
      </c>
      <c r="R781" s="19"/>
      <c r="S781" s="20">
        <v>0.0</v>
      </c>
      <c r="T781" s="20">
        <v>0.0</v>
      </c>
      <c r="U781" s="20">
        <v>0.0</v>
      </c>
      <c r="V781" s="21" t="s">
        <v>335</v>
      </c>
      <c r="W781" s="18" t="s">
        <v>62</v>
      </c>
      <c r="X781" s="18" t="s">
        <v>2562</v>
      </c>
      <c r="Y781" s="66" t="s">
        <v>2537</v>
      </c>
      <c r="Z781" s="20" t="s">
        <v>2575</v>
      </c>
      <c r="AA781" s="14">
        <v>0.0</v>
      </c>
      <c r="AB781" s="14">
        <v>0.0</v>
      </c>
      <c r="AC781" s="14"/>
      <c r="AD781" s="14">
        <v>0.0</v>
      </c>
      <c r="AE781" s="14">
        <v>0.0</v>
      </c>
      <c r="AF781" s="14"/>
      <c r="AG781" s="22"/>
      <c r="AH781" s="22"/>
      <c r="AI781" s="22"/>
      <c r="AJ781" s="22"/>
      <c r="AK781" s="22"/>
      <c r="AL781" s="22"/>
      <c r="AM781" s="22"/>
      <c r="AN781" s="22"/>
      <c r="AO781" s="22"/>
      <c r="AP781" s="22"/>
    </row>
    <row r="782" hidden="1">
      <c r="A782" s="8">
        <v>46107.0</v>
      </c>
      <c r="B782" s="23">
        <v>0.7916666666666666</v>
      </c>
      <c r="C782" s="10" t="s">
        <v>32</v>
      </c>
      <c r="D782" s="10" t="s">
        <v>33</v>
      </c>
      <c r="E782" s="12" t="s">
        <v>71</v>
      </c>
      <c r="F782" s="12" t="s">
        <v>2576</v>
      </c>
      <c r="G782" s="12" t="s">
        <v>2577</v>
      </c>
      <c r="H782" s="102" t="s">
        <v>2578</v>
      </c>
      <c r="I782" s="12" t="s">
        <v>2579</v>
      </c>
      <c r="J782" s="14">
        <v>2278.0</v>
      </c>
      <c r="K782" s="14">
        <v>408.0</v>
      </c>
      <c r="L782" s="15">
        <v>0.1791</v>
      </c>
      <c r="M782" s="16">
        <v>215.0</v>
      </c>
      <c r="N782" s="17">
        <v>0.527</v>
      </c>
      <c r="O782" s="18">
        <v>40.0</v>
      </c>
      <c r="P782" s="18">
        <v>36.0</v>
      </c>
      <c r="Q782" s="19">
        <v>0.0882</v>
      </c>
      <c r="R782" s="19">
        <v>0.1674</v>
      </c>
      <c r="S782" s="20">
        <v>2.0</v>
      </c>
      <c r="T782" s="20">
        <v>6.0</v>
      </c>
      <c r="U782" s="20">
        <v>4045.0</v>
      </c>
      <c r="V782" s="21" t="s">
        <v>335</v>
      </c>
      <c r="W782" s="18" t="s">
        <v>76</v>
      </c>
      <c r="X782" s="94" t="s">
        <v>2580</v>
      </c>
      <c r="Y782" s="66" t="s">
        <v>2581</v>
      </c>
      <c r="Z782" s="20" t="s">
        <v>2582</v>
      </c>
      <c r="AA782" s="14">
        <v>9.0</v>
      </c>
      <c r="AB782" s="14">
        <v>9.0</v>
      </c>
      <c r="AC782" s="14"/>
      <c r="AD782" s="14">
        <v>20080.0</v>
      </c>
      <c r="AE782" s="14">
        <v>20080.0</v>
      </c>
      <c r="AF782" s="14"/>
      <c r="AG782" s="22"/>
      <c r="AH782" s="22"/>
      <c r="AI782" s="22"/>
      <c r="AJ782" s="22"/>
      <c r="AK782" s="22"/>
      <c r="AL782" s="22"/>
      <c r="AM782" s="22"/>
      <c r="AN782" s="22"/>
      <c r="AO782" s="22"/>
      <c r="AP782" s="22"/>
    </row>
    <row r="783" hidden="1">
      <c r="A783" s="8">
        <v>46107.0</v>
      </c>
      <c r="B783" s="23">
        <v>0.7916666666666666</v>
      </c>
      <c r="C783" s="10" t="s">
        <v>32</v>
      </c>
      <c r="D783" s="10" t="s">
        <v>33</v>
      </c>
      <c r="E783" s="12" t="s">
        <v>71</v>
      </c>
      <c r="F783" s="12" t="s">
        <v>2576</v>
      </c>
      <c r="G783" s="12" t="s">
        <v>2583</v>
      </c>
      <c r="H783" s="102" t="s">
        <v>2584</v>
      </c>
      <c r="I783" s="102" t="s">
        <v>2585</v>
      </c>
      <c r="J783" s="14">
        <v>4507.0</v>
      </c>
      <c r="K783" s="14">
        <v>1242.0</v>
      </c>
      <c r="L783" s="15">
        <v>0.2756</v>
      </c>
      <c r="M783" s="16">
        <v>580.0</v>
      </c>
      <c r="N783" s="17">
        <v>0.467</v>
      </c>
      <c r="O783" s="18">
        <v>104.0</v>
      </c>
      <c r="P783" s="18">
        <v>94.0</v>
      </c>
      <c r="Q783" s="19">
        <v>0.0757</v>
      </c>
      <c r="R783" s="19">
        <v>0.1621</v>
      </c>
      <c r="S783" s="20">
        <v>6.0</v>
      </c>
      <c r="T783" s="20">
        <v>40.0</v>
      </c>
      <c r="U783" s="20">
        <v>11836.0</v>
      </c>
      <c r="V783" s="21" t="s">
        <v>335</v>
      </c>
      <c r="W783" s="18" t="s">
        <v>76</v>
      </c>
      <c r="X783" s="94" t="s">
        <v>2238</v>
      </c>
      <c r="Y783" s="66" t="s">
        <v>2581</v>
      </c>
      <c r="Z783" s="20" t="s">
        <v>2586</v>
      </c>
      <c r="AA783" s="14">
        <v>9.0</v>
      </c>
      <c r="AB783" s="14">
        <v>9.0</v>
      </c>
      <c r="AC783" s="14"/>
      <c r="AD783" s="14">
        <v>14586.0</v>
      </c>
      <c r="AE783" s="14">
        <v>14586.0</v>
      </c>
      <c r="AF783" s="14"/>
      <c r="AG783" s="22"/>
      <c r="AH783" s="22"/>
      <c r="AI783" s="22"/>
      <c r="AJ783" s="22"/>
      <c r="AK783" s="22"/>
      <c r="AL783" s="22"/>
      <c r="AM783" s="22"/>
      <c r="AN783" s="22"/>
      <c r="AO783" s="22"/>
      <c r="AP783" s="22"/>
    </row>
    <row r="784" hidden="1">
      <c r="A784" s="8">
        <v>46107.0</v>
      </c>
      <c r="B784" s="23">
        <v>0.7916666666666666</v>
      </c>
      <c r="C784" s="10" t="s">
        <v>32</v>
      </c>
      <c r="D784" s="10" t="s">
        <v>33</v>
      </c>
      <c r="E784" s="12" t="s">
        <v>71</v>
      </c>
      <c r="F784" s="12" t="s">
        <v>2576</v>
      </c>
      <c r="G784" s="12" t="s">
        <v>2587</v>
      </c>
      <c r="H784" s="102" t="s">
        <v>2588</v>
      </c>
      <c r="I784" s="102" t="s">
        <v>2589</v>
      </c>
      <c r="J784" s="14">
        <v>643.0</v>
      </c>
      <c r="K784" s="14">
        <v>225.0</v>
      </c>
      <c r="L784" s="15">
        <v>0.3499</v>
      </c>
      <c r="M784" s="16">
        <v>106.0</v>
      </c>
      <c r="N784" s="17">
        <v>0.4711</v>
      </c>
      <c r="O784" s="18">
        <v>23.0</v>
      </c>
      <c r="P784" s="18">
        <v>23.0</v>
      </c>
      <c r="Q784" s="19">
        <v>0.1022</v>
      </c>
      <c r="R784" s="19">
        <v>0.217</v>
      </c>
      <c r="S784" s="20">
        <v>3.0</v>
      </c>
      <c r="T784" s="20">
        <v>6.0</v>
      </c>
      <c r="U784" s="20">
        <v>4293.0</v>
      </c>
      <c r="V784" s="21" t="s">
        <v>335</v>
      </c>
      <c r="W784" s="18" t="s">
        <v>76</v>
      </c>
      <c r="X784" s="94" t="s">
        <v>2282</v>
      </c>
      <c r="Y784" s="66" t="s">
        <v>2581</v>
      </c>
      <c r="Z784" s="20" t="s">
        <v>2590</v>
      </c>
      <c r="AA784" s="14">
        <v>2.0</v>
      </c>
      <c r="AB784" s="14">
        <v>2.0</v>
      </c>
      <c r="AC784" s="14"/>
      <c r="AD784" s="14">
        <v>5994.0</v>
      </c>
      <c r="AE784" s="14">
        <v>5994.0</v>
      </c>
      <c r="AF784" s="14"/>
      <c r="AG784" s="22"/>
      <c r="AH784" s="22"/>
      <c r="AI784" s="22"/>
      <c r="AJ784" s="22"/>
      <c r="AK784" s="22"/>
      <c r="AL784" s="22"/>
      <c r="AM784" s="22"/>
      <c r="AN784" s="22"/>
      <c r="AO784" s="22"/>
      <c r="AP784" s="22"/>
    </row>
    <row r="785" hidden="1">
      <c r="A785" s="8">
        <v>46107.0</v>
      </c>
      <c r="B785" s="23">
        <v>0.7916666666666666</v>
      </c>
      <c r="C785" s="10" t="s">
        <v>32</v>
      </c>
      <c r="D785" s="10" t="s">
        <v>33</v>
      </c>
      <c r="E785" s="12" t="s">
        <v>71</v>
      </c>
      <c r="F785" s="12" t="s">
        <v>2576</v>
      </c>
      <c r="G785" s="12" t="s">
        <v>2591</v>
      </c>
      <c r="H785" s="102" t="s">
        <v>2592</v>
      </c>
      <c r="I785" s="12" t="s">
        <v>2593</v>
      </c>
      <c r="J785" s="14">
        <v>6195.0</v>
      </c>
      <c r="K785" s="14">
        <v>1449.0</v>
      </c>
      <c r="L785" s="15">
        <v>0.2339</v>
      </c>
      <c r="M785" s="16">
        <v>557.0</v>
      </c>
      <c r="N785" s="17">
        <v>0.3844</v>
      </c>
      <c r="O785" s="18">
        <v>66.0</v>
      </c>
      <c r="P785" s="18">
        <v>58.0</v>
      </c>
      <c r="Q785" s="19">
        <v>0.04</v>
      </c>
      <c r="R785" s="19">
        <v>0.1041</v>
      </c>
      <c r="S785" s="20">
        <v>1.0</v>
      </c>
      <c r="T785" s="20">
        <v>2.0</v>
      </c>
      <c r="U785" s="20">
        <v>1048.0</v>
      </c>
      <c r="V785" s="21" t="s">
        <v>335</v>
      </c>
      <c r="W785" s="18" t="s">
        <v>76</v>
      </c>
      <c r="X785" s="94" t="s">
        <v>2594</v>
      </c>
      <c r="Y785" s="66" t="s">
        <v>2581</v>
      </c>
      <c r="Z785" s="20" t="s">
        <v>2595</v>
      </c>
      <c r="AA785" s="14">
        <v>11.0</v>
      </c>
      <c r="AB785" s="14">
        <v>11.0</v>
      </c>
      <c r="AC785" s="14"/>
      <c r="AD785" s="14">
        <v>12486.0</v>
      </c>
      <c r="AE785" s="14">
        <v>12486.0</v>
      </c>
      <c r="AF785" s="14"/>
      <c r="AG785" s="22"/>
      <c r="AH785" s="22"/>
      <c r="AI785" s="22"/>
      <c r="AJ785" s="22"/>
      <c r="AK785" s="22"/>
      <c r="AL785" s="22"/>
      <c r="AM785" s="22"/>
      <c r="AN785" s="22"/>
      <c r="AO785" s="22"/>
      <c r="AP785" s="22"/>
    </row>
    <row r="786" hidden="1">
      <c r="A786" s="8">
        <v>46107.0</v>
      </c>
      <c r="B786" s="23">
        <v>0.7916666666666666</v>
      </c>
      <c r="C786" s="10" t="s">
        <v>32</v>
      </c>
      <c r="D786" s="10" t="s">
        <v>33</v>
      </c>
      <c r="E786" s="12" t="s">
        <v>71</v>
      </c>
      <c r="F786" s="12" t="s">
        <v>2576</v>
      </c>
      <c r="G786" s="12" t="s">
        <v>2596</v>
      </c>
      <c r="H786" s="102" t="s">
        <v>2597</v>
      </c>
      <c r="I786" s="12" t="s">
        <v>2598</v>
      </c>
      <c r="J786" s="14">
        <v>1697.0</v>
      </c>
      <c r="K786" s="14">
        <v>328.0</v>
      </c>
      <c r="L786" s="15">
        <v>0.1933</v>
      </c>
      <c r="M786" s="16">
        <v>138.0</v>
      </c>
      <c r="N786" s="17">
        <v>0.4207</v>
      </c>
      <c r="O786" s="18">
        <v>21.0</v>
      </c>
      <c r="P786" s="18">
        <v>18.0</v>
      </c>
      <c r="Q786" s="19">
        <v>0.0549</v>
      </c>
      <c r="R786" s="19">
        <v>0.1304</v>
      </c>
      <c r="S786" s="20">
        <v>0.0</v>
      </c>
      <c r="T786" s="20">
        <v>1.0</v>
      </c>
      <c r="U786" s="20">
        <v>0.0</v>
      </c>
      <c r="V786" s="21" t="s">
        <v>335</v>
      </c>
      <c r="W786" s="18" t="s">
        <v>76</v>
      </c>
      <c r="X786" s="94" t="s">
        <v>52</v>
      </c>
      <c r="Y786" s="66" t="s">
        <v>2581</v>
      </c>
      <c r="Z786" s="20" t="s">
        <v>2599</v>
      </c>
      <c r="AA786" s="14">
        <v>3.0</v>
      </c>
      <c r="AB786" s="14">
        <v>3.0</v>
      </c>
      <c r="AC786" s="14"/>
      <c r="AD786" s="14">
        <v>12987.0</v>
      </c>
      <c r="AE786" s="14">
        <v>12987.0</v>
      </c>
      <c r="AF786" s="14"/>
      <c r="AG786" s="22"/>
      <c r="AH786" s="22"/>
      <c r="AI786" s="22"/>
      <c r="AJ786" s="22"/>
      <c r="AK786" s="22"/>
      <c r="AL786" s="22"/>
      <c r="AM786" s="22"/>
      <c r="AN786" s="22"/>
      <c r="AO786" s="22"/>
      <c r="AP786" s="22"/>
    </row>
    <row r="787" hidden="1">
      <c r="A787" s="8">
        <v>46107.0</v>
      </c>
      <c r="B787" s="23">
        <v>0.7916666666666666</v>
      </c>
      <c r="C787" s="10" t="s">
        <v>32</v>
      </c>
      <c r="D787" s="10" t="s">
        <v>33</v>
      </c>
      <c r="E787" s="12" t="s">
        <v>71</v>
      </c>
      <c r="F787" s="12" t="s">
        <v>2576</v>
      </c>
      <c r="G787" s="12" t="s">
        <v>2600</v>
      </c>
      <c r="H787" s="102" t="s">
        <v>2601</v>
      </c>
      <c r="I787" s="102" t="s">
        <v>2602</v>
      </c>
      <c r="J787" s="14">
        <v>19088.0</v>
      </c>
      <c r="K787" s="14">
        <v>3687.0</v>
      </c>
      <c r="L787" s="15">
        <v>0.1932</v>
      </c>
      <c r="M787" s="16">
        <v>1543.0</v>
      </c>
      <c r="N787" s="17">
        <v>0.4185</v>
      </c>
      <c r="O787" s="18">
        <v>199.0</v>
      </c>
      <c r="P787" s="18">
        <v>179.0</v>
      </c>
      <c r="Q787" s="19">
        <v>0.0485</v>
      </c>
      <c r="R787" s="19">
        <v>0.116</v>
      </c>
      <c r="S787" s="20">
        <v>4.0</v>
      </c>
      <c r="T787" s="20">
        <v>9.0</v>
      </c>
      <c r="U787" s="20">
        <v>9255.0</v>
      </c>
      <c r="V787" s="21" t="s">
        <v>335</v>
      </c>
      <c r="W787" s="18" t="s">
        <v>76</v>
      </c>
      <c r="X787" s="100" t="s">
        <v>2603</v>
      </c>
      <c r="Y787" s="66" t="s">
        <v>2581</v>
      </c>
      <c r="Z787" s="20" t="s">
        <v>2604</v>
      </c>
      <c r="AA787" s="14">
        <v>32.0</v>
      </c>
      <c r="AB787" s="14">
        <v>32.0</v>
      </c>
      <c r="AC787" s="14"/>
      <c r="AD787" s="14">
        <v>89360.0</v>
      </c>
      <c r="AE787" s="14">
        <v>89360.0</v>
      </c>
      <c r="AF787" s="14"/>
      <c r="AG787" s="22"/>
      <c r="AH787" s="22"/>
      <c r="AI787" s="22"/>
      <c r="AJ787" s="22"/>
      <c r="AK787" s="22"/>
      <c r="AL787" s="22"/>
      <c r="AM787" s="22"/>
      <c r="AN787" s="22"/>
      <c r="AO787" s="22"/>
      <c r="AP787" s="22"/>
    </row>
    <row r="788" hidden="1">
      <c r="A788" s="8">
        <v>46107.0</v>
      </c>
      <c r="B788" s="23">
        <v>0.7916666666666666</v>
      </c>
      <c r="C788" s="10" t="s">
        <v>32</v>
      </c>
      <c r="D788" s="10" t="s">
        <v>33</v>
      </c>
      <c r="E788" s="12" t="s">
        <v>71</v>
      </c>
      <c r="F788" s="12" t="s">
        <v>2576</v>
      </c>
      <c r="G788" s="12" t="s">
        <v>2605</v>
      </c>
      <c r="H788" s="102" t="s">
        <v>2606</v>
      </c>
      <c r="I788" s="102" t="s">
        <v>2607</v>
      </c>
      <c r="J788" s="14">
        <v>39023.0</v>
      </c>
      <c r="K788" s="14">
        <v>9180.0</v>
      </c>
      <c r="L788" s="15">
        <v>0.2352</v>
      </c>
      <c r="M788" s="16">
        <v>3352.0</v>
      </c>
      <c r="N788" s="17">
        <v>0.3652</v>
      </c>
      <c r="O788" s="18">
        <v>519.0</v>
      </c>
      <c r="P788" s="18">
        <v>476.0</v>
      </c>
      <c r="Q788" s="19">
        <v>0.0519</v>
      </c>
      <c r="R788" s="19">
        <v>0.142</v>
      </c>
      <c r="S788" s="20">
        <v>3.0</v>
      </c>
      <c r="T788" s="20">
        <v>14.0</v>
      </c>
      <c r="U788" s="20">
        <v>11891.0</v>
      </c>
      <c r="V788" s="21" t="s">
        <v>335</v>
      </c>
      <c r="W788" s="18" t="s">
        <v>76</v>
      </c>
      <c r="X788" s="100" t="s">
        <v>2552</v>
      </c>
      <c r="Y788" s="66" t="s">
        <v>2581</v>
      </c>
      <c r="Z788" s="20" t="s">
        <v>2608</v>
      </c>
      <c r="AA788" s="14">
        <v>41.0</v>
      </c>
      <c r="AB788" s="14">
        <v>41.0</v>
      </c>
      <c r="AC788" s="14"/>
      <c r="AD788" s="14">
        <v>101636.0</v>
      </c>
      <c r="AE788" s="14">
        <v>101636.0</v>
      </c>
      <c r="AF788" s="14"/>
      <c r="AG788" s="22"/>
      <c r="AH788" s="22"/>
      <c r="AI788" s="22"/>
      <c r="AJ788" s="22"/>
      <c r="AK788" s="22"/>
      <c r="AL788" s="22"/>
      <c r="AM788" s="22"/>
      <c r="AN788" s="22"/>
      <c r="AO788" s="22"/>
      <c r="AP788" s="22"/>
    </row>
    <row r="789" hidden="1">
      <c r="A789" s="8">
        <v>46107.0</v>
      </c>
      <c r="B789" s="23">
        <v>0.7916666666666666</v>
      </c>
      <c r="C789" s="10" t="s">
        <v>32</v>
      </c>
      <c r="D789" s="10" t="s">
        <v>33</v>
      </c>
      <c r="E789" s="12" t="s">
        <v>71</v>
      </c>
      <c r="F789" s="12" t="s">
        <v>2576</v>
      </c>
      <c r="G789" s="12" t="s">
        <v>2609</v>
      </c>
      <c r="H789" s="102" t="s">
        <v>2610</v>
      </c>
      <c r="I789" s="102" t="s">
        <v>2611</v>
      </c>
      <c r="J789" s="14">
        <v>1329.0</v>
      </c>
      <c r="K789" s="14">
        <v>808.0</v>
      </c>
      <c r="L789" s="15">
        <v>0.608</v>
      </c>
      <c r="M789" s="16">
        <v>340.0</v>
      </c>
      <c r="N789" s="17">
        <v>0.4208</v>
      </c>
      <c r="O789" s="18">
        <v>79.0</v>
      </c>
      <c r="P789" s="18">
        <v>72.0</v>
      </c>
      <c r="Q789" s="19">
        <v>0.0891</v>
      </c>
      <c r="R789" s="19">
        <v>0.2118</v>
      </c>
      <c r="S789" s="20">
        <v>1.0</v>
      </c>
      <c r="T789" s="20">
        <v>15.0</v>
      </c>
      <c r="U789" s="20">
        <v>1998.0</v>
      </c>
      <c r="V789" s="21" t="s">
        <v>335</v>
      </c>
      <c r="W789" s="18" t="s">
        <v>76</v>
      </c>
      <c r="X789" s="94" t="s">
        <v>2612</v>
      </c>
      <c r="Y789" s="66" t="s">
        <v>2581</v>
      </c>
      <c r="Z789" s="20" t="s">
        <v>2613</v>
      </c>
      <c r="AA789" s="14">
        <v>4.0</v>
      </c>
      <c r="AB789" s="14">
        <v>4.0</v>
      </c>
      <c r="AC789" s="14"/>
      <c r="AD789" s="14">
        <v>6943.0</v>
      </c>
      <c r="AE789" s="14">
        <v>6943.0</v>
      </c>
      <c r="AF789" s="14"/>
      <c r="AG789" s="22"/>
      <c r="AH789" s="22"/>
      <c r="AI789" s="22"/>
      <c r="AJ789" s="22"/>
      <c r="AK789" s="22"/>
      <c r="AL789" s="22"/>
      <c r="AM789" s="22"/>
      <c r="AN789" s="22"/>
      <c r="AO789" s="22"/>
      <c r="AP789" s="22"/>
    </row>
    <row r="790" hidden="1">
      <c r="A790" s="8">
        <v>46107.0</v>
      </c>
      <c r="B790" s="23">
        <v>0.8333333333333334</v>
      </c>
      <c r="C790" s="10" t="s">
        <v>58</v>
      </c>
      <c r="D790" s="10" t="s">
        <v>59</v>
      </c>
      <c r="E790" s="12" t="s">
        <v>71</v>
      </c>
      <c r="F790" s="12" t="s">
        <v>2576</v>
      </c>
      <c r="G790" s="12" t="s">
        <v>2614</v>
      </c>
      <c r="H790" s="112" t="s">
        <v>2578</v>
      </c>
      <c r="I790" s="96" t="s">
        <v>61</v>
      </c>
      <c r="J790" s="14">
        <v>1811.0</v>
      </c>
      <c r="K790" s="14">
        <v>901.0</v>
      </c>
      <c r="L790" s="15">
        <v>0.4975</v>
      </c>
      <c r="M790" s="16"/>
      <c r="N790" s="17"/>
      <c r="O790" s="18">
        <v>6.0</v>
      </c>
      <c r="P790" s="18"/>
      <c r="Q790" s="19">
        <v>0.0067</v>
      </c>
      <c r="R790" s="19"/>
      <c r="S790" s="20">
        <v>2.0</v>
      </c>
      <c r="T790" s="20">
        <v>7.0</v>
      </c>
      <c r="U790" s="20">
        <v>23576.0</v>
      </c>
      <c r="V790" s="21" t="s">
        <v>335</v>
      </c>
      <c r="W790" s="18" t="s">
        <v>62</v>
      </c>
      <c r="X790" s="95" t="s">
        <v>2580</v>
      </c>
      <c r="Y790" s="114">
        <v>46107.0</v>
      </c>
      <c r="Z790" s="20" t="s">
        <v>2615</v>
      </c>
      <c r="AA790" s="14">
        <v>4.0</v>
      </c>
      <c r="AB790" s="14">
        <v>4.0</v>
      </c>
      <c r="AC790" s="14"/>
      <c r="AD790" s="14">
        <v>23576.0</v>
      </c>
      <c r="AE790" s="14">
        <v>23576.0</v>
      </c>
      <c r="AF790" s="14"/>
      <c r="AG790" s="22"/>
      <c r="AH790" s="22"/>
      <c r="AI790" s="22"/>
      <c r="AJ790" s="22"/>
      <c r="AK790" s="22"/>
      <c r="AL790" s="22"/>
      <c r="AM790" s="22"/>
      <c r="AN790" s="22"/>
      <c r="AO790" s="22"/>
      <c r="AP790" s="22"/>
    </row>
    <row r="791" hidden="1">
      <c r="A791" s="8">
        <v>46107.0</v>
      </c>
      <c r="B791" s="23">
        <v>0.8333333333333334</v>
      </c>
      <c r="C791" s="10" t="s">
        <v>58</v>
      </c>
      <c r="D791" s="10" t="s">
        <v>59</v>
      </c>
      <c r="E791" s="12" t="s">
        <v>71</v>
      </c>
      <c r="F791" s="12" t="s">
        <v>2576</v>
      </c>
      <c r="G791" s="12" t="s">
        <v>2616</v>
      </c>
      <c r="H791" s="112" t="s">
        <v>2584</v>
      </c>
      <c r="I791" s="96" t="s">
        <v>61</v>
      </c>
      <c r="J791" s="14">
        <v>3208.0</v>
      </c>
      <c r="K791" s="14">
        <v>2168.0</v>
      </c>
      <c r="L791" s="15">
        <v>0.6758</v>
      </c>
      <c r="M791" s="16"/>
      <c r="N791" s="17"/>
      <c r="O791" s="18">
        <v>11.0</v>
      </c>
      <c r="P791" s="18"/>
      <c r="Q791" s="19">
        <v>0.0051</v>
      </c>
      <c r="R791" s="19"/>
      <c r="S791" s="20">
        <v>8.0</v>
      </c>
      <c r="T791" s="20">
        <v>33.0</v>
      </c>
      <c r="U791" s="20">
        <v>18017.0</v>
      </c>
      <c r="V791" s="21" t="s">
        <v>335</v>
      </c>
      <c r="W791" s="18" t="s">
        <v>62</v>
      </c>
      <c r="X791" s="95" t="s">
        <v>2238</v>
      </c>
      <c r="Y791" s="114">
        <v>46107.0</v>
      </c>
      <c r="Z791" s="20" t="s">
        <v>2617</v>
      </c>
      <c r="AA791" s="14">
        <v>6.0</v>
      </c>
      <c r="AB791" s="14">
        <v>6.0</v>
      </c>
      <c r="AC791" s="14"/>
      <c r="AD791" s="14">
        <v>23700.0</v>
      </c>
      <c r="AE791" s="14">
        <v>23700.0</v>
      </c>
      <c r="AF791" s="14"/>
      <c r="AG791" s="22"/>
      <c r="AH791" s="22"/>
      <c r="AI791" s="22"/>
      <c r="AJ791" s="22"/>
      <c r="AK791" s="22"/>
      <c r="AL791" s="22"/>
      <c r="AM791" s="22"/>
      <c r="AN791" s="22"/>
      <c r="AO791" s="22"/>
      <c r="AP791" s="22"/>
    </row>
    <row r="792" hidden="1">
      <c r="A792" s="8">
        <v>46107.0</v>
      </c>
      <c r="B792" s="23">
        <v>0.8333333333333334</v>
      </c>
      <c r="C792" s="10" t="s">
        <v>58</v>
      </c>
      <c r="D792" s="10" t="s">
        <v>59</v>
      </c>
      <c r="E792" s="12" t="s">
        <v>71</v>
      </c>
      <c r="F792" s="12" t="s">
        <v>2576</v>
      </c>
      <c r="G792" s="12" t="s">
        <v>2618</v>
      </c>
      <c r="H792" s="112" t="s">
        <v>2588</v>
      </c>
      <c r="I792" s="96" t="s">
        <v>61</v>
      </c>
      <c r="J792" s="14">
        <v>405.0</v>
      </c>
      <c r="K792" s="14">
        <v>284.0</v>
      </c>
      <c r="L792" s="15">
        <v>0.7012</v>
      </c>
      <c r="M792" s="16"/>
      <c r="N792" s="17"/>
      <c r="O792" s="18">
        <v>1.0</v>
      </c>
      <c r="P792" s="18"/>
      <c r="Q792" s="19">
        <v>0.0035</v>
      </c>
      <c r="R792" s="19"/>
      <c r="S792" s="20">
        <v>0.0</v>
      </c>
      <c r="T792" s="20">
        <v>1.0</v>
      </c>
      <c r="U792" s="20">
        <v>0.0</v>
      </c>
      <c r="V792" s="21" t="s">
        <v>335</v>
      </c>
      <c r="W792" s="18" t="s">
        <v>62</v>
      </c>
      <c r="X792" s="95" t="s">
        <v>2282</v>
      </c>
      <c r="Y792" s="114">
        <v>46107.0</v>
      </c>
      <c r="Z792" s="20" t="s">
        <v>2619</v>
      </c>
      <c r="AA792" s="14">
        <v>0.0</v>
      </c>
      <c r="AB792" s="14">
        <v>0.0</v>
      </c>
      <c r="AC792" s="14"/>
      <c r="AD792" s="14">
        <v>0.0</v>
      </c>
      <c r="AE792" s="14">
        <v>0.0</v>
      </c>
      <c r="AF792" s="14"/>
      <c r="AG792" s="22"/>
      <c r="AH792" s="22"/>
      <c r="AI792" s="22"/>
      <c r="AJ792" s="22"/>
      <c r="AK792" s="22"/>
      <c r="AL792" s="22"/>
      <c r="AM792" s="22"/>
      <c r="AN792" s="22"/>
      <c r="AO792" s="22"/>
      <c r="AP792" s="22"/>
    </row>
    <row r="793" hidden="1">
      <c r="A793" s="8">
        <v>46107.0</v>
      </c>
      <c r="B793" s="23">
        <v>0.8333333333333334</v>
      </c>
      <c r="C793" s="10" t="s">
        <v>58</v>
      </c>
      <c r="D793" s="10" t="s">
        <v>59</v>
      </c>
      <c r="E793" s="12" t="s">
        <v>71</v>
      </c>
      <c r="F793" s="12" t="s">
        <v>2576</v>
      </c>
      <c r="G793" s="12" t="s">
        <v>2620</v>
      </c>
      <c r="H793" s="112" t="s">
        <v>2592</v>
      </c>
      <c r="I793" s="96" t="s">
        <v>61</v>
      </c>
      <c r="J793" s="14">
        <v>4517.0</v>
      </c>
      <c r="K793" s="14">
        <v>2914.0</v>
      </c>
      <c r="L793" s="15">
        <v>0.6451</v>
      </c>
      <c r="M793" s="16"/>
      <c r="N793" s="17"/>
      <c r="O793" s="18">
        <v>8.0</v>
      </c>
      <c r="P793" s="18"/>
      <c r="Q793" s="19">
        <v>0.0027</v>
      </c>
      <c r="R793" s="19"/>
      <c r="S793" s="20">
        <v>1.0</v>
      </c>
      <c r="T793" s="20">
        <v>1.0</v>
      </c>
      <c r="U793" s="20">
        <v>1798.0</v>
      </c>
      <c r="V793" s="21" t="s">
        <v>335</v>
      </c>
      <c r="W793" s="18" t="s">
        <v>62</v>
      </c>
      <c r="X793" s="95" t="s">
        <v>2594</v>
      </c>
      <c r="Y793" s="114">
        <v>46107.0</v>
      </c>
      <c r="Z793" s="20" t="s">
        <v>2621</v>
      </c>
      <c r="AA793" s="14">
        <v>4.0</v>
      </c>
      <c r="AB793" s="14">
        <v>4.0</v>
      </c>
      <c r="AC793" s="14"/>
      <c r="AD793" s="14">
        <v>5994.0</v>
      </c>
      <c r="AE793" s="14">
        <v>5994.0</v>
      </c>
      <c r="AF793" s="14"/>
      <c r="AG793" s="22"/>
      <c r="AH793" s="22"/>
      <c r="AI793" s="22"/>
      <c r="AJ793" s="22"/>
      <c r="AK793" s="22"/>
      <c r="AL793" s="22"/>
      <c r="AM793" s="22"/>
      <c r="AN793" s="22"/>
      <c r="AO793" s="22"/>
      <c r="AP793" s="22"/>
    </row>
    <row r="794" hidden="1">
      <c r="A794" s="8">
        <v>46107.0</v>
      </c>
      <c r="B794" s="23">
        <v>0.8333333333333334</v>
      </c>
      <c r="C794" s="10" t="s">
        <v>58</v>
      </c>
      <c r="D794" s="10" t="s">
        <v>59</v>
      </c>
      <c r="E794" s="12" t="s">
        <v>71</v>
      </c>
      <c r="F794" s="12" t="s">
        <v>2576</v>
      </c>
      <c r="G794" s="12" t="s">
        <v>2622</v>
      </c>
      <c r="H794" s="112" t="s">
        <v>2597</v>
      </c>
      <c r="I794" s="96" t="s">
        <v>61</v>
      </c>
      <c r="J794" s="14">
        <v>1325.0</v>
      </c>
      <c r="K794" s="14">
        <v>707.0</v>
      </c>
      <c r="L794" s="15">
        <v>0.5336</v>
      </c>
      <c r="M794" s="16"/>
      <c r="N794" s="17"/>
      <c r="O794" s="18">
        <v>1.0</v>
      </c>
      <c r="P794" s="18"/>
      <c r="Q794" s="19">
        <v>0.0014</v>
      </c>
      <c r="R794" s="19"/>
      <c r="S794" s="20">
        <v>0.0</v>
      </c>
      <c r="T794" s="20">
        <v>1.0</v>
      </c>
      <c r="U794" s="20">
        <v>0.0</v>
      </c>
      <c r="V794" s="21" t="s">
        <v>335</v>
      </c>
      <c r="W794" s="18" t="s">
        <v>62</v>
      </c>
      <c r="X794" s="95" t="s">
        <v>52</v>
      </c>
      <c r="Y794" s="114">
        <v>46107.0</v>
      </c>
      <c r="Z794" s="20" t="s">
        <v>2623</v>
      </c>
      <c r="AA794" s="14">
        <v>0.0</v>
      </c>
      <c r="AB794" s="14">
        <v>0.0</v>
      </c>
      <c r="AC794" s="14"/>
      <c r="AD794" s="14">
        <v>0.0</v>
      </c>
      <c r="AE794" s="14">
        <v>0.0</v>
      </c>
      <c r="AF794" s="14"/>
      <c r="AG794" s="22"/>
      <c r="AH794" s="22"/>
      <c r="AI794" s="22"/>
      <c r="AJ794" s="22"/>
      <c r="AK794" s="22"/>
      <c r="AL794" s="22"/>
      <c r="AM794" s="22"/>
      <c r="AN794" s="22"/>
      <c r="AO794" s="22"/>
      <c r="AP794" s="22"/>
    </row>
    <row r="795" hidden="1">
      <c r="A795" s="8">
        <v>46107.0</v>
      </c>
      <c r="B795" s="23">
        <v>0.8333333333333334</v>
      </c>
      <c r="C795" s="10" t="s">
        <v>58</v>
      </c>
      <c r="D795" s="10" t="s">
        <v>59</v>
      </c>
      <c r="E795" s="12" t="s">
        <v>71</v>
      </c>
      <c r="F795" s="12" t="s">
        <v>2576</v>
      </c>
      <c r="G795" s="12" t="s">
        <v>2624</v>
      </c>
      <c r="H795" s="112" t="s">
        <v>2601</v>
      </c>
      <c r="I795" s="96" t="s">
        <v>61</v>
      </c>
      <c r="J795" s="14">
        <v>14845.0</v>
      </c>
      <c r="K795" s="14">
        <v>7982.0</v>
      </c>
      <c r="L795" s="15">
        <v>0.5377</v>
      </c>
      <c r="M795" s="16"/>
      <c r="N795" s="17"/>
      <c r="O795" s="18">
        <v>18.0</v>
      </c>
      <c r="P795" s="18"/>
      <c r="Q795" s="19">
        <v>0.0023</v>
      </c>
      <c r="R795" s="19"/>
      <c r="S795" s="20">
        <v>1.0</v>
      </c>
      <c r="T795" s="20">
        <v>4.0</v>
      </c>
      <c r="U795" s="20">
        <v>1998.0</v>
      </c>
      <c r="V795" s="21" t="s">
        <v>335</v>
      </c>
      <c r="W795" s="18" t="s">
        <v>62</v>
      </c>
      <c r="X795" s="101" t="s">
        <v>2603</v>
      </c>
      <c r="Y795" s="114">
        <v>46107.0</v>
      </c>
      <c r="Z795" s="20" t="s">
        <v>2625</v>
      </c>
      <c r="AA795" s="14">
        <v>7.0</v>
      </c>
      <c r="AB795" s="14">
        <v>7.0</v>
      </c>
      <c r="AC795" s="14"/>
      <c r="AD795" s="14">
        <v>16383.0</v>
      </c>
      <c r="AE795" s="14">
        <v>16383.0</v>
      </c>
      <c r="AF795" s="14"/>
      <c r="AG795" s="22"/>
      <c r="AH795" s="22"/>
      <c r="AI795" s="22"/>
      <c r="AJ795" s="22"/>
      <c r="AK795" s="22"/>
      <c r="AL795" s="22"/>
      <c r="AM795" s="22"/>
      <c r="AN795" s="22"/>
      <c r="AO795" s="22"/>
      <c r="AP795" s="22"/>
    </row>
    <row r="796" hidden="1">
      <c r="A796" s="8">
        <v>46107.0</v>
      </c>
      <c r="B796" s="23">
        <v>0.8333333333333334</v>
      </c>
      <c r="C796" s="10" t="s">
        <v>58</v>
      </c>
      <c r="D796" s="10" t="s">
        <v>59</v>
      </c>
      <c r="E796" s="12" t="s">
        <v>71</v>
      </c>
      <c r="F796" s="12" t="s">
        <v>2576</v>
      </c>
      <c r="G796" s="12" t="s">
        <v>2626</v>
      </c>
      <c r="H796" s="112" t="s">
        <v>2606</v>
      </c>
      <c r="I796" s="96" t="s">
        <v>61</v>
      </c>
      <c r="J796" s="14">
        <v>28470.0</v>
      </c>
      <c r="K796" s="14">
        <v>16917.0</v>
      </c>
      <c r="L796" s="15">
        <v>0.5942</v>
      </c>
      <c r="M796" s="16"/>
      <c r="N796" s="17"/>
      <c r="O796" s="18">
        <v>48.0</v>
      </c>
      <c r="P796" s="18"/>
      <c r="Q796" s="19">
        <v>0.0028</v>
      </c>
      <c r="R796" s="19"/>
      <c r="S796" s="20">
        <v>9.0</v>
      </c>
      <c r="T796" s="20">
        <v>13.0</v>
      </c>
      <c r="U796" s="20">
        <v>23077.0</v>
      </c>
      <c r="V796" s="21" t="s">
        <v>335</v>
      </c>
      <c r="W796" s="18" t="s">
        <v>62</v>
      </c>
      <c r="X796" s="101" t="s">
        <v>2552</v>
      </c>
      <c r="Y796" s="114">
        <v>46107.0</v>
      </c>
      <c r="Z796" s="20" t="s">
        <v>2627</v>
      </c>
      <c r="AA796" s="14">
        <v>23.0</v>
      </c>
      <c r="AB796" s="14">
        <v>23.0</v>
      </c>
      <c r="AC796" s="14"/>
      <c r="AD796" s="14">
        <v>37907.0</v>
      </c>
      <c r="AE796" s="14">
        <v>37907.0</v>
      </c>
      <c r="AF796" s="14"/>
      <c r="AG796" s="22"/>
      <c r="AH796" s="22"/>
      <c r="AI796" s="22"/>
      <c r="AJ796" s="22"/>
      <c r="AK796" s="22"/>
      <c r="AL796" s="22"/>
      <c r="AM796" s="22"/>
      <c r="AN796" s="22"/>
      <c r="AO796" s="22"/>
      <c r="AP796" s="22"/>
    </row>
    <row r="797" hidden="1">
      <c r="A797" s="8">
        <v>46107.0</v>
      </c>
      <c r="B797" s="23">
        <v>0.8333333333333334</v>
      </c>
      <c r="C797" s="10" t="s">
        <v>58</v>
      </c>
      <c r="D797" s="10" t="s">
        <v>59</v>
      </c>
      <c r="E797" s="12" t="s">
        <v>71</v>
      </c>
      <c r="F797" s="12" t="s">
        <v>2576</v>
      </c>
      <c r="G797" s="12" t="s">
        <v>2628</v>
      </c>
      <c r="H797" s="112" t="s">
        <v>2610</v>
      </c>
      <c r="I797" s="96" t="s">
        <v>61</v>
      </c>
      <c r="J797" s="14">
        <v>503.0</v>
      </c>
      <c r="K797" s="14">
        <v>321.0</v>
      </c>
      <c r="L797" s="15">
        <v>0.6382</v>
      </c>
      <c r="M797" s="16"/>
      <c r="N797" s="17"/>
      <c r="O797" s="18">
        <v>0.0</v>
      </c>
      <c r="P797" s="18"/>
      <c r="Q797" s="19">
        <v>0.0</v>
      </c>
      <c r="R797" s="19"/>
      <c r="S797" s="20">
        <v>1.0</v>
      </c>
      <c r="T797" s="20">
        <v>4.0</v>
      </c>
      <c r="U797" s="20">
        <v>948.0</v>
      </c>
      <c r="V797" s="21" t="s">
        <v>335</v>
      </c>
      <c r="W797" s="18" t="s">
        <v>62</v>
      </c>
      <c r="X797" s="101" t="s">
        <v>2612</v>
      </c>
      <c r="Y797" s="114">
        <v>46107.0</v>
      </c>
      <c r="Z797" s="20" t="s">
        <v>2629</v>
      </c>
      <c r="AA797" s="14">
        <v>0.0</v>
      </c>
      <c r="AB797" s="14">
        <v>0.0</v>
      </c>
      <c r="AC797" s="14"/>
      <c r="AD797" s="14">
        <v>0.0</v>
      </c>
      <c r="AE797" s="14">
        <v>0.0</v>
      </c>
      <c r="AF797" s="14"/>
      <c r="AG797" s="22"/>
      <c r="AH797" s="22"/>
      <c r="AI797" s="22"/>
      <c r="AJ797" s="22"/>
      <c r="AK797" s="22"/>
      <c r="AL797" s="22"/>
      <c r="AM797" s="22"/>
      <c r="AN797" s="22"/>
      <c r="AO797" s="22"/>
      <c r="AP797" s="22"/>
    </row>
    <row r="798" hidden="1">
      <c r="A798" s="8">
        <v>46108.0</v>
      </c>
      <c r="B798" s="23">
        <v>0.3541666666666667</v>
      </c>
      <c r="C798" s="10" t="s">
        <v>32</v>
      </c>
      <c r="D798" s="10" t="s">
        <v>33</v>
      </c>
      <c r="E798" s="12" t="s">
        <v>179</v>
      </c>
      <c r="F798" s="12" t="s">
        <v>2533</v>
      </c>
      <c r="G798" s="12" t="s">
        <v>2630</v>
      </c>
      <c r="H798" s="96" t="s">
        <v>2631</v>
      </c>
      <c r="I798" s="96" t="s">
        <v>2632</v>
      </c>
      <c r="J798" s="14">
        <v>34944.0</v>
      </c>
      <c r="K798" s="14">
        <v>17431.0</v>
      </c>
      <c r="L798" s="15">
        <v>0.4988</v>
      </c>
      <c r="M798" s="16">
        <v>4111.0</v>
      </c>
      <c r="N798" s="17">
        <v>0.2359</v>
      </c>
      <c r="O798" s="18">
        <v>227.0</v>
      </c>
      <c r="P798" s="18">
        <v>215.0</v>
      </c>
      <c r="Q798" s="19">
        <v>0.0123</v>
      </c>
      <c r="R798" s="19">
        <v>0.0523</v>
      </c>
      <c r="S798" s="20">
        <v>3.0</v>
      </c>
      <c r="T798" s="20">
        <v>12.0</v>
      </c>
      <c r="U798" s="20">
        <v>29045.0</v>
      </c>
      <c r="V798" s="21" t="s">
        <v>315</v>
      </c>
      <c r="W798" s="18" t="s">
        <v>76</v>
      </c>
      <c r="X798" s="18" t="s">
        <v>2542</v>
      </c>
      <c r="Y798" s="66" t="s">
        <v>2633</v>
      </c>
      <c r="Z798" s="20" t="s">
        <v>2634</v>
      </c>
      <c r="AA798" s="14">
        <v>70.0</v>
      </c>
      <c r="AB798" s="14"/>
      <c r="AC798" s="14">
        <v>70.0</v>
      </c>
      <c r="AD798" s="14">
        <v>1215192.0</v>
      </c>
      <c r="AE798" s="14"/>
      <c r="AF798" s="14">
        <v>1215192.0</v>
      </c>
      <c r="AG798" s="22"/>
      <c r="AH798" s="22"/>
      <c r="AI798" s="22"/>
      <c r="AJ798" s="22"/>
      <c r="AK798" s="22"/>
      <c r="AL798" s="22"/>
      <c r="AM798" s="22"/>
      <c r="AN798" s="22"/>
      <c r="AO798" s="22"/>
      <c r="AP798" s="22"/>
    </row>
    <row r="799" hidden="1">
      <c r="A799" s="8">
        <v>46108.0</v>
      </c>
      <c r="B799" s="23">
        <v>0.3576388888888889</v>
      </c>
      <c r="C799" s="10" t="s">
        <v>32</v>
      </c>
      <c r="D799" s="10" t="s">
        <v>33</v>
      </c>
      <c r="E799" s="12" t="s">
        <v>179</v>
      </c>
      <c r="F799" s="12" t="s">
        <v>2533</v>
      </c>
      <c r="G799" s="12" t="s">
        <v>2635</v>
      </c>
      <c r="H799" s="96" t="s">
        <v>2636</v>
      </c>
      <c r="I799" s="96" t="s">
        <v>2637</v>
      </c>
      <c r="J799" s="14">
        <v>2570.0</v>
      </c>
      <c r="K799" s="14">
        <v>1268.0</v>
      </c>
      <c r="L799" s="15">
        <v>0.4934</v>
      </c>
      <c r="M799" s="16">
        <v>279.0</v>
      </c>
      <c r="N799" s="17">
        <v>0.22</v>
      </c>
      <c r="O799" s="18">
        <v>22.0</v>
      </c>
      <c r="P799" s="18">
        <v>22.0</v>
      </c>
      <c r="Q799" s="19">
        <v>0.0174</v>
      </c>
      <c r="R799" s="19">
        <v>0.0789</v>
      </c>
      <c r="S799" s="20">
        <v>0.0</v>
      </c>
      <c r="T799" s="20">
        <v>0.0</v>
      </c>
      <c r="U799" s="20">
        <v>0.0</v>
      </c>
      <c r="V799" s="21" t="s">
        <v>315</v>
      </c>
      <c r="W799" s="18" t="s">
        <v>76</v>
      </c>
      <c r="X799" s="18" t="s">
        <v>2547</v>
      </c>
      <c r="Y799" s="66" t="s">
        <v>2633</v>
      </c>
      <c r="Z799" s="20" t="s">
        <v>2638</v>
      </c>
      <c r="AA799" s="14">
        <v>5.0</v>
      </c>
      <c r="AB799" s="14"/>
      <c r="AC799" s="14">
        <v>5.0</v>
      </c>
      <c r="AD799" s="14">
        <v>36411.0</v>
      </c>
      <c r="AE799" s="14"/>
      <c r="AF799" s="14">
        <v>36411.0</v>
      </c>
      <c r="AG799" s="22"/>
      <c r="AH799" s="22"/>
      <c r="AI799" s="22"/>
      <c r="AJ799" s="22"/>
      <c r="AK799" s="22"/>
      <c r="AL799" s="22"/>
      <c r="AM799" s="22"/>
      <c r="AN799" s="22"/>
      <c r="AO799" s="22"/>
      <c r="AP799" s="22"/>
    </row>
    <row r="800" hidden="1">
      <c r="A800" s="8">
        <v>46108.0</v>
      </c>
      <c r="B800" s="23">
        <v>0.3611111111111111</v>
      </c>
      <c r="C800" s="10" t="s">
        <v>32</v>
      </c>
      <c r="D800" s="10" t="s">
        <v>33</v>
      </c>
      <c r="E800" s="12" t="s">
        <v>179</v>
      </c>
      <c r="F800" s="12" t="s">
        <v>2533</v>
      </c>
      <c r="G800" s="12" t="s">
        <v>2639</v>
      </c>
      <c r="H800" s="96" t="s">
        <v>2640</v>
      </c>
      <c r="I800" s="96" t="s">
        <v>2641</v>
      </c>
      <c r="J800" s="14">
        <v>73272.0</v>
      </c>
      <c r="K800" s="14">
        <v>45234.0</v>
      </c>
      <c r="L800" s="15">
        <v>0.6173</v>
      </c>
      <c r="M800" s="16">
        <v>12827.0</v>
      </c>
      <c r="N800" s="17">
        <v>0.2836</v>
      </c>
      <c r="O800" s="18">
        <v>590.0</v>
      </c>
      <c r="P800" s="18">
        <v>568.0</v>
      </c>
      <c r="Q800" s="19">
        <v>0.0126</v>
      </c>
      <c r="R800" s="19">
        <v>0.0443</v>
      </c>
      <c r="S800" s="20">
        <v>4.0</v>
      </c>
      <c r="T800" s="20">
        <v>8.0</v>
      </c>
      <c r="U800" s="20">
        <v>29739.0</v>
      </c>
      <c r="V800" s="21" t="s">
        <v>315</v>
      </c>
      <c r="W800" s="18" t="s">
        <v>76</v>
      </c>
      <c r="X800" s="18" t="s">
        <v>2557</v>
      </c>
      <c r="Y800" s="66" t="s">
        <v>2633</v>
      </c>
      <c r="Z800" s="20" t="s">
        <v>2642</v>
      </c>
      <c r="AA800" s="14">
        <v>47.0</v>
      </c>
      <c r="AB800" s="14"/>
      <c r="AC800" s="14">
        <v>47.0</v>
      </c>
      <c r="AD800" s="14">
        <v>317636.0</v>
      </c>
      <c r="AE800" s="14"/>
      <c r="AF800" s="14">
        <v>317636.0</v>
      </c>
      <c r="AG800" s="22"/>
      <c r="AH800" s="22"/>
      <c r="AI800" s="22"/>
      <c r="AJ800" s="22"/>
      <c r="AK800" s="22"/>
      <c r="AL800" s="22"/>
      <c r="AM800" s="22"/>
      <c r="AN800" s="22"/>
      <c r="AO800" s="22"/>
      <c r="AP800" s="22"/>
    </row>
    <row r="801" hidden="1">
      <c r="A801" s="8">
        <v>46108.0</v>
      </c>
      <c r="B801" s="23">
        <v>0.3645833333333333</v>
      </c>
      <c r="C801" s="10" t="s">
        <v>32</v>
      </c>
      <c r="D801" s="10" t="s">
        <v>33</v>
      </c>
      <c r="E801" s="12" t="s">
        <v>179</v>
      </c>
      <c r="F801" s="12" t="s">
        <v>2533</v>
      </c>
      <c r="G801" s="12" t="s">
        <v>2643</v>
      </c>
      <c r="H801" s="96" t="s">
        <v>2644</v>
      </c>
      <c r="I801" s="96" t="s">
        <v>2645</v>
      </c>
      <c r="J801" s="14">
        <v>10652.0</v>
      </c>
      <c r="K801" s="14">
        <v>5421.0</v>
      </c>
      <c r="L801" s="15">
        <v>0.5089</v>
      </c>
      <c r="M801" s="16">
        <v>1278.0</v>
      </c>
      <c r="N801" s="17">
        <v>0.2357</v>
      </c>
      <c r="O801" s="18">
        <v>62.0</v>
      </c>
      <c r="P801" s="18">
        <v>61.0</v>
      </c>
      <c r="Q801" s="19">
        <v>0.0113</v>
      </c>
      <c r="R801" s="19">
        <v>0.0477</v>
      </c>
      <c r="S801" s="20">
        <v>0.0</v>
      </c>
      <c r="T801" s="20">
        <v>1.0</v>
      </c>
      <c r="U801" s="20">
        <v>0.0</v>
      </c>
      <c r="V801" s="21" t="s">
        <v>315</v>
      </c>
      <c r="W801" s="18" t="s">
        <v>76</v>
      </c>
      <c r="X801" s="18" t="s">
        <v>2562</v>
      </c>
      <c r="Y801" s="66" t="s">
        <v>2633</v>
      </c>
      <c r="Z801" s="20" t="s">
        <v>2646</v>
      </c>
      <c r="AA801" s="14">
        <v>11.0</v>
      </c>
      <c r="AB801" s="14"/>
      <c r="AC801" s="14">
        <v>11.0</v>
      </c>
      <c r="AD801" s="14">
        <v>75379.0</v>
      </c>
      <c r="AE801" s="14"/>
      <c r="AF801" s="14">
        <v>75379.0</v>
      </c>
      <c r="AG801" s="22"/>
      <c r="AH801" s="22"/>
      <c r="AI801" s="22"/>
      <c r="AJ801" s="22"/>
      <c r="AK801" s="22"/>
      <c r="AL801" s="22"/>
      <c r="AM801" s="22"/>
      <c r="AN801" s="22"/>
      <c r="AO801" s="22"/>
      <c r="AP801" s="22"/>
    </row>
    <row r="802" hidden="1">
      <c r="A802" s="8">
        <v>46108.0</v>
      </c>
      <c r="B802" s="23">
        <v>0.4375</v>
      </c>
      <c r="C802" s="10" t="s">
        <v>58</v>
      </c>
      <c r="D802" s="10" t="s">
        <v>59</v>
      </c>
      <c r="E802" s="12" t="s">
        <v>179</v>
      </c>
      <c r="F802" s="12" t="s">
        <v>2533</v>
      </c>
      <c r="G802" s="12" t="s">
        <v>2647</v>
      </c>
      <c r="H802" s="96" t="s">
        <v>2631</v>
      </c>
      <c r="I802" s="96" t="s">
        <v>61</v>
      </c>
      <c r="J802" s="14">
        <v>15272.0</v>
      </c>
      <c r="K802" s="14">
        <v>8211.0</v>
      </c>
      <c r="L802" s="15">
        <v>0.5377</v>
      </c>
      <c r="M802" s="16"/>
      <c r="N802" s="17"/>
      <c r="O802" s="18">
        <v>7.0</v>
      </c>
      <c r="P802" s="18"/>
      <c r="Q802" s="19">
        <v>9.0E-4</v>
      </c>
      <c r="R802" s="19"/>
      <c r="S802" s="20">
        <v>2.0</v>
      </c>
      <c r="T802" s="20">
        <v>4.0</v>
      </c>
      <c r="U802" s="20">
        <v>5204.0</v>
      </c>
      <c r="V802" s="21" t="s">
        <v>315</v>
      </c>
      <c r="W802" s="18" t="s">
        <v>62</v>
      </c>
      <c r="X802" s="18" t="s">
        <v>2542</v>
      </c>
      <c r="Y802" s="66" t="s">
        <v>2633</v>
      </c>
      <c r="Z802" s="20" t="s">
        <v>2648</v>
      </c>
      <c r="AA802" s="14">
        <v>47.0</v>
      </c>
      <c r="AB802" s="14"/>
      <c r="AC802" s="14">
        <v>47.0</v>
      </c>
      <c r="AD802" s="14">
        <v>998775.0</v>
      </c>
      <c r="AE802" s="14"/>
      <c r="AF802" s="14">
        <v>998775.0</v>
      </c>
      <c r="AG802" s="22"/>
      <c r="AH802" s="22"/>
      <c r="AI802" s="22"/>
      <c r="AJ802" s="22"/>
      <c r="AK802" s="22"/>
      <c r="AL802" s="22"/>
      <c r="AM802" s="22"/>
      <c r="AN802" s="22"/>
      <c r="AO802" s="22"/>
      <c r="AP802" s="22"/>
    </row>
    <row r="803" hidden="1">
      <c r="A803" s="8">
        <v>46108.0</v>
      </c>
      <c r="B803" s="23">
        <v>0.4375</v>
      </c>
      <c r="C803" s="10" t="s">
        <v>58</v>
      </c>
      <c r="D803" s="10" t="s">
        <v>59</v>
      </c>
      <c r="E803" s="12" t="s">
        <v>179</v>
      </c>
      <c r="F803" s="12" t="s">
        <v>2533</v>
      </c>
      <c r="G803" s="12" t="s">
        <v>2649</v>
      </c>
      <c r="H803" s="96" t="s">
        <v>2636</v>
      </c>
      <c r="I803" s="96" t="s">
        <v>61</v>
      </c>
      <c r="J803" s="14">
        <v>1106.0</v>
      </c>
      <c r="K803" s="14">
        <v>636.0</v>
      </c>
      <c r="L803" s="15">
        <v>0.575</v>
      </c>
      <c r="M803" s="16"/>
      <c r="N803" s="17"/>
      <c r="O803" s="18">
        <v>0.0</v>
      </c>
      <c r="P803" s="18"/>
      <c r="Q803" s="19">
        <v>0.0</v>
      </c>
      <c r="R803" s="19"/>
      <c r="S803" s="20">
        <v>0.0</v>
      </c>
      <c r="T803" s="20">
        <v>0.0</v>
      </c>
      <c r="U803" s="20">
        <v>0.0</v>
      </c>
      <c r="V803" s="21" t="s">
        <v>315</v>
      </c>
      <c r="W803" s="18" t="s">
        <v>62</v>
      </c>
      <c r="X803" s="18" t="s">
        <v>2547</v>
      </c>
      <c r="Y803" s="66" t="s">
        <v>2633</v>
      </c>
      <c r="Z803" s="20" t="s">
        <v>2650</v>
      </c>
      <c r="AA803" s="14">
        <v>2.0</v>
      </c>
      <c r="AB803" s="14"/>
      <c r="AC803" s="14">
        <v>2.0</v>
      </c>
      <c r="AD803" s="14">
        <v>26034.0</v>
      </c>
      <c r="AE803" s="14"/>
      <c r="AF803" s="14">
        <v>26034.0</v>
      </c>
      <c r="AG803" s="22"/>
      <c r="AH803" s="22"/>
      <c r="AI803" s="22"/>
      <c r="AJ803" s="22"/>
      <c r="AK803" s="22"/>
      <c r="AL803" s="22"/>
      <c r="AM803" s="22"/>
      <c r="AN803" s="22"/>
      <c r="AO803" s="22"/>
      <c r="AP803" s="22"/>
    </row>
    <row r="804" hidden="1">
      <c r="A804" s="8">
        <v>46108.0</v>
      </c>
      <c r="B804" s="23">
        <v>0.4375</v>
      </c>
      <c r="C804" s="10" t="s">
        <v>58</v>
      </c>
      <c r="D804" s="10" t="s">
        <v>59</v>
      </c>
      <c r="E804" s="12" t="s">
        <v>179</v>
      </c>
      <c r="F804" s="12" t="s">
        <v>2533</v>
      </c>
      <c r="G804" s="12" t="s">
        <v>2651</v>
      </c>
      <c r="H804" s="96" t="s">
        <v>2640</v>
      </c>
      <c r="I804" s="96" t="s">
        <v>61</v>
      </c>
      <c r="J804" s="14">
        <v>25379.0</v>
      </c>
      <c r="K804" s="14">
        <v>16946.0</v>
      </c>
      <c r="L804" s="15">
        <v>0.6677</v>
      </c>
      <c r="M804" s="16"/>
      <c r="N804" s="17"/>
      <c r="O804" s="18">
        <v>6.0</v>
      </c>
      <c r="P804" s="18"/>
      <c r="Q804" s="19">
        <v>4.0E-4</v>
      </c>
      <c r="R804" s="19"/>
      <c r="S804" s="20">
        <v>0.0</v>
      </c>
      <c r="T804" s="20">
        <v>1.0</v>
      </c>
      <c r="U804" s="20">
        <v>0.0</v>
      </c>
      <c r="V804" s="21" t="s">
        <v>315</v>
      </c>
      <c r="W804" s="18" t="s">
        <v>62</v>
      </c>
      <c r="X804" s="18" t="s">
        <v>2557</v>
      </c>
      <c r="Y804" s="66" t="s">
        <v>2633</v>
      </c>
      <c r="Z804" s="20" t="s">
        <v>2652</v>
      </c>
      <c r="AA804" s="14">
        <v>26.0</v>
      </c>
      <c r="AB804" s="14"/>
      <c r="AC804" s="14">
        <v>26.0</v>
      </c>
      <c r="AD804" s="14">
        <v>197080.0</v>
      </c>
      <c r="AE804" s="14"/>
      <c r="AF804" s="14">
        <v>197080.0</v>
      </c>
      <c r="AG804" s="22"/>
      <c r="AH804" s="22"/>
      <c r="AI804" s="22"/>
      <c r="AJ804" s="22"/>
      <c r="AK804" s="22"/>
      <c r="AL804" s="22"/>
      <c r="AM804" s="22"/>
      <c r="AN804" s="22"/>
      <c r="AO804" s="22"/>
      <c r="AP804" s="22"/>
    </row>
    <row r="805" hidden="1">
      <c r="A805" s="8">
        <v>46108.0</v>
      </c>
      <c r="B805" s="23">
        <v>0.4375</v>
      </c>
      <c r="C805" s="10" t="s">
        <v>58</v>
      </c>
      <c r="D805" s="10" t="s">
        <v>59</v>
      </c>
      <c r="E805" s="12" t="s">
        <v>179</v>
      </c>
      <c r="F805" s="12" t="s">
        <v>2533</v>
      </c>
      <c r="G805" s="12" t="s">
        <v>2653</v>
      </c>
      <c r="H805" s="96" t="s">
        <v>2644</v>
      </c>
      <c r="I805" s="96" t="s">
        <v>61</v>
      </c>
      <c r="J805" s="14">
        <v>4602.0</v>
      </c>
      <c r="K805" s="14">
        <v>2600.0</v>
      </c>
      <c r="L805" s="15">
        <v>0.565</v>
      </c>
      <c r="M805" s="16"/>
      <c r="N805" s="17"/>
      <c r="O805" s="18">
        <v>1.0</v>
      </c>
      <c r="P805" s="18"/>
      <c r="Q805" s="19">
        <v>4.0E-4</v>
      </c>
      <c r="R805" s="19"/>
      <c r="S805" s="20">
        <v>0.0</v>
      </c>
      <c r="T805" s="20">
        <v>0.0</v>
      </c>
      <c r="U805" s="20">
        <v>0.0</v>
      </c>
      <c r="V805" s="21" t="s">
        <v>315</v>
      </c>
      <c r="W805" s="18" t="s">
        <v>62</v>
      </c>
      <c r="X805" s="18" t="s">
        <v>2562</v>
      </c>
      <c r="Y805" s="66" t="s">
        <v>2633</v>
      </c>
      <c r="Z805" s="20" t="s">
        <v>2654</v>
      </c>
      <c r="AA805" s="14">
        <v>6.0</v>
      </c>
      <c r="AB805" s="14"/>
      <c r="AC805" s="14">
        <v>6.0</v>
      </c>
      <c r="AD805" s="14">
        <v>44806.0</v>
      </c>
      <c r="AE805" s="14"/>
      <c r="AF805" s="14">
        <v>44806.0</v>
      </c>
      <c r="AG805" s="22"/>
      <c r="AH805" s="22"/>
      <c r="AI805" s="22"/>
      <c r="AJ805" s="22"/>
      <c r="AK805" s="22"/>
      <c r="AL805" s="22"/>
      <c r="AM805" s="22"/>
      <c r="AN805" s="22"/>
      <c r="AO805" s="22"/>
      <c r="AP805" s="22"/>
    </row>
    <row r="806" hidden="1">
      <c r="A806" s="8">
        <v>46108.0</v>
      </c>
      <c r="B806" s="23">
        <v>0.5</v>
      </c>
      <c r="C806" s="10" t="s">
        <v>32</v>
      </c>
      <c r="D806" s="10" t="s">
        <v>33</v>
      </c>
      <c r="E806" s="12" t="s">
        <v>71</v>
      </c>
      <c r="F806" s="12" t="s">
        <v>2655</v>
      </c>
      <c r="G806" s="12" t="s">
        <v>2656</v>
      </c>
      <c r="H806" s="102" t="s">
        <v>2657</v>
      </c>
      <c r="I806" s="102" t="s">
        <v>2658</v>
      </c>
      <c r="J806" s="14">
        <v>9207.0</v>
      </c>
      <c r="K806" s="14">
        <v>2282.0</v>
      </c>
      <c r="L806" s="15">
        <v>0.2479</v>
      </c>
      <c r="M806" s="16">
        <v>988.0</v>
      </c>
      <c r="N806" s="17">
        <v>0.4331</v>
      </c>
      <c r="O806" s="18">
        <v>102.0</v>
      </c>
      <c r="P806" s="18">
        <v>91.0</v>
      </c>
      <c r="Q806" s="19">
        <v>0.0399</v>
      </c>
      <c r="R806" s="19">
        <v>0.0921</v>
      </c>
      <c r="S806" s="20">
        <v>1.0</v>
      </c>
      <c r="T806" s="20">
        <v>2.0</v>
      </c>
      <c r="U806" s="20">
        <v>948.0</v>
      </c>
      <c r="V806" s="21" t="s">
        <v>315</v>
      </c>
      <c r="W806" s="18" t="s">
        <v>76</v>
      </c>
      <c r="X806" s="94" t="s">
        <v>2580</v>
      </c>
      <c r="Y806" s="66" t="s">
        <v>2659</v>
      </c>
      <c r="Z806" s="20" t="s">
        <v>2660</v>
      </c>
      <c r="AA806" s="14">
        <v>45.0</v>
      </c>
      <c r="AB806" s="14"/>
      <c r="AC806" s="14">
        <v>45.0</v>
      </c>
      <c r="AD806" s="14">
        <v>212010.0</v>
      </c>
      <c r="AE806" s="14"/>
      <c r="AF806" s="14">
        <v>212010.0</v>
      </c>
      <c r="AG806" s="22"/>
      <c r="AH806" s="22"/>
      <c r="AI806" s="22"/>
      <c r="AJ806" s="22"/>
      <c r="AK806" s="22"/>
      <c r="AL806" s="22"/>
      <c r="AM806" s="22"/>
      <c r="AN806" s="22"/>
      <c r="AO806" s="22"/>
      <c r="AP806" s="22"/>
    </row>
    <row r="807" hidden="1">
      <c r="A807" s="8">
        <v>46108.0</v>
      </c>
      <c r="B807" s="23">
        <v>0.5</v>
      </c>
      <c r="C807" s="10" t="s">
        <v>32</v>
      </c>
      <c r="D807" s="10" t="s">
        <v>33</v>
      </c>
      <c r="E807" s="12" t="s">
        <v>71</v>
      </c>
      <c r="F807" s="12" t="s">
        <v>2576</v>
      </c>
      <c r="G807" s="12" t="s">
        <v>2661</v>
      </c>
      <c r="H807" s="102" t="s">
        <v>2662</v>
      </c>
      <c r="I807" s="102" t="s">
        <v>2663</v>
      </c>
      <c r="J807" s="14">
        <v>15508.0</v>
      </c>
      <c r="K807" s="14">
        <v>5960.0</v>
      </c>
      <c r="L807" s="15">
        <v>0.3843</v>
      </c>
      <c r="M807" s="16">
        <v>2286.0</v>
      </c>
      <c r="N807" s="17">
        <v>0.3834</v>
      </c>
      <c r="O807" s="18">
        <v>219.0</v>
      </c>
      <c r="P807" s="18">
        <v>197.0</v>
      </c>
      <c r="Q807" s="19">
        <v>0.0331</v>
      </c>
      <c r="R807" s="19">
        <v>0.0863</v>
      </c>
      <c r="S807" s="20">
        <v>1.0</v>
      </c>
      <c r="T807" s="20">
        <v>4.0</v>
      </c>
      <c r="U807" s="20">
        <v>3596.0</v>
      </c>
      <c r="V807" s="21" t="s">
        <v>315</v>
      </c>
      <c r="W807" s="18" t="s">
        <v>76</v>
      </c>
      <c r="X807" s="94" t="s">
        <v>2594</v>
      </c>
      <c r="Y807" s="66" t="s">
        <v>2659</v>
      </c>
      <c r="Z807" s="20" t="s">
        <v>2664</v>
      </c>
      <c r="AA807" s="14">
        <v>26.0</v>
      </c>
      <c r="AB807" s="14"/>
      <c r="AC807" s="14">
        <v>26.0</v>
      </c>
      <c r="AD807" s="14">
        <v>57940.0</v>
      </c>
      <c r="AE807" s="14"/>
      <c r="AF807" s="14">
        <v>57940.0</v>
      </c>
      <c r="AG807" s="22"/>
      <c r="AH807" s="22"/>
      <c r="AI807" s="22"/>
      <c r="AJ807" s="22"/>
      <c r="AK807" s="22"/>
      <c r="AL807" s="22"/>
      <c r="AM807" s="22"/>
      <c r="AN807" s="22"/>
      <c r="AO807" s="22"/>
      <c r="AP807" s="22"/>
    </row>
    <row r="808" hidden="1">
      <c r="A808" s="8">
        <v>46108.0</v>
      </c>
      <c r="B808" s="23">
        <v>0.5</v>
      </c>
      <c r="C808" s="10" t="s">
        <v>32</v>
      </c>
      <c r="D808" s="10" t="s">
        <v>33</v>
      </c>
      <c r="E808" s="12" t="s">
        <v>71</v>
      </c>
      <c r="F808" s="12" t="s">
        <v>2576</v>
      </c>
      <c r="G808" s="12" t="s">
        <v>2665</v>
      </c>
      <c r="H808" s="102" t="s">
        <v>2666</v>
      </c>
      <c r="I808" s="102" t="s">
        <v>2667</v>
      </c>
      <c r="J808" s="14">
        <v>76227.0</v>
      </c>
      <c r="K808" s="14">
        <v>28932.0</v>
      </c>
      <c r="L808" s="15">
        <v>0.3796</v>
      </c>
      <c r="M808" s="16">
        <v>9895.0</v>
      </c>
      <c r="N808" s="17">
        <v>0.342</v>
      </c>
      <c r="O808" s="18">
        <v>897.0</v>
      </c>
      <c r="P808" s="18">
        <v>836.0</v>
      </c>
      <c r="Q808" s="19">
        <v>0.0289</v>
      </c>
      <c r="R808" s="19">
        <v>0.0845</v>
      </c>
      <c r="S808" s="20">
        <v>7.0</v>
      </c>
      <c r="T808" s="20">
        <v>19.0</v>
      </c>
      <c r="U808" s="20">
        <v>18581.0</v>
      </c>
      <c r="V808" s="21" t="s">
        <v>315</v>
      </c>
      <c r="W808" s="18" t="s">
        <v>76</v>
      </c>
      <c r="X808" s="94" t="s">
        <v>2603</v>
      </c>
      <c r="Y808" s="66" t="s">
        <v>2659</v>
      </c>
      <c r="Z808" s="20" t="s">
        <v>2668</v>
      </c>
      <c r="AA808" s="14">
        <v>171.0</v>
      </c>
      <c r="AB808" s="14"/>
      <c r="AC808" s="14">
        <v>171.0</v>
      </c>
      <c r="AD808" s="14">
        <v>632698.0</v>
      </c>
      <c r="AE808" s="14"/>
      <c r="AF808" s="14">
        <v>632698.0</v>
      </c>
      <c r="AG808" s="22"/>
      <c r="AH808" s="22"/>
      <c r="AI808" s="22"/>
      <c r="AJ808" s="22"/>
      <c r="AK808" s="22"/>
      <c r="AL808" s="22"/>
      <c r="AM808" s="22"/>
      <c r="AN808" s="22"/>
      <c r="AO808" s="22"/>
      <c r="AP808" s="22"/>
    </row>
    <row r="809" hidden="1">
      <c r="A809" s="8">
        <v>46108.0</v>
      </c>
      <c r="B809" s="23">
        <v>0.5</v>
      </c>
      <c r="C809" s="10" t="s">
        <v>32</v>
      </c>
      <c r="D809" s="10" t="s">
        <v>33</v>
      </c>
      <c r="E809" s="12" t="s">
        <v>71</v>
      </c>
      <c r="F809" s="12" t="s">
        <v>2576</v>
      </c>
      <c r="G809" s="12" t="s">
        <v>2669</v>
      </c>
      <c r="H809" s="102" t="s">
        <v>2670</v>
      </c>
      <c r="I809" s="12" t="s">
        <v>2671</v>
      </c>
      <c r="J809" s="14">
        <v>28223.0</v>
      </c>
      <c r="K809" s="14">
        <v>7282.0</v>
      </c>
      <c r="L809" s="15">
        <v>0.258</v>
      </c>
      <c r="M809" s="16">
        <v>2786.0</v>
      </c>
      <c r="N809" s="17">
        <v>0.3823</v>
      </c>
      <c r="O809" s="18">
        <v>327.0</v>
      </c>
      <c r="P809" s="18">
        <v>310.0</v>
      </c>
      <c r="Q809" s="19">
        <v>0.0426</v>
      </c>
      <c r="R809" s="19">
        <v>0.1114</v>
      </c>
      <c r="S809" s="20">
        <v>1.0</v>
      </c>
      <c r="T809" s="20">
        <v>2.0</v>
      </c>
      <c r="U809" s="20">
        <v>3596.0</v>
      </c>
      <c r="V809" s="21" t="s">
        <v>315</v>
      </c>
      <c r="W809" s="18" t="s">
        <v>76</v>
      </c>
      <c r="X809" s="94" t="s">
        <v>41</v>
      </c>
      <c r="Y809" s="66" t="s">
        <v>2659</v>
      </c>
      <c r="Z809" s="20" t="s">
        <v>2672</v>
      </c>
      <c r="AA809" s="14">
        <v>41.0</v>
      </c>
      <c r="AB809" s="14"/>
      <c r="AC809" s="14">
        <v>41.0</v>
      </c>
      <c r="AD809" s="14">
        <v>113304.0</v>
      </c>
      <c r="AE809" s="14"/>
      <c r="AF809" s="14">
        <v>113304.0</v>
      </c>
      <c r="AG809" s="22"/>
      <c r="AH809" s="22"/>
      <c r="AI809" s="22"/>
      <c r="AJ809" s="22"/>
      <c r="AK809" s="22"/>
      <c r="AL809" s="22"/>
      <c r="AM809" s="22"/>
      <c r="AN809" s="22"/>
      <c r="AO809" s="22"/>
      <c r="AP809" s="22"/>
    </row>
    <row r="810" hidden="1">
      <c r="A810" s="8">
        <v>46108.0</v>
      </c>
      <c r="B810" s="23">
        <v>0.5</v>
      </c>
      <c r="C810" s="10" t="s">
        <v>32</v>
      </c>
      <c r="D810" s="10" t="s">
        <v>33</v>
      </c>
      <c r="E810" s="12" t="s">
        <v>71</v>
      </c>
      <c r="F810" s="12" t="s">
        <v>2576</v>
      </c>
      <c r="G810" s="12" t="s">
        <v>2673</v>
      </c>
      <c r="H810" s="102" t="s">
        <v>2674</v>
      </c>
      <c r="I810" s="12" t="s">
        <v>2675</v>
      </c>
      <c r="J810" s="14">
        <v>11413.0</v>
      </c>
      <c r="K810" s="14">
        <v>5692.0</v>
      </c>
      <c r="L810" s="15">
        <v>0.4987</v>
      </c>
      <c r="M810" s="16">
        <v>2497.0</v>
      </c>
      <c r="N810" s="17">
        <v>0.4383</v>
      </c>
      <c r="O810" s="18">
        <v>593.0</v>
      </c>
      <c r="P810" s="18">
        <v>525.0</v>
      </c>
      <c r="Q810" s="19">
        <v>0.0922</v>
      </c>
      <c r="R810" s="19">
        <v>0.2104</v>
      </c>
      <c r="S810" s="20">
        <v>2.0</v>
      </c>
      <c r="T810" s="20">
        <v>4.0</v>
      </c>
      <c r="U810" s="20">
        <v>6293.0</v>
      </c>
      <c r="V810" s="21" t="s">
        <v>315</v>
      </c>
      <c r="W810" s="18" t="s">
        <v>76</v>
      </c>
      <c r="X810" s="94" t="s">
        <v>2286</v>
      </c>
      <c r="Y810" s="66" t="s">
        <v>2659</v>
      </c>
      <c r="Z810" s="20" t="s">
        <v>2676</v>
      </c>
      <c r="AA810" s="14">
        <v>17.0</v>
      </c>
      <c r="AB810" s="14"/>
      <c r="AC810" s="14">
        <v>17.0</v>
      </c>
      <c r="AD810" s="14">
        <v>59650.0</v>
      </c>
      <c r="AE810" s="14"/>
      <c r="AF810" s="14">
        <v>59650.0</v>
      </c>
      <c r="AG810" s="22"/>
      <c r="AH810" s="22"/>
      <c r="AI810" s="22"/>
      <c r="AJ810" s="22"/>
      <c r="AK810" s="22"/>
      <c r="AL810" s="22"/>
      <c r="AM810" s="22"/>
      <c r="AN810" s="22"/>
      <c r="AO810" s="22"/>
      <c r="AP810" s="22"/>
    </row>
    <row r="811" hidden="1">
      <c r="A811" s="8">
        <v>46108.0</v>
      </c>
      <c r="B811" s="23">
        <v>0.5</v>
      </c>
      <c r="C811" s="10" t="s">
        <v>32</v>
      </c>
      <c r="D811" s="10" t="s">
        <v>33</v>
      </c>
      <c r="E811" s="12" t="s">
        <v>71</v>
      </c>
      <c r="F811" s="12" t="s">
        <v>2576</v>
      </c>
      <c r="G811" s="12" t="s">
        <v>2677</v>
      </c>
      <c r="H811" s="102" t="s">
        <v>2678</v>
      </c>
      <c r="I811" s="102" t="s">
        <v>2679</v>
      </c>
      <c r="J811" s="14">
        <v>13091.0</v>
      </c>
      <c r="K811" s="14">
        <v>3012.0</v>
      </c>
      <c r="L811" s="15">
        <v>0.2301</v>
      </c>
      <c r="M811" s="16">
        <v>1182.0</v>
      </c>
      <c r="N811" s="17">
        <v>0.3924</v>
      </c>
      <c r="O811" s="18">
        <v>106.0</v>
      </c>
      <c r="P811" s="18">
        <v>95.0</v>
      </c>
      <c r="Q811" s="19">
        <v>0.0315</v>
      </c>
      <c r="R811" s="19">
        <v>0.0804</v>
      </c>
      <c r="S811" s="20">
        <v>2.0</v>
      </c>
      <c r="T811" s="20">
        <v>2.0</v>
      </c>
      <c r="U811" s="20">
        <v>5295.0</v>
      </c>
      <c r="V811" s="21" t="s">
        <v>315</v>
      </c>
      <c r="W811" s="18" t="s">
        <v>76</v>
      </c>
      <c r="X811" s="94" t="s">
        <v>52</v>
      </c>
      <c r="Y811" s="66" t="s">
        <v>2659</v>
      </c>
      <c r="Z811" s="20" t="s">
        <v>2680</v>
      </c>
      <c r="AA811" s="14">
        <v>20.0</v>
      </c>
      <c r="AB811" s="14"/>
      <c r="AC811" s="14">
        <v>20.0</v>
      </c>
      <c r="AD811" s="14">
        <v>83071.0</v>
      </c>
      <c r="AE811" s="14"/>
      <c r="AF811" s="14">
        <v>83071.0</v>
      </c>
      <c r="AG811" s="22"/>
      <c r="AH811" s="22"/>
      <c r="AI811" s="22"/>
      <c r="AJ811" s="22"/>
      <c r="AK811" s="22"/>
      <c r="AL811" s="22"/>
      <c r="AM811" s="22"/>
      <c r="AN811" s="22"/>
      <c r="AO811" s="22"/>
      <c r="AP811" s="22"/>
    </row>
    <row r="812" hidden="1">
      <c r="A812" s="8">
        <v>46108.0</v>
      </c>
      <c r="B812" s="23">
        <v>0.5416666666666666</v>
      </c>
      <c r="C812" s="10" t="s">
        <v>58</v>
      </c>
      <c r="D812" s="10" t="s">
        <v>59</v>
      </c>
      <c r="E812" s="12" t="s">
        <v>71</v>
      </c>
      <c r="F812" s="12" t="s">
        <v>2576</v>
      </c>
      <c r="G812" s="12" t="s">
        <v>2681</v>
      </c>
      <c r="H812" s="112" t="s">
        <v>2657</v>
      </c>
      <c r="I812" s="96" t="s">
        <v>61</v>
      </c>
      <c r="J812" s="14">
        <v>6665.0</v>
      </c>
      <c r="K812" s="14">
        <v>3738.0</v>
      </c>
      <c r="L812" s="15">
        <v>0.5608</v>
      </c>
      <c r="M812" s="16"/>
      <c r="N812" s="17"/>
      <c r="O812" s="18">
        <v>7.0</v>
      </c>
      <c r="P812" s="18"/>
      <c r="Q812" s="19">
        <v>0.0019</v>
      </c>
      <c r="R812" s="19"/>
      <c r="S812" s="20">
        <v>0.0</v>
      </c>
      <c r="T812" s="20">
        <v>1.0</v>
      </c>
      <c r="U812" s="20">
        <v>0.0</v>
      </c>
      <c r="V812" s="21" t="s">
        <v>315</v>
      </c>
      <c r="W812" s="18" t="s">
        <v>62</v>
      </c>
      <c r="X812" s="101" t="s">
        <v>2580</v>
      </c>
      <c r="Y812" s="116">
        <v>46108.0</v>
      </c>
      <c r="Z812" s="20" t="s">
        <v>2682</v>
      </c>
      <c r="AA812" s="14">
        <v>16.0</v>
      </c>
      <c r="AB812" s="14"/>
      <c r="AC812" s="14">
        <v>16.0</v>
      </c>
      <c r="AD812" s="14">
        <v>74530.0</v>
      </c>
      <c r="AE812" s="14"/>
      <c r="AF812" s="14">
        <v>74530.0</v>
      </c>
      <c r="AG812" s="22"/>
      <c r="AH812" s="22"/>
      <c r="AI812" s="22"/>
      <c r="AJ812" s="22"/>
      <c r="AK812" s="22"/>
      <c r="AL812" s="22"/>
      <c r="AM812" s="22"/>
      <c r="AN812" s="22"/>
      <c r="AO812" s="22"/>
      <c r="AP812" s="22"/>
    </row>
    <row r="813" hidden="1">
      <c r="A813" s="8">
        <v>46108.0</v>
      </c>
      <c r="B813" s="23">
        <v>0.5416666666666666</v>
      </c>
      <c r="C813" s="10" t="s">
        <v>58</v>
      </c>
      <c r="D813" s="10" t="s">
        <v>59</v>
      </c>
      <c r="E813" s="12" t="s">
        <v>71</v>
      </c>
      <c r="F813" s="12" t="s">
        <v>2576</v>
      </c>
      <c r="G813" s="12" t="s">
        <v>2683</v>
      </c>
      <c r="H813" s="112" t="s">
        <v>2662</v>
      </c>
      <c r="I813" s="96" t="s">
        <v>61</v>
      </c>
      <c r="J813" s="14">
        <v>8962.0</v>
      </c>
      <c r="K813" s="14">
        <v>5439.0</v>
      </c>
      <c r="L813" s="15">
        <v>0.6069</v>
      </c>
      <c r="M813" s="16"/>
      <c r="N813" s="17"/>
      <c r="O813" s="18">
        <v>2.0</v>
      </c>
      <c r="P813" s="18"/>
      <c r="Q813" s="19">
        <v>4.0E-4</v>
      </c>
      <c r="R813" s="19"/>
      <c r="S813" s="20">
        <v>0.0</v>
      </c>
      <c r="T813" s="20">
        <v>0.0</v>
      </c>
      <c r="U813" s="20">
        <v>0.0</v>
      </c>
      <c r="V813" s="21" t="s">
        <v>315</v>
      </c>
      <c r="W813" s="18" t="s">
        <v>62</v>
      </c>
      <c r="X813" s="101" t="s">
        <v>2594</v>
      </c>
      <c r="Y813" s="116">
        <v>46108.0</v>
      </c>
      <c r="Z813" s="20" t="s">
        <v>2684</v>
      </c>
      <c r="AA813" s="14">
        <v>4.0</v>
      </c>
      <c r="AB813" s="14"/>
      <c r="AC813" s="14">
        <v>4.0</v>
      </c>
      <c r="AD813" s="14">
        <v>4995.0</v>
      </c>
      <c r="AE813" s="14"/>
      <c r="AF813" s="14">
        <v>4995.0</v>
      </c>
      <c r="AG813" s="22"/>
      <c r="AH813" s="22"/>
      <c r="AI813" s="22"/>
      <c r="AJ813" s="22"/>
      <c r="AK813" s="22"/>
      <c r="AL813" s="22"/>
      <c r="AM813" s="22"/>
      <c r="AN813" s="22"/>
      <c r="AO813" s="22"/>
      <c r="AP813" s="22"/>
    </row>
    <row r="814" hidden="1">
      <c r="A814" s="8">
        <v>46108.0</v>
      </c>
      <c r="B814" s="23">
        <v>0.5416666666666666</v>
      </c>
      <c r="C814" s="10" t="s">
        <v>58</v>
      </c>
      <c r="D814" s="10" t="s">
        <v>59</v>
      </c>
      <c r="E814" s="12" t="s">
        <v>71</v>
      </c>
      <c r="F814" s="12" t="s">
        <v>2576</v>
      </c>
      <c r="G814" s="12" t="s">
        <v>2685</v>
      </c>
      <c r="H814" s="112" t="s">
        <v>2678</v>
      </c>
      <c r="I814" s="96" t="s">
        <v>61</v>
      </c>
      <c r="J814" s="14">
        <v>9689.0</v>
      </c>
      <c r="K814" s="14">
        <v>5556.0</v>
      </c>
      <c r="L814" s="15">
        <v>0.5734</v>
      </c>
      <c r="M814" s="16"/>
      <c r="N814" s="17"/>
      <c r="O814" s="18">
        <v>2.0</v>
      </c>
      <c r="P814" s="18"/>
      <c r="Q814" s="19">
        <v>4.0E-4</v>
      </c>
      <c r="R814" s="19"/>
      <c r="S814" s="20">
        <v>0.0</v>
      </c>
      <c r="T814" s="20">
        <v>1.0</v>
      </c>
      <c r="U814" s="20">
        <v>0.0</v>
      </c>
      <c r="V814" s="21" t="s">
        <v>315</v>
      </c>
      <c r="W814" s="18" t="s">
        <v>62</v>
      </c>
      <c r="X814" s="101" t="s">
        <v>52</v>
      </c>
      <c r="Y814" s="116">
        <v>46108.0</v>
      </c>
      <c r="Z814" s="20" t="s">
        <v>2686</v>
      </c>
      <c r="AA814" s="14">
        <v>7.0</v>
      </c>
      <c r="AB814" s="14"/>
      <c r="AC814" s="14">
        <v>7.0</v>
      </c>
      <c r="AD814" s="14">
        <v>26421.0</v>
      </c>
      <c r="AE814" s="14"/>
      <c r="AF814" s="14">
        <v>26421.0</v>
      </c>
      <c r="AG814" s="22"/>
      <c r="AH814" s="22"/>
      <c r="AI814" s="22"/>
      <c r="AJ814" s="22"/>
      <c r="AK814" s="22"/>
      <c r="AL814" s="22"/>
      <c r="AM814" s="22"/>
      <c r="AN814" s="22"/>
      <c r="AO814" s="22"/>
      <c r="AP814" s="22"/>
    </row>
    <row r="815" hidden="1">
      <c r="A815" s="8">
        <v>46108.0</v>
      </c>
      <c r="B815" s="23">
        <v>0.5416666666666666</v>
      </c>
      <c r="C815" s="10" t="s">
        <v>58</v>
      </c>
      <c r="D815" s="10" t="s">
        <v>59</v>
      </c>
      <c r="E815" s="12" t="s">
        <v>71</v>
      </c>
      <c r="F815" s="12" t="s">
        <v>2576</v>
      </c>
      <c r="G815" s="12" t="s">
        <v>2687</v>
      </c>
      <c r="H815" s="112" t="s">
        <v>2666</v>
      </c>
      <c r="I815" s="96" t="s">
        <v>61</v>
      </c>
      <c r="J815" s="14">
        <v>44611.0</v>
      </c>
      <c r="K815" s="14">
        <v>25382.0</v>
      </c>
      <c r="L815" s="15">
        <v>0.569</v>
      </c>
      <c r="M815" s="16"/>
      <c r="N815" s="17"/>
      <c r="O815" s="18">
        <v>20.0</v>
      </c>
      <c r="P815" s="18"/>
      <c r="Q815" s="19">
        <v>8.0E-4</v>
      </c>
      <c r="R815" s="19"/>
      <c r="S815" s="20">
        <v>1.0</v>
      </c>
      <c r="T815" s="20">
        <v>1.0</v>
      </c>
      <c r="U815" s="20">
        <v>1998.0</v>
      </c>
      <c r="V815" s="21" t="s">
        <v>315</v>
      </c>
      <c r="W815" s="18" t="s">
        <v>62</v>
      </c>
      <c r="X815" s="101" t="s">
        <v>2603</v>
      </c>
      <c r="Y815" s="116">
        <v>46108.0</v>
      </c>
      <c r="Z815" s="20" t="s">
        <v>2688</v>
      </c>
      <c r="AA815" s="14">
        <v>24.0</v>
      </c>
      <c r="AB815" s="14"/>
      <c r="AC815" s="14">
        <v>24.0</v>
      </c>
      <c r="AD815" s="14">
        <v>103647.0</v>
      </c>
      <c r="AE815" s="14"/>
      <c r="AF815" s="14">
        <v>103647.0</v>
      </c>
      <c r="AG815" s="22"/>
      <c r="AH815" s="22"/>
      <c r="AI815" s="22"/>
      <c r="AJ815" s="22"/>
      <c r="AK815" s="22"/>
      <c r="AL815" s="22"/>
      <c r="AM815" s="22"/>
      <c r="AN815" s="22"/>
      <c r="AO815" s="22"/>
      <c r="AP815" s="22"/>
    </row>
    <row r="816" hidden="1">
      <c r="A816" s="8">
        <v>46108.0</v>
      </c>
      <c r="B816" s="23">
        <v>0.5416666666666666</v>
      </c>
      <c r="C816" s="10" t="s">
        <v>58</v>
      </c>
      <c r="D816" s="10" t="s">
        <v>59</v>
      </c>
      <c r="E816" s="12" t="s">
        <v>71</v>
      </c>
      <c r="F816" s="12" t="s">
        <v>2576</v>
      </c>
      <c r="G816" s="12" t="s">
        <v>2689</v>
      </c>
      <c r="H816" s="112" t="s">
        <v>2670</v>
      </c>
      <c r="I816" s="96" t="s">
        <v>61</v>
      </c>
      <c r="J816" s="14">
        <v>20059.0</v>
      </c>
      <c r="K816" s="14">
        <v>11646.0</v>
      </c>
      <c r="L816" s="15">
        <v>0.5806</v>
      </c>
      <c r="M816" s="16"/>
      <c r="N816" s="17"/>
      <c r="O816" s="18">
        <v>14.0</v>
      </c>
      <c r="P816" s="18"/>
      <c r="Q816" s="19">
        <v>0.0012</v>
      </c>
      <c r="R816" s="19"/>
      <c r="S816" s="20">
        <v>0.0</v>
      </c>
      <c r="T816" s="20">
        <v>2.0</v>
      </c>
      <c r="U816" s="20">
        <v>0.0</v>
      </c>
      <c r="V816" s="21" t="s">
        <v>315</v>
      </c>
      <c r="W816" s="18" t="s">
        <v>62</v>
      </c>
      <c r="X816" s="101" t="s">
        <v>41</v>
      </c>
      <c r="Y816" s="116">
        <v>46108.0</v>
      </c>
      <c r="Z816" s="20" t="s">
        <v>2690</v>
      </c>
      <c r="AA816" s="14">
        <v>7.0</v>
      </c>
      <c r="AB816" s="14"/>
      <c r="AC816" s="14">
        <v>7.0</v>
      </c>
      <c r="AD816" s="14">
        <v>28670.0</v>
      </c>
      <c r="AE816" s="14"/>
      <c r="AF816" s="14">
        <v>28670.0</v>
      </c>
      <c r="AG816" s="22"/>
      <c r="AH816" s="22"/>
      <c r="AI816" s="22"/>
      <c r="AJ816" s="22"/>
      <c r="AK816" s="22"/>
      <c r="AL816" s="22"/>
      <c r="AM816" s="22"/>
      <c r="AN816" s="22"/>
      <c r="AO816" s="22"/>
      <c r="AP816" s="22"/>
    </row>
    <row r="817" hidden="1">
      <c r="A817" s="8">
        <v>46108.0</v>
      </c>
      <c r="B817" s="23">
        <v>0.5416666666666666</v>
      </c>
      <c r="C817" s="10" t="s">
        <v>58</v>
      </c>
      <c r="D817" s="10" t="s">
        <v>59</v>
      </c>
      <c r="E817" s="12" t="s">
        <v>71</v>
      </c>
      <c r="F817" s="12" t="s">
        <v>2576</v>
      </c>
      <c r="G817" s="12" t="s">
        <v>2691</v>
      </c>
      <c r="H817" s="112" t="s">
        <v>2674</v>
      </c>
      <c r="I817" s="96" t="s">
        <v>61</v>
      </c>
      <c r="J817" s="14">
        <v>5530.0</v>
      </c>
      <c r="K817" s="14">
        <v>3344.0</v>
      </c>
      <c r="L817" s="15">
        <v>0.6047</v>
      </c>
      <c r="M817" s="16"/>
      <c r="N817" s="17"/>
      <c r="O817" s="18">
        <v>8.0</v>
      </c>
      <c r="P817" s="18"/>
      <c r="Q817" s="19">
        <v>0.0024</v>
      </c>
      <c r="R817" s="19"/>
      <c r="S817" s="20">
        <v>0.0</v>
      </c>
      <c r="T817" s="20">
        <v>1.0</v>
      </c>
      <c r="U817" s="20">
        <v>0.0</v>
      </c>
      <c r="V817" s="21" t="s">
        <v>315</v>
      </c>
      <c r="W817" s="18" t="s">
        <v>62</v>
      </c>
      <c r="X817" s="101" t="s">
        <v>2286</v>
      </c>
      <c r="Y817" s="116">
        <v>46108.0</v>
      </c>
      <c r="Z817" s="20" t="s">
        <v>2692</v>
      </c>
      <c r="AA817" s="14">
        <v>2.0</v>
      </c>
      <c r="AB817" s="14"/>
      <c r="AC817" s="14">
        <v>2.0</v>
      </c>
      <c r="AD817" s="14">
        <v>12817.0</v>
      </c>
      <c r="AE817" s="14"/>
      <c r="AF817" s="14">
        <v>12817.0</v>
      </c>
      <c r="AG817" s="22"/>
      <c r="AH817" s="22"/>
      <c r="AI817" s="22"/>
      <c r="AJ817" s="22"/>
      <c r="AK817" s="22"/>
      <c r="AL817" s="22"/>
      <c r="AM817" s="22"/>
      <c r="AN817" s="22"/>
      <c r="AO817" s="22"/>
      <c r="AP817" s="22"/>
    </row>
    <row r="818" hidden="1">
      <c r="A818" s="8">
        <v>46108.0</v>
      </c>
      <c r="B818" s="23">
        <v>0.4166666666666667</v>
      </c>
      <c r="C818" s="10" t="s">
        <v>58</v>
      </c>
      <c r="D818" s="10" t="s">
        <v>33</v>
      </c>
      <c r="E818" s="12" t="s">
        <v>133</v>
      </c>
      <c r="F818" s="12" t="s">
        <v>2693</v>
      </c>
      <c r="G818" s="12" t="s">
        <v>2694</v>
      </c>
      <c r="H818" s="112" t="s">
        <v>2507</v>
      </c>
      <c r="I818" s="96" t="s">
        <v>137</v>
      </c>
      <c r="J818" s="14">
        <v>4033.0</v>
      </c>
      <c r="K818" s="14">
        <v>2179.0</v>
      </c>
      <c r="L818" s="15">
        <v>0.5403</v>
      </c>
      <c r="M818" s="16"/>
      <c r="N818" s="17"/>
      <c r="O818" s="18">
        <v>0.0</v>
      </c>
      <c r="P818" s="18"/>
      <c r="Q818" s="19">
        <v>0.0</v>
      </c>
      <c r="R818" s="19"/>
      <c r="S818" s="20"/>
      <c r="T818" s="20"/>
      <c r="U818" s="20"/>
      <c r="V818" s="21" t="s">
        <v>2695</v>
      </c>
      <c r="W818" s="18" t="s">
        <v>62</v>
      </c>
      <c r="X818" s="20" t="s">
        <v>2696</v>
      </c>
      <c r="Y818" s="66" t="s">
        <v>2697</v>
      </c>
      <c r="Z818" s="20" t="s">
        <v>2698</v>
      </c>
      <c r="AA818" s="14">
        <v>3.0</v>
      </c>
      <c r="AB818" s="14"/>
      <c r="AC818" s="14">
        <v>3.0</v>
      </c>
      <c r="AD818" s="117">
        <v>10835.0</v>
      </c>
      <c r="AE818" s="14"/>
      <c r="AF818" s="14">
        <v>10835.0</v>
      </c>
      <c r="AG818" s="22"/>
      <c r="AH818" s="22"/>
      <c r="AI818" s="22"/>
      <c r="AJ818" s="22"/>
      <c r="AK818" s="22"/>
      <c r="AL818" s="22"/>
      <c r="AM818" s="22"/>
      <c r="AN818" s="22"/>
      <c r="AO818" s="22"/>
      <c r="AP818" s="22"/>
    </row>
    <row r="819" hidden="1">
      <c r="A819" s="8">
        <v>46108.0</v>
      </c>
      <c r="B819" s="23">
        <v>0.4166666666666667</v>
      </c>
      <c r="C819" s="10" t="s">
        <v>58</v>
      </c>
      <c r="D819" s="10" t="s">
        <v>33</v>
      </c>
      <c r="E819" s="12" t="s">
        <v>133</v>
      </c>
      <c r="F819" s="12" t="s">
        <v>2693</v>
      </c>
      <c r="G819" s="12" t="s">
        <v>2699</v>
      </c>
      <c r="H819" s="112" t="s">
        <v>2511</v>
      </c>
      <c r="I819" s="96" t="s">
        <v>137</v>
      </c>
      <c r="J819" s="14">
        <v>42740.0</v>
      </c>
      <c r="K819" s="14">
        <v>22925.0</v>
      </c>
      <c r="L819" s="15">
        <v>0.5364</v>
      </c>
      <c r="M819" s="16"/>
      <c r="N819" s="17"/>
      <c r="O819" s="18">
        <v>0.0</v>
      </c>
      <c r="P819" s="18"/>
      <c r="Q819" s="19">
        <v>0.0</v>
      </c>
      <c r="R819" s="19"/>
      <c r="S819" s="20"/>
      <c r="T819" s="20"/>
      <c r="U819" s="20"/>
      <c r="V819" s="21" t="s">
        <v>2695</v>
      </c>
      <c r="W819" s="18" t="s">
        <v>62</v>
      </c>
      <c r="X819" s="20" t="s">
        <v>2696</v>
      </c>
      <c r="Y819" s="66" t="s">
        <v>2697</v>
      </c>
      <c r="Z819" s="20" t="s">
        <v>2700</v>
      </c>
      <c r="AA819" s="14">
        <v>6.0</v>
      </c>
      <c r="AB819" s="14"/>
      <c r="AC819" s="14">
        <v>6.0</v>
      </c>
      <c r="AD819" s="14">
        <v>22121.0</v>
      </c>
      <c r="AE819" s="14"/>
      <c r="AF819" s="14">
        <v>22121.0</v>
      </c>
      <c r="AG819" s="22"/>
      <c r="AH819" s="22"/>
      <c r="AI819" s="22"/>
      <c r="AJ819" s="22"/>
      <c r="AK819" s="22"/>
      <c r="AL819" s="22"/>
      <c r="AM819" s="22"/>
      <c r="AN819" s="22"/>
      <c r="AO819" s="22"/>
      <c r="AP819" s="22"/>
    </row>
    <row r="820" hidden="1">
      <c r="A820" s="8">
        <v>46108.0</v>
      </c>
      <c r="B820" s="23">
        <v>0.4166666666666667</v>
      </c>
      <c r="C820" s="10" t="s">
        <v>58</v>
      </c>
      <c r="D820" s="10" t="s">
        <v>33</v>
      </c>
      <c r="E820" s="12" t="s">
        <v>133</v>
      </c>
      <c r="F820" s="12" t="s">
        <v>2693</v>
      </c>
      <c r="G820" s="12" t="s">
        <v>2701</v>
      </c>
      <c r="H820" s="112" t="s">
        <v>2516</v>
      </c>
      <c r="I820" s="96" t="s">
        <v>137</v>
      </c>
      <c r="J820" s="14">
        <v>7104.0</v>
      </c>
      <c r="K820" s="14">
        <v>3920.0</v>
      </c>
      <c r="L820" s="15">
        <v>0.5518</v>
      </c>
      <c r="M820" s="16"/>
      <c r="N820" s="17"/>
      <c r="O820" s="18">
        <v>0.0</v>
      </c>
      <c r="P820" s="18"/>
      <c r="Q820" s="19">
        <v>0.0</v>
      </c>
      <c r="R820" s="19"/>
      <c r="S820" s="20"/>
      <c r="T820" s="20"/>
      <c r="U820" s="20"/>
      <c r="V820" s="21" t="s">
        <v>2695</v>
      </c>
      <c r="W820" s="18" t="s">
        <v>62</v>
      </c>
      <c r="X820" s="20" t="s">
        <v>2696</v>
      </c>
      <c r="Y820" s="66" t="s">
        <v>2697</v>
      </c>
      <c r="Z820" s="20" t="s">
        <v>2702</v>
      </c>
      <c r="AA820" s="14">
        <v>0.0</v>
      </c>
      <c r="AB820" s="14"/>
      <c r="AC820" s="14">
        <v>0.0</v>
      </c>
      <c r="AD820" s="14">
        <v>0.0</v>
      </c>
      <c r="AE820" s="14"/>
      <c r="AF820" s="14">
        <v>0.0</v>
      </c>
      <c r="AG820" s="22"/>
      <c r="AH820" s="22"/>
      <c r="AI820" s="22"/>
      <c r="AJ820" s="22"/>
      <c r="AK820" s="22"/>
      <c r="AL820" s="22"/>
      <c r="AM820" s="22"/>
      <c r="AN820" s="22"/>
      <c r="AO820" s="22"/>
      <c r="AP820" s="22"/>
    </row>
    <row r="821" hidden="1">
      <c r="A821" s="8">
        <v>46108.0</v>
      </c>
      <c r="B821" s="23">
        <v>0.4166666666666667</v>
      </c>
      <c r="C821" s="10" t="s">
        <v>58</v>
      </c>
      <c r="D821" s="10" t="s">
        <v>33</v>
      </c>
      <c r="E821" s="12" t="s">
        <v>133</v>
      </c>
      <c r="F821" s="12" t="s">
        <v>2693</v>
      </c>
      <c r="G821" s="12" t="s">
        <v>2703</v>
      </c>
      <c r="H821" s="96" t="s">
        <v>2704</v>
      </c>
      <c r="I821" s="96" t="s">
        <v>137</v>
      </c>
      <c r="J821" s="14">
        <v>20799.0</v>
      </c>
      <c r="K821" s="14">
        <v>10795.0</v>
      </c>
      <c r="L821" s="15">
        <v>0.519</v>
      </c>
      <c r="M821" s="16"/>
      <c r="N821" s="17"/>
      <c r="O821" s="18">
        <v>0.0</v>
      </c>
      <c r="P821" s="18"/>
      <c r="Q821" s="19">
        <v>0.0</v>
      </c>
      <c r="R821" s="19"/>
      <c r="S821" s="20"/>
      <c r="T821" s="20"/>
      <c r="U821" s="20"/>
      <c r="V821" s="21" t="s">
        <v>2695</v>
      </c>
      <c r="W821" s="18" t="s">
        <v>62</v>
      </c>
      <c r="X821" s="20" t="s">
        <v>2696</v>
      </c>
      <c r="Y821" s="66" t="s">
        <v>2697</v>
      </c>
      <c r="Z821" s="20" t="s">
        <v>2705</v>
      </c>
      <c r="AA821" s="14">
        <v>4.0</v>
      </c>
      <c r="AB821" s="14"/>
      <c r="AC821" s="14">
        <v>4.0</v>
      </c>
      <c r="AD821" s="14">
        <v>11884.0</v>
      </c>
      <c r="AE821" s="14"/>
      <c r="AF821" s="14">
        <v>11884.0</v>
      </c>
      <c r="AG821" s="22"/>
      <c r="AH821" s="22"/>
      <c r="AI821" s="22"/>
      <c r="AJ821" s="22"/>
      <c r="AK821" s="22"/>
      <c r="AL821" s="22"/>
      <c r="AM821" s="22"/>
      <c r="AN821" s="22"/>
      <c r="AO821" s="22"/>
      <c r="AP821" s="22"/>
    </row>
    <row r="822" hidden="1">
      <c r="A822" s="8">
        <v>46108.0</v>
      </c>
      <c r="B822" s="23">
        <v>0.4166666666666667</v>
      </c>
      <c r="C822" s="10" t="s">
        <v>58</v>
      </c>
      <c r="D822" s="10" t="s">
        <v>33</v>
      </c>
      <c r="E822" s="12" t="s">
        <v>133</v>
      </c>
      <c r="F822" s="12" t="s">
        <v>2693</v>
      </c>
      <c r="G822" s="12" t="s">
        <v>2706</v>
      </c>
      <c r="H822" s="96" t="s">
        <v>2707</v>
      </c>
      <c r="I822" s="96" t="s">
        <v>137</v>
      </c>
      <c r="J822" s="14">
        <v>16086.0</v>
      </c>
      <c r="K822" s="14">
        <v>9550.0</v>
      </c>
      <c r="L822" s="15">
        <v>0.5937</v>
      </c>
      <c r="M822" s="16"/>
      <c r="N822" s="17"/>
      <c r="O822" s="18">
        <v>0.0</v>
      </c>
      <c r="P822" s="18"/>
      <c r="Q822" s="19">
        <v>0.0</v>
      </c>
      <c r="R822" s="19"/>
      <c r="S822" s="20"/>
      <c r="T822" s="20"/>
      <c r="U822" s="20"/>
      <c r="V822" s="21" t="s">
        <v>2695</v>
      </c>
      <c r="W822" s="18" t="s">
        <v>62</v>
      </c>
      <c r="X822" s="20" t="s">
        <v>2696</v>
      </c>
      <c r="Y822" s="66" t="s">
        <v>2697</v>
      </c>
      <c r="Z822" s="20" t="s">
        <v>2708</v>
      </c>
      <c r="AA822" s="14">
        <v>0.0</v>
      </c>
      <c r="AB822" s="14"/>
      <c r="AC822" s="14">
        <v>0.0</v>
      </c>
      <c r="AD822" s="14">
        <v>0.0</v>
      </c>
      <c r="AE822" s="14"/>
      <c r="AF822" s="14">
        <v>0.0</v>
      </c>
      <c r="AG822" s="22"/>
      <c r="AH822" s="22"/>
      <c r="AI822" s="22"/>
      <c r="AJ822" s="22"/>
      <c r="AK822" s="22"/>
      <c r="AL822" s="22"/>
      <c r="AM822" s="22"/>
      <c r="AN822" s="22"/>
      <c r="AO822" s="22"/>
      <c r="AP822" s="22"/>
    </row>
    <row r="823" hidden="1">
      <c r="A823" s="8">
        <v>46108.0</v>
      </c>
      <c r="B823" s="23">
        <v>0.4166666666666667</v>
      </c>
      <c r="C823" s="10" t="s">
        <v>58</v>
      </c>
      <c r="D823" s="10" t="s">
        <v>33</v>
      </c>
      <c r="E823" s="12" t="s">
        <v>133</v>
      </c>
      <c r="F823" s="12" t="s">
        <v>2693</v>
      </c>
      <c r="G823" s="12" t="s">
        <v>2709</v>
      </c>
      <c r="H823" s="96" t="s">
        <v>2710</v>
      </c>
      <c r="I823" s="96" t="s">
        <v>137</v>
      </c>
      <c r="J823" s="14">
        <v>4166.0</v>
      </c>
      <c r="K823" s="14">
        <v>2457.0</v>
      </c>
      <c r="L823" s="15">
        <v>0.5898</v>
      </c>
      <c r="M823" s="16"/>
      <c r="N823" s="17"/>
      <c r="O823" s="18">
        <v>0.0</v>
      </c>
      <c r="P823" s="18"/>
      <c r="Q823" s="19">
        <v>0.0</v>
      </c>
      <c r="R823" s="19"/>
      <c r="S823" s="20"/>
      <c r="T823" s="20"/>
      <c r="U823" s="20"/>
      <c r="V823" s="21" t="s">
        <v>2695</v>
      </c>
      <c r="W823" s="18" t="s">
        <v>62</v>
      </c>
      <c r="X823" s="20" t="s">
        <v>2696</v>
      </c>
      <c r="Y823" s="66" t="s">
        <v>2697</v>
      </c>
      <c r="Z823" s="20" t="s">
        <v>2711</v>
      </c>
      <c r="AA823" s="14">
        <v>1.0</v>
      </c>
      <c r="AB823" s="14"/>
      <c r="AC823" s="14">
        <v>1.0</v>
      </c>
      <c r="AD823" s="14">
        <v>2446.0</v>
      </c>
      <c r="AE823" s="14"/>
      <c r="AF823" s="14">
        <v>2446.0</v>
      </c>
      <c r="AG823" s="22"/>
      <c r="AH823" s="22"/>
      <c r="AI823" s="22"/>
      <c r="AJ823" s="22"/>
      <c r="AK823" s="22"/>
      <c r="AL823" s="22"/>
      <c r="AM823" s="22"/>
      <c r="AN823" s="22"/>
      <c r="AO823" s="22"/>
      <c r="AP823" s="22"/>
    </row>
    <row r="824" hidden="1">
      <c r="A824" s="8">
        <v>46108.0</v>
      </c>
      <c r="B824" s="23">
        <v>0.4166666666666667</v>
      </c>
      <c r="C824" s="10" t="s">
        <v>58</v>
      </c>
      <c r="D824" s="10" t="s">
        <v>33</v>
      </c>
      <c r="E824" s="12" t="s">
        <v>133</v>
      </c>
      <c r="F824" s="12" t="s">
        <v>2693</v>
      </c>
      <c r="G824" s="12" t="s">
        <v>2712</v>
      </c>
      <c r="H824" s="96" t="s">
        <v>2713</v>
      </c>
      <c r="I824" s="96" t="s">
        <v>137</v>
      </c>
      <c r="J824" s="14">
        <v>1020.0</v>
      </c>
      <c r="K824" s="14">
        <v>531.0</v>
      </c>
      <c r="L824" s="15">
        <v>0.5206</v>
      </c>
      <c r="M824" s="16"/>
      <c r="N824" s="17"/>
      <c r="O824" s="18">
        <v>0.0</v>
      </c>
      <c r="P824" s="18"/>
      <c r="Q824" s="19">
        <v>0.0</v>
      </c>
      <c r="R824" s="19"/>
      <c r="S824" s="20"/>
      <c r="T824" s="20"/>
      <c r="U824" s="20"/>
      <c r="V824" s="21" t="s">
        <v>2695</v>
      </c>
      <c r="W824" s="18" t="s">
        <v>62</v>
      </c>
      <c r="X824" s="20" t="s">
        <v>2696</v>
      </c>
      <c r="Y824" s="66" t="s">
        <v>2697</v>
      </c>
      <c r="Z824" s="20" t="s">
        <v>2714</v>
      </c>
      <c r="AA824" s="14">
        <v>0.0</v>
      </c>
      <c r="AB824" s="14"/>
      <c r="AC824" s="14">
        <v>0.0</v>
      </c>
      <c r="AD824" s="14">
        <v>0.0</v>
      </c>
      <c r="AE824" s="14"/>
      <c r="AF824" s="14">
        <v>0.0</v>
      </c>
      <c r="AG824" s="22"/>
      <c r="AH824" s="22"/>
      <c r="AI824" s="22"/>
      <c r="AJ824" s="22"/>
      <c r="AK824" s="22"/>
      <c r="AL824" s="22"/>
      <c r="AM824" s="22"/>
      <c r="AN824" s="22"/>
      <c r="AO824" s="22"/>
      <c r="AP824" s="22"/>
    </row>
    <row r="825" hidden="1">
      <c r="A825" s="8">
        <v>46108.0</v>
      </c>
      <c r="B825" s="23">
        <v>0.4166666666666667</v>
      </c>
      <c r="C825" s="10" t="s">
        <v>58</v>
      </c>
      <c r="D825" s="10" t="s">
        <v>33</v>
      </c>
      <c r="E825" s="12" t="s">
        <v>133</v>
      </c>
      <c r="F825" s="12" t="s">
        <v>2693</v>
      </c>
      <c r="G825" s="12" t="s">
        <v>2715</v>
      </c>
      <c r="H825" s="96" t="s">
        <v>2716</v>
      </c>
      <c r="I825" s="96" t="s">
        <v>137</v>
      </c>
      <c r="J825" s="14">
        <v>8862.0</v>
      </c>
      <c r="K825" s="14">
        <v>4898.0</v>
      </c>
      <c r="L825" s="15">
        <v>0.5527</v>
      </c>
      <c r="M825" s="16"/>
      <c r="N825" s="17"/>
      <c r="O825" s="18">
        <v>0.0</v>
      </c>
      <c r="P825" s="18"/>
      <c r="Q825" s="19">
        <v>0.0</v>
      </c>
      <c r="R825" s="19"/>
      <c r="S825" s="20"/>
      <c r="T825" s="20"/>
      <c r="U825" s="20"/>
      <c r="V825" s="21" t="s">
        <v>2695</v>
      </c>
      <c r="W825" s="18" t="s">
        <v>62</v>
      </c>
      <c r="X825" s="20" t="s">
        <v>2696</v>
      </c>
      <c r="Y825" s="66" t="s">
        <v>2697</v>
      </c>
      <c r="Z825" s="20" t="s">
        <v>2717</v>
      </c>
      <c r="AA825" s="14">
        <v>0.0</v>
      </c>
      <c r="AB825" s="14"/>
      <c r="AC825" s="14">
        <v>0.0</v>
      </c>
      <c r="AD825" s="14">
        <v>0.0</v>
      </c>
      <c r="AE825" s="14"/>
      <c r="AF825" s="14">
        <v>0.0</v>
      </c>
      <c r="AG825" s="22"/>
      <c r="AH825" s="22"/>
      <c r="AI825" s="22"/>
      <c r="AJ825" s="22"/>
      <c r="AK825" s="22"/>
      <c r="AL825" s="22"/>
      <c r="AM825" s="22"/>
      <c r="AN825" s="22"/>
      <c r="AO825" s="22"/>
      <c r="AP825" s="22"/>
    </row>
    <row r="826" hidden="1">
      <c r="A826" s="8">
        <v>46109.0</v>
      </c>
      <c r="B826" s="23">
        <v>0.4166666666666667</v>
      </c>
      <c r="C826" s="10" t="s">
        <v>58</v>
      </c>
      <c r="D826" s="10" t="s">
        <v>33</v>
      </c>
      <c r="E826" s="12" t="s">
        <v>133</v>
      </c>
      <c r="F826" s="12" t="s">
        <v>2693</v>
      </c>
      <c r="G826" s="12" t="s">
        <v>2718</v>
      </c>
      <c r="H826" s="96" t="s">
        <v>2719</v>
      </c>
      <c r="I826" s="96" t="s">
        <v>137</v>
      </c>
      <c r="J826" s="14">
        <v>27287.0</v>
      </c>
      <c r="K826" s="14">
        <v>14478.0</v>
      </c>
      <c r="L826" s="15">
        <v>0.5306</v>
      </c>
      <c r="M826" s="16"/>
      <c r="N826" s="17"/>
      <c r="O826" s="18">
        <v>0.0</v>
      </c>
      <c r="P826" s="18"/>
      <c r="Q826" s="19">
        <v>0.0</v>
      </c>
      <c r="R826" s="19"/>
      <c r="S826" s="20"/>
      <c r="T826" s="20"/>
      <c r="U826" s="20"/>
      <c r="V826" s="21" t="s">
        <v>2695</v>
      </c>
      <c r="W826" s="18" t="s">
        <v>62</v>
      </c>
      <c r="X826" s="20" t="s">
        <v>2696</v>
      </c>
      <c r="Y826" s="66" t="s">
        <v>2697</v>
      </c>
      <c r="Z826" s="20" t="s">
        <v>2720</v>
      </c>
      <c r="AA826" s="14">
        <v>5.0</v>
      </c>
      <c r="AB826" s="14"/>
      <c r="AC826" s="14">
        <v>5.0</v>
      </c>
      <c r="AD826" s="14">
        <v>14378.0</v>
      </c>
      <c r="AE826" s="14"/>
      <c r="AF826" s="14">
        <v>14378.0</v>
      </c>
      <c r="AG826" s="22"/>
      <c r="AH826" s="22"/>
      <c r="AI826" s="22"/>
      <c r="AJ826" s="22"/>
      <c r="AK826" s="22"/>
      <c r="AL826" s="22"/>
      <c r="AM826" s="22"/>
      <c r="AN826" s="22"/>
      <c r="AO826" s="22"/>
      <c r="AP826" s="22"/>
    </row>
    <row r="827" hidden="1">
      <c r="A827" s="8">
        <v>46110.0</v>
      </c>
      <c r="B827" s="23">
        <v>0.4583333333333333</v>
      </c>
      <c r="C827" s="10" t="s">
        <v>32</v>
      </c>
      <c r="D827" s="10" t="s">
        <v>33</v>
      </c>
      <c r="E827" s="12" t="s">
        <v>71</v>
      </c>
      <c r="F827" s="12" t="s">
        <v>2576</v>
      </c>
      <c r="G827" s="12" t="s">
        <v>2721</v>
      </c>
      <c r="H827" s="102" t="s">
        <v>2578</v>
      </c>
      <c r="I827" s="102" t="s">
        <v>2579</v>
      </c>
      <c r="J827" s="14">
        <v>4232.0</v>
      </c>
      <c r="K827" s="14">
        <v>1384.0</v>
      </c>
      <c r="L827" s="15">
        <v>0.327</v>
      </c>
      <c r="M827" s="16">
        <v>680.0</v>
      </c>
      <c r="N827" s="17">
        <v>0.5305</v>
      </c>
      <c r="O827" s="18">
        <v>125.0</v>
      </c>
      <c r="P827" s="18">
        <v>111.0</v>
      </c>
      <c r="Q827" s="19">
        <v>0.0869</v>
      </c>
      <c r="R827" s="19">
        <v>0.1637</v>
      </c>
      <c r="S827" s="20">
        <v>2.0</v>
      </c>
      <c r="T827" s="20">
        <v>7.0</v>
      </c>
      <c r="U827" s="20">
        <v>3645.0</v>
      </c>
      <c r="V827" s="21" t="s">
        <v>335</v>
      </c>
      <c r="W827" s="18" t="s">
        <v>76</v>
      </c>
      <c r="X827" s="94" t="s">
        <v>2580</v>
      </c>
      <c r="Y827" s="66" t="s">
        <v>2722</v>
      </c>
      <c r="Z827" s="20" t="s">
        <v>2723</v>
      </c>
      <c r="AA827" s="14">
        <v>17.0</v>
      </c>
      <c r="AB827" s="14">
        <v>17.0</v>
      </c>
      <c r="AC827" s="14"/>
      <c r="AD827" s="14">
        <v>58044.0</v>
      </c>
      <c r="AE827" s="14">
        <v>58044.0</v>
      </c>
      <c r="AF827" s="14"/>
      <c r="AG827" s="22"/>
      <c r="AH827" s="22"/>
      <c r="AI827" s="22"/>
      <c r="AJ827" s="22"/>
      <c r="AK827" s="22"/>
      <c r="AL827" s="22"/>
      <c r="AM827" s="22"/>
      <c r="AN827" s="22"/>
      <c r="AO827" s="22"/>
      <c r="AP827" s="22"/>
    </row>
    <row r="828" hidden="1">
      <c r="A828" s="8">
        <v>46110.0</v>
      </c>
      <c r="B828" s="23">
        <v>0.4583333333333333</v>
      </c>
      <c r="C828" s="10" t="s">
        <v>32</v>
      </c>
      <c r="D828" s="10" t="s">
        <v>33</v>
      </c>
      <c r="E828" s="12" t="s">
        <v>71</v>
      </c>
      <c r="F828" s="12" t="s">
        <v>2576</v>
      </c>
      <c r="G828" s="12" t="s">
        <v>2724</v>
      </c>
      <c r="H828" s="102" t="s">
        <v>2584</v>
      </c>
      <c r="I828" s="12" t="s">
        <v>2585</v>
      </c>
      <c r="J828" s="14">
        <v>6460.0</v>
      </c>
      <c r="K828" s="14">
        <v>2218.0</v>
      </c>
      <c r="L828" s="15">
        <v>0.3433</v>
      </c>
      <c r="M828" s="16">
        <v>933.0</v>
      </c>
      <c r="N828" s="17">
        <v>0.4912</v>
      </c>
      <c r="O828" s="18">
        <v>127.0</v>
      </c>
      <c r="P828" s="18">
        <v>118.0</v>
      </c>
      <c r="Q828" s="19">
        <v>0.0628</v>
      </c>
      <c r="R828" s="19">
        <v>0.1278</v>
      </c>
      <c r="S828" s="20">
        <v>1.0</v>
      </c>
      <c r="T828" s="20">
        <v>21.0</v>
      </c>
      <c r="U828" s="20">
        <v>1998.0</v>
      </c>
      <c r="V828" s="21" t="s">
        <v>335</v>
      </c>
      <c r="W828" s="18" t="s">
        <v>76</v>
      </c>
      <c r="X828" s="94" t="s">
        <v>2238</v>
      </c>
      <c r="Y828" s="66" t="s">
        <v>2722</v>
      </c>
      <c r="Z828" s="20" t="s">
        <v>2725</v>
      </c>
      <c r="AA828" s="14">
        <v>4.0</v>
      </c>
      <c r="AB828" s="14">
        <v>4.0</v>
      </c>
      <c r="AC828" s="14"/>
      <c r="AD828" s="14">
        <v>9990.0</v>
      </c>
      <c r="AE828" s="14">
        <v>9990.0</v>
      </c>
      <c r="AF828" s="14"/>
      <c r="AG828" s="22"/>
      <c r="AH828" s="22"/>
      <c r="AI828" s="22"/>
      <c r="AJ828" s="22"/>
      <c r="AK828" s="22"/>
      <c r="AL828" s="22"/>
      <c r="AM828" s="22"/>
      <c r="AN828" s="22"/>
      <c r="AO828" s="22"/>
      <c r="AP828" s="22"/>
    </row>
    <row r="829" hidden="1">
      <c r="A829" s="8">
        <v>46110.0</v>
      </c>
      <c r="B829" s="23">
        <v>0.4583333333333333</v>
      </c>
      <c r="C829" s="10" t="s">
        <v>32</v>
      </c>
      <c r="D829" s="10" t="s">
        <v>33</v>
      </c>
      <c r="E829" s="12" t="s">
        <v>71</v>
      </c>
      <c r="F829" s="12" t="s">
        <v>2576</v>
      </c>
      <c r="G829" s="12" t="s">
        <v>2726</v>
      </c>
      <c r="H829" s="102" t="s">
        <v>2588</v>
      </c>
      <c r="I829" s="12" t="s">
        <v>2589</v>
      </c>
      <c r="J829" s="14">
        <v>784.0</v>
      </c>
      <c r="K829" s="14">
        <v>299.0</v>
      </c>
      <c r="L829" s="15">
        <v>0.3814</v>
      </c>
      <c r="M829" s="16">
        <v>147.0</v>
      </c>
      <c r="N829" s="17">
        <v>0.5902</v>
      </c>
      <c r="O829" s="18">
        <v>25.0</v>
      </c>
      <c r="P829" s="18">
        <v>23.0</v>
      </c>
      <c r="Q829" s="19">
        <v>0.0943</v>
      </c>
      <c r="R829" s="19">
        <v>0.1597</v>
      </c>
      <c r="S829" s="20">
        <v>1.0</v>
      </c>
      <c r="T829" s="20">
        <v>6.0</v>
      </c>
      <c r="U829" s="20">
        <v>1798.0</v>
      </c>
      <c r="V829" s="21" t="s">
        <v>335</v>
      </c>
      <c r="W829" s="18" t="s">
        <v>76</v>
      </c>
      <c r="X829" s="94" t="s">
        <v>2282</v>
      </c>
      <c r="Y829" s="66" t="s">
        <v>2722</v>
      </c>
      <c r="Z829" s="20" t="s">
        <v>2727</v>
      </c>
      <c r="AA829" s="14">
        <v>0.0</v>
      </c>
      <c r="AB829" s="14">
        <v>0.0</v>
      </c>
      <c r="AC829" s="14"/>
      <c r="AD829" s="14">
        <v>0.0</v>
      </c>
      <c r="AE829" s="14">
        <v>0.0</v>
      </c>
      <c r="AF829" s="14"/>
      <c r="AG829" s="22"/>
      <c r="AH829" s="22"/>
      <c r="AI829" s="22"/>
      <c r="AJ829" s="22"/>
      <c r="AK829" s="22"/>
      <c r="AL829" s="22"/>
      <c r="AM829" s="22"/>
      <c r="AN829" s="22"/>
      <c r="AO829" s="22"/>
      <c r="AP829" s="22"/>
    </row>
    <row r="830" hidden="1">
      <c r="A830" s="8">
        <v>46110.0</v>
      </c>
      <c r="B830" s="23">
        <v>0.4583333333333333</v>
      </c>
      <c r="C830" s="10" t="s">
        <v>32</v>
      </c>
      <c r="D830" s="10" t="s">
        <v>33</v>
      </c>
      <c r="E830" s="12" t="s">
        <v>71</v>
      </c>
      <c r="F830" s="12" t="s">
        <v>2576</v>
      </c>
      <c r="G830" s="12" t="s">
        <v>2728</v>
      </c>
      <c r="H830" s="102" t="s">
        <v>2592</v>
      </c>
      <c r="I830" s="12" t="s">
        <v>2593</v>
      </c>
      <c r="J830" s="14">
        <v>10515.0</v>
      </c>
      <c r="K830" s="14">
        <v>3841.0</v>
      </c>
      <c r="L830" s="15">
        <v>0.3653</v>
      </c>
      <c r="M830" s="16">
        <v>1631.0</v>
      </c>
      <c r="N830" s="17">
        <v>0.5033</v>
      </c>
      <c r="O830" s="18">
        <v>157.0</v>
      </c>
      <c r="P830" s="18">
        <v>142.0</v>
      </c>
      <c r="Q830" s="19">
        <v>0.0444</v>
      </c>
      <c r="R830" s="19">
        <v>0.0883</v>
      </c>
      <c r="S830" s="20">
        <v>3.0</v>
      </c>
      <c r="T830" s="20">
        <v>3.0</v>
      </c>
      <c r="U830" s="20">
        <v>3894.0</v>
      </c>
      <c r="V830" s="21" t="s">
        <v>335</v>
      </c>
      <c r="W830" s="18" t="s">
        <v>76</v>
      </c>
      <c r="X830" s="94" t="s">
        <v>2594</v>
      </c>
      <c r="Y830" s="66" t="s">
        <v>2722</v>
      </c>
      <c r="Z830" s="20" t="s">
        <v>2729</v>
      </c>
      <c r="AA830" s="14">
        <v>13.0</v>
      </c>
      <c r="AB830" s="14">
        <v>13.0</v>
      </c>
      <c r="AC830" s="14"/>
      <c r="AD830" s="14">
        <v>20979.0</v>
      </c>
      <c r="AE830" s="14">
        <v>20979.0</v>
      </c>
      <c r="AF830" s="14"/>
      <c r="AG830" s="22"/>
      <c r="AH830" s="22"/>
      <c r="AI830" s="22"/>
      <c r="AJ830" s="22"/>
      <c r="AK830" s="22"/>
      <c r="AL830" s="22"/>
      <c r="AM830" s="22"/>
      <c r="AN830" s="22"/>
      <c r="AO830" s="22"/>
      <c r="AP830" s="22"/>
    </row>
    <row r="831" hidden="1">
      <c r="A831" s="8">
        <v>46110.0</v>
      </c>
      <c r="B831" s="23">
        <v>0.4583333333333333</v>
      </c>
      <c r="C831" s="10" t="s">
        <v>32</v>
      </c>
      <c r="D831" s="10" t="s">
        <v>33</v>
      </c>
      <c r="E831" s="12" t="s">
        <v>71</v>
      </c>
      <c r="F831" s="12" t="s">
        <v>2576</v>
      </c>
      <c r="G831" s="12" t="s">
        <v>2730</v>
      </c>
      <c r="H831" s="102" t="s">
        <v>2597</v>
      </c>
      <c r="I831" s="12" t="s">
        <v>2598</v>
      </c>
      <c r="J831" s="14">
        <v>2852.0</v>
      </c>
      <c r="K831" s="14">
        <v>979.0</v>
      </c>
      <c r="L831" s="15">
        <v>0.3433</v>
      </c>
      <c r="M831" s="16">
        <v>396.0</v>
      </c>
      <c r="N831" s="17">
        <v>0.4723</v>
      </c>
      <c r="O831" s="18">
        <v>42.0</v>
      </c>
      <c r="P831" s="18">
        <v>35.0</v>
      </c>
      <c r="Q831" s="19">
        <v>0.0422</v>
      </c>
      <c r="R831" s="19">
        <v>0.0893</v>
      </c>
      <c r="S831" s="20">
        <v>1.0</v>
      </c>
      <c r="T831" s="20">
        <v>2.0</v>
      </c>
      <c r="U831" s="20">
        <v>3996.0</v>
      </c>
      <c r="V831" s="21" t="s">
        <v>335</v>
      </c>
      <c r="W831" s="18" t="s">
        <v>76</v>
      </c>
      <c r="X831" s="94" t="s">
        <v>52</v>
      </c>
      <c r="Y831" s="66" t="s">
        <v>2722</v>
      </c>
      <c r="Z831" s="20" t="s">
        <v>2731</v>
      </c>
      <c r="AA831" s="14">
        <v>8.0</v>
      </c>
      <c r="AB831" s="14">
        <v>8.0</v>
      </c>
      <c r="AC831" s="14"/>
      <c r="AD831" s="14">
        <v>30364.0</v>
      </c>
      <c r="AE831" s="14">
        <v>30364.0</v>
      </c>
      <c r="AF831" s="14"/>
      <c r="AG831" s="22"/>
      <c r="AH831" s="22"/>
      <c r="AI831" s="22"/>
      <c r="AJ831" s="22"/>
      <c r="AK831" s="22"/>
      <c r="AL831" s="22"/>
      <c r="AM831" s="22"/>
      <c r="AN831" s="22"/>
      <c r="AO831" s="22"/>
      <c r="AP831" s="22"/>
    </row>
    <row r="832" hidden="1">
      <c r="A832" s="8">
        <v>46110.0</v>
      </c>
      <c r="B832" s="23">
        <v>0.4583333333333333</v>
      </c>
      <c r="C832" s="10" t="s">
        <v>32</v>
      </c>
      <c r="D832" s="10" t="s">
        <v>33</v>
      </c>
      <c r="E832" s="12" t="s">
        <v>71</v>
      </c>
      <c r="F832" s="12" t="s">
        <v>2576</v>
      </c>
      <c r="G832" s="12" t="s">
        <v>2732</v>
      </c>
      <c r="H832" s="102" t="s">
        <v>2606</v>
      </c>
      <c r="I832" s="12" t="s">
        <v>2607</v>
      </c>
      <c r="J832" s="14">
        <v>61689.0</v>
      </c>
      <c r="K832" s="14">
        <v>22390.0</v>
      </c>
      <c r="L832" s="15">
        <v>0.3629</v>
      </c>
      <c r="M832" s="16">
        <v>8231.0</v>
      </c>
      <c r="N832" s="17">
        <v>0.4053</v>
      </c>
      <c r="O832" s="18">
        <v>736.0</v>
      </c>
      <c r="P832" s="18">
        <v>681.0</v>
      </c>
      <c r="Q832" s="19">
        <v>0.0339</v>
      </c>
      <c r="R832" s="19">
        <v>0.0836</v>
      </c>
      <c r="S832" s="20">
        <v>4.0</v>
      </c>
      <c r="T832" s="20">
        <v>12.0</v>
      </c>
      <c r="U832" s="20">
        <v>4742.0</v>
      </c>
      <c r="V832" s="21" t="s">
        <v>335</v>
      </c>
      <c r="W832" s="18" t="s">
        <v>76</v>
      </c>
      <c r="X832" s="94" t="s">
        <v>2552</v>
      </c>
      <c r="Y832" s="66" t="s">
        <v>2722</v>
      </c>
      <c r="Z832" s="20" t="s">
        <v>2733</v>
      </c>
      <c r="AA832" s="14">
        <v>41.0</v>
      </c>
      <c r="AB832" s="14">
        <v>41.0</v>
      </c>
      <c r="AC832" s="14"/>
      <c r="AD832" s="14">
        <v>107892.0</v>
      </c>
      <c r="AE832" s="14">
        <v>107892.0</v>
      </c>
      <c r="AF832" s="14"/>
      <c r="AG832" s="22"/>
      <c r="AH832" s="22"/>
      <c r="AI832" s="22"/>
      <c r="AJ832" s="22"/>
      <c r="AK832" s="22"/>
      <c r="AL832" s="22"/>
      <c r="AM832" s="22"/>
      <c r="AN832" s="22"/>
      <c r="AO832" s="22"/>
      <c r="AP832" s="22"/>
    </row>
    <row r="833" hidden="1">
      <c r="A833" s="8">
        <v>46110.0</v>
      </c>
      <c r="B833" s="23">
        <v>0.4583333333333333</v>
      </c>
      <c r="C833" s="10" t="s">
        <v>32</v>
      </c>
      <c r="D833" s="10" t="s">
        <v>33</v>
      </c>
      <c r="E833" s="12" t="s">
        <v>71</v>
      </c>
      <c r="F833" s="12" t="s">
        <v>2576</v>
      </c>
      <c r="G833" s="12" t="s">
        <v>2734</v>
      </c>
      <c r="H833" s="102" t="s">
        <v>2610</v>
      </c>
      <c r="I833" s="102" t="s">
        <v>2611</v>
      </c>
      <c r="J833" s="14">
        <v>939.0</v>
      </c>
      <c r="K833" s="14">
        <v>334.0</v>
      </c>
      <c r="L833" s="15">
        <v>0.3557</v>
      </c>
      <c r="M833" s="16">
        <v>143.0</v>
      </c>
      <c r="N833" s="17">
        <v>0.542</v>
      </c>
      <c r="O833" s="18">
        <v>26.0</v>
      </c>
      <c r="P833" s="18">
        <v>20.0</v>
      </c>
      <c r="Q833" s="19">
        <v>0.0763</v>
      </c>
      <c r="R833" s="19">
        <v>0.1408</v>
      </c>
      <c r="S833" s="20">
        <v>0.0</v>
      </c>
      <c r="T833" s="20">
        <v>3.0</v>
      </c>
      <c r="U833" s="20">
        <v>0.0</v>
      </c>
      <c r="V833" s="21" t="s">
        <v>335</v>
      </c>
      <c r="W833" s="18" t="s">
        <v>76</v>
      </c>
      <c r="X833" s="94" t="s">
        <v>2612</v>
      </c>
      <c r="Y833" s="66" t="s">
        <v>2722</v>
      </c>
      <c r="Z833" s="20" t="s">
        <v>2735</v>
      </c>
      <c r="AA833" s="14">
        <v>0.0</v>
      </c>
      <c r="AB833" s="14">
        <v>0.0</v>
      </c>
      <c r="AC833" s="14"/>
      <c r="AD833" s="14">
        <v>0.0</v>
      </c>
      <c r="AE833" s="14">
        <v>0.0</v>
      </c>
      <c r="AF833" s="14"/>
      <c r="AG833" s="22"/>
      <c r="AH833" s="22"/>
      <c r="AI833" s="22"/>
      <c r="AJ833" s="22"/>
      <c r="AK833" s="22"/>
      <c r="AL833" s="22"/>
      <c r="AM833" s="22"/>
      <c r="AN833" s="22"/>
      <c r="AO833" s="22"/>
      <c r="AP833" s="22"/>
    </row>
    <row r="834" hidden="1">
      <c r="A834" s="8">
        <v>46110.0</v>
      </c>
      <c r="B834" s="23">
        <v>0.4791666666666667</v>
      </c>
      <c r="C834" s="10" t="s">
        <v>32</v>
      </c>
      <c r="D834" s="10" t="s">
        <v>33</v>
      </c>
      <c r="E834" s="12" t="s">
        <v>71</v>
      </c>
      <c r="F834" s="12" t="s">
        <v>2576</v>
      </c>
      <c r="G834" s="12" t="s">
        <v>2736</v>
      </c>
      <c r="H834" s="102" t="s">
        <v>2737</v>
      </c>
      <c r="I834" s="102" t="s">
        <v>2658</v>
      </c>
      <c r="J834" s="14">
        <v>12023.0</v>
      </c>
      <c r="K834" s="14">
        <v>3382.0</v>
      </c>
      <c r="L834" s="15">
        <v>0.2813</v>
      </c>
      <c r="M834" s="16">
        <v>1575.0</v>
      </c>
      <c r="N834" s="17">
        <v>0.4657</v>
      </c>
      <c r="O834" s="18">
        <v>176.0</v>
      </c>
      <c r="P834" s="18">
        <v>164.0</v>
      </c>
      <c r="Q834" s="19">
        <v>0.0485</v>
      </c>
      <c r="R834" s="19">
        <v>0.1041</v>
      </c>
      <c r="S834" s="20">
        <v>0.0</v>
      </c>
      <c r="T834" s="20">
        <v>1.0</v>
      </c>
      <c r="U834" s="20">
        <v>0.0</v>
      </c>
      <c r="V834" s="21" t="s">
        <v>315</v>
      </c>
      <c r="W834" s="18" t="s">
        <v>76</v>
      </c>
      <c r="X834" s="94" t="s">
        <v>2580</v>
      </c>
      <c r="Y834" s="66" t="s">
        <v>2722</v>
      </c>
      <c r="Z834" s="20" t="s">
        <v>2738</v>
      </c>
      <c r="AA834" s="14">
        <v>41.0</v>
      </c>
      <c r="AB834" s="14"/>
      <c r="AC834" s="14">
        <v>41.0</v>
      </c>
      <c r="AD834" s="14">
        <v>197386.0</v>
      </c>
      <c r="AE834" s="14"/>
      <c r="AF834" s="14">
        <v>197386.0</v>
      </c>
      <c r="AG834" s="22"/>
      <c r="AH834" s="22"/>
      <c r="AI834" s="22"/>
      <c r="AJ834" s="22"/>
      <c r="AK834" s="22"/>
      <c r="AL834" s="22"/>
      <c r="AM834" s="22"/>
      <c r="AN834" s="22"/>
      <c r="AO834" s="22"/>
      <c r="AP834" s="22"/>
    </row>
    <row r="835" hidden="1">
      <c r="A835" s="8">
        <v>46110.0</v>
      </c>
      <c r="B835" s="23">
        <v>0.4791666666666667</v>
      </c>
      <c r="C835" s="10" t="s">
        <v>32</v>
      </c>
      <c r="D835" s="10" t="s">
        <v>33</v>
      </c>
      <c r="E835" s="12" t="s">
        <v>71</v>
      </c>
      <c r="F835" s="12" t="s">
        <v>2576</v>
      </c>
      <c r="G835" s="12" t="s">
        <v>2739</v>
      </c>
      <c r="H835" s="102" t="s">
        <v>2662</v>
      </c>
      <c r="I835" s="102" t="s">
        <v>2663</v>
      </c>
      <c r="J835" s="14">
        <v>18692.0</v>
      </c>
      <c r="K835" s="14">
        <v>6370.0</v>
      </c>
      <c r="L835" s="15">
        <v>0.3408</v>
      </c>
      <c r="M835" s="16">
        <v>2764.0</v>
      </c>
      <c r="N835" s="17">
        <v>0.4339</v>
      </c>
      <c r="O835" s="18">
        <v>239.0</v>
      </c>
      <c r="P835" s="18">
        <v>222.0</v>
      </c>
      <c r="Q835" s="19">
        <v>0.0349</v>
      </c>
      <c r="R835" s="19">
        <v>0.0803</v>
      </c>
      <c r="S835" s="20">
        <v>0.0</v>
      </c>
      <c r="T835" s="20">
        <v>0.0</v>
      </c>
      <c r="U835" s="20">
        <v>0.0</v>
      </c>
      <c r="V835" s="21" t="s">
        <v>315</v>
      </c>
      <c r="W835" s="18" t="s">
        <v>76</v>
      </c>
      <c r="X835" s="94" t="s">
        <v>2594</v>
      </c>
      <c r="Y835" s="66" t="s">
        <v>2722</v>
      </c>
      <c r="Z835" s="20" t="s">
        <v>2740</v>
      </c>
      <c r="AA835" s="14">
        <v>17.0</v>
      </c>
      <c r="AB835" s="14"/>
      <c r="AC835" s="14">
        <v>17.0</v>
      </c>
      <c r="AD835" s="14">
        <v>27869.0</v>
      </c>
      <c r="AE835" s="14"/>
      <c r="AF835" s="14">
        <v>27869.0</v>
      </c>
      <c r="AG835" s="22"/>
      <c r="AH835" s="22"/>
      <c r="AI835" s="22"/>
      <c r="AJ835" s="22"/>
      <c r="AK835" s="22"/>
      <c r="AL835" s="22"/>
      <c r="AM835" s="22"/>
      <c r="AN835" s="22"/>
      <c r="AO835" s="22"/>
      <c r="AP835" s="22"/>
    </row>
    <row r="836" hidden="1">
      <c r="A836" s="8">
        <v>46110.0</v>
      </c>
      <c r="B836" s="23">
        <v>0.4791666666666667</v>
      </c>
      <c r="C836" s="10" t="s">
        <v>32</v>
      </c>
      <c r="D836" s="10" t="s">
        <v>33</v>
      </c>
      <c r="E836" s="12" t="s">
        <v>71</v>
      </c>
      <c r="F836" s="12" t="s">
        <v>2576</v>
      </c>
      <c r="G836" s="12" t="s">
        <v>2741</v>
      </c>
      <c r="H836" s="102" t="s">
        <v>2678</v>
      </c>
      <c r="I836" s="102" t="s">
        <v>2679</v>
      </c>
      <c r="J836" s="14">
        <v>19720.0</v>
      </c>
      <c r="K836" s="14">
        <v>7274.0</v>
      </c>
      <c r="L836" s="15">
        <v>0.3689</v>
      </c>
      <c r="M836" s="16">
        <v>2838.0</v>
      </c>
      <c r="N836" s="17">
        <v>0.3902</v>
      </c>
      <c r="O836" s="18">
        <v>267.0</v>
      </c>
      <c r="P836" s="18">
        <v>240.0</v>
      </c>
      <c r="Q836" s="19">
        <v>0.033</v>
      </c>
      <c r="R836" s="19">
        <v>0.0846</v>
      </c>
      <c r="S836" s="20">
        <v>5.0</v>
      </c>
      <c r="T836" s="20">
        <v>4.0</v>
      </c>
      <c r="U836" s="20">
        <v>12066.0</v>
      </c>
      <c r="V836" s="21" t="s">
        <v>315</v>
      </c>
      <c r="W836" s="18" t="s">
        <v>76</v>
      </c>
      <c r="X836" s="94" t="s">
        <v>52</v>
      </c>
      <c r="Y836" s="66" t="s">
        <v>2722</v>
      </c>
      <c r="Z836" s="20" t="s">
        <v>2742</v>
      </c>
      <c r="AA836" s="14">
        <v>26.0</v>
      </c>
      <c r="AB836" s="14"/>
      <c r="AC836" s="14">
        <v>26.0</v>
      </c>
      <c r="AD836" s="14">
        <v>98533.0</v>
      </c>
      <c r="AE836" s="14"/>
      <c r="AF836" s="14">
        <v>98533.0</v>
      </c>
      <c r="AG836" s="22"/>
      <c r="AH836" s="22"/>
      <c r="AI836" s="22"/>
      <c r="AJ836" s="22"/>
      <c r="AK836" s="22"/>
      <c r="AL836" s="22"/>
      <c r="AM836" s="22"/>
      <c r="AN836" s="22"/>
      <c r="AO836" s="22"/>
      <c r="AP836" s="22"/>
    </row>
    <row r="837" hidden="1">
      <c r="A837" s="8">
        <v>46110.0</v>
      </c>
      <c r="B837" s="23">
        <v>0.4791666666666667</v>
      </c>
      <c r="C837" s="10" t="s">
        <v>32</v>
      </c>
      <c r="D837" s="10" t="s">
        <v>33</v>
      </c>
      <c r="E837" s="12" t="s">
        <v>71</v>
      </c>
      <c r="F837" s="12" t="s">
        <v>2576</v>
      </c>
      <c r="G837" s="12" t="s">
        <v>2743</v>
      </c>
      <c r="H837" s="102" t="s">
        <v>2670</v>
      </c>
      <c r="I837" s="102" t="s">
        <v>2671</v>
      </c>
      <c r="J837" s="14">
        <v>39839.0</v>
      </c>
      <c r="K837" s="14">
        <v>19695.0</v>
      </c>
      <c r="L837" s="15">
        <v>0.4944</v>
      </c>
      <c r="M837" s="16">
        <v>7057.0</v>
      </c>
      <c r="N837" s="17">
        <v>0.3584</v>
      </c>
      <c r="O837" s="18">
        <v>746.0</v>
      </c>
      <c r="P837" s="18">
        <v>710.0</v>
      </c>
      <c r="Q837" s="19">
        <v>0.0361</v>
      </c>
      <c r="R837" s="19">
        <v>0.1006</v>
      </c>
      <c r="S837" s="20">
        <v>1.0</v>
      </c>
      <c r="T837" s="20">
        <v>3.0</v>
      </c>
      <c r="U837" s="20">
        <v>1998.0</v>
      </c>
      <c r="V837" s="21" t="s">
        <v>315</v>
      </c>
      <c r="W837" s="18" t="s">
        <v>76</v>
      </c>
      <c r="X837" s="94" t="s">
        <v>41</v>
      </c>
      <c r="Y837" s="66" t="s">
        <v>2722</v>
      </c>
      <c r="Z837" s="20" t="s">
        <v>2744</v>
      </c>
      <c r="AA837" s="14">
        <v>46.0</v>
      </c>
      <c r="AB837" s="14"/>
      <c r="AC837" s="14">
        <v>46.0</v>
      </c>
      <c r="AD837" s="14">
        <v>153665.0</v>
      </c>
      <c r="AE837" s="14"/>
      <c r="AF837" s="14">
        <v>153665.0</v>
      </c>
      <c r="AG837" s="22"/>
      <c r="AH837" s="22"/>
      <c r="AI837" s="22"/>
      <c r="AJ837" s="22"/>
      <c r="AK837" s="22"/>
      <c r="AL837" s="22"/>
      <c r="AM837" s="22"/>
      <c r="AN837" s="22"/>
      <c r="AO837" s="22"/>
      <c r="AP837" s="22"/>
    </row>
    <row r="838" hidden="1">
      <c r="A838" s="8">
        <v>46110.0</v>
      </c>
      <c r="B838" s="23">
        <v>0.4791666666666667</v>
      </c>
      <c r="C838" s="10" t="s">
        <v>32</v>
      </c>
      <c r="D838" s="10" t="s">
        <v>33</v>
      </c>
      <c r="E838" s="12" t="s">
        <v>71</v>
      </c>
      <c r="F838" s="12" t="s">
        <v>2576</v>
      </c>
      <c r="G838" s="12" t="s">
        <v>2745</v>
      </c>
      <c r="H838" s="102" t="s">
        <v>2674</v>
      </c>
      <c r="I838" s="12" t="s">
        <v>2675</v>
      </c>
      <c r="J838" s="14">
        <v>7810.0</v>
      </c>
      <c r="K838" s="14">
        <v>2412.0</v>
      </c>
      <c r="L838" s="15">
        <v>0.3088</v>
      </c>
      <c r="M838" s="16">
        <v>901.0</v>
      </c>
      <c r="N838" s="17">
        <v>0.3735</v>
      </c>
      <c r="O838" s="18">
        <v>159.0</v>
      </c>
      <c r="P838" s="18">
        <v>153.0</v>
      </c>
      <c r="Q838" s="19">
        <v>0.0634</v>
      </c>
      <c r="R838" s="19">
        <v>0.1698</v>
      </c>
      <c r="S838" s="20">
        <v>1.0</v>
      </c>
      <c r="T838" s="20">
        <v>1.0</v>
      </c>
      <c r="U838" s="20">
        <v>3596.0</v>
      </c>
      <c r="V838" s="21" t="s">
        <v>315</v>
      </c>
      <c r="W838" s="18" t="s">
        <v>76</v>
      </c>
      <c r="X838" s="94" t="s">
        <v>2286</v>
      </c>
      <c r="Y838" s="66" t="s">
        <v>2722</v>
      </c>
      <c r="Z838" s="20" t="s">
        <v>2746</v>
      </c>
      <c r="AA838" s="14">
        <v>9.0</v>
      </c>
      <c r="AB838" s="14"/>
      <c r="AC838" s="14">
        <v>9.0</v>
      </c>
      <c r="AD838" s="14">
        <v>24534.0</v>
      </c>
      <c r="AE838" s="14"/>
      <c r="AF838" s="14">
        <v>24534.0</v>
      </c>
      <c r="AG838" s="22"/>
      <c r="AH838" s="22"/>
      <c r="AI838" s="22"/>
      <c r="AJ838" s="22"/>
      <c r="AK838" s="22"/>
      <c r="AL838" s="22"/>
      <c r="AM838" s="22"/>
      <c r="AN838" s="22"/>
      <c r="AO838" s="22"/>
      <c r="AP838" s="22"/>
    </row>
    <row r="839" hidden="1">
      <c r="A839" s="8">
        <v>46110.0</v>
      </c>
      <c r="B839" s="23">
        <v>0.5208333333333334</v>
      </c>
      <c r="C839" s="10" t="s">
        <v>58</v>
      </c>
      <c r="D839" s="10" t="s">
        <v>59</v>
      </c>
      <c r="E839" s="12" t="s">
        <v>71</v>
      </c>
      <c r="F839" s="12" t="s">
        <v>2576</v>
      </c>
      <c r="G839" s="12" t="s">
        <v>2747</v>
      </c>
      <c r="H839" s="112" t="s">
        <v>2578</v>
      </c>
      <c r="I839" s="96" t="s">
        <v>61</v>
      </c>
      <c r="J839" s="14">
        <v>2793.0</v>
      </c>
      <c r="K839" s="14">
        <v>1426.0</v>
      </c>
      <c r="L839" s="15">
        <v>0.5106</v>
      </c>
      <c r="M839" s="16"/>
      <c r="N839" s="17"/>
      <c r="O839" s="18">
        <v>5.0</v>
      </c>
      <c r="P839" s="18"/>
      <c r="Q839" s="19">
        <v>0.0035</v>
      </c>
      <c r="R839" s="19"/>
      <c r="S839" s="20">
        <v>0.0</v>
      </c>
      <c r="T839" s="20">
        <v>1.0</v>
      </c>
      <c r="U839" s="20">
        <v>0.0</v>
      </c>
      <c r="V839" s="21" t="s">
        <v>335</v>
      </c>
      <c r="W839" s="18" t="s">
        <v>62</v>
      </c>
      <c r="X839" s="101" t="s">
        <v>2580</v>
      </c>
      <c r="Y839" s="118">
        <v>46110.0</v>
      </c>
      <c r="Z839" s="20" t="s">
        <v>2748</v>
      </c>
      <c r="AA839" s="14">
        <v>7.0</v>
      </c>
      <c r="AB839" s="14">
        <v>7.0</v>
      </c>
      <c r="AC839" s="14"/>
      <c r="AD839" s="14">
        <v>23376.0</v>
      </c>
      <c r="AE839" s="14">
        <v>23376.0</v>
      </c>
      <c r="AF839" s="14"/>
      <c r="AG839" s="22"/>
      <c r="AH839" s="22"/>
      <c r="AI839" s="22"/>
      <c r="AJ839" s="22"/>
      <c r="AK839" s="22"/>
      <c r="AL839" s="22"/>
      <c r="AM839" s="22"/>
      <c r="AN839" s="22"/>
      <c r="AO839" s="22"/>
      <c r="AP839" s="22"/>
    </row>
    <row r="840" hidden="1">
      <c r="A840" s="8">
        <v>46110.0</v>
      </c>
      <c r="B840" s="23">
        <v>0.5208333333333334</v>
      </c>
      <c r="C840" s="10" t="s">
        <v>58</v>
      </c>
      <c r="D840" s="10" t="s">
        <v>59</v>
      </c>
      <c r="E840" s="12" t="s">
        <v>71</v>
      </c>
      <c r="F840" s="12" t="s">
        <v>2576</v>
      </c>
      <c r="G840" s="12" t="s">
        <v>2749</v>
      </c>
      <c r="H840" s="112" t="s">
        <v>2584</v>
      </c>
      <c r="I840" s="96" t="s">
        <v>61</v>
      </c>
      <c r="J840" s="14">
        <v>4171.0</v>
      </c>
      <c r="K840" s="14">
        <v>2773.0</v>
      </c>
      <c r="L840" s="15">
        <v>0.6648</v>
      </c>
      <c r="M840" s="16"/>
      <c r="N840" s="17"/>
      <c r="O840" s="18">
        <v>3.0</v>
      </c>
      <c r="P840" s="18"/>
      <c r="Q840" s="19">
        <v>0.0011</v>
      </c>
      <c r="R840" s="19"/>
      <c r="S840" s="20">
        <v>13.0</v>
      </c>
      <c r="T840" s="20">
        <v>13.0</v>
      </c>
      <c r="U840" s="20">
        <v>27267.0</v>
      </c>
      <c r="V840" s="21" t="s">
        <v>335</v>
      </c>
      <c r="W840" s="18" t="s">
        <v>62</v>
      </c>
      <c r="X840" s="101" t="s">
        <v>2238</v>
      </c>
      <c r="Y840" s="118">
        <v>46110.0</v>
      </c>
      <c r="Z840" s="20" t="s">
        <v>2750</v>
      </c>
      <c r="AA840" s="14">
        <v>2.0</v>
      </c>
      <c r="AB840" s="14">
        <v>2.0</v>
      </c>
      <c r="AC840" s="14"/>
      <c r="AD840" s="14">
        <v>2997.0</v>
      </c>
      <c r="AE840" s="14">
        <v>2997.0</v>
      </c>
      <c r="AF840" s="14"/>
      <c r="AG840" s="22"/>
      <c r="AH840" s="22"/>
      <c r="AI840" s="22"/>
      <c r="AJ840" s="22"/>
      <c r="AK840" s="22"/>
      <c r="AL840" s="22"/>
      <c r="AM840" s="22"/>
      <c r="AN840" s="22"/>
      <c r="AO840" s="22"/>
      <c r="AP840" s="22"/>
    </row>
    <row r="841" hidden="1">
      <c r="A841" s="8">
        <v>46110.0</v>
      </c>
      <c r="B841" s="23">
        <v>0.5208333333333334</v>
      </c>
      <c r="C841" s="10" t="s">
        <v>58</v>
      </c>
      <c r="D841" s="10" t="s">
        <v>59</v>
      </c>
      <c r="E841" s="12" t="s">
        <v>71</v>
      </c>
      <c r="F841" s="12" t="s">
        <v>2576</v>
      </c>
      <c r="G841" s="12" t="s">
        <v>2751</v>
      </c>
      <c r="H841" s="112" t="s">
        <v>2588</v>
      </c>
      <c r="I841" s="96" t="s">
        <v>61</v>
      </c>
      <c r="J841" s="14">
        <v>474.0</v>
      </c>
      <c r="K841" s="14">
        <v>318.0</v>
      </c>
      <c r="L841" s="15">
        <v>0.6709</v>
      </c>
      <c r="M841" s="16"/>
      <c r="N841" s="17"/>
      <c r="O841" s="18">
        <v>2.0</v>
      </c>
      <c r="P841" s="18"/>
      <c r="Q841" s="19">
        <v>0.0063</v>
      </c>
      <c r="R841" s="19"/>
      <c r="S841" s="20">
        <v>0.0</v>
      </c>
      <c r="T841" s="20">
        <v>2.0</v>
      </c>
      <c r="U841" s="20">
        <v>0.0</v>
      </c>
      <c r="V841" s="21" t="s">
        <v>335</v>
      </c>
      <c r="W841" s="18" t="s">
        <v>62</v>
      </c>
      <c r="X841" s="101" t="s">
        <v>2282</v>
      </c>
      <c r="Y841" s="118">
        <v>46110.0</v>
      </c>
      <c r="Z841" s="20" t="s">
        <v>2752</v>
      </c>
      <c r="AA841" s="14">
        <v>1.0</v>
      </c>
      <c r="AB841" s="14">
        <v>1.0</v>
      </c>
      <c r="AC841" s="14"/>
      <c r="AD841" s="14">
        <v>598.0</v>
      </c>
      <c r="AE841" s="14">
        <v>598.0</v>
      </c>
      <c r="AF841" s="14"/>
      <c r="AG841" s="22"/>
      <c r="AH841" s="22"/>
      <c r="AI841" s="22"/>
      <c r="AJ841" s="22"/>
      <c r="AK841" s="22"/>
      <c r="AL841" s="22"/>
      <c r="AM841" s="22"/>
      <c r="AN841" s="22"/>
      <c r="AO841" s="22"/>
      <c r="AP841" s="22"/>
    </row>
    <row r="842" hidden="1">
      <c r="A842" s="8">
        <v>46110.0</v>
      </c>
      <c r="B842" s="23">
        <v>0.5208333333333334</v>
      </c>
      <c r="C842" s="10" t="s">
        <v>58</v>
      </c>
      <c r="D842" s="10" t="s">
        <v>59</v>
      </c>
      <c r="E842" s="12" t="s">
        <v>71</v>
      </c>
      <c r="F842" s="12" t="s">
        <v>2576</v>
      </c>
      <c r="G842" s="12" t="s">
        <v>2753</v>
      </c>
      <c r="H842" s="112" t="s">
        <v>2592</v>
      </c>
      <c r="I842" s="96" t="s">
        <v>61</v>
      </c>
      <c r="J842" s="14">
        <v>6429.0</v>
      </c>
      <c r="K842" s="14">
        <v>4108.0</v>
      </c>
      <c r="L842" s="15">
        <v>0.639</v>
      </c>
      <c r="M842" s="16"/>
      <c r="N842" s="17"/>
      <c r="O842" s="18">
        <v>4.0</v>
      </c>
      <c r="P842" s="18"/>
      <c r="Q842" s="19">
        <v>0.001</v>
      </c>
      <c r="R842" s="19"/>
      <c r="S842" s="20">
        <v>0.0</v>
      </c>
      <c r="T842" s="20">
        <v>1.0</v>
      </c>
      <c r="U842" s="20">
        <v>0.0</v>
      </c>
      <c r="V842" s="21" t="s">
        <v>335</v>
      </c>
      <c r="W842" s="18" t="s">
        <v>62</v>
      </c>
      <c r="X842" s="101" t="s">
        <v>2594</v>
      </c>
      <c r="Y842" s="118">
        <v>46110.0</v>
      </c>
      <c r="Z842" s="20" t="s">
        <v>2754</v>
      </c>
      <c r="AA842" s="14">
        <v>6.0</v>
      </c>
      <c r="AB842" s="14">
        <v>6.0</v>
      </c>
      <c r="AC842" s="14"/>
      <c r="AD842" s="14">
        <v>11489.0</v>
      </c>
      <c r="AE842" s="14">
        <v>11489.0</v>
      </c>
      <c r="AF842" s="14"/>
      <c r="AG842" s="22"/>
      <c r="AH842" s="22"/>
      <c r="AI842" s="22"/>
      <c r="AJ842" s="22"/>
      <c r="AK842" s="22"/>
      <c r="AL842" s="22"/>
      <c r="AM842" s="22"/>
      <c r="AN842" s="22"/>
      <c r="AO842" s="22"/>
      <c r="AP842" s="22"/>
    </row>
    <row r="843" hidden="1">
      <c r="A843" s="8">
        <v>46110.0</v>
      </c>
      <c r="B843" s="23">
        <v>0.5208333333333334</v>
      </c>
      <c r="C843" s="10" t="s">
        <v>58</v>
      </c>
      <c r="D843" s="10" t="s">
        <v>59</v>
      </c>
      <c r="E843" s="12" t="s">
        <v>71</v>
      </c>
      <c r="F843" s="12" t="s">
        <v>2576</v>
      </c>
      <c r="G843" s="12" t="s">
        <v>2755</v>
      </c>
      <c r="H843" s="112" t="s">
        <v>2597</v>
      </c>
      <c r="I843" s="96" t="s">
        <v>61</v>
      </c>
      <c r="J843" s="14">
        <v>1830.0</v>
      </c>
      <c r="K843" s="14">
        <v>980.0</v>
      </c>
      <c r="L843" s="15">
        <v>0.5355</v>
      </c>
      <c r="M843" s="16"/>
      <c r="N843" s="17"/>
      <c r="O843" s="18">
        <v>1.0</v>
      </c>
      <c r="P843" s="18"/>
      <c r="Q843" s="19">
        <v>0.001</v>
      </c>
      <c r="R843" s="19"/>
      <c r="S843" s="20">
        <v>0.0</v>
      </c>
      <c r="T843" s="20">
        <v>0.0</v>
      </c>
      <c r="U843" s="20">
        <v>0.0</v>
      </c>
      <c r="V843" s="21" t="s">
        <v>335</v>
      </c>
      <c r="W843" s="18" t="s">
        <v>62</v>
      </c>
      <c r="X843" s="101" t="s">
        <v>52</v>
      </c>
      <c r="Y843" s="118">
        <v>46110.0</v>
      </c>
      <c r="Z843" s="20" t="s">
        <v>2756</v>
      </c>
      <c r="AA843" s="14">
        <v>4.0</v>
      </c>
      <c r="AB843" s="14">
        <v>4.0</v>
      </c>
      <c r="AC843" s="14"/>
      <c r="AD843" s="14">
        <v>12987.0</v>
      </c>
      <c r="AE843" s="14">
        <v>12987.0</v>
      </c>
      <c r="AF843" s="14"/>
      <c r="AG843" s="22"/>
      <c r="AH843" s="22"/>
      <c r="AI843" s="22"/>
      <c r="AJ843" s="22"/>
      <c r="AK843" s="22"/>
      <c r="AL843" s="22"/>
      <c r="AM843" s="22"/>
      <c r="AN843" s="22"/>
      <c r="AO843" s="22"/>
      <c r="AP843" s="22"/>
    </row>
    <row r="844" hidden="1">
      <c r="A844" s="8">
        <v>46110.0</v>
      </c>
      <c r="B844" s="23">
        <v>0.5208333333333334</v>
      </c>
      <c r="C844" s="10" t="s">
        <v>58</v>
      </c>
      <c r="D844" s="10" t="s">
        <v>59</v>
      </c>
      <c r="E844" s="12" t="s">
        <v>71</v>
      </c>
      <c r="F844" s="12" t="s">
        <v>2576</v>
      </c>
      <c r="G844" s="12" t="s">
        <v>2757</v>
      </c>
      <c r="H844" s="112" t="s">
        <v>2606</v>
      </c>
      <c r="I844" s="96" t="s">
        <v>61</v>
      </c>
      <c r="J844" s="14">
        <v>37885.0</v>
      </c>
      <c r="K844" s="14">
        <v>22664.0</v>
      </c>
      <c r="L844" s="15">
        <v>0.5982</v>
      </c>
      <c r="M844" s="16"/>
      <c r="N844" s="17"/>
      <c r="O844" s="18">
        <v>35.0</v>
      </c>
      <c r="P844" s="18"/>
      <c r="Q844" s="19">
        <v>0.0015</v>
      </c>
      <c r="R844" s="19"/>
      <c r="S844" s="20">
        <v>2.0</v>
      </c>
      <c r="T844" s="20">
        <v>2.0</v>
      </c>
      <c r="U844" s="20">
        <v>14985.0</v>
      </c>
      <c r="V844" s="21" t="s">
        <v>335</v>
      </c>
      <c r="W844" s="18" t="s">
        <v>62</v>
      </c>
      <c r="X844" s="101" t="s">
        <v>2552</v>
      </c>
      <c r="Y844" s="118">
        <v>46110.0</v>
      </c>
      <c r="Z844" s="20" t="s">
        <v>2758</v>
      </c>
      <c r="AA844" s="14">
        <v>17.0</v>
      </c>
      <c r="AB844" s="14">
        <v>17.0</v>
      </c>
      <c r="AC844" s="14"/>
      <c r="AD844" s="14">
        <v>12987.0</v>
      </c>
      <c r="AE844" s="14">
        <v>12987.0</v>
      </c>
      <c r="AF844" s="14"/>
      <c r="AG844" s="22"/>
      <c r="AH844" s="22"/>
      <c r="AI844" s="22"/>
      <c r="AJ844" s="22"/>
      <c r="AK844" s="22"/>
      <c r="AL844" s="22"/>
      <c r="AM844" s="22"/>
      <c r="AN844" s="22"/>
      <c r="AO844" s="22"/>
      <c r="AP844" s="22"/>
    </row>
    <row r="845" hidden="1">
      <c r="A845" s="8">
        <v>46110.0</v>
      </c>
      <c r="B845" s="23">
        <v>0.5208333333333334</v>
      </c>
      <c r="C845" s="10" t="s">
        <v>58</v>
      </c>
      <c r="D845" s="10" t="s">
        <v>59</v>
      </c>
      <c r="E845" s="12" t="s">
        <v>71</v>
      </c>
      <c r="F845" s="12" t="s">
        <v>2576</v>
      </c>
      <c r="G845" s="12" t="s">
        <v>2759</v>
      </c>
      <c r="H845" s="112" t="s">
        <v>2610</v>
      </c>
      <c r="I845" s="96" t="s">
        <v>61</v>
      </c>
      <c r="J845" s="14">
        <v>587.0</v>
      </c>
      <c r="K845" s="14">
        <v>380.0</v>
      </c>
      <c r="L845" s="15">
        <v>0.6474</v>
      </c>
      <c r="M845" s="16"/>
      <c r="N845" s="17"/>
      <c r="O845" s="18">
        <v>0.0</v>
      </c>
      <c r="P845" s="18"/>
      <c r="Q845" s="19">
        <v>0.0</v>
      </c>
      <c r="R845" s="19"/>
      <c r="S845" s="20">
        <v>0.0</v>
      </c>
      <c r="T845" s="20">
        <v>1.0</v>
      </c>
      <c r="U845" s="20">
        <v>0.0</v>
      </c>
      <c r="V845" s="21" t="s">
        <v>335</v>
      </c>
      <c r="W845" s="18" t="s">
        <v>62</v>
      </c>
      <c r="X845" s="101" t="s">
        <v>2612</v>
      </c>
      <c r="Y845" s="118">
        <v>46110.0</v>
      </c>
      <c r="Z845" s="20" t="s">
        <v>2760</v>
      </c>
      <c r="AA845" s="14">
        <v>1.0</v>
      </c>
      <c r="AB845" s="14">
        <v>1.0</v>
      </c>
      <c r="AC845" s="14"/>
      <c r="AD845" s="14">
        <v>4097.0</v>
      </c>
      <c r="AE845" s="14">
        <v>4097.0</v>
      </c>
      <c r="AF845" s="14"/>
      <c r="AG845" s="22"/>
      <c r="AH845" s="22"/>
      <c r="AI845" s="22"/>
      <c r="AJ845" s="22"/>
      <c r="AK845" s="22"/>
      <c r="AL845" s="22"/>
      <c r="AM845" s="22"/>
      <c r="AN845" s="22"/>
      <c r="AO845" s="22"/>
      <c r="AP845" s="22"/>
    </row>
    <row r="846" hidden="1">
      <c r="A846" s="8">
        <v>46110.0</v>
      </c>
      <c r="B846" s="23">
        <v>0.5208333333333334</v>
      </c>
      <c r="C846" s="10" t="s">
        <v>58</v>
      </c>
      <c r="D846" s="10" t="s">
        <v>59</v>
      </c>
      <c r="E846" s="12" t="s">
        <v>71</v>
      </c>
      <c r="F846" s="12" t="s">
        <v>2576</v>
      </c>
      <c r="G846" s="12" t="s">
        <v>2761</v>
      </c>
      <c r="H846" s="112" t="s">
        <v>2737</v>
      </c>
      <c r="I846" s="96" t="s">
        <v>61</v>
      </c>
      <c r="J846" s="14">
        <v>8425.0</v>
      </c>
      <c r="K846" s="14">
        <v>4694.0</v>
      </c>
      <c r="L846" s="15">
        <v>0.5572</v>
      </c>
      <c r="M846" s="16"/>
      <c r="N846" s="17"/>
      <c r="O846" s="18">
        <v>4.0</v>
      </c>
      <c r="P846" s="18"/>
      <c r="Q846" s="19">
        <v>9.0E-4</v>
      </c>
      <c r="R846" s="19"/>
      <c r="S846" s="20">
        <v>1.0</v>
      </c>
      <c r="T846" s="20">
        <v>1.0</v>
      </c>
      <c r="U846" s="20">
        <v>948.0</v>
      </c>
      <c r="V846" s="21" t="s">
        <v>2695</v>
      </c>
      <c r="W846" s="18" t="s">
        <v>62</v>
      </c>
      <c r="X846" s="101" t="s">
        <v>2580</v>
      </c>
      <c r="Y846" s="118">
        <v>46110.0</v>
      </c>
      <c r="Z846" s="20" t="s">
        <v>2762</v>
      </c>
      <c r="AA846" s="14">
        <v>33.0</v>
      </c>
      <c r="AB846" s="14"/>
      <c r="AC846" s="14">
        <v>33.0</v>
      </c>
      <c r="AD846" s="14">
        <v>119931.0</v>
      </c>
      <c r="AE846" s="14"/>
      <c r="AF846" s="14">
        <v>119931.0</v>
      </c>
      <c r="AG846" s="22"/>
      <c r="AH846" s="22"/>
      <c r="AI846" s="22"/>
      <c r="AJ846" s="22"/>
      <c r="AK846" s="22"/>
      <c r="AL846" s="22"/>
      <c r="AM846" s="22"/>
      <c r="AN846" s="22"/>
      <c r="AO846" s="22"/>
      <c r="AP846" s="22"/>
    </row>
    <row r="847" hidden="1">
      <c r="A847" s="8">
        <v>46110.0</v>
      </c>
      <c r="B847" s="23">
        <v>0.5208333333333334</v>
      </c>
      <c r="C847" s="10" t="s">
        <v>58</v>
      </c>
      <c r="D847" s="10" t="s">
        <v>59</v>
      </c>
      <c r="E847" s="12" t="s">
        <v>71</v>
      </c>
      <c r="F847" s="12" t="s">
        <v>2576</v>
      </c>
      <c r="G847" s="12" t="s">
        <v>2763</v>
      </c>
      <c r="H847" s="112" t="s">
        <v>2662</v>
      </c>
      <c r="I847" s="96" t="s">
        <v>61</v>
      </c>
      <c r="J847" s="14">
        <v>11873.0</v>
      </c>
      <c r="K847" s="14">
        <v>7306.0</v>
      </c>
      <c r="L847" s="15">
        <v>0.6153</v>
      </c>
      <c r="M847" s="16"/>
      <c r="N847" s="17"/>
      <c r="O847" s="18">
        <v>5.0</v>
      </c>
      <c r="P847" s="18"/>
      <c r="Q847" s="19">
        <v>7.0E-4</v>
      </c>
      <c r="R847" s="19"/>
      <c r="S847" s="20">
        <v>0.0</v>
      </c>
      <c r="T847" s="20">
        <v>0.0</v>
      </c>
      <c r="U847" s="20">
        <v>0.0</v>
      </c>
      <c r="V847" s="21" t="s">
        <v>2695</v>
      </c>
      <c r="W847" s="18" t="s">
        <v>62</v>
      </c>
      <c r="X847" s="101" t="s">
        <v>2594</v>
      </c>
      <c r="Y847" s="118">
        <v>46110.0</v>
      </c>
      <c r="Z847" s="20" t="s">
        <v>2764</v>
      </c>
      <c r="AA847" s="14">
        <v>10.0</v>
      </c>
      <c r="AB847" s="14"/>
      <c r="AC847" s="14">
        <v>10.0</v>
      </c>
      <c r="AD847" s="14">
        <v>17581.0</v>
      </c>
      <c r="AE847" s="14"/>
      <c r="AF847" s="14">
        <v>17581.0</v>
      </c>
      <c r="AG847" s="22"/>
      <c r="AH847" s="22"/>
      <c r="AI847" s="22"/>
      <c r="AJ847" s="22"/>
      <c r="AK847" s="22"/>
      <c r="AL847" s="22"/>
      <c r="AM847" s="22"/>
      <c r="AN847" s="22"/>
      <c r="AO847" s="22"/>
      <c r="AP847" s="22"/>
    </row>
    <row r="848" hidden="1">
      <c r="A848" s="8">
        <v>46110.0</v>
      </c>
      <c r="B848" s="23">
        <v>0.5208333333333334</v>
      </c>
      <c r="C848" s="10" t="s">
        <v>58</v>
      </c>
      <c r="D848" s="10" t="s">
        <v>59</v>
      </c>
      <c r="E848" s="12" t="s">
        <v>71</v>
      </c>
      <c r="F848" s="12" t="s">
        <v>2576</v>
      </c>
      <c r="G848" s="12" t="s">
        <v>2765</v>
      </c>
      <c r="H848" s="112" t="s">
        <v>2678</v>
      </c>
      <c r="I848" s="96" t="s">
        <v>61</v>
      </c>
      <c r="J848" s="14">
        <v>12078.0</v>
      </c>
      <c r="K848" s="14">
        <v>6932.0</v>
      </c>
      <c r="L848" s="15">
        <v>0.5739</v>
      </c>
      <c r="M848" s="16"/>
      <c r="N848" s="17"/>
      <c r="O848" s="18">
        <v>8.0</v>
      </c>
      <c r="P848" s="18"/>
      <c r="Q848" s="19">
        <v>0.0012</v>
      </c>
      <c r="R848" s="19"/>
      <c r="S848" s="20">
        <v>0.0</v>
      </c>
      <c r="T848" s="20">
        <v>0.0</v>
      </c>
      <c r="U848" s="20">
        <v>0.0</v>
      </c>
      <c r="V848" s="21" t="s">
        <v>2695</v>
      </c>
      <c r="W848" s="18" t="s">
        <v>62</v>
      </c>
      <c r="X848" s="101" t="s">
        <v>52</v>
      </c>
      <c r="Y848" s="118">
        <v>46110.0</v>
      </c>
      <c r="Z848" s="20" t="s">
        <v>2766</v>
      </c>
      <c r="AA848" s="14">
        <v>16.0</v>
      </c>
      <c r="AB848" s="14"/>
      <c r="AC848" s="14">
        <v>16.0</v>
      </c>
      <c r="AD848" s="14">
        <v>58749.0</v>
      </c>
      <c r="AE848" s="14"/>
      <c r="AF848" s="14">
        <v>58749.0</v>
      </c>
      <c r="AG848" s="22"/>
      <c r="AH848" s="22"/>
      <c r="AI848" s="22"/>
      <c r="AJ848" s="22"/>
      <c r="AK848" s="22"/>
      <c r="AL848" s="22"/>
      <c r="AM848" s="22"/>
      <c r="AN848" s="22"/>
      <c r="AO848" s="22"/>
      <c r="AP848" s="22"/>
    </row>
    <row r="849" hidden="1">
      <c r="A849" s="8">
        <v>46110.0</v>
      </c>
      <c r="B849" s="23">
        <v>0.5208333333333334</v>
      </c>
      <c r="C849" s="10" t="s">
        <v>58</v>
      </c>
      <c r="D849" s="10" t="s">
        <v>59</v>
      </c>
      <c r="E849" s="12" t="s">
        <v>71</v>
      </c>
      <c r="F849" s="12" t="s">
        <v>2576</v>
      </c>
      <c r="G849" s="12" t="s">
        <v>2767</v>
      </c>
      <c r="H849" s="112" t="s">
        <v>2670</v>
      </c>
      <c r="I849" s="96" t="s">
        <v>61</v>
      </c>
      <c r="J849" s="14">
        <v>19324.0</v>
      </c>
      <c r="K849" s="14">
        <v>11022.0</v>
      </c>
      <c r="L849" s="15">
        <v>0.5704</v>
      </c>
      <c r="M849" s="16"/>
      <c r="N849" s="17"/>
      <c r="O849" s="18">
        <v>10.0</v>
      </c>
      <c r="P849" s="18"/>
      <c r="Q849" s="19">
        <v>9.0E-4</v>
      </c>
      <c r="R849" s="19"/>
      <c r="S849" s="20">
        <v>0.0</v>
      </c>
      <c r="T849" s="20">
        <v>2.0</v>
      </c>
      <c r="U849" s="20">
        <v>0.0</v>
      </c>
      <c r="V849" s="21" t="s">
        <v>2695</v>
      </c>
      <c r="W849" s="18" t="s">
        <v>62</v>
      </c>
      <c r="X849" s="101" t="s">
        <v>41</v>
      </c>
      <c r="Y849" s="118">
        <v>46110.0</v>
      </c>
      <c r="Z849" s="20" t="s">
        <v>2768</v>
      </c>
      <c r="AA849" s="14">
        <v>17.0</v>
      </c>
      <c r="AB849" s="14"/>
      <c r="AC849" s="14">
        <v>17.0</v>
      </c>
      <c r="AD849" s="14">
        <v>45462.0</v>
      </c>
      <c r="AE849" s="14"/>
      <c r="AF849" s="14">
        <v>45462.0</v>
      </c>
      <c r="AG849" s="22"/>
      <c r="AH849" s="22"/>
      <c r="AI849" s="22"/>
      <c r="AJ849" s="22"/>
      <c r="AK849" s="22"/>
      <c r="AL849" s="22"/>
      <c r="AM849" s="22"/>
      <c r="AN849" s="22"/>
      <c r="AO849" s="22"/>
      <c r="AP849" s="22"/>
    </row>
    <row r="850" hidden="1">
      <c r="A850" s="8">
        <v>46110.0</v>
      </c>
      <c r="B850" s="23">
        <v>0.5208333333333334</v>
      </c>
      <c r="C850" s="10" t="s">
        <v>58</v>
      </c>
      <c r="D850" s="10" t="s">
        <v>59</v>
      </c>
      <c r="E850" s="12" t="s">
        <v>71</v>
      </c>
      <c r="F850" s="12" t="s">
        <v>2576</v>
      </c>
      <c r="G850" s="12" t="s">
        <v>2769</v>
      </c>
      <c r="H850" s="112" t="s">
        <v>2674</v>
      </c>
      <c r="I850" s="96" t="s">
        <v>61</v>
      </c>
      <c r="J850" s="14">
        <v>5229.0</v>
      </c>
      <c r="K850" s="14">
        <v>3154.0</v>
      </c>
      <c r="L850" s="15">
        <v>0.6032</v>
      </c>
      <c r="M850" s="16"/>
      <c r="N850" s="17"/>
      <c r="O850" s="18">
        <v>6.0</v>
      </c>
      <c r="P850" s="18"/>
      <c r="Q850" s="19">
        <v>0.0019</v>
      </c>
      <c r="R850" s="19"/>
      <c r="S850" s="20">
        <v>0.0</v>
      </c>
      <c r="T850" s="20">
        <v>0.0</v>
      </c>
      <c r="U850" s="20">
        <v>0.0</v>
      </c>
      <c r="V850" s="21" t="s">
        <v>2695</v>
      </c>
      <c r="W850" s="18" t="s">
        <v>62</v>
      </c>
      <c r="X850" s="101" t="s">
        <v>2286</v>
      </c>
      <c r="Y850" s="118">
        <v>46110.0</v>
      </c>
      <c r="Z850" s="20" t="s">
        <v>2770</v>
      </c>
      <c r="AA850" s="14">
        <v>3.0</v>
      </c>
      <c r="AB850" s="14"/>
      <c r="AC850" s="14">
        <v>3.0</v>
      </c>
      <c r="AD850" s="14">
        <v>15984.0</v>
      </c>
      <c r="AE850" s="14"/>
      <c r="AF850" s="14">
        <v>15984.0</v>
      </c>
      <c r="AG850" s="22"/>
      <c r="AH850" s="22"/>
      <c r="AI850" s="22"/>
      <c r="AJ850" s="22"/>
      <c r="AK850" s="22"/>
      <c r="AL850" s="22"/>
      <c r="AM850" s="22"/>
      <c r="AN850" s="22"/>
      <c r="AO850" s="22"/>
      <c r="AP850" s="22"/>
    </row>
    <row r="851" hidden="1">
      <c r="A851" s="8">
        <v>46113.0</v>
      </c>
      <c r="B851" s="23">
        <v>0.7708333333333334</v>
      </c>
      <c r="C851" s="10" t="s">
        <v>32</v>
      </c>
      <c r="D851" s="10" t="s">
        <v>33</v>
      </c>
      <c r="E851" s="12" t="s">
        <v>71</v>
      </c>
      <c r="F851" s="12" t="s">
        <v>1367</v>
      </c>
      <c r="G851" s="12" t="s">
        <v>2771</v>
      </c>
      <c r="H851" s="112" t="s">
        <v>2772</v>
      </c>
      <c r="I851" s="30" t="s">
        <v>2773</v>
      </c>
      <c r="J851" s="14">
        <v>4052.0</v>
      </c>
      <c r="K851" s="14">
        <v>1331.0</v>
      </c>
      <c r="L851" s="15">
        <v>0.3285</v>
      </c>
      <c r="M851" s="16">
        <v>670.0</v>
      </c>
      <c r="N851" s="17">
        <v>0.5045</v>
      </c>
      <c r="O851" s="18">
        <v>169.0</v>
      </c>
      <c r="P851" s="18">
        <v>155.0</v>
      </c>
      <c r="Q851" s="19">
        <v>0.1167</v>
      </c>
      <c r="R851" s="19">
        <v>0.2313</v>
      </c>
      <c r="S851" s="20">
        <v>8.0</v>
      </c>
      <c r="T851" s="20">
        <v>13.0</v>
      </c>
      <c r="U851" s="20">
        <v>40875.0</v>
      </c>
      <c r="V851" s="21" t="s">
        <v>335</v>
      </c>
      <c r="W851" s="18" t="s">
        <v>76</v>
      </c>
      <c r="X851" s="101" t="s">
        <v>165</v>
      </c>
      <c r="Y851" s="73" t="s">
        <v>2774</v>
      </c>
      <c r="Z851" s="20" t="s">
        <v>2775</v>
      </c>
      <c r="AA851" s="14">
        <v>28.0</v>
      </c>
      <c r="AB851" s="14">
        <v>28.0</v>
      </c>
      <c r="AC851" s="14"/>
      <c r="AD851" s="14">
        <v>139818.0</v>
      </c>
      <c r="AE851" s="14">
        <v>139818.0</v>
      </c>
      <c r="AF851" s="52"/>
      <c r="AG851" s="22"/>
      <c r="AH851" s="22"/>
      <c r="AI851" s="22"/>
      <c r="AJ851" s="22"/>
      <c r="AK851" s="22"/>
      <c r="AL851" s="22"/>
      <c r="AM851" s="22"/>
      <c r="AN851" s="22"/>
      <c r="AO851" s="22"/>
      <c r="AP851" s="22"/>
    </row>
    <row r="852" hidden="1">
      <c r="A852" s="8">
        <v>46113.0</v>
      </c>
      <c r="B852" s="23">
        <v>0.7708333333333334</v>
      </c>
      <c r="C852" s="10" t="s">
        <v>32</v>
      </c>
      <c r="D852" s="10" t="s">
        <v>33</v>
      </c>
      <c r="E852" s="12" t="s">
        <v>71</v>
      </c>
      <c r="F852" s="12" t="s">
        <v>1367</v>
      </c>
      <c r="G852" s="12" t="s">
        <v>2776</v>
      </c>
      <c r="H852" s="112" t="s">
        <v>2777</v>
      </c>
      <c r="I852" s="30" t="s">
        <v>2778</v>
      </c>
      <c r="J852" s="14">
        <v>60159.0</v>
      </c>
      <c r="K852" s="14">
        <v>23142.0</v>
      </c>
      <c r="L852" s="15">
        <v>0.3847</v>
      </c>
      <c r="M852" s="16">
        <v>9389.0</v>
      </c>
      <c r="N852" s="17">
        <v>0.4057</v>
      </c>
      <c r="O852" s="18">
        <v>1617.0</v>
      </c>
      <c r="P852" s="18">
        <v>1528.0</v>
      </c>
      <c r="Q852" s="19">
        <v>0.066</v>
      </c>
      <c r="R852" s="19">
        <v>0.1628</v>
      </c>
      <c r="S852" s="20">
        <v>27.0</v>
      </c>
      <c r="T852" s="20">
        <v>54.0</v>
      </c>
      <c r="U852" s="20">
        <v>98574.0</v>
      </c>
      <c r="V852" s="21" t="s">
        <v>335</v>
      </c>
      <c r="W852" s="18" t="s">
        <v>76</v>
      </c>
      <c r="X852" s="101" t="s">
        <v>82</v>
      </c>
      <c r="Y852" s="73" t="s">
        <v>2774</v>
      </c>
      <c r="Z852" s="20" t="s">
        <v>2779</v>
      </c>
      <c r="AA852" s="14">
        <v>132.0</v>
      </c>
      <c r="AB852" s="14">
        <v>132.0</v>
      </c>
      <c r="AC852" s="14"/>
      <c r="AD852" s="14">
        <v>467437.0</v>
      </c>
      <c r="AE852" s="14">
        <v>467437.0</v>
      </c>
      <c r="AF852" s="52"/>
      <c r="AG852" s="22"/>
      <c r="AH852" s="22"/>
      <c r="AI852" s="22"/>
      <c r="AJ852" s="22"/>
      <c r="AK852" s="22"/>
      <c r="AL852" s="22"/>
      <c r="AM852" s="22"/>
      <c r="AN852" s="22"/>
      <c r="AO852" s="22"/>
      <c r="AP852" s="22"/>
    </row>
    <row r="853" hidden="1">
      <c r="A853" s="8">
        <v>46113.0</v>
      </c>
      <c r="B853" s="23">
        <v>0.7708333333333334</v>
      </c>
      <c r="C853" s="10" t="s">
        <v>32</v>
      </c>
      <c r="D853" s="10" t="s">
        <v>33</v>
      </c>
      <c r="E853" s="12" t="s">
        <v>71</v>
      </c>
      <c r="F853" s="12" t="s">
        <v>1367</v>
      </c>
      <c r="G853" s="12" t="s">
        <v>2780</v>
      </c>
      <c r="H853" s="112" t="s">
        <v>2781</v>
      </c>
      <c r="I853" s="30" t="s">
        <v>2782</v>
      </c>
      <c r="J853" s="14">
        <v>59730.0</v>
      </c>
      <c r="K853" s="14">
        <v>26599.0</v>
      </c>
      <c r="L853" s="15">
        <v>0.4453</v>
      </c>
      <c r="M853" s="16">
        <v>10680.0</v>
      </c>
      <c r="N853" s="17">
        <v>0.4015</v>
      </c>
      <c r="O853" s="18">
        <v>1726.0</v>
      </c>
      <c r="P853" s="18">
        <v>1627.0</v>
      </c>
      <c r="Q853" s="19">
        <v>0.0612</v>
      </c>
      <c r="R853" s="19">
        <v>0.1524</v>
      </c>
      <c r="S853" s="20">
        <v>11.0</v>
      </c>
      <c r="T853" s="20">
        <v>30.0</v>
      </c>
      <c r="U853" s="20">
        <v>23869.0</v>
      </c>
      <c r="V853" s="21" t="s">
        <v>335</v>
      </c>
      <c r="W853" s="18" t="s">
        <v>76</v>
      </c>
      <c r="X853" s="101" t="s">
        <v>2594</v>
      </c>
      <c r="Y853" s="73" t="s">
        <v>2774</v>
      </c>
      <c r="Z853" s="20" t="s">
        <v>2783</v>
      </c>
      <c r="AA853" s="14">
        <v>58.0</v>
      </c>
      <c r="AB853" s="14">
        <v>58.0</v>
      </c>
      <c r="AC853" s="14"/>
      <c r="AD853" s="14">
        <v>126905.0</v>
      </c>
      <c r="AE853" s="14">
        <v>126905.0</v>
      </c>
      <c r="AF853" s="52"/>
      <c r="AG853" s="22"/>
      <c r="AH853" s="22"/>
      <c r="AI853" s="22"/>
      <c r="AJ853" s="22"/>
      <c r="AK853" s="22"/>
      <c r="AL853" s="22"/>
      <c r="AM853" s="22"/>
      <c r="AN853" s="22"/>
      <c r="AO853" s="22"/>
      <c r="AP853" s="22"/>
    </row>
    <row r="854" hidden="1">
      <c r="A854" s="8">
        <v>46113.0</v>
      </c>
      <c r="B854" s="23">
        <v>0.7708333333333334</v>
      </c>
      <c r="C854" s="10" t="s">
        <v>32</v>
      </c>
      <c r="D854" s="10" t="s">
        <v>33</v>
      </c>
      <c r="E854" s="12" t="s">
        <v>71</v>
      </c>
      <c r="F854" s="12" t="s">
        <v>1367</v>
      </c>
      <c r="G854" s="12" t="s">
        <v>2784</v>
      </c>
      <c r="H854" s="112" t="s">
        <v>2785</v>
      </c>
      <c r="I854" s="30" t="s">
        <v>2786</v>
      </c>
      <c r="J854" s="14">
        <v>13059.0</v>
      </c>
      <c r="K854" s="14">
        <v>4626.0</v>
      </c>
      <c r="L854" s="15">
        <v>0.3542</v>
      </c>
      <c r="M854" s="16">
        <v>2031.0</v>
      </c>
      <c r="N854" s="17">
        <v>0.439</v>
      </c>
      <c r="O854" s="18">
        <v>271.0</v>
      </c>
      <c r="P854" s="18">
        <v>262.0</v>
      </c>
      <c r="Q854" s="19">
        <v>0.0566</v>
      </c>
      <c r="R854" s="19">
        <v>0.129</v>
      </c>
      <c r="S854" s="20">
        <v>9.0</v>
      </c>
      <c r="T854" s="20">
        <v>14.0</v>
      </c>
      <c r="U854" s="20">
        <v>36805.0</v>
      </c>
      <c r="V854" s="21" t="s">
        <v>335</v>
      </c>
      <c r="W854" s="18" t="s">
        <v>76</v>
      </c>
      <c r="X854" s="95" t="s">
        <v>2117</v>
      </c>
      <c r="Y854" s="73" t="s">
        <v>2774</v>
      </c>
      <c r="Z854" s="20" t="s">
        <v>2787</v>
      </c>
      <c r="AA854" s="14">
        <v>24.0</v>
      </c>
      <c r="AB854" s="14">
        <v>24.0</v>
      </c>
      <c r="AC854" s="14"/>
      <c r="AD854" s="14">
        <v>128980.0</v>
      </c>
      <c r="AE854" s="14">
        <v>128980.0</v>
      </c>
      <c r="AF854" s="52"/>
      <c r="AG854" s="22"/>
      <c r="AH854" s="22"/>
      <c r="AI854" s="22"/>
      <c r="AJ854" s="22"/>
      <c r="AK854" s="22"/>
      <c r="AL854" s="22"/>
      <c r="AM854" s="22"/>
      <c r="AN854" s="22"/>
      <c r="AO854" s="22"/>
      <c r="AP854" s="22"/>
    </row>
    <row r="855" hidden="1">
      <c r="A855" s="8">
        <v>46113.0</v>
      </c>
      <c r="B855" s="23">
        <v>0.7708333333333334</v>
      </c>
      <c r="C855" s="10" t="s">
        <v>32</v>
      </c>
      <c r="D855" s="10" t="s">
        <v>33</v>
      </c>
      <c r="E855" s="12" t="s">
        <v>71</v>
      </c>
      <c r="F855" s="12" t="s">
        <v>1367</v>
      </c>
      <c r="G855" s="12" t="s">
        <v>2788</v>
      </c>
      <c r="H855" s="112" t="s">
        <v>2789</v>
      </c>
      <c r="I855" s="30" t="s">
        <v>2790</v>
      </c>
      <c r="J855" s="14">
        <v>5427.0</v>
      </c>
      <c r="K855" s="14">
        <v>2304.0</v>
      </c>
      <c r="L855" s="15">
        <v>0.4245</v>
      </c>
      <c r="M855" s="16">
        <v>877.0</v>
      </c>
      <c r="N855" s="17">
        <v>0.3808</v>
      </c>
      <c r="O855" s="18">
        <v>91.0</v>
      </c>
      <c r="P855" s="18">
        <v>88.0</v>
      </c>
      <c r="Q855" s="19">
        <v>0.0382</v>
      </c>
      <c r="R855" s="19">
        <v>0.1003</v>
      </c>
      <c r="S855" s="20">
        <v>1.0</v>
      </c>
      <c r="T855" s="20">
        <v>4.0</v>
      </c>
      <c r="U855" s="20">
        <v>1248.0</v>
      </c>
      <c r="V855" s="21" t="s">
        <v>335</v>
      </c>
      <c r="W855" s="18" t="s">
        <v>76</v>
      </c>
      <c r="X855" s="95" t="s">
        <v>41</v>
      </c>
      <c r="Y855" s="73" t="s">
        <v>2774</v>
      </c>
      <c r="Z855" s="20" t="s">
        <v>2791</v>
      </c>
      <c r="AA855" s="14">
        <v>7.0</v>
      </c>
      <c r="AB855" s="14">
        <v>7.0</v>
      </c>
      <c r="AC855" s="14"/>
      <c r="AD855" s="14">
        <v>16069.0</v>
      </c>
      <c r="AE855" s="14">
        <v>16069.0</v>
      </c>
      <c r="AF855" s="52"/>
      <c r="AG855" s="22"/>
      <c r="AH855" s="22"/>
      <c r="AI855" s="22"/>
      <c r="AJ855" s="22"/>
      <c r="AK855" s="22"/>
      <c r="AL855" s="22"/>
      <c r="AM855" s="22"/>
      <c r="AN855" s="22"/>
      <c r="AO855" s="22"/>
      <c r="AP855" s="22"/>
    </row>
    <row r="856" hidden="1">
      <c r="A856" s="8">
        <v>46113.0</v>
      </c>
      <c r="B856" s="23">
        <v>0.7708333333333334</v>
      </c>
      <c r="C856" s="10" t="s">
        <v>32</v>
      </c>
      <c r="D856" s="10" t="s">
        <v>33</v>
      </c>
      <c r="E856" s="12" t="s">
        <v>71</v>
      </c>
      <c r="F856" s="12" t="s">
        <v>1367</v>
      </c>
      <c r="G856" s="12" t="s">
        <v>2792</v>
      </c>
      <c r="H856" s="112" t="s">
        <v>2793</v>
      </c>
      <c r="I856" s="30" t="s">
        <v>2794</v>
      </c>
      <c r="J856" s="14">
        <v>3736.0</v>
      </c>
      <c r="K856" s="14">
        <v>1636.0</v>
      </c>
      <c r="L856" s="15">
        <v>0.4379</v>
      </c>
      <c r="M856" s="16">
        <v>863.0</v>
      </c>
      <c r="N856" s="17">
        <v>0.5269</v>
      </c>
      <c r="O856" s="18">
        <v>228.0</v>
      </c>
      <c r="P856" s="18">
        <v>203.0</v>
      </c>
      <c r="Q856" s="19">
        <v>0.1241</v>
      </c>
      <c r="R856" s="19">
        <v>0.2355</v>
      </c>
      <c r="S856" s="20">
        <v>13.0</v>
      </c>
      <c r="T856" s="20">
        <v>74.0</v>
      </c>
      <c r="U856" s="20">
        <v>33629.0</v>
      </c>
      <c r="V856" s="21" t="s">
        <v>335</v>
      </c>
      <c r="W856" s="18" t="s">
        <v>76</v>
      </c>
      <c r="X856" s="101" t="s">
        <v>2492</v>
      </c>
      <c r="Y856" s="73" t="s">
        <v>2774</v>
      </c>
      <c r="Z856" s="20" t="s">
        <v>2795</v>
      </c>
      <c r="AA856" s="14">
        <v>17.0</v>
      </c>
      <c r="AB856" s="14">
        <v>17.0</v>
      </c>
      <c r="AC856" s="14"/>
      <c r="AD856" s="14">
        <v>43334.0</v>
      </c>
      <c r="AE856" s="14">
        <v>43334.0</v>
      </c>
      <c r="AF856" s="52"/>
      <c r="AG856" s="22"/>
      <c r="AH856" s="22"/>
      <c r="AI856" s="22"/>
      <c r="AJ856" s="22"/>
      <c r="AK856" s="22"/>
      <c r="AL856" s="22"/>
      <c r="AM856" s="22"/>
      <c r="AN856" s="22"/>
      <c r="AO856" s="22"/>
      <c r="AP856" s="22"/>
    </row>
    <row r="857" hidden="1">
      <c r="A857" s="8">
        <v>46113.0</v>
      </c>
      <c r="B857" s="23">
        <v>0.7708333333333334</v>
      </c>
      <c r="C857" s="10" t="s">
        <v>32</v>
      </c>
      <c r="D857" s="10" t="s">
        <v>33</v>
      </c>
      <c r="E857" s="12" t="s">
        <v>71</v>
      </c>
      <c r="F857" s="12" t="s">
        <v>1367</v>
      </c>
      <c r="G857" s="12" t="s">
        <v>2796</v>
      </c>
      <c r="H857" s="112" t="s">
        <v>2797</v>
      </c>
      <c r="I857" s="30" t="s">
        <v>2798</v>
      </c>
      <c r="J857" s="14">
        <v>31701.0</v>
      </c>
      <c r="K857" s="14">
        <v>20504.0</v>
      </c>
      <c r="L857" s="15">
        <v>0.6468</v>
      </c>
      <c r="M857" s="16">
        <v>11485.0</v>
      </c>
      <c r="N857" s="17">
        <v>0.56</v>
      </c>
      <c r="O857" s="18">
        <v>3187.0</v>
      </c>
      <c r="P857" s="18">
        <v>3012.0</v>
      </c>
      <c r="Q857" s="19">
        <v>0.147</v>
      </c>
      <c r="R857" s="19">
        <v>0.2624</v>
      </c>
      <c r="S857" s="20">
        <v>14.0</v>
      </c>
      <c r="T857" s="20">
        <v>27.0</v>
      </c>
      <c r="U857" s="20">
        <v>41809.0</v>
      </c>
      <c r="V857" s="21" t="s">
        <v>335</v>
      </c>
      <c r="W857" s="18" t="s">
        <v>76</v>
      </c>
      <c r="X857" s="101" t="s">
        <v>2799</v>
      </c>
      <c r="Y857" s="73" t="s">
        <v>2774</v>
      </c>
      <c r="Z857" s="20" t="s">
        <v>2800</v>
      </c>
      <c r="AA857" s="14">
        <v>44.0</v>
      </c>
      <c r="AB857" s="14">
        <v>44.0</v>
      </c>
      <c r="AC857" s="14"/>
      <c r="AD857" s="14">
        <v>136174.0</v>
      </c>
      <c r="AE857" s="14">
        <v>136174.0</v>
      </c>
      <c r="AF857" s="52"/>
      <c r="AG857" s="22"/>
      <c r="AH857" s="22"/>
      <c r="AI857" s="22"/>
      <c r="AJ857" s="22"/>
      <c r="AK857" s="22"/>
      <c r="AL857" s="22"/>
      <c r="AM857" s="22"/>
      <c r="AN857" s="22"/>
      <c r="AO857" s="22"/>
      <c r="AP857" s="22"/>
    </row>
    <row r="858" hidden="1">
      <c r="A858" s="8">
        <v>46113.0</v>
      </c>
      <c r="B858" s="23">
        <v>0.8333333333333334</v>
      </c>
      <c r="C858" s="10" t="s">
        <v>58</v>
      </c>
      <c r="D858" s="10" t="s">
        <v>59</v>
      </c>
      <c r="E858" s="12" t="s">
        <v>71</v>
      </c>
      <c r="F858" s="12" t="s">
        <v>1367</v>
      </c>
      <c r="G858" s="12" t="s">
        <v>2801</v>
      </c>
      <c r="H858" s="68" t="s">
        <v>2772</v>
      </c>
      <c r="I858" s="12" t="s">
        <v>61</v>
      </c>
      <c r="J858" s="14">
        <v>2672.0</v>
      </c>
      <c r="K858" s="14">
        <v>1251.0</v>
      </c>
      <c r="L858" s="15">
        <v>0.4682</v>
      </c>
      <c r="M858" s="16"/>
      <c r="N858" s="17"/>
      <c r="O858" s="18">
        <v>25.0</v>
      </c>
      <c r="P858" s="18"/>
      <c r="Q858" s="19">
        <v>0.02</v>
      </c>
      <c r="R858" s="19"/>
      <c r="S858" s="20">
        <v>1.0</v>
      </c>
      <c r="T858" s="20">
        <v>3.0</v>
      </c>
      <c r="U858" s="20">
        <v>6210.0</v>
      </c>
      <c r="V858" s="21" t="s">
        <v>335</v>
      </c>
      <c r="W858" s="18" t="s">
        <v>62</v>
      </c>
      <c r="X858" s="100" t="s">
        <v>165</v>
      </c>
      <c r="Y858" s="114">
        <v>46113.0</v>
      </c>
      <c r="Z858" s="20" t="s">
        <v>2802</v>
      </c>
      <c r="AA858" s="14">
        <v>9.0</v>
      </c>
      <c r="AB858" s="14">
        <v>9.0</v>
      </c>
      <c r="AC858" s="52"/>
      <c r="AD858" s="14">
        <v>40047.0</v>
      </c>
      <c r="AE858" s="14">
        <v>40047.0</v>
      </c>
      <c r="AF858" s="52"/>
      <c r="AG858" s="22"/>
      <c r="AH858" s="22"/>
      <c r="AI858" s="22"/>
      <c r="AJ858" s="22"/>
      <c r="AK858" s="22"/>
      <c r="AL858" s="22"/>
      <c r="AM858" s="22"/>
      <c r="AN858" s="22"/>
      <c r="AO858" s="22"/>
      <c r="AP858" s="22"/>
    </row>
    <row r="859" hidden="1">
      <c r="A859" s="8">
        <v>46113.0</v>
      </c>
      <c r="B859" s="23">
        <v>0.8333333333333334</v>
      </c>
      <c r="C859" s="10" t="s">
        <v>58</v>
      </c>
      <c r="D859" s="10" t="s">
        <v>59</v>
      </c>
      <c r="E859" s="12" t="s">
        <v>71</v>
      </c>
      <c r="F859" s="12" t="s">
        <v>1367</v>
      </c>
      <c r="G859" s="12" t="s">
        <v>2803</v>
      </c>
      <c r="H859" s="112" t="s">
        <v>2777</v>
      </c>
      <c r="I859" s="12" t="s">
        <v>61</v>
      </c>
      <c r="J859" s="14">
        <v>35835.0</v>
      </c>
      <c r="K859" s="14">
        <v>19388.0</v>
      </c>
      <c r="L859" s="15">
        <v>0.541</v>
      </c>
      <c r="M859" s="16"/>
      <c r="N859" s="17"/>
      <c r="O859" s="18">
        <v>144.0</v>
      </c>
      <c r="P859" s="18"/>
      <c r="Q859" s="19">
        <v>0.0074</v>
      </c>
      <c r="R859" s="19"/>
      <c r="S859" s="20">
        <v>8.0</v>
      </c>
      <c r="T859" s="20">
        <v>19.0</v>
      </c>
      <c r="U859" s="20">
        <v>21656.0</v>
      </c>
      <c r="V859" s="21" t="s">
        <v>335</v>
      </c>
      <c r="W859" s="18" t="s">
        <v>62</v>
      </c>
      <c r="X859" s="101" t="s">
        <v>82</v>
      </c>
      <c r="Y859" s="113">
        <v>46113.0</v>
      </c>
      <c r="Z859" s="20" t="s">
        <v>2804</v>
      </c>
      <c r="AA859" s="14">
        <v>25.0</v>
      </c>
      <c r="AB859" s="14">
        <v>25.0</v>
      </c>
      <c r="AC859" s="52"/>
      <c r="AD859" s="14">
        <v>62419.0</v>
      </c>
      <c r="AE859" s="14">
        <v>62419.0</v>
      </c>
      <c r="AF859" s="52"/>
      <c r="AG859" s="22"/>
      <c r="AH859" s="22"/>
      <c r="AI859" s="22"/>
      <c r="AJ859" s="22"/>
      <c r="AK859" s="22"/>
      <c r="AL859" s="22"/>
      <c r="AM859" s="22"/>
      <c r="AN859" s="22"/>
      <c r="AO859" s="22"/>
      <c r="AP859" s="22"/>
    </row>
    <row r="860" hidden="1">
      <c r="A860" s="8">
        <v>46113.0</v>
      </c>
      <c r="B860" s="23">
        <v>0.8333333333333334</v>
      </c>
      <c r="C860" s="10" t="s">
        <v>58</v>
      </c>
      <c r="D860" s="10" t="s">
        <v>59</v>
      </c>
      <c r="E860" s="12" t="s">
        <v>71</v>
      </c>
      <c r="F860" s="12" t="s">
        <v>1367</v>
      </c>
      <c r="G860" s="12" t="s">
        <v>2805</v>
      </c>
      <c r="H860" s="112" t="s">
        <v>2781</v>
      </c>
      <c r="I860" s="12" t="s">
        <v>61</v>
      </c>
      <c r="J860" s="14">
        <v>31953.0</v>
      </c>
      <c r="K860" s="14">
        <v>20342.0</v>
      </c>
      <c r="L860" s="15">
        <v>0.6366</v>
      </c>
      <c r="M860" s="16"/>
      <c r="N860" s="17"/>
      <c r="O860" s="18">
        <v>109.0</v>
      </c>
      <c r="P860" s="18"/>
      <c r="Q860" s="19">
        <v>0.0054</v>
      </c>
      <c r="R860" s="19"/>
      <c r="S860" s="20">
        <v>2.0</v>
      </c>
      <c r="T860" s="20">
        <v>12.0</v>
      </c>
      <c r="U860" s="20">
        <v>3778.0</v>
      </c>
      <c r="V860" s="21" t="s">
        <v>335</v>
      </c>
      <c r="W860" s="18" t="s">
        <v>62</v>
      </c>
      <c r="X860" s="101" t="s">
        <v>2594</v>
      </c>
      <c r="Y860" s="113">
        <v>46113.0</v>
      </c>
      <c r="Z860" s="20" t="s">
        <v>2806</v>
      </c>
      <c r="AA860" s="14">
        <v>11.0</v>
      </c>
      <c r="AB860" s="14">
        <v>11.0</v>
      </c>
      <c r="AC860" s="52"/>
      <c r="AD860" s="14">
        <v>21415.0</v>
      </c>
      <c r="AE860" s="14">
        <v>21415.0</v>
      </c>
      <c r="AF860" s="52"/>
      <c r="AG860" s="22"/>
      <c r="AH860" s="22"/>
      <c r="AI860" s="22"/>
      <c r="AJ860" s="22"/>
      <c r="AK860" s="22"/>
      <c r="AL860" s="22"/>
      <c r="AM860" s="22"/>
      <c r="AN860" s="22"/>
      <c r="AO860" s="22"/>
      <c r="AP860" s="22"/>
    </row>
    <row r="861" hidden="1">
      <c r="A861" s="8">
        <v>46113.0</v>
      </c>
      <c r="B861" s="23">
        <v>0.8333333333333334</v>
      </c>
      <c r="C861" s="10" t="s">
        <v>58</v>
      </c>
      <c r="D861" s="10" t="s">
        <v>59</v>
      </c>
      <c r="E861" s="12" t="s">
        <v>71</v>
      </c>
      <c r="F861" s="12" t="s">
        <v>1367</v>
      </c>
      <c r="G861" s="12" t="s">
        <v>2807</v>
      </c>
      <c r="H861" s="112" t="s">
        <v>2785</v>
      </c>
      <c r="I861" s="12" t="s">
        <v>61</v>
      </c>
      <c r="J861" s="14">
        <v>8228.0</v>
      </c>
      <c r="K861" s="14">
        <v>4141.0</v>
      </c>
      <c r="L861" s="15">
        <v>0.5033</v>
      </c>
      <c r="M861" s="16"/>
      <c r="N861" s="17"/>
      <c r="O861" s="18">
        <v>24.0</v>
      </c>
      <c r="P861" s="18"/>
      <c r="Q861" s="19">
        <v>0.0058</v>
      </c>
      <c r="R861" s="19"/>
      <c r="S861" s="20">
        <v>0.0</v>
      </c>
      <c r="T861" s="20">
        <v>1.0</v>
      </c>
      <c r="U861" s="20">
        <v>0.0</v>
      </c>
      <c r="V861" s="21" t="s">
        <v>335</v>
      </c>
      <c r="W861" s="18" t="s">
        <v>62</v>
      </c>
      <c r="X861" s="95" t="s">
        <v>2117</v>
      </c>
      <c r="Y861" s="113">
        <v>46113.0</v>
      </c>
      <c r="Z861" s="20" t="s">
        <v>2808</v>
      </c>
      <c r="AA861" s="14">
        <v>3.0</v>
      </c>
      <c r="AB861" s="14">
        <v>3.0</v>
      </c>
      <c r="AC861" s="52"/>
      <c r="AD861" s="14">
        <v>12786.0</v>
      </c>
      <c r="AE861" s="14">
        <v>12786.0</v>
      </c>
      <c r="AF861" s="52"/>
      <c r="AG861" s="22"/>
      <c r="AH861" s="22"/>
      <c r="AI861" s="22"/>
      <c r="AJ861" s="22"/>
      <c r="AK861" s="22"/>
      <c r="AL861" s="22"/>
      <c r="AM861" s="22"/>
      <c r="AN861" s="22"/>
      <c r="AO861" s="22"/>
      <c r="AP861" s="22"/>
    </row>
    <row r="862" hidden="1">
      <c r="A862" s="8">
        <v>46113.0</v>
      </c>
      <c r="B862" s="23">
        <v>0.8333333333333334</v>
      </c>
      <c r="C862" s="10" t="s">
        <v>58</v>
      </c>
      <c r="D862" s="10" t="s">
        <v>59</v>
      </c>
      <c r="E862" s="12" t="s">
        <v>71</v>
      </c>
      <c r="F862" s="12" t="s">
        <v>1367</v>
      </c>
      <c r="G862" s="12" t="s">
        <v>2809</v>
      </c>
      <c r="H862" s="112" t="s">
        <v>2789</v>
      </c>
      <c r="I862" s="12" t="s">
        <v>61</v>
      </c>
      <c r="J862" s="14">
        <v>3004.0</v>
      </c>
      <c r="K862" s="14">
        <v>1723.0</v>
      </c>
      <c r="L862" s="15">
        <v>0.5736</v>
      </c>
      <c r="M862" s="16"/>
      <c r="N862" s="17"/>
      <c r="O862" s="18">
        <v>2.0</v>
      </c>
      <c r="P862" s="18"/>
      <c r="Q862" s="19">
        <v>0.0012</v>
      </c>
      <c r="R862" s="19"/>
      <c r="S862" s="20">
        <v>0.0</v>
      </c>
      <c r="T862" s="20">
        <v>0.0</v>
      </c>
      <c r="U862" s="20">
        <v>0.0</v>
      </c>
      <c r="V862" s="21" t="s">
        <v>335</v>
      </c>
      <c r="W862" s="18" t="s">
        <v>62</v>
      </c>
      <c r="X862" s="101" t="s">
        <v>41</v>
      </c>
      <c r="Y862" s="113">
        <v>46113.0</v>
      </c>
      <c r="Z862" s="20" t="s">
        <v>2810</v>
      </c>
      <c r="AA862" s="14">
        <v>2.0</v>
      </c>
      <c r="AB862" s="14">
        <v>2.0</v>
      </c>
      <c r="AC862" s="52"/>
      <c r="AD862" s="14">
        <v>2898.0</v>
      </c>
      <c r="AE862" s="14">
        <v>2898.0</v>
      </c>
      <c r="AF862" s="52"/>
      <c r="AG862" s="22"/>
      <c r="AH862" s="22"/>
      <c r="AI862" s="22"/>
      <c r="AJ862" s="22"/>
      <c r="AK862" s="22"/>
      <c r="AL862" s="22"/>
      <c r="AM862" s="22"/>
      <c r="AN862" s="22"/>
      <c r="AO862" s="22"/>
      <c r="AP862" s="22"/>
    </row>
    <row r="863" hidden="1">
      <c r="A863" s="8">
        <v>46113.0</v>
      </c>
      <c r="B863" s="23">
        <v>0.8333333333333334</v>
      </c>
      <c r="C863" s="10" t="s">
        <v>58</v>
      </c>
      <c r="D863" s="10" t="s">
        <v>59</v>
      </c>
      <c r="E863" s="12" t="s">
        <v>71</v>
      </c>
      <c r="F863" s="12" t="s">
        <v>1367</v>
      </c>
      <c r="G863" s="12" t="s">
        <v>2811</v>
      </c>
      <c r="H863" s="112" t="s">
        <v>2793</v>
      </c>
      <c r="I863" s="12" t="s">
        <v>61</v>
      </c>
      <c r="J863" s="14">
        <v>2072.0</v>
      </c>
      <c r="K863" s="14">
        <v>1422.0</v>
      </c>
      <c r="L863" s="15">
        <v>0.6863</v>
      </c>
      <c r="M863" s="16"/>
      <c r="N863" s="17"/>
      <c r="O863" s="18">
        <v>17.0</v>
      </c>
      <c r="P863" s="18"/>
      <c r="Q863" s="19">
        <v>0.012</v>
      </c>
      <c r="R863" s="19"/>
      <c r="S863" s="20">
        <v>7.0</v>
      </c>
      <c r="T863" s="20">
        <v>31.0</v>
      </c>
      <c r="U863" s="20">
        <v>18342.0</v>
      </c>
      <c r="V863" s="21" t="s">
        <v>335</v>
      </c>
      <c r="W863" s="18" t="s">
        <v>62</v>
      </c>
      <c r="X863" s="101" t="s">
        <v>2492</v>
      </c>
      <c r="Y863" s="113">
        <v>46113.0</v>
      </c>
      <c r="Z863" s="20" t="s">
        <v>2812</v>
      </c>
      <c r="AA863" s="14">
        <v>5.0</v>
      </c>
      <c r="AB863" s="14">
        <v>5.0</v>
      </c>
      <c r="AC863" s="52"/>
      <c r="AD863" s="14">
        <v>20036.0</v>
      </c>
      <c r="AE863" s="14">
        <v>20036.0</v>
      </c>
      <c r="AF863" s="52"/>
      <c r="AG863" s="22"/>
      <c r="AH863" s="22"/>
      <c r="AI863" s="22"/>
      <c r="AJ863" s="22"/>
      <c r="AK863" s="22"/>
      <c r="AL863" s="22"/>
      <c r="AM863" s="22"/>
      <c r="AN863" s="22"/>
      <c r="AO863" s="22"/>
      <c r="AP863" s="22"/>
    </row>
    <row r="864" hidden="1">
      <c r="A864" s="8">
        <v>46113.0</v>
      </c>
      <c r="B864" s="23">
        <v>0.8333333333333334</v>
      </c>
      <c r="C864" s="10" t="s">
        <v>58</v>
      </c>
      <c r="D864" s="10" t="s">
        <v>59</v>
      </c>
      <c r="E864" s="12" t="s">
        <v>71</v>
      </c>
      <c r="F864" s="12" t="s">
        <v>1367</v>
      </c>
      <c r="G864" s="12" t="s">
        <v>2813</v>
      </c>
      <c r="H864" s="112" t="s">
        <v>2797</v>
      </c>
      <c r="I864" s="12" t="s">
        <v>61</v>
      </c>
      <c r="J864" s="14">
        <v>11117.0</v>
      </c>
      <c r="K864" s="14">
        <v>6076.0</v>
      </c>
      <c r="L864" s="15">
        <v>0.5466</v>
      </c>
      <c r="M864" s="16"/>
      <c r="N864" s="17"/>
      <c r="O864" s="18">
        <v>74.0</v>
      </c>
      <c r="P864" s="18"/>
      <c r="Q864" s="19">
        <v>0.0122</v>
      </c>
      <c r="R864" s="19"/>
      <c r="S864" s="20">
        <v>0.0</v>
      </c>
      <c r="T864" s="20">
        <v>4.0</v>
      </c>
      <c r="U864" s="20">
        <v>0.0</v>
      </c>
      <c r="V864" s="21" t="s">
        <v>335</v>
      </c>
      <c r="W864" s="18" t="s">
        <v>62</v>
      </c>
      <c r="X864" s="101" t="s">
        <v>2799</v>
      </c>
      <c r="Y864" s="113">
        <v>46113.0</v>
      </c>
      <c r="Z864" s="20" t="s">
        <v>2814</v>
      </c>
      <c r="AA864" s="14">
        <v>2.0</v>
      </c>
      <c r="AB864" s="14">
        <v>2.0</v>
      </c>
      <c r="AC864" s="52"/>
      <c r="AD864" s="14">
        <v>5390.0</v>
      </c>
      <c r="AE864" s="14">
        <v>5390.0</v>
      </c>
      <c r="AF864" s="52"/>
      <c r="AG864" s="22"/>
      <c r="AH864" s="22"/>
      <c r="AI864" s="22"/>
      <c r="AJ864" s="22"/>
      <c r="AK864" s="22"/>
      <c r="AL864" s="22"/>
      <c r="AM864" s="22"/>
      <c r="AN864" s="22"/>
      <c r="AO864" s="22"/>
      <c r="AP864" s="22"/>
    </row>
    <row r="865" hidden="1">
      <c r="A865" s="8">
        <v>46114.0</v>
      </c>
      <c r="B865" s="23">
        <v>0.4166666666666667</v>
      </c>
      <c r="C865" s="10" t="s">
        <v>32</v>
      </c>
      <c r="D865" s="10" t="s">
        <v>33</v>
      </c>
      <c r="E865" s="12" t="s">
        <v>71</v>
      </c>
      <c r="F865" s="12" t="s">
        <v>1367</v>
      </c>
      <c r="G865" s="12" t="s">
        <v>2815</v>
      </c>
      <c r="H865" s="112" t="s">
        <v>2816</v>
      </c>
      <c r="I865" s="30" t="s">
        <v>2817</v>
      </c>
      <c r="J865" s="14">
        <v>10822.0</v>
      </c>
      <c r="K865" s="14">
        <v>5477.0</v>
      </c>
      <c r="L865" s="15">
        <v>0.5061</v>
      </c>
      <c r="M865" s="16">
        <v>2146.0</v>
      </c>
      <c r="N865" s="17">
        <v>0.3919</v>
      </c>
      <c r="O865" s="18">
        <v>282.0</v>
      </c>
      <c r="P865" s="18">
        <v>264.0</v>
      </c>
      <c r="Q865" s="19">
        <v>0.0482</v>
      </c>
      <c r="R865" s="19">
        <v>0.123</v>
      </c>
      <c r="S865" s="20">
        <v>2.0</v>
      </c>
      <c r="T865" s="20">
        <v>10.0</v>
      </c>
      <c r="U865" s="20">
        <v>11471.0</v>
      </c>
      <c r="V865" s="21" t="s">
        <v>315</v>
      </c>
      <c r="W865" s="18" t="s">
        <v>76</v>
      </c>
      <c r="X865" s="95" t="s">
        <v>165</v>
      </c>
      <c r="Y865" s="73" t="s">
        <v>2818</v>
      </c>
      <c r="Z865" s="20" t="s">
        <v>2819</v>
      </c>
      <c r="AA865" s="18">
        <v>56.0</v>
      </c>
      <c r="AB865" s="52"/>
      <c r="AC865" s="18">
        <v>56.0</v>
      </c>
      <c r="AD865" s="14">
        <v>898542.0</v>
      </c>
      <c r="AE865" s="52"/>
      <c r="AF865" s="14">
        <v>898542.0</v>
      </c>
      <c r="AG865" s="22"/>
      <c r="AH865" s="22"/>
      <c r="AI865" s="22"/>
      <c r="AJ865" s="22"/>
      <c r="AK865" s="22"/>
      <c r="AL865" s="22"/>
      <c r="AM865" s="22"/>
      <c r="AN865" s="22"/>
      <c r="AO865" s="22"/>
      <c r="AP865" s="22"/>
    </row>
    <row r="866" hidden="1">
      <c r="A866" s="8">
        <v>46114.0</v>
      </c>
      <c r="B866" s="23">
        <v>0.4166666666666667</v>
      </c>
      <c r="C866" s="10" t="s">
        <v>32</v>
      </c>
      <c r="D866" s="10" t="s">
        <v>33</v>
      </c>
      <c r="E866" s="12" t="s">
        <v>71</v>
      </c>
      <c r="F866" s="12" t="s">
        <v>1367</v>
      </c>
      <c r="G866" s="12" t="s">
        <v>2820</v>
      </c>
      <c r="H866" s="112" t="s">
        <v>2821</v>
      </c>
      <c r="I866" s="30" t="s">
        <v>2822</v>
      </c>
      <c r="J866" s="14">
        <v>21462.0</v>
      </c>
      <c r="K866" s="14">
        <v>11692.0</v>
      </c>
      <c r="L866" s="15">
        <v>0.5448</v>
      </c>
      <c r="M866" s="16">
        <v>4444.0</v>
      </c>
      <c r="N866" s="17">
        <v>0.3801</v>
      </c>
      <c r="O866" s="18">
        <v>529.0</v>
      </c>
      <c r="P866" s="18">
        <v>501.0</v>
      </c>
      <c r="Q866" s="19">
        <v>0.0429</v>
      </c>
      <c r="R866" s="19">
        <v>0.1127</v>
      </c>
      <c r="S866" s="20">
        <v>3.0</v>
      </c>
      <c r="T866" s="20">
        <v>10.0</v>
      </c>
      <c r="U866" s="20">
        <v>8273.0</v>
      </c>
      <c r="V866" s="21" t="s">
        <v>315</v>
      </c>
      <c r="W866" s="18" t="s">
        <v>76</v>
      </c>
      <c r="X866" s="101" t="s">
        <v>82</v>
      </c>
      <c r="Y866" s="73" t="s">
        <v>2818</v>
      </c>
      <c r="Z866" s="20" t="s">
        <v>2823</v>
      </c>
      <c r="AA866" s="18">
        <v>106.0</v>
      </c>
      <c r="AB866" s="52"/>
      <c r="AC866" s="18">
        <v>106.0</v>
      </c>
      <c r="AD866" s="14">
        <v>389279.0</v>
      </c>
      <c r="AE866" s="52"/>
      <c r="AF866" s="14">
        <v>389279.0</v>
      </c>
      <c r="AG866" s="22"/>
      <c r="AH866" s="22"/>
      <c r="AI866" s="22"/>
      <c r="AJ866" s="22"/>
      <c r="AK866" s="22"/>
      <c r="AL866" s="22"/>
      <c r="AM866" s="22"/>
      <c r="AN866" s="22"/>
      <c r="AO866" s="22"/>
      <c r="AP866" s="22"/>
    </row>
    <row r="867" hidden="1">
      <c r="A867" s="8">
        <v>46114.0</v>
      </c>
      <c r="B867" s="23">
        <v>0.4166666666666667</v>
      </c>
      <c r="C867" s="10" t="s">
        <v>32</v>
      </c>
      <c r="D867" s="10" t="s">
        <v>33</v>
      </c>
      <c r="E867" s="12" t="s">
        <v>71</v>
      </c>
      <c r="F867" s="12" t="s">
        <v>1367</v>
      </c>
      <c r="G867" s="12" t="s">
        <v>2824</v>
      </c>
      <c r="H867" s="112" t="s">
        <v>2825</v>
      </c>
      <c r="I867" s="12" t="s">
        <v>2826</v>
      </c>
      <c r="J867" s="14">
        <v>113722.0</v>
      </c>
      <c r="K867" s="14">
        <v>65529.0</v>
      </c>
      <c r="L867" s="15">
        <v>0.5762</v>
      </c>
      <c r="M867" s="16">
        <v>25195.0</v>
      </c>
      <c r="N867" s="17">
        <v>0.3845</v>
      </c>
      <c r="O867" s="18">
        <v>2883.0</v>
      </c>
      <c r="P867" s="18">
        <v>2734.0</v>
      </c>
      <c r="Q867" s="19">
        <v>0.0417</v>
      </c>
      <c r="R867" s="19">
        <v>0.1085</v>
      </c>
      <c r="S867" s="20">
        <v>17.0</v>
      </c>
      <c r="T867" s="20">
        <v>40.0</v>
      </c>
      <c r="U867" s="20">
        <v>56217.0</v>
      </c>
      <c r="V867" s="21" t="s">
        <v>315</v>
      </c>
      <c r="W867" s="18" t="s">
        <v>76</v>
      </c>
      <c r="X867" s="101" t="s">
        <v>2827</v>
      </c>
      <c r="Y867" s="73" t="s">
        <v>2818</v>
      </c>
      <c r="Z867" s="20" t="s">
        <v>2828</v>
      </c>
      <c r="AA867" s="18">
        <v>280.0</v>
      </c>
      <c r="AB867" s="52"/>
      <c r="AC867" s="18">
        <v>280.0</v>
      </c>
      <c r="AD867" s="14">
        <v>799235.0</v>
      </c>
      <c r="AE867" s="52"/>
      <c r="AF867" s="14">
        <v>799235.0</v>
      </c>
      <c r="AG867" s="22"/>
      <c r="AH867" s="22"/>
      <c r="AI867" s="22"/>
      <c r="AJ867" s="22"/>
      <c r="AK867" s="22"/>
      <c r="AL867" s="22"/>
      <c r="AM867" s="22"/>
      <c r="AN867" s="22"/>
      <c r="AO867" s="22"/>
      <c r="AP867" s="22"/>
    </row>
    <row r="868" hidden="1">
      <c r="A868" s="8">
        <v>46114.0</v>
      </c>
      <c r="B868" s="23">
        <v>0.4166666666666667</v>
      </c>
      <c r="C868" s="10" t="s">
        <v>32</v>
      </c>
      <c r="D868" s="10" t="s">
        <v>33</v>
      </c>
      <c r="E868" s="12" t="s">
        <v>71</v>
      </c>
      <c r="F868" s="12" t="s">
        <v>1367</v>
      </c>
      <c r="G868" s="12" t="s">
        <v>2829</v>
      </c>
      <c r="H868" s="112" t="s">
        <v>2830</v>
      </c>
      <c r="I868" s="30" t="s">
        <v>2831</v>
      </c>
      <c r="J868" s="14">
        <v>73804.0</v>
      </c>
      <c r="K868" s="14">
        <v>40134.0</v>
      </c>
      <c r="L868" s="15">
        <v>0.5438</v>
      </c>
      <c r="M868" s="16">
        <v>15383.0</v>
      </c>
      <c r="N868" s="17">
        <v>0.3833</v>
      </c>
      <c r="O868" s="18">
        <v>1521.0</v>
      </c>
      <c r="P868" s="18">
        <v>1434.0</v>
      </c>
      <c r="Q868" s="19">
        <v>0.0357</v>
      </c>
      <c r="R868" s="19">
        <v>0.0932</v>
      </c>
      <c r="S868" s="20">
        <v>7.0</v>
      </c>
      <c r="T868" s="20">
        <v>17.0</v>
      </c>
      <c r="U868" s="20">
        <v>28493.0</v>
      </c>
      <c r="V868" s="21" t="s">
        <v>315</v>
      </c>
      <c r="W868" s="18" t="s">
        <v>76</v>
      </c>
      <c r="X868" s="101" t="s">
        <v>2117</v>
      </c>
      <c r="Y868" s="73" t="s">
        <v>2818</v>
      </c>
      <c r="Z868" s="20" t="s">
        <v>2832</v>
      </c>
      <c r="AA868" s="18">
        <v>218.0</v>
      </c>
      <c r="AB868" s="52"/>
      <c r="AC868" s="18">
        <v>218.0</v>
      </c>
      <c r="AD868" s="14">
        <v>963345.0</v>
      </c>
      <c r="AE868" s="52"/>
      <c r="AF868" s="14">
        <v>963345.0</v>
      </c>
      <c r="AG868" s="22"/>
      <c r="AH868" s="22"/>
      <c r="AI868" s="22"/>
      <c r="AJ868" s="22"/>
      <c r="AK868" s="22"/>
      <c r="AL868" s="22"/>
      <c r="AM868" s="22"/>
      <c r="AN868" s="22"/>
      <c r="AO868" s="22"/>
      <c r="AP868" s="22"/>
    </row>
    <row r="869" hidden="1">
      <c r="A869" s="8">
        <v>46114.0</v>
      </c>
      <c r="B869" s="23">
        <v>0.4166666666666667</v>
      </c>
      <c r="C869" s="10" t="s">
        <v>32</v>
      </c>
      <c r="D869" s="10" t="s">
        <v>33</v>
      </c>
      <c r="E869" s="12" t="s">
        <v>71</v>
      </c>
      <c r="F869" s="12" t="s">
        <v>1367</v>
      </c>
      <c r="G869" s="12" t="s">
        <v>2833</v>
      </c>
      <c r="H869" s="112" t="s">
        <v>2834</v>
      </c>
      <c r="I869" s="30" t="s">
        <v>2835</v>
      </c>
      <c r="J869" s="14">
        <v>206652.0</v>
      </c>
      <c r="K869" s="14">
        <v>112240.0</v>
      </c>
      <c r="L869" s="15">
        <v>0.5431</v>
      </c>
      <c r="M869" s="16">
        <v>40301.0</v>
      </c>
      <c r="N869" s="17">
        <v>0.3591</v>
      </c>
      <c r="O869" s="18">
        <v>4089.0</v>
      </c>
      <c r="P869" s="18">
        <v>3867.0</v>
      </c>
      <c r="Q869" s="19">
        <v>0.0345</v>
      </c>
      <c r="R869" s="19">
        <v>0.096</v>
      </c>
      <c r="S869" s="20">
        <v>26.0</v>
      </c>
      <c r="T869" s="20">
        <v>48.0</v>
      </c>
      <c r="U869" s="20">
        <v>70159.0</v>
      </c>
      <c r="V869" s="21" t="s">
        <v>315</v>
      </c>
      <c r="W869" s="18" t="s">
        <v>76</v>
      </c>
      <c r="X869" s="101" t="s">
        <v>41</v>
      </c>
      <c r="Y869" s="73" t="s">
        <v>2818</v>
      </c>
      <c r="Z869" s="20" t="s">
        <v>2836</v>
      </c>
      <c r="AA869" s="18">
        <v>455.0</v>
      </c>
      <c r="AB869" s="52"/>
      <c r="AC869" s="18">
        <v>455.0</v>
      </c>
      <c r="AD869" s="14">
        <v>1580644.0</v>
      </c>
      <c r="AE869" s="52"/>
      <c r="AF869" s="14">
        <v>1580644.0</v>
      </c>
      <c r="AG869" s="22"/>
      <c r="AH869" s="22"/>
      <c r="AI869" s="22"/>
      <c r="AJ869" s="22"/>
      <c r="AK869" s="22"/>
      <c r="AL869" s="22"/>
      <c r="AM869" s="22"/>
      <c r="AN869" s="22"/>
      <c r="AO869" s="22"/>
      <c r="AP869" s="22"/>
    </row>
    <row r="870" hidden="1">
      <c r="A870" s="8">
        <v>46114.0</v>
      </c>
      <c r="B870" s="23">
        <v>0.4166666666666667</v>
      </c>
      <c r="C870" s="10" t="s">
        <v>32</v>
      </c>
      <c r="D870" s="10" t="s">
        <v>33</v>
      </c>
      <c r="E870" s="12" t="s">
        <v>71</v>
      </c>
      <c r="F870" s="12" t="s">
        <v>1367</v>
      </c>
      <c r="G870" s="12" t="s">
        <v>2837</v>
      </c>
      <c r="H870" s="112" t="s">
        <v>2838</v>
      </c>
      <c r="I870" s="30" t="s">
        <v>2839</v>
      </c>
      <c r="J870" s="14">
        <v>6145.0</v>
      </c>
      <c r="K870" s="14">
        <v>2868.0</v>
      </c>
      <c r="L870" s="15">
        <v>0.4667</v>
      </c>
      <c r="M870" s="16">
        <v>963.0</v>
      </c>
      <c r="N870" s="17">
        <v>0.3358</v>
      </c>
      <c r="O870" s="18">
        <v>87.0</v>
      </c>
      <c r="P870" s="18">
        <v>76.0</v>
      </c>
      <c r="Q870" s="19">
        <v>0.0265</v>
      </c>
      <c r="R870" s="19">
        <v>0.0789</v>
      </c>
      <c r="S870" s="20">
        <v>0.0</v>
      </c>
      <c r="T870" s="20">
        <v>1.0</v>
      </c>
      <c r="U870" s="20">
        <v>0.0</v>
      </c>
      <c r="V870" s="21" t="s">
        <v>315</v>
      </c>
      <c r="W870" s="18" t="s">
        <v>76</v>
      </c>
      <c r="X870" s="101" t="s">
        <v>2840</v>
      </c>
      <c r="Y870" s="73" t="s">
        <v>2818</v>
      </c>
      <c r="Z870" s="20" t="s">
        <v>2841</v>
      </c>
      <c r="AA870" s="18">
        <v>14.0</v>
      </c>
      <c r="AB870" s="52"/>
      <c r="AC870" s="18">
        <v>14.0</v>
      </c>
      <c r="AD870" s="14">
        <v>75564.0</v>
      </c>
      <c r="AE870" s="52"/>
      <c r="AF870" s="14">
        <v>75564.0</v>
      </c>
      <c r="AG870" s="22"/>
      <c r="AH870" s="22"/>
      <c r="AI870" s="22"/>
      <c r="AJ870" s="22"/>
      <c r="AK870" s="22"/>
      <c r="AL870" s="22"/>
      <c r="AM870" s="22"/>
      <c r="AN870" s="22"/>
      <c r="AO870" s="22"/>
      <c r="AP870" s="22"/>
    </row>
    <row r="871" hidden="1">
      <c r="A871" s="8">
        <v>46114.0</v>
      </c>
      <c r="B871" s="23">
        <v>0.4166666666666667</v>
      </c>
      <c r="C871" s="10" t="s">
        <v>32</v>
      </c>
      <c r="D871" s="10" t="s">
        <v>33</v>
      </c>
      <c r="E871" s="12" t="s">
        <v>71</v>
      </c>
      <c r="F871" s="12" t="s">
        <v>1367</v>
      </c>
      <c r="G871" s="12" t="s">
        <v>2842</v>
      </c>
      <c r="H871" s="112" t="s">
        <v>2843</v>
      </c>
      <c r="I871" s="30" t="s">
        <v>2844</v>
      </c>
      <c r="J871" s="14">
        <v>8163.0</v>
      </c>
      <c r="K871" s="14">
        <v>4084.0</v>
      </c>
      <c r="L871" s="15">
        <v>0.5003</v>
      </c>
      <c r="M871" s="16">
        <v>1467.0</v>
      </c>
      <c r="N871" s="17">
        <v>0.3592</v>
      </c>
      <c r="O871" s="18">
        <v>136.0</v>
      </c>
      <c r="P871" s="18">
        <v>129.0</v>
      </c>
      <c r="Q871" s="19">
        <v>0.0316</v>
      </c>
      <c r="R871" s="19">
        <v>0.0879</v>
      </c>
      <c r="S871" s="20">
        <v>1.0</v>
      </c>
      <c r="T871" s="20">
        <v>2.0</v>
      </c>
      <c r="U871" s="20">
        <v>4595.0</v>
      </c>
      <c r="V871" s="21" t="s">
        <v>315</v>
      </c>
      <c r="W871" s="18" t="s">
        <v>76</v>
      </c>
      <c r="X871" s="101" t="s">
        <v>2594</v>
      </c>
      <c r="Y871" s="73" t="s">
        <v>2818</v>
      </c>
      <c r="Z871" s="20" t="s">
        <v>2845</v>
      </c>
      <c r="AA871" s="18">
        <v>21.0</v>
      </c>
      <c r="AB871" s="52"/>
      <c r="AC871" s="18">
        <v>21.0</v>
      </c>
      <c r="AD871" s="14">
        <v>66967.0</v>
      </c>
      <c r="AE871" s="52"/>
      <c r="AF871" s="14">
        <v>66967.0</v>
      </c>
      <c r="AG871" s="22"/>
      <c r="AH871" s="22"/>
      <c r="AI871" s="22"/>
      <c r="AJ871" s="22"/>
      <c r="AK871" s="22"/>
      <c r="AL871" s="22"/>
      <c r="AM871" s="22"/>
      <c r="AN871" s="22"/>
      <c r="AO871" s="22"/>
      <c r="AP871" s="22"/>
    </row>
    <row r="872" hidden="1">
      <c r="A872" s="8">
        <v>46114.0</v>
      </c>
      <c r="B872" s="23">
        <v>0.4791666666666667</v>
      </c>
      <c r="C872" s="10" t="s">
        <v>58</v>
      </c>
      <c r="D872" s="10" t="s">
        <v>59</v>
      </c>
      <c r="E872" s="12" t="s">
        <v>71</v>
      </c>
      <c r="F872" s="12" t="s">
        <v>1367</v>
      </c>
      <c r="G872" s="12" t="s">
        <v>2846</v>
      </c>
      <c r="H872" s="112" t="s">
        <v>2816</v>
      </c>
      <c r="I872" s="12" t="s">
        <v>61</v>
      </c>
      <c r="J872" s="14">
        <v>3120.0</v>
      </c>
      <c r="K872" s="14">
        <v>1647.0</v>
      </c>
      <c r="L872" s="15">
        <v>0.5279</v>
      </c>
      <c r="M872" s="16"/>
      <c r="N872" s="17"/>
      <c r="O872" s="18">
        <v>6.0</v>
      </c>
      <c r="P872" s="18"/>
      <c r="Q872" s="19">
        <v>0.0036</v>
      </c>
      <c r="R872" s="19"/>
      <c r="S872" s="20">
        <v>0.0</v>
      </c>
      <c r="T872" s="20">
        <v>0.0</v>
      </c>
      <c r="U872" s="20">
        <v>0.0</v>
      </c>
      <c r="V872" s="21" t="s">
        <v>315</v>
      </c>
      <c r="W872" s="18" t="s">
        <v>62</v>
      </c>
      <c r="X872" s="95" t="s">
        <v>165</v>
      </c>
      <c r="Y872" s="73" t="s">
        <v>2847</v>
      </c>
      <c r="Z872" s="20" t="s">
        <v>2848</v>
      </c>
      <c r="AA872" s="18">
        <v>13.0</v>
      </c>
      <c r="AB872" s="52"/>
      <c r="AC872" s="18">
        <v>13.0</v>
      </c>
      <c r="AD872" s="14">
        <v>57201.0</v>
      </c>
      <c r="AE872" s="52"/>
      <c r="AF872" s="14">
        <v>57201.0</v>
      </c>
      <c r="AG872" s="22"/>
      <c r="AH872" s="22"/>
      <c r="AI872" s="22"/>
      <c r="AJ872" s="22"/>
      <c r="AK872" s="22"/>
      <c r="AL872" s="22"/>
      <c r="AM872" s="22"/>
      <c r="AN872" s="22"/>
      <c r="AO872" s="22"/>
      <c r="AP872" s="22"/>
    </row>
    <row r="873" hidden="1">
      <c r="A873" s="8">
        <v>46114.0</v>
      </c>
      <c r="B873" s="23">
        <v>0.4791666666666667</v>
      </c>
      <c r="C873" s="10" t="s">
        <v>58</v>
      </c>
      <c r="D873" s="10" t="s">
        <v>59</v>
      </c>
      <c r="E873" s="12" t="s">
        <v>71</v>
      </c>
      <c r="F873" s="12" t="s">
        <v>1367</v>
      </c>
      <c r="G873" s="12" t="s">
        <v>2849</v>
      </c>
      <c r="H873" s="112" t="s">
        <v>2821</v>
      </c>
      <c r="I873" s="12" t="s">
        <v>61</v>
      </c>
      <c r="J873" s="14">
        <v>7472.0</v>
      </c>
      <c r="K873" s="14">
        <v>4264.0</v>
      </c>
      <c r="L873" s="15">
        <v>0.5707</v>
      </c>
      <c r="M873" s="16"/>
      <c r="N873" s="17"/>
      <c r="O873" s="18">
        <v>20.0</v>
      </c>
      <c r="P873" s="18"/>
      <c r="Q873" s="19">
        <v>0.0047</v>
      </c>
      <c r="R873" s="19"/>
      <c r="S873" s="20">
        <v>0.0</v>
      </c>
      <c r="T873" s="20">
        <v>3.0</v>
      </c>
      <c r="U873" s="20">
        <v>0.0</v>
      </c>
      <c r="V873" s="21" t="s">
        <v>315</v>
      </c>
      <c r="W873" s="18" t="s">
        <v>62</v>
      </c>
      <c r="X873" s="101" t="s">
        <v>82</v>
      </c>
      <c r="Y873" s="73" t="s">
        <v>2847</v>
      </c>
      <c r="Z873" s="20" t="s">
        <v>2850</v>
      </c>
      <c r="AA873" s="18">
        <v>8.0</v>
      </c>
      <c r="AB873" s="52"/>
      <c r="AC873" s="18">
        <v>8.0</v>
      </c>
      <c r="AD873" s="14">
        <v>25483.0</v>
      </c>
      <c r="AE873" s="52"/>
      <c r="AF873" s="14">
        <v>25483.0</v>
      </c>
      <c r="AG873" s="22"/>
      <c r="AH873" s="22"/>
      <c r="AI873" s="22"/>
      <c r="AJ873" s="22"/>
      <c r="AK873" s="22"/>
      <c r="AL873" s="22"/>
      <c r="AM873" s="22"/>
      <c r="AN873" s="22"/>
      <c r="AO873" s="22"/>
      <c r="AP873" s="22"/>
    </row>
    <row r="874" hidden="1">
      <c r="A874" s="8">
        <v>46114.0</v>
      </c>
      <c r="B874" s="23">
        <v>0.4791666666666667</v>
      </c>
      <c r="C874" s="10" t="s">
        <v>58</v>
      </c>
      <c r="D874" s="10" t="s">
        <v>59</v>
      </c>
      <c r="E874" s="12" t="s">
        <v>71</v>
      </c>
      <c r="F874" s="12" t="s">
        <v>1367</v>
      </c>
      <c r="G874" s="12" t="s">
        <v>2851</v>
      </c>
      <c r="H874" s="112" t="s">
        <v>2825</v>
      </c>
      <c r="I874" s="12" t="s">
        <v>61</v>
      </c>
      <c r="J874" s="14">
        <v>21709.0</v>
      </c>
      <c r="K874" s="14">
        <v>13166.0</v>
      </c>
      <c r="L874" s="15">
        <v>0.6065</v>
      </c>
      <c r="M874" s="16"/>
      <c r="N874" s="17"/>
      <c r="O874" s="18">
        <v>37.0</v>
      </c>
      <c r="P874" s="18"/>
      <c r="Q874" s="19">
        <v>0.0028</v>
      </c>
      <c r="R874" s="19"/>
      <c r="S874" s="20">
        <v>1.0</v>
      </c>
      <c r="T874" s="20">
        <v>3.0</v>
      </c>
      <c r="U874" s="20">
        <v>1248.0</v>
      </c>
      <c r="V874" s="21" t="s">
        <v>315</v>
      </c>
      <c r="W874" s="18" t="s">
        <v>62</v>
      </c>
      <c r="X874" s="101" t="s">
        <v>2827</v>
      </c>
      <c r="Y874" s="73" t="s">
        <v>2847</v>
      </c>
      <c r="Z874" s="20" t="s">
        <v>2852</v>
      </c>
      <c r="AA874" s="18">
        <v>7.0</v>
      </c>
      <c r="AB874" s="14"/>
      <c r="AC874" s="14">
        <v>7.0</v>
      </c>
      <c r="AD874" s="14">
        <v>27486.0</v>
      </c>
      <c r="AE874" s="52"/>
      <c r="AF874" s="14">
        <v>27486.0</v>
      </c>
      <c r="AG874" s="22"/>
      <c r="AH874" s="22"/>
      <c r="AI874" s="22"/>
      <c r="AJ874" s="22"/>
      <c r="AK874" s="22"/>
      <c r="AL874" s="22"/>
      <c r="AM874" s="22"/>
      <c r="AN874" s="22"/>
      <c r="AO874" s="22"/>
      <c r="AP874" s="22"/>
    </row>
    <row r="875" hidden="1">
      <c r="A875" s="8">
        <v>46114.0</v>
      </c>
      <c r="B875" s="23">
        <v>0.4791666666666667</v>
      </c>
      <c r="C875" s="10" t="s">
        <v>58</v>
      </c>
      <c r="D875" s="10" t="s">
        <v>59</v>
      </c>
      <c r="E875" s="12" t="s">
        <v>71</v>
      </c>
      <c r="F875" s="12" t="s">
        <v>1367</v>
      </c>
      <c r="G875" s="12" t="s">
        <v>2853</v>
      </c>
      <c r="H875" s="112" t="s">
        <v>2830</v>
      </c>
      <c r="I875" s="12" t="s">
        <v>61</v>
      </c>
      <c r="J875" s="14">
        <v>17304.0</v>
      </c>
      <c r="K875" s="14">
        <v>9750.0</v>
      </c>
      <c r="L875" s="15">
        <v>0.5635</v>
      </c>
      <c r="M875" s="16"/>
      <c r="N875" s="17"/>
      <c r="O875" s="18">
        <v>17.0</v>
      </c>
      <c r="P875" s="18"/>
      <c r="Q875" s="19">
        <v>0.0017</v>
      </c>
      <c r="R875" s="19"/>
      <c r="S875" s="20">
        <v>0.0</v>
      </c>
      <c r="T875" s="20">
        <v>2.0</v>
      </c>
      <c r="U875" s="20">
        <v>0.0</v>
      </c>
      <c r="V875" s="21" t="s">
        <v>315</v>
      </c>
      <c r="W875" s="18" t="s">
        <v>62</v>
      </c>
      <c r="X875" s="101" t="s">
        <v>2117</v>
      </c>
      <c r="Y875" s="73" t="s">
        <v>2847</v>
      </c>
      <c r="Z875" s="20" t="s">
        <v>2854</v>
      </c>
      <c r="AA875" s="18">
        <v>15.0</v>
      </c>
      <c r="AB875" s="52"/>
      <c r="AC875" s="18">
        <v>15.0</v>
      </c>
      <c r="AD875" s="14">
        <v>53971.0</v>
      </c>
      <c r="AE875" s="52"/>
      <c r="AF875" s="14">
        <v>53971.0</v>
      </c>
      <c r="AG875" s="22"/>
      <c r="AH875" s="22"/>
      <c r="AI875" s="22"/>
      <c r="AJ875" s="22"/>
      <c r="AK875" s="22"/>
      <c r="AL875" s="22"/>
      <c r="AM875" s="22"/>
      <c r="AN875" s="22"/>
      <c r="AO875" s="22"/>
      <c r="AP875" s="22"/>
    </row>
    <row r="876" hidden="1">
      <c r="A876" s="8">
        <v>46114.0</v>
      </c>
      <c r="B876" s="23">
        <v>0.4791666666666667</v>
      </c>
      <c r="C876" s="10" t="s">
        <v>58</v>
      </c>
      <c r="D876" s="10" t="s">
        <v>59</v>
      </c>
      <c r="E876" s="12" t="s">
        <v>71</v>
      </c>
      <c r="F876" s="12" t="s">
        <v>1367</v>
      </c>
      <c r="G876" s="12" t="s">
        <v>2855</v>
      </c>
      <c r="H876" s="112" t="s">
        <v>2834</v>
      </c>
      <c r="I876" s="12" t="s">
        <v>61</v>
      </c>
      <c r="J876" s="14">
        <v>14969.0</v>
      </c>
      <c r="K876" s="14">
        <v>8723.0</v>
      </c>
      <c r="L876" s="15">
        <v>0.5827</v>
      </c>
      <c r="M876" s="16"/>
      <c r="N876" s="17"/>
      <c r="O876" s="18">
        <v>23.0</v>
      </c>
      <c r="P876" s="18"/>
      <c r="Q876" s="19">
        <v>0.0026</v>
      </c>
      <c r="R876" s="19"/>
      <c r="S876" s="20">
        <v>2.0</v>
      </c>
      <c r="T876" s="20">
        <v>2.0</v>
      </c>
      <c r="U876" s="20">
        <v>6207.0</v>
      </c>
      <c r="V876" s="21" t="s">
        <v>315</v>
      </c>
      <c r="W876" s="18" t="s">
        <v>62</v>
      </c>
      <c r="X876" s="101" t="s">
        <v>41</v>
      </c>
      <c r="Y876" s="73" t="s">
        <v>2847</v>
      </c>
      <c r="Z876" s="20" t="s">
        <v>2856</v>
      </c>
      <c r="AA876" s="18">
        <v>4.0</v>
      </c>
      <c r="AB876" s="52"/>
      <c r="AC876" s="18">
        <v>4.0</v>
      </c>
      <c r="AD876" s="14">
        <v>20492.0</v>
      </c>
      <c r="AE876" s="52"/>
      <c r="AF876" s="14">
        <v>20492.0</v>
      </c>
      <c r="AG876" s="22"/>
      <c r="AH876" s="22"/>
      <c r="AI876" s="22"/>
      <c r="AJ876" s="22"/>
      <c r="AK876" s="22"/>
      <c r="AL876" s="22"/>
      <c r="AM876" s="22"/>
      <c r="AN876" s="22"/>
      <c r="AO876" s="22"/>
      <c r="AP876" s="22"/>
    </row>
    <row r="877" hidden="1">
      <c r="A877" s="8">
        <v>46114.0</v>
      </c>
      <c r="B877" s="23">
        <v>0.4791666666666667</v>
      </c>
      <c r="C877" s="10" t="s">
        <v>58</v>
      </c>
      <c r="D877" s="10" t="s">
        <v>59</v>
      </c>
      <c r="E877" s="12" t="s">
        <v>71</v>
      </c>
      <c r="F877" s="12" t="s">
        <v>1367</v>
      </c>
      <c r="G877" s="12" t="s">
        <v>2857</v>
      </c>
      <c r="H877" s="112" t="s">
        <v>2838</v>
      </c>
      <c r="I877" s="12" t="s">
        <v>61</v>
      </c>
      <c r="J877" s="14">
        <v>1509.0</v>
      </c>
      <c r="K877" s="14">
        <v>748.0</v>
      </c>
      <c r="L877" s="15">
        <v>0.4957</v>
      </c>
      <c r="M877" s="16"/>
      <c r="N877" s="17"/>
      <c r="O877" s="18">
        <v>1.0</v>
      </c>
      <c r="P877" s="18"/>
      <c r="Q877" s="19">
        <v>0.0013</v>
      </c>
      <c r="R877" s="19"/>
      <c r="S877" s="20">
        <v>0.0</v>
      </c>
      <c r="T877" s="20">
        <v>0.0</v>
      </c>
      <c r="U877" s="20">
        <v>0.0</v>
      </c>
      <c r="V877" s="21" t="s">
        <v>315</v>
      </c>
      <c r="W877" s="18" t="s">
        <v>62</v>
      </c>
      <c r="X877" s="101" t="s">
        <v>2840</v>
      </c>
      <c r="Y877" s="73" t="s">
        <v>2847</v>
      </c>
      <c r="Z877" s="20" t="s">
        <v>2858</v>
      </c>
      <c r="AA877" s="18">
        <v>0.0</v>
      </c>
      <c r="AB877" s="52"/>
      <c r="AC877" s="18">
        <v>0.0</v>
      </c>
      <c r="AD877" s="18">
        <v>0.0</v>
      </c>
      <c r="AE877" s="52"/>
      <c r="AF877" s="18">
        <v>0.0</v>
      </c>
      <c r="AG877" s="22"/>
      <c r="AH877" s="22"/>
      <c r="AI877" s="22"/>
      <c r="AJ877" s="22"/>
      <c r="AK877" s="22"/>
      <c r="AL877" s="22"/>
      <c r="AM877" s="22"/>
      <c r="AN877" s="22"/>
      <c r="AO877" s="22"/>
      <c r="AP877" s="22"/>
    </row>
    <row r="878" hidden="1">
      <c r="A878" s="8">
        <v>46114.0</v>
      </c>
      <c r="B878" s="23">
        <v>0.4791666666666667</v>
      </c>
      <c r="C878" s="10" t="s">
        <v>58</v>
      </c>
      <c r="D878" s="10" t="s">
        <v>59</v>
      </c>
      <c r="E878" s="12" t="s">
        <v>71</v>
      </c>
      <c r="F878" s="12" t="s">
        <v>1367</v>
      </c>
      <c r="G878" s="12" t="s">
        <v>2859</v>
      </c>
      <c r="H878" s="112" t="s">
        <v>2843</v>
      </c>
      <c r="I878" s="12" t="s">
        <v>61</v>
      </c>
      <c r="J878" s="14">
        <v>1616.0</v>
      </c>
      <c r="K878" s="14">
        <v>806.0</v>
      </c>
      <c r="L878" s="15">
        <v>0.4988</v>
      </c>
      <c r="M878" s="16"/>
      <c r="N878" s="17"/>
      <c r="O878" s="18">
        <v>1.0</v>
      </c>
      <c r="P878" s="18"/>
      <c r="Q878" s="19">
        <v>0.0012</v>
      </c>
      <c r="R878" s="19"/>
      <c r="S878" s="20">
        <v>0.0</v>
      </c>
      <c r="T878" s="20">
        <v>1.0</v>
      </c>
      <c r="U878" s="20">
        <v>0.0</v>
      </c>
      <c r="V878" s="21" t="s">
        <v>315</v>
      </c>
      <c r="W878" s="18" t="s">
        <v>62</v>
      </c>
      <c r="X878" s="101" t="s">
        <v>2594</v>
      </c>
      <c r="Y878" s="73" t="s">
        <v>2847</v>
      </c>
      <c r="Z878" s="20" t="s">
        <v>2860</v>
      </c>
      <c r="AA878" s="18">
        <v>0.0</v>
      </c>
      <c r="AB878" s="52"/>
      <c r="AC878" s="18">
        <v>0.0</v>
      </c>
      <c r="AD878" s="18">
        <v>0.0</v>
      </c>
      <c r="AE878" s="52"/>
      <c r="AF878" s="18">
        <v>0.0</v>
      </c>
      <c r="AG878" s="22"/>
      <c r="AH878" s="22"/>
      <c r="AI878" s="22"/>
      <c r="AJ878" s="22"/>
      <c r="AK878" s="22"/>
      <c r="AL878" s="22"/>
      <c r="AM878" s="22"/>
      <c r="AN878" s="22"/>
      <c r="AO878" s="22"/>
      <c r="AP878" s="22"/>
    </row>
    <row r="879" hidden="1">
      <c r="A879" s="8">
        <v>46115.0</v>
      </c>
      <c r="B879" s="23">
        <v>0.625</v>
      </c>
      <c r="C879" s="10" t="s">
        <v>32</v>
      </c>
      <c r="D879" s="10" t="s">
        <v>33</v>
      </c>
      <c r="E879" s="12" t="s">
        <v>217</v>
      </c>
      <c r="F879" s="12" t="s">
        <v>2693</v>
      </c>
      <c r="G879" s="12" t="s">
        <v>2861</v>
      </c>
      <c r="H879" s="112" t="s">
        <v>2862</v>
      </c>
      <c r="I879" s="72" t="s">
        <v>2863</v>
      </c>
      <c r="J879" s="14">
        <v>117377.0</v>
      </c>
      <c r="K879" s="14">
        <v>75268.0</v>
      </c>
      <c r="L879" s="15">
        <v>0.6412</v>
      </c>
      <c r="M879" s="16">
        <v>41937.0</v>
      </c>
      <c r="N879" s="17">
        <v>0.5573</v>
      </c>
      <c r="O879" s="18">
        <v>1647.0</v>
      </c>
      <c r="P879" s="18">
        <v>1498.0</v>
      </c>
      <c r="Q879" s="19">
        <v>0.0199</v>
      </c>
      <c r="R879" s="19">
        <v>0.0357</v>
      </c>
      <c r="S879" s="20"/>
      <c r="T879" s="20"/>
      <c r="U879" s="20"/>
      <c r="V879" s="21" t="s">
        <v>315</v>
      </c>
      <c r="W879" s="18" t="s">
        <v>76</v>
      </c>
      <c r="X879" s="101" t="s">
        <v>2864</v>
      </c>
      <c r="Y879" s="21" t="s">
        <v>2865</v>
      </c>
      <c r="Z879" s="20" t="s">
        <v>2866</v>
      </c>
      <c r="AA879" s="18">
        <v>172.0</v>
      </c>
      <c r="AB879" s="52"/>
      <c r="AC879" s="18">
        <v>172.0</v>
      </c>
      <c r="AD879" s="14">
        <v>358949.0</v>
      </c>
      <c r="AE879" s="52"/>
      <c r="AF879" s="14">
        <v>358949.0</v>
      </c>
      <c r="AG879" s="22"/>
      <c r="AH879" s="22"/>
      <c r="AI879" s="22"/>
      <c r="AJ879" s="22"/>
      <c r="AK879" s="22"/>
      <c r="AL879" s="22"/>
      <c r="AM879" s="22"/>
      <c r="AN879" s="22"/>
      <c r="AO879" s="22"/>
      <c r="AP879" s="22"/>
    </row>
    <row r="880" hidden="1">
      <c r="A880" s="8">
        <v>46115.0</v>
      </c>
      <c r="B880" s="23">
        <v>0.4166666666666667</v>
      </c>
      <c r="C880" s="10" t="s">
        <v>32</v>
      </c>
      <c r="D880" s="10" t="s">
        <v>33</v>
      </c>
      <c r="E880" s="12" t="s">
        <v>217</v>
      </c>
      <c r="F880" s="12" t="s">
        <v>2693</v>
      </c>
      <c r="G880" s="12" t="s">
        <v>2867</v>
      </c>
      <c r="H880" s="112" t="s">
        <v>2868</v>
      </c>
      <c r="I880" s="72" t="s">
        <v>2869</v>
      </c>
      <c r="J880" s="14">
        <v>170425.0</v>
      </c>
      <c r="K880" s="14">
        <v>111719.0</v>
      </c>
      <c r="L880" s="15">
        <v>0.6555</v>
      </c>
      <c r="M880" s="16">
        <v>64611.0</v>
      </c>
      <c r="N880" s="17">
        <v>0.5784</v>
      </c>
      <c r="O880" s="18">
        <v>4826.0</v>
      </c>
      <c r="P880" s="18">
        <v>4425.0</v>
      </c>
      <c r="Q880" s="19">
        <v>0.0396</v>
      </c>
      <c r="R880" s="19">
        <v>0.0685</v>
      </c>
      <c r="S880" s="20"/>
      <c r="T880" s="20"/>
      <c r="U880" s="20"/>
      <c r="V880" s="21" t="s">
        <v>315</v>
      </c>
      <c r="W880" s="18" t="s">
        <v>76</v>
      </c>
      <c r="X880" s="101" t="s">
        <v>149</v>
      </c>
      <c r="Y880" s="21" t="s">
        <v>2870</v>
      </c>
      <c r="Z880" s="20" t="s">
        <v>2871</v>
      </c>
      <c r="AA880" s="18">
        <v>676.0</v>
      </c>
      <c r="AB880" s="52"/>
      <c r="AC880" s="18">
        <v>676.0</v>
      </c>
      <c r="AD880" s="14">
        <v>1713136.0</v>
      </c>
      <c r="AE880" s="52"/>
      <c r="AF880" s="14">
        <v>1713136.0</v>
      </c>
      <c r="AG880" s="22"/>
      <c r="AH880" s="22"/>
      <c r="AI880" s="22"/>
      <c r="AJ880" s="22"/>
      <c r="AK880" s="22"/>
      <c r="AL880" s="22"/>
      <c r="AM880" s="22"/>
      <c r="AN880" s="22"/>
      <c r="AO880" s="22"/>
      <c r="AP880" s="22"/>
    </row>
    <row r="881" hidden="1">
      <c r="A881" s="8">
        <v>46115.0</v>
      </c>
      <c r="B881" s="23">
        <v>0.7083333333333334</v>
      </c>
      <c r="C881" s="10" t="s">
        <v>58</v>
      </c>
      <c r="D881" s="10" t="s">
        <v>59</v>
      </c>
      <c r="E881" s="12" t="s">
        <v>217</v>
      </c>
      <c r="F881" s="12" t="s">
        <v>2693</v>
      </c>
      <c r="G881" s="12" t="s">
        <v>2872</v>
      </c>
      <c r="H881" s="10" t="s">
        <v>2862</v>
      </c>
      <c r="I881" s="12" t="s">
        <v>61</v>
      </c>
      <c r="J881" s="14">
        <v>38841.0</v>
      </c>
      <c r="K881" s="14">
        <v>25458.0</v>
      </c>
      <c r="L881" s="15">
        <v>0.6554</v>
      </c>
      <c r="M881" s="16"/>
      <c r="N881" s="17"/>
      <c r="O881" s="18">
        <v>0.0</v>
      </c>
      <c r="P881" s="18"/>
      <c r="Q881" s="19">
        <v>0.0</v>
      </c>
      <c r="R881" s="19"/>
      <c r="S881" s="20"/>
      <c r="T881" s="20"/>
      <c r="U881" s="20"/>
      <c r="V881" s="21" t="s">
        <v>315</v>
      </c>
      <c r="W881" s="18" t="s">
        <v>62</v>
      </c>
      <c r="X881" s="101" t="s">
        <v>2864</v>
      </c>
      <c r="Y881" s="21" t="s">
        <v>2873</v>
      </c>
      <c r="Z881" s="20" t="s">
        <v>2874</v>
      </c>
      <c r="AA881" s="18">
        <v>62.0</v>
      </c>
      <c r="AB881" s="52"/>
      <c r="AC881" s="18">
        <v>62.0</v>
      </c>
      <c r="AD881" s="14">
        <v>115913.0</v>
      </c>
      <c r="AE881" s="52"/>
      <c r="AF881" s="14">
        <v>115913.0</v>
      </c>
      <c r="AG881" s="22"/>
      <c r="AH881" s="22"/>
      <c r="AI881" s="22"/>
      <c r="AJ881" s="22"/>
      <c r="AK881" s="22"/>
      <c r="AL881" s="22"/>
      <c r="AM881" s="22"/>
      <c r="AN881" s="22"/>
      <c r="AO881" s="22"/>
      <c r="AP881" s="22"/>
    </row>
    <row r="882" hidden="1">
      <c r="A882" s="8">
        <v>46115.0</v>
      </c>
      <c r="B882" s="23">
        <v>0.5</v>
      </c>
      <c r="C882" s="10" t="s">
        <v>58</v>
      </c>
      <c r="D882" s="10" t="s">
        <v>59</v>
      </c>
      <c r="E882" s="12" t="s">
        <v>217</v>
      </c>
      <c r="F882" s="12" t="s">
        <v>2693</v>
      </c>
      <c r="G882" s="12" t="s">
        <v>2875</v>
      </c>
      <c r="H882" s="112" t="s">
        <v>2868</v>
      </c>
      <c r="I882" s="12" t="s">
        <v>61</v>
      </c>
      <c r="J882" s="14">
        <v>56064.0</v>
      </c>
      <c r="K882" s="14">
        <v>36143.0</v>
      </c>
      <c r="L882" s="15">
        <v>0.6447</v>
      </c>
      <c r="M882" s="16"/>
      <c r="N882" s="17"/>
      <c r="O882" s="18">
        <v>67.0</v>
      </c>
      <c r="P882" s="18"/>
      <c r="Q882" s="19">
        <v>0.0019</v>
      </c>
      <c r="R882" s="19"/>
      <c r="S882" s="20"/>
      <c r="T882" s="20"/>
      <c r="U882" s="20"/>
      <c r="V882" s="21" t="s">
        <v>315</v>
      </c>
      <c r="W882" s="18" t="s">
        <v>62</v>
      </c>
      <c r="X882" s="101" t="s">
        <v>149</v>
      </c>
      <c r="Y882" s="21" t="s">
        <v>2876</v>
      </c>
      <c r="Z882" s="20" t="s">
        <v>2877</v>
      </c>
      <c r="AA882" s="18">
        <v>223.0</v>
      </c>
      <c r="AB882" s="52"/>
      <c r="AC882" s="18">
        <v>223.0</v>
      </c>
      <c r="AD882" s="14">
        <v>584027.0</v>
      </c>
      <c r="AE882" s="52"/>
      <c r="AF882" s="14">
        <v>584027.0</v>
      </c>
      <c r="AG882" s="22"/>
      <c r="AH882" s="22"/>
      <c r="AI882" s="22"/>
      <c r="AJ882" s="22"/>
      <c r="AK882" s="22"/>
      <c r="AL882" s="22"/>
      <c r="AM882" s="22"/>
      <c r="AN882" s="22"/>
      <c r="AO882" s="22"/>
      <c r="AP882" s="22"/>
    </row>
    <row r="883" hidden="1">
      <c r="A883" s="8">
        <v>46115.0</v>
      </c>
      <c r="B883" s="23">
        <v>0.4166666666666667</v>
      </c>
      <c r="C883" s="10" t="s">
        <v>32</v>
      </c>
      <c r="D883" s="10" t="s">
        <v>33</v>
      </c>
      <c r="E883" s="12" t="s">
        <v>106</v>
      </c>
      <c r="F883" s="12" t="s">
        <v>2878</v>
      </c>
      <c r="G883" s="12" t="s">
        <v>2879</v>
      </c>
      <c r="H883" s="112" t="s">
        <v>2880</v>
      </c>
      <c r="I883" s="12" t="s">
        <v>2881</v>
      </c>
      <c r="J883" s="14">
        <v>32499.0</v>
      </c>
      <c r="K883" s="14">
        <v>11279.0</v>
      </c>
      <c r="L883" s="15">
        <v>0.3471</v>
      </c>
      <c r="M883" s="16">
        <v>4500.0</v>
      </c>
      <c r="N883" s="17">
        <v>0.399</v>
      </c>
      <c r="O883" s="18">
        <v>289.0</v>
      </c>
      <c r="P883" s="18">
        <v>268.0</v>
      </c>
      <c r="Q883" s="19">
        <v>0.0238</v>
      </c>
      <c r="R883" s="19">
        <v>0.0596</v>
      </c>
      <c r="S883" s="20"/>
      <c r="T883" s="20"/>
      <c r="U883" s="20"/>
      <c r="V883" s="21" t="s">
        <v>183</v>
      </c>
      <c r="W883" s="18" t="s">
        <v>76</v>
      </c>
      <c r="X883" s="105" t="s">
        <v>149</v>
      </c>
      <c r="Y883" s="21" t="s">
        <v>2882</v>
      </c>
      <c r="Z883" s="20" t="s">
        <v>2883</v>
      </c>
      <c r="AA883" s="18">
        <v>64.0</v>
      </c>
      <c r="AB883" s="18">
        <v>0.0</v>
      </c>
      <c r="AC883" s="18">
        <v>64.0</v>
      </c>
      <c r="AD883" s="14">
        <v>853208.0</v>
      </c>
      <c r="AE883" s="18">
        <v>0.0</v>
      </c>
      <c r="AF883" s="14">
        <v>853208.0</v>
      </c>
      <c r="AG883" s="22"/>
      <c r="AH883" s="22"/>
      <c r="AI883" s="22"/>
      <c r="AJ883" s="22"/>
      <c r="AK883" s="22"/>
      <c r="AL883" s="22"/>
      <c r="AM883" s="22"/>
      <c r="AN883" s="22"/>
      <c r="AO883" s="22"/>
      <c r="AP883" s="22"/>
    </row>
    <row r="884" hidden="1">
      <c r="A884" s="8">
        <v>46115.0</v>
      </c>
      <c r="B884" s="23">
        <v>0.4166666666666667</v>
      </c>
      <c r="C884" s="10" t="s">
        <v>32</v>
      </c>
      <c r="D884" s="10" t="s">
        <v>33</v>
      </c>
      <c r="E884" s="12" t="s">
        <v>106</v>
      </c>
      <c r="F884" s="12" t="s">
        <v>2878</v>
      </c>
      <c r="G884" s="12" t="s">
        <v>2884</v>
      </c>
      <c r="H884" s="112" t="s">
        <v>2885</v>
      </c>
      <c r="I884" s="12" t="s">
        <v>2886</v>
      </c>
      <c r="J884" s="14">
        <v>52850.0</v>
      </c>
      <c r="K884" s="14">
        <v>24062.0</v>
      </c>
      <c r="L884" s="15">
        <v>0.4553</v>
      </c>
      <c r="M884" s="16">
        <v>8772.0</v>
      </c>
      <c r="N884" s="17">
        <v>0.3646</v>
      </c>
      <c r="O884" s="18">
        <v>549.0</v>
      </c>
      <c r="P884" s="18">
        <v>518.0</v>
      </c>
      <c r="Q884" s="19">
        <v>0.0215</v>
      </c>
      <c r="R884" s="19">
        <v>0.0591</v>
      </c>
      <c r="S884" s="20"/>
      <c r="T884" s="20"/>
      <c r="U884" s="20"/>
      <c r="V884" s="21" t="s">
        <v>183</v>
      </c>
      <c r="W884" s="18" t="s">
        <v>76</v>
      </c>
      <c r="X884" s="105" t="s">
        <v>149</v>
      </c>
      <c r="Y884" s="21" t="s">
        <v>2882</v>
      </c>
      <c r="Z884" s="20" t="s">
        <v>2887</v>
      </c>
      <c r="AA884" s="18">
        <v>72.0</v>
      </c>
      <c r="AB884" s="18">
        <v>0.0</v>
      </c>
      <c r="AC884" s="18">
        <v>72.0</v>
      </c>
      <c r="AD884" s="14">
        <v>864003.0</v>
      </c>
      <c r="AE884" s="18">
        <v>0.0</v>
      </c>
      <c r="AF884" s="14">
        <v>864003.0</v>
      </c>
      <c r="AG884" s="22"/>
      <c r="AH884" s="22"/>
      <c r="AI884" s="22"/>
      <c r="AJ884" s="22"/>
      <c r="AK884" s="22"/>
      <c r="AL884" s="22"/>
      <c r="AM884" s="22"/>
      <c r="AN884" s="22"/>
      <c r="AO884" s="22"/>
      <c r="AP884" s="22"/>
    </row>
    <row r="885" hidden="1">
      <c r="A885" s="8">
        <v>46115.0</v>
      </c>
      <c r="B885" s="23">
        <v>0.4166666666666667</v>
      </c>
      <c r="C885" s="10" t="s">
        <v>32</v>
      </c>
      <c r="D885" s="10" t="s">
        <v>33</v>
      </c>
      <c r="E885" s="12" t="s">
        <v>106</v>
      </c>
      <c r="F885" s="12" t="s">
        <v>2878</v>
      </c>
      <c r="G885" s="12" t="s">
        <v>2888</v>
      </c>
      <c r="H885" s="112" t="s">
        <v>2889</v>
      </c>
      <c r="I885" s="12" t="s">
        <v>2890</v>
      </c>
      <c r="J885" s="14">
        <v>37779.0</v>
      </c>
      <c r="K885" s="14">
        <v>16568.0</v>
      </c>
      <c r="L885" s="15">
        <v>0.4386</v>
      </c>
      <c r="M885" s="16">
        <v>5553.0</v>
      </c>
      <c r="N885" s="17">
        <v>0.3352</v>
      </c>
      <c r="O885" s="18">
        <v>582.0</v>
      </c>
      <c r="P885" s="18">
        <v>538.0</v>
      </c>
      <c r="Q885" s="19">
        <v>0.0325</v>
      </c>
      <c r="R885" s="19">
        <v>0.0969</v>
      </c>
      <c r="S885" s="20"/>
      <c r="T885" s="20"/>
      <c r="U885" s="20"/>
      <c r="V885" s="21" t="s">
        <v>183</v>
      </c>
      <c r="W885" s="18" t="s">
        <v>76</v>
      </c>
      <c r="X885" s="105" t="s">
        <v>149</v>
      </c>
      <c r="Y885" s="21" t="s">
        <v>2882</v>
      </c>
      <c r="Z885" s="20" t="s">
        <v>2891</v>
      </c>
      <c r="AA885" s="18">
        <v>78.0</v>
      </c>
      <c r="AB885" s="18">
        <v>0.0</v>
      </c>
      <c r="AC885" s="18">
        <v>78.0</v>
      </c>
      <c r="AD885" s="14">
        <v>1091486.0</v>
      </c>
      <c r="AE885" s="18">
        <v>0.0</v>
      </c>
      <c r="AF885" s="14">
        <v>1091486.0</v>
      </c>
      <c r="AG885" s="22"/>
      <c r="AH885" s="22"/>
      <c r="AI885" s="22"/>
      <c r="AJ885" s="22"/>
      <c r="AK885" s="22"/>
      <c r="AL885" s="22"/>
      <c r="AM885" s="22"/>
      <c r="AN885" s="22"/>
      <c r="AO885" s="22"/>
      <c r="AP885" s="22"/>
    </row>
    <row r="886" hidden="1">
      <c r="A886" s="8">
        <v>46115.0</v>
      </c>
      <c r="B886" s="23">
        <v>0.4166666666666667</v>
      </c>
      <c r="C886" s="10" t="s">
        <v>32</v>
      </c>
      <c r="D886" s="10" t="s">
        <v>33</v>
      </c>
      <c r="E886" s="12" t="s">
        <v>106</v>
      </c>
      <c r="F886" s="12" t="s">
        <v>2878</v>
      </c>
      <c r="G886" s="12" t="s">
        <v>2892</v>
      </c>
      <c r="H886" s="112" t="s">
        <v>2893</v>
      </c>
      <c r="I886" s="12" t="s">
        <v>2894</v>
      </c>
      <c r="J886" s="14">
        <v>14785.0</v>
      </c>
      <c r="K886" s="14">
        <v>7915.0</v>
      </c>
      <c r="L886" s="15">
        <v>0.5353</v>
      </c>
      <c r="M886" s="16">
        <v>2484.0</v>
      </c>
      <c r="N886" s="17">
        <v>0.3138</v>
      </c>
      <c r="O886" s="18">
        <v>125.0</v>
      </c>
      <c r="P886" s="18">
        <v>119.0</v>
      </c>
      <c r="Q886" s="19">
        <v>0.015</v>
      </c>
      <c r="R886" s="19">
        <v>0.0479</v>
      </c>
      <c r="S886" s="20"/>
      <c r="T886" s="20"/>
      <c r="U886" s="20"/>
      <c r="V886" s="21" t="s">
        <v>183</v>
      </c>
      <c r="W886" s="18" t="s">
        <v>76</v>
      </c>
      <c r="X886" s="105" t="s">
        <v>149</v>
      </c>
      <c r="Y886" s="21" t="s">
        <v>2882</v>
      </c>
      <c r="Z886" s="20" t="s">
        <v>2895</v>
      </c>
      <c r="AA886" s="18">
        <v>27.0</v>
      </c>
      <c r="AB886" s="18">
        <v>0.0</v>
      </c>
      <c r="AC886" s="18">
        <v>27.0</v>
      </c>
      <c r="AD886" s="14">
        <v>294160.0</v>
      </c>
      <c r="AE886" s="18">
        <v>0.0</v>
      </c>
      <c r="AF886" s="14">
        <v>294160.0</v>
      </c>
      <c r="AG886" s="22"/>
      <c r="AH886" s="22"/>
      <c r="AI886" s="22"/>
      <c r="AJ886" s="22"/>
      <c r="AK886" s="22"/>
      <c r="AL886" s="22"/>
      <c r="AM886" s="22"/>
      <c r="AN886" s="22"/>
      <c r="AO886" s="22"/>
      <c r="AP886" s="22"/>
    </row>
    <row r="887" hidden="1">
      <c r="A887" s="8">
        <v>46115.0</v>
      </c>
      <c r="B887" s="23">
        <v>0.5</v>
      </c>
      <c r="C887" s="10" t="s">
        <v>58</v>
      </c>
      <c r="D887" s="10" t="s">
        <v>59</v>
      </c>
      <c r="E887" s="12" t="s">
        <v>106</v>
      </c>
      <c r="F887" s="12" t="s">
        <v>2878</v>
      </c>
      <c r="G887" s="12" t="s">
        <v>2896</v>
      </c>
      <c r="H887" s="112" t="s">
        <v>2880</v>
      </c>
      <c r="I887" s="12" t="s">
        <v>61</v>
      </c>
      <c r="J887" s="14">
        <v>20730.0</v>
      </c>
      <c r="K887" s="14">
        <v>12071.0</v>
      </c>
      <c r="L887" s="15">
        <v>0.5823</v>
      </c>
      <c r="M887" s="16"/>
      <c r="N887" s="17"/>
      <c r="O887" s="18">
        <v>0.0</v>
      </c>
      <c r="P887" s="18"/>
      <c r="Q887" s="19">
        <v>0.0</v>
      </c>
      <c r="R887" s="19"/>
      <c r="S887" s="20"/>
      <c r="T887" s="20"/>
      <c r="U887" s="20"/>
      <c r="V887" s="21" t="s">
        <v>183</v>
      </c>
      <c r="W887" s="18" t="s">
        <v>62</v>
      </c>
      <c r="X887" s="105" t="s">
        <v>149</v>
      </c>
      <c r="Y887" s="21" t="s">
        <v>2882</v>
      </c>
      <c r="Z887" s="20" t="s">
        <v>2897</v>
      </c>
      <c r="AA887" s="18">
        <v>69.0</v>
      </c>
      <c r="AB887" s="18">
        <v>0.0</v>
      </c>
      <c r="AC887" s="18">
        <v>69.0</v>
      </c>
      <c r="AD887" s="14">
        <v>954200.0</v>
      </c>
      <c r="AE887" s="18">
        <v>0.0</v>
      </c>
      <c r="AF887" s="14">
        <v>954200.0</v>
      </c>
      <c r="AG887" s="22"/>
      <c r="AH887" s="22"/>
      <c r="AI887" s="22"/>
      <c r="AJ887" s="22"/>
      <c r="AK887" s="22"/>
      <c r="AL887" s="22"/>
      <c r="AM887" s="22"/>
      <c r="AN887" s="22"/>
      <c r="AO887" s="22"/>
      <c r="AP887" s="22"/>
    </row>
    <row r="888" hidden="1">
      <c r="A888" s="8">
        <v>46115.0</v>
      </c>
      <c r="B888" s="23">
        <v>0.5</v>
      </c>
      <c r="C888" s="10" t="s">
        <v>58</v>
      </c>
      <c r="D888" s="10" t="s">
        <v>59</v>
      </c>
      <c r="E888" s="12" t="s">
        <v>106</v>
      </c>
      <c r="F888" s="12" t="s">
        <v>2878</v>
      </c>
      <c r="G888" s="12" t="s">
        <v>2898</v>
      </c>
      <c r="H888" s="112" t="s">
        <v>2885</v>
      </c>
      <c r="I888" s="12" t="s">
        <v>61</v>
      </c>
      <c r="J888" s="14">
        <v>27804.0</v>
      </c>
      <c r="K888" s="14">
        <v>16203.0</v>
      </c>
      <c r="L888" s="15">
        <v>0.5828</v>
      </c>
      <c r="M888" s="16"/>
      <c r="N888" s="17"/>
      <c r="O888" s="18">
        <v>0.0</v>
      </c>
      <c r="P888" s="18"/>
      <c r="Q888" s="19">
        <v>0.0</v>
      </c>
      <c r="R888" s="19"/>
      <c r="S888" s="20"/>
      <c r="T888" s="20"/>
      <c r="U888" s="20"/>
      <c r="V888" s="21" t="s">
        <v>183</v>
      </c>
      <c r="W888" s="18" t="s">
        <v>62</v>
      </c>
      <c r="X888" s="105" t="s">
        <v>149</v>
      </c>
      <c r="Y888" s="21" t="s">
        <v>2882</v>
      </c>
      <c r="Z888" s="20" t="s">
        <v>2899</v>
      </c>
      <c r="AA888" s="18">
        <v>66.0</v>
      </c>
      <c r="AB888" s="18">
        <v>0.0</v>
      </c>
      <c r="AC888" s="18">
        <v>66.0</v>
      </c>
      <c r="AD888" s="14">
        <v>793113.0</v>
      </c>
      <c r="AE888" s="18">
        <v>0.0</v>
      </c>
      <c r="AF888" s="14">
        <v>793113.0</v>
      </c>
      <c r="AG888" s="22"/>
      <c r="AH888" s="22"/>
      <c r="AI888" s="22"/>
      <c r="AJ888" s="22"/>
      <c r="AK888" s="22"/>
      <c r="AL888" s="22"/>
      <c r="AM888" s="22"/>
      <c r="AN888" s="22"/>
      <c r="AO888" s="22"/>
      <c r="AP888" s="22"/>
    </row>
    <row r="889" hidden="1">
      <c r="A889" s="8">
        <v>46115.0</v>
      </c>
      <c r="B889" s="23">
        <v>0.5</v>
      </c>
      <c r="C889" s="10" t="s">
        <v>58</v>
      </c>
      <c r="D889" s="10" t="s">
        <v>59</v>
      </c>
      <c r="E889" s="12" t="s">
        <v>106</v>
      </c>
      <c r="F889" s="12" t="s">
        <v>2878</v>
      </c>
      <c r="G889" s="12" t="s">
        <v>2900</v>
      </c>
      <c r="H889" s="112" t="s">
        <v>2889</v>
      </c>
      <c r="I889" s="12" t="s">
        <v>61</v>
      </c>
      <c r="J889" s="14">
        <v>20292.0</v>
      </c>
      <c r="K889" s="14">
        <v>10197.0</v>
      </c>
      <c r="L889" s="15">
        <v>0.5025</v>
      </c>
      <c r="M889" s="16"/>
      <c r="N889" s="17"/>
      <c r="O889" s="18">
        <v>0.0</v>
      </c>
      <c r="P889" s="18"/>
      <c r="Q889" s="19">
        <v>0.0</v>
      </c>
      <c r="R889" s="19"/>
      <c r="S889" s="20"/>
      <c r="T889" s="20"/>
      <c r="U889" s="20"/>
      <c r="V889" s="21" t="s">
        <v>183</v>
      </c>
      <c r="W889" s="18" t="s">
        <v>62</v>
      </c>
      <c r="X889" s="105" t="s">
        <v>149</v>
      </c>
      <c r="Y889" s="21" t="s">
        <v>2882</v>
      </c>
      <c r="Z889" s="20" t="s">
        <v>2901</v>
      </c>
      <c r="AA889" s="18">
        <v>53.0</v>
      </c>
      <c r="AB889" s="18">
        <v>0.0</v>
      </c>
      <c r="AC889" s="18">
        <v>53.0</v>
      </c>
      <c r="AD889" s="14">
        <v>662722.0</v>
      </c>
      <c r="AE889" s="18">
        <v>0.0</v>
      </c>
      <c r="AF889" s="14">
        <v>662722.0</v>
      </c>
      <c r="AG889" s="22"/>
      <c r="AH889" s="22"/>
      <c r="AI889" s="22"/>
      <c r="AJ889" s="22"/>
      <c r="AK889" s="22"/>
      <c r="AL889" s="22"/>
      <c r="AM889" s="22"/>
      <c r="AN889" s="22"/>
      <c r="AO889" s="22"/>
      <c r="AP889" s="22"/>
    </row>
    <row r="890" hidden="1">
      <c r="A890" s="8">
        <v>46115.0</v>
      </c>
      <c r="B890" s="23">
        <v>0.5</v>
      </c>
      <c r="C890" s="10" t="s">
        <v>58</v>
      </c>
      <c r="D890" s="10" t="s">
        <v>59</v>
      </c>
      <c r="E890" s="12" t="s">
        <v>106</v>
      </c>
      <c r="F890" s="12" t="s">
        <v>2878</v>
      </c>
      <c r="G890" s="12" t="s">
        <v>2902</v>
      </c>
      <c r="H890" s="112" t="s">
        <v>2893</v>
      </c>
      <c r="I890" s="12" t="s">
        <v>61</v>
      </c>
      <c r="J890" s="14">
        <v>6589.0</v>
      </c>
      <c r="K890" s="14">
        <v>4009.0</v>
      </c>
      <c r="L890" s="15">
        <v>0.6084</v>
      </c>
      <c r="M890" s="16"/>
      <c r="N890" s="17"/>
      <c r="O890" s="18">
        <v>0.0</v>
      </c>
      <c r="P890" s="18"/>
      <c r="Q890" s="19">
        <v>0.0</v>
      </c>
      <c r="R890" s="19"/>
      <c r="S890" s="20"/>
      <c r="T890" s="20"/>
      <c r="U890" s="20"/>
      <c r="V890" s="21" t="s">
        <v>183</v>
      </c>
      <c r="W890" s="18" t="s">
        <v>62</v>
      </c>
      <c r="X890" s="105" t="s">
        <v>149</v>
      </c>
      <c r="Y890" s="21" t="s">
        <v>2882</v>
      </c>
      <c r="Z890" s="20" t="s">
        <v>2903</v>
      </c>
      <c r="AA890" s="18">
        <v>17.0</v>
      </c>
      <c r="AB890" s="14">
        <v>0.0</v>
      </c>
      <c r="AC890" s="14">
        <v>17.0</v>
      </c>
      <c r="AD890" s="14">
        <v>219774.0</v>
      </c>
      <c r="AE890" s="14">
        <v>0.0</v>
      </c>
      <c r="AF890" s="14">
        <v>219774.0</v>
      </c>
      <c r="AG890" s="22"/>
      <c r="AH890" s="22"/>
      <c r="AI890" s="22"/>
      <c r="AJ890" s="22"/>
      <c r="AK890" s="22"/>
      <c r="AL890" s="22"/>
      <c r="AM890" s="22"/>
      <c r="AN890" s="22"/>
      <c r="AO890" s="22"/>
      <c r="AP890" s="22"/>
    </row>
    <row r="891" hidden="1">
      <c r="A891" s="8">
        <v>46116.0</v>
      </c>
      <c r="B891" s="23">
        <v>0.8125</v>
      </c>
      <c r="C891" s="10" t="s">
        <v>32</v>
      </c>
      <c r="D891" s="10" t="s">
        <v>33</v>
      </c>
      <c r="E891" s="12" t="s">
        <v>71</v>
      </c>
      <c r="F891" s="12" t="s">
        <v>1367</v>
      </c>
      <c r="G891" s="12" t="s">
        <v>2904</v>
      </c>
      <c r="H891" s="112" t="s">
        <v>2905</v>
      </c>
      <c r="I891" s="30" t="s">
        <v>2817</v>
      </c>
      <c r="J891" s="14">
        <v>10342.0</v>
      </c>
      <c r="K891" s="14">
        <v>3894.0</v>
      </c>
      <c r="L891" s="15">
        <v>0.3765</v>
      </c>
      <c r="M891" s="16">
        <v>1537.0</v>
      </c>
      <c r="N891" s="17">
        <v>0.3947</v>
      </c>
      <c r="O891" s="18">
        <v>147.0</v>
      </c>
      <c r="P891" s="18">
        <v>142.0</v>
      </c>
      <c r="Q891" s="19">
        <v>0.0365</v>
      </c>
      <c r="R891" s="19">
        <v>0.0924</v>
      </c>
      <c r="S891" s="20">
        <v>1.0</v>
      </c>
      <c r="T891" s="20">
        <v>3.0</v>
      </c>
      <c r="U891" s="20">
        <v>3598.0</v>
      </c>
      <c r="V891" s="21" t="s">
        <v>315</v>
      </c>
      <c r="W891" s="18" t="s">
        <v>76</v>
      </c>
      <c r="X891" s="95" t="s">
        <v>165</v>
      </c>
      <c r="Y891" s="92" t="s">
        <v>2906</v>
      </c>
      <c r="Z891" s="20" t="s">
        <v>2907</v>
      </c>
      <c r="AA891" s="18">
        <v>0.0</v>
      </c>
      <c r="AB891" s="52"/>
      <c r="AC891" s="18">
        <v>0.0</v>
      </c>
      <c r="AD891" s="18">
        <v>0.0</v>
      </c>
      <c r="AE891" s="52"/>
      <c r="AF891" s="18">
        <v>0.0</v>
      </c>
      <c r="AG891" s="22"/>
      <c r="AH891" s="22"/>
      <c r="AI891" s="22"/>
      <c r="AJ891" s="22"/>
      <c r="AK891" s="22"/>
      <c r="AL891" s="22"/>
      <c r="AM891" s="22"/>
      <c r="AN891" s="22"/>
      <c r="AO891" s="22"/>
      <c r="AP891" s="22"/>
    </row>
    <row r="892" hidden="1">
      <c r="A892" s="8">
        <v>46116.0</v>
      </c>
      <c r="B892" s="23">
        <v>0.8125</v>
      </c>
      <c r="C892" s="10" t="s">
        <v>32</v>
      </c>
      <c r="D892" s="10" t="s">
        <v>33</v>
      </c>
      <c r="E892" s="12" t="s">
        <v>71</v>
      </c>
      <c r="F892" s="12" t="s">
        <v>1367</v>
      </c>
      <c r="G892" s="12" t="s">
        <v>2908</v>
      </c>
      <c r="H892" s="112" t="s">
        <v>2821</v>
      </c>
      <c r="I892" s="30" t="s">
        <v>2822</v>
      </c>
      <c r="J892" s="14">
        <v>20823.0</v>
      </c>
      <c r="K892" s="14">
        <v>8870.0</v>
      </c>
      <c r="L892" s="15">
        <v>0.426</v>
      </c>
      <c r="M892" s="16">
        <v>3371.0</v>
      </c>
      <c r="N892" s="17">
        <v>0.38</v>
      </c>
      <c r="O892" s="18">
        <v>331.0</v>
      </c>
      <c r="P892" s="18">
        <v>313.0</v>
      </c>
      <c r="Q892" s="19">
        <v>0.0353</v>
      </c>
      <c r="R892" s="19">
        <v>0.0929</v>
      </c>
      <c r="S892" s="20">
        <v>2.0</v>
      </c>
      <c r="T892" s="20">
        <v>4.0</v>
      </c>
      <c r="U892" s="20">
        <v>4588.0</v>
      </c>
      <c r="V892" s="21" t="s">
        <v>315</v>
      </c>
      <c r="W892" s="18" t="s">
        <v>76</v>
      </c>
      <c r="X892" s="101" t="s">
        <v>82</v>
      </c>
      <c r="Y892" s="92" t="s">
        <v>2906</v>
      </c>
      <c r="Z892" s="20" t="s">
        <v>2909</v>
      </c>
      <c r="AA892" s="18">
        <v>106.0</v>
      </c>
      <c r="AB892" s="52"/>
      <c r="AC892" s="18">
        <v>106.0</v>
      </c>
      <c r="AD892" s="14">
        <v>526326.0</v>
      </c>
      <c r="AE892" s="52"/>
      <c r="AF892" s="14">
        <v>526326.0</v>
      </c>
      <c r="AG892" s="22"/>
      <c r="AH892" s="22"/>
      <c r="AI892" s="22"/>
      <c r="AJ892" s="22"/>
      <c r="AK892" s="22"/>
      <c r="AL892" s="22"/>
      <c r="AM892" s="22"/>
      <c r="AN892" s="22"/>
      <c r="AO892" s="22"/>
      <c r="AP892" s="22"/>
    </row>
    <row r="893" hidden="1">
      <c r="A893" s="8">
        <v>46116.0</v>
      </c>
      <c r="B893" s="23">
        <v>0.8125</v>
      </c>
      <c r="C893" s="10" t="s">
        <v>32</v>
      </c>
      <c r="D893" s="10" t="s">
        <v>33</v>
      </c>
      <c r="E893" s="12" t="s">
        <v>71</v>
      </c>
      <c r="F893" s="12" t="s">
        <v>1367</v>
      </c>
      <c r="G893" s="12" t="s">
        <v>2910</v>
      </c>
      <c r="H893" s="112" t="s">
        <v>2830</v>
      </c>
      <c r="I893" s="30" t="s">
        <v>2831</v>
      </c>
      <c r="J893" s="14">
        <v>71815.0</v>
      </c>
      <c r="K893" s="14">
        <v>31105.0</v>
      </c>
      <c r="L893" s="15">
        <v>0.4331</v>
      </c>
      <c r="M893" s="16">
        <v>12130.0</v>
      </c>
      <c r="N893" s="17">
        <v>0.3901</v>
      </c>
      <c r="O893" s="18">
        <v>1051.0</v>
      </c>
      <c r="P893" s="18">
        <v>983.0</v>
      </c>
      <c r="Q893" s="19">
        <v>0.0316</v>
      </c>
      <c r="R893" s="19">
        <v>0.081</v>
      </c>
      <c r="S893" s="20">
        <v>3.0</v>
      </c>
      <c r="T893" s="20">
        <v>14.0</v>
      </c>
      <c r="U893" s="20">
        <v>17312.0</v>
      </c>
      <c r="V893" s="21" t="s">
        <v>315</v>
      </c>
      <c r="W893" s="18" t="s">
        <v>76</v>
      </c>
      <c r="X893" s="101" t="s">
        <v>2117</v>
      </c>
      <c r="Y893" s="92" t="s">
        <v>2906</v>
      </c>
      <c r="Z893" s="20" t="s">
        <v>2911</v>
      </c>
      <c r="AA893" s="18">
        <v>71.0</v>
      </c>
      <c r="AB893" s="52"/>
      <c r="AC893" s="18">
        <v>71.0</v>
      </c>
      <c r="AD893" s="14">
        <v>254141.0</v>
      </c>
      <c r="AE893" s="52"/>
      <c r="AF893" s="14">
        <v>254141.0</v>
      </c>
      <c r="AG893" s="22"/>
      <c r="AH893" s="22"/>
      <c r="AI893" s="22"/>
      <c r="AJ893" s="22"/>
      <c r="AK893" s="22"/>
      <c r="AL893" s="22"/>
      <c r="AM893" s="22"/>
      <c r="AN893" s="22"/>
      <c r="AO893" s="22"/>
      <c r="AP893" s="22"/>
    </row>
    <row r="894" hidden="1">
      <c r="A894" s="8">
        <v>46116.0</v>
      </c>
      <c r="B894" s="23">
        <v>0.8125</v>
      </c>
      <c r="C894" s="10" t="s">
        <v>32</v>
      </c>
      <c r="D894" s="10" t="s">
        <v>33</v>
      </c>
      <c r="E894" s="12" t="s">
        <v>71</v>
      </c>
      <c r="F894" s="12" t="s">
        <v>1367</v>
      </c>
      <c r="G894" s="12" t="s">
        <v>2912</v>
      </c>
      <c r="H894" s="112" t="s">
        <v>2834</v>
      </c>
      <c r="I894" s="30" t="s">
        <v>2835</v>
      </c>
      <c r="J894" s="14">
        <v>205155.0</v>
      </c>
      <c r="K894" s="14">
        <v>89912.0</v>
      </c>
      <c r="L894" s="15">
        <v>0.4383</v>
      </c>
      <c r="M894" s="16">
        <v>31953.0</v>
      </c>
      <c r="N894" s="17">
        <v>0.3554</v>
      </c>
      <c r="O894" s="18">
        <v>2818.0</v>
      </c>
      <c r="P894" s="18">
        <v>2683.0</v>
      </c>
      <c r="Q894" s="19">
        <v>0.0299</v>
      </c>
      <c r="R894" s="19">
        <v>0.084</v>
      </c>
      <c r="S894" s="20">
        <v>13.0</v>
      </c>
      <c r="T894" s="20">
        <v>24.0</v>
      </c>
      <c r="U894" s="20">
        <v>33709.0</v>
      </c>
      <c r="V894" s="21" t="s">
        <v>315</v>
      </c>
      <c r="W894" s="18" t="s">
        <v>76</v>
      </c>
      <c r="X894" s="101" t="s">
        <v>41</v>
      </c>
      <c r="Y894" s="92" t="s">
        <v>2906</v>
      </c>
      <c r="Z894" s="20" t="s">
        <v>2913</v>
      </c>
      <c r="AA894" s="18">
        <v>175.0</v>
      </c>
      <c r="AB894" s="52"/>
      <c r="AC894" s="18">
        <v>175.0</v>
      </c>
      <c r="AD894" s="14">
        <v>856309.0</v>
      </c>
      <c r="AE894" s="52"/>
      <c r="AF894" s="14">
        <v>856309.0</v>
      </c>
      <c r="AG894" s="22"/>
      <c r="AH894" s="22"/>
      <c r="AI894" s="22"/>
      <c r="AJ894" s="22"/>
      <c r="AK894" s="22"/>
      <c r="AL894" s="22"/>
      <c r="AM894" s="22"/>
      <c r="AN894" s="22"/>
      <c r="AO894" s="22"/>
      <c r="AP894" s="22"/>
    </row>
    <row r="895" hidden="1">
      <c r="A895" s="8">
        <v>46116.0</v>
      </c>
      <c r="B895" s="23">
        <v>0.8125</v>
      </c>
      <c r="C895" s="10" t="s">
        <v>32</v>
      </c>
      <c r="D895" s="10" t="s">
        <v>33</v>
      </c>
      <c r="E895" s="12" t="s">
        <v>71</v>
      </c>
      <c r="F895" s="12" t="s">
        <v>1367</v>
      </c>
      <c r="G895" s="12" t="s">
        <v>2914</v>
      </c>
      <c r="H895" s="112" t="s">
        <v>2838</v>
      </c>
      <c r="I895" s="12" t="s">
        <v>2839</v>
      </c>
      <c r="J895" s="14">
        <v>6016.0</v>
      </c>
      <c r="K895" s="14">
        <v>2009.0</v>
      </c>
      <c r="L895" s="15">
        <v>0.3339</v>
      </c>
      <c r="M895" s="16">
        <v>671.0</v>
      </c>
      <c r="N895" s="17">
        <v>0.334</v>
      </c>
      <c r="O895" s="18">
        <v>69.0</v>
      </c>
      <c r="P895" s="18">
        <v>66.0</v>
      </c>
      <c r="Q895" s="19">
        <v>0.0329</v>
      </c>
      <c r="R895" s="19">
        <v>0.0984</v>
      </c>
      <c r="S895" s="20">
        <v>0.0</v>
      </c>
      <c r="T895" s="20">
        <v>1.0</v>
      </c>
      <c r="U895" s="20">
        <v>0.0</v>
      </c>
      <c r="V895" s="21" t="s">
        <v>315</v>
      </c>
      <c r="W895" s="18" t="s">
        <v>76</v>
      </c>
      <c r="X895" s="101" t="s">
        <v>2840</v>
      </c>
      <c r="Y895" s="92" t="s">
        <v>2906</v>
      </c>
      <c r="Z895" s="20" t="s">
        <v>2915</v>
      </c>
      <c r="AA895" s="18">
        <v>385.0</v>
      </c>
      <c r="AB895" s="52"/>
      <c r="AC895" s="18">
        <v>385.0</v>
      </c>
      <c r="AD895" s="14">
        <v>1413715.0</v>
      </c>
      <c r="AE895" s="52"/>
      <c r="AF895" s="14">
        <v>1413715.0</v>
      </c>
      <c r="AG895" s="22"/>
      <c r="AH895" s="22"/>
      <c r="AI895" s="22"/>
      <c r="AJ895" s="22"/>
      <c r="AK895" s="22"/>
      <c r="AL895" s="22"/>
      <c r="AM895" s="22"/>
      <c r="AN895" s="22"/>
      <c r="AO895" s="22"/>
      <c r="AP895" s="22"/>
    </row>
    <row r="896" hidden="1">
      <c r="A896" s="8">
        <v>46116.0</v>
      </c>
      <c r="B896" s="23">
        <v>0.8125</v>
      </c>
      <c r="C896" s="10" t="s">
        <v>32</v>
      </c>
      <c r="D896" s="10" t="s">
        <v>33</v>
      </c>
      <c r="E896" s="12" t="s">
        <v>71</v>
      </c>
      <c r="F896" s="12" t="s">
        <v>1367</v>
      </c>
      <c r="G896" s="12" t="s">
        <v>2916</v>
      </c>
      <c r="H896" s="112" t="s">
        <v>2843</v>
      </c>
      <c r="I896" s="12" t="s">
        <v>2844</v>
      </c>
      <c r="J896" s="14">
        <v>7978.0</v>
      </c>
      <c r="K896" s="14">
        <v>2865.0</v>
      </c>
      <c r="L896" s="15">
        <v>0.3591</v>
      </c>
      <c r="M896" s="16">
        <v>986.0</v>
      </c>
      <c r="N896" s="17">
        <v>0.3438</v>
      </c>
      <c r="O896" s="18">
        <v>88.0</v>
      </c>
      <c r="P896" s="18">
        <v>81.0</v>
      </c>
      <c r="Q896" s="19">
        <v>0.0283</v>
      </c>
      <c r="R896" s="19">
        <v>0.0822</v>
      </c>
      <c r="S896" s="20">
        <v>0.0</v>
      </c>
      <c r="T896" s="20">
        <v>0.0</v>
      </c>
      <c r="U896" s="20">
        <v>0.0</v>
      </c>
      <c r="V896" s="21" t="s">
        <v>315</v>
      </c>
      <c r="W896" s="18" t="s">
        <v>76</v>
      </c>
      <c r="X896" s="101" t="s">
        <v>2594</v>
      </c>
      <c r="Y896" s="92" t="s">
        <v>2906</v>
      </c>
      <c r="Z896" s="20" t="s">
        <v>2917</v>
      </c>
      <c r="AA896" s="18">
        <v>10.0</v>
      </c>
      <c r="AB896" s="52"/>
      <c r="AC896" s="18">
        <v>10.0</v>
      </c>
      <c r="AD896" s="14">
        <v>56776.0</v>
      </c>
      <c r="AE896" s="52"/>
      <c r="AF896" s="14">
        <v>56776.0</v>
      </c>
      <c r="AG896" s="22"/>
      <c r="AH896" s="22"/>
      <c r="AI896" s="22"/>
      <c r="AJ896" s="22"/>
      <c r="AK896" s="22"/>
      <c r="AL896" s="22"/>
      <c r="AM896" s="22"/>
      <c r="AN896" s="22"/>
      <c r="AO896" s="22"/>
      <c r="AP896" s="22"/>
    </row>
    <row r="897" hidden="1">
      <c r="A897" s="8">
        <v>46116.0</v>
      </c>
      <c r="B897" s="23">
        <v>0.8125</v>
      </c>
      <c r="C897" s="10" t="s">
        <v>32</v>
      </c>
      <c r="D897" s="10" t="s">
        <v>33</v>
      </c>
      <c r="E897" s="12" t="s">
        <v>71</v>
      </c>
      <c r="F897" s="12" t="s">
        <v>1367</v>
      </c>
      <c r="G897" s="30" t="s">
        <v>2918</v>
      </c>
      <c r="H897" s="112" t="s">
        <v>2825</v>
      </c>
      <c r="I897" s="12" t="s">
        <v>2826</v>
      </c>
      <c r="J897" s="14">
        <v>112321.0</v>
      </c>
      <c r="K897" s="14">
        <v>53106.0</v>
      </c>
      <c r="L897" s="15">
        <v>0.4727</v>
      </c>
      <c r="M897" s="16">
        <v>20864.0</v>
      </c>
      <c r="N897" s="17">
        <v>0.3929</v>
      </c>
      <c r="O897" s="18">
        <v>1966.0</v>
      </c>
      <c r="P897" s="18">
        <v>1885.0</v>
      </c>
      <c r="Q897" s="19">
        <v>0.04</v>
      </c>
      <c r="R897" s="19">
        <v>0.09</v>
      </c>
      <c r="S897" s="20">
        <v>11.0</v>
      </c>
      <c r="T897" s="20">
        <v>18.0</v>
      </c>
      <c r="U897" s="20">
        <v>28139.0</v>
      </c>
      <c r="V897" s="21" t="s">
        <v>315</v>
      </c>
      <c r="W897" s="18" t="s">
        <v>76</v>
      </c>
      <c r="X897" s="101" t="s">
        <v>2827</v>
      </c>
      <c r="Y897" s="92" t="s">
        <v>2906</v>
      </c>
      <c r="Z897" s="20" t="s">
        <v>2919</v>
      </c>
      <c r="AA897" s="18">
        <v>14.0</v>
      </c>
      <c r="AB897" s="52"/>
      <c r="AC897" s="18">
        <v>14.0</v>
      </c>
      <c r="AD897" s="14">
        <v>63572.0</v>
      </c>
      <c r="AE897" s="52"/>
      <c r="AF897" s="14">
        <v>63572.0</v>
      </c>
      <c r="AG897" s="22"/>
      <c r="AH897" s="22"/>
      <c r="AI897" s="22"/>
      <c r="AJ897" s="22"/>
      <c r="AK897" s="22"/>
      <c r="AL897" s="22"/>
      <c r="AM897" s="22"/>
      <c r="AN897" s="22"/>
      <c r="AO897" s="22"/>
      <c r="AP897" s="22"/>
    </row>
    <row r="898" hidden="1">
      <c r="A898" s="8">
        <v>46116.0</v>
      </c>
      <c r="B898" s="23">
        <v>0.5</v>
      </c>
      <c r="C898" s="10" t="s">
        <v>32</v>
      </c>
      <c r="D898" s="10" t="s">
        <v>33</v>
      </c>
      <c r="E898" s="12" t="s">
        <v>71</v>
      </c>
      <c r="F898" s="12" t="s">
        <v>1367</v>
      </c>
      <c r="G898" s="30" t="s">
        <v>2920</v>
      </c>
      <c r="H898" s="112" t="s">
        <v>2921</v>
      </c>
      <c r="I898" s="12" t="s">
        <v>1726</v>
      </c>
      <c r="J898" s="14">
        <v>19016.0</v>
      </c>
      <c r="K898" s="14">
        <v>8329.0</v>
      </c>
      <c r="L898" s="15">
        <v>0.438</v>
      </c>
      <c r="M898" s="16">
        <v>3712.0</v>
      </c>
      <c r="N898" s="17">
        <v>0.4456</v>
      </c>
      <c r="O898" s="18">
        <v>399.0</v>
      </c>
      <c r="P898" s="18">
        <v>373.0</v>
      </c>
      <c r="Q898" s="19">
        <v>0.0448</v>
      </c>
      <c r="R898" s="19">
        <v>0.1006</v>
      </c>
      <c r="S898" s="20">
        <v>10.0</v>
      </c>
      <c r="T898" s="20">
        <v>17.0</v>
      </c>
      <c r="U898" s="20">
        <v>35399.0</v>
      </c>
      <c r="V898" s="21" t="s">
        <v>335</v>
      </c>
      <c r="W898" s="18" t="s">
        <v>40</v>
      </c>
      <c r="X898" s="73" t="s">
        <v>1726</v>
      </c>
      <c r="Y898" s="92" t="s">
        <v>2906</v>
      </c>
      <c r="Z898" s="20" t="s">
        <v>2922</v>
      </c>
      <c r="AA898" s="14">
        <v>4.0</v>
      </c>
      <c r="AB898" s="18">
        <v>4.0</v>
      </c>
      <c r="AC898" s="52"/>
      <c r="AD898" s="14">
        <v>13246.0</v>
      </c>
      <c r="AE898" s="14">
        <v>13246.0</v>
      </c>
      <c r="AF898" s="52"/>
      <c r="AG898" s="22"/>
      <c r="AH898" s="22"/>
      <c r="AI898" s="22"/>
      <c r="AJ898" s="22"/>
      <c r="AK898" s="22"/>
      <c r="AL898" s="22"/>
      <c r="AM898" s="22"/>
      <c r="AN898" s="22"/>
      <c r="AO898" s="22"/>
      <c r="AP898" s="22"/>
    </row>
    <row r="899" hidden="1">
      <c r="A899" s="8">
        <v>46116.0</v>
      </c>
      <c r="B899" s="23">
        <v>0.5</v>
      </c>
      <c r="C899" s="10" t="s">
        <v>32</v>
      </c>
      <c r="D899" s="10" t="s">
        <v>33</v>
      </c>
      <c r="E899" s="12" t="s">
        <v>71</v>
      </c>
      <c r="F899" s="12" t="s">
        <v>1367</v>
      </c>
      <c r="G899" s="12" t="s">
        <v>2923</v>
      </c>
      <c r="H899" s="112" t="s">
        <v>2924</v>
      </c>
      <c r="I899" s="12" t="s">
        <v>1726</v>
      </c>
      <c r="J899" s="14">
        <v>2891.0</v>
      </c>
      <c r="K899" s="14">
        <v>984.0</v>
      </c>
      <c r="L899" s="15">
        <v>0.3404</v>
      </c>
      <c r="M899" s="16">
        <v>429.0</v>
      </c>
      <c r="N899" s="17">
        <v>0.436</v>
      </c>
      <c r="O899" s="18">
        <v>62.0</v>
      </c>
      <c r="P899" s="18">
        <v>55.0</v>
      </c>
      <c r="Q899" s="19">
        <v>0.0559</v>
      </c>
      <c r="R899" s="19">
        <v>0.1282</v>
      </c>
      <c r="S899" s="20">
        <v>3.0</v>
      </c>
      <c r="T899" s="20">
        <v>4.0</v>
      </c>
      <c r="U899" s="20">
        <v>4924.0</v>
      </c>
      <c r="V899" s="21" t="s">
        <v>335</v>
      </c>
      <c r="W899" s="18" t="s">
        <v>40</v>
      </c>
      <c r="X899" s="73" t="s">
        <v>1726</v>
      </c>
      <c r="Y899" s="92" t="s">
        <v>2906</v>
      </c>
      <c r="Z899" s="20" t="s">
        <v>2925</v>
      </c>
      <c r="AA899" s="14">
        <v>56.0</v>
      </c>
      <c r="AB899" s="18">
        <v>56.0</v>
      </c>
      <c r="AC899" s="52"/>
      <c r="AD899" s="14">
        <v>175809.0</v>
      </c>
      <c r="AE899" s="14">
        <v>175809.0</v>
      </c>
      <c r="AF899" s="52"/>
      <c r="AG899" s="22"/>
      <c r="AH899" s="22"/>
      <c r="AI899" s="22"/>
      <c r="AJ899" s="22"/>
      <c r="AK899" s="22"/>
      <c r="AL899" s="22"/>
      <c r="AM899" s="22"/>
      <c r="AN899" s="22"/>
      <c r="AO899" s="22"/>
      <c r="AP899" s="22"/>
    </row>
    <row r="900" hidden="1">
      <c r="A900" s="8">
        <v>46116.0</v>
      </c>
      <c r="B900" s="23">
        <v>0.5</v>
      </c>
      <c r="C900" s="10" t="s">
        <v>32</v>
      </c>
      <c r="D900" s="10" t="s">
        <v>33</v>
      </c>
      <c r="E900" s="12" t="s">
        <v>71</v>
      </c>
      <c r="F900" s="12" t="s">
        <v>1367</v>
      </c>
      <c r="G900" s="30" t="s">
        <v>2926</v>
      </c>
      <c r="H900" s="112" t="s">
        <v>2927</v>
      </c>
      <c r="I900" s="12" t="s">
        <v>1726</v>
      </c>
      <c r="J900" s="14">
        <v>1142.0</v>
      </c>
      <c r="K900" s="14">
        <v>500.0</v>
      </c>
      <c r="L900" s="15">
        <v>0.4378</v>
      </c>
      <c r="M900" s="16">
        <v>194.0</v>
      </c>
      <c r="N900" s="17">
        <v>0.388</v>
      </c>
      <c r="O900" s="18">
        <v>23.0</v>
      </c>
      <c r="P900" s="18">
        <v>22.0</v>
      </c>
      <c r="Q900" s="19">
        <v>0.044</v>
      </c>
      <c r="R900" s="19">
        <v>0.1134</v>
      </c>
      <c r="S900" s="20">
        <v>0.0</v>
      </c>
      <c r="T900" s="20">
        <v>1.0</v>
      </c>
      <c r="U900" s="20">
        <v>0.0</v>
      </c>
      <c r="V900" s="21" t="s">
        <v>335</v>
      </c>
      <c r="W900" s="18" t="s">
        <v>40</v>
      </c>
      <c r="X900" s="73" t="s">
        <v>1726</v>
      </c>
      <c r="Y900" s="92" t="s">
        <v>2906</v>
      </c>
      <c r="Z900" s="20" t="s">
        <v>2928</v>
      </c>
      <c r="AA900" s="14">
        <v>22.0</v>
      </c>
      <c r="AB900" s="18">
        <v>22.0</v>
      </c>
      <c r="AC900" s="52"/>
      <c r="AD900" s="14">
        <v>100268.0</v>
      </c>
      <c r="AE900" s="14">
        <v>100268.0</v>
      </c>
      <c r="AF900" s="52"/>
      <c r="AG900" s="22"/>
      <c r="AH900" s="22"/>
      <c r="AI900" s="22"/>
      <c r="AJ900" s="22"/>
      <c r="AK900" s="22"/>
      <c r="AL900" s="22"/>
      <c r="AM900" s="22"/>
      <c r="AN900" s="22"/>
      <c r="AO900" s="22"/>
      <c r="AP900" s="22"/>
    </row>
    <row r="901" hidden="1">
      <c r="A901" s="8">
        <v>46116.0</v>
      </c>
      <c r="B901" s="23">
        <v>0.5</v>
      </c>
      <c r="C901" s="10" t="s">
        <v>32</v>
      </c>
      <c r="D901" s="10" t="s">
        <v>33</v>
      </c>
      <c r="E901" s="12" t="s">
        <v>71</v>
      </c>
      <c r="F901" s="12" t="s">
        <v>1367</v>
      </c>
      <c r="G901" s="30" t="s">
        <v>2929</v>
      </c>
      <c r="H901" s="112" t="s">
        <v>2930</v>
      </c>
      <c r="I901" s="12" t="s">
        <v>1726</v>
      </c>
      <c r="J901" s="14">
        <v>2447.0</v>
      </c>
      <c r="K901" s="14">
        <v>916.0</v>
      </c>
      <c r="L901" s="15">
        <v>0.3745</v>
      </c>
      <c r="M901" s="16">
        <v>287.0</v>
      </c>
      <c r="N901" s="17">
        <v>0.3133</v>
      </c>
      <c r="O901" s="18">
        <v>46.0</v>
      </c>
      <c r="P901" s="18">
        <v>43.0</v>
      </c>
      <c r="Q901" s="19">
        <v>0.05</v>
      </c>
      <c r="R901" s="19">
        <v>0.15</v>
      </c>
      <c r="S901" s="20">
        <v>1.0</v>
      </c>
      <c r="T901" s="20">
        <v>2.0</v>
      </c>
      <c r="U901" s="20">
        <v>2069.0</v>
      </c>
      <c r="V901" s="21" t="s">
        <v>335</v>
      </c>
      <c r="W901" s="18" t="s">
        <v>40</v>
      </c>
      <c r="X901" s="73" t="s">
        <v>1726</v>
      </c>
      <c r="Y901" s="92" t="s">
        <v>2906</v>
      </c>
      <c r="Z901" s="20" t="s">
        <v>2931</v>
      </c>
      <c r="AA901" s="14">
        <v>1.0</v>
      </c>
      <c r="AB901" s="18">
        <v>1.0</v>
      </c>
      <c r="AC901" s="52"/>
      <c r="AD901" s="14">
        <v>4999.0</v>
      </c>
      <c r="AE901" s="14">
        <v>4999.0</v>
      </c>
      <c r="AF901" s="52"/>
      <c r="AG901" s="22"/>
      <c r="AH901" s="22"/>
      <c r="AI901" s="22"/>
      <c r="AJ901" s="22"/>
      <c r="AK901" s="22"/>
      <c r="AL901" s="22"/>
      <c r="AM901" s="22"/>
      <c r="AN901" s="22"/>
      <c r="AO901" s="22"/>
      <c r="AP901" s="22"/>
    </row>
    <row r="902" hidden="1">
      <c r="A902" s="8">
        <v>46116.0</v>
      </c>
      <c r="B902" s="23">
        <v>0.8333333333333334</v>
      </c>
      <c r="C902" s="10" t="s">
        <v>58</v>
      </c>
      <c r="D902" s="10" t="s">
        <v>59</v>
      </c>
      <c r="E902" s="12" t="s">
        <v>71</v>
      </c>
      <c r="F902" s="12" t="s">
        <v>1367</v>
      </c>
      <c r="G902" s="30" t="s">
        <v>2932</v>
      </c>
      <c r="H902" s="112" t="s">
        <v>2905</v>
      </c>
      <c r="I902" s="12" t="s">
        <v>61</v>
      </c>
      <c r="J902" s="14">
        <v>6256.0</v>
      </c>
      <c r="K902" s="14">
        <v>3328.0</v>
      </c>
      <c r="L902" s="15">
        <v>0.532</v>
      </c>
      <c r="M902" s="16"/>
      <c r="N902" s="17"/>
      <c r="O902" s="18">
        <v>6.0</v>
      </c>
      <c r="P902" s="18"/>
      <c r="Q902" s="19">
        <v>0.0018</v>
      </c>
      <c r="R902" s="19"/>
      <c r="S902" s="20">
        <v>0.0</v>
      </c>
      <c r="T902" s="20">
        <v>0.0</v>
      </c>
      <c r="U902" s="20">
        <v>0.0</v>
      </c>
      <c r="V902" s="21" t="s">
        <v>315</v>
      </c>
      <c r="W902" s="18" t="s">
        <v>62</v>
      </c>
      <c r="X902" s="95" t="s">
        <v>165</v>
      </c>
      <c r="Y902" s="116">
        <v>46116.0</v>
      </c>
      <c r="Z902" s="20" t="s">
        <v>2933</v>
      </c>
      <c r="AA902" s="18">
        <v>40.0</v>
      </c>
      <c r="AB902" s="52"/>
      <c r="AC902" s="18">
        <v>40.0</v>
      </c>
      <c r="AD902" s="14">
        <v>192091.0</v>
      </c>
      <c r="AE902" s="52"/>
      <c r="AF902" s="14">
        <v>192091.0</v>
      </c>
      <c r="AG902" s="22"/>
      <c r="AH902" s="22"/>
      <c r="AI902" s="22"/>
      <c r="AJ902" s="22"/>
      <c r="AK902" s="22"/>
      <c r="AL902" s="22"/>
      <c r="AM902" s="22"/>
      <c r="AN902" s="22"/>
      <c r="AO902" s="22"/>
      <c r="AP902" s="22"/>
    </row>
    <row r="903" hidden="1">
      <c r="A903" s="8">
        <v>46116.0</v>
      </c>
      <c r="B903" s="23">
        <v>0.8333333333333334</v>
      </c>
      <c r="C903" s="10" t="s">
        <v>58</v>
      </c>
      <c r="D903" s="10" t="s">
        <v>59</v>
      </c>
      <c r="E903" s="12" t="s">
        <v>71</v>
      </c>
      <c r="F903" s="12" t="s">
        <v>1367</v>
      </c>
      <c r="G903" s="30" t="s">
        <v>2934</v>
      </c>
      <c r="H903" s="112" t="s">
        <v>2821</v>
      </c>
      <c r="I903" s="12" t="s">
        <v>61</v>
      </c>
      <c r="J903" s="14">
        <v>11617.0</v>
      </c>
      <c r="K903" s="14">
        <v>6457.0</v>
      </c>
      <c r="L903" s="15">
        <v>0.5558</v>
      </c>
      <c r="M903" s="16"/>
      <c r="N903" s="17"/>
      <c r="O903" s="18">
        <v>7.0</v>
      </c>
      <c r="P903" s="18"/>
      <c r="Q903" s="19">
        <v>0.0011</v>
      </c>
      <c r="R903" s="19"/>
      <c r="S903" s="20">
        <v>1.0</v>
      </c>
      <c r="T903" s="20">
        <v>2.0</v>
      </c>
      <c r="U903" s="20">
        <v>748.0</v>
      </c>
      <c r="V903" s="21" t="s">
        <v>315</v>
      </c>
      <c r="W903" s="18" t="s">
        <v>62</v>
      </c>
      <c r="X903" s="101" t="s">
        <v>82</v>
      </c>
      <c r="Y903" s="116">
        <v>46116.0</v>
      </c>
      <c r="Z903" s="20" t="s">
        <v>2935</v>
      </c>
      <c r="AA903" s="18">
        <v>31.0</v>
      </c>
      <c r="AB903" s="52"/>
      <c r="AC903" s="18">
        <v>31.0</v>
      </c>
      <c r="AD903" s="14">
        <v>163653.0</v>
      </c>
      <c r="AE903" s="52"/>
      <c r="AF903" s="14">
        <v>163653.0</v>
      </c>
      <c r="AG903" s="22"/>
      <c r="AH903" s="22"/>
      <c r="AI903" s="22"/>
      <c r="AJ903" s="22"/>
      <c r="AK903" s="22"/>
      <c r="AL903" s="22"/>
      <c r="AM903" s="22"/>
      <c r="AN903" s="22"/>
      <c r="AO903" s="22"/>
      <c r="AP903" s="22"/>
    </row>
    <row r="904" hidden="1">
      <c r="A904" s="8">
        <v>46116.0</v>
      </c>
      <c r="B904" s="23">
        <v>0.8333333333333334</v>
      </c>
      <c r="C904" s="10" t="s">
        <v>58</v>
      </c>
      <c r="D904" s="10" t="s">
        <v>59</v>
      </c>
      <c r="E904" s="12" t="s">
        <v>71</v>
      </c>
      <c r="F904" s="12" t="s">
        <v>1367</v>
      </c>
      <c r="G904" s="30" t="s">
        <v>2936</v>
      </c>
      <c r="H904" s="112" t="s">
        <v>2830</v>
      </c>
      <c r="I904" s="12" t="s">
        <v>61</v>
      </c>
      <c r="J904" s="14">
        <v>39436.0</v>
      </c>
      <c r="K904" s="14">
        <v>21753.0</v>
      </c>
      <c r="L904" s="15">
        <v>0.5516</v>
      </c>
      <c r="M904" s="16"/>
      <c r="N904" s="17"/>
      <c r="O904" s="18">
        <v>34.0</v>
      </c>
      <c r="P904" s="18"/>
      <c r="Q904" s="19">
        <v>0.0016</v>
      </c>
      <c r="R904" s="19"/>
      <c r="S904" s="20">
        <v>0.0</v>
      </c>
      <c r="T904" s="20">
        <v>1.0</v>
      </c>
      <c r="U904" s="20">
        <v>0.0</v>
      </c>
      <c r="V904" s="21" t="s">
        <v>315</v>
      </c>
      <c r="W904" s="18" t="s">
        <v>62</v>
      </c>
      <c r="X904" s="101" t="s">
        <v>2117</v>
      </c>
      <c r="Y904" s="116">
        <v>46116.0</v>
      </c>
      <c r="Z904" s="20" t="s">
        <v>2937</v>
      </c>
      <c r="AA904" s="18">
        <v>49.0</v>
      </c>
      <c r="AB904" s="52"/>
      <c r="AC904" s="18">
        <v>49.0</v>
      </c>
      <c r="AD904" s="14">
        <v>190894.0</v>
      </c>
      <c r="AE904" s="52"/>
      <c r="AF904" s="14">
        <v>190894.0</v>
      </c>
      <c r="AG904" s="22"/>
      <c r="AH904" s="22"/>
      <c r="AI904" s="22"/>
      <c r="AJ904" s="22"/>
      <c r="AK904" s="22"/>
      <c r="AL904" s="22"/>
      <c r="AM904" s="22"/>
      <c r="AN904" s="22"/>
      <c r="AO904" s="22"/>
      <c r="AP904" s="22"/>
    </row>
    <row r="905" hidden="1">
      <c r="A905" s="8">
        <v>46116.0</v>
      </c>
      <c r="B905" s="23">
        <v>0.8333333333333334</v>
      </c>
      <c r="C905" s="10" t="s">
        <v>58</v>
      </c>
      <c r="D905" s="10" t="s">
        <v>59</v>
      </c>
      <c r="E905" s="12" t="s">
        <v>71</v>
      </c>
      <c r="F905" s="12" t="s">
        <v>1367</v>
      </c>
      <c r="G905" s="30" t="s">
        <v>2938</v>
      </c>
      <c r="H905" s="112" t="s">
        <v>2834</v>
      </c>
      <c r="I905" s="12" t="s">
        <v>61</v>
      </c>
      <c r="J905" s="14">
        <v>105725.0</v>
      </c>
      <c r="K905" s="14">
        <v>61055.0</v>
      </c>
      <c r="L905" s="15">
        <v>0.5775</v>
      </c>
      <c r="M905" s="16"/>
      <c r="N905" s="17"/>
      <c r="O905" s="18">
        <v>70.0</v>
      </c>
      <c r="P905" s="18"/>
      <c r="Q905" s="19">
        <v>0.0011</v>
      </c>
      <c r="R905" s="19"/>
      <c r="S905" s="20">
        <v>0.0</v>
      </c>
      <c r="T905" s="20">
        <v>3.0</v>
      </c>
      <c r="U905" s="20">
        <v>0.0</v>
      </c>
      <c r="V905" s="21" t="s">
        <v>315</v>
      </c>
      <c r="W905" s="18" t="s">
        <v>62</v>
      </c>
      <c r="X905" s="101" t="s">
        <v>41</v>
      </c>
      <c r="Y905" s="116">
        <v>46116.0</v>
      </c>
      <c r="Z905" s="20" t="s">
        <v>2939</v>
      </c>
      <c r="AA905" s="18">
        <v>95.0</v>
      </c>
      <c r="AB905" s="52"/>
      <c r="AC905" s="18">
        <v>95.0</v>
      </c>
      <c r="AD905" s="14">
        <v>313832.0</v>
      </c>
      <c r="AE905" s="52"/>
      <c r="AF905" s="14">
        <v>313832.0</v>
      </c>
      <c r="AG905" s="22"/>
      <c r="AH905" s="22"/>
      <c r="AI905" s="22"/>
      <c r="AJ905" s="22"/>
      <c r="AK905" s="22"/>
      <c r="AL905" s="22"/>
      <c r="AM905" s="22"/>
      <c r="AN905" s="22"/>
      <c r="AO905" s="22"/>
      <c r="AP905" s="22"/>
    </row>
    <row r="906" hidden="1">
      <c r="A906" s="8">
        <v>46116.0</v>
      </c>
      <c r="B906" s="23">
        <v>0.8333333333333334</v>
      </c>
      <c r="C906" s="10" t="s">
        <v>58</v>
      </c>
      <c r="D906" s="10" t="s">
        <v>59</v>
      </c>
      <c r="E906" s="12" t="s">
        <v>71</v>
      </c>
      <c r="F906" s="12" t="s">
        <v>1367</v>
      </c>
      <c r="G906" s="30" t="s">
        <v>2940</v>
      </c>
      <c r="H906" s="112" t="s">
        <v>2838</v>
      </c>
      <c r="I906" s="12" t="s">
        <v>61</v>
      </c>
      <c r="J906" s="14">
        <v>3835.0</v>
      </c>
      <c r="K906" s="14">
        <v>1844.0</v>
      </c>
      <c r="L906" s="15">
        <v>0.4808</v>
      </c>
      <c r="M906" s="16"/>
      <c r="N906" s="17"/>
      <c r="O906" s="18">
        <v>1.0</v>
      </c>
      <c r="P906" s="18"/>
      <c r="Q906" s="19">
        <v>5.0E-4</v>
      </c>
      <c r="R906" s="19"/>
      <c r="S906" s="20">
        <v>0.0</v>
      </c>
      <c r="T906" s="20">
        <v>0.0</v>
      </c>
      <c r="U906" s="20">
        <v>0.0</v>
      </c>
      <c r="V906" s="21" t="s">
        <v>315</v>
      </c>
      <c r="W906" s="18" t="s">
        <v>62</v>
      </c>
      <c r="X906" s="101" t="s">
        <v>2840</v>
      </c>
      <c r="Y906" s="116">
        <v>46116.0</v>
      </c>
      <c r="Z906" s="20" t="s">
        <v>2941</v>
      </c>
      <c r="AA906" s="18">
        <v>0.0</v>
      </c>
      <c r="AB906" s="52"/>
      <c r="AC906" s="18">
        <v>0.0</v>
      </c>
      <c r="AD906" s="18">
        <v>0.0</v>
      </c>
      <c r="AE906" s="52"/>
      <c r="AF906" s="18">
        <v>0.0</v>
      </c>
      <c r="AG906" s="22"/>
      <c r="AH906" s="22"/>
      <c r="AI906" s="22"/>
      <c r="AJ906" s="22"/>
      <c r="AK906" s="22"/>
      <c r="AL906" s="22"/>
      <c r="AM906" s="22"/>
      <c r="AN906" s="22"/>
      <c r="AO906" s="22"/>
      <c r="AP906" s="22"/>
    </row>
    <row r="907" hidden="1">
      <c r="A907" s="8">
        <v>46116.0</v>
      </c>
      <c r="B907" s="23">
        <v>0.8333333333333334</v>
      </c>
      <c r="C907" s="10" t="s">
        <v>58</v>
      </c>
      <c r="D907" s="10" t="s">
        <v>59</v>
      </c>
      <c r="E907" s="12" t="s">
        <v>71</v>
      </c>
      <c r="F907" s="12" t="s">
        <v>1367</v>
      </c>
      <c r="G907" s="30" t="s">
        <v>2942</v>
      </c>
      <c r="H907" s="112" t="s">
        <v>2843</v>
      </c>
      <c r="I907" s="12" t="s">
        <v>61</v>
      </c>
      <c r="J907" s="14">
        <v>4903.0</v>
      </c>
      <c r="K907" s="14">
        <v>2503.0</v>
      </c>
      <c r="L907" s="15">
        <v>0.5105</v>
      </c>
      <c r="M907" s="16"/>
      <c r="N907" s="17"/>
      <c r="O907" s="18">
        <v>3.0</v>
      </c>
      <c r="P907" s="18"/>
      <c r="Q907" s="19">
        <v>0.0012</v>
      </c>
      <c r="R907" s="19"/>
      <c r="S907" s="20">
        <v>0.0</v>
      </c>
      <c r="T907" s="20">
        <v>0.0</v>
      </c>
      <c r="U907" s="20">
        <v>0.0</v>
      </c>
      <c r="V907" s="21" t="s">
        <v>315</v>
      </c>
      <c r="W907" s="18" t="s">
        <v>62</v>
      </c>
      <c r="X907" s="101" t="s">
        <v>2594</v>
      </c>
      <c r="Y907" s="116">
        <v>46116.0</v>
      </c>
      <c r="Z907" s="20" t="s">
        <v>2943</v>
      </c>
      <c r="AA907" s="18">
        <v>6.0</v>
      </c>
      <c r="AB907" s="52"/>
      <c r="AC907" s="18">
        <v>6.0</v>
      </c>
      <c r="AD907" s="14">
        <v>20687.0</v>
      </c>
      <c r="AE907" s="52"/>
      <c r="AF907" s="14">
        <v>20687.0</v>
      </c>
      <c r="AG907" s="22"/>
      <c r="AH907" s="22"/>
      <c r="AI907" s="22"/>
      <c r="AJ907" s="22"/>
      <c r="AK907" s="22"/>
      <c r="AL907" s="22"/>
      <c r="AM907" s="22"/>
      <c r="AN907" s="22"/>
      <c r="AO907" s="22"/>
      <c r="AP907" s="22"/>
    </row>
    <row r="908" hidden="1">
      <c r="A908" s="8">
        <v>46116.0</v>
      </c>
      <c r="B908" s="23">
        <v>0.8333333333333334</v>
      </c>
      <c r="C908" s="10" t="s">
        <v>58</v>
      </c>
      <c r="D908" s="10" t="s">
        <v>59</v>
      </c>
      <c r="E908" s="12" t="s">
        <v>71</v>
      </c>
      <c r="F908" s="12" t="s">
        <v>1367</v>
      </c>
      <c r="G908" s="30" t="s">
        <v>2944</v>
      </c>
      <c r="H908" s="112" t="s">
        <v>2825</v>
      </c>
      <c r="I908" s="12" t="s">
        <v>61</v>
      </c>
      <c r="J908" s="14">
        <v>57023.0</v>
      </c>
      <c r="K908" s="14">
        <v>34056.0</v>
      </c>
      <c r="L908" s="15">
        <v>0.5972</v>
      </c>
      <c r="M908" s="16"/>
      <c r="N908" s="17"/>
      <c r="O908" s="18">
        <v>62.0</v>
      </c>
      <c r="P908" s="18"/>
      <c r="Q908" s="19">
        <v>0.0018</v>
      </c>
      <c r="R908" s="19"/>
      <c r="S908" s="20">
        <v>0.0</v>
      </c>
      <c r="T908" s="20">
        <v>1.0</v>
      </c>
      <c r="U908" s="20">
        <v>0.0</v>
      </c>
      <c r="V908" s="21" t="s">
        <v>315</v>
      </c>
      <c r="W908" s="18" t="s">
        <v>62</v>
      </c>
      <c r="X908" s="101" t="s">
        <v>2827</v>
      </c>
      <c r="Y908" s="116">
        <v>46116.0</v>
      </c>
      <c r="Z908" s="20" t="s">
        <v>2945</v>
      </c>
      <c r="AA908" s="18">
        <v>53.0</v>
      </c>
      <c r="AB908" s="52"/>
      <c r="AC908" s="18">
        <v>53.0</v>
      </c>
      <c r="AD908" s="14">
        <v>155008.0</v>
      </c>
      <c r="AE908" s="52"/>
      <c r="AF908" s="14">
        <v>155008.0</v>
      </c>
      <c r="AG908" s="22"/>
      <c r="AH908" s="22"/>
      <c r="AI908" s="22"/>
      <c r="AJ908" s="22"/>
      <c r="AK908" s="22"/>
      <c r="AL908" s="22"/>
      <c r="AM908" s="22"/>
      <c r="AN908" s="22"/>
      <c r="AO908" s="22"/>
      <c r="AP908" s="22"/>
    </row>
    <row r="909" hidden="1">
      <c r="A909" s="8">
        <v>46116.0</v>
      </c>
      <c r="B909" s="23">
        <v>0.4166666666666667</v>
      </c>
      <c r="C909" s="10" t="s">
        <v>32</v>
      </c>
      <c r="D909" s="10" t="s">
        <v>33</v>
      </c>
      <c r="E909" s="12" t="s">
        <v>217</v>
      </c>
      <c r="F909" s="12" t="s">
        <v>2693</v>
      </c>
      <c r="G909" s="12" t="s">
        <v>2946</v>
      </c>
      <c r="H909" s="112" t="s">
        <v>2947</v>
      </c>
      <c r="I909" s="72" t="s">
        <v>2948</v>
      </c>
      <c r="J909" s="14">
        <v>21015.0</v>
      </c>
      <c r="K909" s="14">
        <v>12989.0</v>
      </c>
      <c r="L909" s="15">
        <v>0.6181</v>
      </c>
      <c r="M909" s="16">
        <v>6448.0</v>
      </c>
      <c r="N909" s="17">
        <v>0.4965</v>
      </c>
      <c r="O909" s="18">
        <v>238.0</v>
      </c>
      <c r="P909" s="18">
        <v>222.0</v>
      </c>
      <c r="Q909" s="19">
        <v>0.0171</v>
      </c>
      <c r="R909" s="19">
        <v>0.0344</v>
      </c>
      <c r="S909" s="20"/>
      <c r="T909" s="20"/>
      <c r="U909" s="20"/>
      <c r="V909" s="21" t="s">
        <v>315</v>
      </c>
      <c r="W909" s="18" t="s">
        <v>76</v>
      </c>
      <c r="X909" s="101" t="s">
        <v>2949</v>
      </c>
      <c r="Y909" s="21" t="s">
        <v>2865</v>
      </c>
      <c r="Z909" s="20" t="s">
        <v>2950</v>
      </c>
      <c r="AA909" s="18">
        <v>56.0</v>
      </c>
      <c r="AB909" s="52"/>
      <c r="AC909" s="18">
        <v>56.0</v>
      </c>
      <c r="AD909" s="14">
        <v>131553.0</v>
      </c>
      <c r="AE909" s="52"/>
      <c r="AF909" s="14">
        <v>131553.0</v>
      </c>
      <c r="AG909" s="22"/>
      <c r="AH909" s="22"/>
      <c r="AI909" s="22"/>
      <c r="AJ909" s="22"/>
      <c r="AK909" s="22"/>
      <c r="AL909" s="22"/>
      <c r="AM909" s="22"/>
      <c r="AN909" s="22"/>
      <c r="AO909" s="22"/>
      <c r="AP909" s="22"/>
    </row>
    <row r="910" hidden="1">
      <c r="A910" s="8">
        <v>46116.0</v>
      </c>
      <c r="B910" s="23">
        <v>0.5</v>
      </c>
      <c r="C910" s="10" t="s">
        <v>58</v>
      </c>
      <c r="D910" s="10" t="s">
        <v>59</v>
      </c>
      <c r="E910" s="12" t="s">
        <v>217</v>
      </c>
      <c r="F910" s="12" t="s">
        <v>2693</v>
      </c>
      <c r="G910" s="12" t="s">
        <v>2951</v>
      </c>
      <c r="H910" s="112" t="s">
        <v>2947</v>
      </c>
      <c r="I910" s="12" t="s">
        <v>61</v>
      </c>
      <c r="J910" s="14">
        <v>7669.0</v>
      </c>
      <c r="K910" s="14">
        <v>5268.0</v>
      </c>
      <c r="L910" s="15">
        <v>0.6869</v>
      </c>
      <c r="M910" s="16"/>
      <c r="N910" s="17"/>
      <c r="O910" s="18">
        <v>5.0</v>
      </c>
      <c r="P910" s="18"/>
      <c r="Q910" s="19">
        <v>9.0E-4</v>
      </c>
      <c r="R910" s="19"/>
      <c r="S910" s="20"/>
      <c r="T910" s="20"/>
      <c r="U910" s="20"/>
      <c r="V910" s="21" t="s">
        <v>315</v>
      </c>
      <c r="W910" s="18" t="s">
        <v>62</v>
      </c>
      <c r="X910" s="101" t="s">
        <v>2949</v>
      </c>
      <c r="Y910" s="21" t="s">
        <v>2873</v>
      </c>
      <c r="Z910" s="20" t="s">
        <v>2952</v>
      </c>
      <c r="AA910" s="18">
        <v>21.0</v>
      </c>
      <c r="AB910" s="52"/>
      <c r="AC910" s="18">
        <v>21.0</v>
      </c>
      <c r="AD910" s="14">
        <v>58790.0</v>
      </c>
      <c r="AE910" s="52"/>
      <c r="AF910" s="14">
        <v>58790.0</v>
      </c>
      <c r="AG910" s="22"/>
      <c r="AH910" s="22"/>
      <c r="AI910" s="22"/>
      <c r="AJ910" s="22"/>
      <c r="AK910" s="22"/>
      <c r="AL910" s="22"/>
      <c r="AM910" s="22"/>
      <c r="AN910" s="22"/>
      <c r="AO910" s="22"/>
      <c r="AP910" s="22"/>
    </row>
    <row r="911" hidden="1">
      <c r="A911" s="8">
        <v>46116.0</v>
      </c>
      <c r="B911" s="23">
        <v>0.5208333333333334</v>
      </c>
      <c r="C911" s="10" t="s">
        <v>58</v>
      </c>
      <c r="D911" s="10" t="s">
        <v>59</v>
      </c>
      <c r="E911" s="12" t="s">
        <v>34</v>
      </c>
      <c r="F911" s="12" t="s">
        <v>2953</v>
      </c>
      <c r="G911" s="12" t="s">
        <v>2954</v>
      </c>
      <c r="H911" s="112" t="s">
        <v>2955</v>
      </c>
      <c r="I911" s="12" t="s">
        <v>2956</v>
      </c>
      <c r="J911" s="14">
        <v>3808.0</v>
      </c>
      <c r="K911" s="14">
        <v>2168.0</v>
      </c>
      <c r="L911" s="15">
        <v>0.5693</v>
      </c>
      <c r="M911" s="16"/>
      <c r="N911" s="17"/>
      <c r="O911" s="18">
        <v>9.0</v>
      </c>
      <c r="P911" s="18"/>
      <c r="Q911" s="19">
        <v>0.0042</v>
      </c>
      <c r="R911" s="19"/>
      <c r="S911" s="20">
        <v>0.0</v>
      </c>
      <c r="T911" s="20">
        <v>0.0</v>
      </c>
      <c r="U911" s="20">
        <v>0.0</v>
      </c>
      <c r="V911" s="21" t="s">
        <v>183</v>
      </c>
      <c r="W911" s="18" t="s">
        <v>62</v>
      </c>
      <c r="X911" s="101" t="s">
        <v>52</v>
      </c>
      <c r="Y911" s="42" t="s">
        <v>2906</v>
      </c>
      <c r="Z911" s="20" t="s">
        <v>2957</v>
      </c>
      <c r="AA911" s="14">
        <v>6.0</v>
      </c>
      <c r="AB911" s="14">
        <v>0.0</v>
      </c>
      <c r="AC911" s="14">
        <v>6.0</v>
      </c>
      <c r="AD911" s="14">
        <v>63336.0</v>
      </c>
      <c r="AE911" s="14">
        <v>0.0</v>
      </c>
      <c r="AF911" s="14">
        <v>63336.0</v>
      </c>
      <c r="AG911" s="22"/>
      <c r="AH911" s="22"/>
      <c r="AI911" s="22"/>
      <c r="AJ911" s="22"/>
      <c r="AK911" s="22"/>
      <c r="AL911" s="22"/>
      <c r="AM911" s="22"/>
      <c r="AN911" s="22"/>
      <c r="AO911" s="22"/>
      <c r="AP911" s="22"/>
    </row>
    <row r="912" hidden="1">
      <c r="A912" s="8">
        <v>46116.0</v>
      </c>
      <c r="B912" s="23">
        <v>0.5208333333333334</v>
      </c>
      <c r="C912" s="10" t="s">
        <v>58</v>
      </c>
      <c r="D912" s="10" t="s">
        <v>59</v>
      </c>
      <c r="E912" s="12" t="s">
        <v>34</v>
      </c>
      <c r="F912" s="12" t="s">
        <v>2953</v>
      </c>
      <c r="G912" s="12" t="s">
        <v>2958</v>
      </c>
      <c r="H912" s="72" t="s">
        <v>2959</v>
      </c>
      <c r="I912" s="12" t="s">
        <v>2956</v>
      </c>
      <c r="J912" s="14">
        <v>30343.0</v>
      </c>
      <c r="K912" s="14">
        <v>16897.0</v>
      </c>
      <c r="L912" s="15">
        <v>0.5569</v>
      </c>
      <c r="M912" s="16"/>
      <c r="N912" s="17"/>
      <c r="O912" s="18">
        <v>46.0</v>
      </c>
      <c r="P912" s="18"/>
      <c r="Q912" s="19">
        <v>0.0027</v>
      </c>
      <c r="R912" s="19"/>
      <c r="S912" s="20">
        <v>3.0</v>
      </c>
      <c r="T912" s="20">
        <v>9.0</v>
      </c>
      <c r="U912" s="20">
        <v>7358.0</v>
      </c>
      <c r="V912" s="21" t="s">
        <v>183</v>
      </c>
      <c r="W912" s="18" t="s">
        <v>62</v>
      </c>
      <c r="X912" s="101" t="s">
        <v>2552</v>
      </c>
      <c r="Y912" s="42" t="s">
        <v>2906</v>
      </c>
      <c r="Z912" s="20" t="s">
        <v>2960</v>
      </c>
      <c r="AA912" s="14">
        <v>30.0</v>
      </c>
      <c r="AB912" s="14">
        <v>24.0</v>
      </c>
      <c r="AC912" s="14">
        <v>6.0</v>
      </c>
      <c r="AD912" s="14">
        <v>154697.0</v>
      </c>
      <c r="AE912" s="14">
        <v>101567.0</v>
      </c>
      <c r="AF912" s="14">
        <v>53130.0</v>
      </c>
      <c r="AG912" s="22"/>
      <c r="AH912" s="22"/>
      <c r="AI912" s="22"/>
      <c r="AJ912" s="22"/>
      <c r="AK912" s="22"/>
      <c r="AL912" s="22"/>
      <c r="AM912" s="22"/>
      <c r="AN912" s="22"/>
      <c r="AO912" s="22"/>
      <c r="AP912" s="22"/>
    </row>
    <row r="913" hidden="1">
      <c r="A913" s="8">
        <v>46116.0</v>
      </c>
      <c r="B913" s="23">
        <v>0.5208333333333334</v>
      </c>
      <c r="C913" s="10" t="s">
        <v>58</v>
      </c>
      <c r="D913" s="10" t="s">
        <v>59</v>
      </c>
      <c r="E913" s="12" t="s">
        <v>34</v>
      </c>
      <c r="F913" s="12" t="s">
        <v>2953</v>
      </c>
      <c r="G913" s="12" t="s">
        <v>2961</v>
      </c>
      <c r="H913" s="112" t="s">
        <v>2962</v>
      </c>
      <c r="I913" s="12" t="s">
        <v>2956</v>
      </c>
      <c r="J913" s="14">
        <v>80427.0</v>
      </c>
      <c r="K913" s="14">
        <v>45192.0</v>
      </c>
      <c r="L913" s="15">
        <v>0.5619</v>
      </c>
      <c r="M913" s="16"/>
      <c r="N913" s="17"/>
      <c r="O913" s="18">
        <v>81.0</v>
      </c>
      <c r="P913" s="18"/>
      <c r="Q913" s="19">
        <v>0.0018</v>
      </c>
      <c r="R913" s="19"/>
      <c r="S913" s="20">
        <v>0.0</v>
      </c>
      <c r="T913" s="20">
        <v>2.0</v>
      </c>
      <c r="U913" s="20">
        <v>0.0</v>
      </c>
      <c r="V913" s="21" t="s">
        <v>183</v>
      </c>
      <c r="W913" s="18" t="s">
        <v>62</v>
      </c>
      <c r="X913" s="101" t="s">
        <v>41</v>
      </c>
      <c r="Y913" s="42" t="s">
        <v>2906</v>
      </c>
      <c r="Z913" s="20" t="s">
        <v>2963</v>
      </c>
      <c r="AA913" s="14">
        <v>68.0</v>
      </c>
      <c r="AB913" s="14">
        <v>5.0</v>
      </c>
      <c r="AC913" s="14">
        <v>63.0</v>
      </c>
      <c r="AD913" s="14">
        <v>880943.0</v>
      </c>
      <c r="AE913" s="14">
        <v>29116.0</v>
      </c>
      <c r="AF913" s="14">
        <v>851827.0</v>
      </c>
      <c r="AG913" s="22"/>
      <c r="AH913" s="22"/>
      <c r="AI913" s="22"/>
      <c r="AJ913" s="22"/>
      <c r="AK913" s="22"/>
      <c r="AL913" s="22"/>
      <c r="AM913" s="22"/>
      <c r="AN913" s="22"/>
      <c r="AO913" s="22"/>
      <c r="AP913" s="22"/>
    </row>
    <row r="914" hidden="1">
      <c r="A914" s="8">
        <v>46116.0</v>
      </c>
      <c r="B914" s="23">
        <v>0.5208333333333334</v>
      </c>
      <c r="C914" s="10" t="s">
        <v>58</v>
      </c>
      <c r="D914" s="10" t="s">
        <v>59</v>
      </c>
      <c r="E914" s="12" t="s">
        <v>34</v>
      </c>
      <c r="F914" s="12" t="s">
        <v>2953</v>
      </c>
      <c r="G914" s="12" t="s">
        <v>2964</v>
      </c>
      <c r="H914" s="112" t="s">
        <v>2965</v>
      </c>
      <c r="I914" s="12" t="s">
        <v>2956</v>
      </c>
      <c r="J914" s="14">
        <v>152962.0</v>
      </c>
      <c r="K914" s="14">
        <v>81975.0</v>
      </c>
      <c r="L914" s="15">
        <v>0.5359</v>
      </c>
      <c r="M914" s="16"/>
      <c r="N914" s="17"/>
      <c r="O914" s="18">
        <v>109.0</v>
      </c>
      <c r="P914" s="18"/>
      <c r="Q914" s="19">
        <v>0.0013</v>
      </c>
      <c r="R914" s="19"/>
      <c r="S914" s="20">
        <v>1.0</v>
      </c>
      <c r="T914" s="20">
        <v>2.0</v>
      </c>
      <c r="U914" s="20">
        <v>1800.0</v>
      </c>
      <c r="V914" s="21" t="s">
        <v>183</v>
      </c>
      <c r="W914" s="18" t="s">
        <v>62</v>
      </c>
      <c r="X914" s="73" t="s">
        <v>69</v>
      </c>
      <c r="Y914" s="42" t="s">
        <v>2906</v>
      </c>
      <c r="Z914" s="20" t="s">
        <v>2966</v>
      </c>
      <c r="AA914" s="14">
        <v>42.0</v>
      </c>
      <c r="AB914" s="14">
        <v>9.0</v>
      </c>
      <c r="AC914" s="14">
        <v>33.0</v>
      </c>
      <c r="AD914" s="14">
        <v>421464.0</v>
      </c>
      <c r="AE914" s="14">
        <v>53177.0</v>
      </c>
      <c r="AF914" s="14">
        <v>368287.0</v>
      </c>
      <c r="AG914" s="22"/>
      <c r="AH914" s="22"/>
      <c r="AI914" s="22"/>
      <c r="AJ914" s="22"/>
      <c r="AK914" s="22"/>
      <c r="AL914" s="22"/>
      <c r="AM914" s="22"/>
      <c r="AN914" s="22"/>
      <c r="AO914" s="22"/>
      <c r="AP914" s="22"/>
    </row>
    <row r="915" hidden="1">
      <c r="A915" s="8">
        <v>46116.0</v>
      </c>
      <c r="B915" s="23">
        <v>0.4166666666666667</v>
      </c>
      <c r="C915" s="10" t="s">
        <v>196</v>
      </c>
      <c r="D915" s="10" t="s">
        <v>33</v>
      </c>
      <c r="E915" s="12" t="s">
        <v>34</v>
      </c>
      <c r="F915" s="12" t="s">
        <v>2953</v>
      </c>
      <c r="G915" s="12" t="s">
        <v>2967</v>
      </c>
      <c r="H915" s="112" t="s">
        <v>2968</v>
      </c>
      <c r="I915" s="72" t="s">
        <v>2969</v>
      </c>
      <c r="J915" s="14">
        <v>37034.0</v>
      </c>
      <c r="K915" s="14">
        <v>6756.0</v>
      </c>
      <c r="L915" s="15">
        <v>0.1824</v>
      </c>
      <c r="M915" s="16"/>
      <c r="N915" s="17">
        <v>0.131</v>
      </c>
      <c r="O915" s="18">
        <v>65.0</v>
      </c>
      <c r="P915" s="18"/>
      <c r="Q915" s="19">
        <v>0.0105</v>
      </c>
      <c r="R915" s="19"/>
      <c r="S915" s="20">
        <v>4.0</v>
      </c>
      <c r="T915" s="20">
        <v>3.0</v>
      </c>
      <c r="U915" s="20">
        <v>16377.0</v>
      </c>
      <c r="V915" s="21" t="s">
        <v>183</v>
      </c>
      <c r="W915" s="18" t="s">
        <v>95</v>
      </c>
      <c r="X915" s="101" t="s">
        <v>2552</v>
      </c>
      <c r="Y915" s="42" t="s">
        <v>2906</v>
      </c>
      <c r="Z915" s="20" t="s">
        <v>2970</v>
      </c>
      <c r="AA915" s="14">
        <v>14.0</v>
      </c>
      <c r="AB915" s="14">
        <v>11.0</v>
      </c>
      <c r="AC915" s="14">
        <v>3.0</v>
      </c>
      <c r="AD915" s="14">
        <v>67950.0</v>
      </c>
      <c r="AE915" s="14">
        <v>59671.0</v>
      </c>
      <c r="AF915" s="14">
        <v>8279.0</v>
      </c>
      <c r="AG915" s="22"/>
      <c r="AH915" s="22"/>
      <c r="AI915" s="22"/>
      <c r="AJ915" s="22"/>
      <c r="AK915" s="22"/>
      <c r="AL915" s="22"/>
      <c r="AM915" s="22"/>
      <c r="AN915" s="22"/>
      <c r="AO915" s="22"/>
      <c r="AP915" s="22"/>
    </row>
    <row r="916" hidden="1">
      <c r="A916" s="8">
        <v>46116.0</v>
      </c>
      <c r="B916" s="23">
        <v>0.4166666666666667</v>
      </c>
      <c r="C916" s="10" t="s">
        <v>196</v>
      </c>
      <c r="D916" s="10" t="s">
        <v>33</v>
      </c>
      <c r="E916" s="12" t="s">
        <v>34</v>
      </c>
      <c r="F916" s="12" t="s">
        <v>2953</v>
      </c>
      <c r="G916" s="12" t="s">
        <v>2971</v>
      </c>
      <c r="H916" s="68" t="s">
        <v>2955</v>
      </c>
      <c r="I916" s="57" t="s">
        <v>2972</v>
      </c>
      <c r="J916" s="14">
        <v>4662.0</v>
      </c>
      <c r="K916" s="14">
        <v>875.0</v>
      </c>
      <c r="L916" s="15">
        <v>0.1877</v>
      </c>
      <c r="M916" s="16"/>
      <c r="N916" s="17">
        <v>0.1383</v>
      </c>
      <c r="O916" s="18">
        <v>7.0</v>
      </c>
      <c r="P916" s="18"/>
      <c r="Q916" s="19">
        <v>0.008</v>
      </c>
      <c r="R916" s="19"/>
      <c r="S916" s="20">
        <v>0.0</v>
      </c>
      <c r="T916" s="20">
        <v>1.0</v>
      </c>
      <c r="U916" s="20">
        <v>0.0</v>
      </c>
      <c r="V916" s="21" t="s">
        <v>183</v>
      </c>
      <c r="W916" s="18" t="s">
        <v>95</v>
      </c>
      <c r="X916" s="100" t="s">
        <v>52</v>
      </c>
      <c r="Y916" s="92" t="s">
        <v>2906</v>
      </c>
      <c r="Z916" s="20" t="s">
        <v>2973</v>
      </c>
      <c r="AA916" s="14">
        <v>1.0</v>
      </c>
      <c r="AB916" s="14">
        <v>0.0</v>
      </c>
      <c r="AC916" s="18">
        <v>1.0</v>
      </c>
      <c r="AD916" s="14">
        <v>4690.0</v>
      </c>
      <c r="AE916" s="18">
        <v>0.0</v>
      </c>
      <c r="AF916" s="14">
        <v>4690.0</v>
      </c>
      <c r="AG916" s="22"/>
      <c r="AH916" s="22"/>
      <c r="AI916" s="22"/>
      <c r="AJ916" s="22"/>
      <c r="AK916" s="22"/>
      <c r="AL916" s="22"/>
      <c r="AM916" s="22"/>
      <c r="AN916" s="22"/>
      <c r="AO916" s="22"/>
      <c r="AP916" s="22"/>
    </row>
    <row r="917" hidden="1">
      <c r="A917" s="8">
        <v>46116.0</v>
      </c>
      <c r="B917" s="23">
        <v>0.4166666666666667</v>
      </c>
      <c r="C917" s="10" t="s">
        <v>196</v>
      </c>
      <c r="D917" s="10" t="s">
        <v>33</v>
      </c>
      <c r="E917" s="12" t="s">
        <v>34</v>
      </c>
      <c r="F917" s="12" t="s">
        <v>2953</v>
      </c>
      <c r="G917" s="12" t="s">
        <v>2974</v>
      </c>
      <c r="H917" s="112" t="s">
        <v>2962</v>
      </c>
      <c r="I917" s="72" t="s">
        <v>2975</v>
      </c>
      <c r="J917" s="14">
        <v>100146.0</v>
      </c>
      <c r="K917" s="14">
        <v>19674.0</v>
      </c>
      <c r="L917" s="15">
        <v>0.1965</v>
      </c>
      <c r="M917" s="16"/>
      <c r="N917" s="17">
        <v>0.1358</v>
      </c>
      <c r="O917" s="18">
        <v>128.0</v>
      </c>
      <c r="P917" s="18"/>
      <c r="Q917" s="19">
        <v>0.0075</v>
      </c>
      <c r="R917" s="19"/>
      <c r="S917" s="20">
        <v>0.0</v>
      </c>
      <c r="T917" s="20">
        <v>2.0</v>
      </c>
      <c r="U917" s="20">
        <v>0.0</v>
      </c>
      <c r="V917" s="21" t="s">
        <v>183</v>
      </c>
      <c r="W917" s="18" t="s">
        <v>95</v>
      </c>
      <c r="X917" s="101" t="s">
        <v>41</v>
      </c>
      <c r="Y917" s="42" t="s">
        <v>2906</v>
      </c>
      <c r="Z917" s="39" t="s">
        <v>2976</v>
      </c>
      <c r="AA917" s="14">
        <v>18.0</v>
      </c>
      <c r="AB917" s="14">
        <v>2.0</v>
      </c>
      <c r="AC917" s="18">
        <v>16.0</v>
      </c>
      <c r="AD917" s="14">
        <v>244196.0</v>
      </c>
      <c r="AE917" s="14">
        <v>18996.0</v>
      </c>
      <c r="AF917" s="14">
        <v>225200.0</v>
      </c>
      <c r="AG917" s="22"/>
      <c r="AH917" s="22"/>
      <c r="AI917" s="22"/>
      <c r="AJ917" s="22"/>
      <c r="AK917" s="22"/>
      <c r="AL917" s="22"/>
      <c r="AM917" s="22"/>
      <c r="AN917" s="22"/>
      <c r="AO917" s="22"/>
      <c r="AP917" s="22"/>
    </row>
    <row r="918" hidden="1">
      <c r="A918" s="8">
        <v>46116.0</v>
      </c>
      <c r="B918" s="23">
        <v>0.4166666666666667</v>
      </c>
      <c r="C918" s="10" t="s">
        <v>196</v>
      </c>
      <c r="D918" s="10" t="s">
        <v>33</v>
      </c>
      <c r="E918" s="12" t="s">
        <v>34</v>
      </c>
      <c r="F918" s="12" t="s">
        <v>2953</v>
      </c>
      <c r="G918" s="12" t="s">
        <v>2977</v>
      </c>
      <c r="H918" s="112" t="s">
        <v>2965</v>
      </c>
      <c r="I918" s="12" t="s">
        <v>2978</v>
      </c>
      <c r="J918" s="14">
        <v>187301.0</v>
      </c>
      <c r="K918" s="14">
        <v>34092.0</v>
      </c>
      <c r="L918" s="15">
        <v>0.182</v>
      </c>
      <c r="M918" s="16"/>
      <c r="N918" s="17">
        <v>0.1221</v>
      </c>
      <c r="O918" s="18">
        <v>181.0</v>
      </c>
      <c r="P918" s="18"/>
      <c r="Q918" s="19">
        <v>0.0056</v>
      </c>
      <c r="R918" s="19"/>
      <c r="S918" s="20">
        <v>1.0</v>
      </c>
      <c r="T918" s="20">
        <v>1.0</v>
      </c>
      <c r="U918" s="20">
        <v>7469.0</v>
      </c>
      <c r="V918" s="21" t="s">
        <v>183</v>
      </c>
      <c r="W918" s="18" t="s">
        <v>95</v>
      </c>
      <c r="X918" s="73" t="s">
        <v>69</v>
      </c>
      <c r="Y918" s="42" t="s">
        <v>2906</v>
      </c>
      <c r="Z918" s="20" t="s">
        <v>2979</v>
      </c>
      <c r="AA918" s="14">
        <v>17.0</v>
      </c>
      <c r="AB918" s="14">
        <v>1.0</v>
      </c>
      <c r="AC918" s="18">
        <v>16.0</v>
      </c>
      <c r="AD918" s="14">
        <v>271236.0</v>
      </c>
      <c r="AE918" s="14">
        <v>7469.0</v>
      </c>
      <c r="AF918" s="14">
        <v>263767.0</v>
      </c>
      <c r="AG918" s="22"/>
      <c r="AH918" s="22"/>
      <c r="AI918" s="22"/>
      <c r="AJ918" s="22"/>
      <c r="AK918" s="22"/>
      <c r="AL918" s="22"/>
      <c r="AM918" s="22"/>
      <c r="AN918" s="22"/>
      <c r="AO918" s="22"/>
      <c r="AP918" s="22"/>
    </row>
    <row r="919" hidden="1">
      <c r="A919" s="8">
        <v>46117.0</v>
      </c>
      <c r="B919" s="23">
        <v>0.75</v>
      </c>
      <c r="C919" s="10" t="s">
        <v>32</v>
      </c>
      <c r="D919" s="10" t="s">
        <v>33</v>
      </c>
      <c r="E919" s="12" t="s">
        <v>71</v>
      </c>
      <c r="F919" s="12" t="s">
        <v>1367</v>
      </c>
      <c r="G919" s="12" t="s">
        <v>2980</v>
      </c>
      <c r="H919" s="112" t="s">
        <v>2772</v>
      </c>
      <c r="I919" s="12" t="s">
        <v>2773</v>
      </c>
      <c r="J919" s="14">
        <v>4008.0</v>
      </c>
      <c r="K919" s="14">
        <v>1383.0</v>
      </c>
      <c r="L919" s="15">
        <v>0.3451</v>
      </c>
      <c r="M919" s="16">
        <v>560.0</v>
      </c>
      <c r="N919" s="17">
        <v>0.4049</v>
      </c>
      <c r="O919" s="18">
        <v>86.0</v>
      </c>
      <c r="P919" s="18">
        <v>84.0</v>
      </c>
      <c r="Q919" s="19">
        <v>0.0607</v>
      </c>
      <c r="R919" s="19">
        <v>0.15</v>
      </c>
      <c r="S919" s="20">
        <v>1.0</v>
      </c>
      <c r="T919" s="20">
        <v>3.0</v>
      </c>
      <c r="U919" s="20">
        <v>8395.0</v>
      </c>
      <c r="V919" s="21" t="s">
        <v>335</v>
      </c>
      <c r="W919" s="18" t="s">
        <v>76</v>
      </c>
      <c r="X919" s="101" t="s">
        <v>165</v>
      </c>
      <c r="Y919" s="42" t="s">
        <v>2981</v>
      </c>
      <c r="Z919" s="20" t="s">
        <v>2982</v>
      </c>
      <c r="AA919" s="18">
        <v>21.0</v>
      </c>
      <c r="AB919" s="18">
        <v>21.0</v>
      </c>
      <c r="AC919" s="18"/>
      <c r="AD919" s="14">
        <v>62030.0</v>
      </c>
      <c r="AE919" s="14">
        <v>62030.0</v>
      </c>
      <c r="AF919" s="52"/>
      <c r="AG919" s="22"/>
      <c r="AH919" s="22"/>
      <c r="AI919" s="22"/>
      <c r="AJ919" s="22"/>
      <c r="AK919" s="22"/>
      <c r="AL919" s="22"/>
      <c r="AM919" s="22"/>
      <c r="AN919" s="22"/>
      <c r="AO919" s="22"/>
      <c r="AP919" s="22"/>
    </row>
    <row r="920" hidden="1">
      <c r="A920" s="8">
        <v>46117.0</v>
      </c>
      <c r="B920" s="23">
        <v>0.75</v>
      </c>
      <c r="C920" s="10" t="s">
        <v>32</v>
      </c>
      <c r="D920" s="10" t="s">
        <v>33</v>
      </c>
      <c r="E920" s="12" t="s">
        <v>71</v>
      </c>
      <c r="F920" s="12" t="s">
        <v>1367</v>
      </c>
      <c r="G920" s="12" t="s">
        <v>2983</v>
      </c>
      <c r="H920" s="112" t="s">
        <v>2777</v>
      </c>
      <c r="I920" s="12" t="s">
        <v>2778</v>
      </c>
      <c r="J920" s="14">
        <v>59988.0</v>
      </c>
      <c r="K920" s="14">
        <v>23315.0</v>
      </c>
      <c r="L920" s="15">
        <v>0.3887</v>
      </c>
      <c r="M920" s="16">
        <v>7712.0</v>
      </c>
      <c r="N920" s="17">
        <v>0.3309</v>
      </c>
      <c r="O920" s="18">
        <v>1083.0</v>
      </c>
      <c r="P920" s="18">
        <v>1051.0</v>
      </c>
      <c r="Q920" s="19">
        <v>0.0451</v>
      </c>
      <c r="R920" s="19">
        <v>0.1363</v>
      </c>
      <c r="S920" s="20">
        <v>12.0</v>
      </c>
      <c r="T920" s="20">
        <v>16.0</v>
      </c>
      <c r="U920" s="20">
        <v>33371.0</v>
      </c>
      <c r="V920" s="21" t="s">
        <v>335</v>
      </c>
      <c r="W920" s="18" t="s">
        <v>76</v>
      </c>
      <c r="X920" s="101" t="s">
        <v>82</v>
      </c>
      <c r="Y920" s="42" t="s">
        <v>2981</v>
      </c>
      <c r="Z920" s="20" t="s">
        <v>2984</v>
      </c>
      <c r="AA920" s="18">
        <v>17.0</v>
      </c>
      <c r="AB920" s="18">
        <v>17.0</v>
      </c>
      <c r="AC920" s="18"/>
      <c r="AD920" s="14">
        <v>136012.0</v>
      </c>
      <c r="AE920" s="14">
        <v>136012.0</v>
      </c>
      <c r="AF920" s="52"/>
      <c r="AG920" s="22"/>
      <c r="AH920" s="22"/>
      <c r="AI920" s="22"/>
      <c r="AJ920" s="22"/>
      <c r="AK920" s="22"/>
      <c r="AL920" s="22"/>
      <c r="AM920" s="22"/>
      <c r="AN920" s="22"/>
      <c r="AO920" s="22"/>
      <c r="AP920" s="22"/>
    </row>
    <row r="921" hidden="1">
      <c r="A921" s="8">
        <v>46117.0</v>
      </c>
      <c r="B921" s="23">
        <v>0.75</v>
      </c>
      <c r="C921" s="10" t="s">
        <v>32</v>
      </c>
      <c r="D921" s="10" t="s">
        <v>33</v>
      </c>
      <c r="E921" s="12" t="s">
        <v>71</v>
      </c>
      <c r="F921" s="12" t="s">
        <v>1367</v>
      </c>
      <c r="G921" s="12" t="s">
        <v>2985</v>
      </c>
      <c r="H921" s="112" t="s">
        <v>2781</v>
      </c>
      <c r="I921" s="12" t="s">
        <v>2782</v>
      </c>
      <c r="J921" s="14">
        <v>59504.0</v>
      </c>
      <c r="K921" s="14">
        <v>27726.0</v>
      </c>
      <c r="L921" s="15">
        <v>0.466</v>
      </c>
      <c r="M921" s="16">
        <v>9141.0</v>
      </c>
      <c r="N921" s="17">
        <v>0.3297</v>
      </c>
      <c r="O921" s="18">
        <v>1201.0</v>
      </c>
      <c r="P921" s="18">
        <v>1168.0</v>
      </c>
      <c r="Q921" s="19">
        <v>0.0421</v>
      </c>
      <c r="R921" s="19">
        <v>0.1278</v>
      </c>
      <c r="S921" s="20">
        <v>6.0</v>
      </c>
      <c r="T921" s="20">
        <v>15.0</v>
      </c>
      <c r="U921" s="20">
        <v>13792.0</v>
      </c>
      <c r="V921" s="21" t="s">
        <v>335</v>
      </c>
      <c r="W921" s="18" t="s">
        <v>76</v>
      </c>
      <c r="X921" s="101" t="s">
        <v>2594</v>
      </c>
      <c r="Y921" s="42" t="s">
        <v>2981</v>
      </c>
      <c r="Z921" s="20" t="s">
        <v>2986</v>
      </c>
      <c r="AA921" s="18">
        <v>96.0</v>
      </c>
      <c r="AB921" s="18">
        <v>96.0</v>
      </c>
      <c r="AC921" s="18"/>
      <c r="AD921" s="14">
        <v>280881.0</v>
      </c>
      <c r="AE921" s="14">
        <v>280881.0</v>
      </c>
      <c r="AF921" s="52"/>
      <c r="AG921" s="22"/>
      <c r="AH921" s="22"/>
      <c r="AI921" s="22"/>
      <c r="AJ921" s="22"/>
      <c r="AK921" s="22"/>
      <c r="AL921" s="22"/>
      <c r="AM921" s="22"/>
      <c r="AN921" s="22"/>
      <c r="AO921" s="22"/>
      <c r="AP921" s="22"/>
    </row>
    <row r="922" hidden="1">
      <c r="A922" s="8">
        <v>46117.0</v>
      </c>
      <c r="B922" s="23">
        <v>0.75</v>
      </c>
      <c r="C922" s="10" t="s">
        <v>32</v>
      </c>
      <c r="D922" s="10" t="s">
        <v>33</v>
      </c>
      <c r="E922" s="12" t="s">
        <v>71</v>
      </c>
      <c r="F922" s="12" t="s">
        <v>1367</v>
      </c>
      <c r="G922" s="12" t="s">
        <v>2987</v>
      </c>
      <c r="H922" s="112" t="s">
        <v>2785</v>
      </c>
      <c r="I922" s="12" t="s">
        <v>2786</v>
      </c>
      <c r="J922" s="14">
        <v>13009.0</v>
      </c>
      <c r="K922" s="14">
        <v>5042.0</v>
      </c>
      <c r="L922" s="15">
        <v>0.3876</v>
      </c>
      <c r="M922" s="16">
        <v>1699.0</v>
      </c>
      <c r="N922" s="17">
        <v>0.337</v>
      </c>
      <c r="O922" s="18">
        <v>202.0</v>
      </c>
      <c r="P922" s="18">
        <v>198.0</v>
      </c>
      <c r="Q922" s="19">
        <v>0.0393</v>
      </c>
      <c r="R922" s="19">
        <v>0.1165</v>
      </c>
      <c r="S922" s="20">
        <v>1.0</v>
      </c>
      <c r="T922" s="20">
        <v>1.0</v>
      </c>
      <c r="U922" s="20">
        <v>3598.0</v>
      </c>
      <c r="V922" s="21" t="s">
        <v>335</v>
      </c>
      <c r="W922" s="18" t="s">
        <v>76</v>
      </c>
      <c r="X922" s="95" t="s">
        <v>2117</v>
      </c>
      <c r="Y922" s="42" t="s">
        <v>2981</v>
      </c>
      <c r="Z922" s="20" t="s">
        <v>2988</v>
      </c>
      <c r="AA922" s="18">
        <v>40.0</v>
      </c>
      <c r="AB922" s="18">
        <v>40.0</v>
      </c>
      <c r="AC922" s="18"/>
      <c r="AD922" s="14">
        <v>86477.0</v>
      </c>
      <c r="AE922" s="14">
        <v>86477.0</v>
      </c>
      <c r="AF922" s="52"/>
      <c r="AG922" s="22"/>
      <c r="AH922" s="22"/>
      <c r="AI922" s="22"/>
      <c r="AJ922" s="22"/>
      <c r="AK922" s="22"/>
      <c r="AL922" s="22"/>
      <c r="AM922" s="22"/>
      <c r="AN922" s="22"/>
      <c r="AO922" s="22"/>
      <c r="AP922" s="22"/>
    </row>
    <row r="923" hidden="1">
      <c r="A923" s="8">
        <v>46117.0</v>
      </c>
      <c r="B923" s="23">
        <v>0.75</v>
      </c>
      <c r="C923" s="10" t="s">
        <v>32</v>
      </c>
      <c r="D923" s="10" t="s">
        <v>33</v>
      </c>
      <c r="E923" s="12" t="s">
        <v>71</v>
      </c>
      <c r="F923" s="12" t="s">
        <v>1367</v>
      </c>
      <c r="G923" s="12" t="s">
        <v>2989</v>
      </c>
      <c r="H923" s="112" t="s">
        <v>2793</v>
      </c>
      <c r="I923" s="12" t="s">
        <v>2794</v>
      </c>
      <c r="J923" s="14">
        <v>3743.0</v>
      </c>
      <c r="K923" s="14">
        <v>1944.0</v>
      </c>
      <c r="L923" s="15">
        <v>0.5194</v>
      </c>
      <c r="M923" s="16">
        <v>803.0</v>
      </c>
      <c r="N923" s="17">
        <v>0.4133</v>
      </c>
      <c r="O923" s="18">
        <v>141.0</v>
      </c>
      <c r="P923" s="18">
        <v>139.0</v>
      </c>
      <c r="Q923" s="19">
        <v>0.0715</v>
      </c>
      <c r="R923" s="19">
        <v>0.1731</v>
      </c>
      <c r="S923" s="20">
        <v>0.0</v>
      </c>
      <c r="T923" s="20">
        <v>19.0</v>
      </c>
      <c r="U923" s="20">
        <v>0.0</v>
      </c>
      <c r="V923" s="21" t="s">
        <v>335</v>
      </c>
      <c r="W923" s="18" t="s">
        <v>76</v>
      </c>
      <c r="X923" s="101" t="s">
        <v>2492</v>
      </c>
      <c r="Y923" s="42" t="s">
        <v>2981</v>
      </c>
      <c r="Z923" s="20" t="s">
        <v>2990</v>
      </c>
      <c r="AA923" s="18">
        <v>10.0</v>
      </c>
      <c r="AB923" s="18">
        <v>10.0</v>
      </c>
      <c r="AC923" s="18"/>
      <c r="AD923" s="14">
        <v>34481.0</v>
      </c>
      <c r="AE923" s="14">
        <v>34481.0</v>
      </c>
      <c r="AF923" s="52"/>
      <c r="AG923" s="22"/>
      <c r="AH923" s="22"/>
      <c r="AI923" s="22"/>
      <c r="AJ923" s="22"/>
      <c r="AK923" s="22"/>
      <c r="AL923" s="22"/>
      <c r="AM923" s="22"/>
      <c r="AN923" s="22"/>
      <c r="AO923" s="22"/>
      <c r="AP923" s="22"/>
    </row>
    <row r="924" hidden="1">
      <c r="A924" s="8">
        <v>46117.0</v>
      </c>
      <c r="B924" s="23">
        <v>0.75</v>
      </c>
      <c r="C924" s="10" t="s">
        <v>32</v>
      </c>
      <c r="D924" s="10" t="s">
        <v>33</v>
      </c>
      <c r="E924" s="12" t="s">
        <v>71</v>
      </c>
      <c r="F924" s="12" t="s">
        <v>1367</v>
      </c>
      <c r="G924" s="30" t="s">
        <v>2991</v>
      </c>
      <c r="H924" s="112" t="s">
        <v>2797</v>
      </c>
      <c r="I924" s="12" t="s">
        <v>2798</v>
      </c>
      <c r="J924" s="14">
        <v>38927.0</v>
      </c>
      <c r="K924" s="14">
        <v>24788.0</v>
      </c>
      <c r="L924" s="15">
        <v>0.6367</v>
      </c>
      <c r="M924" s="16">
        <v>12085.0</v>
      </c>
      <c r="N924" s="17">
        <v>0.4876</v>
      </c>
      <c r="O924" s="18">
        <v>1929.0</v>
      </c>
      <c r="P924" s="18">
        <v>1818.0</v>
      </c>
      <c r="Q924" s="19">
        <v>0.07</v>
      </c>
      <c r="R924" s="19">
        <v>0.15</v>
      </c>
      <c r="S924" s="20"/>
      <c r="T924" s="20"/>
      <c r="U924" s="20"/>
      <c r="V924" s="20" t="s">
        <v>335</v>
      </c>
      <c r="W924" s="18" t="s">
        <v>76</v>
      </c>
      <c r="X924" s="101" t="s">
        <v>2799</v>
      </c>
      <c r="Y924" s="42" t="s">
        <v>2981</v>
      </c>
      <c r="Z924" s="20" t="s">
        <v>2992</v>
      </c>
      <c r="AA924" s="18">
        <v>12.0</v>
      </c>
      <c r="AB924" s="18">
        <v>12.0</v>
      </c>
      <c r="AC924" s="18"/>
      <c r="AD924" s="14">
        <v>33844.0</v>
      </c>
      <c r="AE924" s="14">
        <v>33844.0</v>
      </c>
      <c r="AF924" s="52"/>
      <c r="AG924" s="22"/>
      <c r="AH924" s="22"/>
      <c r="AI924" s="22"/>
      <c r="AJ924" s="22"/>
      <c r="AK924" s="22"/>
      <c r="AL924" s="22"/>
      <c r="AM924" s="22"/>
      <c r="AN924" s="22"/>
      <c r="AO924" s="22"/>
      <c r="AP924" s="22"/>
    </row>
    <row r="925" hidden="1">
      <c r="A925" s="8">
        <v>46117.0</v>
      </c>
      <c r="B925" s="23">
        <v>0.75</v>
      </c>
      <c r="C925" s="10" t="s">
        <v>32</v>
      </c>
      <c r="D925" s="10" t="s">
        <v>33</v>
      </c>
      <c r="E925" s="12" t="s">
        <v>71</v>
      </c>
      <c r="F925" s="12" t="s">
        <v>1367</v>
      </c>
      <c r="G925" s="12" t="s">
        <v>2993</v>
      </c>
      <c r="H925" s="112" t="s">
        <v>2789</v>
      </c>
      <c r="I925" s="12" t="s">
        <v>2790</v>
      </c>
      <c r="J925" s="14">
        <v>5417.0</v>
      </c>
      <c r="K925" s="14">
        <v>2346.0</v>
      </c>
      <c r="L925" s="15">
        <v>0.4329</v>
      </c>
      <c r="M925" s="16">
        <v>831.0</v>
      </c>
      <c r="N925" s="17">
        <v>0.3544</v>
      </c>
      <c r="O925" s="18">
        <v>86.0</v>
      </c>
      <c r="P925" s="18">
        <v>85.0</v>
      </c>
      <c r="Q925" s="19">
        <v>0.04</v>
      </c>
      <c r="R925" s="19">
        <v>0.1</v>
      </c>
      <c r="S925" s="20">
        <v>1.0</v>
      </c>
      <c r="T925" s="20">
        <v>0.0</v>
      </c>
      <c r="U925" s="85">
        <v>1979.0</v>
      </c>
      <c r="V925" s="21" t="s">
        <v>335</v>
      </c>
      <c r="W925" s="18" t="s">
        <v>76</v>
      </c>
      <c r="X925" s="101" t="s">
        <v>41</v>
      </c>
      <c r="Y925" s="42" t="s">
        <v>2981</v>
      </c>
      <c r="Z925" s="20" t="s">
        <v>2994</v>
      </c>
      <c r="AA925" s="18">
        <v>36.0</v>
      </c>
      <c r="AB925" s="18">
        <v>36.0</v>
      </c>
      <c r="AC925" s="18"/>
      <c r="AD925" s="14">
        <v>105098.0</v>
      </c>
      <c r="AE925" s="14">
        <v>105098.0</v>
      </c>
      <c r="AF925" s="52"/>
      <c r="AG925" s="22"/>
      <c r="AH925" s="22"/>
      <c r="AI925" s="22"/>
      <c r="AJ925" s="22"/>
      <c r="AK925" s="22"/>
      <c r="AL925" s="22"/>
      <c r="AM925" s="22"/>
      <c r="AN925" s="22"/>
      <c r="AO925" s="22"/>
      <c r="AP925" s="22"/>
    </row>
    <row r="926" hidden="1">
      <c r="A926" s="8">
        <v>46117.0</v>
      </c>
      <c r="B926" s="23">
        <v>0.7916666666666666</v>
      </c>
      <c r="C926" s="10" t="s">
        <v>58</v>
      </c>
      <c r="D926" s="10" t="s">
        <v>59</v>
      </c>
      <c r="E926" s="12" t="s">
        <v>71</v>
      </c>
      <c r="F926" s="12" t="s">
        <v>1367</v>
      </c>
      <c r="G926" s="12" t="s">
        <v>2995</v>
      </c>
      <c r="H926" s="112" t="s">
        <v>2772</v>
      </c>
      <c r="I926" s="12" t="s">
        <v>61</v>
      </c>
      <c r="J926" s="14">
        <v>2558.0</v>
      </c>
      <c r="K926" s="14">
        <v>1180.0</v>
      </c>
      <c r="L926" s="15">
        <v>0.4613</v>
      </c>
      <c r="M926" s="16"/>
      <c r="N926" s="17"/>
      <c r="O926" s="18">
        <v>6.0</v>
      </c>
      <c r="P926" s="18"/>
      <c r="Q926" s="19">
        <v>0.0051</v>
      </c>
      <c r="R926" s="19"/>
      <c r="S926" s="20">
        <v>0.0</v>
      </c>
      <c r="T926" s="20">
        <v>0.0</v>
      </c>
      <c r="U926" s="20">
        <v>0.0</v>
      </c>
      <c r="V926" s="21" t="s">
        <v>335</v>
      </c>
      <c r="W926" s="18" t="s">
        <v>62</v>
      </c>
      <c r="X926" s="95" t="s">
        <v>165</v>
      </c>
      <c r="Y926" s="116">
        <v>46117.0</v>
      </c>
      <c r="Z926" s="20" t="s">
        <v>2996</v>
      </c>
      <c r="AA926" s="18">
        <v>5.0</v>
      </c>
      <c r="AB926" s="18">
        <v>5.0</v>
      </c>
      <c r="AC926" s="52"/>
      <c r="AD926" s="14">
        <v>18990.0</v>
      </c>
      <c r="AE926" s="14">
        <v>18990.0</v>
      </c>
      <c r="AF926" s="52"/>
      <c r="AG926" s="22"/>
      <c r="AH926" s="22"/>
      <c r="AI926" s="22"/>
      <c r="AJ926" s="22"/>
      <c r="AK926" s="22"/>
      <c r="AL926" s="22"/>
      <c r="AM926" s="22"/>
      <c r="AN926" s="22"/>
      <c r="AO926" s="22"/>
      <c r="AP926" s="22"/>
    </row>
    <row r="927" hidden="1">
      <c r="A927" s="8">
        <v>46117.0</v>
      </c>
      <c r="B927" s="23">
        <v>0.7916666666666666</v>
      </c>
      <c r="C927" s="10" t="s">
        <v>58</v>
      </c>
      <c r="D927" s="10" t="s">
        <v>59</v>
      </c>
      <c r="E927" s="12" t="s">
        <v>71</v>
      </c>
      <c r="F927" s="12" t="s">
        <v>1367</v>
      </c>
      <c r="G927" s="12" t="s">
        <v>2997</v>
      </c>
      <c r="H927" s="112" t="s">
        <v>2777</v>
      </c>
      <c r="I927" s="12" t="s">
        <v>61</v>
      </c>
      <c r="J927" s="14">
        <v>35427.0</v>
      </c>
      <c r="K927" s="14">
        <v>19032.0</v>
      </c>
      <c r="L927" s="15">
        <v>0.5372</v>
      </c>
      <c r="M927" s="16"/>
      <c r="N927" s="17"/>
      <c r="O927" s="18">
        <v>62.0</v>
      </c>
      <c r="P927" s="18"/>
      <c r="Q927" s="19">
        <v>0.0033</v>
      </c>
      <c r="R927" s="19"/>
      <c r="S927" s="20">
        <v>1.0</v>
      </c>
      <c r="T927" s="20">
        <v>2.0</v>
      </c>
      <c r="U927" s="20">
        <v>2599.0</v>
      </c>
      <c r="V927" s="21" t="s">
        <v>335</v>
      </c>
      <c r="W927" s="18" t="s">
        <v>62</v>
      </c>
      <c r="X927" s="101" t="s">
        <v>82</v>
      </c>
      <c r="Y927" s="116">
        <v>46117.0</v>
      </c>
      <c r="Z927" s="20" t="s">
        <v>2998</v>
      </c>
      <c r="AA927" s="18">
        <v>27.0</v>
      </c>
      <c r="AB927" s="18">
        <v>27.0</v>
      </c>
      <c r="AC927" s="52"/>
      <c r="AD927" s="14">
        <v>76703.0</v>
      </c>
      <c r="AE927" s="14">
        <v>76703.0</v>
      </c>
      <c r="AF927" s="52"/>
      <c r="AG927" s="22"/>
      <c r="AH927" s="22"/>
      <c r="AI927" s="22"/>
      <c r="AJ927" s="22"/>
      <c r="AK927" s="22"/>
      <c r="AL927" s="22"/>
      <c r="AM927" s="22"/>
      <c r="AN927" s="22"/>
      <c r="AO927" s="22"/>
      <c r="AP927" s="22"/>
    </row>
    <row r="928" hidden="1">
      <c r="A928" s="8">
        <v>46117.0</v>
      </c>
      <c r="B928" s="23">
        <v>0.7916666666666666</v>
      </c>
      <c r="C928" s="10" t="s">
        <v>58</v>
      </c>
      <c r="D928" s="10" t="s">
        <v>59</v>
      </c>
      <c r="E928" s="12" t="s">
        <v>71</v>
      </c>
      <c r="F928" s="12" t="s">
        <v>1367</v>
      </c>
      <c r="G928" s="12" t="s">
        <v>2999</v>
      </c>
      <c r="H928" s="112" t="s">
        <v>2781</v>
      </c>
      <c r="I928" s="12" t="s">
        <v>61</v>
      </c>
      <c r="J928" s="14">
        <v>30406.0</v>
      </c>
      <c r="K928" s="14">
        <v>19146.0</v>
      </c>
      <c r="L928" s="15">
        <v>0.6297</v>
      </c>
      <c r="M928" s="16"/>
      <c r="N928" s="17"/>
      <c r="O928" s="18">
        <v>41.0</v>
      </c>
      <c r="P928" s="18"/>
      <c r="Q928" s="19">
        <v>0.0021</v>
      </c>
      <c r="R928" s="19"/>
      <c r="S928" s="20">
        <v>1.0</v>
      </c>
      <c r="T928" s="20">
        <v>1.0</v>
      </c>
      <c r="U928" s="20">
        <v>1128.0</v>
      </c>
      <c r="V928" s="21" t="s">
        <v>335</v>
      </c>
      <c r="W928" s="18" t="s">
        <v>62</v>
      </c>
      <c r="X928" s="101" t="s">
        <v>2594</v>
      </c>
      <c r="Y928" s="116">
        <v>46117.0</v>
      </c>
      <c r="Z928" s="20" t="s">
        <v>3000</v>
      </c>
      <c r="AA928" s="18">
        <v>13.0</v>
      </c>
      <c r="AB928" s="18">
        <v>13.0</v>
      </c>
      <c r="AC928" s="52"/>
      <c r="AD928" s="14">
        <v>24604.0</v>
      </c>
      <c r="AE928" s="14">
        <v>24604.0</v>
      </c>
      <c r="AF928" s="52"/>
      <c r="AG928" s="22"/>
      <c r="AH928" s="22"/>
      <c r="AI928" s="22"/>
      <c r="AJ928" s="22"/>
      <c r="AK928" s="22"/>
      <c r="AL928" s="22"/>
      <c r="AM928" s="22"/>
      <c r="AN928" s="22"/>
      <c r="AO928" s="22"/>
      <c r="AP928" s="22"/>
    </row>
    <row r="929" hidden="1">
      <c r="A929" s="8">
        <v>46117.0</v>
      </c>
      <c r="B929" s="23">
        <v>0.7916666666666666</v>
      </c>
      <c r="C929" s="10" t="s">
        <v>58</v>
      </c>
      <c r="D929" s="10" t="s">
        <v>59</v>
      </c>
      <c r="E929" s="12" t="s">
        <v>71</v>
      </c>
      <c r="F929" s="12" t="s">
        <v>1367</v>
      </c>
      <c r="G929" s="12" t="s">
        <v>3001</v>
      </c>
      <c r="H929" s="112" t="s">
        <v>2785</v>
      </c>
      <c r="I929" s="12" t="s">
        <v>61</v>
      </c>
      <c r="J929" s="14">
        <v>7714.0</v>
      </c>
      <c r="K929" s="14">
        <v>3812.0</v>
      </c>
      <c r="L929" s="15">
        <v>0.4942</v>
      </c>
      <c r="M929" s="16"/>
      <c r="N929" s="17"/>
      <c r="O929" s="18">
        <v>4.0</v>
      </c>
      <c r="P929" s="18"/>
      <c r="Q929" s="19">
        <v>0.001</v>
      </c>
      <c r="R929" s="19"/>
      <c r="S929" s="20">
        <v>0.0</v>
      </c>
      <c r="T929" s="20">
        <v>0.0</v>
      </c>
      <c r="U929" s="20">
        <v>0.0</v>
      </c>
      <c r="V929" s="21" t="s">
        <v>335</v>
      </c>
      <c r="W929" s="18" t="s">
        <v>62</v>
      </c>
      <c r="X929" s="95" t="s">
        <v>2117</v>
      </c>
      <c r="Y929" s="116">
        <v>46117.0</v>
      </c>
      <c r="Z929" s="20" t="s">
        <v>3002</v>
      </c>
      <c r="AA929" s="18">
        <v>8.0</v>
      </c>
      <c r="AB929" s="18">
        <v>8.0</v>
      </c>
      <c r="AC929" s="52"/>
      <c r="AD929" s="14">
        <v>21877.0</v>
      </c>
      <c r="AE929" s="14">
        <v>21877.0</v>
      </c>
      <c r="AF929" s="52"/>
      <c r="AG929" s="22"/>
      <c r="AH929" s="22"/>
      <c r="AI929" s="22"/>
      <c r="AJ929" s="22"/>
      <c r="AK929" s="22"/>
      <c r="AL929" s="22"/>
      <c r="AM929" s="22"/>
      <c r="AN929" s="22"/>
      <c r="AO929" s="22"/>
      <c r="AP929" s="22"/>
    </row>
    <row r="930" hidden="1">
      <c r="A930" s="8">
        <v>46117.0</v>
      </c>
      <c r="B930" s="23">
        <v>0.7916666666666666</v>
      </c>
      <c r="C930" s="10" t="s">
        <v>58</v>
      </c>
      <c r="D930" s="10" t="s">
        <v>59</v>
      </c>
      <c r="E930" s="12" t="s">
        <v>71</v>
      </c>
      <c r="F930" s="12" t="s">
        <v>1367</v>
      </c>
      <c r="G930" s="12" t="s">
        <v>3003</v>
      </c>
      <c r="H930" s="112" t="s">
        <v>2789</v>
      </c>
      <c r="I930" s="12" t="s">
        <v>61</v>
      </c>
      <c r="J930" s="14">
        <v>2941.0</v>
      </c>
      <c r="K930" s="14">
        <v>1675.0</v>
      </c>
      <c r="L930" s="15">
        <v>0.5695</v>
      </c>
      <c r="M930" s="16"/>
      <c r="N930" s="17"/>
      <c r="O930" s="18">
        <v>4.0</v>
      </c>
      <c r="P930" s="18"/>
      <c r="Q930" s="19">
        <v>0.0024</v>
      </c>
      <c r="R930" s="19"/>
      <c r="S930" s="20">
        <v>0.0</v>
      </c>
      <c r="T930" s="20">
        <v>0.0</v>
      </c>
      <c r="U930" s="20">
        <v>0.0</v>
      </c>
      <c r="V930" s="21" t="s">
        <v>335</v>
      </c>
      <c r="W930" s="18" t="s">
        <v>62</v>
      </c>
      <c r="X930" s="101" t="s">
        <v>41</v>
      </c>
      <c r="Y930" s="116">
        <v>46117.0</v>
      </c>
      <c r="Z930" s="20" t="s">
        <v>3004</v>
      </c>
      <c r="AA930" s="18">
        <v>1.0</v>
      </c>
      <c r="AB930" s="18">
        <v>1.0</v>
      </c>
      <c r="AC930" s="52"/>
      <c r="AD930" s="14">
        <v>4898.0</v>
      </c>
      <c r="AE930" s="14">
        <v>4898.0</v>
      </c>
      <c r="AF930" s="52"/>
      <c r="AG930" s="22"/>
      <c r="AH930" s="22"/>
      <c r="AI930" s="22"/>
      <c r="AJ930" s="22"/>
      <c r="AK930" s="22"/>
      <c r="AL930" s="22"/>
      <c r="AM930" s="22"/>
      <c r="AN930" s="22"/>
      <c r="AO930" s="22"/>
      <c r="AP930" s="22"/>
    </row>
    <row r="931" hidden="1">
      <c r="A931" s="8">
        <v>46117.0</v>
      </c>
      <c r="B931" s="23">
        <v>0.7916666666666666</v>
      </c>
      <c r="C931" s="10" t="s">
        <v>58</v>
      </c>
      <c r="D931" s="10" t="s">
        <v>59</v>
      </c>
      <c r="E931" s="12" t="s">
        <v>71</v>
      </c>
      <c r="F931" s="12" t="s">
        <v>1367</v>
      </c>
      <c r="G931" s="12" t="s">
        <v>3005</v>
      </c>
      <c r="H931" s="112" t="s">
        <v>2793</v>
      </c>
      <c r="I931" s="12" t="s">
        <v>61</v>
      </c>
      <c r="J931" s="14">
        <v>1751.0</v>
      </c>
      <c r="K931" s="14">
        <v>1166.0</v>
      </c>
      <c r="L931" s="15">
        <v>0.6659</v>
      </c>
      <c r="M931" s="16"/>
      <c r="N931" s="17"/>
      <c r="O931" s="18">
        <v>2.0</v>
      </c>
      <c r="P931" s="18"/>
      <c r="Q931" s="19">
        <v>0.0017</v>
      </c>
      <c r="R931" s="19"/>
      <c r="S931" s="20">
        <v>0.0</v>
      </c>
      <c r="T931" s="20">
        <v>4.0</v>
      </c>
      <c r="U931" s="20">
        <v>0.0</v>
      </c>
      <c r="V931" s="21" t="s">
        <v>335</v>
      </c>
      <c r="W931" s="18" t="s">
        <v>62</v>
      </c>
      <c r="X931" s="101" t="s">
        <v>2492</v>
      </c>
      <c r="Y931" s="116">
        <v>46117.0</v>
      </c>
      <c r="Z931" s="20" t="s">
        <v>3006</v>
      </c>
      <c r="AA931" s="18">
        <v>6.0</v>
      </c>
      <c r="AB931" s="18">
        <v>6.0</v>
      </c>
      <c r="AC931" s="52"/>
      <c r="AD931" s="14">
        <v>9184.0</v>
      </c>
      <c r="AE931" s="14">
        <v>9184.0</v>
      </c>
      <c r="AF931" s="52"/>
      <c r="AG931" s="22"/>
      <c r="AH931" s="22"/>
      <c r="AI931" s="22"/>
      <c r="AJ931" s="22"/>
      <c r="AK931" s="22"/>
      <c r="AL931" s="22"/>
      <c r="AM931" s="22"/>
      <c r="AN931" s="22"/>
      <c r="AO931" s="22"/>
      <c r="AP931" s="22"/>
    </row>
    <row r="932" hidden="1">
      <c r="A932" s="8">
        <v>46117.0</v>
      </c>
      <c r="B932" s="23">
        <v>0.7916666666666666</v>
      </c>
      <c r="C932" s="10" t="s">
        <v>58</v>
      </c>
      <c r="D932" s="10" t="s">
        <v>59</v>
      </c>
      <c r="E932" s="12" t="s">
        <v>71</v>
      </c>
      <c r="F932" s="12" t="s">
        <v>1367</v>
      </c>
      <c r="G932" s="12" t="s">
        <v>3007</v>
      </c>
      <c r="H932" s="112" t="s">
        <v>2797</v>
      </c>
      <c r="I932" s="12" t="s">
        <v>61</v>
      </c>
      <c r="J932" s="14">
        <v>14029.0</v>
      </c>
      <c r="K932" s="14">
        <v>7723.0</v>
      </c>
      <c r="L932" s="15">
        <v>0.5505</v>
      </c>
      <c r="M932" s="16"/>
      <c r="N932" s="17"/>
      <c r="O932" s="18">
        <v>33.0</v>
      </c>
      <c r="P932" s="18"/>
      <c r="Q932" s="19">
        <v>0.0043</v>
      </c>
      <c r="R932" s="19"/>
      <c r="S932" s="20">
        <v>0.0</v>
      </c>
      <c r="T932" s="20">
        <v>1.0</v>
      </c>
      <c r="U932" s="20">
        <v>0.0</v>
      </c>
      <c r="V932" s="21" t="s">
        <v>335</v>
      </c>
      <c r="W932" s="18" t="s">
        <v>62</v>
      </c>
      <c r="X932" s="101" t="s">
        <v>2799</v>
      </c>
      <c r="Y932" s="116">
        <v>46117.0</v>
      </c>
      <c r="Z932" s="20" t="s">
        <v>3008</v>
      </c>
      <c r="AA932" s="18">
        <v>3.0</v>
      </c>
      <c r="AB932" s="18">
        <v>3.0</v>
      </c>
      <c r="AC932" s="52"/>
      <c r="AD932" s="14">
        <v>7497.0</v>
      </c>
      <c r="AE932" s="14">
        <v>7497.0</v>
      </c>
      <c r="AF932" s="52"/>
      <c r="AG932" s="22"/>
      <c r="AH932" s="22"/>
      <c r="AI932" s="22"/>
      <c r="AJ932" s="22"/>
      <c r="AK932" s="22"/>
      <c r="AL932" s="22"/>
      <c r="AM932" s="22"/>
      <c r="AN932" s="22"/>
      <c r="AO932" s="22"/>
      <c r="AP932" s="22"/>
    </row>
    <row r="933" hidden="1">
      <c r="A933" s="8">
        <v>46119.0</v>
      </c>
      <c r="B933" s="23">
        <v>0.5833333333333334</v>
      </c>
      <c r="C933" s="10" t="s">
        <v>32</v>
      </c>
      <c r="D933" s="10" t="s">
        <v>33</v>
      </c>
      <c r="E933" s="12" t="s">
        <v>179</v>
      </c>
      <c r="F933" s="12" t="s">
        <v>3009</v>
      </c>
      <c r="G933" s="12" t="s">
        <v>3010</v>
      </c>
      <c r="H933" s="112" t="s">
        <v>3011</v>
      </c>
      <c r="I933" s="72" t="s">
        <v>3012</v>
      </c>
      <c r="J933" s="14">
        <v>64339.0</v>
      </c>
      <c r="K933" s="14">
        <v>37610.0</v>
      </c>
      <c r="L933" s="15">
        <v>0.5845</v>
      </c>
      <c r="M933" s="16">
        <v>10747.0</v>
      </c>
      <c r="N933" s="17">
        <v>0.2858</v>
      </c>
      <c r="O933" s="18">
        <v>287.0</v>
      </c>
      <c r="P933" s="18">
        <v>273.0</v>
      </c>
      <c r="Q933" s="19">
        <v>0.0073</v>
      </c>
      <c r="R933" s="19">
        <v>0.0254</v>
      </c>
      <c r="S933" s="20">
        <v>13.0</v>
      </c>
      <c r="T933" s="20">
        <v>28.0</v>
      </c>
      <c r="U933" s="20">
        <v>39865.0</v>
      </c>
      <c r="V933" s="21" t="s">
        <v>183</v>
      </c>
      <c r="W933" s="18" t="s">
        <v>76</v>
      </c>
      <c r="X933" s="101" t="s">
        <v>1139</v>
      </c>
      <c r="Y933" s="21" t="s">
        <v>3013</v>
      </c>
      <c r="Z933" s="20" t="s">
        <v>3014</v>
      </c>
      <c r="AA933" s="18">
        <v>131.0</v>
      </c>
      <c r="AB933" s="18">
        <v>36.0</v>
      </c>
      <c r="AC933" s="18">
        <v>95.0</v>
      </c>
      <c r="AD933" s="14">
        <v>1449683.0</v>
      </c>
      <c r="AE933" s="14">
        <v>190474.0</v>
      </c>
      <c r="AF933" s="14">
        <v>1259209.0</v>
      </c>
      <c r="AG933" s="22"/>
      <c r="AH933" s="22"/>
      <c r="AI933" s="22"/>
      <c r="AJ933" s="22"/>
      <c r="AK933" s="22"/>
      <c r="AL933" s="22"/>
      <c r="AM933" s="22"/>
      <c r="AN933" s="22"/>
      <c r="AO933" s="22"/>
      <c r="AP933" s="22"/>
    </row>
    <row r="934" hidden="1">
      <c r="A934" s="8">
        <v>46120.0</v>
      </c>
      <c r="B934" s="9">
        <v>0.8229166666666666</v>
      </c>
      <c r="C934" s="10" t="s">
        <v>32</v>
      </c>
      <c r="D934" s="10" t="s">
        <v>33</v>
      </c>
      <c r="E934" s="12" t="s">
        <v>71</v>
      </c>
      <c r="F934" s="12" t="s">
        <v>2008</v>
      </c>
      <c r="G934" s="12" t="s">
        <v>3015</v>
      </c>
      <c r="H934" s="112" t="s">
        <v>3016</v>
      </c>
      <c r="I934" s="72" t="s">
        <v>3017</v>
      </c>
      <c r="J934" s="14">
        <v>1982.0</v>
      </c>
      <c r="K934" s="14">
        <v>354.0</v>
      </c>
      <c r="L934" s="15">
        <v>0.1788</v>
      </c>
      <c r="M934" s="16">
        <v>146.0</v>
      </c>
      <c r="N934" s="17">
        <v>0.4124</v>
      </c>
      <c r="O934" s="18">
        <v>47.0</v>
      </c>
      <c r="P934" s="18">
        <v>39.0</v>
      </c>
      <c r="Q934" s="19">
        <v>0.1102</v>
      </c>
      <c r="R934" s="19">
        <v>0.2671</v>
      </c>
      <c r="S934" s="20">
        <v>4.0</v>
      </c>
      <c r="T934" s="20">
        <v>4.0</v>
      </c>
      <c r="U934" s="20">
        <v>13251.0</v>
      </c>
      <c r="V934" s="21" t="s">
        <v>335</v>
      </c>
      <c r="W934" s="18" t="s">
        <v>40</v>
      </c>
      <c r="X934" s="73" t="s">
        <v>3018</v>
      </c>
      <c r="Y934" s="21" t="s">
        <v>3019</v>
      </c>
      <c r="Z934" s="20" t="s">
        <v>3020</v>
      </c>
      <c r="AA934" s="18">
        <v>7.0</v>
      </c>
      <c r="AB934" s="18">
        <v>7.0</v>
      </c>
      <c r="AC934" s="18"/>
      <c r="AD934" s="14">
        <v>16545.0</v>
      </c>
      <c r="AE934" s="115">
        <v>16545.0</v>
      </c>
      <c r="AF934" s="14"/>
      <c r="AG934" s="22"/>
      <c r="AH934" s="22"/>
      <c r="AI934" s="22"/>
      <c r="AJ934" s="22"/>
      <c r="AK934" s="22"/>
      <c r="AL934" s="22"/>
      <c r="AM934" s="22"/>
      <c r="AN934" s="22"/>
      <c r="AO934" s="22"/>
      <c r="AP934" s="22"/>
    </row>
    <row r="935" hidden="1">
      <c r="A935" s="8">
        <v>46120.0</v>
      </c>
      <c r="B935" s="9">
        <v>0.8229166666666666</v>
      </c>
      <c r="C935" s="10" t="s">
        <v>32</v>
      </c>
      <c r="D935" s="10" t="s">
        <v>33</v>
      </c>
      <c r="E935" s="12" t="s">
        <v>71</v>
      </c>
      <c r="F935" s="12" t="s">
        <v>2008</v>
      </c>
      <c r="G935" s="12" t="s">
        <v>3021</v>
      </c>
      <c r="H935" s="112" t="s">
        <v>3022</v>
      </c>
      <c r="I935" s="72" t="s">
        <v>3023</v>
      </c>
      <c r="J935" s="14">
        <v>2157.0</v>
      </c>
      <c r="K935" s="14">
        <v>424.0</v>
      </c>
      <c r="L935" s="15">
        <v>0.1968</v>
      </c>
      <c r="M935" s="16">
        <v>161.0</v>
      </c>
      <c r="N935" s="17">
        <v>0.3797</v>
      </c>
      <c r="O935" s="18">
        <v>57.0</v>
      </c>
      <c r="P935" s="18">
        <v>51.0</v>
      </c>
      <c r="Q935" s="19">
        <v>0.1203</v>
      </c>
      <c r="R935" s="19">
        <v>0.3168</v>
      </c>
      <c r="S935" s="20">
        <v>3.0</v>
      </c>
      <c r="T935" s="20">
        <v>3.0</v>
      </c>
      <c r="U935" s="20">
        <v>19789.0</v>
      </c>
      <c r="V935" s="21" t="s">
        <v>335</v>
      </c>
      <c r="W935" s="18" t="s">
        <v>40</v>
      </c>
      <c r="X935" s="73" t="s">
        <v>3024</v>
      </c>
      <c r="Y935" s="21" t="s">
        <v>3019</v>
      </c>
      <c r="Z935" s="20" t="s">
        <v>3025</v>
      </c>
      <c r="AA935" s="18">
        <v>6.0</v>
      </c>
      <c r="AB935" s="18">
        <v>6.0</v>
      </c>
      <c r="AC935" s="18"/>
      <c r="AD935" s="14">
        <v>25170.0</v>
      </c>
      <c r="AE935" s="14">
        <v>25170.0</v>
      </c>
      <c r="AF935" s="14"/>
      <c r="AG935" s="22"/>
      <c r="AH935" s="22"/>
      <c r="AI935" s="22"/>
      <c r="AJ935" s="22"/>
      <c r="AK935" s="22"/>
      <c r="AL935" s="22"/>
      <c r="AM935" s="22"/>
      <c r="AN935" s="22"/>
      <c r="AO935" s="22"/>
      <c r="AP935" s="22"/>
    </row>
    <row r="936" hidden="1">
      <c r="A936" s="8">
        <v>46120.0</v>
      </c>
      <c r="B936" s="9">
        <v>0.8229166666666666</v>
      </c>
      <c r="C936" s="10" t="s">
        <v>32</v>
      </c>
      <c r="D936" s="10" t="s">
        <v>33</v>
      </c>
      <c r="E936" s="12" t="s">
        <v>71</v>
      </c>
      <c r="F936" s="12" t="s">
        <v>2008</v>
      </c>
      <c r="G936" s="12" t="s">
        <v>3026</v>
      </c>
      <c r="H936" s="112" t="s">
        <v>3027</v>
      </c>
      <c r="I936" s="72" t="s">
        <v>3028</v>
      </c>
      <c r="J936" s="14">
        <v>3795.0</v>
      </c>
      <c r="K936" s="14">
        <v>856.0</v>
      </c>
      <c r="L936" s="15">
        <v>0.2255</v>
      </c>
      <c r="M936" s="16">
        <v>338.0</v>
      </c>
      <c r="N936" s="17">
        <v>0.3953</v>
      </c>
      <c r="O936" s="18">
        <v>86.0</v>
      </c>
      <c r="P936" s="18">
        <v>77.0</v>
      </c>
      <c r="Q936" s="19">
        <v>0.0901</v>
      </c>
      <c r="R936" s="19">
        <v>0.2278</v>
      </c>
      <c r="S936" s="20">
        <v>0.0</v>
      </c>
      <c r="T936" s="20">
        <v>3.0</v>
      </c>
      <c r="U936" s="20">
        <v>0.0</v>
      </c>
      <c r="V936" s="21" t="s">
        <v>335</v>
      </c>
      <c r="W936" s="18" t="s">
        <v>40</v>
      </c>
      <c r="X936" s="73" t="s">
        <v>47</v>
      </c>
      <c r="Y936" s="21" t="s">
        <v>3019</v>
      </c>
      <c r="Z936" s="20" t="s">
        <v>3029</v>
      </c>
      <c r="AA936" s="18">
        <v>4.0</v>
      </c>
      <c r="AB936" s="18">
        <v>4.0</v>
      </c>
      <c r="AC936" s="18"/>
      <c r="AD936" s="14">
        <v>5695.0</v>
      </c>
      <c r="AE936" s="14">
        <v>5695.0</v>
      </c>
      <c r="AF936" s="14"/>
      <c r="AG936" s="22"/>
      <c r="AH936" s="22"/>
      <c r="AI936" s="22"/>
      <c r="AJ936" s="22"/>
      <c r="AK936" s="22"/>
      <c r="AL936" s="22"/>
      <c r="AM936" s="22"/>
      <c r="AN936" s="22"/>
      <c r="AO936" s="22"/>
      <c r="AP936" s="22"/>
    </row>
    <row r="937" hidden="1">
      <c r="A937" s="8">
        <v>46120.0</v>
      </c>
      <c r="B937" s="9">
        <v>0.8229166666666666</v>
      </c>
      <c r="C937" s="10" t="s">
        <v>32</v>
      </c>
      <c r="D937" s="10" t="s">
        <v>33</v>
      </c>
      <c r="E937" s="12" t="s">
        <v>71</v>
      </c>
      <c r="F937" s="12" t="s">
        <v>2008</v>
      </c>
      <c r="G937" s="12" t="s">
        <v>3030</v>
      </c>
      <c r="H937" s="112" t="s">
        <v>3031</v>
      </c>
      <c r="I937" s="72" t="s">
        <v>3032</v>
      </c>
      <c r="J937" s="14">
        <v>63552.0</v>
      </c>
      <c r="K937" s="14">
        <v>27612.0</v>
      </c>
      <c r="L937" s="15">
        <v>0.4347</v>
      </c>
      <c r="M937" s="16">
        <v>10459.0</v>
      </c>
      <c r="N937" s="17">
        <v>0.3789</v>
      </c>
      <c r="O937" s="18">
        <v>1259.0</v>
      </c>
      <c r="P937" s="18">
        <v>1185.0</v>
      </c>
      <c r="Q937" s="19">
        <v>0.0429</v>
      </c>
      <c r="R937" s="19">
        <v>0.1133</v>
      </c>
      <c r="S937" s="20">
        <v>4.0</v>
      </c>
      <c r="T937" s="20">
        <v>19.0</v>
      </c>
      <c r="U937" s="20">
        <v>9173.0</v>
      </c>
      <c r="V937" s="21" t="s">
        <v>335</v>
      </c>
      <c r="W937" s="18" t="s">
        <v>40</v>
      </c>
      <c r="X937" s="73" t="s">
        <v>3033</v>
      </c>
      <c r="Y937" s="21" t="s">
        <v>3019</v>
      </c>
      <c r="Z937" s="20" t="s">
        <v>3034</v>
      </c>
      <c r="AA937" s="18">
        <v>24.0</v>
      </c>
      <c r="AB937" s="18">
        <v>24.0</v>
      </c>
      <c r="AC937" s="18"/>
      <c r="AD937" s="14">
        <v>46576.0</v>
      </c>
      <c r="AE937" s="14">
        <v>46576.0</v>
      </c>
      <c r="AF937" s="14"/>
      <c r="AG937" s="22"/>
      <c r="AH937" s="22"/>
      <c r="AI937" s="22"/>
      <c r="AJ937" s="22"/>
      <c r="AK937" s="22"/>
      <c r="AL937" s="22"/>
      <c r="AM937" s="22"/>
      <c r="AN937" s="22"/>
      <c r="AO937" s="22"/>
      <c r="AP937" s="22"/>
    </row>
    <row r="938" hidden="1">
      <c r="A938" s="8">
        <v>46121.0</v>
      </c>
      <c r="B938" s="23">
        <v>0.7708333333333334</v>
      </c>
      <c r="C938" s="10" t="s">
        <v>32</v>
      </c>
      <c r="D938" s="10" t="s">
        <v>33</v>
      </c>
      <c r="E938" s="12" t="s">
        <v>179</v>
      </c>
      <c r="F938" s="12" t="s">
        <v>3009</v>
      </c>
      <c r="G938" s="12" t="s">
        <v>3035</v>
      </c>
      <c r="H938" s="112" t="s">
        <v>3036</v>
      </c>
      <c r="I938" s="72" t="s">
        <v>3037</v>
      </c>
      <c r="J938" s="14">
        <v>4686.0</v>
      </c>
      <c r="K938" s="14">
        <v>2747.0</v>
      </c>
      <c r="L938" s="15">
        <v>0.5862</v>
      </c>
      <c r="M938" s="16">
        <v>714.0</v>
      </c>
      <c r="N938" s="17">
        <v>0.2599</v>
      </c>
      <c r="O938" s="18">
        <v>15.0</v>
      </c>
      <c r="P938" s="18">
        <v>14.0</v>
      </c>
      <c r="Q938" s="19">
        <v>0.0051</v>
      </c>
      <c r="R938" s="19">
        <v>0.0196</v>
      </c>
      <c r="S938" s="20">
        <v>1.0</v>
      </c>
      <c r="T938" s="20">
        <v>4.0</v>
      </c>
      <c r="U938" s="20">
        <v>2894.0</v>
      </c>
      <c r="V938" s="21" t="s">
        <v>335</v>
      </c>
      <c r="W938" s="18" t="s">
        <v>76</v>
      </c>
      <c r="X938" s="101" t="s">
        <v>3038</v>
      </c>
      <c r="Y938" s="21" t="s">
        <v>3013</v>
      </c>
      <c r="Z938" s="20" t="s">
        <v>3039</v>
      </c>
      <c r="AA938" s="18">
        <v>5.0</v>
      </c>
      <c r="AB938" s="18">
        <v>5.0</v>
      </c>
      <c r="AC938" s="18"/>
      <c r="AD938" s="14">
        <v>37068.0</v>
      </c>
      <c r="AE938" s="14">
        <v>37068.0</v>
      </c>
      <c r="AF938" s="14"/>
      <c r="AG938" s="22"/>
      <c r="AH938" s="22"/>
      <c r="AI938" s="22"/>
      <c r="AJ938" s="22"/>
      <c r="AK938" s="22"/>
      <c r="AL938" s="22"/>
      <c r="AM938" s="22"/>
      <c r="AN938" s="22"/>
      <c r="AO938" s="22"/>
      <c r="AP938" s="22"/>
    </row>
    <row r="939" hidden="1">
      <c r="A939" s="8">
        <v>46121.0</v>
      </c>
      <c r="B939" s="23">
        <v>0.7743055555555556</v>
      </c>
      <c r="C939" s="10" t="s">
        <v>32</v>
      </c>
      <c r="D939" s="10" t="s">
        <v>33</v>
      </c>
      <c r="E939" s="12" t="s">
        <v>179</v>
      </c>
      <c r="F939" s="12" t="s">
        <v>3009</v>
      </c>
      <c r="G939" s="12" t="s">
        <v>3040</v>
      </c>
      <c r="H939" s="112" t="s">
        <v>3041</v>
      </c>
      <c r="I939" s="72" t="s">
        <v>3042</v>
      </c>
      <c r="J939" s="14">
        <v>52481.0</v>
      </c>
      <c r="K939" s="14">
        <v>28420.0</v>
      </c>
      <c r="L939" s="15">
        <v>0.5414</v>
      </c>
      <c r="M939" s="16">
        <v>6839.0</v>
      </c>
      <c r="N939" s="17">
        <v>0.2407</v>
      </c>
      <c r="O939" s="18">
        <v>257.0</v>
      </c>
      <c r="P939" s="18">
        <v>241.0</v>
      </c>
      <c r="Q939" s="19">
        <v>0.0085</v>
      </c>
      <c r="R939" s="19">
        <v>0.0352</v>
      </c>
      <c r="S939" s="20">
        <v>20.0</v>
      </c>
      <c r="T939" s="20">
        <v>76.0</v>
      </c>
      <c r="U939" s="20">
        <v>231568.0</v>
      </c>
      <c r="V939" s="21" t="s">
        <v>335</v>
      </c>
      <c r="W939" s="18" t="s">
        <v>76</v>
      </c>
      <c r="X939" s="101" t="s">
        <v>82</v>
      </c>
      <c r="Y939" s="21" t="s">
        <v>3013</v>
      </c>
      <c r="Z939" s="20" t="s">
        <v>3043</v>
      </c>
      <c r="AA939" s="18">
        <v>89.0</v>
      </c>
      <c r="AB939" s="18">
        <v>89.0</v>
      </c>
      <c r="AC939" s="18"/>
      <c r="AD939" s="14">
        <v>636933.0</v>
      </c>
      <c r="AE939" s="14">
        <v>636933.0</v>
      </c>
      <c r="AF939" s="14"/>
      <c r="AG939" s="22"/>
      <c r="AH939" s="22"/>
      <c r="AI939" s="22"/>
      <c r="AJ939" s="22"/>
      <c r="AK939" s="22"/>
      <c r="AL939" s="22"/>
      <c r="AM939" s="22"/>
      <c r="AN939" s="22"/>
      <c r="AO939" s="22"/>
      <c r="AP939" s="22"/>
    </row>
    <row r="940" hidden="1">
      <c r="A940" s="8">
        <v>46121.0</v>
      </c>
      <c r="B940" s="23">
        <v>0.7777777777777778</v>
      </c>
      <c r="C940" s="10" t="s">
        <v>32</v>
      </c>
      <c r="D940" s="10" t="s">
        <v>33</v>
      </c>
      <c r="E940" s="12" t="s">
        <v>179</v>
      </c>
      <c r="F940" s="12" t="s">
        <v>3009</v>
      </c>
      <c r="G940" s="12" t="s">
        <v>3044</v>
      </c>
      <c r="H940" s="112" t="s">
        <v>3045</v>
      </c>
      <c r="I940" s="72" t="s">
        <v>3042</v>
      </c>
      <c r="J940" s="14">
        <v>6816.0</v>
      </c>
      <c r="K940" s="14">
        <v>4377.0</v>
      </c>
      <c r="L940" s="15">
        <v>0.6422</v>
      </c>
      <c r="M940" s="16">
        <v>1412.0</v>
      </c>
      <c r="N940" s="17">
        <v>0.3226</v>
      </c>
      <c r="O940" s="18">
        <v>70.0</v>
      </c>
      <c r="P940" s="18">
        <v>66.0</v>
      </c>
      <c r="Q940" s="19">
        <v>0.0151</v>
      </c>
      <c r="R940" s="19">
        <v>0.0467</v>
      </c>
      <c r="S940" s="20">
        <v>4.0</v>
      </c>
      <c r="T940" s="20">
        <v>14.0</v>
      </c>
      <c r="U940" s="20">
        <v>87508.0</v>
      </c>
      <c r="V940" s="21" t="s">
        <v>335</v>
      </c>
      <c r="W940" s="18" t="s">
        <v>76</v>
      </c>
      <c r="X940" s="101" t="s">
        <v>47</v>
      </c>
      <c r="Y940" s="21" t="s">
        <v>3013</v>
      </c>
      <c r="Z940" s="20" t="s">
        <v>3046</v>
      </c>
      <c r="AA940" s="18">
        <v>14.0</v>
      </c>
      <c r="AB940" s="18">
        <v>14.0</v>
      </c>
      <c r="AC940" s="18"/>
      <c r="AD940" s="14">
        <v>119472.0</v>
      </c>
      <c r="AE940" s="14">
        <v>119472.0</v>
      </c>
      <c r="AF940" s="14"/>
      <c r="AG940" s="22"/>
      <c r="AH940" s="22"/>
      <c r="AI940" s="22"/>
      <c r="AJ940" s="22"/>
      <c r="AK940" s="22"/>
      <c r="AL940" s="22"/>
      <c r="AM940" s="22"/>
      <c r="AN940" s="22"/>
      <c r="AO940" s="22"/>
      <c r="AP940" s="22"/>
    </row>
    <row r="941" hidden="1">
      <c r="A941" s="8">
        <v>46121.0</v>
      </c>
      <c r="B941" s="23">
        <v>0.78125</v>
      </c>
      <c r="C941" s="10" t="s">
        <v>32</v>
      </c>
      <c r="D941" s="10" t="s">
        <v>33</v>
      </c>
      <c r="E941" s="12" t="s">
        <v>179</v>
      </c>
      <c r="F941" s="12" t="s">
        <v>3009</v>
      </c>
      <c r="G941" s="12" t="s">
        <v>3047</v>
      </c>
      <c r="H941" s="112" t="s">
        <v>3048</v>
      </c>
      <c r="I941" s="72" t="s">
        <v>3049</v>
      </c>
      <c r="J941" s="14">
        <v>50597.0</v>
      </c>
      <c r="K941" s="14">
        <v>32096.0</v>
      </c>
      <c r="L941" s="15">
        <v>0.6343</v>
      </c>
      <c r="M941" s="16">
        <v>8754.0</v>
      </c>
      <c r="N941" s="17">
        <v>0.2728</v>
      </c>
      <c r="O941" s="18">
        <v>201.0</v>
      </c>
      <c r="P941" s="18">
        <v>191.0</v>
      </c>
      <c r="Q941" s="19">
        <v>0.006</v>
      </c>
      <c r="R941" s="19">
        <v>0.0218</v>
      </c>
      <c r="S941" s="20">
        <v>9.0</v>
      </c>
      <c r="T941" s="20">
        <v>18.0</v>
      </c>
      <c r="U941" s="20">
        <v>22395.0</v>
      </c>
      <c r="V941" s="21" t="s">
        <v>335</v>
      </c>
      <c r="W941" s="18" t="s">
        <v>76</v>
      </c>
      <c r="X941" s="73" t="s">
        <v>41</v>
      </c>
      <c r="Y941" s="21" t="s">
        <v>3013</v>
      </c>
      <c r="Z941" s="20" t="s">
        <v>3050</v>
      </c>
      <c r="AA941" s="18">
        <v>25.0</v>
      </c>
      <c r="AB941" s="18">
        <v>25.0</v>
      </c>
      <c r="AC941" s="18"/>
      <c r="AD941" s="14">
        <v>84779.0</v>
      </c>
      <c r="AE941" s="14">
        <v>84779.0</v>
      </c>
      <c r="AF941" s="14"/>
      <c r="AG941" s="22"/>
      <c r="AH941" s="22"/>
      <c r="AI941" s="22"/>
      <c r="AJ941" s="22"/>
      <c r="AK941" s="22"/>
      <c r="AL941" s="22"/>
      <c r="AM941" s="22"/>
      <c r="AN941" s="22"/>
      <c r="AO941" s="22"/>
      <c r="AP941" s="22"/>
    </row>
    <row r="942" hidden="1">
      <c r="A942" s="8">
        <v>46121.0</v>
      </c>
      <c r="B942" s="23">
        <v>0.7847222222222222</v>
      </c>
      <c r="C942" s="10" t="s">
        <v>32</v>
      </c>
      <c r="D942" s="10" t="s">
        <v>33</v>
      </c>
      <c r="E942" s="12" t="s">
        <v>179</v>
      </c>
      <c r="F942" s="12" t="s">
        <v>3009</v>
      </c>
      <c r="G942" s="12" t="s">
        <v>3051</v>
      </c>
      <c r="H942" s="112" t="s">
        <v>3052</v>
      </c>
      <c r="I942" s="72" t="s">
        <v>3053</v>
      </c>
      <c r="J942" s="14">
        <v>2897.0</v>
      </c>
      <c r="K942" s="14">
        <v>1513.0</v>
      </c>
      <c r="L942" s="15">
        <v>0.5223</v>
      </c>
      <c r="M942" s="16">
        <v>339.0</v>
      </c>
      <c r="N942" s="17">
        <v>0.2241</v>
      </c>
      <c r="O942" s="18">
        <v>16.0</v>
      </c>
      <c r="P942" s="18">
        <v>14.0</v>
      </c>
      <c r="Q942" s="19">
        <v>0.0093</v>
      </c>
      <c r="R942" s="19">
        <v>0.0413</v>
      </c>
      <c r="S942" s="20">
        <v>0.0</v>
      </c>
      <c r="T942" s="20">
        <v>1.0</v>
      </c>
      <c r="U942" s="20">
        <v>0.0</v>
      </c>
      <c r="V942" s="21" t="s">
        <v>335</v>
      </c>
      <c r="W942" s="18" t="s">
        <v>76</v>
      </c>
      <c r="X942" s="73" t="s">
        <v>3054</v>
      </c>
      <c r="Y942" s="21" t="s">
        <v>3013</v>
      </c>
      <c r="Z942" s="20" t="s">
        <v>3055</v>
      </c>
      <c r="AA942" s="18">
        <v>2.0</v>
      </c>
      <c r="AB942" s="18">
        <v>2.0</v>
      </c>
      <c r="AC942" s="18"/>
      <c r="AD942" s="14">
        <v>77803.0</v>
      </c>
      <c r="AE942" s="14">
        <v>77803.0</v>
      </c>
      <c r="AF942" s="14"/>
      <c r="AG942" s="22"/>
      <c r="AH942" s="22"/>
      <c r="AI942" s="22"/>
      <c r="AJ942" s="22"/>
      <c r="AK942" s="22"/>
      <c r="AL942" s="22"/>
      <c r="AM942" s="22"/>
      <c r="AN942" s="22"/>
      <c r="AO942" s="22"/>
      <c r="AP942" s="22"/>
    </row>
    <row r="943" hidden="1">
      <c r="A943" s="8">
        <v>46121.0</v>
      </c>
      <c r="B943" s="23">
        <v>0.7708333333333334</v>
      </c>
      <c r="C943" s="10" t="s">
        <v>32</v>
      </c>
      <c r="D943" s="10" t="s">
        <v>33</v>
      </c>
      <c r="E943" s="12" t="s">
        <v>179</v>
      </c>
      <c r="F943" s="12" t="s">
        <v>3009</v>
      </c>
      <c r="G943" s="12" t="s">
        <v>3056</v>
      </c>
      <c r="H943" s="112" t="s">
        <v>3057</v>
      </c>
      <c r="I943" s="72" t="s">
        <v>3058</v>
      </c>
      <c r="J943" s="14">
        <v>4334.0</v>
      </c>
      <c r="K943" s="14">
        <v>2632.0</v>
      </c>
      <c r="L943" s="15">
        <v>0.6073</v>
      </c>
      <c r="M943" s="16">
        <v>758.0</v>
      </c>
      <c r="N943" s="17">
        <v>0.288</v>
      </c>
      <c r="O943" s="18">
        <v>13.0</v>
      </c>
      <c r="P943" s="18">
        <v>11.0</v>
      </c>
      <c r="Q943" s="19">
        <v>0.0042</v>
      </c>
      <c r="R943" s="19">
        <v>0.0145</v>
      </c>
      <c r="S943" s="20">
        <v>0.0</v>
      </c>
      <c r="T943" s="20">
        <v>1.0</v>
      </c>
      <c r="U943" s="20">
        <v>0.0</v>
      </c>
      <c r="V943" s="21" t="s">
        <v>315</v>
      </c>
      <c r="W943" s="18" t="s">
        <v>76</v>
      </c>
      <c r="X943" s="73" t="s">
        <v>3038</v>
      </c>
      <c r="Y943" s="21" t="s">
        <v>3013</v>
      </c>
      <c r="Z943" s="20" t="s">
        <v>3059</v>
      </c>
      <c r="AA943" s="18">
        <v>5.0</v>
      </c>
      <c r="AB943" s="52"/>
      <c r="AC943" s="18">
        <v>5.0</v>
      </c>
      <c r="AD943" s="14">
        <v>41715.0</v>
      </c>
      <c r="AE943" s="52"/>
      <c r="AF943" s="14">
        <v>41715.0</v>
      </c>
      <c r="AG943" s="22"/>
      <c r="AH943" s="22"/>
      <c r="AI943" s="22"/>
      <c r="AJ943" s="22"/>
      <c r="AK943" s="22"/>
      <c r="AL943" s="22"/>
      <c r="AM943" s="22"/>
      <c r="AN943" s="22"/>
      <c r="AO943" s="22"/>
      <c r="AP943" s="22"/>
    </row>
    <row r="944" hidden="1">
      <c r="A944" s="8">
        <v>46121.0</v>
      </c>
      <c r="B944" s="23">
        <v>0.7743055555555556</v>
      </c>
      <c r="C944" s="10" t="s">
        <v>32</v>
      </c>
      <c r="D944" s="10" t="s">
        <v>33</v>
      </c>
      <c r="E944" s="12" t="s">
        <v>179</v>
      </c>
      <c r="F944" s="12" t="s">
        <v>3009</v>
      </c>
      <c r="G944" s="12" t="s">
        <v>3060</v>
      </c>
      <c r="H944" s="112" t="s">
        <v>3061</v>
      </c>
      <c r="I944" s="72" t="s">
        <v>3058</v>
      </c>
      <c r="J944" s="14">
        <v>13412.0</v>
      </c>
      <c r="K944" s="14">
        <v>7694.0</v>
      </c>
      <c r="L944" s="15">
        <v>0.5737</v>
      </c>
      <c r="M944" s="16">
        <v>2015.0</v>
      </c>
      <c r="N944" s="17">
        <v>0.2619</v>
      </c>
      <c r="O944" s="18">
        <v>34.0</v>
      </c>
      <c r="P944" s="18">
        <v>33.0</v>
      </c>
      <c r="Q944" s="19">
        <v>0.0043</v>
      </c>
      <c r="R944" s="19">
        <v>0.0164</v>
      </c>
      <c r="S944" s="20">
        <v>3.0</v>
      </c>
      <c r="T944" s="20">
        <v>7.0</v>
      </c>
      <c r="U944" s="20">
        <v>14515.0</v>
      </c>
      <c r="V944" s="21" t="s">
        <v>315</v>
      </c>
      <c r="W944" s="18" t="s">
        <v>76</v>
      </c>
      <c r="X944" s="73" t="s">
        <v>82</v>
      </c>
      <c r="Y944" s="21" t="s">
        <v>3013</v>
      </c>
      <c r="Z944" s="20" t="s">
        <v>3062</v>
      </c>
      <c r="AA944" s="18">
        <v>49.0</v>
      </c>
      <c r="AB944" s="52"/>
      <c r="AC944" s="18">
        <v>49.0</v>
      </c>
      <c r="AD944" s="14">
        <v>273065.0</v>
      </c>
      <c r="AE944" s="52"/>
      <c r="AF944" s="14">
        <v>273065.0</v>
      </c>
      <c r="AG944" s="22"/>
      <c r="AH944" s="22"/>
      <c r="AI944" s="22"/>
      <c r="AJ944" s="22"/>
      <c r="AK944" s="22"/>
      <c r="AL944" s="22"/>
      <c r="AM944" s="22"/>
      <c r="AN944" s="22"/>
      <c r="AO944" s="22"/>
      <c r="AP944" s="22"/>
    </row>
    <row r="945" hidden="1">
      <c r="A945" s="8">
        <v>46121.0</v>
      </c>
      <c r="B945" s="23">
        <v>0.7777777777777778</v>
      </c>
      <c r="C945" s="10" t="s">
        <v>32</v>
      </c>
      <c r="D945" s="10" t="s">
        <v>33</v>
      </c>
      <c r="E945" s="12" t="s">
        <v>179</v>
      </c>
      <c r="F945" s="12" t="s">
        <v>3009</v>
      </c>
      <c r="G945" s="12" t="s">
        <v>3063</v>
      </c>
      <c r="H945" s="112" t="s">
        <v>3064</v>
      </c>
      <c r="I945" s="72" t="s">
        <v>3065</v>
      </c>
      <c r="J945" s="14">
        <v>8911.0</v>
      </c>
      <c r="K945" s="14">
        <v>5780.0</v>
      </c>
      <c r="L945" s="15">
        <v>0.6486</v>
      </c>
      <c r="M945" s="16">
        <v>1929.0</v>
      </c>
      <c r="N945" s="17">
        <v>0.3337</v>
      </c>
      <c r="O945" s="18">
        <v>30.0</v>
      </c>
      <c r="P945" s="18">
        <v>29.0</v>
      </c>
      <c r="Q945" s="19">
        <v>0.005</v>
      </c>
      <c r="R945" s="19">
        <v>0.015</v>
      </c>
      <c r="S945" s="20">
        <v>0.0</v>
      </c>
      <c r="T945" s="20">
        <v>1.0</v>
      </c>
      <c r="U945" s="20">
        <v>0.0</v>
      </c>
      <c r="V945" s="21" t="s">
        <v>315</v>
      </c>
      <c r="W945" s="18" t="s">
        <v>76</v>
      </c>
      <c r="X945" s="73" t="s">
        <v>47</v>
      </c>
      <c r="Y945" s="21" t="s">
        <v>3013</v>
      </c>
      <c r="Z945" s="20" t="s">
        <v>3066</v>
      </c>
      <c r="AA945" s="18">
        <v>13.0</v>
      </c>
      <c r="AB945" s="52"/>
      <c r="AC945" s="18">
        <v>13.0</v>
      </c>
      <c r="AD945" s="14">
        <v>90405.0</v>
      </c>
      <c r="AE945" s="52"/>
      <c r="AF945" s="14">
        <v>90405.0</v>
      </c>
      <c r="AG945" s="22"/>
      <c r="AH945" s="22"/>
      <c r="AI945" s="22"/>
      <c r="AJ945" s="22"/>
      <c r="AK945" s="22"/>
      <c r="AL945" s="22"/>
      <c r="AM945" s="22"/>
      <c r="AN945" s="22"/>
      <c r="AO945" s="22"/>
      <c r="AP945" s="22"/>
    </row>
    <row r="946" hidden="1">
      <c r="A946" s="8">
        <v>46121.0</v>
      </c>
      <c r="B946" s="23">
        <v>0.78125</v>
      </c>
      <c r="C946" s="10" t="s">
        <v>32</v>
      </c>
      <c r="D946" s="10" t="s">
        <v>33</v>
      </c>
      <c r="E946" s="12" t="s">
        <v>179</v>
      </c>
      <c r="F946" s="12" t="s">
        <v>3009</v>
      </c>
      <c r="G946" s="12" t="s">
        <v>3067</v>
      </c>
      <c r="H946" s="112" t="s">
        <v>3068</v>
      </c>
      <c r="I946" s="72" t="s">
        <v>3069</v>
      </c>
      <c r="J946" s="14">
        <v>29980.0</v>
      </c>
      <c r="K946" s="14">
        <v>18268.0</v>
      </c>
      <c r="L946" s="15">
        <v>0.6091</v>
      </c>
      <c r="M946" s="16">
        <v>5273.0</v>
      </c>
      <c r="N946" s="17">
        <v>0.2888</v>
      </c>
      <c r="O946" s="18">
        <v>54.0</v>
      </c>
      <c r="P946" s="18">
        <v>51.0</v>
      </c>
      <c r="Q946" s="19">
        <v>0.0028</v>
      </c>
      <c r="R946" s="19">
        <v>0.0097</v>
      </c>
      <c r="S946" s="20">
        <v>0.0</v>
      </c>
      <c r="T946" s="20">
        <v>1.0</v>
      </c>
      <c r="U946" s="20">
        <v>0.0</v>
      </c>
      <c r="V946" s="21" t="s">
        <v>315</v>
      </c>
      <c r="W946" s="18" t="s">
        <v>76</v>
      </c>
      <c r="X946" s="73" t="s">
        <v>41</v>
      </c>
      <c r="Y946" s="21" t="s">
        <v>3013</v>
      </c>
      <c r="Z946" s="20" t="s">
        <v>3070</v>
      </c>
      <c r="AA946" s="18">
        <v>33.0</v>
      </c>
      <c r="AB946" s="52"/>
      <c r="AC946" s="18">
        <v>33.0</v>
      </c>
      <c r="AD946" s="14">
        <v>180603.0</v>
      </c>
      <c r="AE946" s="52"/>
      <c r="AF946" s="14">
        <v>180603.0</v>
      </c>
      <c r="AG946" s="22"/>
      <c r="AH946" s="22"/>
      <c r="AI946" s="22"/>
      <c r="AJ946" s="22"/>
      <c r="AK946" s="22"/>
      <c r="AL946" s="22"/>
      <c r="AM946" s="22"/>
      <c r="AN946" s="22"/>
      <c r="AO946" s="22"/>
      <c r="AP946" s="22"/>
    </row>
    <row r="947" hidden="1">
      <c r="A947" s="8">
        <v>46121.0</v>
      </c>
      <c r="B947" s="23">
        <v>0.7847222222222222</v>
      </c>
      <c r="C947" s="10" t="s">
        <v>32</v>
      </c>
      <c r="D947" s="10" t="s">
        <v>33</v>
      </c>
      <c r="E947" s="12" t="s">
        <v>179</v>
      </c>
      <c r="F947" s="12" t="s">
        <v>3009</v>
      </c>
      <c r="G947" s="12" t="s">
        <v>3071</v>
      </c>
      <c r="H947" s="112" t="s">
        <v>3072</v>
      </c>
      <c r="I947" s="72" t="s">
        <v>3073</v>
      </c>
      <c r="J947" s="14">
        <v>1271.0</v>
      </c>
      <c r="K947" s="14">
        <v>665.0</v>
      </c>
      <c r="L947" s="15">
        <v>0.5232</v>
      </c>
      <c r="M947" s="16">
        <v>171.0</v>
      </c>
      <c r="N947" s="17">
        <v>0.2571</v>
      </c>
      <c r="O947" s="18">
        <v>2.0</v>
      </c>
      <c r="P947" s="18">
        <v>2.0</v>
      </c>
      <c r="Q947" s="19">
        <v>0.003</v>
      </c>
      <c r="R947" s="19">
        <v>0.0117</v>
      </c>
      <c r="S947" s="20">
        <v>0.0</v>
      </c>
      <c r="T947" s="20">
        <v>0.0</v>
      </c>
      <c r="U947" s="20">
        <v>0.0</v>
      </c>
      <c r="V947" s="21" t="s">
        <v>315</v>
      </c>
      <c r="W947" s="18" t="s">
        <v>76</v>
      </c>
      <c r="X947" s="73" t="s">
        <v>3054</v>
      </c>
      <c r="Y947" s="21" t="s">
        <v>3013</v>
      </c>
      <c r="Z947" s="20" t="s">
        <v>3074</v>
      </c>
      <c r="AA947" s="18">
        <v>2.0</v>
      </c>
      <c r="AB947" s="52"/>
      <c r="AC947" s="18">
        <v>2.0</v>
      </c>
      <c r="AD947" s="14">
        <v>6198.0</v>
      </c>
      <c r="AE947" s="52"/>
      <c r="AF947" s="14">
        <v>6198.0</v>
      </c>
      <c r="AG947" s="22"/>
      <c r="AH947" s="22"/>
      <c r="AI947" s="22"/>
      <c r="AJ947" s="22"/>
      <c r="AK947" s="22"/>
      <c r="AL947" s="22"/>
      <c r="AM947" s="22"/>
      <c r="AN947" s="22"/>
      <c r="AO947" s="22"/>
      <c r="AP947" s="22"/>
    </row>
    <row r="948" hidden="1">
      <c r="A948" s="8">
        <v>46121.0</v>
      </c>
      <c r="B948" s="23">
        <v>0.7881944444444444</v>
      </c>
      <c r="C948" s="10" t="s">
        <v>32</v>
      </c>
      <c r="D948" s="10" t="s">
        <v>33</v>
      </c>
      <c r="E948" s="12" t="s">
        <v>179</v>
      </c>
      <c r="F948" s="12" t="s">
        <v>3009</v>
      </c>
      <c r="G948" s="12" t="s">
        <v>3075</v>
      </c>
      <c r="H948" s="112" t="s">
        <v>3076</v>
      </c>
      <c r="I948" s="72" t="s">
        <v>3077</v>
      </c>
      <c r="J948" s="14">
        <v>52221.0</v>
      </c>
      <c r="K948" s="14">
        <v>30255.0</v>
      </c>
      <c r="L948" s="15">
        <v>0.5793</v>
      </c>
      <c r="M948" s="16">
        <v>7480.0</v>
      </c>
      <c r="N948" s="17">
        <v>0.2472</v>
      </c>
      <c r="O948" s="18">
        <v>78.0</v>
      </c>
      <c r="P948" s="18">
        <v>75.0</v>
      </c>
      <c r="Q948" s="19">
        <v>0.0025</v>
      </c>
      <c r="R948" s="19">
        <v>0.01</v>
      </c>
      <c r="S948" s="20">
        <v>5.0</v>
      </c>
      <c r="T948" s="20">
        <v>12.0</v>
      </c>
      <c r="U948" s="20">
        <v>25790.0</v>
      </c>
      <c r="V948" s="21" t="s">
        <v>315</v>
      </c>
      <c r="W948" s="18" t="s">
        <v>76</v>
      </c>
      <c r="X948" s="73" t="s">
        <v>1726</v>
      </c>
      <c r="Y948" s="21" t="s">
        <v>3013</v>
      </c>
      <c r="Z948" s="20" t="s">
        <v>3078</v>
      </c>
      <c r="AA948" s="18">
        <v>85.0</v>
      </c>
      <c r="AB948" s="52"/>
      <c r="AC948" s="18">
        <v>85.0</v>
      </c>
      <c r="AD948" s="14">
        <v>1099254.0</v>
      </c>
      <c r="AE948" s="52"/>
      <c r="AF948" s="14">
        <v>1099254.0</v>
      </c>
      <c r="AG948" s="22"/>
      <c r="AH948" s="22"/>
      <c r="AI948" s="22"/>
      <c r="AJ948" s="22"/>
      <c r="AK948" s="22"/>
      <c r="AL948" s="22"/>
      <c r="AM948" s="22"/>
      <c r="AN948" s="22"/>
      <c r="AO948" s="22"/>
      <c r="AP948" s="22"/>
    </row>
    <row r="949" hidden="1">
      <c r="A949" s="8">
        <v>46121.0</v>
      </c>
      <c r="B949" s="23">
        <v>0.7916666666666666</v>
      </c>
      <c r="C949" s="10" t="s">
        <v>32</v>
      </c>
      <c r="D949" s="10" t="s">
        <v>33</v>
      </c>
      <c r="E949" s="12" t="s">
        <v>179</v>
      </c>
      <c r="F949" s="12" t="s">
        <v>3009</v>
      </c>
      <c r="G949" s="12" t="s">
        <v>3079</v>
      </c>
      <c r="H949" s="112" t="s">
        <v>3080</v>
      </c>
      <c r="I949" s="72" t="s">
        <v>3081</v>
      </c>
      <c r="J949" s="14">
        <v>64041.0</v>
      </c>
      <c r="K949" s="14">
        <v>35180.0</v>
      </c>
      <c r="L949" s="15">
        <v>0.5493</v>
      </c>
      <c r="M949" s="16">
        <v>8487.0</v>
      </c>
      <c r="N949" s="17">
        <v>0.2412</v>
      </c>
      <c r="O949" s="18">
        <v>120.0</v>
      </c>
      <c r="P949" s="18">
        <v>117.0</v>
      </c>
      <c r="Q949" s="19">
        <v>0.0033</v>
      </c>
      <c r="R949" s="19">
        <v>0.0138</v>
      </c>
      <c r="S949" s="20">
        <v>4.0</v>
      </c>
      <c r="T949" s="20">
        <v>20.0</v>
      </c>
      <c r="U949" s="20">
        <v>21346.0</v>
      </c>
      <c r="V949" s="21" t="s">
        <v>315</v>
      </c>
      <c r="W949" s="18" t="s">
        <v>76</v>
      </c>
      <c r="X949" s="73" t="s">
        <v>1726</v>
      </c>
      <c r="Y949" s="21" t="s">
        <v>3013</v>
      </c>
      <c r="Z949" s="20" t="s">
        <v>3082</v>
      </c>
      <c r="AA949" s="18">
        <v>101.0</v>
      </c>
      <c r="AB949" s="52"/>
      <c r="AC949" s="18">
        <v>101.0</v>
      </c>
      <c r="AD949" s="14">
        <v>1232107.0</v>
      </c>
      <c r="AE949" s="52"/>
      <c r="AF949" s="14">
        <v>1232107.0</v>
      </c>
      <c r="AG949" s="22"/>
      <c r="AH949" s="22"/>
      <c r="AI949" s="22"/>
      <c r="AJ949" s="22"/>
      <c r="AK949" s="22"/>
      <c r="AL949" s="22"/>
      <c r="AM949" s="22"/>
      <c r="AN949" s="22"/>
      <c r="AO949" s="22"/>
      <c r="AP949" s="22"/>
    </row>
    <row r="950" hidden="1">
      <c r="A950" s="8">
        <v>46121.0</v>
      </c>
      <c r="B950" s="23">
        <v>0.6458333333333334</v>
      </c>
      <c r="C950" s="10" t="s">
        <v>58</v>
      </c>
      <c r="D950" s="10" t="s">
        <v>3083</v>
      </c>
      <c r="E950" s="12" t="s">
        <v>179</v>
      </c>
      <c r="F950" s="12" t="s">
        <v>3009</v>
      </c>
      <c r="G950" s="12" t="s">
        <v>3084</v>
      </c>
      <c r="H950" s="68" t="s">
        <v>3011</v>
      </c>
      <c r="I950" s="57" t="s">
        <v>61</v>
      </c>
      <c r="J950" s="14">
        <v>22914.0</v>
      </c>
      <c r="K950" s="14">
        <v>12984.0</v>
      </c>
      <c r="L950" s="15">
        <v>0.5666</v>
      </c>
      <c r="M950" s="16"/>
      <c r="N950" s="92"/>
      <c r="O950" s="18">
        <v>0.0</v>
      </c>
      <c r="P950" s="18"/>
      <c r="Q950" s="119">
        <v>0.0</v>
      </c>
      <c r="R950" s="20"/>
      <c r="S950" s="20">
        <v>5.0</v>
      </c>
      <c r="T950" s="20">
        <v>13.0</v>
      </c>
      <c r="U950" s="20">
        <v>29522.0</v>
      </c>
      <c r="V950" s="21" t="s">
        <v>183</v>
      </c>
      <c r="W950" s="18" t="s">
        <v>62</v>
      </c>
      <c r="X950" s="73" t="s">
        <v>1726</v>
      </c>
      <c r="Y950" s="21" t="s">
        <v>3013</v>
      </c>
      <c r="Z950" s="20" t="s">
        <v>3085</v>
      </c>
      <c r="AA950" s="18">
        <v>59.0</v>
      </c>
      <c r="AB950" s="18">
        <v>15.0</v>
      </c>
      <c r="AC950" s="18">
        <v>44.0</v>
      </c>
      <c r="AD950" s="14">
        <v>895196.0</v>
      </c>
      <c r="AE950" s="14">
        <v>167480.0</v>
      </c>
      <c r="AF950" s="14">
        <v>727716.0</v>
      </c>
      <c r="AG950" s="22"/>
      <c r="AH950" s="22"/>
      <c r="AI950" s="22"/>
      <c r="AJ950" s="22"/>
      <c r="AK950" s="22"/>
      <c r="AL950" s="22"/>
      <c r="AM950" s="22"/>
      <c r="AN950" s="22"/>
      <c r="AO950" s="22"/>
      <c r="AP950" s="22"/>
    </row>
    <row r="951" hidden="1">
      <c r="A951" s="8">
        <v>46121.0</v>
      </c>
      <c r="B951" s="23">
        <v>0.8333333333333334</v>
      </c>
      <c r="C951" s="10" t="s">
        <v>58</v>
      </c>
      <c r="D951" s="10" t="s">
        <v>3083</v>
      </c>
      <c r="E951" s="12" t="s">
        <v>179</v>
      </c>
      <c r="F951" s="12" t="s">
        <v>3009</v>
      </c>
      <c r="G951" s="12" t="s">
        <v>3086</v>
      </c>
      <c r="H951" s="112" t="s">
        <v>3036</v>
      </c>
      <c r="I951" s="72" t="s">
        <v>61</v>
      </c>
      <c r="J951" s="14">
        <v>1619.0</v>
      </c>
      <c r="K951" s="14">
        <v>911.0</v>
      </c>
      <c r="L951" s="15">
        <v>0.5627</v>
      </c>
      <c r="M951" s="16"/>
      <c r="N951" s="92"/>
      <c r="O951" s="18">
        <v>6.0</v>
      </c>
      <c r="P951" s="18"/>
      <c r="Q951" s="19">
        <v>0.0066</v>
      </c>
      <c r="R951" s="20"/>
      <c r="S951" s="20">
        <v>0.0</v>
      </c>
      <c r="T951" s="20">
        <v>0.0</v>
      </c>
      <c r="U951" s="20">
        <v>0.0</v>
      </c>
      <c r="V951" s="21" t="s">
        <v>335</v>
      </c>
      <c r="W951" s="18" t="s">
        <v>62</v>
      </c>
      <c r="X951" s="73" t="s">
        <v>1726</v>
      </c>
      <c r="Y951" s="21" t="s">
        <v>3013</v>
      </c>
      <c r="Z951" s="20" t="s">
        <v>3087</v>
      </c>
      <c r="AA951" s="18">
        <v>2.0</v>
      </c>
      <c r="AB951" s="18">
        <v>2.0</v>
      </c>
      <c r="AC951" s="18"/>
      <c r="AD951" s="14">
        <v>11673.0</v>
      </c>
      <c r="AE951" s="14">
        <v>11673.0</v>
      </c>
      <c r="AF951" s="14"/>
      <c r="AG951" s="22"/>
      <c r="AH951" s="22"/>
      <c r="AI951" s="22"/>
      <c r="AJ951" s="22"/>
      <c r="AK951" s="22"/>
      <c r="AL951" s="22"/>
      <c r="AM951" s="22"/>
      <c r="AN951" s="22"/>
      <c r="AO951" s="22"/>
      <c r="AP951" s="22"/>
    </row>
    <row r="952" hidden="1">
      <c r="A952" s="8">
        <v>46121.0</v>
      </c>
      <c r="B952" s="23">
        <v>0.8333333333333334</v>
      </c>
      <c r="C952" s="10" t="s">
        <v>58</v>
      </c>
      <c r="D952" s="10" t="s">
        <v>3083</v>
      </c>
      <c r="E952" s="12" t="s">
        <v>179</v>
      </c>
      <c r="F952" s="12" t="s">
        <v>3009</v>
      </c>
      <c r="G952" s="12" t="s">
        <v>3088</v>
      </c>
      <c r="H952" s="112" t="s">
        <v>3041</v>
      </c>
      <c r="I952" s="72" t="s">
        <v>61</v>
      </c>
      <c r="J952" s="14">
        <v>20337.0</v>
      </c>
      <c r="K952" s="14">
        <v>12173.0</v>
      </c>
      <c r="L952" s="15">
        <v>0.5986</v>
      </c>
      <c r="M952" s="16"/>
      <c r="N952" s="92"/>
      <c r="O952" s="18">
        <v>58.0</v>
      </c>
      <c r="P952" s="18"/>
      <c r="Q952" s="19">
        <v>0.0048</v>
      </c>
      <c r="R952" s="20"/>
      <c r="S952" s="20">
        <v>11.0</v>
      </c>
      <c r="T952" s="20">
        <v>29.0</v>
      </c>
      <c r="U952" s="20">
        <v>71025.0</v>
      </c>
      <c r="V952" s="21" t="s">
        <v>335</v>
      </c>
      <c r="W952" s="18" t="s">
        <v>62</v>
      </c>
      <c r="X952" s="73" t="s">
        <v>82</v>
      </c>
      <c r="Y952" s="21" t="s">
        <v>3013</v>
      </c>
      <c r="Z952" s="20" t="s">
        <v>3089</v>
      </c>
      <c r="AA952" s="18">
        <v>31.0</v>
      </c>
      <c r="AB952" s="18">
        <v>31.0</v>
      </c>
      <c r="AC952" s="18"/>
      <c r="AD952" s="14">
        <v>236744.0</v>
      </c>
      <c r="AE952" s="14">
        <v>236744.0</v>
      </c>
      <c r="AF952" s="14"/>
      <c r="AG952" s="22"/>
      <c r="AH952" s="22"/>
      <c r="AI952" s="22"/>
      <c r="AJ952" s="22"/>
      <c r="AK952" s="22"/>
      <c r="AL952" s="22"/>
      <c r="AM952" s="22"/>
      <c r="AN952" s="22"/>
      <c r="AO952" s="22"/>
      <c r="AP952" s="22"/>
    </row>
    <row r="953" hidden="1">
      <c r="A953" s="8">
        <v>46121.0</v>
      </c>
      <c r="B953" s="23">
        <v>0.8333333333333334</v>
      </c>
      <c r="C953" s="10" t="s">
        <v>58</v>
      </c>
      <c r="D953" s="10" t="s">
        <v>3083</v>
      </c>
      <c r="E953" s="12" t="s">
        <v>179</v>
      </c>
      <c r="F953" s="12" t="s">
        <v>3009</v>
      </c>
      <c r="G953" s="12" t="s">
        <v>3090</v>
      </c>
      <c r="H953" s="112" t="s">
        <v>3045</v>
      </c>
      <c r="I953" s="72" t="s">
        <v>61</v>
      </c>
      <c r="J953" s="14">
        <v>2235.0</v>
      </c>
      <c r="K953" s="14">
        <v>1391.0</v>
      </c>
      <c r="L953" s="15">
        <v>0.6224</v>
      </c>
      <c r="M953" s="16"/>
      <c r="N953" s="92"/>
      <c r="O953" s="18">
        <v>9.0</v>
      </c>
      <c r="P953" s="18"/>
      <c r="Q953" s="19">
        <v>0.0065</v>
      </c>
      <c r="R953" s="20"/>
      <c r="S953" s="20">
        <v>1.0</v>
      </c>
      <c r="T953" s="20">
        <v>10.0</v>
      </c>
      <c r="U953" s="20">
        <v>8348.0</v>
      </c>
      <c r="V953" s="21" t="s">
        <v>335</v>
      </c>
      <c r="W953" s="18" t="s">
        <v>62</v>
      </c>
      <c r="X953" s="73" t="s">
        <v>47</v>
      </c>
      <c r="Y953" s="21" t="s">
        <v>3013</v>
      </c>
      <c r="Z953" s="20" t="s">
        <v>3091</v>
      </c>
      <c r="AA953" s="18">
        <v>3.0</v>
      </c>
      <c r="AB953" s="18">
        <v>3.0</v>
      </c>
      <c r="AC953" s="18"/>
      <c r="AD953" s="14">
        <v>12995.0</v>
      </c>
      <c r="AE953" s="14">
        <v>12995.0</v>
      </c>
      <c r="AF953" s="14"/>
      <c r="AG953" s="22"/>
      <c r="AH953" s="22"/>
      <c r="AI953" s="22"/>
      <c r="AJ953" s="22"/>
      <c r="AK953" s="22"/>
      <c r="AL953" s="22"/>
      <c r="AM953" s="22"/>
      <c r="AN953" s="22"/>
      <c r="AO953" s="22"/>
      <c r="AP953" s="22"/>
    </row>
    <row r="954" hidden="1">
      <c r="A954" s="8">
        <v>46121.0</v>
      </c>
      <c r="B954" s="23">
        <v>0.8333333333333334</v>
      </c>
      <c r="C954" s="10" t="s">
        <v>58</v>
      </c>
      <c r="D954" s="10" t="s">
        <v>3083</v>
      </c>
      <c r="E954" s="12" t="s">
        <v>179</v>
      </c>
      <c r="F954" s="12" t="s">
        <v>3009</v>
      </c>
      <c r="G954" s="12" t="s">
        <v>3092</v>
      </c>
      <c r="H954" s="112" t="s">
        <v>3048</v>
      </c>
      <c r="I954" s="72" t="s">
        <v>61</v>
      </c>
      <c r="J954" s="14">
        <v>16924.0</v>
      </c>
      <c r="K954" s="14">
        <v>11185.0</v>
      </c>
      <c r="L954" s="15">
        <v>0.6609</v>
      </c>
      <c r="M954" s="16"/>
      <c r="N954" s="92"/>
      <c r="O954" s="18">
        <v>33.0</v>
      </c>
      <c r="P954" s="18"/>
      <c r="Q954" s="19">
        <v>0.003</v>
      </c>
      <c r="R954" s="20"/>
      <c r="S954" s="20">
        <v>2.0</v>
      </c>
      <c r="T954" s="20">
        <v>5.0</v>
      </c>
      <c r="U954" s="20">
        <v>4797.0</v>
      </c>
      <c r="V954" s="21" t="s">
        <v>335</v>
      </c>
      <c r="W954" s="18" t="s">
        <v>62</v>
      </c>
      <c r="X954" s="73" t="s">
        <v>41</v>
      </c>
      <c r="Y954" s="21" t="s">
        <v>3013</v>
      </c>
      <c r="Z954" s="20" t="s">
        <v>3093</v>
      </c>
      <c r="AA954" s="18">
        <v>9.0</v>
      </c>
      <c r="AB954" s="18">
        <v>9.0</v>
      </c>
      <c r="AC954" s="18"/>
      <c r="AD954" s="14">
        <v>27770.0</v>
      </c>
      <c r="AE954" s="14">
        <v>27770.0</v>
      </c>
      <c r="AF954" s="14"/>
      <c r="AG954" s="22"/>
      <c r="AH954" s="22"/>
      <c r="AI954" s="22"/>
      <c r="AJ954" s="22"/>
      <c r="AK954" s="22"/>
      <c r="AL954" s="22"/>
      <c r="AM954" s="22"/>
      <c r="AN954" s="22"/>
      <c r="AO954" s="22"/>
      <c r="AP954" s="22"/>
    </row>
    <row r="955" hidden="1">
      <c r="A955" s="8">
        <v>46121.0</v>
      </c>
      <c r="B955" s="23">
        <v>0.8333333333333334</v>
      </c>
      <c r="C955" s="10" t="s">
        <v>58</v>
      </c>
      <c r="D955" s="10" t="s">
        <v>3083</v>
      </c>
      <c r="E955" s="12" t="s">
        <v>179</v>
      </c>
      <c r="F955" s="12" t="s">
        <v>3009</v>
      </c>
      <c r="G955" s="12" t="s">
        <v>3094</v>
      </c>
      <c r="H955" s="112" t="s">
        <v>3064</v>
      </c>
      <c r="I955" s="72" t="s">
        <v>61</v>
      </c>
      <c r="J955" s="14">
        <v>2921.0</v>
      </c>
      <c r="K955" s="14">
        <v>2006.0</v>
      </c>
      <c r="L955" s="15">
        <v>0.6868</v>
      </c>
      <c r="M955" s="16"/>
      <c r="N955" s="92"/>
      <c r="O955" s="18">
        <v>2.0</v>
      </c>
      <c r="P955" s="18"/>
      <c r="Q955" s="19">
        <v>0.001</v>
      </c>
      <c r="R955" s="20"/>
      <c r="S955" s="20">
        <v>1.0</v>
      </c>
      <c r="T955" s="20">
        <v>0.0</v>
      </c>
      <c r="U955" s="20">
        <v>2699.0</v>
      </c>
      <c r="V955" s="21" t="s">
        <v>315</v>
      </c>
      <c r="W955" s="18" t="s">
        <v>62</v>
      </c>
      <c r="X955" s="73" t="s">
        <v>47</v>
      </c>
      <c r="Y955" s="21" t="s">
        <v>3013</v>
      </c>
      <c r="Z955" s="20" t="s">
        <v>3095</v>
      </c>
      <c r="AA955" s="18">
        <v>5.0</v>
      </c>
      <c r="AB955" s="52"/>
      <c r="AC955" s="18">
        <v>5.0</v>
      </c>
      <c r="AD955" s="14">
        <v>28894.0</v>
      </c>
      <c r="AE955" s="52"/>
      <c r="AF955" s="14">
        <v>28894.0</v>
      </c>
      <c r="AG955" s="22"/>
      <c r="AH955" s="22"/>
      <c r="AI955" s="22"/>
      <c r="AJ955" s="22"/>
      <c r="AK955" s="22"/>
      <c r="AL955" s="22"/>
      <c r="AM955" s="22"/>
      <c r="AN955" s="22"/>
      <c r="AO955" s="22"/>
      <c r="AP955" s="22"/>
    </row>
    <row r="956" hidden="1">
      <c r="A956" s="8">
        <v>46121.0</v>
      </c>
      <c r="B956" s="23">
        <v>0.8333333333333334</v>
      </c>
      <c r="C956" s="10" t="s">
        <v>58</v>
      </c>
      <c r="D956" s="10" t="s">
        <v>3083</v>
      </c>
      <c r="E956" s="12" t="s">
        <v>179</v>
      </c>
      <c r="F956" s="12" t="s">
        <v>3009</v>
      </c>
      <c r="G956" s="12" t="s">
        <v>3096</v>
      </c>
      <c r="H956" s="112" t="s">
        <v>3052</v>
      </c>
      <c r="I956" s="72" t="s">
        <v>61</v>
      </c>
      <c r="J956" s="14">
        <v>1189.0</v>
      </c>
      <c r="K956" s="14">
        <v>597.0</v>
      </c>
      <c r="L956" s="15">
        <v>0.5021</v>
      </c>
      <c r="M956" s="16"/>
      <c r="N956" s="92"/>
      <c r="O956" s="18">
        <v>5.0</v>
      </c>
      <c r="P956" s="18"/>
      <c r="Q956" s="19">
        <v>0.0084</v>
      </c>
      <c r="R956" s="20"/>
      <c r="S956" s="20">
        <v>0.0</v>
      </c>
      <c r="T956" s="20">
        <v>0.0</v>
      </c>
      <c r="U956" s="20">
        <v>0.0</v>
      </c>
      <c r="V956" s="21" t="s">
        <v>335</v>
      </c>
      <c r="W956" s="18" t="s">
        <v>62</v>
      </c>
      <c r="X956" s="73" t="s">
        <v>3054</v>
      </c>
      <c r="Y956" s="21" t="s">
        <v>3013</v>
      </c>
      <c r="Z956" s="20" t="s">
        <v>3097</v>
      </c>
      <c r="AA956" s="18">
        <v>0.0</v>
      </c>
      <c r="AB956" s="18">
        <v>0.0</v>
      </c>
      <c r="AC956" s="18"/>
      <c r="AD956" s="14">
        <v>0.0</v>
      </c>
      <c r="AE956" s="18">
        <v>0.0</v>
      </c>
      <c r="AF956" s="14"/>
      <c r="AG956" s="22"/>
      <c r="AH956" s="22"/>
      <c r="AI956" s="22"/>
      <c r="AJ956" s="22"/>
      <c r="AK956" s="22"/>
      <c r="AL956" s="22"/>
      <c r="AM956" s="22"/>
      <c r="AN956" s="22"/>
      <c r="AO956" s="22"/>
      <c r="AP956" s="22"/>
    </row>
    <row r="957" hidden="1">
      <c r="A957" s="8">
        <v>46121.0</v>
      </c>
      <c r="B957" s="23">
        <v>0.8333333333333334</v>
      </c>
      <c r="C957" s="10" t="s">
        <v>58</v>
      </c>
      <c r="D957" s="10" t="s">
        <v>3083</v>
      </c>
      <c r="E957" s="12" t="s">
        <v>179</v>
      </c>
      <c r="F957" s="12" t="s">
        <v>3009</v>
      </c>
      <c r="G957" s="12" t="s">
        <v>3098</v>
      </c>
      <c r="H957" s="112" t="s">
        <v>3076</v>
      </c>
      <c r="I957" s="72" t="s">
        <v>61</v>
      </c>
      <c r="J957" s="14">
        <v>18790.0</v>
      </c>
      <c r="K957" s="14">
        <v>10477.0</v>
      </c>
      <c r="L957" s="15">
        <v>0.5576</v>
      </c>
      <c r="M957" s="16"/>
      <c r="N957" s="92"/>
      <c r="O957" s="18">
        <v>39.0</v>
      </c>
      <c r="P957" s="18"/>
      <c r="Q957" s="19">
        <v>0.0037</v>
      </c>
      <c r="R957" s="20"/>
      <c r="S957" s="20">
        <v>2.0</v>
      </c>
      <c r="T957" s="20">
        <v>7.0</v>
      </c>
      <c r="U957" s="20">
        <v>8948.0</v>
      </c>
      <c r="V957" s="21" t="s">
        <v>315</v>
      </c>
      <c r="W957" s="18" t="s">
        <v>62</v>
      </c>
      <c r="X957" s="73" t="s">
        <v>1726</v>
      </c>
      <c r="Y957" s="21" t="s">
        <v>3013</v>
      </c>
      <c r="Z957" s="20" t="s">
        <v>3099</v>
      </c>
      <c r="AA957" s="18">
        <v>43.0</v>
      </c>
      <c r="AB957" s="52"/>
      <c r="AC957" s="18">
        <v>43.0</v>
      </c>
      <c r="AD957" s="14">
        <v>652462.0</v>
      </c>
      <c r="AE957" s="52"/>
      <c r="AF957" s="14">
        <v>652462.0</v>
      </c>
      <c r="AG957" s="22"/>
      <c r="AH957" s="22"/>
      <c r="AI957" s="22"/>
      <c r="AJ957" s="22"/>
      <c r="AK957" s="22"/>
      <c r="AL957" s="22"/>
      <c r="AM957" s="22"/>
      <c r="AN957" s="22"/>
      <c r="AO957" s="22"/>
      <c r="AP957" s="22"/>
    </row>
    <row r="958" hidden="1">
      <c r="A958" s="8">
        <v>46121.0</v>
      </c>
      <c r="B958" s="23">
        <v>0.8333333333333334</v>
      </c>
      <c r="C958" s="10" t="s">
        <v>58</v>
      </c>
      <c r="D958" s="10" t="s">
        <v>3083</v>
      </c>
      <c r="E958" s="12" t="s">
        <v>179</v>
      </c>
      <c r="F958" s="12" t="s">
        <v>3009</v>
      </c>
      <c r="G958" s="12" t="s">
        <v>3100</v>
      </c>
      <c r="H958" s="112" t="s">
        <v>3057</v>
      </c>
      <c r="I958" s="72" t="s">
        <v>61</v>
      </c>
      <c r="J958" s="14">
        <v>1489.0</v>
      </c>
      <c r="K958" s="14">
        <v>974.0</v>
      </c>
      <c r="L958" s="15">
        <v>0.6541</v>
      </c>
      <c r="M958" s="16"/>
      <c r="N958" s="92"/>
      <c r="O958" s="18">
        <v>3.0</v>
      </c>
      <c r="P958" s="18"/>
      <c r="Q958" s="19">
        <v>0.0031</v>
      </c>
      <c r="R958" s="20"/>
      <c r="S958" s="20">
        <v>0.0</v>
      </c>
      <c r="T958" s="20">
        <v>0.0</v>
      </c>
      <c r="U958" s="20">
        <v>0.0</v>
      </c>
      <c r="V958" s="21" t="s">
        <v>315</v>
      </c>
      <c r="W958" s="18" t="s">
        <v>62</v>
      </c>
      <c r="X958" s="73" t="s">
        <v>3038</v>
      </c>
      <c r="Y958" s="21" t="s">
        <v>3013</v>
      </c>
      <c r="Z958" s="20" t="s">
        <v>3101</v>
      </c>
      <c r="AA958" s="18">
        <v>2.0</v>
      </c>
      <c r="AB958" s="52"/>
      <c r="AC958" s="18">
        <v>2.0</v>
      </c>
      <c r="AD958" s="14">
        <v>6998.0</v>
      </c>
      <c r="AE958" s="52"/>
      <c r="AF958" s="14">
        <v>6998.0</v>
      </c>
      <c r="AG958" s="22"/>
      <c r="AH958" s="22"/>
      <c r="AI958" s="22"/>
      <c r="AJ958" s="22"/>
      <c r="AK958" s="22"/>
      <c r="AL958" s="22"/>
      <c r="AM958" s="22"/>
      <c r="AN958" s="22"/>
      <c r="AO958" s="22"/>
      <c r="AP958" s="22"/>
    </row>
    <row r="959" hidden="1">
      <c r="A959" s="8">
        <v>46121.0</v>
      </c>
      <c r="B959" s="23">
        <v>0.8333333333333334</v>
      </c>
      <c r="C959" s="10" t="s">
        <v>58</v>
      </c>
      <c r="D959" s="10" t="s">
        <v>3083</v>
      </c>
      <c r="E959" s="12" t="s">
        <v>179</v>
      </c>
      <c r="F959" s="12" t="s">
        <v>3009</v>
      </c>
      <c r="G959" s="12" t="s">
        <v>3102</v>
      </c>
      <c r="H959" s="112" t="s">
        <v>3061</v>
      </c>
      <c r="I959" s="72" t="s">
        <v>61</v>
      </c>
      <c r="J959" s="14">
        <v>5098.0</v>
      </c>
      <c r="K959" s="14">
        <v>3340.0</v>
      </c>
      <c r="L959" s="15">
        <v>0.6552</v>
      </c>
      <c r="M959" s="16"/>
      <c r="N959" s="92"/>
      <c r="O959" s="18">
        <v>14.0</v>
      </c>
      <c r="P959" s="18"/>
      <c r="Q959" s="19">
        <v>0.0042</v>
      </c>
      <c r="R959" s="20"/>
      <c r="S959" s="20">
        <v>0.0</v>
      </c>
      <c r="T959" s="20">
        <v>5.0</v>
      </c>
      <c r="U959" s="20">
        <v>0.0</v>
      </c>
      <c r="V959" s="21" t="s">
        <v>315</v>
      </c>
      <c r="W959" s="18" t="s">
        <v>62</v>
      </c>
      <c r="X959" s="73" t="s">
        <v>3103</v>
      </c>
      <c r="Y959" s="21" t="s">
        <v>3013</v>
      </c>
      <c r="Z959" s="20" t="s">
        <v>3104</v>
      </c>
      <c r="AA959" s="18">
        <v>21.0</v>
      </c>
      <c r="AB959" s="52"/>
      <c r="AC959" s="18">
        <v>21.0</v>
      </c>
      <c r="AD959" s="14">
        <v>319384.0</v>
      </c>
      <c r="AE959" s="52"/>
      <c r="AF959" s="14">
        <v>319384.0</v>
      </c>
      <c r="AG959" s="22"/>
      <c r="AH959" s="22"/>
      <c r="AI959" s="22"/>
      <c r="AJ959" s="22"/>
      <c r="AK959" s="22"/>
      <c r="AL959" s="22"/>
      <c r="AM959" s="22"/>
      <c r="AN959" s="22"/>
      <c r="AO959" s="22"/>
      <c r="AP959" s="22"/>
    </row>
    <row r="960" hidden="1">
      <c r="A960" s="8">
        <v>46121.0</v>
      </c>
      <c r="B960" s="23">
        <v>0.8333333333333334</v>
      </c>
      <c r="C960" s="10" t="s">
        <v>58</v>
      </c>
      <c r="D960" s="10" t="s">
        <v>3083</v>
      </c>
      <c r="E960" s="12" t="s">
        <v>179</v>
      </c>
      <c r="F960" s="12" t="s">
        <v>3009</v>
      </c>
      <c r="G960" s="12" t="s">
        <v>3105</v>
      </c>
      <c r="H960" s="112" t="s">
        <v>3080</v>
      </c>
      <c r="I960" s="72" t="s">
        <v>61</v>
      </c>
      <c r="J960" s="14">
        <v>25263.0</v>
      </c>
      <c r="K960" s="14">
        <v>14347.0</v>
      </c>
      <c r="L960" s="15">
        <v>0.5679</v>
      </c>
      <c r="M960" s="16"/>
      <c r="N960" s="92"/>
      <c r="O960" s="18">
        <v>67.0</v>
      </c>
      <c r="P960" s="18"/>
      <c r="Q960" s="19">
        <v>0.0047</v>
      </c>
      <c r="R960" s="20"/>
      <c r="S960" s="20">
        <v>2.0</v>
      </c>
      <c r="T960" s="20">
        <v>9.0</v>
      </c>
      <c r="U960" s="20">
        <v>27601.0</v>
      </c>
      <c r="V960" s="21" t="s">
        <v>315</v>
      </c>
      <c r="W960" s="18" t="s">
        <v>62</v>
      </c>
      <c r="X960" s="73" t="s">
        <v>1726</v>
      </c>
      <c r="Y960" s="21" t="s">
        <v>3013</v>
      </c>
      <c r="Z960" s="20" t="s">
        <v>3106</v>
      </c>
      <c r="AA960" s="18">
        <v>40.0</v>
      </c>
      <c r="AB960" s="52"/>
      <c r="AC960" s="18">
        <v>40.0</v>
      </c>
      <c r="AD960" s="14">
        <v>398055.0</v>
      </c>
      <c r="AE960" s="120"/>
      <c r="AF960" s="14">
        <v>398055.0</v>
      </c>
      <c r="AG960" s="22"/>
      <c r="AH960" s="22"/>
      <c r="AI960" s="22"/>
      <c r="AJ960" s="22"/>
      <c r="AK960" s="22"/>
      <c r="AL960" s="22"/>
      <c r="AM960" s="22"/>
      <c r="AN960" s="22"/>
      <c r="AO960" s="22"/>
      <c r="AP960" s="22"/>
    </row>
    <row r="961" hidden="1">
      <c r="A961" s="8">
        <v>46121.0</v>
      </c>
      <c r="B961" s="23">
        <v>0.8333333333333334</v>
      </c>
      <c r="C961" s="10" t="s">
        <v>58</v>
      </c>
      <c r="D961" s="10" t="s">
        <v>3083</v>
      </c>
      <c r="E961" s="12" t="s">
        <v>179</v>
      </c>
      <c r="F961" s="12" t="s">
        <v>3009</v>
      </c>
      <c r="G961" s="12" t="s">
        <v>3107</v>
      </c>
      <c r="H961" s="112" t="s">
        <v>3068</v>
      </c>
      <c r="I961" s="72" t="s">
        <v>61</v>
      </c>
      <c r="J961" s="14">
        <v>10735.0</v>
      </c>
      <c r="K961" s="14">
        <v>7116.0</v>
      </c>
      <c r="L961" s="15">
        <v>0.6629</v>
      </c>
      <c r="M961" s="16"/>
      <c r="N961" s="92"/>
      <c r="O961" s="18">
        <v>16.0</v>
      </c>
      <c r="P961" s="18"/>
      <c r="Q961" s="19">
        <v>0.0022</v>
      </c>
      <c r="R961" s="20"/>
      <c r="S961" s="20">
        <v>2.0</v>
      </c>
      <c r="T961" s="20">
        <v>3.0</v>
      </c>
      <c r="U961" s="20">
        <v>5518.0</v>
      </c>
      <c r="V961" s="21" t="s">
        <v>315</v>
      </c>
      <c r="W961" s="18" t="s">
        <v>62</v>
      </c>
      <c r="X961" s="73" t="s">
        <v>41</v>
      </c>
      <c r="Y961" s="21" t="s">
        <v>3013</v>
      </c>
      <c r="Z961" s="20" t="s">
        <v>3108</v>
      </c>
      <c r="AA961" s="18">
        <v>18.0</v>
      </c>
      <c r="AB961" s="52"/>
      <c r="AC961" s="18">
        <v>18.0</v>
      </c>
      <c r="AD961" s="14">
        <v>136669.0</v>
      </c>
      <c r="AE961" s="52"/>
      <c r="AF961" s="14">
        <v>136669.0</v>
      </c>
      <c r="AG961" s="22"/>
      <c r="AH961" s="22"/>
      <c r="AI961" s="22"/>
      <c r="AJ961" s="22"/>
      <c r="AK961" s="22"/>
      <c r="AL961" s="22"/>
      <c r="AM961" s="22"/>
      <c r="AN961" s="22"/>
      <c r="AO961" s="22"/>
      <c r="AP961" s="22"/>
    </row>
    <row r="962" hidden="1">
      <c r="A962" s="8">
        <v>46121.0</v>
      </c>
      <c r="B962" s="23">
        <v>0.8333333333333334</v>
      </c>
      <c r="C962" s="10" t="s">
        <v>58</v>
      </c>
      <c r="D962" s="10" t="s">
        <v>3083</v>
      </c>
      <c r="E962" s="12" t="s">
        <v>179</v>
      </c>
      <c r="F962" s="12" t="s">
        <v>3009</v>
      </c>
      <c r="G962" s="12" t="s">
        <v>3109</v>
      </c>
      <c r="H962" s="112" t="s">
        <v>3072</v>
      </c>
      <c r="I962" s="72" t="s">
        <v>61</v>
      </c>
      <c r="J962" s="14">
        <v>531.0</v>
      </c>
      <c r="K962" s="14">
        <v>302.0</v>
      </c>
      <c r="L962" s="15">
        <v>0.5687</v>
      </c>
      <c r="M962" s="16"/>
      <c r="N962" s="92"/>
      <c r="O962" s="18">
        <v>0.0</v>
      </c>
      <c r="P962" s="18"/>
      <c r="Q962" s="119">
        <v>0.0</v>
      </c>
      <c r="R962" s="20"/>
      <c r="S962" s="20">
        <v>0.0</v>
      </c>
      <c r="T962" s="20">
        <v>0.0</v>
      </c>
      <c r="U962" s="20">
        <v>0.0</v>
      </c>
      <c r="V962" s="21" t="s">
        <v>315</v>
      </c>
      <c r="W962" s="18" t="s">
        <v>62</v>
      </c>
      <c r="X962" s="73" t="s">
        <v>3054</v>
      </c>
      <c r="Y962" s="21" t="s">
        <v>3013</v>
      </c>
      <c r="Z962" s="20" t="s">
        <v>3110</v>
      </c>
      <c r="AA962" s="18">
        <v>1.0</v>
      </c>
      <c r="AB962" s="52"/>
      <c r="AC962" s="18">
        <v>1.0</v>
      </c>
      <c r="AD962" s="14">
        <v>2699.0</v>
      </c>
      <c r="AE962" s="52"/>
      <c r="AF962" s="14">
        <v>2699.0</v>
      </c>
      <c r="AG962" s="22"/>
      <c r="AH962" s="22"/>
      <c r="AI962" s="22"/>
      <c r="AJ962" s="22"/>
      <c r="AK962" s="22"/>
      <c r="AL962" s="22"/>
      <c r="AM962" s="22"/>
      <c r="AN962" s="22"/>
      <c r="AO962" s="22"/>
      <c r="AP962" s="22"/>
    </row>
    <row r="963" hidden="1">
      <c r="A963" s="8">
        <v>46121.0</v>
      </c>
      <c r="B963" s="9">
        <v>0.7708333333333334</v>
      </c>
      <c r="C963" s="10" t="s">
        <v>32</v>
      </c>
      <c r="D963" s="10" t="s">
        <v>33</v>
      </c>
      <c r="E963" s="12" t="s">
        <v>71</v>
      </c>
      <c r="F963" s="12" t="s">
        <v>955</v>
      </c>
      <c r="G963" s="12" t="s">
        <v>3111</v>
      </c>
      <c r="H963" s="112" t="s">
        <v>3112</v>
      </c>
      <c r="I963" s="72" t="s">
        <v>3113</v>
      </c>
      <c r="J963" s="14">
        <v>858.0</v>
      </c>
      <c r="K963" s="14">
        <v>456.0</v>
      </c>
      <c r="L963" s="15">
        <v>0.5315</v>
      </c>
      <c r="M963" s="16">
        <v>241.0</v>
      </c>
      <c r="N963" s="17">
        <v>0.5285</v>
      </c>
      <c r="O963" s="18">
        <v>32.0</v>
      </c>
      <c r="P963" s="18">
        <v>31.0</v>
      </c>
      <c r="Q963" s="19">
        <v>0.068</v>
      </c>
      <c r="R963" s="19">
        <v>0.1286</v>
      </c>
      <c r="S963" s="20">
        <v>4.0</v>
      </c>
      <c r="T963" s="20">
        <v>11.0</v>
      </c>
      <c r="U963" s="20">
        <v>10512.0</v>
      </c>
      <c r="V963" s="21" t="s">
        <v>335</v>
      </c>
      <c r="W963" s="18" t="s">
        <v>76</v>
      </c>
      <c r="X963" s="73" t="s">
        <v>3114</v>
      </c>
      <c r="Y963" s="21" t="s">
        <v>3115</v>
      </c>
      <c r="Z963" s="20" t="s">
        <v>3116</v>
      </c>
      <c r="AA963" s="18">
        <v>5.0</v>
      </c>
      <c r="AB963" s="18">
        <v>5.0</v>
      </c>
      <c r="AC963" s="18"/>
      <c r="AD963" s="14">
        <v>11513.0</v>
      </c>
      <c r="AE963" s="14">
        <v>11513.0</v>
      </c>
      <c r="AF963" s="14"/>
      <c r="AG963" s="22"/>
      <c r="AH963" s="22"/>
      <c r="AI963" s="22"/>
      <c r="AJ963" s="22"/>
      <c r="AK963" s="22"/>
      <c r="AL963" s="22"/>
      <c r="AM963" s="22"/>
      <c r="AN963" s="22"/>
      <c r="AO963" s="22"/>
      <c r="AP963" s="22"/>
    </row>
    <row r="964" hidden="1">
      <c r="A964" s="8">
        <v>46121.0</v>
      </c>
      <c r="B964" s="9">
        <v>0.7708333333333334</v>
      </c>
      <c r="C964" s="10" t="s">
        <v>32</v>
      </c>
      <c r="D964" s="10" t="s">
        <v>33</v>
      </c>
      <c r="E964" s="12" t="s">
        <v>71</v>
      </c>
      <c r="F964" s="12" t="s">
        <v>955</v>
      </c>
      <c r="G964" s="12" t="s">
        <v>3117</v>
      </c>
      <c r="H964" s="112" t="s">
        <v>3118</v>
      </c>
      <c r="I964" s="72" t="s">
        <v>3119</v>
      </c>
      <c r="J964" s="14">
        <v>12768.0</v>
      </c>
      <c r="K964" s="14">
        <v>6379.0</v>
      </c>
      <c r="L964" s="15">
        <v>0.4996</v>
      </c>
      <c r="M964" s="16">
        <v>2974.0</v>
      </c>
      <c r="N964" s="17">
        <v>0.4662</v>
      </c>
      <c r="O964" s="18">
        <v>335.0</v>
      </c>
      <c r="P964" s="18">
        <v>316.0</v>
      </c>
      <c r="Q964" s="19">
        <v>0.0495</v>
      </c>
      <c r="R964" s="19">
        <v>0.1063</v>
      </c>
      <c r="S964" s="20">
        <v>6.0</v>
      </c>
      <c r="T964" s="20">
        <v>17.0</v>
      </c>
      <c r="U964" s="20">
        <v>12300.0</v>
      </c>
      <c r="V964" s="21" t="s">
        <v>335</v>
      </c>
      <c r="W964" s="18" t="s">
        <v>76</v>
      </c>
      <c r="X964" s="73" t="s">
        <v>47</v>
      </c>
      <c r="Y964" s="21" t="s">
        <v>3115</v>
      </c>
      <c r="Z964" s="20" t="s">
        <v>3120</v>
      </c>
      <c r="AA964" s="18">
        <v>46.0</v>
      </c>
      <c r="AB964" s="18">
        <v>46.0</v>
      </c>
      <c r="AC964" s="18"/>
      <c r="AD964" s="14">
        <v>129117.0</v>
      </c>
      <c r="AE964" s="14">
        <v>129117.0</v>
      </c>
      <c r="AF964" s="14"/>
      <c r="AG964" s="22"/>
      <c r="AH964" s="22"/>
      <c r="AI964" s="22"/>
      <c r="AJ964" s="22"/>
      <c r="AK964" s="22"/>
      <c r="AL964" s="22"/>
      <c r="AM964" s="22"/>
      <c r="AN964" s="22"/>
      <c r="AO964" s="22"/>
      <c r="AP964" s="22"/>
    </row>
    <row r="965" hidden="1">
      <c r="A965" s="8">
        <v>46121.0</v>
      </c>
      <c r="B965" s="9">
        <v>0.7708333333333334</v>
      </c>
      <c r="C965" s="10" t="s">
        <v>32</v>
      </c>
      <c r="D965" s="10" t="s">
        <v>33</v>
      </c>
      <c r="E965" s="12" t="s">
        <v>71</v>
      </c>
      <c r="F965" s="12" t="s">
        <v>955</v>
      </c>
      <c r="G965" s="12" t="s">
        <v>3121</v>
      </c>
      <c r="H965" s="112" t="s">
        <v>3122</v>
      </c>
      <c r="I965" s="72" t="s">
        <v>3123</v>
      </c>
      <c r="J965" s="14">
        <v>13084.0</v>
      </c>
      <c r="K965" s="14">
        <v>6322.0</v>
      </c>
      <c r="L965" s="15">
        <v>0.4831</v>
      </c>
      <c r="M965" s="16">
        <v>2776.0</v>
      </c>
      <c r="N965" s="17">
        <v>0.439</v>
      </c>
      <c r="O965" s="18">
        <v>286.0</v>
      </c>
      <c r="P965" s="18">
        <v>270.0</v>
      </c>
      <c r="Q965" s="19">
        <v>0.0427</v>
      </c>
      <c r="R965" s="19">
        <v>0.0973</v>
      </c>
      <c r="S965" s="20">
        <v>10.0</v>
      </c>
      <c r="T965" s="20">
        <v>15.0</v>
      </c>
      <c r="U965" s="20">
        <v>21855.0</v>
      </c>
      <c r="V965" s="21" t="s">
        <v>335</v>
      </c>
      <c r="W965" s="18" t="s">
        <v>76</v>
      </c>
      <c r="X965" s="73" t="s">
        <v>82</v>
      </c>
      <c r="Y965" s="21" t="s">
        <v>3115</v>
      </c>
      <c r="Z965" s="20" t="s">
        <v>3124</v>
      </c>
      <c r="AA965" s="18">
        <v>36.0</v>
      </c>
      <c r="AB965" s="18">
        <v>36.0</v>
      </c>
      <c r="AC965" s="18"/>
      <c r="AD965" s="14">
        <v>86813.0</v>
      </c>
      <c r="AE965" s="14">
        <v>86813.0</v>
      </c>
      <c r="AF965" s="14"/>
      <c r="AG965" s="22"/>
      <c r="AH965" s="22"/>
      <c r="AI965" s="22"/>
      <c r="AJ965" s="22"/>
      <c r="AK965" s="22"/>
      <c r="AL965" s="22"/>
      <c r="AM965" s="22"/>
      <c r="AN965" s="22"/>
      <c r="AO965" s="22"/>
      <c r="AP965" s="22"/>
    </row>
    <row r="966" hidden="1">
      <c r="A966" s="8">
        <v>46121.0</v>
      </c>
      <c r="B966" s="9">
        <v>0.7708333333333334</v>
      </c>
      <c r="C966" s="10" t="s">
        <v>32</v>
      </c>
      <c r="D966" s="10" t="s">
        <v>33</v>
      </c>
      <c r="E966" s="12" t="s">
        <v>71</v>
      </c>
      <c r="F966" s="12" t="s">
        <v>955</v>
      </c>
      <c r="G966" s="12" t="s">
        <v>3125</v>
      </c>
      <c r="H966" s="112" t="s">
        <v>3126</v>
      </c>
      <c r="I966" s="72" t="s">
        <v>3127</v>
      </c>
      <c r="J966" s="14">
        <v>126827.0</v>
      </c>
      <c r="K966" s="14">
        <v>64595.0</v>
      </c>
      <c r="L966" s="15">
        <v>0.5092</v>
      </c>
      <c r="M966" s="16">
        <v>23516.0</v>
      </c>
      <c r="N966" s="17">
        <v>0.3641</v>
      </c>
      <c r="O966" s="18">
        <v>1749.0</v>
      </c>
      <c r="P966" s="18">
        <v>1686.0</v>
      </c>
      <c r="Q966" s="19">
        <v>0.0261</v>
      </c>
      <c r="R966" s="19">
        <v>0.0717</v>
      </c>
      <c r="S966" s="20">
        <v>15.0</v>
      </c>
      <c r="T966" s="20">
        <v>33.0</v>
      </c>
      <c r="U966" s="20">
        <v>31646.0</v>
      </c>
      <c r="V966" s="21" t="s">
        <v>335</v>
      </c>
      <c r="W966" s="18" t="s">
        <v>76</v>
      </c>
      <c r="X966" s="73" t="s">
        <v>3128</v>
      </c>
      <c r="Y966" s="21" t="s">
        <v>3115</v>
      </c>
      <c r="Z966" s="20" t="s">
        <v>3129</v>
      </c>
      <c r="AA966" s="18">
        <v>74.0</v>
      </c>
      <c r="AB966" s="18">
        <v>74.0</v>
      </c>
      <c r="AC966" s="18"/>
      <c r="AD966" s="14">
        <v>145775.0</v>
      </c>
      <c r="AE966" s="14">
        <v>145775.0</v>
      </c>
      <c r="AF966" s="14"/>
      <c r="AG966" s="22"/>
      <c r="AH966" s="22"/>
      <c r="AI966" s="22"/>
      <c r="AJ966" s="22"/>
      <c r="AK966" s="22"/>
      <c r="AL966" s="22"/>
      <c r="AM966" s="22"/>
      <c r="AN966" s="22"/>
      <c r="AO966" s="22"/>
      <c r="AP966" s="22"/>
    </row>
    <row r="967" hidden="1">
      <c r="A967" s="8">
        <v>46121.0</v>
      </c>
      <c r="B967" s="9">
        <v>0.7708333333333334</v>
      </c>
      <c r="C967" s="10" t="s">
        <v>32</v>
      </c>
      <c r="D967" s="10" t="s">
        <v>33</v>
      </c>
      <c r="E967" s="12" t="s">
        <v>71</v>
      </c>
      <c r="F967" s="12" t="s">
        <v>955</v>
      </c>
      <c r="G967" s="12" t="s">
        <v>3130</v>
      </c>
      <c r="H967" s="112" t="s">
        <v>3131</v>
      </c>
      <c r="I967" s="72" t="s">
        <v>3132</v>
      </c>
      <c r="J967" s="14">
        <v>85049.0</v>
      </c>
      <c r="K967" s="14">
        <v>39618.0</v>
      </c>
      <c r="L967" s="15">
        <v>0.4658</v>
      </c>
      <c r="M967" s="16">
        <v>15242.0</v>
      </c>
      <c r="N967" s="17">
        <v>0.3847</v>
      </c>
      <c r="O967" s="18">
        <v>1100.0</v>
      </c>
      <c r="P967" s="18">
        <v>1045.0</v>
      </c>
      <c r="Q967" s="19">
        <v>0.0264</v>
      </c>
      <c r="R967" s="19">
        <v>0.0686</v>
      </c>
      <c r="S967" s="20">
        <v>21.0</v>
      </c>
      <c r="T967" s="20">
        <v>30.0</v>
      </c>
      <c r="U967" s="20">
        <v>79123.0</v>
      </c>
      <c r="V967" s="21" t="s">
        <v>335</v>
      </c>
      <c r="W967" s="18" t="s">
        <v>76</v>
      </c>
      <c r="X967" s="73" t="s">
        <v>3133</v>
      </c>
      <c r="Y967" s="21" t="s">
        <v>3115</v>
      </c>
      <c r="Z967" s="20" t="s">
        <v>3134</v>
      </c>
      <c r="AA967" s="18">
        <v>76.0</v>
      </c>
      <c r="AB967" s="18">
        <v>76.0</v>
      </c>
      <c r="AC967" s="18"/>
      <c r="AD967" s="14">
        <v>316007.0</v>
      </c>
      <c r="AE967" s="14">
        <v>316007.0</v>
      </c>
      <c r="AF967" s="14"/>
      <c r="AG967" s="22"/>
      <c r="AH967" s="22"/>
      <c r="AI967" s="22"/>
      <c r="AJ967" s="22"/>
      <c r="AK967" s="22"/>
      <c r="AL967" s="22"/>
      <c r="AM967" s="22"/>
      <c r="AN967" s="22"/>
      <c r="AO967" s="22"/>
      <c r="AP967" s="22"/>
    </row>
    <row r="968" hidden="1">
      <c r="A968" s="8">
        <v>46121.0</v>
      </c>
      <c r="B968" s="9">
        <v>0.8333333333333334</v>
      </c>
      <c r="C968" s="10" t="s">
        <v>58</v>
      </c>
      <c r="D968" s="10" t="s">
        <v>3083</v>
      </c>
      <c r="E968" s="12" t="s">
        <v>71</v>
      </c>
      <c r="F968" s="12" t="s">
        <v>955</v>
      </c>
      <c r="G968" s="12" t="s">
        <v>3135</v>
      </c>
      <c r="H968" s="112" t="s">
        <v>3112</v>
      </c>
      <c r="I968" s="72" t="s">
        <v>61</v>
      </c>
      <c r="J968" s="14">
        <v>383.0</v>
      </c>
      <c r="K968" s="14">
        <v>198.0</v>
      </c>
      <c r="L968" s="15">
        <v>0.517</v>
      </c>
      <c r="M968" s="16"/>
      <c r="N968" s="92"/>
      <c r="O968" s="18">
        <v>2.0</v>
      </c>
      <c r="P968" s="18"/>
      <c r="Q968" s="19">
        <v>0.0101</v>
      </c>
      <c r="R968" s="20"/>
      <c r="S968" s="20">
        <v>0.0</v>
      </c>
      <c r="T968" s="20">
        <v>4.0</v>
      </c>
      <c r="U968" s="20">
        <v>0.0</v>
      </c>
      <c r="V968" s="21" t="s">
        <v>335</v>
      </c>
      <c r="W968" s="18" t="s">
        <v>62</v>
      </c>
      <c r="X968" s="73" t="s">
        <v>3114</v>
      </c>
      <c r="Y968" s="21" t="s">
        <v>3115</v>
      </c>
      <c r="Z968" s="20" t="s">
        <v>3136</v>
      </c>
      <c r="AA968" s="18">
        <v>2.0</v>
      </c>
      <c r="AB968" s="18">
        <v>2.0</v>
      </c>
      <c r="AC968" s="18"/>
      <c r="AD968" s="14">
        <v>2088.0</v>
      </c>
      <c r="AE968" s="14">
        <v>2088.0</v>
      </c>
      <c r="AF968" s="14"/>
      <c r="AG968" s="22"/>
      <c r="AH968" s="22"/>
      <c r="AI968" s="22"/>
      <c r="AJ968" s="22"/>
      <c r="AK968" s="22"/>
      <c r="AL968" s="22"/>
      <c r="AM968" s="22"/>
      <c r="AN968" s="22"/>
      <c r="AO968" s="22"/>
      <c r="AP968" s="22"/>
    </row>
    <row r="969" hidden="1">
      <c r="A969" s="8">
        <v>46121.0</v>
      </c>
      <c r="B969" s="9">
        <v>0.8333333333333334</v>
      </c>
      <c r="C969" s="10" t="s">
        <v>58</v>
      </c>
      <c r="D969" s="10" t="s">
        <v>3083</v>
      </c>
      <c r="E969" s="12" t="s">
        <v>71</v>
      </c>
      <c r="F969" s="12" t="s">
        <v>955</v>
      </c>
      <c r="G969" s="12" t="s">
        <v>3137</v>
      </c>
      <c r="H969" s="112" t="s">
        <v>3118</v>
      </c>
      <c r="I969" s="72" t="s">
        <v>61</v>
      </c>
      <c r="J969" s="14">
        <v>6191.0</v>
      </c>
      <c r="K969" s="14">
        <v>3304.0</v>
      </c>
      <c r="L969" s="15">
        <v>0.5337</v>
      </c>
      <c r="M969" s="16"/>
      <c r="N969" s="92"/>
      <c r="O969" s="18">
        <v>8.0</v>
      </c>
      <c r="P969" s="18"/>
      <c r="Q969" s="19">
        <v>0.0024</v>
      </c>
      <c r="R969" s="20"/>
      <c r="S969" s="20">
        <v>3.0</v>
      </c>
      <c r="T969" s="20">
        <v>5.0</v>
      </c>
      <c r="U969" s="20">
        <v>13435.0</v>
      </c>
      <c r="V969" s="21" t="s">
        <v>335</v>
      </c>
      <c r="W969" s="18" t="s">
        <v>62</v>
      </c>
      <c r="X969" s="73" t="s">
        <v>47</v>
      </c>
      <c r="Y969" s="21" t="s">
        <v>3115</v>
      </c>
      <c r="Z969" s="20" t="s">
        <v>3138</v>
      </c>
      <c r="AA969" s="18">
        <v>32.0</v>
      </c>
      <c r="AB969" s="18">
        <v>32.0</v>
      </c>
      <c r="AC969" s="18"/>
      <c r="AD969" s="14">
        <v>127977.0</v>
      </c>
      <c r="AE969" s="121">
        <v>127977.0</v>
      </c>
      <c r="AF969" s="14"/>
      <c r="AG969" s="22"/>
      <c r="AH969" s="22"/>
      <c r="AI969" s="22"/>
      <c r="AJ969" s="22"/>
      <c r="AK969" s="22"/>
      <c r="AL969" s="22"/>
      <c r="AM969" s="22"/>
      <c r="AN969" s="22"/>
      <c r="AO969" s="22"/>
      <c r="AP969" s="22"/>
    </row>
    <row r="970" hidden="1">
      <c r="A970" s="8">
        <v>46121.0</v>
      </c>
      <c r="B970" s="9">
        <v>0.8333333333333334</v>
      </c>
      <c r="C970" s="10" t="s">
        <v>58</v>
      </c>
      <c r="D970" s="10" t="s">
        <v>3083</v>
      </c>
      <c r="E970" s="12" t="s">
        <v>71</v>
      </c>
      <c r="F970" s="12" t="s">
        <v>955</v>
      </c>
      <c r="G970" s="12" t="s">
        <v>3139</v>
      </c>
      <c r="H970" s="112" t="s">
        <v>3122</v>
      </c>
      <c r="I970" s="72" t="s">
        <v>61</v>
      </c>
      <c r="J970" s="14">
        <v>6495.0</v>
      </c>
      <c r="K970" s="14">
        <v>3602.0</v>
      </c>
      <c r="L970" s="15">
        <v>0.5546</v>
      </c>
      <c r="M970" s="16"/>
      <c r="N970" s="92"/>
      <c r="O970" s="18">
        <v>20.0</v>
      </c>
      <c r="P970" s="18"/>
      <c r="Q970" s="19">
        <v>0.0056</v>
      </c>
      <c r="R970" s="20"/>
      <c r="S970" s="20">
        <v>1.0</v>
      </c>
      <c r="T970" s="20">
        <v>1.0</v>
      </c>
      <c r="U970" s="20">
        <v>1799.0</v>
      </c>
      <c r="V970" s="21" t="s">
        <v>335</v>
      </c>
      <c r="W970" s="18" t="s">
        <v>62</v>
      </c>
      <c r="X970" s="73" t="s">
        <v>82</v>
      </c>
      <c r="Y970" s="21" t="s">
        <v>3115</v>
      </c>
      <c r="Z970" s="20" t="s">
        <v>3140</v>
      </c>
      <c r="AA970" s="18">
        <v>20.0</v>
      </c>
      <c r="AB970" s="18">
        <v>20.0</v>
      </c>
      <c r="AC970" s="18"/>
      <c r="AD970" s="14">
        <v>38724.0</v>
      </c>
      <c r="AE970" s="14">
        <v>38724.0</v>
      </c>
      <c r="AF970" s="14"/>
      <c r="AG970" s="22"/>
      <c r="AH970" s="22"/>
      <c r="AI970" s="22"/>
      <c r="AJ970" s="22"/>
      <c r="AK970" s="22"/>
      <c r="AL970" s="22"/>
      <c r="AM970" s="22"/>
      <c r="AN970" s="22"/>
      <c r="AO970" s="22"/>
      <c r="AP970" s="22"/>
    </row>
    <row r="971" hidden="1">
      <c r="A971" s="8">
        <v>46121.0</v>
      </c>
      <c r="B971" s="9">
        <v>0.8333333333333334</v>
      </c>
      <c r="C971" s="10" t="s">
        <v>58</v>
      </c>
      <c r="D971" s="10" t="s">
        <v>3083</v>
      </c>
      <c r="E971" s="12" t="s">
        <v>71</v>
      </c>
      <c r="F971" s="12" t="s">
        <v>955</v>
      </c>
      <c r="G971" s="12" t="s">
        <v>3141</v>
      </c>
      <c r="H971" s="112" t="s">
        <v>3126</v>
      </c>
      <c r="I971" s="72" t="s">
        <v>61</v>
      </c>
      <c r="J971" s="14">
        <v>57500.0</v>
      </c>
      <c r="K971" s="14">
        <v>37909.0</v>
      </c>
      <c r="L971" s="15">
        <v>0.6593</v>
      </c>
      <c r="M971" s="16"/>
      <c r="N971" s="92"/>
      <c r="O971" s="18">
        <v>30.0</v>
      </c>
      <c r="P971" s="18"/>
      <c r="Q971" s="19">
        <v>8.0E-4</v>
      </c>
      <c r="R971" s="20"/>
      <c r="S971" s="20">
        <v>0.0</v>
      </c>
      <c r="T971" s="20">
        <v>8.0</v>
      </c>
      <c r="U971" s="20">
        <v>0.0</v>
      </c>
      <c r="V971" s="21" t="s">
        <v>335</v>
      </c>
      <c r="W971" s="18" t="s">
        <v>62</v>
      </c>
      <c r="X971" s="73" t="s">
        <v>3128</v>
      </c>
      <c r="Y971" s="21" t="s">
        <v>3115</v>
      </c>
      <c r="Z971" s="20" t="s">
        <v>3142</v>
      </c>
      <c r="AA971" s="18">
        <v>25.0</v>
      </c>
      <c r="AB971" s="18">
        <v>25.0</v>
      </c>
      <c r="AC971" s="18"/>
      <c r="AD971" s="14">
        <v>48306.0</v>
      </c>
      <c r="AE971" s="14">
        <v>48306.0</v>
      </c>
      <c r="AF971" s="14"/>
      <c r="AG971" s="22"/>
      <c r="AH971" s="22"/>
      <c r="AI971" s="22"/>
      <c r="AJ971" s="22"/>
      <c r="AK971" s="22"/>
      <c r="AL971" s="22"/>
      <c r="AM971" s="22"/>
      <c r="AN971" s="22"/>
      <c r="AO971" s="22"/>
      <c r="AP971" s="22"/>
    </row>
    <row r="972" hidden="1">
      <c r="A972" s="8">
        <v>46121.0</v>
      </c>
      <c r="B972" s="9">
        <v>0.8333333333333334</v>
      </c>
      <c r="C972" s="10" t="s">
        <v>58</v>
      </c>
      <c r="D972" s="10" t="s">
        <v>3083</v>
      </c>
      <c r="E972" s="12" t="s">
        <v>71</v>
      </c>
      <c r="F972" s="12" t="s">
        <v>955</v>
      </c>
      <c r="G972" s="12" t="s">
        <v>3143</v>
      </c>
      <c r="H972" s="112" t="s">
        <v>3131</v>
      </c>
      <c r="I972" s="72" t="s">
        <v>61</v>
      </c>
      <c r="J972" s="14">
        <v>42422.0</v>
      </c>
      <c r="K972" s="14">
        <v>21877.0</v>
      </c>
      <c r="L972" s="15">
        <v>0.5157</v>
      </c>
      <c r="M972" s="16"/>
      <c r="N972" s="92"/>
      <c r="O972" s="18">
        <v>21.0</v>
      </c>
      <c r="P972" s="18"/>
      <c r="Q972" s="19">
        <v>0.001</v>
      </c>
      <c r="R972" s="20"/>
      <c r="S972" s="20">
        <v>1.0</v>
      </c>
      <c r="T972" s="20">
        <v>1.0</v>
      </c>
      <c r="U972" s="20">
        <v>2519.0</v>
      </c>
      <c r="V972" s="21" t="s">
        <v>335</v>
      </c>
      <c r="W972" s="18" t="s">
        <v>62</v>
      </c>
      <c r="X972" s="73" t="s">
        <v>3133</v>
      </c>
      <c r="Y972" s="21" t="s">
        <v>3115</v>
      </c>
      <c r="Z972" s="20" t="s">
        <v>3144</v>
      </c>
      <c r="AA972" s="18">
        <v>27.0</v>
      </c>
      <c r="AB972" s="18">
        <v>27.0</v>
      </c>
      <c r="AC972" s="18"/>
      <c r="AD972" s="14">
        <v>94236.0</v>
      </c>
      <c r="AE972" s="14">
        <v>94236.0</v>
      </c>
      <c r="AF972" s="14"/>
      <c r="AG972" s="22"/>
      <c r="AH972" s="22"/>
      <c r="AI972" s="22"/>
      <c r="AJ972" s="22"/>
      <c r="AK972" s="22"/>
      <c r="AL972" s="22"/>
      <c r="AM972" s="22"/>
      <c r="AN972" s="22"/>
      <c r="AO972" s="22"/>
      <c r="AP972" s="22"/>
    </row>
    <row r="973" hidden="1">
      <c r="A973" s="8">
        <v>46122.0</v>
      </c>
      <c r="B973" s="9">
        <v>0.5</v>
      </c>
      <c r="C973" s="10" t="s">
        <v>32</v>
      </c>
      <c r="D973" s="10" t="s">
        <v>33</v>
      </c>
      <c r="E973" s="12" t="s">
        <v>71</v>
      </c>
      <c r="F973" s="12" t="s">
        <v>955</v>
      </c>
      <c r="G973" s="12" t="s">
        <v>3145</v>
      </c>
      <c r="H973" s="68" t="s">
        <v>3146</v>
      </c>
      <c r="I973" s="57" t="s">
        <v>3147</v>
      </c>
      <c r="J973" s="14">
        <v>5212.0</v>
      </c>
      <c r="K973" s="14">
        <v>2645.0</v>
      </c>
      <c r="L973" s="15">
        <v>0.5073</v>
      </c>
      <c r="M973" s="16">
        <v>948.0</v>
      </c>
      <c r="N973" s="17">
        <v>0.3585</v>
      </c>
      <c r="O973" s="18">
        <v>77.0</v>
      </c>
      <c r="P973" s="18">
        <v>73.0</v>
      </c>
      <c r="Q973" s="19">
        <v>0.0276</v>
      </c>
      <c r="R973" s="19">
        <v>0.077</v>
      </c>
      <c r="S973" s="20">
        <v>3.0</v>
      </c>
      <c r="T973" s="20">
        <v>1.0</v>
      </c>
      <c r="U973" s="20">
        <v>7116.0</v>
      </c>
      <c r="V973" s="21" t="s">
        <v>335</v>
      </c>
      <c r="W973" s="18" t="s">
        <v>76</v>
      </c>
      <c r="X973" s="73" t="s">
        <v>3024</v>
      </c>
      <c r="Y973" s="21" t="s">
        <v>3148</v>
      </c>
      <c r="Z973" s="20" t="s">
        <v>3149</v>
      </c>
      <c r="AA973" s="18">
        <v>11.0</v>
      </c>
      <c r="AB973" s="18">
        <v>11.0</v>
      </c>
      <c r="AC973" s="18"/>
      <c r="AD973" s="14">
        <v>13109.0</v>
      </c>
      <c r="AE973" s="14">
        <v>13109.0</v>
      </c>
      <c r="AF973" s="14"/>
      <c r="AG973" s="22"/>
      <c r="AH973" s="22"/>
      <c r="AI973" s="22"/>
      <c r="AJ973" s="22"/>
      <c r="AK973" s="22"/>
      <c r="AL973" s="22"/>
      <c r="AM973" s="22"/>
      <c r="AN973" s="22"/>
      <c r="AO973" s="22"/>
      <c r="AP973" s="22"/>
    </row>
    <row r="974" hidden="1">
      <c r="A974" s="8">
        <v>46122.0</v>
      </c>
      <c r="B974" s="9">
        <v>0.5</v>
      </c>
      <c r="C974" s="10" t="s">
        <v>32</v>
      </c>
      <c r="D974" s="10" t="s">
        <v>33</v>
      </c>
      <c r="E974" s="12" t="s">
        <v>71</v>
      </c>
      <c r="F974" s="12" t="s">
        <v>955</v>
      </c>
      <c r="G974" s="12" t="s">
        <v>3150</v>
      </c>
      <c r="H974" s="112" t="s">
        <v>3151</v>
      </c>
      <c r="I974" s="72" t="s">
        <v>3152</v>
      </c>
      <c r="J974" s="14">
        <v>143032.0</v>
      </c>
      <c r="K974" s="14">
        <v>76427.0</v>
      </c>
      <c r="L974" s="15">
        <v>0.5343</v>
      </c>
      <c r="M974" s="16">
        <v>32025.0</v>
      </c>
      <c r="N974" s="17">
        <v>0.419</v>
      </c>
      <c r="O974" s="18">
        <v>2417.0</v>
      </c>
      <c r="P974" s="18">
        <v>2282.0</v>
      </c>
      <c r="Q974" s="19">
        <v>0.0299</v>
      </c>
      <c r="R974" s="19">
        <v>0.0713</v>
      </c>
      <c r="S974" s="20">
        <v>16.0</v>
      </c>
      <c r="T974" s="20">
        <v>40.0</v>
      </c>
      <c r="U974" s="20">
        <v>34871.0</v>
      </c>
      <c r="V974" s="21" t="s">
        <v>315</v>
      </c>
      <c r="W974" s="18" t="s">
        <v>76</v>
      </c>
      <c r="X974" s="73" t="s">
        <v>47</v>
      </c>
      <c r="Y974" s="21" t="s">
        <v>3148</v>
      </c>
      <c r="Z974" s="20" t="s">
        <v>3153</v>
      </c>
      <c r="AA974" s="18">
        <v>497.0</v>
      </c>
      <c r="AB974" s="18"/>
      <c r="AC974" s="18">
        <v>497.0</v>
      </c>
      <c r="AD974" s="14">
        <v>2033694.0</v>
      </c>
      <c r="AE974" s="52"/>
      <c r="AF974" s="14">
        <v>2033694.0</v>
      </c>
      <c r="AG974" s="22"/>
      <c r="AH974" s="22"/>
      <c r="AI974" s="22"/>
      <c r="AJ974" s="22"/>
      <c r="AK974" s="22"/>
      <c r="AL974" s="22"/>
      <c r="AM974" s="22"/>
      <c r="AN974" s="22"/>
      <c r="AO974" s="22"/>
      <c r="AP974" s="22"/>
    </row>
    <row r="975" hidden="1">
      <c r="A975" s="8">
        <v>46122.0</v>
      </c>
      <c r="B975" s="9">
        <v>0.5</v>
      </c>
      <c r="C975" s="10" t="s">
        <v>32</v>
      </c>
      <c r="D975" s="10" t="s">
        <v>33</v>
      </c>
      <c r="E975" s="12" t="s">
        <v>71</v>
      </c>
      <c r="F975" s="12" t="s">
        <v>955</v>
      </c>
      <c r="G975" s="12" t="s">
        <v>3154</v>
      </c>
      <c r="H975" s="112" t="s">
        <v>3155</v>
      </c>
      <c r="I975" s="72" t="s">
        <v>3156</v>
      </c>
      <c r="J975" s="14">
        <v>31234.0</v>
      </c>
      <c r="K975" s="14">
        <v>14262.0</v>
      </c>
      <c r="L975" s="15">
        <v>0.4566</v>
      </c>
      <c r="M975" s="16">
        <v>5567.0</v>
      </c>
      <c r="N975" s="17">
        <v>0.3903</v>
      </c>
      <c r="O975" s="18">
        <v>559.0</v>
      </c>
      <c r="P975" s="18">
        <v>535.0</v>
      </c>
      <c r="Q975" s="19">
        <v>0.0375</v>
      </c>
      <c r="R975" s="19">
        <v>0.0961</v>
      </c>
      <c r="S975" s="20">
        <v>10.0</v>
      </c>
      <c r="T975" s="20">
        <v>14.0</v>
      </c>
      <c r="U975" s="20">
        <v>35277.0</v>
      </c>
      <c r="V975" s="21" t="s">
        <v>315</v>
      </c>
      <c r="W975" s="18" t="s">
        <v>76</v>
      </c>
      <c r="X975" s="73" t="s">
        <v>3157</v>
      </c>
      <c r="Y975" s="21" t="s">
        <v>3148</v>
      </c>
      <c r="Z975" s="20" t="s">
        <v>3158</v>
      </c>
      <c r="AA975" s="18">
        <v>32.0</v>
      </c>
      <c r="AB975" s="52"/>
      <c r="AC975" s="18">
        <v>32.0</v>
      </c>
      <c r="AD975" s="14">
        <v>102957.0</v>
      </c>
      <c r="AE975" s="52"/>
      <c r="AF975" s="14">
        <v>102957.0</v>
      </c>
      <c r="AG975" s="22"/>
      <c r="AH975" s="22"/>
      <c r="AI975" s="22"/>
      <c r="AJ975" s="22"/>
      <c r="AK975" s="22"/>
      <c r="AL975" s="22"/>
      <c r="AM975" s="22"/>
      <c r="AN975" s="22"/>
      <c r="AO975" s="22"/>
      <c r="AP975" s="22"/>
    </row>
    <row r="976" hidden="1">
      <c r="A976" s="8">
        <v>46122.0</v>
      </c>
      <c r="B976" s="9">
        <v>0.5416666666666666</v>
      </c>
      <c r="C976" s="10" t="s">
        <v>58</v>
      </c>
      <c r="D976" s="10" t="s">
        <v>3083</v>
      </c>
      <c r="E976" s="12" t="s">
        <v>71</v>
      </c>
      <c r="F976" s="12" t="s">
        <v>955</v>
      </c>
      <c r="G976" s="12" t="s">
        <v>3159</v>
      </c>
      <c r="H976" s="68" t="s">
        <v>3155</v>
      </c>
      <c r="I976" s="57" t="s">
        <v>61</v>
      </c>
      <c r="J976" s="14">
        <v>16132.0</v>
      </c>
      <c r="K976" s="14">
        <v>8356.0</v>
      </c>
      <c r="L976" s="15">
        <v>0.1788</v>
      </c>
      <c r="M976" s="16"/>
      <c r="N976" s="92"/>
      <c r="O976" s="18">
        <v>19.0</v>
      </c>
      <c r="P976" s="18"/>
      <c r="Q976" s="19">
        <v>0.0023</v>
      </c>
      <c r="R976" s="20"/>
      <c r="S976" s="20">
        <v>1.0</v>
      </c>
      <c r="T976" s="20">
        <v>3.0</v>
      </c>
      <c r="U976" s="20">
        <v>3374.0</v>
      </c>
      <c r="V976" s="21" t="s">
        <v>335</v>
      </c>
      <c r="W976" s="18" t="s">
        <v>62</v>
      </c>
      <c r="X976" s="66" t="s">
        <v>3024</v>
      </c>
      <c r="Y976" s="21" t="s">
        <v>3148</v>
      </c>
      <c r="Z976" s="20" t="s">
        <v>3160</v>
      </c>
      <c r="AA976" s="18">
        <v>30.0</v>
      </c>
      <c r="AB976" s="18">
        <v>30.0</v>
      </c>
      <c r="AC976" s="18"/>
      <c r="AD976" s="14">
        <v>76864.0</v>
      </c>
      <c r="AE976" s="14">
        <v>76864.0</v>
      </c>
      <c r="AF976" s="14"/>
      <c r="AG976" s="79"/>
      <c r="AH976" s="22"/>
      <c r="AI976" s="22"/>
      <c r="AJ976" s="22"/>
      <c r="AK976" s="22"/>
      <c r="AL976" s="22"/>
      <c r="AM976" s="22"/>
      <c r="AN976" s="22"/>
      <c r="AO976" s="22"/>
      <c r="AP976" s="22"/>
    </row>
    <row r="977" hidden="1">
      <c r="A977" s="8">
        <v>46122.0</v>
      </c>
      <c r="B977" s="9">
        <v>0.5416666666666666</v>
      </c>
      <c r="C977" s="10" t="s">
        <v>58</v>
      </c>
      <c r="D977" s="10" t="s">
        <v>3083</v>
      </c>
      <c r="E977" s="12" t="s">
        <v>71</v>
      </c>
      <c r="F977" s="12" t="s">
        <v>955</v>
      </c>
      <c r="G977" s="12" t="s">
        <v>3161</v>
      </c>
      <c r="H977" s="112" t="s">
        <v>3151</v>
      </c>
      <c r="I977" s="72" t="s">
        <v>61</v>
      </c>
      <c r="J977" s="14">
        <v>63752.0</v>
      </c>
      <c r="K977" s="14">
        <v>36954.0</v>
      </c>
      <c r="L977" s="15">
        <v>0.5797</v>
      </c>
      <c r="M977" s="16"/>
      <c r="N977" s="92"/>
      <c r="O977" s="18">
        <v>32.0</v>
      </c>
      <c r="P977" s="18"/>
      <c r="Q977" s="19">
        <v>9.0E-4</v>
      </c>
      <c r="R977" s="20"/>
      <c r="S977" s="20">
        <v>3.0</v>
      </c>
      <c r="T977" s="20">
        <v>8.0</v>
      </c>
      <c r="U977" s="20">
        <v>6845.0</v>
      </c>
      <c r="V977" s="21" t="s">
        <v>315</v>
      </c>
      <c r="W977" s="18" t="s">
        <v>62</v>
      </c>
      <c r="X977" s="73" t="s">
        <v>47</v>
      </c>
      <c r="Y977" s="21" t="s">
        <v>3148</v>
      </c>
      <c r="Z977" s="20" t="s">
        <v>3162</v>
      </c>
      <c r="AA977" s="18">
        <v>213.0</v>
      </c>
      <c r="AB977" s="52"/>
      <c r="AC977" s="18">
        <v>213.0</v>
      </c>
      <c r="AD977" s="14">
        <v>945503.0</v>
      </c>
      <c r="AE977" s="52"/>
      <c r="AF977" s="14">
        <v>945503.0</v>
      </c>
      <c r="AG977" s="22"/>
      <c r="AH977" s="22"/>
      <c r="AI977" s="22"/>
      <c r="AJ977" s="22"/>
      <c r="AK977" s="22"/>
      <c r="AL977" s="22"/>
      <c r="AM977" s="22"/>
      <c r="AN977" s="22"/>
      <c r="AO977" s="22"/>
      <c r="AP977" s="22"/>
    </row>
    <row r="978" hidden="1">
      <c r="A978" s="8">
        <v>46122.0</v>
      </c>
      <c r="B978" s="9">
        <v>0.5416666666666666</v>
      </c>
      <c r="C978" s="10" t="s">
        <v>58</v>
      </c>
      <c r="D978" s="10" t="s">
        <v>3083</v>
      </c>
      <c r="E978" s="12" t="s">
        <v>71</v>
      </c>
      <c r="F978" s="12" t="s">
        <v>955</v>
      </c>
      <c r="G978" s="12" t="s">
        <v>3163</v>
      </c>
      <c r="H978" s="68" t="s">
        <v>3146</v>
      </c>
      <c r="I978" s="57" t="s">
        <v>61</v>
      </c>
      <c r="J978" s="14">
        <v>2419.0</v>
      </c>
      <c r="K978" s="14">
        <v>1451.0</v>
      </c>
      <c r="L978" s="15">
        <v>0.5998</v>
      </c>
      <c r="M978" s="16"/>
      <c r="N978" s="92"/>
      <c r="O978" s="18">
        <v>3.0</v>
      </c>
      <c r="P978" s="18"/>
      <c r="Q978" s="19">
        <v>0.0021</v>
      </c>
      <c r="R978" s="20"/>
      <c r="S978" s="20">
        <v>0.0</v>
      </c>
      <c r="T978" s="20">
        <v>0.0</v>
      </c>
      <c r="U978" s="20">
        <v>0.0</v>
      </c>
      <c r="V978" s="21" t="s">
        <v>335</v>
      </c>
      <c r="W978" s="18" t="s">
        <v>62</v>
      </c>
      <c r="X978" s="73" t="s">
        <v>3157</v>
      </c>
      <c r="Y978" s="21" t="s">
        <v>3148</v>
      </c>
      <c r="Z978" s="20" t="s">
        <v>3164</v>
      </c>
      <c r="AA978" s="18">
        <v>3.0</v>
      </c>
      <c r="AB978" s="18">
        <v>3.0</v>
      </c>
      <c r="AC978" s="18"/>
      <c r="AD978" s="14">
        <v>7996.0</v>
      </c>
      <c r="AE978" s="14">
        <v>7996.0</v>
      </c>
      <c r="AF978" s="14"/>
      <c r="AG978" s="22"/>
      <c r="AH978" s="22"/>
      <c r="AI978" s="22"/>
      <c r="AJ978" s="22"/>
      <c r="AK978" s="22"/>
      <c r="AL978" s="22"/>
      <c r="AM978" s="22"/>
      <c r="AN978" s="22"/>
      <c r="AO978" s="22"/>
      <c r="AP978" s="22"/>
    </row>
    <row r="979" hidden="1">
      <c r="A979" s="8">
        <v>46122.0</v>
      </c>
      <c r="B979" s="9">
        <v>0.375</v>
      </c>
      <c r="C979" s="10" t="s">
        <v>32</v>
      </c>
      <c r="D979" s="10" t="s">
        <v>3165</v>
      </c>
      <c r="E979" s="12" t="s">
        <v>133</v>
      </c>
      <c r="F979" s="12" t="s">
        <v>3166</v>
      </c>
      <c r="G979" s="12" t="s">
        <v>3167</v>
      </c>
      <c r="H979" s="68" t="s">
        <v>3168</v>
      </c>
      <c r="I979" s="57" t="s">
        <v>137</v>
      </c>
      <c r="J979" s="14">
        <v>15703.0</v>
      </c>
      <c r="K979" s="14">
        <v>10428.0</v>
      </c>
      <c r="L979" s="15">
        <v>0.6637</v>
      </c>
      <c r="M979" s="16">
        <v>5675.0</v>
      </c>
      <c r="N979" s="17">
        <v>0.5445</v>
      </c>
      <c r="O979" s="18">
        <v>372.0</v>
      </c>
      <c r="P979" s="18">
        <v>348.0</v>
      </c>
      <c r="Q979" s="19">
        <v>0.0334</v>
      </c>
      <c r="R979" s="19">
        <v>0.0613</v>
      </c>
      <c r="S979" s="20">
        <v>0.0</v>
      </c>
      <c r="T979" s="20">
        <v>0.0</v>
      </c>
      <c r="U979" s="20">
        <v>0.0</v>
      </c>
      <c r="V979" s="21" t="s">
        <v>315</v>
      </c>
      <c r="W979" s="18" t="s">
        <v>76</v>
      </c>
      <c r="X979" s="66" t="s">
        <v>1101</v>
      </c>
      <c r="Y979" s="21" t="s">
        <v>3148</v>
      </c>
      <c r="Z979" s="20" t="s">
        <v>3169</v>
      </c>
      <c r="AA979" s="18">
        <v>1.0</v>
      </c>
      <c r="AB979" s="18"/>
      <c r="AC979" s="18">
        <v>1.0</v>
      </c>
      <c r="AD979" s="14">
        <v>8994.0</v>
      </c>
      <c r="AE979" s="18"/>
      <c r="AF979" s="14">
        <v>8994.0</v>
      </c>
      <c r="AG979" s="22"/>
      <c r="AH979" s="22"/>
      <c r="AI979" s="22"/>
      <c r="AJ979" s="22"/>
      <c r="AK979" s="22"/>
      <c r="AL979" s="22"/>
      <c r="AM979" s="22"/>
      <c r="AN979" s="22"/>
      <c r="AO979" s="22"/>
      <c r="AP979" s="22"/>
    </row>
    <row r="980" hidden="1">
      <c r="A980" s="8">
        <v>46122.0</v>
      </c>
      <c r="B980" s="9">
        <v>0.625</v>
      </c>
      <c r="C980" s="10" t="s">
        <v>32</v>
      </c>
      <c r="D980" s="10" t="s">
        <v>33</v>
      </c>
      <c r="E980" s="12" t="s">
        <v>217</v>
      </c>
      <c r="F980" s="12" t="s">
        <v>3170</v>
      </c>
      <c r="G980" s="12" t="s">
        <v>3171</v>
      </c>
      <c r="H980" s="68" t="s">
        <v>3172</v>
      </c>
      <c r="I980" s="57" t="s">
        <v>3173</v>
      </c>
      <c r="J980" s="14">
        <v>138036.0</v>
      </c>
      <c r="K980" s="14">
        <v>87838.0</v>
      </c>
      <c r="L980" s="15">
        <v>0.6363</v>
      </c>
      <c r="M980" s="16">
        <v>42244.0</v>
      </c>
      <c r="N980" s="17">
        <v>0.4807</v>
      </c>
      <c r="O980" s="18">
        <v>1475.0</v>
      </c>
      <c r="P980" s="18">
        <v>1408.0</v>
      </c>
      <c r="Q980" s="19">
        <v>0.016</v>
      </c>
      <c r="R980" s="19">
        <v>0.0333</v>
      </c>
      <c r="S980" s="20">
        <v>0.0</v>
      </c>
      <c r="T980" s="20">
        <v>0.0</v>
      </c>
      <c r="U980" s="20">
        <v>0.0</v>
      </c>
      <c r="V980" s="21" t="s">
        <v>315</v>
      </c>
      <c r="W980" s="18" t="s">
        <v>76</v>
      </c>
      <c r="X980" s="66" t="s">
        <v>3174</v>
      </c>
      <c r="Y980" s="21" t="s">
        <v>3175</v>
      </c>
      <c r="Z980" s="20" t="s">
        <v>3176</v>
      </c>
      <c r="AA980" s="18">
        <v>329.0</v>
      </c>
      <c r="AB980" s="52"/>
      <c r="AC980" s="18">
        <v>329.0</v>
      </c>
      <c r="AD980" s="14">
        <v>597462.0</v>
      </c>
      <c r="AE980" s="52"/>
      <c r="AF980" s="14">
        <v>597462.0</v>
      </c>
      <c r="AG980" s="22"/>
      <c r="AH980" s="22"/>
      <c r="AI980" s="22"/>
      <c r="AJ980" s="22"/>
      <c r="AK980" s="22"/>
      <c r="AL980" s="22"/>
      <c r="AM980" s="22"/>
      <c r="AN980" s="22"/>
      <c r="AO980" s="22"/>
      <c r="AP980" s="22"/>
    </row>
    <row r="981" hidden="1">
      <c r="A981" s="8">
        <v>46122.0</v>
      </c>
      <c r="B981" s="9">
        <v>0.625</v>
      </c>
      <c r="C981" s="10" t="s">
        <v>32</v>
      </c>
      <c r="D981" s="10" t="s">
        <v>33</v>
      </c>
      <c r="E981" s="12" t="s">
        <v>217</v>
      </c>
      <c r="F981" s="12" t="s">
        <v>3170</v>
      </c>
      <c r="G981" s="12" t="s">
        <v>3177</v>
      </c>
      <c r="H981" s="68" t="s">
        <v>3178</v>
      </c>
      <c r="I981" s="57" t="s">
        <v>3179</v>
      </c>
      <c r="J981" s="14">
        <v>77267.0</v>
      </c>
      <c r="K981" s="14">
        <v>51833.0</v>
      </c>
      <c r="L981" s="15">
        <v>0.6707</v>
      </c>
      <c r="M981" s="16">
        <v>24701.0</v>
      </c>
      <c r="N981" s="17">
        <v>0.4765</v>
      </c>
      <c r="O981" s="18">
        <v>1276.0</v>
      </c>
      <c r="P981" s="18">
        <v>1229.0</v>
      </c>
      <c r="Q981" s="19">
        <v>0.0237</v>
      </c>
      <c r="R981" s="19">
        <v>0.0498</v>
      </c>
      <c r="S981" s="20">
        <v>0.0</v>
      </c>
      <c r="T981" s="20">
        <v>0.0</v>
      </c>
      <c r="U981" s="20">
        <v>0.0</v>
      </c>
      <c r="V981" s="21" t="s">
        <v>315</v>
      </c>
      <c r="W981" s="18" t="s">
        <v>76</v>
      </c>
      <c r="X981" s="66" t="s">
        <v>3174</v>
      </c>
      <c r="Y981" s="21" t="s">
        <v>3175</v>
      </c>
      <c r="Z981" s="20" t="s">
        <v>3180</v>
      </c>
      <c r="AA981" s="18">
        <v>216.0</v>
      </c>
      <c r="AB981" s="52"/>
      <c r="AC981" s="14">
        <v>216.0</v>
      </c>
      <c r="AD981" s="14">
        <v>365875.0</v>
      </c>
      <c r="AE981" s="14"/>
      <c r="AF981" s="14">
        <v>365875.0</v>
      </c>
      <c r="AG981" s="22"/>
      <c r="AH981" s="22"/>
      <c r="AI981" s="22"/>
      <c r="AJ981" s="22"/>
      <c r="AK981" s="22"/>
      <c r="AL981" s="22"/>
      <c r="AM981" s="22"/>
      <c r="AN981" s="22"/>
      <c r="AO981" s="22"/>
      <c r="AP981" s="22"/>
    </row>
    <row r="982" hidden="1">
      <c r="A982" s="8">
        <v>46122.0</v>
      </c>
      <c r="B982" s="9">
        <v>0.625</v>
      </c>
      <c r="C982" s="10" t="s">
        <v>32</v>
      </c>
      <c r="D982" s="10" t="s">
        <v>33</v>
      </c>
      <c r="E982" s="12" t="s">
        <v>217</v>
      </c>
      <c r="F982" s="12" t="s">
        <v>3170</v>
      </c>
      <c r="G982" s="12" t="s">
        <v>3181</v>
      </c>
      <c r="H982" s="68" t="s">
        <v>3182</v>
      </c>
      <c r="I982" s="57" t="s">
        <v>3183</v>
      </c>
      <c r="J982" s="14">
        <v>61235.0</v>
      </c>
      <c r="K982" s="14">
        <v>37366.0</v>
      </c>
      <c r="L982" s="15">
        <v>0.6101</v>
      </c>
      <c r="M982" s="16">
        <v>19121.0</v>
      </c>
      <c r="N982" s="17">
        <v>0.5116</v>
      </c>
      <c r="O982" s="18">
        <v>937.0</v>
      </c>
      <c r="P982" s="18">
        <v>902.0</v>
      </c>
      <c r="Q982" s="19">
        <v>0.0241</v>
      </c>
      <c r="R982" s="19">
        <v>0.0472</v>
      </c>
      <c r="S982" s="20">
        <v>0.0</v>
      </c>
      <c r="T982" s="20">
        <v>0.0</v>
      </c>
      <c r="U982" s="20">
        <v>0.0</v>
      </c>
      <c r="V982" s="21" t="s">
        <v>315</v>
      </c>
      <c r="W982" s="18" t="s">
        <v>76</v>
      </c>
      <c r="X982" s="66" t="s">
        <v>3174</v>
      </c>
      <c r="Y982" s="21" t="s">
        <v>3175</v>
      </c>
      <c r="Z982" s="20" t="s">
        <v>3184</v>
      </c>
      <c r="AA982" s="18">
        <v>209.0</v>
      </c>
      <c r="AB982" s="52"/>
      <c r="AC982" s="18">
        <v>209.0</v>
      </c>
      <c r="AD982" s="14">
        <v>427849.0</v>
      </c>
      <c r="AE982" s="52"/>
      <c r="AF982" s="14">
        <v>427849.0</v>
      </c>
      <c r="AG982" s="22"/>
      <c r="AH982" s="22"/>
      <c r="AI982" s="22"/>
      <c r="AJ982" s="22"/>
      <c r="AK982" s="22"/>
      <c r="AL982" s="22"/>
      <c r="AM982" s="22"/>
      <c r="AN982" s="22"/>
      <c r="AO982" s="22"/>
      <c r="AP982" s="22"/>
    </row>
    <row r="983" hidden="1">
      <c r="A983" s="8">
        <v>46122.0</v>
      </c>
      <c r="B983" s="9">
        <v>0.625</v>
      </c>
      <c r="C983" s="10" t="s">
        <v>32</v>
      </c>
      <c r="D983" s="10" t="s">
        <v>33</v>
      </c>
      <c r="E983" s="12" t="s">
        <v>217</v>
      </c>
      <c r="F983" s="12" t="s">
        <v>3185</v>
      </c>
      <c r="G983" s="12" t="s">
        <v>3186</v>
      </c>
      <c r="H983" s="68" t="s">
        <v>3187</v>
      </c>
      <c r="I983" s="57" t="s">
        <v>3188</v>
      </c>
      <c r="J983" s="14">
        <v>40592.0</v>
      </c>
      <c r="K983" s="14">
        <v>23098.0</v>
      </c>
      <c r="L983" s="15">
        <v>0.569</v>
      </c>
      <c r="M983" s="16">
        <v>13489.0</v>
      </c>
      <c r="N983" s="17">
        <v>0.5837</v>
      </c>
      <c r="O983" s="18">
        <v>768.0</v>
      </c>
      <c r="P983" s="18">
        <v>733.0</v>
      </c>
      <c r="Q983" s="19">
        <v>0.0317</v>
      </c>
      <c r="R983" s="19">
        <v>0.0544</v>
      </c>
      <c r="S983" s="20">
        <v>0.0</v>
      </c>
      <c r="T983" s="20">
        <v>0.0</v>
      </c>
      <c r="U983" s="20">
        <v>0.0</v>
      </c>
      <c r="V983" s="21" t="s">
        <v>315</v>
      </c>
      <c r="W983" s="18" t="s">
        <v>76</v>
      </c>
      <c r="X983" s="66" t="s">
        <v>3174</v>
      </c>
      <c r="Y983" s="21" t="s">
        <v>3175</v>
      </c>
      <c r="Z983" s="20" t="s">
        <v>3189</v>
      </c>
      <c r="AA983" s="18">
        <v>135.0</v>
      </c>
      <c r="AB983" s="52"/>
      <c r="AC983" s="18">
        <v>135.0</v>
      </c>
      <c r="AD983" s="14">
        <v>348373.0</v>
      </c>
      <c r="AE983" s="52"/>
      <c r="AF983" s="14">
        <v>348373.0</v>
      </c>
      <c r="AG983" s="22"/>
      <c r="AH983" s="22"/>
      <c r="AI983" s="22"/>
      <c r="AJ983" s="22"/>
      <c r="AK983" s="22"/>
      <c r="AL983" s="22"/>
      <c r="AM983" s="22"/>
      <c r="AN983" s="22"/>
      <c r="AO983" s="22"/>
      <c r="AP983" s="22"/>
    </row>
    <row r="984" hidden="1">
      <c r="A984" s="8">
        <v>46122.0</v>
      </c>
      <c r="B984" s="9">
        <v>0.625</v>
      </c>
      <c r="C984" s="10" t="s">
        <v>32</v>
      </c>
      <c r="D984" s="10" t="s">
        <v>33</v>
      </c>
      <c r="E984" s="12" t="s">
        <v>217</v>
      </c>
      <c r="F984" s="12" t="s">
        <v>3170</v>
      </c>
      <c r="G984" s="12" t="s">
        <v>3190</v>
      </c>
      <c r="H984" s="68" t="s">
        <v>3191</v>
      </c>
      <c r="I984" s="57" t="s">
        <v>3192</v>
      </c>
      <c r="J984" s="14">
        <v>661.0</v>
      </c>
      <c r="K984" s="14">
        <v>498.0</v>
      </c>
      <c r="L984" s="15">
        <v>0.7534</v>
      </c>
      <c r="M984" s="16">
        <v>280.0</v>
      </c>
      <c r="N984" s="17">
        <v>0.5622</v>
      </c>
      <c r="O984" s="18">
        <v>35.0</v>
      </c>
      <c r="P984" s="18">
        <v>35.0</v>
      </c>
      <c r="Q984" s="19">
        <v>0.0703</v>
      </c>
      <c r="R984" s="19">
        <v>0.125</v>
      </c>
      <c r="S984" s="20">
        <v>0.0</v>
      </c>
      <c r="T984" s="20">
        <v>0.0</v>
      </c>
      <c r="U984" s="20">
        <v>0.0</v>
      </c>
      <c r="V984" s="21" t="s">
        <v>315</v>
      </c>
      <c r="W984" s="18" t="s">
        <v>76</v>
      </c>
      <c r="X984" s="66" t="s">
        <v>3174</v>
      </c>
      <c r="Y984" s="21" t="s">
        <v>3175</v>
      </c>
      <c r="Z984" s="20" t="s">
        <v>3193</v>
      </c>
      <c r="AA984" s="18">
        <v>4.0</v>
      </c>
      <c r="AB984" s="52"/>
      <c r="AC984" s="18">
        <v>4.0</v>
      </c>
      <c r="AD984" s="14">
        <v>9151.0</v>
      </c>
      <c r="AE984" s="52"/>
      <c r="AF984" s="14">
        <v>9151.0</v>
      </c>
      <c r="AG984" s="22"/>
      <c r="AH984" s="22"/>
      <c r="AI984" s="22"/>
      <c r="AJ984" s="22"/>
      <c r="AK984" s="22"/>
      <c r="AL984" s="22"/>
      <c r="AM984" s="22"/>
      <c r="AN984" s="22"/>
      <c r="AO984" s="22"/>
      <c r="AP984" s="22"/>
    </row>
    <row r="985" hidden="1">
      <c r="A985" s="8">
        <v>46122.0</v>
      </c>
      <c r="B985" s="9">
        <v>0.7083333333333334</v>
      </c>
      <c r="C985" s="10" t="s">
        <v>58</v>
      </c>
      <c r="D985" s="10" t="s">
        <v>3083</v>
      </c>
      <c r="E985" s="12" t="s">
        <v>217</v>
      </c>
      <c r="F985" s="12" t="s">
        <v>3170</v>
      </c>
      <c r="G985" s="12" t="s">
        <v>3194</v>
      </c>
      <c r="H985" s="68" t="s">
        <v>3195</v>
      </c>
      <c r="I985" s="57" t="s">
        <v>61</v>
      </c>
      <c r="J985" s="14">
        <v>91508.0</v>
      </c>
      <c r="K985" s="14">
        <v>59739.0</v>
      </c>
      <c r="L985" s="15">
        <v>0.6528</v>
      </c>
      <c r="M985" s="16"/>
      <c r="N985" s="92"/>
      <c r="O985" s="18">
        <v>29.0</v>
      </c>
      <c r="P985" s="18"/>
      <c r="Q985" s="19">
        <v>5.0E-4</v>
      </c>
      <c r="R985" s="20"/>
      <c r="S985" s="20">
        <v>0.0</v>
      </c>
      <c r="T985" s="20">
        <v>0.0</v>
      </c>
      <c r="U985" s="20">
        <v>0.0</v>
      </c>
      <c r="V985" s="21" t="s">
        <v>315</v>
      </c>
      <c r="W985" s="18" t="s">
        <v>62</v>
      </c>
      <c r="X985" s="66" t="s">
        <v>3174</v>
      </c>
      <c r="Y985" s="21" t="s">
        <v>3175</v>
      </c>
      <c r="Z985" s="20" t="s">
        <v>3196</v>
      </c>
      <c r="AA985" s="18">
        <v>259.0</v>
      </c>
      <c r="AB985" s="14"/>
      <c r="AC985" s="18">
        <v>259.0</v>
      </c>
      <c r="AD985" s="14">
        <v>482688.0</v>
      </c>
      <c r="AE985" s="52"/>
      <c r="AF985" s="14">
        <v>482688.0</v>
      </c>
      <c r="AG985" s="22"/>
      <c r="AH985" s="22"/>
      <c r="AI985" s="22"/>
      <c r="AJ985" s="22"/>
      <c r="AK985" s="22"/>
      <c r="AL985" s="22"/>
      <c r="AM985" s="22"/>
      <c r="AN985" s="22"/>
      <c r="AO985" s="22"/>
      <c r="AP985" s="22"/>
    </row>
    <row r="986" hidden="1">
      <c r="A986" s="8">
        <v>46122.0</v>
      </c>
      <c r="B986" s="9">
        <v>0.7083333333333334</v>
      </c>
      <c r="C986" s="10" t="s">
        <v>58</v>
      </c>
      <c r="D986" s="10" t="s">
        <v>3083</v>
      </c>
      <c r="E986" s="12" t="s">
        <v>217</v>
      </c>
      <c r="F986" s="12" t="s">
        <v>3185</v>
      </c>
      <c r="G986" s="12" t="s">
        <v>3197</v>
      </c>
      <c r="H986" s="68" t="s">
        <v>3187</v>
      </c>
      <c r="I986" s="57" t="s">
        <v>61</v>
      </c>
      <c r="J986" s="14">
        <v>16851.0</v>
      </c>
      <c r="K986" s="14">
        <v>11318.0</v>
      </c>
      <c r="L986" s="15">
        <v>0.6717</v>
      </c>
      <c r="M986" s="16"/>
      <c r="N986" s="92"/>
      <c r="O986" s="18">
        <v>25.0</v>
      </c>
      <c r="P986" s="18"/>
      <c r="Q986" s="19">
        <v>0.0022</v>
      </c>
      <c r="R986" s="20"/>
      <c r="S986" s="20">
        <v>0.0</v>
      </c>
      <c r="T986" s="20">
        <v>0.0</v>
      </c>
      <c r="U986" s="20">
        <v>0.0</v>
      </c>
      <c r="V986" s="21" t="s">
        <v>315</v>
      </c>
      <c r="W986" s="18" t="s">
        <v>62</v>
      </c>
      <c r="X986" s="66" t="s">
        <v>3174</v>
      </c>
      <c r="Y986" s="21" t="s">
        <v>3175</v>
      </c>
      <c r="Z986" s="20" t="s">
        <v>3198</v>
      </c>
      <c r="AA986" s="18">
        <v>88.0</v>
      </c>
      <c r="AB986" s="14"/>
      <c r="AC986" s="18">
        <v>88.0</v>
      </c>
      <c r="AD986" s="14">
        <v>256066.0</v>
      </c>
      <c r="AE986" s="52"/>
      <c r="AF986" s="14">
        <v>256066.0</v>
      </c>
      <c r="AG986" s="22"/>
      <c r="AH986" s="22"/>
      <c r="AI986" s="22"/>
      <c r="AJ986" s="22"/>
      <c r="AK986" s="22"/>
      <c r="AL986" s="22"/>
      <c r="AM986" s="22"/>
      <c r="AN986" s="22"/>
      <c r="AO986" s="22"/>
      <c r="AP986" s="22"/>
    </row>
    <row r="987" hidden="1">
      <c r="A987" s="8">
        <v>46122.0</v>
      </c>
      <c r="B987" s="9">
        <v>0.4791666666666667</v>
      </c>
      <c r="C987" s="10" t="s">
        <v>58</v>
      </c>
      <c r="D987" s="10" t="s">
        <v>3083</v>
      </c>
      <c r="E987" s="12" t="s">
        <v>133</v>
      </c>
      <c r="F987" s="12" t="s">
        <v>3166</v>
      </c>
      <c r="G987" s="12" t="s">
        <v>3199</v>
      </c>
      <c r="H987" s="68" t="s">
        <v>3168</v>
      </c>
      <c r="I987" s="57" t="s">
        <v>61</v>
      </c>
      <c r="J987" s="14">
        <v>5135.0</v>
      </c>
      <c r="K987" s="14">
        <v>2945.0</v>
      </c>
      <c r="L987" s="15">
        <v>0.5735</v>
      </c>
      <c r="M987" s="16"/>
      <c r="N987" s="92"/>
      <c r="O987" s="18">
        <v>0.0</v>
      </c>
      <c r="P987" s="18"/>
      <c r="Q987" s="119">
        <v>0.0</v>
      </c>
      <c r="R987" s="20"/>
      <c r="S987" s="20">
        <v>0.0</v>
      </c>
      <c r="T987" s="20">
        <v>0.0</v>
      </c>
      <c r="U987" s="20">
        <v>0.0</v>
      </c>
      <c r="V987" s="21" t="s">
        <v>315</v>
      </c>
      <c r="W987" s="18" t="s">
        <v>62</v>
      </c>
      <c r="X987" s="66" t="s">
        <v>1101</v>
      </c>
      <c r="Y987" s="21" t="s">
        <v>3148</v>
      </c>
      <c r="Z987" s="20" t="s">
        <v>3200</v>
      </c>
      <c r="AA987" s="18">
        <v>1.0</v>
      </c>
      <c r="AB987" s="18"/>
      <c r="AC987" s="18">
        <v>1.0</v>
      </c>
      <c r="AD987" s="14">
        <v>6642.0</v>
      </c>
      <c r="AE987" s="18"/>
      <c r="AF987" s="14">
        <v>6642.0</v>
      </c>
      <c r="AG987" s="22"/>
      <c r="AH987" s="22"/>
      <c r="AI987" s="22"/>
      <c r="AJ987" s="22"/>
      <c r="AK987" s="22"/>
      <c r="AL987" s="22"/>
      <c r="AM987" s="22"/>
      <c r="AN987" s="22"/>
      <c r="AO987" s="22"/>
      <c r="AP987" s="22"/>
    </row>
    <row r="988" hidden="1">
      <c r="A988" s="8">
        <v>46123.0</v>
      </c>
      <c r="B988" s="23">
        <v>0.3541666666666667</v>
      </c>
      <c r="C988" s="10" t="s">
        <v>32</v>
      </c>
      <c r="D988" s="10" t="s">
        <v>33</v>
      </c>
      <c r="E988" s="12" t="s">
        <v>179</v>
      </c>
      <c r="F988" s="12" t="s">
        <v>3009</v>
      </c>
      <c r="G988" s="12" t="s">
        <v>3201</v>
      </c>
      <c r="H988" s="112" t="s">
        <v>3202</v>
      </c>
      <c r="I988" s="72" t="s">
        <v>3203</v>
      </c>
      <c r="J988" s="14">
        <v>40322.0</v>
      </c>
      <c r="K988" s="14">
        <v>18139.0</v>
      </c>
      <c r="L988" s="15">
        <v>0.4498</v>
      </c>
      <c r="M988" s="16">
        <v>3917.0</v>
      </c>
      <c r="N988" s="17">
        <v>0.216</v>
      </c>
      <c r="O988" s="18">
        <v>172.0</v>
      </c>
      <c r="P988" s="18">
        <v>165.0</v>
      </c>
      <c r="Q988" s="19">
        <v>0.0091</v>
      </c>
      <c r="R988" s="19">
        <v>0.0421</v>
      </c>
      <c r="S988" s="20">
        <v>3.0</v>
      </c>
      <c r="T988" s="20">
        <v>10.0</v>
      </c>
      <c r="U988" s="20">
        <v>40582.0</v>
      </c>
      <c r="V988" s="21" t="s">
        <v>183</v>
      </c>
      <c r="W988" s="18" t="s">
        <v>76</v>
      </c>
      <c r="X988" s="73" t="s">
        <v>1726</v>
      </c>
      <c r="Y988" s="21" t="s">
        <v>3204</v>
      </c>
      <c r="Z988" s="20" t="s">
        <v>3205</v>
      </c>
      <c r="AA988" s="18">
        <v>48.0</v>
      </c>
      <c r="AB988" s="18">
        <v>15.0</v>
      </c>
      <c r="AC988" s="18">
        <v>33.0</v>
      </c>
      <c r="AD988" s="14">
        <v>604818.0</v>
      </c>
      <c r="AE988" s="14">
        <v>130562.0</v>
      </c>
      <c r="AF988" s="14">
        <v>474256.0</v>
      </c>
      <c r="AG988" s="22"/>
      <c r="AH988" s="22"/>
      <c r="AI988" s="22"/>
      <c r="AJ988" s="22"/>
      <c r="AK988" s="22"/>
      <c r="AL988" s="22"/>
      <c r="AM988" s="22"/>
      <c r="AN988" s="22"/>
      <c r="AO988" s="22"/>
      <c r="AP988" s="22"/>
    </row>
    <row r="989" hidden="1">
      <c r="A989" s="8">
        <v>46123.0</v>
      </c>
      <c r="B989" s="9">
        <v>0.5416666666666666</v>
      </c>
      <c r="C989" s="10" t="s">
        <v>32</v>
      </c>
      <c r="D989" s="10" t="s">
        <v>33</v>
      </c>
      <c r="E989" s="12" t="s">
        <v>106</v>
      </c>
      <c r="F989" s="12" t="s">
        <v>3206</v>
      </c>
      <c r="G989" s="12" t="s">
        <v>3207</v>
      </c>
      <c r="H989" s="68" t="s">
        <v>3208</v>
      </c>
      <c r="I989" s="57" t="s">
        <v>3209</v>
      </c>
      <c r="J989" s="14">
        <v>94349.0</v>
      </c>
      <c r="K989" s="14">
        <v>31072.0</v>
      </c>
      <c r="L989" s="15">
        <v>0.3293</v>
      </c>
      <c r="M989" s="16">
        <v>9891.0</v>
      </c>
      <c r="N989" s="17">
        <v>0.3183</v>
      </c>
      <c r="O989" s="18">
        <v>593.0</v>
      </c>
      <c r="P989" s="18">
        <v>556.0</v>
      </c>
      <c r="Q989" s="19">
        <v>0.0179</v>
      </c>
      <c r="R989" s="19">
        <v>0.0562</v>
      </c>
      <c r="S989" s="20">
        <v>0.0</v>
      </c>
      <c r="T989" s="20">
        <v>0.0</v>
      </c>
      <c r="U989" s="20">
        <v>0.0</v>
      </c>
      <c r="V989" s="21" t="s">
        <v>335</v>
      </c>
      <c r="W989" s="18" t="s">
        <v>76</v>
      </c>
      <c r="X989" s="66" t="s">
        <v>1101</v>
      </c>
      <c r="Y989" s="21" t="s">
        <v>3210</v>
      </c>
      <c r="Z989" s="20" t="s">
        <v>3211</v>
      </c>
      <c r="AA989" s="18">
        <v>0.0</v>
      </c>
      <c r="AB989" s="18">
        <v>0.0</v>
      </c>
      <c r="AC989" s="18"/>
      <c r="AD989" s="14">
        <v>0.0</v>
      </c>
      <c r="AE989" s="18">
        <v>0.0</v>
      </c>
      <c r="AF989" s="14"/>
      <c r="AG989" s="22"/>
      <c r="AH989" s="22"/>
      <c r="AI989" s="22"/>
      <c r="AJ989" s="22"/>
      <c r="AK989" s="22"/>
      <c r="AL989" s="22"/>
      <c r="AM989" s="22"/>
      <c r="AN989" s="22"/>
      <c r="AO989" s="22"/>
      <c r="AP989" s="22"/>
    </row>
    <row r="990" hidden="1">
      <c r="A990" s="8">
        <v>46123.0</v>
      </c>
      <c r="B990" s="9">
        <v>0.6666666666666666</v>
      </c>
      <c r="C990" s="10" t="s">
        <v>58</v>
      </c>
      <c r="D990" s="10" t="s">
        <v>3083</v>
      </c>
      <c r="E990" s="12" t="s">
        <v>106</v>
      </c>
      <c r="F990" s="12" t="s">
        <v>3206</v>
      </c>
      <c r="G990" s="12" t="s">
        <v>3212</v>
      </c>
      <c r="H990" s="68" t="s">
        <v>3208</v>
      </c>
      <c r="I990" s="57" t="s">
        <v>61</v>
      </c>
      <c r="J990" s="14">
        <v>61972.0</v>
      </c>
      <c r="K990" s="14">
        <v>35765.0</v>
      </c>
      <c r="L990" s="15">
        <v>0.5771</v>
      </c>
      <c r="M990" s="16"/>
      <c r="N990" s="92"/>
      <c r="O990" s="18">
        <v>0.0</v>
      </c>
      <c r="P990" s="18"/>
      <c r="Q990" s="119">
        <v>0.0</v>
      </c>
      <c r="R990" s="20"/>
      <c r="S990" s="20">
        <v>0.0</v>
      </c>
      <c r="T990" s="20">
        <v>0.0</v>
      </c>
      <c r="U990" s="20">
        <v>0.0</v>
      </c>
      <c r="V990" s="21" t="s">
        <v>335</v>
      </c>
      <c r="W990" s="18" t="s">
        <v>62</v>
      </c>
      <c r="X990" s="66" t="s">
        <v>1101</v>
      </c>
      <c r="Y990" s="21" t="s">
        <v>3210</v>
      </c>
      <c r="Z990" s="20" t="s">
        <v>3213</v>
      </c>
      <c r="AA990" s="18">
        <v>0.0</v>
      </c>
      <c r="AB990" s="18">
        <v>0.0</v>
      </c>
      <c r="AC990" s="18"/>
      <c r="AD990" s="14">
        <v>0.0</v>
      </c>
      <c r="AE990" s="18">
        <v>0.0</v>
      </c>
      <c r="AF990" s="14"/>
      <c r="AG990" s="22"/>
      <c r="AH990" s="22"/>
      <c r="AI990" s="22"/>
      <c r="AJ990" s="22"/>
      <c r="AK990" s="22"/>
      <c r="AL990" s="22"/>
      <c r="AM990" s="22"/>
      <c r="AN990" s="22"/>
      <c r="AO990" s="22"/>
      <c r="AP990" s="22"/>
    </row>
    <row r="991" hidden="1">
      <c r="A991" s="8">
        <v>46124.0</v>
      </c>
      <c r="B991" s="9">
        <v>0.75</v>
      </c>
      <c r="C991" s="10" t="s">
        <v>32</v>
      </c>
      <c r="D991" s="10" t="s">
        <v>33</v>
      </c>
      <c r="E991" s="12" t="s">
        <v>71</v>
      </c>
      <c r="F991" s="12" t="s">
        <v>955</v>
      </c>
      <c r="G991" s="12" t="s">
        <v>3214</v>
      </c>
      <c r="H991" s="112" t="s">
        <v>3112</v>
      </c>
      <c r="I991" s="72" t="s">
        <v>3113</v>
      </c>
      <c r="J991" s="14">
        <v>879.0</v>
      </c>
      <c r="K991" s="14">
        <v>357.0</v>
      </c>
      <c r="L991" s="15">
        <v>0.4061</v>
      </c>
      <c r="M991" s="16">
        <v>148.0</v>
      </c>
      <c r="N991" s="17">
        <v>0.4146</v>
      </c>
      <c r="O991" s="18">
        <v>16.0</v>
      </c>
      <c r="P991" s="18">
        <v>15.0</v>
      </c>
      <c r="Q991" s="19">
        <v>0.042</v>
      </c>
      <c r="R991" s="19">
        <v>0.1014</v>
      </c>
      <c r="S991" s="20">
        <v>0.0</v>
      </c>
      <c r="T991" s="20">
        <v>2.0</v>
      </c>
      <c r="U991" s="20">
        <v>0.0</v>
      </c>
      <c r="V991" s="21" t="s">
        <v>335</v>
      </c>
      <c r="W991" s="18" t="s">
        <v>76</v>
      </c>
      <c r="X991" s="73" t="s">
        <v>3114</v>
      </c>
      <c r="Y991" s="21" t="s">
        <v>3215</v>
      </c>
      <c r="Z991" s="20" t="s">
        <v>3216</v>
      </c>
      <c r="AA991" s="18">
        <v>3.0</v>
      </c>
      <c r="AB991" s="18">
        <v>3.0</v>
      </c>
      <c r="AC991" s="18"/>
      <c r="AD991" s="14">
        <v>20712.0</v>
      </c>
      <c r="AE991" s="14">
        <v>20712.0</v>
      </c>
      <c r="AF991" s="14"/>
      <c r="AG991" s="22"/>
      <c r="AH991" s="22"/>
      <c r="AI991" s="22"/>
      <c r="AJ991" s="22"/>
      <c r="AK991" s="22"/>
      <c r="AL991" s="22"/>
      <c r="AM991" s="22"/>
      <c r="AN991" s="22"/>
      <c r="AO991" s="22"/>
      <c r="AP991" s="22"/>
    </row>
    <row r="992" hidden="1">
      <c r="A992" s="8">
        <v>46124.0</v>
      </c>
      <c r="B992" s="9">
        <v>0.75</v>
      </c>
      <c r="C992" s="10" t="s">
        <v>32</v>
      </c>
      <c r="D992" s="10" t="s">
        <v>33</v>
      </c>
      <c r="E992" s="12" t="s">
        <v>71</v>
      </c>
      <c r="F992" s="12" t="s">
        <v>955</v>
      </c>
      <c r="G992" s="12" t="s">
        <v>3217</v>
      </c>
      <c r="H992" s="112" t="s">
        <v>3118</v>
      </c>
      <c r="I992" s="72" t="s">
        <v>3119</v>
      </c>
      <c r="J992" s="14">
        <v>12605.0</v>
      </c>
      <c r="K992" s="14">
        <v>5371.0</v>
      </c>
      <c r="L992" s="15">
        <v>0.4261</v>
      </c>
      <c r="M992" s="16">
        <v>1970.0</v>
      </c>
      <c r="N992" s="17">
        <v>0.3668</v>
      </c>
      <c r="O992" s="18">
        <v>184.0</v>
      </c>
      <c r="P992" s="18">
        <v>175.0</v>
      </c>
      <c r="Q992" s="19">
        <v>0.0326</v>
      </c>
      <c r="R992" s="19">
        <v>0.0888</v>
      </c>
      <c r="S992" s="20">
        <v>1.0</v>
      </c>
      <c r="T992" s="20">
        <v>8.0</v>
      </c>
      <c r="U992" s="20">
        <v>2799.0</v>
      </c>
      <c r="V992" s="21" t="s">
        <v>335</v>
      </c>
      <c r="W992" s="18" t="s">
        <v>76</v>
      </c>
      <c r="X992" s="73" t="s">
        <v>47</v>
      </c>
      <c r="Y992" s="21" t="s">
        <v>3215</v>
      </c>
      <c r="Z992" s="20" t="s">
        <v>3218</v>
      </c>
      <c r="AA992" s="18">
        <v>17.0</v>
      </c>
      <c r="AB992" s="18">
        <v>17.0</v>
      </c>
      <c r="AC992" s="18"/>
      <c r="AD992" s="14">
        <v>36201.0</v>
      </c>
      <c r="AE992" s="14">
        <v>36201.0</v>
      </c>
      <c r="AF992" s="14"/>
      <c r="AG992" s="22"/>
      <c r="AH992" s="22"/>
      <c r="AI992" s="22"/>
      <c r="AJ992" s="22"/>
      <c r="AK992" s="22"/>
      <c r="AL992" s="22"/>
      <c r="AM992" s="22"/>
      <c r="AN992" s="22"/>
      <c r="AO992" s="22"/>
      <c r="AP992" s="22"/>
    </row>
    <row r="993" hidden="1">
      <c r="A993" s="8">
        <v>46124.0</v>
      </c>
      <c r="B993" s="9">
        <v>0.75</v>
      </c>
      <c r="C993" s="10" t="s">
        <v>32</v>
      </c>
      <c r="D993" s="10" t="s">
        <v>33</v>
      </c>
      <c r="E993" s="12" t="s">
        <v>71</v>
      </c>
      <c r="F993" s="12" t="s">
        <v>955</v>
      </c>
      <c r="G993" s="12" t="s">
        <v>3219</v>
      </c>
      <c r="H993" s="68" t="s">
        <v>3122</v>
      </c>
      <c r="I993" s="57" t="s">
        <v>3123</v>
      </c>
      <c r="J993" s="14">
        <v>13182.0</v>
      </c>
      <c r="K993" s="14">
        <v>4982.0</v>
      </c>
      <c r="L993" s="15">
        <v>0.3777</v>
      </c>
      <c r="M993" s="16">
        <v>1830.0</v>
      </c>
      <c r="N993" s="17">
        <v>0.3675</v>
      </c>
      <c r="O993" s="18">
        <v>124.0</v>
      </c>
      <c r="P993" s="18">
        <v>123.0</v>
      </c>
      <c r="Q993" s="19">
        <v>0.0247</v>
      </c>
      <c r="R993" s="19">
        <v>0.0672</v>
      </c>
      <c r="S993" s="20">
        <v>1.0</v>
      </c>
      <c r="T993" s="20">
        <v>3.0</v>
      </c>
      <c r="U993" s="20">
        <v>1799.0</v>
      </c>
      <c r="V993" s="21" t="s">
        <v>335</v>
      </c>
      <c r="W993" s="18" t="s">
        <v>76</v>
      </c>
      <c r="X993" s="66" t="s">
        <v>82</v>
      </c>
      <c r="Y993" s="21" t="s">
        <v>3215</v>
      </c>
      <c r="Z993" s="20" t="s">
        <v>3220</v>
      </c>
      <c r="AA993" s="18">
        <v>14.0</v>
      </c>
      <c r="AB993" s="18">
        <v>14.0</v>
      </c>
      <c r="AC993" s="18"/>
      <c r="AD993" s="14">
        <v>43651.0</v>
      </c>
      <c r="AE993" s="14">
        <v>43651.0</v>
      </c>
      <c r="AF993" s="14"/>
      <c r="AG993" s="79"/>
      <c r="AH993" s="22"/>
      <c r="AI993" s="22"/>
      <c r="AJ993" s="22"/>
      <c r="AK993" s="22"/>
      <c r="AL993" s="22"/>
      <c r="AM993" s="22"/>
      <c r="AN993" s="22"/>
      <c r="AO993" s="22"/>
      <c r="AP993" s="22"/>
    </row>
    <row r="994" hidden="1">
      <c r="A994" s="8">
        <v>46124.0</v>
      </c>
      <c r="B994" s="9">
        <v>0.75</v>
      </c>
      <c r="C994" s="10" t="s">
        <v>32</v>
      </c>
      <c r="D994" s="10" t="s">
        <v>33</v>
      </c>
      <c r="E994" s="12" t="s">
        <v>71</v>
      </c>
      <c r="F994" s="12" t="s">
        <v>955</v>
      </c>
      <c r="G994" s="12" t="s">
        <v>3221</v>
      </c>
      <c r="H994" s="112" t="s">
        <v>3126</v>
      </c>
      <c r="I994" s="72" t="s">
        <v>3127</v>
      </c>
      <c r="J994" s="14">
        <v>126203.0</v>
      </c>
      <c r="K994" s="14">
        <v>53877.0</v>
      </c>
      <c r="L994" s="15">
        <v>0.4267</v>
      </c>
      <c r="M994" s="16">
        <v>15587.0</v>
      </c>
      <c r="N994" s="17">
        <v>0.2894</v>
      </c>
      <c r="O994" s="18">
        <v>868.0</v>
      </c>
      <c r="P994" s="18">
        <v>828.0</v>
      </c>
      <c r="Q994" s="19">
        <v>0.0154</v>
      </c>
      <c r="R994" s="19">
        <v>0.0531</v>
      </c>
      <c r="S994" s="20">
        <v>1.0</v>
      </c>
      <c r="T994" s="20">
        <v>9.0</v>
      </c>
      <c r="U994" s="20">
        <v>1999.0</v>
      </c>
      <c r="V994" s="21" t="s">
        <v>335</v>
      </c>
      <c r="W994" s="18" t="s">
        <v>76</v>
      </c>
      <c r="X994" s="73" t="s">
        <v>3128</v>
      </c>
      <c r="Y994" s="21" t="s">
        <v>3215</v>
      </c>
      <c r="Z994" s="20" t="s">
        <v>3222</v>
      </c>
      <c r="AA994" s="18">
        <v>36.0</v>
      </c>
      <c r="AB994" s="18">
        <v>36.0</v>
      </c>
      <c r="AC994" s="18"/>
      <c r="AD994" s="14">
        <v>69070.0</v>
      </c>
      <c r="AE994" s="14">
        <v>69070.0</v>
      </c>
      <c r="AF994" s="14"/>
      <c r="AG994" s="22"/>
      <c r="AH994" s="22"/>
      <c r="AI994" s="22"/>
      <c r="AJ994" s="22"/>
      <c r="AK994" s="22"/>
      <c r="AL994" s="22"/>
      <c r="AM994" s="22"/>
      <c r="AN994" s="22"/>
      <c r="AO994" s="22"/>
      <c r="AP994" s="22"/>
    </row>
    <row r="995" hidden="1">
      <c r="A995" s="8">
        <v>46124.0</v>
      </c>
      <c r="B995" s="9">
        <v>0.75</v>
      </c>
      <c r="C995" s="10" t="s">
        <v>32</v>
      </c>
      <c r="D995" s="10" t="s">
        <v>33</v>
      </c>
      <c r="E995" s="12" t="s">
        <v>71</v>
      </c>
      <c r="F995" s="12" t="s">
        <v>955</v>
      </c>
      <c r="G995" s="12" t="s">
        <v>3223</v>
      </c>
      <c r="H995" s="112" t="s">
        <v>3131</v>
      </c>
      <c r="I995" s="72" t="s">
        <v>3132</v>
      </c>
      <c r="J995" s="14">
        <v>84555.0</v>
      </c>
      <c r="K995" s="14">
        <v>29106.0</v>
      </c>
      <c r="L995" s="15">
        <v>0.3442</v>
      </c>
      <c r="M995" s="16">
        <v>8921.0</v>
      </c>
      <c r="N995" s="17">
        <v>0.3065</v>
      </c>
      <c r="O995" s="18">
        <v>519.0</v>
      </c>
      <c r="P995" s="18">
        <v>500.0</v>
      </c>
      <c r="Q995" s="19">
        <v>0.0172</v>
      </c>
      <c r="R995" s="19">
        <v>0.0561</v>
      </c>
      <c r="S995" s="20">
        <v>2.0</v>
      </c>
      <c r="T995" s="20">
        <v>5.0</v>
      </c>
      <c r="U995" s="20">
        <v>6117.0</v>
      </c>
      <c r="V995" s="21" t="s">
        <v>335</v>
      </c>
      <c r="W995" s="18" t="s">
        <v>76</v>
      </c>
      <c r="X995" s="73" t="s">
        <v>3133</v>
      </c>
      <c r="Y995" s="21" t="s">
        <v>3215</v>
      </c>
      <c r="Z995" s="20" t="s">
        <v>3224</v>
      </c>
      <c r="AA995" s="18">
        <v>34.0</v>
      </c>
      <c r="AB995" s="18">
        <v>34.0</v>
      </c>
      <c r="AC995" s="18"/>
      <c r="AD995" s="14">
        <v>109316.0</v>
      </c>
      <c r="AE995" s="14">
        <v>109316.0</v>
      </c>
      <c r="AF995" s="14"/>
      <c r="AG995" s="22"/>
      <c r="AH995" s="22"/>
      <c r="AI995" s="22"/>
      <c r="AJ995" s="22"/>
      <c r="AK995" s="22"/>
      <c r="AL995" s="22"/>
      <c r="AM995" s="22"/>
      <c r="AN995" s="22"/>
      <c r="AO995" s="22"/>
      <c r="AP995" s="22"/>
    </row>
    <row r="996" hidden="1">
      <c r="A996" s="8">
        <v>46124.0</v>
      </c>
      <c r="B996" s="9">
        <v>0.75</v>
      </c>
      <c r="C996" s="10" t="s">
        <v>32</v>
      </c>
      <c r="D996" s="10" t="s">
        <v>33</v>
      </c>
      <c r="E996" s="12" t="s">
        <v>71</v>
      </c>
      <c r="F996" s="12" t="s">
        <v>955</v>
      </c>
      <c r="G996" s="12" t="s">
        <v>3225</v>
      </c>
      <c r="H996" s="112" t="s">
        <v>3155</v>
      </c>
      <c r="I996" s="72" t="s">
        <v>3156</v>
      </c>
      <c r="J996" s="14">
        <v>31335.0</v>
      </c>
      <c r="K996" s="14">
        <v>10564.0</v>
      </c>
      <c r="L996" s="15">
        <v>0.3371</v>
      </c>
      <c r="M996" s="16">
        <v>3214.0</v>
      </c>
      <c r="N996" s="17">
        <v>0.3041</v>
      </c>
      <c r="O996" s="18">
        <v>249.0</v>
      </c>
      <c r="P996" s="18">
        <v>243.0</v>
      </c>
      <c r="Q996" s="19">
        <v>0.023</v>
      </c>
      <c r="R996" s="19">
        <v>0.0756</v>
      </c>
      <c r="S996" s="20">
        <v>1.0</v>
      </c>
      <c r="T996" s="20">
        <v>2.0</v>
      </c>
      <c r="U996" s="20">
        <v>4796.0</v>
      </c>
      <c r="V996" s="21" t="s">
        <v>335</v>
      </c>
      <c r="W996" s="18" t="s">
        <v>76</v>
      </c>
      <c r="X996" s="73" t="s">
        <v>3157</v>
      </c>
      <c r="Y996" s="21" t="s">
        <v>3215</v>
      </c>
      <c r="Z996" s="20" t="s">
        <v>3226</v>
      </c>
      <c r="AA996" s="18">
        <v>28.0</v>
      </c>
      <c r="AB996" s="18">
        <v>28.0</v>
      </c>
      <c r="AC996" s="18"/>
      <c r="AD996" s="14">
        <v>96202.0</v>
      </c>
      <c r="AE996" s="14">
        <v>96202.0</v>
      </c>
      <c r="AF996" s="14"/>
      <c r="AG996" s="22"/>
      <c r="AH996" s="22"/>
      <c r="AI996" s="22"/>
      <c r="AJ996" s="22"/>
      <c r="AK996" s="22"/>
      <c r="AL996" s="22"/>
      <c r="AM996" s="22"/>
      <c r="AN996" s="22"/>
      <c r="AO996" s="22"/>
      <c r="AP996" s="22"/>
    </row>
    <row r="997" hidden="1">
      <c r="A997" s="8">
        <v>46124.0</v>
      </c>
      <c r="B997" s="9">
        <v>0.75</v>
      </c>
      <c r="C997" s="10" t="s">
        <v>32</v>
      </c>
      <c r="D997" s="10" t="s">
        <v>33</v>
      </c>
      <c r="E997" s="12" t="s">
        <v>71</v>
      </c>
      <c r="F997" s="12" t="s">
        <v>955</v>
      </c>
      <c r="G997" s="12" t="s">
        <v>3227</v>
      </c>
      <c r="H997" s="112" t="s">
        <v>3146</v>
      </c>
      <c r="I997" s="72" t="s">
        <v>3156</v>
      </c>
      <c r="J997" s="14">
        <v>5432.0</v>
      </c>
      <c r="K997" s="14">
        <v>2226.0</v>
      </c>
      <c r="L997" s="15">
        <v>0.4096</v>
      </c>
      <c r="M997" s="16">
        <v>630.0</v>
      </c>
      <c r="N997" s="17">
        <v>0.2831</v>
      </c>
      <c r="O997" s="18">
        <v>40.0</v>
      </c>
      <c r="P997" s="18">
        <v>40.0</v>
      </c>
      <c r="Q997" s="19">
        <v>0.018</v>
      </c>
      <c r="R997" s="19">
        <v>0.0635</v>
      </c>
      <c r="S997" s="20">
        <v>2.0</v>
      </c>
      <c r="T997" s="20">
        <v>1.0</v>
      </c>
      <c r="U997" s="20">
        <v>4518.0</v>
      </c>
      <c r="V997" s="21" t="s">
        <v>335</v>
      </c>
      <c r="W997" s="18" t="s">
        <v>76</v>
      </c>
      <c r="X997" s="95" t="s">
        <v>2552</v>
      </c>
      <c r="Y997" s="21" t="s">
        <v>3215</v>
      </c>
      <c r="Z997" s="20" t="s">
        <v>3228</v>
      </c>
      <c r="AA997" s="18">
        <v>6.0</v>
      </c>
      <c r="AB997" s="18">
        <v>6.0</v>
      </c>
      <c r="AC997" s="18"/>
      <c r="AD997" s="14">
        <v>16312.0</v>
      </c>
      <c r="AE997" s="14">
        <v>16312.0</v>
      </c>
      <c r="AF997" s="14"/>
      <c r="AG997" s="22"/>
      <c r="AH997" s="22"/>
      <c r="AI997" s="22"/>
      <c r="AJ997" s="22"/>
      <c r="AK997" s="22"/>
      <c r="AL997" s="22"/>
      <c r="AM997" s="22"/>
      <c r="AN997" s="22"/>
      <c r="AO997" s="22"/>
      <c r="AP997" s="22"/>
    </row>
    <row r="998" hidden="1">
      <c r="A998" s="8">
        <v>46124.0</v>
      </c>
      <c r="B998" s="9">
        <v>0.7916666666666666</v>
      </c>
      <c r="C998" s="10" t="s">
        <v>58</v>
      </c>
      <c r="D998" s="10" t="s">
        <v>3083</v>
      </c>
      <c r="E998" s="12" t="s">
        <v>71</v>
      </c>
      <c r="F998" s="12" t="s">
        <v>955</v>
      </c>
      <c r="G998" s="12" t="s">
        <v>3229</v>
      </c>
      <c r="H998" s="112" t="s">
        <v>3112</v>
      </c>
      <c r="I998" s="72" t="s">
        <v>61</v>
      </c>
      <c r="J998" s="14">
        <v>510.0</v>
      </c>
      <c r="K998" s="14">
        <v>266.0</v>
      </c>
      <c r="L998" s="15">
        <v>0.5216</v>
      </c>
      <c r="M998" s="16"/>
      <c r="N998" s="92"/>
      <c r="O998" s="18">
        <v>1.0</v>
      </c>
      <c r="P998" s="18"/>
      <c r="Q998" s="19">
        <v>0.0038</v>
      </c>
      <c r="R998" s="20"/>
      <c r="S998" s="20">
        <v>0.0</v>
      </c>
      <c r="T998" s="20">
        <v>0.0</v>
      </c>
      <c r="U998" s="20">
        <v>0.0</v>
      </c>
      <c r="V998" s="21" t="s">
        <v>335</v>
      </c>
      <c r="W998" s="18" t="s">
        <v>62</v>
      </c>
      <c r="X998" s="73" t="s">
        <v>3114</v>
      </c>
      <c r="Y998" s="21" t="s">
        <v>2697</v>
      </c>
      <c r="Z998" s="20" t="s">
        <v>3230</v>
      </c>
      <c r="AA998" s="18">
        <v>0.0</v>
      </c>
      <c r="AB998" s="18">
        <v>0.0</v>
      </c>
      <c r="AC998" s="18"/>
      <c r="AD998" s="14">
        <v>0.0</v>
      </c>
      <c r="AE998" s="18">
        <v>0.0</v>
      </c>
      <c r="AF998" s="14"/>
      <c r="AG998" s="22"/>
      <c r="AH998" s="22"/>
      <c r="AI998" s="22"/>
      <c r="AJ998" s="22"/>
      <c r="AK998" s="22"/>
      <c r="AL998" s="22"/>
      <c r="AM998" s="22"/>
      <c r="AN998" s="22"/>
      <c r="AO998" s="22"/>
      <c r="AP998" s="22"/>
    </row>
    <row r="999" hidden="1">
      <c r="A999" s="8">
        <v>46124.0</v>
      </c>
      <c r="B999" s="9">
        <v>0.7916666666666666</v>
      </c>
      <c r="C999" s="10" t="s">
        <v>58</v>
      </c>
      <c r="D999" s="10" t="s">
        <v>3083</v>
      </c>
      <c r="E999" s="12" t="s">
        <v>71</v>
      </c>
      <c r="F999" s="12" t="s">
        <v>955</v>
      </c>
      <c r="G999" s="12" t="s">
        <v>3231</v>
      </c>
      <c r="H999" s="112" t="s">
        <v>3118</v>
      </c>
      <c r="I999" s="72" t="s">
        <v>61</v>
      </c>
      <c r="J999" s="14">
        <v>7063.0</v>
      </c>
      <c r="K999" s="14">
        <v>3743.0</v>
      </c>
      <c r="L999" s="15">
        <v>0.5299</v>
      </c>
      <c r="M999" s="16"/>
      <c r="N999" s="92"/>
      <c r="O999" s="18">
        <v>5.0</v>
      </c>
      <c r="P999" s="18"/>
      <c r="Q999" s="19">
        <v>0.0013</v>
      </c>
      <c r="R999" s="20"/>
      <c r="S999" s="20">
        <v>1.0</v>
      </c>
      <c r="T999" s="20">
        <v>1.0</v>
      </c>
      <c r="U999" s="20">
        <v>5598.0</v>
      </c>
      <c r="V999" s="21" t="s">
        <v>335</v>
      </c>
      <c r="W999" s="18" t="s">
        <v>62</v>
      </c>
      <c r="X999" s="73" t="s">
        <v>47</v>
      </c>
      <c r="Y999" s="21" t="s">
        <v>2697</v>
      </c>
      <c r="Z999" s="20" t="s">
        <v>3232</v>
      </c>
      <c r="AA999" s="18">
        <v>6.0</v>
      </c>
      <c r="AB999" s="18">
        <v>6.0</v>
      </c>
      <c r="AC999" s="18"/>
      <c r="AD999" s="14">
        <v>18422.0</v>
      </c>
      <c r="AE999" s="14">
        <v>18422.0</v>
      </c>
      <c r="AF999" s="14"/>
      <c r="AG999" s="22"/>
      <c r="AH999" s="22"/>
      <c r="AI999" s="22"/>
      <c r="AJ999" s="22"/>
      <c r="AK999" s="22"/>
      <c r="AL999" s="22"/>
      <c r="AM999" s="22"/>
      <c r="AN999" s="22"/>
      <c r="AO999" s="22"/>
      <c r="AP999" s="22"/>
    </row>
    <row r="1000" hidden="1">
      <c r="A1000" s="8">
        <v>46124.0</v>
      </c>
      <c r="B1000" s="9">
        <v>0.7916666666666666</v>
      </c>
      <c r="C1000" s="10" t="s">
        <v>58</v>
      </c>
      <c r="D1000" s="10" t="s">
        <v>3083</v>
      </c>
      <c r="E1000" s="12" t="s">
        <v>71</v>
      </c>
      <c r="F1000" s="12" t="s">
        <v>955</v>
      </c>
      <c r="G1000" s="12" t="s">
        <v>3233</v>
      </c>
      <c r="H1000" s="112" t="s">
        <v>3122</v>
      </c>
      <c r="I1000" s="72" t="s">
        <v>61</v>
      </c>
      <c r="J1000" s="14">
        <v>7968.0</v>
      </c>
      <c r="K1000" s="14">
        <v>4346.0</v>
      </c>
      <c r="L1000" s="15">
        <v>0.5454</v>
      </c>
      <c r="M1000" s="16"/>
      <c r="N1000" s="92"/>
      <c r="O1000" s="18">
        <v>5.0</v>
      </c>
      <c r="P1000" s="18"/>
      <c r="Q1000" s="19">
        <v>0.0012</v>
      </c>
      <c r="R1000" s="20"/>
      <c r="S1000" s="20">
        <v>1.0</v>
      </c>
      <c r="T1000" s="20">
        <v>1.0</v>
      </c>
      <c r="U1000" s="20">
        <v>6297.0</v>
      </c>
      <c r="V1000" s="21" t="s">
        <v>335</v>
      </c>
      <c r="W1000" s="18" t="s">
        <v>62</v>
      </c>
      <c r="X1000" s="73" t="s">
        <v>82</v>
      </c>
      <c r="Y1000" s="21" t="s">
        <v>2697</v>
      </c>
      <c r="Z1000" s="20" t="s">
        <v>3234</v>
      </c>
      <c r="AA1000" s="18">
        <v>5.0</v>
      </c>
      <c r="AB1000" s="18">
        <v>5.0</v>
      </c>
      <c r="AC1000" s="18"/>
      <c r="AD1000" s="14">
        <v>15881.0</v>
      </c>
      <c r="AE1000" s="14">
        <v>15881.0</v>
      </c>
      <c r="AF1000" s="14"/>
      <c r="AG1000" s="22"/>
      <c r="AH1000" s="22"/>
      <c r="AI1000" s="22"/>
      <c r="AJ1000" s="22"/>
      <c r="AK1000" s="22"/>
      <c r="AL1000" s="22"/>
      <c r="AM1000" s="22"/>
      <c r="AN1000" s="22"/>
      <c r="AO1000" s="22"/>
      <c r="AP1000" s="22"/>
    </row>
    <row r="1001" hidden="1">
      <c r="A1001" s="8">
        <v>46124.0</v>
      </c>
      <c r="B1001" s="9">
        <v>0.7916666666666666</v>
      </c>
      <c r="C1001" s="10" t="s">
        <v>58</v>
      </c>
      <c r="D1001" s="10" t="s">
        <v>3083</v>
      </c>
      <c r="E1001" s="12" t="s">
        <v>71</v>
      </c>
      <c r="F1001" s="12" t="s">
        <v>955</v>
      </c>
      <c r="G1001" s="12" t="s">
        <v>3235</v>
      </c>
      <c r="H1001" s="112" t="s">
        <v>3126</v>
      </c>
      <c r="I1001" s="72" t="s">
        <v>61</v>
      </c>
      <c r="J1001" s="14">
        <v>68426.0</v>
      </c>
      <c r="K1001" s="14">
        <v>44143.0</v>
      </c>
      <c r="L1001" s="15">
        <v>0.6451</v>
      </c>
      <c r="M1001" s="16"/>
      <c r="N1001" s="92"/>
      <c r="O1001" s="18">
        <v>22.0</v>
      </c>
      <c r="P1001" s="18"/>
      <c r="Q1001" s="19">
        <v>5.0E-4</v>
      </c>
      <c r="R1001" s="20"/>
      <c r="S1001" s="20">
        <v>1.0</v>
      </c>
      <c r="T1001" s="20">
        <v>1.0</v>
      </c>
      <c r="U1001" s="20">
        <v>4397.0</v>
      </c>
      <c r="V1001" s="21" t="s">
        <v>335</v>
      </c>
      <c r="W1001" s="18" t="s">
        <v>62</v>
      </c>
      <c r="X1001" s="73" t="s">
        <v>3128</v>
      </c>
      <c r="Y1001" s="21" t="s">
        <v>2697</v>
      </c>
      <c r="Z1001" s="20" t="s">
        <v>3236</v>
      </c>
      <c r="AA1001" s="18">
        <v>5.0</v>
      </c>
      <c r="AB1001" s="18">
        <v>5.0</v>
      </c>
      <c r="AC1001" s="18"/>
      <c r="AD1001" s="14">
        <v>11003.0</v>
      </c>
      <c r="AE1001" s="14">
        <v>11003.0</v>
      </c>
      <c r="AF1001" s="14"/>
      <c r="AG1001" s="22"/>
      <c r="AH1001" s="22"/>
      <c r="AI1001" s="22"/>
      <c r="AJ1001" s="22"/>
      <c r="AK1001" s="22"/>
      <c r="AL1001" s="22"/>
      <c r="AM1001" s="22"/>
      <c r="AN1001" s="22"/>
      <c r="AO1001" s="22"/>
      <c r="AP1001" s="22"/>
    </row>
    <row r="1002" hidden="1">
      <c r="A1002" s="8">
        <v>46124.0</v>
      </c>
      <c r="B1002" s="9">
        <v>0.7916666666666666</v>
      </c>
      <c r="C1002" s="10" t="s">
        <v>58</v>
      </c>
      <c r="D1002" s="10" t="s">
        <v>3083</v>
      </c>
      <c r="E1002" s="12" t="s">
        <v>71</v>
      </c>
      <c r="F1002" s="12" t="s">
        <v>955</v>
      </c>
      <c r="G1002" s="12" t="s">
        <v>3237</v>
      </c>
      <c r="H1002" s="112" t="s">
        <v>3131</v>
      </c>
      <c r="I1002" s="72" t="s">
        <v>61</v>
      </c>
      <c r="J1002" s="14">
        <v>53204.0</v>
      </c>
      <c r="K1002" s="14">
        <v>27055.0</v>
      </c>
      <c r="L1002" s="15">
        <v>0.5085</v>
      </c>
      <c r="M1002" s="16"/>
      <c r="N1002" s="92"/>
      <c r="O1002" s="18">
        <v>31.0</v>
      </c>
      <c r="P1002" s="18"/>
      <c r="Q1002" s="19">
        <v>0.0011</v>
      </c>
      <c r="R1002" s="20"/>
      <c r="S1002" s="20">
        <v>2.0</v>
      </c>
      <c r="T1002" s="20">
        <v>2.0</v>
      </c>
      <c r="U1002" s="20">
        <v>10635.0</v>
      </c>
      <c r="V1002" s="21" t="s">
        <v>335</v>
      </c>
      <c r="W1002" s="18" t="s">
        <v>62</v>
      </c>
      <c r="X1002" s="73" t="s">
        <v>3133</v>
      </c>
      <c r="Y1002" s="21" t="s">
        <v>2697</v>
      </c>
      <c r="Z1002" s="20" t="s">
        <v>3238</v>
      </c>
      <c r="AA1002" s="18">
        <v>8.0</v>
      </c>
      <c r="AB1002" s="18">
        <v>8.0</v>
      </c>
      <c r="AC1002" s="18"/>
      <c r="AD1002" s="14">
        <v>30862.0</v>
      </c>
      <c r="AE1002" s="14">
        <v>30862.0</v>
      </c>
      <c r="AF1002" s="14"/>
      <c r="AG1002" s="22"/>
      <c r="AH1002" s="22"/>
      <c r="AI1002" s="22"/>
      <c r="AJ1002" s="22"/>
      <c r="AK1002" s="22"/>
      <c r="AL1002" s="22"/>
      <c r="AM1002" s="22"/>
      <c r="AN1002" s="22"/>
      <c r="AO1002" s="22"/>
      <c r="AP1002" s="22"/>
    </row>
    <row r="1003" hidden="1">
      <c r="A1003" s="8">
        <v>46124.0</v>
      </c>
      <c r="B1003" s="9">
        <v>0.7916666666666666</v>
      </c>
      <c r="C1003" s="10" t="s">
        <v>58</v>
      </c>
      <c r="D1003" s="10" t="s">
        <v>3083</v>
      </c>
      <c r="E1003" s="12" t="s">
        <v>71</v>
      </c>
      <c r="F1003" s="12" t="s">
        <v>955</v>
      </c>
      <c r="G1003" s="12" t="s">
        <v>3239</v>
      </c>
      <c r="H1003" s="112" t="s">
        <v>3155</v>
      </c>
      <c r="I1003" s="72" t="s">
        <v>61</v>
      </c>
      <c r="J1003" s="14">
        <v>20120.0</v>
      </c>
      <c r="K1003" s="14">
        <v>9957.0</v>
      </c>
      <c r="L1003" s="15">
        <v>0.4949</v>
      </c>
      <c r="M1003" s="16"/>
      <c r="N1003" s="92"/>
      <c r="O1003" s="18">
        <v>12.0</v>
      </c>
      <c r="P1003" s="18"/>
      <c r="Q1003" s="19">
        <v>0.0012</v>
      </c>
      <c r="R1003" s="20"/>
      <c r="S1003" s="20">
        <v>1.0</v>
      </c>
      <c r="T1003" s="20">
        <v>1.0</v>
      </c>
      <c r="U1003" s="20">
        <v>1799.0</v>
      </c>
      <c r="V1003" s="21" t="s">
        <v>335</v>
      </c>
      <c r="W1003" s="18" t="s">
        <v>62</v>
      </c>
      <c r="X1003" s="73" t="s">
        <v>3157</v>
      </c>
      <c r="Y1003" s="21" t="s">
        <v>2697</v>
      </c>
      <c r="Z1003" s="20" t="s">
        <v>3240</v>
      </c>
      <c r="AA1003" s="18">
        <v>11.0</v>
      </c>
      <c r="AB1003" s="18">
        <v>11.0</v>
      </c>
      <c r="AC1003" s="18"/>
      <c r="AD1003" s="14">
        <v>33266.0</v>
      </c>
      <c r="AE1003" s="14">
        <v>33266.0</v>
      </c>
      <c r="AF1003" s="14"/>
      <c r="AG1003" s="22"/>
      <c r="AH1003" s="22"/>
      <c r="AI1003" s="22"/>
      <c r="AJ1003" s="22"/>
      <c r="AK1003" s="22"/>
      <c r="AL1003" s="22"/>
      <c r="AM1003" s="22"/>
      <c r="AN1003" s="22"/>
      <c r="AO1003" s="22"/>
      <c r="AP1003" s="22"/>
    </row>
    <row r="1004" hidden="1">
      <c r="A1004" s="8">
        <v>46124.0</v>
      </c>
      <c r="B1004" s="9">
        <v>0.7916666666666666</v>
      </c>
      <c r="C1004" s="10" t="s">
        <v>58</v>
      </c>
      <c r="D1004" s="10" t="s">
        <v>3083</v>
      </c>
      <c r="E1004" s="12" t="s">
        <v>71</v>
      </c>
      <c r="F1004" s="12" t="s">
        <v>955</v>
      </c>
      <c r="G1004" s="12" t="s">
        <v>3241</v>
      </c>
      <c r="H1004" s="112" t="s">
        <v>3146</v>
      </c>
      <c r="I1004" s="72" t="s">
        <v>61</v>
      </c>
      <c r="J1004" s="14">
        <v>3073.0</v>
      </c>
      <c r="K1004" s="14">
        <v>1791.0</v>
      </c>
      <c r="L1004" s="15">
        <v>0.5828</v>
      </c>
      <c r="M1004" s="16"/>
      <c r="N1004" s="92"/>
      <c r="O1004" s="18">
        <v>3.0</v>
      </c>
      <c r="P1004" s="18"/>
      <c r="Q1004" s="19">
        <v>0.0017</v>
      </c>
      <c r="R1004" s="20"/>
      <c r="S1004" s="20">
        <v>0.0</v>
      </c>
      <c r="T1004" s="20">
        <v>0.0</v>
      </c>
      <c r="U1004" s="20">
        <v>0.0</v>
      </c>
      <c r="V1004" s="21" t="s">
        <v>335</v>
      </c>
      <c r="W1004" s="18" t="s">
        <v>62</v>
      </c>
      <c r="X1004" s="95" t="s">
        <v>2552</v>
      </c>
      <c r="Y1004" s="21" t="s">
        <v>2697</v>
      </c>
      <c r="Z1004" s="20" t="s">
        <v>3242</v>
      </c>
      <c r="AA1004" s="18">
        <v>0.0</v>
      </c>
      <c r="AB1004" s="18">
        <v>0.0</v>
      </c>
      <c r="AC1004" s="18"/>
      <c r="AD1004" s="14">
        <v>0.0</v>
      </c>
      <c r="AE1004" s="18">
        <v>0.0</v>
      </c>
      <c r="AF1004" s="14"/>
      <c r="AG1004" s="22"/>
      <c r="AH1004" s="22"/>
      <c r="AI1004" s="22"/>
      <c r="AJ1004" s="22"/>
      <c r="AK1004" s="22"/>
      <c r="AL1004" s="22"/>
      <c r="AM1004" s="22"/>
      <c r="AN1004" s="22"/>
      <c r="AO1004" s="22"/>
      <c r="AP1004" s="22"/>
    </row>
    <row r="1005" hidden="1">
      <c r="A1005" s="8">
        <v>46124.0</v>
      </c>
      <c r="B1005" s="9">
        <v>0.3958333333333333</v>
      </c>
      <c r="C1005" s="10" t="s">
        <v>58</v>
      </c>
      <c r="D1005" s="10" t="s">
        <v>3243</v>
      </c>
      <c r="E1005" s="12" t="s">
        <v>133</v>
      </c>
      <c r="F1005" s="12" t="s">
        <v>3166</v>
      </c>
      <c r="G1005" s="12" t="s">
        <v>3244</v>
      </c>
      <c r="H1005" s="68" t="s">
        <v>3168</v>
      </c>
      <c r="I1005" s="57" t="s">
        <v>137</v>
      </c>
      <c r="J1005" s="14">
        <v>15703.0</v>
      </c>
      <c r="K1005" s="14">
        <v>8890.0</v>
      </c>
      <c r="L1005" s="15">
        <v>0.5661</v>
      </c>
      <c r="M1005" s="16"/>
      <c r="N1005" s="92"/>
      <c r="O1005" s="18">
        <v>0.0</v>
      </c>
      <c r="P1005" s="18"/>
      <c r="Q1005" s="119">
        <v>0.0</v>
      </c>
      <c r="R1005" s="20"/>
      <c r="S1005" s="20">
        <v>0.0</v>
      </c>
      <c r="T1005" s="20">
        <v>0.0</v>
      </c>
      <c r="U1005" s="20">
        <v>0.0</v>
      </c>
      <c r="V1005" s="21" t="s">
        <v>315</v>
      </c>
      <c r="W1005" s="18" t="s">
        <v>62</v>
      </c>
      <c r="X1005" s="66" t="s">
        <v>1101</v>
      </c>
      <c r="Y1005" s="122">
        <v>46124.0</v>
      </c>
      <c r="Z1005" s="20" t="s">
        <v>3245</v>
      </c>
      <c r="AA1005" s="18">
        <v>1.0</v>
      </c>
      <c r="AB1005" s="18"/>
      <c r="AC1005" s="18">
        <v>1.0</v>
      </c>
      <c r="AD1005" s="14">
        <v>6642.0</v>
      </c>
      <c r="AE1005" s="18"/>
      <c r="AF1005" s="14">
        <v>6642.0</v>
      </c>
      <c r="AG1005" s="22"/>
      <c r="AH1005" s="22"/>
      <c r="AI1005" s="22"/>
      <c r="AJ1005" s="22"/>
      <c r="AK1005" s="22"/>
      <c r="AL1005" s="22"/>
      <c r="AM1005" s="22"/>
      <c r="AN1005" s="22"/>
      <c r="AO1005" s="22"/>
      <c r="AP1005" s="22"/>
    </row>
    <row r="1006" hidden="1">
      <c r="A1006" s="8">
        <v>46125.0</v>
      </c>
      <c r="B1006" s="9">
        <v>0.5</v>
      </c>
      <c r="C1006" s="10" t="s">
        <v>32</v>
      </c>
      <c r="D1006" s="10" t="s">
        <v>3243</v>
      </c>
      <c r="E1006" s="12" t="s">
        <v>217</v>
      </c>
      <c r="F1006" s="12" t="s">
        <v>3170</v>
      </c>
      <c r="G1006" s="12" t="s">
        <v>3246</v>
      </c>
      <c r="H1006" s="68" t="s">
        <v>3172</v>
      </c>
      <c r="I1006" s="57" t="s">
        <v>3173</v>
      </c>
      <c r="J1006" s="14">
        <v>138027.0</v>
      </c>
      <c r="K1006" s="14">
        <v>82420.0</v>
      </c>
      <c r="L1006" s="15">
        <v>0.597</v>
      </c>
      <c r="M1006" s="16">
        <v>40012.0</v>
      </c>
      <c r="N1006" s="17">
        <v>0.4855</v>
      </c>
      <c r="O1006" s="18">
        <v>980.0</v>
      </c>
      <c r="P1006" s="18">
        <v>962.0</v>
      </c>
      <c r="Q1006" s="119">
        <v>0.0117</v>
      </c>
      <c r="R1006" s="19">
        <v>0.024</v>
      </c>
      <c r="S1006" s="20">
        <v>0.0</v>
      </c>
      <c r="T1006" s="20">
        <v>0.0</v>
      </c>
      <c r="U1006" s="20">
        <v>0.0</v>
      </c>
      <c r="V1006" s="21" t="s">
        <v>315</v>
      </c>
      <c r="W1006" s="18" t="s">
        <v>76</v>
      </c>
      <c r="X1006" s="66" t="s">
        <v>3174</v>
      </c>
      <c r="Y1006" s="122" t="s">
        <v>3247</v>
      </c>
      <c r="Z1006" s="20" t="s">
        <v>3248</v>
      </c>
      <c r="AA1006" s="18">
        <v>243.0</v>
      </c>
      <c r="AB1006" s="18"/>
      <c r="AC1006" s="18">
        <v>243.0</v>
      </c>
      <c r="AD1006" s="14">
        <v>415726.0</v>
      </c>
      <c r="AE1006" s="18"/>
      <c r="AF1006" s="14">
        <v>415726.0</v>
      </c>
      <c r="AG1006" s="22"/>
      <c r="AH1006" s="22"/>
      <c r="AI1006" s="22"/>
      <c r="AJ1006" s="22"/>
      <c r="AK1006" s="22"/>
      <c r="AL1006" s="22"/>
      <c r="AM1006" s="22"/>
      <c r="AN1006" s="22"/>
      <c r="AO1006" s="22"/>
      <c r="AP1006" s="22"/>
    </row>
    <row r="1007" hidden="1">
      <c r="A1007" s="8">
        <v>46125.0</v>
      </c>
      <c r="B1007" s="9">
        <v>0.5</v>
      </c>
      <c r="C1007" s="10" t="s">
        <v>32</v>
      </c>
      <c r="D1007" s="10" t="s">
        <v>3243</v>
      </c>
      <c r="E1007" s="12" t="s">
        <v>217</v>
      </c>
      <c r="F1007" s="12" t="s">
        <v>3170</v>
      </c>
      <c r="G1007" s="12" t="s">
        <v>3249</v>
      </c>
      <c r="H1007" s="68" t="s">
        <v>3191</v>
      </c>
      <c r="I1007" s="57" t="s">
        <v>3192</v>
      </c>
      <c r="J1007" s="14">
        <v>661.0</v>
      </c>
      <c r="K1007" s="14">
        <v>468.0</v>
      </c>
      <c r="L1007" s="15">
        <v>0.708</v>
      </c>
      <c r="M1007" s="16">
        <v>258.0</v>
      </c>
      <c r="N1007" s="17">
        <v>0.5513</v>
      </c>
      <c r="O1007" s="18">
        <v>16.0</v>
      </c>
      <c r="P1007" s="18">
        <v>15.0</v>
      </c>
      <c r="Q1007" s="119">
        <v>0.0321</v>
      </c>
      <c r="R1007" s="19">
        <v>0.0581</v>
      </c>
      <c r="S1007" s="20">
        <v>0.0</v>
      </c>
      <c r="T1007" s="20">
        <v>0.0</v>
      </c>
      <c r="U1007" s="20">
        <v>0.0</v>
      </c>
      <c r="V1007" s="21" t="s">
        <v>315</v>
      </c>
      <c r="W1007" s="18" t="s">
        <v>76</v>
      </c>
      <c r="X1007" s="66" t="s">
        <v>3174</v>
      </c>
      <c r="Y1007" s="122" t="s">
        <v>3247</v>
      </c>
      <c r="Z1007" s="20" t="s">
        <v>3250</v>
      </c>
      <c r="AA1007" s="18">
        <v>0.0</v>
      </c>
      <c r="AB1007" s="18"/>
      <c r="AC1007" s="18">
        <v>0.0</v>
      </c>
      <c r="AD1007" s="14">
        <v>0.0</v>
      </c>
      <c r="AE1007" s="18"/>
      <c r="AF1007" s="14">
        <v>0.0</v>
      </c>
      <c r="AG1007" s="22"/>
      <c r="AH1007" s="22"/>
      <c r="AI1007" s="22"/>
      <c r="AJ1007" s="22"/>
      <c r="AK1007" s="22"/>
      <c r="AL1007" s="22"/>
      <c r="AM1007" s="22"/>
      <c r="AN1007" s="22"/>
      <c r="AO1007" s="22"/>
      <c r="AP1007" s="22"/>
    </row>
    <row r="1008" hidden="1">
      <c r="A1008" s="8">
        <v>46125.0</v>
      </c>
      <c r="B1008" s="9">
        <v>0.5</v>
      </c>
      <c r="C1008" s="10" t="s">
        <v>32</v>
      </c>
      <c r="D1008" s="10" t="s">
        <v>3243</v>
      </c>
      <c r="E1008" s="12" t="s">
        <v>217</v>
      </c>
      <c r="F1008" s="12" t="s">
        <v>3170</v>
      </c>
      <c r="G1008" s="12" t="s">
        <v>3251</v>
      </c>
      <c r="H1008" s="68" t="s">
        <v>3178</v>
      </c>
      <c r="I1008" s="57" t="s">
        <v>3179</v>
      </c>
      <c r="J1008" s="14">
        <v>77262.0</v>
      </c>
      <c r="K1008" s="14">
        <v>46417.0</v>
      </c>
      <c r="L1008" s="15">
        <v>0.6007</v>
      </c>
      <c r="M1008" s="16">
        <v>22104.0</v>
      </c>
      <c r="N1008" s="17">
        <v>0.4762</v>
      </c>
      <c r="O1008" s="18">
        <v>825.0</v>
      </c>
      <c r="P1008" s="18">
        <v>808.0</v>
      </c>
      <c r="Q1008" s="119">
        <v>0.0174</v>
      </c>
      <c r="R1008" s="19">
        <v>0.0366</v>
      </c>
      <c r="S1008" s="20">
        <v>0.0</v>
      </c>
      <c r="T1008" s="20">
        <v>0.0</v>
      </c>
      <c r="U1008" s="20">
        <v>0.0</v>
      </c>
      <c r="V1008" s="21" t="s">
        <v>315</v>
      </c>
      <c r="W1008" s="18" t="s">
        <v>76</v>
      </c>
      <c r="X1008" s="66" t="s">
        <v>3174</v>
      </c>
      <c r="Y1008" s="122" t="s">
        <v>3247</v>
      </c>
      <c r="Z1008" s="20" t="s">
        <v>3252</v>
      </c>
      <c r="AA1008" s="18">
        <v>185.0</v>
      </c>
      <c r="AB1008" s="18"/>
      <c r="AC1008" s="18">
        <v>185.0</v>
      </c>
      <c r="AD1008" s="14">
        <v>343070.0</v>
      </c>
      <c r="AE1008" s="18"/>
      <c r="AF1008" s="14">
        <v>343070.0</v>
      </c>
      <c r="AG1008" s="22"/>
      <c r="AH1008" s="22"/>
      <c r="AI1008" s="22"/>
      <c r="AJ1008" s="22"/>
      <c r="AK1008" s="22"/>
      <c r="AL1008" s="22"/>
      <c r="AM1008" s="22"/>
      <c r="AN1008" s="22"/>
      <c r="AO1008" s="22"/>
      <c r="AP1008" s="22"/>
    </row>
    <row r="1009" hidden="1">
      <c r="A1009" s="8">
        <v>46125.0</v>
      </c>
      <c r="B1009" s="9">
        <v>0.5</v>
      </c>
      <c r="C1009" s="10" t="s">
        <v>32</v>
      </c>
      <c r="D1009" s="10" t="s">
        <v>3243</v>
      </c>
      <c r="E1009" s="12" t="s">
        <v>217</v>
      </c>
      <c r="F1009" s="12" t="s">
        <v>3170</v>
      </c>
      <c r="G1009" s="12" t="s">
        <v>3253</v>
      </c>
      <c r="H1009" s="68" t="s">
        <v>3182</v>
      </c>
      <c r="I1009" s="57" t="s">
        <v>3183</v>
      </c>
      <c r="J1009" s="14">
        <v>61229.0</v>
      </c>
      <c r="K1009" s="14">
        <v>34907.0</v>
      </c>
      <c r="L1009" s="15">
        <v>0.5701</v>
      </c>
      <c r="M1009" s="16">
        <v>17766.0</v>
      </c>
      <c r="N1009" s="17">
        <v>0.5089</v>
      </c>
      <c r="O1009" s="18">
        <v>607.0</v>
      </c>
      <c r="P1009" s="18">
        <v>591.0</v>
      </c>
      <c r="Q1009" s="119">
        <v>0.0169</v>
      </c>
      <c r="R1009" s="19">
        <v>0.0333</v>
      </c>
      <c r="S1009" s="20">
        <v>0.0</v>
      </c>
      <c r="T1009" s="20">
        <v>0.0</v>
      </c>
      <c r="U1009" s="20">
        <v>0.0</v>
      </c>
      <c r="V1009" s="21" t="s">
        <v>315</v>
      </c>
      <c r="W1009" s="18" t="s">
        <v>76</v>
      </c>
      <c r="X1009" s="66" t="s">
        <v>3174</v>
      </c>
      <c r="Y1009" s="122" t="s">
        <v>3247</v>
      </c>
      <c r="Z1009" s="20" t="s">
        <v>3254</v>
      </c>
      <c r="AA1009" s="18">
        <v>137.0</v>
      </c>
      <c r="AB1009" s="18"/>
      <c r="AC1009" s="18">
        <v>137.0</v>
      </c>
      <c r="AD1009" s="14">
        <v>298938.0</v>
      </c>
      <c r="AE1009" s="18"/>
      <c r="AF1009" s="14">
        <v>298938.0</v>
      </c>
      <c r="AG1009" s="22"/>
      <c r="AH1009" s="22"/>
      <c r="AI1009" s="22"/>
      <c r="AJ1009" s="22"/>
      <c r="AK1009" s="22"/>
      <c r="AL1009" s="22"/>
      <c r="AM1009" s="22"/>
      <c r="AN1009" s="22"/>
      <c r="AO1009" s="22"/>
      <c r="AP1009" s="22"/>
    </row>
    <row r="1010" hidden="1">
      <c r="A1010" s="8">
        <v>46125.0</v>
      </c>
      <c r="B1010" s="9">
        <v>0.5833333333333334</v>
      </c>
      <c r="C1010" s="10" t="s">
        <v>58</v>
      </c>
      <c r="D1010" s="10" t="s">
        <v>3083</v>
      </c>
      <c r="E1010" s="12" t="s">
        <v>217</v>
      </c>
      <c r="F1010" s="12" t="s">
        <v>3170</v>
      </c>
      <c r="G1010" s="12" t="s">
        <v>3255</v>
      </c>
      <c r="H1010" s="68" t="s">
        <v>3256</v>
      </c>
      <c r="I1010" s="57" t="s">
        <v>61</v>
      </c>
      <c r="J1010" s="14">
        <v>107042.0</v>
      </c>
      <c r="K1010" s="14">
        <v>70822.0</v>
      </c>
      <c r="L1010" s="15">
        <v>0.6616</v>
      </c>
      <c r="M1010" s="16">
        <v>0.0</v>
      </c>
      <c r="N1010" s="17">
        <v>0.0</v>
      </c>
      <c r="O1010" s="18">
        <v>32.0</v>
      </c>
      <c r="P1010" s="18">
        <v>0.0</v>
      </c>
      <c r="Q1010" s="119">
        <v>5.0E-4</v>
      </c>
      <c r="R1010" s="19">
        <v>0.0</v>
      </c>
      <c r="S1010" s="20">
        <v>0.0</v>
      </c>
      <c r="T1010" s="20">
        <v>0.0</v>
      </c>
      <c r="U1010" s="20">
        <v>0.0</v>
      </c>
      <c r="V1010" s="21" t="s">
        <v>315</v>
      </c>
      <c r="W1010" s="18" t="s">
        <v>3257</v>
      </c>
      <c r="X1010" s="66" t="s">
        <v>1101</v>
      </c>
      <c r="Y1010" s="122" t="s">
        <v>3247</v>
      </c>
      <c r="Z1010" s="20" t="s">
        <v>3258</v>
      </c>
      <c r="AA1010" s="18">
        <v>210.0</v>
      </c>
      <c r="AB1010" s="18"/>
      <c r="AC1010" s="18">
        <v>210.0</v>
      </c>
      <c r="AD1010" s="14">
        <v>422054.0</v>
      </c>
      <c r="AE1010" s="18"/>
      <c r="AF1010" s="14">
        <v>422054.0</v>
      </c>
      <c r="AG1010" s="22"/>
      <c r="AH1010" s="22"/>
      <c r="AI1010" s="22"/>
      <c r="AJ1010" s="22"/>
      <c r="AK1010" s="22"/>
      <c r="AL1010" s="22"/>
      <c r="AM1010" s="22"/>
      <c r="AN1010" s="22"/>
      <c r="AO1010" s="22"/>
      <c r="AP1010" s="22"/>
    </row>
    <row r="1011" hidden="1">
      <c r="A1011" s="26">
        <v>46127.0</v>
      </c>
      <c r="B1011" s="123">
        <v>0.7083333333333334</v>
      </c>
      <c r="C1011" s="28" t="s">
        <v>32</v>
      </c>
      <c r="D1011" s="28" t="s">
        <v>3243</v>
      </c>
      <c r="E1011" s="30" t="s">
        <v>71</v>
      </c>
      <c r="F1011" s="30" t="s">
        <v>3259</v>
      </c>
      <c r="G1011" s="30" t="s">
        <v>3260</v>
      </c>
      <c r="H1011" s="112" t="s">
        <v>3261</v>
      </c>
      <c r="I1011" s="72" t="s">
        <v>3262</v>
      </c>
      <c r="J1011" s="33">
        <v>23880.0</v>
      </c>
      <c r="K1011" s="33">
        <v>10929.0</v>
      </c>
      <c r="L1011" s="34">
        <v>0.4574</v>
      </c>
      <c r="M1011" s="35">
        <v>4707.0</v>
      </c>
      <c r="N1011" s="17">
        <v>0.4307</v>
      </c>
      <c r="O1011" s="18">
        <v>1217.0</v>
      </c>
      <c r="P1011" s="18">
        <v>1052.0</v>
      </c>
      <c r="Q1011" s="119">
        <v>0.0963</v>
      </c>
      <c r="R1011" s="19">
        <v>0.2236</v>
      </c>
      <c r="S1011" s="39">
        <v>59.0</v>
      </c>
      <c r="T1011" s="39">
        <v>173.0</v>
      </c>
      <c r="U1011" s="39">
        <v>134515.0</v>
      </c>
      <c r="V1011" s="41" t="s">
        <v>335</v>
      </c>
      <c r="W1011" s="37" t="s">
        <v>76</v>
      </c>
      <c r="X1011" s="73" t="s">
        <v>2286</v>
      </c>
      <c r="Y1011" s="21" t="s">
        <v>3263</v>
      </c>
      <c r="Z1011" s="39" t="s">
        <v>3264</v>
      </c>
      <c r="AA1011" s="37">
        <v>264.0</v>
      </c>
      <c r="AB1011" s="37">
        <v>264.0</v>
      </c>
      <c r="AC1011" s="37"/>
      <c r="AD1011" s="33">
        <v>222404.0</v>
      </c>
      <c r="AE1011" s="33">
        <v>222404.0</v>
      </c>
      <c r="AF1011" s="33"/>
      <c r="AG1011" s="43"/>
      <c r="AH1011" s="43"/>
      <c r="AI1011" s="43"/>
      <c r="AJ1011" s="43"/>
      <c r="AK1011" s="43"/>
      <c r="AL1011" s="43"/>
      <c r="AM1011" s="43"/>
      <c r="AN1011" s="43"/>
      <c r="AO1011" s="43"/>
      <c r="AP1011" s="43"/>
    </row>
    <row r="1012" hidden="1">
      <c r="A1012" s="26">
        <v>46127.0</v>
      </c>
      <c r="B1012" s="123">
        <v>0.7083333333333334</v>
      </c>
      <c r="C1012" s="28" t="s">
        <v>32</v>
      </c>
      <c r="D1012" s="28" t="s">
        <v>3243</v>
      </c>
      <c r="E1012" s="30" t="s">
        <v>71</v>
      </c>
      <c r="F1012" s="30" t="s">
        <v>3259</v>
      </c>
      <c r="G1012" s="30" t="s">
        <v>3265</v>
      </c>
      <c r="H1012" s="112" t="s">
        <v>3266</v>
      </c>
      <c r="I1012" s="72" t="s">
        <v>3267</v>
      </c>
      <c r="J1012" s="33">
        <v>110287.0</v>
      </c>
      <c r="K1012" s="33">
        <v>49253.0</v>
      </c>
      <c r="L1012" s="34">
        <v>0.4463</v>
      </c>
      <c r="M1012" s="35">
        <v>18324.0</v>
      </c>
      <c r="N1012" s="17">
        <v>0.3722</v>
      </c>
      <c r="O1012" s="18">
        <v>3591.0</v>
      </c>
      <c r="P1012" s="18">
        <v>3205.0</v>
      </c>
      <c r="Q1012" s="119">
        <v>0.0651</v>
      </c>
      <c r="R1012" s="19">
        <v>0.1749</v>
      </c>
      <c r="S1012" s="39">
        <v>105.0</v>
      </c>
      <c r="T1012" s="39">
        <v>230.0</v>
      </c>
      <c r="U1012" s="39">
        <v>272576.0</v>
      </c>
      <c r="V1012" s="41" t="s">
        <v>335</v>
      </c>
      <c r="W1012" s="37" t="s">
        <v>76</v>
      </c>
      <c r="X1012" s="73" t="s">
        <v>41</v>
      </c>
      <c r="Y1012" s="21" t="s">
        <v>3263</v>
      </c>
      <c r="Z1012" s="39" t="s">
        <v>3268</v>
      </c>
      <c r="AA1012" s="37">
        <v>597.0</v>
      </c>
      <c r="AB1012" s="37">
        <v>597.0</v>
      </c>
      <c r="AC1012" s="37"/>
      <c r="AD1012" s="33">
        <v>1517315.0</v>
      </c>
      <c r="AE1012" s="33">
        <v>1517315.0</v>
      </c>
      <c r="AF1012" s="33"/>
      <c r="AG1012" s="43"/>
      <c r="AH1012" s="43"/>
      <c r="AI1012" s="43"/>
      <c r="AJ1012" s="43"/>
      <c r="AK1012" s="43"/>
      <c r="AL1012" s="43"/>
      <c r="AM1012" s="43"/>
      <c r="AN1012" s="43"/>
      <c r="AO1012" s="43"/>
      <c r="AP1012" s="43"/>
    </row>
    <row r="1013" hidden="1">
      <c r="A1013" s="26">
        <v>46127.0</v>
      </c>
      <c r="B1013" s="123">
        <v>0.7083333333333334</v>
      </c>
      <c r="C1013" s="28" t="s">
        <v>32</v>
      </c>
      <c r="D1013" s="28" t="s">
        <v>3243</v>
      </c>
      <c r="E1013" s="30" t="s">
        <v>71</v>
      </c>
      <c r="F1013" s="30" t="s">
        <v>3259</v>
      </c>
      <c r="G1013" s="30" t="s">
        <v>3269</v>
      </c>
      <c r="H1013" s="112" t="s">
        <v>3270</v>
      </c>
      <c r="I1013" s="72" t="s">
        <v>3271</v>
      </c>
      <c r="J1013" s="33">
        <v>4037.0</v>
      </c>
      <c r="K1013" s="33">
        <v>2137.0</v>
      </c>
      <c r="L1013" s="34">
        <v>0.5294</v>
      </c>
      <c r="M1013" s="35">
        <v>986.0</v>
      </c>
      <c r="N1013" s="17">
        <v>0.4614</v>
      </c>
      <c r="O1013" s="18">
        <v>345.0</v>
      </c>
      <c r="P1013" s="18">
        <v>295.0</v>
      </c>
      <c r="Q1013" s="119">
        <v>0.138</v>
      </c>
      <c r="R1013" s="19">
        <v>0.2992</v>
      </c>
      <c r="S1013" s="39">
        <v>33.0</v>
      </c>
      <c r="T1013" s="39">
        <v>149.0</v>
      </c>
      <c r="U1013" s="39">
        <v>68413.0</v>
      </c>
      <c r="V1013" s="41" t="s">
        <v>335</v>
      </c>
      <c r="W1013" s="37" t="s">
        <v>76</v>
      </c>
      <c r="X1013" s="73" t="s">
        <v>3114</v>
      </c>
      <c r="Y1013" s="21" t="s">
        <v>3263</v>
      </c>
      <c r="Z1013" s="39" t="s">
        <v>3272</v>
      </c>
      <c r="AA1013" s="37">
        <v>46.0</v>
      </c>
      <c r="AB1013" s="37">
        <v>46.0</v>
      </c>
      <c r="AC1013" s="37"/>
      <c r="AD1013" s="33">
        <v>89461.0</v>
      </c>
      <c r="AE1013" s="33">
        <v>89461.0</v>
      </c>
      <c r="AF1013" s="33"/>
      <c r="AG1013" s="43"/>
      <c r="AH1013" s="43"/>
      <c r="AI1013" s="43"/>
      <c r="AJ1013" s="43"/>
      <c r="AK1013" s="43"/>
      <c r="AL1013" s="43"/>
      <c r="AM1013" s="43"/>
      <c r="AN1013" s="43"/>
      <c r="AO1013" s="43"/>
      <c r="AP1013" s="43"/>
    </row>
    <row r="1014" hidden="1">
      <c r="A1014" s="26">
        <v>46127.0</v>
      </c>
      <c r="B1014" s="123">
        <v>0.8125</v>
      </c>
      <c r="C1014" s="28" t="s">
        <v>58</v>
      </c>
      <c r="D1014" s="112" t="s">
        <v>3083</v>
      </c>
      <c r="E1014" s="30" t="s">
        <v>71</v>
      </c>
      <c r="F1014" s="30" t="s">
        <v>3259</v>
      </c>
      <c r="G1014" s="30" t="s">
        <v>3273</v>
      </c>
      <c r="H1014" s="112" t="s">
        <v>3261</v>
      </c>
      <c r="I1014" s="72" t="s">
        <v>61</v>
      </c>
      <c r="J1014" s="33">
        <v>12662.0</v>
      </c>
      <c r="K1014" s="33">
        <v>6928.0</v>
      </c>
      <c r="L1014" s="15">
        <v>0.5471</v>
      </c>
      <c r="M1014" s="35">
        <v>0.0</v>
      </c>
      <c r="N1014" s="17">
        <v>0.0</v>
      </c>
      <c r="O1014" s="18">
        <v>70.0</v>
      </c>
      <c r="P1014" s="18">
        <v>0.0</v>
      </c>
      <c r="Q1014" s="119">
        <v>0.0101</v>
      </c>
      <c r="R1014" s="19">
        <v>0.0</v>
      </c>
      <c r="S1014" s="39">
        <v>15.0</v>
      </c>
      <c r="T1014" s="39">
        <v>54.0</v>
      </c>
      <c r="U1014" s="39">
        <v>52370.0</v>
      </c>
      <c r="V1014" s="41" t="s">
        <v>335</v>
      </c>
      <c r="W1014" s="37" t="s">
        <v>3257</v>
      </c>
      <c r="X1014" s="73" t="s">
        <v>2286</v>
      </c>
      <c r="Y1014" s="122">
        <v>46127.0</v>
      </c>
      <c r="Z1014" s="39" t="s">
        <v>3274</v>
      </c>
      <c r="AA1014" s="37">
        <v>76.0</v>
      </c>
      <c r="AB1014" s="37">
        <v>76.0</v>
      </c>
      <c r="AC1014" s="37"/>
      <c r="AD1014" s="33">
        <v>230643.0</v>
      </c>
      <c r="AE1014" s="33">
        <v>230643.0</v>
      </c>
      <c r="AF1014" s="33"/>
      <c r="AG1014" s="43"/>
      <c r="AH1014" s="43"/>
      <c r="AI1014" s="43"/>
      <c r="AJ1014" s="43"/>
      <c r="AK1014" s="43"/>
      <c r="AL1014" s="43"/>
      <c r="AM1014" s="43"/>
      <c r="AN1014" s="43"/>
      <c r="AO1014" s="43"/>
      <c r="AP1014" s="43"/>
    </row>
    <row r="1015" hidden="1">
      <c r="A1015" s="26">
        <v>46127.0</v>
      </c>
      <c r="B1015" s="123">
        <v>0.8125</v>
      </c>
      <c r="C1015" s="28" t="s">
        <v>58</v>
      </c>
      <c r="D1015" s="112" t="s">
        <v>3083</v>
      </c>
      <c r="E1015" s="30" t="s">
        <v>71</v>
      </c>
      <c r="F1015" s="30" t="s">
        <v>3259</v>
      </c>
      <c r="G1015" s="30" t="s">
        <v>3275</v>
      </c>
      <c r="H1015" s="112" t="s">
        <v>3266</v>
      </c>
      <c r="I1015" s="72" t="s">
        <v>61</v>
      </c>
      <c r="J1015" s="33">
        <v>58856.0</v>
      </c>
      <c r="K1015" s="33">
        <v>33762.0</v>
      </c>
      <c r="L1015" s="15">
        <v>0.5736</v>
      </c>
      <c r="M1015" s="35">
        <v>0.0</v>
      </c>
      <c r="N1015" s="17">
        <v>0.0</v>
      </c>
      <c r="O1015" s="18">
        <v>140.0</v>
      </c>
      <c r="P1015" s="18">
        <v>0.0</v>
      </c>
      <c r="Q1015" s="119">
        <v>0.0041</v>
      </c>
      <c r="R1015" s="19">
        <v>0.0</v>
      </c>
      <c r="S1015" s="39">
        <v>25.0</v>
      </c>
      <c r="T1015" s="39">
        <v>58.0</v>
      </c>
      <c r="U1015" s="39">
        <v>47032.0</v>
      </c>
      <c r="V1015" s="41" t="s">
        <v>335</v>
      </c>
      <c r="W1015" s="37" t="s">
        <v>3257</v>
      </c>
      <c r="X1015" s="73" t="s">
        <v>41</v>
      </c>
      <c r="Y1015" s="122">
        <v>46127.0</v>
      </c>
      <c r="Z1015" s="39" t="s">
        <v>3276</v>
      </c>
      <c r="AA1015" s="37">
        <v>112.0</v>
      </c>
      <c r="AB1015" s="37">
        <v>112.0</v>
      </c>
      <c r="AC1015" s="37"/>
      <c r="AD1015" s="33">
        <v>282788.0</v>
      </c>
      <c r="AE1015" s="33">
        <v>282788.0</v>
      </c>
      <c r="AF1015" s="33"/>
      <c r="AG1015" s="43"/>
      <c r="AH1015" s="43"/>
      <c r="AI1015" s="43"/>
      <c r="AJ1015" s="43"/>
      <c r="AK1015" s="43"/>
      <c r="AL1015" s="43"/>
      <c r="AM1015" s="43"/>
      <c r="AN1015" s="43"/>
      <c r="AO1015" s="43"/>
      <c r="AP1015" s="43"/>
    </row>
    <row r="1016" hidden="1">
      <c r="A1016" s="26">
        <v>46127.0</v>
      </c>
      <c r="B1016" s="123">
        <v>0.8125</v>
      </c>
      <c r="C1016" s="28" t="s">
        <v>58</v>
      </c>
      <c r="D1016" s="112" t="s">
        <v>3083</v>
      </c>
      <c r="E1016" s="30" t="s">
        <v>71</v>
      </c>
      <c r="F1016" s="30" t="s">
        <v>3259</v>
      </c>
      <c r="G1016" s="30" t="s">
        <v>3277</v>
      </c>
      <c r="H1016" s="112" t="s">
        <v>3270</v>
      </c>
      <c r="I1016" s="72" t="s">
        <v>61</v>
      </c>
      <c r="J1016" s="33">
        <v>1867.0</v>
      </c>
      <c r="K1016" s="33">
        <v>1244.0</v>
      </c>
      <c r="L1016" s="15">
        <v>0.6663</v>
      </c>
      <c r="M1016" s="35">
        <v>0.0</v>
      </c>
      <c r="N1016" s="17">
        <v>0.0</v>
      </c>
      <c r="O1016" s="18">
        <v>13.0</v>
      </c>
      <c r="P1016" s="18">
        <v>0.0</v>
      </c>
      <c r="Q1016" s="119">
        <v>0.0105</v>
      </c>
      <c r="R1016" s="19">
        <v>0.0</v>
      </c>
      <c r="S1016" s="39">
        <v>9.0</v>
      </c>
      <c r="T1016" s="39">
        <v>36.0</v>
      </c>
      <c r="U1016" s="39">
        <v>20813.0</v>
      </c>
      <c r="V1016" s="41" t="s">
        <v>335</v>
      </c>
      <c r="W1016" s="37" t="s">
        <v>3257</v>
      </c>
      <c r="X1016" s="73" t="s">
        <v>3114</v>
      </c>
      <c r="Y1016" s="122">
        <v>46127.0</v>
      </c>
      <c r="Z1016" s="39" t="s">
        <v>3278</v>
      </c>
      <c r="AA1016" s="37">
        <v>19.0</v>
      </c>
      <c r="AB1016" s="37">
        <v>19.0</v>
      </c>
      <c r="AC1016" s="37"/>
      <c r="AD1016" s="33">
        <v>41275.0</v>
      </c>
      <c r="AE1016" s="33">
        <v>41275.0</v>
      </c>
      <c r="AF1016" s="33"/>
      <c r="AG1016" s="43"/>
      <c r="AH1016" s="43"/>
      <c r="AI1016" s="43"/>
      <c r="AJ1016" s="43"/>
      <c r="AK1016" s="43"/>
      <c r="AL1016" s="43"/>
      <c r="AM1016" s="43"/>
      <c r="AN1016" s="43"/>
      <c r="AO1016" s="43"/>
      <c r="AP1016" s="43"/>
    </row>
    <row r="1017" hidden="1">
      <c r="A1017" s="8">
        <v>46128.0</v>
      </c>
      <c r="B1017" s="9">
        <v>0.3541666666666667</v>
      </c>
      <c r="C1017" s="10" t="s">
        <v>32</v>
      </c>
      <c r="D1017" s="10" t="s">
        <v>3243</v>
      </c>
      <c r="E1017" s="12" t="s">
        <v>179</v>
      </c>
      <c r="F1017" s="12" t="s">
        <v>3279</v>
      </c>
      <c r="G1017" s="12" t="s">
        <v>3280</v>
      </c>
      <c r="H1017" s="68" t="s">
        <v>1828</v>
      </c>
      <c r="I1017" s="57" t="s">
        <v>3281</v>
      </c>
      <c r="J1017" s="14">
        <v>2142.0</v>
      </c>
      <c r="K1017" s="14">
        <v>1472.0</v>
      </c>
      <c r="L1017" s="15">
        <v>0.6872</v>
      </c>
      <c r="M1017" s="16">
        <v>437.0</v>
      </c>
      <c r="N1017" s="17">
        <v>0.2969</v>
      </c>
      <c r="O1017" s="18">
        <v>0.0</v>
      </c>
      <c r="P1017" s="18">
        <v>0.0</v>
      </c>
      <c r="Q1017" s="119">
        <v>0.0</v>
      </c>
      <c r="R1017" s="19">
        <v>0.0</v>
      </c>
      <c r="S1017" s="20">
        <v>0.0</v>
      </c>
      <c r="T1017" s="20">
        <v>0.0</v>
      </c>
      <c r="U1017" s="20">
        <v>0.0</v>
      </c>
      <c r="V1017" s="21" t="s">
        <v>315</v>
      </c>
      <c r="W1017" s="18" t="s">
        <v>76</v>
      </c>
      <c r="X1017" s="66" t="s">
        <v>3282</v>
      </c>
      <c r="Y1017" s="122" t="s">
        <v>3283</v>
      </c>
      <c r="Z1017" s="20" t="s">
        <v>3284</v>
      </c>
      <c r="AA1017" s="18">
        <v>2.0</v>
      </c>
      <c r="AB1017" s="18"/>
      <c r="AC1017" s="18">
        <v>2.0</v>
      </c>
      <c r="AD1017" s="14">
        <v>6698.0</v>
      </c>
      <c r="AE1017" s="18"/>
      <c r="AF1017" s="14">
        <v>6698.0</v>
      </c>
      <c r="AG1017" s="22"/>
      <c r="AH1017" s="22"/>
      <c r="AI1017" s="22"/>
      <c r="AJ1017" s="22"/>
      <c r="AK1017" s="22"/>
      <c r="AL1017" s="22"/>
      <c r="AM1017" s="22"/>
      <c r="AN1017" s="22"/>
      <c r="AO1017" s="22"/>
      <c r="AP1017" s="22"/>
    </row>
    <row r="1018" hidden="1">
      <c r="A1018" s="8">
        <v>46128.0</v>
      </c>
      <c r="B1018" s="9">
        <v>0.3576388888888889</v>
      </c>
      <c r="C1018" s="10" t="s">
        <v>32</v>
      </c>
      <c r="D1018" s="10" t="s">
        <v>3243</v>
      </c>
      <c r="E1018" s="12" t="s">
        <v>179</v>
      </c>
      <c r="F1018" s="12" t="s">
        <v>3279</v>
      </c>
      <c r="G1018" s="12" t="s">
        <v>3285</v>
      </c>
      <c r="H1018" s="68" t="s">
        <v>1472</v>
      </c>
      <c r="I1018" s="57" t="s">
        <v>3286</v>
      </c>
      <c r="J1018" s="14">
        <v>3368.0</v>
      </c>
      <c r="K1018" s="14">
        <v>2303.0</v>
      </c>
      <c r="L1018" s="15">
        <v>0.6838</v>
      </c>
      <c r="M1018" s="16">
        <v>666.0</v>
      </c>
      <c r="N1018" s="17">
        <v>0.2892</v>
      </c>
      <c r="O1018" s="18">
        <v>0.0</v>
      </c>
      <c r="P1018" s="18">
        <v>0.0</v>
      </c>
      <c r="Q1018" s="119">
        <v>0.0</v>
      </c>
      <c r="R1018" s="19">
        <v>0.0</v>
      </c>
      <c r="S1018" s="20">
        <v>1.0</v>
      </c>
      <c r="T1018" s="20">
        <v>1.0</v>
      </c>
      <c r="U1018" s="20">
        <v>6343.0</v>
      </c>
      <c r="V1018" s="21" t="s">
        <v>315</v>
      </c>
      <c r="W1018" s="18" t="s">
        <v>76</v>
      </c>
      <c r="X1018" s="66" t="s">
        <v>3282</v>
      </c>
      <c r="Y1018" s="122" t="s">
        <v>3283</v>
      </c>
      <c r="Z1018" s="20" t="s">
        <v>3287</v>
      </c>
      <c r="AA1018" s="18">
        <v>3.0</v>
      </c>
      <c r="AB1018" s="18"/>
      <c r="AC1018" s="18">
        <v>3.0</v>
      </c>
      <c r="AD1018" s="14">
        <v>12188.0</v>
      </c>
      <c r="AE1018" s="18"/>
      <c r="AF1018" s="14">
        <v>12188.0</v>
      </c>
      <c r="AG1018" s="22"/>
      <c r="AH1018" s="22"/>
      <c r="AI1018" s="22"/>
      <c r="AJ1018" s="22"/>
      <c r="AK1018" s="22"/>
      <c r="AL1018" s="22"/>
      <c r="AM1018" s="22"/>
      <c r="AN1018" s="22"/>
      <c r="AO1018" s="22"/>
      <c r="AP1018" s="22"/>
    </row>
    <row r="1019" hidden="1">
      <c r="A1019" s="8">
        <v>46128.0</v>
      </c>
      <c r="B1019" s="9">
        <v>0.3611111111111111</v>
      </c>
      <c r="C1019" s="10" t="s">
        <v>32</v>
      </c>
      <c r="D1019" s="10" t="s">
        <v>3243</v>
      </c>
      <c r="E1019" s="12" t="s">
        <v>179</v>
      </c>
      <c r="F1019" s="12" t="s">
        <v>3279</v>
      </c>
      <c r="G1019" s="12" t="s">
        <v>3288</v>
      </c>
      <c r="H1019" s="68" t="s">
        <v>1836</v>
      </c>
      <c r="I1019" s="57" t="s">
        <v>3289</v>
      </c>
      <c r="J1019" s="14">
        <v>3902.0</v>
      </c>
      <c r="K1019" s="14">
        <v>2585.0</v>
      </c>
      <c r="L1019" s="15">
        <v>0.6622</v>
      </c>
      <c r="M1019" s="16">
        <v>769.0</v>
      </c>
      <c r="N1019" s="17">
        <v>0.2976</v>
      </c>
      <c r="O1019" s="18">
        <v>0.0</v>
      </c>
      <c r="P1019" s="18">
        <v>0.0</v>
      </c>
      <c r="Q1019" s="119">
        <v>0.0</v>
      </c>
      <c r="R1019" s="19">
        <v>0.0</v>
      </c>
      <c r="S1019" s="20">
        <v>0.0</v>
      </c>
      <c r="T1019" s="20">
        <v>0.0</v>
      </c>
      <c r="U1019" s="20">
        <v>0.0</v>
      </c>
      <c r="V1019" s="21" t="s">
        <v>315</v>
      </c>
      <c r="W1019" s="18" t="s">
        <v>76</v>
      </c>
      <c r="X1019" s="66" t="s">
        <v>3282</v>
      </c>
      <c r="Y1019" s="122" t="s">
        <v>3283</v>
      </c>
      <c r="Z1019" s="20" t="s">
        <v>3290</v>
      </c>
      <c r="AA1019" s="18">
        <v>6.0</v>
      </c>
      <c r="AB1019" s="18"/>
      <c r="AC1019" s="18">
        <v>6.0</v>
      </c>
      <c r="AD1019" s="14">
        <v>19393.0</v>
      </c>
      <c r="AE1019" s="18"/>
      <c r="AF1019" s="14">
        <v>19393.0</v>
      </c>
      <c r="AG1019" s="22"/>
      <c r="AH1019" s="22"/>
      <c r="AI1019" s="22"/>
      <c r="AJ1019" s="22"/>
      <c r="AK1019" s="22"/>
      <c r="AL1019" s="22"/>
      <c r="AM1019" s="22"/>
      <c r="AN1019" s="22"/>
      <c r="AO1019" s="22"/>
      <c r="AP1019" s="22"/>
    </row>
    <row r="1020" hidden="1">
      <c r="A1020" s="8">
        <v>46128.0</v>
      </c>
      <c r="B1020" s="9">
        <v>0.3645833333333333</v>
      </c>
      <c r="C1020" s="10" t="s">
        <v>32</v>
      </c>
      <c r="D1020" s="10" t="s">
        <v>3243</v>
      </c>
      <c r="E1020" s="12" t="s">
        <v>179</v>
      </c>
      <c r="F1020" s="12" t="s">
        <v>3279</v>
      </c>
      <c r="G1020" s="12" t="s">
        <v>3291</v>
      </c>
      <c r="H1020" s="68" t="s">
        <v>1832</v>
      </c>
      <c r="I1020" s="57" t="s">
        <v>3292</v>
      </c>
      <c r="J1020" s="14">
        <v>1632.0</v>
      </c>
      <c r="K1020" s="14">
        <v>1106.0</v>
      </c>
      <c r="L1020" s="15">
        <v>0.6777</v>
      </c>
      <c r="M1020" s="16">
        <v>371.0</v>
      </c>
      <c r="N1020" s="17">
        <v>0.3354</v>
      </c>
      <c r="O1020" s="18">
        <v>0.0</v>
      </c>
      <c r="P1020" s="18">
        <v>0.0</v>
      </c>
      <c r="Q1020" s="119">
        <v>0.0</v>
      </c>
      <c r="R1020" s="19">
        <v>0.0</v>
      </c>
      <c r="S1020" s="20">
        <v>0.0</v>
      </c>
      <c r="T1020" s="20">
        <v>0.0</v>
      </c>
      <c r="U1020" s="20">
        <v>0.0</v>
      </c>
      <c r="V1020" s="21" t="s">
        <v>315</v>
      </c>
      <c r="W1020" s="18" t="s">
        <v>76</v>
      </c>
      <c r="X1020" s="66" t="s">
        <v>3282</v>
      </c>
      <c r="Y1020" s="122" t="s">
        <v>3283</v>
      </c>
      <c r="Z1020" s="20" t="s">
        <v>3293</v>
      </c>
      <c r="AA1020" s="18">
        <v>6.0</v>
      </c>
      <c r="AB1020" s="18"/>
      <c r="AC1020" s="18">
        <v>6.0</v>
      </c>
      <c r="AD1020" s="14">
        <v>29792.0</v>
      </c>
      <c r="AE1020" s="18"/>
      <c r="AF1020" s="14">
        <v>29792.0</v>
      </c>
      <c r="AG1020" s="22"/>
      <c r="AH1020" s="22"/>
      <c r="AI1020" s="22"/>
      <c r="AJ1020" s="22"/>
      <c r="AK1020" s="22"/>
      <c r="AL1020" s="22"/>
      <c r="AM1020" s="22"/>
      <c r="AN1020" s="22"/>
      <c r="AO1020" s="22"/>
      <c r="AP1020" s="22"/>
    </row>
    <row r="1021" hidden="1">
      <c r="A1021" s="8">
        <v>46128.0</v>
      </c>
      <c r="B1021" s="9">
        <v>0.3680555555555556</v>
      </c>
      <c r="C1021" s="10" t="s">
        <v>32</v>
      </c>
      <c r="D1021" s="10" t="s">
        <v>3243</v>
      </c>
      <c r="E1021" s="12" t="s">
        <v>179</v>
      </c>
      <c r="F1021" s="12" t="s">
        <v>3279</v>
      </c>
      <c r="G1021" s="12" t="s">
        <v>3294</v>
      </c>
      <c r="H1021" s="68" t="s">
        <v>1445</v>
      </c>
      <c r="I1021" s="57" t="s">
        <v>3295</v>
      </c>
      <c r="J1021" s="14">
        <v>5250.0</v>
      </c>
      <c r="K1021" s="14">
        <v>3228.0</v>
      </c>
      <c r="L1021" s="15">
        <v>0.6149</v>
      </c>
      <c r="M1021" s="16">
        <v>941.0</v>
      </c>
      <c r="N1021" s="17">
        <v>0.2915</v>
      </c>
      <c r="O1021" s="18">
        <v>0.0</v>
      </c>
      <c r="P1021" s="18">
        <v>0.0</v>
      </c>
      <c r="Q1021" s="119">
        <v>0.0</v>
      </c>
      <c r="R1021" s="19">
        <v>0.0</v>
      </c>
      <c r="S1021" s="20">
        <v>0.0</v>
      </c>
      <c r="T1021" s="20">
        <v>1.0</v>
      </c>
      <c r="U1021" s="20">
        <v>0.0</v>
      </c>
      <c r="V1021" s="21" t="s">
        <v>315</v>
      </c>
      <c r="W1021" s="18" t="s">
        <v>76</v>
      </c>
      <c r="X1021" s="66" t="s">
        <v>3282</v>
      </c>
      <c r="Y1021" s="122" t="s">
        <v>3283</v>
      </c>
      <c r="Z1021" s="20" t="s">
        <v>3296</v>
      </c>
      <c r="AA1021" s="18">
        <v>11.0</v>
      </c>
      <c r="AB1021" s="18"/>
      <c r="AC1021" s="18">
        <v>11.0</v>
      </c>
      <c r="AD1021" s="14">
        <v>92671.0</v>
      </c>
      <c r="AE1021" s="18"/>
      <c r="AF1021" s="14">
        <v>92671.0</v>
      </c>
      <c r="AG1021" s="22"/>
      <c r="AH1021" s="22"/>
      <c r="AI1021" s="22"/>
      <c r="AJ1021" s="22"/>
      <c r="AK1021" s="22"/>
      <c r="AL1021" s="22"/>
      <c r="AM1021" s="22"/>
      <c r="AN1021" s="22"/>
      <c r="AO1021" s="22"/>
      <c r="AP1021" s="22"/>
    </row>
    <row r="1022" hidden="1">
      <c r="A1022" s="8">
        <v>46128.0</v>
      </c>
      <c r="B1022" s="9">
        <v>0.3715277777777778</v>
      </c>
      <c r="C1022" s="10" t="s">
        <v>32</v>
      </c>
      <c r="D1022" s="10" t="s">
        <v>3243</v>
      </c>
      <c r="E1022" s="12" t="s">
        <v>179</v>
      </c>
      <c r="F1022" s="12" t="s">
        <v>3279</v>
      </c>
      <c r="G1022" s="12" t="s">
        <v>3297</v>
      </c>
      <c r="H1022" s="68" t="s">
        <v>1469</v>
      </c>
      <c r="I1022" s="57" t="s">
        <v>3298</v>
      </c>
      <c r="J1022" s="14">
        <v>975.0</v>
      </c>
      <c r="K1022" s="14">
        <v>678.0</v>
      </c>
      <c r="L1022" s="15">
        <v>0.6954</v>
      </c>
      <c r="M1022" s="16">
        <v>272.0</v>
      </c>
      <c r="N1022" s="17">
        <v>0.4012</v>
      </c>
      <c r="O1022" s="18">
        <v>0.0</v>
      </c>
      <c r="P1022" s="18">
        <v>0.0</v>
      </c>
      <c r="Q1022" s="119">
        <v>0.0</v>
      </c>
      <c r="R1022" s="19">
        <v>0.0</v>
      </c>
      <c r="S1022" s="20">
        <v>0.0</v>
      </c>
      <c r="T1022" s="20">
        <v>1.0</v>
      </c>
      <c r="U1022" s="20">
        <v>0.0</v>
      </c>
      <c r="V1022" s="21" t="s">
        <v>315</v>
      </c>
      <c r="W1022" s="18" t="s">
        <v>76</v>
      </c>
      <c r="X1022" s="66" t="s">
        <v>3282</v>
      </c>
      <c r="Y1022" s="122" t="s">
        <v>3283</v>
      </c>
      <c r="Z1022" s="20" t="s">
        <v>3299</v>
      </c>
      <c r="AA1022" s="18">
        <v>2.0</v>
      </c>
      <c r="AB1022" s="18"/>
      <c r="AC1022" s="18">
        <v>2.0</v>
      </c>
      <c r="AD1022" s="14">
        <v>5398.0</v>
      </c>
      <c r="AE1022" s="18"/>
      <c r="AF1022" s="14">
        <v>5398.0</v>
      </c>
      <c r="AG1022" s="22"/>
      <c r="AH1022" s="22"/>
      <c r="AI1022" s="22"/>
      <c r="AJ1022" s="22"/>
      <c r="AK1022" s="22"/>
      <c r="AL1022" s="22"/>
      <c r="AM1022" s="22"/>
      <c r="AN1022" s="22"/>
      <c r="AO1022" s="22"/>
      <c r="AP1022" s="22"/>
    </row>
    <row r="1023" hidden="1">
      <c r="A1023" s="8">
        <v>46128.0</v>
      </c>
      <c r="B1023" s="9">
        <v>0.375</v>
      </c>
      <c r="C1023" s="10" t="s">
        <v>32</v>
      </c>
      <c r="D1023" s="10" t="s">
        <v>3243</v>
      </c>
      <c r="E1023" s="12" t="s">
        <v>179</v>
      </c>
      <c r="F1023" s="12" t="s">
        <v>3279</v>
      </c>
      <c r="G1023" s="12" t="s">
        <v>3300</v>
      </c>
      <c r="H1023" s="68" t="s">
        <v>1475</v>
      </c>
      <c r="I1023" s="57" t="s">
        <v>3301</v>
      </c>
      <c r="J1023" s="14">
        <v>37559.0</v>
      </c>
      <c r="K1023" s="14">
        <v>22580.0</v>
      </c>
      <c r="L1023" s="15">
        <v>0.6011</v>
      </c>
      <c r="M1023" s="16">
        <v>5732.0</v>
      </c>
      <c r="N1023" s="17">
        <v>0.2539</v>
      </c>
      <c r="O1023" s="18">
        <v>0.0</v>
      </c>
      <c r="P1023" s="18">
        <v>0.0</v>
      </c>
      <c r="Q1023" s="119">
        <v>0.0</v>
      </c>
      <c r="R1023" s="19">
        <v>0.0</v>
      </c>
      <c r="S1023" s="20">
        <v>3.0</v>
      </c>
      <c r="T1023" s="20">
        <v>12.0</v>
      </c>
      <c r="U1023" s="20">
        <v>62437.0</v>
      </c>
      <c r="V1023" s="21" t="s">
        <v>315</v>
      </c>
      <c r="W1023" s="18" t="s">
        <v>76</v>
      </c>
      <c r="X1023" s="66" t="s">
        <v>3282</v>
      </c>
      <c r="Y1023" s="122" t="s">
        <v>3283</v>
      </c>
      <c r="Z1023" s="20" t="s">
        <v>3302</v>
      </c>
      <c r="AA1023" s="18">
        <v>97.0</v>
      </c>
      <c r="AB1023" s="18"/>
      <c r="AC1023" s="18">
        <v>97.0</v>
      </c>
      <c r="AD1023" s="14">
        <v>1532427.0</v>
      </c>
      <c r="AE1023" s="18"/>
      <c r="AF1023" s="14">
        <v>1532427.0</v>
      </c>
      <c r="AG1023" s="22"/>
      <c r="AH1023" s="22"/>
      <c r="AI1023" s="22"/>
      <c r="AJ1023" s="22"/>
      <c r="AK1023" s="22"/>
      <c r="AL1023" s="22"/>
      <c r="AM1023" s="22"/>
      <c r="AN1023" s="22"/>
      <c r="AO1023" s="22"/>
      <c r="AP1023" s="22"/>
    </row>
    <row r="1024" hidden="1">
      <c r="A1024" s="8">
        <v>46128.0</v>
      </c>
      <c r="B1024" s="9">
        <v>0.3784722222222222</v>
      </c>
      <c r="C1024" s="10" t="s">
        <v>32</v>
      </c>
      <c r="D1024" s="10" t="s">
        <v>3243</v>
      </c>
      <c r="E1024" s="12" t="s">
        <v>179</v>
      </c>
      <c r="F1024" s="12" t="s">
        <v>3279</v>
      </c>
      <c r="G1024" s="12" t="s">
        <v>3303</v>
      </c>
      <c r="H1024" s="68" t="s">
        <v>1442</v>
      </c>
      <c r="I1024" s="57" t="s">
        <v>3304</v>
      </c>
      <c r="J1024" s="14">
        <v>31890.0</v>
      </c>
      <c r="K1024" s="14">
        <v>18389.0</v>
      </c>
      <c r="L1024" s="15">
        <v>0.5766</v>
      </c>
      <c r="M1024" s="16">
        <v>4257.0</v>
      </c>
      <c r="N1024" s="17">
        <v>0.2315</v>
      </c>
      <c r="O1024" s="18">
        <v>0.0</v>
      </c>
      <c r="P1024" s="18">
        <v>0.0</v>
      </c>
      <c r="Q1024" s="119">
        <v>0.0</v>
      </c>
      <c r="R1024" s="19">
        <v>0.0</v>
      </c>
      <c r="S1024" s="20">
        <v>0.0</v>
      </c>
      <c r="T1024" s="20">
        <v>10.0</v>
      </c>
      <c r="U1024" s="20">
        <v>0.0</v>
      </c>
      <c r="V1024" s="21" t="s">
        <v>315</v>
      </c>
      <c r="W1024" s="18" t="s">
        <v>76</v>
      </c>
      <c r="X1024" s="66" t="s">
        <v>3282</v>
      </c>
      <c r="Y1024" s="122" t="s">
        <v>3283</v>
      </c>
      <c r="Z1024" s="20" t="s">
        <v>3305</v>
      </c>
      <c r="AA1024" s="18">
        <v>58.0</v>
      </c>
      <c r="AB1024" s="18"/>
      <c r="AC1024" s="18">
        <v>58.0</v>
      </c>
      <c r="AD1024" s="14">
        <v>1072800.0</v>
      </c>
      <c r="AE1024" s="18"/>
      <c r="AF1024" s="14">
        <v>1072800.0</v>
      </c>
      <c r="AG1024" s="22"/>
      <c r="AH1024" s="22"/>
      <c r="AI1024" s="22"/>
      <c r="AJ1024" s="22"/>
      <c r="AK1024" s="22"/>
      <c r="AL1024" s="22"/>
      <c r="AM1024" s="22"/>
      <c r="AN1024" s="22"/>
      <c r="AO1024" s="22"/>
      <c r="AP1024" s="22"/>
    </row>
    <row r="1025" hidden="1">
      <c r="A1025" s="8">
        <v>46128.0</v>
      </c>
      <c r="B1025" s="9">
        <v>0.3819444444444444</v>
      </c>
      <c r="C1025" s="10" t="s">
        <v>32</v>
      </c>
      <c r="D1025" s="10" t="s">
        <v>3243</v>
      </c>
      <c r="E1025" s="12" t="s">
        <v>179</v>
      </c>
      <c r="F1025" s="12" t="s">
        <v>3279</v>
      </c>
      <c r="G1025" s="12" t="s">
        <v>3306</v>
      </c>
      <c r="H1025" s="68" t="s">
        <v>2384</v>
      </c>
      <c r="I1025" s="57" t="s">
        <v>3307</v>
      </c>
      <c r="J1025" s="14">
        <v>32547.0</v>
      </c>
      <c r="K1025" s="14">
        <v>19662.0</v>
      </c>
      <c r="L1025" s="15">
        <v>0.604</v>
      </c>
      <c r="M1025" s="16">
        <v>4682.0</v>
      </c>
      <c r="N1025" s="17">
        <v>0.2382</v>
      </c>
      <c r="O1025" s="18">
        <v>0.0</v>
      </c>
      <c r="P1025" s="18">
        <v>0.0</v>
      </c>
      <c r="Q1025" s="119">
        <v>0.0</v>
      </c>
      <c r="R1025" s="19">
        <v>0.0</v>
      </c>
      <c r="S1025" s="20">
        <v>2.0</v>
      </c>
      <c r="T1025" s="20">
        <v>9.0</v>
      </c>
      <c r="U1025" s="20">
        <v>5698.0</v>
      </c>
      <c r="V1025" s="21" t="s">
        <v>315</v>
      </c>
      <c r="W1025" s="18" t="s">
        <v>76</v>
      </c>
      <c r="X1025" s="66" t="s">
        <v>3282</v>
      </c>
      <c r="Y1025" s="122" t="s">
        <v>3283</v>
      </c>
      <c r="Z1025" s="20" t="s">
        <v>3308</v>
      </c>
      <c r="AA1025" s="18">
        <v>51.0</v>
      </c>
      <c r="AB1025" s="18"/>
      <c r="AC1025" s="18">
        <v>51.0</v>
      </c>
      <c r="AD1025" s="14">
        <v>659141.0</v>
      </c>
      <c r="AE1025" s="18"/>
      <c r="AF1025" s="14">
        <v>659141.0</v>
      </c>
      <c r="AG1025" s="22"/>
      <c r="AH1025" s="22"/>
      <c r="AI1025" s="22"/>
      <c r="AJ1025" s="22"/>
      <c r="AK1025" s="22"/>
      <c r="AL1025" s="22"/>
      <c r="AM1025" s="22"/>
      <c r="AN1025" s="22"/>
      <c r="AO1025" s="22"/>
      <c r="AP1025" s="22"/>
    </row>
    <row r="1026" hidden="1">
      <c r="A1026" s="8">
        <v>46128.0</v>
      </c>
      <c r="B1026" s="9">
        <v>0.3854166666666667</v>
      </c>
      <c r="C1026" s="10" t="s">
        <v>32</v>
      </c>
      <c r="D1026" s="10" t="s">
        <v>3243</v>
      </c>
      <c r="E1026" s="12" t="s">
        <v>179</v>
      </c>
      <c r="F1026" s="12" t="s">
        <v>3279</v>
      </c>
      <c r="G1026" s="12" t="s">
        <v>3309</v>
      </c>
      <c r="H1026" s="68" t="s">
        <v>3310</v>
      </c>
      <c r="I1026" s="57" t="s">
        <v>3311</v>
      </c>
      <c r="J1026" s="14">
        <v>20790.0</v>
      </c>
      <c r="K1026" s="14">
        <v>12536.0</v>
      </c>
      <c r="L1026" s="15">
        <v>0.6029</v>
      </c>
      <c r="M1026" s="16">
        <v>3368.0</v>
      </c>
      <c r="N1026" s="17">
        <v>0.2687</v>
      </c>
      <c r="O1026" s="18">
        <v>0.0</v>
      </c>
      <c r="P1026" s="18">
        <v>0.0</v>
      </c>
      <c r="Q1026" s="119">
        <v>0.0</v>
      </c>
      <c r="R1026" s="19">
        <v>0.0</v>
      </c>
      <c r="S1026" s="20">
        <v>0.0</v>
      </c>
      <c r="T1026" s="20">
        <v>3.0</v>
      </c>
      <c r="U1026" s="20">
        <v>0.0</v>
      </c>
      <c r="V1026" s="21" t="s">
        <v>315</v>
      </c>
      <c r="W1026" s="18" t="s">
        <v>76</v>
      </c>
      <c r="X1026" s="66" t="s">
        <v>3282</v>
      </c>
      <c r="Y1026" s="122" t="s">
        <v>3283</v>
      </c>
      <c r="Z1026" s="20" t="s">
        <v>3312</v>
      </c>
      <c r="AA1026" s="18">
        <v>44.0</v>
      </c>
      <c r="AB1026" s="18"/>
      <c r="AC1026" s="18">
        <v>44.0</v>
      </c>
      <c r="AD1026" s="14">
        <v>407868.0</v>
      </c>
      <c r="AE1026" s="18"/>
      <c r="AF1026" s="14">
        <v>407868.0</v>
      </c>
      <c r="AG1026" s="22"/>
      <c r="AH1026" s="22"/>
      <c r="AI1026" s="22"/>
      <c r="AJ1026" s="22"/>
      <c r="AK1026" s="22"/>
      <c r="AL1026" s="22"/>
      <c r="AM1026" s="22"/>
      <c r="AN1026" s="22"/>
      <c r="AO1026" s="22"/>
      <c r="AP1026" s="22"/>
    </row>
    <row r="1027" hidden="1">
      <c r="A1027" s="8">
        <v>46128.0</v>
      </c>
      <c r="B1027" s="9">
        <v>0.3888888888888889</v>
      </c>
      <c r="C1027" s="10" t="s">
        <v>32</v>
      </c>
      <c r="D1027" s="10" t="s">
        <v>3243</v>
      </c>
      <c r="E1027" s="12" t="s">
        <v>179</v>
      </c>
      <c r="F1027" s="12" t="s">
        <v>3279</v>
      </c>
      <c r="G1027" s="12" t="s">
        <v>3313</v>
      </c>
      <c r="H1027" s="68" t="s">
        <v>1439</v>
      </c>
      <c r="I1027" s="57" t="s">
        <v>3314</v>
      </c>
      <c r="J1027" s="14">
        <v>10685.0</v>
      </c>
      <c r="K1027" s="14">
        <v>6990.0</v>
      </c>
      <c r="L1027" s="15">
        <v>0.654</v>
      </c>
      <c r="M1027" s="16">
        <v>2071.0</v>
      </c>
      <c r="N1027" s="17">
        <v>0.2964</v>
      </c>
      <c r="O1027" s="18">
        <v>0.0</v>
      </c>
      <c r="P1027" s="18">
        <v>0.0</v>
      </c>
      <c r="Q1027" s="119">
        <v>0.0</v>
      </c>
      <c r="R1027" s="19">
        <v>0.0</v>
      </c>
      <c r="S1027" s="20">
        <v>0.0</v>
      </c>
      <c r="T1027" s="20">
        <v>2.0</v>
      </c>
      <c r="U1027" s="20">
        <v>0.0</v>
      </c>
      <c r="V1027" s="21" t="s">
        <v>315</v>
      </c>
      <c r="W1027" s="18" t="s">
        <v>76</v>
      </c>
      <c r="X1027" s="66" t="s">
        <v>3282</v>
      </c>
      <c r="Y1027" s="122" t="s">
        <v>3283</v>
      </c>
      <c r="Z1027" s="20" t="s">
        <v>3315</v>
      </c>
      <c r="AA1027" s="18">
        <v>13.0</v>
      </c>
      <c r="AB1027" s="18"/>
      <c r="AC1027" s="18">
        <v>13.0</v>
      </c>
      <c r="AD1027" s="14">
        <v>52381.0</v>
      </c>
      <c r="AE1027" s="18"/>
      <c r="AF1027" s="14">
        <v>52381.0</v>
      </c>
      <c r="AG1027" s="22"/>
      <c r="AH1027" s="22"/>
      <c r="AI1027" s="22"/>
      <c r="AJ1027" s="22"/>
      <c r="AK1027" s="22"/>
      <c r="AL1027" s="22"/>
      <c r="AM1027" s="22"/>
      <c r="AN1027" s="22"/>
      <c r="AO1027" s="22"/>
      <c r="AP1027" s="22"/>
    </row>
    <row r="1028" hidden="1">
      <c r="A1028" s="8">
        <v>46128.0</v>
      </c>
      <c r="B1028" s="9">
        <v>0.3923611111111111</v>
      </c>
      <c r="C1028" s="10" t="s">
        <v>32</v>
      </c>
      <c r="D1028" s="10" t="s">
        <v>3243</v>
      </c>
      <c r="E1028" s="12" t="s">
        <v>179</v>
      </c>
      <c r="F1028" s="12" t="s">
        <v>3279</v>
      </c>
      <c r="G1028" s="12" t="s">
        <v>3316</v>
      </c>
      <c r="H1028" s="68" t="s">
        <v>1451</v>
      </c>
      <c r="I1028" s="57" t="s">
        <v>3317</v>
      </c>
      <c r="J1028" s="14">
        <v>12154.0</v>
      </c>
      <c r="K1028" s="14">
        <v>7603.0</v>
      </c>
      <c r="L1028" s="15">
        <v>0.6255</v>
      </c>
      <c r="M1028" s="16">
        <v>2092.0</v>
      </c>
      <c r="N1028" s="17">
        <v>0.2752</v>
      </c>
      <c r="O1028" s="18">
        <v>0.0</v>
      </c>
      <c r="P1028" s="18">
        <v>0.0</v>
      </c>
      <c r="Q1028" s="119">
        <v>0.0</v>
      </c>
      <c r="R1028" s="19">
        <v>0.0</v>
      </c>
      <c r="S1028" s="20">
        <v>0.0</v>
      </c>
      <c r="T1028" s="20">
        <v>2.0</v>
      </c>
      <c r="U1028" s="20">
        <v>0.0</v>
      </c>
      <c r="V1028" s="21" t="s">
        <v>315</v>
      </c>
      <c r="W1028" s="18" t="s">
        <v>76</v>
      </c>
      <c r="X1028" s="66" t="s">
        <v>3282</v>
      </c>
      <c r="Y1028" s="122" t="s">
        <v>3283</v>
      </c>
      <c r="Z1028" s="20" t="s">
        <v>3318</v>
      </c>
      <c r="AA1028" s="18">
        <v>24.0</v>
      </c>
      <c r="AB1028" s="18"/>
      <c r="AC1028" s="18">
        <v>24.0</v>
      </c>
      <c r="AD1028" s="14">
        <v>178030.0</v>
      </c>
      <c r="AE1028" s="18"/>
      <c r="AF1028" s="14">
        <v>178030.0</v>
      </c>
      <c r="AG1028" s="22"/>
      <c r="AH1028" s="22"/>
      <c r="AI1028" s="22"/>
      <c r="AJ1028" s="22"/>
      <c r="AK1028" s="22"/>
      <c r="AL1028" s="22"/>
      <c r="AM1028" s="22"/>
      <c r="AN1028" s="22"/>
      <c r="AO1028" s="22"/>
      <c r="AP1028" s="22"/>
    </row>
    <row r="1029" hidden="1">
      <c r="A1029" s="8">
        <v>46128.0</v>
      </c>
      <c r="B1029" s="9">
        <v>0.3958333333333333</v>
      </c>
      <c r="C1029" s="10" t="s">
        <v>32</v>
      </c>
      <c r="D1029" s="10" t="s">
        <v>3243</v>
      </c>
      <c r="E1029" s="12" t="s">
        <v>179</v>
      </c>
      <c r="F1029" s="12" t="s">
        <v>3279</v>
      </c>
      <c r="G1029" s="12" t="s">
        <v>3319</v>
      </c>
      <c r="H1029" s="68" t="s">
        <v>1436</v>
      </c>
      <c r="I1029" s="57" t="s">
        <v>3320</v>
      </c>
      <c r="J1029" s="14">
        <v>6595.0</v>
      </c>
      <c r="K1029" s="14">
        <v>4186.0</v>
      </c>
      <c r="L1029" s="15">
        <v>0.6346</v>
      </c>
      <c r="M1029" s="16">
        <v>1153.0</v>
      </c>
      <c r="N1029" s="17">
        <v>0.2755</v>
      </c>
      <c r="O1029" s="18">
        <v>0.0</v>
      </c>
      <c r="P1029" s="18">
        <v>0.0</v>
      </c>
      <c r="Q1029" s="119">
        <v>0.0</v>
      </c>
      <c r="R1029" s="19">
        <v>0.0</v>
      </c>
      <c r="S1029" s="20">
        <v>1.0</v>
      </c>
      <c r="T1029" s="20">
        <v>1.0</v>
      </c>
      <c r="U1029" s="20">
        <v>2799.0</v>
      </c>
      <c r="V1029" s="21" t="s">
        <v>315</v>
      </c>
      <c r="W1029" s="18" t="s">
        <v>76</v>
      </c>
      <c r="X1029" s="66" t="s">
        <v>3282</v>
      </c>
      <c r="Y1029" s="122" t="s">
        <v>3283</v>
      </c>
      <c r="Z1029" s="20" t="s">
        <v>3321</v>
      </c>
      <c r="AA1029" s="18">
        <v>11.0</v>
      </c>
      <c r="AB1029" s="18"/>
      <c r="AC1029" s="18">
        <v>11.0</v>
      </c>
      <c r="AD1029" s="14">
        <v>88481.0</v>
      </c>
      <c r="AE1029" s="18"/>
      <c r="AF1029" s="14">
        <v>88481.0</v>
      </c>
      <c r="AG1029" s="22"/>
      <c r="AH1029" s="22"/>
      <c r="AI1029" s="22"/>
      <c r="AJ1029" s="22"/>
      <c r="AK1029" s="22"/>
      <c r="AL1029" s="22"/>
      <c r="AM1029" s="22"/>
      <c r="AN1029" s="22"/>
      <c r="AO1029" s="22"/>
      <c r="AP1029" s="22"/>
    </row>
    <row r="1030" hidden="1">
      <c r="A1030" s="8">
        <v>46128.0</v>
      </c>
      <c r="B1030" s="9">
        <v>0.3993055555555556</v>
      </c>
      <c r="C1030" s="10" t="s">
        <v>32</v>
      </c>
      <c r="D1030" s="10" t="s">
        <v>3243</v>
      </c>
      <c r="E1030" s="12" t="s">
        <v>179</v>
      </c>
      <c r="F1030" s="12" t="s">
        <v>3279</v>
      </c>
      <c r="G1030" s="12" t="s">
        <v>3322</v>
      </c>
      <c r="H1030" s="68" t="s">
        <v>1433</v>
      </c>
      <c r="I1030" s="57" t="s">
        <v>3323</v>
      </c>
      <c r="J1030" s="14">
        <v>7685.0</v>
      </c>
      <c r="K1030" s="14">
        <v>4974.0</v>
      </c>
      <c r="L1030" s="15">
        <v>0.6472</v>
      </c>
      <c r="M1030" s="16">
        <v>1381.0</v>
      </c>
      <c r="N1030" s="17">
        <v>0.2776</v>
      </c>
      <c r="O1030" s="18">
        <v>0.0</v>
      </c>
      <c r="P1030" s="18">
        <v>0.0</v>
      </c>
      <c r="Q1030" s="119">
        <v>0.0</v>
      </c>
      <c r="R1030" s="19">
        <v>0.0</v>
      </c>
      <c r="S1030" s="20">
        <v>0.0</v>
      </c>
      <c r="T1030" s="20">
        <v>1.0</v>
      </c>
      <c r="U1030" s="20">
        <v>0.0</v>
      </c>
      <c r="V1030" s="21" t="s">
        <v>315</v>
      </c>
      <c r="W1030" s="18" t="s">
        <v>76</v>
      </c>
      <c r="X1030" s="66" t="s">
        <v>3282</v>
      </c>
      <c r="Y1030" s="122" t="s">
        <v>3283</v>
      </c>
      <c r="Z1030" s="20" t="s">
        <v>3324</v>
      </c>
      <c r="AA1030" s="18">
        <v>12.0</v>
      </c>
      <c r="AB1030" s="18"/>
      <c r="AC1030" s="18">
        <v>12.0</v>
      </c>
      <c r="AD1030" s="14">
        <v>139158.0</v>
      </c>
      <c r="AE1030" s="18"/>
      <c r="AF1030" s="14">
        <v>139158.0</v>
      </c>
      <c r="AG1030" s="22"/>
      <c r="AH1030" s="22"/>
      <c r="AI1030" s="22"/>
      <c r="AJ1030" s="22"/>
      <c r="AK1030" s="22"/>
      <c r="AL1030" s="22"/>
      <c r="AM1030" s="22"/>
      <c r="AN1030" s="22"/>
      <c r="AO1030" s="22"/>
      <c r="AP1030" s="22"/>
    </row>
    <row r="1031" hidden="1">
      <c r="A1031" s="8">
        <v>46128.0</v>
      </c>
      <c r="B1031" s="9">
        <v>0.4027777777777778</v>
      </c>
      <c r="C1031" s="10" t="s">
        <v>32</v>
      </c>
      <c r="D1031" s="10" t="s">
        <v>3243</v>
      </c>
      <c r="E1031" s="12" t="s">
        <v>179</v>
      </c>
      <c r="F1031" s="12" t="s">
        <v>3279</v>
      </c>
      <c r="G1031" s="12" t="s">
        <v>3325</v>
      </c>
      <c r="H1031" s="68" t="s">
        <v>1429</v>
      </c>
      <c r="I1031" s="57" t="s">
        <v>3326</v>
      </c>
      <c r="J1031" s="14">
        <v>9175.0</v>
      </c>
      <c r="K1031" s="14">
        <v>5910.0</v>
      </c>
      <c r="L1031" s="15">
        <v>0.6441</v>
      </c>
      <c r="M1031" s="16">
        <v>1663.0</v>
      </c>
      <c r="N1031" s="17">
        <v>0.2814</v>
      </c>
      <c r="O1031" s="18">
        <v>0.0</v>
      </c>
      <c r="P1031" s="18">
        <v>0.0</v>
      </c>
      <c r="Q1031" s="119">
        <v>0.0</v>
      </c>
      <c r="R1031" s="19">
        <v>0.0</v>
      </c>
      <c r="S1031" s="20">
        <v>0.0</v>
      </c>
      <c r="T1031" s="20">
        <v>0.0</v>
      </c>
      <c r="U1031" s="20">
        <v>0.0</v>
      </c>
      <c r="V1031" s="21" t="s">
        <v>315</v>
      </c>
      <c r="W1031" s="18" t="s">
        <v>76</v>
      </c>
      <c r="X1031" s="66" t="s">
        <v>3282</v>
      </c>
      <c r="Y1031" s="122" t="s">
        <v>3283</v>
      </c>
      <c r="Z1031" s="20" t="s">
        <v>3327</v>
      </c>
      <c r="AA1031" s="18">
        <v>10.0</v>
      </c>
      <c r="AB1031" s="18"/>
      <c r="AC1031" s="18">
        <v>10.0</v>
      </c>
      <c r="AD1031" s="14">
        <v>102739.0</v>
      </c>
      <c r="AE1031" s="18"/>
      <c r="AF1031" s="14">
        <v>102739.0</v>
      </c>
      <c r="AG1031" s="22"/>
      <c r="AH1031" s="22"/>
      <c r="AI1031" s="22"/>
      <c r="AJ1031" s="22"/>
      <c r="AK1031" s="22"/>
      <c r="AL1031" s="22"/>
      <c r="AM1031" s="22"/>
      <c r="AN1031" s="22"/>
      <c r="AO1031" s="22"/>
      <c r="AP1031" s="22"/>
    </row>
    <row r="1032" hidden="1">
      <c r="A1032" s="8">
        <v>46128.0</v>
      </c>
      <c r="B1032" s="9">
        <v>0.40625</v>
      </c>
      <c r="C1032" s="10" t="s">
        <v>32</v>
      </c>
      <c r="D1032" s="10" t="s">
        <v>3243</v>
      </c>
      <c r="E1032" s="12" t="s">
        <v>179</v>
      </c>
      <c r="F1032" s="12" t="s">
        <v>3279</v>
      </c>
      <c r="G1032" s="12" t="s">
        <v>3328</v>
      </c>
      <c r="H1032" s="68" t="s">
        <v>1808</v>
      </c>
      <c r="I1032" s="57" t="s">
        <v>3329</v>
      </c>
      <c r="J1032" s="14">
        <v>6044.0</v>
      </c>
      <c r="K1032" s="14">
        <v>3931.0</v>
      </c>
      <c r="L1032" s="15">
        <v>0.6504</v>
      </c>
      <c r="M1032" s="16">
        <v>1211.0</v>
      </c>
      <c r="N1032" s="17">
        <v>0.3081</v>
      </c>
      <c r="O1032" s="18">
        <v>0.0</v>
      </c>
      <c r="P1032" s="18">
        <v>0.0</v>
      </c>
      <c r="Q1032" s="119">
        <v>0.0</v>
      </c>
      <c r="R1032" s="19">
        <v>0.0</v>
      </c>
      <c r="S1032" s="20">
        <v>0.0</v>
      </c>
      <c r="T1032" s="20">
        <v>0.0</v>
      </c>
      <c r="U1032" s="20">
        <v>0.0</v>
      </c>
      <c r="V1032" s="21" t="s">
        <v>315</v>
      </c>
      <c r="W1032" s="18" t="s">
        <v>76</v>
      </c>
      <c r="X1032" s="66" t="s">
        <v>3282</v>
      </c>
      <c r="Y1032" s="122" t="s">
        <v>3283</v>
      </c>
      <c r="Z1032" s="20" t="s">
        <v>3330</v>
      </c>
      <c r="AA1032" s="18">
        <v>8.0</v>
      </c>
      <c r="AB1032" s="18"/>
      <c r="AC1032" s="18">
        <v>8.0</v>
      </c>
      <c r="AD1032" s="14">
        <v>98582.0</v>
      </c>
      <c r="AE1032" s="18"/>
      <c r="AF1032" s="14">
        <v>98582.0</v>
      </c>
      <c r="AG1032" s="22"/>
      <c r="AH1032" s="22"/>
      <c r="AI1032" s="22"/>
      <c r="AJ1032" s="22"/>
      <c r="AK1032" s="22"/>
      <c r="AL1032" s="22"/>
      <c r="AM1032" s="22"/>
      <c r="AN1032" s="22"/>
      <c r="AO1032" s="22"/>
      <c r="AP1032" s="22"/>
    </row>
    <row r="1033" hidden="1">
      <c r="A1033" s="8">
        <v>46128.0</v>
      </c>
      <c r="B1033" s="9">
        <v>0.4097222222222222</v>
      </c>
      <c r="C1033" s="10" t="s">
        <v>32</v>
      </c>
      <c r="D1033" s="10" t="s">
        <v>3243</v>
      </c>
      <c r="E1033" s="12" t="s">
        <v>179</v>
      </c>
      <c r="F1033" s="12" t="s">
        <v>3279</v>
      </c>
      <c r="G1033" s="12" t="s">
        <v>3331</v>
      </c>
      <c r="H1033" s="68" t="s">
        <v>1448</v>
      </c>
      <c r="I1033" s="57" t="s">
        <v>3332</v>
      </c>
      <c r="J1033" s="14">
        <v>7745.0</v>
      </c>
      <c r="K1033" s="14">
        <v>4841.0</v>
      </c>
      <c r="L1033" s="15">
        <v>0.625</v>
      </c>
      <c r="M1033" s="16">
        <v>1186.0</v>
      </c>
      <c r="N1033" s="17">
        <v>0.245</v>
      </c>
      <c r="O1033" s="18">
        <v>0.0</v>
      </c>
      <c r="P1033" s="18">
        <v>0.0</v>
      </c>
      <c r="Q1033" s="119">
        <v>0.0</v>
      </c>
      <c r="R1033" s="19">
        <v>0.0</v>
      </c>
      <c r="S1033" s="20">
        <v>0.0</v>
      </c>
      <c r="T1033" s="20">
        <v>0.0</v>
      </c>
      <c r="U1033" s="20">
        <v>0.0</v>
      </c>
      <c r="V1033" s="21" t="s">
        <v>315</v>
      </c>
      <c r="W1033" s="18" t="s">
        <v>76</v>
      </c>
      <c r="X1033" s="66" t="s">
        <v>3282</v>
      </c>
      <c r="Y1033" s="122" t="s">
        <v>3283</v>
      </c>
      <c r="Z1033" s="20" t="s">
        <v>3333</v>
      </c>
      <c r="AA1033" s="18">
        <v>16.0</v>
      </c>
      <c r="AB1033" s="18"/>
      <c r="AC1033" s="18">
        <v>16.0</v>
      </c>
      <c r="AD1033" s="14">
        <v>102486.0</v>
      </c>
      <c r="AE1033" s="18"/>
      <c r="AF1033" s="14">
        <v>102486.0</v>
      </c>
      <c r="AG1033" s="22"/>
      <c r="AH1033" s="22"/>
      <c r="AI1033" s="22"/>
      <c r="AJ1033" s="22"/>
      <c r="AK1033" s="22"/>
      <c r="AL1033" s="22"/>
      <c r="AM1033" s="22"/>
      <c r="AN1033" s="22"/>
      <c r="AO1033" s="22"/>
      <c r="AP1033" s="22"/>
    </row>
    <row r="1034" hidden="1">
      <c r="A1034" s="8">
        <v>46128.0</v>
      </c>
      <c r="B1034" s="9">
        <v>0.4131944444444444</v>
      </c>
      <c r="C1034" s="10" t="s">
        <v>32</v>
      </c>
      <c r="D1034" s="10" t="s">
        <v>3243</v>
      </c>
      <c r="E1034" s="12" t="s">
        <v>179</v>
      </c>
      <c r="F1034" s="12" t="s">
        <v>3279</v>
      </c>
      <c r="G1034" s="12" t="s">
        <v>3334</v>
      </c>
      <c r="H1034" s="68" t="s">
        <v>1457</v>
      </c>
      <c r="I1034" s="57" t="s">
        <v>3335</v>
      </c>
      <c r="J1034" s="14">
        <v>3511.0</v>
      </c>
      <c r="K1034" s="14">
        <v>2305.0</v>
      </c>
      <c r="L1034" s="15">
        <v>0.6562</v>
      </c>
      <c r="M1034" s="16">
        <v>683.0</v>
      </c>
      <c r="N1034" s="17">
        <v>0.2964</v>
      </c>
      <c r="O1034" s="18">
        <v>0.0</v>
      </c>
      <c r="P1034" s="18">
        <v>0.0</v>
      </c>
      <c r="Q1034" s="119">
        <v>0.0</v>
      </c>
      <c r="R1034" s="19">
        <v>0.0</v>
      </c>
      <c r="S1034" s="20">
        <v>0.0</v>
      </c>
      <c r="T1034" s="20">
        <v>0.0</v>
      </c>
      <c r="U1034" s="20">
        <v>0.0</v>
      </c>
      <c r="V1034" s="21" t="s">
        <v>315</v>
      </c>
      <c r="W1034" s="18" t="s">
        <v>76</v>
      </c>
      <c r="X1034" s="66" t="s">
        <v>3282</v>
      </c>
      <c r="Y1034" s="122" t="s">
        <v>3283</v>
      </c>
      <c r="Z1034" s="20" t="s">
        <v>3336</v>
      </c>
      <c r="AA1034" s="18">
        <v>6.0</v>
      </c>
      <c r="AB1034" s="18"/>
      <c r="AC1034" s="18">
        <v>6.0</v>
      </c>
      <c r="AD1034" s="14">
        <v>37632.0</v>
      </c>
      <c r="AE1034" s="18"/>
      <c r="AF1034" s="14">
        <v>37632.0</v>
      </c>
      <c r="AG1034" s="22"/>
      <c r="AH1034" s="22"/>
      <c r="AI1034" s="22"/>
      <c r="AJ1034" s="22"/>
      <c r="AK1034" s="22"/>
      <c r="AL1034" s="22"/>
      <c r="AM1034" s="22"/>
      <c r="AN1034" s="22"/>
      <c r="AO1034" s="22"/>
      <c r="AP1034" s="22"/>
    </row>
    <row r="1035" hidden="1">
      <c r="A1035" s="8">
        <v>46128.0</v>
      </c>
      <c r="B1035" s="9">
        <v>0.375</v>
      </c>
      <c r="C1035" s="10" t="s">
        <v>32</v>
      </c>
      <c r="D1035" s="10" t="s">
        <v>3243</v>
      </c>
      <c r="E1035" s="12" t="s">
        <v>179</v>
      </c>
      <c r="F1035" s="12" t="s">
        <v>3337</v>
      </c>
      <c r="G1035" s="12" t="s">
        <v>3338</v>
      </c>
      <c r="H1035" s="68" t="s">
        <v>3036</v>
      </c>
      <c r="I1035" s="57" t="s">
        <v>3339</v>
      </c>
      <c r="J1035" s="14">
        <v>4697.0</v>
      </c>
      <c r="K1035" s="14">
        <v>2855.0</v>
      </c>
      <c r="L1035" s="15">
        <v>0.6078</v>
      </c>
      <c r="M1035" s="16">
        <v>770.0</v>
      </c>
      <c r="N1035" s="17">
        <v>0.2697</v>
      </c>
      <c r="O1035" s="18">
        <v>36.0</v>
      </c>
      <c r="P1035" s="18">
        <v>35.0</v>
      </c>
      <c r="Q1035" s="119">
        <v>0.0123</v>
      </c>
      <c r="R1035" s="19">
        <v>0.0455</v>
      </c>
      <c r="S1035" s="20">
        <v>0.0</v>
      </c>
      <c r="T1035" s="20">
        <v>1.0</v>
      </c>
      <c r="U1035" s="20">
        <v>0.0</v>
      </c>
      <c r="V1035" s="21" t="s">
        <v>335</v>
      </c>
      <c r="W1035" s="18" t="s">
        <v>76</v>
      </c>
      <c r="X1035" s="66" t="s">
        <v>159</v>
      </c>
      <c r="Y1035" s="122" t="s">
        <v>3283</v>
      </c>
      <c r="Z1035" s="20" t="s">
        <v>3340</v>
      </c>
      <c r="AA1035" s="18">
        <v>2.0</v>
      </c>
      <c r="AB1035" s="18">
        <v>2.0</v>
      </c>
      <c r="AC1035" s="18"/>
      <c r="AD1035" s="14">
        <v>26566.0</v>
      </c>
      <c r="AE1035" s="14">
        <v>26566.0</v>
      </c>
      <c r="AF1035" s="14"/>
      <c r="AG1035" s="22"/>
      <c r="AH1035" s="22"/>
      <c r="AI1035" s="22"/>
      <c r="AJ1035" s="22"/>
      <c r="AK1035" s="22"/>
      <c r="AL1035" s="22"/>
      <c r="AM1035" s="22"/>
      <c r="AN1035" s="22"/>
      <c r="AO1035" s="22"/>
      <c r="AP1035" s="22"/>
    </row>
    <row r="1036" hidden="1">
      <c r="A1036" s="8">
        <v>46128.0</v>
      </c>
      <c r="B1036" s="9">
        <v>0.3854166666666667</v>
      </c>
      <c r="C1036" s="10" t="s">
        <v>32</v>
      </c>
      <c r="D1036" s="10" t="s">
        <v>3243</v>
      </c>
      <c r="E1036" s="12" t="s">
        <v>179</v>
      </c>
      <c r="F1036" s="12" t="s">
        <v>3337</v>
      </c>
      <c r="G1036" s="12" t="s">
        <v>3341</v>
      </c>
      <c r="H1036" s="68" t="s">
        <v>3342</v>
      </c>
      <c r="I1036" s="57" t="s">
        <v>3343</v>
      </c>
      <c r="J1036" s="14">
        <v>2849.0</v>
      </c>
      <c r="K1036" s="14">
        <v>1662.0</v>
      </c>
      <c r="L1036" s="15">
        <v>0.583</v>
      </c>
      <c r="M1036" s="16">
        <v>411.0</v>
      </c>
      <c r="N1036" s="17">
        <v>0.2474</v>
      </c>
      <c r="O1036" s="18">
        <v>40.0</v>
      </c>
      <c r="P1036" s="18">
        <v>39.0</v>
      </c>
      <c r="Q1036" s="119">
        <v>0.0235</v>
      </c>
      <c r="R1036" s="19">
        <v>0.0949</v>
      </c>
      <c r="S1036" s="20">
        <v>1.0</v>
      </c>
      <c r="T1036" s="20">
        <v>1.0</v>
      </c>
      <c r="U1036" s="20">
        <v>3779.0</v>
      </c>
      <c r="V1036" s="21" t="s">
        <v>335</v>
      </c>
      <c r="W1036" s="18" t="s">
        <v>76</v>
      </c>
      <c r="X1036" s="66" t="s">
        <v>3344</v>
      </c>
      <c r="Y1036" s="122" t="s">
        <v>3283</v>
      </c>
      <c r="Z1036" s="20" t="s">
        <v>3345</v>
      </c>
      <c r="AA1036" s="18">
        <v>3.0</v>
      </c>
      <c r="AB1036" s="18">
        <v>3.0</v>
      </c>
      <c r="AC1036" s="18"/>
      <c r="AD1036" s="14">
        <v>16700.0</v>
      </c>
      <c r="AE1036" s="14">
        <v>16700.0</v>
      </c>
      <c r="AF1036" s="14"/>
      <c r="AG1036" s="22"/>
      <c r="AH1036" s="22"/>
      <c r="AI1036" s="22"/>
      <c r="AJ1036" s="22"/>
      <c r="AK1036" s="22"/>
      <c r="AL1036" s="22"/>
      <c r="AM1036" s="22"/>
      <c r="AN1036" s="22"/>
      <c r="AO1036" s="22"/>
      <c r="AP1036" s="22"/>
    </row>
    <row r="1037" hidden="1">
      <c r="A1037" s="8">
        <v>46128.0</v>
      </c>
      <c r="B1037" s="9">
        <v>0.3784722222222222</v>
      </c>
      <c r="C1037" s="10" t="s">
        <v>32</v>
      </c>
      <c r="D1037" s="10" t="s">
        <v>3243</v>
      </c>
      <c r="E1037" s="12" t="s">
        <v>179</v>
      </c>
      <c r="F1037" s="12" t="s">
        <v>3337</v>
      </c>
      <c r="G1037" s="12" t="s">
        <v>3346</v>
      </c>
      <c r="H1037" s="68" t="s">
        <v>3347</v>
      </c>
      <c r="I1037" s="57" t="s">
        <v>3348</v>
      </c>
      <c r="J1037" s="14">
        <v>35325.0</v>
      </c>
      <c r="K1037" s="14">
        <v>19661.0</v>
      </c>
      <c r="L1037" s="15">
        <v>0.5565</v>
      </c>
      <c r="M1037" s="16">
        <v>4746.0</v>
      </c>
      <c r="N1037" s="17">
        <v>0.2414</v>
      </c>
      <c r="O1037" s="18">
        <v>841.0</v>
      </c>
      <c r="P1037" s="18">
        <v>790.0</v>
      </c>
      <c r="Q1037" s="119">
        <v>0.0402</v>
      </c>
      <c r="R1037" s="19">
        <v>0.1665</v>
      </c>
      <c r="S1037" s="20">
        <v>11.0</v>
      </c>
      <c r="T1037" s="20">
        <v>54.0</v>
      </c>
      <c r="U1037" s="20">
        <v>63566.0</v>
      </c>
      <c r="V1037" s="21" t="s">
        <v>335</v>
      </c>
      <c r="W1037" s="18" t="s">
        <v>76</v>
      </c>
      <c r="X1037" s="66" t="s">
        <v>3349</v>
      </c>
      <c r="Y1037" s="122" t="s">
        <v>3283</v>
      </c>
      <c r="Z1037" s="20" t="s">
        <v>3350</v>
      </c>
      <c r="AA1037" s="18">
        <v>48.0</v>
      </c>
      <c r="AB1037" s="18">
        <v>48.0</v>
      </c>
      <c r="AC1037" s="18"/>
      <c r="AD1037" s="14">
        <v>608513.0</v>
      </c>
      <c r="AE1037" s="14">
        <v>608513.0</v>
      </c>
      <c r="AF1037" s="14"/>
      <c r="AG1037" s="22"/>
      <c r="AH1037" s="22"/>
      <c r="AI1037" s="22"/>
      <c r="AJ1037" s="22"/>
      <c r="AK1037" s="22"/>
      <c r="AL1037" s="22"/>
      <c r="AM1037" s="22"/>
      <c r="AN1037" s="22"/>
      <c r="AO1037" s="22"/>
      <c r="AP1037" s="22"/>
    </row>
    <row r="1038" hidden="1">
      <c r="A1038" s="8">
        <v>46128.0</v>
      </c>
      <c r="B1038" s="9">
        <v>0.3819444444444444</v>
      </c>
      <c r="C1038" s="10" t="s">
        <v>32</v>
      </c>
      <c r="D1038" s="10" t="s">
        <v>3243</v>
      </c>
      <c r="E1038" s="12" t="s">
        <v>179</v>
      </c>
      <c r="F1038" s="12" t="s">
        <v>3337</v>
      </c>
      <c r="G1038" s="12" t="s">
        <v>3351</v>
      </c>
      <c r="H1038" s="68" t="s">
        <v>3352</v>
      </c>
      <c r="I1038" s="57" t="s">
        <v>3353</v>
      </c>
      <c r="J1038" s="14">
        <v>104897.0</v>
      </c>
      <c r="K1038" s="14">
        <v>63041.0</v>
      </c>
      <c r="L1038" s="15">
        <v>0.6009</v>
      </c>
      <c r="M1038" s="16">
        <v>16959.0</v>
      </c>
      <c r="N1038" s="17">
        <v>0.269</v>
      </c>
      <c r="O1038" s="18">
        <v>1018.0</v>
      </c>
      <c r="P1038" s="18">
        <v>992.0</v>
      </c>
      <c r="Q1038" s="119">
        <v>0.0157</v>
      </c>
      <c r="R1038" s="19">
        <v>0.0585</v>
      </c>
      <c r="S1038" s="20">
        <v>8.0</v>
      </c>
      <c r="T1038" s="20">
        <v>43.0</v>
      </c>
      <c r="U1038" s="20">
        <v>62610.0</v>
      </c>
      <c r="V1038" s="21" t="s">
        <v>335</v>
      </c>
      <c r="W1038" s="18" t="s">
        <v>76</v>
      </c>
      <c r="X1038" s="66" t="s">
        <v>149</v>
      </c>
      <c r="Y1038" s="122" t="s">
        <v>3283</v>
      </c>
      <c r="Z1038" s="20" t="s">
        <v>3354</v>
      </c>
      <c r="AA1038" s="18">
        <v>46.0</v>
      </c>
      <c r="AB1038" s="18">
        <v>46.0</v>
      </c>
      <c r="AC1038" s="18"/>
      <c r="AD1038" s="14">
        <v>178582.0</v>
      </c>
      <c r="AE1038" s="14">
        <v>178582.0</v>
      </c>
      <c r="AF1038" s="14"/>
      <c r="AG1038" s="22"/>
      <c r="AH1038" s="22"/>
      <c r="AI1038" s="22"/>
      <c r="AJ1038" s="22"/>
      <c r="AK1038" s="22"/>
      <c r="AL1038" s="22"/>
      <c r="AM1038" s="22"/>
      <c r="AN1038" s="22"/>
      <c r="AO1038" s="22"/>
      <c r="AP1038" s="22"/>
    </row>
    <row r="1039" hidden="1">
      <c r="A1039" s="8">
        <v>46128.0</v>
      </c>
      <c r="B1039" s="9">
        <v>0.4583333333333333</v>
      </c>
      <c r="C1039" s="10" t="s">
        <v>58</v>
      </c>
      <c r="D1039" s="68" t="s">
        <v>3083</v>
      </c>
      <c r="E1039" s="12" t="s">
        <v>179</v>
      </c>
      <c r="F1039" s="12" t="s">
        <v>3279</v>
      </c>
      <c r="G1039" s="12" t="s">
        <v>3355</v>
      </c>
      <c r="H1039" s="68" t="s">
        <v>1828</v>
      </c>
      <c r="I1039" s="57" t="s">
        <v>61</v>
      </c>
      <c r="J1039" s="14">
        <v>575.0</v>
      </c>
      <c r="K1039" s="14">
        <v>400.0</v>
      </c>
      <c r="L1039" s="15">
        <v>0.6957</v>
      </c>
      <c r="M1039" s="16">
        <v>0.0</v>
      </c>
      <c r="N1039" s="17">
        <v>0.0</v>
      </c>
      <c r="O1039" s="18">
        <v>0.0</v>
      </c>
      <c r="P1039" s="18">
        <v>0.0</v>
      </c>
      <c r="Q1039" s="119">
        <v>0.0</v>
      </c>
      <c r="R1039" s="19">
        <v>0.0</v>
      </c>
      <c r="S1039" s="20">
        <v>0.0</v>
      </c>
      <c r="T1039" s="20">
        <v>0.0</v>
      </c>
      <c r="U1039" s="20">
        <v>0.0</v>
      </c>
      <c r="V1039" s="21" t="s">
        <v>315</v>
      </c>
      <c r="W1039" s="18" t="s">
        <v>3257</v>
      </c>
      <c r="X1039" s="66" t="s">
        <v>3282</v>
      </c>
      <c r="Y1039" s="122" t="s">
        <v>3283</v>
      </c>
      <c r="Z1039" s="20" t="s">
        <v>3356</v>
      </c>
      <c r="AA1039" s="18">
        <v>1.0</v>
      </c>
      <c r="AB1039" s="18"/>
      <c r="AC1039" s="18">
        <v>1.0</v>
      </c>
      <c r="AD1039" s="14">
        <v>7999.0</v>
      </c>
      <c r="AE1039" s="18"/>
      <c r="AF1039" s="14">
        <v>7999.0</v>
      </c>
      <c r="AG1039" s="22"/>
      <c r="AH1039" s="22"/>
      <c r="AI1039" s="22"/>
      <c r="AJ1039" s="22"/>
      <c r="AK1039" s="22"/>
      <c r="AL1039" s="22"/>
      <c r="AM1039" s="22"/>
      <c r="AN1039" s="22"/>
      <c r="AO1039" s="22"/>
      <c r="AP1039" s="22"/>
    </row>
    <row r="1040" hidden="1">
      <c r="A1040" s="8">
        <v>46128.0</v>
      </c>
      <c r="B1040" s="9">
        <v>0.4583333333333333</v>
      </c>
      <c r="C1040" s="10" t="s">
        <v>58</v>
      </c>
      <c r="D1040" s="68" t="s">
        <v>3083</v>
      </c>
      <c r="E1040" s="12" t="s">
        <v>179</v>
      </c>
      <c r="F1040" s="12" t="s">
        <v>3279</v>
      </c>
      <c r="G1040" s="12" t="s">
        <v>3357</v>
      </c>
      <c r="H1040" s="68" t="s">
        <v>1472</v>
      </c>
      <c r="I1040" s="57" t="s">
        <v>61</v>
      </c>
      <c r="J1040" s="14">
        <v>976.0</v>
      </c>
      <c r="K1040" s="14">
        <v>615.0</v>
      </c>
      <c r="L1040" s="15">
        <v>0.6301</v>
      </c>
      <c r="M1040" s="16">
        <v>0.0</v>
      </c>
      <c r="N1040" s="17">
        <v>0.0</v>
      </c>
      <c r="O1040" s="18">
        <v>0.0</v>
      </c>
      <c r="P1040" s="18">
        <v>0.0</v>
      </c>
      <c r="Q1040" s="119">
        <v>0.0</v>
      </c>
      <c r="R1040" s="19">
        <v>0.0</v>
      </c>
      <c r="S1040" s="20">
        <v>0.0</v>
      </c>
      <c r="T1040" s="20">
        <v>1.0</v>
      </c>
      <c r="U1040" s="20">
        <v>0.0</v>
      </c>
      <c r="V1040" s="21" t="s">
        <v>315</v>
      </c>
      <c r="W1040" s="18" t="s">
        <v>3257</v>
      </c>
      <c r="X1040" s="66" t="s">
        <v>3282</v>
      </c>
      <c r="Y1040" s="122" t="s">
        <v>3283</v>
      </c>
      <c r="Z1040" s="20" t="s">
        <v>3358</v>
      </c>
      <c r="AA1040" s="18">
        <v>4.0</v>
      </c>
      <c r="AB1040" s="18"/>
      <c r="AC1040" s="18">
        <v>4.0</v>
      </c>
      <c r="AD1040" s="14">
        <v>30494.0</v>
      </c>
      <c r="AE1040" s="18"/>
      <c r="AF1040" s="14">
        <v>30494.0</v>
      </c>
      <c r="AG1040" s="22"/>
      <c r="AH1040" s="22"/>
      <c r="AI1040" s="22"/>
      <c r="AJ1040" s="22"/>
      <c r="AK1040" s="22"/>
      <c r="AL1040" s="22"/>
      <c r="AM1040" s="22"/>
      <c r="AN1040" s="22"/>
      <c r="AO1040" s="22"/>
      <c r="AP1040" s="22"/>
    </row>
    <row r="1041" hidden="1">
      <c r="A1041" s="8">
        <v>46128.0</v>
      </c>
      <c r="B1041" s="9">
        <v>0.4583333333333333</v>
      </c>
      <c r="C1041" s="10" t="s">
        <v>58</v>
      </c>
      <c r="D1041" s="68" t="s">
        <v>3083</v>
      </c>
      <c r="E1041" s="12" t="s">
        <v>179</v>
      </c>
      <c r="F1041" s="12" t="s">
        <v>3279</v>
      </c>
      <c r="G1041" s="12" t="s">
        <v>3359</v>
      </c>
      <c r="H1041" s="68" t="s">
        <v>1836</v>
      </c>
      <c r="I1041" s="57" t="s">
        <v>61</v>
      </c>
      <c r="J1041" s="14">
        <v>1147.0</v>
      </c>
      <c r="K1041" s="14">
        <v>783.0</v>
      </c>
      <c r="L1041" s="15">
        <v>0.6827</v>
      </c>
      <c r="M1041" s="16">
        <v>0.0</v>
      </c>
      <c r="N1041" s="17">
        <v>0.0</v>
      </c>
      <c r="O1041" s="18">
        <v>0.0</v>
      </c>
      <c r="P1041" s="18">
        <v>0.0</v>
      </c>
      <c r="Q1041" s="119">
        <v>0.0</v>
      </c>
      <c r="R1041" s="19">
        <v>0.0</v>
      </c>
      <c r="S1041" s="20">
        <v>0.0</v>
      </c>
      <c r="T1041" s="20">
        <v>0.0</v>
      </c>
      <c r="U1041" s="20">
        <v>0.0</v>
      </c>
      <c r="V1041" s="21" t="s">
        <v>315</v>
      </c>
      <c r="W1041" s="18" t="s">
        <v>3257</v>
      </c>
      <c r="X1041" s="66" t="s">
        <v>3282</v>
      </c>
      <c r="Y1041" s="122" t="s">
        <v>3283</v>
      </c>
      <c r="Z1041" s="20" t="s">
        <v>3360</v>
      </c>
      <c r="AA1041" s="18">
        <v>4.0</v>
      </c>
      <c r="AB1041" s="18"/>
      <c r="AC1041" s="18">
        <v>4.0</v>
      </c>
      <c r="AD1041" s="14">
        <v>18295.0</v>
      </c>
      <c r="AE1041" s="18"/>
      <c r="AF1041" s="14">
        <v>18295.0</v>
      </c>
      <c r="AG1041" s="22"/>
      <c r="AH1041" s="22"/>
      <c r="AI1041" s="22"/>
      <c r="AJ1041" s="22"/>
      <c r="AK1041" s="22"/>
      <c r="AL1041" s="22"/>
      <c r="AM1041" s="22"/>
      <c r="AN1041" s="22"/>
      <c r="AO1041" s="22"/>
      <c r="AP1041" s="22"/>
    </row>
    <row r="1042" hidden="1">
      <c r="A1042" s="8">
        <v>46128.0</v>
      </c>
      <c r="B1042" s="9">
        <v>0.4583333333333333</v>
      </c>
      <c r="C1042" s="10" t="s">
        <v>58</v>
      </c>
      <c r="D1042" s="68" t="s">
        <v>3083</v>
      </c>
      <c r="E1042" s="12" t="s">
        <v>179</v>
      </c>
      <c r="F1042" s="12" t="s">
        <v>3279</v>
      </c>
      <c r="G1042" s="12" t="s">
        <v>3361</v>
      </c>
      <c r="H1042" s="68" t="s">
        <v>1832</v>
      </c>
      <c r="I1042" s="57" t="s">
        <v>61</v>
      </c>
      <c r="J1042" s="14">
        <v>490.0</v>
      </c>
      <c r="K1042" s="14">
        <v>359.0</v>
      </c>
      <c r="L1042" s="15">
        <v>0.7327</v>
      </c>
      <c r="M1042" s="16">
        <v>0.0</v>
      </c>
      <c r="N1042" s="17">
        <v>0.0</v>
      </c>
      <c r="O1042" s="18">
        <v>0.0</v>
      </c>
      <c r="P1042" s="18">
        <v>0.0</v>
      </c>
      <c r="Q1042" s="119">
        <v>0.0</v>
      </c>
      <c r="R1042" s="19">
        <v>0.0</v>
      </c>
      <c r="S1042" s="20">
        <v>0.0</v>
      </c>
      <c r="T1042" s="20">
        <v>0.0</v>
      </c>
      <c r="U1042" s="20">
        <v>0.0</v>
      </c>
      <c r="V1042" s="21" t="s">
        <v>315</v>
      </c>
      <c r="W1042" s="18" t="s">
        <v>3257</v>
      </c>
      <c r="X1042" s="66" t="s">
        <v>3282</v>
      </c>
      <c r="Y1042" s="122" t="s">
        <v>3283</v>
      </c>
      <c r="Z1042" s="20" t="s">
        <v>3362</v>
      </c>
      <c r="AA1042" s="18">
        <v>1.0</v>
      </c>
      <c r="AB1042" s="18"/>
      <c r="AC1042" s="18">
        <v>1.0</v>
      </c>
      <c r="AD1042" s="14">
        <v>12639.0</v>
      </c>
      <c r="AE1042" s="18"/>
      <c r="AF1042" s="14">
        <v>12639.0</v>
      </c>
      <c r="AG1042" s="22"/>
      <c r="AH1042" s="22"/>
      <c r="AI1042" s="22"/>
      <c r="AJ1042" s="22"/>
      <c r="AK1042" s="22"/>
      <c r="AL1042" s="22"/>
      <c r="AM1042" s="22"/>
      <c r="AN1042" s="22"/>
      <c r="AO1042" s="22"/>
      <c r="AP1042" s="22"/>
    </row>
    <row r="1043" hidden="1">
      <c r="A1043" s="8">
        <v>46128.0</v>
      </c>
      <c r="B1043" s="9">
        <v>0.4583333333333333</v>
      </c>
      <c r="C1043" s="10" t="s">
        <v>58</v>
      </c>
      <c r="D1043" s="68" t="s">
        <v>3083</v>
      </c>
      <c r="E1043" s="12" t="s">
        <v>179</v>
      </c>
      <c r="F1043" s="12" t="s">
        <v>3279</v>
      </c>
      <c r="G1043" s="12" t="s">
        <v>3363</v>
      </c>
      <c r="H1043" s="68" t="s">
        <v>1445</v>
      </c>
      <c r="I1043" s="57" t="s">
        <v>61</v>
      </c>
      <c r="J1043" s="14">
        <v>1801.0</v>
      </c>
      <c r="K1043" s="14">
        <v>1208.0</v>
      </c>
      <c r="L1043" s="15">
        <v>0.6707</v>
      </c>
      <c r="M1043" s="16">
        <v>0.0</v>
      </c>
      <c r="N1043" s="17">
        <v>0.0</v>
      </c>
      <c r="O1043" s="18">
        <v>0.0</v>
      </c>
      <c r="P1043" s="18">
        <v>0.0</v>
      </c>
      <c r="Q1043" s="119">
        <v>0.0</v>
      </c>
      <c r="R1043" s="19">
        <v>0.0</v>
      </c>
      <c r="S1043" s="20">
        <v>0.0</v>
      </c>
      <c r="T1043" s="20">
        <v>0.0</v>
      </c>
      <c r="U1043" s="20">
        <v>0.0</v>
      </c>
      <c r="V1043" s="21" t="s">
        <v>315</v>
      </c>
      <c r="W1043" s="18" t="s">
        <v>3257</v>
      </c>
      <c r="X1043" s="66" t="s">
        <v>3282</v>
      </c>
      <c r="Y1043" s="122" t="s">
        <v>3283</v>
      </c>
      <c r="Z1043" s="20" t="s">
        <v>3364</v>
      </c>
      <c r="AA1043" s="18">
        <v>8.0</v>
      </c>
      <c r="AB1043" s="18"/>
      <c r="AC1043" s="18">
        <v>8.0</v>
      </c>
      <c r="AD1043" s="14">
        <v>77883.0</v>
      </c>
      <c r="AE1043" s="18"/>
      <c r="AF1043" s="14">
        <v>77883.0</v>
      </c>
      <c r="AG1043" s="22"/>
      <c r="AH1043" s="22"/>
      <c r="AI1043" s="22"/>
      <c r="AJ1043" s="22"/>
      <c r="AK1043" s="22"/>
      <c r="AL1043" s="22"/>
      <c r="AM1043" s="22"/>
      <c r="AN1043" s="22"/>
      <c r="AO1043" s="22"/>
      <c r="AP1043" s="22"/>
    </row>
    <row r="1044" hidden="1">
      <c r="A1044" s="8">
        <v>46128.0</v>
      </c>
      <c r="B1044" s="9">
        <v>0.4583333333333333</v>
      </c>
      <c r="C1044" s="10" t="s">
        <v>58</v>
      </c>
      <c r="D1044" s="68" t="s">
        <v>3083</v>
      </c>
      <c r="E1044" s="12" t="s">
        <v>179</v>
      </c>
      <c r="F1044" s="12" t="s">
        <v>3279</v>
      </c>
      <c r="G1044" s="12" t="s">
        <v>3365</v>
      </c>
      <c r="H1044" s="68" t="s">
        <v>1469</v>
      </c>
      <c r="I1044" s="57" t="s">
        <v>61</v>
      </c>
      <c r="J1044" s="14">
        <v>267.0</v>
      </c>
      <c r="K1044" s="14">
        <v>190.0</v>
      </c>
      <c r="L1044" s="15">
        <v>0.7116</v>
      </c>
      <c r="M1044" s="16">
        <v>0.0</v>
      </c>
      <c r="N1044" s="17">
        <v>0.0</v>
      </c>
      <c r="O1044" s="18">
        <v>0.0</v>
      </c>
      <c r="P1044" s="18">
        <v>0.0</v>
      </c>
      <c r="Q1044" s="119">
        <v>0.0</v>
      </c>
      <c r="R1044" s="19">
        <v>0.0</v>
      </c>
      <c r="S1044" s="20">
        <v>0.0</v>
      </c>
      <c r="T1044" s="20">
        <v>0.0</v>
      </c>
      <c r="U1044" s="20">
        <v>0.0</v>
      </c>
      <c r="V1044" s="21" t="s">
        <v>315</v>
      </c>
      <c r="W1044" s="18" t="s">
        <v>3257</v>
      </c>
      <c r="X1044" s="66" t="s">
        <v>3282</v>
      </c>
      <c r="Y1044" s="122" t="s">
        <v>3283</v>
      </c>
      <c r="Z1044" s="20" t="s">
        <v>3366</v>
      </c>
      <c r="AA1044" s="18">
        <v>0.0</v>
      </c>
      <c r="AB1044" s="18"/>
      <c r="AC1044" s="18">
        <v>0.0</v>
      </c>
      <c r="AD1044" s="14">
        <v>0.0</v>
      </c>
      <c r="AE1044" s="18"/>
      <c r="AF1044" s="14">
        <v>0.0</v>
      </c>
      <c r="AG1044" s="22"/>
      <c r="AH1044" s="22"/>
      <c r="AI1044" s="22"/>
      <c r="AJ1044" s="22"/>
      <c r="AK1044" s="22"/>
      <c r="AL1044" s="22"/>
      <c r="AM1044" s="22"/>
      <c r="AN1044" s="22"/>
      <c r="AO1044" s="22"/>
      <c r="AP1044" s="22"/>
    </row>
    <row r="1045" hidden="1">
      <c r="A1045" s="8">
        <v>46128.0</v>
      </c>
      <c r="B1045" s="9">
        <v>0.4583333333333333</v>
      </c>
      <c r="C1045" s="10" t="s">
        <v>58</v>
      </c>
      <c r="D1045" s="68" t="s">
        <v>3083</v>
      </c>
      <c r="E1045" s="12" t="s">
        <v>179</v>
      </c>
      <c r="F1045" s="12" t="s">
        <v>3279</v>
      </c>
      <c r="G1045" s="12" t="s">
        <v>3367</v>
      </c>
      <c r="H1045" s="68" t="s">
        <v>1475</v>
      </c>
      <c r="I1045" s="57" t="s">
        <v>61</v>
      </c>
      <c r="J1045" s="14">
        <v>12175.0</v>
      </c>
      <c r="K1045" s="14">
        <v>6772.0</v>
      </c>
      <c r="L1045" s="15">
        <v>0.5562</v>
      </c>
      <c r="M1045" s="16">
        <v>0.0</v>
      </c>
      <c r="N1045" s="17">
        <v>0.0</v>
      </c>
      <c r="O1045" s="18">
        <v>0.0</v>
      </c>
      <c r="P1045" s="18">
        <v>0.0</v>
      </c>
      <c r="Q1045" s="119">
        <v>0.0</v>
      </c>
      <c r="R1045" s="19">
        <v>0.0</v>
      </c>
      <c r="S1045" s="20">
        <v>0.0</v>
      </c>
      <c r="T1045" s="20">
        <v>3.0</v>
      </c>
      <c r="U1045" s="20">
        <v>0.0</v>
      </c>
      <c r="V1045" s="21" t="s">
        <v>315</v>
      </c>
      <c r="W1045" s="18" t="s">
        <v>3257</v>
      </c>
      <c r="X1045" s="66" t="s">
        <v>3282</v>
      </c>
      <c r="Y1045" s="122" t="s">
        <v>3283</v>
      </c>
      <c r="Z1045" s="20" t="s">
        <v>3368</v>
      </c>
      <c r="AA1045" s="18">
        <v>21.0</v>
      </c>
      <c r="AB1045" s="18"/>
      <c r="AC1045" s="18">
        <v>21.0</v>
      </c>
      <c r="AD1045" s="14">
        <v>254982.0</v>
      </c>
      <c r="AE1045" s="18"/>
      <c r="AF1045" s="14">
        <v>254982.0</v>
      </c>
      <c r="AG1045" s="22"/>
      <c r="AH1045" s="22"/>
      <c r="AI1045" s="22"/>
      <c r="AJ1045" s="22"/>
      <c r="AK1045" s="22"/>
      <c r="AL1045" s="22"/>
      <c r="AM1045" s="22"/>
      <c r="AN1045" s="22"/>
      <c r="AO1045" s="22"/>
      <c r="AP1045" s="22"/>
    </row>
    <row r="1046" hidden="1">
      <c r="A1046" s="8">
        <v>46128.0</v>
      </c>
      <c r="B1046" s="9">
        <v>0.4583333333333333</v>
      </c>
      <c r="C1046" s="10" t="s">
        <v>58</v>
      </c>
      <c r="D1046" s="68" t="s">
        <v>3083</v>
      </c>
      <c r="E1046" s="12" t="s">
        <v>179</v>
      </c>
      <c r="F1046" s="12" t="s">
        <v>3279</v>
      </c>
      <c r="G1046" s="12" t="s">
        <v>3369</v>
      </c>
      <c r="H1046" s="68" t="s">
        <v>1442</v>
      </c>
      <c r="I1046" s="57" t="s">
        <v>61</v>
      </c>
      <c r="J1046" s="14">
        <v>11315.0</v>
      </c>
      <c r="K1046" s="14">
        <v>6337.0</v>
      </c>
      <c r="L1046" s="15">
        <v>0.5601</v>
      </c>
      <c r="M1046" s="16">
        <v>0.0</v>
      </c>
      <c r="N1046" s="17">
        <v>0.0</v>
      </c>
      <c r="O1046" s="18">
        <v>0.0</v>
      </c>
      <c r="P1046" s="18">
        <v>0.0</v>
      </c>
      <c r="Q1046" s="119">
        <v>0.0</v>
      </c>
      <c r="R1046" s="19">
        <v>0.0</v>
      </c>
      <c r="S1046" s="20">
        <v>0.0</v>
      </c>
      <c r="T1046" s="20">
        <v>4.0</v>
      </c>
      <c r="U1046" s="20">
        <v>0.0</v>
      </c>
      <c r="V1046" s="21" t="s">
        <v>315</v>
      </c>
      <c r="W1046" s="18" t="s">
        <v>3257</v>
      </c>
      <c r="X1046" s="66" t="s">
        <v>3282</v>
      </c>
      <c r="Y1046" s="122" t="s">
        <v>3283</v>
      </c>
      <c r="Z1046" s="20" t="s">
        <v>3370</v>
      </c>
      <c r="AA1046" s="18">
        <v>19.0</v>
      </c>
      <c r="AB1046" s="18"/>
      <c r="AC1046" s="18">
        <v>19.0</v>
      </c>
      <c r="AD1046" s="14">
        <v>202962.0</v>
      </c>
      <c r="AE1046" s="18"/>
      <c r="AF1046" s="14">
        <v>202962.0</v>
      </c>
      <c r="AG1046" s="22"/>
      <c r="AH1046" s="22"/>
      <c r="AI1046" s="22"/>
      <c r="AJ1046" s="22"/>
      <c r="AK1046" s="22"/>
      <c r="AL1046" s="22"/>
      <c r="AM1046" s="22"/>
      <c r="AN1046" s="22"/>
      <c r="AO1046" s="22"/>
      <c r="AP1046" s="22"/>
    </row>
    <row r="1047" hidden="1">
      <c r="A1047" s="8">
        <v>46128.0</v>
      </c>
      <c r="B1047" s="9">
        <v>0.4583333333333333</v>
      </c>
      <c r="C1047" s="10" t="s">
        <v>58</v>
      </c>
      <c r="D1047" s="68" t="s">
        <v>3083</v>
      </c>
      <c r="E1047" s="12" t="s">
        <v>179</v>
      </c>
      <c r="F1047" s="12" t="s">
        <v>3279</v>
      </c>
      <c r="G1047" s="12" t="s">
        <v>3371</v>
      </c>
      <c r="H1047" s="68" t="s">
        <v>2384</v>
      </c>
      <c r="I1047" s="57" t="s">
        <v>61</v>
      </c>
      <c r="J1047" s="14">
        <v>11245.0</v>
      </c>
      <c r="K1047" s="14">
        <v>6548.0</v>
      </c>
      <c r="L1047" s="15">
        <v>0.5823</v>
      </c>
      <c r="M1047" s="16">
        <v>0.0</v>
      </c>
      <c r="N1047" s="17">
        <v>0.0</v>
      </c>
      <c r="O1047" s="18">
        <v>0.0</v>
      </c>
      <c r="P1047" s="18">
        <v>0.0</v>
      </c>
      <c r="Q1047" s="119">
        <v>0.0</v>
      </c>
      <c r="R1047" s="19">
        <v>0.0</v>
      </c>
      <c r="S1047" s="20">
        <v>1.0</v>
      </c>
      <c r="T1047" s="20">
        <v>4.0</v>
      </c>
      <c r="U1047" s="20">
        <v>2500.0</v>
      </c>
      <c r="V1047" s="21" t="s">
        <v>315</v>
      </c>
      <c r="W1047" s="18" t="s">
        <v>3257</v>
      </c>
      <c r="X1047" s="66" t="s">
        <v>3282</v>
      </c>
      <c r="Y1047" s="122" t="s">
        <v>3283</v>
      </c>
      <c r="Z1047" s="20" t="s">
        <v>3372</v>
      </c>
      <c r="AA1047" s="18">
        <v>20.0</v>
      </c>
      <c r="AB1047" s="18"/>
      <c r="AC1047" s="18">
        <v>20.0</v>
      </c>
      <c r="AD1047" s="14">
        <v>257168.0</v>
      </c>
      <c r="AE1047" s="18"/>
      <c r="AF1047" s="14">
        <v>257168.0</v>
      </c>
      <c r="AG1047" s="22"/>
      <c r="AH1047" s="22"/>
      <c r="AI1047" s="22"/>
      <c r="AJ1047" s="22"/>
      <c r="AK1047" s="22"/>
      <c r="AL1047" s="22"/>
      <c r="AM1047" s="22"/>
      <c r="AN1047" s="22"/>
      <c r="AO1047" s="22"/>
      <c r="AP1047" s="22"/>
    </row>
    <row r="1048" hidden="1">
      <c r="A1048" s="8">
        <v>46128.0</v>
      </c>
      <c r="B1048" s="9">
        <v>0.4583333333333333</v>
      </c>
      <c r="C1048" s="10" t="s">
        <v>58</v>
      </c>
      <c r="D1048" s="68" t="s">
        <v>3083</v>
      </c>
      <c r="E1048" s="12" t="s">
        <v>179</v>
      </c>
      <c r="F1048" s="12" t="s">
        <v>3279</v>
      </c>
      <c r="G1048" s="12" t="s">
        <v>3373</v>
      </c>
      <c r="H1048" s="68" t="s">
        <v>3310</v>
      </c>
      <c r="I1048" s="57" t="s">
        <v>61</v>
      </c>
      <c r="J1048" s="14">
        <v>7200.0</v>
      </c>
      <c r="K1048" s="14">
        <v>4568.0</v>
      </c>
      <c r="L1048" s="15">
        <v>0.6344</v>
      </c>
      <c r="M1048" s="16">
        <v>0.0</v>
      </c>
      <c r="N1048" s="17">
        <v>0.0</v>
      </c>
      <c r="O1048" s="18">
        <v>0.0</v>
      </c>
      <c r="P1048" s="18">
        <v>0.0</v>
      </c>
      <c r="Q1048" s="119">
        <v>0.0</v>
      </c>
      <c r="R1048" s="19">
        <v>0.0</v>
      </c>
      <c r="S1048" s="20">
        <v>0.0</v>
      </c>
      <c r="T1048" s="20">
        <v>4.0</v>
      </c>
      <c r="U1048" s="20">
        <v>0.0</v>
      </c>
      <c r="V1048" s="21" t="s">
        <v>315</v>
      </c>
      <c r="W1048" s="18" t="s">
        <v>3257</v>
      </c>
      <c r="X1048" s="66" t="s">
        <v>3282</v>
      </c>
      <c r="Y1048" s="122" t="s">
        <v>3283</v>
      </c>
      <c r="Z1048" s="20" t="s">
        <v>3374</v>
      </c>
      <c r="AA1048" s="18">
        <v>18.0</v>
      </c>
      <c r="AB1048" s="18"/>
      <c r="AC1048" s="18">
        <v>18.0</v>
      </c>
      <c r="AD1048" s="14">
        <v>209134.0</v>
      </c>
      <c r="AE1048" s="18"/>
      <c r="AF1048" s="14">
        <v>209134.0</v>
      </c>
      <c r="AG1048" s="22"/>
      <c r="AH1048" s="22"/>
      <c r="AI1048" s="22"/>
      <c r="AJ1048" s="22"/>
      <c r="AK1048" s="22"/>
      <c r="AL1048" s="22"/>
      <c r="AM1048" s="22"/>
      <c r="AN1048" s="22"/>
      <c r="AO1048" s="22"/>
      <c r="AP1048" s="22"/>
    </row>
    <row r="1049" hidden="1">
      <c r="A1049" s="8">
        <v>46128.0</v>
      </c>
      <c r="B1049" s="9">
        <v>0.4583333333333333</v>
      </c>
      <c r="C1049" s="10" t="s">
        <v>58</v>
      </c>
      <c r="D1049" s="68" t="s">
        <v>3083</v>
      </c>
      <c r="E1049" s="12" t="s">
        <v>179</v>
      </c>
      <c r="F1049" s="12" t="s">
        <v>3279</v>
      </c>
      <c r="G1049" s="12" t="s">
        <v>3375</v>
      </c>
      <c r="H1049" s="68" t="s">
        <v>1439</v>
      </c>
      <c r="I1049" s="57" t="s">
        <v>61</v>
      </c>
      <c r="J1049" s="14">
        <v>3283.0</v>
      </c>
      <c r="K1049" s="14">
        <v>2190.0</v>
      </c>
      <c r="L1049" s="15">
        <v>0.6671</v>
      </c>
      <c r="M1049" s="16">
        <v>0.0</v>
      </c>
      <c r="N1049" s="17">
        <v>0.0</v>
      </c>
      <c r="O1049" s="18">
        <v>0.0</v>
      </c>
      <c r="P1049" s="18">
        <v>0.0</v>
      </c>
      <c r="Q1049" s="119">
        <v>0.0</v>
      </c>
      <c r="R1049" s="19">
        <v>0.0</v>
      </c>
      <c r="S1049" s="20">
        <v>0.0</v>
      </c>
      <c r="T1049" s="20">
        <v>1.0</v>
      </c>
      <c r="U1049" s="20">
        <v>0.0</v>
      </c>
      <c r="V1049" s="21" t="s">
        <v>315</v>
      </c>
      <c r="W1049" s="18" t="s">
        <v>3257</v>
      </c>
      <c r="X1049" s="66" t="s">
        <v>3282</v>
      </c>
      <c r="Y1049" s="122" t="s">
        <v>3283</v>
      </c>
      <c r="Z1049" s="20" t="s">
        <v>3376</v>
      </c>
      <c r="AA1049" s="18">
        <v>8.0</v>
      </c>
      <c r="AB1049" s="18"/>
      <c r="AC1049" s="18">
        <v>8.0</v>
      </c>
      <c r="AD1049" s="14">
        <v>147057.0</v>
      </c>
      <c r="AE1049" s="18"/>
      <c r="AF1049" s="14">
        <v>147057.0</v>
      </c>
      <c r="AG1049" s="22"/>
      <c r="AH1049" s="22"/>
      <c r="AI1049" s="22"/>
      <c r="AJ1049" s="22"/>
      <c r="AK1049" s="22"/>
      <c r="AL1049" s="22"/>
      <c r="AM1049" s="22"/>
      <c r="AN1049" s="22"/>
      <c r="AO1049" s="22"/>
      <c r="AP1049" s="22"/>
    </row>
    <row r="1050" hidden="1">
      <c r="A1050" s="8">
        <v>46128.0</v>
      </c>
      <c r="B1050" s="9">
        <v>0.46875</v>
      </c>
      <c r="C1050" s="10" t="s">
        <v>58</v>
      </c>
      <c r="D1050" s="68" t="s">
        <v>3083</v>
      </c>
      <c r="E1050" s="12" t="s">
        <v>179</v>
      </c>
      <c r="F1050" s="12" t="s">
        <v>3279</v>
      </c>
      <c r="G1050" s="12" t="s">
        <v>3377</v>
      </c>
      <c r="H1050" s="68" t="s">
        <v>1451</v>
      </c>
      <c r="I1050" s="57" t="s">
        <v>61</v>
      </c>
      <c r="J1050" s="14">
        <v>4012.0</v>
      </c>
      <c r="K1050" s="14">
        <v>2747.0</v>
      </c>
      <c r="L1050" s="15">
        <v>0.6847</v>
      </c>
      <c r="M1050" s="16">
        <v>0.0</v>
      </c>
      <c r="N1050" s="17">
        <v>0.0</v>
      </c>
      <c r="O1050" s="18">
        <v>0.0</v>
      </c>
      <c r="P1050" s="18">
        <v>0.0</v>
      </c>
      <c r="Q1050" s="119">
        <v>0.0</v>
      </c>
      <c r="R1050" s="19">
        <v>0.0</v>
      </c>
      <c r="S1050" s="20">
        <v>0.0</v>
      </c>
      <c r="T1050" s="20">
        <v>1.0</v>
      </c>
      <c r="U1050" s="20">
        <v>0.0</v>
      </c>
      <c r="V1050" s="21" t="s">
        <v>315</v>
      </c>
      <c r="W1050" s="18" t="s">
        <v>3257</v>
      </c>
      <c r="X1050" s="66" t="s">
        <v>3282</v>
      </c>
      <c r="Y1050" s="122" t="s">
        <v>3283</v>
      </c>
      <c r="Z1050" s="20" t="s">
        <v>3378</v>
      </c>
      <c r="AA1050" s="18">
        <v>2.0</v>
      </c>
      <c r="AB1050" s="18"/>
      <c r="AC1050" s="18">
        <v>2.0</v>
      </c>
      <c r="AD1050" s="14">
        <v>8496.0</v>
      </c>
      <c r="AE1050" s="18"/>
      <c r="AF1050" s="14">
        <v>8496.0</v>
      </c>
      <c r="AG1050" s="22"/>
      <c r="AH1050" s="22"/>
      <c r="AI1050" s="22"/>
      <c r="AJ1050" s="22"/>
      <c r="AK1050" s="22"/>
      <c r="AL1050" s="22"/>
      <c r="AM1050" s="22"/>
      <c r="AN1050" s="22"/>
      <c r="AO1050" s="22"/>
      <c r="AP1050" s="22"/>
    </row>
    <row r="1051" hidden="1">
      <c r="A1051" s="8">
        <v>46128.0</v>
      </c>
      <c r="B1051" s="9">
        <v>0.46875</v>
      </c>
      <c r="C1051" s="10" t="s">
        <v>58</v>
      </c>
      <c r="D1051" s="68" t="s">
        <v>3083</v>
      </c>
      <c r="E1051" s="12" t="s">
        <v>179</v>
      </c>
      <c r="F1051" s="12" t="s">
        <v>3279</v>
      </c>
      <c r="G1051" s="12" t="s">
        <v>3379</v>
      </c>
      <c r="H1051" s="68" t="s">
        <v>1436</v>
      </c>
      <c r="I1051" s="57" t="s">
        <v>61</v>
      </c>
      <c r="J1051" s="14">
        <v>2088.0</v>
      </c>
      <c r="K1051" s="14">
        <v>1298.0</v>
      </c>
      <c r="L1051" s="15">
        <v>0.6216</v>
      </c>
      <c r="M1051" s="16">
        <v>0.0</v>
      </c>
      <c r="N1051" s="17">
        <v>0.0</v>
      </c>
      <c r="O1051" s="18">
        <v>0.0</v>
      </c>
      <c r="P1051" s="18">
        <v>0.0</v>
      </c>
      <c r="Q1051" s="119">
        <v>0.0</v>
      </c>
      <c r="R1051" s="19">
        <v>0.0</v>
      </c>
      <c r="S1051" s="20">
        <v>0.0</v>
      </c>
      <c r="T1051" s="20">
        <v>0.0</v>
      </c>
      <c r="U1051" s="20">
        <v>0.0</v>
      </c>
      <c r="V1051" s="21" t="s">
        <v>315</v>
      </c>
      <c r="W1051" s="18" t="s">
        <v>3257</v>
      </c>
      <c r="X1051" s="66" t="s">
        <v>3282</v>
      </c>
      <c r="Y1051" s="122" t="s">
        <v>3283</v>
      </c>
      <c r="Z1051" s="20" t="s">
        <v>3380</v>
      </c>
      <c r="AA1051" s="18">
        <v>4.0</v>
      </c>
      <c r="AB1051" s="18"/>
      <c r="AC1051" s="18">
        <v>4.0</v>
      </c>
      <c r="AD1051" s="14">
        <v>34774.0</v>
      </c>
      <c r="AE1051" s="18"/>
      <c r="AF1051" s="14">
        <v>34774.0</v>
      </c>
      <c r="AG1051" s="22"/>
      <c r="AH1051" s="22"/>
      <c r="AI1051" s="22"/>
      <c r="AJ1051" s="22"/>
      <c r="AK1051" s="22"/>
      <c r="AL1051" s="22"/>
      <c r="AM1051" s="22"/>
      <c r="AN1051" s="22"/>
      <c r="AO1051" s="22"/>
      <c r="AP1051" s="22"/>
    </row>
    <row r="1052" hidden="1">
      <c r="A1052" s="8">
        <v>46128.0</v>
      </c>
      <c r="B1052" s="9">
        <v>0.46875</v>
      </c>
      <c r="C1052" s="10" t="s">
        <v>58</v>
      </c>
      <c r="D1052" s="68" t="s">
        <v>3083</v>
      </c>
      <c r="E1052" s="12" t="s">
        <v>179</v>
      </c>
      <c r="F1052" s="12" t="s">
        <v>3279</v>
      </c>
      <c r="G1052" s="12" t="s">
        <v>3381</v>
      </c>
      <c r="H1052" s="68" t="s">
        <v>1433</v>
      </c>
      <c r="I1052" s="57" t="s">
        <v>61</v>
      </c>
      <c r="J1052" s="14">
        <v>2330.0</v>
      </c>
      <c r="K1052" s="14">
        <v>1430.0</v>
      </c>
      <c r="L1052" s="15">
        <v>0.6137</v>
      </c>
      <c r="M1052" s="16">
        <v>0.0</v>
      </c>
      <c r="N1052" s="17">
        <v>0.0</v>
      </c>
      <c r="O1052" s="18">
        <v>0.0</v>
      </c>
      <c r="P1052" s="18">
        <v>0.0</v>
      </c>
      <c r="Q1052" s="119">
        <v>0.0</v>
      </c>
      <c r="R1052" s="19">
        <v>0.0</v>
      </c>
      <c r="S1052" s="20">
        <v>1.0</v>
      </c>
      <c r="T1052" s="20">
        <v>2.0</v>
      </c>
      <c r="U1052" s="20">
        <v>13612.0</v>
      </c>
      <c r="V1052" s="21" t="s">
        <v>315</v>
      </c>
      <c r="W1052" s="18" t="s">
        <v>3257</v>
      </c>
      <c r="X1052" s="66" t="s">
        <v>3282</v>
      </c>
      <c r="Y1052" s="122" t="s">
        <v>3283</v>
      </c>
      <c r="Z1052" s="20" t="s">
        <v>3382</v>
      </c>
      <c r="AA1052" s="18">
        <v>4.0</v>
      </c>
      <c r="AB1052" s="18"/>
      <c r="AC1052" s="18">
        <v>4.0</v>
      </c>
      <c r="AD1052" s="14">
        <v>42150.0</v>
      </c>
      <c r="AE1052" s="18"/>
      <c r="AF1052" s="14">
        <v>42150.0</v>
      </c>
      <c r="AG1052" s="22"/>
      <c r="AH1052" s="22"/>
      <c r="AI1052" s="22"/>
      <c r="AJ1052" s="22"/>
      <c r="AK1052" s="22"/>
      <c r="AL1052" s="22"/>
      <c r="AM1052" s="22"/>
      <c r="AN1052" s="22"/>
      <c r="AO1052" s="22"/>
      <c r="AP1052" s="22"/>
    </row>
    <row r="1053" hidden="1">
      <c r="A1053" s="8">
        <v>46128.0</v>
      </c>
      <c r="B1053" s="9">
        <v>0.46875</v>
      </c>
      <c r="C1053" s="10" t="s">
        <v>58</v>
      </c>
      <c r="D1053" s="68" t="s">
        <v>3083</v>
      </c>
      <c r="E1053" s="12" t="s">
        <v>179</v>
      </c>
      <c r="F1053" s="12" t="s">
        <v>3279</v>
      </c>
      <c r="G1053" s="12" t="s">
        <v>3383</v>
      </c>
      <c r="H1053" s="68" t="s">
        <v>1429</v>
      </c>
      <c r="I1053" s="57" t="s">
        <v>61</v>
      </c>
      <c r="J1053" s="14">
        <v>2860.0</v>
      </c>
      <c r="K1053" s="14">
        <v>1842.0</v>
      </c>
      <c r="L1053" s="15">
        <v>0.6441</v>
      </c>
      <c r="M1053" s="16">
        <v>0.0</v>
      </c>
      <c r="N1053" s="17">
        <v>0.0</v>
      </c>
      <c r="O1053" s="18">
        <v>0.0</v>
      </c>
      <c r="P1053" s="18">
        <v>0.0</v>
      </c>
      <c r="Q1053" s="119">
        <v>0.0</v>
      </c>
      <c r="R1053" s="19">
        <v>0.0</v>
      </c>
      <c r="S1053" s="20">
        <v>0.0</v>
      </c>
      <c r="T1053" s="20">
        <v>1.0</v>
      </c>
      <c r="U1053" s="20">
        <v>0.0</v>
      </c>
      <c r="V1053" s="21" t="s">
        <v>315</v>
      </c>
      <c r="W1053" s="18" t="s">
        <v>3257</v>
      </c>
      <c r="X1053" s="66" t="s">
        <v>3282</v>
      </c>
      <c r="Y1053" s="122" t="s">
        <v>3283</v>
      </c>
      <c r="Z1053" s="20" t="s">
        <v>3384</v>
      </c>
      <c r="AA1053" s="18">
        <v>6.0</v>
      </c>
      <c r="AB1053" s="18"/>
      <c r="AC1053" s="18">
        <v>6.0</v>
      </c>
      <c r="AD1053" s="14">
        <v>61805.0</v>
      </c>
      <c r="AE1053" s="18"/>
      <c r="AF1053" s="14">
        <v>61805.0</v>
      </c>
      <c r="AG1053" s="22"/>
      <c r="AH1053" s="22"/>
      <c r="AI1053" s="22"/>
      <c r="AJ1053" s="22"/>
      <c r="AK1053" s="22"/>
      <c r="AL1053" s="22"/>
      <c r="AM1053" s="22"/>
      <c r="AN1053" s="22"/>
      <c r="AO1053" s="22"/>
      <c r="AP1053" s="22"/>
    </row>
    <row r="1054" hidden="1">
      <c r="A1054" s="8">
        <v>46128.0</v>
      </c>
      <c r="B1054" s="9">
        <v>0.46875</v>
      </c>
      <c r="C1054" s="10" t="s">
        <v>58</v>
      </c>
      <c r="D1054" s="68" t="s">
        <v>3083</v>
      </c>
      <c r="E1054" s="12" t="s">
        <v>179</v>
      </c>
      <c r="F1054" s="12" t="s">
        <v>3279</v>
      </c>
      <c r="G1054" s="12" t="s">
        <v>3385</v>
      </c>
      <c r="H1054" s="68" t="s">
        <v>1808</v>
      </c>
      <c r="I1054" s="57" t="s">
        <v>61</v>
      </c>
      <c r="J1054" s="14">
        <v>1897.0</v>
      </c>
      <c r="K1054" s="14">
        <v>1325.0</v>
      </c>
      <c r="L1054" s="15">
        <v>0.6985</v>
      </c>
      <c r="M1054" s="16">
        <v>0.0</v>
      </c>
      <c r="N1054" s="17">
        <v>0.0</v>
      </c>
      <c r="O1054" s="18">
        <v>0.0</v>
      </c>
      <c r="P1054" s="18">
        <v>0.0</v>
      </c>
      <c r="Q1054" s="119">
        <v>0.0</v>
      </c>
      <c r="R1054" s="19">
        <v>0.0</v>
      </c>
      <c r="S1054" s="20">
        <v>0.0</v>
      </c>
      <c r="T1054" s="20">
        <v>0.0</v>
      </c>
      <c r="U1054" s="20">
        <v>0.0</v>
      </c>
      <c r="V1054" s="21" t="s">
        <v>315</v>
      </c>
      <c r="W1054" s="18" t="s">
        <v>3257</v>
      </c>
      <c r="X1054" s="66" t="s">
        <v>3282</v>
      </c>
      <c r="Y1054" s="122" t="s">
        <v>3283</v>
      </c>
      <c r="Z1054" s="20" t="s">
        <v>3386</v>
      </c>
      <c r="AA1054" s="18">
        <v>3.0</v>
      </c>
      <c r="AB1054" s="18"/>
      <c r="AC1054" s="18">
        <v>3.0</v>
      </c>
      <c r="AD1054" s="14">
        <v>23195.0</v>
      </c>
      <c r="AE1054" s="18"/>
      <c r="AF1054" s="14">
        <v>23195.0</v>
      </c>
      <c r="AG1054" s="22"/>
      <c r="AH1054" s="22"/>
      <c r="AI1054" s="22"/>
      <c r="AJ1054" s="22"/>
      <c r="AK1054" s="22"/>
      <c r="AL1054" s="22"/>
      <c r="AM1054" s="22"/>
      <c r="AN1054" s="22"/>
      <c r="AO1054" s="22"/>
      <c r="AP1054" s="22"/>
    </row>
    <row r="1055" hidden="1">
      <c r="A1055" s="8">
        <v>46128.0</v>
      </c>
      <c r="B1055" s="9">
        <v>0.46875</v>
      </c>
      <c r="C1055" s="10" t="s">
        <v>58</v>
      </c>
      <c r="D1055" s="68" t="s">
        <v>3083</v>
      </c>
      <c r="E1055" s="12" t="s">
        <v>179</v>
      </c>
      <c r="F1055" s="12" t="s">
        <v>3279</v>
      </c>
      <c r="G1055" s="12" t="s">
        <v>3387</v>
      </c>
      <c r="H1055" s="68" t="s">
        <v>1448</v>
      </c>
      <c r="I1055" s="57" t="s">
        <v>61</v>
      </c>
      <c r="J1055" s="14">
        <v>2576.0</v>
      </c>
      <c r="K1055" s="14">
        <v>1748.0</v>
      </c>
      <c r="L1055" s="15">
        <v>0.6786</v>
      </c>
      <c r="M1055" s="16">
        <v>0.0</v>
      </c>
      <c r="N1055" s="17">
        <v>0.0</v>
      </c>
      <c r="O1055" s="18">
        <v>0.0</v>
      </c>
      <c r="P1055" s="18">
        <v>0.0</v>
      </c>
      <c r="Q1055" s="119">
        <v>0.0</v>
      </c>
      <c r="R1055" s="19">
        <v>0.0</v>
      </c>
      <c r="S1055" s="20">
        <v>0.0</v>
      </c>
      <c r="T1055" s="20">
        <v>0.0</v>
      </c>
      <c r="U1055" s="20">
        <v>0.0</v>
      </c>
      <c r="V1055" s="21" t="s">
        <v>315</v>
      </c>
      <c r="W1055" s="18" t="s">
        <v>3257</v>
      </c>
      <c r="X1055" s="66" t="s">
        <v>3282</v>
      </c>
      <c r="Y1055" s="122" t="s">
        <v>3283</v>
      </c>
      <c r="Z1055" s="20" t="s">
        <v>3388</v>
      </c>
      <c r="AA1055" s="18">
        <v>5.0</v>
      </c>
      <c r="AB1055" s="18"/>
      <c r="AC1055" s="18">
        <v>5.0</v>
      </c>
      <c r="AD1055" s="14">
        <v>24394.0</v>
      </c>
      <c r="AE1055" s="18"/>
      <c r="AF1055" s="14">
        <v>24394.0</v>
      </c>
      <c r="AG1055" s="22"/>
      <c r="AH1055" s="22"/>
      <c r="AI1055" s="22"/>
      <c r="AJ1055" s="22"/>
      <c r="AK1055" s="22"/>
      <c r="AL1055" s="22"/>
      <c r="AM1055" s="22"/>
      <c r="AN1055" s="22"/>
      <c r="AO1055" s="22"/>
      <c r="AP1055" s="22"/>
    </row>
    <row r="1056" hidden="1">
      <c r="A1056" s="8">
        <v>46128.0</v>
      </c>
      <c r="B1056" s="9">
        <v>0.46875</v>
      </c>
      <c r="C1056" s="10" t="s">
        <v>58</v>
      </c>
      <c r="D1056" s="68" t="s">
        <v>3083</v>
      </c>
      <c r="E1056" s="12" t="s">
        <v>179</v>
      </c>
      <c r="F1056" s="12" t="s">
        <v>3279</v>
      </c>
      <c r="G1056" s="12" t="s">
        <v>3389</v>
      </c>
      <c r="H1056" s="68" t="s">
        <v>1457</v>
      </c>
      <c r="I1056" s="57" t="s">
        <v>61</v>
      </c>
      <c r="J1056" s="14">
        <v>1110.0</v>
      </c>
      <c r="K1056" s="14">
        <v>777.0</v>
      </c>
      <c r="L1056" s="15">
        <v>0.7</v>
      </c>
      <c r="M1056" s="16">
        <v>0.0</v>
      </c>
      <c r="N1056" s="17">
        <v>0.0</v>
      </c>
      <c r="O1056" s="18">
        <v>0.0</v>
      </c>
      <c r="P1056" s="18">
        <v>0.0</v>
      </c>
      <c r="Q1056" s="119">
        <v>0.0</v>
      </c>
      <c r="R1056" s="19">
        <v>0.0</v>
      </c>
      <c r="S1056" s="20">
        <v>0.0</v>
      </c>
      <c r="T1056" s="20">
        <v>0.0</v>
      </c>
      <c r="U1056" s="20">
        <v>0.0</v>
      </c>
      <c r="V1056" s="21" t="s">
        <v>315</v>
      </c>
      <c r="W1056" s="18" t="s">
        <v>3257</v>
      </c>
      <c r="X1056" s="66" t="s">
        <v>3282</v>
      </c>
      <c r="Y1056" s="122" t="s">
        <v>3283</v>
      </c>
      <c r="Z1056" s="20" t="s">
        <v>3390</v>
      </c>
      <c r="AA1056" s="18">
        <v>3.0</v>
      </c>
      <c r="AB1056" s="18"/>
      <c r="AC1056" s="18">
        <v>3.0</v>
      </c>
      <c r="AD1056" s="14">
        <v>8097.0</v>
      </c>
      <c r="AE1056" s="18"/>
      <c r="AF1056" s="14">
        <v>8097.0</v>
      </c>
      <c r="AG1056" s="22"/>
      <c r="AH1056" s="22"/>
      <c r="AI1056" s="22"/>
      <c r="AJ1056" s="22"/>
      <c r="AK1056" s="22"/>
      <c r="AL1056" s="22"/>
      <c r="AM1056" s="22"/>
      <c r="AN1056" s="22"/>
      <c r="AO1056" s="22"/>
      <c r="AP1056" s="22"/>
    </row>
    <row r="1057" hidden="1">
      <c r="A1057" s="8">
        <v>46128.0</v>
      </c>
      <c r="B1057" s="9">
        <v>0.46875</v>
      </c>
      <c r="C1057" s="10" t="s">
        <v>58</v>
      </c>
      <c r="D1057" s="68" t="s">
        <v>3083</v>
      </c>
      <c r="E1057" s="12" t="s">
        <v>179</v>
      </c>
      <c r="F1057" s="12" t="s">
        <v>3337</v>
      </c>
      <c r="G1057" s="12" t="s">
        <v>3391</v>
      </c>
      <c r="H1057" s="68" t="s">
        <v>3036</v>
      </c>
      <c r="I1057" s="57" t="s">
        <v>61</v>
      </c>
      <c r="J1057" s="14">
        <v>1512.0</v>
      </c>
      <c r="K1057" s="14">
        <v>896.0</v>
      </c>
      <c r="L1057" s="15">
        <v>0.5926</v>
      </c>
      <c r="M1057" s="16">
        <v>0.0</v>
      </c>
      <c r="N1057" s="17">
        <v>0.0</v>
      </c>
      <c r="O1057" s="18">
        <v>1.0</v>
      </c>
      <c r="P1057" s="18">
        <v>0.0</v>
      </c>
      <c r="Q1057" s="119">
        <v>0.0011</v>
      </c>
      <c r="R1057" s="19">
        <v>0.0</v>
      </c>
      <c r="S1057" s="20">
        <v>0.0</v>
      </c>
      <c r="T1057" s="20">
        <v>1.0</v>
      </c>
      <c r="U1057" s="20">
        <v>0.0</v>
      </c>
      <c r="V1057" s="21" t="s">
        <v>335</v>
      </c>
      <c r="W1057" s="18" t="s">
        <v>3257</v>
      </c>
      <c r="X1057" s="66" t="s">
        <v>159</v>
      </c>
      <c r="Y1057" s="122" t="s">
        <v>3283</v>
      </c>
      <c r="Z1057" s="20" t="s">
        <v>3392</v>
      </c>
      <c r="AA1057" s="18">
        <v>0.0</v>
      </c>
      <c r="AB1057" s="18">
        <v>0.0</v>
      </c>
      <c r="AC1057" s="18"/>
      <c r="AD1057" s="14">
        <v>0.0</v>
      </c>
      <c r="AE1057" s="18">
        <v>0.0</v>
      </c>
      <c r="AF1057" s="14"/>
      <c r="AG1057" s="22"/>
      <c r="AH1057" s="22"/>
      <c r="AI1057" s="22"/>
      <c r="AJ1057" s="22"/>
      <c r="AK1057" s="22"/>
      <c r="AL1057" s="22"/>
      <c r="AM1057" s="22"/>
      <c r="AN1057" s="22"/>
      <c r="AO1057" s="22"/>
      <c r="AP1057" s="22"/>
    </row>
    <row r="1058" hidden="1">
      <c r="A1058" s="8">
        <v>46128.0</v>
      </c>
      <c r="B1058" s="9">
        <v>0.46875</v>
      </c>
      <c r="C1058" s="10" t="s">
        <v>58</v>
      </c>
      <c r="D1058" s="68" t="s">
        <v>3083</v>
      </c>
      <c r="E1058" s="12" t="s">
        <v>179</v>
      </c>
      <c r="F1058" s="12" t="s">
        <v>3337</v>
      </c>
      <c r="G1058" s="12" t="s">
        <v>3393</v>
      </c>
      <c r="H1058" s="68" t="s">
        <v>3347</v>
      </c>
      <c r="I1058" s="57" t="s">
        <v>61</v>
      </c>
      <c r="J1058" s="14">
        <v>13385.0</v>
      </c>
      <c r="K1058" s="14">
        <v>7643.0</v>
      </c>
      <c r="L1058" s="15">
        <v>0.571</v>
      </c>
      <c r="M1058" s="16">
        <v>0.0</v>
      </c>
      <c r="N1058" s="17">
        <v>0.0</v>
      </c>
      <c r="O1058" s="18">
        <v>39.0</v>
      </c>
      <c r="P1058" s="18">
        <v>0.0</v>
      </c>
      <c r="Q1058" s="119">
        <v>0.0051</v>
      </c>
      <c r="R1058" s="19">
        <v>0.0</v>
      </c>
      <c r="S1058" s="20">
        <v>2.0</v>
      </c>
      <c r="T1058" s="20">
        <v>19.0</v>
      </c>
      <c r="U1058" s="20">
        <v>63385.0</v>
      </c>
      <c r="V1058" s="21" t="s">
        <v>335</v>
      </c>
      <c r="W1058" s="18" t="s">
        <v>3257</v>
      </c>
      <c r="X1058" s="66" t="s">
        <v>3349</v>
      </c>
      <c r="Y1058" s="122" t="s">
        <v>3283</v>
      </c>
      <c r="Z1058" s="20" t="s">
        <v>3394</v>
      </c>
      <c r="AA1058" s="18">
        <v>15.0</v>
      </c>
      <c r="AB1058" s="18">
        <v>15.0</v>
      </c>
      <c r="AC1058" s="18"/>
      <c r="AD1058" s="14">
        <v>154127.0</v>
      </c>
      <c r="AE1058" s="14">
        <v>154127.0</v>
      </c>
      <c r="AF1058" s="14"/>
      <c r="AG1058" s="22"/>
      <c r="AH1058" s="22"/>
      <c r="AI1058" s="22"/>
      <c r="AJ1058" s="22"/>
      <c r="AK1058" s="22"/>
      <c r="AL1058" s="22"/>
      <c r="AM1058" s="22"/>
      <c r="AN1058" s="22"/>
      <c r="AO1058" s="22"/>
      <c r="AP1058" s="22"/>
    </row>
    <row r="1059" hidden="1">
      <c r="A1059" s="8">
        <v>46128.0</v>
      </c>
      <c r="B1059" s="9">
        <v>0.46875</v>
      </c>
      <c r="C1059" s="10" t="s">
        <v>58</v>
      </c>
      <c r="D1059" s="68" t="s">
        <v>3083</v>
      </c>
      <c r="E1059" s="12" t="s">
        <v>179</v>
      </c>
      <c r="F1059" s="12" t="s">
        <v>3337</v>
      </c>
      <c r="G1059" s="12" t="s">
        <v>3395</v>
      </c>
      <c r="H1059" s="68" t="s">
        <v>3342</v>
      </c>
      <c r="I1059" s="57" t="s">
        <v>61</v>
      </c>
      <c r="J1059" s="14">
        <v>1029.0</v>
      </c>
      <c r="K1059" s="14">
        <v>593.0</v>
      </c>
      <c r="L1059" s="15">
        <v>0.5763</v>
      </c>
      <c r="M1059" s="16">
        <v>0.0</v>
      </c>
      <c r="N1059" s="17">
        <v>0.0</v>
      </c>
      <c r="O1059" s="18">
        <v>2.0</v>
      </c>
      <c r="P1059" s="18">
        <v>0.0</v>
      </c>
      <c r="Q1059" s="119">
        <v>0.0034</v>
      </c>
      <c r="R1059" s="19">
        <v>0.0</v>
      </c>
      <c r="S1059" s="20">
        <v>0.0</v>
      </c>
      <c r="T1059" s="20">
        <v>1.0</v>
      </c>
      <c r="U1059" s="20">
        <v>0.0</v>
      </c>
      <c r="V1059" s="21" t="s">
        <v>335</v>
      </c>
      <c r="W1059" s="18" t="s">
        <v>3257</v>
      </c>
      <c r="X1059" s="66" t="s">
        <v>3344</v>
      </c>
      <c r="Y1059" s="122" t="s">
        <v>3283</v>
      </c>
      <c r="Z1059" s="20" t="s">
        <v>3396</v>
      </c>
      <c r="AA1059" s="18">
        <v>0.0</v>
      </c>
      <c r="AB1059" s="18">
        <v>0.0</v>
      </c>
      <c r="AC1059" s="18"/>
      <c r="AD1059" s="14">
        <v>0.0</v>
      </c>
      <c r="AE1059" s="18">
        <v>0.0</v>
      </c>
      <c r="AF1059" s="14"/>
      <c r="AG1059" s="22"/>
      <c r="AH1059" s="22"/>
      <c r="AI1059" s="22"/>
      <c r="AJ1059" s="22"/>
      <c r="AK1059" s="22"/>
      <c r="AL1059" s="22"/>
      <c r="AM1059" s="22"/>
      <c r="AN1059" s="22"/>
      <c r="AO1059" s="22"/>
      <c r="AP1059" s="22"/>
    </row>
    <row r="1060" hidden="1">
      <c r="A1060" s="8">
        <v>46128.0</v>
      </c>
      <c r="B1060" s="9">
        <v>0.46875</v>
      </c>
      <c r="C1060" s="10" t="s">
        <v>58</v>
      </c>
      <c r="D1060" s="68" t="s">
        <v>3083</v>
      </c>
      <c r="E1060" s="12" t="s">
        <v>179</v>
      </c>
      <c r="F1060" s="12" t="s">
        <v>3337</v>
      </c>
      <c r="G1060" s="12" t="s">
        <v>3397</v>
      </c>
      <c r="H1060" s="68" t="s">
        <v>3352</v>
      </c>
      <c r="I1060" s="57" t="s">
        <v>61</v>
      </c>
      <c r="J1060" s="14">
        <v>36752.0</v>
      </c>
      <c r="K1060" s="14">
        <v>25237.0</v>
      </c>
      <c r="L1060" s="15">
        <v>0.6867</v>
      </c>
      <c r="M1060" s="16">
        <v>0.0</v>
      </c>
      <c r="N1060" s="17">
        <v>0.0</v>
      </c>
      <c r="O1060" s="18">
        <v>45.0</v>
      </c>
      <c r="P1060" s="18">
        <v>0.0</v>
      </c>
      <c r="Q1060" s="119">
        <v>0.0018</v>
      </c>
      <c r="R1060" s="19">
        <v>0.0</v>
      </c>
      <c r="S1060" s="20">
        <v>3.0</v>
      </c>
      <c r="T1060" s="20">
        <v>12.0</v>
      </c>
      <c r="U1060" s="20">
        <v>7796.0</v>
      </c>
      <c r="V1060" s="21" t="s">
        <v>335</v>
      </c>
      <c r="W1060" s="18" t="s">
        <v>3257</v>
      </c>
      <c r="X1060" s="66" t="s">
        <v>149</v>
      </c>
      <c r="Y1060" s="122" t="s">
        <v>3283</v>
      </c>
      <c r="Z1060" s="20" t="s">
        <v>3398</v>
      </c>
      <c r="AA1060" s="18">
        <v>15.0</v>
      </c>
      <c r="AB1060" s="18">
        <v>15.0</v>
      </c>
      <c r="AC1060" s="18"/>
      <c r="AD1060" s="14">
        <v>58044.0</v>
      </c>
      <c r="AE1060" s="14">
        <v>58044.0</v>
      </c>
      <c r="AF1060" s="14"/>
      <c r="AG1060" s="22"/>
      <c r="AH1060" s="22"/>
      <c r="AI1060" s="22"/>
      <c r="AJ1060" s="22"/>
      <c r="AK1060" s="22"/>
      <c r="AL1060" s="22"/>
      <c r="AM1060" s="22"/>
      <c r="AN1060" s="22"/>
      <c r="AO1060" s="22"/>
      <c r="AP1060" s="22"/>
    </row>
    <row r="1061" hidden="1">
      <c r="A1061" s="26">
        <v>46128.0</v>
      </c>
      <c r="B1061" s="123">
        <v>0.4791666666666667</v>
      </c>
      <c r="C1061" s="28" t="s">
        <v>32</v>
      </c>
      <c r="D1061" s="28" t="s">
        <v>3243</v>
      </c>
      <c r="E1061" s="30" t="s">
        <v>71</v>
      </c>
      <c r="F1061" s="30" t="s">
        <v>3259</v>
      </c>
      <c r="G1061" s="30" t="s">
        <v>3399</v>
      </c>
      <c r="H1061" s="112" t="s">
        <v>3400</v>
      </c>
      <c r="I1061" s="72" t="s">
        <v>3401</v>
      </c>
      <c r="J1061" s="33">
        <v>138933.0</v>
      </c>
      <c r="K1061" s="33">
        <v>74980.0</v>
      </c>
      <c r="L1061" s="34">
        <v>0.5396</v>
      </c>
      <c r="M1061" s="35">
        <v>29553.0</v>
      </c>
      <c r="N1061" s="17">
        <v>0.394</v>
      </c>
      <c r="O1061" s="18">
        <v>5006.0</v>
      </c>
      <c r="P1061" s="18">
        <v>4433.0</v>
      </c>
      <c r="Q1061" s="119">
        <v>0.0591</v>
      </c>
      <c r="R1061" s="19">
        <v>0.1501</v>
      </c>
      <c r="S1061" s="39">
        <v>44.0</v>
      </c>
      <c r="T1061" s="39">
        <v>118.0</v>
      </c>
      <c r="U1061" s="39">
        <v>88499.0</v>
      </c>
      <c r="V1061" s="41" t="s">
        <v>315</v>
      </c>
      <c r="W1061" s="37" t="s">
        <v>76</v>
      </c>
      <c r="X1061" s="73" t="s">
        <v>2286</v>
      </c>
      <c r="Y1061" s="21" t="s">
        <v>3402</v>
      </c>
      <c r="Z1061" s="39" t="s">
        <v>3403</v>
      </c>
      <c r="AA1061" s="37">
        <v>445.0</v>
      </c>
      <c r="AB1061" s="37"/>
      <c r="AC1061" s="37">
        <v>445.0</v>
      </c>
      <c r="AD1061" s="33">
        <v>1636852.0</v>
      </c>
      <c r="AE1061" s="37"/>
      <c r="AF1061" s="33">
        <v>1636852.0</v>
      </c>
      <c r="AG1061" s="43"/>
      <c r="AH1061" s="43"/>
      <c r="AI1061" s="43"/>
      <c r="AJ1061" s="43"/>
      <c r="AK1061" s="43"/>
      <c r="AL1061" s="43"/>
      <c r="AM1061" s="43"/>
      <c r="AN1061" s="43"/>
      <c r="AO1061" s="43"/>
      <c r="AP1061" s="43"/>
    </row>
    <row r="1062" hidden="1">
      <c r="A1062" s="26">
        <v>46128.0</v>
      </c>
      <c r="B1062" s="123">
        <v>0.4791666666666667</v>
      </c>
      <c r="C1062" s="28" t="s">
        <v>32</v>
      </c>
      <c r="D1062" s="28" t="s">
        <v>3243</v>
      </c>
      <c r="E1062" s="30" t="s">
        <v>71</v>
      </c>
      <c r="F1062" s="30" t="s">
        <v>3259</v>
      </c>
      <c r="G1062" s="30" t="s">
        <v>3404</v>
      </c>
      <c r="H1062" s="112" t="s">
        <v>3405</v>
      </c>
      <c r="I1062" s="72" t="s">
        <v>3406</v>
      </c>
      <c r="J1062" s="33">
        <v>106968.0</v>
      </c>
      <c r="K1062" s="33">
        <v>56657.0</v>
      </c>
      <c r="L1062" s="34">
        <v>0.5296</v>
      </c>
      <c r="M1062" s="35">
        <v>20918.0</v>
      </c>
      <c r="N1062" s="17">
        <v>0.369</v>
      </c>
      <c r="O1062" s="18">
        <v>2626.0</v>
      </c>
      <c r="P1062" s="18">
        <v>2378.0</v>
      </c>
      <c r="Q1062" s="119">
        <v>0.042</v>
      </c>
      <c r="R1062" s="19">
        <v>0.1137</v>
      </c>
      <c r="S1062" s="39">
        <v>26.0</v>
      </c>
      <c r="T1062" s="39">
        <v>73.0</v>
      </c>
      <c r="U1062" s="39">
        <v>54051.0</v>
      </c>
      <c r="V1062" s="41" t="s">
        <v>315</v>
      </c>
      <c r="W1062" s="37" t="s">
        <v>76</v>
      </c>
      <c r="X1062" s="73" t="s">
        <v>41</v>
      </c>
      <c r="Y1062" s="21" t="s">
        <v>3402</v>
      </c>
      <c r="Z1062" s="39" t="s">
        <v>3407</v>
      </c>
      <c r="AA1062" s="37">
        <v>310.0</v>
      </c>
      <c r="AB1062" s="37"/>
      <c r="AC1062" s="37">
        <v>310.0</v>
      </c>
      <c r="AD1062" s="33">
        <v>1201313.0</v>
      </c>
      <c r="AE1062" s="37"/>
      <c r="AF1062" s="33">
        <v>1201313.0</v>
      </c>
      <c r="AG1062" s="43"/>
      <c r="AH1062" s="43"/>
      <c r="AI1062" s="43"/>
      <c r="AJ1062" s="43"/>
      <c r="AK1062" s="43"/>
      <c r="AL1062" s="43"/>
      <c r="AM1062" s="43"/>
      <c r="AN1062" s="43"/>
      <c r="AO1062" s="43"/>
      <c r="AP1062" s="43"/>
    </row>
    <row r="1063" hidden="1">
      <c r="A1063" s="26">
        <v>46128.0</v>
      </c>
      <c r="B1063" s="123">
        <v>0.4791666666666667</v>
      </c>
      <c r="C1063" s="28" t="s">
        <v>32</v>
      </c>
      <c r="D1063" s="28" t="s">
        <v>3243</v>
      </c>
      <c r="E1063" s="30" t="s">
        <v>71</v>
      </c>
      <c r="F1063" s="30" t="s">
        <v>3259</v>
      </c>
      <c r="G1063" s="30" t="s">
        <v>3408</v>
      </c>
      <c r="H1063" s="112" t="s">
        <v>3409</v>
      </c>
      <c r="I1063" s="72" t="s">
        <v>3410</v>
      </c>
      <c r="J1063" s="33">
        <v>200797.0</v>
      </c>
      <c r="K1063" s="33">
        <v>103466.0</v>
      </c>
      <c r="L1063" s="34">
        <v>0.5152</v>
      </c>
      <c r="M1063" s="35">
        <v>36056.0</v>
      </c>
      <c r="N1063" s="17">
        <v>0.3484</v>
      </c>
      <c r="O1063" s="18">
        <v>4173.0</v>
      </c>
      <c r="P1063" s="18">
        <v>3713.0</v>
      </c>
      <c r="Q1063" s="119">
        <v>0.0359</v>
      </c>
      <c r="R1063" s="19">
        <v>0.103</v>
      </c>
      <c r="S1063" s="39">
        <v>48.0</v>
      </c>
      <c r="T1063" s="39">
        <v>111.0</v>
      </c>
      <c r="U1063" s="39">
        <v>93408.0</v>
      </c>
      <c r="V1063" s="41" t="s">
        <v>315</v>
      </c>
      <c r="W1063" s="37" t="s">
        <v>76</v>
      </c>
      <c r="X1063" s="73" t="s">
        <v>41</v>
      </c>
      <c r="Y1063" s="21" t="s">
        <v>3402</v>
      </c>
      <c r="Z1063" s="39" t="s">
        <v>3411</v>
      </c>
      <c r="AA1063" s="37">
        <v>344.0</v>
      </c>
      <c r="AB1063" s="37"/>
      <c r="AC1063" s="37">
        <v>344.0</v>
      </c>
      <c r="AD1063" s="33">
        <v>1233987.0</v>
      </c>
      <c r="AE1063" s="37"/>
      <c r="AF1063" s="33">
        <v>1233987.0</v>
      </c>
      <c r="AG1063" s="43"/>
      <c r="AH1063" s="43"/>
      <c r="AI1063" s="43"/>
      <c r="AJ1063" s="43"/>
      <c r="AK1063" s="43"/>
      <c r="AL1063" s="43"/>
      <c r="AM1063" s="43"/>
      <c r="AN1063" s="43"/>
      <c r="AO1063" s="43"/>
      <c r="AP1063" s="43"/>
    </row>
    <row r="1064" hidden="1">
      <c r="A1064" s="26">
        <v>46128.0</v>
      </c>
      <c r="B1064" s="123">
        <v>0.5416666666666666</v>
      </c>
      <c r="C1064" s="28" t="s">
        <v>58</v>
      </c>
      <c r="D1064" s="112" t="s">
        <v>3083</v>
      </c>
      <c r="E1064" s="30" t="s">
        <v>71</v>
      </c>
      <c r="F1064" s="30" t="s">
        <v>3259</v>
      </c>
      <c r="G1064" s="30" t="s">
        <v>3412</v>
      </c>
      <c r="H1064" s="112" t="s">
        <v>3400</v>
      </c>
      <c r="I1064" s="72" t="s">
        <v>61</v>
      </c>
      <c r="J1064" s="33">
        <v>61494.0</v>
      </c>
      <c r="K1064" s="33">
        <v>35920.0</v>
      </c>
      <c r="L1064" s="15">
        <v>0.5841</v>
      </c>
      <c r="M1064" s="35">
        <v>0.0</v>
      </c>
      <c r="N1064" s="17">
        <v>0.0</v>
      </c>
      <c r="O1064" s="18">
        <v>103.0</v>
      </c>
      <c r="P1064" s="18">
        <v>0.0</v>
      </c>
      <c r="Q1064" s="119">
        <v>0.0029</v>
      </c>
      <c r="R1064" s="19">
        <v>0.0</v>
      </c>
      <c r="S1064" s="39">
        <v>2.0</v>
      </c>
      <c r="T1064" s="39">
        <v>19.0</v>
      </c>
      <c r="U1064" s="39">
        <v>2906.0</v>
      </c>
      <c r="V1064" s="41" t="s">
        <v>315</v>
      </c>
      <c r="W1064" s="37" t="s">
        <v>3257</v>
      </c>
      <c r="X1064" s="73" t="s">
        <v>2286</v>
      </c>
      <c r="Y1064" s="122">
        <v>46128.0</v>
      </c>
      <c r="Z1064" s="39" t="s">
        <v>3413</v>
      </c>
      <c r="AA1064" s="37">
        <v>74.0</v>
      </c>
      <c r="AB1064" s="37"/>
      <c r="AC1064" s="37">
        <v>74.0</v>
      </c>
      <c r="AD1064" s="33">
        <v>264319.0</v>
      </c>
      <c r="AE1064" s="37"/>
      <c r="AF1064" s="33">
        <v>264319.0</v>
      </c>
      <c r="AG1064" s="43"/>
      <c r="AH1064" s="43"/>
      <c r="AI1064" s="43"/>
      <c r="AJ1064" s="43"/>
      <c r="AK1064" s="43"/>
      <c r="AL1064" s="43"/>
      <c r="AM1064" s="43"/>
      <c r="AN1064" s="43"/>
      <c r="AO1064" s="43"/>
      <c r="AP1064" s="43"/>
    </row>
    <row r="1065" hidden="1">
      <c r="A1065" s="26">
        <v>46128.0</v>
      </c>
      <c r="B1065" s="123">
        <v>0.5416666666666666</v>
      </c>
      <c r="C1065" s="28" t="s">
        <v>58</v>
      </c>
      <c r="D1065" s="112" t="s">
        <v>3083</v>
      </c>
      <c r="E1065" s="30" t="s">
        <v>71</v>
      </c>
      <c r="F1065" s="30" t="s">
        <v>3259</v>
      </c>
      <c r="G1065" s="30" t="s">
        <v>3414</v>
      </c>
      <c r="H1065" s="112" t="s">
        <v>3405</v>
      </c>
      <c r="I1065" s="72" t="s">
        <v>61</v>
      </c>
      <c r="J1065" s="33">
        <v>48130.0</v>
      </c>
      <c r="K1065" s="33">
        <v>27690.0</v>
      </c>
      <c r="L1065" s="15">
        <v>0.5753</v>
      </c>
      <c r="M1065" s="35">
        <v>0.0</v>
      </c>
      <c r="N1065" s="17">
        <v>0.0</v>
      </c>
      <c r="O1065" s="18">
        <v>49.0</v>
      </c>
      <c r="P1065" s="18">
        <v>0.0</v>
      </c>
      <c r="Q1065" s="119">
        <v>0.0018</v>
      </c>
      <c r="R1065" s="19">
        <v>0.0</v>
      </c>
      <c r="S1065" s="39">
        <v>5.0</v>
      </c>
      <c r="T1065" s="39">
        <v>14.0</v>
      </c>
      <c r="U1065" s="39">
        <v>17233.0</v>
      </c>
      <c r="V1065" s="41" t="s">
        <v>315</v>
      </c>
      <c r="W1065" s="37" t="s">
        <v>3257</v>
      </c>
      <c r="X1065" s="73" t="s">
        <v>41</v>
      </c>
      <c r="Y1065" s="122">
        <v>46128.0</v>
      </c>
      <c r="Z1065" s="39" t="s">
        <v>3415</v>
      </c>
      <c r="AA1065" s="37">
        <v>34.0</v>
      </c>
      <c r="AB1065" s="37"/>
      <c r="AC1065" s="37">
        <v>34.0</v>
      </c>
      <c r="AD1065" s="33">
        <v>133939.0</v>
      </c>
      <c r="AE1065" s="37"/>
      <c r="AF1065" s="33">
        <v>133939.0</v>
      </c>
      <c r="AG1065" s="43"/>
      <c r="AH1065" s="43"/>
      <c r="AI1065" s="43"/>
      <c r="AJ1065" s="43"/>
      <c r="AK1065" s="43"/>
      <c r="AL1065" s="43"/>
      <c r="AM1065" s="43"/>
      <c r="AN1065" s="43"/>
      <c r="AO1065" s="43"/>
      <c r="AP1065" s="43"/>
    </row>
    <row r="1066" hidden="1">
      <c r="A1066" s="26">
        <v>46128.0</v>
      </c>
      <c r="B1066" s="123">
        <v>0.5416666666666666</v>
      </c>
      <c r="C1066" s="28" t="s">
        <v>58</v>
      </c>
      <c r="D1066" s="112" t="s">
        <v>3083</v>
      </c>
      <c r="E1066" s="30" t="s">
        <v>71</v>
      </c>
      <c r="F1066" s="30" t="s">
        <v>3259</v>
      </c>
      <c r="G1066" s="30" t="s">
        <v>3416</v>
      </c>
      <c r="H1066" s="112" t="s">
        <v>3409</v>
      </c>
      <c r="I1066" s="72" t="s">
        <v>61</v>
      </c>
      <c r="J1066" s="33">
        <v>91100.0</v>
      </c>
      <c r="K1066" s="33">
        <v>53335.0</v>
      </c>
      <c r="L1066" s="15">
        <v>0.5855</v>
      </c>
      <c r="M1066" s="35">
        <v>0.0</v>
      </c>
      <c r="N1066" s="17">
        <v>0.0</v>
      </c>
      <c r="O1066" s="18">
        <v>94.0</v>
      </c>
      <c r="P1066" s="18">
        <v>0.0</v>
      </c>
      <c r="Q1066" s="119">
        <v>0.0018</v>
      </c>
      <c r="R1066" s="19">
        <v>0.0</v>
      </c>
      <c r="S1066" s="39">
        <v>5.0</v>
      </c>
      <c r="T1066" s="39">
        <v>11.0</v>
      </c>
      <c r="U1066" s="39">
        <v>9967.0</v>
      </c>
      <c r="V1066" s="41" t="s">
        <v>315</v>
      </c>
      <c r="W1066" s="37" t="s">
        <v>3257</v>
      </c>
      <c r="X1066" s="73" t="s">
        <v>41</v>
      </c>
      <c r="Y1066" s="122">
        <v>46128.0</v>
      </c>
      <c r="Z1066" s="39" t="s">
        <v>3417</v>
      </c>
      <c r="AA1066" s="37">
        <v>46.0</v>
      </c>
      <c r="AB1066" s="37"/>
      <c r="AC1066" s="37">
        <v>46.0</v>
      </c>
      <c r="AD1066" s="33">
        <v>152852.0</v>
      </c>
      <c r="AE1066" s="37"/>
      <c r="AF1066" s="33">
        <v>152852.0</v>
      </c>
      <c r="AG1066" s="43"/>
      <c r="AH1066" s="43"/>
      <c r="AI1066" s="43"/>
      <c r="AJ1066" s="43"/>
      <c r="AK1066" s="43"/>
      <c r="AL1066" s="43"/>
      <c r="AM1066" s="43"/>
      <c r="AN1066" s="43"/>
      <c r="AO1066" s="43"/>
      <c r="AP1066" s="43"/>
    </row>
    <row r="1067" hidden="1">
      <c r="A1067" s="8">
        <v>46129.0</v>
      </c>
      <c r="B1067" s="9">
        <v>0.625</v>
      </c>
      <c r="C1067" s="10" t="s">
        <v>32</v>
      </c>
      <c r="D1067" s="10" t="s">
        <v>3243</v>
      </c>
      <c r="E1067" s="12" t="s">
        <v>217</v>
      </c>
      <c r="F1067" s="12" t="s">
        <v>3170</v>
      </c>
      <c r="G1067" s="12" t="s">
        <v>3418</v>
      </c>
      <c r="H1067" s="68" t="s">
        <v>3419</v>
      </c>
      <c r="I1067" s="57" t="s">
        <v>3420</v>
      </c>
      <c r="J1067" s="14">
        <v>152019.0</v>
      </c>
      <c r="K1067" s="14">
        <v>101462.0</v>
      </c>
      <c r="L1067" s="15">
        <v>0.6674</v>
      </c>
      <c r="M1067" s="16">
        <v>59320.0</v>
      </c>
      <c r="N1067" s="17">
        <v>0.5846</v>
      </c>
      <c r="O1067" s="18">
        <v>4676.0</v>
      </c>
      <c r="P1067" s="18">
        <v>4296.0</v>
      </c>
      <c r="Q1067" s="119">
        <v>0.0423</v>
      </c>
      <c r="R1067" s="19">
        <v>0.0724</v>
      </c>
      <c r="S1067" s="20">
        <v>0.0</v>
      </c>
      <c r="T1067" s="20">
        <v>0.0</v>
      </c>
      <c r="U1067" s="20">
        <v>0.0</v>
      </c>
      <c r="V1067" s="21" t="s">
        <v>315</v>
      </c>
      <c r="W1067" s="18" t="s">
        <v>76</v>
      </c>
      <c r="X1067" s="66" t="s">
        <v>1101</v>
      </c>
      <c r="Y1067" s="122" t="s">
        <v>3421</v>
      </c>
      <c r="Z1067" s="20" t="s">
        <v>3422</v>
      </c>
      <c r="AA1067" s="18">
        <v>832.0</v>
      </c>
      <c r="AB1067" s="18"/>
      <c r="AC1067" s="18">
        <v>832.0</v>
      </c>
      <c r="AD1067" s="14">
        <v>1779782.0</v>
      </c>
      <c r="AE1067" s="18"/>
      <c r="AF1067" s="14">
        <v>1779782.0</v>
      </c>
      <c r="AG1067" s="22"/>
      <c r="AH1067" s="22"/>
      <c r="AI1067" s="22"/>
      <c r="AJ1067" s="22"/>
      <c r="AK1067" s="22"/>
      <c r="AL1067" s="22"/>
      <c r="AM1067" s="22"/>
      <c r="AN1067" s="22"/>
      <c r="AO1067" s="22"/>
      <c r="AP1067" s="22"/>
    </row>
    <row r="1068" hidden="1">
      <c r="A1068" s="8">
        <v>46129.0</v>
      </c>
      <c r="B1068" s="9">
        <v>0.7083333333333334</v>
      </c>
      <c r="C1068" s="10" t="s">
        <v>58</v>
      </c>
      <c r="D1068" s="10" t="s">
        <v>3083</v>
      </c>
      <c r="E1068" s="12" t="s">
        <v>217</v>
      </c>
      <c r="F1068" s="12" t="s">
        <v>3170</v>
      </c>
      <c r="G1068" s="12" t="s">
        <v>3423</v>
      </c>
      <c r="H1068" s="68" t="s">
        <v>3419</v>
      </c>
      <c r="I1068" s="57" t="s">
        <v>61</v>
      </c>
      <c r="J1068" s="14">
        <v>49083.0</v>
      </c>
      <c r="K1068" s="14">
        <v>32645.0</v>
      </c>
      <c r="L1068" s="15">
        <v>0.6651</v>
      </c>
      <c r="M1068" s="16">
        <v>0.0</v>
      </c>
      <c r="N1068" s="17">
        <v>0.0</v>
      </c>
      <c r="O1068" s="18">
        <v>60.0</v>
      </c>
      <c r="P1068" s="18">
        <v>0.0</v>
      </c>
      <c r="Q1068" s="119">
        <v>0.0018</v>
      </c>
      <c r="R1068" s="19">
        <v>0.0</v>
      </c>
      <c r="S1068" s="20">
        <v>0.0</v>
      </c>
      <c r="T1068" s="20">
        <v>0.0</v>
      </c>
      <c r="U1068" s="20">
        <v>0.0</v>
      </c>
      <c r="V1068" s="21" t="s">
        <v>315</v>
      </c>
      <c r="W1068" s="18" t="s">
        <v>3257</v>
      </c>
      <c r="X1068" s="66" t="s">
        <v>1101</v>
      </c>
      <c r="Y1068" s="122" t="s">
        <v>3421</v>
      </c>
      <c r="Z1068" s="20" t="s">
        <v>3424</v>
      </c>
      <c r="AA1068" s="18">
        <v>282.0</v>
      </c>
      <c r="AB1068" s="18"/>
      <c r="AC1068" s="18">
        <v>282.0</v>
      </c>
      <c r="AD1068" s="14">
        <v>642319.0</v>
      </c>
      <c r="AE1068" s="18"/>
      <c r="AF1068" s="14">
        <v>642319.0</v>
      </c>
      <c r="AG1068" s="22"/>
      <c r="AH1068" s="22"/>
      <c r="AI1068" s="22"/>
      <c r="AJ1068" s="22"/>
      <c r="AK1068" s="22"/>
      <c r="AL1068" s="22"/>
      <c r="AM1068" s="22"/>
      <c r="AN1068" s="22"/>
      <c r="AO1068" s="22"/>
      <c r="AP1068" s="22"/>
    </row>
    <row r="1069" hidden="1">
      <c r="A1069" s="8">
        <v>46129.0</v>
      </c>
      <c r="B1069" s="9">
        <v>0.7083333333333334</v>
      </c>
      <c r="C1069" s="10" t="s">
        <v>58</v>
      </c>
      <c r="D1069" s="10" t="s">
        <v>3083</v>
      </c>
      <c r="E1069" s="12" t="s">
        <v>217</v>
      </c>
      <c r="F1069" s="12" t="s">
        <v>69</v>
      </c>
      <c r="G1069" s="12" t="s">
        <v>3425</v>
      </c>
      <c r="H1069" s="68" t="s">
        <v>3426</v>
      </c>
      <c r="I1069" s="57" t="s">
        <v>2956</v>
      </c>
      <c r="J1069" s="14">
        <v>232186.0</v>
      </c>
      <c r="K1069" s="14">
        <v>129629.0</v>
      </c>
      <c r="L1069" s="15">
        <v>0.5583</v>
      </c>
      <c r="M1069" s="16">
        <v>0.0</v>
      </c>
      <c r="N1069" s="17">
        <v>0.0</v>
      </c>
      <c r="O1069" s="18">
        <v>336.0</v>
      </c>
      <c r="P1069" s="18">
        <v>0.0</v>
      </c>
      <c r="Q1069" s="119">
        <v>0.0026</v>
      </c>
      <c r="R1069" s="19">
        <v>0.0</v>
      </c>
      <c r="S1069" s="20">
        <v>0.0</v>
      </c>
      <c r="T1069" s="20">
        <v>0.0</v>
      </c>
      <c r="U1069" s="20">
        <v>0.0</v>
      </c>
      <c r="V1069" s="21" t="s">
        <v>315</v>
      </c>
      <c r="W1069" s="18" t="s">
        <v>3257</v>
      </c>
      <c r="X1069" s="66" t="s">
        <v>1101</v>
      </c>
      <c r="Y1069" s="122" t="s">
        <v>3427</v>
      </c>
      <c r="Z1069" s="20" t="s">
        <v>3428</v>
      </c>
      <c r="AA1069" s="18">
        <v>1107.0</v>
      </c>
      <c r="AB1069" s="18"/>
      <c r="AC1069" s="18">
        <v>1107.0</v>
      </c>
      <c r="AD1069" s="14">
        <v>2315461.0</v>
      </c>
      <c r="AE1069" s="18"/>
      <c r="AF1069" s="14">
        <v>2315461.0</v>
      </c>
      <c r="AG1069" s="22"/>
      <c r="AH1069" s="22"/>
      <c r="AI1069" s="22"/>
      <c r="AJ1069" s="22"/>
      <c r="AK1069" s="22"/>
      <c r="AL1069" s="22"/>
      <c r="AM1069" s="22"/>
      <c r="AN1069" s="22"/>
      <c r="AO1069" s="22"/>
      <c r="AP1069" s="22"/>
    </row>
    <row r="1070" hidden="1">
      <c r="A1070" s="8">
        <v>46129.0</v>
      </c>
      <c r="B1070" s="9">
        <v>0.7083333333333334</v>
      </c>
      <c r="C1070" s="10" t="s">
        <v>58</v>
      </c>
      <c r="D1070" s="10" t="s">
        <v>3083</v>
      </c>
      <c r="E1070" s="12" t="s">
        <v>217</v>
      </c>
      <c r="F1070" s="12" t="s">
        <v>41</v>
      </c>
      <c r="G1070" s="12" t="s">
        <v>3429</v>
      </c>
      <c r="H1070" s="68" t="s">
        <v>3430</v>
      </c>
      <c r="I1070" s="57" t="s">
        <v>2956</v>
      </c>
      <c r="J1070" s="14">
        <v>224843.0</v>
      </c>
      <c r="K1070" s="14">
        <v>127477.0</v>
      </c>
      <c r="L1070" s="15">
        <v>0.567</v>
      </c>
      <c r="M1070" s="16">
        <v>0.0</v>
      </c>
      <c r="N1070" s="17">
        <v>0.0</v>
      </c>
      <c r="O1070" s="18">
        <v>414.0</v>
      </c>
      <c r="P1070" s="18">
        <v>0.0</v>
      </c>
      <c r="Q1070" s="119">
        <v>0.0032</v>
      </c>
      <c r="R1070" s="19">
        <v>0.0</v>
      </c>
      <c r="S1070" s="20">
        <v>0.0</v>
      </c>
      <c r="T1070" s="20">
        <v>0.0</v>
      </c>
      <c r="U1070" s="20">
        <v>0.0</v>
      </c>
      <c r="V1070" s="21" t="s">
        <v>315</v>
      </c>
      <c r="W1070" s="18" t="s">
        <v>3257</v>
      </c>
      <c r="X1070" s="66" t="s">
        <v>1101</v>
      </c>
      <c r="Y1070" s="122" t="s">
        <v>3427</v>
      </c>
      <c r="Z1070" s="20" t="s">
        <v>3431</v>
      </c>
      <c r="AA1070" s="14">
        <v>2358.0</v>
      </c>
      <c r="AB1070" s="18"/>
      <c r="AC1070" s="14">
        <v>2358.0</v>
      </c>
      <c r="AD1070" s="14">
        <v>4961552.0</v>
      </c>
      <c r="AE1070" s="18"/>
      <c r="AF1070" s="14">
        <v>4961552.0</v>
      </c>
      <c r="AG1070" s="22"/>
      <c r="AH1070" s="22"/>
      <c r="AI1070" s="22"/>
      <c r="AJ1070" s="22"/>
      <c r="AK1070" s="22"/>
      <c r="AL1070" s="22"/>
      <c r="AM1070" s="22"/>
      <c r="AN1070" s="22"/>
      <c r="AO1070" s="22"/>
      <c r="AP1070" s="22"/>
    </row>
    <row r="1071" hidden="1">
      <c r="A1071" s="8">
        <v>46129.0</v>
      </c>
      <c r="B1071" s="9">
        <v>0.625</v>
      </c>
      <c r="C1071" s="10" t="s">
        <v>196</v>
      </c>
      <c r="D1071" s="10" t="s">
        <v>3243</v>
      </c>
      <c r="E1071" s="12" t="s">
        <v>217</v>
      </c>
      <c r="F1071" s="12" t="s">
        <v>41</v>
      </c>
      <c r="G1071" s="12" t="s">
        <v>3432</v>
      </c>
      <c r="H1071" s="68" t="s">
        <v>3433</v>
      </c>
      <c r="I1071" s="57" t="s">
        <v>3434</v>
      </c>
      <c r="J1071" s="14">
        <v>161437.0</v>
      </c>
      <c r="K1071" s="14">
        <v>81548.0</v>
      </c>
      <c r="L1071" s="15">
        <v>0.505</v>
      </c>
      <c r="M1071" s="16">
        <v>14925.0</v>
      </c>
      <c r="N1071" s="17">
        <v>0.183</v>
      </c>
      <c r="O1071" s="18">
        <v>0.0</v>
      </c>
      <c r="P1071" s="18">
        <v>0.0</v>
      </c>
      <c r="Q1071" s="119">
        <v>0.0</v>
      </c>
      <c r="R1071" s="19">
        <v>0.0</v>
      </c>
      <c r="S1071" s="20">
        <v>0.0</v>
      </c>
      <c r="T1071" s="20">
        <v>0.0</v>
      </c>
      <c r="U1071" s="20">
        <v>0.0</v>
      </c>
      <c r="V1071" s="21" t="s">
        <v>315</v>
      </c>
      <c r="W1071" s="18" t="s">
        <v>95</v>
      </c>
      <c r="X1071" s="66" t="s">
        <v>1101</v>
      </c>
      <c r="Y1071" s="122" t="s">
        <v>3427</v>
      </c>
      <c r="Z1071" s="20" t="s">
        <v>3435</v>
      </c>
      <c r="AA1071" s="18">
        <v>987.0</v>
      </c>
      <c r="AB1071" s="18"/>
      <c r="AC1071" s="18">
        <v>987.0</v>
      </c>
      <c r="AD1071" s="14">
        <v>1468016.0</v>
      </c>
      <c r="AE1071" s="18"/>
      <c r="AF1071" s="14">
        <v>1468016.0</v>
      </c>
      <c r="AG1071" s="22"/>
      <c r="AH1071" s="22"/>
      <c r="AI1071" s="22"/>
      <c r="AJ1071" s="22"/>
      <c r="AK1071" s="22"/>
      <c r="AL1071" s="22"/>
      <c r="AM1071" s="22"/>
      <c r="AN1071" s="22"/>
      <c r="AO1071" s="22"/>
      <c r="AP1071" s="22"/>
    </row>
    <row r="1072" hidden="1">
      <c r="A1072" s="8">
        <v>46129.0</v>
      </c>
      <c r="B1072" s="9">
        <v>0.625</v>
      </c>
      <c r="C1072" s="10" t="s">
        <v>196</v>
      </c>
      <c r="D1072" s="10" t="s">
        <v>3243</v>
      </c>
      <c r="E1072" s="12" t="s">
        <v>217</v>
      </c>
      <c r="F1072" s="12" t="s">
        <v>41</v>
      </c>
      <c r="G1072" s="12" t="s">
        <v>3436</v>
      </c>
      <c r="H1072" s="68" t="s">
        <v>3437</v>
      </c>
      <c r="I1072" s="57" t="s">
        <v>3438</v>
      </c>
      <c r="J1072" s="14">
        <v>251545.0</v>
      </c>
      <c r="K1072" s="14">
        <v>115708.0</v>
      </c>
      <c r="L1072" s="15">
        <v>0.46</v>
      </c>
      <c r="M1072" s="16">
        <v>22497.0</v>
      </c>
      <c r="N1072" s="17">
        <v>0.194</v>
      </c>
      <c r="O1072" s="18">
        <v>0.0</v>
      </c>
      <c r="P1072" s="18">
        <v>0.0</v>
      </c>
      <c r="Q1072" s="119">
        <v>0.0</v>
      </c>
      <c r="R1072" s="19">
        <v>0.0</v>
      </c>
      <c r="S1072" s="20">
        <v>0.0</v>
      </c>
      <c r="T1072" s="20">
        <v>0.0</v>
      </c>
      <c r="U1072" s="20">
        <v>0.0</v>
      </c>
      <c r="V1072" s="21" t="s">
        <v>315</v>
      </c>
      <c r="W1072" s="18" t="s">
        <v>95</v>
      </c>
      <c r="X1072" s="66" t="s">
        <v>1101</v>
      </c>
      <c r="Y1072" s="122" t="s">
        <v>3427</v>
      </c>
      <c r="Z1072" s="20" t="s">
        <v>3439</v>
      </c>
      <c r="AA1072" s="14">
        <v>2272.0</v>
      </c>
      <c r="AB1072" s="18"/>
      <c r="AC1072" s="14">
        <v>2272.0</v>
      </c>
      <c r="AD1072" s="14">
        <v>5148822.0</v>
      </c>
      <c r="AE1072" s="18"/>
      <c r="AF1072" s="14">
        <v>5148822.0</v>
      </c>
      <c r="AG1072" s="22"/>
      <c r="AH1072" s="22"/>
      <c r="AI1072" s="22"/>
      <c r="AJ1072" s="22"/>
      <c r="AK1072" s="22"/>
      <c r="AL1072" s="22"/>
      <c r="AM1072" s="22"/>
      <c r="AN1072" s="22"/>
      <c r="AO1072" s="22"/>
      <c r="AP1072" s="22"/>
    </row>
    <row r="1073" hidden="1">
      <c r="A1073" s="8">
        <v>46129.0</v>
      </c>
      <c r="B1073" s="9">
        <v>0.625</v>
      </c>
      <c r="C1073" s="10" t="s">
        <v>196</v>
      </c>
      <c r="D1073" s="10" t="s">
        <v>3243</v>
      </c>
      <c r="E1073" s="12" t="s">
        <v>217</v>
      </c>
      <c r="F1073" s="12" t="s">
        <v>69</v>
      </c>
      <c r="G1073" s="12" t="s">
        <v>3440</v>
      </c>
      <c r="H1073" s="68" t="s">
        <v>3441</v>
      </c>
      <c r="I1073" s="57" t="s">
        <v>3442</v>
      </c>
      <c r="J1073" s="14">
        <v>151360.0</v>
      </c>
      <c r="K1073" s="14">
        <v>73475.0</v>
      </c>
      <c r="L1073" s="15">
        <v>0.485</v>
      </c>
      <c r="M1073" s="16">
        <v>12874.0</v>
      </c>
      <c r="N1073" s="17">
        <v>0.175</v>
      </c>
      <c r="O1073" s="18">
        <v>0.0</v>
      </c>
      <c r="P1073" s="18">
        <v>0.0</v>
      </c>
      <c r="Q1073" s="119">
        <v>0.0</v>
      </c>
      <c r="R1073" s="19">
        <v>0.0</v>
      </c>
      <c r="S1073" s="20">
        <v>0.0</v>
      </c>
      <c r="T1073" s="20">
        <v>0.0</v>
      </c>
      <c r="U1073" s="20">
        <v>0.0</v>
      </c>
      <c r="V1073" s="21" t="s">
        <v>315</v>
      </c>
      <c r="W1073" s="18" t="s">
        <v>95</v>
      </c>
      <c r="X1073" s="66" t="s">
        <v>1101</v>
      </c>
      <c r="Y1073" s="122" t="s">
        <v>3427</v>
      </c>
      <c r="Z1073" s="20" t="s">
        <v>3443</v>
      </c>
      <c r="AA1073" s="18">
        <v>454.0</v>
      </c>
      <c r="AB1073" s="18"/>
      <c r="AC1073" s="18">
        <v>454.0</v>
      </c>
      <c r="AD1073" s="14">
        <v>687132.0</v>
      </c>
      <c r="AE1073" s="18"/>
      <c r="AF1073" s="14">
        <v>687132.0</v>
      </c>
      <c r="AG1073" s="22"/>
      <c r="AH1073" s="22"/>
      <c r="AI1073" s="22"/>
      <c r="AJ1073" s="22"/>
      <c r="AK1073" s="22"/>
      <c r="AL1073" s="22"/>
      <c r="AM1073" s="22"/>
      <c r="AN1073" s="22"/>
      <c r="AO1073" s="22"/>
      <c r="AP1073" s="22"/>
    </row>
    <row r="1074" hidden="1">
      <c r="A1074" s="8">
        <v>46129.0</v>
      </c>
      <c r="B1074" s="9">
        <v>0.625</v>
      </c>
      <c r="C1074" s="10" t="s">
        <v>196</v>
      </c>
      <c r="D1074" s="10" t="s">
        <v>3243</v>
      </c>
      <c r="E1074" s="12" t="s">
        <v>217</v>
      </c>
      <c r="F1074" s="12" t="s">
        <v>69</v>
      </c>
      <c r="G1074" s="12" t="s">
        <v>3444</v>
      </c>
      <c r="H1074" s="68" t="s">
        <v>3445</v>
      </c>
      <c r="I1074" s="57" t="s">
        <v>3446</v>
      </c>
      <c r="J1074" s="14">
        <v>218916.0</v>
      </c>
      <c r="K1074" s="14">
        <v>96240.0</v>
      </c>
      <c r="L1074" s="15">
        <v>0.44</v>
      </c>
      <c r="M1074" s="16">
        <v>18390.0</v>
      </c>
      <c r="N1074" s="17">
        <v>0.191</v>
      </c>
      <c r="O1074" s="18">
        <v>0.0</v>
      </c>
      <c r="P1074" s="18">
        <v>0.0</v>
      </c>
      <c r="Q1074" s="119">
        <v>0.0</v>
      </c>
      <c r="R1074" s="19">
        <v>0.0</v>
      </c>
      <c r="S1074" s="20">
        <v>0.0</v>
      </c>
      <c r="T1074" s="20">
        <v>0.0</v>
      </c>
      <c r="U1074" s="20">
        <v>0.0</v>
      </c>
      <c r="V1074" s="21" t="s">
        <v>315</v>
      </c>
      <c r="W1074" s="18" t="s">
        <v>95</v>
      </c>
      <c r="X1074" s="66" t="s">
        <v>1101</v>
      </c>
      <c r="Y1074" s="122" t="s">
        <v>3427</v>
      </c>
      <c r="Z1074" s="20" t="s">
        <v>3447</v>
      </c>
      <c r="AA1074" s="18">
        <v>770.0</v>
      </c>
      <c r="AB1074" s="18"/>
      <c r="AC1074" s="18">
        <v>770.0</v>
      </c>
      <c r="AD1074" s="14">
        <v>1563731.0</v>
      </c>
      <c r="AE1074" s="18"/>
      <c r="AF1074" s="14">
        <v>1563731.0</v>
      </c>
      <c r="AG1074" s="22"/>
      <c r="AH1074" s="22"/>
      <c r="AI1074" s="22"/>
      <c r="AJ1074" s="22"/>
      <c r="AK1074" s="22"/>
      <c r="AL1074" s="22"/>
      <c r="AM1074" s="22"/>
      <c r="AN1074" s="22"/>
      <c r="AO1074" s="22"/>
      <c r="AP1074" s="22"/>
    </row>
    <row r="1075" hidden="1">
      <c r="A1075" s="8">
        <v>46129.0</v>
      </c>
      <c r="B1075" s="9">
        <v>0.625</v>
      </c>
      <c r="C1075" s="10" t="s">
        <v>196</v>
      </c>
      <c r="D1075" s="10" t="s">
        <v>3243</v>
      </c>
      <c r="E1075" s="12" t="s">
        <v>217</v>
      </c>
      <c r="F1075" s="12" t="s">
        <v>69</v>
      </c>
      <c r="G1075" s="12" t="s">
        <v>3448</v>
      </c>
      <c r="H1075" s="68" t="s">
        <v>3449</v>
      </c>
      <c r="I1075" s="57" t="s">
        <v>3450</v>
      </c>
      <c r="J1075" s="14">
        <v>43800.0</v>
      </c>
      <c r="K1075" s="14">
        <v>19687.0</v>
      </c>
      <c r="L1075" s="15">
        <v>0.45</v>
      </c>
      <c r="M1075" s="16">
        <v>3930.0</v>
      </c>
      <c r="N1075" s="17">
        <v>0.1996</v>
      </c>
      <c r="O1075" s="18">
        <v>0.0</v>
      </c>
      <c r="P1075" s="18">
        <v>0.0</v>
      </c>
      <c r="Q1075" s="119">
        <v>0.0</v>
      </c>
      <c r="R1075" s="19">
        <v>0.0</v>
      </c>
      <c r="S1075" s="20">
        <v>0.0</v>
      </c>
      <c r="T1075" s="20">
        <v>0.0</v>
      </c>
      <c r="U1075" s="20">
        <v>0.0</v>
      </c>
      <c r="V1075" s="21" t="s">
        <v>315</v>
      </c>
      <c r="W1075" s="18" t="s">
        <v>95</v>
      </c>
      <c r="X1075" s="66" t="s">
        <v>1101</v>
      </c>
      <c r="Y1075" s="122" t="s">
        <v>3427</v>
      </c>
      <c r="Z1075" s="20" t="s">
        <v>3451</v>
      </c>
      <c r="AA1075" s="18">
        <v>79.0</v>
      </c>
      <c r="AB1075" s="18"/>
      <c r="AC1075" s="18">
        <v>79.0</v>
      </c>
      <c r="AD1075" s="14">
        <v>156738.0</v>
      </c>
      <c r="AE1075" s="18"/>
      <c r="AF1075" s="14">
        <v>156738.0</v>
      </c>
      <c r="AG1075" s="22"/>
      <c r="AH1075" s="22"/>
      <c r="AI1075" s="22"/>
      <c r="AJ1075" s="22"/>
      <c r="AK1075" s="22"/>
      <c r="AL1075" s="22"/>
      <c r="AM1075" s="22"/>
      <c r="AN1075" s="22"/>
      <c r="AO1075" s="22"/>
      <c r="AP1075" s="22"/>
    </row>
    <row r="1076" hidden="1">
      <c r="A1076" s="26">
        <v>46129.0</v>
      </c>
      <c r="B1076" s="123">
        <v>0.7916666666666666</v>
      </c>
      <c r="C1076" s="28" t="s">
        <v>32</v>
      </c>
      <c r="D1076" s="28" t="s">
        <v>3243</v>
      </c>
      <c r="E1076" s="30" t="s">
        <v>71</v>
      </c>
      <c r="F1076" s="30" t="s">
        <v>3259</v>
      </c>
      <c r="G1076" s="30" t="s">
        <v>3452</v>
      </c>
      <c r="H1076" s="112" t="s">
        <v>3453</v>
      </c>
      <c r="I1076" s="72" t="s">
        <v>3454</v>
      </c>
      <c r="J1076" s="33">
        <v>206827.0</v>
      </c>
      <c r="K1076" s="33">
        <v>86649.0</v>
      </c>
      <c r="L1076" s="34">
        <v>0.4188</v>
      </c>
      <c r="M1076" s="35">
        <v>29353.0</v>
      </c>
      <c r="N1076" s="17">
        <v>0.3389</v>
      </c>
      <c r="O1076" s="18">
        <v>3199.0</v>
      </c>
      <c r="P1076" s="18">
        <v>2909.0</v>
      </c>
      <c r="Q1076" s="119">
        <v>0.0336</v>
      </c>
      <c r="R1076" s="19">
        <v>0.0991</v>
      </c>
      <c r="S1076" s="39">
        <v>34.0</v>
      </c>
      <c r="T1076" s="39">
        <v>82.0</v>
      </c>
      <c r="U1076" s="39">
        <v>113378.0</v>
      </c>
      <c r="V1076" s="41" t="s">
        <v>335</v>
      </c>
      <c r="W1076" s="37" t="s">
        <v>76</v>
      </c>
      <c r="X1076" s="73" t="s">
        <v>69</v>
      </c>
      <c r="Y1076" s="21" t="s">
        <v>3455</v>
      </c>
      <c r="Z1076" s="39" t="s">
        <v>3456</v>
      </c>
      <c r="AA1076" s="37">
        <v>231.0</v>
      </c>
      <c r="AB1076" s="37">
        <v>231.0</v>
      </c>
      <c r="AC1076" s="37"/>
      <c r="AD1076" s="33">
        <v>561456.0</v>
      </c>
      <c r="AE1076" s="33">
        <v>561456.0</v>
      </c>
      <c r="AF1076" s="33"/>
      <c r="AG1076" s="43"/>
      <c r="AH1076" s="43"/>
      <c r="AI1076" s="43"/>
      <c r="AJ1076" s="43"/>
      <c r="AK1076" s="43"/>
      <c r="AL1076" s="43"/>
      <c r="AM1076" s="43"/>
      <c r="AN1076" s="43"/>
      <c r="AO1076" s="43"/>
      <c r="AP1076" s="43"/>
    </row>
    <row r="1077" hidden="1">
      <c r="A1077" s="26">
        <v>46129.0</v>
      </c>
      <c r="B1077" s="123">
        <v>0.7916666666666666</v>
      </c>
      <c r="C1077" s="28" t="s">
        <v>32</v>
      </c>
      <c r="D1077" s="28" t="s">
        <v>3243</v>
      </c>
      <c r="E1077" s="30" t="s">
        <v>71</v>
      </c>
      <c r="F1077" s="30" t="s">
        <v>3259</v>
      </c>
      <c r="G1077" s="30" t="s">
        <v>3457</v>
      </c>
      <c r="H1077" s="112" t="s">
        <v>3458</v>
      </c>
      <c r="I1077" s="72" t="s">
        <v>3459</v>
      </c>
      <c r="J1077" s="33">
        <v>151464.0</v>
      </c>
      <c r="K1077" s="33">
        <v>61845.0</v>
      </c>
      <c r="L1077" s="34">
        <v>0.4082</v>
      </c>
      <c r="M1077" s="35">
        <v>22639.0</v>
      </c>
      <c r="N1077" s="17">
        <v>0.3662</v>
      </c>
      <c r="O1077" s="18">
        <v>1856.0</v>
      </c>
      <c r="P1077" s="18">
        <v>1735.0</v>
      </c>
      <c r="Q1077" s="119">
        <v>0.0281</v>
      </c>
      <c r="R1077" s="19">
        <v>0.0766</v>
      </c>
      <c r="S1077" s="39">
        <v>18.0</v>
      </c>
      <c r="T1077" s="39">
        <v>40.0</v>
      </c>
      <c r="U1077" s="39">
        <v>51177.0</v>
      </c>
      <c r="V1077" s="41" t="s">
        <v>315</v>
      </c>
      <c r="W1077" s="37" t="s">
        <v>76</v>
      </c>
      <c r="X1077" s="73" t="s">
        <v>69</v>
      </c>
      <c r="Y1077" s="21" t="s">
        <v>3455</v>
      </c>
      <c r="Z1077" s="39" t="s">
        <v>3460</v>
      </c>
      <c r="AA1077" s="37">
        <v>149.0</v>
      </c>
      <c r="AB1077" s="37"/>
      <c r="AC1077" s="33">
        <v>149.0</v>
      </c>
      <c r="AD1077" s="33">
        <v>515508.0</v>
      </c>
      <c r="AE1077" s="37"/>
      <c r="AF1077" s="33">
        <v>515508.0</v>
      </c>
      <c r="AG1077" s="43"/>
      <c r="AH1077" s="43"/>
      <c r="AI1077" s="43"/>
      <c r="AJ1077" s="43"/>
      <c r="AK1077" s="43"/>
      <c r="AL1077" s="43"/>
      <c r="AM1077" s="43"/>
      <c r="AN1077" s="43"/>
      <c r="AO1077" s="43"/>
      <c r="AP1077" s="43"/>
    </row>
    <row r="1078" hidden="1">
      <c r="A1078" s="26">
        <v>46129.0</v>
      </c>
      <c r="B1078" s="123">
        <v>0.7916666666666666</v>
      </c>
      <c r="C1078" s="28" t="s">
        <v>32</v>
      </c>
      <c r="D1078" s="28" t="s">
        <v>3243</v>
      </c>
      <c r="E1078" s="30" t="s">
        <v>71</v>
      </c>
      <c r="F1078" s="30" t="s">
        <v>3259</v>
      </c>
      <c r="G1078" s="30" t="s">
        <v>3461</v>
      </c>
      <c r="H1078" s="112" t="s">
        <v>3462</v>
      </c>
      <c r="I1078" s="72" t="s">
        <v>3463</v>
      </c>
      <c r="J1078" s="33">
        <v>153667.0</v>
      </c>
      <c r="K1078" s="33">
        <v>67092.0</v>
      </c>
      <c r="L1078" s="34">
        <v>0.4365</v>
      </c>
      <c r="M1078" s="35">
        <v>25795.0</v>
      </c>
      <c r="N1078" s="17">
        <v>0.3846</v>
      </c>
      <c r="O1078" s="18">
        <v>2250.0</v>
      </c>
      <c r="P1078" s="18">
        <v>2093.0</v>
      </c>
      <c r="Q1078" s="119">
        <v>0.0312</v>
      </c>
      <c r="R1078" s="19">
        <v>0.0811</v>
      </c>
      <c r="S1078" s="39">
        <v>15.0</v>
      </c>
      <c r="T1078" s="39">
        <v>30.0</v>
      </c>
      <c r="U1078" s="39">
        <v>34969.0</v>
      </c>
      <c r="V1078" s="41" t="s">
        <v>315</v>
      </c>
      <c r="W1078" s="37" t="s">
        <v>76</v>
      </c>
      <c r="X1078" s="73" t="s">
        <v>69</v>
      </c>
      <c r="Y1078" s="21" t="s">
        <v>3455</v>
      </c>
      <c r="Z1078" s="39" t="s">
        <v>3464</v>
      </c>
      <c r="AA1078" s="37">
        <v>159.0</v>
      </c>
      <c r="AB1078" s="37"/>
      <c r="AC1078" s="37">
        <v>159.0</v>
      </c>
      <c r="AD1078" s="33">
        <v>560476.0</v>
      </c>
      <c r="AE1078" s="37"/>
      <c r="AF1078" s="33">
        <v>560476.0</v>
      </c>
      <c r="AG1078" s="43"/>
      <c r="AH1078" s="43"/>
      <c r="AI1078" s="43"/>
      <c r="AJ1078" s="43"/>
      <c r="AK1078" s="43"/>
      <c r="AL1078" s="43"/>
      <c r="AM1078" s="43"/>
      <c r="AN1078" s="43"/>
      <c r="AO1078" s="43"/>
      <c r="AP1078" s="43"/>
    </row>
    <row r="1079" hidden="1">
      <c r="A1079" s="26">
        <v>46129.0</v>
      </c>
      <c r="B1079" s="123">
        <v>0.8333333333333334</v>
      </c>
      <c r="C1079" s="28" t="s">
        <v>58</v>
      </c>
      <c r="D1079" s="112" t="s">
        <v>3083</v>
      </c>
      <c r="E1079" s="30" t="s">
        <v>71</v>
      </c>
      <c r="F1079" s="30" t="s">
        <v>3259</v>
      </c>
      <c r="G1079" s="30" t="s">
        <v>3465</v>
      </c>
      <c r="H1079" s="112" t="s">
        <v>3453</v>
      </c>
      <c r="I1079" s="72" t="s">
        <v>61</v>
      </c>
      <c r="J1079" s="33">
        <v>112815.0</v>
      </c>
      <c r="K1079" s="33">
        <v>66692.0</v>
      </c>
      <c r="L1079" s="15">
        <v>0.5912</v>
      </c>
      <c r="M1079" s="35">
        <v>0.0</v>
      </c>
      <c r="N1079" s="17">
        <v>0.0</v>
      </c>
      <c r="O1079" s="18">
        <v>113.0</v>
      </c>
      <c r="P1079" s="18">
        <v>0.0</v>
      </c>
      <c r="Q1079" s="119">
        <v>0.0017</v>
      </c>
      <c r="R1079" s="19">
        <v>0.0</v>
      </c>
      <c r="S1079" s="39">
        <v>11.0</v>
      </c>
      <c r="T1079" s="39">
        <v>23.0</v>
      </c>
      <c r="U1079" s="39">
        <v>33202.0</v>
      </c>
      <c r="V1079" s="41" t="s">
        <v>335</v>
      </c>
      <c r="W1079" s="37" t="s">
        <v>3257</v>
      </c>
      <c r="X1079" s="73" t="s">
        <v>69</v>
      </c>
      <c r="Y1079" s="122">
        <v>46129.0</v>
      </c>
      <c r="Z1079" s="39" t="s">
        <v>3466</v>
      </c>
      <c r="AA1079" s="37">
        <v>28.0</v>
      </c>
      <c r="AB1079" s="37">
        <v>28.0</v>
      </c>
      <c r="AC1079" s="37"/>
      <c r="AD1079" s="33">
        <v>58785.0</v>
      </c>
      <c r="AE1079" s="33">
        <v>58785.0</v>
      </c>
      <c r="AF1079" s="33"/>
      <c r="AG1079" s="43"/>
      <c r="AH1079" s="43"/>
      <c r="AI1079" s="43"/>
      <c r="AJ1079" s="43"/>
      <c r="AK1079" s="43"/>
      <c r="AL1079" s="43"/>
      <c r="AM1079" s="43"/>
      <c r="AN1079" s="43"/>
      <c r="AO1079" s="43"/>
      <c r="AP1079" s="43"/>
    </row>
    <row r="1080" hidden="1">
      <c r="A1080" s="26">
        <v>46129.0</v>
      </c>
      <c r="B1080" s="123">
        <v>0.8333333333333334</v>
      </c>
      <c r="C1080" s="28" t="s">
        <v>58</v>
      </c>
      <c r="D1080" s="112" t="s">
        <v>3083</v>
      </c>
      <c r="E1080" s="30" t="s">
        <v>71</v>
      </c>
      <c r="F1080" s="30" t="s">
        <v>3259</v>
      </c>
      <c r="G1080" s="30" t="s">
        <v>3467</v>
      </c>
      <c r="H1080" s="112" t="s">
        <v>3458</v>
      </c>
      <c r="I1080" s="72" t="s">
        <v>61</v>
      </c>
      <c r="J1080" s="33">
        <v>84356.0</v>
      </c>
      <c r="K1080" s="33">
        <v>46518.0</v>
      </c>
      <c r="L1080" s="15">
        <v>0.5514</v>
      </c>
      <c r="M1080" s="35">
        <v>0.0</v>
      </c>
      <c r="N1080" s="17">
        <v>0.0</v>
      </c>
      <c r="O1080" s="18">
        <v>44.0</v>
      </c>
      <c r="P1080" s="18">
        <v>0.0</v>
      </c>
      <c r="Q1080" s="119">
        <v>9.0E-4</v>
      </c>
      <c r="R1080" s="19">
        <v>0.0</v>
      </c>
      <c r="S1080" s="39">
        <v>6.0</v>
      </c>
      <c r="T1080" s="39">
        <v>8.0</v>
      </c>
      <c r="U1080" s="39">
        <v>24680.0</v>
      </c>
      <c r="V1080" s="41" t="s">
        <v>315</v>
      </c>
      <c r="W1080" s="37" t="s">
        <v>3257</v>
      </c>
      <c r="X1080" s="73" t="s">
        <v>69</v>
      </c>
      <c r="Y1080" s="122">
        <v>46129.0</v>
      </c>
      <c r="Z1080" s="39" t="s">
        <v>3468</v>
      </c>
      <c r="AA1080" s="37">
        <v>21.0</v>
      </c>
      <c r="AB1080" s="37"/>
      <c r="AC1080" s="37">
        <v>21.0</v>
      </c>
      <c r="AD1080" s="33">
        <v>59215.0</v>
      </c>
      <c r="AE1080" s="37"/>
      <c r="AF1080" s="33">
        <v>59215.0</v>
      </c>
      <c r="AG1080" s="43"/>
      <c r="AH1080" s="43"/>
      <c r="AI1080" s="43"/>
      <c r="AJ1080" s="43"/>
      <c r="AK1080" s="43"/>
      <c r="AL1080" s="43"/>
      <c r="AM1080" s="43"/>
      <c r="AN1080" s="43"/>
      <c r="AO1080" s="43"/>
      <c r="AP1080" s="43"/>
    </row>
    <row r="1081" hidden="1">
      <c r="A1081" s="26">
        <v>46129.0</v>
      </c>
      <c r="B1081" s="123">
        <v>0.8333333333333334</v>
      </c>
      <c r="C1081" s="28" t="s">
        <v>58</v>
      </c>
      <c r="D1081" s="112" t="s">
        <v>3083</v>
      </c>
      <c r="E1081" s="30" t="s">
        <v>71</v>
      </c>
      <c r="F1081" s="30" t="s">
        <v>3259</v>
      </c>
      <c r="G1081" s="30" t="s">
        <v>3469</v>
      </c>
      <c r="H1081" s="112" t="s">
        <v>3462</v>
      </c>
      <c r="I1081" s="72" t="s">
        <v>61</v>
      </c>
      <c r="J1081" s="33">
        <v>81081.0</v>
      </c>
      <c r="K1081" s="33">
        <v>46131.0</v>
      </c>
      <c r="L1081" s="15">
        <v>0.5689</v>
      </c>
      <c r="M1081" s="35">
        <v>0.0</v>
      </c>
      <c r="N1081" s="17">
        <v>0.0</v>
      </c>
      <c r="O1081" s="18">
        <v>55.0</v>
      </c>
      <c r="P1081" s="18">
        <v>0.0</v>
      </c>
      <c r="Q1081" s="119">
        <v>0.0012</v>
      </c>
      <c r="R1081" s="19">
        <v>0.0</v>
      </c>
      <c r="S1081" s="39">
        <v>3.0</v>
      </c>
      <c r="T1081" s="39">
        <v>9.0</v>
      </c>
      <c r="U1081" s="39">
        <v>5228.0</v>
      </c>
      <c r="V1081" s="41" t="s">
        <v>315</v>
      </c>
      <c r="W1081" s="37" t="s">
        <v>3257</v>
      </c>
      <c r="X1081" s="73" t="s">
        <v>69</v>
      </c>
      <c r="Y1081" s="122">
        <v>46129.0</v>
      </c>
      <c r="Z1081" s="39" t="s">
        <v>3470</v>
      </c>
      <c r="AA1081" s="37">
        <v>19.0</v>
      </c>
      <c r="AB1081" s="37"/>
      <c r="AC1081" s="37">
        <v>19.0</v>
      </c>
      <c r="AD1081" s="33">
        <v>85179.0</v>
      </c>
      <c r="AE1081" s="37"/>
      <c r="AF1081" s="33">
        <v>85179.0</v>
      </c>
      <c r="AG1081" s="43"/>
      <c r="AH1081" s="43"/>
      <c r="AI1081" s="43"/>
      <c r="AJ1081" s="43"/>
      <c r="AK1081" s="43"/>
      <c r="AL1081" s="43"/>
      <c r="AM1081" s="43"/>
      <c r="AN1081" s="43"/>
      <c r="AO1081" s="43"/>
      <c r="AP1081" s="43"/>
    </row>
    <row r="1082" hidden="1">
      <c r="A1082" s="8">
        <v>46130.0</v>
      </c>
      <c r="B1082" s="9">
        <v>0.4166666666666667</v>
      </c>
      <c r="C1082" s="10" t="s">
        <v>32</v>
      </c>
      <c r="D1082" s="10" t="s">
        <v>3243</v>
      </c>
      <c r="E1082" s="12" t="s">
        <v>106</v>
      </c>
      <c r="F1082" s="12" t="s">
        <v>3471</v>
      </c>
      <c r="G1082" s="12" t="s">
        <v>3472</v>
      </c>
      <c r="H1082" s="68" t="s">
        <v>3473</v>
      </c>
      <c r="I1082" s="57" t="s">
        <v>3474</v>
      </c>
      <c r="J1082" s="14">
        <v>4232.0</v>
      </c>
      <c r="K1082" s="14">
        <v>1800.0</v>
      </c>
      <c r="L1082" s="15">
        <v>0.4253</v>
      </c>
      <c r="M1082" s="16">
        <v>647.0</v>
      </c>
      <c r="N1082" s="17">
        <v>0.3594</v>
      </c>
      <c r="O1082" s="18">
        <v>74.0</v>
      </c>
      <c r="P1082" s="18">
        <v>70.0</v>
      </c>
      <c r="Q1082" s="119">
        <v>0.0389</v>
      </c>
      <c r="R1082" s="19">
        <v>0.1082</v>
      </c>
      <c r="S1082" s="20">
        <v>0.0</v>
      </c>
      <c r="T1082" s="20">
        <v>0.0</v>
      </c>
      <c r="U1082" s="20">
        <v>0.0</v>
      </c>
      <c r="V1082" s="21" t="s">
        <v>315</v>
      </c>
      <c r="W1082" s="18" t="s">
        <v>76</v>
      </c>
      <c r="X1082" s="66" t="s">
        <v>1101</v>
      </c>
      <c r="Y1082" s="41" t="s">
        <v>3475</v>
      </c>
      <c r="Z1082" s="20" t="s">
        <v>3476</v>
      </c>
      <c r="AA1082" s="18">
        <v>13.0</v>
      </c>
      <c r="AB1082" s="18"/>
      <c r="AC1082" s="18">
        <v>13.0</v>
      </c>
      <c r="AD1082" s="117">
        <v>150985.0</v>
      </c>
      <c r="AE1082" s="18"/>
      <c r="AF1082" s="117">
        <v>150985.0</v>
      </c>
      <c r="AG1082" s="22"/>
      <c r="AH1082" s="22"/>
      <c r="AI1082" s="22"/>
      <c r="AJ1082" s="22"/>
      <c r="AK1082" s="22"/>
      <c r="AL1082" s="22"/>
      <c r="AM1082" s="22"/>
      <c r="AN1082" s="22"/>
      <c r="AO1082" s="22"/>
      <c r="AP1082" s="22"/>
    </row>
    <row r="1083" hidden="1">
      <c r="A1083" s="8">
        <v>46130.0</v>
      </c>
      <c r="B1083" s="9">
        <v>0.4166666666666667</v>
      </c>
      <c r="C1083" s="10" t="s">
        <v>32</v>
      </c>
      <c r="D1083" s="10" t="s">
        <v>3243</v>
      </c>
      <c r="E1083" s="12" t="s">
        <v>106</v>
      </c>
      <c r="F1083" s="12" t="s">
        <v>3471</v>
      </c>
      <c r="G1083" s="12" t="s">
        <v>3477</v>
      </c>
      <c r="H1083" s="68" t="s">
        <v>3478</v>
      </c>
      <c r="I1083" s="57" t="s">
        <v>3479</v>
      </c>
      <c r="J1083" s="14">
        <v>1613.0</v>
      </c>
      <c r="K1083" s="14">
        <v>906.0</v>
      </c>
      <c r="L1083" s="15">
        <v>0.5617</v>
      </c>
      <c r="M1083" s="16">
        <v>293.0</v>
      </c>
      <c r="N1083" s="17">
        <v>0.3234</v>
      </c>
      <c r="O1083" s="18">
        <v>17.0</v>
      </c>
      <c r="P1083" s="18">
        <v>17.0</v>
      </c>
      <c r="Q1083" s="119">
        <v>0.0188</v>
      </c>
      <c r="R1083" s="19">
        <v>0.058</v>
      </c>
      <c r="S1083" s="20">
        <v>0.0</v>
      </c>
      <c r="T1083" s="20">
        <v>0.0</v>
      </c>
      <c r="U1083" s="20">
        <v>0.0</v>
      </c>
      <c r="V1083" s="21" t="s">
        <v>315</v>
      </c>
      <c r="W1083" s="18" t="s">
        <v>76</v>
      </c>
      <c r="X1083" s="66" t="s">
        <v>1101</v>
      </c>
      <c r="Y1083" s="41" t="s">
        <v>3475</v>
      </c>
      <c r="Z1083" s="20" t="s">
        <v>3480</v>
      </c>
      <c r="AA1083" s="18">
        <v>4.0</v>
      </c>
      <c r="AB1083" s="18"/>
      <c r="AC1083" s="18">
        <v>4.0</v>
      </c>
      <c r="AD1083" s="14">
        <v>60494.0</v>
      </c>
      <c r="AE1083" s="18"/>
      <c r="AF1083" s="14">
        <v>60494.0</v>
      </c>
      <c r="AG1083" s="22"/>
      <c r="AH1083" s="22"/>
      <c r="AI1083" s="22"/>
      <c r="AJ1083" s="22"/>
      <c r="AK1083" s="22"/>
      <c r="AL1083" s="22"/>
      <c r="AM1083" s="22"/>
      <c r="AN1083" s="22"/>
      <c r="AO1083" s="22"/>
      <c r="AP1083" s="22"/>
    </row>
    <row r="1084" hidden="1">
      <c r="A1084" s="8">
        <v>46130.0</v>
      </c>
      <c r="B1084" s="9">
        <v>0.4166666666666667</v>
      </c>
      <c r="C1084" s="10" t="s">
        <v>32</v>
      </c>
      <c r="D1084" s="10" t="s">
        <v>3243</v>
      </c>
      <c r="E1084" s="12" t="s">
        <v>106</v>
      </c>
      <c r="F1084" s="12" t="s">
        <v>3471</v>
      </c>
      <c r="G1084" s="12" t="s">
        <v>3481</v>
      </c>
      <c r="H1084" s="68" t="s">
        <v>3482</v>
      </c>
      <c r="I1084" s="57" t="s">
        <v>3483</v>
      </c>
      <c r="J1084" s="14">
        <v>178589.0</v>
      </c>
      <c r="K1084" s="14">
        <v>75830.0</v>
      </c>
      <c r="L1084" s="15">
        <v>0.4246</v>
      </c>
      <c r="M1084" s="16">
        <v>24495.0</v>
      </c>
      <c r="N1084" s="17">
        <v>0.323</v>
      </c>
      <c r="O1084" s="18">
        <v>1243.0</v>
      </c>
      <c r="P1084" s="18">
        <v>1174.0</v>
      </c>
      <c r="Q1084" s="119">
        <v>0.0155</v>
      </c>
      <c r="R1084" s="19">
        <v>0.0479</v>
      </c>
      <c r="S1084" s="20">
        <v>0.0</v>
      </c>
      <c r="T1084" s="20">
        <v>0.0</v>
      </c>
      <c r="U1084" s="20">
        <v>0.0</v>
      </c>
      <c r="V1084" s="21" t="s">
        <v>315</v>
      </c>
      <c r="W1084" s="18" t="s">
        <v>76</v>
      </c>
      <c r="X1084" s="66" t="s">
        <v>1101</v>
      </c>
      <c r="Y1084" s="41" t="s">
        <v>3475</v>
      </c>
      <c r="Z1084" s="20" t="s">
        <v>3484</v>
      </c>
      <c r="AA1084" s="18">
        <v>161.0</v>
      </c>
      <c r="AB1084" s="18"/>
      <c r="AC1084" s="18">
        <v>161.0</v>
      </c>
      <c r="AD1084" s="14">
        <v>2161085.0</v>
      </c>
      <c r="AE1084" s="18"/>
      <c r="AF1084" s="14">
        <v>2161085.0</v>
      </c>
      <c r="AG1084" s="22"/>
      <c r="AH1084" s="22"/>
      <c r="AI1084" s="22"/>
      <c r="AJ1084" s="22"/>
      <c r="AK1084" s="22"/>
      <c r="AL1084" s="22"/>
      <c r="AM1084" s="22"/>
      <c r="AN1084" s="22"/>
      <c r="AO1084" s="22"/>
      <c r="AP1084" s="22"/>
    </row>
    <row r="1085" hidden="1">
      <c r="A1085" s="8">
        <v>46130.0</v>
      </c>
      <c r="B1085" s="9">
        <v>0.4166666666666667</v>
      </c>
      <c r="C1085" s="10" t="s">
        <v>32</v>
      </c>
      <c r="D1085" s="10" t="s">
        <v>3243</v>
      </c>
      <c r="E1085" s="12" t="s">
        <v>106</v>
      </c>
      <c r="F1085" s="12" t="s">
        <v>3471</v>
      </c>
      <c r="G1085" s="12" t="s">
        <v>3485</v>
      </c>
      <c r="H1085" s="68" t="s">
        <v>3486</v>
      </c>
      <c r="I1085" s="57" t="s">
        <v>3487</v>
      </c>
      <c r="J1085" s="14">
        <v>8002.0</v>
      </c>
      <c r="K1085" s="14">
        <v>4084.0</v>
      </c>
      <c r="L1085" s="15">
        <v>0.5104</v>
      </c>
      <c r="M1085" s="16">
        <v>1560.0</v>
      </c>
      <c r="N1085" s="17">
        <v>0.3817</v>
      </c>
      <c r="O1085" s="18">
        <v>99.0</v>
      </c>
      <c r="P1085" s="18">
        <v>94.0</v>
      </c>
      <c r="Q1085" s="119">
        <v>0.023</v>
      </c>
      <c r="R1085" s="19">
        <v>0.0603</v>
      </c>
      <c r="S1085" s="20">
        <v>0.0</v>
      </c>
      <c r="T1085" s="20">
        <v>0.0</v>
      </c>
      <c r="U1085" s="20">
        <v>0.0</v>
      </c>
      <c r="V1085" s="21" t="s">
        <v>315</v>
      </c>
      <c r="W1085" s="18" t="s">
        <v>76</v>
      </c>
      <c r="X1085" s="66" t="s">
        <v>1101</v>
      </c>
      <c r="Y1085" s="41" t="s">
        <v>3475</v>
      </c>
      <c r="Z1085" s="20" t="s">
        <v>3488</v>
      </c>
      <c r="AA1085" s="18">
        <v>21.0</v>
      </c>
      <c r="AB1085" s="18"/>
      <c r="AC1085" s="18">
        <v>21.0</v>
      </c>
      <c r="AD1085" s="14">
        <v>387265.0</v>
      </c>
      <c r="AE1085" s="18"/>
      <c r="AF1085" s="14">
        <v>387265.0</v>
      </c>
      <c r="AG1085" s="22"/>
      <c r="AH1085" s="22"/>
      <c r="AI1085" s="22"/>
      <c r="AJ1085" s="22"/>
      <c r="AK1085" s="22"/>
      <c r="AL1085" s="22"/>
      <c r="AM1085" s="22"/>
      <c r="AN1085" s="22"/>
      <c r="AO1085" s="22"/>
      <c r="AP1085" s="22"/>
    </row>
    <row r="1086" hidden="1">
      <c r="A1086" s="8">
        <v>46130.0</v>
      </c>
      <c r="B1086" s="9">
        <v>0.5</v>
      </c>
      <c r="C1086" s="10" t="s">
        <v>58</v>
      </c>
      <c r="D1086" s="10" t="s">
        <v>3083</v>
      </c>
      <c r="E1086" s="12" t="s">
        <v>106</v>
      </c>
      <c r="F1086" s="12" t="s">
        <v>3471</v>
      </c>
      <c r="G1086" s="12" t="s">
        <v>3489</v>
      </c>
      <c r="H1086" s="68" t="s">
        <v>3473</v>
      </c>
      <c r="I1086" s="57" t="s">
        <v>61</v>
      </c>
      <c r="J1086" s="14">
        <v>2402.0</v>
      </c>
      <c r="K1086" s="14">
        <v>1238.0</v>
      </c>
      <c r="L1086" s="15">
        <v>0.5154</v>
      </c>
      <c r="M1086" s="16">
        <v>0.0</v>
      </c>
      <c r="N1086" s="17">
        <v>0.0</v>
      </c>
      <c r="O1086" s="18">
        <v>0.0</v>
      </c>
      <c r="P1086" s="18">
        <v>0.0</v>
      </c>
      <c r="Q1086" s="119">
        <v>0.0</v>
      </c>
      <c r="R1086" s="19">
        <v>0.0</v>
      </c>
      <c r="S1086" s="20">
        <v>0.0</v>
      </c>
      <c r="T1086" s="20">
        <v>0.0</v>
      </c>
      <c r="U1086" s="20">
        <v>0.0</v>
      </c>
      <c r="V1086" s="21" t="s">
        <v>315</v>
      </c>
      <c r="W1086" s="18" t="s">
        <v>3257</v>
      </c>
      <c r="X1086" s="66" t="s">
        <v>1101</v>
      </c>
      <c r="Y1086" s="41" t="s">
        <v>3475</v>
      </c>
      <c r="Z1086" s="20" t="s">
        <v>3490</v>
      </c>
      <c r="AA1086" s="18">
        <v>16.0</v>
      </c>
      <c r="AB1086" s="18"/>
      <c r="AC1086" s="18">
        <v>16.0</v>
      </c>
      <c r="AD1086" s="14">
        <v>250475.0</v>
      </c>
      <c r="AE1086" s="18"/>
      <c r="AF1086" s="14">
        <v>250475.0</v>
      </c>
      <c r="AG1086" s="22"/>
      <c r="AH1086" s="22"/>
      <c r="AI1086" s="22"/>
      <c r="AJ1086" s="22"/>
      <c r="AK1086" s="22"/>
      <c r="AL1086" s="22"/>
      <c r="AM1086" s="22"/>
      <c r="AN1086" s="22"/>
      <c r="AO1086" s="22"/>
      <c r="AP1086" s="22"/>
    </row>
    <row r="1087" hidden="1">
      <c r="A1087" s="8">
        <v>46130.0</v>
      </c>
      <c r="B1087" s="9">
        <v>0.5</v>
      </c>
      <c r="C1087" s="10" t="s">
        <v>58</v>
      </c>
      <c r="D1087" s="10" t="s">
        <v>3083</v>
      </c>
      <c r="E1087" s="12" t="s">
        <v>106</v>
      </c>
      <c r="F1087" s="12" t="s">
        <v>3471</v>
      </c>
      <c r="G1087" s="12" t="s">
        <v>3491</v>
      </c>
      <c r="H1087" s="68" t="s">
        <v>3478</v>
      </c>
      <c r="I1087" s="57" t="s">
        <v>61</v>
      </c>
      <c r="J1087" s="14">
        <v>696.0</v>
      </c>
      <c r="K1087" s="14">
        <v>431.0</v>
      </c>
      <c r="L1087" s="15">
        <v>0.6193</v>
      </c>
      <c r="M1087" s="16">
        <v>0.0</v>
      </c>
      <c r="N1087" s="17">
        <v>0.0</v>
      </c>
      <c r="O1087" s="18">
        <v>0.0</v>
      </c>
      <c r="P1087" s="18">
        <v>0.0</v>
      </c>
      <c r="Q1087" s="119">
        <v>0.0</v>
      </c>
      <c r="R1087" s="19">
        <v>0.0</v>
      </c>
      <c r="S1087" s="20">
        <v>0.0</v>
      </c>
      <c r="T1087" s="20">
        <v>0.0</v>
      </c>
      <c r="U1087" s="20">
        <v>0.0</v>
      </c>
      <c r="V1087" s="21" t="s">
        <v>315</v>
      </c>
      <c r="W1087" s="18" t="s">
        <v>3257</v>
      </c>
      <c r="X1087" s="66" t="s">
        <v>1101</v>
      </c>
      <c r="Y1087" s="41" t="s">
        <v>3475</v>
      </c>
      <c r="Z1087" s="20" t="s">
        <v>3492</v>
      </c>
      <c r="AA1087" s="18">
        <v>1.0</v>
      </c>
      <c r="AB1087" s="18"/>
      <c r="AC1087" s="18">
        <v>1.0</v>
      </c>
      <c r="AD1087" s="14">
        <v>6499.0</v>
      </c>
      <c r="AE1087" s="18"/>
      <c r="AF1087" s="14">
        <v>6499.0</v>
      </c>
      <c r="AG1087" s="22"/>
      <c r="AH1087" s="22"/>
      <c r="AI1087" s="22"/>
      <c r="AJ1087" s="22"/>
      <c r="AK1087" s="22"/>
      <c r="AL1087" s="22"/>
      <c r="AM1087" s="22"/>
      <c r="AN1087" s="22"/>
      <c r="AO1087" s="22"/>
      <c r="AP1087" s="22"/>
    </row>
    <row r="1088" hidden="1">
      <c r="A1088" s="8">
        <v>46130.0</v>
      </c>
      <c r="B1088" s="9">
        <v>0.5</v>
      </c>
      <c r="C1088" s="10" t="s">
        <v>58</v>
      </c>
      <c r="D1088" s="10" t="s">
        <v>3083</v>
      </c>
      <c r="E1088" s="12" t="s">
        <v>106</v>
      </c>
      <c r="F1088" s="12" t="s">
        <v>3471</v>
      </c>
      <c r="G1088" s="12" t="s">
        <v>3493</v>
      </c>
      <c r="H1088" s="68" t="s">
        <v>3482</v>
      </c>
      <c r="I1088" s="57" t="s">
        <v>61</v>
      </c>
      <c r="J1088" s="14">
        <v>99253.0</v>
      </c>
      <c r="K1088" s="14">
        <v>53569.0</v>
      </c>
      <c r="L1088" s="15">
        <v>0.5397</v>
      </c>
      <c r="M1088" s="16">
        <v>0.0</v>
      </c>
      <c r="N1088" s="17">
        <v>0.0</v>
      </c>
      <c r="O1088" s="18">
        <v>0.0</v>
      </c>
      <c r="P1088" s="18">
        <v>0.0</v>
      </c>
      <c r="Q1088" s="119">
        <v>0.0</v>
      </c>
      <c r="R1088" s="19">
        <v>0.0</v>
      </c>
      <c r="S1088" s="20">
        <v>0.0</v>
      </c>
      <c r="T1088" s="20">
        <v>0.0</v>
      </c>
      <c r="U1088" s="20">
        <v>0.0</v>
      </c>
      <c r="V1088" s="21" t="s">
        <v>315</v>
      </c>
      <c r="W1088" s="18" t="s">
        <v>3257</v>
      </c>
      <c r="X1088" s="66" t="s">
        <v>1101</v>
      </c>
      <c r="Y1088" s="41" t="s">
        <v>3475</v>
      </c>
      <c r="Z1088" s="20" t="s">
        <v>3494</v>
      </c>
      <c r="AA1088" s="18">
        <v>167.0</v>
      </c>
      <c r="AB1088" s="18"/>
      <c r="AC1088" s="18">
        <v>167.0</v>
      </c>
      <c r="AD1088" s="14">
        <v>2156679.0</v>
      </c>
      <c r="AE1088" s="18"/>
      <c r="AF1088" s="14">
        <v>2156679.0</v>
      </c>
      <c r="AG1088" s="22"/>
      <c r="AH1088" s="22"/>
      <c r="AI1088" s="22"/>
      <c r="AJ1088" s="22"/>
      <c r="AK1088" s="22"/>
      <c r="AL1088" s="22"/>
      <c r="AM1088" s="22"/>
      <c r="AN1088" s="22"/>
      <c r="AO1088" s="22"/>
      <c r="AP1088" s="22"/>
    </row>
    <row r="1089" hidden="1">
      <c r="A1089" s="8">
        <v>46130.0</v>
      </c>
      <c r="B1089" s="9">
        <v>0.5</v>
      </c>
      <c r="C1089" s="10" t="s">
        <v>58</v>
      </c>
      <c r="D1089" s="10" t="s">
        <v>3083</v>
      </c>
      <c r="E1089" s="12" t="s">
        <v>106</v>
      </c>
      <c r="F1089" s="12" t="s">
        <v>3471</v>
      </c>
      <c r="G1089" s="12" t="s">
        <v>3495</v>
      </c>
      <c r="H1089" s="68" t="s">
        <v>3486</v>
      </c>
      <c r="I1089" s="57" t="s">
        <v>61</v>
      </c>
      <c r="J1089" s="14">
        <v>3878.0</v>
      </c>
      <c r="K1089" s="14">
        <v>2312.0</v>
      </c>
      <c r="L1089" s="15">
        <v>0.5962</v>
      </c>
      <c r="M1089" s="16">
        <v>0.0</v>
      </c>
      <c r="N1089" s="17">
        <v>0.0</v>
      </c>
      <c r="O1089" s="18">
        <v>0.0</v>
      </c>
      <c r="P1089" s="18">
        <v>0.0</v>
      </c>
      <c r="Q1089" s="119">
        <v>0.0</v>
      </c>
      <c r="R1089" s="19">
        <v>0.0</v>
      </c>
      <c r="S1089" s="20">
        <v>0.0</v>
      </c>
      <c r="T1089" s="20">
        <v>0.0</v>
      </c>
      <c r="U1089" s="20">
        <v>0.0</v>
      </c>
      <c r="V1089" s="21" t="s">
        <v>315</v>
      </c>
      <c r="W1089" s="18" t="s">
        <v>3257</v>
      </c>
      <c r="X1089" s="66" t="s">
        <v>1101</v>
      </c>
      <c r="Y1089" s="41" t="s">
        <v>3475</v>
      </c>
      <c r="Z1089" s="20" t="s">
        <v>3496</v>
      </c>
      <c r="AA1089" s="18">
        <v>8.0</v>
      </c>
      <c r="AB1089" s="18"/>
      <c r="AC1089" s="18">
        <v>8.0</v>
      </c>
      <c r="AD1089" s="14">
        <v>89992.0</v>
      </c>
      <c r="AE1089" s="18"/>
      <c r="AF1089" s="14">
        <v>89992.0</v>
      </c>
      <c r="AG1089" s="22"/>
      <c r="AH1089" s="22"/>
      <c r="AI1089" s="22"/>
      <c r="AJ1089" s="22"/>
      <c r="AK1089" s="22"/>
      <c r="AL1089" s="22"/>
      <c r="AM1089" s="22"/>
      <c r="AN1089" s="22"/>
      <c r="AO1089" s="22"/>
      <c r="AP1089" s="22"/>
    </row>
    <row r="1090" hidden="1">
      <c r="A1090" s="26">
        <v>46130.0</v>
      </c>
      <c r="B1090" s="123">
        <v>0.375</v>
      </c>
      <c r="C1090" s="28" t="s">
        <v>32</v>
      </c>
      <c r="D1090" s="28" t="s">
        <v>3243</v>
      </c>
      <c r="E1090" s="30" t="s">
        <v>71</v>
      </c>
      <c r="F1090" s="30" t="s">
        <v>3259</v>
      </c>
      <c r="G1090" s="30" t="s">
        <v>3497</v>
      </c>
      <c r="H1090" s="112" t="s">
        <v>3498</v>
      </c>
      <c r="I1090" s="72" t="s">
        <v>3499</v>
      </c>
      <c r="J1090" s="33">
        <v>15866.0</v>
      </c>
      <c r="K1090" s="33">
        <v>7135.0</v>
      </c>
      <c r="L1090" s="34">
        <v>0.4497</v>
      </c>
      <c r="M1090" s="35">
        <v>2207.0</v>
      </c>
      <c r="N1090" s="17">
        <v>0.3093</v>
      </c>
      <c r="O1090" s="18">
        <v>355.0</v>
      </c>
      <c r="P1090" s="18">
        <v>317.0</v>
      </c>
      <c r="Q1090" s="119">
        <v>0.0444</v>
      </c>
      <c r="R1090" s="19">
        <v>0.1436</v>
      </c>
      <c r="S1090" s="39">
        <v>14.0</v>
      </c>
      <c r="T1090" s="39">
        <v>38.0</v>
      </c>
      <c r="U1090" s="39">
        <v>69915.0</v>
      </c>
      <c r="V1090" s="41" t="s">
        <v>335</v>
      </c>
      <c r="W1090" s="37" t="s">
        <v>76</v>
      </c>
      <c r="X1090" s="73" t="s">
        <v>3500</v>
      </c>
      <c r="Y1090" s="21" t="s">
        <v>3501</v>
      </c>
      <c r="Z1090" s="39" t="s">
        <v>3502</v>
      </c>
      <c r="AA1090" s="37">
        <v>107.0</v>
      </c>
      <c r="AB1090" s="37">
        <v>107.0</v>
      </c>
      <c r="AC1090" s="37"/>
      <c r="AD1090" s="33">
        <v>394035.0</v>
      </c>
      <c r="AE1090" s="33">
        <v>394035.0</v>
      </c>
      <c r="AF1090" s="33"/>
      <c r="AG1090" s="43"/>
      <c r="AH1090" s="43"/>
      <c r="AI1090" s="43"/>
      <c r="AJ1090" s="43"/>
      <c r="AK1090" s="43"/>
      <c r="AL1090" s="43"/>
      <c r="AM1090" s="43"/>
      <c r="AN1090" s="43"/>
      <c r="AO1090" s="43"/>
      <c r="AP1090" s="43"/>
    </row>
    <row r="1091" hidden="1">
      <c r="A1091" s="26">
        <v>46130.0</v>
      </c>
      <c r="B1091" s="123">
        <v>0.375</v>
      </c>
      <c r="C1091" s="28" t="s">
        <v>32</v>
      </c>
      <c r="D1091" s="28" t="s">
        <v>3243</v>
      </c>
      <c r="E1091" s="30" t="s">
        <v>71</v>
      </c>
      <c r="F1091" s="30" t="s">
        <v>3259</v>
      </c>
      <c r="G1091" s="30" t="s">
        <v>3503</v>
      </c>
      <c r="H1091" s="112" t="s">
        <v>3504</v>
      </c>
      <c r="I1091" s="72" t="s">
        <v>3505</v>
      </c>
      <c r="J1091" s="33">
        <v>54353.0</v>
      </c>
      <c r="K1091" s="33">
        <v>25318.0</v>
      </c>
      <c r="L1091" s="34">
        <v>0.4657</v>
      </c>
      <c r="M1091" s="35">
        <v>9939.0</v>
      </c>
      <c r="N1091" s="17">
        <v>0.3926</v>
      </c>
      <c r="O1091" s="18">
        <v>1203.0</v>
      </c>
      <c r="P1091" s="18">
        <v>1100.0</v>
      </c>
      <c r="Q1091" s="119">
        <v>0.0435</v>
      </c>
      <c r="R1091" s="19">
        <v>0.1107</v>
      </c>
      <c r="S1091" s="39">
        <v>27.0</v>
      </c>
      <c r="T1091" s="39">
        <v>84.0</v>
      </c>
      <c r="U1091" s="39">
        <v>60613.0</v>
      </c>
      <c r="V1091" s="41" t="s">
        <v>335</v>
      </c>
      <c r="W1091" s="37" t="s">
        <v>76</v>
      </c>
      <c r="X1091" s="73" t="s">
        <v>3500</v>
      </c>
      <c r="Y1091" s="21" t="s">
        <v>3501</v>
      </c>
      <c r="Z1091" s="39" t="s">
        <v>3506</v>
      </c>
      <c r="AA1091" s="37">
        <v>140.0</v>
      </c>
      <c r="AB1091" s="37">
        <v>140.0</v>
      </c>
      <c r="AC1091" s="37"/>
      <c r="AD1091" s="33">
        <v>310528.0</v>
      </c>
      <c r="AE1091" s="33">
        <v>310528.0</v>
      </c>
      <c r="AF1091" s="33"/>
      <c r="AG1091" s="43"/>
      <c r="AH1091" s="43"/>
      <c r="AI1091" s="43"/>
      <c r="AJ1091" s="43"/>
      <c r="AK1091" s="43"/>
      <c r="AL1091" s="43"/>
      <c r="AM1091" s="43"/>
      <c r="AN1091" s="43"/>
      <c r="AO1091" s="43"/>
      <c r="AP1091" s="43"/>
    </row>
    <row r="1092" hidden="1">
      <c r="A1092" s="26">
        <v>46130.0</v>
      </c>
      <c r="B1092" s="123">
        <v>0.375</v>
      </c>
      <c r="C1092" s="28" t="s">
        <v>32</v>
      </c>
      <c r="D1092" s="28" t="s">
        <v>3243</v>
      </c>
      <c r="E1092" s="30" t="s">
        <v>71</v>
      </c>
      <c r="F1092" s="30" t="s">
        <v>3259</v>
      </c>
      <c r="G1092" s="30" t="s">
        <v>3507</v>
      </c>
      <c r="H1092" s="112" t="s">
        <v>3508</v>
      </c>
      <c r="I1092" s="72" t="s">
        <v>3509</v>
      </c>
      <c r="J1092" s="33">
        <v>6795.0</v>
      </c>
      <c r="K1092" s="33">
        <v>2968.0</v>
      </c>
      <c r="L1092" s="34">
        <v>0.4368</v>
      </c>
      <c r="M1092" s="35">
        <v>1226.0</v>
      </c>
      <c r="N1092" s="17">
        <v>0.4131</v>
      </c>
      <c r="O1092" s="18">
        <v>173.0</v>
      </c>
      <c r="P1092" s="18">
        <v>160.0</v>
      </c>
      <c r="Q1092" s="119">
        <v>0.0539</v>
      </c>
      <c r="R1092" s="19">
        <v>0.1305</v>
      </c>
      <c r="S1092" s="39">
        <v>5.0</v>
      </c>
      <c r="T1092" s="39">
        <v>12.0</v>
      </c>
      <c r="U1092" s="39">
        <v>18388.0</v>
      </c>
      <c r="V1092" s="41" t="s">
        <v>335</v>
      </c>
      <c r="W1092" s="37" t="s">
        <v>76</v>
      </c>
      <c r="X1092" s="73" t="s">
        <v>3500</v>
      </c>
      <c r="Y1092" s="21" t="s">
        <v>3501</v>
      </c>
      <c r="Z1092" s="39" t="s">
        <v>3510</v>
      </c>
      <c r="AA1092" s="37">
        <v>50.0</v>
      </c>
      <c r="AB1092" s="37">
        <v>50.0</v>
      </c>
      <c r="AC1092" s="37"/>
      <c r="AD1092" s="33">
        <v>133517.0</v>
      </c>
      <c r="AE1092" s="33">
        <v>133517.0</v>
      </c>
      <c r="AF1092" s="33"/>
      <c r="AG1092" s="43"/>
      <c r="AH1092" s="43"/>
      <c r="AI1092" s="43"/>
      <c r="AJ1092" s="43"/>
      <c r="AK1092" s="43"/>
      <c r="AL1092" s="43"/>
      <c r="AM1092" s="43"/>
      <c r="AN1092" s="43"/>
      <c r="AO1092" s="43"/>
      <c r="AP1092" s="43"/>
    </row>
    <row r="1093" hidden="1">
      <c r="A1093" s="26">
        <v>46130.0</v>
      </c>
      <c r="B1093" s="123">
        <v>0.375</v>
      </c>
      <c r="C1093" s="28" t="s">
        <v>32</v>
      </c>
      <c r="D1093" s="28" t="s">
        <v>3243</v>
      </c>
      <c r="E1093" s="30" t="s">
        <v>71</v>
      </c>
      <c r="F1093" s="30" t="s">
        <v>3259</v>
      </c>
      <c r="G1093" s="30" t="s">
        <v>3511</v>
      </c>
      <c r="H1093" s="112" t="s">
        <v>3512</v>
      </c>
      <c r="I1093" s="72" t="s">
        <v>3513</v>
      </c>
      <c r="J1093" s="33">
        <v>15303.0</v>
      </c>
      <c r="K1093" s="33">
        <v>7534.0</v>
      </c>
      <c r="L1093" s="34">
        <v>0.4923</v>
      </c>
      <c r="M1093" s="35">
        <v>3222.0</v>
      </c>
      <c r="N1093" s="17">
        <v>0.4275</v>
      </c>
      <c r="O1093" s="18">
        <v>274.0</v>
      </c>
      <c r="P1093" s="18">
        <v>255.0</v>
      </c>
      <c r="Q1093" s="119">
        <v>0.0338</v>
      </c>
      <c r="R1093" s="19">
        <v>0.0792</v>
      </c>
      <c r="S1093" s="39">
        <v>9.0</v>
      </c>
      <c r="T1093" s="39">
        <v>34.0</v>
      </c>
      <c r="U1093" s="39">
        <v>21395.0</v>
      </c>
      <c r="V1093" s="41" t="s">
        <v>335</v>
      </c>
      <c r="W1093" s="37" t="s">
        <v>76</v>
      </c>
      <c r="X1093" s="73" t="s">
        <v>3500</v>
      </c>
      <c r="Y1093" s="21" t="s">
        <v>3501</v>
      </c>
      <c r="Z1093" s="39" t="s">
        <v>3514</v>
      </c>
      <c r="AA1093" s="37">
        <v>68.0</v>
      </c>
      <c r="AB1093" s="37">
        <v>68.0</v>
      </c>
      <c r="AC1093" s="37"/>
      <c r="AD1093" s="33">
        <v>157891.0</v>
      </c>
      <c r="AE1093" s="33">
        <v>157891.0</v>
      </c>
      <c r="AF1093" s="33"/>
      <c r="AG1093" s="43"/>
      <c r="AH1093" s="43"/>
      <c r="AI1093" s="43"/>
      <c r="AJ1093" s="43"/>
      <c r="AK1093" s="43"/>
      <c r="AL1093" s="43"/>
      <c r="AM1093" s="43"/>
      <c r="AN1093" s="43"/>
      <c r="AO1093" s="43"/>
      <c r="AP1093" s="43"/>
    </row>
    <row r="1094" hidden="1">
      <c r="A1094" s="26">
        <v>46130.0</v>
      </c>
      <c r="B1094" s="123">
        <v>0.375</v>
      </c>
      <c r="C1094" s="28" t="s">
        <v>32</v>
      </c>
      <c r="D1094" s="28" t="s">
        <v>3243</v>
      </c>
      <c r="E1094" s="30" t="s">
        <v>71</v>
      </c>
      <c r="F1094" s="30" t="s">
        <v>3259</v>
      </c>
      <c r="G1094" s="30" t="s">
        <v>3515</v>
      </c>
      <c r="H1094" s="112" t="s">
        <v>3516</v>
      </c>
      <c r="I1094" s="72" t="s">
        <v>3517</v>
      </c>
      <c r="J1094" s="33">
        <v>4193.0</v>
      </c>
      <c r="K1094" s="33">
        <v>2275.0</v>
      </c>
      <c r="L1094" s="34">
        <v>0.5426</v>
      </c>
      <c r="M1094" s="35">
        <v>887.0</v>
      </c>
      <c r="N1094" s="17">
        <v>0.3899</v>
      </c>
      <c r="O1094" s="18">
        <v>108.0</v>
      </c>
      <c r="P1094" s="18">
        <v>81.0</v>
      </c>
      <c r="Q1094" s="119">
        <v>0.0356</v>
      </c>
      <c r="R1094" s="19">
        <v>0.0913</v>
      </c>
      <c r="S1094" s="39">
        <v>2.0</v>
      </c>
      <c r="T1094" s="39">
        <v>7.0</v>
      </c>
      <c r="U1094" s="39">
        <v>1178.0</v>
      </c>
      <c r="V1094" s="41" t="s">
        <v>335</v>
      </c>
      <c r="W1094" s="37" t="s">
        <v>76</v>
      </c>
      <c r="X1094" s="73" t="s">
        <v>3500</v>
      </c>
      <c r="Y1094" s="21" t="s">
        <v>3501</v>
      </c>
      <c r="Z1094" s="39" t="s">
        <v>3518</v>
      </c>
      <c r="AA1094" s="37">
        <v>20.0</v>
      </c>
      <c r="AB1094" s="37">
        <v>20.0</v>
      </c>
      <c r="AC1094" s="37"/>
      <c r="AD1094" s="33">
        <v>43752.0</v>
      </c>
      <c r="AE1094" s="33">
        <v>43752.0</v>
      </c>
      <c r="AF1094" s="33"/>
      <c r="AG1094" s="43"/>
      <c r="AH1094" s="43"/>
      <c r="AI1094" s="43"/>
      <c r="AJ1094" s="43"/>
      <c r="AK1094" s="43"/>
      <c r="AL1094" s="43"/>
      <c r="AM1094" s="43"/>
      <c r="AN1094" s="43"/>
      <c r="AO1094" s="43"/>
      <c r="AP1094" s="43"/>
    </row>
    <row r="1095" hidden="1">
      <c r="A1095" s="26">
        <v>46130.0</v>
      </c>
      <c r="B1095" s="123">
        <v>0.7708333333333334</v>
      </c>
      <c r="C1095" s="28" t="s">
        <v>32</v>
      </c>
      <c r="D1095" s="28" t="s">
        <v>3243</v>
      </c>
      <c r="E1095" s="30" t="s">
        <v>71</v>
      </c>
      <c r="F1095" s="30" t="s">
        <v>3259</v>
      </c>
      <c r="G1095" s="30" t="s">
        <v>3519</v>
      </c>
      <c r="H1095" s="112" t="s">
        <v>3400</v>
      </c>
      <c r="I1095" s="72" t="s">
        <v>3401</v>
      </c>
      <c r="J1095" s="33">
        <v>129927.0</v>
      </c>
      <c r="K1095" s="33">
        <v>51187.0</v>
      </c>
      <c r="L1095" s="34">
        <v>0.3939</v>
      </c>
      <c r="M1095" s="35">
        <v>19238.0</v>
      </c>
      <c r="N1095" s="17">
        <v>0.3759</v>
      </c>
      <c r="O1095" s="18">
        <v>2174.0</v>
      </c>
      <c r="P1095" s="18">
        <v>1991.0</v>
      </c>
      <c r="Q1095" s="119">
        <v>0.0389</v>
      </c>
      <c r="R1095" s="19">
        <v>0.1035</v>
      </c>
      <c r="S1095" s="39">
        <v>11.0</v>
      </c>
      <c r="T1095" s="39">
        <v>30.0</v>
      </c>
      <c r="U1095" s="39">
        <v>29900.0</v>
      </c>
      <c r="V1095" s="21" t="s">
        <v>315</v>
      </c>
      <c r="W1095" s="18" t="s">
        <v>76</v>
      </c>
      <c r="X1095" s="66" t="s">
        <v>2286</v>
      </c>
      <c r="Y1095" s="21" t="s">
        <v>3501</v>
      </c>
      <c r="Z1095" s="20" t="s">
        <v>3520</v>
      </c>
      <c r="AA1095" s="18">
        <v>299.0</v>
      </c>
      <c r="AB1095" s="18"/>
      <c r="AC1095" s="18">
        <v>299.0</v>
      </c>
      <c r="AD1095" s="14">
        <v>1124941.0</v>
      </c>
      <c r="AE1095" s="14"/>
      <c r="AF1095" s="33">
        <v>1124941.0</v>
      </c>
      <c r="AG1095" s="43"/>
      <c r="AH1095" s="43"/>
      <c r="AI1095" s="43"/>
      <c r="AJ1095" s="43"/>
      <c r="AK1095" s="43"/>
      <c r="AL1095" s="43"/>
      <c r="AM1095" s="43"/>
      <c r="AN1095" s="43"/>
      <c r="AO1095" s="43"/>
      <c r="AP1095" s="43"/>
    </row>
    <row r="1096" hidden="1">
      <c r="A1096" s="26">
        <v>46130.0</v>
      </c>
      <c r="B1096" s="123">
        <v>0.7708333333333334</v>
      </c>
      <c r="C1096" s="28" t="s">
        <v>32</v>
      </c>
      <c r="D1096" s="28" t="s">
        <v>3243</v>
      </c>
      <c r="E1096" s="30" t="s">
        <v>71</v>
      </c>
      <c r="F1096" s="30" t="s">
        <v>3259</v>
      </c>
      <c r="G1096" s="30" t="s">
        <v>3521</v>
      </c>
      <c r="H1096" s="112" t="s">
        <v>3405</v>
      </c>
      <c r="I1096" s="72" t="s">
        <v>3406</v>
      </c>
      <c r="J1096" s="33">
        <v>105165.0</v>
      </c>
      <c r="K1096" s="33">
        <v>41058.0</v>
      </c>
      <c r="L1096" s="34">
        <v>0.3904</v>
      </c>
      <c r="M1096" s="35">
        <v>14755.0</v>
      </c>
      <c r="N1096" s="17">
        <v>0.3594</v>
      </c>
      <c r="O1096" s="18">
        <v>1400.0</v>
      </c>
      <c r="P1096" s="18">
        <v>1287.0</v>
      </c>
      <c r="Q1096" s="119">
        <v>0.0313</v>
      </c>
      <c r="R1096" s="19">
        <v>0.0872</v>
      </c>
      <c r="S1096" s="39">
        <v>8.0</v>
      </c>
      <c r="T1096" s="39">
        <v>21.0</v>
      </c>
      <c r="U1096" s="39">
        <v>34607.0</v>
      </c>
      <c r="V1096" s="21" t="s">
        <v>315</v>
      </c>
      <c r="W1096" s="18" t="s">
        <v>76</v>
      </c>
      <c r="X1096" s="66" t="s">
        <v>41</v>
      </c>
      <c r="Y1096" s="21" t="s">
        <v>3501</v>
      </c>
      <c r="Z1096" s="20" t="s">
        <v>3522</v>
      </c>
      <c r="AA1096" s="18">
        <v>231.0</v>
      </c>
      <c r="AB1096" s="18"/>
      <c r="AC1096" s="18">
        <v>231.0</v>
      </c>
      <c r="AD1096" s="14">
        <v>914513.0</v>
      </c>
      <c r="AE1096" s="14"/>
      <c r="AF1096" s="33">
        <v>914513.0</v>
      </c>
      <c r="AG1096" s="43"/>
      <c r="AH1096" s="43"/>
      <c r="AI1096" s="43"/>
      <c r="AJ1096" s="43"/>
      <c r="AK1096" s="43"/>
      <c r="AL1096" s="43"/>
      <c r="AM1096" s="43"/>
      <c r="AN1096" s="43"/>
      <c r="AO1096" s="43"/>
      <c r="AP1096" s="43"/>
    </row>
    <row r="1097" hidden="1">
      <c r="A1097" s="26">
        <v>46130.0</v>
      </c>
      <c r="B1097" s="123">
        <v>0.7708333333333334</v>
      </c>
      <c r="C1097" s="28" t="s">
        <v>32</v>
      </c>
      <c r="D1097" s="28" t="s">
        <v>3243</v>
      </c>
      <c r="E1097" s="30" t="s">
        <v>71</v>
      </c>
      <c r="F1097" s="30" t="s">
        <v>3259</v>
      </c>
      <c r="G1097" s="30" t="s">
        <v>3523</v>
      </c>
      <c r="H1097" s="112" t="s">
        <v>3409</v>
      </c>
      <c r="I1097" s="72" t="s">
        <v>3410</v>
      </c>
      <c r="J1097" s="33">
        <v>193508.0</v>
      </c>
      <c r="K1097" s="33">
        <v>73336.0</v>
      </c>
      <c r="L1097" s="34">
        <v>0.379</v>
      </c>
      <c r="M1097" s="35">
        <v>25029.0</v>
      </c>
      <c r="N1097" s="17">
        <v>0.3413</v>
      </c>
      <c r="O1097" s="18">
        <v>2082.0</v>
      </c>
      <c r="P1097" s="18">
        <v>1910.0</v>
      </c>
      <c r="Q1097" s="119">
        <v>0.026</v>
      </c>
      <c r="R1097" s="19">
        <v>0.0763</v>
      </c>
      <c r="S1097" s="39">
        <v>19.0</v>
      </c>
      <c r="T1097" s="39">
        <v>36.0</v>
      </c>
      <c r="U1097" s="39">
        <v>50066.0</v>
      </c>
      <c r="V1097" s="21" t="s">
        <v>315</v>
      </c>
      <c r="W1097" s="18" t="s">
        <v>76</v>
      </c>
      <c r="X1097" s="66" t="s">
        <v>41</v>
      </c>
      <c r="Y1097" s="21" t="s">
        <v>3501</v>
      </c>
      <c r="Z1097" s="20" t="s">
        <v>3524</v>
      </c>
      <c r="AA1097" s="18">
        <v>266.0</v>
      </c>
      <c r="AB1097" s="18"/>
      <c r="AC1097" s="18">
        <v>266.0</v>
      </c>
      <c r="AD1097" s="14">
        <v>912399.0</v>
      </c>
      <c r="AE1097" s="14"/>
      <c r="AF1097" s="33">
        <v>912399.0</v>
      </c>
      <c r="AG1097" s="43"/>
      <c r="AH1097" s="43"/>
      <c r="AI1097" s="43"/>
      <c r="AJ1097" s="43"/>
      <c r="AK1097" s="43"/>
      <c r="AL1097" s="43"/>
      <c r="AM1097" s="43"/>
      <c r="AN1097" s="43"/>
      <c r="AO1097" s="43"/>
      <c r="AP1097" s="43"/>
    </row>
    <row r="1098" hidden="1">
      <c r="A1098" s="26">
        <v>46130.0</v>
      </c>
      <c r="B1098" s="123">
        <v>0.7708333333333334</v>
      </c>
      <c r="C1098" s="28" t="s">
        <v>32</v>
      </c>
      <c r="D1098" s="28" t="s">
        <v>3243</v>
      </c>
      <c r="E1098" s="30" t="s">
        <v>71</v>
      </c>
      <c r="F1098" s="30" t="s">
        <v>3259</v>
      </c>
      <c r="G1098" s="30" t="s">
        <v>3525</v>
      </c>
      <c r="H1098" s="112" t="s">
        <v>3458</v>
      </c>
      <c r="I1098" s="72" t="s">
        <v>3459</v>
      </c>
      <c r="J1098" s="33">
        <v>147037.0</v>
      </c>
      <c r="K1098" s="33">
        <v>52701.0</v>
      </c>
      <c r="L1098" s="34">
        <v>0.3583</v>
      </c>
      <c r="M1098" s="35">
        <v>16929.0</v>
      </c>
      <c r="N1098" s="17">
        <v>0.3213</v>
      </c>
      <c r="O1098" s="18">
        <v>1180.0</v>
      </c>
      <c r="P1098" s="18">
        <v>1115.0</v>
      </c>
      <c r="Q1098" s="119">
        <v>0.0212</v>
      </c>
      <c r="R1098" s="19">
        <v>0.0659</v>
      </c>
      <c r="S1098" s="39">
        <v>7.0</v>
      </c>
      <c r="T1098" s="39">
        <v>12.0</v>
      </c>
      <c r="U1098" s="39">
        <v>14818.0</v>
      </c>
      <c r="V1098" s="21" t="s">
        <v>315</v>
      </c>
      <c r="W1098" s="18" t="s">
        <v>76</v>
      </c>
      <c r="X1098" s="66" t="s">
        <v>69</v>
      </c>
      <c r="Y1098" s="21" t="s">
        <v>3501</v>
      </c>
      <c r="Z1098" s="20" t="s">
        <v>3526</v>
      </c>
      <c r="AA1098" s="18">
        <v>119.0</v>
      </c>
      <c r="AB1098" s="18"/>
      <c r="AC1098" s="18">
        <v>119.0</v>
      </c>
      <c r="AD1098" s="14">
        <v>393497.0</v>
      </c>
      <c r="AE1098" s="14"/>
      <c r="AF1098" s="33">
        <v>393497.0</v>
      </c>
      <c r="AG1098" s="43"/>
      <c r="AH1098" s="43"/>
      <c r="AI1098" s="43"/>
      <c r="AJ1098" s="43"/>
      <c r="AK1098" s="43"/>
      <c r="AL1098" s="43"/>
      <c r="AM1098" s="43"/>
      <c r="AN1098" s="43"/>
      <c r="AO1098" s="43"/>
      <c r="AP1098" s="43"/>
    </row>
    <row r="1099" hidden="1">
      <c r="A1099" s="26">
        <v>46130.0</v>
      </c>
      <c r="B1099" s="123">
        <v>0.7708333333333334</v>
      </c>
      <c r="C1099" s="28" t="s">
        <v>32</v>
      </c>
      <c r="D1099" s="28" t="s">
        <v>3243</v>
      </c>
      <c r="E1099" s="30" t="s">
        <v>71</v>
      </c>
      <c r="F1099" s="30" t="s">
        <v>3259</v>
      </c>
      <c r="G1099" s="30" t="s">
        <v>3527</v>
      </c>
      <c r="H1099" s="112" t="s">
        <v>3462</v>
      </c>
      <c r="I1099" s="72" t="s">
        <v>3463</v>
      </c>
      <c r="J1099" s="33">
        <v>149320.0</v>
      </c>
      <c r="K1099" s="33">
        <v>54616.0</v>
      </c>
      <c r="L1099" s="34">
        <v>0.3658</v>
      </c>
      <c r="M1099" s="35">
        <v>18932.0</v>
      </c>
      <c r="N1099" s="17">
        <v>0.3466</v>
      </c>
      <c r="O1099" s="18">
        <v>1367.0</v>
      </c>
      <c r="P1099" s="18">
        <v>1260.0</v>
      </c>
      <c r="Q1099" s="119">
        <v>0.0231</v>
      </c>
      <c r="R1099" s="19">
        <v>0.0666</v>
      </c>
      <c r="S1099" s="39">
        <v>9.0</v>
      </c>
      <c r="T1099" s="39">
        <v>13.0</v>
      </c>
      <c r="U1099" s="39">
        <v>18678.0</v>
      </c>
      <c r="V1099" s="21" t="s">
        <v>315</v>
      </c>
      <c r="W1099" s="18" t="s">
        <v>76</v>
      </c>
      <c r="X1099" s="66" t="s">
        <v>69</v>
      </c>
      <c r="Y1099" s="21" t="s">
        <v>3501</v>
      </c>
      <c r="Z1099" s="20" t="s">
        <v>3528</v>
      </c>
      <c r="AA1099" s="18">
        <v>110.0</v>
      </c>
      <c r="AB1099" s="18"/>
      <c r="AC1099" s="18">
        <v>110.0</v>
      </c>
      <c r="AD1099" s="14">
        <v>378690.0</v>
      </c>
      <c r="AE1099" s="14"/>
      <c r="AF1099" s="33">
        <v>378690.0</v>
      </c>
      <c r="AG1099" s="43"/>
      <c r="AH1099" s="43"/>
      <c r="AI1099" s="43"/>
      <c r="AJ1099" s="43"/>
      <c r="AK1099" s="43"/>
      <c r="AL1099" s="43"/>
      <c r="AM1099" s="43"/>
      <c r="AN1099" s="43"/>
      <c r="AO1099" s="43"/>
      <c r="AP1099" s="43"/>
    </row>
    <row r="1100" hidden="1">
      <c r="A1100" s="26">
        <v>46130.0</v>
      </c>
      <c r="B1100" s="123">
        <v>0.4375</v>
      </c>
      <c r="C1100" s="28" t="s">
        <v>58</v>
      </c>
      <c r="D1100" s="112" t="s">
        <v>3083</v>
      </c>
      <c r="E1100" s="30" t="s">
        <v>71</v>
      </c>
      <c r="F1100" s="30" t="s">
        <v>3259</v>
      </c>
      <c r="G1100" s="30" t="s">
        <v>3529</v>
      </c>
      <c r="H1100" s="112" t="s">
        <v>3498</v>
      </c>
      <c r="I1100" s="72" t="s">
        <v>61</v>
      </c>
      <c r="J1100" s="33">
        <v>8321.0</v>
      </c>
      <c r="K1100" s="33">
        <v>4463.0</v>
      </c>
      <c r="L1100" s="15">
        <v>0.5364</v>
      </c>
      <c r="M1100" s="35">
        <v>0.0</v>
      </c>
      <c r="N1100" s="17">
        <v>0.0</v>
      </c>
      <c r="O1100" s="18">
        <v>14.0</v>
      </c>
      <c r="P1100" s="18">
        <v>0.0</v>
      </c>
      <c r="Q1100" s="119">
        <v>0.0031</v>
      </c>
      <c r="R1100" s="19">
        <v>0.0</v>
      </c>
      <c r="S1100" s="39">
        <v>2.0</v>
      </c>
      <c r="T1100" s="39">
        <v>7.0</v>
      </c>
      <c r="U1100" s="39">
        <v>7380.0</v>
      </c>
      <c r="V1100" s="41" t="s">
        <v>335</v>
      </c>
      <c r="W1100" s="37" t="s">
        <v>3257</v>
      </c>
      <c r="X1100" s="73" t="s">
        <v>3500</v>
      </c>
      <c r="Y1100" s="122">
        <v>46130.0</v>
      </c>
      <c r="Z1100" s="39" t="s">
        <v>3530</v>
      </c>
      <c r="AA1100" s="37">
        <v>15.0</v>
      </c>
      <c r="AB1100" s="37">
        <v>15.0</v>
      </c>
      <c r="AC1100" s="37"/>
      <c r="AD1100" s="33">
        <v>60505.0</v>
      </c>
      <c r="AE1100" s="33">
        <v>60505.0</v>
      </c>
      <c r="AF1100" s="33"/>
      <c r="AG1100" s="43"/>
      <c r="AH1100" s="43"/>
      <c r="AI1100" s="43"/>
      <c r="AJ1100" s="43"/>
      <c r="AK1100" s="43"/>
      <c r="AL1100" s="43"/>
      <c r="AM1100" s="43"/>
      <c r="AN1100" s="43"/>
      <c r="AO1100" s="43"/>
      <c r="AP1100" s="43"/>
    </row>
    <row r="1101" hidden="1">
      <c r="A1101" s="26">
        <v>46130.0</v>
      </c>
      <c r="B1101" s="123">
        <v>0.4375</v>
      </c>
      <c r="C1101" s="28" t="s">
        <v>58</v>
      </c>
      <c r="D1101" s="112" t="s">
        <v>3083</v>
      </c>
      <c r="E1101" s="30" t="s">
        <v>71</v>
      </c>
      <c r="F1101" s="30" t="s">
        <v>3259</v>
      </c>
      <c r="G1101" s="30" t="s">
        <v>3531</v>
      </c>
      <c r="H1101" s="112" t="s">
        <v>3504</v>
      </c>
      <c r="I1101" s="72" t="s">
        <v>61</v>
      </c>
      <c r="J1101" s="33">
        <v>28056.0</v>
      </c>
      <c r="K1101" s="33">
        <v>18668.0</v>
      </c>
      <c r="L1101" s="15">
        <v>0.6654</v>
      </c>
      <c r="M1101" s="35">
        <v>0.0</v>
      </c>
      <c r="N1101" s="17">
        <v>0.0</v>
      </c>
      <c r="O1101" s="18">
        <v>22.0</v>
      </c>
      <c r="P1101" s="18">
        <v>0.0</v>
      </c>
      <c r="Q1101" s="119">
        <v>0.0012</v>
      </c>
      <c r="R1101" s="19">
        <v>0.0</v>
      </c>
      <c r="S1101" s="39">
        <v>7.0</v>
      </c>
      <c r="T1101" s="39">
        <v>25.0</v>
      </c>
      <c r="U1101" s="39">
        <v>15139.0</v>
      </c>
      <c r="V1101" s="41" t="s">
        <v>335</v>
      </c>
      <c r="W1101" s="37" t="s">
        <v>3257</v>
      </c>
      <c r="X1101" s="73" t="s">
        <v>3500</v>
      </c>
      <c r="Y1101" s="122">
        <v>46130.0</v>
      </c>
      <c r="Z1101" s="39" t="s">
        <v>3532</v>
      </c>
      <c r="AA1101" s="37">
        <v>30.0</v>
      </c>
      <c r="AB1101" s="37">
        <v>30.0</v>
      </c>
      <c r="AC1101" s="37"/>
      <c r="AD1101" s="33">
        <v>54506.0</v>
      </c>
      <c r="AE1101" s="33">
        <v>54506.0</v>
      </c>
      <c r="AF1101" s="33"/>
      <c r="AG1101" s="43"/>
      <c r="AH1101" s="43"/>
      <c r="AI1101" s="43"/>
      <c r="AJ1101" s="43"/>
      <c r="AK1101" s="43"/>
      <c r="AL1101" s="43"/>
      <c r="AM1101" s="43"/>
      <c r="AN1101" s="43"/>
      <c r="AO1101" s="43"/>
      <c r="AP1101" s="43"/>
    </row>
    <row r="1102" hidden="1">
      <c r="A1102" s="26">
        <v>46130.0</v>
      </c>
      <c r="B1102" s="123">
        <v>0.4375</v>
      </c>
      <c r="C1102" s="28" t="s">
        <v>58</v>
      </c>
      <c r="D1102" s="112" t="s">
        <v>3083</v>
      </c>
      <c r="E1102" s="30" t="s">
        <v>71</v>
      </c>
      <c r="F1102" s="30" t="s">
        <v>3259</v>
      </c>
      <c r="G1102" s="30" t="s">
        <v>3533</v>
      </c>
      <c r="H1102" s="112" t="s">
        <v>3508</v>
      </c>
      <c r="I1102" s="72" t="s">
        <v>61</v>
      </c>
      <c r="J1102" s="33">
        <v>3696.0</v>
      </c>
      <c r="K1102" s="33">
        <v>1399.0</v>
      </c>
      <c r="L1102" s="15">
        <v>0.3785</v>
      </c>
      <c r="M1102" s="35">
        <v>0.0</v>
      </c>
      <c r="N1102" s="17">
        <v>0.0</v>
      </c>
      <c r="O1102" s="18">
        <v>3.0</v>
      </c>
      <c r="P1102" s="18">
        <v>0.0</v>
      </c>
      <c r="Q1102" s="119">
        <v>0.0021</v>
      </c>
      <c r="R1102" s="19">
        <v>0.0</v>
      </c>
      <c r="S1102" s="39">
        <v>1.0</v>
      </c>
      <c r="T1102" s="39">
        <v>2.0</v>
      </c>
      <c r="U1102" s="39">
        <v>1209.0</v>
      </c>
      <c r="V1102" s="41" t="s">
        <v>335</v>
      </c>
      <c r="W1102" s="37" t="s">
        <v>3257</v>
      </c>
      <c r="X1102" s="73" t="s">
        <v>3500</v>
      </c>
      <c r="Y1102" s="122">
        <v>46130.0</v>
      </c>
      <c r="Z1102" s="39" t="s">
        <v>3534</v>
      </c>
      <c r="AA1102" s="37">
        <v>11.0</v>
      </c>
      <c r="AB1102" s="37">
        <v>11.0</v>
      </c>
      <c r="AC1102" s="37"/>
      <c r="AD1102" s="33">
        <v>24602.0</v>
      </c>
      <c r="AE1102" s="33">
        <v>24602.0</v>
      </c>
      <c r="AF1102" s="33"/>
      <c r="AG1102" s="43"/>
      <c r="AH1102" s="43"/>
      <c r="AI1102" s="43"/>
      <c r="AJ1102" s="43"/>
      <c r="AK1102" s="43"/>
      <c r="AL1102" s="43"/>
      <c r="AM1102" s="43"/>
      <c r="AN1102" s="43"/>
      <c r="AO1102" s="43"/>
      <c r="AP1102" s="43"/>
    </row>
    <row r="1103" hidden="1">
      <c r="A1103" s="26">
        <v>46130.0</v>
      </c>
      <c r="B1103" s="123">
        <v>0.4375</v>
      </c>
      <c r="C1103" s="28" t="s">
        <v>58</v>
      </c>
      <c r="D1103" s="112" t="s">
        <v>3083</v>
      </c>
      <c r="E1103" s="30" t="s">
        <v>71</v>
      </c>
      <c r="F1103" s="30" t="s">
        <v>3259</v>
      </c>
      <c r="G1103" s="30" t="s">
        <v>3535</v>
      </c>
      <c r="H1103" s="112" t="s">
        <v>3512</v>
      </c>
      <c r="I1103" s="72" t="s">
        <v>61</v>
      </c>
      <c r="J1103" s="33">
        <v>7511.0</v>
      </c>
      <c r="K1103" s="33">
        <v>3945.0</v>
      </c>
      <c r="L1103" s="15">
        <v>0.5252</v>
      </c>
      <c r="M1103" s="35">
        <v>0.0</v>
      </c>
      <c r="N1103" s="17">
        <v>0.0</v>
      </c>
      <c r="O1103" s="18">
        <v>7.0</v>
      </c>
      <c r="P1103" s="18">
        <v>0.0</v>
      </c>
      <c r="Q1103" s="119">
        <v>0.0018</v>
      </c>
      <c r="R1103" s="19">
        <v>0.0</v>
      </c>
      <c r="S1103" s="39">
        <v>3.0</v>
      </c>
      <c r="T1103" s="39">
        <v>4.0</v>
      </c>
      <c r="U1103" s="39">
        <v>3808.0</v>
      </c>
      <c r="V1103" s="41" t="s">
        <v>335</v>
      </c>
      <c r="W1103" s="37" t="s">
        <v>3257</v>
      </c>
      <c r="X1103" s="73" t="s">
        <v>3500</v>
      </c>
      <c r="Y1103" s="122">
        <v>46130.0</v>
      </c>
      <c r="Z1103" s="39" t="s">
        <v>3536</v>
      </c>
      <c r="AA1103" s="37">
        <v>13.0</v>
      </c>
      <c r="AB1103" s="37">
        <v>13.0</v>
      </c>
      <c r="AC1103" s="37"/>
      <c r="AD1103" s="33">
        <v>31680.0</v>
      </c>
      <c r="AE1103" s="33">
        <v>31680.0</v>
      </c>
      <c r="AF1103" s="33"/>
      <c r="AG1103" s="43"/>
      <c r="AH1103" s="43"/>
      <c r="AI1103" s="43"/>
      <c r="AJ1103" s="43"/>
      <c r="AK1103" s="43"/>
      <c r="AL1103" s="43"/>
      <c r="AM1103" s="43"/>
      <c r="AN1103" s="43"/>
      <c r="AO1103" s="43"/>
      <c r="AP1103" s="43"/>
    </row>
    <row r="1104" hidden="1">
      <c r="A1104" s="26">
        <v>46130.0</v>
      </c>
      <c r="B1104" s="123">
        <v>0.4375</v>
      </c>
      <c r="C1104" s="28" t="s">
        <v>58</v>
      </c>
      <c r="D1104" s="112" t="s">
        <v>3083</v>
      </c>
      <c r="E1104" s="30" t="s">
        <v>71</v>
      </c>
      <c r="F1104" s="30" t="s">
        <v>3259</v>
      </c>
      <c r="G1104" s="30" t="s">
        <v>3537</v>
      </c>
      <c r="H1104" s="112" t="s">
        <v>3516</v>
      </c>
      <c r="I1104" s="72" t="s">
        <v>61</v>
      </c>
      <c r="J1104" s="33">
        <v>1813.0</v>
      </c>
      <c r="K1104" s="33">
        <v>993.0</v>
      </c>
      <c r="L1104" s="15">
        <v>0.5477</v>
      </c>
      <c r="M1104" s="35">
        <v>0.0</v>
      </c>
      <c r="N1104" s="17">
        <v>0.0</v>
      </c>
      <c r="O1104" s="18">
        <v>0.0</v>
      </c>
      <c r="P1104" s="18">
        <v>0.0</v>
      </c>
      <c r="Q1104" s="119">
        <v>0.0</v>
      </c>
      <c r="R1104" s="19">
        <v>0.0</v>
      </c>
      <c r="S1104" s="39">
        <v>1.0</v>
      </c>
      <c r="T1104" s="39">
        <v>3.0</v>
      </c>
      <c r="U1104" s="39">
        <v>5871.0</v>
      </c>
      <c r="V1104" s="41" t="s">
        <v>335</v>
      </c>
      <c r="W1104" s="37" t="s">
        <v>3257</v>
      </c>
      <c r="X1104" s="73" t="s">
        <v>3500</v>
      </c>
      <c r="Y1104" s="122">
        <v>46130.0</v>
      </c>
      <c r="Z1104" s="39" t="s">
        <v>3538</v>
      </c>
      <c r="AA1104" s="37">
        <v>4.0</v>
      </c>
      <c r="AB1104" s="37">
        <v>4.0</v>
      </c>
      <c r="AC1104" s="37"/>
      <c r="AD1104" s="33">
        <v>16136.0</v>
      </c>
      <c r="AE1104" s="33">
        <v>16136.0</v>
      </c>
      <c r="AF1104" s="33"/>
      <c r="AG1104" s="43"/>
      <c r="AH1104" s="43"/>
      <c r="AI1104" s="43"/>
      <c r="AJ1104" s="43"/>
      <c r="AK1104" s="43"/>
      <c r="AL1104" s="43"/>
      <c r="AM1104" s="43"/>
      <c r="AN1104" s="43"/>
      <c r="AO1104" s="43"/>
      <c r="AP1104" s="43"/>
    </row>
    <row r="1105" hidden="1">
      <c r="A1105" s="26">
        <v>46130.0</v>
      </c>
      <c r="B1105" s="123">
        <v>0.8333333333333334</v>
      </c>
      <c r="C1105" s="28" t="s">
        <v>58</v>
      </c>
      <c r="D1105" s="112" t="s">
        <v>3083</v>
      </c>
      <c r="E1105" s="30" t="s">
        <v>71</v>
      </c>
      <c r="F1105" s="30" t="s">
        <v>3259</v>
      </c>
      <c r="G1105" s="30" t="s">
        <v>3539</v>
      </c>
      <c r="H1105" s="112" t="s">
        <v>3400</v>
      </c>
      <c r="I1105" s="72" t="s">
        <v>61</v>
      </c>
      <c r="J1105" s="33">
        <v>77042.0</v>
      </c>
      <c r="K1105" s="33">
        <v>44101.0</v>
      </c>
      <c r="L1105" s="15">
        <v>0.5724</v>
      </c>
      <c r="M1105" s="35">
        <v>0.0</v>
      </c>
      <c r="N1105" s="17">
        <v>0.0</v>
      </c>
      <c r="O1105" s="18">
        <v>63.0</v>
      </c>
      <c r="P1105" s="18">
        <v>0.0</v>
      </c>
      <c r="Q1105" s="119">
        <v>0.0014</v>
      </c>
      <c r="R1105" s="19">
        <v>0.0</v>
      </c>
      <c r="S1105" s="39">
        <v>4.0</v>
      </c>
      <c r="T1105" s="39">
        <v>7.0</v>
      </c>
      <c r="U1105" s="39">
        <v>10981.0</v>
      </c>
      <c r="V1105" s="41" t="s">
        <v>315</v>
      </c>
      <c r="W1105" s="37" t="s">
        <v>3257</v>
      </c>
      <c r="X1105" s="73" t="s">
        <v>2286</v>
      </c>
      <c r="Y1105" s="122">
        <v>46130.0</v>
      </c>
      <c r="Z1105" s="39" t="s">
        <v>3540</v>
      </c>
      <c r="AA1105" s="37">
        <v>98.0</v>
      </c>
      <c r="AB1105" s="37"/>
      <c r="AC1105" s="37">
        <v>98.0</v>
      </c>
      <c r="AD1105" s="33">
        <v>361502.0</v>
      </c>
      <c r="AE1105" s="37"/>
      <c r="AF1105" s="33">
        <v>361502.0</v>
      </c>
      <c r="AG1105" s="43"/>
      <c r="AH1105" s="43"/>
      <c r="AI1105" s="43"/>
      <c r="AJ1105" s="43"/>
      <c r="AK1105" s="43"/>
      <c r="AL1105" s="43"/>
      <c r="AM1105" s="43"/>
      <c r="AN1105" s="43"/>
      <c r="AO1105" s="43"/>
      <c r="AP1105" s="43"/>
    </row>
    <row r="1106" hidden="1">
      <c r="A1106" s="26">
        <v>46130.0</v>
      </c>
      <c r="B1106" s="123">
        <v>0.8333333333333334</v>
      </c>
      <c r="C1106" s="28" t="s">
        <v>58</v>
      </c>
      <c r="D1106" s="112" t="s">
        <v>3083</v>
      </c>
      <c r="E1106" s="30" t="s">
        <v>71</v>
      </c>
      <c r="F1106" s="30" t="s">
        <v>3259</v>
      </c>
      <c r="G1106" s="30" t="s">
        <v>3541</v>
      </c>
      <c r="H1106" s="112" t="s">
        <v>3405</v>
      </c>
      <c r="I1106" s="72" t="s">
        <v>61</v>
      </c>
      <c r="J1106" s="33">
        <v>62455.0</v>
      </c>
      <c r="K1106" s="33">
        <v>35459.0</v>
      </c>
      <c r="L1106" s="15">
        <v>0.5678</v>
      </c>
      <c r="M1106" s="35">
        <v>0.0</v>
      </c>
      <c r="N1106" s="17">
        <v>0.0</v>
      </c>
      <c r="O1106" s="18">
        <v>44.0</v>
      </c>
      <c r="P1106" s="18">
        <v>0.0</v>
      </c>
      <c r="Q1106" s="119">
        <v>0.0012</v>
      </c>
      <c r="R1106" s="19">
        <v>0.0</v>
      </c>
      <c r="S1106" s="39">
        <v>2.0</v>
      </c>
      <c r="T1106" s="39">
        <v>5.0</v>
      </c>
      <c r="U1106" s="39">
        <v>3100.0</v>
      </c>
      <c r="V1106" s="41" t="s">
        <v>315</v>
      </c>
      <c r="W1106" s="37" t="s">
        <v>3257</v>
      </c>
      <c r="X1106" s="73" t="s">
        <v>41</v>
      </c>
      <c r="Y1106" s="122">
        <v>46130.0</v>
      </c>
      <c r="Z1106" s="39" t="s">
        <v>3542</v>
      </c>
      <c r="AA1106" s="37">
        <v>90.0</v>
      </c>
      <c r="AB1106" s="37"/>
      <c r="AC1106" s="37">
        <v>90.0</v>
      </c>
      <c r="AD1106" s="33">
        <v>323973.0</v>
      </c>
      <c r="AE1106" s="37"/>
      <c r="AF1106" s="33">
        <v>323973.0</v>
      </c>
      <c r="AG1106" s="43"/>
      <c r="AH1106" s="43"/>
      <c r="AI1106" s="43"/>
      <c r="AJ1106" s="43"/>
      <c r="AK1106" s="43"/>
      <c r="AL1106" s="43"/>
      <c r="AM1106" s="43"/>
      <c r="AN1106" s="43"/>
      <c r="AO1106" s="43"/>
      <c r="AP1106" s="43"/>
    </row>
    <row r="1107" hidden="1">
      <c r="A1107" s="26">
        <v>46130.0</v>
      </c>
      <c r="B1107" s="123">
        <v>0.8333333333333334</v>
      </c>
      <c r="C1107" s="28" t="s">
        <v>58</v>
      </c>
      <c r="D1107" s="112" t="s">
        <v>3083</v>
      </c>
      <c r="E1107" s="30" t="s">
        <v>71</v>
      </c>
      <c r="F1107" s="30" t="s">
        <v>3259</v>
      </c>
      <c r="G1107" s="30" t="s">
        <v>3543</v>
      </c>
      <c r="H1107" s="112" t="s">
        <v>3409</v>
      </c>
      <c r="I1107" s="72" t="s">
        <v>61</v>
      </c>
      <c r="J1107" s="33">
        <v>115443.0</v>
      </c>
      <c r="K1107" s="33">
        <v>66454.0</v>
      </c>
      <c r="L1107" s="15">
        <v>0.5756</v>
      </c>
      <c r="M1107" s="35">
        <v>0.0</v>
      </c>
      <c r="N1107" s="17">
        <v>0.0</v>
      </c>
      <c r="O1107" s="18">
        <v>75.0</v>
      </c>
      <c r="P1107" s="18">
        <v>0.0</v>
      </c>
      <c r="Q1107" s="119">
        <v>0.0011</v>
      </c>
      <c r="R1107" s="19">
        <v>0.0</v>
      </c>
      <c r="S1107" s="39">
        <v>1.0</v>
      </c>
      <c r="T1107" s="39">
        <v>7.0</v>
      </c>
      <c r="U1107" s="39">
        <v>849.0</v>
      </c>
      <c r="V1107" s="41" t="s">
        <v>315</v>
      </c>
      <c r="W1107" s="37" t="s">
        <v>3257</v>
      </c>
      <c r="X1107" s="73" t="s">
        <v>41</v>
      </c>
      <c r="Y1107" s="122">
        <v>46130.0</v>
      </c>
      <c r="Z1107" s="39" t="s">
        <v>3544</v>
      </c>
      <c r="AA1107" s="37">
        <v>98.0</v>
      </c>
      <c r="AB1107" s="37"/>
      <c r="AC1107" s="37">
        <v>98.0</v>
      </c>
      <c r="AD1107" s="33">
        <v>310477.0</v>
      </c>
      <c r="AE1107" s="37"/>
      <c r="AF1107" s="33">
        <v>310477.0</v>
      </c>
      <c r="AG1107" s="43"/>
      <c r="AH1107" s="43"/>
      <c r="AI1107" s="43"/>
      <c r="AJ1107" s="43"/>
      <c r="AK1107" s="43"/>
      <c r="AL1107" s="43"/>
      <c r="AM1107" s="43"/>
      <c r="AN1107" s="43"/>
      <c r="AO1107" s="43"/>
      <c r="AP1107" s="43"/>
    </row>
    <row r="1108" hidden="1">
      <c r="A1108" s="26">
        <v>46130.0</v>
      </c>
      <c r="B1108" s="123">
        <v>0.8333333333333334</v>
      </c>
      <c r="C1108" s="28" t="s">
        <v>58</v>
      </c>
      <c r="D1108" s="112" t="s">
        <v>3083</v>
      </c>
      <c r="E1108" s="30" t="s">
        <v>71</v>
      </c>
      <c r="F1108" s="30" t="s">
        <v>3259</v>
      </c>
      <c r="G1108" s="30" t="s">
        <v>3545</v>
      </c>
      <c r="H1108" s="112" t="s">
        <v>3458</v>
      </c>
      <c r="I1108" s="72" t="s">
        <v>61</v>
      </c>
      <c r="J1108" s="33">
        <v>89666.0</v>
      </c>
      <c r="K1108" s="33">
        <v>49638.0</v>
      </c>
      <c r="L1108" s="15">
        <v>0.5536</v>
      </c>
      <c r="M1108" s="35">
        <v>0.0</v>
      </c>
      <c r="N1108" s="17">
        <v>0.0</v>
      </c>
      <c r="O1108" s="18">
        <v>48.0</v>
      </c>
      <c r="P1108" s="18">
        <v>0.0</v>
      </c>
      <c r="Q1108" s="119">
        <v>0.001</v>
      </c>
      <c r="R1108" s="19">
        <v>0.0</v>
      </c>
      <c r="S1108" s="39">
        <v>1.0</v>
      </c>
      <c r="T1108" s="39">
        <v>1.0</v>
      </c>
      <c r="U1108" s="39">
        <v>2913.0</v>
      </c>
      <c r="V1108" s="41" t="s">
        <v>315</v>
      </c>
      <c r="W1108" s="37" t="s">
        <v>3257</v>
      </c>
      <c r="X1108" s="73" t="s">
        <v>69</v>
      </c>
      <c r="Y1108" s="122">
        <v>46130.0</v>
      </c>
      <c r="Z1108" s="39" t="s">
        <v>3546</v>
      </c>
      <c r="AA1108" s="37">
        <v>40.0</v>
      </c>
      <c r="AB1108" s="37"/>
      <c r="AC1108" s="37">
        <v>40.0</v>
      </c>
      <c r="AD1108" s="33">
        <v>154919.0</v>
      </c>
      <c r="AE1108" s="37"/>
      <c r="AF1108" s="33">
        <v>154919.0</v>
      </c>
      <c r="AG1108" s="43"/>
      <c r="AH1108" s="43"/>
      <c r="AI1108" s="43"/>
      <c r="AJ1108" s="43"/>
      <c r="AK1108" s="43"/>
      <c r="AL1108" s="43"/>
      <c r="AM1108" s="43"/>
      <c r="AN1108" s="43"/>
      <c r="AO1108" s="43"/>
      <c r="AP1108" s="43"/>
    </row>
    <row r="1109" hidden="1">
      <c r="A1109" s="26">
        <v>46130.0</v>
      </c>
      <c r="B1109" s="123">
        <v>0.8333333333333334</v>
      </c>
      <c r="C1109" s="28" t="s">
        <v>58</v>
      </c>
      <c r="D1109" s="112" t="s">
        <v>3083</v>
      </c>
      <c r="E1109" s="30" t="s">
        <v>71</v>
      </c>
      <c r="F1109" s="30" t="s">
        <v>3259</v>
      </c>
      <c r="G1109" s="30" t="s">
        <v>3547</v>
      </c>
      <c r="H1109" s="112" t="s">
        <v>3462</v>
      </c>
      <c r="I1109" s="72" t="s">
        <v>61</v>
      </c>
      <c r="J1109" s="33">
        <v>90198.0</v>
      </c>
      <c r="K1109" s="33">
        <v>51771.0</v>
      </c>
      <c r="L1109" s="15">
        <v>0.574</v>
      </c>
      <c r="M1109" s="35">
        <v>0.0</v>
      </c>
      <c r="N1109" s="17">
        <v>0.0</v>
      </c>
      <c r="O1109" s="18">
        <v>53.0</v>
      </c>
      <c r="P1109" s="18">
        <v>0.0</v>
      </c>
      <c r="Q1109" s="119">
        <v>0.001</v>
      </c>
      <c r="R1109" s="19">
        <v>0.0</v>
      </c>
      <c r="S1109" s="39">
        <v>1.0</v>
      </c>
      <c r="T1109" s="39">
        <v>3.0</v>
      </c>
      <c r="U1109" s="39">
        <v>4210.0</v>
      </c>
      <c r="V1109" s="41" t="s">
        <v>315</v>
      </c>
      <c r="W1109" s="37" t="s">
        <v>3257</v>
      </c>
      <c r="X1109" s="73" t="s">
        <v>69</v>
      </c>
      <c r="Y1109" s="122">
        <v>46130.0</v>
      </c>
      <c r="Z1109" s="39" t="s">
        <v>3548</v>
      </c>
      <c r="AA1109" s="37">
        <v>47.0</v>
      </c>
      <c r="AB1109" s="37"/>
      <c r="AC1109" s="37">
        <v>47.0</v>
      </c>
      <c r="AD1109" s="33">
        <v>143591.0</v>
      </c>
      <c r="AE1109" s="37"/>
      <c r="AF1109" s="33">
        <v>143591.0</v>
      </c>
      <c r="AG1109" s="43"/>
      <c r="AH1109" s="43"/>
      <c r="AI1109" s="43"/>
      <c r="AJ1109" s="43"/>
      <c r="AK1109" s="43"/>
      <c r="AL1109" s="43"/>
      <c r="AM1109" s="43"/>
      <c r="AN1109" s="43"/>
      <c r="AO1109" s="43"/>
      <c r="AP1109" s="43"/>
    </row>
    <row r="1110" hidden="1">
      <c r="A1110" s="26">
        <v>46131.0</v>
      </c>
      <c r="B1110" s="123">
        <v>0.75</v>
      </c>
      <c r="C1110" s="28" t="s">
        <v>32</v>
      </c>
      <c r="D1110" s="28" t="s">
        <v>3243</v>
      </c>
      <c r="E1110" s="30" t="s">
        <v>71</v>
      </c>
      <c r="F1110" s="30" t="s">
        <v>3259</v>
      </c>
      <c r="G1110" s="30" t="s">
        <v>3549</v>
      </c>
      <c r="H1110" s="112" t="s">
        <v>3261</v>
      </c>
      <c r="I1110" s="72" t="s">
        <v>3262</v>
      </c>
      <c r="J1110" s="33">
        <v>26014.0</v>
      </c>
      <c r="K1110" s="33">
        <v>9865.0</v>
      </c>
      <c r="L1110" s="34">
        <v>0.3792</v>
      </c>
      <c r="M1110" s="35">
        <v>3529.0</v>
      </c>
      <c r="N1110" s="17">
        <v>0.3578</v>
      </c>
      <c r="O1110" s="18">
        <v>520.0</v>
      </c>
      <c r="P1110" s="18">
        <v>476.0</v>
      </c>
      <c r="Q1110" s="119">
        <v>0.0483</v>
      </c>
      <c r="R1110" s="19">
        <v>0.1349</v>
      </c>
      <c r="S1110" s="39">
        <v>8.0</v>
      </c>
      <c r="T1110" s="39">
        <v>20.0</v>
      </c>
      <c r="U1110" s="39">
        <v>12357.0</v>
      </c>
      <c r="V1110" s="41" t="s">
        <v>335</v>
      </c>
      <c r="W1110" s="37" t="s">
        <v>76</v>
      </c>
      <c r="X1110" s="73" t="s">
        <v>2286</v>
      </c>
      <c r="Y1110" s="21" t="s">
        <v>3550</v>
      </c>
      <c r="Z1110" s="39" t="s">
        <v>3551</v>
      </c>
      <c r="AA1110" s="37">
        <v>104.0</v>
      </c>
      <c r="AB1110" s="37">
        <v>104.0</v>
      </c>
      <c r="AC1110" s="37"/>
      <c r="AD1110" s="33">
        <v>211556.0</v>
      </c>
      <c r="AE1110" s="33">
        <v>211556.0</v>
      </c>
      <c r="AF1110" s="33"/>
      <c r="AG1110" s="43"/>
      <c r="AH1110" s="43"/>
      <c r="AI1110" s="43"/>
      <c r="AJ1110" s="43"/>
      <c r="AK1110" s="43"/>
      <c r="AL1110" s="43"/>
      <c r="AM1110" s="43"/>
      <c r="AN1110" s="43"/>
      <c r="AO1110" s="43"/>
      <c r="AP1110" s="43"/>
    </row>
    <row r="1111" hidden="1">
      <c r="A1111" s="26">
        <v>46131.0</v>
      </c>
      <c r="B1111" s="123">
        <v>0.75</v>
      </c>
      <c r="C1111" s="28" t="s">
        <v>32</v>
      </c>
      <c r="D1111" s="28" t="s">
        <v>3243</v>
      </c>
      <c r="E1111" s="30" t="s">
        <v>71</v>
      </c>
      <c r="F1111" s="30" t="s">
        <v>3259</v>
      </c>
      <c r="G1111" s="30" t="s">
        <v>3552</v>
      </c>
      <c r="H1111" s="112" t="s">
        <v>3266</v>
      </c>
      <c r="I1111" s="72" t="s">
        <v>3267</v>
      </c>
      <c r="J1111" s="33">
        <v>108275.0</v>
      </c>
      <c r="K1111" s="33">
        <v>40587.0</v>
      </c>
      <c r="L1111" s="34">
        <v>0.3747</v>
      </c>
      <c r="M1111" s="35">
        <v>12281.0</v>
      </c>
      <c r="N1111" s="17">
        <v>0.3027</v>
      </c>
      <c r="O1111" s="18">
        <v>1542.0</v>
      </c>
      <c r="P1111" s="18">
        <v>1445.0</v>
      </c>
      <c r="Q1111" s="119">
        <v>0.0356</v>
      </c>
      <c r="R1111" s="19">
        <v>0.1177</v>
      </c>
      <c r="S1111" s="39">
        <v>10.0</v>
      </c>
      <c r="T1111" s="39">
        <v>28.0</v>
      </c>
      <c r="U1111" s="39">
        <v>25036.0</v>
      </c>
      <c r="V1111" s="41" t="s">
        <v>335</v>
      </c>
      <c r="W1111" s="37" t="s">
        <v>76</v>
      </c>
      <c r="X1111" s="73" t="s">
        <v>41</v>
      </c>
      <c r="Y1111" s="21" t="s">
        <v>3550</v>
      </c>
      <c r="Z1111" s="39" t="s">
        <v>3553</v>
      </c>
      <c r="AA1111" s="37">
        <v>170.0</v>
      </c>
      <c r="AB1111" s="37">
        <v>170.0</v>
      </c>
      <c r="AC1111" s="37"/>
      <c r="AD1111" s="33">
        <v>477136.0</v>
      </c>
      <c r="AE1111" s="33">
        <v>477136.0</v>
      </c>
      <c r="AF1111" s="33"/>
      <c r="AG1111" s="43"/>
      <c r="AH1111" s="43"/>
      <c r="AI1111" s="43"/>
      <c r="AJ1111" s="43"/>
      <c r="AK1111" s="43"/>
      <c r="AL1111" s="43"/>
      <c r="AM1111" s="43"/>
      <c r="AN1111" s="43"/>
      <c r="AO1111" s="43"/>
      <c r="AP1111" s="43"/>
    </row>
    <row r="1112" hidden="1">
      <c r="A1112" s="26">
        <v>46131.0</v>
      </c>
      <c r="B1112" s="123">
        <v>0.75</v>
      </c>
      <c r="C1112" s="28" t="s">
        <v>32</v>
      </c>
      <c r="D1112" s="28" t="s">
        <v>3243</v>
      </c>
      <c r="E1112" s="30" t="s">
        <v>71</v>
      </c>
      <c r="F1112" s="30" t="s">
        <v>3259</v>
      </c>
      <c r="G1112" s="30" t="s">
        <v>3554</v>
      </c>
      <c r="H1112" s="112" t="s">
        <v>3453</v>
      </c>
      <c r="I1112" s="72" t="s">
        <v>3454</v>
      </c>
      <c r="J1112" s="33">
        <v>201972.0</v>
      </c>
      <c r="K1112" s="33">
        <v>71456.0</v>
      </c>
      <c r="L1112" s="34">
        <v>0.3537</v>
      </c>
      <c r="M1112" s="35">
        <v>19142.0</v>
      </c>
      <c r="N1112" s="17">
        <v>0.268</v>
      </c>
      <c r="O1112" s="18">
        <v>1842.0</v>
      </c>
      <c r="P1112" s="18">
        <v>1753.0</v>
      </c>
      <c r="Q1112" s="119">
        <v>0.0245</v>
      </c>
      <c r="R1112" s="19">
        <v>0.0916</v>
      </c>
      <c r="S1112" s="39">
        <v>5.0</v>
      </c>
      <c r="T1112" s="39">
        <v>13.0</v>
      </c>
      <c r="U1112" s="39">
        <v>17035.0</v>
      </c>
      <c r="V1112" s="41" t="s">
        <v>335</v>
      </c>
      <c r="W1112" s="37" t="s">
        <v>76</v>
      </c>
      <c r="X1112" s="73" t="s">
        <v>69</v>
      </c>
      <c r="Y1112" s="21" t="s">
        <v>3550</v>
      </c>
      <c r="Z1112" s="39" t="s">
        <v>3555</v>
      </c>
      <c r="AA1112" s="37">
        <v>103.0</v>
      </c>
      <c r="AB1112" s="37">
        <v>103.0</v>
      </c>
      <c r="AC1112" s="37"/>
      <c r="AD1112" s="33">
        <v>261463.0</v>
      </c>
      <c r="AE1112" s="33">
        <v>261463.0</v>
      </c>
      <c r="AF1112" s="33"/>
      <c r="AG1112" s="43"/>
      <c r="AH1112" s="43"/>
      <c r="AI1112" s="43"/>
      <c r="AJ1112" s="43"/>
      <c r="AK1112" s="43"/>
      <c r="AL1112" s="43"/>
      <c r="AM1112" s="43"/>
      <c r="AN1112" s="43"/>
      <c r="AO1112" s="43"/>
      <c r="AP1112" s="43"/>
    </row>
    <row r="1113" hidden="1">
      <c r="A1113" s="26">
        <v>46131.0</v>
      </c>
      <c r="B1113" s="123">
        <v>0.8125</v>
      </c>
      <c r="C1113" s="28" t="s">
        <v>58</v>
      </c>
      <c r="D1113" s="112" t="s">
        <v>3083</v>
      </c>
      <c r="E1113" s="30" t="s">
        <v>71</v>
      </c>
      <c r="F1113" s="30" t="s">
        <v>3259</v>
      </c>
      <c r="G1113" s="30" t="s">
        <v>3556</v>
      </c>
      <c r="H1113" s="112" t="s">
        <v>3261</v>
      </c>
      <c r="I1113" s="72" t="s">
        <v>61</v>
      </c>
      <c r="J1113" s="33">
        <v>15845.0</v>
      </c>
      <c r="K1113" s="33">
        <v>8609.0</v>
      </c>
      <c r="L1113" s="15">
        <v>0.5433</v>
      </c>
      <c r="M1113" s="35">
        <v>0.0</v>
      </c>
      <c r="N1113" s="17">
        <v>0.0</v>
      </c>
      <c r="O1113" s="18">
        <v>34.0</v>
      </c>
      <c r="P1113" s="18">
        <v>0.0</v>
      </c>
      <c r="Q1113" s="119">
        <v>0.0039</v>
      </c>
      <c r="R1113" s="19">
        <v>0.0</v>
      </c>
      <c r="S1113" s="39">
        <v>1.0</v>
      </c>
      <c r="T1113" s="39">
        <v>9.0</v>
      </c>
      <c r="U1113" s="39">
        <v>2520.0</v>
      </c>
      <c r="V1113" s="41" t="s">
        <v>335</v>
      </c>
      <c r="W1113" s="37" t="s">
        <v>3257</v>
      </c>
      <c r="X1113" s="73" t="s">
        <v>2286</v>
      </c>
      <c r="Y1113" s="122">
        <v>46131.0</v>
      </c>
      <c r="Z1113" s="39" t="s">
        <v>3557</v>
      </c>
      <c r="AA1113" s="37">
        <v>36.0</v>
      </c>
      <c r="AB1113" s="37">
        <v>36.0</v>
      </c>
      <c r="AC1113" s="37"/>
      <c r="AD1113" s="33">
        <v>70145.0</v>
      </c>
      <c r="AE1113" s="33">
        <v>70145.0</v>
      </c>
      <c r="AF1113" s="33"/>
      <c r="AG1113" s="43"/>
      <c r="AH1113" s="43"/>
      <c r="AI1113" s="43"/>
      <c r="AJ1113" s="43"/>
      <c r="AK1113" s="43"/>
      <c r="AL1113" s="43"/>
      <c r="AM1113" s="43"/>
      <c r="AN1113" s="43"/>
      <c r="AO1113" s="43"/>
      <c r="AP1113" s="43"/>
    </row>
    <row r="1114" hidden="1">
      <c r="A1114" s="26">
        <v>46131.0</v>
      </c>
      <c r="B1114" s="123">
        <v>0.8125</v>
      </c>
      <c r="C1114" s="28" t="s">
        <v>58</v>
      </c>
      <c r="D1114" s="112" t="s">
        <v>3083</v>
      </c>
      <c r="E1114" s="30" t="s">
        <v>71</v>
      </c>
      <c r="F1114" s="30" t="s">
        <v>3259</v>
      </c>
      <c r="G1114" s="30" t="s">
        <v>3558</v>
      </c>
      <c r="H1114" s="112" t="s">
        <v>3266</v>
      </c>
      <c r="I1114" s="72" t="s">
        <v>61</v>
      </c>
      <c r="J1114" s="33">
        <v>65542.0</v>
      </c>
      <c r="K1114" s="33">
        <v>37474.0</v>
      </c>
      <c r="L1114" s="15">
        <v>0.5718</v>
      </c>
      <c r="M1114" s="35">
        <v>0.0</v>
      </c>
      <c r="N1114" s="17">
        <v>0.0</v>
      </c>
      <c r="O1114" s="18">
        <v>58.0</v>
      </c>
      <c r="P1114" s="18">
        <v>0.0</v>
      </c>
      <c r="Q1114" s="119">
        <v>0.0015</v>
      </c>
      <c r="R1114" s="19">
        <v>0.0</v>
      </c>
      <c r="S1114" s="39">
        <v>2.0</v>
      </c>
      <c r="T1114" s="39">
        <v>10.0</v>
      </c>
      <c r="U1114" s="39">
        <v>7069.0</v>
      </c>
      <c r="V1114" s="41" t="s">
        <v>335</v>
      </c>
      <c r="W1114" s="37" t="s">
        <v>3257</v>
      </c>
      <c r="X1114" s="73" t="s">
        <v>41</v>
      </c>
      <c r="Y1114" s="122">
        <v>46131.0</v>
      </c>
      <c r="Z1114" s="39" t="s">
        <v>3559</v>
      </c>
      <c r="AA1114" s="37">
        <v>72.0</v>
      </c>
      <c r="AB1114" s="37">
        <v>72.0</v>
      </c>
      <c r="AC1114" s="37"/>
      <c r="AD1114" s="33">
        <v>239045.0</v>
      </c>
      <c r="AE1114" s="33">
        <v>239045.0</v>
      </c>
      <c r="AF1114" s="33"/>
      <c r="AG1114" s="43"/>
      <c r="AH1114" s="43"/>
      <c r="AI1114" s="43"/>
      <c r="AJ1114" s="43"/>
      <c r="AK1114" s="43"/>
      <c r="AL1114" s="43"/>
      <c r="AM1114" s="43"/>
      <c r="AN1114" s="43"/>
      <c r="AO1114" s="43"/>
      <c r="AP1114" s="43"/>
    </row>
    <row r="1115" hidden="1">
      <c r="A1115" s="26">
        <v>46131.0</v>
      </c>
      <c r="B1115" s="123">
        <v>0.8125</v>
      </c>
      <c r="C1115" s="28" t="s">
        <v>58</v>
      </c>
      <c r="D1115" s="112" t="s">
        <v>3083</v>
      </c>
      <c r="E1115" s="30" t="s">
        <v>71</v>
      </c>
      <c r="F1115" s="30" t="s">
        <v>3259</v>
      </c>
      <c r="G1115" s="30" t="s">
        <v>3560</v>
      </c>
      <c r="H1115" s="112" t="s">
        <v>3453</v>
      </c>
      <c r="I1115" s="72" t="s">
        <v>61</v>
      </c>
      <c r="J1115" s="33">
        <v>124067.0</v>
      </c>
      <c r="K1115" s="33">
        <v>73338.0</v>
      </c>
      <c r="L1115" s="15">
        <v>0.5911</v>
      </c>
      <c r="M1115" s="35">
        <v>0.0</v>
      </c>
      <c r="N1115" s="17">
        <v>0.0</v>
      </c>
      <c r="O1115" s="18">
        <v>92.0</v>
      </c>
      <c r="P1115" s="18">
        <v>0.0</v>
      </c>
      <c r="Q1115" s="119">
        <v>0.0013</v>
      </c>
      <c r="R1115" s="19">
        <v>0.0</v>
      </c>
      <c r="S1115" s="39">
        <v>3.0</v>
      </c>
      <c r="T1115" s="39">
        <v>3.0</v>
      </c>
      <c r="U1115" s="39">
        <v>14631.0</v>
      </c>
      <c r="V1115" s="41" t="s">
        <v>335</v>
      </c>
      <c r="W1115" s="37" t="s">
        <v>3257</v>
      </c>
      <c r="X1115" s="73" t="s">
        <v>69</v>
      </c>
      <c r="Y1115" s="122">
        <v>46131.0</v>
      </c>
      <c r="Z1115" s="39" t="s">
        <v>3561</v>
      </c>
      <c r="AA1115" s="37">
        <v>35.0</v>
      </c>
      <c r="AB1115" s="37">
        <v>35.0</v>
      </c>
      <c r="AC1115" s="37"/>
      <c r="AD1115" s="33">
        <v>93127.0</v>
      </c>
      <c r="AE1115" s="33">
        <v>93127.0</v>
      </c>
      <c r="AF1115" s="33"/>
      <c r="AG1115" s="43"/>
      <c r="AH1115" s="43"/>
      <c r="AI1115" s="43"/>
      <c r="AJ1115" s="43"/>
      <c r="AK1115" s="43"/>
      <c r="AL1115" s="43"/>
      <c r="AM1115" s="43"/>
      <c r="AN1115" s="43"/>
      <c r="AO1115" s="43"/>
      <c r="AP1115" s="43"/>
    </row>
    <row r="1116" hidden="1">
      <c r="A1116" s="8">
        <v>46132.0</v>
      </c>
      <c r="B1116" s="9">
        <v>0.3958333333333333</v>
      </c>
      <c r="C1116" s="10" t="s">
        <v>32</v>
      </c>
      <c r="D1116" s="10" t="s">
        <v>3243</v>
      </c>
      <c r="E1116" s="12" t="s">
        <v>71</v>
      </c>
      <c r="F1116" s="12" t="s">
        <v>3259</v>
      </c>
      <c r="G1116" s="12" t="s">
        <v>3562</v>
      </c>
      <c r="H1116" s="68" t="s">
        <v>3563</v>
      </c>
      <c r="I1116" s="57" t="s">
        <v>3564</v>
      </c>
      <c r="J1116" s="14">
        <v>2146.0</v>
      </c>
      <c r="K1116" s="14">
        <v>1054.0</v>
      </c>
      <c r="L1116" s="15">
        <v>0.4911</v>
      </c>
      <c r="M1116" s="16">
        <v>311.0</v>
      </c>
      <c r="N1116" s="17">
        <v>0.2951</v>
      </c>
      <c r="O1116" s="18">
        <v>69.0</v>
      </c>
      <c r="P1116" s="18">
        <v>68.0</v>
      </c>
      <c r="Q1116" s="119">
        <v>0.06</v>
      </c>
      <c r="R1116" s="119">
        <v>0.22</v>
      </c>
      <c r="S1116" s="20">
        <v>30.0</v>
      </c>
      <c r="T1116" s="20">
        <v>9.0</v>
      </c>
      <c r="U1116" s="85">
        <v>21815.0</v>
      </c>
      <c r="V1116" s="21" t="s">
        <v>183</v>
      </c>
      <c r="W1116" s="18" t="s">
        <v>76</v>
      </c>
      <c r="X1116" s="124" t="s">
        <v>3565</v>
      </c>
      <c r="Y1116" s="41" t="s">
        <v>3566</v>
      </c>
      <c r="Z1116" s="20" t="s">
        <v>3567</v>
      </c>
      <c r="AA1116" s="18">
        <v>20.0</v>
      </c>
      <c r="AB1116" s="18">
        <v>18.0</v>
      </c>
      <c r="AC1116" s="18">
        <v>2.0</v>
      </c>
      <c r="AD1116" s="14">
        <v>42362.0</v>
      </c>
      <c r="AE1116" s="14">
        <v>33768.0</v>
      </c>
      <c r="AF1116" s="14">
        <v>8594.0</v>
      </c>
      <c r="AG1116" s="22"/>
      <c r="AH1116" s="22"/>
      <c r="AI1116" s="22"/>
      <c r="AJ1116" s="22"/>
      <c r="AK1116" s="22"/>
      <c r="AL1116" s="22"/>
      <c r="AM1116" s="22"/>
      <c r="AN1116" s="22"/>
      <c r="AO1116" s="22"/>
      <c r="AP1116" s="22"/>
    </row>
    <row r="1117" hidden="1">
      <c r="A1117" s="69">
        <v>46132.0</v>
      </c>
      <c r="B1117" s="125">
        <v>0.4583333333333333</v>
      </c>
      <c r="C1117" s="126" t="s">
        <v>58</v>
      </c>
      <c r="D1117" s="102" t="s">
        <v>3083</v>
      </c>
      <c r="E1117" s="102" t="s">
        <v>71</v>
      </c>
      <c r="F1117" s="12" t="s">
        <v>3259</v>
      </c>
      <c r="G1117" s="126" t="s">
        <v>3568</v>
      </c>
      <c r="H1117" s="126" t="s">
        <v>3563</v>
      </c>
      <c r="I1117" s="102" t="s">
        <v>61</v>
      </c>
      <c r="J1117" s="85">
        <v>1015.0</v>
      </c>
      <c r="K1117" s="85">
        <v>565.0</v>
      </c>
      <c r="L1117" s="19">
        <v>0.5567</v>
      </c>
      <c r="M1117" s="127">
        <v>0.0</v>
      </c>
      <c r="N1117" s="128">
        <v>0.0</v>
      </c>
      <c r="O1117" s="20">
        <v>8.0</v>
      </c>
      <c r="P1117" s="21">
        <v>0.0</v>
      </c>
      <c r="Q1117" s="19">
        <v>0.0142</v>
      </c>
      <c r="R1117" s="129">
        <v>0.0</v>
      </c>
      <c r="S1117" s="20">
        <v>0.0</v>
      </c>
      <c r="T1117" s="20">
        <v>7.0</v>
      </c>
      <c r="U1117" s="20">
        <v>0.0</v>
      </c>
      <c r="V1117" s="21" t="s">
        <v>183</v>
      </c>
      <c r="W1117" s="21" t="s">
        <v>3257</v>
      </c>
      <c r="X1117" s="21" t="s">
        <v>3565</v>
      </c>
      <c r="Y1117" s="130">
        <v>46132.0</v>
      </c>
      <c r="Z1117" s="20" t="s">
        <v>3569</v>
      </c>
      <c r="AA1117" s="18">
        <v>3.0</v>
      </c>
      <c r="AB1117" s="18">
        <v>3.0</v>
      </c>
      <c r="AC1117" s="18">
        <v>0.0</v>
      </c>
      <c r="AD1117" s="18">
        <v>7350.0</v>
      </c>
      <c r="AE1117" s="18">
        <v>7350.0</v>
      </c>
      <c r="AF1117" s="18">
        <v>0.0</v>
      </c>
      <c r="AG1117" s="22"/>
      <c r="AH1117" s="22"/>
      <c r="AI1117" s="22"/>
      <c r="AJ1117" s="22"/>
      <c r="AK1117" s="22"/>
      <c r="AL1117" s="22"/>
      <c r="AM1117" s="22"/>
      <c r="AN1117" s="22"/>
      <c r="AO1117" s="22"/>
      <c r="AP1117" s="22"/>
    </row>
    <row r="1118" hidden="1">
      <c r="A1118" s="69">
        <v>46135.0</v>
      </c>
      <c r="B1118" s="125">
        <v>0.7708333333333334</v>
      </c>
      <c r="C1118" s="126" t="s">
        <v>32</v>
      </c>
      <c r="D1118" s="102" t="s">
        <v>3243</v>
      </c>
      <c r="E1118" s="102" t="s">
        <v>71</v>
      </c>
      <c r="F1118" s="102" t="s">
        <v>1101</v>
      </c>
      <c r="G1118" s="126" t="s">
        <v>3570</v>
      </c>
      <c r="H1118" s="126" t="s">
        <v>3571</v>
      </c>
      <c r="I1118" s="102" t="s">
        <v>3572</v>
      </c>
      <c r="J1118" s="85">
        <v>128346.0</v>
      </c>
      <c r="K1118" s="85">
        <v>58362.0</v>
      </c>
      <c r="L1118" s="19">
        <v>0.4548</v>
      </c>
      <c r="M1118" s="127">
        <v>22249.0</v>
      </c>
      <c r="N1118" s="128">
        <v>0.3813</v>
      </c>
      <c r="O1118" s="20">
        <v>3120.0</v>
      </c>
      <c r="P1118" s="21">
        <v>2765.0</v>
      </c>
      <c r="Q1118" s="19">
        <v>0.0474</v>
      </c>
      <c r="R1118" s="129">
        <v>0.1243</v>
      </c>
      <c r="S1118" s="20">
        <v>82.0</v>
      </c>
      <c r="T1118" s="20">
        <v>226.0</v>
      </c>
      <c r="U1118" s="20">
        <v>172803.0</v>
      </c>
      <c r="V1118" s="21" t="s">
        <v>335</v>
      </c>
      <c r="W1118" s="21" t="s">
        <v>76</v>
      </c>
      <c r="X1118" s="21" t="s">
        <v>111</v>
      </c>
      <c r="Y1118" s="21" t="s">
        <v>3573</v>
      </c>
      <c r="Z1118" s="20" t="s">
        <v>3574</v>
      </c>
      <c r="AA1118" s="18">
        <v>435.0</v>
      </c>
      <c r="AB1118" s="18">
        <v>435.0</v>
      </c>
      <c r="AC1118" s="52"/>
      <c r="AD1118" s="14">
        <v>898825.0</v>
      </c>
      <c r="AE1118" s="14">
        <v>898825.0</v>
      </c>
      <c r="AF1118" s="52"/>
      <c r="AG1118" s="22"/>
      <c r="AH1118" s="22"/>
      <c r="AI1118" s="22"/>
      <c r="AJ1118" s="22"/>
      <c r="AK1118" s="22"/>
      <c r="AL1118" s="22"/>
      <c r="AM1118" s="22"/>
      <c r="AN1118" s="22"/>
      <c r="AO1118" s="22"/>
      <c r="AP1118" s="22"/>
    </row>
    <row r="1119" hidden="1">
      <c r="A1119" s="69">
        <v>46135.0</v>
      </c>
      <c r="B1119" s="125">
        <v>0.8125</v>
      </c>
      <c r="C1119" s="126" t="s">
        <v>58</v>
      </c>
      <c r="D1119" s="102" t="s">
        <v>3083</v>
      </c>
      <c r="E1119" s="102" t="s">
        <v>71</v>
      </c>
      <c r="F1119" s="102" t="s">
        <v>1101</v>
      </c>
      <c r="G1119" s="126" t="s">
        <v>3575</v>
      </c>
      <c r="H1119" s="126" t="s">
        <v>3571</v>
      </c>
      <c r="I1119" s="102" t="s">
        <v>61</v>
      </c>
      <c r="J1119" s="85">
        <v>67190.0</v>
      </c>
      <c r="K1119" s="85">
        <v>37898.0</v>
      </c>
      <c r="L1119" s="19">
        <v>0.564</v>
      </c>
      <c r="M1119" s="127">
        <v>0.0</v>
      </c>
      <c r="N1119" s="128">
        <v>0.0</v>
      </c>
      <c r="O1119" s="20">
        <v>71.0</v>
      </c>
      <c r="P1119" s="21">
        <v>0.0</v>
      </c>
      <c r="Q1119" s="19">
        <v>0.0019</v>
      </c>
      <c r="R1119" s="129">
        <v>0.0</v>
      </c>
      <c r="S1119" s="20">
        <v>14.0</v>
      </c>
      <c r="T1119" s="20">
        <v>50.0</v>
      </c>
      <c r="U1119" s="20">
        <v>37539.0</v>
      </c>
      <c r="V1119" s="21" t="s">
        <v>335</v>
      </c>
      <c r="W1119" s="21" t="s">
        <v>3257</v>
      </c>
      <c r="X1119" s="21" t="s">
        <v>111</v>
      </c>
      <c r="Y1119" s="130">
        <v>46135.0</v>
      </c>
      <c r="Z1119" s="20" t="s">
        <v>3576</v>
      </c>
      <c r="AA1119" s="18">
        <v>69.0</v>
      </c>
      <c r="AB1119" s="18">
        <v>69.0</v>
      </c>
      <c r="AC1119" s="52"/>
      <c r="AD1119" s="18">
        <v>148490.0</v>
      </c>
      <c r="AE1119" s="18">
        <v>148490.0</v>
      </c>
      <c r="AF1119" s="52"/>
      <c r="AG1119" s="22"/>
      <c r="AH1119" s="22"/>
      <c r="AI1119" s="22"/>
      <c r="AJ1119" s="22"/>
      <c r="AK1119" s="22"/>
      <c r="AL1119" s="22"/>
      <c r="AM1119" s="22"/>
      <c r="AN1119" s="22"/>
      <c r="AO1119" s="22"/>
      <c r="AP1119" s="22"/>
    </row>
    <row r="1120" hidden="1">
      <c r="A1120" s="69">
        <v>46136.0</v>
      </c>
      <c r="B1120" s="125">
        <v>0.5</v>
      </c>
      <c r="C1120" s="126" t="s">
        <v>32</v>
      </c>
      <c r="D1120" s="102" t="s">
        <v>3243</v>
      </c>
      <c r="E1120" s="102" t="s">
        <v>71</v>
      </c>
      <c r="F1120" s="102" t="s">
        <v>1101</v>
      </c>
      <c r="G1120" s="126" t="s">
        <v>3577</v>
      </c>
      <c r="H1120" s="126" t="s">
        <v>3578</v>
      </c>
      <c r="I1120" s="102" t="s">
        <v>3579</v>
      </c>
      <c r="J1120" s="85">
        <v>113992.0</v>
      </c>
      <c r="K1120" s="85">
        <v>62581.0</v>
      </c>
      <c r="L1120" s="19">
        <v>0.5489</v>
      </c>
      <c r="M1120" s="127">
        <v>24751.0</v>
      </c>
      <c r="N1120" s="128">
        <v>0.3956</v>
      </c>
      <c r="O1120" s="20">
        <v>2802.0</v>
      </c>
      <c r="P1120" s="21">
        <v>2567.0</v>
      </c>
      <c r="Q1120" s="19">
        <v>0.041</v>
      </c>
      <c r="R1120" s="129">
        <v>0.1037</v>
      </c>
      <c r="S1120" s="20">
        <v>16.0</v>
      </c>
      <c r="T1120" s="20">
        <v>46.0</v>
      </c>
      <c r="U1120" s="20">
        <v>48495.0</v>
      </c>
      <c r="V1120" s="21" t="s">
        <v>315</v>
      </c>
      <c r="W1120" s="21" t="s">
        <v>76</v>
      </c>
      <c r="X1120" s="21" t="s">
        <v>3580</v>
      </c>
      <c r="Y1120" s="21" t="s">
        <v>3581</v>
      </c>
      <c r="Z1120" s="20" t="s">
        <v>3582</v>
      </c>
      <c r="AA1120" s="18">
        <v>425.0</v>
      </c>
      <c r="AB1120" s="52"/>
      <c r="AC1120" s="18">
        <v>425.0</v>
      </c>
      <c r="AD1120" s="18">
        <v>1472072.0</v>
      </c>
      <c r="AE1120" s="52"/>
      <c r="AF1120" s="18">
        <v>1472072.0</v>
      </c>
      <c r="AG1120" s="22"/>
      <c r="AH1120" s="22"/>
      <c r="AI1120" s="22"/>
      <c r="AJ1120" s="22"/>
      <c r="AK1120" s="22"/>
      <c r="AL1120" s="22"/>
      <c r="AM1120" s="22"/>
      <c r="AN1120" s="22"/>
      <c r="AO1120" s="22"/>
      <c r="AP1120" s="22"/>
    </row>
    <row r="1121" hidden="1">
      <c r="A1121" s="69">
        <v>46136.0</v>
      </c>
      <c r="B1121" s="125">
        <v>0.5</v>
      </c>
      <c r="C1121" s="126" t="s">
        <v>32</v>
      </c>
      <c r="D1121" s="102" t="s">
        <v>3243</v>
      </c>
      <c r="E1121" s="102" t="s">
        <v>71</v>
      </c>
      <c r="F1121" s="102" t="s">
        <v>1101</v>
      </c>
      <c r="G1121" s="126" t="s">
        <v>3583</v>
      </c>
      <c r="H1121" s="126" t="s">
        <v>3584</v>
      </c>
      <c r="I1121" s="102" t="s">
        <v>3585</v>
      </c>
      <c r="J1121" s="85">
        <v>56763.0</v>
      </c>
      <c r="K1121" s="85">
        <v>30659.0</v>
      </c>
      <c r="L1121" s="19">
        <v>0.54</v>
      </c>
      <c r="M1121" s="127">
        <v>11971.0</v>
      </c>
      <c r="N1121" s="128">
        <v>0.3906</v>
      </c>
      <c r="O1121" s="20">
        <v>888.0</v>
      </c>
      <c r="P1121" s="21">
        <v>835.0</v>
      </c>
      <c r="Q1121" s="19">
        <v>0.0272</v>
      </c>
      <c r="R1121" s="129">
        <v>0.0698</v>
      </c>
      <c r="S1121" s="20">
        <v>5.0</v>
      </c>
      <c r="T1121" s="20">
        <v>23.0</v>
      </c>
      <c r="U1121" s="20">
        <v>7698.0</v>
      </c>
      <c r="V1121" s="21" t="s">
        <v>315</v>
      </c>
      <c r="W1121" s="21" t="s">
        <v>76</v>
      </c>
      <c r="X1121" s="21" t="s">
        <v>3586</v>
      </c>
      <c r="Y1121" s="21" t="s">
        <v>3581</v>
      </c>
      <c r="Z1121" s="20" t="s">
        <v>3587</v>
      </c>
      <c r="AA1121" s="18">
        <v>116.0</v>
      </c>
      <c r="AB1121" s="52"/>
      <c r="AC1121" s="18">
        <v>116.0</v>
      </c>
      <c r="AD1121" s="18">
        <v>251696.0</v>
      </c>
      <c r="AE1121" s="52"/>
      <c r="AF1121" s="18">
        <v>251696.0</v>
      </c>
      <c r="AG1121" s="22"/>
      <c r="AH1121" s="22"/>
      <c r="AI1121" s="22"/>
      <c r="AJ1121" s="22"/>
      <c r="AK1121" s="22"/>
      <c r="AL1121" s="22"/>
      <c r="AM1121" s="22"/>
      <c r="AN1121" s="22"/>
      <c r="AO1121" s="22"/>
      <c r="AP1121" s="22"/>
    </row>
    <row r="1122" hidden="1">
      <c r="A1122" s="69">
        <v>46136.0</v>
      </c>
      <c r="B1122" s="125">
        <v>0.5</v>
      </c>
      <c r="C1122" s="126" t="s">
        <v>32</v>
      </c>
      <c r="D1122" s="102" t="s">
        <v>3243</v>
      </c>
      <c r="E1122" s="102" t="s">
        <v>71</v>
      </c>
      <c r="F1122" s="102" t="s">
        <v>1101</v>
      </c>
      <c r="G1122" s="126" t="s">
        <v>3588</v>
      </c>
      <c r="H1122" s="126" t="s">
        <v>3589</v>
      </c>
      <c r="I1122" s="102" t="s">
        <v>3590</v>
      </c>
      <c r="J1122" s="85">
        <v>2267.0</v>
      </c>
      <c r="K1122" s="85">
        <v>1155.0</v>
      </c>
      <c r="L1122" s="19">
        <v>0.5095</v>
      </c>
      <c r="M1122" s="127">
        <v>449.0</v>
      </c>
      <c r="N1122" s="128">
        <v>0.3887</v>
      </c>
      <c r="O1122" s="20">
        <v>51.0</v>
      </c>
      <c r="P1122" s="21">
        <v>46.0</v>
      </c>
      <c r="Q1122" s="19">
        <v>0.0398</v>
      </c>
      <c r="R1122" s="129">
        <v>0.1024</v>
      </c>
      <c r="S1122" s="20">
        <v>1.0</v>
      </c>
      <c r="T1122" s="20">
        <v>0.0</v>
      </c>
      <c r="U1122" s="20">
        <v>5664.0</v>
      </c>
      <c r="V1122" s="21" t="s">
        <v>315</v>
      </c>
      <c r="W1122" s="21" t="s">
        <v>76</v>
      </c>
      <c r="X1122" s="21" t="s">
        <v>3580</v>
      </c>
      <c r="Y1122" s="21" t="s">
        <v>3581</v>
      </c>
      <c r="Z1122" s="20" t="s">
        <v>3591</v>
      </c>
      <c r="AA1122" s="18">
        <v>14.0</v>
      </c>
      <c r="AB1122" s="52"/>
      <c r="AC1122" s="18">
        <v>14.0</v>
      </c>
      <c r="AD1122" s="18">
        <v>56039.0</v>
      </c>
      <c r="AE1122" s="52"/>
      <c r="AF1122" s="18">
        <v>56039.0</v>
      </c>
      <c r="AG1122" s="22"/>
      <c r="AH1122" s="22"/>
      <c r="AI1122" s="22"/>
      <c r="AJ1122" s="22"/>
      <c r="AK1122" s="22"/>
      <c r="AL1122" s="22"/>
      <c r="AM1122" s="22"/>
      <c r="AN1122" s="22"/>
      <c r="AO1122" s="22"/>
      <c r="AP1122" s="22"/>
    </row>
    <row r="1123" hidden="1">
      <c r="A1123" s="69">
        <v>46136.0</v>
      </c>
      <c r="B1123" s="125">
        <v>0.5</v>
      </c>
      <c r="C1123" s="126" t="s">
        <v>32</v>
      </c>
      <c r="D1123" s="102" t="s">
        <v>3243</v>
      </c>
      <c r="E1123" s="102" t="s">
        <v>71</v>
      </c>
      <c r="F1123" s="102" t="s">
        <v>1101</v>
      </c>
      <c r="G1123" s="126" t="s">
        <v>3592</v>
      </c>
      <c r="H1123" s="126" t="s">
        <v>3593</v>
      </c>
      <c r="I1123" s="102" t="s">
        <v>3594</v>
      </c>
      <c r="J1123" s="85">
        <v>10058.0</v>
      </c>
      <c r="K1123" s="85">
        <v>5071.0</v>
      </c>
      <c r="L1123" s="19">
        <v>0.5041</v>
      </c>
      <c r="M1123" s="127">
        <v>1842.0</v>
      </c>
      <c r="N1123" s="128">
        <v>0.3633</v>
      </c>
      <c r="O1123" s="20">
        <v>164.0</v>
      </c>
      <c r="P1123" s="21">
        <v>151.0</v>
      </c>
      <c r="Q1123" s="19">
        <v>0.0298</v>
      </c>
      <c r="R1123" s="129">
        <v>0.082</v>
      </c>
      <c r="S1123" s="20">
        <v>2.0</v>
      </c>
      <c r="T1123" s="20">
        <v>4.0</v>
      </c>
      <c r="U1123" s="20">
        <v>3236.0</v>
      </c>
      <c r="V1123" s="21" t="s">
        <v>315</v>
      </c>
      <c r="W1123" s="21" t="s">
        <v>76</v>
      </c>
      <c r="X1123" s="21" t="s">
        <v>52</v>
      </c>
      <c r="Y1123" s="21" t="s">
        <v>3581</v>
      </c>
      <c r="Z1123" s="20" t="s">
        <v>3595</v>
      </c>
      <c r="AA1123" s="18">
        <v>38.0</v>
      </c>
      <c r="AB1123" s="52"/>
      <c r="AC1123" s="18">
        <v>38.0</v>
      </c>
      <c r="AD1123" s="18">
        <v>123134.0</v>
      </c>
      <c r="AE1123" s="52"/>
      <c r="AF1123" s="18">
        <v>123134.0</v>
      </c>
      <c r="AG1123" s="22"/>
      <c r="AH1123" s="22"/>
      <c r="AI1123" s="22"/>
      <c r="AJ1123" s="22"/>
      <c r="AK1123" s="22"/>
      <c r="AL1123" s="22"/>
      <c r="AM1123" s="22"/>
      <c r="AN1123" s="22"/>
      <c r="AO1123" s="22"/>
      <c r="AP1123" s="22"/>
    </row>
    <row r="1124" hidden="1">
      <c r="A1124" s="69">
        <v>46136.0</v>
      </c>
      <c r="B1124" s="125">
        <v>0.5416666666666666</v>
      </c>
      <c r="C1124" s="126" t="s">
        <v>58</v>
      </c>
      <c r="D1124" s="102" t="s">
        <v>3083</v>
      </c>
      <c r="E1124" s="102" t="s">
        <v>71</v>
      </c>
      <c r="F1124" s="102" t="s">
        <v>1101</v>
      </c>
      <c r="G1124" s="126" t="s">
        <v>3596</v>
      </c>
      <c r="H1124" s="126" t="s">
        <v>3578</v>
      </c>
      <c r="I1124" s="102" t="s">
        <v>61</v>
      </c>
      <c r="J1124" s="85">
        <v>49293.0</v>
      </c>
      <c r="K1124" s="85">
        <v>30019.0</v>
      </c>
      <c r="L1124" s="19">
        <v>0.609</v>
      </c>
      <c r="M1124" s="127">
        <v>0.0</v>
      </c>
      <c r="N1124" s="128">
        <v>0.0</v>
      </c>
      <c r="O1124" s="20">
        <v>25.0</v>
      </c>
      <c r="P1124" s="21">
        <v>0.0</v>
      </c>
      <c r="Q1124" s="19">
        <v>8.0E-4</v>
      </c>
      <c r="R1124" s="129">
        <v>0.0</v>
      </c>
      <c r="S1124" s="20">
        <v>0.0</v>
      </c>
      <c r="T1124" s="20">
        <v>6.0</v>
      </c>
      <c r="U1124" s="20">
        <v>0.0</v>
      </c>
      <c r="V1124" s="21" t="s">
        <v>315</v>
      </c>
      <c r="W1124" s="21" t="s">
        <v>3257</v>
      </c>
      <c r="X1124" s="21" t="s">
        <v>3580</v>
      </c>
      <c r="Y1124" s="130">
        <v>46136.0</v>
      </c>
      <c r="Z1124" s="20" t="s">
        <v>3597</v>
      </c>
      <c r="AA1124" s="18">
        <v>39.0</v>
      </c>
      <c r="AB1124" s="52"/>
      <c r="AC1124" s="18">
        <v>39.0</v>
      </c>
      <c r="AD1124" s="18">
        <v>172977.0</v>
      </c>
      <c r="AE1124" s="52"/>
      <c r="AF1124" s="18">
        <v>172977.0</v>
      </c>
      <c r="AG1124" s="22"/>
      <c r="AH1124" s="22"/>
      <c r="AI1124" s="22"/>
      <c r="AJ1124" s="22"/>
      <c r="AK1124" s="22"/>
      <c r="AL1124" s="22"/>
      <c r="AM1124" s="22"/>
      <c r="AN1124" s="22"/>
      <c r="AO1124" s="22"/>
      <c r="AP1124" s="22"/>
    </row>
    <row r="1125" hidden="1">
      <c r="A1125" s="69">
        <v>46136.0</v>
      </c>
      <c r="B1125" s="125">
        <v>0.5416666666666666</v>
      </c>
      <c r="C1125" s="126" t="s">
        <v>58</v>
      </c>
      <c r="D1125" s="102" t="s">
        <v>3083</v>
      </c>
      <c r="E1125" s="102" t="s">
        <v>71</v>
      </c>
      <c r="F1125" s="102" t="s">
        <v>1101</v>
      </c>
      <c r="G1125" s="126" t="s">
        <v>3598</v>
      </c>
      <c r="H1125" s="126" t="s">
        <v>3584</v>
      </c>
      <c r="I1125" s="102" t="s">
        <v>61</v>
      </c>
      <c r="J1125" s="85">
        <v>24557.0</v>
      </c>
      <c r="K1125" s="85">
        <v>14818.0</v>
      </c>
      <c r="L1125" s="19">
        <v>0.6034</v>
      </c>
      <c r="M1125" s="127">
        <v>0.0</v>
      </c>
      <c r="N1125" s="128">
        <v>0.0</v>
      </c>
      <c r="O1125" s="20">
        <v>10.0</v>
      </c>
      <c r="P1125" s="21">
        <v>0.0</v>
      </c>
      <c r="Q1125" s="19">
        <v>7.0E-4</v>
      </c>
      <c r="R1125" s="129">
        <v>0.0</v>
      </c>
      <c r="S1125" s="20">
        <v>0.0</v>
      </c>
      <c r="T1125" s="20">
        <v>1.0</v>
      </c>
      <c r="U1125" s="20">
        <v>0.0</v>
      </c>
      <c r="V1125" s="21" t="s">
        <v>315</v>
      </c>
      <c r="W1125" s="21" t="s">
        <v>3257</v>
      </c>
      <c r="X1125" s="21" t="s">
        <v>3586</v>
      </c>
      <c r="Y1125" s="130">
        <v>46136.0</v>
      </c>
      <c r="Z1125" s="20" t="s">
        <v>3599</v>
      </c>
      <c r="AA1125" s="18">
        <v>3.0</v>
      </c>
      <c r="AB1125" s="52"/>
      <c r="AC1125" s="18">
        <v>3.0</v>
      </c>
      <c r="AD1125" s="18">
        <v>3295.0</v>
      </c>
      <c r="AE1125" s="52"/>
      <c r="AF1125" s="18">
        <v>3295.0</v>
      </c>
      <c r="AG1125" s="22"/>
      <c r="AH1125" s="22"/>
      <c r="AI1125" s="22"/>
      <c r="AJ1125" s="22"/>
      <c r="AK1125" s="22"/>
      <c r="AL1125" s="22"/>
      <c r="AM1125" s="22"/>
      <c r="AN1125" s="22"/>
      <c r="AO1125" s="22"/>
      <c r="AP1125" s="22"/>
    </row>
    <row r="1126" hidden="1">
      <c r="A1126" s="69">
        <v>46136.0</v>
      </c>
      <c r="B1126" s="125">
        <v>0.5416666666666666</v>
      </c>
      <c r="C1126" s="126" t="s">
        <v>58</v>
      </c>
      <c r="D1126" s="102" t="s">
        <v>3083</v>
      </c>
      <c r="E1126" s="102" t="s">
        <v>71</v>
      </c>
      <c r="F1126" s="102" t="s">
        <v>1101</v>
      </c>
      <c r="G1126" s="126" t="s">
        <v>3600</v>
      </c>
      <c r="H1126" s="126" t="s">
        <v>3589</v>
      </c>
      <c r="I1126" s="102" t="s">
        <v>61</v>
      </c>
      <c r="J1126" s="85">
        <v>1068.0</v>
      </c>
      <c r="K1126" s="85">
        <v>589.0</v>
      </c>
      <c r="L1126" s="19">
        <v>0.5515</v>
      </c>
      <c r="M1126" s="127">
        <v>0.0</v>
      </c>
      <c r="N1126" s="128">
        <v>0.0</v>
      </c>
      <c r="O1126" s="20">
        <v>1.0</v>
      </c>
      <c r="P1126" s="21">
        <v>0.0</v>
      </c>
      <c r="Q1126" s="19">
        <v>0.0017</v>
      </c>
      <c r="R1126" s="129">
        <v>0.0</v>
      </c>
      <c r="S1126" s="20">
        <v>0.0</v>
      </c>
      <c r="T1126" s="20">
        <v>0.0</v>
      </c>
      <c r="U1126" s="20">
        <v>0.0</v>
      </c>
      <c r="V1126" s="21" t="s">
        <v>315</v>
      </c>
      <c r="W1126" s="21" t="s">
        <v>3257</v>
      </c>
      <c r="X1126" s="21" t="s">
        <v>3580</v>
      </c>
      <c r="Y1126" s="130">
        <v>46136.0</v>
      </c>
      <c r="Z1126" s="20" t="s">
        <v>3601</v>
      </c>
      <c r="AA1126" s="18">
        <v>1.0</v>
      </c>
      <c r="AB1126" s="52"/>
      <c r="AC1126" s="18">
        <v>1.0</v>
      </c>
      <c r="AD1126" s="18">
        <v>4318.0</v>
      </c>
      <c r="AE1126" s="52"/>
      <c r="AF1126" s="18">
        <v>4318.0</v>
      </c>
      <c r="AG1126" s="22"/>
      <c r="AH1126" s="22"/>
      <c r="AI1126" s="22"/>
      <c r="AJ1126" s="22"/>
      <c r="AK1126" s="22"/>
      <c r="AL1126" s="22"/>
      <c r="AM1126" s="22"/>
      <c r="AN1126" s="22"/>
      <c r="AO1126" s="22"/>
      <c r="AP1126" s="22"/>
    </row>
    <row r="1127" hidden="1">
      <c r="A1127" s="69">
        <v>46136.0</v>
      </c>
      <c r="B1127" s="125">
        <v>0.5416666666666666</v>
      </c>
      <c r="C1127" s="126" t="s">
        <v>58</v>
      </c>
      <c r="D1127" s="102" t="s">
        <v>3083</v>
      </c>
      <c r="E1127" s="102" t="s">
        <v>71</v>
      </c>
      <c r="F1127" s="102" t="s">
        <v>1101</v>
      </c>
      <c r="G1127" s="126" t="s">
        <v>3602</v>
      </c>
      <c r="H1127" s="126" t="s">
        <v>3593</v>
      </c>
      <c r="I1127" s="102" t="s">
        <v>61</v>
      </c>
      <c r="J1127" s="85">
        <v>4691.0</v>
      </c>
      <c r="K1127" s="85">
        <v>2647.0</v>
      </c>
      <c r="L1127" s="19">
        <v>0.5643</v>
      </c>
      <c r="M1127" s="127">
        <v>0.0</v>
      </c>
      <c r="N1127" s="128">
        <v>0.0</v>
      </c>
      <c r="O1127" s="20">
        <v>6.0</v>
      </c>
      <c r="P1127" s="21">
        <v>0.0</v>
      </c>
      <c r="Q1127" s="19">
        <v>0.0023</v>
      </c>
      <c r="R1127" s="129">
        <v>0.0</v>
      </c>
      <c r="S1127" s="20">
        <v>1.0</v>
      </c>
      <c r="T1127" s="20">
        <v>1.0</v>
      </c>
      <c r="U1127" s="20">
        <v>1618.0</v>
      </c>
      <c r="V1127" s="21" t="s">
        <v>315</v>
      </c>
      <c r="W1127" s="21" t="s">
        <v>3257</v>
      </c>
      <c r="X1127" s="21" t="s">
        <v>52</v>
      </c>
      <c r="Y1127" s="130">
        <v>46136.0</v>
      </c>
      <c r="Z1127" s="20" t="s">
        <v>3603</v>
      </c>
      <c r="AA1127" s="18">
        <v>6.0</v>
      </c>
      <c r="AB1127" s="52"/>
      <c r="AC1127" s="18">
        <v>6.0</v>
      </c>
      <c r="AD1127" s="18">
        <v>31293.0</v>
      </c>
      <c r="AE1127" s="52"/>
      <c r="AF1127" s="18">
        <v>31293.0</v>
      </c>
      <c r="AG1127" s="22"/>
      <c r="AH1127" s="22"/>
      <c r="AI1127" s="22"/>
      <c r="AJ1127" s="22"/>
      <c r="AK1127" s="22"/>
      <c r="AL1127" s="22"/>
      <c r="AM1127" s="22"/>
      <c r="AN1127" s="22"/>
      <c r="AO1127" s="22"/>
      <c r="AP1127" s="22"/>
    </row>
    <row r="1128" hidden="1">
      <c r="A1128" s="69">
        <v>46136.0</v>
      </c>
      <c r="B1128" s="125">
        <v>0.4166666666666667</v>
      </c>
      <c r="C1128" s="126" t="s">
        <v>32</v>
      </c>
      <c r="D1128" s="102" t="s">
        <v>33</v>
      </c>
      <c r="E1128" s="102" t="s">
        <v>2212</v>
      </c>
      <c r="F1128" s="102" t="s">
        <v>1101</v>
      </c>
      <c r="G1128" s="126" t="s">
        <v>3604</v>
      </c>
      <c r="H1128" s="126" t="s">
        <v>3605</v>
      </c>
      <c r="I1128" s="102" t="s">
        <v>3606</v>
      </c>
      <c r="J1128" s="85">
        <v>103917.0</v>
      </c>
      <c r="K1128" s="85">
        <v>51943.0</v>
      </c>
      <c r="L1128" s="19">
        <v>0.4998</v>
      </c>
      <c r="M1128" s="127">
        <v>22102.0</v>
      </c>
      <c r="N1128" s="128">
        <v>0.4255</v>
      </c>
      <c r="O1128" s="20">
        <v>789.0</v>
      </c>
      <c r="P1128" s="21">
        <v>756.0</v>
      </c>
      <c r="Q1128" s="19">
        <v>0.0146</v>
      </c>
      <c r="R1128" s="129">
        <v>0.0342</v>
      </c>
      <c r="S1128" s="20">
        <v>0.0</v>
      </c>
      <c r="T1128" s="20">
        <v>0.0</v>
      </c>
      <c r="U1128" s="20">
        <v>0.0</v>
      </c>
      <c r="V1128" s="21" t="s">
        <v>315</v>
      </c>
      <c r="W1128" s="21" t="s">
        <v>76</v>
      </c>
      <c r="X1128" s="21" t="s">
        <v>2217</v>
      </c>
      <c r="Y1128" s="21" t="s">
        <v>3607</v>
      </c>
      <c r="Z1128" s="20" t="s">
        <v>3608</v>
      </c>
      <c r="AA1128" s="18">
        <v>30.0</v>
      </c>
      <c r="AB1128" s="52"/>
      <c r="AC1128" s="18">
        <v>30.0</v>
      </c>
      <c r="AD1128" s="14">
        <v>139099.0</v>
      </c>
      <c r="AE1128" s="52"/>
      <c r="AF1128" s="14">
        <v>139099.0</v>
      </c>
      <c r="AG1128" s="22"/>
      <c r="AH1128" s="22"/>
      <c r="AI1128" s="22"/>
      <c r="AJ1128" s="22"/>
      <c r="AK1128" s="22"/>
      <c r="AL1128" s="22"/>
      <c r="AM1128" s="22"/>
      <c r="AN1128" s="22"/>
      <c r="AO1128" s="22"/>
      <c r="AP1128" s="22"/>
    </row>
    <row r="1129" hidden="1">
      <c r="A1129" s="69">
        <v>46136.0</v>
      </c>
      <c r="B1129" s="125">
        <v>0.4166666666666667</v>
      </c>
      <c r="C1129" s="126" t="s">
        <v>32</v>
      </c>
      <c r="D1129" s="102" t="s">
        <v>33</v>
      </c>
      <c r="E1129" s="102" t="s">
        <v>2212</v>
      </c>
      <c r="F1129" s="102" t="s">
        <v>1101</v>
      </c>
      <c r="G1129" s="126" t="s">
        <v>3609</v>
      </c>
      <c r="H1129" s="126" t="s">
        <v>3610</v>
      </c>
      <c r="I1129" s="102" t="s">
        <v>3611</v>
      </c>
      <c r="J1129" s="85">
        <v>37745.0</v>
      </c>
      <c r="K1129" s="85">
        <v>18283.0</v>
      </c>
      <c r="L1129" s="19">
        <v>0.4844</v>
      </c>
      <c r="M1129" s="127">
        <v>6557.0</v>
      </c>
      <c r="N1129" s="128">
        <v>0.3586</v>
      </c>
      <c r="O1129" s="20">
        <v>292.0</v>
      </c>
      <c r="P1129" s="21">
        <v>273.0</v>
      </c>
      <c r="Q1129" s="19">
        <v>0.0149</v>
      </c>
      <c r="R1129" s="129">
        <v>0.0416</v>
      </c>
      <c r="S1129" s="20">
        <v>0.0</v>
      </c>
      <c r="T1129" s="20">
        <v>0.0</v>
      </c>
      <c r="U1129" s="20">
        <v>0.0</v>
      </c>
      <c r="V1129" s="21" t="s">
        <v>315</v>
      </c>
      <c r="W1129" s="21" t="s">
        <v>76</v>
      </c>
      <c r="X1129" s="21" t="s">
        <v>2217</v>
      </c>
      <c r="Y1129" s="21" t="s">
        <v>3607</v>
      </c>
      <c r="Z1129" s="20" t="s">
        <v>3612</v>
      </c>
      <c r="AA1129" s="18">
        <v>19.0</v>
      </c>
      <c r="AB1129" s="52"/>
      <c r="AC1129" s="18">
        <v>19.0</v>
      </c>
      <c r="AD1129" s="14">
        <v>178264.0</v>
      </c>
      <c r="AE1129" s="52"/>
      <c r="AF1129" s="14">
        <v>178264.0</v>
      </c>
      <c r="AG1129" s="22"/>
      <c r="AH1129" s="22"/>
      <c r="AI1129" s="22"/>
      <c r="AJ1129" s="22"/>
      <c r="AK1129" s="22"/>
      <c r="AL1129" s="22"/>
      <c r="AM1129" s="22"/>
      <c r="AN1129" s="22"/>
      <c r="AO1129" s="22"/>
      <c r="AP1129" s="22"/>
    </row>
    <row r="1130" hidden="1">
      <c r="A1130" s="69">
        <v>46136.0</v>
      </c>
      <c r="B1130" s="125">
        <v>0.4166666666666667</v>
      </c>
      <c r="C1130" s="126" t="s">
        <v>32</v>
      </c>
      <c r="D1130" s="102" t="s">
        <v>33</v>
      </c>
      <c r="E1130" s="102" t="s">
        <v>2212</v>
      </c>
      <c r="F1130" s="102" t="s">
        <v>1101</v>
      </c>
      <c r="G1130" s="126" t="s">
        <v>3613</v>
      </c>
      <c r="H1130" s="126" t="s">
        <v>3614</v>
      </c>
      <c r="I1130" s="102" t="s">
        <v>3615</v>
      </c>
      <c r="J1130" s="85">
        <v>9449.0</v>
      </c>
      <c r="K1130" s="85">
        <v>5439.0</v>
      </c>
      <c r="L1130" s="19">
        <v>0.5756</v>
      </c>
      <c r="M1130" s="127">
        <v>2792.0</v>
      </c>
      <c r="N1130" s="128">
        <v>0.5133</v>
      </c>
      <c r="O1130" s="20">
        <v>116.0</v>
      </c>
      <c r="P1130" s="21">
        <v>108.0</v>
      </c>
      <c r="Q1130" s="19">
        <v>0.0199</v>
      </c>
      <c r="R1130" s="129">
        <v>0.0387</v>
      </c>
      <c r="S1130" s="20">
        <v>0.0</v>
      </c>
      <c r="T1130" s="20">
        <v>0.0</v>
      </c>
      <c r="U1130" s="20">
        <v>0.0</v>
      </c>
      <c r="V1130" s="21" t="s">
        <v>315</v>
      </c>
      <c r="W1130" s="21" t="s">
        <v>76</v>
      </c>
      <c r="X1130" s="21" t="s">
        <v>2217</v>
      </c>
      <c r="Y1130" s="21" t="s">
        <v>3607</v>
      </c>
      <c r="Z1130" s="20" t="s">
        <v>3616</v>
      </c>
      <c r="AA1130" s="18">
        <v>3.0</v>
      </c>
      <c r="AB1130" s="52"/>
      <c r="AC1130" s="18">
        <v>3.0</v>
      </c>
      <c r="AD1130" s="14">
        <v>14795.0</v>
      </c>
      <c r="AE1130" s="52"/>
      <c r="AF1130" s="14">
        <v>14795.0</v>
      </c>
      <c r="AG1130" s="22"/>
      <c r="AH1130" s="22"/>
      <c r="AI1130" s="22"/>
      <c r="AJ1130" s="22"/>
      <c r="AK1130" s="22"/>
      <c r="AL1130" s="22"/>
      <c r="AM1130" s="22"/>
      <c r="AN1130" s="22"/>
      <c r="AO1130" s="22"/>
      <c r="AP1130" s="22"/>
    </row>
    <row r="1131" hidden="1">
      <c r="A1131" s="69">
        <v>46136.0</v>
      </c>
      <c r="B1131" s="125">
        <v>0.75</v>
      </c>
      <c r="C1131" s="126" t="s">
        <v>58</v>
      </c>
      <c r="D1131" s="102" t="s">
        <v>3083</v>
      </c>
      <c r="E1131" s="102" t="s">
        <v>2212</v>
      </c>
      <c r="F1131" s="102" t="s">
        <v>1101</v>
      </c>
      <c r="G1131" s="126" t="s">
        <v>3617</v>
      </c>
      <c r="H1131" s="126" t="s">
        <v>3614</v>
      </c>
      <c r="I1131" s="102" t="s">
        <v>61</v>
      </c>
      <c r="J1131" s="85">
        <v>3922.0</v>
      </c>
      <c r="K1131" s="85">
        <v>1956.0</v>
      </c>
      <c r="L1131" s="19">
        <v>0.4987</v>
      </c>
      <c r="M1131" s="127">
        <v>0.0</v>
      </c>
      <c r="N1131" s="128">
        <v>0.0</v>
      </c>
      <c r="O1131" s="20">
        <v>0.0</v>
      </c>
      <c r="P1131" s="21">
        <v>0.0</v>
      </c>
      <c r="Q1131" s="19">
        <v>0.0</v>
      </c>
      <c r="R1131" s="129">
        <v>0.0</v>
      </c>
      <c r="S1131" s="20">
        <v>0.0</v>
      </c>
      <c r="T1131" s="20">
        <v>0.0</v>
      </c>
      <c r="U1131" s="20">
        <v>0.0</v>
      </c>
      <c r="V1131" s="21" t="s">
        <v>315</v>
      </c>
      <c r="W1131" s="21" t="s">
        <v>3257</v>
      </c>
      <c r="X1131" s="21" t="s">
        <v>2217</v>
      </c>
      <c r="Y1131" s="21" t="s">
        <v>3607</v>
      </c>
      <c r="Z1131" s="20" t="s">
        <v>3618</v>
      </c>
      <c r="AA1131" s="18">
        <v>0.0</v>
      </c>
      <c r="AB1131" s="52"/>
      <c r="AC1131" s="18">
        <v>0.0</v>
      </c>
      <c r="AD1131" s="18">
        <v>0.0</v>
      </c>
      <c r="AE1131" s="52"/>
      <c r="AF1131" s="18">
        <v>0.0</v>
      </c>
      <c r="AG1131" s="22"/>
      <c r="AH1131" s="22"/>
      <c r="AI1131" s="22"/>
      <c r="AJ1131" s="22"/>
      <c r="AK1131" s="22"/>
      <c r="AL1131" s="22"/>
      <c r="AM1131" s="22"/>
      <c r="AN1131" s="22"/>
      <c r="AO1131" s="22"/>
      <c r="AP1131" s="22"/>
    </row>
    <row r="1132" hidden="1">
      <c r="A1132" s="69">
        <v>46136.0</v>
      </c>
      <c r="B1132" s="125">
        <v>0.75</v>
      </c>
      <c r="C1132" s="126" t="s">
        <v>58</v>
      </c>
      <c r="D1132" s="102" t="s">
        <v>3083</v>
      </c>
      <c r="E1132" s="102" t="s">
        <v>2212</v>
      </c>
      <c r="F1132" s="102" t="s">
        <v>1101</v>
      </c>
      <c r="G1132" s="126" t="s">
        <v>3619</v>
      </c>
      <c r="H1132" s="126" t="s">
        <v>3610</v>
      </c>
      <c r="I1132" s="102" t="s">
        <v>61</v>
      </c>
      <c r="J1132" s="85">
        <v>19257.0</v>
      </c>
      <c r="K1132" s="85">
        <v>11117.0</v>
      </c>
      <c r="L1132" s="19">
        <v>0.5773</v>
      </c>
      <c r="M1132" s="127">
        <v>0.0</v>
      </c>
      <c r="N1132" s="128">
        <v>0.0</v>
      </c>
      <c r="O1132" s="20">
        <v>0.0</v>
      </c>
      <c r="P1132" s="21">
        <v>0.0</v>
      </c>
      <c r="Q1132" s="19">
        <v>0.0</v>
      </c>
      <c r="R1132" s="129">
        <v>0.0</v>
      </c>
      <c r="S1132" s="20">
        <v>0.0</v>
      </c>
      <c r="T1132" s="20">
        <v>0.0</v>
      </c>
      <c r="U1132" s="20">
        <v>0.0</v>
      </c>
      <c r="V1132" s="21" t="s">
        <v>315</v>
      </c>
      <c r="W1132" s="21" t="s">
        <v>3257</v>
      </c>
      <c r="X1132" s="21" t="s">
        <v>2217</v>
      </c>
      <c r="Y1132" s="21" t="s">
        <v>3607</v>
      </c>
      <c r="Z1132" s="20" t="s">
        <v>3620</v>
      </c>
      <c r="AA1132" s="18">
        <v>7.0</v>
      </c>
      <c r="AB1132" s="52"/>
      <c r="AC1132" s="18">
        <v>7.0</v>
      </c>
      <c r="AD1132" s="14">
        <v>67719.0</v>
      </c>
      <c r="AE1132" s="52"/>
      <c r="AF1132" s="14">
        <v>67719.0</v>
      </c>
      <c r="AG1132" s="22"/>
      <c r="AH1132" s="22"/>
      <c r="AI1132" s="22"/>
      <c r="AJ1132" s="22"/>
      <c r="AK1132" s="22"/>
      <c r="AL1132" s="22"/>
      <c r="AM1132" s="22"/>
      <c r="AN1132" s="22"/>
      <c r="AO1132" s="22"/>
      <c r="AP1132" s="22"/>
    </row>
    <row r="1133" hidden="1">
      <c r="A1133" s="69">
        <v>46136.0</v>
      </c>
      <c r="B1133" s="125">
        <v>0.75</v>
      </c>
      <c r="C1133" s="126" t="s">
        <v>58</v>
      </c>
      <c r="D1133" s="102" t="s">
        <v>3083</v>
      </c>
      <c r="E1133" s="102" t="s">
        <v>2212</v>
      </c>
      <c r="F1133" s="102" t="s">
        <v>1101</v>
      </c>
      <c r="G1133" s="126" t="s">
        <v>3621</v>
      </c>
      <c r="H1133" s="126" t="s">
        <v>3605</v>
      </c>
      <c r="I1133" s="102" t="s">
        <v>61</v>
      </c>
      <c r="J1133" s="85">
        <v>51634.0</v>
      </c>
      <c r="K1133" s="85">
        <v>28405.0</v>
      </c>
      <c r="L1133" s="19">
        <v>0.5501</v>
      </c>
      <c r="M1133" s="127">
        <v>0.0</v>
      </c>
      <c r="N1133" s="128">
        <v>0.0</v>
      </c>
      <c r="O1133" s="20">
        <v>0.0</v>
      </c>
      <c r="P1133" s="21">
        <v>0.0</v>
      </c>
      <c r="Q1133" s="19">
        <v>0.0</v>
      </c>
      <c r="R1133" s="129">
        <v>0.0</v>
      </c>
      <c r="S1133" s="20">
        <v>0.0</v>
      </c>
      <c r="T1133" s="20">
        <v>0.0</v>
      </c>
      <c r="U1133" s="20">
        <v>0.0</v>
      </c>
      <c r="V1133" s="21" t="s">
        <v>315</v>
      </c>
      <c r="W1133" s="21" t="s">
        <v>3257</v>
      </c>
      <c r="X1133" s="21" t="s">
        <v>2217</v>
      </c>
      <c r="Y1133" s="21" t="s">
        <v>3607</v>
      </c>
      <c r="Z1133" s="20" t="s">
        <v>3622</v>
      </c>
      <c r="AA1133" s="18">
        <v>20.0</v>
      </c>
      <c r="AB1133" s="52"/>
      <c r="AC1133" s="18">
        <v>20.0</v>
      </c>
      <c r="AD1133" s="14">
        <v>178765.0</v>
      </c>
      <c r="AE1133" s="52"/>
      <c r="AF1133" s="14">
        <v>178765.0</v>
      </c>
      <c r="AG1133" s="22"/>
      <c r="AH1133" s="22"/>
      <c r="AI1133" s="22"/>
      <c r="AJ1133" s="22"/>
      <c r="AK1133" s="22"/>
      <c r="AL1133" s="22"/>
      <c r="AM1133" s="22"/>
      <c r="AN1133" s="22"/>
      <c r="AO1133" s="22"/>
      <c r="AP1133" s="22"/>
    </row>
    <row r="1134" hidden="1">
      <c r="A1134" s="69">
        <v>46137.0</v>
      </c>
      <c r="B1134" s="125">
        <v>0.75</v>
      </c>
      <c r="C1134" s="126" t="s">
        <v>32</v>
      </c>
      <c r="D1134" s="102" t="s">
        <v>3243</v>
      </c>
      <c r="E1134" s="102" t="s">
        <v>71</v>
      </c>
      <c r="F1134" s="102" t="s">
        <v>1101</v>
      </c>
      <c r="G1134" s="126" t="s">
        <v>3623</v>
      </c>
      <c r="H1134" s="126" t="s">
        <v>3578</v>
      </c>
      <c r="I1134" s="102" t="s">
        <v>3579</v>
      </c>
      <c r="J1134" s="85">
        <v>113705.0</v>
      </c>
      <c r="K1134" s="85">
        <v>53102.0</v>
      </c>
      <c r="L1134" s="19">
        <v>0.4669</v>
      </c>
      <c r="M1134" s="127">
        <v>18054.0</v>
      </c>
      <c r="N1134" s="128">
        <v>0.3401</v>
      </c>
      <c r="O1134" s="20">
        <v>1414.0</v>
      </c>
      <c r="P1134" s="21">
        <v>1305.0</v>
      </c>
      <c r="Q1134" s="19">
        <v>0.0246</v>
      </c>
      <c r="R1134" s="129">
        <v>0.0723</v>
      </c>
      <c r="S1134" s="20">
        <v>6.0</v>
      </c>
      <c r="T1134" s="20">
        <v>18.0</v>
      </c>
      <c r="U1134" s="20">
        <v>26049.0</v>
      </c>
      <c r="V1134" s="21" t="s">
        <v>315</v>
      </c>
      <c r="W1134" s="21" t="s">
        <v>76</v>
      </c>
      <c r="X1134" s="21" t="s">
        <v>3580</v>
      </c>
      <c r="Y1134" s="21" t="s">
        <v>3624</v>
      </c>
      <c r="Z1134" s="20" t="s">
        <v>3625</v>
      </c>
      <c r="AA1134" s="18">
        <v>269.0</v>
      </c>
      <c r="AB1134" s="52"/>
      <c r="AC1134" s="18">
        <v>269.0</v>
      </c>
      <c r="AD1134" s="14">
        <v>945097.0</v>
      </c>
      <c r="AE1134" s="52"/>
      <c r="AF1134" s="14">
        <v>945097.0</v>
      </c>
      <c r="AG1134" s="22"/>
      <c r="AH1134" s="22"/>
      <c r="AI1134" s="22"/>
      <c r="AJ1134" s="22"/>
      <c r="AK1134" s="22"/>
      <c r="AL1134" s="22"/>
      <c r="AM1134" s="22"/>
      <c r="AN1134" s="22"/>
      <c r="AO1134" s="22"/>
      <c r="AP1134" s="22"/>
    </row>
    <row r="1135" hidden="1">
      <c r="A1135" s="69">
        <v>46137.0</v>
      </c>
      <c r="B1135" s="125">
        <v>0.75</v>
      </c>
      <c r="C1135" s="126" t="s">
        <v>32</v>
      </c>
      <c r="D1135" s="102" t="s">
        <v>3243</v>
      </c>
      <c r="E1135" s="102" t="s">
        <v>71</v>
      </c>
      <c r="F1135" s="102" t="s">
        <v>1101</v>
      </c>
      <c r="G1135" s="126" t="s">
        <v>3626</v>
      </c>
      <c r="H1135" s="126" t="s">
        <v>3584</v>
      </c>
      <c r="I1135" s="102" t="s">
        <v>3585</v>
      </c>
      <c r="J1135" s="85">
        <v>56992.0</v>
      </c>
      <c r="K1135" s="85">
        <v>26933.0</v>
      </c>
      <c r="L1135" s="19">
        <v>0.4724</v>
      </c>
      <c r="M1135" s="127">
        <v>9176.0</v>
      </c>
      <c r="N1135" s="128">
        <v>0.3408</v>
      </c>
      <c r="O1135" s="20">
        <v>456.0</v>
      </c>
      <c r="P1135" s="21">
        <v>429.0</v>
      </c>
      <c r="Q1135" s="19">
        <v>0.0159</v>
      </c>
      <c r="R1135" s="129">
        <v>0.0468</v>
      </c>
      <c r="S1135" s="20">
        <v>2.0</v>
      </c>
      <c r="T1135" s="20">
        <v>4.0</v>
      </c>
      <c r="U1135" s="20">
        <v>4184.0</v>
      </c>
      <c r="V1135" s="21" t="s">
        <v>315</v>
      </c>
      <c r="W1135" s="21" t="s">
        <v>76</v>
      </c>
      <c r="X1135" s="21" t="s">
        <v>3586</v>
      </c>
      <c r="Y1135" s="21" t="s">
        <v>3624</v>
      </c>
      <c r="Z1135" s="20" t="s">
        <v>3627</v>
      </c>
      <c r="AA1135" s="18">
        <v>67.0</v>
      </c>
      <c r="AB1135" s="52"/>
      <c r="AC1135" s="18">
        <v>67.0</v>
      </c>
      <c r="AD1135" s="14">
        <v>130433.0</v>
      </c>
      <c r="AE1135" s="52"/>
      <c r="AF1135" s="14">
        <v>130433.0</v>
      </c>
      <c r="AG1135" s="22"/>
      <c r="AH1135" s="22"/>
      <c r="AI1135" s="22"/>
      <c r="AJ1135" s="22"/>
      <c r="AK1135" s="22"/>
      <c r="AL1135" s="22"/>
      <c r="AM1135" s="22"/>
      <c r="AN1135" s="22"/>
      <c r="AO1135" s="22"/>
      <c r="AP1135" s="22"/>
    </row>
    <row r="1136" hidden="1">
      <c r="A1136" s="69">
        <v>46137.0</v>
      </c>
      <c r="B1136" s="125">
        <v>0.75</v>
      </c>
      <c r="C1136" s="126" t="s">
        <v>32</v>
      </c>
      <c r="D1136" s="102" t="s">
        <v>3243</v>
      </c>
      <c r="E1136" s="102" t="s">
        <v>71</v>
      </c>
      <c r="F1136" s="102" t="s">
        <v>1101</v>
      </c>
      <c r="G1136" s="126" t="s">
        <v>3628</v>
      </c>
      <c r="H1136" s="126" t="s">
        <v>3589</v>
      </c>
      <c r="I1136" s="102" t="s">
        <v>3590</v>
      </c>
      <c r="J1136" s="85">
        <v>2336.0</v>
      </c>
      <c r="K1136" s="85">
        <v>977.0</v>
      </c>
      <c r="L1136" s="19">
        <v>0.4178</v>
      </c>
      <c r="M1136" s="127">
        <v>329.0</v>
      </c>
      <c r="N1136" s="128">
        <v>0.3371</v>
      </c>
      <c r="O1136" s="20">
        <v>44.0</v>
      </c>
      <c r="P1136" s="21">
        <v>33.0</v>
      </c>
      <c r="Q1136" s="19">
        <v>0.0338</v>
      </c>
      <c r="R1136" s="129">
        <v>0.1003</v>
      </c>
      <c r="S1136" s="20">
        <v>1.0</v>
      </c>
      <c r="T1136" s="20">
        <v>0.0</v>
      </c>
      <c r="U1136" s="20">
        <v>5664.0</v>
      </c>
      <c r="V1136" s="21" t="s">
        <v>315</v>
      </c>
      <c r="W1136" s="21" t="s">
        <v>76</v>
      </c>
      <c r="X1136" s="21" t="s">
        <v>3580</v>
      </c>
      <c r="Y1136" s="21" t="s">
        <v>3624</v>
      </c>
      <c r="Z1136" s="20" t="s">
        <v>3629</v>
      </c>
      <c r="AA1136" s="18">
        <v>14.0</v>
      </c>
      <c r="AB1136" s="52"/>
      <c r="AC1136" s="18">
        <v>14.0</v>
      </c>
      <c r="AD1136" s="14">
        <v>53893.0</v>
      </c>
      <c r="AE1136" s="52"/>
      <c r="AF1136" s="14">
        <v>53893.0</v>
      </c>
      <c r="AG1136" s="22"/>
      <c r="AH1136" s="22"/>
      <c r="AI1136" s="22"/>
      <c r="AJ1136" s="22"/>
      <c r="AK1136" s="22"/>
      <c r="AL1136" s="22"/>
      <c r="AM1136" s="22"/>
      <c r="AN1136" s="22"/>
      <c r="AO1136" s="22"/>
      <c r="AP1136" s="22"/>
    </row>
    <row r="1137" hidden="1">
      <c r="A1137" s="69">
        <v>46137.0</v>
      </c>
      <c r="B1137" s="125">
        <v>0.75</v>
      </c>
      <c r="C1137" s="126" t="s">
        <v>32</v>
      </c>
      <c r="D1137" s="102" t="s">
        <v>3243</v>
      </c>
      <c r="E1137" s="102" t="s">
        <v>71</v>
      </c>
      <c r="F1137" s="102" t="s">
        <v>1101</v>
      </c>
      <c r="G1137" s="126" t="s">
        <v>3630</v>
      </c>
      <c r="H1137" s="126" t="s">
        <v>3593</v>
      </c>
      <c r="I1137" s="102" t="s">
        <v>3594</v>
      </c>
      <c r="J1137" s="85">
        <v>10088.0</v>
      </c>
      <c r="K1137" s="85">
        <v>4239.0</v>
      </c>
      <c r="L1137" s="19">
        <v>0.4202</v>
      </c>
      <c r="M1137" s="127">
        <v>1372.0</v>
      </c>
      <c r="N1137" s="128">
        <v>0.3237</v>
      </c>
      <c r="O1137" s="20">
        <v>72.0</v>
      </c>
      <c r="P1137" s="21">
        <v>71.0</v>
      </c>
      <c r="Q1137" s="19">
        <v>0.0167</v>
      </c>
      <c r="R1137" s="129">
        <v>0.0517</v>
      </c>
      <c r="S1137" s="20">
        <v>0.0</v>
      </c>
      <c r="T1137" s="20">
        <v>0.0</v>
      </c>
      <c r="U1137" s="20">
        <v>0.0</v>
      </c>
      <c r="V1137" s="21" t="s">
        <v>315</v>
      </c>
      <c r="W1137" s="21" t="s">
        <v>76</v>
      </c>
      <c r="X1137" s="21" t="s">
        <v>52</v>
      </c>
      <c r="Y1137" s="21" t="s">
        <v>3624</v>
      </c>
      <c r="Z1137" s="20" t="s">
        <v>3631</v>
      </c>
      <c r="AA1137" s="18">
        <v>26.0</v>
      </c>
      <c r="AB1137" s="52"/>
      <c r="AC1137" s="18">
        <v>26.0</v>
      </c>
      <c r="AD1137" s="14">
        <v>75604.0</v>
      </c>
      <c r="AE1137" s="52"/>
      <c r="AF1137" s="14">
        <v>75604.0</v>
      </c>
      <c r="AG1137" s="22"/>
      <c r="AH1137" s="22"/>
      <c r="AI1137" s="22"/>
      <c r="AJ1137" s="22"/>
      <c r="AK1137" s="22"/>
      <c r="AL1137" s="22"/>
      <c r="AM1137" s="22"/>
      <c r="AN1137" s="22"/>
      <c r="AO1137" s="22"/>
      <c r="AP1137" s="22"/>
    </row>
    <row r="1138" hidden="1">
      <c r="A1138" s="69">
        <v>46137.0</v>
      </c>
      <c r="B1138" s="125">
        <v>0.7916666666666666</v>
      </c>
      <c r="C1138" s="126" t="s">
        <v>58</v>
      </c>
      <c r="D1138" s="102" t="s">
        <v>3083</v>
      </c>
      <c r="E1138" s="102" t="s">
        <v>71</v>
      </c>
      <c r="F1138" s="102" t="s">
        <v>1101</v>
      </c>
      <c r="G1138" s="126" t="s">
        <v>3632</v>
      </c>
      <c r="H1138" s="126" t="s">
        <v>3578</v>
      </c>
      <c r="I1138" s="102" t="s">
        <v>61</v>
      </c>
      <c r="J1138" s="85">
        <v>59154.0</v>
      </c>
      <c r="K1138" s="85">
        <v>35831.0</v>
      </c>
      <c r="L1138" s="19">
        <v>0.6057</v>
      </c>
      <c r="M1138" s="127">
        <v>0.0</v>
      </c>
      <c r="N1138" s="128">
        <v>0.0</v>
      </c>
      <c r="O1138" s="20">
        <v>37.0</v>
      </c>
      <c r="P1138" s="21">
        <v>0.0</v>
      </c>
      <c r="Q1138" s="19">
        <v>0.001</v>
      </c>
      <c r="R1138" s="129">
        <v>0.0</v>
      </c>
      <c r="S1138" s="20">
        <v>0.0</v>
      </c>
      <c r="T1138" s="20">
        <v>3.0</v>
      </c>
      <c r="U1138" s="20">
        <v>0.0</v>
      </c>
      <c r="V1138" s="21" t="s">
        <v>315</v>
      </c>
      <c r="W1138" s="21" t="s">
        <v>3257</v>
      </c>
      <c r="X1138" s="21" t="s">
        <v>3580</v>
      </c>
      <c r="Y1138" s="130">
        <v>46137.0</v>
      </c>
      <c r="Z1138" s="20" t="s">
        <v>3633</v>
      </c>
      <c r="AA1138" s="18">
        <v>99.0</v>
      </c>
      <c r="AB1138" s="52"/>
      <c r="AC1138" s="18">
        <v>99.0</v>
      </c>
      <c r="AD1138" s="18">
        <v>293053.0</v>
      </c>
      <c r="AE1138" s="52"/>
      <c r="AF1138" s="18">
        <v>293053.0</v>
      </c>
      <c r="AG1138" s="22"/>
      <c r="AH1138" s="22"/>
      <c r="AI1138" s="22"/>
      <c r="AJ1138" s="22"/>
      <c r="AK1138" s="22"/>
      <c r="AL1138" s="22"/>
      <c r="AM1138" s="22"/>
      <c r="AN1138" s="22"/>
      <c r="AO1138" s="22"/>
      <c r="AP1138" s="22"/>
    </row>
    <row r="1139" hidden="1">
      <c r="A1139" s="69">
        <v>46137.0</v>
      </c>
      <c r="B1139" s="125">
        <v>0.7916666666666666</v>
      </c>
      <c r="C1139" s="126" t="s">
        <v>58</v>
      </c>
      <c r="D1139" s="102" t="s">
        <v>3083</v>
      </c>
      <c r="E1139" s="102" t="s">
        <v>71</v>
      </c>
      <c r="F1139" s="102" t="s">
        <v>1101</v>
      </c>
      <c r="G1139" s="126" t="s">
        <v>3634</v>
      </c>
      <c r="H1139" s="126" t="s">
        <v>3584</v>
      </c>
      <c r="I1139" s="102" t="s">
        <v>61</v>
      </c>
      <c r="J1139" s="85">
        <v>28849.0</v>
      </c>
      <c r="K1139" s="85">
        <v>17365.0</v>
      </c>
      <c r="L1139" s="19">
        <v>0.6019</v>
      </c>
      <c r="M1139" s="127">
        <v>0.0</v>
      </c>
      <c r="N1139" s="128">
        <v>0.0</v>
      </c>
      <c r="O1139" s="20">
        <v>18.0</v>
      </c>
      <c r="P1139" s="21">
        <v>0.0</v>
      </c>
      <c r="Q1139" s="19">
        <v>0.001</v>
      </c>
      <c r="R1139" s="129">
        <v>0.0</v>
      </c>
      <c r="S1139" s="20">
        <v>2.0</v>
      </c>
      <c r="T1139" s="20">
        <v>5.0</v>
      </c>
      <c r="U1139" s="20">
        <v>3416.0</v>
      </c>
      <c r="V1139" s="21" t="s">
        <v>315</v>
      </c>
      <c r="W1139" s="21" t="s">
        <v>3257</v>
      </c>
      <c r="X1139" s="21" t="s">
        <v>3586</v>
      </c>
      <c r="Y1139" s="130">
        <v>46137.0</v>
      </c>
      <c r="Z1139" s="20" t="s">
        <v>3635</v>
      </c>
      <c r="AA1139" s="18">
        <v>25.0</v>
      </c>
      <c r="AB1139" s="52"/>
      <c r="AC1139" s="18">
        <v>25.0</v>
      </c>
      <c r="AD1139" s="18">
        <v>55272.0</v>
      </c>
      <c r="AE1139" s="52"/>
      <c r="AF1139" s="18">
        <v>55272.0</v>
      </c>
      <c r="AG1139" s="22"/>
      <c r="AH1139" s="22"/>
      <c r="AI1139" s="22"/>
      <c r="AJ1139" s="22"/>
      <c r="AK1139" s="22"/>
      <c r="AL1139" s="22"/>
      <c r="AM1139" s="22"/>
      <c r="AN1139" s="22"/>
      <c r="AO1139" s="22"/>
      <c r="AP1139" s="22"/>
    </row>
    <row r="1140" hidden="1">
      <c r="A1140" s="69">
        <v>46137.0</v>
      </c>
      <c r="B1140" s="125">
        <v>0.7916666666666666</v>
      </c>
      <c r="C1140" s="126" t="s">
        <v>58</v>
      </c>
      <c r="D1140" s="102" t="s">
        <v>3083</v>
      </c>
      <c r="E1140" s="102" t="s">
        <v>71</v>
      </c>
      <c r="F1140" s="102" t="s">
        <v>1101</v>
      </c>
      <c r="G1140" s="126" t="s">
        <v>3636</v>
      </c>
      <c r="H1140" s="126" t="s">
        <v>3589</v>
      </c>
      <c r="I1140" s="102" t="s">
        <v>61</v>
      </c>
      <c r="J1140" s="85">
        <v>1331.0</v>
      </c>
      <c r="K1140" s="85">
        <v>771.0</v>
      </c>
      <c r="L1140" s="19">
        <v>0.5793</v>
      </c>
      <c r="M1140" s="127">
        <v>0.0</v>
      </c>
      <c r="N1140" s="128">
        <v>0.0</v>
      </c>
      <c r="O1140" s="20">
        <v>1.0</v>
      </c>
      <c r="P1140" s="21">
        <v>0.0</v>
      </c>
      <c r="Q1140" s="19">
        <v>0.0013</v>
      </c>
      <c r="R1140" s="129">
        <v>0.0</v>
      </c>
      <c r="S1140" s="20">
        <v>0.0</v>
      </c>
      <c r="T1140" s="20">
        <v>0.0</v>
      </c>
      <c r="U1140" s="20">
        <v>0.0</v>
      </c>
      <c r="V1140" s="21" t="s">
        <v>315</v>
      </c>
      <c r="W1140" s="21" t="s">
        <v>3257</v>
      </c>
      <c r="X1140" s="21" t="s">
        <v>3580</v>
      </c>
      <c r="Y1140" s="130">
        <v>46137.0</v>
      </c>
      <c r="Z1140" s="20" t="s">
        <v>3637</v>
      </c>
      <c r="AA1140" s="18">
        <v>3.0</v>
      </c>
      <c r="AB1140" s="52"/>
      <c r="AC1140" s="18">
        <v>3.0</v>
      </c>
      <c r="AD1140" s="18">
        <v>14577.0</v>
      </c>
      <c r="AE1140" s="52"/>
      <c r="AF1140" s="18">
        <v>14577.0</v>
      </c>
      <c r="AG1140" s="22"/>
      <c r="AH1140" s="22"/>
      <c r="AI1140" s="22"/>
      <c r="AJ1140" s="22"/>
      <c r="AK1140" s="22"/>
      <c r="AL1140" s="22"/>
      <c r="AM1140" s="22"/>
      <c r="AN1140" s="22"/>
      <c r="AO1140" s="22"/>
      <c r="AP1140" s="22"/>
    </row>
    <row r="1141" hidden="1">
      <c r="A1141" s="69">
        <v>46137.0</v>
      </c>
      <c r="B1141" s="125">
        <v>0.7916666666666666</v>
      </c>
      <c r="C1141" s="126" t="s">
        <v>58</v>
      </c>
      <c r="D1141" s="102" t="s">
        <v>3083</v>
      </c>
      <c r="E1141" s="102" t="s">
        <v>71</v>
      </c>
      <c r="F1141" s="102" t="s">
        <v>1101</v>
      </c>
      <c r="G1141" s="126" t="s">
        <v>3638</v>
      </c>
      <c r="H1141" s="126" t="s">
        <v>3593</v>
      </c>
      <c r="I1141" s="102" t="s">
        <v>61</v>
      </c>
      <c r="J1141" s="85">
        <v>5632.0</v>
      </c>
      <c r="K1141" s="85">
        <v>3224.0</v>
      </c>
      <c r="L1141" s="19">
        <v>0.5724</v>
      </c>
      <c r="M1141" s="127">
        <v>0.0</v>
      </c>
      <c r="N1141" s="128">
        <v>0.0</v>
      </c>
      <c r="O1141" s="20">
        <v>1.0</v>
      </c>
      <c r="P1141" s="21">
        <v>0.0</v>
      </c>
      <c r="Q1141" s="19">
        <v>3.0E-4</v>
      </c>
      <c r="R1141" s="129">
        <v>0.0</v>
      </c>
      <c r="S1141" s="20">
        <v>0.0</v>
      </c>
      <c r="T1141" s="20">
        <v>0.0</v>
      </c>
      <c r="U1141" s="20">
        <v>0.0</v>
      </c>
      <c r="V1141" s="21" t="s">
        <v>315</v>
      </c>
      <c r="W1141" s="21" t="s">
        <v>3257</v>
      </c>
      <c r="X1141" s="21" t="s">
        <v>52</v>
      </c>
      <c r="Y1141" s="130">
        <v>46137.0</v>
      </c>
      <c r="Z1141" s="20" t="s">
        <v>3639</v>
      </c>
      <c r="AA1141" s="18">
        <v>8.0</v>
      </c>
      <c r="AB1141" s="52"/>
      <c r="AC1141" s="18">
        <v>8.0</v>
      </c>
      <c r="AD1141" s="18">
        <v>46789.0</v>
      </c>
      <c r="AE1141" s="52"/>
      <c r="AF1141" s="18">
        <v>46789.0</v>
      </c>
      <c r="AG1141" s="22"/>
      <c r="AH1141" s="22"/>
      <c r="AI1141" s="22"/>
      <c r="AJ1141" s="22"/>
      <c r="AK1141" s="22"/>
      <c r="AL1141" s="22"/>
      <c r="AM1141" s="22"/>
      <c r="AN1141" s="22"/>
      <c r="AO1141" s="22"/>
      <c r="AP1141" s="22"/>
    </row>
    <row r="1142" hidden="1">
      <c r="A1142" s="69">
        <v>46138.0</v>
      </c>
      <c r="B1142" s="125">
        <v>0.4583333333333333</v>
      </c>
      <c r="C1142" s="126" t="s">
        <v>32</v>
      </c>
      <c r="D1142" s="102" t="s">
        <v>3243</v>
      </c>
      <c r="E1142" s="102" t="s">
        <v>71</v>
      </c>
      <c r="F1142" s="102" t="s">
        <v>1101</v>
      </c>
      <c r="G1142" s="126" t="s">
        <v>3640</v>
      </c>
      <c r="H1142" s="126" t="s">
        <v>3571</v>
      </c>
      <c r="I1142" s="102" t="s">
        <v>3572</v>
      </c>
      <c r="J1142" s="85">
        <v>127397.0</v>
      </c>
      <c r="K1142" s="85">
        <v>63108.0</v>
      </c>
      <c r="L1142" s="19">
        <v>0.4953</v>
      </c>
      <c r="M1142" s="127">
        <v>20279.0</v>
      </c>
      <c r="N1142" s="128">
        <v>0.3214</v>
      </c>
      <c r="O1142" s="20">
        <v>1892.0</v>
      </c>
      <c r="P1142" s="21">
        <v>1780.0</v>
      </c>
      <c r="Q1142" s="19">
        <v>0.0282</v>
      </c>
      <c r="R1142" s="129">
        <v>0.0878</v>
      </c>
      <c r="S1142" s="20">
        <v>23.0</v>
      </c>
      <c r="T1142" s="20">
        <v>59.0</v>
      </c>
      <c r="U1142" s="20">
        <v>56141.0</v>
      </c>
      <c r="V1142" s="21" t="s">
        <v>335</v>
      </c>
      <c r="W1142" s="21" t="s">
        <v>76</v>
      </c>
      <c r="X1142" s="21" t="s">
        <v>111</v>
      </c>
      <c r="Y1142" s="21" t="s">
        <v>3641</v>
      </c>
      <c r="Z1142" s="20" t="s">
        <v>3642</v>
      </c>
      <c r="AA1142" s="111">
        <v>178.0</v>
      </c>
      <c r="AB1142" s="18">
        <v>178.0</v>
      </c>
      <c r="AC1142" s="52"/>
      <c r="AD1142" s="14">
        <v>422300.0</v>
      </c>
      <c r="AE1142" s="14">
        <v>422300.0</v>
      </c>
      <c r="AF1142" s="52"/>
      <c r="AG1142" s="22"/>
      <c r="AH1142" s="22"/>
      <c r="AI1142" s="22"/>
      <c r="AJ1142" s="22"/>
      <c r="AK1142" s="22"/>
      <c r="AL1142" s="22"/>
      <c r="AM1142" s="22"/>
      <c r="AN1142" s="22"/>
      <c r="AO1142" s="22"/>
      <c r="AP1142" s="22"/>
    </row>
    <row r="1143" hidden="1">
      <c r="A1143" s="69">
        <v>46138.0</v>
      </c>
      <c r="B1143" s="125">
        <v>0.5</v>
      </c>
      <c r="C1143" s="126" t="s">
        <v>58</v>
      </c>
      <c r="D1143" s="102" t="s">
        <v>3083</v>
      </c>
      <c r="E1143" s="102" t="s">
        <v>71</v>
      </c>
      <c r="F1143" s="102" t="s">
        <v>1101</v>
      </c>
      <c r="G1143" s="126" t="s">
        <v>3643</v>
      </c>
      <c r="H1143" s="126" t="s">
        <v>3571</v>
      </c>
      <c r="I1143" s="102" t="s">
        <v>61</v>
      </c>
      <c r="J1143" s="85">
        <v>61896.0</v>
      </c>
      <c r="K1143" s="85">
        <v>34442.0</v>
      </c>
      <c r="L1143" s="19">
        <v>0.5564</v>
      </c>
      <c r="M1143" s="127">
        <v>0.0</v>
      </c>
      <c r="N1143" s="128">
        <v>0.0</v>
      </c>
      <c r="O1143" s="20">
        <v>63.0</v>
      </c>
      <c r="P1143" s="21">
        <v>0.0</v>
      </c>
      <c r="Q1143" s="19">
        <v>0.0018</v>
      </c>
      <c r="R1143" s="129">
        <v>0.0</v>
      </c>
      <c r="S1143" s="20">
        <v>4.0</v>
      </c>
      <c r="T1143" s="20">
        <v>17.0</v>
      </c>
      <c r="U1143" s="20">
        <v>20599.0</v>
      </c>
      <c r="V1143" s="21" t="s">
        <v>335</v>
      </c>
      <c r="W1143" s="21" t="s">
        <v>3257</v>
      </c>
      <c r="X1143" s="21" t="s">
        <v>111</v>
      </c>
      <c r="Y1143" s="21" t="s">
        <v>3641</v>
      </c>
      <c r="Z1143" s="20" t="s">
        <v>3644</v>
      </c>
      <c r="AA1143" s="18">
        <v>30.0</v>
      </c>
      <c r="AB1143" s="18">
        <v>30.0</v>
      </c>
      <c r="AC1143" s="52"/>
      <c r="AD1143" s="14">
        <v>73976.0</v>
      </c>
      <c r="AE1143" s="14">
        <v>73976.0</v>
      </c>
      <c r="AF1143" s="52"/>
      <c r="AG1143" s="22"/>
      <c r="AH1143" s="22"/>
      <c r="AI1143" s="22"/>
      <c r="AJ1143" s="22"/>
      <c r="AK1143" s="22"/>
      <c r="AL1143" s="22"/>
      <c r="AM1143" s="22"/>
      <c r="AN1143" s="22"/>
      <c r="AO1143" s="22"/>
      <c r="AP1143" s="22"/>
    </row>
    <row r="1144" hidden="1">
      <c r="A1144" s="69">
        <v>46141.0</v>
      </c>
      <c r="B1144" s="125">
        <v>0.7708333333333334</v>
      </c>
      <c r="C1144" s="126" t="s">
        <v>32</v>
      </c>
      <c r="D1144" s="102" t="s">
        <v>3243</v>
      </c>
      <c r="E1144" s="102" t="s">
        <v>71</v>
      </c>
      <c r="F1144" s="102" t="s">
        <v>3645</v>
      </c>
      <c r="G1144" s="126" t="s">
        <v>3646</v>
      </c>
      <c r="H1144" s="126" t="s">
        <v>3647</v>
      </c>
      <c r="I1144" s="102" t="s">
        <v>2773</v>
      </c>
      <c r="J1144" s="85">
        <v>3359.0</v>
      </c>
      <c r="K1144" s="85">
        <v>1244.0</v>
      </c>
      <c r="L1144" s="19">
        <v>0.3703</v>
      </c>
      <c r="M1144" s="127">
        <v>547.0</v>
      </c>
      <c r="N1144" s="128">
        <v>0.4397</v>
      </c>
      <c r="O1144" s="20">
        <v>88.0</v>
      </c>
      <c r="P1144" s="21">
        <v>86.0</v>
      </c>
      <c r="Q1144" s="19">
        <v>0.0691</v>
      </c>
      <c r="R1144" s="129">
        <v>0.1572</v>
      </c>
      <c r="S1144" s="20">
        <v>3.0</v>
      </c>
      <c r="T1144" s="20">
        <v>9.0</v>
      </c>
      <c r="U1144" s="131">
        <v>25948.0</v>
      </c>
      <c r="V1144" s="21" t="s">
        <v>335</v>
      </c>
      <c r="W1144" s="21" t="s">
        <v>76</v>
      </c>
      <c r="X1144" s="21" t="s">
        <v>165</v>
      </c>
      <c r="Y1144" s="21" t="s">
        <v>3648</v>
      </c>
      <c r="Z1144" s="20" t="s">
        <v>3649</v>
      </c>
      <c r="AA1144" s="18">
        <v>28.0</v>
      </c>
      <c r="AB1144" s="18">
        <v>28.0</v>
      </c>
      <c r="AC1144" s="52"/>
      <c r="AD1144" s="14">
        <v>117168.0</v>
      </c>
      <c r="AE1144" s="14">
        <v>117168.0</v>
      </c>
      <c r="AF1144" s="52"/>
      <c r="AG1144" s="22"/>
      <c r="AH1144" s="22"/>
      <c r="AI1144" s="22"/>
      <c r="AJ1144" s="22"/>
      <c r="AK1144" s="22"/>
      <c r="AL1144" s="22"/>
      <c r="AM1144" s="22"/>
      <c r="AN1144" s="22"/>
      <c r="AO1144" s="22"/>
      <c r="AP1144" s="22"/>
    </row>
    <row r="1145" hidden="1">
      <c r="A1145" s="69">
        <v>46141.0</v>
      </c>
      <c r="B1145" s="125">
        <v>0.7708333333333334</v>
      </c>
      <c r="C1145" s="126" t="s">
        <v>32</v>
      </c>
      <c r="D1145" s="102" t="s">
        <v>3243</v>
      </c>
      <c r="E1145" s="102" t="s">
        <v>71</v>
      </c>
      <c r="F1145" s="102" t="s">
        <v>3645</v>
      </c>
      <c r="G1145" s="126" t="s">
        <v>3650</v>
      </c>
      <c r="H1145" s="126" t="s">
        <v>2777</v>
      </c>
      <c r="I1145" s="102" t="s">
        <v>2778</v>
      </c>
      <c r="J1145" s="85">
        <v>57073.0</v>
      </c>
      <c r="K1145" s="85">
        <v>23696.0</v>
      </c>
      <c r="L1145" s="19">
        <v>0.4151</v>
      </c>
      <c r="M1145" s="127">
        <v>8856.0</v>
      </c>
      <c r="N1145" s="128">
        <v>0.3738</v>
      </c>
      <c r="O1145" s="20">
        <v>1266.0</v>
      </c>
      <c r="P1145" s="21">
        <v>1205.0</v>
      </c>
      <c r="Q1145" s="19">
        <v>0.0509</v>
      </c>
      <c r="R1145" s="129">
        <v>0.1361</v>
      </c>
      <c r="S1145" s="20">
        <v>24.0</v>
      </c>
      <c r="T1145" s="20">
        <v>58.0</v>
      </c>
      <c r="U1145" s="131">
        <v>90194.0</v>
      </c>
      <c r="V1145" s="21" t="s">
        <v>335</v>
      </c>
      <c r="W1145" s="21" t="s">
        <v>76</v>
      </c>
      <c r="X1145" s="21" t="s">
        <v>82</v>
      </c>
      <c r="Y1145" s="21" t="s">
        <v>3648</v>
      </c>
      <c r="Z1145" s="20" t="s">
        <v>3651</v>
      </c>
      <c r="AA1145" s="18">
        <v>131.0</v>
      </c>
      <c r="AB1145" s="18">
        <v>131.0</v>
      </c>
      <c r="AC1145" s="52"/>
      <c r="AD1145" s="14">
        <v>402124.0</v>
      </c>
      <c r="AE1145" s="14">
        <v>402124.0</v>
      </c>
      <c r="AF1145" s="52"/>
      <c r="AG1145" s="22"/>
      <c r="AH1145" s="22"/>
      <c r="AI1145" s="22"/>
      <c r="AJ1145" s="22"/>
      <c r="AK1145" s="22"/>
      <c r="AL1145" s="22"/>
      <c r="AM1145" s="22"/>
      <c r="AN1145" s="22"/>
      <c r="AO1145" s="22"/>
      <c r="AP1145" s="22"/>
    </row>
    <row r="1146" hidden="1">
      <c r="A1146" s="69">
        <v>46141.0</v>
      </c>
      <c r="B1146" s="125">
        <v>0.7708333333333334</v>
      </c>
      <c r="C1146" s="126" t="s">
        <v>32</v>
      </c>
      <c r="D1146" s="102" t="s">
        <v>3243</v>
      </c>
      <c r="E1146" s="102" t="s">
        <v>71</v>
      </c>
      <c r="F1146" s="102" t="s">
        <v>3645</v>
      </c>
      <c r="G1146" s="126" t="s">
        <v>3652</v>
      </c>
      <c r="H1146" s="126" t="s">
        <v>2781</v>
      </c>
      <c r="I1146" s="102" t="s">
        <v>2782</v>
      </c>
      <c r="J1146" s="85">
        <v>56017.0</v>
      </c>
      <c r="K1146" s="85">
        <v>26756.0</v>
      </c>
      <c r="L1146" s="19">
        <v>0.4775</v>
      </c>
      <c r="M1146" s="127">
        <v>9823.0</v>
      </c>
      <c r="N1146" s="128">
        <v>0.3672</v>
      </c>
      <c r="O1146" s="20">
        <v>1225.0</v>
      </c>
      <c r="P1146" s="21">
        <v>1146.0</v>
      </c>
      <c r="Q1146" s="19">
        <v>0.0428</v>
      </c>
      <c r="R1146" s="129">
        <v>0.1167</v>
      </c>
      <c r="S1146" s="20">
        <v>12.0</v>
      </c>
      <c r="T1146" s="20">
        <v>41.0</v>
      </c>
      <c r="U1146" s="131">
        <v>21067.0</v>
      </c>
      <c r="V1146" s="21" t="s">
        <v>335</v>
      </c>
      <c r="W1146" s="21" t="s">
        <v>76</v>
      </c>
      <c r="X1146" s="21" t="s">
        <v>2594</v>
      </c>
      <c r="Y1146" s="21" t="s">
        <v>3648</v>
      </c>
      <c r="Z1146" s="20" t="s">
        <v>3653</v>
      </c>
      <c r="AA1146" s="18">
        <v>60.0</v>
      </c>
      <c r="AB1146" s="18">
        <v>60.0</v>
      </c>
      <c r="AC1146" s="52"/>
      <c r="AD1146" s="14">
        <v>115978.0</v>
      </c>
      <c r="AE1146" s="14">
        <v>115978.0</v>
      </c>
      <c r="AF1146" s="52"/>
      <c r="AG1146" s="22"/>
      <c r="AH1146" s="22"/>
      <c r="AI1146" s="22"/>
      <c r="AJ1146" s="22"/>
      <c r="AK1146" s="22"/>
      <c r="AL1146" s="22"/>
      <c r="AM1146" s="22"/>
      <c r="AN1146" s="22"/>
      <c r="AO1146" s="22"/>
      <c r="AP1146" s="22"/>
    </row>
    <row r="1147" hidden="1">
      <c r="A1147" s="69">
        <v>46141.0</v>
      </c>
      <c r="B1147" s="125">
        <v>0.7708333333333334</v>
      </c>
      <c r="C1147" s="126" t="s">
        <v>32</v>
      </c>
      <c r="D1147" s="102" t="s">
        <v>3243</v>
      </c>
      <c r="E1147" s="102" t="s">
        <v>71</v>
      </c>
      <c r="F1147" s="102" t="s">
        <v>3645</v>
      </c>
      <c r="G1147" s="126" t="s">
        <v>3654</v>
      </c>
      <c r="H1147" s="126" t="s">
        <v>2785</v>
      </c>
      <c r="I1147" s="102" t="s">
        <v>2786</v>
      </c>
      <c r="J1147" s="85">
        <v>12550.0</v>
      </c>
      <c r="K1147" s="85">
        <v>5127.0</v>
      </c>
      <c r="L1147" s="19">
        <v>0.4084</v>
      </c>
      <c r="M1147" s="127">
        <v>1998.0</v>
      </c>
      <c r="N1147" s="128">
        <v>0.3898</v>
      </c>
      <c r="O1147" s="20">
        <v>248.0</v>
      </c>
      <c r="P1147" s="21">
        <v>236.0</v>
      </c>
      <c r="Q1147" s="19">
        <v>0.046</v>
      </c>
      <c r="R1147" s="129">
        <v>0.1181</v>
      </c>
      <c r="S1147" s="20">
        <v>6.0</v>
      </c>
      <c r="T1147" s="20">
        <v>9.0</v>
      </c>
      <c r="U1147" s="131">
        <v>15936.0</v>
      </c>
      <c r="V1147" s="21" t="s">
        <v>335</v>
      </c>
      <c r="W1147" s="21" t="s">
        <v>76</v>
      </c>
      <c r="X1147" s="21" t="s">
        <v>2117</v>
      </c>
      <c r="Y1147" s="21" t="s">
        <v>3648</v>
      </c>
      <c r="Z1147" s="20" t="s">
        <v>3655</v>
      </c>
      <c r="AA1147" s="18">
        <v>22.0</v>
      </c>
      <c r="AB1147" s="18">
        <v>22.0</v>
      </c>
      <c r="AC1147" s="52"/>
      <c r="AD1147" s="14">
        <v>111253.0</v>
      </c>
      <c r="AE1147" s="14">
        <v>111253.0</v>
      </c>
      <c r="AF1147" s="52"/>
      <c r="AG1147" s="22"/>
      <c r="AH1147" s="22"/>
      <c r="AI1147" s="22"/>
      <c r="AJ1147" s="22"/>
      <c r="AK1147" s="22"/>
      <c r="AL1147" s="22"/>
      <c r="AM1147" s="22"/>
      <c r="AN1147" s="22"/>
      <c r="AO1147" s="22"/>
      <c r="AP1147" s="22"/>
    </row>
    <row r="1148" hidden="1">
      <c r="A1148" s="69">
        <v>46141.0</v>
      </c>
      <c r="B1148" s="125">
        <v>0.7708333333333334</v>
      </c>
      <c r="C1148" s="126" t="s">
        <v>32</v>
      </c>
      <c r="D1148" s="102" t="s">
        <v>3243</v>
      </c>
      <c r="E1148" s="102" t="s">
        <v>71</v>
      </c>
      <c r="F1148" s="102" t="s">
        <v>3645</v>
      </c>
      <c r="G1148" s="126" t="s">
        <v>3656</v>
      </c>
      <c r="H1148" s="126" t="s">
        <v>2789</v>
      </c>
      <c r="I1148" s="102" t="s">
        <v>2790</v>
      </c>
      <c r="J1148" s="85">
        <v>5186.0</v>
      </c>
      <c r="K1148" s="85">
        <v>2356.0</v>
      </c>
      <c r="L1148" s="19">
        <v>0.4541</v>
      </c>
      <c r="M1148" s="127">
        <v>802.0</v>
      </c>
      <c r="N1148" s="128">
        <v>0.3406</v>
      </c>
      <c r="O1148" s="20">
        <v>70.0</v>
      </c>
      <c r="P1148" s="21">
        <v>68.0</v>
      </c>
      <c r="Q1148" s="19">
        <v>0.0289</v>
      </c>
      <c r="R1148" s="129">
        <v>0.0848</v>
      </c>
      <c r="S1148" s="20">
        <v>2.0</v>
      </c>
      <c r="T1148" s="20">
        <v>4.0</v>
      </c>
      <c r="U1148" s="131">
        <v>6076.0</v>
      </c>
      <c r="V1148" s="21" t="s">
        <v>335</v>
      </c>
      <c r="W1148" s="21" t="s">
        <v>76</v>
      </c>
      <c r="X1148" s="21" t="s">
        <v>41</v>
      </c>
      <c r="Y1148" s="21" t="s">
        <v>3648</v>
      </c>
      <c r="Z1148" s="20" t="s">
        <v>3657</v>
      </c>
      <c r="AA1148" s="18">
        <v>7.0</v>
      </c>
      <c r="AB1148" s="18">
        <v>7.0</v>
      </c>
      <c r="AC1148" s="52"/>
      <c r="AD1148" s="14">
        <v>28225.0</v>
      </c>
      <c r="AE1148" s="14">
        <v>28225.0</v>
      </c>
      <c r="AF1148" s="52"/>
      <c r="AG1148" s="22"/>
      <c r="AH1148" s="22"/>
      <c r="AI1148" s="22"/>
      <c r="AJ1148" s="22"/>
      <c r="AK1148" s="22"/>
      <c r="AL1148" s="22"/>
      <c r="AM1148" s="22"/>
      <c r="AN1148" s="22"/>
      <c r="AO1148" s="22"/>
      <c r="AP1148" s="22"/>
    </row>
    <row r="1149" hidden="1">
      <c r="A1149" s="69">
        <v>46141.0</v>
      </c>
      <c r="B1149" s="125">
        <v>0.7708333333333334</v>
      </c>
      <c r="C1149" s="126" t="s">
        <v>32</v>
      </c>
      <c r="D1149" s="102" t="s">
        <v>3243</v>
      </c>
      <c r="E1149" s="102" t="s">
        <v>71</v>
      </c>
      <c r="F1149" s="102" t="s">
        <v>3645</v>
      </c>
      <c r="G1149" s="126" t="s">
        <v>3658</v>
      </c>
      <c r="H1149" s="126" t="s">
        <v>2793</v>
      </c>
      <c r="I1149" s="102" t="s">
        <v>2794</v>
      </c>
      <c r="J1149" s="85">
        <v>4841.0</v>
      </c>
      <c r="K1149" s="85">
        <v>2597.0</v>
      </c>
      <c r="L1149" s="19">
        <v>0.5365</v>
      </c>
      <c r="M1149" s="127">
        <v>1210.0</v>
      </c>
      <c r="N1149" s="128">
        <v>0.4659</v>
      </c>
      <c r="O1149" s="20">
        <v>342.0</v>
      </c>
      <c r="P1149" s="21">
        <v>320.0</v>
      </c>
      <c r="Q1149" s="19">
        <v>0.1232</v>
      </c>
      <c r="R1149" s="129">
        <v>0.2645</v>
      </c>
      <c r="S1149" s="20">
        <v>15.0</v>
      </c>
      <c r="T1149" s="20">
        <v>95.0</v>
      </c>
      <c r="U1149" s="131">
        <v>28423.0</v>
      </c>
      <c r="V1149" s="132" t="s">
        <v>335</v>
      </c>
      <c r="W1149" s="21" t="s">
        <v>76</v>
      </c>
      <c r="X1149" s="21" t="s">
        <v>2492</v>
      </c>
      <c r="Y1149" s="21" t="s">
        <v>3648</v>
      </c>
      <c r="Z1149" s="20" t="s">
        <v>3659</v>
      </c>
      <c r="AA1149" s="18">
        <v>43.0</v>
      </c>
      <c r="AB1149" s="18">
        <v>43.0</v>
      </c>
      <c r="AC1149" s="52"/>
      <c r="AD1149" s="14">
        <v>83992.0</v>
      </c>
      <c r="AE1149" s="14">
        <v>83992.0</v>
      </c>
      <c r="AF1149" s="52"/>
      <c r="AG1149" s="22"/>
      <c r="AH1149" s="22"/>
      <c r="AI1149" s="22"/>
      <c r="AJ1149" s="22"/>
      <c r="AK1149" s="22"/>
      <c r="AL1149" s="22"/>
      <c r="AM1149" s="22"/>
      <c r="AN1149" s="22"/>
      <c r="AO1149" s="22"/>
      <c r="AP1149" s="22"/>
    </row>
    <row r="1150" hidden="1">
      <c r="A1150" s="69">
        <v>46141.0</v>
      </c>
      <c r="B1150" s="125">
        <v>0.7708333333333334</v>
      </c>
      <c r="C1150" s="126" t="s">
        <v>32</v>
      </c>
      <c r="D1150" s="102" t="s">
        <v>3243</v>
      </c>
      <c r="E1150" s="102" t="s">
        <v>71</v>
      </c>
      <c r="F1150" s="102" t="s">
        <v>3645</v>
      </c>
      <c r="G1150" s="126" t="s">
        <v>3660</v>
      </c>
      <c r="H1150" s="126" t="s">
        <v>2797</v>
      </c>
      <c r="I1150" s="102" t="s">
        <v>2798</v>
      </c>
      <c r="J1150" s="85">
        <v>62950.0</v>
      </c>
      <c r="K1150" s="85">
        <v>42920.0</v>
      </c>
      <c r="L1150" s="19">
        <v>0.6816</v>
      </c>
      <c r="M1150" s="127">
        <v>22102.0</v>
      </c>
      <c r="N1150" s="128">
        <v>0.5151</v>
      </c>
      <c r="O1150" s="20">
        <v>4917.0</v>
      </c>
      <c r="P1150" s="21">
        <v>4619.0</v>
      </c>
      <c r="Q1150" s="19">
        <v>0.1076</v>
      </c>
      <c r="R1150" s="129">
        <v>0.209</v>
      </c>
      <c r="S1150" s="20">
        <v>20.0</v>
      </c>
      <c r="T1150" s="20">
        <v>47.0</v>
      </c>
      <c r="U1150" s="131">
        <v>56858.0</v>
      </c>
      <c r="V1150" s="132" t="s">
        <v>335</v>
      </c>
      <c r="W1150" s="21" t="s">
        <v>76</v>
      </c>
      <c r="X1150" s="21" t="s">
        <v>2799</v>
      </c>
      <c r="Y1150" s="21" t="s">
        <v>3648</v>
      </c>
      <c r="Z1150" s="20" t="s">
        <v>3661</v>
      </c>
      <c r="AA1150" s="18">
        <v>95.0</v>
      </c>
      <c r="AB1150" s="18">
        <v>95.0</v>
      </c>
      <c r="AC1150" s="52"/>
      <c r="AD1150" s="14">
        <v>248474.0</v>
      </c>
      <c r="AE1150" s="14">
        <v>248474.0</v>
      </c>
      <c r="AF1150" s="52"/>
      <c r="AG1150" s="22"/>
      <c r="AH1150" s="22"/>
      <c r="AI1150" s="22"/>
      <c r="AJ1150" s="22"/>
      <c r="AK1150" s="22"/>
      <c r="AL1150" s="22"/>
      <c r="AM1150" s="22"/>
      <c r="AN1150" s="22"/>
      <c r="AO1150" s="22"/>
      <c r="AP1150" s="22"/>
    </row>
    <row r="1151" hidden="1">
      <c r="A1151" s="69">
        <v>46141.0</v>
      </c>
      <c r="B1151" s="125">
        <v>0.8125</v>
      </c>
      <c r="C1151" s="126" t="s">
        <v>58</v>
      </c>
      <c r="D1151" s="102" t="s">
        <v>3083</v>
      </c>
      <c r="E1151" s="102" t="s">
        <v>71</v>
      </c>
      <c r="F1151" s="102" t="s">
        <v>3645</v>
      </c>
      <c r="G1151" s="126" t="s">
        <v>3662</v>
      </c>
      <c r="H1151" s="126" t="s">
        <v>3647</v>
      </c>
      <c r="I1151" s="102" t="s">
        <v>61</v>
      </c>
      <c r="J1151" s="85">
        <v>2072.0</v>
      </c>
      <c r="K1151" s="85">
        <v>915.0</v>
      </c>
      <c r="L1151" s="19">
        <v>0.4416</v>
      </c>
      <c r="M1151" s="127">
        <v>0.0</v>
      </c>
      <c r="N1151" s="128">
        <v>0.0</v>
      </c>
      <c r="O1151" s="20">
        <v>13.0</v>
      </c>
      <c r="P1151" s="21">
        <v>0.0</v>
      </c>
      <c r="Q1151" s="19">
        <v>0.0142</v>
      </c>
      <c r="R1151" s="129">
        <v>0.0</v>
      </c>
      <c r="S1151" s="20">
        <v>1.0</v>
      </c>
      <c r="T1151" s="20">
        <v>1.0</v>
      </c>
      <c r="U1151" s="131">
        <v>748.0</v>
      </c>
      <c r="V1151" s="21" t="s">
        <v>335</v>
      </c>
      <c r="W1151" s="21" t="s">
        <v>3257</v>
      </c>
      <c r="X1151" s="21" t="s">
        <v>165</v>
      </c>
      <c r="Y1151" s="133">
        <v>46141.0</v>
      </c>
      <c r="Z1151" s="20" t="s">
        <v>3663</v>
      </c>
      <c r="AA1151" s="18">
        <v>4.0</v>
      </c>
      <c r="AB1151" s="18">
        <v>4.0</v>
      </c>
      <c r="AC1151" s="52"/>
      <c r="AD1151" s="14">
        <v>18185.0</v>
      </c>
      <c r="AE1151" s="14">
        <v>18185.0</v>
      </c>
      <c r="AF1151" s="52"/>
      <c r="AG1151" s="22"/>
      <c r="AH1151" s="22"/>
      <c r="AI1151" s="22"/>
      <c r="AJ1151" s="22"/>
      <c r="AK1151" s="22"/>
      <c r="AL1151" s="22"/>
      <c r="AM1151" s="22"/>
      <c r="AN1151" s="22"/>
      <c r="AO1151" s="22"/>
      <c r="AP1151" s="22"/>
    </row>
    <row r="1152" hidden="1">
      <c r="A1152" s="69">
        <v>46141.0</v>
      </c>
      <c r="B1152" s="125">
        <v>0.8125</v>
      </c>
      <c r="C1152" s="126" t="s">
        <v>58</v>
      </c>
      <c r="D1152" s="102" t="s">
        <v>3083</v>
      </c>
      <c r="E1152" s="102" t="s">
        <v>71</v>
      </c>
      <c r="F1152" s="102" t="s">
        <v>3645</v>
      </c>
      <c r="G1152" s="126" t="s">
        <v>3664</v>
      </c>
      <c r="H1152" s="126" t="s">
        <v>2777</v>
      </c>
      <c r="I1152" s="102" t="s">
        <v>61</v>
      </c>
      <c r="J1152" s="85">
        <v>32363.0</v>
      </c>
      <c r="K1152" s="85">
        <v>16954.0</v>
      </c>
      <c r="L1152" s="19">
        <v>0.5239</v>
      </c>
      <c r="M1152" s="127">
        <v>0.0</v>
      </c>
      <c r="N1152" s="128">
        <v>0.0</v>
      </c>
      <c r="O1152" s="20">
        <v>89.0</v>
      </c>
      <c r="P1152" s="21">
        <v>0.0</v>
      </c>
      <c r="Q1152" s="19">
        <v>0.0052</v>
      </c>
      <c r="R1152" s="129">
        <v>0.0</v>
      </c>
      <c r="S1152" s="20">
        <v>9.0</v>
      </c>
      <c r="T1152" s="20">
        <v>20.0</v>
      </c>
      <c r="U1152" s="131">
        <v>19785.0</v>
      </c>
      <c r="V1152" s="21" t="s">
        <v>335</v>
      </c>
      <c r="W1152" s="21" t="s">
        <v>3257</v>
      </c>
      <c r="X1152" s="21" t="s">
        <v>82</v>
      </c>
      <c r="Y1152" s="133">
        <v>46141.0</v>
      </c>
      <c r="Z1152" s="20" t="s">
        <v>3665</v>
      </c>
      <c r="AA1152" s="18">
        <v>43.0</v>
      </c>
      <c r="AB1152" s="18">
        <v>43.0</v>
      </c>
      <c r="AC1152" s="52"/>
      <c r="AD1152" s="14">
        <v>116897.0</v>
      </c>
      <c r="AE1152" s="14">
        <v>116897.0</v>
      </c>
      <c r="AF1152" s="52"/>
      <c r="AG1152" s="22"/>
      <c r="AH1152" s="22"/>
      <c r="AI1152" s="22"/>
      <c r="AJ1152" s="22"/>
      <c r="AK1152" s="22"/>
      <c r="AL1152" s="22"/>
      <c r="AM1152" s="22"/>
      <c r="AN1152" s="22"/>
      <c r="AO1152" s="22"/>
      <c r="AP1152" s="22"/>
    </row>
    <row r="1153" hidden="1">
      <c r="A1153" s="69">
        <v>46141.0</v>
      </c>
      <c r="B1153" s="125">
        <v>0.8125</v>
      </c>
      <c r="C1153" s="126" t="s">
        <v>58</v>
      </c>
      <c r="D1153" s="102" t="s">
        <v>3083</v>
      </c>
      <c r="E1153" s="102" t="s">
        <v>71</v>
      </c>
      <c r="F1153" s="102" t="s">
        <v>3645</v>
      </c>
      <c r="G1153" s="126" t="s">
        <v>3666</v>
      </c>
      <c r="H1153" s="126" t="s">
        <v>2781</v>
      </c>
      <c r="I1153" s="102" t="s">
        <v>61</v>
      </c>
      <c r="J1153" s="85">
        <v>28264.0</v>
      </c>
      <c r="K1153" s="85">
        <v>17563.0</v>
      </c>
      <c r="L1153" s="19">
        <v>0.6214</v>
      </c>
      <c r="M1153" s="127">
        <v>0.0</v>
      </c>
      <c r="N1153" s="128">
        <v>0.0</v>
      </c>
      <c r="O1153" s="20">
        <v>60.0</v>
      </c>
      <c r="P1153" s="21">
        <v>0.0</v>
      </c>
      <c r="Q1153" s="19">
        <v>0.0034</v>
      </c>
      <c r="R1153" s="129">
        <v>0.0</v>
      </c>
      <c r="S1153" s="20">
        <v>2.0</v>
      </c>
      <c r="T1153" s="20">
        <v>7.0</v>
      </c>
      <c r="U1153" s="131">
        <v>3968.0</v>
      </c>
      <c r="V1153" s="21" t="s">
        <v>335</v>
      </c>
      <c r="W1153" s="21" t="s">
        <v>3257</v>
      </c>
      <c r="X1153" s="21" t="s">
        <v>2594</v>
      </c>
      <c r="Y1153" s="133">
        <v>46141.0</v>
      </c>
      <c r="Z1153" s="20" t="s">
        <v>3667</v>
      </c>
      <c r="AA1153" s="18">
        <v>12.0</v>
      </c>
      <c r="AB1153" s="18">
        <v>12.0</v>
      </c>
      <c r="AC1153" s="52"/>
      <c r="AD1153" s="14">
        <v>22083.0</v>
      </c>
      <c r="AE1153" s="14">
        <v>22083.0</v>
      </c>
      <c r="AF1153" s="52"/>
      <c r="AG1153" s="22"/>
      <c r="AH1153" s="22"/>
      <c r="AI1153" s="22"/>
      <c r="AJ1153" s="22"/>
      <c r="AK1153" s="22"/>
      <c r="AL1153" s="22"/>
      <c r="AM1153" s="22"/>
      <c r="AN1153" s="22"/>
      <c r="AO1153" s="22"/>
      <c r="AP1153" s="22"/>
    </row>
    <row r="1154" hidden="1">
      <c r="A1154" s="69">
        <v>46141.0</v>
      </c>
      <c r="B1154" s="125">
        <v>0.8125</v>
      </c>
      <c r="C1154" s="126" t="s">
        <v>58</v>
      </c>
      <c r="D1154" s="102" t="s">
        <v>3083</v>
      </c>
      <c r="E1154" s="102" t="s">
        <v>71</v>
      </c>
      <c r="F1154" s="102" t="s">
        <v>3645</v>
      </c>
      <c r="G1154" s="126" t="s">
        <v>3668</v>
      </c>
      <c r="H1154" s="126" t="s">
        <v>2785</v>
      </c>
      <c r="I1154" s="102" t="s">
        <v>61</v>
      </c>
      <c r="J1154" s="85">
        <v>7233.0</v>
      </c>
      <c r="K1154" s="85">
        <v>3530.0</v>
      </c>
      <c r="L1154" s="19">
        <v>0.488</v>
      </c>
      <c r="M1154" s="127">
        <v>0.0</v>
      </c>
      <c r="N1154" s="128">
        <v>0.0</v>
      </c>
      <c r="O1154" s="20">
        <v>20.0</v>
      </c>
      <c r="P1154" s="21">
        <v>0.0</v>
      </c>
      <c r="Q1154" s="19">
        <v>0.0057</v>
      </c>
      <c r="R1154" s="129">
        <v>0.0</v>
      </c>
      <c r="S1154" s="20">
        <v>1.0</v>
      </c>
      <c r="T1154" s="20">
        <v>2.0</v>
      </c>
      <c r="U1154" s="131">
        <v>1899.0</v>
      </c>
      <c r="V1154" s="21" t="s">
        <v>335</v>
      </c>
      <c r="W1154" s="21" t="s">
        <v>3257</v>
      </c>
      <c r="X1154" s="21" t="s">
        <v>2117</v>
      </c>
      <c r="Y1154" s="133">
        <v>46141.0</v>
      </c>
      <c r="Z1154" s="20" t="s">
        <v>3669</v>
      </c>
      <c r="AA1154" s="18">
        <v>3.0</v>
      </c>
      <c r="AB1154" s="18">
        <v>3.0</v>
      </c>
      <c r="AC1154" s="52"/>
      <c r="AD1154" s="14">
        <v>54551.0</v>
      </c>
      <c r="AE1154" s="14">
        <v>54551.0</v>
      </c>
      <c r="AF1154" s="52"/>
      <c r="AG1154" s="22"/>
      <c r="AH1154" s="22"/>
      <c r="AI1154" s="22"/>
      <c r="AJ1154" s="22"/>
      <c r="AK1154" s="22"/>
      <c r="AL1154" s="22"/>
      <c r="AM1154" s="22"/>
      <c r="AN1154" s="22"/>
      <c r="AO1154" s="22"/>
      <c r="AP1154" s="22"/>
    </row>
    <row r="1155" hidden="1">
      <c r="A1155" s="69">
        <v>46141.0</v>
      </c>
      <c r="B1155" s="125">
        <v>0.8125</v>
      </c>
      <c r="C1155" s="126" t="s">
        <v>58</v>
      </c>
      <c r="D1155" s="102" t="s">
        <v>3083</v>
      </c>
      <c r="E1155" s="102" t="s">
        <v>71</v>
      </c>
      <c r="F1155" s="102" t="s">
        <v>3645</v>
      </c>
      <c r="G1155" s="126" t="s">
        <v>3670</v>
      </c>
      <c r="H1155" s="126" t="s">
        <v>2789</v>
      </c>
      <c r="I1155" s="102" t="s">
        <v>61</v>
      </c>
      <c r="J1155" s="85">
        <v>2721.0</v>
      </c>
      <c r="K1155" s="85">
        <v>1519.0</v>
      </c>
      <c r="L1155" s="19">
        <v>0.5583</v>
      </c>
      <c r="M1155" s="127">
        <v>0.0</v>
      </c>
      <c r="N1155" s="128">
        <v>0.0</v>
      </c>
      <c r="O1155" s="20">
        <v>4.0</v>
      </c>
      <c r="P1155" s="21">
        <v>0.0</v>
      </c>
      <c r="Q1155" s="19">
        <v>0.0026</v>
      </c>
      <c r="R1155" s="129">
        <v>0.0</v>
      </c>
      <c r="S1155" s="20">
        <v>0.0</v>
      </c>
      <c r="T1155" s="20">
        <v>0.0</v>
      </c>
      <c r="U1155" s="131">
        <v>0.0</v>
      </c>
      <c r="V1155" s="21" t="s">
        <v>335</v>
      </c>
      <c r="W1155" s="21" t="s">
        <v>3257</v>
      </c>
      <c r="X1155" s="21" t="s">
        <v>41</v>
      </c>
      <c r="Y1155" s="133">
        <v>46141.0</v>
      </c>
      <c r="Z1155" s="20" t="s">
        <v>3671</v>
      </c>
      <c r="AA1155" s="18">
        <v>0.0</v>
      </c>
      <c r="AB1155" s="18">
        <v>0.0</v>
      </c>
      <c r="AC1155" s="52"/>
      <c r="AD1155" s="14">
        <v>0.0</v>
      </c>
      <c r="AE1155" s="14">
        <v>0.0</v>
      </c>
      <c r="AF1155" s="52"/>
      <c r="AG1155" s="22"/>
      <c r="AH1155" s="22"/>
      <c r="AI1155" s="22"/>
      <c r="AJ1155" s="22"/>
      <c r="AK1155" s="22"/>
      <c r="AL1155" s="22"/>
      <c r="AM1155" s="22"/>
      <c r="AN1155" s="22"/>
      <c r="AO1155" s="22"/>
      <c r="AP1155" s="22"/>
    </row>
    <row r="1156" hidden="1">
      <c r="A1156" s="69">
        <v>46141.0</v>
      </c>
      <c r="B1156" s="125">
        <v>0.8125</v>
      </c>
      <c r="C1156" s="126" t="s">
        <v>58</v>
      </c>
      <c r="D1156" s="102" t="s">
        <v>3083</v>
      </c>
      <c r="E1156" s="102" t="s">
        <v>71</v>
      </c>
      <c r="F1156" s="102" t="s">
        <v>3645</v>
      </c>
      <c r="G1156" s="126" t="s">
        <v>3672</v>
      </c>
      <c r="H1156" s="126" t="s">
        <v>2793</v>
      </c>
      <c r="I1156" s="102" t="s">
        <v>61</v>
      </c>
      <c r="J1156" s="85">
        <v>2189.0</v>
      </c>
      <c r="K1156" s="85">
        <v>1417.0</v>
      </c>
      <c r="L1156" s="19">
        <v>0.6473</v>
      </c>
      <c r="M1156" s="127">
        <v>0.0</v>
      </c>
      <c r="N1156" s="128">
        <v>0.0</v>
      </c>
      <c r="O1156" s="20">
        <v>24.0</v>
      </c>
      <c r="P1156" s="21">
        <v>0.0</v>
      </c>
      <c r="Q1156" s="19">
        <v>0.0169</v>
      </c>
      <c r="R1156" s="129">
        <v>0.0</v>
      </c>
      <c r="S1156" s="20">
        <v>5.0</v>
      </c>
      <c r="T1156" s="20">
        <v>31.0</v>
      </c>
      <c r="U1156" s="131">
        <v>20780.0</v>
      </c>
      <c r="V1156" s="132" t="s">
        <v>335</v>
      </c>
      <c r="W1156" s="21" t="s">
        <v>3257</v>
      </c>
      <c r="X1156" s="21" t="s">
        <v>2492</v>
      </c>
      <c r="Y1156" s="133">
        <v>46141.0</v>
      </c>
      <c r="Z1156" s="20" t="s">
        <v>3673</v>
      </c>
      <c r="AA1156" s="18">
        <v>15.0</v>
      </c>
      <c r="AB1156" s="18">
        <v>15.0</v>
      </c>
      <c r="AC1156" s="52"/>
      <c r="AD1156" s="14">
        <v>44130.0</v>
      </c>
      <c r="AE1156" s="14">
        <v>44130.0</v>
      </c>
      <c r="AF1156" s="52"/>
      <c r="AG1156" s="22"/>
      <c r="AH1156" s="22"/>
      <c r="AI1156" s="22"/>
      <c r="AJ1156" s="22"/>
      <c r="AK1156" s="22"/>
      <c r="AL1156" s="22"/>
      <c r="AM1156" s="22"/>
      <c r="AN1156" s="22"/>
      <c r="AO1156" s="22"/>
      <c r="AP1156" s="22"/>
    </row>
    <row r="1157" hidden="1">
      <c r="A1157" s="69">
        <v>46141.0</v>
      </c>
      <c r="B1157" s="125">
        <v>0.8125</v>
      </c>
      <c r="C1157" s="126" t="s">
        <v>58</v>
      </c>
      <c r="D1157" s="102" t="s">
        <v>3083</v>
      </c>
      <c r="E1157" s="102" t="s">
        <v>71</v>
      </c>
      <c r="F1157" s="102" t="s">
        <v>3645</v>
      </c>
      <c r="G1157" s="126" t="s">
        <v>3674</v>
      </c>
      <c r="H1157" s="126" t="s">
        <v>2797</v>
      </c>
      <c r="I1157" s="102" t="s">
        <v>61</v>
      </c>
      <c r="J1157" s="85">
        <v>19855.0</v>
      </c>
      <c r="K1157" s="85">
        <v>10683.0</v>
      </c>
      <c r="L1157" s="19">
        <v>0.5381</v>
      </c>
      <c r="M1157" s="127">
        <v>0.0</v>
      </c>
      <c r="N1157" s="128">
        <v>0.0</v>
      </c>
      <c r="O1157" s="20">
        <v>86.0</v>
      </c>
      <c r="P1157" s="21">
        <v>0.0</v>
      </c>
      <c r="Q1157" s="19">
        <v>0.0081</v>
      </c>
      <c r="R1157" s="129">
        <v>0.0</v>
      </c>
      <c r="S1157" s="20">
        <v>2.0</v>
      </c>
      <c r="T1157" s="20">
        <v>2.0</v>
      </c>
      <c r="U1157" s="131">
        <v>3017.0</v>
      </c>
      <c r="V1157" s="132" t="s">
        <v>335</v>
      </c>
      <c r="W1157" s="21" t="s">
        <v>3257</v>
      </c>
      <c r="X1157" s="21" t="s">
        <v>2799</v>
      </c>
      <c r="Y1157" s="133">
        <v>46141.0</v>
      </c>
      <c r="Z1157" s="20" t="s">
        <v>3675</v>
      </c>
      <c r="AA1157" s="18">
        <v>8.0</v>
      </c>
      <c r="AB1157" s="18">
        <v>8.0</v>
      </c>
      <c r="AC1157" s="52"/>
      <c r="AD1157" s="14">
        <v>22053.0</v>
      </c>
      <c r="AE1157" s="14">
        <v>22053.0</v>
      </c>
      <c r="AF1157" s="52"/>
      <c r="AG1157" s="22"/>
      <c r="AH1157" s="22"/>
      <c r="AI1157" s="22"/>
      <c r="AJ1157" s="22"/>
      <c r="AK1157" s="22"/>
      <c r="AL1157" s="22"/>
      <c r="AM1157" s="22"/>
      <c r="AN1157" s="22"/>
      <c r="AO1157" s="22"/>
      <c r="AP1157" s="22"/>
    </row>
    <row r="1158" hidden="1">
      <c r="A1158" s="69">
        <v>46142.0</v>
      </c>
      <c r="B1158" s="125">
        <v>0.7083333333333334</v>
      </c>
      <c r="C1158" s="126" t="s">
        <v>32</v>
      </c>
      <c r="D1158" s="102" t="s">
        <v>3243</v>
      </c>
      <c r="E1158" s="102" t="s">
        <v>217</v>
      </c>
      <c r="F1158" s="102" t="s">
        <v>3676</v>
      </c>
      <c r="G1158" s="126" t="s">
        <v>3677</v>
      </c>
      <c r="H1158" s="126" t="s">
        <v>3678</v>
      </c>
      <c r="I1158" s="102" t="s">
        <v>3679</v>
      </c>
      <c r="J1158" s="85">
        <v>387924.0</v>
      </c>
      <c r="K1158" s="85">
        <v>250043.0</v>
      </c>
      <c r="L1158" s="19">
        <v>0.6445</v>
      </c>
      <c r="M1158" s="127">
        <v>139399.0</v>
      </c>
      <c r="N1158" s="128">
        <v>0.5575</v>
      </c>
      <c r="O1158" s="20">
        <v>7125.0</v>
      </c>
      <c r="P1158" s="21">
        <v>6830.0</v>
      </c>
      <c r="Q1158" s="19">
        <v>0.0273</v>
      </c>
      <c r="R1158" s="129">
        <v>0.049</v>
      </c>
      <c r="S1158" s="20">
        <v>0.0</v>
      </c>
      <c r="T1158" s="20">
        <v>0.0</v>
      </c>
      <c r="U1158" s="131">
        <v>0.0</v>
      </c>
      <c r="V1158" s="21" t="s">
        <v>315</v>
      </c>
      <c r="W1158" s="21" t="s">
        <v>76</v>
      </c>
      <c r="X1158" s="21" t="s">
        <v>1101</v>
      </c>
      <c r="Y1158" s="21" t="s">
        <v>3680</v>
      </c>
      <c r="Z1158" s="20" t="s">
        <v>3681</v>
      </c>
      <c r="AA1158" s="14">
        <v>16150.0</v>
      </c>
      <c r="AB1158" s="18"/>
      <c r="AC1158" s="14">
        <v>16150.0</v>
      </c>
      <c r="AD1158" s="14">
        <v>3.419507E7</v>
      </c>
      <c r="AE1158" s="14"/>
      <c r="AF1158" s="14">
        <v>3.419507E7</v>
      </c>
      <c r="AG1158" s="22"/>
      <c r="AH1158" s="22"/>
      <c r="AI1158" s="22"/>
      <c r="AJ1158" s="22"/>
      <c r="AK1158" s="22"/>
      <c r="AL1158" s="22"/>
      <c r="AM1158" s="22"/>
      <c r="AN1158" s="22"/>
      <c r="AO1158" s="22"/>
      <c r="AP1158" s="22"/>
    </row>
    <row r="1159" hidden="1">
      <c r="A1159" s="69">
        <v>46142.0</v>
      </c>
      <c r="B1159" s="125">
        <v>0.4791666666666667</v>
      </c>
      <c r="C1159" s="126" t="s">
        <v>32</v>
      </c>
      <c r="D1159" s="102" t="s">
        <v>3243</v>
      </c>
      <c r="E1159" s="102" t="s">
        <v>71</v>
      </c>
      <c r="F1159" s="102" t="s">
        <v>3645</v>
      </c>
      <c r="G1159" s="126" t="s">
        <v>3682</v>
      </c>
      <c r="H1159" s="126" t="s">
        <v>2816</v>
      </c>
      <c r="I1159" s="102" t="s">
        <v>2817</v>
      </c>
      <c r="J1159" s="85">
        <v>10691.0</v>
      </c>
      <c r="K1159" s="85">
        <v>5276.0</v>
      </c>
      <c r="L1159" s="19">
        <v>0.4935</v>
      </c>
      <c r="M1159" s="127">
        <v>1974.0</v>
      </c>
      <c r="N1159" s="128">
        <v>0.3741</v>
      </c>
      <c r="O1159" s="20">
        <v>190.0</v>
      </c>
      <c r="P1159" s="21">
        <v>179.0</v>
      </c>
      <c r="Q1159" s="19">
        <v>0.0339</v>
      </c>
      <c r="R1159" s="129">
        <v>0.0907</v>
      </c>
      <c r="S1159" s="20">
        <v>0.0</v>
      </c>
      <c r="T1159" s="20">
        <v>3.0</v>
      </c>
      <c r="U1159" s="131">
        <v>0.0</v>
      </c>
      <c r="V1159" s="21" t="s">
        <v>315</v>
      </c>
      <c r="W1159" s="21" t="s">
        <v>76</v>
      </c>
      <c r="X1159" s="21" t="s">
        <v>165</v>
      </c>
      <c r="Y1159" s="116" t="s">
        <v>3683</v>
      </c>
      <c r="Z1159" s="20" t="s">
        <v>3684</v>
      </c>
      <c r="AA1159" s="18">
        <v>168.0</v>
      </c>
      <c r="AB1159" s="18"/>
      <c r="AC1159" s="18">
        <v>168.0</v>
      </c>
      <c r="AD1159" s="14">
        <v>741478.0</v>
      </c>
      <c r="AE1159" s="14"/>
      <c r="AF1159" s="14">
        <v>741478.0</v>
      </c>
      <c r="AG1159" s="22"/>
      <c r="AH1159" s="22"/>
      <c r="AI1159" s="22"/>
      <c r="AJ1159" s="22"/>
      <c r="AK1159" s="22"/>
      <c r="AL1159" s="22"/>
      <c r="AM1159" s="22"/>
      <c r="AN1159" s="22"/>
      <c r="AO1159" s="22"/>
      <c r="AP1159" s="22"/>
    </row>
    <row r="1160" hidden="1">
      <c r="A1160" s="69">
        <v>46142.0</v>
      </c>
      <c r="B1160" s="125">
        <v>0.4791666666666667</v>
      </c>
      <c r="C1160" s="126" t="s">
        <v>32</v>
      </c>
      <c r="D1160" s="102" t="s">
        <v>3243</v>
      </c>
      <c r="E1160" s="102" t="s">
        <v>71</v>
      </c>
      <c r="F1160" s="102" t="s">
        <v>3645</v>
      </c>
      <c r="G1160" s="126" t="s">
        <v>3685</v>
      </c>
      <c r="H1160" s="126" t="s">
        <v>2830</v>
      </c>
      <c r="I1160" s="102" t="s">
        <v>2831</v>
      </c>
      <c r="J1160" s="85">
        <v>71583.0</v>
      </c>
      <c r="K1160" s="85">
        <v>37541.0</v>
      </c>
      <c r="L1160" s="19">
        <v>0.5244</v>
      </c>
      <c r="M1160" s="127">
        <v>13524.0</v>
      </c>
      <c r="N1160" s="128">
        <v>0.3603</v>
      </c>
      <c r="O1160" s="20">
        <v>995.0</v>
      </c>
      <c r="P1160" s="21">
        <v>943.0</v>
      </c>
      <c r="Q1160" s="19">
        <v>0.0251</v>
      </c>
      <c r="R1160" s="129">
        <v>0.0697</v>
      </c>
      <c r="S1160" s="20">
        <v>7.0</v>
      </c>
      <c r="T1160" s="20">
        <v>23.0</v>
      </c>
      <c r="U1160" s="131">
        <v>26904.0</v>
      </c>
      <c r="V1160" s="21" t="s">
        <v>315</v>
      </c>
      <c r="W1160" s="21" t="s">
        <v>76</v>
      </c>
      <c r="X1160" s="21" t="s">
        <v>2117</v>
      </c>
      <c r="Y1160" s="116" t="s">
        <v>3683</v>
      </c>
      <c r="Z1160" s="20" t="s">
        <v>3686</v>
      </c>
      <c r="AA1160" s="18">
        <v>233.0</v>
      </c>
      <c r="AB1160" s="18"/>
      <c r="AC1160" s="18">
        <v>233.0</v>
      </c>
      <c r="AD1160" s="14">
        <v>1062471.0</v>
      </c>
      <c r="AE1160" s="14"/>
      <c r="AF1160" s="14">
        <v>1062471.0</v>
      </c>
      <c r="AG1160" s="22"/>
      <c r="AH1160" s="22"/>
      <c r="AI1160" s="22"/>
      <c r="AJ1160" s="22"/>
      <c r="AK1160" s="22"/>
      <c r="AL1160" s="22"/>
      <c r="AM1160" s="22"/>
      <c r="AN1160" s="22"/>
      <c r="AO1160" s="22"/>
      <c r="AP1160" s="22"/>
    </row>
    <row r="1161" hidden="1">
      <c r="A1161" s="69">
        <v>46142.0</v>
      </c>
      <c r="B1161" s="125">
        <v>0.4791666666666667</v>
      </c>
      <c r="C1161" s="126" t="s">
        <v>32</v>
      </c>
      <c r="D1161" s="102" t="s">
        <v>3243</v>
      </c>
      <c r="E1161" s="102" t="s">
        <v>71</v>
      </c>
      <c r="F1161" s="102" t="s">
        <v>3645</v>
      </c>
      <c r="G1161" s="126" t="s">
        <v>3687</v>
      </c>
      <c r="H1161" s="126" t="s">
        <v>2825</v>
      </c>
      <c r="I1161" s="102" t="s">
        <v>2826</v>
      </c>
      <c r="J1161" s="85">
        <v>117057.0</v>
      </c>
      <c r="K1161" s="85">
        <v>64812.0</v>
      </c>
      <c r="L1161" s="19">
        <v>0.5537</v>
      </c>
      <c r="M1161" s="127">
        <v>23069.0</v>
      </c>
      <c r="N1161" s="128">
        <v>0.3559</v>
      </c>
      <c r="O1161" s="20">
        <v>1967.0</v>
      </c>
      <c r="P1161" s="21">
        <v>1857.0</v>
      </c>
      <c r="Q1161" s="19">
        <v>0.0287</v>
      </c>
      <c r="R1161" s="129">
        <v>0.0805</v>
      </c>
      <c r="S1161" s="20">
        <v>12.0</v>
      </c>
      <c r="T1161" s="20">
        <v>29.0</v>
      </c>
      <c r="U1161" s="131">
        <v>50761.0</v>
      </c>
      <c r="V1161" s="21" t="s">
        <v>315</v>
      </c>
      <c r="W1161" s="21" t="s">
        <v>76</v>
      </c>
      <c r="X1161" s="21" t="s">
        <v>2827</v>
      </c>
      <c r="Y1161" s="116" t="s">
        <v>3683</v>
      </c>
      <c r="Z1161" s="20" t="s">
        <v>3688</v>
      </c>
      <c r="AA1161" s="18">
        <v>312.0</v>
      </c>
      <c r="AB1161" s="18"/>
      <c r="AC1161" s="18">
        <v>312.0</v>
      </c>
      <c r="AD1161" s="14">
        <v>810302.0</v>
      </c>
      <c r="AE1161" s="14"/>
      <c r="AF1161" s="14">
        <v>810302.0</v>
      </c>
      <c r="AG1161" s="22"/>
      <c r="AH1161" s="22"/>
      <c r="AI1161" s="22"/>
      <c r="AJ1161" s="22"/>
      <c r="AK1161" s="22"/>
      <c r="AL1161" s="22"/>
      <c r="AM1161" s="22"/>
      <c r="AN1161" s="22"/>
      <c r="AO1161" s="22"/>
      <c r="AP1161" s="22"/>
    </row>
    <row r="1162" hidden="1">
      <c r="A1162" s="69">
        <v>46142.0</v>
      </c>
      <c r="B1162" s="125">
        <v>0.4791666666666667</v>
      </c>
      <c r="C1162" s="126" t="s">
        <v>32</v>
      </c>
      <c r="D1162" s="102" t="s">
        <v>3243</v>
      </c>
      <c r="E1162" s="102" t="s">
        <v>71</v>
      </c>
      <c r="F1162" s="102" t="s">
        <v>3645</v>
      </c>
      <c r="G1162" s="126" t="s">
        <v>3689</v>
      </c>
      <c r="H1162" s="126" t="s">
        <v>2821</v>
      </c>
      <c r="I1162" s="102" t="s">
        <v>2822</v>
      </c>
      <c r="J1162" s="85">
        <v>21507.0</v>
      </c>
      <c r="K1162" s="85">
        <v>11286.0</v>
      </c>
      <c r="L1162" s="19">
        <v>0.5247</v>
      </c>
      <c r="M1162" s="127">
        <v>4089.0</v>
      </c>
      <c r="N1162" s="128">
        <v>0.3623</v>
      </c>
      <c r="O1162" s="20">
        <v>372.0</v>
      </c>
      <c r="P1162" s="21">
        <v>340.0</v>
      </c>
      <c r="Q1162" s="19">
        <v>0.0301</v>
      </c>
      <c r="R1162" s="129">
        <v>0.0831</v>
      </c>
      <c r="S1162" s="20">
        <v>3.0</v>
      </c>
      <c r="T1162" s="20">
        <v>11.0</v>
      </c>
      <c r="U1162" s="131">
        <v>22929.0</v>
      </c>
      <c r="V1162" s="21" t="s">
        <v>315</v>
      </c>
      <c r="W1162" s="21" t="s">
        <v>76</v>
      </c>
      <c r="X1162" s="21" t="s">
        <v>82</v>
      </c>
      <c r="Y1162" s="116" t="s">
        <v>3683</v>
      </c>
      <c r="Z1162" s="20" t="s">
        <v>3690</v>
      </c>
      <c r="AA1162" s="18">
        <v>132.0</v>
      </c>
      <c r="AB1162" s="18"/>
      <c r="AC1162" s="18">
        <v>132.0</v>
      </c>
      <c r="AD1162" s="14">
        <v>521537.0</v>
      </c>
      <c r="AE1162" s="14"/>
      <c r="AF1162" s="14">
        <v>521537.0</v>
      </c>
      <c r="AG1162" s="22"/>
      <c r="AH1162" s="22"/>
      <c r="AI1162" s="22"/>
      <c r="AJ1162" s="22"/>
      <c r="AK1162" s="22"/>
      <c r="AL1162" s="22"/>
      <c r="AM1162" s="22"/>
      <c r="AN1162" s="22"/>
      <c r="AO1162" s="22"/>
      <c r="AP1162" s="22"/>
    </row>
    <row r="1163" hidden="1">
      <c r="A1163" s="69">
        <v>46142.0</v>
      </c>
      <c r="B1163" s="125">
        <v>0.4791666666666667</v>
      </c>
      <c r="C1163" s="126" t="s">
        <v>32</v>
      </c>
      <c r="D1163" s="102" t="s">
        <v>3243</v>
      </c>
      <c r="E1163" s="102" t="s">
        <v>71</v>
      </c>
      <c r="F1163" s="102" t="s">
        <v>3645</v>
      </c>
      <c r="G1163" s="126" t="s">
        <v>3691</v>
      </c>
      <c r="H1163" s="126" t="s">
        <v>2834</v>
      </c>
      <c r="I1163" s="102" t="s">
        <v>2835</v>
      </c>
      <c r="J1163" s="85">
        <v>202959.0</v>
      </c>
      <c r="K1163" s="85">
        <v>107542.0</v>
      </c>
      <c r="L1163" s="19">
        <v>0.5298</v>
      </c>
      <c r="M1163" s="127">
        <v>36380.0</v>
      </c>
      <c r="N1163" s="128">
        <v>0.3383</v>
      </c>
      <c r="O1163" s="20">
        <v>2734.0</v>
      </c>
      <c r="P1163" s="21">
        <v>2566.0</v>
      </c>
      <c r="Q1163" s="19">
        <v>0.0239</v>
      </c>
      <c r="R1163" s="129">
        <v>0.0705</v>
      </c>
      <c r="S1163" s="20">
        <v>13.0</v>
      </c>
      <c r="T1163" s="20">
        <v>38.0</v>
      </c>
      <c r="U1163" s="131">
        <v>54741.0</v>
      </c>
      <c r="V1163" s="21" t="s">
        <v>315</v>
      </c>
      <c r="W1163" s="21" t="s">
        <v>76</v>
      </c>
      <c r="X1163" s="21" t="s">
        <v>41</v>
      </c>
      <c r="Y1163" s="116" t="s">
        <v>3683</v>
      </c>
      <c r="Z1163" s="20" t="s">
        <v>3692</v>
      </c>
      <c r="AA1163" s="18">
        <v>489.0</v>
      </c>
      <c r="AB1163" s="18"/>
      <c r="AC1163" s="18">
        <v>489.0</v>
      </c>
      <c r="AD1163" s="14">
        <v>1745587.0</v>
      </c>
      <c r="AE1163" s="14"/>
      <c r="AF1163" s="14">
        <v>1745587.0</v>
      </c>
      <c r="AG1163" s="22"/>
      <c r="AH1163" s="22"/>
      <c r="AI1163" s="22"/>
      <c r="AJ1163" s="22"/>
      <c r="AK1163" s="22"/>
      <c r="AL1163" s="22"/>
      <c r="AM1163" s="22"/>
      <c r="AN1163" s="22"/>
      <c r="AO1163" s="22"/>
      <c r="AP1163" s="22"/>
    </row>
    <row r="1164" hidden="1">
      <c r="A1164" s="69">
        <v>46142.0</v>
      </c>
      <c r="B1164" s="125">
        <v>0.5416666666666666</v>
      </c>
      <c r="C1164" s="126" t="s">
        <v>58</v>
      </c>
      <c r="D1164" s="102" t="s">
        <v>3083</v>
      </c>
      <c r="E1164" s="102" t="s">
        <v>71</v>
      </c>
      <c r="F1164" s="102" t="s">
        <v>3645</v>
      </c>
      <c r="G1164" s="126" t="s">
        <v>2846</v>
      </c>
      <c r="H1164" s="126" t="s">
        <v>2816</v>
      </c>
      <c r="I1164" s="102" t="s">
        <v>61</v>
      </c>
      <c r="J1164" s="85">
        <v>5207.0</v>
      </c>
      <c r="K1164" s="85">
        <v>2674.0</v>
      </c>
      <c r="L1164" s="19">
        <v>0.5135</v>
      </c>
      <c r="M1164" s="127">
        <v>0.0</v>
      </c>
      <c r="N1164" s="128">
        <v>0.0</v>
      </c>
      <c r="O1164" s="20">
        <v>8.0</v>
      </c>
      <c r="P1164" s="21">
        <v>0.0</v>
      </c>
      <c r="Q1164" s="19">
        <v>0.003</v>
      </c>
      <c r="R1164" s="129">
        <v>0.0</v>
      </c>
      <c r="S1164" s="20">
        <v>1.0</v>
      </c>
      <c r="T1164" s="20">
        <v>1.0</v>
      </c>
      <c r="U1164" s="131">
        <v>1128.0</v>
      </c>
      <c r="V1164" s="21" t="s">
        <v>315</v>
      </c>
      <c r="W1164" s="21" t="s">
        <v>3257</v>
      </c>
      <c r="X1164" s="21" t="s">
        <v>165</v>
      </c>
      <c r="Y1164" s="116">
        <v>46142.0</v>
      </c>
      <c r="Z1164" s="20" t="s">
        <v>3693</v>
      </c>
      <c r="AA1164" s="18">
        <v>16.0</v>
      </c>
      <c r="AB1164" s="18"/>
      <c r="AC1164" s="18">
        <v>16.0</v>
      </c>
      <c r="AD1164" s="14">
        <v>53876.0</v>
      </c>
      <c r="AE1164" s="14"/>
      <c r="AF1164" s="14">
        <v>53876.0</v>
      </c>
      <c r="AG1164" s="22"/>
      <c r="AH1164" s="22"/>
      <c r="AI1164" s="22"/>
      <c r="AJ1164" s="22"/>
      <c r="AK1164" s="22"/>
      <c r="AL1164" s="22"/>
      <c r="AM1164" s="22"/>
      <c r="AN1164" s="22"/>
      <c r="AO1164" s="22"/>
      <c r="AP1164" s="22"/>
    </row>
    <row r="1165" hidden="1">
      <c r="A1165" s="69">
        <v>46142.0</v>
      </c>
      <c r="B1165" s="125">
        <v>0.5416666666666666</v>
      </c>
      <c r="C1165" s="126" t="s">
        <v>58</v>
      </c>
      <c r="D1165" s="102" t="s">
        <v>3083</v>
      </c>
      <c r="E1165" s="102" t="s">
        <v>71</v>
      </c>
      <c r="F1165" s="102" t="s">
        <v>3645</v>
      </c>
      <c r="G1165" s="126" t="s">
        <v>2849</v>
      </c>
      <c r="H1165" s="126" t="s">
        <v>2821</v>
      </c>
      <c r="I1165" s="102" t="s">
        <v>61</v>
      </c>
      <c r="J1165" s="85">
        <v>9855.0</v>
      </c>
      <c r="K1165" s="85">
        <v>5527.0</v>
      </c>
      <c r="L1165" s="19">
        <v>0.5608</v>
      </c>
      <c r="M1165" s="127">
        <v>0.0</v>
      </c>
      <c r="N1165" s="128">
        <v>0.0</v>
      </c>
      <c r="O1165" s="20">
        <v>16.0</v>
      </c>
      <c r="P1165" s="21">
        <v>0.0</v>
      </c>
      <c r="Q1165" s="19">
        <v>0.0029</v>
      </c>
      <c r="R1165" s="129">
        <v>0.0</v>
      </c>
      <c r="S1165" s="20">
        <v>0.0</v>
      </c>
      <c r="T1165" s="20">
        <v>2.0</v>
      </c>
      <c r="U1165" s="131">
        <v>0.0</v>
      </c>
      <c r="V1165" s="21" t="s">
        <v>315</v>
      </c>
      <c r="W1165" s="21" t="s">
        <v>3257</v>
      </c>
      <c r="X1165" s="21" t="s">
        <v>82</v>
      </c>
      <c r="Y1165" s="116">
        <v>46142.0</v>
      </c>
      <c r="Z1165" s="20" t="s">
        <v>3694</v>
      </c>
      <c r="AA1165" s="18">
        <v>15.0</v>
      </c>
      <c r="AB1165" s="18"/>
      <c r="AC1165" s="18">
        <v>15.0</v>
      </c>
      <c r="AD1165" s="14">
        <v>37879.0</v>
      </c>
      <c r="AE1165" s="14"/>
      <c r="AF1165" s="14">
        <v>37879.0</v>
      </c>
      <c r="AG1165" s="22"/>
      <c r="AH1165" s="22"/>
      <c r="AI1165" s="22"/>
      <c r="AJ1165" s="22"/>
      <c r="AK1165" s="22"/>
      <c r="AL1165" s="22"/>
      <c r="AM1165" s="22"/>
      <c r="AN1165" s="22"/>
      <c r="AO1165" s="22"/>
      <c r="AP1165" s="22"/>
    </row>
    <row r="1166" hidden="1">
      <c r="A1166" s="69">
        <v>46142.0</v>
      </c>
      <c r="B1166" s="125">
        <v>0.5416666666666666</v>
      </c>
      <c r="C1166" s="126" t="s">
        <v>58</v>
      </c>
      <c r="D1166" s="102" t="s">
        <v>3083</v>
      </c>
      <c r="E1166" s="102" t="s">
        <v>71</v>
      </c>
      <c r="F1166" s="102" t="s">
        <v>3645</v>
      </c>
      <c r="G1166" s="126" t="s">
        <v>2851</v>
      </c>
      <c r="H1166" s="126" t="s">
        <v>2825</v>
      </c>
      <c r="I1166" s="102" t="s">
        <v>61</v>
      </c>
      <c r="J1166" s="85">
        <v>50188.0</v>
      </c>
      <c r="K1166" s="85">
        <v>30035.0</v>
      </c>
      <c r="L1166" s="19">
        <v>0.5984</v>
      </c>
      <c r="M1166" s="127">
        <v>0.0</v>
      </c>
      <c r="N1166" s="128">
        <v>0.0</v>
      </c>
      <c r="O1166" s="20">
        <v>73.0</v>
      </c>
      <c r="P1166" s="21">
        <v>0.0</v>
      </c>
      <c r="Q1166" s="19">
        <v>0.0024</v>
      </c>
      <c r="R1166" s="129">
        <v>0.0</v>
      </c>
      <c r="S1166" s="20">
        <v>1.0</v>
      </c>
      <c r="T1166" s="20">
        <v>3.0</v>
      </c>
      <c r="U1166" s="131">
        <v>1128.0</v>
      </c>
      <c r="V1166" s="21" t="s">
        <v>315</v>
      </c>
      <c r="W1166" s="21" t="s">
        <v>3257</v>
      </c>
      <c r="X1166" s="21" t="s">
        <v>2827</v>
      </c>
      <c r="Y1166" s="116">
        <v>46142.0</v>
      </c>
      <c r="Z1166" s="20" t="s">
        <v>3695</v>
      </c>
      <c r="AA1166" s="18">
        <v>32.0</v>
      </c>
      <c r="AB1166" s="18"/>
      <c r="AC1166" s="18">
        <v>32.0</v>
      </c>
      <c r="AD1166" s="14">
        <v>90441.0</v>
      </c>
      <c r="AE1166" s="14"/>
      <c r="AF1166" s="14">
        <v>90441.0</v>
      </c>
      <c r="AG1166" s="22"/>
      <c r="AH1166" s="22"/>
      <c r="AI1166" s="22"/>
      <c r="AJ1166" s="22"/>
      <c r="AK1166" s="22"/>
      <c r="AL1166" s="22"/>
      <c r="AM1166" s="22"/>
      <c r="AN1166" s="22"/>
      <c r="AO1166" s="22"/>
      <c r="AP1166" s="22"/>
    </row>
    <row r="1167" hidden="1">
      <c r="A1167" s="69">
        <v>46142.0</v>
      </c>
      <c r="B1167" s="125">
        <v>0.5416666666666666</v>
      </c>
      <c r="C1167" s="126" t="s">
        <v>58</v>
      </c>
      <c r="D1167" s="102" t="s">
        <v>3083</v>
      </c>
      <c r="E1167" s="102" t="s">
        <v>71</v>
      </c>
      <c r="F1167" s="102" t="s">
        <v>3645</v>
      </c>
      <c r="G1167" s="126" t="s">
        <v>2853</v>
      </c>
      <c r="H1167" s="126" t="s">
        <v>2830</v>
      </c>
      <c r="I1167" s="102" t="s">
        <v>61</v>
      </c>
      <c r="J1167" s="85">
        <v>32778.0</v>
      </c>
      <c r="K1167" s="85">
        <v>18046.0</v>
      </c>
      <c r="L1167" s="19">
        <v>0.5506</v>
      </c>
      <c r="M1167" s="127">
        <v>0.0</v>
      </c>
      <c r="N1167" s="128">
        <v>0.0</v>
      </c>
      <c r="O1167" s="20">
        <v>42.0</v>
      </c>
      <c r="P1167" s="21">
        <v>0.0</v>
      </c>
      <c r="Q1167" s="19">
        <v>0.0023</v>
      </c>
      <c r="R1167" s="129">
        <v>0.0</v>
      </c>
      <c r="S1167" s="20">
        <v>1.0</v>
      </c>
      <c r="T1167" s="20">
        <v>0.0</v>
      </c>
      <c r="U1167" s="131">
        <v>1128.0</v>
      </c>
      <c r="V1167" s="21" t="s">
        <v>315</v>
      </c>
      <c r="W1167" s="21" t="s">
        <v>3257</v>
      </c>
      <c r="X1167" s="21" t="s">
        <v>2117</v>
      </c>
      <c r="Y1167" s="116">
        <v>46142.0</v>
      </c>
      <c r="Z1167" s="20" t="s">
        <v>3696</v>
      </c>
      <c r="AA1167" s="18">
        <v>25.0</v>
      </c>
      <c r="AB1167" s="18"/>
      <c r="AC1167" s="18">
        <v>25.0</v>
      </c>
      <c r="AD1167" s="14">
        <v>92049.0</v>
      </c>
      <c r="AE1167" s="14"/>
      <c r="AF1167" s="14">
        <v>92049.0</v>
      </c>
      <c r="AG1167" s="22"/>
      <c r="AH1167" s="22"/>
      <c r="AI1167" s="22"/>
      <c r="AJ1167" s="22"/>
      <c r="AK1167" s="22"/>
      <c r="AL1167" s="22"/>
      <c r="AM1167" s="22"/>
      <c r="AN1167" s="22"/>
      <c r="AO1167" s="22"/>
      <c r="AP1167" s="22"/>
    </row>
    <row r="1168" hidden="1">
      <c r="A1168" s="69">
        <v>46142.0</v>
      </c>
      <c r="B1168" s="125">
        <v>0.5416666666666666</v>
      </c>
      <c r="C1168" s="126" t="s">
        <v>58</v>
      </c>
      <c r="D1168" s="102" t="s">
        <v>3083</v>
      </c>
      <c r="E1168" s="102" t="s">
        <v>71</v>
      </c>
      <c r="F1168" s="102" t="s">
        <v>3645</v>
      </c>
      <c r="G1168" s="126" t="s">
        <v>2855</v>
      </c>
      <c r="H1168" s="126" t="s">
        <v>2834</v>
      </c>
      <c r="I1168" s="102" t="s">
        <v>61</v>
      </c>
      <c r="J1168" s="85">
        <v>89668.0</v>
      </c>
      <c r="K1168" s="85">
        <v>51697.0</v>
      </c>
      <c r="L1168" s="19">
        <v>0.5765</v>
      </c>
      <c r="M1168" s="127">
        <v>0.0</v>
      </c>
      <c r="N1168" s="128">
        <v>0.0</v>
      </c>
      <c r="O1168" s="20">
        <v>75.0</v>
      </c>
      <c r="P1168" s="21">
        <v>0.0</v>
      </c>
      <c r="Q1168" s="19">
        <v>0.0015</v>
      </c>
      <c r="R1168" s="129">
        <v>0.0</v>
      </c>
      <c r="S1168" s="20">
        <v>0.0</v>
      </c>
      <c r="T1168" s="20">
        <v>3.0</v>
      </c>
      <c r="U1168" s="131">
        <v>0.0</v>
      </c>
      <c r="V1168" s="21" t="s">
        <v>315</v>
      </c>
      <c r="W1168" s="21" t="s">
        <v>3257</v>
      </c>
      <c r="X1168" s="21" t="s">
        <v>41</v>
      </c>
      <c r="Y1168" s="116">
        <v>46142.0</v>
      </c>
      <c r="Z1168" s="20" t="s">
        <v>3697</v>
      </c>
      <c r="AA1168" s="18">
        <v>38.0</v>
      </c>
      <c r="AB1168" s="18"/>
      <c r="AC1168" s="18">
        <v>38.0</v>
      </c>
      <c r="AD1168" s="14">
        <v>114624.0</v>
      </c>
      <c r="AE1168" s="14"/>
      <c r="AF1168" s="14">
        <v>114624.0</v>
      </c>
      <c r="AG1168" s="22"/>
      <c r="AH1168" s="22"/>
      <c r="AI1168" s="22"/>
      <c r="AJ1168" s="22"/>
      <c r="AK1168" s="22"/>
      <c r="AL1168" s="22"/>
      <c r="AM1168" s="22"/>
      <c r="AN1168" s="22"/>
      <c r="AO1168" s="22"/>
      <c r="AP1168" s="22"/>
    </row>
    <row r="1169" hidden="1">
      <c r="A1169" s="69">
        <v>46142.0</v>
      </c>
      <c r="B1169" s="125">
        <v>0.6666666666666666</v>
      </c>
      <c r="C1169" s="126" t="s">
        <v>32</v>
      </c>
      <c r="D1169" s="102" t="s">
        <v>3083</v>
      </c>
      <c r="E1169" s="102" t="s">
        <v>179</v>
      </c>
      <c r="F1169" s="102" t="s">
        <v>3698</v>
      </c>
      <c r="G1169" s="126" t="s">
        <v>3699</v>
      </c>
      <c r="H1169" s="126" t="s">
        <v>3700</v>
      </c>
      <c r="I1169" s="102" t="s">
        <v>2956</v>
      </c>
      <c r="J1169" s="85">
        <v>5857.0</v>
      </c>
      <c r="K1169" s="85">
        <v>3600.0</v>
      </c>
      <c r="L1169" s="19">
        <v>0.6146</v>
      </c>
      <c r="M1169" s="127">
        <v>949.0</v>
      </c>
      <c r="N1169" s="128">
        <v>0.2636</v>
      </c>
      <c r="O1169" s="20">
        <v>0.0</v>
      </c>
      <c r="P1169" s="21">
        <v>0.0</v>
      </c>
      <c r="Q1169" s="19">
        <v>0.0</v>
      </c>
      <c r="R1169" s="129">
        <v>0.0</v>
      </c>
      <c r="S1169" s="20">
        <v>0.0</v>
      </c>
      <c r="T1169" s="20">
        <v>1.0</v>
      </c>
      <c r="U1169" s="131">
        <v>0.0</v>
      </c>
      <c r="V1169" s="21" t="s">
        <v>315</v>
      </c>
      <c r="W1169" s="21" t="s">
        <v>76</v>
      </c>
      <c r="X1169" s="21" t="s">
        <v>52</v>
      </c>
      <c r="Y1169" s="41" t="s">
        <v>3701</v>
      </c>
      <c r="Z1169" s="20" t="s">
        <v>3702</v>
      </c>
      <c r="AA1169" s="14">
        <v>60.0</v>
      </c>
      <c r="AB1169" s="14"/>
      <c r="AC1169" s="14">
        <v>60.0</v>
      </c>
      <c r="AD1169" s="14">
        <v>309816.0</v>
      </c>
      <c r="AE1169" s="14"/>
      <c r="AF1169" s="14">
        <v>309816.0</v>
      </c>
      <c r="AG1169" s="22"/>
      <c r="AH1169" s="22"/>
      <c r="AI1169" s="22"/>
      <c r="AJ1169" s="22"/>
      <c r="AK1169" s="22"/>
      <c r="AL1169" s="22"/>
      <c r="AM1169" s="22"/>
      <c r="AN1169" s="22"/>
      <c r="AO1169" s="22"/>
      <c r="AP1169" s="22"/>
    </row>
    <row r="1170" hidden="1">
      <c r="A1170" s="69">
        <v>46142.0</v>
      </c>
      <c r="B1170" s="125">
        <v>0.6701388888888888</v>
      </c>
      <c r="C1170" s="126" t="s">
        <v>32</v>
      </c>
      <c r="D1170" s="102" t="s">
        <v>3083</v>
      </c>
      <c r="E1170" s="102" t="s">
        <v>179</v>
      </c>
      <c r="F1170" s="102" t="s">
        <v>3698</v>
      </c>
      <c r="G1170" s="126" t="s">
        <v>3703</v>
      </c>
      <c r="H1170" s="126" t="s">
        <v>3704</v>
      </c>
      <c r="I1170" s="102" t="s">
        <v>2956</v>
      </c>
      <c r="J1170" s="85">
        <v>5605.0</v>
      </c>
      <c r="K1170" s="85">
        <v>3440.0</v>
      </c>
      <c r="L1170" s="19">
        <v>0.6137</v>
      </c>
      <c r="M1170" s="127">
        <v>888.0</v>
      </c>
      <c r="N1170" s="128">
        <v>0.2581</v>
      </c>
      <c r="O1170" s="20">
        <v>0.0</v>
      </c>
      <c r="P1170" s="21">
        <v>0.0</v>
      </c>
      <c r="Q1170" s="19">
        <v>0.0</v>
      </c>
      <c r="R1170" s="129">
        <v>0.0</v>
      </c>
      <c r="S1170" s="20">
        <v>1.0</v>
      </c>
      <c r="T1170" s="20">
        <v>2.0</v>
      </c>
      <c r="U1170" s="131">
        <v>18926.0</v>
      </c>
      <c r="V1170" s="21" t="s">
        <v>315</v>
      </c>
      <c r="W1170" s="21" t="s">
        <v>76</v>
      </c>
      <c r="X1170" s="21" t="s">
        <v>3705</v>
      </c>
      <c r="Y1170" s="41" t="s">
        <v>3701</v>
      </c>
      <c r="Z1170" s="20" t="s">
        <v>3706</v>
      </c>
      <c r="AA1170" s="14">
        <v>52.0</v>
      </c>
      <c r="AB1170" s="14"/>
      <c r="AC1170" s="14">
        <v>52.0</v>
      </c>
      <c r="AD1170" s="14">
        <v>433129.0</v>
      </c>
      <c r="AE1170" s="14"/>
      <c r="AF1170" s="14">
        <v>433129.0</v>
      </c>
      <c r="AG1170" s="22"/>
      <c r="AH1170" s="22"/>
      <c r="AI1170" s="22"/>
      <c r="AJ1170" s="22"/>
      <c r="AK1170" s="22"/>
      <c r="AL1170" s="22"/>
      <c r="AM1170" s="22"/>
      <c r="AN1170" s="22"/>
      <c r="AO1170" s="22"/>
      <c r="AP1170" s="22"/>
    </row>
    <row r="1171" hidden="1">
      <c r="A1171" s="69">
        <v>46142.0</v>
      </c>
      <c r="B1171" s="125">
        <v>0.6736111111111112</v>
      </c>
      <c r="C1171" s="126" t="s">
        <v>32</v>
      </c>
      <c r="D1171" s="102" t="s">
        <v>3083</v>
      </c>
      <c r="E1171" s="102" t="s">
        <v>179</v>
      </c>
      <c r="F1171" s="102" t="s">
        <v>3698</v>
      </c>
      <c r="G1171" s="126" t="s">
        <v>3707</v>
      </c>
      <c r="H1171" s="126" t="s">
        <v>3708</v>
      </c>
      <c r="I1171" s="102" t="s">
        <v>2956</v>
      </c>
      <c r="J1171" s="85">
        <v>18683.0</v>
      </c>
      <c r="K1171" s="85">
        <v>11860.0</v>
      </c>
      <c r="L1171" s="19">
        <v>0.6347</v>
      </c>
      <c r="M1171" s="127">
        <v>2966.0</v>
      </c>
      <c r="N1171" s="128">
        <v>0.2501</v>
      </c>
      <c r="O1171" s="20">
        <v>0.0</v>
      </c>
      <c r="P1171" s="21">
        <v>0.0</v>
      </c>
      <c r="Q1171" s="19">
        <v>0.0</v>
      </c>
      <c r="R1171" s="129">
        <v>0.0</v>
      </c>
      <c r="S1171" s="20">
        <v>2.0</v>
      </c>
      <c r="T1171" s="20">
        <v>4.0</v>
      </c>
      <c r="U1171" s="131">
        <v>2099.0</v>
      </c>
      <c r="V1171" s="21" t="s">
        <v>315</v>
      </c>
      <c r="W1171" s="21" t="s">
        <v>76</v>
      </c>
      <c r="X1171" s="21" t="s">
        <v>2594</v>
      </c>
      <c r="Y1171" s="41" t="s">
        <v>3701</v>
      </c>
      <c r="Z1171" s="20" t="s">
        <v>3709</v>
      </c>
      <c r="AA1171" s="14">
        <v>50.0</v>
      </c>
      <c r="AB1171" s="14"/>
      <c r="AC1171" s="14">
        <v>50.0</v>
      </c>
      <c r="AD1171" s="14">
        <v>115245.0</v>
      </c>
      <c r="AE1171" s="14"/>
      <c r="AF1171" s="14">
        <v>115245.0</v>
      </c>
      <c r="AG1171" s="22"/>
      <c r="AH1171" s="22"/>
      <c r="AI1171" s="22"/>
      <c r="AJ1171" s="22"/>
      <c r="AK1171" s="22"/>
      <c r="AL1171" s="22"/>
      <c r="AM1171" s="22"/>
      <c r="AN1171" s="22"/>
      <c r="AO1171" s="22"/>
      <c r="AP1171" s="22"/>
    </row>
    <row r="1172" hidden="1">
      <c r="A1172" s="69">
        <v>46142.0</v>
      </c>
      <c r="B1172" s="125">
        <v>0.6770833333333334</v>
      </c>
      <c r="C1172" s="126" t="s">
        <v>32</v>
      </c>
      <c r="D1172" s="102" t="s">
        <v>3083</v>
      </c>
      <c r="E1172" s="102" t="s">
        <v>179</v>
      </c>
      <c r="F1172" s="102" t="s">
        <v>3698</v>
      </c>
      <c r="G1172" s="126" t="s">
        <v>3710</v>
      </c>
      <c r="H1172" s="126" t="s">
        <v>3711</v>
      </c>
      <c r="I1172" s="102" t="s">
        <v>2956</v>
      </c>
      <c r="J1172" s="85">
        <v>29515.0</v>
      </c>
      <c r="K1172" s="85">
        <v>15796.0</v>
      </c>
      <c r="L1172" s="19">
        <v>0.5352</v>
      </c>
      <c r="M1172" s="127">
        <v>3456.0</v>
      </c>
      <c r="N1172" s="128">
        <v>0.2188</v>
      </c>
      <c r="O1172" s="20">
        <v>0.0</v>
      </c>
      <c r="P1172" s="21">
        <v>0.0</v>
      </c>
      <c r="Q1172" s="19">
        <v>0.0</v>
      </c>
      <c r="R1172" s="129">
        <v>0.0</v>
      </c>
      <c r="S1172" s="20">
        <v>6.0</v>
      </c>
      <c r="T1172" s="20">
        <v>9.0</v>
      </c>
      <c r="U1172" s="131">
        <v>46660.0</v>
      </c>
      <c r="V1172" s="21" t="s">
        <v>315</v>
      </c>
      <c r="W1172" s="21" t="s">
        <v>76</v>
      </c>
      <c r="X1172" s="21" t="s">
        <v>82</v>
      </c>
      <c r="Y1172" s="41" t="s">
        <v>3701</v>
      </c>
      <c r="Z1172" s="20" t="s">
        <v>3712</v>
      </c>
      <c r="AA1172" s="14">
        <v>103.0</v>
      </c>
      <c r="AB1172" s="14"/>
      <c r="AC1172" s="14">
        <v>103.0</v>
      </c>
      <c r="AD1172" s="14">
        <v>1113769.0</v>
      </c>
      <c r="AE1172" s="14"/>
      <c r="AF1172" s="14">
        <v>1113769.0</v>
      </c>
      <c r="AG1172" s="22"/>
      <c r="AH1172" s="22"/>
      <c r="AI1172" s="22"/>
      <c r="AJ1172" s="22"/>
      <c r="AK1172" s="22"/>
      <c r="AL1172" s="22"/>
      <c r="AM1172" s="22"/>
      <c r="AN1172" s="22"/>
      <c r="AO1172" s="22"/>
      <c r="AP1172" s="22"/>
    </row>
    <row r="1173" hidden="1">
      <c r="A1173" s="69">
        <v>46142.0</v>
      </c>
      <c r="B1173" s="125">
        <v>0.6805555555555556</v>
      </c>
      <c r="C1173" s="126" t="s">
        <v>32</v>
      </c>
      <c r="D1173" s="102" t="s">
        <v>3083</v>
      </c>
      <c r="E1173" s="102" t="s">
        <v>179</v>
      </c>
      <c r="F1173" s="102" t="s">
        <v>3698</v>
      </c>
      <c r="G1173" s="126" t="s">
        <v>3713</v>
      </c>
      <c r="H1173" s="126" t="s">
        <v>3714</v>
      </c>
      <c r="I1173" s="102" t="s">
        <v>2956</v>
      </c>
      <c r="J1173" s="85">
        <v>57911.0</v>
      </c>
      <c r="K1173" s="85">
        <v>34607.0</v>
      </c>
      <c r="L1173" s="19">
        <v>0.5976</v>
      </c>
      <c r="M1173" s="127">
        <v>9423.0</v>
      </c>
      <c r="N1173" s="128">
        <v>0.2723</v>
      </c>
      <c r="O1173" s="20">
        <v>0.0</v>
      </c>
      <c r="P1173" s="21">
        <v>0.0</v>
      </c>
      <c r="Q1173" s="19">
        <v>0.0</v>
      </c>
      <c r="R1173" s="129">
        <v>0.0</v>
      </c>
      <c r="S1173" s="20">
        <v>3.0</v>
      </c>
      <c r="T1173" s="20">
        <v>13.0</v>
      </c>
      <c r="U1173" s="131">
        <v>21235.0</v>
      </c>
      <c r="V1173" s="21" t="s">
        <v>315</v>
      </c>
      <c r="W1173" s="21" t="s">
        <v>76</v>
      </c>
      <c r="X1173" s="21" t="s">
        <v>111</v>
      </c>
      <c r="Y1173" s="41" t="s">
        <v>3701</v>
      </c>
      <c r="Z1173" s="20" t="s">
        <v>3715</v>
      </c>
      <c r="AA1173" s="14">
        <v>122.0</v>
      </c>
      <c r="AB1173" s="14"/>
      <c r="AC1173" s="14">
        <v>122.0</v>
      </c>
      <c r="AD1173" s="14">
        <v>762876.0</v>
      </c>
      <c r="AE1173" s="14"/>
      <c r="AF1173" s="14">
        <v>762876.0</v>
      </c>
      <c r="AG1173" s="22"/>
      <c r="AH1173" s="22"/>
      <c r="AI1173" s="22"/>
      <c r="AJ1173" s="22"/>
      <c r="AK1173" s="22"/>
      <c r="AL1173" s="22"/>
      <c r="AM1173" s="22"/>
      <c r="AN1173" s="22"/>
      <c r="AO1173" s="22"/>
      <c r="AP1173" s="22"/>
    </row>
    <row r="1174" hidden="1">
      <c r="A1174" s="69">
        <v>46142.0</v>
      </c>
      <c r="B1174" s="125">
        <v>0.6840277777777778</v>
      </c>
      <c r="C1174" s="126" t="s">
        <v>32</v>
      </c>
      <c r="D1174" s="102" t="s">
        <v>3083</v>
      </c>
      <c r="E1174" s="102" t="s">
        <v>179</v>
      </c>
      <c r="F1174" s="102" t="s">
        <v>3698</v>
      </c>
      <c r="G1174" s="126" t="s">
        <v>3716</v>
      </c>
      <c r="H1174" s="126" t="s">
        <v>3717</v>
      </c>
      <c r="I1174" s="102" t="s">
        <v>2956</v>
      </c>
      <c r="J1174" s="85">
        <v>39132.0</v>
      </c>
      <c r="K1174" s="85">
        <v>20854.0</v>
      </c>
      <c r="L1174" s="19">
        <v>0.5328</v>
      </c>
      <c r="M1174" s="127">
        <v>4881.0</v>
      </c>
      <c r="N1174" s="128">
        <v>0.2341</v>
      </c>
      <c r="O1174" s="20">
        <v>0.0</v>
      </c>
      <c r="P1174" s="21">
        <v>0.0</v>
      </c>
      <c r="Q1174" s="19">
        <v>0.0</v>
      </c>
      <c r="R1174" s="129">
        <v>0.0</v>
      </c>
      <c r="S1174" s="20">
        <v>2.0</v>
      </c>
      <c r="T1174" s="20">
        <v>7.0</v>
      </c>
      <c r="U1174" s="131">
        <v>21788.0</v>
      </c>
      <c r="V1174" s="21" t="s">
        <v>315</v>
      </c>
      <c r="W1174" s="21" t="s">
        <v>76</v>
      </c>
      <c r="X1174" s="21" t="s">
        <v>69</v>
      </c>
      <c r="Y1174" s="41" t="s">
        <v>3701</v>
      </c>
      <c r="Z1174" s="20" t="s">
        <v>3718</v>
      </c>
      <c r="AA1174" s="14">
        <v>43.0</v>
      </c>
      <c r="AB1174" s="14"/>
      <c r="AC1174" s="14">
        <v>43.0</v>
      </c>
      <c r="AD1174" s="14">
        <v>275212.0</v>
      </c>
      <c r="AE1174" s="14"/>
      <c r="AF1174" s="14">
        <v>275212.0</v>
      </c>
      <c r="AG1174" s="22"/>
      <c r="AH1174" s="22"/>
      <c r="AI1174" s="22"/>
      <c r="AJ1174" s="22"/>
      <c r="AK1174" s="22"/>
      <c r="AL1174" s="22"/>
      <c r="AM1174" s="22"/>
      <c r="AN1174" s="22"/>
      <c r="AO1174" s="22"/>
      <c r="AP1174" s="22"/>
    </row>
    <row r="1175" hidden="1">
      <c r="A1175" s="69">
        <v>46142.0</v>
      </c>
      <c r="B1175" s="125">
        <v>0.6875</v>
      </c>
      <c r="C1175" s="126" t="s">
        <v>32</v>
      </c>
      <c r="D1175" s="102" t="s">
        <v>3083</v>
      </c>
      <c r="E1175" s="102" t="s">
        <v>179</v>
      </c>
      <c r="F1175" s="102" t="s">
        <v>3698</v>
      </c>
      <c r="G1175" s="126" t="s">
        <v>3719</v>
      </c>
      <c r="H1175" s="126" t="s">
        <v>3720</v>
      </c>
      <c r="I1175" s="102" t="s">
        <v>2956</v>
      </c>
      <c r="J1175" s="85">
        <v>6522.0</v>
      </c>
      <c r="K1175" s="85">
        <v>3333.0</v>
      </c>
      <c r="L1175" s="19">
        <v>0.511</v>
      </c>
      <c r="M1175" s="127">
        <v>726.0</v>
      </c>
      <c r="N1175" s="128">
        <v>0.2178</v>
      </c>
      <c r="O1175" s="20">
        <v>0.0</v>
      </c>
      <c r="P1175" s="21">
        <v>0.0</v>
      </c>
      <c r="Q1175" s="19">
        <v>0.0</v>
      </c>
      <c r="R1175" s="129">
        <v>0.0</v>
      </c>
      <c r="S1175" s="20">
        <v>1.0</v>
      </c>
      <c r="T1175" s="20">
        <v>3.0</v>
      </c>
      <c r="U1175" s="131">
        <v>4002.0</v>
      </c>
      <c r="V1175" s="21" t="s">
        <v>315</v>
      </c>
      <c r="W1175" s="21" t="s">
        <v>76</v>
      </c>
      <c r="X1175" s="21" t="s">
        <v>69</v>
      </c>
      <c r="Y1175" s="41" t="s">
        <v>3701</v>
      </c>
      <c r="Z1175" s="20" t="s">
        <v>3721</v>
      </c>
      <c r="AA1175" s="14">
        <v>1.0</v>
      </c>
      <c r="AB1175" s="14"/>
      <c r="AC1175" s="14">
        <v>1.0</v>
      </c>
      <c r="AD1175" s="14">
        <v>8999.0</v>
      </c>
      <c r="AE1175" s="14"/>
      <c r="AF1175" s="14">
        <v>8999.0</v>
      </c>
      <c r="AG1175" s="22"/>
      <c r="AH1175" s="22"/>
      <c r="AI1175" s="22"/>
      <c r="AJ1175" s="22"/>
      <c r="AK1175" s="22"/>
      <c r="AL1175" s="22"/>
      <c r="AM1175" s="22"/>
      <c r="AN1175" s="22"/>
      <c r="AO1175" s="22"/>
      <c r="AP1175" s="22"/>
    </row>
    <row r="1176" hidden="1">
      <c r="A1176" s="69">
        <v>46142.0</v>
      </c>
      <c r="B1176" s="125">
        <v>0.75</v>
      </c>
      <c r="C1176" s="126" t="s">
        <v>58</v>
      </c>
      <c r="D1176" s="102" t="s">
        <v>3083</v>
      </c>
      <c r="E1176" s="102" t="s">
        <v>179</v>
      </c>
      <c r="F1176" s="102" t="s">
        <v>3722</v>
      </c>
      <c r="G1176" s="126" t="s">
        <v>3723</v>
      </c>
      <c r="H1176" s="126" t="s">
        <v>3700</v>
      </c>
      <c r="I1176" s="102" t="s">
        <v>61</v>
      </c>
      <c r="J1176" s="85">
        <v>1993.0</v>
      </c>
      <c r="K1176" s="85">
        <v>1242.0</v>
      </c>
      <c r="L1176" s="19">
        <v>0.6232</v>
      </c>
      <c r="M1176" s="127">
        <v>0.0</v>
      </c>
      <c r="N1176" s="128">
        <v>0.0</v>
      </c>
      <c r="O1176" s="20">
        <v>0.0</v>
      </c>
      <c r="P1176" s="21">
        <v>0.0</v>
      </c>
      <c r="Q1176" s="19">
        <v>0.0</v>
      </c>
      <c r="R1176" s="129">
        <v>0.0</v>
      </c>
      <c r="S1176" s="20">
        <v>0.0</v>
      </c>
      <c r="T1176" s="20">
        <v>0.0</v>
      </c>
      <c r="U1176" s="131">
        <v>0.0</v>
      </c>
      <c r="V1176" s="21" t="s">
        <v>315</v>
      </c>
      <c r="W1176" s="21" t="s">
        <v>3257</v>
      </c>
      <c r="X1176" s="21" t="s">
        <v>52</v>
      </c>
      <c r="Y1176" s="41" t="s">
        <v>3701</v>
      </c>
      <c r="Z1176" s="20" t="s">
        <v>3724</v>
      </c>
      <c r="AA1176" s="14">
        <v>8.0</v>
      </c>
      <c r="AB1176" s="14"/>
      <c r="AC1176" s="14">
        <v>8.0</v>
      </c>
      <c r="AD1176" s="14">
        <v>42693.0</v>
      </c>
      <c r="AE1176" s="14"/>
      <c r="AF1176" s="14">
        <v>42693.0</v>
      </c>
      <c r="AG1176" s="22"/>
      <c r="AH1176" s="22"/>
      <c r="AI1176" s="22"/>
      <c r="AJ1176" s="22"/>
      <c r="AK1176" s="22"/>
      <c r="AL1176" s="22"/>
      <c r="AM1176" s="22"/>
      <c r="AN1176" s="22"/>
      <c r="AO1176" s="22"/>
      <c r="AP1176" s="22"/>
    </row>
    <row r="1177" hidden="1">
      <c r="A1177" s="69">
        <v>46142.0</v>
      </c>
      <c r="B1177" s="125">
        <v>0.75</v>
      </c>
      <c r="C1177" s="126" t="s">
        <v>58</v>
      </c>
      <c r="D1177" s="102" t="s">
        <v>3083</v>
      </c>
      <c r="E1177" s="102" t="s">
        <v>179</v>
      </c>
      <c r="F1177" s="102" t="s">
        <v>3722</v>
      </c>
      <c r="G1177" s="126" t="s">
        <v>3725</v>
      </c>
      <c r="H1177" s="126" t="s">
        <v>3704</v>
      </c>
      <c r="I1177" s="102" t="s">
        <v>61</v>
      </c>
      <c r="J1177" s="85">
        <v>1934.0</v>
      </c>
      <c r="K1177" s="85">
        <v>1192.0</v>
      </c>
      <c r="L1177" s="19">
        <v>0.6163</v>
      </c>
      <c r="M1177" s="127">
        <v>0.0</v>
      </c>
      <c r="N1177" s="128">
        <v>0.0</v>
      </c>
      <c r="O1177" s="20">
        <v>0.0</v>
      </c>
      <c r="P1177" s="21">
        <v>0.0</v>
      </c>
      <c r="Q1177" s="19">
        <v>0.0</v>
      </c>
      <c r="R1177" s="129">
        <v>0.0</v>
      </c>
      <c r="S1177" s="20">
        <v>0.0</v>
      </c>
      <c r="T1177" s="20">
        <v>3.0</v>
      </c>
      <c r="U1177" s="131">
        <v>0.0</v>
      </c>
      <c r="V1177" s="21" t="s">
        <v>315</v>
      </c>
      <c r="W1177" s="21" t="s">
        <v>3257</v>
      </c>
      <c r="X1177" s="21" t="s">
        <v>3705</v>
      </c>
      <c r="Y1177" s="41" t="s">
        <v>3701</v>
      </c>
      <c r="Z1177" s="20" t="s">
        <v>3726</v>
      </c>
      <c r="AA1177" s="14">
        <v>17.0</v>
      </c>
      <c r="AB1177" s="14"/>
      <c r="AC1177" s="14">
        <v>17.0</v>
      </c>
      <c r="AD1177" s="14">
        <v>174221.0</v>
      </c>
      <c r="AE1177" s="14"/>
      <c r="AF1177" s="14">
        <v>174221.0</v>
      </c>
      <c r="AG1177" s="22"/>
      <c r="AH1177" s="22"/>
      <c r="AI1177" s="22"/>
      <c r="AJ1177" s="22"/>
      <c r="AK1177" s="22"/>
      <c r="AL1177" s="22"/>
      <c r="AM1177" s="22"/>
      <c r="AN1177" s="22"/>
      <c r="AO1177" s="22"/>
      <c r="AP1177" s="22"/>
    </row>
    <row r="1178" hidden="1">
      <c r="A1178" s="69">
        <v>46142.0</v>
      </c>
      <c r="B1178" s="125">
        <v>0.75</v>
      </c>
      <c r="C1178" s="126" t="s">
        <v>58</v>
      </c>
      <c r="D1178" s="102" t="s">
        <v>3083</v>
      </c>
      <c r="E1178" s="102" t="s">
        <v>179</v>
      </c>
      <c r="F1178" s="102" t="s">
        <v>3722</v>
      </c>
      <c r="G1178" s="126" t="s">
        <v>3727</v>
      </c>
      <c r="H1178" s="126" t="s">
        <v>3708</v>
      </c>
      <c r="I1178" s="102" t="s">
        <v>61</v>
      </c>
      <c r="J1178" s="85">
        <v>6045.0</v>
      </c>
      <c r="K1178" s="85">
        <v>3904.0</v>
      </c>
      <c r="L1178" s="19">
        <v>0.6458</v>
      </c>
      <c r="M1178" s="127">
        <v>0.0</v>
      </c>
      <c r="N1178" s="128">
        <v>0.0</v>
      </c>
      <c r="O1178" s="20">
        <v>0.0</v>
      </c>
      <c r="P1178" s="21">
        <v>0.0</v>
      </c>
      <c r="Q1178" s="19">
        <v>0.0</v>
      </c>
      <c r="R1178" s="129">
        <v>0.0</v>
      </c>
      <c r="S1178" s="20">
        <v>1.0</v>
      </c>
      <c r="T1178" s="20">
        <v>1.0</v>
      </c>
      <c r="U1178" s="131">
        <v>4699.0</v>
      </c>
      <c r="V1178" s="21" t="s">
        <v>315</v>
      </c>
      <c r="W1178" s="21" t="s">
        <v>3257</v>
      </c>
      <c r="X1178" s="21" t="s">
        <v>2594</v>
      </c>
      <c r="Y1178" s="41" t="s">
        <v>3701</v>
      </c>
      <c r="Z1178" s="20" t="s">
        <v>3728</v>
      </c>
      <c r="AA1178" s="14">
        <v>16.0</v>
      </c>
      <c r="AB1178" s="14"/>
      <c r="AC1178" s="14">
        <v>16.0</v>
      </c>
      <c r="AD1178" s="14">
        <v>34228.0</v>
      </c>
      <c r="AE1178" s="14"/>
      <c r="AF1178" s="14">
        <v>34228.0</v>
      </c>
      <c r="AG1178" s="22"/>
      <c r="AH1178" s="22"/>
      <c r="AI1178" s="22"/>
      <c r="AJ1178" s="22"/>
      <c r="AK1178" s="22"/>
      <c r="AL1178" s="22"/>
      <c r="AM1178" s="22"/>
      <c r="AN1178" s="22"/>
      <c r="AO1178" s="22"/>
      <c r="AP1178" s="22"/>
    </row>
    <row r="1179" hidden="1">
      <c r="A1179" s="69">
        <v>46142.0</v>
      </c>
      <c r="B1179" s="125">
        <v>0.75</v>
      </c>
      <c r="C1179" s="126" t="s">
        <v>58</v>
      </c>
      <c r="D1179" s="102" t="s">
        <v>3083</v>
      </c>
      <c r="E1179" s="102" t="s">
        <v>179</v>
      </c>
      <c r="F1179" s="102" t="s">
        <v>3722</v>
      </c>
      <c r="G1179" s="126" t="s">
        <v>3729</v>
      </c>
      <c r="H1179" s="126" t="s">
        <v>3711</v>
      </c>
      <c r="I1179" s="102" t="s">
        <v>61</v>
      </c>
      <c r="J1179" s="85">
        <v>11711.0</v>
      </c>
      <c r="K1179" s="85">
        <v>6166.0</v>
      </c>
      <c r="L1179" s="19">
        <v>0.5265</v>
      </c>
      <c r="M1179" s="127">
        <v>0.0</v>
      </c>
      <c r="N1179" s="128">
        <v>0.0</v>
      </c>
      <c r="O1179" s="20">
        <v>0.0</v>
      </c>
      <c r="P1179" s="21">
        <v>0.0</v>
      </c>
      <c r="Q1179" s="19">
        <v>0.0</v>
      </c>
      <c r="R1179" s="129">
        <v>0.0</v>
      </c>
      <c r="S1179" s="20">
        <v>1.0</v>
      </c>
      <c r="T1179" s="20">
        <v>5.0</v>
      </c>
      <c r="U1179" s="131">
        <v>8909.0</v>
      </c>
      <c r="V1179" s="21" t="s">
        <v>315</v>
      </c>
      <c r="W1179" s="21" t="s">
        <v>3257</v>
      </c>
      <c r="X1179" s="21" t="s">
        <v>82</v>
      </c>
      <c r="Y1179" s="41" t="s">
        <v>3701</v>
      </c>
      <c r="Z1179" s="20" t="s">
        <v>3730</v>
      </c>
      <c r="AA1179" s="14">
        <v>62.0</v>
      </c>
      <c r="AB1179" s="14"/>
      <c r="AC1179" s="14">
        <v>62.0</v>
      </c>
      <c r="AD1179" s="14">
        <v>664229.0</v>
      </c>
      <c r="AE1179" s="14"/>
      <c r="AF1179" s="14">
        <v>664229.0</v>
      </c>
      <c r="AG1179" s="22"/>
      <c r="AH1179" s="22"/>
      <c r="AI1179" s="22"/>
      <c r="AJ1179" s="22"/>
      <c r="AK1179" s="22"/>
      <c r="AL1179" s="22"/>
      <c r="AM1179" s="22"/>
      <c r="AN1179" s="22"/>
      <c r="AO1179" s="22"/>
      <c r="AP1179" s="22"/>
    </row>
    <row r="1180" hidden="1">
      <c r="A1180" s="69">
        <v>46142.0</v>
      </c>
      <c r="B1180" s="125">
        <v>0.75</v>
      </c>
      <c r="C1180" s="126" t="s">
        <v>58</v>
      </c>
      <c r="D1180" s="102" t="s">
        <v>3083</v>
      </c>
      <c r="E1180" s="102" t="s">
        <v>179</v>
      </c>
      <c r="F1180" s="102" t="s">
        <v>3722</v>
      </c>
      <c r="G1180" s="126" t="s">
        <v>3731</v>
      </c>
      <c r="H1180" s="126" t="s">
        <v>3714</v>
      </c>
      <c r="I1180" s="102" t="s">
        <v>61</v>
      </c>
      <c r="J1180" s="85">
        <v>21112.0</v>
      </c>
      <c r="K1180" s="85">
        <v>12581.0</v>
      </c>
      <c r="L1180" s="19">
        <v>0.5959</v>
      </c>
      <c r="M1180" s="127">
        <v>0.0</v>
      </c>
      <c r="N1180" s="128">
        <v>0.0</v>
      </c>
      <c r="O1180" s="20">
        <v>0.0</v>
      </c>
      <c r="P1180" s="21">
        <v>0.0</v>
      </c>
      <c r="Q1180" s="19">
        <v>0.0</v>
      </c>
      <c r="R1180" s="129">
        <v>0.0</v>
      </c>
      <c r="S1180" s="20">
        <v>1.0</v>
      </c>
      <c r="T1180" s="20">
        <v>5.0</v>
      </c>
      <c r="U1180" s="131">
        <v>9614.0</v>
      </c>
      <c r="V1180" s="21" t="s">
        <v>315</v>
      </c>
      <c r="W1180" s="21" t="s">
        <v>3257</v>
      </c>
      <c r="X1180" s="21" t="s">
        <v>111</v>
      </c>
      <c r="Y1180" s="41" t="s">
        <v>3701</v>
      </c>
      <c r="Z1180" s="20" t="s">
        <v>3732</v>
      </c>
      <c r="AA1180" s="14">
        <v>33.0</v>
      </c>
      <c r="AB1180" s="14"/>
      <c r="AC1180" s="14">
        <v>33.0</v>
      </c>
      <c r="AD1180" s="14">
        <v>223002.0</v>
      </c>
      <c r="AE1180" s="14"/>
      <c r="AF1180" s="14">
        <v>223002.0</v>
      </c>
      <c r="AG1180" s="22"/>
      <c r="AH1180" s="22"/>
      <c r="AI1180" s="22"/>
      <c r="AJ1180" s="22"/>
      <c r="AK1180" s="22"/>
      <c r="AL1180" s="22"/>
      <c r="AM1180" s="22"/>
      <c r="AN1180" s="22"/>
      <c r="AO1180" s="22"/>
      <c r="AP1180" s="22"/>
    </row>
    <row r="1181" hidden="1">
      <c r="A1181" s="69">
        <v>46142.0</v>
      </c>
      <c r="B1181" s="125">
        <v>0.75</v>
      </c>
      <c r="C1181" s="126" t="s">
        <v>58</v>
      </c>
      <c r="D1181" s="102" t="s">
        <v>3083</v>
      </c>
      <c r="E1181" s="102" t="s">
        <v>179</v>
      </c>
      <c r="F1181" s="102" t="s">
        <v>3722</v>
      </c>
      <c r="G1181" s="126" t="s">
        <v>3733</v>
      </c>
      <c r="H1181" s="126" t="s">
        <v>3717</v>
      </c>
      <c r="I1181" s="102" t="s">
        <v>61</v>
      </c>
      <c r="J1181" s="85">
        <v>16172.0</v>
      </c>
      <c r="K1181" s="85">
        <v>8963.0</v>
      </c>
      <c r="L1181" s="19">
        <v>0.5542</v>
      </c>
      <c r="M1181" s="127">
        <v>0.0</v>
      </c>
      <c r="N1181" s="128">
        <v>0.0</v>
      </c>
      <c r="O1181" s="20">
        <v>0.0</v>
      </c>
      <c r="P1181" s="21">
        <v>0.0</v>
      </c>
      <c r="Q1181" s="19">
        <v>0.0</v>
      </c>
      <c r="R1181" s="129">
        <v>0.0</v>
      </c>
      <c r="S1181" s="20">
        <v>1.0</v>
      </c>
      <c r="T1181" s="20">
        <v>3.0</v>
      </c>
      <c r="U1181" s="131">
        <v>7420.0</v>
      </c>
      <c r="V1181" s="21" t="s">
        <v>315</v>
      </c>
      <c r="W1181" s="21" t="s">
        <v>3257</v>
      </c>
      <c r="X1181" s="21" t="s">
        <v>69</v>
      </c>
      <c r="Y1181" s="41" t="s">
        <v>3701</v>
      </c>
      <c r="Z1181" s="20" t="s">
        <v>3734</v>
      </c>
      <c r="AA1181" s="14">
        <v>26.0</v>
      </c>
      <c r="AB1181" s="14"/>
      <c r="AC1181" s="14">
        <v>26.0</v>
      </c>
      <c r="AD1181" s="14">
        <v>140730.0</v>
      </c>
      <c r="AE1181" s="14"/>
      <c r="AF1181" s="14">
        <v>140730.0</v>
      </c>
      <c r="AG1181" s="22"/>
      <c r="AH1181" s="22"/>
      <c r="AI1181" s="22"/>
      <c r="AJ1181" s="22"/>
      <c r="AK1181" s="22"/>
      <c r="AL1181" s="22"/>
      <c r="AM1181" s="22"/>
      <c r="AN1181" s="22"/>
      <c r="AO1181" s="22"/>
      <c r="AP1181" s="22"/>
    </row>
    <row r="1182" hidden="1">
      <c r="A1182" s="69">
        <v>46142.0</v>
      </c>
      <c r="B1182" s="125">
        <v>0.75</v>
      </c>
      <c r="C1182" s="126" t="s">
        <v>58</v>
      </c>
      <c r="D1182" s="102" t="s">
        <v>3083</v>
      </c>
      <c r="E1182" s="102" t="s">
        <v>179</v>
      </c>
      <c r="F1182" s="102" t="s">
        <v>3722</v>
      </c>
      <c r="G1182" s="126" t="s">
        <v>3735</v>
      </c>
      <c r="H1182" s="126" t="s">
        <v>3720</v>
      </c>
      <c r="I1182" s="102" t="s">
        <v>61</v>
      </c>
      <c r="J1182" s="85">
        <v>2587.0</v>
      </c>
      <c r="K1182" s="85">
        <v>1235.0</v>
      </c>
      <c r="L1182" s="19">
        <v>0.4774</v>
      </c>
      <c r="M1182" s="127">
        <v>0.0</v>
      </c>
      <c r="N1182" s="128">
        <v>0.0</v>
      </c>
      <c r="O1182" s="20">
        <v>0.0</v>
      </c>
      <c r="P1182" s="21">
        <v>0.0</v>
      </c>
      <c r="Q1182" s="19">
        <v>0.0</v>
      </c>
      <c r="R1182" s="129">
        <v>0.0</v>
      </c>
      <c r="S1182" s="20">
        <v>0.0</v>
      </c>
      <c r="T1182" s="20">
        <v>0.0</v>
      </c>
      <c r="U1182" s="131">
        <v>0.0</v>
      </c>
      <c r="V1182" s="21" t="s">
        <v>315</v>
      </c>
      <c r="W1182" s="21" t="s">
        <v>3257</v>
      </c>
      <c r="X1182" s="21" t="s">
        <v>69</v>
      </c>
      <c r="Y1182" s="41" t="s">
        <v>3701</v>
      </c>
      <c r="Z1182" s="20" t="s">
        <v>3736</v>
      </c>
      <c r="AA1182" s="14">
        <v>4.0</v>
      </c>
      <c r="AB1182" s="14"/>
      <c r="AC1182" s="14">
        <v>4.0</v>
      </c>
      <c r="AD1182" s="14">
        <v>33017.0</v>
      </c>
      <c r="AE1182" s="14"/>
      <c r="AF1182" s="14">
        <v>33017.0</v>
      </c>
      <c r="AG1182" s="22"/>
      <c r="AH1182" s="22"/>
      <c r="AI1182" s="22"/>
      <c r="AJ1182" s="22"/>
      <c r="AK1182" s="22"/>
      <c r="AL1182" s="22"/>
      <c r="AM1182" s="22"/>
      <c r="AN1182" s="22"/>
      <c r="AO1182" s="22"/>
      <c r="AP1182" s="22"/>
    </row>
    <row r="1183" hidden="1">
      <c r="A1183" s="69">
        <v>46142.0</v>
      </c>
      <c r="B1183" s="125">
        <v>0.5833333333333334</v>
      </c>
      <c r="C1183" s="126" t="s">
        <v>196</v>
      </c>
      <c r="D1183" s="102" t="s">
        <v>3243</v>
      </c>
      <c r="E1183" s="102" t="s">
        <v>179</v>
      </c>
      <c r="F1183" s="102" t="s">
        <v>3722</v>
      </c>
      <c r="G1183" s="126" t="s">
        <v>3737</v>
      </c>
      <c r="H1183" s="126" t="s">
        <v>3720</v>
      </c>
      <c r="I1183" s="102" t="s">
        <v>3738</v>
      </c>
      <c r="J1183" s="85">
        <v>7434.0</v>
      </c>
      <c r="K1183" s="85">
        <v>876.0</v>
      </c>
      <c r="L1183" s="17">
        <v>0.117836965294592</v>
      </c>
      <c r="M1183" s="127">
        <v>173.0</v>
      </c>
      <c r="N1183" s="128">
        <v>0.1975</v>
      </c>
      <c r="O1183" s="20">
        <v>3.0</v>
      </c>
      <c r="P1183" s="21">
        <v>0.0</v>
      </c>
      <c r="Q1183" s="19">
        <v>0.0034</v>
      </c>
      <c r="R1183" s="129">
        <v>0.0</v>
      </c>
      <c r="S1183" s="20">
        <v>0.0</v>
      </c>
      <c r="T1183" s="20">
        <v>0.0</v>
      </c>
      <c r="U1183" s="131">
        <v>0.0</v>
      </c>
      <c r="V1183" s="21" t="s">
        <v>315</v>
      </c>
      <c r="W1183" s="21" t="s">
        <v>3739</v>
      </c>
      <c r="X1183" s="21" t="s">
        <v>69</v>
      </c>
      <c r="Y1183" s="41" t="s">
        <v>3740</v>
      </c>
      <c r="Z1183" s="20" t="s">
        <v>3741</v>
      </c>
      <c r="AA1183" s="14">
        <v>2.0</v>
      </c>
      <c r="AB1183" s="14"/>
      <c r="AC1183" s="14">
        <v>2.0</v>
      </c>
      <c r="AD1183" s="14">
        <v>6866.0</v>
      </c>
      <c r="AE1183" s="14"/>
      <c r="AF1183" s="14">
        <v>6866.0</v>
      </c>
      <c r="AG1183" s="22"/>
      <c r="AH1183" s="22"/>
      <c r="AI1183" s="22"/>
      <c r="AJ1183" s="22"/>
      <c r="AK1183" s="22"/>
      <c r="AL1183" s="22"/>
      <c r="AM1183" s="22"/>
      <c r="AN1183" s="22"/>
      <c r="AO1183" s="22"/>
      <c r="AP1183" s="22"/>
    </row>
    <row r="1184" hidden="1">
      <c r="A1184" s="69">
        <v>46142.0</v>
      </c>
      <c r="B1184" s="125">
        <v>0.5833333333333334</v>
      </c>
      <c r="C1184" s="126" t="s">
        <v>196</v>
      </c>
      <c r="D1184" s="102" t="s">
        <v>3243</v>
      </c>
      <c r="E1184" s="102" t="s">
        <v>179</v>
      </c>
      <c r="F1184" s="102" t="s">
        <v>3722</v>
      </c>
      <c r="G1184" s="126" t="s">
        <v>3742</v>
      </c>
      <c r="H1184" s="126" t="s">
        <v>3714</v>
      </c>
      <c r="I1184" s="102" t="s">
        <v>3743</v>
      </c>
      <c r="J1184" s="85">
        <v>70580.0</v>
      </c>
      <c r="K1184" s="85">
        <v>12019.0</v>
      </c>
      <c r="L1184" s="17">
        <v>0.170289033720601</v>
      </c>
      <c r="M1184" s="127">
        <v>2206.0</v>
      </c>
      <c r="N1184" s="128">
        <v>0.1835</v>
      </c>
      <c r="O1184" s="20">
        <v>38.0</v>
      </c>
      <c r="P1184" s="21">
        <v>0.0</v>
      </c>
      <c r="Q1184" s="19">
        <v>0.0038</v>
      </c>
      <c r="R1184" s="129">
        <v>0.0</v>
      </c>
      <c r="S1184" s="20">
        <v>1.0</v>
      </c>
      <c r="T1184" s="20">
        <v>4.0</v>
      </c>
      <c r="U1184" s="131">
        <v>1803.0</v>
      </c>
      <c r="V1184" s="21" t="s">
        <v>315</v>
      </c>
      <c r="W1184" s="21" t="s">
        <v>3739</v>
      </c>
      <c r="X1184" s="21" t="s">
        <v>111</v>
      </c>
      <c r="Y1184" s="41" t="s">
        <v>3740</v>
      </c>
      <c r="Z1184" s="20" t="s">
        <v>3744</v>
      </c>
      <c r="AA1184" s="14">
        <v>44.0</v>
      </c>
      <c r="AB1184" s="14"/>
      <c r="AC1184" s="14">
        <v>44.0</v>
      </c>
      <c r="AD1184" s="14">
        <v>255888.0</v>
      </c>
      <c r="AE1184" s="14"/>
      <c r="AF1184" s="14">
        <v>255888.0</v>
      </c>
      <c r="AG1184" s="22"/>
      <c r="AH1184" s="22"/>
      <c r="AI1184" s="22"/>
      <c r="AJ1184" s="22"/>
      <c r="AK1184" s="22"/>
      <c r="AL1184" s="22"/>
      <c r="AM1184" s="22"/>
      <c r="AN1184" s="22"/>
      <c r="AO1184" s="22"/>
      <c r="AP1184" s="22"/>
    </row>
    <row r="1185" hidden="1">
      <c r="A1185" s="69">
        <v>46142.0</v>
      </c>
      <c r="B1185" s="125">
        <v>0.5833333333333334</v>
      </c>
      <c r="C1185" s="126" t="s">
        <v>196</v>
      </c>
      <c r="D1185" s="102" t="s">
        <v>3243</v>
      </c>
      <c r="E1185" s="102" t="s">
        <v>179</v>
      </c>
      <c r="F1185" s="102" t="s">
        <v>3722</v>
      </c>
      <c r="G1185" s="126" t="s">
        <v>3745</v>
      </c>
      <c r="H1185" s="126" t="s">
        <v>3711</v>
      </c>
      <c r="I1185" s="102" t="s">
        <v>3746</v>
      </c>
      <c r="J1185" s="85">
        <v>33390.0</v>
      </c>
      <c r="K1185" s="85">
        <v>3736.0</v>
      </c>
      <c r="L1185" s="17">
        <v>0.111889787361485</v>
      </c>
      <c r="M1185" s="127">
        <v>746.0</v>
      </c>
      <c r="N1185" s="128">
        <v>0.1997</v>
      </c>
      <c r="O1185" s="20">
        <v>8.0</v>
      </c>
      <c r="P1185" s="21">
        <v>0.0</v>
      </c>
      <c r="Q1185" s="19">
        <v>0.0021</v>
      </c>
      <c r="R1185" s="129">
        <v>0.0</v>
      </c>
      <c r="S1185" s="20">
        <v>0.0</v>
      </c>
      <c r="T1185" s="20">
        <v>1.0</v>
      </c>
      <c r="U1185" s="131">
        <v>0.0</v>
      </c>
      <c r="V1185" s="21" t="s">
        <v>315</v>
      </c>
      <c r="W1185" s="21" t="s">
        <v>3739</v>
      </c>
      <c r="X1185" s="21" t="s">
        <v>82</v>
      </c>
      <c r="Y1185" s="41" t="s">
        <v>3740</v>
      </c>
      <c r="Z1185" s="20" t="s">
        <v>3747</v>
      </c>
      <c r="AA1185" s="14">
        <v>25.0</v>
      </c>
      <c r="AB1185" s="14"/>
      <c r="AC1185" s="14">
        <v>25.0</v>
      </c>
      <c r="AD1185" s="14">
        <v>332878.0</v>
      </c>
      <c r="AE1185" s="14"/>
      <c r="AF1185" s="14">
        <v>332878.0</v>
      </c>
      <c r="AG1185" s="22"/>
      <c r="AH1185" s="22"/>
      <c r="AI1185" s="22"/>
      <c r="AJ1185" s="22"/>
      <c r="AK1185" s="22"/>
      <c r="AL1185" s="22"/>
      <c r="AM1185" s="22"/>
      <c r="AN1185" s="22"/>
      <c r="AO1185" s="22"/>
      <c r="AP1185" s="22"/>
    </row>
    <row r="1186" hidden="1">
      <c r="A1186" s="69">
        <v>46142.0</v>
      </c>
      <c r="B1186" s="125">
        <v>0.5833333333333334</v>
      </c>
      <c r="C1186" s="126" t="s">
        <v>196</v>
      </c>
      <c r="D1186" s="102" t="s">
        <v>3243</v>
      </c>
      <c r="E1186" s="102" t="s">
        <v>179</v>
      </c>
      <c r="F1186" s="102" t="s">
        <v>3722</v>
      </c>
      <c r="G1186" s="126" t="s">
        <v>3748</v>
      </c>
      <c r="H1186" s="126" t="s">
        <v>3708</v>
      </c>
      <c r="I1186" s="102" t="s">
        <v>3749</v>
      </c>
      <c r="J1186" s="85">
        <v>23377.0</v>
      </c>
      <c r="K1186" s="85">
        <v>4548.0</v>
      </c>
      <c r="L1186" s="17">
        <v>0.194550198913462</v>
      </c>
      <c r="M1186" s="127">
        <v>718.0</v>
      </c>
      <c r="N1186" s="128">
        <v>0.1579</v>
      </c>
      <c r="O1186" s="20">
        <v>11.0</v>
      </c>
      <c r="P1186" s="21">
        <v>0.0</v>
      </c>
      <c r="Q1186" s="19">
        <v>0.0029</v>
      </c>
      <c r="R1186" s="129">
        <v>0.0</v>
      </c>
      <c r="S1186" s="20">
        <v>0.0</v>
      </c>
      <c r="T1186" s="20">
        <v>1.0</v>
      </c>
      <c r="U1186" s="131">
        <v>0.0</v>
      </c>
      <c r="V1186" s="21" t="s">
        <v>315</v>
      </c>
      <c r="W1186" s="21" t="s">
        <v>3739</v>
      </c>
      <c r="X1186" s="21" t="s">
        <v>2594</v>
      </c>
      <c r="Y1186" s="41" t="s">
        <v>3740</v>
      </c>
      <c r="Z1186" s="20" t="s">
        <v>3750</v>
      </c>
      <c r="AA1186" s="14">
        <v>11.0</v>
      </c>
      <c r="AB1186" s="14"/>
      <c r="AC1186" s="14">
        <v>11.0</v>
      </c>
      <c r="AD1186" s="14">
        <v>27676.0</v>
      </c>
      <c r="AE1186" s="14"/>
      <c r="AF1186" s="14">
        <v>27676.0</v>
      </c>
      <c r="AG1186" s="22"/>
      <c r="AH1186" s="22"/>
      <c r="AI1186" s="22"/>
      <c r="AJ1186" s="22"/>
      <c r="AK1186" s="22"/>
      <c r="AL1186" s="22"/>
      <c r="AM1186" s="22"/>
      <c r="AN1186" s="22"/>
      <c r="AO1186" s="22"/>
      <c r="AP1186" s="22"/>
    </row>
    <row r="1187" hidden="1">
      <c r="A1187" s="69">
        <v>46142.0</v>
      </c>
      <c r="B1187" s="125">
        <v>0.5833333333333334</v>
      </c>
      <c r="C1187" s="126" t="s">
        <v>196</v>
      </c>
      <c r="D1187" s="102" t="s">
        <v>3243</v>
      </c>
      <c r="E1187" s="102" t="s">
        <v>179</v>
      </c>
      <c r="F1187" s="102" t="s">
        <v>3722</v>
      </c>
      <c r="G1187" s="126" t="s">
        <v>3751</v>
      </c>
      <c r="H1187" s="126" t="s">
        <v>3704</v>
      </c>
      <c r="I1187" s="102" t="s">
        <v>3752</v>
      </c>
      <c r="J1187" s="85">
        <v>6710.0</v>
      </c>
      <c r="K1187" s="85">
        <v>1115.0</v>
      </c>
      <c r="L1187" s="17">
        <v>0.166169895678092</v>
      </c>
      <c r="M1187" s="127">
        <v>227.0</v>
      </c>
      <c r="N1187" s="128">
        <v>0.2036</v>
      </c>
      <c r="O1187" s="20">
        <v>6.0</v>
      </c>
      <c r="P1187" s="21">
        <v>0.0</v>
      </c>
      <c r="Q1187" s="19">
        <v>0.0072</v>
      </c>
      <c r="R1187" s="129">
        <v>0.0</v>
      </c>
      <c r="S1187" s="20">
        <v>0.0</v>
      </c>
      <c r="T1187" s="20">
        <v>0.0</v>
      </c>
      <c r="U1187" s="131">
        <v>0.0</v>
      </c>
      <c r="V1187" s="21" t="s">
        <v>315</v>
      </c>
      <c r="W1187" s="21" t="s">
        <v>3257</v>
      </c>
      <c r="X1187" s="21" t="s">
        <v>3705</v>
      </c>
      <c r="Y1187" s="41" t="s">
        <v>3740</v>
      </c>
      <c r="Z1187" s="20" t="s">
        <v>3753</v>
      </c>
      <c r="AA1187" s="14">
        <v>10.0</v>
      </c>
      <c r="AB1187" s="14"/>
      <c r="AC1187" s="14">
        <v>10.0</v>
      </c>
      <c r="AD1187" s="14">
        <v>86047.0</v>
      </c>
      <c r="AE1187" s="14"/>
      <c r="AF1187" s="14">
        <v>86047.0</v>
      </c>
      <c r="AG1187" s="22"/>
      <c r="AH1187" s="22"/>
      <c r="AI1187" s="22"/>
      <c r="AJ1187" s="22"/>
      <c r="AK1187" s="22"/>
      <c r="AL1187" s="22"/>
      <c r="AM1187" s="22"/>
      <c r="AN1187" s="22"/>
      <c r="AO1187" s="22"/>
      <c r="AP1187" s="22"/>
    </row>
    <row r="1188" hidden="1">
      <c r="A1188" s="69">
        <v>46142.0</v>
      </c>
      <c r="B1188" s="125">
        <v>0.5833333333333334</v>
      </c>
      <c r="C1188" s="126" t="s">
        <v>196</v>
      </c>
      <c r="D1188" s="102" t="s">
        <v>3243</v>
      </c>
      <c r="E1188" s="102" t="s">
        <v>179</v>
      </c>
      <c r="F1188" s="102" t="s">
        <v>3722</v>
      </c>
      <c r="G1188" s="126" t="s">
        <v>3754</v>
      </c>
      <c r="H1188" s="126" t="s">
        <v>3700</v>
      </c>
      <c r="I1188" s="102" t="s">
        <v>3755</v>
      </c>
      <c r="J1188" s="85">
        <v>7208.0</v>
      </c>
      <c r="K1188" s="85">
        <v>1326.0</v>
      </c>
      <c r="L1188" s="17">
        <v>0.183962264150943</v>
      </c>
      <c r="M1188" s="127">
        <v>236.0</v>
      </c>
      <c r="N1188" s="128">
        <v>0.178</v>
      </c>
      <c r="O1188" s="20">
        <v>3.0</v>
      </c>
      <c r="P1188" s="21">
        <v>0.0</v>
      </c>
      <c r="Q1188" s="19">
        <v>0.0023</v>
      </c>
      <c r="R1188" s="129">
        <v>0.0</v>
      </c>
      <c r="S1188" s="20">
        <v>0.0</v>
      </c>
      <c r="T1188" s="20">
        <v>0.0</v>
      </c>
      <c r="U1188" s="131">
        <v>0.0</v>
      </c>
      <c r="V1188" s="21" t="s">
        <v>315</v>
      </c>
      <c r="W1188" s="21" t="s">
        <v>3739</v>
      </c>
      <c r="X1188" s="21" t="s">
        <v>52</v>
      </c>
      <c r="Y1188" s="41" t="s">
        <v>3740</v>
      </c>
      <c r="Z1188" s="20" t="s">
        <v>3756</v>
      </c>
      <c r="AA1188" s="14">
        <v>16.0</v>
      </c>
      <c r="AB1188" s="14"/>
      <c r="AC1188" s="14">
        <v>16.0</v>
      </c>
      <c r="AD1188" s="14">
        <v>113896.0</v>
      </c>
      <c r="AE1188" s="14"/>
      <c r="AF1188" s="14">
        <v>113896.0</v>
      </c>
      <c r="AG1188" s="22"/>
      <c r="AH1188" s="22"/>
      <c r="AI1188" s="22"/>
      <c r="AJ1188" s="22"/>
      <c r="AK1188" s="22"/>
      <c r="AL1188" s="22"/>
      <c r="AM1188" s="22"/>
      <c r="AN1188" s="22"/>
      <c r="AO1188" s="22"/>
      <c r="AP1188" s="22"/>
    </row>
    <row r="1189" hidden="1">
      <c r="A1189" s="69">
        <v>46142.0</v>
      </c>
      <c r="B1189" s="125">
        <v>0.5833333333333334</v>
      </c>
      <c r="C1189" s="126" t="s">
        <v>196</v>
      </c>
      <c r="D1189" s="102" t="s">
        <v>3243</v>
      </c>
      <c r="E1189" s="102" t="s">
        <v>179</v>
      </c>
      <c r="F1189" s="102" t="s">
        <v>3722</v>
      </c>
      <c r="G1189" s="126" t="s">
        <v>3757</v>
      </c>
      <c r="H1189" s="126" t="s">
        <v>3717</v>
      </c>
      <c r="I1189" s="102" t="s">
        <v>3758</v>
      </c>
      <c r="J1189" s="85">
        <v>47088.0</v>
      </c>
      <c r="K1189" s="85">
        <v>7573.0</v>
      </c>
      <c r="L1189" s="17">
        <v>0.160826537546721</v>
      </c>
      <c r="M1189" s="127">
        <v>1328.0</v>
      </c>
      <c r="N1189" s="134">
        <v>0.1754</v>
      </c>
      <c r="O1189" s="20">
        <v>17.0</v>
      </c>
      <c r="P1189" s="21">
        <v>0.0</v>
      </c>
      <c r="Q1189" s="15">
        <v>0.0026</v>
      </c>
      <c r="R1189" s="129">
        <v>0.0</v>
      </c>
      <c r="S1189" s="20">
        <v>0.0</v>
      </c>
      <c r="T1189" s="20">
        <v>0.0</v>
      </c>
      <c r="U1189" s="131">
        <v>0.0</v>
      </c>
      <c r="V1189" s="21" t="s">
        <v>315</v>
      </c>
      <c r="W1189" s="21" t="s">
        <v>3739</v>
      </c>
      <c r="X1189" s="21" t="s">
        <v>69</v>
      </c>
      <c r="Y1189" s="41" t="s">
        <v>3740</v>
      </c>
      <c r="Z1189" s="20" t="s">
        <v>3759</v>
      </c>
      <c r="AA1189" s="14">
        <v>12.0</v>
      </c>
      <c r="AB1189" s="14"/>
      <c r="AC1189" s="14">
        <v>12.0</v>
      </c>
      <c r="AD1189" s="14">
        <v>68560.0</v>
      </c>
      <c r="AE1189" s="14"/>
      <c r="AF1189" s="14">
        <v>68560.0</v>
      </c>
      <c r="AG1189" s="22"/>
      <c r="AH1189" s="22"/>
      <c r="AI1189" s="22"/>
      <c r="AJ1189" s="22"/>
      <c r="AK1189" s="22"/>
      <c r="AL1189" s="22"/>
      <c r="AM1189" s="22"/>
      <c r="AN1189" s="22"/>
      <c r="AO1189" s="22"/>
      <c r="AP1189" s="22"/>
    </row>
    <row r="1190" hidden="1">
      <c r="A1190" s="69">
        <v>46142.0</v>
      </c>
      <c r="B1190" s="125">
        <v>0.7083333333333334</v>
      </c>
      <c r="C1190" s="126" t="s">
        <v>32</v>
      </c>
      <c r="D1190" s="102" t="s">
        <v>3243</v>
      </c>
      <c r="E1190" s="102" t="s">
        <v>34</v>
      </c>
      <c r="F1190" s="102" t="s">
        <v>3760</v>
      </c>
      <c r="G1190" s="126" t="s">
        <v>3761</v>
      </c>
      <c r="H1190" s="126" t="s">
        <v>3762</v>
      </c>
      <c r="I1190" s="102" t="s">
        <v>3763</v>
      </c>
      <c r="J1190" s="85">
        <v>1308.0</v>
      </c>
      <c r="K1190" s="85">
        <v>662.0</v>
      </c>
      <c r="L1190" s="19">
        <v>0.5061</v>
      </c>
      <c r="M1190" s="127">
        <v>357.0</v>
      </c>
      <c r="N1190" s="128">
        <v>0.5393</v>
      </c>
      <c r="O1190" s="20">
        <v>175.0</v>
      </c>
      <c r="P1190" s="21">
        <v>155.0</v>
      </c>
      <c r="Q1190" s="19">
        <v>0.2341</v>
      </c>
      <c r="R1190" s="129">
        <v>0.4342</v>
      </c>
      <c r="S1190" s="20">
        <v>12.0</v>
      </c>
      <c r="T1190" s="20">
        <v>88.0</v>
      </c>
      <c r="U1190" s="131">
        <v>172561.0</v>
      </c>
      <c r="V1190" s="21" t="s">
        <v>335</v>
      </c>
      <c r="W1190" s="21" t="s">
        <v>76</v>
      </c>
      <c r="X1190" s="21" t="s">
        <v>2131</v>
      </c>
      <c r="Y1190" s="21" t="s">
        <v>3764</v>
      </c>
      <c r="Z1190" s="20" t="s">
        <v>3765</v>
      </c>
      <c r="AA1190" s="25"/>
      <c r="AB1190" s="25"/>
      <c r="AC1190" s="107"/>
      <c r="AD1190" s="25"/>
      <c r="AE1190" s="25"/>
      <c r="AF1190" s="65"/>
      <c r="AG1190" s="135"/>
      <c r="AH1190" s="135"/>
      <c r="AI1190" s="135"/>
      <c r="AJ1190" s="135"/>
      <c r="AK1190" s="135"/>
      <c r="AL1190" s="135"/>
      <c r="AM1190" s="135"/>
      <c r="AN1190" s="135"/>
      <c r="AO1190" s="135"/>
      <c r="AP1190" s="135"/>
    </row>
    <row r="1191" hidden="1">
      <c r="A1191" s="69">
        <v>46142.0</v>
      </c>
      <c r="B1191" s="125">
        <v>0.75</v>
      </c>
      <c r="C1191" s="126" t="s">
        <v>32</v>
      </c>
      <c r="D1191" s="102" t="s">
        <v>3243</v>
      </c>
      <c r="E1191" s="102" t="s">
        <v>34</v>
      </c>
      <c r="F1191" s="102" t="s">
        <v>3760</v>
      </c>
      <c r="G1191" s="126" t="s">
        <v>3766</v>
      </c>
      <c r="H1191" s="126" t="s">
        <v>3767</v>
      </c>
      <c r="I1191" s="102" t="s">
        <v>3768</v>
      </c>
      <c r="J1191" s="85">
        <v>1766.0</v>
      </c>
      <c r="K1191" s="85">
        <v>921.0</v>
      </c>
      <c r="L1191" s="19">
        <v>0.5215</v>
      </c>
      <c r="M1191" s="127">
        <v>515.0</v>
      </c>
      <c r="N1191" s="128">
        <v>0.5592</v>
      </c>
      <c r="O1191" s="20">
        <v>215.0</v>
      </c>
      <c r="P1191" s="21">
        <v>194.0</v>
      </c>
      <c r="Q1191" s="19">
        <v>0.2106</v>
      </c>
      <c r="R1191" s="129">
        <v>0.3767</v>
      </c>
      <c r="S1191" s="20">
        <v>7.0</v>
      </c>
      <c r="T1191" s="20">
        <v>66.0</v>
      </c>
      <c r="U1191" s="131">
        <v>80992.0</v>
      </c>
      <c r="V1191" s="21" t="s">
        <v>335</v>
      </c>
      <c r="W1191" s="21" t="s">
        <v>76</v>
      </c>
      <c r="X1191" s="21" t="s">
        <v>2282</v>
      </c>
      <c r="Y1191" s="21" t="s">
        <v>3764</v>
      </c>
      <c r="Z1191" s="20" t="s">
        <v>3769</v>
      </c>
      <c r="AA1191" s="25"/>
      <c r="AB1191" s="25"/>
      <c r="AC1191" s="107"/>
      <c r="AD1191" s="25"/>
      <c r="AE1191" s="25"/>
      <c r="AF1191" s="65"/>
      <c r="AG1191" s="135"/>
      <c r="AH1191" s="135"/>
      <c r="AI1191" s="135"/>
      <c r="AJ1191" s="135"/>
      <c r="AK1191" s="135"/>
      <c r="AL1191" s="135"/>
      <c r="AM1191" s="135"/>
      <c r="AN1191" s="135"/>
      <c r="AO1191" s="135"/>
      <c r="AP1191" s="135"/>
    </row>
    <row r="1192" hidden="1">
      <c r="A1192" s="69">
        <v>46142.0</v>
      </c>
      <c r="B1192" s="125">
        <v>0.75</v>
      </c>
      <c r="C1192" s="126" t="s">
        <v>32</v>
      </c>
      <c r="D1192" s="102" t="s">
        <v>3243</v>
      </c>
      <c r="E1192" s="102" t="s">
        <v>34</v>
      </c>
      <c r="F1192" s="102" t="s">
        <v>3760</v>
      </c>
      <c r="G1192" s="126" t="s">
        <v>3770</v>
      </c>
      <c r="H1192" s="126" t="s">
        <v>3771</v>
      </c>
      <c r="I1192" s="102" t="s">
        <v>3772</v>
      </c>
      <c r="J1192" s="85">
        <v>1494.0</v>
      </c>
      <c r="K1192" s="85">
        <v>820.0</v>
      </c>
      <c r="L1192" s="19">
        <v>0.5489</v>
      </c>
      <c r="M1192" s="127">
        <v>434.0</v>
      </c>
      <c r="N1192" s="128">
        <v>0.5293</v>
      </c>
      <c r="O1192" s="20">
        <v>118.0</v>
      </c>
      <c r="P1192" s="21">
        <v>112.0</v>
      </c>
      <c r="Q1192" s="19">
        <v>0.1366</v>
      </c>
      <c r="R1192" s="129">
        <v>0.2581</v>
      </c>
      <c r="S1192" s="20">
        <v>10.0</v>
      </c>
      <c r="T1192" s="20">
        <v>46.0</v>
      </c>
      <c r="U1192" s="131">
        <v>108590.1</v>
      </c>
      <c r="V1192" s="21" t="s">
        <v>335</v>
      </c>
      <c r="W1192" s="21" t="s">
        <v>76</v>
      </c>
      <c r="X1192" s="21" t="s">
        <v>3773</v>
      </c>
      <c r="Y1192" s="21" t="s">
        <v>3764</v>
      </c>
      <c r="Z1192" s="20" t="s">
        <v>3774</v>
      </c>
      <c r="AA1192" s="25"/>
      <c r="AB1192" s="25"/>
      <c r="AC1192" s="65"/>
      <c r="AD1192" s="25"/>
      <c r="AE1192" s="25"/>
      <c r="AF1192" s="65"/>
      <c r="AG1192" s="135"/>
      <c r="AH1192" s="135"/>
      <c r="AI1192" s="135"/>
      <c r="AJ1192" s="135"/>
      <c r="AK1192" s="135"/>
      <c r="AL1192" s="135"/>
      <c r="AM1192" s="135"/>
      <c r="AN1192" s="135"/>
      <c r="AO1192" s="135"/>
      <c r="AP1192" s="135"/>
    </row>
    <row r="1193" hidden="1">
      <c r="A1193" s="69">
        <v>46142.0</v>
      </c>
      <c r="B1193" s="125">
        <v>0.75</v>
      </c>
      <c r="C1193" s="126" t="s">
        <v>32</v>
      </c>
      <c r="D1193" s="102" t="s">
        <v>3243</v>
      </c>
      <c r="E1193" s="102" t="s">
        <v>34</v>
      </c>
      <c r="F1193" s="102" t="s">
        <v>3760</v>
      </c>
      <c r="G1193" s="126" t="s">
        <v>3775</v>
      </c>
      <c r="H1193" s="126" t="s">
        <v>3776</v>
      </c>
      <c r="I1193" s="102" t="s">
        <v>3777</v>
      </c>
      <c r="J1193" s="85">
        <v>20642.0</v>
      </c>
      <c r="K1193" s="85">
        <v>9620.0</v>
      </c>
      <c r="L1193" s="19">
        <v>0.466</v>
      </c>
      <c r="M1193" s="127">
        <v>4959.0</v>
      </c>
      <c r="N1193" s="128">
        <v>0.5155</v>
      </c>
      <c r="O1193" s="20">
        <v>1808.0</v>
      </c>
      <c r="P1193" s="21">
        <v>1668.0</v>
      </c>
      <c r="Q1193" s="19">
        <v>0.1734</v>
      </c>
      <c r="R1193" s="129">
        <v>0.3364</v>
      </c>
      <c r="S1193" s="20">
        <v>10.0</v>
      </c>
      <c r="T1193" s="20">
        <v>130.0</v>
      </c>
      <c r="U1193" s="131">
        <v>149745.0</v>
      </c>
      <c r="V1193" s="21" t="s">
        <v>335</v>
      </c>
      <c r="W1193" s="21" t="s">
        <v>76</v>
      </c>
      <c r="X1193" s="21" t="s">
        <v>3778</v>
      </c>
      <c r="Y1193" s="21" t="s">
        <v>3764</v>
      </c>
      <c r="Z1193" s="20" t="s">
        <v>3779</v>
      </c>
      <c r="AA1193" s="25"/>
      <c r="AB1193" s="25"/>
      <c r="AC1193" s="65"/>
      <c r="AD1193" s="25"/>
      <c r="AE1193" s="25"/>
      <c r="AF1193" s="65"/>
      <c r="AG1193" s="135"/>
      <c r="AH1193" s="135"/>
      <c r="AI1193" s="135"/>
      <c r="AJ1193" s="135"/>
      <c r="AK1193" s="135"/>
      <c r="AL1193" s="135"/>
      <c r="AM1193" s="135"/>
      <c r="AN1193" s="135"/>
      <c r="AO1193" s="135"/>
      <c r="AP1193" s="135"/>
    </row>
    <row r="1194" hidden="1">
      <c r="A1194" s="69">
        <v>46142.0</v>
      </c>
      <c r="B1194" s="125">
        <v>0.75</v>
      </c>
      <c r="C1194" s="126" t="s">
        <v>32</v>
      </c>
      <c r="D1194" s="102" t="s">
        <v>3243</v>
      </c>
      <c r="E1194" s="102" t="s">
        <v>34</v>
      </c>
      <c r="F1194" s="102" t="s">
        <v>3760</v>
      </c>
      <c r="G1194" s="126" t="s">
        <v>3780</v>
      </c>
      <c r="H1194" s="126" t="s">
        <v>3781</v>
      </c>
      <c r="I1194" s="102" t="s">
        <v>3782</v>
      </c>
      <c r="J1194" s="85">
        <v>7779.0</v>
      </c>
      <c r="K1194" s="85">
        <v>3620.0</v>
      </c>
      <c r="L1194" s="19">
        <v>0.4654</v>
      </c>
      <c r="M1194" s="127">
        <v>1659.0</v>
      </c>
      <c r="N1194" s="128">
        <v>0.458</v>
      </c>
      <c r="O1194" s="20">
        <v>463.0</v>
      </c>
      <c r="P1194" s="21">
        <v>419.0</v>
      </c>
      <c r="Q1194" s="19">
        <v>0.1157</v>
      </c>
      <c r="R1194" s="129">
        <v>0.2527</v>
      </c>
      <c r="S1194" s="20">
        <v>7.0</v>
      </c>
      <c r="T1194" s="20">
        <v>14.0</v>
      </c>
      <c r="U1194" s="131">
        <v>104542.0</v>
      </c>
      <c r="V1194" s="21" t="s">
        <v>183</v>
      </c>
      <c r="W1194" s="21" t="s">
        <v>76</v>
      </c>
      <c r="X1194" s="21" t="s">
        <v>52</v>
      </c>
      <c r="Y1194" s="21" t="s">
        <v>3764</v>
      </c>
      <c r="Z1194" s="20" t="s">
        <v>3783</v>
      </c>
      <c r="AA1194" s="25"/>
      <c r="AB1194" s="25"/>
      <c r="AC1194" s="88"/>
      <c r="AD1194" s="25"/>
      <c r="AE1194" s="25"/>
      <c r="AF1194" s="25"/>
      <c r="AG1194" s="135"/>
      <c r="AH1194" s="135"/>
      <c r="AI1194" s="135"/>
      <c r="AJ1194" s="135"/>
      <c r="AK1194" s="135"/>
      <c r="AL1194" s="135"/>
      <c r="AM1194" s="135"/>
      <c r="AN1194" s="135"/>
      <c r="AO1194" s="135"/>
      <c r="AP1194" s="135"/>
    </row>
    <row r="1195" hidden="1">
      <c r="A1195" s="69">
        <v>46142.0</v>
      </c>
      <c r="B1195" s="125">
        <v>0.75</v>
      </c>
      <c r="C1195" s="126" t="s">
        <v>32</v>
      </c>
      <c r="D1195" s="102" t="s">
        <v>3243</v>
      </c>
      <c r="E1195" s="102" t="s">
        <v>34</v>
      </c>
      <c r="F1195" s="102" t="s">
        <v>3760</v>
      </c>
      <c r="G1195" s="126" t="s">
        <v>3784</v>
      </c>
      <c r="H1195" s="126" t="s">
        <v>3785</v>
      </c>
      <c r="I1195" s="102" t="s">
        <v>3786</v>
      </c>
      <c r="J1195" s="85">
        <v>24598.0</v>
      </c>
      <c r="K1195" s="85">
        <v>10984.0</v>
      </c>
      <c r="L1195" s="19">
        <v>0.4465</v>
      </c>
      <c r="M1195" s="127">
        <v>4950.0</v>
      </c>
      <c r="N1195" s="128">
        <v>0.4507</v>
      </c>
      <c r="O1195" s="20">
        <v>1101.0</v>
      </c>
      <c r="P1195" s="21">
        <v>1043.0</v>
      </c>
      <c r="Q1195" s="19">
        <v>0.095</v>
      </c>
      <c r="R1195" s="129">
        <v>0.2107</v>
      </c>
      <c r="S1195" s="20">
        <v>9.0</v>
      </c>
      <c r="T1195" s="20">
        <v>24.0</v>
      </c>
      <c r="U1195" s="131">
        <v>137590.0</v>
      </c>
      <c r="V1195" s="21" t="s">
        <v>183</v>
      </c>
      <c r="W1195" s="21" t="s">
        <v>76</v>
      </c>
      <c r="X1195" s="21" t="s">
        <v>82</v>
      </c>
      <c r="Y1195" s="21" t="s">
        <v>3764</v>
      </c>
      <c r="Z1195" s="20" t="s">
        <v>3787</v>
      </c>
      <c r="AA1195" s="25"/>
      <c r="AB1195" s="25"/>
      <c r="AC1195" s="88"/>
      <c r="AD1195" s="25"/>
      <c r="AE1195" s="25"/>
      <c r="AF1195" s="25"/>
      <c r="AG1195" s="135"/>
      <c r="AH1195" s="135"/>
      <c r="AI1195" s="135"/>
      <c r="AJ1195" s="135"/>
      <c r="AK1195" s="135"/>
      <c r="AL1195" s="135"/>
      <c r="AM1195" s="135"/>
      <c r="AN1195" s="135"/>
      <c r="AO1195" s="135"/>
      <c r="AP1195" s="135"/>
    </row>
    <row r="1196" hidden="1">
      <c r="A1196" s="69">
        <v>46142.0</v>
      </c>
      <c r="B1196" s="125">
        <v>0.75</v>
      </c>
      <c r="C1196" s="126" t="s">
        <v>32</v>
      </c>
      <c r="D1196" s="102" t="s">
        <v>3243</v>
      </c>
      <c r="E1196" s="102" t="s">
        <v>34</v>
      </c>
      <c r="F1196" s="102" t="s">
        <v>3760</v>
      </c>
      <c r="G1196" s="126" t="s">
        <v>3788</v>
      </c>
      <c r="H1196" s="126" t="s">
        <v>3789</v>
      </c>
      <c r="I1196" s="102" t="s">
        <v>3790</v>
      </c>
      <c r="J1196" s="85">
        <v>14744.0</v>
      </c>
      <c r="K1196" s="85">
        <v>7437.0</v>
      </c>
      <c r="L1196" s="19">
        <v>0.5044</v>
      </c>
      <c r="M1196" s="127">
        <v>3798.0</v>
      </c>
      <c r="N1196" s="128">
        <v>0.5107</v>
      </c>
      <c r="O1196" s="20">
        <v>1059.0</v>
      </c>
      <c r="P1196" s="21">
        <v>979.0</v>
      </c>
      <c r="Q1196" s="19">
        <v>0.1316</v>
      </c>
      <c r="R1196" s="129">
        <v>0.2578</v>
      </c>
      <c r="S1196" s="20">
        <v>6.0</v>
      </c>
      <c r="T1196" s="20">
        <v>26.0</v>
      </c>
      <c r="U1196" s="131">
        <v>100883.0</v>
      </c>
      <c r="V1196" s="21" t="s">
        <v>183</v>
      </c>
      <c r="W1196" s="21" t="s">
        <v>76</v>
      </c>
      <c r="X1196" s="21" t="s">
        <v>47</v>
      </c>
      <c r="Y1196" s="21" t="s">
        <v>3764</v>
      </c>
      <c r="Z1196" s="20" t="s">
        <v>3791</v>
      </c>
      <c r="AA1196" s="25"/>
      <c r="AB1196" s="25"/>
      <c r="AC1196" s="88"/>
      <c r="AD1196" s="25"/>
      <c r="AE1196" s="25"/>
      <c r="AF1196" s="25"/>
      <c r="AG1196" s="135"/>
      <c r="AH1196" s="135"/>
      <c r="AI1196" s="135"/>
      <c r="AJ1196" s="135"/>
      <c r="AK1196" s="135"/>
      <c r="AL1196" s="135"/>
      <c r="AM1196" s="135"/>
      <c r="AN1196" s="135"/>
      <c r="AO1196" s="135"/>
      <c r="AP1196" s="135"/>
    </row>
    <row r="1197" hidden="1">
      <c r="A1197" s="69">
        <v>46142.0</v>
      </c>
      <c r="B1197" s="125">
        <v>0.75</v>
      </c>
      <c r="C1197" s="126" t="s">
        <v>32</v>
      </c>
      <c r="D1197" s="102" t="s">
        <v>3243</v>
      </c>
      <c r="E1197" s="102" t="s">
        <v>34</v>
      </c>
      <c r="F1197" s="102" t="s">
        <v>3760</v>
      </c>
      <c r="G1197" s="126" t="s">
        <v>3792</v>
      </c>
      <c r="H1197" s="126" t="s">
        <v>3793</v>
      </c>
      <c r="I1197" s="102" t="s">
        <v>3794</v>
      </c>
      <c r="J1197" s="85">
        <v>20292.0</v>
      </c>
      <c r="K1197" s="85">
        <v>9094.0</v>
      </c>
      <c r="L1197" s="19">
        <v>0.4481</v>
      </c>
      <c r="M1197" s="127">
        <v>3814.0</v>
      </c>
      <c r="N1197" s="128">
        <v>0.4194</v>
      </c>
      <c r="O1197" s="20">
        <v>1000.0</v>
      </c>
      <c r="P1197" s="21">
        <v>932.0</v>
      </c>
      <c r="Q1197" s="19">
        <v>0.1025</v>
      </c>
      <c r="R1197" s="129">
        <v>0.2444</v>
      </c>
      <c r="S1197" s="20">
        <v>8.0</v>
      </c>
      <c r="T1197" s="20">
        <v>17.0</v>
      </c>
      <c r="U1197" s="131">
        <v>118690.1</v>
      </c>
      <c r="V1197" s="21" t="s">
        <v>183</v>
      </c>
      <c r="W1197" s="21" t="s">
        <v>76</v>
      </c>
      <c r="X1197" s="21" t="s">
        <v>3795</v>
      </c>
      <c r="Y1197" s="21" t="s">
        <v>3764</v>
      </c>
      <c r="Z1197" s="20" t="s">
        <v>3796</v>
      </c>
      <c r="AA1197" s="25"/>
      <c r="AB1197" s="25"/>
      <c r="AC1197" s="88"/>
      <c r="AD1197" s="25"/>
      <c r="AE1197" s="25"/>
      <c r="AF1197" s="25"/>
      <c r="AG1197" s="135"/>
      <c r="AH1197" s="135"/>
      <c r="AI1197" s="135"/>
      <c r="AJ1197" s="135"/>
      <c r="AK1197" s="135"/>
      <c r="AL1197" s="135"/>
      <c r="AM1197" s="135"/>
      <c r="AN1197" s="135"/>
      <c r="AO1197" s="135"/>
      <c r="AP1197" s="135"/>
    </row>
    <row r="1198" hidden="1">
      <c r="A1198" s="69">
        <v>46142.0</v>
      </c>
      <c r="B1198" s="125">
        <v>0.75</v>
      </c>
      <c r="C1198" s="126" t="s">
        <v>32</v>
      </c>
      <c r="D1198" s="102" t="s">
        <v>3243</v>
      </c>
      <c r="E1198" s="102" t="s">
        <v>34</v>
      </c>
      <c r="F1198" s="102" t="s">
        <v>3760</v>
      </c>
      <c r="G1198" s="126" t="s">
        <v>3797</v>
      </c>
      <c r="H1198" s="126" t="s">
        <v>3798</v>
      </c>
      <c r="I1198" s="102" t="s">
        <v>1101</v>
      </c>
      <c r="J1198" s="85">
        <v>160016.0</v>
      </c>
      <c r="K1198" s="85">
        <v>73394.0</v>
      </c>
      <c r="L1198" s="19">
        <v>0.4586</v>
      </c>
      <c r="M1198" s="127">
        <v>30860.0</v>
      </c>
      <c r="N1198" s="128">
        <v>0.4205</v>
      </c>
      <c r="O1198" s="20">
        <v>5247.0</v>
      </c>
      <c r="P1198" s="21">
        <v>4920.0</v>
      </c>
      <c r="Q1198" s="19">
        <v>0.067</v>
      </c>
      <c r="R1198" s="129">
        <v>0.1594</v>
      </c>
      <c r="S1198" s="20">
        <v>24.0</v>
      </c>
      <c r="T1198" s="20">
        <v>100.0</v>
      </c>
      <c r="U1198" s="131">
        <v>316298.1</v>
      </c>
      <c r="V1198" s="21" t="s">
        <v>183</v>
      </c>
      <c r="W1198" s="21" t="s">
        <v>76</v>
      </c>
      <c r="X1198" s="21" t="s">
        <v>1101</v>
      </c>
      <c r="Y1198" s="21" t="s">
        <v>3764</v>
      </c>
      <c r="Z1198" s="20" t="s">
        <v>3799</v>
      </c>
      <c r="AA1198" s="25"/>
      <c r="AB1198" s="25"/>
      <c r="AC1198" s="88"/>
      <c r="AD1198" s="25"/>
      <c r="AE1198" s="25"/>
      <c r="AF1198" s="25"/>
      <c r="AG1198" s="135"/>
      <c r="AH1198" s="135"/>
      <c r="AI1198" s="135"/>
      <c r="AJ1198" s="135"/>
      <c r="AK1198" s="135"/>
      <c r="AL1198" s="135"/>
      <c r="AM1198" s="135"/>
      <c r="AN1198" s="135"/>
      <c r="AO1198" s="135"/>
      <c r="AP1198" s="135"/>
    </row>
    <row r="1199" hidden="1">
      <c r="A1199" s="69">
        <v>46142.0</v>
      </c>
      <c r="B1199" s="125">
        <v>0.8333333333333334</v>
      </c>
      <c r="C1199" s="126" t="s">
        <v>58</v>
      </c>
      <c r="D1199" s="102" t="s">
        <v>3083</v>
      </c>
      <c r="E1199" s="102" t="s">
        <v>34</v>
      </c>
      <c r="F1199" s="102" t="s">
        <v>3800</v>
      </c>
      <c r="G1199" s="126" t="s">
        <v>3801</v>
      </c>
      <c r="H1199" s="126" t="s">
        <v>3762</v>
      </c>
      <c r="I1199" s="102" t="s">
        <v>2956</v>
      </c>
      <c r="J1199" s="85">
        <v>499.0</v>
      </c>
      <c r="K1199" s="85">
        <v>292.0</v>
      </c>
      <c r="L1199" s="19">
        <v>0.5852</v>
      </c>
      <c r="M1199" s="127">
        <v>0.0</v>
      </c>
      <c r="N1199" s="128">
        <v>0.0</v>
      </c>
      <c r="O1199" s="20">
        <v>3.0</v>
      </c>
      <c r="P1199" s="21">
        <v>0.0</v>
      </c>
      <c r="Q1199" s="19">
        <v>0.0103</v>
      </c>
      <c r="R1199" s="129">
        <v>0.0</v>
      </c>
      <c r="S1199" s="20">
        <v>2.0</v>
      </c>
      <c r="T1199" s="20">
        <v>42.0</v>
      </c>
      <c r="U1199" s="131">
        <v>29997.0</v>
      </c>
      <c r="V1199" s="21" t="s">
        <v>335</v>
      </c>
      <c r="W1199" s="21" t="s">
        <v>3739</v>
      </c>
      <c r="X1199" s="21" t="s">
        <v>2131</v>
      </c>
      <c r="Y1199" s="21" t="s">
        <v>3764</v>
      </c>
      <c r="Z1199" s="20" t="s">
        <v>3802</v>
      </c>
      <c r="AA1199" s="25"/>
      <c r="AB1199" s="25"/>
      <c r="AC1199" s="65"/>
      <c r="AD1199" s="25"/>
      <c r="AE1199" s="25"/>
      <c r="AF1199" s="65"/>
      <c r="AG1199" s="135"/>
      <c r="AH1199" s="135"/>
      <c r="AI1199" s="135"/>
      <c r="AJ1199" s="135"/>
      <c r="AK1199" s="135"/>
      <c r="AL1199" s="135"/>
      <c r="AM1199" s="135"/>
      <c r="AN1199" s="135"/>
      <c r="AO1199" s="135"/>
      <c r="AP1199" s="135"/>
    </row>
    <row r="1200" hidden="1">
      <c r="A1200" s="69">
        <v>46142.0</v>
      </c>
      <c r="B1200" s="125">
        <v>0.8333333333333334</v>
      </c>
      <c r="C1200" s="126" t="s">
        <v>58</v>
      </c>
      <c r="D1200" s="102" t="s">
        <v>3083</v>
      </c>
      <c r="E1200" s="102" t="s">
        <v>34</v>
      </c>
      <c r="F1200" s="102" t="s">
        <v>3800</v>
      </c>
      <c r="G1200" s="126" t="s">
        <v>3803</v>
      </c>
      <c r="H1200" s="126" t="s">
        <v>3767</v>
      </c>
      <c r="I1200" s="102" t="s">
        <v>2956</v>
      </c>
      <c r="J1200" s="85">
        <v>631.0</v>
      </c>
      <c r="K1200" s="85">
        <v>373.0</v>
      </c>
      <c r="L1200" s="19">
        <v>0.5911</v>
      </c>
      <c r="M1200" s="127">
        <v>0.0</v>
      </c>
      <c r="N1200" s="128">
        <v>0.0</v>
      </c>
      <c r="O1200" s="20">
        <v>9.0</v>
      </c>
      <c r="P1200" s="21">
        <v>0.0</v>
      </c>
      <c r="Q1200" s="19">
        <v>0.0241</v>
      </c>
      <c r="R1200" s="129">
        <v>0.0</v>
      </c>
      <c r="S1200" s="20">
        <v>4.0</v>
      </c>
      <c r="T1200" s="20">
        <v>26.0</v>
      </c>
      <c r="U1200" s="131">
        <v>55996.0</v>
      </c>
      <c r="V1200" s="21" t="s">
        <v>335</v>
      </c>
      <c r="W1200" s="21" t="s">
        <v>3257</v>
      </c>
      <c r="X1200" s="21" t="s">
        <v>2282</v>
      </c>
      <c r="Y1200" s="21" t="s">
        <v>3764</v>
      </c>
      <c r="Z1200" s="20" t="s">
        <v>3804</v>
      </c>
      <c r="AA1200" s="25"/>
      <c r="AB1200" s="25"/>
      <c r="AC1200" s="65"/>
      <c r="AD1200" s="25"/>
      <c r="AE1200" s="25"/>
      <c r="AF1200" s="65"/>
      <c r="AG1200" s="135"/>
      <c r="AH1200" s="135"/>
      <c r="AI1200" s="135"/>
      <c r="AJ1200" s="135"/>
      <c r="AK1200" s="135"/>
      <c r="AL1200" s="135"/>
      <c r="AM1200" s="135"/>
      <c r="AN1200" s="135"/>
      <c r="AO1200" s="135"/>
      <c r="AP1200" s="135"/>
    </row>
    <row r="1201" hidden="1">
      <c r="A1201" s="69">
        <v>46142.0</v>
      </c>
      <c r="B1201" s="125">
        <v>0.8333333333333334</v>
      </c>
      <c r="C1201" s="126" t="s">
        <v>58</v>
      </c>
      <c r="D1201" s="102" t="s">
        <v>3083</v>
      </c>
      <c r="E1201" s="102" t="s">
        <v>34</v>
      </c>
      <c r="F1201" s="102" t="s">
        <v>3800</v>
      </c>
      <c r="G1201" s="126" t="s">
        <v>3805</v>
      </c>
      <c r="H1201" s="126" t="s">
        <v>3771</v>
      </c>
      <c r="I1201" s="102" t="s">
        <v>2956</v>
      </c>
      <c r="J1201" s="85">
        <v>548.0</v>
      </c>
      <c r="K1201" s="85">
        <v>355.0</v>
      </c>
      <c r="L1201" s="19">
        <v>0.6478</v>
      </c>
      <c r="M1201" s="127">
        <v>0.0</v>
      </c>
      <c r="N1201" s="128">
        <v>0.0</v>
      </c>
      <c r="O1201" s="20">
        <v>1.0</v>
      </c>
      <c r="P1201" s="21">
        <v>0.0</v>
      </c>
      <c r="Q1201" s="19">
        <v>0.0028</v>
      </c>
      <c r="R1201" s="129">
        <v>0.0</v>
      </c>
      <c r="S1201" s="20">
        <v>2.0</v>
      </c>
      <c r="T1201" s="20">
        <v>16.0</v>
      </c>
      <c r="U1201" s="131">
        <v>28498.0</v>
      </c>
      <c r="V1201" s="21" t="s">
        <v>335</v>
      </c>
      <c r="W1201" s="21" t="s">
        <v>3257</v>
      </c>
      <c r="X1201" s="21" t="s">
        <v>3773</v>
      </c>
      <c r="Y1201" s="21" t="s">
        <v>3764</v>
      </c>
      <c r="Z1201" s="20" t="s">
        <v>3806</v>
      </c>
      <c r="AA1201" s="25"/>
      <c r="AB1201" s="25"/>
      <c r="AC1201" s="65"/>
      <c r="AD1201" s="25"/>
      <c r="AE1201" s="25"/>
      <c r="AF1201" s="65"/>
      <c r="AG1201" s="135"/>
      <c r="AH1201" s="135"/>
      <c r="AI1201" s="135"/>
      <c r="AJ1201" s="135"/>
      <c r="AK1201" s="135"/>
      <c r="AL1201" s="135"/>
      <c r="AM1201" s="135"/>
      <c r="AN1201" s="135"/>
      <c r="AO1201" s="135"/>
      <c r="AP1201" s="135"/>
    </row>
    <row r="1202" hidden="1">
      <c r="A1202" s="69">
        <v>46142.0</v>
      </c>
      <c r="B1202" s="125">
        <v>0.8333333333333334</v>
      </c>
      <c r="C1202" s="126" t="s">
        <v>58</v>
      </c>
      <c r="D1202" s="102" t="s">
        <v>3083</v>
      </c>
      <c r="E1202" s="102" t="s">
        <v>34</v>
      </c>
      <c r="F1202" s="102" t="s">
        <v>3800</v>
      </c>
      <c r="G1202" s="126" t="s">
        <v>3807</v>
      </c>
      <c r="H1202" s="126" t="s">
        <v>3776</v>
      </c>
      <c r="I1202" s="102" t="s">
        <v>2956</v>
      </c>
      <c r="J1202" s="85">
        <v>8877.0</v>
      </c>
      <c r="K1202" s="85">
        <v>5899.0</v>
      </c>
      <c r="L1202" s="19">
        <v>0.6645</v>
      </c>
      <c r="M1202" s="127">
        <v>0.0</v>
      </c>
      <c r="N1202" s="128">
        <v>0.0</v>
      </c>
      <c r="O1202" s="20">
        <v>52.0</v>
      </c>
      <c r="P1202" s="21">
        <v>0.0</v>
      </c>
      <c r="Q1202" s="19">
        <v>0.0088</v>
      </c>
      <c r="R1202" s="129">
        <v>0.0</v>
      </c>
      <c r="S1202" s="20">
        <v>3.0</v>
      </c>
      <c r="T1202" s="20">
        <v>71.0</v>
      </c>
      <c r="U1202" s="131">
        <v>31997.0</v>
      </c>
      <c r="V1202" s="21" t="s">
        <v>335</v>
      </c>
      <c r="W1202" s="21" t="s">
        <v>3257</v>
      </c>
      <c r="X1202" s="21" t="s">
        <v>3778</v>
      </c>
      <c r="Y1202" s="21" t="s">
        <v>3764</v>
      </c>
      <c r="Z1202" s="20" t="s">
        <v>3808</v>
      </c>
      <c r="AA1202" s="25"/>
      <c r="AB1202" s="25"/>
      <c r="AC1202" s="65"/>
      <c r="AD1202" s="25"/>
      <c r="AE1202" s="25"/>
      <c r="AF1202" s="65"/>
      <c r="AG1202" s="135"/>
      <c r="AH1202" s="135"/>
      <c r="AI1202" s="135"/>
      <c r="AJ1202" s="135"/>
      <c r="AK1202" s="135"/>
      <c r="AL1202" s="135"/>
      <c r="AM1202" s="135"/>
      <c r="AN1202" s="135"/>
      <c r="AO1202" s="135"/>
      <c r="AP1202" s="135"/>
    </row>
    <row r="1203" hidden="1">
      <c r="A1203" s="69">
        <v>46142.0</v>
      </c>
      <c r="B1203" s="125">
        <v>0.8333333333333334</v>
      </c>
      <c r="C1203" s="126" t="s">
        <v>58</v>
      </c>
      <c r="D1203" s="102" t="s">
        <v>3083</v>
      </c>
      <c r="E1203" s="102" t="s">
        <v>34</v>
      </c>
      <c r="F1203" s="102" t="s">
        <v>3800</v>
      </c>
      <c r="G1203" s="126" t="s">
        <v>3809</v>
      </c>
      <c r="H1203" s="126" t="s">
        <v>3781</v>
      </c>
      <c r="I1203" s="102" t="s">
        <v>2956</v>
      </c>
      <c r="J1203" s="85">
        <v>3417.0</v>
      </c>
      <c r="K1203" s="85">
        <v>1923.0</v>
      </c>
      <c r="L1203" s="19">
        <v>0.5628</v>
      </c>
      <c r="M1203" s="127">
        <v>0.0</v>
      </c>
      <c r="N1203" s="128">
        <v>0.0</v>
      </c>
      <c r="O1203" s="20">
        <v>14.0</v>
      </c>
      <c r="P1203" s="21">
        <v>0.0</v>
      </c>
      <c r="Q1203" s="19">
        <v>0.0073</v>
      </c>
      <c r="R1203" s="129">
        <v>0.0</v>
      </c>
      <c r="S1203" s="20">
        <v>1.0</v>
      </c>
      <c r="T1203" s="20">
        <v>6.0</v>
      </c>
      <c r="U1203" s="131">
        <v>13999.0</v>
      </c>
      <c r="V1203" s="21" t="s">
        <v>183</v>
      </c>
      <c r="W1203" s="21" t="s">
        <v>3257</v>
      </c>
      <c r="X1203" s="21" t="s">
        <v>52</v>
      </c>
      <c r="Y1203" s="21" t="s">
        <v>3764</v>
      </c>
      <c r="Z1203" s="20" t="s">
        <v>3810</v>
      </c>
      <c r="AA1203" s="25"/>
      <c r="AB1203" s="25"/>
      <c r="AC1203" s="88"/>
      <c r="AD1203" s="25"/>
      <c r="AE1203" s="25"/>
      <c r="AF1203" s="25"/>
      <c r="AG1203" s="135"/>
      <c r="AH1203" s="135"/>
      <c r="AI1203" s="135"/>
      <c r="AJ1203" s="135"/>
      <c r="AK1203" s="135"/>
      <c r="AL1203" s="135"/>
      <c r="AM1203" s="135"/>
      <c r="AN1203" s="135"/>
      <c r="AO1203" s="135"/>
      <c r="AP1203" s="135"/>
    </row>
    <row r="1204" hidden="1">
      <c r="A1204" s="69">
        <v>46142.0</v>
      </c>
      <c r="B1204" s="125">
        <v>0.8333333333333334</v>
      </c>
      <c r="C1204" s="126" t="s">
        <v>58</v>
      </c>
      <c r="D1204" s="102" t="s">
        <v>3083</v>
      </c>
      <c r="E1204" s="102" t="s">
        <v>34</v>
      </c>
      <c r="F1204" s="102" t="s">
        <v>3800</v>
      </c>
      <c r="G1204" s="126" t="s">
        <v>3811</v>
      </c>
      <c r="H1204" s="126" t="s">
        <v>3785</v>
      </c>
      <c r="I1204" s="102" t="s">
        <v>2956</v>
      </c>
      <c r="J1204" s="85">
        <v>11065.0</v>
      </c>
      <c r="K1204" s="85">
        <v>5890.0</v>
      </c>
      <c r="L1204" s="19">
        <v>0.5323</v>
      </c>
      <c r="M1204" s="127">
        <v>0.0</v>
      </c>
      <c r="N1204" s="128">
        <v>0.0</v>
      </c>
      <c r="O1204" s="20">
        <v>37.0</v>
      </c>
      <c r="P1204" s="21">
        <v>0.0</v>
      </c>
      <c r="Q1204" s="19">
        <v>0.0063</v>
      </c>
      <c r="R1204" s="129">
        <v>0.0</v>
      </c>
      <c r="S1204" s="20">
        <v>2.0</v>
      </c>
      <c r="T1204" s="20">
        <v>12.0</v>
      </c>
      <c r="U1204" s="131">
        <v>18998.0</v>
      </c>
      <c r="V1204" s="21" t="s">
        <v>183</v>
      </c>
      <c r="W1204" s="21" t="s">
        <v>3257</v>
      </c>
      <c r="X1204" s="21" t="s">
        <v>52</v>
      </c>
      <c r="Y1204" s="21" t="s">
        <v>3764</v>
      </c>
      <c r="Z1204" s="20" t="s">
        <v>3812</v>
      </c>
      <c r="AA1204" s="25"/>
      <c r="AB1204" s="25"/>
      <c r="AC1204" s="88"/>
      <c r="AD1204" s="25"/>
      <c r="AE1204" s="25"/>
      <c r="AF1204" s="25"/>
      <c r="AG1204" s="135"/>
      <c r="AH1204" s="135"/>
      <c r="AI1204" s="135"/>
      <c r="AJ1204" s="135"/>
      <c r="AK1204" s="135"/>
      <c r="AL1204" s="135"/>
      <c r="AM1204" s="135"/>
      <c r="AN1204" s="135"/>
      <c r="AO1204" s="135"/>
      <c r="AP1204" s="135"/>
    </row>
    <row r="1205" hidden="1">
      <c r="A1205" s="69">
        <v>46142.0</v>
      </c>
      <c r="B1205" s="125">
        <v>0.8333333333333334</v>
      </c>
      <c r="C1205" s="126" t="s">
        <v>58</v>
      </c>
      <c r="D1205" s="102" t="s">
        <v>3083</v>
      </c>
      <c r="E1205" s="102" t="s">
        <v>34</v>
      </c>
      <c r="F1205" s="102" t="s">
        <v>3800</v>
      </c>
      <c r="G1205" s="126" t="s">
        <v>3813</v>
      </c>
      <c r="H1205" s="126" t="s">
        <v>3789</v>
      </c>
      <c r="I1205" s="102" t="s">
        <v>2956</v>
      </c>
      <c r="J1205" s="85">
        <v>5900.0</v>
      </c>
      <c r="K1205" s="85">
        <v>3128.0</v>
      </c>
      <c r="L1205" s="19">
        <v>0.5302</v>
      </c>
      <c r="M1205" s="127">
        <v>0.0</v>
      </c>
      <c r="N1205" s="128">
        <v>0.0</v>
      </c>
      <c r="O1205" s="20">
        <v>14.0</v>
      </c>
      <c r="P1205" s="21">
        <v>0.0</v>
      </c>
      <c r="Q1205" s="19">
        <v>0.0045</v>
      </c>
      <c r="R1205" s="129">
        <v>0.0</v>
      </c>
      <c r="S1205" s="20">
        <v>3.0</v>
      </c>
      <c r="T1205" s="20">
        <v>13.0</v>
      </c>
      <c r="U1205" s="131">
        <v>44646.0</v>
      </c>
      <c r="V1205" s="21" t="s">
        <v>183</v>
      </c>
      <c r="W1205" s="21" t="s">
        <v>3257</v>
      </c>
      <c r="X1205" s="21" t="s">
        <v>82</v>
      </c>
      <c r="Y1205" s="21" t="s">
        <v>3764</v>
      </c>
      <c r="Z1205" s="20" t="s">
        <v>3814</v>
      </c>
      <c r="AA1205" s="25"/>
      <c r="AB1205" s="25"/>
      <c r="AC1205" s="88"/>
      <c r="AD1205" s="25"/>
      <c r="AE1205" s="25"/>
      <c r="AF1205" s="25"/>
      <c r="AG1205" s="135"/>
      <c r="AH1205" s="135"/>
      <c r="AI1205" s="135"/>
      <c r="AJ1205" s="135"/>
      <c r="AK1205" s="135"/>
      <c r="AL1205" s="135"/>
      <c r="AM1205" s="135"/>
      <c r="AN1205" s="135"/>
      <c r="AO1205" s="135"/>
      <c r="AP1205" s="135"/>
    </row>
    <row r="1206" hidden="1">
      <c r="A1206" s="69">
        <v>46142.0</v>
      </c>
      <c r="B1206" s="125">
        <v>0.8333333333333334</v>
      </c>
      <c r="C1206" s="126" t="s">
        <v>58</v>
      </c>
      <c r="D1206" s="102" t="s">
        <v>3083</v>
      </c>
      <c r="E1206" s="102" t="s">
        <v>34</v>
      </c>
      <c r="F1206" s="102" t="s">
        <v>3800</v>
      </c>
      <c r="G1206" s="126" t="s">
        <v>3815</v>
      </c>
      <c r="H1206" s="126" t="s">
        <v>3816</v>
      </c>
      <c r="I1206" s="102" t="s">
        <v>2956</v>
      </c>
      <c r="J1206" s="85">
        <v>69946.0</v>
      </c>
      <c r="K1206" s="85">
        <v>37092.0</v>
      </c>
      <c r="L1206" s="19">
        <v>0.5303</v>
      </c>
      <c r="M1206" s="127">
        <v>0.0</v>
      </c>
      <c r="N1206" s="128">
        <v>0.0</v>
      </c>
      <c r="O1206" s="20">
        <v>166.0</v>
      </c>
      <c r="P1206" s="21">
        <v>0.0</v>
      </c>
      <c r="Q1206" s="19">
        <v>0.0045</v>
      </c>
      <c r="R1206" s="129">
        <v>0.0</v>
      </c>
      <c r="S1206" s="20">
        <v>11.0</v>
      </c>
      <c r="T1206" s="20">
        <v>59.0</v>
      </c>
      <c r="U1206" s="131">
        <v>11699.1</v>
      </c>
      <c r="V1206" s="21" t="s">
        <v>183</v>
      </c>
      <c r="W1206" s="21" t="s">
        <v>3257</v>
      </c>
      <c r="X1206" s="21" t="s">
        <v>47</v>
      </c>
      <c r="Y1206" s="21" t="s">
        <v>3764</v>
      </c>
      <c r="Z1206" s="20" t="s">
        <v>3817</v>
      </c>
      <c r="AA1206" s="25"/>
      <c r="AB1206" s="25"/>
      <c r="AC1206" s="88"/>
      <c r="AD1206" s="25"/>
      <c r="AE1206" s="25"/>
      <c r="AF1206" s="25"/>
      <c r="AG1206" s="135"/>
      <c r="AH1206" s="135"/>
      <c r="AI1206" s="135"/>
      <c r="AJ1206" s="135"/>
      <c r="AK1206" s="135"/>
      <c r="AL1206" s="135"/>
      <c r="AM1206" s="135"/>
      <c r="AN1206" s="135"/>
      <c r="AO1206" s="135"/>
      <c r="AP1206" s="135"/>
    </row>
    <row r="1207" hidden="1">
      <c r="A1207" s="69">
        <v>46142.0</v>
      </c>
      <c r="B1207" s="125">
        <v>0.7916666666666666</v>
      </c>
      <c r="C1207" s="126" t="s">
        <v>58</v>
      </c>
      <c r="D1207" s="102" t="s">
        <v>3243</v>
      </c>
      <c r="E1207" s="102" t="s">
        <v>34</v>
      </c>
      <c r="F1207" s="102" t="s">
        <v>3800</v>
      </c>
      <c r="G1207" s="126" t="s">
        <v>3818</v>
      </c>
      <c r="H1207" s="126" t="s">
        <v>3818</v>
      </c>
      <c r="I1207" s="102" t="s">
        <v>3819</v>
      </c>
      <c r="J1207" s="85">
        <v>121521.0</v>
      </c>
      <c r="K1207" s="85">
        <v>0.0</v>
      </c>
      <c r="L1207" s="19">
        <v>0.0</v>
      </c>
      <c r="M1207" s="127">
        <v>0.0</v>
      </c>
      <c r="N1207" s="128">
        <v>0.0</v>
      </c>
      <c r="O1207" s="20">
        <v>0.0</v>
      </c>
      <c r="P1207" s="21">
        <v>0.0</v>
      </c>
      <c r="Q1207" s="19">
        <v>0.0</v>
      </c>
      <c r="R1207" s="129">
        <v>0.0</v>
      </c>
      <c r="S1207" s="20">
        <v>0.0</v>
      </c>
      <c r="T1207" s="20">
        <v>0.0</v>
      </c>
      <c r="U1207" s="131">
        <v>0.0</v>
      </c>
      <c r="V1207" s="21" t="s">
        <v>183</v>
      </c>
      <c r="W1207" s="21" t="s">
        <v>3257</v>
      </c>
      <c r="X1207" s="21" t="s">
        <v>69</v>
      </c>
      <c r="Y1207" s="21" t="s">
        <v>3764</v>
      </c>
      <c r="Z1207" s="20" t="s">
        <v>3820</v>
      </c>
      <c r="AA1207" s="88"/>
      <c r="AB1207" s="88"/>
      <c r="AC1207" s="88"/>
      <c r="AD1207" s="25"/>
      <c r="AE1207" s="25"/>
      <c r="AF1207" s="88"/>
      <c r="AG1207" s="135"/>
      <c r="AH1207" s="135"/>
      <c r="AI1207" s="135"/>
      <c r="AJ1207" s="135"/>
      <c r="AK1207" s="135"/>
      <c r="AL1207" s="135"/>
      <c r="AM1207" s="135"/>
      <c r="AN1207" s="135"/>
      <c r="AO1207" s="135"/>
      <c r="AP1207" s="135"/>
    </row>
    <row r="1208" hidden="1">
      <c r="A1208" s="69">
        <v>46142.0</v>
      </c>
      <c r="B1208" s="125">
        <v>0.7916666666666666</v>
      </c>
      <c r="C1208" s="126" t="s">
        <v>58</v>
      </c>
      <c r="D1208" s="102" t="s">
        <v>3243</v>
      </c>
      <c r="E1208" s="102" t="s">
        <v>34</v>
      </c>
      <c r="F1208" s="102" t="s">
        <v>3800</v>
      </c>
      <c r="G1208" s="126" t="s">
        <v>3821</v>
      </c>
      <c r="H1208" s="126" t="s">
        <v>3821</v>
      </c>
      <c r="I1208" s="102" t="s">
        <v>3822</v>
      </c>
      <c r="J1208" s="85">
        <v>99147.0</v>
      </c>
      <c r="K1208" s="85">
        <v>59282.0</v>
      </c>
      <c r="L1208" s="19">
        <v>0.5979</v>
      </c>
      <c r="M1208" s="127">
        <v>0.0</v>
      </c>
      <c r="N1208" s="128">
        <v>0.0</v>
      </c>
      <c r="O1208" s="20">
        <v>258.0</v>
      </c>
      <c r="P1208" s="21">
        <v>0.0</v>
      </c>
      <c r="Q1208" s="19">
        <v>0.0044</v>
      </c>
      <c r="R1208" s="129">
        <v>0.0</v>
      </c>
      <c r="S1208" s="20">
        <v>29.0</v>
      </c>
      <c r="T1208" s="20">
        <v>380.0</v>
      </c>
      <c r="U1208" s="131">
        <v>362583.1</v>
      </c>
      <c r="V1208" s="132" t="s">
        <v>183</v>
      </c>
      <c r="W1208" s="21" t="s">
        <v>3257</v>
      </c>
      <c r="X1208" s="21" t="s">
        <v>3823</v>
      </c>
      <c r="Y1208" s="21" t="s">
        <v>3764</v>
      </c>
      <c r="Z1208" s="20" t="s">
        <v>3824</v>
      </c>
      <c r="AA1208" s="25"/>
      <c r="AB1208" s="25"/>
      <c r="AC1208" s="88"/>
      <c r="AD1208" s="25"/>
      <c r="AE1208" s="25"/>
      <c r="AF1208" s="25"/>
      <c r="AG1208" s="135"/>
      <c r="AH1208" s="135"/>
      <c r="AI1208" s="135"/>
      <c r="AJ1208" s="135"/>
      <c r="AK1208" s="135"/>
      <c r="AL1208" s="135"/>
      <c r="AM1208" s="135"/>
      <c r="AN1208" s="135"/>
      <c r="AO1208" s="135"/>
      <c r="AP1208" s="135"/>
    </row>
    <row r="1209" hidden="1">
      <c r="A1209" s="69">
        <v>46142.0</v>
      </c>
      <c r="B1209" s="125">
        <v>0.7916666666666666</v>
      </c>
      <c r="C1209" s="126" t="s">
        <v>58</v>
      </c>
      <c r="D1209" s="102" t="s">
        <v>3243</v>
      </c>
      <c r="E1209" s="102" t="s">
        <v>34</v>
      </c>
      <c r="F1209" s="102" t="s">
        <v>3800</v>
      </c>
      <c r="G1209" s="126" t="s">
        <v>3825</v>
      </c>
      <c r="H1209" s="126" t="s">
        <v>3825</v>
      </c>
      <c r="I1209" s="102" t="s">
        <v>3826</v>
      </c>
      <c r="J1209" s="85">
        <v>187520.0</v>
      </c>
      <c r="K1209" s="85">
        <v>101269.0</v>
      </c>
      <c r="L1209" s="19">
        <v>0.54</v>
      </c>
      <c r="M1209" s="127">
        <v>0.0</v>
      </c>
      <c r="N1209" s="128">
        <v>0.0</v>
      </c>
      <c r="O1209" s="20">
        <v>332.0</v>
      </c>
      <c r="P1209" s="21">
        <v>0.0</v>
      </c>
      <c r="Q1209" s="19">
        <v>0.0033</v>
      </c>
      <c r="R1209" s="129">
        <v>0.0</v>
      </c>
      <c r="S1209" s="20">
        <v>7.0</v>
      </c>
      <c r="T1209" s="20">
        <v>40.0</v>
      </c>
      <c r="U1209" s="131">
        <v>74543.0</v>
      </c>
      <c r="V1209" s="21" t="s">
        <v>183</v>
      </c>
      <c r="W1209" s="21" t="s">
        <v>3257</v>
      </c>
      <c r="X1209" s="21" t="s">
        <v>3826</v>
      </c>
      <c r="Y1209" s="21" t="s">
        <v>3764</v>
      </c>
      <c r="Z1209" s="20" t="s">
        <v>3827</v>
      </c>
      <c r="AA1209" s="25"/>
      <c r="AB1209" s="25"/>
      <c r="AC1209" s="88"/>
      <c r="AD1209" s="25"/>
      <c r="AE1209" s="25"/>
      <c r="AF1209" s="25"/>
      <c r="AG1209" s="135"/>
      <c r="AH1209" s="135"/>
      <c r="AI1209" s="135"/>
      <c r="AJ1209" s="135"/>
      <c r="AK1209" s="135"/>
      <c r="AL1209" s="135"/>
      <c r="AM1209" s="135"/>
      <c r="AN1209" s="135"/>
      <c r="AO1209" s="135"/>
      <c r="AP1209" s="135"/>
    </row>
    <row r="1210" hidden="1">
      <c r="A1210" s="69">
        <v>46142.0</v>
      </c>
      <c r="B1210" s="125">
        <v>0.8333333333333334</v>
      </c>
      <c r="C1210" s="126" t="s">
        <v>58</v>
      </c>
      <c r="D1210" s="102" t="s">
        <v>3083</v>
      </c>
      <c r="E1210" s="102" t="s">
        <v>34</v>
      </c>
      <c r="F1210" s="102" t="s">
        <v>3800</v>
      </c>
      <c r="G1210" s="126" t="s">
        <v>3828</v>
      </c>
      <c r="H1210" s="126" t="s">
        <v>3793</v>
      </c>
      <c r="I1210" s="102" t="s">
        <v>2956</v>
      </c>
      <c r="J1210" s="85">
        <v>9085.0</v>
      </c>
      <c r="K1210" s="85">
        <v>4768.0</v>
      </c>
      <c r="L1210" s="19">
        <v>0.5248</v>
      </c>
      <c r="M1210" s="127">
        <v>0.0</v>
      </c>
      <c r="N1210" s="128">
        <v>0.0</v>
      </c>
      <c r="O1210" s="20">
        <v>35.0</v>
      </c>
      <c r="P1210" s="21">
        <v>0.0</v>
      </c>
      <c r="Q1210" s="19">
        <v>0.0073</v>
      </c>
      <c r="R1210" s="129">
        <v>0.0</v>
      </c>
      <c r="S1210" s="20">
        <v>5.0</v>
      </c>
      <c r="T1210" s="20">
        <v>12.0</v>
      </c>
      <c r="U1210" s="131">
        <v>58373.0</v>
      </c>
      <c r="V1210" s="21" t="s">
        <v>183</v>
      </c>
      <c r="W1210" s="21" t="s">
        <v>3257</v>
      </c>
      <c r="X1210" s="21" t="s">
        <v>3795</v>
      </c>
      <c r="Y1210" s="21" t="s">
        <v>3764</v>
      </c>
      <c r="Z1210" s="20" t="s">
        <v>3829</v>
      </c>
      <c r="AA1210" s="25"/>
      <c r="AB1210" s="25"/>
      <c r="AC1210" s="88"/>
      <c r="AD1210" s="25"/>
      <c r="AE1210" s="25"/>
      <c r="AF1210" s="25"/>
      <c r="AG1210" s="135"/>
      <c r="AH1210" s="135"/>
      <c r="AI1210" s="135"/>
      <c r="AJ1210" s="135"/>
      <c r="AK1210" s="135"/>
      <c r="AL1210" s="135"/>
      <c r="AM1210" s="135"/>
      <c r="AN1210" s="135"/>
      <c r="AO1210" s="135"/>
      <c r="AP1210" s="135"/>
    </row>
    <row r="1211" hidden="1">
      <c r="A1211" s="69">
        <v>46142.0</v>
      </c>
      <c r="B1211" s="125">
        <v>0.7916666666666666</v>
      </c>
      <c r="C1211" s="126" t="s">
        <v>196</v>
      </c>
      <c r="D1211" s="102" t="s">
        <v>3083</v>
      </c>
      <c r="E1211" s="102" t="s">
        <v>34</v>
      </c>
      <c r="F1211" s="102" t="s">
        <v>3760</v>
      </c>
      <c r="G1211" s="126" t="s">
        <v>3830</v>
      </c>
      <c r="H1211" s="126" t="s">
        <v>3762</v>
      </c>
      <c r="I1211" s="102" t="s">
        <v>61</v>
      </c>
      <c r="J1211" s="85">
        <v>633.0</v>
      </c>
      <c r="K1211" s="85">
        <v>139.0</v>
      </c>
      <c r="L1211" s="17">
        <v>0.219589257503949</v>
      </c>
      <c r="M1211" s="127">
        <v>37.0</v>
      </c>
      <c r="N1211" s="136">
        <v>0.2662</v>
      </c>
      <c r="O1211" s="20">
        <v>10.0</v>
      </c>
      <c r="P1211" s="21">
        <v>0.0</v>
      </c>
      <c r="Q1211" s="137">
        <v>0.0791</v>
      </c>
      <c r="R1211" s="129">
        <v>0.0</v>
      </c>
      <c r="S1211" s="20">
        <v>2.0</v>
      </c>
      <c r="T1211" s="20">
        <v>14.0</v>
      </c>
      <c r="U1211" s="131">
        <v>24998.0</v>
      </c>
      <c r="V1211" s="21" t="s">
        <v>335</v>
      </c>
      <c r="W1211" s="21" t="s">
        <v>3739</v>
      </c>
      <c r="X1211" s="21" t="s">
        <v>2131</v>
      </c>
      <c r="Y1211" s="21" t="s">
        <v>3764</v>
      </c>
      <c r="Z1211" s="20" t="s">
        <v>3831</v>
      </c>
      <c r="AA1211" s="25"/>
      <c r="AB1211" s="25"/>
      <c r="AC1211" s="65"/>
      <c r="AD1211" s="25"/>
      <c r="AE1211" s="25"/>
      <c r="AF1211" s="65"/>
      <c r="AG1211" s="135"/>
      <c r="AH1211" s="135"/>
      <c r="AI1211" s="135"/>
      <c r="AJ1211" s="135"/>
      <c r="AK1211" s="135"/>
      <c r="AL1211" s="135"/>
      <c r="AM1211" s="135"/>
      <c r="AN1211" s="135"/>
      <c r="AO1211" s="135"/>
      <c r="AP1211" s="135"/>
    </row>
    <row r="1212" hidden="1">
      <c r="A1212" s="69">
        <v>46142.0</v>
      </c>
      <c r="B1212" s="125">
        <v>0.7916666666666666</v>
      </c>
      <c r="C1212" s="126" t="s">
        <v>196</v>
      </c>
      <c r="D1212" s="102" t="s">
        <v>3083</v>
      </c>
      <c r="E1212" s="102" t="s">
        <v>34</v>
      </c>
      <c r="F1212" s="102" t="s">
        <v>3760</v>
      </c>
      <c r="G1212" s="126" t="s">
        <v>3832</v>
      </c>
      <c r="H1212" s="126" t="s">
        <v>3767</v>
      </c>
      <c r="I1212" s="102" t="s">
        <v>61</v>
      </c>
      <c r="J1212" s="85">
        <v>837.0</v>
      </c>
      <c r="K1212" s="85">
        <v>217.0</v>
      </c>
      <c r="L1212" s="17">
        <v>0.259259259259259</v>
      </c>
      <c r="M1212" s="127">
        <v>51.0</v>
      </c>
      <c r="N1212" s="136">
        <v>0.235</v>
      </c>
      <c r="O1212" s="20">
        <v>13.0</v>
      </c>
      <c r="P1212" s="21">
        <v>0.0</v>
      </c>
      <c r="Q1212" s="137">
        <v>0.0783</v>
      </c>
      <c r="R1212" s="129">
        <v>0.0</v>
      </c>
      <c r="S1212" s="20">
        <v>0.0</v>
      </c>
      <c r="T1212" s="20">
        <v>17.0</v>
      </c>
      <c r="U1212" s="131">
        <v>0.0</v>
      </c>
      <c r="V1212" s="21" t="s">
        <v>335</v>
      </c>
      <c r="W1212" s="21" t="s">
        <v>3739</v>
      </c>
      <c r="X1212" s="21" t="s">
        <v>2282</v>
      </c>
      <c r="Y1212" s="21" t="s">
        <v>3764</v>
      </c>
      <c r="Z1212" s="20" t="s">
        <v>3833</v>
      </c>
      <c r="AA1212" s="25"/>
      <c r="AB1212" s="25"/>
      <c r="AC1212" s="65"/>
      <c r="AD1212" s="25"/>
      <c r="AE1212" s="25"/>
      <c r="AF1212" s="65"/>
      <c r="AG1212" s="135"/>
      <c r="AH1212" s="135"/>
      <c r="AI1212" s="135"/>
      <c r="AJ1212" s="135"/>
      <c r="AK1212" s="135"/>
      <c r="AL1212" s="135"/>
      <c r="AM1212" s="135"/>
      <c r="AN1212" s="135"/>
      <c r="AO1212" s="135"/>
      <c r="AP1212" s="135"/>
    </row>
    <row r="1213" hidden="1">
      <c r="A1213" s="69">
        <v>46142.0</v>
      </c>
      <c r="B1213" s="125">
        <v>0.7916666666666666</v>
      </c>
      <c r="C1213" s="126" t="s">
        <v>196</v>
      </c>
      <c r="D1213" s="102" t="s">
        <v>3083</v>
      </c>
      <c r="E1213" s="102" t="s">
        <v>34</v>
      </c>
      <c r="F1213" s="102" t="s">
        <v>3760</v>
      </c>
      <c r="G1213" s="126" t="s">
        <v>3834</v>
      </c>
      <c r="H1213" s="126" t="s">
        <v>3771</v>
      </c>
      <c r="I1213" s="102" t="s">
        <v>61</v>
      </c>
      <c r="J1213" s="85">
        <v>667.0</v>
      </c>
      <c r="K1213" s="85">
        <v>121.0</v>
      </c>
      <c r="L1213" s="17">
        <v>0.181409295352324</v>
      </c>
      <c r="M1213" s="127">
        <v>26.0</v>
      </c>
      <c r="N1213" s="136">
        <v>0.2149</v>
      </c>
      <c r="O1213" s="20">
        <v>2.0</v>
      </c>
      <c r="P1213" s="21">
        <v>0.0</v>
      </c>
      <c r="Q1213" s="137">
        <v>0.0165</v>
      </c>
      <c r="R1213" s="129">
        <v>0.0</v>
      </c>
      <c r="S1213" s="20">
        <v>0.0</v>
      </c>
      <c r="T1213" s="20">
        <v>2.0</v>
      </c>
      <c r="U1213" s="131">
        <v>0.0</v>
      </c>
      <c r="V1213" s="21" t="s">
        <v>335</v>
      </c>
      <c r="W1213" s="21" t="s">
        <v>3739</v>
      </c>
      <c r="X1213" s="21" t="s">
        <v>3773</v>
      </c>
      <c r="Y1213" s="21" t="s">
        <v>3764</v>
      </c>
      <c r="Z1213" s="20" t="s">
        <v>3835</v>
      </c>
      <c r="AA1213" s="25"/>
      <c r="AB1213" s="25"/>
      <c r="AC1213" s="65"/>
      <c r="AD1213" s="25"/>
      <c r="AE1213" s="25"/>
      <c r="AF1213" s="65"/>
      <c r="AG1213" s="135"/>
      <c r="AH1213" s="135"/>
      <c r="AI1213" s="135"/>
      <c r="AJ1213" s="135"/>
      <c r="AK1213" s="135"/>
      <c r="AL1213" s="135"/>
      <c r="AM1213" s="135"/>
      <c r="AN1213" s="135"/>
      <c r="AO1213" s="135"/>
      <c r="AP1213" s="135"/>
    </row>
    <row r="1214" hidden="1">
      <c r="A1214" s="69">
        <v>46142.0</v>
      </c>
      <c r="B1214" s="125">
        <v>0.7916666666666666</v>
      </c>
      <c r="C1214" s="126" t="s">
        <v>196</v>
      </c>
      <c r="D1214" s="102" t="s">
        <v>3083</v>
      </c>
      <c r="E1214" s="102" t="s">
        <v>34</v>
      </c>
      <c r="F1214" s="102" t="s">
        <v>3760</v>
      </c>
      <c r="G1214" s="126" t="s">
        <v>3836</v>
      </c>
      <c r="H1214" s="126" t="s">
        <v>3776</v>
      </c>
      <c r="I1214" s="102" t="s">
        <v>61</v>
      </c>
      <c r="J1214" s="85">
        <v>10964.0</v>
      </c>
      <c r="K1214" s="85">
        <v>2156.0</v>
      </c>
      <c r="L1214" s="17">
        <v>0.196643560744254</v>
      </c>
      <c r="M1214" s="127">
        <v>422.0</v>
      </c>
      <c r="N1214" s="136">
        <v>0.1957</v>
      </c>
      <c r="O1214" s="20">
        <v>78.0</v>
      </c>
      <c r="P1214" s="21">
        <v>0.0</v>
      </c>
      <c r="Q1214" s="137">
        <v>0.038</v>
      </c>
      <c r="R1214" s="129">
        <v>0.0</v>
      </c>
      <c r="S1214" s="20">
        <v>0.0</v>
      </c>
      <c r="T1214" s="20">
        <v>28.0</v>
      </c>
      <c r="U1214" s="131">
        <v>0.0</v>
      </c>
      <c r="V1214" s="21" t="s">
        <v>335</v>
      </c>
      <c r="W1214" s="21" t="s">
        <v>3739</v>
      </c>
      <c r="X1214" s="21" t="s">
        <v>3778</v>
      </c>
      <c r="Y1214" s="21" t="s">
        <v>3764</v>
      </c>
      <c r="Z1214" s="20" t="s">
        <v>3837</v>
      </c>
      <c r="AA1214" s="25"/>
      <c r="AB1214" s="25"/>
      <c r="AC1214" s="65"/>
      <c r="AD1214" s="25"/>
      <c r="AE1214" s="25"/>
      <c r="AF1214" s="65"/>
      <c r="AG1214" s="135"/>
      <c r="AH1214" s="135"/>
      <c r="AI1214" s="135"/>
      <c r="AJ1214" s="135"/>
      <c r="AK1214" s="135"/>
      <c r="AL1214" s="135"/>
      <c r="AM1214" s="135"/>
      <c r="AN1214" s="135"/>
      <c r="AO1214" s="135"/>
      <c r="AP1214" s="135"/>
    </row>
    <row r="1215" hidden="1">
      <c r="A1215" s="69">
        <v>46142.0</v>
      </c>
      <c r="B1215" s="125">
        <v>0.7916666666666666</v>
      </c>
      <c r="C1215" s="126" t="s">
        <v>196</v>
      </c>
      <c r="D1215" s="102" t="s">
        <v>3083</v>
      </c>
      <c r="E1215" s="102" t="s">
        <v>34</v>
      </c>
      <c r="F1215" s="102" t="s">
        <v>3760</v>
      </c>
      <c r="G1215" s="126" t="s">
        <v>3838</v>
      </c>
      <c r="H1215" s="126" t="s">
        <v>3781</v>
      </c>
      <c r="I1215" s="102" t="s">
        <v>61</v>
      </c>
      <c r="J1215" s="85">
        <v>4100.0</v>
      </c>
      <c r="K1215" s="85">
        <v>692.0</v>
      </c>
      <c r="L1215" s="17">
        <v>0.168780487804878</v>
      </c>
      <c r="M1215" s="127">
        <v>152.0</v>
      </c>
      <c r="N1215" s="136">
        <v>0.2197</v>
      </c>
      <c r="O1215" s="20">
        <v>15.0</v>
      </c>
      <c r="P1215" s="21">
        <v>0.0</v>
      </c>
      <c r="Q1215" s="137">
        <v>0.026</v>
      </c>
      <c r="R1215" s="129">
        <v>0.0</v>
      </c>
      <c r="S1215" s="20">
        <v>0.0</v>
      </c>
      <c r="T1215" s="20">
        <v>2.0</v>
      </c>
      <c r="U1215" s="131">
        <v>0.0</v>
      </c>
      <c r="V1215" s="21" t="s">
        <v>183</v>
      </c>
      <c r="W1215" s="21" t="s">
        <v>3739</v>
      </c>
      <c r="X1215" s="21" t="s">
        <v>52</v>
      </c>
      <c r="Y1215" s="21" t="s">
        <v>3764</v>
      </c>
      <c r="Z1215" s="20" t="s">
        <v>3839</v>
      </c>
      <c r="AA1215" s="25"/>
      <c r="AB1215" s="25"/>
      <c r="AC1215" s="88"/>
      <c r="AD1215" s="25"/>
      <c r="AE1215" s="25"/>
      <c r="AF1215" s="25"/>
      <c r="AG1215" s="135"/>
      <c r="AH1215" s="135"/>
      <c r="AI1215" s="135"/>
      <c r="AJ1215" s="135"/>
      <c r="AK1215" s="135"/>
      <c r="AL1215" s="135"/>
      <c r="AM1215" s="135"/>
      <c r="AN1215" s="135"/>
      <c r="AO1215" s="135"/>
      <c r="AP1215" s="135"/>
    </row>
    <row r="1216" hidden="1">
      <c r="A1216" s="69">
        <v>46142.0</v>
      </c>
      <c r="B1216" s="125">
        <v>0.7916666666666666</v>
      </c>
      <c r="C1216" s="126" t="s">
        <v>196</v>
      </c>
      <c r="D1216" s="102" t="s">
        <v>3083</v>
      </c>
      <c r="E1216" s="102" t="s">
        <v>34</v>
      </c>
      <c r="F1216" s="102" t="s">
        <v>3760</v>
      </c>
      <c r="G1216" s="126" t="s">
        <v>3840</v>
      </c>
      <c r="H1216" s="126" t="s">
        <v>3785</v>
      </c>
      <c r="I1216" s="102" t="s">
        <v>61</v>
      </c>
      <c r="J1216" s="85">
        <v>13331.0</v>
      </c>
      <c r="K1216" s="85">
        <v>2340.0</v>
      </c>
      <c r="L1216" s="17">
        <v>0.175530717875628</v>
      </c>
      <c r="M1216" s="127">
        <v>513.0</v>
      </c>
      <c r="N1216" s="136">
        <v>0.2192</v>
      </c>
      <c r="O1216" s="20">
        <v>27.0</v>
      </c>
      <c r="P1216" s="21">
        <v>0.0</v>
      </c>
      <c r="Q1216" s="137">
        <v>0.0115</v>
      </c>
      <c r="R1216" s="129">
        <v>0.0</v>
      </c>
      <c r="S1216" s="20">
        <v>1.0</v>
      </c>
      <c r="T1216" s="20">
        <v>4.0</v>
      </c>
      <c r="U1216" s="131">
        <v>13999.0</v>
      </c>
      <c r="V1216" s="21" t="s">
        <v>183</v>
      </c>
      <c r="W1216" s="21" t="s">
        <v>3739</v>
      </c>
      <c r="X1216" s="21" t="s">
        <v>82</v>
      </c>
      <c r="Y1216" s="21" t="s">
        <v>3764</v>
      </c>
      <c r="Z1216" s="20" t="s">
        <v>3841</v>
      </c>
      <c r="AA1216" s="25"/>
      <c r="AB1216" s="25"/>
      <c r="AC1216" s="88"/>
      <c r="AD1216" s="25"/>
      <c r="AE1216" s="25"/>
      <c r="AF1216" s="25"/>
      <c r="AG1216" s="135"/>
      <c r="AH1216" s="135"/>
      <c r="AI1216" s="135"/>
      <c r="AJ1216" s="135"/>
      <c r="AK1216" s="135"/>
      <c r="AL1216" s="135"/>
      <c r="AM1216" s="135"/>
      <c r="AN1216" s="135"/>
      <c r="AO1216" s="135"/>
      <c r="AP1216" s="135"/>
    </row>
    <row r="1217" hidden="1">
      <c r="A1217" s="69">
        <v>46142.0</v>
      </c>
      <c r="B1217" s="125">
        <v>0.7916666666666666</v>
      </c>
      <c r="C1217" s="126" t="s">
        <v>196</v>
      </c>
      <c r="D1217" s="102" t="s">
        <v>3083</v>
      </c>
      <c r="E1217" s="102" t="s">
        <v>34</v>
      </c>
      <c r="F1217" s="102" t="s">
        <v>3760</v>
      </c>
      <c r="G1217" s="126" t="s">
        <v>3842</v>
      </c>
      <c r="H1217" s="126" t="s">
        <v>3789</v>
      </c>
      <c r="I1217" s="102" t="s">
        <v>61</v>
      </c>
      <c r="J1217" s="85">
        <v>7222.0</v>
      </c>
      <c r="K1217" s="85">
        <v>1345.0</v>
      </c>
      <c r="L1217" s="17">
        <v>0.186236499584603</v>
      </c>
      <c r="M1217" s="127">
        <v>292.0</v>
      </c>
      <c r="N1217" s="136">
        <v>0.2171</v>
      </c>
      <c r="O1217" s="20">
        <v>40.0</v>
      </c>
      <c r="P1217" s="21">
        <v>0.0</v>
      </c>
      <c r="Q1217" s="137">
        <v>0.032</v>
      </c>
      <c r="R1217" s="129">
        <v>0.0</v>
      </c>
      <c r="S1217" s="20">
        <v>2.0</v>
      </c>
      <c r="T1217" s="20">
        <v>8.0</v>
      </c>
      <c r="U1217" s="131">
        <v>32302.3</v>
      </c>
      <c r="V1217" s="21" t="s">
        <v>183</v>
      </c>
      <c r="W1217" s="21" t="s">
        <v>3739</v>
      </c>
      <c r="X1217" s="21" t="s">
        <v>47</v>
      </c>
      <c r="Y1217" s="21" t="s">
        <v>3764</v>
      </c>
      <c r="Z1217" s="20" t="s">
        <v>3843</v>
      </c>
      <c r="AA1217" s="25"/>
      <c r="AB1217" s="25"/>
      <c r="AC1217" s="88"/>
      <c r="AD1217" s="25"/>
      <c r="AE1217" s="25"/>
      <c r="AF1217" s="25"/>
      <c r="AG1217" s="135"/>
      <c r="AH1217" s="135"/>
      <c r="AI1217" s="135"/>
      <c r="AJ1217" s="135"/>
      <c r="AK1217" s="135"/>
      <c r="AL1217" s="135"/>
      <c r="AM1217" s="135"/>
      <c r="AN1217" s="135"/>
      <c r="AO1217" s="135"/>
      <c r="AP1217" s="135"/>
    </row>
    <row r="1218" hidden="1">
      <c r="A1218" s="69">
        <v>46142.0</v>
      </c>
      <c r="B1218" s="125">
        <v>0.7916666666666666</v>
      </c>
      <c r="C1218" s="126" t="s">
        <v>196</v>
      </c>
      <c r="D1218" s="102" t="s">
        <v>3083</v>
      </c>
      <c r="E1218" s="102" t="s">
        <v>34</v>
      </c>
      <c r="F1218" s="102" t="s">
        <v>3760</v>
      </c>
      <c r="G1218" s="126" t="s">
        <v>3844</v>
      </c>
      <c r="H1218" s="126" t="s">
        <v>3793</v>
      </c>
      <c r="I1218" s="102" t="s">
        <v>61</v>
      </c>
      <c r="J1218" s="85">
        <v>10959.0</v>
      </c>
      <c r="K1218" s="85">
        <v>1956.0</v>
      </c>
      <c r="L1218" s="17">
        <v>0.178483438269915</v>
      </c>
      <c r="M1218" s="127">
        <v>363.0</v>
      </c>
      <c r="N1218" s="136">
        <v>0.1856</v>
      </c>
      <c r="O1218" s="20">
        <v>19.0</v>
      </c>
      <c r="P1218" s="21">
        <v>0.0</v>
      </c>
      <c r="Q1218" s="137">
        <v>0.0102</v>
      </c>
      <c r="R1218" s="129">
        <v>0.0</v>
      </c>
      <c r="S1218" s="20">
        <v>1.0</v>
      </c>
      <c r="T1218" s="20">
        <v>4.0</v>
      </c>
      <c r="U1218" s="131">
        <v>22798.0</v>
      </c>
      <c r="V1218" s="21" t="s">
        <v>183</v>
      </c>
      <c r="W1218" s="21" t="s">
        <v>3739</v>
      </c>
      <c r="X1218" s="21" t="s">
        <v>3795</v>
      </c>
      <c r="Y1218" s="21" t="s">
        <v>3764</v>
      </c>
      <c r="Z1218" s="20" t="s">
        <v>3845</v>
      </c>
      <c r="AA1218" s="25"/>
      <c r="AB1218" s="25"/>
      <c r="AC1218" s="88"/>
      <c r="AD1218" s="25"/>
      <c r="AE1218" s="25"/>
      <c r="AF1218" s="88"/>
      <c r="AG1218" s="135"/>
      <c r="AH1218" s="135"/>
      <c r="AI1218" s="135"/>
      <c r="AJ1218" s="135"/>
      <c r="AK1218" s="135"/>
      <c r="AL1218" s="135"/>
      <c r="AM1218" s="135"/>
      <c r="AN1218" s="135"/>
      <c r="AO1218" s="135"/>
      <c r="AP1218" s="135"/>
    </row>
    <row r="1219" hidden="1">
      <c r="A1219" s="69">
        <v>46142.0</v>
      </c>
      <c r="B1219" s="125">
        <v>0.7916666666666666</v>
      </c>
      <c r="C1219" s="126" t="s">
        <v>196</v>
      </c>
      <c r="D1219" s="102" t="s">
        <v>3083</v>
      </c>
      <c r="E1219" s="102" t="s">
        <v>34</v>
      </c>
      <c r="F1219" s="102" t="s">
        <v>3760</v>
      </c>
      <c r="G1219" s="126" t="s">
        <v>3846</v>
      </c>
      <c r="H1219" s="126" t="s">
        <v>3816</v>
      </c>
      <c r="I1219" s="102" t="s">
        <v>61</v>
      </c>
      <c r="J1219" s="85">
        <v>84096.0</v>
      </c>
      <c r="K1219" s="85">
        <v>14295.0</v>
      </c>
      <c r="L1219" s="17">
        <v>0.169984303652968</v>
      </c>
      <c r="M1219" s="127">
        <v>2820.0</v>
      </c>
      <c r="N1219" s="136">
        <v>0.1973</v>
      </c>
      <c r="O1219" s="20">
        <v>116.0</v>
      </c>
      <c r="P1219" s="21">
        <v>0.0</v>
      </c>
      <c r="Q1219" s="137">
        <v>0.0089</v>
      </c>
      <c r="R1219" s="129">
        <v>0.0</v>
      </c>
      <c r="S1219" s="20">
        <v>2.0</v>
      </c>
      <c r="T1219" s="20">
        <v>13.0</v>
      </c>
      <c r="U1219" s="131">
        <v>26998.0</v>
      </c>
      <c r="V1219" s="21" t="s">
        <v>183</v>
      </c>
      <c r="W1219" s="21" t="s">
        <v>3739</v>
      </c>
      <c r="X1219" s="21" t="s">
        <v>3847</v>
      </c>
      <c r="Y1219" s="21" t="s">
        <v>3764</v>
      </c>
      <c r="Z1219" s="20" t="s">
        <v>3848</v>
      </c>
      <c r="AA1219" s="25"/>
      <c r="AB1219" s="25"/>
      <c r="AC1219" s="88"/>
      <c r="AD1219" s="25"/>
      <c r="AE1219" s="25"/>
      <c r="AF1219" s="25"/>
      <c r="AG1219" s="135"/>
      <c r="AH1219" s="135"/>
      <c r="AI1219" s="135"/>
      <c r="AJ1219" s="135"/>
      <c r="AK1219" s="135"/>
      <c r="AL1219" s="135"/>
      <c r="AM1219" s="135"/>
      <c r="AN1219" s="135"/>
      <c r="AO1219" s="135"/>
      <c r="AP1219" s="135"/>
    </row>
    <row r="1220" hidden="1">
      <c r="A1220" s="69">
        <v>46143.0</v>
      </c>
      <c r="B1220" s="125">
        <v>0.4166666666666667</v>
      </c>
      <c r="C1220" s="126" t="s">
        <v>32</v>
      </c>
      <c r="D1220" s="102" t="s">
        <v>3243</v>
      </c>
      <c r="E1220" s="102" t="s">
        <v>106</v>
      </c>
      <c r="F1220" s="102" t="s">
        <v>3849</v>
      </c>
      <c r="G1220" s="126" t="s">
        <v>3850</v>
      </c>
      <c r="H1220" s="126" t="s">
        <v>3851</v>
      </c>
      <c r="I1220" s="102" t="s">
        <v>1988</v>
      </c>
      <c r="J1220" s="85">
        <v>83525.0</v>
      </c>
      <c r="K1220" s="85">
        <v>35447.0</v>
      </c>
      <c r="L1220" s="19">
        <v>0.4243</v>
      </c>
      <c r="M1220" s="127">
        <v>12414.0</v>
      </c>
      <c r="N1220" s="128">
        <v>0.3502</v>
      </c>
      <c r="O1220" s="20">
        <v>586.0</v>
      </c>
      <c r="P1220" s="21">
        <v>541.0</v>
      </c>
      <c r="Q1220" s="19">
        <v>0.0153</v>
      </c>
      <c r="R1220" s="129">
        <v>0.0436</v>
      </c>
      <c r="S1220" s="20">
        <v>0.0</v>
      </c>
      <c r="T1220" s="20">
        <v>0.0</v>
      </c>
      <c r="U1220" s="131">
        <v>0.0</v>
      </c>
      <c r="V1220" s="21" t="s">
        <v>183</v>
      </c>
      <c r="W1220" s="21" t="s">
        <v>76</v>
      </c>
      <c r="X1220" s="21" t="s">
        <v>47</v>
      </c>
      <c r="Y1220" s="21" t="s">
        <v>3852</v>
      </c>
      <c r="Z1220" s="20" t="s">
        <v>3853</v>
      </c>
      <c r="AA1220" s="18">
        <v>127.0</v>
      </c>
      <c r="AB1220" s="18">
        <v>0.0</v>
      </c>
      <c r="AC1220" s="18">
        <v>127.0</v>
      </c>
      <c r="AD1220" s="14">
        <v>1678023.0</v>
      </c>
      <c r="AE1220" s="14">
        <v>0.0</v>
      </c>
      <c r="AF1220" s="14">
        <v>1678023.0</v>
      </c>
      <c r="AG1220" s="22"/>
      <c r="AH1220" s="22"/>
      <c r="AI1220" s="22"/>
      <c r="AJ1220" s="22"/>
      <c r="AK1220" s="22"/>
      <c r="AL1220" s="22"/>
      <c r="AM1220" s="22"/>
      <c r="AN1220" s="22"/>
      <c r="AO1220" s="22"/>
      <c r="AP1220" s="22"/>
    </row>
    <row r="1221" hidden="1">
      <c r="A1221" s="69">
        <v>46143.0</v>
      </c>
      <c r="B1221" s="125">
        <v>0.4166666666666667</v>
      </c>
      <c r="C1221" s="126" t="s">
        <v>32</v>
      </c>
      <c r="D1221" s="102" t="s">
        <v>3243</v>
      </c>
      <c r="E1221" s="102" t="s">
        <v>106</v>
      </c>
      <c r="F1221" s="102" t="s">
        <v>3849</v>
      </c>
      <c r="G1221" s="126" t="s">
        <v>3854</v>
      </c>
      <c r="H1221" s="126" t="s">
        <v>3855</v>
      </c>
      <c r="I1221" s="102" t="s">
        <v>3856</v>
      </c>
      <c r="J1221" s="85">
        <v>175382.0</v>
      </c>
      <c r="K1221" s="85">
        <v>68567.0</v>
      </c>
      <c r="L1221" s="19">
        <v>0.3909</v>
      </c>
      <c r="M1221" s="127">
        <v>22219.0</v>
      </c>
      <c r="N1221" s="128">
        <v>0.3241</v>
      </c>
      <c r="O1221" s="20">
        <v>1080.0</v>
      </c>
      <c r="P1221" s="21">
        <v>1021.0</v>
      </c>
      <c r="Q1221" s="19">
        <v>0.0149</v>
      </c>
      <c r="R1221" s="129">
        <v>0.046</v>
      </c>
      <c r="S1221" s="20">
        <v>0.0</v>
      </c>
      <c r="T1221" s="20">
        <v>0.0</v>
      </c>
      <c r="U1221" s="131">
        <v>0.0</v>
      </c>
      <c r="V1221" s="21" t="s">
        <v>183</v>
      </c>
      <c r="W1221" s="21" t="s">
        <v>76</v>
      </c>
      <c r="X1221" s="21" t="s">
        <v>41</v>
      </c>
      <c r="Y1221" s="21" t="s">
        <v>3852</v>
      </c>
      <c r="Z1221" s="20" t="s">
        <v>3857</v>
      </c>
      <c r="AA1221" s="18">
        <v>142.0</v>
      </c>
      <c r="AB1221" s="18">
        <v>0.0</v>
      </c>
      <c r="AC1221" s="18">
        <v>142.0</v>
      </c>
      <c r="AD1221" s="14">
        <v>1853011.0</v>
      </c>
      <c r="AE1221" s="14">
        <v>0.0</v>
      </c>
      <c r="AF1221" s="14">
        <v>1853011.0</v>
      </c>
      <c r="AG1221" s="22"/>
      <c r="AH1221" s="22"/>
      <c r="AI1221" s="22"/>
      <c r="AJ1221" s="22"/>
      <c r="AK1221" s="22"/>
      <c r="AL1221" s="22"/>
      <c r="AM1221" s="22"/>
      <c r="AN1221" s="22"/>
      <c r="AO1221" s="22"/>
      <c r="AP1221" s="22"/>
    </row>
    <row r="1222" hidden="1">
      <c r="A1222" s="69">
        <v>46143.0</v>
      </c>
      <c r="B1222" s="125">
        <v>0.5</v>
      </c>
      <c r="C1222" s="126" t="s">
        <v>58</v>
      </c>
      <c r="D1222" s="102" t="s">
        <v>3083</v>
      </c>
      <c r="E1222" s="102" t="s">
        <v>106</v>
      </c>
      <c r="F1222" s="102" t="s">
        <v>3849</v>
      </c>
      <c r="G1222" s="126" t="s">
        <v>3858</v>
      </c>
      <c r="H1222" s="126" t="s">
        <v>3851</v>
      </c>
      <c r="I1222" s="102" t="s">
        <v>61</v>
      </c>
      <c r="J1222" s="85">
        <v>47047.0</v>
      </c>
      <c r="K1222" s="85">
        <v>26629.0</v>
      </c>
      <c r="L1222" s="19">
        <v>0.566</v>
      </c>
      <c r="M1222" s="127">
        <v>0.0</v>
      </c>
      <c r="N1222" s="128">
        <v>0.0</v>
      </c>
      <c r="O1222" s="20">
        <v>0.0</v>
      </c>
      <c r="P1222" s="21">
        <v>0.0</v>
      </c>
      <c r="Q1222" s="19">
        <v>0.0</v>
      </c>
      <c r="R1222" s="129">
        <v>0.0</v>
      </c>
      <c r="S1222" s="20">
        <v>0.0</v>
      </c>
      <c r="T1222" s="20">
        <v>0.0</v>
      </c>
      <c r="U1222" s="131">
        <v>0.0</v>
      </c>
      <c r="V1222" s="21" t="s">
        <v>183</v>
      </c>
      <c r="W1222" s="21" t="s">
        <v>3257</v>
      </c>
      <c r="X1222" s="21" t="s">
        <v>47</v>
      </c>
      <c r="Y1222" s="21" t="s">
        <v>3852</v>
      </c>
      <c r="Z1222" s="20" t="s">
        <v>3859</v>
      </c>
      <c r="AA1222" s="18">
        <v>81.0</v>
      </c>
      <c r="AB1222" s="18">
        <v>0.0</v>
      </c>
      <c r="AC1222" s="18">
        <v>81.0</v>
      </c>
      <c r="AD1222" s="14">
        <v>962602.0</v>
      </c>
      <c r="AE1222" s="14">
        <v>0.0</v>
      </c>
      <c r="AF1222" s="14">
        <v>962602.0</v>
      </c>
      <c r="AG1222" s="22"/>
      <c r="AH1222" s="22"/>
      <c r="AI1222" s="22"/>
      <c r="AJ1222" s="22"/>
      <c r="AK1222" s="22"/>
      <c r="AL1222" s="22"/>
      <c r="AM1222" s="22"/>
      <c r="AN1222" s="22"/>
      <c r="AO1222" s="22"/>
      <c r="AP1222" s="22"/>
    </row>
    <row r="1223" hidden="1">
      <c r="A1223" s="69">
        <v>46143.0</v>
      </c>
      <c r="B1223" s="125">
        <v>0.5</v>
      </c>
      <c r="C1223" s="126" t="s">
        <v>58</v>
      </c>
      <c r="D1223" s="102" t="s">
        <v>3083</v>
      </c>
      <c r="E1223" s="102" t="s">
        <v>106</v>
      </c>
      <c r="F1223" s="102" t="s">
        <v>3849</v>
      </c>
      <c r="G1223" s="126" t="s">
        <v>3860</v>
      </c>
      <c r="H1223" s="126" t="s">
        <v>3855</v>
      </c>
      <c r="I1223" s="102" t="s">
        <v>61</v>
      </c>
      <c r="J1223" s="85">
        <v>103969.0</v>
      </c>
      <c r="K1223" s="85">
        <v>57759.0</v>
      </c>
      <c r="L1223" s="19">
        <v>0.5555</v>
      </c>
      <c r="M1223" s="127">
        <v>0.0</v>
      </c>
      <c r="N1223" s="128">
        <v>0.0</v>
      </c>
      <c r="O1223" s="20">
        <v>0.0</v>
      </c>
      <c r="P1223" s="21">
        <v>0.0</v>
      </c>
      <c r="Q1223" s="19">
        <v>0.0</v>
      </c>
      <c r="R1223" s="129">
        <v>0.0</v>
      </c>
      <c r="S1223" s="20">
        <v>0.0</v>
      </c>
      <c r="T1223" s="20">
        <v>0.0</v>
      </c>
      <c r="U1223" s="131">
        <v>0.0</v>
      </c>
      <c r="V1223" s="21" t="s">
        <v>183</v>
      </c>
      <c r="W1223" s="21" t="s">
        <v>3257</v>
      </c>
      <c r="X1223" s="21" t="s">
        <v>41</v>
      </c>
      <c r="Y1223" s="21" t="s">
        <v>3852</v>
      </c>
      <c r="Z1223" s="20" t="s">
        <v>3861</v>
      </c>
      <c r="AA1223" s="18">
        <v>136.0</v>
      </c>
      <c r="AB1223" s="18">
        <v>0.0</v>
      </c>
      <c r="AC1223" s="18">
        <v>136.0</v>
      </c>
      <c r="AD1223" s="14">
        <v>1822917.0</v>
      </c>
      <c r="AE1223" s="14">
        <v>0.0</v>
      </c>
      <c r="AF1223" s="14">
        <v>1822917.0</v>
      </c>
      <c r="AG1223" s="22"/>
      <c r="AH1223" s="22"/>
      <c r="AI1223" s="22"/>
      <c r="AJ1223" s="22"/>
      <c r="AK1223" s="22"/>
      <c r="AL1223" s="22"/>
      <c r="AM1223" s="22"/>
      <c r="AN1223" s="22"/>
      <c r="AO1223" s="22"/>
      <c r="AP1223" s="22"/>
    </row>
    <row r="1224" hidden="1">
      <c r="A1224" s="69">
        <v>46143.0</v>
      </c>
      <c r="B1224" s="125">
        <v>0.4166666666666667</v>
      </c>
      <c r="C1224" s="126" t="s">
        <v>32</v>
      </c>
      <c r="D1224" s="102" t="s">
        <v>3243</v>
      </c>
      <c r="E1224" s="102" t="s">
        <v>133</v>
      </c>
      <c r="F1224" s="102" t="s">
        <v>1101</v>
      </c>
      <c r="G1224" s="126" t="s">
        <v>3862</v>
      </c>
      <c r="H1224" s="126" t="s">
        <v>3863</v>
      </c>
      <c r="I1224" s="102" t="s">
        <v>115</v>
      </c>
      <c r="J1224" s="85">
        <v>26638.0</v>
      </c>
      <c r="K1224" s="85">
        <v>10485.0</v>
      </c>
      <c r="L1224" s="19">
        <v>0.3935</v>
      </c>
      <c r="M1224" s="127">
        <v>5357.0</v>
      </c>
      <c r="N1224" s="128">
        <v>0.5111</v>
      </c>
      <c r="O1224" s="20">
        <v>461.0</v>
      </c>
      <c r="P1224" s="21">
        <v>443.0</v>
      </c>
      <c r="Q1224" s="19">
        <v>0.0423</v>
      </c>
      <c r="R1224" s="129">
        <v>0.0827</v>
      </c>
      <c r="S1224" s="20">
        <v>0.0</v>
      </c>
      <c r="T1224" s="20">
        <v>0.0</v>
      </c>
      <c r="U1224" s="131">
        <v>0.0</v>
      </c>
      <c r="V1224" s="21" t="s">
        <v>315</v>
      </c>
      <c r="W1224" s="21" t="s">
        <v>76</v>
      </c>
      <c r="X1224" s="21" t="s">
        <v>3864</v>
      </c>
      <c r="Y1224" s="138" t="s">
        <v>3865</v>
      </c>
      <c r="Z1224" s="20" t="s">
        <v>3866</v>
      </c>
      <c r="AA1224" s="111">
        <v>1.0</v>
      </c>
      <c r="AB1224" s="18"/>
      <c r="AC1224" s="18">
        <v>1.0</v>
      </c>
      <c r="AD1224" s="14">
        <v>6293.0</v>
      </c>
      <c r="AE1224" s="14"/>
      <c r="AF1224" s="14">
        <v>6293.0</v>
      </c>
      <c r="AG1224" s="22"/>
      <c r="AH1224" s="22"/>
      <c r="AI1224" s="22"/>
      <c r="AJ1224" s="22"/>
      <c r="AK1224" s="22"/>
      <c r="AL1224" s="22"/>
      <c r="AM1224" s="22"/>
      <c r="AN1224" s="22"/>
      <c r="AO1224" s="22"/>
      <c r="AP1224" s="22"/>
    </row>
    <row r="1225" hidden="1">
      <c r="A1225" s="69">
        <v>46143.0</v>
      </c>
      <c r="B1225" s="125">
        <v>0.5</v>
      </c>
      <c r="C1225" s="126" t="s">
        <v>58</v>
      </c>
      <c r="D1225" s="102" t="s">
        <v>3083</v>
      </c>
      <c r="E1225" s="102" t="s">
        <v>133</v>
      </c>
      <c r="F1225" s="102" t="s">
        <v>1101</v>
      </c>
      <c r="G1225" s="126" t="s">
        <v>3867</v>
      </c>
      <c r="H1225" s="126" t="s">
        <v>3863</v>
      </c>
      <c r="I1225" s="102" t="s">
        <v>61</v>
      </c>
      <c r="J1225" s="85">
        <v>16015.0</v>
      </c>
      <c r="K1225" s="85">
        <v>8261.0</v>
      </c>
      <c r="L1225" s="19">
        <v>0.5158</v>
      </c>
      <c r="M1225" s="127">
        <v>0.0</v>
      </c>
      <c r="N1225" s="128">
        <v>0.0</v>
      </c>
      <c r="O1225" s="20">
        <v>0.0</v>
      </c>
      <c r="P1225" s="21">
        <v>0.0</v>
      </c>
      <c r="Q1225" s="19">
        <v>0.0</v>
      </c>
      <c r="R1225" s="129">
        <v>0.0</v>
      </c>
      <c r="S1225" s="20">
        <v>0.0</v>
      </c>
      <c r="T1225" s="20">
        <v>0.0</v>
      </c>
      <c r="U1225" s="131">
        <v>0.0</v>
      </c>
      <c r="V1225" s="21" t="s">
        <v>315</v>
      </c>
      <c r="W1225" s="21" t="s">
        <v>3257</v>
      </c>
      <c r="X1225" s="21" t="s">
        <v>3864</v>
      </c>
      <c r="Y1225" s="138" t="s">
        <v>3865</v>
      </c>
      <c r="Z1225" s="20" t="s">
        <v>3868</v>
      </c>
      <c r="AA1225" s="111">
        <v>0.0</v>
      </c>
      <c r="AB1225" s="18"/>
      <c r="AC1225" s="18">
        <v>0.0</v>
      </c>
      <c r="AD1225" s="14">
        <v>0.0</v>
      </c>
      <c r="AE1225" s="14"/>
      <c r="AF1225" s="18">
        <v>0.0</v>
      </c>
      <c r="AG1225" s="22"/>
      <c r="AH1225" s="22"/>
      <c r="AI1225" s="22"/>
      <c r="AJ1225" s="22"/>
      <c r="AK1225" s="22"/>
      <c r="AL1225" s="22"/>
      <c r="AM1225" s="22"/>
      <c r="AN1225" s="22"/>
      <c r="AO1225" s="22"/>
      <c r="AP1225" s="22"/>
    </row>
    <row r="1226" hidden="1">
      <c r="A1226" s="69">
        <v>46143.0</v>
      </c>
      <c r="B1226" s="125">
        <v>0.4166666666666667</v>
      </c>
      <c r="C1226" s="126" t="s">
        <v>32</v>
      </c>
      <c r="D1226" s="102" t="s">
        <v>3243</v>
      </c>
      <c r="E1226" s="102" t="s">
        <v>217</v>
      </c>
      <c r="F1226" s="102" t="s">
        <v>3869</v>
      </c>
      <c r="G1226" s="126" t="s">
        <v>3870</v>
      </c>
      <c r="H1226" s="126" t="s">
        <v>3871</v>
      </c>
      <c r="I1226" s="102" t="s">
        <v>3872</v>
      </c>
      <c r="J1226" s="85">
        <v>169357.0</v>
      </c>
      <c r="K1226" s="85">
        <v>102590.0</v>
      </c>
      <c r="L1226" s="19">
        <v>0.6057</v>
      </c>
      <c r="M1226" s="127">
        <v>56806.0</v>
      </c>
      <c r="N1226" s="128">
        <v>0.5537</v>
      </c>
      <c r="O1226" s="20">
        <v>1660.0</v>
      </c>
      <c r="P1226" s="21">
        <v>1557.0</v>
      </c>
      <c r="Q1226" s="19">
        <v>0.0152</v>
      </c>
      <c r="R1226" s="129">
        <v>0.0274</v>
      </c>
      <c r="S1226" s="20">
        <v>0.0</v>
      </c>
      <c r="T1226" s="20">
        <v>0.0</v>
      </c>
      <c r="U1226" s="131">
        <v>0.0</v>
      </c>
      <c r="V1226" s="21" t="s">
        <v>315</v>
      </c>
      <c r="W1226" s="21" t="s">
        <v>76</v>
      </c>
      <c r="X1226" s="21" t="s">
        <v>1101</v>
      </c>
      <c r="Y1226" s="21" t="s">
        <v>3873</v>
      </c>
      <c r="Z1226" s="20" t="s">
        <v>3874</v>
      </c>
      <c r="AA1226" s="18">
        <v>403.0</v>
      </c>
      <c r="AB1226" s="18"/>
      <c r="AC1226" s="18">
        <v>403.0</v>
      </c>
      <c r="AD1226" s="14">
        <v>941400.0</v>
      </c>
      <c r="AE1226" s="14"/>
      <c r="AF1226" s="14">
        <v>941400.0</v>
      </c>
      <c r="AG1226" s="22"/>
      <c r="AH1226" s="22"/>
      <c r="AI1226" s="22"/>
      <c r="AJ1226" s="22"/>
      <c r="AK1226" s="22"/>
      <c r="AL1226" s="22"/>
      <c r="AM1226" s="22"/>
      <c r="AN1226" s="22"/>
      <c r="AO1226" s="22"/>
      <c r="AP1226" s="22"/>
    </row>
    <row r="1227" hidden="1">
      <c r="A1227" s="69">
        <v>46143.0</v>
      </c>
      <c r="B1227" s="125">
        <v>0.3541666666666667</v>
      </c>
      <c r="C1227" s="126" t="s">
        <v>32</v>
      </c>
      <c r="D1227" s="102" t="s">
        <v>3243</v>
      </c>
      <c r="E1227" s="102" t="s">
        <v>2212</v>
      </c>
      <c r="F1227" s="102" t="s">
        <v>3760</v>
      </c>
      <c r="G1227" s="126" t="s">
        <v>3875</v>
      </c>
      <c r="H1227" s="126" t="s">
        <v>3876</v>
      </c>
      <c r="I1227" s="102" t="s">
        <v>3877</v>
      </c>
      <c r="J1227" s="85">
        <v>229475.0</v>
      </c>
      <c r="K1227" s="85">
        <v>100860.0</v>
      </c>
      <c r="L1227" s="19">
        <v>0.4395</v>
      </c>
      <c r="M1227" s="127">
        <v>35256.0</v>
      </c>
      <c r="N1227" s="128">
        <v>0.3495</v>
      </c>
      <c r="O1227" s="20">
        <v>4831.0</v>
      </c>
      <c r="P1227" s="21">
        <v>4565.0</v>
      </c>
      <c r="Q1227" s="19">
        <v>0.0453</v>
      </c>
      <c r="R1227" s="129">
        <v>0.1295</v>
      </c>
      <c r="S1227" s="20">
        <v>0.0</v>
      </c>
      <c r="T1227" s="20">
        <v>0.0</v>
      </c>
      <c r="U1227" s="131">
        <v>0.0</v>
      </c>
      <c r="V1227" s="21" t="s">
        <v>2175</v>
      </c>
      <c r="W1227" s="21" t="s">
        <v>76</v>
      </c>
      <c r="X1227" s="21" t="s">
        <v>3877</v>
      </c>
      <c r="Y1227" s="21" t="s">
        <v>3878</v>
      </c>
      <c r="Z1227" s="20" t="s">
        <v>3879</v>
      </c>
      <c r="AA1227" s="18">
        <v>261.0</v>
      </c>
      <c r="AB1227" s="18">
        <v>128.0</v>
      </c>
      <c r="AC1227" s="18">
        <v>133.0</v>
      </c>
      <c r="AD1227" s="14">
        <v>3391392.0</v>
      </c>
      <c r="AE1227" s="14">
        <v>1588041.0</v>
      </c>
      <c r="AF1227" s="14">
        <v>1803351.0</v>
      </c>
      <c r="AG1227" s="22"/>
      <c r="AH1227" s="22"/>
      <c r="AI1227" s="22"/>
      <c r="AJ1227" s="22"/>
      <c r="AK1227" s="22"/>
      <c r="AL1227" s="22"/>
      <c r="AM1227" s="22"/>
      <c r="AN1227" s="22"/>
      <c r="AO1227" s="22"/>
      <c r="AP1227" s="22"/>
    </row>
    <row r="1228" hidden="1">
      <c r="A1228" s="69">
        <v>46143.0</v>
      </c>
      <c r="B1228" s="125">
        <v>0.3576388888888889</v>
      </c>
      <c r="C1228" s="126" t="s">
        <v>32</v>
      </c>
      <c r="D1228" s="102" t="s">
        <v>3243</v>
      </c>
      <c r="E1228" s="102" t="s">
        <v>2212</v>
      </c>
      <c r="F1228" s="102" t="s">
        <v>3760</v>
      </c>
      <c r="G1228" s="126" t="s">
        <v>3880</v>
      </c>
      <c r="H1228" s="126" t="s">
        <v>3881</v>
      </c>
      <c r="I1228" s="102" t="s">
        <v>3882</v>
      </c>
      <c r="J1228" s="85">
        <v>133612.0</v>
      </c>
      <c r="K1228" s="85">
        <v>63391.0</v>
      </c>
      <c r="L1228" s="19">
        <v>0.4743</v>
      </c>
      <c r="M1228" s="127">
        <v>23846.0</v>
      </c>
      <c r="N1228" s="128">
        <v>0.3762</v>
      </c>
      <c r="O1228" s="20">
        <v>3190.0</v>
      </c>
      <c r="P1228" s="21">
        <v>3026.0</v>
      </c>
      <c r="Q1228" s="19">
        <v>0.0477</v>
      </c>
      <c r="R1228" s="129">
        <v>0.1269</v>
      </c>
      <c r="S1228" s="20">
        <v>0.0</v>
      </c>
      <c r="T1228" s="20">
        <v>0.0</v>
      </c>
      <c r="U1228" s="131">
        <v>0.0</v>
      </c>
      <c r="V1228" s="21" t="s">
        <v>2175</v>
      </c>
      <c r="W1228" s="21" t="s">
        <v>76</v>
      </c>
      <c r="X1228" s="21" t="s">
        <v>3883</v>
      </c>
      <c r="Y1228" s="21" t="s">
        <v>3878</v>
      </c>
      <c r="Z1228" s="20" t="s">
        <v>3884</v>
      </c>
      <c r="AA1228" s="18">
        <v>101.0</v>
      </c>
      <c r="AB1228" s="18">
        <v>47.0</v>
      </c>
      <c r="AC1228" s="18">
        <v>54.0</v>
      </c>
      <c r="AD1228" s="14">
        <v>1330824.0</v>
      </c>
      <c r="AE1228" s="14">
        <v>574347.0</v>
      </c>
      <c r="AF1228" s="14">
        <v>756477.0</v>
      </c>
      <c r="AG1228" s="22"/>
      <c r="AH1228" s="22"/>
      <c r="AI1228" s="22"/>
      <c r="AJ1228" s="22"/>
      <c r="AK1228" s="22"/>
      <c r="AL1228" s="22"/>
      <c r="AM1228" s="22"/>
      <c r="AN1228" s="22"/>
      <c r="AO1228" s="22"/>
      <c r="AP1228" s="22"/>
    </row>
    <row r="1229" hidden="1">
      <c r="A1229" s="69">
        <v>46143.0</v>
      </c>
      <c r="B1229" s="125">
        <v>0.3611111111111111</v>
      </c>
      <c r="C1229" s="126" t="s">
        <v>32</v>
      </c>
      <c r="D1229" s="102" t="s">
        <v>3243</v>
      </c>
      <c r="E1229" s="102" t="s">
        <v>2212</v>
      </c>
      <c r="F1229" s="102" t="s">
        <v>3760</v>
      </c>
      <c r="G1229" s="126" t="s">
        <v>3885</v>
      </c>
      <c r="H1229" s="126" t="s">
        <v>3886</v>
      </c>
      <c r="I1229" s="102" t="s">
        <v>3882</v>
      </c>
      <c r="J1229" s="85">
        <v>286345.0</v>
      </c>
      <c r="K1229" s="85">
        <v>31425.0</v>
      </c>
      <c r="L1229" s="19">
        <v>0.1097</v>
      </c>
      <c r="M1229" s="127">
        <v>12493.0</v>
      </c>
      <c r="N1229" s="128">
        <v>0.3976</v>
      </c>
      <c r="O1229" s="20">
        <v>1471.0</v>
      </c>
      <c r="P1229" s="21">
        <v>1399.0</v>
      </c>
      <c r="Q1229" s="19">
        <v>0.0445</v>
      </c>
      <c r="R1229" s="129">
        <v>0.112</v>
      </c>
      <c r="S1229" s="20">
        <v>0.0</v>
      </c>
      <c r="T1229" s="20">
        <v>0.0</v>
      </c>
      <c r="U1229" s="131">
        <v>0.0</v>
      </c>
      <c r="V1229" s="21" t="s">
        <v>2175</v>
      </c>
      <c r="W1229" s="21" t="s">
        <v>76</v>
      </c>
      <c r="X1229" s="21" t="s">
        <v>3887</v>
      </c>
      <c r="Y1229" s="21" t="s">
        <v>3878</v>
      </c>
      <c r="Z1229" s="20" t="s">
        <v>3888</v>
      </c>
      <c r="AA1229" s="18">
        <v>204.0</v>
      </c>
      <c r="AB1229" s="18">
        <v>63.0</v>
      </c>
      <c r="AC1229" s="18">
        <v>141.0</v>
      </c>
      <c r="AD1229" s="14">
        <v>2614263.0</v>
      </c>
      <c r="AE1229" s="14">
        <v>716076.0</v>
      </c>
      <c r="AF1229" s="14">
        <v>1898187.0</v>
      </c>
      <c r="AG1229" s="22"/>
      <c r="AH1229" s="22"/>
      <c r="AI1229" s="22"/>
      <c r="AJ1229" s="22"/>
      <c r="AK1229" s="22"/>
      <c r="AL1229" s="22"/>
      <c r="AM1229" s="22"/>
      <c r="AN1229" s="22"/>
      <c r="AO1229" s="22"/>
      <c r="AP1229" s="22"/>
    </row>
    <row r="1230" hidden="1">
      <c r="A1230" s="69">
        <v>46143.0</v>
      </c>
      <c r="B1230" s="125">
        <v>0.3645833333333333</v>
      </c>
      <c r="C1230" s="126" t="s">
        <v>32</v>
      </c>
      <c r="D1230" s="102" t="s">
        <v>3243</v>
      </c>
      <c r="E1230" s="102" t="s">
        <v>2212</v>
      </c>
      <c r="F1230" s="102" t="s">
        <v>3760</v>
      </c>
      <c r="G1230" s="126" t="s">
        <v>3889</v>
      </c>
      <c r="H1230" s="126" t="s">
        <v>3890</v>
      </c>
      <c r="I1230" s="102" t="s">
        <v>3882</v>
      </c>
      <c r="J1230" s="85">
        <v>334505.0</v>
      </c>
      <c r="K1230" s="85">
        <v>9457.0</v>
      </c>
      <c r="L1230" s="19">
        <v>0.0283</v>
      </c>
      <c r="M1230" s="127">
        <v>3884.0</v>
      </c>
      <c r="N1230" s="128">
        <v>0.4107</v>
      </c>
      <c r="O1230" s="20">
        <v>456.0</v>
      </c>
      <c r="P1230" s="21">
        <v>438.0</v>
      </c>
      <c r="Q1230" s="19">
        <v>0.0463</v>
      </c>
      <c r="R1230" s="129">
        <v>0.1128</v>
      </c>
      <c r="S1230" s="20">
        <v>0.0</v>
      </c>
      <c r="T1230" s="20">
        <v>0.0</v>
      </c>
      <c r="U1230" s="131">
        <v>0.0</v>
      </c>
      <c r="V1230" s="21" t="s">
        <v>2175</v>
      </c>
      <c r="W1230" s="21" t="s">
        <v>76</v>
      </c>
      <c r="X1230" s="21" t="s">
        <v>3891</v>
      </c>
      <c r="Y1230" s="21" t="s">
        <v>3878</v>
      </c>
      <c r="Z1230" s="20" t="s">
        <v>3892</v>
      </c>
      <c r="AA1230" s="18">
        <v>204.0</v>
      </c>
      <c r="AB1230" s="18">
        <v>69.0</v>
      </c>
      <c r="AC1230" s="18">
        <v>135.0</v>
      </c>
      <c r="AD1230" s="14">
        <v>2812460.0</v>
      </c>
      <c r="AE1230" s="14">
        <v>836195.0</v>
      </c>
      <c r="AF1230" s="14">
        <v>1976265.0</v>
      </c>
      <c r="AG1230" s="22"/>
      <c r="AH1230" s="22"/>
      <c r="AI1230" s="22"/>
      <c r="AJ1230" s="22"/>
      <c r="AK1230" s="22"/>
      <c r="AL1230" s="22"/>
      <c r="AM1230" s="22"/>
      <c r="AN1230" s="22"/>
      <c r="AO1230" s="22"/>
      <c r="AP1230" s="22"/>
    </row>
    <row r="1231" hidden="1">
      <c r="A1231" s="69">
        <v>46143.0</v>
      </c>
      <c r="B1231" s="125">
        <v>0.5208333333333334</v>
      </c>
      <c r="C1231" s="126" t="s">
        <v>58</v>
      </c>
      <c r="D1231" s="102" t="s">
        <v>3083</v>
      </c>
      <c r="E1231" s="102" t="s">
        <v>2212</v>
      </c>
      <c r="F1231" s="102" t="s">
        <v>3760</v>
      </c>
      <c r="G1231" s="126" t="s">
        <v>3893</v>
      </c>
      <c r="H1231" s="126" t="s">
        <v>3894</v>
      </c>
      <c r="I1231" s="102" t="s">
        <v>2956</v>
      </c>
      <c r="J1231" s="85">
        <v>109933.0</v>
      </c>
      <c r="K1231" s="85">
        <v>59496.0</v>
      </c>
      <c r="L1231" s="19">
        <v>0.5412</v>
      </c>
      <c r="M1231" s="127">
        <v>0.0</v>
      </c>
      <c r="N1231" s="128">
        <v>0.0</v>
      </c>
      <c r="O1231" s="20">
        <v>128.0</v>
      </c>
      <c r="P1231" s="21">
        <v>0.0</v>
      </c>
      <c r="Q1231" s="19">
        <v>0.0022</v>
      </c>
      <c r="R1231" s="129">
        <v>0.0</v>
      </c>
      <c r="S1231" s="20">
        <v>0.0</v>
      </c>
      <c r="T1231" s="20">
        <v>0.0</v>
      </c>
      <c r="U1231" s="131">
        <v>0.0</v>
      </c>
      <c r="V1231" s="21" t="s">
        <v>2175</v>
      </c>
      <c r="W1231" s="21" t="s">
        <v>3257</v>
      </c>
      <c r="X1231" s="101" t="s">
        <v>3895</v>
      </c>
      <c r="Y1231" s="21" t="s">
        <v>3878</v>
      </c>
      <c r="Z1231" s="20" t="s">
        <v>3896</v>
      </c>
      <c r="AA1231" s="18">
        <v>270.0</v>
      </c>
      <c r="AB1231" s="18">
        <v>81.0</v>
      </c>
      <c r="AC1231" s="18">
        <v>189.0</v>
      </c>
      <c r="AD1231" s="14">
        <v>3943880.0</v>
      </c>
      <c r="AE1231" s="14">
        <v>1138710.0</v>
      </c>
      <c r="AF1231" s="14">
        <v>2805170.0</v>
      </c>
      <c r="AG1231" s="22"/>
      <c r="AH1231" s="22"/>
      <c r="AI1231" s="22"/>
      <c r="AJ1231" s="22"/>
      <c r="AK1231" s="22"/>
      <c r="AL1231" s="22"/>
      <c r="AM1231" s="22"/>
      <c r="AN1231" s="22"/>
      <c r="AO1231" s="22"/>
      <c r="AP1231" s="22"/>
    </row>
    <row r="1232" hidden="1">
      <c r="A1232" s="69">
        <v>46143.0</v>
      </c>
      <c r="B1232" s="125">
        <v>0.5208333333333334</v>
      </c>
      <c r="C1232" s="126" t="s">
        <v>58</v>
      </c>
      <c r="D1232" s="102" t="s">
        <v>3083</v>
      </c>
      <c r="E1232" s="102" t="s">
        <v>2212</v>
      </c>
      <c r="F1232" s="102" t="s">
        <v>3760</v>
      </c>
      <c r="G1232" s="126" t="s">
        <v>3897</v>
      </c>
      <c r="H1232" s="126" t="s">
        <v>3898</v>
      </c>
      <c r="I1232" s="102" t="s">
        <v>2956</v>
      </c>
      <c r="J1232" s="85">
        <v>76516.0</v>
      </c>
      <c r="K1232" s="85">
        <v>44765.0</v>
      </c>
      <c r="L1232" s="19">
        <v>0.585</v>
      </c>
      <c r="M1232" s="127">
        <v>0.0</v>
      </c>
      <c r="N1232" s="128">
        <v>0.0</v>
      </c>
      <c r="O1232" s="20">
        <v>97.0</v>
      </c>
      <c r="P1232" s="21">
        <v>0.0</v>
      </c>
      <c r="Q1232" s="19">
        <v>0.0022</v>
      </c>
      <c r="R1232" s="129">
        <v>0.0</v>
      </c>
      <c r="S1232" s="20">
        <v>0.0</v>
      </c>
      <c r="T1232" s="20">
        <v>0.0</v>
      </c>
      <c r="U1232" s="131">
        <v>0.0</v>
      </c>
      <c r="V1232" s="21" t="s">
        <v>2175</v>
      </c>
      <c r="W1232" s="21" t="s">
        <v>3257</v>
      </c>
      <c r="X1232" s="101" t="s">
        <v>3899</v>
      </c>
      <c r="Y1232" s="21" t="s">
        <v>3878</v>
      </c>
      <c r="Z1232" s="20" t="s">
        <v>3900</v>
      </c>
      <c r="AA1232" s="18">
        <v>73.0</v>
      </c>
      <c r="AB1232" s="18">
        <v>14.0</v>
      </c>
      <c r="AC1232" s="18">
        <v>59.0</v>
      </c>
      <c r="AD1232" s="14">
        <v>990783.0</v>
      </c>
      <c r="AE1232" s="14">
        <v>167189.0</v>
      </c>
      <c r="AF1232" s="14">
        <v>823594.0</v>
      </c>
      <c r="AG1232" s="22"/>
      <c r="AH1232" s="22"/>
      <c r="AI1232" s="22"/>
      <c r="AJ1232" s="22"/>
      <c r="AK1232" s="22"/>
      <c r="AL1232" s="22"/>
      <c r="AM1232" s="22"/>
      <c r="AN1232" s="22"/>
      <c r="AO1232" s="22"/>
      <c r="AP1232" s="22"/>
    </row>
    <row r="1233" hidden="1">
      <c r="A1233" s="69">
        <v>46143.0</v>
      </c>
      <c r="B1233" s="125">
        <v>0.5208333333333334</v>
      </c>
      <c r="C1233" s="126" t="s">
        <v>58</v>
      </c>
      <c r="D1233" s="102" t="s">
        <v>3083</v>
      </c>
      <c r="E1233" s="102" t="s">
        <v>2212</v>
      </c>
      <c r="F1233" s="102" t="s">
        <v>3760</v>
      </c>
      <c r="G1233" s="126" t="s">
        <v>3901</v>
      </c>
      <c r="H1233" s="126" t="s">
        <v>3890</v>
      </c>
      <c r="I1233" s="102" t="s">
        <v>2956</v>
      </c>
      <c r="J1233" s="85">
        <v>244473.0</v>
      </c>
      <c r="K1233" s="85">
        <v>140104.0</v>
      </c>
      <c r="L1233" s="19">
        <v>0.5731</v>
      </c>
      <c r="M1233" s="127">
        <v>0.0</v>
      </c>
      <c r="N1233" s="128">
        <v>0.0</v>
      </c>
      <c r="O1233" s="20">
        <v>256.0</v>
      </c>
      <c r="P1233" s="21">
        <v>0.0</v>
      </c>
      <c r="Q1233" s="19">
        <v>0.0018</v>
      </c>
      <c r="R1233" s="129">
        <v>0.0</v>
      </c>
      <c r="S1233" s="20">
        <v>0.0</v>
      </c>
      <c r="T1233" s="20">
        <v>0.0</v>
      </c>
      <c r="U1233" s="131">
        <v>0.0</v>
      </c>
      <c r="V1233" s="21" t="s">
        <v>2175</v>
      </c>
      <c r="W1233" s="21" t="s">
        <v>3257</v>
      </c>
      <c r="X1233" s="101" t="s">
        <v>3891</v>
      </c>
      <c r="Y1233" s="21" t="s">
        <v>3878</v>
      </c>
      <c r="Z1233" s="20" t="s">
        <v>3902</v>
      </c>
      <c r="AA1233" s="111"/>
      <c r="AB1233" s="18"/>
      <c r="AC1233" s="18"/>
      <c r="AD1233" s="14"/>
      <c r="AE1233" s="14"/>
      <c r="AF1233" s="14"/>
      <c r="AG1233" s="22"/>
      <c r="AH1233" s="22"/>
      <c r="AI1233" s="22"/>
      <c r="AJ1233" s="22"/>
      <c r="AK1233" s="22"/>
      <c r="AL1233" s="22"/>
      <c r="AM1233" s="22"/>
      <c r="AN1233" s="22"/>
      <c r="AO1233" s="22"/>
      <c r="AP1233" s="22"/>
    </row>
    <row r="1234" hidden="1">
      <c r="A1234" s="69">
        <v>46143.0</v>
      </c>
      <c r="B1234" s="125">
        <v>0.5208333333333334</v>
      </c>
      <c r="C1234" s="126" t="s">
        <v>58</v>
      </c>
      <c r="D1234" s="102" t="s">
        <v>3083</v>
      </c>
      <c r="E1234" s="102" t="s">
        <v>2212</v>
      </c>
      <c r="F1234" s="102" t="s">
        <v>3760</v>
      </c>
      <c r="G1234" s="126" t="s">
        <v>3903</v>
      </c>
      <c r="H1234" s="126" t="s">
        <v>3886</v>
      </c>
      <c r="I1234" s="102" t="s">
        <v>2956</v>
      </c>
      <c r="J1234" s="85">
        <v>196849.0</v>
      </c>
      <c r="K1234" s="85">
        <v>107446.0</v>
      </c>
      <c r="L1234" s="19">
        <v>0.5458</v>
      </c>
      <c r="M1234" s="127">
        <v>0.0</v>
      </c>
      <c r="N1234" s="128">
        <v>0.0</v>
      </c>
      <c r="O1234" s="20">
        <v>180.0</v>
      </c>
      <c r="P1234" s="21">
        <v>0.0</v>
      </c>
      <c r="Q1234" s="19">
        <v>0.0017</v>
      </c>
      <c r="R1234" s="129">
        <v>0.0</v>
      </c>
      <c r="S1234" s="20">
        <v>0.0</v>
      </c>
      <c r="T1234" s="20">
        <v>0.0</v>
      </c>
      <c r="U1234" s="131">
        <v>0.0</v>
      </c>
      <c r="V1234" s="21" t="s">
        <v>2175</v>
      </c>
      <c r="W1234" s="21" t="s">
        <v>3257</v>
      </c>
      <c r="X1234" s="101" t="s">
        <v>3887</v>
      </c>
      <c r="Y1234" s="21" t="s">
        <v>3878</v>
      </c>
      <c r="Z1234" s="20" t="s">
        <v>3904</v>
      </c>
      <c r="AA1234" s="111"/>
      <c r="AB1234" s="18"/>
      <c r="AC1234" s="18"/>
      <c r="AD1234" s="14"/>
      <c r="AE1234" s="14"/>
      <c r="AF1234" s="14"/>
      <c r="AG1234" s="22"/>
      <c r="AH1234" s="22"/>
      <c r="AI1234" s="22"/>
      <c r="AJ1234" s="22"/>
      <c r="AK1234" s="22"/>
      <c r="AL1234" s="22"/>
      <c r="AM1234" s="22"/>
      <c r="AN1234" s="22"/>
      <c r="AO1234" s="22"/>
      <c r="AP1234" s="22"/>
    </row>
    <row r="1235" hidden="1">
      <c r="A1235" s="69">
        <v>46143.0</v>
      </c>
      <c r="B1235" s="125">
        <v>0.5208333333333334</v>
      </c>
      <c r="C1235" s="126" t="s">
        <v>58</v>
      </c>
      <c r="D1235" s="102" t="s">
        <v>3083</v>
      </c>
      <c r="E1235" s="102" t="s">
        <v>2212</v>
      </c>
      <c r="F1235" s="102" t="s">
        <v>3760</v>
      </c>
      <c r="G1235" s="126" t="s">
        <v>3905</v>
      </c>
      <c r="H1235" s="126" t="s">
        <v>3881</v>
      </c>
      <c r="I1235" s="102" t="s">
        <v>2956</v>
      </c>
      <c r="J1235" s="85">
        <v>55317.0</v>
      </c>
      <c r="K1235" s="85">
        <v>28997.0</v>
      </c>
      <c r="L1235" s="19">
        <v>0.5242</v>
      </c>
      <c r="M1235" s="127">
        <v>0.0</v>
      </c>
      <c r="N1235" s="128">
        <v>0.0</v>
      </c>
      <c r="O1235" s="20">
        <v>55.0</v>
      </c>
      <c r="P1235" s="21">
        <v>0.0</v>
      </c>
      <c r="Q1235" s="19">
        <v>0.0019</v>
      </c>
      <c r="R1235" s="129">
        <v>0.0</v>
      </c>
      <c r="S1235" s="20">
        <v>0.0</v>
      </c>
      <c r="T1235" s="20">
        <v>0.0</v>
      </c>
      <c r="U1235" s="131">
        <v>0.0</v>
      </c>
      <c r="V1235" s="21" t="s">
        <v>2175</v>
      </c>
      <c r="W1235" s="21" t="s">
        <v>3257</v>
      </c>
      <c r="X1235" s="101" t="s">
        <v>3883</v>
      </c>
      <c r="Y1235" s="21" t="s">
        <v>3878</v>
      </c>
      <c r="Z1235" s="20" t="s">
        <v>3906</v>
      </c>
      <c r="AA1235" s="111"/>
      <c r="AB1235" s="18"/>
      <c r="AC1235" s="18"/>
      <c r="AD1235" s="14"/>
      <c r="AE1235" s="14"/>
      <c r="AF1235" s="14"/>
      <c r="AG1235" s="22"/>
      <c r="AH1235" s="22"/>
      <c r="AI1235" s="22"/>
      <c r="AJ1235" s="22"/>
      <c r="AK1235" s="22"/>
      <c r="AL1235" s="22"/>
      <c r="AM1235" s="22"/>
      <c r="AN1235" s="22"/>
      <c r="AO1235" s="22"/>
      <c r="AP1235" s="22"/>
    </row>
    <row r="1236" hidden="1">
      <c r="A1236" s="69">
        <v>46143.0</v>
      </c>
      <c r="B1236" s="125">
        <v>0.5208333333333334</v>
      </c>
      <c r="C1236" s="126" t="s">
        <v>58</v>
      </c>
      <c r="D1236" s="102" t="s">
        <v>3083</v>
      </c>
      <c r="E1236" s="102" t="s">
        <v>2212</v>
      </c>
      <c r="F1236" s="102" t="s">
        <v>3760</v>
      </c>
      <c r="G1236" s="126" t="s">
        <v>3907</v>
      </c>
      <c r="H1236" s="126" t="s">
        <v>3876</v>
      </c>
      <c r="I1236" s="102" t="s">
        <v>2956</v>
      </c>
      <c r="J1236" s="85">
        <v>103673.0</v>
      </c>
      <c r="K1236" s="85">
        <v>64198.0</v>
      </c>
      <c r="L1236" s="19">
        <v>0.6192</v>
      </c>
      <c r="M1236" s="127">
        <v>0.0</v>
      </c>
      <c r="N1236" s="128">
        <v>0.0</v>
      </c>
      <c r="O1236" s="20">
        <v>133.0</v>
      </c>
      <c r="P1236" s="21">
        <v>0.0</v>
      </c>
      <c r="Q1236" s="19">
        <v>0.0021</v>
      </c>
      <c r="R1236" s="129">
        <v>0.0</v>
      </c>
      <c r="S1236" s="20">
        <v>0.0</v>
      </c>
      <c r="T1236" s="20">
        <v>0.0</v>
      </c>
      <c r="U1236" s="131">
        <v>0.0</v>
      </c>
      <c r="V1236" s="21" t="s">
        <v>2175</v>
      </c>
      <c r="W1236" s="21" t="s">
        <v>3257</v>
      </c>
      <c r="X1236" s="100" t="s">
        <v>3877</v>
      </c>
      <c r="Y1236" s="21" t="s">
        <v>3878</v>
      </c>
      <c r="Z1236" s="20" t="s">
        <v>3908</v>
      </c>
      <c r="AA1236" s="111"/>
      <c r="AB1236" s="18"/>
      <c r="AC1236" s="18"/>
      <c r="AD1236" s="14"/>
      <c r="AE1236" s="14"/>
      <c r="AF1236" s="14"/>
      <c r="AG1236" s="22"/>
      <c r="AH1236" s="22"/>
      <c r="AI1236" s="22"/>
      <c r="AJ1236" s="22"/>
      <c r="AK1236" s="22"/>
      <c r="AL1236" s="22"/>
      <c r="AM1236" s="22"/>
      <c r="AN1236" s="22"/>
      <c r="AO1236" s="22"/>
      <c r="AP1236" s="22"/>
    </row>
    <row r="1237" hidden="1">
      <c r="A1237" s="69">
        <v>46143.0</v>
      </c>
      <c r="B1237" s="125">
        <v>0.375</v>
      </c>
      <c r="C1237" s="126" t="s">
        <v>32</v>
      </c>
      <c r="D1237" s="102" t="s">
        <v>3243</v>
      </c>
      <c r="E1237" s="102" t="s">
        <v>34</v>
      </c>
      <c r="F1237" s="102" t="s">
        <v>3760</v>
      </c>
      <c r="G1237" s="126" t="s">
        <v>3909</v>
      </c>
      <c r="H1237" s="126" t="s">
        <v>3816</v>
      </c>
      <c r="I1237" s="102" t="s">
        <v>3910</v>
      </c>
      <c r="J1237" s="85">
        <v>159035.0</v>
      </c>
      <c r="K1237" s="85">
        <v>78806.0</v>
      </c>
      <c r="L1237" s="19">
        <v>0.4955</v>
      </c>
      <c r="M1237" s="127">
        <v>28331.0</v>
      </c>
      <c r="N1237" s="128">
        <v>0.3595</v>
      </c>
      <c r="O1237" s="20">
        <v>4196.0</v>
      </c>
      <c r="P1237" s="21">
        <v>3940.0</v>
      </c>
      <c r="Q1237" s="19">
        <v>0.05</v>
      </c>
      <c r="R1237" s="129">
        <v>0.1391</v>
      </c>
      <c r="S1237" s="20">
        <v>15.0</v>
      </c>
      <c r="T1237" s="20">
        <v>48.0</v>
      </c>
      <c r="U1237" s="131">
        <v>194961.1</v>
      </c>
      <c r="V1237" s="21" t="s">
        <v>183</v>
      </c>
      <c r="W1237" s="21" t="s">
        <v>76</v>
      </c>
      <c r="X1237" s="21" t="s">
        <v>3847</v>
      </c>
      <c r="Y1237" s="21" t="s">
        <v>3911</v>
      </c>
      <c r="Z1237" s="20" t="s">
        <v>3912</v>
      </c>
      <c r="AA1237" s="14"/>
      <c r="AB1237" s="14"/>
      <c r="AC1237" s="18"/>
      <c r="AD1237" s="14"/>
      <c r="AE1237" s="14"/>
      <c r="AF1237" s="14"/>
      <c r="AG1237" s="22"/>
      <c r="AH1237" s="22"/>
      <c r="AI1237" s="22"/>
      <c r="AJ1237" s="22"/>
      <c r="AK1237" s="22"/>
      <c r="AL1237" s="22"/>
      <c r="AM1237" s="22"/>
      <c r="AN1237" s="22"/>
      <c r="AO1237" s="22"/>
      <c r="AP1237" s="22"/>
    </row>
    <row r="1238" hidden="1">
      <c r="A1238" s="69">
        <v>46143.0</v>
      </c>
      <c r="B1238" s="125">
        <v>0.3541666666666667</v>
      </c>
      <c r="C1238" s="126" t="s">
        <v>32</v>
      </c>
      <c r="D1238" s="102" t="s">
        <v>3243</v>
      </c>
      <c r="E1238" s="102" t="s">
        <v>34</v>
      </c>
      <c r="F1238" s="102" t="s">
        <v>3760</v>
      </c>
      <c r="G1238" s="126" t="s">
        <v>3913</v>
      </c>
      <c r="H1238" s="126" t="s">
        <v>3762</v>
      </c>
      <c r="I1238" s="102" t="s">
        <v>3763</v>
      </c>
      <c r="J1238" s="85">
        <v>1805.0</v>
      </c>
      <c r="K1238" s="85">
        <v>1020.0</v>
      </c>
      <c r="L1238" s="19">
        <v>0.5651</v>
      </c>
      <c r="M1238" s="127">
        <v>467.0</v>
      </c>
      <c r="N1238" s="128">
        <v>0.4578</v>
      </c>
      <c r="O1238" s="20">
        <v>95.0</v>
      </c>
      <c r="P1238" s="21">
        <v>81.0</v>
      </c>
      <c r="Q1238" s="19">
        <v>0.0794</v>
      </c>
      <c r="R1238" s="129">
        <v>0.1734</v>
      </c>
      <c r="S1238" s="20">
        <v>21.0</v>
      </c>
      <c r="T1238" s="20">
        <v>122.0</v>
      </c>
      <c r="U1238" s="131">
        <v>312532.2</v>
      </c>
      <c r="V1238" s="21" t="s">
        <v>335</v>
      </c>
      <c r="W1238" s="21" t="s">
        <v>76</v>
      </c>
      <c r="X1238" s="21" t="s">
        <v>2131</v>
      </c>
      <c r="Y1238" s="21" t="s">
        <v>3911</v>
      </c>
      <c r="Z1238" s="20" t="s">
        <v>3914</v>
      </c>
      <c r="AA1238" s="14"/>
      <c r="AB1238" s="14"/>
      <c r="AC1238" s="52"/>
      <c r="AD1238" s="14"/>
      <c r="AE1238" s="14"/>
      <c r="AF1238" s="52"/>
      <c r="AG1238" s="22"/>
      <c r="AH1238" s="22"/>
      <c r="AI1238" s="22"/>
      <c r="AJ1238" s="22"/>
      <c r="AK1238" s="22"/>
      <c r="AL1238" s="22"/>
      <c r="AM1238" s="22"/>
      <c r="AN1238" s="22"/>
      <c r="AO1238" s="22"/>
      <c r="AP1238" s="22"/>
    </row>
    <row r="1239" hidden="1">
      <c r="A1239" s="69">
        <v>46143.0</v>
      </c>
      <c r="B1239" s="125">
        <v>0.3541666666666667</v>
      </c>
      <c r="C1239" s="126" t="s">
        <v>32</v>
      </c>
      <c r="D1239" s="102" t="s">
        <v>3243</v>
      </c>
      <c r="E1239" s="102" t="s">
        <v>34</v>
      </c>
      <c r="F1239" s="102" t="s">
        <v>3760</v>
      </c>
      <c r="G1239" s="126" t="s">
        <v>3915</v>
      </c>
      <c r="H1239" s="126" t="s">
        <v>3767</v>
      </c>
      <c r="I1239" s="102" t="s">
        <v>3768</v>
      </c>
      <c r="J1239" s="85">
        <v>1847.0</v>
      </c>
      <c r="K1239" s="85">
        <v>1047.0</v>
      </c>
      <c r="L1239" s="19">
        <v>0.5669</v>
      </c>
      <c r="M1239" s="127">
        <v>470.0</v>
      </c>
      <c r="N1239" s="128">
        <v>0.4489</v>
      </c>
      <c r="O1239" s="20">
        <v>153.0</v>
      </c>
      <c r="P1239" s="21">
        <v>133.0</v>
      </c>
      <c r="Q1239" s="19">
        <v>0.127</v>
      </c>
      <c r="R1239" s="129">
        <v>0.283</v>
      </c>
      <c r="S1239" s="20">
        <v>10.0</v>
      </c>
      <c r="T1239" s="20">
        <v>56.0</v>
      </c>
      <c r="U1239" s="131">
        <v>131990.0</v>
      </c>
      <c r="V1239" s="21" t="s">
        <v>335</v>
      </c>
      <c r="W1239" s="21" t="s">
        <v>76</v>
      </c>
      <c r="X1239" s="21" t="s">
        <v>2282</v>
      </c>
      <c r="Y1239" s="21" t="s">
        <v>3911</v>
      </c>
      <c r="Z1239" s="20" t="s">
        <v>3916</v>
      </c>
      <c r="AA1239" s="14"/>
      <c r="AB1239" s="14"/>
      <c r="AC1239" s="52"/>
      <c r="AD1239" s="14"/>
      <c r="AE1239" s="14"/>
      <c r="AF1239" s="52"/>
      <c r="AG1239" s="22"/>
      <c r="AH1239" s="22"/>
      <c r="AI1239" s="22"/>
      <c r="AJ1239" s="22"/>
      <c r="AK1239" s="22"/>
      <c r="AL1239" s="22"/>
      <c r="AM1239" s="22"/>
      <c r="AN1239" s="22"/>
      <c r="AO1239" s="22"/>
      <c r="AP1239" s="22"/>
    </row>
    <row r="1240" hidden="1">
      <c r="A1240" s="69">
        <v>46143.0</v>
      </c>
      <c r="B1240" s="125">
        <v>0.3541666666666667</v>
      </c>
      <c r="C1240" s="126" t="s">
        <v>32</v>
      </c>
      <c r="D1240" s="102" t="s">
        <v>3243</v>
      </c>
      <c r="E1240" s="102" t="s">
        <v>34</v>
      </c>
      <c r="F1240" s="102" t="s">
        <v>3760</v>
      </c>
      <c r="G1240" s="126" t="s">
        <v>3917</v>
      </c>
      <c r="H1240" s="126" t="s">
        <v>3771</v>
      </c>
      <c r="I1240" s="102" t="s">
        <v>3772</v>
      </c>
      <c r="J1240" s="85">
        <v>1559.0</v>
      </c>
      <c r="K1240" s="85">
        <v>866.0</v>
      </c>
      <c r="L1240" s="19">
        <v>0.5555</v>
      </c>
      <c r="M1240" s="127">
        <v>393.0</v>
      </c>
      <c r="N1240" s="128">
        <v>0.4538</v>
      </c>
      <c r="O1240" s="20">
        <v>94.0</v>
      </c>
      <c r="P1240" s="21">
        <v>88.0</v>
      </c>
      <c r="Q1240" s="19">
        <v>0.1016</v>
      </c>
      <c r="R1240" s="129">
        <v>0.2239</v>
      </c>
      <c r="S1240" s="20">
        <v>6.0</v>
      </c>
      <c r="T1240" s="20">
        <v>34.0</v>
      </c>
      <c r="U1240" s="131">
        <v>60144.0</v>
      </c>
      <c r="V1240" s="21" t="s">
        <v>335</v>
      </c>
      <c r="W1240" s="21" t="s">
        <v>76</v>
      </c>
      <c r="X1240" s="21" t="s">
        <v>3773</v>
      </c>
      <c r="Y1240" s="21" t="s">
        <v>3911</v>
      </c>
      <c r="Z1240" s="20" t="s">
        <v>3918</v>
      </c>
      <c r="AA1240" s="14"/>
      <c r="AB1240" s="14"/>
      <c r="AC1240" s="52"/>
      <c r="AD1240" s="14"/>
      <c r="AE1240" s="14"/>
      <c r="AF1240" s="52"/>
      <c r="AG1240" s="22"/>
      <c r="AH1240" s="22"/>
      <c r="AI1240" s="22"/>
      <c r="AJ1240" s="22"/>
      <c r="AK1240" s="22"/>
      <c r="AL1240" s="22"/>
      <c r="AM1240" s="22"/>
      <c r="AN1240" s="22"/>
      <c r="AO1240" s="22"/>
      <c r="AP1240" s="22"/>
    </row>
    <row r="1241" hidden="1">
      <c r="A1241" s="69">
        <v>46143.0</v>
      </c>
      <c r="B1241" s="125">
        <v>0.3576388888888889</v>
      </c>
      <c r="C1241" s="126" t="s">
        <v>32</v>
      </c>
      <c r="D1241" s="102" t="s">
        <v>3243</v>
      </c>
      <c r="E1241" s="102" t="s">
        <v>34</v>
      </c>
      <c r="F1241" s="102" t="s">
        <v>3760</v>
      </c>
      <c r="G1241" s="126" t="s">
        <v>3919</v>
      </c>
      <c r="H1241" s="126" t="s">
        <v>3776</v>
      </c>
      <c r="I1241" s="102" t="s">
        <v>3777</v>
      </c>
      <c r="J1241" s="85">
        <v>21047.0</v>
      </c>
      <c r="K1241" s="85">
        <v>10534.0</v>
      </c>
      <c r="L1241" s="19">
        <v>0.5004</v>
      </c>
      <c r="M1241" s="127">
        <v>4693.0</v>
      </c>
      <c r="N1241" s="128">
        <v>0.4456</v>
      </c>
      <c r="O1241" s="20">
        <v>1412.0</v>
      </c>
      <c r="P1241" s="21">
        <v>1312.0</v>
      </c>
      <c r="Q1241" s="19">
        <v>0.1246</v>
      </c>
      <c r="R1241" s="129">
        <v>0.2796</v>
      </c>
      <c r="S1241" s="20">
        <v>15.0</v>
      </c>
      <c r="T1241" s="20">
        <v>110.0</v>
      </c>
      <c r="U1241" s="131">
        <v>183996.3</v>
      </c>
      <c r="V1241" s="21" t="s">
        <v>335</v>
      </c>
      <c r="W1241" s="21" t="s">
        <v>76</v>
      </c>
      <c r="X1241" s="21" t="s">
        <v>3778</v>
      </c>
      <c r="Y1241" s="21" t="s">
        <v>3911</v>
      </c>
      <c r="Z1241" s="20" t="s">
        <v>3920</v>
      </c>
      <c r="AA1241" s="14"/>
      <c r="AB1241" s="14"/>
      <c r="AC1241" s="52"/>
      <c r="AD1241" s="14"/>
      <c r="AE1241" s="14"/>
      <c r="AF1241" s="52"/>
      <c r="AG1241" s="22"/>
      <c r="AH1241" s="22"/>
      <c r="AI1241" s="22"/>
      <c r="AJ1241" s="22"/>
      <c r="AK1241" s="22"/>
      <c r="AL1241" s="22"/>
      <c r="AM1241" s="22"/>
      <c r="AN1241" s="22"/>
      <c r="AO1241" s="22"/>
      <c r="AP1241" s="22"/>
    </row>
    <row r="1242" hidden="1">
      <c r="A1242" s="69">
        <v>46143.0</v>
      </c>
      <c r="B1242" s="125">
        <v>0.3611111111111111</v>
      </c>
      <c r="C1242" s="126" t="s">
        <v>32</v>
      </c>
      <c r="D1242" s="102" t="s">
        <v>3243</v>
      </c>
      <c r="E1242" s="102" t="s">
        <v>34</v>
      </c>
      <c r="F1242" s="102" t="s">
        <v>3760</v>
      </c>
      <c r="G1242" s="126" t="s">
        <v>3921</v>
      </c>
      <c r="H1242" s="126" t="s">
        <v>3781</v>
      </c>
      <c r="I1242" s="102" t="s">
        <v>3782</v>
      </c>
      <c r="J1242" s="85">
        <v>7766.0</v>
      </c>
      <c r="K1242" s="85">
        <v>4033.0</v>
      </c>
      <c r="L1242" s="19">
        <v>0.5193</v>
      </c>
      <c r="M1242" s="127">
        <v>1611.0</v>
      </c>
      <c r="N1242" s="128">
        <v>0.3992</v>
      </c>
      <c r="O1242" s="20">
        <v>376.0</v>
      </c>
      <c r="P1242" s="21">
        <v>343.0</v>
      </c>
      <c r="Q1242" s="19">
        <v>0.085</v>
      </c>
      <c r="R1242" s="129">
        <v>0.213</v>
      </c>
      <c r="S1242" s="20">
        <v>5.0</v>
      </c>
      <c r="T1242" s="20">
        <v>10.0</v>
      </c>
      <c r="U1242" s="131">
        <v>66395.0</v>
      </c>
      <c r="V1242" s="21" t="s">
        <v>183</v>
      </c>
      <c r="W1242" s="21" t="s">
        <v>76</v>
      </c>
      <c r="X1242" s="21" t="s">
        <v>52</v>
      </c>
      <c r="Y1242" s="21" t="s">
        <v>3911</v>
      </c>
      <c r="Z1242" s="20" t="s">
        <v>3922</v>
      </c>
      <c r="AA1242" s="14"/>
      <c r="AB1242" s="14"/>
      <c r="AC1242" s="18"/>
      <c r="AD1242" s="14"/>
      <c r="AE1242" s="14"/>
      <c r="AF1242" s="14"/>
      <c r="AG1242" s="22"/>
      <c r="AH1242" s="22"/>
      <c r="AI1242" s="22"/>
      <c r="AJ1242" s="22"/>
      <c r="AK1242" s="22"/>
      <c r="AL1242" s="22"/>
      <c r="AM1242" s="22"/>
      <c r="AN1242" s="22"/>
      <c r="AO1242" s="22"/>
      <c r="AP1242" s="22"/>
    </row>
    <row r="1243" hidden="1">
      <c r="A1243" s="69">
        <v>46143.0</v>
      </c>
      <c r="B1243" s="125">
        <v>0.3645833333333333</v>
      </c>
      <c r="C1243" s="126" t="s">
        <v>32</v>
      </c>
      <c r="D1243" s="102" t="s">
        <v>3243</v>
      </c>
      <c r="E1243" s="102" t="s">
        <v>34</v>
      </c>
      <c r="F1243" s="102" t="s">
        <v>3760</v>
      </c>
      <c r="G1243" s="126" t="s">
        <v>3923</v>
      </c>
      <c r="H1243" s="126" t="s">
        <v>3785</v>
      </c>
      <c r="I1243" s="102" t="s">
        <v>3786</v>
      </c>
      <c r="J1243" s="85">
        <v>24520.0</v>
      </c>
      <c r="K1243" s="85">
        <v>11624.0</v>
      </c>
      <c r="L1243" s="19">
        <v>0.4739</v>
      </c>
      <c r="M1243" s="127">
        <v>4538.0</v>
      </c>
      <c r="N1243" s="128">
        <v>0.3905</v>
      </c>
      <c r="O1243" s="20">
        <v>939.0</v>
      </c>
      <c r="P1243" s="21">
        <v>846.0</v>
      </c>
      <c r="Q1243" s="19">
        <v>0.0728</v>
      </c>
      <c r="R1243" s="129">
        <v>0.1864</v>
      </c>
      <c r="S1243" s="20">
        <v>8.0</v>
      </c>
      <c r="T1243" s="20">
        <v>23.0</v>
      </c>
      <c r="U1243" s="131">
        <v>102992.0</v>
      </c>
      <c r="V1243" s="21" t="s">
        <v>183</v>
      </c>
      <c r="W1243" s="21" t="s">
        <v>76</v>
      </c>
      <c r="X1243" s="21" t="s">
        <v>82</v>
      </c>
      <c r="Y1243" s="21" t="s">
        <v>3911</v>
      </c>
      <c r="Z1243" s="20" t="s">
        <v>3924</v>
      </c>
      <c r="AA1243" s="14"/>
      <c r="AB1243" s="14"/>
      <c r="AC1243" s="18"/>
      <c r="AD1243" s="14"/>
      <c r="AE1243" s="14"/>
      <c r="AF1243" s="14"/>
      <c r="AG1243" s="22"/>
      <c r="AH1243" s="22"/>
      <c r="AI1243" s="22"/>
      <c r="AJ1243" s="22"/>
      <c r="AK1243" s="22"/>
      <c r="AL1243" s="22"/>
      <c r="AM1243" s="22"/>
      <c r="AN1243" s="22"/>
      <c r="AO1243" s="22"/>
      <c r="AP1243" s="22"/>
    </row>
    <row r="1244" hidden="1">
      <c r="A1244" s="69">
        <v>46143.0</v>
      </c>
      <c r="B1244" s="125">
        <v>0.3680555555555556</v>
      </c>
      <c r="C1244" s="126" t="s">
        <v>32</v>
      </c>
      <c r="D1244" s="102" t="s">
        <v>3243</v>
      </c>
      <c r="E1244" s="102" t="s">
        <v>34</v>
      </c>
      <c r="F1244" s="102" t="s">
        <v>3760</v>
      </c>
      <c r="G1244" s="126" t="s">
        <v>3925</v>
      </c>
      <c r="H1244" s="126" t="s">
        <v>3789</v>
      </c>
      <c r="I1244" s="102" t="s">
        <v>3790</v>
      </c>
      <c r="J1244" s="85">
        <v>14566.0</v>
      </c>
      <c r="K1244" s="85">
        <v>7303.0</v>
      </c>
      <c r="L1244" s="19">
        <v>0.5014</v>
      </c>
      <c r="M1244" s="127">
        <v>3161.0</v>
      </c>
      <c r="N1244" s="128">
        <v>0.4328</v>
      </c>
      <c r="O1244" s="20">
        <v>686.0</v>
      </c>
      <c r="P1244" s="21">
        <v>603.0</v>
      </c>
      <c r="Q1244" s="19">
        <v>0.0826</v>
      </c>
      <c r="R1244" s="129">
        <v>0.1908</v>
      </c>
      <c r="S1244" s="20">
        <v>4.0</v>
      </c>
      <c r="T1244" s="20">
        <v>22.0</v>
      </c>
      <c r="U1244" s="131">
        <v>66659.0</v>
      </c>
      <c r="V1244" s="21" t="s">
        <v>183</v>
      </c>
      <c r="W1244" s="21" t="s">
        <v>76</v>
      </c>
      <c r="X1244" s="21" t="s">
        <v>47</v>
      </c>
      <c r="Y1244" s="21" t="s">
        <v>3911</v>
      </c>
      <c r="Z1244" s="20" t="s">
        <v>3926</v>
      </c>
      <c r="AA1244" s="14"/>
      <c r="AB1244" s="14"/>
      <c r="AC1244" s="18"/>
      <c r="AD1244" s="14"/>
      <c r="AE1244" s="14"/>
      <c r="AF1244" s="14"/>
      <c r="AG1244" s="22"/>
      <c r="AH1244" s="22"/>
      <c r="AI1244" s="22"/>
      <c r="AJ1244" s="22"/>
      <c r="AK1244" s="22"/>
      <c r="AL1244" s="22"/>
      <c r="AM1244" s="22"/>
      <c r="AN1244" s="22"/>
      <c r="AO1244" s="22"/>
      <c r="AP1244" s="22"/>
    </row>
    <row r="1245" hidden="1">
      <c r="A1245" s="69">
        <v>46143.0</v>
      </c>
      <c r="B1245" s="125">
        <v>0.3715277777777778</v>
      </c>
      <c r="C1245" s="126" t="s">
        <v>32</v>
      </c>
      <c r="D1245" s="102" t="s">
        <v>3243</v>
      </c>
      <c r="E1245" s="102" t="s">
        <v>34</v>
      </c>
      <c r="F1245" s="102" t="s">
        <v>3760</v>
      </c>
      <c r="G1245" s="126" t="s">
        <v>3927</v>
      </c>
      <c r="H1245" s="126" t="s">
        <v>3793</v>
      </c>
      <c r="I1245" s="102" t="s">
        <v>3794</v>
      </c>
      <c r="J1245" s="85">
        <v>20292.0</v>
      </c>
      <c r="K1245" s="85">
        <v>9453.0</v>
      </c>
      <c r="L1245" s="19">
        <v>0.4658</v>
      </c>
      <c r="M1245" s="127">
        <v>3424.0</v>
      </c>
      <c r="N1245" s="128">
        <v>0.3622</v>
      </c>
      <c r="O1245" s="20">
        <v>791.0</v>
      </c>
      <c r="P1245" s="21">
        <v>722.0</v>
      </c>
      <c r="Q1245" s="19">
        <v>0.0764</v>
      </c>
      <c r="R1245" s="129">
        <v>0.2109</v>
      </c>
      <c r="S1245" s="20">
        <v>8.0</v>
      </c>
      <c r="T1245" s="20">
        <v>16.0</v>
      </c>
      <c r="U1245" s="131">
        <v>99269.1</v>
      </c>
      <c r="V1245" s="21" t="s">
        <v>183</v>
      </c>
      <c r="W1245" s="21" t="s">
        <v>76</v>
      </c>
      <c r="X1245" s="21" t="s">
        <v>3795</v>
      </c>
      <c r="Y1245" s="21" t="s">
        <v>3911</v>
      </c>
      <c r="Z1245" s="20" t="s">
        <v>3928</v>
      </c>
      <c r="AA1245" s="14"/>
      <c r="AB1245" s="14"/>
      <c r="AC1245" s="18"/>
      <c r="AD1245" s="14"/>
      <c r="AE1245" s="14"/>
      <c r="AF1245" s="14"/>
      <c r="AG1245" s="22"/>
      <c r="AH1245" s="22"/>
      <c r="AI1245" s="22"/>
      <c r="AJ1245" s="22"/>
      <c r="AK1245" s="22"/>
      <c r="AL1245" s="22"/>
      <c r="AM1245" s="22"/>
      <c r="AN1245" s="22"/>
      <c r="AO1245" s="22"/>
      <c r="AP1245" s="22"/>
    </row>
    <row r="1246" hidden="1">
      <c r="A1246" s="69">
        <v>46143.0</v>
      </c>
      <c r="B1246" s="125">
        <v>0.5208333333333334</v>
      </c>
      <c r="C1246" s="126" t="s">
        <v>58</v>
      </c>
      <c r="D1246" s="102" t="s">
        <v>3083</v>
      </c>
      <c r="E1246" s="102" t="s">
        <v>34</v>
      </c>
      <c r="F1246" s="102" t="s">
        <v>3800</v>
      </c>
      <c r="G1246" s="126" t="s">
        <v>3929</v>
      </c>
      <c r="H1246" s="126" t="s">
        <v>3762</v>
      </c>
      <c r="I1246" s="102" t="s">
        <v>2956</v>
      </c>
      <c r="J1246" s="85">
        <v>615.0</v>
      </c>
      <c r="K1246" s="85">
        <v>383.0</v>
      </c>
      <c r="L1246" s="19">
        <v>0.6228</v>
      </c>
      <c r="M1246" s="127">
        <v>0.0</v>
      </c>
      <c r="N1246" s="128">
        <v>0.0</v>
      </c>
      <c r="O1246" s="20">
        <v>2.0</v>
      </c>
      <c r="P1246" s="21">
        <v>0.0</v>
      </c>
      <c r="Q1246" s="19">
        <v>0.0052</v>
      </c>
      <c r="R1246" s="129">
        <v>0.0</v>
      </c>
      <c r="S1246" s="20">
        <v>8.0</v>
      </c>
      <c r="T1246" s="20">
        <v>66.0</v>
      </c>
      <c r="U1246" s="131">
        <v>105692.0</v>
      </c>
      <c r="V1246" s="21" t="s">
        <v>335</v>
      </c>
      <c r="W1246" s="21" t="s">
        <v>3257</v>
      </c>
      <c r="X1246" s="21" t="s">
        <v>2131</v>
      </c>
      <c r="Y1246" s="21" t="s">
        <v>3911</v>
      </c>
      <c r="Z1246" s="20" t="s">
        <v>3930</v>
      </c>
      <c r="AA1246" s="14"/>
      <c r="AB1246" s="14"/>
      <c r="AC1246" s="52"/>
      <c r="AD1246" s="14"/>
      <c r="AE1246" s="14"/>
      <c r="AF1246" s="52"/>
      <c r="AG1246" s="22"/>
      <c r="AH1246" s="22"/>
      <c r="AI1246" s="22"/>
      <c r="AJ1246" s="22"/>
      <c r="AK1246" s="22"/>
      <c r="AL1246" s="22"/>
      <c r="AM1246" s="22"/>
      <c r="AN1246" s="22"/>
      <c r="AO1246" s="22"/>
      <c r="AP1246" s="22"/>
    </row>
    <row r="1247" hidden="1">
      <c r="A1247" s="69">
        <v>46143.0</v>
      </c>
      <c r="B1247" s="125">
        <v>0.5208333333333334</v>
      </c>
      <c r="C1247" s="126" t="s">
        <v>58</v>
      </c>
      <c r="D1247" s="102" t="s">
        <v>3083</v>
      </c>
      <c r="E1247" s="102" t="s">
        <v>34</v>
      </c>
      <c r="F1247" s="102" t="s">
        <v>3800</v>
      </c>
      <c r="G1247" s="126" t="s">
        <v>3931</v>
      </c>
      <c r="H1247" s="126" t="s">
        <v>3767</v>
      </c>
      <c r="I1247" s="102" t="s">
        <v>2956</v>
      </c>
      <c r="J1247" s="85">
        <v>606.0</v>
      </c>
      <c r="K1247" s="85">
        <v>362.0</v>
      </c>
      <c r="L1247" s="19">
        <v>0.5974</v>
      </c>
      <c r="M1247" s="127">
        <v>0.0</v>
      </c>
      <c r="N1247" s="128">
        <v>0.0</v>
      </c>
      <c r="O1247" s="20">
        <v>5.0</v>
      </c>
      <c r="P1247" s="21">
        <v>0.0</v>
      </c>
      <c r="Q1247" s="19">
        <v>0.0138</v>
      </c>
      <c r="R1247" s="129">
        <v>0.0</v>
      </c>
      <c r="S1247" s="20">
        <v>1.0</v>
      </c>
      <c r="T1247" s="20">
        <v>14.0</v>
      </c>
      <c r="U1247" s="131">
        <v>13999.0</v>
      </c>
      <c r="V1247" s="21" t="s">
        <v>335</v>
      </c>
      <c r="W1247" s="21" t="s">
        <v>3257</v>
      </c>
      <c r="X1247" s="21" t="s">
        <v>2282</v>
      </c>
      <c r="Y1247" s="21" t="s">
        <v>3911</v>
      </c>
      <c r="Z1247" s="20" t="s">
        <v>3932</v>
      </c>
      <c r="AA1247" s="14"/>
      <c r="AB1247" s="14"/>
      <c r="AC1247" s="52"/>
      <c r="AD1247" s="14"/>
      <c r="AE1247" s="14"/>
      <c r="AF1247" s="52"/>
      <c r="AG1247" s="22"/>
      <c r="AH1247" s="22"/>
      <c r="AI1247" s="22"/>
      <c r="AJ1247" s="22"/>
      <c r="AK1247" s="22"/>
      <c r="AL1247" s="22"/>
      <c r="AM1247" s="22"/>
      <c r="AN1247" s="22"/>
      <c r="AO1247" s="22"/>
      <c r="AP1247" s="22"/>
    </row>
    <row r="1248" hidden="1">
      <c r="A1248" s="69">
        <v>46143.0</v>
      </c>
      <c r="B1248" s="125">
        <v>0.5208333333333334</v>
      </c>
      <c r="C1248" s="126" t="s">
        <v>58</v>
      </c>
      <c r="D1248" s="102" t="s">
        <v>3083</v>
      </c>
      <c r="E1248" s="102" t="s">
        <v>34</v>
      </c>
      <c r="F1248" s="102" t="s">
        <v>3800</v>
      </c>
      <c r="G1248" s="126" t="s">
        <v>3933</v>
      </c>
      <c r="H1248" s="126" t="s">
        <v>3771</v>
      </c>
      <c r="I1248" s="102" t="s">
        <v>2956</v>
      </c>
      <c r="J1248" s="85">
        <v>568.0</v>
      </c>
      <c r="K1248" s="85">
        <v>375.0</v>
      </c>
      <c r="L1248" s="19">
        <v>0.6602</v>
      </c>
      <c r="M1248" s="127">
        <v>0.0</v>
      </c>
      <c r="N1248" s="128">
        <v>0.0</v>
      </c>
      <c r="O1248" s="20">
        <v>1.0</v>
      </c>
      <c r="P1248" s="21">
        <v>0.0</v>
      </c>
      <c r="Q1248" s="19">
        <v>0.0027</v>
      </c>
      <c r="R1248" s="129">
        <v>0.0</v>
      </c>
      <c r="S1248" s="20">
        <v>2.0</v>
      </c>
      <c r="T1248" s="20">
        <v>14.0</v>
      </c>
      <c r="U1248" s="131">
        <v>28498.0</v>
      </c>
      <c r="V1248" s="21" t="s">
        <v>335</v>
      </c>
      <c r="W1248" s="21" t="s">
        <v>3257</v>
      </c>
      <c r="X1248" s="21" t="s">
        <v>3773</v>
      </c>
      <c r="Y1248" s="21" t="s">
        <v>3911</v>
      </c>
      <c r="Z1248" s="20" t="s">
        <v>3934</v>
      </c>
      <c r="AA1248" s="14"/>
      <c r="AB1248" s="14"/>
      <c r="AC1248" s="52"/>
      <c r="AD1248" s="14"/>
      <c r="AE1248" s="14"/>
      <c r="AF1248" s="52"/>
      <c r="AG1248" s="22"/>
      <c r="AH1248" s="22"/>
      <c r="AI1248" s="22"/>
      <c r="AJ1248" s="22"/>
      <c r="AK1248" s="22"/>
      <c r="AL1248" s="22"/>
      <c r="AM1248" s="22"/>
      <c r="AN1248" s="22"/>
      <c r="AO1248" s="22"/>
      <c r="AP1248" s="22"/>
    </row>
    <row r="1249" hidden="1">
      <c r="A1249" s="69">
        <v>46143.0</v>
      </c>
      <c r="B1249" s="125">
        <v>0.4375</v>
      </c>
      <c r="C1249" s="126" t="s">
        <v>58</v>
      </c>
      <c r="D1249" s="102" t="s">
        <v>3243</v>
      </c>
      <c r="E1249" s="102" t="s">
        <v>34</v>
      </c>
      <c r="F1249" s="102" t="s">
        <v>3800</v>
      </c>
      <c r="G1249" s="126" t="s">
        <v>3935</v>
      </c>
      <c r="H1249" s="126" t="s">
        <v>3818</v>
      </c>
      <c r="I1249" s="102" t="s">
        <v>3819</v>
      </c>
      <c r="J1249" s="85">
        <v>121439.0</v>
      </c>
      <c r="K1249" s="85">
        <v>69467.0</v>
      </c>
      <c r="L1249" s="19">
        <v>0.572</v>
      </c>
      <c r="M1249" s="127">
        <v>0.0</v>
      </c>
      <c r="N1249" s="128">
        <v>0.0</v>
      </c>
      <c r="O1249" s="20">
        <v>231.0</v>
      </c>
      <c r="P1249" s="21">
        <v>0.0</v>
      </c>
      <c r="Q1249" s="19">
        <v>0.0033</v>
      </c>
      <c r="R1249" s="129">
        <v>0.0</v>
      </c>
      <c r="S1249" s="20">
        <v>14.0</v>
      </c>
      <c r="T1249" s="20">
        <v>33.0</v>
      </c>
      <c r="U1249" s="131">
        <v>161968.0</v>
      </c>
      <c r="V1249" s="21" t="s">
        <v>183</v>
      </c>
      <c r="W1249" s="21" t="s">
        <v>3257</v>
      </c>
      <c r="X1249" s="21" t="s">
        <v>69</v>
      </c>
      <c r="Y1249" s="21" t="s">
        <v>3911</v>
      </c>
      <c r="Z1249" s="20" t="s">
        <v>3936</v>
      </c>
      <c r="AA1249" s="14"/>
      <c r="AB1249" s="14"/>
      <c r="AC1249" s="18"/>
      <c r="AD1249" s="14"/>
      <c r="AE1249" s="14"/>
      <c r="AF1249" s="14"/>
      <c r="AG1249" s="22"/>
      <c r="AH1249" s="22"/>
      <c r="AI1249" s="22"/>
      <c r="AJ1249" s="22"/>
      <c r="AK1249" s="22"/>
      <c r="AL1249" s="22"/>
      <c r="AM1249" s="22"/>
      <c r="AN1249" s="22"/>
      <c r="AO1249" s="22"/>
      <c r="AP1249" s="22"/>
    </row>
    <row r="1250" hidden="1">
      <c r="A1250" s="69">
        <v>46143.0</v>
      </c>
      <c r="B1250" s="125">
        <v>0.4375</v>
      </c>
      <c r="C1250" s="126" t="s">
        <v>58</v>
      </c>
      <c r="D1250" s="102" t="s">
        <v>3243</v>
      </c>
      <c r="E1250" s="102" t="s">
        <v>34</v>
      </c>
      <c r="F1250" s="102" t="s">
        <v>3800</v>
      </c>
      <c r="G1250" s="126" t="s">
        <v>3937</v>
      </c>
      <c r="H1250" s="126" t="s">
        <v>3821</v>
      </c>
      <c r="I1250" s="102" t="s">
        <v>3822</v>
      </c>
      <c r="J1250" s="85">
        <v>99988.0</v>
      </c>
      <c r="K1250" s="85">
        <v>59978.0</v>
      </c>
      <c r="L1250" s="19">
        <v>0.5999</v>
      </c>
      <c r="M1250" s="127">
        <v>0.0</v>
      </c>
      <c r="N1250" s="128">
        <v>0.0</v>
      </c>
      <c r="O1250" s="20">
        <v>197.0</v>
      </c>
      <c r="P1250" s="21">
        <v>0.0</v>
      </c>
      <c r="Q1250" s="19">
        <v>0.0033</v>
      </c>
      <c r="R1250" s="129">
        <v>0.0</v>
      </c>
      <c r="S1250" s="20">
        <v>38.0</v>
      </c>
      <c r="T1250" s="20">
        <v>365.0</v>
      </c>
      <c r="U1250" s="131">
        <v>487974.2</v>
      </c>
      <c r="V1250" s="132" t="s">
        <v>183</v>
      </c>
      <c r="W1250" s="21" t="s">
        <v>3257</v>
      </c>
      <c r="X1250" s="21" t="s">
        <v>3823</v>
      </c>
      <c r="Y1250" s="21" t="s">
        <v>3911</v>
      </c>
      <c r="Z1250" s="20" t="s">
        <v>3938</v>
      </c>
      <c r="AA1250" s="14"/>
      <c r="AB1250" s="14"/>
      <c r="AC1250" s="18"/>
      <c r="AD1250" s="14"/>
      <c r="AE1250" s="14"/>
      <c r="AF1250" s="14"/>
      <c r="AG1250" s="22"/>
      <c r="AH1250" s="22"/>
      <c r="AI1250" s="22"/>
      <c r="AJ1250" s="22"/>
      <c r="AK1250" s="22"/>
      <c r="AL1250" s="22"/>
      <c r="AM1250" s="22"/>
      <c r="AN1250" s="22"/>
      <c r="AO1250" s="22"/>
      <c r="AP1250" s="22"/>
    </row>
    <row r="1251" hidden="1">
      <c r="A1251" s="69">
        <v>46143.0</v>
      </c>
      <c r="B1251" s="125">
        <v>0.4375</v>
      </c>
      <c r="C1251" s="126" t="s">
        <v>58</v>
      </c>
      <c r="D1251" s="102" t="s">
        <v>3243</v>
      </c>
      <c r="E1251" s="102" t="s">
        <v>34</v>
      </c>
      <c r="F1251" s="102" t="s">
        <v>3800</v>
      </c>
      <c r="G1251" s="126" t="s">
        <v>3939</v>
      </c>
      <c r="H1251" s="126" t="s">
        <v>3825</v>
      </c>
      <c r="I1251" s="102" t="s">
        <v>3826</v>
      </c>
      <c r="J1251" s="85">
        <v>187645.0</v>
      </c>
      <c r="K1251" s="85">
        <v>101403.0</v>
      </c>
      <c r="L1251" s="19">
        <v>0.5404</v>
      </c>
      <c r="M1251" s="127">
        <v>0.0</v>
      </c>
      <c r="N1251" s="128">
        <v>0.0</v>
      </c>
      <c r="O1251" s="20">
        <v>224.0</v>
      </c>
      <c r="P1251" s="21">
        <v>0.0</v>
      </c>
      <c r="Q1251" s="19">
        <v>0.0022</v>
      </c>
      <c r="R1251" s="129">
        <v>0.0</v>
      </c>
      <c r="S1251" s="20">
        <v>6.0</v>
      </c>
      <c r="T1251" s="20">
        <v>33.0</v>
      </c>
      <c r="U1251" s="131">
        <v>71544.0</v>
      </c>
      <c r="V1251" s="132" t="s">
        <v>183</v>
      </c>
      <c r="W1251" s="21" t="s">
        <v>3257</v>
      </c>
      <c r="X1251" s="21" t="s">
        <v>3826</v>
      </c>
      <c r="Y1251" s="21" t="s">
        <v>3911</v>
      </c>
      <c r="Z1251" s="20" t="s">
        <v>3940</v>
      </c>
      <c r="AA1251" s="14"/>
      <c r="AB1251" s="14"/>
      <c r="AC1251" s="18"/>
      <c r="AD1251" s="14"/>
      <c r="AE1251" s="14"/>
      <c r="AF1251" s="14"/>
      <c r="AG1251" s="22"/>
      <c r="AH1251" s="22"/>
      <c r="AI1251" s="22"/>
      <c r="AJ1251" s="22"/>
      <c r="AK1251" s="22"/>
      <c r="AL1251" s="22"/>
      <c r="AM1251" s="22"/>
      <c r="AN1251" s="22"/>
      <c r="AO1251" s="22"/>
      <c r="AP1251" s="22"/>
    </row>
    <row r="1252" hidden="1">
      <c r="A1252" s="69">
        <v>46143.0</v>
      </c>
      <c r="B1252" s="125">
        <v>0.5208333333333334</v>
      </c>
      <c r="C1252" s="126" t="s">
        <v>58</v>
      </c>
      <c r="D1252" s="102" t="s">
        <v>3083</v>
      </c>
      <c r="E1252" s="102" t="s">
        <v>34</v>
      </c>
      <c r="F1252" s="102" t="s">
        <v>3800</v>
      </c>
      <c r="G1252" s="126" t="s">
        <v>3941</v>
      </c>
      <c r="H1252" s="126" t="s">
        <v>3776</v>
      </c>
      <c r="I1252" s="102" t="s">
        <v>2956</v>
      </c>
      <c r="J1252" s="85">
        <v>8606.0</v>
      </c>
      <c r="K1252" s="85">
        <v>5875.0</v>
      </c>
      <c r="L1252" s="19">
        <v>0.6827</v>
      </c>
      <c r="M1252" s="127">
        <v>0.0</v>
      </c>
      <c r="N1252" s="128">
        <v>0.0</v>
      </c>
      <c r="O1252" s="20">
        <v>24.0</v>
      </c>
      <c r="P1252" s="21">
        <v>0.0</v>
      </c>
      <c r="Q1252" s="19">
        <v>0.0041</v>
      </c>
      <c r="R1252" s="129">
        <v>0.0</v>
      </c>
      <c r="S1252" s="20">
        <v>1.0</v>
      </c>
      <c r="T1252" s="20">
        <v>20.0</v>
      </c>
      <c r="U1252" s="131">
        <v>13999.0</v>
      </c>
      <c r="V1252" s="21" t="s">
        <v>335</v>
      </c>
      <c r="W1252" s="21" t="s">
        <v>3257</v>
      </c>
      <c r="X1252" s="21" t="s">
        <v>3778</v>
      </c>
      <c r="Y1252" s="21" t="s">
        <v>3911</v>
      </c>
      <c r="Z1252" s="20" t="s">
        <v>3942</v>
      </c>
      <c r="AA1252" s="14"/>
      <c r="AB1252" s="14"/>
      <c r="AC1252" s="52"/>
      <c r="AD1252" s="14"/>
      <c r="AE1252" s="14"/>
      <c r="AF1252" s="52"/>
      <c r="AG1252" s="22"/>
      <c r="AH1252" s="22"/>
      <c r="AI1252" s="22"/>
      <c r="AJ1252" s="22"/>
      <c r="AK1252" s="22"/>
      <c r="AL1252" s="22"/>
      <c r="AM1252" s="22"/>
      <c r="AN1252" s="22"/>
      <c r="AO1252" s="22"/>
      <c r="AP1252" s="22"/>
    </row>
    <row r="1253" hidden="1">
      <c r="A1253" s="69">
        <v>46143.0</v>
      </c>
      <c r="B1253" s="125">
        <v>0.5208333333333334</v>
      </c>
      <c r="C1253" s="126" t="s">
        <v>58</v>
      </c>
      <c r="D1253" s="102" t="s">
        <v>3083</v>
      </c>
      <c r="E1253" s="102" t="s">
        <v>34</v>
      </c>
      <c r="F1253" s="102" t="s">
        <v>3800</v>
      </c>
      <c r="G1253" s="126" t="s">
        <v>3943</v>
      </c>
      <c r="H1253" s="126" t="s">
        <v>3793</v>
      </c>
      <c r="I1253" s="102" t="s">
        <v>2956</v>
      </c>
      <c r="J1253" s="85">
        <v>8716.0</v>
      </c>
      <c r="K1253" s="85">
        <v>4712.0</v>
      </c>
      <c r="L1253" s="19">
        <v>0.5406</v>
      </c>
      <c r="M1253" s="127">
        <v>0.0</v>
      </c>
      <c r="N1253" s="128">
        <v>0.0</v>
      </c>
      <c r="O1253" s="20">
        <v>25.0</v>
      </c>
      <c r="P1253" s="21">
        <v>0.0</v>
      </c>
      <c r="Q1253" s="19">
        <v>0.0053</v>
      </c>
      <c r="R1253" s="129">
        <v>0.0</v>
      </c>
      <c r="S1253" s="20">
        <v>4.0</v>
      </c>
      <c r="T1253" s="20">
        <v>9.0</v>
      </c>
      <c r="U1253" s="131">
        <v>64695.0</v>
      </c>
      <c r="V1253" s="21" t="s">
        <v>183</v>
      </c>
      <c r="W1253" s="21" t="s">
        <v>3257</v>
      </c>
      <c r="X1253" s="21" t="s">
        <v>3795</v>
      </c>
      <c r="Y1253" s="21" t="s">
        <v>3911</v>
      </c>
      <c r="Z1253" s="20" t="s">
        <v>3944</v>
      </c>
      <c r="AA1253" s="14"/>
      <c r="AB1253" s="14"/>
      <c r="AC1253" s="18"/>
      <c r="AD1253" s="14"/>
      <c r="AE1253" s="14"/>
      <c r="AF1253" s="14"/>
      <c r="AG1253" s="22"/>
      <c r="AH1253" s="22"/>
      <c r="AI1253" s="22"/>
      <c r="AJ1253" s="22"/>
      <c r="AK1253" s="22"/>
      <c r="AL1253" s="22"/>
      <c r="AM1253" s="22"/>
      <c r="AN1253" s="22"/>
      <c r="AO1253" s="22"/>
      <c r="AP1253" s="22"/>
    </row>
    <row r="1254" hidden="1">
      <c r="A1254" s="69">
        <v>46143.0</v>
      </c>
      <c r="B1254" s="125">
        <v>0.5208333333333334</v>
      </c>
      <c r="C1254" s="126" t="s">
        <v>58</v>
      </c>
      <c r="D1254" s="102" t="s">
        <v>3083</v>
      </c>
      <c r="E1254" s="102" t="s">
        <v>34</v>
      </c>
      <c r="F1254" s="102" t="s">
        <v>3800</v>
      </c>
      <c r="G1254" s="126" t="s">
        <v>3945</v>
      </c>
      <c r="H1254" s="126" t="s">
        <v>3789</v>
      </c>
      <c r="I1254" s="102" t="s">
        <v>2956</v>
      </c>
      <c r="J1254" s="85">
        <v>5861.0</v>
      </c>
      <c r="K1254" s="85">
        <v>3205.0</v>
      </c>
      <c r="L1254" s="19">
        <v>0.5468</v>
      </c>
      <c r="M1254" s="127">
        <v>0.0</v>
      </c>
      <c r="N1254" s="128">
        <v>0.0</v>
      </c>
      <c r="O1254" s="20">
        <v>26.0</v>
      </c>
      <c r="P1254" s="21">
        <v>0.0</v>
      </c>
      <c r="Q1254" s="19">
        <v>0.0081</v>
      </c>
      <c r="R1254" s="129">
        <v>0.0</v>
      </c>
      <c r="S1254" s="20">
        <v>1.0</v>
      </c>
      <c r="T1254" s="20">
        <v>7.0</v>
      </c>
      <c r="U1254" s="131">
        <v>11399.0</v>
      </c>
      <c r="V1254" s="21" t="s">
        <v>183</v>
      </c>
      <c r="W1254" s="21" t="s">
        <v>3257</v>
      </c>
      <c r="X1254" s="21" t="s">
        <v>47</v>
      </c>
      <c r="Y1254" s="21" t="s">
        <v>3911</v>
      </c>
      <c r="Z1254" s="20" t="s">
        <v>3946</v>
      </c>
      <c r="AA1254" s="14"/>
      <c r="AB1254" s="14"/>
      <c r="AC1254" s="18"/>
      <c r="AD1254" s="14"/>
      <c r="AE1254" s="14"/>
      <c r="AF1254" s="14"/>
      <c r="AG1254" s="22"/>
      <c r="AH1254" s="22"/>
      <c r="AI1254" s="22"/>
      <c r="AJ1254" s="22"/>
      <c r="AK1254" s="22"/>
      <c r="AL1254" s="22"/>
      <c r="AM1254" s="22"/>
      <c r="AN1254" s="22"/>
      <c r="AO1254" s="22"/>
      <c r="AP1254" s="22"/>
    </row>
    <row r="1255" hidden="1">
      <c r="A1255" s="69">
        <v>46143.0</v>
      </c>
      <c r="B1255" s="125">
        <v>0.5208333333333334</v>
      </c>
      <c r="C1255" s="126" t="s">
        <v>58</v>
      </c>
      <c r="D1255" s="102" t="s">
        <v>3083</v>
      </c>
      <c r="E1255" s="102" t="s">
        <v>34</v>
      </c>
      <c r="F1255" s="102" t="s">
        <v>3800</v>
      </c>
      <c r="G1255" s="126" t="s">
        <v>3947</v>
      </c>
      <c r="H1255" s="126" t="s">
        <v>3785</v>
      </c>
      <c r="I1255" s="102" t="s">
        <v>2956</v>
      </c>
      <c r="J1255" s="85">
        <v>10568.0</v>
      </c>
      <c r="K1255" s="85">
        <v>5762.0</v>
      </c>
      <c r="L1255" s="19">
        <v>0.5452</v>
      </c>
      <c r="M1255" s="127">
        <v>0.0</v>
      </c>
      <c r="N1255" s="128">
        <v>0.0</v>
      </c>
      <c r="O1255" s="20">
        <v>27.0</v>
      </c>
      <c r="P1255" s="21">
        <v>0.0</v>
      </c>
      <c r="Q1255" s="19">
        <v>0.0047</v>
      </c>
      <c r="R1255" s="129">
        <v>0.0</v>
      </c>
      <c r="S1255" s="20">
        <v>2.0</v>
      </c>
      <c r="T1255" s="20">
        <v>6.0</v>
      </c>
      <c r="U1255" s="131">
        <v>25998.0</v>
      </c>
      <c r="V1255" s="21" t="s">
        <v>183</v>
      </c>
      <c r="W1255" s="21" t="s">
        <v>3257</v>
      </c>
      <c r="X1255" s="21" t="s">
        <v>82</v>
      </c>
      <c r="Y1255" s="21" t="s">
        <v>3911</v>
      </c>
      <c r="Z1255" s="20" t="s">
        <v>3948</v>
      </c>
      <c r="AA1255" s="14"/>
      <c r="AB1255" s="14"/>
      <c r="AC1255" s="18"/>
      <c r="AD1255" s="14"/>
      <c r="AE1255" s="14"/>
      <c r="AF1255" s="14"/>
      <c r="AG1255" s="22"/>
      <c r="AH1255" s="22"/>
      <c r="AI1255" s="22"/>
      <c r="AJ1255" s="22"/>
      <c r="AK1255" s="22"/>
      <c r="AL1255" s="22"/>
      <c r="AM1255" s="22"/>
      <c r="AN1255" s="22"/>
      <c r="AO1255" s="22"/>
      <c r="AP1255" s="22"/>
    </row>
    <row r="1256" hidden="1">
      <c r="A1256" s="69">
        <v>46143.0</v>
      </c>
      <c r="B1256" s="125">
        <v>0.5208333333333334</v>
      </c>
      <c r="C1256" s="126" t="s">
        <v>58</v>
      </c>
      <c r="D1256" s="102" t="s">
        <v>3083</v>
      </c>
      <c r="E1256" s="102" t="s">
        <v>34</v>
      </c>
      <c r="F1256" s="102" t="s">
        <v>3800</v>
      </c>
      <c r="G1256" s="126" t="s">
        <v>3949</v>
      </c>
      <c r="H1256" s="126" t="s">
        <v>3793</v>
      </c>
      <c r="I1256" s="102" t="s">
        <v>2956</v>
      </c>
      <c r="J1256" s="85">
        <v>3125.0</v>
      </c>
      <c r="K1256" s="85">
        <v>1784.0</v>
      </c>
      <c r="L1256" s="19">
        <v>0.5709</v>
      </c>
      <c r="M1256" s="127">
        <v>0.0</v>
      </c>
      <c r="N1256" s="128">
        <v>0.0</v>
      </c>
      <c r="O1256" s="20">
        <v>4.0</v>
      </c>
      <c r="P1256" s="21">
        <v>0.0</v>
      </c>
      <c r="Q1256" s="19">
        <v>0.0022</v>
      </c>
      <c r="R1256" s="129">
        <v>0.0</v>
      </c>
      <c r="S1256" s="20">
        <v>2.0</v>
      </c>
      <c r="T1256" s="20">
        <v>5.0</v>
      </c>
      <c r="U1256" s="131">
        <v>40147.0</v>
      </c>
      <c r="V1256" s="21" t="s">
        <v>183</v>
      </c>
      <c r="W1256" s="21" t="s">
        <v>3257</v>
      </c>
      <c r="X1256" s="21" t="s">
        <v>3795</v>
      </c>
      <c r="Y1256" s="21" t="s">
        <v>3911</v>
      </c>
      <c r="Z1256" s="20" t="s">
        <v>3950</v>
      </c>
      <c r="AA1256" s="14"/>
      <c r="AB1256" s="14"/>
      <c r="AC1256" s="18"/>
      <c r="AD1256" s="14"/>
      <c r="AE1256" s="14"/>
      <c r="AF1256" s="14"/>
      <c r="AG1256" s="22"/>
      <c r="AH1256" s="22"/>
      <c r="AI1256" s="22"/>
      <c r="AJ1256" s="22"/>
      <c r="AK1256" s="22"/>
      <c r="AL1256" s="22"/>
      <c r="AM1256" s="22"/>
      <c r="AN1256" s="22"/>
      <c r="AO1256" s="22"/>
      <c r="AP1256" s="22"/>
    </row>
    <row r="1257" hidden="1">
      <c r="A1257" s="69">
        <v>46143.0</v>
      </c>
      <c r="B1257" s="125">
        <v>0.5208333333333334</v>
      </c>
      <c r="C1257" s="126" t="s">
        <v>58</v>
      </c>
      <c r="D1257" s="102" t="s">
        <v>3083</v>
      </c>
      <c r="E1257" s="102" t="s">
        <v>34</v>
      </c>
      <c r="F1257" s="102" t="s">
        <v>3800</v>
      </c>
      <c r="G1257" s="126" t="s">
        <v>3951</v>
      </c>
      <c r="H1257" s="126" t="s">
        <v>3816</v>
      </c>
      <c r="I1257" s="102" t="s">
        <v>2956</v>
      </c>
      <c r="J1257" s="85">
        <v>63963.0</v>
      </c>
      <c r="K1257" s="85">
        <v>34279.0</v>
      </c>
      <c r="L1257" s="19">
        <v>0.5359</v>
      </c>
      <c r="M1257" s="127">
        <v>0.0</v>
      </c>
      <c r="N1257" s="128">
        <v>0.0</v>
      </c>
      <c r="O1257" s="20">
        <v>85.0</v>
      </c>
      <c r="P1257" s="21">
        <v>0.0</v>
      </c>
      <c r="Q1257" s="19">
        <v>0.0025</v>
      </c>
      <c r="R1257" s="129">
        <v>0.0</v>
      </c>
      <c r="S1257" s="20">
        <v>1.0</v>
      </c>
      <c r="T1257" s="20">
        <v>10.0</v>
      </c>
      <c r="U1257" s="131">
        <v>11699.1</v>
      </c>
      <c r="V1257" s="21" t="s">
        <v>183</v>
      </c>
      <c r="W1257" s="21" t="s">
        <v>3257</v>
      </c>
      <c r="X1257" s="21" t="s">
        <v>3847</v>
      </c>
      <c r="Y1257" s="21" t="s">
        <v>3911</v>
      </c>
      <c r="Z1257" s="20" t="s">
        <v>3952</v>
      </c>
      <c r="AA1257" s="14"/>
      <c r="AB1257" s="14"/>
      <c r="AC1257" s="18"/>
      <c r="AD1257" s="14"/>
      <c r="AE1257" s="14"/>
      <c r="AF1257" s="14"/>
      <c r="AG1257" s="22"/>
      <c r="AH1257" s="22"/>
      <c r="AI1257" s="22"/>
      <c r="AJ1257" s="22"/>
      <c r="AK1257" s="22"/>
      <c r="AL1257" s="22"/>
      <c r="AM1257" s="22"/>
      <c r="AN1257" s="22"/>
      <c r="AO1257" s="22"/>
      <c r="AP1257" s="22"/>
    </row>
    <row r="1258" hidden="1">
      <c r="A1258" s="69">
        <v>46143.0</v>
      </c>
      <c r="B1258" s="125">
        <v>0.4305555555555556</v>
      </c>
      <c r="C1258" s="126" t="s">
        <v>196</v>
      </c>
      <c r="D1258" s="102" t="s">
        <v>3083</v>
      </c>
      <c r="E1258" s="102" t="s">
        <v>34</v>
      </c>
      <c r="F1258" s="102" t="s">
        <v>3760</v>
      </c>
      <c r="G1258" s="126" t="s">
        <v>3953</v>
      </c>
      <c r="H1258" s="126" t="s">
        <v>3781</v>
      </c>
      <c r="I1258" s="102" t="s">
        <v>61</v>
      </c>
      <c r="J1258" s="85">
        <v>3664.0</v>
      </c>
      <c r="K1258" s="85">
        <v>548.0</v>
      </c>
      <c r="L1258" s="17">
        <v>0.149563318777293</v>
      </c>
      <c r="M1258" s="127">
        <v>93.0</v>
      </c>
      <c r="N1258" s="136">
        <v>0.1697</v>
      </c>
      <c r="O1258" s="20">
        <v>7.0</v>
      </c>
      <c r="P1258" s="21">
        <v>0.0</v>
      </c>
      <c r="Q1258" s="137">
        <v>0.0182</v>
      </c>
      <c r="R1258" s="129">
        <v>0.0</v>
      </c>
      <c r="S1258" s="20">
        <v>2.0</v>
      </c>
      <c r="T1258" s="20">
        <v>0.0</v>
      </c>
      <c r="U1258" s="131">
        <v>37496.0</v>
      </c>
      <c r="V1258" s="21" t="s">
        <v>183</v>
      </c>
      <c r="W1258" s="21" t="s">
        <v>3739</v>
      </c>
      <c r="X1258" s="21" t="s">
        <v>52</v>
      </c>
      <c r="Y1258" s="21" t="s">
        <v>3911</v>
      </c>
      <c r="Z1258" s="20" t="s">
        <v>3954</v>
      </c>
      <c r="AA1258" s="14"/>
      <c r="AB1258" s="14"/>
      <c r="AC1258" s="18"/>
      <c r="AD1258" s="14"/>
      <c r="AE1258" s="14"/>
      <c r="AF1258" s="14"/>
      <c r="AG1258" s="22"/>
      <c r="AH1258" s="22"/>
      <c r="AI1258" s="22"/>
      <c r="AJ1258" s="22"/>
      <c r="AK1258" s="22"/>
      <c r="AL1258" s="22"/>
      <c r="AM1258" s="22"/>
      <c r="AN1258" s="22"/>
      <c r="AO1258" s="22"/>
      <c r="AP1258" s="22"/>
    </row>
    <row r="1259" hidden="1">
      <c r="A1259" s="69">
        <v>46143.0</v>
      </c>
      <c r="B1259" s="125">
        <v>0.4340277777777778</v>
      </c>
      <c r="C1259" s="126" t="s">
        <v>196</v>
      </c>
      <c r="D1259" s="102" t="s">
        <v>3083</v>
      </c>
      <c r="E1259" s="102" t="s">
        <v>34</v>
      </c>
      <c r="F1259" s="102" t="s">
        <v>3760</v>
      </c>
      <c r="G1259" s="126" t="s">
        <v>3955</v>
      </c>
      <c r="H1259" s="126" t="s">
        <v>3785</v>
      </c>
      <c r="I1259" s="102" t="s">
        <v>61</v>
      </c>
      <c r="J1259" s="85">
        <v>12590.0</v>
      </c>
      <c r="K1259" s="85">
        <v>2068.0</v>
      </c>
      <c r="L1259" s="17">
        <v>0.164257347100874</v>
      </c>
      <c r="M1259" s="127">
        <v>372.0</v>
      </c>
      <c r="N1259" s="136">
        <v>0.1799</v>
      </c>
      <c r="O1259" s="20">
        <v>16.0</v>
      </c>
      <c r="P1259" s="21">
        <v>0.0</v>
      </c>
      <c r="Q1259" s="137">
        <v>0.0082</v>
      </c>
      <c r="R1259" s="129">
        <v>0.0</v>
      </c>
      <c r="S1259" s="20">
        <v>2.0</v>
      </c>
      <c r="T1259" s="20">
        <v>0.0</v>
      </c>
      <c r="U1259" s="131">
        <v>120993.0</v>
      </c>
      <c r="V1259" s="21" t="s">
        <v>183</v>
      </c>
      <c r="W1259" s="21" t="s">
        <v>3739</v>
      </c>
      <c r="X1259" s="21" t="s">
        <v>82</v>
      </c>
      <c r="Y1259" s="21" t="s">
        <v>3911</v>
      </c>
      <c r="Z1259" s="20" t="s">
        <v>3956</v>
      </c>
      <c r="AA1259" s="14"/>
      <c r="AB1259" s="14"/>
      <c r="AC1259" s="18"/>
      <c r="AD1259" s="14"/>
      <c r="AE1259" s="14"/>
      <c r="AF1259" s="14"/>
      <c r="AG1259" s="22"/>
      <c r="AH1259" s="22"/>
      <c r="AI1259" s="22"/>
      <c r="AJ1259" s="22"/>
      <c r="AK1259" s="22"/>
      <c r="AL1259" s="22"/>
      <c r="AM1259" s="22"/>
      <c r="AN1259" s="22"/>
      <c r="AO1259" s="22"/>
      <c r="AP1259" s="22"/>
    </row>
    <row r="1260" hidden="1">
      <c r="A1260" s="69">
        <v>46143.0</v>
      </c>
      <c r="B1260" s="125">
        <v>0.4409722222222222</v>
      </c>
      <c r="C1260" s="126" t="s">
        <v>196</v>
      </c>
      <c r="D1260" s="102" t="s">
        <v>3083</v>
      </c>
      <c r="E1260" s="102" t="s">
        <v>34</v>
      </c>
      <c r="F1260" s="102" t="s">
        <v>3760</v>
      </c>
      <c r="G1260" s="126" t="s">
        <v>3957</v>
      </c>
      <c r="H1260" s="126" t="s">
        <v>3793</v>
      </c>
      <c r="I1260" s="102" t="s">
        <v>61</v>
      </c>
      <c r="J1260" s="85">
        <v>10523.0</v>
      </c>
      <c r="K1260" s="85">
        <v>1809.0</v>
      </c>
      <c r="L1260" s="17">
        <v>0.171909151382686</v>
      </c>
      <c r="M1260" s="127">
        <v>275.0</v>
      </c>
      <c r="N1260" s="136">
        <v>0.152</v>
      </c>
      <c r="O1260" s="20">
        <v>11.0</v>
      </c>
      <c r="P1260" s="21">
        <v>0.0</v>
      </c>
      <c r="Q1260" s="137">
        <v>0.0066</v>
      </c>
      <c r="R1260" s="129">
        <v>0.0</v>
      </c>
      <c r="S1260" s="20">
        <v>2.0</v>
      </c>
      <c r="T1260" s="20">
        <v>1.0</v>
      </c>
      <c r="U1260" s="131">
        <v>127990.0</v>
      </c>
      <c r="V1260" s="21" t="s">
        <v>183</v>
      </c>
      <c r="W1260" s="21" t="s">
        <v>3739</v>
      </c>
      <c r="X1260" s="21" t="s">
        <v>3795</v>
      </c>
      <c r="Y1260" s="21" t="s">
        <v>3911</v>
      </c>
      <c r="Z1260" s="20" t="s">
        <v>3958</v>
      </c>
      <c r="AA1260" s="14"/>
      <c r="AB1260" s="14"/>
      <c r="AC1260" s="18"/>
      <c r="AD1260" s="14"/>
      <c r="AE1260" s="14"/>
      <c r="AF1260" s="14"/>
      <c r="AG1260" s="22"/>
      <c r="AH1260" s="22"/>
      <c r="AI1260" s="22"/>
      <c r="AJ1260" s="22"/>
      <c r="AK1260" s="22"/>
      <c r="AL1260" s="22"/>
      <c r="AM1260" s="22"/>
      <c r="AN1260" s="22"/>
      <c r="AO1260" s="22"/>
      <c r="AP1260" s="22"/>
    </row>
    <row r="1261" hidden="1">
      <c r="A1261" s="69">
        <v>46143.0</v>
      </c>
      <c r="B1261" s="125">
        <v>0.4444444444444444</v>
      </c>
      <c r="C1261" s="126" t="s">
        <v>196</v>
      </c>
      <c r="D1261" s="102" t="s">
        <v>3083</v>
      </c>
      <c r="E1261" s="102" t="s">
        <v>34</v>
      </c>
      <c r="F1261" s="102" t="s">
        <v>3760</v>
      </c>
      <c r="G1261" s="126" t="s">
        <v>3959</v>
      </c>
      <c r="H1261" s="126" t="s">
        <v>3816</v>
      </c>
      <c r="I1261" s="102" t="s">
        <v>61</v>
      </c>
      <c r="J1261" s="85">
        <v>76830.0</v>
      </c>
      <c r="K1261" s="85">
        <v>12716.0</v>
      </c>
      <c r="L1261" s="17">
        <v>0.165508265000651</v>
      </c>
      <c r="M1261" s="127">
        <v>2065.0</v>
      </c>
      <c r="N1261" s="136">
        <v>0.1625</v>
      </c>
      <c r="O1261" s="20">
        <v>51.0</v>
      </c>
      <c r="P1261" s="21">
        <v>0.0</v>
      </c>
      <c r="Q1261" s="137">
        <v>0.0047</v>
      </c>
      <c r="R1261" s="129">
        <v>0.0</v>
      </c>
      <c r="S1261" s="20">
        <v>6.0</v>
      </c>
      <c r="T1261" s="20">
        <v>1.0</v>
      </c>
      <c r="U1261" s="131">
        <v>165984.0</v>
      </c>
      <c r="V1261" s="21" t="s">
        <v>183</v>
      </c>
      <c r="W1261" s="21" t="s">
        <v>3739</v>
      </c>
      <c r="X1261" s="21" t="s">
        <v>3847</v>
      </c>
      <c r="Y1261" s="21" t="s">
        <v>3911</v>
      </c>
      <c r="Z1261" s="20" t="s">
        <v>3960</v>
      </c>
      <c r="AA1261" s="14"/>
      <c r="AB1261" s="14"/>
      <c r="AC1261" s="18"/>
      <c r="AD1261" s="14"/>
      <c r="AE1261" s="14"/>
      <c r="AF1261" s="14"/>
      <c r="AG1261" s="22"/>
      <c r="AH1261" s="22"/>
      <c r="AI1261" s="22"/>
      <c r="AJ1261" s="22"/>
      <c r="AK1261" s="22"/>
      <c r="AL1261" s="22"/>
      <c r="AM1261" s="22"/>
      <c r="AN1261" s="22"/>
      <c r="AO1261" s="22"/>
      <c r="AP1261" s="22"/>
    </row>
    <row r="1262" hidden="1">
      <c r="A1262" s="69">
        <v>46143.0</v>
      </c>
      <c r="B1262" s="125">
        <v>0.4166666666666667</v>
      </c>
      <c r="C1262" s="126" t="s">
        <v>196</v>
      </c>
      <c r="D1262" s="102" t="s">
        <v>3083</v>
      </c>
      <c r="E1262" s="102" t="s">
        <v>34</v>
      </c>
      <c r="F1262" s="102" t="s">
        <v>3760</v>
      </c>
      <c r="G1262" s="126" t="s">
        <v>3961</v>
      </c>
      <c r="H1262" s="126" t="s">
        <v>3762</v>
      </c>
      <c r="I1262" s="102" t="s">
        <v>61</v>
      </c>
      <c r="J1262" s="85">
        <v>780.0</v>
      </c>
      <c r="K1262" s="85">
        <v>167.0</v>
      </c>
      <c r="L1262" s="17">
        <v>0.214102564102564</v>
      </c>
      <c r="M1262" s="127">
        <v>35.0</v>
      </c>
      <c r="N1262" s="136">
        <v>0.2096</v>
      </c>
      <c r="O1262" s="20">
        <v>1.0</v>
      </c>
      <c r="P1262" s="21">
        <v>0.0</v>
      </c>
      <c r="Q1262" s="137">
        <v>0.006</v>
      </c>
      <c r="R1262" s="129">
        <v>0.0</v>
      </c>
      <c r="S1262" s="20">
        <v>4.0</v>
      </c>
      <c r="T1262" s="20">
        <v>21.0</v>
      </c>
      <c r="U1262" s="131">
        <v>63995.0</v>
      </c>
      <c r="V1262" s="21" t="s">
        <v>335</v>
      </c>
      <c r="W1262" s="21" t="s">
        <v>3739</v>
      </c>
      <c r="X1262" s="21" t="s">
        <v>2131</v>
      </c>
      <c r="Y1262" s="21" t="s">
        <v>3911</v>
      </c>
      <c r="Z1262" s="20" t="s">
        <v>3962</v>
      </c>
      <c r="AA1262" s="14"/>
      <c r="AB1262" s="14"/>
      <c r="AC1262" s="52"/>
      <c r="AD1262" s="14"/>
      <c r="AE1262" s="14"/>
      <c r="AF1262" s="52"/>
      <c r="AG1262" s="22"/>
      <c r="AH1262" s="22"/>
      <c r="AI1262" s="22"/>
      <c r="AJ1262" s="22"/>
      <c r="AK1262" s="22"/>
      <c r="AL1262" s="22"/>
      <c r="AM1262" s="22"/>
      <c r="AN1262" s="22"/>
      <c r="AO1262" s="22"/>
      <c r="AP1262" s="22"/>
    </row>
    <row r="1263" hidden="1">
      <c r="A1263" s="69">
        <v>46143.0</v>
      </c>
      <c r="B1263" s="125">
        <v>0.4201388888888889</v>
      </c>
      <c r="C1263" s="126" t="s">
        <v>196</v>
      </c>
      <c r="D1263" s="102" t="s">
        <v>3083</v>
      </c>
      <c r="E1263" s="102" t="s">
        <v>34</v>
      </c>
      <c r="F1263" s="102" t="s">
        <v>3760</v>
      </c>
      <c r="G1263" s="126" t="s">
        <v>3963</v>
      </c>
      <c r="H1263" s="126" t="s">
        <v>3767</v>
      </c>
      <c r="I1263" s="102" t="s">
        <v>61</v>
      </c>
      <c r="J1263" s="85">
        <v>795.0</v>
      </c>
      <c r="K1263" s="85">
        <v>195.0</v>
      </c>
      <c r="L1263" s="17">
        <v>0.245283018867925</v>
      </c>
      <c r="M1263" s="127">
        <v>33.0</v>
      </c>
      <c r="N1263" s="136">
        <v>0.1692</v>
      </c>
      <c r="O1263" s="20">
        <v>6.0</v>
      </c>
      <c r="P1263" s="21">
        <v>0.0</v>
      </c>
      <c r="Q1263" s="137">
        <v>0.0359</v>
      </c>
      <c r="R1263" s="129">
        <v>0.0</v>
      </c>
      <c r="S1263" s="20">
        <v>1.0</v>
      </c>
      <c r="T1263" s="20">
        <v>9.0</v>
      </c>
      <c r="U1263" s="131">
        <v>35998.0</v>
      </c>
      <c r="V1263" s="21" t="s">
        <v>335</v>
      </c>
      <c r="W1263" s="21" t="s">
        <v>3739</v>
      </c>
      <c r="X1263" s="21" t="s">
        <v>2282</v>
      </c>
      <c r="Y1263" s="21" t="s">
        <v>3911</v>
      </c>
      <c r="Z1263" s="20" t="s">
        <v>3964</v>
      </c>
      <c r="AA1263" s="14"/>
      <c r="AB1263" s="14"/>
      <c r="AC1263" s="52"/>
      <c r="AD1263" s="14"/>
      <c r="AE1263" s="14"/>
      <c r="AF1263" s="52"/>
      <c r="AG1263" s="22"/>
      <c r="AH1263" s="22"/>
      <c r="AI1263" s="22"/>
      <c r="AJ1263" s="22"/>
      <c r="AK1263" s="22"/>
      <c r="AL1263" s="22"/>
      <c r="AM1263" s="22"/>
      <c r="AN1263" s="22"/>
      <c r="AO1263" s="22"/>
      <c r="AP1263" s="22"/>
    </row>
    <row r="1264" hidden="1">
      <c r="A1264" s="69">
        <v>46143.0</v>
      </c>
      <c r="B1264" s="125">
        <v>0.4236111111111111</v>
      </c>
      <c r="C1264" s="126" t="s">
        <v>196</v>
      </c>
      <c r="D1264" s="102" t="s">
        <v>3083</v>
      </c>
      <c r="E1264" s="102" t="s">
        <v>34</v>
      </c>
      <c r="F1264" s="102" t="s">
        <v>3760</v>
      </c>
      <c r="G1264" s="126" t="s">
        <v>3965</v>
      </c>
      <c r="H1264" s="126" t="s">
        <v>3771</v>
      </c>
      <c r="I1264" s="102" t="s">
        <v>61</v>
      </c>
      <c r="J1264" s="85">
        <v>689.0</v>
      </c>
      <c r="K1264" s="85">
        <v>118.0</v>
      </c>
      <c r="L1264" s="17">
        <v>0.171262699564586</v>
      </c>
      <c r="M1264" s="127">
        <v>22.0</v>
      </c>
      <c r="N1264" s="136">
        <v>0.1864</v>
      </c>
      <c r="O1264" s="20">
        <v>0.0</v>
      </c>
      <c r="P1264" s="21">
        <v>0.0</v>
      </c>
      <c r="Q1264" s="139">
        <v>0.0</v>
      </c>
      <c r="R1264" s="129">
        <v>0.0</v>
      </c>
      <c r="S1264" s="20">
        <v>0.0</v>
      </c>
      <c r="T1264" s="20">
        <v>5.0</v>
      </c>
      <c r="U1264" s="131">
        <v>0.0</v>
      </c>
      <c r="V1264" s="21" t="s">
        <v>335</v>
      </c>
      <c r="W1264" s="21" t="s">
        <v>3739</v>
      </c>
      <c r="X1264" s="21" t="s">
        <v>3773</v>
      </c>
      <c r="Y1264" s="21" t="s">
        <v>3911</v>
      </c>
      <c r="Z1264" s="20" t="s">
        <v>3966</v>
      </c>
      <c r="AA1264" s="14"/>
      <c r="AB1264" s="14"/>
      <c r="AC1264" s="52"/>
      <c r="AD1264" s="14"/>
      <c r="AE1264" s="14"/>
      <c r="AF1264" s="52"/>
      <c r="AG1264" s="22"/>
      <c r="AH1264" s="22"/>
      <c r="AI1264" s="22"/>
      <c r="AJ1264" s="22"/>
      <c r="AK1264" s="22"/>
      <c r="AL1264" s="22"/>
      <c r="AM1264" s="22"/>
      <c r="AN1264" s="22"/>
      <c r="AO1264" s="22"/>
      <c r="AP1264" s="22"/>
    </row>
    <row r="1265" hidden="1">
      <c r="A1265" s="69">
        <v>46143.0</v>
      </c>
      <c r="B1265" s="125">
        <v>0.4270833333333333</v>
      </c>
      <c r="C1265" s="126" t="s">
        <v>196</v>
      </c>
      <c r="D1265" s="102" t="s">
        <v>3083</v>
      </c>
      <c r="E1265" s="102" t="s">
        <v>34</v>
      </c>
      <c r="F1265" s="102" t="s">
        <v>3760</v>
      </c>
      <c r="G1265" s="126" t="s">
        <v>3967</v>
      </c>
      <c r="H1265" s="126" t="s">
        <v>3776</v>
      </c>
      <c r="I1265" s="102" t="s">
        <v>61</v>
      </c>
      <c r="J1265" s="85">
        <v>10416.0</v>
      </c>
      <c r="K1265" s="85">
        <v>1832.0</v>
      </c>
      <c r="L1265" s="17">
        <v>0.175883256528418</v>
      </c>
      <c r="M1265" s="127">
        <v>266.0</v>
      </c>
      <c r="N1265" s="136">
        <v>0.1452</v>
      </c>
      <c r="O1265" s="20">
        <v>35.0</v>
      </c>
      <c r="P1265" s="21">
        <v>0.0</v>
      </c>
      <c r="Q1265" s="137">
        <v>0.0207</v>
      </c>
      <c r="R1265" s="129">
        <v>0.0</v>
      </c>
      <c r="S1265" s="20">
        <v>0.0</v>
      </c>
      <c r="T1265" s="20">
        <v>25.0</v>
      </c>
      <c r="U1265" s="131">
        <v>0.0</v>
      </c>
      <c r="V1265" s="21" t="s">
        <v>335</v>
      </c>
      <c r="W1265" s="21" t="s">
        <v>3739</v>
      </c>
      <c r="X1265" s="21" t="s">
        <v>3778</v>
      </c>
      <c r="Y1265" s="21" t="s">
        <v>3911</v>
      </c>
      <c r="Z1265" s="20" t="s">
        <v>3968</v>
      </c>
      <c r="AA1265" s="14"/>
      <c r="AB1265" s="14"/>
      <c r="AC1265" s="52"/>
      <c r="AD1265" s="14"/>
      <c r="AE1265" s="14"/>
      <c r="AF1265" s="52"/>
      <c r="AG1265" s="22"/>
      <c r="AH1265" s="22"/>
      <c r="AI1265" s="22"/>
      <c r="AJ1265" s="22"/>
      <c r="AK1265" s="22"/>
      <c r="AL1265" s="22"/>
      <c r="AM1265" s="22"/>
      <c r="AN1265" s="22"/>
      <c r="AO1265" s="22"/>
      <c r="AP1265" s="22"/>
    </row>
    <row r="1266" hidden="1">
      <c r="A1266" s="69">
        <v>46143.0</v>
      </c>
      <c r="B1266" s="125">
        <v>0.4375</v>
      </c>
      <c r="C1266" s="126" t="s">
        <v>196</v>
      </c>
      <c r="D1266" s="102" t="s">
        <v>3083</v>
      </c>
      <c r="E1266" s="102" t="s">
        <v>34</v>
      </c>
      <c r="F1266" s="102" t="s">
        <v>3760</v>
      </c>
      <c r="G1266" s="126" t="s">
        <v>3969</v>
      </c>
      <c r="H1266" s="126" t="s">
        <v>3789</v>
      </c>
      <c r="I1266" s="102" t="s">
        <v>61</v>
      </c>
      <c r="J1266" s="85">
        <v>7145.0</v>
      </c>
      <c r="K1266" s="85">
        <v>1261.0</v>
      </c>
      <c r="L1266" s="17">
        <v>0.176487053883835</v>
      </c>
      <c r="M1266" s="127">
        <v>210.0</v>
      </c>
      <c r="N1266" s="136">
        <v>0.1665</v>
      </c>
      <c r="O1266" s="20">
        <v>16.0</v>
      </c>
      <c r="P1266" s="21">
        <v>0.0</v>
      </c>
      <c r="Q1266" s="137">
        <v>0.0159</v>
      </c>
      <c r="R1266" s="129">
        <v>0.0</v>
      </c>
      <c r="S1266" s="20">
        <v>3.0</v>
      </c>
      <c r="T1266" s="20">
        <v>1.0</v>
      </c>
      <c r="U1266" s="131">
        <v>258985.0</v>
      </c>
      <c r="V1266" s="21" t="s">
        <v>183</v>
      </c>
      <c r="W1266" s="21" t="s">
        <v>3739</v>
      </c>
      <c r="X1266" s="21" t="s">
        <v>47</v>
      </c>
      <c r="Y1266" s="21" t="s">
        <v>3911</v>
      </c>
      <c r="Z1266" s="20" t="s">
        <v>3970</v>
      </c>
      <c r="AA1266" s="14"/>
      <c r="AB1266" s="14"/>
      <c r="AC1266" s="18"/>
      <c r="AD1266" s="14"/>
      <c r="AE1266" s="14"/>
      <c r="AF1266" s="14"/>
      <c r="AG1266" s="22"/>
      <c r="AH1266" s="22"/>
      <c r="AI1266" s="22"/>
      <c r="AJ1266" s="22"/>
      <c r="AK1266" s="22"/>
      <c r="AL1266" s="22"/>
      <c r="AM1266" s="22"/>
      <c r="AN1266" s="22"/>
      <c r="AO1266" s="22"/>
      <c r="AP1266" s="22"/>
    </row>
    <row r="1267" hidden="1">
      <c r="A1267" s="69">
        <v>46143.39583333333</v>
      </c>
      <c r="B1267" s="125">
        <v>46143.39583333333</v>
      </c>
      <c r="C1267" s="126" t="s">
        <v>196</v>
      </c>
      <c r="D1267" s="102" t="s">
        <v>3083</v>
      </c>
      <c r="E1267" s="102" t="s">
        <v>2212</v>
      </c>
      <c r="F1267" s="102" t="s">
        <v>3760</v>
      </c>
      <c r="G1267" s="126" t="s">
        <v>3971</v>
      </c>
      <c r="H1267" s="126" t="s">
        <v>3876</v>
      </c>
      <c r="I1267" s="102" t="s">
        <v>61</v>
      </c>
      <c r="J1267" s="85">
        <v>127058.0</v>
      </c>
      <c r="K1267" s="85">
        <v>23039.0</v>
      </c>
      <c r="L1267" s="17">
        <v>0.181326638228211</v>
      </c>
      <c r="M1267" s="127">
        <v>3030.0</v>
      </c>
      <c r="N1267" s="136">
        <v>0.1315</v>
      </c>
      <c r="O1267" s="20">
        <v>85.0</v>
      </c>
      <c r="P1267" s="21">
        <v>0.0</v>
      </c>
      <c r="Q1267" s="137">
        <v>0.0039</v>
      </c>
      <c r="R1267" s="129">
        <v>0.0</v>
      </c>
      <c r="S1267" s="20">
        <v>0.0</v>
      </c>
      <c r="T1267" s="20">
        <v>0.0</v>
      </c>
      <c r="U1267" s="20">
        <v>0.0</v>
      </c>
      <c r="V1267" s="21" t="s">
        <v>183</v>
      </c>
      <c r="W1267" s="21" t="s">
        <v>3739</v>
      </c>
      <c r="X1267" s="21" t="s">
        <v>3877</v>
      </c>
      <c r="Y1267" s="21" t="s">
        <v>3878</v>
      </c>
      <c r="Z1267" s="20" t="s">
        <v>3972</v>
      </c>
      <c r="AA1267" s="111"/>
      <c r="AB1267" s="18"/>
      <c r="AC1267" s="18"/>
      <c r="AD1267" s="14"/>
      <c r="AE1267" s="14"/>
      <c r="AF1267" s="14"/>
      <c r="AG1267" s="22"/>
      <c r="AH1267" s="22"/>
      <c r="AI1267" s="22"/>
      <c r="AJ1267" s="22"/>
      <c r="AK1267" s="22"/>
      <c r="AL1267" s="22"/>
      <c r="AM1267" s="22"/>
      <c r="AN1267" s="22"/>
      <c r="AO1267" s="22"/>
      <c r="AP1267" s="22"/>
    </row>
    <row r="1268" hidden="1">
      <c r="A1268" s="69">
        <v>46143.39583333333</v>
      </c>
      <c r="B1268" s="125">
        <v>46143.39583333333</v>
      </c>
      <c r="C1268" s="126" t="s">
        <v>196</v>
      </c>
      <c r="D1268" s="102" t="s">
        <v>3083</v>
      </c>
      <c r="E1268" s="102" t="s">
        <v>2212</v>
      </c>
      <c r="F1268" s="102" t="s">
        <v>3760</v>
      </c>
      <c r="G1268" s="126" t="s">
        <v>3973</v>
      </c>
      <c r="H1268" s="126" t="s">
        <v>3881</v>
      </c>
      <c r="I1268" s="102" t="s">
        <v>61</v>
      </c>
      <c r="J1268" s="85">
        <v>69180.0</v>
      </c>
      <c r="K1268" s="85">
        <v>13969.0</v>
      </c>
      <c r="L1268" s="17">
        <v>0.201922520959815</v>
      </c>
      <c r="M1268" s="127">
        <v>2170.0</v>
      </c>
      <c r="N1268" s="136">
        <v>0.1553</v>
      </c>
      <c r="O1268" s="20">
        <v>50.0</v>
      </c>
      <c r="P1268" s="21">
        <v>0.0</v>
      </c>
      <c r="Q1268" s="137">
        <v>0.0039</v>
      </c>
      <c r="R1268" s="129">
        <v>0.0</v>
      </c>
      <c r="S1268" s="20">
        <v>0.0</v>
      </c>
      <c r="T1268" s="20">
        <v>0.0</v>
      </c>
      <c r="U1268" s="20">
        <v>0.0</v>
      </c>
      <c r="V1268" s="21" t="s">
        <v>183</v>
      </c>
      <c r="W1268" s="21" t="s">
        <v>3739</v>
      </c>
      <c r="X1268" s="21" t="s">
        <v>3883</v>
      </c>
      <c r="Y1268" s="21" t="s">
        <v>3878</v>
      </c>
      <c r="Z1268" s="20" t="s">
        <v>3974</v>
      </c>
      <c r="AA1268" s="111"/>
      <c r="AB1268" s="18"/>
      <c r="AC1268" s="18"/>
      <c r="AD1268" s="14"/>
      <c r="AE1268" s="14"/>
      <c r="AF1268" s="14"/>
      <c r="AG1268" s="22"/>
      <c r="AH1268" s="22"/>
      <c r="AI1268" s="22"/>
      <c r="AJ1268" s="22"/>
      <c r="AK1268" s="22"/>
      <c r="AL1268" s="22"/>
      <c r="AM1268" s="22"/>
      <c r="AN1268" s="22"/>
      <c r="AO1268" s="22"/>
      <c r="AP1268" s="22"/>
    </row>
    <row r="1269" hidden="1">
      <c r="A1269" s="69">
        <v>46143.39583333333</v>
      </c>
      <c r="B1269" s="125">
        <v>46143.39583333333</v>
      </c>
      <c r="C1269" s="126" t="s">
        <v>196</v>
      </c>
      <c r="D1269" s="102" t="s">
        <v>3083</v>
      </c>
      <c r="E1269" s="102" t="s">
        <v>2212</v>
      </c>
      <c r="F1269" s="102" t="s">
        <v>3760</v>
      </c>
      <c r="G1269" s="126" t="s">
        <v>3975</v>
      </c>
      <c r="H1269" s="126" t="s">
        <v>3886</v>
      </c>
      <c r="I1269" s="102" t="s">
        <v>61</v>
      </c>
      <c r="J1269" s="85">
        <v>254797.0</v>
      </c>
      <c r="K1269" s="85">
        <v>58394.0</v>
      </c>
      <c r="L1269" s="17">
        <v>0.229178522510077</v>
      </c>
      <c r="M1269" s="127">
        <v>9634.0</v>
      </c>
      <c r="N1269" s="136">
        <v>0.165</v>
      </c>
      <c r="O1269" s="20">
        <v>201.0</v>
      </c>
      <c r="P1269" s="21">
        <v>0.0</v>
      </c>
      <c r="Q1269" s="137">
        <v>0.0038</v>
      </c>
      <c r="R1269" s="129">
        <v>0.0</v>
      </c>
      <c r="S1269" s="20">
        <v>0.0</v>
      </c>
      <c r="T1269" s="20">
        <v>0.0</v>
      </c>
      <c r="U1269" s="20">
        <v>0.0</v>
      </c>
      <c r="V1269" s="21" t="s">
        <v>183</v>
      </c>
      <c r="W1269" s="21" t="s">
        <v>3739</v>
      </c>
      <c r="X1269" s="21" t="s">
        <v>3887</v>
      </c>
      <c r="Y1269" s="21" t="s">
        <v>3878</v>
      </c>
      <c r="Z1269" s="20" t="s">
        <v>3976</v>
      </c>
      <c r="AA1269" s="111"/>
      <c r="AB1269" s="18"/>
      <c r="AC1269" s="18"/>
      <c r="AD1269" s="14"/>
      <c r="AE1269" s="14"/>
      <c r="AF1269" s="14"/>
      <c r="AG1269" s="22"/>
      <c r="AH1269" s="22"/>
      <c r="AI1269" s="22"/>
      <c r="AJ1269" s="22"/>
      <c r="AK1269" s="22"/>
      <c r="AL1269" s="22"/>
      <c r="AM1269" s="22"/>
      <c r="AN1269" s="22"/>
      <c r="AO1269" s="22"/>
      <c r="AP1269" s="22"/>
    </row>
    <row r="1270" hidden="1">
      <c r="A1270" s="69">
        <v>46143.39583333333</v>
      </c>
      <c r="B1270" s="125">
        <v>46143.39583333333</v>
      </c>
      <c r="C1270" s="126" t="s">
        <v>196</v>
      </c>
      <c r="D1270" s="102" t="s">
        <v>3083</v>
      </c>
      <c r="E1270" s="102" t="s">
        <v>2212</v>
      </c>
      <c r="F1270" s="102" t="s">
        <v>3760</v>
      </c>
      <c r="G1270" s="126" t="s">
        <v>3977</v>
      </c>
      <c r="H1270" s="126" t="s">
        <v>3890</v>
      </c>
      <c r="I1270" s="102" t="s">
        <v>61</v>
      </c>
      <c r="J1270" s="85">
        <v>324573.0</v>
      </c>
      <c r="K1270" s="85">
        <v>81294.0</v>
      </c>
      <c r="L1270" s="17">
        <v>0.250464456378072</v>
      </c>
      <c r="M1270" s="127">
        <v>12978.0</v>
      </c>
      <c r="N1270" s="136">
        <v>0.1597</v>
      </c>
      <c r="O1270" s="20">
        <v>304.0</v>
      </c>
      <c r="P1270" s="21">
        <v>0.0</v>
      </c>
      <c r="Q1270" s="137">
        <v>0.0041</v>
      </c>
      <c r="R1270" s="129">
        <v>0.0</v>
      </c>
      <c r="S1270" s="20">
        <v>0.0</v>
      </c>
      <c r="T1270" s="20">
        <v>0.0</v>
      </c>
      <c r="U1270" s="20">
        <v>0.0</v>
      </c>
      <c r="V1270" s="21" t="s">
        <v>183</v>
      </c>
      <c r="W1270" s="21" t="s">
        <v>3739</v>
      </c>
      <c r="X1270" s="21" t="s">
        <v>3891</v>
      </c>
      <c r="Y1270" s="21" t="s">
        <v>3878</v>
      </c>
      <c r="Z1270" s="20" t="s">
        <v>3978</v>
      </c>
      <c r="AA1270" s="111"/>
      <c r="AB1270" s="18"/>
      <c r="AC1270" s="18"/>
      <c r="AD1270" s="14"/>
      <c r="AE1270" s="14"/>
      <c r="AF1270" s="14"/>
      <c r="AG1270" s="22"/>
      <c r="AH1270" s="22"/>
      <c r="AI1270" s="22"/>
      <c r="AJ1270" s="22"/>
      <c r="AK1270" s="22"/>
      <c r="AL1270" s="22"/>
      <c r="AM1270" s="22"/>
      <c r="AN1270" s="22"/>
      <c r="AO1270" s="22"/>
      <c r="AP1270" s="22"/>
    </row>
    <row r="1271" hidden="1">
      <c r="A1271" s="69">
        <v>46143.39583333333</v>
      </c>
      <c r="B1271" s="125">
        <v>46143.39583333333</v>
      </c>
      <c r="C1271" s="126" t="s">
        <v>196</v>
      </c>
      <c r="D1271" s="102" t="s">
        <v>3083</v>
      </c>
      <c r="E1271" s="102" t="s">
        <v>2212</v>
      </c>
      <c r="F1271" s="102" t="s">
        <v>3760</v>
      </c>
      <c r="G1271" s="126" t="s">
        <v>3979</v>
      </c>
      <c r="H1271" s="126" t="s">
        <v>3898</v>
      </c>
      <c r="I1271" s="102" t="s">
        <v>61</v>
      </c>
      <c r="J1271" s="85">
        <v>102037.0</v>
      </c>
      <c r="K1271" s="85">
        <v>25986.0</v>
      </c>
      <c r="L1271" s="17">
        <v>0.254672324744945</v>
      </c>
      <c r="M1271" s="127">
        <v>4176.0</v>
      </c>
      <c r="N1271" s="136">
        <v>0.1608</v>
      </c>
      <c r="O1271" s="20">
        <v>119.0</v>
      </c>
      <c r="P1271" s="21">
        <v>0.0</v>
      </c>
      <c r="Q1271" s="137">
        <v>0.005</v>
      </c>
      <c r="R1271" s="129">
        <v>0.0</v>
      </c>
      <c r="S1271" s="20">
        <v>0.0</v>
      </c>
      <c r="T1271" s="20">
        <v>0.0</v>
      </c>
      <c r="U1271" s="20">
        <v>0.0</v>
      </c>
      <c r="V1271" s="21" t="s">
        <v>183</v>
      </c>
      <c r="W1271" s="21" t="s">
        <v>3739</v>
      </c>
      <c r="X1271" s="21" t="s">
        <v>3899</v>
      </c>
      <c r="Y1271" s="21" t="s">
        <v>3878</v>
      </c>
      <c r="Z1271" s="20" t="s">
        <v>3980</v>
      </c>
      <c r="AA1271" s="111"/>
      <c r="AB1271" s="18"/>
      <c r="AC1271" s="18"/>
      <c r="AD1271" s="14"/>
      <c r="AE1271" s="14"/>
      <c r="AF1271" s="14"/>
      <c r="AG1271" s="22"/>
      <c r="AH1271" s="22"/>
      <c r="AI1271" s="22"/>
      <c r="AJ1271" s="22"/>
      <c r="AK1271" s="22"/>
      <c r="AL1271" s="22"/>
      <c r="AM1271" s="22"/>
      <c r="AN1271" s="22"/>
      <c r="AO1271" s="22"/>
      <c r="AP1271" s="22"/>
    </row>
    <row r="1272" hidden="1">
      <c r="A1272" s="69">
        <v>46143.39583333333</v>
      </c>
      <c r="B1272" s="125">
        <v>46143.39583333333</v>
      </c>
      <c r="C1272" s="126" t="s">
        <v>196</v>
      </c>
      <c r="D1272" s="102" t="s">
        <v>3083</v>
      </c>
      <c r="E1272" s="102" t="s">
        <v>2212</v>
      </c>
      <c r="F1272" s="102" t="s">
        <v>3760</v>
      </c>
      <c r="G1272" s="126" t="s">
        <v>3981</v>
      </c>
      <c r="H1272" s="126" t="s">
        <v>3894</v>
      </c>
      <c r="I1272" s="102" t="s">
        <v>61</v>
      </c>
      <c r="J1272" s="85">
        <v>131521.0</v>
      </c>
      <c r="K1272" s="85">
        <v>21926.0</v>
      </c>
      <c r="L1272" s="17">
        <v>0.166711019533002</v>
      </c>
      <c r="M1272" s="127">
        <v>3887.0</v>
      </c>
      <c r="N1272" s="136">
        <v>0.1773</v>
      </c>
      <c r="O1272" s="20">
        <v>105.0</v>
      </c>
      <c r="P1272" s="21">
        <v>0.0</v>
      </c>
      <c r="Q1272" s="137">
        <v>0.0054</v>
      </c>
      <c r="R1272" s="129">
        <v>0.0</v>
      </c>
      <c r="S1272" s="20">
        <v>0.0</v>
      </c>
      <c r="T1272" s="20">
        <v>0.0</v>
      </c>
      <c r="U1272" s="20">
        <v>0.0</v>
      </c>
      <c r="V1272" s="21" t="s">
        <v>183</v>
      </c>
      <c r="W1272" s="21" t="s">
        <v>3739</v>
      </c>
      <c r="X1272" s="21" t="s">
        <v>3895</v>
      </c>
      <c r="Y1272" s="21" t="s">
        <v>3878</v>
      </c>
      <c r="Z1272" s="20" t="s">
        <v>3982</v>
      </c>
      <c r="AA1272" s="111"/>
      <c r="AB1272" s="18"/>
      <c r="AC1272" s="18"/>
      <c r="AD1272" s="14"/>
      <c r="AE1272" s="14"/>
      <c r="AF1272" s="14"/>
      <c r="AG1272" s="22"/>
      <c r="AH1272" s="22"/>
      <c r="AI1272" s="22"/>
      <c r="AJ1272" s="22"/>
      <c r="AK1272" s="22"/>
      <c r="AL1272" s="22"/>
      <c r="AM1272" s="22"/>
      <c r="AN1272" s="22"/>
      <c r="AO1272" s="22"/>
      <c r="AP1272" s="22"/>
    </row>
    <row r="1273" hidden="1">
      <c r="A1273" s="69">
        <v>46144.0</v>
      </c>
      <c r="B1273" s="125">
        <v>0.7916666666666666</v>
      </c>
      <c r="C1273" s="126" t="s">
        <v>32</v>
      </c>
      <c r="D1273" s="102" t="s">
        <v>3243</v>
      </c>
      <c r="E1273" s="102" t="s">
        <v>2212</v>
      </c>
      <c r="F1273" s="102" t="s">
        <v>3760</v>
      </c>
      <c r="G1273" s="126" t="s">
        <v>3983</v>
      </c>
      <c r="H1273" s="126" t="s">
        <v>3894</v>
      </c>
      <c r="I1273" s="102" t="s">
        <v>3895</v>
      </c>
      <c r="J1273" s="85">
        <v>131623.0</v>
      </c>
      <c r="K1273" s="85">
        <v>52130.0</v>
      </c>
      <c r="L1273" s="19">
        <v>0.3959</v>
      </c>
      <c r="M1273" s="127">
        <v>18814.0</v>
      </c>
      <c r="N1273" s="128">
        <v>0.3609</v>
      </c>
      <c r="O1273" s="20">
        <v>2350.0</v>
      </c>
      <c r="P1273" s="21">
        <v>2186.0</v>
      </c>
      <c r="Q1273" s="19">
        <v>0.0419</v>
      </c>
      <c r="R1273" s="129">
        <v>0.1162</v>
      </c>
      <c r="S1273" s="20">
        <v>0.0</v>
      </c>
      <c r="T1273" s="20">
        <v>0.0</v>
      </c>
      <c r="U1273" s="131">
        <v>0.0</v>
      </c>
      <c r="V1273" s="21" t="s">
        <v>2175</v>
      </c>
      <c r="W1273" s="21" t="s">
        <v>76</v>
      </c>
      <c r="X1273" s="21" t="s">
        <v>3895</v>
      </c>
      <c r="Y1273" s="21" t="s">
        <v>3878</v>
      </c>
      <c r="Z1273" s="20" t="s">
        <v>3984</v>
      </c>
      <c r="AA1273" s="111"/>
      <c r="AB1273" s="18"/>
      <c r="AC1273" s="52"/>
      <c r="AD1273" s="14"/>
      <c r="AE1273" s="14"/>
      <c r="AF1273" s="52"/>
      <c r="AG1273" s="22"/>
      <c r="AH1273" s="22"/>
      <c r="AI1273" s="22"/>
      <c r="AJ1273" s="22"/>
      <c r="AK1273" s="22"/>
      <c r="AL1273" s="22"/>
      <c r="AM1273" s="22"/>
      <c r="AN1273" s="22"/>
      <c r="AO1273" s="22"/>
      <c r="AP1273" s="22"/>
    </row>
    <row r="1274" hidden="1">
      <c r="A1274" s="69">
        <v>46144.0</v>
      </c>
      <c r="B1274" s="125">
        <v>0.7916666666666666</v>
      </c>
      <c r="C1274" s="126" t="s">
        <v>32</v>
      </c>
      <c r="D1274" s="102" t="s">
        <v>3243</v>
      </c>
      <c r="E1274" s="102" t="s">
        <v>2212</v>
      </c>
      <c r="F1274" s="102" t="s">
        <v>3760</v>
      </c>
      <c r="G1274" s="126" t="s">
        <v>3985</v>
      </c>
      <c r="H1274" s="126" t="s">
        <v>3898</v>
      </c>
      <c r="I1274" s="102" t="s">
        <v>3882</v>
      </c>
      <c r="J1274" s="85">
        <v>104890.0</v>
      </c>
      <c r="K1274" s="85">
        <v>43731.0</v>
      </c>
      <c r="L1274" s="19">
        <v>0.4169</v>
      </c>
      <c r="M1274" s="127">
        <v>17623.0</v>
      </c>
      <c r="N1274" s="128">
        <v>0.4027</v>
      </c>
      <c r="O1274" s="20">
        <v>1971.0</v>
      </c>
      <c r="P1274" s="21">
        <v>1862.0</v>
      </c>
      <c r="Q1274" s="19">
        <v>0.0426</v>
      </c>
      <c r="R1274" s="129">
        <v>0.1058</v>
      </c>
      <c r="S1274" s="20">
        <v>0.0</v>
      </c>
      <c r="T1274" s="20">
        <v>0.0</v>
      </c>
      <c r="U1274" s="131">
        <v>0.0</v>
      </c>
      <c r="V1274" s="21" t="s">
        <v>2175</v>
      </c>
      <c r="W1274" s="21" t="s">
        <v>76</v>
      </c>
      <c r="X1274" s="21" t="s">
        <v>3899</v>
      </c>
      <c r="Y1274" s="21" t="s">
        <v>3878</v>
      </c>
      <c r="Z1274" s="20" t="s">
        <v>3986</v>
      </c>
      <c r="AA1274" s="111"/>
      <c r="AB1274" s="18"/>
      <c r="AC1274" s="52"/>
      <c r="AD1274" s="14"/>
      <c r="AE1274" s="14"/>
      <c r="AF1274" s="52"/>
      <c r="AG1274" s="22"/>
      <c r="AH1274" s="22"/>
      <c r="AI1274" s="22"/>
      <c r="AJ1274" s="22"/>
      <c r="AK1274" s="22"/>
      <c r="AL1274" s="22"/>
      <c r="AM1274" s="22"/>
      <c r="AN1274" s="22"/>
      <c r="AO1274" s="22"/>
      <c r="AP1274" s="22"/>
    </row>
    <row r="1275" hidden="1">
      <c r="A1275" s="69">
        <v>46144.0</v>
      </c>
      <c r="B1275" s="125">
        <v>0.7708333333333334</v>
      </c>
      <c r="C1275" s="126" t="s">
        <v>32</v>
      </c>
      <c r="D1275" s="102" t="s">
        <v>3243</v>
      </c>
      <c r="E1275" s="102" t="s">
        <v>71</v>
      </c>
      <c r="F1275" s="102" t="s">
        <v>3645</v>
      </c>
      <c r="G1275" s="126" t="s">
        <v>3987</v>
      </c>
      <c r="H1275" s="126" t="s">
        <v>2816</v>
      </c>
      <c r="I1275" s="102" t="s">
        <v>2817</v>
      </c>
      <c r="J1275" s="85">
        <v>10628.0</v>
      </c>
      <c r="K1275" s="85">
        <v>3727.0</v>
      </c>
      <c r="L1275" s="19">
        <v>0.3505</v>
      </c>
      <c r="M1275" s="127">
        <v>1471.0</v>
      </c>
      <c r="N1275" s="128">
        <v>0.3949</v>
      </c>
      <c r="O1275" s="20">
        <v>124.0</v>
      </c>
      <c r="P1275" s="21">
        <v>115.0</v>
      </c>
      <c r="Q1275" s="19">
        <v>0.0309</v>
      </c>
      <c r="R1275" s="129">
        <v>0.0782</v>
      </c>
      <c r="S1275" s="20">
        <v>2.0</v>
      </c>
      <c r="T1275" s="20">
        <v>4.0</v>
      </c>
      <c r="U1275" s="131">
        <v>11387.0</v>
      </c>
      <c r="V1275" s="21" t="s">
        <v>315</v>
      </c>
      <c r="W1275" s="21" t="s">
        <v>76</v>
      </c>
      <c r="X1275" s="21" t="s">
        <v>165</v>
      </c>
      <c r="Y1275" s="21" t="s">
        <v>3988</v>
      </c>
      <c r="Z1275" s="20" t="s">
        <v>3989</v>
      </c>
      <c r="AA1275" s="18">
        <v>53.0</v>
      </c>
      <c r="AB1275" s="18" t="s">
        <v>1650</v>
      </c>
      <c r="AC1275" s="18">
        <v>53.0</v>
      </c>
      <c r="AD1275" s="14">
        <v>265627.0</v>
      </c>
      <c r="AE1275" s="14" t="s">
        <v>1650</v>
      </c>
      <c r="AF1275" s="14">
        <v>265627.0</v>
      </c>
      <c r="AG1275" s="22"/>
      <c r="AH1275" s="22"/>
      <c r="AI1275" s="22"/>
      <c r="AJ1275" s="22"/>
      <c r="AK1275" s="22"/>
      <c r="AL1275" s="22"/>
      <c r="AM1275" s="22"/>
      <c r="AN1275" s="22"/>
      <c r="AO1275" s="22"/>
      <c r="AP1275" s="22"/>
    </row>
    <row r="1276" hidden="1">
      <c r="A1276" s="69">
        <v>46144.0</v>
      </c>
      <c r="B1276" s="125">
        <v>0.7708333333333334</v>
      </c>
      <c r="C1276" s="126" t="s">
        <v>32</v>
      </c>
      <c r="D1276" s="102" t="s">
        <v>3243</v>
      </c>
      <c r="E1276" s="102" t="s">
        <v>71</v>
      </c>
      <c r="F1276" s="102" t="s">
        <v>3645</v>
      </c>
      <c r="G1276" s="126" t="s">
        <v>3990</v>
      </c>
      <c r="H1276" s="126" t="s">
        <v>2821</v>
      </c>
      <c r="I1276" s="102" t="s">
        <v>2822</v>
      </c>
      <c r="J1276" s="85">
        <v>21311.0</v>
      </c>
      <c r="K1276" s="85">
        <v>8784.0</v>
      </c>
      <c r="L1276" s="19">
        <v>0.412</v>
      </c>
      <c r="M1276" s="127">
        <v>3245.0</v>
      </c>
      <c r="N1276" s="128">
        <v>0.3693</v>
      </c>
      <c r="O1276" s="20">
        <v>239.0</v>
      </c>
      <c r="P1276" s="21">
        <v>224.0</v>
      </c>
      <c r="Q1276" s="19">
        <v>0.0255</v>
      </c>
      <c r="R1276" s="129">
        <v>0.0691</v>
      </c>
      <c r="S1276" s="20">
        <v>2.0</v>
      </c>
      <c r="T1276" s="20">
        <v>3.0</v>
      </c>
      <c r="U1276" s="131">
        <v>3724.0</v>
      </c>
      <c r="V1276" s="21" t="s">
        <v>315</v>
      </c>
      <c r="W1276" s="21" t="s">
        <v>76</v>
      </c>
      <c r="X1276" s="21" t="s">
        <v>82</v>
      </c>
      <c r="Y1276" s="21" t="s">
        <v>3988</v>
      </c>
      <c r="Z1276" s="20" t="s">
        <v>3991</v>
      </c>
      <c r="AA1276" s="18">
        <v>55.0</v>
      </c>
      <c r="AB1276" s="18" t="s">
        <v>1650</v>
      </c>
      <c r="AC1276" s="18">
        <v>55.0</v>
      </c>
      <c r="AD1276" s="14">
        <v>238820.0</v>
      </c>
      <c r="AE1276" s="14" t="s">
        <v>1650</v>
      </c>
      <c r="AF1276" s="14">
        <v>238820.0</v>
      </c>
      <c r="AG1276" s="22"/>
      <c r="AH1276" s="22"/>
      <c r="AI1276" s="22"/>
      <c r="AJ1276" s="22"/>
      <c r="AK1276" s="22"/>
      <c r="AL1276" s="22"/>
      <c r="AM1276" s="22"/>
      <c r="AN1276" s="22"/>
      <c r="AO1276" s="22"/>
      <c r="AP1276" s="22"/>
    </row>
    <row r="1277" hidden="1">
      <c r="A1277" s="69">
        <v>46144.0</v>
      </c>
      <c r="B1277" s="125">
        <v>0.7708333333333334</v>
      </c>
      <c r="C1277" s="126" t="s">
        <v>32</v>
      </c>
      <c r="D1277" s="102" t="s">
        <v>3243</v>
      </c>
      <c r="E1277" s="102" t="s">
        <v>71</v>
      </c>
      <c r="F1277" s="102" t="s">
        <v>3645</v>
      </c>
      <c r="G1277" s="126" t="s">
        <v>3992</v>
      </c>
      <c r="H1277" s="126" t="s">
        <v>2825</v>
      </c>
      <c r="I1277" s="102" t="s">
        <v>2826</v>
      </c>
      <c r="J1277" s="85">
        <v>117026.0</v>
      </c>
      <c r="K1277" s="85">
        <v>55200.0</v>
      </c>
      <c r="L1277" s="19">
        <v>0.4716</v>
      </c>
      <c r="M1277" s="127">
        <v>19702.0</v>
      </c>
      <c r="N1277" s="128">
        <v>0.3567</v>
      </c>
      <c r="O1277" s="20">
        <v>1327.0</v>
      </c>
      <c r="P1277" s="21">
        <v>1268.0</v>
      </c>
      <c r="Q1277" s="19">
        <v>0.023</v>
      </c>
      <c r="R1277" s="129">
        <v>0.0644</v>
      </c>
      <c r="S1277" s="20">
        <v>11.0</v>
      </c>
      <c r="T1277" s="20">
        <v>25.0</v>
      </c>
      <c r="U1277" s="131">
        <v>54629.0</v>
      </c>
      <c r="V1277" s="21" t="s">
        <v>315</v>
      </c>
      <c r="W1277" s="21" t="s">
        <v>76</v>
      </c>
      <c r="X1277" s="21" t="s">
        <v>2827</v>
      </c>
      <c r="Y1277" s="21" t="s">
        <v>3988</v>
      </c>
      <c r="Z1277" s="20" t="s">
        <v>3993</v>
      </c>
      <c r="AA1277" s="18">
        <v>149.0</v>
      </c>
      <c r="AB1277" s="18" t="s">
        <v>1650</v>
      </c>
      <c r="AC1277" s="18">
        <v>149.0</v>
      </c>
      <c r="AD1277" s="14">
        <v>427182.0</v>
      </c>
      <c r="AE1277" s="14" t="s">
        <v>1650</v>
      </c>
      <c r="AF1277" s="14">
        <v>427182.0</v>
      </c>
      <c r="AG1277" s="22"/>
      <c r="AH1277" s="22"/>
      <c r="AI1277" s="22"/>
      <c r="AJ1277" s="22"/>
      <c r="AK1277" s="22"/>
      <c r="AL1277" s="22"/>
      <c r="AM1277" s="22"/>
      <c r="AN1277" s="22"/>
      <c r="AO1277" s="22"/>
      <c r="AP1277" s="22"/>
    </row>
    <row r="1278" hidden="1">
      <c r="A1278" s="69">
        <v>46144.0</v>
      </c>
      <c r="B1278" s="125">
        <v>0.7708333333333334</v>
      </c>
      <c r="C1278" s="126" t="s">
        <v>32</v>
      </c>
      <c r="D1278" s="102" t="s">
        <v>3243</v>
      </c>
      <c r="E1278" s="102" t="s">
        <v>71</v>
      </c>
      <c r="F1278" s="102" t="s">
        <v>3645</v>
      </c>
      <c r="G1278" s="126" t="s">
        <v>3994</v>
      </c>
      <c r="H1278" s="126" t="s">
        <v>2830</v>
      </c>
      <c r="I1278" s="102" t="s">
        <v>2831</v>
      </c>
      <c r="J1278" s="85">
        <v>70762.0</v>
      </c>
      <c r="K1278" s="85">
        <v>29879.0</v>
      </c>
      <c r="L1278" s="19">
        <v>0.4222</v>
      </c>
      <c r="M1278" s="127">
        <v>10859.0</v>
      </c>
      <c r="N1278" s="128">
        <v>0.3633</v>
      </c>
      <c r="O1278" s="20">
        <v>662.0</v>
      </c>
      <c r="P1278" s="21">
        <v>633.0</v>
      </c>
      <c r="Q1278" s="19">
        <v>0.0212</v>
      </c>
      <c r="R1278" s="129">
        <v>0.0583</v>
      </c>
      <c r="S1278" s="20">
        <v>6.0</v>
      </c>
      <c r="T1278" s="20">
        <v>17.0</v>
      </c>
      <c r="U1278" s="131">
        <v>17526.0</v>
      </c>
      <c r="V1278" s="21" t="s">
        <v>315</v>
      </c>
      <c r="W1278" s="21" t="s">
        <v>76</v>
      </c>
      <c r="X1278" s="21" t="s">
        <v>2117</v>
      </c>
      <c r="Y1278" s="21" t="s">
        <v>3988</v>
      </c>
      <c r="Z1278" s="20" t="s">
        <v>3995</v>
      </c>
      <c r="AA1278" s="18">
        <v>89.0</v>
      </c>
      <c r="AB1278" s="18" t="s">
        <v>1650</v>
      </c>
      <c r="AC1278" s="18">
        <v>89.0</v>
      </c>
      <c r="AD1278" s="14">
        <v>397576.0</v>
      </c>
      <c r="AE1278" s="14" t="s">
        <v>1650</v>
      </c>
      <c r="AF1278" s="14">
        <v>397576.0</v>
      </c>
      <c r="AG1278" s="22"/>
      <c r="AH1278" s="22"/>
      <c r="AI1278" s="22"/>
      <c r="AJ1278" s="22"/>
      <c r="AK1278" s="22"/>
      <c r="AL1278" s="22"/>
      <c r="AM1278" s="22"/>
      <c r="AN1278" s="22"/>
      <c r="AO1278" s="22"/>
      <c r="AP1278" s="22"/>
    </row>
    <row r="1279" hidden="1">
      <c r="A1279" s="69">
        <v>46144.0</v>
      </c>
      <c r="B1279" s="125">
        <v>0.7708333333333334</v>
      </c>
      <c r="C1279" s="126" t="s">
        <v>32</v>
      </c>
      <c r="D1279" s="102" t="s">
        <v>3243</v>
      </c>
      <c r="E1279" s="102" t="s">
        <v>71</v>
      </c>
      <c r="F1279" s="102" t="s">
        <v>3645</v>
      </c>
      <c r="G1279" s="126" t="s">
        <v>3996</v>
      </c>
      <c r="H1279" s="126" t="s">
        <v>2834</v>
      </c>
      <c r="I1279" s="102" t="s">
        <v>2835</v>
      </c>
      <c r="J1279" s="85">
        <v>203246.0</v>
      </c>
      <c r="K1279" s="85">
        <v>88463.0</v>
      </c>
      <c r="L1279" s="19">
        <v>0.4352</v>
      </c>
      <c r="M1279" s="127">
        <v>30364.0</v>
      </c>
      <c r="N1279" s="128">
        <v>0.3431</v>
      </c>
      <c r="O1279" s="20">
        <v>1908.0</v>
      </c>
      <c r="P1279" s="21">
        <v>1802.0</v>
      </c>
      <c r="Q1279" s="19">
        <v>0.0204</v>
      </c>
      <c r="R1279" s="129">
        <v>0.0594</v>
      </c>
      <c r="S1279" s="20">
        <v>12.0</v>
      </c>
      <c r="T1279" s="20">
        <v>28.0</v>
      </c>
      <c r="U1279" s="131">
        <v>52823.0</v>
      </c>
      <c r="V1279" s="21" t="s">
        <v>315</v>
      </c>
      <c r="W1279" s="21" t="s">
        <v>76</v>
      </c>
      <c r="X1279" s="21" t="s">
        <v>41</v>
      </c>
      <c r="Y1279" s="21" t="s">
        <v>3988</v>
      </c>
      <c r="Z1279" s="20" t="s">
        <v>3997</v>
      </c>
      <c r="AA1279" s="18">
        <v>242.0</v>
      </c>
      <c r="AB1279" s="18" t="s">
        <v>1650</v>
      </c>
      <c r="AC1279" s="18">
        <v>242.0</v>
      </c>
      <c r="AD1279" s="14">
        <v>923141.0</v>
      </c>
      <c r="AE1279" s="14" t="s">
        <v>1650</v>
      </c>
      <c r="AF1279" s="14">
        <v>923141.0</v>
      </c>
      <c r="AG1279" s="22"/>
      <c r="AH1279" s="22"/>
      <c r="AI1279" s="22"/>
      <c r="AJ1279" s="22"/>
      <c r="AK1279" s="22"/>
      <c r="AL1279" s="22"/>
      <c r="AM1279" s="22"/>
      <c r="AN1279" s="22"/>
      <c r="AO1279" s="22"/>
      <c r="AP1279" s="22"/>
    </row>
    <row r="1280" hidden="1">
      <c r="A1280" s="69">
        <v>46144.0</v>
      </c>
      <c r="B1280" s="125">
        <v>0.5</v>
      </c>
      <c r="C1280" s="126" t="s">
        <v>32</v>
      </c>
      <c r="D1280" s="102" t="s">
        <v>3243</v>
      </c>
      <c r="E1280" s="102" t="s">
        <v>71</v>
      </c>
      <c r="F1280" s="102" t="s">
        <v>3645</v>
      </c>
      <c r="G1280" s="126" t="s">
        <v>3998</v>
      </c>
      <c r="H1280" s="126" t="s">
        <v>3999</v>
      </c>
      <c r="I1280" s="102" t="s">
        <v>4000</v>
      </c>
      <c r="J1280" s="85">
        <v>20100.0</v>
      </c>
      <c r="K1280" s="85">
        <v>8163.0</v>
      </c>
      <c r="L1280" s="19">
        <v>0.4059</v>
      </c>
      <c r="M1280" s="127">
        <v>3401.0</v>
      </c>
      <c r="N1280" s="128">
        <v>0.4166</v>
      </c>
      <c r="O1280" s="20">
        <v>292.0</v>
      </c>
      <c r="P1280" s="21">
        <v>271.0</v>
      </c>
      <c r="Q1280" s="19">
        <v>0.0332</v>
      </c>
      <c r="R1280" s="129">
        <v>0.0797</v>
      </c>
      <c r="S1280" s="20">
        <v>8.0</v>
      </c>
      <c r="T1280" s="20">
        <v>21.0</v>
      </c>
      <c r="U1280" s="131">
        <v>38161.0</v>
      </c>
      <c r="V1280" s="21" t="s">
        <v>335</v>
      </c>
      <c r="W1280" s="21" t="s">
        <v>40</v>
      </c>
      <c r="X1280" s="21" t="s">
        <v>4001</v>
      </c>
      <c r="Y1280" s="21" t="s">
        <v>3988</v>
      </c>
      <c r="Z1280" s="20" t="s">
        <v>4002</v>
      </c>
      <c r="AA1280" s="18">
        <v>28.0</v>
      </c>
      <c r="AB1280" s="18">
        <v>28.0</v>
      </c>
      <c r="AC1280" s="18" t="s">
        <v>1650</v>
      </c>
      <c r="AD1280" s="14">
        <v>92858.0</v>
      </c>
      <c r="AE1280" s="14">
        <v>92858.0</v>
      </c>
      <c r="AF1280" s="18" t="s">
        <v>1650</v>
      </c>
      <c r="AG1280" s="22"/>
      <c r="AH1280" s="22"/>
      <c r="AI1280" s="22"/>
      <c r="AJ1280" s="22"/>
      <c r="AK1280" s="22"/>
      <c r="AL1280" s="22"/>
      <c r="AM1280" s="22"/>
      <c r="AN1280" s="22"/>
      <c r="AO1280" s="22"/>
      <c r="AP1280" s="22"/>
    </row>
    <row r="1281" hidden="1">
      <c r="A1281" s="69">
        <v>46144.0</v>
      </c>
      <c r="B1281" s="125">
        <v>0.5</v>
      </c>
      <c r="C1281" s="126" t="s">
        <v>32</v>
      </c>
      <c r="D1281" s="102" t="s">
        <v>3243</v>
      </c>
      <c r="E1281" s="102" t="s">
        <v>71</v>
      </c>
      <c r="F1281" s="102" t="s">
        <v>3645</v>
      </c>
      <c r="G1281" s="126" t="s">
        <v>4003</v>
      </c>
      <c r="H1281" s="126" t="s">
        <v>2924</v>
      </c>
      <c r="I1281" s="140" t="s">
        <v>4004</v>
      </c>
      <c r="J1281" s="85">
        <v>3241.0</v>
      </c>
      <c r="K1281" s="85">
        <v>1021.0</v>
      </c>
      <c r="L1281" s="19">
        <v>0.3147</v>
      </c>
      <c r="M1281" s="127">
        <v>431.0</v>
      </c>
      <c r="N1281" s="128">
        <v>0.4225</v>
      </c>
      <c r="O1281" s="20">
        <v>50.0</v>
      </c>
      <c r="P1281" s="21">
        <v>49.0</v>
      </c>
      <c r="Q1281" s="19">
        <v>0.048</v>
      </c>
      <c r="R1281" s="129">
        <v>0.1137</v>
      </c>
      <c r="S1281" s="20">
        <v>2.0</v>
      </c>
      <c r="T1281" s="20">
        <v>3.0</v>
      </c>
      <c r="U1281" s="131">
        <v>2946.0</v>
      </c>
      <c r="V1281" s="21" t="s">
        <v>335</v>
      </c>
      <c r="W1281" s="21" t="s">
        <v>40</v>
      </c>
      <c r="X1281" s="21" t="s">
        <v>4005</v>
      </c>
      <c r="Y1281" s="21" t="s">
        <v>3988</v>
      </c>
      <c r="Z1281" s="20" t="s">
        <v>4006</v>
      </c>
      <c r="AA1281" s="18">
        <v>5.0</v>
      </c>
      <c r="AB1281" s="18">
        <v>5.0</v>
      </c>
      <c r="AC1281" s="18" t="s">
        <v>1650</v>
      </c>
      <c r="AD1281" s="14">
        <v>18285.0</v>
      </c>
      <c r="AE1281" s="14">
        <v>18285.0</v>
      </c>
      <c r="AF1281" s="18" t="s">
        <v>1650</v>
      </c>
      <c r="AG1281" s="141"/>
      <c r="AH1281" s="22"/>
      <c r="AI1281" s="22"/>
      <c r="AJ1281" s="22"/>
      <c r="AK1281" s="22"/>
      <c r="AL1281" s="22"/>
      <c r="AM1281" s="22"/>
      <c r="AN1281" s="22"/>
      <c r="AO1281" s="22"/>
      <c r="AP1281" s="22"/>
    </row>
    <row r="1282" hidden="1">
      <c r="A1282" s="69">
        <v>46144.0</v>
      </c>
      <c r="B1282" s="125">
        <v>0.5</v>
      </c>
      <c r="C1282" s="126" t="s">
        <v>32</v>
      </c>
      <c r="D1282" s="102" t="s">
        <v>3243</v>
      </c>
      <c r="E1282" s="102" t="s">
        <v>71</v>
      </c>
      <c r="F1282" s="102" t="s">
        <v>3645</v>
      </c>
      <c r="G1282" s="126" t="s">
        <v>4007</v>
      </c>
      <c r="H1282" s="126" t="s">
        <v>2927</v>
      </c>
      <c r="I1282" s="102" t="s">
        <v>4008</v>
      </c>
      <c r="J1282" s="85">
        <v>1322.0</v>
      </c>
      <c r="K1282" s="85">
        <v>519.0</v>
      </c>
      <c r="L1282" s="19">
        <v>0.3926</v>
      </c>
      <c r="M1282" s="127">
        <v>206.0</v>
      </c>
      <c r="N1282" s="128">
        <v>0.3969</v>
      </c>
      <c r="O1282" s="20">
        <v>22.0</v>
      </c>
      <c r="P1282" s="21">
        <v>22.0</v>
      </c>
      <c r="Q1282" s="19">
        <v>0.0424</v>
      </c>
      <c r="R1282" s="129">
        <v>0.1068</v>
      </c>
      <c r="S1282" s="20">
        <v>0.0</v>
      </c>
      <c r="T1282" s="20">
        <v>2.0</v>
      </c>
      <c r="U1282" s="131">
        <v>0.0</v>
      </c>
      <c r="V1282" s="21" t="s">
        <v>335</v>
      </c>
      <c r="W1282" s="21" t="s">
        <v>40</v>
      </c>
      <c r="X1282" s="21" t="s">
        <v>4009</v>
      </c>
      <c r="Y1282" s="21" t="s">
        <v>3988</v>
      </c>
      <c r="Z1282" s="20" t="s">
        <v>4010</v>
      </c>
      <c r="AA1282" s="18" t="s">
        <v>1650</v>
      </c>
      <c r="AB1282" s="18" t="s">
        <v>1650</v>
      </c>
      <c r="AC1282" s="18" t="s">
        <v>1650</v>
      </c>
      <c r="AD1282" s="14" t="s">
        <v>1650</v>
      </c>
      <c r="AE1282" s="14" t="s">
        <v>1650</v>
      </c>
      <c r="AF1282" s="18" t="s">
        <v>1650</v>
      </c>
      <c r="AG1282" s="22"/>
      <c r="AH1282" s="22"/>
      <c r="AI1282" s="22"/>
      <c r="AJ1282" s="22"/>
      <c r="AK1282" s="22"/>
      <c r="AL1282" s="22"/>
      <c r="AM1282" s="22"/>
      <c r="AN1282" s="22"/>
      <c r="AO1282" s="22"/>
      <c r="AP1282" s="22"/>
    </row>
    <row r="1283" hidden="1">
      <c r="A1283" s="69">
        <v>46144.0</v>
      </c>
      <c r="B1283" s="125">
        <v>0.5</v>
      </c>
      <c r="C1283" s="126" t="s">
        <v>32</v>
      </c>
      <c r="D1283" s="102" t="s">
        <v>3243</v>
      </c>
      <c r="E1283" s="102" t="s">
        <v>71</v>
      </c>
      <c r="F1283" s="102" t="s">
        <v>3645</v>
      </c>
      <c r="G1283" s="126" t="s">
        <v>4011</v>
      </c>
      <c r="H1283" s="126" t="s">
        <v>2930</v>
      </c>
      <c r="I1283" s="102" t="s">
        <v>4012</v>
      </c>
      <c r="J1283" s="85">
        <v>2474.0</v>
      </c>
      <c r="K1283" s="85">
        <v>922.0</v>
      </c>
      <c r="L1283" s="19">
        <v>0.3727</v>
      </c>
      <c r="M1283" s="127">
        <v>265.0</v>
      </c>
      <c r="N1283" s="128">
        <v>0.2874</v>
      </c>
      <c r="O1283" s="20">
        <v>42.0</v>
      </c>
      <c r="P1283" s="21">
        <v>41.0</v>
      </c>
      <c r="Q1283" s="19">
        <v>0.0445</v>
      </c>
      <c r="R1283" s="129">
        <v>0.1547</v>
      </c>
      <c r="S1283" s="20">
        <v>0.0</v>
      </c>
      <c r="T1283" s="20">
        <v>1.0</v>
      </c>
      <c r="U1283" s="131">
        <v>0.0</v>
      </c>
      <c r="V1283" s="21" t="s">
        <v>335</v>
      </c>
      <c r="W1283" s="21" t="s">
        <v>40</v>
      </c>
      <c r="X1283" s="21" t="s">
        <v>4013</v>
      </c>
      <c r="Y1283" s="21" t="s">
        <v>3988</v>
      </c>
      <c r="Z1283" s="20" t="s">
        <v>4014</v>
      </c>
      <c r="AA1283" s="18">
        <v>1.0</v>
      </c>
      <c r="AB1283" s="18">
        <v>1.0</v>
      </c>
      <c r="AC1283" s="18" t="s">
        <v>1650</v>
      </c>
      <c r="AD1283" s="14">
        <v>3091.0</v>
      </c>
      <c r="AE1283" s="14">
        <v>3091.0</v>
      </c>
      <c r="AF1283" s="18" t="s">
        <v>1650</v>
      </c>
      <c r="AG1283" s="22"/>
      <c r="AH1283" s="22"/>
      <c r="AI1283" s="22"/>
      <c r="AJ1283" s="22"/>
      <c r="AK1283" s="22"/>
      <c r="AL1283" s="22"/>
      <c r="AM1283" s="22"/>
      <c r="AN1283" s="22"/>
      <c r="AO1283" s="22"/>
      <c r="AP1283" s="22"/>
    </row>
    <row r="1284" hidden="1">
      <c r="A1284" s="69">
        <v>46144.0</v>
      </c>
      <c r="B1284" s="125">
        <v>0.8333333333333334</v>
      </c>
      <c r="C1284" s="126" t="s">
        <v>58</v>
      </c>
      <c r="D1284" s="102" t="s">
        <v>3083</v>
      </c>
      <c r="E1284" s="102" t="s">
        <v>71</v>
      </c>
      <c r="F1284" s="102" t="s">
        <v>3645</v>
      </c>
      <c r="G1284" s="126" t="s">
        <v>4015</v>
      </c>
      <c r="H1284" s="126" t="s">
        <v>2816</v>
      </c>
      <c r="I1284" s="102" t="s">
        <v>61</v>
      </c>
      <c r="J1284" s="85">
        <v>6738.0</v>
      </c>
      <c r="K1284" s="85">
        <v>3481.0</v>
      </c>
      <c r="L1284" s="19">
        <v>0.5166</v>
      </c>
      <c r="M1284" s="127">
        <v>0.0</v>
      </c>
      <c r="N1284" s="128">
        <v>0.0</v>
      </c>
      <c r="O1284" s="20">
        <v>7.0</v>
      </c>
      <c r="P1284" s="21">
        <v>0.0</v>
      </c>
      <c r="Q1284" s="19">
        <v>0.002</v>
      </c>
      <c r="R1284" s="129">
        <v>0.0</v>
      </c>
      <c r="S1284" s="20">
        <v>0.0</v>
      </c>
      <c r="T1284" s="20">
        <v>1.0</v>
      </c>
      <c r="U1284" s="131">
        <v>0.0</v>
      </c>
      <c r="V1284" s="21" t="s">
        <v>315</v>
      </c>
      <c r="W1284" s="21" t="s">
        <v>3257</v>
      </c>
      <c r="X1284" s="21" t="s">
        <v>165</v>
      </c>
      <c r="Y1284" s="142">
        <v>46144.0</v>
      </c>
      <c r="Z1284" s="20" t="s">
        <v>4016</v>
      </c>
      <c r="AA1284" s="18">
        <v>40.0</v>
      </c>
      <c r="AB1284" s="18" t="s">
        <v>1650</v>
      </c>
      <c r="AC1284" s="18">
        <v>40.0</v>
      </c>
      <c r="AD1284" s="14">
        <v>162402.0</v>
      </c>
      <c r="AE1284" s="14" t="s">
        <v>1650</v>
      </c>
      <c r="AF1284" s="14">
        <v>162402.0</v>
      </c>
      <c r="AG1284" s="22"/>
      <c r="AH1284" s="22"/>
      <c r="AI1284" s="22"/>
      <c r="AJ1284" s="22"/>
      <c r="AK1284" s="22"/>
      <c r="AL1284" s="22"/>
      <c r="AM1284" s="22"/>
      <c r="AN1284" s="22"/>
      <c r="AO1284" s="22"/>
      <c r="AP1284" s="22"/>
    </row>
    <row r="1285" hidden="1">
      <c r="A1285" s="69">
        <v>46144.0</v>
      </c>
      <c r="B1285" s="125">
        <v>0.8333333333333334</v>
      </c>
      <c r="C1285" s="126" t="s">
        <v>58</v>
      </c>
      <c r="D1285" s="102" t="s">
        <v>3083</v>
      </c>
      <c r="E1285" s="102" t="s">
        <v>71</v>
      </c>
      <c r="F1285" s="102" t="s">
        <v>3645</v>
      </c>
      <c r="G1285" s="126" t="s">
        <v>4017</v>
      </c>
      <c r="H1285" s="126" t="s">
        <v>2821</v>
      </c>
      <c r="I1285" s="102" t="s">
        <v>61</v>
      </c>
      <c r="J1285" s="85">
        <v>12254.0</v>
      </c>
      <c r="K1285" s="85">
        <v>6798.0</v>
      </c>
      <c r="L1285" s="19">
        <v>0.5548</v>
      </c>
      <c r="M1285" s="127">
        <v>0.0</v>
      </c>
      <c r="N1285" s="128">
        <v>0.0</v>
      </c>
      <c r="O1285" s="20">
        <v>9.0</v>
      </c>
      <c r="P1285" s="21">
        <v>0.0</v>
      </c>
      <c r="Q1285" s="19">
        <v>0.0013</v>
      </c>
      <c r="R1285" s="129">
        <v>0.0</v>
      </c>
      <c r="S1285" s="20">
        <v>3.0</v>
      </c>
      <c r="T1285" s="20">
        <v>1.0</v>
      </c>
      <c r="U1285" s="131">
        <v>24780.0</v>
      </c>
      <c r="V1285" s="21" t="s">
        <v>315</v>
      </c>
      <c r="W1285" s="21" t="s">
        <v>3257</v>
      </c>
      <c r="X1285" s="21" t="s">
        <v>82</v>
      </c>
      <c r="Y1285" s="142">
        <v>46144.0</v>
      </c>
      <c r="Z1285" s="20" t="s">
        <v>4018</v>
      </c>
      <c r="AA1285" s="18">
        <v>24.0</v>
      </c>
      <c r="AB1285" s="18" t="s">
        <v>1650</v>
      </c>
      <c r="AC1285" s="18">
        <v>24.0</v>
      </c>
      <c r="AD1285" s="14">
        <v>76157.0</v>
      </c>
      <c r="AE1285" s="14" t="s">
        <v>1650</v>
      </c>
      <c r="AF1285" s="14">
        <v>76157.0</v>
      </c>
      <c r="AG1285" s="22"/>
      <c r="AH1285" s="22"/>
      <c r="AI1285" s="22"/>
      <c r="AJ1285" s="22"/>
      <c r="AK1285" s="22"/>
      <c r="AL1285" s="22"/>
      <c r="AM1285" s="22"/>
      <c r="AN1285" s="22"/>
      <c r="AO1285" s="22"/>
      <c r="AP1285" s="22"/>
    </row>
    <row r="1286" hidden="1">
      <c r="A1286" s="69">
        <v>46144.0</v>
      </c>
      <c r="B1286" s="125">
        <v>0.8333333333333334</v>
      </c>
      <c r="C1286" s="126" t="s">
        <v>58</v>
      </c>
      <c r="D1286" s="102" t="s">
        <v>3083</v>
      </c>
      <c r="E1286" s="102" t="s">
        <v>71</v>
      </c>
      <c r="F1286" s="102" t="s">
        <v>3645</v>
      </c>
      <c r="G1286" s="126" t="s">
        <v>4019</v>
      </c>
      <c r="H1286" s="126" t="s">
        <v>2825</v>
      </c>
      <c r="I1286" s="102" t="s">
        <v>61</v>
      </c>
      <c r="J1286" s="85">
        <v>60010.0</v>
      </c>
      <c r="K1286" s="85">
        <v>35446.0</v>
      </c>
      <c r="L1286" s="19">
        <v>0.5907</v>
      </c>
      <c r="M1286" s="127">
        <v>0.0</v>
      </c>
      <c r="N1286" s="128">
        <v>0.0</v>
      </c>
      <c r="O1286" s="20">
        <v>49.0</v>
      </c>
      <c r="P1286" s="21">
        <v>0.0</v>
      </c>
      <c r="Q1286" s="19">
        <v>0.0014</v>
      </c>
      <c r="R1286" s="129">
        <v>0.0</v>
      </c>
      <c r="S1286" s="20">
        <v>7.0</v>
      </c>
      <c r="T1286" s="20">
        <v>3.0</v>
      </c>
      <c r="U1286" s="131">
        <v>38467.0</v>
      </c>
      <c r="V1286" s="21" t="s">
        <v>315</v>
      </c>
      <c r="W1286" s="21" t="s">
        <v>3257</v>
      </c>
      <c r="X1286" s="21" t="s">
        <v>2827</v>
      </c>
      <c r="Y1286" s="142">
        <v>46144.0</v>
      </c>
      <c r="Z1286" s="20" t="s">
        <v>4020</v>
      </c>
      <c r="AA1286" s="18">
        <v>64.0</v>
      </c>
      <c r="AB1286" s="18" t="s">
        <v>1650</v>
      </c>
      <c r="AC1286" s="18">
        <v>64.0</v>
      </c>
      <c r="AD1286" s="14">
        <v>156658.0</v>
      </c>
      <c r="AE1286" s="14" t="s">
        <v>1650</v>
      </c>
      <c r="AF1286" s="14">
        <v>156658.0</v>
      </c>
      <c r="AG1286" s="22"/>
      <c r="AH1286" s="22"/>
      <c r="AI1286" s="22"/>
      <c r="AJ1286" s="22"/>
      <c r="AK1286" s="22"/>
      <c r="AL1286" s="22"/>
      <c r="AM1286" s="22"/>
      <c r="AN1286" s="22"/>
      <c r="AO1286" s="22"/>
      <c r="AP1286" s="22"/>
    </row>
    <row r="1287" hidden="1">
      <c r="A1287" s="69">
        <v>46144.0</v>
      </c>
      <c r="B1287" s="125">
        <v>0.8333333333333334</v>
      </c>
      <c r="C1287" s="126" t="s">
        <v>58</v>
      </c>
      <c r="D1287" s="102" t="s">
        <v>3083</v>
      </c>
      <c r="E1287" s="102" t="s">
        <v>71</v>
      </c>
      <c r="F1287" s="102" t="s">
        <v>3645</v>
      </c>
      <c r="G1287" s="126" t="s">
        <v>4021</v>
      </c>
      <c r="H1287" s="126" t="s">
        <v>2830</v>
      </c>
      <c r="I1287" s="102" t="s">
        <v>61</v>
      </c>
      <c r="J1287" s="85">
        <v>39845.0</v>
      </c>
      <c r="K1287" s="85">
        <v>21634.0</v>
      </c>
      <c r="L1287" s="19">
        <v>0.543</v>
      </c>
      <c r="M1287" s="127">
        <v>0.0</v>
      </c>
      <c r="N1287" s="128">
        <v>0.0</v>
      </c>
      <c r="O1287" s="20">
        <v>26.0</v>
      </c>
      <c r="P1287" s="21">
        <v>0.0</v>
      </c>
      <c r="Q1287" s="19">
        <v>0.0012</v>
      </c>
      <c r="R1287" s="129">
        <v>0.0</v>
      </c>
      <c r="S1287" s="20">
        <v>2.0</v>
      </c>
      <c r="T1287" s="20">
        <v>0.0</v>
      </c>
      <c r="U1287" s="131">
        <v>30385.0</v>
      </c>
      <c r="V1287" s="21" t="s">
        <v>315</v>
      </c>
      <c r="W1287" s="21" t="s">
        <v>3257</v>
      </c>
      <c r="X1287" s="21" t="s">
        <v>2117</v>
      </c>
      <c r="Y1287" s="142">
        <v>46144.0</v>
      </c>
      <c r="Z1287" s="20" t="s">
        <v>4022</v>
      </c>
      <c r="AA1287" s="18">
        <v>38.0</v>
      </c>
      <c r="AB1287" s="18" t="s">
        <v>1650</v>
      </c>
      <c r="AC1287" s="18">
        <v>38.0</v>
      </c>
      <c r="AD1287" s="14">
        <v>154017.0</v>
      </c>
      <c r="AE1287" s="14" t="s">
        <v>1650</v>
      </c>
      <c r="AF1287" s="14">
        <v>154017.0</v>
      </c>
      <c r="AG1287" s="22"/>
      <c r="AH1287" s="22"/>
      <c r="AI1287" s="22"/>
      <c r="AJ1287" s="22"/>
      <c r="AK1287" s="22"/>
      <c r="AL1287" s="22"/>
      <c r="AM1287" s="22"/>
      <c r="AN1287" s="22"/>
      <c r="AO1287" s="22"/>
      <c r="AP1287" s="22"/>
    </row>
    <row r="1288" hidden="1">
      <c r="A1288" s="69">
        <v>46144.0</v>
      </c>
      <c r="B1288" s="125">
        <v>0.8333333333333334</v>
      </c>
      <c r="C1288" s="126" t="s">
        <v>58</v>
      </c>
      <c r="D1288" s="102" t="s">
        <v>3083</v>
      </c>
      <c r="E1288" s="102" t="s">
        <v>71</v>
      </c>
      <c r="F1288" s="102" t="s">
        <v>3645</v>
      </c>
      <c r="G1288" s="126" t="s">
        <v>4023</v>
      </c>
      <c r="H1288" s="126" t="s">
        <v>2834</v>
      </c>
      <c r="I1288" s="102" t="s">
        <v>61</v>
      </c>
      <c r="J1288" s="85">
        <v>109939.0</v>
      </c>
      <c r="K1288" s="85">
        <v>62716.0</v>
      </c>
      <c r="L1288" s="19">
        <v>0.5705</v>
      </c>
      <c r="M1288" s="127">
        <v>0.0</v>
      </c>
      <c r="N1288" s="128">
        <v>0.0</v>
      </c>
      <c r="O1288" s="20">
        <v>62.0</v>
      </c>
      <c r="P1288" s="21">
        <v>0.0</v>
      </c>
      <c r="Q1288" s="19">
        <v>0.001</v>
      </c>
      <c r="R1288" s="129">
        <v>0.0</v>
      </c>
      <c r="S1288" s="20">
        <v>3.0</v>
      </c>
      <c r="T1288" s="20">
        <v>2.0</v>
      </c>
      <c r="U1288" s="131">
        <v>11289.0</v>
      </c>
      <c r="V1288" s="21" t="s">
        <v>315</v>
      </c>
      <c r="W1288" s="21" t="s">
        <v>3257</v>
      </c>
      <c r="X1288" s="21" t="s">
        <v>41</v>
      </c>
      <c r="Y1288" s="142">
        <v>46144.0</v>
      </c>
      <c r="Z1288" s="20" t="s">
        <v>4024</v>
      </c>
      <c r="AA1288" s="18">
        <v>112.0</v>
      </c>
      <c r="AB1288" s="18" t="s">
        <v>1650</v>
      </c>
      <c r="AC1288" s="18">
        <v>112.0</v>
      </c>
      <c r="AD1288" s="14">
        <v>354732.0</v>
      </c>
      <c r="AE1288" s="14" t="s">
        <v>1650</v>
      </c>
      <c r="AF1288" s="14">
        <v>354732.0</v>
      </c>
      <c r="AG1288" s="22"/>
      <c r="AH1288" s="22"/>
      <c r="AI1288" s="22"/>
      <c r="AJ1288" s="22"/>
      <c r="AK1288" s="22"/>
      <c r="AL1288" s="22"/>
      <c r="AM1288" s="22"/>
      <c r="AN1288" s="22"/>
      <c r="AO1288" s="22"/>
      <c r="AP1288" s="22"/>
    </row>
    <row r="1289" hidden="1">
      <c r="A1289" s="69">
        <v>46144.0</v>
      </c>
      <c r="B1289" s="125">
        <v>0.5</v>
      </c>
      <c r="C1289" s="126" t="s">
        <v>32</v>
      </c>
      <c r="D1289" s="102" t="s">
        <v>3243</v>
      </c>
      <c r="E1289" s="102" t="s">
        <v>179</v>
      </c>
      <c r="F1289" s="102" t="s">
        <v>3698</v>
      </c>
      <c r="G1289" s="126" t="s">
        <v>4025</v>
      </c>
      <c r="H1289" s="126" t="s">
        <v>3700</v>
      </c>
      <c r="I1289" s="102" t="s">
        <v>3755</v>
      </c>
      <c r="J1289" s="85">
        <v>7099.0</v>
      </c>
      <c r="K1289" s="85">
        <v>4217.0</v>
      </c>
      <c r="L1289" s="19">
        <v>0.5939</v>
      </c>
      <c r="M1289" s="127">
        <v>977.0</v>
      </c>
      <c r="N1289" s="128">
        <v>0.2317</v>
      </c>
      <c r="O1289" s="20">
        <v>0.0</v>
      </c>
      <c r="P1289" s="21">
        <v>0.0</v>
      </c>
      <c r="Q1289" s="19">
        <v>0.0</v>
      </c>
      <c r="R1289" s="129">
        <v>0.0</v>
      </c>
      <c r="S1289" s="20">
        <v>0.0</v>
      </c>
      <c r="T1289" s="20">
        <v>0.0</v>
      </c>
      <c r="U1289" s="131">
        <v>0.0</v>
      </c>
      <c r="V1289" s="21" t="s">
        <v>315</v>
      </c>
      <c r="W1289" s="21" t="s">
        <v>76</v>
      </c>
      <c r="X1289" s="21" t="s">
        <v>52</v>
      </c>
      <c r="Y1289" s="21" t="s">
        <v>4026</v>
      </c>
      <c r="Z1289" s="20" t="s">
        <v>4027</v>
      </c>
      <c r="AA1289" s="18">
        <v>51.0</v>
      </c>
      <c r="AB1289" s="18"/>
      <c r="AC1289" s="18">
        <v>51.0</v>
      </c>
      <c r="AD1289" s="14">
        <v>318745.0</v>
      </c>
      <c r="AE1289" s="14"/>
      <c r="AF1289" s="14">
        <v>318745.0</v>
      </c>
      <c r="AG1289" s="18"/>
      <c r="AH1289" s="18">
        <v>44.0</v>
      </c>
      <c r="AI1289" s="18">
        <v>44.0</v>
      </c>
      <c r="AJ1289" s="14"/>
      <c r="AK1289" s="14">
        <v>876500.0</v>
      </c>
      <c r="AL1289" s="14">
        <v>876500.0</v>
      </c>
      <c r="AM1289" s="22"/>
      <c r="AN1289" s="22"/>
      <c r="AO1289" s="22"/>
      <c r="AP1289" s="22"/>
    </row>
    <row r="1290" hidden="1">
      <c r="A1290" s="69">
        <v>46144.0</v>
      </c>
      <c r="B1290" s="125">
        <v>0.5034722222222222</v>
      </c>
      <c r="C1290" s="126" t="s">
        <v>32</v>
      </c>
      <c r="D1290" s="102" t="s">
        <v>3243</v>
      </c>
      <c r="E1290" s="102" t="s">
        <v>179</v>
      </c>
      <c r="F1290" s="102" t="s">
        <v>3698</v>
      </c>
      <c r="G1290" s="126" t="s">
        <v>4028</v>
      </c>
      <c r="H1290" s="126" t="s">
        <v>3704</v>
      </c>
      <c r="I1290" s="102" t="s">
        <v>3752</v>
      </c>
      <c r="J1290" s="85">
        <v>6664.0</v>
      </c>
      <c r="K1290" s="85">
        <v>3931.0</v>
      </c>
      <c r="L1290" s="19">
        <v>0.5897</v>
      </c>
      <c r="M1290" s="127">
        <v>876.0</v>
      </c>
      <c r="N1290" s="128">
        <v>0.2229</v>
      </c>
      <c r="O1290" s="20">
        <v>0.0</v>
      </c>
      <c r="P1290" s="21">
        <v>0.0</v>
      </c>
      <c r="Q1290" s="19">
        <v>0.0</v>
      </c>
      <c r="R1290" s="129">
        <v>0.0</v>
      </c>
      <c r="S1290" s="20">
        <v>0.0</v>
      </c>
      <c r="T1290" s="20">
        <v>1.0</v>
      </c>
      <c r="U1290" s="131">
        <v>0.0</v>
      </c>
      <c r="V1290" s="21" t="s">
        <v>315</v>
      </c>
      <c r="W1290" s="21" t="s">
        <v>76</v>
      </c>
      <c r="X1290" s="21" t="s">
        <v>3705</v>
      </c>
      <c r="Y1290" s="21" t="s">
        <v>4026</v>
      </c>
      <c r="Z1290" s="20" t="s">
        <v>4029</v>
      </c>
      <c r="AA1290" s="18">
        <v>43.0</v>
      </c>
      <c r="AB1290" s="18"/>
      <c r="AC1290" s="18">
        <v>43.0</v>
      </c>
      <c r="AD1290" s="14">
        <v>276413.0</v>
      </c>
      <c r="AE1290" s="14"/>
      <c r="AF1290" s="14">
        <v>276413.0</v>
      </c>
      <c r="AG1290" s="18"/>
      <c r="AH1290" s="18">
        <v>35.0</v>
      </c>
      <c r="AI1290" s="18">
        <v>35.0</v>
      </c>
      <c r="AJ1290" s="14"/>
      <c r="AK1290" s="14">
        <v>2028652.0</v>
      </c>
      <c r="AL1290" s="14">
        <v>2028652.0</v>
      </c>
      <c r="AM1290" s="22"/>
      <c r="AN1290" s="22"/>
      <c r="AO1290" s="22"/>
      <c r="AP1290" s="22"/>
    </row>
    <row r="1291" hidden="1">
      <c r="A1291" s="69">
        <v>46144.0</v>
      </c>
      <c r="B1291" s="125">
        <v>0.5069444444444444</v>
      </c>
      <c r="C1291" s="126" t="s">
        <v>32</v>
      </c>
      <c r="D1291" s="102" t="s">
        <v>3243</v>
      </c>
      <c r="E1291" s="102" t="s">
        <v>179</v>
      </c>
      <c r="F1291" s="102" t="s">
        <v>3698</v>
      </c>
      <c r="G1291" s="126" t="s">
        <v>3707</v>
      </c>
      <c r="H1291" s="126" t="s">
        <v>3708</v>
      </c>
      <c r="I1291" s="102" t="s">
        <v>3749</v>
      </c>
      <c r="J1291" s="85">
        <v>23093.0</v>
      </c>
      <c r="K1291" s="85">
        <v>11148.0</v>
      </c>
      <c r="L1291" s="19">
        <v>0.4827</v>
      </c>
      <c r="M1291" s="127">
        <v>2465.0</v>
      </c>
      <c r="N1291" s="128">
        <v>0.2211</v>
      </c>
      <c r="O1291" s="20">
        <v>0.0</v>
      </c>
      <c r="P1291" s="21">
        <v>0.0</v>
      </c>
      <c r="Q1291" s="19">
        <v>0.0</v>
      </c>
      <c r="R1291" s="129">
        <v>0.0</v>
      </c>
      <c r="S1291" s="20">
        <v>1.0</v>
      </c>
      <c r="T1291" s="20">
        <v>2.0</v>
      </c>
      <c r="U1291" s="131">
        <v>1100.0</v>
      </c>
      <c r="V1291" s="21" t="s">
        <v>315</v>
      </c>
      <c r="W1291" s="21" t="s">
        <v>76</v>
      </c>
      <c r="X1291" s="21" t="s">
        <v>2594</v>
      </c>
      <c r="Y1291" s="21" t="s">
        <v>4026</v>
      </c>
      <c r="Z1291" s="20" t="s">
        <v>4030</v>
      </c>
      <c r="AA1291" s="18">
        <v>21.0</v>
      </c>
      <c r="AB1291" s="18"/>
      <c r="AC1291" s="18">
        <v>21.0</v>
      </c>
      <c r="AD1291" s="14">
        <v>46053.0</v>
      </c>
      <c r="AE1291" s="14"/>
      <c r="AF1291" s="14">
        <v>46053.0</v>
      </c>
      <c r="AG1291" s="18"/>
      <c r="AH1291" s="18">
        <v>21.0</v>
      </c>
      <c r="AI1291" s="18">
        <v>21.0</v>
      </c>
      <c r="AJ1291" s="14"/>
      <c r="AK1291" s="14">
        <v>93212.0</v>
      </c>
      <c r="AL1291" s="14">
        <v>93212.0</v>
      </c>
      <c r="AM1291" s="22"/>
      <c r="AN1291" s="22"/>
      <c r="AO1291" s="22"/>
      <c r="AP1291" s="22"/>
    </row>
    <row r="1292" hidden="1">
      <c r="A1292" s="69">
        <v>46144.0</v>
      </c>
      <c r="B1292" s="125">
        <v>0.5104166666666666</v>
      </c>
      <c r="C1292" s="126" t="s">
        <v>32</v>
      </c>
      <c r="D1292" s="102" t="s">
        <v>3243</v>
      </c>
      <c r="E1292" s="102" t="s">
        <v>179</v>
      </c>
      <c r="F1292" s="102" t="s">
        <v>3698</v>
      </c>
      <c r="G1292" s="126" t="s">
        <v>4031</v>
      </c>
      <c r="H1292" s="126" t="s">
        <v>3711</v>
      </c>
      <c r="I1292" s="102" t="s">
        <v>3746</v>
      </c>
      <c r="J1292" s="85">
        <v>33056.0</v>
      </c>
      <c r="K1292" s="85">
        <v>16297.0</v>
      </c>
      <c r="L1292" s="19">
        <v>0.493</v>
      </c>
      <c r="M1292" s="127">
        <v>2938.0</v>
      </c>
      <c r="N1292" s="128">
        <v>0.1803</v>
      </c>
      <c r="O1292" s="20">
        <v>0.0</v>
      </c>
      <c r="P1292" s="21">
        <v>0.0</v>
      </c>
      <c r="Q1292" s="19">
        <v>0.0</v>
      </c>
      <c r="R1292" s="129">
        <v>0.0</v>
      </c>
      <c r="S1292" s="20">
        <v>2.0</v>
      </c>
      <c r="T1292" s="20">
        <v>9.0</v>
      </c>
      <c r="U1292" s="131">
        <v>18246.0</v>
      </c>
      <c r="V1292" s="21" t="s">
        <v>315</v>
      </c>
      <c r="W1292" s="21" t="s">
        <v>76</v>
      </c>
      <c r="X1292" s="21" t="s">
        <v>82</v>
      </c>
      <c r="Y1292" s="21" t="s">
        <v>4026</v>
      </c>
      <c r="Z1292" s="20" t="s">
        <v>4032</v>
      </c>
      <c r="AA1292" s="18">
        <v>82.0</v>
      </c>
      <c r="AB1292" s="18"/>
      <c r="AC1292" s="18">
        <v>82.0</v>
      </c>
      <c r="AD1292" s="14">
        <v>856928.0</v>
      </c>
      <c r="AE1292" s="14"/>
      <c r="AF1292" s="14">
        <v>856928.0</v>
      </c>
      <c r="AG1292" s="18"/>
      <c r="AH1292" s="18">
        <v>38.0</v>
      </c>
      <c r="AI1292" s="18">
        <v>38.0</v>
      </c>
      <c r="AJ1292" s="14"/>
      <c r="AK1292" s="14">
        <v>608749.0</v>
      </c>
      <c r="AL1292" s="14">
        <v>608749.0</v>
      </c>
      <c r="AM1292" s="22"/>
      <c r="AN1292" s="22"/>
      <c r="AO1292" s="22"/>
      <c r="AP1292" s="22"/>
    </row>
    <row r="1293" hidden="1">
      <c r="A1293" s="69">
        <v>46144.0</v>
      </c>
      <c r="B1293" s="125">
        <v>0.5138888888888888</v>
      </c>
      <c r="C1293" s="126" t="s">
        <v>32</v>
      </c>
      <c r="D1293" s="102" t="s">
        <v>3243</v>
      </c>
      <c r="E1293" s="102" t="s">
        <v>179</v>
      </c>
      <c r="F1293" s="102" t="s">
        <v>3698</v>
      </c>
      <c r="G1293" s="126" t="s">
        <v>4033</v>
      </c>
      <c r="H1293" s="126" t="s">
        <v>3714</v>
      </c>
      <c r="I1293" s="102" t="s">
        <v>3743</v>
      </c>
      <c r="J1293" s="85">
        <v>69865.0</v>
      </c>
      <c r="K1293" s="85">
        <v>39657.0</v>
      </c>
      <c r="L1293" s="19">
        <v>0.5676</v>
      </c>
      <c r="M1293" s="127">
        <v>9339.0</v>
      </c>
      <c r="N1293" s="128">
        <v>0.2354</v>
      </c>
      <c r="O1293" s="20">
        <v>0.0</v>
      </c>
      <c r="P1293" s="21">
        <v>0.0</v>
      </c>
      <c r="Q1293" s="19">
        <v>0.0</v>
      </c>
      <c r="R1293" s="129">
        <v>0.0</v>
      </c>
      <c r="S1293" s="20">
        <v>3.0</v>
      </c>
      <c r="T1293" s="20">
        <v>10.0</v>
      </c>
      <c r="U1293" s="131">
        <v>5064.0</v>
      </c>
      <c r="V1293" s="21" t="s">
        <v>315</v>
      </c>
      <c r="W1293" s="21" t="s">
        <v>76</v>
      </c>
      <c r="X1293" s="21" t="s">
        <v>111</v>
      </c>
      <c r="Y1293" s="21" t="s">
        <v>4026</v>
      </c>
      <c r="Z1293" s="20" t="s">
        <v>4034</v>
      </c>
      <c r="AA1293" s="18">
        <v>102.0</v>
      </c>
      <c r="AB1293" s="18"/>
      <c r="AC1293" s="18">
        <v>102.0</v>
      </c>
      <c r="AD1293" s="14">
        <v>702105.0</v>
      </c>
      <c r="AE1293" s="14"/>
      <c r="AF1293" s="14">
        <v>702105.0</v>
      </c>
      <c r="AG1293" s="18"/>
      <c r="AH1293" s="18">
        <v>81.0</v>
      </c>
      <c r="AI1293" s="18">
        <v>81.0</v>
      </c>
      <c r="AJ1293" s="14"/>
      <c r="AK1293" s="14">
        <v>1120865.0</v>
      </c>
      <c r="AL1293" s="14">
        <v>1120865.0</v>
      </c>
      <c r="AM1293" s="22"/>
      <c r="AN1293" s="22"/>
      <c r="AO1293" s="22"/>
      <c r="AP1293" s="22"/>
    </row>
    <row r="1294" hidden="1">
      <c r="A1294" s="69">
        <v>46144.0</v>
      </c>
      <c r="B1294" s="125">
        <v>0.5173611111111112</v>
      </c>
      <c r="C1294" s="126" t="s">
        <v>32</v>
      </c>
      <c r="D1294" s="102" t="s">
        <v>3243</v>
      </c>
      <c r="E1294" s="102" t="s">
        <v>179</v>
      </c>
      <c r="F1294" s="102" t="s">
        <v>3698</v>
      </c>
      <c r="G1294" s="126" t="s">
        <v>4035</v>
      </c>
      <c r="H1294" s="126" t="s">
        <v>3717</v>
      </c>
      <c r="I1294" s="102" t="s">
        <v>3758</v>
      </c>
      <c r="J1294" s="85">
        <v>46669.0</v>
      </c>
      <c r="K1294" s="85">
        <v>24824.0</v>
      </c>
      <c r="L1294" s="19">
        <v>0.5319</v>
      </c>
      <c r="M1294" s="127">
        <v>5265.0</v>
      </c>
      <c r="N1294" s="128">
        <v>0.212</v>
      </c>
      <c r="O1294" s="20">
        <v>0.0</v>
      </c>
      <c r="P1294" s="21">
        <v>0.0</v>
      </c>
      <c r="Q1294" s="19">
        <v>0.0</v>
      </c>
      <c r="R1294" s="129">
        <v>0.0</v>
      </c>
      <c r="S1294" s="20">
        <v>0.0</v>
      </c>
      <c r="T1294" s="20">
        <v>2.0</v>
      </c>
      <c r="U1294" s="131">
        <v>0.0</v>
      </c>
      <c r="V1294" s="21" t="s">
        <v>315</v>
      </c>
      <c r="W1294" s="21" t="s">
        <v>76</v>
      </c>
      <c r="X1294" s="21" t="s">
        <v>69</v>
      </c>
      <c r="Y1294" s="21" t="s">
        <v>4026</v>
      </c>
      <c r="Z1294" s="20" t="s">
        <v>4036</v>
      </c>
      <c r="AA1294" s="18">
        <v>42.0</v>
      </c>
      <c r="AB1294" s="18"/>
      <c r="AC1294" s="18">
        <v>42.0</v>
      </c>
      <c r="AD1294" s="14">
        <v>256484.0</v>
      </c>
      <c r="AE1294" s="14"/>
      <c r="AF1294" s="14">
        <v>256484.0</v>
      </c>
      <c r="AG1294" s="18"/>
      <c r="AH1294" s="18">
        <v>27.0</v>
      </c>
      <c r="AI1294" s="18">
        <v>27.0</v>
      </c>
      <c r="AJ1294" s="14"/>
      <c r="AK1294" s="14">
        <v>211120.0</v>
      </c>
      <c r="AL1294" s="14">
        <v>211120.0</v>
      </c>
      <c r="AM1294" s="22"/>
      <c r="AN1294" s="22"/>
      <c r="AO1294" s="22"/>
      <c r="AP1294" s="22"/>
    </row>
    <row r="1295" hidden="1">
      <c r="A1295" s="69">
        <v>46144.0</v>
      </c>
      <c r="B1295" s="125">
        <v>0.5208333333333334</v>
      </c>
      <c r="C1295" s="126" t="s">
        <v>32</v>
      </c>
      <c r="D1295" s="102" t="s">
        <v>3243</v>
      </c>
      <c r="E1295" s="102" t="s">
        <v>179</v>
      </c>
      <c r="F1295" s="102" t="s">
        <v>3698</v>
      </c>
      <c r="G1295" s="126" t="s">
        <v>4037</v>
      </c>
      <c r="H1295" s="126" t="s">
        <v>3720</v>
      </c>
      <c r="I1295" s="102" t="s">
        <v>3738</v>
      </c>
      <c r="J1295" s="85">
        <v>7374.0</v>
      </c>
      <c r="K1295" s="85">
        <v>3539.0</v>
      </c>
      <c r="L1295" s="19">
        <v>0.4799</v>
      </c>
      <c r="M1295" s="127">
        <v>648.0</v>
      </c>
      <c r="N1295" s="128">
        <v>0.1831</v>
      </c>
      <c r="O1295" s="20">
        <v>0.0</v>
      </c>
      <c r="P1295" s="21">
        <v>0.0</v>
      </c>
      <c r="Q1295" s="19">
        <v>0.0</v>
      </c>
      <c r="R1295" s="129">
        <v>0.0</v>
      </c>
      <c r="S1295" s="20">
        <v>0.0</v>
      </c>
      <c r="T1295" s="20">
        <v>0.0</v>
      </c>
      <c r="U1295" s="131">
        <v>0.0</v>
      </c>
      <c r="V1295" s="21" t="s">
        <v>315</v>
      </c>
      <c r="W1295" s="21" t="s">
        <v>76</v>
      </c>
      <c r="X1295" s="21" t="s">
        <v>69</v>
      </c>
      <c r="Y1295" s="21" t="s">
        <v>4026</v>
      </c>
      <c r="Z1295" s="20" t="s">
        <v>4038</v>
      </c>
      <c r="AA1295" s="18">
        <v>3.0</v>
      </c>
      <c r="AB1295" s="18"/>
      <c r="AC1295" s="18">
        <v>3.0</v>
      </c>
      <c r="AD1295" s="14">
        <v>30239.0</v>
      </c>
      <c r="AE1295" s="14"/>
      <c r="AF1295" s="14">
        <v>30239.0</v>
      </c>
      <c r="AG1295" s="18"/>
      <c r="AH1295" s="18">
        <v>3.0</v>
      </c>
      <c r="AI1295" s="18">
        <v>3.0</v>
      </c>
      <c r="AJ1295" s="14"/>
      <c r="AK1295" s="14">
        <v>56069.0</v>
      </c>
      <c r="AL1295" s="14">
        <v>56069.0</v>
      </c>
      <c r="AM1295" s="22"/>
      <c r="AN1295" s="22"/>
      <c r="AO1295" s="22"/>
      <c r="AP1295" s="22"/>
    </row>
    <row r="1296" hidden="1">
      <c r="A1296" s="69">
        <v>46144.0</v>
      </c>
      <c r="B1296" s="125">
        <v>0.5833333333333334</v>
      </c>
      <c r="C1296" s="126" t="s">
        <v>58</v>
      </c>
      <c r="D1296" s="102" t="s">
        <v>3083</v>
      </c>
      <c r="E1296" s="102" t="s">
        <v>179</v>
      </c>
      <c r="F1296" s="102" t="s">
        <v>3722</v>
      </c>
      <c r="G1296" s="126" t="s">
        <v>4039</v>
      </c>
      <c r="H1296" s="126" t="s">
        <v>3700</v>
      </c>
      <c r="I1296" s="102" t="s">
        <v>61</v>
      </c>
      <c r="J1296" s="85">
        <v>2529.0</v>
      </c>
      <c r="K1296" s="85">
        <v>1591.0</v>
      </c>
      <c r="L1296" s="19">
        <v>0.6291</v>
      </c>
      <c r="M1296" s="127">
        <v>0.0</v>
      </c>
      <c r="N1296" s="128">
        <v>0.0</v>
      </c>
      <c r="O1296" s="20">
        <v>0.0</v>
      </c>
      <c r="P1296" s="21">
        <v>0.0</v>
      </c>
      <c r="Q1296" s="19">
        <v>0.0</v>
      </c>
      <c r="R1296" s="129">
        <v>0.0</v>
      </c>
      <c r="S1296" s="20">
        <v>0.0</v>
      </c>
      <c r="T1296" s="20">
        <v>0.0</v>
      </c>
      <c r="U1296" s="131">
        <v>0.0</v>
      </c>
      <c r="V1296" s="21" t="s">
        <v>315</v>
      </c>
      <c r="W1296" s="21" t="s">
        <v>3257</v>
      </c>
      <c r="X1296" s="21" t="s">
        <v>52</v>
      </c>
      <c r="Y1296" s="21" t="s">
        <v>4026</v>
      </c>
      <c r="Z1296" s="20" t="s">
        <v>4040</v>
      </c>
      <c r="AA1296" s="18">
        <v>11.0</v>
      </c>
      <c r="AB1296" s="18"/>
      <c r="AC1296" s="18">
        <v>11.0</v>
      </c>
      <c r="AD1296" s="14">
        <v>47623.0</v>
      </c>
      <c r="AE1296" s="14"/>
      <c r="AF1296" s="14">
        <v>47623.0</v>
      </c>
      <c r="AG1296" s="18"/>
      <c r="AH1296" s="18">
        <v>8.0</v>
      </c>
      <c r="AI1296" s="18">
        <v>8.0</v>
      </c>
      <c r="AJ1296" s="14"/>
      <c r="AK1296" s="14">
        <v>17784.0</v>
      </c>
      <c r="AL1296" s="14">
        <v>17784.0</v>
      </c>
      <c r="AM1296" s="22"/>
      <c r="AN1296" s="22"/>
      <c r="AO1296" s="22"/>
      <c r="AP1296" s="22"/>
    </row>
    <row r="1297" hidden="1">
      <c r="A1297" s="69">
        <v>46144.0</v>
      </c>
      <c r="B1297" s="125">
        <v>0.5868055555555556</v>
      </c>
      <c r="C1297" s="126" t="s">
        <v>58</v>
      </c>
      <c r="D1297" s="102" t="s">
        <v>3083</v>
      </c>
      <c r="E1297" s="102" t="s">
        <v>179</v>
      </c>
      <c r="F1297" s="102" t="s">
        <v>3722</v>
      </c>
      <c r="G1297" s="126" t="s">
        <v>4041</v>
      </c>
      <c r="H1297" s="126" t="s">
        <v>3704</v>
      </c>
      <c r="I1297" s="102" t="s">
        <v>61</v>
      </c>
      <c r="J1297" s="85">
        <v>2486.0</v>
      </c>
      <c r="K1297" s="85">
        <v>1598.0</v>
      </c>
      <c r="L1297" s="19">
        <v>0.6428</v>
      </c>
      <c r="M1297" s="127">
        <v>0.0</v>
      </c>
      <c r="N1297" s="128">
        <v>0.0</v>
      </c>
      <c r="O1297" s="20">
        <v>0.0</v>
      </c>
      <c r="P1297" s="21">
        <v>0.0</v>
      </c>
      <c r="Q1297" s="19">
        <v>0.0</v>
      </c>
      <c r="R1297" s="129">
        <v>0.0</v>
      </c>
      <c r="S1297" s="20">
        <v>0.0</v>
      </c>
      <c r="T1297" s="20">
        <v>3.0</v>
      </c>
      <c r="U1297" s="131">
        <v>0.0</v>
      </c>
      <c r="V1297" s="21" t="s">
        <v>315</v>
      </c>
      <c r="W1297" s="21" t="s">
        <v>3257</v>
      </c>
      <c r="X1297" s="21" t="s">
        <v>3705</v>
      </c>
      <c r="Y1297" s="21" t="s">
        <v>4026</v>
      </c>
      <c r="Z1297" s="20" t="s">
        <v>4042</v>
      </c>
      <c r="AA1297" s="18">
        <v>22.0</v>
      </c>
      <c r="AB1297" s="18"/>
      <c r="AC1297" s="18">
        <v>22.0</v>
      </c>
      <c r="AD1297" s="14">
        <v>274508.0</v>
      </c>
      <c r="AE1297" s="14"/>
      <c r="AF1297" s="14">
        <v>274508.0</v>
      </c>
      <c r="AG1297" s="18"/>
      <c r="AH1297" s="18">
        <v>16.0</v>
      </c>
      <c r="AI1297" s="18">
        <v>16.0</v>
      </c>
      <c r="AJ1297" s="14"/>
      <c r="AK1297" s="14">
        <v>393070.0</v>
      </c>
      <c r="AL1297" s="14">
        <v>393070.0</v>
      </c>
      <c r="AM1297" s="22"/>
      <c r="AN1297" s="22"/>
      <c r="AO1297" s="22"/>
      <c r="AP1297" s="22"/>
    </row>
    <row r="1298" hidden="1">
      <c r="A1298" s="69">
        <v>46144.0</v>
      </c>
      <c r="B1298" s="125">
        <v>0.5902777777777778</v>
      </c>
      <c r="C1298" s="126" t="s">
        <v>58</v>
      </c>
      <c r="D1298" s="102" t="s">
        <v>3083</v>
      </c>
      <c r="E1298" s="102" t="s">
        <v>179</v>
      </c>
      <c r="F1298" s="102" t="s">
        <v>3722</v>
      </c>
      <c r="G1298" s="126" t="s">
        <v>4043</v>
      </c>
      <c r="H1298" s="126" t="s">
        <v>3708</v>
      </c>
      <c r="I1298" s="102" t="s">
        <v>61</v>
      </c>
      <c r="J1298" s="85">
        <v>11214.0</v>
      </c>
      <c r="K1298" s="85">
        <v>7543.0</v>
      </c>
      <c r="L1298" s="19">
        <v>0.6726</v>
      </c>
      <c r="M1298" s="127">
        <v>0.0</v>
      </c>
      <c r="N1298" s="128">
        <v>0.0</v>
      </c>
      <c r="O1298" s="20">
        <v>0.0</v>
      </c>
      <c r="P1298" s="21">
        <v>0.0</v>
      </c>
      <c r="Q1298" s="19">
        <v>0.0</v>
      </c>
      <c r="R1298" s="129">
        <v>0.0</v>
      </c>
      <c r="S1298" s="20">
        <v>1.0</v>
      </c>
      <c r="T1298" s="20">
        <v>3.0</v>
      </c>
      <c r="U1298" s="131">
        <v>4699.0</v>
      </c>
      <c r="V1298" s="21" t="s">
        <v>315</v>
      </c>
      <c r="W1298" s="21" t="s">
        <v>3257</v>
      </c>
      <c r="X1298" s="21" t="s">
        <v>2594</v>
      </c>
      <c r="Y1298" s="21" t="s">
        <v>4026</v>
      </c>
      <c r="Z1298" s="20" t="s">
        <v>4044</v>
      </c>
      <c r="AA1298" s="18">
        <v>17.0</v>
      </c>
      <c r="AB1298" s="18"/>
      <c r="AC1298" s="18">
        <v>17.0</v>
      </c>
      <c r="AD1298" s="14">
        <v>35626.0</v>
      </c>
      <c r="AE1298" s="14"/>
      <c r="AF1298" s="14">
        <v>35626.0</v>
      </c>
      <c r="AG1298" s="18"/>
      <c r="AH1298" s="18">
        <v>16.0</v>
      </c>
      <c r="AI1298" s="18">
        <v>16.0</v>
      </c>
      <c r="AJ1298" s="14"/>
      <c r="AK1298" s="14">
        <v>36967.0</v>
      </c>
      <c r="AL1298" s="14">
        <v>36967.0</v>
      </c>
      <c r="AM1298" s="22"/>
      <c r="AN1298" s="22"/>
      <c r="AO1298" s="22"/>
      <c r="AP1298" s="22"/>
    </row>
    <row r="1299" hidden="1">
      <c r="A1299" s="69">
        <v>46144.0</v>
      </c>
      <c r="B1299" s="125">
        <v>0.59375</v>
      </c>
      <c r="C1299" s="126" t="s">
        <v>58</v>
      </c>
      <c r="D1299" s="102" t="s">
        <v>3083</v>
      </c>
      <c r="E1299" s="102" t="s">
        <v>179</v>
      </c>
      <c r="F1299" s="102" t="s">
        <v>3722</v>
      </c>
      <c r="G1299" s="126" t="s">
        <v>4045</v>
      </c>
      <c r="H1299" s="126" t="s">
        <v>3711</v>
      </c>
      <c r="I1299" s="102" t="s">
        <v>61</v>
      </c>
      <c r="J1299" s="85">
        <v>14728.0</v>
      </c>
      <c r="K1299" s="85">
        <v>8012.0</v>
      </c>
      <c r="L1299" s="19">
        <v>0.544</v>
      </c>
      <c r="M1299" s="127">
        <v>0.0</v>
      </c>
      <c r="N1299" s="128">
        <v>0.0</v>
      </c>
      <c r="O1299" s="20">
        <v>0.0</v>
      </c>
      <c r="P1299" s="21">
        <v>0.0</v>
      </c>
      <c r="Q1299" s="19">
        <v>0.0</v>
      </c>
      <c r="R1299" s="129">
        <v>0.0</v>
      </c>
      <c r="S1299" s="20">
        <v>1.0</v>
      </c>
      <c r="T1299" s="20">
        <v>2.0</v>
      </c>
      <c r="U1299" s="131">
        <v>19958.0</v>
      </c>
      <c r="V1299" s="21" t="s">
        <v>315</v>
      </c>
      <c r="W1299" s="21" t="s">
        <v>3257</v>
      </c>
      <c r="X1299" s="21" t="s">
        <v>82</v>
      </c>
      <c r="Y1299" s="21" t="s">
        <v>4026</v>
      </c>
      <c r="Z1299" s="20" t="s">
        <v>4046</v>
      </c>
      <c r="AA1299" s="18">
        <v>38.0</v>
      </c>
      <c r="AB1299" s="18"/>
      <c r="AC1299" s="18">
        <v>38.0</v>
      </c>
      <c r="AD1299" s="14">
        <v>466475.0</v>
      </c>
      <c r="AE1299" s="14"/>
      <c r="AF1299" s="14">
        <v>466475.0</v>
      </c>
      <c r="AG1299" s="18"/>
      <c r="AH1299" s="18">
        <v>11.0</v>
      </c>
      <c r="AI1299" s="18">
        <v>11.0</v>
      </c>
      <c r="AJ1299" s="14"/>
      <c r="AK1299" s="14">
        <v>248299.0</v>
      </c>
      <c r="AL1299" s="14">
        <v>248299.0</v>
      </c>
      <c r="AM1299" s="22"/>
      <c r="AN1299" s="22"/>
      <c r="AO1299" s="22"/>
      <c r="AP1299" s="22"/>
    </row>
    <row r="1300" hidden="1">
      <c r="A1300" s="69">
        <v>46144.0</v>
      </c>
      <c r="B1300" s="125">
        <v>0.6006944444444444</v>
      </c>
      <c r="C1300" s="126" t="s">
        <v>58</v>
      </c>
      <c r="D1300" s="102" t="s">
        <v>3083</v>
      </c>
      <c r="E1300" s="102" t="s">
        <v>179</v>
      </c>
      <c r="F1300" s="102" t="s">
        <v>3722</v>
      </c>
      <c r="G1300" s="126" t="s">
        <v>4047</v>
      </c>
      <c r="H1300" s="126" t="s">
        <v>3717</v>
      </c>
      <c r="I1300" s="102" t="s">
        <v>61</v>
      </c>
      <c r="J1300" s="85">
        <v>19367.0</v>
      </c>
      <c r="K1300" s="85">
        <v>11009.0</v>
      </c>
      <c r="L1300" s="19">
        <v>0.5684</v>
      </c>
      <c r="M1300" s="127">
        <v>0.0</v>
      </c>
      <c r="N1300" s="128">
        <v>0.0</v>
      </c>
      <c r="O1300" s="20">
        <v>0.0</v>
      </c>
      <c r="P1300" s="21">
        <v>0.0</v>
      </c>
      <c r="Q1300" s="19">
        <v>0.0</v>
      </c>
      <c r="R1300" s="129">
        <v>0.0</v>
      </c>
      <c r="S1300" s="20">
        <v>0.0</v>
      </c>
      <c r="T1300" s="20">
        <v>1.0</v>
      </c>
      <c r="U1300" s="131">
        <v>0.0</v>
      </c>
      <c r="V1300" s="21" t="s">
        <v>315</v>
      </c>
      <c r="W1300" s="21" t="s">
        <v>3257</v>
      </c>
      <c r="X1300" s="21" t="s">
        <v>69</v>
      </c>
      <c r="Y1300" s="21" t="s">
        <v>4026</v>
      </c>
      <c r="Z1300" s="20" t="s">
        <v>4048</v>
      </c>
      <c r="AA1300" s="18">
        <v>13.0</v>
      </c>
      <c r="AB1300" s="18"/>
      <c r="AC1300" s="18">
        <v>13.0</v>
      </c>
      <c r="AD1300" s="14">
        <v>89841.0</v>
      </c>
      <c r="AE1300" s="14"/>
      <c r="AF1300" s="14">
        <v>89841.0</v>
      </c>
      <c r="AG1300" s="18"/>
      <c r="AH1300" s="18">
        <v>9.0</v>
      </c>
      <c r="AI1300" s="18">
        <v>9.0</v>
      </c>
      <c r="AJ1300" s="14"/>
      <c r="AK1300" s="14">
        <v>91994.0</v>
      </c>
      <c r="AL1300" s="14">
        <v>91994.0</v>
      </c>
      <c r="AM1300" s="22"/>
      <c r="AN1300" s="22"/>
      <c r="AO1300" s="22"/>
      <c r="AP1300" s="22"/>
    </row>
    <row r="1301" hidden="1">
      <c r="A1301" s="69">
        <v>46144.0</v>
      </c>
      <c r="B1301" s="125">
        <v>0.6041666666666666</v>
      </c>
      <c r="C1301" s="126" t="s">
        <v>58</v>
      </c>
      <c r="D1301" s="102" t="s">
        <v>3083</v>
      </c>
      <c r="E1301" s="102" t="s">
        <v>179</v>
      </c>
      <c r="F1301" s="102" t="s">
        <v>3722</v>
      </c>
      <c r="G1301" s="126" t="s">
        <v>4049</v>
      </c>
      <c r="H1301" s="126" t="s">
        <v>3720</v>
      </c>
      <c r="I1301" s="102" t="s">
        <v>61</v>
      </c>
      <c r="J1301" s="85">
        <v>3162.0</v>
      </c>
      <c r="K1301" s="85">
        <v>1561.0</v>
      </c>
      <c r="L1301" s="19">
        <v>0.4937</v>
      </c>
      <c r="M1301" s="127">
        <v>0.0</v>
      </c>
      <c r="N1301" s="128">
        <v>0.0</v>
      </c>
      <c r="O1301" s="20">
        <v>0.0</v>
      </c>
      <c r="P1301" s="21">
        <v>0.0</v>
      </c>
      <c r="Q1301" s="19">
        <v>0.0</v>
      </c>
      <c r="R1301" s="129">
        <v>0.0</v>
      </c>
      <c r="S1301" s="20">
        <v>0.0</v>
      </c>
      <c r="T1301" s="20">
        <v>0.0</v>
      </c>
      <c r="U1301" s="131">
        <v>0.0</v>
      </c>
      <c r="V1301" s="21" t="s">
        <v>315</v>
      </c>
      <c r="W1301" s="21" t="s">
        <v>3257</v>
      </c>
      <c r="X1301" s="21" t="s">
        <v>69</v>
      </c>
      <c r="Y1301" s="21" t="s">
        <v>4026</v>
      </c>
      <c r="Z1301" s="20" t="s">
        <v>4050</v>
      </c>
      <c r="AA1301" s="18">
        <v>3.0</v>
      </c>
      <c r="AB1301" s="18"/>
      <c r="AC1301" s="18">
        <v>3.0</v>
      </c>
      <c r="AD1301" s="14">
        <v>27891.0</v>
      </c>
      <c r="AE1301" s="14"/>
      <c r="AF1301" s="14">
        <v>27891.0</v>
      </c>
      <c r="AG1301" s="18"/>
      <c r="AH1301" s="18">
        <v>2.0</v>
      </c>
      <c r="AI1301" s="18">
        <v>2.0</v>
      </c>
      <c r="AJ1301" s="14"/>
      <c r="AK1301" s="14">
        <v>37784.0</v>
      </c>
      <c r="AL1301" s="14">
        <v>37784.0</v>
      </c>
      <c r="AM1301" s="22"/>
      <c r="AN1301" s="22"/>
      <c r="AO1301" s="22"/>
      <c r="AP1301" s="22"/>
    </row>
    <row r="1302" hidden="1">
      <c r="A1302" s="69">
        <v>46144.0</v>
      </c>
      <c r="B1302" s="125">
        <v>0.5972222222222222</v>
      </c>
      <c r="C1302" s="126" t="s">
        <v>58</v>
      </c>
      <c r="D1302" s="102" t="s">
        <v>3083</v>
      </c>
      <c r="E1302" s="102" t="s">
        <v>179</v>
      </c>
      <c r="F1302" s="102" t="s">
        <v>3722</v>
      </c>
      <c r="G1302" s="126" t="s">
        <v>4051</v>
      </c>
      <c r="H1302" s="126" t="s">
        <v>3714</v>
      </c>
      <c r="I1302" s="102" t="s">
        <v>61</v>
      </c>
      <c r="J1302" s="85">
        <v>28096.0</v>
      </c>
      <c r="K1302" s="85">
        <v>17399.0</v>
      </c>
      <c r="L1302" s="19">
        <v>0.6193</v>
      </c>
      <c r="M1302" s="127">
        <v>0.0</v>
      </c>
      <c r="N1302" s="128">
        <v>0.0</v>
      </c>
      <c r="O1302" s="20">
        <v>0.0</v>
      </c>
      <c r="P1302" s="21">
        <v>0.0</v>
      </c>
      <c r="Q1302" s="19">
        <v>0.0</v>
      </c>
      <c r="R1302" s="129">
        <v>0.0</v>
      </c>
      <c r="S1302" s="20">
        <v>0.0</v>
      </c>
      <c r="T1302" s="20">
        <v>2.0</v>
      </c>
      <c r="U1302" s="131">
        <v>0.0</v>
      </c>
      <c r="V1302" s="21" t="s">
        <v>315</v>
      </c>
      <c r="W1302" s="21" t="s">
        <v>3257</v>
      </c>
      <c r="X1302" s="21" t="s">
        <v>111</v>
      </c>
      <c r="Y1302" s="21" t="s">
        <v>4026</v>
      </c>
      <c r="Z1302" s="20" t="s">
        <v>4052</v>
      </c>
      <c r="AA1302" s="111">
        <v>43.0</v>
      </c>
      <c r="AB1302" s="18"/>
      <c r="AC1302" s="18">
        <v>43.0</v>
      </c>
      <c r="AD1302" s="14">
        <v>338678.0</v>
      </c>
      <c r="AE1302" s="14"/>
      <c r="AF1302" s="14">
        <v>338678.0</v>
      </c>
      <c r="AG1302" s="18"/>
      <c r="AH1302" s="18">
        <v>27.0</v>
      </c>
      <c r="AI1302" s="18">
        <v>27.0</v>
      </c>
      <c r="AJ1302" s="14"/>
      <c r="AK1302" s="14">
        <v>220242.0</v>
      </c>
      <c r="AL1302" s="14">
        <v>220242.0</v>
      </c>
      <c r="AM1302" s="22"/>
      <c r="AN1302" s="22"/>
      <c r="AO1302" s="22"/>
      <c r="AP1302" s="22"/>
    </row>
    <row r="1303" hidden="1">
      <c r="A1303" s="69">
        <v>46144.0</v>
      </c>
      <c r="B1303" s="125">
        <v>0.4166666666666667</v>
      </c>
      <c r="C1303" s="126" t="s">
        <v>32</v>
      </c>
      <c r="D1303" s="102" t="s">
        <v>3243</v>
      </c>
      <c r="E1303" s="102" t="s">
        <v>34</v>
      </c>
      <c r="F1303" s="102" t="s">
        <v>3760</v>
      </c>
      <c r="G1303" s="126" t="s">
        <v>4053</v>
      </c>
      <c r="H1303" s="126" t="s">
        <v>4054</v>
      </c>
      <c r="I1303" s="102" t="s">
        <v>1101</v>
      </c>
      <c r="J1303" s="85">
        <v>67.0</v>
      </c>
      <c r="K1303" s="85">
        <v>37.0</v>
      </c>
      <c r="L1303" s="19">
        <v>0.5522</v>
      </c>
      <c r="M1303" s="127">
        <v>22.0</v>
      </c>
      <c r="N1303" s="128">
        <v>0.5946</v>
      </c>
      <c r="O1303" s="20">
        <v>3.0</v>
      </c>
      <c r="P1303" s="21">
        <v>3.0</v>
      </c>
      <c r="Q1303" s="19">
        <v>0.0811</v>
      </c>
      <c r="R1303" s="129">
        <v>0.1364</v>
      </c>
      <c r="S1303" s="20">
        <v>0.0</v>
      </c>
      <c r="T1303" s="20">
        <v>0.0</v>
      </c>
      <c r="U1303" s="131">
        <v>0.0</v>
      </c>
      <c r="V1303" s="132" t="s">
        <v>335</v>
      </c>
      <c r="W1303" s="21" t="s">
        <v>76</v>
      </c>
      <c r="X1303" s="21" t="s">
        <v>1101</v>
      </c>
      <c r="Y1303" s="21" t="s">
        <v>4055</v>
      </c>
      <c r="Z1303" s="20" t="s">
        <v>4056</v>
      </c>
      <c r="AA1303" s="14"/>
      <c r="AB1303" s="14"/>
      <c r="AC1303" s="52"/>
      <c r="AD1303" s="14"/>
      <c r="AE1303" s="14"/>
      <c r="AF1303" s="52"/>
      <c r="AG1303" s="22"/>
      <c r="AH1303" s="22"/>
      <c r="AI1303" s="22"/>
      <c r="AJ1303" s="22"/>
      <c r="AK1303" s="22"/>
      <c r="AL1303" s="22"/>
      <c r="AM1303" s="22"/>
      <c r="AN1303" s="22"/>
      <c r="AO1303" s="22"/>
      <c r="AP1303" s="22"/>
    </row>
    <row r="1304" hidden="1">
      <c r="A1304" s="69">
        <v>46144.0</v>
      </c>
      <c r="B1304" s="125">
        <v>0.59375</v>
      </c>
      <c r="C1304" s="126" t="s">
        <v>32</v>
      </c>
      <c r="D1304" s="102" t="s">
        <v>3243</v>
      </c>
      <c r="E1304" s="102" t="s">
        <v>34</v>
      </c>
      <c r="F1304" s="102" t="s">
        <v>3760</v>
      </c>
      <c r="G1304" s="126" t="s">
        <v>4057</v>
      </c>
      <c r="H1304" s="126" t="s">
        <v>4058</v>
      </c>
      <c r="I1304" s="102" t="s">
        <v>1101</v>
      </c>
      <c r="J1304" s="85">
        <v>74.0</v>
      </c>
      <c r="K1304" s="85">
        <v>33.0</v>
      </c>
      <c r="L1304" s="19">
        <v>0.4459</v>
      </c>
      <c r="M1304" s="127">
        <v>18.0</v>
      </c>
      <c r="N1304" s="128">
        <v>0.5455</v>
      </c>
      <c r="O1304" s="20">
        <v>7.0</v>
      </c>
      <c r="P1304" s="21">
        <v>7.0</v>
      </c>
      <c r="Q1304" s="19">
        <v>0.2121</v>
      </c>
      <c r="R1304" s="129">
        <v>0.3889</v>
      </c>
      <c r="S1304" s="20">
        <v>0.0</v>
      </c>
      <c r="T1304" s="20">
        <v>2.0</v>
      </c>
      <c r="U1304" s="131">
        <v>0.0</v>
      </c>
      <c r="V1304" s="132" t="s">
        <v>335</v>
      </c>
      <c r="W1304" s="21" t="s">
        <v>76</v>
      </c>
      <c r="X1304" s="21" t="s">
        <v>1101</v>
      </c>
      <c r="Y1304" s="21" t="s">
        <v>4055</v>
      </c>
      <c r="Z1304" s="20" t="s">
        <v>4059</v>
      </c>
      <c r="AA1304" s="14"/>
      <c r="AB1304" s="14"/>
      <c r="AC1304" s="52"/>
      <c r="AD1304" s="14"/>
      <c r="AE1304" s="14"/>
      <c r="AF1304" s="52"/>
      <c r="AG1304" s="22"/>
      <c r="AH1304" s="22"/>
      <c r="AI1304" s="22"/>
      <c r="AJ1304" s="22"/>
      <c r="AK1304" s="22"/>
      <c r="AL1304" s="22"/>
      <c r="AM1304" s="22"/>
      <c r="AN1304" s="22"/>
      <c r="AO1304" s="22"/>
      <c r="AP1304" s="22"/>
    </row>
    <row r="1305" hidden="1">
      <c r="A1305" s="69">
        <v>46144.0</v>
      </c>
      <c r="B1305" s="125">
        <v>0.7291666666666666</v>
      </c>
      <c r="C1305" s="126" t="s">
        <v>32</v>
      </c>
      <c r="D1305" s="102" t="s">
        <v>3243</v>
      </c>
      <c r="E1305" s="102" t="s">
        <v>34</v>
      </c>
      <c r="F1305" s="102" t="s">
        <v>3760</v>
      </c>
      <c r="G1305" s="126" t="s">
        <v>4060</v>
      </c>
      <c r="H1305" s="126" t="s">
        <v>4061</v>
      </c>
      <c r="I1305" s="102" t="s">
        <v>1101</v>
      </c>
      <c r="J1305" s="85">
        <v>36271.0</v>
      </c>
      <c r="K1305" s="85">
        <v>13722.0</v>
      </c>
      <c r="L1305" s="19">
        <v>0.3782</v>
      </c>
      <c r="M1305" s="127">
        <v>5611.0</v>
      </c>
      <c r="N1305" s="128">
        <v>0.4089</v>
      </c>
      <c r="O1305" s="20">
        <v>655.0</v>
      </c>
      <c r="P1305" s="21">
        <v>597.0</v>
      </c>
      <c r="Q1305" s="19">
        <v>0.0435</v>
      </c>
      <c r="R1305" s="129">
        <v>0.1064</v>
      </c>
      <c r="S1305" s="20">
        <v>3.0</v>
      </c>
      <c r="T1305" s="20">
        <v>9.0</v>
      </c>
      <c r="U1305" s="131">
        <v>50996.0</v>
      </c>
      <c r="V1305" s="21" t="s">
        <v>315</v>
      </c>
      <c r="W1305" s="21" t="s">
        <v>76</v>
      </c>
      <c r="X1305" s="21" t="s">
        <v>1101</v>
      </c>
      <c r="Y1305" s="21" t="s">
        <v>4055</v>
      </c>
      <c r="Z1305" s="20" t="s">
        <v>4062</v>
      </c>
      <c r="AA1305" s="14"/>
      <c r="AB1305" s="14"/>
      <c r="AC1305" s="18"/>
      <c r="AD1305" s="14"/>
      <c r="AE1305" s="14"/>
      <c r="AF1305" s="14"/>
      <c r="AG1305" s="22"/>
      <c r="AH1305" s="22"/>
      <c r="AI1305" s="22"/>
      <c r="AJ1305" s="22"/>
      <c r="AK1305" s="22"/>
      <c r="AL1305" s="22"/>
      <c r="AM1305" s="22"/>
      <c r="AN1305" s="22"/>
      <c r="AO1305" s="22"/>
      <c r="AP1305" s="22"/>
    </row>
    <row r="1306" hidden="1">
      <c r="A1306" s="69">
        <v>46144.0</v>
      </c>
      <c r="B1306" s="125">
        <v>0.6666666666666666</v>
      </c>
      <c r="C1306" s="126" t="s">
        <v>58</v>
      </c>
      <c r="D1306" s="102" t="s">
        <v>3083</v>
      </c>
      <c r="E1306" s="102" t="s">
        <v>34</v>
      </c>
      <c r="F1306" s="102" t="s">
        <v>3800</v>
      </c>
      <c r="G1306" s="126" t="s">
        <v>4063</v>
      </c>
      <c r="H1306" s="126" t="s">
        <v>4058</v>
      </c>
      <c r="I1306" s="102" t="s">
        <v>61</v>
      </c>
      <c r="J1306" s="85">
        <v>61.0</v>
      </c>
      <c r="K1306" s="85">
        <v>39.0</v>
      </c>
      <c r="L1306" s="19">
        <v>0.6393</v>
      </c>
      <c r="M1306" s="127">
        <v>0.0</v>
      </c>
      <c r="N1306" s="128">
        <v>0.0</v>
      </c>
      <c r="O1306" s="20">
        <v>0.0</v>
      </c>
      <c r="P1306" s="21">
        <v>0.0</v>
      </c>
      <c r="Q1306" s="19">
        <v>0.0</v>
      </c>
      <c r="R1306" s="129">
        <v>0.0</v>
      </c>
      <c r="S1306" s="20">
        <v>1.0</v>
      </c>
      <c r="T1306" s="20">
        <v>4.0</v>
      </c>
      <c r="U1306" s="131">
        <v>12999.0</v>
      </c>
      <c r="V1306" s="21" t="s">
        <v>335</v>
      </c>
      <c r="W1306" s="21" t="s">
        <v>3257</v>
      </c>
      <c r="X1306" s="21" t="s">
        <v>4064</v>
      </c>
      <c r="Y1306" s="21" t="s">
        <v>4055</v>
      </c>
      <c r="Z1306" s="20" t="s">
        <v>4065</v>
      </c>
      <c r="AA1306" s="14"/>
      <c r="AB1306" s="14"/>
      <c r="AC1306" s="52"/>
      <c r="AD1306" s="14"/>
      <c r="AE1306" s="14"/>
      <c r="AF1306" s="52"/>
      <c r="AG1306" s="22"/>
      <c r="AH1306" s="22"/>
      <c r="AI1306" s="22"/>
      <c r="AJ1306" s="22"/>
      <c r="AK1306" s="22"/>
      <c r="AL1306" s="22"/>
      <c r="AM1306" s="22"/>
      <c r="AN1306" s="22"/>
      <c r="AO1306" s="22"/>
      <c r="AP1306" s="22"/>
    </row>
    <row r="1307" hidden="1">
      <c r="A1307" s="69">
        <v>46145.0</v>
      </c>
      <c r="B1307" s="125">
        <v>0.3541666666666667</v>
      </c>
      <c r="C1307" s="126" t="s">
        <v>32</v>
      </c>
      <c r="D1307" s="102" t="s">
        <v>3243</v>
      </c>
      <c r="E1307" s="102" t="s">
        <v>2212</v>
      </c>
      <c r="F1307" s="102" t="s">
        <v>3760</v>
      </c>
      <c r="G1307" s="126" t="s">
        <v>4066</v>
      </c>
      <c r="H1307" s="126" t="s">
        <v>3876</v>
      </c>
      <c r="I1307" s="102" t="s">
        <v>3877</v>
      </c>
      <c r="J1307" s="85">
        <v>229680.0</v>
      </c>
      <c r="K1307" s="85">
        <v>110894.0</v>
      </c>
      <c r="L1307" s="19">
        <v>0.4827</v>
      </c>
      <c r="M1307" s="127">
        <v>34000.0</v>
      </c>
      <c r="N1307" s="128">
        <v>0.3064</v>
      </c>
      <c r="O1307" s="20">
        <v>2658.0</v>
      </c>
      <c r="P1307" s="21">
        <v>2545.0</v>
      </c>
      <c r="Q1307" s="19">
        <v>0.023</v>
      </c>
      <c r="R1307" s="129">
        <v>0.0749</v>
      </c>
      <c r="S1307" s="20">
        <v>0.0</v>
      </c>
      <c r="T1307" s="20">
        <v>0.0</v>
      </c>
      <c r="U1307" s="131">
        <v>0.0</v>
      </c>
      <c r="V1307" s="21" t="s">
        <v>2175</v>
      </c>
      <c r="W1307" s="21" t="s">
        <v>76</v>
      </c>
      <c r="X1307" s="21" t="s">
        <v>3877</v>
      </c>
      <c r="Y1307" s="21" t="s">
        <v>3878</v>
      </c>
      <c r="Z1307" s="20" t="s">
        <v>4067</v>
      </c>
      <c r="AA1307" s="111"/>
      <c r="AB1307" s="18"/>
      <c r="AC1307" s="52"/>
      <c r="AD1307" s="14"/>
      <c r="AE1307" s="14"/>
      <c r="AF1307" s="52"/>
      <c r="AG1307" s="22"/>
      <c r="AH1307" s="22"/>
      <c r="AI1307" s="22"/>
      <c r="AJ1307" s="22"/>
      <c r="AK1307" s="22"/>
      <c r="AL1307" s="22"/>
      <c r="AM1307" s="22"/>
      <c r="AN1307" s="22"/>
      <c r="AO1307" s="22"/>
      <c r="AP1307" s="22"/>
    </row>
    <row r="1308" hidden="1">
      <c r="A1308" s="69">
        <v>46145.0</v>
      </c>
      <c r="B1308" s="125">
        <v>0.3576388888888889</v>
      </c>
      <c r="C1308" s="126" t="s">
        <v>32</v>
      </c>
      <c r="D1308" s="102" t="s">
        <v>3243</v>
      </c>
      <c r="E1308" s="102" t="s">
        <v>2212</v>
      </c>
      <c r="F1308" s="102" t="s">
        <v>3760</v>
      </c>
      <c r="G1308" s="126" t="s">
        <v>4068</v>
      </c>
      <c r="H1308" s="126" t="s">
        <v>3881</v>
      </c>
      <c r="I1308" s="102" t="s">
        <v>3882</v>
      </c>
      <c r="J1308" s="85">
        <v>133264.0</v>
      </c>
      <c r="K1308" s="85">
        <v>62846.0</v>
      </c>
      <c r="L1308" s="19">
        <v>0.4715</v>
      </c>
      <c r="M1308" s="127">
        <v>20457.0</v>
      </c>
      <c r="N1308" s="128">
        <v>0.3252</v>
      </c>
      <c r="O1308" s="20">
        <v>1470.0</v>
      </c>
      <c r="P1308" s="21">
        <v>1420.0</v>
      </c>
      <c r="Q1308" s="19">
        <v>0.0226</v>
      </c>
      <c r="R1308" s="129">
        <v>0.0695</v>
      </c>
      <c r="S1308" s="20">
        <v>0.0</v>
      </c>
      <c r="T1308" s="20">
        <v>0.0</v>
      </c>
      <c r="U1308" s="131">
        <v>0.0</v>
      </c>
      <c r="V1308" s="21" t="s">
        <v>2175</v>
      </c>
      <c r="W1308" s="21" t="s">
        <v>76</v>
      </c>
      <c r="X1308" s="21" t="s">
        <v>3883</v>
      </c>
      <c r="Y1308" s="21" t="s">
        <v>3878</v>
      </c>
      <c r="Z1308" s="20" t="s">
        <v>4069</v>
      </c>
      <c r="AA1308" s="111"/>
      <c r="AB1308" s="18"/>
      <c r="AC1308" s="52"/>
      <c r="AD1308" s="14"/>
      <c r="AE1308" s="14"/>
      <c r="AF1308" s="52"/>
      <c r="AG1308" s="22"/>
      <c r="AH1308" s="22"/>
      <c r="AI1308" s="22"/>
      <c r="AJ1308" s="22"/>
      <c r="AK1308" s="22"/>
      <c r="AL1308" s="22"/>
      <c r="AM1308" s="22"/>
      <c r="AN1308" s="22"/>
      <c r="AO1308" s="22"/>
      <c r="AP1308" s="22"/>
    </row>
    <row r="1309" hidden="1">
      <c r="A1309" s="69">
        <v>46145.0</v>
      </c>
      <c r="B1309" s="125">
        <v>0.3611111111111111</v>
      </c>
      <c r="C1309" s="126" t="s">
        <v>32</v>
      </c>
      <c r="D1309" s="102" t="s">
        <v>3243</v>
      </c>
      <c r="E1309" s="102" t="s">
        <v>2212</v>
      </c>
      <c r="F1309" s="102" t="s">
        <v>3760</v>
      </c>
      <c r="G1309" s="126" t="s">
        <v>4070</v>
      </c>
      <c r="H1309" s="126" t="s">
        <v>3886</v>
      </c>
      <c r="I1309" s="102" t="s">
        <v>3882</v>
      </c>
      <c r="J1309" s="85">
        <v>286270.0</v>
      </c>
      <c r="K1309" s="85">
        <v>112795.0</v>
      </c>
      <c r="L1309" s="19">
        <v>0.3939</v>
      </c>
      <c r="M1309" s="127">
        <v>40261.0</v>
      </c>
      <c r="N1309" s="128">
        <v>0.3566</v>
      </c>
      <c r="O1309" s="20">
        <v>3658.0</v>
      </c>
      <c r="P1309" s="21">
        <v>3547.0</v>
      </c>
      <c r="Q1309" s="19">
        <v>0.0315</v>
      </c>
      <c r="R1309" s="129">
        <v>0.0882</v>
      </c>
      <c r="S1309" s="20">
        <v>0.0</v>
      </c>
      <c r="T1309" s="20">
        <v>0.0</v>
      </c>
      <c r="U1309" s="131">
        <v>0.0</v>
      </c>
      <c r="V1309" s="21" t="s">
        <v>2175</v>
      </c>
      <c r="W1309" s="21" t="s">
        <v>76</v>
      </c>
      <c r="X1309" s="21" t="s">
        <v>3887</v>
      </c>
      <c r="Y1309" s="21" t="s">
        <v>3878</v>
      </c>
      <c r="Z1309" s="20" t="s">
        <v>4071</v>
      </c>
      <c r="AA1309" s="111"/>
      <c r="AB1309" s="18"/>
      <c r="AC1309" s="52"/>
      <c r="AD1309" s="14"/>
      <c r="AE1309" s="14"/>
      <c r="AF1309" s="52"/>
      <c r="AG1309" s="22"/>
      <c r="AH1309" s="22"/>
      <c r="AI1309" s="22"/>
      <c r="AJ1309" s="22"/>
      <c r="AK1309" s="22"/>
      <c r="AL1309" s="22"/>
      <c r="AM1309" s="22"/>
      <c r="AN1309" s="22"/>
      <c r="AO1309" s="22"/>
      <c r="AP1309" s="22"/>
    </row>
    <row r="1310" hidden="1">
      <c r="A1310" s="69">
        <v>46145.0</v>
      </c>
      <c r="B1310" s="125">
        <v>0.3645833333333333</v>
      </c>
      <c r="C1310" s="126" t="s">
        <v>32</v>
      </c>
      <c r="D1310" s="102" t="s">
        <v>3243</v>
      </c>
      <c r="E1310" s="102" t="s">
        <v>2212</v>
      </c>
      <c r="F1310" s="102" t="s">
        <v>3760</v>
      </c>
      <c r="G1310" s="126" t="s">
        <v>4072</v>
      </c>
      <c r="H1310" s="126" t="s">
        <v>3890</v>
      </c>
      <c r="I1310" s="102" t="s">
        <v>3882</v>
      </c>
      <c r="J1310" s="85">
        <v>334343.0</v>
      </c>
      <c r="K1310" s="85">
        <v>7991.0</v>
      </c>
      <c r="L1310" s="19">
        <v>0.0239</v>
      </c>
      <c r="M1310" s="127">
        <v>2972.0</v>
      </c>
      <c r="N1310" s="128">
        <v>0.3718</v>
      </c>
      <c r="O1310" s="20">
        <v>268.0</v>
      </c>
      <c r="P1310" s="21">
        <v>257.0</v>
      </c>
      <c r="Q1310" s="19">
        <v>0.0322</v>
      </c>
      <c r="R1310" s="129">
        <v>0.0865</v>
      </c>
      <c r="S1310" s="20">
        <v>0.0</v>
      </c>
      <c r="T1310" s="20">
        <v>0.0</v>
      </c>
      <c r="U1310" s="131">
        <v>0.0</v>
      </c>
      <c r="V1310" s="21" t="s">
        <v>2175</v>
      </c>
      <c r="W1310" s="21" t="s">
        <v>76</v>
      </c>
      <c r="X1310" s="21" t="s">
        <v>3891</v>
      </c>
      <c r="Y1310" s="21" t="s">
        <v>3878</v>
      </c>
      <c r="Z1310" s="20" t="s">
        <v>4073</v>
      </c>
      <c r="AA1310" s="111"/>
      <c r="AB1310" s="18"/>
      <c r="AC1310" s="52"/>
      <c r="AD1310" s="14"/>
      <c r="AE1310" s="14"/>
      <c r="AF1310" s="52"/>
      <c r="AG1310" s="22"/>
      <c r="AH1310" s="22"/>
      <c r="AI1310" s="22"/>
      <c r="AJ1310" s="22"/>
      <c r="AK1310" s="22"/>
      <c r="AL1310" s="22"/>
      <c r="AM1310" s="22"/>
      <c r="AN1310" s="22"/>
      <c r="AO1310" s="22"/>
      <c r="AP1310" s="22"/>
    </row>
    <row r="1311" hidden="1">
      <c r="A1311" s="69">
        <v>46145.0</v>
      </c>
      <c r="B1311" s="125">
        <v>0.3680555555555556</v>
      </c>
      <c r="C1311" s="126" t="s">
        <v>32</v>
      </c>
      <c r="D1311" s="102" t="s">
        <v>3243</v>
      </c>
      <c r="E1311" s="102" t="s">
        <v>2212</v>
      </c>
      <c r="F1311" s="102" t="s">
        <v>3760</v>
      </c>
      <c r="G1311" s="126" t="s">
        <v>4074</v>
      </c>
      <c r="H1311" s="126" t="s">
        <v>3898</v>
      </c>
      <c r="I1311" s="102" t="s">
        <v>3882</v>
      </c>
      <c r="J1311" s="85">
        <v>104890.0</v>
      </c>
      <c r="K1311" s="85">
        <v>8.0</v>
      </c>
      <c r="L1311" s="19">
        <v>1.0E-4</v>
      </c>
      <c r="M1311" s="127">
        <v>2.0</v>
      </c>
      <c r="N1311" s="128">
        <v>0.25</v>
      </c>
      <c r="O1311" s="20">
        <v>0.0</v>
      </c>
      <c r="P1311" s="21">
        <v>0.0</v>
      </c>
      <c r="Q1311" s="19">
        <v>0.0</v>
      </c>
      <c r="R1311" s="129">
        <v>0.0</v>
      </c>
      <c r="S1311" s="20">
        <v>0.0</v>
      </c>
      <c r="T1311" s="20">
        <v>0.0</v>
      </c>
      <c r="U1311" s="131">
        <v>0.0</v>
      </c>
      <c r="V1311" s="21" t="s">
        <v>2175</v>
      </c>
      <c r="W1311" s="21" t="s">
        <v>76</v>
      </c>
      <c r="X1311" s="21" t="s">
        <v>3899</v>
      </c>
      <c r="Y1311" s="21" t="s">
        <v>3878</v>
      </c>
      <c r="Z1311" s="20" t="s">
        <v>4075</v>
      </c>
      <c r="AA1311" s="111"/>
      <c r="AB1311" s="18"/>
      <c r="AC1311" s="52"/>
      <c r="AD1311" s="14"/>
      <c r="AE1311" s="14"/>
      <c r="AF1311" s="52"/>
      <c r="AG1311" s="22"/>
      <c r="AH1311" s="22"/>
      <c r="AI1311" s="22"/>
      <c r="AJ1311" s="22"/>
      <c r="AK1311" s="22"/>
      <c r="AL1311" s="22"/>
      <c r="AM1311" s="22"/>
      <c r="AN1311" s="22"/>
      <c r="AO1311" s="22"/>
      <c r="AP1311" s="22"/>
    </row>
    <row r="1312" hidden="1">
      <c r="A1312" s="69">
        <v>46145.0</v>
      </c>
      <c r="B1312" s="125">
        <v>0.5</v>
      </c>
      <c r="C1312" s="126" t="s">
        <v>58</v>
      </c>
      <c r="D1312" s="102" t="s">
        <v>3083</v>
      </c>
      <c r="E1312" s="102" t="s">
        <v>2212</v>
      </c>
      <c r="F1312" s="102" t="s">
        <v>3760</v>
      </c>
      <c r="G1312" s="126" t="s">
        <v>4076</v>
      </c>
      <c r="H1312" s="126" t="s">
        <v>3894</v>
      </c>
      <c r="I1312" s="102" t="s">
        <v>2956</v>
      </c>
      <c r="J1312" s="85">
        <v>110179.0</v>
      </c>
      <c r="K1312" s="85">
        <v>59940.0</v>
      </c>
      <c r="L1312" s="19">
        <v>0.544</v>
      </c>
      <c r="M1312" s="127">
        <v>0.0</v>
      </c>
      <c r="N1312" s="128">
        <v>0.0</v>
      </c>
      <c r="O1312" s="20">
        <v>96.0</v>
      </c>
      <c r="P1312" s="21">
        <v>0.0</v>
      </c>
      <c r="Q1312" s="19">
        <v>0.0016</v>
      </c>
      <c r="R1312" s="129">
        <v>0.0</v>
      </c>
      <c r="S1312" s="20">
        <v>0.0</v>
      </c>
      <c r="T1312" s="20">
        <v>0.0</v>
      </c>
      <c r="U1312" s="131">
        <v>0.0</v>
      </c>
      <c r="V1312" s="21" t="s">
        <v>2175</v>
      </c>
      <c r="W1312" s="21" t="s">
        <v>3257</v>
      </c>
      <c r="X1312" s="100" t="s">
        <v>3895</v>
      </c>
      <c r="Y1312" s="21" t="s">
        <v>3878</v>
      </c>
      <c r="Z1312" s="20" t="s">
        <v>4077</v>
      </c>
      <c r="AA1312" s="111"/>
      <c r="AB1312" s="18"/>
      <c r="AC1312" s="52"/>
      <c r="AD1312" s="14"/>
      <c r="AE1312" s="14"/>
      <c r="AF1312" s="52"/>
      <c r="AG1312" s="22"/>
      <c r="AH1312" s="22"/>
      <c r="AI1312" s="22"/>
      <c r="AJ1312" s="22"/>
      <c r="AK1312" s="22"/>
      <c r="AL1312" s="22"/>
      <c r="AM1312" s="22"/>
      <c r="AN1312" s="22"/>
      <c r="AO1312" s="22"/>
      <c r="AP1312" s="22"/>
    </row>
    <row r="1313" hidden="1">
      <c r="A1313" s="69">
        <v>46145.0</v>
      </c>
      <c r="B1313" s="125">
        <v>0.5</v>
      </c>
      <c r="C1313" s="126" t="s">
        <v>58</v>
      </c>
      <c r="D1313" s="102" t="s">
        <v>3083</v>
      </c>
      <c r="E1313" s="102" t="s">
        <v>2212</v>
      </c>
      <c r="F1313" s="102" t="s">
        <v>3760</v>
      </c>
      <c r="G1313" s="126" t="s">
        <v>4078</v>
      </c>
      <c r="H1313" s="126" t="s">
        <v>3898</v>
      </c>
      <c r="I1313" s="102" t="s">
        <v>2956</v>
      </c>
      <c r="J1313" s="85">
        <v>78341.0</v>
      </c>
      <c r="K1313" s="85">
        <v>46103.0</v>
      </c>
      <c r="L1313" s="19">
        <v>0.5885</v>
      </c>
      <c r="M1313" s="127">
        <v>0.0</v>
      </c>
      <c r="N1313" s="128">
        <v>0.0</v>
      </c>
      <c r="O1313" s="20">
        <v>53.0</v>
      </c>
      <c r="P1313" s="21">
        <v>0.0</v>
      </c>
      <c r="Q1313" s="19">
        <v>0.0011</v>
      </c>
      <c r="R1313" s="129">
        <v>0.0</v>
      </c>
      <c r="S1313" s="20">
        <v>0.0</v>
      </c>
      <c r="T1313" s="20">
        <v>0.0</v>
      </c>
      <c r="U1313" s="131">
        <v>0.0</v>
      </c>
      <c r="V1313" s="21" t="s">
        <v>2175</v>
      </c>
      <c r="W1313" s="21" t="s">
        <v>3257</v>
      </c>
      <c r="X1313" s="100" t="s">
        <v>3899</v>
      </c>
      <c r="Y1313" s="21" t="s">
        <v>3878</v>
      </c>
      <c r="Z1313" s="20" t="s">
        <v>4079</v>
      </c>
      <c r="AA1313" s="111"/>
      <c r="AB1313" s="18"/>
      <c r="AC1313" s="52"/>
      <c r="AD1313" s="14"/>
      <c r="AE1313" s="14"/>
      <c r="AF1313" s="52"/>
      <c r="AG1313" s="22"/>
      <c r="AH1313" s="22"/>
      <c r="AI1313" s="22"/>
      <c r="AJ1313" s="22"/>
      <c r="AK1313" s="22"/>
      <c r="AL1313" s="22"/>
      <c r="AM1313" s="22"/>
      <c r="AN1313" s="22"/>
      <c r="AO1313" s="22"/>
      <c r="AP1313" s="22"/>
    </row>
    <row r="1314" hidden="1">
      <c r="A1314" s="69">
        <v>46145.0</v>
      </c>
      <c r="B1314" s="125">
        <v>0.5</v>
      </c>
      <c r="C1314" s="126" t="s">
        <v>58</v>
      </c>
      <c r="D1314" s="102" t="s">
        <v>3083</v>
      </c>
      <c r="E1314" s="102" t="s">
        <v>2212</v>
      </c>
      <c r="F1314" s="102" t="s">
        <v>3760</v>
      </c>
      <c r="G1314" s="126" t="s">
        <v>4080</v>
      </c>
      <c r="H1314" s="126" t="s">
        <v>3890</v>
      </c>
      <c r="I1314" s="102" t="s">
        <v>2956</v>
      </c>
      <c r="J1314" s="85">
        <v>247348.0</v>
      </c>
      <c r="K1314" s="85">
        <v>143297.0</v>
      </c>
      <c r="L1314" s="19">
        <v>0.5793</v>
      </c>
      <c r="M1314" s="127">
        <v>0.0</v>
      </c>
      <c r="N1314" s="128">
        <v>0.0</v>
      </c>
      <c r="O1314" s="20">
        <v>189.0</v>
      </c>
      <c r="P1314" s="21">
        <v>0.0</v>
      </c>
      <c r="Q1314" s="19">
        <v>0.0013</v>
      </c>
      <c r="R1314" s="129">
        <v>0.0</v>
      </c>
      <c r="S1314" s="20">
        <v>0.0</v>
      </c>
      <c r="T1314" s="20">
        <v>0.0</v>
      </c>
      <c r="U1314" s="131">
        <v>0.0</v>
      </c>
      <c r="V1314" s="21" t="s">
        <v>2175</v>
      </c>
      <c r="W1314" s="21" t="s">
        <v>3257</v>
      </c>
      <c r="X1314" s="100" t="s">
        <v>3891</v>
      </c>
      <c r="Y1314" s="21" t="s">
        <v>3878</v>
      </c>
      <c r="Z1314" s="20" t="s">
        <v>4081</v>
      </c>
      <c r="AA1314" s="111"/>
      <c r="AB1314" s="18"/>
      <c r="AC1314" s="52"/>
      <c r="AD1314" s="14"/>
      <c r="AE1314" s="14"/>
      <c r="AF1314" s="52"/>
      <c r="AG1314" s="22"/>
      <c r="AH1314" s="22"/>
      <c r="AI1314" s="22"/>
      <c r="AJ1314" s="22"/>
      <c r="AK1314" s="22"/>
      <c r="AL1314" s="22"/>
      <c r="AM1314" s="22"/>
      <c r="AN1314" s="22"/>
      <c r="AO1314" s="22"/>
      <c r="AP1314" s="22"/>
    </row>
    <row r="1315" hidden="1">
      <c r="A1315" s="69">
        <v>46145.0</v>
      </c>
      <c r="B1315" s="125">
        <v>0.5</v>
      </c>
      <c r="C1315" s="126" t="s">
        <v>58</v>
      </c>
      <c r="D1315" s="102" t="s">
        <v>3083</v>
      </c>
      <c r="E1315" s="102" t="s">
        <v>2212</v>
      </c>
      <c r="F1315" s="102" t="s">
        <v>3760</v>
      </c>
      <c r="G1315" s="126" t="s">
        <v>4082</v>
      </c>
      <c r="H1315" s="126" t="s">
        <v>3876</v>
      </c>
      <c r="I1315" s="102" t="s">
        <v>2956</v>
      </c>
      <c r="J1315" s="85">
        <v>95989.0</v>
      </c>
      <c r="K1315" s="85">
        <v>59039.0</v>
      </c>
      <c r="L1315" s="19">
        <v>0.6151</v>
      </c>
      <c r="M1315" s="127">
        <v>0.0</v>
      </c>
      <c r="N1315" s="128">
        <v>0.0</v>
      </c>
      <c r="O1315" s="20">
        <v>80.0</v>
      </c>
      <c r="P1315" s="21">
        <v>0.0</v>
      </c>
      <c r="Q1315" s="19">
        <v>0.0014</v>
      </c>
      <c r="R1315" s="129">
        <v>0.0</v>
      </c>
      <c r="S1315" s="20">
        <v>0.0</v>
      </c>
      <c r="T1315" s="20">
        <v>0.0</v>
      </c>
      <c r="U1315" s="131">
        <v>0.0</v>
      </c>
      <c r="V1315" s="21" t="s">
        <v>2175</v>
      </c>
      <c r="W1315" s="21" t="s">
        <v>3257</v>
      </c>
      <c r="X1315" s="100" t="s">
        <v>3877</v>
      </c>
      <c r="Y1315" s="21" t="s">
        <v>3878</v>
      </c>
      <c r="Z1315" s="20" t="s">
        <v>4083</v>
      </c>
      <c r="AA1315" s="111"/>
      <c r="AB1315" s="18"/>
      <c r="AC1315" s="52"/>
      <c r="AD1315" s="14"/>
      <c r="AE1315" s="14"/>
      <c r="AF1315" s="52"/>
      <c r="AG1315" s="22"/>
      <c r="AH1315" s="22"/>
      <c r="AI1315" s="22"/>
      <c r="AJ1315" s="22"/>
      <c r="AK1315" s="22"/>
      <c r="AL1315" s="22"/>
      <c r="AM1315" s="22"/>
      <c r="AN1315" s="22"/>
      <c r="AO1315" s="22"/>
      <c r="AP1315" s="22"/>
    </row>
    <row r="1316" hidden="1">
      <c r="A1316" s="69">
        <v>46145.0</v>
      </c>
      <c r="B1316" s="125">
        <v>0.5</v>
      </c>
      <c r="C1316" s="126" t="s">
        <v>58</v>
      </c>
      <c r="D1316" s="102" t="s">
        <v>3083</v>
      </c>
      <c r="E1316" s="102" t="s">
        <v>2212</v>
      </c>
      <c r="F1316" s="102" t="s">
        <v>3760</v>
      </c>
      <c r="G1316" s="126" t="s">
        <v>4084</v>
      </c>
      <c r="H1316" s="126" t="s">
        <v>3881</v>
      </c>
      <c r="I1316" s="102" t="s">
        <v>2956</v>
      </c>
      <c r="J1316" s="85">
        <v>55359.0</v>
      </c>
      <c r="K1316" s="85">
        <v>28902.0</v>
      </c>
      <c r="L1316" s="19">
        <v>0.5221</v>
      </c>
      <c r="M1316" s="127">
        <v>0.0</v>
      </c>
      <c r="N1316" s="128">
        <v>0.0</v>
      </c>
      <c r="O1316" s="20">
        <v>42.0</v>
      </c>
      <c r="P1316" s="21">
        <v>0.0</v>
      </c>
      <c r="Q1316" s="19">
        <v>0.0015</v>
      </c>
      <c r="R1316" s="129">
        <v>0.0</v>
      </c>
      <c r="S1316" s="20">
        <v>0.0</v>
      </c>
      <c r="T1316" s="20">
        <v>0.0</v>
      </c>
      <c r="U1316" s="131">
        <v>0.0</v>
      </c>
      <c r="V1316" s="21" t="s">
        <v>2175</v>
      </c>
      <c r="W1316" s="21" t="s">
        <v>3257</v>
      </c>
      <c r="X1316" s="100" t="s">
        <v>3883</v>
      </c>
      <c r="Y1316" s="21" t="s">
        <v>3878</v>
      </c>
      <c r="Z1316" s="20" t="s">
        <v>4085</v>
      </c>
      <c r="AA1316" s="111"/>
      <c r="AB1316" s="18"/>
      <c r="AC1316" s="52"/>
      <c r="AD1316" s="14"/>
      <c r="AE1316" s="14"/>
      <c r="AF1316" s="52"/>
      <c r="AG1316" s="22"/>
      <c r="AH1316" s="22"/>
      <c r="AI1316" s="22"/>
      <c r="AJ1316" s="22"/>
      <c r="AK1316" s="22"/>
      <c r="AL1316" s="22"/>
      <c r="AM1316" s="22"/>
      <c r="AN1316" s="22"/>
      <c r="AO1316" s="22"/>
      <c r="AP1316" s="22"/>
    </row>
    <row r="1317" hidden="1">
      <c r="A1317" s="69">
        <v>46145.0</v>
      </c>
      <c r="B1317" s="125">
        <v>0.5</v>
      </c>
      <c r="C1317" s="126" t="s">
        <v>58</v>
      </c>
      <c r="D1317" s="102" t="s">
        <v>3083</v>
      </c>
      <c r="E1317" s="102" t="s">
        <v>2212</v>
      </c>
      <c r="F1317" s="102" t="s">
        <v>3760</v>
      </c>
      <c r="G1317" s="126" t="s">
        <v>4086</v>
      </c>
      <c r="H1317" s="126" t="s">
        <v>3886</v>
      </c>
      <c r="I1317" s="102" t="s">
        <v>2956</v>
      </c>
      <c r="J1317" s="85">
        <v>135013.0</v>
      </c>
      <c r="K1317" s="85">
        <v>73485.0</v>
      </c>
      <c r="L1317" s="19">
        <v>0.5443</v>
      </c>
      <c r="M1317" s="127">
        <v>0.0</v>
      </c>
      <c r="N1317" s="128">
        <v>0.0</v>
      </c>
      <c r="O1317" s="20">
        <v>99.0</v>
      </c>
      <c r="P1317" s="21">
        <v>0.0</v>
      </c>
      <c r="Q1317" s="19">
        <v>0.0013</v>
      </c>
      <c r="R1317" s="129">
        <v>0.0</v>
      </c>
      <c r="S1317" s="20">
        <v>0.0</v>
      </c>
      <c r="T1317" s="20">
        <v>0.0</v>
      </c>
      <c r="U1317" s="131">
        <v>0.0</v>
      </c>
      <c r="V1317" s="21" t="s">
        <v>2175</v>
      </c>
      <c r="W1317" s="21" t="s">
        <v>3257</v>
      </c>
      <c r="X1317" s="100" t="s">
        <v>3887</v>
      </c>
      <c r="Y1317" s="21" t="s">
        <v>3878</v>
      </c>
      <c r="Z1317" s="20" t="s">
        <v>4087</v>
      </c>
      <c r="AA1317" s="111"/>
      <c r="AB1317" s="18"/>
      <c r="AC1317" s="52"/>
      <c r="AD1317" s="14"/>
      <c r="AE1317" s="14"/>
      <c r="AF1317" s="52"/>
      <c r="AG1317" s="22"/>
      <c r="AH1317" s="22"/>
      <c r="AI1317" s="22"/>
      <c r="AJ1317" s="22"/>
      <c r="AK1317" s="22"/>
      <c r="AL1317" s="22"/>
      <c r="AM1317" s="22"/>
      <c r="AN1317" s="22"/>
      <c r="AO1317" s="22"/>
      <c r="AP1317" s="22"/>
    </row>
    <row r="1318" hidden="1">
      <c r="A1318" s="69">
        <v>46145.0</v>
      </c>
      <c r="B1318" s="125">
        <v>0.75</v>
      </c>
      <c r="C1318" s="126" t="s">
        <v>32</v>
      </c>
      <c r="D1318" s="102" t="s">
        <v>3243</v>
      </c>
      <c r="E1318" s="102" t="s">
        <v>71</v>
      </c>
      <c r="F1318" s="102" t="s">
        <v>3645</v>
      </c>
      <c r="G1318" s="126" t="s">
        <v>4088</v>
      </c>
      <c r="H1318" s="126" t="s">
        <v>3647</v>
      </c>
      <c r="I1318" s="102" t="s">
        <v>2773</v>
      </c>
      <c r="J1318" s="85">
        <v>3758.0</v>
      </c>
      <c r="K1318" s="85">
        <v>1065.0</v>
      </c>
      <c r="L1318" s="19">
        <v>0.2834</v>
      </c>
      <c r="M1318" s="127">
        <v>437.0</v>
      </c>
      <c r="N1318" s="128">
        <v>0.4085</v>
      </c>
      <c r="O1318" s="20">
        <v>60.0</v>
      </c>
      <c r="P1318" s="21">
        <v>56.0</v>
      </c>
      <c r="Q1318" s="19">
        <v>0.0526</v>
      </c>
      <c r="R1318" s="129">
        <v>0.1287</v>
      </c>
      <c r="S1318" s="20">
        <v>1.0</v>
      </c>
      <c r="T1318" s="20">
        <v>3.0</v>
      </c>
      <c r="U1318" s="131">
        <v>4598.0</v>
      </c>
      <c r="V1318" s="21" t="s">
        <v>335</v>
      </c>
      <c r="W1318" s="21" t="s">
        <v>76</v>
      </c>
      <c r="X1318" s="21" t="s">
        <v>165</v>
      </c>
      <c r="Y1318" s="21" t="s">
        <v>4089</v>
      </c>
      <c r="Z1318" s="20" t="s">
        <v>4090</v>
      </c>
      <c r="AA1318" s="18">
        <v>12.0</v>
      </c>
      <c r="AB1318" s="18">
        <v>12.0</v>
      </c>
      <c r="AC1318" s="18" t="s">
        <v>1650</v>
      </c>
      <c r="AD1318" s="14">
        <v>55361.0</v>
      </c>
      <c r="AE1318" s="14">
        <v>55361.0</v>
      </c>
      <c r="AF1318" s="18" t="s">
        <v>1650</v>
      </c>
      <c r="AG1318" s="22"/>
      <c r="AH1318" s="22"/>
      <c r="AI1318" s="22"/>
      <c r="AJ1318" s="22"/>
      <c r="AK1318" s="22"/>
      <c r="AL1318" s="22"/>
      <c r="AM1318" s="22"/>
      <c r="AN1318" s="22"/>
      <c r="AO1318" s="22"/>
      <c r="AP1318" s="22"/>
    </row>
    <row r="1319" hidden="1">
      <c r="A1319" s="69">
        <v>46145.0</v>
      </c>
      <c r="B1319" s="125">
        <v>0.75</v>
      </c>
      <c r="C1319" s="126" t="s">
        <v>32</v>
      </c>
      <c r="D1319" s="102" t="s">
        <v>3243</v>
      </c>
      <c r="E1319" s="102" t="s">
        <v>71</v>
      </c>
      <c r="F1319" s="102" t="s">
        <v>3645</v>
      </c>
      <c r="G1319" s="126" t="s">
        <v>4091</v>
      </c>
      <c r="H1319" s="126" t="s">
        <v>2777</v>
      </c>
      <c r="I1319" s="102" t="s">
        <v>2778</v>
      </c>
      <c r="J1319" s="85">
        <v>57703.0</v>
      </c>
      <c r="K1319" s="85">
        <v>10024.0</v>
      </c>
      <c r="L1319" s="19">
        <v>0.1737</v>
      </c>
      <c r="M1319" s="127">
        <v>3396.0</v>
      </c>
      <c r="N1319" s="128">
        <v>0.3359</v>
      </c>
      <c r="O1319" s="20">
        <v>409.0</v>
      </c>
      <c r="P1319" s="21">
        <v>386.0</v>
      </c>
      <c r="Q1319" s="19">
        <v>0.0385</v>
      </c>
      <c r="R1319" s="129">
        <v>0.1146</v>
      </c>
      <c r="S1319" s="20">
        <v>3.0</v>
      </c>
      <c r="T1319" s="20">
        <v>5.0</v>
      </c>
      <c r="U1319" s="131">
        <v>7819.0</v>
      </c>
      <c r="V1319" s="21" t="s">
        <v>335</v>
      </c>
      <c r="W1319" s="21" t="s">
        <v>76</v>
      </c>
      <c r="X1319" s="21" t="s">
        <v>82</v>
      </c>
      <c r="Y1319" s="21" t="s">
        <v>4089</v>
      </c>
      <c r="Z1319" s="20" t="s">
        <v>4092</v>
      </c>
      <c r="AA1319" s="18">
        <v>30.0</v>
      </c>
      <c r="AB1319" s="18">
        <v>30.0</v>
      </c>
      <c r="AC1319" s="18" t="s">
        <v>1650</v>
      </c>
      <c r="AD1319" s="14">
        <v>76569.0</v>
      </c>
      <c r="AE1319" s="14">
        <v>76569.0</v>
      </c>
      <c r="AF1319" s="18" t="s">
        <v>1650</v>
      </c>
      <c r="AG1319" s="22"/>
      <c r="AH1319" s="22"/>
      <c r="AI1319" s="22"/>
      <c r="AJ1319" s="22"/>
      <c r="AK1319" s="22"/>
      <c r="AL1319" s="22"/>
      <c r="AM1319" s="22"/>
      <c r="AN1319" s="22"/>
      <c r="AO1319" s="22"/>
      <c r="AP1319" s="22"/>
    </row>
    <row r="1320" hidden="1">
      <c r="A1320" s="69">
        <v>46145.0</v>
      </c>
      <c r="B1320" s="125">
        <v>0.75</v>
      </c>
      <c r="C1320" s="126" t="s">
        <v>32</v>
      </c>
      <c r="D1320" s="102" t="s">
        <v>3243</v>
      </c>
      <c r="E1320" s="102" t="s">
        <v>71</v>
      </c>
      <c r="F1320" s="102" t="s">
        <v>3645</v>
      </c>
      <c r="G1320" s="126" t="s">
        <v>4093</v>
      </c>
      <c r="H1320" s="126" t="s">
        <v>2781</v>
      </c>
      <c r="I1320" s="102" t="s">
        <v>2782</v>
      </c>
      <c r="J1320" s="85">
        <v>56322.0</v>
      </c>
      <c r="K1320" s="85">
        <v>11181.0</v>
      </c>
      <c r="L1320" s="19">
        <v>0.1984</v>
      </c>
      <c r="M1320" s="127">
        <v>3664.0</v>
      </c>
      <c r="N1320" s="128">
        <v>0.3261</v>
      </c>
      <c r="O1320" s="20">
        <v>382.0</v>
      </c>
      <c r="P1320" s="21">
        <v>360.0</v>
      </c>
      <c r="Q1320" s="19">
        <v>0.0322</v>
      </c>
      <c r="R1320" s="129">
        <v>0.0988</v>
      </c>
      <c r="S1320" s="20">
        <v>2.0</v>
      </c>
      <c r="T1320" s="20">
        <v>5.0</v>
      </c>
      <c r="U1320" s="131">
        <v>5784.0</v>
      </c>
      <c r="V1320" s="21" t="s">
        <v>335</v>
      </c>
      <c r="W1320" s="21" t="s">
        <v>76</v>
      </c>
      <c r="X1320" s="21" t="s">
        <v>2594</v>
      </c>
      <c r="Y1320" s="21" t="s">
        <v>4089</v>
      </c>
      <c r="Z1320" s="20" t="s">
        <v>4094</v>
      </c>
      <c r="AA1320" s="18">
        <v>14.0</v>
      </c>
      <c r="AB1320" s="18">
        <v>14.0</v>
      </c>
      <c r="AC1320" s="18" t="s">
        <v>1650</v>
      </c>
      <c r="AD1320" s="14">
        <v>38017.0</v>
      </c>
      <c r="AE1320" s="14">
        <v>38017.0</v>
      </c>
      <c r="AF1320" s="18" t="s">
        <v>1650</v>
      </c>
      <c r="AG1320" s="22"/>
      <c r="AH1320" s="22"/>
      <c r="AI1320" s="22"/>
      <c r="AJ1320" s="22"/>
      <c r="AK1320" s="22"/>
      <c r="AL1320" s="22"/>
      <c r="AM1320" s="22"/>
      <c r="AN1320" s="22"/>
      <c r="AO1320" s="22"/>
      <c r="AP1320" s="22"/>
    </row>
    <row r="1321" hidden="1">
      <c r="A1321" s="69">
        <v>46145.0</v>
      </c>
      <c r="B1321" s="125">
        <v>0.75</v>
      </c>
      <c r="C1321" s="126" t="s">
        <v>32</v>
      </c>
      <c r="D1321" s="102" t="s">
        <v>3243</v>
      </c>
      <c r="E1321" s="102" t="s">
        <v>71</v>
      </c>
      <c r="F1321" s="102" t="s">
        <v>3645</v>
      </c>
      <c r="G1321" s="126" t="s">
        <v>4095</v>
      </c>
      <c r="H1321" s="126" t="s">
        <v>2785</v>
      </c>
      <c r="I1321" s="102" t="s">
        <v>2786</v>
      </c>
      <c r="J1321" s="85">
        <v>12604.0</v>
      </c>
      <c r="K1321" s="85">
        <v>2686.0</v>
      </c>
      <c r="L1321" s="19">
        <v>0.2131</v>
      </c>
      <c r="M1321" s="127">
        <v>919.0</v>
      </c>
      <c r="N1321" s="128">
        <v>0.3407</v>
      </c>
      <c r="O1321" s="20">
        <v>87.0</v>
      </c>
      <c r="P1321" s="21">
        <v>82.0</v>
      </c>
      <c r="Q1321" s="19">
        <v>0.0305</v>
      </c>
      <c r="R1321" s="129">
        <v>0.0896</v>
      </c>
      <c r="S1321" s="20">
        <v>2.0</v>
      </c>
      <c r="T1321" s="20">
        <v>3.0</v>
      </c>
      <c r="U1321" s="131">
        <v>4798.0</v>
      </c>
      <c r="V1321" s="21" t="s">
        <v>335</v>
      </c>
      <c r="W1321" s="21" t="s">
        <v>76</v>
      </c>
      <c r="X1321" s="21" t="s">
        <v>2117</v>
      </c>
      <c r="Y1321" s="21" t="s">
        <v>4089</v>
      </c>
      <c r="Z1321" s="20" t="s">
        <v>4096</v>
      </c>
      <c r="AA1321" s="18">
        <v>8.0</v>
      </c>
      <c r="AB1321" s="18">
        <v>8.0</v>
      </c>
      <c r="AC1321" s="18" t="s">
        <v>1650</v>
      </c>
      <c r="AD1321" s="14">
        <v>32111.0</v>
      </c>
      <c r="AE1321" s="14">
        <v>32111.0</v>
      </c>
      <c r="AF1321" s="18" t="s">
        <v>1650</v>
      </c>
      <c r="AG1321" s="22"/>
      <c r="AH1321" s="22"/>
      <c r="AI1321" s="22"/>
      <c r="AJ1321" s="22"/>
      <c r="AK1321" s="22"/>
      <c r="AL1321" s="22"/>
      <c r="AM1321" s="22"/>
      <c r="AN1321" s="22"/>
      <c r="AO1321" s="22"/>
      <c r="AP1321" s="22"/>
    </row>
    <row r="1322" hidden="1">
      <c r="A1322" s="69">
        <v>46145.0</v>
      </c>
      <c r="B1322" s="125">
        <v>0.75</v>
      </c>
      <c r="C1322" s="126" t="s">
        <v>32</v>
      </c>
      <c r="D1322" s="102" t="s">
        <v>3243</v>
      </c>
      <c r="E1322" s="102" t="s">
        <v>71</v>
      </c>
      <c r="F1322" s="102" t="s">
        <v>3645</v>
      </c>
      <c r="G1322" s="126" t="s">
        <v>4097</v>
      </c>
      <c r="H1322" s="126" t="s">
        <v>2789</v>
      </c>
      <c r="I1322" s="102" t="s">
        <v>2790</v>
      </c>
      <c r="J1322" s="85">
        <v>5126.0</v>
      </c>
      <c r="K1322" s="85">
        <v>1831.0</v>
      </c>
      <c r="L1322" s="19">
        <v>0.357</v>
      </c>
      <c r="M1322" s="127">
        <v>548.0</v>
      </c>
      <c r="N1322" s="128">
        <v>0.2978</v>
      </c>
      <c r="O1322" s="20">
        <v>44.0</v>
      </c>
      <c r="P1322" s="21">
        <v>43.0</v>
      </c>
      <c r="Q1322" s="19">
        <v>0.0235</v>
      </c>
      <c r="R1322" s="129">
        <v>0.0789</v>
      </c>
      <c r="S1322" s="20">
        <v>2.0</v>
      </c>
      <c r="T1322" s="20">
        <v>2.0</v>
      </c>
      <c r="U1322" s="131">
        <v>6698.0</v>
      </c>
      <c r="V1322" s="21" t="s">
        <v>335</v>
      </c>
      <c r="W1322" s="21" t="s">
        <v>76</v>
      </c>
      <c r="X1322" s="21" t="s">
        <v>41</v>
      </c>
      <c r="Y1322" s="21" t="s">
        <v>4089</v>
      </c>
      <c r="Z1322" s="20" t="s">
        <v>4098</v>
      </c>
      <c r="AA1322" s="18">
        <v>6.0</v>
      </c>
      <c r="AB1322" s="18">
        <v>6.0</v>
      </c>
      <c r="AC1322" s="18" t="s">
        <v>1650</v>
      </c>
      <c r="AD1322" s="14">
        <v>14204.0</v>
      </c>
      <c r="AE1322" s="14">
        <v>14204.0</v>
      </c>
      <c r="AF1322" s="18" t="s">
        <v>1650</v>
      </c>
      <c r="AG1322" s="22"/>
      <c r="AH1322" s="22"/>
      <c r="AI1322" s="22"/>
      <c r="AJ1322" s="22"/>
      <c r="AK1322" s="22"/>
      <c r="AL1322" s="22"/>
      <c r="AM1322" s="22"/>
      <c r="AN1322" s="22"/>
      <c r="AO1322" s="22"/>
      <c r="AP1322" s="22"/>
    </row>
    <row r="1323" hidden="1">
      <c r="A1323" s="69">
        <v>46145.0</v>
      </c>
      <c r="B1323" s="125">
        <v>0.75</v>
      </c>
      <c r="C1323" s="126" t="s">
        <v>32</v>
      </c>
      <c r="D1323" s="102" t="s">
        <v>3243</v>
      </c>
      <c r="E1323" s="102" t="s">
        <v>71</v>
      </c>
      <c r="F1323" s="102" t="s">
        <v>3645</v>
      </c>
      <c r="G1323" s="126" t="s">
        <v>4099</v>
      </c>
      <c r="H1323" s="126" t="s">
        <v>2793</v>
      </c>
      <c r="I1323" s="102" t="s">
        <v>2794</v>
      </c>
      <c r="J1323" s="85">
        <v>4663.0</v>
      </c>
      <c r="K1323" s="85">
        <v>2243.0</v>
      </c>
      <c r="L1323" s="19">
        <v>0.481</v>
      </c>
      <c r="M1323" s="127">
        <v>951.0</v>
      </c>
      <c r="N1323" s="128">
        <v>0.4222</v>
      </c>
      <c r="O1323" s="20">
        <v>167.0</v>
      </c>
      <c r="P1323" s="21">
        <v>149.0</v>
      </c>
      <c r="Q1323" s="19">
        <v>0.0664</v>
      </c>
      <c r="R1323" s="129">
        <v>0.1573</v>
      </c>
      <c r="S1323" s="20">
        <v>5.0</v>
      </c>
      <c r="T1323" s="20">
        <v>18.0</v>
      </c>
      <c r="U1323" s="131">
        <v>23075.0</v>
      </c>
      <c r="V1323" s="132" t="s">
        <v>335</v>
      </c>
      <c r="W1323" s="21" t="s">
        <v>76</v>
      </c>
      <c r="X1323" s="21" t="s">
        <v>2492</v>
      </c>
      <c r="Y1323" s="21" t="s">
        <v>4089</v>
      </c>
      <c r="Z1323" s="20" t="s">
        <v>4100</v>
      </c>
      <c r="AA1323" s="18">
        <v>19.0</v>
      </c>
      <c r="AB1323" s="18">
        <v>19.0</v>
      </c>
      <c r="AC1323" s="18" t="s">
        <v>1650</v>
      </c>
      <c r="AD1323" s="14">
        <v>66298.0</v>
      </c>
      <c r="AE1323" s="14">
        <v>66298.0</v>
      </c>
      <c r="AF1323" s="18" t="s">
        <v>1650</v>
      </c>
      <c r="AG1323" s="22"/>
      <c r="AH1323" s="22"/>
      <c r="AI1323" s="22"/>
      <c r="AJ1323" s="22"/>
      <c r="AK1323" s="22"/>
      <c r="AL1323" s="22"/>
      <c r="AM1323" s="22"/>
      <c r="AN1323" s="22"/>
      <c r="AO1323" s="22"/>
      <c r="AP1323" s="22"/>
    </row>
    <row r="1324" hidden="1">
      <c r="A1324" s="69">
        <v>46145.0</v>
      </c>
      <c r="B1324" s="125">
        <v>0.75</v>
      </c>
      <c r="C1324" s="126" t="s">
        <v>32</v>
      </c>
      <c r="D1324" s="102" t="s">
        <v>3243</v>
      </c>
      <c r="E1324" s="102" t="s">
        <v>71</v>
      </c>
      <c r="F1324" s="102" t="s">
        <v>3645</v>
      </c>
      <c r="G1324" s="126" t="s">
        <v>4101</v>
      </c>
      <c r="H1324" s="126" t="s">
        <v>2797</v>
      </c>
      <c r="I1324" s="102" t="s">
        <v>2798</v>
      </c>
      <c r="J1324" s="85">
        <v>67750.0</v>
      </c>
      <c r="K1324" s="85">
        <v>29418.0</v>
      </c>
      <c r="L1324" s="19">
        <v>0.4341</v>
      </c>
      <c r="M1324" s="127">
        <v>12592.0</v>
      </c>
      <c r="N1324" s="128">
        <v>0.4256</v>
      </c>
      <c r="O1324" s="20">
        <v>1846.0</v>
      </c>
      <c r="P1324" s="21">
        <v>1749.0</v>
      </c>
      <c r="Q1324" s="19">
        <v>0.0595</v>
      </c>
      <c r="R1324" s="129">
        <v>0.1397</v>
      </c>
      <c r="S1324" s="20">
        <v>9.0</v>
      </c>
      <c r="T1324" s="20">
        <v>13.0</v>
      </c>
      <c r="U1324" s="131">
        <v>27698.0</v>
      </c>
      <c r="V1324" s="132" t="s">
        <v>335</v>
      </c>
      <c r="W1324" s="21" t="s">
        <v>76</v>
      </c>
      <c r="X1324" s="21" t="s">
        <v>2799</v>
      </c>
      <c r="Y1324" s="21" t="s">
        <v>4089</v>
      </c>
      <c r="Z1324" s="20" t="s">
        <v>4102</v>
      </c>
      <c r="AA1324" s="18">
        <v>43.0</v>
      </c>
      <c r="AB1324" s="18">
        <v>43.0</v>
      </c>
      <c r="AC1324" s="18" t="s">
        <v>1650</v>
      </c>
      <c r="AD1324" s="14">
        <v>115761.0</v>
      </c>
      <c r="AE1324" s="14">
        <v>115761.0</v>
      </c>
      <c r="AF1324" s="18" t="s">
        <v>1650</v>
      </c>
      <c r="AG1324" s="22"/>
      <c r="AH1324" s="22"/>
      <c r="AI1324" s="22"/>
      <c r="AJ1324" s="22"/>
      <c r="AK1324" s="22"/>
      <c r="AL1324" s="22"/>
      <c r="AM1324" s="22"/>
      <c r="AN1324" s="22"/>
      <c r="AO1324" s="22"/>
      <c r="AP1324" s="22"/>
    </row>
    <row r="1325" hidden="1">
      <c r="A1325" s="69">
        <v>46145.0</v>
      </c>
      <c r="B1325" s="125">
        <v>0.7916666666666666</v>
      </c>
      <c r="C1325" s="126" t="s">
        <v>58</v>
      </c>
      <c r="D1325" s="102" t="s">
        <v>3083</v>
      </c>
      <c r="E1325" s="102" t="s">
        <v>71</v>
      </c>
      <c r="F1325" s="102" t="s">
        <v>3645</v>
      </c>
      <c r="G1325" s="126" t="s">
        <v>4103</v>
      </c>
      <c r="H1325" s="126" t="s">
        <v>3647</v>
      </c>
      <c r="I1325" s="102" t="s">
        <v>61</v>
      </c>
      <c r="J1325" s="85">
        <v>2664.0</v>
      </c>
      <c r="K1325" s="85">
        <v>1189.0</v>
      </c>
      <c r="L1325" s="19">
        <v>0.4463</v>
      </c>
      <c r="M1325" s="127">
        <v>0.0</v>
      </c>
      <c r="N1325" s="128">
        <v>0.0</v>
      </c>
      <c r="O1325" s="20">
        <v>3.0</v>
      </c>
      <c r="P1325" s="21">
        <v>0.0</v>
      </c>
      <c r="Q1325" s="19">
        <v>0.0025</v>
      </c>
      <c r="R1325" s="129">
        <v>0.0</v>
      </c>
      <c r="S1325" s="20">
        <v>2.0</v>
      </c>
      <c r="T1325" s="20">
        <v>2.0</v>
      </c>
      <c r="U1325" s="131">
        <v>11686.0</v>
      </c>
      <c r="V1325" s="21" t="s">
        <v>335</v>
      </c>
      <c r="W1325" s="21" t="s">
        <v>3257</v>
      </c>
      <c r="X1325" s="21" t="s">
        <v>165</v>
      </c>
      <c r="Y1325" s="142">
        <v>46145.0</v>
      </c>
      <c r="Z1325" s="20" t="s">
        <v>4104</v>
      </c>
      <c r="AA1325" s="18">
        <v>6.0</v>
      </c>
      <c r="AB1325" s="18" t="s">
        <v>1650</v>
      </c>
      <c r="AC1325" s="18" t="s">
        <v>1650</v>
      </c>
      <c r="AD1325" s="14">
        <v>20378.0</v>
      </c>
      <c r="AE1325" s="14">
        <v>20378.0</v>
      </c>
      <c r="AF1325" s="18" t="s">
        <v>1650</v>
      </c>
      <c r="AG1325" s="22"/>
      <c r="AH1325" s="22"/>
      <c r="AI1325" s="22"/>
      <c r="AJ1325" s="22"/>
      <c r="AK1325" s="22"/>
      <c r="AL1325" s="22"/>
      <c r="AM1325" s="22"/>
      <c r="AN1325" s="22"/>
      <c r="AO1325" s="22"/>
      <c r="AP1325" s="22"/>
    </row>
    <row r="1326" hidden="1">
      <c r="A1326" s="69">
        <v>46145.0</v>
      </c>
      <c r="B1326" s="125">
        <v>0.7916666666666666</v>
      </c>
      <c r="C1326" s="126" t="s">
        <v>58</v>
      </c>
      <c r="D1326" s="102" t="s">
        <v>3083</v>
      </c>
      <c r="E1326" s="102" t="s">
        <v>71</v>
      </c>
      <c r="F1326" s="102" t="s">
        <v>3645</v>
      </c>
      <c r="G1326" s="126" t="s">
        <v>4105</v>
      </c>
      <c r="H1326" s="126" t="s">
        <v>2777</v>
      </c>
      <c r="I1326" s="102" t="s">
        <v>61</v>
      </c>
      <c r="J1326" s="85">
        <v>47216.0</v>
      </c>
      <c r="K1326" s="85">
        <v>25712.0</v>
      </c>
      <c r="L1326" s="19">
        <v>0.5446</v>
      </c>
      <c r="M1326" s="127">
        <v>0.0</v>
      </c>
      <c r="N1326" s="128">
        <v>0.0</v>
      </c>
      <c r="O1326" s="20">
        <v>64.0</v>
      </c>
      <c r="P1326" s="21">
        <v>0.0</v>
      </c>
      <c r="Q1326" s="19">
        <v>0.0025</v>
      </c>
      <c r="R1326" s="129">
        <v>0.0</v>
      </c>
      <c r="S1326" s="20">
        <v>7.0</v>
      </c>
      <c r="T1326" s="20">
        <v>3.0</v>
      </c>
      <c r="U1326" s="131">
        <v>50152.0</v>
      </c>
      <c r="V1326" s="21" t="s">
        <v>335</v>
      </c>
      <c r="W1326" s="21" t="s">
        <v>3257</v>
      </c>
      <c r="X1326" s="21" t="s">
        <v>82</v>
      </c>
      <c r="Y1326" s="142">
        <v>46145.0</v>
      </c>
      <c r="Z1326" s="20" t="s">
        <v>4106</v>
      </c>
      <c r="AA1326" s="18">
        <v>26.0</v>
      </c>
      <c r="AB1326" s="18" t="s">
        <v>1650</v>
      </c>
      <c r="AC1326" s="18" t="s">
        <v>1650</v>
      </c>
      <c r="AD1326" s="14">
        <v>67186.0</v>
      </c>
      <c r="AE1326" s="14">
        <v>67186.0</v>
      </c>
      <c r="AF1326" s="18" t="s">
        <v>1650</v>
      </c>
      <c r="AG1326" s="22"/>
      <c r="AH1326" s="22"/>
      <c r="AI1326" s="22"/>
      <c r="AJ1326" s="22"/>
      <c r="AK1326" s="22"/>
      <c r="AL1326" s="22"/>
      <c r="AM1326" s="22"/>
      <c r="AN1326" s="22"/>
      <c r="AO1326" s="22"/>
      <c r="AP1326" s="22"/>
    </row>
    <row r="1327" hidden="1">
      <c r="A1327" s="69">
        <v>46145.0</v>
      </c>
      <c r="B1327" s="125">
        <v>0.7916666666666666</v>
      </c>
      <c r="C1327" s="126" t="s">
        <v>58</v>
      </c>
      <c r="D1327" s="102" t="s">
        <v>3083</v>
      </c>
      <c r="E1327" s="102" t="s">
        <v>71</v>
      </c>
      <c r="F1327" s="102" t="s">
        <v>3645</v>
      </c>
      <c r="G1327" s="126" t="s">
        <v>4107</v>
      </c>
      <c r="H1327" s="126" t="s">
        <v>2781</v>
      </c>
      <c r="I1327" s="102" t="s">
        <v>61</v>
      </c>
      <c r="J1327" s="85">
        <v>44613.0</v>
      </c>
      <c r="K1327" s="85">
        <v>28615.0</v>
      </c>
      <c r="L1327" s="19">
        <v>0.6414</v>
      </c>
      <c r="M1327" s="127">
        <v>0.0</v>
      </c>
      <c r="N1327" s="128">
        <v>0.0</v>
      </c>
      <c r="O1327" s="20">
        <v>45.0</v>
      </c>
      <c r="P1327" s="21">
        <v>0.0</v>
      </c>
      <c r="Q1327" s="19">
        <v>0.0016</v>
      </c>
      <c r="R1327" s="129">
        <v>0.0</v>
      </c>
      <c r="S1327" s="20">
        <v>4.0</v>
      </c>
      <c r="T1327" s="20">
        <v>1.0</v>
      </c>
      <c r="U1327" s="131">
        <v>24291.0</v>
      </c>
      <c r="V1327" s="21" t="s">
        <v>335</v>
      </c>
      <c r="W1327" s="21" t="s">
        <v>3257</v>
      </c>
      <c r="X1327" s="21" t="s">
        <v>2594</v>
      </c>
      <c r="Y1327" s="142">
        <v>46145.0</v>
      </c>
      <c r="Z1327" s="20" t="s">
        <v>4108</v>
      </c>
      <c r="AA1327" s="18">
        <v>11.0</v>
      </c>
      <c r="AB1327" s="18">
        <v>11.0</v>
      </c>
      <c r="AC1327" s="18" t="s">
        <v>1650</v>
      </c>
      <c r="AD1327" s="14">
        <v>19903.0</v>
      </c>
      <c r="AE1327" s="14">
        <v>19903.0</v>
      </c>
      <c r="AF1327" s="18" t="s">
        <v>1650</v>
      </c>
      <c r="AG1327" s="22"/>
      <c r="AH1327" s="22"/>
      <c r="AI1327" s="22"/>
      <c r="AJ1327" s="22"/>
      <c r="AK1327" s="22"/>
      <c r="AL1327" s="22"/>
      <c r="AM1327" s="22"/>
      <c r="AN1327" s="22"/>
      <c r="AO1327" s="22"/>
      <c r="AP1327" s="22"/>
    </row>
    <row r="1328" hidden="1">
      <c r="A1328" s="69">
        <v>46145.0</v>
      </c>
      <c r="B1328" s="125">
        <v>0.7916666666666666</v>
      </c>
      <c r="C1328" s="126" t="s">
        <v>58</v>
      </c>
      <c r="D1328" s="102" t="s">
        <v>3083</v>
      </c>
      <c r="E1328" s="102" t="s">
        <v>71</v>
      </c>
      <c r="F1328" s="102" t="s">
        <v>3645</v>
      </c>
      <c r="G1328" s="126" t="s">
        <v>4109</v>
      </c>
      <c r="H1328" s="126" t="s">
        <v>2785</v>
      </c>
      <c r="I1328" s="102" t="s">
        <v>61</v>
      </c>
      <c r="J1328" s="85">
        <v>9801.0</v>
      </c>
      <c r="K1328" s="85">
        <v>5013.0</v>
      </c>
      <c r="L1328" s="19">
        <v>0.5115</v>
      </c>
      <c r="M1328" s="127">
        <v>0.0</v>
      </c>
      <c r="N1328" s="128">
        <v>0.0</v>
      </c>
      <c r="O1328" s="20">
        <v>2.0</v>
      </c>
      <c r="P1328" s="21">
        <v>0.0</v>
      </c>
      <c r="Q1328" s="19">
        <v>4.0E-4</v>
      </c>
      <c r="R1328" s="129">
        <v>0.0</v>
      </c>
      <c r="S1328" s="20">
        <v>2.0</v>
      </c>
      <c r="T1328" s="20">
        <v>2.0</v>
      </c>
      <c r="U1328" s="131">
        <v>16093.0</v>
      </c>
      <c r="V1328" s="21" t="s">
        <v>335</v>
      </c>
      <c r="W1328" s="21" t="s">
        <v>3257</v>
      </c>
      <c r="X1328" s="21" t="s">
        <v>2117</v>
      </c>
      <c r="Y1328" s="142">
        <v>46145.0</v>
      </c>
      <c r="Z1328" s="20" t="s">
        <v>4110</v>
      </c>
      <c r="AA1328" s="18">
        <v>5.0</v>
      </c>
      <c r="AB1328" s="18">
        <v>5.0</v>
      </c>
      <c r="AC1328" s="18" t="s">
        <v>1650</v>
      </c>
      <c r="AD1328" s="14">
        <v>16130.0</v>
      </c>
      <c r="AE1328" s="14">
        <v>16130.0</v>
      </c>
      <c r="AF1328" s="18" t="s">
        <v>1650</v>
      </c>
      <c r="AG1328" s="22"/>
      <c r="AH1328" s="22"/>
      <c r="AI1328" s="22"/>
      <c r="AJ1328" s="22"/>
      <c r="AK1328" s="22"/>
      <c r="AL1328" s="22"/>
      <c r="AM1328" s="22"/>
      <c r="AN1328" s="22"/>
      <c r="AO1328" s="22"/>
      <c r="AP1328" s="22"/>
    </row>
    <row r="1329" hidden="1">
      <c r="A1329" s="69">
        <v>46145.0</v>
      </c>
      <c r="B1329" s="125">
        <v>0.7916666666666666</v>
      </c>
      <c r="C1329" s="126" t="s">
        <v>58</v>
      </c>
      <c r="D1329" s="102" t="s">
        <v>3083</v>
      </c>
      <c r="E1329" s="102" t="s">
        <v>71</v>
      </c>
      <c r="F1329" s="102" t="s">
        <v>3645</v>
      </c>
      <c r="G1329" s="126" t="s">
        <v>4111</v>
      </c>
      <c r="H1329" s="126" t="s">
        <v>2789</v>
      </c>
      <c r="I1329" s="102" t="s">
        <v>61</v>
      </c>
      <c r="J1329" s="85">
        <v>3199.0</v>
      </c>
      <c r="K1329" s="85">
        <v>1836.0</v>
      </c>
      <c r="L1329" s="19">
        <v>0.5739</v>
      </c>
      <c r="M1329" s="127">
        <v>0.0</v>
      </c>
      <c r="N1329" s="128">
        <v>0.0</v>
      </c>
      <c r="O1329" s="20">
        <v>2.0</v>
      </c>
      <c r="P1329" s="21">
        <v>0.0</v>
      </c>
      <c r="Q1329" s="19">
        <v>0.0011</v>
      </c>
      <c r="R1329" s="129">
        <v>0.0</v>
      </c>
      <c r="S1329" s="20">
        <v>1.0</v>
      </c>
      <c r="T1329" s="20">
        <v>0.0</v>
      </c>
      <c r="U1329" s="131">
        <v>11395.0</v>
      </c>
      <c r="V1329" s="21" t="s">
        <v>335</v>
      </c>
      <c r="W1329" s="21" t="s">
        <v>3257</v>
      </c>
      <c r="X1329" s="21" t="s">
        <v>41</v>
      </c>
      <c r="Y1329" s="142">
        <v>46145.0</v>
      </c>
      <c r="Z1329" s="20" t="s">
        <v>4112</v>
      </c>
      <c r="AA1329" s="18">
        <v>1.0</v>
      </c>
      <c r="AB1329" s="18">
        <v>1.0</v>
      </c>
      <c r="AC1329" s="18" t="s">
        <v>1650</v>
      </c>
      <c r="AD1329" s="14">
        <v>4138.0</v>
      </c>
      <c r="AE1329" s="14">
        <v>4138.0</v>
      </c>
      <c r="AF1329" s="18" t="s">
        <v>1650</v>
      </c>
      <c r="AG1329" s="22"/>
      <c r="AH1329" s="22"/>
      <c r="AI1329" s="22"/>
      <c r="AJ1329" s="22"/>
      <c r="AK1329" s="22"/>
      <c r="AL1329" s="22"/>
      <c r="AM1329" s="22"/>
      <c r="AN1329" s="22"/>
      <c r="AO1329" s="22"/>
      <c r="AP1329" s="22"/>
    </row>
    <row r="1330" hidden="1">
      <c r="A1330" s="69">
        <v>46145.0</v>
      </c>
      <c r="B1330" s="125">
        <v>0.7916666666666666</v>
      </c>
      <c r="C1330" s="126" t="s">
        <v>58</v>
      </c>
      <c r="D1330" s="102" t="s">
        <v>3083</v>
      </c>
      <c r="E1330" s="102" t="s">
        <v>71</v>
      </c>
      <c r="F1330" s="102" t="s">
        <v>3645</v>
      </c>
      <c r="G1330" s="126" t="s">
        <v>4113</v>
      </c>
      <c r="H1330" s="126" t="s">
        <v>2793</v>
      </c>
      <c r="I1330" s="102" t="s">
        <v>61</v>
      </c>
      <c r="J1330" s="85">
        <v>2377.0</v>
      </c>
      <c r="K1330" s="85">
        <v>1575.0</v>
      </c>
      <c r="L1330" s="19">
        <v>0.6626</v>
      </c>
      <c r="M1330" s="127">
        <v>0.0</v>
      </c>
      <c r="N1330" s="128">
        <v>0.0</v>
      </c>
      <c r="O1330" s="20">
        <v>2.0</v>
      </c>
      <c r="P1330" s="21">
        <v>0.0</v>
      </c>
      <c r="Q1330" s="19">
        <v>0.0013</v>
      </c>
      <c r="R1330" s="129">
        <v>0.0</v>
      </c>
      <c r="S1330" s="20">
        <v>5.0</v>
      </c>
      <c r="T1330" s="20">
        <v>0.0</v>
      </c>
      <c r="U1330" s="131">
        <v>24683.0</v>
      </c>
      <c r="V1330" s="132" t="s">
        <v>335</v>
      </c>
      <c r="W1330" s="21" t="s">
        <v>3257</v>
      </c>
      <c r="X1330" s="21" t="s">
        <v>2492</v>
      </c>
      <c r="Y1330" s="142">
        <v>46145.0</v>
      </c>
      <c r="Z1330" s="20" t="s">
        <v>4114</v>
      </c>
      <c r="AA1330" s="18">
        <v>5.0</v>
      </c>
      <c r="AB1330" s="18">
        <v>5.0</v>
      </c>
      <c r="AC1330" s="18" t="s">
        <v>1650</v>
      </c>
      <c r="AD1330" s="14">
        <v>8762.0</v>
      </c>
      <c r="AE1330" s="14">
        <v>8762.0</v>
      </c>
      <c r="AF1330" s="18" t="s">
        <v>1650</v>
      </c>
      <c r="AG1330" s="22"/>
      <c r="AH1330" s="22"/>
      <c r="AI1330" s="22"/>
      <c r="AJ1330" s="22"/>
      <c r="AK1330" s="22"/>
      <c r="AL1330" s="22"/>
      <c r="AM1330" s="22"/>
      <c r="AN1330" s="22"/>
      <c r="AO1330" s="22"/>
      <c r="AP1330" s="22"/>
    </row>
    <row r="1331" hidden="1">
      <c r="A1331" s="69">
        <v>46145.0</v>
      </c>
      <c r="B1331" s="125">
        <v>0.7916666666666666</v>
      </c>
      <c r="C1331" s="126" t="s">
        <v>58</v>
      </c>
      <c r="D1331" s="102" t="s">
        <v>3083</v>
      </c>
      <c r="E1331" s="102" t="s">
        <v>71</v>
      </c>
      <c r="F1331" s="102" t="s">
        <v>3645</v>
      </c>
      <c r="G1331" s="126" t="s">
        <v>4115</v>
      </c>
      <c r="H1331" s="126" t="s">
        <v>2797</v>
      </c>
      <c r="I1331" s="102" t="s">
        <v>61</v>
      </c>
      <c r="J1331" s="85">
        <v>38018.0</v>
      </c>
      <c r="K1331" s="85">
        <v>22031.0</v>
      </c>
      <c r="L1331" s="19">
        <v>0.5795</v>
      </c>
      <c r="M1331" s="127">
        <v>0.0</v>
      </c>
      <c r="N1331" s="128">
        <v>0.0</v>
      </c>
      <c r="O1331" s="20">
        <v>57.0</v>
      </c>
      <c r="P1331" s="21">
        <v>0.0</v>
      </c>
      <c r="Q1331" s="19">
        <v>0.0026</v>
      </c>
      <c r="R1331" s="129">
        <v>0.0</v>
      </c>
      <c r="S1331" s="20">
        <v>3.0</v>
      </c>
      <c r="T1331" s="20">
        <v>1.0</v>
      </c>
      <c r="U1331" s="131">
        <v>20589.0</v>
      </c>
      <c r="V1331" s="132" t="s">
        <v>335</v>
      </c>
      <c r="W1331" s="21" t="s">
        <v>3257</v>
      </c>
      <c r="X1331" s="21" t="s">
        <v>2799</v>
      </c>
      <c r="Y1331" s="142">
        <v>46145.0</v>
      </c>
      <c r="Z1331" s="20" t="s">
        <v>4116</v>
      </c>
      <c r="AA1331" s="18">
        <v>6.0</v>
      </c>
      <c r="AB1331" s="18">
        <v>6.0</v>
      </c>
      <c r="AC1331" s="18" t="s">
        <v>1650</v>
      </c>
      <c r="AD1331" s="14">
        <v>18882.0</v>
      </c>
      <c r="AE1331" s="14">
        <v>18882.0</v>
      </c>
      <c r="AF1331" s="18" t="s">
        <v>1650</v>
      </c>
      <c r="AG1331" s="22"/>
      <c r="AH1331" s="22"/>
      <c r="AI1331" s="22"/>
      <c r="AJ1331" s="22"/>
      <c r="AK1331" s="22"/>
      <c r="AL1331" s="22"/>
      <c r="AM1331" s="22"/>
      <c r="AN1331" s="22"/>
      <c r="AO1331" s="22"/>
      <c r="AP1331" s="22"/>
    </row>
    <row r="1332" hidden="1">
      <c r="A1332" s="69">
        <v>46145.0</v>
      </c>
      <c r="B1332" s="125">
        <v>0.3541666666666667</v>
      </c>
      <c r="C1332" s="126" t="s">
        <v>32</v>
      </c>
      <c r="D1332" s="102" t="s">
        <v>3243</v>
      </c>
      <c r="E1332" s="102" t="s">
        <v>34</v>
      </c>
      <c r="F1332" s="102" t="s">
        <v>3760</v>
      </c>
      <c r="G1332" s="126" t="s">
        <v>4117</v>
      </c>
      <c r="H1332" s="126" t="s">
        <v>3762</v>
      </c>
      <c r="I1332" s="102" t="s">
        <v>3763</v>
      </c>
      <c r="J1332" s="85">
        <v>3041.0</v>
      </c>
      <c r="K1332" s="85">
        <v>1706.0</v>
      </c>
      <c r="L1332" s="19">
        <v>0.561</v>
      </c>
      <c r="M1332" s="127">
        <v>746.0</v>
      </c>
      <c r="N1332" s="128">
        <v>0.4367</v>
      </c>
      <c r="O1332" s="20">
        <v>165.0</v>
      </c>
      <c r="P1332" s="21">
        <v>151.0</v>
      </c>
      <c r="Q1332" s="19">
        <v>0.0885</v>
      </c>
      <c r="R1332" s="129">
        <v>0.2027</v>
      </c>
      <c r="S1332" s="20">
        <v>33.0</v>
      </c>
      <c r="T1332" s="20">
        <v>126.0</v>
      </c>
      <c r="U1332" s="131">
        <v>400992.2</v>
      </c>
      <c r="V1332" s="21" t="s">
        <v>335</v>
      </c>
      <c r="W1332" s="21" t="s">
        <v>76</v>
      </c>
      <c r="X1332" s="21" t="s">
        <v>2131</v>
      </c>
      <c r="Y1332" s="21" t="s">
        <v>4118</v>
      </c>
      <c r="Z1332" s="20" t="s">
        <v>4119</v>
      </c>
      <c r="AA1332" s="14"/>
      <c r="AB1332" s="14"/>
      <c r="AC1332" s="52"/>
      <c r="AD1332" s="14"/>
      <c r="AE1332" s="14"/>
      <c r="AF1332" s="52"/>
      <c r="AG1332" s="22"/>
      <c r="AH1332" s="22"/>
      <c r="AI1332" s="22"/>
      <c r="AJ1332" s="22"/>
      <c r="AK1332" s="22"/>
      <c r="AL1332" s="22"/>
      <c r="AM1332" s="22"/>
      <c r="AN1332" s="22"/>
      <c r="AO1332" s="22"/>
      <c r="AP1332" s="22"/>
    </row>
    <row r="1333" hidden="1">
      <c r="A1333" s="69">
        <v>46145.0</v>
      </c>
      <c r="B1333" s="125">
        <v>0.3541666666666667</v>
      </c>
      <c r="C1333" s="126" t="s">
        <v>32</v>
      </c>
      <c r="D1333" s="102" t="s">
        <v>3243</v>
      </c>
      <c r="E1333" s="102" t="s">
        <v>34</v>
      </c>
      <c r="F1333" s="102" t="s">
        <v>3760</v>
      </c>
      <c r="G1333" s="126" t="s">
        <v>4120</v>
      </c>
      <c r="H1333" s="126" t="s">
        <v>3767</v>
      </c>
      <c r="I1333" s="102" t="s">
        <v>3768</v>
      </c>
      <c r="J1333" s="85">
        <v>2216.0</v>
      </c>
      <c r="K1333" s="85">
        <v>1266.0</v>
      </c>
      <c r="L1333" s="19">
        <v>0.5713</v>
      </c>
      <c r="M1333" s="127">
        <v>548.0</v>
      </c>
      <c r="N1333" s="128">
        <v>0.4329</v>
      </c>
      <c r="O1333" s="20">
        <v>127.0</v>
      </c>
      <c r="P1333" s="21">
        <v>114.0</v>
      </c>
      <c r="Q1333" s="19">
        <v>0.09</v>
      </c>
      <c r="R1333" s="129">
        <v>0.208</v>
      </c>
      <c r="S1333" s="20">
        <v>6.0</v>
      </c>
      <c r="T1333" s="20">
        <v>32.0</v>
      </c>
      <c r="U1333" s="131">
        <v>103993.0</v>
      </c>
      <c r="V1333" s="21" t="s">
        <v>335</v>
      </c>
      <c r="W1333" s="21" t="s">
        <v>76</v>
      </c>
      <c r="X1333" s="21" t="s">
        <v>2282</v>
      </c>
      <c r="Y1333" s="21" t="s">
        <v>4118</v>
      </c>
      <c r="Z1333" s="20" t="s">
        <v>4121</v>
      </c>
      <c r="AA1333" s="14"/>
      <c r="AB1333" s="14"/>
      <c r="AC1333" s="52"/>
      <c r="AD1333" s="14"/>
      <c r="AE1333" s="14"/>
      <c r="AF1333" s="52"/>
      <c r="AG1333" s="22"/>
      <c r="AH1333" s="22"/>
      <c r="AI1333" s="22"/>
      <c r="AJ1333" s="22"/>
      <c r="AK1333" s="22"/>
      <c r="AL1333" s="22"/>
      <c r="AM1333" s="22"/>
      <c r="AN1333" s="22"/>
      <c r="AO1333" s="22"/>
      <c r="AP1333" s="22"/>
    </row>
    <row r="1334" hidden="1">
      <c r="A1334" s="69">
        <v>46145.0</v>
      </c>
      <c r="B1334" s="125">
        <v>0.3576388888888889</v>
      </c>
      <c r="C1334" s="126" t="s">
        <v>32</v>
      </c>
      <c r="D1334" s="102" t="s">
        <v>3243</v>
      </c>
      <c r="E1334" s="102" t="s">
        <v>34</v>
      </c>
      <c r="F1334" s="102" t="s">
        <v>3760</v>
      </c>
      <c r="G1334" s="126" t="s">
        <v>4122</v>
      </c>
      <c r="H1334" s="126" t="s">
        <v>3776</v>
      </c>
      <c r="I1334" s="102" t="s">
        <v>3777</v>
      </c>
      <c r="J1334" s="85">
        <v>22432.0</v>
      </c>
      <c r="K1334" s="85">
        <v>12296.0</v>
      </c>
      <c r="L1334" s="19">
        <v>0.5481</v>
      </c>
      <c r="M1334" s="127">
        <v>4971.0</v>
      </c>
      <c r="N1334" s="128">
        <v>0.4039</v>
      </c>
      <c r="O1334" s="20">
        <v>1207.0</v>
      </c>
      <c r="P1334" s="21">
        <v>1122.0</v>
      </c>
      <c r="Q1334" s="19">
        <v>0.0913</v>
      </c>
      <c r="R1334" s="129">
        <v>0.226</v>
      </c>
      <c r="S1334" s="20">
        <v>7.0</v>
      </c>
      <c r="T1334" s="20">
        <v>68.0</v>
      </c>
      <c r="U1334" s="131">
        <v>83343.0</v>
      </c>
      <c r="V1334" s="21" t="s">
        <v>335</v>
      </c>
      <c r="W1334" s="21" t="s">
        <v>76</v>
      </c>
      <c r="X1334" s="21" t="s">
        <v>3778</v>
      </c>
      <c r="Y1334" s="21" t="s">
        <v>4118</v>
      </c>
      <c r="Z1334" s="20" t="s">
        <v>4123</v>
      </c>
      <c r="AA1334" s="14"/>
      <c r="AB1334" s="14"/>
      <c r="AC1334" s="52"/>
      <c r="AD1334" s="14"/>
      <c r="AE1334" s="14"/>
      <c r="AF1334" s="52"/>
      <c r="AG1334" s="22"/>
      <c r="AH1334" s="22"/>
      <c r="AI1334" s="22"/>
      <c r="AJ1334" s="22"/>
      <c r="AK1334" s="22"/>
      <c r="AL1334" s="22"/>
      <c r="AM1334" s="22"/>
      <c r="AN1334" s="22"/>
      <c r="AO1334" s="22"/>
      <c r="AP1334" s="22"/>
    </row>
    <row r="1335" hidden="1">
      <c r="A1335" s="69">
        <v>46145.0</v>
      </c>
      <c r="B1335" s="125">
        <v>0.3611111111111111</v>
      </c>
      <c r="C1335" s="126" t="s">
        <v>32</v>
      </c>
      <c r="D1335" s="102" t="s">
        <v>3243</v>
      </c>
      <c r="E1335" s="102" t="s">
        <v>34</v>
      </c>
      <c r="F1335" s="102" t="s">
        <v>3760</v>
      </c>
      <c r="G1335" s="126" t="s">
        <v>4124</v>
      </c>
      <c r="H1335" s="126" t="s">
        <v>3781</v>
      </c>
      <c r="I1335" s="102" t="s">
        <v>3782</v>
      </c>
      <c r="J1335" s="85">
        <v>7673.0</v>
      </c>
      <c r="K1335" s="85">
        <v>3670.0</v>
      </c>
      <c r="L1335" s="19">
        <v>0.4783</v>
      </c>
      <c r="M1335" s="127">
        <v>1361.0</v>
      </c>
      <c r="N1335" s="128">
        <v>0.3706</v>
      </c>
      <c r="O1335" s="20">
        <v>175.0</v>
      </c>
      <c r="P1335" s="21">
        <v>163.0</v>
      </c>
      <c r="Q1335" s="19">
        <v>0.0444</v>
      </c>
      <c r="R1335" s="129">
        <v>0.1199</v>
      </c>
      <c r="S1335" s="20">
        <v>0.0</v>
      </c>
      <c r="T1335" s="20">
        <v>0.0</v>
      </c>
      <c r="U1335" s="131">
        <v>0.0</v>
      </c>
      <c r="V1335" s="21" t="s">
        <v>183</v>
      </c>
      <c r="W1335" s="21" t="s">
        <v>76</v>
      </c>
      <c r="X1335" s="21" t="s">
        <v>52</v>
      </c>
      <c r="Y1335" s="21" t="s">
        <v>4118</v>
      </c>
      <c r="Z1335" s="20" t="s">
        <v>4125</v>
      </c>
      <c r="AA1335" s="14"/>
      <c r="AB1335" s="14"/>
      <c r="AC1335" s="18"/>
      <c r="AD1335" s="14"/>
      <c r="AE1335" s="14"/>
      <c r="AF1335" s="14"/>
      <c r="AG1335" s="22"/>
      <c r="AH1335" s="22"/>
      <c r="AI1335" s="22"/>
      <c r="AJ1335" s="22"/>
      <c r="AK1335" s="22"/>
      <c r="AL1335" s="22"/>
      <c r="AM1335" s="22"/>
      <c r="AN1335" s="22"/>
      <c r="AO1335" s="22"/>
      <c r="AP1335" s="22"/>
    </row>
    <row r="1336" hidden="1">
      <c r="A1336" s="69">
        <v>46145.0</v>
      </c>
      <c r="B1336" s="125">
        <v>0.3645833333333333</v>
      </c>
      <c r="C1336" s="126" t="s">
        <v>32</v>
      </c>
      <c r="D1336" s="102" t="s">
        <v>3243</v>
      </c>
      <c r="E1336" s="102" t="s">
        <v>34</v>
      </c>
      <c r="F1336" s="102" t="s">
        <v>3760</v>
      </c>
      <c r="G1336" s="126" t="s">
        <v>4126</v>
      </c>
      <c r="H1336" s="126" t="s">
        <v>3785</v>
      </c>
      <c r="I1336" s="102" t="s">
        <v>3786</v>
      </c>
      <c r="J1336" s="85">
        <v>23931.0</v>
      </c>
      <c r="K1336" s="85">
        <v>3191.0</v>
      </c>
      <c r="L1336" s="19">
        <v>0.1333</v>
      </c>
      <c r="M1336" s="127">
        <v>1186.0</v>
      </c>
      <c r="N1336" s="128">
        <v>0.3707</v>
      </c>
      <c r="O1336" s="20">
        <v>158.0</v>
      </c>
      <c r="P1336" s="21">
        <v>152.0</v>
      </c>
      <c r="Q1336" s="19">
        <v>0.0476</v>
      </c>
      <c r="R1336" s="129">
        <v>0.1285</v>
      </c>
      <c r="S1336" s="20">
        <v>1.0</v>
      </c>
      <c r="T1336" s="20">
        <v>1.0</v>
      </c>
      <c r="U1336" s="131">
        <v>12999.0</v>
      </c>
      <c r="V1336" s="21" t="s">
        <v>183</v>
      </c>
      <c r="W1336" s="21" t="s">
        <v>76</v>
      </c>
      <c r="X1336" s="21" t="s">
        <v>82</v>
      </c>
      <c r="Y1336" s="21" t="s">
        <v>4118</v>
      </c>
      <c r="Z1336" s="20" t="s">
        <v>4127</v>
      </c>
      <c r="AA1336" s="14"/>
      <c r="AB1336" s="14"/>
      <c r="AC1336" s="18"/>
      <c r="AD1336" s="14"/>
      <c r="AE1336" s="14"/>
      <c r="AF1336" s="14"/>
      <c r="AG1336" s="22"/>
      <c r="AH1336" s="22"/>
      <c r="AI1336" s="22"/>
      <c r="AJ1336" s="22"/>
      <c r="AK1336" s="22"/>
      <c r="AL1336" s="22"/>
      <c r="AM1336" s="22"/>
      <c r="AN1336" s="22"/>
      <c r="AO1336" s="22"/>
      <c r="AP1336" s="22"/>
    </row>
    <row r="1337" hidden="1">
      <c r="A1337" s="69">
        <v>46145.0</v>
      </c>
      <c r="B1337" s="125">
        <v>0.3541666666666667</v>
      </c>
      <c r="C1337" s="126" t="s">
        <v>32</v>
      </c>
      <c r="D1337" s="102" t="s">
        <v>3243</v>
      </c>
      <c r="E1337" s="102" t="s">
        <v>34</v>
      </c>
      <c r="F1337" s="102" t="s">
        <v>3760</v>
      </c>
      <c r="G1337" s="126" t="s">
        <v>4128</v>
      </c>
      <c r="H1337" s="126" t="s">
        <v>3771</v>
      </c>
      <c r="I1337" s="102" t="s">
        <v>3772</v>
      </c>
      <c r="J1337" s="85">
        <v>1606.0</v>
      </c>
      <c r="K1337" s="85">
        <v>949.0</v>
      </c>
      <c r="L1337" s="19">
        <v>0.5909</v>
      </c>
      <c r="M1337" s="127">
        <v>394.0</v>
      </c>
      <c r="N1337" s="128">
        <v>0.4141</v>
      </c>
      <c r="O1337" s="20">
        <v>46.0</v>
      </c>
      <c r="P1337" s="21">
        <v>44.0</v>
      </c>
      <c r="Q1337" s="19">
        <v>0.0464</v>
      </c>
      <c r="R1337" s="129">
        <v>0.112</v>
      </c>
      <c r="S1337" s="20">
        <v>2.0</v>
      </c>
      <c r="T1337" s="20">
        <v>16.0</v>
      </c>
      <c r="U1337" s="131">
        <v>16148.0</v>
      </c>
      <c r="V1337" s="21" t="s">
        <v>335</v>
      </c>
      <c r="W1337" s="21" t="s">
        <v>76</v>
      </c>
      <c r="X1337" s="21" t="s">
        <v>3773</v>
      </c>
      <c r="Y1337" s="21" t="s">
        <v>4118</v>
      </c>
      <c r="Z1337" s="20" t="s">
        <v>4129</v>
      </c>
      <c r="AA1337" s="14"/>
      <c r="AB1337" s="14"/>
      <c r="AC1337" s="52"/>
      <c r="AD1337" s="14"/>
      <c r="AE1337" s="14"/>
      <c r="AF1337" s="52"/>
      <c r="AG1337" s="22"/>
      <c r="AH1337" s="22"/>
      <c r="AI1337" s="22"/>
      <c r="AJ1337" s="22"/>
      <c r="AK1337" s="22"/>
      <c r="AL1337" s="22"/>
      <c r="AM1337" s="22"/>
      <c r="AN1337" s="22"/>
      <c r="AO1337" s="22"/>
      <c r="AP1337" s="22"/>
    </row>
    <row r="1338" hidden="1">
      <c r="A1338" s="69">
        <v>46145.0</v>
      </c>
      <c r="B1338" s="125">
        <v>0.6527777777777778</v>
      </c>
      <c r="C1338" s="126" t="s">
        <v>32</v>
      </c>
      <c r="D1338" s="102" t="s">
        <v>3243</v>
      </c>
      <c r="E1338" s="102" t="s">
        <v>34</v>
      </c>
      <c r="F1338" s="102" t="s">
        <v>3760</v>
      </c>
      <c r="G1338" s="126" t="s">
        <v>4130</v>
      </c>
      <c r="H1338" s="126" t="s">
        <v>4131</v>
      </c>
      <c r="I1338" s="102" t="s">
        <v>1101</v>
      </c>
      <c r="J1338" s="85">
        <v>77.0</v>
      </c>
      <c r="K1338" s="85">
        <v>39.0</v>
      </c>
      <c r="L1338" s="19">
        <v>0.5065</v>
      </c>
      <c r="M1338" s="127">
        <v>20.0</v>
      </c>
      <c r="N1338" s="128">
        <v>0.5128</v>
      </c>
      <c r="O1338" s="20">
        <v>3.0</v>
      </c>
      <c r="P1338" s="21">
        <v>3.0</v>
      </c>
      <c r="Q1338" s="19">
        <v>0.0769</v>
      </c>
      <c r="R1338" s="129">
        <v>0.15</v>
      </c>
      <c r="S1338" s="20">
        <v>0.0</v>
      </c>
      <c r="T1338" s="20">
        <v>3.0</v>
      </c>
      <c r="U1338" s="131">
        <v>0.0</v>
      </c>
      <c r="V1338" s="132" t="s">
        <v>335</v>
      </c>
      <c r="W1338" s="21" t="s">
        <v>76</v>
      </c>
      <c r="X1338" s="21" t="s">
        <v>1101</v>
      </c>
      <c r="Y1338" s="21" t="s">
        <v>4118</v>
      </c>
      <c r="Z1338" s="20" t="s">
        <v>4132</v>
      </c>
      <c r="AA1338" s="14"/>
      <c r="AB1338" s="14"/>
      <c r="AC1338" s="52"/>
      <c r="AD1338" s="14"/>
      <c r="AE1338" s="14"/>
      <c r="AF1338" s="52"/>
      <c r="AG1338" s="22"/>
      <c r="AH1338" s="22"/>
      <c r="AI1338" s="22"/>
      <c r="AJ1338" s="22"/>
      <c r="AK1338" s="22"/>
      <c r="AL1338" s="22"/>
      <c r="AM1338" s="22"/>
      <c r="AN1338" s="22"/>
      <c r="AO1338" s="22"/>
      <c r="AP1338" s="22"/>
    </row>
    <row r="1339" hidden="1">
      <c r="A1339" s="69">
        <v>46145.0</v>
      </c>
      <c r="B1339" s="125">
        <v>0.75</v>
      </c>
      <c r="C1339" s="126" t="s">
        <v>32</v>
      </c>
      <c r="D1339" s="102" t="s">
        <v>3243</v>
      </c>
      <c r="E1339" s="102" t="s">
        <v>34</v>
      </c>
      <c r="F1339" s="102" t="s">
        <v>3760</v>
      </c>
      <c r="G1339" s="126" t="s">
        <v>4133</v>
      </c>
      <c r="H1339" s="126" t="s">
        <v>3789</v>
      </c>
      <c r="I1339" s="102" t="s">
        <v>3790</v>
      </c>
      <c r="J1339" s="85">
        <v>6662.0</v>
      </c>
      <c r="K1339" s="85">
        <v>2456.0</v>
      </c>
      <c r="L1339" s="19">
        <v>0.3685</v>
      </c>
      <c r="M1339" s="127">
        <v>1090.0</v>
      </c>
      <c r="N1339" s="128">
        <v>0.4411</v>
      </c>
      <c r="O1339" s="20">
        <v>174.0</v>
      </c>
      <c r="P1339" s="21">
        <v>161.0</v>
      </c>
      <c r="Q1339" s="19">
        <v>0.0656</v>
      </c>
      <c r="R1339" s="129">
        <v>0.1487</v>
      </c>
      <c r="S1339" s="20">
        <v>0.0</v>
      </c>
      <c r="T1339" s="20">
        <v>0.0</v>
      </c>
      <c r="U1339" s="131">
        <v>0.0</v>
      </c>
      <c r="V1339" s="21" t="s">
        <v>183</v>
      </c>
      <c r="W1339" s="21" t="s">
        <v>76</v>
      </c>
      <c r="X1339" s="21" t="s">
        <v>47</v>
      </c>
      <c r="Y1339" s="21" t="s">
        <v>4118</v>
      </c>
      <c r="Z1339" s="20" t="s">
        <v>4134</v>
      </c>
      <c r="AA1339" s="14"/>
      <c r="AB1339" s="14"/>
      <c r="AC1339" s="18"/>
      <c r="AD1339" s="14"/>
      <c r="AE1339" s="14"/>
      <c r="AF1339" s="14"/>
      <c r="AG1339" s="22"/>
      <c r="AH1339" s="22"/>
      <c r="AI1339" s="22"/>
      <c r="AJ1339" s="22"/>
      <c r="AK1339" s="22"/>
      <c r="AL1339" s="22"/>
      <c r="AM1339" s="22"/>
      <c r="AN1339" s="22"/>
      <c r="AO1339" s="22"/>
      <c r="AP1339" s="22"/>
    </row>
    <row r="1340" hidden="1">
      <c r="A1340" s="69">
        <v>46145.0</v>
      </c>
      <c r="B1340" s="125">
        <v>0.75</v>
      </c>
      <c r="C1340" s="126" t="s">
        <v>32</v>
      </c>
      <c r="D1340" s="102" t="s">
        <v>3243</v>
      </c>
      <c r="E1340" s="102" t="s">
        <v>34</v>
      </c>
      <c r="F1340" s="102" t="s">
        <v>3760</v>
      </c>
      <c r="G1340" s="126" t="s">
        <v>4135</v>
      </c>
      <c r="H1340" s="126" t="s">
        <v>3793</v>
      </c>
      <c r="I1340" s="102" t="s">
        <v>3794</v>
      </c>
      <c r="J1340" s="85">
        <v>7490.0</v>
      </c>
      <c r="K1340" s="85">
        <v>2533.0</v>
      </c>
      <c r="L1340" s="19">
        <v>0.3379</v>
      </c>
      <c r="M1340" s="127">
        <v>904.0</v>
      </c>
      <c r="N1340" s="128">
        <v>0.3544</v>
      </c>
      <c r="O1340" s="20">
        <v>127.0</v>
      </c>
      <c r="P1340" s="21">
        <v>117.0</v>
      </c>
      <c r="Q1340" s="19">
        <v>0.0462</v>
      </c>
      <c r="R1340" s="129">
        <v>0.1304</v>
      </c>
      <c r="S1340" s="20">
        <v>1.0</v>
      </c>
      <c r="T1340" s="20">
        <v>0.0</v>
      </c>
      <c r="U1340" s="131">
        <v>16999.0</v>
      </c>
      <c r="V1340" s="21" t="s">
        <v>183</v>
      </c>
      <c r="W1340" s="21" t="s">
        <v>76</v>
      </c>
      <c r="X1340" s="21" t="s">
        <v>3795</v>
      </c>
      <c r="Y1340" s="21" t="s">
        <v>4118</v>
      </c>
      <c r="Z1340" s="20" t="s">
        <v>4136</v>
      </c>
      <c r="AA1340" s="14"/>
      <c r="AB1340" s="14"/>
      <c r="AC1340" s="18"/>
      <c r="AD1340" s="14"/>
      <c r="AE1340" s="14"/>
      <c r="AF1340" s="14"/>
      <c r="AG1340" s="22"/>
      <c r="AH1340" s="22"/>
      <c r="AI1340" s="22"/>
      <c r="AJ1340" s="22"/>
      <c r="AK1340" s="22"/>
      <c r="AL1340" s="22"/>
      <c r="AM1340" s="22"/>
      <c r="AN1340" s="22"/>
      <c r="AO1340" s="22"/>
      <c r="AP1340" s="22"/>
    </row>
    <row r="1341" hidden="1">
      <c r="A1341" s="69">
        <v>46145.0</v>
      </c>
      <c r="B1341" s="125">
        <v>0.75</v>
      </c>
      <c r="C1341" s="126" t="s">
        <v>32</v>
      </c>
      <c r="D1341" s="102" t="s">
        <v>3243</v>
      </c>
      <c r="E1341" s="102" t="s">
        <v>34</v>
      </c>
      <c r="F1341" s="102" t="s">
        <v>3760</v>
      </c>
      <c r="G1341" s="126" t="s">
        <v>4137</v>
      </c>
      <c r="H1341" s="126" t="s">
        <v>3816</v>
      </c>
      <c r="I1341" s="102" t="s">
        <v>3910</v>
      </c>
      <c r="J1341" s="85">
        <v>60007.0</v>
      </c>
      <c r="K1341" s="85">
        <v>18968.0</v>
      </c>
      <c r="L1341" s="19">
        <v>0.316</v>
      </c>
      <c r="M1341" s="127">
        <v>7259.0</v>
      </c>
      <c r="N1341" s="128">
        <v>0.381</v>
      </c>
      <c r="O1341" s="20">
        <v>797.0</v>
      </c>
      <c r="P1341" s="21">
        <v>709.0</v>
      </c>
      <c r="Q1341" s="19">
        <v>0.0374</v>
      </c>
      <c r="R1341" s="129">
        <v>0.0981</v>
      </c>
      <c r="S1341" s="20">
        <v>1.0</v>
      </c>
      <c r="T1341" s="20">
        <v>0.0</v>
      </c>
      <c r="U1341" s="131">
        <v>5499.0</v>
      </c>
      <c r="V1341" s="21" t="s">
        <v>183</v>
      </c>
      <c r="W1341" s="21" t="s">
        <v>76</v>
      </c>
      <c r="X1341" s="21" t="s">
        <v>3847</v>
      </c>
      <c r="Y1341" s="21" t="s">
        <v>4118</v>
      </c>
      <c r="Z1341" s="20" t="s">
        <v>4138</v>
      </c>
      <c r="AA1341" s="14"/>
      <c r="AB1341" s="14"/>
      <c r="AC1341" s="18"/>
      <c r="AD1341" s="14"/>
      <c r="AE1341" s="14"/>
      <c r="AF1341" s="14"/>
      <c r="AG1341" s="22"/>
      <c r="AH1341" s="22"/>
      <c r="AI1341" s="22"/>
      <c r="AJ1341" s="22"/>
      <c r="AK1341" s="22"/>
      <c r="AL1341" s="22"/>
      <c r="AM1341" s="22"/>
      <c r="AN1341" s="22"/>
      <c r="AO1341" s="22"/>
      <c r="AP1341" s="22"/>
    </row>
    <row r="1342" hidden="1">
      <c r="A1342" s="69">
        <v>46145.0</v>
      </c>
      <c r="B1342" s="125">
        <v>0.4791666666666667</v>
      </c>
      <c r="C1342" s="126" t="s">
        <v>58</v>
      </c>
      <c r="D1342" s="102" t="s">
        <v>3083</v>
      </c>
      <c r="E1342" s="102" t="s">
        <v>34</v>
      </c>
      <c r="F1342" s="102" t="s">
        <v>3800</v>
      </c>
      <c r="G1342" s="126" t="s">
        <v>4139</v>
      </c>
      <c r="H1342" s="126" t="s">
        <v>3762</v>
      </c>
      <c r="I1342" s="102" t="s">
        <v>2956</v>
      </c>
      <c r="J1342" s="85">
        <v>1040.0</v>
      </c>
      <c r="K1342" s="85">
        <v>663.0</v>
      </c>
      <c r="L1342" s="19">
        <v>0.6375</v>
      </c>
      <c r="M1342" s="127">
        <v>0.0</v>
      </c>
      <c r="N1342" s="128">
        <v>0.0</v>
      </c>
      <c r="O1342" s="20">
        <v>3.0</v>
      </c>
      <c r="P1342" s="21">
        <v>0.0</v>
      </c>
      <c r="Q1342" s="19">
        <v>0.0045</v>
      </c>
      <c r="R1342" s="129">
        <v>0.0</v>
      </c>
      <c r="S1342" s="20">
        <v>3.0</v>
      </c>
      <c r="T1342" s="20">
        <v>25.0</v>
      </c>
      <c r="U1342" s="131">
        <v>36497.0</v>
      </c>
      <c r="V1342" s="21" t="s">
        <v>335</v>
      </c>
      <c r="W1342" s="21" t="s">
        <v>3257</v>
      </c>
      <c r="X1342" s="21" t="s">
        <v>2131</v>
      </c>
      <c r="Y1342" s="21" t="s">
        <v>4118</v>
      </c>
      <c r="Z1342" s="20" t="s">
        <v>4140</v>
      </c>
      <c r="AA1342" s="14"/>
      <c r="AB1342" s="14"/>
      <c r="AC1342" s="52"/>
      <c r="AD1342" s="14"/>
      <c r="AE1342" s="14"/>
      <c r="AF1342" s="52"/>
      <c r="AG1342" s="22"/>
      <c r="AH1342" s="22"/>
      <c r="AI1342" s="22"/>
      <c r="AJ1342" s="22"/>
      <c r="AK1342" s="22"/>
      <c r="AL1342" s="22"/>
      <c r="AM1342" s="22"/>
      <c r="AN1342" s="22"/>
      <c r="AO1342" s="22"/>
      <c r="AP1342" s="22"/>
    </row>
    <row r="1343" hidden="1">
      <c r="A1343" s="69">
        <v>46145.0</v>
      </c>
      <c r="B1343" s="125">
        <v>0.4791666666666667</v>
      </c>
      <c r="C1343" s="126" t="s">
        <v>58</v>
      </c>
      <c r="D1343" s="102" t="s">
        <v>3083</v>
      </c>
      <c r="E1343" s="102" t="s">
        <v>34</v>
      </c>
      <c r="F1343" s="102" t="s">
        <v>3800</v>
      </c>
      <c r="G1343" s="126" t="s">
        <v>4141</v>
      </c>
      <c r="H1343" s="126" t="s">
        <v>3767</v>
      </c>
      <c r="I1343" s="102" t="s">
        <v>2956</v>
      </c>
      <c r="J1343" s="85">
        <v>711.0</v>
      </c>
      <c r="K1343" s="85">
        <v>423.0</v>
      </c>
      <c r="L1343" s="19">
        <v>0.5949</v>
      </c>
      <c r="M1343" s="127">
        <v>0.0</v>
      </c>
      <c r="N1343" s="128">
        <v>0.0</v>
      </c>
      <c r="O1343" s="20">
        <v>1.0</v>
      </c>
      <c r="P1343" s="21">
        <v>0.0</v>
      </c>
      <c r="Q1343" s="19">
        <v>0.0024</v>
      </c>
      <c r="R1343" s="129">
        <v>0.0</v>
      </c>
      <c r="S1343" s="20">
        <v>1.0</v>
      </c>
      <c r="T1343" s="20">
        <v>7.0</v>
      </c>
      <c r="U1343" s="131">
        <v>11999.0</v>
      </c>
      <c r="V1343" s="21" t="s">
        <v>335</v>
      </c>
      <c r="W1343" s="21" t="s">
        <v>3257</v>
      </c>
      <c r="X1343" s="21" t="s">
        <v>2282</v>
      </c>
      <c r="Y1343" s="21" t="s">
        <v>4118</v>
      </c>
      <c r="Z1343" s="20" t="s">
        <v>4142</v>
      </c>
      <c r="AA1343" s="14"/>
      <c r="AB1343" s="14"/>
      <c r="AC1343" s="52"/>
      <c r="AD1343" s="14"/>
      <c r="AE1343" s="14"/>
      <c r="AF1343" s="52"/>
      <c r="AG1343" s="22"/>
      <c r="AH1343" s="22"/>
      <c r="AI1343" s="22"/>
      <c r="AJ1343" s="22"/>
      <c r="AK1343" s="22"/>
      <c r="AL1343" s="22"/>
      <c r="AM1343" s="22"/>
      <c r="AN1343" s="22"/>
      <c r="AO1343" s="22"/>
      <c r="AP1343" s="22"/>
    </row>
    <row r="1344" hidden="1">
      <c r="A1344" s="69">
        <v>46145.0</v>
      </c>
      <c r="B1344" s="125">
        <v>0.4791666666666667</v>
      </c>
      <c r="C1344" s="126" t="s">
        <v>58</v>
      </c>
      <c r="D1344" s="102" t="s">
        <v>3083</v>
      </c>
      <c r="E1344" s="102" t="s">
        <v>34</v>
      </c>
      <c r="F1344" s="102" t="s">
        <v>3800</v>
      </c>
      <c r="G1344" s="126" t="s">
        <v>4143</v>
      </c>
      <c r="H1344" s="126" t="s">
        <v>3771</v>
      </c>
      <c r="I1344" s="102" t="s">
        <v>2956</v>
      </c>
      <c r="J1344" s="85">
        <v>519.0</v>
      </c>
      <c r="K1344" s="85">
        <v>335.0</v>
      </c>
      <c r="L1344" s="19">
        <v>0.6455</v>
      </c>
      <c r="M1344" s="127">
        <v>0.0</v>
      </c>
      <c r="N1344" s="128">
        <v>0.0</v>
      </c>
      <c r="O1344" s="20">
        <v>1.0</v>
      </c>
      <c r="P1344" s="21">
        <v>0.0</v>
      </c>
      <c r="Q1344" s="19">
        <v>0.003</v>
      </c>
      <c r="R1344" s="129">
        <v>0.0</v>
      </c>
      <c r="S1344" s="20">
        <v>2.0</v>
      </c>
      <c r="T1344" s="20">
        <v>2.0</v>
      </c>
      <c r="U1344" s="131">
        <v>28498.0</v>
      </c>
      <c r="V1344" s="21" t="s">
        <v>335</v>
      </c>
      <c r="W1344" s="21" t="s">
        <v>3257</v>
      </c>
      <c r="X1344" s="21" t="s">
        <v>3773</v>
      </c>
      <c r="Y1344" s="21" t="s">
        <v>4118</v>
      </c>
      <c r="Z1344" s="20" t="s">
        <v>4144</v>
      </c>
      <c r="AA1344" s="14"/>
      <c r="AB1344" s="14"/>
      <c r="AC1344" s="52"/>
      <c r="AD1344" s="14"/>
      <c r="AE1344" s="14"/>
      <c r="AF1344" s="52"/>
      <c r="AG1344" s="22"/>
      <c r="AH1344" s="22"/>
      <c r="AI1344" s="22"/>
      <c r="AJ1344" s="22"/>
      <c r="AK1344" s="22"/>
      <c r="AL1344" s="22"/>
      <c r="AM1344" s="22"/>
      <c r="AN1344" s="22"/>
      <c r="AO1344" s="22"/>
      <c r="AP1344" s="22"/>
    </row>
    <row r="1345" hidden="1">
      <c r="A1345" s="69">
        <v>46145.0</v>
      </c>
      <c r="B1345" s="125">
        <v>0.4791666666666667</v>
      </c>
      <c r="C1345" s="126" t="s">
        <v>58</v>
      </c>
      <c r="D1345" s="102" t="s">
        <v>3083</v>
      </c>
      <c r="E1345" s="102" t="s">
        <v>34</v>
      </c>
      <c r="F1345" s="102" t="s">
        <v>3800</v>
      </c>
      <c r="G1345" s="126" t="s">
        <v>4145</v>
      </c>
      <c r="H1345" s="126" t="s">
        <v>3776</v>
      </c>
      <c r="I1345" s="102" t="s">
        <v>2956</v>
      </c>
      <c r="J1345" s="85">
        <v>8106.0</v>
      </c>
      <c r="K1345" s="85">
        <v>5424.0</v>
      </c>
      <c r="L1345" s="19">
        <v>0.6691</v>
      </c>
      <c r="M1345" s="127">
        <v>0.0</v>
      </c>
      <c r="N1345" s="128">
        <v>0.0</v>
      </c>
      <c r="O1345" s="20">
        <v>12.0</v>
      </c>
      <c r="P1345" s="21">
        <v>0.0</v>
      </c>
      <c r="Q1345" s="19">
        <v>0.0022</v>
      </c>
      <c r="R1345" s="129">
        <v>0.0</v>
      </c>
      <c r="S1345" s="20">
        <v>0.0</v>
      </c>
      <c r="T1345" s="20">
        <v>12.0</v>
      </c>
      <c r="U1345" s="131">
        <v>0.0</v>
      </c>
      <c r="V1345" s="21" t="s">
        <v>335</v>
      </c>
      <c r="W1345" s="21" t="s">
        <v>3257</v>
      </c>
      <c r="X1345" s="21" t="s">
        <v>3778</v>
      </c>
      <c r="Y1345" s="21" t="s">
        <v>4118</v>
      </c>
      <c r="Z1345" s="20" t="s">
        <v>4146</v>
      </c>
      <c r="AA1345" s="14"/>
      <c r="AB1345" s="14"/>
      <c r="AC1345" s="52"/>
      <c r="AD1345" s="14"/>
      <c r="AE1345" s="14"/>
      <c r="AF1345" s="52"/>
      <c r="AG1345" s="22"/>
      <c r="AH1345" s="22"/>
      <c r="AI1345" s="22"/>
      <c r="AJ1345" s="22"/>
      <c r="AK1345" s="22"/>
      <c r="AL1345" s="22"/>
      <c r="AM1345" s="22"/>
      <c r="AN1345" s="22"/>
      <c r="AO1345" s="22"/>
      <c r="AP1345" s="22"/>
    </row>
    <row r="1346" hidden="1">
      <c r="A1346" s="69">
        <v>46145.0</v>
      </c>
      <c r="B1346" s="125">
        <v>0.4791666666666667</v>
      </c>
      <c r="C1346" s="126" t="s">
        <v>58</v>
      </c>
      <c r="D1346" s="102" t="s">
        <v>3083</v>
      </c>
      <c r="E1346" s="102" t="s">
        <v>34</v>
      </c>
      <c r="F1346" s="102" t="s">
        <v>3800</v>
      </c>
      <c r="G1346" s="126" t="s">
        <v>4147</v>
      </c>
      <c r="H1346" s="126" t="s">
        <v>3781</v>
      </c>
      <c r="I1346" s="102" t="s">
        <v>2956</v>
      </c>
      <c r="J1346" s="85">
        <v>3306.0</v>
      </c>
      <c r="K1346" s="85">
        <v>1921.0</v>
      </c>
      <c r="L1346" s="19">
        <v>0.5811</v>
      </c>
      <c r="M1346" s="127">
        <v>0.0</v>
      </c>
      <c r="N1346" s="128">
        <v>0.0</v>
      </c>
      <c r="O1346" s="20">
        <v>7.0</v>
      </c>
      <c r="P1346" s="21">
        <v>0.0</v>
      </c>
      <c r="Q1346" s="19">
        <v>0.0036</v>
      </c>
      <c r="R1346" s="129">
        <v>0.0</v>
      </c>
      <c r="S1346" s="20">
        <v>2.0</v>
      </c>
      <c r="T1346" s="20">
        <v>4.0</v>
      </c>
      <c r="U1346" s="131">
        <v>40147.0</v>
      </c>
      <c r="V1346" s="21" t="s">
        <v>183</v>
      </c>
      <c r="W1346" s="21" t="s">
        <v>3257</v>
      </c>
      <c r="X1346" s="21" t="s">
        <v>52</v>
      </c>
      <c r="Y1346" s="21" t="s">
        <v>4118</v>
      </c>
      <c r="Z1346" s="20" t="s">
        <v>4148</v>
      </c>
      <c r="AA1346" s="14"/>
      <c r="AB1346" s="14"/>
      <c r="AC1346" s="18"/>
      <c r="AD1346" s="14"/>
      <c r="AE1346" s="14"/>
      <c r="AF1346" s="14"/>
      <c r="AG1346" s="22"/>
      <c r="AH1346" s="22"/>
      <c r="AI1346" s="22"/>
      <c r="AJ1346" s="22"/>
      <c r="AK1346" s="22"/>
      <c r="AL1346" s="22"/>
      <c r="AM1346" s="22"/>
      <c r="AN1346" s="22"/>
      <c r="AO1346" s="22"/>
      <c r="AP1346" s="22"/>
    </row>
    <row r="1347" hidden="1">
      <c r="A1347" s="69">
        <v>46145.0</v>
      </c>
      <c r="B1347" s="125">
        <v>0.4791666666666667</v>
      </c>
      <c r="C1347" s="126" t="s">
        <v>58</v>
      </c>
      <c r="D1347" s="102" t="s">
        <v>3083</v>
      </c>
      <c r="E1347" s="102" t="s">
        <v>34</v>
      </c>
      <c r="F1347" s="102" t="s">
        <v>3800</v>
      </c>
      <c r="G1347" s="126" t="s">
        <v>4149</v>
      </c>
      <c r="H1347" s="126" t="s">
        <v>3785</v>
      </c>
      <c r="I1347" s="102" t="s">
        <v>2956</v>
      </c>
      <c r="J1347" s="85">
        <v>16833.0</v>
      </c>
      <c r="K1347" s="85">
        <v>9300.0</v>
      </c>
      <c r="L1347" s="19">
        <v>0.5525</v>
      </c>
      <c r="M1347" s="127">
        <v>0.0</v>
      </c>
      <c r="N1347" s="128">
        <v>0.0</v>
      </c>
      <c r="O1347" s="20">
        <v>28.0</v>
      </c>
      <c r="P1347" s="21">
        <v>0.0</v>
      </c>
      <c r="Q1347" s="19">
        <v>0.003</v>
      </c>
      <c r="R1347" s="129">
        <v>0.0</v>
      </c>
      <c r="S1347" s="20">
        <v>1.0</v>
      </c>
      <c r="T1347" s="20">
        <v>1.0</v>
      </c>
      <c r="U1347" s="131">
        <v>11999.0</v>
      </c>
      <c r="V1347" s="21" t="s">
        <v>183</v>
      </c>
      <c r="W1347" s="21" t="s">
        <v>3257</v>
      </c>
      <c r="X1347" s="21" t="s">
        <v>82</v>
      </c>
      <c r="Y1347" s="21" t="s">
        <v>4118</v>
      </c>
      <c r="Z1347" s="20" t="s">
        <v>4150</v>
      </c>
      <c r="AA1347" s="14"/>
      <c r="AB1347" s="14"/>
      <c r="AC1347" s="18"/>
      <c r="AD1347" s="14"/>
      <c r="AE1347" s="14"/>
      <c r="AF1347" s="14"/>
      <c r="AG1347" s="22"/>
      <c r="AH1347" s="22"/>
      <c r="AI1347" s="22"/>
      <c r="AJ1347" s="22"/>
      <c r="AK1347" s="22"/>
      <c r="AL1347" s="22"/>
      <c r="AM1347" s="22"/>
      <c r="AN1347" s="22"/>
      <c r="AO1347" s="22"/>
      <c r="AP1347" s="22"/>
    </row>
    <row r="1348" hidden="1">
      <c r="A1348" s="69">
        <v>46145.0</v>
      </c>
      <c r="B1348" s="125">
        <v>0.4791666666666667</v>
      </c>
      <c r="C1348" s="126" t="s">
        <v>58</v>
      </c>
      <c r="D1348" s="102" t="s">
        <v>3083</v>
      </c>
      <c r="E1348" s="102" t="s">
        <v>34</v>
      </c>
      <c r="F1348" s="102" t="s">
        <v>3800</v>
      </c>
      <c r="G1348" s="126" t="s">
        <v>4151</v>
      </c>
      <c r="H1348" s="126" t="s">
        <v>3789</v>
      </c>
      <c r="I1348" s="102" t="s">
        <v>2956</v>
      </c>
      <c r="J1348" s="85">
        <v>11248.0</v>
      </c>
      <c r="K1348" s="85">
        <v>6235.0</v>
      </c>
      <c r="L1348" s="19">
        <v>0.5543</v>
      </c>
      <c r="M1348" s="127">
        <v>0.0</v>
      </c>
      <c r="N1348" s="128">
        <v>0.0</v>
      </c>
      <c r="O1348" s="20">
        <v>18.0</v>
      </c>
      <c r="P1348" s="21">
        <v>0.0</v>
      </c>
      <c r="Q1348" s="19">
        <v>0.0029</v>
      </c>
      <c r="R1348" s="129">
        <v>0.0</v>
      </c>
      <c r="S1348" s="20">
        <v>1.0</v>
      </c>
      <c r="T1348" s="20">
        <v>9.0</v>
      </c>
      <c r="U1348" s="131">
        <v>8549.0</v>
      </c>
      <c r="V1348" s="21" t="s">
        <v>183</v>
      </c>
      <c r="W1348" s="21" t="s">
        <v>3257</v>
      </c>
      <c r="X1348" s="21" t="s">
        <v>47</v>
      </c>
      <c r="Y1348" s="21" t="s">
        <v>4118</v>
      </c>
      <c r="Z1348" s="20" t="s">
        <v>4152</v>
      </c>
      <c r="AA1348" s="14"/>
      <c r="AB1348" s="14"/>
      <c r="AC1348" s="18"/>
      <c r="AD1348" s="14"/>
      <c r="AE1348" s="14"/>
      <c r="AF1348" s="14"/>
      <c r="AG1348" s="22"/>
      <c r="AH1348" s="22"/>
      <c r="AI1348" s="22"/>
      <c r="AJ1348" s="22"/>
      <c r="AK1348" s="22"/>
      <c r="AL1348" s="22"/>
      <c r="AM1348" s="22"/>
      <c r="AN1348" s="22"/>
      <c r="AO1348" s="22"/>
      <c r="AP1348" s="22"/>
    </row>
    <row r="1349" hidden="1">
      <c r="A1349" s="69">
        <v>46145.0</v>
      </c>
      <c r="B1349" s="125">
        <v>0.4791666666666667</v>
      </c>
      <c r="C1349" s="126" t="s">
        <v>58</v>
      </c>
      <c r="D1349" s="102" t="s">
        <v>3083</v>
      </c>
      <c r="E1349" s="102" t="s">
        <v>34</v>
      </c>
      <c r="F1349" s="102" t="s">
        <v>3800</v>
      </c>
      <c r="G1349" s="126" t="s">
        <v>4153</v>
      </c>
      <c r="H1349" s="126" t="s">
        <v>3793</v>
      </c>
      <c r="I1349" s="102" t="s">
        <v>2956</v>
      </c>
      <c r="J1349" s="85">
        <v>16497.0</v>
      </c>
      <c r="K1349" s="85">
        <v>9115.0</v>
      </c>
      <c r="L1349" s="19">
        <v>0.5525</v>
      </c>
      <c r="M1349" s="127">
        <v>0.0</v>
      </c>
      <c r="N1349" s="128">
        <v>0.0</v>
      </c>
      <c r="O1349" s="20">
        <v>35.0</v>
      </c>
      <c r="P1349" s="21">
        <v>0.0</v>
      </c>
      <c r="Q1349" s="19">
        <v>0.0038</v>
      </c>
      <c r="R1349" s="129">
        <v>0.0</v>
      </c>
      <c r="S1349" s="20">
        <v>4.0</v>
      </c>
      <c r="T1349" s="20">
        <v>5.0</v>
      </c>
      <c r="U1349" s="131">
        <v>63373.0</v>
      </c>
      <c r="V1349" s="21" t="s">
        <v>183</v>
      </c>
      <c r="W1349" s="21" t="s">
        <v>3257</v>
      </c>
      <c r="X1349" s="21" t="s">
        <v>3795</v>
      </c>
      <c r="Y1349" s="21" t="s">
        <v>4118</v>
      </c>
      <c r="Z1349" s="20" t="s">
        <v>4154</v>
      </c>
      <c r="AA1349" s="14"/>
      <c r="AB1349" s="14"/>
      <c r="AC1349" s="18"/>
      <c r="AD1349" s="14"/>
      <c r="AE1349" s="14"/>
      <c r="AF1349" s="14"/>
      <c r="AG1349" s="22"/>
      <c r="AH1349" s="22"/>
      <c r="AI1349" s="22"/>
      <c r="AJ1349" s="22"/>
      <c r="AK1349" s="22"/>
      <c r="AL1349" s="22"/>
      <c r="AM1349" s="22"/>
      <c r="AN1349" s="22"/>
      <c r="AO1349" s="22"/>
      <c r="AP1349" s="22"/>
    </row>
    <row r="1350" hidden="1">
      <c r="A1350" s="69">
        <v>46145.0</v>
      </c>
      <c r="B1350" s="125">
        <v>0.4791666666666667</v>
      </c>
      <c r="C1350" s="126" t="s">
        <v>58</v>
      </c>
      <c r="D1350" s="102" t="s">
        <v>3083</v>
      </c>
      <c r="E1350" s="102" t="s">
        <v>34</v>
      </c>
      <c r="F1350" s="102" t="s">
        <v>3800</v>
      </c>
      <c r="G1350" s="126" t="s">
        <v>4155</v>
      </c>
      <c r="H1350" s="126" t="s">
        <v>3816</v>
      </c>
      <c r="I1350" s="102" t="s">
        <v>2956</v>
      </c>
      <c r="J1350" s="85">
        <v>128745.0</v>
      </c>
      <c r="K1350" s="85">
        <v>70621.0</v>
      </c>
      <c r="L1350" s="19">
        <v>0.5485</v>
      </c>
      <c r="M1350" s="127">
        <v>0.0</v>
      </c>
      <c r="N1350" s="128">
        <v>0.0</v>
      </c>
      <c r="O1350" s="20">
        <v>149.0</v>
      </c>
      <c r="P1350" s="21">
        <v>0.0</v>
      </c>
      <c r="Q1350" s="19">
        <v>0.0021</v>
      </c>
      <c r="R1350" s="129">
        <v>0.0</v>
      </c>
      <c r="S1350" s="20">
        <v>4.0</v>
      </c>
      <c r="T1350" s="20">
        <v>8.0</v>
      </c>
      <c r="U1350" s="131">
        <v>60073.0</v>
      </c>
      <c r="V1350" s="21" t="s">
        <v>183</v>
      </c>
      <c r="W1350" s="21" t="s">
        <v>3257</v>
      </c>
      <c r="X1350" s="21" t="s">
        <v>3847</v>
      </c>
      <c r="Y1350" s="21" t="s">
        <v>4118</v>
      </c>
      <c r="Z1350" s="20" t="s">
        <v>4156</v>
      </c>
      <c r="AA1350" s="14"/>
      <c r="AB1350" s="14"/>
      <c r="AC1350" s="18"/>
      <c r="AD1350" s="14"/>
      <c r="AE1350" s="14"/>
      <c r="AF1350" s="14"/>
      <c r="AG1350" s="22"/>
      <c r="AH1350" s="22"/>
      <c r="AI1350" s="22"/>
      <c r="AJ1350" s="22"/>
      <c r="AK1350" s="22"/>
      <c r="AL1350" s="22"/>
      <c r="AM1350" s="22"/>
      <c r="AN1350" s="22"/>
      <c r="AO1350" s="22"/>
      <c r="AP1350" s="22"/>
    </row>
    <row r="1351" hidden="1">
      <c r="A1351" s="69">
        <v>46145.0</v>
      </c>
      <c r="B1351" s="125">
        <v>0.4791666666666667</v>
      </c>
      <c r="C1351" s="126" t="s">
        <v>58</v>
      </c>
      <c r="D1351" s="102" t="s">
        <v>3243</v>
      </c>
      <c r="E1351" s="102" t="s">
        <v>34</v>
      </c>
      <c r="F1351" s="102" t="s">
        <v>3800</v>
      </c>
      <c r="G1351" s="126" t="s">
        <v>4157</v>
      </c>
      <c r="H1351" s="126" t="s">
        <v>3818</v>
      </c>
      <c r="I1351" s="102" t="s">
        <v>3819</v>
      </c>
      <c r="J1351" s="85">
        <v>121244.0</v>
      </c>
      <c r="K1351" s="85">
        <v>69395.0</v>
      </c>
      <c r="L1351" s="19">
        <v>0.5724</v>
      </c>
      <c r="M1351" s="127">
        <v>0.0</v>
      </c>
      <c r="N1351" s="128">
        <v>0.0</v>
      </c>
      <c r="O1351" s="20">
        <v>149.0</v>
      </c>
      <c r="P1351" s="21">
        <v>0.0</v>
      </c>
      <c r="Q1351" s="19">
        <v>0.0021</v>
      </c>
      <c r="R1351" s="129">
        <v>0.0</v>
      </c>
      <c r="S1351" s="20">
        <v>6.0</v>
      </c>
      <c r="T1351" s="20">
        <v>7.0</v>
      </c>
      <c r="U1351" s="131">
        <v>74072.0</v>
      </c>
      <c r="V1351" s="21" t="s">
        <v>183</v>
      </c>
      <c r="W1351" s="21" t="s">
        <v>3257</v>
      </c>
      <c r="X1351" s="21" t="s">
        <v>69</v>
      </c>
      <c r="Y1351" s="21" t="s">
        <v>4118</v>
      </c>
      <c r="Z1351" s="20" t="s">
        <v>4158</v>
      </c>
      <c r="AA1351" s="14"/>
      <c r="AB1351" s="14"/>
      <c r="AC1351" s="18"/>
      <c r="AD1351" s="14"/>
      <c r="AE1351" s="14"/>
      <c r="AF1351" s="14"/>
      <c r="AG1351" s="22"/>
      <c r="AH1351" s="22"/>
      <c r="AI1351" s="22"/>
      <c r="AJ1351" s="22"/>
      <c r="AK1351" s="22"/>
      <c r="AL1351" s="22"/>
      <c r="AM1351" s="22"/>
      <c r="AN1351" s="22"/>
      <c r="AO1351" s="22"/>
      <c r="AP1351" s="22"/>
    </row>
    <row r="1352" hidden="1">
      <c r="A1352" s="69">
        <v>46145.0</v>
      </c>
      <c r="B1352" s="125">
        <v>0.4791666666666667</v>
      </c>
      <c r="C1352" s="126" t="s">
        <v>58</v>
      </c>
      <c r="D1352" s="102" t="s">
        <v>3243</v>
      </c>
      <c r="E1352" s="102" t="s">
        <v>34</v>
      </c>
      <c r="F1352" s="102" t="s">
        <v>3800</v>
      </c>
      <c r="G1352" s="126" t="s">
        <v>4159</v>
      </c>
      <c r="H1352" s="143" t="s">
        <v>3821</v>
      </c>
      <c r="I1352" s="72" t="s">
        <v>3822</v>
      </c>
      <c r="J1352" s="85">
        <v>107746.0</v>
      </c>
      <c r="K1352" s="85">
        <v>64857.0</v>
      </c>
      <c r="L1352" s="19">
        <v>0.6019</v>
      </c>
      <c r="M1352" s="127">
        <v>0.0</v>
      </c>
      <c r="N1352" s="128">
        <v>0.0</v>
      </c>
      <c r="O1352" s="20">
        <v>179.0</v>
      </c>
      <c r="P1352" s="21">
        <v>0.0</v>
      </c>
      <c r="Q1352" s="19">
        <v>0.0028</v>
      </c>
      <c r="R1352" s="129">
        <v>0.0</v>
      </c>
      <c r="S1352" s="20">
        <v>37.0</v>
      </c>
      <c r="T1352" s="20">
        <v>188.0</v>
      </c>
      <c r="U1352" s="131">
        <v>429262.2</v>
      </c>
      <c r="V1352" s="21" t="s">
        <v>183</v>
      </c>
      <c r="W1352" s="21" t="s">
        <v>3257</v>
      </c>
      <c r="X1352" s="21" t="s">
        <v>3823</v>
      </c>
      <c r="Y1352" s="21" t="s">
        <v>4118</v>
      </c>
      <c r="Z1352" s="20" t="s">
        <v>4160</v>
      </c>
      <c r="AA1352" s="14"/>
      <c r="AB1352" s="14"/>
      <c r="AC1352" s="18"/>
      <c r="AD1352" s="14"/>
      <c r="AE1352" s="14"/>
      <c r="AF1352" s="14"/>
      <c r="AG1352" s="22"/>
      <c r="AH1352" s="22"/>
      <c r="AI1352" s="22"/>
      <c r="AJ1352" s="22"/>
      <c r="AK1352" s="22"/>
      <c r="AL1352" s="22"/>
      <c r="AM1352" s="22"/>
      <c r="AN1352" s="22"/>
      <c r="AO1352" s="22"/>
      <c r="AP1352" s="22"/>
    </row>
    <row r="1353" hidden="1">
      <c r="A1353" s="69">
        <v>46145.0</v>
      </c>
      <c r="B1353" s="125">
        <v>0.4791666666666667</v>
      </c>
      <c r="C1353" s="126" t="s">
        <v>58</v>
      </c>
      <c r="D1353" s="102" t="s">
        <v>3243</v>
      </c>
      <c r="E1353" s="102" t="s">
        <v>34</v>
      </c>
      <c r="F1353" s="102" t="s">
        <v>3800</v>
      </c>
      <c r="G1353" s="126" t="s">
        <v>4161</v>
      </c>
      <c r="H1353" s="143" t="s">
        <v>3825</v>
      </c>
      <c r="I1353" s="72" t="s">
        <v>3826</v>
      </c>
      <c r="J1353" s="85">
        <v>192782.0</v>
      </c>
      <c r="K1353" s="85">
        <v>104681.0</v>
      </c>
      <c r="L1353" s="19">
        <v>0.543</v>
      </c>
      <c r="M1353" s="127">
        <v>0.0</v>
      </c>
      <c r="N1353" s="128">
        <v>0.0</v>
      </c>
      <c r="O1353" s="20">
        <v>193.0</v>
      </c>
      <c r="P1353" s="21">
        <v>0.0</v>
      </c>
      <c r="Q1353" s="19">
        <v>0.0018</v>
      </c>
      <c r="R1353" s="129">
        <v>0.0</v>
      </c>
      <c r="S1353" s="20">
        <v>7.0</v>
      </c>
      <c r="T1353" s="20">
        <v>31.0</v>
      </c>
      <c r="U1353" s="131">
        <v>79442.2</v>
      </c>
      <c r="V1353" s="21" t="s">
        <v>183</v>
      </c>
      <c r="W1353" s="21" t="s">
        <v>3257</v>
      </c>
      <c r="X1353" s="21" t="s">
        <v>3826</v>
      </c>
      <c r="Y1353" s="21" t="s">
        <v>4118</v>
      </c>
      <c r="Z1353" s="20" t="s">
        <v>4162</v>
      </c>
      <c r="AA1353" s="14"/>
      <c r="AB1353" s="14"/>
      <c r="AC1353" s="18"/>
      <c r="AD1353" s="14"/>
      <c r="AE1353" s="14"/>
      <c r="AF1353" s="14"/>
      <c r="AG1353" s="22"/>
      <c r="AH1353" s="22"/>
      <c r="AI1353" s="22"/>
      <c r="AJ1353" s="22"/>
      <c r="AK1353" s="22"/>
      <c r="AL1353" s="22"/>
      <c r="AM1353" s="22"/>
      <c r="AN1353" s="22"/>
      <c r="AO1353" s="22"/>
      <c r="AP1353" s="22"/>
    </row>
    <row r="1354" hidden="1">
      <c r="A1354" s="69">
        <v>46145.0</v>
      </c>
      <c r="B1354" s="125">
        <v>0.6875</v>
      </c>
      <c r="C1354" s="126" t="s">
        <v>58</v>
      </c>
      <c r="D1354" s="102" t="s">
        <v>3083</v>
      </c>
      <c r="E1354" s="102" t="s">
        <v>34</v>
      </c>
      <c r="F1354" s="102" t="s">
        <v>1101</v>
      </c>
      <c r="G1354" s="126" t="s">
        <v>4163</v>
      </c>
      <c r="H1354" s="126" t="s">
        <v>4131</v>
      </c>
      <c r="I1354" s="102" t="s">
        <v>61</v>
      </c>
      <c r="J1354" s="85">
        <v>38.0</v>
      </c>
      <c r="K1354" s="85">
        <v>26.0</v>
      </c>
      <c r="L1354" s="19">
        <v>0.6842</v>
      </c>
      <c r="M1354" s="127">
        <v>0.0</v>
      </c>
      <c r="N1354" s="128">
        <v>0.0</v>
      </c>
      <c r="O1354" s="20">
        <v>0.0</v>
      </c>
      <c r="P1354" s="21">
        <v>0.0</v>
      </c>
      <c r="Q1354" s="19">
        <v>0.0</v>
      </c>
      <c r="R1354" s="129">
        <v>0.0</v>
      </c>
      <c r="S1354" s="20">
        <v>0.0</v>
      </c>
      <c r="T1354" s="20">
        <v>0.0</v>
      </c>
      <c r="U1354" s="131">
        <v>0.0</v>
      </c>
      <c r="V1354" s="21" t="s">
        <v>335</v>
      </c>
      <c r="W1354" s="21" t="s">
        <v>3257</v>
      </c>
      <c r="X1354" s="21" t="s">
        <v>4064</v>
      </c>
      <c r="Y1354" s="21" t="s">
        <v>4118</v>
      </c>
      <c r="Z1354" s="20" t="s">
        <v>4164</v>
      </c>
      <c r="AA1354" s="14"/>
      <c r="AB1354" s="14"/>
      <c r="AC1354" s="52"/>
      <c r="AD1354" s="14"/>
      <c r="AE1354" s="14"/>
      <c r="AF1354" s="52"/>
      <c r="AG1354" s="22"/>
      <c r="AH1354" s="22"/>
      <c r="AI1354" s="22"/>
      <c r="AJ1354" s="22"/>
      <c r="AK1354" s="22"/>
      <c r="AL1354" s="22"/>
      <c r="AM1354" s="22"/>
      <c r="AN1354" s="22"/>
      <c r="AO1354" s="22"/>
      <c r="AP1354" s="22"/>
    </row>
    <row r="1355" hidden="1">
      <c r="A1355" s="69">
        <v>46145.0</v>
      </c>
      <c r="B1355" s="125">
        <v>0.4166666666666667</v>
      </c>
      <c r="C1355" s="126" t="s">
        <v>196</v>
      </c>
      <c r="D1355" s="102" t="s">
        <v>3083</v>
      </c>
      <c r="E1355" s="102" t="s">
        <v>34</v>
      </c>
      <c r="F1355" s="102" t="s">
        <v>3760</v>
      </c>
      <c r="G1355" s="126" t="s">
        <v>4165</v>
      </c>
      <c r="H1355" s="126" t="s">
        <v>3762</v>
      </c>
      <c r="I1355" s="102" t="s">
        <v>61</v>
      </c>
      <c r="J1355" s="85">
        <v>1294.0</v>
      </c>
      <c r="K1355" s="85">
        <v>257.0</v>
      </c>
      <c r="L1355" s="17">
        <v>0.198608964451314</v>
      </c>
      <c r="M1355" s="127">
        <v>43.0</v>
      </c>
      <c r="N1355" s="136">
        <v>0.1673</v>
      </c>
      <c r="O1355" s="20">
        <v>4.0</v>
      </c>
      <c r="P1355" s="21">
        <v>0.0</v>
      </c>
      <c r="Q1355" s="137">
        <v>0.0195</v>
      </c>
      <c r="R1355" s="129">
        <v>0.0</v>
      </c>
      <c r="S1355" s="20">
        <v>3.0</v>
      </c>
      <c r="T1355" s="20">
        <v>14.0</v>
      </c>
      <c r="U1355" s="131">
        <v>38997.0</v>
      </c>
      <c r="V1355" s="21" t="s">
        <v>335</v>
      </c>
      <c r="W1355" s="21" t="s">
        <v>3739</v>
      </c>
      <c r="X1355" s="21" t="s">
        <v>2131</v>
      </c>
      <c r="Y1355" s="21" t="s">
        <v>4118</v>
      </c>
      <c r="Z1355" s="20" t="s">
        <v>4166</v>
      </c>
      <c r="AA1355" s="14"/>
      <c r="AB1355" s="14"/>
      <c r="AC1355" s="52"/>
      <c r="AD1355" s="14"/>
      <c r="AE1355" s="14"/>
      <c r="AF1355" s="52"/>
      <c r="AG1355" s="22"/>
      <c r="AH1355" s="22"/>
      <c r="AI1355" s="22"/>
      <c r="AJ1355" s="22"/>
      <c r="AK1355" s="22"/>
      <c r="AL1355" s="22"/>
      <c r="AM1355" s="22"/>
      <c r="AN1355" s="22"/>
      <c r="AO1355" s="22"/>
      <c r="AP1355" s="22"/>
    </row>
    <row r="1356" hidden="1">
      <c r="A1356" s="69">
        <v>46145.0</v>
      </c>
      <c r="B1356" s="125">
        <v>0.4166666666666667</v>
      </c>
      <c r="C1356" s="126" t="s">
        <v>196</v>
      </c>
      <c r="D1356" s="102" t="s">
        <v>3083</v>
      </c>
      <c r="E1356" s="102" t="s">
        <v>34</v>
      </c>
      <c r="F1356" s="102" t="s">
        <v>3760</v>
      </c>
      <c r="G1356" s="126" t="s">
        <v>4167</v>
      </c>
      <c r="H1356" s="126" t="s">
        <v>3767</v>
      </c>
      <c r="I1356" s="102" t="s">
        <v>61</v>
      </c>
      <c r="J1356" s="85">
        <v>929.0</v>
      </c>
      <c r="K1356" s="85">
        <v>229.0</v>
      </c>
      <c r="L1356" s="17">
        <v>0.246501614639397</v>
      </c>
      <c r="M1356" s="127">
        <v>45.0</v>
      </c>
      <c r="N1356" s="136">
        <v>0.1965</v>
      </c>
      <c r="O1356" s="20">
        <v>2.0</v>
      </c>
      <c r="P1356" s="21">
        <v>0.0</v>
      </c>
      <c r="Q1356" s="137">
        <v>0.0087</v>
      </c>
      <c r="R1356" s="129">
        <v>0.0</v>
      </c>
      <c r="S1356" s="20">
        <v>0.0</v>
      </c>
      <c r="T1356" s="20">
        <v>4.0</v>
      </c>
      <c r="U1356" s="131">
        <v>0.0</v>
      </c>
      <c r="V1356" s="21" t="s">
        <v>335</v>
      </c>
      <c r="W1356" s="21" t="s">
        <v>3739</v>
      </c>
      <c r="X1356" s="21" t="s">
        <v>2282</v>
      </c>
      <c r="Y1356" s="21" t="s">
        <v>4118</v>
      </c>
      <c r="Z1356" s="20" t="s">
        <v>4168</v>
      </c>
      <c r="AA1356" s="14"/>
      <c r="AB1356" s="14"/>
      <c r="AC1356" s="52"/>
      <c r="AD1356" s="14"/>
      <c r="AE1356" s="14"/>
      <c r="AF1356" s="52"/>
      <c r="AG1356" s="22"/>
      <c r="AH1356" s="22"/>
      <c r="AI1356" s="22"/>
      <c r="AJ1356" s="22"/>
      <c r="AK1356" s="22"/>
      <c r="AL1356" s="22"/>
      <c r="AM1356" s="22"/>
      <c r="AN1356" s="22"/>
      <c r="AO1356" s="22"/>
      <c r="AP1356" s="22"/>
    </row>
    <row r="1357" hidden="1">
      <c r="A1357" s="69">
        <v>46145.0</v>
      </c>
      <c r="B1357" s="125">
        <v>0.4166666666666667</v>
      </c>
      <c r="C1357" s="126" t="s">
        <v>196</v>
      </c>
      <c r="D1357" s="102" t="s">
        <v>3083</v>
      </c>
      <c r="E1357" s="102" t="s">
        <v>34</v>
      </c>
      <c r="F1357" s="102" t="s">
        <v>3760</v>
      </c>
      <c r="G1357" s="126" t="s">
        <v>4169</v>
      </c>
      <c r="H1357" s="126" t="s">
        <v>3771</v>
      </c>
      <c r="I1357" s="102" t="s">
        <v>61</v>
      </c>
      <c r="J1357" s="85">
        <v>647.0</v>
      </c>
      <c r="K1357" s="85">
        <v>129.0</v>
      </c>
      <c r="L1357" s="17">
        <v>0.199381761978362</v>
      </c>
      <c r="M1357" s="127">
        <v>21.0</v>
      </c>
      <c r="N1357" s="136">
        <v>0.1628</v>
      </c>
      <c r="O1357" s="20">
        <v>0.0</v>
      </c>
      <c r="P1357" s="21">
        <v>0.0</v>
      </c>
      <c r="Q1357" s="139">
        <v>0.0</v>
      </c>
      <c r="R1357" s="129">
        <v>0.0</v>
      </c>
      <c r="S1357" s="20">
        <v>0.0</v>
      </c>
      <c r="T1357" s="20">
        <v>1.0</v>
      </c>
      <c r="U1357" s="131">
        <v>0.0</v>
      </c>
      <c r="V1357" s="21" t="s">
        <v>335</v>
      </c>
      <c r="W1357" s="21" t="s">
        <v>3739</v>
      </c>
      <c r="X1357" s="21" t="s">
        <v>3773</v>
      </c>
      <c r="Y1357" s="21" t="s">
        <v>4118</v>
      </c>
      <c r="Z1357" s="20" t="s">
        <v>4170</v>
      </c>
      <c r="AA1357" s="14"/>
      <c r="AB1357" s="14"/>
      <c r="AC1357" s="52"/>
      <c r="AD1357" s="14"/>
      <c r="AE1357" s="14"/>
      <c r="AF1357" s="52"/>
      <c r="AG1357" s="22"/>
      <c r="AH1357" s="22"/>
      <c r="AI1357" s="22"/>
      <c r="AJ1357" s="22"/>
      <c r="AK1357" s="22"/>
      <c r="AL1357" s="22"/>
      <c r="AM1357" s="22"/>
      <c r="AN1357" s="22"/>
      <c r="AO1357" s="22"/>
      <c r="AP1357" s="22"/>
    </row>
    <row r="1358" hidden="1">
      <c r="A1358" s="69">
        <v>46145.0</v>
      </c>
      <c r="B1358" s="125">
        <v>0.4166666666666667</v>
      </c>
      <c r="C1358" s="126" t="s">
        <v>196</v>
      </c>
      <c r="D1358" s="102" t="s">
        <v>3083</v>
      </c>
      <c r="E1358" s="102" t="s">
        <v>34</v>
      </c>
      <c r="F1358" s="102" t="s">
        <v>3760</v>
      </c>
      <c r="G1358" s="126" t="s">
        <v>4171</v>
      </c>
      <c r="H1358" s="126" t="s">
        <v>3776</v>
      </c>
      <c r="I1358" s="102" t="s">
        <v>61</v>
      </c>
      <c r="J1358" s="85">
        <v>10048.0</v>
      </c>
      <c r="K1358" s="85">
        <v>1969.0</v>
      </c>
      <c r="L1358" s="17">
        <v>0.195959394904459</v>
      </c>
      <c r="M1358" s="127">
        <v>296.0</v>
      </c>
      <c r="N1358" s="136">
        <v>0.1503</v>
      </c>
      <c r="O1358" s="20">
        <v>22.0</v>
      </c>
      <c r="P1358" s="21">
        <v>0.0</v>
      </c>
      <c r="Q1358" s="137">
        <v>0.0132</v>
      </c>
      <c r="R1358" s="129">
        <v>0.0</v>
      </c>
      <c r="S1358" s="20">
        <v>1.0</v>
      </c>
      <c r="T1358" s="20">
        <v>12.0</v>
      </c>
      <c r="U1358" s="131">
        <v>14999.0</v>
      </c>
      <c r="V1358" s="21" t="s">
        <v>335</v>
      </c>
      <c r="W1358" s="21" t="s">
        <v>3739</v>
      </c>
      <c r="X1358" s="21" t="s">
        <v>3778</v>
      </c>
      <c r="Y1358" s="21" t="s">
        <v>4118</v>
      </c>
      <c r="Z1358" s="20" t="s">
        <v>4172</v>
      </c>
      <c r="AA1358" s="14"/>
      <c r="AB1358" s="14"/>
      <c r="AC1358" s="52"/>
      <c r="AD1358" s="14"/>
      <c r="AE1358" s="14"/>
      <c r="AF1358" s="52"/>
      <c r="AG1358" s="22"/>
      <c r="AH1358" s="22"/>
      <c r="AI1358" s="22"/>
      <c r="AJ1358" s="22"/>
      <c r="AK1358" s="22"/>
      <c r="AL1358" s="22"/>
      <c r="AM1358" s="22"/>
      <c r="AN1358" s="22"/>
      <c r="AO1358" s="22"/>
      <c r="AP1358" s="22"/>
    </row>
    <row r="1359" hidden="1">
      <c r="A1359" s="69">
        <v>46145.0</v>
      </c>
      <c r="B1359" s="125">
        <v>0.4166666666666667</v>
      </c>
      <c r="C1359" s="126" t="s">
        <v>196</v>
      </c>
      <c r="D1359" s="102" t="s">
        <v>3083</v>
      </c>
      <c r="E1359" s="102" t="s">
        <v>34</v>
      </c>
      <c r="F1359" s="102" t="s">
        <v>3760</v>
      </c>
      <c r="G1359" s="126" t="s">
        <v>4173</v>
      </c>
      <c r="H1359" s="126" t="s">
        <v>3781</v>
      </c>
      <c r="I1359" s="102" t="s">
        <v>61</v>
      </c>
      <c r="J1359" s="85">
        <v>3955.0</v>
      </c>
      <c r="K1359" s="85">
        <v>665.0</v>
      </c>
      <c r="L1359" s="17">
        <v>0.168141592920354</v>
      </c>
      <c r="M1359" s="127">
        <v>103.0</v>
      </c>
      <c r="N1359" s="136">
        <v>0.1549</v>
      </c>
      <c r="O1359" s="20">
        <v>3.0</v>
      </c>
      <c r="P1359" s="21">
        <v>0.0</v>
      </c>
      <c r="Q1359" s="137">
        <v>0.0045</v>
      </c>
      <c r="R1359" s="129">
        <v>0.0</v>
      </c>
      <c r="S1359" s="20">
        <v>0.0</v>
      </c>
      <c r="T1359" s="20">
        <v>0.0</v>
      </c>
      <c r="U1359" s="131">
        <v>0.0</v>
      </c>
      <c r="V1359" s="21" t="s">
        <v>183</v>
      </c>
      <c r="W1359" s="21" t="s">
        <v>3739</v>
      </c>
      <c r="X1359" s="21" t="s">
        <v>52</v>
      </c>
      <c r="Y1359" s="21" t="s">
        <v>4118</v>
      </c>
      <c r="Z1359" s="20" t="s">
        <v>4174</v>
      </c>
      <c r="AA1359" s="14"/>
      <c r="AB1359" s="14"/>
      <c r="AC1359" s="18"/>
      <c r="AD1359" s="14"/>
      <c r="AE1359" s="14"/>
      <c r="AF1359" s="18"/>
      <c r="AG1359" s="22"/>
      <c r="AH1359" s="22"/>
      <c r="AI1359" s="22"/>
      <c r="AJ1359" s="22"/>
      <c r="AK1359" s="22"/>
      <c r="AL1359" s="22"/>
      <c r="AM1359" s="22"/>
      <c r="AN1359" s="22"/>
      <c r="AO1359" s="22"/>
      <c r="AP1359" s="22"/>
    </row>
    <row r="1360" hidden="1">
      <c r="A1360" s="69">
        <v>46145.0</v>
      </c>
      <c r="B1360" s="125">
        <v>0.4166666666666667</v>
      </c>
      <c r="C1360" s="126" t="s">
        <v>196</v>
      </c>
      <c r="D1360" s="102" t="s">
        <v>3083</v>
      </c>
      <c r="E1360" s="102" t="s">
        <v>34</v>
      </c>
      <c r="F1360" s="102" t="s">
        <v>3760</v>
      </c>
      <c r="G1360" s="126" t="s">
        <v>4175</v>
      </c>
      <c r="H1360" s="126" t="s">
        <v>3785</v>
      </c>
      <c r="I1360" s="102" t="s">
        <v>61</v>
      </c>
      <c r="J1360" s="85">
        <v>20592.0</v>
      </c>
      <c r="K1360" s="85">
        <v>3904.0</v>
      </c>
      <c r="L1360" s="17">
        <v>0.18958818958819</v>
      </c>
      <c r="M1360" s="127">
        <v>741.0</v>
      </c>
      <c r="N1360" s="136">
        <v>0.1903</v>
      </c>
      <c r="O1360" s="20">
        <v>28.0</v>
      </c>
      <c r="P1360" s="21">
        <v>0.0</v>
      </c>
      <c r="Q1360" s="137">
        <v>0.0072</v>
      </c>
      <c r="R1360" s="129">
        <v>0.0</v>
      </c>
      <c r="S1360" s="20">
        <v>0.0</v>
      </c>
      <c r="T1360" s="20">
        <v>5.0</v>
      </c>
      <c r="U1360" s="131">
        <v>0.0</v>
      </c>
      <c r="V1360" s="21" t="s">
        <v>183</v>
      </c>
      <c r="W1360" s="21" t="s">
        <v>3739</v>
      </c>
      <c r="X1360" s="21" t="s">
        <v>82</v>
      </c>
      <c r="Y1360" s="21" t="s">
        <v>4118</v>
      </c>
      <c r="Z1360" s="20" t="s">
        <v>4176</v>
      </c>
      <c r="AA1360" s="14"/>
      <c r="AB1360" s="14"/>
      <c r="AC1360" s="18"/>
      <c r="AD1360" s="14"/>
      <c r="AE1360" s="14"/>
      <c r="AF1360" s="14"/>
      <c r="AG1360" s="22"/>
      <c r="AH1360" s="22"/>
      <c r="AI1360" s="22"/>
      <c r="AJ1360" s="22"/>
      <c r="AK1360" s="22"/>
      <c r="AL1360" s="22"/>
      <c r="AM1360" s="22"/>
      <c r="AN1360" s="22"/>
      <c r="AO1360" s="22"/>
      <c r="AP1360" s="22"/>
    </row>
    <row r="1361" hidden="1">
      <c r="A1361" s="69">
        <v>46145.0</v>
      </c>
      <c r="B1361" s="125">
        <v>0.4166666666666667</v>
      </c>
      <c r="C1361" s="126" t="s">
        <v>196</v>
      </c>
      <c r="D1361" s="102" t="s">
        <v>3083</v>
      </c>
      <c r="E1361" s="102" t="s">
        <v>34</v>
      </c>
      <c r="F1361" s="102" t="s">
        <v>3760</v>
      </c>
      <c r="G1361" s="126" t="s">
        <v>4177</v>
      </c>
      <c r="H1361" s="126" t="s">
        <v>3789</v>
      </c>
      <c r="I1361" s="102" t="s">
        <v>61</v>
      </c>
      <c r="J1361" s="85">
        <v>14183.0</v>
      </c>
      <c r="K1361" s="85">
        <v>3020.0</v>
      </c>
      <c r="L1361" s="17">
        <v>0.21293097370091</v>
      </c>
      <c r="M1361" s="127">
        <v>575.0</v>
      </c>
      <c r="N1361" s="136">
        <v>0.1904</v>
      </c>
      <c r="O1361" s="20">
        <v>14.0</v>
      </c>
      <c r="P1361" s="21">
        <v>0.0</v>
      </c>
      <c r="Q1361" s="137">
        <v>0.0053</v>
      </c>
      <c r="R1361" s="129">
        <v>0.0</v>
      </c>
      <c r="S1361" s="20">
        <v>0.0</v>
      </c>
      <c r="T1361" s="20">
        <v>2.0</v>
      </c>
      <c r="U1361" s="131">
        <v>0.0</v>
      </c>
      <c r="V1361" s="21" t="s">
        <v>183</v>
      </c>
      <c r="W1361" s="21" t="s">
        <v>3739</v>
      </c>
      <c r="X1361" s="21" t="s">
        <v>47</v>
      </c>
      <c r="Y1361" s="21" t="s">
        <v>4118</v>
      </c>
      <c r="Z1361" s="20" t="s">
        <v>4178</v>
      </c>
      <c r="AA1361" s="14"/>
      <c r="AB1361" s="14"/>
      <c r="AC1361" s="18"/>
      <c r="AD1361" s="14"/>
      <c r="AE1361" s="14"/>
      <c r="AF1361" s="14"/>
      <c r="AG1361" s="22"/>
      <c r="AH1361" s="22"/>
      <c r="AI1361" s="22"/>
      <c r="AJ1361" s="22"/>
      <c r="AK1361" s="22"/>
      <c r="AL1361" s="22"/>
      <c r="AM1361" s="22"/>
      <c r="AN1361" s="22"/>
      <c r="AO1361" s="22"/>
      <c r="AP1361" s="22"/>
    </row>
    <row r="1362" hidden="1">
      <c r="A1362" s="69">
        <v>46145.0</v>
      </c>
      <c r="B1362" s="125">
        <v>0.4166666666666667</v>
      </c>
      <c r="C1362" s="126" t="s">
        <v>196</v>
      </c>
      <c r="D1362" s="102" t="s">
        <v>3083</v>
      </c>
      <c r="E1362" s="102" t="s">
        <v>34</v>
      </c>
      <c r="F1362" s="102" t="s">
        <v>3760</v>
      </c>
      <c r="G1362" s="126" t="s">
        <v>4179</v>
      </c>
      <c r="H1362" s="126" t="s">
        <v>3793</v>
      </c>
      <c r="I1362" s="102" t="s">
        <v>61</v>
      </c>
      <c r="J1362" s="85">
        <v>20213.0</v>
      </c>
      <c r="K1362" s="85">
        <v>3847.0</v>
      </c>
      <c r="L1362" s="17">
        <v>0.190323059417207</v>
      </c>
      <c r="M1362" s="127">
        <v>625.0</v>
      </c>
      <c r="N1362" s="136">
        <v>0.1625</v>
      </c>
      <c r="O1362" s="20">
        <v>19.0</v>
      </c>
      <c r="P1362" s="21">
        <v>0.0</v>
      </c>
      <c r="Q1362" s="137">
        <v>0.0052</v>
      </c>
      <c r="R1362" s="129">
        <v>0.0</v>
      </c>
      <c r="S1362" s="20">
        <v>0.0</v>
      </c>
      <c r="T1362" s="20">
        <v>0.0</v>
      </c>
      <c r="U1362" s="131">
        <v>0.0</v>
      </c>
      <c r="V1362" s="21" t="s">
        <v>183</v>
      </c>
      <c r="W1362" s="21" t="s">
        <v>3739</v>
      </c>
      <c r="X1362" s="21" t="s">
        <v>3795</v>
      </c>
      <c r="Y1362" s="21" t="s">
        <v>4118</v>
      </c>
      <c r="Z1362" s="20" t="s">
        <v>4180</v>
      </c>
      <c r="AA1362" s="14"/>
      <c r="AB1362" s="14"/>
      <c r="AC1362" s="18"/>
      <c r="AD1362" s="14"/>
      <c r="AE1362" s="14"/>
      <c r="AF1362" s="14"/>
      <c r="AG1362" s="22"/>
      <c r="AH1362" s="22"/>
      <c r="AI1362" s="22"/>
      <c r="AJ1362" s="22"/>
      <c r="AK1362" s="22"/>
      <c r="AL1362" s="22"/>
      <c r="AM1362" s="22"/>
      <c r="AN1362" s="22"/>
      <c r="AO1362" s="22"/>
      <c r="AP1362" s="22"/>
    </row>
    <row r="1363" hidden="1">
      <c r="A1363" s="69">
        <v>46145.0</v>
      </c>
      <c r="B1363" s="125">
        <v>0.4166666666666667</v>
      </c>
      <c r="C1363" s="126" t="s">
        <v>196</v>
      </c>
      <c r="D1363" s="102" t="s">
        <v>3083</v>
      </c>
      <c r="E1363" s="102" t="s">
        <v>34</v>
      </c>
      <c r="F1363" s="102" t="s">
        <v>3760</v>
      </c>
      <c r="G1363" s="126" t="s">
        <v>4181</v>
      </c>
      <c r="H1363" s="126" t="s">
        <v>3816</v>
      </c>
      <c r="I1363" s="102" t="s">
        <v>61</v>
      </c>
      <c r="J1363" s="85">
        <v>159092.0</v>
      </c>
      <c r="K1363" s="85">
        <v>30378.0</v>
      </c>
      <c r="L1363" s="17">
        <v>0.190946119226611</v>
      </c>
      <c r="M1363" s="127">
        <v>5564.0</v>
      </c>
      <c r="N1363" s="136">
        <v>0.1833</v>
      </c>
      <c r="O1363" s="20">
        <v>98.0</v>
      </c>
      <c r="P1363" s="21">
        <v>0.0</v>
      </c>
      <c r="Q1363" s="137">
        <v>0.0035</v>
      </c>
      <c r="R1363" s="129">
        <v>0.0</v>
      </c>
      <c r="S1363" s="20">
        <v>1.0</v>
      </c>
      <c r="T1363" s="20">
        <v>2.0</v>
      </c>
      <c r="U1363" s="131">
        <v>11999.0</v>
      </c>
      <c r="V1363" s="21" t="s">
        <v>183</v>
      </c>
      <c r="W1363" s="21" t="s">
        <v>3739</v>
      </c>
      <c r="X1363" s="21" t="s">
        <v>3847</v>
      </c>
      <c r="Y1363" s="21" t="s">
        <v>4118</v>
      </c>
      <c r="Z1363" s="20" t="s">
        <v>4182</v>
      </c>
      <c r="AA1363" s="14"/>
      <c r="AB1363" s="14"/>
      <c r="AC1363" s="18"/>
      <c r="AD1363" s="14"/>
      <c r="AE1363" s="14"/>
      <c r="AF1363" s="14"/>
      <c r="AG1363" s="22"/>
      <c r="AH1363" s="22"/>
      <c r="AI1363" s="22"/>
      <c r="AJ1363" s="22"/>
      <c r="AK1363" s="22"/>
      <c r="AL1363" s="22"/>
      <c r="AM1363" s="22"/>
      <c r="AN1363" s="22"/>
      <c r="AO1363" s="22"/>
      <c r="AP1363" s="22"/>
    </row>
    <row r="1364" hidden="1">
      <c r="A1364" s="69">
        <v>46145.45833333333</v>
      </c>
      <c r="B1364" s="125">
        <v>46145.45833333333</v>
      </c>
      <c r="C1364" s="126" t="s">
        <v>196</v>
      </c>
      <c r="D1364" s="102" t="s">
        <v>3083</v>
      </c>
      <c r="E1364" s="102" t="s">
        <v>2212</v>
      </c>
      <c r="F1364" s="102" t="s">
        <v>3760</v>
      </c>
      <c r="G1364" s="126" t="s">
        <v>4183</v>
      </c>
      <c r="H1364" s="126" t="s">
        <v>3876</v>
      </c>
      <c r="I1364" s="102" t="s">
        <v>61</v>
      </c>
      <c r="J1364" s="85">
        <v>117691.0</v>
      </c>
      <c r="K1364" s="85">
        <v>21115.0</v>
      </c>
      <c r="L1364" s="17">
        <v>0.179410490181917</v>
      </c>
      <c r="M1364" s="127">
        <v>2499.0</v>
      </c>
      <c r="N1364" s="136">
        <v>0.1184</v>
      </c>
      <c r="O1364" s="20">
        <v>64.0</v>
      </c>
      <c r="P1364" s="21">
        <v>0.0</v>
      </c>
      <c r="Q1364" s="137">
        <v>0.0032</v>
      </c>
      <c r="R1364" s="129">
        <v>0.0</v>
      </c>
      <c r="S1364" s="20">
        <v>0.0</v>
      </c>
      <c r="T1364" s="20">
        <v>0.0</v>
      </c>
      <c r="U1364" s="20">
        <v>0.0</v>
      </c>
      <c r="V1364" s="21" t="s">
        <v>183</v>
      </c>
      <c r="W1364" s="21" t="s">
        <v>3739</v>
      </c>
      <c r="X1364" s="21" t="s">
        <v>3877</v>
      </c>
      <c r="Y1364" s="21" t="s">
        <v>3878</v>
      </c>
      <c r="Z1364" s="20" t="s">
        <v>4184</v>
      </c>
      <c r="AA1364" s="111"/>
      <c r="AB1364" s="18"/>
      <c r="AC1364" s="52"/>
      <c r="AD1364" s="14"/>
      <c r="AE1364" s="14"/>
      <c r="AF1364" s="52"/>
      <c r="AG1364" s="22"/>
      <c r="AH1364" s="22"/>
      <c r="AI1364" s="22"/>
      <c r="AJ1364" s="22"/>
      <c r="AK1364" s="22"/>
      <c r="AL1364" s="22"/>
      <c r="AM1364" s="22"/>
      <c r="AN1364" s="22"/>
      <c r="AO1364" s="22"/>
      <c r="AP1364" s="22"/>
    </row>
    <row r="1365" hidden="1">
      <c r="A1365" s="69">
        <v>46145.45833333333</v>
      </c>
      <c r="B1365" s="125">
        <v>46145.45833333333</v>
      </c>
      <c r="C1365" s="126" t="s">
        <v>196</v>
      </c>
      <c r="D1365" s="102" t="s">
        <v>3083</v>
      </c>
      <c r="E1365" s="102" t="s">
        <v>2212</v>
      </c>
      <c r="F1365" s="102" t="s">
        <v>3760</v>
      </c>
      <c r="G1365" s="126" t="s">
        <v>4185</v>
      </c>
      <c r="H1365" s="126" t="s">
        <v>3881</v>
      </c>
      <c r="I1365" s="102" t="s">
        <v>61</v>
      </c>
      <c r="J1365" s="85">
        <v>69570.0</v>
      </c>
      <c r="K1365" s="85">
        <v>13967.0</v>
      </c>
      <c r="L1365" s="17">
        <v>0.200761822624695</v>
      </c>
      <c r="M1365" s="127">
        <v>1997.0</v>
      </c>
      <c r="N1365" s="136">
        <v>0.1431</v>
      </c>
      <c r="O1365" s="20">
        <v>56.0</v>
      </c>
      <c r="P1365" s="21">
        <v>0.0</v>
      </c>
      <c r="Q1365" s="137">
        <v>0.0043</v>
      </c>
      <c r="R1365" s="129">
        <v>0.0</v>
      </c>
      <c r="S1365" s="20">
        <v>0.0</v>
      </c>
      <c r="T1365" s="20">
        <v>0.0</v>
      </c>
      <c r="U1365" s="20">
        <v>0.0</v>
      </c>
      <c r="V1365" s="21" t="s">
        <v>183</v>
      </c>
      <c r="W1365" s="21" t="s">
        <v>3739</v>
      </c>
      <c r="X1365" s="21" t="s">
        <v>3883</v>
      </c>
      <c r="Y1365" s="21" t="s">
        <v>3878</v>
      </c>
      <c r="Z1365" s="20" t="s">
        <v>4186</v>
      </c>
      <c r="AA1365" s="111"/>
      <c r="AB1365" s="18"/>
      <c r="AC1365" s="52"/>
      <c r="AD1365" s="14"/>
      <c r="AE1365" s="14"/>
      <c r="AF1365" s="52"/>
      <c r="AG1365" s="22"/>
      <c r="AH1365" s="22"/>
      <c r="AI1365" s="22"/>
      <c r="AJ1365" s="22"/>
      <c r="AK1365" s="22"/>
      <c r="AL1365" s="22"/>
      <c r="AM1365" s="22"/>
      <c r="AN1365" s="22"/>
      <c r="AO1365" s="22"/>
      <c r="AP1365" s="22"/>
    </row>
    <row r="1366" hidden="1">
      <c r="A1366" s="69">
        <v>46145.45833333333</v>
      </c>
      <c r="B1366" s="125">
        <v>46145.45833333333</v>
      </c>
      <c r="C1366" s="126" t="s">
        <v>196</v>
      </c>
      <c r="D1366" s="102" t="s">
        <v>3083</v>
      </c>
      <c r="E1366" s="102" t="s">
        <v>2212</v>
      </c>
      <c r="F1366" s="102" t="s">
        <v>3760</v>
      </c>
      <c r="G1366" s="126" t="s">
        <v>4187</v>
      </c>
      <c r="H1366" s="126" t="s">
        <v>3886</v>
      </c>
      <c r="I1366" s="102" t="s">
        <v>61</v>
      </c>
      <c r="J1366" s="85">
        <v>171457.0</v>
      </c>
      <c r="K1366" s="85">
        <v>36135.0</v>
      </c>
      <c r="L1366" s="17">
        <v>0.210752550202091</v>
      </c>
      <c r="M1366" s="127">
        <v>5170.0</v>
      </c>
      <c r="N1366" s="136">
        <v>0.1432</v>
      </c>
      <c r="O1366" s="20">
        <v>99.0</v>
      </c>
      <c r="P1366" s="21">
        <v>0.0</v>
      </c>
      <c r="Q1366" s="137">
        <v>0.003</v>
      </c>
      <c r="R1366" s="129">
        <v>0.0</v>
      </c>
      <c r="S1366" s="20">
        <v>0.0</v>
      </c>
      <c r="T1366" s="20">
        <v>0.0</v>
      </c>
      <c r="U1366" s="20">
        <v>0.0</v>
      </c>
      <c r="V1366" s="21" t="s">
        <v>183</v>
      </c>
      <c r="W1366" s="21" t="s">
        <v>3739</v>
      </c>
      <c r="X1366" s="21" t="s">
        <v>3887</v>
      </c>
      <c r="Y1366" s="21" t="s">
        <v>3878</v>
      </c>
      <c r="Z1366" s="20" t="s">
        <v>4188</v>
      </c>
      <c r="AA1366" s="111"/>
      <c r="AB1366" s="18"/>
      <c r="AC1366" s="52"/>
      <c r="AD1366" s="14"/>
      <c r="AE1366" s="14"/>
      <c r="AF1366" s="52"/>
      <c r="AG1366" s="22"/>
      <c r="AH1366" s="22"/>
      <c r="AI1366" s="22"/>
      <c r="AJ1366" s="22"/>
      <c r="AK1366" s="22"/>
      <c r="AL1366" s="22"/>
      <c r="AM1366" s="22"/>
      <c r="AN1366" s="22"/>
      <c r="AO1366" s="22"/>
      <c r="AP1366" s="22"/>
    </row>
    <row r="1367" hidden="1">
      <c r="A1367" s="69">
        <v>46145.45833333333</v>
      </c>
      <c r="B1367" s="125">
        <v>46145.45833333333</v>
      </c>
      <c r="C1367" s="126" t="s">
        <v>196</v>
      </c>
      <c r="D1367" s="102" t="s">
        <v>3083</v>
      </c>
      <c r="E1367" s="102" t="s">
        <v>2212</v>
      </c>
      <c r="F1367" s="102" t="s">
        <v>3760</v>
      </c>
      <c r="G1367" s="126" t="s">
        <v>4189</v>
      </c>
      <c r="H1367" s="126" t="s">
        <v>3890</v>
      </c>
      <c r="I1367" s="102" t="s">
        <v>61</v>
      </c>
      <c r="J1367" s="85">
        <v>326262.0</v>
      </c>
      <c r="K1367" s="85">
        <v>78645.0</v>
      </c>
      <c r="L1367" s="17">
        <v>0.241048605108778</v>
      </c>
      <c r="M1367" s="127">
        <v>11416.0</v>
      </c>
      <c r="N1367" s="136">
        <v>0.1454</v>
      </c>
      <c r="O1367" s="20">
        <v>232.0</v>
      </c>
      <c r="P1367" s="21">
        <v>0.0</v>
      </c>
      <c r="Q1367" s="137">
        <v>0.0032</v>
      </c>
      <c r="R1367" s="129">
        <v>0.0</v>
      </c>
      <c r="S1367" s="20">
        <v>0.0</v>
      </c>
      <c r="T1367" s="20">
        <v>0.0</v>
      </c>
      <c r="U1367" s="20">
        <v>0.0</v>
      </c>
      <c r="V1367" s="21" t="s">
        <v>183</v>
      </c>
      <c r="W1367" s="21" t="s">
        <v>3739</v>
      </c>
      <c r="X1367" s="21" t="s">
        <v>3891</v>
      </c>
      <c r="Y1367" s="21" t="s">
        <v>3878</v>
      </c>
      <c r="Z1367" s="20" t="s">
        <v>4190</v>
      </c>
      <c r="AA1367" s="111"/>
      <c r="AB1367" s="18"/>
      <c r="AC1367" s="52"/>
      <c r="AD1367" s="14"/>
      <c r="AE1367" s="14"/>
      <c r="AF1367" s="52"/>
      <c r="AG1367" s="22"/>
      <c r="AH1367" s="22"/>
      <c r="AI1367" s="22"/>
      <c r="AJ1367" s="22"/>
      <c r="AK1367" s="22"/>
      <c r="AL1367" s="22"/>
      <c r="AM1367" s="22"/>
      <c r="AN1367" s="22"/>
      <c r="AO1367" s="22"/>
      <c r="AP1367" s="22"/>
    </row>
    <row r="1368" hidden="1">
      <c r="A1368" s="69">
        <v>46145.45833333333</v>
      </c>
      <c r="B1368" s="125">
        <v>46145.45833333333</v>
      </c>
      <c r="C1368" s="126" t="s">
        <v>196</v>
      </c>
      <c r="D1368" s="102" t="s">
        <v>3083</v>
      </c>
      <c r="E1368" s="102" t="s">
        <v>2212</v>
      </c>
      <c r="F1368" s="102" t="s">
        <v>3760</v>
      </c>
      <c r="G1368" s="126" t="s">
        <v>4191</v>
      </c>
      <c r="H1368" s="126" t="s">
        <v>3898</v>
      </c>
      <c r="I1368" s="102" t="s">
        <v>61</v>
      </c>
      <c r="J1368" s="85">
        <v>104957.0</v>
      </c>
      <c r="K1368" s="85">
        <v>26571.0</v>
      </c>
      <c r="L1368" s="17">
        <v>0.253160818239851</v>
      </c>
      <c r="M1368" s="127">
        <v>3924.0</v>
      </c>
      <c r="N1368" s="136">
        <v>0.1479</v>
      </c>
      <c r="O1368" s="20">
        <v>72.0</v>
      </c>
      <c r="P1368" s="21">
        <v>0.0</v>
      </c>
      <c r="Q1368" s="137">
        <v>0.0028</v>
      </c>
      <c r="R1368" s="129">
        <v>0.0</v>
      </c>
      <c r="S1368" s="20">
        <v>0.0</v>
      </c>
      <c r="T1368" s="20">
        <v>0.0</v>
      </c>
      <c r="U1368" s="20">
        <v>0.0</v>
      </c>
      <c r="V1368" s="21" t="s">
        <v>183</v>
      </c>
      <c r="W1368" s="21" t="s">
        <v>3739</v>
      </c>
      <c r="X1368" s="21" t="s">
        <v>3899</v>
      </c>
      <c r="Y1368" s="21" t="s">
        <v>3878</v>
      </c>
      <c r="Z1368" s="20" t="s">
        <v>4192</v>
      </c>
      <c r="AA1368" s="111"/>
      <c r="AB1368" s="18"/>
      <c r="AC1368" s="52"/>
      <c r="AD1368" s="14"/>
      <c r="AE1368" s="14"/>
      <c r="AF1368" s="52"/>
      <c r="AG1368" s="22"/>
      <c r="AH1368" s="22"/>
      <c r="AI1368" s="22"/>
      <c r="AJ1368" s="22"/>
      <c r="AK1368" s="22"/>
      <c r="AL1368" s="22"/>
      <c r="AM1368" s="22"/>
      <c r="AN1368" s="22"/>
      <c r="AO1368" s="22"/>
      <c r="AP1368" s="22"/>
    </row>
    <row r="1369" hidden="1">
      <c r="A1369" s="144">
        <v>46145.45833333333</v>
      </c>
      <c r="B1369" s="145">
        <v>46145.45833333333</v>
      </c>
      <c r="C1369" s="146" t="s">
        <v>196</v>
      </c>
      <c r="D1369" s="147" t="s">
        <v>3083</v>
      </c>
      <c r="E1369" s="102" t="s">
        <v>2212</v>
      </c>
      <c r="F1369" s="102" t="s">
        <v>3760</v>
      </c>
      <c r="G1369" s="126" t="s">
        <v>4193</v>
      </c>
      <c r="H1369" s="126" t="s">
        <v>3894</v>
      </c>
      <c r="I1369" s="102" t="s">
        <v>61</v>
      </c>
      <c r="J1369" s="85">
        <v>131650.0</v>
      </c>
      <c r="K1369" s="85">
        <v>21446.0</v>
      </c>
      <c r="L1369" s="17">
        <v>0.162901633118116</v>
      </c>
      <c r="M1369" s="127">
        <v>3480.0</v>
      </c>
      <c r="N1369" s="136">
        <v>0.1624</v>
      </c>
      <c r="O1369" s="20">
        <v>89.0</v>
      </c>
      <c r="P1369" s="21">
        <v>0.0</v>
      </c>
      <c r="Q1369" s="137">
        <v>0.0049</v>
      </c>
      <c r="R1369" s="129">
        <v>0.0</v>
      </c>
      <c r="S1369" s="20">
        <v>0.0</v>
      </c>
      <c r="T1369" s="20">
        <v>0.0</v>
      </c>
      <c r="U1369" s="20">
        <v>0.0</v>
      </c>
      <c r="V1369" s="21" t="s">
        <v>183</v>
      </c>
      <c r="W1369" s="21" t="s">
        <v>3739</v>
      </c>
      <c r="X1369" s="21" t="s">
        <v>3895</v>
      </c>
      <c r="Y1369" s="21" t="s">
        <v>3878</v>
      </c>
      <c r="Z1369" s="20" t="s">
        <v>4194</v>
      </c>
      <c r="AA1369" s="111"/>
      <c r="AB1369" s="18"/>
      <c r="AC1369" s="52"/>
      <c r="AD1369" s="14"/>
      <c r="AE1369" s="14"/>
      <c r="AF1369" s="52"/>
      <c r="AG1369" s="22"/>
      <c r="AH1369" s="22"/>
      <c r="AI1369" s="22"/>
      <c r="AJ1369" s="22"/>
      <c r="AK1369" s="22"/>
      <c r="AL1369" s="22"/>
      <c r="AM1369" s="22"/>
      <c r="AN1369" s="22"/>
      <c r="AO1369" s="22"/>
      <c r="AP1369" s="22"/>
    </row>
    <row r="1370" hidden="1">
      <c r="A1370" s="148">
        <v>46147.375</v>
      </c>
      <c r="B1370" s="149">
        <v>46147.375</v>
      </c>
      <c r="C1370" s="11" t="s">
        <v>196</v>
      </c>
      <c r="D1370" s="10" t="s">
        <v>3243</v>
      </c>
      <c r="E1370" s="10" t="s">
        <v>179</v>
      </c>
      <c r="F1370" s="10" t="s">
        <v>4195</v>
      </c>
      <c r="G1370" s="11" t="s">
        <v>4196</v>
      </c>
      <c r="H1370" s="11" t="s">
        <v>4197</v>
      </c>
      <c r="I1370" s="10" t="s">
        <v>4198</v>
      </c>
      <c r="J1370" s="14">
        <v>9197.0</v>
      </c>
      <c r="K1370" s="14">
        <v>1200.0</v>
      </c>
      <c r="L1370" s="17">
        <v>0.13047732956398825</v>
      </c>
      <c r="M1370" s="150">
        <v>284.0</v>
      </c>
      <c r="N1370" s="136">
        <v>0.23670000000000002</v>
      </c>
      <c r="O1370" s="18">
        <v>7.0</v>
      </c>
      <c r="P1370" s="92">
        <v>0.0</v>
      </c>
      <c r="Q1370" s="137">
        <v>0.0058</v>
      </c>
      <c r="R1370" s="17">
        <v>0.0</v>
      </c>
      <c r="S1370" s="18">
        <v>1.0</v>
      </c>
      <c r="T1370" s="18">
        <v>7.0</v>
      </c>
      <c r="U1370" s="151">
        <v>36285.0</v>
      </c>
      <c r="V1370" s="92" t="s">
        <v>183</v>
      </c>
      <c r="W1370" s="92" t="s">
        <v>3739</v>
      </c>
      <c r="X1370" s="92" t="s">
        <v>4199</v>
      </c>
      <c r="Y1370" s="92" t="s">
        <v>4200</v>
      </c>
      <c r="Z1370" s="18" t="s">
        <v>4201</v>
      </c>
      <c r="AA1370" s="92">
        <v>2.0</v>
      </c>
      <c r="AB1370" s="18">
        <v>0.0</v>
      </c>
      <c r="AC1370" s="18">
        <v>2.0</v>
      </c>
      <c r="AD1370" s="14">
        <v>20594.0</v>
      </c>
      <c r="AE1370" s="18">
        <v>0.0</v>
      </c>
      <c r="AF1370" s="14">
        <v>20594.0</v>
      </c>
      <c r="AG1370" s="92">
        <v>0.0</v>
      </c>
      <c r="AH1370" s="18">
        <v>0.0</v>
      </c>
      <c r="AI1370" s="18">
        <v>0.0</v>
      </c>
      <c r="AJ1370" s="14">
        <v>0.0</v>
      </c>
      <c r="AK1370" s="18">
        <v>0.0</v>
      </c>
      <c r="AL1370" s="14">
        <v>0.0</v>
      </c>
      <c r="AM1370" s="22"/>
      <c r="AN1370" s="22"/>
      <c r="AO1370" s="22"/>
      <c r="AP1370" s="22"/>
    </row>
    <row r="1371" hidden="1">
      <c r="A1371" s="148">
        <v>46147.375</v>
      </c>
      <c r="B1371" s="149">
        <v>46147.375</v>
      </c>
      <c r="C1371" s="11" t="s">
        <v>196</v>
      </c>
      <c r="D1371" s="10" t="s">
        <v>3243</v>
      </c>
      <c r="E1371" s="10" t="s">
        <v>179</v>
      </c>
      <c r="F1371" s="10" t="s">
        <v>4195</v>
      </c>
      <c r="G1371" s="11" t="s">
        <v>4202</v>
      </c>
      <c r="H1371" s="11" t="s">
        <v>4203</v>
      </c>
      <c r="I1371" s="10" t="s">
        <v>4204</v>
      </c>
      <c r="J1371" s="14">
        <v>14440.0</v>
      </c>
      <c r="K1371" s="14">
        <v>2748.0</v>
      </c>
      <c r="L1371" s="17">
        <v>0.19030470914127423</v>
      </c>
      <c r="M1371" s="150">
        <v>418.0</v>
      </c>
      <c r="N1371" s="136">
        <v>0.1521</v>
      </c>
      <c r="O1371" s="18">
        <v>11.0</v>
      </c>
      <c r="P1371" s="92">
        <v>0.0</v>
      </c>
      <c r="Q1371" s="137">
        <v>0.0044</v>
      </c>
      <c r="R1371" s="17">
        <v>0.0</v>
      </c>
      <c r="S1371" s="18">
        <v>1.0</v>
      </c>
      <c r="T1371" s="18">
        <v>3.0</v>
      </c>
      <c r="U1371" s="151">
        <v>1965.0</v>
      </c>
      <c r="V1371" s="92" t="s">
        <v>183</v>
      </c>
      <c r="W1371" s="92" t="s">
        <v>3739</v>
      </c>
      <c r="X1371" s="92" t="s">
        <v>52</v>
      </c>
      <c r="Y1371" s="92" t="s">
        <v>4200</v>
      </c>
      <c r="Z1371" s="18" t="s">
        <v>4205</v>
      </c>
      <c r="AA1371" s="92">
        <v>0.0</v>
      </c>
      <c r="AB1371" s="18">
        <v>0.0</v>
      </c>
      <c r="AC1371" s="18">
        <v>0.0</v>
      </c>
      <c r="AD1371" s="18">
        <v>0.0</v>
      </c>
      <c r="AE1371" s="18">
        <v>0.0</v>
      </c>
      <c r="AF1371" s="18">
        <v>0.0</v>
      </c>
      <c r="AG1371" s="92">
        <v>0.0</v>
      </c>
      <c r="AH1371" s="18">
        <v>0.0</v>
      </c>
      <c r="AI1371" s="18">
        <v>0.0</v>
      </c>
      <c r="AJ1371" s="14">
        <v>0.0</v>
      </c>
      <c r="AK1371" s="18">
        <v>0.0</v>
      </c>
      <c r="AL1371" s="14">
        <v>0.0</v>
      </c>
      <c r="AM1371" s="22"/>
      <c r="AN1371" s="22"/>
      <c r="AO1371" s="22"/>
      <c r="AP1371" s="22"/>
    </row>
    <row r="1372" hidden="1">
      <c r="A1372" s="148">
        <v>46147.375</v>
      </c>
      <c r="B1372" s="149">
        <v>46147.375</v>
      </c>
      <c r="C1372" s="11" t="s">
        <v>196</v>
      </c>
      <c r="D1372" s="10" t="s">
        <v>3243</v>
      </c>
      <c r="E1372" s="10" t="s">
        <v>179</v>
      </c>
      <c r="F1372" s="10" t="s">
        <v>4195</v>
      </c>
      <c r="G1372" s="11" t="s">
        <v>4206</v>
      </c>
      <c r="H1372" s="11" t="s">
        <v>4207</v>
      </c>
      <c r="I1372" s="10" t="s">
        <v>4208</v>
      </c>
      <c r="J1372" s="14">
        <v>74996.0</v>
      </c>
      <c r="K1372" s="14">
        <v>13084.0</v>
      </c>
      <c r="L1372" s="17">
        <v>0.1744626380073604</v>
      </c>
      <c r="M1372" s="150">
        <v>2140.0</v>
      </c>
      <c r="N1372" s="136">
        <v>0.1636</v>
      </c>
      <c r="O1372" s="18">
        <v>80.0</v>
      </c>
      <c r="P1372" s="92">
        <v>0.0</v>
      </c>
      <c r="Q1372" s="137">
        <v>0.0069</v>
      </c>
      <c r="R1372" s="17">
        <v>0.0</v>
      </c>
      <c r="S1372" s="18">
        <v>16.0</v>
      </c>
      <c r="T1372" s="18">
        <v>54.0</v>
      </c>
      <c r="U1372" s="151">
        <v>119326.0</v>
      </c>
      <c r="V1372" s="92" t="s">
        <v>183</v>
      </c>
      <c r="W1372" s="92" t="s">
        <v>3739</v>
      </c>
      <c r="X1372" s="92" t="s">
        <v>2552</v>
      </c>
      <c r="Y1372" s="92" t="s">
        <v>4200</v>
      </c>
      <c r="Z1372" s="18" t="s">
        <v>4209</v>
      </c>
      <c r="AA1372" s="92">
        <v>0.0</v>
      </c>
      <c r="AB1372" s="18">
        <v>0.0</v>
      </c>
      <c r="AC1372" s="18">
        <v>0.0</v>
      </c>
      <c r="AD1372" s="18">
        <v>0.0</v>
      </c>
      <c r="AE1372" s="18">
        <v>0.0</v>
      </c>
      <c r="AF1372" s="18">
        <v>0.0</v>
      </c>
      <c r="AG1372" s="92">
        <v>0.0</v>
      </c>
      <c r="AH1372" s="18">
        <v>0.0</v>
      </c>
      <c r="AI1372" s="18">
        <v>0.0</v>
      </c>
      <c r="AJ1372" s="14">
        <v>0.0</v>
      </c>
      <c r="AK1372" s="18">
        <v>0.0</v>
      </c>
      <c r="AL1372" s="14">
        <v>0.0</v>
      </c>
      <c r="AM1372" s="22"/>
      <c r="AN1372" s="22"/>
      <c r="AO1372" s="22"/>
      <c r="AP1372" s="22"/>
    </row>
    <row r="1373" hidden="1">
      <c r="A1373" s="148">
        <v>46147.375</v>
      </c>
      <c r="B1373" s="149">
        <v>46147.375</v>
      </c>
      <c r="C1373" s="11" t="s">
        <v>196</v>
      </c>
      <c r="D1373" s="10" t="s">
        <v>3243</v>
      </c>
      <c r="E1373" s="10" t="s">
        <v>179</v>
      </c>
      <c r="F1373" s="10" t="s">
        <v>4195</v>
      </c>
      <c r="G1373" s="11" t="s">
        <v>4210</v>
      </c>
      <c r="H1373" s="11" t="s">
        <v>4211</v>
      </c>
      <c r="I1373" s="10" t="s">
        <v>4212</v>
      </c>
      <c r="J1373" s="14">
        <v>10527.0</v>
      </c>
      <c r="K1373" s="14">
        <v>1423.0</v>
      </c>
      <c r="L1373" s="17">
        <v>0.1351762135461195</v>
      </c>
      <c r="M1373" s="150">
        <v>254.0</v>
      </c>
      <c r="N1373" s="136">
        <v>0.17850000000000002</v>
      </c>
      <c r="O1373" s="18">
        <v>4.0</v>
      </c>
      <c r="P1373" s="92">
        <v>0.0</v>
      </c>
      <c r="Q1373" s="137">
        <v>0.0028000000000000004</v>
      </c>
      <c r="R1373" s="17">
        <v>0.0</v>
      </c>
      <c r="S1373" s="18">
        <v>0.0</v>
      </c>
      <c r="T1373" s="18">
        <v>1.0</v>
      </c>
      <c r="U1373" s="151">
        <v>0.0</v>
      </c>
      <c r="V1373" s="92" t="s">
        <v>183</v>
      </c>
      <c r="W1373" s="92" t="s">
        <v>3739</v>
      </c>
      <c r="X1373" s="92" t="s">
        <v>4213</v>
      </c>
      <c r="Y1373" s="92" t="s">
        <v>4200</v>
      </c>
      <c r="Z1373" s="18" t="s">
        <v>4214</v>
      </c>
      <c r="AA1373" s="92">
        <v>0.0</v>
      </c>
      <c r="AB1373" s="18">
        <v>0.0</v>
      </c>
      <c r="AC1373" s="18">
        <v>0.0</v>
      </c>
      <c r="AD1373" s="18">
        <v>0.0</v>
      </c>
      <c r="AE1373" s="18">
        <v>0.0</v>
      </c>
      <c r="AF1373" s="18">
        <v>0.0</v>
      </c>
      <c r="AG1373" s="92">
        <v>0.0</v>
      </c>
      <c r="AH1373" s="18">
        <v>0.0</v>
      </c>
      <c r="AI1373" s="18">
        <v>0.0</v>
      </c>
      <c r="AJ1373" s="14">
        <v>0.0</v>
      </c>
      <c r="AK1373" s="18">
        <v>0.0</v>
      </c>
      <c r="AL1373" s="14">
        <v>0.0</v>
      </c>
      <c r="AM1373" s="22"/>
      <c r="AN1373" s="22"/>
      <c r="AO1373" s="22"/>
      <c r="AP1373" s="22"/>
    </row>
    <row r="1374" hidden="1">
      <c r="A1374" s="148">
        <v>46147.375</v>
      </c>
      <c r="B1374" s="149">
        <v>46147.375</v>
      </c>
      <c r="C1374" s="11" t="s">
        <v>196</v>
      </c>
      <c r="D1374" s="10" t="s">
        <v>3243</v>
      </c>
      <c r="E1374" s="10" t="s">
        <v>179</v>
      </c>
      <c r="F1374" s="10" t="s">
        <v>4195</v>
      </c>
      <c r="G1374" s="11" t="s">
        <v>4215</v>
      </c>
      <c r="H1374" s="11" t="s">
        <v>4216</v>
      </c>
      <c r="I1374" s="10" t="s">
        <v>4217</v>
      </c>
      <c r="J1374" s="14">
        <v>12469.0</v>
      </c>
      <c r="K1374" s="14">
        <v>2121.0</v>
      </c>
      <c r="L1374" s="17">
        <v>0.1701018525944342</v>
      </c>
      <c r="M1374" s="150">
        <v>385.0</v>
      </c>
      <c r="N1374" s="136">
        <v>0.1815</v>
      </c>
      <c r="O1374" s="18">
        <v>3.0</v>
      </c>
      <c r="P1374" s="92">
        <v>0.0</v>
      </c>
      <c r="Q1374" s="137">
        <v>0.0014000000000000002</v>
      </c>
      <c r="R1374" s="17">
        <v>0.0</v>
      </c>
      <c r="S1374" s="18">
        <v>0.0</v>
      </c>
      <c r="T1374" s="18">
        <v>0.0</v>
      </c>
      <c r="U1374" s="151">
        <v>0.0</v>
      </c>
      <c r="V1374" s="92" t="s">
        <v>183</v>
      </c>
      <c r="W1374" s="92" t="s">
        <v>3739</v>
      </c>
      <c r="X1374" s="92" t="s">
        <v>4218</v>
      </c>
      <c r="Y1374" s="92" t="s">
        <v>4200</v>
      </c>
      <c r="Z1374" s="18" t="s">
        <v>4219</v>
      </c>
      <c r="AA1374" s="92">
        <v>1.0</v>
      </c>
      <c r="AB1374" s="18">
        <v>0.0</v>
      </c>
      <c r="AC1374" s="18">
        <v>1.0</v>
      </c>
      <c r="AD1374" s="14">
        <v>24424.0</v>
      </c>
      <c r="AE1374" s="18">
        <v>0.0</v>
      </c>
      <c r="AF1374" s="14">
        <v>24424.0</v>
      </c>
      <c r="AG1374" s="92">
        <v>0.0</v>
      </c>
      <c r="AH1374" s="18">
        <v>0.0</v>
      </c>
      <c r="AI1374" s="18">
        <v>0.0</v>
      </c>
      <c r="AJ1374" s="14">
        <v>0.0</v>
      </c>
      <c r="AK1374" s="18">
        <v>0.0</v>
      </c>
      <c r="AL1374" s="14">
        <v>0.0</v>
      </c>
      <c r="AM1374" s="22"/>
      <c r="AN1374" s="22"/>
      <c r="AO1374" s="22"/>
      <c r="AP1374" s="22"/>
    </row>
    <row r="1375" hidden="1">
      <c r="A1375" s="148">
        <v>46147.45833333333</v>
      </c>
      <c r="B1375" s="149">
        <v>46147.45833333333</v>
      </c>
      <c r="C1375" s="11" t="s">
        <v>32</v>
      </c>
      <c r="D1375" s="10" t="s">
        <v>3083</v>
      </c>
      <c r="E1375" s="10" t="s">
        <v>179</v>
      </c>
      <c r="F1375" s="10" t="s">
        <v>4195</v>
      </c>
      <c r="G1375" s="11" t="s">
        <v>4220</v>
      </c>
      <c r="H1375" s="11" t="s">
        <v>4197</v>
      </c>
      <c r="I1375" s="10" t="s">
        <v>2956</v>
      </c>
      <c r="J1375" s="14">
        <v>8019.0</v>
      </c>
      <c r="K1375" s="14">
        <v>4597.0</v>
      </c>
      <c r="L1375" s="17">
        <v>0.5733</v>
      </c>
      <c r="M1375" s="150">
        <v>1125.0</v>
      </c>
      <c r="N1375" s="136">
        <v>0.2447</v>
      </c>
      <c r="O1375" s="18">
        <v>131.0</v>
      </c>
      <c r="P1375" s="92">
        <v>125.0</v>
      </c>
      <c r="Q1375" s="137">
        <v>0.027200000000000002</v>
      </c>
      <c r="R1375" s="17">
        <v>0.11109999999999999</v>
      </c>
      <c r="S1375" s="18">
        <v>13.0</v>
      </c>
      <c r="T1375" s="18">
        <v>33.0</v>
      </c>
      <c r="U1375" s="151">
        <v>128999.0</v>
      </c>
      <c r="V1375" s="92" t="s">
        <v>183</v>
      </c>
      <c r="W1375" s="92" t="s">
        <v>76</v>
      </c>
      <c r="X1375" s="92" t="s">
        <v>4199</v>
      </c>
      <c r="Y1375" s="92" t="s">
        <v>4221</v>
      </c>
      <c r="Z1375" s="18" t="s">
        <v>4222</v>
      </c>
      <c r="AA1375" s="92">
        <v>14.0</v>
      </c>
      <c r="AB1375" s="18">
        <v>2.0</v>
      </c>
      <c r="AC1375" s="18">
        <v>12.0</v>
      </c>
      <c r="AD1375" s="14">
        <v>431494.0</v>
      </c>
      <c r="AE1375" s="14">
        <v>5559.0</v>
      </c>
      <c r="AF1375" s="14">
        <v>425935.0</v>
      </c>
      <c r="AG1375" s="92">
        <v>0.0</v>
      </c>
      <c r="AH1375" s="18">
        <v>1.0</v>
      </c>
      <c r="AI1375" s="18">
        <v>1.0</v>
      </c>
      <c r="AJ1375" s="14">
        <v>0.0</v>
      </c>
      <c r="AK1375" s="18">
        <v>8499.0</v>
      </c>
      <c r="AL1375" s="14">
        <v>8499.0</v>
      </c>
      <c r="AM1375" s="22"/>
      <c r="AN1375" s="22"/>
      <c r="AO1375" s="22"/>
      <c r="AP1375" s="22"/>
    </row>
    <row r="1376" hidden="1">
      <c r="A1376" s="148">
        <v>46147.461805555555</v>
      </c>
      <c r="B1376" s="149">
        <v>46147.461805555555</v>
      </c>
      <c r="C1376" s="11" t="s">
        <v>32</v>
      </c>
      <c r="D1376" s="10" t="s">
        <v>3083</v>
      </c>
      <c r="E1376" s="10" t="s">
        <v>179</v>
      </c>
      <c r="F1376" s="10" t="s">
        <v>4195</v>
      </c>
      <c r="G1376" s="11" t="s">
        <v>4223</v>
      </c>
      <c r="H1376" s="11" t="s">
        <v>4203</v>
      </c>
      <c r="I1376" s="10" t="s">
        <v>2956</v>
      </c>
      <c r="J1376" s="14">
        <v>11570.0</v>
      </c>
      <c r="K1376" s="14">
        <v>7289.0</v>
      </c>
      <c r="L1376" s="17">
        <v>0.6297999999999999</v>
      </c>
      <c r="M1376" s="150">
        <v>1798.0</v>
      </c>
      <c r="N1376" s="136">
        <v>0.24670000000000003</v>
      </c>
      <c r="O1376" s="18">
        <v>137.0</v>
      </c>
      <c r="P1376" s="92">
        <v>135.0</v>
      </c>
      <c r="Q1376" s="137">
        <v>0.018500000000000003</v>
      </c>
      <c r="R1376" s="17">
        <v>0.0751</v>
      </c>
      <c r="S1376" s="18">
        <v>24.0</v>
      </c>
      <c r="T1376" s="18">
        <v>36.0</v>
      </c>
      <c r="U1376" s="151">
        <v>71331.0</v>
      </c>
      <c r="V1376" s="92" t="s">
        <v>183</v>
      </c>
      <c r="W1376" s="92" t="s">
        <v>76</v>
      </c>
      <c r="X1376" s="92" t="s">
        <v>52</v>
      </c>
      <c r="Y1376" s="92" t="s">
        <v>4221</v>
      </c>
      <c r="Z1376" s="18" t="s">
        <v>4224</v>
      </c>
      <c r="AA1376" s="92">
        <v>6.0</v>
      </c>
      <c r="AB1376" s="18">
        <v>6.0</v>
      </c>
      <c r="AC1376" s="18">
        <v>0.0</v>
      </c>
      <c r="AD1376" s="14">
        <v>13822.0</v>
      </c>
      <c r="AE1376" s="14">
        <v>13822.0</v>
      </c>
      <c r="AF1376" s="18">
        <v>0.0</v>
      </c>
      <c r="AG1376" s="92">
        <v>0.0</v>
      </c>
      <c r="AH1376" s="18">
        <v>0.0</v>
      </c>
      <c r="AI1376" s="18">
        <v>0.0</v>
      </c>
      <c r="AJ1376" s="14">
        <v>0.0</v>
      </c>
      <c r="AK1376" s="18">
        <v>0.0</v>
      </c>
      <c r="AL1376" s="14">
        <v>0.0</v>
      </c>
      <c r="AM1376" s="22"/>
      <c r="AN1376" s="22"/>
      <c r="AO1376" s="22"/>
      <c r="AP1376" s="22"/>
    </row>
    <row r="1377" hidden="1">
      <c r="A1377" s="148">
        <v>46147.46527777778</v>
      </c>
      <c r="B1377" s="149">
        <v>46147.46527777778</v>
      </c>
      <c r="C1377" s="11" t="s">
        <v>32</v>
      </c>
      <c r="D1377" s="10" t="s">
        <v>3083</v>
      </c>
      <c r="E1377" s="10" t="s">
        <v>179</v>
      </c>
      <c r="F1377" s="10" t="s">
        <v>4195</v>
      </c>
      <c r="G1377" s="11" t="s">
        <v>4225</v>
      </c>
      <c r="H1377" s="11" t="s">
        <v>4207</v>
      </c>
      <c r="I1377" s="10" t="s">
        <v>2956</v>
      </c>
      <c r="J1377" s="14">
        <v>61331.0</v>
      </c>
      <c r="K1377" s="14">
        <v>37198.0</v>
      </c>
      <c r="L1377" s="17">
        <v>0.6065</v>
      </c>
      <c r="M1377" s="150">
        <v>8709.0</v>
      </c>
      <c r="N1377" s="136">
        <v>0.2341</v>
      </c>
      <c r="O1377" s="18">
        <v>870.0</v>
      </c>
      <c r="P1377" s="92">
        <v>811.0</v>
      </c>
      <c r="Q1377" s="137">
        <v>0.0218</v>
      </c>
      <c r="R1377" s="17">
        <v>0.0932</v>
      </c>
      <c r="S1377" s="18">
        <v>89.0</v>
      </c>
      <c r="T1377" s="18">
        <v>198.0</v>
      </c>
      <c r="U1377" s="151">
        <v>264816.0</v>
      </c>
      <c r="V1377" s="92" t="s">
        <v>183</v>
      </c>
      <c r="W1377" s="92" t="s">
        <v>76</v>
      </c>
      <c r="X1377" s="92" t="s">
        <v>2552</v>
      </c>
      <c r="Y1377" s="92" t="s">
        <v>4221</v>
      </c>
      <c r="Z1377" s="18" t="s">
        <v>4226</v>
      </c>
      <c r="AA1377" s="92">
        <v>10.0</v>
      </c>
      <c r="AB1377" s="18">
        <v>9.0</v>
      </c>
      <c r="AC1377" s="18">
        <v>1.0</v>
      </c>
      <c r="AD1377" s="14">
        <v>61879.0</v>
      </c>
      <c r="AE1377" s="14">
        <v>17815.0</v>
      </c>
      <c r="AF1377" s="14">
        <v>44064.0</v>
      </c>
      <c r="AG1377" s="92">
        <v>0.0</v>
      </c>
      <c r="AH1377" s="18">
        <v>0.0</v>
      </c>
      <c r="AI1377" s="18">
        <v>0.0</v>
      </c>
      <c r="AJ1377" s="14">
        <v>0.0</v>
      </c>
      <c r="AK1377" s="18">
        <v>0.0</v>
      </c>
      <c r="AL1377" s="14">
        <v>0.0</v>
      </c>
      <c r="AM1377" s="22"/>
      <c r="AN1377" s="22"/>
      <c r="AO1377" s="22"/>
      <c r="AP1377" s="22"/>
    </row>
    <row r="1378" hidden="1">
      <c r="A1378" s="148">
        <v>46147.46875</v>
      </c>
      <c r="B1378" s="149">
        <v>46147.46875</v>
      </c>
      <c r="C1378" s="11" t="s">
        <v>32</v>
      </c>
      <c r="D1378" s="10" t="s">
        <v>3083</v>
      </c>
      <c r="E1378" s="10" t="s">
        <v>179</v>
      </c>
      <c r="F1378" s="10" t="s">
        <v>4195</v>
      </c>
      <c r="G1378" s="11" t="s">
        <v>4227</v>
      </c>
      <c r="H1378" s="11" t="s">
        <v>4211</v>
      </c>
      <c r="I1378" s="10" t="s">
        <v>2956</v>
      </c>
      <c r="J1378" s="14">
        <v>9044.0</v>
      </c>
      <c r="K1378" s="14">
        <v>5239.0</v>
      </c>
      <c r="L1378" s="17">
        <v>0.5793</v>
      </c>
      <c r="M1378" s="150">
        <v>1128.0</v>
      </c>
      <c r="N1378" s="136">
        <v>0.21530000000000002</v>
      </c>
      <c r="O1378" s="18">
        <v>86.0</v>
      </c>
      <c r="P1378" s="92">
        <v>83.0</v>
      </c>
      <c r="Q1378" s="137">
        <v>0.0158</v>
      </c>
      <c r="R1378" s="17">
        <v>0.0736</v>
      </c>
      <c r="S1378" s="18">
        <v>4.0</v>
      </c>
      <c r="T1378" s="18">
        <v>6.0</v>
      </c>
      <c r="U1378" s="151">
        <v>12317.0</v>
      </c>
      <c r="V1378" s="92" t="s">
        <v>183</v>
      </c>
      <c r="W1378" s="92" t="s">
        <v>76</v>
      </c>
      <c r="X1378" s="92" t="s">
        <v>4213</v>
      </c>
      <c r="Y1378" s="92" t="s">
        <v>4221</v>
      </c>
      <c r="Z1378" s="18" t="s">
        <v>4228</v>
      </c>
      <c r="AA1378" s="92">
        <v>4.0</v>
      </c>
      <c r="AB1378" s="18">
        <v>0.0</v>
      </c>
      <c r="AC1378" s="18">
        <v>4.0</v>
      </c>
      <c r="AD1378" s="14">
        <v>32791.0</v>
      </c>
      <c r="AE1378" s="18">
        <v>0.0</v>
      </c>
      <c r="AF1378" s="14">
        <v>32791.0</v>
      </c>
      <c r="AG1378" s="92">
        <v>0.0</v>
      </c>
      <c r="AH1378" s="18">
        <v>1.0</v>
      </c>
      <c r="AI1378" s="18">
        <v>1.0</v>
      </c>
      <c r="AJ1378" s="14">
        <v>0.0</v>
      </c>
      <c r="AK1378" s="18">
        <v>19775.0</v>
      </c>
      <c r="AL1378" s="14">
        <v>19775.0</v>
      </c>
      <c r="AM1378" s="22"/>
      <c r="AN1378" s="22"/>
      <c r="AO1378" s="22"/>
      <c r="AP1378" s="22"/>
    </row>
    <row r="1379" hidden="1">
      <c r="A1379" s="148">
        <v>46147.47222222222</v>
      </c>
      <c r="B1379" s="149">
        <v>46147.47222222222</v>
      </c>
      <c r="C1379" s="11" t="s">
        <v>32</v>
      </c>
      <c r="D1379" s="10" t="s">
        <v>3083</v>
      </c>
      <c r="E1379" s="10" t="s">
        <v>179</v>
      </c>
      <c r="F1379" s="10" t="s">
        <v>4195</v>
      </c>
      <c r="G1379" s="11" t="s">
        <v>4229</v>
      </c>
      <c r="H1379" s="11" t="s">
        <v>4216</v>
      </c>
      <c r="I1379" s="10" t="s">
        <v>2956</v>
      </c>
      <c r="J1379" s="14">
        <v>10255.0</v>
      </c>
      <c r="K1379" s="14">
        <v>6202.0</v>
      </c>
      <c r="L1379" s="17">
        <v>0.6048</v>
      </c>
      <c r="M1379" s="150">
        <v>1494.0</v>
      </c>
      <c r="N1379" s="136">
        <v>0.2409</v>
      </c>
      <c r="O1379" s="18">
        <v>111.0</v>
      </c>
      <c r="P1379" s="92">
        <v>109.0</v>
      </c>
      <c r="Q1379" s="137">
        <v>0.0176</v>
      </c>
      <c r="R1379" s="17">
        <v>0.073</v>
      </c>
      <c r="S1379" s="18">
        <v>3.0</v>
      </c>
      <c r="T1379" s="18">
        <v>7.0</v>
      </c>
      <c r="U1379" s="151">
        <v>6499.0</v>
      </c>
      <c r="V1379" s="92" t="s">
        <v>183</v>
      </c>
      <c r="W1379" s="92" t="s">
        <v>76</v>
      </c>
      <c r="X1379" s="92" t="s">
        <v>4218</v>
      </c>
      <c r="Y1379" s="92" t="s">
        <v>4221</v>
      </c>
      <c r="Z1379" s="18" t="s">
        <v>4230</v>
      </c>
      <c r="AA1379" s="92">
        <v>2.0</v>
      </c>
      <c r="AB1379" s="18">
        <v>1.0</v>
      </c>
      <c r="AC1379" s="18">
        <v>1.0</v>
      </c>
      <c r="AD1379" s="14">
        <v>10250.0</v>
      </c>
      <c r="AE1379" s="14">
        <v>4798.0</v>
      </c>
      <c r="AF1379" s="14">
        <v>5452.0</v>
      </c>
      <c r="AG1379" s="92">
        <v>0.0</v>
      </c>
      <c r="AH1379" s="18">
        <v>0.0</v>
      </c>
      <c r="AI1379" s="18">
        <v>0.0</v>
      </c>
      <c r="AJ1379" s="14">
        <v>0.0</v>
      </c>
      <c r="AK1379" s="18">
        <v>0.0</v>
      </c>
      <c r="AL1379" s="14">
        <v>0.0</v>
      </c>
      <c r="AM1379" s="22"/>
      <c r="AN1379" s="22"/>
      <c r="AO1379" s="22"/>
      <c r="AP1379" s="22"/>
    </row>
    <row r="1380" hidden="1">
      <c r="A1380" s="148">
        <v>46147.52083333333</v>
      </c>
      <c r="B1380" s="149">
        <v>46147.52083333333</v>
      </c>
      <c r="C1380" s="11" t="s">
        <v>58</v>
      </c>
      <c r="D1380" s="10" t="s">
        <v>3083</v>
      </c>
      <c r="E1380" s="10" t="s">
        <v>179</v>
      </c>
      <c r="F1380" s="10" t="s">
        <v>4195</v>
      </c>
      <c r="G1380" s="11" t="s">
        <v>4231</v>
      </c>
      <c r="H1380" s="11" t="s">
        <v>4197</v>
      </c>
      <c r="I1380" s="10" t="s">
        <v>61</v>
      </c>
      <c r="J1380" s="14">
        <v>3060.0</v>
      </c>
      <c r="K1380" s="14">
        <v>1670.0</v>
      </c>
      <c r="L1380" s="17">
        <v>0.545751633986928</v>
      </c>
      <c r="M1380" s="150">
        <v>0.0</v>
      </c>
      <c r="N1380" s="136">
        <v>0.0</v>
      </c>
      <c r="O1380" s="18">
        <v>2.0</v>
      </c>
      <c r="P1380" s="92">
        <v>0.0</v>
      </c>
      <c r="Q1380" s="137">
        <v>0.0012</v>
      </c>
      <c r="R1380" s="17">
        <v>0.0</v>
      </c>
      <c r="S1380" s="18">
        <v>2.0</v>
      </c>
      <c r="T1380" s="18">
        <v>10.0</v>
      </c>
      <c r="U1380" s="151">
        <v>2873.0</v>
      </c>
      <c r="V1380" s="92" t="s">
        <v>183</v>
      </c>
      <c r="W1380" s="92" t="s">
        <v>3257</v>
      </c>
      <c r="X1380" s="92" t="s">
        <v>4199</v>
      </c>
      <c r="Y1380" s="92" t="s">
        <v>4221</v>
      </c>
      <c r="Z1380" s="18" t="s">
        <v>4232</v>
      </c>
      <c r="AA1380" s="92">
        <v>2.0</v>
      </c>
      <c r="AB1380" s="18">
        <v>0.0</v>
      </c>
      <c r="AC1380" s="18">
        <v>2.0</v>
      </c>
      <c r="AD1380" s="14">
        <v>39732.0</v>
      </c>
      <c r="AE1380" s="18">
        <v>0.0</v>
      </c>
      <c r="AF1380" s="14">
        <v>39732.0</v>
      </c>
      <c r="AG1380" s="92">
        <v>0.0</v>
      </c>
      <c r="AH1380" s="18">
        <v>0.0</v>
      </c>
      <c r="AI1380" s="18">
        <v>0.0</v>
      </c>
      <c r="AJ1380" s="14">
        <v>0.0</v>
      </c>
      <c r="AK1380" s="18">
        <v>0.0</v>
      </c>
      <c r="AL1380" s="14">
        <v>0.0</v>
      </c>
      <c r="AM1380" s="22"/>
      <c r="AN1380" s="22"/>
      <c r="AO1380" s="22"/>
      <c r="AP1380" s="22"/>
    </row>
    <row r="1381" hidden="1">
      <c r="A1381" s="148">
        <v>46147.52083333333</v>
      </c>
      <c r="B1381" s="149">
        <v>46147.52083333333</v>
      </c>
      <c r="C1381" s="11" t="s">
        <v>58</v>
      </c>
      <c r="D1381" s="10" t="s">
        <v>3083</v>
      </c>
      <c r="E1381" s="10" t="s">
        <v>179</v>
      </c>
      <c r="F1381" s="10" t="s">
        <v>4195</v>
      </c>
      <c r="G1381" s="11" t="s">
        <v>4233</v>
      </c>
      <c r="H1381" s="11" t="s">
        <v>4203</v>
      </c>
      <c r="I1381" s="10" t="s">
        <v>61</v>
      </c>
      <c r="J1381" s="14">
        <v>3800.0</v>
      </c>
      <c r="K1381" s="14">
        <v>2462.0</v>
      </c>
      <c r="L1381" s="17">
        <v>0.6478947368421053</v>
      </c>
      <c r="M1381" s="150">
        <v>0.0</v>
      </c>
      <c r="N1381" s="136">
        <v>0.0</v>
      </c>
      <c r="O1381" s="18">
        <v>4.0</v>
      </c>
      <c r="P1381" s="92">
        <v>0.0</v>
      </c>
      <c r="Q1381" s="137">
        <v>0.0016</v>
      </c>
      <c r="R1381" s="17">
        <v>0.0</v>
      </c>
      <c r="S1381" s="18">
        <v>7.0</v>
      </c>
      <c r="T1381" s="18">
        <v>15.0</v>
      </c>
      <c r="U1381" s="151">
        <v>25865.0</v>
      </c>
      <c r="V1381" s="92" t="s">
        <v>183</v>
      </c>
      <c r="W1381" s="92" t="s">
        <v>3257</v>
      </c>
      <c r="X1381" s="92" t="s">
        <v>52</v>
      </c>
      <c r="Y1381" s="92" t="s">
        <v>4221</v>
      </c>
      <c r="Z1381" s="18" t="s">
        <v>4234</v>
      </c>
      <c r="AA1381" s="92">
        <v>0.0</v>
      </c>
      <c r="AB1381" s="18">
        <v>0.0</v>
      </c>
      <c r="AC1381" s="18">
        <v>0.0</v>
      </c>
      <c r="AD1381" s="18">
        <v>0.0</v>
      </c>
      <c r="AE1381" s="18">
        <v>0.0</v>
      </c>
      <c r="AF1381" s="18">
        <v>0.0</v>
      </c>
      <c r="AG1381" s="92">
        <v>0.0</v>
      </c>
      <c r="AH1381" s="18">
        <v>0.0</v>
      </c>
      <c r="AI1381" s="18">
        <v>0.0</v>
      </c>
      <c r="AJ1381" s="14">
        <v>0.0</v>
      </c>
      <c r="AK1381" s="18">
        <v>0.0</v>
      </c>
      <c r="AL1381" s="14">
        <v>0.0</v>
      </c>
      <c r="AM1381" s="22"/>
      <c r="AN1381" s="22"/>
      <c r="AO1381" s="22"/>
      <c r="AP1381" s="22"/>
    </row>
    <row r="1382" hidden="1">
      <c r="A1382" s="148">
        <v>46147.52083333333</v>
      </c>
      <c r="B1382" s="149">
        <v>46147.52083333333</v>
      </c>
      <c r="C1382" s="11" t="s">
        <v>58</v>
      </c>
      <c r="D1382" s="10" t="s">
        <v>3083</v>
      </c>
      <c r="E1382" s="10" t="s">
        <v>179</v>
      </c>
      <c r="F1382" s="10" t="s">
        <v>4195</v>
      </c>
      <c r="G1382" s="11" t="s">
        <v>4235</v>
      </c>
      <c r="H1382" s="11" t="s">
        <v>4207</v>
      </c>
      <c r="I1382" s="10" t="s">
        <v>61</v>
      </c>
      <c r="J1382" s="14">
        <v>21876.0</v>
      </c>
      <c r="K1382" s="14">
        <v>13492.0</v>
      </c>
      <c r="L1382" s="17">
        <v>0.6167489486194917</v>
      </c>
      <c r="M1382" s="150">
        <v>0.0</v>
      </c>
      <c r="N1382" s="136">
        <v>0.0</v>
      </c>
      <c r="O1382" s="18">
        <v>19.0</v>
      </c>
      <c r="P1382" s="92">
        <v>0.0</v>
      </c>
      <c r="Q1382" s="137">
        <v>0.0014000000000000002</v>
      </c>
      <c r="R1382" s="17">
        <v>0.0</v>
      </c>
      <c r="S1382" s="18">
        <v>34.0</v>
      </c>
      <c r="T1382" s="18">
        <v>73.0</v>
      </c>
      <c r="U1382" s="151">
        <v>89828.0</v>
      </c>
      <c r="V1382" s="92" t="s">
        <v>183</v>
      </c>
      <c r="W1382" s="92" t="s">
        <v>3257</v>
      </c>
      <c r="X1382" s="92" t="s">
        <v>2552</v>
      </c>
      <c r="Y1382" s="92" t="s">
        <v>4221</v>
      </c>
      <c r="Z1382" s="18" t="s">
        <v>4236</v>
      </c>
      <c r="AA1382" s="92">
        <v>0.0</v>
      </c>
      <c r="AB1382" s="18">
        <v>0.0</v>
      </c>
      <c r="AC1382" s="18">
        <v>0.0</v>
      </c>
      <c r="AD1382" s="18">
        <v>0.0</v>
      </c>
      <c r="AE1382" s="18">
        <v>0.0</v>
      </c>
      <c r="AF1382" s="18">
        <v>0.0</v>
      </c>
      <c r="AG1382" s="92">
        <v>0.0</v>
      </c>
      <c r="AH1382" s="18">
        <v>0.0</v>
      </c>
      <c r="AI1382" s="18">
        <v>0.0</v>
      </c>
      <c r="AJ1382" s="14">
        <v>0.0</v>
      </c>
      <c r="AK1382" s="18">
        <v>0.0</v>
      </c>
      <c r="AL1382" s="14">
        <v>0.0</v>
      </c>
      <c r="AM1382" s="22"/>
      <c r="AN1382" s="22"/>
      <c r="AO1382" s="22"/>
      <c r="AP1382" s="22"/>
    </row>
    <row r="1383" hidden="1">
      <c r="A1383" s="148">
        <v>46147.52083333333</v>
      </c>
      <c r="B1383" s="149">
        <v>46147.52083333333</v>
      </c>
      <c r="C1383" s="11" t="s">
        <v>58</v>
      </c>
      <c r="D1383" s="10" t="s">
        <v>3083</v>
      </c>
      <c r="E1383" s="10" t="s">
        <v>179</v>
      </c>
      <c r="F1383" s="10" t="s">
        <v>4195</v>
      </c>
      <c r="G1383" s="11" t="s">
        <v>4237</v>
      </c>
      <c r="H1383" s="11" t="s">
        <v>4211</v>
      </c>
      <c r="I1383" s="10" t="s">
        <v>61</v>
      </c>
      <c r="J1383" s="14">
        <v>3379.0</v>
      </c>
      <c r="K1383" s="14">
        <v>1918.0</v>
      </c>
      <c r="L1383" s="17">
        <v>0.5676235572654632</v>
      </c>
      <c r="M1383" s="150">
        <v>0.0</v>
      </c>
      <c r="N1383" s="136">
        <v>0.0</v>
      </c>
      <c r="O1383" s="18">
        <v>1.0</v>
      </c>
      <c r="P1383" s="92">
        <v>0.0</v>
      </c>
      <c r="Q1383" s="137">
        <v>5.0E-4</v>
      </c>
      <c r="R1383" s="17">
        <v>0.0</v>
      </c>
      <c r="S1383" s="18">
        <v>2.0</v>
      </c>
      <c r="T1383" s="18">
        <v>2.0</v>
      </c>
      <c r="U1383" s="151">
        <v>7401.0</v>
      </c>
      <c r="V1383" s="92" t="s">
        <v>183</v>
      </c>
      <c r="W1383" s="92" t="s">
        <v>3257</v>
      </c>
      <c r="X1383" s="92" t="s">
        <v>4213</v>
      </c>
      <c r="Y1383" s="92" t="s">
        <v>4221</v>
      </c>
      <c r="Z1383" s="18" t="s">
        <v>4238</v>
      </c>
      <c r="AA1383" s="92">
        <v>0.0</v>
      </c>
      <c r="AB1383" s="18">
        <v>0.0</v>
      </c>
      <c r="AC1383" s="18">
        <v>0.0</v>
      </c>
      <c r="AD1383" s="18">
        <v>0.0</v>
      </c>
      <c r="AE1383" s="18">
        <v>0.0</v>
      </c>
      <c r="AF1383" s="18">
        <v>0.0</v>
      </c>
      <c r="AG1383" s="92">
        <v>0.0</v>
      </c>
      <c r="AH1383" s="18">
        <v>0.0</v>
      </c>
      <c r="AI1383" s="18">
        <v>0.0</v>
      </c>
      <c r="AJ1383" s="14">
        <v>0.0</v>
      </c>
      <c r="AK1383" s="18">
        <v>0.0</v>
      </c>
      <c r="AL1383" s="14">
        <v>0.0</v>
      </c>
      <c r="AM1383" s="22"/>
      <c r="AN1383" s="22"/>
      <c r="AO1383" s="22"/>
      <c r="AP1383" s="22"/>
    </row>
    <row r="1384" hidden="1">
      <c r="A1384" s="148">
        <v>46147.52083333333</v>
      </c>
      <c r="B1384" s="149">
        <v>46147.52083333333</v>
      </c>
      <c r="C1384" s="11" t="s">
        <v>58</v>
      </c>
      <c r="D1384" s="10" t="s">
        <v>3083</v>
      </c>
      <c r="E1384" s="10" t="s">
        <v>179</v>
      </c>
      <c r="F1384" s="10" t="s">
        <v>4195</v>
      </c>
      <c r="G1384" s="11" t="s">
        <v>4239</v>
      </c>
      <c r="H1384" s="11" t="s">
        <v>4216</v>
      </c>
      <c r="I1384" s="10" t="s">
        <v>61</v>
      </c>
      <c r="J1384" s="14">
        <v>3691.0</v>
      </c>
      <c r="K1384" s="14">
        <v>2133.0</v>
      </c>
      <c r="L1384" s="17">
        <v>0.5778921701435925</v>
      </c>
      <c r="M1384" s="150">
        <v>0.0</v>
      </c>
      <c r="N1384" s="136">
        <v>0.0</v>
      </c>
      <c r="O1384" s="18">
        <v>1.0</v>
      </c>
      <c r="P1384" s="92">
        <v>0.0</v>
      </c>
      <c r="Q1384" s="137">
        <v>5.0E-4</v>
      </c>
      <c r="R1384" s="17">
        <v>0.0</v>
      </c>
      <c r="S1384" s="18">
        <v>0.0</v>
      </c>
      <c r="T1384" s="18">
        <v>0.0</v>
      </c>
      <c r="U1384" s="151">
        <v>0.0</v>
      </c>
      <c r="V1384" s="92" t="s">
        <v>183</v>
      </c>
      <c r="W1384" s="92" t="s">
        <v>3257</v>
      </c>
      <c r="X1384" s="92" t="s">
        <v>4218</v>
      </c>
      <c r="Y1384" s="92" t="s">
        <v>4221</v>
      </c>
      <c r="Z1384" s="18" t="s">
        <v>4240</v>
      </c>
      <c r="AA1384" s="92">
        <v>1.0</v>
      </c>
      <c r="AB1384" s="18">
        <v>1.0</v>
      </c>
      <c r="AC1384" s="18">
        <v>0.0</v>
      </c>
      <c r="AD1384" s="14">
        <v>1104.0</v>
      </c>
      <c r="AE1384" s="14">
        <v>1104.0</v>
      </c>
      <c r="AF1384" s="18">
        <v>0.0</v>
      </c>
      <c r="AG1384" s="92">
        <v>0.0</v>
      </c>
      <c r="AH1384" s="18">
        <v>0.0</v>
      </c>
      <c r="AI1384" s="18">
        <v>0.0</v>
      </c>
      <c r="AJ1384" s="14">
        <v>0.0</v>
      </c>
      <c r="AK1384" s="18">
        <v>0.0</v>
      </c>
      <c r="AL1384" s="14">
        <v>0.0</v>
      </c>
      <c r="AM1384" s="22"/>
      <c r="AN1384" s="22"/>
      <c r="AO1384" s="22"/>
      <c r="AP1384" s="22"/>
    </row>
    <row r="1385" hidden="1">
      <c r="A1385" s="148">
        <v>46149.625</v>
      </c>
      <c r="B1385" s="149">
        <v>46149.625</v>
      </c>
      <c r="C1385" s="11" t="s">
        <v>196</v>
      </c>
      <c r="D1385" s="10" t="s">
        <v>3243</v>
      </c>
      <c r="E1385" s="10" t="s">
        <v>179</v>
      </c>
      <c r="F1385" s="10" t="s">
        <v>4241</v>
      </c>
      <c r="G1385" s="11" t="s">
        <v>4242</v>
      </c>
      <c r="H1385" s="11" t="s">
        <v>4243</v>
      </c>
      <c r="I1385" s="10" t="s">
        <v>4244</v>
      </c>
      <c r="J1385" s="14">
        <v>169808.0</v>
      </c>
      <c r="K1385" s="14">
        <v>30992.0</v>
      </c>
      <c r="L1385" s="17">
        <v>0.18251201356826532</v>
      </c>
      <c r="M1385" s="150">
        <v>5027.0</v>
      </c>
      <c r="N1385" s="136">
        <v>0.16219999999999998</v>
      </c>
      <c r="O1385" s="18">
        <v>117.0</v>
      </c>
      <c r="P1385" s="92">
        <v>0.0</v>
      </c>
      <c r="Q1385" s="137">
        <v>0.0042</v>
      </c>
      <c r="R1385" s="17">
        <v>0.0</v>
      </c>
      <c r="S1385" s="18">
        <v>5.0</v>
      </c>
      <c r="T1385" s="18">
        <v>11.0</v>
      </c>
      <c r="U1385" s="151">
        <v>7981.0</v>
      </c>
      <c r="V1385" s="92" t="s">
        <v>315</v>
      </c>
      <c r="W1385" s="92" t="s">
        <v>3739</v>
      </c>
      <c r="X1385" s="92" t="s">
        <v>4245</v>
      </c>
      <c r="Y1385" s="92" t="s">
        <v>4246</v>
      </c>
      <c r="Z1385" s="18" t="s">
        <v>4247</v>
      </c>
      <c r="AA1385" s="152">
        <v>19.0</v>
      </c>
      <c r="AB1385" s="153"/>
      <c r="AC1385" s="152">
        <v>19.0</v>
      </c>
      <c r="AD1385" s="154">
        <v>552378.0</v>
      </c>
      <c r="AE1385" s="153"/>
      <c r="AF1385" s="154">
        <v>552378.0</v>
      </c>
      <c r="AG1385" s="22"/>
      <c r="AH1385" s="22"/>
      <c r="AI1385" s="22"/>
      <c r="AJ1385" s="22"/>
      <c r="AK1385" s="22"/>
      <c r="AL1385" s="22"/>
      <c r="AM1385" s="22"/>
      <c r="AN1385" s="22"/>
      <c r="AO1385" s="22"/>
      <c r="AP1385" s="22"/>
    </row>
    <row r="1386" hidden="1">
      <c r="A1386" s="148">
        <v>46149.625</v>
      </c>
      <c r="B1386" s="149">
        <v>46149.625</v>
      </c>
      <c r="C1386" s="11" t="s">
        <v>196</v>
      </c>
      <c r="D1386" s="10" t="s">
        <v>3243</v>
      </c>
      <c r="E1386" s="10" t="s">
        <v>179</v>
      </c>
      <c r="F1386" s="10" t="s">
        <v>4241</v>
      </c>
      <c r="G1386" s="11" t="s">
        <v>4248</v>
      </c>
      <c r="H1386" s="11" t="s">
        <v>4249</v>
      </c>
      <c r="I1386" s="10" t="s">
        <v>4250</v>
      </c>
      <c r="J1386" s="14">
        <v>7245.0</v>
      </c>
      <c r="K1386" s="14">
        <v>1338.0</v>
      </c>
      <c r="L1386" s="17">
        <v>0.18467908902691513</v>
      </c>
      <c r="M1386" s="150">
        <v>219.0</v>
      </c>
      <c r="N1386" s="136">
        <v>0.1637</v>
      </c>
      <c r="O1386" s="18">
        <v>30.0</v>
      </c>
      <c r="P1386" s="92">
        <v>0.0</v>
      </c>
      <c r="Q1386" s="137">
        <v>0.0262</v>
      </c>
      <c r="R1386" s="17">
        <v>0.0</v>
      </c>
      <c r="S1386" s="18">
        <v>12.0</v>
      </c>
      <c r="T1386" s="18">
        <v>55.0</v>
      </c>
      <c r="U1386" s="151">
        <v>22667.0</v>
      </c>
      <c r="V1386" s="92" t="s">
        <v>335</v>
      </c>
      <c r="W1386" s="92" t="s">
        <v>3739</v>
      </c>
      <c r="X1386" s="92" t="s">
        <v>4251</v>
      </c>
      <c r="Y1386" s="92" t="s">
        <v>4246</v>
      </c>
      <c r="Z1386" s="18" t="s">
        <v>4252</v>
      </c>
      <c r="AA1386" s="152">
        <v>23.0</v>
      </c>
      <c r="AB1386" s="152">
        <v>23.0</v>
      </c>
      <c r="AC1386" s="153"/>
      <c r="AD1386" s="154">
        <v>48612.0</v>
      </c>
      <c r="AE1386" s="154">
        <v>48612.0</v>
      </c>
      <c r="AF1386" s="155"/>
      <c r="AG1386" s="22"/>
      <c r="AH1386" s="22"/>
      <c r="AI1386" s="22"/>
      <c r="AJ1386" s="22"/>
      <c r="AK1386" s="22"/>
      <c r="AL1386" s="22"/>
      <c r="AM1386" s="22"/>
      <c r="AN1386" s="22"/>
      <c r="AO1386" s="22"/>
      <c r="AP1386" s="22"/>
    </row>
    <row r="1387" hidden="1">
      <c r="A1387" s="148">
        <v>46149.625</v>
      </c>
      <c r="B1387" s="149">
        <v>46149.625</v>
      </c>
      <c r="C1387" s="11" t="s">
        <v>196</v>
      </c>
      <c r="D1387" s="10" t="s">
        <v>3243</v>
      </c>
      <c r="E1387" s="10" t="s">
        <v>179</v>
      </c>
      <c r="F1387" s="10" t="s">
        <v>4241</v>
      </c>
      <c r="G1387" s="11" t="s">
        <v>4253</v>
      </c>
      <c r="H1387" s="11" t="s">
        <v>4254</v>
      </c>
      <c r="I1387" s="10" t="s">
        <v>4255</v>
      </c>
      <c r="J1387" s="14">
        <v>67042.0</v>
      </c>
      <c r="K1387" s="14">
        <v>14316.0</v>
      </c>
      <c r="L1387" s="17">
        <v>0.21353778228573134</v>
      </c>
      <c r="M1387" s="150">
        <v>1947.0</v>
      </c>
      <c r="N1387" s="136">
        <v>0.136</v>
      </c>
      <c r="O1387" s="18">
        <v>138.0</v>
      </c>
      <c r="P1387" s="92">
        <v>0.0</v>
      </c>
      <c r="Q1387" s="137">
        <v>0.0109</v>
      </c>
      <c r="R1387" s="17">
        <v>0.0</v>
      </c>
      <c r="S1387" s="18">
        <v>5.0</v>
      </c>
      <c r="T1387" s="18">
        <v>22.0</v>
      </c>
      <c r="U1387" s="151">
        <v>12168.0</v>
      </c>
      <c r="V1387" s="92" t="s">
        <v>335</v>
      </c>
      <c r="W1387" s="92" t="s">
        <v>3739</v>
      </c>
      <c r="X1387" s="92" t="s">
        <v>4256</v>
      </c>
      <c r="Y1387" s="92" t="s">
        <v>4246</v>
      </c>
      <c r="Z1387" s="18" t="s">
        <v>4257</v>
      </c>
      <c r="AA1387" s="152">
        <v>123.0</v>
      </c>
      <c r="AB1387" s="152">
        <v>123.0</v>
      </c>
      <c r="AC1387" s="153"/>
      <c r="AD1387" s="154">
        <v>513722.0</v>
      </c>
      <c r="AE1387" s="154">
        <v>513722.0</v>
      </c>
      <c r="AF1387" s="155"/>
      <c r="AG1387" s="22"/>
      <c r="AH1387" s="22"/>
      <c r="AI1387" s="22"/>
      <c r="AJ1387" s="22"/>
      <c r="AK1387" s="22"/>
      <c r="AL1387" s="22"/>
      <c r="AM1387" s="22"/>
      <c r="AN1387" s="22"/>
      <c r="AO1387" s="22"/>
      <c r="AP1387" s="22"/>
    </row>
    <row r="1388" hidden="1">
      <c r="A1388" s="148">
        <v>46149.625</v>
      </c>
      <c r="B1388" s="149">
        <v>46149.625</v>
      </c>
      <c r="C1388" s="11" t="s">
        <v>196</v>
      </c>
      <c r="D1388" s="10" t="s">
        <v>3243</v>
      </c>
      <c r="E1388" s="10" t="s">
        <v>179</v>
      </c>
      <c r="F1388" s="10" t="s">
        <v>4241</v>
      </c>
      <c r="G1388" s="11" t="s">
        <v>4258</v>
      </c>
      <c r="H1388" s="11" t="s">
        <v>4259</v>
      </c>
      <c r="I1388" s="10" t="s">
        <v>4260</v>
      </c>
      <c r="J1388" s="14">
        <v>32426.0</v>
      </c>
      <c r="K1388" s="14">
        <v>4029.0</v>
      </c>
      <c r="L1388" s="17">
        <v>0.12425214334176278</v>
      </c>
      <c r="M1388" s="150">
        <v>847.0</v>
      </c>
      <c r="N1388" s="136">
        <v>0.2102</v>
      </c>
      <c r="O1388" s="18">
        <v>39.0</v>
      </c>
      <c r="P1388" s="92">
        <v>0.0</v>
      </c>
      <c r="Q1388" s="137">
        <v>0.0104</v>
      </c>
      <c r="R1388" s="17">
        <v>0.0</v>
      </c>
      <c r="S1388" s="18">
        <v>2.0</v>
      </c>
      <c r="T1388" s="18">
        <v>9.0</v>
      </c>
      <c r="U1388" s="151">
        <v>2971.0</v>
      </c>
      <c r="V1388" s="92" t="s">
        <v>335</v>
      </c>
      <c r="W1388" s="92" t="s">
        <v>3739</v>
      </c>
      <c r="X1388" s="92" t="s">
        <v>4261</v>
      </c>
      <c r="Y1388" s="92" t="s">
        <v>4246</v>
      </c>
      <c r="Z1388" s="18" t="s">
        <v>4262</v>
      </c>
      <c r="AA1388" s="152">
        <v>35.0</v>
      </c>
      <c r="AB1388" s="152">
        <v>35.0</v>
      </c>
      <c r="AC1388" s="153"/>
      <c r="AD1388" s="154">
        <v>1954578.0</v>
      </c>
      <c r="AE1388" s="154">
        <v>1954578.0</v>
      </c>
      <c r="AF1388" s="155"/>
      <c r="AG1388" s="22"/>
      <c r="AH1388" s="22"/>
      <c r="AI1388" s="22"/>
      <c r="AJ1388" s="22"/>
      <c r="AK1388" s="22"/>
      <c r="AL1388" s="22"/>
      <c r="AM1388" s="22"/>
      <c r="AN1388" s="22"/>
      <c r="AO1388" s="22"/>
      <c r="AP1388" s="22"/>
    </row>
    <row r="1389" hidden="1">
      <c r="A1389" s="148">
        <v>46149.625</v>
      </c>
      <c r="B1389" s="149">
        <v>46149.625</v>
      </c>
      <c r="C1389" s="11" t="s">
        <v>196</v>
      </c>
      <c r="D1389" s="10" t="s">
        <v>3243</v>
      </c>
      <c r="E1389" s="10" t="s">
        <v>179</v>
      </c>
      <c r="F1389" s="10" t="s">
        <v>4241</v>
      </c>
      <c r="G1389" s="11" t="s">
        <v>4263</v>
      </c>
      <c r="H1389" s="11" t="s">
        <v>4264</v>
      </c>
      <c r="I1389" s="10" t="s">
        <v>4265</v>
      </c>
      <c r="J1389" s="14">
        <v>108612.0</v>
      </c>
      <c r="K1389" s="14">
        <v>19441.0</v>
      </c>
      <c r="L1389" s="17">
        <v>0.1789949545169963</v>
      </c>
      <c r="M1389" s="150">
        <v>3136.0</v>
      </c>
      <c r="N1389" s="136">
        <v>0.1613</v>
      </c>
      <c r="O1389" s="18">
        <v>132.0</v>
      </c>
      <c r="P1389" s="92">
        <v>0.0</v>
      </c>
      <c r="Q1389" s="137">
        <v>0.0076</v>
      </c>
      <c r="R1389" s="17">
        <v>0.0</v>
      </c>
      <c r="S1389" s="18">
        <v>10.0</v>
      </c>
      <c r="T1389" s="18">
        <v>14.0</v>
      </c>
      <c r="U1389" s="151">
        <v>27090.0</v>
      </c>
      <c r="V1389" s="92" t="s">
        <v>335</v>
      </c>
      <c r="W1389" s="92" t="s">
        <v>3739</v>
      </c>
      <c r="X1389" s="92" t="s">
        <v>111</v>
      </c>
      <c r="Y1389" s="92" t="s">
        <v>4246</v>
      </c>
      <c r="Z1389" s="18" t="s">
        <v>4266</v>
      </c>
      <c r="AA1389" s="152">
        <v>66.0</v>
      </c>
      <c r="AB1389" s="152">
        <v>66.0</v>
      </c>
      <c r="AC1389" s="153"/>
      <c r="AD1389" s="154">
        <v>295226.0</v>
      </c>
      <c r="AE1389" s="154">
        <v>295226.0</v>
      </c>
      <c r="AF1389" s="153"/>
      <c r="AG1389" s="22"/>
      <c r="AH1389" s="22"/>
      <c r="AI1389" s="22"/>
      <c r="AJ1389" s="22"/>
      <c r="AK1389" s="22"/>
      <c r="AL1389" s="22"/>
      <c r="AM1389" s="22"/>
      <c r="AN1389" s="22"/>
      <c r="AO1389" s="22"/>
      <c r="AP1389" s="22"/>
    </row>
    <row r="1390" hidden="1">
      <c r="A1390" s="148">
        <v>46149.6875</v>
      </c>
      <c r="B1390" s="149">
        <v>46149.6875</v>
      </c>
      <c r="C1390" s="11" t="s">
        <v>32</v>
      </c>
      <c r="D1390" s="10" t="s">
        <v>3083</v>
      </c>
      <c r="E1390" s="10" t="s">
        <v>179</v>
      </c>
      <c r="F1390" s="10" t="s">
        <v>4267</v>
      </c>
      <c r="G1390" s="11" t="s">
        <v>4268</v>
      </c>
      <c r="H1390" s="11" t="s">
        <v>4243</v>
      </c>
      <c r="I1390" s="10" t="s">
        <v>2956</v>
      </c>
      <c r="J1390" s="14">
        <v>139165.0</v>
      </c>
      <c r="K1390" s="14">
        <v>83853.0</v>
      </c>
      <c r="L1390" s="17">
        <v>0.6025</v>
      </c>
      <c r="M1390" s="150">
        <v>18704.0</v>
      </c>
      <c r="N1390" s="136">
        <v>0.2231</v>
      </c>
      <c r="O1390" s="18">
        <v>1247.0</v>
      </c>
      <c r="P1390" s="92">
        <v>1149.0</v>
      </c>
      <c r="Q1390" s="137">
        <v>0.0137</v>
      </c>
      <c r="R1390" s="17">
        <v>0.061399999999999996</v>
      </c>
      <c r="S1390" s="18">
        <v>35.0</v>
      </c>
      <c r="T1390" s="18">
        <v>102.0</v>
      </c>
      <c r="U1390" s="151">
        <v>93276.0</v>
      </c>
      <c r="V1390" s="92" t="s">
        <v>315</v>
      </c>
      <c r="W1390" s="92" t="s">
        <v>76</v>
      </c>
      <c r="X1390" s="92" t="s">
        <v>4245</v>
      </c>
      <c r="Y1390" s="92" t="s">
        <v>4246</v>
      </c>
      <c r="Z1390" s="18" t="s">
        <v>4269</v>
      </c>
      <c r="AA1390" s="152">
        <v>54.0</v>
      </c>
      <c r="AB1390" s="156"/>
      <c r="AC1390" s="157">
        <v>54.0</v>
      </c>
      <c r="AD1390" s="154">
        <v>983730.0</v>
      </c>
      <c r="AE1390" s="155"/>
      <c r="AF1390" s="157">
        <v>983730.0</v>
      </c>
      <c r="AG1390" s="22"/>
      <c r="AH1390" s="22"/>
      <c r="AI1390" s="22"/>
      <c r="AJ1390" s="22"/>
      <c r="AK1390" s="22"/>
      <c r="AL1390" s="22"/>
      <c r="AM1390" s="22"/>
      <c r="AN1390" s="22"/>
      <c r="AO1390" s="22"/>
      <c r="AP1390" s="22"/>
    </row>
    <row r="1391" hidden="1">
      <c r="A1391" s="148">
        <v>46149.69097222222</v>
      </c>
      <c r="B1391" s="149">
        <v>46149.69097222222</v>
      </c>
      <c r="C1391" s="11" t="s">
        <v>32</v>
      </c>
      <c r="D1391" s="10" t="s">
        <v>3083</v>
      </c>
      <c r="E1391" s="10" t="s">
        <v>179</v>
      </c>
      <c r="F1391" s="10" t="s">
        <v>4267</v>
      </c>
      <c r="G1391" s="11" t="s">
        <v>4270</v>
      </c>
      <c r="H1391" s="11" t="s">
        <v>4249</v>
      </c>
      <c r="I1391" s="10" t="s">
        <v>2956</v>
      </c>
      <c r="J1391" s="14">
        <v>5860.0</v>
      </c>
      <c r="K1391" s="14">
        <v>3564.0</v>
      </c>
      <c r="L1391" s="17">
        <v>0.6082</v>
      </c>
      <c r="M1391" s="150">
        <v>1027.0</v>
      </c>
      <c r="N1391" s="136">
        <v>0.2882</v>
      </c>
      <c r="O1391" s="18">
        <v>248.0</v>
      </c>
      <c r="P1391" s="92">
        <v>216.0</v>
      </c>
      <c r="Q1391" s="137">
        <v>0.060599999999999994</v>
      </c>
      <c r="R1391" s="17">
        <v>0.21030000000000001</v>
      </c>
      <c r="S1391" s="18">
        <v>36.0</v>
      </c>
      <c r="T1391" s="18">
        <v>107.0</v>
      </c>
      <c r="U1391" s="151">
        <v>90782.0</v>
      </c>
      <c r="V1391" s="92" t="s">
        <v>335</v>
      </c>
      <c r="W1391" s="92" t="s">
        <v>76</v>
      </c>
      <c r="X1391" s="92" t="s">
        <v>4251</v>
      </c>
      <c r="Y1391" s="92" t="s">
        <v>4246</v>
      </c>
      <c r="Z1391" s="18" t="s">
        <v>4271</v>
      </c>
      <c r="AA1391" s="152">
        <v>62.0</v>
      </c>
      <c r="AB1391" s="152">
        <v>62.0</v>
      </c>
      <c r="AC1391" s="153"/>
      <c r="AD1391" s="154">
        <v>242089.0</v>
      </c>
      <c r="AE1391" s="154">
        <v>242089.0</v>
      </c>
      <c r="AF1391" s="153"/>
      <c r="AG1391" s="22"/>
      <c r="AH1391" s="22"/>
      <c r="AI1391" s="22"/>
      <c r="AJ1391" s="22"/>
      <c r="AK1391" s="22"/>
      <c r="AL1391" s="22"/>
      <c r="AM1391" s="22"/>
      <c r="AN1391" s="22"/>
      <c r="AO1391" s="22"/>
      <c r="AP1391" s="22"/>
    </row>
    <row r="1392" hidden="1">
      <c r="A1392" s="148">
        <v>46149.694444444445</v>
      </c>
      <c r="B1392" s="149">
        <v>46149.694444444445</v>
      </c>
      <c r="C1392" s="11" t="s">
        <v>32</v>
      </c>
      <c r="D1392" s="10" t="s">
        <v>3083</v>
      </c>
      <c r="E1392" s="10" t="s">
        <v>179</v>
      </c>
      <c r="F1392" s="10" t="s">
        <v>4267</v>
      </c>
      <c r="G1392" s="11" t="s">
        <v>4272</v>
      </c>
      <c r="H1392" s="11" t="s">
        <v>4254</v>
      </c>
      <c r="I1392" s="10" t="s">
        <v>2956</v>
      </c>
      <c r="J1392" s="14">
        <v>52392.0</v>
      </c>
      <c r="K1392" s="14">
        <v>28451.0</v>
      </c>
      <c r="L1392" s="17">
        <v>0.5429999999999999</v>
      </c>
      <c r="M1392" s="150">
        <v>6106.0</v>
      </c>
      <c r="N1392" s="136">
        <v>0.2146</v>
      </c>
      <c r="O1392" s="18">
        <v>846.0</v>
      </c>
      <c r="P1392" s="92">
        <v>749.0</v>
      </c>
      <c r="Q1392" s="137">
        <v>0.0263</v>
      </c>
      <c r="R1392" s="17">
        <v>0.12269999999999999</v>
      </c>
      <c r="S1392" s="18">
        <v>32.0</v>
      </c>
      <c r="T1392" s="18">
        <v>58.0</v>
      </c>
      <c r="U1392" s="151">
        <v>82658.0</v>
      </c>
      <c r="V1392" s="92" t="s">
        <v>335</v>
      </c>
      <c r="W1392" s="92" t="s">
        <v>76</v>
      </c>
      <c r="X1392" s="92" t="s">
        <v>4256</v>
      </c>
      <c r="Y1392" s="92" t="s">
        <v>4246</v>
      </c>
      <c r="Z1392" s="18" t="s">
        <v>4273</v>
      </c>
      <c r="AA1392" s="152">
        <v>289.0</v>
      </c>
      <c r="AB1392" s="152">
        <v>289.0</v>
      </c>
      <c r="AC1392" s="153"/>
      <c r="AD1392" s="154">
        <v>1111571.0</v>
      </c>
      <c r="AE1392" s="154">
        <v>1111571.0</v>
      </c>
      <c r="AF1392" s="153"/>
      <c r="AG1392" s="22"/>
      <c r="AH1392" s="22"/>
      <c r="AI1392" s="22"/>
      <c r="AJ1392" s="22"/>
      <c r="AK1392" s="22"/>
      <c r="AL1392" s="22"/>
      <c r="AM1392" s="22"/>
      <c r="AN1392" s="22"/>
      <c r="AO1392" s="22"/>
      <c r="AP1392" s="22"/>
    </row>
    <row r="1393" hidden="1">
      <c r="A1393" s="148">
        <v>46149.697222222225</v>
      </c>
      <c r="B1393" s="149">
        <v>46149.697222222225</v>
      </c>
      <c r="C1393" s="11" t="s">
        <v>32</v>
      </c>
      <c r="D1393" s="10" t="s">
        <v>3083</v>
      </c>
      <c r="E1393" s="10" t="s">
        <v>179</v>
      </c>
      <c r="F1393" s="10" t="s">
        <v>4267</v>
      </c>
      <c r="G1393" s="11" t="s">
        <v>4274</v>
      </c>
      <c r="H1393" s="11" t="s">
        <v>4259</v>
      </c>
      <c r="I1393" s="10" t="s">
        <v>2956</v>
      </c>
      <c r="J1393" s="14">
        <v>28218.0</v>
      </c>
      <c r="K1393" s="14">
        <v>13481.0</v>
      </c>
      <c r="L1393" s="17">
        <v>0.4777</v>
      </c>
      <c r="M1393" s="150">
        <v>2467.0</v>
      </c>
      <c r="N1393" s="136">
        <v>0.183</v>
      </c>
      <c r="O1393" s="18">
        <v>273.0</v>
      </c>
      <c r="P1393" s="92">
        <v>245.0</v>
      </c>
      <c r="Q1393" s="137">
        <v>0.0182</v>
      </c>
      <c r="R1393" s="17">
        <v>0.0993</v>
      </c>
      <c r="S1393" s="18">
        <v>18.0</v>
      </c>
      <c r="T1393" s="18">
        <v>38.0</v>
      </c>
      <c r="U1393" s="151">
        <v>111955.0</v>
      </c>
      <c r="V1393" s="92" t="s">
        <v>335</v>
      </c>
      <c r="W1393" s="92" t="s">
        <v>76</v>
      </c>
      <c r="X1393" s="92" t="s">
        <v>4261</v>
      </c>
      <c r="Y1393" s="92" t="s">
        <v>4246</v>
      </c>
      <c r="Z1393" s="18" t="s">
        <v>4275</v>
      </c>
      <c r="AA1393" s="152">
        <v>99.0</v>
      </c>
      <c r="AB1393" s="152">
        <v>99.0</v>
      </c>
      <c r="AC1393" s="153"/>
      <c r="AD1393" s="154">
        <v>585198.0</v>
      </c>
      <c r="AE1393" s="154">
        <v>585198.0</v>
      </c>
      <c r="AF1393" s="153"/>
      <c r="AG1393" s="22"/>
      <c r="AH1393" s="22"/>
      <c r="AI1393" s="22"/>
      <c r="AJ1393" s="22"/>
      <c r="AK1393" s="22"/>
      <c r="AL1393" s="22"/>
      <c r="AM1393" s="22"/>
      <c r="AN1393" s="22"/>
      <c r="AO1393" s="22"/>
      <c r="AP1393" s="22"/>
    </row>
    <row r="1394" hidden="1">
      <c r="A1394" s="148">
        <v>46149.70138888889</v>
      </c>
      <c r="B1394" s="149">
        <v>46149.70138888889</v>
      </c>
      <c r="C1394" s="11" t="s">
        <v>32</v>
      </c>
      <c r="D1394" s="10" t="s">
        <v>3083</v>
      </c>
      <c r="E1394" s="10" t="s">
        <v>179</v>
      </c>
      <c r="F1394" s="10" t="s">
        <v>4267</v>
      </c>
      <c r="G1394" s="11" t="s">
        <v>4276</v>
      </c>
      <c r="H1394" s="11" t="s">
        <v>4264</v>
      </c>
      <c r="I1394" s="10" t="s">
        <v>2956</v>
      </c>
      <c r="J1394" s="14">
        <v>88630.0</v>
      </c>
      <c r="K1394" s="14">
        <v>47149.0</v>
      </c>
      <c r="L1394" s="17">
        <v>0.532</v>
      </c>
      <c r="M1394" s="150">
        <v>9859.0</v>
      </c>
      <c r="N1394" s="136">
        <v>0.2091</v>
      </c>
      <c r="O1394" s="18">
        <v>1029.0</v>
      </c>
      <c r="P1394" s="92">
        <v>919.0</v>
      </c>
      <c r="Q1394" s="137">
        <v>0.0195</v>
      </c>
      <c r="R1394" s="17">
        <v>0.0932</v>
      </c>
      <c r="S1394" s="18">
        <v>24.0</v>
      </c>
      <c r="T1394" s="18">
        <v>59.0</v>
      </c>
      <c r="U1394" s="151">
        <v>85915.0</v>
      </c>
      <c r="V1394" s="92" t="s">
        <v>335</v>
      </c>
      <c r="W1394" s="92" t="s">
        <v>76</v>
      </c>
      <c r="X1394" s="92" t="s">
        <v>111</v>
      </c>
      <c r="Y1394" s="92" t="s">
        <v>4246</v>
      </c>
      <c r="Z1394" s="18" t="s">
        <v>4277</v>
      </c>
      <c r="AA1394" s="152">
        <v>175.0</v>
      </c>
      <c r="AB1394" s="152">
        <v>175.0</v>
      </c>
      <c r="AC1394" s="153"/>
      <c r="AD1394" s="154">
        <v>968755.0</v>
      </c>
      <c r="AE1394" s="154">
        <v>968755.0</v>
      </c>
      <c r="AF1394" s="153"/>
      <c r="AG1394" s="22"/>
      <c r="AH1394" s="22"/>
      <c r="AI1394" s="22"/>
      <c r="AJ1394" s="22"/>
      <c r="AK1394" s="22"/>
      <c r="AL1394" s="22"/>
      <c r="AM1394" s="22"/>
      <c r="AN1394" s="22"/>
      <c r="AO1394" s="22"/>
      <c r="AP1394" s="22"/>
    </row>
    <row r="1395" hidden="1">
      <c r="A1395" s="148">
        <v>46149.70833333333</v>
      </c>
      <c r="B1395" s="149">
        <v>46149.70833333333</v>
      </c>
      <c r="C1395" s="11" t="s">
        <v>32</v>
      </c>
      <c r="D1395" s="10" t="s">
        <v>3243</v>
      </c>
      <c r="E1395" s="10" t="s">
        <v>71</v>
      </c>
      <c r="F1395" s="10" t="s">
        <v>4278</v>
      </c>
      <c r="G1395" s="11" t="s">
        <v>4279</v>
      </c>
      <c r="H1395" s="11" t="s">
        <v>4280</v>
      </c>
      <c r="I1395" s="10" t="s">
        <v>2579</v>
      </c>
      <c r="J1395" s="14">
        <v>38240.0</v>
      </c>
      <c r="K1395" s="14">
        <v>12784.0</v>
      </c>
      <c r="L1395" s="17">
        <v>0.3343</v>
      </c>
      <c r="M1395" s="150">
        <v>5742.0</v>
      </c>
      <c r="N1395" s="136">
        <v>0.44920000000000004</v>
      </c>
      <c r="O1395" s="18">
        <v>614.0</v>
      </c>
      <c r="P1395" s="92">
        <v>560.0</v>
      </c>
      <c r="Q1395" s="137">
        <v>0.0438</v>
      </c>
      <c r="R1395" s="17">
        <v>0.0975</v>
      </c>
      <c r="S1395" s="18">
        <v>32.0</v>
      </c>
      <c r="T1395" s="18">
        <v>59.0</v>
      </c>
      <c r="U1395" s="151">
        <v>89247.0</v>
      </c>
      <c r="V1395" s="92" t="s">
        <v>335</v>
      </c>
      <c r="W1395" s="92" t="s">
        <v>76</v>
      </c>
      <c r="X1395" s="92" t="s">
        <v>2580</v>
      </c>
      <c r="Y1395" s="92" t="s">
        <v>4281</v>
      </c>
      <c r="Z1395" s="18" t="s">
        <v>4282</v>
      </c>
      <c r="AA1395" s="92">
        <v>95.0</v>
      </c>
      <c r="AB1395" s="18">
        <v>95.0</v>
      </c>
      <c r="AC1395" s="52"/>
      <c r="AD1395" s="14">
        <v>240018.0</v>
      </c>
      <c r="AE1395" s="14">
        <v>240018.0</v>
      </c>
      <c r="AF1395" s="52"/>
      <c r="AG1395" s="22"/>
      <c r="AH1395" s="22"/>
      <c r="AI1395" s="22"/>
      <c r="AJ1395" s="22"/>
      <c r="AK1395" s="22"/>
      <c r="AL1395" s="22"/>
      <c r="AM1395" s="22"/>
      <c r="AN1395" s="22"/>
      <c r="AO1395" s="22"/>
      <c r="AP1395" s="22"/>
    </row>
    <row r="1396" hidden="1">
      <c r="A1396" s="148">
        <v>46149.70833333333</v>
      </c>
      <c r="B1396" s="149">
        <v>46149.70833333333</v>
      </c>
      <c r="C1396" s="11" t="s">
        <v>32</v>
      </c>
      <c r="D1396" s="10" t="s">
        <v>3243</v>
      </c>
      <c r="E1396" s="10" t="s">
        <v>71</v>
      </c>
      <c r="F1396" s="10" t="s">
        <v>4278</v>
      </c>
      <c r="G1396" s="11" t="s">
        <v>4283</v>
      </c>
      <c r="H1396" s="11" t="s">
        <v>4284</v>
      </c>
      <c r="I1396" s="140" t="s">
        <v>4285</v>
      </c>
      <c r="J1396" s="14">
        <v>6236.0</v>
      </c>
      <c r="K1396" s="14">
        <v>2661.0</v>
      </c>
      <c r="L1396" s="17">
        <v>0.4267</v>
      </c>
      <c r="M1396" s="150">
        <v>1238.0</v>
      </c>
      <c r="N1396" s="136">
        <v>0.46520000000000006</v>
      </c>
      <c r="O1396" s="18">
        <v>224.0</v>
      </c>
      <c r="P1396" s="92">
        <v>206.0</v>
      </c>
      <c r="Q1396" s="137">
        <v>0.0774</v>
      </c>
      <c r="R1396" s="17">
        <v>0.1664</v>
      </c>
      <c r="S1396" s="18">
        <v>35.0</v>
      </c>
      <c r="T1396" s="18">
        <v>123.0</v>
      </c>
      <c r="U1396" s="151">
        <v>81487.0</v>
      </c>
      <c r="V1396" s="92" t="s">
        <v>335</v>
      </c>
      <c r="W1396" s="92" t="s">
        <v>76</v>
      </c>
      <c r="X1396" s="158" t="s">
        <v>4286</v>
      </c>
      <c r="Y1396" s="92" t="s">
        <v>4281</v>
      </c>
      <c r="Z1396" s="18" t="s">
        <v>4287</v>
      </c>
      <c r="AA1396" s="92">
        <v>43.0</v>
      </c>
      <c r="AB1396" s="18">
        <v>43.0</v>
      </c>
      <c r="AC1396" s="52"/>
      <c r="AD1396" s="14">
        <v>89260.0</v>
      </c>
      <c r="AE1396" s="14">
        <v>89260.0</v>
      </c>
      <c r="AF1396" s="52"/>
      <c r="AG1396" s="22"/>
      <c r="AH1396" s="22"/>
      <c r="AI1396" s="22"/>
      <c r="AJ1396" s="22"/>
      <c r="AK1396" s="22"/>
      <c r="AL1396" s="22"/>
      <c r="AM1396" s="22"/>
      <c r="AN1396" s="22"/>
      <c r="AO1396" s="22"/>
      <c r="AP1396" s="22"/>
    </row>
    <row r="1397" hidden="1">
      <c r="A1397" s="148">
        <v>46149.70833333333</v>
      </c>
      <c r="B1397" s="149">
        <v>46149.70833333333</v>
      </c>
      <c r="C1397" s="11" t="s">
        <v>32</v>
      </c>
      <c r="D1397" s="10" t="s">
        <v>3243</v>
      </c>
      <c r="E1397" s="10" t="s">
        <v>71</v>
      </c>
      <c r="F1397" s="10" t="s">
        <v>4278</v>
      </c>
      <c r="G1397" s="11" t="s">
        <v>4288</v>
      </c>
      <c r="H1397" s="11" t="s">
        <v>4289</v>
      </c>
      <c r="I1397" s="140" t="s">
        <v>4290</v>
      </c>
      <c r="J1397" s="14">
        <v>23866.0</v>
      </c>
      <c r="K1397" s="14">
        <v>8807.0</v>
      </c>
      <c r="L1397" s="17">
        <v>0.369</v>
      </c>
      <c r="M1397" s="150">
        <v>3329.0</v>
      </c>
      <c r="N1397" s="136">
        <v>0.37799999999999995</v>
      </c>
      <c r="O1397" s="18">
        <v>300.0</v>
      </c>
      <c r="P1397" s="92">
        <v>261.0</v>
      </c>
      <c r="Q1397" s="137">
        <v>0.0296</v>
      </c>
      <c r="R1397" s="17">
        <v>0.0784</v>
      </c>
      <c r="S1397" s="18">
        <v>5.0</v>
      </c>
      <c r="T1397" s="18">
        <v>9.0</v>
      </c>
      <c r="U1397" s="151">
        <v>10211.0</v>
      </c>
      <c r="V1397" s="92" t="s">
        <v>335</v>
      </c>
      <c r="W1397" s="92" t="s">
        <v>76</v>
      </c>
      <c r="X1397" s="158" t="s">
        <v>52</v>
      </c>
      <c r="Y1397" s="92" t="s">
        <v>4281</v>
      </c>
      <c r="Z1397" s="18" t="s">
        <v>4291</v>
      </c>
      <c r="AA1397" s="92">
        <v>36.0</v>
      </c>
      <c r="AB1397" s="18">
        <v>36.0</v>
      </c>
      <c r="AC1397" s="52"/>
      <c r="AD1397" s="14">
        <v>121695.0</v>
      </c>
      <c r="AE1397" s="14">
        <v>121695.0</v>
      </c>
      <c r="AF1397" s="52"/>
      <c r="AG1397" s="22"/>
      <c r="AH1397" s="22"/>
      <c r="AI1397" s="22"/>
      <c r="AJ1397" s="22"/>
      <c r="AK1397" s="22"/>
      <c r="AL1397" s="22"/>
      <c r="AM1397" s="22"/>
      <c r="AN1397" s="22"/>
      <c r="AO1397" s="22"/>
      <c r="AP1397" s="22"/>
    </row>
    <row r="1398" hidden="1">
      <c r="A1398" s="148">
        <v>46149.79166666667</v>
      </c>
      <c r="B1398" s="149">
        <v>46149.79166666667</v>
      </c>
      <c r="C1398" s="11" t="s">
        <v>58</v>
      </c>
      <c r="D1398" s="10" t="s">
        <v>3243</v>
      </c>
      <c r="E1398" s="10" t="s">
        <v>1998</v>
      </c>
      <c r="F1398" s="10" t="s">
        <v>4292</v>
      </c>
      <c r="G1398" s="11" t="s">
        <v>4293</v>
      </c>
      <c r="H1398" s="11" t="s">
        <v>4294</v>
      </c>
      <c r="I1398" s="10" t="s">
        <v>4295</v>
      </c>
      <c r="J1398" s="14">
        <v>12127.0</v>
      </c>
      <c r="K1398" s="14">
        <v>7250.0</v>
      </c>
      <c r="L1398" s="17">
        <v>0.5978395316236497</v>
      </c>
      <c r="M1398" s="150">
        <v>0.0</v>
      </c>
      <c r="N1398" s="136">
        <v>0.0</v>
      </c>
      <c r="O1398" s="18">
        <v>9.0</v>
      </c>
      <c r="P1398" s="92">
        <v>0.0</v>
      </c>
      <c r="Q1398" s="137">
        <v>0.0012</v>
      </c>
      <c r="R1398" s="17">
        <v>0.0</v>
      </c>
      <c r="S1398" s="18">
        <v>3.0</v>
      </c>
      <c r="T1398" s="18">
        <v>10.0</v>
      </c>
      <c r="U1398" s="151">
        <v>17596.0</v>
      </c>
      <c r="V1398" s="92" t="s">
        <v>183</v>
      </c>
      <c r="W1398" s="92" t="s">
        <v>3257</v>
      </c>
      <c r="X1398" s="92" t="s">
        <v>4296</v>
      </c>
      <c r="Y1398" s="92" t="s">
        <v>4297</v>
      </c>
      <c r="Z1398" s="18" t="s">
        <v>4298</v>
      </c>
      <c r="AA1398" s="92">
        <v>56.0</v>
      </c>
      <c r="AB1398" s="18">
        <v>40.0</v>
      </c>
      <c r="AC1398" s="18">
        <v>16.0</v>
      </c>
      <c r="AD1398" s="14">
        <v>49342.0</v>
      </c>
      <c r="AE1398" s="14">
        <v>44491.0</v>
      </c>
      <c r="AF1398" s="14">
        <v>4851.0</v>
      </c>
      <c r="AG1398" s="22"/>
      <c r="AH1398" s="22"/>
      <c r="AI1398" s="22"/>
      <c r="AJ1398" s="22"/>
      <c r="AK1398" s="22"/>
      <c r="AL1398" s="22"/>
      <c r="AM1398" s="22"/>
      <c r="AN1398" s="22"/>
      <c r="AO1398" s="22"/>
      <c r="AP1398" s="22"/>
    </row>
    <row r="1399" hidden="1">
      <c r="A1399" s="148">
        <v>46149.83333333333</v>
      </c>
      <c r="B1399" s="149">
        <v>46149.83333333333</v>
      </c>
      <c r="C1399" s="11" t="s">
        <v>58</v>
      </c>
      <c r="D1399" s="10" t="s">
        <v>3083</v>
      </c>
      <c r="E1399" s="10" t="s">
        <v>71</v>
      </c>
      <c r="F1399" s="10" t="s">
        <v>4299</v>
      </c>
      <c r="G1399" s="11" t="s">
        <v>4300</v>
      </c>
      <c r="H1399" s="11" t="s">
        <v>4280</v>
      </c>
      <c r="I1399" s="10" t="s">
        <v>61</v>
      </c>
      <c r="J1399" s="14">
        <v>25108.0</v>
      </c>
      <c r="K1399" s="14">
        <v>13782.0</v>
      </c>
      <c r="L1399" s="17">
        <v>0.5489087143539908</v>
      </c>
      <c r="M1399" s="150">
        <v>0.0</v>
      </c>
      <c r="N1399" s="136">
        <v>0.0</v>
      </c>
      <c r="O1399" s="18">
        <v>52.0</v>
      </c>
      <c r="P1399" s="92">
        <v>0.0</v>
      </c>
      <c r="Q1399" s="137">
        <v>0.0038</v>
      </c>
      <c r="R1399" s="17">
        <v>0.0</v>
      </c>
      <c r="S1399" s="18">
        <v>10.0</v>
      </c>
      <c r="T1399" s="18">
        <v>28.0</v>
      </c>
      <c r="U1399" s="151">
        <v>26971.0</v>
      </c>
      <c r="V1399" s="92" t="s">
        <v>335</v>
      </c>
      <c r="W1399" s="92" t="s">
        <v>3257</v>
      </c>
      <c r="X1399" s="92" t="s">
        <v>2580</v>
      </c>
      <c r="Y1399" s="159">
        <v>46149.0</v>
      </c>
      <c r="Z1399" s="18" t="s">
        <v>4301</v>
      </c>
      <c r="AA1399" s="92">
        <v>47.0</v>
      </c>
      <c r="AB1399" s="18">
        <v>47.0</v>
      </c>
      <c r="AC1399" s="52"/>
      <c r="AD1399" s="14">
        <v>104719.0</v>
      </c>
      <c r="AE1399" s="14">
        <v>104719.0</v>
      </c>
      <c r="AF1399" s="52"/>
      <c r="AG1399" s="22"/>
      <c r="AH1399" s="22"/>
      <c r="AI1399" s="22"/>
      <c r="AJ1399" s="22"/>
      <c r="AK1399" s="22"/>
      <c r="AL1399" s="22"/>
      <c r="AM1399" s="22"/>
      <c r="AN1399" s="22"/>
      <c r="AO1399" s="22"/>
      <c r="AP1399" s="22"/>
    </row>
    <row r="1400" hidden="1">
      <c r="A1400" s="148">
        <v>46149.83333333333</v>
      </c>
      <c r="B1400" s="149">
        <v>46149.83333333333</v>
      </c>
      <c r="C1400" s="11" t="s">
        <v>58</v>
      </c>
      <c r="D1400" s="10" t="s">
        <v>3083</v>
      </c>
      <c r="E1400" s="10" t="s">
        <v>71</v>
      </c>
      <c r="F1400" s="10" t="s">
        <v>4299</v>
      </c>
      <c r="G1400" s="11" t="s">
        <v>4302</v>
      </c>
      <c r="H1400" s="11" t="s">
        <v>4284</v>
      </c>
      <c r="I1400" s="10" t="s">
        <v>61</v>
      </c>
      <c r="J1400" s="14">
        <v>3497.0</v>
      </c>
      <c r="K1400" s="14">
        <v>2288.0</v>
      </c>
      <c r="L1400" s="17">
        <v>0.654275092936803</v>
      </c>
      <c r="M1400" s="150">
        <v>0.0</v>
      </c>
      <c r="N1400" s="136">
        <v>0.0</v>
      </c>
      <c r="O1400" s="18">
        <v>7.0</v>
      </c>
      <c r="P1400" s="92">
        <v>0.0</v>
      </c>
      <c r="Q1400" s="137">
        <v>0.0031</v>
      </c>
      <c r="R1400" s="17">
        <v>0.0</v>
      </c>
      <c r="S1400" s="18">
        <v>8.0</v>
      </c>
      <c r="T1400" s="18">
        <v>59.0</v>
      </c>
      <c r="U1400" s="151">
        <v>18391.0</v>
      </c>
      <c r="V1400" s="92" t="s">
        <v>335</v>
      </c>
      <c r="W1400" s="92" t="s">
        <v>3257</v>
      </c>
      <c r="X1400" s="42" t="s">
        <v>1101</v>
      </c>
      <c r="Y1400" s="159">
        <v>46149.0</v>
      </c>
      <c r="Z1400" s="18" t="s">
        <v>4303</v>
      </c>
      <c r="AA1400" s="92">
        <v>13.0</v>
      </c>
      <c r="AB1400" s="18">
        <v>13.0</v>
      </c>
      <c r="AC1400" s="52"/>
      <c r="AD1400" s="14">
        <v>24246.0</v>
      </c>
      <c r="AE1400" s="14">
        <v>24246.0</v>
      </c>
      <c r="AF1400" s="52"/>
      <c r="AG1400" s="22"/>
      <c r="AH1400" s="22"/>
      <c r="AI1400" s="22"/>
      <c r="AJ1400" s="22"/>
      <c r="AK1400" s="22"/>
      <c r="AL1400" s="22"/>
      <c r="AM1400" s="22"/>
      <c r="AN1400" s="22"/>
      <c r="AO1400" s="22"/>
      <c r="AP1400" s="22"/>
    </row>
    <row r="1401" hidden="1">
      <c r="A1401" s="148">
        <v>46149.83333333333</v>
      </c>
      <c r="B1401" s="149">
        <v>46149.83333333333</v>
      </c>
      <c r="C1401" s="11" t="s">
        <v>58</v>
      </c>
      <c r="D1401" s="10" t="s">
        <v>3083</v>
      </c>
      <c r="E1401" s="10" t="s">
        <v>71</v>
      </c>
      <c r="F1401" s="10" t="s">
        <v>4299</v>
      </c>
      <c r="G1401" s="11" t="s">
        <v>4304</v>
      </c>
      <c r="H1401" s="11" t="s">
        <v>4289</v>
      </c>
      <c r="I1401" s="10" t="s">
        <v>61</v>
      </c>
      <c r="J1401" s="14">
        <v>14594.0</v>
      </c>
      <c r="K1401" s="14">
        <v>8019.0</v>
      </c>
      <c r="L1401" s="17">
        <v>0.5494723859120186</v>
      </c>
      <c r="M1401" s="150">
        <v>0.0</v>
      </c>
      <c r="N1401" s="136">
        <v>0.0</v>
      </c>
      <c r="O1401" s="18">
        <v>16.0</v>
      </c>
      <c r="P1401" s="92">
        <v>0.0</v>
      </c>
      <c r="Q1401" s="137">
        <v>0.002</v>
      </c>
      <c r="R1401" s="17">
        <v>0.0</v>
      </c>
      <c r="S1401" s="18">
        <v>1.0</v>
      </c>
      <c r="T1401" s="18">
        <v>3.0</v>
      </c>
      <c r="U1401" s="151">
        <v>3396.0</v>
      </c>
      <c r="V1401" s="92" t="s">
        <v>335</v>
      </c>
      <c r="W1401" s="92" t="s">
        <v>3257</v>
      </c>
      <c r="X1401" s="42" t="s">
        <v>1101</v>
      </c>
      <c r="Y1401" s="159">
        <v>46149.0</v>
      </c>
      <c r="Z1401" s="18" t="s">
        <v>4305</v>
      </c>
      <c r="AA1401" s="92">
        <v>7.0</v>
      </c>
      <c r="AB1401" s="18">
        <v>7.0</v>
      </c>
      <c r="AC1401" s="52"/>
      <c r="AD1401" s="14">
        <v>17076.0</v>
      </c>
      <c r="AE1401" s="14">
        <v>17076.0</v>
      </c>
      <c r="AF1401" s="52"/>
      <c r="AG1401" s="22"/>
      <c r="AH1401" s="22"/>
      <c r="AI1401" s="22"/>
      <c r="AJ1401" s="22"/>
      <c r="AK1401" s="22"/>
      <c r="AL1401" s="22"/>
      <c r="AM1401" s="22"/>
      <c r="AN1401" s="22"/>
      <c r="AO1401" s="22"/>
      <c r="AP1401" s="22"/>
    </row>
    <row r="1402" hidden="1">
      <c r="A1402" s="148">
        <v>46150.35416666667</v>
      </c>
      <c r="B1402" s="149">
        <v>46150.35416666667</v>
      </c>
      <c r="C1402" s="11" t="s">
        <v>32</v>
      </c>
      <c r="D1402" s="10" t="s">
        <v>3083</v>
      </c>
      <c r="E1402" s="10" t="s">
        <v>179</v>
      </c>
      <c r="F1402" s="10" t="s">
        <v>4241</v>
      </c>
      <c r="G1402" s="11" t="s">
        <v>4306</v>
      </c>
      <c r="H1402" s="11" t="s">
        <v>4243</v>
      </c>
      <c r="I1402" s="10" t="s">
        <v>61</v>
      </c>
      <c r="J1402" s="14">
        <v>54186.0</v>
      </c>
      <c r="K1402" s="14">
        <v>24281.0</v>
      </c>
      <c r="L1402" s="17">
        <v>0.4481</v>
      </c>
      <c r="M1402" s="150">
        <v>3929.0</v>
      </c>
      <c r="N1402" s="136">
        <v>0.1618</v>
      </c>
      <c r="O1402" s="18">
        <v>263.0</v>
      </c>
      <c r="P1402" s="92">
        <v>251.0</v>
      </c>
      <c r="Q1402" s="137">
        <v>0.0103</v>
      </c>
      <c r="R1402" s="17">
        <v>0.0639</v>
      </c>
      <c r="S1402" s="18">
        <v>16.0</v>
      </c>
      <c r="T1402" s="18">
        <v>37.0</v>
      </c>
      <c r="U1402" s="151">
        <v>52395.0</v>
      </c>
      <c r="V1402" s="92" t="s">
        <v>315</v>
      </c>
      <c r="W1402" s="92" t="s">
        <v>76</v>
      </c>
      <c r="X1402" s="92" t="s">
        <v>4245</v>
      </c>
      <c r="Y1402" s="92" t="s">
        <v>4246</v>
      </c>
      <c r="Z1402" s="18" t="s">
        <v>4307</v>
      </c>
      <c r="AA1402" s="152">
        <v>23.0</v>
      </c>
      <c r="AB1402" s="156"/>
      <c r="AC1402" s="152">
        <v>23.0</v>
      </c>
      <c r="AD1402" s="154">
        <v>502897.0</v>
      </c>
      <c r="AE1402" s="155"/>
      <c r="AF1402" s="154">
        <v>502897.0</v>
      </c>
      <c r="AG1402" s="22"/>
      <c r="AH1402" s="22"/>
      <c r="AI1402" s="22"/>
      <c r="AJ1402" s="22"/>
      <c r="AK1402" s="22"/>
      <c r="AL1402" s="22"/>
      <c r="AM1402" s="22"/>
      <c r="AN1402" s="22"/>
      <c r="AO1402" s="22"/>
      <c r="AP1402" s="22"/>
    </row>
    <row r="1403" hidden="1">
      <c r="A1403" s="148">
        <v>46150.35763888889</v>
      </c>
      <c r="B1403" s="149">
        <v>46150.35763888889</v>
      </c>
      <c r="C1403" s="11" t="s">
        <v>32</v>
      </c>
      <c r="D1403" s="10" t="s">
        <v>3083</v>
      </c>
      <c r="E1403" s="10" t="s">
        <v>179</v>
      </c>
      <c r="F1403" s="10" t="s">
        <v>4241</v>
      </c>
      <c r="G1403" s="11" t="s">
        <v>4308</v>
      </c>
      <c r="H1403" s="11" t="s">
        <v>4249</v>
      </c>
      <c r="I1403" s="10" t="s">
        <v>61</v>
      </c>
      <c r="J1403" s="14">
        <v>2150.0</v>
      </c>
      <c r="K1403" s="14">
        <v>769.0</v>
      </c>
      <c r="L1403" s="17">
        <v>0.3577</v>
      </c>
      <c r="M1403" s="150">
        <v>121.0</v>
      </c>
      <c r="N1403" s="136">
        <v>0.1573</v>
      </c>
      <c r="O1403" s="18">
        <v>10.0</v>
      </c>
      <c r="P1403" s="92">
        <v>10.0</v>
      </c>
      <c r="Q1403" s="137">
        <v>0.013000000000000001</v>
      </c>
      <c r="R1403" s="17">
        <v>0.08259999999999999</v>
      </c>
      <c r="S1403" s="18">
        <v>8.0</v>
      </c>
      <c r="T1403" s="18">
        <v>29.0</v>
      </c>
      <c r="U1403" s="151">
        <v>30724.0</v>
      </c>
      <c r="V1403" s="92" t="s">
        <v>335</v>
      </c>
      <c r="W1403" s="92" t="s">
        <v>76</v>
      </c>
      <c r="X1403" s="92" t="s">
        <v>4251</v>
      </c>
      <c r="Y1403" s="92" t="s">
        <v>4246</v>
      </c>
      <c r="Z1403" s="18" t="s">
        <v>4309</v>
      </c>
      <c r="AA1403" s="152">
        <v>16.0</v>
      </c>
      <c r="AB1403" s="152">
        <v>16.0</v>
      </c>
      <c r="AC1403" s="153"/>
      <c r="AD1403" s="154">
        <v>111785.0</v>
      </c>
      <c r="AE1403" s="154">
        <v>111785.0</v>
      </c>
      <c r="AF1403" s="153"/>
      <c r="AG1403" s="22"/>
      <c r="AH1403" s="22"/>
      <c r="AI1403" s="22"/>
      <c r="AJ1403" s="22"/>
      <c r="AK1403" s="22"/>
      <c r="AL1403" s="22"/>
      <c r="AM1403" s="22"/>
      <c r="AN1403" s="22"/>
      <c r="AO1403" s="22"/>
      <c r="AP1403" s="22"/>
    </row>
    <row r="1404" hidden="1">
      <c r="A1404" s="148">
        <v>46150.36111111111</v>
      </c>
      <c r="B1404" s="149">
        <v>46150.36111111111</v>
      </c>
      <c r="C1404" s="11" t="s">
        <v>32</v>
      </c>
      <c r="D1404" s="10" t="s">
        <v>3083</v>
      </c>
      <c r="E1404" s="10" t="s">
        <v>179</v>
      </c>
      <c r="F1404" s="10" t="s">
        <v>4241</v>
      </c>
      <c r="G1404" s="11" t="s">
        <v>4310</v>
      </c>
      <c r="H1404" s="11" t="s">
        <v>4254</v>
      </c>
      <c r="I1404" s="10" t="s">
        <v>61</v>
      </c>
      <c r="J1404" s="14">
        <v>22041.0</v>
      </c>
      <c r="K1404" s="14">
        <v>10525.0</v>
      </c>
      <c r="L1404" s="17">
        <v>0.4775</v>
      </c>
      <c r="M1404" s="150">
        <v>1658.0</v>
      </c>
      <c r="N1404" s="136">
        <v>0.1575</v>
      </c>
      <c r="O1404" s="18">
        <v>213.0</v>
      </c>
      <c r="P1404" s="92">
        <v>195.0</v>
      </c>
      <c r="Q1404" s="137">
        <v>0.018500000000000003</v>
      </c>
      <c r="R1404" s="17">
        <v>0.1176</v>
      </c>
      <c r="S1404" s="18">
        <v>13.0</v>
      </c>
      <c r="T1404" s="18">
        <v>21.0</v>
      </c>
      <c r="U1404" s="151">
        <v>20655.0</v>
      </c>
      <c r="V1404" s="92" t="s">
        <v>335</v>
      </c>
      <c r="W1404" s="92" t="s">
        <v>76</v>
      </c>
      <c r="X1404" s="92" t="s">
        <v>4256</v>
      </c>
      <c r="Y1404" s="92" t="s">
        <v>4246</v>
      </c>
      <c r="Z1404" s="18" t="s">
        <v>4311</v>
      </c>
      <c r="AA1404" s="152">
        <v>111.0</v>
      </c>
      <c r="AB1404" s="152">
        <v>111.0</v>
      </c>
      <c r="AC1404" s="153"/>
      <c r="AD1404" s="154">
        <v>443302.0</v>
      </c>
      <c r="AE1404" s="154">
        <v>443302.0</v>
      </c>
      <c r="AF1404" s="153"/>
      <c r="AG1404" s="22"/>
      <c r="AH1404" s="22"/>
      <c r="AI1404" s="22"/>
      <c r="AJ1404" s="22"/>
      <c r="AK1404" s="22"/>
      <c r="AL1404" s="22"/>
      <c r="AM1404" s="22"/>
      <c r="AN1404" s="22"/>
      <c r="AO1404" s="22"/>
      <c r="AP1404" s="22"/>
    </row>
    <row r="1405" hidden="1">
      <c r="A1405" s="148">
        <v>46150.36458333333</v>
      </c>
      <c r="B1405" s="149">
        <v>46150.36458333333</v>
      </c>
      <c r="C1405" s="11" t="s">
        <v>32</v>
      </c>
      <c r="D1405" s="10" t="s">
        <v>3083</v>
      </c>
      <c r="E1405" s="10" t="s">
        <v>179</v>
      </c>
      <c r="F1405" s="10" t="s">
        <v>4241</v>
      </c>
      <c r="G1405" s="11" t="s">
        <v>4312</v>
      </c>
      <c r="H1405" s="11" t="s">
        <v>4259</v>
      </c>
      <c r="I1405" s="10" t="s">
        <v>61</v>
      </c>
      <c r="J1405" s="14">
        <v>12932.0</v>
      </c>
      <c r="K1405" s="14">
        <v>5871.0</v>
      </c>
      <c r="L1405" s="17">
        <v>0.45399999999999996</v>
      </c>
      <c r="M1405" s="150">
        <v>949.0</v>
      </c>
      <c r="N1405" s="136">
        <v>0.1616</v>
      </c>
      <c r="O1405" s="18">
        <v>91.0</v>
      </c>
      <c r="P1405" s="92">
        <v>83.0</v>
      </c>
      <c r="Q1405" s="137">
        <v>0.0141</v>
      </c>
      <c r="R1405" s="17">
        <v>0.0875</v>
      </c>
      <c r="S1405" s="18">
        <v>17.0</v>
      </c>
      <c r="T1405" s="18">
        <v>28.0</v>
      </c>
      <c r="U1405" s="151">
        <v>43574.0</v>
      </c>
      <c r="V1405" s="92" t="s">
        <v>335</v>
      </c>
      <c r="W1405" s="92" t="s">
        <v>76</v>
      </c>
      <c r="X1405" s="92" t="s">
        <v>4261</v>
      </c>
      <c r="Y1405" s="92" t="s">
        <v>4246</v>
      </c>
      <c r="Z1405" s="18" t="s">
        <v>4313</v>
      </c>
      <c r="AA1405" s="152">
        <v>39.0</v>
      </c>
      <c r="AB1405" s="152">
        <v>39.0</v>
      </c>
      <c r="AC1405" s="153"/>
      <c r="AD1405" s="154">
        <v>199589.0</v>
      </c>
      <c r="AE1405" s="154">
        <v>199589.0</v>
      </c>
      <c r="AF1405" s="153"/>
      <c r="AG1405" s="22"/>
      <c r="AH1405" s="22"/>
      <c r="AI1405" s="22"/>
      <c r="AJ1405" s="22"/>
      <c r="AK1405" s="22"/>
      <c r="AL1405" s="22"/>
      <c r="AM1405" s="22"/>
      <c r="AN1405" s="22"/>
      <c r="AO1405" s="22"/>
      <c r="AP1405" s="22"/>
    </row>
    <row r="1406" hidden="1">
      <c r="A1406" s="148">
        <v>46150.368055555555</v>
      </c>
      <c r="B1406" s="149">
        <v>46150.368055555555</v>
      </c>
      <c r="C1406" s="11" t="s">
        <v>32</v>
      </c>
      <c r="D1406" s="10" t="s">
        <v>3083</v>
      </c>
      <c r="E1406" s="10" t="s">
        <v>179</v>
      </c>
      <c r="F1406" s="10" t="s">
        <v>4241</v>
      </c>
      <c r="G1406" s="11" t="s">
        <v>4314</v>
      </c>
      <c r="H1406" s="11" t="s">
        <v>4264</v>
      </c>
      <c r="I1406" s="10" t="s">
        <v>61</v>
      </c>
      <c r="J1406" s="14">
        <v>37241.0</v>
      </c>
      <c r="K1406" s="14">
        <v>16543.0</v>
      </c>
      <c r="L1406" s="17">
        <v>0.44420000000000004</v>
      </c>
      <c r="M1406" s="150">
        <v>2669.0</v>
      </c>
      <c r="N1406" s="136">
        <v>0.1613</v>
      </c>
      <c r="O1406" s="18">
        <v>215.0</v>
      </c>
      <c r="P1406" s="92">
        <v>201.0</v>
      </c>
      <c r="Q1406" s="137">
        <v>0.012199999999999999</v>
      </c>
      <c r="R1406" s="17">
        <v>0.0753</v>
      </c>
      <c r="S1406" s="18">
        <v>16.0</v>
      </c>
      <c r="T1406" s="18">
        <v>27.0</v>
      </c>
      <c r="U1406" s="151">
        <v>43057.0</v>
      </c>
      <c r="V1406" s="92" t="s">
        <v>335</v>
      </c>
      <c r="W1406" s="92" t="s">
        <v>76</v>
      </c>
      <c r="X1406" s="92" t="s">
        <v>111</v>
      </c>
      <c r="Y1406" s="92" t="s">
        <v>4246</v>
      </c>
      <c r="Z1406" s="18" t="s">
        <v>4315</v>
      </c>
      <c r="AA1406" s="152">
        <v>58.0</v>
      </c>
      <c r="AB1406" s="152">
        <v>58.0</v>
      </c>
      <c r="AC1406" s="153"/>
      <c r="AD1406" s="154">
        <v>296781.0</v>
      </c>
      <c r="AE1406" s="154">
        <v>296781.0</v>
      </c>
      <c r="AF1406" s="153"/>
      <c r="AG1406" s="22"/>
      <c r="AH1406" s="22"/>
      <c r="AI1406" s="22"/>
      <c r="AJ1406" s="22"/>
      <c r="AK1406" s="22"/>
      <c r="AL1406" s="22"/>
      <c r="AM1406" s="22"/>
      <c r="AN1406" s="22"/>
      <c r="AO1406" s="22"/>
      <c r="AP1406" s="22"/>
    </row>
    <row r="1407" hidden="1">
      <c r="A1407" s="148">
        <v>46150.4375</v>
      </c>
      <c r="B1407" s="149">
        <v>46150.4375</v>
      </c>
      <c r="C1407" s="11" t="s">
        <v>58</v>
      </c>
      <c r="D1407" s="10" t="s">
        <v>3083</v>
      </c>
      <c r="E1407" s="10" t="s">
        <v>179</v>
      </c>
      <c r="F1407" s="10" t="s">
        <v>4241</v>
      </c>
      <c r="G1407" s="11" t="s">
        <v>4316</v>
      </c>
      <c r="H1407" s="11" t="s">
        <v>4243</v>
      </c>
      <c r="I1407" s="10" t="s">
        <v>61</v>
      </c>
      <c r="J1407" s="14">
        <v>29496.0</v>
      </c>
      <c r="K1407" s="14">
        <v>20791.0</v>
      </c>
      <c r="L1407" s="17">
        <v>0.7048752373203147</v>
      </c>
      <c r="M1407" s="150">
        <v>0.0</v>
      </c>
      <c r="N1407" s="136">
        <v>0.0</v>
      </c>
      <c r="O1407" s="18">
        <v>35.0</v>
      </c>
      <c r="P1407" s="92">
        <v>0.0</v>
      </c>
      <c r="Q1407" s="137">
        <v>0.0017000000000000001</v>
      </c>
      <c r="R1407" s="17">
        <v>0.0</v>
      </c>
      <c r="S1407" s="18">
        <v>4.0</v>
      </c>
      <c r="T1407" s="18">
        <v>10.0</v>
      </c>
      <c r="U1407" s="151">
        <v>16701.0</v>
      </c>
      <c r="V1407" s="92" t="s">
        <v>315</v>
      </c>
      <c r="W1407" s="92" t="s">
        <v>3257</v>
      </c>
      <c r="X1407" s="92" t="s">
        <v>4245</v>
      </c>
      <c r="Y1407" s="92" t="s">
        <v>4246</v>
      </c>
      <c r="Z1407" s="18" t="s">
        <v>4317</v>
      </c>
      <c r="AA1407" s="152">
        <v>23.0</v>
      </c>
      <c r="AB1407" s="156"/>
      <c r="AC1407" s="152">
        <v>23.0</v>
      </c>
      <c r="AD1407" s="154">
        <v>570500.0</v>
      </c>
      <c r="AE1407" s="155"/>
      <c r="AF1407" s="154">
        <v>570500.0</v>
      </c>
      <c r="AG1407" s="22"/>
      <c r="AH1407" s="22"/>
      <c r="AI1407" s="22"/>
      <c r="AJ1407" s="22"/>
      <c r="AK1407" s="22"/>
      <c r="AL1407" s="22"/>
      <c r="AM1407" s="22"/>
      <c r="AN1407" s="22"/>
      <c r="AO1407" s="22"/>
      <c r="AP1407" s="22"/>
    </row>
    <row r="1408" hidden="1">
      <c r="A1408" s="148">
        <v>46150.4375</v>
      </c>
      <c r="B1408" s="149">
        <v>46150.4375</v>
      </c>
      <c r="C1408" s="11" t="s">
        <v>58</v>
      </c>
      <c r="D1408" s="10" t="s">
        <v>3083</v>
      </c>
      <c r="E1408" s="10" t="s">
        <v>179</v>
      </c>
      <c r="F1408" s="10" t="s">
        <v>4241</v>
      </c>
      <c r="G1408" s="11" t="s">
        <v>4318</v>
      </c>
      <c r="H1408" s="11" t="s">
        <v>4249</v>
      </c>
      <c r="I1408" s="10" t="s">
        <v>61</v>
      </c>
      <c r="J1408" s="14">
        <v>1371.0</v>
      </c>
      <c r="K1408" s="14">
        <v>825.0</v>
      </c>
      <c r="L1408" s="17">
        <v>0.6017505470459519</v>
      </c>
      <c r="M1408" s="150">
        <v>0.0</v>
      </c>
      <c r="N1408" s="136">
        <v>0.0</v>
      </c>
      <c r="O1408" s="18">
        <v>2.0</v>
      </c>
      <c r="P1408" s="92">
        <v>0.0</v>
      </c>
      <c r="Q1408" s="137">
        <v>0.0024</v>
      </c>
      <c r="R1408" s="17">
        <v>0.0</v>
      </c>
      <c r="S1408" s="18">
        <v>5.0</v>
      </c>
      <c r="T1408" s="18">
        <v>22.0</v>
      </c>
      <c r="U1408" s="151">
        <v>15293.0</v>
      </c>
      <c r="V1408" s="92" t="s">
        <v>335</v>
      </c>
      <c r="W1408" s="92" t="s">
        <v>3257</v>
      </c>
      <c r="X1408" s="92" t="s">
        <v>4251</v>
      </c>
      <c r="Y1408" s="92" t="s">
        <v>4246</v>
      </c>
      <c r="Z1408" s="18" t="s">
        <v>4319</v>
      </c>
      <c r="AA1408" s="152">
        <v>12.0</v>
      </c>
      <c r="AB1408" s="160">
        <v>12.0</v>
      </c>
      <c r="AC1408" s="153"/>
      <c r="AD1408" s="154">
        <v>72524.0</v>
      </c>
      <c r="AE1408" s="154">
        <v>72524.0</v>
      </c>
      <c r="AF1408" s="153"/>
      <c r="AG1408" s="22"/>
      <c r="AH1408" s="22"/>
      <c r="AI1408" s="22"/>
      <c r="AJ1408" s="22"/>
      <c r="AK1408" s="22"/>
      <c r="AL1408" s="22"/>
      <c r="AM1408" s="22"/>
      <c r="AN1408" s="22"/>
      <c r="AO1408" s="22"/>
      <c r="AP1408" s="22"/>
    </row>
    <row r="1409" hidden="1">
      <c r="A1409" s="148">
        <v>46150.4375</v>
      </c>
      <c r="B1409" s="149">
        <v>46150.4375</v>
      </c>
      <c r="C1409" s="11" t="s">
        <v>58</v>
      </c>
      <c r="D1409" s="10" t="s">
        <v>3083</v>
      </c>
      <c r="E1409" s="10" t="s">
        <v>179</v>
      </c>
      <c r="F1409" s="10" t="s">
        <v>4241</v>
      </c>
      <c r="G1409" s="11" t="s">
        <v>4320</v>
      </c>
      <c r="H1409" s="11" t="s">
        <v>4254</v>
      </c>
      <c r="I1409" s="10" t="s">
        <v>61</v>
      </c>
      <c r="J1409" s="14">
        <v>11227.0</v>
      </c>
      <c r="K1409" s="14">
        <v>7560.0</v>
      </c>
      <c r="L1409" s="17">
        <v>0.6733766812149283</v>
      </c>
      <c r="M1409" s="150">
        <v>0.0</v>
      </c>
      <c r="N1409" s="136">
        <v>0.0</v>
      </c>
      <c r="O1409" s="18">
        <v>22.0</v>
      </c>
      <c r="P1409" s="92">
        <v>0.0</v>
      </c>
      <c r="Q1409" s="137">
        <v>0.0029</v>
      </c>
      <c r="R1409" s="17">
        <v>0.0</v>
      </c>
      <c r="S1409" s="18">
        <v>11.0</v>
      </c>
      <c r="T1409" s="18">
        <v>10.0</v>
      </c>
      <c r="U1409" s="151">
        <v>20656.0</v>
      </c>
      <c r="V1409" s="92" t="s">
        <v>335</v>
      </c>
      <c r="W1409" s="92" t="s">
        <v>3257</v>
      </c>
      <c r="X1409" s="92" t="s">
        <v>4256</v>
      </c>
      <c r="Y1409" s="92" t="s">
        <v>4246</v>
      </c>
      <c r="Z1409" s="18" t="s">
        <v>4321</v>
      </c>
      <c r="AA1409" s="152">
        <v>75.0</v>
      </c>
      <c r="AB1409" s="152">
        <v>75.0</v>
      </c>
      <c r="AC1409" s="153"/>
      <c r="AD1409" s="154">
        <v>377877.0</v>
      </c>
      <c r="AE1409" s="154">
        <v>377877.0</v>
      </c>
      <c r="AF1409" s="153"/>
      <c r="AG1409" s="22"/>
      <c r="AH1409" s="22"/>
      <c r="AI1409" s="22"/>
      <c r="AJ1409" s="22"/>
      <c r="AK1409" s="22"/>
      <c r="AL1409" s="22"/>
      <c r="AM1409" s="22"/>
      <c r="AN1409" s="22"/>
      <c r="AO1409" s="22"/>
      <c r="AP1409" s="22"/>
    </row>
    <row r="1410" hidden="1">
      <c r="A1410" s="148">
        <v>46150.4375</v>
      </c>
      <c r="B1410" s="149">
        <v>46150.4375</v>
      </c>
      <c r="C1410" s="11" t="s">
        <v>58</v>
      </c>
      <c r="D1410" s="10" t="s">
        <v>3083</v>
      </c>
      <c r="E1410" s="10" t="s">
        <v>179</v>
      </c>
      <c r="F1410" s="10" t="s">
        <v>4241</v>
      </c>
      <c r="G1410" s="11" t="s">
        <v>4322</v>
      </c>
      <c r="H1410" s="11" t="s">
        <v>4259</v>
      </c>
      <c r="I1410" s="10" t="s">
        <v>61</v>
      </c>
      <c r="J1410" s="14">
        <v>6881.0</v>
      </c>
      <c r="K1410" s="14">
        <v>3786.0</v>
      </c>
      <c r="L1410" s="17">
        <v>0.5502107251852928</v>
      </c>
      <c r="M1410" s="150">
        <v>0.0</v>
      </c>
      <c r="N1410" s="136">
        <v>0.0</v>
      </c>
      <c r="O1410" s="18">
        <v>10.0</v>
      </c>
      <c r="P1410" s="92">
        <v>0.0</v>
      </c>
      <c r="Q1410" s="137">
        <v>0.0026</v>
      </c>
      <c r="R1410" s="17">
        <v>0.0</v>
      </c>
      <c r="S1410" s="18">
        <v>6.0</v>
      </c>
      <c r="T1410" s="18">
        <v>9.0</v>
      </c>
      <c r="U1410" s="151">
        <v>39032.0</v>
      </c>
      <c r="V1410" s="92" t="s">
        <v>335</v>
      </c>
      <c r="W1410" s="92" t="s">
        <v>3257</v>
      </c>
      <c r="X1410" s="92" t="s">
        <v>4261</v>
      </c>
      <c r="Y1410" s="92" t="s">
        <v>4246</v>
      </c>
      <c r="Z1410" s="18" t="s">
        <v>4323</v>
      </c>
      <c r="AA1410" s="152">
        <v>21.0</v>
      </c>
      <c r="AB1410" s="152">
        <v>21.0</v>
      </c>
      <c r="AC1410" s="153"/>
      <c r="AD1410" s="154">
        <v>227510.0</v>
      </c>
      <c r="AE1410" s="154">
        <v>227510.0</v>
      </c>
      <c r="AF1410" s="153"/>
      <c r="AG1410" s="22"/>
      <c r="AH1410" s="22"/>
      <c r="AI1410" s="22"/>
      <c r="AJ1410" s="22"/>
      <c r="AK1410" s="22"/>
      <c r="AL1410" s="22"/>
      <c r="AM1410" s="22"/>
      <c r="AN1410" s="22"/>
      <c r="AO1410" s="22"/>
      <c r="AP1410" s="22"/>
    </row>
    <row r="1411" hidden="1">
      <c r="A1411" s="148">
        <v>46150.4375</v>
      </c>
      <c r="B1411" s="149">
        <v>46150.4375</v>
      </c>
      <c r="C1411" s="11" t="s">
        <v>58</v>
      </c>
      <c r="D1411" s="10" t="s">
        <v>3083</v>
      </c>
      <c r="E1411" s="10" t="s">
        <v>179</v>
      </c>
      <c r="F1411" s="10" t="s">
        <v>4241</v>
      </c>
      <c r="G1411" s="11" t="s">
        <v>4324</v>
      </c>
      <c r="H1411" s="11" t="s">
        <v>4264</v>
      </c>
      <c r="I1411" s="10" t="s">
        <v>61</v>
      </c>
      <c r="J1411" s="14">
        <v>20189.0</v>
      </c>
      <c r="K1411" s="14">
        <v>12060.0</v>
      </c>
      <c r="L1411" s="17">
        <v>0.5973549952944673</v>
      </c>
      <c r="M1411" s="150">
        <v>0.0</v>
      </c>
      <c r="N1411" s="136">
        <v>0.0</v>
      </c>
      <c r="O1411" s="18">
        <v>20.0</v>
      </c>
      <c r="P1411" s="92">
        <v>0.0</v>
      </c>
      <c r="Q1411" s="137">
        <v>0.0017000000000000001</v>
      </c>
      <c r="R1411" s="17">
        <v>0.0</v>
      </c>
      <c r="S1411" s="18">
        <v>9.0</v>
      </c>
      <c r="T1411" s="18">
        <v>12.0</v>
      </c>
      <c r="U1411" s="151">
        <v>38996.0</v>
      </c>
      <c r="V1411" s="92" t="s">
        <v>335</v>
      </c>
      <c r="W1411" s="92" t="s">
        <v>3257</v>
      </c>
      <c r="X1411" s="92" t="s">
        <v>111</v>
      </c>
      <c r="Y1411" s="92" t="s">
        <v>4246</v>
      </c>
      <c r="Z1411" s="18" t="s">
        <v>4325</v>
      </c>
      <c r="AA1411" s="152">
        <v>20.0</v>
      </c>
      <c r="AB1411" s="152">
        <v>20.0</v>
      </c>
      <c r="AC1411" s="153"/>
      <c r="AD1411" s="154">
        <v>133615.0</v>
      </c>
      <c r="AE1411" s="154">
        <v>133615.0</v>
      </c>
      <c r="AF1411" s="153"/>
      <c r="AG1411" s="22"/>
      <c r="AH1411" s="22"/>
      <c r="AI1411" s="22"/>
      <c r="AJ1411" s="22"/>
      <c r="AK1411" s="22"/>
      <c r="AL1411" s="22"/>
      <c r="AM1411" s="22"/>
      <c r="AN1411" s="22"/>
      <c r="AO1411" s="22"/>
      <c r="AP1411" s="22"/>
    </row>
    <row r="1412" hidden="1">
      <c r="A1412" s="148">
        <v>46150.5</v>
      </c>
      <c r="B1412" s="149">
        <v>46150.5</v>
      </c>
      <c r="C1412" s="11" t="s">
        <v>32</v>
      </c>
      <c r="D1412" s="10" t="s">
        <v>3243</v>
      </c>
      <c r="E1412" s="10" t="s">
        <v>71</v>
      </c>
      <c r="F1412" s="10" t="s">
        <v>4278</v>
      </c>
      <c r="G1412" s="11" t="s">
        <v>4326</v>
      </c>
      <c r="H1412" s="11" t="s">
        <v>2737</v>
      </c>
      <c r="I1412" s="10" t="s">
        <v>2658</v>
      </c>
      <c r="J1412" s="14">
        <v>16666.0</v>
      </c>
      <c r="K1412" s="14">
        <v>7153.0</v>
      </c>
      <c r="L1412" s="17">
        <v>0.4292</v>
      </c>
      <c r="M1412" s="150">
        <v>2947.0</v>
      </c>
      <c r="N1412" s="136">
        <v>0.41200000000000003</v>
      </c>
      <c r="O1412" s="18">
        <v>195.0</v>
      </c>
      <c r="P1412" s="92">
        <v>183.0</v>
      </c>
      <c r="Q1412" s="137">
        <v>0.0256</v>
      </c>
      <c r="R1412" s="17">
        <v>0.0621</v>
      </c>
      <c r="S1412" s="18">
        <v>2.0</v>
      </c>
      <c r="T1412" s="18">
        <v>3.0</v>
      </c>
      <c r="U1412" s="151">
        <v>6665.0</v>
      </c>
      <c r="V1412" s="92" t="s">
        <v>315</v>
      </c>
      <c r="W1412" s="92" t="s">
        <v>76</v>
      </c>
      <c r="X1412" s="42" t="s">
        <v>2580</v>
      </c>
      <c r="Y1412" s="92" t="s">
        <v>4327</v>
      </c>
      <c r="Z1412" s="18" t="s">
        <v>4328</v>
      </c>
      <c r="AA1412" s="92">
        <v>83.0</v>
      </c>
      <c r="AB1412" s="52"/>
      <c r="AC1412" s="18">
        <v>83.0</v>
      </c>
      <c r="AD1412" s="14">
        <v>430486.0</v>
      </c>
      <c r="AE1412" s="52"/>
      <c r="AF1412" s="14">
        <v>430486.0</v>
      </c>
      <c r="AG1412" s="22"/>
      <c r="AH1412" s="22"/>
      <c r="AI1412" s="22"/>
      <c r="AJ1412" s="22"/>
      <c r="AK1412" s="22"/>
      <c r="AL1412" s="22"/>
      <c r="AM1412" s="22"/>
      <c r="AN1412" s="22"/>
      <c r="AO1412" s="22"/>
      <c r="AP1412" s="22"/>
    </row>
    <row r="1413" hidden="1">
      <c r="A1413" s="148">
        <v>46150.5</v>
      </c>
      <c r="B1413" s="149">
        <v>46150.5</v>
      </c>
      <c r="C1413" s="11" t="s">
        <v>32</v>
      </c>
      <c r="D1413" s="10" t="s">
        <v>3243</v>
      </c>
      <c r="E1413" s="10" t="s">
        <v>71</v>
      </c>
      <c r="F1413" s="10" t="s">
        <v>4278</v>
      </c>
      <c r="G1413" s="11" t="s">
        <v>4329</v>
      </c>
      <c r="H1413" s="11" t="s">
        <v>4330</v>
      </c>
      <c r="I1413" s="140" t="s">
        <v>4331</v>
      </c>
      <c r="J1413" s="14">
        <v>7306.0</v>
      </c>
      <c r="K1413" s="14">
        <v>2281.0</v>
      </c>
      <c r="L1413" s="17">
        <v>0.3121</v>
      </c>
      <c r="M1413" s="150">
        <v>743.0</v>
      </c>
      <c r="N1413" s="136">
        <v>0.3259</v>
      </c>
      <c r="O1413" s="18">
        <v>50.0</v>
      </c>
      <c r="P1413" s="92">
        <v>44.0</v>
      </c>
      <c r="Q1413" s="137">
        <v>0.019299999999999998</v>
      </c>
      <c r="R1413" s="17">
        <v>0.0592</v>
      </c>
      <c r="S1413" s="18">
        <v>0.0</v>
      </c>
      <c r="T1413" s="18">
        <v>0.0</v>
      </c>
      <c r="U1413" s="151">
        <v>0.0</v>
      </c>
      <c r="V1413" s="92" t="s">
        <v>315</v>
      </c>
      <c r="W1413" s="92" t="s">
        <v>76</v>
      </c>
      <c r="X1413" s="158" t="s">
        <v>4332</v>
      </c>
      <c r="Y1413" s="92" t="s">
        <v>4327</v>
      </c>
      <c r="Z1413" s="18" t="s">
        <v>4333</v>
      </c>
      <c r="AA1413" s="92">
        <v>1.0</v>
      </c>
      <c r="AB1413" s="52"/>
      <c r="AC1413" s="18">
        <v>1.0</v>
      </c>
      <c r="AD1413" s="18">
        <v>999.0</v>
      </c>
      <c r="AE1413" s="52"/>
      <c r="AF1413" s="18">
        <v>999.0</v>
      </c>
      <c r="AG1413" s="22"/>
      <c r="AH1413" s="22"/>
      <c r="AI1413" s="22"/>
      <c r="AJ1413" s="22"/>
      <c r="AK1413" s="22"/>
      <c r="AL1413" s="22"/>
      <c r="AM1413" s="22"/>
      <c r="AN1413" s="22"/>
      <c r="AO1413" s="22"/>
      <c r="AP1413" s="22"/>
    </row>
    <row r="1414" hidden="1">
      <c r="A1414" s="148">
        <v>46150.5</v>
      </c>
      <c r="B1414" s="149">
        <v>46150.5</v>
      </c>
      <c r="C1414" s="11" t="s">
        <v>32</v>
      </c>
      <c r="D1414" s="10" t="s">
        <v>3243</v>
      </c>
      <c r="E1414" s="10" t="s">
        <v>71</v>
      </c>
      <c r="F1414" s="10" t="s">
        <v>4278</v>
      </c>
      <c r="G1414" s="11" t="s">
        <v>4334</v>
      </c>
      <c r="H1414" s="11" t="s">
        <v>2678</v>
      </c>
      <c r="I1414" s="10" t="s">
        <v>2679</v>
      </c>
      <c r="J1414" s="14">
        <v>15305.0</v>
      </c>
      <c r="K1414" s="14">
        <v>4363.0</v>
      </c>
      <c r="L1414" s="17">
        <v>0.2851</v>
      </c>
      <c r="M1414" s="150">
        <v>1367.0</v>
      </c>
      <c r="N1414" s="136">
        <v>0.3134</v>
      </c>
      <c r="O1414" s="18">
        <v>77.0</v>
      </c>
      <c r="P1414" s="92">
        <v>75.0</v>
      </c>
      <c r="Q1414" s="137">
        <v>0.0172</v>
      </c>
      <c r="R1414" s="17">
        <v>0.054900000000000004</v>
      </c>
      <c r="S1414" s="18">
        <v>0.0</v>
      </c>
      <c r="T1414" s="18">
        <v>1.0</v>
      </c>
      <c r="U1414" s="151">
        <v>0.0</v>
      </c>
      <c r="V1414" s="92" t="s">
        <v>315</v>
      </c>
      <c r="W1414" s="92" t="s">
        <v>76</v>
      </c>
      <c r="X1414" s="42" t="s">
        <v>52</v>
      </c>
      <c r="Y1414" s="92" t="s">
        <v>4327</v>
      </c>
      <c r="Z1414" s="18" t="s">
        <v>4335</v>
      </c>
      <c r="AA1414" s="92">
        <v>7.0</v>
      </c>
      <c r="AB1414" s="52"/>
      <c r="AC1414" s="18">
        <v>7.0</v>
      </c>
      <c r="AD1414" s="14">
        <v>18380.0</v>
      </c>
      <c r="AE1414" s="52"/>
      <c r="AF1414" s="14">
        <v>18380.0</v>
      </c>
      <c r="AG1414" s="22"/>
      <c r="AH1414" s="22"/>
      <c r="AI1414" s="22"/>
      <c r="AJ1414" s="22"/>
      <c r="AK1414" s="22"/>
      <c r="AL1414" s="22"/>
      <c r="AM1414" s="22"/>
      <c r="AN1414" s="22"/>
      <c r="AO1414" s="22"/>
      <c r="AP1414" s="22"/>
    </row>
    <row r="1415" hidden="1">
      <c r="A1415" s="148">
        <v>46150.5</v>
      </c>
      <c r="B1415" s="149">
        <v>46150.5</v>
      </c>
      <c r="C1415" s="11" t="s">
        <v>32</v>
      </c>
      <c r="D1415" s="10" t="s">
        <v>3243</v>
      </c>
      <c r="E1415" s="10" t="s">
        <v>71</v>
      </c>
      <c r="F1415" s="10" t="s">
        <v>4278</v>
      </c>
      <c r="G1415" s="11" t="s">
        <v>4336</v>
      </c>
      <c r="H1415" s="11" t="s">
        <v>2666</v>
      </c>
      <c r="I1415" s="10" t="s">
        <v>2667</v>
      </c>
      <c r="J1415" s="14">
        <v>72906.0</v>
      </c>
      <c r="K1415" s="14">
        <v>18371.0</v>
      </c>
      <c r="L1415" s="17">
        <v>0.2519</v>
      </c>
      <c r="M1415" s="150">
        <v>5664.0</v>
      </c>
      <c r="N1415" s="136">
        <v>0.3084</v>
      </c>
      <c r="O1415" s="18">
        <v>294.0</v>
      </c>
      <c r="P1415" s="92">
        <v>270.0</v>
      </c>
      <c r="Q1415" s="137">
        <v>0.0147</v>
      </c>
      <c r="R1415" s="17">
        <v>0.04769999999999999</v>
      </c>
      <c r="S1415" s="18">
        <v>4.0</v>
      </c>
      <c r="T1415" s="18">
        <v>10.0</v>
      </c>
      <c r="U1415" s="151">
        <v>7910.0</v>
      </c>
      <c r="V1415" s="92" t="s">
        <v>315</v>
      </c>
      <c r="W1415" s="92" t="s">
        <v>76</v>
      </c>
      <c r="X1415" s="42" t="s">
        <v>2603</v>
      </c>
      <c r="Y1415" s="92" t="s">
        <v>4327</v>
      </c>
      <c r="Z1415" s="18" t="s">
        <v>4337</v>
      </c>
      <c r="AA1415" s="92">
        <v>25.0</v>
      </c>
      <c r="AB1415" s="52"/>
      <c r="AC1415" s="18">
        <v>25.0</v>
      </c>
      <c r="AD1415" s="14">
        <v>117258.0</v>
      </c>
      <c r="AE1415" s="52"/>
      <c r="AF1415" s="14">
        <v>117258.0</v>
      </c>
      <c r="AG1415" s="22"/>
      <c r="AH1415" s="22"/>
      <c r="AI1415" s="22"/>
      <c r="AJ1415" s="22"/>
      <c r="AK1415" s="22"/>
      <c r="AL1415" s="22"/>
      <c r="AM1415" s="22"/>
      <c r="AN1415" s="22"/>
      <c r="AO1415" s="22"/>
      <c r="AP1415" s="22"/>
    </row>
    <row r="1416" hidden="1">
      <c r="A1416" s="148">
        <v>46150.5</v>
      </c>
      <c r="B1416" s="149">
        <v>46150.5</v>
      </c>
      <c r="C1416" s="11" t="s">
        <v>32</v>
      </c>
      <c r="D1416" s="10" t="s">
        <v>3243</v>
      </c>
      <c r="E1416" s="10" t="s">
        <v>71</v>
      </c>
      <c r="F1416" s="10" t="s">
        <v>4278</v>
      </c>
      <c r="G1416" s="11" t="s">
        <v>4338</v>
      </c>
      <c r="H1416" s="11" t="s">
        <v>4339</v>
      </c>
      <c r="I1416" s="140" t="s">
        <v>4340</v>
      </c>
      <c r="J1416" s="14">
        <v>43300.0</v>
      </c>
      <c r="K1416" s="14">
        <v>10950.0</v>
      </c>
      <c r="L1416" s="17">
        <v>0.2529</v>
      </c>
      <c r="M1416" s="150">
        <v>3557.0</v>
      </c>
      <c r="N1416" s="136">
        <v>0.3248</v>
      </c>
      <c r="O1416" s="18">
        <v>151.0</v>
      </c>
      <c r="P1416" s="92">
        <v>145.0</v>
      </c>
      <c r="Q1416" s="137">
        <v>0.0132</v>
      </c>
      <c r="R1416" s="17">
        <v>0.0408</v>
      </c>
      <c r="S1416" s="18">
        <v>2.0</v>
      </c>
      <c r="T1416" s="18">
        <v>3.0</v>
      </c>
      <c r="U1416" s="151">
        <v>3518.0</v>
      </c>
      <c r="V1416" s="92" t="s">
        <v>315</v>
      </c>
      <c r="W1416" s="92" t="s">
        <v>76</v>
      </c>
      <c r="X1416" s="21" t="s">
        <v>2552</v>
      </c>
      <c r="Y1416" s="92" t="s">
        <v>4327</v>
      </c>
      <c r="Z1416" s="18" t="s">
        <v>4341</v>
      </c>
      <c r="AA1416" s="92">
        <v>16.0</v>
      </c>
      <c r="AB1416" s="52"/>
      <c r="AC1416" s="18">
        <v>16.0</v>
      </c>
      <c r="AD1416" s="14">
        <v>51920.0</v>
      </c>
      <c r="AE1416" s="52"/>
      <c r="AF1416" s="14">
        <v>51920.0</v>
      </c>
      <c r="AG1416" s="22"/>
      <c r="AH1416" s="22"/>
      <c r="AI1416" s="22"/>
      <c r="AJ1416" s="22"/>
      <c r="AK1416" s="22"/>
      <c r="AL1416" s="22"/>
      <c r="AM1416" s="22"/>
      <c r="AN1416" s="22"/>
      <c r="AO1416" s="22"/>
      <c r="AP1416" s="22"/>
    </row>
    <row r="1417" hidden="1">
      <c r="A1417" s="148">
        <v>46150.54166666667</v>
      </c>
      <c r="B1417" s="149">
        <v>46150.54166666667</v>
      </c>
      <c r="C1417" s="11" t="s">
        <v>58</v>
      </c>
      <c r="D1417" s="10" t="s">
        <v>3083</v>
      </c>
      <c r="E1417" s="10" t="s">
        <v>71</v>
      </c>
      <c r="F1417" s="10" t="s">
        <v>4299</v>
      </c>
      <c r="G1417" s="11" t="s">
        <v>4342</v>
      </c>
      <c r="H1417" s="11" t="s">
        <v>2737</v>
      </c>
      <c r="I1417" s="10" t="s">
        <v>61</v>
      </c>
      <c r="J1417" s="14">
        <v>9255.0</v>
      </c>
      <c r="K1417" s="14">
        <v>5048.0</v>
      </c>
      <c r="L1417" s="17">
        <v>0.5454349000540248</v>
      </c>
      <c r="M1417" s="150">
        <v>0.0</v>
      </c>
      <c r="N1417" s="136">
        <v>0.0</v>
      </c>
      <c r="O1417" s="18">
        <v>13.0</v>
      </c>
      <c r="P1417" s="92">
        <v>0.0</v>
      </c>
      <c r="Q1417" s="137">
        <v>0.0026</v>
      </c>
      <c r="R1417" s="17">
        <v>0.0</v>
      </c>
      <c r="S1417" s="18">
        <v>0.0</v>
      </c>
      <c r="T1417" s="18">
        <v>2.0</v>
      </c>
      <c r="U1417" s="151">
        <v>0.0</v>
      </c>
      <c r="V1417" s="92" t="s">
        <v>315</v>
      </c>
      <c r="W1417" s="92" t="s">
        <v>3257</v>
      </c>
      <c r="X1417" s="42" t="s">
        <v>2580</v>
      </c>
      <c r="Y1417" s="159">
        <v>46150.0</v>
      </c>
      <c r="Z1417" s="18" t="s">
        <v>4343</v>
      </c>
      <c r="AA1417" s="92">
        <v>25.0</v>
      </c>
      <c r="AB1417" s="52"/>
      <c r="AC1417" s="18">
        <v>25.0</v>
      </c>
      <c r="AD1417" s="14">
        <v>88903.0</v>
      </c>
      <c r="AE1417" s="52"/>
      <c r="AF1417" s="14">
        <v>88903.0</v>
      </c>
      <c r="AG1417" s="22"/>
      <c r="AH1417" s="22"/>
      <c r="AI1417" s="22"/>
      <c r="AJ1417" s="22"/>
      <c r="AK1417" s="22"/>
      <c r="AL1417" s="22"/>
      <c r="AM1417" s="22"/>
      <c r="AN1417" s="22"/>
      <c r="AO1417" s="22"/>
      <c r="AP1417" s="22"/>
    </row>
    <row r="1418" hidden="1">
      <c r="A1418" s="148">
        <v>46150.54166666667</v>
      </c>
      <c r="B1418" s="149">
        <v>46150.54166666667</v>
      </c>
      <c r="C1418" s="11" t="s">
        <v>58</v>
      </c>
      <c r="D1418" s="10" t="s">
        <v>3083</v>
      </c>
      <c r="E1418" s="10" t="s">
        <v>71</v>
      </c>
      <c r="F1418" s="10" t="s">
        <v>4299</v>
      </c>
      <c r="G1418" s="11" t="s">
        <v>4344</v>
      </c>
      <c r="H1418" s="11" t="s">
        <v>4330</v>
      </c>
      <c r="I1418" s="10" t="s">
        <v>61</v>
      </c>
      <c r="J1418" s="14">
        <v>4737.0</v>
      </c>
      <c r="K1418" s="14">
        <v>2798.0</v>
      </c>
      <c r="L1418" s="17">
        <v>0.5906691999155583</v>
      </c>
      <c r="M1418" s="150">
        <v>0.0</v>
      </c>
      <c r="N1418" s="136">
        <v>0.0</v>
      </c>
      <c r="O1418" s="18">
        <v>4.0</v>
      </c>
      <c r="P1418" s="92">
        <v>0.0</v>
      </c>
      <c r="Q1418" s="137">
        <v>0.0014000000000000002</v>
      </c>
      <c r="R1418" s="17">
        <v>0.0</v>
      </c>
      <c r="S1418" s="18">
        <v>1.0</v>
      </c>
      <c r="T1418" s="18">
        <v>1.0</v>
      </c>
      <c r="U1418" s="151">
        <v>1168.0</v>
      </c>
      <c r="V1418" s="92" t="s">
        <v>315</v>
      </c>
      <c r="W1418" s="92" t="s">
        <v>3257</v>
      </c>
      <c r="X1418" s="42" t="s">
        <v>1101</v>
      </c>
      <c r="Y1418" s="159">
        <v>46150.0</v>
      </c>
      <c r="Z1418" s="18" t="s">
        <v>4345</v>
      </c>
      <c r="AA1418" s="92">
        <v>4.0</v>
      </c>
      <c r="AB1418" s="52"/>
      <c r="AC1418" s="18">
        <v>4.0</v>
      </c>
      <c r="AD1418" s="14">
        <v>4995.0</v>
      </c>
      <c r="AE1418" s="52"/>
      <c r="AF1418" s="14">
        <v>4995.0</v>
      </c>
      <c r="AG1418" s="22"/>
      <c r="AH1418" s="22"/>
      <c r="AI1418" s="22"/>
      <c r="AJ1418" s="22"/>
      <c r="AK1418" s="22"/>
      <c r="AL1418" s="22"/>
      <c r="AM1418" s="22"/>
      <c r="AN1418" s="22"/>
      <c r="AO1418" s="22"/>
      <c r="AP1418" s="22"/>
    </row>
    <row r="1419" hidden="1">
      <c r="A1419" s="148">
        <v>46150.54166666667</v>
      </c>
      <c r="B1419" s="149">
        <v>46150.54166666667</v>
      </c>
      <c r="C1419" s="11" t="s">
        <v>58</v>
      </c>
      <c r="D1419" s="10" t="s">
        <v>3083</v>
      </c>
      <c r="E1419" s="10" t="s">
        <v>71</v>
      </c>
      <c r="F1419" s="10" t="s">
        <v>4299</v>
      </c>
      <c r="G1419" s="11" t="s">
        <v>4346</v>
      </c>
      <c r="H1419" s="11" t="s">
        <v>2678</v>
      </c>
      <c r="I1419" s="10" t="s">
        <v>61</v>
      </c>
      <c r="J1419" s="14">
        <v>10492.0</v>
      </c>
      <c r="K1419" s="14">
        <v>5819.0</v>
      </c>
      <c r="L1419" s="17">
        <v>0.554613038505528</v>
      </c>
      <c r="M1419" s="150">
        <v>0.0</v>
      </c>
      <c r="N1419" s="136">
        <v>0.0</v>
      </c>
      <c r="O1419" s="18">
        <v>5.0</v>
      </c>
      <c r="P1419" s="92">
        <v>0.0</v>
      </c>
      <c r="Q1419" s="137">
        <v>9.0E-4</v>
      </c>
      <c r="R1419" s="17">
        <v>0.0</v>
      </c>
      <c r="S1419" s="18">
        <v>1.0</v>
      </c>
      <c r="T1419" s="18">
        <v>1.0</v>
      </c>
      <c r="U1419" s="151">
        <v>999.0</v>
      </c>
      <c r="V1419" s="92" t="s">
        <v>315</v>
      </c>
      <c r="W1419" s="92" t="s">
        <v>3257</v>
      </c>
      <c r="X1419" s="42" t="s">
        <v>52</v>
      </c>
      <c r="Y1419" s="159">
        <v>46150.0</v>
      </c>
      <c r="Z1419" s="18" t="s">
        <v>4347</v>
      </c>
      <c r="AA1419" s="92">
        <v>4.0</v>
      </c>
      <c r="AB1419" s="52"/>
      <c r="AC1419" s="18">
        <v>4.0</v>
      </c>
      <c r="AD1419" s="14">
        <v>7792.0</v>
      </c>
      <c r="AE1419" s="52"/>
      <c r="AF1419" s="14">
        <v>7792.0</v>
      </c>
      <c r="AG1419" s="22"/>
      <c r="AH1419" s="22"/>
      <c r="AI1419" s="22"/>
      <c r="AJ1419" s="22"/>
      <c r="AK1419" s="22"/>
      <c r="AL1419" s="22"/>
      <c r="AM1419" s="22"/>
      <c r="AN1419" s="22"/>
      <c r="AO1419" s="22"/>
      <c r="AP1419" s="22"/>
    </row>
    <row r="1420" hidden="1">
      <c r="A1420" s="148">
        <v>46150.54166666667</v>
      </c>
      <c r="B1420" s="149">
        <v>46150.54166666667</v>
      </c>
      <c r="C1420" s="11" t="s">
        <v>58</v>
      </c>
      <c r="D1420" s="10" t="s">
        <v>3083</v>
      </c>
      <c r="E1420" s="10" t="s">
        <v>71</v>
      </c>
      <c r="F1420" s="10" t="s">
        <v>4299</v>
      </c>
      <c r="G1420" s="11" t="s">
        <v>4348</v>
      </c>
      <c r="H1420" s="11" t="s">
        <v>2666</v>
      </c>
      <c r="I1420" s="10" t="s">
        <v>61</v>
      </c>
      <c r="J1420" s="14">
        <v>51897.0</v>
      </c>
      <c r="K1420" s="14">
        <v>28895.0</v>
      </c>
      <c r="L1420" s="17">
        <v>0.5567759215368904</v>
      </c>
      <c r="M1420" s="150">
        <v>0.0</v>
      </c>
      <c r="N1420" s="136">
        <v>0.0</v>
      </c>
      <c r="O1420" s="18">
        <v>20.0</v>
      </c>
      <c r="P1420" s="92">
        <v>0.0</v>
      </c>
      <c r="Q1420" s="137">
        <v>7.000000000000001E-4</v>
      </c>
      <c r="R1420" s="17">
        <v>0.0</v>
      </c>
      <c r="S1420" s="18">
        <v>2.0</v>
      </c>
      <c r="T1420" s="18">
        <v>4.0</v>
      </c>
      <c r="U1420" s="151">
        <v>3433.0</v>
      </c>
      <c r="V1420" s="92" t="s">
        <v>315</v>
      </c>
      <c r="W1420" s="92" t="s">
        <v>3257</v>
      </c>
      <c r="X1420" s="42" t="s">
        <v>2603</v>
      </c>
      <c r="Y1420" s="159">
        <v>46150.0</v>
      </c>
      <c r="Z1420" s="18" t="s">
        <v>4349</v>
      </c>
      <c r="AA1420" s="92">
        <v>39.0</v>
      </c>
      <c r="AB1420" s="52"/>
      <c r="AC1420" s="18">
        <v>39.0</v>
      </c>
      <c r="AD1420" s="14">
        <v>140255.0</v>
      </c>
      <c r="AE1420" s="52"/>
      <c r="AF1420" s="14">
        <v>140255.0</v>
      </c>
      <c r="AG1420" s="22"/>
      <c r="AH1420" s="22"/>
      <c r="AI1420" s="22"/>
      <c r="AJ1420" s="22"/>
      <c r="AK1420" s="22"/>
      <c r="AL1420" s="22"/>
      <c r="AM1420" s="22"/>
      <c r="AN1420" s="22"/>
      <c r="AO1420" s="22"/>
      <c r="AP1420" s="22"/>
    </row>
    <row r="1421" hidden="1">
      <c r="A1421" s="148">
        <v>46150.54166666667</v>
      </c>
      <c r="B1421" s="149">
        <v>46150.54166666667</v>
      </c>
      <c r="C1421" s="11" t="s">
        <v>58</v>
      </c>
      <c r="D1421" s="10" t="s">
        <v>3083</v>
      </c>
      <c r="E1421" s="10" t="s">
        <v>71</v>
      </c>
      <c r="F1421" s="10" t="s">
        <v>4299</v>
      </c>
      <c r="G1421" s="11" t="s">
        <v>4350</v>
      </c>
      <c r="H1421" s="11" t="s">
        <v>4339</v>
      </c>
      <c r="I1421" s="10" t="s">
        <v>61</v>
      </c>
      <c r="J1421" s="14">
        <v>31101.0</v>
      </c>
      <c r="K1421" s="14">
        <v>17408.0</v>
      </c>
      <c r="L1421" s="17">
        <v>0.5597247676923571</v>
      </c>
      <c r="M1421" s="150">
        <v>0.0</v>
      </c>
      <c r="N1421" s="136">
        <v>0.0</v>
      </c>
      <c r="O1421" s="18">
        <v>19.0</v>
      </c>
      <c r="P1421" s="92">
        <v>0.0</v>
      </c>
      <c r="Q1421" s="137">
        <v>0.0011</v>
      </c>
      <c r="R1421" s="17">
        <v>0.0</v>
      </c>
      <c r="S1421" s="18">
        <v>1.0</v>
      </c>
      <c r="T1421" s="18">
        <v>1.0</v>
      </c>
      <c r="U1421" s="151">
        <v>899.0</v>
      </c>
      <c r="V1421" s="92" t="s">
        <v>315</v>
      </c>
      <c r="W1421" s="92" t="s">
        <v>3257</v>
      </c>
      <c r="X1421" s="42" t="s">
        <v>1101</v>
      </c>
      <c r="Y1421" s="159">
        <v>46150.0</v>
      </c>
      <c r="Z1421" s="18" t="s">
        <v>4351</v>
      </c>
      <c r="AA1421" s="92">
        <v>21.0</v>
      </c>
      <c r="AB1421" s="52"/>
      <c r="AC1421" s="18">
        <v>21.0</v>
      </c>
      <c r="AD1421" s="14">
        <v>78921.0</v>
      </c>
      <c r="AE1421" s="52"/>
      <c r="AF1421" s="14">
        <v>78921.0</v>
      </c>
      <c r="AG1421" s="22"/>
      <c r="AH1421" s="22"/>
      <c r="AI1421" s="22"/>
      <c r="AJ1421" s="22"/>
      <c r="AK1421" s="22"/>
      <c r="AL1421" s="22"/>
      <c r="AM1421" s="22"/>
      <c r="AN1421" s="22"/>
      <c r="AO1421" s="22"/>
      <c r="AP1421" s="22"/>
    </row>
    <row r="1422" hidden="1">
      <c r="A1422" s="148">
        <v>46150.625</v>
      </c>
      <c r="B1422" s="149">
        <v>46150.625</v>
      </c>
      <c r="C1422" s="11" t="s">
        <v>32</v>
      </c>
      <c r="D1422" s="10" t="s">
        <v>3243</v>
      </c>
      <c r="E1422" s="10" t="s">
        <v>34</v>
      </c>
      <c r="F1422" s="10" t="s">
        <v>4352</v>
      </c>
      <c r="G1422" s="11" t="s">
        <v>4353</v>
      </c>
      <c r="H1422" s="11" t="s">
        <v>4354</v>
      </c>
      <c r="I1422" s="28" t="s">
        <v>1101</v>
      </c>
      <c r="J1422" s="14">
        <v>310.0</v>
      </c>
      <c r="K1422" s="14">
        <v>161.0</v>
      </c>
      <c r="L1422" s="17">
        <v>0.5194</v>
      </c>
      <c r="M1422" s="150">
        <v>84.0</v>
      </c>
      <c r="N1422" s="136">
        <v>0.5217</v>
      </c>
      <c r="O1422" s="18">
        <v>43.0</v>
      </c>
      <c r="P1422" s="92">
        <v>29.0</v>
      </c>
      <c r="Q1422" s="137">
        <v>0.1801</v>
      </c>
      <c r="R1422" s="17">
        <v>0.3452</v>
      </c>
      <c r="S1422" s="18">
        <v>0.0</v>
      </c>
      <c r="T1422" s="18">
        <v>1.0</v>
      </c>
      <c r="U1422" s="151">
        <v>0.0</v>
      </c>
      <c r="V1422" s="92"/>
      <c r="W1422" s="92" t="s">
        <v>76</v>
      </c>
      <c r="X1422" s="42" t="s">
        <v>1101</v>
      </c>
      <c r="Y1422" s="92" t="s">
        <v>4355</v>
      </c>
      <c r="Z1422" s="18" t="s">
        <v>4356</v>
      </c>
      <c r="AA1422" s="161"/>
      <c r="AB1422" s="52"/>
      <c r="AC1422" s="52"/>
      <c r="AD1422" s="52"/>
      <c r="AE1422" s="52"/>
      <c r="AF1422" s="52"/>
      <c r="AG1422" s="22"/>
      <c r="AH1422" s="22"/>
      <c r="AI1422" s="22"/>
      <c r="AJ1422" s="22"/>
      <c r="AK1422" s="22"/>
      <c r="AL1422" s="22"/>
      <c r="AM1422" s="22"/>
      <c r="AN1422" s="22"/>
      <c r="AO1422" s="22"/>
      <c r="AP1422" s="22"/>
    </row>
    <row r="1423" hidden="1">
      <c r="A1423" s="148">
        <v>46150.66666666667</v>
      </c>
      <c r="B1423" s="149">
        <v>46150.66666666667</v>
      </c>
      <c r="C1423" s="11" t="s">
        <v>32</v>
      </c>
      <c r="D1423" s="10" t="s">
        <v>3243</v>
      </c>
      <c r="E1423" s="10" t="s">
        <v>217</v>
      </c>
      <c r="F1423" s="10" t="s">
        <v>3676</v>
      </c>
      <c r="G1423" s="11" t="s">
        <v>4357</v>
      </c>
      <c r="H1423" s="11" t="s">
        <v>4358</v>
      </c>
      <c r="I1423" s="10" t="s">
        <v>4359</v>
      </c>
      <c r="J1423" s="14">
        <v>246549.0</v>
      </c>
      <c r="K1423" s="14">
        <v>200347.0</v>
      </c>
      <c r="L1423" s="17">
        <v>0.8123</v>
      </c>
      <c r="M1423" s="150">
        <v>108836.0</v>
      </c>
      <c r="N1423" s="136">
        <v>0.5433</v>
      </c>
      <c r="O1423" s="18">
        <v>3707.0</v>
      </c>
      <c r="P1423" s="92">
        <v>3589.0</v>
      </c>
      <c r="Q1423" s="137">
        <v>0.0179</v>
      </c>
      <c r="R1423" s="17">
        <v>0.033</v>
      </c>
      <c r="S1423" s="18">
        <v>0.0</v>
      </c>
      <c r="T1423" s="18">
        <v>0.0</v>
      </c>
      <c r="U1423" s="151">
        <v>0.0</v>
      </c>
      <c r="V1423" s="92" t="s">
        <v>315</v>
      </c>
      <c r="W1423" s="92" t="s">
        <v>76</v>
      </c>
      <c r="X1423" s="42" t="s">
        <v>1101</v>
      </c>
      <c r="Y1423" s="159" t="s">
        <v>4360</v>
      </c>
      <c r="Z1423" s="18" t="s">
        <v>4361</v>
      </c>
      <c r="AA1423" s="92">
        <v>1580.0</v>
      </c>
      <c r="AB1423" s="52"/>
      <c r="AC1423" s="18">
        <v>1580.0</v>
      </c>
      <c r="AD1423" s="14">
        <v>3312116.0</v>
      </c>
      <c r="AE1423" s="52"/>
      <c r="AF1423" s="14">
        <v>3312116.0</v>
      </c>
      <c r="AG1423" s="22"/>
      <c r="AH1423" s="22"/>
      <c r="AI1423" s="22"/>
      <c r="AJ1423" s="22"/>
      <c r="AK1423" s="22"/>
      <c r="AL1423" s="22"/>
      <c r="AM1423" s="22"/>
      <c r="AN1423" s="22"/>
      <c r="AO1423" s="22"/>
      <c r="AP1423" s="22"/>
    </row>
    <row r="1424" hidden="1">
      <c r="A1424" s="162">
        <v>46150.75</v>
      </c>
      <c r="B1424" s="163">
        <v>46150.75</v>
      </c>
      <c r="C1424" s="29" t="s">
        <v>32</v>
      </c>
      <c r="D1424" s="28" t="s">
        <v>3243</v>
      </c>
      <c r="E1424" s="28" t="s">
        <v>34</v>
      </c>
      <c r="F1424" s="28" t="s">
        <v>4362</v>
      </c>
      <c r="G1424" s="29" t="s">
        <v>4363</v>
      </c>
      <c r="H1424" s="164"/>
      <c r="I1424" s="29" t="s">
        <v>4364</v>
      </c>
      <c r="J1424" s="14">
        <v>2836.0</v>
      </c>
      <c r="K1424" s="14">
        <v>1265.0</v>
      </c>
      <c r="L1424" s="17">
        <v>0.4457</v>
      </c>
      <c r="M1424" s="150">
        <v>607.0</v>
      </c>
      <c r="N1424" s="165">
        <v>0.4794</v>
      </c>
      <c r="O1424" s="18">
        <v>179.0</v>
      </c>
      <c r="P1424" s="92">
        <v>136.0</v>
      </c>
      <c r="Q1424" s="166">
        <v>0.1076</v>
      </c>
      <c r="R1424" s="17">
        <v>0.22440000000000002</v>
      </c>
      <c r="S1424" s="18">
        <v>5.0</v>
      </c>
      <c r="T1424" s="18">
        <v>53.0</v>
      </c>
      <c r="U1424" s="151">
        <v>47380.0</v>
      </c>
      <c r="V1424" s="92" t="s">
        <v>183</v>
      </c>
      <c r="W1424" s="92" t="s">
        <v>76</v>
      </c>
      <c r="X1424" s="42" t="s">
        <v>1101</v>
      </c>
      <c r="Y1424" s="92" t="s">
        <v>4355</v>
      </c>
      <c r="Z1424" s="18" t="s">
        <v>4365</v>
      </c>
      <c r="AA1424" s="161"/>
      <c r="AB1424" s="52"/>
      <c r="AC1424" s="52"/>
      <c r="AD1424" s="52"/>
      <c r="AE1424" s="52"/>
      <c r="AF1424" s="52"/>
      <c r="AG1424" s="22"/>
      <c r="AH1424" s="22"/>
      <c r="AI1424" s="22"/>
      <c r="AJ1424" s="22"/>
      <c r="AK1424" s="22"/>
      <c r="AL1424" s="22"/>
      <c r="AM1424" s="22"/>
      <c r="AN1424" s="22"/>
      <c r="AO1424" s="22"/>
      <c r="AP1424" s="22"/>
    </row>
    <row r="1425" hidden="1">
      <c r="A1425" s="148">
        <v>46151.33333333333</v>
      </c>
      <c r="B1425" s="149">
        <v>46151.33333333333</v>
      </c>
      <c r="C1425" s="11" t="s">
        <v>32</v>
      </c>
      <c r="D1425" s="10" t="s">
        <v>3243</v>
      </c>
      <c r="E1425" s="10" t="s">
        <v>1998</v>
      </c>
      <c r="F1425" s="10" t="s">
        <v>4366</v>
      </c>
      <c r="G1425" s="11" t="s">
        <v>4367</v>
      </c>
      <c r="H1425" s="11" t="s">
        <v>4294</v>
      </c>
      <c r="I1425" s="10" t="s">
        <v>4295</v>
      </c>
      <c r="J1425" s="14">
        <v>12125.0</v>
      </c>
      <c r="K1425" s="14">
        <v>3865.0</v>
      </c>
      <c r="L1425" s="17">
        <v>0.3188</v>
      </c>
      <c r="M1425" s="150">
        <v>1632.0</v>
      </c>
      <c r="N1425" s="136">
        <v>0.4225</v>
      </c>
      <c r="O1425" s="18">
        <v>241.0</v>
      </c>
      <c r="P1425" s="92">
        <v>224.0</v>
      </c>
      <c r="Q1425" s="137">
        <v>0.057999999999999996</v>
      </c>
      <c r="R1425" s="17">
        <v>0.1373</v>
      </c>
      <c r="S1425" s="18">
        <v>1.0</v>
      </c>
      <c r="T1425" s="18">
        <v>1.0</v>
      </c>
      <c r="U1425" s="151">
        <v>4999.0</v>
      </c>
      <c r="V1425" s="92" t="s">
        <v>183</v>
      </c>
      <c r="W1425" s="92" t="s">
        <v>76</v>
      </c>
      <c r="X1425" s="42" t="s">
        <v>4296</v>
      </c>
      <c r="Y1425" s="92" t="s">
        <v>4368</v>
      </c>
      <c r="Z1425" s="18" t="s">
        <v>4369</v>
      </c>
      <c r="AA1425" s="92">
        <v>4.0</v>
      </c>
      <c r="AB1425" s="18">
        <v>2.0</v>
      </c>
      <c r="AC1425" s="18">
        <v>2.0</v>
      </c>
      <c r="AD1425" s="14">
        <v>23438.0</v>
      </c>
      <c r="AE1425" s="14">
        <v>11558.0</v>
      </c>
      <c r="AF1425" s="14">
        <v>11880.0</v>
      </c>
      <c r="AG1425" s="22"/>
      <c r="AH1425" s="22"/>
      <c r="AI1425" s="22"/>
      <c r="AJ1425" s="22"/>
      <c r="AK1425" s="22"/>
      <c r="AL1425" s="22"/>
      <c r="AM1425" s="22"/>
      <c r="AN1425" s="22"/>
      <c r="AO1425" s="22"/>
      <c r="AP1425" s="22"/>
    </row>
    <row r="1426" hidden="1">
      <c r="A1426" s="148">
        <v>46151.5</v>
      </c>
      <c r="B1426" s="149">
        <v>46151.5</v>
      </c>
      <c r="C1426" s="11" t="s">
        <v>32</v>
      </c>
      <c r="D1426" s="10" t="s">
        <v>3243</v>
      </c>
      <c r="E1426" s="10" t="s">
        <v>71</v>
      </c>
      <c r="F1426" s="10" t="s">
        <v>4278</v>
      </c>
      <c r="G1426" s="11" t="s">
        <v>4370</v>
      </c>
      <c r="H1426" s="11" t="s">
        <v>2737</v>
      </c>
      <c r="I1426" s="10" t="s">
        <v>2658</v>
      </c>
      <c r="J1426" s="14">
        <v>15707.0</v>
      </c>
      <c r="K1426" s="14">
        <v>3948.0</v>
      </c>
      <c r="L1426" s="17">
        <v>0.25129999999999997</v>
      </c>
      <c r="M1426" s="150">
        <v>1627.0</v>
      </c>
      <c r="N1426" s="136">
        <v>0.4121</v>
      </c>
      <c r="O1426" s="18">
        <v>88.0</v>
      </c>
      <c r="P1426" s="92">
        <v>82.0</v>
      </c>
      <c r="Q1426" s="137">
        <v>0.0208</v>
      </c>
      <c r="R1426" s="17">
        <v>0.0504</v>
      </c>
      <c r="S1426" s="18">
        <v>1.0</v>
      </c>
      <c r="T1426" s="18">
        <v>3.0</v>
      </c>
      <c r="U1426" s="151">
        <v>5666.0</v>
      </c>
      <c r="V1426" s="92" t="s">
        <v>315</v>
      </c>
      <c r="W1426" s="92" t="s">
        <v>76</v>
      </c>
      <c r="X1426" s="42" t="s">
        <v>2580</v>
      </c>
      <c r="Y1426" s="92" t="s">
        <v>4371</v>
      </c>
      <c r="Z1426" s="18" t="s">
        <v>4372</v>
      </c>
      <c r="AA1426" s="92">
        <v>64.0</v>
      </c>
      <c r="AB1426" s="52"/>
      <c r="AC1426" s="18">
        <v>64.0</v>
      </c>
      <c r="AD1426" s="14">
        <v>233302.0</v>
      </c>
      <c r="AE1426" s="52"/>
      <c r="AF1426" s="14">
        <v>233302.0</v>
      </c>
      <c r="AG1426" s="22"/>
      <c r="AH1426" s="22"/>
      <c r="AI1426" s="22"/>
      <c r="AJ1426" s="22"/>
      <c r="AK1426" s="22"/>
      <c r="AL1426" s="22"/>
      <c r="AM1426" s="22"/>
      <c r="AN1426" s="22"/>
      <c r="AO1426" s="22"/>
      <c r="AP1426" s="22"/>
    </row>
    <row r="1427" hidden="1">
      <c r="A1427" s="148">
        <v>46151.5</v>
      </c>
      <c r="B1427" s="149">
        <v>46151.5</v>
      </c>
      <c r="C1427" s="11" t="s">
        <v>32</v>
      </c>
      <c r="D1427" s="10" t="s">
        <v>3243</v>
      </c>
      <c r="E1427" s="10" t="s">
        <v>71</v>
      </c>
      <c r="F1427" s="10" t="s">
        <v>4278</v>
      </c>
      <c r="G1427" s="11" t="s">
        <v>4373</v>
      </c>
      <c r="H1427" s="11" t="s">
        <v>4330</v>
      </c>
      <c r="I1427" s="140" t="s">
        <v>4331</v>
      </c>
      <c r="J1427" s="14">
        <v>5002.0</v>
      </c>
      <c r="K1427" s="14">
        <v>383.0</v>
      </c>
      <c r="L1427" s="17">
        <v>0.0766</v>
      </c>
      <c r="M1427" s="150">
        <v>121.0</v>
      </c>
      <c r="N1427" s="136">
        <v>0.3159</v>
      </c>
      <c r="O1427" s="18">
        <v>10.0</v>
      </c>
      <c r="P1427" s="92">
        <v>8.0</v>
      </c>
      <c r="Q1427" s="137">
        <v>0.0209</v>
      </c>
      <c r="R1427" s="17">
        <v>0.0661</v>
      </c>
      <c r="S1427" s="18">
        <v>0.0</v>
      </c>
      <c r="T1427" s="18">
        <v>0.0</v>
      </c>
      <c r="U1427" s="151">
        <v>0.0</v>
      </c>
      <c r="V1427" s="92" t="s">
        <v>315</v>
      </c>
      <c r="W1427" s="92" t="s">
        <v>76</v>
      </c>
      <c r="X1427" s="158" t="s">
        <v>4332</v>
      </c>
      <c r="Y1427" s="92" t="s">
        <v>4371</v>
      </c>
      <c r="Z1427" s="18" t="s">
        <v>4374</v>
      </c>
      <c r="AA1427" s="92">
        <v>6.0</v>
      </c>
      <c r="AB1427" s="52"/>
      <c r="AC1427" s="18">
        <v>6.0</v>
      </c>
      <c r="AD1427" s="14">
        <v>13890.0</v>
      </c>
      <c r="AE1427" s="52"/>
      <c r="AF1427" s="14">
        <v>13890.0</v>
      </c>
      <c r="AG1427" s="22"/>
      <c r="AH1427" s="22"/>
      <c r="AI1427" s="22"/>
      <c r="AJ1427" s="22"/>
      <c r="AK1427" s="22"/>
      <c r="AL1427" s="22"/>
      <c r="AM1427" s="22"/>
      <c r="AN1427" s="22"/>
      <c r="AO1427" s="22"/>
      <c r="AP1427" s="22"/>
    </row>
    <row r="1428" hidden="1">
      <c r="A1428" s="148">
        <v>46151.5</v>
      </c>
      <c r="B1428" s="149">
        <v>46151.5</v>
      </c>
      <c r="C1428" s="11" t="s">
        <v>32</v>
      </c>
      <c r="D1428" s="10" t="s">
        <v>3243</v>
      </c>
      <c r="E1428" s="10" t="s">
        <v>71</v>
      </c>
      <c r="F1428" s="10" t="s">
        <v>4278</v>
      </c>
      <c r="G1428" s="11" t="s">
        <v>4375</v>
      </c>
      <c r="H1428" s="11" t="s">
        <v>2678</v>
      </c>
      <c r="I1428" s="10" t="s">
        <v>2679</v>
      </c>
      <c r="J1428" s="14">
        <v>10974.0</v>
      </c>
      <c r="K1428" s="14">
        <v>676.0</v>
      </c>
      <c r="L1428" s="17">
        <v>0.061500000000000006</v>
      </c>
      <c r="M1428" s="150">
        <v>232.0</v>
      </c>
      <c r="N1428" s="136">
        <v>0.34369999999999995</v>
      </c>
      <c r="O1428" s="18">
        <v>11.0</v>
      </c>
      <c r="P1428" s="92">
        <v>11.0</v>
      </c>
      <c r="Q1428" s="137">
        <v>0.0163</v>
      </c>
      <c r="R1428" s="17">
        <v>0.047400000000000005</v>
      </c>
      <c r="S1428" s="18">
        <v>0.0</v>
      </c>
      <c r="T1428" s="18">
        <v>0.0</v>
      </c>
      <c r="U1428" s="151">
        <v>0.0</v>
      </c>
      <c r="V1428" s="92" t="s">
        <v>315</v>
      </c>
      <c r="W1428" s="92" t="s">
        <v>76</v>
      </c>
      <c r="X1428" s="42" t="s">
        <v>52</v>
      </c>
      <c r="Y1428" s="92" t="s">
        <v>4371</v>
      </c>
      <c r="Z1428" s="18" t="s">
        <v>4376</v>
      </c>
      <c r="AA1428" s="16">
        <v>7.0</v>
      </c>
      <c r="AB1428" s="52"/>
      <c r="AC1428" s="14">
        <v>7.0</v>
      </c>
      <c r="AD1428" s="14">
        <v>22689.0</v>
      </c>
      <c r="AE1428" s="52"/>
      <c r="AF1428" s="14">
        <v>22689.0</v>
      </c>
      <c r="AG1428" s="22"/>
      <c r="AH1428" s="22"/>
      <c r="AI1428" s="22"/>
      <c r="AJ1428" s="22"/>
      <c r="AK1428" s="22"/>
      <c r="AL1428" s="22"/>
      <c r="AM1428" s="22"/>
      <c r="AN1428" s="22"/>
      <c r="AO1428" s="22"/>
      <c r="AP1428" s="22"/>
    </row>
    <row r="1429" hidden="1">
      <c r="A1429" s="148">
        <v>46151.5</v>
      </c>
      <c r="B1429" s="149">
        <v>46151.5</v>
      </c>
      <c r="C1429" s="11" t="s">
        <v>32</v>
      </c>
      <c r="D1429" s="10" t="s">
        <v>3243</v>
      </c>
      <c r="E1429" s="10" t="s">
        <v>71</v>
      </c>
      <c r="F1429" s="10" t="s">
        <v>4278</v>
      </c>
      <c r="G1429" s="11" t="s">
        <v>4377</v>
      </c>
      <c r="H1429" s="11" t="s">
        <v>2666</v>
      </c>
      <c r="I1429" s="10" t="s">
        <v>2667</v>
      </c>
      <c r="J1429" s="14">
        <v>52592.0</v>
      </c>
      <c r="K1429" s="14">
        <v>2838.0</v>
      </c>
      <c r="L1429" s="17">
        <v>0.053899999999999997</v>
      </c>
      <c r="M1429" s="150">
        <v>965.0</v>
      </c>
      <c r="N1429" s="136">
        <v>0.34</v>
      </c>
      <c r="O1429" s="18">
        <v>47.0</v>
      </c>
      <c r="P1429" s="92">
        <v>45.0</v>
      </c>
      <c r="Q1429" s="137">
        <v>0.0159</v>
      </c>
      <c r="R1429" s="17">
        <v>0.0467</v>
      </c>
      <c r="S1429" s="18">
        <v>1.0</v>
      </c>
      <c r="T1429" s="18">
        <v>2.0</v>
      </c>
      <c r="U1429" s="151">
        <v>2799.0</v>
      </c>
      <c r="V1429" s="92" t="s">
        <v>315</v>
      </c>
      <c r="W1429" s="92" t="s">
        <v>76</v>
      </c>
      <c r="X1429" s="42" t="s">
        <v>2603</v>
      </c>
      <c r="Y1429" s="92" t="s">
        <v>4371</v>
      </c>
      <c r="Z1429" s="18" t="s">
        <v>4378</v>
      </c>
      <c r="AA1429" s="92">
        <v>17.0</v>
      </c>
      <c r="AB1429" s="52"/>
      <c r="AC1429" s="18">
        <v>17.0</v>
      </c>
      <c r="AD1429" s="14">
        <v>46267.0</v>
      </c>
      <c r="AE1429" s="52"/>
      <c r="AF1429" s="14">
        <v>46267.0</v>
      </c>
      <c r="AG1429" s="22"/>
      <c r="AH1429" s="22"/>
      <c r="AI1429" s="22"/>
      <c r="AJ1429" s="22"/>
      <c r="AK1429" s="22"/>
      <c r="AL1429" s="22"/>
      <c r="AM1429" s="22"/>
      <c r="AN1429" s="22"/>
      <c r="AO1429" s="22"/>
      <c r="AP1429" s="22"/>
    </row>
    <row r="1430" hidden="1">
      <c r="A1430" s="148">
        <v>46151.5</v>
      </c>
      <c r="B1430" s="149">
        <v>46151.5</v>
      </c>
      <c r="C1430" s="11" t="s">
        <v>32</v>
      </c>
      <c r="D1430" s="10" t="s">
        <v>3243</v>
      </c>
      <c r="E1430" s="10" t="s">
        <v>71</v>
      </c>
      <c r="F1430" s="10" t="s">
        <v>4278</v>
      </c>
      <c r="G1430" s="11" t="s">
        <v>4379</v>
      </c>
      <c r="H1430" s="11" t="s">
        <v>4339</v>
      </c>
      <c r="I1430" s="140" t="s">
        <v>4340</v>
      </c>
      <c r="J1430" s="14">
        <v>29640.0</v>
      </c>
      <c r="K1430" s="14">
        <v>1124.0</v>
      </c>
      <c r="L1430" s="17">
        <v>0.0379</v>
      </c>
      <c r="M1430" s="150">
        <v>403.0</v>
      </c>
      <c r="N1430" s="136">
        <v>0.35850000000000004</v>
      </c>
      <c r="O1430" s="18">
        <v>25.0</v>
      </c>
      <c r="P1430" s="92">
        <v>25.0</v>
      </c>
      <c r="Q1430" s="137">
        <v>0.0222</v>
      </c>
      <c r="R1430" s="17">
        <v>0.062</v>
      </c>
      <c r="S1430" s="18">
        <v>0.0</v>
      </c>
      <c r="T1430" s="18">
        <v>0.0</v>
      </c>
      <c r="U1430" s="151">
        <v>0.0</v>
      </c>
      <c r="V1430" s="92" t="s">
        <v>315</v>
      </c>
      <c r="W1430" s="92" t="s">
        <v>76</v>
      </c>
      <c r="X1430" s="158" t="s">
        <v>2552</v>
      </c>
      <c r="Y1430" s="92" t="s">
        <v>4371</v>
      </c>
      <c r="Z1430" s="18" t="s">
        <v>4380</v>
      </c>
      <c r="AA1430" s="92">
        <v>4.0</v>
      </c>
      <c r="AB1430" s="52"/>
      <c r="AC1430" s="18">
        <v>4.0</v>
      </c>
      <c r="AD1430" s="14">
        <v>13492.0</v>
      </c>
      <c r="AE1430" s="52"/>
      <c r="AF1430" s="14">
        <v>13492.0</v>
      </c>
      <c r="AG1430" s="22"/>
      <c r="AH1430" s="22"/>
      <c r="AI1430" s="22"/>
      <c r="AJ1430" s="22"/>
      <c r="AK1430" s="22"/>
      <c r="AL1430" s="22"/>
      <c r="AM1430" s="22"/>
      <c r="AN1430" s="22"/>
      <c r="AO1430" s="22"/>
      <c r="AP1430" s="22"/>
    </row>
    <row r="1431" hidden="1">
      <c r="A1431" s="148">
        <v>46151.5</v>
      </c>
      <c r="B1431" s="149">
        <v>46151.5</v>
      </c>
      <c r="C1431" s="11" t="s">
        <v>58</v>
      </c>
      <c r="D1431" s="10" t="s">
        <v>3083</v>
      </c>
      <c r="E1431" s="10" t="s">
        <v>34</v>
      </c>
      <c r="F1431" s="10" t="s">
        <v>4381</v>
      </c>
      <c r="G1431" s="11" t="s">
        <v>4382</v>
      </c>
      <c r="H1431" s="11" t="s">
        <v>4354</v>
      </c>
      <c r="I1431" s="10" t="s">
        <v>61</v>
      </c>
      <c r="J1431" s="14">
        <v>147.0</v>
      </c>
      <c r="K1431" s="14">
        <v>101.0</v>
      </c>
      <c r="L1431" s="17">
        <v>0.6870748299319728</v>
      </c>
      <c r="M1431" s="150">
        <v>0.0</v>
      </c>
      <c r="N1431" s="136">
        <v>0.0</v>
      </c>
      <c r="O1431" s="18">
        <v>6.0</v>
      </c>
      <c r="P1431" s="92">
        <v>0.0</v>
      </c>
      <c r="Q1431" s="137">
        <v>0.0594</v>
      </c>
      <c r="R1431" s="17">
        <v>0.0</v>
      </c>
      <c r="S1431" s="18">
        <v>0.0</v>
      </c>
      <c r="T1431" s="18">
        <v>2.0</v>
      </c>
      <c r="U1431" s="151">
        <v>0.0</v>
      </c>
      <c r="V1431" s="92" t="s">
        <v>183</v>
      </c>
      <c r="W1431" s="92" t="s">
        <v>3257</v>
      </c>
      <c r="X1431" s="42" t="s">
        <v>1101</v>
      </c>
      <c r="Y1431" s="92" t="s">
        <v>4383</v>
      </c>
      <c r="Z1431" s="18" t="s">
        <v>4384</v>
      </c>
      <c r="AA1431" s="92">
        <v>2.0</v>
      </c>
      <c r="AB1431" s="18">
        <v>2.0</v>
      </c>
      <c r="AC1431" s="18">
        <v>0.0</v>
      </c>
      <c r="AD1431" s="14">
        <v>22195.0</v>
      </c>
      <c r="AE1431" s="14">
        <v>22195.0</v>
      </c>
      <c r="AF1431" s="18">
        <v>0.0</v>
      </c>
      <c r="AG1431" s="22"/>
      <c r="AH1431" s="22"/>
      <c r="AI1431" s="22"/>
      <c r="AJ1431" s="22"/>
      <c r="AK1431" s="22"/>
      <c r="AL1431" s="22"/>
      <c r="AM1431" s="22"/>
      <c r="AN1431" s="22"/>
      <c r="AO1431" s="22"/>
      <c r="AP1431" s="22"/>
    </row>
    <row r="1432" hidden="1">
      <c r="A1432" s="148">
        <v>46151.52083333333</v>
      </c>
      <c r="B1432" s="149">
        <v>46151.52083333333</v>
      </c>
      <c r="C1432" s="11" t="s">
        <v>58</v>
      </c>
      <c r="D1432" s="10" t="s">
        <v>3083</v>
      </c>
      <c r="E1432" s="10" t="s">
        <v>34</v>
      </c>
      <c r="F1432" s="10" t="s">
        <v>4385</v>
      </c>
      <c r="G1432" s="11" t="s">
        <v>4386</v>
      </c>
      <c r="H1432" s="11" t="s">
        <v>4364</v>
      </c>
      <c r="I1432" s="10" t="s">
        <v>61</v>
      </c>
      <c r="J1432" s="14">
        <v>1560.0</v>
      </c>
      <c r="K1432" s="14">
        <v>1037.0</v>
      </c>
      <c r="L1432" s="17">
        <v>0.6647435897435897</v>
      </c>
      <c r="M1432" s="150">
        <v>0.0</v>
      </c>
      <c r="N1432" s="136">
        <v>0.0</v>
      </c>
      <c r="O1432" s="18">
        <v>45.0</v>
      </c>
      <c r="P1432" s="92">
        <v>0.0</v>
      </c>
      <c r="Q1432" s="137">
        <v>0.0434</v>
      </c>
      <c r="R1432" s="17">
        <v>0.0</v>
      </c>
      <c r="S1432" s="18">
        <v>5.0</v>
      </c>
      <c r="T1432" s="18">
        <v>42.0</v>
      </c>
      <c r="U1432" s="151">
        <v>34196.0</v>
      </c>
      <c r="V1432" s="92" t="s">
        <v>183</v>
      </c>
      <c r="W1432" s="92" t="s">
        <v>3257</v>
      </c>
      <c r="X1432" s="42" t="s">
        <v>1101</v>
      </c>
      <c r="Y1432" s="92" t="s">
        <v>4387</v>
      </c>
      <c r="Z1432" s="18" t="s">
        <v>4388</v>
      </c>
      <c r="AA1432" s="92">
        <v>14.0</v>
      </c>
      <c r="AB1432" s="18">
        <v>14.0</v>
      </c>
      <c r="AC1432" s="18">
        <v>0.0</v>
      </c>
      <c r="AD1432" s="14">
        <v>102101.0</v>
      </c>
      <c r="AE1432" s="14">
        <v>102101.0</v>
      </c>
      <c r="AF1432" s="18">
        <v>0.0</v>
      </c>
      <c r="AG1432" s="22"/>
      <c r="AH1432" s="22"/>
      <c r="AI1432" s="22"/>
      <c r="AJ1432" s="22"/>
      <c r="AK1432" s="22"/>
      <c r="AL1432" s="22"/>
      <c r="AM1432" s="22"/>
      <c r="AN1432" s="22"/>
      <c r="AO1432" s="22"/>
      <c r="AP1432" s="22"/>
    </row>
    <row r="1433" hidden="1">
      <c r="A1433" s="148">
        <v>46151.54166666667</v>
      </c>
      <c r="B1433" s="149">
        <v>46151.54166666667</v>
      </c>
      <c r="C1433" s="11" t="s">
        <v>58</v>
      </c>
      <c r="D1433" s="10" t="s">
        <v>3083</v>
      </c>
      <c r="E1433" s="10" t="s">
        <v>71</v>
      </c>
      <c r="F1433" s="10" t="s">
        <v>4299</v>
      </c>
      <c r="G1433" s="11" t="s">
        <v>4389</v>
      </c>
      <c r="H1433" s="11" t="s">
        <v>2737</v>
      </c>
      <c r="I1433" s="10" t="s">
        <v>61</v>
      </c>
      <c r="J1433" s="14">
        <v>11594.0</v>
      </c>
      <c r="K1433" s="14">
        <v>6323.0</v>
      </c>
      <c r="L1433" s="17">
        <v>0.5453682939451441</v>
      </c>
      <c r="M1433" s="150">
        <v>0.0</v>
      </c>
      <c r="N1433" s="136">
        <v>0.0</v>
      </c>
      <c r="O1433" s="18">
        <v>14.0</v>
      </c>
      <c r="P1433" s="92">
        <v>0.0</v>
      </c>
      <c r="Q1433" s="137">
        <v>0.0022</v>
      </c>
      <c r="R1433" s="17">
        <v>0.0</v>
      </c>
      <c r="S1433" s="18">
        <v>1.0</v>
      </c>
      <c r="T1433" s="18">
        <v>0.0</v>
      </c>
      <c r="U1433" s="151">
        <v>2799.0</v>
      </c>
      <c r="V1433" s="92" t="s">
        <v>315</v>
      </c>
      <c r="W1433" s="92" t="s">
        <v>3257</v>
      </c>
      <c r="X1433" s="42" t="s">
        <v>2580</v>
      </c>
      <c r="Y1433" s="159">
        <v>46151.0</v>
      </c>
      <c r="Z1433" s="18" t="s">
        <v>4390</v>
      </c>
      <c r="AA1433" s="92">
        <v>45.0</v>
      </c>
      <c r="AB1433" s="52"/>
      <c r="AC1433" s="18">
        <v>45.0</v>
      </c>
      <c r="AD1433" s="14">
        <v>196675.0</v>
      </c>
      <c r="AE1433" s="52"/>
      <c r="AF1433" s="14">
        <v>196675.0</v>
      </c>
      <c r="AG1433" s="22"/>
      <c r="AH1433" s="22"/>
      <c r="AI1433" s="22"/>
      <c r="AJ1433" s="22"/>
      <c r="AK1433" s="22"/>
      <c r="AL1433" s="22"/>
      <c r="AM1433" s="22"/>
      <c r="AN1433" s="22"/>
      <c r="AO1433" s="22"/>
      <c r="AP1433" s="22"/>
    </row>
    <row r="1434" hidden="1">
      <c r="A1434" s="148">
        <v>46151.54166666667</v>
      </c>
      <c r="B1434" s="149">
        <v>46151.54166666667</v>
      </c>
      <c r="C1434" s="11" t="s">
        <v>58</v>
      </c>
      <c r="D1434" s="10" t="s">
        <v>3083</v>
      </c>
      <c r="E1434" s="10" t="s">
        <v>71</v>
      </c>
      <c r="F1434" s="10" t="s">
        <v>4299</v>
      </c>
      <c r="G1434" s="11" t="s">
        <v>4391</v>
      </c>
      <c r="H1434" s="11" t="s">
        <v>4330</v>
      </c>
      <c r="I1434" s="10" t="s">
        <v>61</v>
      </c>
      <c r="J1434" s="14">
        <v>4439.0</v>
      </c>
      <c r="K1434" s="14">
        <v>2589.0</v>
      </c>
      <c r="L1434" s="17">
        <v>0.5832394683487272</v>
      </c>
      <c r="M1434" s="150">
        <v>0.0</v>
      </c>
      <c r="N1434" s="136">
        <v>0.0</v>
      </c>
      <c r="O1434" s="18">
        <v>5.0</v>
      </c>
      <c r="P1434" s="92">
        <v>0.0</v>
      </c>
      <c r="Q1434" s="137">
        <v>0.0019</v>
      </c>
      <c r="R1434" s="17">
        <v>0.0</v>
      </c>
      <c r="S1434" s="18">
        <v>0.0</v>
      </c>
      <c r="T1434" s="18">
        <v>0.0</v>
      </c>
      <c r="U1434" s="151">
        <v>0.0</v>
      </c>
      <c r="V1434" s="92" t="s">
        <v>315</v>
      </c>
      <c r="W1434" s="92" t="s">
        <v>3257</v>
      </c>
      <c r="X1434" s="42" t="s">
        <v>1101</v>
      </c>
      <c r="Y1434" s="159">
        <v>46151.0</v>
      </c>
      <c r="Z1434" s="18" t="s">
        <v>4392</v>
      </c>
      <c r="AA1434" s="92">
        <v>9.0</v>
      </c>
      <c r="AB1434" s="52"/>
      <c r="AC1434" s="18">
        <v>9.0</v>
      </c>
      <c r="AD1434" s="14">
        <v>21135.0</v>
      </c>
      <c r="AE1434" s="52"/>
      <c r="AF1434" s="14">
        <v>21135.0</v>
      </c>
      <c r="AG1434" s="22"/>
      <c r="AH1434" s="22"/>
      <c r="AI1434" s="22"/>
      <c r="AJ1434" s="22"/>
      <c r="AK1434" s="22"/>
      <c r="AL1434" s="22"/>
      <c r="AM1434" s="22"/>
      <c r="AN1434" s="22"/>
      <c r="AO1434" s="22"/>
      <c r="AP1434" s="22"/>
    </row>
    <row r="1435" hidden="1">
      <c r="A1435" s="148">
        <v>46151.54166666667</v>
      </c>
      <c r="B1435" s="149">
        <v>46151.54166666667</v>
      </c>
      <c r="C1435" s="11" t="s">
        <v>58</v>
      </c>
      <c r="D1435" s="10" t="s">
        <v>3083</v>
      </c>
      <c r="E1435" s="10" t="s">
        <v>71</v>
      </c>
      <c r="F1435" s="10" t="s">
        <v>4299</v>
      </c>
      <c r="G1435" s="11" t="s">
        <v>4393</v>
      </c>
      <c r="H1435" s="11" t="s">
        <v>2678</v>
      </c>
      <c r="I1435" s="10" t="s">
        <v>61</v>
      </c>
      <c r="J1435" s="14">
        <v>10008.0</v>
      </c>
      <c r="K1435" s="14">
        <v>5476.0</v>
      </c>
      <c r="L1435" s="17">
        <v>0.5471622701838529</v>
      </c>
      <c r="M1435" s="150">
        <v>0.0</v>
      </c>
      <c r="N1435" s="136">
        <v>0.0</v>
      </c>
      <c r="O1435" s="18">
        <v>9.0</v>
      </c>
      <c r="P1435" s="92">
        <v>0.0</v>
      </c>
      <c r="Q1435" s="137">
        <v>0.0016</v>
      </c>
      <c r="R1435" s="17">
        <v>0.0</v>
      </c>
      <c r="S1435" s="18">
        <v>1.0</v>
      </c>
      <c r="T1435" s="18">
        <v>1.0</v>
      </c>
      <c r="U1435" s="151">
        <v>5576.0</v>
      </c>
      <c r="V1435" s="92" t="s">
        <v>315</v>
      </c>
      <c r="W1435" s="92" t="s">
        <v>3257</v>
      </c>
      <c r="X1435" s="42" t="s">
        <v>52</v>
      </c>
      <c r="Y1435" s="159">
        <v>46151.0</v>
      </c>
      <c r="Z1435" s="18" t="s">
        <v>4394</v>
      </c>
      <c r="AA1435" s="92">
        <v>20.0</v>
      </c>
      <c r="AB1435" s="52"/>
      <c r="AC1435" s="18">
        <v>20.0</v>
      </c>
      <c r="AD1435" s="14">
        <v>94296.0</v>
      </c>
      <c r="AE1435" s="52"/>
      <c r="AF1435" s="14">
        <v>94296.0</v>
      </c>
      <c r="AG1435" s="22"/>
      <c r="AH1435" s="22"/>
      <c r="AI1435" s="22"/>
      <c r="AJ1435" s="22"/>
      <c r="AK1435" s="22"/>
      <c r="AL1435" s="22"/>
      <c r="AM1435" s="22"/>
      <c r="AN1435" s="22"/>
      <c r="AO1435" s="22"/>
      <c r="AP1435" s="22"/>
    </row>
    <row r="1436" hidden="1">
      <c r="A1436" s="148">
        <v>46151.54166666667</v>
      </c>
      <c r="B1436" s="149">
        <v>46151.54166666667</v>
      </c>
      <c r="C1436" s="11" t="s">
        <v>58</v>
      </c>
      <c r="D1436" s="10" t="s">
        <v>3083</v>
      </c>
      <c r="E1436" s="10" t="s">
        <v>71</v>
      </c>
      <c r="F1436" s="10" t="s">
        <v>4299</v>
      </c>
      <c r="G1436" s="11" t="s">
        <v>4395</v>
      </c>
      <c r="H1436" s="11" t="s">
        <v>2666</v>
      </c>
      <c r="I1436" s="10" t="s">
        <v>61</v>
      </c>
      <c r="J1436" s="14">
        <v>48153.0</v>
      </c>
      <c r="K1436" s="14">
        <v>26531.0</v>
      </c>
      <c r="L1436" s="17">
        <v>0.5509729404190808</v>
      </c>
      <c r="M1436" s="150">
        <v>0.0</v>
      </c>
      <c r="N1436" s="136">
        <v>0.0</v>
      </c>
      <c r="O1436" s="18">
        <v>20.0</v>
      </c>
      <c r="P1436" s="92">
        <v>0.0</v>
      </c>
      <c r="Q1436" s="137">
        <v>8.0E-4</v>
      </c>
      <c r="R1436" s="17">
        <v>0.0</v>
      </c>
      <c r="S1436" s="18">
        <v>1.0</v>
      </c>
      <c r="T1436" s="18">
        <v>0.0</v>
      </c>
      <c r="U1436" s="151">
        <v>1078.0</v>
      </c>
      <c r="V1436" s="92" t="s">
        <v>315</v>
      </c>
      <c r="W1436" s="92" t="s">
        <v>3257</v>
      </c>
      <c r="X1436" s="42" t="s">
        <v>2603</v>
      </c>
      <c r="Y1436" s="159">
        <v>46151.0</v>
      </c>
      <c r="Z1436" s="18" t="s">
        <v>4396</v>
      </c>
      <c r="AA1436" s="92">
        <v>68.0</v>
      </c>
      <c r="AB1436" s="52"/>
      <c r="AC1436" s="18">
        <v>68.0</v>
      </c>
      <c r="AD1436" s="14">
        <v>244560.0</v>
      </c>
      <c r="AE1436" s="52"/>
      <c r="AF1436" s="14">
        <v>244560.0</v>
      </c>
      <c r="AG1436" s="22"/>
      <c r="AH1436" s="22"/>
      <c r="AI1436" s="22"/>
      <c r="AJ1436" s="22"/>
      <c r="AK1436" s="22"/>
      <c r="AL1436" s="22"/>
      <c r="AM1436" s="22"/>
      <c r="AN1436" s="22"/>
      <c r="AO1436" s="22"/>
      <c r="AP1436" s="22"/>
    </row>
    <row r="1437" hidden="1">
      <c r="A1437" s="148">
        <v>46151.54166666667</v>
      </c>
      <c r="B1437" s="149">
        <v>46151.54166666667</v>
      </c>
      <c r="C1437" s="11" t="s">
        <v>58</v>
      </c>
      <c r="D1437" s="10" t="s">
        <v>3083</v>
      </c>
      <c r="E1437" s="10" t="s">
        <v>71</v>
      </c>
      <c r="F1437" s="10" t="s">
        <v>4299</v>
      </c>
      <c r="G1437" s="11" t="s">
        <v>4397</v>
      </c>
      <c r="H1437" s="11" t="s">
        <v>4339</v>
      </c>
      <c r="I1437" s="10" t="s">
        <v>61</v>
      </c>
      <c r="J1437" s="14">
        <v>27858.0</v>
      </c>
      <c r="K1437" s="14">
        <v>15462.0</v>
      </c>
      <c r="L1437" s="17">
        <v>0.5550290760284299</v>
      </c>
      <c r="M1437" s="150">
        <v>0.0</v>
      </c>
      <c r="N1437" s="136">
        <v>0.0</v>
      </c>
      <c r="O1437" s="18">
        <v>26.0</v>
      </c>
      <c r="P1437" s="92">
        <v>0.0</v>
      </c>
      <c r="Q1437" s="137">
        <v>0.0017000000000000001</v>
      </c>
      <c r="R1437" s="17">
        <v>0.0</v>
      </c>
      <c r="S1437" s="18">
        <v>0.0</v>
      </c>
      <c r="T1437" s="18">
        <v>0.0</v>
      </c>
      <c r="U1437" s="151">
        <v>0.0</v>
      </c>
      <c r="V1437" s="92" t="s">
        <v>315</v>
      </c>
      <c r="W1437" s="92" t="s">
        <v>3257</v>
      </c>
      <c r="X1437" s="42" t="s">
        <v>1101</v>
      </c>
      <c r="Y1437" s="159">
        <v>46151.0</v>
      </c>
      <c r="Z1437" s="18" t="s">
        <v>4398</v>
      </c>
      <c r="AA1437" s="92">
        <v>27.0</v>
      </c>
      <c r="AB1437" s="52"/>
      <c r="AC1437" s="18">
        <v>27.0</v>
      </c>
      <c r="AD1437" s="14">
        <v>94844.0</v>
      </c>
      <c r="AE1437" s="52"/>
      <c r="AF1437" s="14">
        <v>94844.0</v>
      </c>
      <c r="AG1437" s="22"/>
      <c r="AH1437" s="22"/>
      <c r="AI1437" s="22"/>
      <c r="AJ1437" s="22"/>
      <c r="AK1437" s="22"/>
      <c r="AL1437" s="22"/>
      <c r="AM1437" s="22"/>
      <c r="AN1437" s="22"/>
      <c r="AO1437" s="22"/>
      <c r="AP1437" s="22"/>
    </row>
    <row r="1438" hidden="1">
      <c r="A1438" s="148">
        <v>46151.59375</v>
      </c>
      <c r="B1438" s="149">
        <v>46151.59375</v>
      </c>
      <c r="C1438" s="11" t="s">
        <v>196</v>
      </c>
      <c r="D1438" s="10" t="s">
        <v>3083</v>
      </c>
      <c r="E1438" s="10" t="s">
        <v>1998</v>
      </c>
      <c r="F1438" s="10" t="s">
        <v>4292</v>
      </c>
      <c r="G1438" s="11" t="s">
        <v>4399</v>
      </c>
      <c r="H1438" s="11" t="s">
        <v>4294</v>
      </c>
      <c r="I1438" s="10" t="s">
        <v>61</v>
      </c>
      <c r="J1438" s="14">
        <v>8202.0</v>
      </c>
      <c r="K1438" s="14">
        <v>686.0</v>
      </c>
      <c r="L1438" s="17">
        <v>0.0836381370397464</v>
      </c>
      <c r="M1438" s="150">
        <v>108.0</v>
      </c>
      <c r="N1438" s="136">
        <v>0.1574</v>
      </c>
      <c r="O1438" s="18">
        <v>5.0</v>
      </c>
      <c r="P1438" s="92">
        <v>0.0</v>
      </c>
      <c r="Q1438" s="137">
        <v>0.0087</v>
      </c>
      <c r="R1438" s="17">
        <v>0.0</v>
      </c>
      <c r="S1438" s="18">
        <v>0.0</v>
      </c>
      <c r="T1438" s="18">
        <v>1.0</v>
      </c>
      <c r="U1438" s="151">
        <v>0.0</v>
      </c>
      <c r="V1438" s="92" t="s">
        <v>183</v>
      </c>
      <c r="W1438" s="92" t="s">
        <v>3739</v>
      </c>
      <c r="X1438" s="42" t="s">
        <v>4296</v>
      </c>
      <c r="Y1438" s="92" t="s">
        <v>4400</v>
      </c>
      <c r="Z1438" s="18" t="s">
        <v>4401</v>
      </c>
      <c r="AA1438" s="92">
        <v>0.0</v>
      </c>
      <c r="AB1438" s="18">
        <v>0.0</v>
      </c>
      <c r="AC1438" s="18">
        <v>0.0</v>
      </c>
      <c r="AD1438" s="18">
        <v>0.0</v>
      </c>
      <c r="AE1438" s="18">
        <v>0.0</v>
      </c>
      <c r="AF1438" s="18">
        <v>0.0</v>
      </c>
      <c r="AG1438" s="22"/>
      <c r="AH1438" s="22"/>
      <c r="AI1438" s="22"/>
      <c r="AJ1438" s="22"/>
      <c r="AK1438" s="22"/>
      <c r="AL1438" s="22"/>
      <c r="AM1438" s="22"/>
      <c r="AN1438" s="22"/>
      <c r="AO1438" s="22"/>
      <c r="AP1438" s="22"/>
    </row>
    <row r="1439" hidden="1">
      <c r="A1439" s="148">
        <v>46151.63541666667</v>
      </c>
      <c r="B1439" s="149">
        <v>46151.63541666667</v>
      </c>
      <c r="C1439" s="11" t="s">
        <v>58</v>
      </c>
      <c r="D1439" s="10" t="s">
        <v>3083</v>
      </c>
      <c r="E1439" s="10" t="s">
        <v>1998</v>
      </c>
      <c r="F1439" s="10" t="s">
        <v>4292</v>
      </c>
      <c r="G1439" s="11" t="s">
        <v>4402</v>
      </c>
      <c r="H1439" s="11" t="s">
        <v>4294</v>
      </c>
      <c r="I1439" s="10" t="s">
        <v>2956</v>
      </c>
      <c r="J1439" s="14">
        <v>7535.0</v>
      </c>
      <c r="K1439" s="14">
        <v>4386.0</v>
      </c>
      <c r="L1439" s="17">
        <v>0.5820836098208361</v>
      </c>
      <c r="M1439" s="150">
        <v>0.0</v>
      </c>
      <c r="N1439" s="136">
        <v>0.0</v>
      </c>
      <c r="O1439" s="18">
        <v>2.0</v>
      </c>
      <c r="P1439" s="92">
        <v>0.0</v>
      </c>
      <c r="Q1439" s="137">
        <v>5.0E-4</v>
      </c>
      <c r="R1439" s="17">
        <v>0.0</v>
      </c>
      <c r="S1439" s="18">
        <v>0.0</v>
      </c>
      <c r="T1439" s="18">
        <v>2.0</v>
      </c>
      <c r="U1439" s="151">
        <v>0.0</v>
      </c>
      <c r="V1439" s="92" t="s">
        <v>183</v>
      </c>
      <c r="W1439" s="92" t="s">
        <v>3257</v>
      </c>
      <c r="X1439" s="42" t="s">
        <v>4296</v>
      </c>
      <c r="Y1439" s="92" t="s">
        <v>4400</v>
      </c>
      <c r="Z1439" s="18" t="s">
        <v>4403</v>
      </c>
      <c r="AA1439" s="92">
        <v>5.0</v>
      </c>
      <c r="AB1439" s="18">
        <v>3.0</v>
      </c>
      <c r="AC1439" s="18">
        <v>2.0</v>
      </c>
      <c r="AD1439" s="14">
        <v>28897.0</v>
      </c>
      <c r="AE1439" s="14">
        <v>23317.0</v>
      </c>
      <c r="AF1439" s="14">
        <v>5580.0</v>
      </c>
      <c r="AG1439" s="22"/>
      <c r="AH1439" s="22"/>
      <c r="AI1439" s="22"/>
      <c r="AJ1439" s="22"/>
      <c r="AK1439" s="22"/>
      <c r="AL1439" s="22"/>
      <c r="AM1439" s="22"/>
      <c r="AN1439" s="22"/>
      <c r="AO1439" s="22"/>
      <c r="AP1439" s="22"/>
    </row>
    <row r="1440" hidden="1">
      <c r="A1440" s="148">
        <v>46152.5</v>
      </c>
      <c r="B1440" s="149">
        <v>46152.5</v>
      </c>
      <c r="C1440" s="11" t="s">
        <v>32</v>
      </c>
      <c r="D1440" s="10" t="s">
        <v>3243</v>
      </c>
      <c r="E1440" s="10" t="s">
        <v>179</v>
      </c>
      <c r="F1440" s="10" t="s">
        <v>4241</v>
      </c>
      <c r="G1440" s="11" t="s">
        <v>4404</v>
      </c>
      <c r="H1440" s="11" t="s">
        <v>4249</v>
      </c>
      <c r="I1440" s="10" t="s">
        <v>4250</v>
      </c>
      <c r="J1440" s="14">
        <v>8270.0</v>
      </c>
      <c r="K1440" s="14">
        <v>4270.0</v>
      </c>
      <c r="L1440" s="17">
        <v>0.5165</v>
      </c>
      <c r="M1440" s="150">
        <v>973.0</v>
      </c>
      <c r="N1440" s="136">
        <v>0.2279</v>
      </c>
      <c r="O1440" s="18">
        <v>134.0</v>
      </c>
      <c r="P1440" s="92">
        <v>124.0</v>
      </c>
      <c r="Q1440" s="137">
        <v>0.028999999999999998</v>
      </c>
      <c r="R1440" s="17">
        <v>0.1274</v>
      </c>
      <c r="S1440" s="18">
        <v>31.0</v>
      </c>
      <c r="T1440" s="18">
        <v>75.0</v>
      </c>
      <c r="U1440" s="151">
        <v>80218.0</v>
      </c>
      <c r="V1440" s="92" t="s">
        <v>335</v>
      </c>
      <c r="W1440" s="92" t="s">
        <v>76</v>
      </c>
      <c r="X1440" s="42" t="s">
        <v>4251</v>
      </c>
      <c r="Y1440" s="92" t="s">
        <v>4246</v>
      </c>
      <c r="Z1440" s="18" t="s">
        <v>4405</v>
      </c>
      <c r="AA1440" s="152">
        <v>49.0</v>
      </c>
      <c r="AB1440" s="152">
        <v>49.0</v>
      </c>
      <c r="AC1440" s="156"/>
      <c r="AD1440" s="154">
        <v>258814.0</v>
      </c>
      <c r="AE1440" s="154">
        <v>258814.0</v>
      </c>
      <c r="AF1440" s="156"/>
      <c r="AG1440" s="22"/>
      <c r="AH1440" s="22"/>
      <c r="AI1440" s="22"/>
      <c r="AJ1440" s="22"/>
      <c r="AK1440" s="22"/>
      <c r="AL1440" s="22"/>
      <c r="AM1440" s="22"/>
      <c r="AN1440" s="22"/>
      <c r="AO1440" s="22"/>
      <c r="AP1440" s="22"/>
    </row>
    <row r="1441" hidden="1">
      <c r="A1441" s="148">
        <v>46152.50347222222</v>
      </c>
      <c r="B1441" s="149">
        <v>46152.50347222222</v>
      </c>
      <c r="C1441" s="11" t="s">
        <v>32</v>
      </c>
      <c r="D1441" s="10" t="s">
        <v>3243</v>
      </c>
      <c r="E1441" s="10" t="s">
        <v>179</v>
      </c>
      <c r="F1441" s="10" t="s">
        <v>4241</v>
      </c>
      <c r="G1441" s="11" t="s">
        <v>4406</v>
      </c>
      <c r="H1441" s="11" t="s">
        <v>4254</v>
      </c>
      <c r="I1441" s="10" t="s">
        <v>4255</v>
      </c>
      <c r="J1441" s="14">
        <v>66630.0</v>
      </c>
      <c r="K1441" s="14">
        <v>33394.0</v>
      </c>
      <c r="L1441" s="17">
        <v>0.5012</v>
      </c>
      <c r="M1441" s="150">
        <v>6716.0</v>
      </c>
      <c r="N1441" s="136">
        <v>0.2011</v>
      </c>
      <c r="O1441" s="18">
        <v>594.0</v>
      </c>
      <c r="P1441" s="92">
        <v>543.0</v>
      </c>
      <c r="Q1441" s="137">
        <v>0.0163</v>
      </c>
      <c r="R1441" s="17">
        <v>0.0809</v>
      </c>
      <c r="S1441" s="18">
        <v>11.0</v>
      </c>
      <c r="T1441" s="18">
        <v>20.0</v>
      </c>
      <c r="U1441" s="151">
        <v>20625.0</v>
      </c>
      <c r="V1441" s="92" t="s">
        <v>335</v>
      </c>
      <c r="W1441" s="92" t="s">
        <v>76</v>
      </c>
      <c r="X1441" s="42" t="s">
        <v>4256</v>
      </c>
      <c r="Y1441" s="92" t="s">
        <v>4246</v>
      </c>
      <c r="Z1441" s="18" t="s">
        <v>4407</v>
      </c>
      <c r="AA1441" s="152">
        <v>243.0</v>
      </c>
      <c r="AB1441" s="152">
        <v>243.0</v>
      </c>
      <c r="AC1441" s="156"/>
      <c r="AD1441" s="154">
        <v>292866.0</v>
      </c>
      <c r="AE1441" s="154">
        <v>292866.0</v>
      </c>
      <c r="AF1441" s="156"/>
      <c r="AG1441" s="22"/>
      <c r="AH1441" s="22"/>
      <c r="AI1441" s="22"/>
      <c r="AJ1441" s="22"/>
      <c r="AK1441" s="22"/>
      <c r="AL1441" s="22"/>
      <c r="AM1441" s="22"/>
      <c r="AN1441" s="22"/>
      <c r="AO1441" s="22"/>
      <c r="AP1441" s="22"/>
    </row>
    <row r="1442" hidden="1">
      <c r="A1442" s="148">
        <v>46152.506944444445</v>
      </c>
      <c r="B1442" s="149">
        <v>46152.506944444445</v>
      </c>
      <c r="C1442" s="11" t="s">
        <v>32</v>
      </c>
      <c r="D1442" s="10" t="s">
        <v>3243</v>
      </c>
      <c r="E1442" s="10" t="s">
        <v>179</v>
      </c>
      <c r="F1442" s="10" t="s">
        <v>4241</v>
      </c>
      <c r="G1442" s="11" t="s">
        <v>4408</v>
      </c>
      <c r="H1442" s="11" t="s">
        <v>4259</v>
      </c>
      <c r="I1442" s="10" t="s">
        <v>4260</v>
      </c>
      <c r="J1442" s="14">
        <v>32476.0</v>
      </c>
      <c r="K1442" s="14">
        <v>12952.0</v>
      </c>
      <c r="L1442" s="17">
        <v>0.3987</v>
      </c>
      <c r="M1442" s="150">
        <v>1857.0</v>
      </c>
      <c r="N1442" s="136">
        <v>0.1434</v>
      </c>
      <c r="O1442" s="18">
        <v>94.0</v>
      </c>
      <c r="P1442" s="92">
        <v>90.0</v>
      </c>
      <c r="Q1442" s="137">
        <v>0.006999999999999999</v>
      </c>
      <c r="R1442" s="17">
        <v>0.048499999999999995</v>
      </c>
      <c r="S1442" s="18">
        <v>9.0</v>
      </c>
      <c r="T1442" s="18">
        <v>10.0</v>
      </c>
      <c r="U1442" s="151">
        <v>83658.0</v>
      </c>
      <c r="V1442" s="92" t="s">
        <v>335</v>
      </c>
      <c r="W1442" s="92" t="s">
        <v>76</v>
      </c>
      <c r="X1442" s="42" t="s">
        <v>4261</v>
      </c>
      <c r="Y1442" s="92" t="s">
        <v>4246</v>
      </c>
      <c r="Z1442" s="18" t="s">
        <v>4409</v>
      </c>
      <c r="AA1442" s="152">
        <v>171.0</v>
      </c>
      <c r="AB1442" s="152">
        <v>171.0</v>
      </c>
      <c r="AC1442" s="156"/>
      <c r="AD1442" s="154">
        <v>919382.0</v>
      </c>
      <c r="AE1442" s="154">
        <v>919382.0</v>
      </c>
      <c r="AF1442" s="156"/>
      <c r="AG1442" s="22"/>
      <c r="AH1442" s="22"/>
      <c r="AI1442" s="22"/>
      <c r="AJ1442" s="22"/>
      <c r="AK1442" s="22"/>
      <c r="AL1442" s="22"/>
      <c r="AM1442" s="22"/>
      <c r="AN1442" s="22"/>
      <c r="AO1442" s="22"/>
      <c r="AP1442" s="22"/>
    </row>
    <row r="1443" hidden="1">
      <c r="A1443" s="148">
        <v>46152.51041666667</v>
      </c>
      <c r="B1443" s="149">
        <v>46152.51041666667</v>
      </c>
      <c r="C1443" s="11" t="s">
        <v>32</v>
      </c>
      <c r="D1443" s="10" t="s">
        <v>3243</v>
      </c>
      <c r="E1443" s="10" t="s">
        <v>179</v>
      </c>
      <c r="F1443" s="10" t="s">
        <v>4241</v>
      </c>
      <c r="G1443" s="11" t="s">
        <v>4410</v>
      </c>
      <c r="H1443" s="11" t="s">
        <v>4264</v>
      </c>
      <c r="I1443" s="10" t="s">
        <v>4265</v>
      </c>
      <c r="J1443" s="14">
        <v>109277.0</v>
      </c>
      <c r="K1443" s="14">
        <v>52634.0</v>
      </c>
      <c r="L1443" s="17">
        <v>0.4815</v>
      </c>
      <c r="M1443" s="150">
        <v>9678.0</v>
      </c>
      <c r="N1443" s="136">
        <v>0.1839</v>
      </c>
      <c r="O1443" s="18">
        <v>634.0</v>
      </c>
      <c r="P1443" s="92">
        <v>595.0</v>
      </c>
      <c r="Q1443" s="137">
        <v>0.0113</v>
      </c>
      <c r="R1443" s="17">
        <v>0.061500000000000006</v>
      </c>
      <c r="S1443" s="18">
        <v>19.0</v>
      </c>
      <c r="T1443" s="18">
        <v>25.0</v>
      </c>
      <c r="U1443" s="151">
        <v>39547.0</v>
      </c>
      <c r="V1443" s="92" t="s">
        <v>335</v>
      </c>
      <c r="W1443" s="92" t="s">
        <v>76</v>
      </c>
      <c r="X1443" s="42" t="s">
        <v>111</v>
      </c>
      <c r="Y1443" s="92" t="s">
        <v>4246</v>
      </c>
      <c r="Z1443" s="18" t="s">
        <v>4411</v>
      </c>
      <c r="AA1443" s="154">
        <v>1047.0</v>
      </c>
      <c r="AB1443" s="154">
        <v>1047.0</v>
      </c>
      <c r="AC1443" s="156"/>
      <c r="AD1443" s="154">
        <v>4390672.0</v>
      </c>
      <c r="AE1443" s="154">
        <v>4390672.0</v>
      </c>
      <c r="AF1443" s="156"/>
      <c r="AG1443" s="22"/>
      <c r="AH1443" s="22"/>
      <c r="AI1443" s="22"/>
      <c r="AJ1443" s="22"/>
      <c r="AK1443" s="22"/>
      <c r="AL1443" s="22"/>
      <c r="AM1443" s="22"/>
      <c r="AN1443" s="22"/>
      <c r="AO1443" s="22"/>
      <c r="AP1443" s="22"/>
    </row>
    <row r="1444" hidden="1">
      <c r="A1444" s="148">
        <v>46152.5625</v>
      </c>
      <c r="B1444" s="149">
        <v>46152.5625</v>
      </c>
      <c r="C1444" s="11" t="s">
        <v>58</v>
      </c>
      <c r="D1444" s="10" t="s">
        <v>3083</v>
      </c>
      <c r="E1444" s="10" t="s">
        <v>179</v>
      </c>
      <c r="F1444" s="10" t="s">
        <v>4241</v>
      </c>
      <c r="G1444" s="11" t="s">
        <v>4270</v>
      </c>
      <c r="H1444" s="11" t="s">
        <v>4249</v>
      </c>
      <c r="I1444" s="10" t="s">
        <v>61</v>
      </c>
      <c r="J1444" s="14">
        <v>3738.0</v>
      </c>
      <c r="K1444" s="14">
        <v>2463.0</v>
      </c>
      <c r="L1444" s="17">
        <v>0.658908507223114</v>
      </c>
      <c r="M1444" s="150">
        <v>0.0</v>
      </c>
      <c r="N1444" s="136">
        <v>0.0</v>
      </c>
      <c r="O1444" s="18">
        <v>7.0</v>
      </c>
      <c r="P1444" s="92">
        <v>0.0</v>
      </c>
      <c r="Q1444" s="137">
        <v>0.0028000000000000004</v>
      </c>
      <c r="R1444" s="17">
        <v>0.0</v>
      </c>
      <c r="S1444" s="18">
        <v>11.0</v>
      </c>
      <c r="T1444" s="18">
        <v>27.0</v>
      </c>
      <c r="U1444" s="151">
        <v>35173.0</v>
      </c>
      <c r="V1444" s="92" t="s">
        <v>335</v>
      </c>
      <c r="W1444" s="92" t="s">
        <v>3257</v>
      </c>
      <c r="X1444" s="42" t="s">
        <v>4251</v>
      </c>
      <c r="Y1444" s="92" t="s">
        <v>4246</v>
      </c>
      <c r="Z1444" s="18" t="s">
        <v>4412</v>
      </c>
      <c r="AA1444" s="152">
        <v>38.0</v>
      </c>
      <c r="AB1444" s="152">
        <v>38.0</v>
      </c>
      <c r="AC1444" s="153"/>
      <c r="AD1444" s="154">
        <v>151505.0</v>
      </c>
      <c r="AE1444" s="154">
        <v>151505.0</v>
      </c>
      <c r="AF1444" s="153"/>
      <c r="AG1444" s="22"/>
      <c r="AH1444" s="22"/>
      <c r="AI1444" s="22"/>
      <c r="AJ1444" s="22"/>
      <c r="AK1444" s="22"/>
      <c r="AL1444" s="22"/>
      <c r="AM1444" s="22"/>
      <c r="AN1444" s="22"/>
      <c r="AO1444" s="22"/>
      <c r="AP1444" s="22"/>
    </row>
    <row r="1445" hidden="1">
      <c r="A1445" s="148">
        <v>46152.5625</v>
      </c>
      <c r="B1445" s="149">
        <v>46152.5625</v>
      </c>
      <c r="C1445" s="11" t="s">
        <v>58</v>
      </c>
      <c r="D1445" s="10" t="s">
        <v>3083</v>
      </c>
      <c r="E1445" s="10" t="s">
        <v>179</v>
      </c>
      <c r="F1445" s="10" t="s">
        <v>4241</v>
      </c>
      <c r="G1445" s="11" t="s">
        <v>4272</v>
      </c>
      <c r="H1445" s="11" t="s">
        <v>4254</v>
      </c>
      <c r="I1445" s="10" t="s">
        <v>61</v>
      </c>
      <c r="J1445" s="14">
        <v>30632.0</v>
      </c>
      <c r="K1445" s="14">
        <v>21440.0</v>
      </c>
      <c r="L1445" s="17">
        <v>0.6999216505615043</v>
      </c>
      <c r="M1445" s="150">
        <v>0.0</v>
      </c>
      <c r="N1445" s="136">
        <v>0.0</v>
      </c>
      <c r="O1445" s="18">
        <v>65.0</v>
      </c>
      <c r="P1445" s="92">
        <v>0.0</v>
      </c>
      <c r="Q1445" s="137">
        <v>0.003</v>
      </c>
      <c r="R1445" s="17">
        <v>0.0</v>
      </c>
      <c r="S1445" s="18">
        <v>2.0</v>
      </c>
      <c r="T1445" s="18">
        <v>5.0</v>
      </c>
      <c r="U1445" s="151">
        <v>4161.0</v>
      </c>
      <c r="V1445" s="92" t="s">
        <v>335</v>
      </c>
      <c r="W1445" s="92" t="s">
        <v>3257</v>
      </c>
      <c r="X1445" s="42" t="s">
        <v>4256</v>
      </c>
      <c r="Y1445" s="92" t="s">
        <v>4246</v>
      </c>
      <c r="Z1445" s="18" t="s">
        <v>4413</v>
      </c>
      <c r="AA1445" s="152">
        <v>108.0</v>
      </c>
      <c r="AB1445" s="152">
        <v>108.0</v>
      </c>
      <c r="AC1445" s="156"/>
      <c r="AD1445" s="154">
        <v>139411.0</v>
      </c>
      <c r="AE1445" s="154">
        <v>139411.0</v>
      </c>
      <c r="AF1445" s="156"/>
      <c r="AG1445" s="22"/>
      <c r="AH1445" s="22"/>
      <c r="AI1445" s="22"/>
      <c r="AJ1445" s="22"/>
      <c r="AK1445" s="22"/>
      <c r="AL1445" s="22"/>
      <c r="AM1445" s="22"/>
      <c r="AN1445" s="22"/>
      <c r="AO1445" s="22"/>
      <c r="AP1445" s="22"/>
    </row>
    <row r="1446" hidden="1">
      <c r="A1446" s="148">
        <v>46152.5625</v>
      </c>
      <c r="B1446" s="149">
        <v>46152.5625</v>
      </c>
      <c r="C1446" s="11" t="s">
        <v>58</v>
      </c>
      <c r="D1446" s="10" t="s">
        <v>3083</v>
      </c>
      <c r="E1446" s="10" t="s">
        <v>179</v>
      </c>
      <c r="F1446" s="10" t="s">
        <v>4414</v>
      </c>
      <c r="G1446" s="11" t="s">
        <v>4415</v>
      </c>
      <c r="H1446" s="11" t="s">
        <v>4259</v>
      </c>
      <c r="I1446" s="10" t="s">
        <v>61</v>
      </c>
      <c r="J1446" s="14">
        <v>17660.0</v>
      </c>
      <c r="K1446" s="14">
        <v>10201.0</v>
      </c>
      <c r="L1446" s="17">
        <v>0.5776330690826728</v>
      </c>
      <c r="M1446" s="150">
        <v>0.0</v>
      </c>
      <c r="N1446" s="136">
        <v>0.0</v>
      </c>
      <c r="O1446" s="18">
        <v>26.0</v>
      </c>
      <c r="P1446" s="92">
        <v>0.0</v>
      </c>
      <c r="Q1446" s="137">
        <v>0.0025</v>
      </c>
      <c r="R1446" s="17">
        <v>0.0</v>
      </c>
      <c r="S1446" s="18">
        <v>7.0</v>
      </c>
      <c r="T1446" s="18">
        <v>11.0</v>
      </c>
      <c r="U1446" s="151">
        <v>30798.0</v>
      </c>
      <c r="V1446" s="92" t="s">
        <v>335</v>
      </c>
      <c r="W1446" s="92" t="s">
        <v>3257</v>
      </c>
      <c r="X1446" s="42" t="s">
        <v>4261</v>
      </c>
      <c r="Y1446" s="92" t="s">
        <v>4246</v>
      </c>
      <c r="Z1446" s="18" t="s">
        <v>4416</v>
      </c>
      <c r="AA1446" s="152">
        <v>90.0</v>
      </c>
      <c r="AB1446" s="152">
        <v>90.0</v>
      </c>
      <c r="AC1446" s="156"/>
      <c r="AD1446" s="154">
        <v>474693.0</v>
      </c>
      <c r="AE1446" s="154">
        <v>474693.0</v>
      </c>
      <c r="AF1446" s="153"/>
      <c r="AG1446" s="22"/>
      <c r="AH1446" s="22"/>
      <c r="AI1446" s="22"/>
      <c r="AJ1446" s="22"/>
      <c r="AK1446" s="22"/>
      <c r="AL1446" s="22"/>
      <c r="AM1446" s="22"/>
      <c r="AN1446" s="22"/>
      <c r="AO1446" s="22"/>
      <c r="AP1446" s="22"/>
    </row>
    <row r="1447" hidden="1">
      <c r="A1447" s="148">
        <v>46152.5625</v>
      </c>
      <c r="B1447" s="149">
        <v>46152.5625</v>
      </c>
      <c r="C1447" s="11" t="s">
        <v>58</v>
      </c>
      <c r="D1447" s="10" t="s">
        <v>3083</v>
      </c>
      <c r="E1447" s="10" t="s">
        <v>179</v>
      </c>
      <c r="F1447" s="10" t="s">
        <v>4414</v>
      </c>
      <c r="G1447" s="11" t="s">
        <v>4417</v>
      </c>
      <c r="H1447" s="11" t="s">
        <v>4264</v>
      </c>
      <c r="I1447" s="10" t="s">
        <v>61</v>
      </c>
      <c r="J1447" s="14">
        <v>51729.0</v>
      </c>
      <c r="K1447" s="14">
        <v>31956.0</v>
      </c>
      <c r="L1447" s="17">
        <v>0.617757930754509</v>
      </c>
      <c r="M1447" s="150">
        <v>0.0</v>
      </c>
      <c r="N1447" s="136">
        <v>0.0</v>
      </c>
      <c r="O1447" s="18">
        <v>57.0</v>
      </c>
      <c r="P1447" s="92">
        <v>0.0</v>
      </c>
      <c r="Q1447" s="137">
        <v>0.0018</v>
      </c>
      <c r="R1447" s="17">
        <v>0.0</v>
      </c>
      <c r="S1447" s="18">
        <v>2.0</v>
      </c>
      <c r="T1447" s="18">
        <v>6.0</v>
      </c>
      <c r="U1447" s="151">
        <v>7934.0</v>
      </c>
      <c r="V1447" s="92" t="s">
        <v>335</v>
      </c>
      <c r="W1447" s="92" t="s">
        <v>3257</v>
      </c>
      <c r="X1447" s="42" t="s">
        <v>111</v>
      </c>
      <c r="Y1447" s="92" t="s">
        <v>4246</v>
      </c>
      <c r="Z1447" s="18" t="s">
        <v>4418</v>
      </c>
      <c r="AA1447" s="152">
        <v>551.0</v>
      </c>
      <c r="AB1447" s="152">
        <v>551.0</v>
      </c>
      <c r="AC1447" s="153"/>
      <c r="AD1447" s="154">
        <v>4669032.0</v>
      </c>
      <c r="AE1447" s="154">
        <v>4669032.0</v>
      </c>
      <c r="AF1447" s="153"/>
      <c r="AG1447" s="22"/>
      <c r="AH1447" s="22"/>
      <c r="AI1447" s="22"/>
      <c r="AJ1447" s="22"/>
      <c r="AK1447" s="22"/>
      <c r="AL1447" s="22"/>
      <c r="AM1447" s="22"/>
      <c r="AN1447" s="22"/>
      <c r="AO1447" s="22"/>
      <c r="AP1447" s="22"/>
    </row>
    <row r="1448" hidden="1">
      <c r="A1448" s="148">
        <v>46152.75</v>
      </c>
      <c r="B1448" s="149">
        <v>46152.75</v>
      </c>
      <c r="C1448" s="11" t="s">
        <v>32</v>
      </c>
      <c r="D1448" s="10" t="s">
        <v>3243</v>
      </c>
      <c r="E1448" s="10" t="s">
        <v>71</v>
      </c>
      <c r="F1448" s="10" t="s">
        <v>4278</v>
      </c>
      <c r="G1448" s="11" t="s">
        <v>4419</v>
      </c>
      <c r="H1448" s="11" t="s">
        <v>4280</v>
      </c>
      <c r="I1448" s="10" t="s">
        <v>2579</v>
      </c>
      <c r="J1448" s="14">
        <v>36842.0</v>
      </c>
      <c r="K1448" s="14">
        <v>12507.0</v>
      </c>
      <c r="L1448" s="17">
        <v>0.3394</v>
      </c>
      <c r="M1448" s="150">
        <v>4194.0</v>
      </c>
      <c r="N1448" s="136">
        <v>0.3354</v>
      </c>
      <c r="O1448" s="18">
        <v>284.0</v>
      </c>
      <c r="P1448" s="92">
        <v>265.0</v>
      </c>
      <c r="Q1448" s="137">
        <v>0.0212</v>
      </c>
      <c r="R1448" s="17">
        <v>0.0632</v>
      </c>
      <c r="S1448" s="18">
        <v>2.0</v>
      </c>
      <c r="T1448" s="18">
        <v>9.0</v>
      </c>
      <c r="U1448" s="151">
        <v>3798.0</v>
      </c>
      <c r="V1448" s="92" t="s">
        <v>335</v>
      </c>
      <c r="W1448" s="92" t="s">
        <v>76</v>
      </c>
      <c r="X1448" s="42" t="s">
        <v>2580</v>
      </c>
      <c r="Y1448" s="42" t="s">
        <v>4420</v>
      </c>
      <c r="Z1448" s="18" t="s">
        <v>4421</v>
      </c>
      <c r="AA1448" s="92">
        <v>75.0</v>
      </c>
      <c r="AB1448" s="18">
        <v>75.0</v>
      </c>
      <c r="AC1448" s="52"/>
      <c r="AD1448" s="14">
        <v>195704.0</v>
      </c>
      <c r="AE1448" s="14">
        <v>195704.0</v>
      </c>
      <c r="AF1448" s="52"/>
      <c r="AG1448" s="22"/>
      <c r="AH1448" s="22"/>
      <c r="AI1448" s="22"/>
      <c r="AJ1448" s="22"/>
      <c r="AK1448" s="22"/>
      <c r="AL1448" s="22"/>
      <c r="AM1448" s="22"/>
      <c r="AN1448" s="22"/>
      <c r="AO1448" s="22"/>
      <c r="AP1448" s="22"/>
    </row>
    <row r="1449" hidden="1">
      <c r="A1449" s="148">
        <v>46152.75</v>
      </c>
      <c r="B1449" s="149">
        <v>46152.75</v>
      </c>
      <c r="C1449" s="11" t="s">
        <v>32</v>
      </c>
      <c r="D1449" s="10" t="s">
        <v>3243</v>
      </c>
      <c r="E1449" s="10" t="s">
        <v>71</v>
      </c>
      <c r="F1449" s="10" t="s">
        <v>4278</v>
      </c>
      <c r="G1449" s="11" t="s">
        <v>4422</v>
      </c>
      <c r="H1449" s="11" t="s">
        <v>4284</v>
      </c>
      <c r="I1449" s="140" t="s">
        <v>4285</v>
      </c>
      <c r="J1449" s="14">
        <v>6409.0</v>
      </c>
      <c r="K1449" s="14">
        <v>2186.0</v>
      </c>
      <c r="L1449" s="17">
        <v>0.3411</v>
      </c>
      <c r="M1449" s="150">
        <v>882.0</v>
      </c>
      <c r="N1449" s="136">
        <v>0.4035</v>
      </c>
      <c r="O1449" s="18">
        <v>68.0</v>
      </c>
      <c r="P1449" s="92">
        <v>65.0</v>
      </c>
      <c r="Q1449" s="137">
        <v>0.0297</v>
      </c>
      <c r="R1449" s="17">
        <v>0.0737</v>
      </c>
      <c r="S1449" s="18">
        <v>4.0</v>
      </c>
      <c r="T1449" s="18">
        <v>15.0</v>
      </c>
      <c r="U1449" s="151">
        <v>15829.0</v>
      </c>
      <c r="V1449" s="92" t="s">
        <v>335</v>
      </c>
      <c r="W1449" s="92" t="s">
        <v>76</v>
      </c>
      <c r="X1449" s="158" t="s">
        <v>4286</v>
      </c>
      <c r="Y1449" s="42" t="s">
        <v>4420</v>
      </c>
      <c r="Z1449" s="18" t="s">
        <v>4423</v>
      </c>
      <c r="AA1449" s="92">
        <v>33.0</v>
      </c>
      <c r="AB1449" s="18">
        <v>33.0</v>
      </c>
      <c r="AC1449" s="52"/>
      <c r="AD1449" s="14">
        <v>76501.0</v>
      </c>
      <c r="AE1449" s="14">
        <v>76501.0</v>
      </c>
      <c r="AF1449" s="52"/>
      <c r="AG1449" s="22"/>
      <c r="AH1449" s="22"/>
      <c r="AI1449" s="22"/>
      <c r="AJ1449" s="22"/>
      <c r="AK1449" s="22"/>
      <c r="AL1449" s="22"/>
      <c r="AM1449" s="22"/>
      <c r="AN1449" s="22"/>
      <c r="AO1449" s="22"/>
      <c r="AP1449" s="22"/>
    </row>
    <row r="1450" hidden="1">
      <c r="A1450" s="148">
        <v>46152.75</v>
      </c>
      <c r="B1450" s="149">
        <v>46152.75</v>
      </c>
      <c r="C1450" s="11" t="s">
        <v>32</v>
      </c>
      <c r="D1450" s="10" t="s">
        <v>3243</v>
      </c>
      <c r="E1450" s="10" t="s">
        <v>71</v>
      </c>
      <c r="F1450" s="10" t="s">
        <v>4278</v>
      </c>
      <c r="G1450" s="11" t="s">
        <v>4424</v>
      </c>
      <c r="H1450" s="11" t="s">
        <v>4289</v>
      </c>
      <c r="I1450" s="140" t="s">
        <v>4290</v>
      </c>
      <c r="J1450" s="14">
        <v>24554.0</v>
      </c>
      <c r="K1450" s="14">
        <v>6910.0</v>
      </c>
      <c r="L1450" s="17">
        <v>0.2813</v>
      </c>
      <c r="M1450" s="150">
        <v>2277.0</v>
      </c>
      <c r="N1450" s="136">
        <v>0.3296</v>
      </c>
      <c r="O1450" s="18">
        <v>112.0</v>
      </c>
      <c r="P1450" s="92">
        <v>109.0</v>
      </c>
      <c r="Q1450" s="137">
        <v>0.0158</v>
      </c>
      <c r="R1450" s="17">
        <v>0.0479</v>
      </c>
      <c r="S1450" s="18">
        <v>3.0</v>
      </c>
      <c r="T1450" s="18">
        <v>2.0</v>
      </c>
      <c r="U1450" s="151">
        <v>8315.0</v>
      </c>
      <c r="V1450" s="92" t="s">
        <v>335</v>
      </c>
      <c r="W1450" s="92" t="s">
        <v>76</v>
      </c>
      <c r="X1450" s="158" t="s">
        <v>52</v>
      </c>
      <c r="Y1450" s="42" t="s">
        <v>4420</v>
      </c>
      <c r="Z1450" s="18" t="s">
        <v>4425</v>
      </c>
      <c r="AA1450" s="92">
        <v>25.0</v>
      </c>
      <c r="AB1450" s="18">
        <v>25.0</v>
      </c>
      <c r="AC1450" s="52"/>
      <c r="AD1450" s="14">
        <v>80388.0</v>
      </c>
      <c r="AE1450" s="14">
        <v>80388.0</v>
      </c>
      <c r="AF1450" s="52"/>
      <c r="AG1450" s="22"/>
      <c r="AH1450" s="22"/>
      <c r="AI1450" s="22"/>
      <c r="AJ1450" s="22"/>
      <c r="AK1450" s="22"/>
      <c r="AL1450" s="22"/>
      <c r="AM1450" s="22"/>
      <c r="AN1450" s="22"/>
      <c r="AO1450" s="22"/>
      <c r="AP1450" s="22"/>
    </row>
    <row r="1451" hidden="1">
      <c r="A1451" s="148">
        <v>46152.79166666667</v>
      </c>
      <c r="B1451" s="149">
        <v>46152.79166666667</v>
      </c>
      <c r="C1451" s="11" t="s">
        <v>58</v>
      </c>
      <c r="D1451" s="10" t="s">
        <v>3083</v>
      </c>
      <c r="E1451" s="10" t="s">
        <v>71</v>
      </c>
      <c r="F1451" s="10" t="s">
        <v>4299</v>
      </c>
      <c r="G1451" s="11" t="s">
        <v>4426</v>
      </c>
      <c r="H1451" s="11" t="s">
        <v>4280</v>
      </c>
      <c r="I1451" s="10" t="s">
        <v>61</v>
      </c>
      <c r="J1451" s="14">
        <v>23925.0</v>
      </c>
      <c r="K1451" s="14">
        <v>12791.0</v>
      </c>
      <c r="L1451" s="17">
        <v>0.5346290491118078</v>
      </c>
      <c r="M1451" s="150">
        <v>0.0</v>
      </c>
      <c r="N1451" s="136">
        <v>0.0</v>
      </c>
      <c r="O1451" s="18">
        <v>24.0</v>
      </c>
      <c r="P1451" s="92">
        <v>0.0</v>
      </c>
      <c r="Q1451" s="137">
        <v>0.0019</v>
      </c>
      <c r="R1451" s="17">
        <v>0.0</v>
      </c>
      <c r="S1451" s="18">
        <v>2.0</v>
      </c>
      <c r="T1451" s="18">
        <v>3.0</v>
      </c>
      <c r="U1451" s="151">
        <v>1998.0</v>
      </c>
      <c r="V1451" s="92" t="s">
        <v>335</v>
      </c>
      <c r="W1451" s="92" t="s">
        <v>3257</v>
      </c>
      <c r="X1451" s="42" t="s">
        <v>2580</v>
      </c>
      <c r="Y1451" s="167">
        <v>46152.0</v>
      </c>
      <c r="Z1451" s="18" t="s">
        <v>4427</v>
      </c>
      <c r="AA1451" s="92">
        <v>23.0</v>
      </c>
      <c r="AB1451" s="18">
        <v>23.0</v>
      </c>
      <c r="AC1451" s="52"/>
      <c r="AD1451" s="14">
        <v>62452.0</v>
      </c>
      <c r="AE1451" s="14">
        <v>62452.0</v>
      </c>
      <c r="AF1451" s="52"/>
      <c r="AG1451" s="22"/>
      <c r="AH1451" s="22"/>
      <c r="AI1451" s="22"/>
      <c r="AJ1451" s="22"/>
      <c r="AK1451" s="22"/>
      <c r="AL1451" s="22"/>
      <c r="AM1451" s="22"/>
      <c r="AN1451" s="22"/>
      <c r="AO1451" s="22"/>
      <c r="AP1451" s="22"/>
    </row>
    <row r="1452" hidden="1">
      <c r="A1452" s="148">
        <v>46152.79166666667</v>
      </c>
      <c r="B1452" s="149">
        <v>46152.79166666667</v>
      </c>
      <c r="C1452" s="11" t="s">
        <v>58</v>
      </c>
      <c r="D1452" s="10" t="s">
        <v>3083</v>
      </c>
      <c r="E1452" s="10" t="s">
        <v>71</v>
      </c>
      <c r="F1452" s="10" t="s">
        <v>4299</v>
      </c>
      <c r="G1452" s="11" t="s">
        <v>4428</v>
      </c>
      <c r="H1452" s="11" t="s">
        <v>4284</v>
      </c>
      <c r="I1452" s="10" t="s">
        <v>61</v>
      </c>
      <c r="J1452" s="14">
        <v>4125.0</v>
      </c>
      <c r="K1452" s="14">
        <v>2669.0</v>
      </c>
      <c r="L1452" s="17">
        <v>0.6470303030303031</v>
      </c>
      <c r="M1452" s="150">
        <v>0.0</v>
      </c>
      <c r="N1452" s="136">
        <v>0.0</v>
      </c>
      <c r="O1452" s="18">
        <v>7.0</v>
      </c>
      <c r="P1452" s="92">
        <v>0.0</v>
      </c>
      <c r="Q1452" s="137">
        <v>0.0026</v>
      </c>
      <c r="R1452" s="17">
        <v>0.0</v>
      </c>
      <c r="S1452" s="18">
        <v>6.0</v>
      </c>
      <c r="T1452" s="18">
        <v>9.0</v>
      </c>
      <c r="U1452" s="151">
        <v>9562.0</v>
      </c>
      <c r="V1452" s="92" t="s">
        <v>335</v>
      </c>
      <c r="W1452" s="92" t="s">
        <v>3257</v>
      </c>
      <c r="X1452" s="42" t="s">
        <v>1101</v>
      </c>
      <c r="Y1452" s="167">
        <v>46152.0</v>
      </c>
      <c r="Z1452" s="18" t="s">
        <v>4429</v>
      </c>
      <c r="AA1452" s="92">
        <v>19.0</v>
      </c>
      <c r="AB1452" s="18">
        <v>19.0</v>
      </c>
      <c r="AC1452" s="52"/>
      <c r="AD1452" s="14">
        <v>39822.0</v>
      </c>
      <c r="AE1452" s="14">
        <v>39822.0</v>
      </c>
      <c r="AF1452" s="52"/>
      <c r="AG1452" s="22"/>
      <c r="AH1452" s="22"/>
      <c r="AI1452" s="22"/>
      <c r="AJ1452" s="22"/>
      <c r="AK1452" s="22"/>
      <c r="AL1452" s="22"/>
      <c r="AM1452" s="22"/>
      <c r="AN1452" s="22"/>
      <c r="AO1452" s="22"/>
      <c r="AP1452" s="22"/>
    </row>
    <row r="1453" hidden="1">
      <c r="A1453" s="148">
        <v>46152.79166666667</v>
      </c>
      <c r="B1453" s="149">
        <v>46152.79166666667</v>
      </c>
      <c r="C1453" s="11" t="s">
        <v>58</v>
      </c>
      <c r="D1453" s="10" t="s">
        <v>3083</v>
      </c>
      <c r="E1453" s="10" t="s">
        <v>71</v>
      </c>
      <c r="F1453" s="10" t="s">
        <v>4299</v>
      </c>
      <c r="G1453" s="11" t="s">
        <v>4430</v>
      </c>
      <c r="H1453" s="11" t="s">
        <v>4289</v>
      </c>
      <c r="I1453" s="10" t="s">
        <v>61</v>
      </c>
      <c r="J1453" s="14">
        <v>17267.0</v>
      </c>
      <c r="K1453" s="14">
        <v>9442.0</v>
      </c>
      <c r="L1453" s="17">
        <v>0.5468234203972896</v>
      </c>
      <c r="M1453" s="150">
        <v>0.0</v>
      </c>
      <c r="N1453" s="136">
        <v>0.0</v>
      </c>
      <c r="O1453" s="18">
        <v>10.0</v>
      </c>
      <c r="P1453" s="92">
        <v>0.0</v>
      </c>
      <c r="Q1453" s="137">
        <v>0.0011</v>
      </c>
      <c r="R1453" s="17">
        <v>0.0</v>
      </c>
      <c r="S1453" s="18">
        <v>2.0</v>
      </c>
      <c r="T1453" s="18">
        <v>1.0</v>
      </c>
      <c r="U1453" s="151">
        <v>3398.0</v>
      </c>
      <c r="V1453" s="92" t="s">
        <v>335</v>
      </c>
      <c r="W1453" s="92" t="s">
        <v>3257</v>
      </c>
      <c r="X1453" s="42" t="s">
        <v>1101</v>
      </c>
      <c r="Y1453" s="167">
        <v>46152.0</v>
      </c>
      <c r="Z1453" s="18" t="s">
        <v>4431</v>
      </c>
      <c r="AA1453" s="92">
        <v>10.0</v>
      </c>
      <c r="AB1453" s="18">
        <v>10.0</v>
      </c>
      <c r="AC1453" s="52"/>
      <c r="AD1453" s="14">
        <v>28006.0</v>
      </c>
      <c r="AE1453" s="14">
        <v>28006.0</v>
      </c>
      <c r="AF1453" s="52"/>
      <c r="AG1453" s="22"/>
      <c r="AH1453" s="22"/>
      <c r="AI1453" s="22"/>
      <c r="AJ1453" s="22"/>
      <c r="AK1453" s="22"/>
      <c r="AL1453" s="22"/>
      <c r="AM1453" s="22"/>
      <c r="AN1453" s="22"/>
      <c r="AO1453" s="22"/>
      <c r="AP1453" s="22"/>
    </row>
    <row r="1454" hidden="1">
      <c r="A1454" s="148">
        <v>46154.0</v>
      </c>
      <c r="B1454" s="149">
        <v>0.7916666666666666</v>
      </c>
      <c r="C1454" s="11" t="s">
        <v>32</v>
      </c>
      <c r="D1454" s="102" t="s">
        <v>3243</v>
      </c>
      <c r="E1454" s="10" t="s">
        <v>71</v>
      </c>
      <c r="F1454" s="10" t="s">
        <v>4432</v>
      </c>
      <c r="G1454" s="11" t="s">
        <v>4433</v>
      </c>
      <c r="H1454" s="11" t="s">
        <v>4434</v>
      </c>
      <c r="I1454" s="10" t="s">
        <v>4435</v>
      </c>
      <c r="J1454" s="14">
        <v>19097.0</v>
      </c>
      <c r="K1454" s="14">
        <v>6737.0</v>
      </c>
      <c r="L1454" s="17">
        <v>0.3527</v>
      </c>
      <c r="M1454" s="150">
        <v>2682.0</v>
      </c>
      <c r="N1454" s="136">
        <v>0.3982</v>
      </c>
      <c r="O1454" s="18">
        <v>200.0</v>
      </c>
      <c r="P1454" s="92">
        <v>163.0</v>
      </c>
      <c r="Q1454" s="137">
        <v>0.0242</v>
      </c>
      <c r="R1454" s="17">
        <v>0.0608</v>
      </c>
      <c r="S1454" s="18"/>
      <c r="T1454" s="18"/>
      <c r="U1454" s="168"/>
      <c r="V1454" s="92" t="s">
        <v>315</v>
      </c>
      <c r="W1454" s="92" t="s">
        <v>76</v>
      </c>
      <c r="X1454" s="42" t="s">
        <v>4436</v>
      </c>
      <c r="Y1454" s="167" t="s">
        <v>4437</v>
      </c>
      <c r="Z1454" s="18" t="s">
        <v>4438</v>
      </c>
      <c r="AA1454" s="92">
        <v>13.0</v>
      </c>
      <c r="AB1454" s="92"/>
      <c r="AC1454" s="92">
        <v>13.0</v>
      </c>
      <c r="AD1454" s="14">
        <v>114034.0</v>
      </c>
      <c r="AE1454" s="14"/>
      <c r="AF1454" s="14">
        <v>114034.0</v>
      </c>
      <c r="AG1454" s="22"/>
      <c r="AH1454" s="22"/>
      <c r="AI1454" s="22"/>
      <c r="AJ1454" s="22"/>
      <c r="AK1454" s="22"/>
      <c r="AL1454" s="22"/>
      <c r="AM1454" s="22"/>
      <c r="AN1454" s="22"/>
      <c r="AO1454" s="22"/>
      <c r="AP1454" s="22"/>
    </row>
    <row r="1455" hidden="1">
      <c r="A1455" s="148">
        <v>46154.0</v>
      </c>
      <c r="B1455" s="149">
        <v>0.7083333333333334</v>
      </c>
      <c r="C1455" s="11" t="s">
        <v>58</v>
      </c>
      <c r="D1455" s="102" t="s">
        <v>3243</v>
      </c>
      <c r="E1455" s="10" t="s">
        <v>71</v>
      </c>
      <c r="F1455" s="10" t="s">
        <v>4439</v>
      </c>
      <c r="G1455" s="11" t="s">
        <v>4440</v>
      </c>
      <c r="H1455" s="11" t="s">
        <v>4280</v>
      </c>
      <c r="I1455" s="10" t="s">
        <v>4441</v>
      </c>
      <c r="J1455" s="14">
        <v>36446.0</v>
      </c>
      <c r="K1455" s="14">
        <v>20598.0</v>
      </c>
      <c r="L1455" s="17">
        <v>0.5652</v>
      </c>
      <c r="M1455" s="150">
        <v>0.0</v>
      </c>
      <c r="N1455" s="136">
        <v>0.0</v>
      </c>
      <c r="O1455" s="18">
        <v>29.0</v>
      </c>
      <c r="P1455" s="92">
        <v>0.0</v>
      </c>
      <c r="Q1455" s="137">
        <v>0.0014</v>
      </c>
      <c r="R1455" s="17">
        <v>0.0</v>
      </c>
      <c r="S1455" s="18"/>
      <c r="T1455" s="18"/>
      <c r="U1455" s="14">
        <v>19342.0</v>
      </c>
      <c r="V1455" s="92" t="s">
        <v>335</v>
      </c>
      <c r="W1455" s="18" t="s">
        <v>58</v>
      </c>
      <c r="X1455" s="42" t="s">
        <v>4001</v>
      </c>
      <c r="Y1455" s="167">
        <v>46154.0</v>
      </c>
      <c r="Z1455" s="18" t="s">
        <v>4442</v>
      </c>
      <c r="AA1455" s="92">
        <v>16.0</v>
      </c>
      <c r="AB1455" s="18">
        <v>16.0</v>
      </c>
      <c r="AC1455" s="52"/>
      <c r="AD1455" s="14">
        <v>57239.0</v>
      </c>
      <c r="AE1455" s="14">
        <v>57239.0</v>
      </c>
      <c r="AF1455" s="52"/>
      <c r="AG1455" s="22"/>
      <c r="AH1455" s="22"/>
      <c r="AI1455" s="22"/>
      <c r="AJ1455" s="22"/>
      <c r="AK1455" s="22"/>
      <c r="AL1455" s="22"/>
      <c r="AM1455" s="22"/>
      <c r="AN1455" s="22"/>
      <c r="AO1455" s="22"/>
      <c r="AP1455" s="22"/>
    </row>
    <row r="1456" hidden="1">
      <c r="A1456" s="148">
        <v>46154.0</v>
      </c>
      <c r="B1456" s="149">
        <v>0.8333333333333334</v>
      </c>
      <c r="C1456" s="11" t="s">
        <v>58</v>
      </c>
      <c r="D1456" s="102" t="s">
        <v>3083</v>
      </c>
      <c r="E1456" s="10" t="s">
        <v>71</v>
      </c>
      <c r="F1456" s="10" t="s">
        <v>4432</v>
      </c>
      <c r="G1456" s="11" t="s">
        <v>4443</v>
      </c>
      <c r="H1456" s="11" t="s">
        <v>4434</v>
      </c>
      <c r="I1456" s="10" t="s">
        <v>61</v>
      </c>
      <c r="J1456" s="14">
        <v>11957.0</v>
      </c>
      <c r="K1456" s="14">
        <v>7163.0</v>
      </c>
      <c r="L1456" s="17">
        <v>0.5991</v>
      </c>
      <c r="M1456" s="150">
        <v>0.0</v>
      </c>
      <c r="N1456" s="136">
        <v>0.0</v>
      </c>
      <c r="O1456" s="18">
        <v>9.0</v>
      </c>
      <c r="P1456" s="92">
        <v>0.0</v>
      </c>
      <c r="Q1456" s="137">
        <v>0.0013</v>
      </c>
      <c r="R1456" s="17">
        <v>0.0</v>
      </c>
      <c r="S1456" s="18"/>
      <c r="T1456" s="18"/>
      <c r="U1456" s="14"/>
      <c r="V1456" s="92" t="s">
        <v>315</v>
      </c>
      <c r="W1456" s="18" t="s">
        <v>58</v>
      </c>
      <c r="X1456" s="42" t="s">
        <v>4436</v>
      </c>
      <c r="Y1456" s="167">
        <v>46154.0</v>
      </c>
      <c r="Z1456" s="18" t="s">
        <v>4444</v>
      </c>
      <c r="AA1456" s="92">
        <v>9.0</v>
      </c>
      <c r="AB1456" s="169"/>
      <c r="AC1456" s="18">
        <v>9.0</v>
      </c>
      <c r="AD1456" s="14">
        <v>53273.0</v>
      </c>
      <c r="AE1456" s="169"/>
      <c r="AF1456" s="14">
        <v>53273.0</v>
      </c>
      <c r="AG1456" s="22"/>
      <c r="AH1456" s="22"/>
      <c r="AI1456" s="22"/>
      <c r="AJ1456" s="22"/>
      <c r="AK1456" s="22"/>
      <c r="AL1456" s="22"/>
      <c r="AM1456" s="22"/>
      <c r="AN1456" s="22"/>
      <c r="AO1456" s="22"/>
      <c r="AP1456" s="22"/>
    </row>
    <row r="1457" hidden="1">
      <c r="A1457" s="148">
        <v>46155.0</v>
      </c>
      <c r="B1457" s="149">
        <v>0.9166666666666666</v>
      </c>
      <c r="C1457" s="11" t="s">
        <v>58</v>
      </c>
      <c r="D1457" s="102" t="s">
        <v>3083</v>
      </c>
      <c r="E1457" s="10" t="s">
        <v>71</v>
      </c>
      <c r="F1457" s="10" t="s">
        <v>4299</v>
      </c>
      <c r="G1457" s="11" t="s">
        <v>4445</v>
      </c>
      <c r="H1457" s="11" t="s">
        <v>4446</v>
      </c>
      <c r="I1457" s="10" t="s">
        <v>61</v>
      </c>
      <c r="J1457" s="14">
        <v>3987.0</v>
      </c>
      <c r="K1457" s="14">
        <v>1973.0</v>
      </c>
      <c r="L1457" s="17">
        <v>0.4949</v>
      </c>
      <c r="M1457" s="150">
        <v>0.0</v>
      </c>
      <c r="N1457" s="136">
        <v>0.0</v>
      </c>
      <c r="O1457" s="18">
        <v>6.0</v>
      </c>
      <c r="P1457" s="92">
        <v>0.0</v>
      </c>
      <c r="Q1457" s="137">
        <v>0.003</v>
      </c>
      <c r="R1457" s="17">
        <v>0.0</v>
      </c>
      <c r="S1457" s="18"/>
      <c r="T1457" s="18"/>
      <c r="U1457" s="14">
        <v>13705.0</v>
      </c>
      <c r="V1457" s="92" t="s">
        <v>335</v>
      </c>
      <c r="W1457" s="18" t="s">
        <v>58</v>
      </c>
      <c r="X1457" s="42" t="s">
        <v>3580</v>
      </c>
      <c r="Y1457" s="167">
        <v>46155.0</v>
      </c>
      <c r="Z1457" s="18" t="s">
        <v>4447</v>
      </c>
      <c r="AA1457" s="92">
        <v>6.0</v>
      </c>
      <c r="AB1457" s="18">
        <v>6.0</v>
      </c>
      <c r="AC1457" s="52"/>
      <c r="AD1457" s="14">
        <v>10290.0</v>
      </c>
      <c r="AE1457" s="14">
        <v>10290.0</v>
      </c>
      <c r="AF1457" s="52"/>
      <c r="AG1457" s="22"/>
      <c r="AH1457" s="22"/>
      <c r="AI1457" s="22"/>
      <c r="AJ1457" s="22"/>
      <c r="AK1457" s="22"/>
      <c r="AL1457" s="22"/>
      <c r="AM1457" s="22"/>
      <c r="AN1457" s="22"/>
      <c r="AO1457" s="22"/>
      <c r="AP1457" s="22"/>
    </row>
    <row r="1458" hidden="1">
      <c r="A1458" s="148">
        <v>46155.0</v>
      </c>
      <c r="B1458" s="149">
        <v>0.9166666666666666</v>
      </c>
      <c r="C1458" s="11" t="s">
        <v>58</v>
      </c>
      <c r="D1458" s="102" t="s">
        <v>3083</v>
      </c>
      <c r="E1458" s="10" t="s">
        <v>71</v>
      </c>
      <c r="F1458" s="10" t="s">
        <v>4299</v>
      </c>
      <c r="G1458" s="11" t="s">
        <v>4448</v>
      </c>
      <c r="H1458" s="11" t="s">
        <v>4449</v>
      </c>
      <c r="I1458" s="10" t="s">
        <v>61</v>
      </c>
      <c r="J1458" s="14">
        <v>4030.0</v>
      </c>
      <c r="K1458" s="14">
        <v>2746.0</v>
      </c>
      <c r="L1458" s="17">
        <v>0.6814</v>
      </c>
      <c r="M1458" s="150">
        <v>0.0</v>
      </c>
      <c r="N1458" s="136">
        <v>0.0</v>
      </c>
      <c r="O1458" s="18">
        <v>8.0</v>
      </c>
      <c r="P1458" s="92">
        <v>0.0</v>
      </c>
      <c r="Q1458" s="137">
        <v>0.0029</v>
      </c>
      <c r="R1458" s="17">
        <v>0.0</v>
      </c>
      <c r="S1458" s="18"/>
      <c r="T1458" s="18"/>
      <c r="U1458" s="14">
        <v>19231.0</v>
      </c>
      <c r="V1458" s="92" t="s">
        <v>335</v>
      </c>
      <c r="W1458" s="18" t="s">
        <v>58</v>
      </c>
      <c r="X1458" s="42" t="s">
        <v>4450</v>
      </c>
      <c r="Y1458" s="167">
        <v>46155.0</v>
      </c>
      <c r="Z1458" s="18" t="s">
        <v>4451</v>
      </c>
      <c r="AA1458" s="92">
        <v>13.0</v>
      </c>
      <c r="AB1458" s="18">
        <v>13.0</v>
      </c>
      <c r="AC1458" s="52"/>
      <c r="AD1458" s="14">
        <v>19689.0</v>
      </c>
      <c r="AE1458" s="14">
        <v>19689.0</v>
      </c>
      <c r="AF1458" s="52"/>
      <c r="AG1458" s="22"/>
      <c r="AH1458" s="22"/>
      <c r="AI1458" s="22"/>
      <c r="AJ1458" s="22"/>
      <c r="AK1458" s="22"/>
      <c r="AL1458" s="22"/>
      <c r="AM1458" s="22"/>
      <c r="AN1458" s="22"/>
      <c r="AO1458" s="22"/>
      <c r="AP1458" s="22"/>
    </row>
    <row r="1459" hidden="1">
      <c r="A1459" s="148">
        <v>46155.0</v>
      </c>
      <c r="B1459" s="149">
        <v>0.9166666666666666</v>
      </c>
      <c r="C1459" s="11" t="s">
        <v>58</v>
      </c>
      <c r="D1459" s="102" t="s">
        <v>3083</v>
      </c>
      <c r="E1459" s="10" t="s">
        <v>71</v>
      </c>
      <c r="F1459" s="10" t="s">
        <v>4299</v>
      </c>
      <c r="G1459" s="11" t="s">
        <v>4452</v>
      </c>
      <c r="H1459" s="11" t="s">
        <v>4453</v>
      </c>
      <c r="I1459" s="10" t="s">
        <v>61</v>
      </c>
      <c r="J1459" s="14">
        <v>20933.0</v>
      </c>
      <c r="K1459" s="14">
        <v>13684.0</v>
      </c>
      <c r="L1459" s="17">
        <v>0.6537</v>
      </c>
      <c r="M1459" s="150">
        <v>0.0</v>
      </c>
      <c r="N1459" s="136">
        <v>0.0</v>
      </c>
      <c r="O1459" s="18">
        <v>25.0</v>
      </c>
      <c r="P1459" s="92">
        <v>0.0</v>
      </c>
      <c r="Q1459" s="137">
        <v>0.0018</v>
      </c>
      <c r="R1459" s="17">
        <v>0.0</v>
      </c>
      <c r="S1459" s="18"/>
      <c r="T1459" s="18"/>
      <c r="U1459" s="14">
        <v>28270.0</v>
      </c>
      <c r="V1459" s="92" t="s">
        <v>335</v>
      </c>
      <c r="W1459" s="18" t="s">
        <v>58</v>
      </c>
      <c r="X1459" s="42" t="s">
        <v>2301</v>
      </c>
      <c r="Y1459" s="167">
        <v>46155.0</v>
      </c>
      <c r="Z1459" s="18" t="s">
        <v>4454</v>
      </c>
      <c r="AA1459" s="92">
        <v>5.0</v>
      </c>
      <c r="AB1459" s="18">
        <v>5.0</v>
      </c>
      <c r="AC1459" s="52"/>
      <c r="AD1459" s="14">
        <v>7293.0</v>
      </c>
      <c r="AE1459" s="14">
        <v>7293.0</v>
      </c>
      <c r="AF1459" s="52"/>
      <c r="AG1459" s="22"/>
      <c r="AH1459" s="22"/>
      <c r="AI1459" s="22"/>
      <c r="AJ1459" s="22"/>
      <c r="AK1459" s="22"/>
      <c r="AL1459" s="22"/>
      <c r="AM1459" s="22"/>
      <c r="AN1459" s="22"/>
      <c r="AO1459" s="22"/>
      <c r="AP1459" s="22"/>
    </row>
    <row r="1460" hidden="1">
      <c r="A1460" s="148">
        <v>46155.0</v>
      </c>
      <c r="B1460" s="149">
        <v>0.9166666666666666</v>
      </c>
      <c r="C1460" s="11" t="s">
        <v>58</v>
      </c>
      <c r="D1460" s="102" t="s">
        <v>3083</v>
      </c>
      <c r="E1460" s="10" t="s">
        <v>71</v>
      </c>
      <c r="F1460" s="10" t="s">
        <v>4299</v>
      </c>
      <c r="G1460" s="11" t="s">
        <v>4455</v>
      </c>
      <c r="H1460" s="11" t="s">
        <v>4456</v>
      </c>
      <c r="I1460" s="10" t="s">
        <v>61</v>
      </c>
      <c r="J1460" s="14">
        <v>1675.0</v>
      </c>
      <c r="K1460" s="14">
        <v>940.0</v>
      </c>
      <c r="L1460" s="17">
        <v>0.5612</v>
      </c>
      <c r="M1460" s="150">
        <v>0.0</v>
      </c>
      <c r="N1460" s="136">
        <v>0.0</v>
      </c>
      <c r="O1460" s="18">
        <v>2.0</v>
      </c>
      <c r="P1460" s="92">
        <v>0.0</v>
      </c>
      <c r="Q1460" s="137">
        <v>0.0021</v>
      </c>
      <c r="R1460" s="17">
        <v>0.0</v>
      </c>
      <c r="S1460" s="18"/>
      <c r="T1460" s="18"/>
      <c r="U1460" s="14">
        <v>5894.0</v>
      </c>
      <c r="V1460" s="92" t="s">
        <v>335</v>
      </c>
      <c r="W1460" s="18" t="s">
        <v>58</v>
      </c>
      <c r="X1460" s="42" t="s">
        <v>4457</v>
      </c>
      <c r="Y1460" s="167">
        <v>46155.0</v>
      </c>
      <c r="Z1460" s="18" t="s">
        <v>4458</v>
      </c>
      <c r="AA1460" s="92">
        <v>1.0</v>
      </c>
      <c r="AB1460" s="18">
        <v>1.0</v>
      </c>
      <c r="AC1460" s="52"/>
      <c r="AD1460" s="14">
        <v>1998.0</v>
      </c>
      <c r="AE1460" s="14">
        <v>1998.0</v>
      </c>
      <c r="AF1460" s="52"/>
      <c r="AG1460" s="22"/>
      <c r="AH1460" s="22"/>
      <c r="AI1460" s="22"/>
      <c r="AJ1460" s="22"/>
      <c r="AK1460" s="22"/>
      <c r="AL1460" s="22"/>
      <c r="AM1460" s="22"/>
      <c r="AN1460" s="22"/>
      <c r="AO1460" s="22"/>
      <c r="AP1460" s="22"/>
    </row>
    <row r="1461" hidden="1">
      <c r="A1461" s="148">
        <v>46155.0</v>
      </c>
      <c r="B1461" s="149">
        <v>0.9166666666666666</v>
      </c>
      <c r="C1461" s="11" t="s">
        <v>58</v>
      </c>
      <c r="D1461" s="102" t="s">
        <v>3083</v>
      </c>
      <c r="E1461" s="10" t="s">
        <v>71</v>
      </c>
      <c r="F1461" s="10" t="s">
        <v>4299</v>
      </c>
      <c r="G1461" s="11" t="s">
        <v>4459</v>
      </c>
      <c r="H1461" s="11" t="s">
        <v>4460</v>
      </c>
      <c r="I1461" s="10" t="s">
        <v>61</v>
      </c>
      <c r="J1461" s="14">
        <v>2041.0</v>
      </c>
      <c r="K1461" s="14">
        <v>1375.0</v>
      </c>
      <c r="L1461" s="17">
        <v>0.6737</v>
      </c>
      <c r="M1461" s="150">
        <v>0.0</v>
      </c>
      <c r="N1461" s="136">
        <v>0.0</v>
      </c>
      <c r="O1461" s="18">
        <v>2.0</v>
      </c>
      <c r="P1461" s="92">
        <v>0.0</v>
      </c>
      <c r="Q1461" s="137">
        <v>0.0015</v>
      </c>
      <c r="R1461" s="17">
        <v>0.0</v>
      </c>
      <c r="S1461" s="18"/>
      <c r="T1461" s="18"/>
      <c r="U1461" s="14">
        <v>7499.0</v>
      </c>
      <c r="V1461" s="92" t="s">
        <v>335</v>
      </c>
      <c r="W1461" s="18" t="s">
        <v>58</v>
      </c>
      <c r="X1461" s="42" t="s">
        <v>4461</v>
      </c>
      <c r="Y1461" s="167">
        <v>46155.0</v>
      </c>
      <c r="Z1461" s="18" t="s">
        <v>4462</v>
      </c>
      <c r="AA1461" s="92">
        <v>1.0</v>
      </c>
      <c r="AB1461" s="18">
        <v>1.0</v>
      </c>
      <c r="AC1461" s="52"/>
      <c r="AD1461" s="14">
        <v>1099.0</v>
      </c>
      <c r="AE1461" s="14">
        <v>1099.0</v>
      </c>
      <c r="AF1461" s="52"/>
      <c r="AG1461" s="22"/>
      <c r="AH1461" s="22"/>
      <c r="AI1461" s="22"/>
      <c r="AJ1461" s="22"/>
      <c r="AK1461" s="22"/>
      <c r="AL1461" s="22"/>
      <c r="AM1461" s="22"/>
      <c r="AN1461" s="22"/>
      <c r="AO1461" s="22"/>
      <c r="AP1461" s="22"/>
    </row>
    <row r="1462" hidden="1">
      <c r="A1462" s="148">
        <v>46155.0</v>
      </c>
      <c r="B1462" s="149">
        <v>0.9166666666666666</v>
      </c>
      <c r="C1462" s="11" t="s">
        <v>58</v>
      </c>
      <c r="D1462" s="102" t="s">
        <v>3083</v>
      </c>
      <c r="E1462" s="10" t="s">
        <v>71</v>
      </c>
      <c r="F1462" s="10" t="s">
        <v>4299</v>
      </c>
      <c r="G1462" s="11" t="s">
        <v>4463</v>
      </c>
      <c r="H1462" s="11" t="s">
        <v>4464</v>
      </c>
      <c r="I1462" s="10" t="s">
        <v>61</v>
      </c>
      <c r="J1462" s="14">
        <v>21619.0</v>
      </c>
      <c r="K1462" s="14">
        <v>12462.0</v>
      </c>
      <c r="L1462" s="17">
        <v>0.5764</v>
      </c>
      <c r="M1462" s="150">
        <v>0.0</v>
      </c>
      <c r="N1462" s="136">
        <v>0.0</v>
      </c>
      <c r="O1462" s="18">
        <v>13.0</v>
      </c>
      <c r="P1462" s="92">
        <v>0.0</v>
      </c>
      <c r="Q1462" s="137">
        <v>0.001</v>
      </c>
      <c r="R1462" s="17">
        <v>0.0</v>
      </c>
      <c r="S1462" s="18"/>
      <c r="T1462" s="18"/>
      <c r="U1462" s="14">
        <v>2298.0</v>
      </c>
      <c r="V1462" s="92" t="s">
        <v>335</v>
      </c>
      <c r="W1462" s="18" t="s">
        <v>58</v>
      </c>
      <c r="X1462" s="42" t="s">
        <v>52</v>
      </c>
      <c r="Y1462" s="167">
        <v>46155.0</v>
      </c>
      <c r="Z1462" s="18" t="s">
        <v>4465</v>
      </c>
      <c r="AA1462" s="92">
        <v>7.0</v>
      </c>
      <c r="AB1462" s="18">
        <v>7.0</v>
      </c>
      <c r="AC1462" s="52"/>
      <c r="AD1462" s="14">
        <v>15704.0</v>
      </c>
      <c r="AE1462" s="14">
        <v>15704.0</v>
      </c>
      <c r="AF1462" s="52"/>
      <c r="AG1462" s="22"/>
      <c r="AH1462" s="22"/>
      <c r="AI1462" s="22"/>
      <c r="AJ1462" s="22"/>
      <c r="AK1462" s="22"/>
      <c r="AL1462" s="22"/>
      <c r="AM1462" s="22"/>
      <c r="AN1462" s="22"/>
      <c r="AO1462" s="22"/>
      <c r="AP1462" s="22"/>
    </row>
    <row r="1463" hidden="1">
      <c r="A1463" s="148">
        <v>46156.0</v>
      </c>
      <c r="B1463" s="149">
        <v>0.7708333333333334</v>
      </c>
      <c r="C1463" s="11" t="s">
        <v>32</v>
      </c>
      <c r="D1463" s="102" t="s">
        <v>3243</v>
      </c>
      <c r="E1463" s="10" t="s">
        <v>71</v>
      </c>
      <c r="F1463" s="10" t="s">
        <v>4299</v>
      </c>
      <c r="G1463" s="11" t="s">
        <v>4466</v>
      </c>
      <c r="H1463" s="11" t="s">
        <v>4446</v>
      </c>
      <c r="I1463" s="10" t="s">
        <v>4467</v>
      </c>
      <c r="J1463" s="14">
        <v>3984.0</v>
      </c>
      <c r="K1463" s="14">
        <v>1389.0</v>
      </c>
      <c r="L1463" s="17">
        <v>0.3486</v>
      </c>
      <c r="M1463" s="150">
        <v>652.0</v>
      </c>
      <c r="N1463" s="136">
        <v>0.4694</v>
      </c>
      <c r="O1463" s="18">
        <v>84.0</v>
      </c>
      <c r="P1463" s="92">
        <v>73.0</v>
      </c>
      <c r="Q1463" s="137">
        <v>0.0526</v>
      </c>
      <c r="R1463" s="17">
        <v>0.112</v>
      </c>
      <c r="S1463" s="18"/>
      <c r="T1463" s="18"/>
      <c r="U1463" s="14">
        <v>12288.0</v>
      </c>
      <c r="V1463" s="92" t="s">
        <v>335</v>
      </c>
      <c r="W1463" s="92" t="s">
        <v>76</v>
      </c>
      <c r="X1463" s="42" t="s">
        <v>3580</v>
      </c>
      <c r="Y1463" s="167" t="s">
        <v>4468</v>
      </c>
      <c r="Z1463" s="18" t="s">
        <v>4469</v>
      </c>
      <c r="AA1463" s="92">
        <v>28.0</v>
      </c>
      <c r="AB1463" s="18">
        <v>28.0</v>
      </c>
      <c r="AC1463" s="52"/>
      <c r="AD1463" s="14">
        <v>81274.0</v>
      </c>
      <c r="AE1463" s="14">
        <v>81274.0</v>
      </c>
      <c r="AF1463" s="52"/>
      <c r="AG1463" s="22"/>
      <c r="AH1463" s="22"/>
      <c r="AI1463" s="22"/>
      <c r="AJ1463" s="22"/>
      <c r="AK1463" s="22"/>
      <c r="AL1463" s="22"/>
      <c r="AM1463" s="22"/>
      <c r="AN1463" s="22"/>
      <c r="AO1463" s="22"/>
      <c r="AP1463" s="22"/>
    </row>
    <row r="1464" hidden="1">
      <c r="A1464" s="148">
        <v>46156.0</v>
      </c>
      <c r="B1464" s="149">
        <v>0.7708333333333334</v>
      </c>
      <c r="C1464" s="11" t="s">
        <v>32</v>
      </c>
      <c r="D1464" s="102" t="s">
        <v>3243</v>
      </c>
      <c r="E1464" s="10" t="s">
        <v>71</v>
      </c>
      <c r="F1464" s="10" t="s">
        <v>4299</v>
      </c>
      <c r="G1464" s="11" t="s">
        <v>4470</v>
      </c>
      <c r="H1464" s="11" t="s">
        <v>4449</v>
      </c>
      <c r="I1464" s="10" t="s">
        <v>4471</v>
      </c>
      <c r="J1464" s="14">
        <v>4039.0</v>
      </c>
      <c r="K1464" s="14">
        <v>1838.0</v>
      </c>
      <c r="L1464" s="17">
        <v>0.4551</v>
      </c>
      <c r="M1464" s="150">
        <v>823.0</v>
      </c>
      <c r="N1464" s="136">
        <v>0.4478</v>
      </c>
      <c r="O1464" s="18">
        <v>124.0</v>
      </c>
      <c r="P1464" s="92">
        <v>114.0</v>
      </c>
      <c r="Q1464" s="137">
        <v>0.062</v>
      </c>
      <c r="R1464" s="17">
        <v>0.1385</v>
      </c>
      <c r="S1464" s="18"/>
      <c r="T1464" s="18"/>
      <c r="U1464" s="14">
        <v>23602.0</v>
      </c>
      <c r="V1464" s="92" t="s">
        <v>335</v>
      </c>
      <c r="W1464" s="92" t="s">
        <v>76</v>
      </c>
      <c r="X1464" s="42" t="s">
        <v>4450</v>
      </c>
      <c r="Y1464" s="167" t="s">
        <v>4468</v>
      </c>
      <c r="Z1464" s="18" t="s">
        <v>4472</v>
      </c>
      <c r="AA1464" s="92">
        <v>28.0</v>
      </c>
      <c r="AB1464" s="18">
        <v>28.0</v>
      </c>
      <c r="AC1464" s="52"/>
      <c r="AD1464" s="14">
        <v>39539.0</v>
      </c>
      <c r="AE1464" s="14">
        <v>39539.0</v>
      </c>
      <c r="AF1464" s="52"/>
      <c r="AG1464" s="22"/>
      <c r="AH1464" s="22"/>
      <c r="AI1464" s="22"/>
      <c r="AJ1464" s="22"/>
      <c r="AK1464" s="22"/>
      <c r="AL1464" s="22"/>
      <c r="AM1464" s="22"/>
      <c r="AN1464" s="22"/>
      <c r="AO1464" s="22"/>
      <c r="AP1464" s="22"/>
    </row>
    <row r="1465" hidden="1">
      <c r="A1465" s="148">
        <v>46156.0</v>
      </c>
      <c r="B1465" s="149">
        <v>0.7708333333333334</v>
      </c>
      <c r="C1465" s="11" t="s">
        <v>32</v>
      </c>
      <c r="D1465" s="102" t="s">
        <v>3243</v>
      </c>
      <c r="E1465" s="10" t="s">
        <v>71</v>
      </c>
      <c r="F1465" s="10" t="s">
        <v>4299</v>
      </c>
      <c r="G1465" s="11" t="s">
        <v>4473</v>
      </c>
      <c r="H1465" s="11" t="s">
        <v>4453</v>
      </c>
      <c r="I1465" s="10" t="s">
        <v>4474</v>
      </c>
      <c r="J1465" s="14">
        <v>20926.0</v>
      </c>
      <c r="K1465" s="14">
        <v>9197.0</v>
      </c>
      <c r="L1465" s="17">
        <v>0.4394</v>
      </c>
      <c r="M1465" s="150">
        <v>3539.0</v>
      </c>
      <c r="N1465" s="136">
        <v>0.3849</v>
      </c>
      <c r="O1465" s="18">
        <v>359.0</v>
      </c>
      <c r="P1465" s="92">
        <v>317.0</v>
      </c>
      <c r="Q1465" s="137">
        <v>0.0345</v>
      </c>
      <c r="R1465" s="17">
        <v>0.0896</v>
      </c>
      <c r="S1465" s="18"/>
      <c r="T1465" s="18"/>
      <c r="U1465" s="14">
        <v>9979.0</v>
      </c>
      <c r="V1465" s="92" t="s">
        <v>335</v>
      </c>
      <c r="W1465" s="92" t="s">
        <v>76</v>
      </c>
      <c r="X1465" s="42" t="s">
        <v>2301</v>
      </c>
      <c r="Y1465" s="167" t="s">
        <v>4468</v>
      </c>
      <c r="Z1465" s="18" t="s">
        <v>4475</v>
      </c>
      <c r="AA1465" s="92">
        <v>18.0</v>
      </c>
      <c r="AB1465" s="18">
        <v>18.0</v>
      </c>
      <c r="AC1465" s="52"/>
      <c r="AD1465" s="14">
        <v>33955.0</v>
      </c>
      <c r="AE1465" s="14">
        <v>33955.0</v>
      </c>
      <c r="AF1465" s="52"/>
      <c r="AG1465" s="22"/>
      <c r="AH1465" s="22"/>
      <c r="AI1465" s="22"/>
      <c r="AJ1465" s="22"/>
      <c r="AK1465" s="22"/>
      <c r="AL1465" s="22"/>
      <c r="AM1465" s="22"/>
      <c r="AN1465" s="22"/>
      <c r="AO1465" s="22"/>
      <c r="AP1465" s="22"/>
    </row>
    <row r="1466" hidden="1">
      <c r="A1466" s="148">
        <v>46156.0</v>
      </c>
      <c r="B1466" s="149">
        <v>0.7708333333333334</v>
      </c>
      <c r="C1466" s="11" t="s">
        <v>32</v>
      </c>
      <c r="D1466" s="102" t="s">
        <v>3243</v>
      </c>
      <c r="E1466" s="10" t="s">
        <v>71</v>
      </c>
      <c r="F1466" s="10" t="s">
        <v>4299</v>
      </c>
      <c r="G1466" s="11" t="s">
        <v>4476</v>
      </c>
      <c r="H1466" s="11" t="s">
        <v>4456</v>
      </c>
      <c r="I1466" s="10" t="s">
        <v>4477</v>
      </c>
      <c r="J1466" s="14">
        <v>1679.0</v>
      </c>
      <c r="K1466" s="14">
        <v>738.0</v>
      </c>
      <c r="L1466" s="17">
        <v>0.4395</v>
      </c>
      <c r="M1466" s="150">
        <v>366.0</v>
      </c>
      <c r="N1466" s="136">
        <v>0.4959</v>
      </c>
      <c r="O1466" s="18">
        <v>56.0</v>
      </c>
      <c r="P1466" s="92">
        <v>50.0</v>
      </c>
      <c r="Q1466" s="137">
        <v>0.0678</v>
      </c>
      <c r="R1466" s="17">
        <v>0.1366</v>
      </c>
      <c r="S1466" s="18"/>
      <c r="T1466" s="18"/>
      <c r="U1466" s="14">
        <v>8680.0</v>
      </c>
      <c r="V1466" s="92" t="s">
        <v>335</v>
      </c>
      <c r="W1466" s="92" t="s">
        <v>76</v>
      </c>
      <c r="X1466" s="42" t="s">
        <v>4457</v>
      </c>
      <c r="Y1466" s="167" t="s">
        <v>4468</v>
      </c>
      <c r="Z1466" s="18" t="s">
        <v>4478</v>
      </c>
      <c r="AA1466" s="92">
        <v>12.0</v>
      </c>
      <c r="AB1466" s="18">
        <v>12.0</v>
      </c>
      <c r="AC1466" s="52"/>
      <c r="AD1466" s="14">
        <v>21467.0</v>
      </c>
      <c r="AE1466" s="14">
        <v>21467.0</v>
      </c>
      <c r="AF1466" s="52"/>
      <c r="AG1466" s="22"/>
      <c r="AH1466" s="22"/>
      <c r="AI1466" s="22"/>
      <c r="AJ1466" s="22"/>
      <c r="AK1466" s="22"/>
      <c r="AL1466" s="22"/>
      <c r="AM1466" s="22"/>
      <c r="AN1466" s="22"/>
      <c r="AO1466" s="22"/>
      <c r="AP1466" s="22"/>
    </row>
    <row r="1467" hidden="1">
      <c r="A1467" s="148">
        <v>46156.0</v>
      </c>
      <c r="B1467" s="149">
        <v>0.7708333333333334</v>
      </c>
      <c r="C1467" s="11" t="s">
        <v>32</v>
      </c>
      <c r="D1467" s="102" t="s">
        <v>3243</v>
      </c>
      <c r="E1467" s="10" t="s">
        <v>71</v>
      </c>
      <c r="F1467" s="10" t="s">
        <v>4299</v>
      </c>
      <c r="G1467" s="11" t="s">
        <v>4479</v>
      </c>
      <c r="H1467" s="11" t="s">
        <v>4460</v>
      </c>
      <c r="I1467" s="10" t="s">
        <v>4480</v>
      </c>
      <c r="J1467" s="14">
        <v>2064.0</v>
      </c>
      <c r="K1467" s="14">
        <v>1411.0</v>
      </c>
      <c r="L1467" s="17">
        <v>0.6836</v>
      </c>
      <c r="M1467" s="150">
        <v>1056.0</v>
      </c>
      <c r="N1467" s="136">
        <v>0.7484</v>
      </c>
      <c r="O1467" s="18">
        <v>86.0</v>
      </c>
      <c r="P1467" s="92">
        <v>77.0</v>
      </c>
      <c r="Q1467" s="137">
        <v>0.0546</v>
      </c>
      <c r="R1467" s="17">
        <v>0.0729</v>
      </c>
      <c r="S1467" s="18"/>
      <c r="T1467" s="18"/>
      <c r="U1467" s="14">
        <v>2967.0</v>
      </c>
      <c r="V1467" s="92" t="s">
        <v>335</v>
      </c>
      <c r="W1467" s="92" t="s">
        <v>76</v>
      </c>
      <c r="X1467" s="42" t="s">
        <v>4461</v>
      </c>
      <c r="Y1467" s="167" t="s">
        <v>4468</v>
      </c>
      <c r="Z1467" s="18" t="s">
        <v>4481</v>
      </c>
      <c r="AA1467" s="92">
        <v>1.0</v>
      </c>
      <c r="AB1467" s="18">
        <v>1.0</v>
      </c>
      <c r="AC1467" s="52"/>
      <c r="AD1467" s="14">
        <v>2967.0</v>
      </c>
      <c r="AE1467" s="14">
        <v>2967.0</v>
      </c>
      <c r="AF1467" s="52"/>
      <c r="AG1467" s="22"/>
      <c r="AH1467" s="22"/>
      <c r="AI1467" s="22"/>
      <c r="AJ1467" s="22"/>
      <c r="AK1467" s="22"/>
      <c r="AL1467" s="22"/>
      <c r="AM1467" s="22"/>
      <c r="AN1467" s="22"/>
      <c r="AO1467" s="22"/>
      <c r="AP1467" s="22"/>
    </row>
    <row r="1468" hidden="1">
      <c r="A1468" s="148">
        <v>46156.0</v>
      </c>
      <c r="B1468" s="149">
        <v>0.7708333333333334</v>
      </c>
      <c r="C1468" s="11" t="s">
        <v>32</v>
      </c>
      <c r="D1468" s="102" t="s">
        <v>3243</v>
      </c>
      <c r="E1468" s="10" t="s">
        <v>71</v>
      </c>
      <c r="F1468" s="10" t="s">
        <v>4299</v>
      </c>
      <c r="G1468" s="11" t="s">
        <v>4482</v>
      </c>
      <c r="H1468" s="11" t="s">
        <v>4464</v>
      </c>
      <c r="I1468" s="10" t="s">
        <v>4483</v>
      </c>
      <c r="J1468" s="14">
        <v>21660.0</v>
      </c>
      <c r="K1468" s="14">
        <v>8259.0</v>
      </c>
      <c r="L1468" s="17">
        <v>0.3813</v>
      </c>
      <c r="M1468" s="150">
        <v>3005.0</v>
      </c>
      <c r="N1468" s="136">
        <v>0.3638</v>
      </c>
      <c r="O1468" s="18">
        <v>199.0</v>
      </c>
      <c r="P1468" s="92">
        <v>175.0</v>
      </c>
      <c r="Q1468" s="137">
        <v>0.0212</v>
      </c>
      <c r="R1468" s="17">
        <v>0.0582</v>
      </c>
      <c r="S1468" s="18"/>
      <c r="T1468" s="18"/>
      <c r="U1468" s="14">
        <v>12678.0</v>
      </c>
      <c r="V1468" s="92" t="s">
        <v>335</v>
      </c>
      <c r="W1468" s="92" t="s">
        <v>76</v>
      </c>
      <c r="X1468" s="42" t="s">
        <v>52</v>
      </c>
      <c r="Y1468" s="167" t="s">
        <v>4468</v>
      </c>
      <c r="Z1468" s="18" t="s">
        <v>4484</v>
      </c>
      <c r="AA1468" s="92">
        <v>21.0</v>
      </c>
      <c r="AB1468" s="18">
        <v>21.0</v>
      </c>
      <c r="AC1468" s="52"/>
      <c r="AD1468" s="14">
        <v>54255.0</v>
      </c>
      <c r="AE1468" s="14">
        <v>54255.0</v>
      </c>
      <c r="AF1468" s="52"/>
      <c r="AG1468" s="22"/>
      <c r="AH1468" s="22"/>
      <c r="AI1468" s="22"/>
      <c r="AJ1468" s="22"/>
      <c r="AK1468" s="22"/>
      <c r="AL1468" s="22"/>
      <c r="AM1468" s="22"/>
      <c r="AN1468" s="22"/>
      <c r="AO1468" s="22"/>
      <c r="AP1468" s="22"/>
    </row>
    <row r="1469" hidden="1">
      <c r="A1469" s="148">
        <v>46156.0</v>
      </c>
      <c r="B1469" s="149">
        <v>0.5</v>
      </c>
      <c r="C1469" s="11" t="s">
        <v>58</v>
      </c>
      <c r="D1469" s="102" t="s">
        <v>3083</v>
      </c>
      <c r="E1469" s="10" t="s">
        <v>71</v>
      </c>
      <c r="F1469" s="10" t="s">
        <v>4299</v>
      </c>
      <c r="G1469" s="11" t="s">
        <v>4485</v>
      </c>
      <c r="H1469" s="11" t="s">
        <v>4486</v>
      </c>
      <c r="I1469" s="10" t="s">
        <v>61</v>
      </c>
      <c r="J1469" s="14">
        <v>5049.0</v>
      </c>
      <c r="K1469" s="14">
        <v>2952.0</v>
      </c>
      <c r="L1469" s="17">
        <v>0.5847</v>
      </c>
      <c r="M1469" s="150">
        <v>0.0</v>
      </c>
      <c r="N1469" s="136">
        <v>0.0</v>
      </c>
      <c r="O1469" s="18">
        <v>2.0</v>
      </c>
      <c r="P1469" s="92">
        <v>0.0</v>
      </c>
      <c r="Q1469" s="137">
        <v>7.0E-4</v>
      </c>
      <c r="R1469" s="17">
        <v>0.0</v>
      </c>
      <c r="S1469" s="18"/>
      <c r="T1469" s="18"/>
      <c r="U1469" s="14">
        <v>17486.0</v>
      </c>
      <c r="V1469" s="92" t="s">
        <v>335</v>
      </c>
      <c r="W1469" s="18" t="s">
        <v>58</v>
      </c>
      <c r="X1469" s="42" t="s">
        <v>41</v>
      </c>
      <c r="Y1469" s="167">
        <v>46156.0</v>
      </c>
      <c r="Z1469" s="18" t="s">
        <v>4487</v>
      </c>
      <c r="AA1469" s="92">
        <v>1.0</v>
      </c>
      <c r="AB1469" s="18">
        <v>1.0</v>
      </c>
      <c r="AC1469" s="52"/>
      <c r="AD1469" s="14">
        <v>2997.0</v>
      </c>
      <c r="AE1469" s="14">
        <v>2997.0</v>
      </c>
      <c r="AF1469" s="52"/>
      <c r="AG1469" s="22"/>
      <c r="AH1469" s="22"/>
      <c r="AI1469" s="22"/>
      <c r="AJ1469" s="22"/>
      <c r="AK1469" s="22"/>
      <c r="AL1469" s="22"/>
      <c r="AM1469" s="22"/>
      <c r="AN1469" s="22"/>
      <c r="AO1469" s="22"/>
      <c r="AP1469" s="22"/>
    </row>
    <row r="1470" hidden="1">
      <c r="A1470" s="148">
        <v>46157.0</v>
      </c>
      <c r="B1470" s="149">
        <v>0.4166666666666667</v>
      </c>
      <c r="C1470" s="11" t="s">
        <v>32</v>
      </c>
      <c r="D1470" s="102" t="s">
        <v>3083</v>
      </c>
      <c r="E1470" s="10" t="s">
        <v>179</v>
      </c>
      <c r="F1470" s="10" t="s">
        <v>4488</v>
      </c>
      <c r="G1470" s="11" t="s">
        <v>4489</v>
      </c>
      <c r="H1470" s="11" t="s">
        <v>4490</v>
      </c>
      <c r="I1470" s="10" t="s">
        <v>2956</v>
      </c>
      <c r="J1470" s="14">
        <v>52333.0</v>
      </c>
      <c r="K1470" s="14">
        <v>30834.0</v>
      </c>
      <c r="L1470" s="17">
        <v>0.5891</v>
      </c>
      <c r="M1470" s="150">
        <v>7627.0</v>
      </c>
      <c r="N1470" s="136">
        <v>0.2474</v>
      </c>
      <c r="O1470" s="18">
        <v>487.0</v>
      </c>
      <c r="P1470" s="92">
        <v>474.0</v>
      </c>
      <c r="Q1470" s="137">
        <v>0.0154</v>
      </c>
      <c r="R1470" s="17">
        <v>0.0621</v>
      </c>
      <c r="S1470" s="18"/>
      <c r="T1470" s="18"/>
      <c r="U1470" s="151"/>
      <c r="V1470" s="92" t="s">
        <v>335</v>
      </c>
      <c r="W1470" s="92" t="s">
        <v>76</v>
      </c>
      <c r="X1470" s="42" t="s">
        <v>111</v>
      </c>
      <c r="Y1470" s="159" t="s">
        <v>4491</v>
      </c>
      <c r="Z1470" s="18" t="s">
        <v>4492</v>
      </c>
      <c r="AA1470" s="18">
        <v>62.0</v>
      </c>
      <c r="AB1470" s="18">
        <v>62.0</v>
      </c>
      <c r="AC1470" s="52"/>
      <c r="AD1470" s="14">
        <v>516618.0</v>
      </c>
      <c r="AE1470" s="14">
        <v>516618.0</v>
      </c>
      <c r="AF1470" s="52"/>
      <c r="AG1470" s="22"/>
      <c r="AH1470" s="22"/>
      <c r="AI1470" s="22"/>
      <c r="AJ1470" s="22"/>
      <c r="AK1470" s="22"/>
      <c r="AL1470" s="22"/>
      <c r="AM1470" s="22"/>
      <c r="AN1470" s="22"/>
      <c r="AO1470" s="22"/>
      <c r="AP1470" s="22"/>
    </row>
    <row r="1471" hidden="1">
      <c r="A1471" s="148">
        <v>46157.0</v>
      </c>
      <c r="B1471" s="149">
        <v>0.4201388888888889</v>
      </c>
      <c r="C1471" s="11" t="s">
        <v>32</v>
      </c>
      <c r="D1471" s="102" t="s">
        <v>3083</v>
      </c>
      <c r="E1471" s="10" t="s">
        <v>179</v>
      </c>
      <c r="F1471" s="10" t="s">
        <v>4488</v>
      </c>
      <c r="G1471" s="11" t="s">
        <v>4493</v>
      </c>
      <c r="H1471" s="11" t="s">
        <v>4494</v>
      </c>
      <c r="I1471" s="10" t="s">
        <v>2956</v>
      </c>
      <c r="J1471" s="14">
        <v>52107.0</v>
      </c>
      <c r="K1471" s="14">
        <v>29227.0</v>
      </c>
      <c r="L1471" s="17">
        <v>0.5608</v>
      </c>
      <c r="M1471" s="150">
        <v>6727.0</v>
      </c>
      <c r="N1471" s="136">
        <v>0.2302</v>
      </c>
      <c r="O1471" s="18">
        <v>0.0</v>
      </c>
      <c r="P1471" s="92">
        <v>0.0</v>
      </c>
      <c r="Q1471" s="137">
        <v>0.0</v>
      </c>
      <c r="R1471" s="17">
        <v>0.0</v>
      </c>
      <c r="S1471" s="18"/>
      <c r="T1471" s="18"/>
      <c r="U1471" s="151"/>
      <c r="V1471" s="92" t="s">
        <v>315</v>
      </c>
      <c r="W1471" s="92" t="s">
        <v>76</v>
      </c>
      <c r="X1471" s="42" t="s">
        <v>111</v>
      </c>
      <c r="Y1471" s="159" t="s">
        <v>4491</v>
      </c>
      <c r="Z1471" s="18" t="s">
        <v>4495</v>
      </c>
      <c r="AA1471" s="92">
        <v>143.0</v>
      </c>
      <c r="AB1471" s="18"/>
      <c r="AC1471" s="18">
        <v>143.0</v>
      </c>
      <c r="AD1471" s="14">
        <v>2133491.0</v>
      </c>
      <c r="AE1471" s="14"/>
      <c r="AF1471" s="14">
        <v>2133491.0</v>
      </c>
      <c r="AG1471" s="22"/>
      <c r="AH1471" s="22"/>
      <c r="AI1471" s="22"/>
      <c r="AJ1471" s="22"/>
      <c r="AK1471" s="22"/>
      <c r="AL1471" s="22"/>
      <c r="AM1471" s="22"/>
      <c r="AN1471" s="22"/>
      <c r="AO1471" s="22"/>
      <c r="AP1471" s="22"/>
    </row>
    <row r="1472" hidden="1">
      <c r="A1472" s="148">
        <v>46157.0</v>
      </c>
      <c r="B1472" s="149">
        <v>0.4270833333333333</v>
      </c>
      <c r="C1472" s="11" t="s">
        <v>32</v>
      </c>
      <c r="D1472" s="102" t="s">
        <v>3083</v>
      </c>
      <c r="E1472" s="10" t="s">
        <v>179</v>
      </c>
      <c r="F1472" s="10" t="s">
        <v>4488</v>
      </c>
      <c r="G1472" s="11" t="s">
        <v>4496</v>
      </c>
      <c r="H1472" s="11" t="s">
        <v>4497</v>
      </c>
      <c r="I1472" s="10" t="s">
        <v>2956</v>
      </c>
      <c r="J1472" s="14">
        <v>24921.0</v>
      </c>
      <c r="K1472" s="14">
        <v>15178.0</v>
      </c>
      <c r="L1472" s="17">
        <v>0.6088</v>
      </c>
      <c r="M1472" s="150">
        <v>3877.0</v>
      </c>
      <c r="N1472" s="136">
        <v>0.2555</v>
      </c>
      <c r="O1472" s="18">
        <v>183.0</v>
      </c>
      <c r="P1472" s="92">
        <v>179.0</v>
      </c>
      <c r="Q1472" s="137">
        <v>0.0118</v>
      </c>
      <c r="R1472" s="17">
        <v>0.0462</v>
      </c>
      <c r="S1472" s="18"/>
      <c r="T1472" s="18"/>
      <c r="U1472" s="151"/>
      <c r="V1472" s="92" t="s">
        <v>315</v>
      </c>
      <c r="W1472" s="92" t="s">
        <v>76</v>
      </c>
      <c r="X1472" s="42" t="s">
        <v>111</v>
      </c>
      <c r="Y1472" s="159" t="s">
        <v>4491</v>
      </c>
      <c r="Z1472" s="18" t="s">
        <v>4498</v>
      </c>
      <c r="AA1472" s="92">
        <v>35.0</v>
      </c>
      <c r="AB1472" s="18"/>
      <c r="AC1472" s="18">
        <v>35.0</v>
      </c>
      <c r="AD1472" s="14">
        <v>298343.0</v>
      </c>
      <c r="AE1472" s="14"/>
      <c r="AF1472" s="14">
        <v>298343.0</v>
      </c>
      <c r="AG1472" s="22"/>
      <c r="AH1472" s="22"/>
      <c r="AI1472" s="22"/>
      <c r="AJ1472" s="22"/>
      <c r="AK1472" s="22"/>
      <c r="AL1472" s="22"/>
      <c r="AM1472" s="22"/>
      <c r="AN1472" s="22"/>
      <c r="AO1472" s="22"/>
      <c r="AP1472" s="22"/>
    </row>
    <row r="1473" hidden="1">
      <c r="A1473" s="148">
        <v>46157.0</v>
      </c>
      <c r="B1473" s="149">
        <v>0.4583333333333333</v>
      </c>
      <c r="C1473" s="11" t="s">
        <v>32</v>
      </c>
      <c r="D1473" s="102" t="s">
        <v>3243</v>
      </c>
      <c r="E1473" s="10" t="s">
        <v>71</v>
      </c>
      <c r="F1473" s="10" t="s">
        <v>4299</v>
      </c>
      <c r="G1473" s="11" t="s">
        <v>4499</v>
      </c>
      <c r="H1473" s="11" t="s">
        <v>4500</v>
      </c>
      <c r="I1473" s="10" t="s">
        <v>4501</v>
      </c>
      <c r="J1473" s="14">
        <v>9226.0</v>
      </c>
      <c r="K1473" s="14">
        <v>4611.0</v>
      </c>
      <c r="L1473" s="17">
        <v>0.4997</v>
      </c>
      <c r="M1473" s="150">
        <v>1719.0</v>
      </c>
      <c r="N1473" s="136">
        <v>0.3729</v>
      </c>
      <c r="O1473" s="18">
        <v>129.0</v>
      </c>
      <c r="P1473" s="92">
        <v>126.0</v>
      </c>
      <c r="Q1473" s="137">
        <v>0.0273</v>
      </c>
      <c r="R1473" s="17">
        <v>0.0733</v>
      </c>
      <c r="S1473" s="18"/>
      <c r="T1473" s="18"/>
      <c r="U1473" s="14">
        <v>9371.0</v>
      </c>
      <c r="V1473" s="92" t="s">
        <v>335</v>
      </c>
      <c r="W1473" s="92" t="s">
        <v>40</v>
      </c>
      <c r="X1473" s="42" t="s">
        <v>4502</v>
      </c>
      <c r="Y1473" s="167" t="s">
        <v>4503</v>
      </c>
      <c r="Z1473" s="18" t="s">
        <v>4504</v>
      </c>
      <c r="AA1473" s="92">
        <v>21.0</v>
      </c>
      <c r="AB1473" s="18">
        <v>21.0</v>
      </c>
      <c r="AC1473" s="52"/>
      <c r="AD1473" s="14">
        <v>56064.0</v>
      </c>
      <c r="AE1473" s="14">
        <v>56064.0</v>
      </c>
      <c r="AF1473" s="52"/>
      <c r="AG1473" s="22"/>
      <c r="AH1473" s="22"/>
      <c r="AI1473" s="22"/>
      <c r="AJ1473" s="22"/>
      <c r="AK1473" s="22"/>
      <c r="AL1473" s="22"/>
      <c r="AM1473" s="22"/>
      <c r="AN1473" s="22"/>
      <c r="AO1473" s="22"/>
      <c r="AP1473" s="22"/>
    </row>
    <row r="1474" hidden="1">
      <c r="A1474" s="148">
        <v>46157.0</v>
      </c>
      <c r="B1474" s="149">
        <v>0.4618055555555556</v>
      </c>
      <c r="C1474" s="11" t="s">
        <v>32</v>
      </c>
      <c r="D1474" s="102" t="s">
        <v>3243</v>
      </c>
      <c r="E1474" s="10" t="s">
        <v>71</v>
      </c>
      <c r="F1474" s="10" t="s">
        <v>4299</v>
      </c>
      <c r="G1474" s="11" t="s">
        <v>4505</v>
      </c>
      <c r="H1474" s="11" t="s">
        <v>4506</v>
      </c>
      <c r="I1474" s="10" t="s">
        <v>4507</v>
      </c>
      <c r="J1474" s="14">
        <v>8690.0</v>
      </c>
      <c r="K1474" s="14">
        <v>3585.0</v>
      </c>
      <c r="L1474" s="17">
        <v>0.4125</v>
      </c>
      <c r="M1474" s="150">
        <v>1471.0</v>
      </c>
      <c r="N1474" s="136">
        <v>0.4103</v>
      </c>
      <c r="O1474" s="18">
        <v>143.0</v>
      </c>
      <c r="P1474" s="92">
        <v>133.0</v>
      </c>
      <c r="Q1474" s="137">
        <v>0.0371</v>
      </c>
      <c r="R1474" s="17">
        <v>0.0904</v>
      </c>
      <c r="S1474" s="18"/>
      <c r="T1474" s="18"/>
      <c r="U1474" s="14">
        <v>12594.0</v>
      </c>
      <c r="V1474" s="92" t="s">
        <v>335</v>
      </c>
      <c r="W1474" s="92" t="s">
        <v>40</v>
      </c>
      <c r="X1474" s="42" t="s">
        <v>4502</v>
      </c>
      <c r="Y1474" s="167" t="s">
        <v>4503</v>
      </c>
      <c r="Z1474" s="18" t="s">
        <v>4508</v>
      </c>
      <c r="AA1474" s="92">
        <v>12.0</v>
      </c>
      <c r="AB1474" s="18">
        <v>12.0</v>
      </c>
      <c r="AC1474" s="52"/>
      <c r="AD1474" s="14">
        <v>38161.0</v>
      </c>
      <c r="AE1474" s="14">
        <v>38161.0</v>
      </c>
      <c r="AF1474" s="52"/>
      <c r="AG1474" s="22"/>
      <c r="AH1474" s="22"/>
      <c r="AI1474" s="22"/>
      <c r="AJ1474" s="22"/>
      <c r="AK1474" s="22"/>
      <c r="AL1474" s="22"/>
      <c r="AM1474" s="22"/>
      <c r="AN1474" s="22"/>
      <c r="AO1474" s="22"/>
      <c r="AP1474" s="22"/>
    </row>
    <row r="1475" hidden="1">
      <c r="A1475" s="148">
        <v>46157.0</v>
      </c>
      <c r="B1475" s="149">
        <v>0.4652777777777778</v>
      </c>
      <c r="C1475" s="11" t="s">
        <v>32</v>
      </c>
      <c r="D1475" s="102" t="s">
        <v>3243</v>
      </c>
      <c r="E1475" s="10" t="s">
        <v>71</v>
      </c>
      <c r="F1475" s="10" t="s">
        <v>4299</v>
      </c>
      <c r="G1475" s="11" t="s">
        <v>4509</v>
      </c>
      <c r="H1475" s="11" t="s">
        <v>4510</v>
      </c>
      <c r="I1475" s="10" t="s">
        <v>4511</v>
      </c>
      <c r="J1475" s="14">
        <v>6983.0</v>
      </c>
      <c r="K1475" s="14">
        <v>3257.0</v>
      </c>
      <c r="L1475" s="17">
        <v>0.4663</v>
      </c>
      <c r="M1475" s="150">
        <v>1138.0</v>
      </c>
      <c r="N1475" s="136">
        <v>0.3492</v>
      </c>
      <c r="O1475" s="18">
        <v>104.0</v>
      </c>
      <c r="P1475" s="92">
        <v>98.0</v>
      </c>
      <c r="Q1475" s="137">
        <v>0.0301</v>
      </c>
      <c r="R1475" s="17">
        <v>0.0862</v>
      </c>
      <c r="S1475" s="18"/>
      <c r="T1475" s="18"/>
      <c r="U1475" s="14">
        <v>39548.0</v>
      </c>
      <c r="V1475" s="92" t="s">
        <v>335</v>
      </c>
      <c r="W1475" s="92" t="s">
        <v>40</v>
      </c>
      <c r="X1475" s="42" t="s">
        <v>4502</v>
      </c>
      <c r="Y1475" s="167" t="s">
        <v>4503</v>
      </c>
      <c r="Z1475" s="18" t="s">
        <v>4512</v>
      </c>
      <c r="AA1475" s="92">
        <v>13.0</v>
      </c>
      <c r="AB1475" s="18">
        <v>13.0</v>
      </c>
      <c r="AC1475" s="52"/>
      <c r="AD1475" s="14">
        <v>32267.0</v>
      </c>
      <c r="AE1475" s="14">
        <v>32267.0</v>
      </c>
      <c r="AF1475" s="52"/>
      <c r="AG1475" s="22"/>
      <c r="AH1475" s="22"/>
      <c r="AI1475" s="22"/>
      <c r="AJ1475" s="22"/>
      <c r="AK1475" s="22"/>
      <c r="AL1475" s="22"/>
      <c r="AM1475" s="22"/>
      <c r="AN1475" s="22"/>
      <c r="AO1475" s="22"/>
      <c r="AP1475" s="22"/>
    </row>
    <row r="1476" hidden="1">
      <c r="A1476" s="148">
        <v>46157.0</v>
      </c>
      <c r="B1476" s="149">
        <v>0.46875</v>
      </c>
      <c r="C1476" s="11" t="s">
        <v>32</v>
      </c>
      <c r="D1476" s="102" t="s">
        <v>3243</v>
      </c>
      <c r="E1476" s="10" t="s">
        <v>71</v>
      </c>
      <c r="F1476" s="10" t="s">
        <v>4299</v>
      </c>
      <c r="G1476" s="11" t="s">
        <v>4513</v>
      </c>
      <c r="H1476" s="11" t="s">
        <v>4514</v>
      </c>
      <c r="I1476" s="10" t="s">
        <v>4515</v>
      </c>
      <c r="J1476" s="14">
        <v>3694.0</v>
      </c>
      <c r="K1476" s="14">
        <v>1645.0</v>
      </c>
      <c r="L1476" s="17">
        <v>0.445</v>
      </c>
      <c r="M1476" s="150">
        <v>565.0</v>
      </c>
      <c r="N1476" s="136">
        <v>0.3437</v>
      </c>
      <c r="O1476" s="18">
        <v>36.0</v>
      </c>
      <c r="P1476" s="92">
        <v>34.0</v>
      </c>
      <c r="Q1476" s="137">
        <v>0.0207</v>
      </c>
      <c r="R1476" s="17">
        <v>0.0602</v>
      </c>
      <c r="S1476" s="18"/>
      <c r="T1476" s="18"/>
      <c r="U1476" s="14">
        <v>6196.0</v>
      </c>
      <c r="V1476" s="92" t="s">
        <v>335</v>
      </c>
      <c r="W1476" s="92" t="s">
        <v>40</v>
      </c>
      <c r="X1476" s="42" t="s">
        <v>4502</v>
      </c>
      <c r="Y1476" s="167" t="s">
        <v>4503</v>
      </c>
      <c r="Z1476" s="18" t="s">
        <v>4516</v>
      </c>
      <c r="AA1476" s="92">
        <v>9.0</v>
      </c>
      <c r="AB1476" s="18">
        <v>9.0</v>
      </c>
      <c r="AC1476" s="52"/>
      <c r="AD1476" s="14">
        <v>30273.0</v>
      </c>
      <c r="AE1476" s="14">
        <v>30273.0</v>
      </c>
      <c r="AF1476" s="52"/>
      <c r="AG1476" s="22"/>
      <c r="AH1476" s="22"/>
      <c r="AI1476" s="22"/>
      <c r="AJ1476" s="22"/>
      <c r="AK1476" s="22"/>
      <c r="AL1476" s="22"/>
      <c r="AM1476" s="22"/>
      <c r="AN1476" s="22"/>
      <c r="AO1476" s="22"/>
      <c r="AP1476" s="22"/>
    </row>
    <row r="1477" hidden="1">
      <c r="A1477" s="148">
        <v>46157.0</v>
      </c>
      <c r="B1477" s="149">
        <v>0.4722222222222222</v>
      </c>
      <c r="C1477" s="11" t="s">
        <v>32</v>
      </c>
      <c r="D1477" s="102" t="s">
        <v>3243</v>
      </c>
      <c r="E1477" s="10" t="s">
        <v>71</v>
      </c>
      <c r="F1477" s="10" t="s">
        <v>4299</v>
      </c>
      <c r="G1477" s="11" t="s">
        <v>4517</v>
      </c>
      <c r="H1477" s="11" t="s">
        <v>4518</v>
      </c>
      <c r="I1477" s="10" t="s">
        <v>4519</v>
      </c>
      <c r="J1477" s="14">
        <v>3181.0</v>
      </c>
      <c r="K1477" s="14">
        <v>1602.0</v>
      </c>
      <c r="L1477" s="17">
        <v>0.5036</v>
      </c>
      <c r="M1477" s="150">
        <v>645.0</v>
      </c>
      <c r="N1477" s="136">
        <v>0.4026</v>
      </c>
      <c r="O1477" s="18">
        <v>33.0</v>
      </c>
      <c r="P1477" s="92">
        <v>29.0</v>
      </c>
      <c r="Q1477" s="137">
        <v>0.0181</v>
      </c>
      <c r="R1477" s="17">
        <v>0.045</v>
      </c>
      <c r="S1477" s="18"/>
      <c r="T1477" s="18"/>
      <c r="U1477" s="14">
        <v>7391.0</v>
      </c>
      <c r="V1477" s="92" t="s">
        <v>335</v>
      </c>
      <c r="W1477" s="92" t="s">
        <v>40</v>
      </c>
      <c r="X1477" s="42" t="s">
        <v>4502</v>
      </c>
      <c r="Y1477" s="167" t="s">
        <v>4503</v>
      </c>
      <c r="Z1477" s="18" t="s">
        <v>4520</v>
      </c>
      <c r="AA1477" s="92">
        <v>9.0</v>
      </c>
      <c r="AB1477" s="92">
        <v>9.0</v>
      </c>
      <c r="AC1477" s="52"/>
      <c r="AD1477" s="14">
        <v>18181.0</v>
      </c>
      <c r="AE1477" s="14">
        <v>18181.0</v>
      </c>
      <c r="AF1477" s="52"/>
      <c r="AG1477" s="22"/>
      <c r="AH1477" s="22"/>
      <c r="AI1477" s="22"/>
      <c r="AJ1477" s="22"/>
      <c r="AK1477" s="22"/>
      <c r="AL1477" s="22"/>
      <c r="AM1477" s="22"/>
      <c r="AN1477" s="22"/>
      <c r="AO1477" s="22"/>
      <c r="AP1477" s="22"/>
    </row>
    <row r="1478" hidden="1">
      <c r="A1478" s="148">
        <v>46157.0</v>
      </c>
      <c r="B1478" s="149">
        <v>0.4756944444444444</v>
      </c>
      <c r="C1478" s="11" t="s">
        <v>32</v>
      </c>
      <c r="D1478" s="102" t="s">
        <v>3243</v>
      </c>
      <c r="E1478" s="10" t="s">
        <v>71</v>
      </c>
      <c r="F1478" s="10" t="s">
        <v>4299</v>
      </c>
      <c r="G1478" s="11" t="s">
        <v>4521</v>
      </c>
      <c r="H1478" s="11" t="s">
        <v>4522</v>
      </c>
      <c r="I1478" s="10" t="s">
        <v>4523</v>
      </c>
      <c r="J1478" s="14">
        <v>2081.0</v>
      </c>
      <c r="K1478" s="14">
        <v>997.0</v>
      </c>
      <c r="L1478" s="17">
        <v>0.4791</v>
      </c>
      <c r="M1478" s="150">
        <v>407.0</v>
      </c>
      <c r="N1478" s="136">
        <v>0.4082</v>
      </c>
      <c r="O1478" s="18">
        <v>30.0</v>
      </c>
      <c r="P1478" s="92">
        <v>30.0</v>
      </c>
      <c r="Q1478" s="137">
        <v>0.0301</v>
      </c>
      <c r="R1478" s="17">
        <v>0.0737</v>
      </c>
      <c r="S1478" s="18"/>
      <c r="T1478" s="18"/>
      <c r="U1478" s="14">
        <v>5195.0</v>
      </c>
      <c r="V1478" s="92" t="s">
        <v>335</v>
      </c>
      <c r="W1478" s="92" t="s">
        <v>40</v>
      </c>
      <c r="X1478" s="42" t="s">
        <v>4502</v>
      </c>
      <c r="Y1478" s="167" t="s">
        <v>4503</v>
      </c>
      <c r="Z1478" s="18" t="s">
        <v>4524</v>
      </c>
      <c r="AA1478" s="92">
        <v>4.0</v>
      </c>
      <c r="AB1478" s="18">
        <v>4.0</v>
      </c>
      <c r="AC1478" s="52"/>
      <c r="AD1478" s="14">
        <v>17783.0</v>
      </c>
      <c r="AE1478" s="14">
        <v>17783.0</v>
      </c>
      <c r="AF1478" s="52"/>
      <c r="AG1478" s="22"/>
      <c r="AH1478" s="22"/>
      <c r="AI1478" s="22"/>
      <c r="AJ1478" s="22"/>
      <c r="AK1478" s="22"/>
      <c r="AL1478" s="22"/>
      <c r="AM1478" s="22"/>
      <c r="AN1478" s="22"/>
      <c r="AO1478" s="22"/>
      <c r="AP1478" s="22"/>
    </row>
    <row r="1479" hidden="1">
      <c r="A1479" s="148">
        <v>46157.0</v>
      </c>
      <c r="B1479" s="149">
        <v>0.4791666666666667</v>
      </c>
      <c r="C1479" s="11" t="s">
        <v>32</v>
      </c>
      <c r="D1479" s="102" t="s">
        <v>3243</v>
      </c>
      <c r="E1479" s="10" t="s">
        <v>71</v>
      </c>
      <c r="F1479" s="10" t="s">
        <v>4299</v>
      </c>
      <c r="G1479" s="11" t="s">
        <v>4525</v>
      </c>
      <c r="H1479" s="11" t="s">
        <v>4526</v>
      </c>
      <c r="I1479" s="10" t="s">
        <v>4527</v>
      </c>
      <c r="J1479" s="14">
        <v>1767.0</v>
      </c>
      <c r="K1479" s="14">
        <v>812.0</v>
      </c>
      <c r="L1479" s="17">
        <v>0.4595</v>
      </c>
      <c r="M1479" s="150">
        <v>273.0</v>
      </c>
      <c r="N1479" s="136">
        <v>0.3362</v>
      </c>
      <c r="O1479" s="18">
        <v>31.0</v>
      </c>
      <c r="P1479" s="92">
        <v>30.0</v>
      </c>
      <c r="Q1479" s="137">
        <v>0.0369</v>
      </c>
      <c r="R1479" s="17">
        <v>0.1099</v>
      </c>
      <c r="S1479" s="18"/>
      <c r="T1479" s="18"/>
      <c r="U1479" s="14">
        <v>6443.0</v>
      </c>
      <c r="V1479" s="92" t="s">
        <v>335</v>
      </c>
      <c r="W1479" s="92" t="s">
        <v>40</v>
      </c>
      <c r="X1479" s="42" t="s">
        <v>4502</v>
      </c>
      <c r="Y1479" s="167" t="s">
        <v>4503</v>
      </c>
      <c r="Z1479" s="18" t="s">
        <v>4528</v>
      </c>
      <c r="AA1479" s="92">
        <v>5.0</v>
      </c>
      <c r="AB1479" s="18">
        <v>5.0</v>
      </c>
      <c r="AC1479" s="52"/>
      <c r="AD1479" s="14">
        <v>9391.0</v>
      </c>
      <c r="AE1479" s="14">
        <v>9391.0</v>
      </c>
      <c r="AF1479" s="52"/>
      <c r="AG1479" s="22"/>
      <c r="AH1479" s="22"/>
      <c r="AI1479" s="22"/>
      <c r="AJ1479" s="22"/>
      <c r="AK1479" s="22"/>
      <c r="AL1479" s="22"/>
      <c r="AM1479" s="22"/>
      <c r="AN1479" s="22"/>
      <c r="AO1479" s="22"/>
      <c r="AP1479" s="22"/>
    </row>
    <row r="1480" hidden="1">
      <c r="A1480" s="148">
        <v>46157.0</v>
      </c>
      <c r="B1480" s="149">
        <v>0.4826388888888889</v>
      </c>
      <c r="C1480" s="11" t="s">
        <v>32</v>
      </c>
      <c r="D1480" s="102" t="s">
        <v>3243</v>
      </c>
      <c r="E1480" s="10" t="s">
        <v>71</v>
      </c>
      <c r="F1480" s="10" t="s">
        <v>4299</v>
      </c>
      <c r="G1480" s="11" t="s">
        <v>4529</v>
      </c>
      <c r="H1480" s="11" t="s">
        <v>4530</v>
      </c>
      <c r="I1480" s="10" t="s">
        <v>4531</v>
      </c>
      <c r="J1480" s="14">
        <v>2253.0</v>
      </c>
      <c r="K1480" s="14">
        <v>1249.0</v>
      </c>
      <c r="L1480" s="17">
        <v>0.5544</v>
      </c>
      <c r="M1480" s="150">
        <v>607.0</v>
      </c>
      <c r="N1480" s="136">
        <v>0.486</v>
      </c>
      <c r="O1480" s="18">
        <v>30.0</v>
      </c>
      <c r="P1480" s="92">
        <v>28.0</v>
      </c>
      <c r="Q1480" s="137">
        <v>0.0224</v>
      </c>
      <c r="R1480" s="17">
        <v>0.0461</v>
      </c>
      <c r="S1480" s="18"/>
      <c r="T1480" s="18"/>
      <c r="U1480" s="14">
        <v>948.0</v>
      </c>
      <c r="V1480" s="92" t="s">
        <v>335</v>
      </c>
      <c r="W1480" s="92" t="s">
        <v>40</v>
      </c>
      <c r="X1480" s="42" t="s">
        <v>4502</v>
      </c>
      <c r="Y1480" s="167" t="s">
        <v>4503</v>
      </c>
      <c r="Z1480" s="18" t="s">
        <v>4532</v>
      </c>
      <c r="AA1480" s="92">
        <v>5.0</v>
      </c>
      <c r="AB1480" s="18">
        <v>5.0</v>
      </c>
      <c r="AC1480" s="52"/>
      <c r="AD1480" s="14">
        <v>9391.0</v>
      </c>
      <c r="AE1480" s="14">
        <v>9391.0</v>
      </c>
      <c r="AF1480" s="52"/>
      <c r="AG1480" s="22"/>
      <c r="AH1480" s="22"/>
      <c r="AI1480" s="22"/>
      <c r="AJ1480" s="22"/>
      <c r="AK1480" s="22"/>
      <c r="AL1480" s="22"/>
      <c r="AM1480" s="22"/>
      <c r="AN1480" s="22"/>
      <c r="AO1480" s="22"/>
      <c r="AP1480" s="22"/>
    </row>
    <row r="1481" hidden="1">
      <c r="A1481" s="148">
        <v>46157.0</v>
      </c>
      <c r="B1481" s="149">
        <v>0.4861111111111111</v>
      </c>
      <c r="C1481" s="11" t="s">
        <v>32</v>
      </c>
      <c r="D1481" s="102" t="s">
        <v>3243</v>
      </c>
      <c r="E1481" s="10" t="s">
        <v>71</v>
      </c>
      <c r="F1481" s="10" t="s">
        <v>4299</v>
      </c>
      <c r="G1481" s="11" t="s">
        <v>4533</v>
      </c>
      <c r="H1481" s="11" t="s">
        <v>4534</v>
      </c>
      <c r="I1481" s="10" t="s">
        <v>4535</v>
      </c>
      <c r="J1481" s="14">
        <v>1545.0</v>
      </c>
      <c r="K1481" s="14">
        <v>716.0</v>
      </c>
      <c r="L1481" s="17">
        <v>0.4634</v>
      </c>
      <c r="M1481" s="150">
        <v>308.0</v>
      </c>
      <c r="N1481" s="136">
        <v>0.4302</v>
      </c>
      <c r="O1481" s="18">
        <v>15.0</v>
      </c>
      <c r="P1481" s="92">
        <v>15.0</v>
      </c>
      <c r="Q1481" s="137">
        <v>0.0209</v>
      </c>
      <c r="R1481" s="17">
        <v>0.0487</v>
      </c>
      <c r="S1481" s="18"/>
      <c r="T1481" s="18"/>
      <c r="U1481" s="14">
        <v>0.0</v>
      </c>
      <c r="V1481" s="92" t="s">
        <v>335</v>
      </c>
      <c r="W1481" s="92" t="s">
        <v>40</v>
      </c>
      <c r="X1481" s="42" t="s">
        <v>4502</v>
      </c>
      <c r="Y1481" s="167" t="s">
        <v>4503</v>
      </c>
      <c r="Z1481" s="18" t="s">
        <v>4536</v>
      </c>
      <c r="AA1481" s="92">
        <v>0.0</v>
      </c>
      <c r="AB1481" s="18">
        <v>0.0</v>
      </c>
      <c r="AC1481" s="52"/>
      <c r="AD1481" s="14">
        <v>0.0</v>
      </c>
      <c r="AE1481" s="14">
        <v>0.0</v>
      </c>
      <c r="AF1481" s="52"/>
      <c r="AG1481" s="22"/>
      <c r="AH1481" s="22"/>
      <c r="AI1481" s="22"/>
      <c r="AJ1481" s="22"/>
      <c r="AK1481" s="22"/>
      <c r="AL1481" s="22"/>
      <c r="AM1481" s="22"/>
      <c r="AN1481" s="22"/>
      <c r="AO1481" s="22"/>
      <c r="AP1481" s="22"/>
    </row>
    <row r="1482" hidden="1">
      <c r="A1482" s="148">
        <v>46157.0</v>
      </c>
      <c r="B1482" s="149">
        <v>0.4895833333333333</v>
      </c>
      <c r="C1482" s="11" t="s">
        <v>32</v>
      </c>
      <c r="D1482" s="102" t="s">
        <v>3243</v>
      </c>
      <c r="E1482" s="10" t="s">
        <v>71</v>
      </c>
      <c r="F1482" s="10" t="s">
        <v>4299</v>
      </c>
      <c r="G1482" s="11" t="s">
        <v>4537</v>
      </c>
      <c r="H1482" s="11" t="s">
        <v>4538</v>
      </c>
      <c r="I1482" s="10" t="s">
        <v>4539</v>
      </c>
      <c r="J1482" s="14">
        <v>2056.0</v>
      </c>
      <c r="K1482" s="14">
        <v>989.0</v>
      </c>
      <c r="L1482" s="17">
        <v>0.481</v>
      </c>
      <c r="M1482" s="150">
        <v>433.0</v>
      </c>
      <c r="N1482" s="136">
        <v>0.4378</v>
      </c>
      <c r="O1482" s="18">
        <v>46.0</v>
      </c>
      <c r="P1482" s="92">
        <v>39.0</v>
      </c>
      <c r="Q1482" s="137">
        <v>0.0394</v>
      </c>
      <c r="R1482" s="17">
        <v>0.0901</v>
      </c>
      <c r="S1482" s="18"/>
      <c r="T1482" s="18"/>
      <c r="U1482" s="14">
        <v>2198.0</v>
      </c>
      <c r="V1482" s="92" t="s">
        <v>335</v>
      </c>
      <c r="W1482" s="92" t="s">
        <v>40</v>
      </c>
      <c r="X1482" s="42" t="s">
        <v>4502</v>
      </c>
      <c r="Y1482" s="167" t="s">
        <v>4503</v>
      </c>
      <c r="Z1482" s="18" t="s">
        <v>4540</v>
      </c>
      <c r="AA1482" s="92">
        <v>5.0</v>
      </c>
      <c r="AB1482" s="18">
        <v>5.0</v>
      </c>
      <c r="AC1482" s="52"/>
      <c r="AD1482" s="14">
        <v>7691.0</v>
      </c>
      <c r="AE1482" s="14">
        <v>7691.0</v>
      </c>
      <c r="AF1482" s="52"/>
      <c r="AG1482" s="22"/>
      <c r="AH1482" s="22"/>
      <c r="AI1482" s="22"/>
      <c r="AJ1482" s="22"/>
      <c r="AK1482" s="22"/>
      <c r="AL1482" s="22"/>
      <c r="AM1482" s="22"/>
      <c r="AN1482" s="22"/>
      <c r="AO1482" s="22"/>
      <c r="AP1482" s="22"/>
    </row>
    <row r="1483" hidden="1">
      <c r="A1483" s="148">
        <v>46157.0</v>
      </c>
      <c r="B1483" s="149">
        <v>0.5208333333333334</v>
      </c>
      <c r="C1483" s="11" t="s">
        <v>58</v>
      </c>
      <c r="D1483" s="102" t="s">
        <v>3083</v>
      </c>
      <c r="E1483" s="10" t="s">
        <v>179</v>
      </c>
      <c r="F1483" s="10" t="s">
        <v>4488</v>
      </c>
      <c r="G1483" s="11" t="s">
        <v>4541</v>
      </c>
      <c r="H1483" s="11" t="s">
        <v>4490</v>
      </c>
      <c r="I1483" s="10" t="s">
        <v>61</v>
      </c>
      <c r="J1483" s="14">
        <v>19461.0</v>
      </c>
      <c r="K1483" s="14">
        <v>12184.0</v>
      </c>
      <c r="L1483" s="17">
        <v>0.6261</v>
      </c>
      <c r="M1483" s="150">
        <v>0.0</v>
      </c>
      <c r="N1483" s="136">
        <v>0.0</v>
      </c>
      <c r="O1483" s="18">
        <v>30.0</v>
      </c>
      <c r="P1483" s="92">
        <v>0.0</v>
      </c>
      <c r="Q1483" s="137">
        <v>0.0025</v>
      </c>
      <c r="R1483" s="17">
        <v>0.0</v>
      </c>
      <c r="S1483" s="18"/>
      <c r="T1483" s="18"/>
      <c r="U1483" s="151"/>
      <c r="V1483" s="92" t="s">
        <v>335</v>
      </c>
      <c r="W1483" s="18" t="s">
        <v>58</v>
      </c>
      <c r="X1483" s="42" t="s">
        <v>111</v>
      </c>
      <c r="Y1483" s="159" t="s">
        <v>4491</v>
      </c>
      <c r="Z1483" s="18" t="s">
        <v>4542</v>
      </c>
      <c r="AA1483" s="92">
        <v>26.0</v>
      </c>
      <c r="AB1483" s="18">
        <v>26.0</v>
      </c>
      <c r="AC1483" s="52"/>
      <c r="AD1483" s="14">
        <v>288960.0</v>
      </c>
      <c r="AE1483" s="14">
        <v>288960.0</v>
      </c>
      <c r="AF1483" s="52"/>
      <c r="AG1483" s="22"/>
      <c r="AH1483" s="22"/>
      <c r="AI1483" s="22"/>
      <c r="AJ1483" s="22"/>
      <c r="AK1483" s="22"/>
      <c r="AL1483" s="22"/>
      <c r="AM1483" s="22"/>
      <c r="AN1483" s="22"/>
      <c r="AO1483" s="22"/>
      <c r="AP1483" s="22"/>
    </row>
    <row r="1484" hidden="1">
      <c r="A1484" s="148">
        <v>46157.0</v>
      </c>
      <c r="B1484" s="149">
        <v>0.5208333333333334</v>
      </c>
      <c r="C1484" s="11" t="s">
        <v>58</v>
      </c>
      <c r="D1484" s="102" t="s">
        <v>3083</v>
      </c>
      <c r="E1484" s="10" t="s">
        <v>179</v>
      </c>
      <c r="F1484" s="10" t="s">
        <v>4488</v>
      </c>
      <c r="G1484" s="11" t="s">
        <v>4543</v>
      </c>
      <c r="H1484" s="11" t="s">
        <v>4494</v>
      </c>
      <c r="I1484" s="10" t="s">
        <v>61</v>
      </c>
      <c r="J1484" s="14">
        <v>20543.0</v>
      </c>
      <c r="K1484" s="14">
        <v>11946.0</v>
      </c>
      <c r="L1484" s="17">
        <v>0.5815</v>
      </c>
      <c r="M1484" s="150">
        <v>0.0</v>
      </c>
      <c r="N1484" s="136">
        <v>0.0</v>
      </c>
      <c r="O1484" s="18">
        <v>0.0</v>
      </c>
      <c r="P1484" s="92">
        <v>0.0</v>
      </c>
      <c r="Q1484" s="137">
        <v>0.0</v>
      </c>
      <c r="R1484" s="17">
        <v>0.0</v>
      </c>
      <c r="S1484" s="18"/>
      <c r="T1484" s="18"/>
      <c r="U1484" s="151"/>
      <c r="V1484" s="92" t="s">
        <v>315</v>
      </c>
      <c r="W1484" s="18" t="s">
        <v>58</v>
      </c>
      <c r="X1484" s="42" t="s">
        <v>111</v>
      </c>
      <c r="Y1484" s="159" t="s">
        <v>4491</v>
      </c>
      <c r="Z1484" s="18" t="s">
        <v>4544</v>
      </c>
      <c r="AA1484" s="92">
        <v>70.0</v>
      </c>
      <c r="AB1484" s="18"/>
      <c r="AC1484" s="18">
        <v>70.0</v>
      </c>
      <c r="AD1484" s="14">
        <v>1237444.0</v>
      </c>
      <c r="AE1484" s="14"/>
      <c r="AF1484" s="14">
        <v>1237444.0</v>
      </c>
      <c r="AG1484" s="22"/>
      <c r="AH1484" s="22"/>
      <c r="AI1484" s="22"/>
      <c r="AJ1484" s="22"/>
      <c r="AK1484" s="22"/>
      <c r="AL1484" s="22"/>
      <c r="AM1484" s="22"/>
      <c r="AN1484" s="22"/>
      <c r="AO1484" s="22"/>
      <c r="AP1484" s="22"/>
    </row>
    <row r="1485" hidden="1">
      <c r="A1485" s="148">
        <v>46157.0</v>
      </c>
      <c r="B1485" s="149">
        <v>0.5208333333333334</v>
      </c>
      <c r="C1485" s="11" t="s">
        <v>58</v>
      </c>
      <c r="D1485" s="102" t="s">
        <v>3083</v>
      </c>
      <c r="E1485" s="10" t="s">
        <v>179</v>
      </c>
      <c r="F1485" s="10" t="s">
        <v>4488</v>
      </c>
      <c r="G1485" s="11" t="s">
        <v>4545</v>
      </c>
      <c r="H1485" s="11" t="s">
        <v>4497</v>
      </c>
      <c r="I1485" s="10" t="s">
        <v>61</v>
      </c>
      <c r="J1485" s="14">
        <v>8890.0</v>
      </c>
      <c r="K1485" s="14">
        <v>5812.0</v>
      </c>
      <c r="L1485" s="17">
        <v>0.6538</v>
      </c>
      <c r="M1485" s="150">
        <v>0.0</v>
      </c>
      <c r="N1485" s="136">
        <v>0.0</v>
      </c>
      <c r="O1485" s="18">
        <v>8.0</v>
      </c>
      <c r="P1485" s="92">
        <v>0.0</v>
      </c>
      <c r="Q1485" s="137">
        <v>0.0014</v>
      </c>
      <c r="R1485" s="17">
        <v>0.0</v>
      </c>
      <c r="S1485" s="18"/>
      <c r="T1485" s="18"/>
      <c r="U1485" s="151"/>
      <c r="V1485" s="92" t="s">
        <v>315</v>
      </c>
      <c r="W1485" s="18" t="s">
        <v>58</v>
      </c>
      <c r="X1485" s="42" t="s">
        <v>111</v>
      </c>
      <c r="Y1485" s="159" t="s">
        <v>4491</v>
      </c>
      <c r="Z1485" s="18" t="s">
        <v>4546</v>
      </c>
      <c r="AA1485" s="92">
        <v>19.0</v>
      </c>
      <c r="AB1485" s="170"/>
      <c r="AC1485" s="18">
        <v>19.0</v>
      </c>
      <c r="AD1485" s="14">
        <v>210789.0</v>
      </c>
      <c r="AE1485" s="121"/>
      <c r="AF1485" s="14">
        <v>210789.0</v>
      </c>
      <c r="AG1485" s="22"/>
      <c r="AH1485" s="22"/>
      <c r="AI1485" s="22"/>
      <c r="AJ1485" s="22"/>
      <c r="AK1485" s="22"/>
      <c r="AL1485" s="22"/>
      <c r="AM1485" s="22"/>
      <c r="AN1485" s="22"/>
      <c r="AO1485" s="22"/>
      <c r="AP1485" s="22"/>
    </row>
    <row r="1486" hidden="1">
      <c r="A1486" s="148">
        <v>46157.0</v>
      </c>
      <c r="B1486" s="149">
        <v>0.3541666666666667</v>
      </c>
      <c r="C1486" s="11" t="s">
        <v>196</v>
      </c>
      <c r="D1486" s="102" t="s">
        <v>3243</v>
      </c>
      <c r="E1486" s="10" t="s">
        <v>179</v>
      </c>
      <c r="F1486" s="10" t="s">
        <v>4488</v>
      </c>
      <c r="G1486" s="11" t="s">
        <v>4547</v>
      </c>
      <c r="H1486" s="11" t="s">
        <v>4490</v>
      </c>
      <c r="I1486" s="10" t="s">
        <v>4548</v>
      </c>
      <c r="J1486" s="14">
        <v>63402.0</v>
      </c>
      <c r="K1486" s="14">
        <v>10374.0</v>
      </c>
      <c r="L1486" s="17">
        <v>0.1636</v>
      </c>
      <c r="M1486" s="150">
        <v>1586.0</v>
      </c>
      <c r="N1486" s="136">
        <v>0.153</v>
      </c>
      <c r="O1486" s="18">
        <v>38.0</v>
      </c>
      <c r="P1486" s="92">
        <v>0.0</v>
      </c>
      <c r="Q1486" s="137">
        <v>0.0039</v>
      </c>
      <c r="R1486" s="17">
        <v>0.0</v>
      </c>
      <c r="S1486" s="18"/>
      <c r="T1486" s="18"/>
      <c r="U1486" s="151"/>
      <c r="V1486" s="92" t="s">
        <v>335</v>
      </c>
      <c r="W1486" s="18" t="s">
        <v>196</v>
      </c>
      <c r="X1486" s="42" t="s">
        <v>111</v>
      </c>
      <c r="Y1486" s="159" t="s">
        <v>4491</v>
      </c>
      <c r="Z1486" s="18" t="s">
        <v>4549</v>
      </c>
      <c r="AA1486" s="92">
        <v>7.0</v>
      </c>
      <c r="AB1486" s="18">
        <v>7.0</v>
      </c>
      <c r="AC1486" s="52"/>
      <c r="AD1486" s="14">
        <v>109982.0</v>
      </c>
      <c r="AE1486" s="14">
        <v>109982.0</v>
      </c>
      <c r="AF1486" s="14"/>
      <c r="AG1486" s="22"/>
      <c r="AH1486" s="22"/>
      <c r="AI1486" s="22"/>
      <c r="AJ1486" s="22"/>
      <c r="AK1486" s="22"/>
      <c r="AL1486" s="22"/>
      <c r="AM1486" s="22"/>
      <c r="AN1486" s="22"/>
      <c r="AO1486" s="22"/>
      <c r="AP1486" s="22"/>
    </row>
    <row r="1487" hidden="1">
      <c r="A1487" s="148">
        <v>46157.0</v>
      </c>
      <c r="B1487" s="149">
        <v>0.3541666666666667</v>
      </c>
      <c r="C1487" s="11" t="s">
        <v>196</v>
      </c>
      <c r="D1487" s="102" t="s">
        <v>3243</v>
      </c>
      <c r="E1487" s="10" t="s">
        <v>179</v>
      </c>
      <c r="F1487" s="10" t="s">
        <v>4488</v>
      </c>
      <c r="G1487" s="11" t="s">
        <v>4550</v>
      </c>
      <c r="H1487" s="11" t="s">
        <v>4494</v>
      </c>
      <c r="I1487" s="10" t="s">
        <v>4551</v>
      </c>
      <c r="J1487" s="14">
        <v>59752.0</v>
      </c>
      <c r="K1487" s="14">
        <v>7080.0</v>
      </c>
      <c r="L1487" s="17">
        <v>0.1185</v>
      </c>
      <c r="M1487" s="150">
        <v>1193.0</v>
      </c>
      <c r="N1487" s="136">
        <v>0.1685</v>
      </c>
      <c r="O1487" s="18">
        <v>6.0</v>
      </c>
      <c r="P1487" s="92">
        <v>0.0</v>
      </c>
      <c r="Q1487" s="137">
        <v>8.0E-4</v>
      </c>
      <c r="R1487" s="17">
        <v>0.0</v>
      </c>
      <c r="S1487" s="18"/>
      <c r="T1487" s="18"/>
      <c r="U1487" s="151"/>
      <c r="V1487" s="92" t="s">
        <v>315</v>
      </c>
      <c r="W1487" s="18" t="s">
        <v>196</v>
      </c>
      <c r="X1487" s="42" t="s">
        <v>111</v>
      </c>
      <c r="Y1487" s="159" t="s">
        <v>4491</v>
      </c>
      <c r="Z1487" s="18" t="s">
        <v>4552</v>
      </c>
      <c r="AA1487" s="92">
        <v>18.0</v>
      </c>
      <c r="AB1487" s="18"/>
      <c r="AC1487" s="18">
        <v>18.0</v>
      </c>
      <c r="AD1487" s="14">
        <v>248653.0</v>
      </c>
      <c r="AE1487" s="14"/>
      <c r="AF1487" s="14">
        <v>248653.0</v>
      </c>
      <c r="AG1487" s="22"/>
      <c r="AH1487" s="22"/>
      <c r="AI1487" s="22"/>
      <c r="AJ1487" s="22"/>
      <c r="AK1487" s="22"/>
      <c r="AL1487" s="22"/>
      <c r="AM1487" s="22"/>
      <c r="AN1487" s="22"/>
      <c r="AO1487" s="22"/>
      <c r="AP1487" s="22"/>
    </row>
    <row r="1488" hidden="1">
      <c r="A1488" s="148">
        <v>46157.0</v>
      </c>
      <c r="B1488" s="149">
        <v>0.3541666666666667</v>
      </c>
      <c r="C1488" s="11" t="s">
        <v>196</v>
      </c>
      <c r="D1488" s="102" t="s">
        <v>3243</v>
      </c>
      <c r="E1488" s="10" t="s">
        <v>179</v>
      </c>
      <c r="F1488" s="10" t="s">
        <v>4488</v>
      </c>
      <c r="G1488" s="11" t="s">
        <v>4553</v>
      </c>
      <c r="H1488" s="11" t="s">
        <v>4497</v>
      </c>
      <c r="I1488" s="10" t="s">
        <v>4554</v>
      </c>
      <c r="J1488" s="14">
        <v>31064.0</v>
      </c>
      <c r="K1488" s="14">
        <v>5897.0</v>
      </c>
      <c r="L1488" s="17">
        <v>0.1898</v>
      </c>
      <c r="M1488" s="150">
        <v>847.0</v>
      </c>
      <c r="N1488" s="136">
        <v>0.1436</v>
      </c>
      <c r="O1488" s="18">
        <v>5.0</v>
      </c>
      <c r="P1488" s="92">
        <v>0.0</v>
      </c>
      <c r="Q1488" s="137">
        <v>8.0E-4</v>
      </c>
      <c r="R1488" s="17">
        <v>0.0</v>
      </c>
      <c r="S1488" s="18"/>
      <c r="T1488" s="18"/>
      <c r="U1488" s="151"/>
      <c r="V1488" s="92" t="s">
        <v>315</v>
      </c>
      <c r="W1488" s="18" t="s">
        <v>196</v>
      </c>
      <c r="X1488" s="42" t="s">
        <v>111</v>
      </c>
      <c r="Y1488" s="159" t="s">
        <v>4491</v>
      </c>
      <c r="Z1488" s="18" t="s">
        <v>4555</v>
      </c>
      <c r="AA1488" s="92">
        <v>10.0</v>
      </c>
      <c r="AB1488" s="18"/>
      <c r="AC1488" s="18">
        <v>10.0</v>
      </c>
      <c r="AD1488" s="14">
        <v>130012.0</v>
      </c>
      <c r="AE1488" s="14"/>
      <c r="AF1488" s="14">
        <v>130012.0</v>
      </c>
      <c r="AG1488" s="22"/>
      <c r="AH1488" s="22"/>
      <c r="AI1488" s="22"/>
      <c r="AJ1488" s="22"/>
      <c r="AK1488" s="22"/>
      <c r="AL1488" s="22"/>
      <c r="AM1488" s="22"/>
      <c r="AN1488" s="22"/>
      <c r="AO1488" s="22"/>
      <c r="AP1488" s="22"/>
    </row>
    <row r="1489" hidden="1">
      <c r="A1489" s="148">
        <v>46158.0</v>
      </c>
      <c r="B1489" s="149">
        <v>0.4166666666666667</v>
      </c>
      <c r="C1489" s="11" t="s">
        <v>32</v>
      </c>
      <c r="D1489" s="102" t="s">
        <v>3243</v>
      </c>
      <c r="E1489" s="10" t="s">
        <v>1998</v>
      </c>
      <c r="F1489" s="10" t="s">
        <v>4556</v>
      </c>
      <c r="G1489" s="11" t="s">
        <v>4557</v>
      </c>
      <c r="H1489" s="11" t="s">
        <v>4294</v>
      </c>
      <c r="I1489" s="10" t="s">
        <v>4295</v>
      </c>
      <c r="J1489" s="14">
        <v>12129.0</v>
      </c>
      <c r="K1489" s="14">
        <v>4586.0</v>
      </c>
      <c r="L1489" s="17">
        <v>0.3781</v>
      </c>
      <c r="M1489" s="150">
        <v>1881.0</v>
      </c>
      <c r="N1489" s="136">
        <v>0.4102</v>
      </c>
      <c r="O1489" s="18">
        <v>175.0</v>
      </c>
      <c r="P1489" s="92">
        <v>165.0</v>
      </c>
      <c r="Q1489" s="137">
        <v>0.036</v>
      </c>
      <c r="R1489" s="17">
        <v>0.0877</v>
      </c>
      <c r="S1489" s="18"/>
      <c r="T1489" s="18"/>
      <c r="U1489" s="151"/>
      <c r="V1489" s="92" t="s">
        <v>183</v>
      </c>
      <c r="W1489" s="92" t="s">
        <v>76</v>
      </c>
      <c r="X1489" s="42" t="s">
        <v>4296</v>
      </c>
      <c r="Y1489" s="94" t="s">
        <v>4558</v>
      </c>
      <c r="Z1489" s="18" t="s">
        <v>4559</v>
      </c>
      <c r="AA1489" s="92">
        <v>3.0</v>
      </c>
      <c r="AB1489" s="18">
        <v>0.0</v>
      </c>
      <c r="AC1489" s="18">
        <v>3.0</v>
      </c>
      <c r="AD1489" s="14">
        <v>15004.0</v>
      </c>
      <c r="AE1489" s="14">
        <v>0.0</v>
      </c>
      <c r="AF1489" s="14">
        <v>15004.0</v>
      </c>
      <c r="AG1489" s="22"/>
      <c r="AH1489" s="22"/>
      <c r="AI1489" s="22"/>
      <c r="AJ1489" s="22"/>
      <c r="AK1489" s="22"/>
      <c r="AL1489" s="22"/>
      <c r="AM1489" s="22"/>
      <c r="AN1489" s="22"/>
      <c r="AO1489" s="22"/>
      <c r="AP1489" s="22"/>
    </row>
    <row r="1490" hidden="1">
      <c r="A1490" s="148">
        <v>46158.0</v>
      </c>
      <c r="B1490" s="149">
        <v>0.4166666666666667</v>
      </c>
      <c r="C1490" s="11" t="s">
        <v>32</v>
      </c>
      <c r="D1490" s="102" t="s">
        <v>3243</v>
      </c>
      <c r="E1490" s="10" t="s">
        <v>106</v>
      </c>
      <c r="F1490" s="10" t="s">
        <v>4560</v>
      </c>
      <c r="G1490" s="11" t="s">
        <v>4561</v>
      </c>
      <c r="H1490" s="11" t="s">
        <v>4562</v>
      </c>
      <c r="I1490" s="10" t="s">
        <v>4563</v>
      </c>
      <c r="J1490" s="14">
        <v>5816.0</v>
      </c>
      <c r="K1490" s="14">
        <v>2099.0</v>
      </c>
      <c r="L1490" s="17">
        <v>0.3609</v>
      </c>
      <c r="M1490" s="150">
        <v>824.0</v>
      </c>
      <c r="N1490" s="136">
        <v>0.3926</v>
      </c>
      <c r="O1490" s="18">
        <v>102.0</v>
      </c>
      <c r="P1490" s="92">
        <v>98.0</v>
      </c>
      <c r="Q1490" s="137">
        <v>0.0467</v>
      </c>
      <c r="R1490" s="17">
        <v>0.1189</v>
      </c>
      <c r="S1490" s="18"/>
      <c r="T1490" s="18"/>
      <c r="U1490" s="151"/>
      <c r="V1490" s="92" t="s">
        <v>315</v>
      </c>
      <c r="W1490" s="92" t="s">
        <v>76</v>
      </c>
      <c r="X1490" s="42" t="s">
        <v>1101</v>
      </c>
      <c r="Y1490" s="94" t="s">
        <v>4564</v>
      </c>
      <c r="Z1490" s="18" t="s">
        <v>4565</v>
      </c>
      <c r="AA1490" s="92">
        <v>6.0</v>
      </c>
      <c r="AB1490" s="18"/>
      <c r="AC1490" s="18">
        <v>6.0</v>
      </c>
      <c r="AD1490" s="14">
        <v>163484.0</v>
      </c>
      <c r="AE1490" s="14"/>
      <c r="AF1490" s="14">
        <v>163484.0</v>
      </c>
      <c r="AG1490" s="22"/>
      <c r="AH1490" s="22"/>
      <c r="AI1490" s="22"/>
      <c r="AJ1490" s="22"/>
      <c r="AK1490" s="22"/>
      <c r="AL1490" s="22"/>
      <c r="AM1490" s="22"/>
      <c r="AN1490" s="22"/>
      <c r="AO1490" s="22"/>
      <c r="AP1490" s="22"/>
    </row>
    <row r="1491" hidden="1">
      <c r="A1491" s="148">
        <v>46158.0</v>
      </c>
      <c r="B1491" s="149">
        <v>0.4166666666666667</v>
      </c>
      <c r="C1491" s="11" t="s">
        <v>32</v>
      </c>
      <c r="D1491" s="102" t="s">
        <v>3243</v>
      </c>
      <c r="E1491" s="10" t="s">
        <v>106</v>
      </c>
      <c r="F1491" s="10" t="s">
        <v>4566</v>
      </c>
      <c r="G1491" s="11" t="s">
        <v>4567</v>
      </c>
      <c r="H1491" s="11" t="s">
        <v>4568</v>
      </c>
      <c r="I1491" s="10" t="s">
        <v>4569</v>
      </c>
      <c r="J1491" s="14">
        <v>74420.0</v>
      </c>
      <c r="K1491" s="14">
        <v>26911.0</v>
      </c>
      <c r="L1491" s="17">
        <v>0.3616</v>
      </c>
      <c r="M1491" s="150">
        <v>9226.0</v>
      </c>
      <c r="N1491" s="136">
        <v>0.3429</v>
      </c>
      <c r="O1491" s="18">
        <v>396.0</v>
      </c>
      <c r="P1491" s="92">
        <v>381.0</v>
      </c>
      <c r="Q1491" s="137">
        <v>0.0142</v>
      </c>
      <c r="R1491" s="17">
        <v>0.0413</v>
      </c>
      <c r="S1491" s="18"/>
      <c r="T1491" s="18"/>
      <c r="U1491" s="151"/>
      <c r="V1491" s="92" t="s">
        <v>183</v>
      </c>
      <c r="W1491" s="92" t="s">
        <v>76</v>
      </c>
      <c r="X1491" s="42" t="s">
        <v>1101</v>
      </c>
      <c r="Y1491" s="94" t="s">
        <v>4564</v>
      </c>
      <c r="Z1491" s="18" t="s">
        <v>4570</v>
      </c>
      <c r="AA1491" s="92">
        <v>62.0</v>
      </c>
      <c r="AB1491" s="18">
        <v>0.0</v>
      </c>
      <c r="AC1491" s="18">
        <v>62.0</v>
      </c>
      <c r="AD1491" s="14">
        <v>849117.0</v>
      </c>
      <c r="AE1491" s="14">
        <v>0.0</v>
      </c>
      <c r="AF1491" s="14">
        <v>849117.0</v>
      </c>
      <c r="AG1491" s="22"/>
      <c r="AH1491" s="22"/>
      <c r="AI1491" s="22"/>
      <c r="AJ1491" s="22"/>
      <c r="AK1491" s="22"/>
      <c r="AL1491" s="22"/>
      <c r="AM1491" s="22"/>
      <c r="AN1491" s="22"/>
      <c r="AO1491" s="22"/>
      <c r="AP1491" s="22"/>
    </row>
    <row r="1492" hidden="1">
      <c r="A1492" s="148">
        <v>46158.0</v>
      </c>
      <c r="B1492" s="149">
        <v>0.4166666666666667</v>
      </c>
      <c r="C1492" s="11" t="s">
        <v>32</v>
      </c>
      <c r="D1492" s="102" t="s">
        <v>3243</v>
      </c>
      <c r="E1492" s="10" t="s">
        <v>106</v>
      </c>
      <c r="F1492" s="10" t="s">
        <v>4571</v>
      </c>
      <c r="G1492" s="11" t="s">
        <v>4572</v>
      </c>
      <c r="H1492" s="11" t="s">
        <v>4573</v>
      </c>
      <c r="I1492" s="10" t="s">
        <v>4574</v>
      </c>
      <c r="J1492" s="14">
        <v>142490.0</v>
      </c>
      <c r="K1492" s="14">
        <v>49069.0</v>
      </c>
      <c r="L1492" s="17">
        <v>0.3444</v>
      </c>
      <c r="M1492" s="150">
        <v>16048.0</v>
      </c>
      <c r="N1492" s="136">
        <v>0.3271</v>
      </c>
      <c r="O1492" s="18">
        <v>800.0</v>
      </c>
      <c r="P1492" s="92">
        <v>763.0</v>
      </c>
      <c r="Q1492" s="137">
        <v>0.0155</v>
      </c>
      <c r="R1492" s="17">
        <v>0.0475</v>
      </c>
      <c r="S1492" s="18"/>
      <c r="T1492" s="18"/>
      <c r="U1492" s="151"/>
      <c r="V1492" s="92" t="s">
        <v>183</v>
      </c>
      <c r="W1492" s="92" t="s">
        <v>76</v>
      </c>
      <c r="X1492" s="42" t="s">
        <v>1101</v>
      </c>
      <c r="Y1492" s="94" t="s">
        <v>4564</v>
      </c>
      <c r="Z1492" s="18" t="s">
        <v>4575</v>
      </c>
      <c r="AA1492" s="92">
        <v>132.0</v>
      </c>
      <c r="AB1492" s="18">
        <v>0.0</v>
      </c>
      <c r="AC1492" s="18">
        <v>132.0</v>
      </c>
      <c r="AD1492" s="14">
        <v>1794526.0</v>
      </c>
      <c r="AE1492" s="14">
        <v>0.0</v>
      </c>
      <c r="AF1492" s="14">
        <v>1794526.0</v>
      </c>
      <c r="AG1492" s="22"/>
      <c r="AH1492" s="22"/>
      <c r="AI1492" s="22"/>
      <c r="AJ1492" s="22"/>
      <c r="AK1492" s="22"/>
      <c r="AL1492" s="22"/>
      <c r="AM1492" s="22"/>
      <c r="AN1492" s="22"/>
      <c r="AO1492" s="22"/>
      <c r="AP1492" s="22"/>
    </row>
    <row r="1493" hidden="1">
      <c r="A1493" s="148">
        <v>46158.0</v>
      </c>
      <c r="B1493" s="149">
        <v>0.5833333333333334</v>
      </c>
      <c r="C1493" s="11" t="s">
        <v>58</v>
      </c>
      <c r="D1493" s="102" t="s">
        <v>3083</v>
      </c>
      <c r="E1493" s="10" t="s">
        <v>1998</v>
      </c>
      <c r="F1493" s="10" t="s">
        <v>4576</v>
      </c>
      <c r="G1493" s="11" t="s">
        <v>4577</v>
      </c>
      <c r="H1493" s="11" t="s">
        <v>4294</v>
      </c>
      <c r="I1493" s="10" t="s">
        <v>2956</v>
      </c>
      <c r="J1493" s="14">
        <v>6556.0</v>
      </c>
      <c r="K1493" s="14">
        <v>3801.0</v>
      </c>
      <c r="L1493" s="17">
        <v>0.5798</v>
      </c>
      <c r="M1493" s="150">
        <v>0.0</v>
      </c>
      <c r="N1493" s="136">
        <v>0.0</v>
      </c>
      <c r="O1493" s="18">
        <v>9.0</v>
      </c>
      <c r="P1493" s="92">
        <v>0.0</v>
      </c>
      <c r="Q1493" s="137">
        <v>0.0024</v>
      </c>
      <c r="R1493" s="17">
        <v>0.0</v>
      </c>
      <c r="S1493" s="18"/>
      <c r="T1493" s="18"/>
      <c r="U1493" s="151"/>
      <c r="V1493" s="92" t="s">
        <v>183</v>
      </c>
      <c r="W1493" s="18" t="s">
        <v>58</v>
      </c>
      <c r="X1493" s="42" t="s">
        <v>4296</v>
      </c>
      <c r="Y1493" s="94" t="s">
        <v>4558</v>
      </c>
      <c r="Z1493" s="18" t="s">
        <v>4578</v>
      </c>
      <c r="AA1493" s="92">
        <v>4.0</v>
      </c>
      <c r="AB1493" s="18">
        <v>1.0</v>
      </c>
      <c r="AC1493" s="18">
        <v>3.0</v>
      </c>
      <c r="AD1493" s="14">
        <v>37808.0</v>
      </c>
      <c r="AE1493" s="14">
        <v>3499.0</v>
      </c>
      <c r="AF1493" s="14">
        <v>34309.0</v>
      </c>
      <c r="AG1493" s="22"/>
      <c r="AH1493" s="22"/>
      <c r="AI1493" s="22"/>
      <c r="AJ1493" s="22"/>
      <c r="AK1493" s="22"/>
      <c r="AL1493" s="22"/>
      <c r="AM1493" s="22"/>
      <c r="AN1493" s="22"/>
      <c r="AO1493" s="22"/>
      <c r="AP1493" s="22"/>
    </row>
    <row r="1494" hidden="1">
      <c r="A1494" s="148">
        <v>46158.0</v>
      </c>
      <c r="B1494" s="149">
        <v>0.5</v>
      </c>
      <c r="C1494" s="11" t="s">
        <v>58</v>
      </c>
      <c r="D1494" s="102" t="s">
        <v>3083</v>
      </c>
      <c r="E1494" s="10" t="s">
        <v>106</v>
      </c>
      <c r="F1494" s="10" t="s">
        <v>4560</v>
      </c>
      <c r="G1494" s="11" t="s">
        <v>4579</v>
      </c>
      <c r="H1494" s="11" t="s">
        <v>4562</v>
      </c>
      <c r="I1494" s="10" t="s">
        <v>61</v>
      </c>
      <c r="J1494" s="14">
        <v>3629.0</v>
      </c>
      <c r="K1494" s="14">
        <v>1870.0</v>
      </c>
      <c r="L1494" s="17">
        <v>0.5153</v>
      </c>
      <c r="M1494" s="150">
        <v>0.0</v>
      </c>
      <c r="N1494" s="136">
        <v>0.0</v>
      </c>
      <c r="O1494" s="18">
        <v>0.0</v>
      </c>
      <c r="P1494" s="92">
        <v>0.0</v>
      </c>
      <c r="Q1494" s="137">
        <v>0.0</v>
      </c>
      <c r="R1494" s="17">
        <v>0.0</v>
      </c>
      <c r="S1494" s="18"/>
      <c r="T1494" s="18"/>
      <c r="U1494" s="151"/>
      <c r="V1494" s="92" t="s">
        <v>315</v>
      </c>
      <c r="W1494" s="18" t="s">
        <v>58</v>
      </c>
      <c r="X1494" s="42" t="s">
        <v>1101</v>
      </c>
      <c r="Y1494" s="94" t="s">
        <v>4564</v>
      </c>
      <c r="Z1494" s="18" t="s">
        <v>4580</v>
      </c>
      <c r="AA1494" s="92">
        <v>12.0</v>
      </c>
      <c r="AB1494" s="18"/>
      <c r="AC1494" s="18">
        <v>12.0</v>
      </c>
      <c r="AD1494" s="14">
        <v>151985.0</v>
      </c>
      <c r="AE1494" s="14"/>
      <c r="AF1494" s="14">
        <v>151985.0</v>
      </c>
      <c r="AG1494" s="22"/>
      <c r="AH1494" s="22"/>
      <c r="AI1494" s="22"/>
      <c r="AJ1494" s="22"/>
      <c r="AK1494" s="22"/>
      <c r="AL1494" s="22"/>
      <c r="AM1494" s="22"/>
      <c r="AN1494" s="22"/>
      <c r="AO1494" s="22"/>
      <c r="AP1494" s="22"/>
    </row>
    <row r="1495" hidden="1">
      <c r="A1495" s="148">
        <v>46158.0</v>
      </c>
      <c r="B1495" s="149">
        <v>0.5</v>
      </c>
      <c r="C1495" s="11" t="s">
        <v>58</v>
      </c>
      <c r="D1495" s="102" t="s">
        <v>3083</v>
      </c>
      <c r="E1495" s="10" t="s">
        <v>106</v>
      </c>
      <c r="F1495" s="10" t="s">
        <v>4566</v>
      </c>
      <c r="G1495" s="11" t="s">
        <v>4581</v>
      </c>
      <c r="H1495" s="11" t="s">
        <v>4568</v>
      </c>
      <c r="I1495" s="10" t="s">
        <v>61</v>
      </c>
      <c r="J1495" s="14">
        <v>46557.0</v>
      </c>
      <c r="K1495" s="14">
        <v>26466.0</v>
      </c>
      <c r="L1495" s="17">
        <v>0.5685</v>
      </c>
      <c r="M1495" s="150">
        <v>0.0</v>
      </c>
      <c r="N1495" s="136">
        <v>0.0</v>
      </c>
      <c r="O1495" s="18">
        <v>0.0</v>
      </c>
      <c r="P1495" s="92">
        <v>0.0</v>
      </c>
      <c r="Q1495" s="137">
        <v>0.0</v>
      </c>
      <c r="R1495" s="17">
        <v>0.0</v>
      </c>
      <c r="S1495" s="18"/>
      <c r="T1495" s="18"/>
      <c r="U1495" s="151"/>
      <c r="V1495" s="92" t="s">
        <v>183</v>
      </c>
      <c r="W1495" s="18" t="s">
        <v>58</v>
      </c>
      <c r="X1495" s="42" t="s">
        <v>1101</v>
      </c>
      <c r="Y1495" s="94" t="s">
        <v>4564</v>
      </c>
      <c r="Z1495" s="18" t="s">
        <v>4582</v>
      </c>
      <c r="AA1495" s="92">
        <v>69.0</v>
      </c>
      <c r="AB1495" s="18"/>
      <c r="AC1495" s="18">
        <v>69.0</v>
      </c>
      <c r="AD1495" s="14">
        <v>1058298.0</v>
      </c>
      <c r="AE1495" s="14"/>
      <c r="AF1495" s="14">
        <v>1058298.0</v>
      </c>
      <c r="AG1495" s="22"/>
      <c r="AH1495" s="22"/>
      <c r="AI1495" s="22"/>
      <c r="AJ1495" s="22"/>
      <c r="AK1495" s="22"/>
      <c r="AL1495" s="22"/>
      <c r="AM1495" s="22"/>
      <c r="AN1495" s="22"/>
      <c r="AO1495" s="22"/>
      <c r="AP1495" s="22"/>
    </row>
    <row r="1496" hidden="1">
      <c r="A1496" s="148">
        <v>46158.0</v>
      </c>
      <c r="B1496" s="149">
        <v>0.5</v>
      </c>
      <c r="C1496" s="11" t="s">
        <v>58</v>
      </c>
      <c r="D1496" s="102" t="s">
        <v>3083</v>
      </c>
      <c r="E1496" s="10" t="s">
        <v>106</v>
      </c>
      <c r="F1496" s="10" t="s">
        <v>4571</v>
      </c>
      <c r="G1496" s="11" t="s">
        <v>4583</v>
      </c>
      <c r="H1496" s="11" t="s">
        <v>4573</v>
      </c>
      <c r="I1496" s="10" t="s">
        <v>61</v>
      </c>
      <c r="J1496" s="14">
        <v>91317.0</v>
      </c>
      <c r="K1496" s="14">
        <v>51737.0</v>
      </c>
      <c r="L1496" s="17">
        <v>0.5666</v>
      </c>
      <c r="M1496" s="150">
        <v>0.0</v>
      </c>
      <c r="N1496" s="136">
        <v>0.0</v>
      </c>
      <c r="O1496" s="18">
        <v>0.0</v>
      </c>
      <c r="P1496" s="92">
        <v>0.0</v>
      </c>
      <c r="Q1496" s="137">
        <v>0.0</v>
      </c>
      <c r="R1496" s="17">
        <v>0.0</v>
      </c>
      <c r="S1496" s="18"/>
      <c r="T1496" s="18"/>
      <c r="U1496" s="151"/>
      <c r="V1496" s="92" t="s">
        <v>183</v>
      </c>
      <c r="W1496" s="18" t="s">
        <v>58</v>
      </c>
      <c r="X1496" s="42" t="s">
        <v>1101</v>
      </c>
      <c r="Y1496" s="94" t="s">
        <v>4564</v>
      </c>
      <c r="Z1496" s="18" t="s">
        <v>4584</v>
      </c>
      <c r="AA1496" s="92">
        <v>142.0</v>
      </c>
      <c r="AB1496" s="18">
        <v>0.0</v>
      </c>
      <c r="AC1496" s="18">
        <v>142.0</v>
      </c>
      <c r="AD1496" s="14">
        <v>2190886.0</v>
      </c>
      <c r="AE1496" s="14">
        <v>0.0</v>
      </c>
      <c r="AF1496" s="14">
        <v>2190886.0</v>
      </c>
      <c r="AG1496" s="22"/>
      <c r="AH1496" s="22"/>
      <c r="AI1496" s="22"/>
      <c r="AJ1496" s="22"/>
      <c r="AK1496" s="22"/>
      <c r="AL1496" s="22"/>
      <c r="AM1496" s="22"/>
      <c r="AN1496" s="22"/>
      <c r="AO1496" s="22"/>
      <c r="AP1496" s="22"/>
    </row>
    <row r="1497" hidden="1">
      <c r="A1497" s="148">
        <v>46158.0</v>
      </c>
      <c r="B1497" s="149">
        <v>0.5</v>
      </c>
      <c r="C1497" s="11" t="s">
        <v>196</v>
      </c>
      <c r="D1497" s="102" t="s">
        <v>3083</v>
      </c>
      <c r="E1497" s="10" t="s">
        <v>1998</v>
      </c>
      <c r="F1497" s="10" t="s">
        <v>4556</v>
      </c>
      <c r="G1497" s="11" t="s">
        <v>4585</v>
      </c>
      <c r="H1497" s="11" t="s">
        <v>4294</v>
      </c>
      <c r="I1497" s="10" t="s">
        <v>61</v>
      </c>
      <c r="J1497" s="14">
        <v>7438.0</v>
      </c>
      <c r="K1497" s="14">
        <v>874.0</v>
      </c>
      <c r="L1497" s="17">
        <v>0.1175</v>
      </c>
      <c r="M1497" s="150">
        <v>130.0</v>
      </c>
      <c r="N1497" s="136">
        <v>0.1487</v>
      </c>
      <c r="O1497" s="18">
        <v>4.0</v>
      </c>
      <c r="P1497" s="92">
        <v>0.0</v>
      </c>
      <c r="Q1497" s="137">
        <v>0.0046</v>
      </c>
      <c r="R1497" s="17">
        <v>0.0</v>
      </c>
      <c r="S1497" s="18"/>
      <c r="T1497" s="18"/>
      <c r="U1497" s="151"/>
      <c r="V1497" s="92" t="s">
        <v>183</v>
      </c>
      <c r="W1497" s="18" t="s">
        <v>196</v>
      </c>
      <c r="X1497" s="42" t="s">
        <v>4296</v>
      </c>
      <c r="Y1497" s="94" t="s">
        <v>4558</v>
      </c>
      <c r="Z1497" s="18" t="s">
        <v>4586</v>
      </c>
      <c r="AA1497" s="92">
        <v>0.0</v>
      </c>
      <c r="AB1497" s="18">
        <v>0.0</v>
      </c>
      <c r="AC1497" s="18">
        <v>0.0</v>
      </c>
      <c r="AD1497" s="14">
        <v>0.0</v>
      </c>
      <c r="AE1497" s="14">
        <v>0.0</v>
      </c>
      <c r="AF1497" s="18">
        <v>0.0</v>
      </c>
      <c r="AG1497" s="22"/>
      <c r="AH1497" s="22"/>
      <c r="AI1497" s="22"/>
      <c r="AJ1497" s="22"/>
      <c r="AK1497" s="22"/>
      <c r="AL1497" s="22"/>
      <c r="AM1497" s="22"/>
      <c r="AN1497" s="22"/>
      <c r="AO1497" s="22"/>
      <c r="AP1497" s="22"/>
    </row>
    <row r="1498" hidden="1">
      <c r="A1498" s="148">
        <v>46159.0</v>
      </c>
      <c r="B1498" s="149">
        <v>0.5</v>
      </c>
      <c r="C1498" s="11" t="s">
        <v>32</v>
      </c>
      <c r="D1498" s="10" t="s">
        <v>33</v>
      </c>
      <c r="E1498" s="10" t="s">
        <v>71</v>
      </c>
      <c r="F1498" s="10" t="s">
        <v>4299</v>
      </c>
      <c r="G1498" s="11" t="s">
        <v>4587</v>
      </c>
      <c r="H1498" s="11" t="s">
        <v>4446</v>
      </c>
      <c r="I1498" s="10" t="s">
        <v>4467</v>
      </c>
      <c r="J1498" s="14">
        <v>3818.0</v>
      </c>
      <c r="K1498" s="14">
        <v>583.0</v>
      </c>
      <c r="L1498" s="17">
        <v>0.1527</v>
      </c>
      <c r="M1498" s="150">
        <v>281.0</v>
      </c>
      <c r="N1498" s="136">
        <v>0.482</v>
      </c>
      <c r="O1498" s="18">
        <v>32.0</v>
      </c>
      <c r="P1498" s="92">
        <v>29.0</v>
      </c>
      <c r="Q1498" s="137">
        <v>0.0497</v>
      </c>
      <c r="R1498" s="17">
        <v>0.1032</v>
      </c>
      <c r="S1498" s="18"/>
      <c r="T1498" s="18"/>
      <c r="U1498" s="14">
        <v>1998.0</v>
      </c>
      <c r="V1498" s="92" t="s">
        <v>335</v>
      </c>
      <c r="W1498" s="92" t="s">
        <v>76</v>
      </c>
      <c r="X1498" s="42" t="s">
        <v>3580</v>
      </c>
      <c r="Y1498" s="167" t="s">
        <v>4588</v>
      </c>
      <c r="Z1498" s="18" t="s">
        <v>4589</v>
      </c>
      <c r="AA1498" s="92">
        <v>11.0</v>
      </c>
      <c r="AB1498" s="18">
        <v>11.0</v>
      </c>
      <c r="AC1498" s="52"/>
      <c r="AD1498" s="14">
        <v>45051.0</v>
      </c>
      <c r="AE1498" s="14">
        <v>45051.0</v>
      </c>
      <c r="AF1498" s="52"/>
      <c r="AG1498" s="22"/>
      <c r="AH1498" s="22"/>
      <c r="AI1498" s="22"/>
      <c r="AJ1498" s="22"/>
      <c r="AK1498" s="22"/>
      <c r="AL1498" s="22"/>
      <c r="AM1498" s="22"/>
      <c r="AN1498" s="22"/>
      <c r="AO1498" s="22"/>
      <c r="AP1498" s="22"/>
    </row>
    <row r="1499" hidden="1">
      <c r="A1499" s="148">
        <v>46159.0</v>
      </c>
      <c r="B1499" s="149">
        <v>0.5</v>
      </c>
      <c r="C1499" s="11" t="s">
        <v>32</v>
      </c>
      <c r="D1499" s="10" t="s">
        <v>33</v>
      </c>
      <c r="E1499" s="10" t="s">
        <v>71</v>
      </c>
      <c r="F1499" s="10" t="s">
        <v>4299</v>
      </c>
      <c r="G1499" s="11" t="s">
        <v>4590</v>
      </c>
      <c r="H1499" s="11" t="s">
        <v>4449</v>
      </c>
      <c r="I1499" s="10" t="s">
        <v>4471</v>
      </c>
      <c r="J1499" s="14">
        <v>3914.0</v>
      </c>
      <c r="K1499" s="14">
        <v>693.0</v>
      </c>
      <c r="L1499" s="17">
        <v>0.1771</v>
      </c>
      <c r="M1499" s="150">
        <v>314.0</v>
      </c>
      <c r="N1499" s="136">
        <v>0.4531</v>
      </c>
      <c r="O1499" s="18">
        <v>26.0</v>
      </c>
      <c r="P1499" s="92">
        <v>25.0</v>
      </c>
      <c r="Q1499" s="137">
        <v>0.0361</v>
      </c>
      <c r="R1499" s="17">
        <v>0.0796</v>
      </c>
      <c r="S1499" s="18"/>
      <c r="T1499" s="18"/>
      <c r="U1499" s="14">
        <v>3604.0</v>
      </c>
      <c r="V1499" s="92" t="s">
        <v>335</v>
      </c>
      <c r="W1499" s="92" t="s">
        <v>76</v>
      </c>
      <c r="X1499" s="42" t="s">
        <v>4450</v>
      </c>
      <c r="Y1499" s="167" t="s">
        <v>4588</v>
      </c>
      <c r="Z1499" s="18" t="s">
        <v>4591</v>
      </c>
      <c r="AA1499" s="92">
        <v>5.0</v>
      </c>
      <c r="AB1499" s="18">
        <v>5.0</v>
      </c>
      <c r="AC1499" s="52"/>
      <c r="AD1499" s="14">
        <v>12317.0</v>
      </c>
      <c r="AE1499" s="14">
        <v>12317.0</v>
      </c>
      <c r="AF1499" s="52"/>
      <c r="AG1499" s="22"/>
      <c r="AH1499" s="22"/>
      <c r="AI1499" s="22"/>
      <c r="AJ1499" s="22"/>
      <c r="AK1499" s="22"/>
      <c r="AL1499" s="22"/>
      <c r="AM1499" s="22"/>
      <c r="AN1499" s="22"/>
      <c r="AO1499" s="22"/>
      <c r="AP1499" s="22"/>
    </row>
    <row r="1500" hidden="1">
      <c r="A1500" s="148">
        <v>46159.0</v>
      </c>
      <c r="B1500" s="149">
        <v>0.5</v>
      </c>
      <c r="C1500" s="11" t="s">
        <v>32</v>
      </c>
      <c r="D1500" s="10" t="s">
        <v>33</v>
      </c>
      <c r="E1500" s="10" t="s">
        <v>71</v>
      </c>
      <c r="F1500" s="10" t="s">
        <v>4299</v>
      </c>
      <c r="G1500" s="11" t="s">
        <v>4592</v>
      </c>
      <c r="H1500" s="11" t="s">
        <v>4453</v>
      </c>
      <c r="I1500" s="10" t="s">
        <v>4474</v>
      </c>
      <c r="J1500" s="14">
        <v>20688.0</v>
      </c>
      <c r="K1500" s="14">
        <v>3465.0</v>
      </c>
      <c r="L1500" s="17">
        <v>0.1675</v>
      </c>
      <c r="M1500" s="150">
        <v>1297.0</v>
      </c>
      <c r="N1500" s="136">
        <v>0.3743</v>
      </c>
      <c r="O1500" s="18">
        <v>88.0</v>
      </c>
      <c r="P1500" s="92">
        <v>86.0</v>
      </c>
      <c r="Q1500" s="137">
        <v>0.0248</v>
      </c>
      <c r="R1500" s="17">
        <v>0.0663</v>
      </c>
      <c r="S1500" s="18"/>
      <c r="T1500" s="18"/>
      <c r="U1500" s="14">
        <v>12280.0</v>
      </c>
      <c r="V1500" s="92" t="s">
        <v>335</v>
      </c>
      <c r="W1500" s="92" t="s">
        <v>76</v>
      </c>
      <c r="X1500" s="42" t="s">
        <v>2301</v>
      </c>
      <c r="Y1500" s="167" t="s">
        <v>4588</v>
      </c>
      <c r="Z1500" s="18" t="s">
        <v>4593</v>
      </c>
      <c r="AA1500" s="92">
        <v>1.0</v>
      </c>
      <c r="AB1500" s="18">
        <v>1.0</v>
      </c>
      <c r="AC1500" s="52"/>
      <c r="AD1500" s="14">
        <v>7785.0</v>
      </c>
      <c r="AE1500" s="14">
        <v>7785.0</v>
      </c>
      <c r="AF1500" s="52"/>
      <c r="AG1500" s="22"/>
      <c r="AH1500" s="22"/>
      <c r="AI1500" s="22"/>
      <c r="AJ1500" s="22"/>
      <c r="AK1500" s="22"/>
      <c r="AL1500" s="22"/>
      <c r="AM1500" s="22"/>
      <c r="AN1500" s="22"/>
      <c r="AO1500" s="22"/>
      <c r="AP1500" s="22"/>
    </row>
    <row r="1501" hidden="1">
      <c r="A1501" s="148">
        <v>46159.0</v>
      </c>
      <c r="B1501" s="149">
        <v>0.5</v>
      </c>
      <c r="C1501" s="11" t="s">
        <v>32</v>
      </c>
      <c r="D1501" s="10" t="s">
        <v>33</v>
      </c>
      <c r="E1501" s="10" t="s">
        <v>71</v>
      </c>
      <c r="F1501" s="10" t="s">
        <v>4299</v>
      </c>
      <c r="G1501" s="11" t="s">
        <v>4594</v>
      </c>
      <c r="H1501" s="11" t="s">
        <v>4456</v>
      </c>
      <c r="I1501" s="10" t="s">
        <v>4477</v>
      </c>
      <c r="J1501" s="14">
        <v>1314.0</v>
      </c>
      <c r="K1501" s="14">
        <v>231.0</v>
      </c>
      <c r="L1501" s="17">
        <v>0.1758</v>
      </c>
      <c r="M1501" s="150">
        <v>109.0</v>
      </c>
      <c r="N1501" s="136">
        <v>0.4719</v>
      </c>
      <c r="O1501" s="18">
        <v>12.0</v>
      </c>
      <c r="P1501" s="92">
        <v>12.0</v>
      </c>
      <c r="Q1501" s="137">
        <v>0.0519</v>
      </c>
      <c r="R1501" s="17">
        <v>0.1101</v>
      </c>
      <c r="S1501" s="18"/>
      <c r="T1501" s="18"/>
      <c r="U1501" s="14">
        <v>6495.0</v>
      </c>
      <c r="V1501" s="92" t="s">
        <v>335</v>
      </c>
      <c r="W1501" s="92" t="s">
        <v>76</v>
      </c>
      <c r="X1501" s="42" t="s">
        <v>4457</v>
      </c>
      <c r="Y1501" s="167" t="s">
        <v>4588</v>
      </c>
      <c r="Z1501" s="18" t="s">
        <v>4595</v>
      </c>
      <c r="AA1501" s="92">
        <v>0.0</v>
      </c>
      <c r="AB1501" s="18">
        <v>0.0</v>
      </c>
      <c r="AC1501" s="52"/>
      <c r="AD1501" s="14">
        <v>0.0</v>
      </c>
      <c r="AE1501" s="14">
        <v>0.0</v>
      </c>
      <c r="AF1501" s="52"/>
      <c r="AG1501" s="22"/>
      <c r="AH1501" s="22"/>
      <c r="AI1501" s="22"/>
      <c r="AJ1501" s="22"/>
      <c r="AK1501" s="22"/>
      <c r="AL1501" s="22"/>
      <c r="AM1501" s="22"/>
      <c r="AN1501" s="22"/>
      <c r="AO1501" s="22"/>
      <c r="AP1501" s="22"/>
    </row>
    <row r="1502" hidden="1">
      <c r="A1502" s="148">
        <v>46159.0</v>
      </c>
      <c r="B1502" s="149">
        <v>0.5</v>
      </c>
      <c r="C1502" s="11" t="s">
        <v>32</v>
      </c>
      <c r="D1502" s="10" t="s">
        <v>33</v>
      </c>
      <c r="E1502" s="10" t="s">
        <v>71</v>
      </c>
      <c r="F1502" s="10" t="s">
        <v>4299</v>
      </c>
      <c r="G1502" s="11" t="s">
        <v>4596</v>
      </c>
      <c r="H1502" s="11" t="s">
        <v>4460</v>
      </c>
      <c r="I1502" s="10" t="s">
        <v>4480</v>
      </c>
      <c r="J1502" s="14">
        <v>2093.0</v>
      </c>
      <c r="K1502" s="14">
        <v>590.0</v>
      </c>
      <c r="L1502" s="17">
        <v>0.2814</v>
      </c>
      <c r="M1502" s="150">
        <v>424.0</v>
      </c>
      <c r="N1502" s="136">
        <v>0.7182</v>
      </c>
      <c r="O1502" s="18">
        <v>25.0</v>
      </c>
      <c r="P1502" s="92">
        <v>21.0</v>
      </c>
      <c r="Q1502" s="137">
        <v>0.0357</v>
      </c>
      <c r="R1502" s="17">
        <v>0.0496</v>
      </c>
      <c r="S1502" s="18"/>
      <c r="T1502" s="18"/>
      <c r="U1502" s="14">
        <v>1798.0</v>
      </c>
      <c r="V1502" s="92" t="s">
        <v>335</v>
      </c>
      <c r="W1502" s="92" t="s">
        <v>76</v>
      </c>
      <c r="X1502" s="42" t="s">
        <v>4461</v>
      </c>
      <c r="Y1502" s="167" t="s">
        <v>4588</v>
      </c>
      <c r="Z1502" s="18" t="s">
        <v>4597</v>
      </c>
      <c r="AA1502" s="92">
        <v>5.0</v>
      </c>
      <c r="AB1502" s="18">
        <v>5.0</v>
      </c>
      <c r="AC1502" s="52"/>
      <c r="AD1502" s="14">
        <v>18780.0</v>
      </c>
      <c r="AE1502" s="14">
        <v>18780.0</v>
      </c>
      <c r="AF1502" s="52"/>
      <c r="AG1502" s="22"/>
      <c r="AH1502" s="22"/>
      <c r="AI1502" s="22"/>
      <c r="AJ1502" s="22"/>
      <c r="AK1502" s="22"/>
      <c r="AL1502" s="22"/>
      <c r="AM1502" s="22"/>
      <c r="AN1502" s="22"/>
      <c r="AO1502" s="22"/>
      <c r="AP1502" s="22"/>
    </row>
    <row r="1503" hidden="1">
      <c r="A1503" s="148">
        <v>46159.0</v>
      </c>
      <c r="B1503" s="149">
        <v>0.5</v>
      </c>
      <c r="C1503" s="11" t="s">
        <v>32</v>
      </c>
      <c r="D1503" s="10" t="s">
        <v>33</v>
      </c>
      <c r="E1503" s="10" t="s">
        <v>71</v>
      </c>
      <c r="F1503" s="10" t="s">
        <v>4299</v>
      </c>
      <c r="G1503" s="11" t="s">
        <v>4598</v>
      </c>
      <c r="H1503" s="11" t="s">
        <v>4464</v>
      </c>
      <c r="I1503" s="10" t="s">
        <v>4483</v>
      </c>
      <c r="J1503" s="14">
        <v>21537.0</v>
      </c>
      <c r="K1503" s="14">
        <v>3443.0</v>
      </c>
      <c r="L1503" s="17">
        <v>0.1598</v>
      </c>
      <c r="M1503" s="150">
        <v>1280.0</v>
      </c>
      <c r="N1503" s="136">
        <v>0.3719</v>
      </c>
      <c r="O1503" s="18">
        <v>71.0</v>
      </c>
      <c r="P1503" s="92">
        <v>69.0</v>
      </c>
      <c r="Q1503" s="137">
        <v>0.02</v>
      </c>
      <c r="R1503" s="17">
        <v>0.0539</v>
      </c>
      <c r="S1503" s="18"/>
      <c r="T1503" s="18"/>
      <c r="U1503" s="14">
        <v>23888.0</v>
      </c>
      <c r="V1503" s="92" t="s">
        <v>335</v>
      </c>
      <c r="W1503" s="92" t="s">
        <v>76</v>
      </c>
      <c r="X1503" s="42" t="s">
        <v>52</v>
      </c>
      <c r="Y1503" s="167" t="s">
        <v>4588</v>
      </c>
      <c r="Z1503" s="18" t="s">
        <v>4599</v>
      </c>
      <c r="AA1503" s="92">
        <v>8.0</v>
      </c>
      <c r="AB1503" s="18">
        <v>8.0</v>
      </c>
      <c r="AC1503" s="52"/>
      <c r="AD1503" s="14">
        <v>51093.0</v>
      </c>
      <c r="AE1503" s="14">
        <v>51093.0</v>
      </c>
      <c r="AF1503" s="52"/>
      <c r="AG1503" s="22"/>
      <c r="AH1503" s="22"/>
      <c r="AI1503" s="22"/>
      <c r="AJ1503" s="22"/>
      <c r="AK1503" s="22"/>
      <c r="AL1503" s="22"/>
      <c r="AM1503" s="22"/>
      <c r="AN1503" s="22"/>
      <c r="AO1503" s="22"/>
      <c r="AP1503" s="22"/>
    </row>
    <row r="1504" hidden="1">
      <c r="A1504" s="148">
        <v>46159.0</v>
      </c>
      <c r="B1504" s="149">
        <v>0.5416666666666666</v>
      </c>
      <c r="C1504" s="11" t="s">
        <v>58</v>
      </c>
      <c r="D1504" s="102" t="s">
        <v>3083</v>
      </c>
      <c r="E1504" s="10" t="s">
        <v>71</v>
      </c>
      <c r="F1504" s="10" t="s">
        <v>4299</v>
      </c>
      <c r="G1504" s="11" t="s">
        <v>4600</v>
      </c>
      <c r="H1504" s="11" t="s">
        <v>4446</v>
      </c>
      <c r="I1504" s="10" t="s">
        <v>61</v>
      </c>
      <c r="J1504" s="14">
        <v>1282.0</v>
      </c>
      <c r="K1504" s="14">
        <v>605.0</v>
      </c>
      <c r="L1504" s="17">
        <v>0.4719</v>
      </c>
      <c r="M1504" s="150">
        <v>0.0</v>
      </c>
      <c r="N1504" s="136">
        <v>0.0</v>
      </c>
      <c r="O1504" s="18">
        <v>1.0</v>
      </c>
      <c r="P1504" s="92">
        <v>0.0</v>
      </c>
      <c r="Q1504" s="137">
        <v>0.0017</v>
      </c>
      <c r="R1504" s="17">
        <v>0.0</v>
      </c>
      <c r="S1504" s="18"/>
      <c r="T1504" s="18"/>
      <c r="U1504" s="14">
        <v>9991.0</v>
      </c>
      <c r="V1504" s="92" t="s">
        <v>335</v>
      </c>
      <c r="W1504" s="18" t="s">
        <v>58</v>
      </c>
      <c r="X1504" s="42" t="s">
        <v>3580</v>
      </c>
      <c r="Y1504" s="167">
        <v>46159.0</v>
      </c>
      <c r="Z1504" s="18" t="s">
        <v>4601</v>
      </c>
      <c r="AA1504" s="92">
        <v>4.0</v>
      </c>
      <c r="AB1504" s="18">
        <v>4.0</v>
      </c>
      <c r="AC1504" s="52"/>
      <c r="AD1504" s="14">
        <v>19681.0</v>
      </c>
      <c r="AE1504" s="14">
        <v>19681.0</v>
      </c>
      <c r="AF1504" s="52"/>
      <c r="AG1504" s="22"/>
      <c r="AH1504" s="22"/>
      <c r="AI1504" s="22"/>
      <c r="AJ1504" s="22"/>
      <c r="AK1504" s="22"/>
      <c r="AL1504" s="22"/>
      <c r="AM1504" s="22"/>
      <c r="AN1504" s="22"/>
      <c r="AO1504" s="22"/>
      <c r="AP1504" s="22"/>
    </row>
    <row r="1505" hidden="1">
      <c r="A1505" s="148">
        <v>46159.0</v>
      </c>
      <c r="B1505" s="149">
        <v>0.5416666666666666</v>
      </c>
      <c r="C1505" s="11" t="s">
        <v>58</v>
      </c>
      <c r="D1505" s="102" t="s">
        <v>3083</v>
      </c>
      <c r="E1505" s="10" t="s">
        <v>71</v>
      </c>
      <c r="F1505" s="10" t="s">
        <v>4299</v>
      </c>
      <c r="G1505" s="11" t="s">
        <v>4602</v>
      </c>
      <c r="H1505" s="11" t="s">
        <v>4449</v>
      </c>
      <c r="I1505" s="10" t="s">
        <v>61</v>
      </c>
      <c r="J1505" s="14">
        <v>1221.0</v>
      </c>
      <c r="K1505" s="14">
        <v>804.0</v>
      </c>
      <c r="L1505" s="17">
        <v>0.6585</v>
      </c>
      <c r="M1505" s="150">
        <v>0.0</v>
      </c>
      <c r="N1505" s="136">
        <v>0.0</v>
      </c>
      <c r="O1505" s="18">
        <v>0.0</v>
      </c>
      <c r="P1505" s="92">
        <v>0.0</v>
      </c>
      <c r="Q1505" s="137">
        <v>0.0</v>
      </c>
      <c r="R1505" s="17">
        <v>0.0</v>
      </c>
      <c r="S1505" s="18"/>
      <c r="T1505" s="18"/>
      <c r="U1505" s="14">
        <v>17533.0</v>
      </c>
      <c r="V1505" s="92" t="s">
        <v>335</v>
      </c>
      <c r="W1505" s="18" t="s">
        <v>58</v>
      </c>
      <c r="X1505" s="42" t="s">
        <v>4450</v>
      </c>
      <c r="Y1505" s="167">
        <v>46159.0</v>
      </c>
      <c r="Z1505" s="18" t="s">
        <v>4603</v>
      </c>
      <c r="AA1505" s="92">
        <v>5.0</v>
      </c>
      <c r="AB1505" s="18">
        <v>5.0</v>
      </c>
      <c r="AC1505" s="52"/>
      <c r="AD1505" s="14">
        <v>23217.0</v>
      </c>
      <c r="AE1505" s="14">
        <v>23217.0</v>
      </c>
      <c r="AF1505" s="52"/>
      <c r="AG1505" s="22"/>
      <c r="AH1505" s="22"/>
      <c r="AI1505" s="22"/>
      <c r="AJ1505" s="22"/>
      <c r="AK1505" s="22"/>
      <c r="AL1505" s="22"/>
      <c r="AM1505" s="22"/>
      <c r="AN1505" s="22"/>
      <c r="AO1505" s="22"/>
      <c r="AP1505" s="22"/>
    </row>
    <row r="1506" hidden="1">
      <c r="A1506" s="148">
        <v>46159.0</v>
      </c>
      <c r="B1506" s="149">
        <v>0.5416666666666666</v>
      </c>
      <c r="C1506" s="11" t="s">
        <v>58</v>
      </c>
      <c r="D1506" s="102" t="s">
        <v>3083</v>
      </c>
      <c r="E1506" s="10" t="s">
        <v>71</v>
      </c>
      <c r="F1506" s="10" t="s">
        <v>4299</v>
      </c>
      <c r="G1506" s="11" t="s">
        <v>4604</v>
      </c>
      <c r="H1506" s="11" t="s">
        <v>4453</v>
      </c>
      <c r="I1506" s="10" t="s">
        <v>61</v>
      </c>
      <c r="J1506" s="14">
        <v>6264.0</v>
      </c>
      <c r="K1506" s="14">
        <v>4012.0</v>
      </c>
      <c r="L1506" s="17">
        <v>0.6405</v>
      </c>
      <c r="M1506" s="150">
        <v>0.0</v>
      </c>
      <c r="N1506" s="136">
        <v>0.0</v>
      </c>
      <c r="O1506" s="18">
        <v>3.0</v>
      </c>
      <c r="P1506" s="92">
        <v>0.0</v>
      </c>
      <c r="Q1506" s="137">
        <v>7.0E-4</v>
      </c>
      <c r="R1506" s="17">
        <v>0.0</v>
      </c>
      <c r="S1506" s="18"/>
      <c r="T1506" s="18"/>
      <c r="U1506" s="14">
        <v>1998.0</v>
      </c>
      <c r="V1506" s="92" t="s">
        <v>335</v>
      </c>
      <c r="W1506" s="18" t="s">
        <v>58</v>
      </c>
      <c r="X1506" s="42" t="s">
        <v>2301</v>
      </c>
      <c r="Y1506" s="167">
        <v>46159.0</v>
      </c>
      <c r="Z1506" s="18" t="s">
        <v>4605</v>
      </c>
      <c r="AA1506" s="92">
        <v>1.0</v>
      </c>
      <c r="AB1506" s="18">
        <v>1.0</v>
      </c>
      <c r="AC1506" s="52"/>
      <c r="AD1506" s="14">
        <v>1998.0</v>
      </c>
      <c r="AE1506" s="14">
        <v>1998.0</v>
      </c>
      <c r="AF1506" s="52"/>
      <c r="AG1506" s="22"/>
      <c r="AH1506" s="22"/>
      <c r="AI1506" s="22"/>
      <c r="AJ1506" s="22"/>
      <c r="AK1506" s="22"/>
      <c r="AL1506" s="22"/>
      <c r="AM1506" s="22"/>
      <c r="AN1506" s="22"/>
      <c r="AO1506" s="22"/>
      <c r="AP1506" s="22"/>
    </row>
    <row r="1507" hidden="1">
      <c r="A1507" s="148">
        <v>46159.0</v>
      </c>
      <c r="B1507" s="149">
        <v>0.5416666666666666</v>
      </c>
      <c r="C1507" s="11" t="s">
        <v>58</v>
      </c>
      <c r="D1507" s="102" t="s">
        <v>3083</v>
      </c>
      <c r="E1507" s="10" t="s">
        <v>71</v>
      </c>
      <c r="F1507" s="10" t="s">
        <v>4299</v>
      </c>
      <c r="G1507" s="11" t="s">
        <v>4606</v>
      </c>
      <c r="H1507" s="11" t="s">
        <v>4456</v>
      </c>
      <c r="I1507" s="10" t="s">
        <v>61</v>
      </c>
      <c r="J1507" s="14">
        <v>359.0</v>
      </c>
      <c r="K1507" s="14">
        <v>200.0</v>
      </c>
      <c r="L1507" s="17">
        <v>0.5571</v>
      </c>
      <c r="M1507" s="150">
        <v>0.0</v>
      </c>
      <c r="N1507" s="136">
        <v>0.0</v>
      </c>
      <c r="O1507" s="18">
        <v>1.0</v>
      </c>
      <c r="P1507" s="92">
        <v>0.0</v>
      </c>
      <c r="Q1507" s="137">
        <v>0.005</v>
      </c>
      <c r="R1507" s="17">
        <v>0.0</v>
      </c>
      <c r="S1507" s="18"/>
      <c r="T1507" s="18"/>
      <c r="U1507" s="14">
        <v>0.0</v>
      </c>
      <c r="V1507" s="92" t="s">
        <v>335</v>
      </c>
      <c r="W1507" s="18" t="s">
        <v>58</v>
      </c>
      <c r="X1507" s="42" t="s">
        <v>4457</v>
      </c>
      <c r="Y1507" s="167">
        <v>46159.0</v>
      </c>
      <c r="Z1507" s="18" t="s">
        <v>4607</v>
      </c>
      <c r="AA1507" s="92">
        <v>0.0</v>
      </c>
      <c r="AB1507" s="18">
        <v>0.0</v>
      </c>
      <c r="AC1507" s="52"/>
      <c r="AD1507" s="14">
        <v>0.0</v>
      </c>
      <c r="AE1507" s="14">
        <v>0.0</v>
      </c>
      <c r="AF1507" s="52"/>
      <c r="AG1507" s="22"/>
      <c r="AH1507" s="22"/>
      <c r="AI1507" s="22"/>
      <c r="AJ1507" s="22"/>
      <c r="AK1507" s="22"/>
      <c r="AL1507" s="22"/>
      <c r="AM1507" s="22"/>
      <c r="AN1507" s="22"/>
      <c r="AO1507" s="22"/>
      <c r="AP1507" s="22"/>
    </row>
    <row r="1508" hidden="1">
      <c r="A1508" s="148">
        <v>46159.0</v>
      </c>
      <c r="B1508" s="149">
        <v>0.5416666666666666</v>
      </c>
      <c r="C1508" s="11" t="s">
        <v>58</v>
      </c>
      <c r="D1508" s="102" t="s">
        <v>3083</v>
      </c>
      <c r="E1508" s="10" t="s">
        <v>71</v>
      </c>
      <c r="F1508" s="10" t="s">
        <v>4299</v>
      </c>
      <c r="G1508" s="11" t="s">
        <v>4608</v>
      </c>
      <c r="H1508" s="11" t="s">
        <v>4460</v>
      </c>
      <c r="I1508" s="10" t="s">
        <v>61</v>
      </c>
      <c r="J1508" s="14">
        <v>353.0</v>
      </c>
      <c r="K1508" s="14">
        <v>228.0</v>
      </c>
      <c r="L1508" s="17">
        <v>0.6459</v>
      </c>
      <c r="M1508" s="150">
        <v>0.0</v>
      </c>
      <c r="N1508" s="136">
        <v>0.0</v>
      </c>
      <c r="O1508" s="18">
        <v>1.0</v>
      </c>
      <c r="P1508" s="92">
        <v>0.0</v>
      </c>
      <c r="Q1508" s="137">
        <v>0.0044</v>
      </c>
      <c r="R1508" s="17">
        <v>0.0</v>
      </c>
      <c r="S1508" s="18"/>
      <c r="T1508" s="18"/>
      <c r="U1508" s="14">
        <v>647.0</v>
      </c>
      <c r="V1508" s="92" t="s">
        <v>335</v>
      </c>
      <c r="W1508" s="18" t="s">
        <v>58</v>
      </c>
      <c r="X1508" s="42" t="s">
        <v>4461</v>
      </c>
      <c r="Y1508" s="167">
        <v>46159.0</v>
      </c>
      <c r="Z1508" s="18" t="s">
        <v>4609</v>
      </c>
      <c r="AA1508" s="92">
        <v>1.0</v>
      </c>
      <c r="AB1508" s="18">
        <v>1.0</v>
      </c>
      <c r="AC1508" s="52"/>
      <c r="AD1508" s="14">
        <v>598.0</v>
      </c>
      <c r="AE1508" s="14">
        <v>598.0</v>
      </c>
      <c r="AF1508" s="52"/>
      <c r="AG1508" s="22"/>
      <c r="AH1508" s="22"/>
      <c r="AI1508" s="22"/>
      <c r="AJ1508" s="22"/>
      <c r="AK1508" s="22"/>
      <c r="AL1508" s="22"/>
      <c r="AM1508" s="22"/>
      <c r="AN1508" s="22"/>
      <c r="AO1508" s="22"/>
      <c r="AP1508" s="22"/>
    </row>
    <row r="1509" hidden="1">
      <c r="A1509" s="148">
        <v>46159.0</v>
      </c>
      <c r="B1509" s="149">
        <v>0.5416666666666666</v>
      </c>
      <c r="C1509" s="11" t="s">
        <v>58</v>
      </c>
      <c r="D1509" s="102" t="s">
        <v>3083</v>
      </c>
      <c r="E1509" s="10" t="s">
        <v>71</v>
      </c>
      <c r="F1509" s="10" t="s">
        <v>4299</v>
      </c>
      <c r="G1509" s="11" t="s">
        <v>4610</v>
      </c>
      <c r="H1509" s="11" t="s">
        <v>4464</v>
      </c>
      <c r="I1509" s="10" t="s">
        <v>61</v>
      </c>
      <c r="J1509" s="14">
        <v>6451.0</v>
      </c>
      <c r="K1509" s="14">
        <v>3657.0</v>
      </c>
      <c r="L1509" s="17">
        <v>0.5669</v>
      </c>
      <c r="M1509" s="150">
        <v>0.0</v>
      </c>
      <c r="N1509" s="136">
        <v>0.0</v>
      </c>
      <c r="O1509" s="18">
        <v>7.0</v>
      </c>
      <c r="P1509" s="92">
        <v>0.0</v>
      </c>
      <c r="Q1509" s="137">
        <v>0.0019</v>
      </c>
      <c r="R1509" s="17">
        <v>0.0</v>
      </c>
      <c r="S1509" s="18"/>
      <c r="T1509" s="18"/>
      <c r="U1509" s="171">
        <v>40028.0</v>
      </c>
      <c r="V1509" s="92" t="s">
        <v>335</v>
      </c>
      <c r="W1509" s="18" t="s">
        <v>58</v>
      </c>
      <c r="X1509" s="42" t="s">
        <v>52</v>
      </c>
      <c r="Y1509" s="167">
        <v>46159.0</v>
      </c>
      <c r="Z1509" s="18" t="s">
        <v>4611</v>
      </c>
      <c r="AA1509" s="92">
        <v>1.0</v>
      </c>
      <c r="AB1509" s="18">
        <v>1.0</v>
      </c>
      <c r="AC1509" s="52"/>
      <c r="AD1509" s="14">
        <v>999.0</v>
      </c>
      <c r="AE1509" s="14">
        <v>999.0</v>
      </c>
      <c r="AF1509" s="52"/>
      <c r="AG1509" s="22"/>
      <c r="AH1509" s="22"/>
      <c r="AI1509" s="22"/>
      <c r="AJ1509" s="22"/>
      <c r="AK1509" s="22"/>
      <c r="AL1509" s="22"/>
      <c r="AM1509" s="22"/>
      <c r="AN1509" s="22"/>
      <c r="AO1509" s="22"/>
      <c r="AP1509" s="22"/>
    </row>
    <row r="1510" hidden="1">
      <c r="A1510" s="148">
        <v>46159.0</v>
      </c>
      <c r="B1510" s="149">
        <v>0.7083333333333334</v>
      </c>
      <c r="C1510" s="11" t="s">
        <v>58</v>
      </c>
      <c r="D1510" s="10" t="s">
        <v>33</v>
      </c>
      <c r="E1510" s="10" t="s">
        <v>1998</v>
      </c>
      <c r="F1510" s="10" t="s">
        <v>4576</v>
      </c>
      <c r="G1510" s="11" t="s">
        <v>4612</v>
      </c>
      <c r="H1510" s="11" t="s">
        <v>4294</v>
      </c>
      <c r="I1510" s="10" t="s">
        <v>4295</v>
      </c>
      <c r="J1510" s="14">
        <v>12162.0</v>
      </c>
      <c r="K1510" s="14">
        <v>7235.0</v>
      </c>
      <c r="L1510" s="17">
        <v>0.5949</v>
      </c>
      <c r="M1510" s="150">
        <v>0.0</v>
      </c>
      <c r="N1510" s="136">
        <v>0.0</v>
      </c>
      <c r="O1510" s="18">
        <v>16.0</v>
      </c>
      <c r="P1510" s="92">
        <v>0.0</v>
      </c>
      <c r="Q1510" s="137">
        <v>0.0022</v>
      </c>
      <c r="R1510" s="17">
        <v>0.0</v>
      </c>
      <c r="S1510" s="18"/>
      <c r="T1510" s="18"/>
      <c r="U1510" s="151"/>
      <c r="V1510" s="92" t="s">
        <v>183</v>
      </c>
      <c r="W1510" s="18" t="s">
        <v>58</v>
      </c>
      <c r="X1510" s="42" t="s">
        <v>4296</v>
      </c>
      <c r="Y1510" s="94" t="s">
        <v>4613</v>
      </c>
      <c r="Z1510" s="18" t="s">
        <v>4614</v>
      </c>
      <c r="AA1510" s="92">
        <v>3.0</v>
      </c>
      <c r="AB1510" s="18">
        <v>1.0</v>
      </c>
      <c r="AC1510" s="18">
        <v>2.0</v>
      </c>
      <c r="AD1510" s="172">
        <v>15010.0</v>
      </c>
      <c r="AE1510" s="14">
        <v>3499.0</v>
      </c>
      <c r="AF1510" s="14">
        <v>11511.0</v>
      </c>
      <c r="AG1510" s="22"/>
      <c r="AH1510" s="22"/>
      <c r="AI1510" s="22"/>
      <c r="AJ1510" s="22"/>
      <c r="AK1510" s="22"/>
      <c r="AL1510" s="22"/>
      <c r="AM1510" s="22"/>
      <c r="AN1510" s="22"/>
      <c r="AO1510" s="22"/>
      <c r="AP1510" s="22"/>
    </row>
    <row r="1511" hidden="1">
      <c r="A1511" s="148">
        <v>46160.0</v>
      </c>
      <c r="B1511" s="149">
        <v>0.4375</v>
      </c>
      <c r="C1511" s="11" t="s">
        <v>32</v>
      </c>
      <c r="D1511" s="10" t="s">
        <v>33</v>
      </c>
      <c r="E1511" s="10" t="s">
        <v>2212</v>
      </c>
      <c r="F1511" s="10" t="s">
        <v>1101</v>
      </c>
      <c r="G1511" s="11" t="s">
        <v>4615</v>
      </c>
      <c r="H1511" s="11" t="s">
        <v>4616</v>
      </c>
      <c r="I1511" s="10" t="s">
        <v>1101</v>
      </c>
      <c r="J1511" s="14">
        <v>2549.0</v>
      </c>
      <c r="K1511" s="14">
        <v>1625.0</v>
      </c>
      <c r="L1511" s="17">
        <v>0.638</v>
      </c>
      <c r="M1511" s="150">
        <v>1279.0</v>
      </c>
      <c r="N1511" s="136">
        <v>0.7871</v>
      </c>
      <c r="O1511" s="18">
        <v>1245.0</v>
      </c>
      <c r="P1511" s="92">
        <v>686.0</v>
      </c>
      <c r="Q1511" s="137">
        <v>0.4222</v>
      </c>
      <c r="R1511" s="17">
        <v>0.5364</v>
      </c>
      <c r="S1511" s="18">
        <v>0.0</v>
      </c>
      <c r="T1511" s="18">
        <v>0.0</v>
      </c>
      <c r="U1511" s="151">
        <v>0.0</v>
      </c>
      <c r="V1511" s="92" t="s">
        <v>183</v>
      </c>
      <c r="W1511" s="18" t="s">
        <v>4617</v>
      </c>
      <c r="X1511" s="42" t="s">
        <v>1101</v>
      </c>
      <c r="Y1511" s="159" t="s">
        <v>4618</v>
      </c>
      <c r="Z1511" s="18" t="s">
        <v>4619</v>
      </c>
      <c r="AA1511" s="92">
        <v>24.0</v>
      </c>
      <c r="AB1511" s="18">
        <v>3.0</v>
      </c>
      <c r="AC1511" s="18">
        <v>21.0</v>
      </c>
      <c r="AD1511" s="172">
        <v>62322.0</v>
      </c>
      <c r="AE1511" s="14">
        <v>11208.0</v>
      </c>
      <c r="AF1511" s="14">
        <v>51114.0</v>
      </c>
      <c r="AG1511" s="22"/>
      <c r="AH1511" s="22"/>
      <c r="AI1511" s="22"/>
      <c r="AJ1511" s="22"/>
      <c r="AK1511" s="22"/>
      <c r="AL1511" s="22"/>
      <c r="AM1511" s="22"/>
      <c r="AN1511" s="22"/>
      <c r="AO1511" s="22"/>
      <c r="AP1511" s="22"/>
    </row>
    <row r="1512" hidden="1">
      <c r="A1512" s="148">
        <v>46161.0</v>
      </c>
      <c r="B1512" s="149">
        <v>0.375</v>
      </c>
      <c r="C1512" s="11" t="s">
        <v>32</v>
      </c>
      <c r="D1512" s="10" t="s">
        <v>33</v>
      </c>
      <c r="E1512" s="10" t="s">
        <v>2212</v>
      </c>
      <c r="F1512" s="10" t="s">
        <v>4620</v>
      </c>
      <c r="G1512" s="11" t="s">
        <v>4621</v>
      </c>
      <c r="H1512" s="11" t="s">
        <v>4622</v>
      </c>
      <c r="I1512" s="10" t="s">
        <v>4623</v>
      </c>
      <c r="J1512" s="14">
        <v>12653.0</v>
      </c>
      <c r="K1512" s="14">
        <v>6844.0</v>
      </c>
      <c r="L1512" s="17">
        <v>0.5408</v>
      </c>
      <c r="M1512" s="150">
        <v>2476.0</v>
      </c>
      <c r="N1512" s="136">
        <v>0.3618</v>
      </c>
      <c r="O1512" s="18">
        <v>81.0</v>
      </c>
      <c r="P1512" s="92">
        <v>75.0</v>
      </c>
      <c r="Q1512" s="137">
        <v>0.011</v>
      </c>
      <c r="R1512" s="17">
        <v>0.0303</v>
      </c>
      <c r="S1512" s="18">
        <v>15.0</v>
      </c>
      <c r="T1512" s="18">
        <v>0.0</v>
      </c>
      <c r="U1512" s="151">
        <v>0.0</v>
      </c>
      <c r="V1512" s="21" t="s">
        <v>183</v>
      </c>
      <c r="W1512" s="18" t="s">
        <v>4617</v>
      </c>
      <c r="X1512" s="42" t="s">
        <v>1101</v>
      </c>
      <c r="Y1512" s="159" t="s">
        <v>4624</v>
      </c>
      <c r="Z1512" s="18" t="s">
        <v>4625</v>
      </c>
      <c r="AA1512" s="92">
        <v>18.0</v>
      </c>
      <c r="AB1512" s="18">
        <v>2.0</v>
      </c>
      <c r="AC1512" s="18">
        <v>16.0</v>
      </c>
      <c r="AD1512" s="172">
        <v>161661.0</v>
      </c>
      <c r="AE1512" s="14">
        <v>4884.0</v>
      </c>
      <c r="AF1512" s="14">
        <v>156777.0</v>
      </c>
      <c r="AG1512" s="22"/>
      <c r="AH1512" s="22"/>
      <c r="AI1512" s="22"/>
      <c r="AJ1512" s="22"/>
      <c r="AK1512" s="22"/>
      <c r="AL1512" s="22"/>
      <c r="AM1512" s="22"/>
      <c r="AN1512" s="22"/>
      <c r="AO1512" s="22"/>
      <c r="AP1512" s="22"/>
    </row>
    <row r="1513" hidden="1">
      <c r="A1513" s="148">
        <v>46161.0</v>
      </c>
      <c r="B1513" s="149">
        <v>0.3784722222222222</v>
      </c>
      <c r="C1513" s="11" t="s">
        <v>32</v>
      </c>
      <c r="D1513" s="10" t="s">
        <v>33</v>
      </c>
      <c r="E1513" s="10" t="s">
        <v>2212</v>
      </c>
      <c r="F1513" s="10" t="s">
        <v>4620</v>
      </c>
      <c r="G1513" s="11" t="s">
        <v>4626</v>
      </c>
      <c r="H1513" s="11" t="s">
        <v>4627</v>
      </c>
      <c r="I1513" s="10" t="s">
        <v>4628</v>
      </c>
      <c r="J1513" s="14">
        <v>5780.0</v>
      </c>
      <c r="K1513" s="14">
        <v>2843.0</v>
      </c>
      <c r="L1513" s="17">
        <v>0.4919</v>
      </c>
      <c r="M1513" s="150">
        <v>831.0</v>
      </c>
      <c r="N1513" s="136">
        <v>0.2923</v>
      </c>
      <c r="O1513" s="18">
        <v>21.0</v>
      </c>
      <c r="P1513" s="92">
        <v>16.0</v>
      </c>
      <c r="Q1513" s="137">
        <v>0.0056</v>
      </c>
      <c r="R1513" s="17">
        <v>0.0193</v>
      </c>
      <c r="S1513" s="18">
        <v>11.0</v>
      </c>
      <c r="T1513" s="18">
        <v>0.0</v>
      </c>
      <c r="U1513" s="151">
        <v>0.0</v>
      </c>
      <c r="V1513" s="21" t="s">
        <v>183</v>
      </c>
      <c r="W1513" s="18" t="s">
        <v>4617</v>
      </c>
      <c r="X1513" s="42" t="s">
        <v>1101</v>
      </c>
      <c r="Y1513" s="159" t="s">
        <v>4624</v>
      </c>
      <c r="Z1513" s="18" t="s">
        <v>4629</v>
      </c>
      <c r="AA1513" s="92">
        <v>12.0</v>
      </c>
      <c r="AB1513" s="18">
        <v>4.0</v>
      </c>
      <c r="AC1513" s="18">
        <v>8.0</v>
      </c>
      <c r="AD1513" s="172">
        <v>91237.0</v>
      </c>
      <c r="AE1513" s="14">
        <v>20091.0</v>
      </c>
      <c r="AF1513" s="14">
        <v>71146.0</v>
      </c>
      <c r="AG1513" s="22"/>
      <c r="AH1513" s="22"/>
      <c r="AI1513" s="22"/>
      <c r="AJ1513" s="22"/>
      <c r="AK1513" s="22"/>
      <c r="AL1513" s="22"/>
      <c r="AM1513" s="22"/>
      <c r="AN1513" s="22"/>
      <c r="AO1513" s="22"/>
      <c r="AP1513" s="22"/>
    </row>
    <row r="1514" hidden="1">
      <c r="A1514" s="148">
        <v>46161.0</v>
      </c>
      <c r="B1514" s="149">
        <v>0.3819444444444444</v>
      </c>
      <c r="C1514" s="11" t="s">
        <v>32</v>
      </c>
      <c r="D1514" s="10" t="s">
        <v>33</v>
      </c>
      <c r="E1514" s="10" t="s">
        <v>179</v>
      </c>
      <c r="F1514" s="10" t="s">
        <v>4620</v>
      </c>
      <c r="G1514" s="11" t="s">
        <v>4630</v>
      </c>
      <c r="H1514" s="11" t="s">
        <v>4631</v>
      </c>
      <c r="I1514" s="10" t="s">
        <v>4632</v>
      </c>
      <c r="J1514" s="14">
        <v>15752.0</v>
      </c>
      <c r="K1514" s="14">
        <v>4875.0</v>
      </c>
      <c r="L1514" s="17">
        <v>0.3095</v>
      </c>
      <c r="M1514" s="150">
        <v>1353.0</v>
      </c>
      <c r="N1514" s="136">
        <v>0.2775</v>
      </c>
      <c r="O1514" s="18">
        <v>48.0</v>
      </c>
      <c r="P1514" s="92">
        <v>41.0</v>
      </c>
      <c r="Q1514" s="137">
        <v>0.0084</v>
      </c>
      <c r="R1514" s="17">
        <v>0.0303</v>
      </c>
      <c r="S1514" s="18">
        <v>5.0</v>
      </c>
      <c r="T1514" s="18">
        <v>0.0</v>
      </c>
      <c r="U1514" s="151">
        <v>64887.0</v>
      </c>
      <c r="V1514" s="92" t="s">
        <v>183</v>
      </c>
      <c r="W1514" s="18" t="s">
        <v>4617</v>
      </c>
      <c r="X1514" s="42" t="s">
        <v>4502</v>
      </c>
      <c r="Y1514" s="159" t="s">
        <v>4624</v>
      </c>
      <c r="Z1514" s="18" t="s">
        <v>4633</v>
      </c>
      <c r="AA1514" s="92">
        <v>27.0</v>
      </c>
      <c r="AB1514" s="18">
        <v>14.0</v>
      </c>
      <c r="AC1514" s="18">
        <v>13.0</v>
      </c>
      <c r="AD1514" s="172">
        <v>227277.0</v>
      </c>
      <c r="AE1514" s="14">
        <v>42239.0</v>
      </c>
      <c r="AF1514" s="14">
        <v>185038.0</v>
      </c>
      <c r="AG1514" s="22"/>
      <c r="AH1514" s="22"/>
      <c r="AI1514" s="22"/>
      <c r="AJ1514" s="22"/>
      <c r="AK1514" s="22"/>
      <c r="AL1514" s="22"/>
      <c r="AM1514" s="22"/>
      <c r="AN1514" s="22"/>
      <c r="AO1514" s="22"/>
      <c r="AP1514" s="22"/>
    </row>
    <row r="1515" hidden="1">
      <c r="A1515" s="148">
        <v>46161.0</v>
      </c>
      <c r="B1515" s="149">
        <v>0.9375</v>
      </c>
      <c r="C1515" s="11" t="s">
        <v>58</v>
      </c>
      <c r="D1515" s="102" t="s">
        <v>3083</v>
      </c>
      <c r="E1515" s="10" t="s">
        <v>2212</v>
      </c>
      <c r="F1515" s="10" t="s">
        <v>4620</v>
      </c>
      <c r="G1515" s="11" t="s">
        <v>4634</v>
      </c>
      <c r="H1515" s="11" t="s">
        <v>4622</v>
      </c>
      <c r="I1515" s="10" t="s">
        <v>61</v>
      </c>
      <c r="J1515" s="14">
        <v>5408.0</v>
      </c>
      <c r="K1515" s="14">
        <v>2978.0</v>
      </c>
      <c r="L1515" s="17">
        <v>0.5507</v>
      </c>
      <c r="M1515" s="150">
        <v>0.0</v>
      </c>
      <c r="N1515" s="136">
        <v>0.0</v>
      </c>
      <c r="O1515" s="18">
        <v>3.0</v>
      </c>
      <c r="P1515" s="92">
        <v>0.0</v>
      </c>
      <c r="Q1515" s="137">
        <v>0.001</v>
      </c>
      <c r="R1515" s="17">
        <v>0.0</v>
      </c>
      <c r="S1515" s="18">
        <v>2.0</v>
      </c>
      <c r="T1515" s="18">
        <v>0.0</v>
      </c>
      <c r="U1515" s="151">
        <v>7032.0</v>
      </c>
      <c r="V1515" s="21" t="s">
        <v>183</v>
      </c>
      <c r="W1515" s="18" t="s">
        <v>62</v>
      </c>
      <c r="X1515" s="42" t="s">
        <v>1101</v>
      </c>
      <c r="Y1515" s="159" t="s">
        <v>4624</v>
      </c>
      <c r="Z1515" s="18" t="s">
        <v>4635</v>
      </c>
      <c r="AA1515" s="92">
        <v>6.0</v>
      </c>
      <c r="AB1515" s="18">
        <v>2.0</v>
      </c>
      <c r="AC1515" s="18">
        <v>4.0</v>
      </c>
      <c r="AD1515" s="172">
        <v>64083.0</v>
      </c>
      <c r="AE1515" s="14">
        <v>3896.0</v>
      </c>
      <c r="AF1515" s="14">
        <v>60187.0</v>
      </c>
      <c r="AG1515" s="22"/>
      <c r="AH1515" s="22"/>
      <c r="AI1515" s="22"/>
      <c r="AJ1515" s="22"/>
      <c r="AK1515" s="22"/>
      <c r="AL1515" s="22"/>
      <c r="AM1515" s="22"/>
      <c r="AN1515" s="22"/>
      <c r="AO1515" s="22"/>
      <c r="AP1515" s="22"/>
    </row>
    <row r="1516" hidden="1">
      <c r="A1516" s="148">
        <v>46161.0</v>
      </c>
      <c r="B1516" s="149">
        <v>0.9375</v>
      </c>
      <c r="C1516" s="11" t="s">
        <v>58</v>
      </c>
      <c r="D1516" s="102" t="s">
        <v>3083</v>
      </c>
      <c r="E1516" s="10" t="s">
        <v>2212</v>
      </c>
      <c r="F1516" s="10" t="s">
        <v>4620</v>
      </c>
      <c r="G1516" s="11" t="s">
        <v>4636</v>
      </c>
      <c r="H1516" s="11" t="s">
        <v>4627</v>
      </c>
      <c r="I1516" s="10" t="s">
        <v>61</v>
      </c>
      <c r="J1516" s="14">
        <v>2633.0</v>
      </c>
      <c r="K1516" s="14">
        <v>1461.0</v>
      </c>
      <c r="L1516" s="17">
        <v>0.5549</v>
      </c>
      <c r="M1516" s="150">
        <v>0.0</v>
      </c>
      <c r="N1516" s="136">
        <v>0.0</v>
      </c>
      <c r="O1516" s="18">
        <v>6.0</v>
      </c>
      <c r="P1516" s="92">
        <v>0.0</v>
      </c>
      <c r="Q1516" s="137">
        <v>0.0041</v>
      </c>
      <c r="R1516" s="17">
        <v>0.0</v>
      </c>
      <c r="S1516" s="18">
        <v>0.0</v>
      </c>
      <c r="T1516" s="18">
        <v>0.0</v>
      </c>
      <c r="U1516" s="151">
        <v>0.0</v>
      </c>
      <c r="V1516" s="21" t="s">
        <v>183</v>
      </c>
      <c r="W1516" s="18" t="s">
        <v>62</v>
      </c>
      <c r="X1516" s="42" t="s">
        <v>1101</v>
      </c>
      <c r="Y1516" s="159" t="s">
        <v>4624</v>
      </c>
      <c r="Z1516" s="18" t="s">
        <v>4637</v>
      </c>
      <c r="AA1516" s="92">
        <v>6.0</v>
      </c>
      <c r="AB1516" s="18">
        <v>0.0</v>
      </c>
      <c r="AC1516" s="18">
        <v>6.0</v>
      </c>
      <c r="AD1516" s="172">
        <v>94334.0</v>
      </c>
      <c r="AE1516" s="14">
        <v>0.0</v>
      </c>
      <c r="AF1516" s="14">
        <v>94334.0</v>
      </c>
      <c r="AG1516" s="22"/>
      <c r="AH1516" s="22"/>
      <c r="AI1516" s="22"/>
      <c r="AJ1516" s="22"/>
      <c r="AK1516" s="22"/>
      <c r="AL1516" s="22"/>
      <c r="AM1516" s="22"/>
      <c r="AN1516" s="22"/>
      <c r="AO1516" s="22"/>
      <c r="AP1516" s="22"/>
    </row>
    <row r="1517" hidden="1">
      <c r="A1517" s="148">
        <v>46161.0</v>
      </c>
      <c r="B1517" s="149">
        <v>0.5416666666666666</v>
      </c>
      <c r="C1517" s="11" t="s">
        <v>58</v>
      </c>
      <c r="D1517" s="102" t="s">
        <v>3243</v>
      </c>
      <c r="E1517" s="10" t="s">
        <v>2212</v>
      </c>
      <c r="F1517" s="10" t="s">
        <v>1101</v>
      </c>
      <c r="G1517" s="11" t="s">
        <v>4615</v>
      </c>
      <c r="H1517" s="11" t="s">
        <v>4616</v>
      </c>
      <c r="I1517" s="10" t="s">
        <v>1101</v>
      </c>
      <c r="J1517" s="14">
        <v>2554.0</v>
      </c>
      <c r="K1517" s="14">
        <v>2001.0</v>
      </c>
      <c r="L1517" s="17">
        <v>0.7835</v>
      </c>
      <c r="M1517" s="150">
        <v>0.0</v>
      </c>
      <c r="N1517" s="136">
        <v>0.0</v>
      </c>
      <c r="O1517" s="18">
        <v>0.0</v>
      </c>
      <c r="P1517" s="92">
        <v>0.0</v>
      </c>
      <c r="Q1517" s="137">
        <v>0.0</v>
      </c>
      <c r="R1517" s="17">
        <v>0.0</v>
      </c>
      <c r="S1517" s="18">
        <v>0.0</v>
      </c>
      <c r="T1517" s="18">
        <v>0.0</v>
      </c>
      <c r="U1517" s="151">
        <v>0.0</v>
      </c>
      <c r="V1517" s="92" t="s">
        <v>183</v>
      </c>
      <c r="W1517" s="18" t="s">
        <v>62</v>
      </c>
      <c r="X1517" s="42" t="s">
        <v>1101</v>
      </c>
      <c r="Y1517" s="159" t="s">
        <v>4618</v>
      </c>
      <c r="Z1517" s="18" t="s">
        <v>4638</v>
      </c>
      <c r="AA1517" s="92">
        <v>4.0</v>
      </c>
      <c r="AB1517" s="18">
        <v>1.0</v>
      </c>
      <c r="AC1517" s="18">
        <v>3.0</v>
      </c>
      <c r="AD1517" s="172">
        <v>22478.0</v>
      </c>
      <c r="AE1517" s="14">
        <v>1098.0</v>
      </c>
      <c r="AF1517" s="14">
        <v>21380.0</v>
      </c>
      <c r="AG1517" s="22"/>
      <c r="AH1517" s="22"/>
      <c r="AI1517" s="22"/>
      <c r="AJ1517" s="22"/>
      <c r="AK1517" s="22"/>
      <c r="AL1517" s="22"/>
      <c r="AM1517" s="22"/>
      <c r="AN1517" s="22"/>
      <c r="AO1517" s="22"/>
      <c r="AP1517" s="22"/>
    </row>
    <row r="1518" hidden="1">
      <c r="A1518" s="148">
        <v>46161.0</v>
      </c>
      <c r="B1518" s="149">
        <v>0.9375</v>
      </c>
      <c r="C1518" s="11" t="s">
        <v>58</v>
      </c>
      <c r="D1518" s="102" t="s">
        <v>3083</v>
      </c>
      <c r="E1518" s="10" t="s">
        <v>179</v>
      </c>
      <c r="F1518" s="10" t="s">
        <v>4620</v>
      </c>
      <c r="G1518" s="11" t="s">
        <v>4639</v>
      </c>
      <c r="H1518" s="11" t="s">
        <v>4631</v>
      </c>
      <c r="I1518" s="10" t="s">
        <v>61</v>
      </c>
      <c r="J1518" s="14">
        <v>10159.0</v>
      </c>
      <c r="K1518" s="14">
        <v>6556.0</v>
      </c>
      <c r="L1518" s="17">
        <v>0.6453</v>
      </c>
      <c r="M1518" s="150">
        <v>0.0</v>
      </c>
      <c r="N1518" s="136">
        <v>0.0</v>
      </c>
      <c r="O1518" s="18">
        <v>9.0</v>
      </c>
      <c r="P1518" s="92">
        <v>0.0</v>
      </c>
      <c r="Q1518" s="137">
        <v>0.0014</v>
      </c>
      <c r="R1518" s="17">
        <v>0.0</v>
      </c>
      <c r="S1518" s="18">
        <v>5.0</v>
      </c>
      <c r="T1518" s="18">
        <v>0.0</v>
      </c>
      <c r="U1518" s="151">
        <v>13943.0</v>
      </c>
      <c r="V1518" s="92" t="s">
        <v>183</v>
      </c>
      <c r="W1518" s="18" t="s">
        <v>62</v>
      </c>
      <c r="X1518" s="42" t="s">
        <v>4502</v>
      </c>
      <c r="Y1518" s="159" t="s">
        <v>4624</v>
      </c>
      <c r="Z1518" s="18" t="s">
        <v>4640</v>
      </c>
      <c r="AA1518" s="92">
        <v>31.0</v>
      </c>
      <c r="AB1518" s="18">
        <v>7.0</v>
      </c>
      <c r="AC1518" s="18">
        <v>24.0</v>
      </c>
      <c r="AD1518" s="172">
        <v>319203.0</v>
      </c>
      <c r="AE1518" s="14">
        <v>26669.0</v>
      </c>
      <c r="AF1518" s="14">
        <v>292534.0</v>
      </c>
      <c r="AG1518" s="22"/>
      <c r="AH1518" s="22"/>
      <c r="AI1518" s="22"/>
      <c r="AJ1518" s="22"/>
      <c r="AK1518" s="22"/>
      <c r="AL1518" s="22"/>
      <c r="AM1518" s="22"/>
      <c r="AN1518" s="22"/>
      <c r="AO1518" s="22"/>
      <c r="AP1518" s="22"/>
    </row>
    <row r="1519" hidden="1">
      <c r="A1519" s="148">
        <v>46162.0</v>
      </c>
      <c r="B1519" s="149">
        <v>0.75</v>
      </c>
      <c r="C1519" s="11" t="s">
        <v>32</v>
      </c>
      <c r="D1519" s="102" t="s">
        <v>33</v>
      </c>
      <c r="E1519" s="10" t="s">
        <v>71</v>
      </c>
      <c r="F1519" s="10" t="s">
        <v>4641</v>
      </c>
      <c r="G1519" s="11" t="s">
        <v>4642</v>
      </c>
      <c r="H1519" s="11" t="s">
        <v>4643</v>
      </c>
      <c r="I1519" s="10" t="s">
        <v>4644</v>
      </c>
      <c r="J1519" s="14">
        <v>3997.0</v>
      </c>
      <c r="K1519" s="14">
        <v>1566.0</v>
      </c>
      <c r="L1519" s="17">
        <v>0.3918</v>
      </c>
      <c r="M1519" s="150">
        <v>796.0</v>
      </c>
      <c r="N1519" s="136">
        <v>0.5083</v>
      </c>
      <c r="O1519" s="18">
        <v>142.0</v>
      </c>
      <c r="P1519" s="92">
        <v>129.0</v>
      </c>
      <c r="Q1519" s="137">
        <v>0.0824</v>
      </c>
      <c r="R1519" s="17">
        <v>0.1621</v>
      </c>
      <c r="S1519" s="18"/>
      <c r="T1519" s="18"/>
      <c r="U1519" s="151">
        <v>46412.0</v>
      </c>
      <c r="V1519" s="92" t="s">
        <v>335</v>
      </c>
      <c r="W1519" s="18" t="s">
        <v>76</v>
      </c>
      <c r="X1519" s="42" t="s">
        <v>4645</v>
      </c>
      <c r="Y1519" s="159" t="s">
        <v>4646</v>
      </c>
      <c r="Z1519" s="18" t="s">
        <v>4647</v>
      </c>
      <c r="AA1519" s="92">
        <v>25.0</v>
      </c>
      <c r="AB1519" s="18">
        <v>25.0</v>
      </c>
      <c r="AC1519" s="18"/>
      <c r="AD1519" s="172">
        <v>66180.0</v>
      </c>
      <c r="AE1519" s="14">
        <v>66180.0</v>
      </c>
      <c r="AF1519" s="14"/>
      <c r="AG1519" s="22"/>
      <c r="AH1519" s="22"/>
      <c r="AI1519" s="22"/>
      <c r="AJ1519" s="22"/>
      <c r="AK1519" s="22"/>
      <c r="AL1519" s="22"/>
      <c r="AM1519" s="22"/>
      <c r="AN1519" s="22"/>
      <c r="AO1519" s="22"/>
      <c r="AP1519" s="22"/>
    </row>
    <row r="1520" hidden="1">
      <c r="A1520" s="148">
        <v>46162.0</v>
      </c>
      <c r="B1520" s="149">
        <v>0.75</v>
      </c>
      <c r="C1520" s="11" t="s">
        <v>32</v>
      </c>
      <c r="D1520" s="102" t="s">
        <v>33</v>
      </c>
      <c r="E1520" s="10" t="s">
        <v>71</v>
      </c>
      <c r="F1520" s="10" t="s">
        <v>4641</v>
      </c>
      <c r="G1520" s="11" t="s">
        <v>4648</v>
      </c>
      <c r="H1520" s="11" t="s">
        <v>4649</v>
      </c>
      <c r="I1520" s="10" t="s">
        <v>4650</v>
      </c>
      <c r="J1520" s="14">
        <v>37437.0</v>
      </c>
      <c r="K1520" s="14">
        <v>12275.0</v>
      </c>
      <c r="L1520" s="17">
        <v>0.3279</v>
      </c>
      <c r="M1520" s="150">
        <v>5935.0</v>
      </c>
      <c r="N1520" s="136">
        <v>0.4834</v>
      </c>
      <c r="O1520" s="18">
        <v>639.0</v>
      </c>
      <c r="P1520" s="92">
        <v>552.0</v>
      </c>
      <c r="Q1520" s="137">
        <v>0.045</v>
      </c>
      <c r="R1520" s="17">
        <v>0.093</v>
      </c>
      <c r="S1520" s="18">
        <v>17.0</v>
      </c>
      <c r="T1520" s="18">
        <v>50.0</v>
      </c>
      <c r="U1520" s="151">
        <v>41085.0</v>
      </c>
      <c r="V1520" s="92" t="s">
        <v>335</v>
      </c>
      <c r="W1520" s="18" t="s">
        <v>76</v>
      </c>
      <c r="X1520" s="42" t="s">
        <v>82</v>
      </c>
      <c r="Y1520" s="159" t="s">
        <v>4646</v>
      </c>
      <c r="Z1520" s="18" t="s">
        <v>4651</v>
      </c>
      <c r="AA1520" s="92">
        <v>101.0</v>
      </c>
      <c r="AB1520" s="18">
        <v>101.0</v>
      </c>
      <c r="AC1520" s="18"/>
      <c r="AD1520" s="172">
        <v>321778.0</v>
      </c>
      <c r="AE1520" s="14">
        <v>321778.0</v>
      </c>
      <c r="AF1520" s="14"/>
      <c r="AG1520" s="22"/>
      <c r="AH1520" s="22"/>
      <c r="AI1520" s="22"/>
      <c r="AJ1520" s="22"/>
      <c r="AK1520" s="22"/>
      <c r="AL1520" s="22"/>
      <c r="AM1520" s="22"/>
      <c r="AN1520" s="22"/>
      <c r="AO1520" s="22"/>
      <c r="AP1520" s="22"/>
    </row>
    <row r="1521" hidden="1">
      <c r="A1521" s="148">
        <v>46162.0</v>
      </c>
      <c r="B1521" s="149">
        <v>0.75</v>
      </c>
      <c r="C1521" s="11" t="s">
        <v>32</v>
      </c>
      <c r="D1521" s="102" t="s">
        <v>33</v>
      </c>
      <c r="E1521" s="10" t="s">
        <v>71</v>
      </c>
      <c r="F1521" s="10" t="s">
        <v>4641</v>
      </c>
      <c r="G1521" s="11" t="s">
        <v>4652</v>
      </c>
      <c r="H1521" s="11" t="s">
        <v>2597</v>
      </c>
      <c r="I1521" s="10" t="s">
        <v>4653</v>
      </c>
      <c r="J1521" s="14">
        <v>6559.0</v>
      </c>
      <c r="K1521" s="14">
        <v>1883.0</v>
      </c>
      <c r="L1521" s="17">
        <v>0.2871</v>
      </c>
      <c r="M1521" s="150">
        <v>873.0</v>
      </c>
      <c r="N1521" s="136">
        <v>0.4636</v>
      </c>
      <c r="O1521" s="18">
        <v>95.0</v>
      </c>
      <c r="P1521" s="92">
        <v>85.0</v>
      </c>
      <c r="Q1521" s="137">
        <v>0.0451</v>
      </c>
      <c r="R1521" s="17">
        <v>0.0974</v>
      </c>
      <c r="S1521" s="18">
        <v>1.0</v>
      </c>
      <c r="T1521" s="18">
        <v>9.0</v>
      </c>
      <c r="U1521" s="151">
        <v>2097.0</v>
      </c>
      <c r="V1521" s="92" t="s">
        <v>335</v>
      </c>
      <c r="W1521" s="18" t="s">
        <v>76</v>
      </c>
      <c r="X1521" s="42" t="s">
        <v>52</v>
      </c>
      <c r="Y1521" s="159" t="s">
        <v>4646</v>
      </c>
      <c r="Z1521" s="18" t="s">
        <v>4654</v>
      </c>
      <c r="AA1521" s="92">
        <v>15.0</v>
      </c>
      <c r="AB1521" s="18">
        <v>15.0</v>
      </c>
      <c r="AC1521" s="18"/>
      <c r="AD1521" s="172">
        <v>40962.0</v>
      </c>
      <c r="AE1521" s="14">
        <v>40962.0</v>
      </c>
      <c r="AF1521" s="14"/>
      <c r="AG1521" s="22"/>
      <c r="AH1521" s="22"/>
      <c r="AI1521" s="22"/>
      <c r="AJ1521" s="22"/>
      <c r="AK1521" s="22"/>
      <c r="AL1521" s="22"/>
      <c r="AM1521" s="22"/>
      <c r="AN1521" s="22"/>
      <c r="AO1521" s="22"/>
      <c r="AP1521" s="22"/>
    </row>
    <row r="1522" hidden="1">
      <c r="A1522" s="148">
        <v>46162.0</v>
      </c>
      <c r="B1522" s="149">
        <v>0.75</v>
      </c>
      <c r="C1522" s="11" t="s">
        <v>32</v>
      </c>
      <c r="D1522" s="102" t="s">
        <v>33</v>
      </c>
      <c r="E1522" s="10" t="s">
        <v>71</v>
      </c>
      <c r="F1522" s="10" t="s">
        <v>4641</v>
      </c>
      <c r="G1522" s="11" t="s">
        <v>4655</v>
      </c>
      <c r="H1522" s="11" t="s">
        <v>4656</v>
      </c>
      <c r="I1522" s="10" t="s">
        <v>4657</v>
      </c>
      <c r="J1522" s="14">
        <v>5185.0</v>
      </c>
      <c r="K1522" s="14">
        <v>1897.0</v>
      </c>
      <c r="L1522" s="17">
        <v>0.3659</v>
      </c>
      <c r="M1522" s="150">
        <v>864.0</v>
      </c>
      <c r="N1522" s="136">
        <v>0.4555</v>
      </c>
      <c r="O1522" s="18">
        <v>96.0</v>
      </c>
      <c r="P1522" s="92">
        <v>90.0</v>
      </c>
      <c r="Q1522" s="137">
        <v>0.0474</v>
      </c>
      <c r="R1522" s="17">
        <v>0.1042</v>
      </c>
      <c r="S1522" s="18">
        <v>1.0</v>
      </c>
      <c r="T1522" s="18">
        <v>5.0</v>
      </c>
      <c r="U1522" s="151">
        <v>3236.0</v>
      </c>
      <c r="V1522" s="92" t="s">
        <v>335</v>
      </c>
      <c r="W1522" s="18" t="s">
        <v>76</v>
      </c>
      <c r="X1522" s="42" t="s">
        <v>2594</v>
      </c>
      <c r="Y1522" s="159" t="s">
        <v>4646</v>
      </c>
      <c r="Z1522" s="18" t="s">
        <v>4658</v>
      </c>
      <c r="AA1522" s="92">
        <v>12.0</v>
      </c>
      <c r="AB1522" s="18">
        <v>12.0</v>
      </c>
      <c r="AC1522" s="18"/>
      <c r="AD1522" s="172">
        <v>33390.0</v>
      </c>
      <c r="AE1522" s="14">
        <v>33390.0</v>
      </c>
      <c r="AF1522" s="14"/>
      <c r="AG1522" s="22"/>
      <c r="AH1522" s="22"/>
      <c r="AI1522" s="22"/>
      <c r="AJ1522" s="22"/>
      <c r="AK1522" s="22"/>
      <c r="AL1522" s="22"/>
      <c r="AM1522" s="22"/>
      <c r="AN1522" s="22"/>
      <c r="AO1522" s="22"/>
      <c r="AP1522" s="22"/>
    </row>
    <row r="1523" hidden="1">
      <c r="A1523" s="148">
        <v>46163.0</v>
      </c>
      <c r="B1523" s="149">
        <v>0.375</v>
      </c>
      <c r="C1523" s="11" t="s">
        <v>32</v>
      </c>
      <c r="D1523" s="10" t="s">
        <v>33</v>
      </c>
      <c r="E1523" s="10" t="s">
        <v>2212</v>
      </c>
      <c r="F1523" s="10" t="s">
        <v>1101</v>
      </c>
      <c r="G1523" s="11" t="s">
        <v>4659</v>
      </c>
      <c r="H1523" s="11" t="s">
        <v>4616</v>
      </c>
      <c r="I1523" s="10" t="s">
        <v>1101</v>
      </c>
      <c r="J1523" s="14">
        <v>2549.0</v>
      </c>
      <c r="K1523" s="14">
        <v>1709.0</v>
      </c>
      <c r="L1523" s="17">
        <v>0.6705</v>
      </c>
      <c r="M1523" s="150">
        <v>1319.0</v>
      </c>
      <c r="N1523" s="136">
        <v>0.7718</v>
      </c>
      <c r="O1523" s="18">
        <v>539.0</v>
      </c>
      <c r="P1523" s="92">
        <v>378.0</v>
      </c>
      <c r="Q1523" s="137">
        <v>0.2212</v>
      </c>
      <c r="R1523" s="17">
        <v>0.2866</v>
      </c>
      <c r="S1523" s="18">
        <v>0.0</v>
      </c>
      <c r="T1523" s="18">
        <v>0.0</v>
      </c>
      <c r="U1523" s="151">
        <v>0.0</v>
      </c>
      <c r="V1523" s="92" t="s">
        <v>183</v>
      </c>
      <c r="W1523" s="18" t="s">
        <v>4617</v>
      </c>
      <c r="X1523" s="42" t="s">
        <v>1101</v>
      </c>
      <c r="Y1523" s="159" t="s">
        <v>4618</v>
      </c>
      <c r="Z1523" s="18" t="s">
        <v>4660</v>
      </c>
      <c r="AA1523" s="92">
        <v>26.0</v>
      </c>
      <c r="AB1523" s="18">
        <v>4.0</v>
      </c>
      <c r="AC1523" s="18">
        <v>22.0</v>
      </c>
      <c r="AD1523" s="172">
        <v>95720.0</v>
      </c>
      <c r="AE1523" s="14">
        <v>12306.0</v>
      </c>
      <c r="AF1523" s="14">
        <v>83414.0</v>
      </c>
      <c r="AG1523" s="22"/>
      <c r="AH1523" s="22"/>
      <c r="AI1523" s="22"/>
      <c r="AJ1523" s="22"/>
      <c r="AK1523" s="22"/>
      <c r="AL1523" s="22"/>
      <c r="AM1523" s="22"/>
      <c r="AN1523" s="22"/>
      <c r="AO1523" s="22"/>
      <c r="AP1523" s="22"/>
    </row>
    <row r="1524" hidden="1">
      <c r="A1524" s="148">
        <v>46163.0</v>
      </c>
      <c r="B1524" s="149">
        <v>0.75</v>
      </c>
      <c r="C1524" s="11" t="s">
        <v>32</v>
      </c>
      <c r="D1524" s="10" t="s">
        <v>33</v>
      </c>
      <c r="E1524" s="10" t="s">
        <v>106</v>
      </c>
      <c r="F1524" s="10" t="s">
        <v>4661</v>
      </c>
      <c r="G1524" s="11" t="s">
        <v>4662</v>
      </c>
      <c r="H1524" s="11" t="s">
        <v>4663</v>
      </c>
      <c r="I1524" s="10" t="s">
        <v>4664</v>
      </c>
      <c r="J1524" s="14">
        <v>88044.0</v>
      </c>
      <c r="K1524" s="14">
        <v>30245.0</v>
      </c>
      <c r="L1524" s="17">
        <v>0.3435</v>
      </c>
      <c r="M1524" s="150">
        <v>12313.0</v>
      </c>
      <c r="N1524" s="136">
        <v>0.4071</v>
      </c>
      <c r="O1524" s="18">
        <v>1116.0</v>
      </c>
      <c r="P1524" s="92">
        <v>1047.0</v>
      </c>
      <c r="Q1524" s="137">
        <v>0.0346</v>
      </c>
      <c r="R1524" s="17">
        <v>0.0851</v>
      </c>
      <c r="S1524" s="18">
        <v>0.0</v>
      </c>
      <c r="T1524" s="18">
        <v>0.0</v>
      </c>
      <c r="U1524" s="151">
        <v>0.0</v>
      </c>
      <c r="V1524" s="92" t="s">
        <v>183</v>
      </c>
      <c r="W1524" s="18" t="s">
        <v>76</v>
      </c>
      <c r="X1524" s="42" t="s">
        <v>52</v>
      </c>
      <c r="Y1524" s="159" t="s">
        <v>4665</v>
      </c>
      <c r="Z1524" s="18" t="s">
        <v>4666</v>
      </c>
      <c r="AA1524" s="92">
        <v>57.0</v>
      </c>
      <c r="AB1524" s="18">
        <v>0.0</v>
      </c>
      <c r="AC1524" s="18">
        <v>57.0</v>
      </c>
      <c r="AD1524" s="172">
        <v>750423.0</v>
      </c>
      <c r="AE1524" s="14">
        <v>0.0</v>
      </c>
      <c r="AF1524" s="14">
        <v>750423.0</v>
      </c>
      <c r="AG1524" s="22"/>
      <c r="AH1524" s="22"/>
      <c r="AI1524" s="22"/>
      <c r="AJ1524" s="22"/>
      <c r="AK1524" s="22"/>
      <c r="AL1524" s="22"/>
      <c r="AM1524" s="22"/>
      <c r="AN1524" s="22"/>
      <c r="AO1524" s="22"/>
      <c r="AP1524" s="22"/>
    </row>
    <row r="1525" hidden="1">
      <c r="A1525" s="148">
        <v>46163.0</v>
      </c>
      <c r="B1525" s="149">
        <v>0.75</v>
      </c>
      <c r="C1525" s="11" t="s">
        <v>32</v>
      </c>
      <c r="D1525" s="10" t="s">
        <v>33</v>
      </c>
      <c r="E1525" s="10" t="s">
        <v>106</v>
      </c>
      <c r="F1525" s="10" t="s">
        <v>4661</v>
      </c>
      <c r="G1525" s="11" t="s">
        <v>4667</v>
      </c>
      <c r="H1525" s="11" t="s">
        <v>4668</v>
      </c>
      <c r="I1525" s="10" t="s">
        <v>4669</v>
      </c>
      <c r="J1525" s="14">
        <v>173868.0</v>
      </c>
      <c r="K1525" s="14">
        <v>62520.0</v>
      </c>
      <c r="L1525" s="17">
        <v>0.3595</v>
      </c>
      <c r="M1525" s="150">
        <v>24501.0</v>
      </c>
      <c r="N1525" s="136">
        <v>0.3919</v>
      </c>
      <c r="O1525" s="18">
        <v>1904.0</v>
      </c>
      <c r="P1525" s="92">
        <v>1778.0</v>
      </c>
      <c r="Q1525" s="137">
        <v>0.0284</v>
      </c>
      <c r="R1525" s="17">
        <v>0.0726</v>
      </c>
      <c r="S1525" s="18">
        <v>0.0</v>
      </c>
      <c r="T1525" s="18">
        <v>0.0</v>
      </c>
      <c r="U1525" s="151">
        <v>0.0</v>
      </c>
      <c r="V1525" s="92" t="s">
        <v>183</v>
      </c>
      <c r="W1525" s="18" t="s">
        <v>76</v>
      </c>
      <c r="X1525" s="42" t="s">
        <v>41</v>
      </c>
      <c r="Y1525" s="159" t="s">
        <v>4665</v>
      </c>
      <c r="Z1525" s="18" t="s">
        <v>4670</v>
      </c>
      <c r="AA1525" s="92">
        <v>72.0</v>
      </c>
      <c r="AB1525" s="18">
        <v>0.0</v>
      </c>
      <c r="AC1525" s="18">
        <v>72.0</v>
      </c>
      <c r="AD1525" s="172">
        <v>853411.0</v>
      </c>
      <c r="AE1525" s="14">
        <v>0.0</v>
      </c>
      <c r="AF1525" s="14">
        <v>853411.0</v>
      </c>
      <c r="AG1525" s="22"/>
      <c r="AH1525" s="22"/>
      <c r="AI1525" s="22"/>
      <c r="AJ1525" s="22"/>
      <c r="AK1525" s="22"/>
      <c r="AL1525" s="22"/>
      <c r="AM1525" s="22"/>
      <c r="AN1525" s="22"/>
      <c r="AO1525" s="22"/>
      <c r="AP1525" s="22"/>
    </row>
    <row r="1526" hidden="1">
      <c r="A1526" s="148">
        <v>46163.0</v>
      </c>
      <c r="B1526" s="149">
        <v>0.75</v>
      </c>
      <c r="C1526" s="11" t="s">
        <v>32</v>
      </c>
      <c r="D1526" s="10" t="s">
        <v>33</v>
      </c>
      <c r="E1526" s="10" t="s">
        <v>106</v>
      </c>
      <c r="F1526" s="10" t="s">
        <v>4661</v>
      </c>
      <c r="G1526" s="11" t="s">
        <v>4671</v>
      </c>
      <c r="H1526" s="11" t="s">
        <v>4672</v>
      </c>
      <c r="I1526" s="10" t="s">
        <v>4673</v>
      </c>
      <c r="J1526" s="14">
        <v>83796.0</v>
      </c>
      <c r="K1526" s="14">
        <v>30492.0</v>
      </c>
      <c r="L1526" s="17">
        <v>0.3638</v>
      </c>
      <c r="M1526" s="150">
        <v>12678.0</v>
      </c>
      <c r="N1526" s="136">
        <v>0.4157</v>
      </c>
      <c r="O1526" s="18">
        <v>995.0</v>
      </c>
      <c r="P1526" s="92">
        <v>932.0</v>
      </c>
      <c r="Q1526" s="137">
        <v>0.0306</v>
      </c>
      <c r="R1526" s="17">
        <v>0.0736</v>
      </c>
      <c r="S1526" s="18">
        <v>0.0</v>
      </c>
      <c r="T1526" s="18">
        <v>0.0</v>
      </c>
      <c r="U1526" s="151">
        <v>0.0</v>
      </c>
      <c r="V1526" s="92" t="s">
        <v>183</v>
      </c>
      <c r="W1526" s="18" t="s">
        <v>76</v>
      </c>
      <c r="X1526" s="42" t="s">
        <v>2286</v>
      </c>
      <c r="Y1526" s="159" t="s">
        <v>4665</v>
      </c>
      <c r="Z1526" s="18" t="s">
        <v>4674</v>
      </c>
      <c r="AA1526" s="92">
        <v>58.0</v>
      </c>
      <c r="AB1526" s="18">
        <v>0.0</v>
      </c>
      <c r="AC1526" s="18">
        <v>58.0</v>
      </c>
      <c r="AD1526" s="172">
        <v>675027.0</v>
      </c>
      <c r="AE1526" s="14">
        <v>0.0</v>
      </c>
      <c r="AF1526" s="14">
        <v>675027.0</v>
      </c>
      <c r="AG1526" s="22"/>
      <c r="AH1526" s="22"/>
      <c r="AI1526" s="22"/>
      <c r="AJ1526" s="22"/>
      <c r="AK1526" s="22"/>
      <c r="AL1526" s="22"/>
      <c r="AM1526" s="22"/>
      <c r="AN1526" s="22"/>
      <c r="AO1526" s="22"/>
      <c r="AP1526" s="22"/>
    </row>
    <row r="1527" hidden="1">
      <c r="A1527" s="148">
        <v>46163.0</v>
      </c>
      <c r="B1527" s="149">
        <v>0.4583333333333333</v>
      </c>
      <c r="C1527" s="11" t="s">
        <v>58</v>
      </c>
      <c r="D1527" s="102" t="s">
        <v>3083</v>
      </c>
      <c r="E1527" s="10" t="s">
        <v>2212</v>
      </c>
      <c r="F1527" s="10" t="s">
        <v>1101</v>
      </c>
      <c r="G1527" s="11" t="s">
        <v>4675</v>
      </c>
      <c r="H1527" s="11" t="s">
        <v>4616</v>
      </c>
      <c r="I1527" s="10" t="s">
        <v>61</v>
      </c>
      <c r="J1527" s="14">
        <v>823.0</v>
      </c>
      <c r="K1527" s="14">
        <v>644.0</v>
      </c>
      <c r="L1527" s="17">
        <v>0.7825</v>
      </c>
      <c r="M1527" s="150">
        <v>0.0</v>
      </c>
      <c r="N1527" s="136">
        <v>0.0</v>
      </c>
      <c r="O1527" s="18">
        <v>0.0</v>
      </c>
      <c r="P1527" s="92">
        <v>0.0</v>
      </c>
      <c r="Q1527" s="137">
        <v>0.0</v>
      </c>
      <c r="R1527" s="17">
        <v>0.0</v>
      </c>
      <c r="S1527" s="18">
        <v>0.0</v>
      </c>
      <c r="T1527" s="18">
        <v>0.0</v>
      </c>
      <c r="U1527" s="151">
        <v>0.0</v>
      </c>
      <c r="V1527" s="92" t="s">
        <v>183</v>
      </c>
      <c r="W1527" s="18" t="s">
        <v>62</v>
      </c>
      <c r="X1527" s="42" t="s">
        <v>1101</v>
      </c>
      <c r="Y1527" s="159" t="s">
        <v>4618</v>
      </c>
      <c r="Z1527" s="18" t="s">
        <v>4676</v>
      </c>
      <c r="AA1527" s="92">
        <v>1.0</v>
      </c>
      <c r="AB1527" s="18">
        <v>0.0</v>
      </c>
      <c r="AC1527" s="18">
        <v>1.0</v>
      </c>
      <c r="AD1527" s="172">
        <v>14002.0</v>
      </c>
      <c r="AE1527" s="14">
        <v>0.0</v>
      </c>
      <c r="AF1527" s="14">
        <v>14002.0</v>
      </c>
      <c r="AG1527" s="22"/>
      <c r="AH1527" s="22"/>
      <c r="AI1527" s="22"/>
      <c r="AJ1527" s="22"/>
      <c r="AK1527" s="22"/>
      <c r="AL1527" s="22"/>
      <c r="AM1527" s="22"/>
      <c r="AN1527" s="22"/>
      <c r="AO1527" s="22"/>
      <c r="AP1527" s="22"/>
    </row>
    <row r="1528" hidden="1">
      <c r="A1528" s="148">
        <v>46163.0</v>
      </c>
      <c r="B1528" s="149">
        <v>0.8333333333333334</v>
      </c>
      <c r="C1528" s="11" t="s">
        <v>58</v>
      </c>
      <c r="D1528" s="102" t="s">
        <v>3083</v>
      </c>
      <c r="E1528" s="10" t="s">
        <v>106</v>
      </c>
      <c r="F1528" s="10" t="s">
        <v>4661</v>
      </c>
      <c r="G1528" s="11" t="s">
        <v>4677</v>
      </c>
      <c r="H1528" s="11" t="s">
        <v>4672</v>
      </c>
      <c r="I1528" s="10" t="s">
        <v>61</v>
      </c>
      <c r="J1528" s="14">
        <v>52391.0</v>
      </c>
      <c r="K1528" s="14">
        <v>29874.0</v>
      </c>
      <c r="L1528" s="17">
        <v>0.5702</v>
      </c>
      <c r="M1528" s="150">
        <v>0.0</v>
      </c>
      <c r="N1528" s="136">
        <v>0.0</v>
      </c>
      <c r="O1528" s="18">
        <v>0.0</v>
      </c>
      <c r="P1528" s="92">
        <v>0.0</v>
      </c>
      <c r="Q1528" s="137">
        <v>0.0</v>
      </c>
      <c r="R1528" s="17">
        <v>0.0</v>
      </c>
      <c r="S1528" s="18">
        <v>1.0</v>
      </c>
      <c r="T1528" s="18">
        <v>0.0</v>
      </c>
      <c r="U1528" s="151">
        <v>9999.0</v>
      </c>
      <c r="V1528" s="92" t="s">
        <v>183</v>
      </c>
      <c r="W1528" s="18" t="s">
        <v>62</v>
      </c>
      <c r="X1528" s="42" t="s">
        <v>2286</v>
      </c>
      <c r="Y1528" s="159" t="s">
        <v>4665</v>
      </c>
      <c r="Z1528" s="18" t="s">
        <v>4678</v>
      </c>
      <c r="AA1528" s="92">
        <v>41.0</v>
      </c>
      <c r="AB1528" s="18">
        <v>0.0</v>
      </c>
      <c r="AC1528" s="18">
        <v>41.0</v>
      </c>
      <c r="AD1528" s="172">
        <v>495954.0</v>
      </c>
      <c r="AE1528" s="14">
        <v>0.0</v>
      </c>
      <c r="AF1528" s="14">
        <v>495954.0</v>
      </c>
      <c r="AG1528" s="22"/>
      <c r="AH1528" s="22"/>
      <c r="AI1528" s="22"/>
      <c r="AJ1528" s="22"/>
      <c r="AK1528" s="22"/>
      <c r="AL1528" s="22"/>
      <c r="AM1528" s="22"/>
      <c r="AN1528" s="22"/>
      <c r="AO1528" s="22"/>
      <c r="AP1528" s="22"/>
    </row>
    <row r="1529" hidden="1">
      <c r="A1529" s="148">
        <v>46163.0</v>
      </c>
      <c r="B1529" s="149">
        <v>0.8333333333333334</v>
      </c>
      <c r="C1529" s="11" t="s">
        <v>58</v>
      </c>
      <c r="D1529" s="102" t="s">
        <v>3083</v>
      </c>
      <c r="E1529" s="10" t="s">
        <v>106</v>
      </c>
      <c r="F1529" s="10" t="s">
        <v>4661</v>
      </c>
      <c r="G1529" s="11" t="s">
        <v>4679</v>
      </c>
      <c r="H1529" s="11" t="s">
        <v>4668</v>
      </c>
      <c r="I1529" s="10" t="s">
        <v>61</v>
      </c>
      <c r="J1529" s="14">
        <v>108928.0</v>
      </c>
      <c r="K1529" s="14">
        <v>61269.0</v>
      </c>
      <c r="L1529" s="17">
        <v>0.5625</v>
      </c>
      <c r="M1529" s="150">
        <v>0.0</v>
      </c>
      <c r="N1529" s="136">
        <v>0.0</v>
      </c>
      <c r="O1529" s="18">
        <v>0.0</v>
      </c>
      <c r="P1529" s="92">
        <v>0.0</v>
      </c>
      <c r="Q1529" s="137">
        <v>0.0</v>
      </c>
      <c r="R1529" s="17">
        <v>0.0</v>
      </c>
      <c r="S1529" s="18">
        <v>5.0</v>
      </c>
      <c r="T1529" s="18">
        <v>0.0</v>
      </c>
      <c r="U1529" s="151">
        <v>56994.0</v>
      </c>
      <c r="V1529" s="92" t="s">
        <v>183</v>
      </c>
      <c r="W1529" s="18" t="s">
        <v>62</v>
      </c>
      <c r="X1529" s="42" t="s">
        <v>41</v>
      </c>
      <c r="Y1529" s="159" t="s">
        <v>4665</v>
      </c>
      <c r="Z1529" s="18" t="s">
        <v>4680</v>
      </c>
      <c r="AA1529" s="92">
        <v>87.0</v>
      </c>
      <c r="AB1529" s="18">
        <v>0.0</v>
      </c>
      <c r="AC1529" s="18">
        <v>87.0</v>
      </c>
      <c r="AD1529" s="172">
        <v>1291777.0</v>
      </c>
      <c r="AE1529" s="14">
        <v>0.0</v>
      </c>
      <c r="AF1529" s="14">
        <v>1291777.0</v>
      </c>
      <c r="AG1529" s="22"/>
      <c r="AH1529" s="22"/>
      <c r="AI1529" s="22"/>
      <c r="AJ1529" s="22"/>
      <c r="AK1529" s="22"/>
      <c r="AL1529" s="22"/>
      <c r="AM1529" s="22"/>
      <c r="AN1529" s="22"/>
      <c r="AO1529" s="22"/>
      <c r="AP1529" s="22"/>
    </row>
    <row r="1530" hidden="1">
      <c r="A1530" s="148">
        <v>46163.0</v>
      </c>
      <c r="B1530" s="149">
        <v>0.8333333333333334</v>
      </c>
      <c r="C1530" s="11" t="s">
        <v>58</v>
      </c>
      <c r="D1530" s="102" t="s">
        <v>3083</v>
      </c>
      <c r="E1530" s="10" t="s">
        <v>106</v>
      </c>
      <c r="F1530" s="10" t="s">
        <v>4661</v>
      </c>
      <c r="G1530" s="11" t="s">
        <v>4681</v>
      </c>
      <c r="H1530" s="11" t="s">
        <v>4663</v>
      </c>
      <c r="I1530" s="10" t="s">
        <v>61</v>
      </c>
      <c r="J1530" s="14">
        <v>56632.0</v>
      </c>
      <c r="K1530" s="14">
        <v>30808.0</v>
      </c>
      <c r="L1530" s="17">
        <v>0.544</v>
      </c>
      <c r="M1530" s="150">
        <v>0.0</v>
      </c>
      <c r="N1530" s="136">
        <v>0.0</v>
      </c>
      <c r="O1530" s="18">
        <v>0.0</v>
      </c>
      <c r="P1530" s="92">
        <v>0.0</v>
      </c>
      <c r="Q1530" s="137">
        <v>0.0</v>
      </c>
      <c r="R1530" s="17">
        <v>0.0</v>
      </c>
      <c r="S1530" s="18">
        <v>0.0</v>
      </c>
      <c r="T1530" s="18">
        <v>0.0</v>
      </c>
      <c r="U1530" s="151">
        <v>0.0</v>
      </c>
      <c r="V1530" s="92" t="s">
        <v>183</v>
      </c>
      <c r="W1530" s="18" t="s">
        <v>62</v>
      </c>
      <c r="X1530" s="42" t="s">
        <v>52</v>
      </c>
      <c r="Y1530" s="159" t="s">
        <v>4665</v>
      </c>
      <c r="Z1530" s="18" t="s">
        <v>4682</v>
      </c>
      <c r="AA1530" s="92">
        <v>85.0</v>
      </c>
      <c r="AB1530" s="18">
        <v>0.0</v>
      </c>
      <c r="AC1530" s="18">
        <v>85.0</v>
      </c>
      <c r="AD1530" s="172">
        <v>1238877.0</v>
      </c>
      <c r="AE1530" s="14">
        <v>0.0</v>
      </c>
      <c r="AF1530" s="14">
        <v>1238877.0</v>
      </c>
      <c r="AG1530" s="22"/>
      <c r="AH1530" s="22"/>
      <c r="AI1530" s="22"/>
      <c r="AJ1530" s="22"/>
      <c r="AK1530" s="22"/>
      <c r="AL1530" s="22"/>
      <c r="AM1530" s="22"/>
      <c r="AN1530" s="22"/>
      <c r="AO1530" s="22"/>
      <c r="AP1530" s="22"/>
    </row>
    <row r="1531" hidden="1">
      <c r="A1531" s="148">
        <v>46163.0</v>
      </c>
      <c r="B1531" s="149">
        <v>0.4583333333333333</v>
      </c>
      <c r="C1531" s="11" t="s">
        <v>58</v>
      </c>
      <c r="D1531" s="102" t="s">
        <v>3083</v>
      </c>
      <c r="E1531" s="10" t="s">
        <v>71</v>
      </c>
      <c r="F1531" s="10" t="s">
        <v>4683</v>
      </c>
      <c r="G1531" s="11" t="s">
        <v>4684</v>
      </c>
      <c r="H1531" s="11" t="s">
        <v>4643</v>
      </c>
      <c r="I1531" s="10" t="s">
        <v>61</v>
      </c>
      <c r="J1531" s="14">
        <v>2396.0</v>
      </c>
      <c r="K1531" s="14">
        <v>1577.0</v>
      </c>
      <c r="L1531" s="17">
        <v>0.6582</v>
      </c>
      <c r="M1531" s="150">
        <v>0.0</v>
      </c>
      <c r="N1531" s="136">
        <v>0.0</v>
      </c>
      <c r="O1531" s="18">
        <v>9.0</v>
      </c>
      <c r="P1531" s="92">
        <v>0.0</v>
      </c>
      <c r="Q1531" s="137">
        <v>0.0057</v>
      </c>
      <c r="R1531" s="17">
        <v>0.0</v>
      </c>
      <c r="S1531" s="18">
        <v>2.0</v>
      </c>
      <c r="T1531" s="18">
        <v>24.0</v>
      </c>
      <c r="U1531" s="151">
        <v>3776.0</v>
      </c>
      <c r="V1531" s="92" t="s">
        <v>335</v>
      </c>
      <c r="W1531" s="18" t="s">
        <v>62</v>
      </c>
      <c r="X1531" s="42" t="s">
        <v>4645</v>
      </c>
      <c r="Y1531" s="159">
        <v>46163.0</v>
      </c>
      <c r="Z1531" s="18" t="s">
        <v>4685</v>
      </c>
      <c r="AA1531" s="92">
        <v>4.0</v>
      </c>
      <c r="AB1531" s="18">
        <v>4.0</v>
      </c>
      <c r="AC1531" s="18"/>
      <c r="AD1531" s="172">
        <v>12915.0</v>
      </c>
      <c r="AE1531" s="14">
        <v>12915.0</v>
      </c>
      <c r="AF1531" s="14"/>
      <c r="AG1531" s="22"/>
      <c r="AH1531" s="22"/>
      <c r="AI1531" s="22"/>
      <c r="AJ1531" s="22"/>
      <c r="AK1531" s="22"/>
      <c r="AL1531" s="22"/>
      <c r="AM1531" s="22"/>
      <c r="AN1531" s="22"/>
      <c r="AO1531" s="22"/>
      <c r="AP1531" s="22"/>
    </row>
    <row r="1532" hidden="1">
      <c r="A1532" s="148">
        <v>46163.0</v>
      </c>
      <c r="B1532" s="149">
        <v>0.4583333333333333</v>
      </c>
      <c r="C1532" s="11" t="s">
        <v>58</v>
      </c>
      <c r="D1532" s="102" t="s">
        <v>3083</v>
      </c>
      <c r="E1532" s="10" t="s">
        <v>71</v>
      </c>
      <c r="F1532" s="10" t="s">
        <v>4683</v>
      </c>
      <c r="G1532" s="11" t="s">
        <v>4686</v>
      </c>
      <c r="H1532" s="11" t="s">
        <v>4649</v>
      </c>
      <c r="I1532" s="10" t="s">
        <v>61</v>
      </c>
      <c r="J1532" s="14">
        <v>24737.0</v>
      </c>
      <c r="K1532" s="14">
        <v>13400.0</v>
      </c>
      <c r="L1532" s="17">
        <v>0.5417</v>
      </c>
      <c r="M1532" s="150">
        <v>0.0</v>
      </c>
      <c r="N1532" s="136">
        <v>0.0</v>
      </c>
      <c r="O1532" s="18">
        <v>48.0</v>
      </c>
      <c r="P1532" s="92">
        <v>0.0</v>
      </c>
      <c r="Q1532" s="137">
        <v>0.0036</v>
      </c>
      <c r="R1532" s="17">
        <v>0.0</v>
      </c>
      <c r="S1532" s="18">
        <v>6.0</v>
      </c>
      <c r="T1532" s="18">
        <v>20.0</v>
      </c>
      <c r="U1532" s="151">
        <v>19788.0</v>
      </c>
      <c r="V1532" s="92" t="s">
        <v>335</v>
      </c>
      <c r="W1532" s="18" t="s">
        <v>62</v>
      </c>
      <c r="X1532" s="42" t="s">
        <v>82</v>
      </c>
      <c r="Y1532" s="159">
        <v>46163.0</v>
      </c>
      <c r="Z1532" s="18" t="s">
        <v>4687</v>
      </c>
      <c r="AA1532" s="92">
        <v>50.0</v>
      </c>
      <c r="AB1532" s="18">
        <v>50.0</v>
      </c>
      <c r="AC1532" s="18"/>
      <c r="AD1532" s="172">
        <v>155472.0</v>
      </c>
      <c r="AE1532" s="14">
        <v>155472.0</v>
      </c>
      <c r="AF1532" s="14"/>
      <c r="AG1532" s="22"/>
      <c r="AH1532" s="22"/>
      <c r="AI1532" s="22"/>
      <c r="AJ1532" s="22"/>
      <c r="AK1532" s="22"/>
      <c r="AL1532" s="22"/>
      <c r="AM1532" s="22"/>
      <c r="AN1532" s="22"/>
      <c r="AO1532" s="22"/>
      <c r="AP1532" s="22"/>
    </row>
    <row r="1533" hidden="1">
      <c r="A1533" s="148">
        <v>46163.0</v>
      </c>
      <c r="B1533" s="149">
        <v>0.4583333333333333</v>
      </c>
      <c r="C1533" s="11" t="s">
        <v>58</v>
      </c>
      <c r="D1533" s="102" t="s">
        <v>3083</v>
      </c>
      <c r="E1533" s="10" t="s">
        <v>71</v>
      </c>
      <c r="F1533" s="10" t="s">
        <v>4683</v>
      </c>
      <c r="G1533" s="11" t="s">
        <v>4688</v>
      </c>
      <c r="H1533" s="11" t="s">
        <v>2597</v>
      </c>
      <c r="I1533" s="10" t="s">
        <v>61</v>
      </c>
      <c r="J1533" s="14">
        <v>4614.0</v>
      </c>
      <c r="K1533" s="14">
        <v>2550.0</v>
      </c>
      <c r="L1533" s="17">
        <v>0.5527</v>
      </c>
      <c r="M1533" s="150">
        <v>0.0</v>
      </c>
      <c r="N1533" s="136">
        <v>0.0</v>
      </c>
      <c r="O1533" s="18">
        <v>8.0</v>
      </c>
      <c r="P1533" s="92">
        <v>0.0</v>
      </c>
      <c r="Q1533" s="137">
        <v>0.0031</v>
      </c>
      <c r="R1533" s="17">
        <v>0.0</v>
      </c>
      <c r="S1533" s="18">
        <v>0.0</v>
      </c>
      <c r="T1533" s="18">
        <v>6.0</v>
      </c>
      <c r="U1533" s="151">
        <v>0.0</v>
      </c>
      <c r="V1533" s="92" t="s">
        <v>335</v>
      </c>
      <c r="W1533" s="18" t="s">
        <v>62</v>
      </c>
      <c r="X1533" s="42" t="s">
        <v>52</v>
      </c>
      <c r="Y1533" s="159">
        <v>46163.0</v>
      </c>
      <c r="Z1533" s="18" t="s">
        <v>4689</v>
      </c>
      <c r="AA1533" s="92">
        <v>5.0</v>
      </c>
      <c r="AB1533" s="18">
        <v>5.0</v>
      </c>
      <c r="AC1533" s="18"/>
      <c r="AD1533" s="172">
        <v>10089.0</v>
      </c>
      <c r="AE1533" s="14">
        <v>10089.0</v>
      </c>
      <c r="AF1533" s="14"/>
      <c r="AG1533" s="22"/>
      <c r="AH1533" s="22"/>
      <c r="AI1533" s="22"/>
      <c r="AJ1533" s="22"/>
      <c r="AK1533" s="22"/>
      <c r="AL1533" s="22"/>
      <c r="AM1533" s="22"/>
      <c r="AN1533" s="22"/>
      <c r="AO1533" s="22"/>
      <c r="AP1533" s="22"/>
    </row>
    <row r="1534" hidden="1">
      <c r="A1534" s="148">
        <v>46163.0</v>
      </c>
      <c r="B1534" s="149">
        <v>0.4583333333333333</v>
      </c>
      <c r="C1534" s="11" t="s">
        <v>58</v>
      </c>
      <c r="D1534" s="102" t="s">
        <v>3083</v>
      </c>
      <c r="E1534" s="10" t="s">
        <v>71</v>
      </c>
      <c r="F1534" s="10" t="s">
        <v>4683</v>
      </c>
      <c r="G1534" s="11" t="s">
        <v>4690</v>
      </c>
      <c r="H1534" s="11" t="s">
        <v>4656</v>
      </c>
      <c r="I1534" s="10" t="s">
        <v>61</v>
      </c>
      <c r="J1534" s="14">
        <v>3191.0</v>
      </c>
      <c r="K1534" s="14">
        <v>2024.0</v>
      </c>
      <c r="L1534" s="17">
        <v>0.6343</v>
      </c>
      <c r="M1534" s="150">
        <v>0.0</v>
      </c>
      <c r="N1534" s="136">
        <v>0.0</v>
      </c>
      <c r="O1534" s="18">
        <v>6.0</v>
      </c>
      <c r="P1534" s="92">
        <v>0.0</v>
      </c>
      <c r="Q1534" s="137">
        <v>0.003</v>
      </c>
      <c r="R1534" s="17">
        <v>0.0</v>
      </c>
      <c r="S1534" s="18">
        <v>0.0</v>
      </c>
      <c r="T1534" s="18">
        <v>2.0</v>
      </c>
      <c r="U1534" s="151">
        <v>0.0</v>
      </c>
      <c r="V1534" s="92" t="s">
        <v>335</v>
      </c>
      <c r="W1534" s="18" t="s">
        <v>62</v>
      </c>
      <c r="X1534" s="42" t="s">
        <v>2594</v>
      </c>
      <c r="Y1534" s="159">
        <v>46163.0</v>
      </c>
      <c r="Z1534" s="18" t="s">
        <v>4691</v>
      </c>
      <c r="AA1534" s="92">
        <v>0.0</v>
      </c>
      <c r="AB1534" s="18">
        <v>0.0</v>
      </c>
      <c r="AC1534" s="18"/>
      <c r="AD1534" s="172">
        <v>0.0</v>
      </c>
      <c r="AE1534" s="14">
        <v>0.0</v>
      </c>
      <c r="AF1534" s="14"/>
      <c r="AG1534" s="22"/>
      <c r="AH1534" s="22"/>
      <c r="AI1534" s="22"/>
      <c r="AJ1534" s="22"/>
      <c r="AK1534" s="22"/>
      <c r="AL1534" s="22"/>
      <c r="AM1534" s="22"/>
      <c r="AN1534" s="22"/>
      <c r="AO1534" s="22"/>
      <c r="AP1534" s="22"/>
    </row>
    <row r="1535" hidden="1">
      <c r="A1535" s="148">
        <v>46163.0</v>
      </c>
      <c r="B1535" s="149">
        <v>0.8125</v>
      </c>
      <c r="C1535" s="11" t="s">
        <v>58</v>
      </c>
      <c r="D1535" s="102" t="s">
        <v>3083</v>
      </c>
      <c r="E1535" s="10" t="s">
        <v>71</v>
      </c>
      <c r="F1535" s="10" t="s">
        <v>4692</v>
      </c>
      <c r="G1535" s="11" t="s">
        <v>4693</v>
      </c>
      <c r="H1535" s="11" t="s">
        <v>4694</v>
      </c>
      <c r="I1535" s="10" t="s">
        <v>61</v>
      </c>
      <c r="J1535" s="14">
        <v>2778.0</v>
      </c>
      <c r="K1535" s="14">
        <v>1708.0</v>
      </c>
      <c r="L1535" s="17">
        <v>0.6148</v>
      </c>
      <c r="M1535" s="150">
        <v>0.0</v>
      </c>
      <c r="N1535" s="136">
        <v>0.0</v>
      </c>
      <c r="O1535" s="18">
        <v>7.0</v>
      </c>
      <c r="P1535" s="92">
        <v>0.0</v>
      </c>
      <c r="Q1535" s="137">
        <v>0.0041</v>
      </c>
      <c r="R1535" s="17">
        <v>0.0</v>
      </c>
      <c r="S1535" s="18">
        <v>12.0</v>
      </c>
      <c r="T1535" s="18">
        <v>22.0</v>
      </c>
      <c r="U1535" s="151">
        <v>14564.0</v>
      </c>
      <c r="V1535" s="92" t="s">
        <v>335</v>
      </c>
      <c r="W1535" s="18" t="s">
        <v>62</v>
      </c>
      <c r="X1535" s="42" t="s">
        <v>4645</v>
      </c>
      <c r="Y1535" s="159">
        <v>46163.0</v>
      </c>
      <c r="Z1535" s="18" t="s">
        <v>4695</v>
      </c>
      <c r="AA1535" s="92">
        <v>12.0</v>
      </c>
      <c r="AB1535" s="18">
        <v>12.0</v>
      </c>
      <c r="AC1535" s="18"/>
      <c r="AD1535" s="172">
        <v>19388.0</v>
      </c>
      <c r="AE1535" s="14">
        <v>19388.0</v>
      </c>
      <c r="AF1535" s="14"/>
      <c r="AG1535" s="22"/>
      <c r="AH1535" s="22"/>
      <c r="AI1535" s="22"/>
      <c r="AJ1535" s="22"/>
      <c r="AK1535" s="22"/>
      <c r="AL1535" s="22"/>
      <c r="AM1535" s="22"/>
      <c r="AN1535" s="22"/>
      <c r="AO1535" s="22"/>
      <c r="AP1535" s="22"/>
    </row>
    <row r="1536" hidden="1">
      <c r="A1536" s="148">
        <v>46163.0</v>
      </c>
      <c r="B1536" s="149">
        <v>0.8125</v>
      </c>
      <c r="C1536" s="11" t="s">
        <v>58</v>
      </c>
      <c r="D1536" s="102" t="s">
        <v>3083</v>
      </c>
      <c r="E1536" s="10" t="s">
        <v>71</v>
      </c>
      <c r="F1536" s="10" t="s">
        <v>4692</v>
      </c>
      <c r="G1536" s="11" t="s">
        <v>4696</v>
      </c>
      <c r="H1536" s="11" t="s">
        <v>4697</v>
      </c>
      <c r="I1536" s="10" t="s">
        <v>61</v>
      </c>
      <c r="J1536" s="14">
        <v>13068.0</v>
      </c>
      <c r="K1536" s="14">
        <v>7019.0</v>
      </c>
      <c r="L1536" s="17">
        <v>0.5371</v>
      </c>
      <c r="M1536" s="150">
        <v>0.0</v>
      </c>
      <c r="N1536" s="136">
        <v>0.0</v>
      </c>
      <c r="O1536" s="18">
        <v>28.0</v>
      </c>
      <c r="P1536" s="92">
        <v>0.0</v>
      </c>
      <c r="Q1536" s="137">
        <v>0.004</v>
      </c>
      <c r="R1536" s="17">
        <v>0.0</v>
      </c>
      <c r="S1536" s="18">
        <v>1.0</v>
      </c>
      <c r="T1536" s="18">
        <v>2.0</v>
      </c>
      <c r="U1536" s="151">
        <v>3724.0</v>
      </c>
      <c r="V1536" s="92" t="s">
        <v>335</v>
      </c>
      <c r="W1536" s="18" t="s">
        <v>62</v>
      </c>
      <c r="X1536" s="42" t="s">
        <v>47</v>
      </c>
      <c r="Y1536" s="159">
        <v>46163.0</v>
      </c>
      <c r="Z1536" s="18" t="s">
        <v>4698</v>
      </c>
      <c r="AA1536" s="92">
        <v>25.0</v>
      </c>
      <c r="AB1536" s="18">
        <v>25.0</v>
      </c>
      <c r="AC1536" s="18"/>
      <c r="AD1536" s="172">
        <v>65859.0</v>
      </c>
      <c r="AE1536" s="14">
        <v>65859.0</v>
      </c>
      <c r="AF1536" s="14"/>
      <c r="AG1536" s="22"/>
      <c r="AH1536" s="22"/>
      <c r="AI1536" s="22"/>
      <c r="AJ1536" s="22"/>
      <c r="AK1536" s="22"/>
      <c r="AL1536" s="22"/>
      <c r="AM1536" s="22"/>
      <c r="AN1536" s="22"/>
      <c r="AO1536" s="22"/>
      <c r="AP1536" s="22"/>
    </row>
    <row r="1537" hidden="1">
      <c r="A1537" s="148">
        <v>46163.0</v>
      </c>
      <c r="B1537" s="149">
        <v>0.8125</v>
      </c>
      <c r="C1537" s="11" t="s">
        <v>58</v>
      </c>
      <c r="D1537" s="102" t="s">
        <v>3083</v>
      </c>
      <c r="E1537" s="10" t="s">
        <v>71</v>
      </c>
      <c r="F1537" s="10" t="s">
        <v>4692</v>
      </c>
      <c r="G1537" s="11" t="s">
        <v>4699</v>
      </c>
      <c r="H1537" s="11" t="s">
        <v>4700</v>
      </c>
      <c r="I1537" s="10" t="s">
        <v>61</v>
      </c>
      <c r="J1537" s="14">
        <v>10927.0</v>
      </c>
      <c r="K1537" s="14">
        <v>5239.0</v>
      </c>
      <c r="L1537" s="17">
        <v>0.4795</v>
      </c>
      <c r="M1537" s="150">
        <v>0.0</v>
      </c>
      <c r="N1537" s="136">
        <v>0.0</v>
      </c>
      <c r="O1537" s="18">
        <v>19.0</v>
      </c>
      <c r="P1537" s="92">
        <v>0.0</v>
      </c>
      <c r="Q1537" s="137">
        <v>0.0036</v>
      </c>
      <c r="R1537" s="17">
        <v>0.0</v>
      </c>
      <c r="S1537" s="18">
        <v>1.0</v>
      </c>
      <c r="T1537" s="18">
        <v>1.0</v>
      </c>
      <c r="U1537" s="151">
        <v>4498.0</v>
      </c>
      <c r="V1537" s="92" t="s">
        <v>335</v>
      </c>
      <c r="W1537" s="18" t="s">
        <v>62</v>
      </c>
      <c r="X1537" s="42" t="s">
        <v>2594</v>
      </c>
      <c r="Y1537" s="159">
        <v>46163.0</v>
      </c>
      <c r="Z1537" s="18" t="s">
        <v>4701</v>
      </c>
      <c r="AA1537" s="92">
        <v>15.0</v>
      </c>
      <c r="AB1537" s="18">
        <v>15.0</v>
      </c>
      <c r="AC1537" s="18"/>
      <c r="AD1537" s="172">
        <v>65621.0</v>
      </c>
      <c r="AE1537" s="14">
        <v>65621.0</v>
      </c>
      <c r="AF1537" s="14"/>
      <c r="AG1537" s="22"/>
      <c r="AH1537" s="22"/>
      <c r="AI1537" s="22"/>
      <c r="AJ1537" s="22"/>
      <c r="AK1537" s="22"/>
      <c r="AL1537" s="22"/>
      <c r="AM1537" s="22"/>
      <c r="AN1537" s="22"/>
      <c r="AO1537" s="22"/>
      <c r="AP1537" s="22"/>
    </row>
    <row r="1538" hidden="1">
      <c r="A1538" s="148">
        <v>46163.0</v>
      </c>
      <c r="B1538" s="149">
        <v>0.8125</v>
      </c>
      <c r="C1538" s="11" t="s">
        <v>58</v>
      </c>
      <c r="D1538" s="102" t="s">
        <v>3083</v>
      </c>
      <c r="E1538" s="10" t="s">
        <v>71</v>
      </c>
      <c r="F1538" s="10" t="s">
        <v>4692</v>
      </c>
      <c r="G1538" s="11" t="s">
        <v>4702</v>
      </c>
      <c r="H1538" s="11" t="s">
        <v>4703</v>
      </c>
      <c r="I1538" s="10" t="s">
        <v>61</v>
      </c>
      <c r="J1538" s="14">
        <v>53487.0</v>
      </c>
      <c r="K1538" s="14">
        <v>31842.0</v>
      </c>
      <c r="L1538" s="17">
        <v>0.5953</v>
      </c>
      <c r="M1538" s="150">
        <v>0.0</v>
      </c>
      <c r="N1538" s="136">
        <v>0.0</v>
      </c>
      <c r="O1538" s="18">
        <v>74.0</v>
      </c>
      <c r="P1538" s="92">
        <v>0.0</v>
      </c>
      <c r="Q1538" s="137">
        <v>0.0023</v>
      </c>
      <c r="R1538" s="17">
        <v>0.0</v>
      </c>
      <c r="S1538" s="18">
        <v>1.0</v>
      </c>
      <c r="T1538" s="18">
        <v>2.0</v>
      </c>
      <c r="U1538" s="151">
        <v>899.0</v>
      </c>
      <c r="V1538" s="92" t="s">
        <v>335</v>
      </c>
      <c r="W1538" s="18" t="s">
        <v>62</v>
      </c>
      <c r="X1538" s="42" t="s">
        <v>41</v>
      </c>
      <c r="Y1538" s="159">
        <v>46163.0</v>
      </c>
      <c r="Z1538" s="18" t="s">
        <v>4704</v>
      </c>
      <c r="AA1538" s="92">
        <v>27.0</v>
      </c>
      <c r="AB1538" s="18">
        <v>27.0</v>
      </c>
      <c r="AC1538" s="18"/>
      <c r="AD1538" s="172">
        <v>72894.0</v>
      </c>
      <c r="AE1538" s="14">
        <v>72894.0</v>
      </c>
      <c r="AF1538" s="14"/>
      <c r="AG1538" s="22"/>
      <c r="AH1538" s="22"/>
      <c r="AI1538" s="22"/>
      <c r="AJ1538" s="22"/>
      <c r="AK1538" s="22"/>
      <c r="AL1538" s="22"/>
      <c r="AM1538" s="22"/>
      <c r="AN1538" s="22"/>
      <c r="AO1538" s="22"/>
      <c r="AP1538" s="22"/>
    </row>
    <row r="1539" hidden="1">
      <c r="A1539" s="148">
        <v>46163.0</v>
      </c>
      <c r="B1539" s="149">
        <v>0.7708333333333334</v>
      </c>
      <c r="C1539" s="11" t="s">
        <v>32</v>
      </c>
      <c r="D1539" s="102" t="s">
        <v>33</v>
      </c>
      <c r="E1539" s="10" t="s">
        <v>71</v>
      </c>
      <c r="F1539" s="10" t="s">
        <v>4692</v>
      </c>
      <c r="G1539" s="11" t="s">
        <v>4705</v>
      </c>
      <c r="H1539" s="11" t="s">
        <v>4694</v>
      </c>
      <c r="I1539" s="10" t="s">
        <v>4706</v>
      </c>
      <c r="J1539" s="14">
        <v>4755.0</v>
      </c>
      <c r="K1539" s="14">
        <v>1890.0</v>
      </c>
      <c r="L1539" s="17">
        <v>0.3975</v>
      </c>
      <c r="M1539" s="150">
        <v>911.0</v>
      </c>
      <c r="N1539" s="136">
        <v>0.482</v>
      </c>
      <c r="O1539" s="18">
        <v>223.0</v>
      </c>
      <c r="P1539" s="92">
        <v>208.0</v>
      </c>
      <c r="Q1539" s="137">
        <v>0.1101</v>
      </c>
      <c r="R1539" s="17">
        <v>0.2283</v>
      </c>
      <c r="S1539" s="18">
        <v>24.0</v>
      </c>
      <c r="T1539" s="18">
        <v>91.0</v>
      </c>
      <c r="U1539" s="151">
        <v>72396.0</v>
      </c>
      <c r="V1539" s="92" t="s">
        <v>335</v>
      </c>
      <c r="W1539" s="18" t="s">
        <v>76</v>
      </c>
      <c r="X1539" s="42" t="s">
        <v>4645</v>
      </c>
      <c r="Y1539" s="159" t="s">
        <v>4707</v>
      </c>
      <c r="Z1539" s="18" t="s">
        <v>4708</v>
      </c>
      <c r="AA1539" s="92">
        <v>29.0</v>
      </c>
      <c r="AB1539" s="18">
        <v>29.0</v>
      </c>
      <c r="AC1539" s="18"/>
      <c r="AD1539" s="172">
        <v>86441.0</v>
      </c>
      <c r="AE1539" s="14">
        <v>86441.0</v>
      </c>
      <c r="AF1539" s="14"/>
      <c r="AG1539" s="22"/>
      <c r="AH1539" s="22"/>
      <c r="AI1539" s="22"/>
      <c r="AJ1539" s="22"/>
      <c r="AK1539" s="22"/>
      <c r="AL1539" s="22"/>
      <c r="AM1539" s="22"/>
      <c r="AN1539" s="22"/>
      <c r="AO1539" s="22"/>
      <c r="AP1539" s="22"/>
    </row>
    <row r="1540" hidden="1">
      <c r="A1540" s="148">
        <v>46163.0</v>
      </c>
      <c r="B1540" s="149">
        <v>0.7708333333333334</v>
      </c>
      <c r="C1540" s="11" t="s">
        <v>32</v>
      </c>
      <c r="D1540" s="102" t="s">
        <v>33</v>
      </c>
      <c r="E1540" s="10" t="s">
        <v>71</v>
      </c>
      <c r="F1540" s="10" t="s">
        <v>4692</v>
      </c>
      <c r="G1540" s="11" t="s">
        <v>4709</v>
      </c>
      <c r="H1540" s="11" t="s">
        <v>4697</v>
      </c>
      <c r="I1540" s="10" t="s">
        <v>4710</v>
      </c>
      <c r="J1540" s="14">
        <v>21764.0</v>
      </c>
      <c r="K1540" s="14">
        <v>7633.0</v>
      </c>
      <c r="L1540" s="17">
        <v>0.3507</v>
      </c>
      <c r="M1540" s="150">
        <v>3391.0</v>
      </c>
      <c r="N1540" s="136">
        <v>0.4443</v>
      </c>
      <c r="O1540" s="18">
        <v>538.0</v>
      </c>
      <c r="P1540" s="92">
        <v>516.0</v>
      </c>
      <c r="Q1540" s="137">
        <v>0.0676</v>
      </c>
      <c r="R1540" s="17">
        <v>0.1522</v>
      </c>
      <c r="S1540" s="18">
        <v>3.0</v>
      </c>
      <c r="T1540" s="18">
        <v>17.0</v>
      </c>
      <c r="U1540" s="151">
        <v>9601.0</v>
      </c>
      <c r="V1540" s="92" t="s">
        <v>335</v>
      </c>
      <c r="W1540" s="18" t="s">
        <v>76</v>
      </c>
      <c r="X1540" s="42" t="s">
        <v>47</v>
      </c>
      <c r="Y1540" s="159" t="s">
        <v>4707</v>
      </c>
      <c r="Z1540" s="18" t="s">
        <v>4711</v>
      </c>
      <c r="AA1540" s="92">
        <v>45.0</v>
      </c>
      <c r="AB1540" s="18">
        <v>45.0</v>
      </c>
      <c r="AC1540" s="18"/>
      <c r="AD1540" s="172">
        <v>164994.0</v>
      </c>
      <c r="AE1540" s="14">
        <v>164994.0</v>
      </c>
      <c r="AF1540" s="14"/>
      <c r="AG1540" s="22"/>
      <c r="AH1540" s="22"/>
      <c r="AI1540" s="22"/>
      <c r="AJ1540" s="22"/>
      <c r="AK1540" s="22"/>
      <c r="AL1540" s="22"/>
      <c r="AM1540" s="22"/>
      <c r="AN1540" s="22"/>
      <c r="AO1540" s="22"/>
      <c r="AP1540" s="22"/>
    </row>
    <row r="1541" hidden="1">
      <c r="A1541" s="148">
        <v>46163.0</v>
      </c>
      <c r="B1541" s="149">
        <v>0.7708333333333334</v>
      </c>
      <c r="C1541" s="11" t="s">
        <v>32</v>
      </c>
      <c r="D1541" s="102" t="s">
        <v>33</v>
      </c>
      <c r="E1541" s="10" t="s">
        <v>71</v>
      </c>
      <c r="F1541" s="10" t="s">
        <v>4692</v>
      </c>
      <c r="G1541" s="11" t="s">
        <v>4712</v>
      </c>
      <c r="H1541" s="11" t="s">
        <v>4700</v>
      </c>
      <c r="I1541" s="10" t="s">
        <v>4713</v>
      </c>
      <c r="J1541" s="14">
        <v>15610.0</v>
      </c>
      <c r="K1541" s="14">
        <v>4041.0</v>
      </c>
      <c r="L1541" s="17">
        <v>0.2589</v>
      </c>
      <c r="M1541" s="150">
        <v>1789.0</v>
      </c>
      <c r="N1541" s="136">
        <v>0.4425</v>
      </c>
      <c r="O1541" s="18">
        <v>227.0</v>
      </c>
      <c r="P1541" s="92">
        <v>213.0</v>
      </c>
      <c r="Q1541" s="137">
        <v>0.0527</v>
      </c>
      <c r="R1541" s="17">
        <v>0.1191</v>
      </c>
      <c r="S1541" s="18">
        <v>1.0</v>
      </c>
      <c r="T1541" s="18">
        <v>3.0</v>
      </c>
      <c r="U1541" s="151">
        <v>4048.0</v>
      </c>
      <c r="V1541" s="92" t="s">
        <v>335</v>
      </c>
      <c r="W1541" s="18" t="s">
        <v>76</v>
      </c>
      <c r="X1541" s="42" t="s">
        <v>2594</v>
      </c>
      <c r="Y1541" s="159" t="s">
        <v>4707</v>
      </c>
      <c r="Z1541" s="18" t="s">
        <v>4714</v>
      </c>
      <c r="AA1541" s="92">
        <v>16.0</v>
      </c>
      <c r="AB1541" s="18">
        <v>16.0</v>
      </c>
      <c r="AC1541" s="18"/>
      <c r="AD1541" s="172">
        <v>97530.0</v>
      </c>
      <c r="AE1541" s="14">
        <v>97530.0</v>
      </c>
      <c r="AF1541" s="14"/>
      <c r="AG1541" s="22"/>
      <c r="AH1541" s="22"/>
      <c r="AI1541" s="22"/>
      <c r="AJ1541" s="22"/>
      <c r="AK1541" s="22"/>
      <c r="AL1541" s="22"/>
      <c r="AM1541" s="22"/>
      <c r="AN1541" s="22"/>
      <c r="AO1541" s="22"/>
      <c r="AP1541" s="22"/>
    </row>
    <row r="1542" hidden="1">
      <c r="A1542" s="148">
        <v>46163.0</v>
      </c>
      <c r="B1542" s="149">
        <v>0.7708333333333334</v>
      </c>
      <c r="C1542" s="11" t="s">
        <v>32</v>
      </c>
      <c r="D1542" s="102" t="s">
        <v>33</v>
      </c>
      <c r="E1542" s="10" t="s">
        <v>71</v>
      </c>
      <c r="F1542" s="10" t="s">
        <v>4692</v>
      </c>
      <c r="G1542" s="11" t="s">
        <v>4715</v>
      </c>
      <c r="H1542" s="11" t="s">
        <v>4703</v>
      </c>
      <c r="I1542" s="10" t="s">
        <v>4716</v>
      </c>
      <c r="J1542" s="14">
        <v>82457.0</v>
      </c>
      <c r="K1542" s="14">
        <v>26575.0</v>
      </c>
      <c r="L1542" s="17">
        <v>0.3223</v>
      </c>
      <c r="M1542" s="150">
        <v>11119.0</v>
      </c>
      <c r="N1542" s="136">
        <v>0.4183</v>
      </c>
      <c r="O1542" s="18">
        <v>1252.0</v>
      </c>
      <c r="P1542" s="92">
        <v>1204.0</v>
      </c>
      <c r="Q1542" s="137">
        <v>0.0453</v>
      </c>
      <c r="R1542" s="17">
        <v>0.1083</v>
      </c>
      <c r="S1542" s="18">
        <v>8.0</v>
      </c>
      <c r="T1542" s="18">
        <v>28.0</v>
      </c>
      <c r="U1542" s="151">
        <v>24278.0</v>
      </c>
      <c r="V1542" s="92" t="s">
        <v>335</v>
      </c>
      <c r="W1542" s="18" t="s">
        <v>76</v>
      </c>
      <c r="X1542" s="42" t="s">
        <v>41</v>
      </c>
      <c r="Y1542" s="159" t="s">
        <v>4707</v>
      </c>
      <c r="Z1542" s="18" t="s">
        <v>4717</v>
      </c>
      <c r="AA1542" s="92">
        <v>57.0</v>
      </c>
      <c r="AB1542" s="18">
        <v>57.0</v>
      </c>
      <c r="AC1542" s="18"/>
      <c r="AD1542" s="172">
        <v>180479.0</v>
      </c>
      <c r="AE1542" s="14">
        <v>180479.0</v>
      </c>
      <c r="AF1542" s="14"/>
      <c r="AG1542" s="22"/>
      <c r="AH1542" s="22"/>
      <c r="AI1542" s="22"/>
      <c r="AJ1542" s="22"/>
      <c r="AK1542" s="22"/>
      <c r="AL1542" s="22"/>
      <c r="AM1542" s="22"/>
      <c r="AN1542" s="22"/>
      <c r="AO1542" s="22"/>
      <c r="AP1542" s="22"/>
    </row>
    <row r="1543" hidden="1">
      <c r="A1543" s="148">
        <v>46164.0</v>
      </c>
      <c r="B1543" s="149">
        <v>0.6666666666666666</v>
      </c>
      <c r="C1543" s="11" t="s">
        <v>32</v>
      </c>
      <c r="D1543" s="10" t="s">
        <v>33</v>
      </c>
      <c r="E1543" s="10" t="s">
        <v>217</v>
      </c>
      <c r="F1543" s="10" t="s">
        <v>4718</v>
      </c>
      <c r="G1543" s="11" t="s">
        <v>4719</v>
      </c>
      <c r="H1543" s="11" t="s">
        <v>4720</v>
      </c>
      <c r="I1543" s="10" t="s">
        <v>4721</v>
      </c>
      <c r="J1543" s="14">
        <v>488685.0</v>
      </c>
      <c r="K1543" s="14">
        <v>311210.0</v>
      </c>
      <c r="L1543" s="17">
        <v>0.6368</v>
      </c>
      <c r="M1543" s="150">
        <v>170412.0</v>
      </c>
      <c r="N1543" s="165">
        <v>0.5476</v>
      </c>
      <c r="O1543" s="18">
        <v>7828.0</v>
      </c>
      <c r="P1543" s="92">
        <v>7551.0</v>
      </c>
      <c r="Q1543" s="166">
        <v>0.0243</v>
      </c>
      <c r="R1543" s="17">
        <v>0.0443</v>
      </c>
      <c r="S1543" s="18">
        <v>0.0</v>
      </c>
      <c r="T1543" s="18">
        <v>0.0</v>
      </c>
      <c r="U1543" s="151">
        <v>0.0</v>
      </c>
      <c r="V1543" s="92" t="s">
        <v>315</v>
      </c>
      <c r="W1543" s="18" t="s">
        <v>4617</v>
      </c>
      <c r="X1543" s="92" t="s">
        <v>4436</v>
      </c>
      <c r="Y1543" s="159" t="s">
        <v>4722</v>
      </c>
      <c r="Z1543" s="18" t="s">
        <v>4723</v>
      </c>
      <c r="AA1543" s="92">
        <v>2611.0</v>
      </c>
      <c r="AB1543" s="18"/>
      <c r="AC1543" s="18">
        <v>2611.0</v>
      </c>
      <c r="AD1543" s="14">
        <v>5655674.0</v>
      </c>
      <c r="AE1543" s="14"/>
      <c r="AF1543" s="14">
        <v>5655674.0</v>
      </c>
      <c r="AG1543" s="22"/>
      <c r="AH1543" s="22"/>
      <c r="AI1543" s="22"/>
      <c r="AJ1543" s="22"/>
      <c r="AK1543" s="22"/>
      <c r="AL1543" s="22"/>
      <c r="AM1543" s="22"/>
      <c r="AN1543" s="22"/>
      <c r="AO1543" s="22"/>
      <c r="AP1543" s="22"/>
    </row>
    <row r="1544" hidden="1">
      <c r="A1544" s="148">
        <v>46164.0</v>
      </c>
      <c r="B1544" s="149">
        <v>0.5</v>
      </c>
      <c r="C1544" s="11" t="s">
        <v>58</v>
      </c>
      <c r="D1544" s="102" t="s">
        <v>3083</v>
      </c>
      <c r="E1544" s="10" t="s">
        <v>71</v>
      </c>
      <c r="F1544" s="10" t="s">
        <v>4692</v>
      </c>
      <c r="G1544" s="11" t="s">
        <v>4724</v>
      </c>
      <c r="H1544" s="11" t="s">
        <v>4725</v>
      </c>
      <c r="I1544" s="10" t="s">
        <v>61</v>
      </c>
      <c r="J1544" s="14">
        <v>14389.0</v>
      </c>
      <c r="K1544" s="14">
        <v>8099.0</v>
      </c>
      <c r="L1544" s="17">
        <v>0.5629</v>
      </c>
      <c r="M1544" s="150">
        <v>0.0</v>
      </c>
      <c r="N1544" s="136">
        <v>0.0</v>
      </c>
      <c r="O1544" s="18">
        <v>5.0</v>
      </c>
      <c r="P1544" s="92">
        <v>0.0</v>
      </c>
      <c r="Q1544" s="137">
        <v>6.0E-4</v>
      </c>
      <c r="R1544" s="17">
        <v>0.0</v>
      </c>
      <c r="S1544" s="18">
        <v>0.0</v>
      </c>
      <c r="T1544" s="18">
        <v>0.0</v>
      </c>
      <c r="U1544" s="151">
        <v>9687.0</v>
      </c>
      <c r="V1544" s="92" t="s">
        <v>183</v>
      </c>
      <c r="W1544" s="18" t="s">
        <v>62</v>
      </c>
      <c r="X1544" s="42" t="s">
        <v>52</v>
      </c>
      <c r="Y1544" s="159">
        <v>46164.0</v>
      </c>
      <c r="Z1544" s="18" t="s">
        <v>4726</v>
      </c>
      <c r="AA1544" s="92">
        <v>7.0</v>
      </c>
      <c r="AB1544" s="18">
        <v>5.0</v>
      </c>
      <c r="AC1544" s="18">
        <v>2.0</v>
      </c>
      <c r="AD1544" s="172">
        <v>23441.0</v>
      </c>
      <c r="AE1544" s="14">
        <v>14245.0</v>
      </c>
      <c r="AF1544" s="14">
        <v>9196.0</v>
      </c>
      <c r="AG1544" s="22"/>
      <c r="AH1544" s="22"/>
      <c r="AI1544" s="22"/>
      <c r="AJ1544" s="22"/>
      <c r="AK1544" s="22"/>
      <c r="AL1544" s="22"/>
      <c r="AM1544" s="22"/>
      <c r="AN1544" s="22"/>
      <c r="AO1544" s="22"/>
      <c r="AP1544" s="22"/>
    </row>
    <row r="1545" hidden="1">
      <c r="A1545" s="148">
        <v>46164.0</v>
      </c>
      <c r="B1545" s="149">
        <v>0.5</v>
      </c>
      <c r="C1545" s="11" t="s">
        <v>58</v>
      </c>
      <c r="D1545" s="102" t="s">
        <v>3083</v>
      </c>
      <c r="E1545" s="10" t="s">
        <v>71</v>
      </c>
      <c r="F1545" s="10" t="s">
        <v>4692</v>
      </c>
      <c r="G1545" s="11" t="s">
        <v>4727</v>
      </c>
      <c r="H1545" s="11" t="s">
        <v>4728</v>
      </c>
      <c r="I1545" s="10" t="s">
        <v>61</v>
      </c>
      <c r="J1545" s="14">
        <v>8577.0</v>
      </c>
      <c r="K1545" s="14">
        <v>4909.0</v>
      </c>
      <c r="L1545" s="17">
        <v>0.5723</v>
      </c>
      <c r="M1545" s="150">
        <v>0.0</v>
      </c>
      <c r="N1545" s="136">
        <v>0.0</v>
      </c>
      <c r="O1545" s="18">
        <v>4.0</v>
      </c>
      <c r="P1545" s="92">
        <v>0.0</v>
      </c>
      <c r="Q1545" s="137">
        <v>8.0E-4</v>
      </c>
      <c r="R1545" s="17">
        <v>0.0</v>
      </c>
      <c r="S1545" s="18">
        <v>0.0</v>
      </c>
      <c r="T1545" s="18">
        <v>0.0</v>
      </c>
      <c r="U1545" s="151">
        <v>86054.0</v>
      </c>
      <c r="V1545" s="92" t="s">
        <v>315</v>
      </c>
      <c r="W1545" s="18" t="s">
        <v>62</v>
      </c>
      <c r="X1545" s="42" t="s">
        <v>4502</v>
      </c>
      <c r="Y1545" s="159">
        <v>46164.0</v>
      </c>
      <c r="Z1545" s="18" t="s">
        <v>4729</v>
      </c>
      <c r="AA1545" s="92">
        <v>8.0</v>
      </c>
      <c r="AB1545" s="18"/>
      <c r="AC1545" s="18">
        <v>8.0</v>
      </c>
      <c r="AD1545" s="172">
        <v>29483.0</v>
      </c>
      <c r="AE1545" s="14"/>
      <c r="AF1545" s="14">
        <v>29483.0</v>
      </c>
      <c r="AG1545" s="22"/>
      <c r="AH1545" s="22"/>
      <c r="AI1545" s="22"/>
      <c r="AJ1545" s="22"/>
      <c r="AK1545" s="22"/>
      <c r="AL1545" s="22"/>
      <c r="AM1545" s="22"/>
      <c r="AN1545" s="22"/>
      <c r="AO1545" s="22"/>
      <c r="AP1545" s="22"/>
    </row>
    <row r="1546" hidden="1">
      <c r="A1546" s="148">
        <v>46164.0</v>
      </c>
      <c r="B1546" s="149">
        <v>0.5</v>
      </c>
      <c r="C1546" s="11" t="s">
        <v>58</v>
      </c>
      <c r="D1546" s="102" t="s">
        <v>3083</v>
      </c>
      <c r="E1546" s="10" t="s">
        <v>71</v>
      </c>
      <c r="F1546" s="10" t="s">
        <v>4692</v>
      </c>
      <c r="G1546" s="11" t="s">
        <v>4730</v>
      </c>
      <c r="H1546" s="11" t="s">
        <v>4731</v>
      </c>
      <c r="I1546" s="10" t="s">
        <v>61</v>
      </c>
      <c r="J1546" s="14">
        <v>4439.0</v>
      </c>
      <c r="K1546" s="14">
        <v>2377.0</v>
      </c>
      <c r="L1546" s="17">
        <v>0.5355</v>
      </c>
      <c r="M1546" s="150">
        <v>0.0</v>
      </c>
      <c r="N1546" s="136">
        <v>0.0</v>
      </c>
      <c r="O1546" s="18">
        <v>7.0</v>
      </c>
      <c r="P1546" s="92">
        <v>0.0</v>
      </c>
      <c r="Q1546" s="137">
        <v>0.0029</v>
      </c>
      <c r="R1546" s="17">
        <v>0.0</v>
      </c>
      <c r="S1546" s="18">
        <v>0.0</v>
      </c>
      <c r="T1546" s="18">
        <v>0.0</v>
      </c>
      <c r="U1546" s="151">
        <v>34301.0</v>
      </c>
      <c r="V1546" s="92" t="s">
        <v>315</v>
      </c>
      <c r="W1546" s="18" t="s">
        <v>62</v>
      </c>
      <c r="X1546" s="42" t="s">
        <v>4502</v>
      </c>
      <c r="Y1546" s="159">
        <v>46164.0</v>
      </c>
      <c r="Z1546" s="18" t="s">
        <v>4732</v>
      </c>
      <c r="AA1546" s="92">
        <v>2.0</v>
      </c>
      <c r="AB1546" s="18"/>
      <c r="AC1546" s="18">
        <v>2.0</v>
      </c>
      <c r="AD1546" s="172">
        <v>9596.0</v>
      </c>
      <c r="AE1546" s="14"/>
      <c r="AF1546" s="14">
        <v>9596.0</v>
      </c>
      <c r="AG1546" s="22"/>
      <c r="AH1546" s="22"/>
      <c r="AI1546" s="22"/>
      <c r="AJ1546" s="22"/>
      <c r="AK1546" s="22"/>
      <c r="AL1546" s="22"/>
      <c r="AM1546" s="22"/>
      <c r="AN1546" s="22"/>
      <c r="AO1546" s="22"/>
      <c r="AP1546" s="22"/>
    </row>
    <row r="1547" hidden="1">
      <c r="A1547" s="148">
        <v>46164.0</v>
      </c>
      <c r="B1547" s="149">
        <v>0.5</v>
      </c>
      <c r="C1547" s="11" t="s">
        <v>58</v>
      </c>
      <c r="D1547" s="102" t="s">
        <v>3083</v>
      </c>
      <c r="E1547" s="10" t="s">
        <v>71</v>
      </c>
      <c r="F1547" s="10" t="s">
        <v>4692</v>
      </c>
      <c r="G1547" s="11" t="s">
        <v>4733</v>
      </c>
      <c r="H1547" s="11" t="s">
        <v>4734</v>
      </c>
      <c r="I1547" s="10" t="s">
        <v>61</v>
      </c>
      <c r="J1547" s="14">
        <v>2353.0</v>
      </c>
      <c r="K1547" s="14">
        <v>1347.0</v>
      </c>
      <c r="L1547" s="17">
        <v>0.5725</v>
      </c>
      <c r="M1547" s="150">
        <v>0.0</v>
      </c>
      <c r="N1547" s="136">
        <v>0.0</v>
      </c>
      <c r="O1547" s="18">
        <v>1.0</v>
      </c>
      <c r="P1547" s="92">
        <v>0.0</v>
      </c>
      <c r="Q1547" s="137">
        <v>7.0E-4</v>
      </c>
      <c r="R1547" s="17">
        <v>0.0</v>
      </c>
      <c r="S1547" s="18">
        <v>0.0</v>
      </c>
      <c r="T1547" s="18">
        <v>0.0</v>
      </c>
      <c r="U1547" s="151">
        <v>22190.0</v>
      </c>
      <c r="V1547" s="92" t="s">
        <v>315</v>
      </c>
      <c r="W1547" s="18" t="s">
        <v>62</v>
      </c>
      <c r="X1547" s="42" t="s">
        <v>4502</v>
      </c>
      <c r="Y1547" s="159">
        <v>46164.0</v>
      </c>
      <c r="Z1547" s="18" t="s">
        <v>4735</v>
      </c>
      <c r="AA1547" s="92">
        <v>1.0</v>
      </c>
      <c r="AB1547" s="18"/>
      <c r="AC1547" s="18">
        <v>1.0</v>
      </c>
      <c r="AD1547" s="172">
        <v>5098.0</v>
      </c>
      <c r="AE1547" s="14"/>
      <c r="AF1547" s="14">
        <v>5098.0</v>
      </c>
      <c r="AG1547" s="22"/>
      <c r="AH1547" s="22"/>
      <c r="AI1547" s="22"/>
      <c r="AJ1547" s="22"/>
      <c r="AK1547" s="22"/>
      <c r="AL1547" s="22"/>
      <c r="AM1547" s="22"/>
      <c r="AN1547" s="22"/>
      <c r="AO1547" s="22"/>
      <c r="AP1547" s="22"/>
    </row>
    <row r="1548" hidden="1">
      <c r="A1548" s="148">
        <v>46164.0</v>
      </c>
      <c r="B1548" s="149">
        <v>0.5</v>
      </c>
      <c r="C1548" s="11" t="s">
        <v>58</v>
      </c>
      <c r="D1548" s="102" t="s">
        <v>3083</v>
      </c>
      <c r="E1548" s="10" t="s">
        <v>71</v>
      </c>
      <c r="F1548" s="10" t="s">
        <v>4692</v>
      </c>
      <c r="G1548" s="11" t="s">
        <v>4736</v>
      </c>
      <c r="H1548" s="11" t="s">
        <v>4737</v>
      </c>
      <c r="I1548" s="10" t="s">
        <v>61</v>
      </c>
      <c r="J1548" s="14">
        <v>927.0</v>
      </c>
      <c r="K1548" s="14">
        <v>519.0</v>
      </c>
      <c r="L1548" s="17">
        <v>0.5599</v>
      </c>
      <c r="M1548" s="150">
        <v>0.0</v>
      </c>
      <c r="N1548" s="136">
        <v>0.0</v>
      </c>
      <c r="O1548" s="18">
        <v>2.0</v>
      </c>
      <c r="P1548" s="92">
        <v>0.0</v>
      </c>
      <c r="Q1548" s="137">
        <v>0.0039</v>
      </c>
      <c r="R1548" s="17">
        <v>0.0</v>
      </c>
      <c r="S1548" s="18">
        <v>0.0</v>
      </c>
      <c r="T1548" s="18">
        <v>0.0</v>
      </c>
      <c r="U1548" s="151">
        <v>33285.0</v>
      </c>
      <c r="V1548" s="92" t="s">
        <v>315</v>
      </c>
      <c r="W1548" s="18" t="s">
        <v>62</v>
      </c>
      <c r="X1548" s="42" t="s">
        <v>4502</v>
      </c>
      <c r="Y1548" s="159">
        <v>46164.0</v>
      </c>
      <c r="Z1548" s="18" t="s">
        <v>4738</v>
      </c>
      <c r="AA1548" s="92">
        <v>0.0</v>
      </c>
      <c r="AB1548" s="18"/>
      <c r="AC1548" s="18">
        <v>0.0</v>
      </c>
      <c r="AD1548" s="172">
        <v>0.0</v>
      </c>
      <c r="AE1548" s="14"/>
      <c r="AF1548" s="14">
        <v>0.0</v>
      </c>
      <c r="AG1548" s="22"/>
      <c r="AH1548" s="22"/>
      <c r="AI1548" s="22"/>
      <c r="AJ1548" s="22"/>
      <c r="AK1548" s="22"/>
      <c r="AL1548" s="22"/>
      <c r="AM1548" s="22"/>
      <c r="AN1548" s="22"/>
      <c r="AO1548" s="22"/>
      <c r="AP1548" s="22"/>
    </row>
    <row r="1549" hidden="1">
      <c r="A1549" s="148">
        <v>46164.0</v>
      </c>
      <c r="B1549" s="149">
        <v>0.5</v>
      </c>
      <c r="C1549" s="11" t="s">
        <v>58</v>
      </c>
      <c r="D1549" s="102" t="s">
        <v>3083</v>
      </c>
      <c r="E1549" s="10" t="s">
        <v>71</v>
      </c>
      <c r="F1549" s="10" t="s">
        <v>4692</v>
      </c>
      <c r="G1549" s="11" t="s">
        <v>4739</v>
      </c>
      <c r="H1549" s="11" t="s">
        <v>4740</v>
      </c>
      <c r="I1549" s="10" t="s">
        <v>61</v>
      </c>
      <c r="J1549" s="14">
        <v>26123.0</v>
      </c>
      <c r="K1549" s="14">
        <v>14666.0</v>
      </c>
      <c r="L1549" s="17">
        <v>0.5614</v>
      </c>
      <c r="M1549" s="150">
        <v>0.0</v>
      </c>
      <c r="N1549" s="136">
        <v>0.0</v>
      </c>
      <c r="O1549" s="18">
        <v>15.0</v>
      </c>
      <c r="P1549" s="92">
        <v>0.0</v>
      </c>
      <c r="Q1549" s="137">
        <v>0.001</v>
      </c>
      <c r="R1549" s="17">
        <v>0.0</v>
      </c>
      <c r="S1549" s="18">
        <v>0.0</v>
      </c>
      <c r="T1549" s="18">
        <v>0.0</v>
      </c>
      <c r="U1549" s="151">
        <v>0.0</v>
      </c>
      <c r="V1549" s="92" t="s">
        <v>315</v>
      </c>
      <c r="W1549" s="18" t="s">
        <v>62</v>
      </c>
      <c r="X1549" s="42" t="s">
        <v>4502</v>
      </c>
      <c r="Y1549" s="159">
        <v>46164.0</v>
      </c>
      <c r="Z1549" s="18" t="s">
        <v>4741</v>
      </c>
      <c r="AA1549" s="92">
        <v>6.0</v>
      </c>
      <c r="AB1549" s="18"/>
      <c r="AC1549" s="18">
        <v>6.0</v>
      </c>
      <c r="AD1549" s="172">
        <v>40481.0</v>
      </c>
      <c r="AE1549" s="14"/>
      <c r="AF1549" s="14">
        <v>40481.0</v>
      </c>
      <c r="AG1549" s="22"/>
      <c r="AH1549" s="22"/>
      <c r="AI1549" s="22"/>
      <c r="AJ1549" s="22"/>
      <c r="AK1549" s="22"/>
      <c r="AL1549" s="22"/>
      <c r="AM1549" s="22"/>
      <c r="AN1549" s="22"/>
      <c r="AO1549" s="22"/>
      <c r="AP1549" s="22"/>
    </row>
    <row r="1550" hidden="1">
      <c r="A1550" s="148">
        <v>46164.0</v>
      </c>
      <c r="B1550" s="149">
        <v>0.5</v>
      </c>
      <c r="C1550" s="11" t="s">
        <v>58</v>
      </c>
      <c r="D1550" s="102" t="s">
        <v>3083</v>
      </c>
      <c r="E1550" s="10" t="s">
        <v>71</v>
      </c>
      <c r="F1550" s="10" t="s">
        <v>4692</v>
      </c>
      <c r="G1550" s="11" t="s">
        <v>4742</v>
      </c>
      <c r="H1550" s="11" t="s">
        <v>4743</v>
      </c>
      <c r="I1550" s="10" t="s">
        <v>61</v>
      </c>
      <c r="J1550" s="14">
        <v>14658.0</v>
      </c>
      <c r="K1550" s="14">
        <v>7799.0</v>
      </c>
      <c r="L1550" s="17">
        <v>0.5321</v>
      </c>
      <c r="M1550" s="150">
        <v>0.0</v>
      </c>
      <c r="N1550" s="136">
        <v>0.0</v>
      </c>
      <c r="O1550" s="18">
        <v>12.0</v>
      </c>
      <c r="P1550" s="92">
        <v>0.0</v>
      </c>
      <c r="Q1550" s="137">
        <v>0.0015</v>
      </c>
      <c r="R1550" s="17">
        <v>0.0</v>
      </c>
      <c r="S1550" s="18">
        <v>0.0</v>
      </c>
      <c r="T1550" s="18">
        <v>0.0</v>
      </c>
      <c r="U1550" s="151">
        <v>0.0</v>
      </c>
      <c r="V1550" s="92" t="s">
        <v>315</v>
      </c>
      <c r="W1550" s="18" t="s">
        <v>62</v>
      </c>
      <c r="X1550" s="42" t="s">
        <v>4502</v>
      </c>
      <c r="Y1550" s="159">
        <v>46164.0</v>
      </c>
      <c r="Z1550" s="18" t="s">
        <v>4744</v>
      </c>
      <c r="AA1550" s="92">
        <v>2.0</v>
      </c>
      <c r="AB1550" s="18"/>
      <c r="AC1550" s="18">
        <v>2.0</v>
      </c>
      <c r="AD1550" s="172">
        <v>31590.0</v>
      </c>
      <c r="AE1550" s="14"/>
      <c r="AF1550" s="14">
        <v>31590.0</v>
      </c>
      <c r="AG1550" s="22"/>
      <c r="AH1550" s="22"/>
      <c r="AI1550" s="22"/>
      <c r="AJ1550" s="22"/>
      <c r="AK1550" s="22"/>
      <c r="AL1550" s="22"/>
      <c r="AM1550" s="22"/>
      <c r="AN1550" s="22"/>
      <c r="AO1550" s="22"/>
      <c r="AP1550" s="22"/>
    </row>
    <row r="1551" hidden="1">
      <c r="A1551" s="148">
        <v>46164.0</v>
      </c>
      <c r="B1551" s="149">
        <v>0.5</v>
      </c>
      <c r="C1551" s="11" t="s">
        <v>58</v>
      </c>
      <c r="D1551" s="102" t="s">
        <v>3083</v>
      </c>
      <c r="E1551" s="10" t="s">
        <v>71</v>
      </c>
      <c r="F1551" s="10" t="s">
        <v>4692</v>
      </c>
      <c r="G1551" s="11" t="s">
        <v>4745</v>
      </c>
      <c r="H1551" s="11" t="s">
        <v>4746</v>
      </c>
      <c r="I1551" s="10" t="s">
        <v>61</v>
      </c>
      <c r="J1551" s="14">
        <v>6571.0</v>
      </c>
      <c r="K1551" s="14">
        <v>3643.0</v>
      </c>
      <c r="L1551" s="17">
        <v>0.5544</v>
      </c>
      <c r="M1551" s="150">
        <v>0.0</v>
      </c>
      <c r="N1551" s="136">
        <v>0.0</v>
      </c>
      <c r="O1551" s="18">
        <v>5.0</v>
      </c>
      <c r="P1551" s="92">
        <v>0.0</v>
      </c>
      <c r="Q1551" s="137">
        <v>0.0014</v>
      </c>
      <c r="R1551" s="17">
        <v>0.0</v>
      </c>
      <c r="S1551" s="18">
        <v>0.0</v>
      </c>
      <c r="T1551" s="18">
        <v>0.0</v>
      </c>
      <c r="U1551" s="151">
        <v>0.0</v>
      </c>
      <c r="V1551" s="92" t="s">
        <v>315</v>
      </c>
      <c r="W1551" s="18" t="s">
        <v>62</v>
      </c>
      <c r="X1551" s="42" t="s">
        <v>4502</v>
      </c>
      <c r="Y1551" s="159">
        <v>46164.0</v>
      </c>
      <c r="Z1551" s="18" t="s">
        <v>4747</v>
      </c>
      <c r="AA1551" s="92">
        <v>5.0</v>
      </c>
      <c r="AB1551" s="18"/>
      <c r="AC1551" s="18">
        <v>5.0</v>
      </c>
      <c r="AD1551" s="172">
        <v>25389.0</v>
      </c>
      <c r="AE1551" s="14"/>
      <c r="AF1551" s="14">
        <v>25389.0</v>
      </c>
      <c r="AG1551" s="22"/>
      <c r="AH1551" s="22"/>
      <c r="AI1551" s="22"/>
      <c r="AJ1551" s="22"/>
      <c r="AK1551" s="22"/>
      <c r="AL1551" s="22"/>
      <c r="AM1551" s="22"/>
      <c r="AN1551" s="22"/>
      <c r="AO1551" s="22"/>
      <c r="AP1551" s="22"/>
    </row>
    <row r="1552" hidden="1">
      <c r="A1552" s="148">
        <v>46164.0</v>
      </c>
      <c r="B1552" s="149">
        <v>0.5</v>
      </c>
      <c r="C1552" s="11" t="s">
        <v>58</v>
      </c>
      <c r="D1552" s="102" t="s">
        <v>3083</v>
      </c>
      <c r="E1552" s="10" t="s">
        <v>71</v>
      </c>
      <c r="F1552" s="10" t="s">
        <v>4692</v>
      </c>
      <c r="G1552" s="11" t="s">
        <v>4748</v>
      </c>
      <c r="H1552" s="11" t="s">
        <v>4749</v>
      </c>
      <c r="I1552" s="10" t="s">
        <v>61</v>
      </c>
      <c r="J1552" s="14">
        <v>4318.0</v>
      </c>
      <c r="K1552" s="14">
        <v>2433.0</v>
      </c>
      <c r="L1552" s="17">
        <v>0.5635</v>
      </c>
      <c r="M1552" s="150">
        <v>0.0</v>
      </c>
      <c r="N1552" s="136">
        <v>0.0</v>
      </c>
      <c r="O1552" s="18">
        <v>1.0</v>
      </c>
      <c r="P1552" s="92">
        <v>0.0</v>
      </c>
      <c r="Q1552" s="137">
        <v>4.0E-4</v>
      </c>
      <c r="R1552" s="17">
        <v>0.0</v>
      </c>
      <c r="S1552" s="18">
        <v>0.0</v>
      </c>
      <c r="T1552" s="18">
        <v>0.0</v>
      </c>
      <c r="U1552" s="151">
        <v>0.0</v>
      </c>
      <c r="V1552" s="92" t="s">
        <v>315</v>
      </c>
      <c r="W1552" s="18" t="s">
        <v>62</v>
      </c>
      <c r="X1552" s="42" t="s">
        <v>4502</v>
      </c>
      <c r="Y1552" s="159">
        <v>46164.0</v>
      </c>
      <c r="Z1552" s="18" t="s">
        <v>4750</v>
      </c>
      <c r="AA1552" s="92">
        <v>1.0</v>
      </c>
      <c r="AB1552" s="18"/>
      <c r="AC1552" s="18">
        <v>1.0</v>
      </c>
      <c r="AD1552" s="172">
        <v>4196.0</v>
      </c>
      <c r="AE1552" s="14"/>
      <c r="AF1552" s="14">
        <v>4196.0</v>
      </c>
      <c r="AG1552" s="22"/>
      <c r="AH1552" s="22"/>
      <c r="AI1552" s="22"/>
      <c r="AJ1552" s="22"/>
      <c r="AK1552" s="22"/>
      <c r="AL1552" s="22"/>
      <c r="AM1552" s="22"/>
      <c r="AN1552" s="22"/>
      <c r="AO1552" s="22"/>
      <c r="AP1552" s="22"/>
    </row>
    <row r="1553" hidden="1">
      <c r="A1553" s="148">
        <v>46164.0</v>
      </c>
      <c r="B1553" s="149">
        <v>0.5</v>
      </c>
      <c r="C1553" s="11" t="s">
        <v>58</v>
      </c>
      <c r="D1553" s="102" t="s">
        <v>3083</v>
      </c>
      <c r="E1553" s="10" t="s">
        <v>71</v>
      </c>
      <c r="F1553" s="10" t="s">
        <v>4692</v>
      </c>
      <c r="G1553" s="11" t="s">
        <v>4751</v>
      </c>
      <c r="H1553" s="11" t="s">
        <v>4752</v>
      </c>
      <c r="I1553" s="10" t="s">
        <v>61</v>
      </c>
      <c r="J1553" s="14">
        <v>8896.0</v>
      </c>
      <c r="K1553" s="14">
        <v>4837.0</v>
      </c>
      <c r="L1553" s="17">
        <v>0.5437</v>
      </c>
      <c r="M1553" s="150">
        <v>0.0</v>
      </c>
      <c r="N1553" s="136">
        <v>0.0</v>
      </c>
      <c r="O1553" s="18">
        <v>13.0</v>
      </c>
      <c r="P1553" s="92">
        <v>0.0</v>
      </c>
      <c r="Q1553" s="137">
        <v>0.0027</v>
      </c>
      <c r="R1553" s="17">
        <v>0.0</v>
      </c>
      <c r="S1553" s="18">
        <v>0.0</v>
      </c>
      <c r="T1553" s="18">
        <v>0.0</v>
      </c>
      <c r="U1553" s="151">
        <v>0.0</v>
      </c>
      <c r="V1553" s="92" t="s">
        <v>315</v>
      </c>
      <c r="W1553" s="18" t="s">
        <v>62</v>
      </c>
      <c r="X1553" s="42" t="s">
        <v>4502</v>
      </c>
      <c r="Y1553" s="159">
        <v>46164.0</v>
      </c>
      <c r="Z1553" s="18" t="s">
        <v>4753</v>
      </c>
      <c r="AA1553" s="92">
        <v>5.0</v>
      </c>
      <c r="AB1553" s="18"/>
      <c r="AC1553" s="18">
        <v>5.0</v>
      </c>
      <c r="AD1553" s="172">
        <v>22638.0</v>
      </c>
      <c r="AE1553" s="14"/>
      <c r="AF1553" s="14">
        <v>22638.0</v>
      </c>
      <c r="AG1553" s="22"/>
      <c r="AH1553" s="22"/>
      <c r="AI1553" s="22"/>
      <c r="AJ1553" s="22"/>
      <c r="AK1553" s="22"/>
      <c r="AL1553" s="22"/>
      <c r="AM1553" s="22"/>
      <c r="AN1553" s="22"/>
      <c r="AO1553" s="22"/>
      <c r="AP1553" s="22"/>
    </row>
    <row r="1554" hidden="1">
      <c r="A1554" s="148">
        <v>46164.0</v>
      </c>
      <c r="B1554" s="149">
        <v>0.5</v>
      </c>
      <c r="C1554" s="11" t="s">
        <v>58</v>
      </c>
      <c r="D1554" s="102" t="s">
        <v>3083</v>
      </c>
      <c r="E1554" s="10" t="s">
        <v>71</v>
      </c>
      <c r="F1554" s="10" t="s">
        <v>4692</v>
      </c>
      <c r="G1554" s="11" t="s">
        <v>4754</v>
      </c>
      <c r="H1554" s="11" t="s">
        <v>4755</v>
      </c>
      <c r="I1554" s="10" t="s">
        <v>61</v>
      </c>
      <c r="J1554" s="14">
        <v>2781.0</v>
      </c>
      <c r="K1554" s="14">
        <v>1770.0</v>
      </c>
      <c r="L1554" s="17">
        <v>0.6365</v>
      </c>
      <c r="M1554" s="150">
        <v>0.0</v>
      </c>
      <c r="N1554" s="136">
        <v>0.0</v>
      </c>
      <c r="O1554" s="18">
        <v>1.0</v>
      </c>
      <c r="P1554" s="92">
        <v>0.0</v>
      </c>
      <c r="Q1554" s="137">
        <v>6.0E-4</v>
      </c>
      <c r="R1554" s="17">
        <v>0.0</v>
      </c>
      <c r="S1554" s="18">
        <v>0.0</v>
      </c>
      <c r="T1554" s="18">
        <v>0.0</v>
      </c>
      <c r="U1554" s="151">
        <v>0.0</v>
      </c>
      <c r="V1554" s="92" t="s">
        <v>315</v>
      </c>
      <c r="W1554" s="18" t="s">
        <v>62</v>
      </c>
      <c r="X1554" s="42" t="s">
        <v>4502</v>
      </c>
      <c r="Y1554" s="159">
        <v>46164.0</v>
      </c>
      <c r="Z1554" s="18" t="s">
        <v>4756</v>
      </c>
      <c r="AA1554" s="92">
        <v>1.0</v>
      </c>
      <c r="AB1554" s="18"/>
      <c r="AC1554" s="18">
        <v>1.0</v>
      </c>
      <c r="AD1554" s="172">
        <v>5098.0</v>
      </c>
      <c r="AE1554" s="14"/>
      <c r="AF1554" s="14">
        <v>5098.0</v>
      </c>
      <c r="AG1554" s="22"/>
      <c r="AH1554" s="22"/>
      <c r="AI1554" s="22"/>
      <c r="AJ1554" s="22"/>
      <c r="AK1554" s="22"/>
      <c r="AL1554" s="22"/>
      <c r="AM1554" s="22"/>
      <c r="AN1554" s="22"/>
      <c r="AO1554" s="22"/>
      <c r="AP1554" s="22"/>
    </row>
    <row r="1555" hidden="1">
      <c r="A1555" s="148">
        <v>46164.0</v>
      </c>
      <c r="B1555" s="149">
        <v>0.5</v>
      </c>
      <c r="C1555" s="11" t="s">
        <v>58</v>
      </c>
      <c r="D1555" s="102" t="s">
        <v>3083</v>
      </c>
      <c r="E1555" s="10" t="s">
        <v>71</v>
      </c>
      <c r="F1555" s="10" t="s">
        <v>4692</v>
      </c>
      <c r="G1555" s="11" t="s">
        <v>4757</v>
      </c>
      <c r="H1555" s="11" t="s">
        <v>4758</v>
      </c>
      <c r="I1555" s="10" t="s">
        <v>61</v>
      </c>
      <c r="J1555" s="14">
        <v>3388.0</v>
      </c>
      <c r="K1555" s="14">
        <v>2161.0</v>
      </c>
      <c r="L1555" s="17">
        <v>0.6378</v>
      </c>
      <c r="M1555" s="150">
        <v>0.0</v>
      </c>
      <c r="N1555" s="136">
        <v>0.0</v>
      </c>
      <c r="O1555" s="18">
        <v>2.0</v>
      </c>
      <c r="P1555" s="92">
        <v>0.0</v>
      </c>
      <c r="Q1555" s="137">
        <v>9.0E-4</v>
      </c>
      <c r="R1555" s="17">
        <v>0.0</v>
      </c>
      <c r="S1555" s="18">
        <v>0.0</v>
      </c>
      <c r="T1555" s="18">
        <v>0.0</v>
      </c>
      <c r="U1555" s="151">
        <v>0.0</v>
      </c>
      <c r="V1555" s="92" t="s">
        <v>315</v>
      </c>
      <c r="W1555" s="18" t="s">
        <v>62</v>
      </c>
      <c r="X1555" s="42" t="s">
        <v>4502</v>
      </c>
      <c r="Y1555" s="159">
        <v>46164.0</v>
      </c>
      <c r="Z1555" s="18" t="s">
        <v>4759</v>
      </c>
      <c r="AA1555" s="92">
        <v>1.0</v>
      </c>
      <c r="AB1555" s="18"/>
      <c r="AC1555" s="18">
        <v>1.0</v>
      </c>
      <c r="AD1555" s="172">
        <v>4598.0</v>
      </c>
      <c r="AE1555" s="14"/>
      <c r="AF1555" s="14">
        <v>4598.0</v>
      </c>
      <c r="AG1555" s="22"/>
      <c r="AH1555" s="22"/>
      <c r="AI1555" s="22"/>
      <c r="AJ1555" s="22"/>
      <c r="AK1555" s="22"/>
      <c r="AL1555" s="22"/>
      <c r="AM1555" s="22"/>
      <c r="AN1555" s="22"/>
      <c r="AO1555" s="22"/>
      <c r="AP1555" s="22"/>
    </row>
    <row r="1556" hidden="1">
      <c r="A1556" s="148">
        <v>46164.0</v>
      </c>
      <c r="B1556" s="149">
        <v>0.5</v>
      </c>
      <c r="C1556" s="11" t="s">
        <v>58</v>
      </c>
      <c r="D1556" s="102" t="s">
        <v>3083</v>
      </c>
      <c r="E1556" s="10" t="s">
        <v>71</v>
      </c>
      <c r="F1556" s="10" t="s">
        <v>4692</v>
      </c>
      <c r="G1556" s="11" t="s">
        <v>4760</v>
      </c>
      <c r="H1556" s="11" t="s">
        <v>4761</v>
      </c>
      <c r="I1556" s="10" t="s">
        <v>61</v>
      </c>
      <c r="J1556" s="14">
        <v>2814.0</v>
      </c>
      <c r="K1556" s="14">
        <v>1790.0</v>
      </c>
      <c r="L1556" s="17">
        <v>0.6361</v>
      </c>
      <c r="M1556" s="150">
        <v>0.0</v>
      </c>
      <c r="N1556" s="136">
        <v>0.0</v>
      </c>
      <c r="O1556" s="18">
        <v>4.0</v>
      </c>
      <c r="P1556" s="92">
        <v>0.0</v>
      </c>
      <c r="Q1556" s="137">
        <v>0.0022</v>
      </c>
      <c r="R1556" s="17">
        <v>0.0</v>
      </c>
      <c r="S1556" s="18">
        <v>0.0</v>
      </c>
      <c r="T1556" s="18">
        <v>0.0</v>
      </c>
      <c r="U1556" s="151">
        <v>0.0</v>
      </c>
      <c r="V1556" s="92" t="s">
        <v>315</v>
      </c>
      <c r="W1556" s="18" t="s">
        <v>62</v>
      </c>
      <c r="X1556" s="42" t="s">
        <v>4502</v>
      </c>
      <c r="Y1556" s="159">
        <v>46164.0</v>
      </c>
      <c r="Z1556" s="18" t="s">
        <v>4762</v>
      </c>
      <c r="AA1556" s="92">
        <v>2.0</v>
      </c>
      <c r="AB1556" s="18"/>
      <c r="AC1556" s="18">
        <v>2.0</v>
      </c>
      <c r="AD1556" s="172">
        <v>9196.0</v>
      </c>
      <c r="AE1556" s="14"/>
      <c r="AF1556" s="14">
        <v>9196.0</v>
      </c>
      <c r="AG1556" s="22"/>
      <c r="AH1556" s="22"/>
      <c r="AI1556" s="22"/>
      <c r="AJ1556" s="22"/>
      <c r="AK1556" s="22"/>
      <c r="AL1556" s="22"/>
      <c r="AM1556" s="22"/>
      <c r="AN1556" s="22"/>
      <c r="AO1556" s="22"/>
      <c r="AP1556" s="22"/>
    </row>
    <row r="1557" hidden="1">
      <c r="A1557" s="148">
        <v>46164.0</v>
      </c>
      <c r="B1557" s="149">
        <v>0.5</v>
      </c>
      <c r="C1557" s="11" t="s">
        <v>58</v>
      </c>
      <c r="D1557" s="102" t="s">
        <v>3083</v>
      </c>
      <c r="E1557" s="10" t="s">
        <v>71</v>
      </c>
      <c r="F1557" s="10" t="s">
        <v>4692</v>
      </c>
      <c r="G1557" s="11" t="s">
        <v>4763</v>
      </c>
      <c r="H1557" s="11" t="s">
        <v>4764</v>
      </c>
      <c r="I1557" s="10" t="s">
        <v>61</v>
      </c>
      <c r="J1557" s="14">
        <v>2474.0</v>
      </c>
      <c r="K1557" s="14">
        <v>1199.0</v>
      </c>
      <c r="L1557" s="17">
        <v>0.4846</v>
      </c>
      <c r="M1557" s="150">
        <v>0.0</v>
      </c>
      <c r="N1557" s="136">
        <v>0.0</v>
      </c>
      <c r="O1557" s="18">
        <v>2.0</v>
      </c>
      <c r="P1557" s="92">
        <v>0.0</v>
      </c>
      <c r="Q1557" s="137">
        <v>0.0017</v>
      </c>
      <c r="R1557" s="17">
        <v>0.0</v>
      </c>
      <c r="S1557" s="18">
        <v>0.0</v>
      </c>
      <c r="T1557" s="18">
        <v>0.0</v>
      </c>
      <c r="U1557" s="151">
        <v>0.0</v>
      </c>
      <c r="V1557" s="92" t="s">
        <v>315</v>
      </c>
      <c r="W1557" s="18" t="s">
        <v>62</v>
      </c>
      <c r="X1557" s="42" t="s">
        <v>4502</v>
      </c>
      <c r="Y1557" s="159">
        <v>46164.0</v>
      </c>
      <c r="Z1557" s="18" t="s">
        <v>4765</v>
      </c>
      <c r="AA1557" s="92">
        <v>4.0</v>
      </c>
      <c r="AB1557" s="18"/>
      <c r="AC1557" s="18">
        <v>4.0</v>
      </c>
      <c r="AD1557" s="172">
        <v>23890.0</v>
      </c>
      <c r="AE1557" s="14"/>
      <c r="AF1557" s="14">
        <v>23890.0</v>
      </c>
      <c r="AG1557" s="22"/>
      <c r="AH1557" s="22"/>
      <c r="AI1557" s="22"/>
      <c r="AJ1557" s="22"/>
      <c r="AK1557" s="22"/>
      <c r="AL1557" s="22"/>
      <c r="AM1557" s="22"/>
      <c r="AN1557" s="22"/>
      <c r="AO1557" s="22"/>
      <c r="AP1557" s="22"/>
    </row>
    <row r="1558" hidden="1">
      <c r="A1558" s="148">
        <v>46164.0</v>
      </c>
      <c r="B1558" s="149">
        <v>0.5</v>
      </c>
      <c r="C1558" s="11" t="s">
        <v>58</v>
      </c>
      <c r="D1558" s="102" t="s">
        <v>3083</v>
      </c>
      <c r="E1558" s="10" t="s">
        <v>71</v>
      </c>
      <c r="F1558" s="10" t="s">
        <v>4692</v>
      </c>
      <c r="G1558" s="11" t="s">
        <v>4766</v>
      </c>
      <c r="H1558" s="11" t="s">
        <v>4767</v>
      </c>
      <c r="I1558" s="10" t="s">
        <v>61</v>
      </c>
      <c r="J1558" s="14">
        <v>2875.0</v>
      </c>
      <c r="K1558" s="14">
        <v>1551.0</v>
      </c>
      <c r="L1558" s="17">
        <v>0.5395</v>
      </c>
      <c r="M1558" s="150">
        <v>0.0</v>
      </c>
      <c r="N1558" s="136">
        <v>0.0</v>
      </c>
      <c r="O1558" s="18">
        <v>3.0</v>
      </c>
      <c r="P1558" s="92">
        <v>0.0</v>
      </c>
      <c r="Q1558" s="137">
        <v>0.0019</v>
      </c>
      <c r="R1558" s="17">
        <v>0.0</v>
      </c>
      <c r="S1558" s="18">
        <v>0.0</v>
      </c>
      <c r="T1558" s="18">
        <v>0.0</v>
      </c>
      <c r="U1558" s="151">
        <v>0.0</v>
      </c>
      <c r="V1558" s="92" t="s">
        <v>315</v>
      </c>
      <c r="W1558" s="18" t="s">
        <v>62</v>
      </c>
      <c r="X1558" s="42" t="s">
        <v>4502</v>
      </c>
      <c r="Y1558" s="159">
        <v>46164.0</v>
      </c>
      <c r="Z1558" s="18" t="s">
        <v>4768</v>
      </c>
      <c r="AA1558" s="92">
        <v>3.0</v>
      </c>
      <c r="AB1558" s="18"/>
      <c r="AC1558" s="18">
        <v>3.0</v>
      </c>
      <c r="AD1558" s="172">
        <v>16092.0</v>
      </c>
      <c r="AE1558" s="14"/>
      <c r="AF1558" s="14">
        <v>16092.0</v>
      </c>
      <c r="AG1558" s="22"/>
      <c r="AH1558" s="22"/>
      <c r="AI1558" s="22"/>
      <c r="AJ1558" s="22"/>
      <c r="AK1558" s="22"/>
      <c r="AL1558" s="22"/>
      <c r="AM1558" s="22"/>
      <c r="AN1558" s="22"/>
      <c r="AO1558" s="22"/>
      <c r="AP1558" s="22"/>
    </row>
    <row r="1559" hidden="1">
      <c r="A1559" s="148">
        <v>46164.0</v>
      </c>
      <c r="B1559" s="149">
        <v>0.5</v>
      </c>
      <c r="C1559" s="11" t="s">
        <v>58</v>
      </c>
      <c r="D1559" s="102" t="s">
        <v>3083</v>
      </c>
      <c r="E1559" s="10" t="s">
        <v>71</v>
      </c>
      <c r="F1559" s="10" t="s">
        <v>4692</v>
      </c>
      <c r="G1559" s="11" t="s">
        <v>4769</v>
      </c>
      <c r="H1559" s="11" t="s">
        <v>4770</v>
      </c>
      <c r="I1559" s="10" t="s">
        <v>61</v>
      </c>
      <c r="J1559" s="14">
        <v>1294.0</v>
      </c>
      <c r="K1559" s="14">
        <v>727.0</v>
      </c>
      <c r="L1559" s="17">
        <v>0.5618</v>
      </c>
      <c r="M1559" s="150">
        <v>0.0</v>
      </c>
      <c r="N1559" s="136">
        <v>0.0</v>
      </c>
      <c r="O1559" s="18">
        <v>1.0</v>
      </c>
      <c r="P1559" s="92">
        <v>0.0</v>
      </c>
      <c r="Q1559" s="137">
        <v>0.0014</v>
      </c>
      <c r="R1559" s="17">
        <v>0.0</v>
      </c>
      <c r="S1559" s="18">
        <v>0.0</v>
      </c>
      <c r="T1559" s="18">
        <v>0.0</v>
      </c>
      <c r="U1559" s="151">
        <v>0.0</v>
      </c>
      <c r="V1559" s="92" t="s">
        <v>315</v>
      </c>
      <c r="W1559" s="18" t="s">
        <v>62</v>
      </c>
      <c r="X1559" s="42" t="s">
        <v>4502</v>
      </c>
      <c r="Y1559" s="159">
        <v>46164.0</v>
      </c>
      <c r="Z1559" s="18" t="s">
        <v>4771</v>
      </c>
      <c r="AA1559" s="92">
        <v>0.0</v>
      </c>
      <c r="AB1559" s="18"/>
      <c r="AC1559" s="18">
        <v>0.0</v>
      </c>
      <c r="AD1559" s="172">
        <v>0.0</v>
      </c>
      <c r="AE1559" s="14"/>
      <c r="AF1559" s="14">
        <v>0.0</v>
      </c>
      <c r="AG1559" s="22"/>
      <c r="AH1559" s="22"/>
      <c r="AI1559" s="22"/>
      <c r="AJ1559" s="22"/>
      <c r="AK1559" s="22"/>
      <c r="AL1559" s="22"/>
      <c r="AM1559" s="22"/>
      <c r="AN1559" s="22"/>
      <c r="AO1559" s="22"/>
      <c r="AP1559" s="22"/>
    </row>
    <row r="1560" hidden="1">
      <c r="A1560" s="148">
        <v>46164.0</v>
      </c>
      <c r="B1560" s="149">
        <v>0.5</v>
      </c>
      <c r="C1560" s="11" t="s">
        <v>58</v>
      </c>
      <c r="D1560" s="102" t="s">
        <v>3083</v>
      </c>
      <c r="E1560" s="10" t="s">
        <v>71</v>
      </c>
      <c r="F1560" s="10" t="s">
        <v>4692</v>
      </c>
      <c r="G1560" s="11" t="s">
        <v>4772</v>
      </c>
      <c r="H1560" s="11" t="s">
        <v>4773</v>
      </c>
      <c r="I1560" s="10" t="s">
        <v>61</v>
      </c>
      <c r="J1560" s="14">
        <v>879.0</v>
      </c>
      <c r="K1560" s="14">
        <v>493.0</v>
      </c>
      <c r="L1560" s="17">
        <v>0.5609</v>
      </c>
      <c r="M1560" s="150">
        <v>0.0</v>
      </c>
      <c r="N1560" s="136">
        <v>0.0</v>
      </c>
      <c r="O1560" s="18">
        <v>1.0</v>
      </c>
      <c r="P1560" s="92">
        <v>0.0</v>
      </c>
      <c r="Q1560" s="137">
        <v>0.002</v>
      </c>
      <c r="R1560" s="17">
        <v>0.0</v>
      </c>
      <c r="S1560" s="18">
        <v>0.0</v>
      </c>
      <c r="T1560" s="18">
        <v>0.0</v>
      </c>
      <c r="U1560" s="151">
        <v>0.0</v>
      </c>
      <c r="V1560" s="92" t="s">
        <v>315</v>
      </c>
      <c r="W1560" s="18" t="s">
        <v>62</v>
      </c>
      <c r="X1560" s="42" t="s">
        <v>4502</v>
      </c>
      <c r="Y1560" s="159">
        <v>46164.0</v>
      </c>
      <c r="Z1560" s="18" t="s">
        <v>4774</v>
      </c>
      <c r="AA1560" s="92">
        <v>0.0</v>
      </c>
      <c r="AB1560" s="18"/>
      <c r="AC1560" s="18">
        <v>0.0</v>
      </c>
      <c r="AD1560" s="172">
        <v>0.0</v>
      </c>
      <c r="AE1560" s="14"/>
      <c r="AF1560" s="14">
        <v>0.0</v>
      </c>
      <c r="AG1560" s="22"/>
      <c r="AH1560" s="22"/>
      <c r="AI1560" s="22"/>
      <c r="AJ1560" s="22"/>
      <c r="AK1560" s="22"/>
      <c r="AL1560" s="22"/>
      <c r="AM1560" s="22"/>
      <c r="AN1560" s="22"/>
      <c r="AO1560" s="22"/>
      <c r="AP1560" s="22"/>
    </row>
    <row r="1561" hidden="1">
      <c r="A1561" s="148">
        <v>46164.0</v>
      </c>
      <c r="B1561" s="149">
        <v>0.5</v>
      </c>
      <c r="C1561" s="11" t="s">
        <v>58</v>
      </c>
      <c r="D1561" s="102" t="s">
        <v>3083</v>
      </c>
      <c r="E1561" s="10" t="s">
        <v>71</v>
      </c>
      <c r="F1561" s="10" t="s">
        <v>4692</v>
      </c>
      <c r="G1561" s="11" t="s">
        <v>4775</v>
      </c>
      <c r="H1561" s="11" t="s">
        <v>4776</v>
      </c>
      <c r="I1561" s="10" t="s">
        <v>61</v>
      </c>
      <c r="J1561" s="14">
        <v>1442.0</v>
      </c>
      <c r="K1561" s="14">
        <v>954.0</v>
      </c>
      <c r="L1561" s="17">
        <v>0.6616</v>
      </c>
      <c r="M1561" s="150">
        <v>0.0</v>
      </c>
      <c r="N1561" s="136">
        <v>0.0</v>
      </c>
      <c r="O1561" s="18">
        <v>0.0</v>
      </c>
      <c r="P1561" s="92">
        <v>0.0</v>
      </c>
      <c r="Q1561" s="137">
        <v>0.0</v>
      </c>
      <c r="R1561" s="17">
        <v>0.0</v>
      </c>
      <c r="S1561" s="18">
        <v>0.0</v>
      </c>
      <c r="T1561" s="18">
        <v>0.0</v>
      </c>
      <c r="U1561" s="151">
        <v>0.0</v>
      </c>
      <c r="V1561" s="92" t="s">
        <v>315</v>
      </c>
      <c r="W1561" s="18" t="s">
        <v>62</v>
      </c>
      <c r="X1561" s="42" t="s">
        <v>4502</v>
      </c>
      <c r="Y1561" s="159">
        <v>46164.0</v>
      </c>
      <c r="Z1561" s="18" t="s">
        <v>4777</v>
      </c>
      <c r="AA1561" s="92">
        <v>1.0</v>
      </c>
      <c r="AB1561" s="18"/>
      <c r="AC1561" s="18">
        <v>1.0</v>
      </c>
      <c r="AD1561" s="172">
        <v>299.0</v>
      </c>
      <c r="AE1561" s="14"/>
      <c r="AF1561" s="14">
        <v>299.0</v>
      </c>
      <c r="AG1561" s="22"/>
      <c r="AH1561" s="22"/>
      <c r="AI1561" s="22"/>
      <c r="AJ1561" s="22"/>
      <c r="AK1561" s="22"/>
      <c r="AL1561" s="22"/>
      <c r="AM1561" s="22"/>
      <c r="AN1561" s="22"/>
      <c r="AO1561" s="22"/>
      <c r="AP1561" s="22"/>
    </row>
    <row r="1562" hidden="1">
      <c r="A1562" s="148">
        <v>46164.0</v>
      </c>
      <c r="B1562" s="149">
        <v>0.5</v>
      </c>
      <c r="C1562" s="11" t="s">
        <v>58</v>
      </c>
      <c r="D1562" s="102" t="s">
        <v>3083</v>
      </c>
      <c r="E1562" s="10" t="s">
        <v>71</v>
      </c>
      <c r="F1562" s="10" t="s">
        <v>4692</v>
      </c>
      <c r="G1562" s="11" t="s">
        <v>4778</v>
      </c>
      <c r="H1562" s="11" t="s">
        <v>4779</v>
      </c>
      <c r="I1562" s="10" t="s">
        <v>61</v>
      </c>
      <c r="J1562" s="14">
        <v>509.0</v>
      </c>
      <c r="K1562" s="14">
        <v>302.0</v>
      </c>
      <c r="L1562" s="17">
        <v>0.5933</v>
      </c>
      <c r="M1562" s="150">
        <v>0.0</v>
      </c>
      <c r="N1562" s="136">
        <v>0.0</v>
      </c>
      <c r="O1562" s="18">
        <v>1.0</v>
      </c>
      <c r="P1562" s="92">
        <v>0.0</v>
      </c>
      <c r="Q1562" s="137">
        <v>0.0033</v>
      </c>
      <c r="R1562" s="17">
        <v>0.0</v>
      </c>
      <c r="S1562" s="18">
        <v>0.0</v>
      </c>
      <c r="T1562" s="18">
        <v>0.0</v>
      </c>
      <c r="U1562" s="151">
        <v>0.0</v>
      </c>
      <c r="V1562" s="92" t="s">
        <v>315</v>
      </c>
      <c r="W1562" s="18" t="s">
        <v>62</v>
      </c>
      <c r="X1562" s="42" t="s">
        <v>4502</v>
      </c>
      <c r="Y1562" s="159">
        <v>46164.0</v>
      </c>
      <c r="Z1562" s="18" t="s">
        <v>4780</v>
      </c>
      <c r="AA1562" s="92">
        <v>2.0</v>
      </c>
      <c r="AB1562" s="18"/>
      <c r="AC1562" s="18">
        <v>2.0</v>
      </c>
      <c r="AD1562" s="172">
        <v>9794.0</v>
      </c>
      <c r="AE1562" s="14"/>
      <c r="AF1562" s="14">
        <v>9794.0</v>
      </c>
      <c r="AG1562" s="22"/>
      <c r="AH1562" s="22"/>
      <c r="AI1562" s="22"/>
      <c r="AJ1562" s="22"/>
      <c r="AK1562" s="22"/>
      <c r="AL1562" s="22"/>
      <c r="AM1562" s="22"/>
      <c r="AN1562" s="22"/>
      <c r="AO1562" s="22"/>
      <c r="AP1562" s="22"/>
    </row>
    <row r="1563" hidden="1">
      <c r="A1563" s="148">
        <v>46164.0</v>
      </c>
      <c r="B1563" s="149">
        <v>0.5</v>
      </c>
      <c r="C1563" s="11" t="s">
        <v>58</v>
      </c>
      <c r="D1563" s="102" t="s">
        <v>3083</v>
      </c>
      <c r="E1563" s="10" t="s">
        <v>71</v>
      </c>
      <c r="F1563" s="10" t="s">
        <v>4692</v>
      </c>
      <c r="G1563" s="11" t="s">
        <v>4781</v>
      </c>
      <c r="H1563" s="11" t="s">
        <v>4782</v>
      </c>
      <c r="I1563" s="10" t="s">
        <v>61</v>
      </c>
      <c r="J1563" s="14">
        <v>15879.0</v>
      </c>
      <c r="K1563" s="14">
        <v>8474.0</v>
      </c>
      <c r="L1563" s="17">
        <v>0.5337</v>
      </c>
      <c r="M1563" s="150">
        <v>0.0</v>
      </c>
      <c r="N1563" s="136">
        <v>0.0</v>
      </c>
      <c r="O1563" s="18">
        <v>19.0</v>
      </c>
      <c r="P1563" s="92">
        <v>0.0</v>
      </c>
      <c r="Q1563" s="137">
        <v>0.0022</v>
      </c>
      <c r="R1563" s="17">
        <v>0.0</v>
      </c>
      <c r="S1563" s="18">
        <v>0.0</v>
      </c>
      <c r="T1563" s="18">
        <v>0.0</v>
      </c>
      <c r="U1563" s="151">
        <v>0.0</v>
      </c>
      <c r="V1563" s="92" t="s">
        <v>315</v>
      </c>
      <c r="W1563" s="18" t="s">
        <v>62</v>
      </c>
      <c r="X1563" s="42" t="s">
        <v>4502</v>
      </c>
      <c r="Y1563" s="159">
        <v>46164.0</v>
      </c>
      <c r="Z1563" s="18" t="s">
        <v>4783</v>
      </c>
      <c r="AA1563" s="92">
        <v>9.0</v>
      </c>
      <c r="AB1563" s="18"/>
      <c r="AC1563" s="18">
        <v>9.0</v>
      </c>
      <c r="AD1563" s="172">
        <v>42881.0</v>
      </c>
      <c r="AE1563" s="14"/>
      <c r="AF1563" s="14">
        <v>42881.0</v>
      </c>
      <c r="AG1563" s="22"/>
      <c r="AH1563" s="22"/>
      <c r="AI1563" s="22"/>
      <c r="AJ1563" s="22"/>
      <c r="AK1563" s="22"/>
      <c r="AL1563" s="22"/>
      <c r="AM1563" s="22"/>
      <c r="AN1563" s="22"/>
      <c r="AO1563" s="22"/>
      <c r="AP1563" s="22"/>
    </row>
    <row r="1564" hidden="1">
      <c r="A1564" s="148">
        <v>46164.0</v>
      </c>
      <c r="B1564" s="149">
        <v>0.5</v>
      </c>
      <c r="C1564" s="11" t="s">
        <v>58</v>
      </c>
      <c r="D1564" s="102" t="s">
        <v>3083</v>
      </c>
      <c r="E1564" s="10" t="s">
        <v>71</v>
      </c>
      <c r="F1564" s="10" t="s">
        <v>4692</v>
      </c>
      <c r="G1564" s="11" t="s">
        <v>4784</v>
      </c>
      <c r="H1564" s="11" t="s">
        <v>4785</v>
      </c>
      <c r="I1564" s="10" t="s">
        <v>61</v>
      </c>
      <c r="J1564" s="14">
        <v>5824.0</v>
      </c>
      <c r="K1564" s="14">
        <v>3701.0</v>
      </c>
      <c r="L1564" s="17">
        <v>0.6355</v>
      </c>
      <c r="M1564" s="150">
        <v>0.0</v>
      </c>
      <c r="N1564" s="136">
        <v>0.0</v>
      </c>
      <c r="O1564" s="18">
        <v>3.0</v>
      </c>
      <c r="P1564" s="92">
        <v>0.0</v>
      </c>
      <c r="Q1564" s="137">
        <v>8.0E-4</v>
      </c>
      <c r="R1564" s="17">
        <v>0.0</v>
      </c>
      <c r="S1564" s="18">
        <v>0.0</v>
      </c>
      <c r="T1564" s="18">
        <v>0.0</v>
      </c>
      <c r="U1564" s="151">
        <v>0.0</v>
      </c>
      <c r="V1564" s="92" t="s">
        <v>315</v>
      </c>
      <c r="W1564" s="18" t="s">
        <v>62</v>
      </c>
      <c r="X1564" s="42" t="s">
        <v>4502</v>
      </c>
      <c r="Y1564" s="159">
        <v>46164.0</v>
      </c>
      <c r="Z1564" s="18" t="s">
        <v>4786</v>
      </c>
      <c r="AA1564" s="92">
        <v>4.0</v>
      </c>
      <c r="AB1564" s="18"/>
      <c r="AC1564" s="18">
        <v>4.0</v>
      </c>
      <c r="AD1564" s="172">
        <v>23390.0</v>
      </c>
      <c r="AE1564" s="14"/>
      <c r="AF1564" s="14">
        <v>23390.0</v>
      </c>
      <c r="AG1564" s="22"/>
      <c r="AH1564" s="22"/>
      <c r="AI1564" s="22"/>
      <c r="AJ1564" s="22"/>
      <c r="AK1564" s="22"/>
      <c r="AL1564" s="22"/>
      <c r="AM1564" s="22"/>
      <c r="AN1564" s="22"/>
      <c r="AO1564" s="22"/>
      <c r="AP1564" s="22"/>
    </row>
    <row r="1565" hidden="1">
      <c r="A1565" s="148">
        <v>46164.0</v>
      </c>
      <c r="B1565" s="149">
        <v>0.5</v>
      </c>
      <c r="C1565" s="11" t="s">
        <v>58</v>
      </c>
      <c r="D1565" s="102" t="s">
        <v>3083</v>
      </c>
      <c r="E1565" s="10" t="s">
        <v>71</v>
      </c>
      <c r="F1565" s="10" t="s">
        <v>4692</v>
      </c>
      <c r="G1565" s="11" t="s">
        <v>4787</v>
      </c>
      <c r="H1565" s="11" t="s">
        <v>4788</v>
      </c>
      <c r="I1565" s="10" t="s">
        <v>61</v>
      </c>
      <c r="J1565" s="14">
        <v>10130.0</v>
      </c>
      <c r="K1565" s="14">
        <v>6423.0</v>
      </c>
      <c r="L1565" s="17">
        <v>0.6341</v>
      </c>
      <c r="M1565" s="150">
        <v>0.0</v>
      </c>
      <c r="N1565" s="136">
        <v>0.0</v>
      </c>
      <c r="O1565" s="18">
        <v>8.0</v>
      </c>
      <c r="P1565" s="92">
        <v>0.0</v>
      </c>
      <c r="Q1565" s="137">
        <v>0.0012</v>
      </c>
      <c r="R1565" s="17">
        <v>0.0</v>
      </c>
      <c r="S1565" s="18">
        <v>0.0</v>
      </c>
      <c r="T1565" s="18">
        <v>0.0</v>
      </c>
      <c r="U1565" s="151">
        <v>0.0</v>
      </c>
      <c r="V1565" s="92" t="s">
        <v>315</v>
      </c>
      <c r="W1565" s="18" t="s">
        <v>62</v>
      </c>
      <c r="X1565" s="42" t="s">
        <v>4502</v>
      </c>
      <c r="Y1565" s="159">
        <v>46164.0</v>
      </c>
      <c r="Z1565" s="18" t="s">
        <v>4789</v>
      </c>
      <c r="AA1565" s="92">
        <v>4.0</v>
      </c>
      <c r="AB1565" s="18"/>
      <c r="AC1565" s="18">
        <v>4.0</v>
      </c>
      <c r="AD1565" s="172">
        <v>19687.0</v>
      </c>
      <c r="AE1565" s="14"/>
      <c r="AF1565" s="14">
        <v>19687.0</v>
      </c>
      <c r="AG1565" s="22"/>
      <c r="AH1565" s="22"/>
      <c r="AI1565" s="22"/>
      <c r="AJ1565" s="22"/>
      <c r="AK1565" s="22"/>
      <c r="AL1565" s="22"/>
      <c r="AM1565" s="22"/>
      <c r="AN1565" s="22"/>
      <c r="AO1565" s="22"/>
      <c r="AP1565" s="22"/>
    </row>
    <row r="1566" hidden="1">
      <c r="A1566" s="148">
        <v>46164.0</v>
      </c>
      <c r="B1566" s="149">
        <v>0.5</v>
      </c>
      <c r="C1566" s="11" t="s">
        <v>58</v>
      </c>
      <c r="D1566" s="102" t="s">
        <v>3083</v>
      </c>
      <c r="E1566" s="10" t="s">
        <v>71</v>
      </c>
      <c r="F1566" s="10" t="s">
        <v>4692</v>
      </c>
      <c r="G1566" s="11" t="s">
        <v>4790</v>
      </c>
      <c r="H1566" s="11" t="s">
        <v>4791</v>
      </c>
      <c r="I1566" s="10" t="s">
        <v>61</v>
      </c>
      <c r="J1566" s="14">
        <v>7734.0</v>
      </c>
      <c r="K1566" s="14">
        <v>4919.0</v>
      </c>
      <c r="L1566" s="17">
        <v>0.636</v>
      </c>
      <c r="M1566" s="150">
        <v>0.0</v>
      </c>
      <c r="N1566" s="136">
        <v>0.0</v>
      </c>
      <c r="O1566" s="18">
        <v>6.0</v>
      </c>
      <c r="P1566" s="92">
        <v>0.0</v>
      </c>
      <c r="Q1566" s="137">
        <v>0.0012</v>
      </c>
      <c r="R1566" s="17">
        <v>0.0</v>
      </c>
      <c r="S1566" s="18">
        <v>0.0</v>
      </c>
      <c r="T1566" s="18">
        <v>0.0</v>
      </c>
      <c r="U1566" s="151">
        <v>0.0</v>
      </c>
      <c r="V1566" s="92" t="s">
        <v>315</v>
      </c>
      <c r="W1566" s="18" t="s">
        <v>62</v>
      </c>
      <c r="X1566" s="42" t="s">
        <v>4502</v>
      </c>
      <c r="Y1566" s="159">
        <v>46164.0</v>
      </c>
      <c r="Z1566" s="18" t="s">
        <v>4792</v>
      </c>
      <c r="AA1566" s="92">
        <v>4.0</v>
      </c>
      <c r="AB1566" s="18"/>
      <c r="AC1566" s="18">
        <v>4.0</v>
      </c>
      <c r="AD1566" s="172">
        <v>28424.0</v>
      </c>
      <c r="AE1566" s="14"/>
      <c r="AF1566" s="14">
        <v>28424.0</v>
      </c>
      <c r="AG1566" s="22"/>
      <c r="AH1566" s="22"/>
      <c r="AI1566" s="22"/>
      <c r="AJ1566" s="22"/>
      <c r="AK1566" s="22"/>
      <c r="AL1566" s="22"/>
      <c r="AM1566" s="22"/>
      <c r="AN1566" s="22"/>
      <c r="AO1566" s="22"/>
      <c r="AP1566" s="22"/>
    </row>
    <row r="1567" hidden="1">
      <c r="A1567" s="148">
        <v>46164.0</v>
      </c>
      <c r="B1567" s="149">
        <v>0.5</v>
      </c>
      <c r="C1567" s="11" t="s">
        <v>58</v>
      </c>
      <c r="D1567" s="102" t="s">
        <v>3083</v>
      </c>
      <c r="E1567" s="10" t="s">
        <v>71</v>
      </c>
      <c r="F1567" s="10" t="s">
        <v>4692</v>
      </c>
      <c r="G1567" s="11" t="s">
        <v>4793</v>
      </c>
      <c r="H1567" s="11" t="s">
        <v>4794</v>
      </c>
      <c r="I1567" s="10" t="s">
        <v>61</v>
      </c>
      <c r="J1567" s="14">
        <v>8339.0</v>
      </c>
      <c r="K1567" s="14">
        <v>4224.0</v>
      </c>
      <c r="L1567" s="17">
        <v>0.5065</v>
      </c>
      <c r="M1567" s="150">
        <v>0.0</v>
      </c>
      <c r="N1567" s="136">
        <v>0.0</v>
      </c>
      <c r="O1567" s="18">
        <v>16.0</v>
      </c>
      <c r="P1567" s="92">
        <v>0.0</v>
      </c>
      <c r="Q1567" s="137">
        <v>0.0038</v>
      </c>
      <c r="R1567" s="17">
        <v>0.0</v>
      </c>
      <c r="S1567" s="18">
        <v>0.0</v>
      </c>
      <c r="T1567" s="18">
        <v>0.0</v>
      </c>
      <c r="U1567" s="151">
        <v>0.0</v>
      </c>
      <c r="V1567" s="92" t="s">
        <v>315</v>
      </c>
      <c r="W1567" s="18" t="s">
        <v>62</v>
      </c>
      <c r="X1567" s="42" t="s">
        <v>4502</v>
      </c>
      <c r="Y1567" s="159">
        <v>46164.0</v>
      </c>
      <c r="Z1567" s="18" t="s">
        <v>4795</v>
      </c>
      <c r="AA1567" s="92">
        <v>8.0</v>
      </c>
      <c r="AB1567" s="18"/>
      <c r="AC1567" s="18">
        <v>8.0</v>
      </c>
      <c r="AD1567" s="172">
        <v>36682.0</v>
      </c>
      <c r="AE1567" s="14"/>
      <c r="AF1567" s="14">
        <v>36682.0</v>
      </c>
      <c r="AG1567" s="22"/>
      <c r="AH1567" s="22"/>
      <c r="AI1567" s="22"/>
      <c r="AJ1567" s="22"/>
      <c r="AK1567" s="22"/>
      <c r="AL1567" s="22"/>
      <c r="AM1567" s="22"/>
      <c r="AN1567" s="22"/>
      <c r="AO1567" s="22"/>
      <c r="AP1567" s="22"/>
    </row>
    <row r="1568" hidden="1">
      <c r="A1568" s="148">
        <v>46164.0</v>
      </c>
      <c r="B1568" s="149">
        <v>0.5</v>
      </c>
      <c r="C1568" s="11" t="s">
        <v>58</v>
      </c>
      <c r="D1568" s="102" t="s">
        <v>3083</v>
      </c>
      <c r="E1568" s="10" t="s">
        <v>71</v>
      </c>
      <c r="F1568" s="10" t="s">
        <v>4692</v>
      </c>
      <c r="G1568" s="11" t="s">
        <v>4796</v>
      </c>
      <c r="H1568" s="11" t="s">
        <v>4797</v>
      </c>
      <c r="I1568" s="10" t="s">
        <v>61</v>
      </c>
      <c r="J1568" s="14">
        <v>8896.0</v>
      </c>
      <c r="K1568" s="14">
        <v>4766.0</v>
      </c>
      <c r="L1568" s="17">
        <v>0.5357</v>
      </c>
      <c r="M1568" s="150">
        <v>0.0</v>
      </c>
      <c r="N1568" s="136">
        <v>0.0</v>
      </c>
      <c r="O1568" s="18">
        <v>13.0</v>
      </c>
      <c r="P1568" s="92">
        <v>0.0</v>
      </c>
      <c r="Q1568" s="137">
        <v>0.0027</v>
      </c>
      <c r="R1568" s="17">
        <v>0.0</v>
      </c>
      <c r="S1568" s="18">
        <v>0.0</v>
      </c>
      <c r="T1568" s="18">
        <v>0.0</v>
      </c>
      <c r="U1568" s="151">
        <v>0.0</v>
      </c>
      <c r="V1568" s="92" t="s">
        <v>315</v>
      </c>
      <c r="W1568" s="18" t="s">
        <v>62</v>
      </c>
      <c r="X1568" s="42" t="s">
        <v>4502</v>
      </c>
      <c r="Y1568" s="159">
        <v>46164.0</v>
      </c>
      <c r="Z1568" s="18" t="s">
        <v>4798</v>
      </c>
      <c r="AA1568" s="92">
        <v>9.0</v>
      </c>
      <c r="AB1568" s="18"/>
      <c r="AC1568" s="18">
        <v>9.0</v>
      </c>
      <c r="AD1568" s="172">
        <v>35181.0</v>
      </c>
      <c r="AE1568" s="14"/>
      <c r="AF1568" s="14">
        <v>35181.0</v>
      </c>
      <c r="AG1568" s="22"/>
      <c r="AH1568" s="22"/>
      <c r="AI1568" s="22"/>
      <c r="AJ1568" s="22"/>
      <c r="AK1568" s="22"/>
      <c r="AL1568" s="22"/>
      <c r="AM1568" s="22"/>
      <c r="AN1568" s="22"/>
      <c r="AO1568" s="22"/>
      <c r="AP1568" s="22"/>
    </row>
    <row r="1569" hidden="1">
      <c r="A1569" s="148">
        <v>46164.0</v>
      </c>
      <c r="B1569" s="149">
        <v>0.5</v>
      </c>
      <c r="C1569" s="11" t="s">
        <v>58</v>
      </c>
      <c r="D1569" s="102" t="s">
        <v>3083</v>
      </c>
      <c r="E1569" s="10" t="s">
        <v>71</v>
      </c>
      <c r="F1569" s="10" t="s">
        <v>4692</v>
      </c>
      <c r="G1569" s="11" t="s">
        <v>4799</v>
      </c>
      <c r="H1569" s="11" t="s">
        <v>4800</v>
      </c>
      <c r="I1569" s="10" t="s">
        <v>61</v>
      </c>
      <c r="J1569" s="14">
        <v>3303.0</v>
      </c>
      <c r="K1569" s="14">
        <v>1864.0</v>
      </c>
      <c r="L1569" s="17">
        <v>0.5643</v>
      </c>
      <c r="M1569" s="150">
        <v>0.0</v>
      </c>
      <c r="N1569" s="136">
        <v>0.0</v>
      </c>
      <c r="O1569" s="18">
        <v>5.0</v>
      </c>
      <c r="P1569" s="92">
        <v>0.0</v>
      </c>
      <c r="Q1569" s="137">
        <v>0.0027</v>
      </c>
      <c r="R1569" s="17">
        <v>0.0</v>
      </c>
      <c r="S1569" s="18">
        <v>0.0</v>
      </c>
      <c r="T1569" s="18">
        <v>0.0</v>
      </c>
      <c r="U1569" s="151">
        <v>0.0</v>
      </c>
      <c r="V1569" s="92" t="s">
        <v>315</v>
      </c>
      <c r="W1569" s="18" t="s">
        <v>62</v>
      </c>
      <c r="X1569" s="42" t="s">
        <v>4502</v>
      </c>
      <c r="Y1569" s="159">
        <v>46164.0</v>
      </c>
      <c r="Z1569" s="18" t="s">
        <v>4801</v>
      </c>
      <c r="AA1569" s="92">
        <v>0.0</v>
      </c>
      <c r="AB1569" s="18"/>
      <c r="AC1569" s="18">
        <v>0.0</v>
      </c>
      <c r="AD1569" s="172">
        <v>0.0</v>
      </c>
      <c r="AE1569" s="14"/>
      <c r="AF1569" s="14">
        <v>0.0</v>
      </c>
      <c r="AG1569" s="22"/>
      <c r="AH1569" s="22"/>
      <c r="AI1569" s="22"/>
      <c r="AJ1569" s="22"/>
      <c r="AK1569" s="22"/>
      <c r="AL1569" s="22"/>
      <c r="AM1569" s="22"/>
      <c r="AN1569" s="22"/>
      <c r="AO1569" s="22"/>
      <c r="AP1569" s="22"/>
    </row>
    <row r="1570" hidden="1">
      <c r="A1570" s="148">
        <v>46164.0</v>
      </c>
      <c r="B1570" s="149">
        <v>0.5</v>
      </c>
      <c r="C1570" s="11" t="s">
        <v>58</v>
      </c>
      <c r="D1570" s="102" t="s">
        <v>3083</v>
      </c>
      <c r="E1570" s="10" t="s">
        <v>71</v>
      </c>
      <c r="F1570" s="10" t="s">
        <v>4692</v>
      </c>
      <c r="G1570" s="11" t="s">
        <v>4802</v>
      </c>
      <c r="H1570" s="11" t="s">
        <v>4803</v>
      </c>
      <c r="I1570" s="10" t="s">
        <v>61</v>
      </c>
      <c r="J1570" s="14">
        <v>3169.0</v>
      </c>
      <c r="K1570" s="14">
        <v>1805.0</v>
      </c>
      <c r="L1570" s="17">
        <v>0.5696</v>
      </c>
      <c r="M1570" s="150">
        <v>0.0</v>
      </c>
      <c r="N1570" s="136">
        <v>0.0</v>
      </c>
      <c r="O1570" s="18">
        <v>1.0</v>
      </c>
      <c r="P1570" s="92">
        <v>0.0</v>
      </c>
      <c r="Q1570" s="137">
        <v>6.0E-4</v>
      </c>
      <c r="R1570" s="17">
        <v>0.0</v>
      </c>
      <c r="S1570" s="18">
        <v>0.0</v>
      </c>
      <c r="T1570" s="18">
        <v>0.0</v>
      </c>
      <c r="U1570" s="151">
        <v>0.0</v>
      </c>
      <c r="V1570" s="92" t="s">
        <v>315</v>
      </c>
      <c r="W1570" s="18" t="s">
        <v>62</v>
      </c>
      <c r="X1570" s="42" t="s">
        <v>4502</v>
      </c>
      <c r="Y1570" s="159">
        <v>46164.0</v>
      </c>
      <c r="Z1570" s="18" t="s">
        <v>4804</v>
      </c>
      <c r="AA1570" s="92">
        <v>3.0</v>
      </c>
      <c r="AB1570" s="18"/>
      <c r="AC1570" s="18">
        <v>3.0</v>
      </c>
      <c r="AD1570" s="172">
        <v>8195.0</v>
      </c>
      <c r="AE1570" s="14"/>
      <c r="AF1570" s="14">
        <v>8195.0</v>
      </c>
      <c r="AG1570" s="22"/>
      <c r="AH1570" s="22"/>
      <c r="AI1570" s="22"/>
      <c r="AJ1570" s="22"/>
      <c r="AK1570" s="22"/>
      <c r="AL1570" s="22"/>
      <c r="AM1570" s="22"/>
      <c r="AN1570" s="22"/>
      <c r="AO1570" s="22"/>
      <c r="AP1570" s="22"/>
    </row>
    <row r="1571" hidden="1">
      <c r="A1571" s="148">
        <v>46164.0</v>
      </c>
      <c r="B1571" s="149">
        <v>0.5</v>
      </c>
      <c r="C1571" s="11" t="s">
        <v>58</v>
      </c>
      <c r="D1571" s="102" t="s">
        <v>3083</v>
      </c>
      <c r="E1571" s="10" t="s">
        <v>71</v>
      </c>
      <c r="F1571" s="10" t="s">
        <v>4692</v>
      </c>
      <c r="G1571" s="11" t="s">
        <v>4805</v>
      </c>
      <c r="H1571" s="11" t="s">
        <v>4806</v>
      </c>
      <c r="I1571" s="10" t="s">
        <v>61</v>
      </c>
      <c r="J1571" s="14">
        <v>2127.0</v>
      </c>
      <c r="K1571" s="14">
        <v>1386.0</v>
      </c>
      <c r="L1571" s="17">
        <v>0.6516</v>
      </c>
      <c r="M1571" s="150">
        <v>0.0</v>
      </c>
      <c r="N1571" s="136">
        <v>0.0</v>
      </c>
      <c r="O1571" s="18">
        <v>0.0</v>
      </c>
      <c r="P1571" s="92">
        <v>0.0</v>
      </c>
      <c r="Q1571" s="137">
        <v>0.0</v>
      </c>
      <c r="R1571" s="17">
        <v>0.0</v>
      </c>
      <c r="S1571" s="18">
        <v>0.0</v>
      </c>
      <c r="T1571" s="18">
        <v>0.0</v>
      </c>
      <c r="U1571" s="151">
        <v>0.0</v>
      </c>
      <c r="V1571" s="92" t="s">
        <v>315</v>
      </c>
      <c r="W1571" s="18" t="s">
        <v>62</v>
      </c>
      <c r="X1571" s="42" t="s">
        <v>4502</v>
      </c>
      <c r="Y1571" s="159">
        <v>46164.0</v>
      </c>
      <c r="Z1571" s="18" t="s">
        <v>4807</v>
      </c>
      <c r="AA1571" s="92">
        <v>0.0</v>
      </c>
      <c r="AB1571" s="18"/>
      <c r="AC1571" s="18">
        <v>0.0</v>
      </c>
      <c r="AD1571" s="172">
        <v>0.0</v>
      </c>
      <c r="AE1571" s="14"/>
      <c r="AF1571" s="14">
        <v>0.0</v>
      </c>
      <c r="AG1571" s="22"/>
      <c r="AH1571" s="22"/>
      <c r="AI1571" s="22"/>
      <c r="AJ1571" s="22"/>
      <c r="AK1571" s="22"/>
      <c r="AL1571" s="22"/>
      <c r="AM1571" s="22"/>
      <c r="AN1571" s="22"/>
      <c r="AO1571" s="22"/>
      <c r="AP1571" s="22"/>
    </row>
    <row r="1572" hidden="1">
      <c r="A1572" s="148">
        <v>46164.0</v>
      </c>
      <c r="B1572" s="149">
        <v>0.5</v>
      </c>
      <c r="C1572" s="11" t="s">
        <v>58</v>
      </c>
      <c r="D1572" s="102" t="s">
        <v>3083</v>
      </c>
      <c r="E1572" s="10" t="s">
        <v>71</v>
      </c>
      <c r="F1572" s="10" t="s">
        <v>4692</v>
      </c>
      <c r="G1572" s="11" t="s">
        <v>4808</v>
      </c>
      <c r="H1572" s="11" t="s">
        <v>4809</v>
      </c>
      <c r="I1572" s="10" t="s">
        <v>61</v>
      </c>
      <c r="J1572" s="14">
        <v>2128.0</v>
      </c>
      <c r="K1572" s="14">
        <v>1192.0</v>
      </c>
      <c r="L1572" s="17">
        <v>0.5602</v>
      </c>
      <c r="M1572" s="150">
        <v>0.0</v>
      </c>
      <c r="N1572" s="136">
        <v>0.0</v>
      </c>
      <c r="O1572" s="18">
        <v>8.0</v>
      </c>
      <c r="P1572" s="92">
        <v>0.0</v>
      </c>
      <c r="Q1572" s="137">
        <v>0.0067</v>
      </c>
      <c r="R1572" s="17">
        <v>0.0</v>
      </c>
      <c r="S1572" s="18">
        <v>0.0</v>
      </c>
      <c r="T1572" s="18">
        <v>0.0</v>
      </c>
      <c r="U1572" s="151">
        <v>0.0</v>
      </c>
      <c r="V1572" s="92" t="s">
        <v>315</v>
      </c>
      <c r="W1572" s="18" t="s">
        <v>62</v>
      </c>
      <c r="X1572" s="42" t="s">
        <v>4502</v>
      </c>
      <c r="Y1572" s="159">
        <v>46164.0</v>
      </c>
      <c r="Z1572" s="18" t="s">
        <v>4810</v>
      </c>
      <c r="AA1572" s="92">
        <v>0.0</v>
      </c>
      <c r="AB1572" s="18"/>
      <c r="AC1572" s="18">
        <v>0.0</v>
      </c>
      <c r="AD1572" s="172">
        <v>0.0</v>
      </c>
      <c r="AE1572" s="14"/>
      <c r="AF1572" s="14">
        <v>0.0</v>
      </c>
      <c r="AG1572" s="22"/>
      <c r="AH1572" s="22"/>
      <c r="AI1572" s="22"/>
      <c r="AJ1572" s="22"/>
      <c r="AK1572" s="22"/>
      <c r="AL1572" s="22"/>
      <c r="AM1572" s="22"/>
      <c r="AN1572" s="22"/>
      <c r="AO1572" s="22"/>
      <c r="AP1572" s="22"/>
    </row>
    <row r="1573" hidden="1">
      <c r="A1573" s="148">
        <v>46164.0</v>
      </c>
      <c r="B1573" s="149">
        <v>0.4583333333333333</v>
      </c>
      <c r="C1573" s="11" t="s">
        <v>32</v>
      </c>
      <c r="D1573" s="102" t="s">
        <v>33</v>
      </c>
      <c r="E1573" s="10" t="s">
        <v>71</v>
      </c>
      <c r="F1573" s="10" t="s">
        <v>4692</v>
      </c>
      <c r="G1573" s="11" t="s">
        <v>4811</v>
      </c>
      <c r="H1573" s="11" t="s">
        <v>4725</v>
      </c>
      <c r="I1573" s="10" t="s">
        <v>4812</v>
      </c>
      <c r="J1573" s="14">
        <v>30521.0</v>
      </c>
      <c r="K1573" s="14">
        <v>15435.0</v>
      </c>
      <c r="L1573" s="17">
        <v>0.5057</v>
      </c>
      <c r="M1573" s="150">
        <v>5653.0</v>
      </c>
      <c r="N1573" s="136">
        <v>0.3662</v>
      </c>
      <c r="O1573" s="18">
        <v>518.0</v>
      </c>
      <c r="P1573" s="92">
        <v>493.0</v>
      </c>
      <c r="Q1573" s="137">
        <v>0.0319</v>
      </c>
      <c r="R1573" s="17">
        <v>0.0872</v>
      </c>
      <c r="S1573" s="18">
        <v>0.0</v>
      </c>
      <c r="T1573" s="18">
        <v>0.0</v>
      </c>
      <c r="U1573" s="151">
        <v>0.0</v>
      </c>
      <c r="V1573" s="92" t="s">
        <v>183</v>
      </c>
      <c r="W1573" s="18" t="s">
        <v>76</v>
      </c>
      <c r="X1573" s="42" t="s">
        <v>52</v>
      </c>
      <c r="Y1573" s="159" t="s">
        <v>4813</v>
      </c>
      <c r="Z1573" s="18" t="s">
        <v>4814</v>
      </c>
      <c r="AA1573" s="92">
        <v>157.0</v>
      </c>
      <c r="AB1573" s="18">
        <v>38.0</v>
      </c>
      <c r="AC1573" s="18">
        <v>119.0</v>
      </c>
      <c r="AD1573" s="172">
        <v>799484.0</v>
      </c>
      <c r="AE1573" s="14">
        <v>159114.0</v>
      </c>
      <c r="AF1573" s="14">
        <v>640370.0</v>
      </c>
      <c r="AG1573" s="22"/>
      <c r="AH1573" s="22"/>
      <c r="AI1573" s="22"/>
      <c r="AJ1573" s="22"/>
      <c r="AK1573" s="22"/>
      <c r="AL1573" s="22"/>
      <c r="AM1573" s="22"/>
      <c r="AN1573" s="22"/>
      <c r="AO1573" s="22"/>
      <c r="AP1573" s="22"/>
    </row>
    <row r="1574" hidden="1">
      <c r="A1574" s="148">
        <v>46164.0</v>
      </c>
      <c r="B1574" s="149">
        <v>0.4583333333333333</v>
      </c>
      <c r="C1574" s="11" t="s">
        <v>32</v>
      </c>
      <c r="D1574" s="102" t="s">
        <v>33</v>
      </c>
      <c r="E1574" s="10" t="s">
        <v>71</v>
      </c>
      <c r="F1574" s="10" t="s">
        <v>4692</v>
      </c>
      <c r="G1574" s="11" t="s">
        <v>4815</v>
      </c>
      <c r="H1574" s="11" t="s">
        <v>4752</v>
      </c>
      <c r="I1574" s="10" t="s">
        <v>4816</v>
      </c>
      <c r="J1574" s="14">
        <v>14821.0</v>
      </c>
      <c r="K1574" s="14">
        <v>5744.0</v>
      </c>
      <c r="L1574" s="17">
        <v>0.3876</v>
      </c>
      <c r="M1574" s="150">
        <v>2286.0</v>
      </c>
      <c r="N1574" s="136">
        <v>0.398</v>
      </c>
      <c r="O1574" s="18">
        <v>285.0</v>
      </c>
      <c r="P1574" s="92">
        <v>277.0</v>
      </c>
      <c r="Q1574" s="137">
        <v>0.0482</v>
      </c>
      <c r="R1574" s="17">
        <v>0.1212</v>
      </c>
      <c r="S1574" s="18">
        <v>0.0</v>
      </c>
      <c r="T1574" s="18">
        <v>0.0</v>
      </c>
      <c r="U1574" s="151">
        <v>0.0</v>
      </c>
      <c r="V1574" s="92" t="s">
        <v>315</v>
      </c>
      <c r="W1574" s="18" t="s">
        <v>76</v>
      </c>
      <c r="X1574" s="42" t="s">
        <v>4502</v>
      </c>
      <c r="Y1574" s="159" t="s">
        <v>4813</v>
      </c>
      <c r="Z1574" s="18" t="s">
        <v>4817</v>
      </c>
      <c r="AA1574" s="92">
        <v>40.0</v>
      </c>
      <c r="AB1574" s="18"/>
      <c r="AC1574" s="18">
        <v>40.0</v>
      </c>
      <c r="AD1574" s="172">
        <v>213578.0</v>
      </c>
      <c r="AE1574" s="14"/>
      <c r="AF1574" s="14">
        <v>213578.0</v>
      </c>
      <c r="AG1574" s="22"/>
      <c r="AH1574" s="22"/>
      <c r="AI1574" s="22"/>
      <c r="AJ1574" s="22"/>
      <c r="AK1574" s="22"/>
      <c r="AL1574" s="22"/>
      <c r="AM1574" s="22"/>
      <c r="AN1574" s="22"/>
      <c r="AO1574" s="22"/>
      <c r="AP1574" s="22"/>
    </row>
    <row r="1575" hidden="1">
      <c r="A1575" s="148">
        <v>46164.0</v>
      </c>
      <c r="B1575" s="149">
        <v>0.4583333333333333</v>
      </c>
      <c r="C1575" s="11" t="s">
        <v>32</v>
      </c>
      <c r="D1575" s="102" t="s">
        <v>33</v>
      </c>
      <c r="E1575" s="10" t="s">
        <v>71</v>
      </c>
      <c r="F1575" s="10" t="s">
        <v>4692</v>
      </c>
      <c r="G1575" s="11" t="s">
        <v>4818</v>
      </c>
      <c r="H1575" s="11" t="s">
        <v>4728</v>
      </c>
      <c r="I1575" s="10" t="s">
        <v>4819</v>
      </c>
      <c r="J1575" s="14">
        <v>18472.0</v>
      </c>
      <c r="K1575" s="14">
        <v>9499.0</v>
      </c>
      <c r="L1575" s="17">
        <v>0.5142</v>
      </c>
      <c r="M1575" s="150">
        <v>3846.0</v>
      </c>
      <c r="N1575" s="136">
        <v>0.4049</v>
      </c>
      <c r="O1575" s="18">
        <v>437.0</v>
      </c>
      <c r="P1575" s="92">
        <v>415.0</v>
      </c>
      <c r="Q1575" s="137">
        <v>0.0437</v>
      </c>
      <c r="R1575" s="17">
        <v>0.1079</v>
      </c>
      <c r="S1575" s="18">
        <v>0.0</v>
      </c>
      <c r="T1575" s="18">
        <v>0.0</v>
      </c>
      <c r="U1575" s="151">
        <v>0.0</v>
      </c>
      <c r="V1575" s="92" t="s">
        <v>315</v>
      </c>
      <c r="W1575" s="18" t="s">
        <v>76</v>
      </c>
      <c r="X1575" s="42" t="s">
        <v>4502</v>
      </c>
      <c r="Y1575" s="159" t="s">
        <v>4813</v>
      </c>
      <c r="Z1575" s="18" t="s">
        <v>4820</v>
      </c>
      <c r="AA1575" s="92">
        <v>52.0</v>
      </c>
      <c r="AB1575" s="18"/>
      <c r="AC1575" s="18">
        <v>52.0</v>
      </c>
      <c r="AD1575" s="172">
        <v>271339.0</v>
      </c>
      <c r="AE1575" s="14"/>
      <c r="AF1575" s="14">
        <v>271339.0</v>
      </c>
      <c r="AG1575" s="22"/>
      <c r="AH1575" s="22"/>
      <c r="AI1575" s="22"/>
      <c r="AJ1575" s="22"/>
      <c r="AK1575" s="22"/>
      <c r="AL1575" s="22"/>
      <c r="AM1575" s="22"/>
      <c r="AN1575" s="22"/>
      <c r="AO1575" s="22"/>
      <c r="AP1575" s="22"/>
    </row>
    <row r="1576" hidden="1">
      <c r="A1576" s="148">
        <v>46164.0</v>
      </c>
      <c r="B1576" s="149">
        <v>0.4583333333333333</v>
      </c>
      <c r="C1576" s="11" t="s">
        <v>32</v>
      </c>
      <c r="D1576" s="102" t="s">
        <v>33</v>
      </c>
      <c r="E1576" s="10" t="s">
        <v>71</v>
      </c>
      <c r="F1576" s="10" t="s">
        <v>4692</v>
      </c>
      <c r="G1576" s="11" t="s">
        <v>4821</v>
      </c>
      <c r="H1576" s="11" t="s">
        <v>4755</v>
      </c>
      <c r="I1576" s="10" t="s">
        <v>4822</v>
      </c>
      <c r="J1576" s="14">
        <v>6121.0</v>
      </c>
      <c r="K1576" s="14">
        <v>3242.0</v>
      </c>
      <c r="L1576" s="17">
        <v>0.5295</v>
      </c>
      <c r="M1576" s="150">
        <v>1432.0</v>
      </c>
      <c r="N1576" s="136">
        <v>0.4418</v>
      </c>
      <c r="O1576" s="18">
        <v>176.0</v>
      </c>
      <c r="P1576" s="92">
        <v>172.0</v>
      </c>
      <c r="Q1576" s="137">
        <v>0.0531</v>
      </c>
      <c r="R1576" s="17">
        <v>0.1201</v>
      </c>
      <c r="S1576" s="18">
        <v>0.0</v>
      </c>
      <c r="T1576" s="18">
        <v>0.0</v>
      </c>
      <c r="U1576" s="151">
        <v>0.0</v>
      </c>
      <c r="V1576" s="92" t="s">
        <v>315</v>
      </c>
      <c r="W1576" s="18" t="s">
        <v>76</v>
      </c>
      <c r="X1576" s="42" t="s">
        <v>4502</v>
      </c>
      <c r="Y1576" s="159" t="s">
        <v>4813</v>
      </c>
      <c r="Z1576" s="18" t="s">
        <v>4823</v>
      </c>
      <c r="AA1576" s="92">
        <v>20.0</v>
      </c>
      <c r="AB1576" s="18"/>
      <c r="AC1576" s="18">
        <v>20.0</v>
      </c>
      <c r="AD1576" s="172">
        <v>153527.0</v>
      </c>
      <c r="AE1576" s="14"/>
      <c r="AF1576" s="14">
        <v>153527.0</v>
      </c>
      <c r="AG1576" s="22"/>
      <c r="AH1576" s="22"/>
      <c r="AI1576" s="22"/>
      <c r="AJ1576" s="22"/>
      <c r="AK1576" s="22"/>
      <c r="AL1576" s="22"/>
      <c r="AM1576" s="22"/>
      <c r="AN1576" s="22"/>
      <c r="AO1576" s="22"/>
      <c r="AP1576" s="22"/>
    </row>
    <row r="1577" hidden="1">
      <c r="A1577" s="148">
        <v>46164.0</v>
      </c>
      <c r="B1577" s="149">
        <v>0.4583333333333333</v>
      </c>
      <c r="C1577" s="11" t="s">
        <v>32</v>
      </c>
      <c r="D1577" s="102" t="s">
        <v>33</v>
      </c>
      <c r="E1577" s="10" t="s">
        <v>71</v>
      </c>
      <c r="F1577" s="10" t="s">
        <v>4692</v>
      </c>
      <c r="G1577" s="11" t="s">
        <v>4824</v>
      </c>
      <c r="H1577" s="11" t="s">
        <v>4731</v>
      </c>
      <c r="I1577" s="10" t="s">
        <v>4825</v>
      </c>
      <c r="J1577" s="14">
        <v>9987.0</v>
      </c>
      <c r="K1577" s="14">
        <v>5356.0</v>
      </c>
      <c r="L1577" s="17">
        <v>0.5362</v>
      </c>
      <c r="M1577" s="150">
        <v>2145.0</v>
      </c>
      <c r="N1577" s="136">
        <v>0.4006</v>
      </c>
      <c r="O1577" s="18">
        <v>250.0</v>
      </c>
      <c r="P1577" s="92">
        <v>246.0</v>
      </c>
      <c r="Q1577" s="137">
        <v>0.0459</v>
      </c>
      <c r="R1577" s="17">
        <v>0.1147</v>
      </c>
      <c r="S1577" s="18">
        <v>0.0</v>
      </c>
      <c r="T1577" s="18">
        <v>0.0</v>
      </c>
      <c r="U1577" s="151">
        <v>0.0</v>
      </c>
      <c r="V1577" s="92" t="s">
        <v>315</v>
      </c>
      <c r="W1577" s="18" t="s">
        <v>76</v>
      </c>
      <c r="X1577" s="42" t="s">
        <v>4502</v>
      </c>
      <c r="Y1577" s="159" t="s">
        <v>4813</v>
      </c>
      <c r="Z1577" s="18" t="s">
        <v>4826</v>
      </c>
      <c r="AA1577" s="92">
        <v>47.0</v>
      </c>
      <c r="AB1577" s="18"/>
      <c r="AC1577" s="18">
        <v>47.0</v>
      </c>
      <c r="AD1577" s="172">
        <v>272939.0</v>
      </c>
      <c r="AE1577" s="14"/>
      <c r="AF1577" s="14">
        <v>272939.0</v>
      </c>
      <c r="AG1577" s="22"/>
      <c r="AH1577" s="22"/>
      <c r="AI1577" s="22"/>
      <c r="AJ1577" s="22"/>
      <c r="AK1577" s="22"/>
      <c r="AL1577" s="22"/>
      <c r="AM1577" s="22"/>
      <c r="AN1577" s="22"/>
      <c r="AO1577" s="22"/>
      <c r="AP1577" s="22"/>
    </row>
    <row r="1578" hidden="1">
      <c r="A1578" s="148">
        <v>46164.0</v>
      </c>
      <c r="B1578" s="149">
        <v>0.4583333333333333</v>
      </c>
      <c r="C1578" s="11" t="s">
        <v>32</v>
      </c>
      <c r="D1578" s="102" t="s">
        <v>33</v>
      </c>
      <c r="E1578" s="10" t="s">
        <v>71</v>
      </c>
      <c r="F1578" s="10" t="s">
        <v>4692</v>
      </c>
      <c r="G1578" s="11" t="s">
        <v>4827</v>
      </c>
      <c r="H1578" s="11" t="s">
        <v>4758</v>
      </c>
      <c r="I1578" s="10" t="s">
        <v>4828</v>
      </c>
      <c r="J1578" s="14">
        <v>6623.0</v>
      </c>
      <c r="K1578" s="14">
        <v>3133.0</v>
      </c>
      <c r="L1578" s="17">
        <v>0.4729</v>
      </c>
      <c r="M1578" s="150">
        <v>1394.0</v>
      </c>
      <c r="N1578" s="136">
        <v>0.4451</v>
      </c>
      <c r="O1578" s="18">
        <v>174.0</v>
      </c>
      <c r="P1578" s="92">
        <v>170.0</v>
      </c>
      <c r="Q1578" s="137">
        <v>0.0543</v>
      </c>
      <c r="R1578" s="17">
        <v>0.122</v>
      </c>
      <c r="S1578" s="18">
        <v>0.0</v>
      </c>
      <c r="T1578" s="18">
        <v>0.0</v>
      </c>
      <c r="U1578" s="151">
        <v>0.0</v>
      </c>
      <c r="V1578" s="92" t="s">
        <v>315</v>
      </c>
      <c r="W1578" s="18" t="s">
        <v>76</v>
      </c>
      <c r="X1578" s="42" t="s">
        <v>4502</v>
      </c>
      <c r="Y1578" s="159" t="s">
        <v>4813</v>
      </c>
      <c r="Z1578" s="18" t="s">
        <v>4829</v>
      </c>
      <c r="AA1578" s="92">
        <v>15.0</v>
      </c>
      <c r="AB1578" s="18"/>
      <c r="AC1578" s="18">
        <v>15.0</v>
      </c>
      <c r="AD1578" s="172">
        <v>74163.0</v>
      </c>
      <c r="AE1578" s="14"/>
      <c r="AF1578" s="14">
        <v>74163.0</v>
      </c>
      <c r="AG1578" s="22"/>
      <c r="AH1578" s="22"/>
      <c r="AI1578" s="22"/>
      <c r="AJ1578" s="22"/>
      <c r="AK1578" s="22"/>
      <c r="AL1578" s="22"/>
      <c r="AM1578" s="22"/>
      <c r="AN1578" s="22"/>
      <c r="AO1578" s="22"/>
      <c r="AP1578" s="22"/>
    </row>
    <row r="1579" hidden="1">
      <c r="A1579" s="148">
        <v>46164.0</v>
      </c>
      <c r="B1579" s="149">
        <v>0.4583333333333333</v>
      </c>
      <c r="C1579" s="11" t="s">
        <v>32</v>
      </c>
      <c r="D1579" s="102" t="s">
        <v>33</v>
      </c>
      <c r="E1579" s="10" t="s">
        <v>71</v>
      </c>
      <c r="F1579" s="10" t="s">
        <v>4692</v>
      </c>
      <c r="G1579" s="11" t="s">
        <v>4830</v>
      </c>
      <c r="H1579" s="11" t="s">
        <v>4734</v>
      </c>
      <c r="I1579" s="10" t="s">
        <v>4831</v>
      </c>
      <c r="J1579" s="14">
        <v>5967.0</v>
      </c>
      <c r="K1579" s="14">
        <v>3529.0</v>
      </c>
      <c r="L1579" s="17">
        <v>0.5911</v>
      </c>
      <c r="M1579" s="150">
        <v>1671.0</v>
      </c>
      <c r="N1579" s="136">
        <v>0.4738</v>
      </c>
      <c r="O1579" s="18">
        <v>206.0</v>
      </c>
      <c r="P1579" s="92">
        <v>199.0</v>
      </c>
      <c r="Q1579" s="137">
        <v>0.0564</v>
      </c>
      <c r="R1579" s="17">
        <v>0.1191</v>
      </c>
      <c r="S1579" s="18">
        <v>0.0</v>
      </c>
      <c r="T1579" s="18">
        <v>0.0</v>
      </c>
      <c r="U1579" s="151">
        <v>0.0</v>
      </c>
      <c r="V1579" s="92" t="s">
        <v>315</v>
      </c>
      <c r="W1579" s="18" t="s">
        <v>76</v>
      </c>
      <c r="X1579" s="42" t="s">
        <v>4502</v>
      </c>
      <c r="Y1579" s="159" t="s">
        <v>4813</v>
      </c>
      <c r="Z1579" s="18" t="s">
        <v>4832</v>
      </c>
      <c r="AA1579" s="92">
        <v>22.0</v>
      </c>
      <c r="AB1579" s="18"/>
      <c r="AC1579" s="18">
        <v>22.0</v>
      </c>
      <c r="AD1579" s="172">
        <v>97504.0</v>
      </c>
      <c r="AE1579" s="14"/>
      <c r="AF1579" s="14">
        <v>97504.0</v>
      </c>
      <c r="AG1579" s="22"/>
      <c r="AH1579" s="22"/>
      <c r="AI1579" s="22"/>
      <c r="AJ1579" s="22"/>
      <c r="AK1579" s="22"/>
      <c r="AL1579" s="22"/>
      <c r="AM1579" s="22"/>
      <c r="AN1579" s="22"/>
      <c r="AO1579" s="22"/>
      <c r="AP1579" s="22"/>
    </row>
    <row r="1580" hidden="1">
      <c r="A1580" s="148">
        <v>46164.0</v>
      </c>
      <c r="B1580" s="149">
        <v>0.4583333333333333</v>
      </c>
      <c r="C1580" s="11" t="s">
        <v>32</v>
      </c>
      <c r="D1580" s="102" t="s">
        <v>33</v>
      </c>
      <c r="E1580" s="10" t="s">
        <v>71</v>
      </c>
      <c r="F1580" s="10" t="s">
        <v>4692</v>
      </c>
      <c r="G1580" s="11" t="s">
        <v>4833</v>
      </c>
      <c r="H1580" s="11" t="s">
        <v>4761</v>
      </c>
      <c r="I1580" s="10" t="s">
        <v>4834</v>
      </c>
      <c r="J1580" s="14">
        <v>5714.0</v>
      </c>
      <c r="K1580" s="14">
        <v>2822.0</v>
      </c>
      <c r="L1580" s="17">
        <v>0.4937</v>
      </c>
      <c r="M1580" s="150">
        <v>1219.0</v>
      </c>
      <c r="N1580" s="136">
        <v>0.4321</v>
      </c>
      <c r="O1580" s="18">
        <v>156.0</v>
      </c>
      <c r="P1580" s="92">
        <v>146.0</v>
      </c>
      <c r="Q1580" s="137">
        <v>0.0518</v>
      </c>
      <c r="R1580" s="17">
        <v>0.1198</v>
      </c>
      <c r="S1580" s="18">
        <v>0.0</v>
      </c>
      <c r="T1580" s="18">
        <v>0.0</v>
      </c>
      <c r="U1580" s="151">
        <v>0.0</v>
      </c>
      <c r="V1580" s="92" t="s">
        <v>315</v>
      </c>
      <c r="W1580" s="18" t="s">
        <v>76</v>
      </c>
      <c r="X1580" s="42" t="s">
        <v>4502</v>
      </c>
      <c r="Y1580" s="159" t="s">
        <v>4813</v>
      </c>
      <c r="Z1580" s="18" t="s">
        <v>4835</v>
      </c>
      <c r="AA1580" s="92">
        <v>19.0</v>
      </c>
      <c r="AB1580" s="18"/>
      <c r="AC1580" s="18">
        <v>19.0</v>
      </c>
      <c r="AD1580" s="172">
        <v>102643.0</v>
      </c>
      <c r="AE1580" s="14"/>
      <c r="AF1580" s="14">
        <v>102643.0</v>
      </c>
      <c r="AG1580" s="22"/>
      <c r="AH1580" s="22"/>
      <c r="AI1580" s="22"/>
      <c r="AJ1580" s="22"/>
      <c r="AK1580" s="22"/>
      <c r="AL1580" s="22"/>
      <c r="AM1580" s="22"/>
      <c r="AN1580" s="22"/>
      <c r="AO1580" s="22"/>
      <c r="AP1580" s="22"/>
    </row>
    <row r="1581" hidden="1">
      <c r="A1581" s="148">
        <v>46164.0</v>
      </c>
      <c r="B1581" s="149">
        <v>0.4583333333333333</v>
      </c>
      <c r="C1581" s="11" t="s">
        <v>32</v>
      </c>
      <c r="D1581" s="102" t="s">
        <v>33</v>
      </c>
      <c r="E1581" s="10" t="s">
        <v>71</v>
      </c>
      <c r="F1581" s="10" t="s">
        <v>4692</v>
      </c>
      <c r="G1581" s="11" t="s">
        <v>4836</v>
      </c>
      <c r="H1581" s="11" t="s">
        <v>4764</v>
      </c>
      <c r="I1581" s="10" t="s">
        <v>4837</v>
      </c>
      <c r="J1581" s="14">
        <v>4472.0</v>
      </c>
      <c r="K1581" s="14">
        <v>1862.0</v>
      </c>
      <c r="L1581" s="17">
        <v>0.4164</v>
      </c>
      <c r="M1581" s="150">
        <v>680.0</v>
      </c>
      <c r="N1581" s="136">
        <v>0.3652</v>
      </c>
      <c r="O1581" s="18">
        <v>83.0</v>
      </c>
      <c r="P1581" s="92">
        <v>77.0</v>
      </c>
      <c r="Q1581" s="137">
        <v>0.0414</v>
      </c>
      <c r="R1581" s="17">
        <v>0.1132</v>
      </c>
      <c r="S1581" s="18">
        <v>0.0</v>
      </c>
      <c r="T1581" s="18">
        <v>0.0</v>
      </c>
      <c r="U1581" s="151">
        <v>0.0</v>
      </c>
      <c r="V1581" s="92" t="s">
        <v>315</v>
      </c>
      <c r="W1581" s="18" t="s">
        <v>76</v>
      </c>
      <c r="X1581" s="42" t="s">
        <v>4502</v>
      </c>
      <c r="Y1581" s="159" t="s">
        <v>4813</v>
      </c>
      <c r="Z1581" s="18" t="s">
        <v>4838</v>
      </c>
      <c r="AA1581" s="92">
        <v>18.0</v>
      </c>
      <c r="AB1581" s="18"/>
      <c r="AC1581" s="18">
        <v>18.0</v>
      </c>
      <c r="AD1581" s="172">
        <v>146923.0</v>
      </c>
      <c r="AE1581" s="14"/>
      <c r="AF1581" s="14">
        <v>146923.0</v>
      </c>
      <c r="AG1581" s="22"/>
      <c r="AH1581" s="22"/>
      <c r="AI1581" s="22"/>
      <c r="AJ1581" s="22"/>
      <c r="AK1581" s="22"/>
      <c r="AL1581" s="22"/>
      <c r="AM1581" s="22"/>
      <c r="AN1581" s="22"/>
      <c r="AO1581" s="22"/>
      <c r="AP1581" s="22"/>
    </row>
    <row r="1582" hidden="1">
      <c r="A1582" s="148">
        <v>46164.0</v>
      </c>
      <c r="B1582" s="149">
        <v>0.4583333333333333</v>
      </c>
      <c r="C1582" s="11" t="s">
        <v>32</v>
      </c>
      <c r="D1582" s="102" t="s">
        <v>33</v>
      </c>
      <c r="E1582" s="10" t="s">
        <v>71</v>
      </c>
      <c r="F1582" s="10" t="s">
        <v>4692</v>
      </c>
      <c r="G1582" s="11" t="s">
        <v>4839</v>
      </c>
      <c r="H1582" s="11" t="s">
        <v>4737</v>
      </c>
      <c r="I1582" s="10" t="s">
        <v>4840</v>
      </c>
      <c r="J1582" s="14">
        <v>2203.0</v>
      </c>
      <c r="K1582" s="14">
        <v>1241.0</v>
      </c>
      <c r="L1582" s="17">
        <v>0.5633</v>
      </c>
      <c r="M1582" s="150">
        <v>484.0</v>
      </c>
      <c r="N1582" s="136">
        <v>0.39</v>
      </c>
      <c r="O1582" s="18">
        <v>59.0</v>
      </c>
      <c r="P1582" s="92">
        <v>56.0</v>
      </c>
      <c r="Q1582" s="137">
        <v>0.0451</v>
      </c>
      <c r="R1582" s="17">
        <v>0.1157</v>
      </c>
      <c r="S1582" s="18">
        <v>0.0</v>
      </c>
      <c r="T1582" s="18">
        <v>0.0</v>
      </c>
      <c r="U1582" s="151">
        <v>0.0</v>
      </c>
      <c r="V1582" s="92" t="s">
        <v>315</v>
      </c>
      <c r="W1582" s="18" t="s">
        <v>76</v>
      </c>
      <c r="X1582" s="42" t="s">
        <v>4502</v>
      </c>
      <c r="Y1582" s="159" t="s">
        <v>4813</v>
      </c>
      <c r="Z1582" s="18" t="s">
        <v>4841</v>
      </c>
      <c r="AA1582" s="92">
        <v>3.0</v>
      </c>
      <c r="AB1582" s="18"/>
      <c r="AC1582" s="18">
        <v>3.0</v>
      </c>
      <c r="AD1582" s="172">
        <v>26288.0</v>
      </c>
      <c r="AE1582" s="14"/>
      <c r="AF1582" s="14">
        <v>26288.0</v>
      </c>
      <c r="AG1582" s="22"/>
      <c r="AH1582" s="22"/>
      <c r="AI1582" s="22"/>
      <c r="AJ1582" s="22"/>
      <c r="AK1582" s="22"/>
      <c r="AL1582" s="22"/>
      <c r="AM1582" s="22"/>
      <c r="AN1582" s="22"/>
      <c r="AO1582" s="22"/>
      <c r="AP1582" s="22"/>
    </row>
    <row r="1583" hidden="1">
      <c r="A1583" s="148">
        <v>46164.0</v>
      </c>
      <c r="B1583" s="149">
        <v>0.4583333333333333</v>
      </c>
      <c r="C1583" s="11" t="s">
        <v>32</v>
      </c>
      <c r="D1583" s="102" t="s">
        <v>33</v>
      </c>
      <c r="E1583" s="10" t="s">
        <v>71</v>
      </c>
      <c r="F1583" s="10" t="s">
        <v>4692</v>
      </c>
      <c r="G1583" s="11" t="s">
        <v>4842</v>
      </c>
      <c r="H1583" s="11" t="s">
        <v>4767</v>
      </c>
      <c r="I1583" s="10" t="s">
        <v>4843</v>
      </c>
      <c r="J1583" s="14">
        <v>5752.0</v>
      </c>
      <c r="K1583" s="14">
        <v>2794.0</v>
      </c>
      <c r="L1583" s="17">
        <v>0.4857</v>
      </c>
      <c r="M1583" s="150">
        <v>1026.0</v>
      </c>
      <c r="N1583" s="136">
        <v>0.3672</v>
      </c>
      <c r="O1583" s="18">
        <v>134.0</v>
      </c>
      <c r="P1583" s="92">
        <v>129.0</v>
      </c>
      <c r="Q1583" s="137">
        <v>0.0462</v>
      </c>
      <c r="R1583" s="17">
        <v>0.1257</v>
      </c>
      <c r="S1583" s="18">
        <v>0.0</v>
      </c>
      <c r="T1583" s="18">
        <v>0.0</v>
      </c>
      <c r="U1583" s="151">
        <v>0.0</v>
      </c>
      <c r="V1583" s="92" t="s">
        <v>315</v>
      </c>
      <c r="W1583" s="18" t="s">
        <v>76</v>
      </c>
      <c r="X1583" s="42" t="s">
        <v>4502</v>
      </c>
      <c r="Y1583" s="159" t="s">
        <v>4813</v>
      </c>
      <c r="Z1583" s="18" t="s">
        <v>4844</v>
      </c>
      <c r="AA1583" s="92">
        <v>22.0</v>
      </c>
      <c r="AB1583" s="18"/>
      <c r="AC1583" s="18">
        <v>22.0</v>
      </c>
      <c r="AD1583" s="172">
        <v>113843.0</v>
      </c>
      <c r="AE1583" s="14"/>
      <c r="AF1583" s="14">
        <v>113843.0</v>
      </c>
      <c r="AG1583" s="22"/>
      <c r="AH1583" s="22"/>
      <c r="AI1583" s="22"/>
      <c r="AJ1583" s="22"/>
      <c r="AK1583" s="22"/>
      <c r="AL1583" s="22"/>
      <c r="AM1583" s="22"/>
      <c r="AN1583" s="22"/>
      <c r="AO1583" s="22"/>
      <c r="AP1583" s="22"/>
    </row>
    <row r="1584" hidden="1">
      <c r="A1584" s="148">
        <v>46164.0</v>
      </c>
      <c r="B1584" s="149">
        <v>0.4583333333333333</v>
      </c>
      <c r="C1584" s="11" t="s">
        <v>32</v>
      </c>
      <c r="D1584" s="102" t="s">
        <v>33</v>
      </c>
      <c r="E1584" s="10" t="s">
        <v>71</v>
      </c>
      <c r="F1584" s="10" t="s">
        <v>4692</v>
      </c>
      <c r="G1584" s="11" t="s">
        <v>4845</v>
      </c>
      <c r="H1584" s="11" t="s">
        <v>4770</v>
      </c>
      <c r="I1584" s="10" t="s">
        <v>4846</v>
      </c>
      <c r="J1584" s="14">
        <v>2557.0</v>
      </c>
      <c r="K1584" s="14">
        <v>1221.0</v>
      </c>
      <c r="L1584" s="17">
        <v>0.4775</v>
      </c>
      <c r="M1584" s="150">
        <v>581.0</v>
      </c>
      <c r="N1584" s="136">
        <v>0.4758</v>
      </c>
      <c r="O1584" s="18">
        <v>68.0</v>
      </c>
      <c r="P1584" s="92">
        <v>63.0</v>
      </c>
      <c r="Q1584" s="137">
        <v>0.0516</v>
      </c>
      <c r="R1584" s="17">
        <v>0.1084</v>
      </c>
      <c r="S1584" s="18">
        <v>0.0</v>
      </c>
      <c r="T1584" s="18">
        <v>0.0</v>
      </c>
      <c r="U1584" s="151">
        <v>0.0</v>
      </c>
      <c r="V1584" s="92" t="s">
        <v>315</v>
      </c>
      <c r="W1584" s="18" t="s">
        <v>76</v>
      </c>
      <c r="X1584" s="42" t="s">
        <v>4502</v>
      </c>
      <c r="Y1584" s="159" t="s">
        <v>4813</v>
      </c>
      <c r="Z1584" s="18" t="s">
        <v>4847</v>
      </c>
      <c r="AA1584" s="92">
        <v>8.0</v>
      </c>
      <c r="AB1584" s="18"/>
      <c r="AC1584" s="18">
        <v>8.0</v>
      </c>
      <c r="AD1584" s="172">
        <v>42382.0</v>
      </c>
      <c r="AE1584" s="14"/>
      <c r="AF1584" s="14">
        <v>42382.0</v>
      </c>
      <c r="AG1584" s="22"/>
      <c r="AH1584" s="22"/>
      <c r="AI1584" s="22"/>
      <c r="AJ1584" s="22"/>
      <c r="AK1584" s="22"/>
      <c r="AL1584" s="22"/>
      <c r="AM1584" s="22"/>
      <c r="AN1584" s="22"/>
      <c r="AO1584" s="22"/>
      <c r="AP1584" s="22"/>
    </row>
    <row r="1585" hidden="1">
      <c r="A1585" s="148">
        <v>46164.0</v>
      </c>
      <c r="B1585" s="149">
        <v>0.4583333333333333</v>
      </c>
      <c r="C1585" s="11" t="s">
        <v>32</v>
      </c>
      <c r="D1585" s="102" t="s">
        <v>33</v>
      </c>
      <c r="E1585" s="10" t="s">
        <v>71</v>
      </c>
      <c r="F1585" s="10" t="s">
        <v>4692</v>
      </c>
      <c r="G1585" s="11" t="s">
        <v>4848</v>
      </c>
      <c r="H1585" s="11" t="s">
        <v>4740</v>
      </c>
      <c r="I1585" s="10" t="s">
        <v>4849</v>
      </c>
      <c r="J1585" s="14">
        <v>53253.0</v>
      </c>
      <c r="K1585" s="14">
        <v>25471.0</v>
      </c>
      <c r="L1585" s="17">
        <v>0.4782</v>
      </c>
      <c r="M1585" s="150">
        <v>8716.0</v>
      </c>
      <c r="N1585" s="136">
        <v>0.3422</v>
      </c>
      <c r="O1585" s="18">
        <v>701.0</v>
      </c>
      <c r="P1585" s="92">
        <v>675.0</v>
      </c>
      <c r="Q1585" s="137">
        <v>0.0265</v>
      </c>
      <c r="R1585" s="17">
        <v>0.0774</v>
      </c>
      <c r="S1585" s="18">
        <v>0.0</v>
      </c>
      <c r="T1585" s="18">
        <v>0.0</v>
      </c>
      <c r="U1585" s="151">
        <v>0.0</v>
      </c>
      <c r="V1585" s="92" t="s">
        <v>315</v>
      </c>
      <c r="W1585" s="18" t="s">
        <v>76</v>
      </c>
      <c r="X1585" s="42" t="s">
        <v>4502</v>
      </c>
      <c r="Y1585" s="159" t="s">
        <v>4813</v>
      </c>
      <c r="Z1585" s="18" t="s">
        <v>4850</v>
      </c>
      <c r="AA1585" s="92">
        <v>97.0</v>
      </c>
      <c r="AB1585" s="18"/>
      <c r="AC1585" s="18">
        <v>97.0</v>
      </c>
      <c r="AD1585" s="172">
        <v>455953.0</v>
      </c>
      <c r="AE1585" s="14"/>
      <c r="AF1585" s="14">
        <v>455953.0</v>
      </c>
      <c r="AG1585" s="22"/>
      <c r="AH1585" s="22"/>
      <c r="AI1585" s="22"/>
      <c r="AJ1585" s="22"/>
      <c r="AK1585" s="22"/>
      <c r="AL1585" s="22"/>
      <c r="AM1585" s="22"/>
      <c r="AN1585" s="22"/>
      <c r="AO1585" s="22"/>
      <c r="AP1585" s="22"/>
    </row>
    <row r="1586" hidden="1">
      <c r="A1586" s="148">
        <v>46164.0</v>
      </c>
      <c r="B1586" s="149">
        <v>0.4583333333333333</v>
      </c>
      <c r="C1586" s="11" t="s">
        <v>32</v>
      </c>
      <c r="D1586" s="102" t="s">
        <v>33</v>
      </c>
      <c r="E1586" s="10" t="s">
        <v>71</v>
      </c>
      <c r="F1586" s="10" t="s">
        <v>4692</v>
      </c>
      <c r="G1586" s="11" t="s">
        <v>4851</v>
      </c>
      <c r="H1586" s="11" t="s">
        <v>4773</v>
      </c>
      <c r="I1586" s="10" t="s">
        <v>4852</v>
      </c>
      <c r="J1586" s="14">
        <v>2103.0</v>
      </c>
      <c r="K1586" s="14">
        <v>1174.0</v>
      </c>
      <c r="L1586" s="17">
        <v>0.5583</v>
      </c>
      <c r="M1586" s="150">
        <v>621.0</v>
      </c>
      <c r="N1586" s="136">
        <v>0.529</v>
      </c>
      <c r="O1586" s="18">
        <v>65.0</v>
      </c>
      <c r="P1586" s="92">
        <v>62.0</v>
      </c>
      <c r="Q1586" s="137">
        <v>0.0528</v>
      </c>
      <c r="R1586" s="17">
        <v>0.0998</v>
      </c>
      <c r="S1586" s="18">
        <v>0.0</v>
      </c>
      <c r="T1586" s="18">
        <v>0.0</v>
      </c>
      <c r="U1586" s="151">
        <v>0.0</v>
      </c>
      <c r="V1586" s="92" t="s">
        <v>315</v>
      </c>
      <c r="W1586" s="18" t="s">
        <v>76</v>
      </c>
      <c r="X1586" s="42" t="s">
        <v>4502</v>
      </c>
      <c r="Y1586" s="159" t="s">
        <v>4813</v>
      </c>
      <c r="Z1586" s="18" t="s">
        <v>4853</v>
      </c>
      <c r="AA1586" s="92">
        <v>8.0</v>
      </c>
      <c r="AB1586" s="18"/>
      <c r="AC1586" s="18">
        <v>8.0</v>
      </c>
      <c r="AD1586" s="172">
        <v>35582.0</v>
      </c>
      <c r="AE1586" s="14"/>
      <c r="AF1586" s="14">
        <v>35582.0</v>
      </c>
      <c r="AG1586" s="22"/>
      <c r="AH1586" s="22"/>
      <c r="AI1586" s="22"/>
      <c r="AJ1586" s="22"/>
      <c r="AK1586" s="22"/>
      <c r="AL1586" s="22"/>
      <c r="AM1586" s="22"/>
      <c r="AN1586" s="22"/>
      <c r="AO1586" s="22"/>
      <c r="AP1586" s="22"/>
    </row>
    <row r="1587" hidden="1">
      <c r="A1587" s="148">
        <v>46164.0</v>
      </c>
      <c r="B1587" s="149">
        <v>0.4583333333333333</v>
      </c>
      <c r="C1587" s="11" t="s">
        <v>32</v>
      </c>
      <c r="D1587" s="102" t="s">
        <v>33</v>
      </c>
      <c r="E1587" s="10" t="s">
        <v>71</v>
      </c>
      <c r="F1587" s="10" t="s">
        <v>4692</v>
      </c>
      <c r="G1587" s="11" t="s">
        <v>4854</v>
      </c>
      <c r="H1587" s="11" t="s">
        <v>4743</v>
      </c>
      <c r="I1587" s="10" t="s">
        <v>4855</v>
      </c>
      <c r="J1587" s="14">
        <v>32958.0</v>
      </c>
      <c r="K1587" s="14">
        <v>17490.0</v>
      </c>
      <c r="L1587" s="17">
        <v>0.5306</v>
      </c>
      <c r="M1587" s="150">
        <v>6557.0</v>
      </c>
      <c r="N1587" s="136">
        <v>0.3749</v>
      </c>
      <c r="O1587" s="18">
        <v>563.0</v>
      </c>
      <c r="P1587" s="92">
        <v>536.0</v>
      </c>
      <c r="Q1587" s="137">
        <v>0.0306</v>
      </c>
      <c r="R1587" s="17">
        <v>0.0817</v>
      </c>
      <c r="S1587" s="18">
        <v>0.0</v>
      </c>
      <c r="T1587" s="18">
        <v>0.0</v>
      </c>
      <c r="U1587" s="151">
        <v>0.0</v>
      </c>
      <c r="V1587" s="92" t="s">
        <v>315</v>
      </c>
      <c r="W1587" s="18" t="s">
        <v>76</v>
      </c>
      <c r="X1587" s="42" t="s">
        <v>4502</v>
      </c>
      <c r="Y1587" s="159" t="s">
        <v>4813</v>
      </c>
      <c r="Z1587" s="18" t="s">
        <v>4856</v>
      </c>
      <c r="AA1587" s="92">
        <v>46.0</v>
      </c>
      <c r="AB1587" s="18"/>
      <c r="AC1587" s="18">
        <v>46.0</v>
      </c>
      <c r="AD1587" s="172">
        <v>217576.0</v>
      </c>
      <c r="AE1587" s="14"/>
      <c r="AF1587" s="14">
        <v>217576.0</v>
      </c>
      <c r="AG1587" s="22"/>
      <c r="AH1587" s="22"/>
      <c r="AI1587" s="22"/>
      <c r="AJ1587" s="22"/>
      <c r="AK1587" s="22"/>
      <c r="AL1587" s="22"/>
      <c r="AM1587" s="22"/>
      <c r="AN1587" s="22"/>
      <c r="AO1587" s="22"/>
      <c r="AP1587" s="22"/>
    </row>
    <row r="1588" hidden="1">
      <c r="A1588" s="148">
        <v>46164.0</v>
      </c>
      <c r="B1588" s="149">
        <v>0.4583333333333333</v>
      </c>
      <c r="C1588" s="11" t="s">
        <v>32</v>
      </c>
      <c r="D1588" s="102" t="s">
        <v>33</v>
      </c>
      <c r="E1588" s="10" t="s">
        <v>71</v>
      </c>
      <c r="F1588" s="10" t="s">
        <v>4692</v>
      </c>
      <c r="G1588" s="11" t="s">
        <v>4857</v>
      </c>
      <c r="H1588" s="11" t="s">
        <v>4776</v>
      </c>
      <c r="I1588" s="10" t="s">
        <v>4858</v>
      </c>
      <c r="J1588" s="14">
        <v>3252.0</v>
      </c>
      <c r="K1588" s="14">
        <v>1765.0</v>
      </c>
      <c r="L1588" s="17">
        <v>0.5427</v>
      </c>
      <c r="M1588" s="150">
        <v>830.0</v>
      </c>
      <c r="N1588" s="136">
        <v>0.4703</v>
      </c>
      <c r="O1588" s="18">
        <v>127.0</v>
      </c>
      <c r="P1588" s="92">
        <v>119.0</v>
      </c>
      <c r="Q1588" s="137">
        <v>0.0674</v>
      </c>
      <c r="R1588" s="17">
        <v>0.1434</v>
      </c>
      <c r="S1588" s="18">
        <v>0.0</v>
      </c>
      <c r="T1588" s="18">
        <v>0.0</v>
      </c>
      <c r="U1588" s="151">
        <v>0.0</v>
      </c>
      <c r="V1588" s="92" t="s">
        <v>315</v>
      </c>
      <c r="W1588" s="18" t="s">
        <v>76</v>
      </c>
      <c r="X1588" s="42" t="s">
        <v>4502</v>
      </c>
      <c r="Y1588" s="159" t="s">
        <v>4813</v>
      </c>
      <c r="Z1588" s="18" t="s">
        <v>4859</v>
      </c>
      <c r="AA1588" s="92">
        <v>9.0</v>
      </c>
      <c r="AB1588" s="18"/>
      <c r="AC1588" s="18">
        <v>9.0</v>
      </c>
      <c r="AD1588" s="172">
        <v>49478.0</v>
      </c>
      <c r="AE1588" s="14"/>
      <c r="AF1588" s="14">
        <v>49478.0</v>
      </c>
      <c r="AG1588" s="22"/>
      <c r="AH1588" s="22"/>
      <c r="AI1588" s="22"/>
      <c r="AJ1588" s="22"/>
      <c r="AK1588" s="22"/>
      <c r="AL1588" s="22"/>
      <c r="AM1588" s="22"/>
      <c r="AN1588" s="22"/>
      <c r="AO1588" s="22"/>
      <c r="AP1588" s="22"/>
    </row>
    <row r="1589" hidden="1">
      <c r="A1589" s="148">
        <v>46164.0</v>
      </c>
      <c r="B1589" s="149">
        <v>0.4583333333333333</v>
      </c>
      <c r="C1589" s="11" t="s">
        <v>32</v>
      </c>
      <c r="D1589" s="102" t="s">
        <v>33</v>
      </c>
      <c r="E1589" s="10" t="s">
        <v>71</v>
      </c>
      <c r="F1589" s="10" t="s">
        <v>4692</v>
      </c>
      <c r="G1589" s="11" t="s">
        <v>4860</v>
      </c>
      <c r="H1589" s="11" t="s">
        <v>4746</v>
      </c>
      <c r="I1589" s="10" t="s">
        <v>4861</v>
      </c>
      <c r="J1589" s="14">
        <v>17024.0</v>
      </c>
      <c r="K1589" s="14">
        <v>10068.0</v>
      </c>
      <c r="L1589" s="17">
        <v>0.5913</v>
      </c>
      <c r="M1589" s="150">
        <v>4508.0</v>
      </c>
      <c r="N1589" s="136">
        <v>0.4477</v>
      </c>
      <c r="O1589" s="18">
        <v>357.0</v>
      </c>
      <c r="P1589" s="92">
        <v>342.0</v>
      </c>
      <c r="Q1589" s="137">
        <v>0.034</v>
      </c>
      <c r="R1589" s="17">
        <v>0.0759</v>
      </c>
      <c r="S1589" s="18">
        <v>0.0</v>
      </c>
      <c r="T1589" s="18">
        <v>0.0</v>
      </c>
      <c r="U1589" s="151">
        <v>0.0</v>
      </c>
      <c r="V1589" s="92" t="s">
        <v>315</v>
      </c>
      <c r="W1589" s="18" t="s">
        <v>76</v>
      </c>
      <c r="X1589" s="42" t="s">
        <v>4502</v>
      </c>
      <c r="Y1589" s="159" t="s">
        <v>4813</v>
      </c>
      <c r="Z1589" s="18" t="s">
        <v>4862</v>
      </c>
      <c r="AA1589" s="92">
        <v>42.0</v>
      </c>
      <c r="AB1589" s="18"/>
      <c r="AC1589" s="18">
        <v>42.0</v>
      </c>
      <c r="AD1589" s="172">
        <v>190530.0</v>
      </c>
      <c r="AE1589" s="14"/>
      <c r="AF1589" s="14">
        <v>190530.0</v>
      </c>
      <c r="AG1589" s="22"/>
      <c r="AH1589" s="22"/>
      <c r="AI1589" s="22"/>
      <c r="AJ1589" s="22"/>
      <c r="AK1589" s="22"/>
      <c r="AL1589" s="22"/>
      <c r="AM1589" s="22"/>
      <c r="AN1589" s="22"/>
      <c r="AO1589" s="22"/>
      <c r="AP1589" s="22"/>
    </row>
    <row r="1590" hidden="1">
      <c r="A1590" s="148">
        <v>46164.0</v>
      </c>
      <c r="B1590" s="149">
        <v>0.4583333333333333</v>
      </c>
      <c r="C1590" s="11" t="s">
        <v>32</v>
      </c>
      <c r="D1590" s="102" t="s">
        <v>33</v>
      </c>
      <c r="E1590" s="10" t="s">
        <v>71</v>
      </c>
      <c r="F1590" s="10" t="s">
        <v>4692</v>
      </c>
      <c r="G1590" s="11" t="s">
        <v>4863</v>
      </c>
      <c r="H1590" s="11" t="s">
        <v>4779</v>
      </c>
      <c r="I1590" s="10" t="s">
        <v>4864</v>
      </c>
      <c r="J1590" s="14">
        <v>1031.0</v>
      </c>
      <c r="K1590" s="14">
        <v>509.0</v>
      </c>
      <c r="L1590" s="17">
        <v>0.4927</v>
      </c>
      <c r="M1590" s="150">
        <v>302.0</v>
      </c>
      <c r="N1590" s="136">
        <v>0.5945</v>
      </c>
      <c r="O1590" s="18">
        <v>32.0</v>
      </c>
      <c r="P1590" s="92">
        <v>32.0</v>
      </c>
      <c r="Q1590" s="137">
        <v>0.063</v>
      </c>
      <c r="R1590" s="17">
        <v>0.106</v>
      </c>
      <c r="S1590" s="18">
        <v>0.0</v>
      </c>
      <c r="T1590" s="18">
        <v>0.0</v>
      </c>
      <c r="U1590" s="151">
        <v>0.0</v>
      </c>
      <c r="V1590" s="92" t="s">
        <v>315</v>
      </c>
      <c r="W1590" s="18" t="s">
        <v>76</v>
      </c>
      <c r="X1590" s="42" t="s">
        <v>4502</v>
      </c>
      <c r="Y1590" s="159" t="s">
        <v>4813</v>
      </c>
      <c r="Z1590" s="18" t="s">
        <v>4865</v>
      </c>
      <c r="AA1590" s="92">
        <v>2.0</v>
      </c>
      <c r="AB1590" s="18"/>
      <c r="AC1590" s="18">
        <v>2.0</v>
      </c>
      <c r="AD1590" s="172">
        <v>9596.0</v>
      </c>
      <c r="AE1590" s="14"/>
      <c r="AF1590" s="14">
        <v>9596.0</v>
      </c>
      <c r="AG1590" s="22"/>
      <c r="AH1590" s="22"/>
      <c r="AI1590" s="22"/>
      <c r="AJ1590" s="22"/>
      <c r="AK1590" s="22"/>
      <c r="AL1590" s="22"/>
      <c r="AM1590" s="22"/>
      <c r="AN1590" s="22"/>
      <c r="AO1590" s="22"/>
      <c r="AP1590" s="22"/>
    </row>
    <row r="1591" hidden="1">
      <c r="A1591" s="148">
        <v>46164.0</v>
      </c>
      <c r="B1591" s="149">
        <v>0.4583333333333333</v>
      </c>
      <c r="C1591" s="11" t="s">
        <v>32</v>
      </c>
      <c r="D1591" s="102" t="s">
        <v>33</v>
      </c>
      <c r="E1591" s="10" t="s">
        <v>71</v>
      </c>
      <c r="F1591" s="10" t="s">
        <v>4692</v>
      </c>
      <c r="G1591" s="11" t="s">
        <v>4866</v>
      </c>
      <c r="H1591" s="11" t="s">
        <v>4749</v>
      </c>
      <c r="I1591" s="10" t="s">
        <v>4867</v>
      </c>
      <c r="J1591" s="14">
        <v>9807.0</v>
      </c>
      <c r="K1591" s="14">
        <v>5229.0</v>
      </c>
      <c r="L1591" s="17">
        <v>0.5332</v>
      </c>
      <c r="M1591" s="150">
        <v>1985.0</v>
      </c>
      <c r="N1591" s="136">
        <v>0.3796</v>
      </c>
      <c r="O1591" s="18">
        <v>178.0</v>
      </c>
      <c r="P1591" s="92">
        <v>170.0</v>
      </c>
      <c r="Q1591" s="137">
        <v>0.0325</v>
      </c>
      <c r="R1591" s="17">
        <v>0.0856</v>
      </c>
      <c r="S1591" s="18">
        <v>0.0</v>
      </c>
      <c r="T1591" s="18">
        <v>0.0</v>
      </c>
      <c r="U1591" s="151">
        <v>0.0</v>
      </c>
      <c r="V1591" s="92" t="s">
        <v>315</v>
      </c>
      <c r="W1591" s="18" t="s">
        <v>76</v>
      </c>
      <c r="X1591" s="42" t="s">
        <v>4502</v>
      </c>
      <c r="Y1591" s="159" t="s">
        <v>4813</v>
      </c>
      <c r="Z1591" s="18" t="s">
        <v>4868</v>
      </c>
      <c r="AA1591" s="92">
        <v>22.0</v>
      </c>
      <c r="AB1591" s="18"/>
      <c r="AC1591" s="18">
        <v>22.0</v>
      </c>
      <c r="AD1591" s="172">
        <v>111843.0</v>
      </c>
      <c r="AE1591" s="14"/>
      <c r="AF1591" s="14">
        <v>111843.0</v>
      </c>
      <c r="AG1591" s="22"/>
      <c r="AH1591" s="22"/>
      <c r="AI1591" s="22"/>
      <c r="AJ1591" s="22"/>
      <c r="AK1591" s="22"/>
      <c r="AL1591" s="22"/>
      <c r="AM1591" s="22"/>
      <c r="AN1591" s="22"/>
      <c r="AO1591" s="22"/>
      <c r="AP1591" s="22"/>
    </row>
    <row r="1592" hidden="1">
      <c r="A1592" s="148">
        <v>46164.0</v>
      </c>
      <c r="B1592" s="149">
        <v>0.4583333333333333</v>
      </c>
      <c r="C1592" s="11" t="s">
        <v>32</v>
      </c>
      <c r="D1592" s="102" t="s">
        <v>33</v>
      </c>
      <c r="E1592" s="10" t="s">
        <v>71</v>
      </c>
      <c r="F1592" s="10" t="s">
        <v>4692</v>
      </c>
      <c r="G1592" s="11" t="s">
        <v>4869</v>
      </c>
      <c r="H1592" s="11" t="s">
        <v>4782</v>
      </c>
      <c r="I1592" s="10" t="s">
        <v>4870</v>
      </c>
      <c r="J1592" s="14">
        <v>30666.0</v>
      </c>
      <c r="K1592" s="14">
        <v>14164.0</v>
      </c>
      <c r="L1592" s="17">
        <v>0.4618</v>
      </c>
      <c r="M1592" s="150">
        <v>4905.0</v>
      </c>
      <c r="N1592" s="136">
        <v>0.3463</v>
      </c>
      <c r="O1592" s="18">
        <v>453.0</v>
      </c>
      <c r="P1592" s="92">
        <v>443.0</v>
      </c>
      <c r="Q1592" s="137">
        <v>0.0313</v>
      </c>
      <c r="R1592" s="17">
        <v>0.0903</v>
      </c>
      <c r="S1592" s="18">
        <v>0.0</v>
      </c>
      <c r="T1592" s="18">
        <v>0.0</v>
      </c>
      <c r="U1592" s="151">
        <v>0.0</v>
      </c>
      <c r="V1592" s="92" t="s">
        <v>315</v>
      </c>
      <c r="W1592" s="18" t="s">
        <v>76</v>
      </c>
      <c r="X1592" s="42" t="s">
        <v>4502</v>
      </c>
      <c r="Y1592" s="159" t="s">
        <v>4813</v>
      </c>
      <c r="Z1592" s="18" t="s">
        <v>4871</v>
      </c>
      <c r="AA1592" s="92">
        <v>66.0</v>
      </c>
      <c r="AB1592" s="18"/>
      <c r="AC1592" s="18">
        <v>66.0</v>
      </c>
      <c r="AD1592" s="172">
        <v>371642.0</v>
      </c>
      <c r="AE1592" s="14"/>
      <c r="AF1592" s="14">
        <v>371642.0</v>
      </c>
      <c r="AG1592" s="22"/>
      <c r="AH1592" s="22"/>
      <c r="AI1592" s="22"/>
      <c r="AJ1592" s="22"/>
      <c r="AK1592" s="22"/>
      <c r="AL1592" s="22"/>
      <c r="AM1592" s="22"/>
      <c r="AN1592" s="22"/>
      <c r="AO1592" s="22"/>
      <c r="AP1592" s="22"/>
    </row>
    <row r="1593" hidden="1">
      <c r="A1593" s="148">
        <v>46164.0</v>
      </c>
      <c r="B1593" s="149">
        <v>0.4583333333333333</v>
      </c>
      <c r="C1593" s="11" t="s">
        <v>32</v>
      </c>
      <c r="D1593" s="102" t="s">
        <v>33</v>
      </c>
      <c r="E1593" s="10" t="s">
        <v>71</v>
      </c>
      <c r="F1593" s="10" t="s">
        <v>4692</v>
      </c>
      <c r="G1593" s="11" t="s">
        <v>4872</v>
      </c>
      <c r="H1593" s="11" t="s">
        <v>4785</v>
      </c>
      <c r="I1593" s="10" t="s">
        <v>4873</v>
      </c>
      <c r="J1593" s="14">
        <v>13211.0</v>
      </c>
      <c r="K1593" s="14">
        <v>7040.0</v>
      </c>
      <c r="L1593" s="17">
        <v>0.5329</v>
      </c>
      <c r="M1593" s="150">
        <v>2763.0</v>
      </c>
      <c r="N1593" s="136">
        <v>0.3925</v>
      </c>
      <c r="O1593" s="18">
        <v>281.0</v>
      </c>
      <c r="P1593" s="92">
        <v>273.0</v>
      </c>
      <c r="Q1593" s="137">
        <v>0.0388</v>
      </c>
      <c r="R1593" s="17">
        <v>0.0988</v>
      </c>
      <c r="S1593" s="18">
        <v>0.0</v>
      </c>
      <c r="T1593" s="18">
        <v>0.0</v>
      </c>
      <c r="U1593" s="151">
        <v>0.0</v>
      </c>
      <c r="V1593" s="92" t="s">
        <v>315</v>
      </c>
      <c r="W1593" s="18" t="s">
        <v>76</v>
      </c>
      <c r="X1593" s="42" t="s">
        <v>4502</v>
      </c>
      <c r="Y1593" s="159" t="s">
        <v>4813</v>
      </c>
      <c r="Z1593" s="18" t="s">
        <v>4874</v>
      </c>
      <c r="AA1593" s="92">
        <v>41.0</v>
      </c>
      <c r="AB1593" s="18"/>
      <c r="AC1593" s="18">
        <v>41.0</v>
      </c>
      <c r="AD1593" s="172">
        <v>214731.0</v>
      </c>
      <c r="AE1593" s="14"/>
      <c r="AF1593" s="14">
        <v>214731.0</v>
      </c>
      <c r="AG1593" s="22"/>
      <c r="AH1593" s="22"/>
      <c r="AI1593" s="22"/>
      <c r="AJ1593" s="22"/>
      <c r="AK1593" s="22"/>
      <c r="AL1593" s="22"/>
      <c r="AM1593" s="22"/>
      <c r="AN1593" s="22"/>
      <c r="AO1593" s="22"/>
      <c r="AP1593" s="22"/>
    </row>
    <row r="1594" hidden="1">
      <c r="A1594" s="148">
        <v>46164.0</v>
      </c>
      <c r="B1594" s="149">
        <v>0.4583333333333333</v>
      </c>
      <c r="C1594" s="11" t="s">
        <v>32</v>
      </c>
      <c r="D1594" s="102" t="s">
        <v>33</v>
      </c>
      <c r="E1594" s="10" t="s">
        <v>71</v>
      </c>
      <c r="F1594" s="10" t="s">
        <v>4692</v>
      </c>
      <c r="G1594" s="11" t="s">
        <v>4875</v>
      </c>
      <c r="H1594" s="11" t="s">
        <v>4788</v>
      </c>
      <c r="I1594" s="10" t="s">
        <v>4876</v>
      </c>
      <c r="J1594" s="14">
        <v>19899.0</v>
      </c>
      <c r="K1594" s="14">
        <v>9242.0</v>
      </c>
      <c r="L1594" s="17">
        <v>0.4643</v>
      </c>
      <c r="M1594" s="150">
        <v>3561.0</v>
      </c>
      <c r="N1594" s="136">
        <v>0.3853</v>
      </c>
      <c r="O1594" s="18">
        <v>285.0</v>
      </c>
      <c r="P1594" s="92">
        <v>276.0</v>
      </c>
      <c r="Q1594" s="137">
        <v>0.0299</v>
      </c>
      <c r="R1594" s="17">
        <v>0.0775</v>
      </c>
      <c r="S1594" s="18">
        <v>0.0</v>
      </c>
      <c r="T1594" s="18">
        <v>0.0</v>
      </c>
      <c r="U1594" s="151">
        <v>0.0</v>
      </c>
      <c r="V1594" s="92" t="s">
        <v>315</v>
      </c>
      <c r="W1594" s="18" t="s">
        <v>76</v>
      </c>
      <c r="X1594" s="42" t="s">
        <v>4502</v>
      </c>
      <c r="Y1594" s="159" t="s">
        <v>4813</v>
      </c>
      <c r="Z1594" s="18" t="s">
        <v>4877</v>
      </c>
      <c r="AA1594" s="92">
        <v>28.0</v>
      </c>
      <c r="AB1594" s="18"/>
      <c r="AC1594" s="18">
        <v>28.0</v>
      </c>
      <c r="AD1594" s="172">
        <v>125433.0</v>
      </c>
      <c r="AE1594" s="14"/>
      <c r="AF1594" s="14">
        <v>125433.0</v>
      </c>
      <c r="AG1594" s="22"/>
      <c r="AH1594" s="22"/>
      <c r="AI1594" s="22"/>
      <c r="AJ1594" s="22"/>
      <c r="AK1594" s="22"/>
      <c r="AL1594" s="22"/>
      <c r="AM1594" s="22"/>
      <c r="AN1594" s="22"/>
      <c r="AO1594" s="22"/>
      <c r="AP1594" s="22"/>
    </row>
    <row r="1595" hidden="1">
      <c r="A1595" s="148">
        <v>46164.0</v>
      </c>
      <c r="B1595" s="149">
        <v>0.4583333333333333</v>
      </c>
      <c r="C1595" s="11" t="s">
        <v>32</v>
      </c>
      <c r="D1595" s="102" t="s">
        <v>33</v>
      </c>
      <c r="E1595" s="10" t="s">
        <v>71</v>
      </c>
      <c r="F1595" s="10" t="s">
        <v>4692</v>
      </c>
      <c r="G1595" s="11" t="s">
        <v>4878</v>
      </c>
      <c r="H1595" s="11" t="s">
        <v>4791</v>
      </c>
      <c r="I1595" s="10" t="s">
        <v>4879</v>
      </c>
      <c r="J1595" s="14">
        <v>16098.0</v>
      </c>
      <c r="K1595" s="14">
        <v>8010.0</v>
      </c>
      <c r="L1595" s="17">
        <v>0.4975</v>
      </c>
      <c r="M1595" s="150">
        <v>3075.0</v>
      </c>
      <c r="N1595" s="136">
        <v>0.3839</v>
      </c>
      <c r="O1595" s="18">
        <v>272.0</v>
      </c>
      <c r="P1595" s="92">
        <v>264.0</v>
      </c>
      <c r="Q1595" s="137">
        <v>0.033</v>
      </c>
      <c r="R1595" s="17">
        <v>0.0859</v>
      </c>
      <c r="S1595" s="18">
        <v>0.0</v>
      </c>
      <c r="T1595" s="18">
        <v>0.0</v>
      </c>
      <c r="U1595" s="151">
        <v>0.0</v>
      </c>
      <c r="V1595" s="92" t="s">
        <v>315</v>
      </c>
      <c r="W1595" s="18" t="s">
        <v>76</v>
      </c>
      <c r="X1595" s="42" t="s">
        <v>4502</v>
      </c>
      <c r="Y1595" s="159" t="s">
        <v>4813</v>
      </c>
      <c r="Z1595" s="18" t="s">
        <v>4880</v>
      </c>
      <c r="AA1595" s="92">
        <v>29.0</v>
      </c>
      <c r="AB1595" s="18"/>
      <c r="AC1595" s="18">
        <v>29.0</v>
      </c>
      <c r="AD1595" s="172">
        <v>127028.0</v>
      </c>
      <c r="AE1595" s="14"/>
      <c r="AF1595" s="14">
        <v>127028.0</v>
      </c>
      <c r="AG1595" s="22"/>
      <c r="AH1595" s="22"/>
      <c r="AI1595" s="22"/>
      <c r="AJ1595" s="22"/>
      <c r="AK1595" s="22"/>
      <c r="AL1595" s="22"/>
      <c r="AM1595" s="22"/>
      <c r="AN1595" s="22"/>
      <c r="AO1595" s="22"/>
      <c r="AP1595" s="22"/>
    </row>
    <row r="1596" hidden="1">
      <c r="A1596" s="148">
        <v>46164.0</v>
      </c>
      <c r="B1596" s="149">
        <v>0.4583333333333333</v>
      </c>
      <c r="C1596" s="11" t="s">
        <v>32</v>
      </c>
      <c r="D1596" s="102" t="s">
        <v>33</v>
      </c>
      <c r="E1596" s="10" t="s">
        <v>71</v>
      </c>
      <c r="F1596" s="10" t="s">
        <v>4692</v>
      </c>
      <c r="G1596" s="11" t="s">
        <v>4881</v>
      </c>
      <c r="H1596" s="11" t="s">
        <v>4794</v>
      </c>
      <c r="I1596" s="10" t="s">
        <v>4882</v>
      </c>
      <c r="J1596" s="14">
        <v>14358.0</v>
      </c>
      <c r="K1596" s="14">
        <v>5708.0</v>
      </c>
      <c r="L1596" s="17">
        <v>0.3975</v>
      </c>
      <c r="M1596" s="150">
        <v>1978.0</v>
      </c>
      <c r="N1596" s="136">
        <v>0.3466</v>
      </c>
      <c r="O1596" s="18">
        <v>176.0</v>
      </c>
      <c r="P1596" s="92">
        <v>167.0</v>
      </c>
      <c r="Q1596" s="137">
        <v>0.0293</v>
      </c>
      <c r="R1596" s="17">
        <v>0.0844</v>
      </c>
      <c r="S1596" s="18">
        <v>0.0</v>
      </c>
      <c r="T1596" s="18">
        <v>0.0</v>
      </c>
      <c r="U1596" s="151">
        <v>0.0</v>
      </c>
      <c r="V1596" s="92" t="s">
        <v>315</v>
      </c>
      <c r="W1596" s="18" t="s">
        <v>76</v>
      </c>
      <c r="X1596" s="42" t="s">
        <v>4502</v>
      </c>
      <c r="Y1596" s="159" t="s">
        <v>4813</v>
      </c>
      <c r="Z1596" s="18" t="s">
        <v>4883</v>
      </c>
      <c r="AA1596" s="92">
        <v>35.0</v>
      </c>
      <c r="AB1596" s="18"/>
      <c r="AC1596" s="18">
        <v>35.0</v>
      </c>
      <c r="AD1596" s="172">
        <v>184790.0</v>
      </c>
      <c r="AE1596" s="14"/>
      <c r="AF1596" s="14">
        <v>184790.0</v>
      </c>
      <c r="AG1596" s="22"/>
      <c r="AH1596" s="22"/>
      <c r="AI1596" s="22"/>
      <c r="AJ1596" s="22"/>
      <c r="AK1596" s="22"/>
      <c r="AL1596" s="22"/>
      <c r="AM1596" s="22"/>
      <c r="AN1596" s="22"/>
      <c r="AO1596" s="22"/>
      <c r="AP1596" s="22"/>
    </row>
    <row r="1597" hidden="1">
      <c r="A1597" s="148">
        <v>46164.0</v>
      </c>
      <c r="B1597" s="149">
        <v>0.4583333333333333</v>
      </c>
      <c r="C1597" s="11" t="s">
        <v>32</v>
      </c>
      <c r="D1597" s="102" t="s">
        <v>33</v>
      </c>
      <c r="E1597" s="10" t="s">
        <v>71</v>
      </c>
      <c r="F1597" s="10" t="s">
        <v>4692</v>
      </c>
      <c r="G1597" s="11" t="s">
        <v>4884</v>
      </c>
      <c r="H1597" s="11" t="s">
        <v>4797</v>
      </c>
      <c r="I1597" s="10" t="s">
        <v>4885</v>
      </c>
      <c r="J1597" s="14">
        <v>16192.0</v>
      </c>
      <c r="K1597" s="14">
        <v>6942.0</v>
      </c>
      <c r="L1597" s="17">
        <v>0.4287</v>
      </c>
      <c r="M1597" s="150">
        <v>2489.0</v>
      </c>
      <c r="N1597" s="136">
        <v>0.3586</v>
      </c>
      <c r="O1597" s="18">
        <v>217.0</v>
      </c>
      <c r="P1597" s="92">
        <v>211.0</v>
      </c>
      <c r="Q1597" s="137">
        <v>0.0304</v>
      </c>
      <c r="R1597" s="17">
        <v>0.0848</v>
      </c>
      <c r="S1597" s="18">
        <v>0.0</v>
      </c>
      <c r="T1597" s="18">
        <v>0.0</v>
      </c>
      <c r="U1597" s="151">
        <v>0.0</v>
      </c>
      <c r="V1597" s="92" t="s">
        <v>315</v>
      </c>
      <c r="W1597" s="18" t="s">
        <v>76</v>
      </c>
      <c r="X1597" s="42" t="s">
        <v>4502</v>
      </c>
      <c r="Y1597" s="159" t="s">
        <v>4813</v>
      </c>
      <c r="Z1597" s="18" t="s">
        <v>4886</v>
      </c>
      <c r="AA1597" s="92">
        <v>44.0</v>
      </c>
      <c r="AB1597" s="18"/>
      <c r="AC1597" s="18">
        <v>44.0</v>
      </c>
      <c r="AD1597" s="172">
        <v>240686.0</v>
      </c>
      <c r="AE1597" s="14"/>
      <c r="AF1597" s="14">
        <v>240686.0</v>
      </c>
      <c r="AG1597" s="22"/>
      <c r="AH1597" s="22"/>
      <c r="AI1597" s="22"/>
      <c r="AJ1597" s="22"/>
      <c r="AK1597" s="22"/>
      <c r="AL1597" s="22"/>
      <c r="AM1597" s="22"/>
      <c r="AN1597" s="22"/>
      <c r="AO1597" s="22"/>
      <c r="AP1597" s="22"/>
    </row>
    <row r="1598" hidden="1">
      <c r="A1598" s="148">
        <v>46164.0</v>
      </c>
      <c r="B1598" s="149">
        <v>0.4583333333333333</v>
      </c>
      <c r="C1598" s="11" t="s">
        <v>32</v>
      </c>
      <c r="D1598" s="102" t="s">
        <v>33</v>
      </c>
      <c r="E1598" s="10" t="s">
        <v>71</v>
      </c>
      <c r="F1598" s="10" t="s">
        <v>4692</v>
      </c>
      <c r="G1598" s="11" t="s">
        <v>4887</v>
      </c>
      <c r="H1598" s="11" t="s">
        <v>4800</v>
      </c>
      <c r="I1598" s="10" t="s">
        <v>4888</v>
      </c>
      <c r="J1598" s="14">
        <v>7795.0</v>
      </c>
      <c r="K1598" s="14">
        <v>4290.0</v>
      </c>
      <c r="L1598" s="17">
        <v>0.5504</v>
      </c>
      <c r="M1598" s="150">
        <v>1697.0</v>
      </c>
      <c r="N1598" s="136">
        <v>0.3956</v>
      </c>
      <c r="O1598" s="18">
        <v>147.0</v>
      </c>
      <c r="P1598" s="92">
        <v>140.0</v>
      </c>
      <c r="Q1598" s="137">
        <v>0.0326</v>
      </c>
      <c r="R1598" s="17">
        <v>0.0825</v>
      </c>
      <c r="S1598" s="18">
        <v>0.0</v>
      </c>
      <c r="T1598" s="18">
        <v>0.0</v>
      </c>
      <c r="U1598" s="151">
        <v>0.0</v>
      </c>
      <c r="V1598" s="92" t="s">
        <v>315</v>
      </c>
      <c r="W1598" s="18" t="s">
        <v>76</v>
      </c>
      <c r="X1598" s="42" t="s">
        <v>4502</v>
      </c>
      <c r="Y1598" s="159" t="s">
        <v>4813</v>
      </c>
      <c r="Z1598" s="18" t="s">
        <v>4889</v>
      </c>
      <c r="AA1598" s="92">
        <v>7.0</v>
      </c>
      <c r="AB1598" s="18"/>
      <c r="AC1598" s="18">
        <v>7.0</v>
      </c>
      <c r="AD1598" s="172">
        <v>42076.0</v>
      </c>
      <c r="AE1598" s="14"/>
      <c r="AF1598" s="14">
        <v>42076.0</v>
      </c>
      <c r="AG1598" s="22"/>
      <c r="AH1598" s="22"/>
      <c r="AI1598" s="22"/>
      <c r="AJ1598" s="22"/>
      <c r="AK1598" s="22"/>
      <c r="AL1598" s="22"/>
      <c r="AM1598" s="22"/>
      <c r="AN1598" s="22"/>
      <c r="AO1598" s="22"/>
      <c r="AP1598" s="22"/>
    </row>
    <row r="1599" hidden="1">
      <c r="A1599" s="148">
        <v>46164.0</v>
      </c>
      <c r="B1599" s="149">
        <v>0.4583333333333333</v>
      </c>
      <c r="C1599" s="11" t="s">
        <v>32</v>
      </c>
      <c r="D1599" s="102" t="s">
        <v>33</v>
      </c>
      <c r="E1599" s="10" t="s">
        <v>71</v>
      </c>
      <c r="F1599" s="10" t="s">
        <v>4692</v>
      </c>
      <c r="G1599" s="11" t="s">
        <v>4890</v>
      </c>
      <c r="H1599" s="11" t="s">
        <v>4803</v>
      </c>
      <c r="I1599" s="10" t="s">
        <v>4891</v>
      </c>
      <c r="J1599" s="14">
        <v>6799.0</v>
      </c>
      <c r="K1599" s="14">
        <v>3474.0</v>
      </c>
      <c r="L1599" s="17">
        <v>0.5108</v>
      </c>
      <c r="M1599" s="150">
        <v>1758.0</v>
      </c>
      <c r="N1599" s="136">
        <v>0.5062</v>
      </c>
      <c r="O1599" s="18">
        <v>143.0</v>
      </c>
      <c r="P1599" s="92">
        <v>139.0</v>
      </c>
      <c r="Q1599" s="137">
        <v>0.04</v>
      </c>
      <c r="R1599" s="17">
        <v>0.0791</v>
      </c>
      <c r="S1599" s="18">
        <v>0.0</v>
      </c>
      <c r="T1599" s="18">
        <v>0.0</v>
      </c>
      <c r="U1599" s="151">
        <v>0.0</v>
      </c>
      <c r="V1599" s="92" t="s">
        <v>315</v>
      </c>
      <c r="W1599" s="18" t="s">
        <v>76</v>
      </c>
      <c r="X1599" s="42" t="s">
        <v>4502</v>
      </c>
      <c r="Y1599" s="159" t="s">
        <v>4813</v>
      </c>
      <c r="Z1599" s="18" t="s">
        <v>4892</v>
      </c>
      <c r="AA1599" s="92">
        <v>16.0</v>
      </c>
      <c r="AB1599" s="18"/>
      <c r="AC1599" s="18">
        <v>16.0</v>
      </c>
      <c r="AD1599" s="172">
        <v>54808.0</v>
      </c>
      <c r="AE1599" s="14"/>
      <c r="AF1599" s="14">
        <v>54808.0</v>
      </c>
      <c r="AG1599" s="22"/>
      <c r="AH1599" s="22"/>
      <c r="AI1599" s="22"/>
      <c r="AJ1599" s="22"/>
      <c r="AK1599" s="22"/>
      <c r="AL1599" s="22"/>
      <c r="AM1599" s="22"/>
      <c r="AN1599" s="22"/>
      <c r="AO1599" s="22"/>
      <c r="AP1599" s="22"/>
    </row>
    <row r="1600" hidden="1">
      <c r="A1600" s="148">
        <v>46164.0</v>
      </c>
      <c r="B1600" s="149">
        <v>0.4583333333333333</v>
      </c>
      <c r="C1600" s="11" t="s">
        <v>32</v>
      </c>
      <c r="D1600" s="102" t="s">
        <v>33</v>
      </c>
      <c r="E1600" s="10" t="s">
        <v>71</v>
      </c>
      <c r="F1600" s="10" t="s">
        <v>4692</v>
      </c>
      <c r="G1600" s="11" t="s">
        <v>4893</v>
      </c>
      <c r="H1600" s="11" t="s">
        <v>4806</v>
      </c>
      <c r="I1600" s="10" t="s">
        <v>4894</v>
      </c>
      <c r="J1600" s="14">
        <v>5266.0</v>
      </c>
      <c r="K1600" s="14">
        <v>2993.0</v>
      </c>
      <c r="L1600" s="17">
        <v>0.5684</v>
      </c>
      <c r="M1600" s="150">
        <v>1188.0</v>
      </c>
      <c r="N1600" s="136">
        <v>0.3969</v>
      </c>
      <c r="O1600" s="18">
        <v>120.0</v>
      </c>
      <c r="P1600" s="92">
        <v>118.0</v>
      </c>
      <c r="Q1600" s="137">
        <v>0.0394</v>
      </c>
      <c r="R1600" s="17">
        <v>0.0993</v>
      </c>
      <c r="S1600" s="18">
        <v>0.0</v>
      </c>
      <c r="T1600" s="18">
        <v>0.0</v>
      </c>
      <c r="U1600" s="151">
        <v>0.0</v>
      </c>
      <c r="V1600" s="92" t="s">
        <v>315</v>
      </c>
      <c r="W1600" s="18" t="s">
        <v>76</v>
      </c>
      <c r="X1600" s="42" t="s">
        <v>4502</v>
      </c>
      <c r="Y1600" s="159" t="s">
        <v>4813</v>
      </c>
      <c r="Z1600" s="18" t="s">
        <v>4895</v>
      </c>
      <c r="AA1600" s="92">
        <v>10.0</v>
      </c>
      <c r="AB1600" s="18"/>
      <c r="AC1600" s="18">
        <v>10.0</v>
      </c>
      <c r="AD1600" s="172">
        <v>45225.0</v>
      </c>
      <c r="AE1600" s="14"/>
      <c r="AF1600" s="14">
        <v>45225.0</v>
      </c>
      <c r="AG1600" s="22"/>
      <c r="AH1600" s="22"/>
      <c r="AI1600" s="22"/>
      <c r="AJ1600" s="22"/>
      <c r="AK1600" s="22"/>
      <c r="AL1600" s="22"/>
      <c r="AM1600" s="22"/>
      <c r="AN1600" s="22"/>
      <c r="AO1600" s="22"/>
      <c r="AP1600" s="22"/>
    </row>
    <row r="1601" hidden="1">
      <c r="A1601" s="148">
        <v>46164.0</v>
      </c>
      <c r="B1601" s="149">
        <v>0.4583333333333333</v>
      </c>
      <c r="C1601" s="11" t="s">
        <v>32</v>
      </c>
      <c r="D1601" s="102" t="s">
        <v>33</v>
      </c>
      <c r="E1601" s="10" t="s">
        <v>71</v>
      </c>
      <c r="F1601" s="10" t="s">
        <v>4692</v>
      </c>
      <c r="G1601" s="11" t="s">
        <v>4896</v>
      </c>
      <c r="H1601" s="11" t="s">
        <v>4809</v>
      </c>
      <c r="I1601" s="10" t="s">
        <v>4897</v>
      </c>
      <c r="J1601" s="14">
        <v>5634.0</v>
      </c>
      <c r="K1601" s="14">
        <v>3393.0</v>
      </c>
      <c r="L1601" s="17">
        <v>0.6022</v>
      </c>
      <c r="M1601" s="150">
        <v>1648.0</v>
      </c>
      <c r="N1601" s="136">
        <v>0.4857</v>
      </c>
      <c r="O1601" s="18">
        <v>152.0</v>
      </c>
      <c r="P1601" s="92">
        <v>147.0</v>
      </c>
      <c r="Q1601" s="137">
        <v>0.0433</v>
      </c>
      <c r="R1601" s="17">
        <v>0.0892</v>
      </c>
      <c r="S1601" s="18">
        <v>0.0</v>
      </c>
      <c r="T1601" s="18">
        <v>0.0</v>
      </c>
      <c r="U1601" s="151">
        <v>0.0</v>
      </c>
      <c r="V1601" s="92" t="s">
        <v>315</v>
      </c>
      <c r="W1601" s="18" t="s">
        <v>76</v>
      </c>
      <c r="X1601" s="42" t="s">
        <v>4502</v>
      </c>
      <c r="Y1601" s="159" t="s">
        <v>4813</v>
      </c>
      <c r="Z1601" s="18" t="s">
        <v>4898</v>
      </c>
      <c r="AA1601" s="92">
        <v>10.0</v>
      </c>
      <c r="AB1601" s="18"/>
      <c r="AC1601" s="18">
        <v>10.0</v>
      </c>
      <c r="AD1601" s="172">
        <v>43878.0</v>
      </c>
      <c r="AE1601" s="14"/>
      <c r="AF1601" s="14">
        <v>43878.0</v>
      </c>
      <c r="AG1601" s="22"/>
      <c r="AH1601" s="22"/>
      <c r="AI1601" s="22"/>
      <c r="AJ1601" s="22"/>
      <c r="AK1601" s="22"/>
      <c r="AL1601" s="22"/>
      <c r="AM1601" s="22"/>
      <c r="AN1601" s="22"/>
      <c r="AO1601" s="22"/>
      <c r="AP1601" s="22"/>
    </row>
    <row r="1602" hidden="1">
      <c r="A1602" s="148">
        <v>46165.0</v>
      </c>
      <c r="B1602" s="149">
        <v>0.4166666666666667</v>
      </c>
      <c r="C1602" s="11" t="s">
        <v>32</v>
      </c>
      <c r="D1602" s="10" t="s">
        <v>33</v>
      </c>
      <c r="E1602" s="10" t="s">
        <v>106</v>
      </c>
      <c r="F1602" s="10" t="s">
        <v>4661</v>
      </c>
      <c r="G1602" s="11" t="s">
        <v>4899</v>
      </c>
      <c r="H1602" s="11" t="s">
        <v>4672</v>
      </c>
      <c r="I1602" s="10" t="s">
        <v>4673</v>
      </c>
      <c r="J1602" s="14">
        <v>83472.0</v>
      </c>
      <c r="K1602" s="14">
        <v>29372.0</v>
      </c>
      <c r="L1602" s="17">
        <v>0.3518</v>
      </c>
      <c r="M1602" s="150">
        <v>10904.0</v>
      </c>
      <c r="N1602" s="136">
        <v>0.3713</v>
      </c>
      <c r="O1602" s="18">
        <v>843.0</v>
      </c>
      <c r="P1602" s="92">
        <v>798.0</v>
      </c>
      <c r="Q1602" s="137">
        <v>0.0272</v>
      </c>
      <c r="R1602" s="17">
        <v>0.0732</v>
      </c>
      <c r="S1602" s="18">
        <v>0.0</v>
      </c>
      <c r="T1602" s="18">
        <v>0.0</v>
      </c>
      <c r="U1602" s="151">
        <v>0.0</v>
      </c>
      <c r="V1602" s="92" t="s">
        <v>183</v>
      </c>
      <c r="W1602" s="18" t="s">
        <v>76</v>
      </c>
      <c r="X1602" s="42" t="s">
        <v>2286</v>
      </c>
      <c r="Y1602" s="159" t="s">
        <v>4900</v>
      </c>
      <c r="Z1602" s="18" t="s">
        <v>4901</v>
      </c>
      <c r="AA1602" s="92">
        <v>34.0</v>
      </c>
      <c r="AB1602" s="18">
        <v>0.0</v>
      </c>
      <c r="AC1602" s="18">
        <v>34.0</v>
      </c>
      <c r="AD1602" s="172">
        <v>386561.0</v>
      </c>
      <c r="AE1602" s="14">
        <v>0.0</v>
      </c>
      <c r="AF1602" s="14">
        <v>386561.0</v>
      </c>
      <c r="AG1602" s="22"/>
      <c r="AH1602" s="22"/>
      <c r="AI1602" s="22"/>
      <c r="AJ1602" s="22"/>
      <c r="AK1602" s="22"/>
      <c r="AL1602" s="22"/>
      <c r="AM1602" s="22"/>
      <c r="AN1602" s="22"/>
      <c r="AO1602" s="22"/>
      <c r="AP1602" s="22"/>
    </row>
    <row r="1603" hidden="1">
      <c r="A1603" s="148">
        <v>46165.0</v>
      </c>
      <c r="B1603" s="149">
        <v>0.4166666666666667</v>
      </c>
      <c r="C1603" s="11" t="s">
        <v>32</v>
      </c>
      <c r="D1603" s="10" t="s">
        <v>33</v>
      </c>
      <c r="E1603" s="10" t="s">
        <v>106</v>
      </c>
      <c r="F1603" s="10" t="s">
        <v>4661</v>
      </c>
      <c r="G1603" s="11" t="s">
        <v>4902</v>
      </c>
      <c r="H1603" s="11" t="s">
        <v>4668</v>
      </c>
      <c r="I1603" s="10" t="s">
        <v>4669</v>
      </c>
      <c r="J1603" s="14">
        <v>174008.0</v>
      </c>
      <c r="K1603" s="14">
        <v>59580.0</v>
      </c>
      <c r="L1603" s="17">
        <v>0.3423</v>
      </c>
      <c r="M1603" s="150">
        <v>21191.0</v>
      </c>
      <c r="N1603" s="136">
        <v>0.3557</v>
      </c>
      <c r="O1603" s="18">
        <v>1535.0</v>
      </c>
      <c r="P1603" s="92">
        <v>1473.0</v>
      </c>
      <c r="Q1603" s="137">
        <v>0.0247</v>
      </c>
      <c r="R1603" s="17">
        <v>0.0695</v>
      </c>
      <c r="S1603" s="18">
        <v>0.0</v>
      </c>
      <c r="T1603" s="18">
        <v>0.0</v>
      </c>
      <c r="U1603" s="151">
        <v>0.0</v>
      </c>
      <c r="V1603" s="92" t="s">
        <v>183</v>
      </c>
      <c r="W1603" s="18" t="s">
        <v>76</v>
      </c>
      <c r="X1603" s="42" t="s">
        <v>41</v>
      </c>
      <c r="Y1603" s="159" t="s">
        <v>4900</v>
      </c>
      <c r="Z1603" s="18" t="s">
        <v>4903</v>
      </c>
      <c r="AA1603" s="92">
        <v>31.0</v>
      </c>
      <c r="AB1603" s="18">
        <v>0.0</v>
      </c>
      <c r="AC1603" s="18">
        <v>31.0</v>
      </c>
      <c r="AD1603" s="172">
        <v>383462.0</v>
      </c>
      <c r="AE1603" s="14">
        <v>0.0</v>
      </c>
      <c r="AF1603" s="14">
        <v>383462.0</v>
      </c>
      <c r="AG1603" s="22"/>
      <c r="AH1603" s="22"/>
      <c r="AI1603" s="22"/>
      <c r="AJ1603" s="22"/>
      <c r="AK1603" s="22"/>
      <c r="AL1603" s="22"/>
      <c r="AM1603" s="22"/>
      <c r="AN1603" s="22"/>
      <c r="AO1603" s="22"/>
      <c r="AP1603" s="22"/>
    </row>
    <row r="1604" hidden="1">
      <c r="A1604" s="148">
        <v>46165.0</v>
      </c>
      <c r="B1604" s="149">
        <v>0.4166666666666667</v>
      </c>
      <c r="C1604" s="11" t="s">
        <v>32</v>
      </c>
      <c r="D1604" s="10" t="s">
        <v>33</v>
      </c>
      <c r="E1604" s="10" t="s">
        <v>106</v>
      </c>
      <c r="F1604" s="10" t="s">
        <v>4661</v>
      </c>
      <c r="G1604" s="11" t="s">
        <v>4904</v>
      </c>
      <c r="H1604" s="11" t="s">
        <v>4663</v>
      </c>
      <c r="I1604" s="10" t="s">
        <v>4664</v>
      </c>
      <c r="J1604" s="14">
        <v>88011.0</v>
      </c>
      <c r="K1604" s="14">
        <v>29977.0</v>
      </c>
      <c r="L1604" s="17">
        <v>0.3406</v>
      </c>
      <c r="M1604" s="150">
        <v>11225.0</v>
      </c>
      <c r="N1604" s="136">
        <v>0.3744</v>
      </c>
      <c r="O1604" s="18">
        <v>1011.0</v>
      </c>
      <c r="P1604" s="92">
        <v>970.0</v>
      </c>
      <c r="Q1604" s="137">
        <v>0.0324</v>
      </c>
      <c r="R1604" s="17">
        <v>0.0864</v>
      </c>
      <c r="S1604" s="18">
        <v>0.0</v>
      </c>
      <c r="T1604" s="18">
        <v>0.0</v>
      </c>
      <c r="U1604" s="151">
        <v>0.0</v>
      </c>
      <c r="V1604" s="92" t="s">
        <v>183</v>
      </c>
      <c r="W1604" s="18" t="s">
        <v>76</v>
      </c>
      <c r="X1604" s="42" t="s">
        <v>52</v>
      </c>
      <c r="Y1604" s="159" t="s">
        <v>4900</v>
      </c>
      <c r="Z1604" s="18" t="s">
        <v>4905</v>
      </c>
      <c r="AA1604" s="92">
        <v>29.0</v>
      </c>
      <c r="AB1604" s="18">
        <v>0.0</v>
      </c>
      <c r="AC1604" s="18">
        <v>29.0</v>
      </c>
      <c r="AD1604" s="172">
        <v>428956.0</v>
      </c>
      <c r="AE1604" s="14">
        <v>0.0</v>
      </c>
      <c r="AF1604" s="14">
        <v>428956.0</v>
      </c>
      <c r="AG1604" s="22"/>
      <c r="AH1604" s="22"/>
      <c r="AI1604" s="22"/>
      <c r="AJ1604" s="22"/>
      <c r="AK1604" s="22"/>
      <c r="AL1604" s="22"/>
      <c r="AM1604" s="22"/>
      <c r="AN1604" s="22"/>
      <c r="AO1604" s="22"/>
      <c r="AP1604" s="22"/>
    </row>
    <row r="1605" hidden="1">
      <c r="A1605" s="148">
        <v>46165.0</v>
      </c>
      <c r="B1605" s="149">
        <v>0.5</v>
      </c>
      <c r="C1605" s="11" t="s">
        <v>32</v>
      </c>
      <c r="D1605" s="10" t="s">
        <v>33</v>
      </c>
      <c r="E1605" s="10" t="s">
        <v>71</v>
      </c>
      <c r="F1605" s="10" t="s">
        <v>4692</v>
      </c>
      <c r="G1605" s="11" t="s">
        <v>4906</v>
      </c>
      <c r="H1605" s="11" t="s">
        <v>4907</v>
      </c>
      <c r="I1605" s="10" t="s">
        <v>4908</v>
      </c>
      <c r="J1605" s="14">
        <v>73692.0</v>
      </c>
      <c r="K1605" s="14">
        <v>27818.0</v>
      </c>
      <c r="L1605" s="17">
        <v>0.3775</v>
      </c>
      <c r="M1605" s="150">
        <v>8995.0</v>
      </c>
      <c r="N1605" s="136">
        <v>0.3234</v>
      </c>
      <c r="O1605" s="18">
        <v>612.0</v>
      </c>
      <c r="P1605" s="92">
        <v>589.0</v>
      </c>
      <c r="Q1605" s="137">
        <v>0.0212</v>
      </c>
      <c r="R1605" s="17">
        <v>0.0655</v>
      </c>
      <c r="S1605" s="18">
        <v>0.0</v>
      </c>
      <c r="T1605" s="18">
        <v>0.0</v>
      </c>
      <c r="U1605" s="151">
        <v>0.0</v>
      </c>
      <c r="V1605" s="92" t="s">
        <v>315</v>
      </c>
      <c r="W1605" s="18" t="s">
        <v>76</v>
      </c>
      <c r="X1605" s="42" t="s">
        <v>4502</v>
      </c>
      <c r="Y1605" s="159" t="s">
        <v>4909</v>
      </c>
      <c r="Z1605" s="18" t="s">
        <v>4910</v>
      </c>
      <c r="AA1605" s="92">
        <v>105.0</v>
      </c>
      <c r="AB1605" s="18"/>
      <c r="AC1605" s="18">
        <v>105.0</v>
      </c>
      <c r="AD1605" s="172">
        <v>498555.0</v>
      </c>
      <c r="AE1605" s="14"/>
      <c r="AF1605" s="14">
        <v>498555.0</v>
      </c>
      <c r="AG1605" s="22"/>
      <c r="AH1605" s="22"/>
      <c r="AI1605" s="22"/>
      <c r="AJ1605" s="22"/>
      <c r="AK1605" s="22"/>
      <c r="AL1605" s="22"/>
      <c r="AM1605" s="22"/>
      <c r="AN1605" s="22"/>
      <c r="AO1605" s="22"/>
      <c r="AP1605" s="22"/>
    </row>
    <row r="1606" hidden="1">
      <c r="A1606" s="148">
        <v>46165.0</v>
      </c>
      <c r="B1606" s="149">
        <v>0.5</v>
      </c>
      <c r="C1606" s="11" t="s">
        <v>32</v>
      </c>
      <c r="D1606" s="10" t="s">
        <v>33</v>
      </c>
      <c r="E1606" s="10" t="s">
        <v>71</v>
      </c>
      <c r="F1606" s="10" t="s">
        <v>4692</v>
      </c>
      <c r="G1606" s="11" t="s">
        <v>4911</v>
      </c>
      <c r="H1606" s="11" t="s">
        <v>4912</v>
      </c>
      <c r="I1606" s="10" t="s">
        <v>4913</v>
      </c>
      <c r="J1606" s="14">
        <v>44505.0</v>
      </c>
      <c r="K1606" s="14">
        <v>16981.0</v>
      </c>
      <c r="L1606" s="17">
        <v>0.3815</v>
      </c>
      <c r="M1606" s="150">
        <v>5962.0</v>
      </c>
      <c r="N1606" s="136">
        <v>0.3509</v>
      </c>
      <c r="O1606" s="18">
        <v>422.0</v>
      </c>
      <c r="P1606" s="92">
        <v>406.0</v>
      </c>
      <c r="Q1606" s="137">
        <v>0.0239</v>
      </c>
      <c r="R1606" s="17">
        <v>0.0681</v>
      </c>
      <c r="S1606" s="18">
        <v>0.0</v>
      </c>
      <c r="T1606" s="18">
        <v>0.0</v>
      </c>
      <c r="U1606" s="151">
        <v>0.0</v>
      </c>
      <c r="V1606" s="92" t="s">
        <v>315</v>
      </c>
      <c r="W1606" s="18" t="s">
        <v>76</v>
      </c>
      <c r="X1606" s="42" t="s">
        <v>4502</v>
      </c>
      <c r="Y1606" s="159" t="s">
        <v>4909</v>
      </c>
      <c r="Z1606" s="18" t="s">
        <v>4914</v>
      </c>
      <c r="AA1606" s="92">
        <v>61.0</v>
      </c>
      <c r="AB1606" s="18"/>
      <c r="AC1606" s="18">
        <v>61.0</v>
      </c>
      <c r="AD1606" s="172">
        <v>361039.0</v>
      </c>
      <c r="AE1606" s="14"/>
      <c r="AF1606" s="14">
        <v>361039.0</v>
      </c>
      <c r="AG1606" s="22"/>
      <c r="AH1606" s="22"/>
      <c r="AI1606" s="22"/>
      <c r="AJ1606" s="22"/>
      <c r="AK1606" s="22"/>
      <c r="AL1606" s="22"/>
      <c r="AM1606" s="22"/>
      <c r="AN1606" s="22"/>
      <c r="AO1606" s="22"/>
      <c r="AP1606" s="22"/>
    </row>
    <row r="1607" hidden="1">
      <c r="A1607" s="148">
        <v>46165.0</v>
      </c>
      <c r="B1607" s="149">
        <v>0.5</v>
      </c>
      <c r="C1607" s="11" t="s">
        <v>32</v>
      </c>
      <c r="D1607" s="10" t="s">
        <v>33</v>
      </c>
      <c r="E1607" s="10" t="s">
        <v>71</v>
      </c>
      <c r="F1607" s="10" t="s">
        <v>4692</v>
      </c>
      <c r="G1607" s="11" t="s">
        <v>4915</v>
      </c>
      <c r="H1607" s="11" t="s">
        <v>4916</v>
      </c>
      <c r="I1607" s="10" t="s">
        <v>4917</v>
      </c>
      <c r="J1607" s="14">
        <v>24363.0</v>
      </c>
      <c r="K1607" s="14">
        <v>10322.0</v>
      </c>
      <c r="L1607" s="17">
        <v>0.4237</v>
      </c>
      <c r="M1607" s="150">
        <v>4507.0</v>
      </c>
      <c r="N1607" s="136">
        <v>0.4365</v>
      </c>
      <c r="O1607" s="18">
        <v>252.0</v>
      </c>
      <c r="P1607" s="92">
        <v>240.0</v>
      </c>
      <c r="Q1607" s="137">
        <v>0.0233</v>
      </c>
      <c r="R1607" s="17">
        <v>0.0533</v>
      </c>
      <c r="S1607" s="18">
        <v>0.0</v>
      </c>
      <c r="T1607" s="18">
        <v>0.0</v>
      </c>
      <c r="U1607" s="151">
        <v>0.0</v>
      </c>
      <c r="V1607" s="92" t="s">
        <v>315</v>
      </c>
      <c r="W1607" s="18" t="s">
        <v>76</v>
      </c>
      <c r="X1607" s="42" t="s">
        <v>4502</v>
      </c>
      <c r="Y1607" s="159" t="s">
        <v>4909</v>
      </c>
      <c r="Z1607" s="18" t="s">
        <v>4918</v>
      </c>
      <c r="AA1607" s="92">
        <v>45.0</v>
      </c>
      <c r="AB1607" s="18"/>
      <c r="AC1607" s="18">
        <v>45.0</v>
      </c>
      <c r="AD1607" s="172">
        <v>201398.0</v>
      </c>
      <c r="AE1607" s="14"/>
      <c r="AF1607" s="14">
        <v>201398.0</v>
      </c>
      <c r="AG1607" s="22"/>
      <c r="AH1607" s="22"/>
      <c r="AI1607" s="22"/>
      <c r="AJ1607" s="22"/>
      <c r="AK1607" s="22"/>
      <c r="AL1607" s="22"/>
      <c r="AM1607" s="22"/>
      <c r="AN1607" s="22"/>
      <c r="AO1607" s="22"/>
      <c r="AP1607" s="22"/>
    </row>
    <row r="1608" hidden="1">
      <c r="A1608" s="148">
        <v>46165.0</v>
      </c>
      <c r="B1608" s="149">
        <v>0.5</v>
      </c>
      <c r="C1608" s="11" t="s">
        <v>32</v>
      </c>
      <c r="D1608" s="10" t="s">
        <v>33</v>
      </c>
      <c r="E1608" s="10" t="s">
        <v>71</v>
      </c>
      <c r="F1608" s="10" t="s">
        <v>4692</v>
      </c>
      <c r="G1608" s="11" t="s">
        <v>4919</v>
      </c>
      <c r="H1608" s="11" t="s">
        <v>4920</v>
      </c>
      <c r="I1608" s="10" t="s">
        <v>4921</v>
      </c>
      <c r="J1608" s="14">
        <v>12227.0</v>
      </c>
      <c r="K1608" s="14">
        <v>4480.0</v>
      </c>
      <c r="L1608" s="17">
        <v>0.3664</v>
      </c>
      <c r="M1608" s="150">
        <v>1636.0</v>
      </c>
      <c r="N1608" s="136">
        <v>0.3652</v>
      </c>
      <c r="O1608" s="18">
        <v>102.0</v>
      </c>
      <c r="P1608" s="92">
        <v>95.0</v>
      </c>
      <c r="Q1608" s="137">
        <v>0.0212</v>
      </c>
      <c r="R1608" s="17">
        <v>0.0581</v>
      </c>
      <c r="S1608" s="18">
        <v>0.0</v>
      </c>
      <c r="T1608" s="18">
        <v>0.0</v>
      </c>
      <c r="U1608" s="151">
        <v>0.0</v>
      </c>
      <c r="V1608" s="92" t="s">
        <v>315</v>
      </c>
      <c r="W1608" s="18" t="s">
        <v>76</v>
      </c>
      <c r="X1608" s="42" t="s">
        <v>4502</v>
      </c>
      <c r="Y1608" s="159" t="s">
        <v>4909</v>
      </c>
      <c r="Z1608" s="18" t="s">
        <v>4922</v>
      </c>
      <c r="AA1608" s="92">
        <v>20.0</v>
      </c>
      <c r="AB1608" s="18"/>
      <c r="AC1608" s="18">
        <v>20.0</v>
      </c>
      <c r="AD1608" s="172">
        <v>125342.0</v>
      </c>
      <c r="AE1608" s="14"/>
      <c r="AF1608" s="14">
        <v>125342.0</v>
      </c>
      <c r="AG1608" s="22"/>
      <c r="AH1608" s="22"/>
      <c r="AI1608" s="22"/>
      <c r="AJ1608" s="22"/>
      <c r="AK1608" s="22"/>
      <c r="AL1608" s="22"/>
      <c r="AM1608" s="22"/>
      <c r="AN1608" s="22"/>
      <c r="AO1608" s="22"/>
      <c r="AP1608" s="22"/>
    </row>
    <row r="1609" hidden="1">
      <c r="A1609" s="148">
        <v>46165.0</v>
      </c>
      <c r="B1609" s="149">
        <v>0.5</v>
      </c>
      <c r="C1609" s="11" t="s">
        <v>32</v>
      </c>
      <c r="D1609" s="10" t="s">
        <v>33</v>
      </c>
      <c r="E1609" s="10" t="s">
        <v>71</v>
      </c>
      <c r="F1609" s="10" t="s">
        <v>4692</v>
      </c>
      <c r="G1609" s="11" t="s">
        <v>4923</v>
      </c>
      <c r="H1609" s="11" t="s">
        <v>4924</v>
      </c>
      <c r="I1609" s="10" t="s">
        <v>4925</v>
      </c>
      <c r="J1609" s="14">
        <v>46571.0</v>
      </c>
      <c r="K1609" s="14">
        <v>16973.0</v>
      </c>
      <c r="L1609" s="17">
        <v>0.3644</v>
      </c>
      <c r="M1609" s="150">
        <v>5315.0</v>
      </c>
      <c r="N1609" s="136">
        <v>0.3131</v>
      </c>
      <c r="O1609" s="18">
        <v>431.0</v>
      </c>
      <c r="P1609" s="92">
        <v>407.0</v>
      </c>
      <c r="Q1609" s="137">
        <v>0.024</v>
      </c>
      <c r="R1609" s="17">
        <v>0.0766</v>
      </c>
      <c r="S1609" s="18">
        <v>0.0</v>
      </c>
      <c r="T1609" s="18">
        <v>0.0</v>
      </c>
      <c r="U1609" s="151">
        <v>0.0</v>
      </c>
      <c r="V1609" s="92" t="s">
        <v>315</v>
      </c>
      <c r="W1609" s="18" t="s">
        <v>76</v>
      </c>
      <c r="X1609" s="42" t="s">
        <v>4502</v>
      </c>
      <c r="Y1609" s="159" t="s">
        <v>4909</v>
      </c>
      <c r="Z1609" s="18" t="s">
        <v>4926</v>
      </c>
      <c r="AA1609" s="92">
        <v>81.0</v>
      </c>
      <c r="AB1609" s="18"/>
      <c r="AC1609" s="18">
        <v>81.0</v>
      </c>
      <c r="AD1609" s="172">
        <v>450396.0</v>
      </c>
      <c r="AE1609" s="14"/>
      <c r="AF1609" s="14">
        <v>450396.0</v>
      </c>
      <c r="AG1609" s="22"/>
      <c r="AH1609" s="22"/>
      <c r="AI1609" s="22"/>
      <c r="AJ1609" s="22"/>
      <c r="AK1609" s="22"/>
      <c r="AL1609" s="22"/>
      <c r="AM1609" s="22"/>
      <c r="AN1609" s="22"/>
      <c r="AO1609" s="22"/>
      <c r="AP1609" s="22"/>
    </row>
    <row r="1610" hidden="1">
      <c r="A1610" s="148">
        <v>46165.0</v>
      </c>
      <c r="B1610" s="149">
        <v>0.5</v>
      </c>
      <c r="C1610" s="11" t="s">
        <v>32</v>
      </c>
      <c r="D1610" s="10" t="s">
        <v>33</v>
      </c>
      <c r="E1610" s="10" t="s">
        <v>71</v>
      </c>
      <c r="F1610" s="10" t="s">
        <v>4692</v>
      </c>
      <c r="G1610" s="11" t="s">
        <v>4927</v>
      </c>
      <c r="H1610" s="11" t="s">
        <v>4928</v>
      </c>
      <c r="I1610" s="10" t="s">
        <v>4929</v>
      </c>
      <c r="J1610" s="14">
        <v>27099.0</v>
      </c>
      <c r="K1610" s="14">
        <v>10117.0</v>
      </c>
      <c r="L1610" s="17">
        <v>0.3733</v>
      </c>
      <c r="M1610" s="150">
        <v>3723.0</v>
      </c>
      <c r="N1610" s="136">
        <v>0.3679</v>
      </c>
      <c r="O1610" s="18">
        <v>247.0</v>
      </c>
      <c r="P1610" s="92">
        <v>231.0</v>
      </c>
      <c r="Q1610" s="137">
        <v>0.0228</v>
      </c>
      <c r="R1610" s="17">
        <v>0.0621</v>
      </c>
      <c r="S1610" s="18">
        <v>0.0</v>
      </c>
      <c r="T1610" s="18">
        <v>0.0</v>
      </c>
      <c r="U1610" s="151">
        <v>0.0</v>
      </c>
      <c r="V1610" s="92" t="s">
        <v>315</v>
      </c>
      <c r="W1610" s="18" t="s">
        <v>76</v>
      </c>
      <c r="X1610" s="42" t="s">
        <v>4502</v>
      </c>
      <c r="Y1610" s="159" t="s">
        <v>4909</v>
      </c>
      <c r="Z1610" s="18" t="s">
        <v>4930</v>
      </c>
      <c r="AA1610" s="92">
        <v>27.0</v>
      </c>
      <c r="AB1610" s="18"/>
      <c r="AC1610" s="18">
        <v>27.0</v>
      </c>
      <c r="AD1610" s="172">
        <v>137330.0</v>
      </c>
      <c r="AE1610" s="14"/>
      <c r="AF1610" s="14">
        <v>137330.0</v>
      </c>
      <c r="AG1610" s="22"/>
      <c r="AH1610" s="22"/>
      <c r="AI1610" s="22"/>
      <c r="AJ1610" s="22"/>
      <c r="AK1610" s="22"/>
      <c r="AL1610" s="22"/>
      <c r="AM1610" s="22"/>
      <c r="AN1610" s="22"/>
      <c r="AO1610" s="22"/>
      <c r="AP1610" s="22"/>
    </row>
    <row r="1611" hidden="1">
      <c r="A1611" s="148">
        <v>46165.0</v>
      </c>
      <c r="B1611" s="149">
        <v>0.5</v>
      </c>
      <c r="C1611" s="11" t="s">
        <v>32</v>
      </c>
      <c r="D1611" s="10" t="s">
        <v>33</v>
      </c>
      <c r="E1611" s="10" t="s">
        <v>71</v>
      </c>
      <c r="F1611" s="10" t="s">
        <v>4692</v>
      </c>
      <c r="G1611" s="11" t="s">
        <v>4931</v>
      </c>
      <c r="H1611" s="11" t="s">
        <v>4932</v>
      </c>
      <c r="I1611" s="10" t="s">
        <v>4933</v>
      </c>
      <c r="J1611" s="14">
        <v>20133.0</v>
      </c>
      <c r="K1611" s="14">
        <v>7679.0</v>
      </c>
      <c r="L1611" s="17">
        <v>0.3814</v>
      </c>
      <c r="M1611" s="150">
        <v>2802.0</v>
      </c>
      <c r="N1611" s="136">
        <v>0.3649</v>
      </c>
      <c r="O1611" s="18">
        <v>173.0</v>
      </c>
      <c r="P1611" s="92">
        <v>168.0</v>
      </c>
      <c r="Q1611" s="137">
        <v>0.0219</v>
      </c>
      <c r="R1611" s="17">
        <v>0.06</v>
      </c>
      <c r="S1611" s="18">
        <v>0.0</v>
      </c>
      <c r="T1611" s="18">
        <v>0.0</v>
      </c>
      <c r="U1611" s="151">
        <v>0.0</v>
      </c>
      <c r="V1611" s="92" t="s">
        <v>315</v>
      </c>
      <c r="W1611" s="18" t="s">
        <v>76</v>
      </c>
      <c r="X1611" s="42" t="s">
        <v>4502</v>
      </c>
      <c r="Y1611" s="159" t="s">
        <v>4909</v>
      </c>
      <c r="Z1611" s="18" t="s">
        <v>4934</v>
      </c>
      <c r="AA1611" s="92">
        <v>43.0</v>
      </c>
      <c r="AB1611" s="18"/>
      <c r="AC1611" s="18">
        <v>43.0</v>
      </c>
      <c r="AD1611" s="172">
        <v>246621.0</v>
      </c>
      <c r="AE1611" s="14"/>
      <c r="AF1611" s="14">
        <v>246621.0</v>
      </c>
      <c r="AG1611" s="22"/>
      <c r="AH1611" s="22"/>
      <c r="AI1611" s="22"/>
      <c r="AJ1611" s="22"/>
      <c r="AK1611" s="22"/>
      <c r="AL1611" s="22"/>
      <c r="AM1611" s="22"/>
      <c r="AN1611" s="22"/>
      <c r="AO1611" s="22"/>
      <c r="AP1611" s="22"/>
    </row>
    <row r="1612" hidden="1">
      <c r="A1612" s="148">
        <v>46165.0</v>
      </c>
      <c r="B1612" s="149">
        <v>0.5</v>
      </c>
      <c r="C1612" s="11" t="s">
        <v>32</v>
      </c>
      <c r="D1612" s="10" t="s">
        <v>33</v>
      </c>
      <c r="E1612" s="10" t="s">
        <v>71</v>
      </c>
      <c r="F1612" s="10" t="s">
        <v>4692</v>
      </c>
      <c r="G1612" s="11" t="s">
        <v>4935</v>
      </c>
      <c r="H1612" s="11" t="s">
        <v>4936</v>
      </c>
      <c r="I1612" s="10" t="s">
        <v>4937</v>
      </c>
      <c r="J1612" s="14">
        <v>22799.0</v>
      </c>
      <c r="K1612" s="14">
        <v>8558.0</v>
      </c>
      <c r="L1612" s="17">
        <v>0.3754</v>
      </c>
      <c r="M1612" s="150">
        <v>3163.0</v>
      </c>
      <c r="N1612" s="136">
        <v>0.3694</v>
      </c>
      <c r="O1612" s="18">
        <v>227.0</v>
      </c>
      <c r="P1612" s="92">
        <v>220.0</v>
      </c>
      <c r="Q1612" s="137">
        <v>0.0257</v>
      </c>
      <c r="R1612" s="17">
        <v>0.0696</v>
      </c>
      <c r="S1612" s="18">
        <v>0.0</v>
      </c>
      <c r="T1612" s="18">
        <v>0.0</v>
      </c>
      <c r="U1612" s="151">
        <v>0.0</v>
      </c>
      <c r="V1612" s="92" t="s">
        <v>315</v>
      </c>
      <c r="W1612" s="18" t="s">
        <v>76</v>
      </c>
      <c r="X1612" s="42" t="s">
        <v>4502</v>
      </c>
      <c r="Y1612" s="159" t="s">
        <v>4909</v>
      </c>
      <c r="Z1612" s="18" t="s">
        <v>4938</v>
      </c>
      <c r="AA1612" s="92">
        <v>28.0</v>
      </c>
      <c r="AB1612" s="18"/>
      <c r="AC1612" s="18">
        <v>28.0</v>
      </c>
      <c r="AD1612" s="172">
        <v>126137.0</v>
      </c>
      <c r="AE1612" s="14"/>
      <c r="AF1612" s="14">
        <v>126137.0</v>
      </c>
      <c r="AG1612" s="22"/>
      <c r="AH1612" s="22"/>
      <c r="AI1612" s="22"/>
      <c r="AJ1612" s="22"/>
      <c r="AK1612" s="22"/>
      <c r="AL1612" s="22"/>
      <c r="AM1612" s="22"/>
      <c r="AN1612" s="22"/>
      <c r="AO1612" s="22"/>
      <c r="AP1612" s="22"/>
    </row>
    <row r="1613" hidden="1">
      <c r="A1613" s="148">
        <v>46165.0</v>
      </c>
      <c r="B1613" s="149">
        <v>0.5</v>
      </c>
      <c r="C1613" s="11" t="s">
        <v>32</v>
      </c>
      <c r="D1613" s="10" t="s">
        <v>33</v>
      </c>
      <c r="E1613" s="10" t="s">
        <v>71</v>
      </c>
      <c r="F1613" s="10" t="s">
        <v>4692</v>
      </c>
      <c r="G1613" s="11" t="s">
        <v>4939</v>
      </c>
      <c r="H1613" s="11" t="s">
        <v>4940</v>
      </c>
      <c r="I1613" s="10" t="s">
        <v>4941</v>
      </c>
      <c r="J1613" s="14">
        <v>18744.0</v>
      </c>
      <c r="K1613" s="14">
        <v>6169.0</v>
      </c>
      <c r="L1613" s="17">
        <v>0.3291</v>
      </c>
      <c r="M1613" s="150">
        <v>1914.0</v>
      </c>
      <c r="N1613" s="136">
        <v>0.3103</v>
      </c>
      <c r="O1613" s="18">
        <v>160.0</v>
      </c>
      <c r="P1613" s="92">
        <v>153.0</v>
      </c>
      <c r="Q1613" s="137">
        <v>0.0248</v>
      </c>
      <c r="R1613" s="17">
        <v>0.0799</v>
      </c>
      <c r="S1613" s="18">
        <v>0.0</v>
      </c>
      <c r="T1613" s="18">
        <v>0.0</v>
      </c>
      <c r="U1613" s="151">
        <v>0.0</v>
      </c>
      <c r="V1613" s="92" t="s">
        <v>315</v>
      </c>
      <c r="W1613" s="18" t="s">
        <v>76</v>
      </c>
      <c r="X1613" s="42" t="s">
        <v>4502</v>
      </c>
      <c r="Y1613" s="159" t="s">
        <v>4909</v>
      </c>
      <c r="Z1613" s="18" t="s">
        <v>4942</v>
      </c>
      <c r="AA1613" s="92">
        <v>41.0</v>
      </c>
      <c r="AB1613" s="18"/>
      <c r="AC1613" s="18">
        <v>41.0</v>
      </c>
      <c r="AD1613" s="172">
        <v>242229.0</v>
      </c>
      <c r="AE1613" s="14"/>
      <c r="AF1613" s="14">
        <v>242229.0</v>
      </c>
      <c r="AG1613" s="22"/>
      <c r="AH1613" s="22"/>
      <c r="AI1613" s="22"/>
      <c r="AJ1613" s="22"/>
      <c r="AK1613" s="22"/>
      <c r="AL1613" s="22"/>
      <c r="AM1613" s="22"/>
      <c r="AN1613" s="22"/>
      <c r="AO1613" s="22"/>
      <c r="AP1613" s="22"/>
    </row>
    <row r="1614" hidden="1">
      <c r="A1614" s="148">
        <v>46165.0</v>
      </c>
      <c r="B1614" s="149">
        <v>0.5</v>
      </c>
      <c r="C1614" s="11" t="s">
        <v>32</v>
      </c>
      <c r="D1614" s="10" t="s">
        <v>33</v>
      </c>
      <c r="E1614" s="10" t="s">
        <v>71</v>
      </c>
      <c r="F1614" s="10" t="s">
        <v>4692</v>
      </c>
      <c r="G1614" s="11" t="s">
        <v>4943</v>
      </c>
      <c r="H1614" s="11" t="s">
        <v>4944</v>
      </c>
      <c r="I1614" s="10" t="s">
        <v>4945</v>
      </c>
      <c r="J1614" s="14">
        <v>21566.0</v>
      </c>
      <c r="K1614" s="14">
        <v>8058.0</v>
      </c>
      <c r="L1614" s="17">
        <v>0.3736</v>
      </c>
      <c r="M1614" s="150">
        <v>2430.0</v>
      </c>
      <c r="N1614" s="136">
        <v>0.3016</v>
      </c>
      <c r="O1614" s="18">
        <v>214.0</v>
      </c>
      <c r="P1614" s="92">
        <v>204.0</v>
      </c>
      <c r="Q1614" s="137">
        <v>0.0253</v>
      </c>
      <c r="R1614" s="17">
        <v>0.084</v>
      </c>
      <c r="S1614" s="18">
        <v>0.0</v>
      </c>
      <c r="T1614" s="18">
        <v>0.0</v>
      </c>
      <c r="U1614" s="151">
        <v>0.0</v>
      </c>
      <c r="V1614" s="92" t="s">
        <v>315</v>
      </c>
      <c r="W1614" s="18" t="s">
        <v>76</v>
      </c>
      <c r="X1614" s="42" t="s">
        <v>4502</v>
      </c>
      <c r="Y1614" s="159" t="s">
        <v>4909</v>
      </c>
      <c r="Z1614" s="18" t="s">
        <v>4946</v>
      </c>
      <c r="AA1614" s="92">
        <v>48.0</v>
      </c>
      <c r="AB1614" s="18"/>
      <c r="AC1614" s="18">
        <v>48.0</v>
      </c>
      <c r="AD1614" s="172">
        <v>238182.0</v>
      </c>
      <c r="AE1614" s="14"/>
      <c r="AF1614" s="14">
        <v>238182.0</v>
      </c>
      <c r="AG1614" s="22"/>
      <c r="AH1614" s="22"/>
      <c r="AI1614" s="22"/>
      <c r="AJ1614" s="22"/>
      <c r="AK1614" s="22"/>
      <c r="AL1614" s="22"/>
      <c r="AM1614" s="22"/>
      <c r="AN1614" s="22"/>
      <c r="AO1614" s="22"/>
      <c r="AP1614" s="22"/>
    </row>
    <row r="1615" hidden="1">
      <c r="A1615" s="148">
        <v>46165.0</v>
      </c>
      <c r="B1615" s="149">
        <v>0.5</v>
      </c>
      <c r="C1615" s="11" t="s">
        <v>32</v>
      </c>
      <c r="D1615" s="10" t="s">
        <v>33</v>
      </c>
      <c r="E1615" s="10" t="s">
        <v>71</v>
      </c>
      <c r="F1615" s="10" t="s">
        <v>4692</v>
      </c>
      <c r="G1615" s="11" t="s">
        <v>4947</v>
      </c>
      <c r="H1615" s="11" t="s">
        <v>4948</v>
      </c>
      <c r="I1615" s="10" t="s">
        <v>4949</v>
      </c>
      <c r="J1615" s="14">
        <v>10823.0</v>
      </c>
      <c r="K1615" s="14">
        <v>4229.0</v>
      </c>
      <c r="L1615" s="17">
        <v>0.3907</v>
      </c>
      <c r="M1615" s="150">
        <v>1570.0</v>
      </c>
      <c r="N1615" s="136">
        <v>0.3712</v>
      </c>
      <c r="O1615" s="18">
        <v>98.0</v>
      </c>
      <c r="P1615" s="92">
        <v>92.0</v>
      </c>
      <c r="Q1615" s="137">
        <v>0.0218</v>
      </c>
      <c r="R1615" s="17">
        <v>0.0586</v>
      </c>
      <c r="S1615" s="18">
        <v>0.0</v>
      </c>
      <c r="T1615" s="18">
        <v>0.0</v>
      </c>
      <c r="U1615" s="151">
        <v>0.0</v>
      </c>
      <c r="V1615" s="92" t="s">
        <v>315</v>
      </c>
      <c r="W1615" s="18" t="s">
        <v>76</v>
      </c>
      <c r="X1615" s="42" t="s">
        <v>4502</v>
      </c>
      <c r="Y1615" s="159" t="s">
        <v>4909</v>
      </c>
      <c r="Z1615" s="18" t="s">
        <v>4950</v>
      </c>
      <c r="AA1615" s="92">
        <v>16.0</v>
      </c>
      <c r="AB1615" s="18"/>
      <c r="AC1615" s="18">
        <v>16.0</v>
      </c>
      <c r="AD1615" s="172">
        <v>83960.0</v>
      </c>
      <c r="AE1615" s="14"/>
      <c r="AF1615" s="14">
        <v>83960.0</v>
      </c>
      <c r="AG1615" s="22"/>
      <c r="AH1615" s="22"/>
      <c r="AI1615" s="22"/>
      <c r="AJ1615" s="22"/>
      <c r="AK1615" s="22"/>
      <c r="AL1615" s="22"/>
      <c r="AM1615" s="22"/>
      <c r="AN1615" s="22"/>
      <c r="AO1615" s="22"/>
      <c r="AP1615" s="22"/>
    </row>
    <row r="1616" hidden="1">
      <c r="A1616" s="148">
        <v>46165.0</v>
      </c>
      <c r="B1616" s="149">
        <v>0.5</v>
      </c>
      <c r="C1616" s="11" t="s">
        <v>32</v>
      </c>
      <c r="D1616" s="10" t="s">
        <v>33</v>
      </c>
      <c r="E1616" s="10" t="s">
        <v>71</v>
      </c>
      <c r="F1616" s="10" t="s">
        <v>4692</v>
      </c>
      <c r="G1616" s="11" t="s">
        <v>4951</v>
      </c>
      <c r="H1616" s="11" t="s">
        <v>4952</v>
      </c>
      <c r="I1616" s="10" t="s">
        <v>4953</v>
      </c>
      <c r="J1616" s="14">
        <v>9022.0</v>
      </c>
      <c r="K1616" s="14">
        <v>3932.0</v>
      </c>
      <c r="L1616" s="17">
        <v>0.4357</v>
      </c>
      <c r="M1616" s="150">
        <v>1776.0</v>
      </c>
      <c r="N1616" s="136">
        <v>0.4518</v>
      </c>
      <c r="O1616" s="18">
        <v>97.0</v>
      </c>
      <c r="P1616" s="92">
        <v>96.0</v>
      </c>
      <c r="Q1616" s="137">
        <v>0.0244</v>
      </c>
      <c r="R1616" s="17">
        <v>0.0541</v>
      </c>
      <c r="S1616" s="18">
        <v>0.0</v>
      </c>
      <c r="T1616" s="18">
        <v>0.0</v>
      </c>
      <c r="U1616" s="151">
        <v>0.0</v>
      </c>
      <c r="V1616" s="92" t="s">
        <v>315</v>
      </c>
      <c r="W1616" s="18" t="s">
        <v>76</v>
      </c>
      <c r="X1616" s="42" t="s">
        <v>4502</v>
      </c>
      <c r="Y1616" s="159" t="s">
        <v>4909</v>
      </c>
      <c r="Z1616" s="18" t="s">
        <v>4954</v>
      </c>
      <c r="AA1616" s="92">
        <v>16.0</v>
      </c>
      <c r="AB1616" s="18"/>
      <c r="AC1616" s="18">
        <v>16.0</v>
      </c>
      <c r="AD1616" s="172">
        <v>70932.0</v>
      </c>
      <c r="AE1616" s="14"/>
      <c r="AF1616" s="14">
        <v>70932.0</v>
      </c>
      <c r="AG1616" s="22"/>
      <c r="AH1616" s="22"/>
      <c r="AI1616" s="22"/>
      <c r="AJ1616" s="22"/>
      <c r="AK1616" s="22"/>
      <c r="AL1616" s="22"/>
      <c r="AM1616" s="22"/>
      <c r="AN1616" s="22"/>
      <c r="AO1616" s="22"/>
      <c r="AP1616" s="22"/>
    </row>
    <row r="1617" hidden="1">
      <c r="A1617" s="148">
        <v>46165.0</v>
      </c>
      <c r="B1617" s="149">
        <v>0.5</v>
      </c>
      <c r="C1617" s="11" t="s">
        <v>32</v>
      </c>
      <c r="D1617" s="10" t="s">
        <v>33</v>
      </c>
      <c r="E1617" s="10" t="s">
        <v>71</v>
      </c>
      <c r="F1617" s="10" t="s">
        <v>4692</v>
      </c>
      <c r="G1617" s="11" t="s">
        <v>4955</v>
      </c>
      <c r="H1617" s="11" t="s">
        <v>4956</v>
      </c>
      <c r="I1617" s="10" t="s">
        <v>4957</v>
      </c>
      <c r="J1617" s="14">
        <v>8997.0</v>
      </c>
      <c r="K1617" s="14">
        <v>3667.0</v>
      </c>
      <c r="L1617" s="17">
        <v>0.4076</v>
      </c>
      <c r="M1617" s="150">
        <v>1393.0</v>
      </c>
      <c r="N1617" s="136">
        <v>0.3799</v>
      </c>
      <c r="O1617" s="18">
        <v>97.0</v>
      </c>
      <c r="P1617" s="92">
        <v>88.0</v>
      </c>
      <c r="Q1617" s="137">
        <v>0.024</v>
      </c>
      <c r="R1617" s="17">
        <v>0.0632</v>
      </c>
      <c r="S1617" s="18">
        <v>0.0</v>
      </c>
      <c r="T1617" s="18">
        <v>0.0</v>
      </c>
      <c r="U1617" s="151">
        <v>0.0</v>
      </c>
      <c r="V1617" s="92" t="s">
        <v>315</v>
      </c>
      <c r="W1617" s="18" t="s">
        <v>76</v>
      </c>
      <c r="X1617" s="42" t="s">
        <v>4502</v>
      </c>
      <c r="Y1617" s="159" t="s">
        <v>4909</v>
      </c>
      <c r="Z1617" s="18" t="s">
        <v>4958</v>
      </c>
      <c r="AA1617" s="92">
        <v>18.0</v>
      </c>
      <c r="AB1617" s="18"/>
      <c r="AC1617" s="18">
        <v>18.0</v>
      </c>
      <c r="AD1617" s="172">
        <v>94999.0</v>
      </c>
      <c r="AE1617" s="14"/>
      <c r="AF1617" s="14">
        <v>94999.0</v>
      </c>
      <c r="AG1617" s="22"/>
      <c r="AH1617" s="22"/>
      <c r="AI1617" s="22"/>
      <c r="AJ1617" s="22"/>
      <c r="AK1617" s="22"/>
      <c r="AL1617" s="22"/>
      <c r="AM1617" s="22"/>
      <c r="AN1617" s="22"/>
      <c r="AO1617" s="22"/>
      <c r="AP1617" s="22"/>
    </row>
    <row r="1618" hidden="1">
      <c r="A1618" s="148">
        <v>46165.0</v>
      </c>
      <c r="B1618" s="149">
        <v>0.5</v>
      </c>
      <c r="C1618" s="11" t="s">
        <v>32</v>
      </c>
      <c r="D1618" s="10" t="s">
        <v>33</v>
      </c>
      <c r="E1618" s="10" t="s">
        <v>71</v>
      </c>
      <c r="F1618" s="10" t="s">
        <v>4692</v>
      </c>
      <c r="G1618" s="11" t="s">
        <v>4959</v>
      </c>
      <c r="H1618" s="11" t="s">
        <v>4960</v>
      </c>
      <c r="I1618" s="10" t="s">
        <v>4961</v>
      </c>
      <c r="J1618" s="14">
        <v>7005.0</v>
      </c>
      <c r="K1618" s="14">
        <v>3243.0</v>
      </c>
      <c r="L1618" s="17">
        <v>0.4628</v>
      </c>
      <c r="M1618" s="150">
        <v>1461.0</v>
      </c>
      <c r="N1618" s="136">
        <v>0.4506</v>
      </c>
      <c r="O1618" s="18">
        <v>98.0</v>
      </c>
      <c r="P1618" s="92">
        <v>92.0</v>
      </c>
      <c r="Q1618" s="137">
        <v>0.0284</v>
      </c>
      <c r="R1618" s="17">
        <v>0.063</v>
      </c>
      <c r="S1618" s="18">
        <v>0.0</v>
      </c>
      <c r="T1618" s="18">
        <v>0.0</v>
      </c>
      <c r="U1618" s="151">
        <v>0.0</v>
      </c>
      <c r="V1618" s="92" t="s">
        <v>315</v>
      </c>
      <c r="W1618" s="18" t="s">
        <v>76</v>
      </c>
      <c r="X1618" s="42" t="s">
        <v>4502</v>
      </c>
      <c r="Y1618" s="159" t="s">
        <v>4909</v>
      </c>
      <c r="Z1618" s="18" t="s">
        <v>4962</v>
      </c>
      <c r="AA1618" s="92">
        <v>12.0</v>
      </c>
      <c r="AB1618" s="18"/>
      <c r="AC1618" s="18">
        <v>12.0</v>
      </c>
      <c r="AD1618" s="172">
        <v>45375.0</v>
      </c>
      <c r="AE1618" s="14"/>
      <c r="AF1618" s="14">
        <v>45375.0</v>
      </c>
      <c r="AG1618" s="22"/>
      <c r="AH1618" s="22"/>
      <c r="AI1618" s="22"/>
      <c r="AJ1618" s="22"/>
      <c r="AK1618" s="22"/>
      <c r="AL1618" s="22"/>
      <c r="AM1618" s="22"/>
      <c r="AN1618" s="22"/>
      <c r="AO1618" s="22"/>
      <c r="AP1618" s="22"/>
    </row>
    <row r="1619" hidden="1">
      <c r="A1619" s="148">
        <v>46165.0</v>
      </c>
      <c r="B1619" s="149">
        <v>0.5</v>
      </c>
      <c r="C1619" s="11" t="s">
        <v>58</v>
      </c>
      <c r="D1619" s="102" t="s">
        <v>3083</v>
      </c>
      <c r="E1619" s="10" t="s">
        <v>106</v>
      </c>
      <c r="F1619" s="10" t="s">
        <v>4661</v>
      </c>
      <c r="G1619" s="11" t="s">
        <v>4963</v>
      </c>
      <c r="H1619" s="11" t="s">
        <v>4672</v>
      </c>
      <c r="I1619" s="10" t="s">
        <v>61</v>
      </c>
      <c r="J1619" s="14">
        <v>53029.0</v>
      </c>
      <c r="K1619" s="14">
        <v>30270.0</v>
      </c>
      <c r="L1619" s="17">
        <v>0.5708</v>
      </c>
      <c r="M1619" s="150">
        <v>0.0</v>
      </c>
      <c r="N1619" s="136">
        <v>0.0</v>
      </c>
      <c r="O1619" s="18">
        <v>0.0</v>
      </c>
      <c r="P1619" s="92">
        <v>0.0</v>
      </c>
      <c r="Q1619" s="137">
        <v>0.0</v>
      </c>
      <c r="R1619" s="17">
        <v>0.0</v>
      </c>
      <c r="S1619" s="18">
        <v>0.0</v>
      </c>
      <c r="T1619" s="18">
        <v>0.0</v>
      </c>
      <c r="U1619" s="151">
        <v>0.0</v>
      </c>
      <c r="V1619" s="92" t="s">
        <v>183</v>
      </c>
      <c r="W1619" s="18" t="s">
        <v>62</v>
      </c>
      <c r="X1619" s="42" t="s">
        <v>2286</v>
      </c>
      <c r="Y1619" s="159" t="s">
        <v>4900</v>
      </c>
      <c r="Z1619" s="18" t="s">
        <v>4964</v>
      </c>
      <c r="AA1619" s="92">
        <v>40.0</v>
      </c>
      <c r="AB1619" s="18">
        <v>0.0</v>
      </c>
      <c r="AC1619" s="18">
        <v>40.0</v>
      </c>
      <c r="AD1619" s="172">
        <v>481351.0</v>
      </c>
      <c r="AE1619" s="14">
        <v>0.0</v>
      </c>
      <c r="AF1619" s="14">
        <v>481351.0</v>
      </c>
      <c r="AG1619" s="22"/>
      <c r="AH1619" s="22"/>
      <c r="AI1619" s="22"/>
      <c r="AJ1619" s="22"/>
      <c r="AK1619" s="22"/>
      <c r="AL1619" s="22"/>
      <c r="AM1619" s="22"/>
      <c r="AN1619" s="22"/>
      <c r="AO1619" s="22"/>
      <c r="AP1619" s="22"/>
    </row>
    <row r="1620" hidden="1">
      <c r="A1620" s="148">
        <v>46165.0</v>
      </c>
      <c r="B1620" s="149">
        <v>0.5</v>
      </c>
      <c r="C1620" s="11" t="s">
        <v>58</v>
      </c>
      <c r="D1620" s="102" t="s">
        <v>3083</v>
      </c>
      <c r="E1620" s="10" t="s">
        <v>106</v>
      </c>
      <c r="F1620" s="10" t="s">
        <v>4661</v>
      </c>
      <c r="G1620" s="11" t="s">
        <v>4965</v>
      </c>
      <c r="H1620" s="11" t="s">
        <v>4668</v>
      </c>
      <c r="I1620" s="10" t="s">
        <v>61</v>
      </c>
      <c r="J1620" s="14">
        <v>111670.0</v>
      </c>
      <c r="K1620" s="14">
        <v>62620.0</v>
      </c>
      <c r="L1620" s="17">
        <v>0.5608</v>
      </c>
      <c r="M1620" s="150">
        <v>0.0</v>
      </c>
      <c r="N1620" s="136">
        <v>0.0</v>
      </c>
      <c r="O1620" s="18">
        <v>0.0</v>
      </c>
      <c r="P1620" s="92">
        <v>0.0</v>
      </c>
      <c r="Q1620" s="137">
        <v>0.0</v>
      </c>
      <c r="R1620" s="17">
        <v>0.0</v>
      </c>
      <c r="S1620" s="18">
        <v>0.0</v>
      </c>
      <c r="T1620" s="18">
        <v>0.0</v>
      </c>
      <c r="U1620" s="151">
        <v>0.0</v>
      </c>
      <c r="V1620" s="92" t="s">
        <v>183</v>
      </c>
      <c r="W1620" s="18" t="s">
        <v>62</v>
      </c>
      <c r="X1620" s="42" t="s">
        <v>41</v>
      </c>
      <c r="Y1620" s="159" t="s">
        <v>4900</v>
      </c>
      <c r="Z1620" s="18" t="s">
        <v>4966</v>
      </c>
      <c r="AA1620" s="92">
        <v>20.0</v>
      </c>
      <c r="AB1620" s="18">
        <v>0.0</v>
      </c>
      <c r="AC1620" s="18">
        <v>20.0</v>
      </c>
      <c r="AD1620" s="172">
        <v>211377.0</v>
      </c>
      <c r="AE1620" s="14">
        <v>0.0</v>
      </c>
      <c r="AF1620" s="14">
        <v>211377.0</v>
      </c>
      <c r="AG1620" s="22"/>
      <c r="AH1620" s="22"/>
      <c r="AI1620" s="22"/>
      <c r="AJ1620" s="22"/>
      <c r="AK1620" s="22"/>
      <c r="AL1620" s="22"/>
      <c r="AM1620" s="22"/>
      <c r="AN1620" s="22"/>
      <c r="AO1620" s="22"/>
      <c r="AP1620" s="22"/>
    </row>
    <row r="1621" hidden="1">
      <c r="A1621" s="148">
        <v>46165.0</v>
      </c>
      <c r="B1621" s="149">
        <v>0.5</v>
      </c>
      <c r="C1621" s="11" t="s">
        <v>58</v>
      </c>
      <c r="D1621" s="102" t="s">
        <v>3083</v>
      </c>
      <c r="E1621" s="10" t="s">
        <v>106</v>
      </c>
      <c r="F1621" s="10" t="s">
        <v>4661</v>
      </c>
      <c r="G1621" s="11" t="s">
        <v>4967</v>
      </c>
      <c r="H1621" s="11" t="s">
        <v>4663</v>
      </c>
      <c r="I1621" s="10" t="s">
        <v>61</v>
      </c>
      <c r="J1621" s="14">
        <v>56740.0</v>
      </c>
      <c r="K1621" s="14">
        <v>30745.0</v>
      </c>
      <c r="L1621" s="17">
        <v>0.5419</v>
      </c>
      <c r="M1621" s="150">
        <v>0.0</v>
      </c>
      <c r="N1621" s="136">
        <v>0.0</v>
      </c>
      <c r="O1621" s="18">
        <v>0.0</v>
      </c>
      <c r="P1621" s="92">
        <v>0.0</v>
      </c>
      <c r="Q1621" s="137">
        <v>0.0</v>
      </c>
      <c r="R1621" s="17">
        <v>0.0</v>
      </c>
      <c r="S1621" s="18">
        <v>0.0</v>
      </c>
      <c r="T1621" s="18">
        <v>0.0</v>
      </c>
      <c r="U1621" s="151">
        <v>0.0</v>
      </c>
      <c r="V1621" s="92" t="s">
        <v>183</v>
      </c>
      <c r="W1621" s="18" t="s">
        <v>62</v>
      </c>
      <c r="X1621" s="42" t="s">
        <v>52</v>
      </c>
      <c r="Y1621" s="159" t="s">
        <v>4900</v>
      </c>
      <c r="Z1621" s="18" t="s">
        <v>4968</v>
      </c>
      <c r="AA1621" s="92">
        <v>40.0</v>
      </c>
      <c r="AB1621" s="18">
        <v>0.0</v>
      </c>
      <c r="AC1621" s="18">
        <v>40.0</v>
      </c>
      <c r="AD1621" s="172">
        <v>525448.0</v>
      </c>
      <c r="AE1621" s="14">
        <v>0.0</v>
      </c>
      <c r="AF1621" s="14">
        <v>525448.0</v>
      </c>
      <c r="AG1621" s="22"/>
      <c r="AH1621" s="22"/>
      <c r="AI1621" s="22"/>
      <c r="AJ1621" s="22"/>
      <c r="AK1621" s="22"/>
      <c r="AL1621" s="22"/>
      <c r="AM1621" s="22"/>
      <c r="AN1621" s="22"/>
      <c r="AO1621" s="22"/>
      <c r="AP1621" s="22"/>
    </row>
    <row r="1622" hidden="1">
      <c r="A1622" s="148">
        <v>46165.0</v>
      </c>
      <c r="B1622" s="149">
        <v>0.5416666666666666</v>
      </c>
      <c r="C1622" s="11" t="s">
        <v>58</v>
      </c>
      <c r="D1622" s="102" t="s">
        <v>3083</v>
      </c>
      <c r="E1622" s="10" t="s">
        <v>71</v>
      </c>
      <c r="F1622" s="10" t="s">
        <v>4692</v>
      </c>
      <c r="G1622" s="11" t="s">
        <v>4969</v>
      </c>
      <c r="H1622" s="11" t="s">
        <v>4907</v>
      </c>
      <c r="I1622" s="10" t="s">
        <v>61</v>
      </c>
      <c r="J1622" s="14">
        <v>44010.0</v>
      </c>
      <c r="K1622" s="14">
        <v>24706.0</v>
      </c>
      <c r="L1622" s="17">
        <v>0.5614</v>
      </c>
      <c r="M1622" s="150">
        <v>0.0</v>
      </c>
      <c r="N1622" s="136">
        <v>0.0</v>
      </c>
      <c r="O1622" s="18">
        <v>19.0</v>
      </c>
      <c r="P1622" s="92">
        <v>0.0</v>
      </c>
      <c r="Q1622" s="137">
        <v>8.0E-4</v>
      </c>
      <c r="R1622" s="17">
        <v>0.0</v>
      </c>
      <c r="S1622" s="18">
        <v>0.0</v>
      </c>
      <c r="T1622" s="18">
        <v>0.0</v>
      </c>
      <c r="U1622" s="151">
        <v>328511.0</v>
      </c>
      <c r="V1622" s="92" t="s">
        <v>315</v>
      </c>
      <c r="W1622" s="18" t="s">
        <v>62</v>
      </c>
      <c r="X1622" s="42" t="s">
        <v>4502</v>
      </c>
      <c r="Y1622" s="159">
        <v>46165.0</v>
      </c>
      <c r="Z1622" s="18" t="s">
        <v>4970</v>
      </c>
      <c r="AA1622" s="92">
        <v>32.0</v>
      </c>
      <c r="AB1622" s="18"/>
      <c r="AC1622" s="18">
        <v>32.0</v>
      </c>
      <c r="AD1622" s="172">
        <v>148418.0</v>
      </c>
      <c r="AE1622" s="14"/>
      <c r="AF1622" s="14">
        <v>148418.0</v>
      </c>
      <c r="AG1622" s="22"/>
      <c r="AH1622" s="22"/>
      <c r="AI1622" s="22"/>
      <c r="AJ1622" s="22"/>
      <c r="AK1622" s="22"/>
      <c r="AL1622" s="22"/>
      <c r="AM1622" s="22"/>
      <c r="AN1622" s="22"/>
      <c r="AO1622" s="22"/>
      <c r="AP1622" s="22"/>
    </row>
    <row r="1623" hidden="1">
      <c r="A1623" s="148">
        <v>46165.0</v>
      </c>
      <c r="B1623" s="149">
        <v>0.5416666666666666</v>
      </c>
      <c r="C1623" s="11" t="s">
        <v>58</v>
      </c>
      <c r="D1623" s="102" t="s">
        <v>3083</v>
      </c>
      <c r="E1623" s="10" t="s">
        <v>71</v>
      </c>
      <c r="F1623" s="10" t="s">
        <v>4692</v>
      </c>
      <c r="G1623" s="11" t="s">
        <v>4971</v>
      </c>
      <c r="H1623" s="11" t="s">
        <v>4912</v>
      </c>
      <c r="I1623" s="10" t="s">
        <v>61</v>
      </c>
      <c r="J1623" s="14">
        <v>26675.0</v>
      </c>
      <c r="K1623" s="14">
        <v>14083.0</v>
      </c>
      <c r="L1623" s="17">
        <v>0.5279</v>
      </c>
      <c r="M1623" s="150">
        <v>0.0</v>
      </c>
      <c r="N1623" s="136">
        <v>0.0</v>
      </c>
      <c r="O1623" s="18">
        <v>28.0</v>
      </c>
      <c r="P1623" s="92">
        <v>0.0</v>
      </c>
      <c r="Q1623" s="137">
        <v>0.002</v>
      </c>
      <c r="R1623" s="17">
        <v>0.0</v>
      </c>
      <c r="S1623" s="18">
        <v>0.0</v>
      </c>
      <c r="T1623" s="18">
        <v>0.0</v>
      </c>
      <c r="U1623" s="151">
        <v>222696.0</v>
      </c>
      <c r="V1623" s="92" t="s">
        <v>315</v>
      </c>
      <c r="W1623" s="18" t="s">
        <v>62</v>
      </c>
      <c r="X1623" s="42" t="s">
        <v>4502</v>
      </c>
      <c r="Y1623" s="159">
        <v>46165.0</v>
      </c>
      <c r="Z1623" s="18" t="s">
        <v>4972</v>
      </c>
      <c r="AA1623" s="92">
        <v>21.0</v>
      </c>
      <c r="AB1623" s="18"/>
      <c r="AC1623" s="18">
        <v>21.0</v>
      </c>
      <c r="AD1623" s="172">
        <v>128053.0</v>
      </c>
      <c r="AE1623" s="14"/>
      <c r="AF1623" s="14">
        <v>128053.0</v>
      </c>
      <c r="AG1623" s="22"/>
      <c r="AH1623" s="22"/>
      <c r="AI1623" s="22"/>
      <c r="AJ1623" s="22"/>
      <c r="AK1623" s="22"/>
      <c r="AL1623" s="22"/>
      <c r="AM1623" s="22"/>
      <c r="AN1623" s="22"/>
      <c r="AO1623" s="22"/>
      <c r="AP1623" s="22"/>
    </row>
    <row r="1624" hidden="1">
      <c r="A1624" s="148">
        <v>46165.0</v>
      </c>
      <c r="B1624" s="149">
        <v>0.5416666666666666</v>
      </c>
      <c r="C1624" s="11" t="s">
        <v>58</v>
      </c>
      <c r="D1624" s="102" t="s">
        <v>3083</v>
      </c>
      <c r="E1624" s="10" t="s">
        <v>71</v>
      </c>
      <c r="F1624" s="10" t="s">
        <v>4692</v>
      </c>
      <c r="G1624" s="11" t="s">
        <v>4973</v>
      </c>
      <c r="H1624" s="11" t="s">
        <v>4916</v>
      </c>
      <c r="I1624" s="10" t="s">
        <v>61</v>
      </c>
      <c r="J1624" s="14">
        <v>13649.0</v>
      </c>
      <c r="K1624" s="14">
        <v>7493.0</v>
      </c>
      <c r="L1624" s="17">
        <v>0.549</v>
      </c>
      <c r="M1624" s="150">
        <v>0.0</v>
      </c>
      <c r="N1624" s="136">
        <v>0.0</v>
      </c>
      <c r="O1624" s="18">
        <v>6.0</v>
      </c>
      <c r="P1624" s="92">
        <v>0.0</v>
      </c>
      <c r="Q1624" s="137">
        <v>8.0E-4</v>
      </c>
      <c r="R1624" s="17">
        <v>0.0</v>
      </c>
      <c r="S1624" s="18">
        <v>0.0</v>
      </c>
      <c r="T1624" s="18">
        <v>0.0</v>
      </c>
      <c r="U1624" s="151">
        <v>142298.0</v>
      </c>
      <c r="V1624" s="92" t="s">
        <v>315</v>
      </c>
      <c r="W1624" s="18" t="s">
        <v>62</v>
      </c>
      <c r="X1624" s="42" t="s">
        <v>4502</v>
      </c>
      <c r="Y1624" s="159">
        <v>46165.0</v>
      </c>
      <c r="Z1624" s="18" t="s">
        <v>4974</v>
      </c>
      <c r="AA1624" s="92">
        <v>17.0</v>
      </c>
      <c r="AB1624" s="18"/>
      <c r="AC1624" s="18">
        <v>17.0</v>
      </c>
      <c r="AD1624" s="172">
        <v>83427.0</v>
      </c>
      <c r="AE1624" s="14"/>
      <c r="AF1624" s="14">
        <v>83427.0</v>
      </c>
      <c r="AG1624" s="22"/>
      <c r="AH1624" s="22"/>
      <c r="AI1624" s="22"/>
      <c r="AJ1624" s="22"/>
      <c r="AK1624" s="22"/>
      <c r="AL1624" s="22"/>
      <c r="AM1624" s="22"/>
      <c r="AN1624" s="22"/>
      <c r="AO1624" s="22"/>
      <c r="AP1624" s="22"/>
    </row>
    <row r="1625" hidden="1">
      <c r="A1625" s="148">
        <v>46165.0</v>
      </c>
      <c r="B1625" s="149">
        <v>0.5416666666666666</v>
      </c>
      <c r="C1625" s="11" t="s">
        <v>58</v>
      </c>
      <c r="D1625" s="102" t="s">
        <v>3083</v>
      </c>
      <c r="E1625" s="10" t="s">
        <v>71</v>
      </c>
      <c r="F1625" s="10" t="s">
        <v>4692</v>
      </c>
      <c r="G1625" s="11" t="s">
        <v>4975</v>
      </c>
      <c r="H1625" s="11" t="s">
        <v>4920</v>
      </c>
      <c r="I1625" s="10" t="s">
        <v>61</v>
      </c>
      <c r="J1625" s="14">
        <v>7539.0</v>
      </c>
      <c r="K1625" s="14">
        <v>4195.0</v>
      </c>
      <c r="L1625" s="17">
        <v>0.5564</v>
      </c>
      <c r="M1625" s="150">
        <v>0.0</v>
      </c>
      <c r="N1625" s="136">
        <v>0.0</v>
      </c>
      <c r="O1625" s="18">
        <v>9.0</v>
      </c>
      <c r="P1625" s="92">
        <v>0.0</v>
      </c>
      <c r="Q1625" s="137">
        <v>0.0021</v>
      </c>
      <c r="R1625" s="17">
        <v>0.0</v>
      </c>
      <c r="S1625" s="18">
        <v>0.0</v>
      </c>
      <c r="T1625" s="18">
        <v>0.0</v>
      </c>
      <c r="U1625" s="151">
        <v>97155.0</v>
      </c>
      <c r="V1625" s="92" t="s">
        <v>315</v>
      </c>
      <c r="W1625" s="18" t="s">
        <v>62</v>
      </c>
      <c r="X1625" s="42" t="s">
        <v>4502</v>
      </c>
      <c r="Y1625" s="159">
        <v>46165.0</v>
      </c>
      <c r="Z1625" s="18" t="s">
        <v>4976</v>
      </c>
      <c r="AA1625" s="92">
        <v>10.0</v>
      </c>
      <c r="AB1625" s="18"/>
      <c r="AC1625" s="18">
        <v>10.0</v>
      </c>
      <c r="AD1625" s="172">
        <v>53375.0</v>
      </c>
      <c r="AE1625" s="14"/>
      <c r="AF1625" s="14">
        <v>53375.0</v>
      </c>
      <c r="AG1625" s="22"/>
      <c r="AH1625" s="22"/>
      <c r="AI1625" s="22"/>
      <c r="AJ1625" s="22"/>
      <c r="AK1625" s="22"/>
      <c r="AL1625" s="22"/>
      <c r="AM1625" s="22"/>
      <c r="AN1625" s="22"/>
      <c r="AO1625" s="22"/>
      <c r="AP1625" s="22"/>
    </row>
    <row r="1626" hidden="1">
      <c r="A1626" s="148">
        <v>46165.0</v>
      </c>
      <c r="B1626" s="149">
        <v>0.5416666666666666</v>
      </c>
      <c r="C1626" s="11" t="s">
        <v>58</v>
      </c>
      <c r="D1626" s="102" t="s">
        <v>3083</v>
      </c>
      <c r="E1626" s="10" t="s">
        <v>71</v>
      </c>
      <c r="F1626" s="10" t="s">
        <v>4692</v>
      </c>
      <c r="G1626" s="11" t="s">
        <v>4977</v>
      </c>
      <c r="H1626" s="11" t="s">
        <v>4924</v>
      </c>
      <c r="I1626" s="10" t="s">
        <v>61</v>
      </c>
      <c r="J1626" s="14">
        <v>28834.0</v>
      </c>
      <c r="K1626" s="14">
        <v>15444.0</v>
      </c>
      <c r="L1626" s="17">
        <v>0.5356</v>
      </c>
      <c r="M1626" s="150">
        <v>0.0</v>
      </c>
      <c r="N1626" s="136">
        <v>0.0</v>
      </c>
      <c r="O1626" s="18">
        <v>23.0</v>
      </c>
      <c r="P1626" s="92">
        <v>0.0</v>
      </c>
      <c r="Q1626" s="137">
        <v>0.0015</v>
      </c>
      <c r="R1626" s="17">
        <v>0.0</v>
      </c>
      <c r="S1626" s="18">
        <v>0.0</v>
      </c>
      <c r="T1626" s="18">
        <v>0.0</v>
      </c>
      <c r="U1626" s="151">
        <v>333519.0</v>
      </c>
      <c r="V1626" s="92" t="s">
        <v>315</v>
      </c>
      <c r="W1626" s="18" t="s">
        <v>62</v>
      </c>
      <c r="X1626" s="42" t="s">
        <v>4502</v>
      </c>
      <c r="Y1626" s="159">
        <v>46165.0</v>
      </c>
      <c r="Z1626" s="18" t="s">
        <v>4978</v>
      </c>
      <c r="AA1626" s="92">
        <v>30.0</v>
      </c>
      <c r="AB1626" s="18"/>
      <c r="AC1626" s="18">
        <v>30.0</v>
      </c>
      <c r="AD1626" s="172">
        <v>156923.0</v>
      </c>
      <c r="AE1626" s="14"/>
      <c r="AF1626" s="14">
        <v>156923.0</v>
      </c>
      <c r="AG1626" s="22"/>
      <c r="AH1626" s="22"/>
      <c r="AI1626" s="22"/>
      <c r="AJ1626" s="22"/>
      <c r="AK1626" s="22"/>
      <c r="AL1626" s="22"/>
      <c r="AM1626" s="22"/>
      <c r="AN1626" s="22"/>
      <c r="AO1626" s="22"/>
      <c r="AP1626" s="22"/>
    </row>
    <row r="1627" hidden="1">
      <c r="A1627" s="148">
        <v>46165.0</v>
      </c>
      <c r="B1627" s="149">
        <v>0.5416666666666666</v>
      </c>
      <c r="C1627" s="11" t="s">
        <v>58</v>
      </c>
      <c r="D1627" s="102" t="s">
        <v>3083</v>
      </c>
      <c r="E1627" s="10" t="s">
        <v>71</v>
      </c>
      <c r="F1627" s="10" t="s">
        <v>4692</v>
      </c>
      <c r="G1627" s="11" t="s">
        <v>4979</v>
      </c>
      <c r="H1627" s="11" t="s">
        <v>4932</v>
      </c>
      <c r="I1627" s="10" t="s">
        <v>61</v>
      </c>
      <c r="J1627" s="14">
        <v>12088.0</v>
      </c>
      <c r="K1627" s="14">
        <v>7588.0</v>
      </c>
      <c r="L1627" s="17">
        <v>0.6277</v>
      </c>
      <c r="M1627" s="150">
        <v>0.0</v>
      </c>
      <c r="N1627" s="136">
        <v>0.0</v>
      </c>
      <c r="O1627" s="18">
        <v>4.0</v>
      </c>
      <c r="P1627" s="92">
        <v>0.0</v>
      </c>
      <c r="Q1627" s="137">
        <v>5.0E-4</v>
      </c>
      <c r="R1627" s="17">
        <v>0.0</v>
      </c>
      <c r="S1627" s="18">
        <v>0.0</v>
      </c>
      <c r="T1627" s="18">
        <v>0.0</v>
      </c>
      <c r="U1627" s="151">
        <v>163810.0</v>
      </c>
      <c r="V1627" s="92" t="s">
        <v>315</v>
      </c>
      <c r="W1627" s="18" t="s">
        <v>62</v>
      </c>
      <c r="X1627" s="42" t="s">
        <v>4502</v>
      </c>
      <c r="Y1627" s="159">
        <v>46165.0</v>
      </c>
      <c r="Z1627" s="18" t="s">
        <v>4980</v>
      </c>
      <c r="AA1627" s="92">
        <v>18.0</v>
      </c>
      <c r="AB1627" s="18"/>
      <c r="AC1627" s="18">
        <v>18.0</v>
      </c>
      <c r="AD1627" s="172">
        <v>86250.0</v>
      </c>
      <c r="AE1627" s="14"/>
      <c r="AF1627" s="14">
        <v>86250.0</v>
      </c>
      <c r="AG1627" s="22"/>
      <c r="AH1627" s="22"/>
      <c r="AI1627" s="22"/>
      <c r="AJ1627" s="22"/>
      <c r="AK1627" s="22"/>
      <c r="AL1627" s="22"/>
      <c r="AM1627" s="22"/>
      <c r="AN1627" s="22"/>
      <c r="AO1627" s="22"/>
      <c r="AP1627" s="22"/>
    </row>
    <row r="1628" hidden="1">
      <c r="A1628" s="148">
        <v>46165.0</v>
      </c>
      <c r="B1628" s="149">
        <v>0.5416666666666666</v>
      </c>
      <c r="C1628" s="11" t="s">
        <v>58</v>
      </c>
      <c r="D1628" s="102" t="s">
        <v>3083</v>
      </c>
      <c r="E1628" s="10" t="s">
        <v>71</v>
      </c>
      <c r="F1628" s="10" t="s">
        <v>4692</v>
      </c>
      <c r="G1628" s="11" t="s">
        <v>4981</v>
      </c>
      <c r="H1628" s="11" t="s">
        <v>4928</v>
      </c>
      <c r="I1628" s="10" t="s">
        <v>61</v>
      </c>
      <c r="J1628" s="14">
        <v>16422.0</v>
      </c>
      <c r="K1628" s="14">
        <v>10453.0</v>
      </c>
      <c r="L1628" s="17">
        <v>0.6365</v>
      </c>
      <c r="M1628" s="150">
        <v>0.0</v>
      </c>
      <c r="N1628" s="136">
        <v>0.0</v>
      </c>
      <c r="O1628" s="18">
        <v>7.0</v>
      </c>
      <c r="P1628" s="92">
        <v>0.0</v>
      </c>
      <c r="Q1628" s="137">
        <v>7.0E-4</v>
      </c>
      <c r="R1628" s="17">
        <v>0.0</v>
      </c>
      <c r="S1628" s="18">
        <v>0.0</v>
      </c>
      <c r="T1628" s="18">
        <v>0.0</v>
      </c>
      <c r="U1628" s="151">
        <v>129330.0</v>
      </c>
      <c r="V1628" s="92" t="s">
        <v>315</v>
      </c>
      <c r="W1628" s="18" t="s">
        <v>62</v>
      </c>
      <c r="X1628" s="42" t="s">
        <v>4502</v>
      </c>
      <c r="Y1628" s="159">
        <v>46165.0</v>
      </c>
      <c r="Z1628" s="18" t="s">
        <v>4982</v>
      </c>
      <c r="AA1628" s="92">
        <v>14.0</v>
      </c>
      <c r="AB1628" s="18"/>
      <c r="AC1628" s="18">
        <v>14.0</v>
      </c>
      <c r="AD1628" s="172">
        <v>76758.0</v>
      </c>
      <c r="AE1628" s="14"/>
      <c r="AF1628" s="14">
        <v>76758.0</v>
      </c>
      <c r="AG1628" s="22"/>
      <c r="AH1628" s="22"/>
      <c r="AI1628" s="22"/>
      <c r="AJ1628" s="22"/>
      <c r="AK1628" s="22"/>
      <c r="AL1628" s="22"/>
      <c r="AM1628" s="22"/>
      <c r="AN1628" s="22"/>
      <c r="AO1628" s="22"/>
      <c r="AP1628" s="22"/>
    </row>
    <row r="1629" hidden="1">
      <c r="A1629" s="148">
        <v>46165.0</v>
      </c>
      <c r="B1629" s="149">
        <v>0.5416666666666666</v>
      </c>
      <c r="C1629" s="11" t="s">
        <v>58</v>
      </c>
      <c r="D1629" s="102" t="s">
        <v>3083</v>
      </c>
      <c r="E1629" s="10" t="s">
        <v>71</v>
      </c>
      <c r="F1629" s="10" t="s">
        <v>4692</v>
      </c>
      <c r="G1629" s="11" t="s">
        <v>4983</v>
      </c>
      <c r="H1629" s="11" t="s">
        <v>4936</v>
      </c>
      <c r="I1629" s="10" t="s">
        <v>61</v>
      </c>
      <c r="J1629" s="14">
        <v>13868.0</v>
      </c>
      <c r="K1629" s="14">
        <v>8870.0</v>
      </c>
      <c r="L1629" s="17">
        <v>0.6396</v>
      </c>
      <c r="M1629" s="150">
        <v>0.0</v>
      </c>
      <c r="N1629" s="136">
        <v>0.0</v>
      </c>
      <c r="O1629" s="18">
        <v>9.0</v>
      </c>
      <c r="P1629" s="92">
        <v>0.0</v>
      </c>
      <c r="Q1629" s="137">
        <v>0.001</v>
      </c>
      <c r="R1629" s="17">
        <v>0.0</v>
      </c>
      <c r="S1629" s="18">
        <v>0.0</v>
      </c>
      <c r="T1629" s="18">
        <v>0.0</v>
      </c>
      <c r="U1629" s="151">
        <v>189863.0</v>
      </c>
      <c r="V1629" s="92" t="s">
        <v>315</v>
      </c>
      <c r="W1629" s="18" t="s">
        <v>62</v>
      </c>
      <c r="X1629" s="42" t="s">
        <v>4502</v>
      </c>
      <c r="Y1629" s="159">
        <v>46165.0</v>
      </c>
      <c r="Z1629" s="18" t="s">
        <v>4984</v>
      </c>
      <c r="AA1629" s="92">
        <v>21.0</v>
      </c>
      <c r="AB1629" s="18"/>
      <c r="AC1629" s="18">
        <v>21.0</v>
      </c>
      <c r="AD1629" s="172">
        <v>103741.0</v>
      </c>
      <c r="AE1629" s="14"/>
      <c r="AF1629" s="14">
        <v>103741.0</v>
      </c>
      <c r="AG1629" s="22"/>
      <c r="AH1629" s="22"/>
      <c r="AI1629" s="22"/>
      <c r="AJ1629" s="22"/>
      <c r="AK1629" s="22"/>
      <c r="AL1629" s="22"/>
      <c r="AM1629" s="22"/>
      <c r="AN1629" s="22"/>
      <c r="AO1629" s="22"/>
      <c r="AP1629" s="22"/>
    </row>
    <row r="1630" hidden="1">
      <c r="A1630" s="148">
        <v>46165.0</v>
      </c>
      <c r="B1630" s="149">
        <v>0.5416666666666666</v>
      </c>
      <c r="C1630" s="11" t="s">
        <v>58</v>
      </c>
      <c r="D1630" s="102" t="s">
        <v>3083</v>
      </c>
      <c r="E1630" s="10" t="s">
        <v>71</v>
      </c>
      <c r="F1630" s="10" t="s">
        <v>4692</v>
      </c>
      <c r="G1630" s="11" t="s">
        <v>4985</v>
      </c>
      <c r="H1630" s="11" t="s">
        <v>4940</v>
      </c>
      <c r="I1630" s="10" t="s">
        <v>61</v>
      </c>
      <c r="J1630" s="14">
        <v>12264.0</v>
      </c>
      <c r="K1630" s="14">
        <v>6164.0</v>
      </c>
      <c r="L1630" s="17">
        <v>0.5026</v>
      </c>
      <c r="M1630" s="150">
        <v>0.0</v>
      </c>
      <c r="N1630" s="136">
        <v>0.0</v>
      </c>
      <c r="O1630" s="18">
        <v>9.0</v>
      </c>
      <c r="P1630" s="92">
        <v>0.0</v>
      </c>
      <c r="Q1630" s="137">
        <v>0.0015</v>
      </c>
      <c r="R1630" s="17">
        <v>0.0</v>
      </c>
      <c r="S1630" s="18">
        <v>0.0</v>
      </c>
      <c r="T1630" s="18">
        <v>0.0</v>
      </c>
      <c r="U1630" s="151">
        <v>108546.0</v>
      </c>
      <c r="V1630" s="92" t="s">
        <v>315</v>
      </c>
      <c r="W1630" s="18" t="s">
        <v>62</v>
      </c>
      <c r="X1630" s="42" t="s">
        <v>4502</v>
      </c>
      <c r="Y1630" s="159">
        <v>46165.0</v>
      </c>
      <c r="Z1630" s="18" t="s">
        <v>4986</v>
      </c>
      <c r="AA1630" s="92">
        <v>11.0</v>
      </c>
      <c r="AB1630" s="18"/>
      <c r="AC1630" s="18">
        <v>11.0</v>
      </c>
      <c r="AD1630" s="172">
        <v>46678.0</v>
      </c>
      <c r="AE1630" s="14"/>
      <c r="AF1630" s="14">
        <v>46678.0</v>
      </c>
      <c r="AG1630" s="22"/>
      <c r="AH1630" s="22"/>
      <c r="AI1630" s="22"/>
      <c r="AJ1630" s="22"/>
      <c r="AK1630" s="22"/>
      <c r="AL1630" s="22"/>
      <c r="AM1630" s="22"/>
      <c r="AN1630" s="22"/>
      <c r="AO1630" s="22"/>
      <c r="AP1630" s="22"/>
    </row>
    <row r="1631" hidden="1">
      <c r="A1631" s="148">
        <v>46165.0</v>
      </c>
      <c r="B1631" s="149">
        <v>0.5416666666666666</v>
      </c>
      <c r="C1631" s="11" t="s">
        <v>58</v>
      </c>
      <c r="D1631" s="102" t="s">
        <v>3083</v>
      </c>
      <c r="E1631" s="10" t="s">
        <v>71</v>
      </c>
      <c r="F1631" s="10" t="s">
        <v>4692</v>
      </c>
      <c r="G1631" s="11" t="s">
        <v>4987</v>
      </c>
      <c r="H1631" s="11" t="s">
        <v>4944</v>
      </c>
      <c r="I1631" s="10" t="s">
        <v>61</v>
      </c>
      <c r="J1631" s="14">
        <v>13109.0</v>
      </c>
      <c r="K1631" s="14">
        <v>6995.0</v>
      </c>
      <c r="L1631" s="17">
        <v>0.5336</v>
      </c>
      <c r="M1631" s="150">
        <v>0.0</v>
      </c>
      <c r="N1631" s="136">
        <v>0.0</v>
      </c>
      <c r="O1631" s="18">
        <v>10.0</v>
      </c>
      <c r="P1631" s="92">
        <v>0.0</v>
      </c>
      <c r="Q1631" s="137">
        <v>0.0014</v>
      </c>
      <c r="R1631" s="17">
        <v>0.0</v>
      </c>
      <c r="S1631" s="18">
        <v>0.0</v>
      </c>
      <c r="T1631" s="18">
        <v>0.0</v>
      </c>
      <c r="U1631" s="151">
        <v>125037.0</v>
      </c>
      <c r="V1631" s="92" t="s">
        <v>315</v>
      </c>
      <c r="W1631" s="18" t="s">
        <v>62</v>
      </c>
      <c r="X1631" s="42" t="s">
        <v>4502</v>
      </c>
      <c r="Y1631" s="159">
        <v>46165.0</v>
      </c>
      <c r="Z1631" s="18" t="s">
        <v>4988</v>
      </c>
      <c r="AA1631" s="92">
        <v>13.0</v>
      </c>
      <c r="AB1631" s="18"/>
      <c r="AC1631" s="18">
        <v>13.0</v>
      </c>
      <c r="AD1631" s="172">
        <v>64169.0</v>
      </c>
      <c r="AE1631" s="14"/>
      <c r="AF1631" s="14">
        <v>64169.0</v>
      </c>
      <c r="AG1631" s="22"/>
      <c r="AH1631" s="22"/>
      <c r="AI1631" s="22"/>
      <c r="AJ1631" s="22"/>
      <c r="AK1631" s="22"/>
      <c r="AL1631" s="22"/>
      <c r="AM1631" s="22"/>
      <c r="AN1631" s="22"/>
      <c r="AO1631" s="22"/>
      <c r="AP1631" s="22"/>
    </row>
    <row r="1632" hidden="1">
      <c r="A1632" s="148">
        <v>46165.0</v>
      </c>
      <c r="B1632" s="149">
        <v>0.5416666666666666</v>
      </c>
      <c r="C1632" s="11" t="s">
        <v>58</v>
      </c>
      <c r="D1632" s="102" t="s">
        <v>3083</v>
      </c>
      <c r="E1632" s="10" t="s">
        <v>71</v>
      </c>
      <c r="F1632" s="10" t="s">
        <v>4692</v>
      </c>
      <c r="G1632" s="11" t="s">
        <v>4989</v>
      </c>
      <c r="H1632" s="11" t="s">
        <v>4948</v>
      </c>
      <c r="I1632" s="10" t="s">
        <v>61</v>
      </c>
      <c r="J1632" s="14">
        <v>6414.0</v>
      </c>
      <c r="K1632" s="14">
        <v>3578.0</v>
      </c>
      <c r="L1632" s="17">
        <v>0.5578</v>
      </c>
      <c r="M1632" s="150">
        <v>0.0</v>
      </c>
      <c r="N1632" s="136">
        <v>0.0</v>
      </c>
      <c r="O1632" s="18">
        <v>10.0</v>
      </c>
      <c r="P1632" s="92">
        <v>0.0</v>
      </c>
      <c r="Q1632" s="137">
        <v>0.0028</v>
      </c>
      <c r="R1632" s="17">
        <v>0.0</v>
      </c>
      <c r="S1632" s="18">
        <v>0.0</v>
      </c>
      <c r="T1632" s="18">
        <v>0.0</v>
      </c>
      <c r="U1632" s="151">
        <v>54967.0</v>
      </c>
      <c r="V1632" s="92" t="s">
        <v>315</v>
      </c>
      <c r="W1632" s="18" t="s">
        <v>62</v>
      </c>
      <c r="X1632" s="42" t="s">
        <v>4502</v>
      </c>
      <c r="Y1632" s="159">
        <v>46165.0</v>
      </c>
      <c r="Z1632" s="18" t="s">
        <v>4990</v>
      </c>
      <c r="AA1632" s="92">
        <v>5.0</v>
      </c>
      <c r="AB1632" s="18"/>
      <c r="AC1632" s="18">
        <v>5.0</v>
      </c>
      <c r="AD1632" s="172">
        <v>19588.0</v>
      </c>
      <c r="AE1632" s="14"/>
      <c r="AF1632" s="14">
        <v>19588.0</v>
      </c>
      <c r="AG1632" s="22"/>
      <c r="AH1632" s="22"/>
      <c r="AI1632" s="22"/>
      <c r="AJ1632" s="22"/>
      <c r="AK1632" s="22"/>
      <c r="AL1632" s="22"/>
      <c r="AM1632" s="22"/>
      <c r="AN1632" s="22"/>
      <c r="AO1632" s="22"/>
      <c r="AP1632" s="22"/>
    </row>
    <row r="1633" hidden="1">
      <c r="A1633" s="148">
        <v>46165.0</v>
      </c>
      <c r="B1633" s="149">
        <v>0.5416666666666666</v>
      </c>
      <c r="C1633" s="11" t="s">
        <v>58</v>
      </c>
      <c r="D1633" s="102" t="s">
        <v>3083</v>
      </c>
      <c r="E1633" s="10" t="s">
        <v>71</v>
      </c>
      <c r="F1633" s="10" t="s">
        <v>4692</v>
      </c>
      <c r="G1633" s="11" t="s">
        <v>4991</v>
      </c>
      <c r="H1633" s="11" t="s">
        <v>4952</v>
      </c>
      <c r="I1633" s="10" t="s">
        <v>61</v>
      </c>
      <c r="J1633" s="14">
        <v>4887.0</v>
      </c>
      <c r="K1633" s="14">
        <v>2714.0</v>
      </c>
      <c r="L1633" s="17">
        <v>0.5554</v>
      </c>
      <c r="M1633" s="150">
        <v>0.0</v>
      </c>
      <c r="N1633" s="136">
        <v>0.0</v>
      </c>
      <c r="O1633" s="18">
        <v>0.0</v>
      </c>
      <c r="P1633" s="92">
        <v>0.0</v>
      </c>
      <c r="Q1633" s="137">
        <v>0.0</v>
      </c>
      <c r="R1633" s="17">
        <v>0.0</v>
      </c>
      <c r="S1633" s="18">
        <v>0.0</v>
      </c>
      <c r="T1633" s="18">
        <v>0.0</v>
      </c>
      <c r="U1633" s="151">
        <v>80363.0</v>
      </c>
      <c r="V1633" s="92" t="s">
        <v>315</v>
      </c>
      <c r="W1633" s="18" t="s">
        <v>62</v>
      </c>
      <c r="X1633" s="42" t="s">
        <v>4502</v>
      </c>
      <c r="Y1633" s="159">
        <v>46165.0</v>
      </c>
      <c r="Z1633" s="18" t="s">
        <v>4992</v>
      </c>
      <c r="AA1633" s="92">
        <v>5.0</v>
      </c>
      <c r="AB1633" s="18"/>
      <c r="AC1633" s="18">
        <v>5.0</v>
      </c>
      <c r="AD1633" s="172">
        <v>61971.0</v>
      </c>
      <c r="AE1633" s="14"/>
      <c r="AF1633" s="14">
        <v>61971.0</v>
      </c>
      <c r="AG1633" s="22"/>
      <c r="AH1633" s="22"/>
      <c r="AI1633" s="22"/>
      <c r="AJ1633" s="22"/>
      <c r="AK1633" s="22"/>
      <c r="AL1633" s="22"/>
      <c r="AM1633" s="22"/>
      <c r="AN1633" s="22"/>
      <c r="AO1633" s="22"/>
      <c r="AP1633" s="22"/>
    </row>
    <row r="1634" hidden="1">
      <c r="A1634" s="148">
        <v>46165.0</v>
      </c>
      <c r="B1634" s="149">
        <v>0.5416666666666666</v>
      </c>
      <c r="C1634" s="11" t="s">
        <v>58</v>
      </c>
      <c r="D1634" s="102" t="s">
        <v>3083</v>
      </c>
      <c r="E1634" s="10" t="s">
        <v>71</v>
      </c>
      <c r="F1634" s="10" t="s">
        <v>4692</v>
      </c>
      <c r="G1634" s="11" t="s">
        <v>4993</v>
      </c>
      <c r="H1634" s="11" t="s">
        <v>4956</v>
      </c>
      <c r="I1634" s="10" t="s">
        <v>61</v>
      </c>
      <c r="J1634" s="14">
        <v>5189.0</v>
      </c>
      <c r="K1634" s="14">
        <v>3313.0</v>
      </c>
      <c r="L1634" s="17">
        <v>0.6385</v>
      </c>
      <c r="M1634" s="150">
        <v>0.0</v>
      </c>
      <c r="N1634" s="136">
        <v>0.0</v>
      </c>
      <c r="O1634" s="18">
        <v>6.0</v>
      </c>
      <c r="P1634" s="92">
        <v>0.0</v>
      </c>
      <c r="Q1634" s="137">
        <v>0.0018</v>
      </c>
      <c r="R1634" s="17">
        <v>0.0</v>
      </c>
      <c r="S1634" s="18">
        <v>0.0</v>
      </c>
      <c r="T1634" s="18">
        <v>0.0</v>
      </c>
      <c r="U1634" s="151">
        <v>31586.0</v>
      </c>
      <c r="V1634" s="92" t="s">
        <v>315</v>
      </c>
      <c r="W1634" s="18" t="s">
        <v>62</v>
      </c>
      <c r="X1634" s="42" t="s">
        <v>4502</v>
      </c>
      <c r="Y1634" s="159">
        <v>46165.0</v>
      </c>
      <c r="Z1634" s="18" t="s">
        <v>4994</v>
      </c>
      <c r="AA1634" s="92">
        <v>3.0</v>
      </c>
      <c r="AB1634" s="18"/>
      <c r="AC1634" s="18">
        <v>3.0</v>
      </c>
      <c r="AD1634" s="172">
        <v>10395.0</v>
      </c>
      <c r="AE1634" s="14"/>
      <c r="AF1634" s="14">
        <v>10395.0</v>
      </c>
      <c r="AG1634" s="22"/>
      <c r="AH1634" s="22"/>
      <c r="AI1634" s="22"/>
      <c r="AJ1634" s="22"/>
      <c r="AK1634" s="22"/>
      <c r="AL1634" s="22"/>
      <c r="AM1634" s="22"/>
      <c r="AN1634" s="22"/>
      <c r="AO1634" s="22"/>
      <c r="AP1634" s="22"/>
    </row>
    <row r="1635" hidden="1">
      <c r="A1635" s="148">
        <v>46165.0</v>
      </c>
      <c r="B1635" s="149">
        <v>0.5416666666666666</v>
      </c>
      <c r="C1635" s="11" t="s">
        <v>58</v>
      </c>
      <c r="D1635" s="102" t="s">
        <v>3083</v>
      </c>
      <c r="E1635" s="10" t="s">
        <v>71</v>
      </c>
      <c r="F1635" s="10" t="s">
        <v>4692</v>
      </c>
      <c r="G1635" s="11" t="s">
        <v>4995</v>
      </c>
      <c r="H1635" s="11" t="s">
        <v>4960</v>
      </c>
      <c r="I1635" s="10" t="s">
        <v>61</v>
      </c>
      <c r="J1635" s="14">
        <v>3626.0</v>
      </c>
      <c r="K1635" s="14">
        <v>2010.0</v>
      </c>
      <c r="L1635" s="17">
        <v>0.5543</v>
      </c>
      <c r="M1635" s="150">
        <v>0.0</v>
      </c>
      <c r="N1635" s="136">
        <v>0.0</v>
      </c>
      <c r="O1635" s="18">
        <v>2.0</v>
      </c>
      <c r="P1635" s="92">
        <v>0.0</v>
      </c>
      <c r="Q1635" s="137">
        <v>0.001</v>
      </c>
      <c r="R1635" s="17">
        <v>0.0</v>
      </c>
      <c r="S1635" s="18">
        <v>0.0</v>
      </c>
      <c r="T1635" s="18">
        <v>0.0</v>
      </c>
      <c r="U1635" s="151">
        <v>12495.0</v>
      </c>
      <c r="V1635" s="92" t="s">
        <v>315</v>
      </c>
      <c r="W1635" s="18" t="s">
        <v>62</v>
      </c>
      <c r="X1635" s="42" t="s">
        <v>4502</v>
      </c>
      <c r="Y1635" s="159">
        <v>46165.0</v>
      </c>
      <c r="Z1635" s="18" t="s">
        <v>4996</v>
      </c>
      <c r="AA1635" s="92">
        <v>2.0</v>
      </c>
      <c r="AB1635" s="18"/>
      <c r="AC1635" s="18">
        <v>2.0</v>
      </c>
      <c r="AD1635" s="172">
        <v>7597.0</v>
      </c>
      <c r="AE1635" s="14"/>
      <c r="AF1635" s="14">
        <v>7597.0</v>
      </c>
      <c r="AG1635" s="22"/>
      <c r="AH1635" s="22"/>
      <c r="AI1635" s="22"/>
      <c r="AJ1635" s="22"/>
      <c r="AK1635" s="22"/>
      <c r="AL1635" s="22"/>
      <c r="AM1635" s="22"/>
      <c r="AN1635" s="22"/>
      <c r="AO1635" s="22"/>
      <c r="AP1635" s="22"/>
    </row>
    <row r="1636" hidden="1">
      <c r="A1636" s="148">
        <v>46166.0</v>
      </c>
      <c r="B1636" s="149">
        <v>0.4166666666666667</v>
      </c>
      <c r="C1636" s="11" t="s">
        <v>32</v>
      </c>
      <c r="D1636" s="10" t="s">
        <v>33</v>
      </c>
      <c r="E1636" s="10" t="s">
        <v>106</v>
      </c>
      <c r="F1636" s="10" t="s">
        <v>4661</v>
      </c>
      <c r="G1636" s="11" t="s">
        <v>4997</v>
      </c>
      <c r="H1636" s="11" t="s">
        <v>4672</v>
      </c>
      <c r="I1636" s="10" t="s">
        <v>4673</v>
      </c>
      <c r="J1636" s="14">
        <v>83232.0</v>
      </c>
      <c r="K1636" s="14">
        <v>25016.0</v>
      </c>
      <c r="L1636" s="17">
        <v>0.3005</v>
      </c>
      <c r="M1636" s="150">
        <v>8471.0</v>
      </c>
      <c r="N1636" s="136">
        <v>0.3386</v>
      </c>
      <c r="O1636" s="18">
        <v>335.0</v>
      </c>
      <c r="P1636" s="92">
        <v>314.0</v>
      </c>
      <c r="Q1636" s="137">
        <v>0.0126</v>
      </c>
      <c r="R1636" s="17">
        <v>0.0371</v>
      </c>
      <c r="S1636" s="18">
        <v>0.0</v>
      </c>
      <c r="T1636" s="18">
        <v>0.0</v>
      </c>
      <c r="U1636" s="151">
        <v>0.0</v>
      </c>
      <c r="V1636" s="92" t="s">
        <v>183</v>
      </c>
      <c r="W1636" s="18" t="s">
        <v>76</v>
      </c>
      <c r="X1636" s="42" t="s">
        <v>2286</v>
      </c>
      <c r="Y1636" s="159" t="s">
        <v>4998</v>
      </c>
      <c r="Z1636" s="18" t="s">
        <v>4999</v>
      </c>
      <c r="AA1636" s="92">
        <v>10.0</v>
      </c>
      <c r="AB1636" s="18">
        <v>0.0</v>
      </c>
      <c r="AC1636" s="18">
        <v>10.0</v>
      </c>
      <c r="AD1636" s="172">
        <v>102790.0</v>
      </c>
      <c r="AE1636" s="14">
        <v>0.0</v>
      </c>
      <c r="AF1636" s="14">
        <v>102790.0</v>
      </c>
      <c r="AG1636" s="22"/>
      <c r="AH1636" s="22"/>
      <c r="AI1636" s="22"/>
      <c r="AJ1636" s="22"/>
      <c r="AK1636" s="22"/>
      <c r="AL1636" s="22"/>
      <c r="AM1636" s="22"/>
      <c r="AN1636" s="22"/>
      <c r="AO1636" s="22"/>
      <c r="AP1636" s="22"/>
    </row>
    <row r="1637" hidden="1">
      <c r="A1637" s="148">
        <v>46166.0</v>
      </c>
      <c r="B1637" s="149">
        <v>0.4166666666666667</v>
      </c>
      <c r="C1637" s="11" t="s">
        <v>32</v>
      </c>
      <c r="D1637" s="10" t="s">
        <v>33</v>
      </c>
      <c r="E1637" s="10" t="s">
        <v>106</v>
      </c>
      <c r="F1637" s="10" t="s">
        <v>4661</v>
      </c>
      <c r="G1637" s="11" t="s">
        <v>5000</v>
      </c>
      <c r="H1637" s="11" t="s">
        <v>4668</v>
      </c>
      <c r="I1637" s="10" t="s">
        <v>4669</v>
      </c>
      <c r="J1637" s="14">
        <v>174187.0</v>
      </c>
      <c r="K1637" s="14">
        <v>56764.0</v>
      </c>
      <c r="L1637" s="17">
        <v>0.3258</v>
      </c>
      <c r="M1637" s="150">
        <v>17896.0</v>
      </c>
      <c r="N1637" s="136">
        <v>0.3152</v>
      </c>
      <c r="O1637" s="18">
        <v>1324.0</v>
      </c>
      <c r="P1637" s="92">
        <v>1265.0</v>
      </c>
      <c r="Q1637" s="137">
        <v>0.0223</v>
      </c>
      <c r="R1637" s="17">
        <v>0.0707</v>
      </c>
      <c r="S1637" s="18">
        <v>0.0</v>
      </c>
      <c r="T1637" s="18">
        <v>0.0</v>
      </c>
      <c r="U1637" s="151">
        <v>0.0</v>
      </c>
      <c r="V1637" s="92" t="s">
        <v>183</v>
      </c>
      <c r="W1637" s="18" t="s">
        <v>76</v>
      </c>
      <c r="X1637" s="42" t="s">
        <v>41</v>
      </c>
      <c r="Y1637" s="159" t="s">
        <v>4998</v>
      </c>
      <c r="Z1637" s="18" t="s">
        <v>5001</v>
      </c>
      <c r="AA1637" s="92">
        <v>14.0</v>
      </c>
      <c r="AB1637" s="18">
        <v>0.0</v>
      </c>
      <c r="AC1637" s="18">
        <v>14.0</v>
      </c>
      <c r="AD1637" s="172">
        <v>157984.0</v>
      </c>
      <c r="AE1637" s="14">
        <v>0.0</v>
      </c>
      <c r="AF1637" s="14">
        <v>157984.0</v>
      </c>
      <c r="AG1637" s="22"/>
      <c r="AH1637" s="22"/>
      <c r="AI1637" s="22"/>
      <c r="AJ1637" s="22"/>
      <c r="AK1637" s="22"/>
      <c r="AL1637" s="22"/>
      <c r="AM1637" s="22"/>
      <c r="AN1637" s="22"/>
      <c r="AO1637" s="22"/>
      <c r="AP1637" s="22"/>
    </row>
    <row r="1638" hidden="1">
      <c r="A1638" s="148">
        <v>46166.0</v>
      </c>
      <c r="B1638" s="149">
        <v>0.4166666666666667</v>
      </c>
      <c r="C1638" s="11" t="s">
        <v>32</v>
      </c>
      <c r="D1638" s="10" t="s">
        <v>33</v>
      </c>
      <c r="E1638" s="10" t="s">
        <v>106</v>
      </c>
      <c r="F1638" s="10" t="s">
        <v>4661</v>
      </c>
      <c r="G1638" s="11" t="s">
        <v>5002</v>
      </c>
      <c r="H1638" s="11" t="s">
        <v>4663</v>
      </c>
      <c r="I1638" s="10" t="s">
        <v>4664</v>
      </c>
      <c r="J1638" s="14">
        <v>88011.0</v>
      </c>
      <c r="K1638" s="14">
        <v>28606.0</v>
      </c>
      <c r="L1638" s="17">
        <v>0.3249</v>
      </c>
      <c r="M1638" s="150">
        <v>9665.0</v>
      </c>
      <c r="N1638" s="136">
        <v>0.3379</v>
      </c>
      <c r="O1638" s="18">
        <v>849.0</v>
      </c>
      <c r="P1638" s="92">
        <v>808.0</v>
      </c>
      <c r="Q1638" s="137">
        <v>0.0283</v>
      </c>
      <c r="R1638" s="17">
        <v>0.0836</v>
      </c>
      <c r="S1638" s="18">
        <v>0.0</v>
      </c>
      <c r="T1638" s="18">
        <v>0.0</v>
      </c>
      <c r="U1638" s="151">
        <v>0.0</v>
      </c>
      <c r="V1638" s="92" t="s">
        <v>183</v>
      </c>
      <c r="W1638" s="18" t="s">
        <v>76</v>
      </c>
      <c r="X1638" s="42" t="s">
        <v>52</v>
      </c>
      <c r="Y1638" s="159" t="s">
        <v>4998</v>
      </c>
      <c r="Z1638" s="18" t="s">
        <v>5003</v>
      </c>
      <c r="AA1638" s="92">
        <v>12.0</v>
      </c>
      <c r="AB1638" s="18">
        <v>0.0</v>
      </c>
      <c r="AC1638" s="18">
        <v>12.0</v>
      </c>
      <c r="AD1638" s="172">
        <v>184980.0</v>
      </c>
      <c r="AE1638" s="14">
        <v>0.0</v>
      </c>
      <c r="AF1638" s="14">
        <v>184980.0</v>
      </c>
      <c r="AG1638" s="22"/>
      <c r="AH1638" s="22"/>
      <c r="AI1638" s="22"/>
      <c r="AJ1638" s="22"/>
      <c r="AK1638" s="22"/>
      <c r="AL1638" s="22"/>
      <c r="AM1638" s="22"/>
      <c r="AN1638" s="22"/>
      <c r="AO1638" s="22"/>
      <c r="AP1638" s="22"/>
    </row>
    <row r="1639" hidden="1">
      <c r="A1639" s="148">
        <v>46166.0</v>
      </c>
      <c r="B1639" s="149">
        <v>0.5</v>
      </c>
      <c r="C1639" s="11" t="s">
        <v>58</v>
      </c>
      <c r="D1639" s="102" t="s">
        <v>3083</v>
      </c>
      <c r="E1639" s="10" t="s">
        <v>106</v>
      </c>
      <c r="F1639" s="10" t="s">
        <v>4661</v>
      </c>
      <c r="G1639" s="11" t="s">
        <v>5004</v>
      </c>
      <c r="H1639" s="11" t="s">
        <v>4672</v>
      </c>
      <c r="I1639" s="10" t="s">
        <v>61</v>
      </c>
      <c r="J1639" s="14">
        <v>57151.0</v>
      </c>
      <c r="K1639" s="14">
        <v>32819.0</v>
      </c>
      <c r="L1639" s="17">
        <v>0.5743</v>
      </c>
      <c r="M1639" s="150">
        <v>0.0</v>
      </c>
      <c r="N1639" s="136">
        <v>0.0</v>
      </c>
      <c r="O1639" s="18">
        <v>0.0</v>
      </c>
      <c r="P1639" s="92">
        <v>0.0</v>
      </c>
      <c r="Q1639" s="137">
        <v>0.0</v>
      </c>
      <c r="R1639" s="17">
        <v>0.0</v>
      </c>
      <c r="S1639" s="18">
        <v>0.0</v>
      </c>
      <c r="T1639" s="18">
        <v>0.0</v>
      </c>
      <c r="U1639" s="151">
        <v>0.0</v>
      </c>
      <c r="V1639" s="92" t="s">
        <v>183</v>
      </c>
      <c r="W1639" s="18" t="s">
        <v>62</v>
      </c>
      <c r="X1639" s="42" t="s">
        <v>2286</v>
      </c>
      <c r="Y1639" s="159">
        <v>46167.0</v>
      </c>
      <c r="Z1639" s="18" t="s">
        <v>5005</v>
      </c>
      <c r="AA1639" s="92">
        <v>10.0</v>
      </c>
      <c r="AB1639" s="18">
        <v>0.0</v>
      </c>
      <c r="AC1639" s="18">
        <v>10.0</v>
      </c>
      <c r="AD1639" s="172">
        <v>103490.0</v>
      </c>
      <c r="AE1639" s="14">
        <v>0.0</v>
      </c>
      <c r="AF1639" s="14">
        <v>103490.0</v>
      </c>
      <c r="AG1639" s="22"/>
      <c r="AH1639" s="22"/>
      <c r="AI1639" s="22"/>
      <c r="AJ1639" s="22"/>
      <c r="AK1639" s="22"/>
      <c r="AL1639" s="22"/>
      <c r="AM1639" s="22"/>
      <c r="AN1639" s="22"/>
      <c r="AO1639" s="22"/>
      <c r="AP1639" s="22"/>
    </row>
    <row r="1640" hidden="1">
      <c r="A1640" s="148">
        <v>46166.0</v>
      </c>
      <c r="B1640" s="149">
        <v>0.5</v>
      </c>
      <c r="C1640" s="11" t="s">
        <v>58</v>
      </c>
      <c r="D1640" s="102" t="s">
        <v>3083</v>
      </c>
      <c r="E1640" s="10" t="s">
        <v>106</v>
      </c>
      <c r="F1640" s="10" t="s">
        <v>4661</v>
      </c>
      <c r="G1640" s="11" t="s">
        <v>5006</v>
      </c>
      <c r="H1640" s="11" t="s">
        <v>4668</v>
      </c>
      <c r="I1640" s="10" t="s">
        <v>61</v>
      </c>
      <c r="J1640" s="14">
        <v>114759.0</v>
      </c>
      <c r="K1640" s="14">
        <v>64770.0</v>
      </c>
      <c r="L1640" s="17">
        <v>0.5644</v>
      </c>
      <c r="M1640" s="150">
        <v>0.0</v>
      </c>
      <c r="N1640" s="136">
        <v>0.0</v>
      </c>
      <c r="O1640" s="18">
        <v>0.0</v>
      </c>
      <c r="P1640" s="92">
        <v>0.0</v>
      </c>
      <c r="Q1640" s="137">
        <v>0.0</v>
      </c>
      <c r="R1640" s="17">
        <v>0.0</v>
      </c>
      <c r="S1640" s="18">
        <v>0.0</v>
      </c>
      <c r="T1640" s="18">
        <v>0.0</v>
      </c>
      <c r="U1640" s="151">
        <v>0.0</v>
      </c>
      <c r="V1640" s="92" t="s">
        <v>183</v>
      </c>
      <c r="W1640" s="18" t="s">
        <v>62</v>
      </c>
      <c r="X1640" s="42" t="s">
        <v>41</v>
      </c>
      <c r="Y1640" s="159">
        <v>46167.0</v>
      </c>
      <c r="Z1640" s="18" t="s">
        <v>5007</v>
      </c>
      <c r="AA1640" s="92">
        <v>16.0</v>
      </c>
      <c r="AB1640" s="18">
        <v>0.0</v>
      </c>
      <c r="AC1640" s="18">
        <v>16.0</v>
      </c>
      <c r="AD1640" s="172">
        <v>220479.0</v>
      </c>
      <c r="AE1640" s="14">
        <v>0.0</v>
      </c>
      <c r="AF1640" s="14">
        <v>220479.0</v>
      </c>
      <c r="AG1640" s="22"/>
      <c r="AH1640" s="22"/>
      <c r="AI1640" s="22"/>
      <c r="AJ1640" s="22"/>
      <c r="AK1640" s="22"/>
      <c r="AL1640" s="22"/>
      <c r="AM1640" s="22"/>
      <c r="AN1640" s="22"/>
      <c r="AO1640" s="22"/>
      <c r="AP1640" s="22"/>
    </row>
    <row r="1641" hidden="1">
      <c r="A1641" s="148">
        <v>46166.0</v>
      </c>
      <c r="B1641" s="149">
        <v>0.5</v>
      </c>
      <c r="C1641" s="11" t="s">
        <v>58</v>
      </c>
      <c r="D1641" s="102" t="s">
        <v>3083</v>
      </c>
      <c r="E1641" s="10" t="s">
        <v>106</v>
      </c>
      <c r="F1641" s="10" t="s">
        <v>4661</v>
      </c>
      <c r="G1641" s="11" t="s">
        <v>5008</v>
      </c>
      <c r="H1641" s="11" t="s">
        <v>4663</v>
      </c>
      <c r="I1641" s="10" t="s">
        <v>61</v>
      </c>
      <c r="J1641" s="14">
        <v>58142.0</v>
      </c>
      <c r="K1641" s="14">
        <v>31555.0</v>
      </c>
      <c r="L1641" s="17">
        <v>0.5427</v>
      </c>
      <c r="M1641" s="150">
        <v>0.0</v>
      </c>
      <c r="N1641" s="136">
        <v>0.0</v>
      </c>
      <c r="O1641" s="18">
        <v>0.0</v>
      </c>
      <c r="P1641" s="92">
        <v>0.0</v>
      </c>
      <c r="Q1641" s="137">
        <v>0.0</v>
      </c>
      <c r="R1641" s="17">
        <v>0.0</v>
      </c>
      <c r="S1641" s="18">
        <v>0.0</v>
      </c>
      <c r="T1641" s="18">
        <v>0.0</v>
      </c>
      <c r="U1641" s="151">
        <v>0.0</v>
      </c>
      <c r="V1641" s="92" t="s">
        <v>183</v>
      </c>
      <c r="W1641" s="18" t="s">
        <v>62</v>
      </c>
      <c r="X1641" s="42" t="s">
        <v>52</v>
      </c>
      <c r="Y1641" s="159">
        <v>46167.0</v>
      </c>
      <c r="Z1641" s="18" t="s">
        <v>5009</v>
      </c>
      <c r="AA1641" s="92">
        <v>10.0</v>
      </c>
      <c r="AB1641" s="18">
        <v>0.0</v>
      </c>
      <c r="AC1641" s="18">
        <v>10.0</v>
      </c>
      <c r="AD1641" s="172">
        <v>144486.0</v>
      </c>
      <c r="AE1641" s="14">
        <v>0.0</v>
      </c>
      <c r="AF1641" s="14">
        <v>144486.0</v>
      </c>
      <c r="AG1641" s="22"/>
      <c r="AH1641" s="22"/>
      <c r="AI1641" s="22"/>
      <c r="AJ1641" s="22"/>
      <c r="AK1641" s="22"/>
      <c r="AL1641" s="22"/>
      <c r="AM1641" s="22"/>
      <c r="AN1641" s="22"/>
      <c r="AO1641" s="22"/>
      <c r="AP1641" s="22"/>
    </row>
    <row r="1642" hidden="1">
      <c r="A1642" s="148">
        <v>46166.0</v>
      </c>
      <c r="B1642" s="149">
        <v>0.5416666666666666</v>
      </c>
      <c r="C1642" s="11" t="s">
        <v>58</v>
      </c>
      <c r="D1642" s="102" t="s">
        <v>3083</v>
      </c>
      <c r="E1642" s="10" t="s">
        <v>71</v>
      </c>
      <c r="F1642" s="10" t="s">
        <v>4692</v>
      </c>
      <c r="G1642" s="11" t="s">
        <v>5010</v>
      </c>
      <c r="H1642" s="11" t="s">
        <v>5011</v>
      </c>
      <c r="I1642" s="10" t="s">
        <v>61</v>
      </c>
      <c r="J1642" s="14">
        <v>10932.0</v>
      </c>
      <c r="K1642" s="14">
        <v>6144.0</v>
      </c>
      <c r="L1642" s="17">
        <v>0.562</v>
      </c>
      <c r="M1642" s="150">
        <v>0.0</v>
      </c>
      <c r="N1642" s="136">
        <v>0.0</v>
      </c>
      <c r="O1642" s="18">
        <v>4.0</v>
      </c>
      <c r="P1642" s="92">
        <v>0.0</v>
      </c>
      <c r="Q1642" s="137">
        <v>7.0E-4</v>
      </c>
      <c r="R1642" s="17">
        <v>0.0</v>
      </c>
      <c r="S1642" s="18">
        <v>0.0</v>
      </c>
      <c r="T1642" s="18">
        <v>0.0</v>
      </c>
      <c r="U1642" s="151">
        <v>31405.0</v>
      </c>
      <c r="V1642" s="92" t="s">
        <v>315</v>
      </c>
      <c r="W1642" s="18" t="s">
        <v>62</v>
      </c>
      <c r="X1642" s="42" t="s">
        <v>4436</v>
      </c>
      <c r="Y1642" s="159">
        <v>46166.0</v>
      </c>
      <c r="Z1642" s="18" t="s">
        <v>5012</v>
      </c>
      <c r="AA1642" s="92">
        <v>5.0</v>
      </c>
      <c r="AB1642" s="18"/>
      <c r="AC1642" s="18">
        <v>5.0</v>
      </c>
      <c r="AD1642" s="172">
        <v>20406.0</v>
      </c>
      <c r="AE1642" s="14"/>
      <c r="AF1642" s="14">
        <v>20406.0</v>
      </c>
      <c r="AG1642" s="22"/>
      <c r="AH1642" s="22"/>
      <c r="AI1642" s="22"/>
      <c r="AJ1642" s="22"/>
      <c r="AK1642" s="22"/>
      <c r="AL1642" s="22"/>
      <c r="AM1642" s="22"/>
      <c r="AN1642" s="22"/>
      <c r="AO1642" s="22"/>
      <c r="AP1642" s="22"/>
    </row>
    <row r="1643" hidden="1">
      <c r="A1643" s="148">
        <v>46166.0</v>
      </c>
      <c r="B1643" s="149">
        <v>0.8125</v>
      </c>
      <c r="C1643" s="11" t="s">
        <v>58</v>
      </c>
      <c r="D1643" s="102" t="s">
        <v>3083</v>
      </c>
      <c r="E1643" s="10" t="s">
        <v>71</v>
      </c>
      <c r="F1643" s="10" t="s">
        <v>4692</v>
      </c>
      <c r="G1643" s="11" t="s">
        <v>5013</v>
      </c>
      <c r="H1643" s="11" t="s">
        <v>4643</v>
      </c>
      <c r="I1643" s="10" t="s">
        <v>61</v>
      </c>
      <c r="J1643" s="14">
        <v>2012.0</v>
      </c>
      <c r="K1643" s="14">
        <v>1284.0</v>
      </c>
      <c r="L1643" s="17">
        <v>0.6382</v>
      </c>
      <c r="M1643" s="150">
        <v>0.0</v>
      </c>
      <c r="N1643" s="136">
        <v>0.0</v>
      </c>
      <c r="O1643" s="18">
        <v>4.0</v>
      </c>
      <c r="P1643" s="92">
        <v>0.0</v>
      </c>
      <c r="Q1643" s="137">
        <v>0.0031</v>
      </c>
      <c r="R1643" s="17">
        <v>0.0</v>
      </c>
      <c r="S1643" s="18">
        <v>4.0</v>
      </c>
      <c r="T1643" s="18">
        <v>8.0</v>
      </c>
      <c r="U1643" s="151">
        <v>18784.0</v>
      </c>
      <c r="V1643" s="92" t="s">
        <v>335</v>
      </c>
      <c r="W1643" s="18" t="s">
        <v>62</v>
      </c>
      <c r="X1643" s="42" t="s">
        <v>4645</v>
      </c>
      <c r="Y1643" s="159">
        <v>46166.0</v>
      </c>
      <c r="Z1643" s="18" t="s">
        <v>5014</v>
      </c>
      <c r="AA1643" s="92">
        <v>4.0</v>
      </c>
      <c r="AB1643" s="18">
        <v>4.0</v>
      </c>
      <c r="AC1643" s="18"/>
      <c r="AD1643" s="172">
        <v>18784.0</v>
      </c>
      <c r="AE1643" s="14">
        <v>18784.0</v>
      </c>
      <c r="AF1643" s="14"/>
      <c r="AG1643" s="22"/>
      <c r="AH1643" s="22"/>
      <c r="AI1643" s="22"/>
      <c r="AJ1643" s="22"/>
      <c r="AK1643" s="22"/>
      <c r="AL1643" s="22"/>
      <c r="AM1643" s="22"/>
      <c r="AN1643" s="22"/>
      <c r="AO1643" s="22"/>
      <c r="AP1643" s="22"/>
    </row>
    <row r="1644" hidden="1">
      <c r="A1644" s="148">
        <v>46166.0</v>
      </c>
      <c r="B1644" s="149">
        <v>0.8125</v>
      </c>
      <c r="C1644" s="11" t="s">
        <v>58</v>
      </c>
      <c r="D1644" s="102" t="s">
        <v>3083</v>
      </c>
      <c r="E1644" s="10" t="s">
        <v>71</v>
      </c>
      <c r="F1644" s="10" t="s">
        <v>4692</v>
      </c>
      <c r="G1644" s="11" t="s">
        <v>5015</v>
      </c>
      <c r="H1644" s="11" t="s">
        <v>4649</v>
      </c>
      <c r="I1644" s="10" t="s">
        <v>61</v>
      </c>
      <c r="J1644" s="14">
        <v>20809.0</v>
      </c>
      <c r="K1644" s="14">
        <v>10963.0</v>
      </c>
      <c r="L1644" s="17">
        <v>0.5268</v>
      </c>
      <c r="M1644" s="150">
        <v>0.0</v>
      </c>
      <c r="N1644" s="136">
        <v>0.0</v>
      </c>
      <c r="O1644" s="18">
        <v>29.0</v>
      </c>
      <c r="P1644" s="92">
        <v>0.0</v>
      </c>
      <c r="Q1644" s="137">
        <v>0.0026</v>
      </c>
      <c r="R1644" s="17">
        <v>0.0</v>
      </c>
      <c r="S1644" s="18">
        <v>1.0</v>
      </c>
      <c r="T1644" s="18">
        <v>1.0</v>
      </c>
      <c r="U1644" s="151">
        <v>12415.0</v>
      </c>
      <c r="V1644" s="92" t="s">
        <v>335</v>
      </c>
      <c r="W1644" s="18" t="s">
        <v>62</v>
      </c>
      <c r="X1644" s="42" t="s">
        <v>82</v>
      </c>
      <c r="Y1644" s="159">
        <v>46166.0</v>
      </c>
      <c r="Z1644" s="18" t="s">
        <v>5016</v>
      </c>
      <c r="AA1644" s="92">
        <v>9.0</v>
      </c>
      <c r="AB1644" s="18">
        <v>9.0</v>
      </c>
      <c r="AC1644" s="18"/>
      <c r="AD1644" s="172">
        <v>49926.0</v>
      </c>
      <c r="AE1644" s="14">
        <v>49926.0</v>
      </c>
      <c r="AF1644" s="14"/>
      <c r="AG1644" s="22"/>
      <c r="AH1644" s="22"/>
      <c r="AI1644" s="22"/>
      <c r="AJ1644" s="22"/>
      <c r="AK1644" s="22"/>
      <c r="AL1644" s="22"/>
      <c r="AM1644" s="22"/>
      <c r="AN1644" s="22"/>
      <c r="AO1644" s="22"/>
      <c r="AP1644" s="22"/>
    </row>
    <row r="1645" hidden="1">
      <c r="A1645" s="148">
        <v>46166.0</v>
      </c>
      <c r="B1645" s="149">
        <v>0.8125</v>
      </c>
      <c r="C1645" s="11" t="s">
        <v>58</v>
      </c>
      <c r="D1645" s="102" t="s">
        <v>3083</v>
      </c>
      <c r="E1645" s="10" t="s">
        <v>71</v>
      </c>
      <c r="F1645" s="10" t="s">
        <v>4692</v>
      </c>
      <c r="G1645" s="11" t="s">
        <v>5017</v>
      </c>
      <c r="H1645" s="11" t="s">
        <v>2597</v>
      </c>
      <c r="I1645" s="10" t="s">
        <v>61</v>
      </c>
      <c r="J1645" s="14">
        <v>2019.0</v>
      </c>
      <c r="K1645" s="14">
        <v>1130.0</v>
      </c>
      <c r="L1645" s="17">
        <v>0.5597</v>
      </c>
      <c r="M1645" s="150">
        <v>0.0</v>
      </c>
      <c r="N1645" s="136">
        <v>0.0</v>
      </c>
      <c r="O1645" s="18">
        <v>0.0</v>
      </c>
      <c r="P1645" s="92">
        <v>0.0</v>
      </c>
      <c r="Q1645" s="137">
        <v>0.0</v>
      </c>
      <c r="R1645" s="17">
        <v>0.0</v>
      </c>
      <c r="S1645" s="18">
        <v>0.0</v>
      </c>
      <c r="T1645" s="18">
        <v>0.0</v>
      </c>
      <c r="U1645" s="151">
        <v>0.0</v>
      </c>
      <c r="V1645" s="92" t="s">
        <v>335</v>
      </c>
      <c r="W1645" s="18" t="s">
        <v>62</v>
      </c>
      <c r="X1645" s="42" t="s">
        <v>52</v>
      </c>
      <c r="Y1645" s="159">
        <v>46166.0</v>
      </c>
      <c r="Z1645" s="18" t="s">
        <v>5018</v>
      </c>
      <c r="AA1645" s="92">
        <v>1.0</v>
      </c>
      <c r="AB1645" s="18">
        <v>1.0</v>
      </c>
      <c r="AC1645" s="18"/>
      <c r="AD1645" s="172">
        <v>15923.0</v>
      </c>
      <c r="AE1645" s="14">
        <v>15923.0</v>
      </c>
      <c r="AF1645" s="14"/>
      <c r="AG1645" s="22"/>
      <c r="AH1645" s="22"/>
      <c r="AI1645" s="22"/>
      <c r="AJ1645" s="22"/>
      <c r="AK1645" s="22"/>
      <c r="AL1645" s="22"/>
      <c r="AM1645" s="22"/>
      <c r="AN1645" s="22"/>
      <c r="AO1645" s="22"/>
      <c r="AP1645" s="22"/>
    </row>
    <row r="1646" hidden="1">
      <c r="A1646" s="148">
        <v>46166.0</v>
      </c>
      <c r="B1646" s="149">
        <v>0.8125</v>
      </c>
      <c r="C1646" s="11" t="s">
        <v>58</v>
      </c>
      <c r="D1646" s="102" t="s">
        <v>3083</v>
      </c>
      <c r="E1646" s="10" t="s">
        <v>71</v>
      </c>
      <c r="F1646" s="10" t="s">
        <v>4692</v>
      </c>
      <c r="G1646" s="11" t="s">
        <v>5019</v>
      </c>
      <c r="H1646" s="11" t="s">
        <v>4656</v>
      </c>
      <c r="I1646" s="10" t="s">
        <v>61</v>
      </c>
      <c r="J1646" s="14">
        <v>2715.0</v>
      </c>
      <c r="K1646" s="14">
        <v>1681.0</v>
      </c>
      <c r="L1646" s="17">
        <v>0.6192</v>
      </c>
      <c r="M1646" s="150">
        <v>0.0</v>
      </c>
      <c r="N1646" s="136">
        <v>0.0</v>
      </c>
      <c r="O1646" s="18">
        <v>5.0</v>
      </c>
      <c r="P1646" s="92">
        <v>0.0</v>
      </c>
      <c r="Q1646" s="137">
        <v>0.003</v>
      </c>
      <c r="R1646" s="17">
        <v>0.0</v>
      </c>
      <c r="S1646" s="18">
        <v>0.0</v>
      </c>
      <c r="T1646" s="18">
        <v>0.0</v>
      </c>
      <c r="U1646" s="151">
        <v>0.0</v>
      </c>
      <c r="V1646" s="92" t="s">
        <v>335</v>
      </c>
      <c r="W1646" s="18" t="s">
        <v>62</v>
      </c>
      <c r="X1646" s="42" t="s">
        <v>2594</v>
      </c>
      <c r="Y1646" s="159">
        <v>46166.0</v>
      </c>
      <c r="Z1646" s="18" t="s">
        <v>5020</v>
      </c>
      <c r="AA1646" s="92">
        <v>0.0</v>
      </c>
      <c r="AB1646" s="18">
        <v>0.0</v>
      </c>
      <c r="AC1646" s="18"/>
      <c r="AD1646" s="172">
        <v>0.0</v>
      </c>
      <c r="AE1646" s="14">
        <v>0.0</v>
      </c>
      <c r="AF1646" s="14"/>
      <c r="AG1646" s="22"/>
      <c r="AH1646" s="22"/>
      <c r="AI1646" s="22"/>
      <c r="AJ1646" s="22"/>
      <c r="AK1646" s="22"/>
      <c r="AL1646" s="22"/>
      <c r="AM1646" s="22"/>
      <c r="AN1646" s="22"/>
      <c r="AO1646" s="22"/>
      <c r="AP1646" s="22"/>
    </row>
    <row r="1647" hidden="1">
      <c r="A1647" s="148">
        <v>46166.0</v>
      </c>
      <c r="B1647" s="149">
        <v>0.8125</v>
      </c>
      <c r="C1647" s="11" t="s">
        <v>58</v>
      </c>
      <c r="D1647" s="102" t="s">
        <v>3083</v>
      </c>
      <c r="E1647" s="10" t="s">
        <v>71</v>
      </c>
      <c r="F1647" s="10" t="s">
        <v>4692</v>
      </c>
      <c r="G1647" s="11" t="s">
        <v>5021</v>
      </c>
      <c r="H1647" s="11" t="s">
        <v>4725</v>
      </c>
      <c r="I1647" s="10" t="s">
        <v>61</v>
      </c>
      <c r="J1647" s="14">
        <v>26908.0</v>
      </c>
      <c r="K1647" s="14">
        <v>14386.0</v>
      </c>
      <c r="L1647" s="17">
        <v>0.5346</v>
      </c>
      <c r="M1647" s="150">
        <v>0.0</v>
      </c>
      <c r="N1647" s="136">
        <v>0.0</v>
      </c>
      <c r="O1647" s="18">
        <v>15.0</v>
      </c>
      <c r="P1647" s="92">
        <v>0.0</v>
      </c>
      <c r="Q1647" s="137">
        <v>0.001</v>
      </c>
      <c r="R1647" s="17">
        <v>0.0</v>
      </c>
      <c r="S1647" s="18">
        <v>0.0</v>
      </c>
      <c r="T1647" s="18">
        <v>0.0</v>
      </c>
      <c r="U1647" s="151">
        <v>6471.0</v>
      </c>
      <c r="V1647" s="92" t="s">
        <v>183</v>
      </c>
      <c r="W1647" s="18" t="s">
        <v>62</v>
      </c>
      <c r="X1647" s="42" t="s">
        <v>52</v>
      </c>
      <c r="Y1647" s="159">
        <v>46166.0</v>
      </c>
      <c r="Z1647" s="18" t="s">
        <v>5022</v>
      </c>
      <c r="AA1647" s="92">
        <v>48.0</v>
      </c>
      <c r="AB1647" s="18">
        <v>2.0</v>
      </c>
      <c r="AC1647" s="18">
        <v>46.0</v>
      </c>
      <c r="AD1647" s="172">
        <v>260875.0</v>
      </c>
      <c r="AE1647" s="14">
        <v>5879.0</v>
      </c>
      <c r="AF1647" s="14">
        <v>254996.0</v>
      </c>
      <c r="AG1647" s="22"/>
      <c r="AH1647" s="22"/>
      <c r="AI1647" s="22"/>
      <c r="AJ1647" s="22"/>
      <c r="AK1647" s="22"/>
      <c r="AL1647" s="22"/>
      <c r="AM1647" s="22"/>
      <c r="AN1647" s="22"/>
      <c r="AO1647" s="22"/>
      <c r="AP1647" s="22"/>
    </row>
    <row r="1648" hidden="1">
      <c r="A1648" s="148">
        <v>46166.0</v>
      </c>
      <c r="B1648" s="149">
        <v>0.5</v>
      </c>
      <c r="C1648" s="11" t="s">
        <v>32</v>
      </c>
      <c r="D1648" s="102" t="s">
        <v>33</v>
      </c>
      <c r="E1648" s="10" t="s">
        <v>71</v>
      </c>
      <c r="F1648" s="10" t="s">
        <v>4692</v>
      </c>
      <c r="G1648" s="11" t="s">
        <v>5023</v>
      </c>
      <c r="H1648" s="11" t="s">
        <v>5011</v>
      </c>
      <c r="I1648" s="10" t="s">
        <v>5024</v>
      </c>
      <c r="J1648" s="14">
        <v>19500.0</v>
      </c>
      <c r="K1648" s="14">
        <v>7851.0</v>
      </c>
      <c r="L1648" s="17">
        <v>0.4026</v>
      </c>
      <c r="M1648" s="150">
        <v>2345.0</v>
      </c>
      <c r="N1648" s="136">
        <v>0.2987</v>
      </c>
      <c r="O1648" s="18">
        <v>169.0</v>
      </c>
      <c r="P1648" s="92">
        <v>162.0</v>
      </c>
      <c r="Q1648" s="137">
        <v>0.0206</v>
      </c>
      <c r="R1648" s="17">
        <v>0.0691</v>
      </c>
      <c r="S1648" s="18">
        <v>0.0</v>
      </c>
      <c r="T1648" s="18">
        <v>0.0</v>
      </c>
      <c r="U1648" s="151">
        <v>59770.0</v>
      </c>
      <c r="V1648" s="92" t="s">
        <v>315</v>
      </c>
      <c r="W1648" s="18" t="s">
        <v>76</v>
      </c>
      <c r="X1648" s="42" t="s">
        <v>4436</v>
      </c>
      <c r="Y1648" s="159" t="s">
        <v>5025</v>
      </c>
      <c r="Z1648" s="18" t="s">
        <v>5026</v>
      </c>
      <c r="AA1648" s="92">
        <v>10.0</v>
      </c>
      <c r="AB1648" s="18"/>
      <c r="AC1648" s="18">
        <v>10.0</v>
      </c>
      <c r="AD1648" s="172">
        <v>54974.0</v>
      </c>
      <c r="AE1648" s="14"/>
      <c r="AF1648" s="14">
        <v>54974.0</v>
      </c>
      <c r="AG1648" s="22"/>
      <c r="AH1648" s="22"/>
      <c r="AI1648" s="22"/>
      <c r="AJ1648" s="22"/>
      <c r="AK1648" s="22"/>
      <c r="AL1648" s="22"/>
      <c r="AM1648" s="22"/>
      <c r="AN1648" s="22"/>
      <c r="AO1648" s="22"/>
      <c r="AP1648" s="22"/>
    </row>
    <row r="1649" hidden="1">
      <c r="A1649" s="148">
        <v>46166.0</v>
      </c>
      <c r="B1649" s="149">
        <v>0.75</v>
      </c>
      <c r="C1649" s="11" t="s">
        <v>32</v>
      </c>
      <c r="D1649" s="102" t="s">
        <v>33</v>
      </c>
      <c r="E1649" s="10" t="s">
        <v>71</v>
      </c>
      <c r="F1649" s="10" t="s">
        <v>4692</v>
      </c>
      <c r="G1649" s="11" t="s">
        <v>5027</v>
      </c>
      <c r="H1649" s="11" t="s">
        <v>4643</v>
      </c>
      <c r="I1649" s="10" t="s">
        <v>4644</v>
      </c>
      <c r="J1649" s="14">
        <v>3972.0</v>
      </c>
      <c r="K1649" s="14">
        <v>1879.0</v>
      </c>
      <c r="L1649" s="17">
        <v>0.4731</v>
      </c>
      <c r="M1649" s="150">
        <v>685.0</v>
      </c>
      <c r="N1649" s="136">
        <v>0.3646</v>
      </c>
      <c r="O1649" s="18">
        <v>95.0</v>
      </c>
      <c r="P1649" s="92">
        <v>94.0</v>
      </c>
      <c r="Q1649" s="137">
        <v>0.05</v>
      </c>
      <c r="R1649" s="17">
        <v>0.1372</v>
      </c>
      <c r="S1649" s="18">
        <v>4.0</v>
      </c>
      <c r="T1649" s="18">
        <v>50.0</v>
      </c>
      <c r="U1649" s="151">
        <v>14651.0</v>
      </c>
      <c r="V1649" s="92" t="s">
        <v>335</v>
      </c>
      <c r="W1649" s="18" t="s">
        <v>76</v>
      </c>
      <c r="X1649" s="42" t="s">
        <v>4645</v>
      </c>
      <c r="Y1649" s="159" t="s">
        <v>5025</v>
      </c>
      <c r="Z1649" s="18" t="s">
        <v>5028</v>
      </c>
      <c r="AA1649" s="92">
        <v>8.0</v>
      </c>
      <c r="AB1649" s="18">
        <v>8.0</v>
      </c>
      <c r="AC1649" s="18"/>
      <c r="AD1649" s="172">
        <v>59419.0</v>
      </c>
      <c r="AE1649" s="14">
        <v>59419.0</v>
      </c>
      <c r="AF1649" s="14"/>
      <c r="AG1649" s="22"/>
      <c r="AH1649" s="22"/>
      <c r="AI1649" s="22"/>
      <c r="AJ1649" s="22"/>
      <c r="AK1649" s="22"/>
      <c r="AL1649" s="22"/>
      <c r="AM1649" s="22"/>
      <c r="AN1649" s="22"/>
      <c r="AO1649" s="22"/>
      <c r="AP1649" s="22"/>
    </row>
    <row r="1650" hidden="1">
      <c r="A1650" s="148">
        <v>46166.0</v>
      </c>
      <c r="B1650" s="149">
        <v>0.75</v>
      </c>
      <c r="C1650" s="11" t="s">
        <v>32</v>
      </c>
      <c r="D1650" s="102" t="s">
        <v>33</v>
      </c>
      <c r="E1650" s="10" t="s">
        <v>71</v>
      </c>
      <c r="F1650" s="10" t="s">
        <v>4692</v>
      </c>
      <c r="G1650" s="11" t="s">
        <v>5029</v>
      </c>
      <c r="H1650" s="11" t="s">
        <v>4649</v>
      </c>
      <c r="I1650" s="10" t="s">
        <v>4650</v>
      </c>
      <c r="J1650" s="14">
        <v>36037.0</v>
      </c>
      <c r="K1650" s="14">
        <v>14702.0</v>
      </c>
      <c r="L1650" s="17">
        <v>0.408</v>
      </c>
      <c r="M1650" s="150">
        <v>4946.0</v>
      </c>
      <c r="N1650" s="136">
        <v>0.3364</v>
      </c>
      <c r="O1650" s="18">
        <v>472.0</v>
      </c>
      <c r="P1650" s="92">
        <v>457.0</v>
      </c>
      <c r="Q1650" s="137">
        <v>0.0311</v>
      </c>
      <c r="R1650" s="17">
        <v>0.0924</v>
      </c>
      <c r="S1650" s="18">
        <v>4.0</v>
      </c>
      <c r="T1650" s="18">
        <v>22.0</v>
      </c>
      <c r="U1650" s="151">
        <v>16408.0</v>
      </c>
      <c r="V1650" s="92" t="s">
        <v>335</v>
      </c>
      <c r="W1650" s="18" t="s">
        <v>76</v>
      </c>
      <c r="X1650" s="42" t="s">
        <v>82</v>
      </c>
      <c r="Y1650" s="159" t="s">
        <v>5025</v>
      </c>
      <c r="Z1650" s="18" t="s">
        <v>5030</v>
      </c>
      <c r="AA1650" s="92">
        <v>27.0</v>
      </c>
      <c r="AB1650" s="18">
        <v>27.0</v>
      </c>
      <c r="AC1650" s="18"/>
      <c r="AD1650" s="172">
        <v>141690.0</v>
      </c>
      <c r="AE1650" s="14">
        <v>141690.0</v>
      </c>
      <c r="AF1650" s="14"/>
      <c r="AG1650" s="22"/>
      <c r="AH1650" s="22"/>
      <c r="AI1650" s="22"/>
      <c r="AJ1650" s="22"/>
      <c r="AK1650" s="22"/>
      <c r="AL1650" s="22"/>
      <c r="AM1650" s="22"/>
      <c r="AN1650" s="22"/>
      <c r="AO1650" s="22"/>
      <c r="AP1650" s="22"/>
    </row>
    <row r="1651" hidden="1">
      <c r="A1651" s="148">
        <v>46166.0</v>
      </c>
      <c r="B1651" s="149">
        <v>0.75</v>
      </c>
      <c r="C1651" s="11" t="s">
        <v>32</v>
      </c>
      <c r="D1651" s="102" t="s">
        <v>33</v>
      </c>
      <c r="E1651" s="10" t="s">
        <v>71</v>
      </c>
      <c r="F1651" s="10" t="s">
        <v>4692</v>
      </c>
      <c r="G1651" s="11" t="s">
        <v>5031</v>
      </c>
      <c r="H1651" s="11" t="s">
        <v>2597</v>
      </c>
      <c r="I1651" s="10" t="s">
        <v>4653</v>
      </c>
      <c r="J1651" s="14">
        <v>3551.0</v>
      </c>
      <c r="K1651" s="14">
        <v>1477.0</v>
      </c>
      <c r="L1651" s="17">
        <v>0.4159</v>
      </c>
      <c r="M1651" s="150">
        <v>503.0</v>
      </c>
      <c r="N1651" s="136">
        <v>0.3406</v>
      </c>
      <c r="O1651" s="18">
        <v>55.0</v>
      </c>
      <c r="P1651" s="92">
        <v>54.0</v>
      </c>
      <c r="Q1651" s="137">
        <v>0.0366</v>
      </c>
      <c r="R1651" s="17">
        <v>0.1074</v>
      </c>
      <c r="S1651" s="18">
        <v>1.0</v>
      </c>
      <c r="T1651" s="18">
        <v>4.0</v>
      </c>
      <c r="U1651" s="151">
        <v>2447.0</v>
      </c>
      <c r="V1651" s="92" t="s">
        <v>335</v>
      </c>
      <c r="W1651" s="18" t="s">
        <v>76</v>
      </c>
      <c r="X1651" s="42" t="s">
        <v>52</v>
      </c>
      <c r="Y1651" s="159" t="s">
        <v>5025</v>
      </c>
      <c r="Z1651" s="18" t="s">
        <v>5032</v>
      </c>
      <c r="AA1651" s="92">
        <v>5.0</v>
      </c>
      <c r="AB1651" s="18">
        <v>5.0</v>
      </c>
      <c r="AC1651" s="18"/>
      <c r="AD1651" s="172">
        <v>20570.0</v>
      </c>
      <c r="AE1651" s="14">
        <v>20570.0</v>
      </c>
      <c r="AF1651" s="14"/>
      <c r="AG1651" s="22"/>
      <c r="AH1651" s="22"/>
      <c r="AI1651" s="22"/>
      <c r="AJ1651" s="22"/>
      <c r="AK1651" s="22"/>
      <c r="AL1651" s="22"/>
      <c r="AM1651" s="22"/>
      <c r="AN1651" s="22"/>
      <c r="AO1651" s="22"/>
      <c r="AP1651" s="22"/>
    </row>
    <row r="1652" hidden="1">
      <c r="A1652" s="148">
        <v>46166.0</v>
      </c>
      <c r="B1652" s="149">
        <v>0.75</v>
      </c>
      <c r="C1652" s="11" t="s">
        <v>32</v>
      </c>
      <c r="D1652" s="102" t="s">
        <v>33</v>
      </c>
      <c r="E1652" s="10" t="s">
        <v>71</v>
      </c>
      <c r="F1652" s="10" t="s">
        <v>4692</v>
      </c>
      <c r="G1652" s="11" t="s">
        <v>5033</v>
      </c>
      <c r="H1652" s="11" t="s">
        <v>4656</v>
      </c>
      <c r="I1652" s="10" t="s">
        <v>4657</v>
      </c>
      <c r="J1652" s="14">
        <v>5206.0</v>
      </c>
      <c r="K1652" s="14">
        <v>2370.0</v>
      </c>
      <c r="L1652" s="17">
        <v>0.4552</v>
      </c>
      <c r="M1652" s="150">
        <v>773.0</v>
      </c>
      <c r="N1652" s="136">
        <v>0.3262</v>
      </c>
      <c r="O1652" s="18">
        <v>55.0</v>
      </c>
      <c r="P1652" s="92">
        <v>54.0</v>
      </c>
      <c r="Q1652" s="137">
        <v>0.0228</v>
      </c>
      <c r="R1652" s="17">
        <v>0.0699</v>
      </c>
      <c r="S1652" s="18">
        <v>0.0</v>
      </c>
      <c r="T1652" s="18">
        <v>1.0</v>
      </c>
      <c r="U1652" s="151">
        <v>0.0</v>
      </c>
      <c r="V1652" s="92" t="s">
        <v>335</v>
      </c>
      <c r="W1652" s="18" t="s">
        <v>76</v>
      </c>
      <c r="X1652" s="42" t="s">
        <v>2594</v>
      </c>
      <c r="Y1652" s="159" t="s">
        <v>5025</v>
      </c>
      <c r="Z1652" s="18" t="s">
        <v>5034</v>
      </c>
      <c r="AA1652" s="92">
        <v>0.0</v>
      </c>
      <c r="AB1652" s="18">
        <v>0.0</v>
      </c>
      <c r="AC1652" s="18"/>
      <c r="AD1652" s="172">
        <v>0.0</v>
      </c>
      <c r="AE1652" s="14">
        <v>0.0</v>
      </c>
      <c r="AF1652" s="14"/>
      <c r="AG1652" s="22"/>
      <c r="AH1652" s="22"/>
      <c r="AI1652" s="22"/>
      <c r="AJ1652" s="22"/>
      <c r="AK1652" s="22"/>
      <c r="AL1652" s="22"/>
      <c r="AM1652" s="22"/>
      <c r="AN1652" s="22"/>
      <c r="AO1652" s="22"/>
      <c r="AP1652" s="22"/>
    </row>
    <row r="1653" hidden="1">
      <c r="A1653" s="148">
        <v>46166.0</v>
      </c>
      <c r="B1653" s="149">
        <v>0.75</v>
      </c>
      <c r="C1653" s="11" t="s">
        <v>32</v>
      </c>
      <c r="D1653" s="102" t="s">
        <v>33</v>
      </c>
      <c r="E1653" s="10" t="s">
        <v>71</v>
      </c>
      <c r="F1653" s="10" t="s">
        <v>4692</v>
      </c>
      <c r="G1653" s="11" t="s">
        <v>5035</v>
      </c>
      <c r="H1653" s="11" t="s">
        <v>4725</v>
      </c>
      <c r="I1653" s="10" t="s">
        <v>4812</v>
      </c>
      <c r="J1653" s="14">
        <v>45842.0</v>
      </c>
      <c r="K1653" s="14">
        <v>18042.0</v>
      </c>
      <c r="L1653" s="17">
        <v>0.3935</v>
      </c>
      <c r="M1653" s="150">
        <v>5446.0</v>
      </c>
      <c r="N1653" s="165">
        <v>0.3019</v>
      </c>
      <c r="O1653" s="18">
        <v>354.0</v>
      </c>
      <c r="P1653" s="92">
        <v>340.0</v>
      </c>
      <c r="Q1653" s="166">
        <v>0.0188</v>
      </c>
      <c r="R1653" s="17">
        <v>0.0624</v>
      </c>
      <c r="S1653" s="18">
        <v>0.0</v>
      </c>
      <c r="T1653" s="18">
        <v>0.0</v>
      </c>
      <c r="U1653" s="151">
        <v>66812.0</v>
      </c>
      <c r="V1653" s="92" t="s">
        <v>183</v>
      </c>
      <c r="W1653" s="18" t="s">
        <v>76</v>
      </c>
      <c r="X1653" s="92" t="s">
        <v>52</v>
      </c>
      <c r="Y1653" s="159" t="s">
        <v>5025</v>
      </c>
      <c r="Z1653" s="18" t="s">
        <v>5036</v>
      </c>
      <c r="AA1653" s="92">
        <v>85.0</v>
      </c>
      <c r="AB1653" s="18">
        <v>16.0</v>
      </c>
      <c r="AC1653" s="18">
        <v>69.0</v>
      </c>
      <c r="AD1653" s="14">
        <v>405836.0</v>
      </c>
      <c r="AE1653" s="14">
        <v>64319.0</v>
      </c>
      <c r="AF1653" s="14">
        <v>341517.0</v>
      </c>
      <c r="AG1653" s="22"/>
      <c r="AH1653" s="22"/>
      <c r="AI1653" s="22"/>
      <c r="AJ1653" s="22"/>
      <c r="AK1653" s="22"/>
      <c r="AL1653" s="22"/>
      <c r="AM1653" s="22"/>
      <c r="AN1653" s="22"/>
      <c r="AO1653" s="22"/>
      <c r="AP1653" s="22"/>
    </row>
    <row r="1654" hidden="1">
      <c r="A1654" s="148">
        <v>46169.0</v>
      </c>
      <c r="B1654" s="149">
        <v>0.75</v>
      </c>
      <c r="C1654" s="11" t="s">
        <v>32</v>
      </c>
      <c r="D1654" s="102" t="s">
        <v>33</v>
      </c>
      <c r="E1654" s="10" t="s">
        <v>71</v>
      </c>
      <c r="F1654" s="10" t="s">
        <v>4641</v>
      </c>
      <c r="G1654" s="11" t="s">
        <v>5037</v>
      </c>
      <c r="H1654" s="11" t="s">
        <v>4643</v>
      </c>
      <c r="I1654" s="10" t="s">
        <v>4644</v>
      </c>
      <c r="J1654" s="14">
        <v>3969.0</v>
      </c>
      <c r="K1654" s="14">
        <v>1875.0</v>
      </c>
      <c r="L1654" s="17">
        <v>0.4724</v>
      </c>
      <c r="M1654" s="150">
        <v>820.0</v>
      </c>
      <c r="N1654" s="136">
        <v>0.4373</v>
      </c>
      <c r="O1654" s="18">
        <v>170.0</v>
      </c>
      <c r="P1654" s="92">
        <v>149.0</v>
      </c>
      <c r="Q1654" s="137">
        <v>0.0795</v>
      </c>
      <c r="R1654" s="17">
        <v>0.1817</v>
      </c>
      <c r="S1654" s="18">
        <v>12.0</v>
      </c>
      <c r="T1654" s="18">
        <v>84.0</v>
      </c>
      <c r="U1654" s="151">
        <v>38790.0</v>
      </c>
      <c r="V1654" s="92" t="s">
        <v>335</v>
      </c>
      <c r="W1654" s="18" t="s">
        <v>76</v>
      </c>
      <c r="X1654" s="42" t="s">
        <v>4645</v>
      </c>
      <c r="Y1654" s="159" t="s">
        <v>5038</v>
      </c>
      <c r="Z1654" s="18" t="s">
        <v>5039</v>
      </c>
      <c r="AA1654" s="92">
        <v>15.0</v>
      </c>
      <c r="AB1654" s="18">
        <v>15.0</v>
      </c>
      <c r="AC1654" s="18"/>
      <c r="AD1654" s="172">
        <v>39463.0</v>
      </c>
      <c r="AE1654" s="14">
        <v>39463.0</v>
      </c>
      <c r="AF1654" s="14"/>
      <c r="AG1654" s="22"/>
      <c r="AH1654" s="22"/>
      <c r="AI1654" s="22"/>
      <c r="AJ1654" s="22"/>
      <c r="AK1654" s="22"/>
      <c r="AL1654" s="22"/>
      <c r="AM1654" s="22"/>
      <c r="AN1654" s="22"/>
      <c r="AO1654" s="22"/>
      <c r="AP1654" s="22"/>
    </row>
    <row r="1655" hidden="1">
      <c r="A1655" s="148">
        <v>46169.0</v>
      </c>
      <c r="B1655" s="149">
        <v>0.75</v>
      </c>
      <c r="C1655" s="11" t="s">
        <v>32</v>
      </c>
      <c r="D1655" s="102" t="s">
        <v>33</v>
      </c>
      <c r="E1655" s="10" t="s">
        <v>71</v>
      </c>
      <c r="F1655" s="10" t="s">
        <v>4641</v>
      </c>
      <c r="G1655" s="11" t="s">
        <v>5040</v>
      </c>
      <c r="H1655" s="11" t="s">
        <v>4649</v>
      </c>
      <c r="I1655" s="10" t="s">
        <v>4650</v>
      </c>
      <c r="J1655" s="14">
        <v>34005.0</v>
      </c>
      <c r="K1655" s="14">
        <v>13259.0</v>
      </c>
      <c r="L1655" s="17">
        <v>0.3899</v>
      </c>
      <c r="M1655" s="150">
        <v>5550.0</v>
      </c>
      <c r="N1655" s="136">
        <v>0.4186</v>
      </c>
      <c r="O1655" s="18">
        <v>696.0</v>
      </c>
      <c r="P1655" s="92">
        <v>615.0</v>
      </c>
      <c r="Q1655" s="137">
        <v>0.0464</v>
      </c>
      <c r="R1655" s="17">
        <v>0.1108</v>
      </c>
      <c r="S1655" s="18">
        <v>21.0</v>
      </c>
      <c r="T1655" s="18">
        <v>58.0</v>
      </c>
      <c r="U1655" s="151">
        <v>56723.0</v>
      </c>
      <c r="V1655" s="92" t="s">
        <v>335</v>
      </c>
      <c r="W1655" s="18" t="s">
        <v>76</v>
      </c>
      <c r="X1655" s="42" t="s">
        <v>82</v>
      </c>
      <c r="Y1655" s="159" t="s">
        <v>5038</v>
      </c>
      <c r="Z1655" s="18" t="s">
        <v>5041</v>
      </c>
      <c r="AA1655" s="92">
        <v>127.0</v>
      </c>
      <c r="AB1655" s="18">
        <v>127.0</v>
      </c>
      <c r="AC1655" s="18"/>
      <c r="AD1655" s="172">
        <v>335564.0</v>
      </c>
      <c r="AE1655" s="14">
        <v>335564.0</v>
      </c>
      <c r="AF1655" s="14"/>
      <c r="AG1655" s="22"/>
      <c r="AH1655" s="22"/>
      <c r="AI1655" s="22"/>
      <c r="AJ1655" s="22"/>
      <c r="AK1655" s="22"/>
      <c r="AL1655" s="22"/>
      <c r="AM1655" s="22"/>
      <c r="AN1655" s="22"/>
      <c r="AO1655" s="22"/>
      <c r="AP1655" s="22"/>
    </row>
    <row r="1656" hidden="1">
      <c r="A1656" s="148">
        <v>46169.0</v>
      </c>
      <c r="B1656" s="149">
        <v>0.75</v>
      </c>
      <c r="C1656" s="11" t="s">
        <v>32</v>
      </c>
      <c r="D1656" s="102" t="s">
        <v>33</v>
      </c>
      <c r="E1656" s="10" t="s">
        <v>71</v>
      </c>
      <c r="F1656" s="10" t="s">
        <v>4641</v>
      </c>
      <c r="G1656" s="11" t="s">
        <v>5042</v>
      </c>
      <c r="H1656" s="11" t="s">
        <v>2597</v>
      </c>
      <c r="I1656" s="10" t="s">
        <v>4653</v>
      </c>
      <c r="J1656" s="14">
        <v>6105.0</v>
      </c>
      <c r="K1656" s="14">
        <v>2453.0</v>
      </c>
      <c r="L1656" s="17">
        <v>0.4018</v>
      </c>
      <c r="M1656" s="150">
        <v>1009.0</v>
      </c>
      <c r="N1656" s="136">
        <v>0.4113</v>
      </c>
      <c r="O1656" s="18">
        <v>129.0</v>
      </c>
      <c r="P1656" s="92">
        <v>118.0</v>
      </c>
      <c r="Q1656" s="137">
        <v>0.0481</v>
      </c>
      <c r="R1656" s="17">
        <v>0.1169</v>
      </c>
      <c r="S1656" s="18">
        <v>7.0</v>
      </c>
      <c r="T1656" s="18">
        <v>17.0</v>
      </c>
      <c r="U1656" s="151">
        <v>18756.0</v>
      </c>
      <c r="V1656" s="92" t="s">
        <v>335</v>
      </c>
      <c r="W1656" s="18" t="s">
        <v>76</v>
      </c>
      <c r="X1656" s="42" t="s">
        <v>52</v>
      </c>
      <c r="Y1656" s="159" t="s">
        <v>5038</v>
      </c>
      <c r="Z1656" s="18" t="s">
        <v>5043</v>
      </c>
      <c r="AA1656" s="92">
        <v>27.0</v>
      </c>
      <c r="AB1656" s="18">
        <v>27.0</v>
      </c>
      <c r="AC1656" s="18"/>
      <c r="AD1656" s="172">
        <v>102259.0</v>
      </c>
      <c r="AE1656" s="14">
        <v>102259.0</v>
      </c>
      <c r="AF1656" s="14"/>
      <c r="AG1656" s="22"/>
      <c r="AH1656" s="22"/>
      <c r="AI1656" s="22"/>
      <c r="AJ1656" s="22"/>
      <c r="AK1656" s="22"/>
      <c r="AL1656" s="22"/>
      <c r="AM1656" s="22"/>
      <c r="AN1656" s="22"/>
      <c r="AO1656" s="22"/>
      <c r="AP1656" s="22"/>
    </row>
    <row r="1657" hidden="1">
      <c r="A1657" s="148">
        <v>46169.0</v>
      </c>
      <c r="B1657" s="149">
        <v>0.75</v>
      </c>
      <c r="C1657" s="11" t="s">
        <v>32</v>
      </c>
      <c r="D1657" s="102" t="s">
        <v>33</v>
      </c>
      <c r="E1657" s="10" t="s">
        <v>71</v>
      </c>
      <c r="F1657" s="10" t="s">
        <v>4641</v>
      </c>
      <c r="G1657" s="11" t="s">
        <v>5044</v>
      </c>
      <c r="H1657" s="11" t="s">
        <v>4656</v>
      </c>
      <c r="I1657" s="10" t="s">
        <v>4657</v>
      </c>
      <c r="J1657" s="14">
        <v>5128.0</v>
      </c>
      <c r="K1657" s="14">
        <v>2208.0</v>
      </c>
      <c r="L1657" s="17">
        <v>0.4306</v>
      </c>
      <c r="M1657" s="150">
        <v>911.0</v>
      </c>
      <c r="N1657" s="136">
        <v>0.4126</v>
      </c>
      <c r="O1657" s="18">
        <v>109.0</v>
      </c>
      <c r="P1657" s="92">
        <v>100.0</v>
      </c>
      <c r="Q1657" s="137">
        <v>0.0453</v>
      </c>
      <c r="R1657" s="17">
        <v>0.1098</v>
      </c>
      <c r="S1657" s="18">
        <v>3.0</v>
      </c>
      <c r="T1657" s="18">
        <v>4.0</v>
      </c>
      <c r="U1657" s="151">
        <v>3596.0</v>
      </c>
      <c r="V1657" s="92" t="s">
        <v>335</v>
      </c>
      <c r="W1657" s="18" t="s">
        <v>76</v>
      </c>
      <c r="X1657" s="42" t="s">
        <v>2594</v>
      </c>
      <c r="Y1657" s="159" t="s">
        <v>5038</v>
      </c>
      <c r="Z1657" s="18" t="s">
        <v>5045</v>
      </c>
      <c r="AA1657" s="92">
        <v>13.0</v>
      </c>
      <c r="AB1657" s="18">
        <v>13.0</v>
      </c>
      <c r="AC1657" s="18"/>
      <c r="AD1657" s="172">
        <v>22019.0</v>
      </c>
      <c r="AE1657" s="14">
        <v>22019.0</v>
      </c>
      <c r="AF1657" s="14"/>
      <c r="AG1657" s="22"/>
      <c r="AH1657" s="22"/>
      <c r="AI1657" s="22"/>
      <c r="AJ1657" s="22"/>
      <c r="AK1657" s="22"/>
      <c r="AL1657" s="22"/>
      <c r="AM1657" s="22"/>
      <c r="AN1657" s="22"/>
      <c r="AO1657" s="22"/>
      <c r="AP1657" s="22"/>
    </row>
    <row r="1658" hidden="1">
      <c r="A1658" s="148">
        <v>46170.0</v>
      </c>
      <c r="B1658" s="149">
        <v>0.7708333333333334</v>
      </c>
      <c r="C1658" s="11" t="s">
        <v>32</v>
      </c>
      <c r="D1658" s="102" t="s">
        <v>33</v>
      </c>
      <c r="E1658" s="10" t="s">
        <v>71</v>
      </c>
      <c r="F1658" s="10" t="s">
        <v>5046</v>
      </c>
      <c r="G1658" s="11" t="s">
        <v>5047</v>
      </c>
      <c r="H1658" s="11" t="s">
        <v>5048</v>
      </c>
      <c r="I1658" s="10" t="s">
        <v>5049</v>
      </c>
      <c r="J1658" s="14">
        <v>2009.0</v>
      </c>
      <c r="K1658" s="14">
        <v>902.0</v>
      </c>
      <c r="L1658" s="17">
        <v>0.449</v>
      </c>
      <c r="M1658" s="150">
        <v>458.0</v>
      </c>
      <c r="N1658" s="136">
        <v>0.5078</v>
      </c>
      <c r="O1658" s="18">
        <v>62.0</v>
      </c>
      <c r="P1658" s="92">
        <v>60.0</v>
      </c>
      <c r="Q1658" s="137">
        <v>0.0665</v>
      </c>
      <c r="R1658" s="17">
        <v>0.131</v>
      </c>
      <c r="S1658" s="18">
        <v>10.0</v>
      </c>
      <c r="T1658" s="18">
        <v>52.0</v>
      </c>
      <c r="U1658" s="151">
        <v>23479.0</v>
      </c>
      <c r="V1658" s="92" t="s">
        <v>335</v>
      </c>
      <c r="W1658" s="18" t="s">
        <v>76</v>
      </c>
      <c r="X1658" s="42" t="s">
        <v>2131</v>
      </c>
      <c r="Y1658" s="159" t="s">
        <v>5050</v>
      </c>
      <c r="Z1658" s="18" t="s">
        <v>5051</v>
      </c>
      <c r="AA1658" s="92">
        <v>28.0</v>
      </c>
      <c r="AB1658" s="18">
        <v>28.0</v>
      </c>
      <c r="AC1658" s="18"/>
      <c r="AD1658" s="172">
        <v>72308.0</v>
      </c>
      <c r="AE1658" s="14">
        <v>72308.0</v>
      </c>
      <c r="AF1658" s="14"/>
      <c r="AG1658" s="22"/>
      <c r="AH1658" s="22"/>
      <c r="AI1658" s="22"/>
      <c r="AJ1658" s="22"/>
      <c r="AK1658" s="22"/>
      <c r="AL1658" s="22"/>
      <c r="AM1658" s="22"/>
      <c r="AN1658" s="22"/>
      <c r="AO1658" s="22"/>
      <c r="AP1658" s="22"/>
    </row>
    <row r="1659" hidden="1">
      <c r="A1659" s="148">
        <v>46170.0</v>
      </c>
      <c r="B1659" s="149">
        <v>0.7708333333333334</v>
      </c>
      <c r="C1659" s="11" t="s">
        <v>32</v>
      </c>
      <c r="D1659" s="102" t="s">
        <v>33</v>
      </c>
      <c r="E1659" s="10" t="s">
        <v>71</v>
      </c>
      <c r="F1659" s="10" t="s">
        <v>5046</v>
      </c>
      <c r="G1659" s="11" t="s">
        <v>5052</v>
      </c>
      <c r="H1659" s="11" t="s">
        <v>5053</v>
      </c>
      <c r="I1659" s="10" t="s">
        <v>5054</v>
      </c>
      <c r="J1659" s="14">
        <v>39128.0</v>
      </c>
      <c r="K1659" s="14">
        <v>14491.0</v>
      </c>
      <c r="L1659" s="17">
        <v>0.3703</v>
      </c>
      <c r="M1659" s="150">
        <v>5895.0</v>
      </c>
      <c r="N1659" s="136">
        <v>0.4069</v>
      </c>
      <c r="O1659" s="18">
        <v>682.0</v>
      </c>
      <c r="P1659" s="92">
        <v>636.0</v>
      </c>
      <c r="Q1659" s="137">
        <v>0.0439</v>
      </c>
      <c r="R1659" s="17">
        <v>0.1079</v>
      </c>
      <c r="S1659" s="18">
        <v>10.0</v>
      </c>
      <c r="T1659" s="18">
        <v>23.0</v>
      </c>
      <c r="U1659" s="151">
        <v>22912.0</v>
      </c>
      <c r="V1659" s="92" t="s">
        <v>183</v>
      </c>
      <c r="W1659" s="18" t="s">
        <v>76</v>
      </c>
      <c r="X1659" s="42" t="s">
        <v>2286</v>
      </c>
      <c r="Y1659" s="159" t="s">
        <v>5050</v>
      </c>
      <c r="Z1659" s="18" t="s">
        <v>5055</v>
      </c>
      <c r="AA1659" s="92">
        <v>136.0</v>
      </c>
      <c r="AB1659" s="18">
        <v>53.0</v>
      </c>
      <c r="AC1659" s="18">
        <v>83.0</v>
      </c>
      <c r="AD1659" s="172">
        <v>507802.0</v>
      </c>
      <c r="AE1659" s="14">
        <v>147481.0</v>
      </c>
      <c r="AF1659" s="14">
        <v>360321.0</v>
      </c>
      <c r="AG1659" s="22"/>
      <c r="AH1659" s="22"/>
      <c r="AI1659" s="22"/>
      <c r="AJ1659" s="22"/>
      <c r="AK1659" s="22"/>
      <c r="AL1659" s="22"/>
      <c r="AM1659" s="22"/>
      <c r="AN1659" s="22"/>
      <c r="AO1659" s="22"/>
      <c r="AP1659" s="22"/>
    </row>
    <row r="1660" hidden="1">
      <c r="A1660" s="148">
        <v>46170.0</v>
      </c>
      <c r="B1660" s="149">
        <v>0.7708333333333334</v>
      </c>
      <c r="C1660" s="11" t="s">
        <v>32</v>
      </c>
      <c r="D1660" s="102" t="s">
        <v>33</v>
      </c>
      <c r="E1660" s="10" t="s">
        <v>71</v>
      </c>
      <c r="F1660" s="10" t="s">
        <v>5046</v>
      </c>
      <c r="G1660" s="11" t="s">
        <v>5056</v>
      </c>
      <c r="H1660" s="11" t="s">
        <v>5057</v>
      </c>
      <c r="I1660" s="10" t="s">
        <v>5058</v>
      </c>
      <c r="J1660" s="14">
        <v>106890.0</v>
      </c>
      <c r="K1660" s="14">
        <v>42007.0</v>
      </c>
      <c r="L1660" s="17">
        <v>0.393</v>
      </c>
      <c r="M1660" s="150">
        <v>15140.0</v>
      </c>
      <c r="N1660" s="136">
        <v>0.3604</v>
      </c>
      <c r="O1660" s="18">
        <v>1302.0</v>
      </c>
      <c r="P1660" s="92">
        <v>1226.0</v>
      </c>
      <c r="Q1660" s="137">
        <v>0.0292</v>
      </c>
      <c r="R1660" s="17">
        <v>0.081</v>
      </c>
      <c r="S1660" s="18">
        <v>19.0</v>
      </c>
      <c r="T1660" s="18">
        <v>47.0</v>
      </c>
      <c r="U1660" s="151">
        <v>62972.0</v>
      </c>
      <c r="V1660" s="92" t="s">
        <v>183</v>
      </c>
      <c r="W1660" s="18" t="s">
        <v>76</v>
      </c>
      <c r="X1660" s="42" t="s">
        <v>41</v>
      </c>
      <c r="Y1660" s="159" t="s">
        <v>5050</v>
      </c>
      <c r="Z1660" s="18" t="s">
        <v>5059</v>
      </c>
      <c r="AA1660" s="92">
        <v>322.0</v>
      </c>
      <c r="AB1660" s="18">
        <v>126.0</v>
      </c>
      <c r="AC1660" s="18">
        <v>196.0</v>
      </c>
      <c r="AD1660" s="172">
        <v>1198704.0</v>
      </c>
      <c r="AE1660" s="14">
        <v>399143.0</v>
      </c>
      <c r="AF1660" s="14">
        <v>799561.0</v>
      </c>
      <c r="AG1660" s="22"/>
      <c r="AH1660" s="22"/>
      <c r="AI1660" s="22"/>
      <c r="AJ1660" s="22"/>
      <c r="AK1660" s="22"/>
      <c r="AL1660" s="22"/>
      <c r="AM1660" s="22"/>
      <c r="AN1660" s="22"/>
      <c r="AO1660" s="22"/>
      <c r="AP1660" s="22"/>
    </row>
    <row r="1661" hidden="1">
      <c r="A1661" s="148">
        <v>46170.0</v>
      </c>
      <c r="B1661" s="149">
        <v>0.7708333333333334</v>
      </c>
      <c r="C1661" s="11" t="s">
        <v>32</v>
      </c>
      <c r="D1661" s="102" t="s">
        <v>33</v>
      </c>
      <c r="E1661" s="10" t="s">
        <v>71</v>
      </c>
      <c r="F1661" s="10" t="s">
        <v>5046</v>
      </c>
      <c r="G1661" s="11" t="s">
        <v>5060</v>
      </c>
      <c r="H1661" s="11" t="s">
        <v>5061</v>
      </c>
      <c r="I1661" s="10" t="s">
        <v>5062</v>
      </c>
      <c r="J1661" s="14">
        <v>10561.0</v>
      </c>
      <c r="K1661" s="14">
        <v>4407.0</v>
      </c>
      <c r="L1661" s="17">
        <v>0.4171</v>
      </c>
      <c r="M1661" s="150">
        <v>1773.0</v>
      </c>
      <c r="N1661" s="136">
        <v>0.4025</v>
      </c>
      <c r="O1661" s="18">
        <v>135.0</v>
      </c>
      <c r="P1661" s="92">
        <v>129.0</v>
      </c>
      <c r="Q1661" s="137">
        <v>0.0293</v>
      </c>
      <c r="R1661" s="17">
        <v>0.0728</v>
      </c>
      <c r="S1661" s="18">
        <v>2.0</v>
      </c>
      <c r="T1661" s="18">
        <v>6.0</v>
      </c>
      <c r="U1661" s="151">
        <v>5414.0</v>
      </c>
      <c r="V1661" s="92" t="s">
        <v>335</v>
      </c>
      <c r="W1661" s="18" t="s">
        <v>76</v>
      </c>
      <c r="X1661" s="42" t="s">
        <v>2542</v>
      </c>
      <c r="Y1661" s="159" t="s">
        <v>5050</v>
      </c>
      <c r="Z1661" s="18" t="s">
        <v>5063</v>
      </c>
      <c r="AA1661" s="92">
        <v>9.0</v>
      </c>
      <c r="AB1661" s="18">
        <v>9.0</v>
      </c>
      <c r="AC1661" s="18"/>
      <c r="AD1661" s="172">
        <v>15489.0</v>
      </c>
      <c r="AE1661" s="14">
        <v>15489.0</v>
      </c>
      <c r="AF1661" s="14"/>
      <c r="AG1661" s="22"/>
      <c r="AH1661" s="22"/>
      <c r="AI1661" s="22"/>
      <c r="AJ1661" s="22"/>
      <c r="AK1661" s="22"/>
      <c r="AL1661" s="22"/>
      <c r="AM1661" s="22"/>
      <c r="AN1661" s="22"/>
      <c r="AO1661" s="22"/>
      <c r="AP1661" s="22"/>
    </row>
    <row r="1662" hidden="1">
      <c r="A1662" s="148">
        <v>46170.0</v>
      </c>
      <c r="B1662" s="149">
        <v>0.7708333333333334</v>
      </c>
      <c r="C1662" s="11" t="s">
        <v>32</v>
      </c>
      <c r="D1662" s="102" t="s">
        <v>33</v>
      </c>
      <c r="E1662" s="10" t="s">
        <v>71</v>
      </c>
      <c r="F1662" s="10" t="s">
        <v>5046</v>
      </c>
      <c r="G1662" s="11" t="s">
        <v>5064</v>
      </c>
      <c r="H1662" s="11" t="s">
        <v>5065</v>
      </c>
      <c r="I1662" s="10" t="s">
        <v>5066</v>
      </c>
      <c r="J1662" s="14">
        <v>1853.0</v>
      </c>
      <c r="K1662" s="14">
        <v>750.0</v>
      </c>
      <c r="L1662" s="17">
        <v>0.4047</v>
      </c>
      <c r="M1662" s="150">
        <v>282.0</v>
      </c>
      <c r="N1662" s="136">
        <v>0.376</v>
      </c>
      <c r="O1662" s="18">
        <v>14.0</v>
      </c>
      <c r="P1662" s="92">
        <v>14.0</v>
      </c>
      <c r="Q1662" s="137">
        <v>0.0187</v>
      </c>
      <c r="R1662" s="17">
        <v>0.0496</v>
      </c>
      <c r="S1662" s="18">
        <v>1.0</v>
      </c>
      <c r="T1662" s="18">
        <v>3.0</v>
      </c>
      <c r="U1662" s="151">
        <v>2999.0</v>
      </c>
      <c r="V1662" s="92" t="s">
        <v>335</v>
      </c>
      <c r="W1662" s="18" t="s">
        <v>76</v>
      </c>
      <c r="X1662" s="42" t="s">
        <v>52</v>
      </c>
      <c r="Y1662" s="159" t="s">
        <v>5050</v>
      </c>
      <c r="Z1662" s="18" t="s">
        <v>5067</v>
      </c>
      <c r="AA1662" s="92">
        <v>5.0</v>
      </c>
      <c r="AB1662" s="18">
        <v>5.0</v>
      </c>
      <c r="AC1662" s="18"/>
      <c r="AD1662" s="172">
        <v>13494.0</v>
      </c>
      <c r="AE1662" s="14">
        <v>13494.0</v>
      </c>
      <c r="AF1662" s="14"/>
      <c r="AG1662" s="22"/>
      <c r="AH1662" s="22"/>
      <c r="AI1662" s="22"/>
      <c r="AJ1662" s="22"/>
      <c r="AK1662" s="22"/>
      <c r="AL1662" s="22"/>
      <c r="AM1662" s="22"/>
      <c r="AN1662" s="22"/>
      <c r="AO1662" s="22"/>
      <c r="AP1662" s="22"/>
    </row>
    <row r="1663" hidden="1">
      <c r="A1663" s="148">
        <v>46173.0</v>
      </c>
      <c r="B1663" s="149">
        <v>0.7708333333333334</v>
      </c>
      <c r="C1663" s="11" t="s">
        <v>32</v>
      </c>
      <c r="D1663" s="102" t="s">
        <v>33</v>
      </c>
      <c r="E1663" s="10" t="s">
        <v>71</v>
      </c>
      <c r="F1663" s="10" t="s">
        <v>5046</v>
      </c>
      <c r="G1663" s="11" t="s">
        <v>5068</v>
      </c>
      <c r="H1663" s="11" t="s">
        <v>5048</v>
      </c>
      <c r="I1663" s="10" t="s">
        <v>5049</v>
      </c>
      <c r="J1663" s="14">
        <v>2061.0</v>
      </c>
      <c r="K1663" s="14">
        <v>896.0</v>
      </c>
      <c r="L1663" s="17">
        <v>0.4347</v>
      </c>
      <c r="M1663" s="150">
        <v>308.0</v>
      </c>
      <c r="N1663" s="136">
        <v>0.3438</v>
      </c>
      <c r="O1663" s="18">
        <v>25.0</v>
      </c>
      <c r="P1663" s="92">
        <v>20.0</v>
      </c>
      <c r="Q1663" s="137">
        <v>0.0223</v>
      </c>
      <c r="R1663" s="17">
        <v>0.0649</v>
      </c>
      <c r="S1663" s="18">
        <v>0.0</v>
      </c>
      <c r="T1663" s="18">
        <v>6.0</v>
      </c>
      <c r="U1663" s="151">
        <v>0.0</v>
      </c>
      <c r="V1663" s="92" t="s">
        <v>335</v>
      </c>
      <c r="W1663" s="18" t="s">
        <v>76</v>
      </c>
      <c r="X1663" s="42" t="s">
        <v>2131</v>
      </c>
      <c r="Y1663" s="159" t="s">
        <v>5069</v>
      </c>
      <c r="Z1663" s="18" t="s">
        <v>5070</v>
      </c>
      <c r="AA1663" s="92">
        <v>5.0</v>
      </c>
      <c r="AB1663" s="18">
        <v>5.0</v>
      </c>
      <c r="AC1663" s="18"/>
      <c r="AD1663" s="172">
        <v>9680.0</v>
      </c>
      <c r="AE1663" s="14">
        <v>9680.0</v>
      </c>
      <c r="AF1663" s="14"/>
      <c r="AG1663" s="22"/>
      <c r="AH1663" s="22"/>
      <c r="AI1663" s="22"/>
      <c r="AJ1663" s="22"/>
      <c r="AK1663" s="22"/>
      <c r="AL1663" s="22"/>
      <c r="AM1663" s="22"/>
      <c r="AN1663" s="22"/>
      <c r="AO1663" s="22"/>
      <c r="AP1663" s="22"/>
    </row>
    <row r="1664" hidden="1">
      <c r="A1664" s="148">
        <v>46173.0</v>
      </c>
      <c r="B1664" s="149">
        <v>0.7708333333333334</v>
      </c>
      <c r="C1664" s="11" t="s">
        <v>32</v>
      </c>
      <c r="D1664" s="102" t="s">
        <v>33</v>
      </c>
      <c r="E1664" s="10" t="s">
        <v>71</v>
      </c>
      <c r="F1664" s="10" t="s">
        <v>5046</v>
      </c>
      <c r="G1664" s="11" t="s">
        <v>5071</v>
      </c>
      <c r="H1664" s="11" t="s">
        <v>5053</v>
      </c>
      <c r="I1664" s="10" t="s">
        <v>5054</v>
      </c>
      <c r="J1664" s="14">
        <v>39161.0</v>
      </c>
      <c r="K1664" s="14">
        <v>14293.0</v>
      </c>
      <c r="L1664" s="17">
        <v>0.3649</v>
      </c>
      <c r="M1664" s="150">
        <v>4549.0</v>
      </c>
      <c r="N1664" s="136">
        <v>0.3183</v>
      </c>
      <c r="O1664" s="18">
        <v>277.0</v>
      </c>
      <c r="P1664" s="92">
        <v>264.0</v>
      </c>
      <c r="Q1664" s="137">
        <v>0.0185</v>
      </c>
      <c r="R1664" s="17">
        <v>0.058</v>
      </c>
      <c r="S1664" s="18">
        <v>2.0</v>
      </c>
      <c r="T1664" s="18">
        <v>6.0</v>
      </c>
      <c r="U1664" s="151">
        <v>5303.0</v>
      </c>
      <c r="V1664" s="92" t="s">
        <v>183</v>
      </c>
      <c r="W1664" s="18" t="s">
        <v>76</v>
      </c>
      <c r="X1664" s="42" t="s">
        <v>2286</v>
      </c>
      <c r="Y1664" s="159" t="s">
        <v>5069</v>
      </c>
      <c r="Z1664" s="18" t="s">
        <v>5072</v>
      </c>
      <c r="AA1664" s="92">
        <v>98.0</v>
      </c>
      <c r="AB1664" s="18">
        <v>23.0</v>
      </c>
      <c r="AC1664" s="18">
        <v>75.0</v>
      </c>
      <c r="AD1664" s="172">
        <v>455677.0</v>
      </c>
      <c r="AE1664" s="14">
        <v>60824.0</v>
      </c>
      <c r="AF1664" s="14">
        <v>394853.0</v>
      </c>
      <c r="AG1664" s="22"/>
      <c r="AH1664" s="22"/>
      <c r="AI1664" s="22"/>
      <c r="AJ1664" s="22"/>
      <c r="AK1664" s="22"/>
      <c r="AL1664" s="22"/>
      <c r="AM1664" s="22"/>
      <c r="AN1664" s="22"/>
      <c r="AO1664" s="22"/>
      <c r="AP1664" s="22"/>
    </row>
    <row r="1665" hidden="1">
      <c r="A1665" s="148">
        <v>46173.0</v>
      </c>
      <c r="B1665" s="149">
        <v>0.7708333333333334</v>
      </c>
      <c r="C1665" s="11" t="s">
        <v>32</v>
      </c>
      <c r="D1665" s="102" t="s">
        <v>33</v>
      </c>
      <c r="E1665" s="10" t="s">
        <v>71</v>
      </c>
      <c r="F1665" s="10" t="s">
        <v>5046</v>
      </c>
      <c r="G1665" s="11" t="s">
        <v>5073</v>
      </c>
      <c r="H1665" s="11" t="s">
        <v>5057</v>
      </c>
      <c r="I1665" s="10" t="s">
        <v>5058</v>
      </c>
      <c r="J1665" s="14">
        <v>107239.0</v>
      </c>
      <c r="K1665" s="14">
        <v>39589.0</v>
      </c>
      <c r="L1665" s="17">
        <v>0.3691</v>
      </c>
      <c r="M1665" s="150">
        <v>11450.0</v>
      </c>
      <c r="N1665" s="136">
        <v>0.2893</v>
      </c>
      <c r="O1665" s="18">
        <v>540.0</v>
      </c>
      <c r="P1665" s="92">
        <v>522.0</v>
      </c>
      <c r="Q1665" s="137">
        <v>0.0132</v>
      </c>
      <c r="R1665" s="17">
        <v>0.0456</v>
      </c>
      <c r="S1665" s="18">
        <v>3.0</v>
      </c>
      <c r="T1665" s="18">
        <v>7.0</v>
      </c>
      <c r="U1665" s="151">
        <v>7861.0</v>
      </c>
      <c r="V1665" s="92" t="s">
        <v>183</v>
      </c>
      <c r="W1665" s="18" t="s">
        <v>76</v>
      </c>
      <c r="X1665" s="42" t="s">
        <v>41</v>
      </c>
      <c r="Y1665" s="159" t="s">
        <v>5069</v>
      </c>
      <c r="Z1665" s="18" t="s">
        <v>5074</v>
      </c>
      <c r="AA1665" s="92">
        <v>167.0</v>
      </c>
      <c r="AB1665" s="18">
        <v>38.0</v>
      </c>
      <c r="AC1665" s="18">
        <v>129.0</v>
      </c>
      <c r="AD1665" s="172">
        <v>738757.0</v>
      </c>
      <c r="AE1665" s="14">
        <v>156902.0</v>
      </c>
      <c r="AF1665" s="14">
        <v>581855.0</v>
      </c>
      <c r="AG1665" s="22"/>
      <c r="AH1665" s="22"/>
      <c r="AI1665" s="22"/>
      <c r="AJ1665" s="22"/>
      <c r="AK1665" s="22"/>
      <c r="AL1665" s="22"/>
      <c r="AM1665" s="22"/>
      <c r="AN1665" s="22"/>
      <c r="AO1665" s="22"/>
      <c r="AP1665" s="22"/>
    </row>
    <row r="1666" hidden="1">
      <c r="A1666" s="148">
        <v>46173.0</v>
      </c>
      <c r="B1666" s="149">
        <v>0.7708333333333334</v>
      </c>
      <c r="C1666" s="11" t="s">
        <v>32</v>
      </c>
      <c r="D1666" s="102" t="s">
        <v>33</v>
      </c>
      <c r="E1666" s="10" t="s">
        <v>71</v>
      </c>
      <c r="F1666" s="10" t="s">
        <v>5046</v>
      </c>
      <c r="G1666" s="11" t="s">
        <v>5075</v>
      </c>
      <c r="H1666" s="11" t="s">
        <v>5061</v>
      </c>
      <c r="I1666" s="10" t="s">
        <v>5062</v>
      </c>
      <c r="J1666" s="14">
        <v>10593.0</v>
      </c>
      <c r="K1666" s="14">
        <v>4587.0</v>
      </c>
      <c r="L1666" s="17">
        <v>0.433</v>
      </c>
      <c r="M1666" s="150">
        <v>1330.0</v>
      </c>
      <c r="N1666" s="136">
        <v>0.2899</v>
      </c>
      <c r="O1666" s="18">
        <v>60.0</v>
      </c>
      <c r="P1666" s="92">
        <v>57.0</v>
      </c>
      <c r="Q1666" s="137">
        <v>0.0124</v>
      </c>
      <c r="R1666" s="17">
        <v>0.0429</v>
      </c>
      <c r="S1666" s="18">
        <v>1.0</v>
      </c>
      <c r="T1666" s="18">
        <v>1.0</v>
      </c>
      <c r="U1666" s="151">
        <v>647.0</v>
      </c>
      <c r="V1666" s="92" t="s">
        <v>335</v>
      </c>
      <c r="W1666" s="18" t="s">
        <v>76</v>
      </c>
      <c r="X1666" s="42" t="s">
        <v>2542</v>
      </c>
      <c r="Y1666" s="159" t="s">
        <v>5069</v>
      </c>
      <c r="Z1666" s="18" t="s">
        <v>5076</v>
      </c>
      <c r="AA1666" s="92">
        <v>6.0</v>
      </c>
      <c r="AB1666" s="18">
        <v>6.0</v>
      </c>
      <c r="AC1666" s="18"/>
      <c r="AD1666" s="172">
        <v>5659.0</v>
      </c>
      <c r="AE1666" s="14">
        <v>5659.0</v>
      </c>
      <c r="AF1666" s="14"/>
      <c r="AG1666" s="22"/>
      <c r="AH1666" s="22"/>
      <c r="AI1666" s="22"/>
      <c r="AJ1666" s="22"/>
      <c r="AK1666" s="22"/>
      <c r="AL1666" s="22"/>
      <c r="AM1666" s="22"/>
      <c r="AN1666" s="22"/>
      <c r="AO1666" s="22"/>
      <c r="AP1666" s="22"/>
    </row>
    <row r="1667" hidden="1">
      <c r="A1667" s="148">
        <v>46173.0</v>
      </c>
      <c r="B1667" s="149">
        <v>0.7708333333333334</v>
      </c>
      <c r="C1667" s="11" t="s">
        <v>32</v>
      </c>
      <c r="D1667" s="102" t="s">
        <v>33</v>
      </c>
      <c r="E1667" s="10" t="s">
        <v>71</v>
      </c>
      <c r="F1667" s="10" t="s">
        <v>5046</v>
      </c>
      <c r="G1667" s="11" t="s">
        <v>5077</v>
      </c>
      <c r="H1667" s="11" t="s">
        <v>5065</v>
      </c>
      <c r="I1667" s="10" t="s">
        <v>5066</v>
      </c>
      <c r="J1667" s="14">
        <v>1950.0</v>
      </c>
      <c r="K1667" s="14">
        <v>768.0</v>
      </c>
      <c r="L1667" s="17">
        <v>0.3938</v>
      </c>
      <c r="M1667" s="150">
        <v>222.0</v>
      </c>
      <c r="N1667" s="136">
        <v>0.2891</v>
      </c>
      <c r="O1667" s="18">
        <v>13.0</v>
      </c>
      <c r="P1667" s="92">
        <v>12.0</v>
      </c>
      <c r="Q1667" s="137">
        <v>0.0156</v>
      </c>
      <c r="R1667" s="17">
        <v>0.0541</v>
      </c>
      <c r="S1667" s="18">
        <v>0.0</v>
      </c>
      <c r="T1667" s="18">
        <v>0.0</v>
      </c>
      <c r="U1667" s="151">
        <v>0.0</v>
      </c>
      <c r="V1667" s="92" t="s">
        <v>335</v>
      </c>
      <c r="W1667" s="18" t="s">
        <v>76</v>
      </c>
      <c r="X1667" s="42" t="s">
        <v>52</v>
      </c>
      <c r="Y1667" s="159" t="s">
        <v>5069</v>
      </c>
      <c r="Z1667" s="18" t="s">
        <v>5078</v>
      </c>
      <c r="AA1667" s="92">
        <v>1.0</v>
      </c>
      <c r="AB1667" s="18">
        <v>1.0</v>
      </c>
      <c r="AC1667" s="18"/>
      <c r="AD1667" s="172">
        <v>5996.0</v>
      </c>
      <c r="AE1667" s="14">
        <v>5996.0</v>
      </c>
      <c r="AF1667" s="14"/>
      <c r="AG1667" s="22"/>
      <c r="AH1667" s="22"/>
      <c r="AI1667" s="22"/>
      <c r="AJ1667" s="22"/>
      <c r="AK1667" s="22"/>
      <c r="AL1667" s="22"/>
      <c r="AM1667" s="22"/>
      <c r="AN1667" s="22"/>
      <c r="AO1667" s="22"/>
      <c r="AP1667" s="22"/>
    </row>
    <row r="1668" hidden="1">
      <c r="A1668" s="148">
        <v>46172.0</v>
      </c>
      <c r="B1668" s="149">
        <v>0.5</v>
      </c>
      <c r="C1668" s="11" t="s">
        <v>32</v>
      </c>
      <c r="D1668" s="102" t="s">
        <v>33</v>
      </c>
      <c r="E1668" s="10" t="s">
        <v>71</v>
      </c>
      <c r="F1668" s="10" t="s">
        <v>5079</v>
      </c>
      <c r="G1668" s="11" t="s">
        <v>5080</v>
      </c>
      <c r="H1668" s="11" t="s">
        <v>4280</v>
      </c>
      <c r="I1668" s="10" t="s">
        <v>4441</v>
      </c>
      <c r="J1668" s="14">
        <v>24094.0</v>
      </c>
      <c r="K1668" s="14">
        <v>8253.0</v>
      </c>
      <c r="L1668" s="17">
        <v>0.3425</v>
      </c>
      <c r="M1668" s="150">
        <v>3461.0</v>
      </c>
      <c r="N1668" s="136">
        <v>0.4194</v>
      </c>
      <c r="O1668" s="18">
        <v>186.0</v>
      </c>
      <c r="P1668" s="92">
        <v>176.0</v>
      </c>
      <c r="Q1668" s="137">
        <v>0.0213</v>
      </c>
      <c r="R1668" s="17">
        <v>0.0509</v>
      </c>
      <c r="S1668" s="18">
        <v>4.0</v>
      </c>
      <c r="T1668" s="18">
        <v>18.0</v>
      </c>
      <c r="U1668" s="151">
        <v>14749.0</v>
      </c>
      <c r="V1668" s="92" t="s">
        <v>335</v>
      </c>
      <c r="W1668" s="18" t="s">
        <v>76</v>
      </c>
      <c r="X1668" s="42" t="s">
        <v>4001</v>
      </c>
      <c r="Y1668" s="159" t="s">
        <v>5081</v>
      </c>
      <c r="Z1668" s="18" t="s">
        <v>5082</v>
      </c>
      <c r="AA1668" s="92">
        <v>47.0</v>
      </c>
      <c r="AB1668" s="18">
        <v>47.0</v>
      </c>
      <c r="AC1668" s="18"/>
      <c r="AD1668" s="172">
        <v>166466.0</v>
      </c>
      <c r="AE1668" s="14">
        <v>166466.0</v>
      </c>
      <c r="AF1668" s="14"/>
      <c r="AG1668" s="22"/>
      <c r="AH1668" s="22"/>
      <c r="AI1668" s="22"/>
      <c r="AJ1668" s="22"/>
      <c r="AK1668" s="22"/>
      <c r="AL1668" s="22"/>
      <c r="AM1668" s="22"/>
      <c r="AN1668" s="22"/>
      <c r="AO1668" s="22"/>
      <c r="AP1668" s="22"/>
    </row>
    <row r="1669" hidden="1">
      <c r="A1669" s="148">
        <v>46171.0</v>
      </c>
      <c r="B1669" s="149">
        <v>0.7916666666666666</v>
      </c>
      <c r="C1669" s="11" t="s">
        <v>32</v>
      </c>
      <c r="D1669" s="102" t="s">
        <v>33</v>
      </c>
      <c r="E1669" s="10" t="s">
        <v>71</v>
      </c>
      <c r="F1669" s="10" t="s">
        <v>5079</v>
      </c>
      <c r="G1669" s="11" t="s">
        <v>5083</v>
      </c>
      <c r="H1669" s="11" t="s">
        <v>4280</v>
      </c>
      <c r="I1669" s="10" t="s">
        <v>4441</v>
      </c>
      <c r="J1669" s="14">
        <v>24227.0</v>
      </c>
      <c r="K1669" s="14">
        <v>9817.0</v>
      </c>
      <c r="L1669" s="17">
        <v>0.4051</v>
      </c>
      <c r="M1669" s="150">
        <v>4271.0</v>
      </c>
      <c r="N1669" s="136">
        <v>0.435</v>
      </c>
      <c r="O1669" s="18">
        <v>203.0</v>
      </c>
      <c r="P1669" s="92">
        <v>188.0</v>
      </c>
      <c r="Q1669" s="137">
        <v>0.0192</v>
      </c>
      <c r="R1669" s="17">
        <v>0.044</v>
      </c>
      <c r="S1669" s="18">
        <v>5.0</v>
      </c>
      <c r="T1669" s="18">
        <v>29.0</v>
      </c>
      <c r="U1669" s="151">
        <v>17939.0</v>
      </c>
      <c r="V1669" s="92" t="s">
        <v>335</v>
      </c>
      <c r="W1669" s="18" t="s">
        <v>40</v>
      </c>
      <c r="X1669" s="42" t="s">
        <v>4001</v>
      </c>
      <c r="Y1669" s="159" t="s">
        <v>5084</v>
      </c>
      <c r="Z1669" s="18" t="s">
        <v>5085</v>
      </c>
      <c r="AA1669" s="92">
        <v>65.0</v>
      </c>
      <c r="AB1669" s="18">
        <v>65.0</v>
      </c>
      <c r="AC1669" s="18"/>
      <c r="AD1669" s="172">
        <v>222145.0</v>
      </c>
      <c r="AE1669" s="14">
        <v>222145.0</v>
      </c>
      <c r="AF1669" s="14"/>
      <c r="AG1669" s="22"/>
      <c r="AH1669" s="22"/>
      <c r="AI1669" s="22"/>
      <c r="AJ1669" s="22"/>
      <c r="AK1669" s="22"/>
      <c r="AL1669" s="22"/>
      <c r="AM1669" s="22"/>
      <c r="AN1669" s="22"/>
      <c r="AO1669" s="22"/>
      <c r="AP1669" s="22"/>
    </row>
    <row r="1670" hidden="1">
      <c r="A1670" s="148">
        <v>46171.0</v>
      </c>
      <c r="B1670" s="149">
        <v>0.7916666666666666</v>
      </c>
      <c r="C1670" s="11" t="s">
        <v>32</v>
      </c>
      <c r="D1670" s="102" t="s">
        <v>33</v>
      </c>
      <c r="E1670" s="10" t="s">
        <v>71</v>
      </c>
      <c r="F1670" s="10" t="s">
        <v>5079</v>
      </c>
      <c r="G1670" s="11" t="s">
        <v>5086</v>
      </c>
      <c r="H1670" s="11" t="s">
        <v>4284</v>
      </c>
      <c r="I1670" s="10" t="s">
        <v>4285</v>
      </c>
      <c r="J1670" s="14">
        <v>5618.0</v>
      </c>
      <c r="K1670" s="14">
        <v>2194.0</v>
      </c>
      <c r="L1670" s="17">
        <v>0.3908</v>
      </c>
      <c r="M1670" s="150">
        <v>1082.0</v>
      </c>
      <c r="N1670" s="136">
        <v>0.4932</v>
      </c>
      <c r="O1670" s="18">
        <v>54.0</v>
      </c>
      <c r="P1670" s="92">
        <v>52.0</v>
      </c>
      <c r="Q1670" s="137">
        <v>0.0237</v>
      </c>
      <c r="R1670" s="17">
        <v>0.0481</v>
      </c>
      <c r="S1670" s="18">
        <v>12.0</v>
      </c>
      <c r="T1670" s="18">
        <v>47.0</v>
      </c>
      <c r="U1670" s="151">
        <v>35182.0</v>
      </c>
      <c r="V1670" s="92" t="s">
        <v>335</v>
      </c>
      <c r="W1670" s="18" t="s">
        <v>40</v>
      </c>
      <c r="X1670" s="42" t="s">
        <v>4286</v>
      </c>
      <c r="Y1670" s="159" t="s">
        <v>5084</v>
      </c>
      <c r="Z1670" s="18" t="s">
        <v>5087</v>
      </c>
      <c r="AA1670" s="92">
        <v>26.0</v>
      </c>
      <c r="AB1670" s="18">
        <v>26.0</v>
      </c>
      <c r="AC1670" s="18"/>
      <c r="AD1670" s="172">
        <v>77984.0</v>
      </c>
      <c r="AE1670" s="14">
        <v>77984.0</v>
      </c>
      <c r="AF1670" s="14"/>
      <c r="AG1670" s="22"/>
      <c r="AH1670" s="22"/>
      <c r="AI1670" s="22"/>
      <c r="AJ1670" s="22"/>
      <c r="AK1670" s="22"/>
      <c r="AL1670" s="22"/>
      <c r="AM1670" s="22"/>
      <c r="AN1670" s="22"/>
      <c r="AO1670" s="22"/>
      <c r="AP1670" s="22"/>
    </row>
    <row r="1671" hidden="1">
      <c r="A1671" s="148">
        <v>46171.0</v>
      </c>
      <c r="B1671" s="149">
        <v>0.7916666666666666</v>
      </c>
      <c r="C1671" s="11" t="s">
        <v>32</v>
      </c>
      <c r="D1671" s="102" t="s">
        <v>33</v>
      </c>
      <c r="E1671" s="10" t="s">
        <v>71</v>
      </c>
      <c r="F1671" s="10" t="s">
        <v>5079</v>
      </c>
      <c r="G1671" s="11" t="s">
        <v>5088</v>
      </c>
      <c r="H1671" s="11" t="s">
        <v>4289</v>
      </c>
      <c r="I1671" s="10" t="s">
        <v>4290</v>
      </c>
      <c r="J1671" s="14">
        <v>33957.0</v>
      </c>
      <c r="K1671" s="14">
        <v>13172.0</v>
      </c>
      <c r="L1671" s="17">
        <v>0.3878</v>
      </c>
      <c r="M1671" s="150">
        <v>5475.0</v>
      </c>
      <c r="N1671" s="136">
        <v>0.4157</v>
      </c>
      <c r="O1671" s="18">
        <v>175.0</v>
      </c>
      <c r="P1671" s="92">
        <v>161.0</v>
      </c>
      <c r="Q1671" s="137">
        <v>0.0122</v>
      </c>
      <c r="R1671" s="17">
        <v>0.0294</v>
      </c>
      <c r="S1671" s="18">
        <v>5.0</v>
      </c>
      <c r="T1671" s="18">
        <v>10.0</v>
      </c>
      <c r="U1671" s="151">
        <v>13671.0</v>
      </c>
      <c r="V1671" s="92" t="s">
        <v>335</v>
      </c>
      <c r="W1671" s="18" t="s">
        <v>40</v>
      </c>
      <c r="X1671" s="42" t="s">
        <v>52</v>
      </c>
      <c r="Y1671" s="159" t="s">
        <v>5084</v>
      </c>
      <c r="Z1671" s="18" t="s">
        <v>5089</v>
      </c>
      <c r="AA1671" s="92">
        <v>48.0</v>
      </c>
      <c r="AB1671" s="18">
        <v>48.0</v>
      </c>
      <c r="AC1671" s="18"/>
      <c r="AD1671" s="14">
        <v>175341.0</v>
      </c>
      <c r="AE1671" s="14">
        <v>175341.0</v>
      </c>
      <c r="AF1671" s="14"/>
      <c r="AG1671" s="22"/>
      <c r="AH1671" s="22"/>
      <c r="AI1671" s="22"/>
      <c r="AJ1671" s="22"/>
      <c r="AK1671" s="22"/>
      <c r="AL1671" s="22"/>
      <c r="AM1671" s="22"/>
      <c r="AN1671" s="22"/>
      <c r="AO1671" s="22"/>
      <c r="AP1671" s="22"/>
    </row>
    <row r="1672" hidden="1">
      <c r="A1672" s="148">
        <v>46171.0</v>
      </c>
      <c r="B1672" s="149">
        <v>0.7916666666666666</v>
      </c>
      <c r="C1672" s="11" t="s">
        <v>32</v>
      </c>
      <c r="D1672" s="102" t="s">
        <v>33</v>
      </c>
      <c r="E1672" s="10" t="s">
        <v>71</v>
      </c>
      <c r="F1672" s="10" t="s">
        <v>5079</v>
      </c>
      <c r="G1672" s="11" t="s">
        <v>5090</v>
      </c>
      <c r="H1672" s="11" t="s">
        <v>2737</v>
      </c>
      <c r="I1672" s="10" t="s">
        <v>5091</v>
      </c>
      <c r="J1672" s="14">
        <v>14091.0</v>
      </c>
      <c r="K1672" s="14">
        <v>4920.0</v>
      </c>
      <c r="L1672" s="17">
        <v>0.3491</v>
      </c>
      <c r="M1672" s="150">
        <v>2127.0</v>
      </c>
      <c r="N1672" s="136">
        <v>0.4324</v>
      </c>
      <c r="O1672" s="18">
        <v>75.0</v>
      </c>
      <c r="P1672" s="92">
        <v>72.0</v>
      </c>
      <c r="Q1672" s="137">
        <v>0.0146</v>
      </c>
      <c r="R1672" s="17">
        <v>0.0339</v>
      </c>
      <c r="S1672" s="18">
        <v>1.0</v>
      </c>
      <c r="T1672" s="18">
        <v>3.0</v>
      </c>
      <c r="U1672" s="151">
        <v>1976.0</v>
      </c>
      <c r="V1672" s="92" t="s">
        <v>315</v>
      </c>
      <c r="W1672" s="18" t="s">
        <v>40</v>
      </c>
      <c r="X1672" s="42" t="s">
        <v>4001</v>
      </c>
      <c r="Y1672" s="159" t="s">
        <v>5084</v>
      </c>
      <c r="Z1672" s="18" t="s">
        <v>5092</v>
      </c>
      <c r="AA1672" s="92">
        <v>71.0</v>
      </c>
      <c r="AB1672" s="18"/>
      <c r="AC1672" s="18">
        <v>71.0</v>
      </c>
      <c r="AD1672" s="172">
        <v>276961.0</v>
      </c>
      <c r="AE1672" s="14"/>
      <c r="AF1672" s="14">
        <v>276961.0</v>
      </c>
      <c r="AG1672" s="22"/>
      <c r="AH1672" s="22"/>
      <c r="AI1672" s="22"/>
      <c r="AJ1672" s="22"/>
      <c r="AK1672" s="22"/>
      <c r="AL1672" s="22"/>
      <c r="AM1672" s="22"/>
      <c r="AN1672" s="22"/>
      <c r="AO1672" s="22"/>
      <c r="AP1672" s="22"/>
    </row>
    <row r="1673" hidden="1">
      <c r="A1673" s="148">
        <v>46171.0</v>
      </c>
      <c r="B1673" s="149">
        <v>0.7916666666666666</v>
      </c>
      <c r="C1673" s="11" t="s">
        <v>32</v>
      </c>
      <c r="D1673" s="102" t="s">
        <v>33</v>
      </c>
      <c r="E1673" s="10" t="s">
        <v>71</v>
      </c>
      <c r="F1673" s="10" t="s">
        <v>5079</v>
      </c>
      <c r="G1673" s="11" t="s">
        <v>5093</v>
      </c>
      <c r="H1673" s="11" t="s">
        <v>4330</v>
      </c>
      <c r="I1673" s="10" t="s">
        <v>4331</v>
      </c>
      <c r="J1673" s="14">
        <v>5964.0</v>
      </c>
      <c r="K1673" s="14">
        <v>1418.0</v>
      </c>
      <c r="L1673" s="17">
        <v>0.2378</v>
      </c>
      <c r="M1673" s="150">
        <v>607.0</v>
      </c>
      <c r="N1673" s="136">
        <v>0.4281</v>
      </c>
      <c r="O1673" s="18">
        <v>14.0</v>
      </c>
      <c r="P1673" s="92">
        <v>14.0</v>
      </c>
      <c r="Q1673" s="137">
        <v>0.0099</v>
      </c>
      <c r="R1673" s="17">
        <v>0.0231</v>
      </c>
      <c r="S1673" s="18">
        <v>0.0</v>
      </c>
      <c r="T1673" s="18">
        <v>0.0</v>
      </c>
      <c r="U1673" s="151">
        <v>0.0</v>
      </c>
      <c r="V1673" s="92" t="s">
        <v>315</v>
      </c>
      <c r="W1673" s="18" t="s">
        <v>40</v>
      </c>
      <c r="X1673" s="42" t="s">
        <v>4332</v>
      </c>
      <c r="Y1673" s="159" t="s">
        <v>5084</v>
      </c>
      <c r="Z1673" s="18" t="s">
        <v>5094</v>
      </c>
      <c r="AA1673" s="92">
        <v>3.0</v>
      </c>
      <c r="AB1673" s="18"/>
      <c r="AC1673" s="18">
        <v>3.0</v>
      </c>
      <c r="AD1673" s="14">
        <v>5597.0</v>
      </c>
      <c r="AE1673" s="14"/>
      <c r="AF1673" s="14">
        <v>5597.0</v>
      </c>
      <c r="AG1673" s="22"/>
      <c r="AH1673" s="22"/>
      <c r="AI1673" s="22"/>
      <c r="AJ1673" s="22"/>
      <c r="AK1673" s="22"/>
      <c r="AL1673" s="22"/>
      <c r="AM1673" s="22"/>
      <c r="AN1673" s="22"/>
      <c r="AO1673" s="22"/>
      <c r="AP1673" s="22"/>
    </row>
    <row r="1674" hidden="1">
      <c r="A1674" s="148">
        <v>46171.0</v>
      </c>
      <c r="B1674" s="149">
        <v>0.7916666666666666</v>
      </c>
      <c r="C1674" s="11" t="s">
        <v>32</v>
      </c>
      <c r="D1674" s="102" t="s">
        <v>33</v>
      </c>
      <c r="E1674" s="10" t="s">
        <v>71</v>
      </c>
      <c r="F1674" s="10" t="s">
        <v>5079</v>
      </c>
      <c r="G1674" s="11" t="s">
        <v>5095</v>
      </c>
      <c r="H1674" s="11" t="s">
        <v>2678</v>
      </c>
      <c r="I1674" s="10" t="s">
        <v>5096</v>
      </c>
      <c r="J1674" s="14">
        <v>12447.0</v>
      </c>
      <c r="K1674" s="14">
        <v>1642.0</v>
      </c>
      <c r="L1674" s="17">
        <v>0.132</v>
      </c>
      <c r="M1674" s="150">
        <v>654.0</v>
      </c>
      <c r="N1674" s="136">
        <v>0.3983</v>
      </c>
      <c r="O1674" s="18">
        <v>15.0</v>
      </c>
      <c r="P1674" s="92">
        <v>15.0</v>
      </c>
      <c r="Q1674" s="137">
        <v>0.0091</v>
      </c>
      <c r="R1674" s="17">
        <v>0.0229</v>
      </c>
      <c r="S1674" s="18">
        <v>0.0</v>
      </c>
      <c r="T1674" s="18">
        <v>2.0</v>
      </c>
      <c r="U1674" s="151">
        <v>0.0</v>
      </c>
      <c r="V1674" s="92" t="s">
        <v>315</v>
      </c>
      <c r="W1674" s="18" t="s">
        <v>40</v>
      </c>
      <c r="X1674" s="42" t="s">
        <v>52</v>
      </c>
      <c r="Y1674" s="159" t="s">
        <v>5084</v>
      </c>
      <c r="Z1674" s="18" t="s">
        <v>5097</v>
      </c>
      <c r="AA1674" s="92">
        <v>8.0</v>
      </c>
      <c r="AB1674" s="18"/>
      <c r="AC1674" s="18">
        <v>8.0</v>
      </c>
      <c r="AD1674" s="172">
        <v>39072.0</v>
      </c>
      <c r="AE1674" s="14"/>
      <c r="AF1674" s="14">
        <v>39072.0</v>
      </c>
      <c r="AG1674" s="22"/>
      <c r="AH1674" s="22"/>
      <c r="AI1674" s="22"/>
      <c r="AJ1674" s="22"/>
      <c r="AK1674" s="22"/>
      <c r="AL1674" s="22"/>
      <c r="AM1674" s="22"/>
      <c r="AN1674" s="22"/>
      <c r="AO1674" s="22"/>
      <c r="AP1674" s="22"/>
    </row>
    <row r="1675" hidden="1">
      <c r="A1675" s="148">
        <v>46171.0</v>
      </c>
      <c r="B1675" s="149">
        <v>0.7916666666666666</v>
      </c>
      <c r="C1675" s="11" t="s">
        <v>32</v>
      </c>
      <c r="D1675" s="102" t="s">
        <v>33</v>
      </c>
      <c r="E1675" s="10" t="s">
        <v>71</v>
      </c>
      <c r="F1675" s="10" t="s">
        <v>5079</v>
      </c>
      <c r="G1675" s="11" t="s">
        <v>5098</v>
      </c>
      <c r="H1675" s="11" t="s">
        <v>2666</v>
      </c>
      <c r="I1675" s="10" t="s">
        <v>5099</v>
      </c>
      <c r="J1675" s="14">
        <v>53796.0</v>
      </c>
      <c r="K1675" s="14">
        <v>9147.0</v>
      </c>
      <c r="L1675" s="17">
        <v>0.17</v>
      </c>
      <c r="M1675" s="150">
        <v>3307.0</v>
      </c>
      <c r="N1675" s="136">
        <v>0.3615</v>
      </c>
      <c r="O1675" s="18">
        <v>87.0</v>
      </c>
      <c r="P1675" s="92">
        <v>84.0</v>
      </c>
      <c r="Q1675" s="137">
        <v>0.0092</v>
      </c>
      <c r="R1675" s="17">
        <v>0.0254</v>
      </c>
      <c r="S1675" s="18">
        <v>0.0</v>
      </c>
      <c r="T1675" s="18">
        <v>1.0</v>
      </c>
      <c r="U1675" s="151">
        <v>0.0</v>
      </c>
      <c r="V1675" s="92" t="s">
        <v>315</v>
      </c>
      <c r="W1675" s="18" t="s">
        <v>40</v>
      </c>
      <c r="X1675" s="42" t="s">
        <v>5100</v>
      </c>
      <c r="Y1675" s="159" t="s">
        <v>5084</v>
      </c>
      <c r="Z1675" s="18" t="s">
        <v>5101</v>
      </c>
      <c r="AA1675" s="18">
        <v>43.0</v>
      </c>
      <c r="AB1675" s="18"/>
      <c r="AC1675" s="18">
        <v>43.0</v>
      </c>
      <c r="AD1675" s="172">
        <v>142617.0</v>
      </c>
      <c r="AE1675" s="14"/>
      <c r="AF1675" s="14">
        <v>142617.0</v>
      </c>
      <c r="AG1675" s="22"/>
      <c r="AH1675" s="22"/>
      <c r="AI1675" s="22"/>
      <c r="AJ1675" s="22"/>
      <c r="AK1675" s="22"/>
      <c r="AL1675" s="22"/>
      <c r="AM1675" s="22"/>
      <c r="AN1675" s="22"/>
      <c r="AO1675" s="22"/>
      <c r="AP1675" s="22"/>
    </row>
    <row r="1676" hidden="1">
      <c r="A1676" s="148">
        <v>46171.0</v>
      </c>
      <c r="B1676" s="149">
        <v>0.7916666666666666</v>
      </c>
      <c r="C1676" s="11" t="s">
        <v>32</v>
      </c>
      <c r="D1676" s="102" t="s">
        <v>33</v>
      </c>
      <c r="E1676" s="10" t="s">
        <v>71</v>
      </c>
      <c r="F1676" s="10" t="s">
        <v>5079</v>
      </c>
      <c r="G1676" s="11" t="s">
        <v>5102</v>
      </c>
      <c r="H1676" s="11" t="s">
        <v>4339</v>
      </c>
      <c r="I1676" s="10" t="s">
        <v>4340</v>
      </c>
      <c r="J1676" s="14">
        <v>23202.0</v>
      </c>
      <c r="K1676" s="14">
        <v>3655.0</v>
      </c>
      <c r="L1676" s="17">
        <v>0.1575</v>
      </c>
      <c r="M1676" s="150">
        <v>1504.0</v>
      </c>
      <c r="N1676" s="136">
        <v>0.4115</v>
      </c>
      <c r="O1676" s="18">
        <v>66.0</v>
      </c>
      <c r="P1676" s="92">
        <v>63.0</v>
      </c>
      <c r="Q1676" s="137">
        <v>0.0172</v>
      </c>
      <c r="R1676" s="17">
        <v>0.0419</v>
      </c>
      <c r="S1676" s="18">
        <v>1.0</v>
      </c>
      <c r="T1676" s="18">
        <v>3.0</v>
      </c>
      <c r="U1676" s="151">
        <v>8590.0</v>
      </c>
      <c r="V1676" s="92" t="s">
        <v>315</v>
      </c>
      <c r="W1676" s="18" t="s">
        <v>40</v>
      </c>
      <c r="X1676" s="42" t="s">
        <v>2552</v>
      </c>
      <c r="Y1676" s="159" t="s">
        <v>5084</v>
      </c>
      <c r="Z1676" s="18" t="s">
        <v>5103</v>
      </c>
      <c r="AA1676" s="92">
        <v>16.0</v>
      </c>
      <c r="AB1676" s="18"/>
      <c r="AC1676" s="18">
        <v>16.0</v>
      </c>
      <c r="AD1676" s="172">
        <v>47775.0</v>
      </c>
      <c r="AE1676" s="14"/>
      <c r="AF1676" s="14">
        <v>47775.0</v>
      </c>
      <c r="AG1676" s="22"/>
      <c r="AH1676" s="22"/>
      <c r="AI1676" s="22"/>
      <c r="AJ1676" s="22"/>
      <c r="AK1676" s="22"/>
      <c r="AL1676" s="22"/>
      <c r="AM1676" s="22"/>
      <c r="AN1676" s="22"/>
      <c r="AO1676" s="22"/>
      <c r="AP1676" s="22"/>
    </row>
    <row r="1677" hidden="1">
      <c r="A1677" s="148">
        <v>46172.0</v>
      </c>
      <c r="B1677" s="149">
        <v>0.5</v>
      </c>
      <c r="C1677" s="11" t="s">
        <v>32</v>
      </c>
      <c r="D1677" s="102" t="s">
        <v>33</v>
      </c>
      <c r="E1677" s="10" t="s">
        <v>71</v>
      </c>
      <c r="F1677" s="10" t="s">
        <v>5079</v>
      </c>
      <c r="G1677" s="11" t="s">
        <v>5104</v>
      </c>
      <c r="H1677" s="11" t="s">
        <v>4284</v>
      </c>
      <c r="I1677" s="10" t="s">
        <v>4285</v>
      </c>
      <c r="J1677" s="14">
        <v>5839.0</v>
      </c>
      <c r="K1677" s="14">
        <v>2385.0</v>
      </c>
      <c r="L1677" s="17">
        <v>0.4085</v>
      </c>
      <c r="M1677" s="150">
        <v>1027.0</v>
      </c>
      <c r="N1677" s="136">
        <v>0.4306</v>
      </c>
      <c r="O1677" s="18">
        <v>88.0</v>
      </c>
      <c r="P1677" s="92">
        <v>83.0</v>
      </c>
      <c r="Q1677" s="137">
        <v>0.0348</v>
      </c>
      <c r="R1677" s="17">
        <v>0.0808</v>
      </c>
      <c r="S1677" s="18">
        <v>11.0</v>
      </c>
      <c r="T1677" s="18">
        <v>42.0</v>
      </c>
      <c r="U1677" s="151">
        <v>32127.0</v>
      </c>
      <c r="V1677" s="92" t="s">
        <v>335</v>
      </c>
      <c r="W1677" s="18" t="s">
        <v>76</v>
      </c>
      <c r="X1677" s="42" t="s">
        <v>4286</v>
      </c>
      <c r="Y1677" s="159" t="s">
        <v>5081</v>
      </c>
      <c r="Z1677" s="18" t="s">
        <v>5105</v>
      </c>
      <c r="AA1677" s="92">
        <v>11.0</v>
      </c>
      <c r="AB1677" s="18">
        <v>11.0</v>
      </c>
      <c r="AC1677" s="18"/>
      <c r="AD1677" s="172">
        <v>65290.0</v>
      </c>
      <c r="AE1677" s="14">
        <v>65290.0</v>
      </c>
      <c r="AF1677" s="14"/>
      <c r="AG1677" s="22"/>
      <c r="AH1677" s="22"/>
      <c r="AI1677" s="22"/>
      <c r="AJ1677" s="22"/>
      <c r="AK1677" s="22"/>
      <c r="AL1677" s="22"/>
      <c r="AM1677" s="22"/>
      <c r="AN1677" s="22"/>
      <c r="AO1677" s="22"/>
      <c r="AP1677" s="22"/>
    </row>
    <row r="1678" hidden="1">
      <c r="A1678" s="148">
        <v>46172.0</v>
      </c>
      <c r="B1678" s="149">
        <v>0.5</v>
      </c>
      <c r="C1678" s="11" t="s">
        <v>32</v>
      </c>
      <c r="D1678" s="102" t="s">
        <v>33</v>
      </c>
      <c r="E1678" s="10" t="s">
        <v>71</v>
      </c>
      <c r="F1678" s="10" t="s">
        <v>5079</v>
      </c>
      <c r="G1678" s="11" t="s">
        <v>5106</v>
      </c>
      <c r="H1678" s="11" t="s">
        <v>4289</v>
      </c>
      <c r="I1678" s="10" t="s">
        <v>4290</v>
      </c>
      <c r="J1678" s="14">
        <v>34521.0</v>
      </c>
      <c r="K1678" s="14">
        <v>13592.0</v>
      </c>
      <c r="L1678" s="17">
        <v>0.3937</v>
      </c>
      <c r="M1678" s="150">
        <v>5106.0</v>
      </c>
      <c r="N1678" s="136">
        <v>0.3755</v>
      </c>
      <c r="O1678" s="18">
        <v>302.0</v>
      </c>
      <c r="P1678" s="92">
        <v>280.0</v>
      </c>
      <c r="Q1678" s="137">
        <v>0.0206</v>
      </c>
      <c r="R1678" s="17">
        <v>0.0549</v>
      </c>
      <c r="S1678" s="18">
        <v>1.0</v>
      </c>
      <c r="T1678" s="18">
        <v>3.0</v>
      </c>
      <c r="U1678" s="151">
        <v>2293.0</v>
      </c>
      <c r="V1678" s="92" t="s">
        <v>335</v>
      </c>
      <c r="W1678" s="18" t="s">
        <v>76</v>
      </c>
      <c r="X1678" s="42" t="s">
        <v>52</v>
      </c>
      <c r="Y1678" s="159" t="s">
        <v>5081</v>
      </c>
      <c r="Z1678" s="18" t="s">
        <v>5107</v>
      </c>
      <c r="AA1678" s="92">
        <v>32.0</v>
      </c>
      <c r="AB1678" s="18">
        <v>32.0</v>
      </c>
      <c r="AC1678" s="18"/>
      <c r="AD1678" s="172">
        <v>108117.0</v>
      </c>
      <c r="AE1678" s="14">
        <v>108117.0</v>
      </c>
      <c r="AF1678" s="14"/>
      <c r="AG1678" s="22"/>
      <c r="AH1678" s="22"/>
      <c r="AI1678" s="22"/>
      <c r="AJ1678" s="22"/>
      <c r="AK1678" s="22"/>
      <c r="AL1678" s="22"/>
      <c r="AM1678" s="22"/>
      <c r="AN1678" s="22"/>
      <c r="AO1678" s="22"/>
      <c r="AP1678" s="22"/>
    </row>
    <row r="1679" hidden="1">
      <c r="A1679" s="148">
        <v>46172.0</v>
      </c>
      <c r="B1679" s="149">
        <v>0.5</v>
      </c>
      <c r="C1679" s="11" t="s">
        <v>32</v>
      </c>
      <c r="D1679" s="102" t="s">
        <v>33</v>
      </c>
      <c r="E1679" s="10" t="s">
        <v>71</v>
      </c>
      <c r="F1679" s="10" t="s">
        <v>5079</v>
      </c>
      <c r="G1679" s="11" t="s">
        <v>5108</v>
      </c>
      <c r="H1679" s="11" t="s">
        <v>2737</v>
      </c>
      <c r="I1679" s="10" t="s">
        <v>5091</v>
      </c>
      <c r="J1679" s="14">
        <v>14126.0</v>
      </c>
      <c r="K1679" s="14">
        <v>4207.0</v>
      </c>
      <c r="L1679" s="17">
        <v>0.2977</v>
      </c>
      <c r="M1679" s="150">
        <v>1746.0</v>
      </c>
      <c r="N1679" s="136">
        <v>0.4152</v>
      </c>
      <c r="O1679" s="18">
        <v>114.0</v>
      </c>
      <c r="P1679" s="92">
        <v>109.0</v>
      </c>
      <c r="Q1679" s="137">
        <v>0.0259</v>
      </c>
      <c r="R1679" s="17">
        <v>0.0624</v>
      </c>
      <c r="S1679" s="18">
        <v>0.0</v>
      </c>
      <c r="T1679" s="18">
        <v>1.0</v>
      </c>
      <c r="U1679" s="151">
        <v>0.0</v>
      </c>
      <c r="V1679" s="92" t="s">
        <v>315</v>
      </c>
      <c r="W1679" s="18" t="s">
        <v>76</v>
      </c>
      <c r="X1679" s="42" t="s">
        <v>4001</v>
      </c>
      <c r="Y1679" s="159" t="s">
        <v>5081</v>
      </c>
      <c r="Z1679" s="18" t="s">
        <v>5109</v>
      </c>
      <c r="AA1679" s="92">
        <v>63.0</v>
      </c>
      <c r="AB1679" s="18"/>
      <c r="AC1679" s="18">
        <v>63.0</v>
      </c>
      <c r="AD1679" s="172">
        <v>277748.0</v>
      </c>
      <c r="AE1679" s="14"/>
      <c r="AF1679" s="14">
        <v>277748.0</v>
      </c>
      <c r="AG1679" s="22"/>
      <c r="AH1679" s="22"/>
      <c r="AI1679" s="22"/>
      <c r="AJ1679" s="22"/>
      <c r="AK1679" s="22"/>
      <c r="AL1679" s="22"/>
      <c r="AM1679" s="22"/>
      <c r="AN1679" s="22"/>
      <c r="AO1679" s="22"/>
      <c r="AP1679" s="22"/>
    </row>
    <row r="1680" hidden="1">
      <c r="A1680" s="148">
        <v>46172.0</v>
      </c>
      <c r="B1680" s="149">
        <v>0.5</v>
      </c>
      <c r="C1680" s="11" t="s">
        <v>32</v>
      </c>
      <c r="D1680" s="102" t="s">
        <v>33</v>
      </c>
      <c r="E1680" s="10" t="s">
        <v>71</v>
      </c>
      <c r="F1680" s="10" t="s">
        <v>5079</v>
      </c>
      <c r="G1680" s="11" t="s">
        <v>5110</v>
      </c>
      <c r="H1680" s="11" t="s">
        <v>4330</v>
      </c>
      <c r="I1680" s="10" t="s">
        <v>4331</v>
      </c>
      <c r="J1680" s="14">
        <v>6674.0</v>
      </c>
      <c r="K1680" s="14">
        <v>1272.0</v>
      </c>
      <c r="L1680" s="17">
        <v>0.1906</v>
      </c>
      <c r="M1680" s="150">
        <v>514.0</v>
      </c>
      <c r="N1680" s="136">
        <v>0.4041</v>
      </c>
      <c r="O1680" s="18">
        <v>43.0</v>
      </c>
      <c r="P1680" s="92">
        <v>40.0</v>
      </c>
      <c r="Q1680" s="137">
        <v>0.0314</v>
      </c>
      <c r="R1680" s="17">
        <v>0.0778</v>
      </c>
      <c r="S1680" s="18">
        <v>0.0</v>
      </c>
      <c r="T1680" s="18">
        <v>0.0</v>
      </c>
      <c r="U1680" s="151">
        <v>0.0</v>
      </c>
      <c r="V1680" s="92" t="s">
        <v>315</v>
      </c>
      <c r="W1680" s="18" t="s">
        <v>76</v>
      </c>
      <c r="X1680" s="42" t="s">
        <v>4332</v>
      </c>
      <c r="Y1680" s="159" t="s">
        <v>5081</v>
      </c>
      <c r="Z1680" s="18" t="s">
        <v>5111</v>
      </c>
      <c r="AA1680" s="92">
        <v>4.0</v>
      </c>
      <c r="AB1680" s="18"/>
      <c r="AC1680" s="18">
        <v>4.0</v>
      </c>
      <c r="AD1680" s="172">
        <v>11996.0</v>
      </c>
      <c r="AE1680" s="14"/>
      <c r="AF1680" s="14">
        <v>11996.0</v>
      </c>
      <c r="AG1680" s="22"/>
      <c r="AH1680" s="22"/>
      <c r="AI1680" s="22"/>
      <c r="AJ1680" s="22"/>
      <c r="AK1680" s="22"/>
      <c r="AL1680" s="22"/>
      <c r="AM1680" s="22"/>
      <c r="AN1680" s="22"/>
      <c r="AO1680" s="22"/>
      <c r="AP1680" s="22"/>
    </row>
    <row r="1681" hidden="1">
      <c r="A1681" s="148">
        <v>46172.0</v>
      </c>
      <c r="B1681" s="149">
        <v>0.5</v>
      </c>
      <c r="C1681" s="11" t="s">
        <v>32</v>
      </c>
      <c r="D1681" s="102" t="s">
        <v>33</v>
      </c>
      <c r="E1681" s="10" t="s">
        <v>71</v>
      </c>
      <c r="F1681" s="10" t="s">
        <v>5079</v>
      </c>
      <c r="G1681" s="11" t="s">
        <v>5112</v>
      </c>
      <c r="H1681" s="11" t="s">
        <v>2678</v>
      </c>
      <c r="I1681" s="10" t="s">
        <v>5096</v>
      </c>
      <c r="J1681" s="14">
        <v>14167.0</v>
      </c>
      <c r="K1681" s="14">
        <v>2264.0</v>
      </c>
      <c r="L1681" s="17">
        <v>0.1597</v>
      </c>
      <c r="M1681" s="150">
        <v>838.0</v>
      </c>
      <c r="N1681" s="136">
        <v>0.3703</v>
      </c>
      <c r="O1681" s="18">
        <v>55.0</v>
      </c>
      <c r="P1681" s="92">
        <v>50.0</v>
      </c>
      <c r="Q1681" s="137">
        <v>0.0221</v>
      </c>
      <c r="R1681" s="17">
        <v>0.0597</v>
      </c>
      <c r="S1681" s="18">
        <v>0.0</v>
      </c>
      <c r="T1681" s="18">
        <v>0.0</v>
      </c>
      <c r="U1681" s="151">
        <v>0.0</v>
      </c>
      <c r="V1681" s="92" t="s">
        <v>315</v>
      </c>
      <c r="W1681" s="18" t="s">
        <v>76</v>
      </c>
      <c r="X1681" s="42" t="s">
        <v>52</v>
      </c>
      <c r="Y1681" s="159" t="s">
        <v>5081</v>
      </c>
      <c r="Z1681" s="18" t="s">
        <v>5113</v>
      </c>
      <c r="AA1681" s="92">
        <v>7.0</v>
      </c>
      <c r="AB1681" s="18"/>
      <c r="AC1681" s="18">
        <v>7.0</v>
      </c>
      <c r="AD1681" s="172">
        <v>40327.0</v>
      </c>
      <c r="AE1681" s="14"/>
      <c r="AF1681" s="14">
        <v>40327.0</v>
      </c>
      <c r="AG1681" s="22"/>
      <c r="AH1681" s="22"/>
      <c r="AI1681" s="22"/>
      <c r="AJ1681" s="22"/>
      <c r="AK1681" s="22"/>
      <c r="AL1681" s="22"/>
      <c r="AM1681" s="22"/>
      <c r="AN1681" s="22"/>
      <c r="AO1681" s="22"/>
      <c r="AP1681" s="22"/>
    </row>
    <row r="1682" hidden="1">
      <c r="A1682" s="148">
        <v>46172.0</v>
      </c>
      <c r="B1682" s="149">
        <v>0.5</v>
      </c>
      <c r="C1682" s="11" t="s">
        <v>32</v>
      </c>
      <c r="D1682" s="102" t="s">
        <v>33</v>
      </c>
      <c r="E1682" s="10" t="s">
        <v>71</v>
      </c>
      <c r="F1682" s="10" t="s">
        <v>5079</v>
      </c>
      <c r="G1682" s="11" t="s">
        <v>5114</v>
      </c>
      <c r="H1682" s="11" t="s">
        <v>2666</v>
      </c>
      <c r="I1682" s="10" t="s">
        <v>5099</v>
      </c>
      <c r="J1682" s="14">
        <v>71871.0</v>
      </c>
      <c r="K1682" s="14">
        <v>11403.0</v>
      </c>
      <c r="L1682" s="17">
        <v>0.1587</v>
      </c>
      <c r="M1682" s="150">
        <v>3990.0</v>
      </c>
      <c r="N1682" s="136">
        <v>0.3498</v>
      </c>
      <c r="O1682" s="18">
        <v>218.0</v>
      </c>
      <c r="P1682" s="92">
        <v>205.0</v>
      </c>
      <c r="Q1682" s="137">
        <v>0.018</v>
      </c>
      <c r="R1682" s="17">
        <v>0.0514</v>
      </c>
      <c r="S1682" s="18">
        <v>2.0</v>
      </c>
      <c r="T1682" s="18">
        <v>2.0</v>
      </c>
      <c r="U1682" s="151">
        <v>10256.0</v>
      </c>
      <c r="V1682" s="92" t="s">
        <v>315</v>
      </c>
      <c r="W1682" s="18" t="s">
        <v>76</v>
      </c>
      <c r="X1682" s="42" t="s">
        <v>5100</v>
      </c>
      <c r="Y1682" s="159" t="s">
        <v>5081</v>
      </c>
      <c r="Z1682" s="18" t="s">
        <v>5115</v>
      </c>
      <c r="AA1682" s="92">
        <v>47.0</v>
      </c>
      <c r="AB1682" s="18"/>
      <c r="AC1682" s="18">
        <v>47.0</v>
      </c>
      <c r="AD1682" s="172">
        <v>207554.0</v>
      </c>
      <c r="AE1682" s="14"/>
      <c r="AF1682" s="14">
        <v>207554.0</v>
      </c>
      <c r="AG1682" s="22"/>
      <c r="AH1682" s="22"/>
      <c r="AI1682" s="22"/>
      <c r="AJ1682" s="22"/>
      <c r="AK1682" s="22"/>
      <c r="AL1682" s="22"/>
      <c r="AM1682" s="22"/>
      <c r="AN1682" s="22"/>
      <c r="AO1682" s="22"/>
      <c r="AP1682" s="22"/>
    </row>
    <row r="1683" hidden="1">
      <c r="A1683" s="148">
        <v>46172.0</v>
      </c>
      <c r="B1683" s="149">
        <v>0.5</v>
      </c>
      <c r="C1683" s="11" t="s">
        <v>32</v>
      </c>
      <c r="D1683" s="102" t="s">
        <v>33</v>
      </c>
      <c r="E1683" s="10" t="s">
        <v>71</v>
      </c>
      <c r="F1683" s="10" t="s">
        <v>5079</v>
      </c>
      <c r="G1683" s="11" t="s">
        <v>5116</v>
      </c>
      <c r="H1683" s="11" t="s">
        <v>4339</v>
      </c>
      <c r="I1683" s="10" t="s">
        <v>4340</v>
      </c>
      <c r="J1683" s="14">
        <v>12919.0</v>
      </c>
      <c r="K1683" s="14">
        <v>2663.0</v>
      </c>
      <c r="L1683" s="17">
        <v>0.2061</v>
      </c>
      <c r="M1683" s="150">
        <v>992.0</v>
      </c>
      <c r="N1683" s="136">
        <v>0.3725</v>
      </c>
      <c r="O1683" s="18">
        <v>88.0</v>
      </c>
      <c r="P1683" s="92">
        <v>82.0</v>
      </c>
      <c r="Q1683" s="137">
        <v>0.0308</v>
      </c>
      <c r="R1683" s="17">
        <v>0.0827</v>
      </c>
      <c r="S1683" s="18">
        <v>0.0</v>
      </c>
      <c r="T1683" s="18">
        <v>0.0</v>
      </c>
      <c r="U1683" s="151">
        <v>0.0</v>
      </c>
      <c r="V1683" s="92" t="s">
        <v>315</v>
      </c>
      <c r="W1683" s="18" t="s">
        <v>76</v>
      </c>
      <c r="X1683" s="42" t="s">
        <v>2552</v>
      </c>
      <c r="Y1683" s="159" t="s">
        <v>5081</v>
      </c>
      <c r="Z1683" s="18" t="s">
        <v>5117</v>
      </c>
      <c r="AA1683" s="92">
        <v>7.0</v>
      </c>
      <c r="AB1683" s="18"/>
      <c r="AC1683" s="18">
        <v>7.0</v>
      </c>
      <c r="AD1683" s="172">
        <v>25887.0</v>
      </c>
      <c r="AE1683" s="14"/>
      <c r="AF1683" s="14">
        <v>25887.0</v>
      </c>
      <c r="AG1683" s="22"/>
      <c r="AH1683" s="22"/>
      <c r="AI1683" s="22"/>
      <c r="AJ1683" s="22"/>
      <c r="AK1683" s="22"/>
      <c r="AL1683" s="22"/>
      <c r="AM1683" s="22"/>
      <c r="AN1683" s="22"/>
      <c r="AO1683" s="22"/>
      <c r="AP1683" s="22"/>
    </row>
    <row r="1684" hidden="1">
      <c r="A1684" s="148">
        <v>46171.0</v>
      </c>
      <c r="B1684" s="149">
        <v>0.4166666666666667</v>
      </c>
      <c r="C1684" s="11" t="s">
        <v>32</v>
      </c>
      <c r="D1684" s="102" t="s">
        <v>33</v>
      </c>
      <c r="E1684" s="10" t="s">
        <v>1998</v>
      </c>
      <c r="F1684" s="10" t="s">
        <v>4293</v>
      </c>
      <c r="G1684" s="11" t="s">
        <v>5118</v>
      </c>
      <c r="H1684" s="11" t="s">
        <v>4294</v>
      </c>
      <c r="I1684" s="10" t="s">
        <v>4295</v>
      </c>
      <c r="J1684" s="14">
        <v>12136.0</v>
      </c>
      <c r="K1684" s="14">
        <v>4409.0</v>
      </c>
      <c r="L1684" s="17">
        <v>0.3634</v>
      </c>
      <c r="M1684" s="150">
        <v>1803.0</v>
      </c>
      <c r="N1684" s="136">
        <v>0.4091</v>
      </c>
      <c r="O1684" s="18">
        <v>176.0</v>
      </c>
      <c r="P1684" s="92">
        <v>170.0</v>
      </c>
      <c r="Q1684" s="137">
        <v>0.0386</v>
      </c>
      <c r="R1684" s="17">
        <v>0.0943</v>
      </c>
      <c r="S1684" s="18">
        <v>1.0</v>
      </c>
      <c r="T1684" s="18">
        <v>0.0</v>
      </c>
      <c r="U1684" s="151">
        <v>2399.0</v>
      </c>
      <c r="V1684" s="92" t="s">
        <v>183</v>
      </c>
      <c r="W1684" s="18" t="s">
        <v>76</v>
      </c>
      <c r="X1684" s="42" t="s">
        <v>4296</v>
      </c>
      <c r="Y1684" s="94" t="s">
        <v>5119</v>
      </c>
      <c r="Z1684" s="18" t="s">
        <v>5120</v>
      </c>
      <c r="AA1684" s="92">
        <v>2.0</v>
      </c>
      <c r="AB1684" s="18">
        <v>1.0</v>
      </c>
      <c r="AC1684" s="18">
        <v>1.0</v>
      </c>
      <c r="AD1684" s="172">
        <v>14398.0</v>
      </c>
      <c r="AE1684" s="14">
        <v>2399.0</v>
      </c>
      <c r="AF1684" s="14">
        <v>11999.0</v>
      </c>
      <c r="AG1684" s="22"/>
      <c r="AH1684" s="22"/>
      <c r="AI1684" s="22"/>
      <c r="AJ1684" s="22"/>
      <c r="AK1684" s="22"/>
      <c r="AL1684" s="22"/>
      <c r="AM1684" s="22"/>
      <c r="AN1684" s="22"/>
      <c r="AO1684" s="22"/>
      <c r="AP1684" s="22"/>
    </row>
    <row r="1685" hidden="1">
      <c r="A1685" s="148">
        <v>46169.0</v>
      </c>
      <c r="B1685" s="149">
        <v>0.8125</v>
      </c>
      <c r="C1685" s="11" t="s">
        <v>58</v>
      </c>
      <c r="D1685" s="102" t="s">
        <v>3083</v>
      </c>
      <c r="E1685" s="10" t="s">
        <v>71</v>
      </c>
      <c r="F1685" s="10" t="s">
        <v>4683</v>
      </c>
      <c r="G1685" s="11" t="s">
        <v>5121</v>
      </c>
      <c r="H1685" s="11" t="s">
        <v>4643</v>
      </c>
      <c r="I1685" s="10" t="s">
        <v>61</v>
      </c>
      <c r="J1685" s="14">
        <v>2049.0</v>
      </c>
      <c r="K1685" s="14">
        <v>1300.0</v>
      </c>
      <c r="L1685" s="17">
        <v>0.6345</v>
      </c>
      <c r="M1685" s="150">
        <v>0.0</v>
      </c>
      <c r="N1685" s="136">
        <v>0.0</v>
      </c>
      <c r="O1685" s="18">
        <v>13.0</v>
      </c>
      <c r="P1685" s="92">
        <v>0.0</v>
      </c>
      <c r="Q1685" s="137">
        <v>0.01</v>
      </c>
      <c r="R1685" s="17">
        <v>0.0</v>
      </c>
      <c r="S1685" s="18">
        <v>4.0</v>
      </c>
      <c r="T1685" s="18">
        <v>24.0</v>
      </c>
      <c r="U1685" s="151">
        <v>6473.0</v>
      </c>
      <c r="V1685" s="92" t="s">
        <v>335</v>
      </c>
      <c r="W1685" s="18" t="s">
        <v>58</v>
      </c>
      <c r="X1685" s="42" t="s">
        <v>4645</v>
      </c>
      <c r="Y1685" s="159">
        <v>46169.0</v>
      </c>
      <c r="Z1685" s="18" t="s">
        <v>5122</v>
      </c>
      <c r="AA1685" s="92">
        <v>4.0</v>
      </c>
      <c r="AB1685" s="18">
        <v>4.0</v>
      </c>
      <c r="AC1685" s="18"/>
      <c r="AD1685" s="172">
        <v>22937.0</v>
      </c>
      <c r="AE1685" s="14">
        <v>22937.0</v>
      </c>
      <c r="AF1685" s="14"/>
      <c r="AG1685" s="22"/>
      <c r="AH1685" s="22"/>
      <c r="AI1685" s="22"/>
      <c r="AJ1685" s="22"/>
      <c r="AK1685" s="22"/>
      <c r="AL1685" s="22"/>
      <c r="AM1685" s="22"/>
      <c r="AN1685" s="22"/>
      <c r="AO1685" s="22"/>
      <c r="AP1685" s="22"/>
    </row>
    <row r="1686" hidden="1">
      <c r="A1686" s="148">
        <v>46169.0</v>
      </c>
      <c r="B1686" s="149">
        <v>0.8125</v>
      </c>
      <c r="C1686" s="11" t="s">
        <v>58</v>
      </c>
      <c r="D1686" s="102" t="s">
        <v>3083</v>
      </c>
      <c r="E1686" s="10" t="s">
        <v>71</v>
      </c>
      <c r="F1686" s="10" t="s">
        <v>4683</v>
      </c>
      <c r="G1686" s="11" t="s">
        <v>5123</v>
      </c>
      <c r="H1686" s="11" t="s">
        <v>4649</v>
      </c>
      <c r="I1686" s="10" t="s">
        <v>61</v>
      </c>
      <c r="J1686" s="14">
        <v>20275.0</v>
      </c>
      <c r="K1686" s="14">
        <v>10719.0</v>
      </c>
      <c r="L1686" s="17">
        <v>0.5287</v>
      </c>
      <c r="M1686" s="150">
        <v>0.0</v>
      </c>
      <c r="N1686" s="136">
        <v>0.0</v>
      </c>
      <c r="O1686" s="18">
        <v>39.0</v>
      </c>
      <c r="P1686" s="92">
        <v>0.0</v>
      </c>
      <c r="Q1686" s="137">
        <v>0.0036</v>
      </c>
      <c r="R1686" s="17">
        <v>0.0</v>
      </c>
      <c r="S1686" s="18">
        <v>11.0</v>
      </c>
      <c r="T1686" s="18">
        <v>24.0</v>
      </c>
      <c r="U1686" s="151">
        <v>36170.0</v>
      </c>
      <c r="V1686" s="92" t="s">
        <v>335</v>
      </c>
      <c r="W1686" s="18" t="s">
        <v>58</v>
      </c>
      <c r="X1686" s="42" t="s">
        <v>82</v>
      </c>
      <c r="Y1686" s="159">
        <v>46169.0</v>
      </c>
      <c r="Z1686" s="18" t="s">
        <v>5124</v>
      </c>
      <c r="AA1686" s="92">
        <v>27.0</v>
      </c>
      <c r="AB1686" s="18">
        <v>27.0</v>
      </c>
      <c r="AC1686" s="18"/>
      <c r="AD1686" s="172">
        <v>63300.0</v>
      </c>
      <c r="AE1686" s="14">
        <v>63300.0</v>
      </c>
      <c r="AF1686" s="14"/>
      <c r="AG1686" s="22"/>
      <c r="AH1686" s="22"/>
      <c r="AI1686" s="22"/>
      <c r="AJ1686" s="22"/>
      <c r="AK1686" s="22"/>
      <c r="AL1686" s="22"/>
      <c r="AM1686" s="22"/>
      <c r="AN1686" s="22"/>
      <c r="AO1686" s="22"/>
      <c r="AP1686" s="22"/>
    </row>
    <row r="1687" hidden="1">
      <c r="A1687" s="148">
        <v>46169.0</v>
      </c>
      <c r="B1687" s="149">
        <v>0.8125</v>
      </c>
      <c r="C1687" s="11" t="s">
        <v>58</v>
      </c>
      <c r="D1687" s="102" t="s">
        <v>3083</v>
      </c>
      <c r="E1687" s="10" t="s">
        <v>71</v>
      </c>
      <c r="F1687" s="10" t="s">
        <v>4683</v>
      </c>
      <c r="G1687" s="11" t="s">
        <v>5125</v>
      </c>
      <c r="H1687" s="11" t="s">
        <v>2597</v>
      </c>
      <c r="I1687" s="10" t="s">
        <v>61</v>
      </c>
      <c r="J1687" s="14">
        <v>3552.0</v>
      </c>
      <c r="K1687" s="14">
        <v>1959.0</v>
      </c>
      <c r="L1687" s="17">
        <v>0.5515</v>
      </c>
      <c r="M1687" s="150">
        <v>0.0</v>
      </c>
      <c r="N1687" s="136">
        <v>0.0</v>
      </c>
      <c r="O1687" s="18">
        <v>9.0</v>
      </c>
      <c r="P1687" s="92">
        <v>0.0</v>
      </c>
      <c r="Q1687" s="137">
        <v>0.0046</v>
      </c>
      <c r="R1687" s="17">
        <v>0.0</v>
      </c>
      <c r="S1687" s="18">
        <v>2.0</v>
      </c>
      <c r="T1687" s="18">
        <v>1.0</v>
      </c>
      <c r="U1687" s="151">
        <v>4495.0</v>
      </c>
      <c r="V1687" s="92" t="s">
        <v>335</v>
      </c>
      <c r="W1687" s="18" t="s">
        <v>58</v>
      </c>
      <c r="X1687" s="42" t="s">
        <v>52</v>
      </c>
      <c r="Y1687" s="159">
        <v>46169.0</v>
      </c>
      <c r="Z1687" s="18" t="s">
        <v>5126</v>
      </c>
      <c r="AA1687" s="92">
        <v>3.0</v>
      </c>
      <c r="AB1687" s="18">
        <v>3.0</v>
      </c>
      <c r="AC1687" s="18"/>
      <c r="AD1687" s="172">
        <v>5214.0</v>
      </c>
      <c r="AE1687" s="14">
        <v>5214.0</v>
      </c>
      <c r="AF1687" s="14"/>
      <c r="AG1687" s="22"/>
      <c r="AH1687" s="22"/>
      <c r="AI1687" s="22"/>
      <c r="AJ1687" s="22"/>
      <c r="AK1687" s="22"/>
      <c r="AL1687" s="22"/>
      <c r="AM1687" s="22"/>
      <c r="AN1687" s="22"/>
      <c r="AO1687" s="22"/>
      <c r="AP1687" s="22"/>
    </row>
    <row r="1688" hidden="1">
      <c r="A1688" s="148">
        <v>46169.0</v>
      </c>
      <c r="B1688" s="149">
        <v>0.8125</v>
      </c>
      <c r="C1688" s="11" t="s">
        <v>58</v>
      </c>
      <c r="D1688" s="102" t="s">
        <v>3083</v>
      </c>
      <c r="E1688" s="10" t="s">
        <v>71</v>
      </c>
      <c r="F1688" s="10" t="s">
        <v>4683</v>
      </c>
      <c r="G1688" s="11" t="s">
        <v>5127</v>
      </c>
      <c r="H1688" s="11" t="s">
        <v>4656</v>
      </c>
      <c r="I1688" s="10" t="s">
        <v>61</v>
      </c>
      <c r="J1688" s="14">
        <v>2801.0</v>
      </c>
      <c r="K1688" s="14">
        <v>1751.0</v>
      </c>
      <c r="L1688" s="17">
        <v>0.6251</v>
      </c>
      <c r="M1688" s="150">
        <v>0.0</v>
      </c>
      <c r="N1688" s="136">
        <v>0.0</v>
      </c>
      <c r="O1688" s="18">
        <v>5.0</v>
      </c>
      <c r="P1688" s="92">
        <v>0.0</v>
      </c>
      <c r="Q1688" s="137">
        <v>0.0029</v>
      </c>
      <c r="R1688" s="17">
        <v>0.0</v>
      </c>
      <c r="S1688" s="18">
        <v>0.0</v>
      </c>
      <c r="T1688" s="18">
        <v>0.0</v>
      </c>
      <c r="U1688" s="151">
        <v>0.0</v>
      </c>
      <c r="V1688" s="92" t="s">
        <v>335</v>
      </c>
      <c r="W1688" s="18" t="s">
        <v>58</v>
      </c>
      <c r="X1688" s="42" t="s">
        <v>2594</v>
      </c>
      <c r="Y1688" s="159">
        <v>46169.0</v>
      </c>
      <c r="Z1688" s="18" t="s">
        <v>5128</v>
      </c>
      <c r="AA1688" s="92">
        <v>1.0</v>
      </c>
      <c r="AB1688" s="18">
        <v>1.0</v>
      </c>
      <c r="AC1688" s="18"/>
      <c r="AD1688" s="172">
        <v>899.0</v>
      </c>
      <c r="AE1688" s="14">
        <v>899.0</v>
      </c>
      <c r="AF1688" s="14"/>
      <c r="AG1688" s="22"/>
      <c r="AH1688" s="22"/>
      <c r="AI1688" s="22"/>
      <c r="AJ1688" s="22"/>
      <c r="AK1688" s="22"/>
      <c r="AL1688" s="22"/>
      <c r="AM1688" s="22"/>
      <c r="AN1688" s="22"/>
      <c r="AO1688" s="22"/>
      <c r="AP1688" s="22"/>
    </row>
    <row r="1689" hidden="1">
      <c r="A1689" s="148">
        <v>46171.0</v>
      </c>
      <c r="B1689" s="149">
        <v>0.8333333333333334</v>
      </c>
      <c r="C1689" s="11" t="s">
        <v>58</v>
      </c>
      <c r="D1689" s="102" t="s">
        <v>3083</v>
      </c>
      <c r="E1689" s="10" t="s">
        <v>71</v>
      </c>
      <c r="F1689" s="10" t="s">
        <v>5079</v>
      </c>
      <c r="G1689" s="11" t="s">
        <v>5129</v>
      </c>
      <c r="H1689" s="11" t="s">
        <v>2737</v>
      </c>
      <c r="I1689" s="10" t="s">
        <v>61</v>
      </c>
      <c r="J1689" s="14">
        <v>8664.0</v>
      </c>
      <c r="K1689" s="14">
        <v>4673.0</v>
      </c>
      <c r="L1689" s="17">
        <v>0.5394</v>
      </c>
      <c r="M1689" s="150">
        <v>0.0</v>
      </c>
      <c r="N1689" s="136">
        <v>0.0</v>
      </c>
      <c r="O1689" s="18">
        <v>16.0</v>
      </c>
      <c r="P1689" s="92">
        <v>0.0</v>
      </c>
      <c r="Q1689" s="137">
        <v>0.0034</v>
      </c>
      <c r="R1689" s="17">
        <v>0.0</v>
      </c>
      <c r="S1689" s="18">
        <v>0.0</v>
      </c>
      <c r="T1689" s="18">
        <v>2.0</v>
      </c>
      <c r="U1689" s="151">
        <v>0.0</v>
      </c>
      <c r="V1689" s="92" t="s">
        <v>315</v>
      </c>
      <c r="W1689" s="18" t="s">
        <v>58</v>
      </c>
      <c r="X1689" s="42" t="s">
        <v>4001</v>
      </c>
      <c r="Y1689" s="159">
        <v>46171.0</v>
      </c>
      <c r="Z1689" s="18" t="s">
        <v>5130</v>
      </c>
      <c r="AA1689" s="92">
        <v>22.0</v>
      </c>
      <c r="AB1689" s="18"/>
      <c r="AC1689" s="18">
        <v>22.0</v>
      </c>
      <c r="AD1689" s="172">
        <v>90207.0</v>
      </c>
      <c r="AE1689" s="14"/>
      <c r="AF1689" s="14">
        <v>90207.0</v>
      </c>
      <c r="AG1689" s="22"/>
      <c r="AH1689" s="22"/>
      <c r="AI1689" s="22"/>
      <c r="AJ1689" s="22"/>
      <c r="AK1689" s="22"/>
      <c r="AL1689" s="22"/>
      <c r="AM1689" s="22"/>
      <c r="AN1689" s="22"/>
      <c r="AO1689" s="22"/>
      <c r="AP1689" s="22"/>
    </row>
    <row r="1690" hidden="1">
      <c r="A1690" s="148">
        <v>46171.0</v>
      </c>
      <c r="B1690" s="149">
        <v>0.8333333333333334</v>
      </c>
      <c r="C1690" s="11" t="s">
        <v>58</v>
      </c>
      <c r="D1690" s="102" t="s">
        <v>3083</v>
      </c>
      <c r="E1690" s="10" t="s">
        <v>71</v>
      </c>
      <c r="F1690" s="10" t="s">
        <v>5079</v>
      </c>
      <c r="G1690" s="11" t="s">
        <v>5131</v>
      </c>
      <c r="H1690" s="11" t="s">
        <v>4330</v>
      </c>
      <c r="I1690" s="10" t="s">
        <v>61</v>
      </c>
      <c r="J1690" s="14">
        <v>4032.0</v>
      </c>
      <c r="K1690" s="14">
        <v>2435.0</v>
      </c>
      <c r="L1690" s="17">
        <v>0.6039</v>
      </c>
      <c r="M1690" s="150">
        <v>0.0</v>
      </c>
      <c r="N1690" s="136">
        <v>0.0</v>
      </c>
      <c r="O1690" s="18">
        <v>4.0</v>
      </c>
      <c r="P1690" s="92">
        <v>0.0</v>
      </c>
      <c r="Q1690" s="137">
        <v>0.0016</v>
      </c>
      <c r="R1690" s="17">
        <v>0.0</v>
      </c>
      <c r="S1690" s="18">
        <v>0.0</v>
      </c>
      <c r="T1690" s="18">
        <v>1.0</v>
      </c>
      <c r="U1690" s="151">
        <v>0.0</v>
      </c>
      <c r="V1690" s="92" t="s">
        <v>315</v>
      </c>
      <c r="W1690" s="18" t="s">
        <v>58</v>
      </c>
      <c r="X1690" s="42" t="s">
        <v>4332</v>
      </c>
      <c r="Y1690" s="159">
        <v>46171.0</v>
      </c>
      <c r="Z1690" s="18" t="s">
        <v>5132</v>
      </c>
      <c r="AA1690" s="92">
        <v>0.0</v>
      </c>
      <c r="AB1690" s="18"/>
      <c r="AC1690" s="18">
        <v>0.0</v>
      </c>
      <c r="AD1690" s="172">
        <v>0.0</v>
      </c>
      <c r="AE1690" s="14"/>
      <c r="AF1690" s="14">
        <v>0.0</v>
      </c>
      <c r="AG1690" s="22"/>
      <c r="AH1690" s="22"/>
      <c r="AI1690" s="22"/>
      <c r="AJ1690" s="22"/>
      <c r="AK1690" s="22"/>
      <c r="AL1690" s="22"/>
      <c r="AM1690" s="22"/>
      <c r="AN1690" s="22"/>
      <c r="AO1690" s="22"/>
      <c r="AP1690" s="22"/>
    </row>
    <row r="1691" hidden="1">
      <c r="A1691" s="148">
        <v>46171.0</v>
      </c>
      <c r="B1691" s="149">
        <v>0.8333333333333334</v>
      </c>
      <c r="C1691" s="11" t="s">
        <v>58</v>
      </c>
      <c r="D1691" s="102" t="s">
        <v>3083</v>
      </c>
      <c r="E1691" s="10" t="s">
        <v>71</v>
      </c>
      <c r="F1691" s="10" t="s">
        <v>5079</v>
      </c>
      <c r="G1691" s="11" t="s">
        <v>5133</v>
      </c>
      <c r="H1691" s="11" t="s">
        <v>2678</v>
      </c>
      <c r="I1691" s="10" t="s">
        <v>61</v>
      </c>
      <c r="J1691" s="14">
        <v>9799.0</v>
      </c>
      <c r="K1691" s="14">
        <v>5651.0</v>
      </c>
      <c r="L1691" s="17">
        <v>0.5767</v>
      </c>
      <c r="M1691" s="150">
        <v>0.0</v>
      </c>
      <c r="N1691" s="136">
        <v>0.0</v>
      </c>
      <c r="O1691" s="18">
        <v>10.0</v>
      </c>
      <c r="P1691" s="92">
        <v>0.0</v>
      </c>
      <c r="Q1691" s="137">
        <v>0.0018</v>
      </c>
      <c r="R1691" s="17">
        <v>0.0</v>
      </c>
      <c r="S1691" s="18">
        <v>0.0</v>
      </c>
      <c r="T1691" s="18">
        <v>1.0</v>
      </c>
      <c r="U1691" s="151">
        <v>0.0</v>
      </c>
      <c r="V1691" s="92" t="s">
        <v>315</v>
      </c>
      <c r="W1691" s="18" t="s">
        <v>58</v>
      </c>
      <c r="X1691" s="42" t="s">
        <v>52</v>
      </c>
      <c r="Y1691" s="159">
        <v>46171.0</v>
      </c>
      <c r="Z1691" s="18" t="s">
        <v>5134</v>
      </c>
      <c r="AA1691" s="92">
        <v>9.0</v>
      </c>
      <c r="AB1691" s="18"/>
      <c r="AC1691" s="18">
        <v>9.0</v>
      </c>
      <c r="AD1691" s="172">
        <v>24390.0</v>
      </c>
      <c r="AE1691" s="14"/>
      <c r="AF1691" s="14">
        <v>24390.0</v>
      </c>
      <c r="AG1691" s="22"/>
      <c r="AH1691" s="22"/>
      <c r="AI1691" s="22"/>
      <c r="AJ1691" s="22"/>
      <c r="AK1691" s="22"/>
      <c r="AL1691" s="22"/>
      <c r="AM1691" s="22"/>
      <c r="AN1691" s="22"/>
      <c r="AO1691" s="22"/>
      <c r="AP1691" s="22"/>
    </row>
    <row r="1692" hidden="1">
      <c r="A1692" s="148">
        <v>46171.0</v>
      </c>
      <c r="B1692" s="149">
        <v>0.8333333333333334</v>
      </c>
      <c r="C1692" s="11" t="s">
        <v>58</v>
      </c>
      <c r="D1692" s="102" t="s">
        <v>3083</v>
      </c>
      <c r="E1692" s="10" t="s">
        <v>71</v>
      </c>
      <c r="F1692" s="10" t="s">
        <v>5079</v>
      </c>
      <c r="G1692" s="11" t="s">
        <v>5135</v>
      </c>
      <c r="H1692" s="11" t="s">
        <v>2666</v>
      </c>
      <c r="I1692" s="10" t="s">
        <v>61</v>
      </c>
      <c r="J1692" s="14">
        <v>41289.0</v>
      </c>
      <c r="K1692" s="14">
        <v>23543.0</v>
      </c>
      <c r="L1692" s="17">
        <v>0.5702</v>
      </c>
      <c r="M1692" s="150">
        <v>0.0</v>
      </c>
      <c r="N1692" s="136">
        <v>0.0</v>
      </c>
      <c r="O1692" s="18">
        <v>28.0</v>
      </c>
      <c r="P1692" s="92">
        <v>0.0</v>
      </c>
      <c r="Q1692" s="137">
        <v>0.0012</v>
      </c>
      <c r="R1692" s="17">
        <v>0.0</v>
      </c>
      <c r="S1692" s="18">
        <v>2.0</v>
      </c>
      <c r="T1692" s="18">
        <v>4.0</v>
      </c>
      <c r="U1692" s="151">
        <v>4630.0</v>
      </c>
      <c r="V1692" s="92" t="s">
        <v>315</v>
      </c>
      <c r="W1692" s="18" t="s">
        <v>58</v>
      </c>
      <c r="X1692" s="42" t="s">
        <v>5100</v>
      </c>
      <c r="Y1692" s="159">
        <v>46171.0</v>
      </c>
      <c r="Z1692" s="18" t="s">
        <v>5136</v>
      </c>
      <c r="AA1692" s="92">
        <v>24.0</v>
      </c>
      <c r="AB1692" s="18"/>
      <c r="AC1692" s="18">
        <v>24.0</v>
      </c>
      <c r="AD1692" s="172">
        <v>101240.0</v>
      </c>
      <c r="AE1692" s="14"/>
      <c r="AF1692" s="14">
        <v>101240.0</v>
      </c>
      <c r="AG1692" s="22"/>
      <c r="AH1692" s="22"/>
      <c r="AI1692" s="22"/>
      <c r="AJ1692" s="22"/>
      <c r="AK1692" s="22"/>
      <c r="AL1692" s="22"/>
      <c r="AM1692" s="22"/>
      <c r="AN1692" s="22"/>
      <c r="AO1692" s="22"/>
      <c r="AP1692" s="22"/>
    </row>
    <row r="1693" hidden="1">
      <c r="A1693" s="148">
        <v>46171.0</v>
      </c>
      <c r="B1693" s="149">
        <v>0.8333333333333334</v>
      </c>
      <c r="C1693" s="11" t="s">
        <v>58</v>
      </c>
      <c r="D1693" s="102" t="s">
        <v>3083</v>
      </c>
      <c r="E1693" s="10" t="s">
        <v>71</v>
      </c>
      <c r="F1693" s="10" t="s">
        <v>5079</v>
      </c>
      <c r="G1693" s="11" t="s">
        <v>5137</v>
      </c>
      <c r="H1693" s="11" t="s">
        <v>4339</v>
      </c>
      <c r="I1693" s="10" t="s">
        <v>61</v>
      </c>
      <c r="J1693" s="14">
        <v>18785.0</v>
      </c>
      <c r="K1693" s="14">
        <v>10863.0</v>
      </c>
      <c r="L1693" s="17">
        <v>0.5783</v>
      </c>
      <c r="M1693" s="150">
        <v>0.0</v>
      </c>
      <c r="N1693" s="136">
        <v>0.0</v>
      </c>
      <c r="O1693" s="18">
        <v>15.0</v>
      </c>
      <c r="P1693" s="92">
        <v>0.0</v>
      </c>
      <c r="Q1693" s="137">
        <v>0.0014</v>
      </c>
      <c r="R1693" s="17">
        <v>0.0</v>
      </c>
      <c r="S1693" s="18">
        <v>0.0</v>
      </c>
      <c r="T1693" s="18">
        <v>1.0</v>
      </c>
      <c r="U1693" s="151">
        <v>0.0</v>
      </c>
      <c r="V1693" s="92" t="s">
        <v>315</v>
      </c>
      <c r="W1693" s="18" t="s">
        <v>58</v>
      </c>
      <c r="X1693" s="42" t="s">
        <v>2552</v>
      </c>
      <c r="Y1693" s="159">
        <v>46171.0</v>
      </c>
      <c r="Z1693" s="18" t="s">
        <v>5138</v>
      </c>
      <c r="AA1693" s="92">
        <v>7.0</v>
      </c>
      <c r="AB1693" s="18"/>
      <c r="AC1693" s="18">
        <v>7.0</v>
      </c>
      <c r="AD1693" s="172">
        <v>40030.0</v>
      </c>
      <c r="AE1693" s="14"/>
      <c r="AF1693" s="172">
        <v>40030.0</v>
      </c>
      <c r="AG1693" s="22"/>
      <c r="AH1693" s="22"/>
      <c r="AI1693" s="22"/>
      <c r="AJ1693" s="22"/>
      <c r="AK1693" s="22"/>
      <c r="AL1693" s="22"/>
      <c r="AM1693" s="22"/>
      <c r="AN1693" s="22"/>
      <c r="AO1693" s="22"/>
      <c r="AP1693" s="22"/>
    </row>
    <row r="1694" hidden="1">
      <c r="A1694" s="148">
        <v>46172.0</v>
      </c>
      <c r="B1694" s="149">
        <v>0.5625</v>
      </c>
      <c r="C1694" s="11" t="s">
        <v>58</v>
      </c>
      <c r="D1694" s="102" t="s">
        <v>3083</v>
      </c>
      <c r="E1694" s="10" t="s">
        <v>71</v>
      </c>
      <c r="F1694" s="10" t="s">
        <v>5079</v>
      </c>
      <c r="G1694" s="11" t="s">
        <v>5139</v>
      </c>
      <c r="H1694" s="11" t="s">
        <v>2737</v>
      </c>
      <c r="I1694" s="10" t="s">
        <v>61</v>
      </c>
      <c r="J1694" s="14">
        <v>9731.0</v>
      </c>
      <c r="K1694" s="14">
        <v>5308.0</v>
      </c>
      <c r="L1694" s="17">
        <v>0.5455</v>
      </c>
      <c r="M1694" s="150">
        <v>0.0</v>
      </c>
      <c r="N1694" s="136">
        <v>0.0</v>
      </c>
      <c r="O1694" s="18">
        <v>5.0</v>
      </c>
      <c r="P1694" s="92">
        <v>0.0</v>
      </c>
      <c r="Q1694" s="137">
        <v>9.0E-4</v>
      </c>
      <c r="R1694" s="17">
        <v>0.0</v>
      </c>
      <c r="S1694" s="18">
        <v>0.0</v>
      </c>
      <c r="T1694" s="18">
        <v>0.0</v>
      </c>
      <c r="U1694" s="151">
        <v>0.0</v>
      </c>
      <c r="V1694" s="92" t="s">
        <v>315</v>
      </c>
      <c r="W1694" s="18" t="s">
        <v>58</v>
      </c>
      <c r="X1694" s="42" t="s">
        <v>4001</v>
      </c>
      <c r="Y1694" s="159">
        <v>46172.0</v>
      </c>
      <c r="Z1694" s="18" t="s">
        <v>5140</v>
      </c>
      <c r="AA1694" s="92">
        <v>38.0</v>
      </c>
      <c r="AB1694" s="18"/>
      <c r="AC1694" s="18">
        <v>38.0</v>
      </c>
      <c r="AD1694" s="172">
        <v>186618.0</v>
      </c>
      <c r="AE1694" s="14"/>
      <c r="AF1694" s="14">
        <v>186618.0</v>
      </c>
      <c r="AG1694" s="22"/>
      <c r="AH1694" s="22"/>
      <c r="AI1694" s="22"/>
      <c r="AJ1694" s="22"/>
      <c r="AK1694" s="22"/>
      <c r="AL1694" s="22"/>
      <c r="AM1694" s="22"/>
      <c r="AN1694" s="22"/>
      <c r="AO1694" s="22"/>
      <c r="AP1694" s="22"/>
    </row>
    <row r="1695" hidden="1">
      <c r="A1695" s="148">
        <v>46172.0</v>
      </c>
      <c r="B1695" s="149">
        <v>0.5625</v>
      </c>
      <c r="C1695" s="11" t="s">
        <v>58</v>
      </c>
      <c r="D1695" s="102" t="s">
        <v>3083</v>
      </c>
      <c r="E1695" s="10" t="s">
        <v>71</v>
      </c>
      <c r="F1695" s="10" t="s">
        <v>5079</v>
      </c>
      <c r="G1695" s="11" t="s">
        <v>5141</v>
      </c>
      <c r="H1695" s="11" t="s">
        <v>4330</v>
      </c>
      <c r="I1695" s="10" t="s">
        <v>61</v>
      </c>
      <c r="J1695" s="14">
        <v>5209.0</v>
      </c>
      <c r="K1695" s="14">
        <v>3147.0</v>
      </c>
      <c r="L1695" s="17">
        <v>0.6041</v>
      </c>
      <c r="M1695" s="150">
        <v>0.0</v>
      </c>
      <c r="N1695" s="136">
        <v>0.0</v>
      </c>
      <c r="O1695" s="18">
        <v>2.0</v>
      </c>
      <c r="P1695" s="92">
        <v>0.0</v>
      </c>
      <c r="Q1695" s="137">
        <v>6.0E-4</v>
      </c>
      <c r="R1695" s="17">
        <v>0.0</v>
      </c>
      <c r="S1695" s="18">
        <v>0.0</v>
      </c>
      <c r="T1695" s="18">
        <v>0.0</v>
      </c>
      <c r="U1695" s="151">
        <v>0.0</v>
      </c>
      <c r="V1695" s="92" t="s">
        <v>315</v>
      </c>
      <c r="W1695" s="18" t="s">
        <v>58</v>
      </c>
      <c r="X1695" s="42" t="s">
        <v>4332</v>
      </c>
      <c r="Y1695" s="159">
        <v>46172.0</v>
      </c>
      <c r="Z1695" s="18" t="s">
        <v>5142</v>
      </c>
      <c r="AA1695" s="92">
        <v>3.0</v>
      </c>
      <c r="AB1695" s="18"/>
      <c r="AC1695" s="18">
        <v>3.0</v>
      </c>
      <c r="AD1695" s="172">
        <v>8247.0</v>
      </c>
      <c r="AE1695" s="14"/>
      <c r="AF1695" s="14">
        <v>8247.0</v>
      </c>
      <c r="AG1695" s="22"/>
      <c r="AH1695" s="22"/>
      <c r="AI1695" s="22"/>
      <c r="AJ1695" s="22"/>
      <c r="AK1695" s="22"/>
      <c r="AL1695" s="22"/>
      <c r="AM1695" s="22"/>
      <c r="AN1695" s="22"/>
      <c r="AO1695" s="22"/>
      <c r="AP1695" s="22"/>
    </row>
    <row r="1696" hidden="1">
      <c r="A1696" s="148">
        <v>46172.0</v>
      </c>
      <c r="B1696" s="149">
        <v>0.5625</v>
      </c>
      <c r="C1696" s="11" t="s">
        <v>58</v>
      </c>
      <c r="D1696" s="102" t="s">
        <v>3083</v>
      </c>
      <c r="E1696" s="10" t="s">
        <v>71</v>
      </c>
      <c r="F1696" s="10" t="s">
        <v>5079</v>
      </c>
      <c r="G1696" s="11" t="s">
        <v>5143</v>
      </c>
      <c r="H1696" s="11" t="s">
        <v>2678</v>
      </c>
      <c r="I1696" s="10" t="s">
        <v>61</v>
      </c>
      <c r="J1696" s="14">
        <v>11483.0</v>
      </c>
      <c r="K1696" s="14">
        <v>6462.0</v>
      </c>
      <c r="L1696" s="17">
        <v>0.5627</v>
      </c>
      <c r="M1696" s="150">
        <v>0.0</v>
      </c>
      <c r="N1696" s="136">
        <v>0.0</v>
      </c>
      <c r="O1696" s="18">
        <v>11.0</v>
      </c>
      <c r="P1696" s="92">
        <v>0.0</v>
      </c>
      <c r="Q1696" s="137">
        <v>0.0017</v>
      </c>
      <c r="R1696" s="17">
        <v>0.0</v>
      </c>
      <c r="S1696" s="18">
        <v>0.0</v>
      </c>
      <c r="T1696" s="18">
        <v>1.0</v>
      </c>
      <c r="U1696" s="151">
        <v>0.0</v>
      </c>
      <c r="V1696" s="92" t="s">
        <v>315</v>
      </c>
      <c r="W1696" s="18" t="s">
        <v>58</v>
      </c>
      <c r="X1696" s="42" t="s">
        <v>52</v>
      </c>
      <c r="Y1696" s="159">
        <v>46172.0</v>
      </c>
      <c r="Z1696" s="18" t="s">
        <v>5144</v>
      </c>
      <c r="AA1696" s="92">
        <v>14.0</v>
      </c>
      <c r="AB1696" s="18"/>
      <c r="AC1696" s="18">
        <v>14.0</v>
      </c>
      <c r="AD1696" s="172">
        <v>44279.0</v>
      </c>
      <c r="AE1696" s="14"/>
      <c r="AF1696" s="14">
        <v>44279.0</v>
      </c>
      <c r="AG1696" s="22"/>
      <c r="AH1696" s="22"/>
      <c r="AI1696" s="22"/>
      <c r="AJ1696" s="22"/>
      <c r="AK1696" s="22"/>
      <c r="AL1696" s="22"/>
      <c r="AM1696" s="22"/>
      <c r="AN1696" s="22"/>
      <c r="AO1696" s="22"/>
      <c r="AP1696" s="22"/>
    </row>
    <row r="1697" hidden="1">
      <c r="A1697" s="148">
        <v>46172.0</v>
      </c>
      <c r="B1697" s="149">
        <v>0.5625</v>
      </c>
      <c r="C1697" s="11" t="s">
        <v>58</v>
      </c>
      <c r="D1697" s="102" t="s">
        <v>3083</v>
      </c>
      <c r="E1697" s="10" t="s">
        <v>71</v>
      </c>
      <c r="F1697" s="10" t="s">
        <v>5079</v>
      </c>
      <c r="G1697" s="11" t="s">
        <v>5145</v>
      </c>
      <c r="H1697" s="11" t="s">
        <v>2666</v>
      </c>
      <c r="I1697" s="10" t="s">
        <v>61</v>
      </c>
      <c r="J1697" s="14">
        <v>58029.0</v>
      </c>
      <c r="K1697" s="14">
        <v>32596.0</v>
      </c>
      <c r="L1697" s="17">
        <v>0.5617</v>
      </c>
      <c r="M1697" s="150">
        <v>0.0</v>
      </c>
      <c r="N1697" s="136">
        <v>0.0</v>
      </c>
      <c r="O1697" s="18">
        <v>22.0</v>
      </c>
      <c r="P1697" s="92">
        <v>0.0</v>
      </c>
      <c r="Q1697" s="137">
        <v>7.0E-4</v>
      </c>
      <c r="R1697" s="17">
        <v>0.0</v>
      </c>
      <c r="S1697" s="18">
        <v>0.0</v>
      </c>
      <c r="T1697" s="18">
        <v>2.0</v>
      </c>
      <c r="U1697" s="151">
        <v>0.0</v>
      </c>
      <c r="V1697" s="92" t="s">
        <v>315</v>
      </c>
      <c r="W1697" s="18" t="s">
        <v>58</v>
      </c>
      <c r="X1697" s="42" t="s">
        <v>5100</v>
      </c>
      <c r="Y1697" s="159">
        <v>46172.0</v>
      </c>
      <c r="Z1697" s="18" t="s">
        <v>5146</v>
      </c>
      <c r="AA1697" s="92">
        <v>55.0</v>
      </c>
      <c r="AB1697" s="18"/>
      <c r="AC1697" s="18">
        <v>55.0</v>
      </c>
      <c r="AD1697" s="172">
        <v>202073.0</v>
      </c>
      <c r="AE1697" s="14"/>
      <c r="AF1697" s="14">
        <v>202073.0</v>
      </c>
      <c r="AG1697" s="22"/>
      <c r="AH1697" s="22"/>
      <c r="AI1697" s="22"/>
      <c r="AJ1697" s="22"/>
      <c r="AK1697" s="22"/>
      <c r="AL1697" s="22"/>
      <c r="AM1697" s="22"/>
      <c r="AN1697" s="22"/>
      <c r="AO1697" s="22"/>
      <c r="AP1697" s="22"/>
    </row>
    <row r="1698" hidden="1">
      <c r="A1698" s="148">
        <v>46172.0</v>
      </c>
      <c r="B1698" s="149">
        <v>0.5625</v>
      </c>
      <c r="C1698" s="11" t="s">
        <v>58</v>
      </c>
      <c r="D1698" s="102" t="s">
        <v>3083</v>
      </c>
      <c r="E1698" s="10" t="s">
        <v>71</v>
      </c>
      <c r="F1698" s="10" t="s">
        <v>5079</v>
      </c>
      <c r="G1698" s="11" t="s">
        <v>5147</v>
      </c>
      <c r="H1698" s="11" t="s">
        <v>4339</v>
      </c>
      <c r="I1698" s="10" t="s">
        <v>61</v>
      </c>
      <c r="J1698" s="14">
        <v>9949.0</v>
      </c>
      <c r="K1698" s="14">
        <v>5826.0</v>
      </c>
      <c r="L1698" s="17">
        <v>0.5856</v>
      </c>
      <c r="M1698" s="150">
        <v>0.0</v>
      </c>
      <c r="N1698" s="136">
        <v>0.0</v>
      </c>
      <c r="O1698" s="18">
        <v>3.0</v>
      </c>
      <c r="P1698" s="92">
        <v>0.0</v>
      </c>
      <c r="Q1698" s="137">
        <v>5.0E-4</v>
      </c>
      <c r="R1698" s="17">
        <v>0.0</v>
      </c>
      <c r="S1698" s="18">
        <v>0.0</v>
      </c>
      <c r="T1698" s="18">
        <v>1.0</v>
      </c>
      <c r="U1698" s="151">
        <v>0.0</v>
      </c>
      <c r="V1698" s="92" t="s">
        <v>315</v>
      </c>
      <c r="W1698" s="18" t="s">
        <v>58</v>
      </c>
      <c r="X1698" s="42" t="s">
        <v>2552</v>
      </c>
      <c r="Y1698" s="159">
        <v>46172.0</v>
      </c>
      <c r="Z1698" s="18" t="s">
        <v>5148</v>
      </c>
      <c r="AA1698" s="92">
        <v>14.0</v>
      </c>
      <c r="AB1698" s="18"/>
      <c r="AC1698" s="18">
        <v>14.0</v>
      </c>
      <c r="AD1698" s="172">
        <v>59869.0</v>
      </c>
      <c r="AE1698" s="14"/>
      <c r="AF1698" s="14">
        <v>59869.0</v>
      </c>
      <c r="AG1698" s="22"/>
      <c r="AH1698" s="22"/>
      <c r="AI1698" s="22"/>
      <c r="AJ1698" s="22"/>
      <c r="AK1698" s="22"/>
      <c r="AL1698" s="22"/>
      <c r="AM1698" s="22"/>
      <c r="AN1698" s="22"/>
      <c r="AO1698" s="22"/>
      <c r="AP1698" s="22"/>
    </row>
    <row r="1699" hidden="1">
      <c r="A1699" s="148">
        <v>46170.0</v>
      </c>
      <c r="B1699" s="149">
        <v>0.8333333333333334</v>
      </c>
      <c r="C1699" s="11" t="s">
        <v>58</v>
      </c>
      <c r="D1699" s="102" t="s">
        <v>3083</v>
      </c>
      <c r="E1699" s="10" t="s">
        <v>71</v>
      </c>
      <c r="F1699" s="10" t="s">
        <v>5046</v>
      </c>
      <c r="G1699" s="11" t="s">
        <v>5149</v>
      </c>
      <c r="H1699" s="11" t="s">
        <v>5048</v>
      </c>
      <c r="I1699" s="10" t="s">
        <v>61</v>
      </c>
      <c r="J1699" s="14">
        <v>1070.0</v>
      </c>
      <c r="K1699" s="14">
        <v>679.0</v>
      </c>
      <c r="L1699" s="17">
        <v>0.6346</v>
      </c>
      <c r="M1699" s="150">
        <v>0.0</v>
      </c>
      <c r="N1699" s="136">
        <v>0.0</v>
      </c>
      <c r="O1699" s="18">
        <v>1.0</v>
      </c>
      <c r="P1699" s="92">
        <v>0.0</v>
      </c>
      <c r="Q1699" s="137">
        <v>0.0015</v>
      </c>
      <c r="R1699" s="17">
        <v>0.0</v>
      </c>
      <c r="S1699" s="18">
        <v>5.0</v>
      </c>
      <c r="T1699" s="18">
        <v>24.0</v>
      </c>
      <c r="U1699" s="151">
        <v>12569.0</v>
      </c>
      <c r="V1699" s="92" t="s">
        <v>335</v>
      </c>
      <c r="W1699" s="18" t="s">
        <v>58</v>
      </c>
      <c r="X1699" s="42" t="s">
        <v>2131</v>
      </c>
      <c r="Y1699" s="159">
        <v>46170.0</v>
      </c>
      <c r="Z1699" s="18" t="s">
        <v>5150</v>
      </c>
      <c r="AA1699" s="92">
        <v>17.0</v>
      </c>
      <c r="AB1699" s="18">
        <v>17.0</v>
      </c>
      <c r="AC1699" s="18"/>
      <c r="AD1699" s="172">
        <v>35480.0</v>
      </c>
      <c r="AE1699" s="14">
        <v>35480.0</v>
      </c>
      <c r="AF1699" s="14"/>
      <c r="AG1699" s="22"/>
      <c r="AH1699" s="22"/>
      <c r="AI1699" s="22"/>
      <c r="AJ1699" s="22"/>
      <c r="AK1699" s="22"/>
      <c r="AL1699" s="22"/>
      <c r="AM1699" s="22"/>
      <c r="AN1699" s="22"/>
      <c r="AO1699" s="22"/>
      <c r="AP1699" s="22"/>
    </row>
    <row r="1700" hidden="1">
      <c r="A1700" s="148">
        <v>46170.0</v>
      </c>
      <c r="B1700" s="149">
        <v>0.8333333333333334</v>
      </c>
      <c r="C1700" s="11" t="s">
        <v>58</v>
      </c>
      <c r="D1700" s="102" t="s">
        <v>3083</v>
      </c>
      <c r="E1700" s="10" t="s">
        <v>71</v>
      </c>
      <c r="F1700" s="10" t="s">
        <v>5046</v>
      </c>
      <c r="G1700" s="11" t="s">
        <v>5151</v>
      </c>
      <c r="H1700" s="11" t="s">
        <v>5061</v>
      </c>
      <c r="I1700" s="10" t="s">
        <v>61</v>
      </c>
      <c r="J1700" s="14">
        <v>5899.0</v>
      </c>
      <c r="K1700" s="14">
        <v>3791.0</v>
      </c>
      <c r="L1700" s="17">
        <v>0.6427</v>
      </c>
      <c r="M1700" s="150">
        <v>0.0</v>
      </c>
      <c r="N1700" s="136">
        <v>0.0</v>
      </c>
      <c r="O1700" s="18">
        <v>8.0</v>
      </c>
      <c r="P1700" s="92">
        <v>0.0</v>
      </c>
      <c r="Q1700" s="137">
        <v>0.0021</v>
      </c>
      <c r="R1700" s="17">
        <v>0.0</v>
      </c>
      <c r="S1700" s="18">
        <v>1.0</v>
      </c>
      <c r="T1700" s="18">
        <v>1.0</v>
      </c>
      <c r="U1700" s="151">
        <v>1505.0</v>
      </c>
      <c r="V1700" s="92" t="s">
        <v>335</v>
      </c>
      <c r="W1700" s="18" t="s">
        <v>58</v>
      </c>
      <c r="X1700" s="42" t="s">
        <v>2542</v>
      </c>
      <c r="Y1700" s="159">
        <v>46170.0</v>
      </c>
      <c r="Z1700" s="18" t="s">
        <v>5152</v>
      </c>
      <c r="AA1700" s="92">
        <v>4.0</v>
      </c>
      <c r="AB1700" s="18">
        <v>4.0</v>
      </c>
      <c r="AC1700" s="18"/>
      <c r="AD1700" s="172">
        <v>7494.0</v>
      </c>
      <c r="AE1700" s="14">
        <v>7494.0</v>
      </c>
      <c r="AF1700" s="14"/>
      <c r="AG1700" s="22"/>
      <c r="AH1700" s="22"/>
      <c r="AI1700" s="22"/>
      <c r="AJ1700" s="22"/>
      <c r="AK1700" s="22"/>
      <c r="AL1700" s="22"/>
      <c r="AM1700" s="22"/>
      <c r="AN1700" s="22"/>
      <c r="AO1700" s="22"/>
      <c r="AP1700" s="22"/>
    </row>
    <row r="1701" hidden="1">
      <c r="A1701" s="148">
        <v>46170.0</v>
      </c>
      <c r="B1701" s="149">
        <v>0.8333333333333334</v>
      </c>
      <c r="C1701" s="11" t="s">
        <v>58</v>
      </c>
      <c r="D1701" s="102" t="s">
        <v>3083</v>
      </c>
      <c r="E1701" s="10" t="s">
        <v>71</v>
      </c>
      <c r="F1701" s="10" t="s">
        <v>5046</v>
      </c>
      <c r="G1701" s="11" t="s">
        <v>5153</v>
      </c>
      <c r="H1701" s="11" t="s">
        <v>5065</v>
      </c>
      <c r="I1701" s="10" t="s">
        <v>61</v>
      </c>
      <c r="J1701" s="14">
        <v>1046.0</v>
      </c>
      <c r="K1701" s="14">
        <v>616.0</v>
      </c>
      <c r="L1701" s="17">
        <v>0.5889</v>
      </c>
      <c r="M1701" s="150">
        <v>0.0</v>
      </c>
      <c r="N1701" s="136">
        <v>0.0</v>
      </c>
      <c r="O1701" s="18">
        <v>2.0</v>
      </c>
      <c r="P1701" s="92">
        <v>0.0</v>
      </c>
      <c r="Q1701" s="137">
        <v>0.0032</v>
      </c>
      <c r="R1701" s="17">
        <v>0.0</v>
      </c>
      <c r="S1701" s="18">
        <v>0.0</v>
      </c>
      <c r="T1701" s="18">
        <v>0.0</v>
      </c>
      <c r="U1701" s="151">
        <v>0.0</v>
      </c>
      <c r="V1701" s="92" t="s">
        <v>335</v>
      </c>
      <c r="W1701" s="18" t="s">
        <v>58</v>
      </c>
      <c r="X1701" s="42" t="s">
        <v>52</v>
      </c>
      <c r="Y1701" s="159">
        <v>46170.0</v>
      </c>
      <c r="Z1701" s="18" t="s">
        <v>5154</v>
      </c>
      <c r="AA1701" s="92">
        <v>3.0</v>
      </c>
      <c r="AB1701" s="18">
        <v>3.0</v>
      </c>
      <c r="AC1701" s="18"/>
      <c r="AD1701" s="172">
        <v>8596.0</v>
      </c>
      <c r="AE1701" s="14">
        <v>8596.0</v>
      </c>
      <c r="AF1701" s="14"/>
      <c r="AG1701" s="22"/>
      <c r="AH1701" s="22"/>
      <c r="AI1701" s="22"/>
      <c r="AJ1701" s="22"/>
      <c r="AK1701" s="22"/>
      <c r="AL1701" s="22"/>
      <c r="AM1701" s="22"/>
      <c r="AN1701" s="22"/>
      <c r="AO1701" s="22"/>
      <c r="AP1701" s="22"/>
    </row>
    <row r="1702" hidden="1">
      <c r="A1702" s="148">
        <v>46173.0</v>
      </c>
      <c r="B1702" s="149">
        <v>0.8333333333333334</v>
      </c>
      <c r="C1702" s="11" t="s">
        <v>58</v>
      </c>
      <c r="D1702" s="102" t="s">
        <v>3083</v>
      </c>
      <c r="E1702" s="10" t="s">
        <v>71</v>
      </c>
      <c r="F1702" s="10" t="s">
        <v>5046</v>
      </c>
      <c r="G1702" s="11" t="s">
        <v>5155</v>
      </c>
      <c r="H1702" s="11" t="s">
        <v>5048</v>
      </c>
      <c r="I1702" s="10" t="s">
        <v>61</v>
      </c>
      <c r="J1702" s="14">
        <v>1061.0</v>
      </c>
      <c r="K1702" s="14">
        <v>665.0</v>
      </c>
      <c r="L1702" s="17">
        <v>0.6268</v>
      </c>
      <c r="M1702" s="150">
        <v>0.0</v>
      </c>
      <c r="N1702" s="136">
        <v>0.0</v>
      </c>
      <c r="O1702" s="18">
        <v>0.0</v>
      </c>
      <c r="P1702" s="92">
        <v>0.0</v>
      </c>
      <c r="Q1702" s="137">
        <v>0.0</v>
      </c>
      <c r="R1702" s="17">
        <v>0.0</v>
      </c>
      <c r="S1702" s="18">
        <v>0.0</v>
      </c>
      <c r="T1702" s="18">
        <v>1.0</v>
      </c>
      <c r="U1702" s="151">
        <v>0.0</v>
      </c>
      <c r="V1702" s="92" t="s">
        <v>335</v>
      </c>
      <c r="W1702" s="18" t="s">
        <v>58</v>
      </c>
      <c r="X1702" s="42" t="s">
        <v>2131</v>
      </c>
      <c r="Y1702" s="159">
        <v>46173.0</v>
      </c>
      <c r="Z1702" s="18" t="s">
        <v>5156</v>
      </c>
      <c r="AA1702" s="92">
        <v>1.0</v>
      </c>
      <c r="AB1702" s="18">
        <v>1.0</v>
      </c>
      <c r="AC1702" s="18"/>
      <c r="AD1702" s="172">
        <v>2699.0</v>
      </c>
      <c r="AE1702" s="14">
        <v>2699.0</v>
      </c>
      <c r="AF1702" s="14"/>
      <c r="AG1702" s="22"/>
      <c r="AH1702" s="22"/>
      <c r="AI1702" s="22"/>
      <c r="AJ1702" s="22"/>
      <c r="AK1702" s="22"/>
      <c r="AL1702" s="22"/>
      <c r="AM1702" s="22"/>
      <c r="AN1702" s="22"/>
      <c r="AO1702" s="22"/>
      <c r="AP1702" s="22"/>
    </row>
    <row r="1703" hidden="1">
      <c r="A1703" s="148">
        <v>46173.0</v>
      </c>
      <c r="B1703" s="149">
        <v>0.8333333333333334</v>
      </c>
      <c r="C1703" s="11" t="s">
        <v>58</v>
      </c>
      <c r="D1703" s="102" t="s">
        <v>3083</v>
      </c>
      <c r="E1703" s="10" t="s">
        <v>71</v>
      </c>
      <c r="F1703" s="10" t="s">
        <v>5046</v>
      </c>
      <c r="G1703" s="11" t="s">
        <v>5157</v>
      </c>
      <c r="H1703" s="11" t="s">
        <v>5061</v>
      </c>
      <c r="I1703" s="10" t="s">
        <v>61</v>
      </c>
      <c r="J1703" s="14">
        <v>5807.0</v>
      </c>
      <c r="K1703" s="14">
        <v>3651.0</v>
      </c>
      <c r="L1703" s="17">
        <v>0.6287</v>
      </c>
      <c r="M1703" s="150">
        <v>0.0</v>
      </c>
      <c r="N1703" s="136">
        <v>0.0</v>
      </c>
      <c r="O1703" s="18">
        <v>6.0</v>
      </c>
      <c r="P1703" s="92">
        <v>0.0</v>
      </c>
      <c r="Q1703" s="137">
        <v>0.0016</v>
      </c>
      <c r="R1703" s="17">
        <v>0.0</v>
      </c>
      <c r="S1703" s="18">
        <v>0.0</v>
      </c>
      <c r="T1703" s="18">
        <v>0.0</v>
      </c>
      <c r="U1703" s="151">
        <v>0.0</v>
      </c>
      <c r="V1703" s="92" t="s">
        <v>335</v>
      </c>
      <c r="W1703" s="18" t="s">
        <v>58</v>
      </c>
      <c r="X1703" s="42" t="s">
        <v>2542</v>
      </c>
      <c r="Y1703" s="159">
        <v>46173.0</v>
      </c>
      <c r="Z1703" s="18" t="s">
        <v>5158</v>
      </c>
      <c r="AA1703" s="92">
        <v>1.0</v>
      </c>
      <c r="AB1703" s="18">
        <v>1.0</v>
      </c>
      <c r="AC1703" s="18"/>
      <c r="AD1703" s="172">
        <v>2381.0</v>
      </c>
      <c r="AE1703" s="14">
        <v>2381.0</v>
      </c>
      <c r="AF1703" s="14"/>
      <c r="AG1703" s="22"/>
      <c r="AH1703" s="22"/>
      <c r="AI1703" s="22"/>
      <c r="AJ1703" s="22"/>
      <c r="AK1703" s="22"/>
      <c r="AL1703" s="22"/>
      <c r="AM1703" s="22"/>
      <c r="AN1703" s="22"/>
      <c r="AO1703" s="22"/>
      <c r="AP1703" s="22"/>
    </row>
    <row r="1704" hidden="1">
      <c r="A1704" s="148">
        <v>46173.0</v>
      </c>
      <c r="B1704" s="149">
        <v>0.8333333333333334</v>
      </c>
      <c r="C1704" s="11" t="s">
        <v>58</v>
      </c>
      <c r="D1704" s="102" t="s">
        <v>3083</v>
      </c>
      <c r="E1704" s="10" t="s">
        <v>71</v>
      </c>
      <c r="F1704" s="10" t="s">
        <v>5046</v>
      </c>
      <c r="G1704" s="11" t="s">
        <v>5159</v>
      </c>
      <c r="H1704" s="11" t="s">
        <v>5065</v>
      </c>
      <c r="I1704" s="10" t="s">
        <v>61</v>
      </c>
      <c r="J1704" s="14">
        <v>1136.0</v>
      </c>
      <c r="K1704" s="14">
        <v>648.0</v>
      </c>
      <c r="L1704" s="17">
        <v>0.5704</v>
      </c>
      <c r="M1704" s="150">
        <v>0.0</v>
      </c>
      <c r="N1704" s="136">
        <v>0.0</v>
      </c>
      <c r="O1704" s="18">
        <v>1.0</v>
      </c>
      <c r="P1704" s="92">
        <v>0.0</v>
      </c>
      <c r="Q1704" s="137">
        <v>0.0015</v>
      </c>
      <c r="R1704" s="17">
        <v>0.0</v>
      </c>
      <c r="S1704" s="18">
        <v>0.0</v>
      </c>
      <c r="T1704" s="18">
        <v>0.0</v>
      </c>
      <c r="U1704" s="151">
        <v>0.0</v>
      </c>
      <c r="V1704" s="92" t="s">
        <v>335</v>
      </c>
      <c r="W1704" s="18" t="s">
        <v>58</v>
      </c>
      <c r="X1704" s="42" t="s">
        <v>52</v>
      </c>
      <c r="Y1704" s="159">
        <v>46173.0</v>
      </c>
      <c r="Z1704" s="18" t="s">
        <v>5160</v>
      </c>
      <c r="AA1704" s="92">
        <v>2.0</v>
      </c>
      <c r="AB1704" s="18">
        <v>2.0</v>
      </c>
      <c r="AC1704" s="18"/>
      <c r="AD1704" s="172">
        <v>11595.0</v>
      </c>
      <c r="AE1704" s="14">
        <v>11595.0</v>
      </c>
      <c r="AF1704" s="14"/>
      <c r="AG1704" s="22"/>
      <c r="AH1704" s="22"/>
      <c r="AI1704" s="22"/>
      <c r="AJ1704" s="22"/>
      <c r="AK1704" s="22"/>
      <c r="AL1704" s="22"/>
      <c r="AM1704" s="22"/>
      <c r="AN1704" s="22"/>
      <c r="AO1704" s="22"/>
      <c r="AP1704" s="22"/>
    </row>
    <row r="1705" hidden="1">
      <c r="A1705" s="148">
        <v>46171.0</v>
      </c>
      <c r="B1705" s="149">
        <v>0.8333333333333334</v>
      </c>
      <c r="C1705" s="11" t="s">
        <v>58</v>
      </c>
      <c r="D1705" s="102" t="s">
        <v>3083</v>
      </c>
      <c r="E1705" s="10" t="s">
        <v>71</v>
      </c>
      <c r="F1705" s="10" t="s">
        <v>5079</v>
      </c>
      <c r="G1705" s="11" t="s">
        <v>5161</v>
      </c>
      <c r="H1705" s="11" t="s">
        <v>4280</v>
      </c>
      <c r="I1705" s="10" t="s">
        <v>61</v>
      </c>
      <c r="J1705" s="14">
        <v>14089.0</v>
      </c>
      <c r="K1705" s="14">
        <v>7660.0</v>
      </c>
      <c r="L1705" s="17">
        <v>0.5437</v>
      </c>
      <c r="M1705" s="150">
        <v>0.0</v>
      </c>
      <c r="N1705" s="136">
        <v>0.0</v>
      </c>
      <c r="O1705" s="18">
        <v>21.0</v>
      </c>
      <c r="P1705" s="92">
        <v>0.0</v>
      </c>
      <c r="Q1705" s="137">
        <v>0.0027</v>
      </c>
      <c r="R1705" s="17">
        <v>0.0</v>
      </c>
      <c r="S1705" s="18">
        <v>4.0</v>
      </c>
      <c r="T1705" s="18">
        <v>14.0</v>
      </c>
      <c r="U1705" s="151">
        <v>12458.0</v>
      </c>
      <c r="V1705" s="92" t="s">
        <v>335</v>
      </c>
      <c r="W1705" s="18" t="s">
        <v>58</v>
      </c>
      <c r="X1705" s="42" t="s">
        <v>4001</v>
      </c>
      <c r="Y1705" s="159">
        <v>46171.0</v>
      </c>
      <c r="Z1705" s="18" t="s">
        <v>5162</v>
      </c>
      <c r="AA1705" s="92">
        <v>13.0</v>
      </c>
      <c r="AB1705" s="92">
        <v>13.0</v>
      </c>
      <c r="AC1705" s="18"/>
      <c r="AD1705" s="172">
        <v>37528.0</v>
      </c>
      <c r="AE1705" s="14">
        <v>37528.0</v>
      </c>
      <c r="AF1705" s="14"/>
      <c r="AG1705" s="22"/>
      <c r="AH1705" s="22"/>
      <c r="AI1705" s="22"/>
      <c r="AJ1705" s="22"/>
      <c r="AK1705" s="22"/>
      <c r="AL1705" s="22"/>
      <c r="AM1705" s="22"/>
      <c r="AN1705" s="22"/>
      <c r="AO1705" s="22"/>
      <c r="AP1705" s="22"/>
    </row>
    <row r="1706" hidden="1">
      <c r="A1706" s="148">
        <v>46171.0</v>
      </c>
      <c r="B1706" s="149">
        <v>0.8333333333333334</v>
      </c>
      <c r="C1706" s="11" t="s">
        <v>58</v>
      </c>
      <c r="D1706" s="102" t="s">
        <v>3083</v>
      </c>
      <c r="E1706" s="10" t="s">
        <v>71</v>
      </c>
      <c r="F1706" s="10" t="s">
        <v>5079</v>
      </c>
      <c r="G1706" s="11" t="s">
        <v>5163</v>
      </c>
      <c r="H1706" s="11" t="s">
        <v>4284</v>
      </c>
      <c r="I1706" s="10" t="s">
        <v>61</v>
      </c>
      <c r="J1706" s="14">
        <v>3004.0</v>
      </c>
      <c r="K1706" s="14">
        <v>1967.0</v>
      </c>
      <c r="L1706" s="17">
        <v>0.6548</v>
      </c>
      <c r="M1706" s="150">
        <v>0.0</v>
      </c>
      <c r="N1706" s="136">
        <v>0.0</v>
      </c>
      <c r="O1706" s="18">
        <v>9.0</v>
      </c>
      <c r="P1706" s="92">
        <v>0.0</v>
      </c>
      <c r="Q1706" s="137">
        <v>0.0046</v>
      </c>
      <c r="R1706" s="17">
        <v>0.0</v>
      </c>
      <c r="S1706" s="18">
        <v>3.0</v>
      </c>
      <c r="T1706" s="18">
        <v>21.0</v>
      </c>
      <c r="U1706" s="151">
        <v>12767.0</v>
      </c>
      <c r="V1706" s="92" t="s">
        <v>335</v>
      </c>
      <c r="W1706" s="18" t="s">
        <v>58</v>
      </c>
      <c r="X1706" s="42" t="s">
        <v>4286</v>
      </c>
      <c r="Y1706" s="159">
        <v>46171.0</v>
      </c>
      <c r="Z1706" s="18" t="s">
        <v>5164</v>
      </c>
      <c r="AA1706" s="92">
        <v>8.0</v>
      </c>
      <c r="AB1706" s="18">
        <v>8.0</v>
      </c>
      <c r="AC1706" s="18"/>
      <c r="AD1706" s="172">
        <v>20424.0</v>
      </c>
      <c r="AE1706" s="172">
        <v>20424.0</v>
      </c>
      <c r="AF1706" s="14"/>
      <c r="AG1706" s="22"/>
      <c r="AH1706" s="22"/>
      <c r="AI1706" s="22"/>
      <c r="AJ1706" s="22"/>
      <c r="AK1706" s="22"/>
      <c r="AL1706" s="22"/>
      <c r="AM1706" s="22"/>
      <c r="AN1706" s="22"/>
      <c r="AO1706" s="22"/>
      <c r="AP1706" s="22"/>
    </row>
    <row r="1707" hidden="1">
      <c r="A1707" s="148">
        <v>46171.0</v>
      </c>
      <c r="B1707" s="149">
        <v>0.8333333333333334</v>
      </c>
      <c r="C1707" s="11" t="s">
        <v>58</v>
      </c>
      <c r="D1707" s="102" t="s">
        <v>3083</v>
      </c>
      <c r="E1707" s="10" t="s">
        <v>71</v>
      </c>
      <c r="F1707" s="10" t="s">
        <v>5079</v>
      </c>
      <c r="G1707" s="11" t="s">
        <v>5165</v>
      </c>
      <c r="H1707" s="11" t="s">
        <v>4289</v>
      </c>
      <c r="I1707" s="10" t="s">
        <v>61</v>
      </c>
      <c r="J1707" s="14">
        <v>20213.0</v>
      </c>
      <c r="K1707" s="14">
        <v>11009.0</v>
      </c>
      <c r="L1707" s="17">
        <v>0.5446</v>
      </c>
      <c r="M1707" s="150">
        <v>0.0</v>
      </c>
      <c r="N1707" s="136">
        <v>0.0</v>
      </c>
      <c r="O1707" s="18">
        <v>22.0</v>
      </c>
      <c r="P1707" s="92">
        <v>0.0</v>
      </c>
      <c r="Q1707" s="137">
        <v>0.002</v>
      </c>
      <c r="R1707" s="17">
        <v>0.0</v>
      </c>
      <c r="S1707" s="18">
        <v>0.0</v>
      </c>
      <c r="T1707" s="18">
        <v>1.0</v>
      </c>
      <c r="U1707" s="151">
        <v>0.0</v>
      </c>
      <c r="V1707" s="92" t="s">
        <v>335</v>
      </c>
      <c r="W1707" s="18" t="s">
        <v>58</v>
      </c>
      <c r="X1707" s="42" t="s">
        <v>52</v>
      </c>
      <c r="Y1707" s="159">
        <v>46171.0</v>
      </c>
      <c r="Z1707" s="18" t="s">
        <v>5166</v>
      </c>
      <c r="AA1707" s="92">
        <v>12.0</v>
      </c>
      <c r="AB1707" s="18">
        <v>12.0</v>
      </c>
      <c r="AC1707" s="18"/>
      <c r="AD1707" s="172">
        <v>35776.0</v>
      </c>
      <c r="AE1707" s="14">
        <v>35776.0</v>
      </c>
      <c r="AF1707" s="14"/>
      <c r="AG1707" s="22"/>
      <c r="AH1707" s="22"/>
      <c r="AI1707" s="22"/>
      <c r="AJ1707" s="22"/>
      <c r="AK1707" s="22"/>
      <c r="AL1707" s="22"/>
      <c r="AM1707" s="22"/>
      <c r="AN1707" s="22"/>
      <c r="AO1707" s="22"/>
      <c r="AP1707" s="22"/>
    </row>
    <row r="1708" hidden="1">
      <c r="A1708" s="148">
        <v>46172.0</v>
      </c>
      <c r="B1708" s="149">
        <v>0.5625</v>
      </c>
      <c r="C1708" s="11" t="s">
        <v>58</v>
      </c>
      <c r="D1708" s="102" t="s">
        <v>3083</v>
      </c>
      <c r="E1708" s="10" t="s">
        <v>71</v>
      </c>
      <c r="F1708" s="10" t="s">
        <v>5079</v>
      </c>
      <c r="G1708" s="11" t="s">
        <v>5167</v>
      </c>
      <c r="H1708" s="11" t="s">
        <v>4280</v>
      </c>
      <c r="I1708" s="10" t="s">
        <v>61</v>
      </c>
      <c r="J1708" s="14">
        <v>15562.0</v>
      </c>
      <c r="K1708" s="14">
        <v>8530.0</v>
      </c>
      <c r="L1708" s="17">
        <v>0.5481</v>
      </c>
      <c r="M1708" s="150">
        <v>0.0</v>
      </c>
      <c r="N1708" s="136">
        <v>0.0</v>
      </c>
      <c r="O1708" s="18">
        <v>9.0</v>
      </c>
      <c r="P1708" s="92">
        <v>0.0</v>
      </c>
      <c r="Q1708" s="137">
        <v>0.0011</v>
      </c>
      <c r="R1708" s="17">
        <v>0.0</v>
      </c>
      <c r="S1708" s="18">
        <v>1.0</v>
      </c>
      <c r="T1708" s="18">
        <v>10.0</v>
      </c>
      <c r="U1708" s="151">
        <v>2999.0</v>
      </c>
      <c r="V1708" s="92" t="s">
        <v>335</v>
      </c>
      <c r="W1708" s="18" t="s">
        <v>58</v>
      </c>
      <c r="X1708" s="42" t="s">
        <v>4001</v>
      </c>
      <c r="Y1708" s="159">
        <v>46172.0</v>
      </c>
      <c r="Z1708" s="18" t="s">
        <v>5168</v>
      </c>
      <c r="AA1708" s="92">
        <v>21.0</v>
      </c>
      <c r="AB1708" s="18">
        <v>21.0</v>
      </c>
      <c r="AC1708" s="18"/>
      <c r="AD1708" s="172">
        <v>68398.0</v>
      </c>
      <c r="AE1708" s="14">
        <v>68398.0</v>
      </c>
      <c r="AF1708" s="14"/>
      <c r="AG1708" s="22"/>
      <c r="AH1708" s="22"/>
      <c r="AI1708" s="22"/>
      <c r="AJ1708" s="22"/>
      <c r="AK1708" s="22"/>
      <c r="AL1708" s="22"/>
      <c r="AM1708" s="22"/>
      <c r="AN1708" s="22"/>
      <c r="AO1708" s="22"/>
      <c r="AP1708" s="22"/>
    </row>
    <row r="1709" hidden="1">
      <c r="A1709" s="148">
        <v>46172.0</v>
      </c>
      <c r="B1709" s="149">
        <v>0.5625</v>
      </c>
      <c r="C1709" s="11" t="s">
        <v>58</v>
      </c>
      <c r="D1709" s="102" t="s">
        <v>3083</v>
      </c>
      <c r="E1709" s="10" t="s">
        <v>71</v>
      </c>
      <c r="F1709" s="10" t="s">
        <v>5079</v>
      </c>
      <c r="G1709" s="11" t="s">
        <v>5169</v>
      </c>
      <c r="H1709" s="11" t="s">
        <v>4284</v>
      </c>
      <c r="I1709" s="10" t="s">
        <v>61</v>
      </c>
      <c r="J1709" s="14">
        <v>3412.0</v>
      </c>
      <c r="K1709" s="14">
        <v>2250.0</v>
      </c>
      <c r="L1709" s="17">
        <v>0.6594</v>
      </c>
      <c r="M1709" s="150">
        <v>0.0</v>
      </c>
      <c r="N1709" s="136">
        <v>0.0</v>
      </c>
      <c r="O1709" s="18">
        <v>0.0</v>
      </c>
      <c r="P1709" s="92">
        <v>0.0</v>
      </c>
      <c r="Q1709" s="137">
        <v>0.0</v>
      </c>
      <c r="R1709" s="17">
        <v>0.0</v>
      </c>
      <c r="S1709" s="18">
        <v>2.0</v>
      </c>
      <c r="T1709" s="18">
        <v>19.0</v>
      </c>
      <c r="U1709" s="151">
        <v>8767.0</v>
      </c>
      <c r="V1709" s="92" t="s">
        <v>335</v>
      </c>
      <c r="W1709" s="18" t="s">
        <v>58</v>
      </c>
      <c r="X1709" s="42" t="s">
        <v>4286</v>
      </c>
      <c r="Y1709" s="159">
        <v>46172.0</v>
      </c>
      <c r="Z1709" s="18" t="s">
        <v>5170</v>
      </c>
      <c r="AA1709" s="92">
        <v>3.0</v>
      </c>
      <c r="AB1709" s="18">
        <v>3.0</v>
      </c>
      <c r="AC1709" s="18"/>
      <c r="AD1709" s="172">
        <v>10025.0</v>
      </c>
      <c r="AE1709" s="14">
        <v>10025.0</v>
      </c>
      <c r="AF1709" s="14"/>
      <c r="AG1709" s="22"/>
      <c r="AH1709" s="22"/>
      <c r="AI1709" s="22"/>
      <c r="AJ1709" s="22"/>
      <c r="AK1709" s="22"/>
      <c r="AL1709" s="22"/>
      <c r="AM1709" s="22"/>
      <c r="AN1709" s="22"/>
      <c r="AO1709" s="22"/>
      <c r="AP1709" s="22"/>
    </row>
    <row r="1710" hidden="1">
      <c r="A1710" s="148">
        <v>46172.0</v>
      </c>
      <c r="B1710" s="149">
        <v>0.5625</v>
      </c>
      <c r="C1710" s="11" t="s">
        <v>58</v>
      </c>
      <c r="D1710" s="102" t="s">
        <v>3083</v>
      </c>
      <c r="E1710" s="10" t="s">
        <v>71</v>
      </c>
      <c r="F1710" s="10" t="s">
        <v>5079</v>
      </c>
      <c r="G1710" s="11" t="s">
        <v>5171</v>
      </c>
      <c r="H1710" s="11" t="s">
        <v>4289</v>
      </c>
      <c r="I1710" s="10" t="s">
        <v>61</v>
      </c>
      <c r="J1710" s="14">
        <v>20210.0</v>
      </c>
      <c r="K1710" s="14">
        <v>11174.0</v>
      </c>
      <c r="L1710" s="17">
        <v>0.5529</v>
      </c>
      <c r="M1710" s="150">
        <v>0.0</v>
      </c>
      <c r="N1710" s="136">
        <v>0.0</v>
      </c>
      <c r="O1710" s="18">
        <v>5.0</v>
      </c>
      <c r="P1710" s="92">
        <v>0.0</v>
      </c>
      <c r="Q1710" s="137">
        <v>4.0E-4</v>
      </c>
      <c r="R1710" s="17">
        <v>0.0</v>
      </c>
      <c r="S1710" s="18">
        <v>0.0</v>
      </c>
      <c r="T1710" s="18">
        <v>0.0</v>
      </c>
      <c r="U1710" s="151">
        <v>0.0</v>
      </c>
      <c r="V1710" s="92" t="s">
        <v>335</v>
      </c>
      <c r="W1710" s="18" t="s">
        <v>58</v>
      </c>
      <c r="X1710" s="42" t="s">
        <v>52</v>
      </c>
      <c r="Y1710" s="159">
        <v>46172.0</v>
      </c>
      <c r="Z1710" s="18" t="s">
        <v>5172</v>
      </c>
      <c r="AA1710" s="92">
        <v>9.0</v>
      </c>
      <c r="AB1710" s="18">
        <v>9.0</v>
      </c>
      <c r="AC1710" s="18"/>
      <c r="AD1710" s="172">
        <v>28154.0</v>
      </c>
      <c r="AE1710" s="14">
        <v>28154.0</v>
      </c>
      <c r="AF1710" s="14"/>
      <c r="AG1710" s="22"/>
      <c r="AH1710" s="22"/>
      <c r="AI1710" s="22"/>
      <c r="AJ1710" s="22"/>
      <c r="AK1710" s="22"/>
      <c r="AL1710" s="22"/>
      <c r="AM1710" s="22"/>
      <c r="AN1710" s="22"/>
      <c r="AO1710" s="22"/>
      <c r="AP1710" s="22"/>
    </row>
    <row r="1711" hidden="1">
      <c r="A1711" s="148">
        <v>46170.0</v>
      </c>
      <c r="B1711" s="149">
        <v>0.8333333333333334</v>
      </c>
      <c r="C1711" s="11" t="s">
        <v>58</v>
      </c>
      <c r="D1711" s="102" t="s">
        <v>3083</v>
      </c>
      <c r="E1711" s="10" t="s">
        <v>71</v>
      </c>
      <c r="F1711" s="10" t="s">
        <v>5046</v>
      </c>
      <c r="G1711" s="11" t="s">
        <v>5173</v>
      </c>
      <c r="H1711" s="11" t="s">
        <v>5053</v>
      </c>
      <c r="I1711" s="10" t="s">
        <v>61</v>
      </c>
      <c r="J1711" s="14">
        <v>23839.0</v>
      </c>
      <c r="K1711" s="14">
        <v>12761.0</v>
      </c>
      <c r="L1711" s="17">
        <v>0.5353</v>
      </c>
      <c r="M1711" s="150">
        <v>0.0</v>
      </c>
      <c r="N1711" s="136">
        <v>0.0</v>
      </c>
      <c r="O1711" s="18">
        <v>33.0</v>
      </c>
      <c r="P1711" s="92">
        <v>0.0</v>
      </c>
      <c r="Q1711" s="137">
        <v>0.0026</v>
      </c>
      <c r="R1711" s="17">
        <v>0.0</v>
      </c>
      <c r="S1711" s="18">
        <v>2.0</v>
      </c>
      <c r="T1711" s="18">
        <v>8.0</v>
      </c>
      <c r="U1711" s="151">
        <v>6651.0</v>
      </c>
      <c r="V1711" s="92" t="s">
        <v>183</v>
      </c>
      <c r="W1711" s="18" t="s">
        <v>58</v>
      </c>
      <c r="X1711" s="42" t="s">
        <v>2286</v>
      </c>
      <c r="Y1711" s="159">
        <v>46170.0</v>
      </c>
      <c r="Z1711" s="18" t="s">
        <v>5174</v>
      </c>
      <c r="AA1711" s="92">
        <v>35.0</v>
      </c>
      <c r="AB1711" s="18">
        <v>11.0</v>
      </c>
      <c r="AC1711" s="18">
        <v>24.0</v>
      </c>
      <c r="AD1711" s="172">
        <v>187960.0</v>
      </c>
      <c r="AE1711" s="14">
        <v>28156.0</v>
      </c>
      <c r="AF1711" s="14">
        <v>159804.0</v>
      </c>
      <c r="AG1711" s="22"/>
      <c r="AH1711" s="22"/>
      <c r="AI1711" s="22"/>
      <c r="AJ1711" s="22"/>
      <c r="AK1711" s="22"/>
      <c r="AL1711" s="22"/>
      <c r="AM1711" s="22"/>
      <c r="AN1711" s="22"/>
      <c r="AO1711" s="22"/>
      <c r="AP1711" s="22"/>
    </row>
    <row r="1712" hidden="1">
      <c r="A1712" s="148">
        <v>46170.0</v>
      </c>
      <c r="B1712" s="149">
        <v>0.8333333333333334</v>
      </c>
      <c r="C1712" s="11" t="s">
        <v>58</v>
      </c>
      <c r="D1712" s="102" t="s">
        <v>3083</v>
      </c>
      <c r="E1712" s="10" t="s">
        <v>71</v>
      </c>
      <c r="F1712" s="10" t="s">
        <v>5046</v>
      </c>
      <c r="G1712" s="11" t="s">
        <v>5175</v>
      </c>
      <c r="H1712" s="11" t="s">
        <v>5057</v>
      </c>
      <c r="I1712" s="10" t="s">
        <v>61</v>
      </c>
      <c r="J1712" s="14">
        <v>62325.0</v>
      </c>
      <c r="K1712" s="14">
        <v>33137.0</v>
      </c>
      <c r="L1712" s="17">
        <v>0.5317</v>
      </c>
      <c r="M1712" s="150">
        <v>0.0</v>
      </c>
      <c r="N1712" s="136">
        <v>0.0</v>
      </c>
      <c r="O1712" s="18">
        <v>80.0</v>
      </c>
      <c r="P1712" s="92">
        <v>0.0</v>
      </c>
      <c r="Q1712" s="137">
        <v>0.0024</v>
      </c>
      <c r="R1712" s="17">
        <v>0.0</v>
      </c>
      <c r="S1712" s="18">
        <v>3.0</v>
      </c>
      <c r="T1712" s="18">
        <v>11.0</v>
      </c>
      <c r="U1712" s="151">
        <v>19779.0</v>
      </c>
      <c r="V1712" s="92" t="s">
        <v>183</v>
      </c>
      <c r="W1712" s="18" t="s">
        <v>58</v>
      </c>
      <c r="X1712" s="42" t="s">
        <v>41</v>
      </c>
      <c r="Y1712" s="159">
        <v>46170.0</v>
      </c>
      <c r="Z1712" s="18" t="s">
        <v>5176</v>
      </c>
      <c r="AA1712" s="92">
        <v>59.0</v>
      </c>
      <c r="AB1712" s="18">
        <v>28.0</v>
      </c>
      <c r="AC1712" s="18">
        <v>31.0</v>
      </c>
      <c r="AD1712" s="172">
        <v>275401.0</v>
      </c>
      <c r="AE1712" s="14">
        <v>102140.0</v>
      </c>
      <c r="AF1712" s="14">
        <v>173261.0</v>
      </c>
      <c r="AG1712" s="22"/>
      <c r="AH1712" s="22"/>
      <c r="AI1712" s="22"/>
      <c r="AJ1712" s="22"/>
      <c r="AK1712" s="22"/>
      <c r="AL1712" s="22"/>
      <c r="AM1712" s="22"/>
      <c r="AN1712" s="22"/>
      <c r="AO1712" s="22"/>
      <c r="AP1712" s="22"/>
    </row>
    <row r="1713" hidden="1">
      <c r="A1713" s="148">
        <v>46173.0</v>
      </c>
      <c r="B1713" s="149">
        <v>0.8333333333333334</v>
      </c>
      <c r="C1713" s="11" t="s">
        <v>58</v>
      </c>
      <c r="D1713" s="102" t="s">
        <v>3083</v>
      </c>
      <c r="E1713" s="10" t="s">
        <v>71</v>
      </c>
      <c r="F1713" s="10" t="s">
        <v>5046</v>
      </c>
      <c r="G1713" s="11" t="s">
        <v>5177</v>
      </c>
      <c r="H1713" s="11" t="s">
        <v>5053</v>
      </c>
      <c r="I1713" s="10" t="s">
        <v>61</v>
      </c>
      <c r="J1713" s="14">
        <v>23841.0</v>
      </c>
      <c r="K1713" s="14">
        <v>12563.0</v>
      </c>
      <c r="L1713" s="17">
        <v>0.5269</v>
      </c>
      <c r="M1713" s="150">
        <v>0.0</v>
      </c>
      <c r="N1713" s="136">
        <v>0.0</v>
      </c>
      <c r="O1713" s="18">
        <v>11.0</v>
      </c>
      <c r="P1713" s="92">
        <v>0.0</v>
      </c>
      <c r="Q1713" s="137">
        <v>9.0E-4</v>
      </c>
      <c r="R1713" s="17">
        <v>0.0</v>
      </c>
      <c r="S1713" s="18">
        <v>0.0</v>
      </c>
      <c r="T1713" s="18">
        <v>0.0</v>
      </c>
      <c r="U1713" s="151">
        <v>0.0</v>
      </c>
      <c r="V1713" s="92" t="s">
        <v>183</v>
      </c>
      <c r="W1713" s="18" t="s">
        <v>58</v>
      </c>
      <c r="X1713" s="42" t="s">
        <v>2286</v>
      </c>
      <c r="Y1713" s="159">
        <v>46173.0</v>
      </c>
      <c r="Z1713" s="18" t="s">
        <v>5178</v>
      </c>
      <c r="AA1713" s="92">
        <v>52.0</v>
      </c>
      <c r="AB1713" s="18">
        <v>11.0</v>
      </c>
      <c r="AC1713" s="18">
        <v>41.0</v>
      </c>
      <c r="AD1713" s="172">
        <v>185351.0</v>
      </c>
      <c r="AE1713" s="14">
        <v>34104.0</v>
      </c>
      <c r="AF1713" s="14">
        <v>151247.0</v>
      </c>
      <c r="AG1713" s="22"/>
      <c r="AH1713" s="22"/>
      <c r="AI1713" s="22"/>
      <c r="AJ1713" s="22"/>
      <c r="AK1713" s="22"/>
      <c r="AL1713" s="22"/>
      <c r="AM1713" s="22"/>
      <c r="AN1713" s="22"/>
      <c r="AO1713" s="22"/>
      <c r="AP1713" s="22"/>
    </row>
    <row r="1714" hidden="1">
      <c r="A1714" s="148">
        <v>46173.0</v>
      </c>
      <c r="B1714" s="149">
        <v>0.8333333333333334</v>
      </c>
      <c r="C1714" s="11" t="s">
        <v>58</v>
      </c>
      <c r="D1714" s="102" t="s">
        <v>3083</v>
      </c>
      <c r="E1714" s="10" t="s">
        <v>71</v>
      </c>
      <c r="F1714" s="10" t="s">
        <v>5046</v>
      </c>
      <c r="G1714" s="11" t="s">
        <v>5179</v>
      </c>
      <c r="H1714" s="11" t="s">
        <v>5057</v>
      </c>
      <c r="I1714" s="10" t="s">
        <v>61</v>
      </c>
      <c r="J1714" s="14">
        <v>65269.0</v>
      </c>
      <c r="K1714" s="14">
        <v>34445.0</v>
      </c>
      <c r="L1714" s="17">
        <v>0.5277</v>
      </c>
      <c r="M1714" s="150">
        <v>0.0</v>
      </c>
      <c r="N1714" s="136">
        <v>0.0</v>
      </c>
      <c r="O1714" s="18">
        <v>28.0</v>
      </c>
      <c r="P1714" s="92">
        <v>0.0</v>
      </c>
      <c r="Q1714" s="137">
        <v>8.0E-4</v>
      </c>
      <c r="R1714" s="17">
        <v>0.0</v>
      </c>
      <c r="S1714" s="18">
        <v>1.0</v>
      </c>
      <c r="T1714" s="18">
        <v>1.0</v>
      </c>
      <c r="U1714" s="151">
        <v>1976.0</v>
      </c>
      <c r="V1714" s="92" t="s">
        <v>183</v>
      </c>
      <c r="W1714" s="18" t="s">
        <v>58</v>
      </c>
      <c r="X1714" s="42" t="s">
        <v>41</v>
      </c>
      <c r="Y1714" s="159">
        <v>46173.0</v>
      </c>
      <c r="Z1714" s="18" t="s">
        <v>5180</v>
      </c>
      <c r="AA1714" s="92">
        <v>81.0</v>
      </c>
      <c r="AB1714" s="18">
        <v>10.0</v>
      </c>
      <c r="AC1714" s="18">
        <v>71.0</v>
      </c>
      <c r="AD1714" s="172">
        <v>376091.0</v>
      </c>
      <c r="AE1714" s="14">
        <v>30160.0</v>
      </c>
      <c r="AF1714" s="14">
        <v>345931.0</v>
      </c>
      <c r="AG1714" s="22"/>
      <c r="AH1714" s="22"/>
      <c r="AI1714" s="22"/>
      <c r="AJ1714" s="22"/>
      <c r="AK1714" s="22"/>
      <c r="AL1714" s="22"/>
      <c r="AM1714" s="22"/>
      <c r="AN1714" s="22"/>
      <c r="AO1714" s="22"/>
      <c r="AP1714" s="22"/>
    </row>
    <row r="1715" hidden="1">
      <c r="A1715" s="148">
        <v>46171.0</v>
      </c>
      <c r="B1715" s="149">
        <v>0.7083333333333334</v>
      </c>
      <c r="C1715" s="11" t="s">
        <v>58</v>
      </c>
      <c r="D1715" s="102" t="s">
        <v>3083</v>
      </c>
      <c r="E1715" s="10" t="s">
        <v>1998</v>
      </c>
      <c r="F1715" s="10" t="s">
        <v>4293</v>
      </c>
      <c r="G1715" s="11" t="s">
        <v>5181</v>
      </c>
      <c r="H1715" s="11" t="s">
        <v>4294</v>
      </c>
      <c r="I1715" s="10" t="s">
        <v>2956</v>
      </c>
      <c r="J1715" s="14">
        <v>6791.0</v>
      </c>
      <c r="K1715" s="14">
        <v>3925.0</v>
      </c>
      <c r="L1715" s="17">
        <v>0.578</v>
      </c>
      <c r="M1715" s="150">
        <v>0.0</v>
      </c>
      <c r="N1715" s="136">
        <v>0.0</v>
      </c>
      <c r="O1715" s="18">
        <v>3.0</v>
      </c>
      <c r="P1715" s="92">
        <v>0.0</v>
      </c>
      <c r="Q1715" s="137">
        <v>8.0E-4</v>
      </c>
      <c r="R1715" s="17">
        <v>0.0</v>
      </c>
      <c r="S1715" s="18">
        <v>1.0</v>
      </c>
      <c r="T1715" s="18">
        <v>0.0</v>
      </c>
      <c r="U1715" s="151">
        <v>4130.0</v>
      </c>
      <c r="V1715" s="92" t="s">
        <v>183</v>
      </c>
      <c r="W1715" s="18" t="s">
        <v>58</v>
      </c>
      <c r="X1715" s="42" t="s">
        <v>4296</v>
      </c>
      <c r="Y1715" s="94" t="s">
        <v>5119</v>
      </c>
      <c r="Z1715" s="18" t="s">
        <v>5182</v>
      </c>
      <c r="AA1715" s="92">
        <v>3.0</v>
      </c>
      <c r="AB1715" s="18">
        <v>2.0</v>
      </c>
      <c r="AC1715" s="18">
        <v>1.0</v>
      </c>
      <c r="AD1715" s="172">
        <v>18399.0</v>
      </c>
      <c r="AE1715" s="14">
        <v>10609.0</v>
      </c>
      <c r="AF1715" s="14">
        <v>7790.0</v>
      </c>
      <c r="AG1715" s="22"/>
      <c r="AH1715" s="22"/>
      <c r="AI1715" s="22"/>
      <c r="AJ1715" s="22"/>
      <c r="AK1715" s="22"/>
      <c r="AL1715" s="22"/>
      <c r="AM1715" s="22"/>
      <c r="AN1715" s="22"/>
      <c r="AO1715" s="22"/>
      <c r="AP1715" s="22"/>
    </row>
    <row r="1716" hidden="1">
      <c r="A1716" s="148">
        <v>46171.0</v>
      </c>
      <c r="B1716" s="149">
        <v>0.5</v>
      </c>
      <c r="C1716" s="11" t="s">
        <v>196</v>
      </c>
      <c r="D1716" s="102" t="s">
        <v>3083</v>
      </c>
      <c r="E1716" s="10" t="s">
        <v>1998</v>
      </c>
      <c r="F1716" s="10" t="s">
        <v>4293</v>
      </c>
      <c r="G1716" s="11" t="s">
        <v>5183</v>
      </c>
      <c r="H1716" s="11" t="s">
        <v>4294</v>
      </c>
      <c r="I1716" s="10" t="s">
        <v>61</v>
      </c>
      <c r="J1716" s="14">
        <v>7576.0</v>
      </c>
      <c r="K1716" s="14">
        <v>795.0</v>
      </c>
      <c r="L1716" s="17">
        <v>0.1049</v>
      </c>
      <c r="M1716" s="150">
        <v>135.0</v>
      </c>
      <c r="N1716" s="136">
        <v>0.1698</v>
      </c>
      <c r="O1716" s="18">
        <v>7.0</v>
      </c>
      <c r="P1716" s="92">
        <v>0.0</v>
      </c>
      <c r="Q1716" s="137">
        <v>0.0088</v>
      </c>
      <c r="R1716" s="17">
        <v>0.0</v>
      </c>
      <c r="S1716" s="18">
        <v>0.0</v>
      </c>
      <c r="T1716" s="18">
        <v>0.0</v>
      </c>
      <c r="U1716" s="151">
        <v>0.0</v>
      </c>
      <c r="V1716" s="92" t="s">
        <v>183</v>
      </c>
      <c r="W1716" s="18" t="s">
        <v>95</v>
      </c>
      <c r="X1716" s="42" t="s">
        <v>4296</v>
      </c>
      <c r="Y1716" s="94" t="s">
        <v>5119</v>
      </c>
      <c r="Z1716" s="18" t="s">
        <v>5184</v>
      </c>
      <c r="AA1716" s="92">
        <v>1.0</v>
      </c>
      <c r="AB1716" s="18">
        <v>1.0</v>
      </c>
      <c r="AC1716" s="18">
        <v>0.0</v>
      </c>
      <c r="AD1716" s="14">
        <v>2399.0</v>
      </c>
      <c r="AE1716" s="14">
        <v>2399.0</v>
      </c>
      <c r="AF1716" s="14">
        <v>0.0</v>
      </c>
      <c r="AG1716" s="173"/>
      <c r="AH1716" s="173"/>
      <c r="AI1716" s="173"/>
      <c r="AJ1716" s="173"/>
      <c r="AK1716" s="173"/>
      <c r="AL1716" s="173"/>
      <c r="AM1716" s="173"/>
      <c r="AN1716" s="173"/>
      <c r="AO1716" s="173"/>
      <c r="AP1716" s="173"/>
    </row>
    <row r="1717" hidden="1">
      <c r="A1717" s="148">
        <v>46179.0</v>
      </c>
      <c r="B1717" s="149">
        <v>0.4166666666666667</v>
      </c>
      <c r="C1717" s="11" t="s">
        <v>32</v>
      </c>
      <c r="D1717" s="102" t="s">
        <v>33</v>
      </c>
      <c r="E1717" s="10" t="s">
        <v>106</v>
      </c>
      <c r="F1717" s="10" t="s">
        <v>3471</v>
      </c>
      <c r="G1717" s="11" t="s">
        <v>5185</v>
      </c>
      <c r="H1717" s="11" t="s">
        <v>5186</v>
      </c>
      <c r="I1717" s="10" t="s">
        <v>47</v>
      </c>
      <c r="J1717" s="14">
        <v>87131.0</v>
      </c>
      <c r="K1717" s="14">
        <v>33543.0</v>
      </c>
      <c r="L1717" s="17">
        <v>0.3849</v>
      </c>
      <c r="M1717" s="150">
        <v>11345.0</v>
      </c>
      <c r="N1717" s="165">
        <v>0.3382</v>
      </c>
      <c r="O1717" s="18">
        <v>832.0</v>
      </c>
      <c r="P1717" s="92">
        <v>807.0</v>
      </c>
      <c r="Q1717" s="166">
        <v>0.0241</v>
      </c>
      <c r="R1717" s="17">
        <v>0.0711</v>
      </c>
      <c r="S1717" s="18">
        <v>0.0</v>
      </c>
      <c r="T1717" s="18">
        <v>0.0</v>
      </c>
      <c r="U1717" s="151">
        <v>0.0</v>
      </c>
      <c r="V1717" s="92" t="s">
        <v>335</v>
      </c>
      <c r="W1717" s="18" t="s">
        <v>40</v>
      </c>
      <c r="X1717" s="92" t="s">
        <v>1101</v>
      </c>
      <c r="Y1717" s="94" t="s">
        <v>5187</v>
      </c>
      <c r="Z1717" s="18" t="s">
        <v>5188</v>
      </c>
      <c r="AA1717" s="92">
        <v>0.0</v>
      </c>
      <c r="AB1717" s="18">
        <v>0.0</v>
      </c>
      <c r="AC1717" s="18"/>
      <c r="AD1717" s="172">
        <v>0.0</v>
      </c>
      <c r="AE1717" s="14">
        <v>0.0</v>
      </c>
      <c r="AF1717" s="14"/>
      <c r="AG1717" s="22"/>
      <c r="AH1717" s="22"/>
      <c r="AI1717" s="22"/>
      <c r="AJ1717" s="22"/>
      <c r="AK1717" s="22"/>
      <c r="AL1717" s="22"/>
      <c r="AM1717" s="22"/>
      <c r="AN1717" s="22"/>
      <c r="AO1717" s="22"/>
      <c r="AP1717" s="22"/>
    </row>
    <row r="1718" hidden="1">
      <c r="A1718" s="148">
        <v>46179.0</v>
      </c>
      <c r="B1718" s="149">
        <v>0.4166666666666667</v>
      </c>
      <c r="C1718" s="11" t="s">
        <v>32</v>
      </c>
      <c r="D1718" s="102" t="s">
        <v>33</v>
      </c>
      <c r="E1718" s="10" t="s">
        <v>106</v>
      </c>
      <c r="F1718" s="10" t="s">
        <v>3471</v>
      </c>
      <c r="G1718" s="11" t="s">
        <v>5189</v>
      </c>
      <c r="H1718" s="11" t="s">
        <v>5190</v>
      </c>
      <c r="I1718" s="10" t="s">
        <v>41</v>
      </c>
      <c r="J1718" s="14">
        <v>149331.0</v>
      </c>
      <c r="K1718" s="14">
        <v>56041.0</v>
      </c>
      <c r="L1718" s="17">
        <v>0.3753</v>
      </c>
      <c r="M1718" s="150">
        <v>18118.0</v>
      </c>
      <c r="N1718" s="165">
        <v>0.3233</v>
      </c>
      <c r="O1718" s="18">
        <v>1195.0</v>
      </c>
      <c r="P1718" s="92">
        <v>1146.0</v>
      </c>
      <c r="Q1718" s="166">
        <v>0.0205</v>
      </c>
      <c r="R1718" s="17">
        <v>0.0633</v>
      </c>
      <c r="S1718" s="18">
        <v>0.0</v>
      </c>
      <c r="T1718" s="18">
        <v>0.0</v>
      </c>
      <c r="U1718" s="151">
        <v>0.0</v>
      </c>
      <c r="V1718" s="92" t="s">
        <v>335</v>
      </c>
      <c r="W1718" s="18" t="s">
        <v>40</v>
      </c>
      <c r="X1718" s="92" t="s">
        <v>1101</v>
      </c>
      <c r="Y1718" s="94" t="s">
        <v>5187</v>
      </c>
      <c r="Z1718" s="18" t="s">
        <v>5191</v>
      </c>
      <c r="AA1718" s="92">
        <v>0.0</v>
      </c>
      <c r="AB1718" s="18">
        <v>0.0</v>
      </c>
      <c r="AC1718" s="18"/>
      <c r="AD1718" s="172">
        <v>0.0</v>
      </c>
      <c r="AE1718" s="14">
        <v>0.0</v>
      </c>
      <c r="AF1718" s="14"/>
      <c r="AG1718" s="22"/>
      <c r="AH1718" s="22"/>
      <c r="AI1718" s="22"/>
      <c r="AJ1718" s="22"/>
      <c r="AK1718" s="22"/>
      <c r="AL1718" s="22"/>
      <c r="AM1718" s="22"/>
      <c r="AN1718" s="22"/>
      <c r="AO1718" s="22"/>
      <c r="AP1718" s="22"/>
    </row>
    <row r="1719" hidden="1">
      <c r="A1719" s="148">
        <v>46179.0</v>
      </c>
      <c r="B1719" s="149">
        <v>0.4166666666666667</v>
      </c>
      <c r="C1719" s="11" t="s">
        <v>32</v>
      </c>
      <c r="D1719" s="102" t="s">
        <v>33</v>
      </c>
      <c r="E1719" s="10" t="s">
        <v>106</v>
      </c>
      <c r="F1719" s="10" t="s">
        <v>3471</v>
      </c>
      <c r="G1719" s="11" t="s">
        <v>5192</v>
      </c>
      <c r="H1719" s="11" t="s">
        <v>5193</v>
      </c>
      <c r="I1719" s="10" t="s">
        <v>5194</v>
      </c>
      <c r="J1719" s="14">
        <v>119535.0</v>
      </c>
      <c r="K1719" s="14">
        <v>35571.0</v>
      </c>
      <c r="L1719" s="17">
        <v>0.2976</v>
      </c>
      <c r="M1719" s="150">
        <v>11175.0</v>
      </c>
      <c r="N1719" s="136">
        <v>0.3142</v>
      </c>
      <c r="O1719" s="18">
        <v>671.0</v>
      </c>
      <c r="P1719" s="92">
        <v>647.0</v>
      </c>
      <c r="Q1719" s="137">
        <v>0.0182</v>
      </c>
      <c r="R1719" s="17">
        <v>0.0579</v>
      </c>
      <c r="S1719" s="18">
        <v>0.0</v>
      </c>
      <c r="T1719" s="18">
        <v>0.0</v>
      </c>
      <c r="U1719" s="151">
        <v>0.0</v>
      </c>
      <c r="V1719" s="92" t="s">
        <v>183</v>
      </c>
      <c r="W1719" s="18" t="s">
        <v>40</v>
      </c>
      <c r="X1719" s="42" t="s">
        <v>1101</v>
      </c>
      <c r="Y1719" s="94" t="s">
        <v>5187</v>
      </c>
      <c r="Z1719" s="18" t="s">
        <v>5195</v>
      </c>
      <c r="AA1719" s="92">
        <v>70.0</v>
      </c>
      <c r="AB1719" s="18">
        <v>0.0</v>
      </c>
      <c r="AC1719" s="18">
        <v>70.0</v>
      </c>
      <c r="AD1719" s="172">
        <v>889411.0</v>
      </c>
      <c r="AE1719" s="14">
        <v>0.0</v>
      </c>
      <c r="AF1719" s="14">
        <v>889411.0</v>
      </c>
      <c r="AG1719" s="22"/>
      <c r="AH1719" s="22"/>
      <c r="AI1719" s="22"/>
      <c r="AJ1719" s="22"/>
      <c r="AK1719" s="22"/>
      <c r="AL1719" s="22"/>
      <c r="AM1719" s="22"/>
      <c r="AN1719" s="22"/>
      <c r="AO1719" s="22"/>
      <c r="AP1719" s="22"/>
    </row>
    <row r="1720" hidden="1">
      <c r="A1720" s="148">
        <v>46177.0</v>
      </c>
      <c r="B1720" s="149">
        <v>0.7916666666666666</v>
      </c>
      <c r="C1720" s="11" t="s">
        <v>32</v>
      </c>
      <c r="D1720" s="102" t="s">
        <v>33</v>
      </c>
      <c r="E1720" s="10" t="s">
        <v>71</v>
      </c>
      <c r="F1720" s="10" t="s">
        <v>5196</v>
      </c>
      <c r="G1720" s="11" t="s">
        <v>5197</v>
      </c>
      <c r="H1720" s="11" t="s">
        <v>4694</v>
      </c>
      <c r="I1720" s="10" t="s">
        <v>4706</v>
      </c>
      <c r="J1720" s="14">
        <v>4548.0</v>
      </c>
      <c r="K1720" s="14">
        <v>2237.0</v>
      </c>
      <c r="L1720" s="17">
        <v>0.4919</v>
      </c>
      <c r="M1720" s="150">
        <v>1039.0</v>
      </c>
      <c r="N1720" s="136">
        <v>0.4645</v>
      </c>
      <c r="O1720" s="18">
        <v>196.0</v>
      </c>
      <c r="P1720" s="92">
        <v>183.0</v>
      </c>
      <c r="Q1720" s="137">
        <v>0.0818</v>
      </c>
      <c r="R1720" s="17">
        <v>0.1761</v>
      </c>
      <c r="S1720" s="18">
        <v>4.0</v>
      </c>
      <c r="T1720" s="18">
        <v>82.0</v>
      </c>
      <c r="U1720" s="151">
        <v>18457.0</v>
      </c>
      <c r="V1720" s="92" t="s">
        <v>335</v>
      </c>
      <c r="W1720" s="18" t="s">
        <v>76</v>
      </c>
      <c r="X1720" s="42" t="s">
        <v>4645</v>
      </c>
      <c r="Y1720" s="159" t="s">
        <v>5198</v>
      </c>
      <c r="Z1720" s="18" t="s">
        <v>5199</v>
      </c>
      <c r="AA1720" s="92">
        <v>15.0</v>
      </c>
      <c r="AB1720" s="18">
        <v>15.0</v>
      </c>
      <c r="AC1720" s="18"/>
      <c r="AD1720" s="172">
        <v>68837.0</v>
      </c>
      <c r="AE1720" s="14">
        <v>68837.0</v>
      </c>
      <c r="AF1720" s="14"/>
      <c r="AG1720" s="22"/>
      <c r="AH1720" s="22"/>
      <c r="AI1720" s="22"/>
      <c r="AJ1720" s="22"/>
      <c r="AK1720" s="22"/>
      <c r="AL1720" s="22"/>
      <c r="AM1720" s="22"/>
      <c r="AN1720" s="22"/>
      <c r="AO1720" s="22"/>
      <c r="AP1720" s="22"/>
    </row>
    <row r="1721" hidden="1">
      <c r="A1721" s="148">
        <v>46177.0</v>
      </c>
      <c r="B1721" s="149">
        <v>0.7916666666666666</v>
      </c>
      <c r="C1721" s="11" t="s">
        <v>32</v>
      </c>
      <c r="D1721" s="102" t="s">
        <v>33</v>
      </c>
      <c r="E1721" s="10" t="s">
        <v>71</v>
      </c>
      <c r="F1721" s="10" t="s">
        <v>5196</v>
      </c>
      <c r="G1721" s="11" t="s">
        <v>5200</v>
      </c>
      <c r="H1721" s="11" t="s">
        <v>4697</v>
      </c>
      <c r="I1721" s="10" t="s">
        <v>4710</v>
      </c>
      <c r="J1721" s="14">
        <v>23528.0</v>
      </c>
      <c r="K1721" s="14">
        <v>10616.0</v>
      </c>
      <c r="L1721" s="17">
        <v>0.4512</v>
      </c>
      <c r="M1721" s="150">
        <v>4482.0</v>
      </c>
      <c r="N1721" s="136">
        <v>0.422</v>
      </c>
      <c r="O1721" s="18">
        <v>669.0</v>
      </c>
      <c r="P1721" s="92">
        <v>627.0</v>
      </c>
      <c r="Q1721" s="137">
        <v>0.0591</v>
      </c>
      <c r="R1721" s="17">
        <v>0.14</v>
      </c>
      <c r="S1721" s="18">
        <v>3.0</v>
      </c>
      <c r="T1721" s="18">
        <v>18.0</v>
      </c>
      <c r="U1721" s="151">
        <v>8454.0</v>
      </c>
      <c r="V1721" s="92" t="s">
        <v>335</v>
      </c>
      <c r="W1721" s="18" t="s">
        <v>76</v>
      </c>
      <c r="X1721" s="42" t="s">
        <v>2286</v>
      </c>
      <c r="Y1721" s="159" t="s">
        <v>5198</v>
      </c>
      <c r="Z1721" s="18" t="s">
        <v>5201</v>
      </c>
      <c r="AA1721" s="92">
        <v>31.0</v>
      </c>
      <c r="AB1721" s="18">
        <v>31.0</v>
      </c>
      <c r="AC1721" s="18"/>
      <c r="AD1721" s="172">
        <v>123078.0</v>
      </c>
      <c r="AE1721" s="14">
        <v>123078.0</v>
      </c>
      <c r="AF1721" s="14"/>
      <c r="AG1721" s="22"/>
      <c r="AH1721" s="22"/>
      <c r="AI1721" s="22"/>
      <c r="AJ1721" s="22"/>
      <c r="AK1721" s="22"/>
      <c r="AL1721" s="22"/>
      <c r="AM1721" s="22"/>
      <c r="AN1721" s="22"/>
      <c r="AO1721" s="22"/>
      <c r="AP1721" s="22"/>
    </row>
    <row r="1722" hidden="1">
      <c r="A1722" s="148">
        <v>46177.0</v>
      </c>
      <c r="B1722" s="149">
        <v>0.7916666666666666</v>
      </c>
      <c r="C1722" s="11" t="s">
        <v>32</v>
      </c>
      <c r="D1722" s="102" t="s">
        <v>33</v>
      </c>
      <c r="E1722" s="10" t="s">
        <v>71</v>
      </c>
      <c r="F1722" s="10" t="s">
        <v>5196</v>
      </c>
      <c r="G1722" s="11" t="s">
        <v>5202</v>
      </c>
      <c r="H1722" s="11" t="s">
        <v>4700</v>
      </c>
      <c r="I1722" s="10" t="s">
        <v>4713</v>
      </c>
      <c r="J1722" s="14">
        <v>15034.0</v>
      </c>
      <c r="K1722" s="14">
        <v>5916.0</v>
      </c>
      <c r="L1722" s="17">
        <v>0.3933</v>
      </c>
      <c r="M1722" s="150">
        <v>2308.0</v>
      </c>
      <c r="N1722" s="136">
        <v>0.3902</v>
      </c>
      <c r="O1722" s="18">
        <v>327.0</v>
      </c>
      <c r="P1722" s="92">
        <v>307.0</v>
      </c>
      <c r="Q1722" s="137">
        <v>0.0519</v>
      </c>
      <c r="R1722" s="17">
        <v>0.1331</v>
      </c>
      <c r="S1722" s="18">
        <v>7.0</v>
      </c>
      <c r="T1722" s="18">
        <v>10.0</v>
      </c>
      <c r="U1722" s="151">
        <v>54259.0</v>
      </c>
      <c r="V1722" s="92" t="s">
        <v>335</v>
      </c>
      <c r="W1722" s="18" t="s">
        <v>76</v>
      </c>
      <c r="X1722" s="42" t="s">
        <v>2594</v>
      </c>
      <c r="Y1722" s="94" t="s">
        <v>5198</v>
      </c>
      <c r="Z1722" s="18" t="s">
        <v>5203</v>
      </c>
      <c r="AA1722" s="92">
        <v>30.0</v>
      </c>
      <c r="AB1722" s="18">
        <v>30.0</v>
      </c>
      <c r="AC1722" s="18"/>
      <c r="AD1722" s="172">
        <v>232103.0</v>
      </c>
      <c r="AE1722" s="14">
        <v>232103.0</v>
      </c>
      <c r="AF1722" s="14"/>
      <c r="AG1722" s="22"/>
      <c r="AH1722" s="22"/>
      <c r="AI1722" s="22"/>
      <c r="AJ1722" s="22"/>
      <c r="AK1722" s="22"/>
      <c r="AL1722" s="22"/>
      <c r="AM1722" s="22"/>
      <c r="AN1722" s="22"/>
      <c r="AO1722" s="22"/>
      <c r="AP1722" s="22"/>
    </row>
    <row r="1723" hidden="1">
      <c r="A1723" s="148">
        <v>46177.0</v>
      </c>
      <c r="B1723" s="149">
        <v>0.7916666666666666</v>
      </c>
      <c r="C1723" s="11" t="s">
        <v>32</v>
      </c>
      <c r="D1723" s="102" t="s">
        <v>33</v>
      </c>
      <c r="E1723" s="10" t="s">
        <v>71</v>
      </c>
      <c r="F1723" s="10" t="s">
        <v>5196</v>
      </c>
      <c r="G1723" s="11" t="s">
        <v>5204</v>
      </c>
      <c r="H1723" s="11" t="s">
        <v>4703</v>
      </c>
      <c r="I1723" s="10" t="s">
        <v>4716</v>
      </c>
      <c r="J1723" s="14">
        <v>80931.0</v>
      </c>
      <c r="K1723" s="14">
        <v>36628.0</v>
      </c>
      <c r="L1723" s="17">
        <v>0.4524</v>
      </c>
      <c r="M1723" s="150">
        <v>13520.0</v>
      </c>
      <c r="N1723" s="136">
        <v>0.3691</v>
      </c>
      <c r="O1723" s="18">
        <v>1544.0</v>
      </c>
      <c r="P1723" s="92">
        <v>1461.0</v>
      </c>
      <c r="Q1723" s="137">
        <v>0.0399</v>
      </c>
      <c r="R1723" s="17">
        <v>0.1081</v>
      </c>
      <c r="S1723" s="18">
        <v>6.0</v>
      </c>
      <c r="T1723" s="18">
        <v>26.0</v>
      </c>
      <c r="U1723" s="151">
        <v>29885.0</v>
      </c>
      <c r="V1723" s="92" t="s">
        <v>335</v>
      </c>
      <c r="W1723" s="18" t="s">
        <v>76</v>
      </c>
      <c r="X1723" s="42" t="s">
        <v>41</v>
      </c>
      <c r="Y1723" s="94" t="s">
        <v>5198</v>
      </c>
      <c r="Z1723" s="18" t="s">
        <v>5205</v>
      </c>
      <c r="AA1723" s="92">
        <v>50.0</v>
      </c>
      <c r="AB1723" s="18">
        <v>50.0</v>
      </c>
      <c r="AC1723" s="18"/>
      <c r="AD1723" s="14">
        <v>201947.0</v>
      </c>
      <c r="AE1723" s="14">
        <v>201947.0</v>
      </c>
      <c r="AF1723" s="14"/>
      <c r="AG1723" s="22"/>
      <c r="AH1723" s="22"/>
      <c r="AI1723" s="22"/>
      <c r="AJ1723" s="22"/>
      <c r="AK1723" s="22"/>
      <c r="AL1723" s="22"/>
      <c r="AM1723" s="22"/>
      <c r="AN1723" s="22"/>
      <c r="AO1723" s="22"/>
      <c r="AP1723" s="22"/>
    </row>
    <row r="1724" hidden="1">
      <c r="A1724" s="148">
        <v>46178.0</v>
      </c>
      <c r="B1724" s="149">
        <v>0.4583333333333333</v>
      </c>
      <c r="C1724" s="11" t="s">
        <v>32</v>
      </c>
      <c r="D1724" s="102" t="s">
        <v>33</v>
      </c>
      <c r="E1724" s="10" t="s">
        <v>71</v>
      </c>
      <c r="F1724" s="10" t="s">
        <v>5196</v>
      </c>
      <c r="G1724" s="11" t="s">
        <v>5206</v>
      </c>
      <c r="H1724" s="11" t="s">
        <v>4725</v>
      </c>
      <c r="I1724" s="10" t="s">
        <v>5207</v>
      </c>
      <c r="J1724" s="14">
        <v>32872.0</v>
      </c>
      <c r="K1724" s="14">
        <v>16778.0</v>
      </c>
      <c r="L1724" s="17">
        <v>0.5071</v>
      </c>
      <c r="M1724" s="150">
        <v>6475.0</v>
      </c>
      <c r="N1724" s="136">
        <v>0.3831</v>
      </c>
      <c r="O1724" s="18">
        <v>607.0</v>
      </c>
      <c r="P1724" s="92">
        <v>569.0</v>
      </c>
      <c r="Q1724" s="137">
        <v>0.0341</v>
      </c>
      <c r="R1724" s="17">
        <v>0.0891</v>
      </c>
      <c r="S1724" s="18">
        <v>4.0</v>
      </c>
      <c r="T1724" s="18">
        <v>22.0</v>
      </c>
      <c r="U1724" s="151">
        <v>15475.0</v>
      </c>
      <c r="V1724" s="92" t="s">
        <v>183</v>
      </c>
      <c r="W1724" s="18" t="s">
        <v>76</v>
      </c>
      <c r="X1724" s="42" t="s">
        <v>52</v>
      </c>
      <c r="Y1724" s="159" t="s">
        <v>5208</v>
      </c>
      <c r="Z1724" s="18" t="s">
        <v>5209</v>
      </c>
      <c r="AA1724" s="92">
        <v>39.0</v>
      </c>
      <c r="AB1724" s="18">
        <v>39.0</v>
      </c>
      <c r="AC1724" s="18"/>
      <c r="AD1724" s="172">
        <v>194935.0</v>
      </c>
      <c r="AE1724" s="14">
        <v>194935.0</v>
      </c>
      <c r="AF1724" s="14"/>
      <c r="AG1724" s="22"/>
      <c r="AH1724" s="22"/>
      <c r="AI1724" s="22"/>
      <c r="AJ1724" s="22"/>
      <c r="AK1724" s="22"/>
      <c r="AL1724" s="22"/>
      <c r="AM1724" s="22"/>
      <c r="AN1724" s="22"/>
      <c r="AO1724" s="22"/>
      <c r="AP1724" s="22"/>
    </row>
    <row r="1725" hidden="1">
      <c r="A1725" s="148">
        <v>46178.0</v>
      </c>
      <c r="B1725" s="149">
        <v>0.4583333333333333</v>
      </c>
      <c r="C1725" s="11" t="s">
        <v>32</v>
      </c>
      <c r="D1725" s="102" t="s">
        <v>33</v>
      </c>
      <c r="E1725" s="10" t="s">
        <v>71</v>
      </c>
      <c r="F1725" s="10" t="s">
        <v>5196</v>
      </c>
      <c r="G1725" s="11" t="s">
        <v>5210</v>
      </c>
      <c r="H1725" s="11" t="s">
        <v>4728</v>
      </c>
      <c r="I1725" s="10" t="s">
        <v>4819</v>
      </c>
      <c r="J1725" s="14">
        <v>22863.0</v>
      </c>
      <c r="K1725" s="14">
        <v>11299.0</v>
      </c>
      <c r="L1725" s="17">
        <v>0.4925</v>
      </c>
      <c r="M1725" s="150">
        <v>4654.0</v>
      </c>
      <c r="N1725" s="136">
        <v>0.4106</v>
      </c>
      <c r="O1725" s="18">
        <v>499.0</v>
      </c>
      <c r="P1725" s="92">
        <v>486.0</v>
      </c>
      <c r="Q1725" s="137">
        <v>0.0432</v>
      </c>
      <c r="R1725" s="17">
        <v>0.1051</v>
      </c>
      <c r="S1725" s="18">
        <v>4.0</v>
      </c>
      <c r="T1725" s="18">
        <v>8.0</v>
      </c>
      <c r="U1725" s="151">
        <v>18483.0</v>
      </c>
      <c r="V1725" s="92" t="s">
        <v>315</v>
      </c>
      <c r="W1725" s="18" t="s">
        <v>76</v>
      </c>
      <c r="X1725" s="42" t="s">
        <v>4502</v>
      </c>
      <c r="Y1725" s="159" t="s">
        <v>5208</v>
      </c>
      <c r="Z1725" s="18" t="s">
        <v>5211</v>
      </c>
      <c r="AA1725" s="92">
        <v>67.0</v>
      </c>
      <c r="AB1725" s="18"/>
      <c r="AC1725" s="18">
        <v>67.0</v>
      </c>
      <c r="AD1725" s="172">
        <v>323585.0</v>
      </c>
      <c r="AE1725" s="14"/>
      <c r="AF1725" s="14">
        <v>323585.0</v>
      </c>
      <c r="AG1725" s="22"/>
      <c r="AH1725" s="22"/>
      <c r="AI1725" s="22"/>
      <c r="AJ1725" s="22"/>
      <c r="AK1725" s="22"/>
      <c r="AL1725" s="22"/>
      <c r="AM1725" s="22"/>
      <c r="AN1725" s="22"/>
      <c r="AO1725" s="22"/>
      <c r="AP1725" s="22"/>
    </row>
    <row r="1726" hidden="1">
      <c r="A1726" s="148">
        <v>46178.0</v>
      </c>
      <c r="B1726" s="149">
        <v>0.4583333333333333</v>
      </c>
      <c r="C1726" s="11" t="s">
        <v>32</v>
      </c>
      <c r="D1726" s="102" t="s">
        <v>33</v>
      </c>
      <c r="E1726" s="10" t="s">
        <v>71</v>
      </c>
      <c r="F1726" s="10" t="s">
        <v>5196</v>
      </c>
      <c r="G1726" s="11" t="s">
        <v>5212</v>
      </c>
      <c r="H1726" s="11" t="s">
        <v>4731</v>
      </c>
      <c r="I1726" s="10" t="s">
        <v>4825</v>
      </c>
      <c r="J1726" s="14">
        <v>11233.0</v>
      </c>
      <c r="K1726" s="14">
        <v>5695.0</v>
      </c>
      <c r="L1726" s="17">
        <v>0.4997</v>
      </c>
      <c r="M1726" s="150">
        <v>2437.0</v>
      </c>
      <c r="N1726" s="136">
        <v>0.4285</v>
      </c>
      <c r="O1726" s="18">
        <v>268.0</v>
      </c>
      <c r="P1726" s="92">
        <v>256.0</v>
      </c>
      <c r="Q1726" s="137">
        <v>0.0456</v>
      </c>
      <c r="R1726" s="17">
        <v>0.1064</v>
      </c>
      <c r="S1726" s="18">
        <v>0.0</v>
      </c>
      <c r="T1726" s="18">
        <v>4.0</v>
      </c>
      <c r="U1726" s="151">
        <v>0.0</v>
      </c>
      <c r="V1726" s="92" t="s">
        <v>315</v>
      </c>
      <c r="W1726" s="18" t="s">
        <v>76</v>
      </c>
      <c r="X1726" s="42" t="s">
        <v>4502</v>
      </c>
      <c r="Y1726" s="159" t="s">
        <v>5208</v>
      </c>
      <c r="Z1726" s="18" t="s">
        <v>5213</v>
      </c>
      <c r="AA1726" s="92">
        <v>29.0</v>
      </c>
      <c r="AB1726" s="18"/>
      <c r="AC1726" s="18">
        <v>29.0</v>
      </c>
      <c r="AD1726" s="172">
        <v>164399.0</v>
      </c>
      <c r="AE1726" s="14"/>
      <c r="AF1726" s="14">
        <v>164399.0</v>
      </c>
      <c r="AG1726" s="22"/>
      <c r="AH1726" s="22"/>
      <c r="AI1726" s="22"/>
      <c r="AJ1726" s="22"/>
      <c r="AK1726" s="22"/>
      <c r="AL1726" s="22"/>
      <c r="AM1726" s="22"/>
      <c r="AN1726" s="22"/>
      <c r="AO1726" s="22"/>
      <c r="AP1726" s="22"/>
    </row>
    <row r="1727" hidden="1">
      <c r="A1727" s="148">
        <v>46178.0</v>
      </c>
      <c r="B1727" s="149">
        <v>0.4583333333333333</v>
      </c>
      <c r="C1727" s="11" t="s">
        <v>32</v>
      </c>
      <c r="D1727" s="102" t="s">
        <v>33</v>
      </c>
      <c r="E1727" s="10" t="s">
        <v>71</v>
      </c>
      <c r="F1727" s="10" t="s">
        <v>5196</v>
      </c>
      <c r="G1727" s="11" t="s">
        <v>5214</v>
      </c>
      <c r="H1727" s="11" t="s">
        <v>4734</v>
      </c>
      <c r="I1727" s="10" t="s">
        <v>4831</v>
      </c>
      <c r="J1727" s="14">
        <v>7665.0</v>
      </c>
      <c r="K1727" s="14">
        <v>4414.0</v>
      </c>
      <c r="L1727" s="17">
        <v>0.5748</v>
      </c>
      <c r="M1727" s="150">
        <v>2196.0</v>
      </c>
      <c r="N1727" s="136">
        <v>0.4936</v>
      </c>
      <c r="O1727" s="18">
        <v>246.0</v>
      </c>
      <c r="P1727" s="92">
        <v>235.0</v>
      </c>
      <c r="Q1727" s="137">
        <v>0.0533</v>
      </c>
      <c r="R1727" s="17">
        <v>0.108</v>
      </c>
      <c r="S1727" s="18">
        <v>1.0</v>
      </c>
      <c r="T1727" s="18">
        <v>3.0</v>
      </c>
      <c r="U1727" s="151">
        <v>5398.0</v>
      </c>
      <c r="V1727" s="92" t="s">
        <v>315</v>
      </c>
      <c r="W1727" s="18" t="s">
        <v>76</v>
      </c>
      <c r="X1727" s="42" t="s">
        <v>4502</v>
      </c>
      <c r="Y1727" s="159" t="s">
        <v>5208</v>
      </c>
      <c r="Z1727" s="18" t="s">
        <v>5215</v>
      </c>
      <c r="AA1727" s="92">
        <v>21.0</v>
      </c>
      <c r="AB1727" s="18"/>
      <c r="AC1727" s="18">
        <v>21.0</v>
      </c>
      <c r="AD1727" s="172">
        <v>112044.0</v>
      </c>
      <c r="AE1727" s="14"/>
      <c r="AF1727" s="14">
        <v>112044.0</v>
      </c>
      <c r="AG1727" s="22"/>
      <c r="AH1727" s="22"/>
      <c r="AI1727" s="22"/>
      <c r="AJ1727" s="22"/>
      <c r="AK1727" s="22"/>
      <c r="AL1727" s="22"/>
      <c r="AM1727" s="22"/>
      <c r="AN1727" s="22"/>
      <c r="AO1727" s="22"/>
      <c r="AP1727" s="22"/>
    </row>
    <row r="1728" hidden="1">
      <c r="A1728" s="148">
        <v>46178.0</v>
      </c>
      <c r="B1728" s="149">
        <v>0.4583333333333333</v>
      </c>
      <c r="C1728" s="11" t="s">
        <v>32</v>
      </c>
      <c r="D1728" s="102" t="s">
        <v>33</v>
      </c>
      <c r="E1728" s="10" t="s">
        <v>71</v>
      </c>
      <c r="F1728" s="10" t="s">
        <v>5196</v>
      </c>
      <c r="G1728" s="11" t="s">
        <v>5216</v>
      </c>
      <c r="H1728" s="11" t="s">
        <v>4737</v>
      </c>
      <c r="I1728" s="10" t="s">
        <v>4840</v>
      </c>
      <c r="J1728" s="14">
        <v>2923.0</v>
      </c>
      <c r="K1728" s="14">
        <v>1559.0</v>
      </c>
      <c r="L1728" s="17">
        <v>0.532</v>
      </c>
      <c r="M1728" s="150">
        <v>664.0</v>
      </c>
      <c r="N1728" s="136">
        <v>0.4251</v>
      </c>
      <c r="O1728" s="18">
        <v>93.0</v>
      </c>
      <c r="P1728" s="92">
        <v>90.0</v>
      </c>
      <c r="Q1728" s="137">
        <v>0.0579</v>
      </c>
      <c r="R1728" s="17">
        <v>0.1362</v>
      </c>
      <c r="S1728" s="18">
        <v>0.0</v>
      </c>
      <c r="T1728" s="18">
        <v>4.0</v>
      </c>
      <c r="U1728" s="151">
        <v>0.0</v>
      </c>
      <c r="V1728" s="92" t="s">
        <v>315</v>
      </c>
      <c r="W1728" s="18" t="s">
        <v>76</v>
      </c>
      <c r="X1728" s="42" t="s">
        <v>4502</v>
      </c>
      <c r="Y1728" s="159" t="s">
        <v>5208</v>
      </c>
      <c r="Z1728" s="18" t="s">
        <v>5217</v>
      </c>
      <c r="AA1728" s="92">
        <v>10.0</v>
      </c>
      <c r="AB1728" s="18"/>
      <c r="AC1728" s="18">
        <v>10.0</v>
      </c>
      <c r="AD1728" s="172">
        <v>65568.0</v>
      </c>
      <c r="AE1728" s="14"/>
      <c r="AF1728" s="14">
        <v>65568.0</v>
      </c>
      <c r="AG1728" s="22"/>
      <c r="AH1728" s="22"/>
      <c r="AI1728" s="22"/>
      <c r="AJ1728" s="22"/>
      <c r="AK1728" s="22"/>
      <c r="AL1728" s="22"/>
      <c r="AM1728" s="22"/>
      <c r="AN1728" s="22"/>
      <c r="AO1728" s="22"/>
      <c r="AP1728" s="22"/>
    </row>
    <row r="1729" hidden="1">
      <c r="A1729" s="148">
        <v>46178.0</v>
      </c>
      <c r="B1729" s="149">
        <v>0.4583333333333333</v>
      </c>
      <c r="C1729" s="11" t="s">
        <v>32</v>
      </c>
      <c r="D1729" s="102" t="s">
        <v>33</v>
      </c>
      <c r="E1729" s="10" t="s">
        <v>71</v>
      </c>
      <c r="F1729" s="10" t="s">
        <v>5196</v>
      </c>
      <c r="G1729" s="11" t="s">
        <v>5218</v>
      </c>
      <c r="H1729" s="11" t="s">
        <v>4740</v>
      </c>
      <c r="I1729" s="10" t="s">
        <v>4849</v>
      </c>
      <c r="J1729" s="14">
        <v>53413.0</v>
      </c>
      <c r="K1729" s="14">
        <v>25077.0</v>
      </c>
      <c r="L1729" s="17">
        <v>0.4639</v>
      </c>
      <c r="M1729" s="150">
        <v>8633.0</v>
      </c>
      <c r="N1729" s="136">
        <v>0.3446</v>
      </c>
      <c r="O1729" s="18">
        <v>684.0</v>
      </c>
      <c r="P1729" s="92">
        <v>658.0</v>
      </c>
      <c r="Q1729" s="137">
        <v>0.0266</v>
      </c>
      <c r="R1729" s="17">
        <v>0.0771</v>
      </c>
      <c r="S1729" s="18">
        <v>2.0</v>
      </c>
      <c r="T1729" s="18">
        <v>16.0</v>
      </c>
      <c r="U1729" s="151">
        <v>9593.0</v>
      </c>
      <c r="V1729" s="92" t="s">
        <v>315</v>
      </c>
      <c r="W1729" s="18" t="s">
        <v>76</v>
      </c>
      <c r="X1729" s="42" t="s">
        <v>4502</v>
      </c>
      <c r="Y1729" s="94" t="s">
        <v>5208</v>
      </c>
      <c r="Z1729" s="18" t="s">
        <v>5219</v>
      </c>
      <c r="AA1729" s="92">
        <v>77.0</v>
      </c>
      <c r="AB1729" s="18"/>
      <c r="AC1729" s="18">
        <v>77.0</v>
      </c>
      <c r="AD1729" s="172">
        <v>383878.0</v>
      </c>
      <c r="AE1729" s="14"/>
      <c r="AF1729" s="14">
        <v>383878.0</v>
      </c>
      <c r="AG1729" s="22"/>
      <c r="AH1729" s="22"/>
      <c r="AI1729" s="22"/>
      <c r="AJ1729" s="22"/>
      <c r="AK1729" s="22"/>
      <c r="AL1729" s="22"/>
      <c r="AM1729" s="22"/>
      <c r="AN1729" s="22"/>
      <c r="AO1729" s="22"/>
      <c r="AP1729" s="22"/>
    </row>
    <row r="1730" hidden="1">
      <c r="A1730" s="148">
        <v>46178.0</v>
      </c>
      <c r="B1730" s="149">
        <v>0.4583333333333333</v>
      </c>
      <c r="C1730" s="11" t="s">
        <v>32</v>
      </c>
      <c r="D1730" s="102" t="s">
        <v>33</v>
      </c>
      <c r="E1730" s="10" t="s">
        <v>71</v>
      </c>
      <c r="F1730" s="10" t="s">
        <v>5196</v>
      </c>
      <c r="G1730" s="11" t="s">
        <v>5220</v>
      </c>
      <c r="H1730" s="11" t="s">
        <v>4743</v>
      </c>
      <c r="I1730" s="10" t="s">
        <v>4855</v>
      </c>
      <c r="J1730" s="14">
        <v>31927.0</v>
      </c>
      <c r="K1730" s="14">
        <v>15666.0</v>
      </c>
      <c r="L1730" s="17">
        <v>0.4693</v>
      </c>
      <c r="M1730" s="150">
        <v>6035.0</v>
      </c>
      <c r="N1730" s="136">
        <v>0.3968</v>
      </c>
      <c r="O1730" s="18">
        <v>460.0</v>
      </c>
      <c r="P1730" s="92">
        <v>441.0</v>
      </c>
      <c r="Q1730" s="137">
        <v>0.0294</v>
      </c>
      <c r="R1730" s="17">
        <v>0.0742</v>
      </c>
      <c r="S1730" s="18">
        <v>0.0</v>
      </c>
      <c r="T1730" s="18">
        <v>9.0</v>
      </c>
      <c r="U1730" s="151">
        <v>0.0</v>
      </c>
      <c r="V1730" s="92" t="s">
        <v>315</v>
      </c>
      <c r="W1730" s="18" t="s">
        <v>76</v>
      </c>
      <c r="X1730" s="42" t="s">
        <v>4502</v>
      </c>
      <c r="Y1730" s="94" t="s">
        <v>5208</v>
      </c>
      <c r="Z1730" s="18" t="s">
        <v>5221</v>
      </c>
      <c r="AA1730" s="92">
        <v>56.0</v>
      </c>
      <c r="AB1730" s="18"/>
      <c r="AC1730" s="18">
        <v>56.0</v>
      </c>
      <c r="AD1730" s="14">
        <v>272400.0</v>
      </c>
      <c r="AE1730" s="14"/>
      <c r="AF1730" s="14">
        <v>272400.0</v>
      </c>
      <c r="AG1730" s="22"/>
      <c r="AH1730" s="22"/>
      <c r="AI1730" s="22"/>
      <c r="AJ1730" s="22"/>
      <c r="AK1730" s="22"/>
      <c r="AL1730" s="22"/>
      <c r="AM1730" s="22"/>
      <c r="AN1730" s="22"/>
      <c r="AO1730" s="22"/>
      <c r="AP1730" s="22"/>
    </row>
    <row r="1731" hidden="1">
      <c r="A1731" s="148">
        <v>46178.0</v>
      </c>
      <c r="B1731" s="149">
        <v>0.4583333333333333</v>
      </c>
      <c r="C1731" s="11" t="s">
        <v>32</v>
      </c>
      <c r="D1731" s="102" t="s">
        <v>33</v>
      </c>
      <c r="E1731" s="10" t="s">
        <v>71</v>
      </c>
      <c r="F1731" s="10" t="s">
        <v>5196</v>
      </c>
      <c r="G1731" s="11" t="s">
        <v>5222</v>
      </c>
      <c r="H1731" s="11" t="s">
        <v>4746</v>
      </c>
      <c r="I1731" s="10" t="s">
        <v>4861</v>
      </c>
      <c r="J1731" s="14">
        <v>18214.0</v>
      </c>
      <c r="K1731" s="14">
        <v>10360.0</v>
      </c>
      <c r="L1731" s="17">
        <v>0.5679</v>
      </c>
      <c r="M1731" s="150">
        <v>4862.0</v>
      </c>
      <c r="N1731" s="136">
        <v>0.4667</v>
      </c>
      <c r="O1731" s="18">
        <v>290.0</v>
      </c>
      <c r="P1731" s="92">
        <v>276.0</v>
      </c>
      <c r="Q1731" s="137">
        <v>0.0267</v>
      </c>
      <c r="R1731" s="17">
        <v>0.0572</v>
      </c>
      <c r="S1731" s="18">
        <v>0.0</v>
      </c>
      <c r="T1731" s="18">
        <v>4.0</v>
      </c>
      <c r="U1731" s="151">
        <v>0.0</v>
      </c>
      <c r="V1731" s="92" t="s">
        <v>315</v>
      </c>
      <c r="W1731" s="18" t="s">
        <v>76</v>
      </c>
      <c r="X1731" s="42" t="s">
        <v>4502</v>
      </c>
      <c r="Y1731" s="159" t="s">
        <v>5208</v>
      </c>
      <c r="Z1731" s="18" t="s">
        <v>5223</v>
      </c>
      <c r="AA1731" s="92">
        <v>31.0</v>
      </c>
      <c r="AB1731" s="18"/>
      <c r="AC1731" s="18">
        <v>31.0</v>
      </c>
      <c r="AD1731" s="172">
        <v>152873.0</v>
      </c>
      <c r="AE1731" s="14"/>
      <c r="AF1731" s="14">
        <v>152873.0</v>
      </c>
      <c r="AG1731" s="22"/>
      <c r="AH1731" s="22"/>
      <c r="AI1731" s="22"/>
      <c r="AJ1731" s="22"/>
      <c r="AK1731" s="22"/>
      <c r="AL1731" s="22"/>
      <c r="AM1731" s="22"/>
      <c r="AN1731" s="22"/>
      <c r="AO1731" s="22"/>
      <c r="AP1731" s="22"/>
    </row>
    <row r="1732" hidden="1">
      <c r="A1732" s="148">
        <v>46178.0</v>
      </c>
      <c r="B1732" s="149">
        <v>0.4583333333333333</v>
      </c>
      <c r="C1732" s="11" t="s">
        <v>32</v>
      </c>
      <c r="D1732" s="102" t="s">
        <v>33</v>
      </c>
      <c r="E1732" s="10" t="s">
        <v>71</v>
      </c>
      <c r="F1732" s="10" t="s">
        <v>5196</v>
      </c>
      <c r="G1732" s="11" t="s">
        <v>5224</v>
      </c>
      <c r="H1732" s="11" t="s">
        <v>4749</v>
      </c>
      <c r="I1732" s="10" t="s">
        <v>4867</v>
      </c>
      <c r="J1732" s="14">
        <v>10019.0</v>
      </c>
      <c r="K1732" s="14">
        <v>5172.0</v>
      </c>
      <c r="L1732" s="17">
        <v>0.5151</v>
      </c>
      <c r="M1732" s="150">
        <v>1970.0</v>
      </c>
      <c r="N1732" s="136">
        <v>0.3788</v>
      </c>
      <c r="O1732" s="18">
        <v>135.0</v>
      </c>
      <c r="P1732" s="92">
        <v>128.0</v>
      </c>
      <c r="Q1732" s="137">
        <v>0.0248</v>
      </c>
      <c r="R1732" s="17">
        <v>0.0655</v>
      </c>
      <c r="S1732" s="18">
        <v>1.0</v>
      </c>
      <c r="T1732" s="18">
        <v>5.0</v>
      </c>
      <c r="U1732" s="151">
        <v>3958.0</v>
      </c>
      <c r="V1732" s="92" t="s">
        <v>315</v>
      </c>
      <c r="W1732" s="18" t="s">
        <v>76</v>
      </c>
      <c r="X1732" s="42" t="s">
        <v>4502</v>
      </c>
      <c r="Y1732" s="159" t="s">
        <v>5208</v>
      </c>
      <c r="Z1732" s="18" t="s">
        <v>5225</v>
      </c>
      <c r="AA1732" s="92">
        <v>24.0</v>
      </c>
      <c r="AB1732" s="18"/>
      <c r="AC1732" s="18">
        <v>24.0</v>
      </c>
      <c r="AD1732" s="172">
        <v>105882.0</v>
      </c>
      <c r="AE1732" s="14"/>
      <c r="AF1732" s="14">
        <v>105882.0</v>
      </c>
      <c r="AG1732" s="22"/>
      <c r="AH1732" s="22"/>
      <c r="AI1732" s="22"/>
      <c r="AJ1732" s="22"/>
      <c r="AK1732" s="22"/>
      <c r="AL1732" s="22"/>
      <c r="AM1732" s="22"/>
      <c r="AN1732" s="22"/>
      <c r="AO1732" s="22"/>
      <c r="AP1732" s="22"/>
    </row>
    <row r="1733" hidden="1">
      <c r="A1733" s="148">
        <v>46178.0</v>
      </c>
      <c r="B1733" s="149">
        <v>0.4583333333333333</v>
      </c>
      <c r="C1733" s="11" t="s">
        <v>32</v>
      </c>
      <c r="D1733" s="102" t="s">
        <v>33</v>
      </c>
      <c r="E1733" s="10" t="s">
        <v>71</v>
      </c>
      <c r="F1733" s="10" t="s">
        <v>5196</v>
      </c>
      <c r="G1733" s="11" t="s">
        <v>5226</v>
      </c>
      <c r="H1733" s="11" t="s">
        <v>4752</v>
      </c>
      <c r="I1733" s="10" t="s">
        <v>4816</v>
      </c>
      <c r="J1733" s="14">
        <v>15274.0</v>
      </c>
      <c r="K1733" s="14">
        <v>8132.0</v>
      </c>
      <c r="L1733" s="17">
        <v>0.5003</v>
      </c>
      <c r="M1733" s="150">
        <v>2931.0</v>
      </c>
      <c r="N1733" s="136">
        <v>0.3765</v>
      </c>
      <c r="O1733" s="18">
        <v>358.0</v>
      </c>
      <c r="P1733" s="92">
        <v>339.0</v>
      </c>
      <c r="Q1733" s="137">
        <v>0.0444</v>
      </c>
      <c r="R1733" s="17">
        <v>0.1178</v>
      </c>
      <c r="S1733" s="18">
        <v>1.0</v>
      </c>
      <c r="T1733" s="18">
        <v>4.0</v>
      </c>
      <c r="U1733" s="151">
        <v>4138.0</v>
      </c>
      <c r="V1733" s="92" t="s">
        <v>315</v>
      </c>
      <c r="W1733" s="18" t="s">
        <v>76</v>
      </c>
      <c r="X1733" s="42" t="s">
        <v>4502</v>
      </c>
      <c r="Y1733" s="159" t="s">
        <v>5208</v>
      </c>
      <c r="Z1733" s="18" t="s">
        <v>5227</v>
      </c>
      <c r="AA1733" s="92">
        <v>56.0</v>
      </c>
      <c r="AB1733" s="18"/>
      <c r="AC1733" s="18">
        <v>56.0</v>
      </c>
      <c r="AD1733" s="172">
        <v>314291.0</v>
      </c>
      <c r="AE1733" s="14"/>
      <c r="AF1733" s="14">
        <v>314291.0</v>
      </c>
      <c r="AG1733" s="22"/>
      <c r="AH1733" s="22"/>
      <c r="AI1733" s="22"/>
      <c r="AJ1733" s="22"/>
      <c r="AK1733" s="22"/>
      <c r="AL1733" s="22"/>
      <c r="AM1733" s="22"/>
      <c r="AN1733" s="22"/>
      <c r="AO1733" s="22"/>
      <c r="AP1733" s="22"/>
    </row>
    <row r="1734" hidden="1">
      <c r="A1734" s="148">
        <v>46178.0</v>
      </c>
      <c r="B1734" s="149">
        <v>0.4583333333333333</v>
      </c>
      <c r="C1734" s="11" t="s">
        <v>32</v>
      </c>
      <c r="D1734" s="102" t="s">
        <v>33</v>
      </c>
      <c r="E1734" s="10" t="s">
        <v>71</v>
      </c>
      <c r="F1734" s="10" t="s">
        <v>5196</v>
      </c>
      <c r="G1734" s="11" t="s">
        <v>5228</v>
      </c>
      <c r="H1734" s="11" t="s">
        <v>4755</v>
      </c>
      <c r="I1734" s="10" t="s">
        <v>4822</v>
      </c>
      <c r="J1734" s="14">
        <v>7539.0</v>
      </c>
      <c r="K1734" s="14">
        <v>4113.0</v>
      </c>
      <c r="L1734" s="17">
        <v>0.544</v>
      </c>
      <c r="M1734" s="150">
        <v>1847.0</v>
      </c>
      <c r="N1734" s="136">
        <v>0.4462</v>
      </c>
      <c r="O1734" s="18">
        <v>219.0</v>
      </c>
      <c r="P1734" s="92">
        <v>209.0</v>
      </c>
      <c r="Q1734" s="137">
        <v>0.051</v>
      </c>
      <c r="R1734" s="17">
        <v>0.1142</v>
      </c>
      <c r="S1734" s="18">
        <v>0.0</v>
      </c>
      <c r="T1734" s="18">
        <v>4.0</v>
      </c>
      <c r="U1734" s="151">
        <v>0.0</v>
      </c>
      <c r="V1734" s="92" t="s">
        <v>315</v>
      </c>
      <c r="W1734" s="18" t="s">
        <v>76</v>
      </c>
      <c r="X1734" s="42" t="s">
        <v>4502</v>
      </c>
      <c r="Y1734" s="159" t="s">
        <v>5208</v>
      </c>
      <c r="Z1734" s="18" t="s">
        <v>5229</v>
      </c>
      <c r="AA1734" s="92">
        <v>23.0</v>
      </c>
      <c r="AB1734" s="18"/>
      <c r="AC1734" s="18">
        <v>23.0</v>
      </c>
      <c r="AD1734" s="172">
        <v>151370.0</v>
      </c>
      <c r="AE1734" s="14"/>
      <c r="AF1734" s="14">
        <v>151370.0</v>
      </c>
      <c r="AG1734" s="22"/>
      <c r="AH1734" s="22"/>
      <c r="AI1734" s="22"/>
      <c r="AJ1734" s="22"/>
      <c r="AK1734" s="22"/>
      <c r="AL1734" s="22"/>
      <c r="AM1734" s="22"/>
      <c r="AN1734" s="22"/>
      <c r="AO1734" s="22"/>
      <c r="AP1734" s="22"/>
    </row>
    <row r="1735" hidden="1">
      <c r="A1735" s="148">
        <v>46178.0</v>
      </c>
      <c r="B1735" s="149">
        <v>0.4583333333333333</v>
      </c>
      <c r="C1735" s="11" t="s">
        <v>32</v>
      </c>
      <c r="D1735" s="102" t="s">
        <v>33</v>
      </c>
      <c r="E1735" s="10" t="s">
        <v>71</v>
      </c>
      <c r="F1735" s="10" t="s">
        <v>5196</v>
      </c>
      <c r="G1735" s="11" t="s">
        <v>5230</v>
      </c>
      <c r="H1735" s="11" t="s">
        <v>4758</v>
      </c>
      <c r="I1735" s="10" t="s">
        <v>4828</v>
      </c>
      <c r="J1735" s="14">
        <v>6917.0</v>
      </c>
      <c r="K1735" s="14">
        <v>3692.0</v>
      </c>
      <c r="L1735" s="17">
        <v>0.5213</v>
      </c>
      <c r="M1735" s="150">
        <v>1589.0</v>
      </c>
      <c r="N1735" s="136">
        <v>0.4354</v>
      </c>
      <c r="O1735" s="18">
        <v>155.0</v>
      </c>
      <c r="P1735" s="92">
        <v>146.0</v>
      </c>
      <c r="Q1735" s="137">
        <v>0.0405</v>
      </c>
      <c r="R1735" s="17">
        <v>0.093</v>
      </c>
      <c r="S1735" s="18">
        <v>0.0</v>
      </c>
      <c r="T1735" s="18">
        <v>2.0</v>
      </c>
      <c r="U1735" s="151">
        <v>0.0</v>
      </c>
      <c r="V1735" s="92" t="s">
        <v>315</v>
      </c>
      <c r="W1735" s="18" t="s">
        <v>76</v>
      </c>
      <c r="X1735" s="42" t="s">
        <v>4502</v>
      </c>
      <c r="Y1735" s="159" t="s">
        <v>5208</v>
      </c>
      <c r="Z1735" s="18" t="s">
        <v>5231</v>
      </c>
      <c r="AA1735" s="92">
        <v>13.0</v>
      </c>
      <c r="AB1735" s="18"/>
      <c r="AC1735" s="18">
        <v>13.0</v>
      </c>
      <c r="AD1735" s="172">
        <v>54512.0</v>
      </c>
      <c r="AE1735" s="14"/>
      <c r="AF1735" s="14">
        <v>54512.0</v>
      </c>
      <c r="AG1735" s="22"/>
      <c r="AH1735" s="22"/>
      <c r="AI1735" s="22"/>
      <c r="AJ1735" s="22"/>
      <c r="AK1735" s="22"/>
      <c r="AL1735" s="22"/>
      <c r="AM1735" s="22"/>
      <c r="AN1735" s="22"/>
      <c r="AO1735" s="22"/>
      <c r="AP1735" s="22"/>
    </row>
    <row r="1736" hidden="1">
      <c r="A1736" s="148">
        <v>46178.0</v>
      </c>
      <c r="B1736" s="149">
        <v>0.4583333333333333</v>
      </c>
      <c r="C1736" s="11" t="s">
        <v>32</v>
      </c>
      <c r="D1736" s="102" t="s">
        <v>33</v>
      </c>
      <c r="E1736" s="10" t="s">
        <v>71</v>
      </c>
      <c r="F1736" s="10" t="s">
        <v>5196</v>
      </c>
      <c r="G1736" s="11" t="s">
        <v>5232</v>
      </c>
      <c r="H1736" s="11" t="s">
        <v>4761</v>
      </c>
      <c r="I1736" s="10" t="s">
        <v>4834</v>
      </c>
      <c r="J1736" s="14">
        <v>6038.0</v>
      </c>
      <c r="K1736" s="14">
        <v>3357.0</v>
      </c>
      <c r="L1736" s="17">
        <v>0.5399</v>
      </c>
      <c r="M1736" s="150">
        <v>1464.0</v>
      </c>
      <c r="N1736" s="136">
        <v>0.4387</v>
      </c>
      <c r="O1736" s="18">
        <v>175.0</v>
      </c>
      <c r="P1736" s="92">
        <v>167.0</v>
      </c>
      <c r="Q1736" s="137">
        <v>0.0512</v>
      </c>
      <c r="R1736" s="17">
        <v>0.1168</v>
      </c>
      <c r="S1736" s="18">
        <v>0.0</v>
      </c>
      <c r="T1736" s="18">
        <v>3.0</v>
      </c>
      <c r="U1736" s="151">
        <v>0.0</v>
      </c>
      <c r="V1736" s="92" t="s">
        <v>315</v>
      </c>
      <c r="W1736" s="18" t="s">
        <v>76</v>
      </c>
      <c r="X1736" s="42" t="s">
        <v>4502</v>
      </c>
      <c r="Y1736" s="94" t="s">
        <v>5208</v>
      </c>
      <c r="Z1736" s="18" t="s">
        <v>5233</v>
      </c>
      <c r="AA1736" s="92">
        <v>17.0</v>
      </c>
      <c r="AB1736" s="18"/>
      <c r="AC1736" s="18">
        <v>17.0</v>
      </c>
      <c r="AD1736" s="172">
        <v>83860.0</v>
      </c>
      <c r="AE1736" s="14"/>
      <c r="AF1736" s="14">
        <v>83860.0</v>
      </c>
      <c r="AG1736" s="22"/>
      <c r="AH1736" s="22"/>
      <c r="AI1736" s="22"/>
      <c r="AJ1736" s="22"/>
      <c r="AK1736" s="22"/>
      <c r="AL1736" s="22"/>
      <c r="AM1736" s="22"/>
      <c r="AN1736" s="22"/>
      <c r="AO1736" s="22"/>
      <c r="AP1736" s="22"/>
    </row>
    <row r="1737" hidden="1">
      <c r="A1737" s="148">
        <v>46178.0</v>
      </c>
      <c r="B1737" s="149">
        <v>0.4583333333333333</v>
      </c>
      <c r="C1737" s="11" t="s">
        <v>32</v>
      </c>
      <c r="D1737" s="102" t="s">
        <v>33</v>
      </c>
      <c r="E1737" s="10" t="s">
        <v>71</v>
      </c>
      <c r="F1737" s="10" t="s">
        <v>5196</v>
      </c>
      <c r="G1737" s="11" t="s">
        <v>5234</v>
      </c>
      <c r="H1737" s="11" t="s">
        <v>4764</v>
      </c>
      <c r="I1737" s="10" t="s">
        <v>4837</v>
      </c>
      <c r="J1737" s="14">
        <v>4565.0</v>
      </c>
      <c r="K1737" s="14">
        <v>2300.0</v>
      </c>
      <c r="L1737" s="17">
        <v>0.4859</v>
      </c>
      <c r="M1737" s="150">
        <v>839.0</v>
      </c>
      <c r="N1737" s="136">
        <v>0.3711</v>
      </c>
      <c r="O1737" s="18">
        <v>115.0</v>
      </c>
      <c r="P1737" s="92">
        <v>107.0</v>
      </c>
      <c r="Q1737" s="137">
        <v>0.0482</v>
      </c>
      <c r="R1737" s="17">
        <v>0.13</v>
      </c>
      <c r="S1737" s="18">
        <v>0.0</v>
      </c>
      <c r="T1737" s="18">
        <v>2.0</v>
      </c>
      <c r="U1737" s="151">
        <v>0.0</v>
      </c>
      <c r="V1737" s="92" t="s">
        <v>315</v>
      </c>
      <c r="W1737" s="18" t="s">
        <v>76</v>
      </c>
      <c r="X1737" s="42" t="s">
        <v>4502</v>
      </c>
      <c r="Y1737" s="94" t="s">
        <v>5208</v>
      </c>
      <c r="Z1737" s="18" t="s">
        <v>5235</v>
      </c>
      <c r="AA1737" s="92">
        <v>11.0</v>
      </c>
      <c r="AB1737" s="18"/>
      <c r="AC1737" s="18">
        <v>11.0</v>
      </c>
      <c r="AD1737" s="14">
        <v>54474.0</v>
      </c>
      <c r="AE1737" s="14"/>
      <c r="AF1737" s="14">
        <v>54474.0</v>
      </c>
      <c r="AG1737" s="22"/>
      <c r="AH1737" s="22"/>
      <c r="AI1737" s="22"/>
      <c r="AJ1737" s="22"/>
      <c r="AK1737" s="22"/>
      <c r="AL1737" s="22"/>
      <c r="AM1737" s="22"/>
      <c r="AN1737" s="22"/>
      <c r="AO1737" s="22"/>
      <c r="AP1737" s="22"/>
    </row>
    <row r="1738" hidden="1">
      <c r="A1738" s="148">
        <v>46178.0</v>
      </c>
      <c r="B1738" s="149">
        <v>0.4583333333333333</v>
      </c>
      <c r="C1738" s="11" t="s">
        <v>32</v>
      </c>
      <c r="D1738" s="102" t="s">
        <v>33</v>
      </c>
      <c r="E1738" s="10" t="s">
        <v>71</v>
      </c>
      <c r="F1738" s="10" t="s">
        <v>5196</v>
      </c>
      <c r="G1738" s="11" t="s">
        <v>5236</v>
      </c>
      <c r="H1738" s="11" t="s">
        <v>4767</v>
      </c>
      <c r="I1738" s="10" t="s">
        <v>4843</v>
      </c>
      <c r="J1738" s="14">
        <v>6881.0</v>
      </c>
      <c r="K1738" s="14">
        <v>3690.0</v>
      </c>
      <c r="L1738" s="17">
        <v>0.5355</v>
      </c>
      <c r="M1738" s="150">
        <v>1405.0</v>
      </c>
      <c r="N1738" s="136">
        <v>0.3777</v>
      </c>
      <c r="O1738" s="18">
        <v>155.0</v>
      </c>
      <c r="P1738" s="92">
        <v>149.0</v>
      </c>
      <c r="Q1738" s="137">
        <v>0.0404</v>
      </c>
      <c r="R1738" s="17">
        <v>0.107</v>
      </c>
      <c r="S1738" s="18">
        <v>2.0</v>
      </c>
      <c r="T1738" s="18">
        <v>7.0</v>
      </c>
      <c r="U1738" s="151">
        <v>9732.0</v>
      </c>
      <c r="V1738" s="92" t="s">
        <v>315</v>
      </c>
      <c r="W1738" s="18" t="s">
        <v>76</v>
      </c>
      <c r="X1738" s="42" t="s">
        <v>4502</v>
      </c>
      <c r="Y1738" s="159" t="s">
        <v>5208</v>
      </c>
      <c r="Z1738" s="18" t="s">
        <v>5237</v>
      </c>
      <c r="AA1738" s="92">
        <v>27.0</v>
      </c>
      <c r="AB1738" s="18"/>
      <c r="AC1738" s="18">
        <v>27.0</v>
      </c>
      <c r="AD1738" s="172">
        <v>122424.0</v>
      </c>
      <c r="AE1738" s="14"/>
      <c r="AF1738" s="14">
        <v>122424.0</v>
      </c>
      <c r="AG1738" s="22"/>
      <c r="AH1738" s="22"/>
      <c r="AI1738" s="22"/>
      <c r="AJ1738" s="22"/>
      <c r="AK1738" s="22"/>
      <c r="AL1738" s="22"/>
      <c r="AM1738" s="22"/>
      <c r="AN1738" s="22"/>
      <c r="AO1738" s="22"/>
      <c r="AP1738" s="22"/>
    </row>
    <row r="1739" hidden="1">
      <c r="A1739" s="148">
        <v>46178.0</v>
      </c>
      <c r="B1739" s="149">
        <v>0.4583333333333333</v>
      </c>
      <c r="C1739" s="11" t="s">
        <v>32</v>
      </c>
      <c r="D1739" s="102" t="s">
        <v>33</v>
      </c>
      <c r="E1739" s="10" t="s">
        <v>71</v>
      </c>
      <c r="F1739" s="10" t="s">
        <v>5196</v>
      </c>
      <c r="G1739" s="11" t="s">
        <v>5238</v>
      </c>
      <c r="H1739" s="11" t="s">
        <v>4770</v>
      </c>
      <c r="I1739" s="10" t="s">
        <v>4846</v>
      </c>
      <c r="J1739" s="14">
        <v>3105.0</v>
      </c>
      <c r="K1739" s="14">
        <v>1633.0</v>
      </c>
      <c r="L1739" s="17">
        <v>0.525</v>
      </c>
      <c r="M1739" s="150">
        <v>718.0</v>
      </c>
      <c r="N1739" s="136">
        <v>0.4368</v>
      </c>
      <c r="O1739" s="18">
        <v>82.0</v>
      </c>
      <c r="P1739" s="92">
        <v>79.0</v>
      </c>
      <c r="Q1739" s="137">
        <v>0.0485</v>
      </c>
      <c r="R1739" s="17">
        <v>0.111</v>
      </c>
      <c r="S1739" s="18">
        <v>0.0</v>
      </c>
      <c r="T1739" s="18">
        <v>3.0</v>
      </c>
      <c r="U1739" s="151">
        <v>0.0</v>
      </c>
      <c r="V1739" s="92" t="s">
        <v>315</v>
      </c>
      <c r="W1739" s="18" t="s">
        <v>76</v>
      </c>
      <c r="X1739" s="42" t="s">
        <v>4502</v>
      </c>
      <c r="Y1739" s="159" t="s">
        <v>5208</v>
      </c>
      <c r="Z1739" s="18" t="s">
        <v>5239</v>
      </c>
      <c r="AA1739" s="92">
        <v>8.0</v>
      </c>
      <c r="AB1739" s="18"/>
      <c r="AC1739" s="18">
        <v>8.0</v>
      </c>
      <c r="AD1739" s="172">
        <v>33078.0</v>
      </c>
      <c r="AE1739" s="14"/>
      <c r="AF1739" s="14">
        <v>33078.0</v>
      </c>
      <c r="AG1739" s="22"/>
      <c r="AH1739" s="22"/>
      <c r="AI1739" s="22"/>
      <c r="AJ1739" s="22"/>
      <c r="AK1739" s="22"/>
      <c r="AL1739" s="22"/>
      <c r="AM1739" s="22"/>
      <c r="AN1739" s="22"/>
      <c r="AO1739" s="22"/>
      <c r="AP1739" s="22"/>
    </row>
    <row r="1740" hidden="1">
      <c r="A1740" s="148">
        <v>46178.0</v>
      </c>
      <c r="B1740" s="149">
        <v>0.4583333333333333</v>
      </c>
      <c r="C1740" s="11" t="s">
        <v>32</v>
      </c>
      <c r="D1740" s="102" t="s">
        <v>33</v>
      </c>
      <c r="E1740" s="10" t="s">
        <v>71</v>
      </c>
      <c r="F1740" s="10" t="s">
        <v>5196</v>
      </c>
      <c r="G1740" s="11" t="s">
        <v>5240</v>
      </c>
      <c r="H1740" s="11" t="s">
        <v>4773</v>
      </c>
      <c r="I1740" s="10" t="s">
        <v>4852</v>
      </c>
      <c r="J1740" s="14">
        <v>2140.0</v>
      </c>
      <c r="K1740" s="14">
        <v>1264.0</v>
      </c>
      <c r="L1740" s="17">
        <v>0.5743</v>
      </c>
      <c r="M1740" s="150">
        <v>670.0</v>
      </c>
      <c r="N1740" s="136">
        <v>0.5395</v>
      </c>
      <c r="O1740" s="18">
        <v>70.0</v>
      </c>
      <c r="P1740" s="92">
        <v>66.0</v>
      </c>
      <c r="Q1740" s="137">
        <v>0.0537</v>
      </c>
      <c r="R1740" s="17">
        <v>0.0995</v>
      </c>
      <c r="S1740" s="18">
        <v>0.0</v>
      </c>
      <c r="T1740" s="18">
        <v>0.0</v>
      </c>
      <c r="U1740" s="151">
        <v>0.0</v>
      </c>
      <c r="V1740" s="92" t="s">
        <v>315</v>
      </c>
      <c r="W1740" s="18" t="s">
        <v>76</v>
      </c>
      <c r="X1740" s="42" t="s">
        <v>4502</v>
      </c>
      <c r="Y1740" s="159" t="s">
        <v>5208</v>
      </c>
      <c r="Z1740" s="18" t="s">
        <v>5241</v>
      </c>
      <c r="AA1740" s="92">
        <v>12.0</v>
      </c>
      <c r="AB1740" s="18"/>
      <c r="AC1740" s="18">
        <v>12.0</v>
      </c>
      <c r="AD1740" s="172">
        <v>58272.0</v>
      </c>
      <c r="AE1740" s="14"/>
      <c r="AF1740" s="14">
        <v>58272.0</v>
      </c>
      <c r="AG1740" s="22"/>
      <c r="AH1740" s="22"/>
      <c r="AI1740" s="22"/>
      <c r="AJ1740" s="22"/>
      <c r="AK1740" s="22"/>
      <c r="AL1740" s="22"/>
      <c r="AM1740" s="22"/>
      <c r="AN1740" s="22"/>
      <c r="AO1740" s="22"/>
      <c r="AP1740" s="22"/>
    </row>
    <row r="1741" hidden="1">
      <c r="A1741" s="148">
        <v>46178.0</v>
      </c>
      <c r="B1741" s="149">
        <v>0.4583333333333333</v>
      </c>
      <c r="C1741" s="11" t="s">
        <v>32</v>
      </c>
      <c r="D1741" s="102" t="s">
        <v>33</v>
      </c>
      <c r="E1741" s="10" t="s">
        <v>71</v>
      </c>
      <c r="F1741" s="10" t="s">
        <v>5196</v>
      </c>
      <c r="G1741" s="11" t="s">
        <v>5242</v>
      </c>
      <c r="H1741" s="11" t="s">
        <v>4776</v>
      </c>
      <c r="I1741" s="10" t="s">
        <v>4858</v>
      </c>
      <c r="J1741" s="14">
        <v>4153.0</v>
      </c>
      <c r="K1741" s="14">
        <v>2409.0</v>
      </c>
      <c r="L1741" s="17">
        <v>0.5793</v>
      </c>
      <c r="M1741" s="150">
        <v>1129.0</v>
      </c>
      <c r="N1741" s="136">
        <v>0.4655</v>
      </c>
      <c r="O1741" s="18">
        <v>158.0</v>
      </c>
      <c r="P1741" s="92">
        <v>151.0</v>
      </c>
      <c r="Q1741" s="137">
        <v>0.0628</v>
      </c>
      <c r="R1741" s="17">
        <v>0.1348</v>
      </c>
      <c r="S1741" s="18">
        <v>0.0</v>
      </c>
      <c r="T1741" s="18">
        <v>2.0</v>
      </c>
      <c r="U1741" s="151">
        <v>0.0</v>
      </c>
      <c r="V1741" s="92" t="s">
        <v>315</v>
      </c>
      <c r="W1741" s="18" t="s">
        <v>76</v>
      </c>
      <c r="X1741" s="42" t="s">
        <v>4502</v>
      </c>
      <c r="Y1741" s="159" t="s">
        <v>5208</v>
      </c>
      <c r="Z1741" s="18" t="s">
        <v>5243</v>
      </c>
      <c r="AA1741" s="92">
        <v>11.0</v>
      </c>
      <c r="AB1741" s="18"/>
      <c r="AC1741" s="18">
        <v>11.0</v>
      </c>
      <c r="AD1741" s="172">
        <v>60376.0</v>
      </c>
      <c r="AE1741" s="14"/>
      <c r="AF1741" s="14">
        <v>60376.0</v>
      </c>
      <c r="AG1741" s="22"/>
      <c r="AH1741" s="22"/>
      <c r="AI1741" s="22"/>
      <c r="AJ1741" s="22"/>
      <c r="AK1741" s="22"/>
      <c r="AL1741" s="22"/>
      <c r="AM1741" s="22"/>
      <c r="AN1741" s="22"/>
      <c r="AO1741" s="22"/>
      <c r="AP1741" s="22"/>
    </row>
    <row r="1742" hidden="1">
      <c r="A1742" s="148">
        <v>46178.0</v>
      </c>
      <c r="B1742" s="149">
        <v>0.4583333333333333</v>
      </c>
      <c r="C1742" s="11" t="s">
        <v>32</v>
      </c>
      <c r="D1742" s="102" t="s">
        <v>33</v>
      </c>
      <c r="E1742" s="10" t="s">
        <v>71</v>
      </c>
      <c r="F1742" s="10" t="s">
        <v>5196</v>
      </c>
      <c r="G1742" s="11" t="s">
        <v>5244</v>
      </c>
      <c r="H1742" s="11" t="s">
        <v>4779</v>
      </c>
      <c r="I1742" s="10" t="s">
        <v>4864</v>
      </c>
      <c r="J1742" s="14">
        <v>1519.0</v>
      </c>
      <c r="K1742" s="14">
        <v>927.0</v>
      </c>
      <c r="L1742" s="17">
        <v>0.6076</v>
      </c>
      <c r="M1742" s="150">
        <v>506.0</v>
      </c>
      <c r="N1742" s="136">
        <v>0.5395</v>
      </c>
      <c r="O1742" s="18">
        <v>70.0</v>
      </c>
      <c r="P1742" s="92">
        <v>62.0</v>
      </c>
      <c r="Q1742" s="137">
        <v>0.0672</v>
      </c>
      <c r="R1742" s="17">
        <v>0.1245</v>
      </c>
      <c r="S1742" s="18">
        <v>0.0</v>
      </c>
      <c r="T1742" s="18">
        <v>2.0</v>
      </c>
      <c r="U1742" s="151">
        <v>0.0</v>
      </c>
      <c r="V1742" s="92" t="s">
        <v>315</v>
      </c>
      <c r="W1742" s="18" t="s">
        <v>76</v>
      </c>
      <c r="X1742" s="42" t="s">
        <v>4502</v>
      </c>
      <c r="Y1742" s="159" t="s">
        <v>5208</v>
      </c>
      <c r="Z1742" s="18" t="s">
        <v>5245</v>
      </c>
      <c r="AA1742" s="92">
        <v>5.0</v>
      </c>
      <c r="AB1742" s="18"/>
      <c r="AC1742" s="18">
        <v>5.0</v>
      </c>
      <c r="AD1742" s="172">
        <v>31782.0</v>
      </c>
      <c r="AE1742" s="14"/>
      <c r="AF1742" s="14">
        <v>31782.0</v>
      </c>
      <c r="AG1742" s="22"/>
      <c r="AH1742" s="22"/>
      <c r="AI1742" s="22"/>
      <c r="AJ1742" s="22"/>
      <c r="AK1742" s="22"/>
      <c r="AL1742" s="22"/>
      <c r="AM1742" s="22"/>
      <c r="AN1742" s="22"/>
      <c r="AO1742" s="22"/>
      <c r="AP1742" s="22"/>
    </row>
    <row r="1743" hidden="1">
      <c r="A1743" s="148">
        <v>46178.0</v>
      </c>
      <c r="B1743" s="149">
        <v>0.4583333333333333</v>
      </c>
      <c r="C1743" s="11" t="s">
        <v>32</v>
      </c>
      <c r="D1743" s="102" t="s">
        <v>33</v>
      </c>
      <c r="E1743" s="10" t="s">
        <v>71</v>
      </c>
      <c r="F1743" s="10" t="s">
        <v>5196</v>
      </c>
      <c r="G1743" s="11" t="s">
        <v>5246</v>
      </c>
      <c r="H1743" s="11" t="s">
        <v>4782</v>
      </c>
      <c r="I1743" s="10" t="s">
        <v>4870</v>
      </c>
      <c r="J1743" s="14">
        <v>34029.0</v>
      </c>
      <c r="K1743" s="14">
        <v>17400.0</v>
      </c>
      <c r="L1743" s="17">
        <v>0.5096</v>
      </c>
      <c r="M1743" s="150">
        <v>5692.0</v>
      </c>
      <c r="N1743" s="136">
        <v>0.3259</v>
      </c>
      <c r="O1743" s="18">
        <v>476.0</v>
      </c>
      <c r="P1743" s="92">
        <v>454.0</v>
      </c>
      <c r="Q1743" s="137">
        <v>0.0262</v>
      </c>
      <c r="R1743" s="17">
        <v>0.0803</v>
      </c>
      <c r="S1743" s="18">
        <v>4.0</v>
      </c>
      <c r="T1743" s="18">
        <v>12.0</v>
      </c>
      <c r="U1743" s="151">
        <v>13627.0</v>
      </c>
      <c r="V1743" s="92" t="s">
        <v>315</v>
      </c>
      <c r="W1743" s="18" t="s">
        <v>76</v>
      </c>
      <c r="X1743" s="42" t="s">
        <v>4502</v>
      </c>
      <c r="Y1743" s="94" t="s">
        <v>5208</v>
      </c>
      <c r="Z1743" s="18" t="s">
        <v>5247</v>
      </c>
      <c r="AA1743" s="92">
        <v>97.0</v>
      </c>
      <c r="AB1743" s="18"/>
      <c r="AC1743" s="18">
        <v>97.0</v>
      </c>
      <c r="AD1743" s="172">
        <v>637281.0</v>
      </c>
      <c r="AE1743" s="14"/>
      <c r="AF1743" s="14">
        <v>637281.0</v>
      </c>
      <c r="AG1743" s="22"/>
      <c r="AH1743" s="22"/>
      <c r="AI1743" s="22"/>
      <c r="AJ1743" s="22"/>
      <c r="AK1743" s="22"/>
      <c r="AL1743" s="22"/>
      <c r="AM1743" s="22"/>
      <c r="AN1743" s="22"/>
      <c r="AO1743" s="22"/>
      <c r="AP1743" s="22"/>
    </row>
    <row r="1744" hidden="1">
      <c r="A1744" s="148">
        <v>46178.0</v>
      </c>
      <c r="B1744" s="149">
        <v>0.4583333333333333</v>
      </c>
      <c r="C1744" s="11" t="s">
        <v>32</v>
      </c>
      <c r="D1744" s="102" t="s">
        <v>33</v>
      </c>
      <c r="E1744" s="10" t="s">
        <v>71</v>
      </c>
      <c r="F1744" s="10" t="s">
        <v>5196</v>
      </c>
      <c r="G1744" s="11" t="s">
        <v>5248</v>
      </c>
      <c r="H1744" s="11" t="s">
        <v>4785</v>
      </c>
      <c r="I1744" s="10" t="s">
        <v>4873</v>
      </c>
      <c r="J1744" s="14">
        <v>13476.0</v>
      </c>
      <c r="K1744" s="14">
        <v>7069.0</v>
      </c>
      <c r="L1744" s="17">
        <v>0.5166</v>
      </c>
      <c r="M1744" s="150">
        <v>2744.0</v>
      </c>
      <c r="N1744" s="136">
        <v>0.3888</v>
      </c>
      <c r="O1744" s="18">
        <v>219.0</v>
      </c>
      <c r="P1744" s="92">
        <v>208.0</v>
      </c>
      <c r="Q1744" s="137">
        <v>0.0299</v>
      </c>
      <c r="R1744" s="17">
        <v>0.0768</v>
      </c>
      <c r="S1744" s="18">
        <v>1.0</v>
      </c>
      <c r="T1744" s="18">
        <v>4.0</v>
      </c>
      <c r="U1744" s="151">
        <v>4678.0</v>
      </c>
      <c r="V1744" s="92" t="s">
        <v>315</v>
      </c>
      <c r="W1744" s="18" t="s">
        <v>76</v>
      </c>
      <c r="X1744" s="42" t="s">
        <v>4502</v>
      </c>
      <c r="Y1744" s="94" t="s">
        <v>5208</v>
      </c>
      <c r="Z1744" s="18" t="s">
        <v>5249</v>
      </c>
      <c r="AA1744" s="92">
        <v>32.0</v>
      </c>
      <c r="AB1744" s="18"/>
      <c r="AC1744" s="18">
        <v>32.0</v>
      </c>
      <c r="AD1744" s="14">
        <v>165753.0</v>
      </c>
      <c r="AE1744" s="14"/>
      <c r="AF1744" s="14">
        <v>165753.0</v>
      </c>
      <c r="AG1744" s="22"/>
      <c r="AH1744" s="22"/>
      <c r="AI1744" s="22"/>
      <c r="AJ1744" s="22"/>
      <c r="AK1744" s="22"/>
      <c r="AL1744" s="22"/>
      <c r="AM1744" s="22"/>
      <c r="AN1744" s="22"/>
      <c r="AO1744" s="22"/>
      <c r="AP1744" s="22"/>
    </row>
    <row r="1745" hidden="1">
      <c r="A1745" s="148">
        <v>46178.0</v>
      </c>
      <c r="B1745" s="149">
        <v>0.4583333333333333</v>
      </c>
      <c r="C1745" s="11" t="s">
        <v>32</v>
      </c>
      <c r="D1745" s="102" t="s">
        <v>33</v>
      </c>
      <c r="E1745" s="10" t="s">
        <v>71</v>
      </c>
      <c r="F1745" s="10" t="s">
        <v>5196</v>
      </c>
      <c r="G1745" s="11" t="s">
        <v>5250</v>
      </c>
      <c r="H1745" s="11" t="s">
        <v>4788</v>
      </c>
      <c r="I1745" s="10" t="s">
        <v>4876</v>
      </c>
      <c r="J1745" s="14">
        <v>19289.0</v>
      </c>
      <c r="K1745" s="14">
        <v>9591.0</v>
      </c>
      <c r="L1745" s="17">
        <v>0.4819</v>
      </c>
      <c r="M1745" s="150">
        <v>3609.0</v>
      </c>
      <c r="N1745" s="136">
        <v>0.3843</v>
      </c>
      <c r="O1745" s="18">
        <v>272.0</v>
      </c>
      <c r="P1745" s="92">
        <v>262.0</v>
      </c>
      <c r="Q1745" s="137">
        <v>0.0282</v>
      </c>
      <c r="R1745" s="17">
        <v>0.0733</v>
      </c>
      <c r="S1745" s="18">
        <v>1.0</v>
      </c>
      <c r="T1745" s="18">
        <v>3.0</v>
      </c>
      <c r="U1745" s="151">
        <v>3776.0</v>
      </c>
      <c r="V1745" s="92" t="s">
        <v>315</v>
      </c>
      <c r="W1745" s="18" t="s">
        <v>76</v>
      </c>
      <c r="X1745" s="42" t="s">
        <v>4502</v>
      </c>
      <c r="Y1745" s="159" t="s">
        <v>5208</v>
      </c>
      <c r="Z1745" s="18" t="s">
        <v>5251</v>
      </c>
      <c r="AA1745" s="92">
        <v>24.0</v>
      </c>
      <c r="AB1745" s="18"/>
      <c r="AC1745" s="18">
        <v>24.0</v>
      </c>
      <c r="AD1745" s="172">
        <v>121542.0</v>
      </c>
      <c r="AE1745" s="14"/>
      <c r="AF1745" s="14">
        <v>121542.0</v>
      </c>
      <c r="AG1745" s="22"/>
      <c r="AH1745" s="22"/>
      <c r="AI1745" s="22"/>
      <c r="AJ1745" s="22"/>
      <c r="AK1745" s="22"/>
      <c r="AL1745" s="22"/>
      <c r="AM1745" s="22"/>
      <c r="AN1745" s="22"/>
      <c r="AO1745" s="22"/>
      <c r="AP1745" s="22"/>
    </row>
    <row r="1746" hidden="1">
      <c r="A1746" s="148">
        <v>46178.0</v>
      </c>
      <c r="B1746" s="149">
        <v>0.4583333333333333</v>
      </c>
      <c r="C1746" s="11" t="s">
        <v>32</v>
      </c>
      <c r="D1746" s="102" t="s">
        <v>33</v>
      </c>
      <c r="E1746" s="10" t="s">
        <v>71</v>
      </c>
      <c r="F1746" s="10" t="s">
        <v>5196</v>
      </c>
      <c r="G1746" s="11" t="s">
        <v>5252</v>
      </c>
      <c r="H1746" s="11" t="s">
        <v>4791</v>
      </c>
      <c r="I1746" s="10" t="s">
        <v>4879</v>
      </c>
      <c r="J1746" s="14">
        <v>15578.0</v>
      </c>
      <c r="K1746" s="14">
        <v>8358.0</v>
      </c>
      <c r="L1746" s="17">
        <v>0.5091</v>
      </c>
      <c r="M1746" s="150">
        <v>3319.0</v>
      </c>
      <c r="N1746" s="136">
        <v>0.4116</v>
      </c>
      <c r="O1746" s="18">
        <v>295.0</v>
      </c>
      <c r="P1746" s="92">
        <v>284.0</v>
      </c>
      <c r="Q1746" s="137">
        <v>0.0358</v>
      </c>
      <c r="R1746" s="17">
        <v>0.087</v>
      </c>
      <c r="S1746" s="18">
        <v>6.0</v>
      </c>
      <c r="T1746" s="18">
        <v>7.0</v>
      </c>
      <c r="U1746" s="151">
        <v>27134.0</v>
      </c>
      <c r="V1746" s="92" t="s">
        <v>315</v>
      </c>
      <c r="W1746" s="18" t="s">
        <v>76</v>
      </c>
      <c r="X1746" s="42" t="s">
        <v>4502</v>
      </c>
      <c r="Y1746" s="159" t="s">
        <v>5208</v>
      </c>
      <c r="Z1746" s="18" t="s">
        <v>5253</v>
      </c>
      <c r="AA1746" s="92">
        <v>37.0</v>
      </c>
      <c r="AB1746" s="18"/>
      <c r="AC1746" s="18">
        <v>37.0</v>
      </c>
      <c r="AD1746" s="172">
        <v>184363.0</v>
      </c>
      <c r="AE1746" s="14"/>
      <c r="AF1746" s="14">
        <v>184363.0</v>
      </c>
      <c r="AG1746" s="22"/>
      <c r="AH1746" s="22"/>
      <c r="AI1746" s="22"/>
      <c r="AJ1746" s="22"/>
      <c r="AK1746" s="22"/>
      <c r="AL1746" s="22"/>
      <c r="AM1746" s="22"/>
      <c r="AN1746" s="22"/>
      <c r="AO1746" s="22"/>
      <c r="AP1746" s="22"/>
    </row>
    <row r="1747" hidden="1">
      <c r="A1747" s="148">
        <v>46178.0</v>
      </c>
      <c r="B1747" s="149">
        <v>0.4583333333333333</v>
      </c>
      <c r="C1747" s="11" t="s">
        <v>32</v>
      </c>
      <c r="D1747" s="102" t="s">
        <v>33</v>
      </c>
      <c r="E1747" s="10" t="s">
        <v>71</v>
      </c>
      <c r="F1747" s="10" t="s">
        <v>5196</v>
      </c>
      <c r="G1747" s="11" t="s">
        <v>5254</v>
      </c>
      <c r="H1747" s="11" t="s">
        <v>4794</v>
      </c>
      <c r="I1747" s="10" t="s">
        <v>4882</v>
      </c>
      <c r="J1747" s="14">
        <v>12164.0</v>
      </c>
      <c r="K1747" s="14">
        <v>5934.0</v>
      </c>
      <c r="L1747" s="17">
        <v>0.4568</v>
      </c>
      <c r="M1747" s="150">
        <v>1896.0</v>
      </c>
      <c r="N1747" s="136">
        <v>0.3362</v>
      </c>
      <c r="O1747" s="18">
        <v>160.0</v>
      </c>
      <c r="P1747" s="92">
        <v>155.0</v>
      </c>
      <c r="Q1747" s="137">
        <v>0.0279</v>
      </c>
      <c r="R1747" s="17">
        <v>0.083</v>
      </c>
      <c r="S1747" s="18">
        <v>0.0</v>
      </c>
      <c r="T1747" s="18">
        <v>0.0</v>
      </c>
      <c r="U1747" s="151">
        <v>0.0</v>
      </c>
      <c r="V1747" s="92" t="s">
        <v>315</v>
      </c>
      <c r="W1747" s="18" t="s">
        <v>76</v>
      </c>
      <c r="X1747" s="42" t="s">
        <v>4502</v>
      </c>
      <c r="Y1747" s="159" t="s">
        <v>5208</v>
      </c>
      <c r="Z1747" s="18" t="s">
        <v>5255</v>
      </c>
      <c r="AA1747" s="92">
        <v>30.0</v>
      </c>
      <c r="AB1747" s="18"/>
      <c r="AC1747" s="18">
        <v>30.0</v>
      </c>
      <c r="AD1747" s="172">
        <v>118838.0</v>
      </c>
      <c r="AE1747" s="14"/>
      <c r="AF1747" s="14">
        <v>118838.0</v>
      </c>
      <c r="AG1747" s="22"/>
      <c r="AH1747" s="22"/>
      <c r="AI1747" s="22"/>
      <c r="AJ1747" s="22"/>
      <c r="AK1747" s="22"/>
      <c r="AL1747" s="22"/>
      <c r="AM1747" s="22"/>
      <c r="AN1747" s="22"/>
      <c r="AO1747" s="22"/>
      <c r="AP1747" s="22"/>
    </row>
    <row r="1748" hidden="1">
      <c r="A1748" s="148">
        <v>46178.0</v>
      </c>
      <c r="B1748" s="149">
        <v>0.4583333333333333</v>
      </c>
      <c r="C1748" s="11" t="s">
        <v>32</v>
      </c>
      <c r="D1748" s="102" t="s">
        <v>33</v>
      </c>
      <c r="E1748" s="10" t="s">
        <v>71</v>
      </c>
      <c r="F1748" s="10" t="s">
        <v>5196</v>
      </c>
      <c r="G1748" s="11" t="s">
        <v>5256</v>
      </c>
      <c r="H1748" s="11" t="s">
        <v>4797</v>
      </c>
      <c r="I1748" s="10" t="s">
        <v>4885</v>
      </c>
      <c r="J1748" s="14">
        <v>14182.0</v>
      </c>
      <c r="K1748" s="14">
        <v>7231.0</v>
      </c>
      <c r="L1748" s="17">
        <v>0.4386</v>
      </c>
      <c r="M1748" s="150">
        <v>2349.0</v>
      </c>
      <c r="N1748" s="136">
        <v>0.369</v>
      </c>
      <c r="O1748" s="18">
        <v>195.0</v>
      </c>
      <c r="P1748" s="92">
        <v>189.0</v>
      </c>
      <c r="Q1748" s="137">
        <v>0.0304</v>
      </c>
      <c r="R1748" s="17">
        <v>0.0824</v>
      </c>
      <c r="S1748" s="18">
        <v>1.0</v>
      </c>
      <c r="T1748" s="18">
        <v>5.0</v>
      </c>
      <c r="U1748" s="151">
        <v>4138.0</v>
      </c>
      <c r="V1748" s="92" t="s">
        <v>315</v>
      </c>
      <c r="W1748" s="18" t="s">
        <v>76</v>
      </c>
      <c r="X1748" s="42" t="s">
        <v>4502</v>
      </c>
      <c r="Y1748" s="159" t="s">
        <v>5208</v>
      </c>
      <c r="Z1748" s="18" t="s">
        <v>5257</v>
      </c>
      <c r="AA1748" s="92">
        <v>25.0</v>
      </c>
      <c r="AB1748" s="18"/>
      <c r="AC1748" s="18">
        <v>25.0</v>
      </c>
      <c r="AD1748" s="172">
        <v>91944.0</v>
      </c>
      <c r="AE1748" s="14"/>
      <c r="AF1748" s="14">
        <v>91944.0</v>
      </c>
      <c r="AG1748" s="22"/>
      <c r="AH1748" s="22"/>
      <c r="AI1748" s="22"/>
      <c r="AJ1748" s="22"/>
      <c r="AK1748" s="22"/>
      <c r="AL1748" s="22"/>
      <c r="AM1748" s="22"/>
      <c r="AN1748" s="22"/>
      <c r="AO1748" s="22"/>
      <c r="AP1748" s="22"/>
    </row>
    <row r="1749" hidden="1">
      <c r="A1749" s="148">
        <v>46178.0</v>
      </c>
      <c r="B1749" s="149">
        <v>0.4583333333333333</v>
      </c>
      <c r="C1749" s="11" t="s">
        <v>32</v>
      </c>
      <c r="D1749" s="102" t="s">
        <v>33</v>
      </c>
      <c r="E1749" s="10" t="s">
        <v>71</v>
      </c>
      <c r="F1749" s="10" t="s">
        <v>5196</v>
      </c>
      <c r="G1749" s="11" t="s">
        <v>5258</v>
      </c>
      <c r="H1749" s="11" t="s">
        <v>4800</v>
      </c>
      <c r="I1749" s="10" t="s">
        <v>4888</v>
      </c>
      <c r="J1749" s="14">
        <v>7487.0</v>
      </c>
      <c r="K1749" s="14">
        <v>3784.0</v>
      </c>
      <c r="L1749" s="17">
        <v>0.4473</v>
      </c>
      <c r="M1749" s="150">
        <v>1465.0</v>
      </c>
      <c r="N1749" s="136">
        <v>0.4279</v>
      </c>
      <c r="O1749" s="18">
        <v>102.0</v>
      </c>
      <c r="P1749" s="92">
        <v>98.0</v>
      </c>
      <c r="Q1749" s="137">
        <v>0.0293</v>
      </c>
      <c r="R1749" s="17">
        <v>0.0684</v>
      </c>
      <c r="S1749" s="18">
        <v>0.0</v>
      </c>
      <c r="T1749" s="18">
        <v>0.0</v>
      </c>
      <c r="U1749" s="151">
        <v>0.0</v>
      </c>
      <c r="V1749" s="92" t="s">
        <v>315</v>
      </c>
      <c r="W1749" s="18" t="s">
        <v>76</v>
      </c>
      <c r="X1749" s="42" t="s">
        <v>4502</v>
      </c>
      <c r="Y1749" s="159" t="s">
        <v>5208</v>
      </c>
      <c r="Z1749" s="18" t="s">
        <v>5259</v>
      </c>
      <c r="AA1749" s="92">
        <v>20.0</v>
      </c>
      <c r="AB1749" s="18"/>
      <c r="AC1749" s="18">
        <v>20.0</v>
      </c>
      <c r="AD1749" s="172">
        <v>107887.0</v>
      </c>
      <c r="AE1749" s="14"/>
      <c r="AF1749" s="14">
        <v>107887.0</v>
      </c>
      <c r="AG1749" s="22"/>
      <c r="AH1749" s="22"/>
      <c r="AI1749" s="22"/>
      <c r="AJ1749" s="22"/>
      <c r="AK1749" s="22"/>
      <c r="AL1749" s="22"/>
      <c r="AM1749" s="22"/>
      <c r="AN1749" s="22"/>
      <c r="AO1749" s="22"/>
      <c r="AP1749" s="22"/>
    </row>
    <row r="1750" hidden="1">
      <c r="A1750" s="148">
        <v>46178.0</v>
      </c>
      <c r="B1750" s="149">
        <v>0.4583333333333333</v>
      </c>
      <c r="C1750" s="11" t="s">
        <v>32</v>
      </c>
      <c r="D1750" s="102" t="s">
        <v>33</v>
      </c>
      <c r="E1750" s="10" t="s">
        <v>71</v>
      </c>
      <c r="F1750" s="10" t="s">
        <v>5196</v>
      </c>
      <c r="G1750" s="11" t="s">
        <v>5260</v>
      </c>
      <c r="H1750" s="11" t="s">
        <v>4803</v>
      </c>
      <c r="I1750" s="10" t="s">
        <v>4891</v>
      </c>
      <c r="J1750" s="14">
        <v>6338.0</v>
      </c>
      <c r="K1750" s="14">
        <v>3708.0</v>
      </c>
      <c r="L1750" s="17">
        <v>0.5309</v>
      </c>
      <c r="M1750" s="150">
        <v>1830.0</v>
      </c>
      <c r="N1750" s="136">
        <v>0.5328</v>
      </c>
      <c r="O1750" s="18">
        <v>129.0</v>
      </c>
      <c r="P1750" s="92">
        <v>124.0</v>
      </c>
      <c r="Q1750" s="137">
        <v>0.0368</v>
      </c>
      <c r="R1750" s="17">
        <v>0.0692</v>
      </c>
      <c r="S1750" s="18">
        <v>0.0</v>
      </c>
      <c r="T1750" s="18">
        <v>2.0</v>
      </c>
      <c r="U1750" s="151">
        <v>0.0</v>
      </c>
      <c r="V1750" s="92" t="s">
        <v>315</v>
      </c>
      <c r="W1750" s="18" t="s">
        <v>76</v>
      </c>
      <c r="X1750" s="42" t="s">
        <v>4502</v>
      </c>
      <c r="Y1750" s="94" t="s">
        <v>5208</v>
      </c>
      <c r="Z1750" s="18" t="s">
        <v>5261</v>
      </c>
      <c r="AA1750" s="92">
        <v>18.0</v>
      </c>
      <c r="AB1750" s="18"/>
      <c r="AC1750" s="18">
        <v>18.0</v>
      </c>
      <c r="AD1750" s="172">
        <v>83008.0</v>
      </c>
      <c r="AE1750" s="14"/>
      <c r="AF1750" s="14">
        <v>83008.0</v>
      </c>
      <c r="AG1750" s="22"/>
      <c r="AH1750" s="22"/>
      <c r="AI1750" s="22"/>
      <c r="AJ1750" s="22"/>
      <c r="AK1750" s="22"/>
      <c r="AL1750" s="22"/>
      <c r="AM1750" s="22"/>
      <c r="AN1750" s="22"/>
      <c r="AO1750" s="22"/>
      <c r="AP1750" s="22"/>
    </row>
    <row r="1751" hidden="1">
      <c r="A1751" s="148">
        <v>46178.0</v>
      </c>
      <c r="B1751" s="149">
        <v>0.4583333333333333</v>
      </c>
      <c r="C1751" s="11" t="s">
        <v>32</v>
      </c>
      <c r="D1751" s="102" t="s">
        <v>33</v>
      </c>
      <c r="E1751" s="10" t="s">
        <v>71</v>
      </c>
      <c r="F1751" s="10" t="s">
        <v>5196</v>
      </c>
      <c r="G1751" s="11" t="s">
        <v>5262</v>
      </c>
      <c r="H1751" s="11" t="s">
        <v>4806</v>
      </c>
      <c r="I1751" s="10" t="s">
        <v>4894</v>
      </c>
      <c r="J1751" s="14">
        <v>5490.0</v>
      </c>
      <c r="K1751" s="14">
        <v>3048.0</v>
      </c>
      <c r="L1751" s="17">
        <v>0.5162</v>
      </c>
      <c r="M1751" s="150">
        <v>1211.0</v>
      </c>
      <c r="N1751" s="136">
        <v>0.4206</v>
      </c>
      <c r="O1751" s="18">
        <v>120.0</v>
      </c>
      <c r="P1751" s="92">
        <v>110.0</v>
      </c>
      <c r="Q1751" s="137">
        <v>0.0388</v>
      </c>
      <c r="R1751" s="17">
        <v>0.0923</v>
      </c>
      <c r="S1751" s="18">
        <v>2.0</v>
      </c>
      <c r="T1751" s="18">
        <v>1.0</v>
      </c>
      <c r="U1751" s="151">
        <v>9336.0</v>
      </c>
      <c r="V1751" s="92" t="s">
        <v>315</v>
      </c>
      <c r="W1751" s="18" t="s">
        <v>76</v>
      </c>
      <c r="X1751" s="42" t="s">
        <v>4502</v>
      </c>
      <c r="Y1751" s="94" t="s">
        <v>5208</v>
      </c>
      <c r="Z1751" s="18" t="s">
        <v>5263</v>
      </c>
      <c r="AA1751" s="92">
        <v>5.0</v>
      </c>
      <c r="AB1751" s="18"/>
      <c r="AC1751" s="18">
        <v>5.0</v>
      </c>
      <c r="AD1751" s="14">
        <v>23790.0</v>
      </c>
      <c r="AE1751" s="14"/>
      <c r="AF1751" s="14">
        <v>23790.0</v>
      </c>
      <c r="AG1751" s="22"/>
      <c r="AH1751" s="22"/>
      <c r="AI1751" s="22"/>
      <c r="AJ1751" s="22"/>
      <c r="AK1751" s="22"/>
      <c r="AL1751" s="22"/>
      <c r="AM1751" s="22"/>
      <c r="AN1751" s="22"/>
      <c r="AO1751" s="22"/>
      <c r="AP1751" s="22"/>
    </row>
    <row r="1752" hidden="1">
      <c r="A1752" s="148">
        <v>46178.0</v>
      </c>
      <c r="B1752" s="149">
        <v>0.4583333333333333</v>
      </c>
      <c r="C1752" s="11" t="s">
        <v>32</v>
      </c>
      <c r="D1752" s="102" t="s">
        <v>33</v>
      </c>
      <c r="E1752" s="10" t="s">
        <v>71</v>
      </c>
      <c r="F1752" s="10" t="s">
        <v>5196</v>
      </c>
      <c r="G1752" s="11" t="s">
        <v>5264</v>
      </c>
      <c r="H1752" s="11" t="s">
        <v>4809</v>
      </c>
      <c r="I1752" s="10" t="s">
        <v>4897</v>
      </c>
      <c r="J1752" s="14">
        <v>5175.0</v>
      </c>
      <c r="K1752" s="14">
        <v>3157.0</v>
      </c>
      <c r="L1752" s="17">
        <v>0.502</v>
      </c>
      <c r="M1752" s="150">
        <v>1544.0</v>
      </c>
      <c r="N1752" s="136">
        <v>0.5847</v>
      </c>
      <c r="O1752" s="18">
        <v>108.0</v>
      </c>
      <c r="P1752" s="92">
        <v>105.0</v>
      </c>
      <c r="Q1752" s="137">
        <v>0.0404</v>
      </c>
      <c r="R1752" s="17">
        <v>0.0691</v>
      </c>
      <c r="S1752" s="18">
        <v>1.0</v>
      </c>
      <c r="T1752" s="18">
        <v>2.0</v>
      </c>
      <c r="U1752" s="151">
        <v>647.0</v>
      </c>
      <c r="V1752" s="92" t="s">
        <v>315</v>
      </c>
      <c r="W1752" s="18" t="s">
        <v>76</v>
      </c>
      <c r="X1752" s="42" t="s">
        <v>4502</v>
      </c>
      <c r="Y1752" s="159" t="s">
        <v>5208</v>
      </c>
      <c r="Z1752" s="18" t="s">
        <v>5265</v>
      </c>
      <c r="AA1752" s="92">
        <v>12.0</v>
      </c>
      <c r="AB1752" s="18"/>
      <c r="AC1752" s="18">
        <v>12.0</v>
      </c>
      <c r="AD1752" s="172">
        <v>63269.0</v>
      </c>
      <c r="AE1752" s="14"/>
      <c r="AF1752" s="14">
        <v>63269.0</v>
      </c>
      <c r="AG1752" s="22"/>
      <c r="AH1752" s="22"/>
      <c r="AI1752" s="22"/>
      <c r="AJ1752" s="22"/>
      <c r="AK1752" s="22"/>
      <c r="AL1752" s="22"/>
      <c r="AM1752" s="22"/>
      <c r="AN1752" s="22"/>
      <c r="AO1752" s="22"/>
      <c r="AP1752" s="22"/>
    </row>
    <row r="1753" hidden="1">
      <c r="A1753" s="148">
        <v>46179.0</v>
      </c>
      <c r="B1753" s="149">
        <v>0.5</v>
      </c>
      <c r="C1753" s="11" t="s">
        <v>32</v>
      </c>
      <c r="D1753" s="102" t="s">
        <v>33</v>
      </c>
      <c r="E1753" s="10" t="s">
        <v>71</v>
      </c>
      <c r="F1753" s="10" t="s">
        <v>5196</v>
      </c>
      <c r="G1753" s="11" t="s">
        <v>5266</v>
      </c>
      <c r="H1753" s="11" t="s">
        <v>4907</v>
      </c>
      <c r="I1753" s="10" t="s">
        <v>4908</v>
      </c>
      <c r="J1753" s="14">
        <v>76962.0</v>
      </c>
      <c r="K1753" s="14">
        <v>27679.0</v>
      </c>
      <c r="L1753" s="17">
        <v>0.3596</v>
      </c>
      <c r="M1753" s="150">
        <v>8895.0</v>
      </c>
      <c r="N1753" s="136">
        <v>0.3214</v>
      </c>
      <c r="O1753" s="18">
        <v>531.0</v>
      </c>
      <c r="P1753" s="92">
        <v>510.0</v>
      </c>
      <c r="Q1753" s="137">
        <v>0.0184</v>
      </c>
      <c r="R1753" s="17">
        <v>0.0573</v>
      </c>
      <c r="S1753" s="18">
        <v>1.0</v>
      </c>
      <c r="T1753" s="18">
        <v>5.0</v>
      </c>
      <c r="U1753" s="151">
        <v>9741.0</v>
      </c>
      <c r="V1753" s="92" t="s">
        <v>315</v>
      </c>
      <c r="W1753" s="18" t="s">
        <v>76</v>
      </c>
      <c r="X1753" s="42" t="s">
        <v>4502</v>
      </c>
      <c r="Y1753" s="159" t="s">
        <v>5267</v>
      </c>
      <c r="Z1753" s="18" t="s">
        <v>5268</v>
      </c>
      <c r="AA1753" s="92">
        <v>95.0</v>
      </c>
      <c r="AB1753" s="18"/>
      <c r="AC1753" s="18">
        <v>95.0</v>
      </c>
      <c r="AD1753" s="172">
        <v>459976.0</v>
      </c>
      <c r="AE1753" s="14"/>
      <c r="AF1753" s="14">
        <v>459976.0</v>
      </c>
      <c r="AG1753" s="22"/>
      <c r="AH1753" s="22"/>
      <c r="AI1753" s="22"/>
      <c r="AJ1753" s="22"/>
      <c r="AK1753" s="22"/>
      <c r="AL1753" s="22"/>
      <c r="AM1753" s="22"/>
      <c r="AN1753" s="22"/>
      <c r="AO1753" s="22"/>
      <c r="AP1753" s="22"/>
    </row>
    <row r="1754" hidden="1">
      <c r="A1754" s="148">
        <v>46179.0</v>
      </c>
      <c r="B1754" s="149">
        <v>0.5</v>
      </c>
      <c r="C1754" s="11" t="s">
        <v>32</v>
      </c>
      <c r="D1754" s="102" t="s">
        <v>33</v>
      </c>
      <c r="E1754" s="10" t="s">
        <v>71</v>
      </c>
      <c r="F1754" s="10" t="s">
        <v>5196</v>
      </c>
      <c r="G1754" s="11" t="s">
        <v>5269</v>
      </c>
      <c r="H1754" s="11" t="s">
        <v>4912</v>
      </c>
      <c r="I1754" s="10" t="s">
        <v>4913</v>
      </c>
      <c r="J1754" s="14">
        <v>46410.0</v>
      </c>
      <c r="K1754" s="14">
        <v>17693.0</v>
      </c>
      <c r="L1754" s="17">
        <v>0.3812</v>
      </c>
      <c r="M1754" s="150">
        <v>6182.0</v>
      </c>
      <c r="N1754" s="136">
        <v>0.3494</v>
      </c>
      <c r="O1754" s="18">
        <v>396.0</v>
      </c>
      <c r="P1754" s="92">
        <v>386.0</v>
      </c>
      <c r="Q1754" s="137">
        <v>0.0218</v>
      </c>
      <c r="R1754" s="17">
        <v>0.0624</v>
      </c>
      <c r="S1754" s="18">
        <v>1.0</v>
      </c>
      <c r="T1754" s="18">
        <v>8.0</v>
      </c>
      <c r="U1754" s="151">
        <v>4768.0</v>
      </c>
      <c r="V1754" s="92" t="s">
        <v>315</v>
      </c>
      <c r="W1754" s="18" t="s">
        <v>76</v>
      </c>
      <c r="X1754" s="42" t="s">
        <v>4502</v>
      </c>
      <c r="Y1754" s="159" t="s">
        <v>5267</v>
      </c>
      <c r="Z1754" s="18" t="s">
        <v>5270</v>
      </c>
      <c r="AA1754" s="92">
        <v>53.0</v>
      </c>
      <c r="AB1754" s="18"/>
      <c r="AC1754" s="18">
        <v>53.0</v>
      </c>
      <c r="AD1754" s="172">
        <v>249204.0</v>
      </c>
      <c r="AE1754" s="14"/>
      <c r="AF1754" s="14">
        <v>249204.0</v>
      </c>
      <c r="AG1754" s="22"/>
      <c r="AH1754" s="22"/>
      <c r="AI1754" s="22"/>
      <c r="AJ1754" s="22"/>
      <c r="AK1754" s="22"/>
      <c r="AL1754" s="22"/>
      <c r="AM1754" s="22"/>
      <c r="AN1754" s="22"/>
      <c r="AO1754" s="22"/>
      <c r="AP1754" s="22"/>
    </row>
    <row r="1755" hidden="1">
      <c r="A1755" s="148">
        <v>46179.0</v>
      </c>
      <c r="B1755" s="149">
        <v>0.5</v>
      </c>
      <c r="C1755" s="11" t="s">
        <v>32</v>
      </c>
      <c r="D1755" s="102" t="s">
        <v>33</v>
      </c>
      <c r="E1755" s="10" t="s">
        <v>71</v>
      </c>
      <c r="F1755" s="10" t="s">
        <v>5196</v>
      </c>
      <c r="G1755" s="11" t="s">
        <v>5271</v>
      </c>
      <c r="H1755" s="11" t="s">
        <v>4916</v>
      </c>
      <c r="I1755" s="10" t="s">
        <v>4917</v>
      </c>
      <c r="J1755" s="14">
        <v>25648.0</v>
      </c>
      <c r="K1755" s="14">
        <v>11924.0</v>
      </c>
      <c r="L1755" s="17">
        <v>0.4649</v>
      </c>
      <c r="M1755" s="150">
        <v>5071.0</v>
      </c>
      <c r="N1755" s="136">
        <v>0.4253</v>
      </c>
      <c r="O1755" s="18">
        <v>268.0</v>
      </c>
      <c r="P1755" s="92">
        <v>260.0</v>
      </c>
      <c r="Q1755" s="137">
        <v>0.0218</v>
      </c>
      <c r="R1755" s="17">
        <v>0.0513</v>
      </c>
      <c r="S1755" s="18">
        <v>0.0</v>
      </c>
      <c r="T1755" s="18">
        <v>5.0</v>
      </c>
      <c r="U1755" s="151">
        <v>0.0</v>
      </c>
      <c r="V1755" s="92" t="s">
        <v>315</v>
      </c>
      <c r="W1755" s="18" t="s">
        <v>76</v>
      </c>
      <c r="X1755" s="42" t="s">
        <v>4502</v>
      </c>
      <c r="Y1755" s="159" t="s">
        <v>5267</v>
      </c>
      <c r="Z1755" s="18" t="s">
        <v>5272</v>
      </c>
      <c r="AA1755" s="92">
        <v>32.0</v>
      </c>
      <c r="AB1755" s="18"/>
      <c r="AC1755" s="18">
        <v>32.0</v>
      </c>
      <c r="AD1755" s="172">
        <v>159873.0</v>
      </c>
      <c r="AE1755" s="14"/>
      <c r="AF1755" s="14">
        <v>159873.0</v>
      </c>
      <c r="AG1755" s="22"/>
      <c r="AH1755" s="22"/>
      <c r="AI1755" s="22"/>
      <c r="AJ1755" s="22"/>
      <c r="AK1755" s="22"/>
      <c r="AL1755" s="22"/>
      <c r="AM1755" s="22"/>
      <c r="AN1755" s="22"/>
      <c r="AO1755" s="22"/>
      <c r="AP1755" s="22"/>
    </row>
    <row r="1756" hidden="1">
      <c r="A1756" s="148">
        <v>46179.0</v>
      </c>
      <c r="B1756" s="149">
        <v>0.5</v>
      </c>
      <c r="C1756" s="11" t="s">
        <v>32</v>
      </c>
      <c r="D1756" s="102" t="s">
        <v>33</v>
      </c>
      <c r="E1756" s="10" t="s">
        <v>71</v>
      </c>
      <c r="F1756" s="10" t="s">
        <v>5196</v>
      </c>
      <c r="G1756" s="11" t="s">
        <v>5273</v>
      </c>
      <c r="H1756" s="11" t="s">
        <v>4920</v>
      </c>
      <c r="I1756" s="10" t="s">
        <v>4921</v>
      </c>
      <c r="J1756" s="14">
        <v>12823.0</v>
      </c>
      <c r="K1756" s="14">
        <v>5223.0</v>
      </c>
      <c r="L1756" s="17">
        <v>0.4072</v>
      </c>
      <c r="M1756" s="150">
        <v>1794.0</v>
      </c>
      <c r="N1756" s="136">
        <v>0.3435</v>
      </c>
      <c r="O1756" s="18">
        <v>121.0</v>
      </c>
      <c r="P1756" s="92">
        <v>112.0</v>
      </c>
      <c r="Q1756" s="137">
        <v>0.0214</v>
      </c>
      <c r="R1756" s="17">
        <v>0.0624</v>
      </c>
      <c r="S1756" s="18">
        <v>0.0</v>
      </c>
      <c r="T1756" s="18">
        <v>3.0</v>
      </c>
      <c r="U1756" s="151">
        <v>0.0</v>
      </c>
      <c r="V1756" s="92" t="s">
        <v>315</v>
      </c>
      <c r="W1756" s="18" t="s">
        <v>76</v>
      </c>
      <c r="X1756" s="42" t="s">
        <v>4502</v>
      </c>
      <c r="Y1756" s="159" t="s">
        <v>5267</v>
      </c>
      <c r="Z1756" s="18" t="s">
        <v>5274</v>
      </c>
      <c r="AA1756" s="92">
        <v>21.0</v>
      </c>
      <c r="AB1756" s="18"/>
      <c r="AC1756" s="18">
        <v>21.0</v>
      </c>
      <c r="AD1756" s="172">
        <v>110343.0</v>
      </c>
      <c r="AE1756" s="14"/>
      <c r="AF1756" s="14">
        <v>110343.0</v>
      </c>
      <c r="AG1756" s="22"/>
      <c r="AH1756" s="22"/>
      <c r="AI1756" s="22"/>
      <c r="AJ1756" s="22"/>
      <c r="AK1756" s="22"/>
      <c r="AL1756" s="22"/>
      <c r="AM1756" s="22"/>
      <c r="AN1756" s="22"/>
      <c r="AO1756" s="22"/>
      <c r="AP1756" s="22"/>
    </row>
    <row r="1757" hidden="1">
      <c r="A1757" s="148">
        <v>46179.0</v>
      </c>
      <c r="B1757" s="149">
        <v>0.5</v>
      </c>
      <c r="C1757" s="11" t="s">
        <v>32</v>
      </c>
      <c r="D1757" s="102" t="s">
        <v>33</v>
      </c>
      <c r="E1757" s="10" t="s">
        <v>71</v>
      </c>
      <c r="F1757" s="10" t="s">
        <v>5196</v>
      </c>
      <c r="G1757" s="11" t="s">
        <v>5275</v>
      </c>
      <c r="H1757" s="11" t="s">
        <v>5276</v>
      </c>
      <c r="I1757" s="10" t="s">
        <v>5277</v>
      </c>
      <c r="J1757" s="14">
        <v>50018.0</v>
      </c>
      <c r="K1757" s="14">
        <v>19098.0</v>
      </c>
      <c r="L1757" s="17">
        <v>0.3818</v>
      </c>
      <c r="M1757" s="150">
        <v>5666.0</v>
      </c>
      <c r="N1757" s="136">
        <v>0.2967</v>
      </c>
      <c r="O1757" s="18">
        <v>393.0</v>
      </c>
      <c r="P1757" s="92">
        <v>378.0</v>
      </c>
      <c r="Q1757" s="137">
        <v>0.0198</v>
      </c>
      <c r="R1757" s="17">
        <v>0.0667</v>
      </c>
      <c r="S1757" s="18">
        <v>2.0</v>
      </c>
      <c r="T1757" s="18">
        <v>4.0</v>
      </c>
      <c r="U1757" s="151">
        <v>7336.0</v>
      </c>
      <c r="V1757" s="92" t="s">
        <v>315</v>
      </c>
      <c r="W1757" s="18" t="s">
        <v>76</v>
      </c>
      <c r="X1757" s="42" t="s">
        <v>4502</v>
      </c>
      <c r="Y1757" s="94" t="s">
        <v>5267</v>
      </c>
      <c r="Z1757" s="18" t="s">
        <v>5278</v>
      </c>
      <c r="AA1757" s="92">
        <v>85.0</v>
      </c>
      <c r="AB1757" s="18"/>
      <c r="AC1757" s="18">
        <v>85.0</v>
      </c>
      <c r="AD1757" s="172">
        <v>462403.0</v>
      </c>
      <c r="AE1757" s="14"/>
      <c r="AF1757" s="14">
        <v>462403.0</v>
      </c>
      <c r="AG1757" s="22"/>
      <c r="AH1757" s="22"/>
      <c r="AI1757" s="22"/>
      <c r="AJ1757" s="22"/>
      <c r="AK1757" s="22"/>
      <c r="AL1757" s="22"/>
      <c r="AM1757" s="22"/>
      <c r="AN1757" s="22"/>
      <c r="AO1757" s="22"/>
      <c r="AP1757" s="22"/>
    </row>
    <row r="1758" hidden="1">
      <c r="A1758" s="148">
        <v>46179.0</v>
      </c>
      <c r="B1758" s="149">
        <v>0.5</v>
      </c>
      <c r="C1758" s="11" t="s">
        <v>32</v>
      </c>
      <c r="D1758" s="102" t="s">
        <v>33</v>
      </c>
      <c r="E1758" s="10" t="s">
        <v>71</v>
      </c>
      <c r="F1758" s="10" t="s">
        <v>5196</v>
      </c>
      <c r="G1758" s="11" t="s">
        <v>5279</v>
      </c>
      <c r="H1758" s="11" t="s">
        <v>5280</v>
      </c>
      <c r="I1758" s="10" t="s">
        <v>5281</v>
      </c>
      <c r="J1758" s="14">
        <v>21557.0</v>
      </c>
      <c r="K1758" s="14">
        <v>8943.0</v>
      </c>
      <c r="L1758" s="17">
        <v>0.4149</v>
      </c>
      <c r="M1758" s="150">
        <v>3202.0</v>
      </c>
      <c r="N1758" s="136">
        <v>0.358</v>
      </c>
      <c r="O1758" s="18">
        <v>219.0</v>
      </c>
      <c r="P1758" s="92">
        <v>201.0</v>
      </c>
      <c r="Q1758" s="137">
        <v>0.0225</v>
      </c>
      <c r="R1758" s="17">
        <v>0.0628</v>
      </c>
      <c r="S1758" s="18">
        <v>0.0</v>
      </c>
      <c r="T1758" s="18">
        <v>1.0</v>
      </c>
      <c r="U1758" s="151">
        <v>0.0</v>
      </c>
      <c r="V1758" s="92" t="s">
        <v>315</v>
      </c>
      <c r="W1758" s="18" t="s">
        <v>76</v>
      </c>
      <c r="X1758" s="42" t="s">
        <v>4502</v>
      </c>
      <c r="Y1758" s="94" t="s">
        <v>5267</v>
      </c>
      <c r="Z1758" s="18" t="s">
        <v>5282</v>
      </c>
      <c r="AA1758" s="92">
        <v>45.0</v>
      </c>
      <c r="AB1758" s="18"/>
      <c r="AC1758" s="18">
        <v>45.0</v>
      </c>
      <c r="AD1758" s="14">
        <v>271396.0</v>
      </c>
      <c r="AE1758" s="14"/>
      <c r="AF1758" s="14">
        <v>271396.0</v>
      </c>
      <c r="AG1758" s="22"/>
      <c r="AH1758" s="22"/>
      <c r="AI1758" s="22"/>
      <c r="AJ1758" s="22"/>
      <c r="AK1758" s="22"/>
      <c r="AL1758" s="22"/>
      <c r="AM1758" s="22"/>
      <c r="AN1758" s="22"/>
      <c r="AO1758" s="22"/>
      <c r="AP1758" s="22"/>
    </row>
    <row r="1759" hidden="1">
      <c r="A1759" s="148">
        <v>46179.0</v>
      </c>
      <c r="B1759" s="149">
        <v>0.5</v>
      </c>
      <c r="C1759" s="11" t="s">
        <v>32</v>
      </c>
      <c r="D1759" s="102" t="s">
        <v>33</v>
      </c>
      <c r="E1759" s="10" t="s">
        <v>71</v>
      </c>
      <c r="F1759" s="10" t="s">
        <v>5196</v>
      </c>
      <c r="G1759" s="11" t="s">
        <v>5283</v>
      </c>
      <c r="H1759" s="11" t="s">
        <v>4928</v>
      </c>
      <c r="I1759" s="10" t="s">
        <v>4929</v>
      </c>
      <c r="J1759" s="14">
        <v>28068.0</v>
      </c>
      <c r="K1759" s="14">
        <v>10768.0</v>
      </c>
      <c r="L1759" s="17">
        <v>0.3836</v>
      </c>
      <c r="M1759" s="150">
        <v>3728.0</v>
      </c>
      <c r="N1759" s="136">
        <v>0.3463</v>
      </c>
      <c r="O1759" s="18">
        <v>191.0</v>
      </c>
      <c r="P1759" s="92">
        <v>177.0</v>
      </c>
      <c r="Q1759" s="137">
        <v>0.0164</v>
      </c>
      <c r="R1759" s="17">
        <v>0.0475</v>
      </c>
      <c r="S1759" s="18">
        <v>2.0</v>
      </c>
      <c r="T1759" s="18">
        <v>6.0</v>
      </c>
      <c r="U1759" s="151">
        <v>8454.0</v>
      </c>
      <c r="V1759" s="92" t="s">
        <v>315</v>
      </c>
      <c r="W1759" s="18" t="s">
        <v>76</v>
      </c>
      <c r="X1759" s="42" t="s">
        <v>4502</v>
      </c>
      <c r="Y1759" s="159" t="s">
        <v>5267</v>
      </c>
      <c r="Z1759" s="18" t="s">
        <v>5284</v>
      </c>
      <c r="AA1759" s="92">
        <v>24.0</v>
      </c>
      <c r="AB1759" s="18"/>
      <c r="AC1759" s="18">
        <v>24.0</v>
      </c>
      <c r="AD1759" s="172">
        <v>128633.0</v>
      </c>
      <c r="AE1759" s="14"/>
      <c r="AF1759" s="14">
        <v>128633.0</v>
      </c>
      <c r="AG1759" s="22"/>
      <c r="AH1759" s="22"/>
      <c r="AI1759" s="22"/>
      <c r="AJ1759" s="22"/>
      <c r="AK1759" s="22"/>
      <c r="AL1759" s="22"/>
      <c r="AM1759" s="22"/>
      <c r="AN1759" s="22"/>
      <c r="AO1759" s="22"/>
      <c r="AP1759" s="22"/>
    </row>
    <row r="1760" hidden="1">
      <c r="A1760" s="148">
        <v>46179.0</v>
      </c>
      <c r="B1760" s="149">
        <v>0.5</v>
      </c>
      <c r="C1760" s="11" t="s">
        <v>32</v>
      </c>
      <c r="D1760" s="102" t="s">
        <v>33</v>
      </c>
      <c r="E1760" s="10" t="s">
        <v>71</v>
      </c>
      <c r="F1760" s="10" t="s">
        <v>5196</v>
      </c>
      <c r="G1760" s="11" t="s">
        <v>5285</v>
      </c>
      <c r="H1760" s="11" t="s">
        <v>4936</v>
      </c>
      <c r="I1760" s="10" t="s">
        <v>4937</v>
      </c>
      <c r="J1760" s="14">
        <v>23759.0</v>
      </c>
      <c r="K1760" s="14">
        <v>10187.0</v>
      </c>
      <c r="L1760" s="17">
        <v>0.4288</v>
      </c>
      <c r="M1760" s="150">
        <v>3609.0</v>
      </c>
      <c r="N1760" s="136">
        <v>0.3543</v>
      </c>
      <c r="O1760" s="18">
        <v>218.0</v>
      </c>
      <c r="P1760" s="92">
        <v>203.0</v>
      </c>
      <c r="Q1760" s="137">
        <v>0.0199</v>
      </c>
      <c r="R1760" s="17">
        <v>0.0562</v>
      </c>
      <c r="S1760" s="18">
        <v>4.0</v>
      </c>
      <c r="T1760" s="18">
        <v>4.0</v>
      </c>
      <c r="U1760" s="151">
        <v>18446.0</v>
      </c>
      <c r="V1760" s="92" t="s">
        <v>315</v>
      </c>
      <c r="W1760" s="18" t="s">
        <v>76</v>
      </c>
      <c r="X1760" s="42" t="s">
        <v>4502</v>
      </c>
      <c r="Y1760" s="159" t="s">
        <v>5267</v>
      </c>
      <c r="Z1760" s="18" t="s">
        <v>5286</v>
      </c>
      <c r="AA1760" s="92">
        <v>50.0</v>
      </c>
      <c r="AB1760" s="18"/>
      <c r="AC1760" s="18">
        <v>50.0</v>
      </c>
      <c r="AD1760" s="172">
        <v>237304.0</v>
      </c>
      <c r="AE1760" s="14"/>
      <c r="AF1760" s="14">
        <v>237304.0</v>
      </c>
      <c r="AG1760" s="22"/>
      <c r="AH1760" s="22"/>
      <c r="AI1760" s="22"/>
      <c r="AJ1760" s="22"/>
      <c r="AK1760" s="22"/>
      <c r="AL1760" s="22"/>
      <c r="AM1760" s="22"/>
      <c r="AN1760" s="22"/>
      <c r="AO1760" s="22"/>
      <c r="AP1760" s="22"/>
    </row>
    <row r="1761" hidden="1">
      <c r="A1761" s="148">
        <v>46179.0</v>
      </c>
      <c r="B1761" s="149">
        <v>0.5</v>
      </c>
      <c r="C1761" s="11" t="s">
        <v>32</v>
      </c>
      <c r="D1761" s="102" t="s">
        <v>33</v>
      </c>
      <c r="E1761" s="10" t="s">
        <v>71</v>
      </c>
      <c r="F1761" s="10" t="s">
        <v>5196</v>
      </c>
      <c r="G1761" s="11" t="s">
        <v>5287</v>
      </c>
      <c r="H1761" s="11" t="s">
        <v>4940</v>
      </c>
      <c r="I1761" s="10" t="s">
        <v>4941</v>
      </c>
      <c r="J1761" s="14">
        <v>19727.0</v>
      </c>
      <c r="K1761" s="14">
        <v>6894.0</v>
      </c>
      <c r="L1761" s="17">
        <v>0.3495</v>
      </c>
      <c r="M1761" s="150">
        <v>2027.0</v>
      </c>
      <c r="N1761" s="136">
        <v>0.294</v>
      </c>
      <c r="O1761" s="18">
        <v>161.0</v>
      </c>
      <c r="P1761" s="92">
        <v>147.0</v>
      </c>
      <c r="Q1761" s="137">
        <v>0.0213</v>
      </c>
      <c r="R1761" s="17">
        <v>0.0725</v>
      </c>
      <c r="S1761" s="18">
        <v>0.0</v>
      </c>
      <c r="T1761" s="18">
        <v>2.0</v>
      </c>
      <c r="U1761" s="151">
        <v>0.0</v>
      </c>
      <c r="V1761" s="92" t="s">
        <v>315</v>
      </c>
      <c r="W1761" s="18" t="s">
        <v>76</v>
      </c>
      <c r="X1761" s="42" t="s">
        <v>4502</v>
      </c>
      <c r="Y1761" s="159" t="s">
        <v>5267</v>
      </c>
      <c r="Z1761" s="18" t="s">
        <v>5288</v>
      </c>
      <c r="AA1761" s="92">
        <v>33.0</v>
      </c>
      <c r="AB1761" s="18"/>
      <c r="AC1761" s="18">
        <v>33.0</v>
      </c>
      <c r="AD1761" s="172">
        <v>149850.0</v>
      </c>
      <c r="AE1761" s="14"/>
      <c r="AF1761" s="14">
        <v>149850.0</v>
      </c>
      <c r="AG1761" s="22"/>
      <c r="AH1761" s="22"/>
      <c r="AI1761" s="22"/>
      <c r="AJ1761" s="22"/>
      <c r="AK1761" s="22"/>
      <c r="AL1761" s="22"/>
      <c r="AM1761" s="22"/>
      <c r="AN1761" s="22"/>
      <c r="AO1761" s="22"/>
      <c r="AP1761" s="22"/>
    </row>
    <row r="1762" hidden="1">
      <c r="A1762" s="148">
        <v>46179.0</v>
      </c>
      <c r="B1762" s="149">
        <v>0.5</v>
      </c>
      <c r="C1762" s="11" t="s">
        <v>32</v>
      </c>
      <c r="D1762" s="102" t="s">
        <v>33</v>
      </c>
      <c r="E1762" s="10" t="s">
        <v>71</v>
      </c>
      <c r="F1762" s="10" t="s">
        <v>5196</v>
      </c>
      <c r="G1762" s="11" t="s">
        <v>5289</v>
      </c>
      <c r="H1762" s="11" t="s">
        <v>4944</v>
      </c>
      <c r="I1762" s="10" t="s">
        <v>4945</v>
      </c>
      <c r="J1762" s="14">
        <v>22373.0</v>
      </c>
      <c r="K1762" s="14">
        <v>8642.0</v>
      </c>
      <c r="L1762" s="17">
        <v>0.3863</v>
      </c>
      <c r="M1762" s="150">
        <v>2565.0</v>
      </c>
      <c r="N1762" s="136">
        <v>0.2968</v>
      </c>
      <c r="O1762" s="18">
        <v>156.0</v>
      </c>
      <c r="P1762" s="92">
        <v>154.0</v>
      </c>
      <c r="Q1762" s="137">
        <v>0.0178</v>
      </c>
      <c r="R1762" s="17">
        <v>0.06</v>
      </c>
      <c r="S1762" s="18">
        <v>1.0</v>
      </c>
      <c r="T1762" s="18">
        <v>2.0</v>
      </c>
      <c r="U1762" s="151">
        <v>4138.0</v>
      </c>
      <c r="V1762" s="92" t="s">
        <v>315</v>
      </c>
      <c r="W1762" s="18" t="s">
        <v>76</v>
      </c>
      <c r="X1762" s="42" t="s">
        <v>4502</v>
      </c>
      <c r="Y1762" s="159" t="s">
        <v>5267</v>
      </c>
      <c r="Z1762" s="18" t="s">
        <v>5290</v>
      </c>
      <c r="AA1762" s="92">
        <v>33.0</v>
      </c>
      <c r="AB1762" s="18"/>
      <c r="AC1762" s="18">
        <v>33.0</v>
      </c>
      <c r="AD1762" s="172">
        <v>145842.0</v>
      </c>
      <c r="AE1762" s="14"/>
      <c r="AF1762" s="14">
        <v>145842.0</v>
      </c>
      <c r="AG1762" s="22"/>
      <c r="AH1762" s="22"/>
      <c r="AI1762" s="22"/>
      <c r="AJ1762" s="22"/>
      <c r="AK1762" s="22"/>
      <c r="AL1762" s="22"/>
      <c r="AM1762" s="22"/>
      <c r="AN1762" s="22"/>
      <c r="AO1762" s="22"/>
      <c r="AP1762" s="22"/>
    </row>
    <row r="1763" hidden="1">
      <c r="A1763" s="148">
        <v>46179.0</v>
      </c>
      <c r="B1763" s="149">
        <v>0.5</v>
      </c>
      <c r="C1763" s="11" t="s">
        <v>32</v>
      </c>
      <c r="D1763" s="102" t="s">
        <v>33</v>
      </c>
      <c r="E1763" s="10" t="s">
        <v>71</v>
      </c>
      <c r="F1763" s="10" t="s">
        <v>5196</v>
      </c>
      <c r="G1763" s="11" t="s">
        <v>5291</v>
      </c>
      <c r="H1763" s="11" t="s">
        <v>4948</v>
      </c>
      <c r="I1763" s="10" t="s">
        <v>4949</v>
      </c>
      <c r="J1763" s="14">
        <v>11268.0</v>
      </c>
      <c r="K1763" s="14">
        <v>4519.0</v>
      </c>
      <c r="L1763" s="17">
        <v>0.401</v>
      </c>
      <c r="M1763" s="150">
        <v>1568.0</v>
      </c>
      <c r="N1763" s="136">
        <v>0.347</v>
      </c>
      <c r="O1763" s="18">
        <v>99.0</v>
      </c>
      <c r="P1763" s="92">
        <v>96.0</v>
      </c>
      <c r="Q1763" s="137">
        <v>0.0212</v>
      </c>
      <c r="R1763" s="17">
        <v>0.0612</v>
      </c>
      <c r="S1763" s="18">
        <v>0.0</v>
      </c>
      <c r="T1763" s="18">
        <v>1.0</v>
      </c>
      <c r="U1763" s="151">
        <v>0.0</v>
      </c>
      <c r="V1763" s="92" t="s">
        <v>315</v>
      </c>
      <c r="W1763" s="18" t="s">
        <v>76</v>
      </c>
      <c r="X1763" s="42" t="s">
        <v>4502</v>
      </c>
      <c r="Y1763" s="159" t="s">
        <v>5267</v>
      </c>
      <c r="Z1763" s="18" t="s">
        <v>5292</v>
      </c>
      <c r="AA1763" s="92">
        <v>20.0</v>
      </c>
      <c r="AB1763" s="18"/>
      <c r="AC1763" s="18">
        <v>20.0</v>
      </c>
      <c r="AD1763" s="172">
        <v>96049.0</v>
      </c>
      <c r="AE1763" s="14"/>
      <c r="AF1763" s="14">
        <v>96049.0</v>
      </c>
      <c r="AG1763" s="22"/>
      <c r="AH1763" s="22"/>
      <c r="AI1763" s="22"/>
      <c r="AJ1763" s="22"/>
      <c r="AK1763" s="22"/>
      <c r="AL1763" s="22"/>
      <c r="AM1763" s="22"/>
      <c r="AN1763" s="22"/>
      <c r="AO1763" s="22"/>
      <c r="AP1763" s="22"/>
    </row>
    <row r="1764" hidden="1">
      <c r="A1764" s="148">
        <v>46179.0</v>
      </c>
      <c r="B1764" s="149">
        <v>0.5</v>
      </c>
      <c r="C1764" s="11" t="s">
        <v>32</v>
      </c>
      <c r="D1764" s="102" t="s">
        <v>33</v>
      </c>
      <c r="E1764" s="10" t="s">
        <v>71</v>
      </c>
      <c r="F1764" s="10" t="s">
        <v>5196</v>
      </c>
      <c r="G1764" s="11" t="s">
        <v>5293</v>
      </c>
      <c r="H1764" s="11" t="s">
        <v>4952</v>
      </c>
      <c r="I1764" s="10" t="s">
        <v>4953</v>
      </c>
      <c r="J1764" s="14">
        <v>9685.0</v>
      </c>
      <c r="K1764" s="14">
        <v>4627.0</v>
      </c>
      <c r="L1764" s="17">
        <v>0.4777</v>
      </c>
      <c r="M1764" s="150">
        <v>2072.0</v>
      </c>
      <c r="N1764" s="136">
        <v>0.4478</v>
      </c>
      <c r="O1764" s="18">
        <v>117.0</v>
      </c>
      <c r="P1764" s="92">
        <v>114.0</v>
      </c>
      <c r="Q1764" s="137">
        <v>0.0246</v>
      </c>
      <c r="R1764" s="17">
        <v>0.055</v>
      </c>
      <c r="S1764" s="18">
        <v>0.0</v>
      </c>
      <c r="T1764" s="18">
        <v>2.0</v>
      </c>
      <c r="U1764" s="151">
        <v>0.0</v>
      </c>
      <c r="V1764" s="92" t="s">
        <v>315</v>
      </c>
      <c r="W1764" s="18" t="s">
        <v>76</v>
      </c>
      <c r="X1764" s="42" t="s">
        <v>4502</v>
      </c>
      <c r="Y1764" s="94" t="s">
        <v>5267</v>
      </c>
      <c r="Z1764" s="18" t="s">
        <v>5294</v>
      </c>
      <c r="AA1764" s="92">
        <v>16.0</v>
      </c>
      <c r="AB1764" s="18"/>
      <c r="AC1764" s="18">
        <v>16.0</v>
      </c>
      <c r="AD1764" s="172">
        <v>78713.0</v>
      </c>
      <c r="AE1764" s="14"/>
      <c r="AF1764" s="14">
        <v>78713.0</v>
      </c>
      <c r="AG1764" s="22"/>
      <c r="AH1764" s="22"/>
      <c r="AI1764" s="22"/>
      <c r="AJ1764" s="22"/>
      <c r="AK1764" s="22"/>
      <c r="AL1764" s="22"/>
      <c r="AM1764" s="22"/>
      <c r="AN1764" s="22"/>
      <c r="AO1764" s="22"/>
      <c r="AP1764" s="22"/>
    </row>
    <row r="1765" hidden="1">
      <c r="A1765" s="148">
        <v>46179.0</v>
      </c>
      <c r="B1765" s="149">
        <v>0.5</v>
      </c>
      <c r="C1765" s="11" t="s">
        <v>32</v>
      </c>
      <c r="D1765" s="102" t="s">
        <v>33</v>
      </c>
      <c r="E1765" s="10" t="s">
        <v>71</v>
      </c>
      <c r="F1765" s="10" t="s">
        <v>5196</v>
      </c>
      <c r="G1765" s="11" t="s">
        <v>5295</v>
      </c>
      <c r="H1765" s="11" t="s">
        <v>4956</v>
      </c>
      <c r="I1765" s="10" t="s">
        <v>4957</v>
      </c>
      <c r="J1765" s="14">
        <v>10260.0</v>
      </c>
      <c r="K1765" s="14">
        <v>4769.0</v>
      </c>
      <c r="L1765" s="17">
        <v>0.4647</v>
      </c>
      <c r="M1765" s="150">
        <v>1680.0</v>
      </c>
      <c r="N1765" s="136">
        <v>0.3523</v>
      </c>
      <c r="O1765" s="18">
        <v>115.0</v>
      </c>
      <c r="P1765" s="92">
        <v>106.0</v>
      </c>
      <c r="Q1765" s="137">
        <v>0.0222</v>
      </c>
      <c r="R1765" s="17">
        <v>0.0631</v>
      </c>
      <c r="S1765" s="18">
        <v>2.0</v>
      </c>
      <c r="T1765" s="18">
        <v>1.0</v>
      </c>
      <c r="U1765" s="151">
        <v>9336.0</v>
      </c>
      <c r="V1765" s="92" t="s">
        <v>315</v>
      </c>
      <c r="W1765" s="18" t="s">
        <v>76</v>
      </c>
      <c r="X1765" s="42" t="s">
        <v>4502</v>
      </c>
      <c r="Y1765" s="94" t="s">
        <v>5267</v>
      </c>
      <c r="Z1765" s="18" t="s">
        <v>5296</v>
      </c>
      <c r="AA1765" s="92">
        <v>14.0</v>
      </c>
      <c r="AB1765" s="18"/>
      <c r="AC1765" s="18">
        <v>14.0</v>
      </c>
      <c r="AD1765" s="14">
        <v>53476.0</v>
      </c>
      <c r="AE1765" s="14"/>
      <c r="AF1765" s="14">
        <v>53476.0</v>
      </c>
      <c r="AG1765" s="22"/>
      <c r="AH1765" s="22"/>
      <c r="AI1765" s="22"/>
      <c r="AJ1765" s="22"/>
      <c r="AK1765" s="22"/>
      <c r="AL1765" s="22"/>
      <c r="AM1765" s="22"/>
      <c r="AN1765" s="22"/>
      <c r="AO1765" s="22"/>
      <c r="AP1765" s="22"/>
    </row>
    <row r="1766" hidden="1">
      <c r="A1766" s="148">
        <v>46179.0</v>
      </c>
      <c r="B1766" s="149">
        <v>0.5</v>
      </c>
      <c r="C1766" s="11" t="s">
        <v>32</v>
      </c>
      <c r="D1766" s="102" t="s">
        <v>33</v>
      </c>
      <c r="E1766" s="10" t="s">
        <v>71</v>
      </c>
      <c r="F1766" s="10" t="s">
        <v>5196</v>
      </c>
      <c r="G1766" s="11" t="s">
        <v>5297</v>
      </c>
      <c r="H1766" s="11" t="s">
        <v>4960</v>
      </c>
      <c r="I1766" s="10" t="s">
        <v>4961</v>
      </c>
      <c r="J1766" s="14">
        <v>7468.0</v>
      </c>
      <c r="K1766" s="14">
        <v>3604.0</v>
      </c>
      <c r="L1766" s="17">
        <v>0.4826</v>
      </c>
      <c r="M1766" s="150">
        <v>1601.0</v>
      </c>
      <c r="N1766" s="136">
        <v>0.4442</v>
      </c>
      <c r="O1766" s="18">
        <v>92.0</v>
      </c>
      <c r="P1766" s="92">
        <v>87.0</v>
      </c>
      <c r="Q1766" s="137">
        <v>0.0241</v>
      </c>
      <c r="R1766" s="17">
        <v>0.0543</v>
      </c>
      <c r="S1766" s="18">
        <v>1.0</v>
      </c>
      <c r="T1766" s="18">
        <v>4.0</v>
      </c>
      <c r="U1766" s="151">
        <v>647.0</v>
      </c>
      <c r="V1766" s="92" t="s">
        <v>315</v>
      </c>
      <c r="W1766" s="18" t="s">
        <v>76</v>
      </c>
      <c r="X1766" s="42" t="s">
        <v>4502</v>
      </c>
      <c r="Y1766" s="159" t="s">
        <v>5267</v>
      </c>
      <c r="Z1766" s="18" t="s">
        <v>5298</v>
      </c>
      <c r="AA1766" s="92">
        <v>17.0</v>
      </c>
      <c r="AB1766" s="18"/>
      <c r="AC1766" s="18">
        <v>17.0</v>
      </c>
      <c r="AD1766" s="172">
        <v>87354.0</v>
      </c>
      <c r="AE1766" s="14"/>
      <c r="AF1766" s="14">
        <v>87354.0</v>
      </c>
      <c r="AG1766" s="22"/>
      <c r="AH1766" s="22"/>
      <c r="AI1766" s="22"/>
      <c r="AJ1766" s="22"/>
      <c r="AK1766" s="22"/>
      <c r="AL1766" s="22"/>
      <c r="AM1766" s="22"/>
      <c r="AN1766" s="22"/>
      <c r="AO1766" s="22"/>
      <c r="AP1766" s="22"/>
    </row>
    <row r="1767" hidden="1">
      <c r="A1767" s="148">
        <v>46180.0</v>
      </c>
      <c r="B1767" s="149">
        <v>0.75</v>
      </c>
      <c r="C1767" s="11" t="s">
        <v>32</v>
      </c>
      <c r="D1767" s="102" t="s">
        <v>33</v>
      </c>
      <c r="E1767" s="10" t="s">
        <v>71</v>
      </c>
      <c r="F1767" s="10" t="s">
        <v>5196</v>
      </c>
      <c r="G1767" s="11" t="s">
        <v>5299</v>
      </c>
      <c r="H1767" s="11" t="s">
        <v>4643</v>
      </c>
      <c r="I1767" s="10" t="s">
        <v>4644</v>
      </c>
      <c r="J1767" s="14">
        <v>847.0</v>
      </c>
      <c r="K1767" s="14">
        <v>386.0</v>
      </c>
      <c r="L1767" s="17">
        <v>0.4557</v>
      </c>
      <c r="M1767" s="150">
        <v>151.0</v>
      </c>
      <c r="N1767" s="136">
        <v>0.3912</v>
      </c>
      <c r="O1767" s="18">
        <v>18.0</v>
      </c>
      <c r="P1767" s="92">
        <v>18.0</v>
      </c>
      <c r="Q1767" s="137">
        <v>0.0466</v>
      </c>
      <c r="R1767" s="17">
        <v>0.1192</v>
      </c>
      <c r="S1767" s="18">
        <v>1.0</v>
      </c>
      <c r="T1767" s="18">
        <v>5.0</v>
      </c>
      <c r="U1767" s="151">
        <v>1978.0</v>
      </c>
      <c r="V1767" s="92" t="s">
        <v>335</v>
      </c>
      <c r="W1767" s="18" t="s">
        <v>76</v>
      </c>
      <c r="X1767" s="42" t="s">
        <v>4645</v>
      </c>
      <c r="Y1767" s="159" t="s">
        <v>5300</v>
      </c>
      <c r="Z1767" s="18" t="s">
        <v>5301</v>
      </c>
      <c r="AA1767" s="92">
        <v>7.0</v>
      </c>
      <c r="AB1767" s="18">
        <v>7.0</v>
      </c>
      <c r="AC1767" s="18"/>
      <c r="AD1767" s="172">
        <v>43738.0</v>
      </c>
      <c r="AE1767" s="14">
        <v>43738.0</v>
      </c>
      <c r="AF1767" s="14"/>
      <c r="AG1767" s="22"/>
      <c r="AH1767" s="22"/>
      <c r="AI1767" s="22"/>
      <c r="AJ1767" s="22"/>
      <c r="AK1767" s="22"/>
      <c r="AL1767" s="22"/>
      <c r="AM1767" s="22"/>
      <c r="AN1767" s="22"/>
      <c r="AO1767" s="22"/>
      <c r="AP1767" s="22"/>
    </row>
    <row r="1768" hidden="1">
      <c r="A1768" s="148">
        <v>46180.0</v>
      </c>
      <c r="B1768" s="149">
        <v>0.75</v>
      </c>
      <c r="C1768" s="11" t="s">
        <v>32</v>
      </c>
      <c r="D1768" s="102" t="s">
        <v>33</v>
      </c>
      <c r="E1768" s="10" t="s">
        <v>71</v>
      </c>
      <c r="F1768" s="10" t="s">
        <v>5196</v>
      </c>
      <c r="G1768" s="11" t="s">
        <v>5302</v>
      </c>
      <c r="H1768" s="11" t="s">
        <v>4649</v>
      </c>
      <c r="I1768" s="10" t="s">
        <v>4650</v>
      </c>
      <c r="J1768" s="14">
        <v>34420.0</v>
      </c>
      <c r="K1768" s="14">
        <v>13749.0</v>
      </c>
      <c r="L1768" s="17">
        <v>0.3994</v>
      </c>
      <c r="M1768" s="150">
        <v>4452.0</v>
      </c>
      <c r="N1768" s="136">
        <v>0.3239</v>
      </c>
      <c r="O1768" s="18">
        <v>355.0</v>
      </c>
      <c r="P1768" s="92">
        <v>344.0</v>
      </c>
      <c r="Q1768" s="137">
        <v>0.025</v>
      </c>
      <c r="R1768" s="17">
        <v>0.0773</v>
      </c>
      <c r="S1768" s="18">
        <v>3.0</v>
      </c>
      <c r="T1768" s="18">
        <v>6.0</v>
      </c>
      <c r="U1768" s="151">
        <v>14314.0</v>
      </c>
      <c r="V1768" s="92" t="s">
        <v>335</v>
      </c>
      <c r="W1768" s="18" t="s">
        <v>76</v>
      </c>
      <c r="X1768" s="42" t="s">
        <v>82</v>
      </c>
      <c r="Y1768" s="159" t="s">
        <v>5300</v>
      </c>
      <c r="Z1768" s="18" t="s">
        <v>5303</v>
      </c>
      <c r="AA1768" s="92">
        <v>28.0</v>
      </c>
      <c r="AB1768" s="18">
        <v>28.0</v>
      </c>
      <c r="AC1768" s="18"/>
      <c r="AD1768" s="172">
        <v>119522.0</v>
      </c>
      <c r="AE1768" s="14">
        <v>119522.0</v>
      </c>
      <c r="AF1768" s="14"/>
      <c r="AG1768" s="22"/>
      <c r="AH1768" s="22"/>
      <c r="AI1768" s="22"/>
      <c r="AJ1768" s="22"/>
      <c r="AK1768" s="22"/>
      <c r="AL1768" s="22"/>
      <c r="AM1768" s="22"/>
      <c r="AN1768" s="22"/>
      <c r="AO1768" s="22"/>
      <c r="AP1768" s="22"/>
    </row>
    <row r="1769" hidden="1">
      <c r="A1769" s="148">
        <v>46180.0</v>
      </c>
      <c r="B1769" s="149">
        <v>0.75</v>
      </c>
      <c r="C1769" s="11" t="s">
        <v>32</v>
      </c>
      <c r="D1769" s="102" t="s">
        <v>33</v>
      </c>
      <c r="E1769" s="10" t="s">
        <v>71</v>
      </c>
      <c r="F1769" s="10" t="s">
        <v>5196</v>
      </c>
      <c r="G1769" s="11" t="s">
        <v>5304</v>
      </c>
      <c r="H1769" s="11" t="s">
        <v>2597</v>
      </c>
      <c r="I1769" s="10" t="s">
        <v>4653</v>
      </c>
      <c r="J1769" s="14">
        <v>4988.0</v>
      </c>
      <c r="K1769" s="14">
        <v>1996.0</v>
      </c>
      <c r="L1769" s="17">
        <v>0.4002</v>
      </c>
      <c r="M1769" s="150">
        <v>648.0</v>
      </c>
      <c r="N1769" s="136">
        <v>0.3246</v>
      </c>
      <c r="O1769" s="18">
        <v>58.0</v>
      </c>
      <c r="P1769" s="92">
        <v>58.0</v>
      </c>
      <c r="Q1769" s="137">
        <v>0.0291</v>
      </c>
      <c r="R1769" s="17">
        <v>0.0895</v>
      </c>
      <c r="S1769" s="18">
        <v>0.0</v>
      </c>
      <c r="T1769" s="18">
        <v>1.0</v>
      </c>
      <c r="U1769" s="151">
        <v>0.0</v>
      </c>
      <c r="V1769" s="92" t="s">
        <v>335</v>
      </c>
      <c r="W1769" s="18" t="s">
        <v>76</v>
      </c>
      <c r="X1769" s="42" t="s">
        <v>52</v>
      </c>
      <c r="Y1769" s="159" t="s">
        <v>5300</v>
      </c>
      <c r="Z1769" s="18" t="s">
        <v>5305</v>
      </c>
      <c r="AA1769" s="92">
        <v>3.0</v>
      </c>
      <c r="AB1769" s="18">
        <v>3.0</v>
      </c>
      <c r="AC1769" s="18"/>
      <c r="AD1769" s="172">
        <v>6935.0</v>
      </c>
      <c r="AE1769" s="14">
        <v>6935.0</v>
      </c>
      <c r="AF1769" s="14"/>
      <c r="AG1769" s="22"/>
      <c r="AH1769" s="22"/>
      <c r="AI1769" s="22"/>
      <c r="AJ1769" s="22"/>
      <c r="AK1769" s="22"/>
      <c r="AL1769" s="22"/>
      <c r="AM1769" s="22"/>
      <c r="AN1769" s="22"/>
      <c r="AO1769" s="22"/>
      <c r="AP1769" s="22"/>
    </row>
    <row r="1770" hidden="1">
      <c r="A1770" s="148">
        <v>46180.0</v>
      </c>
      <c r="B1770" s="149">
        <v>0.75</v>
      </c>
      <c r="C1770" s="11" t="s">
        <v>32</v>
      </c>
      <c r="D1770" s="102" t="s">
        <v>33</v>
      </c>
      <c r="E1770" s="10" t="s">
        <v>71</v>
      </c>
      <c r="F1770" s="10" t="s">
        <v>5196</v>
      </c>
      <c r="G1770" s="11" t="s">
        <v>5306</v>
      </c>
      <c r="H1770" s="11" t="s">
        <v>4656</v>
      </c>
      <c r="I1770" s="10" t="s">
        <v>4657</v>
      </c>
      <c r="J1770" s="14">
        <v>4232.0</v>
      </c>
      <c r="K1770" s="14">
        <v>1815.0</v>
      </c>
      <c r="L1770" s="17">
        <v>0.4286</v>
      </c>
      <c r="M1770" s="150">
        <v>561.0</v>
      </c>
      <c r="N1770" s="136">
        <v>0.3093</v>
      </c>
      <c r="O1770" s="18">
        <v>40.0</v>
      </c>
      <c r="P1770" s="92">
        <v>40.0</v>
      </c>
      <c r="Q1770" s="137">
        <v>0.0221</v>
      </c>
      <c r="R1770" s="17">
        <v>0.0713</v>
      </c>
      <c r="S1770" s="18">
        <v>0.0</v>
      </c>
      <c r="T1770" s="18">
        <v>0.0</v>
      </c>
      <c r="U1770" s="151">
        <v>0.0</v>
      </c>
      <c r="V1770" s="92" t="s">
        <v>335</v>
      </c>
      <c r="W1770" s="18" t="s">
        <v>76</v>
      </c>
      <c r="X1770" s="42" t="s">
        <v>2594</v>
      </c>
      <c r="Y1770" s="159" t="s">
        <v>5300</v>
      </c>
      <c r="Z1770" s="18" t="s">
        <v>5307</v>
      </c>
      <c r="AA1770" s="92">
        <v>1.0</v>
      </c>
      <c r="AB1770" s="18">
        <v>1.0</v>
      </c>
      <c r="AC1770" s="18"/>
      <c r="AD1770" s="172">
        <v>2598.0</v>
      </c>
      <c r="AE1770" s="14">
        <v>2598.0</v>
      </c>
      <c r="AF1770" s="14"/>
      <c r="AG1770" s="22"/>
      <c r="AH1770" s="22"/>
      <c r="AI1770" s="22"/>
      <c r="AJ1770" s="22"/>
      <c r="AK1770" s="22"/>
      <c r="AL1770" s="22"/>
      <c r="AM1770" s="22"/>
      <c r="AN1770" s="22"/>
      <c r="AO1770" s="22"/>
      <c r="AP1770" s="22"/>
    </row>
    <row r="1771" hidden="1">
      <c r="A1771" s="148">
        <v>46180.0</v>
      </c>
      <c r="B1771" s="149">
        <v>0.75</v>
      </c>
      <c r="C1771" s="11" t="s">
        <v>32</v>
      </c>
      <c r="D1771" s="102" t="s">
        <v>33</v>
      </c>
      <c r="E1771" s="10" t="s">
        <v>71</v>
      </c>
      <c r="F1771" s="10" t="s">
        <v>5196</v>
      </c>
      <c r="G1771" s="11" t="s">
        <v>5308</v>
      </c>
      <c r="H1771" s="11" t="s">
        <v>4725</v>
      </c>
      <c r="I1771" s="10" t="s">
        <v>5207</v>
      </c>
      <c r="J1771" s="14">
        <v>56466.0</v>
      </c>
      <c r="K1771" s="14">
        <v>21745.0</v>
      </c>
      <c r="L1771" s="17">
        <v>0.385</v>
      </c>
      <c r="M1771" s="150">
        <v>6653.0</v>
      </c>
      <c r="N1771" s="136">
        <v>0.306</v>
      </c>
      <c r="O1771" s="18">
        <v>430.0</v>
      </c>
      <c r="P1771" s="92">
        <v>413.0</v>
      </c>
      <c r="Q1771" s="137">
        <v>0.019</v>
      </c>
      <c r="R1771" s="17">
        <v>0.0621</v>
      </c>
      <c r="S1771" s="18">
        <v>3.0</v>
      </c>
      <c r="T1771" s="18">
        <v>5.0</v>
      </c>
      <c r="U1771" s="151">
        <v>12877.0</v>
      </c>
      <c r="V1771" s="92" t="s">
        <v>183</v>
      </c>
      <c r="W1771" s="18" t="s">
        <v>76</v>
      </c>
      <c r="X1771" s="42" t="s">
        <v>52</v>
      </c>
      <c r="Y1771" s="94" t="s">
        <v>5300</v>
      </c>
      <c r="Z1771" s="18" t="s">
        <v>5309</v>
      </c>
      <c r="AA1771" s="92">
        <v>19.0</v>
      </c>
      <c r="AB1771" s="18">
        <v>19.0</v>
      </c>
      <c r="AC1771" s="18"/>
      <c r="AD1771" s="172">
        <v>80007.0</v>
      </c>
      <c r="AE1771" s="14">
        <v>80007.0</v>
      </c>
      <c r="AF1771" s="14"/>
      <c r="AG1771" s="22"/>
      <c r="AH1771" s="22"/>
      <c r="AI1771" s="22"/>
      <c r="AJ1771" s="22"/>
      <c r="AK1771" s="22"/>
      <c r="AL1771" s="22"/>
      <c r="AM1771" s="22"/>
      <c r="AN1771" s="22"/>
      <c r="AO1771" s="22"/>
      <c r="AP1771" s="22"/>
    </row>
    <row r="1772" hidden="1">
      <c r="A1772" s="148">
        <v>46179.0</v>
      </c>
      <c r="B1772" s="149">
        <v>0.4166666666666667</v>
      </c>
      <c r="C1772" s="11" t="s">
        <v>32</v>
      </c>
      <c r="D1772" s="102" t="s">
        <v>33</v>
      </c>
      <c r="E1772" s="10" t="s">
        <v>1998</v>
      </c>
      <c r="F1772" s="10" t="s">
        <v>5310</v>
      </c>
      <c r="G1772" s="11" t="s">
        <v>5311</v>
      </c>
      <c r="H1772" s="11" t="s">
        <v>5312</v>
      </c>
      <c r="I1772" s="10" t="s">
        <v>4295</v>
      </c>
      <c r="J1772" s="14">
        <v>49035.0</v>
      </c>
      <c r="K1772" s="14">
        <v>12339.0</v>
      </c>
      <c r="L1772" s="17">
        <v>0.2516</v>
      </c>
      <c r="M1772" s="150">
        <v>5031.0</v>
      </c>
      <c r="N1772" s="136">
        <v>0.4078</v>
      </c>
      <c r="O1772" s="18">
        <v>478.0</v>
      </c>
      <c r="P1772" s="92">
        <v>452.0</v>
      </c>
      <c r="Q1772" s="137">
        <v>0.0366</v>
      </c>
      <c r="R1772" s="17">
        <v>0.0898</v>
      </c>
      <c r="S1772" s="18">
        <v>0.0</v>
      </c>
      <c r="T1772" s="18">
        <v>0.0</v>
      </c>
      <c r="U1772" s="151">
        <v>0.0</v>
      </c>
      <c r="V1772" s="92" t="s">
        <v>183</v>
      </c>
      <c r="W1772" s="18" t="s">
        <v>76</v>
      </c>
      <c r="X1772" s="174" t="s">
        <v>4296</v>
      </c>
      <c r="Y1772" s="94" t="s">
        <v>5313</v>
      </c>
      <c r="Z1772" s="18" t="s">
        <v>5314</v>
      </c>
      <c r="AA1772" s="92">
        <v>4.0</v>
      </c>
      <c r="AB1772" s="18">
        <v>3.0</v>
      </c>
      <c r="AC1772" s="18">
        <v>1.0</v>
      </c>
      <c r="AD1772" s="14">
        <v>21858.0</v>
      </c>
      <c r="AE1772" s="14">
        <v>7859.0</v>
      </c>
      <c r="AF1772" s="14">
        <v>13999.0</v>
      </c>
      <c r="AG1772" s="22"/>
      <c r="AH1772" s="22"/>
      <c r="AI1772" s="22"/>
      <c r="AJ1772" s="22"/>
      <c r="AK1772" s="22"/>
      <c r="AL1772" s="22"/>
      <c r="AM1772" s="22"/>
      <c r="AN1772" s="22"/>
      <c r="AO1772" s="22"/>
      <c r="AP1772" s="22"/>
    </row>
    <row r="1773" hidden="1">
      <c r="A1773" s="148">
        <v>46179.0</v>
      </c>
      <c r="B1773" s="149">
        <v>0.5</v>
      </c>
      <c r="C1773" s="11" t="s">
        <v>58</v>
      </c>
      <c r="D1773" s="102" t="s">
        <v>3083</v>
      </c>
      <c r="E1773" s="10" t="s">
        <v>106</v>
      </c>
      <c r="F1773" s="10" t="s">
        <v>3471</v>
      </c>
      <c r="G1773" s="11" t="s">
        <v>5315</v>
      </c>
      <c r="H1773" s="11" t="s">
        <v>5186</v>
      </c>
      <c r="I1773" s="10" t="s">
        <v>61</v>
      </c>
      <c r="J1773" s="14">
        <v>52306.0</v>
      </c>
      <c r="K1773" s="14">
        <v>30074.0</v>
      </c>
      <c r="L1773" s="17">
        <v>0.575</v>
      </c>
      <c r="M1773" s="150">
        <v>0.0</v>
      </c>
      <c r="N1773" s="136">
        <v>0.0</v>
      </c>
      <c r="O1773" s="18">
        <v>0.0</v>
      </c>
      <c r="P1773" s="92">
        <v>0.0</v>
      </c>
      <c r="Q1773" s="137">
        <v>0.0</v>
      </c>
      <c r="R1773" s="17">
        <v>0.0</v>
      </c>
      <c r="S1773" s="18">
        <v>17.0</v>
      </c>
      <c r="T1773" s="18">
        <v>0.0</v>
      </c>
      <c r="U1773" s="151">
        <v>270473.0</v>
      </c>
      <c r="V1773" s="92" t="s">
        <v>335</v>
      </c>
      <c r="W1773" s="18" t="s">
        <v>58</v>
      </c>
      <c r="X1773" s="42" t="s">
        <v>1101</v>
      </c>
      <c r="Y1773" s="94" t="s">
        <v>5187</v>
      </c>
      <c r="Z1773" s="18" t="s">
        <v>5316</v>
      </c>
      <c r="AA1773" s="92">
        <v>0.0</v>
      </c>
      <c r="AB1773" s="18">
        <v>0.0</v>
      </c>
      <c r="AC1773" s="18"/>
      <c r="AD1773" s="172">
        <v>0.0</v>
      </c>
      <c r="AE1773" s="14">
        <v>0.0</v>
      </c>
      <c r="AF1773" s="14"/>
      <c r="AG1773" s="22"/>
      <c r="AH1773" s="22"/>
      <c r="AI1773" s="22"/>
      <c r="AJ1773" s="22"/>
      <c r="AK1773" s="22"/>
      <c r="AL1773" s="22"/>
      <c r="AM1773" s="22"/>
      <c r="AN1773" s="22"/>
      <c r="AO1773" s="22"/>
      <c r="AP1773" s="22"/>
    </row>
    <row r="1774" hidden="1">
      <c r="A1774" s="148">
        <v>46179.0</v>
      </c>
      <c r="B1774" s="149">
        <v>0.5</v>
      </c>
      <c r="C1774" s="11" t="s">
        <v>58</v>
      </c>
      <c r="D1774" s="102" t="s">
        <v>3083</v>
      </c>
      <c r="E1774" s="10" t="s">
        <v>106</v>
      </c>
      <c r="F1774" s="10" t="s">
        <v>3471</v>
      </c>
      <c r="G1774" s="11" t="s">
        <v>5317</v>
      </c>
      <c r="H1774" s="11" t="s">
        <v>5190</v>
      </c>
      <c r="I1774" s="10" t="s">
        <v>61</v>
      </c>
      <c r="J1774" s="14">
        <v>91108.0</v>
      </c>
      <c r="K1774" s="14">
        <v>52510.0</v>
      </c>
      <c r="L1774" s="17">
        <v>0.5763</v>
      </c>
      <c r="M1774" s="150">
        <v>0.0</v>
      </c>
      <c r="N1774" s="136">
        <v>0.0</v>
      </c>
      <c r="O1774" s="18">
        <v>0.0</v>
      </c>
      <c r="P1774" s="92">
        <v>0.0</v>
      </c>
      <c r="Q1774" s="137">
        <v>0.0</v>
      </c>
      <c r="R1774" s="17">
        <v>0.0</v>
      </c>
      <c r="S1774" s="18">
        <v>29.0</v>
      </c>
      <c r="T1774" s="18">
        <v>0.0</v>
      </c>
      <c r="U1774" s="151">
        <v>410958.0</v>
      </c>
      <c r="V1774" s="92" t="s">
        <v>335</v>
      </c>
      <c r="W1774" s="18" t="s">
        <v>58</v>
      </c>
      <c r="X1774" s="42" t="s">
        <v>1101</v>
      </c>
      <c r="Y1774" s="94" t="s">
        <v>5187</v>
      </c>
      <c r="Z1774" s="18" t="s">
        <v>5318</v>
      </c>
      <c r="AA1774" s="92">
        <v>0.0</v>
      </c>
      <c r="AB1774" s="18">
        <v>0.0</v>
      </c>
      <c r="AC1774" s="18"/>
      <c r="AD1774" s="172">
        <v>0.0</v>
      </c>
      <c r="AE1774" s="14">
        <v>0.0</v>
      </c>
      <c r="AF1774" s="14"/>
      <c r="AG1774" s="22"/>
      <c r="AH1774" s="22"/>
      <c r="AI1774" s="22"/>
      <c r="AJ1774" s="22"/>
      <c r="AK1774" s="22"/>
      <c r="AL1774" s="22"/>
      <c r="AM1774" s="22"/>
      <c r="AN1774" s="22"/>
      <c r="AO1774" s="22"/>
      <c r="AP1774" s="22"/>
    </row>
    <row r="1775" hidden="1">
      <c r="A1775" s="148">
        <v>46179.0</v>
      </c>
      <c r="B1775" s="149">
        <v>0.5</v>
      </c>
      <c r="C1775" s="11" t="s">
        <v>58</v>
      </c>
      <c r="D1775" s="102" t="s">
        <v>3083</v>
      </c>
      <c r="E1775" s="10" t="s">
        <v>106</v>
      </c>
      <c r="F1775" s="10" t="s">
        <v>3471</v>
      </c>
      <c r="G1775" s="11" t="s">
        <v>5319</v>
      </c>
      <c r="H1775" s="11" t="s">
        <v>5193</v>
      </c>
      <c r="I1775" s="10" t="s">
        <v>61</v>
      </c>
      <c r="J1775" s="14">
        <v>81953.0</v>
      </c>
      <c r="K1775" s="14">
        <v>44527.0</v>
      </c>
      <c r="L1775" s="17">
        <v>0.5433</v>
      </c>
      <c r="M1775" s="150">
        <v>0.0</v>
      </c>
      <c r="N1775" s="136">
        <v>0.0</v>
      </c>
      <c r="O1775" s="18">
        <v>0.0</v>
      </c>
      <c r="P1775" s="92">
        <v>0.0</v>
      </c>
      <c r="Q1775" s="137">
        <v>0.0</v>
      </c>
      <c r="R1775" s="17">
        <v>0.0</v>
      </c>
      <c r="S1775" s="18">
        <v>20.0</v>
      </c>
      <c r="T1775" s="18">
        <v>0.0</v>
      </c>
      <c r="U1775" s="151">
        <v>246578.0</v>
      </c>
      <c r="V1775" s="92" t="s">
        <v>183</v>
      </c>
      <c r="W1775" s="18" t="s">
        <v>58</v>
      </c>
      <c r="X1775" s="42" t="s">
        <v>1101</v>
      </c>
      <c r="Y1775" s="94" t="s">
        <v>5187</v>
      </c>
      <c r="Z1775" s="18" t="s">
        <v>5320</v>
      </c>
      <c r="AA1775" s="92">
        <v>108.0</v>
      </c>
      <c r="AB1775" s="18">
        <v>0.0</v>
      </c>
      <c r="AC1775" s="18">
        <v>108.0</v>
      </c>
      <c r="AD1775" s="14">
        <v>1389165.0</v>
      </c>
      <c r="AE1775" s="14">
        <v>0.0</v>
      </c>
      <c r="AF1775" s="14">
        <v>1389165.0</v>
      </c>
      <c r="AG1775" s="22"/>
      <c r="AH1775" s="22"/>
      <c r="AI1775" s="22"/>
      <c r="AJ1775" s="22"/>
      <c r="AK1775" s="22"/>
      <c r="AL1775" s="22"/>
      <c r="AM1775" s="22"/>
      <c r="AN1775" s="22"/>
      <c r="AO1775" s="22"/>
      <c r="AP1775" s="22"/>
    </row>
    <row r="1776" hidden="1">
      <c r="A1776" s="148">
        <v>46177.0</v>
      </c>
      <c r="B1776" s="149">
        <v>0.8541666666666666</v>
      </c>
      <c r="C1776" s="11" t="s">
        <v>58</v>
      </c>
      <c r="D1776" s="102" t="s">
        <v>3083</v>
      </c>
      <c r="E1776" s="10" t="s">
        <v>71</v>
      </c>
      <c r="F1776" s="10" t="s">
        <v>5196</v>
      </c>
      <c r="G1776" s="11" t="s">
        <v>5321</v>
      </c>
      <c r="H1776" s="11" t="s">
        <v>4694</v>
      </c>
      <c r="I1776" s="10" t="s">
        <v>61</v>
      </c>
      <c r="J1776" s="14">
        <v>2228.0</v>
      </c>
      <c r="K1776" s="14">
        <v>1324.0</v>
      </c>
      <c r="L1776" s="17">
        <v>0.5943</v>
      </c>
      <c r="M1776" s="150">
        <v>0.0</v>
      </c>
      <c r="N1776" s="136">
        <v>0.0</v>
      </c>
      <c r="O1776" s="18">
        <v>5.0</v>
      </c>
      <c r="P1776" s="92">
        <v>0.0</v>
      </c>
      <c r="Q1776" s="137">
        <v>0.0038</v>
      </c>
      <c r="R1776" s="17">
        <v>0.0</v>
      </c>
      <c r="S1776" s="18">
        <v>4.0</v>
      </c>
      <c r="T1776" s="18">
        <v>24.0</v>
      </c>
      <c r="U1776" s="151">
        <v>52629.0</v>
      </c>
      <c r="V1776" s="92" t="s">
        <v>335</v>
      </c>
      <c r="W1776" s="18" t="s">
        <v>58</v>
      </c>
      <c r="X1776" s="42" t="s">
        <v>4645</v>
      </c>
      <c r="Y1776" s="175">
        <v>46177.0</v>
      </c>
      <c r="Z1776" s="18" t="s">
        <v>5322</v>
      </c>
      <c r="AA1776" s="92">
        <v>6.0</v>
      </c>
      <c r="AB1776" s="18">
        <v>6.0</v>
      </c>
      <c r="AC1776" s="18"/>
      <c r="AD1776" s="172">
        <v>16731.0</v>
      </c>
      <c r="AE1776" s="14">
        <v>16731.0</v>
      </c>
      <c r="AF1776" s="14"/>
      <c r="AG1776" s="22"/>
      <c r="AH1776" s="22"/>
      <c r="AI1776" s="22"/>
      <c r="AJ1776" s="22"/>
      <c r="AK1776" s="22"/>
      <c r="AL1776" s="22"/>
      <c r="AM1776" s="22"/>
      <c r="AN1776" s="22"/>
      <c r="AO1776" s="22"/>
      <c r="AP1776" s="22"/>
    </row>
    <row r="1777" hidden="1">
      <c r="A1777" s="148">
        <v>46177.0</v>
      </c>
      <c r="B1777" s="149">
        <v>0.8541666666666666</v>
      </c>
      <c r="C1777" s="11" t="s">
        <v>58</v>
      </c>
      <c r="D1777" s="102" t="s">
        <v>3083</v>
      </c>
      <c r="E1777" s="10" t="s">
        <v>71</v>
      </c>
      <c r="F1777" s="10" t="s">
        <v>5196</v>
      </c>
      <c r="G1777" s="11" t="s">
        <v>5323</v>
      </c>
      <c r="H1777" s="11" t="s">
        <v>4697</v>
      </c>
      <c r="I1777" s="10" t="s">
        <v>61</v>
      </c>
      <c r="J1777" s="14">
        <v>12628.0</v>
      </c>
      <c r="K1777" s="14">
        <v>6745.0</v>
      </c>
      <c r="L1777" s="17">
        <v>0.5341</v>
      </c>
      <c r="M1777" s="150">
        <v>0.0</v>
      </c>
      <c r="N1777" s="136">
        <v>0.0</v>
      </c>
      <c r="O1777" s="18">
        <v>38.0</v>
      </c>
      <c r="P1777" s="92">
        <v>0.0</v>
      </c>
      <c r="Q1777" s="137">
        <v>0.0056</v>
      </c>
      <c r="R1777" s="17">
        <v>0.0</v>
      </c>
      <c r="S1777" s="18">
        <v>1.0</v>
      </c>
      <c r="T1777" s="18">
        <v>3.0</v>
      </c>
      <c r="U1777" s="151">
        <v>7596.0</v>
      </c>
      <c r="V1777" s="92" t="s">
        <v>335</v>
      </c>
      <c r="W1777" s="18" t="s">
        <v>58</v>
      </c>
      <c r="X1777" s="42" t="s">
        <v>2286</v>
      </c>
      <c r="Y1777" s="175">
        <v>46177.0</v>
      </c>
      <c r="Z1777" s="18" t="s">
        <v>5324</v>
      </c>
      <c r="AA1777" s="92">
        <v>8.0</v>
      </c>
      <c r="AB1777" s="18">
        <v>8.0</v>
      </c>
      <c r="AC1777" s="18"/>
      <c r="AD1777" s="172">
        <v>22127.0</v>
      </c>
      <c r="AE1777" s="14">
        <v>22127.0</v>
      </c>
      <c r="AF1777" s="14"/>
      <c r="AG1777" s="22"/>
      <c r="AH1777" s="22"/>
      <c r="AI1777" s="22"/>
      <c r="AJ1777" s="22"/>
      <c r="AK1777" s="22"/>
      <c r="AL1777" s="22"/>
      <c r="AM1777" s="22"/>
      <c r="AN1777" s="22"/>
      <c r="AO1777" s="22"/>
      <c r="AP1777" s="22"/>
    </row>
    <row r="1778" hidden="1">
      <c r="A1778" s="148">
        <v>46177.0</v>
      </c>
      <c r="B1778" s="149">
        <v>0.8541666666666666</v>
      </c>
      <c r="C1778" s="11" t="s">
        <v>58</v>
      </c>
      <c r="D1778" s="102" t="s">
        <v>3083</v>
      </c>
      <c r="E1778" s="10" t="s">
        <v>71</v>
      </c>
      <c r="F1778" s="10" t="s">
        <v>5196</v>
      </c>
      <c r="G1778" s="11" t="s">
        <v>5325</v>
      </c>
      <c r="H1778" s="11" t="s">
        <v>4700</v>
      </c>
      <c r="I1778" s="10" t="s">
        <v>61</v>
      </c>
      <c r="J1778" s="14">
        <v>8838.0</v>
      </c>
      <c r="K1778" s="14">
        <v>4128.0</v>
      </c>
      <c r="L1778" s="17">
        <v>0.4671</v>
      </c>
      <c r="M1778" s="150">
        <v>0.0</v>
      </c>
      <c r="N1778" s="136">
        <v>0.0</v>
      </c>
      <c r="O1778" s="18">
        <v>16.0</v>
      </c>
      <c r="P1778" s="92">
        <v>0.0</v>
      </c>
      <c r="Q1778" s="137">
        <v>0.0039</v>
      </c>
      <c r="R1778" s="17">
        <v>0.0</v>
      </c>
      <c r="S1778" s="18">
        <v>1.0</v>
      </c>
      <c r="T1778" s="18">
        <v>1.0</v>
      </c>
      <c r="U1778" s="151">
        <v>6836.0</v>
      </c>
      <c r="V1778" s="92" t="s">
        <v>335</v>
      </c>
      <c r="W1778" s="18" t="s">
        <v>58</v>
      </c>
      <c r="X1778" s="42" t="s">
        <v>2594</v>
      </c>
      <c r="Y1778" s="175">
        <v>46177.0</v>
      </c>
      <c r="Z1778" s="18" t="s">
        <v>5326</v>
      </c>
      <c r="AA1778" s="92">
        <v>4.0</v>
      </c>
      <c r="AB1778" s="18">
        <v>4.0</v>
      </c>
      <c r="AC1778" s="18"/>
      <c r="AD1778" s="172">
        <v>14594.0</v>
      </c>
      <c r="AE1778" s="14">
        <v>14594.0</v>
      </c>
      <c r="AF1778" s="14"/>
      <c r="AG1778" s="22"/>
      <c r="AH1778" s="22"/>
      <c r="AI1778" s="22"/>
      <c r="AJ1778" s="22"/>
      <c r="AK1778" s="22"/>
      <c r="AL1778" s="22"/>
      <c r="AM1778" s="22"/>
      <c r="AN1778" s="22"/>
      <c r="AO1778" s="22"/>
      <c r="AP1778" s="22"/>
    </row>
    <row r="1779" hidden="1">
      <c r="A1779" s="148">
        <v>46177.0</v>
      </c>
      <c r="B1779" s="149">
        <v>0.8541666666666666</v>
      </c>
      <c r="C1779" s="11" t="s">
        <v>58</v>
      </c>
      <c r="D1779" s="102" t="s">
        <v>3083</v>
      </c>
      <c r="E1779" s="10" t="s">
        <v>71</v>
      </c>
      <c r="F1779" s="10" t="s">
        <v>5196</v>
      </c>
      <c r="G1779" s="11" t="s">
        <v>5327</v>
      </c>
      <c r="H1779" s="11" t="s">
        <v>4703</v>
      </c>
      <c r="I1779" s="10" t="s">
        <v>61</v>
      </c>
      <c r="J1779" s="14">
        <v>42606.0</v>
      </c>
      <c r="K1779" s="14">
        <v>25085.0</v>
      </c>
      <c r="L1779" s="17">
        <v>0.5888</v>
      </c>
      <c r="M1779" s="150">
        <v>0.0</v>
      </c>
      <c r="N1779" s="136">
        <v>0.0</v>
      </c>
      <c r="O1779" s="18">
        <v>83.0</v>
      </c>
      <c r="P1779" s="92">
        <v>0.0</v>
      </c>
      <c r="Q1779" s="137">
        <v>0.0033</v>
      </c>
      <c r="R1779" s="17">
        <v>0.0</v>
      </c>
      <c r="S1779" s="18">
        <v>1.0</v>
      </c>
      <c r="T1779" s="18">
        <v>4.0</v>
      </c>
      <c r="U1779" s="151">
        <v>3798.0</v>
      </c>
      <c r="V1779" s="92" t="s">
        <v>335</v>
      </c>
      <c r="W1779" s="18" t="s">
        <v>58</v>
      </c>
      <c r="X1779" s="42" t="s">
        <v>41</v>
      </c>
      <c r="Y1779" s="175">
        <v>46177.0</v>
      </c>
      <c r="Z1779" s="18" t="s">
        <v>5328</v>
      </c>
      <c r="AA1779" s="92">
        <v>6.0</v>
      </c>
      <c r="AB1779" s="18">
        <v>6.0</v>
      </c>
      <c r="AC1779" s="18"/>
      <c r="AD1779" s="172">
        <v>27013.0</v>
      </c>
      <c r="AE1779" s="14">
        <v>27013.0</v>
      </c>
      <c r="AF1779" s="14"/>
      <c r="AG1779" s="22"/>
      <c r="AH1779" s="22"/>
      <c r="AI1779" s="22"/>
      <c r="AJ1779" s="22"/>
      <c r="AK1779" s="22"/>
      <c r="AL1779" s="22"/>
      <c r="AM1779" s="22"/>
      <c r="AN1779" s="22"/>
      <c r="AO1779" s="22"/>
      <c r="AP1779" s="22"/>
    </row>
    <row r="1780" hidden="1">
      <c r="A1780" s="148">
        <v>46178.0</v>
      </c>
      <c r="B1780" s="149">
        <v>0.5</v>
      </c>
      <c r="C1780" s="11" t="s">
        <v>58</v>
      </c>
      <c r="D1780" s="102" t="s">
        <v>3083</v>
      </c>
      <c r="E1780" s="10" t="s">
        <v>71</v>
      </c>
      <c r="F1780" s="10" t="s">
        <v>5196</v>
      </c>
      <c r="G1780" s="11" t="s">
        <v>5329</v>
      </c>
      <c r="H1780" s="11" t="s">
        <v>4725</v>
      </c>
      <c r="I1780" s="10" t="s">
        <v>61</v>
      </c>
      <c r="J1780" s="14">
        <v>15277.0</v>
      </c>
      <c r="K1780" s="14">
        <v>8564.0</v>
      </c>
      <c r="L1780" s="17">
        <v>0.5606</v>
      </c>
      <c r="M1780" s="150">
        <v>0.0</v>
      </c>
      <c r="N1780" s="136">
        <v>0.0</v>
      </c>
      <c r="O1780" s="18">
        <v>11.0</v>
      </c>
      <c r="P1780" s="92">
        <v>0.0</v>
      </c>
      <c r="Q1780" s="137">
        <v>0.0013</v>
      </c>
      <c r="R1780" s="17">
        <v>0.0</v>
      </c>
      <c r="S1780" s="18">
        <v>1.0</v>
      </c>
      <c r="T1780" s="18">
        <v>3.0</v>
      </c>
      <c r="U1780" s="151">
        <v>647.0</v>
      </c>
      <c r="V1780" s="92" t="s">
        <v>183</v>
      </c>
      <c r="W1780" s="18" t="s">
        <v>58</v>
      </c>
      <c r="X1780" s="42" t="s">
        <v>52</v>
      </c>
      <c r="Y1780" s="175">
        <v>46178.0</v>
      </c>
      <c r="Z1780" s="18" t="s">
        <v>5330</v>
      </c>
      <c r="AA1780" s="92">
        <v>7.0</v>
      </c>
      <c r="AB1780" s="18">
        <v>7.0</v>
      </c>
      <c r="AC1780" s="18"/>
      <c r="AD1780" s="172">
        <v>15150.0</v>
      </c>
      <c r="AE1780" s="14">
        <v>15150.0</v>
      </c>
      <c r="AF1780" s="14"/>
      <c r="AG1780" s="22"/>
      <c r="AH1780" s="22"/>
      <c r="AI1780" s="22"/>
      <c r="AJ1780" s="22"/>
      <c r="AK1780" s="22"/>
      <c r="AL1780" s="22"/>
      <c r="AM1780" s="22"/>
      <c r="AN1780" s="22"/>
      <c r="AO1780" s="22"/>
      <c r="AP1780" s="22"/>
    </row>
    <row r="1781" hidden="1">
      <c r="A1781" s="148">
        <v>46178.0</v>
      </c>
      <c r="B1781" s="149">
        <v>0.5</v>
      </c>
      <c r="C1781" s="11" t="s">
        <v>58</v>
      </c>
      <c r="D1781" s="102" t="s">
        <v>3083</v>
      </c>
      <c r="E1781" s="10" t="s">
        <v>71</v>
      </c>
      <c r="F1781" s="10" t="s">
        <v>5196</v>
      </c>
      <c r="G1781" s="11" t="s">
        <v>5331</v>
      </c>
      <c r="H1781" s="11" t="s">
        <v>4728</v>
      </c>
      <c r="I1781" s="10" t="s">
        <v>61</v>
      </c>
      <c r="J1781" s="14">
        <v>11063.0</v>
      </c>
      <c r="K1781" s="14">
        <v>6410.0</v>
      </c>
      <c r="L1781" s="17">
        <v>0.5794</v>
      </c>
      <c r="M1781" s="150">
        <v>0.0</v>
      </c>
      <c r="N1781" s="136">
        <v>0.0</v>
      </c>
      <c r="O1781" s="18">
        <v>5.0</v>
      </c>
      <c r="P1781" s="92">
        <v>0.0</v>
      </c>
      <c r="Q1781" s="137">
        <v>8.0E-4</v>
      </c>
      <c r="R1781" s="17">
        <v>0.0</v>
      </c>
      <c r="S1781" s="18">
        <v>0.0</v>
      </c>
      <c r="T1781" s="18">
        <v>0.0</v>
      </c>
      <c r="U1781" s="151">
        <v>0.0</v>
      </c>
      <c r="V1781" s="92" t="s">
        <v>315</v>
      </c>
      <c r="W1781" s="18" t="s">
        <v>58</v>
      </c>
      <c r="X1781" s="42" t="s">
        <v>4502</v>
      </c>
      <c r="Y1781" s="114">
        <v>46178.0</v>
      </c>
      <c r="Z1781" s="18" t="s">
        <v>5332</v>
      </c>
      <c r="AA1781" s="92">
        <v>6.0</v>
      </c>
      <c r="AB1781" s="18"/>
      <c r="AC1781" s="18">
        <v>6.0</v>
      </c>
      <c r="AD1781" s="172">
        <v>39774.0</v>
      </c>
      <c r="AE1781" s="14"/>
      <c r="AF1781" s="14">
        <v>39774.0</v>
      </c>
      <c r="AG1781" s="22"/>
      <c r="AH1781" s="22"/>
      <c r="AI1781" s="22"/>
      <c r="AJ1781" s="22"/>
      <c r="AK1781" s="22"/>
      <c r="AL1781" s="22"/>
      <c r="AM1781" s="22"/>
      <c r="AN1781" s="22"/>
      <c r="AO1781" s="22"/>
      <c r="AP1781" s="22"/>
    </row>
    <row r="1782" hidden="1">
      <c r="A1782" s="148">
        <v>46178.0</v>
      </c>
      <c r="B1782" s="149">
        <v>0.5</v>
      </c>
      <c r="C1782" s="11" t="s">
        <v>58</v>
      </c>
      <c r="D1782" s="102" t="s">
        <v>3083</v>
      </c>
      <c r="E1782" s="10" t="s">
        <v>71</v>
      </c>
      <c r="F1782" s="10" t="s">
        <v>5196</v>
      </c>
      <c r="G1782" s="11" t="s">
        <v>5333</v>
      </c>
      <c r="H1782" s="11" t="s">
        <v>4731</v>
      </c>
      <c r="I1782" s="10" t="s">
        <v>61</v>
      </c>
      <c r="J1782" s="14">
        <v>5340.0</v>
      </c>
      <c r="K1782" s="14">
        <v>2849.0</v>
      </c>
      <c r="L1782" s="17">
        <v>0.5335</v>
      </c>
      <c r="M1782" s="150">
        <v>0.0</v>
      </c>
      <c r="N1782" s="136">
        <v>0.0</v>
      </c>
      <c r="O1782" s="18">
        <v>11.0</v>
      </c>
      <c r="P1782" s="92">
        <v>0.0</v>
      </c>
      <c r="Q1782" s="137">
        <v>0.0039</v>
      </c>
      <c r="R1782" s="17">
        <v>0.0</v>
      </c>
      <c r="S1782" s="18">
        <v>0.0</v>
      </c>
      <c r="T1782" s="18">
        <v>0.0</v>
      </c>
      <c r="U1782" s="151">
        <v>0.0</v>
      </c>
      <c r="V1782" s="92" t="s">
        <v>315</v>
      </c>
      <c r="W1782" s="18" t="s">
        <v>58</v>
      </c>
      <c r="X1782" s="42" t="s">
        <v>4502</v>
      </c>
      <c r="Y1782" s="114">
        <v>46178.0</v>
      </c>
      <c r="Z1782" s="18" t="s">
        <v>5334</v>
      </c>
      <c r="AA1782" s="92">
        <v>1.0</v>
      </c>
      <c r="AB1782" s="18"/>
      <c r="AC1782" s="18">
        <v>1.0</v>
      </c>
      <c r="AD1782" s="14">
        <v>43903.0</v>
      </c>
      <c r="AE1782" s="14"/>
      <c r="AF1782" s="14">
        <v>43903.0</v>
      </c>
      <c r="AG1782" s="22"/>
      <c r="AH1782" s="22"/>
      <c r="AI1782" s="22"/>
      <c r="AJ1782" s="22"/>
      <c r="AK1782" s="22"/>
      <c r="AL1782" s="22"/>
      <c r="AM1782" s="22"/>
      <c r="AN1782" s="22"/>
      <c r="AO1782" s="22"/>
      <c r="AP1782" s="22"/>
    </row>
    <row r="1783" hidden="1">
      <c r="A1783" s="148">
        <v>46178.0</v>
      </c>
      <c r="B1783" s="149">
        <v>0.5</v>
      </c>
      <c r="C1783" s="11" t="s">
        <v>58</v>
      </c>
      <c r="D1783" s="102" t="s">
        <v>3083</v>
      </c>
      <c r="E1783" s="10" t="s">
        <v>71</v>
      </c>
      <c r="F1783" s="10" t="s">
        <v>5196</v>
      </c>
      <c r="G1783" s="11" t="s">
        <v>5335</v>
      </c>
      <c r="H1783" s="11" t="s">
        <v>4734</v>
      </c>
      <c r="I1783" s="10" t="s">
        <v>61</v>
      </c>
      <c r="J1783" s="14">
        <v>3121.0</v>
      </c>
      <c r="K1783" s="14">
        <v>1737.0</v>
      </c>
      <c r="L1783" s="17">
        <v>0.5566</v>
      </c>
      <c r="M1783" s="150">
        <v>0.0</v>
      </c>
      <c r="N1783" s="136">
        <v>0.0</v>
      </c>
      <c r="O1783" s="18">
        <v>2.0</v>
      </c>
      <c r="P1783" s="92">
        <v>0.0</v>
      </c>
      <c r="Q1783" s="137">
        <v>0.0012</v>
      </c>
      <c r="R1783" s="17">
        <v>0.0</v>
      </c>
      <c r="S1783" s="18">
        <v>0.0</v>
      </c>
      <c r="T1783" s="18">
        <v>0.0</v>
      </c>
      <c r="U1783" s="151">
        <v>0.0</v>
      </c>
      <c r="V1783" s="92" t="s">
        <v>315</v>
      </c>
      <c r="W1783" s="18" t="s">
        <v>58</v>
      </c>
      <c r="X1783" s="42" t="s">
        <v>4502</v>
      </c>
      <c r="Y1783" s="175">
        <v>46178.0</v>
      </c>
      <c r="Z1783" s="18" t="s">
        <v>5336</v>
      </c>
      <c r="AA1783" s="92">
        <v>0.0</v>
      </c>
      <c r="AB1783" s="18"/>
      <c r="AC1783" s="18">
        <v>0.0</v>
      </c>
      <c r="AD1783" s="172">
        <v>0.0</v>
      </c>
      <c r="AE1783" s="14"/>
      <c r="AF1783" s="14">
        <v>0.0</v>
      </c>
      <c r="AG1783" s="22"/>
      <c r="AH1783" s="22"/>
      <c r="AI1783" s="22"/>
      <c r="AJ1783" s="22"/>
      <c r="AK1783" s="22"/>
      <c r="AL1783" s="22"/>
      <c r="AM1783" s="22"/>
      <c r="AN1783" s="22"/>
      <c r="AO1783" s="22"/>
      <c r="AP1783" s="22"/>
    </row>
    <row r="1784" hidden="1">
      <c r="A1784" s="148">
        <v>46178.0</v>
      </c>
      <c r="B1784" s="149">
        <v>0.5</v>
      </c>
      <c r="C1784" s="11" t="s">
        <v>58</v>
      </c>
      <c r="D1784" s="102" t="s">
        <v>3083</v>
      </c>
      <c r="E1784" s="10" t="s">
        <v>71</v>
      </c>
      <c r="F1784" s="10" t="s">
        <v>5196</v>
      </c>
      <c r="G1784" s="11" t="s">
        <v>5337</v>
      </c>
      <c r="H1784" s="11" t="s">
        <v>4737</v>
      </c>
      <c r="I1784" s="10" t="s">
        <v>61</v>
      </c>
      <c r="J1784" s="14">
        <v>1315.0</v>
      </c>
      <c r="K1784" s="14">
        <v>753.0</v>
      </c>
      <c r="L1784" s="17">
        <v>0.5726</v>
      </c>
      <c r="M1784" s="150">
        <v>0.0</v>
      </c>
      <c r="N1784" s="136">
        <v>0.0</v>
      </c>
      <c r="O1784" s="18">
        <v>3.0</v>
      </c>
      <c r="P1784" s="92">
        <v>0.0</v>
      </c>
      <c r="Q1784" s="137">
        <v>0.004</v>
      </c>
      <c r="R1784" s="17">
        <v>0.0</v>
      </c>
      <c r="S1784" s="18">
        <v>0.0</v>
      </c>
      <c r="T1784" s="18">
        <v>0.0</v>
      </c>
      <c r="U1784" s="151">
        <v>0.0</v>
      </c>
      <c r="V1784" s="92" t="s">
        <v>315</v>
      </c>
      <c r="W1784" s="18" t="s">
        <v>58</v>
      </c>
      <c r="X1784" s="42" t="s">
        <v>4502</v>
      </c>
      <c r="Y1784" s="114">
        <v>46178.0</v>
      </c>
      <c r="Z1784" s="18" t="s">
        <v>5338</v>
      </c>
      <c r="AA1784" s="92">
        <v>2.0</v>
      </c>
      <c r="AB1784" s="18"/>
      <c r="AC1784" s="18">
        <v>2.0</v>
      </c>
      <c r="AD1784" s="172">
        <v>24888.0</v>
      </c>
      <c r="AE1784" s="14"/>
      <c r="AF1784" s="14">
        <v>24888.0</v>
      </c>
      <c r="AG1784" s="22"/>
      <c r="AH1784" s="22"/>
      <c r="AI1784" s="22"/>
      <c r="AJ1784" s="22"/>
      <c r="AK1784" s="22"/>
      <c r="AL1784" s="22"/>
      <c r="AM1784" s="22"/>
      <c r="AN1784" s="22"/>
      <c r="AO1784" s="22"/>
      <c r="AP1784" s="22"/>
    </row>
    <row r="1785" hidden="1">
      <c r="A1785" s="148">
        <v>46178.0</v>
      </c>
      <c r="B1785" s="149">
        <v>0.5</v>
      </c>
      <c r="C1785" s="11" t="s">
        <v>58</v>
      </c>
      <c r="D1785" s="102" t="s">
        <v>3083</v>
      </c>
      <c r="E1785" s="10" t="s">
        <v>71</v>
      </c>
      <c r="F1785" s="10" t="s">
        <v>5196</v>
      </c>
      <c r="G1785" s="11" t="s">
        <v>5339</v>
      </c>
      <c r="H1785" s="11" t="s">
        <v>4740</v>
      </c>
      <c r="I1785" s="10" t="s">
        <v>61</v>
      </c>
      <c r="J1785" s="14">
        <v>26649.0</v>
      </c>
      <c r="K1785" s="14">
        <v>14858.0</v>
      </c>
      <c r="L1785" s="17">
        <v>0.5575</v>
      </c>
      <c r="M1785" s="150">
        <v>0.0</v>
      </c>
      <c r="N1785" s="136">
        <v>0.0</v>
      </c>
      <c r="O1785" s="18">
        <v>9.0</v>
      </c>
      <c r="P1785" s="92">
        <v>0.0</v>
      </c>
      <c r="Q1785" s="137">
        <v>6.0E-4</v>
      </c>
      <c r="R1785" s="17">
        <v>0.0</v>
      </c>
      <c r="S1785" s="18">
        <v>0.0</v>
      </c>
      <c r="T1785" s="18">
        <v>0.0</v>
      </c>
      <c r="U1785" s="151">
        <v>0.0</v>
      </c>
      <c r="V1785" s="92" t="s">
        <v>315</v>
      </c>
      <c r="W1785" s="18" t="s">
        <v>58</v>
      </c>
      <c r="X1785" s="42" t="s">
        <v>4502</v>
      </c>
      <c r="Y1785" s="114">
        <v>46178.0</v>
      </c>
      <c r="Z1785" s="18" t="s">
        <v>5340</v>
      </c>
      <c r="AA1785" s="92">
        <v>5.0</v>
      </c>
      <c r="AB1785" s="18"/>
      <c r="AC1785" s="18">
        <v>5.0</v>
      </c>
      <c r="AD1785" s="14">
        <v>17785.0</v>
      </c>
      <c r="AE1785" s="14"/>
      <c r="AF1785" s="14">
        <v>17785.0</v>
      </c>
      <c r="AG1785" s="22"/>
      <c r="AH1785" s="22"/>
      <c r="AI1785" s="22"/>
      <c r="AJ1785" s="22"/>
      <c r="AK1785" s="22"/>
      <c r="AL1785" s="22"/>
      <c r="AM1785" s="22"/>
      <c r="AN1785" s="22"/>
      <c r="AO1785" s="22"/>
      <c r="AP1785" s="22"/>
    </row>
    <row r="1786" hidden="1">
      <c r="A1786" s="148">
        <v>46178.0</v>
      </c>
      <c r="B1786" s="149">
        <v>0.5</v>
      </c>
      <c r="C1786" s="11" t="s">
        <v>58</v>
      </c>
      <c r="D1786" s="102" t="s">
        <v>3083</v>
      </c>
      <c r="E1786" s="10" t="s">
        <v>71</v>
      </c>
      <c r="F1786" s="10" t="s">
        <v>5196</v>
      </c>
      <c r="G1786" s="11" t="s">
        <v>5341</v>
      </c>
      <c r="H1786" s="11" t="s">
        <v>4743</v>
      </c>
      <c r="I1786" s="10" t="s">
        <v>61</v>
      </c>
      <c r="J1786" s="14">
        <v>15493.0</v>
      </c>
      <c r="K1786" s="14">
        <v>8441.0</v>
      </c>
      <c r="L1786" s="17">
        <v>0.5448</v>
      </c>
      <c r="M1786" s="150">
        <v>0.0</v>
      </c>
      <c r="N1786" s="136">
        <v>0.0</v>
      </c>
      <c r="O1786" s="18">
        <v>17.0</v>
      </c>
      <c r="P1786" s="92">
        <v>0.0</v>
      </c>
      <c r="Q1786" s="137">
        <v>0.002</v>
      </c>
      <c r="R1786" s="17">
        <v>0.0</v>
      </c>
      <c r="S1786" s="18">
        <v>1.0</v>
      </c>
      <c r="T1786" s="18">
        <v>1.0</v>
      </c>
      <c r="U1786" s="151">
        <v>7596.0</v>
      </c>
      <c r="V1786" s="92" t="s">
        <v>315</v>
      </c>
      <c r="W1786" s="18" t="s">
        <v>58</v>
      </c>
      <c r="X1786" s="42" t="s">
        <v>4502</v>
      </c>
      <c r="Y1786" s="175">
        <v>46178.0</v>
      </c>
      <c r="Z1786" s="18" t="s">
        <v>5342</v>
      </c>
      <c r="AA1786" s="92">
        <v>6.0</v>
      </c>
      <c r="AB1786" s="18"/>
      <c r="AC1786" s="18">
        <v>6.0</v>
      </c>
      <c r="AD1786" s="172">
        <v>23688.0</v>
      </c>
      <c r="AE1786" s="14"/>
      <c r="AF1786" s="14">
        <v>23688.0</v>
      </c>
      <c r="AG1786" s="22"/>
      <c r="AH1786" s="22"/>
      <c r="AI1786" s="22"/>
      <c r="AJ1786" s="22"/>
      <c r="AK1786" s="22"/>
      <c r="AL1786" s="22"/>
      <c r="AM1786" s="22"/>
      <c r="AN1786" s="22"/>
      <c r="AO1786" s="22"/>
      <c r="AP1786" s="22"/>
    </row>
    <row r="1787" hidden="1">
      <c r="A1787" s="148">
        <v>46178.0</v>
      </c>
      <c r="B1787" s="149">
        <v>0.5</v>
      </c>
      <c r="C1787" s="11" t="s">
        <v>58</v>
      </c>
      <c r="D1787" s="102" t="s">
        <v>3083</v>
      </c>
      <c r="E1787" s="10" t="s">
        <v>71</v>
      </c>
      <c r="F1787" s="10" t="s">
        <v>5196</v>
      </c>
      <c r="G1787" s="11" t="s">
        <v>5343</v>
      </c>
      <c r="H1787" s="11" t="s">
        <v>4746</v>
      </c>
      <c r="I1787" s="10" t="s">
        <v>61</v>
      </c>
      <c r="J1787" s="14">
        <v>7447.0</v>
      </c>
      <c r="K1787" s="14">
        <v>4154.0</v>
      </c>
      <c r="L1787" s="17">
        <v>0.5578</v>
      </c>
      <c r="M1787" s="150">
        <v>0.0</v>
      </c>
      <c r="N1787" s="136">
        <v>0.0</v>
      </c>
      <c r="O1787" s="18">
        <v>2.0</v>
      </c>
      <c r="P1787" s="92">
        <v>0.0</v>
      </c>
      <c r="Q1787" s="137">
        <v>5.0E-4</v>
      </c>
      <c r="R1787" s="17">
        <v>0.0</v>
      </c>
      <c r="S1787" s="18">
        <v>0.0</v>
      </c>
      <c r="T1787" s="18">
        <v>0.0</v>
      </c>
      <c r="U1787" s="151">
        <v>0.0</v>
      </c>
      <c r="V1787" s="92" t="s">
        <v>315</v>
      </c>
      <c r="W1787" s="18" t="s">
        <v>58</v>
      </c>
      <c r="X1787" s="42" t="s">
        <v>4502</v>
      </c>
      <c r="Y1787" s="175">
        <v>46178.0</v>
      </c>
      <c r="Z1787" s="18" t="s">
        <v>5344</v>
      </c>
      <c r="AA1787" s="92">
        <v>0.0</v>
      </c>
      <c r="AB1787" s="18"/>
      <c r="AC1787" s="18">
        <v>0.0</v>
      </c>
      <c r="AD1787" s="172">
        <v>0.0</v>
      </c>
      <c r="AE1787" s="14"/>
      <c r="AF1787" s="14">
        <v>0.0</v>
      </c>
      <c r="AG1787" s="22"/>
      <c r="AH1787" s="22"/>
      <c r="AI1787" s="22"/>
      <c r="AJ1787" s="22"/>
      <c r="AK1787" s="22"/>
      <c r="AL1787" s="22"/>
      <c r="AM1787" s="22"/>
      <c r="AN1787" s="22"/>
      <c r="AO1787" s="22"/>
      <c r="AP1787" s="22"/>
    </row>
    <row r="1788" hidden="1">
      <c r="A1788" s="148">
        <v>46178.0</v>
      </c>
      <c r="B1788" s="149">
        <v>0.5</v>
      </c>
      <c r="C1788" s="11" t="s">
        <v>58</v>
      </c>
      <c r="D1788" s="102" t="s">
        <v>3083</v>
      </c>
      <c r="E1788" s="10" t="s">
        <v>71</v>
      </c>
      <c r="F1788" s="10" t="s">
        <v>5196</v>
      </c>
      <c r="G1788" s="11" t="s">
        <v>5345</v>
      </c>
      <c r="H1788" s="11" t="s">
        <v>4749</v>
      </c>
      <c r="I1788" s="10" t="s">
        <v>61</v>
      </c>
      <c r="J1788" s="14">
        <v>4587.0</v>
      </c>
      <c r="K1788" s="14">
        <v>2633.0</v>
      </c>
      <c r="L1788" s="17">
        <v>0.574</v>
      </c>
      <c r="M1788" s="150">
        <v>0.0</v>
      </c>
      <c r="N1788" s="136">
        <v>0.0</v>
      </c>
      <c r="O1788" s="18">
        <v>2.0</v>
      </c>
      <c r="P1788" s="92">
        <v>0.0</v>
      </c>
      <c r="Q1788" s="137">
        <v>8.0E-4</v>
      </c>
      <c r="R1788" s="17">
        <v>0.0</v>
      </c>
      <c r="S1788" s="18">
        <v>0.0</v>
      </c>
      <c r="T1788" s="18">
        <v>0.0</v>
      </c>
      <c r="U1788" s="151">
        <v>0.0</v>
      </c>
      <c r="V1788" s="92" t="s">
        <v>315</v>
      </c>
      <c r="W1788" s="18" t="s">
        <v>58</v>
      </c>
      <c r="X1788" s="42" t="s">
        <v>4502</v>
      </c>
      <c r="Y1788" s="175">
        <v>46178.0</v>
      </c>
      <c r="Z1788" s="18" t="s">
        <v>5346</v>
      </c>
      <c r="AA1788" s="92">
        <v>0.0</v>
      </c>
      <c r="AB1788" s="18"/>
      <c r="AC1788" s="18">
        <v>0.0</v>
      </c>
      <c r="AD1788" s="172">
        <v>0.0</v>
      </c>
      <c r="AE1788" s="14"/>
      <c r="AF1788" s="14">
        <v>0.0</v>
      </c>
      <c r="AG1788" s="22"/>
      <c r="AH1788" s="22"/>
      <c r="AI1788" s="22"/>
      <c r="AJ1788" s="22"/>
      <c r="AK1788" s="22"/>
      <c r="AL1788" s="22"/>
      <c r="AM1788" s="22"/>
      <c r="AN1788" s="22"/>
      <c r="AO1788" s="22"/>
      <c r="AP1788" s="22"/>
    </row>
    <row r="1789" hidden="1">
      <c r="A1789" s="148">
        <v>46178.0</v>
      </c>
      <c r="B1789" s="149">
        <v>0.5</v>
      </c>
      <c r="C1789" s="11" t="s">
        <v>58</v>
      </c>
      <c r="D1789" s="102" t="s">
        <v>3083</v>
      </c>
      <c r="E1789" s="10" t="s">
        <v>71</v>
      </c>
      <c r="F1789" s="10" t="s">
        <v>5196</v>
      </c>
      <c r="G1789" s="11" t="s">
        <v>5347</v>
      </c>
      <c r="H1789" s="11" t="s">
        <v>4752</v>
      </c>
      <c r="I1789" s="10" t="s">
        <v>61</v>
      </c>
      <c r="J1789" s="14">
        <v>6915.0</v>
      </c>
      <c r="K1789" s="14">
        <v>3819.0</v>
      </c>
      <c r="L1789" s="17">
        <v>0.5523</v>
      </c>
      <c r="M1789" s="150">
        <v>0.0</v>
      </c>
      <c r="N1789" s="136">
        <v>0.0</v>
      </c>
      <c r="O1789" s="18">
        <v>9.0</v>
      </c>
      <c r="P1789" s="92">
        <v>0.0</v>
      </c>
      <c r="Q1789" s="137">
        <v>0.0024</v>
      </c>
      <c r="R1789" s="17">
        <v>0.0</v>
      </c>
      <c r="S1789" s="18">
        <v>0.0</v>
      </c>
      <c r="T1789" s="18">
        <v>0.0</v>
      </c>
      <c r="U1789" s="151">
        <v>0.0</v>
      </c>
      <c r="V1789" s="92" t="s">
        <v>315</v>
      </c>
      <c r="W1789" s="18" t="s">
        <v>58</v>
      </c>
      <c r="X1789" s="42" t="s">
        <v>4502</v>
      </c>
      <c r="Y1789" s="175">
        <v>46178.0</v>
      </c>
      <c r="Z1789" s="18" t="s">
        <v>5348</v>
      </c>
      <c r="AA1789" s="92">
        <v>5.0</v>
      </c>
      <c r="AB1789" s="18"/>
      <c r="AC1789" s="18">
        <v>5.0</v>
      </c>
      <c r="AD1789" s="172">
        <v>31910.0</v>
      </c>
      <c r="AE1789" s="14"/>
      <c r="AF1789" s="14">
        <v>31910.0</v>
      </c>
      <c r="AG1789" s="22"/>
      <c r="AH1789" s="22"/>
      <c r="AI1789" s="22"/>
      <c r="AJ1789" s="22"/>
      <c r="AK1789" s="22"/>
      <c r="AL1789" s="22"/>
      <c r="AM1789" s="22"/>
      <c r="AN1789" s="22"/>
      <c r="AO1789" s="22"/>
      <c r="AP1789" s="22"/>
    </row>
    <row r="1790" hidden="1">
      <c r="A1790" s="148">
        <v>46178.0</v>
      </c>
      <c r="B1790" s="149">
        <v>0.5</v>
      </c>
      <c r="C1790" s="11" t="s">
        <v>58</v>
      </c>
      <c r="D1790" s="102" t="s">
        <v>3083</v>
      </c>
      <c r="E1790" s="10" t="s">
        <v>71</v>
      </c>
      <c r="F1790" s="10" t="s">
        <v>5196</v>
      </c>
      <c r="G1790" s="11" t="s">
        <v>5349</v>
      </c>
      <c r="H1790" s="11" t="s">
        <v>4755</v>
      </c>
      <c r="I1790" s="10" t="s">
        <v>61</v>
      </c>
      <c r="J1790" s="14">
        <v>3317.0</v>
      </c>
      <c r="K1790" s="14">
        <v>2103.0</v>
      </c>
      <c r="L1790" s="17">
        <v>0.634</v>
      </c>
      <c r="M1790" s="150">
        <v>0.0</v>
      </c>
      <c r="N1790" s="136">
        <v>0.0</v>
      </c>
      <c r="O1790" s="18">
        <v>1.0</v>
      </c>
      <c r="P1790" s="92">
        <v>0.0</v>
      </c>
      <c r="Q1790" s="137">
        <v>5.0E-4</v>
      </c>
      <c r="R1790" s="17">
        <v>0.0</v>
      </c>
      <c r="S1790" s="18">
        <v>0.0</v>
      </c>
      <c r="T1790" s="18">
        <v>0.0</v>
      </c>
      <c r="U1790" s="151">
        <v>0.0</v>
      </c>
      <c r="V1790" s="92" t="s">
        <v>315</v>
      </c>
      <c r="W1790" s="18" t="s">
        <v>58</v>
      </c>
      <c r="X1790" s="42" t="s">
        <v>4502</v>
      </c>
      <c r="Y1790" s="175">
        <v>46178.0</v>
      </c>
      <c r="Z1790" s="18" t="s">
        <v>5350</v>
      </c>
      <c r="AA1790" s="92">
        <v>5.0</v>
      </c>
      <c r="AB1790" s="18"/>
      <c r="AC1790" s="18">
        <v>5.0</v>
      </c>
      <c r="AD1790" s="172">
        <v>24529.0</v>
      </c>
      <c r="AE1790" s="14"/>
      <c r="AF1790" s="14">
        <v>24529.0</v>
      </c>
      <c r="AG1790" s="22"/>
      <c r="AH1790" s="22"/>
      <c r="AI1790" s="22"/>
      <c r="AJ1790" s="22"/>
      <c r="AK1790" s="22"/>
      <c r="AL1790" s="22"/>
      <c r="AM1790" s="22"/>
      <c r="AN1790" s="22"/>
      <c r="AO1790" s="22"/>
      <c r="AP1790" s="22"/>
    </row>
    <row r="1791" hidden="1">
      <c r="A1791" s="148">
        <v>46178.0</v>
      </c>
      <c r="B1791" s="149">
        <v>0.5</v>
      </c>
      <c r="C1791" s="11" t="s">
        <v>58</v>
      </c>
      <c r="D1791" s="102" t="s">
        <v>3083</v>
      </c>
      <c r="E1791" s="10" t="s">
        <v>71</v>
      </c>
      <c r="F1791" s="10" t="s">
        <v>5196</v>
      </c>
      <c r="G1791" s="11" t="s">
        <v>5351</v>
      </c>
      <c r="H1791" s="11" t="s">
        <v>4758</v>
      </c>
      <c r="I1791" s="10" t="s">
        <v>61</v>
      </c>
      <c r="J1791" s="14">
        <v>3113.0</v>
      </c>
      <c r="K1791" s="14">
        <v>2018.0</v>
      </c>
      <c r="L1791" s="17">
        <v>0.6482</v>
      </c>
      <c r="M1791" s="150">
        <v>0.0</v>
      </c>
      <c r="N1791" s="136">
        <v>0.0</v>
      </c>
      <c r="O1791" s="18">
        <v>3.0</v>
      </c>
      <c r="P1791" s="92">
        <v>0.0</v>
      </c>
      <c r="Q1791" s="137">
        <v>0.0015</v>
      </c>
      <c r="R1791" s="17">
        <v>0.0</v>
      </c>
      <c r="S1791" s="18">
        <v>0.0</v>
      </c>
      <c r="T1791" s="18">
        <v>0.0</v>
      </c>
      <c r="U1791" s="151">
        <v>0.0</v>
      </c>
      <c r="V1791" s="92" t="s">
        <v>315</v>
      </c>
      <c r="W1791" s="18" t="s">
        <v>58</v>
      </c>
      <c r="X1791" s="42" t="s">
        <v>4502</v>
      </c>
      <c r="Y1791" s="114">
        <v>46178.0</v>
      </c>
      <c r="Z1791" s="18" t="s">
        <v>5352</v>
      </c>
      <c r="AA1791" s="92">
        <v>2.0</v>
      </c>
      <c r="AB1791" s="18"/>
      <c r="AC1791" s="18">
        <v>2.0</v>
      </c>
      <c r="AD1791" s="172">
        <v>10794.0</v>
      </c>
      <c r="AE1791" s="14"/>
      <c r="AF1791" s="14">
        <v>10794.0</v>
      </c>
      <c r="AG1791" s="22"/>
      <c r="AH1791" s="22"/>
      <c r="AI1791" s="22"/>
      <c r="AJ1791" s="22"/>
      <c r="AK1791" s="22"/>
      <c r="AL1791" s="22"/>
      <c r="AM1791" s="22"/>
      <c r="AN1791" s="22"/>
      <c r="AO1791" s="22"/>
      <c r="AP1791" s="22"/>
    </row>
    <row r="1792" hidden="1">
      <c r="A1792" s="148">
        <v>46178.0</v>
      </c>
      <c r="B1792" s="149">
        <v>0.5</v>
      </c>
      <c r="C1792" s="11" t="s">
        <v>58</v>
      </c>
      <c r="D1792" s="102" t="s">
        <v>3083</v>
      </c>
      <c r="E1792" s="10" t="s">
        <v>71</v>
      </c>
      <c r="F1792" s="10" t="s">
        <v>5196</v>
      </c>
      <c r="G1792" s="11" t="s">
        <v>5353</v>
      </c>
      <c r="H1792" s="11" t="s">
        <v>4761</v>
      </c>
      <c r="I1792" s="10" t="s">
        <v>61</v>
      </c>
      <c r="J1792" s="14">
        <v>2593.0</v>
      </c>
      <c r="K1792" s="14">
        <v>1686.0</v>
      </c>
      <c r="L1792" s="17">
        <v>0.6502</v>
      </c>
      <c r="M1792" s="150">
        <v>0.0</v>
      </c>
      <c r="N1792" s="136">
        <v>0.0</v>
      </c>
      <c r="O1792" s="18">
        <v>3.0</v>
      </c>
      <c r="P1792" s="92">
        <v>0.0</v>
      </c>
      <c r="Q1792" s="137">
        <v>0.0018</v>
      </c>
      <c r="R1792" s="17">
        <v>0.0</v>
      </c>
      <c r="S1792" s="18">
        <v>0.0</v>
      </c>
      <c r="T1792" s="18">
        <v>0.0</v>
      </c>
      <c r="U1792" s="151">
        <v>0.0</v>
      </c>
      <c r="V1792" s="92" t="s">
        <v>315</v>
      </c>
      <c r="W1792" s="18" t="s">
        <v>58</v>
      </c>
      <c r="X1792" s="42" t="s">
        <v>4502</v>
      </c>
      <c r="Y1792" s="114">
        <v>46178.0</v>
      </c>
      <c r="Z1792" s="18" t="s">
        <v>5354</v>
      </c>
      <c r="AA1792" s="92">
        <v>6.0</v>
      </c>
      <c r="AB1792" s="18"/>
      <c r="AC1792" s="18">
        <v>6.0</v>
      </c>
      <c r="AD1792" s="14">
        <v>22588.0</v>
      </c>
      <c r="AE1792" s="14"/>
      <c r="AF1792" s="14">
        <v>22588.0</v>
      </c>
      <c r="AG1792" s="22"/>
      <c r="AH1792" s="22"/>
      <c r="AI1792" s="22"/>
      <c r="AJ1792" s="22"/>
      <c r="AK1792" s="22"/>
      <c r="AL1792" s="22"/>
      <c r="AM1792" s="22"/>
      <c r="AN1792" s="22"/>
      <c r="AO1792" s="22"/>
      <c r="AP1792" s="22"/>
    </row>
    <row r="1793" hidden="1">
      <c r="A1793" s="148">
        <v>46178.0</v>
      </c>
      <c r="B1793" s="149">
        <v>0.5</v>
      </c>
      <c r="C1793" s="11" t="s">
        <v>58</v>
      </c>
      <c r="D1793" s="102" t="s">
        <v>3083</v>
      </c>
      <c r="E1793" s="10" t="s">
        <v>71</v>
      </c>
      <c r="F1793" s="10" t="s">
        <v>5196</v>
      </c>
      <c r="G1793" s="11" t="s">
        <v>5355</v>
      </c>
      <c r="H1793" s="11" t="s">
        <v>4764</v>
      </c>
      <c r="I1793" s="10" t="s">
        <v>61</v>
      </c>
      <c r="J1793" s="14">
        <v>2192.0</v>
      </c>
      <c r="K1793" s="14">
        <v>1078.0</v>
      </c>
      <c r="L1793" s="17">
        <v>0.4918</v>
      </c>
      <c r="M1793" s="150">
        <v>0.0</v>
      </c>
      <c r="N1793" s="136">
        <v>0.0</v>
      </c>
      <c r="O1793" s="18">
        <v>3.0</v>
      </c>
      <c r="P1793" s="92">
        <v>0.0</v>
      </c>
      <c r="Q1793" s="137">
        <v>0.0028</v>
      </c>
      <c r="R1793" s="17">
        <v>0.0</v>
      </c>
      <c r="S1793" s="18">
        <v>0.0</v>
      </c>
      <c r="T1793" s="18">
        <v>0.0</v>
      </c>
      <c r="U1793" s="151">
        <v>0.0</v>
      </c>
      <c r="V1793" s="92" t="s">
        <v>315</v>
      </c>
      <c r="W1793" s="18" t="s">
        <v>58</v>
      </c>
      <c r="X1793" s="42" t="s">
        <v>4502</v>
      </c>
      <c r="Y1793" s="175">
        <v>46178.0</v>
      </c>
      <c r="Z1793" s="18" t="s">
        <v>5356</v>
      </c>
      <c r="AA1793" s="92">
        <v>1.0</v>
      </c>
      <c r="AB1793" s="18"/>
      <c r="AC1793" s="18">
        <v>1.0</v>
      </c>
      <c r="AD1793" s="172">
        <v>4996.0</v>
      </c>
      <c r="AE1793" s="14"/>
      <c r="AF1793" s="14">
        <v>4996.0</v>
      </c>
      <c r="AG1793" s="22"/>
      <c r="AH1793" s="22"/>
      <c r="AI1793" s="22"/>
      <c r="AJ1793" s="22"/>
      <c r="AK1793" s="22"/>
      <c r="AL1793" s="22"/>
      <c r="AM1793" s="22"/>
      <c r="AN1793" s="22"/>
      <c r="AO1793" s="22"/>
      <c r="AP1793" s="22"/>
    </row>
    <row r="1794" hidden="1">
      <c r="A1794" s="148">
        <v>46178.0</v>
      </c>
      <c r="B1794" s="149">
        <v>0.5</v>
      </c>
      <c r="C1794" s="11" t="s">
        <v>58</v>
      </c>
      <c r="D1794" s="102" t="s">
        <v>3083</v>
      </c>
      <c r="E1794" s="10" t="s">
        <v>71</v>
      </c>
      <c r="F1794" s="10" t="s">
        <v>5196</v>
      </c>
      <c r="G1794" s="11" t="s">
        <v>5357</v>
      </c>
      <c r="H1794" s="11" t="s">
        <v>4767</v>
      </c>
      <c r="I1794" s="10" t="s">
        <v>61</v>
      </c>
      <c r="J1794" s="14">
        <v>3090.0</v>
      </c>
      <c r="K1794" s="14">
        <v>1669.0</v>
      </c>
      <c r="L1794" s="17">
        <v>0.5401</v>
      </c>
      <c r="M1794" s="150">
        <v>0.0</v>
      </c>
      <c r="N1794" s="136">
        <v>0.0</v>
      </c>
      <c r="O1794" s="18">
        <v>9.0</v>
      </c>
      <c r="P1794" s="92">
        <v>0.0</v>
      </c>
      <c r="Q1794" s="137">
        <v>0.0054</v>
      </c>
      <c r="R1794" s="17">
        <v>0.0</v>
      </c>
      <c r="S1794" s="18">
        <v>0.0</v>
      </c>
      <c r="T1794" s="18">
        <v>0.0</v>
      </c>
      <c r="U1794" s="151">
        <v>0.0</v>
      </c>
      <c r="V1794" s="92" t="s">
        <v>315</v>
      </c>
      <c r="W1794" s="18" t="s">
        <v>58</v>
      </c>
      <c r="X1794" s="42" t="s">
        <v>4502</v>
      </c>
      <c r="Y1794" s="114">
        <v>46178.0</v>
      </c>
      <c r="Z1794" s="18" t="s">
        <v>5358</v>
      </c>
      <c r="AA1794" s="92">
        <v>0.0</v>
      </c>
      <c r="AB1794" s="18"/>
      <c r="AC1794" s="18">
        <v>0.0</v>
      </c>
      <c r="AD1794" s="172">
        <v>0.0</v>
      </c>
      <c r="AE1794" s="14"/>
      <c r="AF1794" s="14">
        <v>0.0</v>
      </c>
      <c r="AG1794" s="22"/>
      <c r="AH1794" s="22"/>
      <c r="AI1794" s="22"/>
      <c r="AJ1794" s="22"/>
      <c r="AK1794" s="22"/>
      <c r="AL1794" s="22"/>
      <c r="AM1794" s="22"/>
      <c r="AN1794" s="22"/>
      <c r="AO1794" s="22"/>
      <c r="AP1794" s="22"/>
    </row>
    <row r="1795" hidden="1">
      <c r="A1795" s="148">
        <v>46178.0</v>
      </c>
      <c r="B1795" s="149">
        <v>0.5</v>
      </c>
      <c r="C1795" s="11" t="s">
        <v>58</v>
      </c>
      <c r="D1795" s="102" t="s">
        <v>3083</v>
      </c>
      <c r="E1795" s="10" t="s">
        <v>71</v>
      </c>
      <c r="F1795" s="10" t="s">
        <v>5196</v>
      </c>
      <c r="G1795" s="11" t="s">
        <v>5359</v>
      </c>
      <c r="H1795" s="11" t="s">
        <v>4770</v>
      </c>
      <c r="I1795" s="10" t="s">
        <v>61</v>
      </c>
      <c r="J1795" s="14">
        <v>1425.0</v>
      </c>
      <c r="K1795" s="14">
        <v>828.0</v>
      </c>
      <c r="L1795" s="17">
        <v>0.5811</v>
      </c>
      <c r="M1795" s="150">
        <v>0.0</v>
      </c>
      <c r="N1795" s="136">
        <v>0.0</v>
      </c>
      <c r="O1795" s="18">
        <v>1.0</v>
      </c>
      <c r="P1795" s="92">
        <v>0.0</v>
      </c>
      <c r="Q1795" s="137">
        <v>0.0012</v>
      </c>
      <c r="R1795" s="17">
        <v>0.0</v>
      </c>
      <c r="S1795" s="18">
        <v>0.0</v>
      </c>
      <c r="T1795" s="18">
        <v>0.0</v>
      </c>
      <c r="U1795" s="151">
        <v>0.0</v>
      </c>
      <c r="V1795" s="92" t="s">
        <v>315</v>
      </c>
      <c r="W1795" s="18" t="s">
        <v>58</v>
      </c>
      <c r="X1795" s="42" t="s">
        <v>4502</v>
      </c>
      <c r="Y1795" s="114">
        <v>46178.0</v>
      </c>
      <c r="Z1795" s="18" t="s">
        <v>5360</v>
      </c>
      <c r="AA1795" s="92">
        <v>2.0</v>
      </c>
      <c r="AB1795" s="18"/>
      <c r="AC1795" s="18">
        <v>2.0</v>
      </c>
      <c r="AD1795" s="14">
        <v>9396.0</v>
      </c>
      <c r="AE1795" s="14"/>
      <c r="AF1795" s="14">
        <v>9396.0</v>
      </c>
      <c r="AG1795" s="22"/>
      <c r="AH1795" s="22"/>
      <c r="AI1795" s="22"/>
      <c r="AJ1795" s="22"/>
      <c r="AK1795" s="22"/>
      <c r="AL1795" s="22"/>
      <c r="AM1795" s="22"/>
      <c r="AN1795" s="22"/>
      <c r="AO1795" s="22"/>
      <c r="AP1795" s="22"/>
    </row>
    <row r="1796" hidden="1">
      <c r="A1796" s="148">
        <v>46178.0</v>
      </c>
      <c r="B1796" s="149">
        <v>0.5</v>
      </c>
      <c r="C1796" s="11" t="s">
        <v>58</v>
      </c>
      <c r="D1796" s="102" t="s">
        <v>3083</v>
      </c>
      <c r="E1796" s="10" t="s">
        <v>71</v>
      </c>
      <c r="F1796" s="10" t="s">
        <v>5196</v>
      </c>
      <c r="G1796" s="11" t="s">
        <v>5361</v>
      </c>
      <c r="H1796" s="11" t="s">
        <v>4773</v>
      </c>
      <c r="I1796" s="10" t="s">
        <v>61</v>
      </c>
      <c r="J1796" s="14">
        <v>828.0</v>
      </c>
      <c r="K1796" s="14">
        <v>473.0</v>
      </c>
      <c r="L1796" s="17">
        <v>0.5713</v>
      </c>
      <c r="M1796" s="150">
        <v>0.0</v>
      </c>
      <c r="N1796" s="136">
        <v>0.0</v>
      </c>
      <c r="O1796" s="18">
        <v>1.0</v>
      </c>
      <c r="P1796" s="92">
        <v>0.0</v>
      </c>
      <c r="Q1796" s="137">
        <v>0.0021</v>
      </c>
      <c r="R1796" s="17">
        <v>0.0</v>
      </c>
      <c r="S1796" s="18">
        <v>0.0</v>
      </c>
      <c r="T1796" s="18">
        <v>0.0</v>
      </c>
      <c r="U1796" s="151">
        <v>0.0</v>
      </c>
      <c r="V1796" s="92" t="s">
        <v>315</v>
      </c>
      <c r="W1796" s="18" t="s">
        <v>58</v>
      </c>
      <c r="X1796" s="42" t="s">
        <v>4502</v>
      </c>
      <c r="Y1796" s="175">
        <v>46178.0</v>
      </c>
      <c r="Z1796" s="18" t="s">
        <v>5362</v>
      </c>
      <c r="AA1796" s="92">
        <v>2.0</v>
      </c>
      <c r="AB1796" s="18"/>
      <c r="AC1796" s="18">
        <v>2.0</v>
      </c>
      <c r="AD1796" s="172">
        <v>2996.0</v>
      </c>
      <c r="AE1796" s="14"/>
      <c r="AF1796" s="14">
        <v>2996.0</v>
      </c>
      <c r="AG1796" s="22"/>
      <c r="AH1796" s="22"/>
      <c r="AI1796" s="22"/>
      <c r="AJ1796" s="22"/>
      <c r="AK1796" s="22"/>
      <c r="AL1796" s="22"/>
      <c r="AM1796" s="22"/>
      <c r="AN1796" s="22"/>
      <c r="AO1796" s="22"/>
      <c r="AP1796" s="22"/>
    </row>
    <row r="1797" hidden="1">
      <c r="A1797" s="148">
        <v>46178.0</v>
      </c>
      <c r="B1797" s="149">
        <v>0.5</v>
      </c>
      <c r="C1797" s="11" t="s">
        <v>58</v>
      </c>
      <c r="D1797" s="102" t="s">
        <v>3083</v>
      </c>
      <c r="E1797" s="10" t="s">
        <v>71</v>
      </c>
      <c r="F1797" s="10" t="s">
        <v>5196</v>
      </c>
      <c r="G1797" s="11" t="s">
        <v>5363</v>
      </c>
      <c r="H1797" s="11" t="s">
        <v>4806</v>
      </c>
      <c r="I1797" s="10" t="s">
        <v>61</v>
      </c>
      <c r="J1797" s="14">
        <v>2294.0</v>
      </c>
      <c r="K1797" s="14">
        <v>1482.0</v>
      </c>
      <c r="L1797" s="17">
        <v>0.646</v>
      </c>
      <c r="M1797" s="150">
        <v>0.0</v>
      </c>
      <c r="N1797" s="136">
        <v>0.0</v>
      </c>
      <c r="O1797" s="18">
        <v>2.0</v>
      </c>
      <c r="P1797" s="92">
        <v>0.0</v>
      </c>
      <c r="Q1797" s="137">
        <v>0.0013</v>
      </c>
      <c r="R1797" s="17">
        <v>0.0</v>
      </c>
      <c r="S1797" s="18">
        <v>0.0</v>
      </c>
      <c r="T1797" s="18">
        <v>0.0</v>
      </c>
      <c r="U1797" s="151">
        <v>0.0</v>
      </c>
      <c r="V1797" s="92" t="s">
        <v>315</v>
      </c>
      <c r="W1797" s="18" t="s">
        <v>58</v>
      </c>
      <c r="X1797" s="42" t="s">
        <v>4502</v>
      </c>
      <c r="Y1797" s="175">
        <v>46178.0</v>
      </c>
      <c r="Z1797" s="18" t="s">
        <v>5364</v>
      </c>
      <c r="AA1797" s="92">
        <v>2.0</v>
      </c>
      <c r="AB1797" s="18"/>
      <c r="AC1797" s="18">
        <v>2.0</v>
      </c>
      <c r="AD1797" s="172">
        <v>8395.0</v>
      </c>
      <c r="AE1797" s="14"/>
      <c r="AF1797" s="14">
        <v>8395.0</v>
      </c>
      <c r="AG1797" s="22"/>
      <c r="AH1797" s="22"/>
      <c r="AI1797" s="22"/>
      <c r="AJ1797" s="22"/>
      <c r="AK1797" s="22"/>
      <c r="AL1797" s="22"/>
      <c r="AM1797" s="22"/>
      <c r="AN1797" s="22"/>
      <c r="AO1797" s="22"/>
      <c r="AP1797" s="22"/>
    </row>
    <row r="1798" hidden="1">
      <c r="A1798" s="148">
        <v>46178.0</v>
      </c>
      <c r="B1798" s="149">
        <v>0.5</v>
      </c>
      <c r="C1798" s="11" t="s">
        <v>58</v>
      </c>
      <c r="D1798" s="102" t="s">
        <v>3083</v>
      </c>
      <c r="E1798" s="10" t="s">
        <v>71</v>
      </c>
      <c r="F1798" s="10" t="s">
        <v>5196</v>
      </c>
      <c r="G1798" s="11" t="s">
        <v>5365</v>
      </c>
      <c r="H1798" s="11" t="s">
        <v>4809</v>
      </c>
      <c r="I1798" s="10" t="s">
        <v>61</v>
      </c>
      <c r="J1798" s="14">
        <v>1899.0</v>
      </c>
      <c r="K1798" s="14">
        <v>1073.0</v>
      </c>
      <c r="L1798" s="17">
        <v>0.565</v>
      </c>
      <c r="M1798" s="150">
        <v>0.0</v>
      </c>
      <c r="N1798" s="136">
        <v>0.0</v>
      </c>
      <c r="O1798" s="18">
        <v>1.0</v>
      </c>
      <c r="P1798" s="92">
        <v>0.0</v>
      </c>
      <c r="Q1798" s="137">
        <v>9.0E-4</v>
      </c>
      <c r="R1798" s="17">
        <v>0.0</v>
      </c>
      <c r="S1798" s="18">
        <v>0.0</v>
      </c>
      <c r="T1798" s="18">
        <v>0.0</v>
      </c>
      <c r="U1798" s="151">
        <v>0.0</v>
      </c>
      <c r="V1798" s="92" t="s">
        <v>315</v>
      </c>
      <c r="W1798" s="18" t="s">
        <v>58</v>
      </c>
      <c r="X1798" s="42" t="s">
        <v>4502</v>
      </c>
      <c r="Y1798" s="175">
        <v>46178.0</v>
      </c>
      <c r="Z1798" s="18" t="s">
        <v>5366</v>
      </c>
      <c r="AA1798" s="92">
        <v>1.0</v>
      </c>
      <c r="AB1798" s="18"/>
      <c r="AC1798" s="18">
        <v>1.0</v>
      </c>
      <c r="AD1798" s="172">
        <v>17091.0</v>
      </c>
      <c r="AE1798" s="14"/>
      <c r="AF1798" s="14">
        <v>17091.0</v>
      </c>
      <c r="AG1798" s="22"/>
      <c r="AH1798" s="22"/>
      <c r="AI1798" s="22"/>
      <c r="AJ1798" s="22"/>
      <c r="AK1798" s="22"/>
      <c r="AL1798" s="22"/>
      <c r="AM1798" s="22"/>
      <c r="AN1798" s="22"/>
      <c r="AO1798" s="22"/>
      <c r="AP1798" s="22"/>
    </row>
    <row r="1799" hidden="1">
      <c r="A1799" s="148">
        <v>46178.0</v>
      </c>
      <c r="B1799" s="149">
        <v>0.5</v>
      </c>
      <c r="C1799" s="11" t="s">
        <v>58</v>
      </c>
      <c r="D1799" s="102" t="s">
        <v>3083</v>
      </c>
      <c r="E1799" s="10" t="s">
        <v>71</v>
      </c>
      <c r="F1799" s="10" t="s">
        <v>5196</v>
      </c>
      <c r="G1799" s="11" t="s">
        <v>5367</v>
      </c>
      <c r="H1799" s="11" t="s">
        <v>4803</v>
      </c>
      <c r="I1799" s="10" t="s">
        <v>61</v>
      </c>
      <c r="J1799" s="14">
        <v>2463.0</v>
      </c>
      <c r="K1799" s="14">
        <v>1432.0</v>
      </c>
      <c r="L1799" s="17">
        <v>0.5814</v>
      </c>
      <c r="M1799" s="150">
        <v>0.0</v>
      </c>
      <c r="N1799" s="136">
        <v>0.0</v>
      </c>
      <c r="O1799" s="18">
        <v>0.0</v>
      </c>
      <c r="P1799" s="92">
        <v>0.0</v>
      </c>
      <c r="Q1799" s="137">
        <v>0.0</v>
      </c>
      <c r="R1799" s="17">
        <v>0.0</v>
      </c>
      <c r="S1799" s="18">
        <v>0.0</v>
      </c>
      <c r="T1799" s="18">
        <v>0.0</v>
      </c>
      <c r="U1799" s="151">
        <v>0.0</v>
      </c>
      <c r="V1799" s="92" t="s">
        <v>315</v>
      </c>
      <c r="W1799" s="18" t="s">
        <v>58</v>
      </c>
      <c r="X1799" s="42" t="s">
        <v>4502</v>
      </c>
      <c r="Y1799" s="175">
        <v>46178.0</v>
      </c>
      <c r="Z1799" s="18" t="s">
        <v>5368</v>
      </c>
      <c r="AA1799" s="92">
        <v>1.0</v>
      </c>
      <c r="AB1799" s="18"/>
      <c r="AC1799" s="18">
        <v>1.0</v>
      </c>
      <c r="AD1799" s="172">
        <v>4598.0</v>
      </c>
      <c r="AE1799" s="14"/>
      <c r="AF1799" s="14">
        <v>4598.0</v>
      </c>
      <c r="AG1799" s="22"/>
      <c r="AH1799" s="22"/>
      <c r="AI1799" s="22"/>
      <c r="AJ1799" s="22"/>
      <c r="AK1799" s="22"/>
      <c r="AL1799" s="22"/>
      <c r="AM1799" s="22"/>
      <c r="AN1799" s="22"/>
      <c r="AO1799" s="22"/>
      <c r="AP1799" s="22"/>
    </row>
    <row r="1800" hidden="1">
      <c r="A1800" s="148">
        <v>46178.0</v>
      </c>
      <c r="B1800" s="149">
        <v>0.5</v>
      </c>
      <c r="C1800" s="11" t="s">
        <v>58</v>
      </c>
      <c r="D1800" s="102" t="s">
        <v>3083</v>
      </c>
      <c r="E1800" s="10" t="s">
        <v>71</v>
      </c>
      <c r="F1800" s="10" t="s">
        <v>5196</v>
      </c>
      <c r="G1800" s="11" t="s">
        <v>5369</v>
      </c>
      <c r="H1800" s="11" t="s">
        <v>4776</v>
      </c>
      <c r="I1800" s="10" t="s">
        <v>61</v>
      </c>
      <c r="J1800" s="14">
        <v>1670.0</v>
      </c>
      <c r="K1800" s="14">
        <v>1119.0</v>
      </c>
      <c r="L1800" s="17">
        <v>0.6701</v>
      </c>
      <c r="M1800" s="150">
        <v>0.0</v>
      </c>
      <c r="N1800" s="136">
        <v>0.0</v>
      </c>
      <c r="O1800" s="18">
        <v>1.0</v>
      </c>
      <c r="P1800" s="92">
        <v>0.0</v>
      </c>
      <c r="Q1800" s="137">
        <v>9.0E-4</v>
      </c>
      <c r="R1800" s="17">
        <v>0.0</v>
      </c>
      <c r="S1800" s="18">
        <v>0.0</v>
      </c>
      <c r="T1800" s="18">
        <v>0.0</v>
      </c>
      <c r="U1800" s="151">
        <v>0.0</v>
      </c>
      <c r="V1800" s="92" t="s">
        <v>315</v>
      </c>
      <c r="W1800" s="18" t="s">
        <v>58</v>
      </c>
      <c r="X1800" s="42" t="s">
        <v>4502</v>
      </c>
      <c r="Y1800" s="114">
        <v>46178.0</v>
      </c>
      <c r="Z1800" s="18" t="s">
        <v>5370</v>
      </c>
      <c r="AA1800" s="92">
        <v>0.0</v>
      </c>
      <c r="AB1800" s="18"/>
      <c r="AC1800" s="18">
        <v>0.0</v>
      </c>
      <c r="AD1800" s="172">
        <v>0.0</v>
      </c>
      <c r="AE1800" s="14"/>
      <c r="AF1800" s="14">
        <v>0.0</v>
      </c>
      <c r="AG1800" s="22"/>
      <c r="AH1800" s="22"/>
      <c r="AI1800" s="22"/>
      <c r="AJ1800" s="22"/>
      <c r="AK1800" s="22"/>
      <c r="AL1800" s="22"/>
      <c r="AM1800" s="22"/>
      <c r="AN1800" s="22"/>
      <c r="AO1800" s="22"/>
      <c r="AP1800" s="22"/>
    </row>
    <row r="1801" hidden="1">
      <c r="A1801" s="148">
        <v>46178.0</v>
      </c>
      <c r="B1801" s="149">
        <v>0.5</v>
      </c>
      <c r="C1801" s="11" t="s">
        <v>58</v>
      </c>
      <c r="D1801" s="102" t="s">
        <v>3083</v>
      </c>
      <c r="E1801" s="10" t="s">
        <v>71</v>
      </c>
      <c r="F1801" s="10" t="s">
        <v>5196</v>
      </c>
      <c r="G1801" s="11" t="s">
        <v>5371</v>
      </c>
      <c r="H1801" s="11" t="s">
        <v>4779</v>
      </c>
      <c r="I1801" s="10" t="s">
        <v>61</v>
      </c>
      <c r="J1801" s="14">
        <v>561.0</v>
      </c>
      <c r="K1801" s="14">
        <v>312.0</v>
      </c>
      <c r="L1801" s="17">
        <v>0.5561</v>
      </c>
      <c r="M1801" s="150">
        <v>0.0</v>
      </c>
      <c r="N1801" s="136">
        <v>0.0</v>
      </c>
      <c r="O1801" s="18">
        <v>0.0</v>
      </c>
      <c r="P1801" s="92">
        <v>0.0</v>
      </c>
      <c r="Q1801" s="137">
        <v>0.0</v>
      </c>
      <c r="R1801" s="17">
        <v>0.0</v>
      </c>
      <c r="S1801" s="18">
        <v>0.0</v>
      </c>
      <c r="T1801" s="18">
        <v>0.0</v>
      </c>
      <c r="U1801" s="151">
        <v>0.0</v>
      </c>
      <c r="V1801" s="92" t="s">
        <v>315</v>
      </c>
      <c r="W1801" s="18" t="s">
        <v>58</v>
      </c>
      <c r="X1801" s="42" t="s">
        <v>4502</v>
      </c>
      <c r="Y1801" s="114">
        <v>46178.0</v>
      </c>
      <c r="Z1801" s="18" t="s">
        <v>5372</v>
      </c>
      <c r="AA1801" s="92">
        <v>0.0</v>
      </c>
      <c r="AB1801" s="18"/>
      <c r="AC1801" s="18">
        <v>0.0</v>
      </c>
      <c r="AD1801" s="14">
        <v>0.0</v>
      </c>
      <c r="AE1801" s="14"/>
      <c r="AF1801" s="14">
        <v>0.0</v>
      </c>
      <c r="AG1801" s="22"/>
      <c r="AH1801" s="22"/>
      <c r="AI1801" s="22"/>
      <c r="AJ1801" s="22"/>
      <c r="AK1801" s="22"/>
      <c r="AL1801" s="22"/>
      <c r="AM1801" s="22"/>
      <c r="AN1801" s="22"/>
      <c r="AO1801" s="22"/>
      <c r="AP1801" s="22"/>
    </row>
    <row r="1802" hidden="1">
      <c r="A1802" s="148">
        <v>46178.0</v>
      </c>
      <c r="B1802" s="149">
        <v>0.5</v>
      </c>
      <c r="C1802" s="11" t="s">
        <v>58</v>
      </c>
      <c r="D1802" s="102" t="s">
        <v>3083</v>
      </c>
      <c r="E1802" s="10" t="s">
        <v>71</v>
      </c>
      <c r="F1802" s="10" t="s">
        <v>5196</v>
      </c>
      <c r="G1802" s="11" t="s">
        <v>5373</v>
      </c>
      <c r="H1802" s="11" t="s">
        <v>4782</v>
      </c>
      <c r="I1802" s="10" t="s">
        <v>61</v>
      </c>
      <c r="J1802" s="14">
        <v>15796.0</v>
      </c>
      <c r="K1802" s="14">
        <v>8540.0</v>
      </c>
      <c r="L1802" s="17">
        <v>0.5406</v>
      </c>
      <c r="M1802" s="150">
        <v>0.0</v>
      </c>
      <c r="N1802" s="136">
        <v>0.0</v>
      </c>
      <c r="O1802" s="18">
        <v>14.0</v>
      </c>
      <c r="P1802" s="92">
        <v>0.0</v>
      </c>
      <c r="Q1802" s="137">
        <v>0.0016</v>
      </c>
      <c r="R1802" s="17">
        <v>0.0</v>
      </c>
      <c r="S1802" s="18">
        <v>0.0</v>
      </c>
      <c r="T1802" s="18">
        <v>1.0</v>
      </c>
      <c r="U1802" s="151">
        <v>0.0</v>
      </c>
      <c r="V1802" s="92" t="s">
        <v>315</v>
      </c>
      <c r="W1802" s="18" t="s">
        <v>58</v>
      </c>
      <c r="X1802" s="42" t="s">
        <v>4502</v>
      </c>
      <c r="Y1802" s="175">
        <v>46178.0</v>
      </c>
      <c r="Z1802" s="18" t="s">
        <v>5374</v>
      </c>
      <c r="AA1802" s="92">
        <v>11.0</v>
      </c>
      <c r="AB1802" s="18"/>
      <c r="AC1802" s="18">
        <v>11.0</v>
      </c>
      <c r="AD1802" s="172">
        <v>49622.0</v>
      </c>
      <c r="AE1802" s="14"/>
      <c r="AF1802" s="14">
        <v>49622.0</v>
      </c>
      <c r="AG1802" s="22"/>
      <c r="AH1802" s="22"/>
      <c r="AI1802" s="22"/>
      <c r="AJ1802" s="22"/>
      <c r="AK1802" s="22"/>
      <c r="AL1802" s="22"/>
      <c r="AM1802" s="22"/>
      <c r="AN1802" s="22"/>
      <c r="AO1802" s="22"/>
      <c r="AP1802" s="22"/>
    </row>
    <row r="1803" hidden="1">
      <c r="A1803" s="148">
        <v>46178.0</v>
      </c>
      <c r="B1803" s="149">
        <v>0.5</v>
      </c>
      <c r="C1803" s="11" t="s">
        <v>58</v>
      </c>
      <c r="D1803" s="102" t="s">
        <v>3083</v>
      </c>
      <c r="E1803" s="10" t="s">
        <v>71</v>
      </c>
      <c r="F1803" s="10" t="s">
        <v>5196</v>
      </c>
      <c r="G1803" s="11" t="s">
        <v>5375</v>
      </c>
      <c r="H1803" s="11" t="s">
        <v>4785</v>
      </c>
      <c r="I1803" s="10" t="s">
        <v>61</v>
      </c>
      <c r="J1803" s="14">
        <v>6024.0</v>
      </c>
      <c r="K1803" s="14">
        <v>3823.0</v>
      </c>
      <c r="L1803" s="17">
        <v>0.6346</v>
      </c>
      <c r="M1803" s="150">
        <v>0.0</v>
      </c>
      <c r="N1803" s="136">
        <v>0.0</v>
      </c>
      <c r="O1803" s="18">
        <v>6.0</v>
      </c>
      <c r="P1803" s="92">
        <v>0.0</v>
      </c>
      <c r="Q1803" s="137">
        <v>0.0016</v>
      </c>
      <c r="R1803" s="17">
        <v>0.0</v>
      </c>
      <c r="S1803" s="18">
        <v>0.0</v>
      </c>
      <c r="T1803" s="18">
        <v>0.0</v>
      </c>
      <c r="U1803" s="151">
        <v>0.0</v>
      </c>
      <c r="V1803" s="92" t="s">
        <v>315</v>
      </c>
      <c r="W1803" s="18" t="s">
        <v>58</v>
      </c>
      <c r="X1803" s="42" t="s">
        <v>4502</v>
      </c>
      <c r="Y1803" s="114">
        <v>46178.0</v>
      </c>
      <c r="Z1803" s="18" t="s">
        <v>5376</v>
      </c>
      <c r="AA1803" s="92">
        <v>2.0</v>
      </c>
      <c r="AB1803" s="18"/>
      <c r="AC1803" s="18">
        <v>2.0</v>
      </c>
      <c r="AD1803" s="172">
        <v>9796.0</v>
      </c>
      <c r="AE1803" s="14"/>
      <c r="AF1803" s="14">
        <v>9796.0</v>
      </c>
      <c r="AG1803" s="22"/>
      <c r="AH1803" s="22"/>
      <c r="AI1803" s="22"/>
      <c r="AJ1803" s="22"/>
      <c r="AK1803" s="22"/>
      <c r="AL1803" s="22"/>
      <c r="AM1803" s="22"/>
      <c r="AN1803" s="22"/>
      <c r="AO1803" s="22"/>
      <c r="AP1803" s="22"/>
    </row>
    <row r="1804" hidden="1">
      <c r="A1804" s="148">
        <v>46178.0</v>
      </c>
      <c r="B1804" s="149">
        <v>0.5</v>
      </c>
      <c r="C1804" s="11" t="s">
        <v>58</v>
      </c>
      <c r="D1804" s="102" t="s">
        <v>3083</v>
      </c>
      <c r="E1804" s="10" t="s">
        <v>71</v>
      </c>
      <c r="F1804" s="10" t="s">
        <v>5196</v>
      </c>
      <c r="G1804" s="11" t="s">
        <v>5377</v>
      </c>
      <c r="H1804" s="11" t="s">
        <v>4788</v>
      </c>
      <c r="I1804" s="10" t="s">
        <v>61</v>
      </c>
      <c r="J1804" s="14">
        <v>9119.0</v>
      </c>
      <c r="K1804" s="14">
        <v>5847.0</v>
      </c>
      <c r="L1804" s="17">
        <v>0.6412</v>
      </c>
      <c r="M1804" s="150">
        <v>0.0</v>
      </c>
      <c r="N1804" s="136">
        <v>0.0</v>
      </c>
      <c r="O1804" s="18">
        <v>7.0</v>
      </c>
      <c r="P1804" s="92">
        <v>0.0</v>
      </c>
      <c r="Q1804" s="137">
        <v>0.0012</v>
      </c>
      <c r="R1804" s="17">
        <v>0.0</v>
      </c>
      <c r="S1804" s="18">
        <v>0.0</v>
      </c>
      <c r="T1804" s="18">
        <v>0.0</v>
      </c>
      <c r="U1804" s="151">
        <v>0.0</v>
      </c>
      <c r="V1804" s="92" t="s">
        <v>315</v>
      </c>
      <c r="W1804" s="18" t="s">
        <v>58</v>
      </c>
      <c r="X1804" s="42" t="s">
        <v>4502</v>
      </c>
      <c r="Y1804" s="114">
        <v>46178.0</v>
      </c>
      <c r="Z1804" s="18" t="s">
        <v>5378</v>
      </c>
      <c r="AA1804" s="92">
        <v>5.0</v>
      </c>
      <c r="AB1804" s="18"/>
      <c r="AC1804" s="18">
        <v>5.0</v>
      </c>
      <c r="AD1804" s="14">
        <v>15290.0</v>
      </c>
      <c r="AE1804" s="14"/>
      <c r="AF1804" s="14">
        <v>15290.0</v>
      </c>
      <c r="AG1804" s="22"/>
      <c r="AH1804" s="22"/>
      <c r="AI1804" s="22"/>
      <c r="AJ1804" s="22"/>
      <c r="AK1804" s="22"/>
      <c r="AL1804" s="22"/>
      <c r="AM1804" s="22"/>
      <c r="AN1804" s="22"/>
      <c r="AO1804" s="22"/>
      <c r="AP1804" s="22"/>
    </row>
    <row r="1805" hidden="1">
      <c r="A1805" s="148">
        <v>46178.0</v>
      </c>
      <c r="B1805" s="149">
        <v>0.5</v>
      </c>
      <c r="C1805" s="11" t="s">
        <v>58</v>
      </c>
      <c r="D1805" s="102" t="s">
        <v>3083</v>
      </c>
      <c r="E1805" s="10" t="s">
        <v>71</v>
      </c>
      <c r="F1805" s="10" t="s">
        <v>5196</v>
      </c>
      <c r="G1805" s="11" t="s">
        <v>5379</v>
      </c>
      <c r="H1805" s="11" t="s">
        <v>4791</v>
      </c>
      <c r="I1805" s="10" t="s">
        <v>61</v>
      </c>
      <c r="J1805" s="14">
        <v>6823.0</v>
      </c>
      <c r="K1805" s="14">
        <v>4421.0</v>
      </c>
      <c r="L1805" s="17">
        <v>0.648</v>
      </c>
      <c r="M1805" s="150">
        <v>0.0</v>
      </c>
      <c r="N1805" s="136">
        <v>0.0</v>
      </c>
      <c r="O1805" s="18">
        <v>5.0</v>
      </c>
      <c r="P1805" s="92">
        <v>0.0</v>
      </c>
      <c r="Q1805" s="137">
        <v>0.0011</v>
      </c>
      <c r="R1805" s="17">
        <v>0.0</v>
      </c>
      <c r="S1805" s="18">
        <v>0.0</v>
      </c>
      <c r="T1805" s="18">
        <v>0.0</v>
      </c>
      <c r="U1805" s="151">
        <v>0.0</v>
      </c>
      <c r="V1805" s="92" t="s">
        <v>315</v>
      </c>
      <c r="W1805" s="18" t="s">
        <v>58</v>
      </c>
      <c r="X1805" s="42" t="s">
        <v>4502</v>
      </c>
      <c r="Y1805" s="175">
        <v>46178.0</v>
      </c>
      <c r="Z1805" s="18" t="s">
        <v>5380</v>
      </c>
      <c r="AA1805" s="92">
        <v>4.0</v>
      </c>
      <c r="AB1805" s="18"/>
      <c r="AC1805" s="18">
        <v>4.0</v>
      </c>
      <c r="AD1805" s="172">
        <v>17592.0</v>
      </c>
      <c r="AE1805" s="14"/>
      <c r="AF1805" s="14">
        <v>17592.0</v>
      </c>
      <c r="AG1805" s="22"/>
      <c r="AH1805" s="22"/>
      <c r="AI1805" s="22"/>
      <c r="AJ1805" s="22"/>
      <c r="AK1805" s="22"/>
      <c r="AL1805" s="22"/>
      <c r="AM1805" s="22"/>
      <c r="AN1805" s="22"/>
      <c r="AO1805" s="22"/>
      <c r="AP1805" s="22"/>
    </row>
    <row r="1806" hidden="1">
      <c r="A1806" s="148">
        <v>46178.0</v>
      </c>
      <c r="B1806" s="149">
        <v>0.5</v>
      </c>
      <c r="C1806" s="11" t="s">
        <v>58</v>
      </c>
      <c r="D1806" s="102" t="s">
        <v>3083</v>
      </c>
      <c r="E1806" s="10" t="s">
        <v>71</v>
      </c>
      <c r="F1806" s="10" t="s">
        <v>5196</v>
      </c>
      <c r="G1806" s="11" t="s">
        <v>5381</v>
      </c>
      <c r="H1806" s="11" t="s">
        <v>4794</v>
      </c>
      <c r="I1806" s="10" t="s">
        <v>61</v>
      </c>
      <c r="J1806" s="14">
        <v>5932.0</v>
      </c>
      <c r="K1806" s="14">
        <v>3094.0</v>
      </c>
      <c r="L1806" s="17">
        <v>0.5216</v>
      </c>
      <c r="M1806" s="150">
        <v>0.0</v>
      </c>
      <c r="N1806" s="136">
        <v>0.0</v>
      </c>
      <c r="O1806" s="18">
        <v>9.0</v>
      </c>
      <c r="P1806" s="92">
        <v>0.0</v>
      </c>
      <c r="Q1806" s="137">
        <v>0.0029</v>
      </c>
      <c r="R1806" s="17">
        <v>0.0</v>
      </c>
      <c r="S1806" s="18">
        <v>1.0</v>
      </c>
      <c r="T1806" s="18">
        <v>1.0</v>
      </c>
      <c r="U1806" s="151">
        <v>3798.0</v>
      </c>
      <c r="V1806" s="92" t="s">
        <v>315</v>
      </c>
      <c r="W1806" s="18" t="s">
        <v>58</v>
      </c>
      <c r="X1806" s="42" t="s">
        <v>4502</v>
      </c>
      <c r="Y1806" s="175">
        <v>46178.0</v>
      </c>
      <c r="Z1806" s="18" t="s">
        <v>5382</v>
      </c>
      <c r="AA1806" s="92">
        <v>0.0</v>
      </c>
      <c r="AB1806" s="18"/>
      <c r="AC1806" s="18">
        <v>0.0</v>
      </c>
      <c r="AD1806" s="172">
        <v>0.0</v>
      </c>
      <c r="AE1806" s="14"/>
      <c r="AF1806" s="14">
        <v>0.0</v>
      </c>
      <c r="AG1806" s="22"/>
      <c r="AH1806" s="22"/>
      <c r="AI1806" s="22"/>
      <c r="AJ1806" s="22"/>
      <c r="AK1806" s="22"/>
      <c r="AL1806" s="22"/>
      <c r="AM1806" s="22"/>
      <c r="AN1806" s="22"/>
      <c r="AO1806" s="22"/>
      <c r="AP1806" s="22"/>
    </row>
    <row r="1807" hidden="1">
      <c r="A1807" s="148">
        <v>46178.0</v>
      </c>
      <c r="B1807" s="149">
        <v>0.5</v>
      </c>
      <c r="C1807" s="11" t="s">
        <v>58</v>
      </c>
      <c r="D1807" s="102" t="s">
        <v>3083</v>
      </c>
      <c r="E1807" s="10" t="s">
        <v>71</v>
      </c>
      <c r="F1807" s="10" t="s">
        <v>5196</v>
      </c>
      <c r="G1807" s="11" t="s">
        <v>5383</v>
      </c>
      <c r="H1807" s="11" t="s">
        <v>4797</v>
      </c>
      <c r="I1807" s="10" t="s">
        <v>61</v>
      </c>
      <c r="J1807" s="14">
        <v>6573.0</v>
      </c>
      <c r="K1807" s="14">
        <v>3575.0</v>
      </c>
      <c r="L1807" s="17">
        <v>0.5439</v>
      </c>
      <c r="M1807" s="150">
        <v>0.0</v>
      </c>
      <c r="N1807" s="136">
        <v>0.0</v>
      </c>
      <c r="O1807" s="18">
        <v>7.0</v>
      </c>
      <c r="P1807" s="92">
        <v>0.0</v>
      </c>
      <c r="Q1807" s="137">
        <v>0.002</v>
      </c>
      <c r="R1807" s="17">
        <v>0.0</v>
      </c>
      <c r="S1807" s="18">
        <v>0.0</v>
      </c>
      <c r="T1807" s="18">
        <v>0.0</v>
      </c>
      <c r="U1807" s="151">
        <v>0.0</v>
      </c>
      <c r="V1807" s="92" t="s">
        <v>315</v>
      </c>
      <c r="W1807" s="18" t="s">
        <v>58</v>
      </c>
      <c r="X1807" s="42" t="s">
        <v>4502</v>
      </c>
      <c r="Y1807" s="175">
        <v>46178.0</v>
      </c>
      <c r="Z1807" s="18" t="s">
        <v>5384</v>
      </c>
      <c r="AA1807" s="92">
        <v>7.0</v>
      </c>
      <c r="AB1807" s="18"/>
      <c r="AC1807" s="18">
        <v>7.0</v>
      </c>
      <c r="AD1807" s="172">
        <v>31984.0</v>
      </c>
      <c r="AE1807" s="14"/>
      <c r="AF1807" s="14">
        <v>31984.0</v>
      </c>
      <c r="AG1807" s="22"/>
      <c r="AH1807" s="22"/>
      <c r="AI1807" s="22"/>
      <c r="AJ1807" s="22"/>
      <c r="AK1807" s="22"/>
      <c r="AL1807" s="22"/>
      <c r="AM1807" s="22"/>
      <c r="AN1807" s="22"/>
      <c r="AO1807" s="22"/>
      <c r="AP1807" s="22"/>
    </row>
    <row r="1808" hidden="1">
      <c r="A1808" s="148">
        <v>46178.0</v>
      </c>
      <c r="B1808" s="149">
        <v>0.5</v>
      </c>
      <c r="C1808" s="11" t="s">
        <v>58</v>
      </c>
      <c r="D1808" s="102" t="s">
        <v>3083</v>
      </c>
      <c r="E1808" s="10" t="s">
        <v>71</v>
      </c>
      <c r="F1808" s="10" t="s">
        <v>5196</v>
      </c>
      <c r="G1808" s="11" t="s">
        <v>5385</v>
      </c>
      <c r="H1808" s="11" t="s">
        <v>4800</v>
      </c>
      <c r="I1808" s="10" t="s">
        <v>61</v>
      </c>
      <c r="J1808" s="14">
        <v>3507.0</v>
      </c>
      <c r="K1808" s="14">
        <v>1986.0</v>
      </c>
      <c r="L1808" s="17">
        <v>0.5663</v>
      </c>
      <c r="M1808" s="150">
        <v>0.0</v>
      </c>
      <c r="N1808" s="136">
        <v>0.0</v>
      </c>
      <c r="O1808" s="18">
        <v>3.0</v>
      </c>
      <c r="P1808" s="92">
        <v>0.0</v>
      </c>
      <c r="Q1808" s="137">
        <v>0.0015</v>
      </c>
      <c r="R1808" s="17">
        <v>0.0</v>
      </c>
      <c r="S1808" s="18">
        <v>0.0</v>
      </c>
      <c r="T1808" s="18">
        <v>0.0</v>
      </c>
      <c r="U1808" s="151">
        <v>0.0</v>
      </c>
      <c r="V1808" s="92" t="s">
        <v>315</v>
      </c>
      <c r="W1808" s="18" t="s">
        <v>58</v>
      </c>
      <c r="X1808" s="42" t="s">
        <v>4502</v>
      </c>
      <c r="Y1808" s="175">
        <v>46178.0</v>
      </c>
      <c r="Z1808" s="18" t="s">
        <v>5386</v>
      </c>
      <c r="AA1808" s="92">
        <v>1.0</v>
      </c>
      <c r="AB1808" s="18"/>
      <c r="AC1808" s="18">
        <v>1.0</v>
      </c>
      <c r="AD1808" s="172">
        <v>5198.0</v>
      </c>
      <c r="AE1808" s="14"/>
      <c r="AF1808" s="14">
        <v>5198.0</v>
      </c>
      <c r="AG1808" s="22"/>
      <c r="AH1808" s="22"/>
      <c r="AI1808" s="22"/>
      <c r="AJ1808" s="22"/>
      <c r="AK1808" s="22"/>
      <c r="AL1808" s="22"/>
      <c r="AM1808" s="22"/>
      <c r="AN1808" s="22"/>
      <c r="AO1808" s="22"/>
      <c r="AP1808" s="22"/>
    </row>
    <row r="1809" hidden="1">
      <c r="A1809" s="148">
        <v>46179.0</v>
      </c>
      <c r="B1809" s="149">
        <v>0.5416666666666666</v>
      </c>
      <c r="C1809" s="11" t="s">
        <v>58</v>
      </c>
      <c r="D1809" s="102" t="s">
        <v>3083</v>
      </c>
      <c r="E1809" s="10" t="s">
        <v>71</v>
      </c>
      <c r="F1809" s="10" t="s">
        <v>5196</v>
      </c>
      <c r="G1809" s="11" t="s">
        <v>5387</v>
      </c>
      <c r="H1809" s="11" t="s">
        <v>4907</v>
      </c>
      <c r="I1809" s="10" t="s">
        <v>61</v>
      </c>
      <c r="J1809" s="14">
        <v>47013.0</v>
      </c>
      <c r="K1809" s="14">
        <v>26784.0</v>
      </c>
      <c r="L1809" s="17">
        <v>0.5697</v>
      </c>
      <c r="M1809" s="150">
        <v>0.0</v>
      </c>
      <c r="N1809" s="136">
        <v>0.0</v>
      </c>
      <c r="O1809" s="18">
        <v>20.0</v>
      </c>
      <c r="P1809" s="92">
        <v>0.0</v>
      </c>
      <c r="Q1809" s="137">
        <v>7.0E-4</v>
      </c>
      <c r="R1809" s="17">
        <v>0.0</v>
      </c>
      <c r="S1809" s="18">
        <v>0.0</v>
      </c>
      <c r="T1809" s="18">
        <v>4.0</v>
      </c>
      <c r="U1809" s="151">
        <v>0.0</v>
      </c>
      <c r="V1809" s="92" t="s">
        <v>315</v>
      </c>
      <c r="W1809" s="18" t="s">
        <v>58</v>
      </c>
      <c r="X1809" s="42" t="s">
        <v>4502</v>
      </c>
      <c r="Y1809" s="175">
        <v>46179.0</v>
      </c>
      <c r="Z1809" s="18" t="s">
        <v>5388</v>
      </c>
      <c r="AA1809" s="92">
        <v>37.0</v>
      </c>
      <c r="AB1809" s="18"/>
      <c r="AC1809" s="18">
        <v>37.0</v>
      </c>
      <c r="AD1809" s="172">
        <v>207901.0</v>
      </c>
      <c r="AE1809" s="14"/>
      <c r="AF1809" s="14">
        <v>207901.0</v>
      </c>
      <c r="AG1809" s="22"/>
      <c r="AH1809" s="22"/>
      <c r="AI1809" s="22"/>
      <c r="AJ1809" s="22"/>
      <c r="AK1809" s="22"/>
      <c r="AL1809" s="22"/>
      <c r="AM1809" s="22"/>
      <c r="AN1809" s="22"/>
      <c r="AO1809" s="22"/>
      <c r="AP1809" s="22"/>
    </row>
    <row r="1810" hidden="1">
      <c r="A1810" s="148">
        <v>46179.0</v>
      </c>
      <c r="B1810" s="149">
        <v>0.5416666666666666</v>
      </c>
      <c r="C1810" s="11" t="s">
        <v>58</v>
      </c>
      <c r="D1810" s="102" t="s">
        <v>3083</v>
      </c>
      <c r="E1810" s="10" t="s">
        <v>71</v>
      </c>
      <c r="F1810" s="10" t="s">
        <v>5196</v>
      </c>
      <c r="G1810" s="11" t="s">
        <v>5389</v>
      </c>
      <c r="H1810" s="11" t="s">
        <v>4912</v>
      </c>
      <c r="I1810" s="10" t="s">
        <v>61</v>
      </c>
      <c r="J1810" s="14">
        <v>27688.0</v>
      </c>
      <c r="K1810" s="14">
        <v>14764.0</v>
      </c>
      <c r="L1810" s="17">
        <v>0.5332</v>
      </c>
      <c r="M1810" s="150">
        <v>0.0</v>
      </c>
      <c r="N1810" s="136">
        <v>0.0</v>
      </c>
      <c r="O1810" s="18">
        <v>34.0</v>
      </c>
      <c r="P1810" s="92">
        <v>0.0</v>
      </c>
      <c r="Q1810" s="137">
        <v>0.0023</v>
      </c>
      <c r="R1810" s="17">
        <v>0.0</v>
      </c>
      <c r="S1810" s="18">
        <v>1.0</v>
      </c>
      <c r="T1810" s="18">
        <v>1.0</v>
      </c>
      <c r="U1810" s="151">
        <v>2598.0</v>
      </c>
      <c r="V1810" s="92" t="s">
        <v>315</v>
      </c>
      <c r="W1810" s="18" t="s">
        <v>58</v>
      </c>
      <c r="X1810" s="42" t="s">
        <v>4502</v>
      </c>
      <c r="Y1810" s="114">
        <v>46179.0</v>
      </c>
      <c r="Z1810" s="18" t="s">
        <v>5390</v>
      </c>
      <c r="AA1810" s="92">
        <v>20.0</v>
      </c>
      <c r="AB1810" s="18"/>
      <c r="AC1810" s="18">
        <v>20.0</v>
      </c>
      <c r="AD1810" s="172">
        <v>106601.0</v>
      </c>
      <c r="AE1810" s="14"/>
      <c r="AF1810" s="14">
        <v>106601.0</v>
      </c>
      <c r="AG1810" s="22"/>
      <c r="AH1810" s="22"/>
      <c r="AI1810" s="22"/>
      <c r="AJ1810" s="22"/>
      <c r="AK1810" s="22"/>
      <c r="AL1810" s="22"/>
      <c r="AM1810" s="22"/>
      <c r="AN1810" s="22"/>
      <c r="AO1810" s="22"/>
      <c r="AP1810" s="22"/>
    </row>
    <row r="1811" hidden="1">
      <c r="A1811" s="148">
        <v>46179.0</v>
      </c>
      <c r="B1811" s="149">
        <v>0.5416666666666666</v>
      </c>
      <c r="C1811" s="11" t="s">
        <v>58</v>
      </c>
      <c r="D1811" s="102" t="s">
        <v>3083</v>
      </c>
      <c r="E1811" s="10" t="s">
        <v>71</v>
      </c>
      <c r="F1811" s="10" t="s">
        <v>5196</v>
      </c>
      <c r="G1811" s="11" t="s">
        <v>5391</v>
      </c>
      <c r="H1811" s="11" t="s">
        <v>4916</v>
      </c>
      <c r="I1811" s="10" t="s">
        <v>61</v>
      </c>
      <c r="J1811" s="14">
        <v>13154.0</v>
      </c>
      <c r="K1811" s="14">
        <v>7235.0</v>
      </c>
      <c r="L1811" s="17">
        <v>0.55</v>
      </c>
      <c r="M1811" s="150">
        <v>0.0</v>
      </c>
      <c r="N1811" s="136">
        <v>0.0</v>
      </c>
      <c r="O1811" s="18">
        <v>8.0</v>
      </c>
      <c r="P1811" s="92">
        <v>0.0</v>
      </c>
      <c r="Q1811" s="137">
        <v>0.0011</v>
      </c>
      <c r="R1811" s="17">
        <v>0.0</v>
      </c>
      <c r="S1811" s="18">
        <v>2.0</v>
      </c>
      <c r="T1811" s="18">
        <v>2.0</v>
      </c>
      <c r="U1811" s="151">
        <v>17870.0</v>
      </c>
      <c r="V1811" s="92" t="s">
        <v>315</v>
      </c>
      <c r="W1811" s="18" t="s">
        <v>58</v>
      </c>
      <c r="X1811" s="42" t="s">
        <v>4502</v>
      </c>
      <c r="Y1811" s="114">
        <v>46179.0</v>
      </c>
      <c r="Z1811" s="18" t="s">
        <v>5392</v>
      </c>
      <c r="AA1811" s="92">
        <v>9.0</v>
      </c>
      <c r="AB1811" s="18"/>
      <c r="AC1811" s="18">
        <v>9.0</v>
      </c>
      <c r="AD1811" s="14">
        <v>33383.0</v>
      </c>
      <c r="AE1811" s="14"/>
      <c r="AF1811" s="14">
        <v>33383.0</v>
      </c>
      <c r="AG1811" s="22"/>
      <c r="AH1811" s="22"/>
      <c r="AI1811" s="22"/>
      <c r="AJ1811" s="22"/>
      <c r="AK1811" s="22"/>
      <c r="AL1811" s="22"/>
      <c r="AM1811" s="22"/>
      <c r="AN1811" s="22"/>
      <c r="AO1811" s="22"/>
      <c r="AP1811" s="22"/>
    </row>
    <row r="1812" hidden="1">
      <c r="A1812" s="148">
        <v>46179.0</v>
      </c>
      <c r="B1812" s="149">
        <v>0.5416666666666666</v>
      </c>
      <c r="C1812" s="11" t="s">
        <v>58</v>
      </c>
      <c r="D1812" s="102" t="s">
        <v>3083</v>
      </c>
      <c r="E1812" s="10" t="s">
        <v>71</v>
      </c>
      <c r="F1812" s="10" t="s">
        <v>5196</v>
      </c>
      <c r="G1812" s="11" t="s">
        <v>5393</v>
      </c>
      <c r="H1812" s="11" t="s">
        <v>4920</v>
      </c>
      <c r="I1812" s="10" t="s">
        <v>61</v>
      </c>
      <c r="J1812" s="14">
        <v>7259.0</v>
      </c>
      <c r="K1812" s="14">
        <v>4042.0</v>
      </c>
      <c r="L1812" s="17">
        <v>0.5568</v>
      </c>
      <c r="M1812" s="150">
        <v>0.0</v>
      </c>
      <c r="N1812" s="136">
        <v>0.0</v>
      </c>
      <c r="O1812" s="18">
        <v>7.0</v>
      </c>
      <c r="P1812" s="92">
        <v>0.0</v>
      </c>
      <c r="Q1812" s="137">
        <v>0.0017</v>
      </c>
      <c r="R1812" s="17">
        <v>0.0</v>
      </c>
      <c r="S1812" s="18">
        <v>0.0</v>
      </c>
      <c r="T1812" s="18">
        <v>0.0</v>
      </c>
      <c r="U1812" s="151">
        <v>0.0</v>
      </c>
      <c r="V1812" s="92" t="s">
        <v>315</v>
      </c>
      <c r="W1812" s="18" t="s">
        <v>58</v>
      </c>
      <c r="X1812" s="42" t="s">
        <v>4502</v>
      </c>
      <c r="Y1812" s="175">
        <v>46179.0</v>
      </c>
      <c r="Z1812" s="18" t="s">
        <v>5394</v>
      </c>
      <c r="AA1812" s="92">
        <v>6.0</v>
      </c>
      <c r="AB1812" s="18"/>
      <c r="AC1812" s="18">
        <v>6.0</v>
      </c>
      <c r="AD1812" s="172">
        <v>28383.0</v>
      </c>
      <c r="AE1812" s="14"/>
      <c r="AF1812" s="14">
        <v>28383.0</v>
      </c>
      <c r="AG1812" s="22"/>
      <c r="AH1812" s="22"/>
      <c r="AI1812" s="22"/>
      <c r="AJ1812" s="22"/>
      <c r="AK1812" s="22"/>
      <c r="AL1812" s="22"/>
      <c r="AM1812" s="22"/>
      <c r="AN1812" s="22"/>
      <c r="AO1812" s="22"/>
      <c r="AP1812" s="22"/>
    </row>
    <row r="1813" hidden="1">
      <c r="A1813" s="148">
        <v>46179.0</v>
      </c>
      <c r="B1813" s="149">
        <v>0.5416666666666666</v>
      </c>
      <c r="C1813" s="11" t="s">
        <v>58</v>
      </c>
      <c r="D1813" s="102" t="s">
        <v>3083</v>
      </c>
      <c r="E1813" s="10" t="s">
        <v>71</v>
      </c>
      <c r="F1813" s="10" t="s">
        <v>5196</v>
      </c>
      <c r="G1813" s="11" t="s">
        <v>5395</v>
      </c>
      <c r="H1813" s="11" t="s">
        <v>5276</v>
      </c>
      <c r="I1813" s="10" t="s">
        <v>61</v>
      </c>
      <c r="J1813" s="14">
        <v>29882.0</v>
      </c>
      <c r="K1813" s="14">
        <v>16189.0</v>
      </c>
      <c r="L1813" s="17">
        <v>0.5418</v>
      </c>
      <c r="M1813" s="150">
        <v>0.0</v>
      </c>
      <c r="N1813" s="136">
        <v>0.0</v>
      </c>
      <c r="O1813" s="18">
        <v>30.0</v>
      </c>
      <c r="P1813" s="92">
        <v>0.0</v>
      </c>
      <c r="Q1813" s="137">
        <v>0.0019</v>
      </c>
      <c r="R1813" s="17">
        <v>0.0</v>
      </c>
      <c r="S1813" s="18">
        <v>0.0</v>
      </c>
      <c r="T1813" s="18">
        <v>1.0</v>
      </c>
      <c r="U1813" s="151">
        <v>0.0</v>
      </c>
      <c r="V1813" s="92" t="s">
        <v>315</v>
      </c>
      <c r="W1813" s="18" t="s">
        <v>58</v>
      </c>
      <c r="X1813" s="42" t="s">
        <v>4502</v>
      </c>
      <c r="Y1813" s="176">
        <v>46179.0</v>
      </c>
      <c r="Z1813" s="18" t="s">
        <v>5396</v>
      </c>
      <c r="AA1813" s="92">
        <v>26.0</v>
      </c>
      <c r="AB1813" s="18"/>
      <c r="AC1813" s="18">
        <v>26.0</v>
      </c>
      <c r="AD1813" s="172">
        <v>120141.0</v>
      </c>
      <c r="AE1813" s="14"/>
      <c r="AF1813" s="14">
        <v>120141.0</v>
      </c>
      <c r="AG1813" s="22"/>
      <c r="AH1813" s="22"/>
      <c r="AI1813" s="22"/>
      <c r="AJ1813" s="22"/>
      <c r="AK1813" s="22"/>
      <c r="AL1813" s="22"/>
      <c r="AM1813" s="22"/>
      <c r="AN1813" s="22"/>
      <c r="AO1813" s="22"/>
      <c r="AP1813" s="22"/>
    </row>
    <row r="1814" hidden="1">
      <c r="A1814" s="148">
        <v>46179.0</v>
      </c>
      <c r="B1814" s="149">
        <v>0.5416666666666666</v>
      </c>
      <c r="C1814" s="11" t="s">
        <v>58</v>
      </c>
      <c r="D1814" s="102" t="s">
        <v>3083</v>
      </c>
      <c r="E1814" s="10" t="s">
        <v>71</v>
      </c>
      <c r="F1814" s="10" t="s">
        <v>5196</v>
      </c>
      <c r="G1814" s="11" t="s">
        <v>5397</v>
      </c>
      <c r="H1814" s="11" t="s">
        <v>5280</v>
      </c>
      <c r="I1814" s="10" t="s">
        <v>61</v>
      </c>
      <c r="J1814" s="14">
        <v>12110.0</v>
      </c>
      <c r="K1814" s="14">
        <v>7696.0</v>
      </c>
      <c r="L1814" s="17">
        <v>0.6355</v>
      </c>
      <c r="M1814" s="150">
        <v>0.0</v>
      </c>
      <c r="N1814" s="136">
        <v>0.0</v>
      </c>
      <c r="O1814" s="18">
        <v>6.0</v>
      </c>
      <c r="P1814" s="92">
        <v>0.0</v>
      </c>
      <c r="Q1814" s="137">
        <v>8.0E-4</v>
      </c>
      <c r="R1814" s="17">
        <v>0.0</v>
      </c>
      <c r="S1814" s="18">
        <v>0.0</v>
      </c>
      <c r="T1814" s="18">
        <v>1.0</v>
      </c>
      <c r="U1814" s="151">
        <v>0.0</v>
      </c>
      <c r="V1814" s="92" t="s">
        <v>315</v>
      </c>
      <c r="W1814" s="18" t="s">
        <v>58</v>
      </c>
      <c r="X1814" s="42" t="s">
        <v>4502</v>
      </c>
      <c r="Y1814" s="176">
        <v>46179.0</v>
      </c>
      <c r="Z1814" s="18" t="s">
        <v>5398</v>
      </c>
      <c r="AA1814" s="92">
        <v>12.0</v>
      </c>
      <c r="AB1814" s="18"/>
      <c r="AC1814" s="18">
        <v>12.0</v>
      </c>
      <c r="AD1814" s="14">
        <v>60370.0</v>
      </c>
      <c r="AE1814" s="14"/>
      <c r="AF1814" s="14">
        <v>60370.0</v>
      </c>
      <c r="AG1814" s="22"/>
      <c r="AH1814" s="22"/>
      <c r="AI1814" s="22"/>
      <c r="AJ1814" s="22"/>
      <c r="AK1814" s="22"/>
      <c r="AL1814" s="22"/>
      <c r="AM1814" s="22"/>
      <c r="AN1814" s="22"/>
      <c r="AO1814" s="22"/>
      <c r="AP1814" s="22"/>
    </row>
    <row r="1815" hidden="1">
      <c r="A1815" s="148">
        <v>46179.0</v>
      </c>
      <c r="B1815" s="149">
        <v>0.5416666666666666</v>
      </c>
      <c r="C1815" s="11" t="s">
        <v>58</v>
      </c>
      <c r="D1815" s="102" t="s">
        <v>3083</v>
      </c>
      <c r="E1815" s="10" t="s">
        <v>71</v>
      </c>
      <c r="F1815" s="10" t="s">
        <v>5196</v>
      </c>
      <c r="G1815" s="11" t="s">
        <v>5399</v>
      </c>
      <c r="H1815" s="11" t="s">
        <v>4928</v>
      </c>
      <c r="I1815" s="10" t="s">
        <v>61</v>
      </c>
      <c r="J1815" s="14">
        <v>16631.0</v>
      </c>
      <c r="K1815" s="14">
        <v>10690.0</v>
      </c>
      <c r="L1815" s="17">
        <v>0.6428</v>
      </c>
      <c r="M1815" s="150">
        <v>0.0</v>
      </c>
      <c r="N1815" s="136">
        <v>0.0</v>
      </c>
      <c r="O1815" s="18">
        <v>9.0</v>
      </c>
      <c r="P1815" s="92">
        <v>0.0</v>
      </c>
      <c r="Q1815" s="137">
        <v>8.0E-4</v>
      </c>
      <c r="R1815" s="17">
        <v>0.0</v>
      </c>
      <c r="S1815" s="18">
        <v>0.0</v>
      </c>
      <c r="T1815" s="18">
        <v>1.0</v>
      </c>
      <c r="U1815" s="151">
        <v>0.0</v>
      </c>
      <c r="V1815" s="92" t="s">
        <v>315</v>
      </c>
      <c r="W1815" s="18" t="s">
        <v>58</v>
      </c>
      <c r="X1815" s="42" t="s">
        <v>4502</v>
      </c>
      <c r="Y1815" s="175">
        <v>46179.0</v>
      </c>
      <c r="Z1815" s="18" t="s">
        <v>5400</v>
      </c>
      <c r="AA1815" s="92">
        <v>12.0</v>
      </c>
      <c r="AB1815" s="18"/>
      <c r="AC1815" s="18">
        <v>12.0</v>
      </c>
      <c r="AD1815" s="172">
        <v>45773.0</v>
      </c>
      <c r="AE1815" s="14"/>
      <c r="AF1815" s="14">
        <v>45773.0</v>
      </c>
      <c r="AG1815" s="22"/>
      <c r="AH1815" s="22"/>
      <c r="AI1815" s="22"/>
      <c r="AJ1815" s="22"/>
      <c r="AK1815" s="22"/>
      <c r="AL1815" s="22"/>
      <c r="AM1815" s="22"/>
      <c r="AN1815" s="22"/>
      <c r="AO1815" s="22"/>
      <c r="AP1815" s="22"/>
    </row>
    <row r="1816" hidden="1">
      <c r="A1816" s="148">
        <v>46179.0</v>
      </c>
      <c r="B1816" s="149">
        <v>0.5416666666666666</v>
      </c>
      <c r="C1816" s="11" t="s">
        <v>58</v>
      </c>
      <c r="D1816" s="102" t="s">
        <v>3083</v>
      </c>
      <c r="E1816" s="10" t="s">
        <v>71</v>
      </c>
      <c r="F1816" s="10" t="s">
        <v>5196</v>
      </c>
      <c r="G1816" s="11" t="s">
        <v>5401</v>
      </c>
      <c r="H1816" s="11" t="s">
        <v>4936</v>
      </c>
      <c r="I1816" s="10" t="s">
        <v>61</v>
      </c>
      <c r="J1816" s="14">
        <v>13023.0</v>
      </c>
      <c r="K1816" s="14">
        <v>8367.0</v>
      </c>
      <c r="L1816" s="17">
        <v>0.6425</v>
      </c>
      <c r="M1816" s="150">
        <v>0.0</v>
      </c>
      <c r="N1816" s="136">
        <v>0.0</v>
      </c>
      <c r="O1816" s="18">
        <v>9.0</v>
      </c>
      <c r="P1816" s="92">
        <v>0.0</v>
      </c>
      <c r="Q1816" s="137">
        <v>0.0011</v>
      </c>
      <c r="R1816" s="17">
        <v>0.0</v>
      </c>
      <c r="S1816" s="18">
        <v>0.0</v>
      </c>
      <c r="T1816" s="18">
        <v>3.0</v>
      </c>
      <c r="U1816" s="151">
        <v>0.0</v>
      </c>
      <c r="V1816" s="92" t="s">
        <v>315</v>
      </c>
      <c r="W1816" s="18" t="s">
        <v>58</v>
      </c>
      <c r="X1816" s="42" t="s">
        <v>4502</v>
      </c>
      <c r="Y1816" s="175">
        <v>46179.0</v>
      </c>
      <c r="Z1816" s="18" t="s">
        <v>5402</v>
      </c>
      <c r="AA1816" s="92">
        <v>13.0</v>
      </c>
      <c r="AB1816" s="18"/>
      <c r="AC1816" s="18">
        <v>13.0</v>
      </c>
      <c r="AD1816" s="172">
        <v>55071.0</v>
      </c>
      <c r="AE1816" s="14"/>
      <c r="AF1816" s="14">
        <v>55071.0</v>
      </c>
      <c r="AG1816" s="22"/>
      <c r="AH1816" s="22"/>
      <c r="AI1816" s="22"/>
      <c r="AJ1816" s="22"/>
      <c r="AK1816" s="22"/>
      <c r="AL1816" s="22"/>
      <c r="AM1816" s="22"/>
      <c r="AN1816" s="22"/>
      <c r="AO1816" s="22"/>
      <c r="AP1816" s="22"/>
    </row>
    <row r="1817" hidden="1">
      <c r="A1817" s="148">
        <v>46179.0</v>
      </c>
      <c r="B1817" s="149">
        <v>0.5416666666666666</v>
      </c>
      <c r="C1817" s="11" t="s">
        <v>58</v>
      </c>
      <c r="D1817" s="102" t="s">
        <v>3083</v>
      </c>
      <c r="E1817" s="10" t="s">
        <v>71</v>
      </c>
      <c r="F1817" s="10" t="s">
        <v>5196</v>
      </c>
      <c r="G1817" s="11" t="s">
        <v>5403</v>
      </c>
      <c r="H1817" s="11" t="s">
        <v>4940</v>
      </c>
      <c r="I1817" s="10" t="s">
        <v>61</v>
      </c>
      <c r="J1817" s="14">
        <v>12418.0</v>
      </c>
      <c r="K1817" s="14">
        <v>6256.0</v>
      </c>
      <c r="L1817" s="17">
        <v>0.5038</v>
      </c>
      <c r="M1817" s="150">
        <v>0.0</v>
      </c>
      <c r="N1817" s="136">
        <v>0.0</v>
      </c>
      <c r="O1817" s="18">
        <v>5.0</v>
      </c>
      <c r="P1817" s="92">
        <v>0.0</v>
      </c>
      <c r="Q1817" s="137">
        <v>8.0E-4</v>
      </c>
      <c r="R1817" s="17">
        <v>0.0</v>
      </c>
      <c r="S1817" s="18">
        <v>0.0</v>
      </c>
      <c r="T1817" s="18">
        <v>0.0</v>
      </c>
      <c r="U1817" s="151">
        <v>0.0</v>
      </c>
      <c r="V1817" s="92" t="s">
        <v>315</v>
      </c>
      <c r="W1817" s="18" t="s">
        <v>58</v>
      </c>
      <c r="X1817" s="42" t="s">
        <v>4502</v>
      </c>
      <c r="Y1817" s="175">
        <v>46179.0</v>
      </c>
      <c r="Z1817" s="18" t="s">
        <v>5404</v>
      </c>
      <c r="AA1817" s="92">
        <v>13.0</v>
      </c>
      <c r="AB1817" s="18"/>
      <c r="AC1817" s="18">
        <v>13.0</v>
      </c>
      <c r="AD1817" s="172">
        <v>64061.0</v>
      </c>
      <c r="AE1817" s="14"/>
      <c r="AF1817" s="14">
        <v>64061.0</v>
      </c>
      <c r="AG1817" s="22"/>
      <c r="AH1817" s="22"/>
      <c r="AI1817" s="22"/>
      <c r="AJ1817" s="22"/>
      <c r="AK1817" s="22"/>
      <c r="AL1817" s="22"/>
      <c r="AM1817" s="22"/>
      <c r="AN1817" s="22"/>
      <c r="AO1817" s="22"/>
      <c r="AP1817" s="22"/>
    </row>
    <row r="1818" hidden="1">
      <c r="A1818" s="148">
        <v>46179.0</v>
      </c>
      <c r="B1818" s="149">
        <v>0.5416666666666666</v>
      </c>
      <c r="C1818" s="11" t="s">
        <v>58</v>
      </c>
      <c r="D1818" s="102" t="s">
        <v>3083</v>
      </c>
      <c r="E1818" s="10" t="s">
        <v>71</v>
      </c>
      <c r="F1818" s="10" t="s">
        <v>5196</v>
      </c>
      <c r="G1818" s="11" t="s">
        <v>5405</v>
      </c>
      <c r="H1818" s="11" t="s">
        <v>4944</v>
      </c>
      <c r="I1818" s="10" t="s">
        <v>61</v>
      </c>
      <c r="J1818" s="14">
        <v>13255.0</v>
      </c>
      <c r="K1818" s="14">
        <v>7158.0</v>
      </c>
      <c r="L1818" s="17">
        <v>0.54</v>
      </c>
      <c r="M1818" s="150">
        <v>0.0</v>
      </c>
      <c r="N1818" s="136">
        <v>0.0</v>
      </c>
      <c r="O1818" s="18">
        <v>15.0</v>
      </c>
      <c r="P1818" s="92">
        <v>0.0</v>
      </c>
      <c r="Q1818" s="137">
        <v>0.0021</v>
      </c>
      <c r="R1818" s="17">
        <v>0.0</v>
      </c>
      <c r="S1818" s="18">
        <v>0.0</v>
      </c>
      <c r="T1818" s="18">
        <v>0.0</v>
      </c>
      <c r="U1818" s="151">
        <v>0.0</v>
      </c>
      <c r="V1818" s="92" t="s">
        <v>315</v>
      </c>
      <c r="W1818" s="18" t="s">
        <v>58</v>
      </c>
      <c r="X1818" s="42" t="s">
        <v>4502</v>
      </c>
      <c r="Y1818" s="175">
        <v>46179.0</v>
      </c>
      <c r="Z1818" s="18" t="s">
        <v>5406</v>
      </c>
      <c r="AA1818" s="92">
        <v>15.0</v>
      </c>
      <c r="AB1818" s="18"/>
      <c r="AC1818" s="18">
        <v>15.0</v>
      </c>
      <c r="AD1818" s="172">
        <v>72457.0</v>
      </c>
      <c r="AE1818" s="14"/>
      <c r="AF1818" s="14">
        <v>72457.0</v>
      </c>
      <c r="AG1818" s="22"/>
      <c r="AH1818" s="22"/>
      <c r="AI1818" s="22"/>
      <c r="AJ1818" s="22"/>
      <c r="AK1818" s="22"/>
      <c r="AL1818" s="22"/>
      <c r="AM1818" s="22"/>
      <c r="AN1818" s="22"/>
      <c r="AO1818" s="22"/>
      <c r="AP1818" s="22"/>
    </row>
    <row r="1819" hidden="1">
      <c r="A1819" s="148">
        <v>46179.0</v>
      </c>
      <c r="B1819" s="149">
        <v>0.5416666666666666</v>
      </c>
      <c r="C1819" s="11" t="s">
        <v>58</v>
      </c>
      <c r="D1819" s="102" t="s">
        <v>3083</v>
      </c>
      <c r="E1819" s="10" t="s">
        <v>71</v>
      </c>
      <c r="F1819" s="10" t="s">
        <v>5196</v>
      </c>
      <c r="G1819" s="11" t="s">
        <v>5407</v>
      </c>
      <c r="H1819" s="11" t="s">
        <v>4948</v>
      </c>
      <c r="I1819" s="10" t="s">
        <v>61</v>
      </c>
      <c r="J1819" s="14">
        <v>6461.0</v>
      </c>
      <c r="K1819" s="14">
        <v>3634.0</v>
      </c>
      <c r="L1819" s="17">
        <v>0.5625</v>
      </c>
      <c r="M1819" s="150">
        <v>0.0</v>
      </c>
      <c r="N1819" s="136">
        <v>0.0</v>
      </c>
      <c r="O1819" s="18">
        <v>5.0</v>
      </c>
      <c r="P1819" s="92">
        <v>0.0</v>
      </c>
      <c r="Q1819" s="137">
        <v>0.0014</v>
      </c>
      <c r="R1819" s="17">
        <v>0.0</v>
      </c>
      <c r="S1819" s="18">
        <v>0.0</v>
      </c>
      <c r="T1819" s="18">
        <v>0.0</v>
      </c>
      <c r="U1819" s="151">
        <v>0.0</v>
      </c>
      <c r="V1819" s="92" t="s">
        <v>315</v>
      </c>
      <c r="W1819" s="18" t="s">
        <v>58</v>
      </c>
      <c r="X1819" s="42" t="s">
        <v>4502</v>
      </c>
      <c r="Y1819" s="175">
        <v>46179.0</v>
      </c>
      <c r="Z1819" s="18" t="s">
        <v>5408</v>
      </c>
      <c r="AA1819" s="92">
        <v>8.0</v>
      </c>
      <c r="AB1819" s="18"/>
      <c r="AC1819" s="18">
        <v>8.0</v>
      </c>
      <c r="AD1819" s="172">
        <v>47276.0</v>
      </c>
      <c r="AE1819" s="14"/>
      <c r="AF1819" s="14">
        <v>47276.0</v>
      </c>
      <c r="AG1819" s="22"/>
      <c r="AH1819" s="22"/>
      <c r="AI1819" s="22"/>
      <c r="AJ1819" s="22"/>
      <c r="AK1819" s="22"/>
      <c r="AL1819" s="22"/>
      <c r="AM1819" s="22"/>
      <c r="AN1819" s="22"/>
      <c r="AO1819" s="22"/>
      <c r="AP1819" s="22"/>
    </row>
    <row r="1820" hidden="1">
      <c r="A1820" s="148">
        <v>46179.0</v>
      </c>
      <c r="B1820" s="149">
        <v>0.5416666666666666</v>
      </c>
      <c r="C1820" s="11" t="s">
        <v>58</v>
      </c>
      <c r="D1820" s="102" t="s">
        <v>3083</v>
      </c>
      <c r="E1820" s="10" t="s">
        <v>71</v>
      </c>
      <c r="F1820" s="10" t="s">
        <v>5196</v>
      </c>
      <c r="G1820" s="11" t="s">
        <v>5409</v>
      </c>
      <c r="H1820" s="11" t="s">
        <v>4952</v>
      </c>
      <c r="I1820" s="10" t="s">
        <v>61</v>
      </c>
      <c r="J1820" s="14">
        <v>4827.0</v>
      </c>
      <c r="K1820" s="14">
        <v>2644.0</v>
      </c>
      <c r="L1820" s="17">
        <v>0.5478</v>
      </c>
      <c r="M1820" s="150">
        <v>0.0</v>
      </c>
      <c r="N1820" s="136">
        <v>0.0</v>
      </c>
      <c r="O1820" s="18">
        <v>3.0</v>
      </c>
      <c r="P1820" s="92">
        <v>0.0</v>
      </c>
      <c r="Q1820" s="137">
        <v>0.0011</v>
      </c>
      <c r="R1820" s="17">
        <v>0.0</v>
      </c>
      <c r="S1820" s="18">
        <v>0.0</v>
      </c>
      <c r="T1820" s="18">
        <v>0.0</v>
      </c>
      <c r="U1820" s="151">
        <v>0.0</v>
      </c>
      <c r="V1820" s="92" t="s">
        <v>315</v>
      </c>
      <c r="W1820" s="18" t="s">
        <v>58</v>
      </c>
      <c r="X1820" s="42" t="s">
        <v>4502</v>
      </c>
      <c r="Y1820" s="176">
        <v>46179.0</v>
      </c>
      <c r="Z1820" s="18" t="s">
        <v>5410</v>
      </c>
      <c r="AA1820" s="92">
        <v>6.0</v>
      </c>
      <c r="AB1820" s="18"/>
      <c r="AC1820" s="18">
        <v>6.0</v>
      </c>
      <c r="AD1820" s="172">
        <v>31384.0</v>
      </c>
      <c r="AE1820" s="14"/>
      <c r="AF1820" s="14">
        <v>31384.0</v>
      </c>
      <c r="AG1820" s="22"/>
      <c r="AH1820" s="22"/>
      <c r="AI1820" s="22"/>
      <c r="AJ1820" s="22"/>
      <c r="AK1820" s="22"/>
      <c r="AL1820" s="22"/>
      <c r="AM1820" s="22"/>
      <c r="AN1820" s="22"/>
      <c r="AO1820" s="22"/>
      <c r="AP1820" s="22"/>
    </row>
    <row r="1821" hidden="1">
      <c r="A1821" s="148">
        <v>46179.0</v>
      </c>
      <c r="B1821" s="149">
        <v>0.5416666666666666</v>
      </c>
      <c r="C1821" s="11" t="s">
        <v>58</v>
      </c>
      <c r="D1821" s="102" t="s">
        <v>3083</v>
      </c>
      <c r="E1821" s="10" t="s">
        <v>71</v>
      </c>
      <c r="F1821" s="10" t="s">
        <v>5196</v>
      </c>
      <c r="G1821" s="11" t="s">
        <v>5411</v>
      </c>
      <c r="H1821" s="11" t="s">
        <v>4956</v>
      </c>
      <c r="I1821" s="10" t="s">
        <v>61</v>
      </c>
      <c r="J1821" s="14">
        <v>5252.0</v>
      </c>
      <c r="K1821" s="14">
        <v>3431.0</v>
      </c>
      <c r="L1821" s="17">
        <v>0.6533</v>
      </c>
      <c r="M1821" s="150">
        <v>0.0</v>
      </c>
      <c r="N1821" s="136">
        <v>0.0</v>
      </c>
      <c r="O1821" s="18">
        <v>4.0</v>
      </c>
      <c r="P1821" s="92">
        <v>0.0</v>
      </c>
      <c r="Q1821" s="137">
        <v>0.0012</v>
      </c>
      <c r="R1821" s="17">
        <v>0.0</v>
      </c>
      <c r="S1821" s="18">
        <v>0.0</v>
      </c>
      <c r="T1821" s="18">
        <v>0.0</v>
      </c>
      <c r="U1821" s="151">
        <v>0.0</v>
      </c>
      <c r="V1821" s="92" t="s">
        <v>315</v>
      </c>
      <c r="W1821" s="18" t="s">
        <v>58</v>
      </c>
      <c r="X1821" s="42" t="s">
        <v>4502</v>
      </c>
      <c r="Y1821" s="176">
        <v>46179.0</v>
      </c>
      <c r="Z1821" s="18" t="s">
        <v>5412</v>
      </c>
      <c r="AA1821" s="92">
        <v>2.0</v>
      </c>
      <c r="AB1821" s="18"/>
      <c r="AC1821" s="18">
        <v>2.0</v>
      </c>
      <c r="AD1821" s="14">
        <v>13743.0</v>
      </c>
      <c r="AE1821" s="14"/>
      <c r="AF1821" s="14">
        <v>13743.0</v>
      </c>
      <c r="AG1821" s="22"/>
      <c r="AH1821" s="22"/>
      <c r="AI1821" s="22"/>
      <c r="AJ1821" s="22"/>
      <c r="AK1821" s="22"/>
      <c r="AL1821" s="22"/>
      <c r="AM1821" s="22"/>
      <c r="AN1821" s="22"/>
      <c r="AO1821" s="22"/>
      <c r="AP1821" s="22"/>
    </row>
    <row r="1822" hidden="1">
      <c r="A1822" s="148">
        <v>46179.0</v>
      </c>
      <c r="B1822" s="149">
        <v>0.5416666666666666</v>
      </c>
      <c r="C1822" s="11" t="s">
        <v>58</v>
      </c>
      <c r="D1822" s="102" t="s">
        <v>3083</v>
      </c>
      <c r="E1822" s="10" t="s">
        <v>71</v>
      </c>
      <c r="F1822" s="10" t="s">
        <v>5196</v>
      </c>
      <c r="G1822" s="11" t="s">
        <v>5413</v>
      </c>
      <c r="H1822" s="11" t="s">
        <v>4960</v>
      </c>
      <c r="I1822" s="10" t="s">
        <v>61</v>
      </c>
      <c r="J1822" s="14">
        <v>3697.0</v>
      </c>
      <c r="K1822" s="14">
        <v>2055.0</v>
      </c>
      <c r="L1822" s="17">
        <v>0.5559</v>
      </c>
      <c r="M1822" s="150">
        <v>0.0</v>
      </c>
      <c r="N1822" s="136">
        <v>0.0</v>
      </c>
      <c r="O1822" s="18">
        <v>1.0</v>
      </c>
      <c r="P1822" s="92">
        <v>0.0</v>
      </c>
      <c r="Q1822" s="137">
        <v>5.0E-4</v>
      </c>
      <c r="R1822" s="17">
        <v>0.0</v>
      </c>
      <c r="S1822" s="18">
        <v>0.0</v>
      </c>
      <c r="T1822" s="18">
        <v>0.0</v>
      </c>
      <c r="U1822" s="151">
        <v>0.0</v>
      </c>
      <c r="V1822" s="92" t="s">
        <v>315</v>
      </c>
      <c r="W1822" s="18" t="s">
        <v>58</v>
      </c>
      <c r="X1822" s="42" t="s">
        <v>4502</v>
      </c>
      <c r="Y1822" s="175">
        <v>46179.0</v>
      </c>
      <c r="Z1822" s="18" t="s">
        <v>5414</v>
      </c>
      <c r="AA1822" s="92">
        <v>2.0</v>
      </c>
      <c r="AB1822" s="18"/>
      <c r="AC1822" s="18">
        <v>2.0</v>
      </c>
      <c r="AD1822" s="172">
        <v>7596.0</v>
      </c>
      <c r="AE1822" s="14"/>
      <c r="AF1822" s="14">
        <v>7596.0</v>
      </c>
      <c r="AG1822" s="22"/>
      <c r="AH1822" s="22"/>
      <c r="AI1822" s="22"/>
      <c r="AJ1822" s="22"/>
      <c r="AK1822" s="22"/>
      <c r="AL1822" s="22"/>
      <c r="AM1822" s="22"/>
      <c r="AN1822" s="22"/>
      <c r="AO1822" s="22"/>
      <c r="AP1822" s="22"/>
    </row>
    <row r="1823" hidden="1">
      <c r="A1823" s="148">
        <v>46180.0</v>
      </c>
      <c r="B1823" s="149">
        <v>0.8125</v>
      </c>
      <c r="C1823" s="11" t="s">
        <v>58</v>
      </c>
      <c r="D1823" s="102" t="s">
        <v>3083</v>
      </c>
      <c r="E1823" s="10" t="s">
        <v>71</v>
      </c>
      <c r="F1823" s="10" t="s">
        <v>5196</v>
      </c>
      <c r="G1823" s="11" t="s">
        <v>5415</v>
      </c>
      <c r="H1823" s="11" t="s">
        <v>4643</v>
      </c>
      <c r="I1823" s="10" t="s">
        <v>61</v>
      </c>
      <c r="J1823" s="14">
        <v>454.0</v>
      </c>
      <c r="K1823" s="14">
        <v>257.0</v>
      </c>
      <c r="L1823" s="17">
        <v>0.5661</v>
      </c>
      <c r="M1823" s="150">
        <v>0.0</v>
      </c>
      <c r="N1823" s="136">
        <v>0.0</v>
      </c>
      <c r="O1823" s="18">
        <v>2.0</v>
      </c>
      <c r="P1823" s="92">
        <v>0.0</v>
      </c>
      <c r="Q1823" s="137">
        <v>0.0078</v>
      </c>
      <c r="R1823" s="17">
        <v>0.0</v>
      </c>
      <c r="S1823" s="18">
        <v>0.0</v>
      </c>
      <c r="T1823" s="18">
        <v>2.0</v>
      </c>
      <c r="U1823" s="151">
        <v>0.0</v>
      </c>
      <c r="V1823" s="92" t="s">
        <v>335</v>
      </c>
      <c r="W1823" s="18" t="s">
        <v>58</v>
      </c>
      <c r="X1823" s="42" t="s">
        <v>4645</v>
      </c>
      <c r="Y1823" s="176">
        <v>46180.0</v>
      </c>
      <c r="Z1823" s="18" t="s">
        <v>5416</v>
      </c>
      <c r="AA1823" s="92">
        <v>6.0</v>
      </c>
      <c r="AB1823" s="18">
        <v>6.0</v>
      </c>
      <c r="AC1823" s="18"/>
      <c r="AD1823" s="172">
        <v>24646.0</v>
      </c>
      <c r="AE1823" s="14">
        <v>24646.0</v>
      </c>
      <c r="AF1823" s="14"/>
      <c r="AG1823" s="22"/>
      <c r="AH1823" s="22"/>
      <c r="AI1823" s="22"/>
      <c r="AJ1823" s="22"/>
      <c r="AK1823" s="22"/>
      <c r="AL1823" s="22"/>
      <c r="AM1823" s="22"/>
      <c r="AN1823" s="22"/>
      <c r="AO1823" s="22"/>
      <c r="AP1823" s="22"/>
    </row>
    <row r="1824" hidden="1">
      <c r="A1824" s="148">
        <v>46180.0</v>
      </c>
      <c r="B1824" s="149">
        <v>0.8125</v>
      </c>
      <c r="C1824" s="11" t="s">
        <v>58</v>
      </c>
      <c r="D1824" s="102" t="s">
        <v>3083</v>
      </c>
      <c r="E1824" s="10" t="s">
        <v>71</v>
      </c>
      <c r="F1824" s="10" t="s">
        <v>5196</v>
      </c>
      <c r="G1824" s="11" t="s">
        <v>5417</v>
      </c>
      <c r="H1824" s="11" t="s">
        <v>4649</v>
      </c>
      <c r="I1824" s="10" t="s">
        <v>61</v>
      </c>
      <c r="J1824" s="14">
        <v>20146.0</v>
      </c>
      <c r="K1824" s="14">
        <v>10727.0</v>
      </c>
      <c r="L1824" s="17">
        <v>0.5325</v>
      </c>
      <c r="M1824" s="150">
        <v>0.0</v>
      </c>
      <c r="N1824" s="136">
        <v>0.0</v>
      </c>
      <c r="O1824" s="18">
        <v>26.0</v>
      </c>
      <c r="P1824" s="92">
        <v>0.0</v>
      </c>
      <c r="Q1824" s="137">
        <v>0.0024</v>
      </c>
      <c r="R1824" s="17">
        <v>0.0</v>
      </c>
      <c r="S1824" s="18">
        <v>0.0</v>
      </c>
      <c r="T1824" s="18">
        <v>2.0</v>
      </c>
      <c r="U1824" s="151">
        <v>0.0</v>
      </c>
      <c r="V1824" s="92" t="s">
        <v>335</v>
      </c>
      <c r="W1824" s="18" t="s">
        <v>58</v>
      </c>
      <c r="X1824" s="42" t="s">
        <v>82</v>
      </c>
      <c r="Y1824" s="176">
        <v>46180.0</v>
      </c>
      <c r="Z1824" s="18" t="s">
        <v>5418</v>
      </c>
      <c r="AA1824" s="92">
        <v>6.0</v>
      </c>
      <c r="AB1824" s="18">
        <v>6.0</v>
      </c>
      <c r="AC1824" s="18"/>
      <c r="AD1824" s="14">
        <v>19288.0</v>
      </c>
      <c r="AE1824" s="14">
        <v>19288.0</v>
      </c>
      <c r="AF1824" s="14"/>
      <c r="AG1824" s="22"/>
      <c r="AH1824" s="22"/>
      <c r="AI1824" s="22"/>
      <c r="AJ1824" s="22"/>
      <c r="AK1824" s="22"/>
      <c r="AL1824" s="22"/>
      <c r="AM1824" s="22"/>
      <c r="AN1824" s="22"/>
      <c r="AO1824" s="22"/>
      <c r="AP1824" s="22"/>
    </row>
    <row r="1825" hidden="1">
      <c r="A1825" s="148">
        <v>46180.0</v>
      </c>
      <c r="B1825" s="149">
        <v>0.8125</v>
      </c>
      <c r="C1825" s="11" t="s">
        <v>58</v>
      </c>
      <c r="D1825" s="102" t="s">
        <v>3083</v>
      </c>
      <c r="E1825" s="10" t="s">
        <v>71</v>
      </c>
      <c r="F1825" s="10" t="s">
        <v>5196</v>
      </c>
      <c r="G1825" s="11" t="s">
        <v>5419</v>
      </c>
      <c r="H1825" s="11" t="s">
        <v>2597</v>
      </c>
      <c r="I1825" s="10" t="s">
        <v>61</v>
      </c>
      <c r="J1825" s="14">
        <v>2903.0</v>
      </c>
      <c r="K1825" s="14">
        <v>1583.0</v>
      </c>
      <c r="L1825" s="17">
        <v>0.5453</v>
      </c>
      <c r="M1825" s="150">
        <v>0.0</v>
      </c>
      <c r="N1825" s="136">
        <v>0.0</v>
      </c>
      <c r="O1825" s="18">
        <v>4.0</v>
      </c>
      <c r="P1825" s="92">
        <v>0.0</v>
      </c>
      <c r="Q1825" s="137">
        <v>0.0025</v>
      </c>
      <c r="R1825" s="17">
        <v>0.0</v>
      </c>
      <c r="S1825" s="18">
        <v>0.0</v>
      </c>
      <c r="T1825" s="18">
        <v>0.0</v>
      </c>
      <c r="U1825" s="151">
        <v>0.0</v>
      </c>
      <c r="V1825" s="92" t="s">
        <v>335</v>
      </c>
      <c r="W1825" s="18" t="s">
        <v>58</v>
      </c>
      <c r="X1825" s="42" t="s">
        <v>52</v>
      </c>
      <c r="Y1825" s="175">
        <v>46180.0</v>
      </c>
      <c r="Z1825" s="18" t="s">
        <v>5420</v>
      </c>
      <c r="AA1825" s="92">
        <v>3.0</v>
      </c>
      <c r="AB1825" s="18">
        <v>3.0</v>
      </c>
      <c r="AC1825" s="18"/>
      <c r="AD1825" s="172">
        <v>22589.0</v>
      </c>
      <c r="AE1825" s="14">
        <v>22589.0</v>
      </c>
      <c r="AF1825" s="14"/>
      <c r="AG1825" s="22"/>
      <c r="AH1825" s="22"/>
      <c r="AI1825" s="22"/>
      <c r="AJ1825" s="22"/>
      <c r="AK1825" s="22"/>
      <c r="AL1825" s="22"/>
      <c r="AM1825" s="22"/>
      <c r="AN1825" s="22"/>
      <c r="AO1825" s="22"/>
      <c r="AP1825" s="22"/>
    </row>
    <row r="1826" hidden="1">
      <c r="A1826" s="148">
        <v>46180.0</v>
      </c>
      <c r="B1826" s="149">
        <v>0.8125</v>
      </c>
      <c r="C1826" s="11" t="s">
        <v>58</v>
      </c>
      <c r="D1826" s="102" t="s">
        <v>3083</v>
      </c>
      <c r="E1826" s="10" t="s">
        <v>71</v>
      </c>
      <c r="F1826" s="10" t="s">
        <v>5196</v>
      </c>
      <c r="G1826" s="11" t="s">
        <v>5421</v>
      </c>
      <c r="H1826" s="11" t="s">
        <v>4656</v>
      </c>
      <c r="I1826" s="10" t="s">
        <v>61</v>
      </c>
      <c r="J1826" s="14">
        <v>2325.0</v>
      </c>
      <c r="K1826" s="14">
        <v>1472.0</v>
      </c>
      <c r="L1826" s="17">
        <v>0.6331</v>
      </c>
      <c r="M1826" s="150">
        <v>0.0</v>
      </c>
      <c r="N1826" s="136">
        <v>0.0</v>
      </c>
      <c r="O1826" s="18">
        <v>0.0</v>
      </c>
      <c r="P1826" s="92">
        <v>0.0</v>
      </c>
      <c r="Q1826" s="137">
        <v>0.0</v>
      </c>
      <c r="R1826" s="17">
        <v>0.0</v>
      </c>
      <c r="S1826" s="18">
        <v>0.0</v>
      </c>
      <c r="T1826" s="18">
        <v>0.0</v>
      </c>
      <c r="U1826" s="151">
        <v>0.0</v>
      </c>
      <c r="V1826" s="92" t="s">
        <v>335</v>
      </c>
      <c r="W1826" s="18" t="s">
        <v>58</v>
      </c>
      <c r="X1826" s="42" t="s">
        <v>2594</v>
      </c>
      <c r="Y1826" s="176">
        <v>46180.0</v>
      </c>
      <c r="Z1826" s="18" t="s">
        <v>5422</v>
      </c>
      <c r="AA1826" s="92">
        <v>0.0</v>
      </c>
      <c r="AB1826" s="18">
        <v>0.0</v>
      </c>
      <c r="AC1826" s="18"/>
      <c r="AD1826" s="172">
        <v>0.0</v>
      </c>
      <c r="AE1826" s="14">
        <v>0.0</v>
      </c>
      <c r="AF1826" s="14"/>
      <c r="AG1826" s="22"/>
      <c r="AH1826" s="22"/>
      <c r="AI1826" s="22"/>
      <c r="AJ1826" s="22"/>
      <c r="AK1826" s="22"/>
      <c r="AL1826" s="22"/>
      <c r="AM1826" s="22"/>
      <c r="AN1826" s="22"/>
      <c r="AO1826" s="22"/>
      <c r="AP1826" s="22"/>
    </row>
    <row r="1827" hidden="1">
      <c r="A1827" s="148">
        <v>46180.0</v>
      </c>
      <c r="B1827" s="149">
        <v>0.8125</v>
      </c>
      <c r="C1827" s="11" t="s">
        <v>58</v>
      </c>
      <c r="D1827" s="102" t="s">
        <v>3083</v>
      </c>
      <c r="E1827" s="10" t="s">
        <v>71</v>
      </c>
      <c r="F1827" s="10" t="s">
        <v>5196</v>
      </c>
      <c r="G1827" s="11" t="s">
        <v>5423</v>
      </c>
      <c r="H1827" s="11" t="s">
        <v>4725</v>
      </c>
      <c r="I1827" s="10" t="s">
        <v>61</v>
      </c>
      <c r="J1827" s="14">
        <v>33638.0</v>
      </c>
      <c r="K1827" s="14">
        <v>18092.0</v>
      </c>
      <c r="L1827" s="17">
        <v>0.5378</v>
      </c>
      <c r="M1827" s="150">
        <v>0.0</v>
      </c>
      <c r="N1827" s="136">
        <v>0.0</v>
      </c>
      <c r="O1827" s="18">
        <v>17.0</v>
      </c>
      <c r="P1827" s="92">
        <v>0.0</v>
      </c>
      <c r="Q1827" s="137">
        <v>9.0E-4</v>
      </c>
      <c r="R1827" s="17">
        <v>0.0</v>
      </c>
      <c r="S1827" s="18">
        <v>0.0</v>
      </c>
      <c r="T1827" s="18">
        <v>1.0</v>
      </c>
      <c r="U1827" s="151">
        <v>0.0</v>
      </c>
      <c r="V1827" s="92" t="s">
        <v>183</v>
      </c>
      <c r="W1827" s="18" t="s">
        <v>58</v>
      </c>
      <c r="X1827" s="42" t="s">
        <v>52</v>
      </c>
      <c r="Y1827" s="176">
        <v>46180.0</v>
      </c>
      <c r="Z1827" s="18" t="s">
        <v>5424</v>
      </c>
      <c r="AA1827" s="92">
        <v>11.0</v>
      </c>
      <c r="AB1827" s="18">
        <v>11.0</v>
      </c>
      <c r="AC1827" s="18"/>
      <c r="AD1827" s="14">
        <v>40072.0</v>
      </c>
      <c r="AE1827" s="14">
        <v>40072.0</v>
      </c>
      <c r="AF1827" s="14"/>
      <c r="AG1827" s="22"/>
      <c r="AH1827" s="22"/>
      <c r="AI1827" s="22"/>
      <c r="AJ1827" s="22"/>
      <c r="AK1827" s="22"/>
      <c r="AL1827" s="22"/>
      <c r="AM1827" s="22"/>
      <c r="AN1827" s="22"/>
      <c r="AO1827" s="22"/>
      <c r="AP1827" s="22"/>
    </row>
    <row r="1828" hidden="1">
      <c r="A1828" s="148">
        <v>46179.0</v>
      </c>
      <c r="B1828" s="149">
        <v>0.5</v>
      </c>
      <c r="C1828" s="11" t="s">
        <v>196</v>
      </c>
      <c r="D1828" s="102" t="s">
        <v>3083</v>
      </c>
      <c r="E1828" s="10" t="s">
        <v>1998</v>
      </c>
      <c r="F1828" s="10" t="s">
        <v>5425</v>
      </c>
      <c r="G1828" s="11" t="s">
        <v>5426</v>
      </c>
      <c r="H1828" s="11" t="s">
        <v>5312</v>
      </c>
      <c r="I1828" s="10" t="s">
        <v>61</v>
      </c>
      <c r="J1828" s="14">
        <v>35451.0</v>
      </c>
      <c r="K1828" s="14">
        <v>4807.0</v>
      </c>
      <c r="L1828" s="17">
        <v>0.1356</v>
      </c>
      <c r="M1828" s="150">
        <v>889.0</v>
      </c>
      <c r="N1828" s="136">
        <v>0.1849</v>
      </c>
      <c r="O1828" s="18">
        <v>7.0</v>
      </c>
      <c r="P1828" s="92">
        <v>0.0</v>
      </c>
      <c r="Q1828" s="137">
        <v>0.0015</v>
      </c>
      <c r="R1828" s="17">
        <v>0.0</v>
      </c>
      <c r="S1828" s="18">
        <v>0.0</v>
      </c>
      <c r="T1828" s="18">
        <v>0.0</v>
      </c>
      <c r="U1828" s="151">
        <v>0.0</v>
      </c>
      <c r="V1828" s="92" t="s">
        <v>183</v>
      </c>
      <c r="W1828" s="18" t="s">
        <v>95</v>
      </c>
      <c r="X1828" s="174" t="s">
        <v>4296</v>
      </c>
      <c r="Y1828" s="94" t="s">
        <v>5313</v>
      </c>
      <c r="Z1828" s="18" t="s">
        <v>5427</v>
      </c>
      <c r="AA1828" s="92">
        <v>0.0</v>
      </c>
      <c r="AB1828" s="18">
        <v>0.0</v>
      </c>
      <c r="AC1828" s="18">
        <v>0.0</v>
      </c>
      <c r="AD1828" s="14">
        <v>0.0</v>
      </c>
      <c r="AE1828" s="14">
        <v>0.0</v>
      </c>
      <c r="AF1828" s="14">
        <v>0.0</v>
      </c>
      <c r="AG1828" s="22"/>
      <c r="AH1828" s="22"/>
      <c r="AI1828" s="22"/>
      <c r="AJ1828" s="22"/>
      <c r="AK1828" s="22"/>
      <c r="AL1828" s="22"/>
      <c r="AM1828" s="22"/>
      <c r="AN1828" s="22"/>
      <c r="AO1828" s="22"/>
      <c r="AP1828" s="22"/>
    </row>
    <row r="1829" hidden="1">
      <c r="A1829" s="148">
        <v>46185.0</v>
      </c>
      <c r="B1829" s="149">
        <v>0.4166666666666667</v>
      </c>
      <c r="C1829" s="11" t="s">
        <v>32</v>
      </c>
      <c r="D1829" s="102" t="s">
        <v>33</v>
      </c>
      <c r="E1829" s="10" t="s">
        <v>1998</v>
      </c>
      <c r="F1829" s="10" t="s">
        <v>5428</v>
      </c>
      <c r="G1829" s="11" t="s">
        <v>5429</v>
      </c>
      <c r="H1829" s="11" t="s">
        <v>5312</v>
      </c>
      <c r="I1829" s="10" t="s">
        <v>4295</v>
      </c>
      <c r="J1829" s="14">
        <v>49098.0</v>
      </c>
      <c r="K1829" s="14">
        <v>12286.0</v>
      </c>
      <c r="L1829" s="17">
        <v>0.2502</v>
      </c>
      <c r="M1829" s="150">
        <v>4901.0</v>
      </c>
      <c r="N1829" s="136">
        <v>0.3989</v>
      </c>
      <c r="O1829" s="18">
        <v>456.0</v>
      </c>
      <c r="P1829" s="92">
        <v>428.0</v>
      </c>
      <c r="Q1829" s="137">
        <v>0.0348</v>
      </c>
      <c r="R1829" s="17">
        <v>0.0873</v>
      </c>
      <c r="S1829" s="18">
        <v>2.0</v>
      </c>
      <c r="T1829" s="18">
        <v>0.0</v>
      </c>
      <c r="U1829" s="151">
        <v>10497.0</v>
      </c>
      <c r="V1829" s="92" t="s">
        <v>183</v>
      </c>
      <c r="W1829" s="18" t="s">
        <v>76</v>
      </c>
      <c r="X1829" s="174" t="s">
        <v>4296</v>
      </c>
      <c r="Y1829" s="94" t="s">
        <v>5430</v>
      </c>
      <c r="Z1829" s="18" t="s">
        <v>5431</v>
      </c>
      <c r="AA1829" s="92">
        <v>3.0</v>
      </c>
      <c r="AB1829" s="18">
        <v>2.0</v>
      </c>
      <c r="AC1829" s="18">
        <v>1.0</v>
      </c>
      <c r="AD1829" s="14">
        <v>16487.0</v>
      </c>
      <c r="AE1829" s="14">
        <v>10497.0</v>
      </c>
      <c r="AF1829" s="14">
        <v>5990.0</v>
      </c>
      <c r="AG1829" s="22"/>
      <c r="AH1829" s="22"/>
      <c r="AI1829" s="22"/>
      <c r="AJ1829" s="22"/>
      <c r="AK1829" s="22"/>
      <c r="AL1829" s="22"/>
      <c r="AM1829" s="22"/>
      <c r="AN1829" s="22"/>
      <c r="AO1829" s="22"/>
      <c r="AP1829" s="22"/>
    </row>
    <row r="1830" hidden="1">
      <c r="A1830" s="148">
        <v>46185.0</v>
      </c>
      <c r="B1830" s="149">
        <v>0.375</v>
      </c>
      <c r="C1830" s="11" t="s">
        <v>32</v>
      </c>
      <c r="D1830" s="102" t="s">
        <v>33</v>
      </c>
      <c r="E1830" s="10" t="s">
        <v>34</v>
      </c>
      <c r="F1830" s="10" t="s">
        <v>5432</v>
      </c>
      <c r="G1830" s="11" t="s">
        <v>5433</v>
      </c>
      <c r="H1830" s="11" t="s">
        <v>3762</v>
      </c>
      <c r="I1830" s="10" t="s">
        <v>5434</v>
      </c>
      <c r="J1830" s="14">
        <v>3402.0</v>
      </c>
      <c r="K1830" s="14">
        <v>1621.0</v>
      </c>
      <c r="L1830" s="17">
        <v>0.4762</v>
      </c>
      <c r="M1830" s="150">
        <v>805.0</v>
      </c>
      <c r="N1830" s="165">
        <v>0.4951</v>
      </c>
      <c r="O1830" s="18">
        <v>132.0</v>
      </c>
      <c r="P1830" s="92">
        <v>130.0</v>
      </c>
      <c r="Q1830" s="166">
        <v>0.0802</v>
      </c>
      <c r="R1830" s="17">
        <v>0.1621</v>
      </c>
      <c r="S1830" s="18">
        <v>2.0</v>
      </c>
      <c r="T1830" s="18">
        <v>0.0</v>
      </c>
      <c r="U1830" s="151">
        <v>12498.0</v>
      </c>
      <c r="V1830" s="92" t="s">
        <v>335</v>
      </c>
      <c r="W1830" s="18" t="s">
        <v>76</v>
      </c>
      <c r="X1830" s="177" t="s">
        <v>2131</v>
      </c>
      <c r="Y1830" s="94" t="s">
        <v>5435</v>
      </c>
      <c r="Z1830" s="18" t="s">
        <v>5436</v>
      </c>
      <c r="AA1830" s="92">
        <v>1.0</v>
      </c>
      <c r="AB1830" s="18">
        <v>1.0</v>
      </c>
      <c r="AC1830" s="18"/>
      <c r="AD1830" s="14">
        <v>3959.0</v>
      </c>
      <c r="AE1830" s="14">
        <v>3959.0</v>
      </c>
      <c r="AF1830" s="14"/>
      <c r="AG1830" s="22"/>
      <c r="AH1830" s="22"/>
      <c r="AI1830" s="22"/>
      <c r="AJ1830" s="22"/>
      <c r="AK1830" s="22"/>
      <c r="AL1830" s="22"/>
      <c r="AM1830" s="22"/>
      <c r="AN1830" s="22"/>
      <c r="AO1830" s="22"/>
      <c r="AP1830" s="22"/>
    </row>
    <row r="1831" hidden="1">
      <c r="A1831" s="148">
        <v>46185.0</v>
      </c>
      <c r="B1831" s="149">
        <v>0.3784722222222222</v>
      </c>
      <c r="C1831" s="11" t="s">
        <v>32</v>
      </c>
      <c r="D1831" s="102" t="s">
        <v>33</v>
      </c>
      <c r="E1831" s="10" t="s">
        <v>34</v>
      </c>
      <c r="F1831" s="10" t="s">
        <v>5432</v>
      </c>
      <c r="G1831" s="11" t="s">
        <v>5437</v>
      </c>
      <c r="H1831" s="11" t="s">
        <v>3767</v>
      </c>
      <c r="I1831" s="10" t="s">
        <v>5438</v>
      </c>
      <c r="J1831" s="14">
        <v>417.0</v>
      </c>
      <c r="K1831" s="14">
        <v>242.0</v>
      </c>
      <c r="L1831" s="17">
        <v>0.5803</v>
      </c>
      <c r="M1831" s="150">
        <v>119.0</v>
      </c>
      <c r="N1831" s="136">
        <v>0.4917</v>
      </c>
      <c r="O1831" s="18">
        <v>21.0</v>
      </c>
      <c r="P1831" s="92">
        <v>19.0</v>
      </c>
      <c r="Q1831" s="137">
        <v>0.0785</v>
      </c>
      <c r="R1831" s="17">
        <v>0.1597</v>
      </c>
      <c r="S1831" s="18">
        <v>0.0</v>
      </c>
      <c r="T1831" s="18">
        <v>0.0</v>
      </c>
      <c r="U1831" s="151">
        <v>0.0</v>
      </c>
      <c r="V1831" s="92" t="s">
        <v>335</v>
      </c>
      <c r="W1831" s="18" t="s">
        <v>76</v>
      </c>
      <c r="X1831" s="174" t="s">
        <v>2282</v>
      </c>
      <c r="Y1831" s="94" t="s">
        <v>5435</v>
      </c>
      <c r="Z1831" s="18" t="s">
        <v>5439</v>
      </c>
      <c r="AA1831" s="92">
        <v>0.0</v>
      </c>
      <c r="AB1831" s="18">
        <v>0.0</v>
      </c>
      <c r="AC1831" s="18"/>
      <c r="AD1831" s="14">
        <v>0.0</v>
      </c>
      <c r="AE1831" s="14">
        <v>0.0</v>
      </c>
      <c r="AF1831" s="14"/>
      <c r="AG1831" s="22"/>
      <c r="AH1831" s="22"/>
      <c r="AI1831" s="22"/>
      <c r="AJ1831" s="22"/>
      <c r="AK1831" s="22"/>
      <c r="AL1831" s="22"/>
      <c r="AM1831" s="22"/>
      <c r="AN1831" s="22"/>
      <c r="AO1831" s="22"/>
      <c r="AP1831" s="22"/>
    </row>
    <row r="1832" hidden="1">
      <c r="A1832" s="148">
        <v>46185.0</v>
      </c>
      <c r="B1832" s="149">
        <v>0.3819444444444444</v>
      </c>
      <c r="C1832" s="11" t="s">
        <v>32</v>
      </c>
      <c r="D1832" s="102" t="s">
        <v>33</v>
      </c>
      <c r="E1832" s="10" t="s">
        <v>34</v>
      </c>
      <c r="F1832" s="10" t="s">
        <v>5432</v>
      </c>
      <c r="G1832" s="11" t="s">
        <v>5440</v>
      </c>
      <c r="H1832" s="11" t="s">
        <v>5441</v>
      </c>
      <c r="I1832" s="10" t="s">
        <v>5442</v>
      </c>
      <c r="J1832" s="14">
        <v>61153.0</v>
      </c>
      <c r="K1832" s="14">
        <v>32154.0</v>
      </c>
      <c r="L1832" s="17">
        <v>0.5255</v>
      </c>
      <c r="M1832" s="150">
        <v>13348.0</v>
      </c>
      <c r="N1832" s="136">
        <v>0.414</v>
      </c>
      <c r="O1832" s="18">
        <v>2455.0</v>
      </c>
      <c r="P1832" s="92">
        <v>2279.0</v>
      </c>
      <c r="Q1832" s="137">
        <v>0.0709</v>
      </c>
      <c r="R1832" s="17">
        <v>0.1713</v>
      </c>
      <c r="S1832" s="18">
        <v>9.0</v>
      </c>
      <c r="T1832" s="18">
        <v>0.0</v>
      </c>
      <c r="U1832" s="151">
        <v>50728.0</v>
      </c>
      <c r="V1832" s="92" t="s">
        <v>183</v>
      </c>
      <c r="W1832" s="18" t="s">
        <v>76</v>
      </c>
      <c r="X1832" s="174" t="s">
        <v>52</v>
      </c>
      <c r="Y1832" s="94" t="s">
        <v>5435</v>
      </c>
      <c r="Z1832" s="18" t="s">
        <v>5443</v>
      </c>
      <c r="AA1832" s="92">
        <v>29.0</v>
      </c>
      <c r="AB1832" s="18">
        <v>3.0</v>
      </c>
      <c r="AC1832" s="18">
        <v>26.0</v>
      </c>
      <c r="AD1832" s="14">
        <v>309920.0</v>
      </c>
      <c r="AE1832" s="14">
        <v>15048.0</v>
      </c>
      <c r="AF1832" s="14">
        <v>294872.0</v>
      </c>
      <c r="AG1832" s="22"/>
      <c r="AH1832" s="22"/>
      <c r="AI1832" s="22"/>
      <c r="AJ1832" s="22"/>
      <c r="AK1832" s="22"/>
      <c r="AL1832" s="22"/>
      <c r="AM1832" s="22"/>
      <c r="AN1832" s="22"/>
      <c r="AO1832" s="22"/>
      <c r="AP1832" s="22"/>
    </row>
    <row r="1833" hidden="1">
      <c r="A1833" s="148">
        <v>46185.0</v>
      </c>
      <c r="B1833" s="149">
        <v>0.3854166666666667</v>
      </c>
      <c r="C1833" s="11" t="s">
        <v>32</v>
      </c>
      <c r="D1833" s="102" t="s">
        <v>33</v>
      </c>
      <c r="E1833" s="10" t="s">
        <v>34</v>
      </c>
      <c r="F1833" s="10" t="s">
        <v>5432</v>
      </c>
      <c r="G1833" s="11" t="s">
        <v>5444</v>
      </c>
      <c r="H1833" s="11" t="s">
        <v>5445</v>
      </c>
      <c r="I1833" s="10" t="s">
        <v>5446</v>
      </c>
      <c r="J1833" s="14">
        <v>12552.0</v>
      </c>
      <c r="K1833" s="14">
        <v>6482.0</v>
      </c>
      <c r="L1833" s="17">
        <v>0.5161</v>
      </c>
      <c r="M1833" s="150">
        <v>2555.0</v>
      </c>
      <c r="N1833" s="136">
        <v>0.3923</v>
      </c>
      <c r="O1833" s="18">
        <v>592.0</v>
      </c>
      <c r="P1833" s="92">
        <v>554.0</v>
      </c>
      <c r="Q1833" s="137">
        <v>0.0855</v>
      </c>
      <c r="R1833" s="17">
        <v>0.218</v>
      </c>
      <c r="S1833" s="18">
        <v>11.0</v>
      </c>
      <c r="T1833" s="18">
        <v>0.0</v>
      </c>
      <c r="U1833" s="151">
        <v>68196.0</v>
      </c>
      <c r="V1833" s="92" t="s">
        <v>183</v>
      </c>
      <c r="W1833" s="18" t="s">
        <v>76</v>
      </c>
      <c r="X1833" s="174" t="s">
        <v>5447</v>
      </c>
      <c r="Y1833" s="94" t="s">
        <v>5435</v>
      </c>
      <c r="Z1833" s="18" t="s">
        <v>5448</v>
      </c>
      <c r="AA1833" s="92">
        <v>6.0</v>
      </c>
      <c r="AB1833" s="18">
        <v>4.0</v>
      </c>
      <c r="AC1833" s="18">
        <v>2.0</v>
      </c>
      <c r="AD1833" s="14">
        <v>52510.0</v>
      </c>
      <c r="AE1833" s="14">
        <v>39930.0</v>
      </c>
      <c r="AF1833" s="14">
        <v>12580.0</v>
      </c>
      <c r="AG1833" s="22"/>
      <c r="AH1833" s="22"/>
      <c r="AI1833" s="22"/>
      <c r="AJ1833" s="22"/>
      <c r="AK1833" s="22"/>
      <c r="AL1833" s="22"/>
      <c r="AM1833" s="22"/>
      <c r="AN1833" s="22"/>
      <c r="AO1833" s="22"/>
      <c r="AP1833" s="22"/>
    </row>
    <row r="1834" hidden="1">
      <c r="A1834" s="148">
        <v>46185.0</v>
      </c>
      <c r="B1834" s="149">
        <v>0.3888888888888889</v>
      </c>
      <c r="C1834" s="11" t="s">
        <v>32</v>
      </c>
      <c r="D1834" s="102" t="s">
        <v>33</v>
      </c>
      <c r="E1834" s="10" t="s">
        <v>34</v>
      </c>
      <c r="F1834" s="10" t="s">
        <v>5432</v>
      </c>
      <c r="G1834" s="11" t="s">
        <v>5449</v>
      </c>
      <c r="H1834" s="11" t="s">
        <v>5450</v>
      </c>
      <c r="I1834" s="10" t="s">
        <v>5451</v>
      </c>
      <c r="J1834" s="14">
        <v>8121.0</v>
      </c>
      <c r="K1834" s="14">
        <v>4078.0</v>
      </c>
      <c r="L1834" s="17">
        <v>0.5018</v>
      </c>
      <c r="M1834" s="150">
        <v>1709.0</v>
      </c>
      <c r="N1834" s="136">
        <v>0.4182</v>
      </c>
      <c r="O1834" s="18">
        <v>313.0</v>
      </c>
      <c r="P1834" s="92">
        <v>292.0</v>
      </c>
      <c r="Q1834" s="137">
        <v>0.0717</v>
      </c>
      <c r="R1834" s="17">
        <v>0.1714</v>
      </c>
      <c r="S1834" s="18">
        <v>1.0</v>
      </c>
      <c r="T1834" s="18">
        <v>0.0</v>
      </c>
      <c r="U1834" s="151">
        <v>33097.0</v>
      </c>
      <c r="V1834" s="92" t="s">
        <v>183</v>
      </c>
      <c r="W1834" s="18" t="s">
        <v>76</v>
      </c>
      <c r="X1834" s="174" t="s">
        <v>5452</v>
      </c>
      <c r="Y1834" s="94" t="s">
        <v>5435</v>
      </c>
      <c r="Z1834" s="18" t="s">
        <v>5453</v>
      </c>
      <c r="AA1834" s="92">
        <v>9.0</v>
      </c>
      <c r="AB1834" s="18">
        <v>0.0</v>
      </c>
      <c r="AC1834" s="18">
        <v>9.0</v>
      </c>
      <c r="AD1834" s="14">
        <v>128299.0</v>
      </c>
      <c r="AE1834" s="14">
        <v>0.0</v>
      </c>
      <c r="AF1834" s="14">
        <v>128299.0</v>
      </c>
      <c r="AG1834" s="22"/>
      <c r="AH1834" s="22"/>
      <c r="AI1834" s="22"/>
      <c r="AJ1834" s="22"/>
      <c r="AK1834" s="22"/>
      <c r="AL1834" s="22"/>
      <c r="AM1834" s="22"/>
      <c r="AN1834" s="22"/>
      <c r="AO1834" s="22"/>
      <c r="AP1834" s="22"/>
    </row>
    <row r="1835" hidden="1">
      <c r="A1835" s="148">
        <v>46185.0</v>
      </c>
      <c r="B1835" s="149">
        <v>0.3923611111111111</v>
      </c>
      <c r="C1835" s="11" t="s">
        <v>32</v>
      </c>
      <c r="D1835" s="102" t="s">
        <v>33</v>
      </c>
      <c r="E1835" s="10" t="s">
        <v>34</v>
      </c>
      <c r="F1835" s="10" t="s">
        <v>5432</v>
      </c>
      <c r="G1835" s="11" t="s">
        <v>5454</v>
      </c>
      <c r="H1835" s="11" t="s">
        <v>3785</v>
      </c>
      <c r="I1835" s="10" t="s">
        <v>5455</v>
      </c>
      <c r="J1835" s="14">
        <v>4619.0</v>
      </c>
      <c r="K1835" s="14">
        <v>2327.0</v>
      </c>
      <c r="L1835" s="17">
        <v>0.5028</v>
      </c>
      <c r="M1835" s="150">
        <v>949.0</v>
      </c>
      <c r="N1835" s="136">
        <v>0.4065</v>
      </c>
      <c r="O1835" s="18">
        <v>141.0</v>
      </c>
      <c r="P1835" s="92">
        <v>132.0</v>
      </c>
      <c r="Q1835" s="137">
        <v>0.0568</v>
      </c>
      <c r="R1835" s="17">
        <v>0.1398</v>
      </c>
      <c r="S1835" s="18">
        <v>0.0</v>
      </c>
      <c r="T1835" s="18">
        <v>0.0</v>
      </c>
      <c r="U1835" s="151">
        <v>0.0</v>
      </c>
      <c r="V1835" s="92" t="s">
        <v>183</v>
      </c>
      <c r="W1835" s="18" t="s">
        <v>76</v>
      </c>
      <c r="X1835" s="174" t="s">
        <v>82</v>
      </c>
      <c r="Y1835" s="94" t="s">
        <v>5435</v>
      </c>
      <c r="Z1835" s="18" t="s">
        <v>5456</v>
      </c>
      <c r="AA1835" s="92">
        <v>1.0</v>
      </c>
      <c r="AB1835" s="18">
        <v>0.0</v>
      </c>
      <c r="AC1835" s="18">
        <v>1.0</v>
      </c>
      <c r="AD1835" s="14">
        <v>21999.0</v>
      </c>
      <c r="AE1835" s="14">
        <v>0.0</v>
      </c>
      <c r="AF1835" s="14">
        <v>21999.0</v>
      </c>
      <c r="AG1835" s="22"/>
      <c r="AH1835" s="22"/>
      <c r="AI1835" s="22"/>
      <c r="AJ1835" s="22"/>
      <c r="AK1835" s="22"/>
      <c r="AL1835" s="22"/>
      <c r="AM1835" s="22"/>
      <c r="AN1835" s="22"/>
      <c r="AO1835" s="22"/>
      <c r="AP1835" s="22"/>
    </row>
    <row r="1836" hidden="1">
      <c r="A1836" s="148">
        <v>46185.0</v>
      </c>
      <c r="B1836" s="149">
        <v>0.3958333333333333</v>
      </c>
      <c r="C1836" s="11" t="s">
        <v>32</v>
      </c>
      <c r="D1836" s="102" t="s">
        <v>33</v>
      </c>
      <c r="E1836" s="10" t="s">
        <v>34</v>
      </c>
      <c r="F1836" s="10" t="s">
        <v>5432</v>
      </c>
      <c r="G1836" s="11" t="s">
        <v>5457</v>
      </c>
      <c r="H1836" s="11" t="s">
        <v>5458</v>
      </c>
      <c r="I1836" s="10" t="s">
        <v>5459</v>
      </c>
      <c r="J1836" s="14">
        <v>51476.0</v>
      </c>
      <c r="K1836" s="14">
        <v>27333.0</v>
      </c>
      <c r="L1836" s="17">
        <v>0.5306</v>
      </c>
      <c r="M1836" s="150">
        <v>11209.0</v>
      </c>
      <c r="N1836" s="136">
        <v>0.409</v>
      </c>
      <c r="O1836" s="18">
        <v>1609.0</v>
      </c>
      <c r="P1836" s="92">
        <v>1501.0</v>
      </c>
      <c r="Q1836" s="137">
        <v>0.055</v>
      </c>
      <c r="R1836" s="17">
        <v>0.1344</v>
      </c>
      <c r="S1836" s="18">
        <v>30.0</v>
      </c>
      <c r="T1836" s="18">
        <v>0.0</v>
      </c>
      <c r="U1836" s="151">
        <v>333718.0</v>
      </c>
      <c r="V1836" s="92" t="s">
        <v>183</v>
      </c>
      <c r="W1836" s="18" t="s">
        <v>76</v>
      </c>
      <c r="X1836" s="174" t="s">
        <v>41</v>
      </c>
      <c r="Y1836" s="94" t="s">
        <v>5435</v>
      </c>
      <c r="Z1836" s="18" t="s">
        <v>5460</v>
      </c>
      <c r="AA1836" s="92">
        <v>14.0</v>
      </c>
      <c r="AB1836" s="18">
        <v>1.0</v>
      </c>
      <c r="AC1836" s="18">
        <v>13.0</v>
      </c>
      <c r="AD1836" s="14">
        <v>147848.0</v>
      </c>
      <c r="AE1836" s="14">
        <v>1200.0</v>
      </c>
      <c r="AF1836" s="14">
        <v>146648.0</v>
      </c>
      <c r="AG1836" s="22"/>
      <c r="AH1836" s="22"/>
      <c r="AI1836" s="22"/>
      <c r="AJ1836" s="22"/>
      <c r="AK1836" s="22"/>
      <c r="AL1836" s="22"/>
      <c r="AM1836" s="22"/>
      <c r="AN1836" s="22"/>
      <c r="AO1836" s="22"/>
      <c r="AP1836" s="22"/>
    </row>
    <row r="1837" hidden="1">
      <c r="A1837" s="148">
        <v>46185.0</v>
      </c>
      <c r="B1837" s="149">
        <v>0.3993055555555556</v>
      </c>
      <c r="C1837" s="11" t="s">
        <v>32</v>
      </c>
      <c r="D1837" s="102" t="s">
        <v>33</v>
      </c>
      <c r="E1837" s="10" t="s">
        <v>34</v>
      </c>
      <c r="F1837" s="10" t="s">
        <v>5432</v>
      </c>
      <c r="G1837" s="11" t="s">
        <v>5461</v>
      </c>
      <c r="H1837" s="11" t="s">
        <v>5462</v>
      </c>
      <c r="I1837" s="10" t="s">
        <v>5463</v>
      </c>
      <c r="J1837" s="14">
        <v>32797.0</v>
      </c>
      <c r="K1837" s="14">
        <v>15449.0</v>
      </c>
      <c r="L1837" s="17">
        <v>0.4708</v>
      </c>
      <c r="M1837" s="150">
        <v>5707.0</v>
      </c>
      <c r="N1837" s="136">
        <v>0.3669</v>
      </c>
      <c r="O1837" s="18">
        <v>876.0</v>
      </c>
      <c r="P1837" s="92">
        <v>822.0</v>
      </c>
      <c r="Q1837" s="137">
        <v>0.0532</v>
      </c>
      <c r="R1837" s="17">
        <v>0.1451</v>
      </c>
      <c r="S1837" s="18">
        <v>11.0</v>
      </c>
      <c r="T1837" s="18">
        <v>0.0</v>
      </c>
      <c r="U1837" s="151">
        <v>77499.0</v>
      </c>
      <c r="V1837" s="92" t="s">
        <v>183</v>
      </c>
      <c r="W1837" s="18" t="s">
        <v>76</v>
      </c>
      <c r="X1837" s="174" t="s">
        <v>5464</v>
      </c>
      <c r="Y1837" s="94" t="s">
        <v>5435</v>
      </c>
      <c r="Z1837" s="18" t="s">
        <v>5465</v>
      </c>
      <c r="AA1837" s="92">
        <v>13.0</v>
      </c>
      <c r="AB1837" s="18">
        <v>2.0</v>
      </c>
      <c r="AC1837" s="18">
        <v>11.0</v>
      </c>
      <c r="AD1837" s="14">
        <v>122559.0</v>
      </c>
      <c r="AE1837" s="14">
        <v>8499.0</v>
      </c>
      <c r="AF1837" s="14">
        <v>114060.0</v>
      </c>
      <c r="AG1837" s="22"/>
      <c r="AH1837" s="22"/>
      <c r="AI1837" s="22"/>
      <c r="AJ1837" s="22"/>
      <c r="AK1837" s="22"/>
      <c r="AL1837" s="22"/>
      <c r="AM1837" s="22"/>
      <c r="AN1837" s="22"/>
      <c r="AO1837" s="22"/>
      <c r="AP1837" s="22"/>
    </row>
    <row r="1838" hidden="1">
      <c r="A1838" s="148">
        <v>46185.0</v>
      </c>
      <c r="B1838" s="149">
        <v>0.4027777777777778</v>
      </c>
      <c r="C1838" s="11" t="s">
        <v>32</v>
      </c>
      <c r="D1838" s="102" t="s">
        <v>33</v>
      </c>
      <c r="E1838" s="10" t="s">
        <v>34</v>
      </c>
      <c r="F1838" s="10" t="s">
        <v>5432</v>
      </c>
      <c r="G1838" s="11" t="s">
        <v>5466</v>
      </c>
      <c r="H1838" s="11" t="s">
        <v>5467</v>
      </c>
      <c r="I1838" s="10" t="s">
        <v>5468</v>
      </c>
      <c r="J1838" s="14">
        <v>111322.0</v>
      </c>
      <c r="K1838" s="14">
        <v>56262.0</v>
      </c>
      <c r="L1838" s="17">
        <v>0.5049</v>
      </c>
      <c r="M1838" s="150">
        <v>20704.0</v>
      </c>
      <c r="N1838" s="136">
        <v>0.3664</v>
      </c>
      <c r="O1838" s="18">
        <v>2567.0</v>
      </c>
      <c r="P1838" s="92">
        <v>2414.0</v>
      </c>
      <c r="Q1838" s="137">
        <v>0.043</v>
      </c>
      <c r="R1838" s="17">
        <v>0.1172</v>
      </c>
      <c r="S1838" s="18">
        <v>7.0</v>
      </c>
      <c r="T1838" s="18">
        <v>0.0</v>
      </c>
      <c r="U1838" s="151">
        <v>41673.0</v>
      </c>
      <c r="V1838" s="92" t="s">
        <v>183</v>
      </c>
      <c r="W1838" s="18" t="s">
        <v>76</v>
      </c>
      <c r="X1838" s="174" t="s">
        <v>69</v>
      </c>
      <c r="Y1838" s="94" t="s">
        <v>5435</v>
      </c>
      <c r="Z1838" s="18" t="s">
        <v>5469</v>
      </c>
      <c r="AA1838" s="92">
        <v>22.0</v>
      </c>
      <c r="AB1838" s="18">
        <v>3.0</v>
      </c>
      <c r="AC1838" s="18">
        <v>19.0</v>
      </c>
      <c r="AD1838" s="14">
        <v>240053.0</v>
      </c>
      <c r="AE1838" s="14">
        <v>23748.0</v>
      </c>
      <c r="AF1838" s="14">
        <v>216305.0</v>
      </c>
      <c r="AG1838" s="22"/>
      <c r="AH1838" s="22"/>
      <c r="AI1838" s="22"/>
      <c r="AJ1838" s="22"/>
      <c r="AK1838" s="22"/>
      <c r="AL1838" s="22"/>
      <c r="AM1838" s="22"/>
      <c r="AN1838" s="22"/>
      <c r="AO1838" s="22"/>
      <c r="AP1838" s="22"/>
    </row>
    <row r="1839" hidden="1">
      <c r="A1839" s="148">
        <v>46185.0</v>
      </c>
      <c r="B1839" s="149">
        <v>0.40625</v>
      </c>
      <c r="C1839" s="11" t="s">
        <v>32</v>
      </c>
      <c r="D1839" s="102" t="s">
        <v>33</v>
      </c>
      <c r="E1839" s="10" t="s">
        <v>34</v>
      </c>
      <c r="F1839" s="10" t="s">
        <v>5432</v>
      </c>
      <c r="G1839" s="11" t="s">
        <v>5470</v>
      </c>
      <c r="H1839" s="11" t="s">
        <v>5471</v>
      </c>
      <c r="I1839" s="10" t="s">
        <v>5472</v>
      </c>
      <c r="J1839" s="14">
        <v>47109.0</v>
      </c>
      <c r="K1839" s="14">
        <v>22820.0</v>
      </c>
      <c r="L1839" s="17">
        <v>0.4834</v>
      </c>
      <c r="M1839" s="150">
        <v>7961.0</v>
      </c>
      <c r="N1839" s="136">
        <v>0.3473</v>
      </c>
      <c r="O1839" s="18">
        <v>833.0</v>
      </c>
      <c r="P1839" s="92">
        <v>792.0</v>
      </c>
      <c r="Q1839" s="137">
        <v>0.0348</v>
      </c>
      <c r="R1839" s="17">
        <v>0.1002</v>
      </c>
      <c r="S1839" s="18">
        <v>4.0</v>
      </c>
      <c r="T1839" s="18">
        <v>0.0</v>
      </c>
      <c r="U1839" s="151">
        <v>38196.0</v>
      </c>
      <c r="V1839" s="92" t="s">
        <v>183</v>
      </c>
      <c r="W1839" s="18" t="s">
        <v>76</v>
      </c>
      <c r="X1839" s="174" t="s">
        <v>69</v>
      </c>
      <c r="Y1839" s="94" t="s">
        <v>5435</v>
      </c>
      <c r="Z1839" s="18" t="s">
        <v>5473</v>
      </c>
      <c r="AA1839" s="92">
        <v>8.0</v>
      </c>
      <c r="AB1839" s="18">
        <v>0.0</v>
      </c>
      <c r="AC1839" s="18">
        <v>8.0</v>
      </c>
      <c r="AD1839" s="14">
        <v>67210.0</v>
      </c>
      <c r="AE1839" s="14">
        <v>0.0</v>
      </c>
      <c r="AF1839" s="14">
        <v>67210.0</v>
      </c>
      <c r="AG1839" s="22"/>
      <c r="AH1839" s="22"/>
      <c r="AI1839" s="22"/>
      <c r="AJ1839" s="22"/>
      <c r="AK1839" s="22"/>
      <c r="AL1839" s="22"/>
      <c r="AM1839" s="22"/>
      <c r="AN1839" s="22"/>
      <c r="AO1839" s="22"/>
      <c r="AP1839" s="22"/>
    </row>
    <row r="1840" hidden="1">
      <c r="A1840" s="148">
        <v>46185.0</v>
      </c>
      <c r="B1840" s="149">
        <v>0.4097222222222222</v>
      </c>
      <c r="C1840" s="11" t="s">
        <v>32</v>
      </c>
      <c r="D1840" s="102" t="s">
        <v>33</v>
      </c>
      <c r="E1840" s="10" t="s">
        <v>34</v>
      </c>
      <c r="F1840" s="10" t="s">
        <v>5432</v>
      </c>
      <c r="G1840" s="11" t="s">
        <v>5474</v>
      </c>
      <c r="H1840" s="11" t="s">
        <v>5475</v>
      </c>
      <c r="I1840" s="10" t="s">
        <v>5476</v>
      </c>
      <c r="J1840" s="14">
        <v>15308.0</v>
      </c>
      <c r="K1840" s="14">
        <v>8460.0</v>
      </c>
      <c r="L1840" s="17">
        <v>0.5513</v>
      </c>
      <c r="M1840" s="150">
        <v>3866.0</v>
      </c>
      <c r="N1840" s="136">
        <v>0.4544</v>
      </c>
      <c r="O1840" s="18">
        <v>776.0</v>
      </c>
      <c r="P1840" s="92">
        <v>721.0</v>
      </c>
      <c r="Q1840" s="137">
        <v>0.0854</v>
      </c>
      <c r="R1840" s="17">
        <v>0.188</v>
      </c>
      <c r="S1840" s="18">
        <v>3.0</v>
      </c>
      <c r="T1840" s="18">
        <v>0.0</v>
      </c>
      <c r="U1840" s="151">
        <v>22478.0</v>
      </c>
      <c r="V1840" s="92" t="s">
        <v>183</v>
      </c>
      <c r="W1840" s="18" t="s">
        <v>76</v>
      </c>
      <c r="X1840" s="174" t="s">
        <v>2286</v>
      </c>
      <c r="Y1840" s="94" t="s">
        <v>5435</v>
      </c>
      <c r="Z1840" s="18" t="s">
        <v>5477</v>
      </c>
      <c r="AA1840" s="92">
        <v>22.0</v>
      </c>
      <c r="AB1840" s="18">
        <v>2.0</v>
      </c>
      <c r="AC1840" s="18">
        <v>20.0</v>
      </c>
      <c r="AD1840" s="14">
        <v>211358.0</v>
      </c>
      <c r="AE1840" s="14">
        <v>18538.0</v>
      </c>
      <c r="AF1840" s="14">
        <v>192820.0</v>
      </c>
      <c r="AG1840" s="22"/>
      <c r="AH1840" s="22"/>
      <c r="AI1840" s="22"/>
      <c r="AJ1840" s="22"/>
      <c r="AK1840" s="22"/>
      <c r="AL1840" s="22"/>
      <c r="AM1840" s="22"/>
      <c r="AN1840" s="22"/>
      <c r="AO1840" s="22"/>
      <c r="AP1840" s="22"/>
    </row>
    <row r="1841" hidden="1">
      <c r="A1841" s="148">
        <v>46185.0</v>
      </c>
      <c r="B1841" s="149">
        <v>0.4201388888888889</v>
      </c>
      <c r="C1841" s="11" t="s">
        <v>32</v>
      </c>
      <c r="D1841" s="102" t="s">
        <v>33</v>
      </c>
      <c r="E1841" s="10" t="s">
        <v>34</v>
      </c>
      <c r="F1841" s="10" t="s">
        <v>5432</v>
      </c>
      <c r="G1841" s="11" t="s">
        <v>5478</v>
      </c>
      <c r="H1841" s="11" t="s">
        <v>3821</v>
      </c>
      <c r="I1841" s="10" t="s">
        <v>5479</v>
      </c>
      <c r="J1841" s="14">
        <v>103797.0</v>
      </c>
      <c r="K1841" s="14">
        <v>51094.0</v>
      </c>
      <c r="L1841" s="17">
        <v>0.4922</v>
      </c>
      <c r="M1841" s="150">
        <v>19404.0</v>
      </c>
      <c r="N1841" s="136">
        <v>0.3798</v>
      </c>
      <c r="O1841" s="18">
        <v>3169.0</v>
      </c>
      <c r="P1841" s="92">
        <v>3004.0</v>
      </c>
      <c r="Q1841" s="137">
        <v>0.0588</v>
      </c>
      <c r="R1841" s="17">
        <v>0.1548</v>
      </c>
      <c r="S1841" s="18">
        <v>6.0</v>
      </c>
      <c r="T1841" s="18">
        <v>0.0</v>
      </c>
      <c r="U1841" s="151">
        <v>39165.0</v>
      </c>
      <c r="V1841" s="92" t="s">
        <v>183</v>
      </c>
      <c r="W1841" s="18" t="s">
        <v>76</v>
      </c>
      <c r="X1841" s="174" t="s">
        <v>5480</v>
      </c>
      <c r="Y1841" s="94" t="s">
        <v>5435</v>
      </c>
      <c r="Z1841" s="18" t="s">
        <v>5481</v>
      </c>
      <c r="AA1841" s="92">
        <v>14.0</v>
      </c>
      <c r="AB1841" s="18">
        <v>4.0</v>
      </c>
      <c r="AC1841" s="18">
        <v>10.0</v>
      </c>
      <c r="AD1841" s="14">
        <v>127020.0</v>
      </c>
      <c r="AE1841" s="14">
        <v>31931.0</v>
      </c>
      <c r="AF1841" s="14">
        <v>95089.0</v>
      </c>
      <c r="AG1841" s="22"/>
      <c r="AH1841" s="22"/>
      <c r="AI1841" s="22"/>
      <c r="AJ1841" s="22"/>
      <c r="AK1841" s="22"/>
      <c r="AL1841" s="22"/>
      <c r="AM1841" s="22"/>
      <c r="AN1841" s="22"/>
      <c r="AO1841" s="22"/>
      <c r="AP1841" s="22"/>
    </row>
    <row r="1842" hidden="1">
      <c r="A1842" s="148">
        <v>46183.0</v>
      </c>
      <c r="B1842" s="149">
        <v>0.7083333333333334</v>
      </c>
      <c r="C1842" s="11" t="s">
        <v>32</v>
      </c>
      <c r="D1842" s="102" t="s">
        <v>33</v>
      </c>
      <c r="E1842" s="10" t="s">
        <v>179</v>
      </c>
      <c r="F1842" s="10" t="s">
        <v>5482</v>
      </c>
      <c r="G1842" s="11" t="s">
        <v>5483</v>
      </c>
      <c r="H1842" s="11" t="s">
        <v>5484</v>
      </c>
      <c r="I1842" s="10" t="s">
        <v>5485</v>
      </c>
      <c r="J1842" s="14">
        <v>23216.0</v>
      </c>
      <c r="K1842" s="14">
        <v>13534.0</v>
      </c>
      <c r="L1842" s="17">
        <v>0.5828</v>
      </c>
      <c r="M1842" s="150">
        <v>4214.0</v>
      </c>
      <c r="N1842" s="136">
        <v>0.3114</v>
      </c>
      <c r="O1842" s="18">
        <v>1195.0</v>
      </c>
      <c r="P1842" s="92">
        <v>1045.0</v>
      </c>
      <c r="Q1842" s="137">
        <v>0.0772</v>
      </c>
      <c r="R1842" s="17">
        <v>0.248</v>
      </c>
      <c r="S1842" s="18">
        <v>111.0</v>
      </c>
      <c r="T1842" s="18">
        <v>0.0</v>
      </c>
      <c r="U1842" s="151">
        <v>760467.0</v>
      </c>
      <c r="V1842" s="92" t="s">
        <v>335</v>
      </c>
      <c r="W1842" s="18" t="s">
        <v>76</v>
      </c>
      <c r="X1842" s="174" t="s">
        <v>2612</v>
      </c>
      <c r="Y1842" s="94" t="s">
        <v>5486</v>
      </c>
      <c r="Z1842" s="18" t="s">
        <v>5487</v>
      </c>
      <c r="AA1842" s="92">
        <v>140.0</v>
      </c>
      <c r="AB1842" s="18">
        <v>140.0</v>
      </c>
      <c r="AC1842" s="18"/>
      <c r="AD1842" s="14">
        <v>885756.0</v>
      </c>
      <c r="AE1842" s="14">
        <v>885756.0</v>
      </c>
      <c r="AF1842" s="14"/>
      <c r="AG1842" s="22"/>
      <c r="AH1842" s="22"/>
      <c r="AI1842" s="22"/>
      <c r="AJ1842" s="22"/>
      <c r="AK1842" s="22"/>
      <c r="AL1842" s="22"/>
      <c r="AM1842" s="22"/>
      <c r="AN1842" s="22"/>
      <c r="AO1842" s="22"/>
      <c r="AP1842" s="22"/>
    </row>
    <row r="1843" hidden="1">
      <c r="A1843" s="148">
        <v>46184.0</v>
      </c>
      <c r="B1843" s="149">
        <v>0.3541666666666667</v>
      </c>
      <c r="C1843" s="11" t="s">
        <v>32</v>
      </c>
      <c r="D1843" s="102" t="s">
        <v>33</v>
      </c>
      <c r="E1843" s="10" t="s">
        <v>179</v>
      </c>
      <c r="F1843" s="10" t="s">
        <v>5482</v>
      </c>
      <c r="G1843" s="11" t="s">
        <v>5488</v>
      </c>
      <c r="H1843" s="11" t="s">
        <v>5489</v>
      </c>
      <c r="I1843" s="10" t="s">
        <v>5490</v>
      </c>
      <c r="J1843" s="14">
        <v>61790.0</v>
      </c>
      <c r="K1843" s="14">
        <v>34822.0</v>
      </c>
      <c r="L1843" s="17">
        <v>0.5635</v>
      </c>
      <c r="M1843" s="150">
        <v>9191.0</v>
      </c>
      <c r="N1843" s="136">
        <v>0.2637</v>
      </c>
      <c r="O1843" s="18">
        <v>894.0</v>
      </c>
      <c r="P1843" s="92">
        <v>847.0</v>
      </c>
      <c r="Q1843" s="137">
        <v>0.0243</v>
      </c>
      <c r="R1843" s="17">
        <v>0.0922</v>
      </c>
      <c r="S1843" s="18">
        <v>240.0</v>
      </c>
      <c r="T1843" s="18">
        <v>0.0</v>
      </c>
      <c r="U1843" s="151">
        <v>2265240.0</v>
      </c>
      <c r="V1843" s="92" t="s">
        <v>315</v>
      </c>
      <c r="W1843" s="18" t="s">
        <v>76</v>
      </c>
      <c r="X1843" s="174" t="s">
        <v>52</v>
      </c>
      <c r="Y1843" s="94" t="s">
        <v>5491</v>
      </c>
      <c r="Z1843" s="18" t="s">
        <v>5492</v>
      </c>
      <c r="AA1843" s="92">
        <v>375.0</v>
      </c>
      <c r="AB1843" s="18"/>
      <c r="AC1843" s="92">
        <v>375.0</v>
      </c>
      <c r="AD1843" s="14">
        <v>3227534.0</v>
      </c>
      <c r="AE1843" s="14"/>
      <c r="AF1843" s="14">
        <v>3227534.0</v>
      </c>
      <c r="AG1843" s="22"/>
      <c r="AH1843" s="22"/>
      <c r="AI1843" s="22"/>
      <c r="AJ1843" s="22"/>
      <c r="AK1843" s="22"/>
      <c r="AL1843" s="22"/>
      <c r="AM1843" s="22"/>
      <c r="AN1843" s="22"/>
      <c r="AO1843" s="22"/>
      <c r="AP1843" s="22"/>
    </row>
    <row r="1844" hidden="1">
      <c r="A1844" s="148">
        <v>46184.0</v>
      </c>
      <c r="B1844" s="149">
        <v>0.3576388888888889</v>
      </c>
      <c r="C1844" s="11" t="s">
        <v>32</v>
      </c>
      <c r="D1844" s="102" t="s">
        <v>33</v>
      </c>
      <c r="E1844" s="10" t="s">
        <v>179</v>
      </c>
      <c r="F1844" s="10" t="s">
        <v>5482</v>
      </c>
      <c r="G1844" s="11" t="s">
        <v>5493</v>
      </c>
      <c r="H1844" s="11" t="s">
        <v>5494</v>
      </c>
      <c r="I1844" s="10" t="s">
        <v>5495</v>
      </c>
      <c r="J1844" s="14">
        <v>20963.0</v>
      </c>
      <c r="K1844" s="14">
        <v>12540.0</v>
      </c>
      <c r="L1844" s="17">
        <v>0.5981</v>
      </c>
      <c r="M1844" s="150">
        <v>3938.0</v>
      </c>
      <c r="N1844" s="136">
        <v>0.3138</v>
      </c>
      <c r="O1844" s="18">
        <v>656.0</v>
      </c>
      <c r="P1844" s="92">
        <v>614.0</v>
      </c>
      <c r="Q1844" s="137">
        <v>0.049</v>
      </c>
      <c r="R1844" s="17">
        <v>0.156</v>
      </c>
      <c r="S1844" s="18">
        <v>92.0</v>
      </c>
      <c r="T1844" s="18">
        <v>0.0</v>
      </c>
      <c r="U1844" s="151">
        <v>997018.0</v>
      </c>
      <c r="V1844" s="92" t="s">
        <v>315</v>
      </c>
      <c r="W1844" s="18" t="s">
        <v>76</v>
      </c>
      <c r="X1844" s="174" t="s">
        <v>2286</v>
      </c>
      <c r="Y1844" s="94" t="s">
        <v>5491</v>
      </c>
      <c r="Z1844" s="18" t="s">
        <v>5496</v>
      </c>
      <c r="AA1844" s="92">
        <v>143.0</v>
      </c>
      <c r="AB1844" s="18"/>
      <c r="AC1844" s="18">
        <v>143.0</v>
      </c>
      <c r="AD1844" s="14">
        <v>1435922.0</v>
      </c>
      <c r="AE1844" s="14"/>
      <c r="AF1844" s="14">
        <v>1435922.0</v>
      </c>
      <c r="AG1844" s="22"/>
      <c r="AH1844" s="22"/>
      <c r="AI1844" s="22"/>
      <c r="AJ1844" s="22"/>
      <c r="AK1844" s="22"/>
      <c r="AL1844" s="22"/>
      <c r="AM1844" s="22"/>
      <c r="AN1844" s="22"/>
      <c r="AO1844" s="22"/>
      <c r="AP1844" s="22"/>
    </row>
    <row r="1845" hidden="1">
      <c r="A1845" s="148">
        <v>46184.0</v>
      </c>
      <c r="B1845" s="149">
        <v>0.3611111111111111</v>
      </c>
      <c r="C1845" s="11" t="s">
        <v>32</v>
      </c>
      <c r="D1845" s="102" t="s">
        <v>33</v>
      </c>
      <c r="E1845" s="10" t="s">
        <v>179</v>
      </c>
      <c r="F1845" s="10" t="s">
        <v>5482</v>
      </c>
      <c r="G1845" s="11" t="s">
        <v>5497</v>
      </c>
      <c r="H1845" s="11" t="s">
        <v>5498</v>
      </c>
      <c r="I1845" s="10" t="s">
        <v>5499</v>
      </c>
      <c r="J1845" s="14">
        <v>58255.0</v>
      </c>
      <c r="K1845" s="14">
        <v>33810.0</v>
      </c>
      <c r="L1845" s="17">
        <v>0.5803</v>
      </c>
      <c r="M1845" s="150">
        <v>9127.0</v>
      </c>
      <c r="N1845" s="136">
        <v>0.2698</v>
      </c>
      <c r="O1845" s="18">
        <v>860.0</v>
      </c>
      <c r="P1845" s="92">
        <v>817.0</v>
      </c>
      <c r="Q1845" s="137">
        <v>0.0242</v>
      </c>
      <c r="R1845" s="17">
        <v>0.0896</v>
      </c>
      <c r="S1845" s="18">
        <v>157.0</v>
      </c>
      <c r="T1845" s="18">
        <v>0.0</v>
      </c>
      <c r="U1845" s="151">
        <v>1125233.0</v>
      </c>
      <c r="V1845" s="92" t="s">
        <v>315</v>
      </c>
      <c r="W1845" s="18" t="s">
        <v>76</v>
      </c>
      <c r="X1845" s="174" t="s">
        <v>41</v>
      </c>
      <c r="Y1845" s="94" t="s">
        <v>5491</v>
      </c>
      <c r="Z1845" s="18" t="s">
        <v>5500</v>
      </c>
      <c r="AA1845" s="92">
        <v>217.0</v>
      </c>
      <c r="AB1845" s="18"/>
      <c r="AC1845" s="18">
        <v>217.0</v>
      </c>
      <c r="AD1845" s="14">
        <v>333039.0</v>
      </c>
      <c r="AE1845" s="14"/>
      <c r="AF1845" s="14">
        <v>333039.0</v>
      </c>
      <c r="AG1845" s="22"/>
      <c r="AH1845" s="22"/>
      <c r="AI1845" s="22"/>
      <c r="AJ1845" s="22"/>
      <c r="AK1845" s="22"/>
      <c r="AL1845" s="22"/>
      <c r="AM1845" s="22"/>
      <c r="AN1845" s="22"/>
      <c r="AO1845" s="22"/>
      <c r="AP1845" s="22"/>
    </row>
    <row r="1846" hidden="1">
      <c r="A1846" s="148">
        <v>46184.0</v>
      </c>
      <c r="B1846" s="149">
        <v>0.3645833333333333</v>
      </c>
      <c r="C1846" s="11" t="s">
        <v>32</v>
      </c>
      <c r="D1846" s="102" t="s">
        <v>33</v>
      </c>
      <c r="E1846" s="10" t="s">
        <v>179</v>
      </c>
      <c r="F1846" s="10" t="s">
        <v>5482</v>
      </c>
      <c r="G1846" s="11" t="s">
        <v>5501</v>
      </c>
      <c r="H1846" s="11" t="s">
        <v>5502</v>
      </c>
      <c r="I1846" s="10" t="s">
        <v>5503</v>
      </c>
      <c r="J1846" s="14">
        <v>59989.0</v>
      </c>
      <c r="K1846" s="14">
        <v>32661.0</v>
      </c>
      <c r="L1846" s="17">
        <v>0.5444</v>
      </c>
      <c r="M1846" s="150">
        <v>8317.0</v>
      </c>
      <c r="N1846" s="136">
        <v>0.2544</v>
      </c>
      <c r="O1846" s="18">
        <v>702.0</v>
      </c>
      <c r="P1846" s="92">
        <v>663.0</v>
      </c>
      <c r="Q1846" s="137">
        <v>0.0203</v>
      </c>
      <c r="R1846" s="17">
        <v>0.0798</v>
      </c>
      <c r="S1846" s="18">
        <v>101.0</v>
      </c>
      <c r="T1846" s="18">
        <v>0.0</v>
      </c>
      <c r="U1846" s="151">
        <v>938911.0</v>
      </c>
      <c r="V1846" s="92" t="s">
        <v>315</v>
      </c>
      <c r="W1846" s="18" t="s">
        <v>76</v>
      </c>
      <c r="X1846" s="174" t="s">
        <v>69</v>
      </c>
      <c r="Y1846" s="94" t="s">
        <v>5491</v>
      </c>
      <c r="Z1846" s="18" t="s">
        <v>5504</v>
      </c>
      <c r="AA1846" s="92">
        <v>139.0</v>
      </c>
      <c r="AB1846" s="18"/>
      <c r="AC1846" s="18">
        <v>139.0</v>
      </c>
      <c r="AD1846" s="14">
        <v>1383538.0</v>
      </c>
      <c r="AE1846" s="14"/>
      <c r="AF1846" s="14">
        <v>1383538.0</v>
      </c>
      <c r="AG1846" s="22"/>
      <c r="AH1846" s="22"/>
      <c r="AI1846" s="22"/>
      <c r="AJ1846" s="22"/>
      <c r="AK1846" s="22"/>
      <c r="AL1846" s="22"/>
      <c r="AM1846" s="22"/>
      <c r="AN1846" s="22"/>
      <c r="AO1846" s="22"/>
      <c r="AP1846" s="22"/>
    </row>
    <row r="1847" hidden="1">
      <c r="A1847" s="148">
        <v>46184.0</v>
      </c>
      <c r="B1847" s="149">
        <v>0.3680555555555556</v>
      </c>
      <c r="C1847" s="11" t="s">
        <v>32</v>
      </c>
      <c r="D1847" s="102" t="s">
        <v>33</v>
      </c>
      <c r="E1847" s="10" t="s">
        <v>179</v>
      </c>
      <c r="F1847" s="10" t="s">
        <v>5482</v>
      </c>
      <c r="G1847" s="11" t="s">
        <v>5505</v>
      </c>
      <c r="H1847" s="11" t="s">
        <v>5506</v>
      </c>
      <c r="I1847" s="10" t="s">
        <v>5507</v>
      </c>
      <c r="J1847" s="14">
        <v>17259.0</v>
      </c>
      <c r="K1847" s="14">
        <v>7753.0</v>
      </c>
      <c r="L1847" s="17">
        <v>0.4492</v>
      </c>
      <c r="M1847" s="150">
        <v>1596.0</v>
      </c>
      <c r="N1847" s="136">
        <v>0.2059</v>
      </c>
      <c r="O1847" s="18">
        <v>177.0</v>
      </c>
      <c r="P1847" s="92">
        <v>170.0</v>
      </c>
      <c r="Q1847" s="137">
        <v>0.0219</v>
      </c>
      <c r="R1847" s="17">
        <v>0.1065</v>
      </c>
      <c r="S1847" s="18">
        <v>123.0</v>
      </c>
      <c r="T1847" s="18">
        <v>0.0</v>
      </c>
      <c r="U1847" s="151">
        <v>1808976.0</v>
      </c>
      <c r="V1847" s="92" t="s">
        <v>315</v>
      </c>
      <c r="W1847" s="18" t="s">
        <v>76</v>
      </c>
      <c r="X1847" s="174" t="s">
        <v>2840</v>
      </c>
      <c r="Y1847" s="94" t="s">
        <v>5491</v>
      </c>
      <c r="Z1847" s="18" t="s">
        <v>5508</v>
      </c>
      <c r="AA1847" s="92">
        <v>186.0</v>
      </c>
      <c r="AB1847" s="18"/>
      <c r="AC1847" s="18">
        <v>186.0</v>
      </c>
      <c r="AD1847" s="14">
        <v>2616685.0</v>
      </c>
      <c r="AE1847" s="14"/>
      <c r="AF1847" s="14">
        <v>2616685.0</v>
      </c>
      <c r="AG1847" s="22"/>
      <c r="AH1847" s="22"/>
      <c r="AI1847" s="22"/>
      <c r="AJ1847" s="22"/>
      <c r="AK1847" s="22"/>
      <c r="AL1847" s="22"/>
      <c r="AM1847" s="22"/>
      <c r="AN1847" s="22"/>
      <c r="AO1847" s="22"/>
      <c r="AP1847" s="22"/>
    </row>
    <row r="1848" hidden="1">
      <c r="A1848" s="148">
        <v>46184.0</v>
      </c>
      <c r="B1848" s="149">
        <v>0.6875</v>
      </c>
      <c r="C1848" s="11" t="s">
        <v>32</v>
      </c>
      <c r="D1848" s="102" t="s">
        <v>33</v>
      </c>
      <c r="E1848" s="10" t="s">
        <v>179</v>
      </c>
      <c r="F1848" s="10" t="s">
        <v>5482</v>
      </c>
      <c r="G1848" s="11" t="s">
        <v>5509</v>
      </c>
      <c r="H1848" s="11" t="s">
        <v>5510</v>
      </c>
      <c r="I1848" s="10" t="s">
        <v>5511</v>
      </c>
      <c r="J1848" s="14">
        <v>9319.0</v>
      </c>
      <c r="K1848" s="14">
        <v>5429.0</v>
      </c>
      <c r="L1848" s="17">
        <v>0.5826</v>
      </c>
      <c r="M1848" s="150">
        <v>1633.0</v>
      </c>
      <c r="N1848" s="136">
        <v>0.3006</v>
      </c>
      <c r="O1848" s="18">
        <v>424.0</v>
      </c>
      <c r="P1848" s="92">
        <v>386.0</v>
      </c>
      <c r="Q1848" s="137">
        <v>0.0711</v>
      </c>
      <c r="R1848" s="17">
        <v>0.2365</v>
      </c>
      <c r="S1848" s="18">
        <v>45.0</v>
      </c>
      <c r="T1848" s="18">
        <v>0.0</v>
      </c>
      <c r="U1848" s="151">
        <v>264829.0</v>
      </c>
      <c r="V1848" s="92" t="s">
        <v>335</v>
      </c>
      <c r="W1848" s="18" t="s">
        <v>76</v>
      </c>
      <c r="X1848" s="174" t="s">
        <v>4645</v>
      </c>
      <c r="Y1848" s="94" t="s">
        <v>5491</v>
      </c>
      <c r="Z1848" s="18" t="s">
        <v>5512</v>
      </c>
      <c r="AA1848" s="92">
        <v>75.0</v>
      </c>
      <c r="AB1848" s="18">
        <v>75.0</v>
      </c>
      <c r="AC1848" s="18"/>
      <c r="AD1848" s="14">
        <v>411956.0</v>
      </c>
      <c r="AE1848" s="14">
        <v>411956.0</v>
      </c>
      <c r="AF1848" s="14"/>
      <c r="AG1848" s="22"/>
      <c r="AH1848" s="22"/>
      <c r="AI1848" s="22"/>
      <c r="AJ1848" s="22"/>
      <c r="AK1848" s="22"/>
      <c r="AL1848" s="22"/>
      <c r="AM1848" s="22"/>
      <c r="AN1848" s="22"/>
      <c r="AO1848" s="22"/>
      <c r="AP1848" s="22"/>
    </row>
    <row r="1849" hidden="1">
      <c r="A1849" s="148">
        <v>46184.0</v>
      </c>
      <c r="B1849" s="149">
        <v>0.6875</v>
      </c>
      <c r="C1849" s="11" t="s">
        <v>32</v>
      </c>
      <c r="D1849" s="102" t="s">
        <v>33</v>
      </c>
      <c r="E1849" s="10" t="s">
        <v>179</v>
      </c>
      <c r="F1849" s="10" t="s">
        <v>5482</v>
      </c>
      <c r="G1849" s="11" t="s">
        <v>5513</v>
      </c>
      <c r="H1849" s="11" t="s">
        <v>5514</v>
      </c>
      <c r="I1849" s="10" t="s">
        <v>5515</v>
      </c>
      <c r="J1849" s="14">
        <v>75860.0</v>
      </c>
      <c r="K1849" s="14">
        <v>43577.0</v>
      </c>
      <c r="L1849" s="17">
        <v>0.5744</v>
      </c>
      <c r="M1849" s="150">
        <v>11558.0</v>
      </c>
      <c r="N1849" s="136">
        <v>0.2652</v>
      </c>
      <c r="O1849" s="18">
        <v>2132.0</v>
      </c>
      <c r="P1849" s="92">
        <v>1974.0</v>
      </c>
      <c r="Q1849" s="137">
        <v>0.0453</v>
      </c>
      <c r="R1849" s="17">
        <v>0.1708</v>
      </c>
      <c r="S1849" s="18">
        <v>166.0</v>
      </c>
      <c r="T1849" s="18">
        <v>0.0</v>
      </c>
      <c r="U1849" s="151">
        <v>979416.0</v>
      </c>
      <c r="V1849" s="92" t="s">
        <v>335</v>
      </c>
      <c r="W1849" s="18" t="s">
        <v>76</v>
      </c>
      <c r="X1849" s="174" t="s">
        <v>52</v>
      </c>
      <c r="Y1849" s="94" t="s">
        <v>5491</v>
      </c>
      <c r="Z1849" s="18" t="s">
        <v>5516</v>
      </c>
      <c r="AA1849" s="92">
        <v>232.0</v>
      </c>
      <c r="AB1849" s="18">
        <v>232.0</v>
      </c>
      <c r="AC1849" s="18"/>
      <c r="AD1849" s="14">
        <v>1361292.0</v>
      </c>
      <c r="AE1849" s="14">
        <v>1361292.0</v>
      </c>
      <c r="AF1849" s="14"/>
      <c r="AG1849" s="22"/>
      <c r="AH1849" s="22"/>
      <c r="AI1849" s="22"/>
      <c r="AJ1849" s="22"/>
      <c r="AK1849" s="22"/>
      <c r="AL1849" s="22"/>
      <c r="AM1849" s="22"/>
      <c r="AN1849" s="22"/>
      <c r="AO1849" s="22"/>
      <c r="AP1849" s="22"/>
    </row>
    <row r="1850" hidden="1">
      <c r="A1850" s="148">
        <v>46184.0</v>
      </c>
      <c r="B1850" s="149">
        <v>0.6875</v>
      </c>
      <c r="C1850" s="11" t="s">
        <v>32</v>
      </c>
      <c r="D1850" s="102" t="s">
        <v>33</v>
      </c>
      <c r="E1850" s="10" t="s">
        <v>179</v>
      </c>
      <c r="F1850" s="10" t="s">
        <v>5482</v>
      </c>
      <c r="G1850" s="11" t="s">
        <v>5517</v>
      </c>
      <c r="H1850" s="11" t="s">
        <v>5518</v>
      </c>
      <c r="I1850" s="10" t="s">
        <v>5519</v>
      </c>
      <c r="J1850" s="14">
        <v>54177.0</v>
      </c>
      <c r="K1850" s="14">
        <v>31593.0</v>
      </c>
      <c r="L1850" s="17">
        <v>0.583</v>
      </c>
      <c r="M1850" s="150">
        <v>8089.0</v>
      </c>
      <c r="N1850" s="136">
        <v>0.2561</v>
      </c>
      <c r="O1850" s="18">
        <v>1736.0</v>
      </c>
      <c r="P1850" s="92">
        <v>1592.0</v>
      </c>
      <c r="Q1850" s="137">
        <v>0.0504</v>
      </c>
      <c r="R1850" s="17">
        <v>0.1968</v>
      </c>
      <c r="S1850" s="18">
        <v>155.0</v>
      </c>
      <c r="T1850" s="18">
        <v>0.0</v>
      </c>
      <c r="U1850" s="151">
        <v>976710.0</v>
      </c>
      <c r="V1850" s="92" t="s">
        <v>335</v>
      </c>
      <c r="W1850" s="18" t="s">
        <v>76</v>
      </c>
      <c r="X1850" s="174" t="s">
        <v>2552</v>
      </c>
      <c r="Y1850" s="94" t="s">
        <v>5491</v>
      </c>
      <c r="Z1850" s="18" t="s">
        <v>5520</v>
      </c>
      <c r="AA1850" s="92">
        <v>208.0</v>
      </c>
      <c r="AB1850" s="18">
        <v>208.0</v>
      </c>
      <c r="AC1850" s="18"/>
      <c r="AD1850" s="14">
        <v>1320754.0</v>
      </c>
      <c r="AE1850" s="14">
        <v>1320754.0</v>
      </c>
      <c r="AF1850" s="14"/>
      <c r="AG1850" s="22"/>
      <c r="AH1850" s="22"/>
      <c r="AI1850" s="22"/>
      <c r="AJ1850" s="22"/>
      <c r="AK1850" s="22"/>
      <c r="AL1850" s="22"/>
      <c r="AM1850" s="22"/>
      <c r="AN1850" s="22"/>
      <c r="AO1850" s="22"/>
      <c r="AP1850" s="22"/>
    </row>
    <row r="1851" hidden="1">
      <c r="A1851" s="148">
        <v>46184.0</v>
      </c>
      <c r="B1851" s="149">
        <v>0.6875</v>
      </c>
      <c r="C1851" s="11" t="s">
        <v>32</v>
      </c>
      <c r="D1851" s="102" t="s">
        <v>33</v>
      </c>
      <c r="E1851" s="10" t="s">
        <v>179</v>
      </c>
      <c r="F1851" s="10" t="s">
        <v>5482</v>
      </c>
      <c r="G1851" s="11" t="s">
        <v>5521</v>
      </c>
      <c r="H1851" s="11" t="s">
        <v>5522</v>
      </c>
      <c r="I1851" s="10" t="s">
        <v>5523</v>
      </c>
      <c r="J1851" s="14">
        <v>166.0</v>
      </c>
      <c r="K1851" s="14">
        <v>90.0</v>
      </c>
      <c r="L1851" s="17">
        <v>0.5422</v>
      </c>
      <c r="M1851" s="150">
        <v>26.0</v>
      </c>
      <c r="N1851" s="136">
        <v>0.2889</v>
      </c>
      <c r="O1851" s="18">
        <v>8.0</v>
      </c>
      <c r="P1851" s="92">
        <v>7.0</v>
      </c>
      <c r="Q1851" s="137">
        <v>0.0778</v>
      </c>
      <c r="R1851" s="17">
        <v>0.2692</v>
      </c>
      <c r="S1851" s="18">
        <v>0.0</v>
      </c>
      <c r="T1851" s="18">
        <v>0.0</v>
      </c>
      <c r="U1851" s="151">
        <v>0.0</v>
      </c>
      <c r="V1851" s="92" t="s">
        <v>335</v>
      </c>
      <c r="W1851" s="18" t="s">
        <v>76</v>
      </c>
      <c r="X1851" s="174" t="s">
        <v>5524</v>
      </c>
      <c r="Y1851" s="94" t="s">
        <v>5491</v>
      </c>
      <c r="Z1851" s="18" t="s">
        <v>5525</v>
      </c>
      <c r="AA1851" s="92">
        <v>0.0</v>
      </c>
      <c r="AB1851" s="18">
        <v>0.0</v>
      </c>
      <c r="AC1851" s="18"/>
      <c r="AD1851" s="14">
        <v>0.0</v>
      </c>
      <c r="AE1851" s="14">
        <v>0.0</v>
      </c>
      <c r="AF1851" s="14"/>
      <c r="AG1851" s="22"/>
      <c r="AH1851" s="22"/>
      <c r="AI1851" s="22"/>
      <c r="AJ1851" s="22"/>
      <c r="AK1851" s="22"/>
      <c r="AL1851" s="22"/>
      <c r="AM1851" s="22"/>
      <c r="AN1851" s="22"/>
      <c r="AO1851" s="22"/>
      <c r="AP1851" s="22"/>
    </row>
    <row r="1852" hidden="1">
      <c r="A1852" s="148">
        <v>46184.0</v>
      </c>
      <c r="B1852" s="149">
        <v>0.6875</v>
      </c>
      <c r="C1852" s="11" t="s">
        <v>32</v>
      </c>
      <c r="D1852" s="102" t="s">
        <v>33</v>
      </c>
      <c r="E1852" s="10" t="s">
        <v>179</v>
      </c>
      <c r="F1852" s="10" t="s">
        <v>5482</v>
      </c>
      <c r="G1852" s="11" t="s">
        <v>5526</v>
      </c>
      <c r="H1852" s="11" t="s">
        <v>5527</v>
      </c>
      <c r="I1852" s="10" t="s">
        <v>5528</v>
      </c>
      <c r="J1852" s="14">
        <v>2103.0</v>
      </c>
      <c r="K1852" s="14">
        <v>1190.0</v>
      </c>
      <c r="L1852" s="17">
        <v>0.5659</v>
      </c>
      <c r="M1852" s="150">
        <v>389.0</v>
      </c>
      <c r="N1852" s="136">
        <v>0.3269</v>
      </c>
      <c r="O1852" s="18">
        <v>112.0</v>
      </c>
      <c r="P1852" s="92">
        <v>101.0</v>
      </c>
      <c r="Q1852" s="137">
        <v>0.0849</v>
      </c>
      <c r="R1852" s="17">
        <v>0.2596</v>
      </c>
      <c r="S1852" s="18">
        <v>21.0</v>
      </c>
      <c r="T1852" s="18">
        <v>0.0</v>
      </c>
      <c r="U1852" s="151">
        <v>123681.0</v>
      </c>
      <c r="V1852" s="92" t="s">
        <v>335</v>
      </c>
      <c r="W1852" s="18" t="s">
        <v>76</v>
      </c>
      <c r="X1852" s="174" t="s">
        <v>2286</v>
      </c>
      <c r="Y1852" s="94" t="s">
        <v>5491</v>
      </c>
      <c r="Z1852" s="18" t="s">
        <v>5529</v>
      </c>
      <c r="AA1852" s="92">
        <v>27.0</v>
      </c>
      <c r="AB1852" s="18">
        <v>27.0</v>
      </c>
      <c r="AC1852" s="18"/>
      <c r="AD1852" s="14">
        <v>156672.0</v>
      </c>
      <c r="AE1852" s="14">
        <v>156672.0</v>
      </c>
      <c r="AF1852" s="14"/>
      <c r="AG1852" s="22"/>
      <c r="AH1852" s="22"/>
      <c r="AI1852" s="22"/>
      <c r="AJ1852" s="22"/>
      <c r="AK1852" s="22"/>
      <c r="AL1852" s="22"/>
      <c r="AM1852" s="22"/>
      <c r="AN1852" s="22"/>
      <c r="AO1852" s="22"/>
      <c r="AP1852" s="22"/>
    </row>
    <row r="1853" hidden="1">
      <c r="A1853" s="148">
        <v>46184.0</v>
      </c>
      <c r="B1853" s="149">
        <v>0.6875</v>
      </c>
      <c r="C1853" s="11" t="s">
        <v>32</v>
      </c>
      <c r="D1853" s="102" t="s">
        <v>33</v>
      </c>
      <c r="E1853" s="10" t="s">
        <v>179</v>
      </c>
      <c r="F1853" s="10" t="s">
        <v>5482</v>
      </c>
      <c r="G1853" s="11" t="s">
        <v>5530</v>
      </c>
      <c r="H1853" s="11" t="s">
        <v>5531</v>
      </c>
      <c r="I1853" s="10" t="s">
        <v>4716</v>
      </c>
      <c r="J1853" s="14">
        <v>5254.0</v>
      </c>
      <c r="K1853" s="14">
        <v>2919.0</v>
      </c>
      <c r="L1853" s="17">
        <v>0.5556</v>
      </c>
      <c r="M1853" s="150">
        <v>795.0</v>
      </c>
      <c r="N1853" s="136">
        <v>0.2724</v>
      </c>
      <c r="O1853" s="18">
        <v>135.0</v>
      </c>
      <c r="P1853" s="92">
        <v>120.0</v>
      </c>
      <c r="Q1853" s="137">
        <v>0.0411</v>
      </c>
      <c r="R1853" s="17">
        <v>0.1509</v>
      </c>
      <c r="S1853" s="18">
        <v>14.0</v>
      </c>
      <c r="T1853" s="18">
        <v>0.0</v>
      </c>
      <c r="U1853" s="151">
        <v>118020.0</v>
      </c>
      <c r="V1853" s="92" t="s">
        <v>335</v>
      </c>
      <c r="W1853" s="18" t="s">
        <v>76</v>
      </c>
      <c r="X1853" s="174" t="s">
        <v>41</v>
      </c>
      <c r="Y1853" s="94" t="s">
        <v>5491</v>
      </c>
      <c r="Z1853" s="18" t="s">
        <v>5532</v>
      </c>
      <c r="AA1853" s="92">
        <v>17.0</v>
      </c>
      <c r="AB1853" s="92">
        <v>17.0</v>
      </c>
      <c r="AC1853" s="18"/>
      <c r="AD1853" s="14">
        <v>141904.0</v>
      </c>
      <c r="AE1853" s="14">
        <v>141904.0</v>
      </c>
      <c r="AF1853" s="14"/>
      <c r="AG1853" s="22"/>
      <c r="AH1853" s="22"/>
      <c r="AI1853" s="22"/>
      <c r="AJ1853" s="22"/>
      <c r="AK1853" s="22"/>
      <c r="AL1853" s="22"/>
      <c r="AM1853" s="22"/>
      <c r="AN1853" s="22"/>
      <c r="AO1853" s="22"/>
      <c r="AP1853" s="22"/>
    </row>
    <row r="1854" hidden="1">
      <c r="A1854" s="148">
        <v>46184.0</v>
      </c>
      <c r="B1854" s="149">
        <v>0.6875</v>
      </c>
      <c r="C1854" s="11" t="s">
        <v>32</v>
      </c>
      <c r="D1854" s="102" t="s">
        <v>33</v>
      </c>
      <c r="E1854" s="10" t="s">
        <v>179</v>
      </c>
      <c r="F1854" s="10" t="s">
        <v>5482</v>
      </c>
      <c r="G1854" s="11" t="s">
        <v>5533</v>
      </c>
      <c r="H1854" s="11" t="s">
        <v>5534</v>
      </c>
      <c r="I1854" s="10" t="s">
        <v>5535</v>
      </c>
      <c r="J1854" s="14">
        <v>74158.0</v>
      </c>
      <c r="K1854" s="14">
        <v>41329.0</v>
      </c>
      <c r="L1854" s="17">
        <v>0.5573</v>
      </c>
      <c r="M1854" s="150">
        <v>10410.0</v>
      </c>
      <c r="N1854" s="136">
        <v>0.2519</v>
      </c>
      <c r="O1854" s="18">
        <v>1586.0</v>
      </c>
      <c r="P1854" s="92">
        <v>1465.0</v>
      </c>
      <c r="Q1854" s="137">
        <v>0.0354</v>
      </c>
      <c r="R1854" s="17">
        <v>0.1407</v>
      </c>
      <c r="S1854" s="18">
        <v>65.0</v>
      </c>
      <c r="T1854" s="18">
        <v>0.0</v>
      </c>
      <c r="U1854" s="151">
        <v>331815.0</v>
      </c>
      <c r="V1854" s="92" t="s">
        <v>335</v>
      </c>
      <c r="W1854" s="18" t="s">
        <v>76</v>
      </c>
      <c r="X1854" s="174" t="s">
        <v>69</v>
      </c>
      <c r="Y1854" s="94" t="s">
        <v>5491</v>
      </c>
      <c r="Z1854" s="18" t="s">
        <v>5536</v>
      </c>
      <c r="AA1854" s="92">
        <v>81.0</v>
      </c>
      <c r="AB1854" s="92">
        <v>81.0</v>
      </c>
      <c r="AC1854" s="18"/>
      <c r="AD1854" s="14">
        <v>418463.0</v>
      </c>
      <c r="AE1854" s="14">
        <v>418463.0</v>
      </c>
      <c r="AF1854" s="14"/>
      <c r="AG1854" s="22"/>
      <c r="AH1854" s="22"/>
      <c r="AI1854" s="22"/>
      <c r="AJ1854" s="22"/>
      <c r="AK1854" s="22"/>
      <c r="AL1854" s="22"/>
      <c r="AM1854" s="22"/>
      <c r="AN1854" s="22"/>
      <c r="AO1854" s="22"/>
      <c r="AP1854" s="22"/>
    </row>
    <row r="1855" hidden="1">
      <c r="A1855" s="148">
        <v>46184.0</v>
      </c>
      <c r="B1855" s="149">
        <v>0.6875</v>
      </c>
      <c r="C1855" s="11" t="s">
        <v>32</v>
      </c>
      <c r="D1855" s="102" t="s">
        <v>33</v>
      </c>
      <c r="E1855" s="10" t="s">
        <v>179</v>
      </c>
      <c r="F1855" s="10" t="s">
        <v>5482</v>
      </c>
      <c r="G1855" s="11" t="s">
        <v>5537</v>
      </c>
      <c r="H1855" s="11" t="s">
        <v>5538</v>
      </c>
      <c r="I1855" s="10" t="s">
        <v>5539</v>
      </c>
      <c r="J1855" s="14">
        <v>6355.0</v>
      </c>
      <c r="K1855" s="14">
        <v>2890.0</v>
      </c>
      <c r="L1855" s="17">
        <v>0.4548</v>
      </c>
      <c r="M1855" s="150">
        <v>661.0</v>
      </c>
      <c r="N1855" s="136">
        <v>0.2287</v>
      </c>
      <c r="O1855" s="18">
        <v>119.0</v>
      </c>
      <c r="P1855" s="92">
        <v>114.0</v>
      </c>
      <c r="Q1855" s="137">
        <v>0.0394</v>
      </c>
      <c r="R1855" s="17">
        <v>0.1725</v>
      </c>
      <c r="S1855" s="18">
        <v>91.0</v>
      </c>
      <c r="T1855" s="18">
        <v>0.0</v>
      </c>
      <c r="U1855" s="151">
        <v>907419.0</v>
      </c>
      <c r="V1855" s="92" t="s">
        <v>335</v>
      </c>
      <c r="W1855" s="18" t="s">
        <v>76</v>
      </c>
      <c r="X1855" s="174" t="s">
        <v>2840</v>
      </c>
      <c r="Y1855" s="94" t="s">
        <v>5491</v>
      </c>
      <c r="Z1855" s="18" t="s">
        <v>5540</v>
      </c>
      <c r="AA1855" s="92">
        <v>137.0</v>
      </c>
      <c r="AB1855" s="92">
        <v>137.0</v>
      </c>
      <c r="AC1855" s="18"/>
      <c r="AD1855" s="14">
        <v>1402980.0</v>
      </c>
      <c r="AE1855" s="14">
        <v>1402980.0</v>
      </c>
      <c r="AF1855" s="14"/>
      <c r="AG1855" s="22"/>
      <c r="AH1855" s="22"/>
      <c r="AI1855" s="22"/>
      <c r="AJ1855" s="22"/>
      <c r="AK1855" s="22"/>
      <c r="AL1855" s="22"/>
      <c r="AM1855" s="22"/>
      <c r="AN1855" s="22"/>
      <c r="AO1855" s="22"/>
      <c r="AP1855" s="22"/>
    </row>
    <row r="1856" hidden="1">
      <c r="A1856" s="148">
        <v>46186.0</v>
      </c>
      <c r="B1856" s="149">
        <v>0.3541666666666667</v>
      </c>
      <c r="C1856" s="11" t="s">
        <v>32</v>
      </c>
      <c r="D1856" s="102" t="s">
        <v>33</v>
      </c>
      <c r="E1856" s="10" t="s">
        <v>179</v>
      </c>
      <c r="F1856" s="10" t="s">
        <v>5482</v>
      </c>
      <c r="G1856" s="11" t="s">
        <v>5541</v>
      </c>
      <c r="H1856" s="11" t="s">
        <v>5489</v>
      </c>
      <c r="I1856" s="10" t="s">
        <v>5490</v>
      </c>
      <c r="J1856" s="14">
        <v>61546.0</v>
      </c>
      <c r="K1856" s="14">
        <v>35715.0</v>
      </c>
      <c r="L1856" s="17">
        <v>0.5803</v>
      </c>
      <c r="M1856" s="150">
        <v>8363.0</v>
      </c>
      <c r="N1856" s="136">
        <v>0.2342</v>
      </c>
      <c r="O1856" s="18">
        <v>552.0</v>
      </c>
      <c r="P1856" s="92">
        <v>529.0</v>
      </c>
      <c r="Q1856" s="137">
        <v>0.0148</v>
      </c>
      <c r="R1856" s="17">
        <v>0.0633</v>
      </c>
      <c r="S1856" s="18">
        <v>111.0</v>
      </c>
      <c r="T1856" s="18">
        <v>0.0</v>
      </c>
      <c r="U1856" s="151">
        <v>966504.0</v>
      </c>
      <c r="V1856" s="92" t="s">
        <v>315</v>
      </c>
      <c r="W1856" s="18" t="s">
        <v>76</v>
      </c>
      <c r="X1856" s="174" t="s">
        <v>52</v>
      </c>
      <c r="Y1856" s="94" t="s">
        <v>5542</v>
      </c>
      <c r="Z1856" s="18" t="s">
        <v>5543</v>
      </c>
      <c r="AA1856" s="92">
        <v>248.0</v>
      </c>
      <c r="AC1856" s="18">
        <v>248.0</v>
      </c>
      <c r="AD1856" s="14">
        <v>1999174.0</v>
      </c>
      <c r="AF1856" s="14">
        <v>1999174.0</v>
      </c>
      <c r="AG1856" s="22"/>
      <c r="AH1856" s="22"/>
      <c r="AI1856" s="22"/>
      <c r="AJ1856" s="22"/>
      <c r="AK1856" s="22"/>
      <c r="AL1856" s="22"/>
      <c r="AM1856" s="22"/>
      <c r="AN1856" s="22"/>
      <c r="AO1856" s="22"/>
      <c r="AP1856" s="22"/>
    </row>
    <row r="1857" hidden="1">
      <c r="A1857" s="148">
        <v>46186.0</v>
      </c>
      <c r="B1857" s="149">
        <v>0.3576388888888889</v>
      </c>
      <c r="C1857" s="11" t="s">
        <v>32</v>
      </c>
      <c r="D1857" s="102" t="s">
        <v>33</v>
      </c>
      <c r="E1857" s="10" t="s">
        <v>179</v>
      </c>
      <c r="F1857" s="10" t="s">
        <v>5482</v>
      </c>
      <c r="G1857" s="11" t="s">
        <v>5544</v>
      </c>
      <c r="H1857" s="11" t="s">
        <v>5494</v>
      </c>
      <c r="I1857" s="10" t="s">
        <v>5495</v>
      </c>
      <c r="J1857" s="14">
        <v>20306.0</v>
      </c>
      <c r="K1857" s="14">
        <v>12326.0</v>
      </c>
      <c r="L1857" s="17">
        <v>0.607</v>
      </c>
      <c r="M1857" s="150">
        <v>3437.0</v>
      </c>
      <c r="N1857" s="136">
        <v>0.2789</v>
      </c>
      <c r="O1857" s="18">
        <v>297.0</v>
      </c>
      <c r="P1857" s="92">
        <v>285.0</v>
      </c>
      <c r="Q1857" s="137">
        <v>0.0231</v>
      </c>
      <c r="R1857" s="17">
        <v>0.0829</v>
      </c>
      <c r="S1857" s="18">
        <v>38.0</v>
      </c>
      <c r="T1857" s="18">
        <v>0.0</v>
      </c>
      <c r="U1857" s="151">
        <v>342829.0</v>
      </c>
      <c r="V1857" s="92" t="s">
        <v>315</v>
      </c>
      <c r="W1857" s="18" t="s">
        <v>76</v>
      </c>
      <c r="X1857" s="174" t="s">
        <v>2286</v>
      </c>
      <c r="Y1857" s="94" t="s">
        <v>5542</v>
      </c>
      <c r="Z1857" s="18" t="s">
        <v>5545</v>
      </c>
      <c r="AA1857" s="92">
        <v>91.0</v>
      </c>
      <c r="AB1857" s="18"/>
      <c r="AC1857" s="18">
        <v>91.0</v>
      </c>
      <c r="AD1857" s="14">
        <v>882933.0</v>
      </c>
      <c r="AE1857" s="14"/>
      <c r="AF1857" s="14">
        <v>882933.0</v>
      </c>
      <c r="AG1857" s="22"/>
      <c r="AH1857" s="22"/>
      <c r="AI1857" s="22"/>
      <c r="AJ1857" s="22"/>
      <c r="AK1857" s="22"/>
      <c r="AL1857" s="22"/>
      <c r="AM1857" s="22"/>
      <c r="AN1857" s="22"/>
      <c r="AO1857" s="22"/>
      <c r="AP1857" s="22"/>
    </row>
    <row r="1858" hidden="1">
      <c r="A1858" s="148">
        <v>46186.0</v>
      </c>
      <c r="B1858" s="149">
        <v>0.3611111111111111</v>
      </c>
      <c r="C1858" s="11" t="s">
        <v>32</v>
      </c>
      <c r="D1858" s="102" t="s">
        <v>33</v>
      </c>
      <c r="E1858" s="10" t="s">
        <v>179</v>
      </c>
      <c r="F1858" s="10" t="s">
        <v>5482</v>
      </c>
      <c r="G1858" s="11" t="s">
        <v>5546</v>
      </c>
      <c r="H1858" s="11" t="s">
        <v>5498</v>
      </c>
      <c r="I1858" s="10" t="s">
        <v>5499</v>
      </c>
      <c r="J1858" s="14">
        <v>58703.0</v>
      </c>
      <c r="K1858" s="14">
        <v>35078.0</v>
      </c>
      <c r="L1858" s="17">
        <v>0.5976</v>
      </c>
      <c r="M1858" s="150">
        <v>8290.0</v>
      </c>
      <c r="N1858" s="136">
        <v>0.2363</v>
      </c>
      <c r="O1858" s="18">
        <v>481.0</v>
      </c>
      <c r="P1858" s="92">
        <v>463.0</v>
      </c>
      <c r="Q1858" s="137">
        <v>0.0132</v>
      </c>
      <c r="R1858" s="17">
        <v>0.0559</v>
      </c>
      <c r="S1858" s="18">
        <v>65.0</v>
      </c>
      <c r="T1858" s="18">
        <v>0.0</v>
      </c>
      <c r="U1858" s="151">
        <v>401077.0</v>
      </c>
      <c r="V1858" s="92" t="s">
        <v>315</v>
      </c>
      <c r="W1858" s="18" t="s">
        <v>76</v>
      </c>
      <c r="X1858" s="174" t="s">
        <v>41</v>
      </c>
      <c r="Y1858" s="94" t="s">
        <v>5542</v>
      </c>
      <c r="Z1858" s="18" t="s">
        <v>5547</v>
      </c>
      <c r="AA1858" s="92">
        <v>135.0</v>
      </c>
      <c r="AB1858" s="18"/>
      <c r="AC1858" s="18">
        <v>135.0</v>
      </c>
      <c r="AD1858" s="14">
        <v>988611.0</v>
      </c>
      <c r="AE1858" s="14"/>
      <c r="AF1858" s="14">
        <v>988611.0</v>
      </c>
      <c r="AG1858" s="22"/>
      <c r="AH1858" s="22"/>
      <c r="AI1858" s="22"/>
      <c r="AJ1858" s="22"/>
      <c r="AK1858" s="22"/>
      <c r="AL1858" s="22"/>
      <c r="AM1858" s="22"/>
      <c r="AN1858" s="22"/>
      <c r="AO1858" s="22"/>
      <c r="AP1858" s="22"/>
    </row>
    <row r="1859" hidden="1">
      <c r="A1859" s="148">
        <v>46186.0</v>
      </c>
      <c r="B1859" s="149">
        <v>0.3645833333333333</v>
      </c>
      <c r="C1859" s="11" t="s">
        <v>32</v>
      </c>
      <c r="D1859" s="102" t="s">
        <v>33</v>
      </c>
      <c r="E1859" s="10" t="s">
        <v>179</v>
      </c>
      <c r="F1859" s="10" t="s">
        <v>5482</v>
      </c>
      <c r="G1859" s="11" t="s">
        <v>5548</v>
      </c>
      <c r="H1859" s="11" t="s">
        <v>5502</v>
      </c>
      <c r="I1859" s="10" t="s">
        <v>5503</v>
      </c>
      <c r="J1859" s="14">
        <v>59826.0</v>
      </c>
      <c r="K1859" s="14">
        <v>33071.0</v>
      </c>
      <c r="L1859" s="17">
        <v>0.5528</v>
      </c>
      <c r="M1859" s="150">
        <v>7281.0</v>
      </c>
      <c r="N1859" s="136">
        <v>0.2202</v>
      </c>
      <c r="O1859" s="18">
        <v>350.0</v>
      </c>
      <c r="P1859" s="92">
        <v>335.0</v>
      </c>
      <c r="Q1859" s="137">
        <v>0.0101</v>
      </c>
      <c r="R1859" s="17">
        <v>0.046</v>
      </c>
      <c r="S1859" s="18">
        <v>36.0</v>
      </c>
      <c r="T1859" s="18">
        <v>0.0</v>
      </c>
      <c r="U1859" s="151">
        <v>261611.0</v>
      </c>
      <c r="V1859" s="92" t="s">
        <v>315</v>
      </c>
      <c r="W1859" s="18" t="s">
        <v>76</v>
      </c>
      <c r="X1859" s="174" t="s">
        <v>69</v>
      </c>
      <c r="Y1859" s="94" t="s">
        <v>5542</v>
      </c>
      <c r="Z1859" s="18" t="s">
        <v>5549</v>
      </c>
      <c r="AA1859" s="92">
        <v>69.0</v>
      </c>
      <c r="AB1859" s="18"/>
      <c r="AC1859" s="18">
        <v>69.0</v>
      </c>
      <c r="AD1859" s="14">
        <v>578592.0</v>
      </c>
      <c r="AE1859" s="14"/>
      <c r="AF1859" s="14">
        <v>578592.0</v>
      </c>
      <c r="AG1859" s="22"/>
      <c r="AH1859" s="22"/>
      <c r="AI1859" s="22"/>
      <c r="AJ1859" s="22"/>
      <c r="AK1859" s="22"/>
      <c r="AL1859" s="22"/>
      <c r="AM1859" s="22"/>
      <c r="AN1859" s="22"/>
      <c r="AO1859" s="22"/>
      <c r="AP1859" s="22"/>
    </row>
    <row r="1860" hidden="1">
      <c r="A1860" s="148">
        <v>46186.0</v>
      </c>
      <c r="B1860" s="149">
        <v>0.3680555555555556</v>
      </c>
      <c r="C1860" s="11" t="s">
        <v>32</v>
      </c>
      <c r="D1860" s="102" t="s">
        <v>33</v>
      </c>
      <c r="E1860" s="10" t="s">
        <v>179</v>
      </c>
      <c r="F1860" s="10" t="s">
        <v>5482</v>
      </c>
      <c r="G1860" s="11" t="s">
        <v>5550</v>
      </c>
      <c r="H1860" s="11" t="s">
        <v>5506</v>
      </c>
      <c r="I1860" s="10" t="s">
        <v>5507</v>
      </c>
      <c r="J1860" s="14">
        <v>17084.0</v>
      </c>
      <c r="K1860" s="14">
        <v>7183.0</v>
      </c>
      <c r="L1860" s="17">
        <v>0.4205</v>
      </c>
      <c r="M1860" s="150">
        <v>1129.0</v>
      </c>
      <c r="N1860" s="136">
        <v>0.1572</v>
      </c>
      <c r="O1860" s="18">
        <v>71.0</v>
      </c>
      <c r="P1860" s="92">
        <v>69.0</v>
      </c>
      <c r="Q1860" s="137">
        <v>0.0096</v>
      </c>
      <c r="R1860" s="17">
        <v>0.0611</v>
      </c>
      <c r="S1860" s="18">
        <v>53.0</v>
      </c>
      <c r="T1860" s="18">
        <v>0.0</v>
      </c>
      <c r="U1860" s="151">
        <v>769428.0</v>
      </c>
      <c r="V1860" s="92" t="s">
        <v>315</v>
      </c>
      <c r="W1860" s="18" t="s">
        <v>76</v>
      </c>
      <c r="X1860" s="174" t="s">
        <v>2840</v>
      </c>
      <c r="Y1860" s="94" t="s">
        <v>5542</v>
      </c>
      <c r="Z1860" s="18" t="s">
        <v>5551</v>
      </c>
      <c r="AA1860" s="92">
        <v>114.0</v>
      </c>
      <c r="AB1860" s="18"/>
      <c r="AC1860" s="18">
        <v>114.0</v>
      </c>
      <c r="AD1860" s="14">
        <v>1544472.0</v>
      </c>
      <c r="AE1860" s="14"/>
      <c r="AF1860" s="14">
        <v>1544472.0</v>
      </c>
      <c r="AG1860" s="22"/>
      <c r="AH1860" s="22"/>
      <c r="AI1860" s="22"/>
      <c r="AJ1860" s="22"/>
      <c r="AK1860" s="22"/>
      <c r="AL1860" s="22"/>
      <c r="AM1860" s="22"/>
      <c r="AN1860" s="22"/>
      <c r="AO1860" s="22"/>
      <c r="AP1860" s="22"/>
    </row>
    <row r="1861" hidden="1">
      <c r="A1861" s="148">
        <v>46187.0</v>
      </c>
      <c r="B1861" s="149">
        <v>0.375</v>
      </c>
      <c r="C1861" s="11" t="s">
        <v>32</v>
      </c>
      <c r="D1861" s="102" t="s">
        <v>33</v>
      </c>
      <c r="E1861" s="10" t="s">
        <v>179</v>
      </c>
      <c r="F1861" s="10" t="s">
        <v>5482</v>
      </c>
      <c r="G1861" s="11" t="s">
        <v>5552</v>
      </c>
      <c r="H1861" s="11" t="s">
        <v>5553</v>
      </c>
      <c r="I1861" s="10" t="s">
        <v>5554</v>
      </c>
      <c r="J1861" s="14">
        <v>1621.0</v>
      </c>
      <c r="K1861" s="14">
        <v>992.0</v>
      </c>
      <c r="L1861" s="17">
        <v>0.612</v>
      </c>
      <c r="M1861" s="150">
        <v>315.0</v>
      </c>
      <c r="N1861" s="136">
        <v>0.3175</v>
      </c>
      <c r="O1861" s="18">
        <v>63.0</v>
      </c>
      <c r="P1861" s="92">
        <v>61.0</v>
      </c>
      <c r="Q1861" s="137">
        <v>0.0615</v>
      </c>
      <c r="R1861" s="17">
        <v>0.1937</v>
      </c>
      <c r="S1861" s="18">
        <v>0.0</v>
      </c>
      <c r="T1861" s="18">
        <v>0.0</v>
      </c>
      <c r="U1861" s="151">
        <v>0.0</v>
      </c>
      <c r="V1861" s="92" t="s">
        <v>335</v>
      </c>
      <c r="W1861" s="18" t="s">
        <v>76</v>
      </c>
      <c r="X1861" s="174" t="s">
        <v>2131</v>
      </c>
      <c r="Y1861" s="94" t="s">
        <v>5555</v>
      </c>
      <c r="Z1861" s="18" t="s">
        <v>5556</v>
      </c>
      <c r="AA1861" s="92">
        <v>39.0</v>
      </c>
      <c r="AB1861" s="18">
        <v>39.0</v>
      </c>
      <c r="AC1861" s="18"/>
      <c r="AD1861" s="14">
        <v>333741.0</v>
      </c>
      <c r="AE1861" s="14">
        <v>333741.0</v>
      </c>
      <c r="AF1861" s="14"/>
      <c r="AG1861" s="22"/>
      <c r="AH1861" s="22"/>
      <c r="AI1861" s="22"/>
      <c r="AJ1861" s="22"/>
      <c r="AK1861" s="22"/>
      <c r="AL1861" s="22"/>
      <c r="AM1861" s="22"/>
      <c r="AN1861" s="22"/>
      <c r="AO1861" s="22"/>
      <c r="AP1861" s="22"/>
    </row>
    <row r="1862" hidden="1">
      <c r="A1862" s="148">
        <v>46185.0</v>
      </c>
      <c r="B1862" s="149">
        <v>0.75</v>
      </c>
      <c r="C1862" s="11" t="s">
        <v>32</v>
      </c>
      <c r="D1862" s="102" t="s">
        <v>3083</v>
      </c>
      <c r="E1862" s="10" t="s">
        <v>217</v>
      </c>
      <c r="F1862" s="10" t="s">
        <v>5557</v>
      </c>
      <c r="G1862" s="11" t="s">
        <v>5558</v>
      </c>
      <c r="H1862" s="29" t="s">
        <v>5559</v>
      </c>
      <c r="I1862" s="10" t="s">
        <v>2956</v>
      </c>
      <c r="J1862" s="14">
        <v>15.0</v>
      </c>
      <c r="K1862" s="14">
        <v>11.0</v>
      </c>
      <c r="L1862" s="17">
        <v>0.7333</v>
      </c>
      <c r="M1862" s="150">
        <v>7.0</v>
      </c>
      <c r="N1862" s="136">
        <v>0.6364</v>
      </c>
      <c r="O1862" s="18">
        <v>0.0</v>
      </c>
      <c r="P1862" s="92">
        <v>0.0</v>
      </c>
      <c r="Q1862" s="137">
        <v>0.0</v>
      </c>
      <c r="R1862" s="17">
        <v>0.0</v>
      </c>
      <c r="S1862" s="18">
        <v>0.0</v>
      </c>
      <c r="T1862" s="18">
        <v>0.0</v>
      </c>
      <c r="U1862" s="151">
        <v>0.0</v>
      </c>
      <c r="V1862" s="92" t="s">
        <v>183</v>
      </c>
      <c r="W1862" s="18" t="s">
        <v>76</v>
      </c>
      <c r="X1862" s="174" t="s">
        <v>111</v>
      </c>
      <c r="Y1862" s="94" t="s">
        <v>5560</v>
      </c>
      <c r="Z1862" s="18" t="s">
        <v>5561</v>
      </c>
      <c r="AA1862" s="92">
        <v>3.0</v>
      </c>
      <c r="AB1862" s="18">
        <v>0.0</v>
      </c>
      <c r="AC1862" s="18">
        <v>3.0</v>
      </c>
      <c r="AD1862" s="14">
        <v>2916.0</v>
      </c>
      <c r="AE1862" s="14">
        <v>0.0</v>
      </c>
      <c r="AF1862" s="14">
        <v>2916.0</v>
      </c>
      <c r="AG1862" s="22"/>
      <c r="AH1862" s="22"/>
      <c r="AI1862" s="22"/>
      <c r="AJ1862" s="22"/>
      <c r="AK1862" s="22"/>
      <c r="AL1862" s="22"/>
      <c r="AM1862" s="22"/>
      <c r="AN1862" s="22"/>
      <c r="AO1862" s="22"/>
      <c r="AP1862" s="22"/>
    </row>
    <row r="1863" hidden="1">
      <c r="A1863" s="148">
        <v>46185.0</v>
      </c>
      <c r="B1863" s="149">
        <v>0.75</v>
      </c>
      <c r="C1863" s="11" t="s">
        <v>32</v>
      </c>
      <c r="D1863" s="102" t="s">
        <v>3083</v>
      </c>
      <c r="E1863" s="10" t="s">
        <v>217</v>
      </c>
      <c r="F1863" s="10" t="s">
        <v>5557</v>
      </c>
      <c r="G1863" s="11" t="s">
        <v>5562</v>
      </c>
      <c r="H1863" s="11" t="s">
        <v>5563</v>
      </c>
      <c r="I1863" s="10" t="s">
        <v>2956</v>
      </c>
      <c r="J1863" s="14">
        <v>56508.0</v>
      </c>
      <c r="K1863" s="14">
        <v>32075.0</v>
      </c>
      <c r="L1863" s="17">
        <v>0.5676</v>
      </c>
      <c r="M1863" s="150">
        <v>15011.0</v>
      </c>
      <c r="N1863" s="136">
        <v>0.4679</v>
      </c>
      <c r="O1863" s="18">
        <v>788.0</v>
      </c>
      <c r="P1863" s="92">
        <v>764.0</v>
      </c>
      <c r="Q1863" s="137">
        <v>0.0238</v>
      </c>
      <c r="R1863" s="17">
        <v>0.0509</v>
      </c>
      <c r="S1863" s="18">
        <v>0.0</v>
      </c>
      <c r="T1863" s="18">
        <v>0.0</v>
      </c>
      <c r="U1863" s="151">
        <v>0.0</v>
      </c>
      <c r="V1863" s="92" t="s">
        <v>183</v>
      </c>
      <c r="W1863" s="18" t="s">
        <v>76</v>
      </c>
      <c r="X1863" s="174" t="s">
        <v>111</v>
      </c>
      <c r="Y1863" s="94" t="s">
        <v>5560</v>
      </c>
      <c r="Z1863" s="18" t="s">
        <v>5564</v>
      </c>
      <c r="AA1863" s="92">
        <v>293.0</v>
      </c>
      <c r="AB1863" s="18">
        <v>1.0</v>
      </c>
      <c r="AC1863" s="18">
        <v>292.0</v>
      </c>
      <c r="AD1863" s="14">
        <v>564573.0</v>
      </c>
      <c r="AE1863" s="14">
        <v>1299.0</v>
      </c>
      <c r="AF1863" s="14">
        <v>563274.0</v>
      </c>
      <c r="AG1863" s="22"/>
      <c r="AH1863" s="22"/>
      <c r="AI1863" s="22"/>
      <c r="AJ1863" s="22"/>
      <c r="AK1863" s="22"/>
      <c r="AL1863" s="22"/>
      <c r="AM1863" s="22"/>
      <c r="AN1863" s="22"/>
      <c r="AO1863" s="22"/>
      <c r="AP1863" s="22"/>
    </row>
    <row r="1864" hidden="1">
      <c r="A1864" s="148">
        <v>46185.0</v>
      </c>
      <c r="B1864" s="149">
        <v>0.75</v>
      </c>
      <c r="C1864" s="11" t="s">
        <v>32</v>
      </c>
      <c r="D1864" s="102" t="s">
        <v>3083</v>
      </c>
      <c r="E1864" s="10" t="s">
        <v>217</v>
      </c>
      <c r="F1864" s="10" t="s">
        <v>5557</v>
      </c>
      <c r="G1864" s="11" t="s">
        <v>5565</v>
      </c>
      <c r="H1864" s="11" t="s">
        <v>5566</v>
      </c>
      <c r="I1864" s="10" t="s">
        <v>2956</v>
      </c>
      <c r="J1864" s="14">
        <v>29814.0</v>
      </c>
      <c r="K1864" s="14">
        <v>16956.0</v>
      </c>
      <c r="L1864" s="17">
        <v>0.5687</v>
      </c>
      <c r="M1864" s="150">
        <v>7826.0</v>
      </c>
      <c r="N1864" s="136">
        <v>0.4616</v>
      </c>
      <c r="O1864" s="18">
        <v>402.0</v>
      </c>
      <c r="P1864" s="92">
        <v>382.0</v>
      </c>
      <c r="Q1864" s="137">
        <v>0.0225</v>
      </c>
      <c r="R1864" s="17">
        <v>0.0488</v>
      </c>
      <c r="S1864" s="18">
        <v>0.0</v>
      </c>
      <c r="T1864" s="18">
        <v>0.0</v>
      </c>
      <c r="U1864" s="151">
        <v>0.0</v>
      </c>
      <c r="V1864" s="92" t="s">
        <v>183</v>
      </c>
      <c r="W1864" s="18" t="s">
        <v>76</v>
      </c>
      <c r="X1864" s="174" t="s">
        <v>111</v>
      </c>
      <c r="Y1864" s="94" t="s">
        <v>5560</v>
      </c>
      <c r="Z1864" s="18" t="s">
        <v>5567</v>
      </c>
      <c r="AA1864" s="92">
        <v>166.0</v>
      </c>
      <c r="AB1864" s="18">
        <v>0.0</v>
      </c>
      <c r="AC1864" s="18">
        <v>166.0</v>
      </c>
      <c r="AD1864" s="14">
        <v>313631.0</v>
      </c>
      <c r="AE1864" s="14">
        <v>0.0</v>
      </c>
      <c r="AF1864" s="14">
        <v>313631.0</v>
      </c>
      <c r="AG1864" s="22"/>
      <c r="AH1864" s="22"/>
      <c r="AI1864" s="22"/>
      <c r="AJ1864" s="22"/>
      <c r="AK1864" s="22"/>
      <c r="AL1864" s="22"/>
      <c r="AM1864" s="22"/>
      <c r="AN1864" s="22"/>
      <c r="AO1864" s="22"/>
      <c r="AP1864" s="22"/>
    </row>
    <row r="1865" hidden="1">
      <c r="A1865" s="148">
        <v>46185.0</v>
      </c>
      <c r="B1865" s="149">
        <v>0.75</v>
      </c>
      <c r="C1865" s="11" t="s">
        <v>32</v>
      </c>
      <c r="D1865" s="102" t="s">
        <v>3083</v>
      </c>
      <c r="E1865" s="10" t="s">
        <v>217</v>
      </c>
      <c r="F1865" s="10" t="s">
        <v>5557</v>
      </c>
      <c r="G1865" s="11" t="s">
        <v>5568</v>
      </c>
      <c r="H1865" s="11" t="s">
        <v>5569</v>
      </c>
      <c r="I1865" s="10" t="s">
        <v>2956</v>
      </c>
      <c r="J1865" s="14">
        <v>44020.0</v>
      </c>
      <c r="K1865" s="14">
        <v>24137.0</v>
      </c>
      <c r="L1865" s="17">
        <v>0.5483</v>
      </c>
      <c r="M1865" s="150">
        <v>11114.0</v>
      </c>
      <c r="N1865" s="136">
        <v>0.4605</v>
      </c>
      <c r="O1865" s="18">
        <v>554.0</v>
      </c>
      <c r="P1865" s="92">
        <v>536.0</v>
      </c>
      <c r="Q1865" s="137">
        <v>0.0222</v>
      </c>
      <c r="R1865" s="17">
        <v>0.0482</v>
      </c>
      <c r="S1865" s="18">
        <v>0.0</v>
      </c>
      <c r="T1865" s="18">
        <v>0.0</v>
      </c>
      <c r="U1865" s="151">
        <v>0.0</v>
      </c>
      <c r="V1865" s="92" t="s">
        <v>183</v>
      </c>
      <c r="W1865" s="18" t="s">
        <v>76</v>
      </c>
      <c r="X1865" s="174" t="s">
        <v>111</v>
      </c>
      <c r="Y1865" s="94" t="s">
        <v>5560</v>
      </c>
      <c r="Z1865" s="18" t="s">
        <v>5570</v>
      </c>
      <c r="AA1865" s="92">
        <v>189.0</v>
      </c>
      <c r="AB1865" s="18">
        <v>0.0</v>
      </c>
      <c r="AC1865" s="18">
        <v>189.0</v>
      </c>
      <c r="AD1865" s="14">
        <v>296748.0</v>
      </c>
      <c r="AE1865" s="14">
        <v>0.0</v>
      </c>
      <c r="AF1865" s="14">
        <v>296748.0</v>
      </c>
      <c r="AG1865" s="22"/>
      <c r="AH1865" s="22"/>
      <c r="AI1865" s="22"/>
      <c r="AJ1865" s="22"/>
      <c r="AK1865" s="22"/>
      <c r="AL1865" s="22"/>
      <c r="AM1865" s="22"/>
      <c r="AN1865" s="22"/>
      <c r="AO1865" s="22"/>
      <c r="AP1865" s="22"/>
    </row>
    <row r="1866" hidden="1">
      <c r="A1866" s="148">
        <v>46185.0</v>
      </c>
      <c r="B1866" s="149">
        <v>0.75</v>
      </c>
      <c r="C1866" s="11" t="s">
        <v>32</v>
      </c>
      <c r="D1866" s="102" t="s">
        <v>3083</v>
      </c>
      <c r="E1866" s="10" t="s">
        <v>217</v>
      </c>
      <c r="F1866" s="10" t="s">
        <v>5557</v>
      </c>
      <c r="G1866" s="11" t="s">
        <v>5571</v>
      </c>
      <c r="H1866" s="11" t="s">
        <v>5572</v>
      </c>
      <c r="I1866" s="10" t="s">
        <v>2956</v>
      </c>
      <c r="J1866" s="14">
        <v>34953.0</v>
      </c>
      <c r="K1866" s="14">
        <v>18593.0</v>
      </c>
      <c r="L1866" s="17">
        <v>0.5319</v>
      </c>
      <c r="M1866" s="150">
        <v>8357.0</v>
      </c>
      <c r="N1866" s="136">
        <v>0.4495</v>
      </c>
      <c r="O1866" s="18">
        <v>460.0</v>
      </c>
      <c r="P1866" s="92">
        <v>441.0</v>
      </c>
      <c r="Q1866" s="137">
        <v>0.0237</v>
      </c>
      <c r="R1866" s="17">
        <v>0.0528</v>
      </c>
      <c r="S1866" s="18">
        <v>0.0</v>
      </c>
      <c r="T1866" s="18">
        <v>0.0</v>
      </c>
      <c r="U1866" s="151">
        <v>0.0</v>
      </c>
      <c r="V1866" s="92" t="s">
        <v>183</v>
      </c>
      <c r="W1866" s="18" t="s">
        <v>76</v>
      </c>
      <c r="X1866" s="174" t="s">
        <v>52</v>
      </c>
      <c r="Y1866" s="94" t="s">
        <v>5560</v>
      </c>
      <c r="Z1866" s="18" t="s">
        <v>5573</v>
      </c>
      <c r="AA1866" s="92">
        <v>143.0</v>
      </c>
      <c r="AB1866" s="18">
        <v>0.0</v>
      </c>
      <c r="AC1866" s="18">
        <v>143.0</v>
      </c>
      <c r="AD1866" s="14">
        <v>244619.0</v>
      </c>
      <c r="AE1866" s="14">
        <v>0.0</v>
      </c>
      <c r="AF1866" s="14">
        <v>244619.0</v>
      </c>
      <c r="AG1866" s="22"/>
      <c r="AH1866" s="22"/>
      <c r="AI1866" s="22"/>
      <c r="AJ1866" s="22"/>
      <c r="AK1866" s="22"/>
      <c r="AL1866" s="22"/>
      <c r="AM1866" s="22"/>
      <c r="AN1866" s="22"/>
      <c r="AO1866" s="22"/>
      <c r="AP1866" s="22"/>
    </row>
    <row r="1867" hidden="1">
      <c r="A1867" s="148">
        <v>46186.0</v>
      </c>
      <c r="B1867" s="149">
        <v>0.5</v>
      </c>
      <c r="C1867" s="11" t="s">
        <v>32</v>
      </c>
      <c r="D1867" s="102" t="s">
        <v>33</v>
      </c>
      <c r="E1867" s="10" t="s">
        <v>71</v>
      </c>
      <c r="F1867" s="10" t="s">
        <v>5574</v>
      </c>
      <c r="G1867" s="11" t="s">
        <v>5575</v>
      </c>
      <c r="H1867" s="11" t="s">
        <v>5576</v>
      </c>
      <c r="I1867" s="10" t="s">
        <v>5577</v>
      </c>
      <c r="J1867" s="14">
        <v>99743.0</v>
      </c>
      <c r="K1867" s="14">
        <v>42222.0</v>
      </c>
      <c r="L1867" s="17">
        <v>0.4232</v>
      </c>
      <c r="M1867" s="150">
        <v>12921.0</v>
      </c>
      <c r="N1867" s="136">
        <v>0.3061</v>
      </c>
      <c r="O1867" s="18">
        <v>1995.0</v>
      </c>
      <c r="P1867" s="92">
        <v>1874.0</v>
      </c>
      <c r="Q1867" s="137">
        <v>0.0444</v>
      </c>
      <c r="R1867" s="17">
        <v>0.145</v>
      </c>
      <c r="S1867" s="18">
        <v>13.0</v>
      </c>
      <c r="T1867" s="18">
        <v>37.0</v>
      </c>
      <c r="U1867" s="151">
        <v>25590.0</v>
      </c>
      <c r="V1867" s="92" t="s">
        <v>335</v>
      </c>
      <c r="W1867" s="18" t="s">
        <v>76</v>
      </c>
      <c r="X1867" s="174" t="s">
        <v>69</v>
      </c>
      <c r="Y1867" s="94" t="s">
        <v>5578</v>
      </c>
      <c r="Z1867" s="18" t="s">
        <v>5579</v>
      </c>
      <c r="AA1867" s="92">
        <v>116.0</v>
      </c>
      <c r="AB1867" s="18">
        <v>116.0</v>
      </c>
      <c r="AC1867" s="18"/>
      <c r="AD1867" s="14">
        <v>265200.0</v>
      </c>
      <c r="AE1867" s="14">
        <v>265200.0</v>
      </c>
      <c r="AF1867" s="14"/>
      <c r="AG1867" s="22"/>
      <c r="AH1867" s="22"/>
      <c r="AI1867" s="22"/>
      <c r="AJ1867" s="22"/>
      <c r="AK1867" s="22"/>
      <c r="AL1867" s="22"/>
      <c r="AM1867" s="22"/>
      <c r="AN1867" s="22"/>
      <c r="AO1867" s="22"/>
      <c r="AP1867" s="22"/>
    </row>
    <row r="1868" hidden="1">
      <c r="A1868" s="148">
        <v>46186.0</v>
      </c>
      <c r="B1868" s="149">
        <v>0.5</v>
      </c>
      <c r="C1868" s="11" t="s">
        <v>32</v>
      </c>
      <c r="D1868" s="102" t="s">
        <v>33</v>
      </c>
      <c r="E1868" s="10" t="s">
        <v>71</v>
      </c>
      <c r="F1868" s="10" t="s">
        <v>5574</v>
      </c>
      <c r="G1868" s="11" t="s">
        <v>5580</v>
      </c>
      <c r="H1868" s="11" t="s">
        <v>5581</v>
      </c>
      <c r="I1868" s="10" t="s">
        <v>5582</v>
      </c>
      <c r="J1868" s="14">
        <v>107759.0</v>
      </c>
      <c r="K1868" s="14">
        <v>44328.0</v>
      </c>
      <c r="L1868" s="17">
        <v>0.4113</v>
      </c>
      <c r="M1868" s="150">
        <v>13053.0</v>
      </c>
      <c r="N1868" s="136">
        <v>0.2945</v>
      </c>
      <c r="O1868" s="18">
        <v>1901.0</v>
      </c>
      <c r="P1868" s="92">
        <v>1771.0</v>
      </c>
      <c r="Q1868" s="137">
        <v>0.04</v>
      </c>
      <c r="R1868" s="17">
        <v>0.1357</v>
      </c>
      <c r="S1868" s="18">
        <v>10.0</v>
      </c>
      <c r="T1868" s="18">
        <v>32.0</v>
      </c>
      <c r="U1868" s="151">
        <v>27768.0</v>
      </c>
      <c r="V1868" s="92" t="s">
        <v>335</v>
      </c>
      <c r="W1868" s="18" t="s">
        <v>76</v>
      </c>
      <c r="X1868" s="174" t="s">
        <v>69</v>
      </c>
      <c r="Y1868" s="94" t="s">
        <v>5578</v>
      </c>
      <c r="Z1868" s="18" t="s">
        <v>5583</v>
      </c>
      <c r="AA1868" s="92">
        <v>70.0</v>
      </c>
      <c r="AB1868" s="18">
        <v>70.0</v>
      </c>
      <c r="AC1868" s="18"/>
      <c r="AD1868" s="14">
        <v>154548.0</v>
      </c>
      <c r="AE1868" s="14">
        <v>154548.0</v>
      </c>
      <c r="AF1868" s="14"/>
      <c r="AG1868" s="22"/>
      <c r="AH1868" s="22"/>
      <c r="AI1868" s="22"/>
      <c r="AJ1868" s="22"/>
      <c r="AK1868" s="22"/>
      <c r="AL1868" s="22"/>
      <c r="AM1868" s="22"/>
      <c r="AN1868" s="22"/>
      <c r="AO1868" s="22"/>
      <c r="AP1868" s="22"/>
    </row>
    <row r="1869" hidden="1">
      <c r="A1869" s="148">
        <v>46186.0</v>
      </c>
      <c r="B1869" s="149">
        <v>0.5</v>
      </c>
      <c r="C1869" s="11" t="s">
        <v>32</v>
      </c>
      <c r="D1869" s="102" t="s">
        <v>33</v>
      </c>
      <c r="E1869" s="10" t="s">
        <v>71</v>
      </c>
      <c r="F1869" s="10" t="s">
        <v>5574</v>
      </c>
      <c r="G1869" s="11" t="s">
        <v>5584</v>
      </c>
      <c r="H1869" s="11" t="s">
        <v>5585</v>
      </c>
      <c r="I1869" s="10" t="s">
        <v>5586</v>
      </c>
      <c r="J1869" s="14">
        <v>163765.0</v>
      </c>
      <c r="K1869" s="14">
        <v>67649.0</v>
      </c>
      <c r="L1869" s="17">
        <v>0.413</v>
      </c>
      <c r="M1869" s="150">
        <v>22174.0</v>
      </c>
      <c r="N1869" s="136">
        <v>0.3277</v>
      </c>
      <c r="O1869" s="18">
        <v>2434.0</v>
      </c>
      <c r="P1869" s="92">
        <v>2261.0</v>
      </c>
      <c r="Q1869" s="137">
        <v>0.0334</v>
      </c>
      <c r="R1869" s="17">
        <v>0.102</v>
      </c>
      <c r="S1869" s="18">
        <v>10.0</v>
      </c>
      <c r="T1869" s="18">
        <v>36.0</v>
      </c>
      <c r="U1869" s="151">
        <v>18795.0</v>
      </c>
      <c r="V1869" s="92" t="s">
        <v>315</v>
      </c>
      <c r="W1869" s="18" t="s">
        <v>76</v>
      </c>
      <c r="X1869" s="174" t="s">
        <v>69</v>
      </c>
      <c r="Y1869" s="94" t="s">
        <v>5578</v>
      </c>
      <c r="Z1869" s="18" t="s">
        <v>5587</v>
      </c>
      <c r="AA1869" s="92">
        <v>248.0</v>
      </c>
      <c r="AB1869" s="18"/>
      <c r="AC1869" s="18">
        <v>248.0</v>
      </c>
      <c r="AD1869" s="14">
        <v>733954.0</v>
      </c>
      <c r="AE1869" s="14"/>
      <c r="AF1869" s="14">
        <v>733954.0</v>
      </c>
      <c r="AG1869" s="22"/>
      <c r="AH1869" s="22"/>
      <c r="AI1869" s="22"/>
      <c r="AJ1869" s="22"/>
      <c r="AK1869" s="22"/>
      <c r="AL1869" s="22"/>
      <c r="AM1869" s="22"/>
      <c r="AN1869" s="22"/>
      <c r="AO1869" s="22"/>
      <c r="AP1869" s="22"/>
    </row>
    <row r="1870" hidden="1">
      <c r="A1870" s="148">
        <v>46186.0</v>
      </c>
      <c r="B1870" s="149">
        <v>0.5</v>
      </c>
      <c r="C1870" s="11" t="s">
        <v>32</v>
      </c>
      <c r="D1870" s="102" t="s">
        <v>33</v>
      </c>
      <c r="E1870" s="10" t="s">
        <v>71</v>
      </c>
      <c r="F1870" s="10" t="s">
        <v>5574</v>
      </c>
      <c r="G1870" s="11" t="s">
        <v>5588</v>
      </c>
      <c r="H1870" s="11" t="s">
        <v>5589</v>
      </c>
      <c r="I1870" s="10" t="s">
        <v>5590</v>
      </c>
      <c r="J1870" s="14">
        <v>160886.0</v>
      </c>
      <c r="K1870" s="14">
        <v>64497.0</v>
      </c>
      <c r="L1870" s="17">
        <v>0.4008</v>
      </c>
      <c r="M1870" s="150">
        <v>20601.0</v>
      </c>
      <c r="N1870" s="136">
        <v>0.3194</v>
      </c>
      <c r="O1870" s="18">
        <v>2119.0</v>
      </c>
      <c r="P1870" s="92">
        <v>1991.0</v>
      </c>
      <c r="Q1870" s="137">
        <v>0.0309</v>
      </c>
      <c r="R1870" s="17">
        <v>0.0967</v>
      </c>
      <c r="S1870" s="18">
        <v>8.0</v>
      </c>
      <c r="T1870" s="18">
        <v>30.0</v>
      </c>
      <c r="U1870" s="151">
        <v>15754.0</v>
      </c>
      <c r="V1870" s="92" t="s">
        <v>315</v>
      </c>
      <c r="W1870" s="18" t="s">
        <v>76</v>
      </c>
      <c r="X1870" s="174" t="s">
        <v>69</v>
      </c>
      <c r="Y1870" s="94" t="s">
        <v>5578</v>
      </c>
      <c r="Z1870" s="18" t="s">
        <v>5591</v>
      </c>
      <c r="AA1870" s="92">
        <v>191.0</v>
      </c>
      <c r="AB1870" s="18"/>
      <c r="AC1870" s="18">
        <v>191.0</v>
      </c>
      <c r="AD1870" s="14">
        <v>574618.0</v>
      </c>
      <c r="AE1870" s="14"/>
      <c r="AF1870" s="14">
        <v>574618.0</v>
      </c>
      <c r="AG1870" s="22"/>
      <c r="AH1870" s="22"/>
      <c r="AI1870" s="22"/>
      <c r="AJ1870" s="22"/>
      <c r="AK1870" s="22"/>
      <c r="AL1870" s="22"/>
      <c r="AM1870" s="22"/>
      <c r="AN1870" s="22"/>
      <c r="AO1870" s="22"/>
      <c r="AP1870" s="22"/>
    </row>
    <row r="1871" hidden="1">
      <c r="A1871" s="148">
        <v>46184.0</v>
      </c>
      <c r="B1871" s="149">
        <v>0.7083333333333334</v>
      </c>
      <c r="C1871" s="11" t="s">
        <v>32</v>
      </c>
      <c r="D1871" s="102" t="s">
        <v>33</v>
      </c>
      <c r="E1871" s="10" t="s">
        <v>71</v>
      </c>
      <c r="F1871" s="10" t="s">
        <v>5574</v>
      </c>
      <c r="G1871" s="11" t="s">
        <v>5592</v>
      </c>
      <c r="H1871" s="11" t="s">
        <v>5593</v>
      </c>
      <c r="I1871" s="10" t="s">
        <v>5594</v>
      </c>
      <c r="J1871" s="14">
        <v>27390.0</v>
      </c>
      <c r="K1871" s="14">
        <v>13099.0</v>
      </c>
      <c r="L1871" s="17">
        <v>0.4781</v>
      </c>
      <c r="M1871" s="150">
        <v>5486.0</v>
      </c>
      <c r="N1871" s="136">
        <v>0.4189</v>
      </c>
      <c r="O1871" s="18">
        <v>1818.0</v>
      </c>
      <c r="P1871" s="92">
        <v>1593.0</v>
      </c>
      <c r="Q1871" s="137">
        <v>0.1216</v>
      </c>
      <c r="R1871" s="17">
        <v>0.2904</v>
      </c>
      <c r="S1871" s="18">
        <v>62.0</v>
      </c>
      <c r="T1871" s="18">
        <v>190.0</v>
      </c>
      <c r="U1871" s="151">
        <v>182268.0</v>
      </c>
      <c r="V1871" s="92" t="s">
        <v>335</v>
      </c>
      <c r="W1871" s="18" t="s">
        <v>76</v>
      </c>
      <c r="X1871" s="174" t="s">
        <v>2286</v>
      </c>
      <c r="Y1871" s="94" t="s">
        <v>5595</v>
      </c>
      <c r="Z1871" s="18" t="s">
        <v>5596</v>
      </c>
      <c r="AA1871" s="92">
        <v>370.0</v>
      </c>
      <c r="AB1871" s="18">
        <v>370.0</v>
      </c>
      <c r="AC1871" s="18"/>
      <c r="AD1871" s="14">
        <v>1007151.0</v>
      </c>
      <c r="AE1871" s="14">
        <v>1007151.0</v>
      </c>
      <c r="AF1871" s="14"/>
      <c r="AG1871" s="22"/>
      <c r="AH1871" s="22"/>
      <c r="AI1871" s="22"/>
      <c r="AJ1871" s="22"/>
      <c r="AK1871" s="22"/>
      <c r="AL1871" s="22"/>
      <c r="AM1871" s="22"/>
      <c r="AN1871" s="22"/>
      <c r="AO1871" s="22"/>
      <c r="AP1871" s="22"/>
    </row>
    <row r="1872" hidden="1">
      <c r="A1872" s="148">
        <v>46184.0</v>
      </c>
      <c r="B1872" s="149">
        <v>0.7083333333333334</v>
      </c>
      <c r="C1872" s="11" t="s">
        <v>32</v>
      </c>
      <c r="D1872" s="102" t="s">
        <v>33</v>
      </c>
      <c r="E1872" s="10" t="s">
        <v>71</v>
      </c>
      <c r="F1872" s="10" t="s">
        <v>5574</v>
      </c>
      <c r="G1872" s="11" t="s">
        <v>5597</v>
      </c>
      <c r="H1872" s="11" t="s">
        <v>5598</v>
      </c>
      <c r="I1872" s="10" t="s">
        <v>5599</v>
      </c>
      <c r="J1872" s="14">
        <v>97537.0</v>
      </c>
      <c r="K1872" s="14">
        <v>45395.0</v>
      </c>
      <c r="L1872" s="17">
        <v>0.4654</v>
      </c>
      <c r="M1872" s="150">
        <v>16612.0</v>
      </c>
      <c r="N1872" s="136">
        <v>0.3659</v>
      </c>
      <c r="O1872" s="18">
        <v>3803.0</v>
      </c>
      <c r="P1872" s="92">
        <v>3400.0</v>
      </c>
      <c r="Q1872" s="137">
        <v>0.0749</v>
      </c>
      <c r="R1872" s="17">
        <v>0.2047</v>
      </c>
      <c r="S1872" s="18">
        <v>89.0</v>
      </c>
      <c r="T1872" s="18">
        <v>217.0</v>
      </c>
      <c r="U1872" s="151">
        <v>228417.0</v>
      </c>
      <c r="V1872" s="92" t="s">
        <v>335</v>
      </c>
      <c r="W1872" s="18" t="s">
        <v>76</v>
      </c>
      <c r="X1872" s="174" t="s">
        <v>41</v>
      </c>
      <c r="Y1872" s="94" t="s">
        <v>5595</v>
      </c>
      <c r="Z1872" s="18" t="s">
        <v>5600</v>
      </c>
      <c r="AA1872" s="92">
        <v>619.0</v>
      </c>
      <c r="AB1872" s="18">
        <v>619.0</v>
      </c>
      <c r="AC1872" s="18"/>
      <c r="AD1872" s="14">
        <v>1462671.0</v>
      </c>
      <c r="AE1872" s="14">
        <v>1462671.0</v>
      </c>
      <c r="AF1872" s="14"/>
      <c r="AG1872" s="22"/>
      <c r="AH1872" s="22"/>
      <c r="AI1872" s="22"/>
      <c r="AJ1872" s="22"/>
      <c r="AK1872" s="22"/>
      <c r="AL1872" s="22"/>
      <c r="AM1872" s="22"/>
      <c r="AN1872" s="22"/>
      <c r="AO1872" s="22"/>
      <c r="AP1872" s="22"/>
    </row>
    <row r="1873" hidden="1">
      <c r="A1873" s="148">
        <v>46185.0</v>
      </c>
      <c r="B1873" s="149">
        <v>0.4791666666666667</v>
      </c>
      <c r="C1873" s="11" t="s">
        <v>32</v>
      </c>
      <c r="D1873" s="102" t="s">
        <v>33</v>
      </c>
      <c r="E1873" s="10" t="s">
        <v>71</v>
      </c>
      <c r="F1873" s="10" t="s">
        <v>5574</v>
      </c>
      <c r="G1873" s="11" t="s">
        <v>5601</v>
      </c>
      <c r="H1873" s="11" t="s">
        <v>5602</v>
      </c>
      <c r="I1873" s="10" t="s">
        <v>5603</v>
      </c>
      <c r="J1873" s="14">
        <v>127561.0</v>
      </c>
      <c r="K1873" s="14">
        <v>62548.0</v>
      </c>
      <c r="L1873" s="17">
        <v>0.4903</v>
      </c>
      <c r="M1873" s="150">
        <v>24196.0</v>
      </c>
      <c r="N1873" s="165">
        <v>0.3869</v>
      </c>
      <c r="O1873" s="18">
        <v>3991.0</v>
      </c>
      <c r="P1873" s="92">
        <v>3668.0</v>
      </c>
      <c r="Q1873" s="166">
        <v>0.0586</v>
      </c>
      <c r="R1873" s="17">
        <v>0.1516</v>
      </c>
      <c r="S1873" s="18">
        <v>27.0</v>
      </c>
      <c r="T1873" s="18">
        <v>100.0</v>
      </c>
      <c r="U1873" s="151">
        <v>69049.0</v>
      </c>
      <c r="V1873" s="92" t="s">
        <v>315</v>
      </c>
      <c r="W1873" s="18" t="s">
        <v>76</v>
      </c>
      <c r="X1873" s="177" t="s">
        <v>2286</v>
      </c>
      <c r="Y1873" s="94" t="s">
        <v>5604</v>
      </c>
      <c r="Z1873" s="18" t="s">
        <v>5605</v>
      </c>
      <c r="AA1873" s="92">
        <v>566.0</v>
      </c>
      <c r="AB1873" s="18"/>
      <c r="AC1873" s="18">
        <v>566.0</v>
      </c>
      <c r="AD1873" s="14">
        <v>2174648.0</v>
      </c>
      <c r="AE1873" s="14"/>
      <c r="AF1873" s="14">
        <v>2174648.0</v>
      </c>
      <c r="AG1873" s="22"/>
      <c r="AH1873" s="22"/>
      <c r="AI1873" s="22"/>
      <c r="AJ1873" s="22"/>
      <c r="AK1873" s="22"/>
      <c r="AL1873" s="22"/>
      <c r="AM1873" s="22"/>
      <c r="AN1873" s="22"/>
      <c r="AO1873" s="22"/>
      <c r="AP1873" s="22"/>
    </row>
    <row r="1874" hidden="1">
      <c r="A1874" s="148">
        <v>46185.0</v>
      </c>
      <c r="B1874" s="149">
        <v>0.4791666666666667</v>
      </c>
      <c r="C1874" s="11" t="s">
        <v>32</v>
      </c>
      <c r="D1874" s="102" t="s">
        <v>33</v>
      </c>
      <c r="E1874" s="10" t="s">
        <v>71</v>
      </c>
      <c r="F1874" s="10" t="s">
        <v>5574</v>
      </c>
      <c r="G1874" s="11" t="s">
        <v>5606</v>
      </c>
      <c r="H1874" s="11" t="s">
        <v>5607</v>
      </c>
      <c r="I1874" s="10" t="s">
        <v>5608</v>
      </c>
      <c r="J1874" s="14">
        <v>171979.0</v>
      </c>
      <c r="K1874" s="14">
        <v>81793.0</v>
      </c>
      <c r="L1874" s="17">
        <v>0.4756</v>
      </c>
      <c r="M1874" s="150">
        <v>28648.0</v>
      </c>
      <c r="N1874" s="165">
        <v>0.3503</v>
      </c>
      <c r="O1874" s="18">
        <v>3488.0</v>
      </c>
      <c r="P1874" s="92">
        <v>3228.0</v>
      </c>
      <c r="Q1874" s="166">
        <v>0.0395</v>
      </c>
      <c r="R1874" s="17">
        <v>0.1127</v>
      </c>
      <c r="S1874" s="18">
        <v>23.0</v>
      </c>
      <c r="T1874" s="18">
        <v>79.0</v>
      </c>
      <c r="U1874" s="151">
        <v>57746.0</v>
      </c>
      <c r="V1874" s="92" t="s">
        <v>315</v>
      </c>
      <c r="W1874" s="18" t="s">
        <v>76</v>
      </c>
      <c r="X1874" s="177" t="s">
        <v>41</v>
      </c>
      <c r="Y1874" s="94" t="s">
        <v>5604</v>
      </c>
      <c r="Z1874" s="18" t="s">
        <v>5609</v>
      </c>
      <c r="AA1874" s="92">
        <v>651.0</v>
      </c>
      <c r="AB1874" s="18"/>
      <c r="AC1874" s="18">
        <v>651.0</v>
      </c>
      <c r="AD1874" s="14">
        <v>2274331.0</v>
      </c>
      <c r="AE1874" s="14"/>
      <c r="AF1874" s="14">
        <v>2274331.0</v>
      </c>
      <c r="AG1874" s="22"/>
      <c r="AH1874" s="22"/>
      <c r="AI1874" s="22"/>
      <c r="AJ1874" s="22"/>
      <c r="AK1874" s="22"/>
      <c r="AL1874" s="22"/>
      <c r="AM1874" s="22"/>
      <c r="AN1874" s="22"/>
      <c r="AO1874" s="22"/>
      <c r="AP1874" s="22"/>
    </row>
    <row r="1875" hidden="1">
      <c r="A1875" s="148">
        <v>46185.0</v>
      </c>
      <c r="B1875" s="149">
        <v>0.4791666666666667</v>
      </c>
      <c r="C1875" s="11" t="s">
        <v>32</v>
      </c>
      <c r="D1875" s="102" t="s">
        <v>33</v>
      </c>
      <c r="E1875" s="10" t="s">
        <v>71</v>
      </c>
      <c r="F1875" s="10" t="s">
        <v>5574</v>
      </c>
      <c r="G1875" s="11" t="s">
        <v>5610</v>
      </c>
      <c r="H1875" s="11" t="s">
        <v>5611</v>
      </c>
      <c r="I1875" s="10" t="s">
        <v>5612</v>
      </c>
      <c r="J1875" s="14">
        <v>144749.0</v>
      </c>
      <c r="K1875" s="14">
        <v>67621.0</v>
      </c>
      <c r="L1875" s="17">
        <v>0.4671</v>
      </c>
      <c r="M1875" s="150">
        <v>22568.0</v>
      </c>
      <c r="N1875" s="165">
        <v>0.3337</v>
      </c>
      <c r="O1875" s="18">
        <v>2607.0</v>
      </c>
      <c r="P1875" s="92">
        <v>2409.0</v>
      </c>
      <c r="Q1875" s="166">
        <v>0.0356</v>
      </c>
      <c r="R1875" s="17">
        <v>0.1067</v>
      </c>
      <c r="S1875" s="18">
        <v>21.0</v>
      </c>
      <c r="T1875" s="18">
        <v>87.0</v>
      </c>
      <c r="U1875" s="151">
        <v>55208.0</v>
      </c>
      <c r="V1875" s="92" t="s">
        <v>315</v>
      </c>
      <c r="W1875" s="18" t="s">
        <v>76</v>
      </c>
      <c r="X1875" s="177" t="s">
        <v>41</v>
      </c>
      <c r="Y1875" s="94" t="s">
        <v>5604</v>
      </c>
      <c r="Z1875" s="18" t="s">
        <v>5613</v>
      </c>
      <c r="AA1875" s="92">
        <v>400.0</v>
      </c>
      <c r="AB1875" s="18"/>
      <c r="AC1875" s="18">
        <v>400.0</v>
      </c>
      <c r="AD1875" s="14">
        <v>1267408.0</v>
      </c>
      <c r="AE1875" s="14"/>
      <c r="AF1875" s="14">
        <v>1267408.0</v>
      </c>
      <c r="AG1875" s="22"/>
      <c r="AH1875" s="22"/>
      <c r="AI1875" s="22"/>
      <c r="AJ1875" s="22"/>
      <c r="AK1875" s="22"/>
      <c r="AL1875" s="22"/>
      <c r="AM1875" s="22"/>
      <c r="AN1875" s="22"/>
      <c r="AO1875" s="22"/>
      <c r="AP1875" s="22"/>
    </row>
    <row r="1876" hidden="1">
      <c r="A1876" s="148">
        <v>46187.0</v>
      </c>
      <c r="B1876" s="149">
        <v>0.4375</v>
      </c>
      <c r="C1876" s="11" t="s">
        <v>32</v>
      </c>
      <c r="D1876" s="102" t="s">
        <v>33</v>
      </c>
      <c r="E1876" s="10" t="s">
        <v>71</v>
      </c>
      <c r="F1876" s="10" t="s">
        <v>5574</v>
      </c>
      <c r="G1876" s="11" t="s">
        <v>5614</v>
      </c>
      <c r="H1876" s="11" t="s">
        <v>5615</v>
      </c>
      <c r="I1876" s="10" t="s">
        <v>1101</v>
      </c>
      <c r="J1876" s="14">
        <v>25491.0</v>
      </c>
      <c r="K1876" s="14">
        <v>13076.0</v>
      </c>
      <c r="L1876" s="17">
        <v>0.5128</v>
      </c>
      <c r="M1876" s="150">
        <v>4345.0</v>
      </c>
      <c r="N1876" s="136">
        <v>0.3324</v>
      </c>
      <c r="O1876" s="18">
        <v>960.0</v>
      </c>
      <c r="P1876" s="92">
        <v>893.0</v>
      </c>
      <c r="Q1876" s="137">
        <v>0.0683</v>
      </c>
      <c r="R1876" s="17">
        <v>0.2055</v>
      </c>
      <c r="S1876" s="18">
        <v>11.0</v>
      </c>
      <c r="T1876" s="18">
        <v>36.0</v>
      </c>
      <c r="U1876" s="151">
        <v>0.0</v>
      </c>
      <c r="V1876" s="92" t="s">
        <v>335</v>
      </c>
      <c r="W1876" s="18" t="s">
        <v>40</v>
      </c>
      <c r="X1876" s="174" t="s">
        <v>82</v>
      </c>
      <c r="Y1876" s="94" t="s">
        <v>5616</v>
      </c>
      <c r="Z1876" s="18" t="s">
        <v>5617</v>
      </c>
      <c r="AA1876" s="92">
        <v>221.0</v>
      </c>
      <c r="AB1876" s="18">
        <v>221.0</v>
      </c>
      <c r="AC1876" s="18"/>
      <c r="AD1876" s="14">
        <v>711810.0</v>
      </c>
      <c r="AE1876" s="14">
        <v>711810.0</v>
      </c>
      <c r="AF1876" s="14"/>
      <c r="AG1876" s="22"/>
      <c r="AH1876" s="22"/>
      <c r="AI1876" s="22"/>
      <c r="AJ1876" s="22"/>
      <c r="AK1876" s="22"/>
      <c r="AL1876" s="22"/>
      <c r="AM1876" s="22"/>
      <c r="AN1876" s="22"/>
      <c r="AO1876" s="22"/>
      <c r="AP1876" s="22"/>
    </row>
    <row r="1877" hidden="1">
      <c r="A1877" s="148">
        <v>46187.0</v>
      </c>
      <c r="B1877" s="149">
        <v>0.4375</v>
      </c>
      <c r="C1877" s="11" t="s">
        <v>32</v>
      </c>
      <c r="D1877" s="102" t="s">
        <v>33</v>
      </c>
      <c r="E1877" s="10" t="s">
        <v>71</v>
      </c>
      <c r="F1877" s="10" t="s">
        <v>5574</v>
      </c>
      <c r="G1877" s="11" t="s">
        <v>5618</v>
      </c>
      <c r="H1877" s="11" t="s">
        <v>5619</v>
      </c>
      <c r="I1877" s="10" t="s">
        <v>1101</v>
      </c>
      <c r="J1877" s="14">
        <v>85972.0</v>
      </c>
      <c r="K1877" s="14">
        <v>40835.0</v>
      </c>
      <c r="L1877" s="17">
        <v>0.4749</v>
      </c>
      <c r="M1877" s="150">
        <v>12222.0</v>
      </c>
      <c r="N1877" s="136">
        <v>0.2994</v>
      </c>
      <c r="O1877" s="18">
        <v>1394.0</v>
      </c>
      <c r="P1877" s="92">
        <v>1318.0</v>
      </c>
      <c r="Q1877" s="137">
        <v>0.0323</v>
      </c>
      <c r="R1877" s="17">
        <v>0.1078</v>
      </c>
      <c r="S1877" s="18">
        <v>8.0</v>
      </c>
      <c r="T1877" s="18">
        <v>30.0</v>
      </c>
      <c r="U1877" s="151">
        <v>0.0</v>
      </c>
      <c r="V1877" s="92" t="s">
        <v>315</v>
      </c>
      <c r="W1877" s="18" t="s">
        <v>40</v>
      </c>
      <c r="X1877" s="174" t="s">
        <v>82</v>
      </c>
      <c r="Y1877" s="94" t="s">
        <v>5616</v>
      </c>
      <c r="Z1877" s="18" t="s">
        <v>5620</v>
      </c>
      <c r="AA1877" s="92">
        <v>588.0</v>
      </c>
      <c r="AB1877" s="18"/>
      <c r="AC1877" s="18">
        <v>588.0</v>
      </c>
      <c r="AD1877" s="14">
        <v>2409564.0</v>
      </c>
      <c r="AE1877" s="14"/>
      <c r="AF1877" s="14">
        <v>2409564.0</v>
      </c>
      <c r="AG1877" s="22"/>
      <c r="AH1877" s="22"/>
      <c r="AI1877" s="22"/>
      <c r="AJ1877" s="22"/>
      <c r="AK1877" s="22"/>
      <c r="AL1877" s="22"/>
      <c r="AM1877" s="22"/>
      <c r="AN1877" s="22"/>
      <c r="AO1877" s="22"/>
      <c r="AP1877" s="22"/>
    </row>
    <row r="1878" hidden="1">
      <c r="A1878" s="148">
        <v>46185.0</v>
      </c>
      <c r="B1878" s="149">
        <v>0.7083333333333334</v>
      </c>
      <c r="C1878" s="11" t="s">
        <v>58</v>
      </c>
      <c r="D1878" s="102" t="s">
        <v>3083</v>
      </c>
      <c r="E1878" s="10" t="s">
        <v>1998</v>
      </c>
      <c r="F1878" s="10" t="s">
        <v>5428</v>
      </c>
      <c r="G1878" s="11" t="s">
        <v>5621</v>
      </c>
      <c r="H1878" s="11" t="s">
        <v>5312</v>
      </c>
      <c r="I1878" s="10" t="s">
        <v>2956</v>
      </c>
      <c r="J1878" s="14">
        <v>31357.0</v>
      </c>
      <c r="K1878" s="14">
        <v>13956.0</v>
      </c>
      <c r="L1878" s="17">
        <v>0.4451</v>
      </c>
      <c r="M1878" s="150">
        <v>0.0</v>
      </c>
      <c r="N1878" s="136">
        <v>0.0</v>
      </c>
      <c r="O1878" s="18">
        <v>16.0</v>
      </c>
      <c r="P1878" s="92">
        <v>0.0</v>
      </c>
      <c r="Q1878" s="137">
        <v>0.0011</v>
      </c>
      <c r="R1878" s="17">
        <v>0.0</v>
      </c>
      <c r="S1878" s="18">
        <v>2.0</v>
      </c>
      <c r="T1878" s="18">
        <v>0.0</v>
      </c>
      <c r="U1878" s="151">
        <v>6998.0</v>
      </c>
      <c r="V1878" s="92" t="s">
        <v>183</v>
      </c>
      <c r="W1878" s="18" t="s">
        <v>58</v>
      </c>
      <c r="X1878" s="174" t="s">
        <v>4296</v>
      </c>
      <c r="Y1878" s="94" t="s">
        <v>5430</v>
      </c>
      <c r="Z1878" s="18" t="s">
        <v>5622</v>
      </c>
      <c r="AA1878" s="92">
        <v>8.0</v>
      </c>
      <c r="AB1878" s="18">
        <v>3.0</v>
      </c>
      <c r="AC1878" s="18">
        <v>5.0</v>
      </c>
      <c r="AD1878" s="14">
        <v>46524.0</v>
      </c>
      <c r="AE1878" s="14">
        <v>10497.0</v>
      </c>
      <c r="AF1878" s="14">
        <v>36027.0</v>
      </c>
      <c r="AG1878" s="22"/>
      <c r="AH1878" s="22"/>
      <c r="AI1878" s="22"/>
      <c r="AJ1878" s="22"/>
      <c r="AK1878" s="22"/>
      <c r="AL1878" s="22"/>
      <c r="AM1878" s="22"/>
      <c r="AN1878" s="22"/>
      <c r="AO1878" s="22"/>
      <c r="AP1878" s="22"/>
    </row>
    <row r="1879" hidden="1">
      <c r="A1879" s="148">
        <v>46185.0</v>
      </c>
      <c r="B1879" s="149">
        <v>0.5625</v>
      </c>
      <c r="C1879" s="11" t="s">
        <v>58</v>
      </c>
      <c r="D1879" s="102" t="s">
        <v>3083</v>
      </c>
      <c r="E1879" s="10" t="s">
        <v>34</v>
      </c>
      <c r="F1879" s="10" t="s">
        <v>5623</v>
      </c>
      <c r="G1879" s="11" t="s">
        <v>5624</v>
      </c>
      <c r="H1879" s="11" t="s">
        <v>3762</v>
      </c>
      <c r="I1879" s="10" t="s">
        <v>2956</v>
      </c>
      <c r="J1879" s="14">
        <v>1536.0</v>
      </c>
      <c r="K1879" s="14">
        <v>979.0</v>
      </c>
      <c r="L1879" s="17">
        <v>0.6374</v>
      </c>
      <c r="M1879" s="150">
        <v>0.0</v>
      </c>
      <c r="N1879" s="136">
        <v>0.0</v>
      </c>
      <c r="O1879" s="18">
        <v>10.0</v>
      </c>
      <c r="P1879" s="92">
        <v>0.0</v>
      </c>
      <c r="Q1879" s="137">
        <v>0.0102</v>
      </c>
      <c r="R1879" s="17">
        <v>0.0</v>
      </c>
      <c r="S1879" s="18">
        <v>2.0</v>
      </c>
      <c r="T1879" s="18">
        <v>0.0</v>
      </c>
      <c r="U1879" s="151">
        <v>10147.0</v>
      </c>
      <c r="V1879" s="92" t="s">
        <v>335</v>
      </c>
      <c r="W1879" s="18" t="s">
        <v>58</v>
      </c>
      <c r="X1879" s="174" t="s">
        <v>2131</v>
      </c>
      <c r="Y1879" s="94" t="s">
        <v>5435</v>
      </c>
      <c r="Z1879" s="18" t="s">
        <v>5625</v>
      </c>
      <c r="AA1879" s="92">
        <v>0.0</v>
      </c>
      <c r="AB1879" s="18">
        <v>0.0</v>
      </c>
      <c r="AC1879" s="18"/>
      <c r="AD1879" s="14">
        <v>0.0</v>
      </c>
      <c r="AE1879" s="14">
        <v>0.0</v>
      </c>
      <c r="AF1879" s="14"/>
      <c r="AG1879" s="22"/>
      <c r="AH1879" s="22"/>
      <c r="AI1879" s="22"/>
      <c r="AJ1879" s="22"/>
      <c r="AK1879" s="22"/>
      <c r="AL1879" s="22"/>
      <c r="AM1879" s="22"/>
      <c r="AN1879" s="22"/>
      <c r="AO1879" s="22"/>
      <c r="AP1879" s="22"/>
    </row>
    <row r="1880" hidden="1">
      <c r="A1880" s="148">
        <v>46185.0</v>
      </c>
      <c r="B1880" s="149">
        <v>0.5659722222222222</v>
      </c>
      <c r="C1880" s="11" t="s">
        <v>58</v>
      </c>
      <c r="D1880" s="102" t="s">
        <v>3083</v>
      </c>
      <c r="E1880" s="10" t="s">
        <v>34</v>
      </c>
      <c r="F1880" s="10" t="s">
        <v>5623</v>
      </c>
      <c r="G1880" s="11" t="s">
        <v>5626</v>
      </c>
      <c r="H1880" s="11" t="s">
        <v>3767</v>
      </c>
      <c r="I1880" s="10" t="s">
        <v>2956</v>
      </c>
      <c r="J1880" s="14">
        <v>143.0</v>
      </c>
      <c r="K1880" s="14">
        <v>91.0</v>
      </c>
      <c r="L1880" s="17">
        <v>0.6364</v>
      </c>
      <c r="M1880" s="150">
        <v>0.0</v>
      </c>
      <c r="N1880" s="136">
        <v>0.0</v>
      </c>
      <c r="O1880" s="18">
        <v>0.0</v>
      </c>
      <c r="P1880" s="92">
        <v>0.0</v>
      </c>
      <c r="Q1880" s="137">
        <v>0.0</v>
      </c>
      <c r="R1880" s="17">
        <v>0.0</v>
      </c>
      <c r="S1880" s="18">
        <v>0.0</v>
      </c>
      <c r="T1880" s="18">
        <v>0.0</v>
      </c>
      <c r="U1880" s="151">
        <v>0.0</v>
      </c>
      <c r="V1880" s="92" t="s">
        <v>335</v>
      </c>
      <c r="W1880" s="18" t="s">
        <v>58</v>
      </c>
      <c r="X1880" s="174" t="s">
        <v>2282</v>
      </c>
      <c r="Y1880" s="94" t="s">
        <v>5435</v>
      </c>
      <c r="Z1880" s="18" t="s">
        <v>5627</v>
      </c>
      <c r="AA1880" s="92">
        <v>0.0</v>
      </c>
      <c r="AB1880" s="18">
        <v>0.0</v>
      </c>
      <c r="AC1880" s="18"/>
      <c r="AD1880" s="14">
        <v>0.0</v>
      </c>
      <c r="AE1880" s="14">
        <v>0.0</v>
      </c>
      <c r="AF1880" s="14"/>
      <c r="AG1880" s="22"/>
      <c r="AH1880" s="22"/>
      <c r="AI1880" s="22"/>
      <c r="AJ1880" s="22"/>
      <c r="AK1880" s="22"/>
      <c r="AL1880" s="22"/>
      <c r="AM1880" s="22"/>
      <c r="AN1880" s="22"/>
      <c r="AO1880" s="22"/>
      <c r="AP1880" s="22"/>
    </row>
    <row r="1881" hidden="1">
      <c r="A1881" s="148">
        <v>46185.0</v>
      </c>
      <c r="B1881" s="149">
        <v>0.5694444444444444</v>
      </c>
      <c r="C1881" s="11" t="s">
        <v>58</v>
      </c>
      <c r="D1881" s="102" t="s">
        <v>3083</v>
      </c>
      <c r="E1881" s="10" t="s">
        <v>34</v>
      </c>
      <c r="F1881" s="10" t="s">
        <v>5623</v>
      </c>
      <c r="G1881" s="11" t="s">
        <v>5628</v>
      </c>
      <c r="H1881" s="11" t="s">
        <v>5441</v>
      </c>
      <c r="I1881" s="10" t="s">
        <v>2956</v>
      </c>
      <c r="J1881" s="14">
        <v>23479.0</v>
      </c>
      <c r="K1881" s="14">
        <v>13176.0</v>
      </c>
      <c r="L1881" s="17">
        <v>0.5612</v>
      </c>
      <c r="M1881" s="150">
        <v>0.0</v>
      </c>
      <c r="N1881" s="136">
        <v>0.0</v>
      </c>
      <c r="O1881" s="18">
        <v>46.0</v>
      </c>
      <c r="P1881" s="92">
        <v>0.0</v>
      </c>
      <c r="Q1881" s="137">
        <v>0.0035</v>
      </c>
      <c r="R1881" s="17">
        <v>0.0</v>
      </c>
      <c r="S1881" s="18">
        <v>3.0</v>
      </c>
      <c r="T1881" s="18">
        <v>0.0</v>
      </c>
      <c r="U1881" s="151">
        <v>41793.0</v>
      </c>
      <c r="V1881" s="92" t="s">
        <v>183</v>
      </c>
      <c r="W1881" s="18" t="s">
        <v>58</v>
      </c>
      <c r="X1881" s="174" t="s">
        <v>52</v>
      </c>
      <c r="Y1881" s="94" t="s">
        <v>5435</v>
      </c>
      <c r="Z1881" s="18" t="s">
        <v>5629</v>
      </c>
      <c r="AA1881" s="92">
        <v>19.0</v>
      </c>
      <c r="AB1881" s="18">
        <v>4.0</v>
      </c>
      <c r="AC1881" s="18">
        <v>15.0</v>
      </c>
      <c r="AD1881" s="14">
        <v>238861.0</v>
      </c>
      <c r="AE1881" s="14">
        <v>16447.0</v>
      </c>
      <c r="AF1881" s="14">
        <v>222414.0</v>
      </c>
      <c r="AG1881" s="22"/>
      <c r="AH1881" s="22"/>
      <c r="AI1881" s="22"/>
      <c r="AJ1881" s="22"/>
      <c r="AK1881" s="22"/>
      <c r="AL1881" s="22"/>
      <c r="AM1881" s="22"/>
      <c r="AN1881" s="22"/>
      <c r="AO1881" s="22"/>
      <c r="AP1881" s="22"/>
    </row>
    <row r="1882" hidden="1">
      <c r="A1882" s="148">
        <v>46185.0</v>
      </c>
      <c r="B1882" s="149">
        <v>0.5729166666666666</v>
      </c>
      <c r="C1882" s="11" t="s">
        <v>58</v>
      </c>
      <c r="D1882" s="102" t="s">
        <v>3083</v>
      </c>
      <c r="E1882" s="10" t="s">
        <v>34</v>
      </c>
      <c r="F1882" s="10" t="s">
        <v>5623</v>
      </c>
      <c r="G1882" s="11" t="s">
        <v>5630</v>
      </c>
      <c r="H1882" s="11" t="s">
        <v>5445</v>
      </c>
      <c r="I1882" s="10" t="s">
        <v>2956</v>
      </c>
      <c r="J1882" s="14">
        <v>4935.0</v>
      </c>
      <c r="K1882" s="14">
        <v>2698.0</v>
      </c>
      <c r="L1882" s="17">
        <v>0.5467</v>
      </c>
      <c r="M1882" s="150">
        <v>0.0</v>
      </c>
      <c r="N1882" s="136">
        <v>0.0</v>
      </c>
      <c r="O1882" s="18">
        <v>20.0</v>
      </c>
      <c r="P1882" s="92">
        <v>0.0</v>
      </c>
      <c r="Q1882" s="137">
        <v>0.0074</v>
      </c>
      <c r="R1882" s="17">
        <v>0.0</v>
      </c>
      <c r="S1882" s="18">
        <v>6.0</v>
      </c>
      <c r="T1882" s="18">
        <v>0.0</v>
      </c>
      <c r="U1882" s="151">
        <v>31695.0</v>
      </c>
      <c r="V1882" s="92" t="s">
        <v>183</v>
      </c>
      <c r="W1882" s="18" t="s">
        <v>58</v>
      </c>
      <c r="X1882" s="174" t="s">
        <v>5447</v>
      </c>
      <c r="Y1882" s="94" t="s">
        <v>5435</v>
      </c>
      <c r="Z1882" s="18" t="s">
        <v>5631</v>
      </c>
      <c r="AA1882" s="92">
        <v>2.0</v>
      </c>
      <c r="AB1882" s="18">
        <v>2.0</v>
      </c>
      <c r="AC1882" s="18">
        <v>0.0</v>
      </c>
      <c r="AD1882" s="14">
        <v>18598.0</v>
      </c>
      <c r="AE1882" s="14">
        <v>18598.0</v>
      </c>
      <c r="AF1882" s="14">
        <v>0.0</v>
      </c>
      <c r="AG1882" s="22"/>
      <c r="AH1882" s="22"/>
      <c r="AI1882" s="22"/>
      <c r="AJ1882" s="22"/>
      <c r="AK1882" s="22"/>
      <c r="AL1882" s="22"/>
      <c r="AM1882" s="22"/>
      <c r="AN1882" s="22"/>
      <c r="AO1882" s="22"/>
      <c r="AP1882" s="22"/>
    </row>
    <row r="1883" hidden="1">
      <c r="A1883" s="148">
        <v>46185.0</v>
      </c>
      <c r="B1883" s="149">
        <v>0.5763888888888888</v>
      </c>
      <c r="C1883" s="11" t="s">
        <v>58</v>
      </c>
      <c r="D1883" s="102" t="s">
        <v>3083</v>
      </c>
      <c r="E1883" s="10" t="s">
        <v>34</v>
      </c>
      <c r="F1883" s="10" t="s">
        <v>5623</v>
      </c>
      <c r="G1883" s="11" t="s">
        <v>5632</v>
      </c>
      <c r="H1883" s="11" t="s">
        <v>3785</v>
      </c>
      <c r="I1883" s="10" t="s">
        <v>2956</v>
      </c>
      <c r="J1883" s="14">
        <v>1844.0</v>
      </c>
      <c r="K1883" s="14">
        <v>1029.0</v>
      </c>
      <c r="L1883" s="17">
        <v>0.558</v>
      </c>
      <c r="M1883" s="150">
        <v>0.0</v>
      </c>
      <c r="N1883" s="136">
        <v>0.0</v>
      </c>
      <c r="O1883" s="18">
        <v>4.0</v>
      </c>
      <c r="P1883" s="92">
        <v>0.0</v>
      </c>
      <c r="Q1883" s="137">
        <v>0.0039</v>
      </c>
      <c r="R1883" s="17">
        <v>0.0</v>
      </c>
      <c r="S1883" s="18">
        <v>0.0</v>
      </c>
      <c r="T1883" s="18">
        <v>0.0</v>
      </c>
      <c r="U1883" s="151">
        <v>0.0</v>
      </c>
      <c r="V1883" s="92" t="s">
        <v>183</v>
      </c>
      <c r="W1883" s="18" t="s">
        <v>58</v>
      </c>
      <c r="X1883" s="174" t="s">
        <v>82</v>
      </c>
      <c r="Y1883" s="94" t="s">
        <v>5435</v>
      </c>
      <c r="Z1883" s="18" t="s">
        <v>5633</v>
      </c>
      <c r="AA1883" s="92">
        <v>1.0</v>
      </c>
      <c r="AB1883" s="18">
        <v>0.0</v>
      </c>
      <c r="AC1883" s="18">
        <v>1.0</v>
      </c>
      <c r="AD1883" s="14">
        <v>9590.0</v>
      </c>
      <c r="AE1883" s="14">
        <v>0.0</v>
      </c>
      <c r="AF1883" s="14">
        <v>9590.0</v>
      </c>
      <c r="AG1883" s="22"/>
      <c r="AH1883" s="22"/>
      <c r="AI1883" s="22"/>
      <c r="AJ1883" s="22"/>
      <c r="AK1883" s="22"/>
      <c r="AL1883" s="22"/>
      <c r="AM1883" s="22"/>
      <c r="AN1883" s="22"/>
      <c r="AO1883" s="22"/>
      <c r="AP1883" s="22"/>
    </row>
    <row r="1884" hidden="1">
      <c r="A1884" s="148">
        <v>46185.0</v>
      </c>
      <c r="B1884" s="149">
        <v>0.5798611111111112</v>
      </c>
      <c r="C1884" s="11" t="s">
        <v>58</v>
      </c>
      <c r="D1884" s="102" t="s">
        <v>3083</v>
      </c>
      <c r="E1884" s="10" t="s">
        <v>34</v>
      </c>
      <c r="F1884" s="10" t="s">
        <v>5623</v>
      </c>
      <c r="G1884" s="11" t="s">
        <v>5634</v>
      </c>
      <c r="H1884" s="11" t="s">
        <v>5450</v>
      </c>
      <c r="I1884" s="10" t="s">
        <v>2956</v>
      </c>
      <c r="J1884" s="14">
        <v>3265.0</v>
      </c>
      <c r="K1884" s="14">
        <v>1840.0</v>
      </c>
      <c r="L1884" s="17">
        <v>0.5636</v>
      </c>
      <c r="M1884" s="150">
        <v>0.0</v>
      </c>
      <c r="N1884" s="136">
        <v>0.0</v>
      </c>
      <c r="O1884" s="18">
        <v>4.0</v>
      </c>
      <c r="P1884" s="92">
        <v>0.0</v>
      </c>
      <c r="Q1884" s="137">
        <v>0.0022</v>
      </c>
      <c r="R1884" s="17">
        <v>0.0</v>
      </c>
      <c r="S1884" s="18">
        <v>0.0</v>
      </c>
      <c r="T1884" s="18">
        <v>0.0</v>
      </c>
      <c r="U1884" s="151">
        <v>0.0</v>
      </c>
      <c r="V1884" s="92" t="s">
        <v>183</v>
      </c>
      <c r="W1884" s="18" t="s">
        <v>58</v>
      </c>
      <c r="X1884" s="174" t="s">
        <v>5452</v>
      </c>
      <c r="Y1884" s="94" t="s">
        <v>5435</v>
      </c>
      <c r="Z1884" s="18" t="s">
        <v>5635</v>
      </c>
      <c r="AA1884" s="92">
        <v>5.0</v>
      </c>
      <c r="AB1884" s="18">
        <v>0.0</v>
      </c>
      <c r="AC1884" s="18">
        <v>5.0</v>
      </c>
      <c r="AD1884" s="14">
        <v>45730.0</v>
      </c>
      <c r="AE1884" s="14">
        <v>0.0</v>
      </c>
      <c r="AF1884" s="14">
        <v>45730.0</v>
      </c>
      <c r="AG1884" s="22"/>
      <c r="AH1884" s="22"/>
      <c r="AI1884" s="22"/>
      <c r="AJ1884" s="22"/>
      <c r="AK1884" s="22"/>
      <c r="AL1884" s="22"/>
      <c r="AM1884" s="22"/>
      <c r="AN1884" s="22"/>
      <c r="AO1884" s="22"/>
      <c r="AP1884" s="22"/>
    </row>
    <row r="1885" hidden="1">
      <c r="A1885" s="148">
        <v>46185.0</v>
      </c>
      <c r="B1885" s="149">
        <v>0.5833333333333334</v>
      </c>
      <c r="C1885" s="11" t="s">
        <v>58</v>
      </c>
      <c r="D1885" s="102" t="s">
        <v>3083</v>
      </c>
      <c r="E1885" s="10" t="s">
        <v>34</v>
      </c>
      <c r="F1885" s="10" t="s">
        <v>5623</v>
      </c>
      <c r="G1885" s="11" t="s">
        <v>5636</v>
      </c>
      <c r="H1885" s="11" t="s">
        <v>5458</v>
      </c>
      <c r="I1885" s="10" t="s">
        <v>2956</v>
      </c>
      <c r="J1885" s="14">
        <v>19410.0</v>
      </c>
      <c r="K1885" s="14">
        <v>11096.0</v>
      </c>
      <c r="L1885" s="17">
        <v>0.5717</v>
      </c>
      <c r="M1885" s="150">
        <v>0.0</v>
      </c>
      <c r="N1885" s="136">
        <v>0.0</v>
      </c>
      <c r="O1885" s="18">
        <v>27.0</v>
      </c>
      <c r="P1885" s="92">
        <v>0.0</v>
      </c>
      <c r="Q1885" s="137">
        <v>0.0024</v>
      </c>
      <c r="R1885" s="17">
        <v>0.0</v>
      </c>
      <c r="S1885" s="18">
        <v>0.0</v>
      </c>
      <c r="T1885" s="18">
        <v>0.0</v>
      </c>
      <c r="U1885" s="151">
        <v>0.0</v>
      </c>
      <c r="V1885" s="92" t="s">
        <v>183</v>
      </c>
      <c r="W1885" s="18" t="s">
        <v>58</v>
      </c>
      <c r="X1885" s="174" t="s">
        <v>41</v>
      </c>
      <c r="Y1885" s="94" t="s">
        <v>5435</v>
      </c>
      <c r="Z1885" s="18" t="s">
        <v>5637</v>
      </c>
      <c r="AA1885" s="92">
        <v>10.0</v>
      </c>
      <c r="AB1885" s="18">
        <v>1.0</v>
      </c>
      <c r="AC1885" s="18">
        <v>9.0</v>
      </c>
      <c r="AD1885" s="14">
        <v>77697.0</v>
      </c>
      <c r="AE1885" s="14">
        <v>7699.0</v>
      </c>
      <c r="AF1885" s="14">
        <v>69998.0</v>
      </c>
      <c r="AG1885" s="22"/>
      <c r="AH1885" s="22"/>
      <c r="AI1885" s="22"/>
      <c r="AJ1885" s="22"/>
      <c r="AK1885" s="22"/>
      <c r="AL1885" s="22"/>
      <c r="AM1885" s="22"/>
      <c r="AN1885" s="22"/>
      <c r="AO1885" s="22"/>
      <c r="AP1885" s="22"/>
    </row>
    <row r="1886" hidden="1">
      <c r="A1886" s="148">
        <v>46185.0</v>
      </c>
      <c r="B1886" s="149">
        <v>0.5868055555555556</v>
      </c>
      <c r="C1886" s="11" t="s">
        <v>58</v>
      </c>
      <c r="D1886" s="102" t="s">
        <v>3083</v>
      </c>
      <c r="E1886" s="10" t="s">
        <v>34</v>
      </c>
      <c r="F1886" s="10" t="s">
        <v>5623</v>
      </c>
      <c r="G1886" s="11" t="s">
        <v>5638</v>
      </c>
      <c r="H1886" s="11" t="s">
        <v>5462</v>
      </c>
      <c r="I1886" s="10" t="s">
        <v>2956</v>
      </c>
      <c r="J1886" s="14">
        <v>13937.0</v>
      </c>
      <c r="K1886" s="14">
        <v>7572.0</v>
      </c>
      <c r="L1886" s="17">
        <v>0.5433</v>
      </c>
      <c r="M1886" s="150">
        <v>0.0</v>
      </c>
      <c r="N1886" s="136">
        <v>0.0</v>
      </c>
      <c r="O1886" s="18">
        <v>23.0</v>
      </c>
      <c r="P1886" s="92">
        <v>0.0</v>
      </c>
      <c r="Q1886" s="137">
        <v>0.003</v>
      </c>
      <c r="R1886" s="17">
        <v>0.0</v>
      </c>
      <c r="S1886" s="18">
        <v>1.0</v>
      </c>
      <c r="T1886" s="18">
        <v>0.0</v>
      </c>
      <c r="U1886" s="151">
        <v>3499.0</v>
      </c>
      <c r="V1886" s="92" t="s">
        <v>183</v>
      </c>
      <c r="W1886" s="18" t="s">
        <v>58</v>
      </c>
      <c r="X1886" s="174" t="s">
        <v>5464</v>
      </c>
      <c r="Y1886" s="94" t="s">
        <v>5435</v>
      </c>
      <c r="Z1886" s="18" t="s">
        <v>5639</v>
      </c>
      <c r="AA1886" s="92">
        <v>5.0</v>
      </c>
      <c r="AB1886" s="18">
        <v>2.0</v>
      </c>
      <c r="AC1886" s="18">
        <v>3.0</v>
      </c>
      <c r="AD1886" s="14">
        <v>52067.0</v>
      </c>
      <c r="AE1886" s="14">
        <v>14898.0</v>
      </c>
      <c r="AF1886" s="14">
        <v>37169.0</v>
      </c>
      <c r="AG1886" s="22"/>
      <c r="AH1886" s="22"/>
      <c r="AI1886" s="22"/>
      <c r="AJ1886" s="22"/>
      <c r="AK1886" s="22"/>
      <c r="AL1886" s="22"/>
      <c r="AM1886" s="22"/>
      <c r="AN1886" s="22"/>
      <c r="AO1886" s="22"/>
      <c r="AP1886" s="22"/>
    </row>
    <row r="1887" hidden="1">
      <c r="A1887" s="148">
        <v>46185.0</v>
      </c>
      <c r="B1887" s="149">
        <v>0.5902777777777778</v>
      </c>
      <c r="C1887" s="11" t="s">
        <v>58</v>
      </c>
      <c r="D1887" s="102" t="s">
        <v>3083</v>
      </c>
      <c r="E1887" s="10" t="s">
        <v>34</v>
      </c>
      <c r="F1887" s="10" t="s">
        <v>5623</v>
      </c>
      <c r="G1887" s="11" t="s">
        <v>5640</v>
      </c>
      <c r="H1887" s="11" t="s">
        <v>5467</v>
      </c>
      <c r="I1887" s="10" t="s">
        <v>2956</v>
      </c>
      <c r="J1887" s="14">
        <v>43232.0</v>
      </c>
      <c r="K1887" s="14">
        <v>23659.0</v>
      </c>
      <c r="L1887" s="17">
        <v>0.5473</v>
      </c>
      <c r="M1887" s="150">
        <v>0.0</v>
      </c>
      <c r="N1887" s="136">
        <v>0.0</v>
      </c>
      <c r="O1887" s="18">
        <v>75.0</v>
      </c>
      <c r="P1887" s="92">
        <v>0.0</v>
      </c>
      <c r="Q1887" s="137">
        <v>0.0032</v>
      </c>
      <c r="R1887" s="17">
        <v>0.0</v>
      </c>
      <c r="S1887" s="18">
        <v>0.0</v>
      </c>
      <c r="T1887" s="18">
        <v>0.0</v>
      </c>
      <c r="U1887" s="151">
        <v>0.0</v>
      </c>
      <c r="V1887" s="92" t="s">
        <v>183</v>
      </c>
      <c r="W1887" s="18" t="s">
        <v>58</v>
      </c>
      <c r="X1887" s="174" t="s">
        <v>69</v>
      </c>
      <c r="Y1887" s="94" t="s">
        <v>5435</v>
      </c>
      <c r="Z1887" s="18" t="s">
        <v>5641</v>
      </c>
      <c r="AA1887" s="92">
        <v>13.0</v>
      </c>
      <c r="AB1887" s="18">
        <v>0.0</v>
      </c>
      <c r="AC1887" s="18">
        <v>13.0</v>
      </c>
      <c r="AD1887" s="14">
        <v>125794.0</v>
      </c>
      <c r="AE1887" s="14">
        <v>0.0</v>
      </c>
      <c r="AF1887" s="14">
        <v>125794.0</v>
      </c>
      <c r="AG1887" s="22"/>
      <c r="AH1887" s="22"/>
      <c r="AI1887" s="22"/>
      <c r="AJ1887" s="22"/>
      <c r="AK1887" s="22"/>
      <c r="AL1887" s="22"/>
      <c r="AM1887" s="22"/>
      <c r="AN1887" s="22"/>
      <c r="AO1887" s="22"/>
      <c r="AP1887" s="22"/>
    </row>
    <row r="1888" hidden="1">
      <c r="A1888" s="148">
        <v>46185.0</v>
      </c>
      <c r="B1888" s="149">
        <v>0.59375</v>
      </c>
      <c r="C1888" s="11" t="s">
        <v>58</v>
      </c>
      <c r="D1888" s="102" t="s">
        <v>3083</v>
      </c>
      <c r="E1888" s="10" t="s">
        <v>34</v>
      </c>
      <c r="F1888" s="10" t="s">
        <v>5623</v>
      </c>
      <c r="G1888" s="11" t="s">
        <v>5642</v>
      </c>
      <c r="H1888" s="11" t="s">
        <v>5471</v>
      </c>
      <c r="I1888" s="10" t="s">
        <v>2956</v>
      </c>
      <c r="J1888" s="14">
        <v>19077.0</v>
      </c>
      <c r="K1888" s="14">
        <v>10194.0</v>
      </c>
      <c r="L1888" s="17">
        <v>0.5344</v>
      </c>
      <c r="M1888" s="150">
        <v>0.0</v>
      </c>
      <c r="N1888" s="136">
        <v>0.0</v>
      </c>
      <c r="O1888" s="18">
        <v>33.0</v>
      </c>
      <c r="P1888" s="92">
        <v>0.0</v>
      </c>
      <c r="Q1888" s="137">
        <v>0.0032</v>
      </c>
      <c r="R1888" s="17">
        <v>0.0</v>
      </c>
      <c r="S1888" s="18">
        <v>0.0</v>
      </c>
      <c r="T1888" s="18">
        <v>0.0</v>
      </c>
      <c r="U1888" s="151">
        <v>0.0</v>
      </c>
      <c r="V1888" s="92" t="s">
        <v>183</v>
      </c>
      <c r="W1888" s="18" t="s">
        <v>58</v>
      </c>
      <c r="X1888" s="174" t="s">
        <v>69</v>
      </c>
      <c r="Y1888" s="94" t="s">
        <v>5435</v>
      </c>
      <c r="Z1888" s="18" t="s">
        <v>5643</v>
      </c>
      <c r="AA1888" s="92">
        <v>2.0</v>
      </c>
      <c r="AB1888" s="18">
        <v>1.0</v>
      </c>
      <c r="AC1888" s="18">
        <v>1.0</v>
      </c>
      <c r="AD1888" s="14">
        <v>15134.0</v>
      </c>
      <c r="AE1888" s="14">
        <v>3135.0</v>
      </c>
      <c r="AF1888" s="14">
        <v>11999.0</v>
      </c>
      <c r="AG1888" s="22"/>
      <c r="AH1888" s="22"/>
      <c r="AI1888" s="22"/>
      <c r="AJ1888" s="22"/>
      <c r="AK1888" s="22"/>
      <c r="AL1888" s="22"/>
      <c r="AM1888" s="22"/>
      <c r="AN1888" s="22"/>
      <c r="AO1888" s="22"/>
      <c r="AP1888" s="22"/>
    </row>
    <row r="1889" hidden="1">
      <c r="A1889" s="148">
        <v>46185.0</v>
      </c>
      <c r="B1889" s="149">
        <v>0.5972222222222222</v>
      </c>
      <c r="C1889" s="11" t="s">
        <v>58</v>
      </c>
      <c r="D1889" s="102" t="s">
        <v>3083</v>
      </c>
      <c r="E1889" s="10" t="s">
        <v>34</v>
      </c>
      <c r="F1889" s="10" t="s">
        <v>5623</v>
      </c>
      <c r="G1889" s="11" t="s">
        <v>5644</v>
      </c>
      <c r="H1889" s="11" t="s">
        <v>5475</v>
      </c>
      <c r="I1889" s="10" t="s">
        <v>2956</v>
      </c>
      <c r="J1889" s="14">
        <v>5512.0</v>
      </c>
      <c r="K1889" s="14">
        <v>3080.0</v>
      </c>
      <c r="L1889" s="17">
        <v>0.5588</v>
      </c>
      <c r="M1889" s="150">
        <v>0.0</v>
      </c>
      <c r="N1889" s="136">
        <v>0.0</v>
      </c>
      <c r="O1889" s="18">
        <v>16.0</v>
      </c>
      <c r="P1889" s="92">
        <v>0.0</v>
      </c>
      <c r="Q1889" s="137">
        <v>0.0052</v>
      </c>
      <c r="R1889" s="17">
        <v>0.0</v>
      </c>
      <c r="S1889" s="18">
        <v>0.0</v>
      </c>
      <c r="T1889" s="18">
        <v>0.0</v>
      </c>
      <c r="U1889" s="151">
        <v>0.0</v>
      </c>
      <c r="V1889" s="92" t="s">
        <v>183</v>
      </c>
      <c r="W1889" s="18" t="s">
        <v>58</v>
      </c>
      <c r="X1889" s="174" t="s">
        <v>2286</v>
      </c>
      <c r="Y1889" s="94" t="s">
        <v>5435</v>
      </c>
      <c r="Z1889" s="18" t="s">
        <v>5645</v>
      </c>
      <c r="AA1889" s="92">
        <v>1.0</v>
      </c>
      <c r="AB1889" s="18">
        <v>0.0</v>
      </c>
      <c r="AC1889" s="18">
        <v>1.0</v>
      </c>
      <c r="AD1889" s="14">
        <v>9090.0</v>
      </c>
      <c r="AE1889" s="14">
        <v>0.0</v>
      </c>
      <c r="AF1889" s="14">
        <v>9090.0</v>
      </c>
      <c r="AG1889" s="22"/>
      <c r="AH1889" s="22"/>
      <c r="AI1889" s="22"/>
      <c r="AJ1889" s="22"/>
      <c r="AK1889" s="22"/>
      <c r="AL1889" s="22"/>
      <c r="AM1889" s="22"/>
      <c r="AN1889" s="22"/>
      <c r="AO1889" s="22"/>
      <c r="AP1889" s="22"/>
    </row>
    <row r="1890" hidden="1">
      <c r="A1890" s="148">
        <v>46185.0</v>
      </c>
      <c r="B1890" s="149">
        <v>0.6006944444444444</v>
      </c>
      <c r="C1890" s="11" t="s">
        <v>58</v>
      </c>
      <c r="D1890" s="102" t="s">
        <v>3083</v>
      </c>
      <c r="E1890" s="10" t="s">
        <v>34</v>
      </c>
      <c r="F1890" s="10" t="s">
        <v>5623</v>
      </c>
      <c r="G1890" s="11" t="s">
        <v>5646</v>
      </c>
      <c r="H1890" s="11" t="s">
        <v>3821</v>
      </c>
      <c r="I1890" s="10" t="s">
        <v>2956</v>
      </c>
      <c r="J1890" s="14">
        <v>41241.0</v>
      </c>
      <c r="K1890" s="14">
        <v>23404.0</v>
      </c>
      <c r="L1890" s="17">
        <v>0.5675</v>
      </c>
      <c r="M1890" s="150">
        <v>0.0</v>
      </c>
      <c r="N1890" s="136">
        <v>0.0</v>
      </c>
      <c r="O1890" s="18">
        <v>80.0</v>
      </c>
      <c r="P1890" s="92">
        <v>0.0</v>
      </c>
      <c r="Q1890" s="137">
        <v>0.0034</v>
      </c>
      <c r="R1890" s="17">
        <v>0.0</v>
      </c>
      <c r="S1890" s="18">
        <v>0.0</v>
      </c>
      <c r="T1890" s="18">
        <v>0.0</v>
      </c>
      <c r="U1890" s="151">
        <v>0.0</v>
      </c>
      <c r="V1890" s="92" t="s">
        <v>183</v>
      </c>
      <c r="W1890" s="18" t="s">
        <v>58</v>
      </c>
      <c r="X1890" s="174" t="s">
        <v>5480</v>
      </c>
      <c r="Y1890" s="94" t="s">
        <v>5435</v>
      </c>
      <c r="Z1890" s="18" t="s">
        <v>5647</v>
      </c>
      <c r="AA1890" s="92">
        <v>5.0</v>
      </c>
      <c r="AB1890" s="18">
        <v>1.0</v>
      </c>
      <c r="AC1890" s="18">
        <v>4.0</v>
      </c>
      <c r="AD1890" s="14">
        <v>37058.0</v>
      </c>
      <c r="AE1890" s="14">
        <v>3599.0</v>
      </c>
      <c r="AF1890" s="14">
        <v>33459.0</v>
      </c>
      <c r="AG1890" s="22"/>
      <c r="AH1890" s="22"/>
      <c r="AI1890" s="22"/>
      <c r="AJ1890" s="22"/>
      <c r="AK1890" s="22"/>
      <c r="AL1890" s="22"/>
      <c r="AM1890" s="22"/>
      <c r="AN1890" s="22"/>
      <c r="AO1890" s="22"/>
      <c r="AP1890" s="22"/>
    </row>
    <row r="1891" hidden="1">
      <c r="A1891" s="148">
        <v>46183.0</v>
      </c>
      <c r="B1891" s="149">
        <v>0.7916666666666666</v>
      </c>
      <c r="C1891" s="11" t="s">
        <v>58</v>
      </c>
      <c r="D1891" s="102" t="s">
        <v>3083</v>
      </c>
      <c r="E1891" s="10" t="s">
        <v>179</v>
      </c>
      <c r="F1891" s="10" t="s">
        <v>5482</v>
      </c>
      <c r="G1891" s="11" t="s">
        <v>5648</v>
      </c>
      <c r="H1891" s="11" t="s">
        <v>5484</v>
      </c>
      <c r="I1891" s="10" t="s">
        <v>61</v>
      </c>
      <c r="J1891" s="14">
        <v>8971.0</v>
      </c>
      <c r="K1891" s="14">
        <v>5951.0</v>
      </c>
      <c r="L1891" s="17">
        <v>0.6634</v>
      </c>
      <c r="M1891" s="150">
        <v>0.0</v>
      </c>
      <c r="N1891" s="136">
        <v>0.0</v>
      </c>
      <c r="O1891" s="18">
        <v>95.0</v>
      </c>
      <c r="P1891" s="92">
        <v>0.0</v>
      </c>
      <c r="Q1891" s="137">
        <v>0.016</v>
      </c>
      <c r="R1891" s="17">
        <v>0.0</v>
      </c>
      <c r="S1891" s="18">
        <v>50.0</v>
      </c>
      <c r="T1891" s="18">
        <v>0.0</v>
      </c>
      <c r="U1891" s="151">
        <v>420783.0</v>
      </c>
      <c r="V1891" s="92" t="s">
        <v>335</v>
      </c>
      <c r="W1891" s="18" t="s">
        <v>58</v>
      </c>
      <c r="X1891" s="174" t="s">
        <v>2612</v>
      </c>
      <c r="Y1891" s="94" t="s">
        <v>5486</v>
      </c>
      <c r="Z1891" s="18" t="s">
        <v>5649</v>
      </c>
      <c r="AA1891" s="92">
        <v>62.0</v>
      </c>
      <c r="AB1891" s="18">
        <v>62.0</v>
      </c>
      <c r="AC1891" s="18"/>
      <c r="AD1891" s="14">
        <v>483093.0</v>
      </c>
      <c r="AE1891" s="14">
        <v>483093.0</v>
      </c>
      <c r="AF1891" s="14"/>
      <c r="AG1891" s="22"/>
      <c r="AH1891" s="22"/>
      <c r="AI1891" s="22"/>
      <c r="AJ1891" s="22"/>
      <c r="AK1891" s="22"/>
      <c r="AL1891" s="22"/>
      <c r="AM1891" s="22"/>
      <c r="AN1891" s="22"/>
      <c r="AO1891" s="22"/>
      <c r="AP1891" s="22"/>
    </row>
    <row r="1892" hidden="1">
      <c r="A1892" s="148">
        <v>46184.0</v>
      </c>
      <c r="B1892" s="149">
        <v>0.4375</v>
      </c>
      <c r="C1892" s="11" t="s">
        <v>58</v>
      </c>
      <c r="D1892" s="102" t="s">
        <v>3083</v>
      </c>
      <c r="E1892" s="10" t="s">
        <v>179</v>
      </c>
      <c r="F1892" s="10" t="s">
        <v>5482</v>
      </c>
      <c r="G1892" s="11" t="s">
        <v>5650</v>
      </c>
      <c r="H1892" s="11" t="s">
        <v>5489</v>
      </c>
      <c r="I1892" s="10" t="s">
        <v>61</v>
      </c>
      <c r="J1892" s="14">
        <v>23987.0</v>
      </c>
      <c r="K1892" s="14">
        <v>14699.0</v>
      </c>
      <c r="L1892" s="17">
        <v>0.6128</v>
      </c>
      <c r="M1892" s="150">
        <v>0.0</v>
      </c>
      <c r="N1892" s="136">
        <v>0.0</v>
      </c>
      <c r="O1892" s="18">
        <v>80.0</v>
      </c>
      <c r="P1892" s="92">
        <v>0.0</v>
      </c>
      <c r="Q1892" s="137">
        <v>0.0054</v>
      </c>
      <c r="R1892" s="17">
        <v>0.0</v>
      </c>
      <c r="S1892" s="18">
        <v>75.0</v>
      </c>
      <c r="T1892" s="18">
        <v>0.0</v>
      </c>
      <c r="U1892" s="151">
        <v>629122.0</v>
      </c>
      <c r="V1892" s="92" t="s">
        <v>315</v>
      </c>
      <c r="W1892" s="18" t="s">
        <v>58</v>
      </c>
      <c r="X1892" s="174" t="s">
        <v>52</v>
      </c>
      <c r="Y1892" s="94" t="s">
        <v>5491</v>
      </c>
      <c r="Z1892" s="18" t="s">
        <v>5651</v>
      </c>
      <c r="AA1892" s="92">
        <v>118.0</v>
      </c>
      <c r="AC1892" s="18">
        <v>118.0</v>
      </c>
      <c r="AD1892" s="14">
        <v>1058172.0</v>
      </c>
      <c r="AE1892" s="14"/>
      <c r="AF1892" s="14">
        <v>1058172.0</v>
      </c>
      <c r="AG1892" s="22"/>
      <c r="AH1892" s="22"/>
      <c r="AI1892" s="22"/>
      <c r="AJ1892" s="22"/>
      <c r="AK1892" s="22"/>
      <c r="AL1892" s="22"/>
      <c r="AM1892" s="22"/>
      <c r="AN1892" s="22"/>
      <c r="AO1892" s="22"/>
      <c r="AP1892" s="22"/>
    </row>
    <row r="1893" hidden="1">
      <c r="A1893" s="148">
        <v>46184.0</v>
      </c>
      <c r="B1893" s="149">
        <v>0.4375</v>
      </c>
      <c r="C1893" s="11" t="s">
        <v>58</v>
      </c>
      <c r="D1893" s="102" t="s">
        <v>3083</v>
      </c>
      <c r="E1893" s="10" t="s">
        <v>179</v>
      </c>
      <c r="F1893" s="10" t="s">
        <v>5482</v>
      </c>
      <c r="G1893" s="11" t="s">
        <v>5652</v>
      </c>
      <c r="H1893" s="11" t="s">
        <v>5494</v>
      </c>
      <c r="I1893" s="10" t="s">
        <v>61</v>
      </c>
      <c r="J1893" s="14">
        <v>7769.0</v>
      </c>
      <c r="K1893" s="14">
        <v>4884.0</v>
      </c>
      <c r="L1893" s="17">
        <v>0.6287</v>
      </c>
      <c r="M1893" s="150">
        <v>0.0</v>
      </c>
      <c r="N1893" s="136">
        <v>0.0</v>
      </c>
      <c r="O1893" s="18">
        <v>26.0</v>
      </c>
      <c r="P1893" s="92">
        <v>0.0</v>
      </c>
      <c r="Q1893" s="137">
        <v>0.0053</v>
      </c>
      <c r="R1893" s="17">
        <v>0.0</v>
      </c>
      <c r="S1893" s="18">
        <v>24.0</v>
      </c>
      <c r="T1893" s="18">
        <v>0.0</v>
      </c>
      <c r="U1893" s="151">
        <v>221519.0</v>
      </c>
      <c r="V1893" s="92" t="s">
        <v>315</v>
      </c>
      <c r="W1893" s="18" t="s">
        <v>58</v>
      </c>
      <c r="X1893" s="174" t="s">
        <v>2286</v>
      </c>
      <c r="Y1893" s="94" t="s">
        <v>5491</v>
      </c>
      <c r="Z1893" s="18" t="s">
        <v>5653</v>
      </c>
      <c r="AA1893" s="92">
        <v>41.0</v>
      </c>
      <c r="AB1893" s="18"/>
      <c r="AC1893" s="18">
        <v>41.0</v>
      </c>
      <c r="AD1893" s="14">
        <v>418077.0</v>
      </c>
      <c r="AE1893" s="14"/>
      <c r="AF1893" s="14">
        <v>418077.0</v>
      </c>
      <c r="AG1893" s="22"/>
      <c r="AH1893" s="22"/>
      <c r="AI1893" s="22"/>
      <c r="AJ1893" s="22"/>
      <c r="AK1893" s="22"/>
      <c r="AL1893" s="22"/>
      <c r="AM1893" s="22"/>
      <c r="AN1893" s="22"/>
      <c r="AO1893" s="22"/>
      <c r="AP1893" s="22"/>
    </row>
    <row r="1894" hidden="1">
      <c r="A1894" s="148">
        <v>46184.0</v>
      </c>
      <c r="B1894" s="149">
        <v>0.4375</v>
      </c>
      <c r="C1894" s="11" t="s">
        <v>58</v>
      </c>
      <c r="D1894" s="102" t="s">
        <v>3083</v>
      </c>
      <c r="E1894" s="10" t="s">
        <v>179</v>
      </c>
      <c r="F1894" s="10" t="s">
        <v>5482</v>
      </c>
      <c r="G1894" s="11" t="s">
        <v>5654</v>
      </c>
      <c r="H1894" s="11" t="s">
        <v>5498</v>
      </c>
      <c r="I1894" s="10" t="s">
        <v>61</v>
      </c>
      <c r="J1894" s="14">
        <v>22119.0</v>
      </c>
      <c r="K1894" s="14">
        <v>14100.0</v>
      </c>
      <c r="L1894" s="17">
        <v>0.6375</v>
      </c>
      <c r="M1894" s="150">
        <v>0.0</v>
      </c>
      <c r="N1894" s="136">
        <v>0.0</v>
      </c>
      <c r="O1894" s="18">
        <v>68.0</v>
      </c>
      <c r="P1894" s="92">
        <v>0.0</v>
      </c>
      <c r="Q1894" s="137">
        <v>0.0048</v>
      </c>
      <c r="R1894" s="17">
        <v>0.0</v>
      </c>
      <c r="S1894" s="18">
        <v>57.0</v>
      </c>
      <c r="T1894" s="18">
        <v>0.0</v>
      </c>
      <c r="U1894" s="151">
        <v>510009.0</v>
      </c>
      <c r="V1894" s="92" t="s">
        <v>315</v>
      </c>
      <c r="W1894" s="18" t="s">
        <v>58</v>
      </c>
      <c r="X1894" s="174" t="s">
        <v>41</v>
      </c>
      <c r="Y1894" s="94" t="s">
        <v>5491</v>
      </c>
      <c r="Z1894" s="18" t="s">
        <v>5655</v>
      </c>
      <c r="AA1894" s="92">
        <v>87.0</v>
      </c>
      <c r="AB1894" s="18"/>
      <c r="AC1894" s="18">
        <v>87.0</v>
      </c>
      <c r="AD1894" s="14">
        <v>723342.0</v>
      </c>
      <c r="AE1894" s="14"/>
      <c r="AF1894" s="14">
        <v>723342.0</v>
      </c>
      <c r="AG1894" s="22"/>
      <c r="AH1894" s="22"/>
      <c r="AI1894" s="22"/>
      <c r="AJ1894" s="22"/>
      <c r="AK1894" s="22"/>
      <c r="AL1894" s="22"/>
      <c r="AM1894" s="22"/>
      <c r="AN1894" s="22"/>
      <c r="AO1894" s="22"/>
      <c r="AP1894" s="22"/>
    </row>
    <row r="1895" hidden="1">
      <c r="A1895" s="148">
        <v>46184.0</v>
      </c>
      <c r="B1895" s="149">
        <v>0.4375</v>
      </c>
      <c r="C1895" s="11" t="s">
        <v>58</v>
      </c>
      <c r="D1895" s="102" t="s">
        <v>3083</v>
      </c>
      <c r="E1895" s="10" t="s">
        <v>179</v>
      </c>
      <c r="F1895" s="10" t="s">
        <v>5482</v>
      </c>
      <c r="G1895" s="11" t="s">
        <v>5656</v>
      </c>
      <c r="H1895" s="11" t="s">
        <v>5502</v>
      </c>
      <c r="I1895" s="10" t="s">
        <v>61</v>
      </c>
      <c r="J1895" s="14">
        <v>23633.0</v>
      </c>
      <c r="K1895" s="14">
        <v>13808.0</v>
      </c>
      <c r="L1895" s="17">
        <v>0.5843</v>
      </c>
      <c r="M1895" s="150">
        <v>0.0</v>
      </c>
      <c r="N1895" s="136">
        <v>0.0</v>
      </c>
      <c r="O1895" s="18">
        <v>45.0</v>
      </c>
      <c r="P1895" s="92">
        <v>0.0</v>
      </c>
      <c r="Q1895" s="137">
        <v>0.0033</v>
      </c>
      <c r="R1895" s="17">
        <v>0.0</v>
      </c>
      <c r="S1895" s="18">
        <v>28.0</v>
      </c>
      <c r="T1895" s="18">
        <v>0.0</v>
      </c>
      <c r="U1895" s="151">
        <v>255702.0</v>
      </c>
      <c r="V1895" s="92" t="s">
        <v>315</v>
      </c>
      <c r="W1895" s="18" t="s">
        <v>58</v>
      </c>
      <c r="X1895" s="174" t="s">
        <v>69</v>
      </c>
      <c r="Y1895" s="94" t="s">
        <v>5491</v>
      </c>
      <c r="Z1895" s="18" t="s">
        <v>5657</v>
      </c>
      <c r="AA1895" s="92">
        <v>44.0</v>
      </c>
      <c r="AB1895" s="18"/>
      <c r="AC1895" s="18">
        <v>44.0</v>
      </c>
      <c r="AD1895" s="14">
        <v>327123.0</v>
      </c>
      <c r="AE1895" s="14"/>
      <c r="AF1895" s="14">
        <v>327123.0</v>
      </c>
      <c r="AG1895" s="22"/>
      <c r="AH1895" s="22"/>
      <c r="AI1895" s="22"/>
      <c r="AJ1895" s="22"/>
      <c r="AK1895" s="22"/>
      <c r="AL1895" s="22"/>
      <c r="AM1895" s="22"/>
      <c r="AN1895" s="22"/>
      <c r="AO1895" s="22"/>
      <c r="AP1895" s="22"/>
    </row>
    <row r="1896" hidden="1">
      <c r="A1896" s="148">
        <v>46184.0</v>
      </c>
      <c r="B1896" s="149">
        <v>0.4375</v>
      </c>
      <c r="C1896" s="11" t="s">
        <v>58</v>
      </c>
      <c r="D1896" s="102" t="s">
        <v>3083</v>
      </c>
      <c r="E1896" s="10" t="s">
        <v>179</v>
      </c>
      <c r="F1896" s="10" t="s">
        <v>5482</v>
      </c>
      <c r="G1896" s="11" t="s">
        <v>5658</v>
      </c>
      <c r="H1896" s="11" t="s">
        <v>5506</v>
      </c>
      <c r="I1896" s="10" t="s">
        <v>61</v>
      </c>
      <c r="J1896" s="14">
        <v>8428.0</v>
      </c>
      <c r="K1896" s="14">
        <v>4609.0</v>
      </c>
      <c r="L1896" s="17">
        <v>0.5469</v>
      </c>
      <c r="M1896" s="150">
        <v>0.0</v>
      </c>
      <c r="N1896" s="136">
        <v>0.0</v>
      </c>
      <c r="O1896" s="18">
        <v>29.0</v>
      </c>
      <c r="P1896" s="92">
        <v>0.0</v>
      </c>
      <c r="Q1896" s="137">
        <v>0.0063</v>
      </c>
      <c r="R1896" s="17">
        <v>0.0</v>
      </c>
      <c r="S1896" s="18">
        <v>58.0</v>
      </c>
      <c r="T1896" s="18">
        <v>0.0</v>
      </c>
      <c r="U1896" s="151">
        <v>812190.0</v>
      </c>
      <c r="V1896" s="92" t="s">
        <v>315</v>
      </c>
      <c r="W1896" s="18" t="s">
        <v>58</v>
      </c>
      <c r="X1896" s="174" t="s">
        <v>2840</v>
      </c>
      <c r="Y1896" s="94" t="s">
        <v>5491</v>
      </c>
      <c r="Z1896" s="18" t="s">
        <v>5659</v>
      </c>
      <c r="AA1896" s="92">
        <v>84.0</v>
      </c>
      <c r="AB1896" s="18"/>
      <c r="AC1896" s="92">
        <v>84.0</v>
      </c>
      <c r="AD1896" s="14">
        <v>1163287.0</v>
      </c>
      <c r="AE1896" s="14"/>
      <c r="AF1896" s="14">
        <v>1163287.0</v>
      </c>
      <c r="AG1896" s="22"/>
      <c r="AH1896" s="22"/>
      <c r="AI1896" s="22"/>
      <c r="AJ1896" s="22"/>
      <c r="AK1896" s="22"/>
      <c r="AL1896" s="22"/>
      <c r="AM1896" s="22"/>
      <c r="AN1896" s="22"/>
      <c r="AO1896" s="22"/>
      <c r="AP1896" s="22"/>
    </row>
    <row r="1897" hidden="1">
      <c r="A1897" s="148">
        <v>46184.0</v>
      </c>
      <c r="B1897" s="149">
        <v>0.75</v>
      </c>
      <c r="C1897" s="11" t="s">
        <v>58</v>
      </c>
      <c r="D1897" s="102" t="s">
        <v>3083</v>
      </c>
      <c r="E1897" s="10" t="s">
        <v>179</v>
      </c>
      <c r="F1897" s="10" t="s">
        <v>5482</v>
      </c>
      <c r="G1897" s="11" t="s">
        <v>5660</v>
      </c>
      <c r="H1897" s="11" t="s">
        <v>5510</v>
      </c>
      <c r="I1897" s="10" t="s">
        <v>61</v>
      </c>
      <c r="J1897" s="14">
        <v>3676.0</v>
      </c>
      <c r="K1897" s="14">
        <v>2386.0</v>
      </c>
      <c r="L1897" s="17">
        <v>0.6491</v>
      </c>
      <c r="M1897" s="150">
        <v>0.0</v>
      </c>
      <c r="N1897" s="136">
        <v>0.0</v>
      </c>
      <c r="O1897" s="18">
        <v>28.0</v>
      </c>
      <c r="P1897" s="92">
        <v>0.0</v>
      </c>
      <c r="Q1897" s="137">
        <v>0.0117</v>
      </c>
      <c r="R1897" s="17">
        <v>0.0</v>
      </c>
      <c r="S1897" s="18">
        <v>17.0</v>
      </c>
      <c r="T1897" s="18">
        <v>0.0</v>
      </c>
      <c r="U1897" s="151">
        <v>129425.0</v>
      </c>
      <c r="V1897" s="92" t="s">
        <v>335</v>
      </c>
      <c r="W1897" s="18" t="s">
        <v>58</v>
      </c>
      <c r="X1897" s="174" t="s">
        <v>4645</v>
      </c>
      <c r="Y1897" s="94" t="s">
        <v>5491</v>
      </c>
      <c r="Z1897" s="18" t="s">
        <v>5661</v>
      </c>
      <c r="AA1897" s="92">
        <v>34.0</v>
      </c>
      <c r="AB1897" s="178">
        <v>34.0</v>
      </c>
      <c r="AC1897" s="18"/>
      <c r="AD1897" s="14">
        <v>272770.0</v>
      </c>
      <c r="AE1897" s="14">
        <v>272770.0</v>
      </c>
      <c r="AF1897" s="14"/>
      <c r="AG1897" s="22"/>
      <c r="AH1897" s="22"/>
      <c r="AI1897" s="22"/>
      <c r="AJ1897" s="22"/>
      <c r="AK1897" s="22"/>
      <c r="AL1897" s="22"/>
      <c r="AM1897" s="22"/>
      <c r="AN1897" s="22"/>
      <c r="AO1897" s="22"/>
      <c r="AP1897" s="22"/>
    </row>
    <row r="1898" hidden="1">
      <c r="A1898" s="148">
        <v>46184.0</v>
      </c>
      <c r="B1898" s="149">
        <v>0.75</v>
      </c>
      <c r="C1898" s="11" t="s">
        <v>58</v>
      </c>
      <c r="D1898" s="102" t="s">
        <v>3083</v>
      </c>
      <c r="E1898" s="10" t="s">
        <v>179</v>
      </c>
      <c r="F1898" s="10" t="s">
        <v>5482</v>
      </c>
      <c r="G1898" s="11" t="s">
        <v>5662</v>
      </c>
      <c r="H1898" s="11" t="s">
        <v>5514</v>
      </c>
      <c r="I1898" s="10" t="s">
        <v>61</v>
      </c>
      <c r="J1898" s="14">
        <v>28366.0</v>
      </c>
      <c r="K1898" s="14">
        <v>18366.0</v>
      </c>
      <c r="L1898" s="17">
        <v>0.6475</v>
      </c>
      <c r="M1898" s="150">
        <v>0.0</v>
      </c>
      <c r="N1898" s="136">
        <v>0.0</v>
      </c>
      <c r="O1898" s="18">
        <v>123.0</v>
      </c>
      <c r="P1898" s="92">
        <v>0.0</v>
      </c>
      <c r="Q1898" s="137">
        <v>0.0067</v>
      </c>
      <c r="R1898" s="17">
        <v>0.0</v>
      </c>
      <c r="S1898" s="18">
        <v>77.0</v>
      </c>
      <c r="T1898" s="18">
        <v>0.0</v>
      </c>
      <c r="U1898" s="151">
        <v>532163.0</v>
      </c>
      <c r="V1898" s="92" t="s">
        <v>335</v>
      </c>
      <c r="W1898" s="18" t="s">
        <v>58</v>
      </c>
      <c r="X1898" s="174" t="s">
        <v>52</v>
      </c>
      <c r="Y1898" s="94" t="s">
        <v>5491</v>
      </c>
      <c r="Z1898" s="18" t="s">
        <v>5663</v>
      </c>
      <c r="AA1898" s="92">
        <v>108.0</v>
      </c>
      <c r="AB1898" s="178">
        <v>108.0</v>
      </c>
      <c r="AC1898" s="18"/>
      <c r="AD1898" s="14">
        <v>709456.0</v>
      </c>
      <c r="AE1898" s="14">
        <v>709456.0</v>
      </c>
      <c r="AF1898" s="14"/>
      <c r="AG1898" s="22"/>
      <c r="AH1898" s="22"/>
      <c r="AI1898" s="22"/>
      <c r="AJ1898" s="22"/>
      <c r="AK1898" s="22"/>
      <c r="AL1898" s="22"/>
      <c r="AM1898" s="22"/>
      <c r="AN1898" s="22"/>
      <c r="AO1898" s="22"/>
      <c r="AP1898" s="22"/>
    </row>
    <row r="1899" hidden="1">
      <c r="A1899" s="148">
        <v>46184.0</v>
      </c>
      <c r="B1899" s="149">
        <v>0.75</v>
      </c>
      <c r="C1899" s="11" t="s">
        <v>58</v>
      </c>
      <c r="D1899" s="102" t="s">
        <v>3083</v>
      </c>
      <c r="E1899" s="10" t="s">
        <v>179</v>
      </c>
      <c r="F1899" s="10" t="s">
        <v>5482</v>
      </c>
      <c r="G1899" s="11" t="s">
        <v>5664</v>
      </c>
      <c r="H1899" s="11" t="s">
        <v>5518</v>
      </c>
      <c r="I1899" s="10" t="s">
        <v>61</v>
      </c>
      <c r="J1899" s="14">
        <v>20497.0</v>
      </c>
      <c r="K1899" s="14">
        <v>13025.0</v>
      </c>
      <c r="L1899" s="17">
        <v>0.6355</v>
      </c>
      <c r="M1899" s="150">
        <v>0.0</v>
      </c>
      <c r="N1899" s="136">
        <v>0.0</v>
      </c>
      <c r="O1899" s="18">
        <v>97.0</v>
      </c>
      <c r="P1899" s="92">
        <v>0.0</v>
      </c>
      <c r="Q1899" s="137">
        <v>0.0074</v>
      </c>
      <c r="R1899" s="17">
        <v>0.0</v>
      </c>
      <c r="S1899" s="18">
        <v>49.0</v>
      </c>
      <c r="T1899" s="18">
        <v>0.0</v>
      </c>
      <c r="U1899" s="151">
        <v>266370.0</v>
      </c>
      <c r="V1899" s="92" t="s">
        <v>335</v>
      </c>
      <c r="W1899" s="18" t="s">
        <v>58</v>
      </c>
      <c r="X1899" s="174" t="s">
        <v>2552</v>
      </c>
      <c r="Y1899" s="94" t="s">
        <v>5491</v>
      </c>
      <c r="Z1899" s="18" t="s">
        <v>5665</v>
      </c>
      <c r="AA1899" s="92">
        <v>74.0</v>
      </c>
      <c r="AB1899" s="178">
        <v>74.0</v>
      </c>
      <c r="AC1899" s="18"/>
      <c r="AD1899" s="14">
        <v>439992.0</v>
      </c>
      <c r="AE1899" s="14">
        <v>439992.0</v>
      </c>
      <c r="AF1899" s="14"/>
      <c r="AG1899" s="22"/>
      <c r="AH1899" s="22"/>
      <c r="AI1899" s="22"/>
      <c r="AJ1899" s="22"/>
      <c r="AK1899" s="22"/>
      <c r="AL1899" s="22"/>
      <c r="AM1899" s="22"/>
      <c r="AN1899" s="22"/>
      <c r="AO1899" s="22"/>
      <c r="AP1899" s="22"/>
    </row>
    <row r="1900" hidden="1">
      <c r="A1900" s="148">
        <v>46184.0</v>
      </c>
      <c r="B1900" s="149">
        <v>0.75</v>
      </c>
      <c r="C1900" s="11" t="s">
        <v>58</v>
      </c>
      <c r="D1900" s="102" t="s">
        <v>3083</v>
      </c>
      <c r="E1900" s="10" t="s">
        <v>179</v>
      </c>
      <c r="F1900" s="10" t="s">
        <v>5482</v>
      </c>
      <c r="G1900" s="11" t="s">
        <v>5666</v>
      </c>
      <c r="H1900" s="11" t="s">
        <v>5522</v>
      </c>
      <c r="I1900" s="10" t="s">
        <v>61</v>
      </c>
      <c r="J1900" s="14">
        <v>69.0</v>
      </c>
      <c r="K1900" s="14">
        <v>45.0</v>
      </c>
      <c r="L1900" s="17">
        <v>0.6522</v>
      </c>
      <c r="M1900" s="150">
        <v>0.0</v>
      </c>
      <c r="N1900" s="136">
        <v>0.0</v>
      </c>
      <c r="O1900" s="18">
        <v>1.0</v>
      </c>
      <c r="P1900" s="92">
        <v>0.0</v>
      </c>
      <c r="Q1900" s="137">
        <v>0.0222</v>
      </c>
      <c r="R1900" s="17">
        <v>0.0</v>
      </c>
      <c r="S1900" s="18">
        <v>0.0</v>
      </c>
      <c r="T1900" s="18">
        <v>0.0</v>
      </c>
      <c r="U1900" s="151">
        <v>0.0</v>
      </c>
      <c r="V1900" s="92" t="s">
        <v>335</v>
      </c>
      <c r="W1900" s="18" t="s">
        <v>58</v>
      </c>
      <c r="X1900" s="174" t="s">
        <v>5524</v>
      </c>
      <c r="Y1900" s="94" t="s">
        <v>5491</v>
      </c>
      <c r="Z1900" s="18" t="s">
        <v>5667</v>
      </c>
      <c r="AA1900" s="92">
        <v>0.0</v>
      </c>
      <c r="AB1900" s="178">
        <v>0.0</v>
      </c>
      <c r="AC1900" s="18"/>
      <c r="AD1900" s="14">
        <v>0.0</v>
      </c>
      <c r="AE1900" s="14">
        <v>0.0</v>
      </c>
      <c r="AF1900" s="14"/>
      <c r="AG1900" s="22"/>
      <c r="AH1900" s="22"/>
      <c r="AI1900" s="22"/>
      <c r="AJ1900" s="22"/>
      <c r="AK1900" s="22"/>
      <c r="AL1900" s="22"/>
      <c r="AM1900" s="22"/>
      <c r="AN1900" s="22"/>
      <c r="AO1900" s="22"/>
      <c r="AP1900" s="22"/>
    </row>
    <row r="1901" hidden="1">
      <c r="A1901" s="148">
        <v>46184.0</v>
      </c>
      <c r="B1901" s="149">
        <v>0.75</v>
      </c>
      <c r="C1901" s="11" t="s">
        <v>58</v>
      </c>
      <c r="D1901" s="102" t="s">
        <v>3083</v>
      </c>
      <c r="E1901" s="10" t="s">
        <v>179</v>
      </c>
      <c r="F1901" s="10" t="s">
        <v>5482</v>
      </c>
      <c r="G1901" s="11" t="s">
        <v>5668</v>
      </c>
      <c r="H1901" s="11" t="s">
        <v>5527</v>
      </c>
      <c r="I1901" s="10" t="s">
        <v>61</v>
      </c>
      <c r="J1901" s="14">
        <v>848.0</v>
      </c>
      <c r="K1901" s="14">
        <v>501.0</v>
      </c>
      <c r="L1901" s="17">
        <v>0.5908</v>
      </c>
      <c r="M1901" s="150">
        <v>0.0</v>
      </c>
      <c r="N1901" s="136">
        <v>0.0</v>
      </c>
      <c r="O1901" s="18">
        <v>1.0</v>
      </c>
      <c r="P1901" s="92">
        <v>0.0</v>
      </c>
      <c r="Q1901" s="137">
        <v>0.002</v>
      </c>
      <c r="R1901" s="17">
        <v>0.0</v>
      </c>
      <c r="S1901" s="18">
        <v>7.0</v>
      </c>
      <c r="T1901" s="18">
        <v>0.0</v>
      </c>
      <c r="U1901" s="151">
        <v>37469.0</v>
      </c>
      <c r="V1901" s="92" t="s">
        <v>335</v>
      </c>
      <c r="W1901" s="18" t="s">
        <v>58</v>
      </c>
      <c r="X1901" s="174" t="s">
        <v>2286</v>
      </c>
      <c r="Y1901" s="94" t="s">
        <v>5491</v>
      </c>
      <c r="Z1901" s="18" t="s">
        <v>5669</v>
      </c>
      <c r="AA1901" s="92">
        <v>8.0</v>
      </c>
      <c r="AB1901" s="178">
        <v>8.0</v>
      </c>
      <c r="AC1901" s="18"/>
      <c r="AD1901" s="14">
        <v>39088.0</v>
      </c>
      <c r="AE1901" s="14">
        <v>39088.0</v>
      </c>
      <c r="AF1901" s="14"/>
      <c r="AG1901" s="22"/>
      <c r="AH1901" s="22"/>
      <c r="AI1901" s="22"/>
      <c r="AJ1901" s="22"/>
      <c r="AK1901" s="22"/>
      <c r="AL1901" s="22"/>
      <c r="AM1901" s="22"/>
      <c r="AN1901" s="22"/>
      <c r="AO1901" s="22"/>
      <c r="AP1901" s="22"/>
    </row>
    <row r="1902" hidden="1">
      <c r="A1902" s="148">
        <v>46184.0</v>
      </c>
      <c r="B1902" s="149">
        <v>0.75</v>
      </c>
      <c r="C1902" s="11" t="s">
        <v>58</v>
      </c>
      <c r="D1902" s="102" t="s">
        <v>3083</v>
      </c>
      <c r="E1902" s="10" t="s">
        <v>179</v>
      </c>
      <c r="F1902" s="10" t="s">
        <v>5482</v>
      </c>
      <c r="G1902" s="11" t="s">
        <v>5670</v>
      </c>
      <c r="H1902" s="11" t="s">
        <v>5531</v>
      </c>
      <c r="I1902" s="10" t="s">
        <v>61</v>
      </c>
      <c r="J1902" s="14">
        <v>2112.0</v>
      </c>
      <c r="K1902" s="14">
        <v>1274.0</v>
      </c>
      <c r="L1902" s="17">
        <v>0.6032</v>
      </c>
      <c r="M1902" s="150">
        <v>0.0</v>
      </c>
      <c r="N1902" s="136">
        <v>0.0</v>
      </c>
      <c r="O1902" s="18">
        <v>6.0</v>
      </c>
      <c r="P1902" s="92">
        <v>0.0</v>
      </c>
      <c r="Q1902" s="137">
        <v>0.0047</v>
      </c>
      <c r="R1902" s="17">
        <v>0.0</v>
      </c>
      <c r="S1902" s="18">
        <v>6.0</v>
      </c>
      <c r="T1902" s="18">
        <v>0.0</v>
      </c>
      <c r="U1902" s="151">
        <v>48970.0</v>
      </c>
      <c r="V1902" s="92" t="s">
        <v>335</v>
      </c>
      <c r="W1902" s="18" t="s">
        <v>58</v>
      </c>
      <c r="X1902" s="174" t="s">
        <v>41</v>
      </c>
      <c r="Y1902" s="94" t="s">
        <v>5491</v>
      </c>
      <c r="Z1902" s="18" t="s">
        <v>5671</v>
      </c>
      <c r="AA1902" s="92">
        <v>10.0</v>
      </c>
      <c r="AB1902" s="18">
        <v>10.0</v>
      </c>
      <c r="AC1902" s="18"/>
      <c r="AD1902" s="14">
        <v>109609.0</v>
      </c>
      <c r="AE1902" s="14">
        <v>109609.0</v>
      </c>
      <c r="AF1902" s="14"/>
      <c r="AG1902" s="22"/>
      <c r="AH1902" s="22"/>
      <c r="AI1902" s="22"/>
      <c r="AJ1902" s="22"/>
      <c r="AK1902" s="22"/>
      <c r="AL1902" s="22"/>
      <c r="AM1902" s="22"/>
      <c r="AN1902" s="22"/>
      <c r="AO1902" s="22"/>
      <c r="AP1902" s="22"/>
    </row>
    <row r="1903" hidden="1">
      <c r="A1903" s="148">
        <v>46184.0</v>
      </c>
      <c r="B1903" s="149">
        <v>0.75</v>
      </c>
      <c r="C1903" s="11" t="s">
        <v>58</v>
      </c>
      <c r="D1903" s="102" t="s">
        <v>3083</v>
      </c>
      <c r="E1903" s="10" t="s">
        <v>179</v>
      </c>
      <c r="F1903" s="10" t="s">
        <v>5482</v>
      </c>
      <c r="G1903" s="11" t="s">
        <v>5672</v>
      </c>
      <c r="H1903" s="11" t="s">
        <v>5534</v>
      </c>
      <c r="I1903" s="10" t="s">
        <v>61</v>
      </c>
      <c r="J1903" s="14">
        <v>28433.0</v>
      </c>
      <c r="K1903" s="14">
        <v>17598.0</v>
      </c>
      <c r="L1903" s="17">
        <v>0.6189</v>
      </c>
      <c r="M1903" s="150">
        <v>0.0</v>
      </c>
      <c r="N1903" s="136">
        <v>0.0</v>
      </c>
      <c r="O1903" s="18">
        <v>65.0</v>
      </c>
      <c r="P1903" s="92">
        <v>0.0</v>
      </c>
      <c r="Q1903" s="137">
        <v>0.0037</v>
      </c>
      <c r="R1903" s="17">
        <v>0.0</v>
      </c>
      <c r="S1903" s="18">
        <v>18.0</v>
      </c>
      <c r="T1903" s="18">
        <v>0.0</v>
      </c>
      <c r="U1903" s="151">
        <v>94502.0</v>
      </c>
      <c r="V1903" s="92" t="s">
        <v>335</v>
      </c>
      <c r="W1903" s="18" t="s">
        <v>58</v>
      </c>
      <c r="X1903" s="174" t="s">
        <v>69</v>
      </c>
      <c r="Y1903" s="94" t="s">
        <v>5491</v>
      </c>
      <c r="Z1903" s="18" t="s">
        <v>5673</v>
      </c>
      <c r="AA1903" s="92">
        <v>24.0</v>
      </c>
      <c r="AB1903" s="18">
        <v>24.0</v>
      </c>
      <c r="AC1903" s="18"/>
      <c r="AD1903" s="14">
        <v>116434.0</v>
      </c>
      <c r="AE1903" s="14">
        <v>116434.0</v>
      </c>
      <c r="AF1903" s="14"/>
      <c r="AG1903" s="22"/>
      <c r="AH1903" s="22"/>
      <c r="AI1903" s="22"/>
      <c r="AJ1903" s="22"/>
      <c r="AK1903" s="22"/>
      <c r="AL1903" s="22"/>
      <c r="AM1903" s="22"/>
      <c r="AN1903" s="22"/>
      <c r="AO1903" s="22"/>
      <c r="AP1903" s="22"/>
    </row>
    <row r="1904" hidden="1">
      <c r="A1904" s="148">
        <v>46184.0</v>
      </c>
      <c r="B1904" s="149">
        <v>0.75</v>
      </c>
      <c r="C1904" s="11" t="s">
        <v>58</v>
      </c>
      <c r="D1904" s="102" t="s">
        <v>3083</v>
      </c>
      <c r="E1904" s="10" t="s">
        <v>179</v>
      </c>
      <c r="F1904" s="10" t="s">
        <v>5482</v>
      </c>
      <c r="G1904" s="11" t="s">
        <v>5674</v>
      </c>
      <c r="H1904" s="11" t="s">
        <v>5538</v>
      </c>
      <c r="I1904" s="10" t="s">
        <v>61</v>
      </c>
      <c r="J1904" s="14">
        <v>2971.0</v>
      </c>
      <c r="K1904" s="14">
        <v>1477.0</v>
      </c>
      <c r="L1904" s="17">
        <v>0.4971</v>
      </c>
      <c r="M1904" s="150">
        <v>0.0</v>
      </c>
      <c r="N1904" s="136">
        <v>0.0</v>
      </c>
      <c r="O1904" s="18">
        <v>10.0</v>
      </c>
      <c r="P1904" s="92">
        <v>0.0</v>
      </c>
      <c r="Q1904" s="137">
        <v>0.0068</v>
      </c>
      <c r="R1904" s="17">
        <v>0.0</v>
      </c>
      <c r="S1904" s="18">
        <v>35.0</v>
      </c>
      <c r="T1904" s="18">
        <v>0.0</v>
      </c>
      <c r="U1904" s="151">
        <v>352809.0</v>
      </c>
      <c r="V1904" s="92" t="s">
        <v>335</v>
      </c>
      <c r="W1904" s="18" t="s">
        <v>58</v>
      </c>
      <c r="X1904" s="174" t="s">
        <v>2840</v>
      </c>
      <c r="Y1904" s="94" t="s">
        <v>5491</v>
      </c>
      <c r="Z1904" s="18" t="s">
        <v>5675</v>
      </c>
      <c r="AA1904" s="92">
        <v>52.0</v>
      </c>
      <c r="AB1904" s="18">
        <v>52.0</v>
      </c>
      <c r="AC1904" s="18"/>
      <c r="AD1904" s="14">
        <v>532698.0</v>
      </c>
      <c r="AE1904" s="14">
        <v>532698.0</v>
      </c>
      <c r="AF1904" s="14"/>
      <c r="AG1904" s="22"/>
      <c r="AH1904" s="22"/>
      <c r="AI1904" s="22"/>
      <c r="AJ1904" s="22"/>
      <c r="AK1904" s="22"/>
      <c r="AL1904" s="22"/>
      <c r="AM1904" s="22"/>
      <c r="AN1904" s="22"/>
      <c r="AO1904" s="22"/>
      <c r="AP1904" s="22"/>
    </row>
    <row r="1905" hidden="1">
      <c r="A1905" s="148">
        <v>46186.0</v>
      </c>
      <c r="B1905" s="149">
        <v>0.4375</v>
      </c>
      <c r="C1905" s="11" t="s">
        <v>58</v>
      </c>
      <c r="D1905" s="102" t="s">
        <v>3083</v>
      </c>
      <c r="E1905" s="10" t="s">
        <v>179</v>
      </c>
      <c r="F1905" s="10" t="s">
        <v>5482</v>
      </c>
      <c r="G1905" s="11" t="s">
        <v>5676</v>
      </c>
      <c r="H1905" s="11" t="s">
        <v>5489</v>
      </c>
      <c r="I1905" s="10" t="s">
        <v>61</v>
      </c>
      <c r="J1905" s="14">
        <v>22741.0</v>
      </c>
      <c r="K1905" s="14">
        <v>13489.0</v>
      </c>
      <c r="L1905" s="17">
        <v>0.5932</v>
      </c>
      <c r="M1905" s="150">
        <v>0.0</v>
      </c>
      <c r="N1905" s="136">
        <v>0.0</v>
      </c>
      <c r="O1905" s="18">
        <v>12.0</v>
      </c>
      <c r="P1905" s="92">
        <v>0.0</v>
      </c>
      <c r="Q1905" s="137">
        <v>9.0E-4</v>
      </c>
      <c r="R1905" s="17">
        <v>0.0</v>
      </c>
      <c r="S1905" s="18">
        <v>29.0</v>
      </c>
      <c r="T1905" s="18">
        <v>0.0</v>
      </c>
      <c r="U1905" s="151">
        <v>244950.0</v>
      </c>
      <c r="V1905" s="92" t="s">
        <v>315</v>
      </c>
      <c r="W1905" s="18" t="s">
        <v>58</v>
      </c>
      <c r="X1905" s="174" t="s">
        <v>52</v>
      </c>
      <c r="Y1905" s="94" t="s">
        <v>5542</v>
      </c>
      <c r="Z1905" s="18" t="s">
        <v>5677</v>
      </c>
      <c r="AA1905" s="92">
        <v>66.0</v>
      </c>
      <c r="AB1905" s="18"/>
      <c r="AC1905" s="18">
        <v>66.0</v>
      </c>
      <c r="AD1905" s="14">
        <v>590460.0</v>
      </c>
      <c r="AE1905" s="14"/>
      <c r="AF1905" s="179">
        <v>590460.0</v>
      </c>
      <c r="AG1905" s="22"/>
      <c r="AH1905" s="22"/>
      <c r="AI1905" s="22"/>
      <c r="AJ1905" s="22"/>
      <c r="AK1905" s="22"/>
      <c r="AL1905" s="22"/>
      <c r="AM1905" s="22"/>
      <c r="AN1905" s="22"/>
      <c r="AO1905" s="22"/>
      <c r="AP1905" s="22"/>
    </row>
    <row r="1906" hidden="1">
      <c r="A1906" s="148">
        <v>46186.0</v>
      </c>
      <c r="B1906" s="149">
        <v>0.4375</v>
      </c>
      <c r="C1906" s="11" t="s">
        <v>58</v>
      </c>
      <c r="D1906" s="102" t="s">
        <v>3083</v>
      </c>
      <c r="E1906" s="10" t="s">
        <v>179</v>
      </c>
      <c r="F1906" s="10" t="s">
        <v>5482</v>
      </c>
      <c r="G1906" s="11" t="s">
        <v>5678</v>
      </c>
      <c r="H1906" s="11" t="s">
        <v>5494</v>
      </c>
      <c r="I1906" s="10" t="s">
        <v>61</v>
      </c>
      <c r="J1906" s="14">
        <v>7301.0</v>
      </c>
      <c r="K1906" s="14">
        <v>4432.0</v>
      </c>
      <c r="L1906" s="17">
        <v>0.607</v>
      </c>
      <c r="M1906" s="150">
        <v>0.0</v>
      </c>
      <c r="N1906" s="136">
        <v>0.0</v>
      </c>
      <c r="O1906" s="18">
        <v>6.0</v>
      </c>
      <c r="P1906" s="92">
        <v>0.0</v>
      </c>
      <c r="Q1906" s="137">
        <v>0.0014</v>
      </c>
      <c r="R1906" s="17">
        <v>0.0</v>
      </c>
      <c r="S1906" s="18">
        <v>17.0</v>
      </c>
      <c r="T1906" s="18">
        <v>0.0</v>
      </c>
      <c r="U1906" s="151">
        <v>191579.0</v>
      </c>
      <c r="V1906" s="92" t="s">
        <v>315</v>
      </c>
      <c r="W1906" s="18" t="s">
        <v>58</v>
      </c>
      <c r="X1906" s="174" t="s">
        <v>2286</v>
      </c>
      <c r="Y1906" s="94" t="s">
        <v>5542</v>
      </c>
      <c r="Z1906" s="18" t="s">
        <v>5679</v>
      </c>
      <c r="AA1906" s="92">
        <v>30.0</v>
      </c>
      <c r="AB1906" s="18"/>
      <c r="AC1906" s="18">
        <v>30.0</v>
      </c>
      <c r="AD1906" s="14">
        <v>297222.0</v>
      </c>
      <c r="AE1906" s="14"/>
      <c r="AF1906" s="179">
        <v>297222.0</v>
      </c>
      <c r="AG1906" s="22"/>
      <c r="AH1906" s="22"/>
      <c r="AI1906" s="22"/>
      <c r="AJ1906" s="22"/>
      <c r="AK1906" s="22"/>
      <c r="AL1906" s="22"/>
      <c r="AM1906" s="22"/>
      <c r="AN1906" s="22"/>
      <c r="AO1906" s="22"/>
      <c r="AP1906" s="22"/>
    </row>
    <row r="1907" hidden="1">
      <c r="A1907" s="148">
        <v>46186.0</v>
      </c>
      <c r="B1907" s="149">
        <v>0.4375</v>
      </c>
      <c r="C1907" s="11" t="s">
        <v>58</v>
      </c>
      <c r="D1907" s="102" t="s">
        <v>3083</v>
      </c>
      <c r="E1907" s="10" t="s">
        <v>179</v>
      </c>
      <c r="F1907" s="10" t="s">
        <v>5482</v>
      </c>
      <c r="G1907" s="11" t="s">
        <v>5680</v>
      </c>
      <c r="H1907" s="11" t="s">
        <v>5498</v>
      </c>
      <c r="I1907" s="10" t="s">
        <v>61</v>
      </c>
      <c r="J1907" s="14">
        <v>21356.0</v>
      </c>
      <c r="K1907" s="14">
        <v>13266.0</v>
      </c>
      <c r="L1907" s="17">
        <v>0.6212</v>
      </c>
      <c r="M1907" s="150">
        <v>0.0</v>
      </c>
      <c r="N1907" s="136">
        <v>0.0</v>
      </c>
      <c r="O1907" s="18">
        <v>15.0</v>
      </c>
      <c r="P1907" s="92">
        <v>0.0</v>
      </c>
      <c r="Q1907" s="137">
        <v>0.0011</v>
      </c>
      <c r="R1907" s="17">
        <v>0.0</v>
      </c>
      <c r="S1907" s="18">
        <v>25.0</v>
      </c>
      <c r="T1907" s="18">
        <v>0.0</v>
      </c>
      <c r="U1907" s="151">
        <v>180375.0</v>
      </c>
      <c r="V1907" s="92" t="s">
        <v>315</v>
      </c>
      <c r="W1907" s="18" t="s">
        <v>58</v>
      </c>
      <c r="X1907" s="174" t="s">
        <v>41</v>
      </c>
      <c r="Y1907" s="94" t="s">
        <v>5542</v>
      </c>
      <c r="Z1907" s="18" t="s">
        <v>5681</v>
      </c>
      <c r="AA1907" s="92">
        <v>49.0</v>
      </c>
      <c r="AB1907" s="18"/>
      <c r="AC1907" s="18">
        <v>49.0</v>
      </c>
      <c r="AD1907" s="14">
        <v>314885.0</v>
      </c>
      <c r="AE1907" s="14"/>
      <c r="AF1907" s="179">
        <v>314885.0</v>
      </c>
      <c r="AG1907" s="22"/>
      <c r="AH1907" s="22"/>
      <c r="AI1907" s="22"/>
      <c r="AJ1907" s="22"/>
      <c r="AK1907" s="22"/>
      <c r="AL1907" s="22"/>
      <c r="AM1907" s="22"/>
      <c r="AN1907" s="22"/>
      <c r="AO1907" s="22"/>
      <c r="AP1907" s="22"/>
    </row>
    <row r="1908" hidden="1">
      <c r="A1908" s="148">
        <v>46186.0</v>
      </c>
      <c r="B1908" s="149">
        <v>0.4375</v>
      </c>
      <c r="C1908" s="11" t="s">
        <v>58</v>
      </c>
      <c r="D1908" s="102" t="s">
        <v>3083</v>
      </c>
      <c r="E1908" s="10" t="s">
        <v>179</v>
      </c>
      <c r="F1908" s="10" t="s">
        <v>5482</v>
      </c>
      <c r="G1908" s="11" t="s">
        <v>5682</v>
      </c>
      <c r="H1908" s="11" t="s">
        <v>5502</v>
      </c>
      <c r="I1908" s="10" t="s">
        <v>61</v>
      </c>
      <c r="J1908" s="14">
        <v>23144.0</v>
      </c>
      <c r="K1908" s="14">
        <v>13134.0</v>
      </c>
      <c r="L1908" s="17">
        <v>0.5675</v>
      </c>
      <c r="M1908" s="150">
        <v>0.0</v>
      </c>
      <c r="N1908" s="136">
        <v>0.0</v>
      </c>
      <c r="O1908" s="18">
        <v>6.0</v>
      </c>
      <c r="P1908" s="92">
        <v>0.0</v>
      </c>
      <c r="Q1908" s="137">
        <v>5.0E-4</v>
      </c>
      <c r="R1908" s="17">
        <v>0.0</v>
      </c>
      <c r="S1908" s="18">
        <v>15.0</v>
      </c>
      <c r="T1908" s="18">
        <v>0.0</v>
      </c>
      <c r="U1908" s="151">
        <v>156654.0</v>
      </c>
      <c r="V1908" s="92" t="s">
        <v>315</v>
      </c>
      <c r="W1908" s="18" t="s">
        <v>58</v>
      </c>
      <c r="X1908" s="174" t="s">
        <v>69</v>
      </c>
      <c r="Y1908" s="94" t="s">
        <v>5542</v>
      </c>
      <c r="Z1908" s="18" t="s">
        <v>5683</v>
      </c>
      <c r="AA1908" s="92">
        <v>34.0</v>
      </c>
      <c r="AB1908" s="18"/>
      <c r="AC1908" s="18">
        <v>34.0</v>
      </c>
      <c r="AD1908" s="14">
        <v>313840.0</v>
      </c>
      <c r="AE1908" s="14"/>
      <c r="AF1908" s="179">
        <v>313840.0</v>
      </c>
      <c r="AG1908" s="22"/>
      <c r="AH1908" s="22"/>
      <c r="AI1908" s="22"/>
      <c r="AJ1908" s="22"/>
      <c r="AK1908" s="22"/>
      <c r="AL1908" s="22"/>
      <c r="AM1908" s="22"/>
      <c r="AN1908" s="22"/>
      <c r="AO1908" s="22"/>
      <c r="AP1908" s="22"/>
    </row>
    <row r="1909" hidden="1">
      <c r="A1909" s="148">
        <v>46186.0</v>
      </c>
      <c r="B1909" s="149">
        <v>0.4375</v>
      </c>
      <c r="C1909" s="11" t="s">
        <v>58</v>
      </c>
      <c r="D1909" s="102" t="s">
        <v>3083</v>
      </c>
      <c r="E1909" s="10" t="s">
        <v>179</v>
      </c>
      <c r="F1909" s="10" t="s">
        <v>5482</v>
      </c>
      <c r="G1909" s="11" t="s">
        <v>5684</v>
      </c>
      <c r="H1909" s="11" t="s">
        <v>5506</v>
      </c>
      <c r="I1909" s="10" t="s">
        <v>61</v>
      </c>
      <c r="J1909" s="14">
        <v>8832.0</v>
      </c>
      <c r="K1909" s="14">
        <v>4728.0</v>
      </c>
      <c r="L1909" s="17">
        <v>0.5353</v>
      </c>
      <c r="M1909" s="150">
        <v>0.0</v>
      </c>
      <c r="N1909" s="136">
        <v>0.0</v>
      </c>
      <c r="O1909" s="18">
        <v>8.0</v>
      </c>
      <c r="P1909" s="92">
        <v>0.0</v>
      </c>
      <c r="Q1909" s="137">
        <v>0.0017</v>
      </c>
      <c r="R1909" s="17">
        <v>0.0</v>
      </c>
      <c r="S1909" s="18">
        <v>19.0</v>
      </c>
      <c r="T1909" s="18">
        <v>0.0</v>
      </c>
      <c r="U1909" s="151">
        <v>268859.0</v>
      </c>
      <c r="V1909" s="92" t="s">
        <v>315</v>
      </c>
      <c r="W1909" s="18" t="s">
        <v>58</v>
      </c>
      <c r="X1909" s="174" t="s">
        <v>2840</v>
      </c>
      <c r="Y1909" s="94" t="s">
        <v>5542</v>
      </c>
      <c r="Z1909" s="18" t="s">
        <v>5685</v>
      </c>
      <c r="AA1909" s="92">
        <v>42.0</v>
      </c>
      <c r="AB1909" s="18"/>
      <c r="AC1909" s="18">
        <v>42.0</v>
      </c>
      <c r="AD1909" s="14">
        <v>620245.0</v>
      </c>
      <c r="AE1909" s="14"/>
      <c r="AF1909" s="179">
        <v>620245.0</v>
      </c>
      <c r="AG1909" s="22"/>
      <c r="AH1909" s="22"/>
      <c r="AI1909" s="22"/>
      <c r="AJ1909" s="22"/>
      <c r="AK1909" s="22"/>
      <c r="AL1909" s="22"/>
      <c r="AM1909" s="22"/>
      <c r="AN1909" s="22"/>
      <c r="AO1909" s="22"/>
      <c r="AP1909" s="22"/>
    </row>
    <row r="1910" hidden="1">
      <c r="A1910" s="148">
        <v>46187.0</v>
      </c>
      <c r="B1910" s="149">
        <v>0.4375</v>
      </c>
      <c r="C1910" s="11" t="s">
        <v>58</v>
      </c>
      <c r="D1910" s="102" t="s">
        <v>3083</v>
      </c>
      <c r="E1910" s="10" t="s">
        <v>179</v>
      </c>
      <c r="F1910" s="10" t="s">
        <v>5482</v>
      </c>
      <c r="G1910" s="11" t="s">
        <v>5686</v>
      </c>
      <c r="H1910" s="11" t="s">
        <v>5553</v>
      </c>
      <c r="I1910" s="10" t="s">
        <v>61</v>
      </c>
      <c r="J1910" s="14">
        <v>577.0</v>
      </c>
      <c r="K1910" s="14">
        <v>377.0</v>
      </c>
      <c r="L1910" s="17">
        <v>0.6534</v>
      </c>
      <c r="M1910" s="150">
        <v>0.0</v>
      </c>
      <c r="N1910" s="136">
        <v>0.0</v>
      </c>
      <c r="O1910" s="18">
        <v>4.0</v>
      </c>
      <c r="P1910" s="92">
        <v>0.0</v>
      </c>
      <c r="Q1910" s="137">
        <v>0.0106</v>
      </c>
      <c r="R1910" s="17">
        <v>0.0</v>
      </c>
      <c r="S1910" s="18">
        <v>0.0</v>
      </c>
      <c r="T1910" s="18">
        <v>0.0</v>
      </c>
      <c r="U1910" s="151">
        <v>0.0</v>
      </c>
      <c r="V1910" s="92" t="s">
        <v>335</v>
      </c>
      <c r="W1910" s="18" t="s">
        <v>58</v>
      </c>
      <c r="X1910" s="174" t="s">
        <v>2131</v>
      </c>
      <c r="Y1910" s="94" t="s">
        <v>5542</v>
      </c>
      <c r="Z1910" s="18" t="s">
        <v>5687</v>
      </c>
      <c r="AA1910" s="92">
        <v>26.0</v>
      </c>
      <c r="AB1910" s="18">
        <v>26.0</v>
      </c>
      <c r="AC1910" s="18"/>
      <c r="AD1910" s="14">
        <v>161340.0</v>
      </c>
      <c r="AE1910" s="14">
        <v>161340.0</v>
      </c>
      <c r="AF1910" s="14"/>
      <c r="AG1910" s="22"/>
      <c r="AH1910" s="22"/>
      <c r="AI1910" s="22"/>
      <c r="AJ1910" s="22"/>
      <c r="AK1910" s="22"/>
      <c r="AL1910" s="22"/>
      <c r="AM1910" s="22"/>
      <c r="AN1910" s="22"/>
      <c r="AO1910" s="22"/>
      <c r="AP1910" s="22"/>
    </row>
    <row r="1911" hidden="1">
      <c r="A1911" s="148">
        <v>46184.0</v>
      </c>
      <c r="B1911" s="149">
        <v>0.75</v>
      </c>
      <c r="C1911" s="11" t="s">
        <v>58</v>
      </c>
      <c r="D1911" s="102" t="s">
        <v>3083</v>
      </c>
      <c r="E1911" s="10" t="s">
        <v>71</v>
      </c>
      <c r="F1911" s="10" t="s">
        <v>5574</v>
      </c>
      <c r="G1911" s="11" t="s">
        <v>5688</v>
      </c>
      <c r="H1911" s="11" t="s">
        <v>5593</v>
      </c>
      <c r="I1911" s="10" t="s">
        <v>61</v>
      </c>
      <c r="J1911" s="14">
        <v>13948.0</v>
      </c>
      <c r="K1911" s="14">
        <v>7289.0</v>
      </c>
      <c r="L1911" s="17">
        <v>0.5226</v>
      </c>
      <c r="M1911" s="150">
        <v>0.0</v>
      </c>
      <c r="N1911" s="136">
        <v>0.0</v>
      </c>
      <c r="O1911" s="18">
        <v>54.0</v>
      </c>
      <c r="P1911" s="92">
        <v>0.0</v>
      </c>
      <c r="Q1911" s="137">
        <v>0.0074</v>
      </c>
      <c r="R1911" s="17">
        <v>0.0</v>
      </c>
      <c r="S1911" s="18">
        <v>23.0</v>
      </c>
      <c r="T1911" s="18">
        <v>49.0</v>
      </c>
      <c r="U1911" s="151">
        <v>85139.0</v>
      </c>
      <c r="V1911" s="92" t="s">
        <v>335</v>
      </c>
      <c r="W1911" s="18" t="s">
        <v>58</v>
      </c>
      <c r="X1911" s="174" t="s">
        <v>2286</v>
      </c>
      <c r="Y1911" s="114">
        <v>46184.0</v>
      </c>
      <c r="Z1911" s="18" t="s">
        <v>5689</v>
      </c>
      <c r="AA1911" s="92">
        <v>96.0</v>
      </c>
      <c r="AB1911" s="18">
        <v>96.0</v>
      </c>
      <c r="AC1911" s="18"/>
      <c r="AD1911" s="14">
        <v>220337.0</v>
      </c>
      <c r="AE1911" s="14">
        <v>220337.0</v>
      </c>
      <c r="AF1911" s="14"/>
      <c r="AG1911" s="22"/>
      <c r="AH1911" s="22"/>
      <c r="AI1911" s="22"/>
      <c r="AJ1911" s="22"/>
      <c r="AK1911" s="22"/>
      <c r="AL1911" s="22"/>
      <c r="AM1911" s="22"/>
      <c r="AN1911" s="22"/>
      <c r="AO1911" s="22"/>
      <c r="AP1911" s="22"/>
    </row>
    <row r="1912" hidden="1">
      <c r="A1912" s="148">
        <v>46184.0</v>
      </c>
      <c r="B1912" s="149">
        <v>0.75</v>
      </c>
      <c r="C1912" s="11" t="s">
        <v>58</v>
      </c>
      <c r="D1912" s="102" t="s">
        <v>3083</v>
      </c>
      <c r="E1912" s="10" t="s">
        <v>71</v>
      </c>
      <c r="F1912" s="10" t="s">
        <v>5574</v>
      </c>
      <c r="G1912" s="11" t="s">
        <v>5690</v>
      </c>
      <c r="H1912" s="11" t="s">
        <v>5598</v>
      </c>
      <c r="I1912" s="10" t="s">
        <v>61</v>
      </c>
      <c r="J1912" s="14">
        <v>50021.0</v>
      </c>
      <c r="K1912" s="14">
        <v>28017.0</v>
      </c>
      <c r="L1912" s="17">
        <v>0.5601</v>
      </c>
      <c r="M1912" s="150">
        <v>0.0</v>
      </c>
      <c r="N1912" s="136">
        <v>0.0</v>
      </c>
      <c r="O1912" s="18">
        <v>142.0</v>
      </c>
      <c r="P1912" s="92">
        <v>0.0</v>
      </c>
      <c r="Q1912" s="137">
        <v>0.0051</v>
      </c>
      <c r="R1912" s="17">
        <v>0.0</v>
      </c>
      <c r="S1912" s="18">
        <v>27.0</v>
      </c>
      <c r="T1912" s="18">
        <v>61.0</v>
      </c>
      <c r="U1912" s="151">
        <v>64672.0</v>
      </c>
      <c r="V1912" s="92" t="s">
        <v>335</v>
      </c>
      <c r="W1912" s="18" t="s">
        <v>58</v>
      </c>
      <c r="X1912" s="174" t="s">
        <v>41</v>
      </c>
      <c r="Y1912" s="114">
        <v>46184.0</v>
      </c>
      <c r="Z1912" s="18" t="s">
        <v>5691</v>
      </c>
      <c r="AA1912" s="92">
        <v>158.0</v>
      </c>
      <c r="AB1912" s="18">
        <v>158.0</v>
      </c>
      <c r="AC1912" s="18"/>
      <c r="AD1912" s="14">
        <v>386100.0</v>
      </c>
      <c r="AE1912" s="14">
        <v>386100.0</v>
      </c>
      <c r="AF1912" s="14"/>
      <c r="AG1912" s="22"/>
      <c r="AH1912" s="22"/>
      <c r="AI1912" s="22"/>
      <c r="AJ1912" s="22"/>
      <c r="AK1912" s="22"/>
      <c r="AL1912" s="22"/>
      <c r="AM1912" s="22"/>
      <c r="AN1912" s="22"/>
      <c r="AO1912" s="22"/>
      <c r="AP1912" s="22"/>
    </row>
    <row r="1913" hidden="1">
      <c r="A1913" s="148">
        <v>46185.0</v>
      </c>
      <c r="B1913" s="149">
        <v>0.5416666666666666</v>
      </c>
      <c r="C1913" s="11" t="s">
        <v>58</v>
      </c>
      <c r="D1913" s="102" t="s">
        <v>3083</v>
      </c>
      <c r="E1913" s="10" t="s">
        <v>71</v>
      </c>
      <c r="F1913" s="10" t="s">
        <v>5574</v>
      </c>
      <c r="G1913" s="11" t="s">
        <v>5692</v>
      </c>
      <c r="H1913" s="11" t="s">
        <v>5602</v>
      </c>
      <c r="I1913" s="10" t="s">
        <v>61</v>
      </c>
      <c r="J1913" s="14">
        <v>62977.0</v>
      </c>
      <c r="K1913" s="14">
        <v>36632.0</v>
      </c>
      <c r="L1913" s="17">
        <v>0.5817</v>
      </c>
      <c r="M1913" s="150">
        <v>0.0</v>
      </c>
      <c r="N1913" s="136">
        <v>0.0</v>
      </c>
      <c r="O1913" s="18">
        <v>82.0</v>
      </c>
      <c r="P1913" s="92">
        <v>0.0</v>
      </c>
      <c r="Q1913" s="137">
        <v>0.0022</v>
      </c>
      <c r="R1913" s="17">
        <v>0.0</v>
      </c>
      <c r="S1913" s="18">
        <v>8.0</v>
      </c>
      <c r="T1913" s="18">
        <v>23.0</v>
      </c>
      <c r="U1913" s="151">
        <v>22340.0</v>
      </c>
      <c r="V1913" s="92" t="s">
        <v>315</v>
      </c>
      <c r="W1913" s="18" t="s">
        <v>58</v>
      </c>
      <c r="X1913" s="174" t="s">
        <v>2286</v>
      </c>
      <c r="Y1913" s="114">
        <v>46185.0</v>
      </c>
      <c r="Z1913" s="18" t="s">
        <v>5693</v>
      </c>
      <c r="AA1913" s="92">
        <v>81.0</v>
      </c>
      <c r="AB1913" s="18"/>
      <c r="AC1913" s="18">
        <v>81.0</v>
      </c>
      <c r="AD1913" s="14">
        <v>297358.0</v>
      </c>
      <c r="AE1913" s="14"/>
      <c r="AF1913" s="14">
        <v>297358.0</v>
      </c>
      <c r="AG1913" s="22"/>
      <c r="AH1913" s="22"/>
      <c r="AI1913" s="22"/>
      <c r="AJ1913" s="22"/>
      <c r="AK1913" s="22"/>
      <c r="AL1913" s="22"/>
      <c r="AM1913" s="22"/>
      <c r="AN1913" s="22"/>
      <c r="AO1913" s="22"/>
      <c r="AP1913" s="22"/>
    </row>
    <row r="1914" hidden="1">
      <c r="A1914" s="148">
        <v>46185.0</v>
      </c>
      <c r="B1914" s="149">
        <v>0.5416666666666666</v>
      </c>
      <c r="C1914" s="11" t="s">
        <v>58</v>
      </c>
      <c r="D1914" s="102" t="s">
        <v>3083</v>
      </c>
      <c r="E1914" s="10" t="s">
        <v>71</v>
      </c>
      <c r="F1914" s="10" t="s">
        <v>5574</v>
      </c>
      <c r="G1914" s="11" t="s">
        <v>5694</v>
      </c>
      <c r="H1914" s="11" t="s">
        <v>5607</v>
      </c>
      <c r="I1914" s="10" t="s">
        <v>61</v>
      </c>
      <c r="J1914" s="14">
        <v>86361.0</v>
      </c>
      <c r="K1914" s="14">
        <v>49841.0</v>
      </c>
      <c r="L1914" s="17">
        <v>0.5771</v>
      </c>
      <c r="M1914" s="150">
        <v>0.0</v>
      </c>
      <c r="N1914" s="136">
        <v>0.0</v>
      </c>
      <c r="O1914" s="18">
        <v>98.0</v>
      </c>
      <c r="P1914" s="92">
        <v>0.0</v>
      </c>
      <c r="Q1914" s="137">
        <v>0.002</v>
      </c>
      <c r="R1914" s="17">
        <v>0.0</v>
      </c>
      <c r="S1914" s="18">
        <v>5.0</v>
      </c>
      <c r="T1914" s="18">
        <v>17.0</v>
      </c>
      <c r="U1914" s="151">
        <v>8615.0</v>
      </c>
      <c r="V1914" s="92" t="s">
        <v>315</v>
      </c>
      <c r="W1914" s="18" t="s">
        <v>58</v>
      </c>
      <c r="X1914" s="174" t="s">
        <v>41</v>
      </c>
      <c r="Y1914" s="114">
        <v>46185.0</v>
      </c>
      <c r="Z1914" s="18" t="s">
        <v>5695</v>
      </c>
      <c r="AA1914" s="92">
        <v>83.0</v>
      </c>
      <c r="AB1914" s="18"/>
      <c r="AC1914" s="18">
        <v>83.0</v>
      </c>
      <c r="AD1914" s="14">
        <v>310025.0</v>
      </c>
      <c r="AE1914" s="14"/>
      <c r="AF1914" s="14">
        <v>310025.0</v>
      </c>
      <c r="AG1914" s="22"/>
      <c r="AH1914" s="22"/>
      <c r="AI1914" s="22"/>
      <c r="AJ1914" s="22"/>
      <c r="AK1914" s="22"/>
      <c r="AL1914" s="22"/>
      <c r="AM1914" s="22"/>
      <c r="AN1914" s="22"/>
      <c r="AO1914" s="22"/>
      <c r="AP1914" s="22"/>
    </row>
    <row r="1915" hidden="1">
      <c r="A1915" s="148">
        <v>46185.0</v>
      </c>
      <c r="B1915" s="149">
        <v>0.5416666666666666</v>
      </c>
      <c r="C1915" s="11" t="s">
        <v>58</v>
      </c>
      <c r="D1915" s="102" t="s">
        <v>3083</v>
      </c>
      <c r="E1915" s="10" t="s">
        <v>71</v>
      </c>
      <c r="F1915" s="10" t="s">
        <v>5574</v>
      </c>
      <c r="G1915" s="11" t="s">
        <v>5696</v>
      </c>
      <c r="H1915" s="11" t="s">
        <v>5611</v>
      </c>
      <c r="I1915" s="10" t="s">
        <v>61</v>
      </c>
      <c r="J1915" s="14">
        <v>72864.0</v>
      </c>
      <c r="K1915" s="14">
        <v>42345.0</v>
      </c>
      <c r="L1915" s="17">
        <v>0.5812</v>
      </c>
      <c r="M1915" s="150">
        <v>0.0</v>
      </c>
      <c r="N1915" s="136">
        <v>0.0</v>
      </c>
      <c r="O1915" s="18">
        <v>69.0</v>
      </c>
      <c r="P1915" s="92">
        <v>0.0</v>
      </c>
      <c r="Q1915" s="137">
        <v>0.0016</v>
      </c>
      <c r="R1915" s="17">
        <v>0.0</v>
      </c>
      <c r="S1915" s="18">
        <v>4.0</v>
      </c>
      <c r="T1915" s="18">
        <v>8.0</v>
      </c>
      <c r="U1915" s="151">
        <v>2794.0</v>
      </c>
      <c r="V1915" s="92" t="s">
        <v>315</v>
      </c>
      <c r="W1915" s="18" t="s">
        <v>58</v>
      </c>
      <c r="X1915" s="174" t="s">
        <v>41</v>
      </c>
      <c r="Y1915" s="114">
        <v>46185.0</v>
      </c>
      <c r="Z1915" s="18" t="s">
        <v>5697</v>
      </c>
      <c r="AA1915" s="92">
        <v>42.0</v>
      </c>
      <c r="AB1915" s="18"/>
      <c r="AC1915" s="18">
        <v>42.0</v>
      </c>
      <c r="AD1915" s="14">
        <v>154560.0</v>
      </c>
      <c r="AE1915" s="14"/>
      <c r="AF1915" s="14">
        <v>154560.0</v>
      </c>
      <c r="AG1915" s="22"/>
      <c r="AH1915" s="22"/>
      <c r="AI1915" s="22"/>
      <c r="AJ1915" s="22"/>
      <c r="AK1915" s="22"/>
      <c r="AL1915" s="22"/>
      <c r="AM1915" s="22"/>
      <c r="AN1915" s="22"/>
      <c r="AO1915" s="22"/>
      <c r="AP1915" s="22"/>
    </row>
    <row r="1916" hidden="1">
      <c r="A1916" s="148">
        <v>46186.0</v>
      </c>
      <c r="B1916" s="149">
        <v>0.5416666666666666</v>
      </c>
      <c r="C1916" s="11" t="s">
        <v>58</v>
      </c>
      <c r="D1916" s="102" t="s">
        <v>3083</v>
      </c>
      <c r="E1916" s="10" t="s">
        <v>71</v>
      </c>
      <c r="F1916" s="10" t="s">
        <v>5574</v>
      </c>
      <c r="G1916" s="11" t="s">
        <v>5698</v>
      </c>
      <c r="H1916" s="11" t="s">
        <v>5576</v>
      </c>
      <c r="I1916" s="10" t="s">
        <v>61</v>
      </c>
      <c r="J1916" s="14">
        <v>54267.0</v>
      </c>
      <c r="K1916" s="14">
        <v>31491.0</v>
      </c>
      <c r="L1916" s="17">
        <v>0.5803</v>
      </c>
      <c r="M1916" s="150">
        <v>0.0</v>
      </c>
      <c r="N1916" s="136">
        <v>0.0</v>
      </c>
      <c r="O1916" s="18">
        <v>56.0</v>
      </c>
      <c r="P1916" s="92">
        <v>0.0</v>
      </c>
      <c r="Q1916" s="137">
        <v>0.0018</v>
      </c>
      <c r="R1916" s="17">
        <v>0.0</v>
      </c>
      <c r="S1916" s="18">
        <v>8.0</v>
      </c>
      <c r="T1916" s="18">
        <v>12.0</v>
      </c>
      <c r="U1916" s="151">
        <v>17270.0</v>
      </c>
      <c r="V1916" s="92" t="s">
        <v>335</v>
      </c>
      <c r="W1916" s="18" t="s">
        <v>58</v>
      </c>
      <c r="X1916" s="174" t="s">
        <v>69</v>
      </c>
      <c r="Y1916" s="114">
        <v>46186.0</v>
      </c>
      <c r="Z1916" s="18" t="s">
        <v>5699</v>
      </c>
      <c r="AA1916" s="92">
        <v>26.0</v>
      </c>
      <c r="AB1916" s="18">
        <v>26.0</v>
      </c>
      <c r="AC1916" s="18"/>
      <c r="AD1916" s="14">
        <v>64059.0</v>
      </c>
      <c r="AE1916" s="14">
        <v>64059.0</v>
      </c>
      <c r="AF1916" s="14"/>
      <c r="AG1916" s="22"/>
      <c r="AH1916" s="22"/>
      <c r="AI1916" s="22"/>
      <c r="AJ1916" s="22"/>
      <c r="AK1916" s="22"/>
      <c r="AL1916" s="22"/>
      <c r="AM1916" s="22"/>
      <c r="AN1916" s="22"/>
      <c r="AO1916" s="22"/>
      <c r="AP1916" s="22"/>
    </row>
    <row r="1917" hidden="1">
      <c r="A1917" s="148">
        <v>46186.0</v>
      </c>
      <c r="B1917" s="149">
        <v>0.5416666666666666</v>
      </c>
      <c r="C1917" s="11" t="s">
        <v>58</v>
      </c>
      <c r="D1917" s="102" t="s">
        <v>3083</v>
      </c>
      <c r="E1917" s="10" t="s">
        <v>71</v>
      </c>
      <c r="F1917" s="10" t="s">
        <v>5574</v>
      </c>
      <c r="G1917" s="11" t="s">
        <v>5700</v>
      </c>
      <c r="H1917" s="11" t="s">
        <v>5581</v>
      </c>
      <c r="I1917" s="10" t="s">
        <v>61</v>
      </c>
      <c r="J1917" s="14">
        <v>59539.0</v>
      </c>
      <c r="K1917" s="14">
        <v>35208.0</v>
      </c>
      <c r="L1917" s="17">
        <v>0.5913</v>
      </c>
      <c r="M1917" s="150">
        <v>0.0</v>
      </c>
      <c r="N1917" s="136">
        <v>0.0</v>
      </c>
      <c r="O1917" s="18">
        <v>77.0</v>
      </c>
      <c r="P1917" s="92">
        <v>0.0</v>
      </c>
      <c r="Q1917" s="137">
        <v>0.0022</v>
      </c>
      <c r="R1917" s="17">
        <v>0.0</v>
      </c>
      <c r="S1917" s="18">
        <v>2.0</v>
      </c>
      <c r="T1917" s="18">
        <v>6.0</v>
      </c>
      <c r="U1917" s="151">
        <v>6600.0</v>
      </c>
      <c r="V1917" s="92" t="s">
        <v>335</v>
      </c>
      <c r="W1917" s="18" t="s">
        <v>58</v>
      </c>
      <c r="X1917" s="174" t="s">
        <v>69</v>
      </c>
      <c r="Y1917" s="114">
        <v>46186.0</v>
      </c>
      <c r="Z1917" s="18" t="s">
        <v>5701</v>
      </c>
      <c r="AA1917" s="92">
        <v>12.0</v>
      </c>
      <c r="AB1917" s="18">
        <v>12.0</v>
      </c>
      <c r="AC1917" s="18"/>
      <c r="AD1917" s="14">
        <v>15004.0</v>
      </c>
      <c r="AE1917" s="14">
        <v>15004.0</v>
      </c>
      <c r="AF1917" s="14"/>
      <c r="AG1917" s="22"/>
      <c r="AH1917" s="22"/>
      <c r="AI1917" s="22"/>
      <c r="AJ1917" s="22"/>
      <c r="AK1917" s="22"/>
      <c r="AL1917" s="22"/>
      <c r="AM1917" s="22"/>
      <c r="AN1917" s="22"/>
      <c r="AO1917" s="22"/>
      <c r="AP1917" s="22"/>
    </row>
    <row r="1918" hidden="1">
      <c r="A1918" s="148">
        <v>46186.0</v>
      </c>
      <c r="B1918" s="149">
        <v>0.5416666666666666</v>
      </c>
      <c r="C1918" s="11" t="s">
        <v>58</v>
      </c>
      <c r="D1918" s="102" t="s">
        <v>3083</v>
      </c>
      <c r="E1918" s="10" t="s">
        <v>71</v>
      </c>
      <c r="F1918" s="10" t="s">
        <v>5574</v>
      </c>
      <c r="G1918" s="11" t="s">
        <v>5702</v>
      </c>
      <c r="H1918" s="11" t="s">
        <v>5585</v>
      </c>
      <c r="I1918" s="10" t="s">
        <v>61</v>
      </c>
      <c r="J1918" s="14">
        <v>91000.0</v>
      </c>
      <c r="K1918" s="14">
        <v>51067.0</v>
      </c>
      <c r="L1918" s="17">
        <v>0.5612</v>
      </c>
      <c r="M1918" s="150">
        <v>0.0</v>
      </c>
      <c r="N1918" s="136">
        <v>0.0</v>
      </c>
      <c r="O1918" s="18">
        <v>63.0</v>
      </c>
      <c r="P1918" s="92">
        <v>0.0</v>
      </c>
      <c r="Q1918" s="137">
        <v>0.0012</v>
      </c>
      <c r="R1918" s="17">
        <v>0.0</v>
      </c>
      <c r="S1918" s="18">
        <v>4.0</v>
      </c>
      <c r="T1918" s="18">
        <v>8.0</v>
      </c>
      <c r="U1918" s="151">
        <v>6589.0</v>
      </c>
      <c r="V1918" s="92" t="s">
        <v>315</v>
      </c>
      <c r="W1918" s="18" t="s">
        <v>58</v>
      </c>
      <c r="X1918" s="174" t="s">
        <v>69</v>
      </c>
      <c r="Y1918" s="114">
        <v>46186.0</v>
      </c>
      <c r="Z1918" s="18" t="s">
        <v>5703</v>
      </c>
      <c r="AA1918" s="92">
        <v>68.0</v>
      </c>
      <c r="AB1918" s="18"/>
      <c r="AC1918" s="18">
        <v>68.0</v>
      </c>
      <c r="AD1918" s="14">
        <v>212832.0</v>
      </c>
      <c r="AE1918" s="14"/>
      <c r="AF1918" s="14">
        <v>212832.0</v>
      </c>
      <c r="AG1918" s="22"/>
      <c r="AH1918" s="22"/>
      <c r="AI1918" s="22"/>
      <c r="AJ1918" s="22"/>
      <c r="AK1918" s="22"/>
      <c r="AL1918" s="22"/>
      <c r="AM1918" s="22"/>
      <c r="AN1918" s="22"/>
      <c r="AO1918" s="22"/>
      <c r="AP1918" s="22"/>
    </row>
    <row r="1919" hidden="1">
      <c r="A1919" s="148">
        <v>46186.0</v>
      </c>
      <c r="B1919" s="149">
        <v>0.5416666666666666</v>
      </c>
      <c r="C1919" s="11" t="s">
        <v>58</v>
      </c>
      <c r="D1919" s="102" t="s">
        <v>3083</v>
      </c>
      <c r="E1919" s="10" t="s">
        <v>71</v>
      </c>
      <c r="F1919" s="10" t="s">
        <v>5574</v>
      </c>
      <c r="G1919" s="11" t="s">
        <v>5704</v>
      </c>
      <c r="H1919" s="11" t="s">
        <v>5589</v>
      </c>
      <c r="I1919" s="10" t="s">
        <v>61</v>
      </c>
      <c r="J1919" s="14">
        <v>90602.0</v>
      </c>
      <c r="K1919" s="14">
        <v>50032.0</v>
      </c>
      <c r="L1919" s="17">
        <v>0.5522</v>
      </c>
      <c r="M1919" s="150">
        <v>0.0</v>
      </c>
      <c r="N1919" s="136">
        <v>0.0</v>
      </c>
      <c r="O1919" s="18">
        <v>51.0</v>
      </c>
      <c r="P1919" s="92">
        <v>0.0</v>
      </c>
      <c r="Q1919" s="137">
        <v>0.001</v>
      </c>
      <c r="R1919" s="17">
        <v>0.0</v>
      </c>
      <c r="S1919" s="18">
        <v>3.0</v>
      </c>
      <c r="T1919" s="18">
        <v>9.0</v>
      </c>
      <c r="U1919" s="151">
        <v>25821.0</v>
      </c>
      <c r="V1919" s="92" t="s">
        <v>315</v>
      </c>
      <c r="W1919" s="18" t="s">
        <v>58</v>
      </c>
      <c r="X1919" s="174" t="s">
        <v>69</v>
      </c>
      <c r="Y1919" s="114">
        <v>46186.0</v>
      </c>
      <c r="Z1919" s="18" t="s">
        <v>5705</v>
      </c>
      <c r="AA1919" s="92">
        <v>54.0</v>
      </c>
      <c r="AB1919" s="18"/>
      <c r="AC1919" s="18">
        <v>54.0</v>
      </c>
      <c r="AD1919" s="14">
        <v>170498.0</v>
      </c>
      <c r="AE1919" s="14"/>
      <c r="AF1919" s="14">
        <v>170498.0</v>
      </c>
      <c r="AG1919" s="22"/>
      <c r="AH1919" s="22"/>
      <c r="AI1919" s="22"/>
      <c r="AJ1919" s="22"/>
      <c r="AK1919" s="22"/>
      <c r="AL1919" s="22"/>
      <c r="AM1919" s="22"/>
      <c r="AN1919" s="22"/>
      <c r="AO1919" s="22"/>
      <c r="AP1919" s="22"/>
    </row>
    <row r="1920" hidden="1">
      <c r="A1920" s="148">
        <v>46187.0</v>
      </c>
      <c r="B1920" s="149">
        <v>0.5</v>
      </c>
      <c r="C1920" s="11" t="s">
        <v>58</v>
      </c>
      <c r="D1920" s="102" t="s">
        <v>3083</v>
      </c>
      <c r="E1920" s="10" t="s">
        <v>71</v>
      </c>
      <c r="F1920" s="10" t="s">
        <v>5574</v>
      </c>
      <c r="G1920" s="11" t="s">
        <v>5706</v>
      </c>
      <c r="H1920" s="11" t="s">
        <v>5615</v>
      </c>
      <c r="I1920" s="10" t="s">
        <v>61</v>
      </c>
      <c r="J1920" s="14">
        <v>11939.0</v>
      </c>
      <c r="K1920" s="14">
        <v>5863.0</v>
      </c>
      <c r="L1920" s="17">
        <v>0.4911</v>
      </c>
      <c r="M1920" s="150">
        <v>0.0</v>
      </c>
      <c r="N1920" s="136">
        <v>0.0</v>
      </c>
      <c r="O1920" s="18">
        <v>28.0</v>
      </c>
      <c r="P1920" s="92">
        <v>0.0</v>
      </c>
      <c r="Q1920" s="137">
        <v>0.0048</v>
      </c>
      <c r="R1920" s="17">
        <v>0.0</v>
      </c>
      <c r="S1920" s="18">
        <v>2.0</v>
      </c>
      <c r="T1920" s="18">
        <v>6.0</v>
      </c>
      <c r="U1920" s="151">
        <v>3045.0</v>
      </c>
      <c r="V1920" s="92" t="s">
        <v>335</v>
      </c>
      <c r="W1920" s="18" t="s">
        <v>58</v>
      </c>
      <c r="X1920" s="174" t="s">
        <v>82</v>
      </c>
      <c r="Y1920" s="114">
        <v>46187.0</v>
      </c>
      <c r="Z1920" s="18" t="s">
        <v>5707</v>
      </c>
      <c r="AA1920" s="92">
        <v>26.0</v>
      </c>
      <c r="AB1920" s="18">
        <v>26.0</v>
      </c>
      <c r="AD1920" s="14">
        <v>80046.0</v>
      </c>
      <c r="AE1920" s="14">
        <v>80046.0</v>
      </c>
      <c r="AF1920" s="14"/>
      <c r="AG1920" s="22"/>
      <c r="AH1920" s="22"/>
      <c r="AI1920" s="22"/>
      <c r="AJ1920" s="22"/>
      <c r="AK1920" s="22"/>
      <c r="AL1920" s="22"/>
      <c r="AM1920" s="22"/>
      <c r="AN1920" s="22"/>
      <c r="AO1920" s="22"/>
      <c r="AP1920" s="22"/>
    </row>
    <row r="1921" hidden="1">
      <c r="A1921" s="148">
        <v>46187.0</v>
      </c>
      <c r="B1921" s="149">
        <v>0.5</v>
      </c>
      <c r="C1921" s="11" t="s">
        <v>58</v>
      </c>
      <c r="D1921" s="102" t="s">
        <v>3083</v>
      </c>
      <c r="E1921" s="10" t="s">
        <v>71</v>
      </c>
      <c r="F1921" s="10" t="s">
        <v>5574</v>
      </c>
      <c r="G1921" s="11" t="s">
        <v>5708</v>
      </c>
      <c r="H1921" s="11" t="s">
        <v>5619</v>
      </c>
      <c r="I1921" s="10" t="s">
        <v>61</v>
      </c>
      <c r="J1921" s="14">
        <v>43415.0</v>
      </c>
      <c r="K1921" s="14">
        <v>23739.0</v>
      </c>
      <c r="L1921" s="17">
        <v>0.5468</v>
      </c>
      <c r="M1921" s="150">
        <v>0.0</v>
      </c>
      <c r="N1921" s="136">
        <v>0.0</v>
      </c>
      <c r="O1921" s="18">
        <v>48.0</v>
      </c>
      <c r="P1921" s="92">
        <v>0.0</v>
      </c>
      <c r="Q1921" s="137">
        <v>0.002</v>
      </c>
      <c r="R1921" s="17">
        <v>0.0</v>
      </c>
      <c r="S1921" s="18">
        <v>2.0</v>
      </c>
      <c r="T1921" s="18">
        <v>6.0</v>
      </c>
      <c r="U1921" s="151">
        <v>8007.0</v>
      </c>
      <c r="V1921" s="92" t="s">
        <v>315</v>
      </c>
      <c r="W1921" s="18" t="s">
        <v>58</v>
      </c>
      <c r="X1921" s="174" t="s">
        <v>82</v>
      </c>
      <c r="Y1921" s="114">
        <v>46187.0</v>
      </c>
      <c r="Z1921" s="18" t="s">
        <v>5709</v>
      </c>
      <c r="AA1921" s="92">
        <v>163.0</v>
      </c>
      <c r="AB1921" s="18"/>
      <c r="AC1921" s="18">
        <v>163.0</v>
      </c>
      <c r="AD1921" s="14">
        <v>748756.0</v>
      </c>
      <c r="AE1921" s="14"/>
      <c r="AF1921" s="14">
        <v>748756.0</v>
      </c>
      <c r="AG1921" s="22"/>
      <c r="AH1921" s="22"/>
      <c r="AI1921" s="22"/>
      <c r="AJ1921" s="22"/>
      <c r="AK1921" s="22"/>
      <c r="AL1921" s="22"/>
      <c r="AM1921" s="22"/>
      <c r="AN1921" s="22"/>
      <c r="AO1921" s="22"/>
      <c r="AP1921" s="22"/>
    </row>
    <row r="1922" hidden="1">
      <c r="A1922" s="148">
        <v>46186.0</v>
      </c>
      <c r="B1922" s="149">
        <v>0.4166666666666667</v>
      </c>
      <c r="C1922" s="11" t="s">
        <v>58</v>
      </c>
      <c r="D1922" s="102" t="s">
        <v>33</v>
      </c>
      <c r="E1922" s="10" t="s">
        <v>2212</v>
      </c>
      <c r="F1922" s="10" t="s">
        <v>5710</v>
      </c>
      <c r="G1922" s="11" t="s">
        <v>5711</v>
      </c>
      <c r="H1922" s="11" t="s">
        <v>3876</v>
      </c>
      <c r="I1922" s="10" t="s">
        <v>3877</v>
      </c>
      <c r="J1922" s="14">
        <v>231196.0</v>
      </c>
      <c r="K1922" s="14">
        <v>150354.0</v>
      </c>
      <c r="L1922" s="17">
        <v>0.6503</v>
      </c>
      <c r="M1922" s="150">
        <v>0.0</v>
      </c>
      <c r="N1922" s="136">
        <v>0.0</v>
      </c>
      <c r="O1922" s="18">
        <v>185.0</v>
      </c>
      <c r="P1922" s="92">
        <v>0.0</v>
      </c>
      <c r="Q1922" s="137">
        <v>0.0012</v>
      </c>
      <c r="R1922" s="17">
        <v>0.0</v>
      </c>
      <c r="S1922" s="18">
        <v>55.0</v>
      </c>
      <c r="T1922" s="18">
        <v>0.0</v>
      </c>
      <c r="U1922" s="151">
        <v>268526.0</v>
      </c>
      <c r="V1922" s="92" t="s">
        <v>183</v>
      </c>
      <c r="W1922" s="18" t="s">
        <v>58</v>
      </c>
      <c r="X1922" s="174" t="s">
        <v>3877</v>
      </c>
      <c r="Y1922" s="94" t="s">
        <v>5712</v>
      </c>
      <c r="Z1922" s="18" t="s">
        <v>5713</v>
      </c>
      <c r="AA1922" s="92">
        <v>20.0</v>
      </c>
      <c r="AB1922" s="18">
        <v>5.0</v>
      </c>
      <c r="AC1922" s="18">
        <v>15.0</v>
      </c>
      <c r="AD1922" s="14">
        <v>145393.0</v>
      </c>
      <c r="AE1922" s="14">
        <v>37416.0</v>
      </c>
      <c r="AF1922" s="14">
        <v>107977.0</v>
      </c>
      <c r="AG1922" s="22"/>
      <c r="AH1922" s="22"/>
      <c r="AI1922" s="22"/>
      <c r="AJ1922" s="22"/>
      <c r="AK1922" s="22"/>
      <c r="AL1922" s="22"/>
      <c r="AM1922" s="22"/>
      <c r="AN1922" s="22"/>
      <c r="AO1922" s="22"/>
      <c r="AP1922" s="22"/>
    </row>
    <row r="1923" hidden="1">
      <c r="A1923" s="148">
        <v>46186.0</v>
      </c>
      <c r="B1923" s="149">
        <v>0.4166666666666667</v>
      </c>
      <c r="C1923" s="11" t="s">
        <v>58</v>
      </c>
      <c r="D1923" s="102" t="s">
        <v>33</v>
      </c>
      <c r="E1923" s="10" t="s">
        <v>2212</v>
      </c>
      <c r="F1923" s="10" t="s">
        <v>5710</v>
      </c>
      <c r="G1923" s="11" t="s">
        <v>5714</v>
      </c>
      <c r="H1923" s="11" t="s">
        <v>3881</v>
      </c>
      <c r="I1923" s="10" t="s">
        <v>3882</v>
      </c>
      <c r="J1923" s="14">
        <v>119007.0</v>
      </c>
      <c r="K1923" s="14">
        <v>67366.0</v>
      </c>
      <c r="L1923" s="17">
        <v>0.5661</v>
      </c>
      <c r="M1923" s="150">
        <v>0.0</v>
      </c>
      <c r="N1923" s="136">
        <v>0.0</v>
      </c>
      <c r="O1923" s="18">
        <v>77.0</v>
      </c>
      <c r="P1923" s="92">
        <v>0.0</v>
      </c>
      <c r="Q1923" s="137">
        <v>0.0011</v>
      </c>
      <c r="R1923" s="17">
        <v>0.0</v>
      </c>
      <c r="S1923" s="18">
        <v>63.0</v>
      </c>
      <c r="T1923" s="18">
        <v>0.0</v>
      </c>
      <c r="U1923" s="151">
        <v>155557.0</v>
      </c>
      <c r="V1923" s="92" t="s">
        <v>183</v>
      </c>
      <c r="W1923" s="18" t="s">
        <v>58</v>
      </c>
      <c r="X1923" s="174" t="s">
        <v>3883</v>
      </c>
      <c r="Y1923" s="94" t="s">
        <v>5712</v>
      </c>
      <c r="Z1923" s="18" t="s">
        <v>5715</v>
      </c>
      <c r="AA1923" s="92">
        <v>4.0</v>
      </c>
      <c r="AB1923" s="18">
        <v>2.0</v>
      </c>
      <c r="AC1923" s="18">
        <v>2.0</v>
      </c>
      <c r="AD1923" s="14">
        <v>47776.0</v>
      </c>
      <c r="AE1923" s="14">
        <v>33396.0</v>
      </c>
      <c r="AF1923" s="14">
        <v>14380.0</v>
      </c>
      <c r="AG1923" s="22"/>
      <c r="AH1923" s="22"/>
      <c r="AI1923" s="22"/>
      <c r="AJ1923" s="22"/>
      <c r="AK1923" s="22"/>
      <c r="AL1923" s="22"/>
      <c r="AM1923" s="22"/>
      <c r="AN1923" s="22"/>
      <c r="AO1923" s="22"/>
      <c r="AP1923" s="22"/>
    </row>
    <row r="1924" hidden="1">
      <c r="A1924" s="148">
        <v>46186.0</v>
      </c>
      <c r="B1924" s="149">
        <v>0.4166666666666667</v>
      </c>
      <c r="C1924" s="11" t="s">
        <v>58</v>
      </c>
      <c r="D1924" s="102" t="s">
        <v>33</v>
      </c>
      <c r="E1924" s="10" t="s">
        <v>2212</v>
      </c>
      <c r="F1924" s="10" t="s">
        <v>5710</v>
      </c>
      <c r="G1924" s="11" t="s">
        <v>5716</v>
      </c>
      <c r="H1924" s="11" t="s">
        <v>3886</v>
      </c>
      <c r="I1924" s="10" t="s">
        <v>3882</v>
      </c>
      <c r="J1924" s="14">
        <v>290497.0</v>
      </c>
      <c r="K1924" s="14">
        <v>169471.0</v>
      </c>
      <c r="L1924" s="17">
        <v>0.5834</v>
      </c>
      <c r="M1924" s="150">
        <v>0.0</v>
      </c>
      <c r="N1924" s="136">
        <v>0.0</v>
      </c>
      <c r="O1924" s="18">
        <v>175.0</v>
      </c>
      <c r="P1924" s="92">
        <v>0.0</v>
      </c>
      <c r="Q1924" s="137">
        <v>0.001</v>
      </c>
      <c r="R1924" s="17">
        <v>0.0</v>
      </c>
      <c r="S1924" s="18">
        <v>74.0</v>
      </c>
      <c r="T1924" s="18">
        <v>0.0</v>
      </c>
      <c r="U1924" s="151">
        <v>160118.0</v>
      </c>
      <c r="V1924" s="92" t="s">
        <v>183</v>
      </c>
      <c r="W1924" s="18" t="s">
        <v>58</v>
      </c>
      <c r="X1924" s="174" t="s">
        <v>3887</v>
      </c>
      <c r="Y1924" s="94" t="s">
        <v>5712</v>
      </c>
      <c r="Z1924" s="18" t="s">
        <v>5717</v>
      </c>
      <c r="AA1924" s="92">
        <v>15.0</v>
      </c>
      <c r="AB1924" s="18">
        <v>0.0</v>
      </c>
      <c r="AC1924" s="18">
        <v>15.0</v>
      </c>
      <c r="AD1924" s="14">
        <v>153848.0</v>
      </c>
      <c r="AE1924" s="14">
        <v>0.0</v>
      </c>
      <c r="AF1924" s="14">
        <v>153848.0</v>
      </c>
      <c r="AG1924" s="22"/>
      <c r="AH1924" s="22"/>
      <c r="AI1924" s="22"/>
      <c r="AJ1924" s="22"/>
      <c r="AK1924" s="22"/>
      <c r="AL1924" s="22"/>
      <c r="AM1924" s="22"/>
      <c r="AN1924" s="22"/>
      <c r="AO1924" s="22"/>
      <c r="AP1924" s="22"/>
    </row>
    <row r="1925" hidden="1">
      <c r="A1925" s="148">
        <v>46186.0</v>
      </c>
      <c r="B1925" s="149">
        <v>0.4166666666666667</v>
      </c>
      <c r="C1925" s="11" t="s">
        <v>58</v>
      </c>
      <c r="D1925" s="102" t="s">
        <v>33</v>
      </c>
      <c r="E1925" s="10" t="s">
        <v>2212</v>
      </c>
      <c r="F1925" s="10" t="s">
        <v>5710</v>
      </c>
      <c r="G1925" s="11" t="s">
        <v>5718</v>
      </c>
      <c r="H1925" s="11" t="s">
        <v>3890</v>
      </c>
      <c r="I1925" s="10" t="s">
        <v>3882</v>
      </c>
      <c r="J1925" s="14">
        <v>336649.0</v>
      </c>
      <c r="K1925" s="14">
        <v>205829.0</v>
      </c>
      <c r="L1925" s="17">
        <v>0.6114</v>
      </c>
      <c r="M1925" s="150">
        <v>0.0</v>
      </c>
      <c r="N1925" s="136">
        <v>0.0</v>
      </c>
      <c r="O1925" s="18">
        <v>207.0</v>
      </c>
      <c r="P1925" s="92">
        <v>0.0</v>
      </c>
      <c r="Q1925" s="137">
        <v>0.001</v>
      </c>
      <c r="R1925" s="17">
        <v>0.0</v>
      </c>
      <c r="S1925" s="18">
        <v>63.0</v>
      </c>
      <c r="T1925" s="18">
        <v>0.0</v>
      </c>
      <c r="U1925" s="151">
        <v>169124.0</v>
      </c>
      <c r="V1925" s="92" t="s">
        <v>183</v>
      </c>
      <c r="W1925" s="18" t="s">
        <v>58</v>
      </c>
      <c r="X1925" s="174" t="s">
        <v>3891</v>
      </c>
      <c r="Y1925" s="94" t="s">
        <v>5712</v>
      </c>
      <c r="Z1925" s="18" t="s">
        <v>5719</v>
      </c>
      <c r="AA1925" s="92">
        <v>19.0</v>
      </c>
      <c r="AB1925" s="18">
        <v>4.0</v>
      </c>
      <c r="AC1925" s="18">
        <v>15.0</v>
      </c>
      <c r="AD1925" s="14">
        <v>143940.0</v>
      </c>
      <c r="AE1925" s="14">
        <v>19822.0</v>
      </c>
      <c r="AF1925" s="14">
        <v>124118.0</v>
      </c>
      <c r="AG1925" s="22"/>
      <c r="AH1925" s="22"/>
      <c r="AI1925" s="22"/>
      <c r="AJ1925" s="22"/>
      <c r="AK1925" s="22"/>
      <c r="AL1925" s="22"/>
      <c r="AM1925" s="22"/>
      <c r="AN1925" s="22"/>
      <c r="AO1925" s="22"/>
      <c r="AP1925" s="22"/>
    </row>
    <row r="1926" hidden="1">
      <c r="A1926" s="148">
        <v>46186.0</v>
      </c>
      <c r="B1926" s="149">
        <v>0.4166666666666667</v>
      </c>
      <c r="C1926" s="11" t="s">
        <v>58</v>
      </c>
      <c r="D1926" s="102" t="s">
        <v>33</v>
      </c>
      <c r="E1926" s="10" t="s">
        <v>2212</v>
      </c>
      <c r="F1926" s="10" t="s">
        <v>5710</v>
      </c>
      <c r="G1926" s="11" t="s">
        <v>5720</v>
      </c>
      <c r="H1926" s="11" t="s">
        <v>3898</v>
      </c>
      <c r="I1926" s="10" t="s">
        <v>3882</v>
      </c>
      <c r="J1926" s="14">
        <v>139225.0</v>
      </c>
      <c r="K1926" s="14">
        <v>86283.0</v>
      </c>
      <c r="L1926" s="17">
        <v>0.6197</v>
      </c>
      <c r="M1926" s="150">
        <v>0.0</v>
      </c>
      <c r="N1926" s="136">
        <v>0.0</v>
      </c>
      <c r="O1926" s="18">
        <v>107.0</v>
      </c>
      <c r="P1926" s="92">
        <v>0.0</v>
      </c>
      <c r="Q1926" s="137">
        <v>0.0012</v>
      </c>
      <c r="R1926" s="17">
        <v>0.0</v>
      </c>
      <c r="S1926" s="18">
        <v>42.0</v>
      </c>
      <c r="T1926" s="18">
        <v>0.0</v>
      </c>
      <c r="U1926" s="151">
        <v>68143.0</v>
      </c>
      <c r="V1926" s="92" t="s">
        <v>183</v>
      </c>
      <c r="W1926" s="18" t="s">
        <v>58</v>
      </c>
      <c r="X1926" s="174" t="s">
        <v>3899</v>
      </c>
      <c r="Y1926" s="94" t="s">
        <v>5712</v>
      </c>
      <c r="Z1926" s="18" t="s">
        <v>5721</v>
      </c>
      <c r="AA1926" s="92">
        <v>8.0</v>
      </c>
      <c r="AB1926" s="18">
        <v>1.0</v>
      </c>
      <c r="AC1926" s="18">
        <v>7.0</v>
      </c>
      <c r="AD1926" s="14">
        <v>83982.0</v>
      </c>
      <c r="AE1926" s="14">
        <v>8324.0</v>
      </c>
      <c r="AF1926" s="14">
        <v>75658.0</v>
      </c>
      <c r="AG1926" s="22"/>
      <c r="AH1926" s="22"/>
      <c r="AI1926" s="22"/>
      <c r="AJ1926" s="22"/>
      <c r="AK1926" s="22"/>
      <c r="AL1926" s="22"/>
      <c r="AM1926" s="22"/>
      <c r="AN1926" s="22"/>
      <c r="AO1926" s="22"/>
      <c r="AP1926" s="22"/>
    </row>
    <row r="1927" hidden="1">
      <c r="A1927" s="148">
        <v>46186.0</v>
      </c>
      <c r="B1927" s="149">
        <v>0.4166666666666667</v>
      </c>
      <c r="C1927" s="11" t="s">
        <v>58</v>
      </c>
      <c r="D1927" s="102" t="s">
        <v>33</v>
      </c>
      <c r="E1927" s="10" t="s">
        <v>2212</v>
      </c>
      <c r="F1927" s="10" t="s">
        <v>5710</v>
      </c>
      <c r="G1927" s="11" t="s">
        <v>5722</v>
      </c>
      <c r="H1927" s="11" t="s">
        <v>3894</v>
      </c>
      <c r="I1927" s="10" t="s">
        <v>3895</v>
      </c>
      <c r="J1927" s="14">
        <v>133758.0</v>
      </c>
      <c r="K1927" s="14">
        <v>75510.0</v>
      </c>
      <c r="L1927" s="17">
        <v>0.5645</v>
      </c>
      <c r="M1927" s="150">
        <v>0.0</v>
      </c>
      <c r="N1927" s="136">
        <v>0.0</v>
      </c>
      <c r="O1927" s="18">
        <v>108.0</v>
      </c>
      <c r="P1927" s="92">
        <v>0.0</v>
      </c>
      <c r="Q1927" s="137">
        <v>0.0014</v>
      </c>
      <c r="R1927" s="17">
        <v>0.0</v>
      </c>
      <c r="S1927" s="18">
        <v>3.0</v>
      </c>
      <c r="T1927" s="18">
        <v>0.0</v>
      </c>
      <c r="U1927" s="151">
        <v>15197.0</v>
      </c>
      <c r="V1927" s="92" t="s">
        <v>183</v>
      </c>
      <c r="W1927" s="18" t="s">
        <v>58</v>
      </c>
      <c r="X1927" s="174" t="s">
        <v>3895</v>
      </c>
      <c r="Y1927" s="94" t="s">
        <v>5712</v>
      </c>
      <c r="Z1927" s="18" t="s">
        <v>5723</v>
      </c>
      <c r="AA1927" s="92">
        <v>35.0</v>
      </c>
      <c r="AB1927" s="18">
        <v>4.0</v>
      </c>
      <c r="AC1927" s="18">
        <v>31.0</v>
      </c>
      <c r="AD1927" s="14">
        <v>314362.0</v>
      </c>
      <c r="AE1927" s="14">
        <v>17976.0</v>
      </c>
      <c r="AF1927" s="14">
        <v>296386.0</v>
      </c>
      <c r="AG1927" s="22"/>
      <c r="AH1927" s="22"/>
      <c r="AI1927" s="22"/>
      <c r="AJ1927" s="22"/>
      <c r="AK1927" s="22"/>
      <c r="AL1927" s="22"/>
      <c r="AM1927" s="22"/>
      <c r="AN1927" s="22"/>
      <c r="AO1927" s="22"/>
      <c r="AP1927" s="22"/>
    </row>
    <row r="1928" hidden="1">
      <c r="A1928" s="148">
        <v>46185.0</v>
      </c>
      <c r="B1928" s="149">
        <v>0.5</v>
      </c>
      <c r="C1928" s="11" t="s">
        <v>196</v>
      </c>
      <c r="D1928" s="102" t="s">
        <v>33</v>
      </c>
      <c r="E1928" s="10" t="s">
        <v>1998</v>
      </c>
      <c r="F1928" s="10" t="s">
        <v>5724</v>
      </c>
      <c r="G1928" s="11" t="s">
        <v>5725</v>
      </c>
      <c r="H1928" s="11" t="s">
        <v>5312</v>
      </c>
      <c r="I1928" s="10" t="s">
        <v>61</v>
      </c>
      <c r="J1928" s="14">
        <v>36246.0</v>
      </c>
      <c r="K1928" s="14">
        <v>4885.0</v>
      </c>
      <c r="L1928" s="17">
        <v>0.1348</v>
      </c>
      <c r="M1928" s="150">
        <v>986.0</v>
      </c>
      <c r="N1928" s="136">
        <v>0.2018</v>
      </c>
      <c r="O1928" s="18">
        <v>12.0</v>
      </c>
      <c r="P1928" s="92">
        <v>0.0</v>
      </c>
      <c r="Q1928" s="137">
        <v>0.0027</v>
      </c>
      <c r="R1928" s="17">
        <v>0.0</v>
      </c>
      <c r="S1928" s="18">
        <v>2.0</v>
      </c>
      <c r="T1928" s="18">
        <v>0.0</v>
      </c>
      <c r="U1928" s="151">
        <v>31895.0</v>
      </c>
      <c r="V1928" s="92" t="s">
        <v>183</v>
      </c>
      <c r="W1928" s="18" t="s">
        <v>196</v>
      </c>
      <c r="X1928" s="174" t="s">
        <v>4296</v>
      </c>
      <c r="Y1928" s="94" t="s">
        <v>5430</v>
      </c>
      <c r="Z1928" s="18" t="s">
        <v>5726</v>
      </c>
      <c r="AA1928" s="92">
        <v>3.0</v>
      </c>
      <c r="AB1928" s="18">
        <v>2.0</v>
      </c>
      <c r="AC1928" s="18">
        <v>1.0</v>
      </c>
      <c r="AD1928" s="14">
        <v>37885.0</v>
      </c>
      <c r="AE1928" s="14">
        <v>31895.0</v>
      </c>
      <c r="AF1928" s="14">
        <v>5990.0</v>
      </c>
      <c r="AG1928" s="22"/>
      <c r="AH1928" s="22"/>
      <c r="AI1928" s="22"/>
      <c r="AJ1928" s="22"/>
      <c r="AK1928" s="22"/>
      <c r="AL1928" s="22"/>
      <c r="AM1928" s="22"/>
      <c r="AN1928" s="22"/>
      <c r="AO1928" s="22"/>
      <c r="AP1928" s="22"/>
    </row>
    <row r="1929" hidden="1">
      <c r="A1929" s="148">
        <v>46185.0</v>
      </c>
      <c r="B1929" s="149">
        <v>0.4791666666666667</v>
      </c>
      <c r="C1929" s="11" t="s">
        <v>196</v>
      </c>
      <c r="D1929" s="102" t="s">
        <v>3083</v>
      </c>
      <c r="E1929" s="10" t="s">
        <v>34</v>
      </c>
      <c r="F1929" s="10" t="s">
        <v>5623</v>
      </c>
      <c r="G1929" s="11" t="s">
        <v>5727</v>
      </c>
      <c r="H1929" s="11" t="s">
        <v>3762</v>
      </c>
      <c r="I1929" s="10" t="s">
        <v>61</v>
      </c>
      <c r="J1929" s="14">
        <v>1878.0</v>
      </c>
      <c r="K1929" s="14">
        <v>348.0</v>
      </c>
      <c r="L1929" s="17">
        <v>0.1853</v>
      </c>
      <c r="M1929" s="150">
        <v>75.0</v>
      </c>
      <c r="N1929" s="136">
        <v>0.2155</v>
      </c>
      <c r="O1929" s="18">
        <v>6.0</v>
      </c>
      <c r="P1929" s="92">
        <v>0.0</v>
      </c>
      <c r="Q1929" s="137">
        <v>0.023</v>
      </c>
      <c r="R1929" s="17">
        <v>0.0</v>
      </c>
      <c r="S1929" s="18">
        <v>0.0</v>
      </c>
      <c r="T1929" s="18">
        <v>0.0</v>
      </c>
      <c r="U1929" s="151">
        <v>0.0</v>
      </c>
      <c r="V1929" s="92" t="s">
        <v>335</v>
      </c>
      <c r="W1929" s="18" t="s">
        <v>196</v>
      </c>
      <c r="X1929" s="174" t="s">
        <v>2131</v>
      </c>
      <c r="Y1929" s="94" t="s">
        <v>5435</v>
      </c>
      <c r="Z1929" s="18" t="s">
        <v>5728</v>
      </c>
      <c r="AA1929" s="92">
        <v>0.0</v>
      </c>
      <c r="AB1929" s="18">
        <v>0.0</v>
      </c>
      <c r="AC1929" s="18"/>
      <c r="AD1929" s="14">
        <v>0.0</v>
      </c>
      <c r="AE1929" s="14">
        <v>0.0</v>
      </c>
      <c r="AF1929" s="14"/>
      <c r="AG1929" s="22"/>
      <c r="AH1929" s="22"/>
      <c r="AI1929" s="22"/>
      <c r="AJ1929" s="22"/>
      <c r="AK1929" s="22"/>
      <c r="AL1929" s="22"/>
      <c r="AM1929" s="22"/>
      <c r="AN1929" s="22"/>
      <c r="AO1929" s="22"/>
      <c r="AP1929" s="22"/>
    </row>
    <row r="1930" hidden="1">
      <c r="A1930" s="148">
        <v>46185.0</v>
      </c>
      <c r="B1930" s="149">
        <v>0.4826388888888889</v>
      </c>
      <c r="C1930" s="11" t="s">
        <v>196</v>
      </c>
      <c r="D1930" s="102" t="s">
        <v>3083</v>
      </c>
      <c r="E1930" s="10" t="s">
        <v>34</v>
      </c>
      <c r="F1930" s="10" t="s">
        <v>5623</v>
      </c>
      <c r="G1930" s="11" t="s">
        <v>5729</v>
      </c>
      <c r="H1930" s="11" t="s">
        <v>3767</v>
      </c>
      <c r="I1930" s="10" t="s">
        <v>61</v>
      </c>
      <c r="J1930" s="14">
        <v>172.0</v>
      </c>
      <c r="K1930" s="14">
        <v>30.0</v>
      </c>
      <c r="L1930" s="17">
        <v>0.1744</v>
      </c>
      <c r="M1930" s="150">
        <v>3.0</v>
      </c>
      <c r="N1930" s="136">
        <v>0.1</v>
      </c>
      <c r="O1930" s="18">
        <v>0.0</v>
      </c>
      <c r="P1930" s="92">
        <v>0.0</v>
      </c>
      <c r="Q1930" s="137">
        <v>0.0</v>
      </c>
      <c r="R1930" s="17">
        <v>0.0</v>
      </c>
      <c r="S1930" s="18">
        <v>0.0</v>
      </c>
      <c r="T1930" s="18">
        <v>0.0</v>
      </c>
      <c r="U1930" s="151">
        <v>0.0</v>
      </c>
      <c r="V1930" s="92" t="s">
        <v>335</v>
      </c>
      <c r="W1930" s="18" t="s">
        <v>196</v>
      </c>
      <c r="X1930" s="174" t="s">
        <v>2282</v>
      </c>
      <c r="Y1930" s="94" t="s">
        <v>5435</v>
      </c>
      <c r="Z1930" s="18" t="s">
        <v>5730</v>
      </c>
      <c r="AA1930" s="92">
        <v>0.0</v>
      </c>
      <c r="AB1930" s="18">
        <v>0.0</v>
      </c>
      <c r="AC1930" s="18"/>
      <c r="AD1930" s="14">
        <v>0.0</v>
      </c>
      <c r="AE1930" s="14">
        <v>0.0</v>
      </c>
      <c r="AF1930" s="14"/>
      <c r="AG1930" s="22"/>
      <c r="AH1930" s="22"/>
      <c r="AI1930" s="22"/>
      <c r="AJ1930" s="22"/>
      <c r="AK1930" s="22"/>
      <c r="AL1930" s="22"/>
      <c r="AM1930" s="22"/>
      <c r="AN1930" s="22"/>
      <c r="AO1930" s="22"/>
      <c r="AP1930" s="22"/>
    </row>
    <row r="1931" hidden="1">
      <c r="A1931" s="148">
        <v>46185.0</v>
      </c>
      <c r="B1931" s="149">
        <v>0.4861111111111111</v>
      </c>
      <c r="C1931" s="11" t="s">
        <v>196</v>
      </c>
      <c r="D1931" s="102" t="s">
        <v>3083</v>
      </c>
      <c r="E1931" s="10" t="s">
        <v>34</v>
      </c>
      <c r="F1931" s="10" t="s">
        <v>5623</v>
      </c>
      <c r="G1931" s="11" t="s">
        <v>5731</v>
      </c>
      <c r="H1931" s="11" t="s">
        <v>5441</v>
      </c>
      <c r="I1931" s="10" t="s">
        <v>61</v>
      </c>
      <c r="J1931" s="14">
        <v>28269.0</v>
      </c>
      <c r="K1931" s="14">
        <v>4821.0</v>
      </c>
      <c r="L1931" s="17">
        <v>0.1705</v>
      </c>
      <c r="M1931" s="150">
        <v>950.0</v>
      </c>
      <c r="N1931" s="136">
        <v>0.1971</v>
      </c>
      <c r="O1931" s="18">
        <v>52.0</v>
      </c>
      <c r="P1931" s="92">
        <v>0.0</v>
      </c>
      <c r="Q1931" s="137">
        <v>0.0122</v>
      </c>
      <c r="R1931" s="17">
        <v>0.0</v>
      </c>
      <c r="S1931" s="18">
        <v>2.0</v>
      </c>
      <c r="T1931" s="18">
        <v>0.0</v>
      </c>
      <c r="U1931" s="151">
        <v>11898.0</v>
      </c>
      <c r="V1931" s="92" t="s">
        <v>183</v>
      </c>
      <c r="W1931" s="18" t="s">
        <v>196</v>
      </c>
      <c r="X1931" s="174" t="s">
        <v>52</v>
      </c>
      <c r="Y1931" s="94" t="s">
        <v>5435</v>
      </c>
      <c r="Z1931" s="18" t="s">
        <v>5732</v>
      </c>
      <c r="AA1931" s="92">
        <v>5.0</v>
      </c>
      <c r="AB1931" s="18">
        <v>2.0</v>
      </c>
      <c r="AC1931" s="18">
        <v>3.0</v>
      </c>
      <c r="AD1931" s="14">
        <v>30868.0</v>
      </c>
      <c r="AE1931" s="14">
        <v>6998.0</v>
      </c>
      <c r="AF1931" s="14">
        <v>23870.0</v>
      </c>
      <c r="AG1931" s="22"/>
      <c r="AH1931" s="22"/>
      <c r="AI1931" s="22"/>
      <c r="AJ1931" s="22"/>
      <c r="AK1931" s="22"/>
      <c r="AL1931" s="22"/>
      <c r="AM1931" s="22"/>
      <c r="AN1931" s="22"/>
      <c r="AO1931" s="22"/>
      <c r="AP1931" s="22"/>
    </row>
    <row r="1932" hidden="1">
      <c r="A1932" s="148">
        <v>46185.0</v>
      </c>
      <c r="B1932" s="149">
        <v>0.4895833333333333</v>
      </c>
      <c r="C1932" s="11" t="s">
        <v>196</v>
      </c>
      <c r="D1932" s="102" t="s">
        <v>3083</v>
      </c>
      <c r="E1932" s="10" t="s">
        <v>34</v>
      </c>
      <c r="F1932" s="10" t="s">
        <v>5623</v>
      </c>
      <c r="G1932" s="11" t="s">
        <v>5733</v>
      </c>
      <c r="H1932" s="11" t="s">
        <v>5445</v>
      </c>
      <c r="I1932" s="10" t="s">
        <v>61</v>
      </c>
      <c r="J1932" s="14">
        <v>5915.0</v>
      </c>
      <c r="K1932" s="14">
        <v>991.0</v>
      </c>
      <c r="L1932" s="17">
        <v>0.1675</v>
      </c>
      <c r="M1932" s="150">
        <v>189.0</v>
      </c>
      <c r="N1932" s="136">
        <v>0.1907</v>
      </c>
      <c r="O1932" s="18">
        <v>10.0</v>
      </c>
      <c r="P1932" s="92">
        <v>0.0</v>
      </c>
      <c r="Q1932" s="137">
        <v>0.0101</v>
      </c>
      <c r="R1932" s="17">
        <v>0.0</v>
      </c>
      <c r="S1932" s="18">
        <v>1.0</v>
      </c>
      <c r="T1932" s="18">
        <v>0.0</v>
      </c>
      <c r="U1932" s="151">
        <v>3499.0</v>
      </c>
      <c r="V1932" s="92" t="s">
        <v>183</v>
      </c>
      <c r="W1932" s="18" t="s">
        <v>196</v>
      </c>
      <c r="X1932" s="174" t="s">
        <v>5447</v>
      </c>
      <c r="Y1932" s="94" t="s">
        <v>5435</v>
      </c>
      <c r="Z1932" s="18" t="s">
        <v>5734</v>
      </c>
      <c r="AA1932" s="92">
        <v>2.0</v>
      </c>
      <c r="AB1932" s="18">
        <v>2.0</v>
      </c>
      <c r="AC1932" s="18">
        <v>0.0</v>
      </c>
      <c r="AD1932" s="14">
        <v>7498.0</v>
      </c>
      <c r="AE1932" s="14">
        <v>7498.0</v>
      </c>
      <c r="AF1932" s="14">
        <v>0.0</v>
      </c>
      <c r="AG1932" s="22"/>
      <c r="AH1932" s="22"/>
      <c r="AI1932" s="22"/>
      <c r="AJ1932" s="22"/>
      <c r="AK1932" s="22"/>
      <c r="AL1932" s="22"/>
      <c r="AM1932" s="22"/>
      <c r="AN1932" s="22"/>
      <c r="AO1932" s="22"/>
      <c r="AP1932" s="22"/>
    </row>
    <row r="1933" hidden="1">
      <c r="A1933" s="148">
        <v>46185.0</v>
      </c>
      <c r="B1933" s="149">
        <v>0.4930555555555556</v>
      </c>
      <c r="C1933" s="11" t="s">
        <v>196</v>
      </c>
      <c r="D1933" s="102" t="s">
        <v>3083</v>
      </c>
      <c r="E1933" s="10" t="s">
        <v>34</v>
      </c>
      <c r="F1933" s="10" t="s">
        <v>5623</v>
      </c>
      <c r="G1933" s="11" t="s">
        <v>5735</v>
      </c>
      <c r="H1933" s="11" t="s">
        <v>5450</v>
      </c>
      <c r="I1933" s="10" t="s">
        <v>61</v>
      </c>
      <c r="J1933" s="14">
        <v>3967.0</v>
      </c>
      <c r="K1933" s="14">
        <v>700.0</v>
      </c>
      <c r="L1933" s="17">
        <v>0.1765</v>
      </c>
      <c r="M1933" s="150">
        <v>145.0</v>
      </c>
      <c r="N1933" s="136">
        <v>0.2071</v>
      </c>
      <c r="O1933" s="18">
        <v>7.0</v>
      </c>
      <c r="P1933" s="92">
        <v>0.0</v>
      </c>
      <c r="Q1933" s="137">
        <v>0.01</v>
      </c>
      <c r="R1933" s="17">
        <v>0.0</v>
      </c>
      <c r="S1933" s="18">
        <v>0.0</v>
      </c>
      <c r="T1933" s="18">
        <v>0.0</v>
      </c>
      <c r="U1933" s="151">
        <v>0.0</v>
      </c>
      <c r="V1933" s="92" t="s">
        <v>183</v>
      </c>
      <c r="W1933" s="18" t="s">
        <v>196</v>
      </c>
      <c r="X1933" s="174" t="s">
        <v>5452</v>
      </c>
      <c r="Y1933" s="94" t="s">
        <v>5435</v>
      </c>
      <c r="Z1933" s="18" t="s">
        <v>5736</v>
      </c>
      <c r="AA1933" s="92">
        <v>3.0</v>
      </c>
      <c r="AB1933" s="18">
        <v>0.0</v>
      </c>
      <c r="AC1933" s="18">
        <v>3.0</v>
      </c>
      <c r="AD1933" s="14">
        <v>24869.0</v>
      </c>
      <c r="AE1933" s="14">
        <v>0.0</v>
      </c>
      <c r="AF1933" s="14">
        <v>24869.0</v>
      </c>
      <c r="AG1933" s="22"/>
      <c r="AH1933" s="22"/>
      <c r="AI1933" s="22"/>
      <c r="AJ1933" s="22"/>
      <c r="AK1933" s="22"/>
      <c r="AL1933" s="22"/>
      <c r="AM1933" s="22"/>
      <c r="AN1933" s="22"/>
      <c r="AO1933" s="22"/>
      <c r="AP1933" s="22"/>
    </row>
    <row r="1934" hidden="1">
      <c r="A1934" s="148">
        <v>46185.0</v>
      </c>
      <c r="B1934" s="149">
        <v>0.4965277777777778</v>
      </c>
      <c r="C1934" s="11" t="s">
        <v>196</v>
      </c>
      <c r="D1934" s="102" t="s">
        <v>3083</v>
      </c>
      <c r="E1934" s="10" t="s">
        <v>34</v>
      </c>
      <c r="F1934" s="10" t="s">
        <v>5623</v>
      </c>
      <c r="G1934" s="11" t="s">
        <v>5737</v>
      </c>
      <c r="H1934" s="11" t="s">
        <v>3785</v>
      </c>
      <c r="I1934" s="10" t="s">
        <v>61</v>
      </c>
      <c r="J1934" s="14">
        <v>2234.0</v>
      </c>
      <c r="K1934" s="14">
        <v>386.0</v>
      </c>
      <c r="L1934" s="17">
        <v>0.1728</v>
      </c>
      <c r="M1934" s="150">
        <v>88.0</v>
      </c>
      <c r="N1934" s="136">
        <v>0.228</v>
      </c>
      <c r="O1934" s="18">
        <v>5.0</v>
      </c>
      <c r="P1934" s="92">
        <v>0.0</v>
      </c>
      <c r="Q1934" s="137">
        <v>0.013</v>
      </c>
      <c r="R1934" s="17">
        <v>0.0</v>
      </c>
      <c r="S1934" s="18">
        <v>0.0</v>
      </c>
      <c r="T1934" s="18">
        <v>0.0</v>
      </c>
      <c r="U1934" s="151">
        <v>0.0</v>
      </c>
      <c r="V1934" s="92" t="s">
        <v>183</v>
      </c>
      <c r="W1934" s="18" t="s">
        <v>196</v>
      </c>
      <c r="X1934" s="174" t="s">
        <v>82</v>
      </c>
      <c r="Y1934" s="94" t="s">
        <v>5435</v>
      </c>
      <c r="Z1934" s="18" t="s">
        <v>5738</v>
      </c>
      <c r="AA1934" s="92">
        <v>0.0</v>
      </c>
      <c r="AB1934" s="18">
        <v>0.0</v>
      </c>
      <c r="AC1934" s="18">
        <v>0.0</v>
      </c>
      <c r="AD1934" s="14">
        <v>0.0</v>
      </c>
      <c r="AE1934" s="14">
        <v>0.0</v>
      </c>
      <c r="AF1934" s="14">
        <v>0.0</v>
      </c>
      <c r="AG1934" s="22"/>
      <c r="AH1934" s="22"/>
      <c r="AI1934" s="22"/>
      <c r="AJ1934" s="22"/>
      <c r="AK1934" s="22"/>
      <c r="AL1934" s="22"/>
      <c r="AM1934" s="22"/>
      <c r="AN1934" s="22"/>
      <c r="AO1934" s="22"/>
      <c r="AP1934" s="22"/>
    </row>
    <row r="1935" hidden="1">
      <c r="A1935" s="148">
        <v>46185.0</v>
      </c>
      <c r="B1935" s="149">
        <v>0.5</v>
      </c>
      <c r="C1935" s="11" t="s">
        <v>196</v>
      </c>
      <c r="D1935" s="102" t="s">
        <v>3083</v>
      </c>
      <c r="E1935" s="10" t="s">
        <v>34</v>
      </c>
      <c r="F1935" s="10" t="s">
        <v>5623</v>
      </c>
      <c r="G1935" s="11" t="s">
        <v>5739</v>
      </c>
      <c r="H1935" s="11" t="s">
        <v>5458</v>
      </c>
      <c r="I1935" s="10" t="s">
        <v>61</v>
      </c>
      <c r="J1935" s="14">
        <v>23453.0</v>
      </c>
      <c r="K1935" s="14">
        <v>3985.0</v>
      </c>
      <c r="L1935" s="17">
        <v>0.1699</v>
      </c>
      <c r="M1935" s="150">
        <v>752.0</v>
      </c>
      <c r="N1935" s="136">
        <v>0.1887</v>
      </c>
      <c r="O1935" s="18">
        <v>22.0</v>
      </c>
      <c r="P1935" s="92">
        <v>0.0</v>
      </c>
      <c r="Q1935" s="137">
        <v>0.006</v>
      </c>
      <c r="R1935" s="17">
        <v>0.0</v>
      </c>
      <c r="S1935" s="18">
        <v>0.0</v>
      </c>
      <c r="T1935" s="18">
        <v>0.0</v>
      </c>
      <c r="U1935" s="151">
        <v>0.0</v>
      </c>
      <c r="V1935" s="92" t="s">
        <v>183</v>
      </c>
      <c r="W1935" s="18" t="s">
        <v>196</v>
      </c>
      <c r="X1935" s="174" t="s">
        <v>41</v>
      </c>
      <c r="Y1935" s="94" t="s">
        <v>5435</v>
      </c>
      <c r="Z1935" s="18" t="s">
        <v>5740</v>
      </c>
      <c r="AA1935" s="92">
        <v>2.0</v>
      </c>
      <c r="AB1935" s="18">
        <v>0.0</v>
      </c>
      <c r="AC1935" s="18">
        <v>2.0</v>
      </c>
      <c r="AD1935" s="14">
        <v>33469.0</v>
      </c>
      <c r="AE1935" s="14">
        <v>0.0</v>
      </c>
      <c r="AF1935" s="14">
        <v>33469.0</v>
      </c>
      <c r="AG1935" s="22"/>
      <c r="AH1935" s="22"/>
      <c r="AI1935" s="22"/>
      <c r="AJ1935" s="22"/>
      <c r="AK1935" s="22"/>
      <c r="AL1935" s="22"/>
      <c r="AM1935" s="22"/>
      <c r="AN1935" s="22"/>
      <c r="AO1935" s="22"/>
      <c r="AP1935" s="22"/>
    </row>
    <row r="1936" hidden="1">
      <c r="A1936" s="148">
        <v>46185.0</v>
      </c>
      <c r="B1936" s="149">
        <v>0.5034722222222222</v>
      </c>
      <c r="C1936" s="11" t="s">
        <v>196</v>
      </c>
      <c r="D1936" s="102" t="s">
        <v>3083</v>
      </c>
      <c r="E1936" s="10" t="s">
        <v>34</v>
      </c>
      <c r="F1936" s="10" t="s">
        <v>5623</v>
      </c>
      <c r="G1936" s="11" t="s">
        <v>5741</v>
      </c>
      <c r="H1936" s="11" t="s">
        <v>5462</v>
      </c>
      <c r="I1936" s="10" t="s">
        <v>61</v>
      </c>
      <c r="J1936" s="14">
        <v>16588.0</v>
      </c>
      <c r="K1936" s="14">
        <v>2504.0</v>
      </c>
      <c r="L1936" s="17">
        <v>0.151</v>
      </c>
      <c r="M1936" s="150">
        <v>491.0</v>
      </c>
      <c r="N1936" s="136">
        <v>0.1961</v>
      </c>
      <c r="O1936" s="18">
        <v>14.0</v>
      </c>
      <c r="P1936" s="92">
        <v>0.0</v>
      </c>
      <c r="Q1936" s="137">
        <v>0.0064</v>
      </c>
      <c r="R1936" s="17">
        <v>0.0</v>
      </c>
      <c r="S1936" s="18">
        <v>0.0</v>
      </c>
      <c r="T1936" s="18">
        <v>0.0</v>
      </c>
      <c r="U1936" s="151">
        <v>0.0</v>
      </c>
      <c r="V1936" s="92" t="s">
        <v>183</v>
      </c>
      <c r="W1936" s="18" t="s">
        <v>196</v>
      </c>
      <c r="X1936" s="174" t="s">
        <v>5464</v>
      </c>
      <c r="Y1936" s="94" t="s">
        <v>5435</v>
      </c>
      <c r="Z1936" s="18" t="s">
        <v>5742</v>
      </c>
      <c r="AA1936" s="92">
        <v>0.0</v>
      </c>
      <c r="AB1936" s="18">
        <v>0.0</v>
      </c>
      <c r="AC1936" s="18">
        <v>0.0</v>
      </c>
      <c r="AD1936" s="14">
        <v>0.0</v>
      </c>
      <c r="AE1936" s="14">
        <v>0.0</v>
      </c>
      <c r="AF1936" s="14">
        <v>0.0</v>
      </c>
      <c r="AG1936" s="22"/>
      <c r="AH1936" s="22"/>
      <c r="AI1936" s="22"/>
      <c r="AJ1936" s="22"/>
      <c r="AK1936" s="22"/>
      <c r="AL1936" s="22"/>
      <c r="AM1936" s="22"/>
      <c r="AN1936" s="22"/>
      <c r="AO1936" s="22"/>
      <c r="AP1936" s="22"/>
    </row>
    <row r="1937" hidden="1">
      <c r="A1937" s="148">
        <v>46185.0</v>
      </c>
      <c r="B1937" s="149">
        <v>0.5069444444444444</v>
      </c>
      <c r="C1937" s="11" t="s">
        <v>196</v>
      </c>
      <c r="D1937" s="102" t="s">
        <v>3083</v>
      </c>
      <c r="E1937" s="10" t="s">
        <v>34</v>
      </c>
      <c r="F1937" s="10" t="s">
        <v>5623</v>
      </c>
      <c r="G1937" s="11" t="s">
        <v>5743</v>
      </c>
      <c r="H1937" s="11" t="s">
        <v>5467</v>
      </c>
      <c r="I1937" s="10" t="s">
        <v>61</v>
      </c>
      <c r="J1937" s="14">
        <v>52379.0</v>
      </c>
      <c r="K1937" s="14">
        <v>8684.0</v>
      </c>
      <c r="L1937" s="17">
        <v>0.1658</v>
      </c>
      <c r="M1937" s="150">
        <v>1587.0</v>
      </c>
      <c r="N1937" s="136">
        <v>0.1827</v>
      </c>
      <c r="O1937" s="18">
        <v>41.0</v>
      </c>
      <c r="P1937" s="92">
        <v>0.0</v>
      </c>
      <c r="Q1937" s="137">
        <v>0.0052</v>
      </c>
      <c r="R1937" s="17">
        <v>0.0</v>
      </c>
      <c r="S1937" s="18">
        <v>0.0</v>
      </c>
      <c r="T1937" s="18">
        <v>0.0</v>
      </c>
      <c r="U1937" s="151">
        <v>0.0</v>
      </c>
      <c r="V1937" s="92" t="s">
        <v>183</v>
      </c>
      <c r="W1937" s="18" t="s">
        <v>196</v>
      </c>
      <c r="X1937" s="174" t="s">
        <v>69</v>
      </c>
      <c r="Y1937" s="94" t="s">
        <v>5435</v>
      </c>
      <c r="Z1937" s="18" t="s">
        <v>5744</v>
      </c>
      <c r="AA1937" s="92">
        <v>4.0</v>
      </c>
      <c r="AB1937" s="18">
        <v>0.0</v>
      </c>
      <c r="AC1937" s="18">
        <v>4.0</v>
      </c>
      <c r="AD1937" s="14">
        <v>41430.0</v>
      </c>
      <c r="AE1937" s="14">
        <v>0.0</v>
      </c>
      <c r="AF1937" s="14">
        <v>41430.0</v>
      </c>
      <c r="AG1937" s="22"/>
      <c r="AH1937" s="22"/>
      <c r="AI1937" s="22"/>
      <c r="AJ1937" s="22"/>
      <c r="AK1937" s="22"/>
      <c r="AL1937" s="22"/>
      <c r="AM1937" s="22"/>
      <c r="AN1937" s="22"/>
      <c r="AO1937" s="22"/>
      <c r="AP1937" s="22"/>
    </row>
    <row r="1938" hidden="1">
      <c r="A1938" s="148">
        <v>46185.0</v>
      </c>
      <c r="B1938" s="149">
        <v>0.5104166666666666</v>
      </c>
      <c r="C1938" s="11" t="s">
        <v>196</v>
      </c>
      <c r="D1938" s="102" t="s">
        <v>3083</v>
      </c>
      <c r="E1938" s="10" t="s">
        <v>34</v>
      </c>
      <c r="F1938" s="10" t="s">
        <v>5623</v>
      </c>
      <c r="G1938" s="11" t="s">
        <v>5745</v>
      </c>
      <c r="H1938" s="11" t="s">
        <v>5471</v>
      </c>
      <c r="I1938" s="10" t="s">
        <v>61</v>
      </c>
      <c r="J1938" s="14">
        <v>22863.0</v>
      </c>
      <c r="K1938" s="14">
        <v>3565.0</v>
      </c>
      <c r="L1938" s="17">
        <v>0.1559</v>
      </c>
      <c r="M1938" s="150">
        <v>632.0</v>
      </c>
      <c r="N1938" s="136">
        <v>0.1773</v>
      </c>
      <c r="O1938" s="18">
        <v>21.0</v>
      </c>
      <c r="P1938" s="92">
        <v>0.0</v>
      </c>
      <c r="Q1938" s="137">
        <v>0.0062</v>
      </c>
      <c r="R1938" s="17">
        <v>0.0</v>
      </c>
      <c r="S1938" s="18">
        <v>1.0</v>
      </c>
      <c r="T1938" s="18">
        <v>0.0</v>
      </c>
      <c r="U1938" s="151">
        <v>324.0</v>
      </c>
      <c r="V1938" s="92" t="s">
        <v>183</v>
      </c>
      <c r="W1938" s="18" t="s">
        <v>196</v>
      </c>
      <c r="X1938" s="174" t="s">
        <v>69</v>
      </c>
      <c r="Y1938" s="94" t="s">
        <v>5435</v>
      </c>
      <c r="Z1938" s="18" t="s">
        <v>5746</v>
      </c>
      <c r="AA1938" s="92">
        <v>0.0</v>
      </c>
      <c r="AB1938" s="18">
        <v>0.0</v>
      </c>
      <c r="AC1938" s="18">
        <v>0.0</v>
      </c>
      <c r="AD1938" s="14">
        <v>0.0</v>
      </c>
      <c r="AE1938" s="14">
        <v>0.0</v>
      </c>
      <c r="AF1938" s="14">
        <v>0.0</v>
      </c>
      <c r="AG1938" s="22"/>
      <c r="AH1938" s="22"/>
      <c r="AI1938" s="22"/>
      <c r="AJ1938" s="22"/>
      <c r="AK1938" s="22"/>
      <c r="AL1938" s="22"/>
      <c r="AM1938" s="22"/>
      <c r="AN1938" s="22"/>
      <c r="AO1938" s="22"/>
      <c r="AP1938" s="22"/>
    </row>
    <row r="1939" hidden="1">
      <c r="A1939" s="148">
        <v>46185.0</v>
      </c>
      <c r="B1939" s="149">
        <v>0.5138888888888888</v>
      </c>
      <c r="C1939" s="11" t="s">
        <v>196</v>
      </c>
      <c r="D1939" s="102" t="s">
        <v>3083</v>
      </c>
      <c r="E1939" s="10" t="s">
        <v>34</v>
      </c>
      <c r="F1939" s="10" t="s">
        <v>5623</v>
      </c>
      <c r="G1939" s="11" t="s">
        <v>5747</v>
      </c>
      <c r="H1939" s="11" t="s">
        <v>5475</v>
      </c>
      <c r="I1939" s="10" t="s">
        <v>61</v>
      </c>
      <c r="J1939" s="14">
        <v>6749.0</v>
      </c>
      <c r="K1939" s="14">
        <v>1189.0</v>
      </c>
      <c r="L1939" s="17">
        <v>0.1762</v>
      </c>
      <c r="M1939" s="150">
        <v>230.0</v>
      </c>
      <c r="N1939" s="136">
        <v>0.1943</v>
      </c>
      <c r="O1939" s="18">
        <v>14.0</v>
      </c>
      <c r="P1939" s="92">
        <v>0.0</v>
      </c>
      <c r="Q1939" s="137">
        <v>0.0126</v>
      </c>
      <c r="R1939" s="17">
        <v>0.0</v>
      </c>
      <c r="S1939" s="18">
        <v>0.0</v>
      </c>
      <c r="T1939" s="18">
        <v>0.0</v>
      </c>
      <c r="U1939" s="151">
        <v>0.0</v>
      </c>
      <c r="V1939" s="92" t="s">
        <v>183</v>
      </c>
      <c r="W1939" s="18" t="s">
        <v>196</v>
      </c>
      <c r="X1939" s="174" t="s">
        <v>2286</v>
      </c>
      <c r="Y1939" s="94" t="s">
        <v>5435</v>
      </c>
      <c r="Z1939" s="18" t="s">
        <v>5748</v>
      </c>
      <c r="AA1939" s="92">
        <v>2.0</v>
      </c>
      <c r="AB1939" s="18">
        <v>0.0</v>
      </c>
      <c r="AC1939" s="18">
        <v>2.0</v>
      </c>
      <c r="AD1939" s="14">
        <v>19579.0</v>
      </c>
      <c r="AE1939" s="14">
        <v>0.0</v>
      </c>
      <c r="AF1939" s="14">
        <v>19579.0</v>
      </c>
      <c r="AG1939" s="22"/>
      <c r="AH1939" s="22"/>
      <c r="AI1939" s="22"/>
      <c r="AJ1939" s="22"/>
      <c r="AK1939" s="22"/>
      <c r="AL1939" s="22"/>
      <c r="AM1939" s="22"/>
      <c r="AN1939" s="22"/>
      <c r="AO1939" s="22"/>
      <c r="AP1939" s="22"/>
    </row>
    <row r="1940" hidden="1">
      <c r="A1940" s="148">
        <v>46185.0</v>
      </c>
      <c r="B1940" s="149">
        <v>0.5173611111111112</v>
      </c>
      <c r="C1940" s="11" t="s">
        <v>196</v>
      </c>
      <c r="D1940" s="102" t="s">
        <v>3083</v>
      </c>
      <c r="E1940" s="10" t="s">
        <v>34</v>
      </c>
      <c r="F1940" s="10" t="s">
        <v>5623</v>
      </c>
      <c r="G1940" s="11" t="s">
        <v>5749</v>
      </c>
      <c r="H1940" s="11" t="s">
        <v>3821</v>
      </c>
      <c r="I1940" s="10" t="s">
        <v>61</v>
      </c>
      <c r="J1940" s="14">
        <v>51046.0</v>
      </c>
      <c r="K1940" s="14">
        <v>8850.0</v>
      </c>
      <c r="L1940" s="17">
        <v>0.1734</v>
      </c>
      <c r="M1940" s="150">
        <v>1647.0</v>
      </c>
      <c r="N1940" s="136">
        <v>0.1861</v>
      </c>
      <c r="O1940" s="18">
        <v>69.0</v>
      </c>
      <c r="P1940" s="92">
        <v>0.0</v>
      </c>
      <c r="Q1940" s="137">
        <v>0.0089</v>
      </c>
      <c r="R1940" s="17">
        <v>0.0</v>
      </c>
      <c r="S1940" s="18">
        <v>1.0</v>
      </c>
      <c r="T1940" s="18">
        <v>0.0</v>
      </c>
      <c r="U1940" s="151">
        <v>6998.0</v>
      </c>
      <c r="V1940" s="92" t="s">
        <v>183</v>
      </c>
      <c r="W1940" s="18" t="s">
        <v>196</v>
      </c>
      <c r="X1940" s="174" t="s">
        <v>5480</v>
      </c>
      <c r="Y1940" s="94" t="s">
        <v>5435</v>
      </c>
      <c r="Z1940" s="18" t="s">
        <v>5750</v>
      </c>
      <c r="AA1940" s="92">
        <v>0.0</v>
      </c>
      <c r="AB1940" s="18">
        <v>0.0</v>
      </c>
      <c r="AC1940" s="18">
        <v>0.0</v>
      </c>
      <c r="AD1940" s="14">
        <v>0.0</v>
      </c>
      <c r="AE1940" s="14">
        <v>0.0</v>
      </c>
      <c r="AF1940" s="14">
        <v>0.0</v>
      </c>
      <c r="AG1940" s="22"/>
      <c r="AH1940" s="22"/>
      <c r="AI1940" s="22"/>
      <c r="AJ1940" s="22"/>
      <c r="AK1940" s="22"/>
      <c r="AL1940" s="22"/>
      <c r="AM1940" s="22"/>
      <c r="AN1940" s="22"/>
      <c r="AO1940" s="22"/>
      <c r="AP1940" s="22"/>
    </row>
    <row r="1941" hidden="1">
      <c r="A1941" s="148">
        <v>46185.0</v>
      </c>
      <c r="B1941" s="149">
        <v>0.6666666666666666</v>
      </c>
      <c r="C1941" s="11" t="s">
        <v>196</v>
      </c>
      <c r="D1941" s="102" t="s">
        <v>33</v>
      </c>
      <c r="E1941" s="10" t="s">
        <v>217</v>
      </c>
      <c r="F1941" s="10" t="s">
        <v>5557</v>
      </c>
      <c r="G1941" s="11" t="s">
        <v>5751</v>
      </c>
      <c r="H1941" s="11" t="s">
        <v>5559</v>
      </c>
      <c r="I1941" s="10" t="s">
        <v>5752</v>
      </c>
      <c r="J1941" s="14">
        <v>25.0</v>
      </c>
      <c r="K1941" s="14">
        <v>9.0</v>
      </c>
      <c r="L1941" s="17">
        <v>0.36</v>
      </c>
      <c r="M1941" s="150">
        <v>2.0</v>
      </c>
      <c r="N1941" s="165">
        <v>0.2222</v>
      </c>
      <c r="O1941" s="18">
        <v>0.0</v>
      </c>
      <c r="P1941" s="92">
        <v>0.0</v>
      </c>
      <c r="Q1941" s="166">
        <v>0.0</v>
      </c>
      <c r="R1941" s="17">
        <v>0.0</v>
      </c>
      <c r="S1941" s="18">
        <v>0.0</v>
      </c>
      <c r="T1941" s="18">
        <v>0.0</v>
      </c>
      <c r="U1941" s="151">
        <v>0.0</v>
      </c>
      <c r="V1941" s="92" t="s">
        <v>183</v>
      </c>
      <c r="W1941" s="18" t="s">
        <v>196</v>
      </c>
      <c r="X1941" s="177" t="s">
        <v>111</v>
      </c>
      <c r="Y1941" s="94" t="s">
        <v>5560</v>
      </c>
      <c r="Z1941" s="18" t="s">
        <v>5753</v>
      </c>
      <c r="AA1941" s="92">
        <v>1.0</v>
      </c>
      <c r="AB1941" s="18">
        <v>0.0</v>
      </c>
      <c r="AC1941" s="18">
        <v>1.0</v>
      </c>
      <c r="AD1941" s="14">
        <v>1123.0</v>
      </c>
      <c r="AE1941" s="14">
        <v>0.0</v>
      </c>
      <c r="AF1941" s="14">
        <v>1123.0</v>
      </c>
      <c r="AG1941" s="22"/>
      <c r="AH1941" s="22"/>
      <c r="AI1941" s="22"/>
      <c r="AJ1941" s="22"/>
      <c r="AK1941" s="22"/>
      <c r="AL1941" s="22"/>
      <c r="AM1941" s="22"/>
      <c r="AN1941" s="22"/>
      <c r="AO1941" s="22"/>
      <c r="AP1941" s="22"/>
    </row>
    <row r="1942" hidden="1">
      <c r="A1942" s="148">
        <v>46185.0</v>
      </c>
      <c r="B1942" s="149">
        <v>0.6666666666666666</v>
      </c>
      <c r="C1942" s="11" t="s">
        <v>196</v>
      </c>
      <c r="D1942" s="102" t="s">
        <v>33</v>
      </c>
      <c r="E1942" s="10" t="s">
        <v>217</v>
      </c>
      <c r="F1942" s="10" t="s">
        <v>5557</v>
      </c>
      <c r="G1942" s="11" t="s">
        <v>5754</v>
      </c>
      <c r="H1942" s="11" t="s">
        <v>5563</v>
      </c>
      <c r="I1942" s="10" t="s">
        <v>5755</v>
      </c>
      <c r="J1942" s="14">
        <v>107409.0</v>
      </c>
      <c r="K1942" s="14">
        <v>52490.0</v>
      </c>
      <c r="L1942" s="17">
        <v>0.4887</v>
      </c>
      <c r="M1942" s="150">
        <v>11728.0</v>
      </c>
      <c r="N1942" s="136">
        <v>0.2234</v>
      </c>
      <c r="O1942" s="18">
        <v>0.0</v>
      </c>
      <c r="P1942" s="92">
        <v>0.0</v>
      </c>
      <c r="Q1942" s="137">
        <v>0.0</v>
      </c>
      <c r="R1942" s="17">
        <v>0.0</v>
      </c>
      <c r="S1942" s="18">
        <v>0.0</v>
      </c>
      <c r="T1942" s="18">
        <v>0.0</v>
      </c>
      <c r="U1942" s="151">
        <v>0.0</v>
      </c>
      <c r="V1942" s="92" t="s">
        <v>183</v>
      </c>
      <c r="W1942" s="18" t="s">
        <v>196</v>
      </c>
      <c r="X1942" s="174" t="s">
        <v>111</v>
      </c>
      <c r="Y1942" s="94" t="s">
        <v>5560</v>
      </c>
      <c r="Z1942" s="18" t="s">
        <v>5756</v>
      </c>
      <c r="AA1942" s="92">
        <v>396.0</v>
      </c>
      <c r="AB1942" s="18">
        <v>0.0</v>
      </c>
      <c r="AC1942" s="18">
        <v>396.0</v>
      </c>
      <c r="AD1942" s="14">
        <v>686221.0</v>
      </c>
      <c r="AE1942" s="14">
        <v>0.0</v>
      </c>
      <c r="AF1942" s="14">
        <v>686221.0</v>
      </c>
      <c r="AG1942" s="22"/>
      <c r="AH1942" s="22"/>
      <c r="AI1942" s="22"/>
      <c r="AJ1942" s="22"/>
      <c r="AK1942" s="22"/>
      <c r="AL1942" s="22"/>
      <c r="AM1942" s="22"/>
      <c r="AN1942" s="22"/>
      <c r="AO1942" s="22"/>
      <c r="AP1942" s="22"/>
    </row>
    <row r="1943" hidden="1">
      <c r="A1943" s="148">
        <v>46185.0</v>
      </c>
      <c r="B1943" s="149">
        <v>0.6666666666666666</v>
      </c>
      <c r="C1943" s="11" t="s">
        <v>196</v>
      </c>
      <c r="D1943" s="102" t="s">
        <v>33</v>
      </c>
      <c r="E1943" s="10" t="s">
        <v>217</v>
      </c>
      <c r="F1943" s="10" t="s">
        <v>5557</v>
      </c>
      <c r="G1943" s="11" t="s">
        <v>5757</v>
      </c>
      <c r="H1943" s="11" t="s">
        <v>5566</v>
      </c>
      <c r="I1943" s="10" t="s">
        <v>5758</v>
      </c>
      <c r="J1943" s="14">
        <v>56490.0</v>
      </c>
      <c r="K1943" s="14">
        <v>27279.0</v>
      </c>
      <c r="L1943" s="17">
        <v>0.4829</v>
      </c>
      <c r="M1943" s="150">
        <v>6040.0</v>
      </c>
      <c r="N1943" s="136">
        <v>0.2214</v>
      </c>
      <c r="O1943" s="18">
        <v>0.0</v>
      </c>
      <c r="P1943" s="92">
        <v>0.0</v>
      </c>
      <c r="Q1943" s="137">
        <v>0.0</v>
      </c>
      <c r="R1943" s="17">
        <v>0.0</v>
      </c>
      <c r="S1943" s="18">
        <v>0.0</v>
      </c>
      <c r="T1943" s="18">
        <v>0.0</v>
      </c>
      <c r="U1943" s="151">
        <v>0.0</v>
      </c>
      <c r="V1943" s="92" t="s">
        <v>183</v>
      </c>
      <c r="W1943" s="18" t="s">
        <v>196</v>
      </c>
      <c r="X1943" s="174" t="s">
        <v>111</v>
      </c>
      <c r="Y1943" s="94" t="s">
        <v>5560</v>
      </c>
      <c r="Z1943" s="18" t="s">
        <v>5759</v>
      </c>
      <c r="AA1943" s="92">
        <v>230.0</v>
      </c>
      <c r="AB1943" s="18">
        <v>0.0</v>
      </c>
      <c r="AC1943" s="18">
        <v>230.0</v>
      </c>
      <c r="AD1943" s="14">
        <v>336634.0</v>
      </c>
      <c r="AE1943" s="14">
        <v>0.0</v>
      </c>
      <c r="AF1943" s="14">
        <v>336634.0</v>
      </c>
      <c r="AG1943" s="22"/>
      <c r="AH1943" s="22"/>
      <c r="AI1943" s="22"/>
      <c r="AJ1943" s="22"/>
      <c r="AK1943" s="22"/>
      <c r="AL1943" s="22"/>
      <c r="AM1943" s="22"/>
      <c r="AN1943" s="22"/>
      <c r="AO1943" s="22"/>
      <c r="AP1943" s="22"/>
    </row>
    <row r="1944" hidden="1">
      <c r="A1944" s="148">
        <v>46185.0</v>
      </c>
      <c r="B1944" s="149">
        <v>0.6666666666666666</v>
      </c>
      <c r="C1944" s="11" t="s">
        <v>196</v>
      </c>
      <c r="D1944" s="102" t="s">
        <v>33</v>
      </c>
      <c r="E1944" s="10" t="s">
        <v>217</v>
      </c>
      <c r="F1944" s="10" t="s">
        <v>5557</v>
      </c>
      <c r="G1944" s="11" t="s">
        <v>5760</v>
      </c>
      <c r="H1944" s="11" t="s">
        <v>5569</v>
      </c>
      <c r="I1944" s="10" t="s">
        <v>5761</v>
      </c>
      <c r="J1944" s="14">
        <v>82440.0</v>
      </c>
      <c r="K1944" s="14">
        <v>39875.0</v>
      </c>
      <c r="L1944" s="17">
        <v>0.4837</v>
      </c>
      <c r="M1944" s="150">
        <v>8575.0</v>
      </c>
      <c r="N1944" s="136">
        <v>0.215</v>
      </c>
      <c r="O1944" s="18">
        <v>0.0</v>
      </c>
      <c r="P1944" s="92">
        <v>0.0</v>
      </c>
      <c r="Q1944" s="137">
        <v>0.0</v>
      </c>
      <c r="R1944" s="17">
        <v>0.0</v>
      </c>
      <c r="S1944" s="18">
        <v>0.0</v>
      </c>
      <c r="T1944" s="18">
        <v>0.0</v>
      </c>
      <c r="U1944" s="151">
        <v>0.0</v>
      </c>
      <c r="V1944" s="92" t="s">
        <v>183</v>
      </c>
      <c r="W1944" s="18" t="s">
        <v>196</v>
      </c>
      <c r="X1944" s="174" t="s">
        <v>111</v>
      </c>
      <c r="Y1944" s="94" t="s">
        <v>5560</v>
      </c>
      <c r="Z1944" s="18" t="s">
        <v>5762</v>
      </c>
      <c r="AA1944" s="92">
        <v>282.0</v>
      </c>
      <c r="AB1944" s="18">
        <v>0.0</v>
      </c>
      <c r="AC1944" s="18">
        <v>282.0</v>
      </c>
      <c r="AD1944" s="14">
        <v>445710.0</v>
      </c>
      <c r="AE1944" s="14">
        <v>0.0</v>
      </c>
      <c r="AF1944" s="14">
        <v>445710.0</v>
      </c>
      <c r="AG1944" s="22"/>
      <c r="AH1944" s="22"/>
      <c r="AI1944" s="22"/>
      <c r="AJ1944" s="22"/>
      <c r="AK1944" s="22"/>
      <c r="AL1944" s="22"/>
      <c r="AM1944" s="22"/>
      <c r="AN1944" s="22"/>
      <c r="AO1944" s="22"/>
      <c r="AP1944" s="22"/>
    </row>
    <row r="1945" hidden="1">
      <c r="A1945" s="148">
        <v>46185.0</v>
      </c>
      <c r="B1945" s="149">
        <v>0.6666666666666666</v>
      </c>
      <c r="C1945" s="11" t="s">
        <v>196</v>
      </c>
      <c r="D1945" s="102" t="s">
        <v>33</v>
      </c>
      <c r="E1945" s="10" t="s">
        <v>217</v>
      </c>
      <c r="F1945" s="10" t="s">
        <v>5557</v>
      </c>
      <c r="G1945" s="11" t="s">
        <v>5763</v>
      </c>
      <c r="H1945" s="11" t="s">
        <v>5572</v>
      </c>
      <c r="I1945" s="10" t="s">
        <v>5764</v>
      </c>
      <c r="J1945" s="14">
        <v>63339.0</v>
      </c>
      <c r="K1945" s="14">
        <v>29103.0</v>
      </c>
      <c r="L1945" s="17">
        <v>0.4595</v>
      </c>
      <c r="M1945" s="150">
        <v>6270.0</v>
      </c>
      <c r="N1945" s="136">
        <v>0.2154</v>
      </c>
      <c r="O1945" s="18">
        <v>0.0</v>
      </c>
      <c r="P1945" s="92">
        <v>0.0</v>
      </c>
      <c r="Q1945" s="137">
        <v>0.0</v>
      </c>
      <c r="R1945" s="17">
        <v>0.0</v>
      </c>
      <c r="S1945" s="18">
        <v>0.0</v>
      </c>
      <c r="T1945" s="18">
        <v>0.0</v>
      </c>
      <c r="U1945" s="151">
        <v>0.0</v>
      </c>
      <c r="V1945" s="92" t="s">
        <v>183</v>
      </c>
      <c r="W1945" s="18" t="s">
        <v>196</v>
      </c>
      <c r="X1945" s="174" t="s">
        <v>52</v>
      </c>
      <c r="Y1945" s="94" t="s">
        <v>5560</v>
      </c>
      <c r="Z1945" s="18" t="s">
        <v>5765</v>
      </c>
      <c r="AA1945" s="92">
        <v>176.0</v>
      </c>
      <c r="AB1945" s="18">
        <v>0.0</v>
      </c>
      <c r="AC1945" s="18">
        <v>176.0</v>
      </c>
      <c r="AD1945" s="14">
        <v>358753.0</v>
      </c>
      <c r="AE1945" s="14">
        <v>0.0</v>
      </c>
      <c r="AF1945" s="14">
        <v>358753.0</v>
      </c>
      <c r="AG1945" s="22"/>
      <c r="AH1945" s="22"/>
      <c r="AI1945" s="22"/>
      <c r="AJ1945" s="22"/>
      <c r="AK1945" s="22"/>
      <c r="AL1945" s="22"/>
      <c r="AM1945" s="22"/>
      <c r="AN1945" s="22"/>
      <c r="AO1945" s="22"/>
      <c r="AP1945" s="22"/>
    </row>
    <row r="1946" hidden="1">
      <c r="A1946" s="148">
        <v>46192.0</v>
      </c>
      <c r="B1946" s="149">
        <v>0.3541666666666667</v>
      </c>
      <c r="C1946" s="11" t="s">
        <v>32</v>
      </c>
      <c r="D1946" s="102" t="s">
        <v>33</v>
      </c>
      <c r="E1946" s="10" t="s">
        <v>179</v>
      </c>
      <c r="F1946" s="10" t="s">
        <v>5766</v>
      </c>
      <c r="G1946" s="11" t="s">
        <v>5767</v>
      </c>
      <c r="H1946" s="11" t="s">
        <v>2409</v>
      </c>
      <c r="I1946" s="10" t="s">
        <v>1845</v>
      </c>
      <c r="J1946" s="14">
        <v>39043.0</v>
      </c>
      <c r="K1946" s="14">
        <v>23119.0</v>
      </c>
      <c r="L1946" s="17">
        <v>0.5915</v>
      </c>
      <c r="M1946" s="150">
        <v>5388.0</v>
      </c>
      <c r="N1946" s="136">
        <v>0.2302</v>
      </c>
      <c r="O1946" s="18">
        <v>0.0</v>
      </c>
      <c r="P1946" s="92">
        <v>0.0</v>
      </c>
      <c r="Q1946" s="137">
        <v>0.0</v>
      </c>
      <c r="R1946" s="17">
        <v>0.0</v>
      </c>
      <c r="S1946" s="18">
        <v>102.0</v>
      </c>
      <c r="T1946" s="18">
        <v>0.0</v>
      </c>
      <c r="U1946" s="151">
        <v>961734.0</v>
      </c>
      <c r="V1946" s="92" t="s">
        <v>315</v>
      </c>
      <c r="W1946" s="18" t="s">
        <v>76</v>
      </c>
      <c r="X1946" s="174" t="s">
        <v>3282</v>
      </c>
      <c r="Y1946" s="94" t="s">
        <v>5768</v>
      </c>
      <c r="Z1946" s="18" t="s">
        <v>5769</v>
      </c>
      <c r="AA1946" s="92">
        <v>159.0</v>
      </c>
      <c r="AB1946" s="18"/>
      <c r="AC1946" s="18">
        <v>159.0</v>
      </c>
      <c r="AD1946" s="14">
        <v>1648105.0</v>
      </c>
      <c r="AE1946" s="14"/>
      <c r="AF1946" s="14">
        <v>1648105.0</v>
      </c>
      <c r="AG1946" s="22"/>
      <c r="AH1946" s="22"/>
      <c r="AI1946" s="22"/>
      <c r="AJ1946" s="22"/>
      <c r="AK1946" s="22"/>
      <c r="AL1946" s="22"/>
      <c r="AM1946" s="22"/>
      <c r="AN1946" s="22"/>
      <c r="AO1946" s="22"/>
      <c r="AP1946" s="22"/>
    </row>
    <row r="1947" hidden="1">
      <c r="A1947" s="148">
        <v>46192.0</v>
      </c>
      <c r="B1947" s="149">
        <v>0.3576388888888889</v>
      </c>
      <c r="C1947" s="11" t="s">
        <v>32</v>
      </c>
      <c r="D1947" s="102" t="s">
        <v>33</v>
      </c>
      <c r="E1947" s="10" t="s">
        <v>179</v>
      </c>
      <c r="F1947" s="10" t="s">
        <v>5766</v>
      </c>
      <c r="G1947" s="11" t="s">
        <v>5770</v>
      </c>
      <c r="H1947" s="11" t="s">
        <v>2406</v>
      </c>
      <c r="I1947" s="10" t="s">
        <v>1821</v>
      </c>
      <c r="J1947" s="14">
        <v>17673.0</v>
      </c>
      <c r="K1947" s="14">
        <v>11195.0</v>
      </c>
      <c r="L1947" s="17">
        <v>0.6329</v>
      </c>
      <c r="M1947" s="150">
        <v>3003.0</v>
      </c>
      <c r="N1947" s="136">
        <v>0.265</v>
      </c>
      <c r="O1947" s="18">
        <v>0.0</v>
      </c>
      <c r="P1947" s="92">
        <v>0.0</v>
      </c>
      <c r="Q1947" s="137">
        <v>0.0</v>
      </c>
      <c r="R1947" s="17">
        <v>0.0</v>
      </c>
      <c r="S1947" s="18">
        <v>39.0</v>
      </c>
      <c r="T1947" s="18">
        <v>0.0</v>
      </c>
      <c r="U1947" s="151">
        <v>170643.0</v>
      </c>
      <c r="V1947" s="92" t="s">
        <v>315</v>
      </c>
      <c r="W1947" s="18" t="s">
        <v>76</v>
      </c>
      <c r="X1947" s="174" t="s">
        <v>3282</v>
      </c>
      <c r="Y1947" s="94" t="s">
        <v>5768</v>
      </c>
      <c r="Z1947" s="18" t="s">
        <v>5771</v>
      </c>
      <c r="AA1947" s="92">
        <v>63.0</v>
      </c>
      <c r="AB1947" s="18"/>
      <c r="AC1947" s="18">
        <v>63.0</v>
      </c>
      <c r="AD1947" s="14">
        <v>268952.0</v>
      </c>
      <c r="AE1947" s="14"/>
      <c r="AF1947" s="14">
        <v>268952.0</v>
      </c>
      <c r="AG1947" s="22"/>
      <c r="AH1947" s="22"/>
      <c r="AI1947" s="22"/>
      <c r="AJ1947" s="22"/>
      <c r="AK1947" s="22"/>
      <c r="AL1947" s="22"/>
      <c r="AM1947" s="22"/>
      <c r="AN1947" s="22"/>
      <c r="AO1947" s="22"/>
      <c r="AP1947" s="22"/>
    </row>
    <row r="1948" hidden="1">
      <c r="A1948" s="148">
        <v>46192.0</v>
      </c>
      <c r="B1948" s="149">
        <v>0.3611111111111111</v>
      </c>
      <c r="C1948" s="11" t="s">
        <v>32</v>
      </c>
      <c r="D1948" s="102" t="s">
        <v>33</v>
      </c>
      <c r="E1948" s="10" t="s">
        <v>179</v>
      </c>
      <c r="F1948" s="10" t="s">
        <v>5766</v>
      </c>
      <c r="G1948" s="11" t="s">
        <v>5772</v>
      </c>
      <c r="H1948" s="11" t="s">
        <v>2378</v>
      </c>
      <c r="I1948" s="10" t="s">
        <v>1805</v>
      </c>
      <c r="J1948" s="14">
        <v>36254.0</v>
      </c>
      <c r="K1948" s="14">
        <v>20706.0</v>
      </c>
      <c r="L1948" s="17">
        <v>0.5704</v>
      </c>
      <c r="M1948" s="150">
        <v>4459.0</v>
      </c>
      <c r="N1948" s="136">
        <v>0.2132</v>
      </c>
      <c r="O1948" s="18">
        <v>0.0</v>
      </c>
      <c r="P1948" s="92">
        <v>0.0</v>
      </c>
      <c r="Q1948" s="137">
        <v>0.0</v>
      </c>
      <c r="R1948" s="17">
        <v>0.0</v>
      </c>
      <c r="S1948" s="18">
        <v>125.0</v>
      </c>
      <c r="T1948" s="18">
        <v>0.0</v>
      </c>
      <c r="U1948" s="151">
        <v>878914.0</v>
      </c>
      <c r="V1948" s="92" t="s">
        <v>315</v>
      </c>
      <c r="W1948" s="18" t="s">
        <v>76</v>
      </c>
      <c r="X1948" s="174" t="s">
        <v>3282</v>
      </c>
      <c r="Y1948" s="94" t="s">
        <v>5768</v>
      </c>
      <c r="Z1948" s="18" t="s">
        <v>5773</v>
      </c>
      <c r="AA1948" s="92">
        <v>188.0</v>
      </c>
      <c r="AB1948" s="18"/>
      <c r="AC1948" s="18">
        <v>188.0</v>
      </c>
      <c r="AD1948" s="14">
        <v>1453857.0</v>
      </c>
      <c r="AE1948" s="14"/>
      <c r="AF1948" s="14">
        <v>1453857.0</v>
      </c>
      <c r="AG1948" s="22"/>
      <c r="AH1948" s="22"/>
      <c r="AI1948" s="22"/>
      <c r="AJ1948" s="22"/>
      <c r="AK1948" s="22"/>
      <c r="AL1948" s="22"/>
      <c r="AM1948" s="22"/>
      <c r="AN1948" s="22"/>
      <c r="AO1948" s="22"/>
      <c r="AP1948" s="22"/>
    </row>
    <row r="1949" hidden="1">
      <c r="A1949" s="148">
        <v>46192.0</v>
      </c>
      <c r="B1949" s="149">
        <v>0.3645833333333333</v>
      </c>
      <c r="C1949" s="11" t="s">
        <v>32</v>
      </c>
      <c r="D1949" s="102" t="s">
        <v>33</v>
      </c>
      <c r="E1949" s="10" t="s">
        <v>179</v>
      </c>
      <c r="F1949" s="10" t="s">
        <v>5766</v>
      </c>
      <c r="G1949" s="11" t="s">
        <v>5774</v>
      </c>
      <c r="H1949" s="11" t="s">
        <v>2384</v>
      </c>
      <c r="I1949" s="10" t="s">
        <v>1825</v>
      </c>
      <c r="J1949" s="14">
        <v>34828.0</v>
      </c>
      <c r="K1949" s="14">
        <v>20282.0</v>
      </c>
      <c r="L1949" s="17">
        <v>0.5819</v>
      </c>
      <c r="M1949" s="150">
        <v>4512.0</v>
      </c>
      <c r="N1949" s="136">
        <v>0.2192</v>
      </c>
      <c r="O1949" s="18">
        <v>0.0</v>
      </c>
      <c r="P1949" s="92">
        <v>0.0</v>
      </c>
      <c r="Q1949" s="137">
        <v>0.0</v>
      </c>
      <c r="R1949" s="17">
        <v>0.0</v>
      </c>
      <c r="S1949" s="18">
        <v>114.0</v>
      </c>
      <c r="T1949" s="18">
        <v>0.0</v>
      </c>
      <c r="U1949" s="151">
        <v>1051988.0</v>
      </c>
      <c r="V1949" s="92" t="s">
        <v>315</v>
      </c>
      <c r="W1949" s="18" t="s">
        <v>76</v>
      </c>
      <c r="X1949" s="174" t="s">
        <v>3282</v>
      </c>
      <c r="Y1949" s="94" t="s">
        <v>5768</v>
      </c>
      <c r="Z1949" s="18" t="s">
        <v>5775</v>
      </c>
      <c r="AA1949" s="92">
        <v>178.0</v>
      </c>
      <c r="AB1949" s="18"/>
      <c r="AC1949" s="18">
        <v>178.0</v>
      </c>
      <c r="AD1949" s="14">
        <v>1429452.0</v>
      </c>
      <c r="AE1949" s="14"/>
      <c r="AF1949" s="14">
        <v>1429452.0</v>
      </c>
      <c r="AG1949" s="22"/>
      <c r="AH1949" s="22"/>
      <c r="AI1949" s="22"/>
      <c r="AJ1949" s="22"/>
      <c r="AK1949" s="22"/>
      <c r="AL1949" s="22"/>
      <c r="AM1949" s="22"/>
      <c r="AN1949" s="22"/>
      <c r="AO1949" s="22"/>
      <c r="AP1949" s="22"/>
    </row>
    <row r="1950" hidden="1">
      <c r="A1950" s="148">
        <v>46192.0</v>
      </c>
      <c r="B1950" s="149">
        <v>0.3680555555555556</v>
      </c>
      <c r="C1950" s="11" t="s">
        <v>32</v>
      </c>
      <c r="D1950" s="102" t="s">
        <v>33</v>
      </c>
      <c r="E1950" s="10" t="s">
        <v>179</v>
      </c>
      <c r="F1950" s="10" t="s">
        <v>5766</v>
      </c>
      <c r="G1950" s="11" t="s">
        <v>5776</v>
      </c>
      <c r="H1950" s="11" t="s">
        <v>2400</v>
      </c>
      <c r="I1950" s="10" t="s">
        <v>1841</v>
      </c>
      <c r="J1950" s="14">
        <v>27739.0</v>
      </c>
      <c r="K1950" s="14">
        <v>16565.0</v>
      </c>
      <c r="L1950" s="17">
        <v>0.5965</v>
      </c>
      <c r="M1950" s="150">
        <v>4097.0</v>
      </c>
      <c r="N1950" s="136">
        <v>0.2454</v>
      </c>
      <c r="O1950" s="18">
        <v>0.0</v>
      </c>
      <c r="P1950" s="92">
        <v>0.0</v>
      </c>
      <c r="Q1950" s="137">
        <v>0.0</v>
      </c>
      <c r="R1950" s="17">
        <v>0.0</v>
      </c>
      <c r="S1950" s="18">
        <v>75.0</v>
      </c>
      <c r="T1950" s="18">
        <v>0.0</v>
      </c>
      <c r="U1950" s="151">
        <v>549086.0</v>
      </c>
      <c r="V1950" s="92" t="s">
        <v>315</v>
      </c>
      <c r="W1950" s="18" t="s">
        <v>76</v>
      </c>
      <c r="X1950" s="174" t="s">
        <v>3282</v>
      </c>
      <c r="Y1950" s="94" t="s">
        <v>5768</v>
      </c>
      <c r="Z1950" s="18" t="s">
        <v>5777</v>
      </c>
      <c r="AA1950" s="92">
        <v>110.0</v>
      </c>
      <c r="AB1950" s="18"/>
      <c r="AC1950" s="18">
        <v>110.0</v>
      </c>
      <c r="AD1950" s="14">
        <v>712393.0</v>
      </c>
      <c r="AE1950" s="14"/>
      <c r="AF1950" s="14">
        <v>712393.0</v>
      </c>
      <c r="AG1950" s="22"/>
      <c r="AH1950" s="22"/>
      <c r="AI1950" s="22"/>
      <c r="AJ1950" s="22"/>
      <c r="AK1950" s="22"/>
      <c r="AL1950" s="22"/>
      <c r="AM1950" s="22"/>
      <c r="AN1950" s="22"/>
      <c r="AO1950" s="22"/>
      <c r="AP1950" s="22"/>
    </row>
    <row r="1951" hidden="1">
      <c r="A1951" s="148">
        <v>46192.0</v>
      </c>
      <c r="B1951" s="149">
        <v>0.3715277777777778</v>
      </c>
      <c r="C1951" s="11" t="s">
        <v>32</v>
      </c>
      <c r="D1951" s="102" t="s">
        <v>33</v>
      </c>
      <c r="E1951" s="10" t="s">
        <v>179</v>
      </c>
      <c r="F1951" s="10" t="s">
        <v>5766</v>
      </c>
      <c r="G1951" s="11" t="s">
        <v>5778</v>
      </c>
      <c r="H1951" s="11" t="s">
        <v>2403</v>
      </c>
      <c r="I1951" s="10" t="s">
        <v>1817</v>
      </c>
      <c r="J1951" s="14">
        <v>8469.0</v>
      </c>
      <c r="K1951" s="14">
        <v>5308.0</v>
      </c>
      <c r="L1951" s="17">
        <v>0.6258</v>
      </c>
      <c r="M1951" s="150">
        <v>1223.0</v>
      </c>
      <c r="N1951" s="136">
        <v>0.2277</v>
      </c>
      <c r="O1951" s="18">
        <v>0.0</v>
      </c>
      <c r="P1951" s="92">
        <v>0.0</v>
      </c>
      <c r="Q1951" s="137">
        <v>0.0</v>
      </c>
      <c r="R1951" s="17">
        <v>0.0</v>
      </c>
      <c r="S1951" s="18">
        <v>14.0</v>
      </c>
      <c r="T1951" s="18">
        <v>0.0</v>
      </c>
      <c r="U1951" s="151">
        <v>82187.0</v>
      </c>
      <c r="V1951" s="92" t="s">
        <v>315</v>
      </c>
      <c r="W1951" s="18" t="s">
        <v>76</v>
      </c>
      <c r="X1951" s="174" t="s">
        <v>3282</v>
      </c>
      <c r="Y1951" s="94" t="s">
        <v>5768</v>
      </c>
      <c r="Z1951" s="18" t="s">
        <v>5779</v>
      </c>
      <c r="AA1951" s="92">
        <v>30.0</v>
      </c>
      <c r="AB1951" s="18"/>
      <c r="AC1951" s="18">
        <v>30.0</v>
      </c>
      <c r="AD1951" s="14">
        <v>216238.0</v>
      </c>
      <c r="AE1951" s="14"/>
      <c r="AF1951" s="14">
        <v>216238.0</v>
      </c>
      <c r="AG1951" s="22"/>
      <c r="AH1951" s="22"/>
      <c r="AI1951" s="22"/>
      <c r="AJ1951" s="22"/>
      <c r="AK1951" s="22"/>
      <c r="AL1951" s="22"/>
      <c r="AM1951" s="22"/>
      <c r="AN1951" s="22"/>
      <c r="AO1951" s="22"/>
      <c r="AP1951" s="22"/>
    </row>
    <row r="1952" hidden="1">
      <c r="A1952" s="148">
        <v>46192.0</v>
      </c>
      <c r="B1952" s="149">
        <v>0.375</v>
      </c>
      <c r="C1952" s="11" t="s">
        <v>32</v>
      </c>
      <c r="D1952" s="102" t="s">
        <v>33</v>
      </c>
      <c r="E1952" s="10" t="s">
        <v>179</v>
      </c>
      <c r="F1952" s="10" t="s">
        <v>5766</v>
      </c>
      <c r="G1952" s="11" t="s">
        <v>5780</v>
      </c>
      <c r="H1952" s="11" t="s">
        <v>2381</v>
      </c>
      <c r="I1952" s="10" t="s">
        <v>1813</v>
      </c>
      <c r="J1952" s="14">
        <v>17821.0</v>
      </c>
      <c r="K1952" s="14">
        <v>10899.0</v>
      </c>
      <c r="L1952" s="17">
        <v>0.6105</v>
      </c>
      <c r="M1952" s="150">
        <v>2920.0</v>
      </c>
      <c r="N1952" s="136">
        <v>0.2641</v>
      </c>
      <c r="O1952" s="18">
        <v>0.0</v>
      </c>
      <c r="P1952" s="92">
        <v>0.0</v>
      </c>
      <c r="Q1952" s="137">
        <v>0.0</v>
      </c>
      <c r="R1952" s="17">
        <v>0.0</v>
      </c>
      <c r="S1952" s="18">
        <v>45.0</v>
      </c>
      <c r="T1952" s="18">
        <v>0.0</v>
      </c>
      <c r="U1952" s="151">
        <v>247457.0</v>
      </c>
      <c r="V1952" s="92" t="s">
        <v>315</v>
      </c>
      <c r="W1952" s="18" t="s">
        <v>76</v>
      </c>
      <c r="X1952" s="174" t="s">
        <v>3282</v>
      </c>
      <c r="Y1952" s="94" t="s">
        <v>5768</v>
      </c>
      <c r="Z1952" s="18" t="s">
        <v>5781</v>
      </c>
      <c r="AA1952" s="92">
        <v>85.0</v>
      </c>
      <c r="AB1952" s="18"/>
      <c r="AC1952" s="18">
        <v>85.0</v>
      </c>
      <c r="AD1952" s="14">
        <v>555250.0</v>
      </c>
      <c r="AE1952" s="14"/>
      <c r="AF1952" s="14">
        <v>555250.0</v>
      </c>
      <c r="AG1952" s="22"/>
      <c r="AH1952" s="22"/>
      <c r="AI1952" s="22"/>
      <c r="AJ1952" s="22"/>
      <c r="AK1952" s="22"/>
      <c r="AL1952" s="22"/>
      <c r="AM1952" s="22"/>
      <c r="AN1952" s="22"/>
      <c r="AO1952" s="22"/>
      <c r="AP1952" s="22"/>
    </row>
    <row r="1953" hidden="1">
      <c r="A1953" s="148">
        <v>46192.0</v>
      </c>
      <c r="B1953" s="149">
        <v>0.3784722222222222</v>
      </c>
      <c r="C1953" s="11" t="s">
        <v>32</v>
      </c>
      <c r="D1953" s="102" t="s">
        <v>33</v>
      </c>
      <c r="E1953" s="10" t="s">
        <v>179</v>
      </c>
      <c r="F1953" s="10" t="s">
        <v>5766</v>
      </c>
      <c r="G1953" s="11" t="s">
        <v>5782</v>
      </c>
      <c r="H1953" s="11" t="s">
        <v>2387</v>
      </c>
      <c r="I1953" s="10" t="s">
        <v>1833</v>
      </c>
      <c r="J1953" s="14">
        <v>2049.0</v>
      </c>
      <c r="K1953" s="14">
        <v>1019.0</v>
      </c>
      <c r="L1953" s="17">
        <v>0.4968</v>
      </c>
      <c r="M1953" s="150">
        <v>276.0</v>
      </c>
      <c r="N1953" s="136">
        <v>0.2672</v>
      </c>
      <c r="O1953" s="18">
        <v>0.0</v>
      </c>
      <c r="P1953" s="92">
        <v>0.0</v>
      </c>
      <c r="Q1953" s="137">
        <v>0.0</v>
      </c>
      <c r="R1953" s="17">
        <v>0.0</v>
      </c>
      <c r="S1953" s="18">
        <v>4.0</v>
      </c>
      <c r="T1953" s="18">
        <v>0.0</v>
      </c>
      <c r="U1953" s="151">
        <v>32194.0</v>
      </c>
      <c r="V1953" s="92" t="s">
        <v>315</v>
      </c>
      <c r="W1953" s="18" t="s">
        <v>76</v>
      </c>
      <c r="X1953" s="174" t="s">
        <v>3282</v>
      </c>
      <c r="Y1953" s="94" t="s">
        <v>5768</v>
      </c>
      <c r="Z1953" s="18" t="s">
        <v>5783</v>
      </c>
      <c r="AA1953" s="92">
        <v>9.0</v>
      </c>
      <c r="AB1953" s="18"/>
      <c r="AC1953" s="18">
        <v>9.0</v>
      </c>
      <c r="AD1953" s="14">
        <v>112475.0</v>
      </c>
      <c r="AE1953" s="14"/>
      <c r="AF1953" s="14">
        <v>112475.0</v>
      </c>
      <c r="AG1953" s="22"/>
      <c r="AH1953" s="22"/>
      <c r="AI1953" s="22"/>
      <c r="AJ1953" s="22"/>
      <c r="AK1953" s="22"/>
      <c r="AL1953" s="22"/>
      <c r="AM1953" s="22"/>
      <c r="AN1953" s="22"/>
      <c r="AO1953" s="22"/>
      <c r="AP1953" s="22"/>
    </row>
    <row r="1954" hidden="1">
      <c r="A1954" s="148">
        <v>46192.0</v>
      </c>
      <c r="B1954" s="149">
        <v>0.3819444444444444</v>
      </c>
      <c r="C1954" s="11" t="s">
        <v>32</v>
      </c>
      <c r="D1954" s="102" t="s">
        <v>33</v>
      </c>
      <c r="E1954" s="10" t="s">
        <v>179</v>
      </c>
      <c r="F1954" s="10" t="s">
        <v>5766</v>
      </c>
      <c r="G1954" s="11" t="s">
        <v>5784</v>
      </c>
      <c r="H1954" s="11" t="s">
        <v>2390</v>
      </c>
      <c r="I1954" s="10" t="s">
        <v>1829</v>
      </c>
      <c r="J1954" s="14">
        <v>2500.0</v>
      </c>
      <c r="K1954" s="14">
        <v>1524.0</v>
      </c>
      <c r="L1954" s="17">
        <v>0.6084</v>
      </c>
      <c r="M1954" s="150">
        <v>434.0</v>
      </c>
      <c r="N1954" s="136">
        <v>0.2774</v>
      </c>
      <c r="O1954" s="18">
        <v>0.0</v>
      </c>
      <c r="P1954" s="92">
        <v>0.0</v>
      </c>
      <c r="Q1954" s="137">
        <v>0.0</v>
      </c>
      <c r="R1954" s="17">
        <v>0.0</v>
      </c>
      <c r="S1954" s="18">
        <v>5.0</v>
      </c>
      <c r="T1954" s="18">
        <v>0.0</v>
      </c>
      <c r="U1954" s="151">
        <v>38443.0</v>
      </c>
      <c r="V1954" s="92" t="s">
        <v>315</v>
      </c>
      <c r="W1954" s="18" t="s">
        <v>76</v>
      </c>
      <c r="X1954" s="174" t="s">
        <v>3282</v>
      </c>
      <c r="Y1954" s="94" t="s">
        <v>5768</v>
      </c>
      <c r="Z1954" s="18" t="s">
        <v>5785</v>
      </c>
      <c r="AA1954" s="92">
        <v>8.0</v>
      </c>
      <c r="AB1954" s="18"/>
      <c r="AC1954" s="18">
        <v>8.0</v>
      </c>
      <c r="AD1954" s="14">
        <v>46437.0</v>
      </c>
      <c r="AE1954" s="14"/>
      <c r="AF1954" s="14">
        <v>46437.0</v>
      </c>
      <c r="AG1954" s="22"/>
      <c r="AH1954" s="22"/>
      <c r="AI1954" s="22"/>
      <c r="AJ1954" s="22"/>
      <c r="AK1954" s="22"/>
      <c r="AL1954" s="22"/>
      <c r="AM1954" s="22"/>
      <c r="AN1954" s="22"/>
      <c r="AO1954" s="22"/>
      <c r="AP1954" s="22"/>
    </row>
    <row r="1955" hidden="1">
      <c r="A1955" s="148">
        <v>46192.0</v>
      </c>
      <c r="B1955" s="149">
        <v>0.3854166666666667</v>
      </c>
      <c r="C1955" s="11" t="s">
        <v>32</v>
      </c>
      <c r="D1955" s="102" t="s">
        <v>33</v>
      </c>
      <c r="E1955" s="10" t="s">
        <v>179</v>
      </c>
      <c r="F1955" s="10" t="s">
        <v>5766</v>
      </c>
      <c r="G1955" s="11" t="s">
        <v>5786</v>
      </c>
      <c r="H1955" s="11" t="s">
        <v>2373</v>
      </c>
      <c r="I1955" s="10" t="s">
        <v>1801</v>
      </c>
      <c r="J1955" s="14">
        <v>17116.0</v>
      </c>
      <c r="K1955" s="14">
        <v>10613.0</v>
      </c>
      <c r="L1955" s="17">
        <v>0.6196</v>
      </c>
      <c r="M1955" s="150">
        <v>2873.0</v>
      </c>
      <c r="N1955" s="136">
        <v>0.2668</v>
      </c>
      <c r="O1955" s="18">
        <v>0.0</v>
      </c>
      <c r="P1955" s="92">
        <v>0.0</v>
      </c>
      <c r="Q1955" s="137">
        <v>0.0</v>
      </c>
      <c r="R1955" s="17">
        <v>0.0</v>
      </c>
      <c r="S1955" s="18">
        <v>22.0</v>
      </c>
      <c r="T1955" s="18">
        <v>0.0</v>
      </c>
      <c r="U1955" s="151">
        <v>84410.0</v>
      </c>
      <c r="V1955" s="92" t="s">
        <v>315</v>
      </c>
      <c r="W1955" s="18" t="s">
        <v>76</v>
      </c>
      <c r="X1955" s="174" t="s">
        <v>3282</v>
      </c>
      <c r="Y1955" s="94" t="s">
        <v>5768</v>
      </c>
      <c r="Z1955" s="18" t="s">
        <v>5787</v>
      </c>
      <c r="AA1955" s="92">
        <v>40.0</v>
      </c>
      <c r="AB1955" s="18"/>
      <c r="AC1955" s="18">
        <v>40.0</v>
      </c>
      <c r="AD1955" s="14">
        <v>154009.0</v>
      </c>
      <c r="AE1955" s="14"/>
      <c r="AF1955" s="14">
        <v>154009.0</v>
      </c>
      <c r="AG1955" s="22"/>
      <c r="AH1955" s="22"/>
      <c r="AI1955" s="22"/>
      <c r="AJ1955" s="22"/>
      <c r="AK1955" s="22"/>
      <c r="AL1955" s="22"/>
      <c r="AM1955" s="22"/>
      <c r="AN1955" s="22"/>
      <c r="AO1955" s="22"/>
      <c r="AP1955" s="22"/>
    </row>
    <row r="1956" hidden="1">
      <c r="A1956" s="148">
        <v>46192.0</v>
      </c>
      <c r="B1956" s="149">
        <v>0.3888888888888889</v>
      </c>
      <c r="C1956" s="11" t="s">
        <v>32</v>
      </c>
      <c r="D1956" s="102" t="s">
        <v>33</v>
      </c>
      <c r="E1956" s="10" t="s">
        <v>179</v>
      </c>
      <c r="F1956" s="10" t="s">
        <v>5766</v>
      </c>
      <c r="G1956" s="11" t="s">
        <v>5788</v>
      </c>
      <c r="H1956" s="11" t="s">
        <v>2397</v>
      </c>
      <c r="I1956" s="10" t="s">
        <v>1837</v>
      </c>
      <c r="J1956" s="14">
        <v>4354.0</v>
      </c>
      <c r="K1956" s="14">
        <v>2805.0</v>
      </c>
      <c r="L1956" s="17">
        <v>0.6438</v>
      </c>
      <c r="M1956" s="150">
        <v>772.0</v>
      </c>
      <c r="N1956" s="136">
        <v>0.2722</v>
      </c>
      <c r="O1956" s="18">
        <v>0.0</v>
      </c>
      <c r="P1956" s="92">
        <v>0.0</v>
      </c>
      <c r="Q1956" s="137">
        <v>0.0</v>
      </c>
      <c r="R1956" s="17">
        <v>0.0</v>
      </c>
      <c r="S1956" s="18">
        <v>9.0</v>
      </c>
      <c r="T1956" s="18">
        <v>0.0</v>
      </c>
      <c r="U1956" s="151">
        <v>34858.0</v>
      </c>
      <c r="V1956" s="92" t="s">
        <v>315</v>
      </c>
      <c r="W1956" s="18" t="s">
        <v>76</v>
      </c>
      <c r="X1956" s="174" t="s">
        <v>3282</v>
      </c>
      <c r="Y1956" s="94" t="s">
        <v>5768</v>
      </c>
      <c r="Z1956" s="18" t="s">
        <v>5789</v>
      </c>
      <c r="AA1956" s="92">
        <v>13.0</v>
      </c>
      <c r="AB1956" s="18"/>
      <c r="AC1956" s="18">
        <v>13.0</v>
      </c>
      <c r="AD1956" s="14">
        <v>49853.0</v>
      </c>
      <c r="AE1956" s="14"/>
      <c r="AF1956" s="14">
        <v>49853.0</v>
      </c>
      <c r="AG1956" s="22"/>
      <c r="AH1956" s="22"/>
      <c r="AI1956" s="22"/>
      <c r="AJ1956" s="22"/>
      <c r="AK1956" s="22"/>
      <c r="AL1956" s="22"/>
      <c r="AM1956" s="22"/>
      <c r="AN1956" s="22"/>
      <c r="AO1956" s="22"/>
      <c r="AP1956" s="22"/>
    </row>
    <row r="1957" hidden="1">
      <c r="A1957" s="148">
        <v>46192.0</v>
      </c>
      <c r="B1957" s="149">
        <v>0.3923611111111111</v>
      </c>
      <c r="C1957" s="11" t="s">
        <v>32</v>
      </c>
      <c r="D1957" s="102" t="s">
        <v>33</v>
      </c>
      <c r="E1957" s="10" t="s">
        <v>179</v>
      </c>
      <c r="F1957" s="10" t="s">
        <v>5766</v>
      </c>
      <c r="G1957" s="11" t="s">
        <v>5790</v>
      </c>
      <c r="H1957" s="11" t="s">
        <v>2393</v>
      </c>
      <c r="I1957" s="10" t="s">
        <v>2394</v>
      </c>
      <c r="J1957" s="14">
        <v>6527.0</v>
      </c>
      <c r="K1957" s="14">
        <v>4204.0</v>
      </c>
      <c r="L1957" s="17">
        <v>0.6433</v>
      </c>
      <c r="M1957" s="150">
        <v>1165.0</v>
      </c>
      <c r="N1957" s="136">
        <v>0.2736</v>
      </c>
      <c r="O1957" s="18">
        <v>0.0</v>
      </c>
      <c r="P1957" s="92">
        <v>0.0</v>
      </c>
      <c r="Q1957" s="137">
        <v>0.0</v>
      </c>
      <c r="R1957" s="17">
        <v>0.0</v>
      </c>
      <c r="S1957" s="18">
        <v>11.0</v>
      </c>
      <c r="T1957" s="18">
        <v>0.0</v>
      </c>
      <c r="U1957" s="151">
        <v>25885.0</v>
      </c>
      <c r="V1957" s="92" t="s">
        <v>315</v>
      </c>
      <c r="W1957" s="18" t="s">
        <v>76</v>
      </c>
      <c r="X1957" s="174" t="s">
        <v>3282</v>
      </c>
      <c r="Y1957" s="94" t="s">
        <v>5768</v>
      </c>
      <c r="Z1957" s="18" t="s">
        <v>5791</v>
      </c>
      <c r="AA1957" s="92">
        <v>15.0</v>
      </c>
      <c r="AB1957" s="18"/>
      <c r="AC1957" s="18">
        <v>15.0</v>
      </c>
      <c r="AD1957" s="14">
        <v>36839.0</v>
      </c>
      <c r="AE1957" s="14"/>
      <c r="AF1957" s="14">
        <v>36839.0</v>
      </c>
      <c r="AG1957" s="22"/>
      <c r="AH1957" s="22"/>
      <c r="AI1957" s="22"/>
      <c r="AJ1957" s="22"/>
      <c r="AK1957" s="22"/>
      <c r="AL1957" s="22"/>
      <c r="AM1957" s="22"/>
      <c r="AN1957" s="22"/>
      <c r="AO1957" s="22"/>
      <c r="AP1957" s="22"/>
    </row>
    <row r="1958" hidden="1">
      <c r="A1958" s="148">
        <v>46190.0</v>
      </c>
      <c r="B1958" s="149">
        <v>0.6666666666666666</v>
      </c>
      <c r="C1958" s="11" t="s">
        <v>32</v>
      </c>
      <c r="D1958" s="102" t="s">
        <v>33</v>
      </c>
      <c r="E1958" s="10" t="s">
        <v>106</v>
      </c>
      <c r="F1958" s="10" t="s">
        <v>5792</v>
      </c>
      <c r="G1958" s="11" t="s">
        <v>5793</v>
      </c>
      <c r="H1958" s="11" t="s">
        <v>5794</v>
      </c>
      <c r="I1958" s="10" t="s">
        <v>5795</v>
      </c>
      <c r="J1958" s="14">
        <v>64657.0</v>
      </c>
      <c r="K1958" s="14">
        <v>23177.0</v>
      </c>
      <c r="L1958" s="17">
        <v>0.3584</v>
      </c>
      <c r="M1958" s="150">
        <v>7885.0</v>
      </c>
      <c r="N1958" s="165">
        <v>0.3401</v>
      </c>
      <c r="O1958" s="18">
        <v>1470.0</v>
      </c>
      <c r="P1958" s="92">
        <v>1346.0</v>
      </c>
      <c r="Q1958" s="166">
        <v>0.0581</v>
      </c>
      <c r="R1958" s="17">
        <v>0.1708</v>
      </c>
      <c r="S1958" s="18">
        <v>0.0</v>
      </c>
      <c r="T1958" s="18">
        <v>0.0</v>
      </c>
      <c r="U1958" s="151">
        <v>0.0</v>
      </c>
      <c r="V1958" s="92" t="s">
        <v>335</v>
      </c>
      <c r="W1958" s="18" t="s">
        <v>76</v>
      </c>
      <c r="X1958" s="177" t="s">
        <v>5796</v>
      </c>
      <c r="Y1958" s="94" t="s">
        <v>5797</v>
      </c>
      <c r="Z1958" s="18" t="s">
        <v>5798</v>
      </c>
      <c r="AA1958" s="92">
        <v>0.0</v>
      </c>
      <c r="AB1958" s="18">
        <v>0.0</v>
      </c>
      <c r="AC1958" s="18"/>
      <c r="AD1958" s="14">
        <v>0.0</v>
      </c>
      <c r="AE1958" s="14">
        <v>0.0</v>
      </c>
      <c r="AF1958" s="14"/>
      <c r="AG1958" s="22"/>
      <c r="AH1958" s="22"/>
      <c r="AI1958" s="22"/>
      <c r="AJ1958" s="22"/>
      <c r="AK1958" s="22"/>
      <c r="AL1958" s="22"/>
      <c r="AM1958" s="22"/>
      <c r="AN1958" s="22"/>
      <c r="AO1958" s="22"/>
      <c r="AP1958" s="22"/>
    </row>
    <row r="1959" hidden="1">
      <c r="A1959" s="148">
        <v>46191.0</v>
      </c>
      <c r="B1959" s="149">
        <v>0.4166666666666667</v>
      </c>
      <c r="C1959" s="11" t="s">
        <v>32</v>
      </c>
      <c r="D1959" s="102" t="s">
        <v>33</v>
      </c>
      <c r="E1959" s="10" t="s">
        <v>106</v>
      </c>
      <c r="F1959" s="10" t="s">
        <v>5792</v>
      </c>
      <c r="G1959" s="11" t="s">
        <v>5799</v>
      </c>
      <c r="H1959" s="11" t="s">
        <v>4663</v>
      </c>
      <c r="I1959" s="10" t="s">
        <v>4664</v>
      </c>
      <c r="J1959" s="14">
        <v>88044.0</v>
      </c>
      <c r="K1959" s="14">
        <v>35568.0</v>
      </c>
      <c r="L1959" s="17">
        <v>0.404</v>
      </c>
      <c r="M1959" s="150">
        <v>12032.0</v>
      </c>
      <c r="N1959" s="136">
        <v>0.3381</v>
      </c>
      <c r="O1959" s="18">
        <v>2414.0</v>
      </c>
      <c r="P1959" s="92">
        <v>2180.0</v>
      </c>
      <c r="Q1959" s="137">
        <v>0.0613</v>
      </c>
      <c r="R1959" s="17">
        <v>0.1813</v>
      </c>
      <c r="S1959" s="18">
        <v>67.0</v>
      </c>
      <c r="T1959" s="18">
        <v>0.0</v>
      </c>
      <c r="U1959" s="151">
        <v>917726.0</v>
      </c>
      <c r="V1959" s="92" t="s">
        <v>183</v>
      </c>
      <c r="W1959" s="18" t="s">
        <v>76</v>
      </c>
      <c r="X1959" s="177" t="s">
        <v>52</v>
      </c>
      <c r="Y1959" s="94" t="s">
        <v>5800</v>
      </c>
      <c r="Z1959" s="18" t="s">
        <v>5801</v>
      </c>
      <c r="AA1959" s="92">
        <v>67.0</v>
      </c>
      <c r="AB1959" s="18">
        <v>0.0</v>
      </c>
      <c r="AC1959" s="18">
        <v>67.0</v>
      </c>
      <c r="AD1959" s="14">
        <v>917726.0</v>
      </c>
      <c r="AE1959" s="14">
        <v>0.0</v>
      </c>
      <c r="AF1959" s="14">
        <v>917726.0</v>
      </c>
      <c r="AG1959" s="22"/>
      <c r="AH1959" s="22"/>
      <c r="AI1959" s="22"/>
      <c r="AJ1959" s="22"/>
      <c r="AK1959" s="22"/>
      <c r="AL1959" s="22"/>
      <c r="AM1959" s="22"/>
      <c r="AN1959" s="22"/>
      <c r="AO1959" s="22"/>
      <c r="AP1959" s="22"/>
    </row>
    <row r="1960" hidden="1">
      <c r="A1960" s="148">
        <v>46193.0</v>
      </c>
      <c r="B1960" s="149">
        <v>0.4166666666666667</v>
      </c>
      <c r="C1960" s="11" t="s">
        <v>32</v>
      </c>
      <c r="D1960" s="102" t="s">
        <v>33</v>
      </c>
      <c r="E1960" s="10" t="s">
        <v>106</v>
      </c>
      <c r="F1960" s="10" t="s">
        <v>5792</v>
      </c>
      <c r="G1960" s="11" t="s">
        <v>5802</v>
      </c>
      <c r="H1960" s="11" t="s">
        <v>5803</v>
      </c>
      <c r="I1960" s="10" t="s">
        <v>5804</v>
      </c>
      <c r="J1960" s="14">
        <v>87743.0</v>
      </c>
      <c r="K1960" s="14">
        <v>34123.0</v>
      </c>
      <c r="L1960" s="17">
        <v>0.3651</v>
      </c>
      <c r="M1960" s="150">
        <v>10694.0</v>
      </c>
      <c r="N1960" s="136">
        <v>0.32</v>
      </c>
      <c r="O1960" s="18">
        <v>970.0</v>
      </c>
      <c r="P1960" s="92">
        <v>855.0</v>
      </c>
      <c r="Q1960" s="137">
        <v>0.0267</v>
      </c>
      <c r="R1960" s="17">
        <v>0.0834</v>
      </c>
      <c r="S1960" s="18">
        <v>0.0</v>
      </c>
      <c r="T1960" s="18">
        <v>0.0</v>
      </c>
      <c r="U1960" s="151">
        <v>0.0</v>
      </c>
      <c r="V1960" s="92" t="s">
        <v>183</v>
      </c>
      <c r="W1960" s="18" t="s">
        <v>76</v>
      </c>
      <c r="X1960" s="177" t="s">
        <v>2286</v>
      </c>
      <c r="Y1960" s="94" t="s">
        <v>5805</v>
      </c>
      <c r="Z1960" s="18" t="s">
        <v>5806</v>
      </c>
      <c r="AA1960" s="92">
        <v>56.0</v>
      </c>
      <c r="AB1960" s="18">
        <v>0.0</v>
      </c>
      <c r="AC1960" s="18">
        <v>56.0</v>
      </c>
      <c r="AD1960" s="14">
        <v>768130.0</v>
      </c>
      <c r="AE1960" s="14">
        <v>0.0</v>
      </c>
      <c r="AF1960" s="14">
        <v>768130.0</v>
      </c>
      <c r="AG1960" s="22"/>
      <c r="AH1960" s="22"/>
      <c r="AI1960" s="22"/>
      <c r="AJ1960" s="22"/>
      <c r="AK1960" s="22"/>
      <c r="AL1960" s="22"/>
      <c r="AM1960" s="22"/>
      <c r="AN1960" s="22"/>
      <c r="AO1960" s="22"/>
      <c r="AP1960" s="22"/>
    </row>
    <row r="1961" hidden="1">
      <c r="A1961" s="148">
        <v>46193.0</v>
      </c>
      <c r="B1961" s="149">
        <v>0.4166666666666667</v>
      </c>
      <c r="C1961" s="11" t="s">
        <v>32</v>
      </c>
      <c r="D1961" s="102" t="s">
        <v>33</v>
      </c>
      <c r="E1961" s="10" t="s">
        <v>106</v>
      </c>
      <c r="F1961" s="10" t="s">
        <v>5792</v>
      </c>
      <c r="G1961" s="11" t="s">
        <v>5807</v>
      </c>
      <c r="H1961" s="11" t="s">
        <v>5808</v>
      </c>
      <c r="I1961" s="10" t="s">
        <v>5809</v>
      </c>
      <c r="J1961" s="14">
        <v>248421.0</v>
      </c>
      <c r="K1961" s="14">
        <v>73879.0</v>
      </c>
      <c r="L1961" s="17">
        <v>0.2913</v>
      </c>
      <c r="M1961" s="150">
        <v>22372.0</v>
      </c>
      <c r="N1961" s="136">
        <v>0.2978</v>
      </c>
      <c r="O1961" s="18">
        <v>1948.0</v>
      </c>
      <c r="P1961" s="92">
        <v>1750.0</v>
      </c>
      <c r="Q1961" s="137">
        <v>0.0242</v>
      </c>
      <c r="R1961" s="17">
        <v>0.0812</v>
      </c>
      <c r="S1961" s="18">
        <v>0.0</v>
      </c>
      <c r="T1961" s="18">
        <v>0.0</v>
      </c>
      <c r="U1961" s="151">
        <v>0.0</v>
      </c>
      <c r="V1961" s="92" t="s">
        <v>183</v>
      </c>
      <c r="W1961" s="18" t="s">
        <v>76</v>
      </c>
      <c r="X1961" s="177" t="s">
        <v>5810</v>
      </c>
      <c r="Y1961" s="94" t="s">
        <v>5805</v>
      </c>
      <c r="Z1961" s="18" t="s">
        <v>5811</v>
      </c>
      <c r="AA1961" s="92">
        <v>88.0</v>
      </c>
      <c r="AB1961" s="18">
        <v>0.0</v>
      </c>
      <c r="AC1961" s="18">
        <v>88.0</v>
      </c>
      <c r="AD1961" s="14">
        <v>1153600.0</v>
      </c>
      <c r="AE1961" s="14">
        <v>0.0</v>
      </c>
      <c r="AF1961" s="14">
        <v>1153600.0</v>
      </c>
      <c r="AG1961" s="22"/>
      <c r="AH1961" s="22"/>
      <c r="AI1961" s="22"/>
      <c r="AJ1961" s="22"/>
      <c r="AK1961" s="22"/>
      <c r="AL1961" s="22"/>
      <c r="AM1961" s="22"/>
      <c r="AN1961" s="22"/>
      <c r="AO1961" s="22"/>
      <c r="AP1961" s="22"/>
    </row>
    <row r="1962" hidden="1">
      <c r="A1962" s="148">
        <v>46193.0</v>
      </c>
      <c r="B1962" s="149">
        <v>0.4166666666666667</v>
      </c>
      <c r="C1962" s="11" t="s">
        <v>32</v>
      </c>
      <c r="D1962" s="102" t="s">
        <v>33</v>
      </c>
      <c r="E1962" s="10" t="s">
        <v>106</v>
      </c>
      <c r="F1962" s="10" t="s">
        <v>5792</v>
      </c>
      <c r="G1962" s="11" t="s">
        <v>5812</v>
      </c>
      <c r="H1962" s="11" t="s">
        <v>4663</v>
      </c>
      <c r="I1962" s="10" t="s">
        <v>4664</v>
      </c>
      <c r="J1962" s="14">
        <v>87979.0</v>
      </c>
      <c r="K1962" s="14">
        <v>30160.0</v>
      </c>
      <c r="L1962" s="17">
        <v>0.3227</v>
      </c>
      <c r="M1962" s="150">
        <v>9076.0</v>
      </c>
      <c r="N1962" s="136">
        <v>0.307</v>
      </c>
      <c r="O1962" s="18">
        <v>634.0</v>
      </c>
      <c r="P1962" s="92">
        <v>580.0</v>
      </c>
      <c r="Q1962" s="137">
        <v>0.0204</v>
      </c>
      <c r="R1962" s="17">
        <v>0.0666</v>
      </c>
      <c r="S1962" s="18">
        <v>16.0</v>
      </c>
      <c r="T1962" s="18">
        <v>0.0</v>
      </c>
      <c r="U1962" s="151">
        <v>212884.0</v>
      </c>
      <c r="V1962" s="92" t="s">
        <v>183</v>
      </c>
      <c r="W1962" s="18" t="s">
        <v>76</v>
      </c>
      <c r="X1962" s="177" t="s">
        <v>52</v>
      </c>
      <c r="Y1962" s="94" t="s">
        <v>5805</v>
      </c>
      <c r="Z1962" s="18" t="s">
        <v>5813</v>
      </c>
      <c r="AA1962" s="92">
        <v>46.0</v>
      </c>
      <c r="AB1962" s="18">
        <v>0.0</v>
      </c>
      <c r="AC1962" s="18">
        <v>46.0</v>
      </c>
      <c r="AD1962" s="14">
        <v>572455.0</v>
      </c>
      <c r="AE1962" s="14">
        <v>0.0</v>
      </c>
      <c r="AF1962" s="14">
        <v>572455.0</v>
      </c>
      <c r="AG1962" s="22"/>
      <c r="AH1962" s="22"/>
      <c r="AI1962" s="22"/>
      <c r="AJ1962" s="22"/>
      <c r="AK1962" s="22"/>
      <c r="AL1962" s="22"/>
      <c r="AM1962" s="22"/>
      <c r="AN1962" s="22"/>
      <c r="AO1962" s="22"/>
      <c r="AP1962" s="22"/>
    </row>
    <row r="1963" hidden="1">
      <c r="A1963" s="148">
        <v>46188.0</v>
      </c>
      <c r="B1963" s="149">
        <v>0.7708333333333334</v>
      </c>
      <c r="C1963" s="11" t="s">
        <v>32</v>
      </c>
      <c r="D1963" s="102" t="s">
        <v>33</v>
      </c>
      <c r="E1963" s="10" t="s">
        <v>71</v>
      </c>
      <c r="F1963" s="10" t="s">
        <v>5574</v>
      </c>
      <c r="G1963" s="11" t="s">
        <v>5814</v>
      </c>
      <c r="H1963" s="11" t="s">
        <v>5815</v>
      </c>
      <c r="I1963" s="10" t="s">
        <v>1101</v>
      </c>
      <c r="J1963" s="14">
        <v>12409.0</v>
      </c>
      <c r="K1963" s="14">
        <v>5098.0</v>
      </c>
      <c r="L1963" s="17">
        <v>0.4108</v>
      </c>
      <c r="M1963" s="150">
        <v>2060.0</v>
      </c>
      <c r="N1963" s="136">
        <v>0.4041</v>
      </c>
      <c r="O1963" s="18">
        <v>181.0</v>
      </c>
      <c r="P1963" s="92">
        <v>169.0</v>
      </c>
      <c r="Q1963" s="137">
        <v>0.0332</v>
      </c>
      <c r="R1963" s="17">
        <v>0.082</v>
      </c>
      <c r="S1963" s="18">
        <v>3.0</v>
      </c>
      <c r="T1963" s="18">
        <v>13.0</v>
      </c>
      <c r="U1963" s="151">
        <v>12237.0</v>
      </c>
      <c r="V1963" s="92" t="s">
        <v>335</v>
      </c>
      <c r="W1963" s="18" t="s">
        <v>76</v>
      </c>
      <c r="X1963" s="177" t="s">
        <v>1101</v>
      </c>
      <c r="Y1963" s="94" t="s">
        <v>5816</v>
      </c>
      <c r="Z1963" s="18" t="s">
        <v>5817</v>
      </c>
      <c r="AA1963" s="92">
        <v>19.0</v>
      </c>
      <c r="AB1963" s="18">
        <v>19.0</v>
      </c>
      <c r="AC1963" s="18"/>
      <c r="AD1963" s="14">
        <v>72887.0</v>
      </c>
      <c r="AE1963" s="14">
        <v>72887.0</v>
      </c>
      <c r="AF1963" s="14"/>
      <c r="AG1963" s="22"/>
      <c r="AH1963" s="22"/>
      <c r="AI1963" s="22"/>
      <c r="AJ1963" s="22"/>
      <c r="AK1963" s="22"/>
      <c r="AL1963" s="22"/>
      <c r="AM1963" s="22"/>
      <c r="AN1963" s="22"/>
      <c r="AO1963" s="22"/>
      <c r="AP1963" s="22"/>
    </row>
    <row r="1964" hidden="1">
      <c r="A1964" s="148">
        <v>46188.0</v>
      </c>
      <c r="B1964" s="149">
        <v>0.7708333333333334</v>
      </c>
      <c r="C1964" s="11" t="s">
        <v>32</v>
      </c>
      <c r="D1964" s="102" t="s">
        <v>33</v>
      </c>
      <c r="E1964" s="10" t="s">
        <v>71</v>
      </c>
      <c r="F1964" s="10" t="s">
        <v>5574</v>
      </c>
      <c r="G1964" s="11" t="s">
        <v>5818</v>
      </c>
      <c r="H1964" s="11" t="s">
        <v>5819</v>
      </c>
      <c r="I1964" s="10" t="s">
        <v>1101</v>
      </c>
      <c r="J1964" s="14">
        <v>53179.0</v>
      </c>
      <c r="K1964" s="14">
        <v>22561.0</v>
      </c>
      <c r="L1964" s="17">
        <v>0.4242</v>
      </c>
      <c r="M1964" s="150">
        <v>9095.0</v>
      </c>
      <c r="N1964" s="136">
        <v>0.4031</v>
      </c>
      <c r="O1964" s="18">
        <v>534.0</v>
      </c>
      <c r="P1964" s="92">
        <v>508.0</v>
      </c>
      <c r="Q1964" s="137">
        <v>0.0225</v>
      </c>
      <c r="R1964" s="17">
        <v>0.0559</v>
      </c>
      <c r="S1964" s="18">
        <v>5.0</v>
      </c>
      <c r="T1964" s="18">
        <v>19.0</v>
      </c>
      <c r="U1964" s="151">
        <v>11291.0</v>
      </c>
      <c r="V1964" s="92" t="s">
        <v>315</v>
      </c>
      <c r="W1964" s="18" t="s">
        <v>76</v>
      </c>
      <c r="X1964" s="177" t="s">
        <v>1101</v>
      </c>
      <c r="Y1964" s="94" t="s">
        <v>5816</v>
      </c>
      <c r="Z1964" s="18" t="s">
        <v>5820</v>
      </c>
      <c r="AA1964" s="92">
        <v>63.0</v>
      </c>
      <c r="AB1964" s="18"/>
      <c r="AC1964" s="18">
        <v>63.0</v>
      </c>
      <c r="AD1964" s="14">
        <v>325763.0</v>
      </c>
      <c r="AE1964" s="14"/>
      <c r="AF1964" s="14">
        <v>325763.0</v>
      </c>
      <c r="AG1964" s="22"/>
      <c r="AH1964" s="22"/>
      <c r="AI1964" s="22"/>
      <c r="AJ1964" s="22"/>
      <c r="AK1964" s="22"/>
      <c r="AL1964" s="22"/>
      <c r="AM1964" s="22"/>
      <c r="AN1964" s="22"/>
      <c r="AO1964" s="22"/>
      <c r="AP1964" s="22"/>
    </row>
    <row r="1965" hidden="1">
      <c r="A1965" s="148">
        <v>46190.0</v>
      </c>
      <c r="B1965" s="149">
        <v>0.7083333333333334</v>
      </c>
      <c r="C1965" s="11" t="s">
        <v>32</v>
      </c>
      <c r="D1965" s="102" t="s">
        <v>33</v>
      </c>
      <c r="E1965" s="10" t="s">
        <v>71</v>
      </c>
      <c r="F1965" s="10" t="s">
        <v>5574</v>
      </c>
      <c r="G1965" s="11" t="s">
        <v>5821</v>
      </c>
      <c r="H1965" s="11" t="s">
        <v>5822</v>
      </c>
      <c r="I1965" s="10" t="s">
        <v>1101</v>
      </c>
      <c r="J1965" s="14">
        <v>2321.0</v>
      </c>
      <c r="K1965" s="14">
        <v>1137.0</v>
      </c>
      <c r="L1965" s="17">
        <v>0.4899</v>
      </c>
      <c r="M1965" s="150">
        <v>679.0</v>
      </c>
      <c r="N1965" s="136">
        <v>0.5972</v>
      </c>
      <c r="O1965" s="18">
        <v>200.0</v>
      </c>
      <c r="P1965" s="92">
        <v>182.0</v>
      </c>
      <c r="Q1965" s="137">
        <v>0.1601</v>
      </c>
      <c r="R1965" s="17">
        <v>0.268</v>
      </c>
      <c r="S1965" s="18">
        <v>39.0</v>
      </c>
      <c r="T1965" s="18">
        <v>159.0</v>
      </c>
      <c r="U1965" s="151">
        <v>75336.0</v>
      </c>
      <c r="V1965" s="92" t="s">
        <v>183</v>
      </c>
      <c r="W1965" s="18" t="s">
        <v>76</v>
      </c>
      <c r="X1965" s="177" t="s">
        <v>1101</v>
      </c>
      <c r="Y1965" s="94" t="s">
        <v>5823</v>
      </c>
      <c r="Z1965" s="18" t="s">
        <v>5824</v>
      </c>
      <c r="AA1965" s="92">
        <v>64.0</v>
      </c>
      <c r="AB1965" s="18">
        <v>56.0</v>
      </c>
      <c r="AC1965" s="18">
        <v>8.0</v>
      </c>
      <c r="AD1965" s="14">
        <v>139493.0</v>
      </c>
      <c r="AE1965" s="14">
        <v>128322.0</v>
      </c>
      <c r="AF1965" s="14">
        <v>11171.0</v>
      </c>
      <c r="AG1965" s="22"/>
      <c r="AH1965" s="22"/>
      <c r="AI1965" s="22"/>
      <c r="AJ1965" s="22"/>
      <c r="AK1965" s="22"/>
      <c r="AL1965" s="22"/>
      <c r="AM1965" s="22"/>
      <c r="AN1965" s="22"/>
      <c r="AO1965" s="22"/>
      <c r="AP1965" s="22"/>
    </row>
    <row r="1966" hidden="1">
      <c r="A1966" s="148">
        <v>46189.0</v>
      </c>
      <c r="B1966" s="149">
        <v>0.75</v>
      </c>
      <c r="C1966" s="11" t="s">
        <v>32</v>
      </c>
      <c r="D1966" s="102" t="s">
        <v>33</v>
      </c>
      <c r="E1966" s="10" t="s">
        <v>71</v>
      </c>
      <c r="F1966" s="10" t="s">
        <v>5574</v>
      </c>
      <c r="G1966" s="11" t="s">
        <v>5825</v>
      </c>
      <c r="H1966" s="11" t="s">
        <v>5815</v>
      </c>
      <c r="I1966" s="10" t="s">
        <v>1101</v>
      </c>
      <c r="J1966" s="14">
        <v>12060.0</v>
      </c>
      <c r="K1966" s="14">
        <v>4340.0</v>
      </c>
      <c r="L1966" s="17">
        <v>0.3598</v>
      </c>
      <c r="M1966" s="150">
        <v>1608.0</v>
      </c>
      <c r="N1966" s="165">
        <v>0.3706</v>
      </c>
      <c r="O1966" s="18">
        <v>208.0</v>
      </c>
      <c r="P1966" s="92">
        <v>185.0</v>
      </c>
      <c r="Q1966" s="166">
        <v>0.0426</v>
      </c>
      <c r="R1966" s="17">
        <v>0.115</v>
      </c>
      <c r="S1966" s="18">
        <v>4.0</v>
      </c>
      <c r="T1966" s="18">
        <v>10.0</v>
      </c>
      <c r="U1966" s="151">
        <v>10526.0</v>
      </c>
      <c r="V1966" s="92" t="s">
        <v>335</v>
      </c>
      <c r="W1966" s="18" t="s">
        <v>76</v>
      </c>
      <c r="X1966" s="177" t="s">
        <v>1101</v>
      </c>
      <c r="Y1966" s="94" t="s">
        <v>5826</v>
      </c>
      <c r="Z1966" s="18" t="s">
        <v>5827</v>
      </c>
      <c r="AA1966" s="92">
        <v>12.0</v>
      </c>
      <c r="AB1966" s="18">
        <v>12.0</v>
      </c>
      <c r="AC1966" s="18"/>
      <c r="AD1966" s="14">
        <v>26786.0</v>
      </c>
      <c r="AE1966" s="14">
        <v>26786.0</v>
      </c>
      <c r="AF1966" s="14"/>
      <c r="AG1966" s="22"/>
      <c r="AH1966" s="22"/>
      <c r="AI1966" s="22"/>
      <c r="AJ1966" s="22"/>
      <c r="AK1966" s="22"/>
      <c r="AL1966" s="22"/>
      <c r="AM1966" s="22"/>
      <c r="AN1966" s="22"/>
      <c r="AO1966" s="22"/>
      <c r="AP1966" s="22"/>
    </row>
    <row r="1967" hidden="1">
      <c r="A1967" s="148">
        <v>46189.0</v>
      </c>
      <c r="B1967" s="149">
        <v>0.75</v>
      </c>
      <c r="C1967" s="11" t="s">
        <v>32</v>
      </c>
      <c r="D1967" s="102" t="s">
        <v>33</v>
      </c>
      <c r="E1967" s="10" t="s">
        <v>71</v>
      </c>
      <c r="F1967" s="10" t="s">
        <v>5574</v>
      </c>
      <c r="G1967" s="11" t="s">
        <v>5828</v>
      </c>
      <c r="H1967" s="11" t="s">
        <v>5819</v>
      </c>
      <c r="I1967" s="10" t="s">
        <v>1101</v>
      </c>
      <c r="J1967" s="14">
        <v>53662.0</v>
      </c>
      <c r="K1967" s="14">
        <v>20607.0</v>
      </c>
      <c r="L1967" s="17">
        <v>0.3839</v>
      </c>
      <c r="M1967" s="150">
        <v>7387.0</v>
      </c>
      <c r="N1967" s="165">
        <v>0.3586</v>
      </c>
      <c r="O1967" s="18">
        <v>519.0</v>
      </c>
      <c r="P1967" s="92">
        <v>449.0</v>
      </c>
      <c r="Q1967" s="166">
        <v>0.0218</v>
      </c>
      <c r="R1967" s="17">
        <v>0.0608</v>
      </c>
      <c r="S1967" s="18">
        <v>8.0</v>
      </c>
      <c r="T1967" s="18">
        <v>15.0</v>
      </c>
      <c r="U1967" s="151">
        <v>14339.0</v>
      </c>
      <c r="V1967" s="92" t="s">
        <v>315</v>
      </c>
      <c r="W1967" s="18" t="s">
        <v>76</v>
      </c>
      <c r="X1967" s="177" t="s">
        <v>1101</v>
      </c>
      <c r="Y1967" s="94" t="s">
        <v>5826</v>
      </c>
      <c r="Z1967" s="18" t="s">
        <v>5829</v>
      </c>
      <c r="AA1967" s="92">
        <v>54.0</v>
      </c>
      <c r="AB1967" s="18"/>
      <c r="AC1967" s="18">
        <v>54.0</v>
      </c>
      <c r="AD1967" s="14">
        <v>229499.0</v>
      </c>
      <c r="AE1967" s="14"/>
      <c r="AF1967" s="14">
        <v>229499.0</v>
      </c>
      <c r="AG1967" s="22"/>
      <c r="AH1967" s="22"/>
      <c r="AI1967" s="22"/>
      <c r="AJ1967" s="22"/>
      <c r="AK1967" s="22"/>
      <c r="AL1967" s="22"/>
      <c r="AM1967" s="22"/>
      <c r="AN1967" s="22"/>
      <c r="AO1967" s="22"/>
      <c r="AP1967" s="22"/>
    </row>
    <row r="1968" hidden="1">
      <c r="A1968" s="148">
        <v>46192.0</v>
      </c>
      <c r="B1968" s="149">
        <v>0.4583333333333333</v>
      </c>
      <c r="C1968" s="11" t="s">
        <v>32</v>
      </c>
      <c r="D1968" s="102" t="s">
        <v>33</v>
      </c>
      <c r="E1968" s="10" t="s">
        <v>71</v>
      </c>
      <c r="F1968" s="10" t="s">
        <v>5574</v>
      </c>
      <c r="G1968" s="11" t="s">
        <v>5830</v>
      </c>
      <c r="H1968" s="11" t="s">
        <v>5053</v>
      </c>
      <c r="I1968" s="10" t="s">
        <v>5054</v>
      </c>
      <c r="J1968" s="14">
        <v>41080.0</v>
      </c>
      <c r="K1968" s="14">
        <v>19384.0</v>
      </c>
      <c r="L1968" s="17">
        <v>0.4714</v>
      </c>
      <c r="M1968" s="150">
        <v>7261.0</v>
      </c>
      <c r="N1968" s="136">
        <v>0.3706</v>
      </c>
      <c r="O1968" s="18">
        <v>735.0</v>
      </c>
      <c r="P1968" s="92">
        <v>664.0</v>
      </c>
      <c r="Q1968" s="137">
        <v>0.0343</v>
      </c>
      <c r="R1968" s="17">
        <v>0.0925</v>
      </c>
      <c r="S1968" s="18">
        <v>9.0</v>
      </c>
      <c r="T1968" s="18">
        <v>17.0</v>
      </c>
      <c r="U1968" s="151">
        <v>22829.0</v>
      </c>
      <c r="V1968" s="92" t="s">
        <v>183</v>
      </c>
      <c r="W1968" s="18" t="s">
        <v>76</v>
      </c>
      <c r="X1968" s="174" t="s">
        <v>2286</v>
      </c>
      <c r="Y1968" s="94" t="s">
        <v>5831</v>
      </c>
      <c r="Z1968" s="18" t="s">
        <v>5832</v>
      </c>
      <c r="AA1968" s="92">
        <v>257.0</v>
      </c>
      <c r="AB1968" s="18">
        <v>65.0</v>
      </c>
      <c r="AC1968" s="18">
        <v>192.0</v>
      </c>
      <c r="AD1968" s="14">
        <v>910924.0</v>
      </c>
      <c r="AE1968" s="14">
        <v>169745.0</v>
      </c>
      <c r="AF1968" s="14">
        <v>741179.0</v>
      </c>
      <c r="AG1968" s="22"/>
      <c r="AH1968" s="22"/>
      <c r="AI1968" s="22"/>
      <c r="AJ1968" s="22"/>
      <c r="AK1968" s="22"/>
      <c r="AL1968" s="22"/>
      <c r="AM1968" s="22"/>
      <c r="AN1968" s="22"/>
      <c r="AO1968" s="22"/>
      <c r="AP1968" s="22"/>
    </row>
    <row r="1969" hidden="1">
      <c r="A1969" s="148">
        <v>46192.0</v>
      </c>
      <c r="B1969" s="149">
        <v>0.4583333333333333</v>
      </c>
      <c r="C1969" s="11" t="s">
        <v>32</v>
      </c>
      <c r="D1969" s="102" t="s">
        <v>33</v>
      </c>
      <c r="E1969" s="10" t="s">
        <v>71</v>
      </c>
      <c r="F1969" s="10" t="s">
        <v>5574</v>
      </c>
      <c r="G1969" s="11" t="s">
        <v>5833</v>
      </c>
      <c r="H1969" s="11" t="s">
        <v>5061</v>
      </c>
      <c r="I1969" s="10" t="s">
        <v>5062</v>
      </c>
      <c r="J1969" s="14">
        <v>9844.0</v>
      </c>
      <c r="K1969" s="14">
        <v>5203.0</v>
      </c>
      <c r="L1969" s="17">
        <v>0.528</v>
      </c>
      <c r="M1969" s="150">
        <v>1872.0</v>
      </c>
      <c r="N1969" s="136">
        <v>0.3553</v>
      </c>
      <c r="O1969" s="18">
        <v>152.0</v>
      </c>
      <c r="P1969" s="92">
        <v>141.0</v>
      </c>
      <c r="Q1969" s="137">
        <v>0.0271</v>
      </c>
      <c r="R1969" s="17">
        <v>0.0763</v>
      </c>
      <c r="S1969" s="18">
        <v>3.0</v>
      </c>
      <c r="T1969" s="18">
        <v>8.0</v>
      </c>
      <c r="U1969" s="151">
        <v>12211.0</v>
      </c>
      <c r="V1969" s="92" t="s">
        <v>335</v>
      </c>
      <c r="W1969" s="18" t="s">
        <v>76</v>
      </c>
      <c r="X1969" s="174" t="s">
        <v>2542</v>
      </c>
      <c r="Y1969" s="94" t="s">
        <v>5831</v>
      </c>
      <c r="Z1969" s="18" t="s">
        <v>5834</v>
      </c>
      <c r="AA1969" s="92">
        <v>22.0</v>
      </c>
      <c r="AB1969" s="18">
        <v>22.0</v>
      </c>
      <c r="AC1969" s="18"/>
      <c r="AD1969" s="14">
        <v>38930.0</v>
      </c>
      <c r="AE1969" s="14">
        <v>38930.0</v>
      </c>
      <c r="AF1969" s="14"/>
      <c r="AG1969" s="22"/>
      <c r="AH1969" s="22"/>
      <c r="AI1969" s="22"/>
      <c r="AJ1969" s="22"/>
      <c r="AK1969" s="22"/>
      <c r="AL1969" s="22"/>
      <c r="AM1969" s="22"/>
      <c r="AN1969" s="22"/>
      <c r="AO1969" s="22"/>
      <c r="AP1969" s="22"/>
    </row>
    <row r="1970" hidden="1">
      <c r="A1970" s="148">
        <v>46192.0</v>
      </c>
      <c r="B1970" s="149">
        <v>0.4583333333333333</v>
      </c>
      <c r="C1970" s="11" t="s">
        <v>32</v>
      </c>
      <c r="D1970" s="102" t="s">
        <v>33</v>
      </c>
      <c r="E1970" s="10" t="s">
        <v>71</v>
      </c>
      <c r="F1970" s="10" t="s">
        <v>5574</v>
      </c>
      <c r="G1970" s="11" t="s">
        <v>5835</v>
      </c>
      <c r="H1970" s="11" t="s">
        <v>5065</v>
      </c>
      <c r="I1970" s="10" t="s">
        <v>5066</v>
      </c>
      <c r="J1970" s="14">
        <v>2142.0</v>
      </c>
      <c r="K1970" s="14">
        <v>1023.0</v>
      </c>
      <c r="L1970" s="17">
        <v>0.4767</v>
      </c>
      <c r="M1970" s="150">
        <v>328.0</v>
      </c>
      <c r="N1970" s="136">
        <v>0.3173</v>
      </c>
      <c r="O1970" s="18">
        <v>20.0</v>
      </c>
      <c r="P1970" s="92">
        <v>19.0</v>
      </c>
      <c r="Q1970" s="137">
        <v>0.0186</v>
      </c>
      <c r="R1970" s="17">
        <v>0.0586</v>
      </c>
      <c r="S1970" s="18">
        <v>1.0</v>
      </c>
      <c r="T1970" s="18">
        <v>2.0</v>
      </c>
      <c r="U1970" s="151">
        <v>3316.0</v>
      </c>
      <c r="V1970" s="92" t="s">
        <v>335</v>
      </c>
      <c r="W1970" s="18" t="s">
        <v>76</v>
      </c>
      <c r="X1970" s="174" t="s">
        <v>52</v>
      </c>
      <c r="Y1970" s="94" t="s">
        <v>5831</v>
      </c>
      <c r="Z1970" s="18" t="s">
        <v>5836</v>
      </c>
      <c r="AA1970" s="92">
        <v>6.0</v>
      </c>
      <c r="AB1970" s="18">
        <v>6.0</v>
      </c>
      <c r="AC1970" s="18"/>
      <c r="AD1970" s="14">
        <v>15877.0</v>
      </c>
      <c r="AE1970" s="14">
        <v>15877.0</v>
      </c>
      <c r="AF1970" s="14"/>
      <c r="AG1970" s="22"/>
      <c r="AH1970" s="22"/>
      <c r="AI1970" s="22"/>
      <c r="AJ1970" s="22"/>
      <c r="AK1970" s="22"/>
      <c r="AL1970" s="22"/>
      <c r="AM1970" s="22"/>
      <c r="AN1970" s="22"/>
      <c r="AO1970" s="22"/>
      <c r="AP1970" s="22"/>
    </row>
    <row r="1971" hidden="1">
      <c r="A1971" s="148">
        <v>46192.0</v>
      </c>
      <c r="B1971" s="149">
        <v>0.4583333333333333</v>
      </c>
      <c r="C1971" s="11" t="s">
        <v>32</v>
      </c>
      <c r="D1971" s="102" t="s">
        <v>33</v>
      </c>
      <c r="E1971" s="10" t="s">
        <v>71</v>
      </c>
      <c r="F1971" s="10" t="s">
        <v>5574</v>
      </c>
      <c r="G1971" s="11" t="s">
        <v>5837</v>
      </c>
      <c r="H1971" s="11" t="s">
        <v>5838</v>
      </c>
      <c r="I1971" s="10" t="s">
        <v>5839</v>
      </c>
      <c r="J1971" s="14">
        <v>21798.0</v>
      </c>
      <c r="K1971" s="14">
        <v>9931.0</v>
      </c>
      <c r="L1971" s="17">
        <v>0.4555</v>
      </c>
      <c r="M1971" s="150">
        <v>2755.0</v>
      </c>
      <c r="N1971" s="136">
        <v>0.2742</v>
      </c>
      <c r="O1971" s="18">
        <v>308.0</v>
      </c>
      <c r="P1971" s="92">
        <v>277.0</v>
      </c>
      <c r="Q1971" s="137">
        <v>0.0279</v>
      </c>
      <c r="R1971" s="17">
        <v>0.1018</v>
      </c>
      <c r="S1971" s="18">
        <v>6.0</v>
      </c>
      <c r="T1971" s="18">
        <v>13.0</v>
      </c>
      <c r="U1971" s="151">
        <v>29161.0</v>
      </c>
      <c r="V1971" s="92" t="s">
        <v>315</v>
      </c>
      <c r="W1971" s="18" t="s">
        <v>76</v>
      </c>
      <c r="X1971" s="174" t="s">
        <v>5840</v>
      </c>
      <c r="Y1971" s="94" t="s">
        <v>5831</v>
      </c>
      <c r="Z1971" s="18" t="s">
        <v>5841</v>
      </c>
      <c r="AA1971" s="92">
        <v>76.0</v>
      </c>
      <c r="AB1971" s="18"/>
      <c r="AC1971" s="18">
        <v>76.0</v>
      </c>
      <c r="AD1971" s="14">
        <v>347149.0</v>
      </c>
      <c r="AE1971" s="14"/>
      <c r="AF1971" s="14">
        <v>347149.0</v>
      </c>
      <c r="AG1971" s="22"/>
      <c r="AH1971" s="22"/>
      <c r="AI1971" s="22"/>
      <c r="AJ1971" s="22"/>
      <c r="AK1971" s="22"/>
      <c r="AL1971" s="22"/>
      <c r="AM1971" s="22"/>
      <c r="AN1971" s="22"/>
      <c r="AO1971" s="22"/>
      <c r="AP1971" s="22"/>
    </row>
    <row r="1972" hidden="1">
      <c r="A1972" s="148">
        <v>46193.0</v>
      </c>
      <c r="B1972" s="149">
        <v>0.4583333333333333</v>
      </c>
      <c r="C1972" s="11" t="s">
        <v>32</v>
      </c>
      <c r="D1972" s="102" t="s">
        <v>33</v>
      </c>
      <c r="E1972" s="10" t="s">
        <v>71</v>
      </c>
      <c r="F1972" s="10" t="s">
        <v>5574</v>
      </c>
      <c r="G1972" s="11" t="s">
        <v>5842</v>
      </c>
      <c r="H1972" s="11" t="s">
        <v>4284</v>
      </c>
      <c r="I1972" s="10" t="s">
        <v>4285</v>
      </c>
      <c r="J1972" s="14">
        <v>8460.0</v>
      </c>
      <c r="K1972" s="14">
        <v>3939.0</v>
      </c>
      <c r="L1972" s="17">
        <v>0.5016</v>
      </c>
      <c r="M1972" s="150">
        <v>1755.0</v>
      </c>
      <c r="N1972" s="136">
        <v>0.4386</v>
      </c>
      <c r="O1972" s="18">
        <v>282.0</v>
      </c>
      <c r="P1972" s="92">
        <v>254.0</v>
      </c>
      <c r="Q1972" s="137">
        <v>0.0646</v>
      </c>
      <c r="R1972" s="17">
        <v>0.1472</v>
      </c>
      <c r="S1972" s="18">
        <v>22.0</v>
      </c>
      <c r="T1972" s="18">
        <v>90.0</v>
      </c>
      <c r="U1972" s="151">
        <v>41216.0</v>
      </c>
      <c r="V1972" s="92" t="s">
        <v>335</v>
      </c>
      <c r="W1972" s="18" t="s">
        <v>40</v>
      </c>
      <c r="X1972" s="174" t="s">
        <v>4286</v>
      </c>
      <c r="Y1972" s="94" t="s">
        <v>5843</v>
      </c>
      <c r="Z1972" s="18" t="s">
        <v>5844</v>
      </c>
      <c r="AA1972" s="92">
        <v>44.0</v>
      </c>
      <c r="AB1972" s="18">
        <v>44.0</v>
      </c>
      <c r="AC1972" s="18"/>
      <c r="AD1972" s="14">
        <v>90102.0</v>
      </c>
      <c r="AE1972" s="14">
        <v>90102.0</v>
      </c>
      <c r="AF1972" s="14"/>
      <c r="AG1972" s="22"/>
      <c r="AH1972" s="22"/>
      <c r="AI1972" s="22"/>
      <c r="AJ1972" s="22"/>
      <c r="AK1972" s="22"/>
      <c r="AL1972" s="22"/>
      <c r="AM1972" s="22"/>
      <c r="AN1972" s="22"/>
      <c r="AO1972" s="22"/>
      <c r="AP1972" s="22"/>
    </row>
    <row r="1973" hidden="1">
      <c r="A1973" s="148">
        <v>46193.0</v>
      </c>
      <c r="B1973" s="149">
        <v>0.4583333333333333</v>
      </c>
      <c r="C1973" s="11" t="s">
        <v>32</v>
      </c>
      <c r="D1973" s="102" t="s">
        <v>33</v>
      </c>
      <c r="E1973" s="10" t="s">
        <v>71</v>
      </c>
      <c r="F1973" s="10" t="s">
        <v>5574</v>
      </c>
      <c r="G1973" s="11" t="s">
        <v>5845</v>
      </c>
      <c r="H1973" s="11" t="s">
        <v>4280</v>
      </c>
      <c r="I1973" s="10" t="s">
        <v>4441</v>
      </c>
      <c r="J1973" s="14">
        <v>27557.0</v>
      </c>
      <c r="K1973" s="14">
        <v>10885.0</v>
      </c>
      <c r="L1973" s="17">
        <v>0.4243</v>
      </c>
      <c r="M1973" s="150">
        <v>4503.0</v>
      </c>
      <c r="N1973" s="136">
        <v>0.4059</v>
      </c>
      <c r="O1973" s="18">
        <v>661.0</v>
      </c>
      <c r="P1973" s="92">
        <v>595.0</v>
      </c>
      <c r="Q1973" s="137">
        <v>0.0548</v>
      </c>
      <c r="R1973" s="17">
        <v>0.135</v>
      </c>
      <c r="S1973" s="18">
        <v>12.0</v>
      </c>
      <c r="T1973" s="18">
        <v>28.0</v>
      </c>
      <c r="U1973" s="151">
        <v>23648.0</v>
      </c>
      <c r="V1973" s="92" t="s">
        <v>335</v>
      </c>
      <c r="W1973" s="18" t="s">
        <v>40</v>
      </c>
      <c r="X1973" s="174" t="s">
        <v>4001</v>
      </c>
      <c r="Y1973" s="94" t="s">
        <v>5843</v>
      </c>
      <c r="Z1973" s="18" t="s">
        <v>5846</v>
      </c>
      <c r="AA1973" s="92">
        <v>79.0</v>
      </c>
      <c r="AB1973" s="18">
        <v>79.0</v>
      </c>
      <c r="AC1973" s="18"/>
      <c r="AD1973" s="14">
        <v>186733.0</v>
      </c>
      <c r="AE1973" s="14">
        <v>186733.0</v>
      </c>
      <c r="AF1973" s="14"/>
      <c r="AG1973" s="22"/>
      <c r="AH1973" s="22"/>
      <c r="AI1973" s="22"/>
      <c r="AJ1973" s="22"/>
      <c r="AK1973" s="22"/>
      <c r="AL1973" s="22"/>
      <c r="AM1973" s="22"/>
      <c r="AN1973" s="22"/>
      <c r="AO1973" s="22"/>
      <c r="AP1973" s="22"/>
    </row>
    <row r="1974" hidden="1">
      <c r="A1974" s="148">
        <v>46193.0</v>
      </c>
      <c r="B1974" s="149">
        <v>0.4583333333333333</v>
      </c>
      <c r="C1974" s="11" t="s">
        <v>32</v>
      </c>
      <c r="D1974" s="102" t="s">
        <v>33</v>
      </c>
      <c r="E1974" s="10" t="s">
        <v>71</v>
      </c>
      <c r="F1974" s="10" t="s">
        <v>5574</v>
      </c>
      <c r="G1974" s="11" t="s">
        <v>5847</v>
      </c>
      <c r="H1974" s="11" t="s">
        <v>4289</v>
      </c>
      <c r="I1974" s="10" t="s">
        <v>5848</v>
      </c>
      <c r="J1974" s="14">
        <v>36996.0</v>
      </c>
      <c r="K1974" s="14">
        <v>15435.0</v>
      </c>
      <c r="L1974" s="17">
        <v>0.4212</v>
      </c>
      <c r="M1974" s="150">
        <v>5521.0</v>
      </c>
      <c r="N1974" s="136">
        <v>0.3538</v>
      </c>
      <c r="O1974" s="18">
        <v>603.0</v>
      </c>
      <c r="P1974" s="92">
        <v>554.0</v>
      </c>
      <c r="Q1974" s="137">
        <v>0.036</v>
      </c>
      <c r="R1974" s="17">
        <v>0.1016</v>
      </c>
      <c r="S1974" s="18">
        <v>6.0</v>
      </c>
      <c r="T1974" s="18">
        <v>21.0</v>
      </c>
      <c r="U1974" s="151">
        <v>26596.0</v>
      </c>
      <c r="V1974" s="92" t="s">
        <v>335</v>
      </c>
      <c r="W1974" s="18" t="s">
        <v>40</v>
      </c>
      <c r="X1974" s="174" t="s">
        <v>52</v>
      </c>
      <c r="Y1974" s="95" t="s">
        <v>5843</v>
      </c>
      <c r="Z1974" s="18" t="s">
        <v>5849</v>
      </c>
      <c r="AA1974" s="92">
        <v>56.0</v>
      </c>
      <c r="AB1974" s="18">
        <v>56.0</v>
      </c>
      <c r="AC1974" s="18"/>
      <c r="AD1974" s="14">
        <v>170593.0</v>
      </c>
      <c r="AE1974" s="14">
        <v>170593.0</v>
      </c>
      <c r="AF1974" s="14"/>
      <c r="AG1974" s="22"/>
      <c r="AH1974" s="22"/>
      <c r="AI1974" s="22"/>
      <c r="AJ1974" s="22"/>
      <c r="AK1974" s="22"/>
      <c r="AL1974" s="22"/>
      <c r="AM1974" s="22"/>
      <c r="AN1974" s="22"/>
      <c r="AO1974" s="22"/>
      <c r="AP1974" s="22"/>
    </row>
    <row r="1975" hidden="1">
      <c r="A1975" s="148">
        <v>46194.0</v>
      </c>
      <c r="B1975" s="149">
        <v>0.4791666666666667</v>
      </c>
      <c r="C1975" s="11" t="s">
        <v>32</v>
      </c>
      <c r="D1975" s="102" t="s">
        <v>33</v>
      </c>
      <c r="E1975" s="10" t="s">
        <v>71</v>
      </c>
      <c r="F1975" s="10" t="s">
        <v>5574</v>
      </c>
      <c r="G1975" s="11" t="s">
        <v>5850</v>
      </c>
      <c r="H1975" s="11" t="s">
        <v>2737</v>
      </c>
      <c r="I1975" s="10" t="s">
        <v>5851</v>
      </c>
      <c r="J1975" s="14">
        <v>111639.0</v>
      </c>
      <c r="K1975" s="14">
        <v>45021.0</v>
      </c>
      <c r="L1975" s="17">
        <v>0.4029</v>
      </c>
      <c r="M1975" s="150">
        <v>16508.0</v>
      </c>
      <c r="N1975" s="136">
        <v>0.3624</v>
      </c>
      <c r="O1975" s="18">
        <v>1214.0</v>
      </c>
      <c r="P1975" s="92">
        <v>1134.0</v>
      </c>
      <c r="Q1975" s="137">
        <v>0.0254</v>
      </c>
      <c r="R1975" s="17">
        <v>0.0701</v>
      </c>
      <c r="S1975" s="18">
        <v>10.0</v>
      </c>
      <c r="T1975" s="18">
        <v>15.0</v>
      </c>
      <c r="U1975" s="151">
        <v>22675.0</v>
      </c>
      <c r="V1975" s="92" t="s">
        <v>315</v>
      </c>
      <c r="W1975" s="18" t="s">
        <v>40</v>
      </c>
      <c r="X1975" s="174" t="s">
        <v>4001</v>
      </c>
      <c r="Y1975" s="95" t="s">
        <v>5852</v>
      </c>
      <c r="Z1975" s="18" t="s">
        <v>5853</v>
      </c>
      <c r="AA1975" s="92">
        <v>320.0</v>
      </c>
      <c r="AC1975" s="18">
        <v>320.0</v>
      </c>
      <c r="AD1975" s="14">
        <v>1420839.0</v>
      </c>
      <c r="AE1975" s="14"/>
      <c r="AF1975" s="14">
        <v>1420839.0</v>
      </c>
      <c r="AG1975" s="22"/>
      <c r="AH1975" s="22"/>
      <c r="AI1975" s="22"/>
      <c r="AJ1975" s="22"/>
      <c r="AK1975" s="22"/>
      <c r="AL1975" s="22"/>
      <c r="AM1975" s="22"/>
      <c r="AN1975" s="22"/>
      <c r="AO1975" s="22"/>
      <c r="AP1975" s="22"/>
    </row>
    <row r="1976" hidden="1">
      <c r="A1976" s="148">
        <v>46194.0</v>
      </c>
      <c r="B1976" s="149">
        <v>0.4791666666666667</v>
      </c>
      <c r="C1976" s="11" t="s">
        <v>32</v>
      </c>
      <c r="D1976" s="102" t="s">
        <v>33</v>
      </c>
      <c r="E1976" s="10" t="s">
        <v>71</v>
      </c>
      <c r="F1976" s="10" t="s">
        <v>5574</v>
      </c>
      <c r="G1976" s="11" t="s">
        <v>5854</v>
      </c>
      <c r="H1976" s="11" t="s">
        <v>4330</v>
      </c>
      <c r="I1976" s="10" t="s">
        <v>4331</v>
      </c>
      <c r="J1976" s="14">
        <v>110.0</v>
      </c>
      <c r="K1976" s="14">
        <v>48.0</v>
      </c>
      <c r="L1976" s="17">
        <v>0.4364</v>
      </c>
      <c r="M1976" s="150">
        <v>21.0</v>
      </c>
      <c r="N1976" s="136">
        <v>0.4375</v>
      </c>
      <c r="O1976" s="18">
        <v>1.0</v>
      </c>
      <c r="P1976" s="92">
        <v>1.0</v>
      </c>
      <c r="Q1976" s="137">
        <v>0.0208</v>
      </c>
      <c r="R1976" s="17">
        <v>0.0476</v>
      </c>
      <c r="S1976" s="18">
        <v>0.0</v>
      </c>
      <c r="T1976" s="18">
        <v>0.0</v>
      </c>
      <c r="U1976" s="151">
        <v>0.0</v>
      </c>
      <c r="V1976" s="92" t="s">
        <v>315</v>
      </c>
      <c r="W1976" s="18" t="s">
        <v>40</v>
      </c>
      <c r="X1976" s="174" t="s">
        <v>4332</v>
      </c>
      <c r="Y1976" s="95" t="s">
        <v>5852</v>
      </c>
      <c r="Z1976" s="18" t="s">
        <v>5855</v>
      </c>
      <c r="AA1976" s="92">
        <v>1.0</v>
      </c>
      <c r="AB1976" s="18"/>
      <c r="AC1976" s="18">
        <v>1.0</v>
      </c>
      <c r="AD1976" s="14">
        <v>23684.0</v>
      </c>
      <c r="AE1976" s="14"/>
      <c r="AF1976" s="14">
        <v>23684.0</v>
      </c>
      <c r="AG1976" s="22"/>
      <c r="AH1976" s="22"/>
      <c r="AI1976" s="22"/>
      <c r="AJ1976" s="22"/>
      <c r="AK1976" s="22"/>
      <c r="AL1976" s="22"/>
      <c r="AM1976" s="22"/>
      <c r="AN1976" s="22"/>
      <c r="AO1976" s="22"/>
      <c r="AP1976" s="22"/>
    </row>
    <row r="1977" hidden="1">
      <c r="A1977" s="148">
        <v>46194.0</v>
      </c>
      <c r="B1977" s="149">
        <v>0.4791666666666667</v>
      </c>
      <c r="C1977" s="11" t="s">
        <v>32</v>
      </c>
      <c r="D1977" s="102" t="s">
        <v>33</v>
      </c>
      <c r="E1977" s="10" t="s">
        <v>71</v>
      </c>
      <c r="F1977" s="10" t="s">
        <v>5574</v>
      </c>
      <c r="G1977" s="11" t="s">
        <v>5856</v>
      </c>
      <c r="H1977" s="11" t="s">
        <v>2678</v>
      </c>
      <c r="I1977" s="10" t="s">
        <v>5857</v>
      </c>
      <c r="J1977" s="14">
        <v>12504.0</v>
      </c>
      <c r="K1977" s="14">
        <v>4680.0</v>
      </c>
      <c r="L1977" s="17">
        <v>0.3746</v>
      </c>
      <c r="M1977" s="150">
        <v>1570.0</v>
      </c>
      <c r="N1977" s="136">
        <v>0.3318</v>
      </c>
      <c r="O1977" s="18">
        <v>78.0</v>
      </c>
      <c r="P1977" s="92">
        <v>74.0</v>
      </c>
      <c r="Q1977" s="137">
        <v>0.0159</v>
      </c>
      <c r="R1977" s="17">
        <v>0.048</v>
      </c>
      <c r="S1977" s="18">
        <v>0.0</v>
      </c>
      <c r="T1977" s="18">
        <v>1.0</v>
      </c>
      <c r="U1977" s="151">
        <v>0.0</v>
      </c>
      <c r="V1977" s="92" t="s">
        <v>315</v>
      </c>
      <c r="W1977" s="18" t="s">
        <v>40</v>
      </c>
      <c r="X1977" s="174" t="s">
        <v>52</v>
      </c>
      <c r="Y1977" s="95" t="s">
        <v>5852</v>
      </c>
      <c r="Z1977" s="18" t="s">
        <v>5858</v>
      </c>
      <c r="AA1977" s="92">
        <v>29.0</v>
      </c>
      <c r="AB1977" s="18"/>
      <c r="AC1977" s="18">
        <v>29.0</v>
      </c>
      <c r="AD1977" s="14">
        <v>98284.0</v>
      </c>
      <c r="AE1977" s="14"/>
      <c r="AF1977" s="14">
        <v>98284.0</v>
      </c>
      <c r="AG1977" s="22"/>
      <c r="AH1977" s="22"/>
      <c r="AI1977" s="22"/>
      <c r="AJ1977" s="22"/>
      <c r="AK1977" s="22"/>
      <c r="AL1977" s="22"/>
      <c r="AM1977" s="22"/>
      <c r="AN1977" s="22"/>
      <c r="AO1977" s="22"/>
      <c r="AP1977" s="22"/>
    </row>
    <row r="1978" hidden="1">
      <c r="A1978" s="148">
        <v>46194.0</v>
      </c>
      <c r="B1978" s="149">
        <v>0.4791666666666667</v>
      </c>
      <c r="C1978" s="11" t="s">
        <v>32</v>
      </c>
      <c r="D1978" s="102" t="s">
        <v>33</v>
      </c>
      <c r="E1978" s="10" t="s">
        <v>71</v>
      </c>
      <c r="F1978" s="10" t="s">
        <v>5574</v>
      </c>
      <c r="G1978" s="11" t="s">
        <v>5859</v>
      </c>
      <c r="H1978" s="11" t="s">
        <v>2666</v>
      </c>
      <c r="I1978" s="10" t="s">
        <v>5099</v>
      </c>
      <c r="J1978" s="14">
        <v>111619.0</v>
      </c>
      <c r="K1978" s="14">
        <v>41299.0</v>
      </c>
      <c r="L1978" s="17">
        <v>0.3719</v>
      </c>
      <c r="M1978" s="150">
        <v>13264.0</v>
      </c>
      <c r="N1978" s="136">
        <v>0.3172</v>
      </c>
      <c r="O1978" s="18">
        <v>795.0</v>
      </c>
      <c r="P1978" s="92">
        <v>760.0</v>
      </c>
      <c r="Q1978" s="137">
        <v>0.0186</v>
      </c>
      <c r="R1978" s="17">
        <v>0.0586</v>
      </c>
      <c r="S1978" s="18">
        <v>5.0</v>
      </c>
      <c r="T1978" s="18">
        <v>9.0</v>
      </c>
      <c r="U1978" s="151">
        <v>12437.0</v>
      </c>
      <c r="V1978" s="92" t="s">
        <v>315</v>
      </c>
      <c r="W1978" s="18" t="s">
        <v>40</v>
      </c>
      <c r="X1978" s="174" t="s">
        <v>5100</v>
      </c>
      <c r="Y1978" s="95" t="s">
        <v>5852</v>
      </c>
      <c r="Z1978" s="18" t="s">
        <v>5860</v>
      </c>
      <c r="AA1978" s="92">
        <v>229.0</v>
      </c>
      <c r="AB1978" s="18"/>
      <c r="AC1978" s="18">
        <v>229.0</v>
      </c>
      <c r="AD1978" s="14">
        <v>810935.0</v>
      </c>
      <c r="AE1978" s="14"/>
      <c r="AF1978" s="14">
        <v>810935.0</v>
      </c>
      <c r="AG1978" s="22"/>
      <c r="AH1978" s="22"/>
      <c r="AI1978" s="22"/>
      <c r="AJ1978" s="22"/>
      <c r="AK1978" s="22"/>
      <c r="AL1978" s="22"/>
      <c r="AM1978" s="22"/>
      <c r="AN1978" s="22"/>
      <c r="AO1978" s="22"/>
      <c r="AP1978" s="22"/>
    </row>
    <row r="1979" hidden="1">
      <c r="A1979" s="148">
        <v>46194.0</v>
      </c>
      <c r="B1979" s="149">
        <v>0.4791666666666667</v>
      </c>
      <c r="C1979" s="11" t="s">
        <v>32</v>
      </c>
      <c r="D1979" s="102" t="s">
        <v>33</v>
      </c>
      <c r="E1979" s="10" t="s">
        <v>71</v>
      </c>
      <c r="F1979" s="10" t="s">
        <v>5574</v>
      </c>
      <c r="G1979" s="11" t="s">
        <v>5861</v>
      </c>
      <c r="H1979" s="11" t="s">
        <v>4339</v>
      </c>
      <c r="I1979" s="10" t="s">
        <v>4340</v>
      </c>
      <c r="J1979" s="14">
        <v>31565.0</v>
      </c>
      <c r="K1979" s="14">
        <v>10124.0</v>
      </c>
      <c r="L1979" s="17">
        <v>0.3201</v>
      </c>
      <c r="M1979" s="150">
        <v>3540.0</v>
      </c>
      <c r="N1979" s="136">
        <v>0.3455</v>
      </c>
      <c r="O1979" s="18">
        <v>262.0</v>
      </c>
      <c r="P1979" s="92">
        <v>249.0</v>
      </c>
      <c r="Q1979" s="137">
        <v>0.0247</v>
      </c>
      <c r="R1979" s="17">
        <v>0.0716</v>
      </c>
      <c r="S1979" s="18">
        <v>1.0</v>
      </c>
      <c r="T1979" s="18">
        <v>3.0</v>
      </c>
      <c r="U1979" s="151">
        <v>4138.0</v>
      </c>
      <c r="V1979" s="92" t="s">
        <v>315</v>
      </c>
      <c r="W1979" s="18" t="s">
        <v>40</v>
      </c>
      <c r="X1979" s="174" t="s">
        <v>2552</v>
      </c>
      <c r="Y1979" s="95" t="s">
        <v>5852</v>
      </c>
      <c r="Z1979" s="18" t="s">
        <v>5862</v>
      </c>
      <c r="AA1979" s="92">
        <v>35.0</v>
      </c>
      <c r="AB1979" s="18"/>
      <c r="AC1979" s="18">
        <v>35.0</v>
      </c>
      <c r="AD1979" s="14">
        <v>173285.0</v>
      </c>
      <c r="AE1979" s="14"/>
      <c r="AF1979" s="14">
        <v>173285.0</v>
      </c>
      <c r="AG1979" s="22"/>
      <c r="AH1979" s="22"/>
      <c r="AI1979" s="22"/>
      <c r="AJ1979" s="22"/>
      <c r="AK1979" s="22"/>
      <c r="AL1979" s="22"/>
      <c r="AM1979" s="22"/>
      <c r="AN1979" s="22"/>
      <c r="AO1979" s="22"/>
      <c r="AP1979" s="22"/>
    </row>
    <row r="1980" hidden="1">
      <c r="A1980" s="148">
        <v>46192.0</v>
      </c>
      <c r="B1980" s="149">
        <v>0.5111111111111111</v>
      </c>
      <c r="C1980" s="11" t="s">
        <v>32</v>
      </c>
      <c r="D1980" s="102" t="s">
        <v>33</v>
      </c>
      <c r="E1980" s="10" t="s">
        <v>71</v>
      </c>
      <c r="F1980" s="10" t="s">
        <v>5574</v>
      </c>
      <c r="G1980" s="11" t="s">
        <v>5863</v>
      </c>
      <c r="H1980" s="11" t="s">
        <v>5048</v>
      </c>
      <c r="I1980" s="10" t="s">
        <v>5049</v>
      </c>
      <c r="J1980" s="14">
        <v>2798.0</v>
      </c>
      <c r="K1980" s="14">
        <v>1394.0</v>
      </c>
      <c r="L1980" s="17">
        <v>0.4964</v>
      </c>
      <c r="M1980" s="150">
        <v>692.0</v>
      </c>
      <c r="N1980" s="165">
        <v>0.4924</v>
      </c>
      <c r="O1980" s="18">
        <v>104.0</v>
      </c>
      <c r="P1980" s="92">
        <v>93.0</v>
      </c>
      <c r="Q1980" s="166">
        <v>0.067</v>
      </c>
      <c r="R1980" s="17">
        <v>0.136</v>
      </c>
      <c r="S1980" s="18">
        <v>17.0</v>
      </c>
      <c r="T1980" s="18">
        <v>94.0</v>
      </c>
      <c r="U1980" s="151">
        <v>42137.0</v>
      </c>
      <c r="V1980" s="92" t="s">
        <v>335</v>
      </c>
      <c r="W1980" s="18" t="s">
        <v>76</v>
      </c>
      <c r="X1980" s="177" t="s">
        <v>2131</v>
      </c>
      <c r="Y1980" s="94" t="s">
        <v>5831</v>
      </c>
      <c r="Z1980" s="18" t="s">
        <v>5864</v>
      </c>
      <c r="AA1980" s="92">
        <v>32.0</v>
      </c>
      <c r="AB1980" s="18">
        <v>32.0</v>
      </c>
      <c r="AC1980" s="18"/>
      <c r="AD1980" s="14">
        <v>68785.0</v>
      </c>
      <c r="AE1980" s="14">
        <v>68785.0</v>
      </c>
      <c r="AF1980" s="14"/>
      <c r="AG1980" s="22"/>
      <c r="AH1980" s="22"/>
      <c r="AI1980" s="22"/>
      <c r="AJ1980" s="22"/>
      <c r="AK1980" s="22"/>
      <c r="AL1980" s="22"/>
      <c r="AM1980" s="22"/>
      <c r="AN1980" s="22"/>
      <c r="AO1980" s="22"/>
      <c r="AP1980" s="22"/>
    </row>
    <row r="1981" hidden="1">
      <c r="A1981" s="148">
        <v>46192.0</v>
      </c>
      <c r="B1981" s="149">
        <v>0.5388888888888889</v>
      </c>
      <c r="C1981" s="11" t="s">
        <v>32</v>
      </c>
      <c r="D1981" s="102" t="s">
        <v>33</v>
      </c>
      <c r="E1981" s="10" t="s">
        <v>71</v>
      </c>
      <c r="F1981" s="10" t="s">
        <v>5574</v>
      </c>
      <c r="G1981" s="11" t="s">
        <v>5865</v>
      </c>
      <c r="H1981" s="11" t="s">
        <v>5866</v>
      </c>
      <c r="I1981" s="10" t="s">
        <v>5867</v>
      </c>
      <c r="J1981" s="14">
        <v>7004.0</v>
      </c>
      <c r="K1981" s="14">
        <v>2338.0</v>
      </c>
      <c r="L1981" s="17">
        <v>0.3321</v>
      </c>
      <c r="M1981" s="150">
        <v>784.0</v>
      </c>
      <c r="N1981" s="165">
        <v>0.3298</v>
      </c>
      <c r="O1981" s="18">
        <v>142.0</v>
      </c>
      <c r="P1981" s="92">
        <v>132.0</v>
      </c>
      <c r="Q1981" s="166">
        <v>0.0567</v>
      </c>
      <c r="R1981" s="17">
        <v>0.1721</v>
      </c>
      <c r="S1981" s="18">
        <v>3.0</v>
      </c>
      <c r="T1981" s="18">
        <v>7.0</v>
      </c>
      <c r="U1981" s="151">
        <v>5373.0</v>
      </c>
      <c r="V1981" s="92" t="s">
        <v>335</v>
      </c>
      <c r="W1981" s="18" t="s">
        <v>76</v>
      </c>
      <c r="X1981" s="177" t="s">
        <v>5840</v>
      </c>
      <c r="Y1981" s="94" t="s">
        <v>5831</v>
      </c>
      <c r="Z1981" s="18" t="s">
        <v>5868</v>
      </c>
      <c r="AA1981" s="92">
        <v>26.0</v>
      </c>
      <c r="AB1981" s="18">
        <v>26.0</v>
      </c>
      <c r="AC1981" s="18"/>
      <c r="AD1981" s="14">
        <v>95582.0</v>
      </c>
      <c r="AE1981" s="14">
        <v>95582.0</v>
      </c>
      <c r="AF1981" s="14"/>
      <c r="AG1981" s="22"/>
      <c r="AH1981" s="22"/>
      <c r="AI1981" s="22"/>
      <c r="AJ1981" s="22"/>
      <c r="AK1981" s="22"/>
      <c r="AL1981" s="22"/>
      <c r="AM1981" s="22"/>
      <c r="AN1981" s="22"/>
      <c r="AO1981" s="22"/>
      <c r="AP1981" s="22"/>
    </row>
    <row r="1982" hidden="1">
      <c r="A1982" s="148">
        <v>46192.0</v>
      </c>
      <c r="B1982" s="149">
        <v>0.4166666666666667</v>
      </c>
      <c r="C1982" s="11" t="s">
        <v>32</v>
      </c>
      <c r="D1982" s="102" t="s">
        <v>33</v>
      </c>
      <c r="E1982" s="10" t="s">
        <v>1998</v>
      </c>
      <c r="F1982" s="10" t="s">
        <v>5869</v>
      </c>
      <c r="G1982" s="11" t="s">
        <v>5870</v>
      </c>
      <c r="H1982" s="11" t="s">
        <v>5312</v>
      </c>
      <c r="I1982" s="180" t="s">
        <v>5871</v>
      </c>
      <c r="J1982" s="14">
        <v>49224.0</v>
      </c>
      <c r="K1982" s="14">
        <v>12727.0</v>
      </c>
      <c r="L1982" s="17">
        <v>0.2583</v>
      </c>
      <c r="M1982" s="150">
        <v>5097.0</v>
      </c>
      <c r="N1982" s="165">
        <v>0.3965</v>
      </c>
      <c r="O1982" s="18">
        <v>451.0</v>
      </c>
      <c r="P1982" s="92">
        <v>427.0</v>
      </c>
      <c r="Q1982" s="166">
        <v>0.0336</v>
      </c>
      <c r="R1982" s="17">
        <v>0.0847</v>
      </c>
      <c r="S1982" s="18">
        <v>5.0</v>
      </c>
      <c r="T1982" s="18">
        <v>0.0</v>
      </c>
      <c r="U1982" s="151">
        <v>0.0</v>
      </c>
      <c r="V1982" s="92" t="s">
        <v>183</v>
      </c>
      <c r="W1982" s="18" t="s">
        <v>76</v>
      </c>
      <c r="X1982" s="177" t="s">
        <v>4296</v>
      </c>
      <c r="Y1982" s="181" t="s">
        <v>5872</v>
      </c>
      <c r="Z1982" s="18" t="s">
        <v>5873</v>
      </c>
      <c r="AA1982" s="92">
        <v>6.0</v>
      </c>
      <c r="AB1982" s="18">
        <v>2.0</v>
      </c>
      <c r="AC1982" s="18">
        <v>4.0</v>
      </c>
      <c r="AD1982" s="14">
        <v>38618.0</v>
      </c>
      <c r="AE1982" s="14">
        <v>6498.0</v>
      </c>
      <c r="AF1982" s="14">
        <v>32120.0</v>
      </c>
      <c r="AG1982" s="22"/>
      <c r="AH1982" s="22"/>
      <c r="AI1982" s="22"/>
      <c r="AJ1982" s="22"/>
      <c r="AK1982" s="22"/>
      <c r="AL1982" s="22"/>
      <c r="AM1982" s="22"/>
      <c r="AN1982" s="22"/>
      <c r="AO1982" s="22"/>
      <c r="AP1982" s="22"/>
    </row>
    <row r="1983" hidden="1">
      <c r="A1983" s="148">
        <v>46191.0</v>
      </c>
      <c r="B1983" s="149">
        <v>0.375</v>
      </c>
      <c r="C1983" s="11" t="s">
        <v>32</v>
      </c>
      <c r="D1983" s="102" t="s">
        <v>33</v>
      </c>
      <c r="E1983" s="10" t="s">
        <v>34</v>
      </c>
      <c r="F1983" s="10" t="s">
        <v>5874</v>
      </c>
      <c r="G1983" s="11" t="s">
        <v>5875</v>
      </c>
      <c r="H1983" s="11" t="s">
        <v>5876</v>
      </c>
      <c r="I1983" s="10" t="s">
        <v>5877</v>
      </c>
      <c r="J1983" s="14">
        <v>23928.0</v>
      </c>
      <c r="K1983" s="14">
        <v>12364.0</v>
      </c>
      <c r="L1983" s="17">
        <v>0.414</v>
      </c>
      <c r="M1983" s="150">
        <v>4644.0</v>
      </c>
      <c r="N1983" s="136">
        <v>0.4597</v>
      </c>
      <c r="O1983" s="18">
        <v>440.0</v>
      </c>
      <c r="P1983" s="92">
        <v>391.0</v>
      </c>
      <c r="Q1983" s="137">
        <v>0.0395</v>
      </c>
      <c r="R1983" s="17">
        <v>0.0859</v>
      </c>
      <c r="S1983" s="18">
        <v>9.0</v>
      </c>
      <c r="T1983" s="18">
        <v>0.0</v>
      </c>
      <c r="U1983" s="151">
        <v>45042.0</v>
      </c>
      <c r="V1983" s="92" t="s">
        <v>183</v>
      </c>
      <c r="W1983" s="18" t="s">
        <v>76</v>
      </c>
      <c r="X1983" s="174" t="s">
        <v>5878</v>
      </c>
      <c r="Y1983" s="94" t="s">
        <v>5879</v>
      </c>
      <c r="Z1983" s="37" t="s">
        <v>5880</v>
      </c>
      <c r="AA1983" s="92">
        <v>29.0</v>
      </c>
      <c r="AB1983" s="18">
        <v>6.0</v>
      </c>
      <c r="AC1983" s="18">
        <v>23.0</v>
      </c>
      <c r="AD1983" s="14">
        <v>226244.0</v>
      </c>
      <c r="AE1983" s="14">
        <v>39394.0</v>
      </c>
      <c r="AF1983" s="14">
        <v>186850.0</v>
      </c>
      <c r="AG1983" s="22"/>
      <c r="AH1983" s="22"/>
      <c r="AI1983" s="22"/>
      <c r="AJ1983" s="22"/>
      <c r="AK1983" s="22"/>
      <c r="AL1983" s="22"/>
      <c r="AM1983" s="22"/>
      <c r="AN1983" s="22"/>
      <c r="AO1983" s="22"/>
      <c r="AP1983" s="22"/>
    </row>
    <row r="1984" hidden="1">
      <c r="A1984" s="148">
        <v>46191.0</v>
      </c>
      <c r="B1984" s="149">
        <v>0.375</v>
      </c>
      <c r="C1984" s="11" t="s">
        <v>32</v>
      </c>
      <c r="D1984" s="102" t="s">
        <v>33</v>
      </c>
      <c r="E1984" s="10" t="s">
        <v>34</v>
      </c>
      <c r="F1984" s="10" t="s">
        <v>5874</v>
      </c>
      <c r="G1984" s="11" t="s">
        <v>5881</v>
      </c>
      <c r="H1984" s="11" t="s">
        <v>5882</v>
      </c>
      <c r="I1984" s="10" t="s">
        <v>5883</v>
      </c>
      <c r="J1984" s="14">
        <v>52447.0</v>
      </c>
      <c r="K1984" s="14">
        <v>27295.0</v>
      </c>
      <c r="L1984" s="17">
        <v>0.4408</v>
      </c>
      <c r="M1984" s="150">
        <v>10931.0</v>
      </c>
      <c r="N1984" s="136">
        <v>0.4655</v>
      </c>
      <c r="O1984" s="18">
        <v>870.0</v>
      </c>
      <c r="P1984" s="92">
        <v>826.0</v>
      </c>
      <c r="Q1984" s="137">
        <v>0.0357</v>
      </c>
      <c r="R1984" s="17">
        <v>0.0768</v>
      </c>
      <c r="S1984" s="18">
        <v>19.0</v>
      </c>
      <c r="T1984" s="18">
        <v>0.0</v>
      </c>
      <c r="U1984" s="151">
        <v>145056.0</v>
      </c>
      <c r="V1984" s="92" t="s">
        <v>183</v>
      </c>
      <c r="W1984" s="18" t="s">
        <v>76</v>
      </c>
      <c r="X1984" s="174" t="s">
        <v>5884</v>
      </c>
      <c r="Y1984" s="94" t="s">
        <v>5879</v>
      </c>
      <c r="Z1984" s="37" t="s">
        <v>5885</v>
      </c>
      <c r="AA1984" s="92">
        <v>39.0</v>
      </c>
      <c r="AB1984" s="18">
        <v>8.0</v>
      </c>
      <c r="AC1984" s="18">
        <v>31.0</v>
      </c>
      <c r="AD1984" s="14">
        <v>387106.0</v>
      </c>
      <c r="AE1984" s="14">
        <v>72089.0</v>
      </c>
      <c r="AF1984" s="14">
        <v>315017.0</v>
      </c>
      <c r="AG1984" s="22"/>
      <c r="AH1984" s="22"/>
      <c r="AI1984" s="22"/>
      <c r="AJ1984" s="22"/>
      <c r="AK1984" s="22"/>
      <c r="AL1984" s="22"/>
      <c r="AM1984" s="22"/>
      <c r="AN1984" s="22"/>
      <c r="AO1984" s="22"/>
      <c r="AP1984" s="22"/>
    </row>
    <row r="1985" hidden="1">
      <c r="A1985" s="148">
        <v>46191.0</v>
      </c>
      <c r="B1985" s="149">
        <v>0.375</v>
      </c>
      <c r="C1985" s="11" t="s">
        <v>32</v>
      </c>
      <c r="D1985" s="102" t="s">
        <v>33</v>
      </c>
      <c r="E1985" s="10" t="s">
        <v>34</v>
      </c>
      <c r="F1985" s="10" t="s">
        <v>5874</v>
      </c>
      <c r="G1985" s="11" t="s">
        <v>5886</v>
      </c>
      <c r="H1985" s="11" t="s">
        <v>5887</v>
      </c>
      <c r="I1985" s="10" t="s">
        <v>5888</v>
      </c>
      <c r="J1985" s="14">
        <v>19378.0</v>
      </c>
      <c r="K1985" s="14">
        <v>9499.0</v>
      </c>
      <c r="L1985" s="17">
        <v>0.4786</v>
      </c>
      <c r="M1985" s="150">
        <v>3410.0</v>
      </c>
      <c r="N1985" s="136">
        <v>0.3687</v>
      </c>
      <c r="O1985" s="18">
        <v>292.0</v>
      </c>
      <c r="P1985" s="92">
        <v>276.0</v>
      </c>
      <c r="Q1985" s="137">
        <v>0.0299</v>
      </c>
      <c r="R1985" s="17">
        <v>0.0811</v>
      </c>
      <c r="S1985" s="18">
        <v>13.0</v>
      </c>
      <c r="T1985" s="18">
        <v>0.0</v>
      </c>
      <c r="U1985" s="151">
        <v>106061.0</v>
      </c>
      <c r="V1985" s="92" t="s">
        <v>183</v>
      </c>
      <c r="W1985" s="18" t="s">
        <v>76</v>
      </c>
      <c r="X1985" s="174" t="s">
        <v>5889</v>
      </c>
      <c r="Y1985" s="94" t="s">
        <v>5879</v>
      </c>
      <c r="Z1985" s="37" t="s">
        <v>5890</v>
      </c>
      <c r="AA1985" s="92">
        <v>12.0</v>
      </c>
      <c r="AB1985" s="18">
        <v>2.0</v>
      </c>
      <c r="AC1985" s="18">
        <v>10.0</v>
      </c>
      <c r="AD1985" s="14">
        <v>100237.0</v>
      </c>
      <c r="AE1985" s="14">
        <v>12998.0</v>
      </c>
      <c r="AF1985" s="14">
        <v>87239.0</v>
      </c>
      <c r="AG1985" s="22"/>
      <c r="AH1985" s="22"/>
      <c r="AI1985" s="22"/>
      <c r="AJ1985" s="22"/>
      <c r="AK1985" s="22"/>
      <c r="AL1985" s="22"/>
      <c r="AM1985" s="22"/>
      <c r="AN1985" s="22"/>
      <c r="AO1985" s="22"/>
      <c r="AP1985" s="22"/>
    </row>
    <row r="1986" hidden="1">
      <c r="A1986" s="148">
        <v>46191.0</v>
      </c>
      <c r="B1986" s="149">
        <v>0.375</v>
      </c>
      <c r="C1986" s="11" t="s">
        <v>32</v>
      </c>
      <c r="D1986" s="102" t="s">
        <v>33</v>
      </c>
      <c r="E1986" s="10" t="s">
        <v>34</v>
      </c>
      <c r="F1986" s="10" t="s">
        <v>5874</v>
      </c>
      <c r="G1986" s="11" t="s">
        <v>5891</v>
      </c>
      <c r="H1986" s="11" t="s">
        <v>5892</v>
      </c>
      <c r="I1986" s="10" t="s">
        <v>5893</v>
      </c>
      <c r="J1986" s="14">
        <v>41448.0</v>
      </c>
      <c r="K1986" s="14">
        <v>21727.0</v>
      </c>
      <c r="L1986" s="17">
        <v>0.4209</v>
      </c>
      <c r="M1986" s="150">
        <v>8193.0</v>
      </c>
      <c r="N1986" s="136">
        <v>0.4558</v>
      </c>
      <c r="O1986" s="18">
        <v>765.0</v>
      </c>
      <c r="P1986" s="92">
        <v>717.0</v>
      </c>
      <c r="Q1986" s="137">
        <v>0.0411</v>
      </c>
      <c r="R1986" s="17">
        <v>0.0902</v>
      </c>
      <c r="S1986" s="18">
        <v>24.0</v>
      </c>
      <c r="T1986" s="18">
        <v>0.0</v>
      </c>
      <c r="U1986" s="151">
        <v>182500.0</v>
      </c>
      <c r="V1986" s="92" t="s">
        <v>183</v>
      </c>
      <c r="W1986" s="18" t="s">
        <v>76</v>
      </c>
      <c r="X1986" s="174" t="s">
        <v>5894</v>
      </c>
      <c r="Y1986" s="94" t="s">
        <v>5879</v>
      </c>
      <c r="Z1986" s="37" t="s">
        <v>5895</v>
      </c>
      <c r="AA1986" s="92">
        <v>47.0</v>
      </c>
      <c r="AB1986" s="18">
        <v>18.0</v>
      </c>
      <c r="AC1986" s="18">
        <v>29.0</v>
      </c>
      <c r="AD1986" s="14">
        <v>355229.0</v>
      </c>
      <c r="AE1986" s="14">
        <v>131780.0</v>
      </c>
      <c r="AF1986" s="14">
        <v>223449.0</v>
      </c>
      <c r="AG1986" s="22"/>
      <c r="AH1986" s="22"/>
      <c r="AI1986" s="22"/>
      <c r="AJ1986" s="22"/>
      <c r="AK1986" s="22"/>
      <c r="AL1986" s="22"/>
      <c r="AM1986" s="22"/>
      <c r="AN1986" s="22"/>
      <c r="AO1986" s="22"/>
      <c r="AP1986" s="22"/>
    </row>
    <row r="1987" hidden="1">
      <c r="A1987" s="148">
        <v>46192.0</v>
      </c>
      <c r="B1987" s="149">
        <v>0.4375</v>
      </c>
      <c r="C1987" s="11" t="s">
        <v>58</v>
      </c>
      <c r="D1987" s="102" t="s">
        <v>3083</v>
      </c>
      <c r="E1987" s="10" t="s">
        <v>179</v>
      </c>
      <c r="F1987" s="10" t="s">
        <v>5482</v>
      </c>
      <c r="G1987" s="11" t="s">
        <v>5896</v>
      </c>
      <c r="H1987" s="11" t="s">
        <v>2409</v>
      </c>
      <c r="I1987" s="10" t="s">
        <v>61</v>
      </c>
      <c r="J1987" s="14">
        <v>13302.0</v>
      </c>
      <c r="K1987" s="14">
        <v>7167.0</v>
      </c>
      <c r="L1987" s="17">
        <v>0.5388</v>
      </c>
      <c r="M1987" s="150">
        <v>0.0</v>
      </c>
      <c r="N1987" s="136">
        <v>0.0</v>
      </c>
      <c r="O1987" s="18">
        <v>0.0</v>
      </c>
      <c r="P1987" s="92">
        <v>0.0</v>
      </c>
      <c r="Q1987" s="137">
        <v>0.0</v>
      </c>
      <c r="R1987" s="17">
        <v>0.0</v>
      </c>
      <c r="S1987" s="18">
        <v>27.0</v>
      </c>
      <c r="T1987" s="18">
        <v>0.0</v>
      </c>
      <c r="U1987" s="151">
        <v>368039.0</v>
      </c>
      <c r="V1987" s="92" t="s">
        <v>315</v>
      </c>
      <c r="W1987" s="18" t="s">
        <v>58</v>
      </c>
      <c r="X1987" s="174" t="s">
        <v>3282</v>
      </c>
      <c r="Y1987" s="94" t="s">
        <v>5768</v>
      </c>
      <c r="Z1987" s="18" t="s">
        <v>5897</v>
      </c>
      <c r="AA1987" s="18">
        <v>43.0</v>
      </c>
      <c r="AB1987" s="18"/>
      <c r="AC1987" s="18">
        <v>43.0</v>
      </c>
      <c r="AD1987" s="14">
        <v>508036.0</v>
      </c>
      <c r="AE1987" s="14"/>
      <c r="AF1987" s="14">
        <v>508036.0</v>
      </c>
      <c r="AG1987" s="22"/>
      <c r="AH1987" s="22"/>
      <c r="AI1987" s="22"/>
      <c r="AJ1987" s="22"/>
      <c r="AK1987" s="22"/>
      <c r="AL1987" s="22"/>
      <c r="AM1987" s="22"/>
      <c r="AN1987" s="22"/>
      <c r="AO1987" s="22"/>
      <c r="AP1987" s="22"/>
    </row>
    <row r="1988" hidden="1">
      <c r="A1988" s="148">
        <v>46192.0</v>
      </c>
      <c r="B1988" s="149">
        <v>0.4375</v>
      </c>
      <c r="C1988" s="11" t="s">
        <v>58</v>
      </c>
      <c r="D1988" s="102" t="s">
        <v>3083</v>
      </c>
      <c r="E1988" s="10" t="s">
        <v>179</v>
      </c>
      <c r="F1988" s="10" t="s">
        <v>5482</v>
      </c>
      <c r="G1988" s="11" t="s">
        <v>5898</v>
      </c>
      <c r="H1988" s="11" t="s">
        <v>2406</v>
      </c>
      <c r="I1988" s="10" t="s">
        <v>61</v>
      </c>
      <c r="J1988" s="14">
        <v>5714.0</v>
      </c>
      <c r="K1988" s="14">
        <v>3442.0</v>
      </c>
      <c r="L1988" s="17">
        <v>0.6024</v>
      </c>
      <c r="M1988" s="150">
        <v>0.0</v>
      </c>
      <c r="N1988" s="136">
        <v>0.0</v>
      </c>
      <c r="O1988" s="18">
        <v>0.0</v>
      </c>
      <c r="P1988" s="92">
        <v>0.0</v>
      </c>
      <c r="Q1988" s="137">
        <v>0.0</v>
      </c>
      <c r="R1988" s="17">
        <v>0.0</v>
      </c>
      <c r="S1988" s="18">
        <v>16.0</v>
      </c>
      <c r="T1988" s="18">
        <v>0.0</v>
      </c>
      <c r="U1988" s="151">
        <v>114257.0</v>
      </c>
      <c r="V1988" s="92" t="s">
        <v>315</v>
      </c>
      <c r="W1988" s="18" t="s">
        <v>58</v>
      </c>
      <c r="X1988" s="174" t="s">
        <v>3282</v>
      </c>
      <c r="Y1988" s="94" t="s">
        <v>5768</v>
      </c>
      <c r="Z1988" s="18" t="s">
        <v>5899</v>
      </c>
      <c r="AA1988" s="18">
        <v>22.0</v>
      </c>
      <c r="AB1988" s="18"/>
      <c r="AC1988" s="18">
        <v>22.0</v>
      </c>
      <c r="AD1988" s="14">
        <v>170855.0</v>
      </c>
      <c r="AE1988" s="14"/>
      <c r="AF1988" s="14">
        <v>170855.0</v>
      </c>
      <c r="AG1988" s="22"/>
      <c r="AH1988" s="22"/>
      <c r="AI1988" s="22"/>
      <c r="AJ1988" s="22"/>
      <c r="AK1988" s="22"/>
      <c r="AL1988" s="22"/>
      <c r="AM1988" s="22"/>
      <c r="AN1988" s="22"/>
      <c r="AO1988" s="22"/>
      <c r="AP1988" s="22"/>
    </row>
    <row r="1989" hidden="1">
      <c r="A1989" s="148">
        <v>46192.0</v>
      </c>
      <c r="B1989" s="149">
        <v>0.4375</v>
      </c>
      <c r="C1989" s="11" t="s">
        <v>58</v>
      </c>
      <c r="D1989" s="102" t="s">
        <v>3083</v>
      </c>
      <c r="E1989" s="10" t="s">
        <v>179</v>
      </c>
      <c r="F1989" s="10" t="s">
        <v>5482</v>
      </c>
      <c r="G1989" s="11" t="s">
        <v>5900</v>
      </c>
      <c r="H1989" s="11" t="s">
        <v>2378</v>
      </c>
      <c r="I1989" s="10" t="s">
        <v>61</v>
      </c>
      <c r="J1989" s="14">
        <v>13393.0</v>
      </c>
      <c r="K1989" s="14">
        <v>7383.0</v>
      </c>
      <c r="L1989" s="17">
        <v>0.5513</v>
      </c>
      <c r="M1989" s="150">
        <v>0.0</v>
      </c>
      <c r="N1989" s="136">
        <v>0.0</v>
      </c>
      <c r="O1989" s="18">
        <v>0.0</v>
      </c>
      <c r="P1989" s="92">
        <v>0.0</v>
      </c>
      <c r="Q1989" s="137">
        <v>0.0</v>
      </c>
      <c r="R1989" s="17">
        <v>0.0</v>
      </c>
      <c r="S1989" s="18">
        <v>38.0</v>
      </c>
      <c r="T1989" s="18">
        <v>0.0</v>
      </c>
      <c r="U1989" s="151">
        <v>317048.0</v>
      </c>
      <c r="V1989" s="92" t="s">
        <v>315</v>
      </c>
      <c r="W1989" s="18" t="s">
        <v>58</v>
      </c>
      <c r="X1989" s="174" t="s">
        <v>3282</v>
      </c>
      <c r="Y1989" s="94" t="s">
        <v>5768</v>
      </c>
      <c r="Z1989" s="18" t="s">
        <v>5901</v>
      </c>
      <c r="AA1989" s="18">
        <v>52.0</v>
      </c>
      <c r="AB1989" s="18"/>
      <c r="AC1989" s="18">
        <v>52.0</v>
      </c>
      <c r="AD1989" s="14">
        <v>423722.0</v>
      </c>
      <c r="AE1989" s="14"/>
      <c r="AF1989" s="14">
        <v>423722.0</v>
      </c>
      <c r="AG1989" s="22"/>
      <c r="AH1989" s="22"/>
      <c r="AI1989" s="22"/>
      <c r="AJ1989" s="22"/>
      <c r="AK1989" s="22"/>
      <c r="AL1989" s="22"/>
      <c r="AM1989" s="22"/>
      <c r="AN1989" s="22"/>
      <c r="AO1989" s="22"/>
      <c r="AP1989" s="22"/>
    </row>
    <row r="1990" hidden="1">
      <c r="A1990" s="148">
        <v>46192.0</v>
      </c>
      <c r="B1990" s="149">
        <v>0.4375</v>
      </c>
      <c r="C1990" s="11" t="s">
        <v>58</v>
      </c>
      <c r="D1990" s="102" t="s">
        <v>3083</v>
      </c>
      <c r="E1990" s="10" t="s">
        <v>179</v>
      </c>
      <c r="F1990" s="10" t="s">
        <v>5482</v>
      </c>
      <c r="G1990" s="11" t="s">
        <v>5902</v>
      </c>
      <c r="H1990" s="11" t="s">
        <v>2384</v>
      </c>
      <c r="I1990" s="10" t="s">
        <v>61</v>
      </c>
      <c r="J1990" s="14">
        <v>12880.0</v>
      </c>
      <c r="K1990" s="14">
        <v>7299.0</v>
      </c>
      <c r="L1990" s="17">
        <v>0.5667</v>
      </c>
      <c r="M1990" s="150">
        <v>0.0</v>
      </c>
      <c r="N1990" s="136">
        <v>0.0</v>
      </c>
      <c r="O1990" s="18">
        <v>0.0</v>
      </c>
      <c r="P1990" s="92">
        <v>0.0</v>
      </c>
      <c r="Q1990" s="137">
        <v>0.0</v>
      </c>
      <c r="R1990" s="17">
        <v>0.0</v>
      </c>
      <c r="S1990" s="18">
        <v>34.0</v>
      </c>
      <c r="T1990" s="18">
        <v>0.0</v>
      </c>
      <c r="U1990" s="151">
        <v>301073.0</v>
      </c>
      <c r="V1990" s="92" t="s">
        <v>315</v>
      </c>
      <c r="W1990" s="18" t="s">
        <v>58</v>
      </c>
      <c r="X1990" s="174" t="s">
        <v>3282</v>
      </c>
      <c r="Y1990" s="94" t="s">
        <v>5768</v>
      </c>
      <c r="Z1990" s="18" t="s">
        <v>5903</v>
      </c>
      <c r="AA1990" s="18">
        <v>58.0</v>
      </c>
      <c r="AB1990" s="18"/>
      <c r="AC1990" s="18">
        <v>58.0</v>
      </c>
      <c r="AD1990" s="14">
        <v>464517.0</v>
      </c>
      <c r="AE1990" s="14"/>
      <c r="AF1990" s="14">
        <v>464517.0</v>
      </c>
      <c r="AG1990" s="22"/>
      <c r="AH1990" s="22"/>
      <c r="AI1990" s="22"/>
      <c r="AJ1990" s="22"/>
      <c r="AK1990" s="22"/>
      <c r="AL1990" s="22"/>
      <c r="AM1990" s="22"/>
      <c r="AN1990" s="22"/>
      <c r="AO1990" s="22"/>
      <c r="AP1990" s="22"/>
    </row>
    <row r="1991" hidden="1">
      <c r="A1991" s="148">
        <v>46192.0</v>
      </c>
      <c r="B1991" s="149">
        <v>0.4375</v>
      </c>
      <c r="C1991" s="11" t="s">
        <v>58</v>
      </c>
      <c r="D1991" s="102" t="s">
        <v>3083</v>
      </c>
      <c r="E1991" s="10" t="s">
        <v>179</v>
      </c>
      <c r="F1991" s="10" t="s">
        <v>5482</v>
      </c>
      <c r="G1991" s="11" t="s">
        <v>5904</v>
      </c>
      <c r="H1991" s="11" t="s">
        <v>2400</v>
      </c>
      <c r="I1991" s="10" t="s">
        <v>61</v>
      </c>
      <c r="J1991" s="14">
        <v>9847.0</v>
      </c>
      <c r="K1991" s="14">
        <v>6199.0</v>
      </c>
      <c r="L1991" s="17">
        <v>0.6295</v>
      </c>
      <c r="M1991" s="150">
        <v>0.0</v>
      </c>
      <c r="N1991" s="136">
        <v>0.0</v>
      </c>
      <c r="O1991" s="18">
        <v>0.0</v>
      </c>
      <c r="P1991" s="92">
        <v>0.0</v>
      </c>
      <c r="Q1991" s="137">
        <v>0.0</v>
      </c>
      <c r="R1991" s="17">
        <v>0.0</v>
      </c>
      <c r="S1991" s="18">
        <v>23.0</v>
      </c>
      <c r="T1991" s="18">
        <v>0.0</v>
      </c>
      <c r="U1991" s="151">
        <v>226300.0</v>
      </c>
      <c r="V1991" s="92" t="s">
        <v>315</v>
      </c>
      <c r="W1991" s="18" t="s">
        <v>58</v>
      </c>
      <c r="X1991" s="174" t="s">
        <v>3282</v>
      </c>
      <c r="Y1991" s="94" t="s">
        <v>5768</v>
      </c>
      <c r="Z1991" s="18" t="s">
        <v>5905</v>
      </c>
      <c r="AA1991" s="92">
        <v>45.0</v>
      </c>
      <c r="AB1991" s="18"/>
      <c r="AC1991" s="18">
        <v>45.0</v>
      </c>
      <c r="AD1991" s="14">
        <v>355519.0</v>
      </c>
      <c r="AE1991" s="14"/>
      <c r="AF1991" s="14">
        <v>355519.0</v>
      </c>
      <c r="AG1991" s="22"/>
      <c r="AH1991" s="22"/>
      <c r="AI1991" s="22"/>
      <c r="AJ1991" s="22"/>
      <c r="AK1991" s="22"/>
      <c r="AL1991" s="22"/>
      <c r="AM1991" s="22"/>
      <c r="AN1991" s="22"/>
      <c r="AO1991" s="22"/>
      <c r="AP1991" s="22"/>
    </row>
    <row r="1992" hidden="1">
      <c r="A1992" s="148">
        <v>46192.0</v>
      </c>
      <c r="B1992" s="149">
        <v>0.4375</v>
      </c>
      <c r="C1992" s="11" t="s">
        <v>58</v>
      </c>
      <c r="D1992" s="102" t="s">
        <v>3083</v>
      </c>
      <c r="E1992" s="10" t="s">
        <v>179</v>
      </c>
      <c r="F1992" s="10" t="s">
        <v>5482</v>
      </c>
      <c r="G1992" s="11" t="s">
        <v>5906</v>
      </c>
      <c r="H1992" s="11" t="s">
        <v>2403</v>
      </c>
      <c r="I1992" s="10" t="s">
        <v>61</v>
      </c>
      <c r="J1992" s="14">
        <v>2924.0</v>
      </c>
      <c r="K1992" s="14">
        <v>1969.0</v>
      </c>
      <c r="L1992" s="17">
        <v>0.6734</v>
      </c>
      <c r="M1992" s="150">
        <v>0.0</v>
      </c>
      <c r="N1992" s="136">
        <v>0.0</v>
      </c>
      <c r="O1992" s="18">
        <v>0.0</v>
      </c>
      <c r="P1992" s="92">
        <v>0.0</v>
      </c>
      <c r="Q1992" s="137">
        <v>0.0</v>
      </c>
      <c r="R1992" s="17">
        <v>0.0</v>
      </c>
      <c r="S1992" s="18">
        <v>8.0</v>
      </c>
      <c r="T1992" s="18">
        <v>0.0</v>
      </c>
      <c r="U1992" s="151">
        <v>61074.0</v>
      </c>
      <c r="V1992" s="92" t="s">
        <v>315</v>
      </c>
      <c r="W1992" s="18" t="s">
        <v>58</v>
      </c>
      <c r="X1992" s="174" t="s">
        <v>3282</v>
      </c>
      <c r="Y1992" s="94" t="s">
        <v>5768</v>
      </c>
      <c r="Z1992" s="18" t="s">
        <v>5907</v>
      </c>
      <c r="AA1992" s="92">
        <v>14.0</v>
      </c>
      <c r="AB1992" s="18"/>
      <c r="AC1992" s="18">
        <v>14.0</v>
      </c>
      <c r="AD1992" s="14">
        <v>78172.0</v>
      </c>
      <c r="AE1992" s="14"/>
      <c r="AF1992" s="14">
        <v>78172.0</v>
      </c>
      <c r="AG1992" s="22"/>
      <c r="AH1992" s="22"/>
      <c r="AI1992" s="22"/>
      <c r="AJ1992" s="22"/>
      <c r="AK1992" s="22"/>
      <c r="AL1992" s="22"/>
      <c r="AM1992" s="22"/>
      <c r="AN1992" s="22"/>
      <c r="AO1992" s="22"/>
      <c r="AP1992" s="22"/>
    </row>
    <row r="1993" hidden="1">
      <c r="A1993" s="148">
        <v>46192.0</v>
      </c>
      <c r="B1993" s="149">
        <v>0.4375</v>
      </c>
      <c r="C1993" s="11" t="s">
        <v>58</v>
      </c>
      <c r="D1993" s="102" t="s">
        <v>3083</v>
      </c>
      <c r="E1993" s="10" t="s">
        <v>179</v>
      </c>
      <c r="F1993" s="10" t="s">
        <v>5482</v>
      </c>
      <c r="G1993" s="11" t="s">
        <v>5908</v>
      </c>
      <c r="H1993" s="11" t="s">
        <v>2381</v>
      </c>
      <c r="I1993" s="10" t="s">
        <v>61</v>
      </c>
      <c r="J1993" s="14">
        <v>6090.0</v>
      </c>
      <c r="K1993" s="14">
        <v>3871.0</v>
      </c>
      <c r="L1993" s="17">
        <v>0.6356</v>
      </c>
      <c r="M1993" s="150">
        <v>0.0</v>
      </c>
      <c r="N1993" s="136">
        <v>0.0</v>
      </c>
      <c r="O1993" s="18">
        <v>0.0</v>
      </c>
      <c r="P1993" s="92">
        <v>0.0</v>
      </c>
      <c r="Q1993" s="137">
        <v>0.0</v>
      </c>
      <c r="R1993" s="17">
        <v>0.0</v>
      </c>
      <c r="S1993" s="18">
        <v>17.0</v>
      </c>
      <c r="T1993" s="18">
        <v>0.0</v>
      </c>
      <c r="U1993" s="151">
        <v>92325.0</v>
      </c>
      <c r="V1993" s="92" t="s">
        <v>315</v>
      </c>
      <c r="W1993" s="18" t="s">
        <v>58</v>
      </c>
      <c r="X1993" s="174" t="s">
        <v>3282</v>
      </c>
      <c r="Y1993" s="94" t="s">
        <v>5768</v>
      </c>
      <c r="Z1993" s="18" t="s">
        <v>5909</v>
      </c>
      <c r="AA1993" s="92">
        <v>23.0</v>
      </c>
      <c r="AB1993" s="18"/>
      <c r="AC1993" s="18">
        <v>23.0</v>
      </c>
      <c r="AD1993" s="14">
        <v>107022.0</v>
      </c>
      <c r="AE1993" s="14"/>
      <c r="AF1993" s="14">
        <v>107022.0</v>
      </c>
      <c r="AG1993" s="22"/>
      <c r="AH1993" s="22"/>
      <c r="AI1993" s="22"/>
      <c r="AJ1993" s="22"/>
      <c r="AK1993" s="22"/>
      <c r="AL1993" s="22"/>
      <c r="AM1993" s="22"/>
      <c r="AN1993" s="22"/>
      <c r="AO1993" s="22"/>
      <c r="AP1993" s="22"/>
    </row>
    <row r="1994" hidden="1">
      <c r="A1994" s="148">
        <v>46192.0</v>
      </c>
      <c r="B1994" s="149">
        <v>0.4375</v>
      </c>
      <c r="C1994" s="11" t="s">
        <v>58</v>
      </c>
      <c r="D1994" s="102" t="s">
        <v>3083</v>
      </c>
      <c r="E1994" s="10" t="s">
        <v>179</v>
      </c>
      <c r="F1994" s="10" t="s">
        <v>5482</v>
      </c>
      <c r="G1994" s="11" t="s">
        <v>5910</v>
      </c>
      <c r="H1994" s="11" t="s">
        <v>2387</v>
      </c>
      <c r="I1994" s="10" t="s">
        <v>61</v>
      </c>
      <c r="J1994" s="14">
        <v>990.0</v>
      </c>
      <c r="K1994" s="14">
        <v>713.0</v>
      </c>
      <c r="L1994" s="17">
        <v>0.7202</v>
      </c>
      <c r="M1994" s="150">
        <v>0.0</v>
      </c>
      <c r="N1994" s="136">
        <v>0.0</v>
      </c>
      <c r="O1994" s="18">
        <v>0.0</v>
      </c>
      <c r="P1994" s="92">
        <v>0.0</v>
      </c>
      <c r="Q1994" s="137">
        <v>0.0</v>
      </c>
      <c r="R1994" s="17">
        <v>0.0</v>
      </c>
      <c r="S1994" s="18">
        <v>4.0</v>
      </c>
      <c r="T1994" s="18">
        <v>0.0</v>
      </c>
      <c r="U1994" s="151">
        <v>77687.0</v>
      </c>
      <c r="V1994" s="92" t="s">
        <v>315</v>
      </c>
      <c r="W1994" s="18" t="s">
        <v>58</v>
      </c>
      <c r="X1994" s="174" t="s">
        <v>3282</v>
      </c>
      <c r="Y1994" s="94" t="s">
        <v>5768</v>
      </c>
      <c r="Z1994" s="18" t="s">
        <v>5911</v>
      </c>
      <c r="AA1994" s="92">
        <v>8.0</v>
      </c>
      <c r="AB1994" s="18"/>
      <c r="AC1994" s="18">
        <v>8.0</v>
      </c>
      <c r="AD1994" s="14">
        <v>96894.0</v>
      </c>
      <c r="AE1994" s="14"/>
      <c r="AF1994" s="14">
        <v>96894.0</v>
      </c>
      <c r="AG1994" s="22"/>
      <c r="AH1994" s="22"/>
      <c r="AI1994" s="22"/>
      <c r="AJ1994" s="22"/>
      <c r="AK1994" s="22"/>
      <c r="AL1994" s="22"/>
      <c r="AM1994" s="22"/>
      <c r="AN1994" s="22"/>
      <c r="AO1994" s="22"/>
      <c r="AP1994" s="22"/>
    </row>
    <row r="1995" hidden="1">
      <c r="A1995" s="148">
        <v>46192.0</v>
      </c>
      <c r="B1995" s="149">
        <v>0.4375</v>
      </c>
      <c r="C1995" s="11" t="s">
        <v>58</v>
      </c>
      <c r="D1995" s="102" t="s">
        <v>3083</v>
      </c>
      <c r="E1995" s="10" t="s">
        <v>179</v>
      </c>
      <c r="F1995" s="10" t="s">
        <v>5482</v>
      </c>
      <c r="G1995" s="11" t="s">
        <v>5912</v>
      </c>
      <c r="H1995" s="11" t="s">
        <v>2390</v>
      </c>
      <c r="I1995" s="10" t="s">
        <v>61</v>
      </c>
      <c r="J1995" s="14">
        <v>909.0</v>
      </c>
      <c r="K1995" s="14">
        <v>629.0</v>
      </c>
      <c r="L1995" s="17">
        <v>0.692</v>
      </c>
      <c r="M1995" s="150">
        <v>0.0</v>
      </c>
      <c r="N1995" s="136">
        <v>0.0</v>
      </c>
      <c r="O1995" s="18">
        <v>0.0</v>
      </c>
      <c r="P1995" s="92">
        <v>0.0</v>
      </c>
      <c r="Q1995" s="137">
        <v>0.0</v>
      </c>
      <c r="R1995" s="17">
        <v>0.0</v>
      </c>
      <c r="S1995" s="18">
        <v>2.0</v>
      </c>
      <c r="T1995" s="18">
        <v>0.0</v>
      </c>
      <c r="U1995" s="151">
        <v>20093.0</v>
      </c>
      <c r="V1995" s="92" t="s">
        <v>315</v>
      </c>
      <c r="W1995" s="18" t="s">
        <v>58</v>
      </c>
      <c r="X1995" s="174" t="s">
        <v>3282</v>
      </c>
      <c r="Y1995" s="94" t="s">
        <v>5768</v>
      </c>
      <c r="Z1995" s="18" t="s">
        <v>5913</v>
      </c>
      <c r="AA1995" s="92">
        <v>4.0</v>
      </c>
      <c r="AB1995" s="18"/>
      <c r="AC1995" s="18">
        <v>4.0</v>
      </c>
      <c r="AD1995" s="14">
        <v>25815.0</v>
      </c>
      <c r="AE1995" s="14"/>
      <c r="AF1995" s="14">
        <v>25815.0</v>
      </c>
      <c r="AG1995" s="22"/>
      <c r="AH1995" s="22"/>
      <c r="AI1995" s="22"/>
      <c r="AJ1995" s="22"/>
      <c r="AK1995" s="22"/>
      <c r="AL1995" s="22"/>
      <c r="AM1995" s="22"/>
      <c r="AN1995" s="22"/>
      <c r="AO1995" s="22"/>
      <c r="AP1995" s="22"/>
    </row>
    <row r="1996" hidden="1">
      <c r="A1996" s="148">
        <v>46192.0</v>
      </c>
      <c r="B1996" s="149">
        <v>0.4375</v>
      </c>
      <c r="C1996" s="11" t="s">
        <v>58</v>
      </c>
      <c r="D1996" s="102" t="s">
        <v>3083</v>
      </c>
      <c r="E1996" s="10" t="s">
        <v>179</v>
      </c>
      <c r="F1996" s="10" t="s">
        <v>5482</v>
      </c>
      <c r="G1996" s="11" t="s">
        <v>5914</v>
      </c>
      <c r="H1996" s="11" t="s">
        <v>2373</v>
      </c>
      <c r="I1996" s="10" t="s">
        <v>61</v>
      </c>
      <c r="J1996" s="14">
        <v>5780.0</v>
      </c>
      <c r="K1996" s="14">
        <v>3932.0</v>
      </c>
      <c r="L1996" s="17">
        <v>0.6803</v>
      </c>
      <c r="M1996" s="150">
        <v>0.0</v>
      </c>
      <c r="N1996" s="136">
        <v>0.0</v>
      </c>
      <c r="O1996" s="18">
        <v>0.0</v>
      </c>
      <c r="P1996" s="92">
        <v>0.0</v>
      </c>
      <c r="Q1996" s="137">
        <v>0.0</v>
      </c>
      <c r="R1996" s="17">
        <v>0.0</v>
      </c>
      <c r="S1996" s="18">
        <v>13.0</v>
      </c>
      <c r="T1996" s="18">
        <v>0.0</v>
      </c>
      <c r="U1996" s="151">
        <v>70930.0</v>
      </c>
      <c r="V1996" s="92" t="s">
        <v>315</v>
      </c>
      <c r="W1996" s="18" t="s">
        <v>58</v>
      </c>
      <c r="X1996" s="174" t="s">
        <v>3282</v>
      </c>
      <c r="Y1996" s="94" t="s">
        <v>5768</v>
      </c>
      <c r="Z1996" s="18" t="s">
        <v>5915</v>
      </c>
      <c r="AA1996" s="92">
        <v>16.0</v>
      </c>
      <c r="AB1996" s="18"/>
      <c r="AC1996" s="18">
        <v>16.0</v>
      </c>
      <c r="AD1996" s="14">
        <v>94416.0</v>
      </c>
      <c r="AE1996" s="14"/>
      <c r="AF1996" s="14">
        <v>94416.0</v>
      </c>
      <c r="AG1996" s="22"/>
      <c r="AH1996" s="22"/>
      <c r="AI1996" s="22"/>
      <c r="AJ1996" s="22"/>
      <c r="AK1996" s="22"/>
      <c r="AL1996" s="22"/>
      <c r="AM1996" s="22"/>
      <c r="AN1996" s="22"/>
      <c r="AO1996" s="22"/>
      <c r="AP1996" s="22"/>
    </row>
    <row r="1997" hidden="1">
      <c r="A1997" s="148">
        <v>46192.0</v>
      </c>
      <c r="B1997" s="149">
        <v>0.4375</v>
      </c>
      <c r="C1997" s="11" t="s">
        <v>58</v>
      </c>
      <c r="D1997" s="102" t="s">
        <v>3083</v>
      </c>
      <c r="E1997" s="10" t="s">
        <v>179</v>
      </c>
      <c r="F1997" s="10" t="s">
        <v>5482</v>
      </c>
      <c r="G1997" s="11" t="s">
        <v>5916</v>
      </c>
      <c r="H1997" s="11" t="s">
        <v>2397</v>
      </c>
      <c r="I1997" s="10" t="s">
        <v>61</v>
      </c>
      <c r="J1997" s="14">
        <v>1354.0</v>
      </c>
      <c r="K1997" s="14">
        <v>901.0</v>
      </c>
      <c r="L1997" s="17">
        <v>0.6654</v>
      </c>
      <c r="M1997" s="150">
        <v>0.0</v>
      </c>
      <c r="N1997" s="136">
        <v>0.0</v>
      </c>
      <c r="O1997" s="18">
        <v>0.0</v>
      </c>
      <c r="P1997" s="92">
        <v>0.0</v>
      </c>
      <c r="Q1997" s="137">
        <v>0.0</v>
      </c>
      <c r="R1997" s="17">
        <v>0.0</v>
      </c>
      <c r="S1997" s="18">
        <v>0.0</v>
      </c>
      <c r="T1997" s="18">
        <v>0.0</v>
      </c>
      <c r="U1997" s="151">
        <v>0.0</v>
      </c>
      <c r="V1997" s="92" t="s">
        <v>315</v>
      </c>
      <c r="W1997" s="18" t="s">
        <v>58</v>
      </c>
      <c r="X1997" s="174" t="s">
        <v>3282</v>
      </c>
      <c r="Y1997" s="94" t="s">
        <v>5768</v>
      </c>
      <c r="Z1997" s="18" t="s">
        <v>5917</v>
      </c>
      <c r="AA1997" s="92">
        <v>2.0</v>
      </c>
      <c r="AB1997" s="18"/>
      <c r="AC1997" s="18">
        <v>2.0</v>
      </c>
      <c r="AD1997" s="14">
        <v>5702.0</v>
      </c>
      <c r="AE1997" s="14"/>
      <c r="AF1997" s="14">
        <v>5702.0</v>
      </c>
      <c r="AG1997" s="22"/>
      <c r="AH1997" s="22"/>
      <c r="AI1997" s="22"/>
      <c r="AJ1997" s="22"/>
      <c r="AK1997" s="22"/>
      <c r="AL1997" s="22"/>
      <c r="AM1997" s="22"/>
      <c r="AN1997" s="22"/>
      <c r="AO1997" s="22"/>
      <c r="AP1997" s="22"/>
    </row>
    <row r="1998" hidden="1">
      <c r="A1998" s="148">
        <v>46192.0</v>
      </c>
      <c r="B1998" s="149">
        <v>0.4375</v>
      </c>
      <c r="C1998" s="11" t="s">
        <v>58</v>
      </c>
      <c r="D1998" s="102" t="s">
        <v>3083</v>
      </c>
      <c r="E1998" s="10" t="s">
        <v>179</v>
      </c>
      <c r="F1998" s="10" t="s">
        <v>5482</v>
      </c>
      <c r="G1998" s="11" t="s">
        <v>5918</v>
      </c>
      <c r="H1998" s="11" t="s">
        <v>2393</v>
      </c>
      <c r="I1998" s="10" t="s">
        <v>61</v>
      </c>
      <c r="J1998" s="14">
        <v>2075.0</v>
      </c>
      <c r="K1998" s="14">
        <v>1412.0</v>
      </c>
      <c r="L1998" s="17">
        <v>0.6805</v>
      </c>
      <c r="M1998" s="150">
        <v>0.0</v>
      </c>
      <c r="N1998" s="136">
        <v>0.0</v>
      </c>
      <c r="O1998" s="18">
        <v>0.0</v>
      </c>
      <c r="P1998" s="92">
        <v>0.0</v>
      </c>
      <c r="Q1998" s="137">
        <v>0.0</v>
      </c>
      <c r="R1998" s="17">
        <v>0.0</v>
      </c>
      <c r="S1998" s="18">
        <v>2.0</v>
      </c>
      <c r="T1998" s="18">
        <v>0.0</v>
      </c>
      <c r="U1998" s="151">
        <v>12784.0</v>
      </c>
      <c r="V1998" s="92" t="s">
        <v>315</v>
      </c>
      <c r="W1998" s="18" t="s">
        <v>58</v>
      </c>
      <c r="X1998" s="174" t="s">
        <v>3282</v>
      </c>
      <c r="Y1998" s="94" t="s">
        <v>5768</v>
      </c>
      <c r="Z1998" s="18" t="s">
        <v>5919</v>
      </c>
      <c r="AA1998" s="92">
        <v>2.0</v>
      </c>
      <c r="AB1998" s="18"/>
      <c r="AC1998" s="18">
        <v>2.0</v>
      </c>
      <c r="AD1998" s="14">
        <v>12784.0</v>
      </c>
      <c r="AE1998" s="14"/>
      <c r="AF1998" s="14">
        <v>12784.0</v>
      </c>
      <c r="AG1998" s="22"/>
      <c r="AH1998" s="22"/>
      <c r="AI1998" s="22"/>
      <c r="AJ1998" s="22"/>
      <c r="AK1998" s="22"/>
      <c r="AL1998" s="22"/>
      <c r="AM1998" s="22"/>
      <c r="AN1998" s="22"/>
      <c r="AO1998" s="22"/>
      <c r="AP1998" s="22"/>
    </row>
    <row r="1999" hidden="1">
      <c r="A1999" s="148">
        <v>46190.0</v>
      </c>
      <c r="B1999" s="149">
        <v>0.75</v>
      </c>
      <c r="C1999" s="11" t="s">
        <v>58</v>
      </c>
      <c r="D1999" s="102" t="s">
        <v>3083</v>
      </c>
      <c r="E1999" s="10" t="s">
        <v>106</v>
      </c>
      <c r="F1999" s="10" t="s">
        <v>5920</v>
      </c>
      <c r="G1999" s="11" t="s">
        <v>5921</v>
      </c>
      <c r="H1999" s="11" t="s">
        <v>5794</v>
      </c>
      <c r="I1999" s="10" t="s">
        <v>61</v>
      </c>
      <c r="J1999" s="14">
        <v>40285.0</v>
      </c>
      <c r="K1999" s="14">
        <v>22147.0</v>
      </c>
      <c r="L1999" s="17">
        <v>0.5498</v>
      </c>
      <c r="M1999" s="150">
        <v>0.0</v>
      </c>
      <c r="N1999" s="165">
        <v>0.0</v>
      </c>
      <c r="O1999" s="18">
        <v>0.0</v>
      </c>
      <c r="P1999" s="92">
        <v>0.0</v>
      </c>
      <c r="Q1999" s="166">
        <v>0.0</v>
      </c>
      <c r="R1999" s="17">
        <v>0.0</v>
      </c>
      <c r="S1999" s="18">
        <v>0.0</v>
      </c>
      <c r="T1999" s="18">
        <v>0.0</v>
      </c>
      <c r="U1999" s="151">
        <v>0.0</v>
      </c>
      <c r="V1999" s="92" t="s">
        <v>335</v>
      </c>
      <c r="W1999" s="18" t="s">
        <v>58</v>
      </c>
      <c r="X1999" s="177" t="s">
        <v>5796</v>
      </c>
      <c r="Y1999" s="94" t="s">
        <v>5823</v>
      </c>
      <c r="Z1999" s="18" t="s">
        <v>5922</v>
      </c>
      <c r="AA1999" s="92">
        <v>0.0</v>
      </c>
      <c r="AB1999" s="18">
        <v>0.0</v>
      </c>
      <c r="AC1999" s="18"/>
      <c r="AD1999" s="14">
        <v>0.0</v>
      </c>
      <c r="AE1999" s="14">
        <v>0.0</v>
      </c>
      <c r="AF1999" s="14"/>
      <c r="AG1999" s="22"/>
      <c r="AH1999" s="22"/>
      <c r="AI1999" s="22"/>
      <c r="AJ1999" s="22"/>
      <c r="AK1999" s="22"/>
      <c r="AL1999" s="22"/>
      <c r="AM1999" s="22"/>
      <c r="AN1999" s="22"/>
      <c r="AO1999" s="22"/>
      <c r="AP1999" s="22"/>
    </row>
    <row r="2000" hidden="1">
      <c r="A2000" s="148">
        <v>46191.0</v>
      </c>
      <c r="B2000" s="149">
        <v>0.5</v>
      </c>
      <c r="C2000" s="11" t="s">
        <v>58</v>
      </c>
      <c r="D2000" s="102" t="s">
        <v>3083</v>
      </c>
      <c r="E2000" s="10" t="s">
        <v>106</v>
      </c>
      <c r="F2000" s="10" t="s">
        <v>5920</v>
      </c>
      <c r="G2000" s="11" t="s">
        <v>5923</v>
      </c>
      <c r="H2000" s="11" t="s">
        <v>4663</v>
      </c>
      <c r="I2000" s="10" t="s">
        <v>61</v>
      </c>
      <c r="J2000" s="14">
        <v>51049.0</v>
      </c>
      <c r="K2000" s="14">
        <v>27385.0</v>
      </c>
      <c r="L2000" s="17">
        <v>0.5364</v>
      </c>
      <c r="M2000" s="150">
        <v>0.0</v>
      </c>
      <c r="N2000" s="165">
        <v>0.0</v>
      </c>
      <c r="O2000" s="18">
        <v>0.0</v>
      </c>
      <c r="P2000" s="92">
        <v>0.0</v>
      </c>
      <c r="Q2000" s="166">
        <v>0.0</v>
      </c>
      <c r="R2000" s="17">
        <v>0.0</v>
      </c>
      <c r="S2000" s="18">
        <v>56.0</v>
      </c>
      <c r="T2000" s="18">
        <v>0.0</v>
      </c>
      <c r="U2000" s="151">
        <v>740838.0</v>
      </c>
      <c r="V2000" s="92" t="s">
        <v>315</v>
      </c>
      <c r="W2000" s="18" t="s">
        <v>58</v>
      </c>
      <c r="X2000" s="177" t="s">
        <v>52</v>
      </c>
      <c r="Y2000" s="94" t="s">
        <v>5924</v>
      </c>
      <c r="Z2000" s="18" t="s">
        <v>5925</v>
      </c>
      <c r="AA2000" s="92">
        <v>57.0</v>
      </c>
      <c r="AB2000" s="18"/>
      <c r="AC2000" s="18">
        <v>57.0</v>
      </c>
      <c r="AD2000" s="14">
        <v>722637.0</v>
      </c>
      <c r="AE2000" s="14"/>
      <c r="AF2000" s="14">
        <v>722637.0</v>
      </c>
      <c r="AG2000" s="22"/>
      <c r="AH2000" s="22"/>
      <c r="AI2000" s="22"/>
      <c r="AJ2000" s="22"/>
      <c r="AK2000" s="22"/>
      <c r="AL2000" s="22"/>
      <c r="AM2000" s="22"/>
      <c r="AN2000" s="22"/>
      <c r="AO2000" s="22"/>
      <c r="AP2000" s="22"/>
    </row>
    <row r="2001" hidden="1">
      <c r="A2001" s="148">
        <v>46193.0</v>
      </c>
      <c r="B2001" s="149">
        <v>0.5</v>
      </c>
      <c r="C2001" s="11" t="s">
        <v>58</v>
      </c>
      <c r="D2001" s="102" t="s">
        <v>3083</v>
      </c>
      <c r="E2001" s="10" t="s">
        <v>106</v>
      </c>
      <c r="F2001" s="10" t="s">
        <v>5920</v>
      </c>
      <c r="G2001" s="11" t="s">
        <v>5926</v>
      </c>
      <c r="H2001" s="11" t="s">
        <v>5803</v>
      </c>
      <c r="I2001" s="10" t="s">
        <v>61</v>
      </c>
      <c r="J2001" s="14">
        <v>54028.0</v>
      </c>
      <c r="K2001" s="14">
        <v>30746.0</v>
      </c>
      <c r="L2001" s="17">
        <v>0.5691</v>
      </c>
      <c r="M2001" s="150">
        <v>0.0</v>
      </c>
      <c r="N2001" s="165">
        <v>0.0</v>
      </c>
      <c r="O2001" s="18">
        <v>0.0</v>
      </c>
      <c r="P2001" s="92">
        <v>0.0</v>
      </c>
      <c r="Q2001" s="166">
        <v>0.0</v>
      </c>
      <c r="R2001" s="17">
        <v>0.0</v>
      </c>
      <c r="S2001" s="18">
        <v>0.0</v>
      </c>
      <c r="T2001" s="18">
        <v>0.0</v>
      </c>
      <c r="U2001" s="151">
        <v>0.0</v>
      </c>
      <c r="V2001" s="92" t="s">
        <v>183</v>
      </c>
      <c r="W2001" s="18" t="s">
        <v>58</v>
      </c>
      <c r="X2001" s="177" t="s">
        <v>2286</v>
      </c>
      <c r="Y2001" s="94" t="s">
        <v>5843</v>
      </c>
      <c r="Z2001" s="18" t="s">
        <v>5927</v>
      </c>
      <c r="AA2001" s="92">
        <v>74.0</v>
      </c>
      <c r="AB2001" s="18">
        <v>0.0</v>
      </c>
      <c r="AC2001" s="18">
        <v>74.0</v>
      </c>
      <c r="AD2001" s="14">
        <v>968821.0</v>
      </c>
      <c r="AE2001" s="14">
        <v>0.0</v>
      </c>
      <c r="AF2001" s="14">
        <v>968821.0</v>
      </c>
      <c r="AG2001" s="22"/>
      <c r="AH2001" s="22"/>
      <c r="AI2001" s="22"/>
      <c r="AJ2001" s="22"/>
      <c r="AK2001" s="22"/>
      <c r="AL2001" s="22"/>
      <c r="AM2001" s="22"/>
      <c r="AN2001" s="22"/>
      <c r="AO2001" s="22"/>
      <c r="AP2001" s="22"/>
    </row>
    <row r="2002" hidden="1">
      <c r="A2002" s="148">
        <v>46193.0</v>
      </c>
      <c r="B2002" s="149">
        <v>0.5</v>
      </c>
      <c r="C2002" s="11" t="s">
        <v>58</v>
      </c>
      <c r="D2002" s="102" t="s">
        <v>3083</v>
      </c>
      <c r="E2002" s="10" t="s">
        <v>106</v>
      </c>
      <c r="F2002" s="10" t="s">
        <v>5920</v>
      </c>
      <c r="G2002" s="11" t="s">
        <v>5928</v>
      </c>
      <c r="H2002" s="11" t="s">
        <v>5808</v>
      </c>
      <c r="I2002" s="10" t="s">
        <v>61</v>
      </c>
      <c r="J2002" s="14">
        <v>168978.0</v>
      </c>
      <c r="K2002" s="14">
        <v>94145.0</v>
      </c>
      <c r="L2002" s="17">
        <v>0.5571</v>
      </c>
      <c r="M2002" s="150">
        <v>0.0</v>
      </c>
      <c r="N2002" s="165">
        <v>0.0</v>
      </c>
      <c r="O2002" s="18">
        <v>0.0</v>
      </c>
      <c r="P2002" s="92">
        <v>0.0</v>
      </c>
      <c r="Q2002" s="166">
        <v>0.0</v>
      </c>
      <c r="R2002" s="17">
        <v>0.0</v>
      </c>
      <c r="S2002" s="18">
        <v>0.0</v>
      </c>
      <c r="T2002" s="18">
        <v>0.0</v>
      </c>
      <c r="U2002" s="151">
        <v>0.0</v>
      </c>
      <c r="V2002" s="92" t="s">
        <v>183</v>
      </c>
      <c r="W2002" s="18" t="s">
        <v>58</v>
      </c>
      <c r="X2002" s="177" t="s">
        <v>5810</v>
      </c>
      <c r="Y2002" s="94" t="s">
        <v>5843</v>
      </c>
      <c r="Z2002" s="18" t="s">
        <v>5929</v>
      </c>
      <c r="AA2002" s="92">
        <v>131.0</v>
      </c>
      <c r="AB2002" s="18">
        <v>0.0</v>
      </c>
      <c r="AC2002" s="18">
        <v>131.0</v>
      </c>
      <c r="AD2002" s="14">
        <v>1620983.0</v>
      </c>
      <c r="AE2002" s="14">
        <v>0.0</v>
      </c>
      <c r="AF2002" s="14">
        <v>1620983.0</v>
      </c>
      <c r="AG2002" s="22"/>
      <c r="AH2002" s="22"/>
      <c r="AI2002" s="22"/>
      <c r="AJ2002" s="22"/>
      <c r="AK2002" s="22"/>
      <c r="AL2002" s="22"/>
      <c r="AM2002" s="22"/>
      <c r="AN2002" s="22"/>
      <c r="AO2002" s="22"/>
      <c r="AP2002" s="22"/>
    </row>
    <row r="2003" hidden="1">
      <c r="A2003" s="148">
        <v>46193.0</v>
      </c>
      <c r="B2003" s="149">
        <v>0.5</v>
      </c>
      <c r="C2003" s="11" t="s">
        <v>58</v>
      </c>
      <c r="D2003" s="102" t="s">
        <v>3083</v>
      </c>
      <c r="E2003" s="10" t="s">
        <v>106</v>
      </c>
      <c r="F2003" s="10" t="s">
        <v>5920</v>
      </c>
      <c r="G2003" s="11" t="s">
        <v>5930</v>
      </c>
      <c r="H2003" s="11" t="s">
        <v>4663</v>
      </c>
      <c r="I2003" s="10" t="s">
        <v>61</v>
      </c>
      <c r="J2003" s="14">
        <v>57598.0</v>
      </c>
      <c r="K2003" s="14">
        <v>31268.0</v>
      </c>
      <c r="L2003" s="17">
        <v>0.5429</v>
      </c>
      <c r="M2003" s="150">
        <v>0.0</v>
      </c>
      <c r="N2003" s="136">
        <v>0.0</v>
      </c>
      <c r="O2003" s="18">
        <v>0.0</v>
      </c>
      <c r="P2003" s="92">
        <v>0.0</v>
      </c>
      <c r="Q2003" s="137">
        <v>0.0</v>
      </c>
      <c r="R2003" s="17">
        <v>0.0</v>
      </c>
      <c r="S2003" s="18">
        <v>25.0</v>
      </c>
      <c r="T2003" s="18">
        <v>0.0</v>
      </c>
      <c r="U2003" s="151">
        <v>327575.0</v>
      </c>
      <c r="V2003" s="92" t="s">
        <v>315</v>
      </c>
      <c r="W2003" s="18" t="s">
        <v>58</v>
      </c>
      <c r="X2003" s="177" t="s">
        <v>52</v>
      </c>
      <c r="Y2003" s="94" t="s">
        <v>5843</v>
      </c>
      <c r="Z2003" s="18" t="s">
        <v>5931</v>
      </c>
      <c r="AA2003" s="92">
        <v>73.0</v>
      </c>
      <c r="AB2003" s="18"/>
      <c r="AC2003" s="18">
        <v>73.0</v>
      </c>
      <c r="AD2003" s="14">
        <v>857538.0</v>
      </c>
      <c r="AE2003" s="14"/>
      <c r="AF2003" s="14">
        <v>857538.0</v>
      </c>
      <c r="AG2003" s="22"/>
      <c r="AH2003" s="22"/>
      <c r="AI2003" s="22"/>
      <c r="AJ2003" s="22"/>
      <c r="AK2003" s="22"/>
      <c r="AL2003" s="22"/>
      <c r="AM2003" s="22"/>
      <c r="AN2003" s="22"/>
      <c r="AO2003" s="22"/>
      <c r="AP2003" s="22"/>
    </row>
    <row r="2004" hidden="1">
      <c r="A2004" s="148">
        <v>46188.0</v>
      </c>
      <c r="B2004" s="149">
        <v>0.8333333333333334</v>
      </c>
      <c r="C2004" s="11" t="s">
        <v>58</v>
      </c>
      <c r="D2004" s="102" t="s">
        <v>3083</v>
      </c>
      <c r="E2004" s="10" t="s">
        <v>71</v>
      </c>
      <c r="F2004" s="10" t="s">
        <v>5574</v>
      </c>
      <c r="G2004" s="11" t="s">
        <v>5932</v>
      </c>
      <c r="H2004" s="11" t="s">
        <v>5815</v>
      </c>
      <c r="I2004" s="10" t="s">
        <v>61</v>
      </c>
      <c r="J2004" s="14">
        <v>7090.0</v>
      </c>
      <c r="K2004" s="14">
        <v>3369.0</v>
      </c>
      <c r="L2004" s="17">
        <v>0.4752</v>
      </c>
      <c r="M2004" s="150">
        <v>0.0</v>
      </c>
      <c r="N2004" s="136">
        <v>0.0</v>
      </c>
      <c r="O2004" s="18">
        <v>5.0</v>
      </c>
      <c r="P2004" s="92">
        <v>0.0</v>
      </c>
      <c r="Q2004" s="137">
        <v>0.0015</v>
      </c>
      <c r="R2004" s="17">
        <v>0.0</v>
      </c>
      <c r="S2004" s="18">
        <v>0.0</v>
      </c>
      <c r="T2004" s="18">
        <v>0.0</v>
      </c>
      <c r="U2004" s="151">
        <v>0.0</v>
      </c>
      <c r="V2004" s="92" t="s">
        <v>335</v>
      </c>
      <c r="W2004" s="18" t="s">
        <v>58</v>
      </c>
      <c r="X2004" s="177" t="s">
        <v>1101</v>
      </c>
      <c r="Y2004" s="114">
        <v>46188.0</v>
      </c>
      <c r="Z2004" s="18" t="s">
        <v>5933</v>
      </c>
      <c r="AA2004" s="92">
        <v>0.0</v>
      </c>
      <c r="AB2004" s="18">
        <v>0.0</v>
      </c>
      <c r="AC2004" s="18"/>
      <c r="AD2004" s="14">
        <v>0.0</v>
      </c>
      <c r="AE2004" s="14">
        <v>0.0</v>
      </c>
      <c r="AF2004" s="14"/>
      <c r="AG2004" s="22"/>
      <c r="AH2004" s="22"/>
      <c r="AI2004" s="22"/>
      <c r="AJ2004" s="22"/>
      <c r="AK2004" s="22"/>
      <c r="AL2004" s="22"/>
      <c r="AM2004" s="22"/>
      <c r="AN2004" s="22"/>
      <c r="AO2004" s="22"/>
      <c r="AP2004" s="22"/>
    </row>
    <row r="2005" hidden="1">
      <c r="A2005" s="148">
        <v>46188.0</v>
      </c>
      <c r="B2005" s="149">
        <v>0.8333333333333334</v>
      </c>
      <c r="C2005" s="11" t="s">
        <v>58</v>
      </c>
      <c r="D2005" s="102" t="s">
        <v>3083</v>
      </c>
      <c r="E2005" s="10" t="s">
        <v>71</v>
      </c>
      <c r="F2005" s="10" t="s">
        <v>5574</v>
      </c>
      <c r="G2005" s="11" t="s">
        <v>5934</v>
      </c>
      <c r="H2005" s="11" t="s">
        <v>5819</v>
      </c>
      <c r="I2005" s="10" t="s">
        <v>61</v>
      </c>
      <c r="J2005" s="14">
        <v>29466.0</v>
      </c>
      <c r="K2005" s="14">
        <v>15614.0</v>
      </c>
      <c r="L2005" s="17">
        <v>0.5299</v>
      </c>
      <c r="M2005" s="150">
        <v>0.0</v>
      </c>
      <c r="N2005" s="136">
        <v>0.0</v>
      </c>
      <c r="O2005" s="18">
        <v>19.0</v>
      </c>
      <c r="P2005" s="92">
        <v>0.0</v>
      </c>
      <c r="Q2005" s="137">
        <v>0.0012</v>
      </c>
      <c r="R2005" s="17">
        <v>0.0</v>
      </c>
      <c r="S2005" s="18">
        <v>0.0</v>
      </c>
      <c r="T2005" s="18">
        <v>2.0</v>
      </c>
      <c r="U2005" s="151">
        <v>0.0</v>
      </c>
      <c r="V2005" s="92" t="s">
        <v>315</v>
      </c>
      <c r="W2005" s="18" t="s">
        <v>58</v>
      </c>
      <c r="X2005" s="177" t="s">
        <v>1101</v>
      </c>
      <c r="Y2005" s="114">
        <v>46188.0</v>
      </c>
      <c r="Z2005" s="18" t="s">
        <v>5935</v>
      </c>
      <c r="AA2005" s="92">
        <v>15.0</v>
      </c>
      <c r="AB2005" s="18"/>
      <c r="AC2005" s="18">
        <v>15.0</v>
      </c>
      <c r="AD2005" s="14">
        <v>91953.0</v>
      </c>
      <c r="AE2005" s="14"/>
      <c r="AF2005" s="14">
        <v>91953.0</v>
      </c>
      <c r="AG2005" s="22"/>
      <c r="AH2005" s="22"/>
      <c r="AI2005" s="22"/>
      <c r="AJ2005" s="22"/>
      <c r="AK2005" s="22"/>
      <c r="AL2005" s="22"/>
      <c r="AM2005" s="22"/>
      <c r="AN2005" s="22"/>
      <c r="AO2005" s="22"/>
      <c r="AP2005" s="22"/>
    </row>
    <row r="2006" hidden="1">
      <c r="A2006" s="148">
        <v>46190.0</v>
      </c>
      <c r="B2006" s="149">
        <v>0.75</v>
      </c>
      <c r="C2006" s="11" t="s">
        <v>58</v>
      </c>
      <c r="D2006" s="102" t="s">
        <v>3083</v>
      </c>
      <c r="E2006" s="10" t="s">
        <v>71</v>
      </c>
      <c r="F2006" s="10" t="s">
        <v>5574</v>
      </c>
      <c r="G2006" s="11" t="s">
        <v>5936</v>
      </c>
      <c r="H2006" s="11" t="s">
        <v>5822</v>
      </c>
      <c r="I2006" s="10" t="s">
        <v>61</v>
      </c>
      <c r="J2006" s="14">
        <v>1165.0</v>
      </c>
      <c r="K2006" s="14">
        <v>665.0</v>
      </c>
      <c r="L2006" s="17">
        <v>0.5708</v>
      </c>
      <c r="M2006" s="150">
        <v>0.0</v>
      </c>
      <c r="N2006" s="136">
        <v>0.0</v>
      </c>
      <c r="O2006" s="18">
        <v>9.0</v>
      </c>
      <c r="P2006" s="92">
        <v>0.0</v>
      </c>
      <c r="Q2006" s="137">
        <v>0.0135</v>
      </c>
      <c r="R2006" s="17">
        <v>0.0</v>
      </c>
      <c r="S2006" s="18">
        <v>6.0</v>
      </c>
      <c r="T2006" s="18">
        <v>29.0</v>
      </c>
      <c r="U2006" s="151">
        <v>12743.0</v>
      </c>
      <c r="V2006" s="92" t="s">
        <v>183</v>
      </c>
      <c r="W2006" s="18" t="s">
        <v>58</v>
      </c>
      <c r="X2006" s="177" t="s">
        <v>1101</v>
      </c>
      <c r="Y2006" s="114">
        <v>46190.0</v>
      </c>
      <c r="Z2006" s="18" t="s">
        <v>5937</v>
      </c>
      <c r="AA2006" s="92">
        <v>19.0</v>
      </c>
      <c r="AB2006" s="18">
        <v>15.0</v>
      </c>
      <c r="AC2006" s="18">
        <v>4.0</v>
      </c>
      <c r="AD2006" s="14">
        <v>55184.0</v>
      </c>
      <c r="AE2006" s="14">
        <v>45022.0</v>
      </c>
      <c r="AF2006" s="14">
        <v>10162.0</v>
      </c>
      <c r="AG2006" s="22"/>
      <c r="AH2006" s="22"/>
      <c r="AI2006" s="22"/>
      <c r="AJ2006" s="22"/>
      <c r="AK2006" s="22"/>
      <c r="AL2006" s="22"/>
      <c r="AM2006" s="22"/>
      <c r="AN2006" s="22"/>
      <c r="AO2006" s="22"/>
      <c r="AP2006" s="22"/>
    </row>
    <row r="2007" hidden="1">
      <c r="A2007" s="148">
        <v>46189.0</v>
      </c>
      <c r="B2007" s="149">
        <v>0.5</v>
      </c>
      <c r="C2007" s="11" t="s">
        <v>58</v>
      </c>
      <c r="D2007" s="102" t="s">
        <v>33</v>
      </c>
      <c r="E2007" s="10" t="s">
        <v>71</v>
      </c>
      <c r="F2007" s="10" t="s">
        <v>5574</v>
      </c>
      <c r="G2007" s="11" t="s">
        <v>5938</v>
      </c>
      <c r="H2007" s="11" t="s">
        <v>5939</v>
      </c>
      <c r="I2007" s="28" t="s">
        <v>1101</v>
      </c>
      <c r="J2007" s="14">
        <v>22128.0</v>
      </c>
      <c r="K2007" s="14">
        <v>15388.0</v>
      </c>
      <c r="L2007" s="17">
        <v>0.6954</v>
      </c>
      <c r="M2007" s="150">
        <v>0.0</v>
      </c>
      <c r="N2007" s="136">
        <v>0.0</v>
      </c>
      <c r="O2007" s="18">
        <v>50.0</v>
      </c>
      <c r="P2007" s="92">
        <v>0.0</v>
      </c>
      <c r="Q2007" s="137">
        <v>0.0032</v>
      </c>
      <c r="R2007" s="17">
        <v>0.0</v>
      </c>
      <c r="S2007" s="18">
        <v>16.0</v>
      </c>
      <c r="T2007" s="18">
        <v>79.0</v>
      </c>
      <c r="U2007" s="151">
        <v>49794.0</v>
      </c>
      <c r="V2007" s="92" t="s">
        <v>183</v>
      </c>
      <c r="W2007" s="18" t="s">
        <v>58</v>
      </c>
      <c r="X2007" s="177" t="s">
        <v>1101</v>
      </c>
      <c r="Y2007" s="114">
        <v>46189.0</v>
      </c>
      <c r="Z2007" s="18" t="s">
        <v>5940</v>
      </c>
      <c r="AA2007" s="92">
        <v>49.0</v>
      </c>
      <c r="AB2007" s="18">
        <v>44.0</v>
      </c>
      <c r="AC2007" s="18">
        <v>5.0</v>
      </c>
      <c r="AD2007" s="14">
        <v>93917.0</v>
      </c>
      <c r="AE2007" s="14">
        <v>80917.0</v>
      </c>
      <c r="AF2007" s="14">
        <v>13000.0</v>
      </c>
      <c r="AG2007" s="22"/>
      <c r="AH2007" s="22"/>
      <c r="AI2007" s="22"/>
      <c r="AJ2007" s="22"/>
      <c r="AK2007" s="22"/>
      <c r="AL2007" s="22"/>
      <c r="AM2007" s="22"/>
      <c r="AN2007" s="22"/>
      <c r="AO2007" s="22"/>
      <c r="AP2007" s="22"/>
    </row>
    <row r="2008" hidden="1">
      <c r="A2008" s="148">
        <v>46189.0</v>
      </c>
      <c r="B2008" s="149">
        <v>0.7916666666666666</v>
      </c>
      <c r="C2008" s="11" t="s">
        <v>58</v>
      </c>
      <c r="D2008" s="102" t="s">
        <v>3083</v>
      </c>
      <c r="E2008" s="10" t="s">
        <v>71</v>
      </c>
      <c r="F2008" s="10" t="s">
        <v>5574</v>
      </c>
      <c r="G2008" s="11" t="s">
        <v>5941</v>
      </c>
      <c r="H2008" s="11" t="s">
        <v>5815</v>
      </c>
      <c r="I2008" s="10" t="s">
        <v>61</v>
      </c>
      <c r="J2008" s="14">
        <v>7516.0</v>
      </c>
      <c r="K2008" s="14">
        <v>3634.0</v>
      </c>
      <c r="L2008" s="17">
        <v>0.4835</v>
      </c>
      <c r="M2008" s="150">
        <v>0.0</v>
      </c>
      <c r="N2008" s="165">
        <v>0.0</v>
      </c>
      <c r="O2008" s="18">
        <v>20.0</v>
      </c>
      <c r="P2008" s="92">
        <v>0.0</v>
      </c>
      <c r="Q2008" s="166">
        <v>0.0055</v>
      </c>
      <c r="R2008" s="17">
        <v>0.0</v>
      </c>
      <c r="S2008" s="18">
        <v>0.0</v>
      </c>
      <c r="T2008" s="18">
        <v>0.0</v>
      </c>
      <c r="U2008" s="151">
        <v>0.0</v>
      </c>
      <c r="V2008" s="92" t="s">
        <v>335</v>
      </c>
      <c r="W2008" s="18" t="s">
        <v>58</v>
      </c>
      <c r="X2008" s="177" t="s">
        <v>1101</v>
      </c>
      <c r="Y2008" s="114">
        <v>46189.0</v>
      </c>
      <c r="Z2008" s="18" t="s">
        <v>5942</v>
      </c>
      <c r="AA2008" s="92">
        <v>4.0</v>
      </c>
      <c r="AB2008" s="18">
        <v>4.0</v>
      </c>
      <c r="AC2008" s="18"/>
      <c r="AD2008" s="14">
        <v>17334.0</v>
      </c>
      <c r="AE2008" s="14">
        <v>17334.0</v>
      </c>
      <c r="AF2008" s="14"/>
      <c r="AG2008" s="22"/>
      <c r="AH2008" s="22"/>
      <c r="AI2008" s="22"/>
      <c r="AJ2008" s="22"/>
      <c r="AK2008" s="22"/>
      <c r="AL2008" s="22"/>
      <c r="AM2008" s="22"/>
      <c r="AN2008" s="22"/>
      <c r="AO2008" s="22"/>
      <c r="AP2008" s="22"/>
    </row>
    <row r="2009" hidden="1">
      <c r="A2009" s="148">
        <v>46189.0</v>
      </c>
      <c r="B2009" s="149">
        <v>0.7916666666666666</v>
      </c>
      <c r="C2009" s="11" t="s">
        <v>58</v>
      </c>
      <c r="D2009" s="102" t="s">
        <v>3083</v>
      </c>
      <c r="E2009" s="10" t="s">
        <v>71</v>
      </c>
      <c r="F2009" s="10" t="s">
        <v>5574</v>
      </c>
      <c r="G2009" s="11" t="s">
        <v>5943</v>
      </c>
      <c r="H2009" s="11" t="s">
        <v>5819</v>
      </c>
      <c r="I2009" s="10" t="s">
        <v>61</v>
      </c>
      <c r="J2009" s="14">
        <v>32122.0</v>
      </c>
      <c r="K2009" s="14">
        <v>16946.0</v>
      </c>
      <c r="L2009" s="17">
        <v>0.5276</v>
      </c>
      <c r="M2009" s="150">
        <v>0.0</v>
      </c>
      <c r="N2009" s="165">
        <v>0.0</v>
      </c>
      <c r="O2009" s="18">
        <v>43.0</v>
      </c>
      <c r="P2009" s="92">
        <v>0.0</v>
      </c>
      <c r="Q2009" s="166">
        <v>0.0025</v>
      </c>
      <c r="R2009" s="17">
        <v>0.0</v>
      </c>
      <c r="S2009" s="18">
        <v>2.0</v>
      </c>
      <c r="T2009" s="18">
        <v>4.0</v>
      </c>
      <c r="U2009" s="151">
        <v>7284.0</v>
      </c>
      <c r="V2009" s="92" t="s">
        <v>315</v>
      </c>
      <c r="W2009" s="18" t="s">
        <v>58</v>
      </c>
      <c r="X2009" s="177" t="s">
        <v>1101</v>
      </c>
      <c r="Y2009" s="114">
        <v>46189.0</v>
      </c>
      <c r="Z2009" s="18" t="s">
        <v>5944</v>
      </c>
      <c r="AA2009" s="92">
        <v>23.0</v>
      </c>
      <c r="AB2009" s="18"/>
      <c r="AC2009" s="18">
        <v>23.0</v>
      </c>
      <c r="AD2009" s="14">
        <v>97362.0</v>
      </c>
      <c r="AE2009" s="14"/>
      <c r="AF2009" s="14">
        <v>97362.0</v>
      </c>
      <c r="AG2009" s="22"/>
      <c r="AH2009" s="22"/>
      <c r="AI2009" s="22"/>
      <c r="AJ2009" s="22"/>
      <c r="AK2009" s="22"/>
      <c r="AL2009" s="22"/>
      <c r="AM2009" s="22"/>
      <c r="AN2009" s="22"/>
      <c r="AO2009" s="22"/>
      <c r="AP2009" s="22"/>
    </row>
    <row r="2010" hidden="1">
      <c r="A2010" s="148">
        <v>46192.0</v>
      </c>
      <c r="B2010" s="149">
        <v>0.5</v>
      </c>
      <c r="C2010" s="11" t="s">
        <v>58</v>
      </c>
      <c r="D2010" s="102" t="s">
        <v>3083</v>
      </c>
      <c r="E2010" s="10" t="s">
        <v>71</v>
      </c>
      <c r="F2010" s="10" t="s">
        <v>5574</v>
      </c>
      <c r="G2010" s="11" t="s">
        <v>5945</v>
      </c>
      <c r="H2010" s="11" t="s">
        <v>5053</v>
      </c>
      <c r="I2010" s="10" t="s">
        <v>61</v>
      </c>
      <c r="J2010" s="14">
        <v>21000.0</v>
      </c>
      <c r="K2010" s="14">
        <v>11113.0</v>
      </c>
      <c r="L2010" s="17">
        <v>0.5292</v>
      </c>
      <c r="M2010" s="150">
        <v>0.0</v>
      </c>
      <c r="N2010" s="136">
        <v>0.0</v>
      </c>
      <c r="O2010" s="18">
        <v>22.0</v>
      </c>
      <c r="P2010" s="92">
        <v>0.0</v>
      </c>
      <c r="Q2010" s="137">
        <v>0.002</v>
      </c>
      <c r="R2010" s="17">
        <v>0.0</v>
      </c>
      <c r="S2010" s="18">
        <v>0.0</v>
      </c>
      <c r="T2010" s="18">
        <v>7.0</v>
      </c>
      <c r="U2010" s="151">
        <v>0.0</v>
      </c>
      <c r="V2010" s="92" t="s">
        <v>183</v>
      </c>
      <c r="W2010" s="18" t="s">
        <v>58</v>
      </c>
      <c r="X2010" s="174" t="s">
        <v>2286</v>
      </c>
      <c r="Y2010" s="114">
        <v>46192.0</v>
      </c>
      <c r="Z2010" s="18" t="s">
        <v>5946</v>
      </c>
      <c r="AA2010" s="92">
        <v>47.0</v>
      </c>
      <c r="AB2010" s="18">
        <v>10.0</v>
      </c>
      <c r="AC2010" s="18">
        <v>37.0</v>
      </c>
      <c r="AD2010" s="14">
        <v>186236.0</v>
      </c>
      <c r="AE2010" s="14">
        <v>40690.0</v>
      </c>
      <c r="AF2010" s="14">
        <v>145546.0</v>
      </c>
      <c r="AG2010" s="22"/>
      <c r="AH2010" s="22"/>
      <c r="AI2010" s="22"/>
      <c r="AJ2010" s="22"/>
      <c r="AK2010" s="22"/>
      <c r="AL2010" s="22"/>
      <c r="AM2010" s="22"/>
      <c r="AN2010" s="22"/>
      <c r="AO2010" s="22"/>
      <c r="AP2010" s="22"/>
    </row>
    <row r="2011" hidden="1">
      <c r="A2011" s="148">
        <v>46192.0</v>
      </c>
      <c r="B2011" s="149">
        <v>0.5</v>
      </c>
      <c r="C2011" s="11" t="s">
        <v>58</v>
      </c>
      <c r="D2011" s="102" t="s">
        <v>3083</v>
      </c>
      <c r="E2011" s="10" t="s">
        <v>71</v>
      </c>
      <c r="F2011" s="10" t="s">
        <v>5574</v>
      </c>
      <c r="G2011" s="11" t="s">
        <v>5947</v>
      </c>
      <c r="H2011" s="11" t="s">
        <v>5061</v>
      </c>
      <c r="I2011" s="10" t="s">
        <v>61</v>
      </c>
      <c r="J2011" s="14">
        <v>4423.0</v>
      </c>
      <c r="K2011" s="14">
        <v>2820.0</v>
      </c>
      <c r="L2011" s="17">
        <v>0.6376</v>
      </c>
      <c r="M2011" s="150">
        <v>0.0</v>
      </c>
      <c r="N2011" s="136">
        <v>0.0</v>
      </c>
      <c r="O2011" s="18">
        <v>7.0</v>
      </c>
      <c r="P2011" s="92">
        <v>0.0</v>
      </c>
      <c r="Q2011" s="137">
        <v>0.0025</v>
      </c>
      <c r="R2011" s="17">
        <v>0.0</v>
      </c>
      <c r="S2011" s="18">
        <v>1.0</v>
      </c>
      <c r="T2011" s="18">
        <v>1.0</v>
      </c>
      <c r="U2011" s="151">
        <v>348.0</v>
      </c>
      <c r="V2011" s="92" t="s">
        <v>335</v>
      </c>
      <c r="W2011" s="18" t="s">
        <v>58</v>
      </c>
      <c r="X2011" s="174" t="s">
        <v>2542</v>
      </c>
      <c r="Y2011" s="114">
        <v>46192.0</v>
      </c>
      <c r="Z2011" s="18" t="s">
        <v>5948</v>
      </c>
      <c r="AA2011" s="92">
        <v>4.0</v>
      </c>
      <c r="AB2011" s="18">
        <v>4.0</v>
      </c>
      <c r="AC2011" s="18"/>
      <c r="AD2011" s="14">
        <v>3677.0</v>
      </c>
      <c r="AE2011" s="14">
        <v>3677.0</v>
      </c>
      <c r="AF2011" s="14"/>
      <c r="AG2011" s="22"/>
      <c r="AH2011" s="22"/>
      <c r="AI2011" s="22"/>
      <c r="AJ2011" s="22"/>
      <c r="AK2011" s="22"/>
      <c r="AL2011" s="22"/>
      <c r="AM2011" s="22"/>
      <c r="AN2011" s="22"/>
      <c r="AO2011" s="22"/>
      <c r="AP2011" s="22"/>
    </row>
    <row r="2012" hidden="1">
      <c r="A2012" s="148">
        <v>46192.0</v>
      </c>
      <c r="B2012" s="149">
        <v>0.5</v>
      </c>
      <c r="C2012" s="11" t="s">
        <v>58</v>
      </c>
      <c r="D2012" s="102" t="s">
        <v>3083</v>
      </c>
      <c r="E2012" s="10" t="s">
        <v>71</v>
      </c>
      <c r="F2012" s="10" t="s">
        <v>5574</v>
      </c>
      <c r="G2012" s="11" t="s">
        <v>5949</v>
      </c>
      <c r="H2012" s="11" t="s">
        <v>5065</v>
      </c>
      <c r="I2012" s="10" t="s">
        <v>61</v>
      </c>
      <c r="J2012" s="14">
        <v>1057.0</v>
      </c>
      <c r="K2012" s="14">
        <v>598.0</v>
      </c>
      <c r="L2012" s="17">
        <v>0.5658</v>
      </c>
      <c r="M2012" s="150">
        <v>0.0</v>
      </c>
      <c r="N2012" s="136">
        <v>0.0</v>
      </c>
      <c r="O2012" s="18">
        <v>0.0</v>
      </c>
      <c r="P2012" s="92">
        <v>0.0</v>
      </c>
      <c r="Q2012" s="137">
        <v>0.0</v>
      </c>
      <c r="R2012" s="17">
        <v>0.0</v>
      </c>
      <c r="S2012" s="18">
        <v>0.0</v>
      </c>
      <c r="T2012" s="18">
        <v>0.0</v>
      </c>
      <c r="U2012" s="151">
        <v>0.0</v>
      </c>
      <c r="V2012" s="92" t="s">
        <v>335</v>
      </c>
      <c r="W2012" s="18" t="s">
        <v>58</v>
      </c>
      <c r="X2012" s="174" t="s">
        <v>52</v>
      </c>
      <c r="Y2012" s="114">
        <v>46192.0</v>
      </c>
      <c r="Z2012" s="18" t="s">
        <v>5950</v>
      </c>
      <c r="AA2012" s="92">
        <v>0.0</v>
      </c>
      <c r="AB2012" s="18">
        <v>0.0</v>
      </c>
      <c r="AC2012" s="18"/>
      <c r="AD2012" s="14">
        <v>0.0</v>
      </c>
      <c r="AE2012" s="14">
        <v>0.0</v>
      </c>
      <c r="AF2012" s="14"/>
      <c r="AG2012" s="22"/>
      <c r="AH2012" s="22"/>
      <c r="AI2012" s="22"/>
      <c r="AJ2012" s="22"/>
      <c r="AK2012" s="22"/>
      <c r="AL2012" s="22"/>
      <c r="AM2012" s="22"/>
      <c r="AN2012" s="22"/>
      <c r="AO2012" s="22"/>
      <c r="AP2012" s="22"/>
    </row>
    <row r="2013" hidden="1">
      <c r="A2013" s="148">
        <v>46192.0</v>
      </c>
      <c r="B2013" s="149">
        <v>0.5</v>
      </c>
      <c r="C2013" s="11" t="s">
        <v>58</v>
      </c>
      <c r="D2013" s="102" t="s">
        <v>3083</v>
      </c>
      <c r="E2013" s="10" t="s">
        <v>71</v>
      </c>
      <c r="F2013" s="10" t="s">
        <v>5574</v>
      </c>
      <c r="G2013" s="11" t="s">
        <v>5951</v>
      </c>
      <c r="H2013" s="11" t="s">
        <v>5838</v>
      </c>
      <c r="I2013" s="10" t="s">
        <v>61</v>
      </c>
      <c r="J2013" s="14">
        <v>11288.0</v>
      </c>
      <c r="K2013" s="14">
        <v>6362.0</v>
      </c>
      <c r="L2013" s="17">
        <v>0.5636</v>
      </c>
      <c r="M2013" s="150">
        <v>0.0</v>
      </c>
      <c r="N2013" s="136">
        <v>0.0</v>
      </c>
      <c r="O2013" s="18">
        <v>9.0</v>
      </c>
      <c r="P2013" s="92">
        <v>0.0</v>
      </c>
      <c r="Q2013" s="137">
        <v>0.0014</v>
      </c>
      <c r="R2013" s="17">
        <v>0.0</v>
      </c>
      <c r="S2013" s="18">
        <v>0.0</v>
      </c>
      <c r="T2013" s="18">
        <v>1.0</v>
      </c>
      <c r="U2013" s="151">
        <v>0.0</v>
      </c>
      <c r="V2013" s="92" t="s">
        <v>315</v>
      </c>
      <c r="W2013" s="18" t="s">
        <v>58</v>
      </c>
      <c r="X2013" s="174" t="s">
        <v>5840</v>
      </c>
      <c r="Y2013" s="114">
        <v>46192.0</v>
      </c>
      <c r="Z2013" s="18" t="s">
        <v>5952</v>
      </c>
      <c r="AA2013" s="92">
        <v>8.0</v>
      </c>
      <c r="AB2013" s="18"/>
      <c r="AC2013" s="18">
        <v>8.0</v>
      </c>
      <c r="AD2013" s="14">
        <v>39391.0</v>
      </c>
      <c r="AE2013" s="14"/>
      <c r="AF2013" s="14">
        <v>39391.0</v>
      </c>
      <c r="AG2013" s="22"/>
      <c r="AH2013" s="22"/>
      <c r="AI2013" s="22"/>
      <c r="AJ2013" s="22"/>
      <c r="AK2013" s="22"/>
      <c r="AL2013" s="22"/>
      <c r="AM2013" s="22"/>
      <c r="AN2013" s="22"/>
      <c r="AO2013" s="22"/>
      <c r="AP2013" s="22"/>
    </row>
    <row r="2014" hidden="1">
      <c r="A2014" s="148">
        <v>46194.0</v>
      </c>
      <c r="B2014" s="149">
        <v>0.5416666666666666</v>
      </c>
      <c r="C2014" s="11" t="s">
        <v>58</v>
      </c>
      <c r="D2014" s="102" t="s">
        <v>3083</v>
      </c>
      <c r="E2014" s="10" t="s">
        <v>71</v>
      </c>
      <c r="F2014" s="10" t="s">
        <v>5574</v>
      </c>
      <c r="G2014" s="11" t="s">
        <v>5953</v>
      </c>
      <c r="H2014" s="11" t="s">
        <v>2737</v>
      </c>
      <c r="I2014" s="10" t="s">
        <v>61</v>
      </c>
      <c r="J2014" s="14">
        <v>64666.0</v>
      </c>
      <c r="K2014" s="14">
        <v>36587.0</v>
      </c>
      <c r="L2014" s="17">
        <v>0.5658</v>
      </c>
      <c r="M2014" s="150">
        <v>0.0</v>
      </c>
      <c r="N2014" s="136">
        <v>0.0</v>
      </c>
      <c r="O2014" s="18">
        <v>56.0</v>
      </c>
      <c r="P2014" s="92">
        <v>0.0</v>
      </c>
      <c r="Q2014" s="137">
        <v>0.0015</v>
      </c>
      <c r="R2014" s="17">
        <v>0.0</v>
      </c>
      <c r="S2014" s="18">
        <v>1.0</v>
      </c>
      <c r="T2014" s="18">
        <v>6.0</v>
      </c>
      <c r="U2014" s="151">
        <v>2019.0</v>
      </c>
      <c r="V2014" s="92" t="s">
        <v>315</v>
      </c>
      <c r="W2014" s="18" t="s">
        <v>58</v>
      </c>
      <c r="X2014" s="174" t="s">
        <v>4001</v>
      </c>
      <c r="Y2014" s="114">
        <v>46194.0</v>
      </c>
      <c r="Z2014" s="18" t="s">
        <v>5954</v>
      </c>
      <c r="AA2014" s="92">
        <v>195.0</v>
      </c>
      <c r="AB2014" s="18"/>
      <c r="AC2014" s="18">
        <v>195.0</v>
      </c>
      <c r="AD2014" s="14">
        <v>831781.0</v>
      </c>
      <c r="AE2014" s="14"/>
      <c r="AF2014" s="14">
        <v>831781.0</v>
      </c>
      <c r="AG2014" s="22"/>
      <c r="AH2014" s="22"/>
      <c r="AI2014" s="22"/>
      <c r="AJ2014" s="22"/>
      <c r="AK2014" s="22"/>
      <c r="AL2014" s="22"/>
      <c r="AM2014" s="22"/>
      <c r="AN2014" s="22"/>
      <c r="AO2014" s="22"/>
      <c r="AP2014" s="22"/>
    </row>
    <row r="2015" hidden="1">
      <c r="A2015" s="148">
        <v>46194.0</v>
      </c>
      <c r="B2015" s="149">
        <v>0.5416666666666666</v>
      </c>
      <c r="C2015" s="11" t="s">
        <v>58</v>
      </c>
      <c r="D2015" s="102" t="s">
        <v>3083</v>
      </c>
      <c r="E2015" s="10" t="s">
        <v>71</v>
      </c>
      <c r="F2015" s="10" t="s">
        <v>5574</v>
      </c>
      <c r="G2015" s="11" t="s">
        <v>5955</v>
      </c>
      <c r="H2015" s="11" t="s">
        <v>4330</v>
      </c>
      <c r="I2015" s="10" t="s">
        <v>61</v>
      </c>
      <c r="J2015" s="14">
        <v>58.0</v>
      </c>
      <c r="K2015" s="14">
        <v>25.0</v>
      </c>
      <c r="L2015" s="17">
        <v>0.431</v>
      </c>
      <c r="M2015" s="150">
        <v>0.0</v>
      </c>
      <c r="N2015" s="136">
        <v>0.0</v>
      </c>
      <c r="O2015" s="18">
        <v>0.0</v>
      </c>
      <c r="P2015" s="92">
        <v>0.0</v>
      </c>
      <c r="Q2015" s="137">
        <v>0.0</v>
      </c>
      <c r="R2015" s="17">
        <v>0.0</v>
      </c>
      <c r="S2015" s="18">
        <v>0.0</v>
      </c>
      <c r="T2015" s="18">
        <v>0.0</v>
      </c>
      <c r="U2015" s="151">
        <v>0.0</v>
      </c>
      <c r="V2015" s="92" t="s">
        <v>315</v>
      </c>
      <c r="W2015" s="18" t="s">
        <v>58</v>
      </c>
      <c r="X2015" s="174" t="s">
        <v>4332</v>
      </c>
      <c r="Y2015" s="94" t="s">
        <v>5852</v>
      </c>
      <c r="Z2015" s="18" t="s">
        <v>5956</v>
      </c>
      <c r="AA2015" s="92">
        <v>0.0</v>
      </c>
      <c r="AB2015" s="18"/>
      <c r="AC2015" s="18">
        <v>0.0</v>
      </c>
      <c r="AD2015" s="14">
        <v>0.0</v>
      </c>
      <c r="AE2015" s="14"/>
      <c r="AF2015" s="14">
        <v>0.0</v>
      </c>
      <c r="AG2015" s="22"/>
      <c r="AH2015" s="22"/>
      <c r="AI2015" s="22"/>
      <c r="AJ2015" s="22"/>
      <c r="AK2015" s="22"/>
      <c r="AL2015" s="22"/>
      <c r="AM2015" s="22"/>
      <c r="AN2015" s="22"/>
      <c r="AO2015" s="22"/>
      <c r="AP2015" s="22"/>
    </row>
    <row r="2016" hidden="1">
      <c r="A2016" s="148">
        <v>46194.0</v>
      </c>
      <c r="B2016" s="149">
        <v>0.5416666666666666</v>
      </c>
      <c r="C2016" s="11" t="s">
        <v>58</v>
      </c>
      <c r="D2016" s="102" t="s">
        <v>3083</v>
      </c>
      <c r="E2016" s="10" t="s">
        <v>71</v>
      </c>
      <c r="F2016" s="10" t="s">
        <v>5574</v>
      </c>
      <c r="G2016" s="11" t="s">
        <v>5957</v>
      </c>
      <c r="H2016" s="11" t="s">
        <v>2678</v>
      </c>
      <c r="I2016" s="10" t="s">
        <v>61</v>
      </c>
      <c r="J2016" s="14">
        <v>7476.0</v>
      </c>
      <c r="K2016" s="14">
        <v>4117.0</v>
      </c>
      <c r="L2016" s="17">
        <v>0.5507</v>
      </c>
      <c r="M2016" s="150">
        <v>0.0</v>
      </c>
      <c r="N2016" s="136">
        <v>0.0</v>
      </c>
      <c r="O2016" s="18">
        <v>3.0</v>
      </c>
      <c r="P2016" s="92">
        <v>0.0</v>
      </c>
      <c r="Q2016" s="137">
        <v>7.0E-4</v>
      </c>
      <c r="R2016" s="17">
        <v>0.0</v>
      </c>
      <c r="S2016" s="18">
        <v>0.0</v>
      </c>
      <c r="T2016" s="18">
        <v>0.0</v>
      </c>
      <c r="U2016" s="151">
        <v>0.0</v>
      </c>
      <c r="V2016" s="92" t="s">
        <v>315</v>
      </c>
      <c r="W2016" s="18" t="s">
        <v>58</v>
      </c>
      <c r="X2016" s="174" t="s">
        <v>52</v>
      </c>
      <c r="Y2016" s="94" t="s">
        <v>5852</v>
      </c>
      <c r="Z2016" s="18" t="s">
        <v>5958</v>
      </c>
      <c r="AA2016" s="92">
        <v>22.0</v>
      </c>
      <c r="AB2016" s="18"/>
      <c r="AC2016" s="18">
        <v>22.0</v>
      </c>
      <c r="AD2016" s="14">
        <v>22.0</v>
      </c>
      <c r="AE2016" s="14"/>
      <c r="AF2016" s="14">
        <v>22.0</v>
      </c>
      <c r="AG2016" s="22"/>
      <c r="AH2016" s="22"/>
      <c r="AI2016" s="22"/>
      <c r="AJ2016" s="22"/>
      <c r="AK2016" s="22"/>
      <c r="AL2016" s="22"/>
      <c r="AM2016" s="22"/>
      <c r="AN2016" s="22"/>
      <c r="AO2016" s="22"/>
      <c r="AP2016" s="22"/>
    </row>
    <row r="2017" hidden="1">
      <c r="A2017" s="148">
        <v>46194.0</v>
      </c>
      <c r="B2017" s="149">
        <v>0.5416666666666666</v>
      </c>
      <c r="C2017" s="11" t="s">
        <v>58</v>
      </c>
      <c r="D2017" s="102" t="s">
        <v>3083</v>
      </c>
      <c r="E2017" s="10" t="s">
        <v>71</v>
      </c>
      <c r="F2017" s="10" t="s">
        <v>5574</v>
      </c>
      <c r="G2017" s="11" t="s">
        <v>5959</v>
      </c>
      <c r="H2017" s="11" t="s">
        <v>2666</v>
      </c>
      <c r="I2017" s="10" t="s">
        <v>61</v>
      </c>
      <c r="J2017" s="14">
        <v>66732.0</v>
      </c>
      <c r="K2017" s="14">
        <v>37583.0</v>
      </c>
      <c r="L2017" s="17">
        <v>0.5632</v>
      </c>
      <c r="M2017" s="150">
        <v>0.0</v>
      </c>
      <c r="N2017" s="136">
        <v>0.0</v>
      </c>
      <c r="O2017" s="18">
        <v>45.0</v>
      </c>
      <c r="P2017" s="92">
        <v>0.0</v>
      </c>
      <c r="Q2017" s="137">
        <v>0.0012</v>
      </c>
      <c r="R2017" s="17">
        <v>0.0</v>
      </c>
      <c r="S2017" s="18">
        <v>1.0</v>
      </c>
      <c r="T2017" s="18">
        <v>3.0</v>
      </c>
      <c r="U2017" s="151">
        <v>969.0</v>
      </c>
      <c r="V2017" s="92" t="s">
        <v>315</v>
      </c>
      <c r="W2017" s="18" t="s">
        <v>58</v>
      </c>
      <c r="X2017" s="174" t="s">
        <v>5100</v>
      </c>
      <c r="Y2017" s="94" t="s">
        <v>5852</v>
      </c>
      <c r="Z2017" s="18" t="s">
        <v>5960</v>
      </c>
      <c r="AA2017" s="92">
        <v>201.0</v>
      </c>
      <c r="AB2017" s="18"/>
      <c r="AC2017" s="18">
        <v>201.0</v>
      </c>
      <c r="AD2017" s="14">
        <v>798784.0</v>
      </c>
      <c r="AE2017" s="14"/>
      <c r="AF2017" s="14">
        <v>798784.0</v>
      </c>
      <c r="AG2017" s="22"/>
      <c r="AH2017" s="22"/>
      <c r="AI2017" s="22"/>
      <c r="AJ2017" s="22"/>
      <c r="AK2017" s="22"/>
      <c r="AL2017" s="22"/>
      <c r="AM2017" s="22"/>
      <c r="AN2017" s="22"/>
      <c r="AO2017" s="22"/>
      <c r="AP2017" s="22"/>
    </row>
    <row r="2018" hidden="1">
      <c r="A2018" s="148">
        <v>46194.0</v>
      </c>
      <c r="B2018" s="149">
        <v>0.5416666666666666</v>
      </c>
      <c r="C2018" s="11" t="s">
        <v>58</v>
      </c>
      <c r="D2018" s="102" t="s">
        <v>3083</v>
      </c>
      <c r="E2018" s="10" t="s">
        <v>71</v>
      </c>
      <c r="F2018" s="10" t="s">
        <v>5574</v>
      </c>
      <c r="G2018" s="11" t="s">
        <v>5961</v>
      </c>
      <c r="H2018" s="11" t="s">
        <v>4339</v>
      </c>
      <c r="I2018" s="10" t="s">
        <v>61</v>
      </c>
      <c r="J2018" s="14">
        <v>20753.0</v>
      </c>
      <c r="K2018" s="14">
        <v>11706.0</v>
      </c>
      <c r="L2018" s="17">
        <v>0.5641</v>
      </c>
      <c r="M2018" s="150">
        <v>0.0</v>
      </c>
      <c r="N2018" s="136">
        <v>0.0</v>
      </c>
      <c r="O2018" s="18">
        <v>13.0</v>
      </c>
      <c r="P2018" s="92">
        <v>0.0</v>
      </c>
      <c r="Q2018" s="137">
        <v>0.0011</v>
      </c>
      <c r="R2018" s="17">
        <v>0.0</v>
      </c>
      <c r="S2018" s="18">
        <v>0.0</v>
      </c>
      <c r="T2018" s="18">
        <v>1.0</v>
      </c>
      <c r="U2018" s="151">
        <v>0.0</v>
      </c>
      <c r="V2018" s="92" t="s">
        <v>315</v>
      </c>
      <c r="W2018" s="18" t="s">
        <v>58</v>
      </c>
      <c r="X2018" s="174" t="s">
        <v>2552</v>
      </c>
      <c r="Y2018" s="94" t="s">
        <v>5852</v>
      </c>
      <c r="Z2018" s="18" t="s">
        <v>5962</v>
      </c>
      <c r="AA2018" s="92">
        <v>66.0</v>
      </c>
      <c r="AB2018" s="18"/>
      <c r="AC2018" s="18">
        <v>66.0</v>
      </c>
      <c r="AD2018" s="14">
        <v>283912.0</v>
      </c>
      <c r="AE2018" s="14"/>
      <c r="AF2018" s="14">
        <v>283912.0</v>
      </c>
      <c r="AG2018" s="22"/>
      <c r="AH2018" s="22"/>
      <c r="AI2018" s="22"/>
      <c r="AJ2018" s="22"/>
      <c r="AK2018" s="22"/>
      <c r="AL2018" s="22"/>
      <c r="AM2018" s="22"/>
      <c r="AN2018" s="22"/>
      <c r="AO2018" s="22"/>
      <c r="AP2018" s="22"/>
    </row>
    <row r="2019" hidden="1">
      <c r="A2019" s="148">
        <v>46192.0</v>
      </c>
      <c r="B2019" s="149">
        <v>0.5833333333333334</v>
      </c>
      <c r="C2019" s="11" t="s">
        <v>58</v>
      </c>
      <c r="D2019" s="102" t="s">
        <v>3083</v>
      </c>
      <c r="E2019" s="10" t="s">
        <v>71</v>
      </c>
      <c r="F2019" s="10" t="s">
        <v>5574</v>
      </c>
      <c r="G2019" s="11" t="s">
        <v>5963</v>
      </c>
      <c r="H2019" s="11" t="s">
        <v>5048</v>
      </c>
      <c r="I2019" s="10" t="s">
        <v>61</v>
      </c>
      <c r="J2019" s="14">
        <v>1375.0</v>
      </c>
      <c r="K2019" s="14">
        <v>795.0</v>
      </c>
      <c r="L2019" s="17">
        <v>0.5782</v>
      </c>
      <c r="M2019" s="150">
        <v>0.0</v>
      </c>
      <c r="N2019" s="165">
        <v>0.0</v>
      </c>
      <c r="O2019" s="18">
        <v>6.0</v>
      </c>
      <c r="P2019" s="92">
        <v>0.0</v>
      </c>
      <c r="Q2019" s="166">
        <v>0.0075</v>
      </c>
      <c r="R2019" s="17">
        <v>0.0</v>
      </c>
      <c r="S2019" s="18">
        <v>5.0</v>
      </c>
      <c r="T2019" s="18">
        <v>39.0</v>
      </c>
      <c r="U2019" s="151">
        <v>14425.0</v>
      </c>
      <c r="V2019" s="92" t="s">
        <v>335</v>
      </c>
      <c r="W2019" s="18" t="s">
        <v>58</v>
      </c>
      <c r="X2019" s="177" t="s">
        <v>2131</v>
      </c>
      <c r="Y2019" s="182">
        <v>46192.0</v>
      </c>
      <c r="Z2019" s="18" t="s">
        <v>5964</v>
      </c>
      <c r="AA2019" s="92">
        <v>6.0</v>
      </c>
      <c r="AB2019" s="18">
        <v>6.0</v>
      </c>
      <c r="AC2019" s="18"/>
      <c r="AD2019" s="14">
        <v>15880.0</v>
      </c>
      <c r="AE2019" s="14">
        <v>15880.0</v>
      </c>
      <c r="AF2019" s="14"/>
      <c r="AG2019" s="22"/>
      <c r="AH2019" s="22"/>
      <c r="AI2019" s="22"/>
      <c r="AJ2019" s="22"/>
      <c r="AK2019" s="22"/>
      <c r="AL2019" s="22"/>
      <c r="AM2019" s="22"/>
      <c r="AN2019" s="22"/>
      <c r="AO2019" s="22"/>
      <c r="AP2019" s="22"/>
    </row>
    <row r="2020" hidden="1">
      <c r="A2020" s="148">
        <v>46192.0</v>
      </c>
      <c r="B2020" s="149">
        <v>0.5902777777777778</v>
      </c>
      <c r="C2020" s="11" t="s">
        <v>58</v>
      </c>
      <c r="D2020" s="102" t="s">
        <v>3083</v>
      </c>
      <c r="E2020" s="10" t="s">
        <v>71</v>
      </c>
      <c r="F2020" s="10" t="s">
        <v>5574</v>
      </c>
      <c r="G2020" s="11" t="s">
        <v>5965</v>
      </c>
      <c r="H2020" s="11" t="s">
        <v>5866</v>
      </c>
      <c r="I2020" s="10" t="s">
        <v>61</v>
      </c>
      <c r="J2020" s="14">
        <v>2906.0</v>
      </c>
      <c r="K2020" s="14">
        <v>1506.0</v>
      </c>
      <c r="L2020" s="17">
        <v>0.5182</v>
      </c>
      <c r="M2020" s="150">
        <v>0.0</v>
      </c>
      <c r="N2020" s="165">
        <v>0.0</v>
      </c>
      <c r="O2020" s="18">
        <v>7.0</v>
      </c>
      <c r="P2020" s="92">
        <v>0.0</v>
      </c>
      <c r="Q2020" s="166">
        <v>0.0046</v>
      </c>
      <c r="R2020" s="17">
        <v>0.0</v>
      </c>
      <c r="S2020" s="18">
        <v>2.0</v>
      </c>
      <c r="T2020" s="18">
        <v>4.0</v>
      </c>
      <c r="U2020" s="151">
        <v>5439.0</v>
      </c>
      <c r="V2020" s="92" t="s">
        <v>335</v>
      </c>
      <c r="W2020" s="18" t="s">
        <v>58</v>
      </c>
      <c r="X2020" s="177" t="s">
        <v>5840</v>
      </c>
      <c r="Y2020" s="182">
        <v>46192.0</v>
      </c>
      <c r="Z2020" s="18" t="s">
        <v>5966</v>
      </c>
      <c r="AA2020" s="92">
        <v>2.0</v>
      </c>
      <c r="AB2020" s="18">
        <v>2.0</v>
      </c>
      <c r="AC2020" s="18"/>
      <c r="AD2020" s="14">
        <v>3039.0</v>
      </c>
      <c r="AE2020" s="14">
        <v>3039.0</v>
      </c>
      <c r="AF2020" s="14"/>
      <c r="AG2020" s="22"/>
      <c r="AH2020" s="22"/>
      <c r="AI2020" s="22"/>
      <c r="AJ2020" s="22"/>
      <c r="AK2020" s="22"/>
      <c r="AL2020" s="22"/>
      <c r="AM2020" s="22"/>
      <c r="AN2020" s="22"/>
      <c r="AO2020" s="22"/>
      <c r="AP2020" s="22"/>
    </row>
    <row r="2021" hidden="1">
      <c r="A2021" s="162">
        <v>46192.0</v>
      </c>
      <c r="B2021" s="163">
        <v>0.7083333333333334</v>
      </c>
      <c r="C2021" s="29" t="s">
        <v>58</v>
      </c>
      <c r="D2021" s="96" t="s">
        <v>3083</v>
      </c>
      <c r="E2021" s="10" t="s">
        <v>1998</v>
      </c>
      <c r="F2021" s="28" t="s">
        <v>5869</v>
      </c>
      <c r="G2021" s="29" t="s">
        <v>5967</v>
      </c>
      <c r="H2021" s="29" t="s">
        <v>5312</v>
      </c>
      <c r="I2021" s="28" t="s">
        <v>2956</v>
      </c>
      <c r="J2021" s="33">
        <v>32914.0</v>
      </c>
      <c r="K2021" s="33">
        <v>15011.0</v>
      </c>
      <c r="L2021" s="36">
        <v>0.4561</v>
      </c>
      <c r="M2021" s="183">
        <v>0.0</v>
      </c>
      <c r="N2021" s="136">
        <v>0.0</v>
      </c>
      <c r="O2021" s="37">
        <v>16.0</v>
      </c>
      <c r="P2021" s="42">
        <v>0.0</v>
      </c>
      <c r="Q2021" s="137">
        <v>0.0011</v>
      </c>
      <c r="R2021" s="36">
        <v>0.0</v>
      </c>
      <c r="S2021" s="37">
        <v>5.0</v>
      </c>
      <c r="T2021" s="37">
        <v>0.0</v>
      </c>
      <c r="U2021" s="184">
        <v>31195.0</v>
      </c>
      <c r="V2021" s="42" t="s">
        <v>183</v>
      </c>
      <c r="W2021" s="18" t="s">
        <v>58</v>
      </c>
      <c r="X2021" s="174" t="s">
        <v>4296</v>
      </c>
      <c r="Y2021" s="185" t="s">
        <v>5872</v>
      </c>
      <c r="Z2021" s="37" t="s">
        <v>5968</v>
      </c>
      <c r="AA2021" s="42">
        <v>4.0</v>
      </c>
      <c r="AB2021" s="42">
        <v>3.0</v>
      </c>
      <c r="AC2021" s="37">
        <v>1.0</v>
      </c>
      <c r="AD2021" s="33">
        <v>17737.0</v>
      </c>
      <c r="AE2021" s="33">
        <v>11747.0</v>
      </c>
      <c r="AF2021" s="33">
        <v>5990.0</v>
      </c>
      <c r="AG2021" s="43"/>
      <c r="AH2021" s="43"/>
      <c r="AI2021" s="43"/>
      <c r="AJ2021" s="43"/>
      <c r="AK2021" s="43"/>
      <c r="AL2021" s="43"/>
      <c r="AM2021" s="43"/>
      <c r="AN2021" s="43"/>
      <c r="AO2021" s="43"/>
      <c r="AP2021" s="43"/>
    </row>
    <row r="2022" hidden="1">
      <c r="A2022" s="148">
        <v>46193.0</v>
      </c>
      <c r="B2022" s="149">
        <v>0.5</v>
      </c>
      <c r="C2022" s="11" t="s">
        <v>58</v>
      </c>
      <c r="D2022" s="96" t="s">
        <v>3083</v>
      </c>
      <c r="E2022" s="10" t="s">
        <v>34</v>
      </c>
      <c r="F2022" s="10" t="s">
        <v>5969</v>
      </c>
      <c r="G2022" s="11" t="s">
        <v>5970</v>
      </c>
      <c r="H2022" s="11" t="s">
        <v>5450</v>
      </c>
      <c r="I2022" s="10" t="s">
        <v>2956</v>
      </c>
      <c r="J2022" s="14">
        <v>8341.0</v>
      </c>
      <c r="K2022" s="14">
        <v>3323.0</v>
      </c>
      <c r="L2022" s="17">
        <v>0.3984</v>
      </c>
      <c r="M2022" s="150">
        <v>0.0</v>
      </c>
      <c r="N2022" s="136">
        <v>0.0</v>
      </c>
      <c r="O2022" s="18">
        <v>8.0</v>
      </c>
      <c r="P2022" s="92">
        <v>0.0</v>
      </c>
      <c r="Q2022" s="137">
        <v>0.0024</v>
      </c>
      <c r="R2022" s="17">
        <v>0.0</v>
      </c>
      <c r="S2022" s="18">
        <v>1.0</v>
      </c>
      <c r="T2022" s="18">
        <v>0.0</v>
      </c>
      <c r="U2022" s="151">
        <v>12999.0</v>
      </c>
      <c r="V2022" s="42" t="s">
        <v>183</v>
      </c>
      <c r="W2022" s="18" t="s">
        <v>58</v>
      </c>
      <c r="X2022" s="174" t="s">
        <v>5452</v>
      </c>
      <c r="Y2022" s="95" t="s">
        <v>5971</v>
      </c>
      <c r="Z2022" s="37" t="s">
        <v>5972</v>
      </c>
      <c r="AA2022" s="92">
        <v>18.0</v>
      </c>
      <c r="AB2022" s="18">
        <v>2.0</v>
      </c>
      <c r="AC2022" s="18">
        <v>16.0</v>
      </c>
      <c r="AD2022" s="14">
        <v>219124.0</v>
      </c>
      <c r="AE2022" s="186">
        <v>21998.0</v>
      </c>
      <c r="AF2022" s="14">
        <v>197126.0</v>
      </c>
      <c r="AG2022" s="22"/>
      <c r="AH2022" s="22"/>
      <c r="AI2022" s="22"/>
      <c r="AJ2022" s="22"/>
      <c r="AK2022" s="22"/>
      <c r="AL2022" s="22"/>
      <c r="AM2022" s="22"/>
      <c r="AN2022" s="22"/>
      <c r="AO2022" s="22"/>
      <c r="AP2022" s="22"/>
    </row>
    <row r="2023" hidden="1">
      <c r="A2023" s="148">
        <v>46193.0</v>
      </c>
      <c r="B2023" s="149">
        <v>0.5</v>
      </c>
      <c r="C2023" s="11" t="s">
        <v>58</v>
      </c>
      <c r="D2023" s="96" t="s">
        <v>3083</v>
      </c>
      <c r="E2023" s="10" t="s">
        <v>34</v>
      </c>
      <c r="F2023" s="10" t="s">
        <v>5969</v>
      </c>
      <c r="G2023" s="11" t="s">
        <v>5973</v>
      </c>
      <c r="H2023" s="11" t="s">
        <v>3762</v>
      </c>
      <c r="I2023" s="10" t="s">
        <v>2956</v>
      </c>
      <c r="J2023" s="14">
        <v>2874.0</v>
      </c>
      <c r="K2023" s="14">
        <v>1857.0</v>
      </c>
      <c r="L2023" s="17">
        <v>0.6461</v>
      </c>
      <c r="M2023" s="150">
        <v>0.0</v>
      </c>
      <c r="N2023" s="136">
        <v>0.0</v>
      </c>
      <c r="O2023" s="18">
        <v>5.0</v>
      </c>
      <c r="P2023" s="92">
        <v>0.0</v>
      </c>
      <c r="Q2023" s="137">
        <v>0.0027</v>
      </c>
      <c r="R2023" s="17">
        <v>0.0</v>
      </c>
      <c r="S2023" s="18">
        <v>3.0</v>
      </c>
      <c r="T2023" s="18">
        <v>0.0</v>
      </c>
      <c r="U2023" s="151">
        <v>12747.0</v>
      </c>
      <c r="V2023" s="42" t="s">
        <v>335</v>
      </c>
      <c r="W2023" s="18" t="s">
        <v>58</v>
      </c>
      <c r="X2023" s="174" t="s">
        <v>2131</v>
      </c>
      <c r="Y2023" s="95" t="s">
        <v>5971</v>
      </c>
      <c r="Z2023" s="37" t="s">
        <v>5974</v>
      </c>
      <c r="AA2023" s="92">
        <v>12.0</v>
      </c>
      <c r="AB2023" s="18">
        <v>12.0</v>
      </c>
      <c r="AC2023" s="18"/>
      <c r="AD2023" s="14">
        <v>88436.0</v>
      </c>
      <c r="AE2023" s="14">
        <v>88436.0</v>
      </c>
      <c r="AF2023" s="14"/>
      <c r="AG2023" s="22"/>
      <c r="AH2023" s="22"/>
      <c r="AI2023" s="22"/>
      <c r="AJ2023" s="22"/>
      <c r="AK2023" s="22"/>
      <c r="AL2023" s="22"/>
      <c r="AM2023" s="22"/>
      <c r="AN2023" s="22"/>
      <c r="AO2023" s="22"/>
      <c r="AP2023" s="22"/>
    </row>
    <row r="2024" hidden="1">
      <c r="A2024" s="148">
        <v>46193.0</v>
      </c>
      <c r="B2024" s="149">
        <v>0.5</v>
      </c>
      <c r="C2024" s="11" t="s">
        <v>58</v>
      </c>
      <c r="D2024" s="96" t="s">
        <v>3083</v>
      </c>
      <c r="E2024" s="10" t="s">
        <v>34</v>
      </c>
      <c r="F2024" s="10" t="s">
        <v>5969</v>
      </c>
      <c r="G2024" s="11" t="s">
        <v>5975</v>
      </c>
      <c r="H2024" s="11" t="s">
        <v>3821</v>
      </c>
      <c r="I2024" s="10" t="s">
        <v>2956</v>
      </c>
      <c r="J2024" s="14">
        <v>83651.0</v>
      </c>
      <c r="K2024" s="14">
        <v>47563.0</v>
      </c>
      <c r="L2024" s="17">
        <v>0.5686</v>
      </c>
      <c r="M2024" s="150">
        <v>0.0</v>
      </c>
      <c r="N2024" s="136">
        <v>0.0</v>
      </c>
      <c r="O2024" s="18">
        <v>98.0</v>
      </c>
      <c r="P2024" s="92">
        <v>0.0</v>
      </c>
      <c r="Q2024" s="137">
        <v>0.0021</v>
      </c>
      <c r="R2024" s="17">
        <v>0.0</v>
      </c>
      <c r="S2024" s="18">
        <v>7.0</v>
      </c>
      <c r="T2024" s="18">
        <v>0.0</v>
      </c>
      <c r="U2024" s="151">
        <v>50892.0</v>
      </c>
      <c r="V2024" s="92" t="s">
        <v>183</v>
      </c>
      <c r="W2024" s="18" t="s">
        <v>58</v>
      </c>
      <c r="X2024" s="174" t="s">
        <v>5480</v>
      </c>
      <c r="Y2024" s="95" t="s">
        <v>5971</v>
      </c>
      <c r="Z2024" s="37" t="s">
        <v>5976</v>
      </c>
      <c r="AA2024" s="92">
        <v>48.0</v>
      </c>
      <c r="AB2024" s="18">
        <v>22.0</v>
      </c>
      <c r="AC2024" s="18">
        <v>26.0</v>
      </c>
      <c r="AD2024" s="14">
        <v>389701.0</v>
      </c>
      <c r="AE2024" s="14">
        <v>147677.0</v>
      </c>
      <c r="AF2024" s="14">
        <v>242024.0</v>
      </c>
      <c r="AG2024" s="22"/>
      <c r="AH2024" s="22"/>
      <c r="AI2024" s="22"/>
      <c r="AJ2024" s="22"/>
      <c r="AK2024" s="22"/>
      <c r="AL2024" s="22"/>
      <c r="AM2024" s="22"/>
      <c r="AN2024" s="22"/>
      <c r="AO2024" s="22"/>
      <c r="AP2024" s="22"/>
    </row>
    <row r="2025" hidden="1">
      <c r="A2025" s="148">
        <v>46193.0</v>
      </c>
      <c r="B2025" s="149">
        <v>0.5</v>
      </c>
      <c r="C2025" s="11" t="s">
        <v>58</v>
      </c>
      <c r="D2025" s="96" t="s">
        <v>3083</v>
      </c>
      <c r="E2025" s="10" t="s">
        <v>34</v>
      </c>
      <c r="F2025" s="10" t="s">
        <v>5969</v>
      </c>
      <c r="G2025" s="11" t="s">
        <v>5977</v>
      </c>
      <c r="H2025" s="11" t="s">
        <v>3767</v>
      </c>
      <c r="I2025" s="10" t="s">
        <v>2956</v>
      </c>
      <c r="J2025" s="14">
        <v>366.0</v>
      </c>
      <c r="K2025" s="14">
        <v>242.0</v>
      </c>
      <c r="L2025" s="17">
        <v>0.6612</v>
      </c>
      <c r="M2025" s="150">
        <v>0.0</v>
      </c>
      <c r="N2025" s="136">
        <v>0.0</v>
      </c>
      <c r="O2025" s="18">
        <v>0.0</v>
      </c>
      <c r="P2025" s="92">
        <v>0.0</v>
      </c>
      <c r="Q2025" s="137">
        <v>0.0</v>
      </c>
      <c r="R2025" s="17">
        <v>0.0</v>
      </c>
      <c r="S2025" s="18">
        <v>0.0</v>
      </c>
      <c r="T2025" s="18">
        <v>0.0</v>
      </c>
      <c r="U2025" s="151">
        <v>0.0</v>
      </c>
      <c r="V2025" s="42" t="s">
        <v>335</v>
      </c>
      <c r="W2025" s="18" t="s">
        <v>58</v>
      </c>
      <c r="X2025" s="174" t="s">
        <v>2282</v>
      </c>
      <c r="Y2025" s="95" t="s">
        <v>5971</v>
      </c>
      <c r="Z2025" s="37" t="s">
        <v>5978</v>
      </c>
      <c r="AA2025" s="92">
        <v>1.0</v>
      </c>
      <c r="AB2025" s="18">
        <v>1.0</v>
      </c>
      <c r="AC2025" s="18"/>
      <c r="AD2025" s="14">
        <v>12999.0</v>
      </c>
      <c r="AE2025" s="14">
        <v>12999.0</v>
      </c>
      <c r="AF2025" s="14"/>
      <c r="AG2025" s="22"/>
      <c r="AH2025" s="22"/>
      <c r="AI2025" s="22"/>
      <c r="AJ2025" s="22"/>
      <c r="AK2025" s="22"/>
      <c r="AL2025" s="22"/>
      <c r="AM2025" s="22"/>
      <c r="AN2025" s="22"/>
      <c r="AO2025" s="22"/>
      <c r="AP2025" s="22"/>
    </row>
    <row r="2026" hidden="1">
      <c r="A2026" s="148">
        <v>46193.0</v>
      </c>
      <c r="B2026" s="149">
        <v>0.5</v>
      </c>
      <c r="C2026" s="11" t="s">
        <v>58</v>
      </c>
      <c r="D2026" s="96" t="s">
        <v>3083</v>
      </c>
      <c r="E2026" s="10" t="s">
        <v>34</v>
      </c>
      <c r="F2026" s="10" t="s">
        <v>5969</v>
      </c>
      <c r="G2026" s="11" t="s">
        <v>5979</v>
      </c>
      <c r="H2026" s="11" t="s">
        <v>5441</v>
      </c>
      <c r="I2026" s="10" t="s">
        <v>2956</v>
      </c>
      <c r="J2026" s="14">
        <v>66263.0</v>
      </c>
      <c r="K2026" s="14">
        <v>27311.0</v>
      </c>
      <c r="L2026" s="17">
        <v>0.4122</v>
      </c>
      <c r="M2026" s="150">
        <v>0.0</v>
      </c>
      <c r="N2026" s="136">
        <v>0.0</v>
      </c>
      <c r="O2026" s="18">
        <v>66.0</v>
      </c>
      <c r="P2026" s="92">
        <v>0.0</v>
      </c>
      <c r="Q2026" s="137">
        <v>0.0024</v>
      </c>
      <c r="R2026" s="17">
        <v>0.0</v>
      </c>
      <c r="S2026" s="18">
        <v>15.0</v>
      </c>
      <c r="T2026" s="18">
        <v>0.0</v>
      </c>
      <c r="U2026" s="151">
        <v>145631.0</v>
      </c>
      <c r="V2026" s="92" t="s">
        <v>183</v>
      </c>
      <c r="W2026" s="18" t="s">
        <v>58</v>
      </c>
      <c r="X2026" s="174" t="s">
        <v>52</v>
      </c>
      <c r="Y2026" s="95" t="s">
        <v>5971</v>
      </c>
      <c r="Z2026" s="37" t="s">
        <v>5980</v>
      </c>
      <c r="AA2026" s="92">
        <v>112.0</v>
      </c>
      <c r="AB2026" s="18">
        <v>29.0</v>
      </c>
      <c r="AC2026" s="18">
        <v>83.0</v>
      </c>
      <c r="AD2026" s="14">
        <v>1053312.0</v>
      </c>
      <c r="AE2026" s="14">
        <v>291488.0</v>
      </c>
      <c r="AF2026" s="14">
        <v>761824.0</v>
      </c>
      <c r="AG2026" s="22"/>
      <c r="AH2026" s="22"/>
      <c r="AI2026" s="22"/>
      <c r="AJ2026" s="22"/>
      <c r="AK2026" s="22"/>
      <c r="AL2026" s="22"/>
      <c r="AM2026" s="22"/>
      <c r="AN2026" s="22"/>
      <c r="AO2026" s="22"/>
      <c r="AP2026" s="22"/>
    </row>
    <row r="2027" hidden="1">
      <c r="A2027" s="148">
        <v>46193.0</v>
      </c>
      <c r="B2027" s="149">
        <v>0.5</v>
      </c>
      <c r="C2027" s="11" t="s">
        <v>58</v>
      </c>
      <c r="D2027" s="96" t="s">
        <v>3083</v>
      </c>
      <c r="E2027" s="10" t="s">
        <v>34</v>
      </c>
      <c r="F2027" s="10" t="s">
        <v>5969</v>
      </c>
      <c r="G2027" s="11" t="s">
        <v>5981</v>
      </c>
      <c r="H2027" s="11" t="s">
        <v>5475</v>
      </c>
      <c r="I2027" s="10" t="s">
        <v>2956</v>
      </c>
      <c r="J2027" s="14">
        <v>11533.0</v>
      </c>
      <c r="K2027" s="14">
        <v>6391.0</v>
      </c>
      <c r="L2027" s="17">
        <v>0.5541</v>
      </c>
      <c r="M2027" s="150">
        <v>0.0</v>
      </c>
      <c r="N2027" s="136">
        <v>0.0</v>
      </c>
      <c r="O2027" s="18">
        <v>10.0</v>
      </c>
      <c r="P2027" s="92">
        <v>0.0</v>
      </c>
      <c r="Q2027" s="137">
        <v>0.0016</v>
      </c>
      <c r="R2027" s="17">
        <v>0.0</v>
      </c>
      <c r="S2027" s="18">
        <v>1.0</v>
      </c>
      <c r="T2027" s="18">
        <v>0.0</v>
      </c>
      <c r="U2027" s="151">
        <v>2999.0</v>
      </c>
      <c r="V2027" s="92" t="s">
        <v>183</v>
      </c>
      <c r="W2027" s="18" t="s">
        <v>58</v>
      </c>
      <c r="X2027" s="174" t="s">
        <v>2286</v>
      </c>
      <c r="Y2027" s="95" t="s">
        <v>5971</v>
      </c>
      <c r="Z2027" s="37" t="s">
        <v>5982</v>
      </c>
      <c r="AA2027" s="92">
        <v>31.0</v>
      </c>
      <c r="AB2027" s="18">
        <v>4.0</v>
      </c>
      <c r="AC2027" s="18">
        <v>27.0</v>
      </c>
      <c r="AD2027" s="14">
        <v>281849.0</v>
      </c>
      <c r="AE2027" s="14">
        <v>24620.0</v>
      </c>
      <c r="AF2027" s="14">
        <v>257229.0</v>
      </c>
      <c r="AG2027" s="22"/>
      <c r="AH2027" s="22"/>
      <c r="AI2027" s="22"/>
      <c r="AJ2027" s="22"/>
      <c r="AK2027" s="22"/>
      <c r="AL2027" s="22"/>
      <c r="AM2027" s="22"/>
      <c r="AN2027" s="22"/>
      <c r="AO2027" s="22"/>
      <c r="AP2027" s="22"/>
    </row>
    <row r="2028" hidden="1">
      <c r="A2028" s="148">
        <v>46193.0</v>
      </c>
      <c r="B2028" s="149">
        <v>0.5</v>
      </c>
      <c r="C2028" s="11" t="s">
        <v>58</v>
      </c>
      <c r="D2028" s="96" t="s">
        <v>3083</v>
      </c>
      <c r="E2028" s="10" t="s">
        <v>34</v>
      </c>
      <c r="F2028" s="10" t="s">
        <v>5969</v>
      </c>
      <c r="G2028" s="11" t="s">
        <v>5983</v>
      </c>
      <c r="H2028" s="11" t="s">
        <v>5445</v>
      </c>
      <c r="I2028" s="10" t="s">
        <v>2956</v>
      </c>
      <c r="J2028" s="14">
        <v>15827.0</v>
      </c>
      <c r="K2028" s="14">
        <v>5390.0</v>
      </c>
      <c r="L2028" s="17">
        <v>0.3406</v>
      </c>
      <c r="M2028" s="150">
        <v>0.0</v>
      </c>
      <c r="N2028" s="136">
        <v>0.0</v>
      </c>
      <c r="O2028" s="18">
        <v>15.0</v>
      </c>
      <c r="P2028" s="92">
        <v>0.0</v>
      </c>
      <c r="Q2028" s="137">
        <v>0.0028</v>
      </c>
      <c r="R2028" s="17">
        <v>0.0</v>
      </c>
      <c r="S2028" s="18">
        <v>4.0</v>
      </c>
      <c r="T2028" s="18">
        <v>0.0</v>
      </c>
      <c r="U2028" s="151">
        <v>37996.0</v>
      </c>
      <c r="V2028" s="92" t="s">
        <v>183</v>
      </c>
      <c r="W2028" s="18" t="s">
        <v>58</v>
      </c>
      <c r="X2028" s="174" t="s">
        <v>5447</v>
      </c>
      <c r="Y2028" s="95" t="s">
        <v>5971</v>
      </c>
      <c r="Z2028" s="37" t="s">
        <v>5984</v>
      </c>
      <c r="AA2028" s="92">
        <v>21.0</v>
      </c>
      <c r="AB2028" s="18">
        <v>12.0</v>
      </c>
      <c r="AC2028" s="18">
        <v>9.0</v>
      </c>
      <c r="AD2028" s="14">
        <v>169404.0</v>
      </c>
      <c r="AE2028" s="14">
        <v>93163.0</v>
      </c>
      <c r="AF2028" s="14">
        <v>76241.0</v>
      </c>
      <c r="AG2028" s="22"/>
      <c r="AH2028" s="22"/>
      <c r="AI2028" s="22"/>
      <c r="AJ2028" s="22"/>
      <c r="AK2028" s="22"/>
      <c r="AL2028" s="22"/>
      <c r="AM2028" s="22"/>
      <c r="AN2028" s="22"/>
      <c r="AO2028" s="22"/>
      <c r="AP2028" s="22"/>
    </row>
    <row r="2029" hidden="1">
      <c r="A2029" s="148">
        <v>46193.0</v>
      </c>
      <c r="B2029" s="149">
        <v>0.5</v>
      </c>
      <c r="C2029" s="11" t="s">
        <v>58</v>
      </c>
      <c r="D2029" s="96" t="s">
        <v>3083</v>
      </c>
      <c r="E2029" s="10" t="s">
        <v>34</v>
      </c>
      <c r="F2029" s="10" t="s">
        <v>5969</v>
      </c>
      <c r="G2029" s="11" t="s">
        <v>5985</v>
      </c>
      <c r="H2029" s="11" t="s">
        <v>5471</v>
      </c>
      <c r="I2029" s="10" t="s">
        <v>2956</v>
      </c>
      <c r="J2029" s="14">
        <v>52221.0</v>
      </c>
      <c r="K2029" s="14">
        <v>21170.0</v>
      </c>
      <c r="L2029" s="17">
        <v>0.4054</v>
      </c>
      <c r="M2029" s="150">
        <v>0.0</v>
      </c>
      <c r="N2029" s="136">
        <v>0.0</v>
      </c>
      <c r="O2029" s="18">
        <v>31.0</v>
      </c>
      <c r="P2029" s="92">
        <v>0.0</v>
      </c>
      <c r="Q2029" s="137">
        <v>0.0015</v>
      </c>
      <c r="R2029" s="17">
        <v>0.0</v>
      </c>
      <c r="S2029" s="18">
        <v>3.0</v>
      </c>
      <c r="T2029" s="18">
        <v>0.0</v>
      </c>
      <c r="U2029" s="151">
        <v>22497.0</v>
      </c>
      <c r="V2029" s="92" t="s">
        <v>183</v>
      </c>
      <c r="W2029" s="18" t="s">
        <v>58</v>
      </c>
      <c r="X2029" s="174" t="s">
        <v>69</v>
      </c>
      <c r="Y2029" s="95" t="s">
        <v>5971</v>
      </c>
      <c r="Z2029" s="37" t="s">
        <v>5986</v>
      </c>
      <c r="AA2029" s="92">
        <v>31.0</v>
      </c>
      <c r="AB2029" s="18">
        <v>10.0</v>
      </c>
      <c r="AC2029" s="18">
        <v>21.0</v>
      </c>
      <c r="AD2029" s="14">
        <v>235219.0</v>
      </c>
      <c r="AE2029" s="14">
        <v>80489.0</v>
      </c>
      <c r="AF2029" s="14">
        <v>154730.0</v>
      </c>
      <c r="AG2029" s="22"/>
      <c r="AH2029" s="22"/>
      <c r="AI2029" s="22"/>
      <c r="AJ2029" s="22"/>
      <c r="AK2029" s="22"/>
      <c r="AL2029" s="22"/>
      <c r="AM2029" s="22"/>
      <c r="AN2029" s="22"/>
      <c r="AO2029" s="22"/>
      <c r="AP2029" s="22"/>
    </row>
    <row r="2030" hidden="1">
      <c r="A2030" s="148">
        <v>46193.0</v>
      </c>
      <c r="B2030" s="149">
        <v>0.5</v>
      </c>
      <c r="C2030" s="11" t="s">
        <v>58</v>
      </c>
      <c r="D2030" s="96" t="s">
        <v>3083</v>
      </c>
      <c r="E2030" s="10" t="s">
        <v>34</v>
      </c>
      <c r="F2030" s="10" t="s">
        <v>5969</v>
      </c>
      <c r="G2030" s="11" t="s">
        <v>5987</v>
      </c>
      <c r="H2030" s="11" t="s">
        <v>3785</v>
      </c>
      <c r="I2030" s="10" t="s">
        <v>2956</v>
      </c>
      <c r="J2030" s="14">
        <v>5482.0</v>
      </c>
      <c r="K2030" s="14">
        <v>1955.0</v>
      </c>
      <c r="L2030" s="17">
        <v>0.3566</v>
      </c>
      <c r="M2030" s="150">
        <v>0.0</v>
      </c>
      <c r="N2030" s="136">
        <v>0.0</v>
      </c>
      <c r="O2030" s="18">
        <v>0.0</v>
      </c>
      <c r="P2030" s="92">
        <v>0.0</v>
      </c>
      <c r="Q2030" s="137">
        <v>0.0</v>
      </c>
      <c r="R2030" s="17">
        <v>0.0</v>
      </c>
      <c r="S2030" s="18">
        <v>0.0</v>
      </c>
      <c r="T2030" s="18">
        <v>0.0</v>
      </c>
      <c r="U2030" s="151">
        <v>0.0</v>
      </c>
      <c r="V2030" s="92" t="s">
        <v>183</v>
      </c>
      <c r="W2030" s="18" t="s">
        <v>58</v>
      </c>
      <c r="X2030" s="174" t="s">
        <v>82</v>
      </c>
      <c r="Y2030" s="95" t="s">
        <v>5971</v>
      </c>
      <c r="Z2030" s="37" t="s">
        <v>5988</v>
      </c>
      <c r="AA2030" s="92">
        <v>5.0</v>
      </c>
      <c r="AB2030" s="18">
        <v>0.0</v>
      </c>
      <c r="AC2030" s="18">
        <v>5.0</v>
      </c>
      <c r="AD2030" s="14">
        <v>52400.0</v>
      </c>
      <c r="AE2030" s="14">
        <v>0.0</v>
      </c>
      <c r="AF2030" s="14">
        <v>52400.0</v>
      </c>
      <c r="AG2030" s="22"/>
      <c r="AH2030" s="22"/>
      <c r="AI2030" s="22"/>
      <c r="AJ2030" s="22"/>
      <c r="AK2030" s="22"/>
      <c r="AL2030" s="22"/>
      <c r="AM2030" s="22"/>
      <c r="AN2030" s="22"/>
      <c r="AO2030" s="22"/>
      <c r="AP2030" s="22"/>
    </row>
    <row r="2031" hidden="1">
      <c r="A2031" s="148">
        <v>46193.0</v>
      </c>
      <c r="B2031" s="149">
        <v>0.5</v>
      </c>
      <c r="C2031" s="11" t="s">
        <v>58</v>
      </c>
      <c r="D2031" s="96" t="s">
        <v>3083</v>
      </c>
      <c r="E2031" s="10" t="s">
        <v>34</v>
      </c>
      <c r="F2031" s="10" t="s">
        <v>5969</v>
      </c>
      <c r="G2031" s="11" t="s">
        <v>5989</v>
      </c>
      <c r="H2031" s="11" t="s">
        <v>5467</v>
      </c>
      <c r="I2031" s="10" t="s">
        <v>2956</v>
      </c>
      <c r="J2031" s="14">
        <v>88867.0</v>
      </c>
      <c r="K2031" s="14">
        <v>48275.0</v>
      </c>
      <c r="L2031" s="17">
        <v>0.5432</v>
      </c>
      <c r="M2031" s="150">
        <v>0.0</v>
      </c>
      <c r="N2031" s="136">
        <v>0.0</v>
      </c>
      <c r="O2031" s="18">
        <v>58.0</v>
      </c>
      <c r="P2031" s="92">
        <v>0.0</v>
      </c>
      <c r="Q2031" s="137">
        <v>0.0012</v>
      </c>
      <c r="R2031" s="17">
        <v>0.0</v>
      </c>
      <c r="S2031" s="18">
        <v>4.0</v>
      </c>
      <c r="T2031" s="18">
        <v>0.0</v>
      </c>
      <c r="U2031" s="151">
        <v>32846.0</v>
      </c>
      <c r="V2031" s="92" t="s">
        <v>183</v>
      </c>
      <c r="W2031" s="18" t="s">
        <v>58</v>
      </c>
      <c r="X2031" s="174" t="s">
        <v>69</v>
      </c>
      <c r="Y2031" s="95" t="s">
        <v>5971</v>
      </c>
      <c r="Z2031" s="37" t="s">
        <v>5990</v>
      </c>
      <c r="AA2031" s="92">
        <v>76.0</v>
      </c>
      <c r="AB2031" s="18">
        <v>20.0</v>
      </c>
      <c r="AC2031" s="18">
        <v>56.0</v>
      </c>
      <c r="AD2031" s="14">
        <v>623583.0</v>
      </c>
      <c r="AE2031" s="14">
        <v>137354.0</v>
      </c>
      <c r="AF2031" s="14">
        <v>486229.0</v>
      </c>
      <c r="AG2031" s="22"/>
      <c r="AH2031" s="22"/>
      <c r="AI2031" s="22"/>
      <c r="AJ2031" s="22"/>
      <c r="AK2031" s="22"/>
      <c r="AL2031" s="22"/>
      <c r="AM2031" s="22"/>
      <c r="AN2031" s="22"/>
      <c r="AO2031" s="22"/>
      <c r="AP2031" s="22"/>
    </row>
    <row r="2032" hidden="1">
      <c r="A2032" s="148">
        <v>46193.0</v>
      </c>
      <c r="B2032" s="149">
        <v>0.5</v>
      </c>
      <c r="C2032" s="11" t="s">
        <v>58</v>
      </c>
      <c r="D2032" s="96" t="s">
        <v>3083</v>
      </c>
      <c r="E2032" s="10" t="s">
        <v>34</v>
      </c>
      <c r="F2032" s="10" t="s">
        <v>5969</v>
      </c>
      <c r="G2032" s="11" t="s">
        <v>5991</v>
      </c>
      <c r="H2032" s="11" t="s">
        <v>5458</v>
      </c>
      <c r="I2032" s="10" t="s">
        <v>2956</v>
      </c>
      <c r="J2032" s="14">
        <v>53520.0</v>
      </c>
      <c r="K2032" s="14">
        <v>23021.0</v>
      </c>
      <c r="L2032" s="17">
        <v>0.4301</v>
      </c>
      <c r="M2032" s="150">
        <v>0.0</v>
      </c>
      <c r="N2032" s="136">
        <v>0.0</v>
      </c>
      <c r="O2032" s="18">
        <v>41.0</v>
      </c>
      <c r="P2032" s="92">
        <v>0.0</v>
      </c>
      <c r="Q2032" s="137">
        <v>0.0018</v>
      </c>
      <c r="R2032" s="17">
        <v>0.0</v>
      </c>
      <c r="S2032" s="18">
        <v>1.0</v>
      </c>
      <c r="T2032" s="18">
        <v>0.0</v>
      </c>
      <c r="U2032" s="151">
        <v>5499.0</v>
      </c>
      <c r="V2032" s="92" t="s">
        <v>183</v>
      </c>
      <c r="W2032" s="18" t="s">
        <v>58</v>
      </c>
      <c r="X2032" s="174" t="s">
        <v>41</v>
      </c>
      <c r="Y2032" s="95" t="s">
        <v>5971</v>
      </c>
      <c r="Z2032" s="37" t="s">
        <v>5992</v>
      </c>
      <c r="AA2032" s="92">
        <v>65.0</v>
      </c>
      <c r="AB2032" s="18">
        <v>5.0</v>
      </c>
      <c r="AC2032" s="18">
        <v>60.0</v>
      </c>
      <c r="AD2032" s="14">
        <v>661732.0</v>
      </c>
      <c r="AE2032" s="14">
        <v>35695.0</v>
      </c>
      <c r="AF2032" s="14">
        <v>626037.0</v>
      </c>
      <c r="AG2032" s="22"/>
      <c r="AH2032" s="22"/>
      <c r="AI2032" s="22"/>
      <c r="AJ2032" s="22"/>
      <c r="AK2032" s="22"/>
      <c r="AL2032" s="22"/>
      <c r="AM2032" s="22"/>
      <c r="AN2032" s="22"/>
      <c r="AO2032" s="22"/>
      <c r="AP2032" s="22"/>
    </row>
    <row r="2033" hidden="1">
      <c r="A2033" s="148">
        <v>46193.0</v>
      </c>
      <c r="B2033" s="149">
        <v>0.5</v>
      </c>
      <c r="C2033" s="11" t="s">
        <v>58</v>
      </c>
      <c r="D2033" s="96" t="s">
        <v>3083</v>
      </c>
      <c r="E2033" s="10" t="s">
        <v>34</v>
      </c>
      <c r="F2033" s="10" t="s">
        <v>5969</v>
      </c>
      <c r="G2033" s="11" t="s">
        <v>5993</v>
      </c>
      <c r="H2033" s="11" t="s">
        <v>5462</v>
      </c>
      <c r="I2033" s="10" t="s">
        <v>2956</v>
      </c>
      <c r="J2033" s="14">
        <v>36836.0</v>
      </c>
      <c r="K2033" s="14">
        <v>14884.0</v>
      </c>
      <c r="L2033" s="17">
        <v>0.4041</v>
      </c>
      <c r="M2033" s="150">
        <v>0.0</v>
      </c>
      <c r="N2033" s="136">
        <v>0.0</v>
      </c>
      <c r="O2033" s="18">
        <v>21.0</v>
      </c>
      <c r="P2033" s="92">
        <v>0.0</v>
      </c>
      <c r="Q2033" s="137">
        <v>0.0014</v>
      </c>
      <c r="R2033" s="17">
        <v>0.0</v>
      </c>
      <c r="S2033" s="18">
        <v>3.0</v>
      </c>
      <c r="T2033" s="18">
        <v>0.0</v>
      </c>
      <c r="U2033" s="151">
        <v>24997.0</v>
      </c>
      <c r="V2033" s="92" t="s">
        <v>183</v>
      </c>
      <c r="W2033" s="18" t="s">
        <v>58</v>
      </c>
      <c r="X2033" s="174" t="s">
        <v>5464</v>
      </c>
      <c r="Y2033" s="95" t="s">
        <v>5971</v>
      </c>
      <c r="Z2033" s="37" t="s">
        <v>5994</v>
      </c>
      <c r="AA2033" s="92">
        <v>50.0</v>
      </c>
      <c r="AB2033" s="18">
        <v>10.0</v>
      </c>
      <c r="AC2033" s="18">
        <v>40.0</v>
      </c>
      <c r="AD2033" s="14">
        <v>515601.0</v>
      </c>
      <c r="AE2033" s="14">
        <v>74740.0</v>
      </c>
      <c r="AF2033" s="14">
        <v>440861.0</v>
      </c>
      <c r="AG2033" s="22"/>
      <c r="AH2033" s="22"/>
      <c r="AI2033" s="22"/>
      <c r="AJ2033" s="22"/>
      <c r="AK2033" s="22"/>
      <c r="AL2033" s="22"/>
      <c r="AM2033" s="22"/>
      <c r="AN2033" s="22"/>
      <c r="AO2033" s="22"/>
      <c r="AP2033" s="22"/>
    </row>
    <row r="2034" hidden="1">
      <c r="A2034" s="148">
        <v>46192.0</v>
      </c>
      <c r="B2034" s="149">
        <v>0.75</v>
      </c>
      <c r="C2034" s="11" t="s">
        <v>58</v>
      </c>
      <c r="D2034" s="102" t="s">
        <v>33</v>
      </c>
      <c r="E2034" s="10" t="s">
        <v>2212</v>
      </c>
      <c r="F2034" s="10" t="s">
        <v>5995</v>
      </c>
      <c r="G2034" s="11" t="s">
        <v>5996</v>
      </c>
      <c r="H2034" s="11" t="s">
        <v>5997</v>
      </c>
      <c r="I2034" s="28" t="s">
        <v>5998</v>
      </c>
      <c r="J2034" s="14">
        <v>285970.0</v>
      </c>
      <c r="K2034" s="14">
        <v>165454.0</v>
      </c>
      <c r="L2034" s="17">
        <v>0.5786</v>
      </c>
      <c r="M2034" s="150">
        <v>0.0</v>
      </c>
      <c r="N2034" s="136">
        <v>0.0</v>
      </c>
      <c r="O2034" s="18">
        <v>151.0</v>
      </c>
      <c r="P2034" s="92">
        <v>0.0</v>
      </c>
      <c r="Q2034" s="137">
        <v>9.0E-4</v>
      </c>
      <c r="R2034" s="17">
        <v>0.0</v>
      </c>
      <c r="S2034" s="18">
        <v>79.0</v>
      </c>
      <c r="T2034" s="18">
        <v>0.0</v>
      </c>
      <c r="U2034" s="151">
        <v>583385.0</v>
      </c>
      <c r="V2034" s="92" t="s">
        <v>39</v>
      </c>
      <c r="W2034" s="18" t="s">
        <v>58</v>
      </c>
      <c r="X2034" s="174" t="s">
        <v>5999</v>
      </c>
      <c r="Y2034" s="95" t="s">
        <v>6000</v>
      </c>
      <c r="Z2034" s="18" t="s">
        <v>6001</v>
      </c>
      <c r="AA2034" s="92">
        <v>92.0</v>
      </c>
      <c r="AB2034" s="18">
        <v>14.0</v>
      </c>
      <c r="AC2034" s="18">
        <v>78.0</v>
      </c>
      <c r="AD2034" s="14">
        <v>321074.0</v>
      </c>
      <c r="AE2034" s="14">
        <v>27636.0</v>
      </c>
      <c r="AF2034" s="14">
        <v>293438.0</v>
      </c>
      <c r="AG2034" s="22"/>
      <c r="AH2034" s="22"/>
      <c r="AI2034" s="22"/>
      <c r="AJ2034" s="22"/>
      <c r="AK2034" s="22"/>
      <c r="AL2034" s="22"/>
      <c r="AM2034" s="22"/>
      <c r="AN2034" s="22"/>
      <c r="AO2034" s="22"/>
      <c r="AP2034" s="22"/>
    </row>
    <row r="2035" hidden="1">
      <c r="A2035" s="148">
        <v>46192.0</v>
      </c>
      <c r="B2035" s="149">
        <v>0.7534722222222222</v>
      </c>
      <c r="C2035" s="11" t="s">
        <v>58</v>
      </c>
      <c r="D2035" s="102" t="s">
        <v>33</v>
      </c>
      <c r="E2035" s="10" t="s">
        <v>2212</v>
      </c>
      <c r="F2035" s="10" t="s">
        <v>5995</v>
      </c>
      <c r="G2035" s="11" t="s">
        <v>6002</v>
      </c>
      <c r="H2035" s="11" t="s">
        <v>6003</v>
      </c>
      <c r="I2035" s="28" t="s">
        <v>6004</v>
      </c>
      <c r="J2035" s="14">
        <v>152872.0</v>
      </c>
      <c r="K2035" s="14">
        <v>87205.0</v>
      </c>
      <c r="L2035" s="17">
        <v>0.5704</v>
      </c>
      <c r="M2035" s="150">
        <v>0.0</v>
      </c>
      <c r="N2035" s="136">
        <v>0.0</v>
      </c>
      <c r="O2035" s="18">
        <v>80.0</v>
      </c>
      <c r="P2035" s="92">
        <v>0.0</v>
      </c>
      <c r="Q2035" s="137">
        <v>9.0E-4</v>
      </c>
      <c r="R2035" s="17">
        <v>0.0</v>
      </c>
      <c r="S2035" s="18">
        <v>26.0</v>
      </c>
      <c r="T2035" s="18">
        <v>0.0</v>
      </c>
      <c r="U2035" s="151">
        <v>173961.0</v>
      </c>
      <c r="V2035" s="92" t="s">
        <v>39</v>
      </c>
      <c r="W2035" s="18" t="s">
        <v>58</v>
      </c>
      <c r="X2035" s="174" t="s">
        <v>3895</v>
      </c>
      <c r="Y2035" s="95" t="s">
        <v>6000</v>
      </c>
      <c r="Z2035" s="18" t="s">
        <v>6005</v>
      </c>
      <c r="AA2035" s="92">
        <v>57.0</v>
      </c>
      <c r="AB2035" s="18">
        <v>8.0</v>
      </c>
      <c r="AC2035" s="18">
        <v>49.0</v>
      </c>
      <c r="AD2035" s="14">
        <v>155173.0</v>
      </c>
      <c r="AE2035" s="14">
        <v>14015.0</v>
      </c>
      <c r="AF2035" s="14">
        <v>141158.0</v>
      </c>
      <c r="AG2035" s="22"/>
      <c r="AH2035" s="22"/>
      <c r="AI2035" s="22"/>
      <c r="AJ2035" s="22"/>
      <c r="AK2035" s="22"/>
      <c r="AL2035" s="22"/>
      <c r="AM2035" s="22"/>
      <c r="AN2035" s="22"/>
      <c r="AO2035" s="22"/>
      <c r="AP2035" s="22"/>
    </row>
    <row r="2036" hidden="1">
      <c r="A2036" s="162">
        <v>46192.0</v>
      </c>
      <c r="B2036" s="163">
        <v>0.5</v>
      </c>
      <c r="C2036" s="29" t="s">
        <v>196</v>
      </c>
      <c r="D2036" s="96" t="s">
        <v>3083</v>
      </c>
      <c r="E2036" s="10" t="s">
        <v>1998</v>
      </c>
      <c r="F2036" s="28" t="s">
        <v>5869</v>
      </c>
      <c r="G2036" s="29" t="s">
        <v>6006</v>
      </c>
      <c r="H2036" s="29" t="s">
        <v>5312</v>
      </c>
      <c r="I2036" s="28" t="s">
        <v>61</v>
      </c>
      <c r="J2036" s="33">
        <v>35418.0</v>
      </c>
      <c r="K2036" s="33">
        <v>2443.0</v>
      </c>
      <c r="L2036" s="36">
        <v>0.069</v>
      </c>
      <c r="M2036" s="183">
        <v>502.0</v>
      </c>
      <c r="N2036" s="136">
        <v>0.2096</v>
      </c>
      <c r="O2036" s="37">
        <v>7.0</v>
      </c>
      <c r="P2036" s="42">
        <v>0.0</v>
      </c>
      <c r="Q2036" s="137">
        <v>0.0029</v>
      </c>
      <c r="R2036" s="36">
        <v>0.0</v>
      </c>
      <c r="S2036" s="37">
        <v>0.0</v>
      </c>
      <c r="T2036" s="37">
        <v>0.0</v>
      </c>
      <c r="U2036" s="184">
        <v>0.0</v>
      </c>
      <c r="V2036" s="42" t="s">
        <v>183</v>
      </c>
      <c r="W2036" s="37" t="s">
        <v>196</v>
      </c>
      <c r="X2036" s="177" t="s">
        <v>4296</v>
      </c>
      <c r="Y2036" s="185" t="s">
        <v>5872</v>
      </c>
      <c r="Z2036" s="37" t="s">
        <v>6007</v>
      </c>
      <c r="AA2036" s="42">
        <v>0.0</v>
      </c>
      <c r="AB2036" s="37">
        <v>0.0</v>
      </c>
      <c r="AC2036" s="37">
        <v>0.0</v>
      </c>
      <c r="AD2036" s="33">
        <v>0.0</v>
      </c>
      <c r="AE2036" s="33">
        <v>0.0</v>
      </c>
      <c r="AF2036" s="33">
        <v>0.0</v>
      </c>
      <c r="AG2036" s="43"/>
      <c r="AH2036" s="43"/>
      <c r="AI2036" s="43"/>
      <c r="AJ2036" s="43"/>
      <c r="AK2036" s="43"/>
      <c r="AL2036" s="43"/>
      <c r="AM2036" s="43"/>
      <c r="AN2036" s="43"/>
      <c r="AO2036" s="43"/>
      <c r="AP2036" s="43"/>
    </row>
    <row r="2037" hidden="1">
      <c r="A2037" s="148">
        <v>46191.0</v>
      </c>
      <c r="B2037" s="149">
        <v>0.5</v>
      </c>
      <c r="C2037" s="11" t="s">
        <v>196</v>
      </c>
      <c r="D2037" s="96" t="s">
        <v>3083</v>
      </c>
      <c r="E2037" s="10" t="s">
        <v>34</v>
      </c>
      <c r="F2037" s="10" t="s">
        <v>5874</v>
      </c>
      <c r="G2037" s="11" t="s">
        <v>6008</v>
      </c>
      <c r="H2037" s="11" t="s">
        <v>5876</v>
      </c>
      <c r="I2037" s="10" t="s">
        <v>61</v>
      </c>
      <c r="J2037" s="14">
        <v>11210.0</v>
      </c>
      <c r="K2037" s="14">
        <v>1924.0</v>
      </c>
      <c r="L2037" s="17">
        <v>0.1716</v>
      </c>
      <c r="M2037" s="150">
        <v>404.0</v>
      </c>
      <c r="N2037" s="136">
        <v>0.2105</v>
      </c>
      <c r="O2037" s="18">
        <v>7.0</v>
      </c>
      <c r="P2037" s="92">
        <v>0.0</v>
      </c>
      <c r="Q2037" s="137">
        <v>0.0036</v>
      </c>
      <c r="R2037" s="17">
        <v>0.0</v>
      </c>
      <c r="S2037" s="18">
        <v>2.0</v>
      </c>
      <c r="T2037" s="18">
        <v>0.0</v>
      </c>
      <c r="U2037" s="151">
        <v>18398.0</v>
      </c>
      <c r="V2037" s="92" t="s">
        <v>183</v>
      </c>
      <c r="W2037" s="37" t="s">
        <v>196</v>
      </c>
      <c r="X2037" s="174" t="s">
        <v>5878</v>
      </c>
      <c r="Y2037" s="95" t="s">
        <v>5879</v>
      </c>
      <c r="Z2037" s="37" t="s">
        <v>6009</v>
      </c>
      <c r="AA2037" s="92">
        <v>6.0</v>
      </c>
      <c r="AB2037" s="18">
        <v>2.0</v>
      </c>
      <c r="AC2037" s="18">
        <v>4.0</v>
      </c>
      <c r="AD2037" s="14">
        <v>67497.0</v>
      </c>
      <c r="AE2037" s="14">
        <v>21048.0</v>
      </c>
      <c r="AF2037" s="14">
        <v>46449.0</v>
      </c>
      <c r="AG2037" s="22"/>
      <c r="AH2037" s="22"/>
      <c r="AI2037" s="22"/>
      <c r="AJ2037" s="22"/>
      <c r="AK2037" s="22"/>
      <c r="AL2037" s="22"/>
      <c r="AM2037" s="22"/>
      <c r="AN2037" s="22"/>
      <c r="AO2037" s="22"/>
      <c r="AP2037" s="22"/>
    </row>
    <row r="2038" hidden="1">
      <c r="A2038" s="148">
        <v>46191.0</v>
      </c>
      <c r="B2038" s="149">
        <v>0.5</v>
      </c>
      <c r="C2038" s="11" t="s">
        <v>196</v>
      </c>
      <c r="D2038" s="96" t="s">
        <v>3083</v>
      </c>
      <c r="E2038" s="10" t="s">
        <v>34</v>
      </c>
      <c r="F2038" s="10" t="s">
        <v>5874</v>
      </c>
      <c r="G2038" s="11" t="s">
        <v>6010</v>
      </c>
      <c r="H2038" s="11" t="s">
        <v>5882</v>
      </c>
      <c r="I2038" s="10" t="s">
        <v>61</v>
      </c>
      <c r="J2038" s="14">
        <v>24403.0</v>
      </c>
      <c r="K2038" s="14">
        <v>4392.0</v>
      </c>
      <c r="L2038" s="17">
        <v>0.18</v>
      </c>
      <c r="M2038" s="150">
        <v>974.0</v>
      </c>
      <c r="N2038" s="136">
        <v>0.2227</v>
      </c>
      <c r="O2038" s="18">
        <v>19.0</v>
      </c>
      <c r="P2038" s="92">
        <v>0.0</v>
      </c>
      <c r="Q2038" s="137">
        <v>0.0046</v>
      </c>
      <c r="R2038" s="17">
        <v>0.0</v>
      </c>
      <c r="S2038" s="18">
        <v>2.0</v>
      </c>
      <c r="T2038" s="18">
        <v>0.0</v>
      </c>
      <c r="U2038" s="151">
        <v>13998.0</v>
      </c>
      <c r="V2038" s="92" t="s">
        <v>183</v>
      </c>
      <c r="W2038" s="37" t="s">
        <v>196</v>
      </c>
      <c r="X2038" s="174" t="s">
        <v>5884</v>
      </c>
      <c r="Y2038" s="95" t="s">
        <v>5879</v>
      </c>
      <c r="Z2038" s="37" t="s">
        <v>6011</v>
      </c>
      <c r="AA2038" s="92">
        <v>8.0</v>
      </c>
      <c r="AB2038" s="18">
        <v>2.0</v>
      </c>
      <c r="AC2038" s="18">
        <v>6.0</v>
      </c>
      <c r="AD2038" s="14">
        <v>84926.0</v>
      </c>
      <c r="AE2038" s="14">
        <v>26997.0</v>
      </c>
      <c r="AF2038" s="14">
        <v>57929.0</v>
      </c>
      <c r="AG2038" s="22"/>
      <c r="AH2038" s="22"/>
      <c r="AI2038" s="22"/>
      <c r="AJ2038" s="22"/>
      <c r="AK2038" s="22"/>
      <c r="AL2038" s="22"/>
      <c r="AM2038" s="22"/>
      <c r="AN2038" s="22"/>
      <c r="AO2038" s="22"/>
      <c r="AP2038" s="22"/>
    </row>
    <row r="2039" hidden="1">
      <c r="A2039" s="148">
        <v>46191.0</v>
      </c>
      <c r="B2039" s="149">
        <v>0.5</v>
      </c>
      <c r="C2039" s="11" t="s">
        <v>196</v>
      </c>
      <c r="D2039" s="96" t="s">
        <v>3083</v>
      </c>
      <c r="E2039" s="10" t="s">
        <v>34</v>
      </c>
      <c r="F2039" s="10" t="s">
        <v>5874</v>
      </c>
      <c r="G2039" s="11" t="s">
        <v>6012</v>
      </c>
      <c r="H2039" s="11" t="s">
        <v>5892</v>
      </c>
      <c r="I2039" s="10" t="s">
        <v>61</v>
      </c>
      <c r="J2039" s="14">
        <v>19104.0</v>
      </c>
      <c r="K2039" s="14">
        <v>3122.0</v>
      </c>
      <c r="L2039" s="17">
        <v>0.1634</v>
      </c>
      <c r="M2039" s="150">
        <v>632.0</v>
      </c>
      <c r="N2039" s="136">
        <v>0.2028</v>
      </c>
      <c r="O2039" s="18">
        <v>14.0</v>
      </c>
      <c r="P2039" s="92">
        <v>0.0</v>
      </c>
      <c r="Q2039" s="137">
        <v>0.0048</v>
      </c>
      <c r="R2039" s="17">
        <v>0.0</v>
      </c>
      <c r="S2039" s="18">
        <v>2.0</v>
      </c>
      <c r="T2039" s="18">
        <v>0.0</v>
      </c>
      <c r="U2039" s="151">
        <v>25398.0</v>
      </c>
      <c r="V2039" s="92" t="s">
        <v>183</v>
      </c>
      <c r="W2039" s="37" t="s">
        <v>196</v>
      </c>
      <c r="X2039" s="174" t="s">
        <v>5894</v>
      </c>
      <c r="Y2039" s="95" t="s">
        <v>5879</v>
      </c>
      <c r="Z2039" s="37" t="s">
        <v>6013</v>
      </c>
      <c r="AA2039" s="92">
        <v>5.0</v>
      </c>
      <c r="AB2039" s="18">
        <v>1.0</v>
      </c>
      <c r="AC2039" s="18">
        <v>4.0</v>
      </c>
      <c r="AD2039" s="14">
        <v>42448.0</v>
      </c>
      <c r="AE2039" s="14">
        <v>13498.0</v>
      </c>
      <c r="AF2039" s="14">
        <v>28950.0</v>
      </c>
      <c r="AG2039" s="22"/>
      <c r="AH2039" s="22"/>
      <c r="AI2039" s="22"/>
      <c r="AJ2039" s="22"/>
      <c r="AK2039" s="22"/>
      <c r="AL2039" s="22"/>
      <c r="AM2039" s="22"/>
      <c r="AN2039" s="22"/>
      <c r="AO2039" s="22"/>
      <c r="AP2039" s="22"/>
    </row>
    <row r="2040" hidden="1">
      <c r="A2040" s="148">
        <v>46191.0</v>
      </c>
      <c r="B2040" s="149">
        <v>0.5</v>
      </c>
      <c r="C2040" s="11" t="s">
        <v>196</v>
      </c>
      <c r="D2040" s="96" t="s">
        <v>3083</v>
      </c>
      <c r="E2040" s="10" t="s">
        <v>34</v>
      </c>
      <c r="F2040" s="10" t="s">
        <v>5874</v>
      </c>
      <c r="G2040" s="11" t="s">
        <v>6014</v>
      </c>
      <c r="H2040" s="11" t="s">
        <v>5887</v>
      </c>
      <c r="I2040" s="10" t="s">
        <v>61</v>
      </c>
      <c r="J2040" s="14">
        <v>9636.0</v>
      </c>
      <c r="K2040" s="14">
        <v>1450.0</v>
      </c>
      <c r="L2040" s="17">
        <v>0.1505</v>
      </c>
      <c r="M2040" s="150">
        <v>285.0</v>
      </c>
      <c r="N2040" s="136">
        <v>0.1972</v>
      </c>
      <c r="O2040" s="18">
        <v>7.0</v>
      </c>
      <c r="P2040" s="92">
        <v>0.0</v>
      </c>
      <c r="Q2040" s="137">
        <v>0.0048</v>
      </c>
      <c r="R2040" s="17">
        <v>0.0</v>
      </c>
      <c r="S2040" s="18">
        <v>2.0</v>
      </c>
      <c r="T2040" s="18">
        <v>0.0</v>
      </c>
      <c r="U2040" s="151">
        <v>11849.0</v>
      </c>
      <c r="V2040" s="92" t="s">
        <v>183</v>
      </c>
      <c r="W2040" s="37" t="s">
        <v>196</v>
      </c>
      <c r="X2040" s="174" t="s">
        <v>5889</v>
      </c>
      <c r="Y2040" s="95" t="s">
        <v>5879</v>
      </c>
      <c r="Z2040" s="37" t="s">
        <v>6015</v>
      </c>
      <c r="AA2040" s="92">
        <v>4.0</v>
      </c>
      <c r="AB2040" s="18">
        <v>3.0</v>
      </c>
      <c r="AC2040" s="18">
        <v>1.0</v>
      </c>
      <c r="AD2040" s="14">
        <v>35486.0</v>
      </c>
      <c r="AE2040" s="14">
        <v>28496.0</v>
      </c>
      <c r="AF2040" s="14">
        <v>6990.0</v>
      </c>
      <c r="AG2040" s="22"/>
      <c r="AH2040" s="22"/>
      <c r="AI2040" s="22"/>
      <c r="AJ2040" s="22"/>
      <c r="AK2040" s="22"/>
      <c r="AL2040" s="22"/>
      <c r="AM2040" s="22"/>
      <c r="AN2040" s="22"/>
      <c r="AO2040" s="22"/>
      <c r="AP2040" s="22"/>
    </row>
    <row r="2041" hidden="1">
      <c r="A2041" s="148">
        <v>46193.0</v>
      </c>
      <c r="B2041" s="149">
        <v>0.375</v>
      </c>
      <c r="C2041" s="11" t="s">
        <v>196</v>
      </c>
      <c r="D2041" s="102" t="s">
        <v>33</v>
      </c>
      <c r="E2041" s="10" t="s">
        <v>34</v>
      </c>
      <c r="F2041" s="28" t="s">
        <v>6016</v>
      </c>
      <c r="G2041" s="11" t="s">
        <v>6017</v>
      </c>
      <c r="H2041" s="11" t="s">
        <v>3762</v>
      </c>
      <c r="I2041" s="10" t="s">
        <v>5434</v>
      </c>
      <c r="J2041" s="14">
        <v>3527.0</v>
      </c>
      <c r="K2041" s="14">
        <v>661.0</v>
      </c>
      <c r="L2041" s="17">
        <v>0.1874</v>
      </c>
      <c r="M2041" s="150">
        <v>121.0</v>
      </c>
      <c r="N2041" s="136">
        <v>0.1891</v>
      </c>
      <c r="O2041" s="18">
        <v>2.0</v>
      </c>
      <c r="P2041" s="92">
        <v>0.0</v>
      </c>
      <c r="Q2041" s="137">
        <v>0.003</v>
      </c>
      <c r="R2041" s="17">
        <v>0.0</v>
      </c>
      <c r="S2041" s="18">
        <v>1.0</v>
      </c>
      <c r="T2041" s="18">
        <v>0.0</v>
      </c>
      <c r="U2041" s="151">
        <v>3748.0</v>
      </c>
      <c r="V2041" s="92" t="s">
        <v>335</v>
      </c>
      <c r="W2041" s="37" t="s">
        <v>196</v>
      </c>
      <c r="X2041" s="174" t="s">
        <v>2131</v>
      </c>
      <c r="Y2041" s="95" t="s">
        <v>5971</v>
      </c>
      <c r="Z2041" s="37" t="s">
        <v>6018</v>
      </c>
      <c r="AA2041" s="92">
        <v>3.0</v>
      </c>
      <c r="AB2041" s="18">
        <v>3.0</v>
      </c>
      <c r="AC2041" s="18"/>
      <c r="AD2041" s="14">
        <v>16746.0</v>
      </c>
      <c r="AE2041" s="14">
        <v>16746.0</v>
      </c>
      <c r="AF2041" s="14"/>
      <c r="AG2041" s="22"/>
      <c r="AH2041" s="22"/>
      <c r="AI2041" s="22"/>
      <c r="AJ2041" s="22"/>
      <c r="AK2041" s="22"/>
      <c r="AL2041" s="22"/>
      <c r="AM2041" s="22"/>
      <c r="AN2041" s="22"/>
      <c r="AO2041" s="22"/>
      <c r="AP2041" s="22"/>
    </row>
    <row r="2042" hidden="1">
      <c r="A2042" s="148">
        <v>46193.0</v>
      </c>
      <c r="B2042" s="149">
        <v>0.375</v>
      </c>
      <c r="C2042" s="11" t="s">
        <v>196</v>
      </c>
      <c r="D2042" s="102" t="s">
        <v>33</v>
      </c>
      <c r="E2042" s="10" t="s">
        <v>34</v>
      </c>
      <c r="F2042" s="28" t="s">
        <v>6016</v>
      </c>
      <c r="G2042" s="11" t="s">
        <v>6019</v>
      </c>
      <c r="H2042" s="11" t="s">
        <v>3767</v>
      </c>
      <c r="I2042" s="10" t="s">
        <v>5438</v>
      </c>
      <c r="J2042" s="14">
        <v>434.0</v>
      </c>
      <c r="K2042" s="14">
        <v>68.0</v>
      </c>
      <c r="L2042" s="17">
        <v>0.1567</v>
      </c>
      <c r="M2042" s="150">
        <v>14.0</v>
      </c>
      <c r="N2042" s="136">
        <v>0.2059</v>
      </c>
      <c r="O2042" s="18">
        <v>0.0</v>
      </c>
      <c r="P2042" s="92">
        <v>0.0</v>
      </c>
      <c r="Q2042" s="137">
        <v>0.0</v>
      </c>
      <c r="R2042" s="17">
        <v>0.0</v>
      </c>
      <c r="S2042" s="18">
        <v>0.0</v>
      </c>
      <c r="T2042" s="18">
        <v>0.0</v>
      </c>
      <c r="U2042" s="151">
        <v>0.0</v>
      </c>
      <c r="V2042" s="92" t="s">
        <v>335</v>
      </c>
      <c r="W2042" s="37" t="s">
        <v>196</v>
      </c>
      <c r="X2042" s="174" t="s">
        <v>2282</v>
      </c>
      <c r="Y2042" s="95" t="s">
        <v>5971</v>
      </c>
      <c r="Z2042" s="37" t="s">
        <v>6020</v>
      </c>
      <c r="AA2042" s="92">
        <v>0.0</v>
      </c>
      <c r="AB2042" s="18">
        <v>0.0</v>
      </c>
      <c r="AC2042" s="18"/>
      <c r="AD2042" s="14">
        <v>0.0</v>
      </c>
      <c r="AE2042" s="14">
        <v>0.0</v>
      </c>
      <c r="AF2042" s="14"/>
      <c r="AG2042" s="22"/>
      <c r="AH2042" s="22"/>
      <c r="AI2042" s="22"/>
      <c r="AJ2042" s="22"/>
      <c r="AK2042" s="22"/>
      <c r="AL2042" s="22"/>
      <c r="AM2042" s="22"/>
      <c r="AN2042" s="22"/>
      <c r="AO2042" s="22"/>
      <c r="AP2042" s="22"/>
    </row>
    <row r="2043" hidden="1">
      <c r="A2043" s="148">
        <v>46193.0</v>
      </c>
      <c r="B2043" s="149">
        <v>0.375</v>
      </c>
      <c r="C2043" s="11" t="s">
        <v>196</v>
      </c>
      <c r="D2043" s="102" t="s">
        <v>33</v>
      </c>
      <c r="E2043" s="10" t="s">
        <v>34</v>
      </c>
      <c r="F2043" s="28" t="s">
        <v>6016</v>
      </c>
      <c r="G2043" s="11" t="s">
        <v>6021</v>
      </c>
      <c r="H2043" s="11" t="s">
        <v>5441</v>
      </c>
      <c r="I2043" s="10" t="s">
        <v>5442</v>
      </c>
      <c r="J2043" s="14">
        <v>60715.0</v>
      </c>
      <c r="K2043" s="14">
        <v>11685.0</v>
      </c>
      <c r="L2043" s="17">
        <v>0.1925</v>
      </c>
      <c r="M2043" s="150">
        <v>2335.0</v>
      </c>
      <c r="N2043" s="136">
        <v>0.2024</v>
      </c>
      <c r="O2043" s="18">
        <v>81.0</v>
      </c>
      <c r="P2043" s="92">
        <v>0.0</v>
      </c>
      <c r="Q2043" s="137">
        <v>0.0073</v>
      </c>
      <c r="R2043" s="17">
        <v>0.0</v>
      </c>
      <c r="S2043" s="18">
        <v>2.0</v>
      </c>
      <c r="T2043" s="18">
        <v>0.0</v>
      </c>
      <c r="U2043" s="151">
        <v>12998.0</v>
      </c>
      <c r="V2043" s="92" t="s">
        <v>183</v>
      </c>
      <c r="W2043" s="37" t="s">
        <v>196</v>
      </c>
      <c r="X2043" s="174" t="s">
        <v>52</v>
      </c>
      <c r="Y2043" s="95" t="s">
        <v>5971</v>
      </c>
      <c r="Z2043" s="18" t="s">
        <v>6022</v>
      </c>
      <c r="AA2043" s="92">
        <v>37.0</v>
      </c>
      <c r="AB2043" s="18">
        <v>6.0</v>
      </c>
      <c r="AC2043" s="18">
        <v>31.0</v>
      </c>
      <c r="AD2043" s="14">
        <v>342321.0</v>
      </c>
      <c r="AE2043" s="14">
        <v>38994.0</v>
      </c>
      <c r="AF2043" s="14">
        <v>303327.0</v>
      </c>
      <c r="AG2043" s="22"/>
      <c r="AH2043" s="22"/>
      <c r="AI2043" s="22"/>
      <c r="AJ2043" s="22"/>
      <c r="AK2043" s="22"/>
      <c r="AL2043" s="22"/>
      <c r="AM2043" s="22"/>
      <c r="AN2043" s="22"/>
      <c r="AO2043" s="22"/>
      <c r="AP2043" s="22"/>
    </row>
    <row r="2044" hidden="1">
      <c r="A2044" s="148">
        <v>46193.0</v>
      </c>
      <c r="B2044" s="149">
        <v>0.375</v>
      </c>
      <c r="C2044" s="11" t="s">
        <v>196</v>
      </c>
      <c r="D2044" s="102" t="s">
        <v>33</v>
      </c>
      <c r="E2044" s="10" t="s">
        <v>34</v>
      </c>
      <c r="F2044" s="28" t="s">
        <v>6016</v>
      </c>
      <c r="G2044" s="11" t="s">
        <v>6023</v>
      </c>
      <c r="H2044" s="11" t="s">
        <v>5445</v>
      </c>
      <c r="I2044" s="10" t="s">
        <v>5446</v>
      </c>
      <c r="J2044" s="14">
        <v>12133.0</v>
      </c>
      <c r="K2044" s="14">
        <v>2311.0</v>
      </c>
      <c r="L2044" s="17">
        <v>0.1905</v>
      </c>
      <c r="M2044" s="150">
        <v>415.0</v>
      </c>
      <c r="N2044" s="136">
        <v>0.1848</v>
      </c>
      <c r="O2044" s="18">
        <v>22.0</v>
      </c>
      <c r="P2044" s="92">
        <v>0.0</v>
      </c>
      <c r="Q2044" s="137">
        <v>0.01</v>
      </c>
      <c r="R2044" s="17">
        <v>0.0</v>
      </c>
      <c r="S2044" s="18">
        <v>0.0</v>
      </c>
      <c r="T2044" s="18">
        <v>0.0</v>
      </c>
      <c r="U2044" s="151">
        <v>0.0</v>
      </c>
      <c r="V2044" s="92" t="s">
        <v>183</v>
      </c>
      <c r="W2044" s="37" t="s">
        <v>196</v>
      </c>
      <c r="X2044" s="174" t="s">
        <v>5447</v>
      </c>
      <c r="Y2044" s="95" t="s">
        <v>5971</v>
      </c>
      <c r="Z2044" s="18" t="s">
        <v>6024</v>
      </c>
      <c r="AA2044" s="92">
        <v>5.0</v>
      </c>
      <c r="AB2044" s="18">
        <v>2.0</v>
      </c>
      <c r="AC2044" s="18">
        <v>3.0</v>
      </c>
      <c r="AD2044" s="14">
        <v>35968.0</v>
      </c>
      <c r="AE2044" s="14">
        <v>21498.0</v>
      </c>
      <c r="AF2044" s="14">
        <v>14470.0</v>
      </c>
      <c r="AG2044" s="22"/>
      <c r="AH2044" s="22"/>
      <c r="AI2044" s="22"/>
      <c r="AJ2044" s="22"/>
      <c r="AK2044" s="22"/>
      <c r="AL2044" s="22"/>
      <c r="AM2044" s="22"/>
      <c r="AN2044" s="22"/>
      <c r="AO2044" s="22"/>
      <c r="AP2044" s="22"/>
    </row>
    <row r="2045" hidden="1">
      <c r="A2045" s="148">
        <v>46193.0</v>
      </c>
      <c r="B2045" s="149">
        <v>0.375</v>
      </c>
      <c r="C2045" s="11" t="s">
        <v>196</v>
      </c>
      <c r="D2045" s="102" t="s">
        <v>33</v>
      </c>
      <c r="E2045" s="10" t="s">
        <v>34</v>
      </c>
      <c r="F2045" s="28" t="s">
        <v>6016</v>
      </c>
      <c r="G2045" s="11" t="s">
        <v>6025</v>
      </c>
      <c r="H2045" s="11" t="s">
        <v>3785</v>
      </c>
      <c r="I2045" s="10" t="s">
        <v>5455</v>
      </c>
      <c r="J2045" s="14">
        <v>4426.0</v>
      </c>
      <c r="K2045" s="14">
        <v>849.0</v>
      </c>
      <c r="L2045" s="17">
        <v>0.1918</v>
      </c>
      <c r="M2045" s="150">
        <v>169.0</v>
      </c>
      <c r="N2045" s="136">
        <v>0.2014</v>
      </c>
      <c r="O2045" s="18">
        <v>5.0</v>
      </c>
      <c r="P2045" s="92">
        <v>0.0</v>
      </c>
      <c r="Q2045" s="137">
        <v>0.0071</v>
      </c>
      <c r="R2045" s="17">
        <v>0.0</v>
      </c>
      <c r="S2045" s="18">
        <v>0.0</v>
      </c>
      <c r="T2045" s="18">
        <v>0.0</v>
      </c>
      <c r="U2045" s="151">
        <v>0.0</v>
      </c>
      <c r="V2045" s="92" t="s">
        <v>183</v>
      </c>
      <c r="W2045" s="37" t="s">
        <v>196</v>
      </c>
      <c r="X2045" s="174" t="s">
        <v>82</v>
      </c>
      <c r="Y2045" s="95" t="s">
        <v>5971</v>
      </c>
      <c r="Z2045" s="18" t="s">
        <v>6026</v>
      </c>
      <c r="AA2045" s="92">
        <v>3.0</v>
      </c>
      <c r="AB2045" s="18">
        <v>0.0</v>
      </c>
      <c r="AC2045" s="18">
        <v>3.0</v>
      </c>
      <c r="AD2045" s="14">
        <v>17160.0</v>
      </c>
      <c r="AE2045" s="14">
        <v>0.0</v>
      </c>
      <c r="AF2045" s="14">
        <v>17160.0</v>
      </c>
      <c r="AG2045" s="22"/>
      <c r="AH2045" s="22"/>
      <c r="AI2045" s="22"/>
      <c r="AJ2045" s="22"/>
      <c r="AK2045" s="22"/>
      <c r="AL2045" s="22"/>
      <c r="AM2045" s="22"/>
      <c r="AN2045" s="22"/>
      <c r="AO2045" s="22"/>
      <c r="AP2045" s="22"/>
    </row>
    <row r="2046" hidden="1">
      <c r="A2046" s="148">
        <v>46193.0</v>
      </c>
      <c r="B2046" s="149">
        <v>0.375</v>
      </c>
      <c r="C2046" s="11" t="s">
        <v>196</v>
      </c>
      <c r="D2046" s="102" t="s">
        <v>33</v>
      </c>
      <c r="E2046" s="10" t="s">
        <v>34</v>
      </c>
      <c r="F2046" s="28" t="s">
        <v>6016</v>
      </c>
      <c r="G2046" s="11" t="s">
        <v>6027</v>
      </c>
      <c r="H2046" s="11" t="s">
        <v>5450</v>
      </c>
      <c r="I2046" s="10" t="s">
        <v>5451</v>
      </c>
      <c r="J2046" s="14">
        <v>7247.0</v>
      </c>
      <c r="K2046" s="14">
        <v>1404.0</v>
      </c>
      <c r="L2046" s="17">
        <v>0.1937</v>
      </c>
      <c r="M2046" s="150">
        <v>304.0</v>
      </c>
      <c r="N2046" s="136">
        <v>0.2187</v>
      </c>
      <c r="O2046" s="18">
        <v>3.0</v>
      </c>
      <c r="P2046" s="92">
        <v>0.0</v>
      </c>
      <c r="Q2046" s="137">
        <v>0.0021</v>
      </c>
      <c r="R2046" s="17">
        <v>0.0</v>
      </c>
      <c r="S2046" s="18">
        <v>0.0</v>
      </c>
      <c r="T2046" s="18">
        <v>0.0</v>
      </c>
      <c r="U2046" s="151">
        <v>0.0</v>
      </c>
      <c r="V2046" s="92" t="s">
        <v>183</v>
      </c>
      <c r="W2046" s="37" t="s">
        <v>196</v>
      </c>
      <c r="X2046" s="174" t="s">
        <v>5452</v>
      </c>
      <c r="Y2046" s="95" t="s">
        <v>5971</v>
      </c>
      <c r="Z2046" s="18" t="s">
        <v>6028</v>
      </c>
      <c r="AA2046" s="92">
        <v>7.0</v>
      </c>
      <c r="AB2046" s="18">
        <v>1.0</v>
      </c>
      <c r="AC2046" s="18">
        <v>6.0</v>
      </c>
      <c r="AD2046" s="14">
        <v>46438.0</v>
      </c>
      <c r="AE2046" s="14">
        <v>12998.0</v>
      </c>
      <c r="AF2046" s="14">
        <v>33440.0</v>
      </c>
      <c r="AG2046" s="22"/>
      <c r="AH2046" s="22"/>
      <c r="AI2046" s="22"/>
      <c r="AJ2046" s="22"/>
      <c r="AK2046" s="22"/>
      <c r="AL2046" s="22"/>
      <c r="AM2046" s="22"/>
      <c r="AN2046" s="22"/>
      <c r="AO2046" s="22"/>
      <c r="AP2046" s="22"/>
    </row>
    <row r="2047" hidden="1">
      <c r="A2047" s="148">
        <v>46193.0</v>
      </c>
      <c r="B2047" s="149">
        <v>0.375</v>
      </c>
      <c r="C2047" s="11" t="s">
        <v>196</v>
      </c>
      <c r="D2047" s="102" t="s">
        <v>33</v>
      </c>
      <c r="E2047" s="10" t="s">
        <v>34</v>
      </c>
      <c r="F2047" s="28" t="s">
        <v>6016</v>
      </c>
      <c r="G2047" s="11" t="s">
        <v>6029</v>
      </c>
      <c r="H2047" s="11" t="s">
        <v>5458</v>
      </c>
      <c r="I2047" s="10" t="s">
        <v>5459</v>
      </c>
      <c r="J2047" s="14">
        <v>50730.0</v>
      </c>
      <c r="K2047" s="14">
        <v>9937.0</v>
      </c>
      <c r="L2047" s="17">
        <v>0.1959</v>
      </c>
      <c r="M2047" s="150">
        <v>2030.0</v>
      </c>
      <c r="N2047" s="136">
        <v>0.2069</v>
      </c>
      <c r="O2047" s="18">
        <v>54.0</v>
      </c>
      <c r="P2047" s="92">
        <v>0.0</v>
      </c>
      <c r="Q2047" s="137">
        <v>0.0058</v>
      </c>
      <c r="R2047" s="17">
        <v>0.0</v>
      </c>
      <c r="S2047" s="18">
        <v>0.0</v>
      </c>
      <c r="T2047" s="18">
        <v>0.0</v>
      </c>
      <c r="U2047" s="151">
        <v>0.0</v>
      </c>
      <c r="V2047" s="92" t="s">
        <v>183</v>
      </c>
      <c r="W2047" s="37" t="s">
        <v>196</v>
      </c>
      <c r="X2047" s="174" t="s">
        <v>41</v>
      </c>
      <c r="Y2047" s="95" t="s">
        <v>5971</v>
      </c>
      <c r="Z2047" s="18" t="s">
        <v>6030</v>
      </c>
      <c r="AA2047" s="92">
        <v>10.0</v>
      </c>
      <c r="AB2047" s="18">
        <v>0.0</v>
      </c>
      <c r="AC2047" s="18">
        <v>10.0</v>
      </c>
      <c r="AD2047" s="14">
        <v>88869.0</v>
      </c>
      <c r="AE2047" s="14">
        <v>0.0</v>
      </c>
      <c r="AF2047" s="14">
        <v>88869.0</v>
      </c>
      <c r="AG2047" s="22"/>
      <c r="AH2047" s="22"/>
      <c r="AI2047" s="22"/>
      <c r="AJ2047" s="22"/>
      <c r="AK2047" s="22"/>
      <c r="AL2047" s="22"/>
      <c r="AM2047" s="22"/>
      <c r="AN2047" s="22"/>
      <c r="AO2047" s="22"/>
      <c r="AP2047" s="22"/>
    </row>
    <row r="2048" hidden="1">
      <c r="A2048" s="148">
        <v>46193.0</v>
      </c>
      <c r="B2048" s="149">
        <v>0.375</v>
      </c>
      <c r="C2048" s="11" t="s">
        <v>196</v>
      </c>
      <c r="D2048" s="102" t="s">
        <v>33</v>
      </c>
      <c r="E2048" s="10" t="s">
        <v>34</v>
      </c>
      <c r="F2048" s="28" t="s">
        <v>6016</v>
      </c>
      <c r="G2048" s="11" t="s">
        <v>6031</v>
      </c>
      <c r="H2048" s="11" t="s">
        <v>5462</v>
      </c>
      <c r="I2048" s="10" t="s">
        <v>5463</v>
      </c>
      <c r="J2048" s="14">
        <v>33517.0</v>
      </c>
      <c r="K2048" s="14">
        <v>5623.0</v>
      </c>
      <c r="L2048" s="17">
        <v>0.1678</v>
      </c>
      <c r="M2048" s="150">
        <v>1116.0</v>
      </c>
      <c r="N2048" s="136">
        <v>0.2018</v>
      </c>
      <c r="O2048" s="18">
        <v>29.0</v>
      </c>
      <c r="P2048" s="92">
        <v>0.0</v>
      </c>
      <c r="Q2048" s="137">
        <v>0.006</v>
      </c>
      <c r="R2048" s="17">
        <v>0.0</v>
      </c>
      <c r="S2048" s="18">
        <v>3.0</v>
      </c>
      <c r="T2048" s="18">
        <v>0.0</v>
      </c>
      <c r="U2048" s="151">
        <v>30747.0</v>
      </c>
      <c r="V2048" s="92" t="s">
        <v>183</v>
      </c>
      <c r="W2048" s="37" t="s">
        <v>196</v>
      </c>
      <c r="X2048" s="174" t="s">
        <v>5464</v>
      </c>
      <c r="Y2048" s="95" t="s">
        <v>5971</v>
      </c>
      <c r="Z2048" s="18" t="s">
        <v>6032</v>
      </c>
      <c r="AA2048" s="92">
        <v>23.0</v>
      </c>
      <c r="AB2048" s="18">
        <v>7.0</v>
      </c>
      <c r="AC2048" s="18">
        <v>16.0</v>
      </c>
      <c r="AD2048" s="14">
        <v>220042.0</v>
      </c>
      <c r="AE2048" s="14">
        <v>77240.0</v>
      </c>
      <c r="AF2048" s="14">
        <v>142802.0</v>
      </c>
      <c r="AG2048" s="22"/>
      <c r="AH2048" s="22"/>
      <c r="AI2048" s="22"/>
      <c r="AJ2048" s="22"/>
      <c r="AK2048" s="22"/>
      <c r="AL2048" s="22"/>
      <c r="AM2048" s="22"/>
      <c r="AN2048" s="22"/>
      <c r="AO2048" s="22"/>
      <c r="AP2048" s="22"/>
    </row>
    <row r="2049" hidden="1">
      <c r="A2049" s="148">
        <v>46193.0</v>
      </c>
      <c r="B2049" s="149">
        <v>0.375</v>
      </c>
      <c r="C2049" s="11" t="s">
        <v>196</v>
      </c>
      <c r="D2049" s="102" t="s">
        <v>33</v>
      </c>
      <c r="E2049" s="10" t="s">
        <v>34</v>
      </c>
      <c r="F2049" s="28" t="s">
        <v>6016</v>
      </c>
      <c r="G2049" s="11" t="s">
        <v>6033</v>
      </c>
      <c r="H2049" s="11" t="s">
        <v>5467</v>
      </c>
      <c r="I2049" s="10" t="s">
        <v>5468</v>
      </c>
      <c r="J2049" s="14">
        <v>109827.0</v>
      </c>
      <c r="K2049" s="14">
        <v>21256.0</v>
      </c>
      <c r="L2049" s="17">
        <v>0.1935</v>
      </c>
      <c r="M2049" s="150">
        <v>4157.0</v>
      </c>
      <c r="N2049" s="136">
        <v>0.1984</v>
      </c>
      <c r="O2049" s="18">
        <v>98.0</v>
      </c>
      <c r="P2049" s="92">
        <v>0.0</v>
      </c>
      <c r="Q2049" s="137">
        <v>0.0052</v>
      </c>
      <c r="R2049" s="17">
        <v>0.0</v>
      </c>
      <c r="S2049" s="18">
        <v>1.0</v>
      </c>
      <c r="T2049" s="18">
        <v>0.0</v>
      </c>
      <c r="U2049" s="151">
        <v>9999.0</v>
      </c>
      <c r="V2049" s="92" t="s">
        <v>183</v>
      </c>
      <c r="W2049" s="37" t="s">
        <v>196</v>
      </c>
      <c r="X2049" s="174" t="s">
        <v>69</v>
      </c>
      <c r="Y2049" s="95" t="s">
        <v>5971</v>
      </c>
      <c r="Z2049" s="18" t="s">
        <v>6034</v>
      </c>
      <c r="AA2049" s="92">
        <v>29.0</v>
      </c>
      <c r="AB2049" s="18">
        <v>6.0</v>
      </c>
      <c r="AC2049" s="18">
        <v>23.0</v>
      </c>
      <c r="AD2049" s="14">
        <v>292877.0</v>
      </c>
      <c r="AE2049" s="14">
        <v>55493.0</v>
      </c>
      <c r="AF2049" s="14">
        <v>237384.0</v>
      </c>
      <c r="AG2049" s="22"/>
      <c r="AH2049" s="22"/>
      <c r="AI2049" s="22"/>
      <c r="AJ2049" s="22"/>
      <c r="AK2049" s="22"/>
      <c r="AL2049" s="22"/>
      <c r="AM2049" s="22"/>
      <c r="AN2049" s="22"/>
      <c r="AO2049" s="22"/>
      <c r="AP2049" s="22"/>
    </row>
    <row r="2050" hidden="1">
      <c r="A2050" s="148">
        <v>46193.0</v>
      </c>
      <c r="B2050" s="149">
        <v>0.375</v>
      </c>
      <c r="C2050" s="11" t="s">
        <v>196</v>
      </c>
      <c r="D2050" s="102" t="s">
        <v>33</v>
      </c>
      <c r="E2050" s="10" t="s">
        <v>34</v>
      </c>
      <c r="F2050" s="28" t="s">
        <v>6016</v>
      </c>
      <c r="G2050" s="11" t="s">
        <v>6035</v>
      </c>
      <c r="H2050" s="11" t="s">
        <v>5471</v>
      </c>
      <c r="I2050" s="10" t="s">
        <v>5472</v>
      </c>
      <c r="J2050" s="14">
        <v>48900.0</v>
      </c>
      <c r="K2050" s="14">
        <v>8736.0</v>
      </c>
      <c r="L2050" s="17">
        <v>0.1787</v>
      </c>
      <c r="M2050" s="150">
        <v>1634.0</v>
      </c>
      <c r="N2050" s="136">
        <v>0.1915</v>
      </c>
      <c r="O2050" s="18">
        <v>31.0</v>
      </c>
      <c r="P2050" s="92">
        <v>0.0</v>
      </c>
      <c r="Q2050" s="137">
        <v>0.0038</v>
      </c>
      <c r="R2050" s="17">
        <v>0.0</v>
      </c>
      <c r="S2050" s="18">
        <v>1.0</v>
      </c>
      <c r="T2050" s="18">
        <v>0.0</v>
      </c>
      <c r="U2050" s="151">
        <v>7499.0</v>
      </c>
      <c r="V2050" s="92" t="s">
        <v>183</v>
      </c>
      <c r="W2050" s="37" t="s">
        <v>196</v>
      </c>
      <c r="X2050" s="174" t="s">
        <v>69</v>
      </c>
      <c r="Y2050" s="94" t="s">
        <v>5971</v>
      </c>
      <c r="Z2050" s="18" t="s">
        <v>6036</v>
      </c>
      <c r="AA2050" s="92">
        <v>11.0</v>
      </c>
      <c r="AB2050" s="18">
        <v>1.0</v>
      </c>
      <c r="AC2050" s="18">
        <v>10.0</v>
      </c>
      <c r="AD2050" s="14">
        <v>91848.0</v>
      </c>
      <c r="AE2050" s="14">
        <v>7499.0</v>
      </c>
      <c r="AF2050" s="14">
        <v>84349.0</v>
      </c>
      <c r="AG2050" s="22"/>
      <c r="AH2050" s="22"/>
      <c r="AI2050" s="22"/>
      <c r="AJ2050" s="22"/>
      <c r="AK2050" s="22"/>
      <c r="AL2050" s="22"/>
      <c r="AM2050" s="22"/>
      <c r="AN2050" s="22"/>
      <c r="AO2050" s="22"/>
      <c r="AP2050" s="22"/>
    </row>
    <row r="2051" hidden="1">
      <c r="A2051" s="148">
        <v>46193.0</v>
      </c>
      <c r="B2051" s="149">
        <v>0.375</v>
      </c>
      <c r="C2051" s="11" t="s">
        <v>196</v>
      </c>
      <c r="D2051" s="102" t="s">
        <v>33</v>
      </c>
      <c r="E2051" s="10" t="s">
        <v>34</v>
      </c>
      <c r="F2051" s="28" t="s">
        <v>6016</v>
      </c>
      <c r="G2051" s="11" t="s">
        <v>6037</v>
      </c>
      <c r="H2051" s="11" t="s">
        <v>5475</v>
      </c>
      <c r="I2051" s="10" t="s">
        <v>5476</v>
      </c>
      <c r="J2051" s="14">
        <v>14428.0</v>
      </c>
      <c r="K2051" s="14">
        <v>2915.0</v>
      </c>
      <c r="L2051" s="17">
        <v>0.202</v>
      </c>
      <c r="M2051" s="150">
        <v>577.0</v>
      </c>
      <c r="N2051" s="136">
        <v>0.201</v>
      </c>
      <c r="O2051" s="18">
        <v>27.0</v>
      </c>
      <c r="P2051" s="92">
        <v>0.0</v>
      </c>
      <c r="Q2051" s="137">
        <v>0.0099</v>
      </c>
      <c r="R2051" s="17">
        <v>0.0</v>
      </c>
      <c r="S2051" s="18">
        <v>0.0</v>
      </c>
      <c r="T2051" s="18">
        <v>0.0</v>
      </c>
      <c r="U2051" s="151">
        <v>0.0</v>
      </c>
      <c r="V2051" s="92" t="s">
        <v>183</v>
      </c>
      <c r="W2051" s="37" t="s">
        <v>196</v>
      </c>
      <c r="X2051" s="174" t="s">
        <v>2286</v>
      </c>
      <c r="Y2051" s="94" t="s">
        <v>5971</v>
      </c>
      <c r="Z2051" s="18" t="s">
        <v>6038</v>
      </c>
      <c r="AA2051" s="92">
        <v>10.0</v>
      </c>
      <c r="AB2051" s="18">
        <v>1.0</v>
      </c>
      <c r="AC2051" s="18">
        <v>9.0</v>
      </c>
      <c r="AD2051" s="14">
        <v>81551.0</v>
      </c>
      <c r="AE2051" s="14">
        <v>7599.0</v>
      </c>
      <c r="AF2051" s="14">
        <v>73952.0</v>
      </c>
      <c r="AG2051" s="22"/>
      <c r="AH2051" s="22"/>
      <c r="AI2051" s="22"/>
      <c r="AJ2051" s="22"/>
      <c r="AK2051" s="22"/>
      <c r="AL2051" s="22"/>
      <c r="AM2051" s="22"/>
      <c r="AN2051" s="22"/>
      <c r="AO2051" s="22"/>
      <c r="AP2051" s="22"/>
    </row>
    <row r="2052" hidden="1">
      <c r="A2052" s="148">
        <v>46193.0</v>
      </c>
      <c r="B2052" s="149">
        <v>0.375</v>
      </c>
      <c r="C2052" s="11" t="s">
        <v>196</v>
      </c>
      <c r="D2052" s="102" t="s">
        <v>33</v>
      </c>
      <c r="E2052" s="10" t="s">
        <v>34</v>
      </c>
      <c r="F2052" s="28" t="s">
        <v>6016</v>
      </c>
      <c r="G2052" s="11" t="s">
        <v>6039</v>
      </c>
      <c r="H2052" s="11" t="s">
        <v>3821</v>
      </c>
      <c r="I2052" s="10" t="s">
        <v>5479</v>
      </c>
      <c r="J2052" s="14">
        <v>104068.0</v>
      </c>
      <c r="K2052" s="14">
        <v>20616.0</v>
      </c>
      <c r="L2052" s="17">
        <v>0.1981</v>
      </c>
      <c r="M2052" s="150">
        <v>3903.0</v>
      </c>
      <c r="N2052" s="136">
        <v>0.1926</v>
      </c>
      <c r="O2052" s="18">
        <v>221.0</v>
      </c>
      <c r="P2052" s="92">
        <v>0.0</v>
      </c>
      <c r="Q2052" s="137">
        <v>0.0118</v>
      </c>
      <c r="R2052" s="17">
        <v>0.0</v>
      </c>
      <c r="S2052" s="18">
        <v>7.0</v>
      </c>
      <c r="T2052" s="18">
        <v>0.0</v>
      </c>
      <c r="U2052" s="151">
        <v>46992.0</v>
      </c>
      <c r="V2052" s="92" t="s">
        <v>183</v>
      </c>
      <c r="W2052" s="37" t="s">
        <v>196</v>
      </c>
      <c r="X2052" s="174" t="s">
        <v>5480</v>
      </c>
      <c r="Y2052" s="94" t="s">
        <v>5971</v>
      </c>
      <c r="Z2052" s="18" t="s">
        <v>6040</v>
      </c>
      <c r="AA2052" s="92">
        <v>19.0</v>
      </c>
      <c r="AB2052" s="18">
        <v>10.0</v>
      </c>
      <c r="AC2052" s="18">
        <v>9.0</v>
      </c>
      <c r="AD2052" s="14">
        <v>148609.0</v>
      </c>
      <c r="AE2052" s="14">
        <v>68989.0</v>
      </c>
      <c r="AF2052" s="14">
        <v>79620.0</v>
      </c>
      <c r="AG2052" s="22"/>
      <c r="AH2052" s="22"/>
      <c r="AI2052" s="22"/>
      <c r="AJ2052" s="22"/>
      <c r="AK2052" s="22"/>
      <c r="AL2052" s="22"/>
      <c r="AM2052" s="22"/>
      <c r="AN2052" s="22"/>
      <c r="AO2052" s="22"/>
      <c r="AP2052" s="22"/>
    </row>
    <row r="2053" hidden="1">
      <c r="A2053" s="162">
        <v>46179.0</v>
      </c>
      <c r="B2053" s="163">
        <v>0.7083333333333334</v>
      </c>
      <c r="C2053" s="29" t="s">
        <v>58</v>
      </c>
      <c r="D2053" s="96" t="s">
        <v>3083</v>
      </c>
      <c r="E2053" s="10" t="s">
        <v>1998</v>
      </c>
      <c r="F2053" s="28" t="s">
        <v>6041</v>
      </c>
      <c r="G2053" s="29" t="s">
        <v>5428</v>
      </c>
      <c r="H2053" s="29" t="s">
        <v>5312</v>
      </c>
      <c r="I2053" s="28" t="s">
        <v>2956</v>
      </c>
      <c r="J2053" s="33">
        <v>30579.0</v>
      </c>
      <c r="K2053" s="33">
        <v>0.0</v>
      </c>
      <c r="L2053" s="36">
        <v>0.0</v>
      </c>
      <c r="M2053" s="183">
        <v>0.0</v>
      </c>
      <c r="N2053" s="136">
        <v>0.0</v>
      </c>
      <c r="O2053" s="37">
        <v>1.0</v>
      </c>
      <c r="P2053" s="42">
        <v>0.0</v>
      </c>
      <c r="Q2053" s="137">
        <v>0.0</v>
      </c>
      <c r="R2053" s="36">
        <v>0.0</v>
      </c>
      <c r="S2053" s="37">
        <v>0.0</v>
      </c>
      <c r="T2053" s="37">
        <v>0.0</v>
      </c>
      <c r="U2053" s="184">
        <v>0.0</v>
      </c>
      <c r="V2053" s="42" t="s">
        <v>183</v>
      </c>
      <c r="W2053" s="37" t="s">
        <v>58</v>
      </c>
      <c r="X2053" s="177" t="s">
        <v>4296</v>
      </c>
      <c r="Y2053" s="185" t="s">
        <v>6042</v>
      </c>
      <c r="Z2053" s="37" t="s">
        <v>6043</v>
      </c>
      <c r="AA2053" s="42">
        <v>0.0</v>
      </c>
      <c r="AB2053" s="37">
        <v>0.0</v>
      </c>
      <c r="AC2053" s="37">
        <v>0.0</v>
      </c>
      <c r="AD2053" s="33">
        <v>0.0</v>
      </c>
      <c r="AE2053" s="33">
        <v>0.0</v>
      </c>
      <c r="AF2053" s="33">
        <v>0.0</v>
      </c>
      <c r="AG2053" s="22"/>
      <c r="AH2053" s="22"/>
      <c r="AI2053" s="22"/>
      <c r="AJ2053" s="22"/>
      <c r="AK2053" s="22"/>
      <c r="AL2053" s="22"/>
      <c r="AM2053" s="22"/>
      <c r="AN2053" s="22"/>
      <c r="AO2053" s="22"/>
      <c r="AP2053" s="22"/>
    </row>
    <row r="2054" hidden="1">
      <c r="A2054" s="148">
        <v>46199.0</v>
      </c>
      <c r="B2054" s="149">
        <v>0.7083333333333334</v>
      </c>
      <c r="C2054" s="11" t="s">
        <v>32</v>
      </c>
      <c r="D2054" s="102" t="s">
        <v>33</v>
      </c>
      <c r="E2054" s="10" t="s">
        <v>179</v>
      </c>
      <c r="F2054" s="10" t="s">
        <v>6044</v>
      </c>
      <c r="G2054" s="11" t="s">
        <v>6045</v>
      </c>
      <c r="H2054" s="11" t="s">
        <v>5489</v>
      </c>
      <c r="I2054" s="10" t="s">
        <v>5490</v>
      </c>
      <c r="J2054" s="14">
        <v>59042.0</v>
      </c>
      <c r="K2054" s="14">
        <v>32208.0</v>
      </c>
      <c r="L2054" s="17">
        <v>0.5448</v>
      </c>
      <c r="M2054" s="150">
        <v>7323.0</v>
      </c>
      <c r="N2054" s="136">
        <v>0.2267</v>
      </c>
      <c r="O2054" s="18">
        <v>422.0</v>
      </c>
      <c r="P2054" s="92">
        <v>399.0</v>
      </c>
      <c r="Q2054" s="137">
        <v>0.0124</v>
      </c>
      <c r="R2054" s="17">
        <v>0.0547</v>
      </c>
      <c r="S2054" s="18">
        <v>136.0</v>
      </c>
      <c r="T2054" s="18">
        <v>0.0</v>
      </c>
      <c r="U2054" s="151">
        <v>1124772.0</v>
      </c>
      <c r="V2054" s="92" t="s">
        <v>315</v>
      </c>
      <c r="W2054" s="18" t="s">
        <v>76</v>
      </c>
      <c r="X2054" s="174" t="s">
        <v>52</v>
      </c>
      <c r="Y2054" s="94" t="s">
        <v>6046</v>
      </c>
      <c r="Z2054" s="18" t="s">
        <v>6047</v>
      </c>
      <c r="AA2054" s="92">
        <v>248.0</v>
      </c>
      <c r="AB2054" s="18"/>
      <c r="AC2054" s="18">
        <v>248.0</v>
      </c>
      <c r="AD2054" s="14">
        <v>1872994.0</v>
      </c>
      <c r="AE2054" s="14"/>
      <c r="AF2054" s="14">
        <v>1872994.0</v>
      </c>
      <c r="AG2054" s="22"/>
      <c r="AH2054" s="22"/>
      <c r="AI2054" s="22"/>
      <c r="AJ2054" s="22"/>
      <c r="AK2054" s="22"/>
      <c r="AL2054" s="22"/>
      <c r="AM2054" s="22"/>
      <c r="AN2054" s="22"/>
      <c r="AO2054" s="22"/>
      <c r="AP2054" s="22"/>
    </row>
    <row r="2055" hidden="1">
      <c r="A2055" s="148">
        <v>46199.0</v>
      </c>
      <c r="B2055" s="149">
        <v>0.7118055555555556</v>
      </c>
      <c r="C2055" s="11" t="s">
        <v>32</v>
      </c>
      <c r="D2055" s="102" t="s">
        <v>33</v>
      </c>
      <c r="E2055" s="10" t="s">
        <v>179</v>
      </c>
      <c r="F2055" s="10" t="s">
        <v>6044</v>
      </c>
      <c r="G2055" s="11" t="s">
        <v>6048</v>
      </c>
      <c r="H2055" s="11" t="s">
        <v>5494</v>
      </c>
      <c r="I2055" s="10" t="s">
        <v>5495</v>
      </c>
      <c r="J2055" s="14">
        <v>16786.0</v>
      </c>
      <c r="K2055" s="14">
        <v>9513.0</v>
      </c>
      <c r="L2055" s="17">
        <v>0.5658</v>
      </c>
      <c r="M2055" s="150">
        <v>2561.0</v>
      </c>
      <c r="N2055" s="136">
        <v>0.2676</v>
      </c>
      <c r="O2055" s="18">
        <v>183.0</v>
      </c>
      <c r="P2055" s="92">
        <v>177.0</v>
      </c>
      <c r="Q2055" s="137">
        <v>0.0186</v>
      </c>
      <c r="R2055" s="17">
        <v>0.0696</v>
      </c>
      <c r="S2055" s="18">
        <v>28.0</v>
      </c>
      <c r="T2055" s="18">
        <v>0.0</v>
      </c>
      <c r="U2055" s="151">
        <v>239820.0</v>
      </c>
      <c r="V2055" s="92" t="s">
        <v>315</v>
      </c>
      <c r="W2055" s="18" t="s">
        <v>76</v>
      </c>
      <c r="X2055" s="174" t="s">
        <v>47</v>
      </c>
      <c r="Y2055" s="94" t="s">
        <v>6046</v>
      </c>
      <c r="Z2055" s="18" t="s">
        <v>6049</v>
      </c>
      <c r="AA2055" s="92">
        <v>58.0</v>
      </c>
      <c r="AB2055" s="18"/>
      <c r="AC2055" s="18">
        <v>58.0</v>
      </c>
      <c r="AD2055" s="14">
        <v>529645.0</v>
      </c>
      <c r="AE2055" s="14"/>
      <c r="AF2055" s="14">
        <v>529645.0</v>
      </c>
      <c r="AG2055" s="22"/>
      <c r="AH2055" s="22"/>
      <c r="AI2055" s="22"/>
      <c r="AJ2055" s="22"/>
      <c r="AK2055" s="22"/>
      <c r="AL2055" s="22"/>
      <c r="AM2055" s="22"/>
      <c r="AN2055" s="22"/>
      <c r="AO2055" s="22"/>
      <c r="AP2055" s="22"/>
    </row>
    <row r="2056" hidden="1">
      <c r="A2056" s="148">
        <v>46199.0</v>
      </c>
      <c r="B2056" s="149">
        <v>0.7152777777777778</v>
      </c>
      <c r="C2056" s="11" t="s">
        <v>32</v>
      </c>
      <c r="D2056" s="102" t="s">
        <v>33</v>
      </c>
      <c r="E2056" s="10" t="s">
        <v>179</v>
      </c>
      <c r="F2056" s="10" t="s">
        <v>5482</v>
      </c>
      <c r="G2056" s="11" t="s">
        <v>6050</v>
      </c>
      <c r="H2056" s="11" t="s">
        <v>5506</v>
      </c>
      <c r="I2056" s="10" t="s">
        <v>5507</v>
      </c>
      <c r="J2056" s="14">
        <v>8654.0</v>
      </c>
      <c r="K2056" s="14">
        <v>3433.0</v>
      </c>
      <c r="L2056" s="17">
        <v>0.3965</v>
      </c>
      <c r="M2056" s="150">
        <v>490.0</v>
      </c>
      <c r="N2056" s="136">
        <v>0.1419</v>
      </c>
      <c r="O2056" s="18">
        <v>30.0</v>
      </c>
      <c r="P2056" s="92">
        <v>28.0</v>
      </c>
      <c r="Q2056" s="137">
        <v>0.0082</v>
      </c>
      <c r="R2056" s="17">
        <v>0.0575</v>
      </c>
      <c r="S2056" s="18">
        <v>26.0</v>
      </c>
      <c r="T2056" s="18">
        <v>0.0</v>
      </c>
      <c r="U2056" s="151">
        <v>410251.0</v>
      </c>
      <c r="V2056" s="92" t="s">
        <v>315</v>
      </c>
      <c r="W2056" s="18" t="s">
        <v>76</v>
      </c>
      <c r="X2056" s="174" t="s">
        <v>6051</v>
      </c>
      <c r="Y2056" s="94" t="s">
        <v>6046</v>
      </c>
      <c r="Z2056" s="18" t="s">
        <v>6052</v>
      </c>
      <c r="AA2056" s="92">
        <v>55.0</v>
      </c>
      <c r="AB2056" s="18"/>
      <c r="AC2056" s="18">
        <v>55.0</v>
      </c>
      <c r="AD2056" s="14">
        <v>690147.0</v>
      </c>
      <c r="AE2056" s="14"/>
      <c r="AF2056" s="14">
        <v>690147.0</v>
      </c>
      <c r="AG2056" s="22"/>
      <c r="AH2056" s="22"/>
      <c r="AI2056" s="22"/>
      <c r="AJ2056" s="22"/>
      <c r="AK2056" s="22"/>
      <c r="AL2056" s="22"/>
      <c r="AM2056" s="22"/>
      <c r="AN2056" s="22"/>
      <c r="AO2056" s="22"/>
      <c r="AP2056" s="22"/>
    </row>
    <row r="2057" hidden="1">
      <c r="A2057" s="148">
        <v>46199.0</v>
      </c>
      <c r="B2057" s="149">
        <v>0.75</v>
      </c>
      <c r="C2057" s="11" t="s">
        <v>32</v>
      </c>
      <c r="D2057" s="102" t="s">
        <v>3083</v>
      </c>
      <c r="E2057" s="10" t="s">
        <v>217</v>
      </c>
      <c r="F2057" s="10" t="s">
        <v>5557</v>
      </c>
      <c r="G2057" s="11" t="s">
        <v>6053</v>
      </c>
      <c r="H2057" s="11" t="s">
        <v>6054</v>
      </c>
      <c r="I2057" s="10" t="s">
        <v>2956</v>
      </c>
      <c r="J2057" s="14">
        <v>235723.0</v>
      </c>
      <c r="K2057" s="14">
        <v>139976.0</v>
      </c>
      <c r="L2057" s="17">
        <v>0.5933</v>
      </c>
      <c r="M2057" s="150">
        <v>70355.0</v>
      </c>
      <c r="N2057" s="136">
        <v>0.4987</v>
      </c>
      <c r="O2057" s="18">
        <v>4631.0</v>
      </c>
      <c r="P2057" s="92">
        <v>4391.0</v>
      </c>
      <c r="Q2057" s="137">
        <v>0.0314</v>
      </c>
      <c r="R2057" s="17">
        <v>0.063</v>
      </c>
      <c r="S2057" s="18">
        <v>0.0</v>
      </c>
      <c r="T2057" s="18">
        <v>0.0</v>
      </c>
      <c r="U2057" s="151">
        <v>0.0</v>
      </c>
      <c r="V2057" s="92" t="s">
        <v>183</v>
      </c>
      <c r="W2057" s="18" t="s">
        <v>76</v>
      </c>
      <c r="X2057" s="174" t="s">
        <v>6055</v>
      </c>
      <c r="Y2057" s="94" t="s">
        <v>6056</v>
      </c>
      <c r="Z2057" s="18" t="s">
        <v>6057</v>
      </c>
      <c r="AA2057" s="92">
        <v>1202.0</v>
      </c>
      <c r="AB2057" s="18">
        <v>0.0</v>
      </c>
      <c r="AC2057" s="18">
        <v>1202.0</v>
      </c>
      <c r="AD2057" s="14">
        <v>2224832.0</v>
      </c>
      <c r="AE2057" s="14">
        <v>0.0</v>
      </c>
      <c r="AF2057" s="14">
        <v>2224832.0</v>
      </c>
      <c r="AG2057" s="22"/>
      <c r="AH2057" s="22"/>
      <c r="AI2057" s="22"/>
      <c r="AJ2057" s="22"/>
      <c r="AK2057" s="22"/>
      <c r="AL2057" s="22"/>
      <c r="AM2057" s="22"/>
      <c r="AN2057" s="22"/>
      <c r="AO2057" s="22"/>
      <c r="AP2057" s="22"/>
    </row>
    <row r="2058" hidden="1">
      <c r="A2058" s="148">
        <v>46197.0</v>
      </c>
      <c r="B2058" s="149">
        <v>0.4791666666666667</v>
      </c>
      <c r="C2058" s="11" t="s">
        <v>32</v>
      </c>
      <c r="D2058" s="102" t="s">
        <v>33</v>
      </c>
      <c r="E2058" s="10" t="s">
        <v>71</v>
      </c>
      <c r="F2058" s="10" t="s">
        <v>5574</v>
      </c>
      <c r="G2058" s="11" t="s">
        <v>6058</v>
      </c>
      <c r="H2058" s="11" t="s">
        <v>5866</v>
      </c>
      <c r="I2058" s="10" t="s">
        <v>5867</v>
      </c>
      <c r="J2058" s="14">
        <v>7547.0</v>
      </c>
      <c r="K2058" s="14">
        <v>3330.0</v>
      </c>
      <c r="L2058" s="17">
        <v>0.4255</v>
      </c>
      <c r="M2058" s="150">
        <v>1000.0</v>
      </c>
      <c r="N2058" s="136">
        <v>0.3036</v>
      </c>
      <c r="O2058" s="18">
        <v>167.0</v>
      </c>
      <c r="P2058" s="92">
        <v>155.0</v>
      </c>
      <c r="Q2058" s="137">
        <v>0.0483</v>
      </c>
      <c r="R2058" s="17">
        <v>0.159</v>
      </c>
      <c r="S2058" s="18">
        <v>2.0</v>
      </c>
      <c r="T2058" s="18">
        <v>13.0</v>
      </c>
      <c r="U2058" s="151">
        <v>3059.0</v>
      </c>
      <c r="V2058" s="92" t="s">
        <v>335</v>
      </c>
      <c r="W2058" s="18" t="s">
        <v>76</v>
      </c>
      <c r="X2058" s="174" t="s">
        <v>5840</v>
      </c>
      <c r="Y2058" s="95" t="s">
        <v>6059</v>
      </c>
      <c r="Z2058" s="18" t="s">
        <v>6060</v>
      </c>
      <c r="AA2058" s="92">
        <v>19.0</v>
      </c>
      <c r="AB2058" s="92">
        <v>19.0</v>
      </c>
      <c r="AC2058" s="18"/>
      <c r="AD2058" s="14">
        <v>46237.0</v>
      </c>
      <c r="AE2058" s="14">
        <v>46237.0</v>
      </c>
      <c r="AF2058" s="14"/>
      <c r="AG2058" s="22"/>
      <c r="AH2058" s="22"/>
      <c r="AI2058" s="22"/>
      <c r="AJ2058" s="22"/>
      <c r="AK2058" s="22"/>
      <c r="AL2058" s="22"/>
      <c r="AM2058" s="22"/>
      <c r="AN2058" s="22"/>
      <c r="AO2058" s="22"/>
      <c r="AP2058" s="22"/>
    </row>
    <row r="2059" hidden="1">
      <c r="A2059" s="148">
        <v>46197.0</v>
      </c>
      <c r="B2059" s="149">
        <v>0.4791666666666667</v>
      </c>
      <c r="C2059" s="11" t="s">
        <v>32</v>
      </c>
      <c r="D2059" s="102" t="s">
        <v>33</v>
      </c>
      <c r="E2059" s="10" t="s">
        <v>71</v>
      </c>
      <c r="F2059" s="10" t="s">
        <v>5574</v>
      </c>
      <c r="G2059" s="11" t="s">
        <v>6061</v>
      </c>
      <c r="H2059" s="11" t="s">
        <v>5838</v>
      </c>
      <c r="I2059" s="10" t="s">
        <v>5839</v>
      </c>
      <c r="J2059" s="14">
        <v>23292.0</v>
      </c>
      <c r="K2059" s="14">
        <v>10109.0</v>
      </c>
      <c r="L2059" s="17">
        <v>0.4209</v>
      </c>
      <c r="M2059" s="150">
        <v>2897.0</v>
      </c>
      <c r="N2059" s="136">
        <v>0.2897</v>
      </c>
      <c r="O2059" s="18">
        <v>312.0</v>
      </c>
      <c r="P2059" s="92">
        <v>288.0</v>
      </c>
      <c r="Q2059" s="137">
        <v>0.0294</v>
      </c>
      <c r="R2059" s="17">
        <v>0.1014</v>
      </c>
      <c r="S2059" s="18">
        <v>4.0</v>
      </c>
      <c r="T2059" s="18">
        <v>9.0</v>
      </c>
      <c r="U2059" s="151">
        <v>9956.0</v>
      </c>
      <c r="V2059" s="92" t="s">
        <v>315</v>
      </c>
      <c r="W2059" s="18" t="s">
        <v>76</v>
      </c>
      <c r="X2059" s="174" t="s">
        <v>5840</v>
      </c>
      <c r="Y2059" s="95" t="s">
        <v>6059</v>
      </c>
      <c r="Z2059" s="18" t="s">
        <v>6062</v>
      </c>
      <c r="AA2059" s="92">
        <v>31.0</v>
      </c>
      <c r="AC2059" s="18">
        <v>31.0</v>
      </c>
      <c r="AD2059" s="14">
        <v>96421.0</v>
      </c>
      <c r="AF2059" s="14">
        <v>96421.0</v>
      </c>
      <c r="AG2059" s="22"/>
      <c r="AH2059" s="22"/>
      <c r="AI2059" s="22"/>
      <c r="AJ2059" s="22"/>
      <c r="AK2059" s="22"/>
      <c r="AL2059" s="22"/>
      <c r="AM2059" s="22"/>
      <c r="AN2059" s="22"/>
      <c r="AO2059" s="22"/>
      <c r="AP2059" s="22"/>
    </row>
    <row r="2060" hidden="1">
      <c r="A2060" s="148">
        <v>46198.0</v>
      </c>
      <c r="B2060" s="149">
        <v>0.5</v>
      </c>
      <c r="C2060" s="11" t="s">
        <v>32</v>
      </c>
      <c r="D2060" s="102" t="s">
        <v>33</v>
      </c>
      <c r="E2060" s="10" t="s">
        <v>71</v>
      </c>
      <c r="F2060" s="10" t="s">
        <v>5574</v>
      </c>
      <c r="G2060" s="11" t="s">
        <v>6063</v>
      </c>
      <c r="H2060" s="11" t="s">
        <v>6064</v>
      </c>
      <c r="I2060" s="10" t="s">
        <v>6065</v>
      </c>
      <c r="J2060" s="14">
        <v>52329.0</v>
      </c>
      <c r="K2060" s="14">
        <v>26700.0</v>
      </c>
      <c r="L2060" s="17">
        <v>0.4993</v>
      </c>
      <c r="M2060" s="150">
        <v>10398.0</v>
      </c>
      <c r="N2060" s="136">
        <v>0.3808</v>
      </c>
      <c r="O2060" s="18">
        <v>1769.0</v>
      </c>
      <c r="P2060" s="92">
        <v>1563.0</v>
      </c>
      <c r="Q2060" s="137">
        <v>0.0607</v>
      </c>
      <c r="R2060" s="17">
        <v>0.1595</v>
      </c>
      <c r="S2060" s="18">
        <v>24.0</v>
      </c>
      <c r="T2060" s="18">
        <v>108.0</v>
      </c>
      <c r="U2060" s="151">
        <v>60425.0</v>
      </c>
      <c r="V2060" s="92" t="s">
        <v>335</v>
      </c>
      <c r="W2060" s="18" t="s">
        <v>76</v>
      </c>
      <c r="X2060" s="174" t="s">
        <v>6066</v>
      </c>
      <c r="Y2060" s="95" t="s">
        <v>6067</v>
      </c>
      <c r="Z2060" s="18" t="s">
        <v>6068</v>
      </c>
      <c r="AA2060" s="92">
        <v>141.0</v>
      </c>
      <c r="AB2060" s="18">
        <v>141.0</v>
      </c>
      <c r="AC2060" s="18"/>
      <c r="AD2060" s="14">
        <v>352883.0</v>
      </c>
      <c r="AE2060" s="14">
        <v>352883.0</v>
      </c>
      <c r="AF2060" s="14"/>
      <c r="AG2060" s="22"/>
      <c r="AH2060" s="22"/>
      <c r="AI2060" s="22"/>
      <c r="AJ2060" s="22"/>
      <c r="AK2060" s="22"/>
      <c r="AL2060" s="22"/>
      <c r="AM2060" s="22"/>
      <c r="AN2060" s="22"/>
      <c r="AO2060" s="22"/>
      <c r="AP2060" s="22"/>
    </row>
    <row r="2061" hidden="1">
      <c r="A2061" s="148">
        <v>46198.0</v>
      </c>
      <c r="B2061" s="149">
        <v>0.5</v>
      </c>
      <c r="C2061" s="11" t="s">
        <v>32</v>
      </c>
      <c r="D2061" s="102" t="s">
        <v>33</v>
      </c>
      <c r="E2061" s="10" t="s">
        <v>71</v>
      </c>
      <c r="F2061" s="10" t="s">
        <v>5574</v>
      </c>
      <c r="G2061" s="11" t="s">
        <v>6069</v>
      </c>
      <c r="H2061" s="11" t="s">
        <v>6070</v>
      </c>
      <c r="I2061" s="10" t="s">
        <v>6071</v>
      </c>
      <c r="J2061" s="14">
        <v>24986.0</v>
      </c>
      <c r="K2061" s="14">
        <v>11224.0</v>
      </c>
      <c r="L2061" s="17">
        <v>0.4444</v>
      </c>
      <c r="M2061" s="150">
        <v>4482.0</v>
      </c>
      <c r="N2061" s="136">
        <v>0.39</v>
      </c>
      <c r="O2061" s="18">
        <v>583.0</v>
      </c>
      <c r="P2061" s="92">
        <v>518.0</v>
      </c>
      <c r="Q2061" s="137">
        <v>0.0473</v>
      </c>
      <c r="R2061" s="17">
        <v>0.1213</v>
      </c>
      <c r="S2061" s="18">
        <v>0.0</v>
      </c>
      <c r="T2061" s="18">
        <v>13.0</v>
      </c>
      <c r="U2061" s="151">
        <v>0.0</v>
      </c>
      <c r="V2061" s="92" t="s">
        <v>315</v>
      </c>
      <c r="W2061" s="18" t="s">
        <v>76</v>
      </c>
      <c r="X2061" s="174" t="s">
        <v>6072</v>
      </c>
      <c r="Y2061" s="95" t="s">
        <v>6067</v>
      </c>
      <c r="Z2061" s="18" t="s">
        <v>6073</v>
      </c>
      <c r="AA2061" s="92">
        <v>163.0</v>
      </c>
      <c r="AB2061" s="18"/>
      <c r="AC2061" s="18">
        <v>163.0</v>
      </c>
      <c r="AD2061" s="14">
        <v>759088.0</v>
      </c>
      <c r="AE2061" s="14"/>
      <c r="AF2061" s="14">
        <v>759088.0</v>
      </c>
      <c r="AG2061" s="22"/>
      <c r="AH2061" s="22"/>
      <c r="AI2061" s="22"/>
      <c r="AJ2061" s="22"/>
      <c r="AK2061" s="22"/>
      <c r="AL2061" s="22"/>
      <c r="AM2061" s="22"/>
      <c r="AN2061" s="22"/>
      <c r="AO2061" s="22"/>
      <c r="AP2061" s="22"/>
    </row>
    <row r="2062" hidden="1">
      <c r="A2062" s="148">
        <v>46199.0</v>
      </c>
      <c r="B2062" s="149">
        <v>0.4583333333333333</v>
      </c>
      <c r="C2062" s="11" t="s">
        <v>32</v>
      </c>
      <c r="D2062" s="102" t="s">
        <v>33</v>
      </c>
      <c r="E2062" s="10" t="s">
        <v>71</v>
      </c>
      <c r="F2062" s="10" t="s">
        <v>5574</v>
      </c>
      <c r="G2062" s="11" t="s">
        <v>6074</v>
      </c>
      <c r="H2062" s="11" t="s">
        <v>5593</v>
      </c>
      <c r="I2062" s="10" t="s">
        <v>5594</v>
      </c>
      <c r="J2062" s="14">
        <v>32558.0</v>
      </c>
      <c r="K2062" s="14">
        <v>17532.0</v>
      </c>
      <c r="L2062" s="17">
        <v>0.5303</v>
      </c>
      <c r="M2062" s="150">
        <v>7738.0</v>
      </c>
      <c r="N2062" s="136">
        <v>0.4475</v>
      </c>
      <c r="O2062" s="18">
        <v>1759.0</v>
      </c>
      <c r="P2062" s="92">
        <v>1560.0</v>
      </c>
      <c r="Q2062" s="137">
        <v>0.0912</v>
      </c>
      <c r="R2062" s="17">
        <v>0.2038</v>
      </c>
      <c r="S2062" s="18">
        <v>27.0</v>
      </c>
      <c r="T2062" s="18">
        <v>131.0</v>
      </c>
      <c r="U2062" s="151">
        <v>53971.0</v>
      </c>
      <c r="V2062" s="92" t="s">
        <v>335</v>
      </c>
      <c r="W2062" s="18" t="s">
        <v>76</v>
      </c>
      <c r="X2062" s="174" t="s">
        <v>2286</v>
      </c>
      <c r="Y2062" s="95" t="s">
        <v>6075</v>
      </c>
      <c r="Z2062" s="18" t="s">
        <v>6076</v>
      </c>
      <c r="AA2062" s="92">
        <v>162.0</v>
      </c>
      <c r="AB2062" s="92">
        <v>162.0</v>
      </c>
      <c r="AC2062" s="18"/>
      <c r="AD2062" s="14">
        <v>487175.0</v>
      </c>
      <c r="AE2062" s="14">
        <v>487175.0</v>
      </c>
      <c r="AF2062" s="14"/>
      <c r="AG2062" s="22"/>
      <c r="AH2062" s="22"/>
      <c r="AI2062" s="22"/>
      <c r="AJ2062" s="22"/>
      <c r="AK2062" s="22"/>
      <c r="AL2062" s="22"/>
      <c r="AM2062" s="22"/>
      <c r="AN2062" s="22"/>
      <c r="AO2062" s="22"/>
      <c r="AP2062" s="22"/>
    </row>
    <row r="2063" hidden="1">
      <c r="A2063" s="148">
        <v>46199.0</v>
      </c>
      <c r="B2063" s="149">
        <v>0.4583333333333333</v>
      </c>
      <c r="C2063" s="11" t="s">
        <v>32</v>
      </c>
      <c r="D2063" s="102" t="s">
        <v>33</v>
      </c>
      <c r="E2063" s="10" t="s">
        <v>71</v>
      </c>
      <c r="F2063" s="10" t="s">
        <v>5574</v>
      </c>
      <c r="G2063" s="11" t="s">
        <v>6077</v>
      </c>
      <c r="H2063" s="11" t="s">
        <v>5602</v>
      </c>
      <c r="I2063" s="10" t="s">
        <v>5603</v>
      </c>
      <c r="J2063" s="14">
        <v>153610.0</v>
      </c>
      <c r="K2063" s="14">
        <v>77211.0</v>
      </c>
      <c r="L2063" s="17">
        <v>0.5421</v>
      </c>
      <c r="M2063" s="150">
        <v>31456.0</v>
      </c>
      <c r="N2063" s="136">
        <v>0.4174</v>
      </c>
      <c r="O2063" s="18">
        <v>4688.0</v>
      </c>
      <c r="P2063" s="92">
        <v>4126.0</v>
      </c>
      <c r="Q2063" s="137">
        <v>0.0552</v>
      </c>
      <c r="R2063" s="17">
        <v>0.1323</v>
      </c>
      <c r="S2063" s="18">
        <v>17.0</v>
      </c>
      <c r="T2063" s="18">
        <v>89.0</v>
      </c>
      <c r="U2063" s="151">
        <v>60286.0</v>
      </c>
      <c r="V2063" s="92" t="s">
        <v>315</v>
      </c>
      <c r="W2063" s="18" t="s">
        <v>76</v>
      </c>
      <c r="X2063" s="174" t="s">
        <v>2286</v>
      </c>
      <c r="Y2063" s="95" t="s">
        <v>6075</v>
      </c>
      <c r="Z2063" s="18" t="s">
        <v>6078</v>
      </c>
      <c r="AA2063" s="92">
        <v>731.0</v>
      </c>
      <c r="AB2063" s="18"/>
      <c r="AC2063" s="18">
        <v>731.0</v>
      </c>
      <c r="AD2063" s="14">
        <v>2826958.0</v>
      </c>
      <c r="AE2063" s="14"/>
      <c r="AF2063" s="14">
        <v>2826958.0</v>
      </c>
      <c r="AG2063" s="22"/>
      <c r="AH2063" s="22"/>
      <c r="AI2063" s="22"/>
      <c r="AJ2063" s="22"/>
      <c r="AK2063" s="22"/>
      <c r="AL2063" s="22"/>
      <c r="AM2063" s="22"/>
      <c r="AN2063" s="22"/>
      <c r="AO2063" s="22"/>
      <c r="AP2063" s="22"/>
    </row>
    <row r="2064" hidden="1">
      <c r="A2064" s="148">
        <v>46200.0</v>
      </c>
      <c r="B2064" s="149">
        <v>0.5</v>
      </c>
      <c r="C2064" s="11" t="s">
        <v>32</v>
      </c>
      <c r="D2064" s="102" t="s">
        <v>33</v>
      </c>
      <c r="E2064" s="10" t="s">
        <v>71</v>
      </c>
      <c r="F2064" s="10" t="s">
        <v>5574</v>
      </c>
      <c r="G2064" s="11" t="s">
        <v>6079</v>
      </c>
      <c r="H2064" s="11" t="s">
        <v>6080</v>
      </c>
      <c r="I2064" s="10" t="s">
        <v>6081</v>
      </c>
      <c r="J2064" s="14">
        <v>26866.0</v>
      </c>
      <c r="K2064" s="14">
        <v>10444.0</v>
      </c>
      <c r="L2064" s="17">
        <v>0.3887</v>
      </c>
      <c r="M2064" s="150">
        <v>4074.0</v>
      </c>
      <c r="N2064" s="136">
        <v>0.3898</v>
      </c>
      <c r="O2064" s="18">
        <v>624.0</v>
      </c>
      <c r="P2064" s="92">
        <v>581.0</v>
      </c>
      <c r="Q2064" s="137">
        <v>0.0556</v>
      </c>
      <c r="R2064" s="17">
        <v>0.1428</v>
      </c>
      <c r="S2064" s="18">
        <v>4.0</v>
      </c>
      <c r="T2064" s="18">
        <v>18.0</v>
      </c>
      <c r="U2064" s="151">
        <v>8281.0</v>
      </c>
      <c r="V2064" s="92" t="s">
        <v>335</v>
      </c>
      <c r="W2064" s="18" t="s">
        <v>76</v>
      </c>
      <c r="X2064" s="174" t="s">
        <v>6072</v>
      </c>
      <c r="Y2064" s="95" t="s">
        <v>6082</v>
      </c>
      <c r="Z2064" s="18" t="s">
        <v>6083</v>
      </c>
      <c r="AA2064" s="92">
        <v>53.0</v>
      </c>
      <c r="AB2064" s="92">
        <v>53.0</v>
      </c>
      <c r="AC2064" s="18"/>
      <c r="AD2064" s="14">
        <v>154333.0</v>
      </c>
      <c r="AE2064" s="14">
        <v>154333.0</v>
      </c>
      <c r="AF2064" s="14"/>
      <c r="AG2064" s="22"/>
      <c r="AH2064" s="22"/>
      <c r="AI2064" s="22"/>
      <c r="AJ2064" s="22"/>
      <c r="AK2064" s="22"/>
      <c r="AL2064" s="22"/>
      <c r="AM2064" s="22"/>
      <c r="AN2064" s="22"/>
      <c r="AO2064" s="22"/>
      <c r="AP2064" s="22"/>
    </row>
    <row r="2065" hidden="1">
      <c r="A2065" s="148">
        <v>46200.0</v>
      </c>
      <c r="B2065" s="149">
        <v>0.5</v>
      </c>
      <c r="C2065" s="11" t="s">
        <v>32</v>
      </c>
      <c r="D2065" s="102" t="s">
        <v>33</v>
      </c>
      <c r="E2065" s="10" t="s">
        <v>71</v>
      </c>
      <c r="F2065" s="10" t="s">
        <v>5574</v>
      </c>
      <c r="G2065" s="11" t="s">
        <v>6084</v>
      </c>
      <c r="H2065" s="11" t="s">
        <v>6085</v>
      </c>
      <c r="I2065" s="10" t="s">
        <v>6086</v>
      </c>
      <c r="J2065" s="14">
        <v>144112.0</v>
      </c>
      <c r="K2065" s="14">
        <v>57719.0</v>
      </c>
      <c r="L2065" s="17">
        <v>0.4005</v>
      </c>
      <c r="M2065" s="150">
        <v>21938.0</v>
      </c>
      <c r="N2065" s="136">
        <v>0.3797</v>
      </c>
      <c r="O2065" s="18">
        <v>1858.0</v>
      </c>
      <c r="P2065" s="92">
        <v>1756.0</v>
      </c>
      <c r="Q2065" s="137">
        <v>0.0304</v>
      </c>
      <c r="R2065" s="17">
        <v>0.0801</v>
      </c>
      <c r="S2065" s="18">
        <v>5.0</v>
      </c>
      <c r="T2065" s="18">
        <v>37.0</v>
      </c>
      <c r="U2065" s="151">
        <v>10003.0</v>
      </c>
      <c r="V2065" s="92" t="s">
        <v>315</v>
      </c>
      <c r="W2065" s="18" t="s">
        <v>76</v>
      </c>
      <c r="X2065" s="174" t="s">
        <v>6066</v>
      </c>
      <c r="Y2065" s="95" t="s">
        <v>6082</v>
      </c>
      <c r="Z2065" s="18" t="s">
        <v>6087</v>
      </c>
      <c r="AA2065" s="92">
        <v>463.0</v>
      </c>
      <c r="AB2065" s="18"/>
      <c r="AC2065" s="18">
        <v>463.0</v>
      </c>
      <c r="AD2065" s="14">
        <v>1779736.0</v>
      </c>
      <c r="AE2065" s="14"/>
      <c r="AF2065" s="14">
        <v>1779736.0</v>
      </c>
      <c r="AG2065" s="22"/>
      <c r="AH2065" s="22"/>
      <c r="AI2065" s="22"/>
      <c r="AJ2065" s="22"/>
      <c r="AK2065" s="22"/>
      <c r="AL2065" s="22"/>
      <c r="AM2065" s="22"/>
      <c r="AN2065" s="22"/>
      <c r="AO2065" s="22"/>
      <c r="AP2065" s="22"/>
    </row>
    <row r="2066" hidden="1">
      <c r="A2066" s="148">
        <v>46200.0</v>
      </c>
      <c r="B2066" s="149">
        <v>0.75</v>
      </c>
      <c r="C2066" s="11" t="s">
        <v>32</v>
      </c>
      <c r="D2066" s="102" t="s">
        <v>33</v>
      </c>
      <c r="E2066" s="10" t="s">
        <v>71</v>
      </c>
      <c r="F2066" s="10" t="s">
        <v>5574</v>
      </c>
      <c r="G2066" s="11" t="s">
        <v>6088</v>
      </c>
      <c r="H2066" s="11" t="s">
        <v>5598</v>
      </c>
      <c r="I2066" s="10" t="s">
        <v>5599</v>
      </c>
      <c r="J2066" s="14">
        <v>68983.0</v>
      </c>
      <c r="K2066" s="14">
        <v>28240.0</v>
      </c>
      <c r="L2066" s="17">
        <v>0.4093</v>
      </c>
      <c r="M2066" s="150">
        <v>10612.0</v>
      </c>
      <c r="N2066" s="136">
        <v>0.3749</v>
      </c>
      <c r="O2066" s="18">
        <v>1696.0</v>
      </c>
      <c r="P2066" s="92">
        <v>1579.0</v>
      </c>
      <c r="Q2066" s="137">
        <v>0.0559</v>
      </c>
      <c r="R2066" s="17">
        <v>0.1492</v>
      </c>
      <c r="S2066" s="18">
        <v>10.0</v>
      </c>
      <c r="T2066" s="18">
        <v>40.0</v>
      </c>
      <c r="U2066" s="151">
        <v>23383.0</v>
      </c>
      <c r="V2066" s="92" t="s">
        <v>335</v>
      </c>
      <c r="W2066" s="18" t="s">
        <v>76</v>
      </c>
      <c r="X2066" s="174" t="s">
        <v>41</v>
      </c>
      <c r="Y2066" s="95" t="s">
        <v>6082</v>
      </c>
      <c r="Z2066" s="18" t="s">
        <v>6089</v>
      </c>
      <c r="AA2066" s="92">
        <v>88.0</v>
      </c>
      <c r="AB2066" s="18">
        <v>88.0</v>
      </c>
      <c r="AC2066" s="18"/>
      <c r="AD2066" s="14">
        <v>234106.0</v>
      </c>
      <c r="AE2066" s="14">
        <v>234106.0</v>
      </c>
      <c r="AF2066" s="14"/>
      <c r="AG2066" s="22"/>
      <c r="AH2066" s="22"/>
      <c r="AI2066" s="22"/>
      <c r="AJ2066" s="22"/>
      <c r="AK2066" s="22"/>
      <c r="AL2066" s="22"/>
      <c r="AM2066" s="22"/>
      <c r="AN2066" s="22"/>
      <c r="AO2066" s="22"/>
      <c r="AP2066" s="22"/>
    </row>
    <row r="2067" hidden="1">
      <c r="A2067" s="148">
        <v>46201.0</v>
      </c>
      <c r="B2067" s="149">
        <v>0.7083333333333334</v>
      </c>
      <c r="C2067" s="11" t="s">
        <v>32</v>
      </c>
      <c r="D2067" s="102" t="s">
        <v>33</v>
      </c>
      <c r="E2067" s="10" t="s">
        <v>71</v>
      </c>
      <c r="F2067" s="10" t="s">
        <v>5574</v>
      </c>
      <c r="G2067" s="11" t="s">
        <v>6090</v>
      </c>
      <c r="H2067" s="11" t="s">
        <v>5048</v>
      </c>
      <c r="I2067" s="10" t="s">
        <v>5049</v>
      </c>
      <c r="J2067" s="14">
        <v>3073.0</v>
      </c>
      <c r="K2067" s="14">
        <v>1490.0</v>
      </c>
      <c r="L2067" s="17">
        <v>0.4849</v>
      </c>
      <c r="M2067" s="150">
        <v>614.0</v>
      </c>
      <c r="N2067" s="136">
        <v>0.4094</v>
      </c>
      <c r="O2067" s="18">
        <v>94.0</v>
      </c>
      <c r="P2067" s="92">
        <v>88.0</v>
      </c>
      <c r="Q2067" s="137">
        <v>0.0591</v>
      </c>
      <c r="R2067" s="17">
        <v>0.1443</v>
      </c>
      <c r="S2067" s="18">
        <v>5.0</v>
      </c>
      <c r="T2067" s="18">
        <v>15.0</v>
      </c>
      <c r="U2067" s="151">
        <v>15040.0</v>
      </c>
      <c r="V2067" s="92" t="s">
        <v>335</v>
      </c>
      <c r="W2067" s="18" t="s">
        <v>76</v>
      </c>
      <c r="X2067" s="174" t="s">
        <v>2131</v>
      </c>
      <c r="Y2067" s="95" t="s">
        <v>6091</v>
      </c>
      <c r="Z2067" s="18" t="s">
        <v>6092</v>
      </c>
      <c r="AA2067" s="92">
        <v>18.0</v>
      </c>
      <c r="AB2067" s="18">
        <v>18.0</v>
      </c>
      <c r="AC2067" s="18"/>
      <c r="AD2067" s="14">
        <v>36072.0</v>
      </c>
      <c r="AE2067" s="14">
        <v>36072.0</v>
      </c>
      <c r="AF2067" s="14"/>
      <c r="AG2067" s="22"/>
      <c r="AH2067" s="22"/>
      <c r="AI2067" s="22"/>
      <c r="AJ2067" s="22"/>
      <c r="AK2067" s="22"/>
      <c r="AL2067" s="22"/>
      <c r="AM2067" s="22"/>
      <c r="AN2067" s="22"/>
      <c r="AO2067" s="22"/>
      <c r="AP2067" s="22"/>
    </row>
    <row r="2068" hidden="1">
      <c r="A2068" s="148">
        <v>46201.0</v>
      </c>
      <c r="B2068" s="149">
        <v>0.7083333333333334</v>
      </c>
      <c r="C2068" s="11" t="s">
        <v>32</v>
      </c>
      <c r="D2068" s="102" t="s">
        <v>33</v>
      </c>
      <c r="E2068" s="10" t="s">
        <v>71</v>
      </c>
      <c r="F2068" s="10" t="s">
        <v>5574</v>
      </c>
      <c r="G2068" s="11" t="s">
        <v>6093</v>
      </c>
      <c r="H2068" s="11" t="s">
        <v>5053</v>
      </c>
      <c r="I2068" s="10" t="s">
        <v>5054</v>
      </c>
      <c r="J2068" s="14">
        <v>42527.0</v>
      </c>
      <c r="K2068" s="14">
        <v>16636.0</v>
      </c>
      <c r="L2068" s="17">
        <v>0.3911</v>
      </c>
      <c r="M2068" s="150">
        <v>5413.0</v>
      </c>
      <c r="N2068" s="136">
        <v>0.3241</v>
      </c>
      <c r="O2068" s="18">
        <v>456.0</v>
      </c>
      <c r="P2068" s="92">
        <v>435.0</v>
      </c>
      <c r="Q2068" s="137">
        <v>0.0262</v>
      </c>
      <c r="R2068" s="17">
        <v>0.0807</v>
      </c>
      <c r="S2068" s="18">
        <v>3.0</v>
      </c>
      <c r="T2068" s="18">
        <v>8.0</v>
      </c>
      <c r="U2068" s="151">
        <v>8863.0</v>
      </c>
      <c r="V2068" s="92" t="s">
        <v>183</v>
      </c>
      <c r="W2068" s="18" t="s">
        <v>76</v>
      </c>
      <c r="X2068" s="174" t="s">
        <v>2286</v>
      </c>
      <c r="Y2068" s="95" t="s">
        <v>6091</v>
      </c>
      <c r="Z2068" s="18" t="s">
        <v>6094</v>
      </c>
      <c r="AA2068" s="92">
        <v>163.0</v>
      </c>
      <c r="AB2068" s="18">
        <v>26.0</v>
      </c>
      <c r="AC2068" s="18">
        <v>137.0</v>
      </c>
      <c r="AD2068" s="14">
        <v>635483.0</v>
      </c>
      <c r="AE2068" s="14">
        <v>68824.0</v>
      </c>
      <c r="AF2068" s="14">
        <v>566659.0</v>
      </c>
      <c r="AG2068" s="22"/>
      <c r="AH2068" s="22"/>
      <c r="AI2068" s="22"/>
      <c r="AJ2068" s="22"/>
      <c r="AK2068" s="22"/>
      <c r="AL2068" s="22"/>
      <c r="AM2068" s="22"/>
      <c r="AN2068" s="22"/>
      <c r="AO2068" s="22"/>
      <c r="AP2068" s="22"/>
    </row>
    <row r="2069" hidden="1">
      <c r="A2069" s="148">
        <v>46201.0</v>
      </c>
      <c r="B2069" s="149">
        <v>0.7083333333333334</v>
      </c>
      <c r="C2069" s="11" t="s">
        <v>32</v>
      </c>
      <c r="D2069" s="102" t="s">
        <v>33</v>
      </c>
      <c r="E2069" s="10" t="s">
        <v>71</v>
      </c>
      <c r="F2069" s="10" t="s">
        <v>5574</v>
      </c>
      <c r="G2069" s="11" t="s">
        <v>6095</v>
      </c>
      <c r="H2069" s="11" t="s">
        <v>5057</v>
      </c>
      <c r="I2069" s="10" t="s">
        <v>5058</v>
      </c>
      <c r="J2069" s="14">
        <v>27114.0</v>
      </c>
      <c r="K2069" s="14">
        <v>10056.0</v>
      </c>
      <c r="L2069" s="17">
        <v>0.3708</v>
      </c>
      <c r="M2069" s="150">
        <v>3148.0</v>
      </c>
      <c r="N2069" s="136">
        <v>0.3111</v>
      </c>
      <c r="O2069" s="18">
        <v>257.0</v>
      </c>
      <c r="P2069" s="92">
        <v>251.0</v>
      </c>
      <c r="Q2069" s="137">
        <v>0.025</v>
      </c>
      <c r="R2069" s="17">
        <v>0.0802</v>
      </c>
      <c r="S2069" s="18">
        <v>1.0</v>
      </c>
      <c r="T2069" s="18">
        <v>3.0</v>
      </c>
      <c r="U2069" s="151">
        <v>1559.0</v>
      </c>
      <c r="V2069" s="92" t="s">
        <v>183</v>
      </c>
      <c r="W2069" s="18" t="s">
        <v>76</v>
      </c>
      <c r="X2069" s="174" t="s">
        <v>41</v>
      </c>
      <c r="Y2069" s="95" t="s">
        <v>6091</v>
      </c>
      <c r="Z2069" s="18" t="s">
        <v>6096</v>
      </c>
      <c r="AA2069" s="92">
        <v>86.0</v>
      </c>
      <c r="AB2069" s="18">
        <v>26.0</v>
      </c>
      <c r="AC2069" s="18">
        <v>60.0</v>
      </c>
      <c r="AD2069" s="14">
        <v>412463.0</v>
      </c>
      <c r="AE2069" s="14">
        <v>62296.0</v>
      </c>
      <c r="AF2069" s="14">
        <v>350167.0</v>
      </c>
      <c r="AG2069" s="22"/>
      <c r="AH2069" s="22"/>
      <c r="AI2069" s="22"/>
      <c r="AJ2069" s="22"/>
      <c r="AK2069" s="22"/>
      <c r="AL2069" s="22"/>
      <c r="AM2069" s="22"/>
      <c r="AN2069" s="22"/>
      <c r="AO2069" s="22"/>
      <c r="AP2069" s="22"/>
    </row>
    <row r="2070" hidden="1">
      <c r="A2070" s="148">
        <v>46201.0</v>
      </c>
      <c r="B2070" s="149">
        <v>0.7083333333333334</v>
      </c>
      <c r="C2070" s="11" t="s">
        <v>32</v>
      </c>
      <c r="D2070" s="102" t="s">
        <v>33</v>
      </c>
      <c r="E2070" s="10" t="s">
        <v>71</v>
      </c>
      <c r="F2070" s="10" t="s">
        <v>5574</v>
      </c>
      <c r="G2070" s="11" t="s">
        <v>6097</v>
      </c>
      <c r="H2070" s="11" t="s">
        <v>5061</v>
      </c>
      <c r="I2070" s="10" t="s">
        <v>5062</v>
      </c>
      <c r="J2070" s="14">
        <v>8467.0</v>
      </c>
      <c r="K2070" s="14">
        <v>3757.0</v>
      </c>
      <c r="L2070" s="17">
        <v>0.4434</v>
      </c>
      <c r="M2070" s="150">
        <v>1086.0</v>
      </c>
      <c r="N2070" s="136">
        <v>0.2882</v>
      </c>
      <c r="O2070" s="18">
        <v>80.0</v>
      </c>
      <c r="P2070" s="92">
        <v>77.0</v>
      </c>
      <c r="Q2070" s="137">
        <v>0.0205</v>
      </c>
      <c r="R2070" s="17">
        <v>0.0712</v>
      </c>
      <c r="S2070" s="18">
        <v>1.0</v>
      </c>
      <c r="T2070" s="18">
        <v>2.0</v>
      </c>
      <c r="U2070" s="151">
        <v>1261.0</v>
      </c>
      <c r="V2070" s="92" t="s">
        <v>335</v>
      </c>
      <c r="W2070" s="18" t="s">
        <v>76</v>
      </c>
      <c r="X2070" s="174" t="s">
        <v>2542</v>
      </c>
      <c r="Y2070" s="95" t="s">
        <v>6091</v>
      </c>
      <c r="Z2070" s="18" t="s">
        <v>6098</v>
      </c>
      <c r="AA2070" s="92">
        <v>7.0</v>
      </c>
      <c r="AB2070" s="18">
        <v>7.0</v>
      </c>
      <c r="AC2070" s="18"/>
      <c r="AD2070" s="14">
        <v>10936.0</v>
      </c>
      <c r="AE2070" s="14">
        <v>10936.0</v>
      </c>
      <c r="AF2070" s="14"/>
      <c r="AG2070" s="22"/>
      <c r="AH2070" s="22"/>
      <c r="AI2070" s="22"/>
      <c r="AJ2070" s="22"/>
      <c r="AK2070" s="22"/>
      <c r="AL2070" s="22"/>
      <c r="AM2070" s="22"/>
      <c r="AN2070" s="22"/>
      <c r="AO2070" s="22"/>
      <c r="AP2070" s="22"/>
    </row>
    <row r="2071" hidden="1">
      <c r="A2071" s="148">
        <v>46201.0</v>
      </c>
      <c r="B2071" s="149">
        <v>0.7083333333333334</v>
      </c>
      <c r="C2071" s="11" t="s">
        <v>32</v>
      </c>
      <c r="D2071" s="102" t="s">
        <v>33</v>
      </c>
      <c r="E2071" s="10" t="s">
        <v>71</v>
      </c>
      <c r="F2071" s="10" t="s">
        <v>5574</v>
      </c>
      <c r="G2071" s="11" t="s">
        <v>6099</v>
      </c>
      <c r="H2071" s="11" t="s">
        <v>5065</v>
      </c>
      <c r="I2071" s="10" t="s">
        <v>5066</v>
      </c>
      <c r="J2071" s="14">
        <v>1953.0</v>
      </c>
      <c r="K2071" s="14">
        <v>802.0</v>
      </c>
      <c r="L2071" s="17">
        <v>0.4107</v>
      </c>
      <c r="M2071" s="150">
        <v>249.0</v>
      </c>
      <c r="N2071" s="136">
        <v>0.308</v>
      </c>
      <c r="O2071" s="18">
        <v>21.0</v>
      </c>
      <c r="P2071" s="92">
        <v>20.0</v>
      </c>
      <c r="Q2071" s="137">
        <v>0.0249</v>
      </c>
      <c r="R2071" s="17">
        <v>0.081</v>
      </c>
      <c r="S2071" s="18">
        <v>0.0</v>
      </c>
      <c r="T2071" s="18">
        <v>1.0</v>
      </c>
      <c r="U2071" s="151">
        <v>0.0</v>
      </c>
      <c r="V2071" s="92" t="s">
        <v>335</v>
      </c>
      <c r="W2071" s="18" t="s">
        <v>76</v>
      </c>
      <c r="X2071" s="174" t="s">
        <v>52</v>
      </c>
      <c r="Y2071" s="95" t="s">
        <v>6091</v>
      </c>
      <c r="Z2071" s="18" t="s">
        <v>6100</v>
      </c>
      <c r="AA2071" s="92">
        <v>4.0</v>
      </c>
      <c r="AB2071" s="18">
        <v>4.0</v>
      </c>
      <c r="AC2071" s="18"/>
      <c r="AD2071" s="14">
        <v>25935.0</v>
      </c>
      <c r="AE2071" s="14">
        <v>25935.0</v>
      </c>
      <c r="AF2071" s="14"/>
      <c r="AG2071" s="22"/>
      <c r="AH2071" s="22"/>
      <c r="AI2071" s="22"/>
      <c r="AJ2071" s="22"/>
      <c r="AK2071" s="22"/>
      <c r="AL2071" s="22"/>
      <c r="AM2071" s="22"/>
      <c r="AN2071" s="22"/>
      <c r="AO2071" s="22"/>
      <c r="AP2071" s="22"/>
    </row>
    <row r="2072" hidden="1">
      <c r="A2072" s="148">
        <v>46201.0</v>
      </c>
      <c r="B2072" s="149">
        <v>0.4375</v>
      </c>
      <c r="C2072" s="11" t="s">
        <v>32</v>
      </c>
      <c r="D2072" s="102" t="s">
        <v>33</v>
      </c>
      <c r="E2072" s="10" t="s">
        <v>71</v>
      </c>
      <c r="F2072" s="10" t="s">
        <v>5574</v>
      </c>
      <c r="G2072" s="11" t="s">
        <v>6101</v>
      </c>
      <c r="H2072" s="11" t="s">
        <v>5607</v>
      </c>
      <c r="I2072" s="10" t="s">
        <v>5608</v>
      </c>
      <c r="J2072" s="14">
        <v>168327.0</v>
      </c>
      <c r="K2072" s="14">
        <v>81203.0</v>
      </c>
      <c r="L2072" s="17">
        <v>0.4819</v>
      </c>
      <c r="M2072" s="150">
        <v>27333.0</v>
      </c>
      <c r="N2072" s="136">
        <v>0.3333</v>
      </c>
      <c r="O2072" s="18">
        <v>3252.0</v>
      </c>
      <c r="P2072" s="92">
        <v>3047.0</v>
      </c>
      <c r="Q2072" s="137">
        <v>0.0376</v>
      </c>
      <c r="R2072" s="17">
        <v>0.1127</v>
      </c>
      <c r="S2072" s="18">
        <v>12.0</v>
      </c>
      <c r="T2072" s="18">
        <v>48.0</v>
      </c>
      <c r="U2072" s="151">
        <v>41429.0</v>
      </c>
      <c r="V2072" s="92" t="s">
        <v>315</v>
      </c>
      <c r="W2072" s="18" t="s">
        <v>76</v>
      </c>
      <c r="X2072" s="174" t="s">
        <v>41</v>
      </c>
      <c r="Y2072" s="95" t="s">
        <v>6091</v>
      </c>
      <c r="Z2072" s="18" t="s">
        <v>6102</v>
      </c>
      <c r="AA2072" s="92">
        <v>543.0</v>
      </c>
      <c r="AB2072" s="18"/>
      <c r="AC2072" s="18">
        <v>543.0</v>
      </c>
      <c r="AD2072" s="14">
        <v>1862180.0</v>
      </c>
      <c r="AE2072" s="14"/>
      <c r="AF2072" s="14">
        <v>1862180.0</v>
      </c>
      <c r="AG2072" s="22"/>
      <c r="AH2072" s="22"/>
      <c r="AI2072" s="22"/>
      <c r="AJ2072" s="22"/>
      <c r="AK2072" s="22"/>
      <c r="AL2072" s="22"/>
      <c r="AM2072" s="22"/>
      <c r="AN2072" s="22"/>
      <c r="AO2072" s="22"/>
      <c r="AP2072" s="22"/>
    </row>
    <row r="2073" hidden="1">
      <c r="A2073" s="148">
        <v>46201.0</v>
      </c>
      <c r="B2073" s="149">
        <v>0.4375</v>
      </c>
      <c r="C2073" s="11" t="s">
        <v>32</v>
      </c>
      <c r="D2073" s="102" t="s">
        <v>33</v>
      </c>
      <c r="E2073" s="10" t="s">
        <v>71</v>
      </c>
      <c r="F2073" s="10" t="s">
        <v>5574</v>
      </c>
      <c r="G2073" s="11" t="s">
        <v>6103</v>
      </c>
      <c r="H2073" s="11" t="s">
        <v>5611</v>
      </c>
      <c r="I2073" s="10" t="s">
        <v>5612</v>
      </c>
      <c r="J2073" s="14">
        <v>127301.0</v>
      </c>
      <c r="K2073" s="14">
        <v>60219.0</v>
      </c>
      <c r="L2073" s="17">
        <v>0.4726</v>
      </c>
      <c r="M2073" s="150">
        <v>19546.0</v>
      </c>
      <c r="N2073" s="136">
        <v>0.3214</v>
      </c>
      <c r="O2073" s="18">
        <v>1988.0</v>
      </c>
      <c r="P2073" s="92">
        <v>1865.0</v>
      </c>
      <c r="Q2073" s="137">
        <v>0.031</v>
      </c>
      <c r="R2073" s="17">
        <v>0.0965</v>
      </c>
      <c r="S2073" s="18">
        <v>2.0</v>
      </c>
      <c r="T2073" s="18">
        <v>20.0</v>
      </c>
      <c r="U2073" s="151">
        <v>10513.0</v>
      </c>
      <c r="V2073" s="92" t="s">
        <v>315</v>
      </c>
      <c r="W2073" s="18" t="s">
        <v>76</v>
      </c>
      <c r="X2073" s="174" t="s">
        <v>41</v>
      </c>
      <c r="Y2073" s="95" t="s">
        <v>6091</v>
      </c>
      <c r="Z2073" s="18" t="s">
        <v>6104</v>
      </c>
      <c r="AA2073" s="92">
        <v>295.0</v>
      </c>
      <c r="AB2073" s="18"/>
      <c r="AC2073" s="18">
        <v>295.0</v>
      </c>
      <c r="AD2073" s="14">
        <v>934096.0</v>
      </c>
      <c r="AE2073" s="14"/>
      <c r="AF2073" s="14">
        <v>934096.0</v>
      </c>
      <c r="AG2073" s="22"/>
      <c r="AH2073" s="22"/>
      <c r="AI2073" s="22"/>
      <c r="AJ2073" s="22"/>
      <c r="AK2073" s="22"/>
      <c r="AL2073" s="22"/>
      <c r="AM2073" s="22"/>
      <c r="AN2073" s="22"/>
      <c r="AO2073" s="22"/>
      <c r="AP2073" s="22"/>
    </row>
    <row r="2074" hidden="1">
      <c r="A2074" s="148">
        <v>46199.0</v>
      </c>
      <c r="B2074" s="149">
        <v>0.4166666666666667</v>
      </c>
      <c r="C2074" s="11" t="s">
        <v>32</v>
      </c>
      <c r="D2074" s="102" t="s">
        <v>33</v>
      </c>
      <c r="E2074" s="10" t="s">
        <v>1998</v>
      </c>
      <c r="F2074" s="10" t="s">
        <v>6105</v>
      </c>
      <c r="G2074" s="11" t="s">
        <v>6106</v>
      </c>
      <c r="H2074" s="11" t="s">
        <v>5312</v>
      </c>
      <c r="I2074" s="10" t="s">
        <v>4295</v>
      </c>
      <c r="J2074" s="14">
        <v>49256.0</v>
      </c>
      <c r="K2074" s="14">
        <v>11932.0</v>
      </c>
      <c r="L2074" s="17">
        <v>0.2418</v>
      </c>
      <c r="M2074" s="150">
        <v>4530.0</v>
      </c>
      <c r="N2074" s="136">
        <v>0.373</v>
      </c>
      <c r="O2074" s="18">
        <v>365.0</v>
      </c>
      <c r="P2074" s="92">
        <v>348.0</v>
      </c>
      <c r="Q2074" s="137">
        <v>0.0292</v>
      </c>
      <c r="R2074" s="17">
        <v>0.0783</v>
      </c>
      <c r="S2074" s="18">
        <v>1.0</v>
      </c>
      <c r="T2074" s="18">
        <v>0.0</v>
      </c>
      <c r="U2074" s="151">
        <v>2749.0</v>
      </c>
      <c r="V2074" s="92" t="s">
        <v>183</v>
      </c>
      <c r="W2074" s="18" t="s">
        <v>76</v>
      </c>
      <c r="X2074" s="174" t="s">
        <v>4296</v>
      </c>
      <c r="Y2074" s="94" t="s">
        <v>6046</v>
      </c>
      <c r="Z2074" s="18" t="s">
        <v>6107</v>
      </c>
      <c r="AA2074" s="92">
        <v>1.0</v>
      </c>
      <c r="AB2074" s="18">
        <v>1.0</v>
      </c>
      <c r="AC2074" s="18">
        <v>0.0</v>
      </c>
      <c r="AD2074" s="14">
        <v>2749.0</v>
      </c>
      <c r="AE2074" s="14">
        <v>2749.0</v>
      </c>
      <c r="AF2074" s="14">
        <v>0.0</v>
      </c>
      <c r="AG2074" s="22"/>
      <c r="AH2074" s="22"/>
      <c r="AI2074" s="22"/>
      <c r="AJ2074" s="22"/>
      <c r="AK2074" s="22"/>
      <c r="AL2074" s="22"/>
      <c r="AM2074" s="22"/>
      <c r="AN2074" s="22"/>
      <c r="AO2074" s="22"/>
      <c r="AP2074" s="22"/>
    </row>
    <row r="2075" hidden="1">
      <c r="A2075" s="148">
        <v>46199.0</v>
      </c>
      <c r="B2075" s="149">
        <v>0.7916666666666666</v>
      </c>
      <c r="C2075" s="11" t="s">
        <v>58</v>
      </c>
      <c r="D2075" s="102" t="s">
        <v>3083</v>
      </c>
      <c r="E2075" s="10" t="s">
        <v>179</v>
      </c>
      <c r="F2075" s="10" t="s">
        <v>5482</v>
      </c>
      <c r="G2075" s="11" t="s">
        <v>6108</v>
      </c>
      <c r="H2075" s="11" t="s">
        <v>5489</v>
      </c>
      <c r="I2075" s="10" t="s">
        <v>61</v>
      </c>
      <c r="J2075" s="14">
        <v>24023.0</v>
      </c>
      <c r="K2075" s="14">
        <v>14164.0</v>
      </c>
      <c r="L2075" s="17">
        <v>0.5896</v>
      </c>
      <c r="M2075" s="150">
        <v>0.0</v>
      </c>
      <c r="N2075" s="136">
        <v>0.0</v>
      </c>
      <c r="O2075" s="18">
        <v>25.0</v>
      </c>
      <c r="P2075" s="92">
        <v>0.0</v>
      </c>
      <c r="Q2075" s="137">
        <v>0.0018</v>
      </c>
      <c r="R2075" s="17">
        <v>0.0</v>
      </c>
      <c r="S2075" s="18">
        <v>40.0</v>
      </c>
      <c r="T2075" s="18">
        <v>0.0</v>
      </c>
      <c r="U2075" s="151">
        <v>288112.0</v>
      </c>
      <c r="V2075" s="92" t="s">
        <v>315</v>
      </c>
      <c r="W2075" s="18" t="s">
        <v>58</v>
      </c>
      <c r="X2075" s="174" t="s">
        <v>52</v>
      </c>
      <c r="Y2075" s="94" t="s">
        <v>6046</v>
      </c>
      <c r="Z2075" s="18" t="s">
        <v>6109</v>
      </c>
      <c r="AA2075" s="92">
        <v>99.0</v>
      </c>
      <c r="AB2075" s="18"/>
      <c r="AC2075" s="18">
        <v>99.0</v>
      </c>
      <c r="AD2075" s="14">
        <v>705531.0</v>
      </c>
      <c r="AE2075" s="14"/>
      <c r="AF2075" s="14">
        <v>705531.0</v>
      </c>
      <c r="AG2075" s="22"/>
      <c r="AH2075" s="22"/>
      <c r="AI2075" s="22"/>
      <c r="AJ2075" s="22"/>
      <c r="AK2075" s="22"/>
      <c r="AL2075" s="22"/>
      <c r="AM2075" s="22"/>
      <c r="AN2075" s="22"/>
      <c r="AO2075" s="22"/>
      <c r="AP2075" s="22"/>
    </row>
    <row r="2076" hidden="1">
      <c r="A2076" s="148">
        <v>46199.0</v>
      </c>
      <c r="B2076" s="149">
        <v>0.7916666666666666</v>
      </c>
      <c r="C2076" s="11" t="s">
        <v>58</v>
      </c>
      <c r="D2076" s="102" t="s">
        <v>3083</v>
      </c>
      <c r="E2076" s="10" t="s">
        <v>179</v>
      </c>
      <c r="F2076" s="10" t="s">
        <v>5482</v>
      </c>
      <c r="G2076" s="11" t="s">
        <v>6110</v>
      </c>
      <c r="H2076" s="11" t="s">
        <v>5494</v>
      </c>
      <c r="I2076" s="10" t="s">
        <v>61</v>
      </c>
      <c r="J2076" s="14">
        <v>6770.0</v>
      </c>
      <c r="K2076" s="14">
        <v>4089.0</v>
      </c>
      <c r="L2076" s="17">
        <v>0.604</v>
      </c>
      <c r="M2076" s="150">
        <v>0.0</v>
      </c>
      <c r="N2076" s="136">
        <v>0.0</v>
      </c>
      <c r="O2076" s="18">
        <v>7.0</v>
      </c>
      <c r="P2076" s="92">
        <v>0.0</v>
      </c>
      <c r="Q2076" s="137">
        <v>0.0017</v>
      </c>
      <c r="R2076" s="17">
        <v>0.0</v>
      </c>
      <c r="S2076" s="18">
        <v>6.0</v>
      </c>
      <c r="T2076" s="18">
        <v>0.0</v>
      </c>
      <c r="U2076" s="151">
        <v>44784.0</v>
      </c>
      <c r="V2076" s="92" t="s">
        <v>315</v>
      </c>
      <c r="W2076" s="18" t="s">
        <v>58</v>
      </c>
      <c r="X2076" s="174" t="s">
        <v>47</v>
      </c>
      <c r="Y2076" s="94" t="s">
        <v>6046</v>
      </c>
      <c r="Z2076" s="18" t="s">
        <v>6111</v>
      </c>
      <c r="AA2076" s="92">
        <v>21.0</v>
      </c>
      <c r="AB2076" s="18"/>
      <c r="AC2076" s="18">
        <v>21.0</v>
      </c>
      <c r="AD2076" s="14">
        <v>269413.0</v>
      </c>
      <c r="AE2076" s="14"/>
      <c r="AF2076" s="14">
        <v>269413.0</v>
      </c>
      <c r="AG2076" s="22"/>
      <c r="AH2076" s="22"/>
      <c r="AI2076" s="22"/>
      <c r="AJ2076" s="22"/>
      <c r="AK2076" s="22"/>
      <c r="AL2076" s="22"/>
      <c r="AM2076" s="22"/>
      <c r="AN2076" s="22"/>
      <c r="AO2076" s="22"/>
      <c r="AP2076" s="22"/>
    </row>
    <row r="2077" hidden="1">
      <c r="A2077" s="148">
        <v>46199.0</v>
      </c>
      <c r="B2077" s="149">
        <v>0.7916666666666666</v>
      </c>
      <c r="C2077" s="11" t="s">
        <v>58</v>
      </c>
      <c r="D2077" s="102" t="s">
        <v>3083</v>
      </c>
      <c r="E2077" s="10" t="s">
        <v>179</v>
      </c>
      <c r="F2077" s="10" t="s">
        <v>5482</v>
      </c>
      <c r="G2077" s="11" t="s">
        <v>6112</v>
      </c>
      <c r="H2077" s="11" t="s">
        <v>5506</v>
      </c>
      <c r="I2077" s="10" t="s">
        <v>61</v>
      </c>
      <c r="J2077" s="14">
        <v>4677.0</v>
      </c>
      <c r="K2077" s="14">
        <v>2471.0</v>
      </c>
      <c r="L2077" s="17">
        <v>0.5283</v>
      </c>
      <c r="M2077" s="150">
        <v>0.0</v>
      </c>
      <c r="N2077" s="136">
        <v>0.0</v>
      </c>
      <c r="O2077" s="18">
        <v>0.0</v>
      </c>
      <c r="P2077" s="92">
        <v>0.0</v>
      </c>
      <c r="Q2077" s="137">
        <v>0.0</v>
      </c>
      <c r="R2077" s="17">
        <v>0.0</v>
      </c>
      <c r="S2077" s="18">
        <v>16.0</v>
      </c>
      <c r="T2077" s="18">
        <v>0.0</v>
      </c>
      <c r="U2077" s="151">
        <v>364792.0</v>
      </c>
      <c r="V2077" s="92" t="s">
        <v>315</v>
      </c>
      <c r="W2077" s="18" t="s">
        <v>58</v>
      </c>
      <c r="X2077" s="174" t="s">
        <v>6051</v>
      </c>
      <c r="Y2077" s="94" t="s">
        <v>6046</v>
      </c>
      <c r="Z2077" s="18" t="s">
        <v>6113</v>
      </c>
      <c r="AA2077" s="92">
        <v>40.0</v>
      </c>
      <c r="AB2077" s="18"/>
      <c r="AC2077" s="18">
        <v>40.0</v>
      </c>
      <c r="AD2077" s="14">
        <v>817487.0</v>
      </c>
      <c r="AE2077" s="14"/>
      <c r="AF2077" s="14">
        <v>817487.0</v>
      </c>
      <c r="AG2077" s="22"/>
      <c r="AH2077" s="22"/>
      <c r="AI2077" s="22"/>
      <c r="AJ2077" s="22"/>
      <c r="AK2077" s="22"/>
      <c r="AL2077" s="22"/>
      <c r="AM2077" s="22"/>
      <c r="AN2077" s="22"/>
      <c r="AO2077" s="22"/>
      <c r="AP2077" s="22"/>
    </row>
    <row r="2078" hidden="1">
      <c r="A2078" s="148">
        <v>46199.0</v>
      </c>
      <c r="B2078" s="149">
        <v>0.6666666666666666</v>
      </c>
      <c r="C2078" s="11" t="s">
        <v>58</v>
      </c>
      <c r="D2078" s="102" t="s">
        <v>33</v>
      </c>
      <c r="E2078" s="10" t="s">
        <v>106</v>
      </c>
      <c r="F2078" s="10" t="s">
        <v>6114</v>
      </c>
      <c r="G2078" s="11" t="s">
        <v>6115</v>
      </c>
      <c r="H2078" s="11" t="s">
        <v>6116</v>
      </c>
      <c r="I2078" s="10" t="s">
        <v>6117</v>
      </c>
      <c r="J2078" s="14">
        <v>100527.0</v>
      </c>
      <c r="K2078" s="14">
        <v>58693.0</v>
      </c>
      <c r="L2078" s="17">
        <v>0.5839</v>
      </c>
      <c r="M2078" s="150">
        <v>0.0</v>
      </c>
      <c r="N2078" s="136">
        <v>0.0</v>
      </c>
      <c r="O2078" s="18">
        <v>0.0</v>
      </c>
      <c r="P2078" s="92">
        <v>0.0</v>
      </c>
      <c r="Q2078" s="137">
        <v>0.0</v>
      </c>
      <c r="R2078" s="17">
        <v>0.0</v>
      </c>
      <c r="S2078" s="18">
        <v>30.0</v>
      </c>
      <c r="T2078" s="18">
        <v>0.0</v>
      </c>
      <c r="U2078" s="151">
        <v>288627.0</v>
      </c>
      <c r="V2078" s="92" t="s">
        <v>335</v>
      </c>
      <c r="W2078" s="18" t="s">
        <v>58</v>
      </c>
      <c r="X2078" s="174" t="s">
        <v>5796</v>
      </c>
      <c r="Y2078" s="95" t="s">
        <v>6118</v>
      </c>
      <c r="Z2078" s="18" t="s">
        <v>6119</v>
      </c>
      <c r="AA2078" s="92">
        <v>76.0</v>
      </c>
      <c r="AB2078" s="92">
        <v>76.0</v>
      </c>
      <c r="AC2078" s="18"/>
      <c r="AD2078" s="14">
        <v>912264.0</v>
      </c>
      <c r="AE2078" s="14">
        <v>912264.0</v>
      </c>
      <c r="AF2078" s="14"/>
      <c r="AG2078" s="22"/>
      <c r="AH2078" s="22"/>
      <c r="AI2078" s="22"/>
      <c r="AJ2078" s="22"/>
      <c r="AK2078" s="22"/>
      <c r="AL2078" s="22"/>
      <c r="AM2078" s="22"/>
      <c r="AN2078" s="22"/>
      <c r="AO2078" s="22"/>
      <c r="AP2078" s="22"/>
    </row>
    <row r="2079" hidden="1">
      <c r="A2079" s="148">
        <v>46200.0</v>
      </c>
      <c r="B2079" s="149">
        <v>0.4583333333333333</v>
      </c>
      <c r="C2079" s="11" t="s">
        <v>58</v>
      </c>
      <c r="D2079" s="102" t="s">
        <v>33</v>
      </c>
      <c r="E2079" s="10" t="s">
        <v>106</v>
      </c>
      <c r="F2079" s="10" t="s">
        <v>5920</v>
      </c>
      <c r="G2079" s="11" t="s">
        <v>6120</v>
      </c>
      <c r="H2079" s="11" t="s">
        <v>6121</v>
      </c>
      <c r="I2079" s="10" t="s">
        <v>6122</v>
      </c>
      <c r="J2079" s="14">
        <v>184175.0</v>
      </c>
      <c r="K2079" s="14">
        <v>116225.0</v>
      </c>
      <c r="L2079" s="17">
        <v>0.6311</v>
      </c>
      <c r="M2079" s="150">
        <v>0.0</v>
      </c>
      <c r="N2079" s="136">
        <v>0.0</v>
      </c>
      <c r="O2079" s="18">
        <v>0.0</v>
      </c>
      <c r="P2079" s="92">
        <v>0.0</v>
      </c>
      <c r="Q2079" s="137">
        <v>0.0</v>
      </c>
      <c r="R2079" s="17">
        <v>0.0</v>
      </c>
      <c r="S2079" s="18">
        <v>83.0</v>
      </c>
      <c r="T2079" s="18">
        <v>0.0</v>
      </c>
      <c r="U2079" s="151">
        <v>1021620.0</v>
      </c>
      <c r="V2079" s="92" t="s">
        <v>315</v>
      </c>
      <c r="W2079" s="18" t="s">
        <v>58</v>
      </c>
      <c r="X2079" s="185" t="s">
        <v>6123</v>
      </c>
      <c r="Y2079" s="94" t="s">
        <v>6124</v>
      </c>
      <c r="Z2079" s="18" t="s">
        <v>6125</v>
      </c>
      <c r="AA2079" s="92">
        <v>471.0</v>
      </c>
      <c r="AB2079" s="18"/>
      <c r="AC2079" s="18">
        <v>471.0</v>
      </c>
      <c r="AD2079" s="14">
        <v>5830730.0</v>
      </c>
      <c r="AE2079" s="14"/>
      <c r="AF2079" s="14">
        <v>5830730.0</v>
      </c>
      <c r="AG2079" s="22"/>
      <c r="AH2079" s="22"/>
      <c r="AI2079" s="22"/>
      <c r="AJ2079" s="22"/>
      <c r="AK2079" s="22"/>
      <c r="AL2079" s="22"/>
      <c r="AM2079" s="22"/>
      <c r="AN2079" s="22"/>
      <c r="AO2079" s="22"/>
      <c r="AP2079" s="22"/>
    </row>
    <row r="2080" hidden="1">
      <c r="A2080" s="148">
        <v>46201.0</v>
      </c>
      <c r="B2080" s="149">
        <v>0.5833333333333334</v>
      </c>
      <c r="C2080" s="11" t="s">
        <v>58</v>
      </c>
      <c r="D2080" s="102" t="s">
        <v>33</v>
      </c>
      <c r="E2080" s="10" t="s">
        <v>106</v>
      </c>
      <c r="F2080" s="10" t="s">
        <v>6114</v>
      </c>
      <c r="G2080" s="11" t="s">
        <v>6126</v>
      </c>
      <c r="H2080" s="11" t="s">
        <v>6116</v>
      </c>
      <c r="I2080" s="10" t="s">
        <v>6117</v>
      </c>
      <c r="J2080" s="14">
        <v>118897.0</v>
      </c>
      <c r="K2080" s="14">
        <v>59300.0</v>
      </c>
      <c r="L2080" s="17">
        <v>0.4988</v>
      </c>
      <c r="M2080" s="150">
        <v>0.0</v>
      </c>
      <c r="N2080" s="136">
        <v>0.0</v>
      </c>
      <c r="O2080" s="18">
        <v>0.0</v>
      </c>
      <c r="P2080" s="92">
        <v>0.0</v>
      </c>
      <c r="Q2080" s="137">
        <v>0.0</v>
      </c>
      <c r="R2080" s="17">
        <v>0.0</v>
      </c>
      <c r="S2080" s="18">
        <v>0.0</v>
      </c>
      <c r="T2080" s="18">
        <v>0.0</v>
      </c>
      <c r="U2080" s="151">
        <v>0.0</v>
      </c>
      <c r="V2080" s="92" t="s">
        <v>335</v>
      </c>
      <c r="W2080" s="18" t="s">
        <v>58</v>
      </c>
      <c r="X2080" s="174" t="s">
        <v>5796</v>
      </c>
      <c r="Y2080" s="95" t="s">
        <v>6127</v>
      </c>
      <c r="Z2080" s="18" t="s">
        <v>6128</v>
      </c>
      <c r="AA2080" s="92">
        <v>45.0</v>
      </c>
      <c r="AB2080" s="18">
        <v>45.0</v>
      </c>
      <c r="AC2080" s="18"/>
      <c r="AD2080" s="14">
        <v>583484.0</v>
      </c>
      <c r="AE2080" s="14">
        <v>583484.0</v>
      </c>
      <c r="AF2080" s="14"/>
      <c r="AG2080" s="22"/>
      <c r="AH2080" s="22"/>
      <c r="AI2080" s="22"/>
      <c r="AJ2080" s="22"/>
      <c r="AK2080" s="22"/>
      <c r="AL2080" s="22"/>
      <c r="AM2080" s="22"/>
      <c r="AN2080" s="22"/>
      <c r="AO2080" s="22"/>
      <c r="AP2080" s="22"/>
    </row>
    <row r="2081" hidden="1">
      <c r="A2081" s="148">
        <v>46197.0</v>
      </c>
      <c r="B2081" s="149">
        <v>0.5208333333333334</v>
      </c>
      <c r="C2081" s="11" t="s">
        <v>58</v>
      </c>
      <c r="D2081" s="102" t="s">
        <v>3083</v>
      </c>
      <c r="E2081" s="10" t="s">
        <v>71</v>
      </c>
      <c r="F2081" s="10" t="s">
        <v>5574</v>
      </c>
      <c r="G2081" s="11" t="s">
        <v>6129</v>
      </c>
      <c r="H2081" s="11" t="s">
        <v>5866</v>
      </c>
      <c r="I2081" s="10" t="s">
        <v>61</v>
      </c>
      <c r="J2081" s="14">
        <v>4146.0</v>
      </c>
      <c r="K2081" s="14">
        <v>2154.0</v>
      </c>
      <c r="L2081" s="17">
        <v>0.5195</v>
      </c>
      <c r="M2081" s="150">
        <v>0.0</v>
      </c>
      <c r="N2081" s="136">
        <v>0.0</v>
      </c>
      <c r="O2081" s="18">
        <v>14.0</v>
      </c>
      <c r="P2081" s="92">
        <v>0.0</v>
      </c>
      <c r="Q2081" s="137">
        <v>0.0065</v>
      </c>
      <c r="R2081" s="17">
        <v>0.0</v>
      </c>
      <c r="S2081" s="18">
        <v>0.0</v>
      </c>
      <c r="T2081" s="18">
        <v>3.0</v>
      </c>
      <c r="U2081" s="151">
        <v>0.0</v>
      </c>
      <c r="V2081" s="92" t="s">
        <v>335</v>
      </c>
      <c r="W2081" s="18" t="s">
        <v>58</v>
      </c>
      <c r="X2081" s="174" t="s">
        <v>5840</v>
      </c>
      <c r="Y2081" s="187">
        <v>46197.0</v>
      </c>
      <c r="Z2081" s="18" t="s">
        <v>6130</v>
      </c>
      <c r="AA2081" s="92">
        <v>163.0</v>
      </c>
      <c r="AB2081" s="18">
        <v>163.0</v>
      </c>
      <c r="AC2081" s="18"/>
      <c r="AD2081" s="14">
        <v>759088.0</v>
      </c>
      <c r="AE2081" s="14">
        <v>759088.0</v>
      </c>
      <c r="AF2081" s="14"/>
      <c r="AG2081" s="22"/>
      <c r="AH2081" s="22"/>
      <c r="AI2081" s="22"/>
      <c r="AJ2081" s="22"/>
      <c r="AK2081" s="22"/>
      <c r="AL2081" s="22"/>
      <c r="AM2081" s="22"/>
      <c r="AN2081" s="22"/>
      <c r="AO2081" s="22"/>
      <c r="AP2081" s="22"/>
    </row>
    <row r="2082" hidden="1">
      <c r="A2082" s="148">
        <v>46197.0</v>
      </c>
      <c r="B2082" s="149">
        <v>0.5208333333333334</v>
      </c>
      <c r="C2082" s="11" t="s">
        <v>58</v>
      </c>
      <c r="D2082" s="102" t="s">
        <v>3083</v>
      </c>
      <c r="E2082" s="10" t="s">
        <v>71</v>
      </c>
      <c r="F2082" s="10" t="s">
        <v>5574</v>
      </c>
      <c r="G2082" s="11" t="s">
        <v>6131</v>
      </c>
      <c r="H2082" s="11" t="s">
        <v>5838</v>
      </c>
      <c r="I2082" s="10" t="s">
        <v>61</v>
      </c>
      <c r="J2082" s="14">
        <v>12965.0</v>
      </c>
      <c r="K2082" s="14">
        <v>7239.0</v>
      </c>
      <c r="L2082" s="17">
        <v>0.5583</v>
      </c>
      <c r="M2082" s="150">
        <v>0.0</v>
      </c>
      <c r="N2082" s="136">
        <v>0.0</v>
      </c>
      <c r="O2082" s="18">
        <v>15.0</v>
      </c>
      <c r="P2082" s="92">
        <v>0.0</v>
      </c>
      <c r="Q2082" s="137">
        <v>0.0021</v>
      </c>
      <c r="R2082" s="17">
        <v>0.0</v>
      </c>
      <c r="S2082" s="18">
        <v>0.0</v>
      </c>
      <c r="T2082" s="18">
        <v>0.0</v>
      </c>
      <c r="U2082" s="151">
        <v>0.0</v>
      </c>
      <c r="V2082" s="92" t="s">
        <v>315</v>
      </c>
      <c r="W2082" s="18" t="s">
        <v>58</v>
      </c>
      <c r="X2082" s="174" t="s">
        <v>5840</v>
      </c>
      <c r="Y2082" s="187">
        <v>46197.0</v>
      </c>
      <c r="Z2082" s="18" t="s">
        <v>6132</v>
      </c>
      <c r="AA2082" s="92">
        <v>6.0</v>
      </c>
      <c r="AB2082" s="18"/>
      <c r="AC2082" s="18">
        <v>6.0</v>
      </c>
      <c r="AD2082" s="14">
        <v>27811.0</v>
      </c>
      <c r="AE2082" s="14"/>
      <c r="AF2082" s="14">
        <v>27811.0</v>
      </c>
      <c r="AG2082" s="22"/>
      <c r="AH2082" s="22"/>
      <c r="AI2082" s="22"/>
      <c r="AJ2082" s="22"/>
      <c r="AK2082" s="22"/>
      <c r="AL2082" s="22"/>
      <c r="AM2082" s="22"/>
      <c r="AN2082" s="22"/>
      <c r="AO2082" s="22"/>
      <c r="AP2082" s="22"/>
    </row>
    <row r="2083" hidden="1">
      <c r="A2083" s="148">
        <v>46198.0</v>
      </c>
      <c r="B2083" s="149">
        <v>0.5416666666666666</v>
      </c>
      <c r="C2083" s="11" t="s">
        <v>58</v>
      </c>
      <c r="D2083" s="102" t="s">
        <v>3083</v>
      </c>
      <c r="E2083" s="10" t="s">
        <v>71</v>
      </c>
      <c r="F2083" s="10" t="s">
        <v>5574</v>
      </c>
      <c r="G2083" s="11" t="s">
        <v>6133</v>
      </c>
      <c r="H2083" s="11" t="s">
        <v>6064</v>
      </c>
      <c r="I2083" s="10" t="s">
        <v>61</v>
      </c>
      <c r="J2083" s="14">
        <v>24895.0</v>
      </c>
      <c r="K2083" s="14">
        <v>15651.0</v>
      </c>
      <c r="L2083" s="17">
        <v>0.6287</v>
      </c>
      <c r="M2083" s="150">
        <v>0.0</v>
      </c>
      <c r="N2083" s="136">
        <v>0.0</v>
      </c>
      <c r="O2083" s="18">
        <v>56.0</v>
      </c>
      <c r="P2083" s="92">
        <v>0.0</v>
      </c>
      <c r="Q2083" s="137">
        <v>0.0036</v>
      </c>
      <c r="R2083" s="17">
        <v>0.0</v>
      </c>
      <c r="S2083" s="18">
        <v>4.0</v>
      </c>
      <c r="T2083" s="18">
        <v>18.0</v>
      </c>
      <c r="U2083" s="151">
        <v>6541.0</v>
      </c>
      <c r="V2083" s="92" t="s">
        <v>335</v>
      </c>
      <c r="W2083" s="18" t="s">
        <v>58</v>
      </c>
      <c r="X2083" s="174" t="s">
        <v>6066</v>
      </c>
      <c r="Y2083" s="187">
        <v>46198.0</v>
      </c>
      <c r="Z2083" s="18" t="s">
        <v>6134</v>
      </c>
      <c r="AA2083" s="92">
        <v>24.0</v>
      </c>
      <c r="AB2083" s="18">
        <v>24.0</v>
      </c>
      <c r="AC2083" s="18"/>
      <c r="AD2083" s="14">
        <v>46658.0</v>
      </c>
      <c r="AE2083" s="14">
        <v>46658.0</v>
      </c>
      <c r="AF2083" s="14"/>
      <c r="AG2083" s="22"/>
      <c r="AH2083" s="22"/>
      <c r="AI2083" s="22"/>
      <c r="AJ2083" s="22"/>
      <c r="AK2083" s="22"/>
      <c r="AL2083" s="22"/>
      <c r="AM2083" s="22"/>
      <c r="AN2083" s="22"/>
      <c r="AO2083" s="22"/>
      <c r="AP2083" s="22"/>
    </row>
    <row r="2084" hidden="1">
      <c r="A2084" s="148">
        <v>46198.0</v>
      </c>
      <c r="B2084" s="149">
        <v>0.5416666666666666</v>
      </c>
      <c r="C2084" s="11" t="s">
        <v>58</v>
      </c>
      <c r="D2084" s="102" t="s">
        <v>3083</v>
      </c>
      <c r="E2084" s="10" t="s">
        <v>71</v>
      </c>
      <c r="F2084" s="10" t="s">
        <v>5574</v>
      </c>
      <c r="G2084" s="11" t="s">
        <v>6135</v>
      </c>
      <c r="H2084" s="11" t="s">
        <v>6070</v>
      </c>
      <c r="I2084" s="10" t="s">
        <v>61</v>
      </c>
      <c r="J2084" s="14">
        <v>13287.0</v>
      </c>
      <c r="K2084" s="14">
        <v>7750.0</v>
      </c>
      <c r="L2084" s="17">
        <v>0.5833</v>
      </c>
      <c r="M2084" s="150">
        <v>0.0</v>
      </c>
      <c r="N2084" s="136">
        <v>0.0</v>
      </c>
      <c r="O2084" s="18">
        <v>16.0</v>
      </c>
      <c r="P2084" s="92">
        <v>0.0</v>
      </c>
      <c r="Q2084" s="137">
        <v>0.0021</v>
      </c>
      <c r="R2084" s="17">
        <v>0.0</v>
      </c>
      <c r="S2084" s="18">
        <v>2.0</v>
      </c>
      <c r="T2084" s="18">
        <v>6.0</v>
      </c>
      <c r="U2084" s="151">
        <v>5811.0</v>
      </c>
      <c r="V2084" s="92" t="s">
        <v>315</v>
      </c>
      <c r="W2084" s="18" t="s">
        <v>58</v>
      </c>
      <c r="X2084" s="174" t="s">
        <v>6072</v>
      </c>
      <c r="Y2084" s="187">
        <v>46198.0</v>
      </c>
      <c r="Z2084" s="18" t="s">
        <v>6136</v>
      </c>
      <c r="AA2084" s="92">
        <v>27.0</v>
      </c>
      <c r="AB2084" s="18"/>
      <c r="AC2084" s="18">
        <v>27.0</v>
      </c>
      <c r="AD2084" s="14">
        <v>86341.0</v>
      </c>
      <c r="AE2084" s="14"/>
      <c r="AF2084" s="14">
        <v>86341.0</v>
      </c>
      <c r="AG2084" s="22"/>
      <c r="AH2084" s="22"/>
      <c r="AI2084" s="22"/>
      <c r="AJ2084" s="22"/>
      <c r="AK2084" s="22"/>
      <c r="AL2084" s="22"/>
      <c r="AM2084" s="22"/>
      <c r="AN2084" s="22"/>
      <c r="AO2084" s="22"/>
      <c r="AP2084" s="22"/>
    </row>
    <row r="2085" hidden="1">
      <c r="A2085" s="148">
        <v>46199.0</v>
      </c>
      <c r="B2085" s="149">
        <v>0.5</v>
      </c>
      <c r="C2085" s="11" t="s">
        <v>58</v>
      </c>
      <c r="D2085" s="102" t="s">
        <v>3083</v>
      </c>
      <c r="E2085" s="10" t="s">
        <v>71</v>
      </c>
      <c r="F2085" s="10" t="s">
        <v>5574</v>
      </c>
      <c r="G2085" s="11" t="s">
        <v>6137</v>
      </c>
      <c r="H2085" s="11" t="s">
        <v>5593</v>
      </c>
      <c r="I2085" s="10" t="s">
        <v>61</v>
      </c>
      <c r="J2085" s="14">
        <v>13078.0</v>
      </c>
      <c r="K2085" s="14">
        <v>6970.0</v>
      </c>
      <c r="L2085" s="17">
        <v>0.533</v>
      </c>
      <c r="M2085" s="150">
        <v>0.0</v>
      </c>
      <c r="N2085" s="136">
        <v>0.0</v>
      </c>
      <c r="O2085" s="18">
        <v>33.0</v>
      </c>
      <c r="P2085" s="92">
        <v>0.0</v>
      </c>
      <c r="Q2085" s="137">
        <v>0.0047</v>
      </c>
      <c r="R2085" s="17">
        <v>0.0</v>
      </c>
      <c r="S2085" s="18">
        <v>1.0</v>
      </c>
      <c r="T2085" s="18">
        <v>19.0</v>
      </c>
      <c r="U2085" s="151">
        <v>1467.0</v>
      </c>
      <c r="V2085" s="92" t="s">
        <v>335</v>
      </c>
      <c r="W2085" s="18" t="s">
        <v>58</v>
      </c>
      <c r="X2085" s="174" t="s">
        <v>2286</v>
      </c>
      <c r="Y2085" s="187">
        <v>46199.0</v>
      </c>
      <c r="Z2085" s="18" t="s">
        <v>6138</v>
      </c>
      <c r="AA2085" s="92">
        <v>18.0</v>
      </c>
      <c r="AB2085" s="18">
        <v>18.0</v>
      </c>
      <c r="AC2085" s="18"/>
      <c r="AD2085" s="14">
        <v>43191.0</v>
      </c>
      <c r="AE2085" s="14">
        <v>43191.0</v>
      </c>
      <c r="AF2085" s="14"/>
      <c r="AG2085" s="22"/>
      <c r="AH2085" s="22"/>
      <c r="AI2085" s="22"/>
      <c r="AJ2085" s="22"/>
      <c r="AK2085" s="22"/>
      <c r="AL2085" s="22"/>
      <c r="AM2085" s="22"/>
      <c r="AN2085" s="22"/>
      <c r="AO2085" s="22"/>
      <c r="AP2085" s="22"/>
    </row>
    <row r="2086" hidden="1">
      <c r="A2086" s="148">
        <v>46199.0</v>
      </c>
      <c r="B2086" s="149">
        <v>0.5</v>
      </c>
      <c r="C2086" s="11" t="s">
        <v>58</v>
      </c>
      <c r="D2086" s="102" t="s">
        <v>3083</v>
      </c>
      <c r="E2086" s="10" t="s">
        <v>71</v>
      </c>
      <c r="F2086" s="10" t="s">
        <v>5574</v>
      </c>
      <c r="G2086" s="11" t="s">
        <v>6139</v>
      </c>
      <c r="H2086" s="11" t="s">
        <v>5602</v>
      </c>
      <c r="I2086" s="10" t="s">
        <v>61</v>
      </c>
      <c r="J2086" s="14">
        <v>59119.0</v>
      </c>
      <c r="K2086" s="14">
        <v>34404.0</v>
      </c>
      <c r="L2086" s="17">
        <v>0.5819</v>
      </c>
      <c r="M2086" s="150">
        <v>0.0</v>
      </c>
      <c r="N2086" s="136">
        <v>0.0</v>
      </c>
      <c r="O2086" s="18">
        <v>56.0</v>
      </c>
      <c r="P2086" s="92">
        <v>0.0</v>
      </c>
      <c r="Q2086" s="137">
        <v>0.0016</v>
      </c>
      <c r="R2086" s="17">
        <v>0.0</v>
      </c>
      <c r="S2086" s="18">
        <v>1.0</v>
      </c>
      <c r="T2086" s="18">
        <v>5.0</v>
      </c>
      <c r="U2086" s="151">
        <v>949.0</v>
      </c>
      <c r="V2086" s="92" t="s">
        <v>315</v>
      </c>
      <c r="W2086" s="18" t="s">
        <v>58</v>
      </c>
      <c r="X2086" s="174" t="s">
        <v>2286</v>
      </c>
      <c r="Y2086" s="187">
        <v>46199.0</v>
      </c>
      <c r="Z2086" s="18" t="s">
        <v>6140</v>
      </c>
      <c r="AA2086" s="92">
        <v>94.0</v>
      </c>
      <c r="AB2086" s="18"/>
      <c r="AC2086" s="18">
        <v>94.0</v>
      </c>
      <c r="AD2086" s="14">
        <v>333547.0</v>
      </c>
      <c r="AE2086" s="14"/>
      <c r="AF2086" s="14">
        <v>333547.0</v>
      </c>
      <c r="AG2086" s="22"/>
      <c r="AH2086" s="22"/>
      <c r="AI2086" s="22"/>
      <c r="AJ2086" s="22"/>
      <c r="AK2086" s="22"/>
      <c r="AL2086" s="22"/>
      <c r="AM2086" s="22"/>
      <c r="AN2086" s="22"/>
      <c r="AO2086" s="22"/>
      <c r="AP2086" s="22"/>
    </row>
    <row r="2087" hidden="1">
      <c r="A2087" s="148">
        <v>46200.0</v>
      </c>
      <c r="B2087" s="149">
        <v>0.5416666666666666</v>
      </c>
      <c r="C2087" s="11" t="s">
        <v>58</v>
      </c>
      <c r="D2087" s="102" t="s">
        <v>3083</v>
      </c>
      <c r="E2087" s="10" t="s">
        <v>71</v>
      </c>
      <c r="F2087" s="10" t="s">
        <v>5574</v>
      </c>
      <c r="G2087" s="11" t="s">
        <v>6141</v>
      </c>
      <c r="H2087" s="11" t="s">
        <v>6080</v>
      </c>
      <c r="I2087" s="10" t="s">
        <v>61</v>
      </c>
      <c r="J2087" s="14">
        <v>15973.0</v>
      </c>
      <c r="K2087" s="14">
        <v>7814.0</v>
      </c>
      <c r="L2087" s="17">
        <v>0.4892</v>
      </c>
      <c r="M2087" s="150">
        <v>0.0</v>
      </c>
      <c r="N2087" s="136">
        <v>0.0</v>
      </c>
      <c r="O2087" s="18">
        <v>21.0</v>
      </c>
      <c r="P2087" s="92">
        <v>0.0</v>
      </c>
      <c r="Q2087" s="137">
        <v>0.0027</v>
      </c>
      <c r="R2087" s="17">
        <v>0.0</v>
      </c>
      <c r="S2087" s="18">
        <v>1.0</v>
      </c>
      <c r="T2087" s="18">
        <v>13.0</v>
      </c>
      <c r="U2087" s="151">
        <v>1752.0</v>
      </c>
      <c r="V2087" s="92" t="s">
        <v>335</v>
      </c>
      <c r="W2087" s="18" t="s">
        <v>58</v>
      </c>
      <c r="X2087" s="174" t="s">
        <v>6072</v>
      </c>
      <c r="Y2087" s="187">
        <v>46200.0</v>
      </c>
      <c r="Z2087" s="18" t="s">
        <v>6142</v>
      </c>
      <c r="AA2087" s="92">
        <v>6.0</v>
      </c>
      <c r="AB2087" s="18">
        <v>6.0</v>
      </c>
      <c r="AC2087" s="18"/>
      <c r="AD2087" s="14">
        <v>23593.0</v>
      </c>
      <c r="AE2087" s="14">
        <v>23593.0</v>
      </c>
      <c r="AF2087" s="14"/>
      <c r="AG2087" s="22"/>
      <c r="AH2087" s="22"/>
      <c r="AI2087" s="22"/>
      <c r="AJ2087" s="22"/>
      <c r="AK2087" s="22"/>
      <c r="AL2087" s="22"/>
      <c r="AM2087" s="22"/>
      <c r="AN2087" s="22"/>
      <c r="AO2087" s="22"/>
      <c r="AP2087" s="22"/>
    </row>
    <row r="2088" hidden="1">
      <c r="A2088" s="148">
        <v>46200.0</v>
      </c>
      <c r="B2088" s="149">
        <v>0.5416666666666666</v>
      </c>
      <c r="C2088" s="11" t="s">
        <v>58</v>
      </c>
      <c r="D2088" s="102" t="s">
        <v>3083</v>
      </c>
      <c r="E2088" s="10" t="s">
        <v>71</v>
      </c>
      <c r="F2088" s="10" t="s">
        <v>5574</v>
      </c>
      <c r="G2088" s="11" t="s">
        <v>6143</v>
      </c>
      <c r="H2088" s="11" t="s">
        <v>6085</v>
      </c>
      <c r="I2088" s="10" t="s">
        <v>61</v>
      </c>
      <c r="J2088" s="14">
        <v>81707.0</v>
      </c>
      <c r="K2088" s="14">
        <v>45092.0</v>
      </c>
      <c r="L2088" s="17">
        <v>0.5519</v>
      </c>
      <c r="M2088" s="150">
        <v>0.0</v>
      </c>
      <c r="N2088" s="136">
        <v>0.0</v>
      </c>
      <c r="O2088" s="18">
        <v>65.0</v>
      </c>
      <c r="P2088" s="92">
        <v>0.0</v>
      </c>
      <c r="Q2088" s="137">
        <v>0.0014</v>
      </c>
      <c r="R2088" s="17">
        <v>0.0</v>
      </c>
      <c r="S2088" s="18">
        <v>2.0</v>
      </c>
      <c r="T2088" s="18">
        <v>10.0</v>
      </c>
      <c r="U2088" s="151">
        <v>2366.0</v>
      </c>
      <c r="V2088" s="92" t="s">
        <v>315</v>
      </c>
      <c r="W2088" s="18" t="s">
        <v>58</v>
      </c>
      <c r="X2088" s="174" t="s">
        <v>6066</v>
      </c>
      <c r="Y2088" s="187">
        <v>46200.0</v>
      </c>
      <c r="Z2088" s="18" t="s">
        <v>6144</v>
      </c>
      <c r="AA2088" s="92">
        <v>153.0</v>
      </c>
      <c r="AB2088" s="18"/>
      <c r="AC2088" s="18">
        <v>153.0</v>
      </c>
      <c r="AD2088" s="14">
        <v>694180.0</v>
      </c>
      <c r="AE2088" s="14"/>
      <c r="AF2088" s="14">
        <v>694180.0</v>
      </c>
      <c r="AG2088" s="22"/>
      <c r="AH2088" s="22"/>
      <c r="AI2088" s="22"/>
      <c r="AJ2088" s="22"/>
      <c r="AK2088" s="22"/>
      <c r="AL2088" s="22"/>
      <c r="AM2088" s="22"/>
      <c r="AN2088" s="22"/>
      <c r="AO2088" s="22"/>
      <c r="AP2088" s="22"/>
    </row>
    <row r="2089" hidden="1">
      <c r="A2089" s="148">
        <v>46200.0</v>
      </c>
      <c r="B2089" s="149">
        <v>0.7916666666666666</v>
      </c>
      <c r="C2089" s="11" t="s">
        <v>58</v>
      </c>
      <c r="D2089" s="102" t="s">
        <v>3083</v>
      </c>
      <c r="E2089" s="10" t="s">
        <v>71</v>
      </c>
      <c r="F2089" s="10" t="s">
        <v>5574</v>
      </c>
      <c r="G2089" s="11" t="s">
        <v>6145</v>
      </c>
      <c r="H2089" s="11" t="s">
        <v>5598</v>
      </c>
      <c r="I2089" s="10" t="s">
        <v>61</v>
      </c>
      <c r="J2089" s="14">
        <v>39410.0</v>
      </c>
      <c r="K2089" s="14">
        <v>22861.0</v>
      </c>
      <c r="L2089" s="17">
        <v>0.5801</v>
      </c>
      <c r="M2089" s="150">
        <v>0.0</v>
      </c>
      <c r="N2089" s="136">
        <v>0.0</v>
      </c>
      <c r="O2089" s="18">
        <v>59.0</v>
      </c>
      <c r="P2089" s="92">
        <v>0.0</v>
      </c>
      <c r="Q2089" s="137">
        <v>0.0026</v>
      </c>
      <c r="R2089" s="17">
        <v>0.0</v>
      </c>
      <c r="S2089" s="18">
        <v>0.0</v>
      </c>
      <c r="T2089" s="18">
        <v>9.0</v>
      </c>
      <c r="U2089" s="151">
        <v>0.0</v>
      </c>
      <c r="V2089" s="92" t="s">
        <v>335</v>
      </c>
      <c r="W2089" s="18" t="s">
        <v>58</v>
      </c>
      <c r="X2089" s="174" t="s">
        <v>41</v>
      </c>
      <c r="Y2089" s="187">
        <v>46200.0</v>
      </c>
      <c r="Z2089" s="18" t="s">
        <v>6146</v>
      </c>
      <c r="AA2089" s="92">
        <v>19.0</v>
      </c>
      <c r="AB2089" s="18">
        <v>19.0</v>
      </c>
      <c r="AC2089" s="18"/>
      <c r="AD2089" s="14">
        <v>44661.0</v>
      </c>
      <c r="AE2089" s="14">
        <v>44661.0</v>
      </c>
      <c r="AF2089" s="14"/>
      <c r="AG2089" s="22"/>
      <c r="AH2089" s="22"/>
      <c r="AI2089" s="22"/>
      <c r="AJ2089" s="22"/>
      <c r="AK2089" s="22"/>
      <c r="AL2089" s="22"/>
      <c r="AM2089" s="22"/>
      <c r="AN2089" s="22"/>
      <c r="AO2089" s="22"/>
      <c r="AP2089" s="22"/>
    </row>
    <row r="2090" hidden="1">
      <c r="A2090" s="148">
        <v>46200.0</v>
      </c>
      <c r="B2090" s="149">
        <v>0.7083333333333334</v>
      </c>
      <c r="C2090" s="11" t="s">
        <v>58</v>
      </c>
      <c r="D2090" s="102" t="s">
        <v>33</v>
      </c>
      <c r="E2090" s="10" t="s">
        <v>71</v>
      </c>
      <c r="F2090" s="10" t="s">
        <v>5574</v>
      </c>
      <c r="G2090" s="11" t="s">
        <v>6147</v>
      </c>
      <c r="H2090" s="11" t="s">
        <v>5576</v>
      </c>
      <c r="I2090" s="10" t="s">
        <v>5577</v>
      </c>
      <c r="J2090" s="14">
        <v>103645.0</v>
      </c>
      <c r="K2090" s="14">
        <v>63290.0</v>
      </c>
      <c r="L2090" s="17">
        <v>0.6106</v>
      </c>
      <c r="M2090" s="150">
        <v>0.0</v>
      </c>
      <c r="N2090" s="136">
        <v>0.0</v>
      </c>
      <c r="O2090" s="18">
        <v>135.0</v>
      </c>
      <c r="P2090" s="92">
        <v>0.0</v>
      </c>
      <c r="Q2090" s="137">
        <v>0.0021</v>
      </c>
      <c r="R2090" s="17">
        <v>0.0</v>
      </c>
      <c r="S2090" s="18">
        <v>6.0</v>
      </c>
      <c r="T2090" s="18">
        <v>17.0</v>
      </c>
      <c r="U2090" s="151">
        <v>15563.0</v>
      </c>
      <c r="V2090" s="92" t="s">
        <v>335</v>
      </c>
      <c r="W2090" s="18" t="s">
        <v>58</v>
      </c>
      <c r="X2090" s="174" t="s">
        <v>69</v>
      </c>
      <c r="Y2090" s="187">
        <v>46200.0</v>
      </c>
      <c r="Z2090" s="18" t="s">
        <v>6148</v>
      </c>
      <c r="AA2090" s="92">
        <v>26.0</v>
      </c>
      <c r="AB2090" s="18">
        <v>26.0</v>
      </c>
      <c r="AC2090" s="18"/>
      <c r="AD2090" s="14">
        <v>88138.0</v>
      </c>
      <c r="AE2090" s="14">
        <v>88138.0</v>
      </c>
      <c r="AF2090" s="14"/>
      <c r="AG2090" s="22"/>
      <c r="AH2090" s="22"/>
      <c r="AI2090" s="22"/>
      <c r="AJ2090" s="22"/>
      <c r="AK2090" s="22"/>
      <c r="AL2090" s="22"/>
      <c r="AM2090" s="22"/>
      <c r="AN2090" s="22"/>
      <c r="AO2090" s="22"/>
      <c r="AP2090" s="22"/>
    </row>
    <row r="2091" hidden="1">
      <c r="A2091" s="148">
        <v>46200.0</v>
      </c>
      <c r="B2091" s="149">
        <v>0.7083333333333334</v>
      </c>
      <c r="C2091" s="11" t="s">
        <v>58</v>
      </c>
      <c r="D2091" s="102" t="s">
        <v>33</v>
      </c>
      <c r="E2091" s="10" t="s">
        <v>71</v>
      </c>
      <c r="F2091" s="10" t="s">
        <v>5574</v>
      </c>
      <c r="G2091" s="11" t="s">
        <v>6149</v>
      </c>
      <c r="H2091" s="11" t="s">
        <v>5581</v>
      </c>
      <c r="I2091" s="10" t="s">
        <v>5582</v>
      </c>
      <c r="J2091" s="14">
        <v>111668.0</v>
      </c>
      <c r="K2091" s="14">
        <v>68723.0</v>
      </c>
      <c r="L2091" s="17">
        <v>0.6154</v>
      </c>
      <c r="M2091" s="150">
        <v>0.0</v>
      </c>
      <c r="N2091" s="136">
        <v>0.0</v>
      </c>
      <c r="O2091" s="18">
        <v>104.0</v>
      </c>
      <c r="P2091" s="92">
        <v>0.0</v>
      </c>
      <c r="Q2091" s="137">
        <v>0.0015</v>
      </c>
      <c r="R2091" s="17">
        <v>0.0</v>
      </c>
      <c r="S2091" s="18">
        <v>3.0</v>
      </c>
      <c r="T2091" s="18">
        <v>7.0</v>
      </c>
      <c r="U2091" s="151">
        <v>61328.0</v>
      </c>
      <c r="V2091" s="92" t="s">
        <v>335</v>
      </c>
      <c r="W2091" s="18" t="s">
        <v>58</v>
      </c>
      <c r="X2091" s="174" t="s">
        <v>69</v>
      </c>
      <c r="Y2091" s="187">
        <v>46200.0</v>
      </c>
      <c r="Z2091" s="18" t="s">
        <v>6150</v>
      </c>
      <c r="AA2091" s="92">
        <v>10.0</v>
      </c>
      <c r="AB2091" s="18">
        <v>10.0</v>
      </c>
      <c r="AC2091" s="18"/>
      <c r="AD2091" s="14">
        <v>16644.0</v>
      </c>
      <c r="AE2091" s="14">
        <v>16644.0</v>
      </c>
      <c r="AF2091" s="14"/>
      <c r="AG2091" s="22"/>
      <c r="AH2091" s="22"/>
      <c r="AI2091" s="22"/>
      <c r="AJ2091" s="22"/>
      <c r="AK2091" s="22"/>
      <c r="AL2091" s="22"/>
      <c r="AM2091" s="22"/>
      <c r="AN2091" s="22"/>
      <c r="AO2091" s="22"/>
      <c r="AP2091" s="22"/>
    </row>
    <row r="2092" hidden="1">
      <c r="A2092" s="148">
        <v>46201.0</v>
      </c>
      <c r="B2092" s="149">
        <v>0.75</v>
      </c>
      <c r="C2092" s="11" t="s">
        <v>58</v>
      </c>
      <c r="D2092" s="102" t="s">
        <v>3083</v>
      </c>
      <c r="E2092" s="10" t="s">
        <v>71</v>
      </c>
      <c r="F2092" s="10" t="s">
        <v>5574</v>
      </c>
      <c r="G2092" s="11" t="s">
        <v>6151</v>
      </c>
      <c r="H2092" s="11" t="s">
        <v>5048</v>
      </c>
      <c r="I2092" s="10" t="s">
        <v>61</v>
      </c>
      <c r="J2092" s="14">
        <v>1553.0</v>
      </c>
      <c r="K2092" s="14">
        <v>911.0</v>
      </c>
      <c r="L2092" s="17">
        <v>0.5866</v>
      </c>
      <c r="M2092" s="150">
        <v>0.0</v>
      </c>
      <c r="N2092" s="136">
        <v>0.0</v>
      </c>
      <c r="O2092" s="18">
        <v>4.0</v>
      </c>
      <c r="P2092" s="92">
        <v>0.0</v>
      </c>
      <c r="Q2092" s="137">
        <v>0.0044</v>
      </c>
      <c r="R2092" s="17">
        <v>0.0</v>
      </c>
      <c r="S2092" s="18">
        <v>0.0</v>
      </c>
      <c r="T2092" s="18">
        <v>6.0</v>
      </c>
      <c r="U2092" s="151">
        <v>0.0</v>
      </c>
      <c r="V2092" s="92" t="s">
        <v>335</v>
      </c>
      <c r="W2092" s="18" t="s">
        <v>58</v>
      </c>
      <c r="X2092" s="174" t="s">
        <v>2131</v>
      </c>
      <c r="Y2092" s="187">
        <v>46201.0</v>
      </c>
      <c r="Z2092" s="18" t="s">
        <v>6152</v>
      </c>
      <c r="AA2092" s="92">
        <v>5.0</v>
      </c>
      <c r="AB2092" s="18">
        <v>5.0</v>
      </c>
      <c r="AC2092" s="18"/>
      <c r="AD2092" s="14">
        <v>13895.0</v>
      </c>
      <c r="AE2092" s="14">
        <v>13895.0</v>
      </c>
      <c r="AF2092" s="14"/>
      <c r="AG2092" s="22"/>
      <c r="AH2092" s="22"/>
      <c r="AI2092" s="22"/>
      <c r="AJ2092" s="22"/>
      <c r="AK2092" s="22"/>
      <c r="AL2092" s="22"/>
      <c r="AM2092" s="22"/>
      <c r="AN2092" s="22"/>
      <c r="AO2092" s="22"/>
      <c r="AP2092" s="22"/>
    </row>
    <row r="2093" hidden="1">
      <c r="A2093" s="148">
        <v>46201.0</v>
      </c>
      <c r="B2093" s="149">
        <v>0.75</v>
      </c>
      <c r="C2093" s="11" t="s">
        <v>58</v>
      </c>
      <c r="D2093" s="102" t="s">
        <v>3083</v>
      </c>
      <c r="E2093" s="10" t="s">
        <v>71</v>
      </c>
      <c r="F2093" s="10" t="s">
        <v>5574</v>
      </c>
      <c r="G2093" s="11" t="s">
        <v>6153</v>
      </c>
      <c r="H2093" s="11" t="s">
        <v>5053</v>
      </c>
      <c r="I2093" s="10" t="s">
        <v>61</v>
      </c>
      <c r="J2093" s="14">
        <v>25143.0</v>
      </c>
      <c r="K2093" s="14">
        <v>13126.0</v>
      </c>
      <c r="L2093" s="17">
        <v>0.5221</v>
      </c>
      <c r="M2093" s="150">
        <v>0.0</v>
      </c>
      <c r="N2093" s="136">
        <v>0.0</v>
      </c>
      <c r="O2093" s="18">
        <v>23.0</v>
      </c>
      <c r="P2093" s="92">
        <v>0.0</v>
      </c>
      <c r="Q2093" s="137">
        <v>0.0018</v>
      </c>
      <c r="R2093" s="17">
        <v>0.0</v>
      </c>
      <c r="S2093" s="18">
        <v>0.0</v>
      </c>
      <c r="T2093" s="18">
        <v>0.0</v>
      </c>
      <c r="U2093" s="151">
        <v>0.0</v>
      </c>
      <c r="V2093" s="92" t="s">
        <v>183</v>
      </c>
      <c r="W2093" s="18" t="s">
        <v>58</v>
      </c>
      <c r="X2093" s="174" t="s">
        <v>2286</v>
      </c>
      <c r="Y2093" s="187">
        <v>46201.0</v>
      </c>
      <c r="Z2093" s="18" t="s">
        <v>6154</v>
      </c>
      <c r="AA2093" s="92">
        <v>68.0</v>
      </c>
      <c r="AB2093" s="18">
        <v>5.0</v>
      </c>
      <c r="AC2093" s="18">
        <v>63.0</v>
      </c>
      <c r="AD2093" s="14">
        <v>315541.0</v>
      </c>
      <c r="AE2093" s="14">
        <v>9855.0</v>
      </c>
      <c r="AF2093" s="14">
        <v>305686.0</v>
      </c>
      <c r="AG2093" s="22"/>
      <c r="AH2093" s="22"/>
      <c r="AI2093" s="22"/>
      <c r="AJ2093" s="22"/>
      <c r="AK2093" s="22"/>
      <c r="AL2093" s="22"/>
      <c r="AM2093" s="22"/>
      <c r="AN2093" s="22"/>
      <c r="AO2093" s="22"/>
      <c r="AP2093" s="22"/>
    </row>
    <row r="2094" hidden="1">
      <c r="A2094" s="148">
        <v>46201.0</v>
      </c>
      <c r="B2094" s="149">
        <v>0.75</v>
      </c>
      <c r="C2094" s="11" t="s">
        <v>58</v>
      </c>
      <c r="D2094" s="102" t="s">
        <v>3083</v>
      </c>
      <c r="E2094" s="10" t="s">
        <v>71</v>
      </c>
      <c r="F2094" s="10" t="s">
        <v>5574</v>
      </c>
      <c r="G2094" s="11" t="s">
        <v>6155</v>
      </c>
      <c r="H2094" s="11" t="s">
        <v>5057</v>
      </c>
      <c r="I2094" s="10" t="s">
        <v>61</v>
      </c>
      <c r="J2094" s="14">
        <v>16570.0</v>
      </c>
      <c r="K2094" s="14">
        <v>8488.0</v>
      </c>
      <c r="L2094" s="17">
        <v>0.5123</v>
      </c>
      <c r="M2094" s="150">
        <v>0.0</v>
      </c>
      <c r="N2094" s="136">
        <v>0.0</v>
      </c>
      <c r="O2094" s="18">
        <v>22.0</v>
      </c>
      <c r="P2094" s="92">
        <v>0.0</v>
      </c>
      <c r="Q2094" s="137">
        <v>0.0026</v>
      </c>
      <c r="R2094" s="17">
        <v>0.0</v>
      </c>
      <c r="S2094" s="18">
        <v>1.0</v>
      </c>
      <c r="T2094" s="18">
        <v>1.0</v>
      </c>
      <c r="U2094" s="151">
        <v>2499.0</v>
      </c>
      <c r="V2094" s="92" t="s">
        <v>183</v>
      </c>
      <c r="W2094" s="18" t="s">
        <v>58</v>
      </c>
      <c r="X2094" s="174" t="s">
        <v>41</v>
      </c>
      <c r="Y2094" s="187">
        <v>46201.0</v>
      </c>
      <c r="Z2094" s="18" t="s">
        <v>6156</v>
      </c>
      <c r="AA2094" s="92">
        <v>34.0</v>
      </c>
      <c r="AB2094" s="18">
        <v>9.0</v>
      </c>
      <c r="AC2094" s="18">
        <v>25.0</v>
      </c>
      <c r="AD2094" s="14">
        <v>120133.0</v>
      </c>
      <c r="AE2094" s="14">
        <v>39229.0</v>
      </c>
      <c r="AF2094" s="14">
        <v>80904.0</v>
      </c>
      <c r="AG2094" s="22"/>
      <c r="AH2094" s="22"/>
      <c r="AI2094" s="22"/>
      <c r="AJ2094" s="22"/>
      <c r="AK2094" s="22"/>
      <c r="AL2094" s="22"/>
      <c r="AM2094" s="22"/>
      <c r="AN2094" s="22"/>
      <c r="AO2094" s="22"/>
      <c r="AP2094" s="22"/>
    </row>
    <row r="2095" hidden="1">
      <c r="A2095" s="148">
        <v>46201.0</v>
      </c>
      <c r="B2095" s="149">
        <v>0.75</v>
      </c>
      <c r="C2095" s="11" t="s">
        <v>58</v>
      </c>
      <c r="D2095" s="102" t="s">
        <v>3083</v>
      </c>
      <c r="E2095" s="10" t="s">
        <v>71</v>
      </c>
      <c r="F2095" s="10" t="s">
        <v>5574</v>
      </c>
      <c r="G2095" s="11" t="s">
        <v>6157</v>
      </c>
      <c r="H2095" s="11" t="s">
        <v>5061</v>
      </c>
      <c r="I2095" s="10" t="s">
        <v>61</v>
      </c>
      <c r="J2095" s="14">
        <v>4546.0</v>
      </c>
      <c r="K2095" s="14">
        <v>2847.0</v>
      </c>
      <c r="L2095" s="17">
        <v>0.6263</v>
      </c>
      <c r="M2095" s="150">
        <v>0.0</v>
      </c>
      <c r="N2095" s="136">
        <v>0.0</v>
      </c>
      <c r="O2095" s="18">
        <v>6.0</v>
      </c>
      <c r="P2095" s="92">
        <v>0.0</v>
      </c>
      <c r="Q2095" s="137">
        <v>0.0021</v>
      </c>
      <c r="R2095" s="17">
        <v>0.0</v>
      </c>
      <c r="S2095" s="18">
        <v>1.0</v>
      </c>
      <c r="T2095" s="18">
        <v>0.0</v>
      </c>
      <c r="U2095" s="151">
        <v>1947.0</v>
      </c>
      <c r="V2095" s="92" t="s">
        <v>335</v>
      </c>
      <c r="W2095" s="18" t="s">
        <v>58</v>
      </c>
      <c r="X2095" s="174" t="s">
        <v>2542</v>
      </c>
      <c r="Y2095" s="187">
        <v>46201.0</v>
      </c>
      <c r="Z2095" s="18" t="s">
        <v>6158</v>
      </c>
      <c r="AA2095" s="92">
        <v>1.0</v>
      </c>
      <c r="AB2095" s="18">
        <v>1.0</v>
      </c>
      <c r="AC2095" s="18"/>
      <c r="AD2095" s="14">
        <v>1947.0</v>
      </c>
      <c r="AE2095" s="14">
        <v>1947.0</v>
      </c>
      <c r="AF2095" s="14"/>
      <c r="AG2095" s="22"/>
      <c r="AH2095" s="22"/>
      <c r="AI2095" s="22"/>
      <c r="AJ2095" s="22"/>
      <c r="AK2095" s="22"/>
      <c r="AL2095" s="22"/>
      <c r="AM2095" s="22"/>
      <c r="AN2095" s="22"/>
      <c r="AO2095" s="22"/>
      <c r="AP2095" s="22"/>
    </row>
    <row r="2096" hidden="1">
      <c r="A2096" s="148">
        <v>46201.0</v>
      </c>
      <c r="B2096" s="149">
        <v>0.75</v>
      </c>
      <c r="C2096" s="11" t="s">
        <v>58</v>
      </c>
      <c r="D2096" s="102" t="s">
        <v>3083</v>
      </c>
      <c r="E2096" s="10" t="s">
        <v>71</v>
      </c>
      <c r="F2096" s="10" t="s">
        <v>5574</v>
      </c>
      <c r="G2096" s="11" t="s">
        <v>6159</v>
      </c>
      <c r="H2096" s="11" t="s">
        <v>5065</v>
      </c>
      <c r="I2096" s="10" t="s">
        <v>61</v>
      </c>
      <c r="J2096" s="14">
        <v>1101.0</v>
      </c>
      <c r="K2096" s="14">
        <v>608.0</v>
      </c>
      <c r="L2096" s="17">
        <v>0.5522</v>
      </c>
      <c r="M2096" s="150">
        <v>0.0</v>
      </c>
      <c r="N2096" s="136">
        <v>0.0</v>
      </c>
      <c r="O2096" s="18">
        <v>1.0</v>
      </c>
      <c r="P2096" s="92">
        <v>0.0</v>
      </c>
      <c r="Q2096" s="137">
        <v>0.0016</v>
      </c>
      <c r="R2096" s="17">
        <v>0.0</v>
      </c>
      <c r="S2096" s="18">
        <v>0.0</v>
      </c>
      <c r="T2096" s="18">
        <v>0.0</v>
      </c>
      <c r="U2096" s="151">
        <v>0.0</v>
      </c>
      <c r="V2096" s="92" t="s">
        <v>335</v>
      </c>
      <c r="W2096" s="18" t="s">
        <v>58</v>
      </c>
      <c r="X2096" s="174" t="s">
        <v>52</v>
      </c>
      <c r="Y2096" s="187">
        <v>46201.0</v>
      </c>
      <c r="Z2096" s="18" t="s">
        <v>6160</v>
      </c>
      <c r="AA2096" s="92">
        <v>1.0</v>
      </c>
      <c r="AB2096" s="18">
        <v>1.0</v>
      </c>
      <c r="AC2096" s="18"/>
      <c r="AD2096" s="14">
        <v>1360.0</v>
      </c>
      <c r="AE2096" s="14">
        <v>1360.0</v>
      </c>
      <c r="AF2096" s="14"/>
      <c r="AG2096" s="22"/>
      <c r="AH2096" s="22"/>
      <c r="AI2096" s="22"/>
      <c r="AJ2096" s="22"/>
      <c r="AK2096" s="22"/>
      <c r="AL2096" s="22"/>
      <c r="AM2096" s="22"/>
      <c r="AN2096" s="22"/>
      <c r="AO2096" s="22"/>
      <c r="AP2096" s="22"/>
    </row>
    <row r="2097" hidden="1">
      <c r="A2097" s="148">
        <v>46201.0</v>
      </c>
      <c r="B2097" s="149">
        <v>0.5</v>
      </c>
      <c r="C2097" s="11" t="s">
        <v>58</v>
      </c>
      <c r="D2097" s="102" t="s">
        <v>3083</v>
      </c>
      <c r="E2097" s="10" t="s">
        <v>71</v>
      </c>
      <c r="F2097" s="10" t="s">
        <v>5574</v>
      </c>
      <c r="G2097" s="11" t="s">
        <v>6161</v>
      </c>
      <c r="H2097" s="11" t="s">
        <v>5607</v>
      </c>
      <c r="I2097" s="10" t="s">
        <v>61</v>
      </c>
      <c r="J2097" s="14">
        <v>83539.0</v>
      </c>
      <c r="K2097" s="14">
        <v>56251.0</v>
      </c>
      <c r="L2097" s="17">
        <v>0.6734</v>
      </c>
      <c r="M2097" s="150">
        <v>0.0</v>
      </c>
      <c r="N2097" s="136">
        <v>0.0</v>
      </c>
      <c r="O2097" s="18">
        <v>59.0</v>
      </c>
      <c r="P2097" s="92">
        <v>0.0</v>
      </c>
      <c r="Q2097" s="137">
        <v>0.001</v>
      </c>
      <c r="R2097" s="17">
        <v>0.0</v>
      </c>
      <c r="S2097" s="18">
        <v>1.0</v>
      </c>
      <c r="T2097" s="18">
        <v>6.0</v>
      </c>
      <c r="U2097" s="151">
        <v>1088.0</v>
      </c>
      <c r="V2097" s="92" t="s">
        <v>315</v>
      </c>
      <c r="W2097" s="18" t="s">
        <v>58</v>
      </c>
      <c r="X2097" s="174" t="s">
        <v>41</v>
      </c>
      <c r="Y2097" s="187">
        <v>46201.0</v>
      </c>
      <c r="Z2097" s="18" t="s">
        <v>6162</v>
      </c>
      <c r="AA2097" s="92">
        <v>153.0</v>
      </c>
      <c r="AB2097" s="18"/>
      <c r="AC2097" s="18">
        <v>153.0</v>
      </c>
      <c r="AD2097" s="14">
        <v>553506.0</v>
      </c>
      <c r="AE2097" s="14"/>
      <c r="AF2097" s="14">
        <v>553506.0</v>
      </c>
      <c r="AG2097" s="22"/>
      <c r="AH2097" s="22"/>
      <c r="AI2097" s="22"/>
      <c r="AJ2097" s="22"/>
      <c r="AK2097" s="22"/>
      <c r="AL2097" s="22"/>
      <c r="AM2097" s="22"/>
      <c r="AN2097" s="22"/>
      <c r="AO2097" s="22"/>
      <c r="AP2097" s="22"/>
    </row>
    <row r="2098" hidden="1">
      <c r="A2098" s="148">
        <v>46201.0</v>
      </c>
      <c r="B2098" s="149">
        <v>0.5</v>
      </c>
      <c r="C2098" s="11" t="s">
        <v>58</v>
      </c>
      <c r="D2098" s="102" t="s">
        <v>3083</v>
      </c>
      <c r="E2098" s="10" t="s">
        <v>71</v>
      </c>
      <c r="F2098" s="10" t="s">
        <v>5574</v>
      </c>
      <c r="G2098" s="11" t="s">
        <v>6163</v>
      </c>
      <c r="H2098" s="11" t="s">
        <v>5611</v>
      </c>
      <c r="I2098" s="10" t="s">
        <v>61</v>
      </c>
      <c r="J2098" s="14">
        <v>63535.0</v>
      </c>
      <c r="K2098" s="14">
        <v>43054.0</v>
      </c>
      <c r="L2098" s="17">
        <v>0.6776</v>
      </c>
      <c r="M2098" s="150">
        <v>0.0</v>
      </c>
      <c r="N2098" s="136">
        <v>0.0</v>
      </c>
      <c r="O2098" s="18">
        <v>28.0</v>
      </c>
      <c r="P2098" s="92">
        <v>0.0</v>
      </c>
      <c r="Q2098" s="137">
        <v>7.0E-4</v>
      </c>
      <c r="R2098" s="17">
        <v>0.0</v>
      </c>
      <c r="S2098" s="18">
        <v>0.0</v>
      </c>
      <c r="T2098" s="18">
        <v>4.0</v>
      </c>
      <c r="U2098" s="151">
        <v>0.0</v>
      </c>
      <c r="V2098" s="92" t="s">
        <v>315</v>
      </c>
      <c r="W2098" s="18" t="s">
        <v>58</v>
      </c>
      <c r="X2098" s="174" t="s">
        <v>41</v>
      </c>
      <c r="Y2098" s="187">
        <v>46201.0</v>
      </c>
      <c r="Z2098" s="18" t="s">
        <v>6164</v>
      </c>
      <c r="AA2098" s="92">
        <v>94.0</v>
      </c>
      <c r="AB2098" s="18"/>
      <c r="AC2098" s="18">
        <v>94.0</v>
      </c>
      <c r="AD2098" s="14">
        <v>352541.0</v>
      </c>
      <c r="AE2098" s="14"/>
      <c r="AF2098" s="14">
        <v>352541.0</v>
      </c>
      <c r="AG2098" s="22"/>
      <c r="AH2098" s="22"/>
      <c r="AI2098" s="22"/>
      <c r="AJ2098" s="22"/>
      <c r="AK2098" s="22"/>
      <c r="AL2098" s="22"/>
      <c r="AM2098" s="22"/>
      <c r="AN2098" s="22"/>
      <c r="AO2098" s="22"/>
      <c r="AP2098" s="22"/>
    </row>
    <row r="2099" hidden="1">
      <c r="A2099" s="148">
        <v>46201.0</v>
      </c>
      <c r="B2099" s="149">
        <v>0.5833333333333334</v>
      </c>
      <c r="C2099" s="11" t="s">
        <v>58</v>
      </c>
      <c r="D2099" s="102" t="s">
        <v>33</v>
      </c>
      <c r="E2099" s="10" t="s">
        <v>71</v>
      </c>
      <c r="F2099" s="10" t="s">
        <v>5574</v>
      </c>
      <c r="G2099" s="11" t="s">
        <v>6165</v>
      </c>
      <c r="H2099" s="11" t="s">
        <v>5585</v>
      </c>
      <c r="I2099" s="10" t="s">
        <v>5586</v>
      </c>
      <c r="J2099" s="14">
        <v>178275.0</v>
      </c>
      <c r="K2099" s="14">
        <v>105987.0</v>
      </c>
      <c r="L2099" s="17">
        <v>0.5945</v>
      </c>
      <c r="M2099" s="150">
        <v>0.0</v>
      </c>
      <c r="N2099" s="136">
        <v>0.0</v>
      </c>
      <c r="O2099" s="18">
        <v>105.0</v>
      </c>
      <c r="P2099" s="92">
        <v>0.0</v>
      </c>
      <c r="Q2099" s="137">
        <v>0.001</v>
      </c>
      <c r="R2099" s="17">
        <v>0.0</v>
      </c>
      <c r="S2099" s="18">
        <v>6.0</v>
      </c>
      <c r="T2099" s="18">
        <v>9.0</v>
      </c>
      <c r="U2099" s="151">
        <v>23483.0</v>
      </c>
      <c r="V2099" s="92" t="s">
        <v>315</v>
      </c>
      <c r="W2099" s="18" t="s">
        <v>58</v>
      </c>
      <c r="X2099" s="174" t="s">
        <v>69</v>
      </c>
      <c r="Y2099" s="187">
        <v>46201.0</v>
      </c>
      <c r="Z2099" s="18" t="s">
        <v>6166</v>
      </c>
      <c r="AA2099" s="92">
        <v>173.0</v>
      </c>
      <c r="AB2099" s="18"/>
      <c r="AC2099" s="18">
        <v>173.0</v>
      </c>
      <c r="AD2099" s="14">
        <v>541173.0</v>
      </c>
      <c r="AE2099" s="14"/>
      <c r="AF2099" s="14">
        <v>541173.0</v>
      </c>
      <c r="AG2099" s="22"/>
      <c r="AH2099" s="22"/>
      <c r="AI2099" s="22"/>
      <c r="AJ2099" s="22"/>
      <c r="AK2099" s="22"/>
      <c r="AL2099" s="22"/>
      <c r="AM2099" s="22"/>
      <c r="AN2099" s="22"/>
      <c r="AO2099" s="22"/>
      <c r="AP2099" s="22"/>
    </row>
    <row r="2100" hidden="1">
      <c r="A2100" s="148">
        <v>46201.0</v>
      </c>
      <c r="B2100" s="149">
        <v>0.5833333333333334</v>
      </c>
      <c r="C2100" s="11" t="s">
        <v>58</v>
      </c>
      <c r="D2100" s="102" t="s">
        <v>33</v>
      </c>
      <c r="E2100" s="10" t="s">
        <v>71</v>
      </c>
      <c r="F2100" s="10" t="s">
        <v>5574</v>
      </c>
      <c r="G2100" s="11" t="s">
        <v>6167</v>
      </c>
      <c r="H2100" s="11" t="s">
        <v>5589</v>
      </c>
      <c r="I2100" s="10" t="s">
        <v>5590</v>
      </c>
      <c r="J2100" s="14">
        <v>187515.0</v>
      </c>
      <c r="K2100" s="14">
        <v>108798.0</v>
      </c>
      <c r="L2100" s="17">
        <v>0.5802</v>
      </c>
      <c r="M2100" s="150">
        <v>0.0</v>
      </c>
      <c r="N2100" s="136">
        <v>0.0</v>
      </c>
      <c r="O2100" s="18">
        <v>135.0</v>
      </c>
      <c r="P2100" s="92">
        <v>0.0</v>
      </c>
      <c r="Q2100" s="137">
        <v>0.0012</v>
      </c>
      <c r="R2100" s="17">
        <v>0.0</v>
      </c>
      <c r="S2100" s="18">
        <v>0.0</v>
      </c>
      <c r="T2100" s="18">
        <v>6.0</v>
      </c>
      <c r="U2100" s="151">
        <v>0.0</v>
      </c>
      <c r="V2100" s="92" t="s">
        <v>315</v>
      </c>
      <c r="W2100" s="18" t="s">
        <v>58</v>
      </c>
      <c r="X2100" s="174" t="s">
        <v>69</v>
      </c>
      <c r="Y2100" s="187">
        <v>46201.0</v>
      </c>
      <c r="Z2100" s="18" t="s">
        <v>6168</v>
      </c>
      <c r="AA2100" s="92">
        <v>130.0</v>
      </c>
      <c r="AB2100" s="18"/>
      <c r="AC2100" s="18">
        <v>130.0</v>
      </c>
      <c r="AD2100" s="14">
        <v>374127.0</v>
      </c>
      <c r="AE2100" s="14"/>
      <c r="AF2100" s="14">
        <v>374127.0</v>
      </c>
      <c r="AG2100" s="22"/>
      <c r="AH2100" s="22"/>
      <c r="AI2100" s="22"/>
      <c r="AJ2100" s="22"/>
      <c r="AK2100" s="22"/>
      <c r="AL2100" s="22"/>
      <c r="AM2100" s="22"/>
      <c r="AN2100" s="22"/>
      <c r="AO2100" s="22"/>
      <c r="AP2100" s="22"/>
    </row>
    <row r="2101" hidden="1">
      <c r="A2101" s="148">
        <v>46199.0</v>
      </c>
      <c r="B2101" s="149">
        <v>0.7083333333333334</v>
      </c>
      <c r="C2101" s="11" t="s">
        <v>58</v>
      </c>
      <c r="D2101" s="102" t="s">
        <v>3083</v>
      </c>
      <c r="E2101" s="10" t="s">
        <v>1998</v>
      </c>
      <c r="F2101" s="10" t="s">
        <v>6169</v>
      </c>
      <c r="G2101" s="11" t="s">
        <v>6170</v>
      </c>
      <c r="H2101" s="11" t="s">
        <v>5312</v>
      </c>
      <c r="I2101" s="10" t="s">
        <v>2956</v>
      </c>
      <c r="J2101" s="14">
        <v>34787.0</v>
      </c>
      <c r="K2101" s="14">
        <v>16021.0</v>
      </c>
      <c r="L2101" s="17">
        <v>0.4605</v>
      </c>
      <c r="M2101" s="150">
        <v>0.0</v>
      </c>
      <c r="N2101" s="136">
        <v>0.0</v>
      </c>
      <c r="O2101" s="18">
        <v>15.0</v>
      </c>
      <c r="P2101" s="92">
        <v>0.0</v>
      </c>
      <c r="Q2101" s="137">
        <v>9.0E-4</v>
      </c>
      <c r="R2101" s="17">
        <v>0.0</v>
      </c>
      <c r="S2101" s="18">
        <v>2.0</v>
      </c>
      <c r="T2101" s="18">
        <v>0.0</v>
      </c>
      <c r="U2101" s="151">
        <v>21298.0</v>
      </c>
      <c r="V2101" s="92" t="s">
        <v>183</v>
      </c>
      <c r="W2101" s="18" t="s">
        <v>58</v>
      </c>
      <c r="X2101" s="174" t="s">
        <v>4296</v>
      </c>
      <c r="Y2101" s="94" t="s">
        <v>6046</v>
      </c>
      <c r="Z2101" s="18" t="s">
        <v>6171</v>
      </c>
      <c r="AA2101" s="92">
        <v>2.0</v>
      </c>
      <c r="AB2101" s="18">
        <v>2.0</v>
      </c>
      <c r="AC2101" s="18">
        <v>0.0</v>
      </c>
      <c r="AD2101" s="14">
        <v>7998.0</v>
      </c>
      <c r="AE2101" s="14">
        <v>7998.0</v>
      </c>
      <c r="AF2101" s="14">
        <v>0.0</v>
      </c>
      <c r="AG2101" s="22"/>
      <c r="AH2101" s="22"/>
      <c r="AI2101" s="22"/>
      <c r="AJ2101" s="22"/>
      <c r="AK2101" s="22"/>
      <c r="AL2101" s="22"/>
      <c r="AM2101" s="22"/>
      <c r="AN2101" s="22"/>
      <c r="AO2101" s="22"/>
      <c r="AP2101" s="22"/>
    </row>
    <row r="2102" hidden="1">
      <c r="A2102" s="148">
        <v>46200.0</v>
      </c>
      <c r="B2102" s="149">
        <v>0.4166666666666667</v>
      </c>
      <c r="C2102" s="11" t="s">
        <v>58</v>
      </c>
      <c r="D2102" s="102" t="s">
        <v>33</v>
      </c>
      <c r="E2102" s="10" t="s">
        <v>34</v>
      </c>
      <c r="F2102" s="10" t="s">
        <v>6172</v>
      </c>
      <c r="G2102" s="11" t="s">
        <v>6173</v>
      </c>
      <c r="H2102" s="11" t="s">
        <v>3762</v>
      </c>
      <c r="I2102" s="10" t="s">
        <v>5434</v>
      </c>
      <c r="J2102" s="14">
        <v>3652.0</v>
      </c>
      <c r="K2102" s="14">
        <v>2424.0</v>
      </c>
      <c r="L2102" s="17">
        <v>0.6637</v>
      </c>
      <c r="M2102" s="150">
        <v>0.0</v>
      </c>
      <c r="N2102" s="136">
        <v>0.0</v>
      </c>
      <c r="O2102" s="18">
        <v>7.0</v>
      </c>
      <c r="P2102" s="92">
        <v>0.0</v>
      </c>
      <c r="Q2102" s="137">
        <v>0.0029</v>
      </c>
      <c r="R2102" s="17">
        <v>0.0</v>
      </c>
      <c r="S2102" s="18">
        <v>4.0</v>
      </c>
      <c r="T2102" s="18">
        <v>0.0</v>
      </c>
      <c r="U2102" s="151">
        <v>24450.0</v>
      </c>
      <c r="V2102" s="92" t="s">
        <v>335</v>
      </c>
      <c r="W2102" s="18" t="s">
        <v>58</v>
      </c>
      <c r="X2102" s="174" t="s">
        <v>2131</v>
      </c>
      <c r="Y2102" s="95" t="s">
        <v>6174</v>
      </c>
      <c r="Z2102" s="18" t="s">
        <v>6175</v>
      </c>
      <c r="AA2102" s="92">
        <v>15.0</v>
      </c>
      <c r="AB2102" s="18">
        <v>15.0</v>
      </c>
      <c r="AC2102" s="18"/>
      <c r="AD2102" s="14">
        <v>86073.0</v>
      </c>
      <c r="AE2102" s="14">
        <v>86073.0</v>
      </c>
      <c r="AF2102" s="14"/>
      <c r="AG2102" s="22"/>
      <c r="AH2102" s="22"/>
      <c r="AI2102" s="22"/>
      <c r="AJ2102" s="22"/>
      <c r="AK2102" s="22"/>
      <c r="AL2102" s="22"/>
      <c r="AM2102" s="22"/>
      <c r="AN2102" s="22"/>
      <c r="AO2102" s="22"/>
      <c r="AP2102" s="22"/>
    </row>
    <row r="2103" hidden="1">
      <c r="A2103" s="148">
        <v>46200.0</v>
      </c>
      <c r="B2103" s="149">
        <v>0.4166666666666667</v>
      </c>
      <c r="C2103" s="11" t="s">
        <v>58</v>
      </c>
      <c r="D2103" s="102" t="s">
        <v>33</v>
      </c>
      <c r="E2103" s="10" t="s">
        <v>34</v>
      </c>
      <c r="F2103" s="10" t="s">
        <v>6176</v>
      </c>
      <c r="G2103" s="11" t="s">
        <v>6177</v>
      </c>
      <c r="H2103" s="11" t="s">
        <v>3767</v>
      </c>
      <c r="I2103" s="10" t="s">
        <v>5438</v>
      </c>
      <c r="J2103" s="14">
        <v>444.0</v>
      </c>
      <c r="K2103" s="14">
        <v>302.0</v>
      </c>
      <c r="L2103" s="17">
        <v>0.6802</v>
      </c>
      <c r="M2103" s="150">
        <v>0.0</v>
      </c>
      <c r="N2103" s="136">
        <v>0.0</v>
      </c>
      <c r="O2103" s="18">
        <v>0.0</v>
      </c>
      <c r="P2103" s="92">
        <v>0.0</v>
      </c>
      <c r="Q2103" s="137">
        <v>0.0</v>
      </c>
      <c r="R2103" s="17">
        <v>0.0</v>
      </c>
      <c r="S2103" s="18">
        <v>0.0</v>
      </c>
      <c r="T2103" s="18">
        <v>0.0</v>
      </c>
      <c r="U2103" s="151">
        <v>0.0</v>
      </c>
      <c r="V2103" s="92" t="s">
        <v>335</v>
      </c>
      <c r="W2103" s="18" t="s">
        <v>58</v>
      </c>
      <c r="X2103" s="174" t="s">
        <v>2282</v>
      </c>
      <c r="Y2103" s="95" t="s">
        <v>6174</v>
      </c>
      <c r="Z2103" s="18" t="s">
        <v>6178</v>
      </c>
      <c r="AA2103" s="92">
        <v>0.0</v>
      </c>
      <c r="AB2103" s="18">
        <v>0.0</v>
      </c>
      <c r="AC2103" s="18"/>
      <c r="AD2103" s="14">
        <v>0.0</v>
      </c>
      <c r="AE2103" s="14">
        <v>0.0</v>
      </c>
      <c r="AF2103" s="14"/>
      <c r="AG2103" s="22"/>
      <c r="AH2103" s="22"/>
      <c r="AI2103" s="22"/>
      <c r="AJ2103" s="22"/>
      <c r="AK2103" s="22"/>
      <c r="AL2103" s="22"/>
      <c r="AM2103" s="22"/>
      <c r="AN2103" s="22"/>
      <c r="AO2103" s="22"/>
      <c r="AP2103" s="22"/>
    </row>
    <row r="2104" hidden="1">
      <c r="A2104" s="148">
        <v>46200.0</v>
      </c>
      <c r="B2104" s="149">
        <v>0.4166666666666667</v>
      </c>
      <c r="C2104" s="11" t="s">
        <v>58</v>
      </c>
      <c r="D2104" s="102" t="s">
        <v>33</v>
      </c>
      <c r="E2104" s="10" t="s">
        <v>34</v>
      </c>
      <c r="F2104" s="10" t="s">
        <v>6176</v>
      </c>
      <c r="G2104" s="11" t="s">
        <v>6179</v>
      </c>
      <c r="H2104" s="11" t="s">
        <v>5441</v>
      </c>
      <c r="I2104" s="10" t="s">
        <v>5442</v>
      </c>
      <c r="J2104" s="14">
        <v>60703.0</v>
      </c>
      <c r="K2104" s="14">
        <v>35565.0</v>
      </c>
      <c r="L2104" s="17">
        <v>0.5859</v>
      </c>
      <c r="M2104" s="150">
        <v>0.0</v>
      </c>
      <c r="N2104" s="136">
        <v>0.0</v>
      </c>
      <c r="O2104" s="18">
        <v>39.0</v>
      </c>
      <c r="P2104" s="92">
        <v>0.0</v>
      </c>
      <c r="Q2104" s="137">
        <v>0.0011</v>
      </c>
      <c r="R2104" s="17">
        <v>0.0</v>
      </c>
      <c r="S2104" s="18">
        <v>4.0</v>
      </c>
      <c r="T2104" s="18">
        <v>0.0</v>
      </c>
      <c r="U2104" s="151">
        <v>35096.0</v>
      </c>
      <c r="V2104" s="92" t="s">
        <v>183</v>
      </c>
      <c r="W2104" s="18" t="s">
        <v>58</v>
      </c>
      <c r="X2104" s="174" t="s">
        <v>52</v>
      </c>
      <c r="Y2104" s="95" t="s">
        <v>6174</v>
      </c>
      <c r="Z2104" s="18" t="s">
        <v>6180</v>
      </c>
      <c r="AA2104" s="92">
        <v>64.0</v>
      </c>
      <c r="AB2104" s="18">
        <v>13.0</v>
      </c>
      <c r="AC2104" s="18">
        <v>51.0</v>
      </c>
      <c r="AD2104" s="14">
        <v>555076.0</v>
      </c>
      <c r="AE2104" s="14">
        <v>103562.0</v>
      </c>
      <c r="AF2104" s="14">
        <v>451514.0</v>
      </c>
      <c r="AG2104" s="22"/>
      <c r="AH2104" s="22"/>
      <c r="AI2104" s="22"/>
      <c r="AJ2104" s="22"/>
      <c r="AK2104" s="22"/>
      <c r="AL2104" s="22"/>
      <c r="AM2104" s="22"/>
      <c r="AN2104" s="22"/>
      <c r="AO2104" s="22"/>
      <c r="AP2104" s="22"/>
    </row>
    <row r="2105" hidden="1">
      <c r="A2105" s="148">
        <v>46200.0</v>
      </c>
      <c r="B2105" s="149">
        <v>0.4166666666666667</v>
      </c>
      <c r="C2105" s="11" t="s">
        <v>58</v>
      </c>
      <c r="D2105" s="102" t="s">
        <v>33</v>
      </c>
      <c r="E2105" s="10" t="s">
        <v>34</v>
      </c>
      <c r="F2105" s="10" t="s">
        <v>6172</v>
      </c>
      <c r="G2105" s="11" t="s">
        <v>6181</v>
      </c>
      <c r="H2105" s="11" t="s">
        <v>5445</v>
      </c>
      <c r="I2105" s="10" t="s">
        <v>5446</v>
      </c>
      <c r="J2105" s="14">
        <v>12461.0</v>
      </c>
      <c r="K2105" s="14">
        <v>7199.0</v>
      </c>
      <c r="L2105" s="17">
        <v>0.5777</v>
      </c>
      <c r="M2105" s="150">
        <v>0.0</v>
      </c>
      <c r="N2105" s="136">
        <v>0.0</v>
      </c>
      <c r="O2105" s="18">
        <v>15.0</v>
      </c>
      <c r="P2105" s="92">
        <v>0.0</v>
      </c>
      <c r="Q2105" s="137">
        <v>0.0021</v>
      </c>
      <c r="R2105" s="17">
        <v>0.0</v>
      </c>
      <c r="S2105" s="18">
        <v>6.0</v>
      </c>
      <c r="T2105" s="18">
        <v>0.0</v>
      </c>
      <c r="U2105" s="151">
        <v>38247.0</v>
      </c>
      <c r="V2105" s="92" t="s">
        <v>183</v>
      </c>
      <c r="W2105" s="18" t="s">
        <v>58</v>
      </c>
      <c r="X2105" s="174" t="s">
        <v>5447</v>
      </c>
      <c r="Y2105" s="95" t="s">
        <v>6174</v>
      </c>
      <c r="Z2105" s="18" t="s">
        <v>6182</v>
      </c>
      <c r="AA2105" s="92">
        <v>15.0</v>
      </c>
      <c r="AB2105" s="18">
        <v>11.0</v>
      </c>
      <c r="AC2105" s="18">
        <v>4.0</v>
      </c>
      <c r="AD2105" s="14">
        <v>113406.0</v>
      </c>
      <c r="AE2105" s="14">
        <v>74656.0</v>
      </c>
      <c r="AF2105" s="14">
        <v>38750.0</v>
      </c>
      <c r="AG2105" s="22"/>
      <c r="AH2105" s="22"/>
      <c r="AI2105" s="22"/>
      <c r="AJ2105" s="22"/>
      <c r="AK2105" s="22"/>
      <c r="AL2105" s="22"/>
      <c r="AM2105" s="22"/>
      <c r="AN2105" s="22"/>
      <c r="AO2105" s="22"/>
      <c r="AP2105" s="22"/>
    </row>
    <row r="2106" hidden="1">
      <c r="A2106" s="148">
        <v>46200.0</v>
      </c>
      <c r="B2106" s="149">
        <v>0.4166666666666667</v>
      </c>
      <c r="C2106" s="11" t="s">
        <v>58</v>
      </c>
      <c r="D2106" s="102" t="s">
        <v>33</v>
      </c>
      <c r="E2106" s="10" t="s">
        <v>34</v>
      </c>
      <c r="F2106" s="10" t="s">
        <v>6183</v>
      </c>
      <c r="G2106" s="11" t="s">
        <v>6184</v>
      </c>
      <c r="H2106" s="11" t="s">
        <v>3785</v>
      </c>
      <c r="I2106" s="10" t="s">
        <v>5455</v>
      </c>
      <c r="J2106" s="14">
        <v>4529.0</v>
      </c>
      <c r="K2106" s="14">
        <v>2640.0</v>
      </c>
      <c r="L2106" s="17">
        <v>0.5829</v>
      </c>
      <c r="M2106" s="150">
        <v>0.0</v>
      </c>
      <c r="N2106" s="136">
        <v>0.0</v>
      </c>
      <c r="O2106" s="18">
        <v>5.0</v>
      </c>
      <c r="P2106" s="92">
        <v>0.0</v>
      </c>
      <c r="Q2106" s="137">
        <v>0.0019</v>
      </c>
      <c r="R2106" s="17">
        <v>0.0</v>
      </c>
      <c r="S2106" s="18">
        <v>0.0</v>
      </c>
      <c r="T2106" s="18">
        <v>0.0</v>
      </c>
      <c r="U2106" s="151">
        <v>0.0</v>
      </c>
      <c r="V2106" s="92" t="s">
        <v>183</v>
      </c>
      <c r="W2106" s="18" t="s">
        <v>58</v>
      </c>
      <c r="X2106" s="174" t="s">
        <v>82</v>
      </c>
      <c r="Y2106" s="95" t="s">
        <v>6174</v>
      </c>
      <c r="Z2106" s="18" t="s">
        <v>6185</v>
      </c>
      <c r="AA2106" s="92">
        <v>6.0</v>
      </c>
      <c r="AB2106" s="18">
        <v>1.0</v>
      </c>
      <c r="AC2106" s="18">
        <v>5.0</v>
      </c>
      <c r="AD2106" s="14">
        <v>57028.0</v>
      </c>
      <c r="AE2106" s="14">
        <v>5600.0</v>
      </c>
      <c r="AF2106" s="14">
        <v>51428.0</v>
      </c>
      <c r="AG2106" s="22"/>
      <c r="AH2106" s="22"/>
      <c r="AI2106" s="22"/>
      <c r="AJ2106" s="22"/>
      <c r="AK2106" s="22"/>
      <c r="AL2106" s="22"/>
      <c r="AM2106" s="22"/>
      <c r="AN2106" s="22"/>
      <c r="AO2106" s="22"/>
      <c r="AP2106" s="22"/>
    </row>
    <row r="2107" hidden="1">
      <c r="A2107" s="148">
        <v>46200.0</v>
      </c>
      <c r="B2107" s="149">
        <v>0.4166666666666667</v>
      </c>
      <c r="C2107" s="11" t="s">
        <v>58</v>
      </c>
      <c r="D2107" s="102" t="s">
        <v>33</v>
      </c>
      <c r="E2107" s="10" t="s">
        <v>34</v>
      </c>
      <c r="F2107" s="10" t="s">
        <v>6186</v>
      </c>
      <c r="G2107" s="11" t="s">
        <v>6187</v>
      </c>
      <c r="H2107" s="11" t="s">
        <v>5450</v>
      </c>
      <c r="I2107" s="10" t="s">
        <v>5451</v>
      </c>
      <c r="J2107" s="14">
        <v>7498.0</v>
      </c>
      <c r="K2107" s="14">
        <v>4474.0</v>
      </c>
      <c r="L2107" s="17">
        <v>0.5967</v>
      </c>
      <c r="M2107" s="150">
        <v>0.0</v>
      </c>
      <c r="N2107" s="136">
        <v>0.0</v>
      </c>
      <c r="O2107" s="18">
        <v>6.0</v>
      </c>
      <c r="P2107" s="92">
        <v>0.0</v>
      </c>
      <c r="Q2107" s="137">
        <v>0.0013</v>
      </c>
      <c r="R2107" s="17">
        <v>0.0</v>
      </c>
      <c r="S2107" s="18">
        <v>0.0</v>
      </c>
      <c r="T2107" s="18">
        <v>0.0</v>
      </c>
      <c r="U2107" s="151">
        <v>0.0</v>
      </c>
      <c r="V2107" s="92" t="s">
        <v>183</v>
      </c>
      <c r="W2107" s="18" t="s">
        <v>58</v>
      </c>
      <c r="X2107" s="174" t="s">
        <v>5452</v>
      </c>
      <c r="Y2107" s="95" t="s">
        <v>6174</v>
      </c>
      <c r="Z2107" s="18" t="s">
        <v>6188</v>
      </c>
      <c r="AA2107" s="92">
        <v>16.0</v>
      </c>
      <c r="AB2107" s="18">
        <v>0.0</v>
      </c>
      <c r="AC2107" s="18">
        <v>16.0</v>
      </c>
      <c r="AD2107" s="14">
        <v>170105.0</v>
      </c>
      <c r="AE2107" s="14">
        <v>0.0</v>
      </c>
      <c r="AF2107" s="14">
        <v>170105.0</v>
      </c>
      <c r="AG2107" s="22"/>
      <c r="AH2107" s="22"/>
      <c r="AI2107" s="22"/>
      <c r="AJ2107" s="22"/>
      <c r="AK2107" s="22"/>
      <c r="AL2107" s="22"/>
      <c r="AM2107" s="22"/>
      <c r="AN2107" s="22"/>
      <c r="AO2107" s="22"/>
      <c r="AP2107" s="22"/>
    </row>
    <row r="2108" hidden="1">
      <c r="A2108" s="148">
        <v>46200.0</v>
      </c>
      <c r="B2108" s="149">
        <v>0.4166666666666667</v>
      </c>
      <c r="C2108" s="11" t="s">
        <v>58</v>
      </c>
      <c r="D2108" s="102" t="s">
        <v>33</v>
      </c>
      <c r="E2108" s="10" t="s">
        <v>34</v>
      </c>
      <c r="F2108" s="10" t="s">
        <v>6186</v>
      </c>
      <c r="G2108" s="11" t="s">
        <v>6189</v>
      </c>
      <c r="H2108" s="11" t="s">
        <v>5458</v>
      </c>
      <c r="I2108" s="10" t="s">
        <v>5459</v>
      </c>
      <c r="J2108" s="14">
        <v>52090.0</v>
      </c>
      <c r="K2108" s="14">
        <v>30873.0</v>
      </c>
      <c r="L2108" s="17">
        <v>0.5927</v>
      </c>
      <c r="M2108" s="150">
        <v>0.0</v>
      </c>
      <c r="N2108" s="136">
        <v>0.0</v>
      </c>
      <c r="O2108" s="18">
        <v>25.0</v>
      </c>
      <c r="P2108" s="92">
        <v>0.0</v>
      </c>
      <c r="Q2108" s="137">
        <v>8.0E-4</v>
      </c>
      <c r="R2108" s="17">
        <v>0.0</v>
      </c>
      <c r="S2108" s="18">
        <v>0.0</v>
      </c>
      <c r="T2108" s="18">
        <v>0.0</v>
      </c>
      <c r="U2108" s="151">
        <v>0.0</v>
      </c>
      <c r="V2108" s="92" t="s">
        <v>183</v>
      </c>
      <c r="W2108" s="18" t="s">
        <v>58</v>
      </c>
      <c r="X2108" s="174" t="s">
        <v>41</v>
      </c>
      <c r="Y2108" s="95" t="s">
        <v>6174</v>
      </c>
      <c r="Z2108" s="18" t="s">
        <v>6190</v>
      </c>
      <c r="AA2108" s="92">
        <v>46.0</v>
      </c>
      <c r="AB2108" s="18">
        <v>2.0</v>
      </c>
      <c r="AC2108" s="18">
        <v>44.0</v>
      </c>
      <c r="AD2108" s="14">
        <v>420409.0</v>
      </c>
      <c r="AE2108" s="14">
        <v>12983.0</v>
      </c>
      <c r="AF2108" s="14">
        <v>407426.0</v>
      </c>
      <c r="AG2108" s="22"/>
      <c r="AH2108" s="22"/>
      <c r="AI2108" s="22"/>
      <c r="AJ2108" s="22"/>
      <c r="AK2108" s="22"/>
      <c r="AL2108" s="22"/>
      <c r="AM2108" s="22"/>
      <c r="AN2108" s="22"/>
      <c r="AO2108" s="22"/>
      <c r="AP2108" s="22"/>
    </row>
    <row r="2109" hidden="1">
      <c r="A2109" s="148">
        <v>46200.0</v>
      </c>
      <c r="B2109" s="149">
        <v>0.4166666666666667</v>
      </c>
      <c r="C2109" s="11" t="s">
        <v>58</v>
      </c>
      <c r="D2109" s="102" t="s">
        <v>33</v>
      </c>
      <c r="E2109" s="10" t="s">
        <v>34</v>
      </c>
      <c r="F2109" s="10" t="s">
        <v>6186</v>
      </c>
      <c r="G2109" s="11" t="s">
        <v>6191</v>
      </c>
      <c r="H2109" s="11" t="s">
        <v>5462</v>
      </c>
      <c r="I2109" s="10" t="s">
        <v>5463</v>
      </c>
      <c r="J2109" s="14">
        <v>33093.0</v>
      </c>
      <c r="K2109" s="14">
        <v>18446.0</v>
      </c>
      <c r="L2109" s="17">
        <v>0.5574</v>
      </c>
      <c r="M2109" s="150">
        <v>0.0</v>
      </c>
      <c r="N2109" s="136">
        <v>0.0</v>
      </c>
      <c r="O2109" s="18">
        <v>26.0</v>
      </c>
      <c r="P2109" s="92">
        <v>0.0</v>
      </c>
      <c r="Q2109" s="137">
        <v>0.0014</v>
      </c>
      <c r="R2109" s="17">
        <v>0.0</v>
      </c>
      <c r="S2109" s="18">
        <v>0.0</v>
      </c>
      <c r="T2109" s="18">
        <v>0.0</v>
      </c>
      <c r="U2109" s="151">
        <v>0.0</v>
      </c>
      <c r="V2109" s="92" t="s">
        <v>183</v>
      </c>
      <c r="W2109" s="18" t="s">
        <v>58</v>
      </c>
      <c r="X2109" s="174" t="s">
        <v>5464</v>
      </c>
      <c r="Y2109" s="95" t="s">
        <v>6174</v>
      </c>
      <c r="Z2109" s="18" t="s">
        <v>6192</v>
      </c>
      <c r="AA2109" s="92">
        <v>22.0</v>
      </c>
      <c r="AB2109" s="18">
        <v>1.0</v>
      </c>
      <c r="AC2109" s="18">
        <v>21.0</v>
      </c>
      <c r="AD2109" s="14">
        <v>208298.0</v>
      </c>
      <c r="AE2109" s="14">
        <v>6999.0</v>
      </c>
      <c r="AF2109" s="14">
        <v>201299.0</v>
      </c>
      <c r="AG2109" s="22"/>
      <c r="AH2109" s="22"/>
      <c r="AI2109" s="22"/>
      <c r="AJ2109" s="22"/>
      <c r="AK2109" s="22"/>
      <c r="AL2109" s="22"/>
      <c r="AM2109" s="22"/>
      <c r="AN2109" s="22"/>
      <c r="AO2109" s="22"/>
      <c r="AP2109" s="22"/>
    </row>
    <row r="2110" hidden="1">
      <c r="A2110" s="148">
        <v>46200.0</v>
      </c>
      <c r="B2110" s="149">
        <v>0.4166666666666667</v>
      </c>
      <c r="C2110" s="11" t="s">
        <v>58</v>
      </c>
      <c r="D2110" s="102" t="s">
        <v>33</v>
      </c>
      <c r="E2110" s="10" t="s">
        <v>34</v>
      </c>
      <c r="F2110" s="10" t="s">
        <v>6186</v>
      </c>
      <c r="G2110" s="11" t="s">
        <v>6193</v>
      </c>
      <c r="H2110" s="11" t="s">
        <v>5467</v>
      </c>
      <c r="I2110" s="10" t="s">
        <v>5468</v>
      </c>
      <c r="J2110" s="14">
        <v>107963.0</v>
      </c>
      <c r="K2110" s="14">
        <v>61898.0</v>
      </c>
      <c r="L2110" s="17">
        <v>0.5733</v>
      </c>
      <c r="M2110" s="150">
        <v>0.0</v>
      </c>
      <c r="N2110" s="136">
        <v>0.0</v>
      </c>
      <c r="O2110" s="18">
        <v>65.0</v>
      </c>
      <c r="P2110" s="92">
        <v>0.0</v>
      </c>
      <c r="Q2110" s="137">
        <v>0.0011</v>
      </c>
      <c r="R2110" s="17">
        <v>0.0</v>
      </c>
      <c r="S2110" s="18">
        <v>0.0</v>
      </c>
      <c r="T2110" s="18">
        <v>0.0</v>
      </c>
      <c r="U2110" s="151">
        <v>0.0</v>
      </c>
      <c r="V2110" s="92" t="s">
        <v>183</v>
      </c>
      <c r="W2110" s="18" t="s">
        <v>58</v>
      </c>
      <c r="X2110" s="174" t="s">
        <v>69</v>
      </c>
      <c r="Y2110" s="95" t="s">
        <v>6174</v>
      </c>
      <c r="Z2110" s="18" t="s">
        <v>6194</v>
      </c>
      <c r="AA2110" s="92">
        <v>37.0</v>
      </c>
      <c r="AB2110" s="18">
        <v>2.0</v>
      </c>
      <c r="AC2110" s="18">
        <v>35.0</v>
      </c>
      <c r="AD2110" s="14">
        <v>351236.0</v>
      </c>
      <c r="AE2110" s="14">
        <v>26121.0</v>
      </c>
      <c r="AF2110" s="14">
        <v>325115.0</v>
      </c>
      <c r="AG2110" s="22"/>
      <c r="AH2110" s="22"/>
      <c r="AI2110" s="22"/>
      <c r="AJ2110" s="22"/>
      <c r="AK2110" s="22"/>
      <c r="AL2110" s="22"/>
      <c r="AM2110" s="22"/>
      <c r="AN2110" s="22"/>
      <c r="AO2110" s="22"/>
      <c r="AP2110" s="22"/>
    </row>
    <row r="2111" hidden="1">
      <c r="A2111" s="148">
        <v>46200.0</v>
      </c>
      <c r="B2111" s="149">
        <v>0.4166666666666667</v>
      </c>
      <c r="C2111" s="11" t="s">
        <v>58</v>
      </c>
      <c r="D2111" s="102" t="s">
        <v>33</v>
      </c>
      <c r="E2111" s="10" t="s">
        <v>34</v>
      </c>
      <c r="F2111" s="10" t="s">
        <v>6186</v>
      </c>
      <c r="G2111" s="11" t="s">
        <v>6195</v>
      </c>
      <c r="H2111" s="11" t="s">
        <v>5471</v>
      </c>
      <c r="I2111" s="10" t="s">
        <v>5472</v>
      </c>
      <c r="J2111" s="14">
        <v>50002.0</v>
      </c>
      <c r="K2111" s="14">
        <v>27811.0</v>
      </c>
      <c r="L2111" s="17">
        <v>0.5562</v>
      </c>
      <c r="M2111" s="150">
        <v>0.0</v>
      </c>
      <c r="N2111" s="136">
        <v>0.0</v>
      </c>
      <c r="O2111" s="18">
        <v>21.0</v>
      </c>
      <c r="P2111" s="92">
        <v>0.0</v>
      </c>
      <c r="Q2111" s="137">
        <v>8.0E-4</v>
      </c>
      <c r="R2111" s="17">
        <v>0.0</v>
      </c>
      <c r="S2111" s="18">
        <v>2.0</v>
      </c>
      <c r="T2111" s="18">
        <v>0.0</v>
      </c>
      <c r="U2111" s="151">
        <v>30597.0</v>
      </c>
      <c r="V2111" s="92" t="s">
        <v>183</v>
      </c>
      <c r="W2111" s="18" t="s">
        <v>58</v>
      </c>
      <c r="X2111" s="174" t="s">
        <v>69</v>
      </c>
      <c r="Y2111" s="95" t="s">
        <v>6174</v>
      </c>
      <c r="Z2111" s="18" t="s">
        <v>6196</v>
      </c>
      <c r="AA2111" s="92">
        <v>15.0</v>
      </c>
      <c r="AB2111" s="18">
        <v>4.0</v>
      </c>
      <c r="AC2111" s="18">
        <v>11.0</v>
      </c>
      <c r="AD2111" s="14">
        <v>133660.0</v>
      </c>
      <c r="AE2111" s="14">
        <v>43795.0</v>
      </c>
      <c r="AF2111" s="14">
        <v>89865.0</v>
      </c>
      <c r="AG2111" s="22"/>
      <c r="AH2111" s="22"/>
      <c r="AI2111" s="22"/>
      <c r="AJ2111" s="22"/>
      <c r="AK2111" s="22"/>
      <c r="AL2111" s="22"/>
      <c r="AM2111" s="22"/>
      <c r="AN2111" s="22"/>
      <c r="AO2111" s="22"/>
      <c r="AP2111" s="22"/>
    </row>
    <row r="2112" hidden="1">
      <c r="A2112" s="148">
        <v>46200.0</v>
      </c>
      <c r="B2112" s="149">
        <v>0.4166666666666667</v>
      </c>
      <c r="C2112" s="11" t="s">
        <v>58</v>
      </c>
      <c r="D2112" s="102" t="s">
        <v>33</v>
      </c>
      <c r="E2112" s="10" t="s">
        <v>34</v>
      </c>
      <c r="F2112" s="10" t="s">
        <v>6186</v>
      </c>
      <c r="G2112" s="11" t="s">
        <v>6197</v>
      </c>
      <c r="H2112" s="11" t="s">
        <v>5475</v>
      </c>
      <c r="I2112" s="10" t="s">
        <v>5476</v>
      </c>
      <c r="J2112" s="14">
        <v>15725.0</v>
      </c>
      <c r="K2112" s="14">
        <v>9319.0</v>
      </c>
      <c r="L2112" s="17">
        <v>0.5926</v>
      </c>
      <c r="M2112" s="150">
        <v>0.0</v>
      </c>
      <c r="N2112" s="136">
        <v>0.0</v>
      </c>
      <c r="O2112" s="18">
        <v>11.0</v>
      </c>
      <c r="P2112" s="92">
        <v>0.0</v>
      </c>
      <c r="Q2112" s="137">
        <v>0.0012</v>
      </c>
      <c r="R2112" s="17">
        <v>0.0</v>
      </c>
      <c r="S2112" s="18">
        <v>0.0</v>
      </c>
      <c r="T2112" s="18">
        <v>0.0</v>
      </c>
      <c r="U2112" s="151">
        <v>0.0</v>
      </c>
      <c r="V2112" s="92" t="s">
        <v>183</v>
      </c>
      <c r="W2112" s="18" t="s">
        <v>58</v>
      </c>
      <c r="X2112" s="174" t="s">
        <v>2286</v>
      </c>
      <c r="Y2112" s="95" t="s">
        <v>6174</v>
      </c>
      <c r="Z2112" s="18" t="s">
        <v>6198</v>
      </c>
      <c r="AA2112" s="92">
        <v>12.0</v>
      </c>
      <c r="AB2112" s="18">
        <v>1.0</v>
      </c>
      <c r="AC2112" s="18">
        <v>11.0</v>
      </c>
      <c r="AD2112" s="14">
        <v>67197.0</v>
      </c>
      <c r="AE2112" s="14">
        <v>4999.0</v>
      </c>
      <c r="AF2112" s="14">
        <v>62198.0</v>
      </c>
      <c r="AG2112" s="22"/>
      <c r="AH2112" s="22"/>
      <c r="AI2112" s="22"/>
      <c r="AJ2112" s="22"/>
      <c r="AK2112" s="22"/>
      <c r="AL2112" s="22"/>
      <c r="AM2112" s="22"/>
      <c r="AN2112" s="22"/>
      <c r="AO2112" s="22"/>
      <c r="AP2112" s="22"/>
    </row>
    <row r="2113" hidden="1">
      <c r="A2113" s="148">
        <v>46200.0</v>
      </c>
      <c r="B2113" s="149">
        <v>0.4166666666666667</v>
      </c>
      <c r="C2113" s="11" t="s">
        <v>58</v>
      </c>
      <c r="D2113" s="102" t="s">
        <v>33</v>
      </c>
      <c r="E2113" s="10" t="s">
        <v>34</v>
      </c>
      <c r="F2113" s="10" t="s">
        <v>6186</v>
      </c>
      <c r="G2113" s="11" t="s">
        <v>6199</v>
      </c>
      <c r="H2113" s="11" t="s">
        <v>3821</v>
      </c>
      <c r="I2113" s="10" t="s">
        <v>5479</v>
      </c>
      <c r="J2113" s="14">
        <v>105025.0</v>
      </c>
      <c r="K2113" s="14">
        <v>62825.0</v>
      </c>
      <c r="L2113" s="17">
        <v>0.5982</v>
      </c>
      <c r="M2113" s="150">
        <v>0.0</v>
      </c>
      <c r="N2113" s="136">
        <v>0.0</v>
      </c>
      <c r="O2113" s="18">
        <v>94.0</v>
      </c>
      <c r="P2113" s="92">
        <v>0.0</v>
      </c>
      <c r="Q2113" s="137">
        <v>0.0015</v>
      </c>
      <c r="R2113" s="17">
        <v>0.0</v>
      </c>
      <c r="S2113" s="18">
        <v>5.0</v>
      </c>
      <c r="T2113" s="18">
        <v>0.0</v>
      </c>
      <c r="U2113" s="151">
        <v>38056.0</v>
      </c>
      <c r="V2113" s="92" t="s">
        <v>183</v>
      </c>
      <c r="W2113" s="18" t="s">
        <v>58</v>
      </c>
      <c r="X2113" s="174" t="s">
        <v>5480</v>
      </c>
      <c r="Y2113" s="95" t="s">
        <v>6174</v>
      </c>
      <c r="Z2113" s="18" t="s">
        <v>6200</v>
      </c>
      <c r="AA2113" s="92">
        <v>30.0</v>
      </c>
      <c r="AB2113" s="18">
        <v>12.0</v>
      </c>
      <c r="AC2113" s="18">
        <v>18.0</v>
      </c>
      <c r="AD2113" s="14">
        <v>311539.0</v>
      </c>
      <c r="AE2113" s="14">
        <v>172232.0</v>
      </c>
      <c r="AF2113" s="14">
        <v>139307.0</v>
      </c>
      <c r="AG2113" s="22"/>
      <c r="AH2113" s="22"/>
      <c r="AI2113" s="22"/>
      <c r="AJ2113" s="22"/>
      <c r="AK2113" s="22"/>
      <c r="AL2113" s="22"/>
      <c r="AM2113" s="22"/>
      <c r="AN2113" s="22"/>
      <c r="AO2113" s="22"/>
      <c r="AP2113" s="22"/>
    </row>
    <row r="2114" hidden="1">
      <c r="A2114" s="148">
        <v>46199.0</v>
      </c>
      <c r="B2114" s="149">
        <v>0.6666666666666666</v>
      </c>
      <c r="C2114" s="11" t="s">
        <v>196</v>
      </c>
      <c r="D2114" s="102" t="s">
        <v>33</v>
      </c>
      <c r="E2114" s="10" t="s">
        <v>217</v>
      </c>
      <c r="F2114" s="10" t="s">
        <v>5557</v>
      </c>
      <c r="G2114" s="11" t="s">
        <v>6201</v>
      </c>
      <c r="H2114" s="11" t="s">
        <v>6054</v>
      </c>
      <c r="I2114" s="10" t="s">
        <v>6202</v>
      </c>
      <c r="J2114" s="14">
        <v>449489.0</v>
      </c>
      <c r="K2114" s="14">
        <v>222579.0</v>
      </c>
      <c r="L2114" s="17">
        <v>0.4952</v>
      </c>
      <c r="M2114" s="150">
        <v>48312.0</v>
      </c>
      <c r="N2114" s="136">
        <v>0.2216</v>
      </c>
      <c r="O2114" s="18">
        <v>0.0</v>
      </c>
      <c r="P2114" s="92">
        <v>0.0</v>
      </c>
      <c r="Q2114" s="137">
        <v>0.0</v>
      </c>
      <c r="R2114" s="17">
        <v>0.0</v>
      </c>
      <c r="S2114" s="18">
        <v>0.0</v>
      </c>
      <c r="T2114" s="18">
        <v>0.0</v>
      </c>
      <c r="U2114" s="151">
        <v>0.0</v>
      </c>
      <c r="V2114" s="92" t="s">
        <v>183</v>
      </c>
      <c r="W2114" s="18" t="s">
        <v>196</v>
      </c>
      <c r="X2114" s="174" t="s">
        <v>6055</v>
      </c>
      <c r="Y2114" s="94" t="s">
        <v>6056</v>
      </c>
      <c r="Z2114" s="18" t="s">
        <v>6203</v>
      </c>
      <c r="AA2114" s="92">
        <v>1439.0</v>
      </c>
      <c r="AB2114" s="18">
        <v>0.0</v>
      </c>
      <c r="AC2114" s="18">
        <v>1439.0</v>
      </c>
      <c r="AD2114" s="14">
        <v>2466443.0</v>
      </c>
      <c r="AE2114" s="14">
        <v>0.0</v>
      </c>
      <c r="AF2114" s="14">
        <v>2466443.0</v>
      </c>
      <c r="AG2114" s="22"/>
      <c r="AH2114" s="22"/>
      <c r="AI2114" s="22"/>
      <c r="AJ2114" s="22"/>
      <c r="AK2114" s="22"/>
      <c r="AL2114" s="22"/>
      <c r="AM2114" s="22"/>
      <c r="AN2114" s="22"/>
      <c r="AO2114" s="22"/>
      <c r="AP2114" s="22"/>
    </row>
    <row r="2115" hidden="1">
      <c r="A2115" s="148">
        <v>46199.0</v>
      </c>
      <c r="B2115" s="149">
        <v>0.5</v>
      </c>
      <c r="C2115" s="11" t="s">
        <v>196</v>
      </c>
      <c r="D2115" s="102" t="s">
        <v>3083</v>
      </c>
      <c r="E2115" s="10" t="s">
        <v>1998</v>
      </c>
      <c r="F2115" s="10" t="s">
        <v>6204</v>
      </c>
      <c r="G2115" s="11" t="s">
        <v>6205</v>
      </c>
      <c r="H2115" s="11" t="s">
        <v>5312</v>
      </c>
      <c r="I2115" s="10" t="s">
        <v>61</v>
      </c>
      <c r="J2115" s="14">
        <v>36597.0</v>
      </c>
      <c r="K2115" s="14">
        <v>1830.0</v>
      </c>
      <c r="L2115" s="188">
        <v>0.05</v>
      </c>
      <c r="M2115" s="150">
        <v>365.0</v>
      </c>
      <c r="N2115" s="136">
        <v>0.2005</v>
      </c>
      <c r="O2115" s="18">
        <v>10.0</v>
      </c>
      <c r="P2115" s="92">
        <v>0.0</v>
      </c>
      <c r="Q2115" s="137">
        <v>0.0055</v>
      </c>
      <c r="R2115" s="17">
        <v>0.0</v>
      </c>
      <c r="S2115" s="18">
        <v>0.0</v>
      </c>
      <c r="T2115" s="18">
        <v>0.0</v>
      </c>
      <c r="U2115" s="151">
        <v>0.0</v>
      </c>
      <c r="V2115" s="92" t="s">
        <v>183</v>
      </c>
      <c r="W2115" s="18" t="s">
        <v>196</v>
      </c>
      <c r="X2115" s="174" t="s">
        <v>4296</v>
      </c>
      <c r="Y2115" s="94" t="s">
        <v>6046</v>
      </c>
      <c r="Z2115" s="18" t="s">
        <v>6206</v>
      </c>
      <c r="AA2115" s="92">
        <v>0.0</v>
      </c>
      <c r="AB2115" s="18">
        <v>0.0</v>
      </c>
      <c r="AC2115" s="18">
        <v>0.0</v>
      </c>
      <c r="AD2115" s="14">
        <v>0.0</v>
      </c>
      <c r="AE2115" s="14">
        <v>0.0</v>
      </c>
      <c r="AF2115" s="14">
        <v>0.0</v>
      </c>
      <c r="AG2115" s="22"/>
      <c r="AH2115" s="22"/>
      <c r="AI2115" s="22"/>
      <c r="AJ2115" s="22"/>
      <c r="AK2115" s="22"/>
      <c r="AL2115" s="22"/>
      <c r="AM2115" s="22"/>
      <c r="AN2115" s="22"/>
      <c r="AO2115" s="22"/>
      <c r="AP2115" s="22"/>
    </row>
    <row r="2116" hidden="1">
      <c r="A2116" s="148">
        <v>46202.0</v>
      </c>
      <c r="B2116" s="149">
        <v>0.4166666666666667</v>
      </c>
      <c r="C2116" s="11" t="s">
        <v>32</v>
      </c>
      <c r="D2116" s="102" t="s">
        <v>33</v>
      </c>
      <c r="E2116" s="10" t="s">
        <v>71</v>
      </c>
      <c r="F2116" s="10" t="s">
        <v>5574</v>
      </c>
      <c r="G2116" s="11" t="s">
        <v>6207</v>
      </c>
      <c r="H2116" s="11" t="s">
        <v>5939</v>
      </c>
      <c r="I2116" s="10" t="s">
        <v>1101</v>
      </c>
      <c r="J2116" s="14">
        <v>24227.0</v>
      </c>
      <c r="K2116" s="14">
        <v>13848.0</v>
      </c>
      <c r="L2116" s="17">
        <v>0.5714</v>
      </c>
      <c r="M2116" s="150">
        <v>6069.0</v>
      </c>
      <c r="N2116" s="136">
        <v>0.4383</v>
      </c>
      <c r="O2116" s="18">
        <v>1022.0</v>
      </c>
      <c r="P2116" s="92">
        <v>927.0</v>
      </c>
      <c r="Q2116" s="137">
        <v>0.067</v>
      </c>
      <c r="R2116" s="17">
        <v>0.1528</v>
      </c>
      <c r="S2116" s="18">
        <v>31.0</v>
      </c>
      <c r="T2116" s="18">
        <v>167.0</v>
      </c>
      <c r="U2116" s="151">
        <v>56964.0</v>
      </c>
      <c r="V2116" s="92" t="s">
        <v>183</v>
      </c>
      <c r="W2116" s="18" t="s">
        <v>76</v>
      </c>
      <c r="X2116" s="174" t="s">
        <v>1101</v>
      </c>
      <c r="Y2116" s="175" t="s">
        <v>6208</v>
      </c>
      <c r="Z2116" s="18" t="s">
        <v>6209</v>
      </c>
      <c r="AA2116" s="92">
        <v>63.0</v>
      </c>
      <c r="AB2116" s="14">
        <v>96993.0</v>
      </c>
      <c r="AC2116" s="18">
        <v>19.0</v>
      </c>
      <c r="AD2116" s="14">
        <v>137917.0</v>
      </c>
      <c r="AE2116" s="14">
        <v>96993.0</v>
      </c>
      <c r="AF2116" s="14">
        <v>40924.0</v>
      </c>
      <c r="AG2116" s="22"/>
      <c r="AH2116" s="22"/>
      <c r="AI2116" s="22"/>
      <c r="AJ2116" s="22"/>
      <c r="AK2116" s="22"/>
      <c r="AL2116" s="22"/>
      <c r="AM2116" s="22"/>
      <c r="AN2116" s="22"/>
      <c r="AO2116" s="22"/>
      <c r="AP2116" s="22"/>
    </row>
    <row r="2117" hidden="1">
      <c r="A2117" s="148">
        <v>46207.0</v>
      </c>
      <c r="B2117" s="149">
        <v>0.5</v>
      </c>
      <c r="C2117" s="11" t="s">
        <v>32</v>
      </c>
      <c r="D2117" s="102" t="s">
        <v>33</v>
      </c>
      <c r="E2117" s="10" t="s">
        <v>71</v>
      </c>
      <c r="F2117" s="10" t="s">
        <v>6210</v>
      </c>
      <c r="G2117" s="11" t="s">
        <v>6211</v>
      </c>
      <c r="H2117" s="11" t="s">
        <v>4907</v>
      </c>
      <c r="I2117" s="10" t="s">
        <v>4908</v>
      </c>
      <c r="J2117" s="14">
        <v>77105.0</v>
      </c>
      <c r="K2117" s="14">
        <v>23900.0</v>
      </c>
      <c r="L2117" s="17">
        <v>0.31</v>
      </c>
      <c r="M2117" s="150">
        <v>7449.0</v>
      </c>
      <c r="N2117" s="136">
        <v>0.3115</v>
      </c>
      <c r="O2117" s="18">
        <v>449.0</v>
      </c>
      <c r="P2117" s="92">
        <v>428.0</v>
      </c>
      <c r="Q2117" s="137">
        <v>0.0179</v>
      </c>
      <c r="R2117" s="17">
        <v>0.0575</v>
      </c>
      <c r="S2117" s="18">
        <v>7.0</v>
      </c>
      <c r="T2117" s="18">
        <v>20.0</v>
      </c>
      <c r="U2117" s="151">
        <v>20031.0</v>
      </c>
      <c r="V2117" s="92" t="s">
        <v>315</v>
      </c>
      <c r="W2117" s="18" t="s">
        <v>76</v>
      </c>
      <c r="X2117" s="174" t="s">
        <v>4502</v>
      </c>
      <c r="Y2117" s="175" t="s">
        <v>6212</v>
      </c>
      <c r="Z2117" s="18" t="s">
        <v>6213</v>
      </c>
      <c r="AA2117" s="92">
        <v>136.0</v>
      </c>
      <c r="AB2117" s="18"/>
      <c r="AC2117" s="18">
        <v>136.0</v>
      </c>
      <c r="AD2117" s="14">
        <v>397105.0</v>
      </c>
      <c r="AE2117" s="14"/>
      <c r="AF2117" s="14">
        <v>397105.0</v>
      </c>
      <c r="AG2117" s="22"/>
      <c r="AH2117" s="22"/>
      <c r="AI2117" s="22"/>
      <c r="AJ2117" s="22"/>
      <c r="AK2117" s="22"/>
      <c r="AL2117" s="22"/>
      <c r="AM2117" s="22"/>
      <c r="AN2117" s="22"/>
      <c r="AO2117" s="22"/>
      <c r="AP2117" s="22"/>
    </row>
    <row r="2118" hidden="1">
      <c r="A2118" s="148">
        <v>46207.0</v>
      </c>
      <c r="B2118" s="149">
        <v>0.5</v>
      </c>
      <c r="C2118" s="11" t="s">
        <v>32</v>
      </c>
      <c r="D2118" s="102" t="s">
        <v>33</v>
      </c>
      <c r="E2118" s="10" t="s">
        <v>71</v>
      </c>
      <c r="F2118" s="10" t="s">
        <v>6210</v>
      </c>
      <c r="G2118" s="11" t="s">
        <v>6214</v>
      </c>
      <c r="H2118" s="11" t="s">
        <v>5276</v>
      </c>
      <c r="I2118" s="10" t="s">
        <v>5277</v>
      </c>
      <c r="J2118" s="14">
        <v>55975.0</v>
      </c>
      <c r="K2118" s="14">
        <v>19255.0</v>
      </c>
      <c r="L2118" s="17">
        <v>0.344</v>
      </c>
      <c r="M2118" s="150">
        <v>5446.0</v>
      </c>
      <c r="N2118" s="136">
        <v>0.2827</v>
      </c>
      <c r="O2118" s="18">
        <v>393.0</v>
      </c>
      <c r="P2118" s="92">
        <v>364.0</v>
      </c>
      <c r="Q2118" s="137">
        <v>0.0189</v>
      </c>
      <c r="R2118" s="17">
        <v>0.0669</v>
      </c>
      <c r="S2118" s="18">
        <v>6.0</v>
      </c>
      <c r="T2118" s="18">
        <v>16.0</v>
      </c>
      <c r="U2118" s="151">
        <v>14692.0</v>
      </c>
      <c r="V2118" s="92" t="s">
        <v>315</v>
      </c>
      <c r="W2118" s="18" t="s">
        <v>76</v>
      </c>
      <c r="X2118" s="174" t="s">
        <v>4502</v>
      </c>
      <c r="Y2118" s="175" t="s">
        <v>6212</v>
      </c>
      <c r="Z2118" s="18" t="s">
        <v>6215</v>
      </c>
      <c r="AA2118" s="92">
        <v>145.0</v>
      </c>
      <c r="AB2118" s="18"/>
      <c r="AC2118" s="18">
        <v>145.0</v>
      </c>
      <c r="AD2118" s="14">
        <v>591514.0</v>
      </c>
      <c r="AE2118" s="14"/>
      <c r="AF2118" s="14">
        <v>591514.0</v>
      </c>
      <c r="AG2118" s="22"/>
      <c r="AH2118" s="22"/>
      <c r="AI2118" s="22"/>
      <c r="AJ2118" s="22"/>
      <c r="AK2118" s="22"/>
      <c r="AL2118" s="22"/>
      <c r="AM2118" s="22"/>
      <c r="AN2118" s="22"/>
      <c r="AO2118" s="22"/>
      <c r="AP2118" s="22"/>
    </row>
    <row r="2119" hidden="1">
      <c r="A2119" s="148">
        <v>46207.0</v>
      </c>
      <c r="B2119" s="149">
        <v>0.5</v>
      </c>
      <c r="C2119" s="11" t="s">
        <v>32</v>
      </c>
      <c r="D2119" s="102" t="s">
        <v>33</v>
      </c>
      <c r="E2119" s="10" t="s">
        <v>71</v>
      </c>
      <c r="F2119" s="10" t="s">
        <v>6210</v>
      </c>
      <c r="G2119" s="11" t="s">
        <v>6216</v>
      </c>
      <c r="H2119" s="11" t="s">
        <v>6217</v>
      </c>
      <c r="I2119" s="10" t="s">
        <v>6218</v>
      </c>
      <c r="J2119" s="14">
        <v>45628.0</v>
      </c>
      <c r="K2119" s="14">
        <v>16661.0</v>
      </c>
      <c r="L2119" s="17">
        <v>0.365</v>
      </c>
      <c r="M2119" s="150">
        <v>5620.0</v>
      </c>
      <c r="N2119" s="136">
        <v>0.3372</v>
      </c>
      <c r="O2119" s="18">
        <v>415.0</v>
      </c>
      <c r="P2119" s="92">
        <v>400.0</v>
      </c>
      <c r="Q2119" s="137">
        <v>0.024</v>
      </c>
      <c r="R2119" s="17">
        <v>0.0712</v>
      </c>
      <c r="S2119" s="18">
        <v>3.0</v>
      </c>
      <c r="T2119" s="18">
        <v>10.0</v>
      </c>
      <c r="U2119" s="151">
        <v>7672.0</v>
      </c>
      <c r="V2119" s="92" t="s">
        <v>315</v>
      </c>
      <c r="W2119" s="18" t="s">
        <v>76</v>
      </c>
      <c r="X2119" s="174" t="s">
        <v>4502</v>
      </c>
      <c r="Y2119" s="175" t="s">
        <v>6212</v>
      </c>
      <c r="Z2119" s="18" t="s">
        <v>6219</v>
      </c>
      <c r="AA2119" s="92">
        <v>104.0</v>
      </c>
      <c r="AB2119" s="18"/>
      <c r="AC2119" s="18">
        <v>104.0</v>
      </c>
      <c r="AD2119" s="14">
        <v>346154.0</v>
      </c>
      <c r="AE2119" s="14"/>
      <c r="AF2119" s="14">
        <v>346154.0</v>
      </c>
      <c r="AG2119" s="22"/>
      <c r="AH2119" s="22"/>
      <c r="AI2119" s="22"/>
      <c r="AJ2119" s="22"/>
      <c r="AK2119" s="22"/>
      <c r="AL2119" s="22"/>
      <c r="AM2119" s="22"/>
      <c r="AN2119" s="22"/>
      <c r="AO2119" s="22"/>
      <c r="AP2119" s="22"/>
    </row>
    <row r="2120" hidden="1">
      <c r="A2120" s="148">
        <v>46207.0</v>
      </c>
      <c r="B2120" s="149">
        <v>0.5</v>
      </c>
      <c r="C2120" s="11" t="s">
        <v>32</v>
      </c>
      <c r="D2120" s="102" t="s">
        <v>33</v>
      </c>
      <c r="E2120" s="10" t="s">
        <v>71</v>
      </c>
      <c r="F2120" s="10" t="s">
        <v>6210</v>
      </c>
      <c r="G2120" s="11" t="s">
        <v>6220</v>
      </c>
      <c r="H2120" s="11" t="s">
        <v>4928</v>
      </c>
      <c r="I2120" s="10" t="s">
        <v>4929</v>
      </c>
      <c r="J2120" s="14">
        <v>27098.0</v>
      </c>
      <c r="K2120" s="14">
        <v>8897.0</v>
      </c>
      <c r="L2120" s="17">
        <v>0.3283</v>
      </c>
      <c r="M2120" s="150">
        <v>2995.0</v>
      </c>
      <c r="N2120" s="136">
        <v>0.3363</v>
      </c>
      <c r="O2120" s="18">
        <v>189.0</v>
      </c>
      <c r="P2120" s="92">
        <v>177.0</v>
      </c>
      <c r="Q2120" s="137">
        <v>0.0199</v>
      </c>
      <c r="R2120" s="17">
        <v>0.0592</v>
      </c>
      <c r="S2120" s="18">
        <v>3.0</v>
      </c>
      <c r="T2120" s="18">
        <v>6.0</v>
      </c>
      <c r="U2120" s="151">
        <v>13762.0</v>
      </c>
      <c r="V2120" s="92" t="s">
        <v>315</v>
      </c>
      <c r="W2120" s="18" t="s">
        <v>76</v>
      </c>
      <c r="X2120" s="174" t="s">
        <v>4502</v>
      </c>
      <c r="Y2120" s="175" t="s">
        <v>6212</v>
      </c>
      <c r="Z2120" s="18" t="s">
        <v>6221</v>
      </c>
      <c r="AA2120" s="92">
        <v>40.0</v>
      </c>
      <c r="AB2120" s="18"/>
      <c r="AC2120" s="18">
        <v>40.0</v>
      </c>
      <c r="AD2120" s="14">
        <v>159270.0</v>
      </c>
      <c r="AE2120" s="14"/>
      <c r="AF2120" s="14">
        <v>159270.0</v>
      </c>
      <c r="AG2120" s="22"/>
      <c r="AH2120" s="22"/>
      <c r="AI2120" s="22"/>
      <c r="AJ2120" s="22"/>
      <c r="AK2120" s="22"/>
      <c r="AL2120" s="22"/>
      <c r="AM2120" s="22"/>
      <c r="AN2120" s="22"/>
      <c r="AO2120" s="22"/>
      <c r="AP2120" s="22"/>
    </row>
    <row r="2121" hidden="1">
      <c r="A2121" s="148">
        <v>46207.0</v>
      </c>
      <c r="B2121" s="149">
        <v>0.5</v>
      </c>
      <c r="C2121" s="11" t="s">
        <v>32</v>
      </c>
      <c r="D2121" s="102" t="s">
        <v>33</v>
      </c>
      <c r="E2121" s="10" t="s">
        <v>71</v>
      </c>
      <c r="F2121" s="10" t="s">
        <v>6210</v>
      </c>
      <c r="G2121" s="11" t="s">
        <v>6222</v>
      </c>
      <c r="H2121" s="11" t="s">
        <v>4916</v>
      </c>
      <c r="I2121" s="10" t="s">
        <v>4917</v>
      </c>
      <c r="J2121" s="14">
        <v>25456.0</v>
      </c>
      <c r="K2121" s="14">
        <v>11359.0</v>
      </c>
      <c r="L2121" s="17">
        <v>0.4462</v>
      </c>
      <c r="M2121" s="150">
        <v>4585.0</v>
      </c>
      <c r="N2121" s="136">
        <v>0.4034</v>
      </c>
      <c r="O2121" s="18">
        <v>254.0</v>
      </c>
      <c r="P2121" s="92">
        <v>242.0</v>
      </c>
      <c r="Q2121" s="137">
        <v>0.0213</v>
      </c>
      <c r="R2121" s="17">
        <v>0.0528</v>
      </c>
      <c r="S2121" s="18">
        <v>3.0</v>
      </c>
      <c r="T2121" s="18">
        <v>8.0</v>
      </c>
      <c r="U2121" s="151">
        <v>12112.0</v>
      </c>
      <c r="V2121" s="92" t="s">
        <v>315</v>
      </c>
      <c r="W2121" s="18" t="s">
        <v>76</v>
      </c>
      <c r="X2121" s="174" t="s">
        <v>4502</v>
      </c>
      <c r="Y2121" s="175" t="s">
        <v>6212</v>
      </c>
      <c r="Z2121" s="18" t="s">
        <v>6223</v>
      </c>
      <c r="AA2121" s="92">
        <v>83.0</v>
      </c>
      <c r="AB2121" s="18"/>
      <c r="AC2121" s="18">
        <v>83.0</v>
      </c>
      <c r="AD2121" s="14">
        <v>143004.0</v>
      </c>
      <c r="AE2121" s="14"/>
      <c r="AF2121" s="14">
        <v>143004.0</v>
      </c>
      <c r="AG2121" s="22"/>
      <c r="AH2121" s="22"/>
      <c r="AI2121" s="22"/>
      <c r="AJ2121" s="22"/>
      <c r="AK2121" s="22"/>
      <c r="AL2121" s="22"/>
      <c r="AM2121" s="22"/>
      <c r="AN2121" s="22"/>
      <c r="AO2121" s="22"/>
      <c r="AP2121" s="22"/>
    </row>
    <row r="2122" hidden="1">
      <c r="A2122" s="148">
        <v>46207.0</v>
      </c>
      <c r="B2122" s="149">
        <v>0.5</v>
      </c>
      <c r="C2122" s="11" t="s">
        <v>32</v>
      </c>
      <c r="D2122" s="102" t="s">
        <v>33</v>
      </c>
      <c r="E2122" s="10" t="s">
        <v>71</v>
      </c>
      <c r="F2122" s="10" t="s">
        <v>6210</v>
      </c>
      <c r="G2122" s="11" t="s">
        <v>6224</v>
      </c>
      <c r="H2122" s="11" t="s">
        <v>4936</v>
      </c>
      <c r="I2122" s="10" t="s">
        <v>4937</v>
      </c>
      <c r="J2122" s="14">
        <v>22971.0</v>
      </c>
      <c r="K2122" s="14">
        <v>9281.0</v>
      </c>
      <c r="L2122" s="17">
        <v>0.4039</v>
      </c>
      <c r="M2122" s="150">
        <v>3150.0</v>
      </c>
      <c r="N2122" s="136">
        <v>0.3392</v>
      </c>
      <c r="O2122" s="18">
        <v>201.0</v>
      </c>
      <c r="P2122" s="92">
        <v>189.0</v>
      </c>
      <c r="Q2122" s="137">
        <v>0.0204</v>
      </c>
      <c r="R2122" s="17">
        <v>0.0601</v>
      </c>
      <c r="S2122" s="18">
        <v>1.0</v>
      </c>
      <c r="T2122" s="18">
        <v>5.0</v>
      </c>
      <c r="U2122" s="151">
        <v>7494.0</v>
      </c>
      <c r="V2122" s="92" t="s">
        <v>315</v>
      </c>
      <c r="W2122" s="18" t="s">
        <v>76</v>
      </c>
      <c r="X2122" s="174" t="s">
        <v>4502</v>
      </c>
      <c r="Y2122" s="175" t="s">
        <v>6212</v>
      </c>
      <c r="Z2122" s="18" t="s">
        <v>6225</v>
      </c>
      <c r="AA2122" s="92">
        <v>58.0</v>
      </c>
      <c r="AB2122" s="18"/>
      <c r="AC2122" s="18">
        <v>58.0</v>
      </c>
      <c r="AD2122" s="14">
        <v>263490.0</v>
      </c>
      <c r="AE2122" s="14"/>
      <c r="AF2122" s="14">
        <v>263490.0</v>
      </c>
      <c r="AG2122" s="22"/>
      <c r="AH2122" s="22"/>
      <c r="AI2122" s="22"/>
      <c r="AJ2122" s="22"/>
      <c r="AK2122" s="22"/>
      <c r="AL2122" s="22"/>
      <c r="AM2122" s="22"/>
      <c r="AN2122" s="22"/>
      <c r="AO2122" s="22"/>
      <c r="AP2122" s="22"/>
    </row>
    <row r="2123" hidden="1">
      <c r="A2123" s="148">
        <v>46207.0</v>
      </c>
      <c r="B2123" s="149">
        <v>0.5</v>
      </c>
      <c r="C2123" s="11" t="s">
        <v>32</v>
      </c>
      <c r="D2123" s="102" t="s">
        <v>33</v>
      </c>
      <c r="E2123" s="10" t="s">
        <v>71</v>
      </c>
      <c r="F2123" s="10" t="s">
        <v>6210</v>
      </c>
      <c r="G2123" s="11" t="s">
        <v>6226</v>
      </c>
      <c r="H2123" s="11" t="s">
        <v>4944</v>
      </c>
      <c r="I2123" s="10" t="s">
        <v>4945</v>
      </c>
      <c r="J2123" s="14">
        <v>22114.0</v>
      </c>
      <c r="K2123" s="14">
        <v>7386.0</v>
      </c>
      <c r="L2123" s="17">
        <v>0.334</v>
      </c>
      <c r="M2123" s="150">
        <v>2123.0</v>
      </c>
      <c r="N2123" s="136">
        <v>0.2874</v>
      </c>
      <c r="O2123" s="18">
        <v>175.0</v>
      </c>
      <c r="P2123" s="92">
        <v>167.0</v>
      </c>
      <c r="Q2123" s="137">
        <v>0.0226</v>
      </c>
      <c r="R2123" s="17">
        <v>0.0787</v>
      </c>
      <c r="S2123" s="18">
        <v>0.0</v>
      </c>
      <c r="T2123" s="18">
        <v>6.0</v>
      </c>
      <c r="U2123" s="151">
        <v>0.0</v>
      </c>
      <c r="V2123" s="92" t="s">
        <v>315</v>
      </c>
      <c r="W2123" s="18" t="s">
        <v>76</v>
      </c>
      <c r="X2123" s="174" t="s">
        <v>4502</v>
      </c>
      <c r="Y2123" s="175" t="s">
        <v>6212</v>
      </c>
      <c r="Z2123" s="18" t="s">
        <v>6227</v>
      </c>
      <c r="AA2123" s="92">
        <v>52.0</v>
      </c>
      <c r="AB2123" s="18"/>
      <c r="AC2123" s="18">
        <v>52.0</v>
      </c>
      <c r="AD2123" s="14">
        <v>190957.0</v>
      </c>
      <c r="AE2123" s="14"/>
      <c r="AF2123" s="14">
        <v>190957.0</v>
      </c>
      <c r="AG2123" s="22"/>
      <c r="AH2123" s="22"/>
      <c r="AI2123" s="22"/>
      <c r="AJ2123" s="22"/>
      <c r="AK2123" s="22"/>
      <c r="AL2123" s="22"/>
      <c r="AM2123" s="22"/>
      <c r="AN2123" s="22"/>
      <c r="AO2123" s="22"/>
      <c r="AP2123" s="22"/>
    </row>
    <row r="2124" hidden="1">
      <c r="A2124" s="148">
        <v>46207.0</v>
      </c>
      <c r="B2124" s="149">
        <v>0.5</v>
      </c>
      <c r="C2124" s="11" t="s">
        <v>32</v>
      </c>
      <c r="D2124" s="102" t="s">
        <v>33</v>
      </c>
      <c r="E2124" s="10" t="s">
        <v>71</v>
      </c>
      <c r="F2124" s="10" t="s">
        <v>6210</v>
      </c>
      <c r="G2124" s="11" t="s">
        <v>6228</v>
      </c>
      <c r="H2124" s="11" t="s">
        <v>5280</v>
      </c>
      <c r="I2124" s="140" t="s">
        <v>5281</v>
      </c>
      <c r="J2124" s="14">
        <v>22318.0</v>
      </c>
      <c r="K2124" s="14">
        <v>8527.0</v>
      </c>
      <c r="L2124" s="17">
        <v>0.382</v>
      </c>
      <c r="M2124" s="150">
        <v>2838.0</v>
      </c>
      <c r="N2124" s="136">
        <v>0.3326</v>
      </c>
      <c r="O2124" s="18">
        <v>175.0</v>
      </c>
      <c r="P2124" s="92">
        <v>162.0</v>
      </c>
      <c r="Q2124" s="137">
        <v>0.019</v>
      </c>
      <c r="R2124" s="17">
        <v>0.0571</v>
      </c>
      <c r="S2124" s="18">
        <v>3.0</v>
      </c>
      <c r="T2124" s="18">
        <v>10.0</v>
      </c>
      <c r="U2124" s="151">
        <v>8147.0</v>
      </c>
      <c r="V2124" s="92" t="s">
        <v>315</v>
      </c>
      <c r="W2124" s="18" t="s">
        <v>76</v>
      </c>
      <c r="X2124" s="174" t="s">
        <v>4502</v>
      </c>
      <c r="Y2124" s="175" t="s">
        <v>6212</v>
      </c>
      <c r="Z2124" s="18" t="s">
        <v>6229</v>
      </c>
      <c r="AA2124" s="92">
        <v>59.0</v>
      </c>
      <c r="AB2124" s="18"/>
      <c r="AC2124" s="18">
        <v>59.0</v>
      </c>
      <c r="AD2124" s="14">
        <v>274469.0</v>
      </c>
      <c r="AE2124" s="14"/>
      <c r="AF2124" s="14">
        <v>274469.0</v>
      </c>
      <c r="AG2124" s="22"/>
      <c r="AH2124" s="22"/>
      <c r="AI2124" s="22"/>
      <c r="AJ2124" s="22"/>
      <c r="AK2124" s="22"/>
      <c r="AL2124" s="22"/>
      <c r="AM2124" s="22"/>
      <c r="AN2124" s="22"/>
      <c r="AO2124" s="22"/>
      <c r="AP2124" s="22"/>
    </row>
    <row r="2125" hidden="1">
      <c r="A2125" s="148">
        <v>46207.0</v>
      </c>
      <c r="B2125" s="149">
        <v>0.5</v>
      </c>
      <c r="C2125" s="11" t="s">
        <v>32</v>
      </c>
      <c r="D2125" s="102" t="s">
        <v>33</v>
      </c>
      <c r="E2125" s="10" t="s">
        <v>71</v>
      </c>
      <c r="F2125" s="10" t="s">
        <v>6210</v>
      </c>
      <c r="G2125" s="11" t="s">
        <v>6230</v>
      </c>
      <c r="H2125" s="11" t="s">
        <v>4940</v>
      </c>
      <c r="I2125" s="10" t="s">
        <v>4941</v>
      </c>
      <c r="J2125" s="14">
        <v>17605.0</v>
      </c>
      <c r="K2125" s="14">
        <v>5448.0</v>
      </c>
      <c r="L2125" s="17">
        <v>0.3095</v>
      </c>
      <c r="M2125" s="150">
        <v>1536.0</v>
      </c>
      <c r="N2125" s="136">
        <v>0.2816</v>
      </c>
      <c r="O2125" s="18">
        <v>121.0</v>
      </c>
      <c r="P2125" s="92">
        <v>114.0</v>
      </c>
      <c r="Q2125" s="137">
        <v>0.0209</v>
      </c>
      <c r="R2125" s="17">
        <v>0.0743</v>
      </c>
      <c r="S2125" s="18">
        <v>1.0</v>
      </c>
      <c r="T2125" s="18">
        <v>4.0</v>
      </c>
      <c r="U2125" s="151">
        <v>929.0</v>
      </c>
      <c r="V2125" s="92" t="s">
        <v>315</v>
      </c>
      <c r="W2125" s="18" t="s">
        <v>76</v>
      </c>
      <c r="X2125" s="174" t="s">
        <v>4502</v>
      </c>
      <c r="Y2125" s="175" t="s">
        <v>6212</v>
      </c>
      <c r="Z2125" s="18" t="s">
        <v>6231</v>
      </c>
      <c r="AA2125" s="92">
        <v>40.0</v>
      </c>
      <c r="AB2125" s="18"/>
      <c r="AC2125" s="18">
        <v>40.0</v>
      </c>
      <c r="AD2125" s="14">
        <v>280157.0</v>
      </c>
      <c r="AE2125" s="14"/>
      <c r="AF2125" s="14">
        <v>280157.0</v>
      </c>
      <c r="AG2125" s="22"/>
      <c r="AH2125" s="22"/>
      <c r="AI2125" s="22"/>
      <c r="AJ2125" s="22"/>
      <c r="AK2125" s="22"/>
      <c r="AL2125" s="22"/>
      <c r="AM2125" s="22"/>
      <c r="AN2125" s="22"/>
      <c r="AO2125" s="22"/>
      <c r="AP2125" s="22"/>
    </row>
    <row r="2126" hidden="1">
      <c r="A2126" s="148">
        <v>46207.0</v>
      </c>
      <c r="B2126" s="149">
        <v>0.5</v>
      </c>
      <c r="C2126" s="11" t="s">
        <v>32</v>
      </c>
      <c r="D2126" s="102" t="s">
        <v>33</v>
      </c>
      <c r="E2126" s="10" t="s">
        <v>71</v>
      </c>
      <c r="F2126" s="10" t="s">
        <v>6210</v>
      </c>
      <c r="G2126" s="11" t="s">
        <v>6232</v>
      </c>
      <c r="H2126" s="11" t="s">
        <v>4920</v>
      </c>
      <c r="I2126" s="140" t="s">
        <v>4921</v>
      </c>
      <c r="J2126" s="14">
        <v>12710.0</v>
      </c>
      <c r="K2126" s="14">
        <v>4788.0</v>
      </c>
      <c r="L2126" s="17">
        <v>0.3767</v>
      </c>
      <c r="M2126" s="150">
        <v>1637.0</v>
      </c>
      <c r="N2126" s="136">
        <v>0.3417</v>
      </c>
      <c r="O2126" s="18">
        <v>109.0</v>
      </c>
      <c r="P2126" s="92">
        <v>104.0</v>
      </c>
      <c r="Q2126" s="137">
        <v>0.0217</v>
      </c>
      <c r="R2126" s="17">
        <v>0.0636</v>
      </c>
      <c r="S2126" s="18">
        <v>1.0</v>
      </c>
      <c r="T2126" s="18">
        <v>3.0</v>
      </c>
      <c r="U2126" s="151">
        <v>1499.0</v>
      </c>
      <c r="V2126" s="92" t="s">
        <v>315</v>
      </c>
      <c r="W2126" s="18" t="s">
        <v>76</v>
      </c>
      <c r="X2126" s="174" t="s">
        <v>4502</v>
      </c>
      <c r="Y2126" s="175" t="s">
        <v>6212</v>
      </c>
      <c r="Z2126" s="18" t="s">
        <v>6233</v>
      </c>
      <c r="AA2126" s="92">
        <v>34.0</v>
      </c>
      <c r="AB2126" s="18"/>
      <c r="AC2126" s="18">
        <v>34.0</v>
      </c>
      <c r="AD2126" s="14">
        <v>107919.0</v>
      </c>
      <c r="AE2126" s="14"/>
      <c r="AF2126" s="14">
        <v>107919.0</v>
      </c>
      <c r="AG2126" s="22"/>
      <c r="AH2126" s="22"/>
      <c r="AI2126" s="22"/>
      <c r="AJ2126" s="22"/>
      <c r="AK2126" s="22"/>
      <c r="AL2126" s="22"/>
      <c r="AM2126" s="22"/>
      <c r="AN2126" s="22"/>
      <c r="AO2126" s="22"/>
      <c r="AP2126" s="22"/>
    </row>
    <row r="2127" hidden="1">
      <c r="A2127" s="148">
        <v>46205.0</v>
      </c>
      <c r="B2127" s="149">
        <v>0.7916666666666666</v>
      </c>
      <c r="C2127" s="11" t="s">
        <v>32</v>
      </c>
      <c r="D2127" s="102" t="s">
        <v>33</v>
      </c>
      <c r="E2127" s="10" t="s">
        <v>71</v>
      </c>
      <c r="F2127" s="10" t="s">
        <v>6210</v>
      </c>
      <c r="G2127" s="11" t="s">
        <v>6234</v>
      </c>
      <c r="H2127" s="11" t="s">
        <v>4694</v>
      </c>
      <c r="I2127" s="10" t="s">
        <v>4706</v>
      </c>
      <c r="J2127" s="14">
        <v>7499.0</v>
      </c>
      <c r="K2127" s="14">
        <v>3302.0</v>
      </c>
      <c r="L2127" s="17">
        <v>0.4403</v>
      </c>
      <c r="M2127" s="150">
        <v>1490.0</v>
      </c>
      <c r="N2127" s="136">
        <v>0.4512</v>
      </c>
      <c r="O2127" s="18">
        <v>386.0</v>
      </c>
      <c r="P2127" s="92">
        <v>342.0</v>
      </c>
      <c r="Q2127" s="137">
        <v>0.1036</v>
      </c>
      <c r="R2127" s="17">
        <v>0.2295</v>
      </c>
      <c r="S2127" s="18">
        <v>44.0</v>
      </c>
      <c r="T2127" s="18">
        <v>232.0</v>
      </c>
      <c r="U2127" s="151">
        <v>139635.0</v>
      </c>
      <c r="V2127" s="92" t="s">
        <v>335</v>
      </c>
      <c r="W2127" s="18" t="s">
        <v>76</v>
      </c>
      <c r="X2127" s="174" t="s">
        <v>6235</v>
      </c>
      <c r="Y2127" s="187" t="s">
        <v>6236</v>
      </c>
      <c r="Z2127" s="18" t="s">
        <v>6237</v>
      </c>
      <c r="AA2127" s="92">
        <v>60.0</v>
      </c>
      <c r="AB2127" s="92">
        <v>60.0</v>
      </c>
      <c r="AC2127" s="18"/>
      <c r="AD2127" s="14">
        <v>197791.0</v>
      </c>
      <c r="AE2127" s="14">
        <v>197791.0</v>
      </c>
      <c r="AF2127" s="14"/>
      <c r="AG2127" s="22"/>
      <c r="AH2127" s="22"/>
      <c r="AI2127" s="22"/>
      <c r="AJ2127" s="22"/>
      <c r="AK2127" s="22"/>
      <c r="AL2127" s="22"/>
      <c r="AM2127" s="22"/>
      <c r="AN2127" s="22"/>
      <c r="AO2127" s="22"/>
      <c r="AP2127" s="22"/>
    </row>
    <row r="2128" hidden="1">
      <c r="A2128" s="148">
        <v>46205.0</v>
      </c>
      <c r="B2128" s="149">
        <v>0.7916666666666666</v>
      </c>
      <c r="C2128" s="11" t="s">
        <v>32</v>
      </c>
      <c r="D2128" s="102" t="s">
        <v>33</v>
      </c>
      <c r="E2128" s="10" t="s">
        <v>71</v>
      </c>
      <c r="F2128" s="10" t="s">
        <v>6210</v>
      </c>
      <c r="G2128" s="11" t="s">
        <v>6238</v>
      </c>
      <c r="H2128" s="11" t="s">
        <v>4697</v>
      </c>
      <c r="I2128" s="10" t="s">
        <v>4710</v>
      </c>
      <c r="J2128" s="14">
        <v>26046.0</v>
      </c>
      <c r="K2128" s="14">
        <v>10954.0</v>
      </c>
      <c r="L2128" s="17">
        <v>0.4205</v>
      </c>
      <c r="M2128" s="150">
        <v>4371.0</v>
      </c>
      <c r="N2128" s="136">
        <v>0.3991</v>
      </c>
      <c r="O2128" s="18">
        <v>676.0</v>
      </c>
      <c r="P2128" s="92">
        <v>634.0</v>
      </c>
      <c r="Q2128" s="137">
        <v>0.0579</v>
      </c>
      <c r="R2128" s="17">
        <v>0.145</v>
      </c>
      <c r="S2128" s="18">
        <v>11.0</v>
      </c>
      <c r="T2128" s="18">
        <v>37.0</v>
      </c>
      <c r="U2128" s="151">
        <v>37866.0</v>
      </c>
      <c r="V2128" s="92" t="s">
        <v>335</v>
      </c>
      <c r="W2128" s="18" t="s">
        <v>76</v>
      </c>
      <c r="X2128" s="174" t="s">
        <v>2286</v>
      </c>
      <c r="Y2128" s="187" t="s">
        <v>6236</v>
      </c>
      <c r="Z2128" s="18" t="s">
        <v>6239</v>
      </c>
      <c r="AA2128" s="92">
        <v>90.0</v>
      </c>
      <c r="AB2128" s="18">
        <v>90.0</v>
      </c>
      <c r="AC2128" s="18"/>
      <c r="AD2128" s="14">
        <v>265582.0</v>
      </c>
      <c r="AE2128" s="14">
        <v>265582.0</v>
      </c>
      <c r="AF2128" s="14"/>
      <c r="AG2128" s="22"/>
      <c r="AH2128" s="22"/>
      <c r="AI2128" s="22"/>
      <c r="AJ2128" s="22"/>
      <c r="AK2128" s="22"/>
      <c r="AL2128" s="22"/>
      <c r="AM2128" s="22"/>
      <c r="AN2128" s="22"/>
      <c r="AO2128" s="22"/>
      <c r="AP2128" s="22"/>
    </row>
    <row r="2129" hidden="1">
      <c r="A2129" s="148">
        <v>46205.0</v>
      </c>
      <c r="B2129" s="149">
        <v>0.7916666666666666</v>
      </c>
      <c r="C2129" s="11" t="s">
        <v>32</v>
      </c>
      <c r="D2129" s="102" t="s">
        <v>33</v>
      </c>
      <c r="E2129" s="10" t="s">
        <v>71</v>
      </c>
      <c r="F2129" s="10" t="s">
        <v>6210</v>
      </c>
      <c r="G2129" s="11" t="s">
        <v>6240</v>
      </c>
      <c r="H2129" s="11" t="s">
        <v>4700</v>
      </c>
      <c r="I2129" s="10" t="s">
        <v>4713</v>
      </c>
      <c r="J2129" s="14">
        <v>14175.0</v>
      </c>
      <c r="K2129" s="14">
        <v>5050.0</v>
      </c>
      <c r="L2129" s="17">
        <v>0.3563</v>
      </c>
      <c r="M2129" s="150">
        <v>1868.0</v>
      </c>
      <c r="N2129" s="136">
        <v>0.3699</v>
      </c>
      <c r="O2129" s="18">
        <v>262.0</v>
      </c>
      <c r="P2129" s="92">
        <v>241.0</v>
      </c>
      <c r="Q2129" s="137">
        <v>0.0477</v>
      </c>
      <c r="R2129" s="17">
        <v>0.129</v>
      </c>
      <c r="S2129" s="18">
        <v>7.0</v>
      </c>
      <c r="T2129" s="18">
        <v>13.0</v>
      </c>
      <c r="U2129" s="151">
        <v>38156.0</v>
      </c>
      <c r="V2129" s="92" t="s">
        <v>335</v>
      </c>
      <c r="W2129" s="18" t="s">
        <v>76</v>
      </c>
      <c r="X2129" s="174" t="s">
        <v>2594</v>
      </c>
      <c r="Y2129" s="187" t="s">
        <v>6236</v>
      </c>
      <c r="Z2129" s="18" t="s">
        <v>6241</v>
      </c>
      <c r="AA2129" s="92">
        <v>43.0</v>
      </c>
      <c r="AB2129" s="18">
        <v>43.0</v>
      </c>
      <c r="AC2129" s="18"/>
      <c r="AD2129" s="14">
        <v>175540.0</v>
      </c>
      <c r="AE2129" s="14">
        <v>175540.0</v>
      </c>
      <c r="AF2129" s="14"/>
      <c r="AG2129" s="22"/>
      <c r="AH2129" s="22"/>
      <c r="AI2129" s="22"/>
      <c r="AJ2129" s="22"/>
      <c r="AK2129" s="22"/>
      <c r="AL2129" s="22"/>
      <c r="AM2129" s="22"/>
      <c r="AN2129" s="22"/>
      <c r="AO2129" s="22"/>
      <c r="AP2129" s="22"/>
    </row>
    <row r="2130" hidden="1">
      <c r="A2130" s="148">
        <v>46205.0</v>
      </c>
      <c r="B2130" s="149">
        <v>0.7916666666666666</v>
      </c>
      <c r="C2130" s="11" t="s">
        <v>32</v>
      </c>
      <c r="D2130" s="102" t="s">
        <v>33</v>
      </c>
      <c r="E2130" s="10" t="s">
        <v>71</v>
      </c>
      <c r="F2130" s="10" t="s">
        <v>6210</v>
      </c>
      <c r="G2130" s="11" t="s">
        <v>6242</v>
      </c>
      <c r="H2130" s="11" t="s">
        <v>4703</v>
      </c>
      <c r="I2130" s="10" t="s">
        <v>4716</v>
      </c>
      <c r="J2130" s="14">
        <v>74134.0</v>
      </c>
      <c r="K2130" s="14">
        <v>31543.0</v>
      </c>
      <c r="L2130" s="17">
        <v>0.4254</v>
      </c>
      <c r="M2130" s="150">
        <v>11064.0</v>
      </c>
      <c r="N2130" s="136">
        <v>0.3508</v>
      </c>
      <c r="O2130" s="18">
        <v>1255.0</v>
      </c>
      <c r="P2130" s="92">
        <v>1189.0</v>
      </c>
      <c r="Q2130" s="137">
        <v>0.0377</v>
      </c>
      <c r="R2130" s="17">
        <v>0.1075</v>
      </c>
      <c r="S2130" s="18">
        <v>25.0</v>
      </c>
      <c r="T2130" s="18">
        <v>51.0</v>
      </c>
      <c r="U2130" s="151">
        <v>79687.0</v>
      </c>
      <c r="V2130" s="92" t="s">
        <v>335</v>
      </c>
      <c r="W2130" s="18" t="s">
        <v>76</v>
      </c>
      <c r="X2130" s="174" t="s">
        <v>41</v>
      </c>
      <c r="Y2130" s="187" t="s">
        <v>6236</v>
      </c>
      <c r="Z2130" s="18" t="s">
        <v>6243</v>
      </c>
      <c r="AA2130" s="92">
        <v>132.0</v>
      </c>
      <c r="AB2130" s="18">
        <v>132.0</v>
      </c>
      <c r="AC2130" s="18"/>
      <c r="AD2130" s="14">
        <v>307247.0</v>
      </c>
      <c r="AE2130" s="14">
        <v>307247.0</v>
      </c>
      <c r="AF2130" s="14"/>
      <c r="AG2130" s="22"/>
      <c r="AH2130" s="22"/>
      <c r="AI2130" s="22"/>
      <c r="AJ2130" s="22"/>
      <c r="AK2130" s="22"/>
      <c r="AL2130" s="22"/>
      <c r="AM2130" s="22"/>
      <c r="AN2130" s="22"/>
      <c r="AO2130" s="22"/>
      <c r="AP2130" s="22"/>
    </row>
    <row r="2131" hidden="1">
      <c r="A2131" s="148">
        <v>46206.0</v>
      </c>
      <c r="B2131" s="149">
        <v>0.4583333333333333</v>
      </c>
      <c r="C2131" s="11" t="s">
        <v>32</v>
      </c>
      <c r="D2131" s="102" t="s">
        <v>33</v>
      </c>
      <c r="E2131" s="10" t="s">
        <v>71</v>
      </c>
      <c r="F2131" s="10" t="s">
        <v>6210</v>
      </c>
      <c r="G2131" s="11" t="s">
        <v>6244</v>
      </c>
      <c r="H2131" s="11" t="s">
        <v>4725</v>
      </c>
      <c r="I2131" s="10" t="s">
        <v>4812</v>
      </c>
      <c r="J2131" s="14">
        <v>46273.0</v>
      </c>
      <c r="K2131" s="14">
        <v>21669.0</v>
      </c>
      <c r="L2131" s="17">
        <v>0.4682</v>
      </c>
      <c r="M2131" s="150">
        <v>7699.0</v>
      </c>
      <c r="N2131" s="136">
        <v>0.3553</v>
      </c>
      <c r="O2131" s="18">
        <v>598.0</v>
      </c>
      <c r="P2131" s="92">
        <v>576.0</v>
      </c>
      <c r="Q2131" s="137">
        <v>0.0266</v>
      </c>
      <c r="R2131" s="17">
        <v>0.0748</v>
      </c>
      <c r="S2131" s="18">
        <v>14.0</v>
      </c>
      <c r="T2131" s="18">
        <v>44.0</v>
      </c>
      <c r="U2131" s="151">
        <v>70431.0</v>
      </c>
      <c r="V2131" s="92" t="s">
        <v>183</v>
      </c>
      <c r="W2131" s="18" t="s">
        <v>76</v>
      </c>
      <c r="X2131" s="174" t="s">
        <v>52</v>
      </c>
      <c r="Y2131" s="187" t="s">
        <v>6245</v>
      </c>
      <c r="Z2131" s="18" t="s">
        <v>6246</v>
      </c>
      <c r="AA2131" s="92">
        <v>266.0</v>
      </c>
      <c r="AB2131" s="18">
        <v>64.0</v>
      </c>
      <c r="AC2131" s="18">
        <v>202.0</v>
      </c>
      <c r="AD2131" s="14">
        <v>1289458.0</v>
      </c>
      <c r="AE2131" s="14">
        <v>297252.0</v>
      </c>
      <c r="AF2131" s="14">
        <v>992206.0</v>
      </c>
      <c r="AG2131" s="22"/>
      <c r="AH2131" s="22"/>
      <c r="AI2131" s="22"/>
      <c r="AJ2131" s="22"/>
      <c r="AK2131" s="22"/>
      <c r="AL2131" s="22"/>
      <c r="AM2131" s="22"/>
      <c r="AN2131" s="22"/>
      <c r="AO2131" s="22"/>
      <c r="AP2131" s="22"/>
    </row>
    <row r="2132" hidden="1">
      <c r="A2132" s="148">
        <v>46206.0</v>
      </c>
      <c r="B2132" s="149">
        <v>0.4583333333333333</v>
      </c>
      <c r="C2132" s="11" t="s">
        <v>32</v>
      </c>
      <c r="D2132" s="102" t="s">
        <v>33</v>
      </c>
      <c r="E2132" s="10" t="s">
        <v>71</v>
      </c>
      <c r="F2132" s="10" t="s">
        <v>6210</v>
      </c>
      <c r="G2132" s="11" t="s">
        <v>6247</v>
      </c>
      <c r="H2132" s="11" t="s">
        <v>4907</v>
      </c>
      <c r="I2132" s="10" t="s">
        <v>4908</v>
      </c>
      <c r="J2132" s="14">
        <v>69111.0</v>
      </c>
      <c r="K2132" s="14">
        <v>31919.0</v>
      </c>
      <c r="L2132" s="17">
        <v>0.4618</v>
      </c>
      <c r="M2132" s="150">
        <v>11059.0</v>
      </c>
      <c r="N2132" s="136">
        <v>0.3465</v>
      </c>
      <c r="O2132" s="18">
        <v>1045.0</v>
      </c>
      <c r="P2132" s="92">
        <v>985.0</v>
      </c>
      <c r="Q2132" s="137">
        <v>0.0309</v>
      </c>
      <c r="R2132" s="17">
        <v>0.0891</v>
      </c>
      <c r="S2132" s="18">
        <v>9.0</v>
      </c>
      <c r="T2132" s="18">
        <v>33.0</v>
      </c>
      <c r="U2132" s="151">
        <v>33746.0</v>
      </c>
      <c r="V2132" s="92" t="s">
        <v>315</v>
      </c>
      <c r="W2132" s="18" t="s">
        <v>76</v>
      </c>
      <c r="X2132" s="174" t="s">
        <v>4502</v>
      </c>
      <c r="Y2132" s="187" t="s">
        <v>6245</v>
      </c>
      <c r="Z2132" s="18" t="s">
        <v>6248</v>
      </c>
      <c r="AA2132" s="92">
        <v>244.0</v>
      </c>
      <c r="AB2132" s="18"/>
      <c r="AC2132" s="18">
        <v>244.0</v>
      </c>
      <c r="AD2132" s="14">
        <v>812190.0</v>
      </c>
      <c r="AE2132" s="14"/>
      <c r="AF2132" s="14">
        <v>812190.0</v>
      </c>
      <c r="AG2132" s="22"/>
      <c r="AH2132" s="22"/>
      <c r="AI2132" s="22"/>
      <c r="AJ2132" s="22"/>
      <c r="AK2132" s="22"/>
      <c r="AL2132" s="22"/>
      <c r="AM2132" s="22"/>
      <c r="AN2132" s="22"/>
      <c r="AO2132" s="22"/>
      <c r="AP2132" s="22"/>
    </row>
    <row r="2133" hidden="1">
      <c r="A2133" s="148">
        <v>46206.0</v>
      </c>
      <c r="B2133" s="149">
        <v>0.4583333333333333</v>
      </c>
      <c r="C2133" s="11" t="s">
        <v>32</v>
      </c>
      <c r="D2133" s="102" t="s">
        <v>33</v>
      </c>
      <c r="E2133" s="10" t="s">
        <v>71</v>
      </c>
      <c r="F2133" s="10" t="s">
        <v>6210</v>
      </c>
      <c r="G2133" s="11" t="s">
        <v>6249</v>
      </c>
      <c r="H2133" s="11" t="s">
        <v>4924</v>
      </c>
      <c r="I2133" s="10" t="s">
        <v>5277</v>
      </c>
      <c r="J2133" s="14">
        <v>48101.0</v>
      </c>
      <c r="K2133" s="14">
        <v>22588.0</v>
      </c>
      <c r="L2133" s="17">
        <v>0.4695</v>
      </c>
      <c r="M2133" s="150">
        <v>7365.0</v>
      </c>
      <c r="N2133" s="136">
        <v>0.326</v>
      </c>
      <c r="O2133" s="18">
        <v>779.0</v>
      </c>
      <c r="P2133" s="92">
        <v>735.0</v>
      </c>
      <c r="Q2133" s="137">
        <v>0.0325</v>
      </c>
      <c r="R2133" s="17">
        <v>0.0998</v>
      </c>
      <c r="S2133" s="18">
        <v>4.0</v>
      </c>
      <c r="T2133" s="18">
        <v>21.0</v>
      </c>
      <c r="U2133" s="151">
        <v>6194.0</v>
      </c>
      <c r="V2133" s="92" t="s">
        <v>315</v>
      </c>
      <c r="W2133" s="18" t="s">
        <v>76</v>
      </c>
      <c r="X2133" s="174" t="s">
        <v>4502</v>
      </c>
      <c r="Y2133" s="187" t="s">
        <v>6245</v>
      </c>
      <c r="Z2133" s="18" t="s">
        <v>6250</v>
      </c>
      <c r="AA2133" s="92">
        <v>57.0</v>
      </c>
      <c r="AB2133" s="18"/>
      <c r="AC2133" s="18">
        <v>57.0</v>
      </c>
      <c r="AD2133" s="14">
        <v>717776.0</v>
      </c>
      <c r="AE2133" s="14"/>
      <c r="AF2133" s="14">
        <v>717776.0</v>
      </c>
      <c r="AG2133" s="22"/>
      <c r="AH2133" s="22"/>
      <c r="AI2133" s="22"/>
      <c r="AJ2133" s="22"/>
      <c r="AK2133" s="22"/>
      <c r="AL2133" s="22"/>
      <c r="AM2133" s="22"/>
      <c r="AN2133" s="22"/>
      <c r="AO2133" s="22"/>
      <c r="AP2133" s="22"/>
    </row>
    <row r="2134" hidden="1">
      <c r="A2134" s="148">
        <v>46206.0</v>
      </c>
      <c r="B2134" s="149">
        <v>0.4583333333333333</v>
      </c>
      <c r="C2134" s="11" t="s">
        <v>32</v>
      </c>
      <c r="D2134" s="102" t="s">
        <v>33</v>
      </c>
      <c r="E2134" s="10" t="s">
        <v>71</v>
      </c>
      <c r="F2134" s="10" t="s">
        <v>6210</v>
      </c>
      <c r="G2134" s="11" t="s">
        <v>6251</v>
      </c>
      <c r="H2134" s="11" t="s">
        <v>4912</v>
      </c>
      <c r="I2134" s="10" t="s">
        <v>6218</v>
      </c>
      <c r="J2134" s="14">
        <v>43657.0</v>
      </c>
      <c r="K2134" s="14">
        <v>21756.0</v>
      </c>
      <c r="L2134" s="17">
        <v>0.4983</v>
      </c>
      <c r="M2134" s="150">
        <v>8219.0</v>
      </c>
      <c r="N2134" s="136">
        <v>0.3778</v>
      </c>
      <c r="O2134" s="18">
        <v>813.0</v>
      </c>
      <c r="P2134" s="92">
        <v>770.0</v>
      </c>
      <c r="Q2134" s="137">
        <v>0.0354</v>
      </c>
      <c r="R2134" s="17">
        <v>0.0937</v>
      </c>
      <c r="S2134" s="18">
        <v>5.0</v>
      </c>
      <c r="T2134" s="18">
        <v>21.0</v>
      </c>
      <c r="U2134" s="151">
        <v>8017.0</v>
      </c>
      <c r="V2134" s="92" t="s">
        <v>315</v>
      </c>
      <c r="W2134" s="18" t="s">
        <v>76</v>
      </c>
      <c r="X2134" s="174" t="s">
        <v>4502</v>
      </c>
      <c r="Y2134" s="187" t="s">
        <v>6245</v>
      </c>
      <c r="Z2134" s="18" t="s">
        <v>6252</v>
      </c>
      <c r="AA2134" s="92">
        <v>160.0</v>
      </c>
      <c r="AB2134" s="18"/>
      <c r="AC2134" s="18">
        <v>160.0</v>
      </c>
      <c r="AD2134" s="14">
        <v>556764.0</v>
      </c>
      <c r="AE2134" s="14"/>
      <c r="AF2134" s="14">
        <v>556764.0</v>
      </c>
      <c r="AG2134" s="22"/>
      <c r="AH2134" s="22"/>
      <c r="AI2134" s="22"/>
      <c r="AJ2134" s="22"/>
      <c r="AK2134" s="22"/>
      <c r="AL2134" s="22"/>
      <c r="AM2134" s="22"/>
      <c r="AN2134" s="22"/>
      <c r="AO2134" s="22"/>
      <c r="AP2134" s="22"/>
    </row>
    <row r="2135" hidden="1">
      <c r="A2135" s="148">
        <v>46206.0</v>
      </c>
      <c r="B2135" s="149">
        <v>0.4583333333333333</v>
      </c>
      <c r="C2135" s="11" t="s">
        <v>32</v>
      </c>
      <c r="D2135" s="102" t="s">
        <v>33</v>
      </c>
      <c r="E2135" s="10" t="s">
        <v>71</v>
      </c>
      <c r="F2135" s="10" t="s">
        <v>6210</v>
      </c>
      <c r="G2135" s="11" t="s">
        <v>6253</v>
      </c>
      <c r="H2135" s="11" t="s">
        <v>4928</v>
      </c>
      <c r="I2135" s="10" t="s">
        <v>4929</v>
      </c>
      <c r="J2135" s="14">
        <v>24695.0</v>
      </c>
      <c r="K2135" s="14">
        <v>12080.0</v>
      </c>
      <c r="L2135" s="17">
        <v>0.4891</v>
      </c>
      <c r="M2135" s="150">
        <v>4502.0</v>
      </c>
      <c r="N2135" s="136">
        <v>0.3727</v>
      </c>
      <c r="O2135" s="18">
        <v>333.0</v>
      </c>
      <c r="P2135" s="92">
        <v>314.0</v>
      </c>
      <c r="Q2135" s="137">
        <v>0.026</v>
      </c>
      <c r="R2135" s="17">
        <v>0.0697</v>
      </c>
      <c r="S2135" s="18">
        <v>4.0</v>
      </c>
      <c r="T2135" s="18">
        <v>10.0</v>
      </c>
      <c r="U2135" s="151">
        <v>15608.0</v>
      </c>
      <c r="V2135" s="92" t="s">
        <v>315</v>
      </c>
      <c r="W2135" s="18" t="s">
        <v>76</v>
      </c>
      <c r="X2135" s="174" t="s">
        <v>4502</v>
      </c>
      <c r="Y2135" s="187" t="s">
        <v>6245</v>
      </c>
      <c r="Z2135" s="18" t="s">
        <v>6254</v>
      </c>
      <c r="AA2135" s="92">
        <v>76.0</v>
      </c>
      <c r="AB2135" s="18"/>
      <c r="AC2135" s="18">
        <v>76.0</v>
      </c>
      <c r="AD2135" s="14">
        <v>306313.0</v>
      </c>
      <c r="AE2135" s="14"/>
      <c r="AF2135" s="14">
        <v>306313.0</v>
      </c>
      <c r="AG2135" s="22"/>
      <c r="AH2135" s="22"/>
      <c r="AI2135" s="22"/>
      <c r="AJ2135" s="22"/>
      <c r="AK2135" s="22"/>
      <c r="AL2135" s="22"/>
      <c r="AM2135" s="22"/>
      <c r="AN2135" s="22"/>
      <c r="AO2135" s="22"/>
      <c r="AP2135" s="22"/>
    </row>
    <row r="2136" hidden="1">
      <c r="A2136" s="148">
        <v>46206.0</v>
      </c>
      <c r="B2136" s="149">
        <v>0.4583333333333333</v>
      </c>
      <c r="C2136" s="11" t="s">
        <v>32</v>
      </c>
      <c r="D2136" s="102" t="s">
        <v>33</v>
      </c>
      <c r="E2136" s="10" t="s">
        <v>71</v>
      </c>
      <c r="F2136" s="10" t="s">
        <v>6210</v>
      </c>
      <c r="G2136" s="11" t="s">
        <v>6255</v>
      </c>
      <c r="H2136" s="11" t="s">
        <v>4916</v>
      </c>
      <c r="I2136" s="10" t="s">
        <v>4917</v>
      </c>
      <c r="J2136" s="14">
        <v>23243.0</v>
      </c>
      <c r="K2136" s="14">
        <v>12985.0</v>
      </c>
      <c r="L2136" s="17">
        <v>0.5587</v>
      </c>
      <c r="M2136" s="150">
        <v>5979.0</v>
      </c>
      <c r="N2136" s="136">
        <v>0.4605</v>
      </c>
      <c r="O2136" s="18">
        <v>479.0</v>
      </c>
      <c r="P2136" s="92">
        <v>457.0</v>
      </c>
      <c r="Q2136" s="137">
        <v>0.0352</v>
      </c>
      <c r="R2136" s="17">
        <v>0.0764</v>
      </c>
      <c r="S2136" s="18">
        <v>4.0</v>
      </c>
      <c r="T2136" s="18">
        <v>13.0</v>
      </c>
      <c r="U2136" s="151">
        <v>8569.0</v>
      </c>
      <c r="V2136" s="92" t="s">
        <v>315</v>
      </c>
      <c r="W2136" s="18" t="s">
        <v>76</v>
      </c>
      <c r="X2136" s="174" t="s">
        <v>4502</v>
      </c>
      <c r="Y2136" s="187" t="s">
        <v>6245</v>
      </c>
      <c r="Z2136" s="18" t="s">
        <v>6256</v>
      </c>
      <c r="AA2136" s="92">
        <v>109.0</v>
      </c>
      <c r="AB2136" s="18"/>
      <c r="AC2136" s="18">
        <v>109.0</v>
      </c>
      <c r="AD2136" s="14">
        <v>438715.0</v>
      </c>
      <c r="AE2136" s="14"/>
      <c r="AF2136" s="14">
        <v>438715.0</v>
      </c>
      <c r="AG2136" s="22"/>
      <c r="AH2136" s="22"/>
      <c r="AI2136" s="22"/>
      <c r="AJ2136" s="22"/>
      <c r="AK2136" s="22"/>
      <c r="AL2136" s="22"/>
      <c r="AM2136" s="22"/>
      <c r="AN2136" s="22"/>
      <c r="AO2136" s="22"/>
      <c r="AP2136" s="22"/>
    </row>
    <row r="2137" hidden="1">
      <c r="A2137" s="148">
        <v>46206.0</v>
      </c>
      <c r="B2137" s="149">
        <v>0.4583333333333333</v>
      </c>
      <c r="C2137" s="11" t="s">
        <v>32</v>
      </c>
      <c r="D2137" s="102" t="s">
        <v>33</v>
      </c>
      <c r="E2137" s="10" t="s">
        <v>71</v>
      </c>
      <c r="F2137" s="10" t="s">
        <v>6210</v>
      </c>
      <c r="G2137" s="11" t="s">
        <v>6257</v>
      </c>
      <c r="H2137" s="11" t="s">
        <v>4936</v>
      </c>
      <c r="I2137" s="10" t="s">
        <v>4937</v>
      </c>
      <c r="J2137" s="14">
        <v>22707.0</v>
      </c>
      <c r="K2137" s="14">
        <v>11335.0</v>
      </c>
      <c r="L2137" s="17">
        <v>0.4992</v>
      </c>
      <c r="M2137" s="150">
        <v>4416.0</v>
      </c>
      <c r="N2137" s="136">
        <v>0.3895</v>
      </c>
      <c r="O2137" s="18">
        <v>402.0</v>
      </c>
      <c r="P2137" s="92">
        <v>379.0</v>
      </c>
      <c r="Q2137" s="137">
        <v>0.0334</v>
      </c>
      <c r="R2137" s="17">
        <v>0.0858</v>
      </c>
      <c r="S2137" s="18">
        <v>4.0</v>
      </c>
      <c r="T2137" s="18">
        <v>17.0</v>
      </c>
      <c r="U2137" s="151">
        <v>14840.0</v>
      </c>
      <c r="V2137" s="92" t="s">
        <v>315</v>
      </c>
      <c r="W2137" s="18" t="s">
        <v>76</v>
      </c>
      <c r="X2137" s="174" t="s">
        <v>4502</v>
      </c>
      <c r="Y2137" s="187" t="s">
        <v>6245</v>
      </c>
      <c r="Z2137" s="18" t="s">
        <v>6258</v>
      </c>
      <c r="AA2137" s="92">
        <v>82.0</v>
      </c>
      <c r="AB2137" s="18"/>
      <c r="AC2137" s="18">
        <v>82.0</v>
      </c>
      <c r="AD2137" s="14">
        <v>355743.0</v>
      </c>
      <c r="AE2137" s="14"/>
      <c r="AF2137" s="14">
        <v>355743.0</v>
      </c>
      <c r="AG2137" s="22"/>
      <c r="AH2137" s="22"/>
      <c r="AI2137" s="22"/>
      <c r="AJ2137" s="22"/>
      <c r="AK2137" s="22"/>
      <c r="AL2137" s="22"/>
      <c r="AM2137" s="22"/>
      <c r="AN2137" s="22"/>
      <c r="AO2137" s="22"/>
      <c r="AP2137" s="22"/>
    </row>
    <row r="2138" hidden="1">
      <c r="A2138" s="148">
        <v>46206.0</v>
      </c>
      <c r="B2138" s="149">
        <v>0.4583333333333333</v>
      </c>
      <c r="C2138" s="11" t="s">
        <v>32</v>
      </c>
      <c r="D2138" s="102" t="s">
        <v>33</v>
      </c>
      <c r="E2138" s="10" t="s">
        <v>71</v>
      </c>
      <c r="F2138" s="10" t="s">
        <v>6210</v>
      </c>
      <c r="G2138" s="11" t="s">
        <v>6259</v>
      </c>
      <c r="H2138" s="11" t="s">
        <v>4944</v>
      </c>
      <c r="I2138" s="10" t="s">
        <v>4945</v>
      </c>
      <c r="J2138" s="14">
        <v>22834.0</v>
      </c>
      <c r="K2138" s="14">
        <v>10583.0</v>
      </c>
      <c r="L2138" s="17">
        <v>0.4635</v>
      </c>
      <c r="M2138" s="150">
        <v>3559.0</v>
      </c>
      <c r="N2138" s="136">
        <v>0.3362</v>
      </c>
      <c r="O2138" s="18">
        <v>313.0</v>
      </c>
      <c r="P2138" s="92">
        <v>297.0</v>
      </c>
      <c r="Q2138" s="137">
        <v>0.0281</v>
      </c>
      <c r="R2138" s="17">
        <v>0.0835</v>
      </c>
      <c r="S2138" s="18">
        <v>7.0</v>
      </c>
      <c r="T2138" s="18">
        <v>20.0</v>
      </c>
      <c r="U2138" s="151">
        <v>46922.0</v>
      </c>
      <c r="V2138" s="92" t="s">
        <v>315</v>
      </c>
      <c r="W2138" s="18" t="s">
        <v>76</v>
      </c>
      <c r="X2138" s="174" t="s">
        <v>4502</v>
      </c>
      <c r="Y2138" s="187" t="s">
        <v>6245</v>
      </c>
      <c r="Z2138" s="18" t="s">
        <v>6260</v>
      </c>
      <c r="AA2138" s="92">
        <v>80.0</v>
      </c>
      <c r="AB2138" s="18"/>
      <c r="AC2138" s="18">
        <v>80.0</v>
      </c>
      <c r="AD2138" s="14">
        <v>306747.0</v>
      </c>
      <c r="AE2138" s="14"/>
      <c r="AF2138" s="14">
        <v>306747.0</v>
      </c>
      <c r="AG2138" s="22"/>
      <c r="AH2138" s="22"/>
      <c r="AI2138" s="22"/>
      <c r="AJ2138" s="22"/>
      <c r="AK2138" s="22"/>
      <c r="AL2138" s="22"/>
      <c r="AM2138" s="22"/>
      <c r="AN2138" s="22"/>
      <c r="AO2138" s="22"/>
      <c r="AP2138" s="22"/>
    </row>
    <row r="2139" hidden="1">
      <c r="A2139" s="148">
        <v>46206.0</v>
      </c>
      <c r="B2139" s="149">
        <v>0.4583333333333333</v>
      </c>
      <c r="C2139" s="11" t="s">
        <v>32</v>
      </c>
      <c r="D2139" s="102" t="s">
        <v>33</v>
      </c>
      <c r="E2139" s="10" t="s">
        <v>71</v>
      </c>
      <c r="F2139" s="10" t="s">
        <v>6210</v>
      </c>
      <c r="G2139" s="11" t="s">
        <v>6261</v>
      </c>
      <c r="H2139" s="11" t="s">
        <v>4932</v>
      </c>
      <c r="I2139" s="10" t="s">
        <v>5281</v>
      </c>
      <c r="J2139" s="14">
        <v>21856.0</v>
      </c>
      <c r="K2139" s="14">
        <v>10954.0</v>
      </c>
      <c r="L2139" s="17">
        <v>0.5012</v>
      </c>
      <c r="M2139" s="150">
        <v>4302.0</v>
      </c>
      <c r="N2139" s="136">
        <v>0.3927</v>
      </c>
      <c r="O2139" s="18">
        <v>411.0</v>
      </c>
      <c r="P2139" s="92">
        <v>393.0</v>
      </c>
      <c r="Q2139" s="137">
        <v>0.0359</v>
      </c>
      <c r="R2139" s="17">
        <v>0.0914</v>
      </c>
      <c r="S2139" s="18">
        <v>7.0</v>
      </c>
      <c r="T2139" s="18">
        <v>20.0</v>
      </c>
      <c r="U2139" s="151">
        <v>17434.0</v>
      </c>
      <c r="V2139" s="92" t="s">
        <v>315</v>
      </c>
      <c r="W2139" s="18" t="s">
        <v>76</v>
      </c>
      <c r="X2139" s="174" t="s">
        <v>4502</v>
      </c>
      <c r="Y2139" s="187" t="s">
        <v>6245</v>
      </c>
      <c r="Z2139" s="18" t="s">
        <v>6262</v>
      </c>
      <c r="AA2139" s="92">
        <v>93.0</v>
      </c>
      <c r="AB2139" s="18"/>
      <c r="AC2139" s="18">
        <v>93.0</v>
      </c>
      <c r="AD2139" s="14">
        <v>440007.0</v>
      </c>
      <c r="AE2139" s="14"/>
      <c r="AF2139" s="14">
        <v>440007.0</v>
      </c>
      <c r="AG2139" s="22"/>
      <c r="AH2139" s="22"/>
      <c r="AI2139" s="22"/>
      <c r="AJ2139" s="22"/>
      <c r="AK2139" s="22"/>
      <c r="AL2139" s="22"/>
      <c r="AM2139" s="22"/>
      <c r="AN2139" s="22"/>
      <c r="AO2139" s="22"/>
      <c r="AP2139" s="22"/>
    </row>
    <row r="2140" hidden="1">
      <c r="A2140" s="148">
        <v>46206.0</v>
      </c>
      <c r="B2140" s="149">
        <v>0.4583333333333333</v>
      </c>
      <c r="C2140" s="11" t="s">
        <v>32</v>
      </c>
      <c r="D2140" s="102" t="s">
        <v>33</v>
      </c>
      <c r="E2140" s="10" t="s">
        <v>71</v>
      </c>
      <c r="F2140" s="10" t="s">
        <v>6210</v>
      </c>
      <c r="G2140" s="11" t="s">
        <v>6263</v>
      </c>
      <c r="H2140" s="11" t="s">
        <v>4940</v>
      </c>
      <c r="I2140" s="10" t="s">
        <v>4941</v>
      </c>
      <c r="J2140" s="14">
        <v>15628.0</v>
      </c>
      <c r="K2140" s="14">
        <v>6739.0</v>
      </c>
      <c r="L2140" s="17">
        <v>0.431</v>
      </c>
      <c r="M2140" s="150">
        <v>2122.0</v>
      </c>
      <c r="N2140" s="136">
        <v>0.315</v>
      </c>
      <c r="O2140" s="18">
        <v>224.0</v>
      </c>
      <c r="P2140" s="92">
        <v>216.0</v>
      </c>
      <c r="Q2140" s="137">
        <v>0.0321</v>
      </c>
      <c r="R2140" s="17">
        <v>0.1018</v>
      </c>
      <c r="S2140" s="18">
        <v>3.0</v>
      </c>
      <c r="T2140" s="18">
        <v>6.0</v>
      </c>
      <c r="U2140" s="151">
        <v>5870.0</v>
      </c>
      <c r="V2140" s="92" t="s">
        <v>315</v>
      </c>
      <c r="W2140" s="18" t="s">
        <v>76</v>
      </c>
      <c r="X2140" s="174" t="s">
        <v>4502</v>
      </c>
      <c r="Y2140" s="187" t="s">
        <v>6245</v>
      </c>
      <c r="Z2140" s="18" t="s">
        <v>6264</v>
      </c>
      <c r="AA2140" s="92">
        <v>45.0</v>
      </c>
      <c r="AB2140" s="18"/>
      <c r="AC2140" s="18">
        <v>45.0</v>
      </c>
      <c r="AD2140" s="14">
        <v>297484.0</v>
      </c>
      <c r="AE2140" s="14"/>
      <c r="AF2140" s="14">
        <v>297484.0</v>
      </c>
      <c r="AG2140" s="22"/>
      <c r="AH2140" s="22"/>
      <c r="AI2140" s="22"/>
      <c r="AJ2140" s="22"/>
      <c r="AK2140" s="22"/>
      <c r="AL2140" s="22"/>
      <c r="AM2140" s="22"/>
      <c r="AN2140" s="22"/>
      <c r="AO2140" s="22"/>
      <c r="AP2140" s="22"/>
    </row>
    <row r="2141" hidden="1">
      <c r="A2141" s="148">
        <v>46206.0</v>
      </c>
      <c r="B2141" s="149">
        <v>0.4583333333333333</v>
      </c>
      <c r="C2141" s="11" t="s">
        <v>32</v>
      </c>
      <c r="D2141" s="102" t="s">
        <v>33</v>
      </c>
      <c r="E2141" s="10" t="s">
        <v>71</v>
      </c>
      <c r="F2141" s="10" t="s">
        <v>6210</v>
      </c>
      <c r="G2141" s="11" t="s">
        <v>6265</v>
      </c>
      <c r="H2141" s="11" t="s">
        <v>4920</v>
      </c>
      <c r="I2141" s="10" t="s">
        <v>4921</v>
      </c>
      <c r="J2141" s="14">
        <v>12570.0</v>
      </c>
      <c r="K2141" s="14">
        <v>6252.0</v>
      </c>
      <c r="L2141" s="17">
        <v>0.4974</v>
      </c>
      <c r="M2141" s="150">
        <v>2414.0</v>
      </c>
      <c r="N2141" s="136">
        <v>0.3861</v>
      </c>
      <c r="O2141" s="18">
        <v>190.0</v>
      </c>
      <c r="P2141" s="92">
        <v>179.0</v>
      </c>
      <c r="Q2141" s="137">
        <v>0.0286</v>
      </c>
      <c r="R2141" s="17">
        <v>0.0742</v>
      </c>
      <c r="S2141" s="18">
        <v>1.0</v>
      </c>
      <c r="T2141" s="18">
        <v>6.0</v>
      </c>
      <c r="U2141" s="151">
        <v>4856.0</v>
      </c>
      <c r="V2141" s="92" t="s">
        <v>315</v>
      </c>
      <c r="W2141" s="18" t="s">
        <v>76</v>
      </c>
      <c r="X2141" s="174" t="s">
        <v>4502</v>
      </c>
      <c r="Y2141" s="187" t="s">
        <v>6245</v>
      </c>
      <c r="Z2141" s="18" t="s">
        <v>6266</v>
      </c>
      <c r="AA2141" s="92">
        <v>55.0</v>
      </c>
      <c r="AB2141" s="18"/>
      <c r="AC2141" s="18">
        <v>55.0</v>
      </c>
      <c r="AD2141" s="14">
        <v>197931.0</v>
      </c>
      <c r="AE2141" s="14"/>
      <c r="AF2141" s="14">
        <v>197931.0</v>
      </c>
      <c r="AG2141" s="22"/>
      <c r="AH2141" s="22"/>
      <c r="AI2141" s="22"/>
      <c r="AJ2141" s="22"/>
      <c r="AK2141" s="22"/>
      <c r="AL2141" s="22"/>
      <c r="AM2141" s="22"/>
      <c r="AN2141" s="22"/>
      <c r="AO2141" s="22"/>
      <c r="AP2141" s="22"/>
    </row>
    <row r="2142" hidden="1">
      <c r="A2142" s="148">
        <v>46208.0</v>
      </c>
      <c r="B2142" s="149">
        <v>0.75</v>
      </c>
      <c r="C2142" s="11" t="s">
        <v>32</v>
      </c>
      <c r="D2142" s="102" t="s">
        <v>33</v>
      </c>
      <c r="E2142" s="10" t="s">
        <v>71</v>
      </c>
      <c r="F2142" s="10" t="s">
        <v>6210</v>
      </c>
      <c r="G2142" s="11" t="s">
        <v>6267</v>
      </c>
      <c r="H2142" s="11" t="s">
        <v>4643</v>
      </c>
      <c r="I2142" s="10" t="s">
        <v>4644</v>
      </c>
      <c r="J2142" s="14">
        <v>11613.0</v>
      </c>
      <c r="K2142" s="14">
        <v>4899.0</v>
      </c>
      <c r="L2142" s="17">
        <v>0.4219</v>
      </c>
      <c r="M2142" s="150">
        <v>1944.0</v>
      </c>
      <c r="N2142" s="136">
        <v>0.3968</v>
      </c>
      <c r="O2142" s="18">
        <v>288.0</v>
      </c>
      <c r="P2142" s="92">
        <v>270.0</v>
      </c>
      <c r="Q2142" s="137">
        <v>0.0551</v>
      </c>
      <c r="R2142" s="17">
        <v>0.1389</v>
      </c>
      <c r="S2142" s="18">
        <v>11.0</v>
      </c>
      <c r="T2142" s="18">
        <v>85.0</v>
      </c>
      <c r="U2142" s="151">
        <v>21156.0</v>
      </c>
      <c r="V2142" s="92" t="s">
        <v>335</v>
      </c>
      <c r="W2142" s="18" t="s">
        <v>76</v>
      </c>
      <c r="X2142" s="174" t="s">
        <v>4645</v>
      </c>
      <c r="Y2142" s="175" t="s">
        <v>6268</v>
      </c>
      <c r="Z2142" s="18" t="s">
        <v>6269</v>
      </c>
      <c r="AA2142" s="92">
        <v>58.0</v>
      </c>
      <c r="AB2142" s="18">
        <v>58.0</v>
      </c>
      <c r="AC2142" s="18"/>
      <c r="AD2142" s="14">
        <v>121990.0</v>
      </c>
      <c r="AE2142" s="14">
        <v>121990.0</v>
      </c>
      <c r="AF2142" s="14"/>
      <c r="AG2142" s="22"/>
      <c r="AH2142" s="22"/>
      <c r="AI2142" s="22"/>
      <c r="AJ2142" s="22"/>
      <c r="AK2142" s="22"/>
      <c r="AL2142" s="22"/>
      <c r="AM2142" s="22"/>
      <c r="AN2142" s="22"/>
      <c r="AO2142" s="22"/>
      <c r="AP2142" s="22"/>
    </row>
    <row r="2143" hidden="1">
      <c r="A2143" s="148">
        <v>46208.0</v>
      </c>
      <c r="B2143" s="149">
        <v>0.75</v>
      </c>
      <c r="C2143" s="11" t="s">
        <v>32</v>
      </c>
      <c r="D2143" s="102" t="s">
        <v>33</v>
      </c>
      <c r="E2143" s="10" t="s">
        <v>71</v>
      </c>
      <c r="F2143" s="10" t="s">
        <v>6210</v>
      </c>
      <c r="G2143" s="11" t="s">
        <v>6270</v>
      </c>
      <c r="H2143" s="11" t="s">
        <v>4649</v>
      </c>
      <c r="I2143" s="10" t="s">
        <v>4650</v>
      </c>
      <c r="J2143" s="14">
        <v>19846.0</v>
      </c>
      <c r="K2143" s="14">
        <v>7313.0</v>
      </c>
      <c r="L2143" s="17">
        <v>0.3685</v>
      </c>
      <c r="M2143" s="150">
        <v>2471.0</v>
      </c>
      <c r="N2143" s="136">
        <v>0.3379</v>
      </c>
      <c r="O2143" s="18">
        <v>226.0</v>
      </c>
      <c r="P2143" s="92">
        <v>208.0</v>
      </c>
      <c r="Q2143" s="137">
        <v>0.0284</v>
      </c>
      <c r="R2143" s="17">
        <v>0.0842</v>
      </c>
      <c r="S2143" s="18">
        <v>4.0</v>
      </c>
      <c r="T2143" s="18">
        <v>8.0</v>
      </c>
      <c r="U2143" s="151">
        <v>14172.0</v>
      </c>
      <c r="V2143" s="92" t="s">
        <v>335</v>
      </c>
      <c r="W2143" s="18" t="s">
        <v>76</v>
      </c>
      <c r="X2143" s="174" t="s">
        <v>82</v>
      </c>
      <c r="Y2143" s="175" t="s">
        <v>6268</v>
      </c>
      <c r="Z2143" s="18" t="s">
        <v>6271</v>
      </c>
      <c r="AA2143" s="92">
        <v>52.0</v>
      </c>
      <c r="AB2143" s="92">
        <v>52.0</v>
      </c>
      <c r="AC2143" s="18"/>
      <c r="AD2143" s="14">
        <v>154991.0</v>
      </c>
      <c r="AE2143" s="14">
        <v>154991.0</v>
      </c>
      <c r="AF2143" s="14"/>
      <c r="AG2143" s="22"/>
      <c r="AH2143" s="22"/>
      <c r="AI2143" s="22"/>
      <c r="AJ2143" s="22"/>
      <c r="AK2143" s="22"/>
      <c r="AL2143" s="22"/>
      <c r="AM2143" s="22"/>
      <c r="AN2143" s="22"/>
      <c r="AO2143" s="22"/>
      <c r="AP2143" s="22"/>
    </row>
    <row r="2144" hidden="1">
      <c r="A2144" s="148">
        <v>46208.0</v>
      </c>
      <c r="B2144" s="149">
        <v>0.75</v>
      </c>
      <c r="C2144" s="11" t="s">
        <v>32</v>
      </c>
      <c r="D2144" s="102" t="s">
        <v>33</v>
      </c>
      <c r="E2144" s="10" t="s">
        <v>71</v>
      </c>
      <c r="F2144" s="10" t="s">
        <v>6210</v>
      </c>
      <c r="G2144" s="11" t="s">
        <v>6272</v>
      </c>
      <c r="H2144" s="11" t="s">
        <v>2597</v>
      </c>
      <c r="I2144" s="10" t="s">
        <v>4653</v>
      </c>
      <c r="J2144" s="14">
        <v>6597.0</v>
      </c>
      <c r="K2144" s="14">
        <v>2359.0</v>
      </c>
      <c r="L2144" s="17">
        <v>0.3576</v>
      </c>
      <c r="M2144" s="150">
        <v>831.0</v>
      </c>
      <c r="N2144" s="136">
        <v>0.3523</v>
      </c>
      <c r="O2144" s="18">
        <v>96.0</v>
      </c>
      <c r="P2144" s="92">
        <v>88.0</v>
      </c>
      <c r="Q2144" s="137">
        <v>0.0373</v>
      </c>
      <c r="R2144" s="17">
        <v>0.1059</v>
      </c>
      <c r="S2144" s="18">
        <v>2.0</v>
      </c>
      <c r="T2144" s="18">
        <v>6.0</v>
      </c>
      <c r="U2144" s="151">
        <v>1998.0</v>
      </c>
      <c r="V2144" s="92" t="s">
        <v>335</v>
      </c>
      <c r="W2144" s="18" t="s">
        <v>76</v>
      </c>
      <c r="X2144" s="174" t="s">
        <v>52</v>
      </c>
      <c r="Y2144" s="175" t="s">
        <v>6268</v>
      </c>
      <c r="Z2144" s="18" t="s">
        <v>6273</v>
      </c>
      <c r="AA2144" s="92">
        <v>27.0</v>
      </c>
      <c r="AB2144" s="92">
        <v>27.0</v>
      </c>
      <c r="AC2144" s="18"/>
      <c r="AD2144" s="14">
        <v>81484.0</v>
      </c>
      <c r="AE2144" s="14">
        <v>81484.0</v>
      </c>
      <c r="AF2144" s="14"/>
      <c r="AG2144" s="22"/>
      <c r="AH2144" s="22"/>
      <c r="AI2144" s="22"/>
      <c r="AJ2144" s="22"/>
      <c r="AK2144" s="22"/>
      <c r="AL2144" s="22"/>
      <c r="AM2144" s="22"/>
      <c r="AN2144" s="22"/>
      <c r="AO2144" s="22"/>
      <c r="AP2144" s="22"/>
    </row>
    <row r="2145" hidden="1">
      <c r="A2145" s="148">
        <v>46208.0</v>
      </c>
      <c r="B2145" s="149">
        <v>0.75</v>
      </c>
      <c r="C2145" s="11" t="s">
        <v>32</v>
      </c>
      <c r="D2145" s="102" t="s">
        <v>33</v>
      </c>
      <c r="E2145" s="10" t="s">
        <v>71</v>
      </c>
      <c r="F2145" s="10" t="s">
        <v>6210</v>
      </c>
      <c r="G2145" s="11" t="s">
        <v>6274</v>
      </c>
      <c r="H2145" s="11" t="s">
        <v>4656</v>
      </c>
      <c r="I2145" s="10" t="s">
        <v>4657</v>
      </c>
      <c r="J2145" s="14">
        <v>6329.0</v>
      </c>
      <c r="K2145" s="14">
        <v>2722.0</v>
      </c>
      <c r="L2145" s="17">
        <v>0.4301</v>
      </c>
      <c r="M2145" s="150">
        <v>906.0</v>
      </c>
      <c r="N2145" s="136">
        <v>0.3328</v>
      </c>
      <c r="O2145" s="18">
        <v>76.0</v>
      </c>
      <c r="P2145" s="92">
        <v>67.0</v>
      </c>
      <c r="Q2145" s="137">
        <v>0.0246</v>
      </c>
      <c r="R2145" s="17">
        <v>0.074</v>
      </c>
      <c r="S2145" s="18">
        <v>0.0</v>
      </c>
      <c r="T2145" s="18">
        <v>2.0</v>
      </c>
      <c r="U2145" s="151">
        <v>0.0</v>
      </c>
      <c r="V2145" s="92" t="s">
        <v>335</v>
      </c>
      <c r="W2145" s="18" t="s">
        <v>76</v>
      </c>
      <c r="X2145" s="174" t="s">
        <v>2594</v>
      </c>
      <c r="Y2145" s="175" t="s">
        <v>6268</v>
      </c>
      <c r="Z2145" s="18" t="s">
        <v>6275</v>
      </c>
      <c r="AA2145" s="92">
        <v>12.0</v>
      </c>
      <c r="AB2145" s="92">
        <v>12.0</v>
      </c>
      <c r="AC2145" s="18"/>
      <c r="AD2145" s="14">
        <v>26741.0</v>
      </c>
      <c r="AE2145" s="14">
        <v>26741.0</v>
      </c>
      <c r="AF2145" s="14"/>
      <c r="AG2145" s="22"/>
      <c r="AH2145" s="22"/>
      <c r="AI2145" s="22"/>
      <c r="AJ2145" s="22"/>
      <c r="AK2145" s="22"/>
      <c r="AL2145" s="22"/>
      <c r="AM2145" s="22"/>
      <c r="AN2145" s="22"/>
      <c r="AO2145" s="22"/>
      <c r="AP2145" s="22"/>
    </row>
    <row r="2146" hidden="1">
      <c r="A2146" s="148">
        <v>46208.0</v>
      </c>
      <c r="B2146" s="149">
        <v>0.75</v>
      </c>
      <c r="C2146" s="11" t="s">
        <v>32</v>
      </c>
      <c r="D2146" s="102" t="s">
        <v>33</v>
      </c>
      <c r="E2146" s="10" t="s">
        <v>71</v>
      </c>
      <c r="F2146" s="10" t="s">
        <v>6210</v>
      </c>
      <c r="G2146" s="11" t="s">
        <v>6276</v>
      </c>
      <c r="H2146" s="11" t="s">
        <v>4725</v>
      </c>
      <c r="I2146" s="10" t="s">
        <v>4812</v>
      </c>
      <c r="J2146" s="14">
        <v>53998.0</v>
      </c>
      <c r="K2146" s="14">
        <v>20521.0</v>
      </c>
      <c r="L2146" s="17">
        <v>0.38</v>
      </c>
      <c r="M2146" s="150">
        <v>6391.0</v>
      </c>
      <c r="N2146" s="136">
        <v>0.3115</v>
      </c>
      <c r="O2146" s="18">
        <v>357.0</v>
      </c>
      <c r="P2146" s="92">
        <v>340.0</v>
      </c>
      <c r="Q2146" s="137">
        <v>0.0166</v>
      </c>
      <c r="R2146" s="17">
        <v>0.0532</v>
      </c>
      <c r="S2146" s="18">
        <v>1.0</v>
      </c>
      <c r="T2146" s="18">
        <v>3.0</v>
      </c>
      <c r="U2146" s="151">
        <v>3798.0</v>
      </c>
      <c r="V2146" s="92" t="s">
        <v>183</v>
      </c>
      <c r="W2146" s="18" t="s">
        <v>76</v>
      </c>
      <c r="X2146" s="174" t="s">
        <v>52</v>
      </c>
      <c r="Y2146" s="175" t="s">
        <v>6268</v>
      </c>
      <c r="Z2146" s="18" t="s">
        <v>6277</v>
      </c>
      <c r="AA2146" s="92">
        <v>154.0</v>
      </c>
      <c r="AB2146" s="92">
        <v>31.0</v>
      </c>
      <c r="AC2146" s="18">
        <v>123.0</v>
      </c>
      <c r="AD2146" s="14">
        <v>650174.0</v>
      </c>
      <c r="AE2146" s="14">
        <v>98641.0</v>
      </c>
      <c r="AF2146" s="14">
        <v>551533.0</v>
      </c>
      <c r="AG2146" s="22"/>
      <c r="AH2146" s="22"/>
      <c r="AI2146" s="22"/>
      <c r="AJ2146" s="22"/>
      <c r="AK2146" s="22"/>
      <c r="AL2146" s="22"/>
      <c r="AM2146" s="22"/>
      <c r="AN2146" s="22"/>
      <c r="AO2146" s="22"/>
      <c r="AP2146" s="22"/>
    </row>
    <row r="2147" hidden="1">
      <c r="A2147" s="148">
        <v>46207.0</v>
      </c>
      <c r="B2147" s="149">
        <v>0.4166666666666667</v>
      </c>
      <c r="C2147" s="11" t="s">
        <v>32</v>
      </c>
      <c r="D2147" s="102" t="s">
        <v>33</v>
      </c>
      <c r="E2147" s="10" t="s">
        <v>106</v>
      </c>
      <c r="F2147" s="10" t="s">
        <v>6278</v>
      </c>
      <c r="G2147" s="11" t="s">
        <v>6279</v>
      </c>
      <c r="H2147" s="11" t="s">
        <v>6280</v>
      </c>
      <c r="I2147" s="10" t="s">
        <v>6281</v>
      </c>
      <c r="J2147" s="14">
        <v>99853.0</v>
      </c>
      <c r="K2147" s="14">
        <v>38483.0</v>
      </c>
      <c r="L2147" s="17">
        <v>0.3853</v>
      </c>
      <c r="M2147" s="150">
        <v>11459.0</v>
      </c>
      <c r="N2147" s="136">
        <v>0.2977</v>
      </c>
      <c r="O2147" s="18">
        <v>2351.0</v>
      </c>
      <c r="P2147" s="92">
        <v>2203.0</v>
      </c>
      <c r="Q2147" s="137">
        <v>0.0573</v>
      </c>
      <c r="R2147" s="17">
        <v>0.1923</v>
      </c>
      <c r="S2147" s="18">
        <v>25.0</v>
      </c>
      <c r="T2147" s="18">
        <v>0.0</v>
      </c>
      <c r="U2147" s="151">
        <v>190911.0</v>
      </c>
      <c r="V2147" s="92" t="s">
        <v>335</v>
      </c>
      <c r="W2147" s="18" t="s">
        <v>76</v>
      </c>
      <c r="X2147" s="174" t="s">
        <v>5796</v>
      </c>
      <c r="Y2147" s="189" t="s">
        <v>6282</v>
      </c>
      <c r="Z2147" s="18" t="s">
        <v>6283</v>
      </c>
      <c r="AA2147" s="92"/>
      <c r="AB2147" s="18"/>
      <c r="AC2147" s="18"/>
      <c r="AD2147" s="14"/>
      <c r="AE2147" s="14"/>
      <c r="AF2147" s="14"/>
      <c r="AG2147" s="22"/>
      <c r="AH2147" s="22"/>
      <c r="AI2147" s="22"/>
      <c r="AJ2147" s="22"/>
      <c r="AK2147" s="22"/>
      <c r="AL2147" s="22"/>
      <c r="AM2147" s="22"/>
      <c r="AN2147" s="22"/>
      <c r="AO2147" s="22"/>
      <c r="AP2147" s="22"/>
    </row>
    <row r="2148" hidden="1">
      <c r="A2148" s="148">
        <v>46207.0</v>
      </c>
      <c r="B2148" s="149">
        <v>0.4166666666666667</v>
      </c>
      <c r="C2148" s="11" t="s">
        <v>32</v>
      </c>
      <c r="D2148" s="102" t="s">
        <v>33</v>
      </c>
      <c r="E2148" s="10" t="s">
        <v>106</v>
      </c>
      <c r="F2148" s="10" t="s">
        <v>6284</v>
      </c>
      <c r="G2148" s="11" t="s">
        <v>6285</v>
      </c>
      <c r="H2148" s="11" t="s">
        <v>6286</v>
      </c>
      <c r="I2148" s="10" t="s">
        <v>6287</v>
      </c>
      <c r="J2148" s="14">
        <v>16945.0</v>
      </c>
      <c r="K2148" s="14">
        <v>6957.0</v>
      </c>
      <c r="L2148" s="17">
        <v>0.4106</v>
      </c>
      <c r="M2148" s="150">
        <v>2611.0</v>
      </c>
      <c r="N2148" s="136">
        <v>0.3753</v>
      </c>
      <c r="O2148" s="18">
        <v>529.0</v>
      </c>
      <c r="P2148" s="92">
        <v>475.0</v>
      </c>
      <c r="Q2148" s="137">
        <v>0.0683</v>
      </c>
      <c r="R2148" s="17">
        <v>0.1819</v>
      </c>
      <c r="S2148" s="18">
        <v>5.0</v>
      </c>
      <c r="T2148" s="18">
        <v>0.0</v>
      </c>
      <c r="U2148" s="151">
        <v>47196.0</v>
      </c>
      <c r="V2148" s="92" t="s">
        <v>315</v>
      </c>
      <c r="W2148" s="18" t="s">
        <v>76</v>
      </c>
      <c r="X2148" s="174" t="s">
        <v>6288</v>
      </c>
      <c r="Y2148" s="189" t="s">
        <v>6282</v>
      </c>
      <c r="Z2148" s="18" t="s">
        <v>6289</v>
      </c>
      <c r="AA2148" s="92"/>
      <c r="AB2148" s="18"/>
      <c r="AC2148" s="18"/>
      <c r="AD2148" s="14"/>
      <c r="AE2148" s="14"/>
      <c r="AF2148" s="14"/>
      <c r="AG2148" s="22"/>
      <c r="AH2148" s="22"/>
      <c r="AI2148" s="22"/>
      <c r="AJ2148" s="22"/>
      <c r="AK2148" s="22"/>
      <c r="AL2148" s="22"/>
      <c r="AM2148" s="22"/>
      <c r="AN2148" s="22"/>
      <c r="AO2148" s="22"/>
      <c r="AP2148" s="22"/>
    </row>
    <row r="2149" hidden="1">
      <c r="A2149" s="148">
        <v>46207.0</v>
      </c>
      <c r="B2149" s="149">
        <v>0.4166666666666667</v>
      </c>
      <c r="C2149" s="11" t="s">
        <v>32</v>
      </c>
      <c r="D2149" s="102" t="s">
        <v>33</v>
      </c>
      <c r="E2149" s="10" t="s">
        <v>106</v>
      </c>
      <c r="F2149" s="10" t="s">
        <v>6284</v>
      </c>
      <c r="G2149" s="11" t="s">
        <v>6290</v>
      </c>
      <c r="H2149" s="11" t="s">
        <v>6291</v>
      </c>
      <c r="I2149" s="10" t="s">
        <v>6292</v>
      </c>
      <c r="J2149" s="14">
        <v>114465.0</v>
      </c>
      <c r="K2149" s="14">
        <v>41440.0</v>
      </c>
      <c r="L2149" s="17">
        <v>0.362</v>
      </c>
      <c r="M2149" s="150">
        <v>13122.0</v>
      </c>
      <c r="N2149" s="136">
        <v>0.3165</v>
      </c>
      <c r="O2149" s="18">
        <v>1601.0</v>
      </c>
      <c r="P2149" s="92">
        <v>1456.0</v>
      </c>
      <c r="Q2149" s="137">
        <v>0.0351</v>
      </c>
      <c r="R2149" s="17">
        <v>0.111</v>
      </c>
      <c r="S2149" s="18">
        <v>25.0</v>
      </c>
      <c r="T2149" s="18">
        <v>0.0</v>
      </c>
      <c r="U2149" s="151">
        <v>333571.0</v>
      </c>
      <c r="V2149" s="92" t="s">
        <v>315</v>
      </c>
      <c r="W2149" s="18" t="s">
        <v>76</v>
      </c>
      <c r="X2149" s="174" t="s">
        <v>6293</v>
      </c>
      <c r="Y2149" s="189" t="s">
        <v>6282</v>
      </c>
      <c r="Z2149" s="18" t="s">
        <v>6294</v>
      </c>
      <c r="AA2149" s="92"/>
      <c r="AB2149" s="18"/>
      <c r="AC2149" s="18"/>
      <c r="AD2149" s="14"/>
      <c r="AE2149" s="14"/>
      <c r="AF2149" s="14"/>
      <c r="AG2149" s="22"/>
      <c r="AH2149" s="22"/>
      <c r="AI2149" s="22"/>
      <c r="AJ2149" s="22"/>
      <c r="AK2149" s="22"/>
      <c r="AL2149" s="22"/>
      <c r="AM2149" s="22"/>
      <c r="AN2149" s="22"/>
      <c r="AO2149" s="22"/>
      <c r="AP2149" s="22"/>
    </row>
    <row r="2150" hidden="1">
      <c r="A2150" s="148">
        <v>46207.0</v>
      </c>
      <c r="B2150" s="149">
        <v>0.4166666666666667</v>
      </c>
      <c r="C2150" s="11" t="s">
        <v>32</v>
      </c>
      <c r="D2150" s="102" t="s">
        <v>33</v>
      </c>
      <c r="E2150" s="10" t="s">
        <v>106</v>
      </c>
      <c r="F2150" s="10" t="s">
        <v>6284</v>
      </c>
      <c r="G2150" s="11" t="s">
        <v>6295</v>
      </c>
      <c r="H2150" s="11" t="s">
        <v>6296</v>
      </c>
      <c r="I2150" s="10" t="s">
        <v>6297</v>
      </c>
      <c r="J2150" s="14">
        <v>51762.0</v>
      </c>
      <c r="K2150" s="14">
        <v>18169.0</v>
      </c>
      <c r="L2150" s="17">
        <v>0.351</v>
      </c>
      <c r="M2150" s="150">
        <v>5919.0</v>
      </c>
      <c r="N2150" s="136">
        <v>0.3257</v>
      </c>
      <c r="O2150" s="18">
        <v>604.0</v>
      </c>
      <c r="P2150" s="92">
        <v>552.0</v>
      </c>
      <c r="Q2150" s="137">
        <v>0.0304</v>
      </c>
      <c r="R2150" s="17">
        <v>0.0933</v>
      </c>
      <c r="S2150" s="18">
        <v>7.0</v>
      </c>
      <c r="T2150" s="18">
        <v>0.0</v>
      </c>
      <c r="U2150" s="151">
        <v>79595.0</v>
      </c>
      <c r="V2150" s="92" t="s">
        <v>315</v>
      </c>
      <c r="W2150" s="18" t="s">
        <v>76</v>
      </c>
      <c r="X2150" s="174" t="s">
        <v>6298</v>
      </c>
      <c r="Y2150" s="189" t="s">
        <v>6282</v>
      </c>
      <c r="Z2150" s="18" t="s">
        <v>6299</v>
      </c>
      <c r="AA2150" s="92"/>
      <c r="AB2150" s="18"/>
      <c r="AC2150" s="18"/>
      <c r="AD2150" s="14"/>
      <c r="AE2150" s="14"/>
      <c r="AF2150" s="14"/>
      <c r="AG2150" s="22"/>
      <c r="AH2150" s="22"/>
      <c r="AI2150" s="22"/>
      <c r="AJ2150" s="22"/>
      <c r="AK2150" s="22"/>
      <c r="AL2150" s="22"/>
      <c r="AM2150" s="22"/>
      <c r="AN2150" s="22"/>
      <c r="AO2150" s="22"/>
      <c r="AP2150" s="22"/>
    </row>
    <row r="2151" hidden="1">
      <c r="A2151" s="148">
        <v>46207.0</v>
      </c>
      <c r="B2151" s="149">
        <v>0.5</v>
      </c>
      <c r="C2151" s="11" t="s">
        <v>58</v>
      </c>
      <c r="D2151" s="102" t="s">
        <v>3083</v>
      </c>
      <c r="E2151" s="10" t="s">
        <v>106</v>
      </c>
      <c r="F2151" s="10" t="s">
        <v>6300</v>
      </c>
      <c r="G2151" s="11" t="s">
        <v>6301</v>
      </c>
      <c r="H2151" s="11" t="s">
        <v>6280</v>
      </c>
      <c r="I2151" s="10" t="s">
        <v>61</v>
      </c>
      <c r="J2151" s="14">
        <v>57873.0</v>
      </c>
      <c r="K2151" s="14">
        <v>32663.0</v>
      </c>
      <c r="L2151" s="17">
        <v>0.5644</v>
      </c>
      <c r="M2151" s="150">
        <v>0.0</v>
      </c>
      <c r="N2151" s="136">
        <v>0.0</v>
      </c>
      <c r="O2151" s="18">
        <v>0.0</v>
      </c>
      <c r="P2151" s="92">
        <v>0.0</v>
      </c>
      <c r="Q2151" s="137">
        <v>0.0</v>
      </c>
      <c r="R2151" s="17">
        <v>0.0</v>
      </c>
      <c r="S2151" s="18">
        <v>9.0</v>
      </c>
      <c r="T2151" s="18">
        <v>0.0</v>
      </c>
      <c r="U2151" s="151">
        <v>80843.0</v>
      </c>
      <c r="V2151" s="92" t="s">
        <v>335</v>
      </c>
      <c r="W2151" s="18" t="s">
        <v>76</v>
      </c>
      <c r="X2151" s="174" t="s">
        <v>5796</v>
      </c>
      <c r="Y2151" s="190" t="s">
        <v>6282</v>
      </c>
      <c r="Z2151" s="18" t="s">
        <v>6302</v>
      </c>
      <c r="AA2151" s="92">
        <v>99.0</v>
      </c>
      <c r="AB2151" s="18">
        <v>99.0</v>
      </c>
      <c r="AC2151" s="18"/>
      <c r="AD2151" s="14">
        <v>992213.0</v>
      </c>
      <c r="AE2151" s="14">
        <v>992213.0</v>
      </c>
      <c r="AF2151" s="14"/>
      <c r="AG2151" s="22"/>
      <c r="AH2151" s="22"/>
      <c r="AI2151" s="22"/>
      <c r="AJ2151" s="22"/>
      <c r="AK2151" s="22"/>
      <c r="AL2151" s="22"/>
      <c r="AM2151" s="22"/>
      <c r="AN2151" s="22"/>
      <c r="AO2151" s="22"/>
      <c r="AP2151" s="22"/>
    </row>
    <row r="2152" hidden="1">
      <c r="A2152" s="148">
        <v>46207.0</v>
      </c>
      <c r="B2152" s="149">
        <v>0.5</v>
      </c>
      <c r="C2152" s="11" t="s">
        <v>58</v>
      </c>
      <c r="D2152" s="102" t="s">
        <v>3083</v>
      </c>
      <c r="E2152" s="10" t="s">
        <v>106</v>
      </c>
      <c r="F2152" s="10" t="s">
        <v>6300</v>
      </c>
      <c r="G2152" s="11" t="s">
        <v>6303</v>
      </c>
      <c r="H2152" s="11" t="s">
        <v>6286</v>
      </c>
      <c r="I2152" s="10" t="s">
        <v>61</v>
      </c>
      <c r="J2152" s="14">
        <v>8863.0</v>
      </c>
      <c r="K2152" s="14">
        <v>5085.0</v>
      </c>
      <c r="L2152" s="17">
        <v>0.5737</v>
      </c>
      <c r="M2152" s="150">
        <v>0.0</v>
      </c>
      <c r="N2152" s="136">
        <v>0.0</v>
      </c>
      <c r="O2152" s="18">
        <v>0.0</v>
      </c>
      <c r="P2152" s="92">
        <v>0.0</v>
      </c>
      <c r="Q2152" s="137">
        <v>0.0</v>
      </c>
      <c r="R2152" s="17">
        <v>0.0</v>
      </c>
      <c r="S2152" s="18">
        <v>9.0</v>
      </c>
      <c r="T2152" s="18">
        <v>0.0</v>
      </c>
      <c r="U2152" s="151">
        <v>111097.0</v>
      </c>
      <c r="V2152" s="92" t="s">
        <v>315</v>
      </c>
      <c r="W2152" s="18" t="s">
        <v>62</v>
      </c>
      <c r="X2152" s="174" t="s">
        <v>6288</v>
      </c>
      <c r="Y2152" s="189" t="s">
        <v>6282</v>
      </c>
      <c r="Z2152" s="18" t="s">
        <v>6304</v>
      </c>
      <c r="AA2152" s="92">
        <v>45.0</v>
      </c>
      <c r="AB2152" s="18"/>
      <c r="AC2152" s="18">
        <v>45.0</v>
      </c>
      <c r="AD2152" s="14">
        <v>506262.0</v>
      </c>
      <c r="AE2152" s="14"/>
      <c r="AF2152" s="14">
        <v>506262.0</v>
      </c>
      <c r="AG2152" s="22"/>
      <c r="AH2152" s="22"/>
      <c r="AI2152" s="22"/>
      <c r="AJ2152" s="22"/>
      <c r="AK2152" s="22"/>
      <c r="AL2152" s="22"/>
      <c r="AM2152" s="22"/>
      <c r="AN2152" s="22"/>
      <c r="AO2152" s="22"/>
      <c r="AP2152" s="22"/>
    </row>
    <row r="2153" hidden="1">
      <c r="A2153" s="148">
        <v>46207.0</v>
      </c>
      <c r="B2153" s="149">
        <v>0.5</v>
      </c>
      <c r="C2153" s="11" t="s">
        <v>58</v>
      </c>
      <c r="D2153" s="102" t="s">
        <v>3083</v>
      </c>
      <c r="E2153" s="10" t="s">
        <v>106</v>
      </c>
      <c r="F2153" s="10" t="s">
        <v>6300</v>
      </c>
      <c r="G2153" s="11" t="s">
        <v>6305</v>
      </c>
      <c r="H2153" s="11" t="s">
        <v>6291</v>
      </c>
      <c r="I2153" s="10" t="s">
        <v>61</v>
      </c>
      <c r="J2153" s="14">
        <v>67268.0</v>
      </c>
      <c r="K2153" s="14">
        <v>36970.0</v>
      </c>
      <c r="L2153" s="17">
        <v>0.5496</v>
      </c>
      <c r="M2153" s="150">
        <v>0.0</v>
      </c>
      <c r="N2153" s="136">
        <v>0.0</v>
      </c>
      <c r="O2153" s="18">
        <v>0.0</v>
      </c>
      <c r="P2153" s="92">
        <v>0.0</v>
      </c>
      <c r="Q2153" s="137">
        <v>0.0</v>
      </c>
      <c r="R2153" s="17">
        <v>0.0</v>
      </c>
      <c r="S2153" s="18">
        <v>38.0</v>
      </c>
      <c r="T2153" s="18">
        <v>0.0</v>
      </c>
      <c r="U2153" s="151">
        <v>504462.0</v>
      </c>
      <c r="V2153" s="92" t="s">
        <v>315</v>
      </c>
      <c r="W2153" s="18" t="s">
        <v>76</v>
      </c>
      <c r="X2153" s="174" t="s">
        <v>6293</v>
      </c>
      <c r="Y2153" s="189" t="s">
        <v>6282</v>
      </c>
      <c r="Z2153" s="18" t="s">
        <v>6306</v>
      </c>
      <c r="AA2153" s="92">
        <v>210.0</v>
      </c>
      <c r="AB2153" s="18"/>
      <c r="AC2153" s="18">
        <v>210.0</v>
      </c>
      <c r="AD2153" s="14">
        <v>2708392.0</v>
      </c>
      <c r="AE2153" s="14"/>
      <c r="AF2153" s="14">
        <v>2708392.0</v>
      </c>
      <c r="AG2153" s="22"/>
      <c r="AH2153" s="22"/>
      <c r="AI2153" s="22"/>
      <c r="AJ2153" s="22"/>
      <c r="AK2153" s="22"/>
      <c r="AL2153" s="22"/>
      <c r="AM2153" s="22"/>
      <c r="AN2153" s="22"/>
      <c r="AO2153" s="22"/>
      <c r="AP2153" s="22"/>
    </row>
    <row r="2154" hidden="1">
      <c r="A2154" s="148">
        <v>46207.0</v>
      </c>
      <c r="B2154" s="149">
        <v>0.5</v>
      </c>
      <c r="C2154" s="11" t="s">
        <v>58</v>
      </c>
      <c r="D2154" s="102" t="s">
        <v>3083</v>
      </c>
      <c r="E2154" s="10" t="s">
        <v>106</v>
      </c>
      <c r="F2154" s="10" t="s">
        <v>6300</v>
      </c>
      <c r="G2154" s="11" t="s">
        <v>6307</v>
      </c>
      <c r="H2154" s="11" t="s">
        <v>6296</v>
      </c>
      <c r="I2154" s="10" t="s">
        <v>61</v>
      </c>
      <c r="J2154" s="14">
        <v>17663.0</v>
      </c>
      <c r="K2154" s="14">
        <v>9098.0</v>
      </c>
      <c r="L2154" s="17">
        <v>0.5151</v>
      </c>
      <c r="M2154" s="150">
        <v>0.0</v>
      </c>
      <c r="N2154" s="136">
        <v>0.0</v>
      </c>
      <c r="O2154" s="18">
        <v>0.0</v>
      </c>
      <c r="P2154" s="92">
        <v>0.0</v>
      </c>
      <c r="Q2154" s="137">
        <v>0.0</v>
      </c>
      <c r="R2154" s="17">
        <v>0.0</v>
      </c>
      <c r="S2154" s="18">
        <v>4.0</v>
      </c>
      <c r="T2154" s="18">
        <v>0.0</v>
      </c>
      <c r="U2154" s="151">
        <v>40997.0</v>
      </c>
      <c r="V2154" s="92" t="s">
        <v>315</v>
      </c>
      <c r="W2154" s="18" t="s">
        <v>62</v>
      </c>
      <c r="X2154" s="174" t="s">
        <v>6298</v>
      </c>
      <c r="Y2154" s="189" t="s">
        <v>6282</v>
      </c>
      <c r="Z2154" s="18" t="s">
        <v>6308</v>
      </c>
      <c r="AA2154" s="92">
        <v>24.0</v>
      </c>
      <c r="AB2154" s="18"/>
      <c r="AC2154" s="18">
        <v>24.0</v>
      </c>
      <c r="AD2154" s="14">
        <v>256881.0</v>
      </c>
      <c r="AE2154" s="14"/>
      <c r="AF2154" s="14">
        <v>256881.0</v>
      </c>
      <c r="AG2154" s="22"/>
      <c r="AH2154" s="22"/>
      <c r="AI2154" s="22"/>
      <c r="AJ2154" s="22"/>
      <c r="AK2154" s="22"/>
      <c r="AL2154" s="22"/>
      <c r="AM2154" s="22"/>
      <c r="AN2154" s="22"/>
      <c r="AO2154" s="22"/>
      <c r="AP2154" s="22"/>
    </row>
    <row r="2155" hidden="1">
      <c r="A2155" s="148">
        <v>46202.0</v>
      </c>
      <c r="B2155" s="149">
        <v>0.4583333333333333</v>
      </c>
      <c r="C2155" s="11" t="s">
        <v>58</v>
      </c>
      <c r="D2155" s="102" t="s">
        <v>3083</v>
      </c>
      <c r="E2155" s="10" t="s">
        <v>71</v>
      </c>
      <c r="F2155" s="10" t="s">
        <v>5574</v>
      </c>
      <c r="G2155" s="11" t="s">
        <v>6309</v>
      </c>
      <c r="H2155" s="11" t="s">
        <v>5939</v>
      </c>
      <c r="I2155" s="10" t="s">
        <v>61</v>
      </c>
      <c r="J2155" s="14">
        <v>10101.0</v>
      </c>
      <c r="K2155" s="14">
        <v>6756.0</v>
      </c>
      <c r="L2155" s="17">
        <v>0.6688</v>
      </c>
      <c r="M2155" s="150">
        <v>0.0</v>
      </c>
      <c r="N2155" s="136">
        <v>0.0</v>
      </c>
      <c r="O2155" s="18">
        <v>19.0</v>
      </c>
      <c r="P2155" s="92">
        <v>0.0</v>
      </c>
      <c r="Q2155" s="137">
        <v>0.0028</v>
      </c>
      <c r="R2155" s="17">
        <v>0.0</v>
      </c>
      <c r="S2155" s="18">
        <v>7.0</v>
      </c>
      <c r="T2155" s="18">
        <v>34.0</v>
      </c>
      <c r="U2155" s="151">
        <v>34429.0</v>
      </c>
      <c r="V2155" s="92" t="s">
        <v>183</v>
      </c>
      <c r="W2155" s="18" t="s">
        <v>62</v>
      </c>
      <c r="X2155" s="174" t="s">
        <v>1101</v>
      </c>
      <c r="Y2155" s="175">
        <v>46202.0</v>
      </c>
      <c r="Z2155" s="18" t="s">
        <v>6310</v>
      </c>
      <c r="AA2155" s="92">
        <v>17.0</v>
      </c>
      <c r="AB2155" s="18">
        <v>12.0</v>
      </c>
      <c r="AC2155" s="18">
        <v>5.0</v>
      </c>
      <c r="AD2155" s="14">
        <v>53247.0</v>
      </c>
      <c r="AE2155" s="14">
        <v>38446.0</v>
      </c>
      <c r="AF2155" s="14">
        <v>14801.0</v>
      </c>
      <c r="AG2155" s="22"/>
      <c r="AH2155" s="22"/>
      <c r="AI2155" s="22"/>
      <c r="AJ2155" s="22"/>
      <c r="AK2155" s="22"/>
      <c r="AL2155" s="22"/>
      <c r="AM2155" s="22"/>
      <c r="AN2155" s="22"/>
      <c r="AO2155" s="22"/>
      <c r="AP2155" s="22"/>
    </row>
    <row r="2156" hidden="1">
      <c r="A2156" s="148">
        <v>46202.0</v>
      </c>
      <c r="B2156" s="149">
        <v>0.5</v>
      </c>
      <c r="C2156" s="11" t="s">
        <v>58</v>
      </c>
      <c r="D2156" s="102" t="s">
        <v>33</v>
      </c>
      <c r="E2156" s="10" t="s">
        <v>71</v>
      </c>
      <c r="F2156" s="10" t="s">
        <v>5574</v>
      </c>
      <c r="G2156" s="11" t="s">
        <v>6311</v>
      </c>
      <c r="H2156" s="11" t="s">
        <v>5822</v>
      </c>
      <c r="I2156" s="10" t="s">
        <v>1101</v>
      </c>
      <c r="J2156" s="14">
        <v>2398.0</v>
      </c>
      <c r="K2156" s="14">
        <v>1493.0</v>
      </c>
      <c r="L2156" s="17">
        <v>0.6226</v>
      </c>
      <c r="M2156" s="150">
        <v>0.0</v>
      </c>
      <c r="N2156" s="136">
        <v>0.0</v>
      </c>
      <c r="O2156" s="18">
        <v>7.0</v>
      </c>
      <c r="P2156" s="92">
        <v>0.0</v>
      </c>
      <c r="Q2156" s="137">
        <v>0.0047</v>
      </c>
      <c r="R2156" s="17">
        <v>0.0</v>
      </c>
      <c r="S2156" s="18">
        <v>11.0</v>
      </c>
      <c r="T2156" s="18">
        <v>68.0</v>
      </c>
      <c r="U2156" s="151">
        <v>38944.0</v>
      </c>
      <c r="V2156" s="92" t="s">
        <v>183</v>
      </c>
      <c r="W2156" s="18" t="s">
        <v>62</v>
      </c>
      <c r="X2156" s="174" t="s">
        <v>1101</v>
      </c>
      <c r="Y2156" s="175">
        <v>46202.0</v>
      </c>
      <c r="Z2156" s="18" t="s">
        <v>6312</v>
      </c>
      <c r="AA2156" s="92">
        <v>34.0</v>
      </c>
      <c r="AB2156" s="18">
        <v>30.0</v>
      </c>
      <c r="AC2156" s="18">
        <v>4.0</v>
      </c>
      <c r="AD2156" s="14">
        <v>107529.0</v>
      </c>
      <c r="AE2156" s="14">
        <v>92987.0</v>
      </c>
      <c r="AF2156" s="14">
        <v>14542.0</v>
      </c>
      <c r="AG2156" s="22"/>
      <c r="AH2156" s="22"/>
      <c r="AI2156" s="22"/>
      <c r="AJ2156" s="22"/>
      <c r="AK2156" s="22"/>
      <c r="AL2156" s="22"/>
      <c r="AM2156" s="22"/>
      <c r="AN2156" s="22"/>
      <c r="AO2156" s="22"/>
      <c r="AP2156" s="22"/>
    </row>
    <row r="2157" hidden="1">
      <c r="A2157" s="148">
        <v>46205.0</v>
      </c>
      <c r="B2157" s="149">
        <v>0.8541666666666666</v>
      </c>
      <c r="C2157" s="11" t="s">
        <v>58</v>
      </c>
      <c r="D2157" s="102" t="s">
        <v>3083</v>
      </c>
      <c r="E2157" s="10" t="s">
        <v>71</v>
      </c>
      <c r="F2157" s="10" t="s">
        <v>6210</v>
      </c>
      <c r="G2157" s="11" t="s">
        <v>6313</v>
      </c>
      <c r="H2157" s="11" t="s">
        <v>4694</v>
      </c>
      <c r="I2157" s="10" t="s">
        <v>61</v>
      </c>
      <c r="J2157" s="14">
        <v>4126.0</v>
      </c>
      <c r="K2157" s="14">
        <v>2467.0</v>
      </c>
      <c r="L2157" s="17">
        <v>0.5979</v>
      </c>
      <c r="M2157" s="150">
        <v>0.0</v>
      </c>
      <c r="N2157" s="136">
        <v>0.0</v>
      </c>
      <c r="O2157" s="18">
        <v>20.0</v>
      </c>
      <c r="P2157" s="92">
        <v>0.0</v>
      </c>
      <c r="Q2157" s="137">
        <v>0.0081</v>
      </c>
      <c r="R2157" s="17">
        <v>0.0</v>
      </c>
      <c r="S2157" s="18">
        <v>8.0</v>
      </c>
      <c r="T2157" s="18">
        <v>64.0</v>
      </c>
      <c r="U2157" s="151">
        <v>23066.0</v>
      </c>
      <c r="V2157" s="92" t="s">
        <v>335</v>
      </c>
      <c r="W2157" s="18" t="s">
        <v>62</v>
      </c>
      <c r="X2157" s="174" t="s">
        <v>6235</v>
      </c>
      <c r="Y2157" s="175">
        <v>46205.0</v>
      </c>
      <c r="Z2157" s="18" t="s">
        <v>6314</v>
      </c>
      <c r="AA2157" s="92">
        <v>13.0</v>
      </c>
      <c r="AB2157" s="18">
        <v>13.0</v>
      </c>
      <c r="AC2157" s="18"/>
      <c r="AD2157" s="14">
        <v>53978.0</v>
      </c>
      <c r="AE2157" s="14">
        <v>53978.0</v>
      </c>
      <c r="AF2157" s="14"/>
      <c r="AG2157" s="22"/>
      <c r="AH2157" s="22"/>
      <c r="AI2157" s="22"/>
      <c r="AJ2157" s="22"/>
      <c r="AK2157" s="22"/>
      <c r="AL2157" s="22"/>
      <c r="AM2157" s="22"/>
      <c r="AN2157" s="22"/>
      <c r="AO2157" s="22"/>
      <c r="AP2157" s="22"/>
    </row>
    <row r="2158" hidden="1">
      <c r="A2158" s="148">
        <v>46205.0</v>
      </c>
      <c r="B2158" s="149">
        <v>0.8541666666666666</v>
      </c>
      <c r="C2158" s="11" t="s">
        <v>58</v>
      </c>
      <c r="D2158" s="102" t="s">
        <v>3083</v>
      </c>
      <c r="E2158" s="10" t="s">
        <v>71</v>
      </c>
      <c r="F2158" s="10" t="s">
        <v>6210</v>
      </c>
      <c r="G2158" s="11" t="s">
        <v>6315</v>
      </c>
      <c r="H2158" s="11" t="s">
        <v>4697</v>
      </c>
      <c r="I2158" s="10" t="s">
        <v>61</v>
      </c>
      <c r="J2158" s="14">
        <v>14789.0</v>
      </c>
      <c r="K2158" s="14">
        <v>7781.0</v>
      </c>
      <c r="L2158" s="17">
        <v>0.5261</v>
      </c>
      <c r="M2158" s="150">
        <v>0.0</v>
      </c>
      <c r="N2158" s="136">
        <v>0.0</v>
      </c>
      <c r="O2158" s="18">
        <v>34.0</v>
      </c>
      <c r="P2158" s="92">
        <v>0.0</v>
      </c>
      <c r="Q2158" s="137">
        <v>0.0044</v>
      </c>
      <c r="R2158" s="17">
        <v>0.0</v>
      </c>
      <c r="S2158" s="18">
        <v>2.0</v>
      </c>
      <c r="T2158" s="18">
        <v>4.0</v>
      </c>
      <c r="U2158" s="151">
        <v>2323.0</v>
      </c>
      <c r="V2158" s="92" t="s">
        <v>335</v>
      </c>
      <c r="W2158" s="18" t="s">
        <v>62</v>
      </c>
      <c r="X2158" s="174" t="s">
        <v>2286</v>
      </c>
      <c r="Y2158" s="175">
        <v>46205.0</v>
      </c>
      <c r="Z2158" s="18" t="s">
        <v>6316</v>
      </c>
      <c r="AA2158" s="92">
        <v>20.0</v>
      </c>
      <c r="AB2158" s="18">
        <v>20.0</v>
      </c>
      <c r="AC2158" s="18"/>
      <c r="AD2158" s="14">
        <v>41255.0</v>
      </c>
      <c r="AE2158" s="14">
        <v>41255.0</v>
      </c>
      <c r="AF2158" s="14"/>
      <c r="AG2158" s="22"/>
      <c r="AH2158" s="22"/>
      <c r="AI2158" s="22"/>
      <c r="AJ2158" s="22"/>
      <c r="AK2158" s="22"/>
      <c r="AL2158" s="22"/>
      <c r="AM2158" s="22"/>
      <c r="AN2158" s="22"/>
      <c r="AO2158" s="22"/>
      <c r="AP2158" s="22"/>
    </row>
    <row r="2159" hidden="1">
      <c r="A2159" s="148">
        <v>46205.0</v>
      </c>
      <c r="B2159" s="149">
        <v>0.8541666666666666</v>
      </c>
      <c r="C2159" s="11" t="s">
        <v>58</v>
      </c>
      <c r="D2159" s="102" t="s">
        <v>3083</v>
      </c>
      <c r="E2159" s="10" t="s">
        <v>71</v>
      </c>
      <c r="F2159" s="10" t="s">
        <v>6210</v>
      </c>
      <c r="G2159" s="11" t="s">
        <v>6317</v>
      </c>
      <c r="H2159" s="11" t="s">
        <v>4700</v>
      </c>
      <c r="I2159" s="10" t="s">
        <v>61</v>
      </c>
      <c r="J2159" s="14">
        <v>8895.0</v>
      </c>
      <c r="K2159" s="14">
        <v>4127.0</v>
      </c>
      <c r="L2159" s="17">
        <v>0.464</v>
      </c>
      <c r="M2159" s="150">
        <v>0.0</v>
      </c>
      <c r="N2159" s="136">
        <v>0.0</v>
      </c>
      <c r="O2159" s="18">
        <v>13.0</v>
      </c>
      <c r="P2159" s="92">
        <v>0.0</v>
      </c>
      <c r="Q2159" s="137">
        <v>0.0031</v>
      </c>
      <c r="R2159" s="17">
        <v>0.0</v>
      </c>
      <c r="S2159" s="18">
        <v>3.0</v>
      </c>
      <c r="T2159" s="18">
        <v>6.0</v>
      </c>
      <c r="U2159" s="151">
        <v>14064.0</v>
      </c>
      <c r="V2159" s="92" t="s">
        <v>335</v>
      </c>
      <c r="W2159" s="18" t="s">
        <v>62</v>
      </c>
      <c r="X2159" s="174" t="s">
        <v>2594</v>
      </c>
      <c r="Y2159" s="175">
        <v>46205.0</v>
      </c>
      <c r="Z2159" s="18" t="s">
        <v>6318</v>
      </c>
      <c r="AA2159" s="92">
        <v>15.0</v>
      </c>
      <c r="AB2159" s="18">
        <v>15.0</v>
      </c>
      <c r="AC2159" s="18"/>
      <c r="AD2159" s="14">
        <v>49002.0</v>
      </c>
      <c r="AE2159" s="14">
        <v>49002.0</v>
      </c>
      <c r="AF2159" s="14"/>
      <c r="AG2159" s="22"/>
      <c r="AH2159" s="22"/>
      <c r="AI2159" s="22"/>
      <c r="AJ2159" s="22"/>
      <c r="AK2159" s="22"/>
      <c r="AL2159" s="22"/>
      <c r="AM2159" s="22"/>
      <c r="AN2159" s="22"/>
      <c r="AO2159" s="22"/>
      <c r="AP2159" s="22"/>
    </row>
    <row r="2160" hidden="1">
      <c r="A2160" s="148">
        <v>46205.0</v>
      </c>
      <c r="B2160" s="149">
        <v>0.8541666666666666</v>
      </c>
      <c r="C2160" s="11" t="s">
        <v>58</v>
      </c>
      <c r="D2160" s="102" t="s">
        <v>3083</v>
      </c>
      <c r="E2160" s="10" t="s">
        <v>71</v>
      </c>
      <c r="F2160" s="10" t="s">
        <v>6210</v>
      </c>
      <c r="G2160" s="11" t="s">
        <v>6319</v>
      </c>
      <c r="H2160" s="11" t="s">
        <v>4703</v>
      </c>
      <c r="I2160" s="10" t="s">
        <v>61</v>
      </c>
      <c r="J2160" s="14">
        <v>41182.0</v>
      </c>
      <c r="K2160" s="14">
        <v>24154.0</v>
      </c>
      <c r="L2160" s="17">
        <v>0.5865</v>
      </c>
      <c r="M2160" s="150">
        <v>0.0</v>
      </c>
      <c r="N2160" s="136">
        <v>0.0</v>
      </c>
      <c r="O2160" s="18">
        <v>79.0</v>
      </c>
      <c r="P2160" s="92">
        <v>0.0</v>
      </c>
      <c r="Q2160" s="137">
        <v>0.0033</v>
      </c>
      <c r="R2160" s="17">
        <v>0.0</v>
      </c>
      <c r="S2160" s="18">
        <v>7.0</v>
      </c>
      <c r="T2160" s="18">
        <v>9.0</v>
      </c>
      <c r="U2160" s="151">
        <v>18520.0</v>
      </c>
      <c r="V2160" s="92" t="s">
        <v>335</v>
      </c>
      <c r="W2160" s="18" t="s">
        <v>62</v>
      </c>
      <c r="X2160" s="174" t="s">
        <v>41</v>
      </c>
      <c r="Y2160" s="175">
        <v>46205.0</v>
      </c>
      <c r="Z2160" s="18" t="s">
        <v>6320</v>
      </c>
      <c r="AA2160" s="92">
        <v>31.0</v>
      </c>
      <c r="AB2160" s="18">
        <v>31.0</v>
      </c>
      <c r="AC2160" s="18"/>
      <c r="AD2160" s="14">
        <v>75515.0</v>
      </c>
      <c r="AE2160" s="14">
        <v>75515.0</v>
      </c>
      <c r="AF2160" s="14"/>
      <c r="AG2160" s="22"/>
      <c r="AH2160" s="22"/>
      <c r="AI2160" s="22"/>
      <c r="AJ2160" s="22"/>
      <c r="AK2160" s="22"/>
      <c r="AL2160" s="22"/>
      <c r="AM2160" s="22"/>
      <c r="AN2160" s="22"/>
      <c r="AO2160" s="22"/>
      <c r="AP2160" s="22"/>
    </row>
    <row r="2161" hidden="1">
      <c r="A2161" s="148">
        <v>46206.0</v>
      </c>
      <c r="B2161" s="149">
        <v>0.5</v>
      </c>
      <c r="C2161" s="11" t="s">
        <v>58</v>
      </c>
      <c r="D2161" s="102" t="s">
        <v>3083</v>
      </c>
      <c r="E2161" s="10" t="s">
        <v>71</v>
      </c>
      <c r="F2161" s="10" t="s">
        <v>6210</v>
      </c>
      <c r="G2161" s="11" t="s">
        <v>6321</v>
      </c>
      <c r="H2161" s="11" t="s">
        <v>4725</v>
      </c>
      <c r="I2161" s="10" t="s">
        <v>61</v>
      </c>
      <c r="J2161" s="14">
        <v>23519.0</v>
      </c>
      <c r="K2161" s="14">
        <v>12775.0</v>
      </c>
      <c r="L2161" s="17">
        <v>0.5432</v>
      </c>
      <c r="M2161" s="150">
        <v>0.0</v>
      </c>
      <c r="N2161" s="136">
        <v>0.0</v>
      </c>
      <c r="O2161" s="18">
        <v>17.0</v>
      </c>
      <c r="P2161" s="92">
        <v>0.0</v>
      </c>
      <c r="Q2161" s="137">
        <v>0.0013</v>
      </c>
      <c r="R2161" s="17">
        <v>0.0</v>
      </c>
      <c r="S2161" s="18">
        <v>1.0</v>
      </c>
      <c r="T2161" s="18">
        <v>4.0</v>
      </c>
      <c r="U2161" s="151">
        <v>2480.0</v>
      </c>
      <c r="V2161" s="92" t="s">
        <v>183</v>
      </c>
      <c r="W2161" s="18" t="s">
        <v>62</v>
      </c>
      <c r="X2161" s="174" t="s">
        <v>52</v>
      </c>
      <c r="Y2161" s="175">
        <v>46206.0</v>
      </c>
      <c r="Z2161" s="18" t="s">
        <v>6322</v>
      </c>
      <c r="AA2161" s="92">
        <v>27.0</v>
      </c>
      <c r="AB2161" s="18">
        <v>7.0</v>
      </c>
      <c r="AC2161" s="18">
        <v>20.0</v>
      </c>
      <c r="AD2161" s="14">
        <v>96973.0</v>
      </c>
      <c r="AE2161" s="14">
        <v>20230.0</v>
      </c>
      <c r="AF2161" s="14">
        <v>76743.0</v>
      </c>
      <c r="AG2161" s="22"/>
      <c r="AH2161" s="22"/>
      <c r="AI2161" s="22"/>
      <c r="AJ2161" s="22"/>
      <c r="AK2161" s="22"/>
      <c r="AL2161" s="22"/>
      <c r="AM2161" s="22"/>
      <c r="AN2161" s="22"/>
      <c r="AO2161" s="22"/>
      <c r="AP2161" s="22"/>
    </row>
    <row r="2162" hidden="1">
      <c r="A2162" s="148">
        <v>46206.0</v>
      </c>
      <c r="B2162" s="149">
        <v>0.5</v>
      </c>
      <c r="C2162" s="11" t="s">
        <v>58</v>
      </c>
      <c r="D2162" s="102" t="s">
        <v>3083</v>
      </c>
      <c r="E2162" s="10" t="s">
        <v>71</v>
      </c>
      <c r="F2162" s="10" t="s">
        <v>6210</v>
      </c>
      <c r="G2162" s="11" t="s">
        <v>6323</v>
      </c>
      <c r="H2162" s="11" t="s">
        <v>4907</v>
      </c>
      <c r="I2162" s="10" t="s">
        <v>61</v>
      </c>
      <c r="J2162" s="14">
        <v>35369.0</v>
      </c>
      <c r="K2162" s="14">
        <v>20038.0</v>
      </c>
      <c r="L2162" s="17">
        <v>0.5665</v>
      </c>
      <c r="M2162" s="150">
        <v>0.0</v>
      </c>
      <c r="N2162" s="136">
        <v>0.0</v>
      </c>
      <c r="O2162" s="18">
        <v>17.0</v>
      </c>
      <c r="P2162" s="92">
        <v>0.0</v>
      </c>
      <c r="Q2162" s="137">
        <v>8.0E-4</v>
      </c>
      <c r="R2162" s="17">
        <v>0.0</v>
      </c>
      <c r="S2162" s="18">
        <v>3.0</v>
      </c>
      <c r="T2162" s="18">
        <v>8.0</v>
      </c>
      <c r="U2162" s="151">
        <v>4901.0</v>
      </c>
      <c r="V2162" s="92" t="s">
        <v>315</v>
      </c>
      <c r="W2162" s="18" t="s">
        <v>62</v>
      </c>
      <c r="X2162" s="174" t="s">
        <v>4502</v>
      </c>
      <c r="Y2162" s="175">
        <v>46206.0</v>
      </c>
      <c r="Z2162" s="18" t="s">
        <v>6324</v>
      </c>
      <c r="AA2162" s="92">
        <v>35.0</v>
      </c>
      <c r="AB2162" s="18">
        <v>5.0</v>
      </c>
      <c r="AC2162" s="18">
        <v>30.0</v>
      </c>
      <c r="AD2162" s="14">
        <v>102220.0</v>
      </c>
      <c r="AE2162" s="14">
        <v>8103.0</v>
      </c>
      <c r="AF2162" s="14">
        <v>94117.0</v>
      </c>
      <c r="AG2162" s="22"/>
      <c r="AH2162" s="22"/>
      <c r="AI2162" s="22"/>
      <c r="AJ2162" s="22"/>
      <c r="AK2162" s="22"/>
      <c r="AL2162" s="22"/>
      <c r="AM2162" s="22"/>
      <c r="AN2162" s="22"/>
      <c r="AO2162" s="22"/>
      <c r="AP2162" s="22"/>
    </row>
    <row r="2163" hidden="1">
      <c r="A2163" s="148">
        <v>46206.0</v>
      </c>
      <c r="B2163" s="149">
        <v>0.5</v>
      </c>
      <c r="C2163" s="11" t="s">
        <v>58</v>
      </c>
      <c r="D2163" s="102" t="s">
        <v>3083</v>
      </c>
      <c r="E2163" s="10" t="s">
        <v>71</v>
      </c>
      <c r="F2163" s="10" t="s">
        <v>6210</v>
      </c>
      <c r="G2163" s="11" t="s">
        <v>6325</v>
      </c>
      <c r="H2163" s="11" t="s">
        <v>4924</v>
      </c>
      <c r="I2163" s="10" t="s">
        <v>61</v>
      </c>
      <c r="J2163" s="14">
        <v>24636.0</v>
      </c>
      <c r="K2163" s="14">
        <v>13276.0</v>
      </c>
      <c r="L2163" s="17">
        <v>0.5389</v>
      </c>
      <c r="M2163" s="150">
        <v>0.0</v>
      </c>
      <c r="N2163" s="136">
        <v>0.0</v>
      </c>
      <c r="O2163" s="18">
        <v>25.0</v>
      </c>
      <c r="P2163" s="92">
        <v>0.0</v>
      </c>
      <c r="Q2163" s="137">
        <v>0.0019</v>
      </c>
      <c r="R2163" s="17">
        <v>0.0</v>
      </c>
      <c r="S2163" s="18">
        <v>0.0</v>
      </c>
      <c r="T2163" s="18">
        <v>0.0</v>
      </c>
      <c r="U2163" s="151">
        <v>0.0</v>
      </c>
      <c r="V2163" s="92" t="s">
        <v>315</v>
      </c>
      <c r="W2163" s="18" t="s">
        <v>62</v>
      </c>
      <c r="X2163" s="174" t="s">
        <v>4502</v>
      </c>
      <c r="Y2163" s="175">
        <v>46206.0</v>
      </c>
      <c r="Z2163" s="18" t="s">
        <v>6326</v>
      </c>
      <c r="AA2163" s="92">
        <v>12.0</v>
      </c>
      <c r="AB2163" s="18"/>
      <c r="AC2163" s="18">
        <v>12.0</v>
      </c>
      <c r="AD2163" s="14">
        <v>44243.0</v>
      </c>
      <c r="AE2163" s="14"/>
      <c r="AF2163" s="14">
        <v>44243.0</v>
      </c>
      <c r="AG2163" s="22"/>
      <c r="AH2163" s="22"/>
      <c r="AI2163" s="22"/>
      <c r="AJ2163" s="22"/>
      <c r="AK2163" s="22"/>
      <c r="AL2163" s="22"/>
      <c r="AM2163" s="22"/>
      <c r="AN2163" s="22"/>
      <c r="AO2163" s="22"/>
      <c r="AP2163" s="22"/>
    </row>
    <row r="2164" hidden="1">
      <c r="A2164" s="148">
        <v>46206.0</v>
      </c>
      <c r="B2164" s="149">
        <v>0.5</v>
      </c>
      <c r="C2164" s="11" t="s">
        <v>58</v>
      </c>
      <c r="D2164" s="102" t="s">
        <v>3083</v>
      </c>
      <c r="E2164" s="10" t="s">
        <v>71</v>
      </c>
      <c r="F2164" s="10" t="s">
        <v>6210</v>
      </c>
      <c r="G2164" s="11" t="s">
        <v>6327</v>
      </c>
      <c r="H2164" s="11" t="s">
        <v>4912</v>
      </c>
      <c r="I2164" s="10" t="s">
        <v>61</v>
      </c>
      <c r="J2164" s="14">
        <v>21026.0</v>
      </c>
      <c r="K2164" s="14">
        <v>11183.0</v>
      </c>
      <c r="L2164" s="17">
        <v>0.5319</v>
      </c>
      <c r="M2164" s="150">
        <v>0.0</v>
      </c>
      <c r="N2164" s="136">
        <v>0.0</v>
      </c>
      <c r="O2164" s="18">
        <v>24.0</v>
      </c>
      <c r="P2164" s="92">
        <v>0.0</v>
      </c>
      <c r="Q2164" s="137">
        <v>0.0021</v>
      </c>
      <c r="R2164" s="17">
        <v>0.0</v>
      </c>
      <c r="S2164" s="18">
        <v>1.0</v>
      </c>
      <c r="T2164" s="18">
        <v>4.0</v>
      </c>
      <c r="U2164" s="151">
        <v>5015.0</v>
      </c>
      <c r="V2164" s="92" t="s">
        <v>315</v>
      </c>
      <c r="W2164" s="18" t="s">
        <v>62</v>
      </c>
      <c r="X2164" s="174" t="s">
        <v>4502</v>
      </c>
      <c r="Y2164" s="175">
        <v>46206.0</v>
      </c>
      <c r="Z2164" s="18" t="s">
        <v>6328</v>
      </c>
      <c r="AA2164" s="92">
        <v>24.0</v>
      </c>
      <c r="AB2164" s="18"/>
      <c r="AC2164" s="18">
        <v>24.0</v>
      </c>
      <c r="AD2164" s="14">
        <v>81535.0</v>
      </c>
      <c r="AE2164" s="14"/>
      <c r="AF2164" s="14">
        <v>81535.0</v>
      </c>
      <c r="AG2164" s="22"/>
      <c r="AH2164" s="22"/>
      <c r="AI2164" s="22"/>
      <c r="AJ2164" s="22"/>
      <c r="AK2164" s="22"/>
      <c r="AL2164" s="22"/>
      <c r="AM2164" s="22"/>
      <c r="AN2164" s="22"/>
      <c r="AO2164" s="22"/>
      <c r="AP2164" s="22"/>
    </row>
    <row r="2165" hidden="1">
      <c r="A2165" s="148">
        <v>46206.0</v>
      </c>
      <c r="B2165" s="149">
        <v>0.5</v>
      </c>
      <c r="C2165" s="11" t="s">
        <v>58</v>
      </c>
      <c r="D2165" s="102" t="s">
        <v>3083</v>
      </c>
      <c r="E2165" s="10" t="s">
        <v>71</v>
      </c>
      <c r="F2165" s="10" t="s">
        <v>6210</v>
      </c>
      <c r="G2165" s="11" t="s">
        <v>6329</v>
      </c>
      <c r="H2165" s="11" t="s">
        <v>4928</v>
      </c>
      <c r="I2165" s="10" t="s">
        <v>61</v>
      </c>
      <c r="J2165" s="14">
        <v>12018.0</v>
      </c>
      <c r="K2165" s="14">
        <v>7726.0</v>
      </c>
      <c r="L2165" s="17">
        <v>0.6429</v>
      </c>
      <c r="M2165" s="150">
        <v>0.0</v>
      </c>
      <c r="N2165" s="136">
        <v>0.0</v>
      </c>
      <c r="O2165" s="18">
        <v>4.0</v>
      </c>
      <c r="P2165" s="92">
        <v>0.0</v>
      </c>
      <c r="Q2165" s="137">
        <v>5.0E-4</v>
      </c>
      <c r="R2165" s="17">
        <v>0.0</v>
      </c>
      <c r="S2165" s="18">
        <v>0.0</v>
      </c>
      <c r="T2165" s="18">
        <v>2.0</v>
      </c>
      <c r="U2165" s="151">
        <v>0.0</v>
      </c>
      <c r="V2165" s="92" t="s">
        <v>315</v>
      </c>
      <c r="W2165" s="18" t="s">
        <v>62</v>
      </c>
      <c r="X2165" s="174" t="s">
        <v>4502</v>
      </c>
      <c r="Y2165" s="175">
        <v>46206.0</v>
      </c>
      <c r="Z2165" s="18" t="s">
        <v>6330</v>
      </c>
      <c r="AA2165" s="92">
        <v>24.0</v>
      </c>
      <c r="AB2165" s="18"/>
      <c r="AC2165" s="18">
        <v>24.0</v>
      </c>
      <c r="AD2165" s="14">
        <v>66408.0</v>
      </c>
      <c r="AE2165" s="14"/>
      <c r="AF2165" s="14">
        <v>66408.0</v>
      </c>
      <c r="AG2165" s="22"/>
      <c r="AH2165" s="22"/>
      <c r="AI2165" s="22"/>
      <c r="AJ2165" s="22"/>
      <c r="AK2165" s="22"/>
      <c r="AL2165" s="22"/>
      <c r="AM2165" s="22"/>
      <c r="AN2165" s="22"/>
      <c r="AO2165" s="22"/>
      <c r="AP2165" s="22"/>
    </row>
    <row r="2166" hidden="1">
      <c r="A2166" s="148">
        <v>46206.0</v>
      </c>
      <c r="B2166" s="149">
        <v>0.5</v>
      </c>
      <c r="C2166" s="11" t="s">
        <v>58</v>
      </c>
      <c r="D2166" s="102" t="s">
        <v>3083</v>
      </c>
      <c r="E2166" s="10" t="s">
        <v>71</v>
      </c>
      <c r="F2166" s="10" t="s">
        <v>6210</v>
      </c>
      <c r="G2166" s="11" t="s">
        <v>6331</v>
      </c>
      <c r="H2166" s="11" t="s">
        <v>4916</v>
      </c>
      <c r="I2166" s="10" t="s">
        <v>61</v>
      </c>
      <c r="J2166" s="14">
        <v>9844.0</v>
      </c>
      <c r="K2166" s="14">
        <v>5467.0</v>
      </c>
      <c r="L2166" s="17">
        <v>0.5554</v>
      </c>
      <c r="M2166" s="150">
        <v>0.0</v>
      </c>
      <c r="N2166" s="136">
        <v>0.0</v>
      </c>
      <c r="O2166" s="18">
        <v>7.0</v>
      </c>
      <c r="P2166" s="92">
        <v>0.0</v>
      </c>
      <c r="Q2166" s="137">
        <v>0.0013</v>
      </c>
      <c r="R2166" s="17">
        <v>0.0</v>
      </c>
      <c r="S2166" s="18">
        <v>0.0</v>
      </c>
      <c r="T2166" s="18">
        <v>2.0</v>
      </c>
      <c r="U2166" s="151">
        <v>0.0</v>
      </c>
      <c r="V2166" s="92" t="s">
        <v>315</v>
      </c>
      <c r="W2166" s="18" t="s">
        <v>62</v>
      </c>
      <c r="X2166" s="174" t="s">
        <v>4502</v>
      </c>
      <c r="Y2166" s="175">
        <v>46206.0</v>
      </c>
      <c r="Z2166" s="18" t="s">
        <v>6332</v>
      </c>
      <c r="AA2166" s="92">
        <v>6.0</v>
      </c>
      <c r="AB2166" s="18"/>
      <c r="AC2166" s="18">
        <v>6.0</v>
      </c>
      <c r="AD2166" s="14">
        <v>25146.0</v>
      </c>
      <c r="AE2166" s="14"/>
      <c r="AF2166" s="14">
        <v>25146.0</v>
      </c>
      <c r="AG2166" s="22"/>
      <c r="AH2166" s="22"/>
      <c r="AI2166" s="22"/>
      <c r="AJ2166" s="22"/>
      <c r="AK2166" s="22"/>
      <c r="AL2166" s="22"/>
      <c r="AM2166" s="22"/>
      <c r="AN2166" s="22"/>
      <c r="AO2166" s="22"/>
      <c r="AP2166" s="22"/>
    </row>
    <row r="2167" hidden="1">
      <c r="A2167" s="148">
        <v>46206.0</v>
      </c>
      <c r="B2167" s="149">
        <v>0.5</v>
      </c>
      <c r="C2167" s="11" t="s">
        <v>58</v>
      </c>
      <c r="D2167" s="102" t="s">
        <v>3083</v>
      </c>
      <c r="E2167" s="10" t="s">
        <v>71</v>
      </c>
      <c r="F2167" s="10" t="s">
        <v>6210</v>
      </c>
      <c r="G2167" s="11" t="s">
        <v>6333</v>
      </c>
      <c r="H2167" s="11" t="s">
        <v>4936</v>
      </c>
      <c r="I2167" s="10" t="s">
        <v>61</v>
      </c>
      <c r="J2167" s="14">
        <v>10944.0</v>
      </c>
      <c r="K2167" s="14">
        <v>7019.0</v>
      </c>
      <c r="L2167" s="17">
        <v>0.6414</v>
      </c>
      <c r="M2167" s="150">
        <v>0.0</v>
      </c>
      <c r="N2167" s="136">
        <v>0.0</v>
      </c>
      <c r="O2167" s="18">
        <v>12.0</v>
      </c>
      <c r="P2167" s="92">
        <v>0.0</v>
      </c>
      <c r="Q2167" s="137">
        <v>0.0017</v>
      </c>
      <c r="R2167" s="17">
        <v>0.0</v>
      </c>
      <c r="S2167" s="18">
        <v>0.0</v>
      </c>
      <c r="T2167" s="18">
        <v>1.0</v>
      </c>
      <c r="U2167" s="151">
        <v>0.0</v>
      </c>
      <c r="V2167" s="92" t="s">
        <v>315</v>
      </c>
      <c r="W2167" s="18" t="s">
        <v>62</v>
      </c>
      <c r="X2167" s="174" t="s">
        <v>4502</v>
      </c>
      <c r="Y2167" s="175">
        <v>46206.0</v>
      </c>
      <c r="Z2167" s="18" t="s">
        <v>6334</v>
      </c>
      <c r="AA2167" s="92">
        <v>10.0</v>
      </c>
      <c r="AB2167" s="18"/>
      <c r="AC2167" s="18">
        <v>10.0</v>
      </c>
      <c r="AD2167" s="14">
        <v>29509.0</v>
      </c>
      <c r="AE2167" s="14"/>
      <c r="AF2167" s="14">
        <v>29509.0</v>
      </c>
      <c r="AG2167" s="22"/>
      <c r="AH2167" s="22"/>
      <c r="AI2167" s="22"/>
      <c r="AJ2167" s="22"/>
      <c r="AK2167" s="22"/>
      <c r="AL2167" s="22"/>
      <c r="AM2167" s="22"/>
      <c r="AN2167" s="22"/>
      <c r="AO2167" s="22"/>
      <c r="AP2167" s="22"/>
    </row>
    <row r="2168" hidden="1">
      <c r="A2168" s="148">
        <v>46206.0</v>
      </c>
      <c r="B2168" s="149">
        <v>0.5</v>
      </c>
      <c r="C2168" s="11" t="s">
        <v>58</v>
      </c>
      <c r="D2168" s="102" t="s">
        <v>3083</v>
      </c>
      <c r="E2168" s="10" t="s">
        <v>71</v>
      </c>
      <c r="F2168" s="10" t="s">
        <v>6210</v>
      </c>
      <c r="G2168" s="11" t="s">
        <v>6335</v>
      </c>
      <c r="H2168" s="11" t="s">
        <v>4944</v>
      </c>
      <c r="I2168" s="10" t="s">
        <v>61</v>
      </c>
      <c r="J2168" s="14">
        <v>11822.0</v>
      </c>
      <c r="K2168" s="14">
        <v>6423.0</v>
      </c>
      <c r="L2168" s="17">
        <v>0.5433</v>
      </c>
      <c r="M2168" s="150">
        <v>0.0</v>
      </c>
      <c r="N2168" s="136">
        <v>0.0</v>
      </c>
      <c r="O2168" s="18">
        <v>15.0</v>
      </c>
      <c r="P2168" s="92">
        <v>0.0</v>
      </c>
      <c r="Q2168" s="137">
        <v>0.0023</v>
      </c>
      <c r="R2168" s="17">
        <v>0.0</v>
      </c>
      <c r="S2168" s="18">
        <v>0.0</v>
      </c>
      <c r="T2168" s="18">
        <v>0.0</v>
      </c>
      <c r="U2168" s="151">
        <v>0.0</v>
      </c>
      <c r="V2168" s="92" t="s">
        <v>315</v>
      </c>
      <c r="W2168" s="18" t="s">
        <v>62</v>
      </c>
      <c r="X2168" s="174" t="s">
        <v>4502</v>
      </c>
      <c r="Y2168" s="175">
        <v>46206.0</v>
      </c>
      <c r="Z2168" s="18" t="s">
        <v>6336</v>
      </c>
      <c r="AA2168" s="92">
        <v>7.0</v>
      </c>
      <c r="AB2168" s="18"/>
      <c r="AC2168" s="18">
        <v>7.0</v>
      </c>
      <c r="AD2168" s="14">
        <v>16080.0</v>
      </c>
      <c r="AE2168" s="14"/>
      <c r="AF2168" s="14">
        <v>16080.0</v>
      </c>
      <c r="AG2168" s="22"/>
      <c r="AH2168" s="22"/>
      <c r="AI2168" s="22"/>
      <c r="AJ2168" s="22"/>
      <c r="AK2168" s="22"/>
      <c r="AL2168" s="22"/>
      <c r="AM2168" s="22"/>
      <c r="AN2168" s="22"/>
      <c r="AO2168" s="22"/>
      <c r="AP2168" s="22"/>
    </row>
    <row r="2169" hidden="1">
      <c r="A2169" s="148">
        <v>46206.0</v>
      </c>
      <c r="B2169" s="149">
        <v>0.5</v>
      </c>
      <c r="C2169" s="11" t="s">
        <v>58</v>
      </c>
      <c r="D2169" s="102" t="s">
        <v>3083</v>
      </c>
      <c r="E2169" s="10" t="s">
        <v>71</v>
      </c>
      <c r="F2169" s="10" t="s">
        <v>6210</v>
      </c>
      <c r="G2169" s="11" t="s">
        <v>6337</v>
      </c>
      <c r="H2169" s="11" t="s">
        <v>4932</v>
      </c>
      <c r="I2169" s="10" t="s">
        <v>61</v>
      </c>
      <c r="J2169" s="14">
        <v>10431.0</v>
      </c>
      <c r="K2169" s="14">
        <v>6606.0</v>
      </c>
      <c r="L2169" s="17">
        <v>0.6333</v>
      </c>
      <c r="M2169" s="150">
        <v>0.0</v>
      </c>
      <c r="N2169" s="136">
        <v>0.0</v>
      </c>
      <c r="O2169" s="18">
        <v>4.0</v>
      </c>
      <c r="P2169" s="92">
        <v>0.0</v>
      </c>
      <c r="Q2169" s="137">
        <v>6.0E-4</v>
      </c>
      <c r="R2169" s="17">
        <v>0.0</v>
      </c>
      <c r="S2169" s="18">
        <v>0.0</v>
      </c>
      <c r="T2169" s="18">
        <v>3.0</v>
      </c>
      <c r="U2169" s="151">
        <v>0.0</v>
      </c>
      <c r="V2169" s="92" t="s">
        <v>315</v>
      </c>
      <c r="W2169" s="18" t="s">
        <v>62</v>
      </c>
      <c r="X2169" s="174" t="s">
        <v>4502</v>
      </c>
      <c r="Y2169" s="175">
        <v>46206.0</v>
      </c>
      <c r="Z2169" s="18" t="s">
        <v>6338</v>
      </c>
      <c r="AA2169" s="92">
        <v>8.0</v>
      </c>
      <c r="AB2169" s="18"/>
      <c r="AC2169" s="18">
        <v>8.0</v>
      </c>
      <c r="AD2169" s="14">
        <v>46638.0</v>
      </c>
      <c r="AE2169" s="14"/>
      <c r="AF2169" s="14">
        <v>46638.0</v>
      </c>
      <c r="AG2169" s="22"/>
      <c r="AH2169" s="22"/>
      <c r="AI2169" s="22"/>
      <c r="AJ2169" s="22"/>
      <c r="AK2169" s="22"/>
      <c r="AL2169" s="22"/>
      <c r="AM2169" s="22"/>
      <c r="AN2169" s="22"/>
      <c r="AO2169" s="22"/>
      <c r="AP2169" s="22"/>
    </row>
    <row r="2170" hidden="1">
      <c r="A2170" s="148">
        <v>46206.0</v>
      </c>
      <c r="B2170" s="149">
        <v>0.5</v>
      </c>
      <c r="C2170" s="11" t="s">
        <v>58</v>
      </c>
      <c r="D2170" s="102" t="s">
        <v>3083</v>
      </c>
      <c r="E2170" s="10" t="s">
        <v>71</v>
      </c>
      <c r="F2170" s="10" t="s">
        <v>6210</v>
      </c>
      <c r="G2170" s="11" t="s">
        <v>6339</v>
      </c>
      <c r="H2170" s="11" t="s">
        <v>4940</v>
      </c>
      <c r="I2170" s="10" t="s">
        <v>61</v>
      </c>
      <c r="J2170" s="14">
        <v>8616.0</v>
      </c>
      <c r="K2170" s="14">
        <v>4335.0</v>
      </c>
      <c r="L2170" s="17">
        <v>0.5031</v>
      </c>
      <c r="M2170" s="150">
        <v>0.0</v>
      </c>
      <c r="N2170" s="136">
        <v>0.0</v>
      </c>
      <c r="O2170" s="18">
        <v>8.0</v>
      </c>
      <c r="P2170" s="92">
        <v>0.0</v>
      </c>
      <c r="Q2170" s="137">
        <v>0.0018</v>
      </c>
      <c r="R2170" s="17">
        <v>0.0</v>
      </c>
      <c r="S2170" s="18">
        <v>0.0</v>
      </c>
      <c r="T2170" s="18">
        <v>0.0</v>
      </c>
      <c r="U2170" s="151">
        <v>0.0</v>
      </c>
      <c r="V2170" s="92" t="s">
        <v>315</v>
      </c>
      <c r="W2170" s="18" t="s">
        <v>62</v>
      </c>
      <c r="X2170" s="174" t="s">
        <v>4502</v>
      </c>
      <c r="Y2170" s="175">
        <v>46206.0</v>
      </c>
      <c r="Z2170" s="18" t="s">
        <v>6340</v>
      </c>
      <c r="AA2170" s="92">
        <v>9.0</v>
      </c>
      <c r="AB2170" s="18"/>
      <c r="AC2170" s="18">
        <v>9.0</v>
      </c>
      <c r="AD2170" s="14">
        <v>49558.0</v>
      </c>
      <c r="AE2170" s="14"/>
      <c r="AF2170" s="14">
        <v>49558.0</v>
      </c>
      <c r="AG2170" s="22"/>
      <c r="AH2170" s="22"/>
      <c r="AI2170" s="22"/>
      <c r="AJ2170" s="22"/>
      <c r="AK2170" s="22"/>
      <c r="AL2170" s="22"/>
      <c r="AM2170" s="22"/>
      <c r="AN2170" s="22"/>
      <c r="AO2170" s="22"/>
      <c r="AP2170" s="22"/>
    </row>
    <row r="2171" hidden="1">
      <c r="A2171" s="148">
        <v>46206.0</v>
      </c>
      <c r="B2171" s="149">
        <v>0.5</v>
      </c>
      <c r="C2171" s="11" t="s">
        <v>58</v>
      </c>
      <c r="D2171" s="102" t="s">
        <v>3083</v>
      </c>
      <c r="E2171" s="10" t="s">
        <v>71</v>
      </c>
      <c r="F2171" s="10" t="s">
        <v>6210</v>
      </c>
      <c r="G2171" s="11" t="s">
        <v>6341</v>
      </c>
      <c r="H2171" s="11" t="s">
        <v>4920</v>
      </c>
      <c r="I2171" s="10" t="s">
        <v>61</v>
      </c>
      <c r="J2171" s="14">
        <v>6039.0</v>
      </c>
      <c r="K2171" s="14">
        <v>3458.0</v>
      </c>
      <c r="L2171" s="17">
        <v>0.5726</v>
      </c>
      <c r="M2171" s="150">
        <v>0.0</v>
      </c>
      <c r="N2171" s="136">
        <v>0.0</v>
      </c>
      <c r="O2171" s="18">
        <v>5.0</v>
      </c>
      <c r="P2171" s="92">
        <v>0.0</v>
      </c>
      <c r="Q2171" s="137">
        <v>0.0014</v>
      </c>
      <c r="R2171" s="17">
        <v>0.0</v>
      </c>
      <c r="S2171" s="18">
        <v>0.0</v>
      </c>
      <c r="T2171" s="18">
        <v>1.0</v>
      </c>
      <c r="U2171" s="151">
        <v>0.0</v>
      </c>
      <c r="V2171" s="92" t="s">
        <v>315</v>
      </c>
      <c r="W2171" s="18" t="s">
        <v>62</v>
      </c>
      <c r="X2171" s="174" t="s">
        <v>4502</v>
      </c>
      <c r="Y2171" s="175">
        <v>46206.0</v>
      </c>
      <c r="Z2171" s="18" t="s">
        <v>6342</v>
      </c>
      <c r="AA2171" s="92">
        <v>7.0</v>
      </c>
      <c r="AB2171" s="18"/>
      <c r="AC2171" s="18">
        <v>7.0</v>
      </c>
      <c r="AD2171" s="14">
        <v>20760.0</v>
      </c>
      <c r="AE2171" s="14"/>
      <c r="AF2171" s="14">
        <v>20760.0</v>
      </c>
      <c r="AG2171" s="22"/>
      <c r="AH2171" s="22"/>
      <c r="AI2171" s="22"/>
      <c r="AJ2171" s="22"/>
      <c r="AK2171" s="22"/>
      <c r="AL2171" s="22"/>
      <c r="AM2171" s="22"/>
      <c r="AN2171" s="22"/>
      <c r="AO2171" s="22"/>
      <c r="AP2171" s="22"/>
    </row>
    <row r="2172" hidden="1">
      <c r="A2172" s="148">
        <v>46207.0</v>
      </c>
      <c r="B2172" s="149">
        <v>0.5416666666666666</v>
      </c>
      <c r="C2172" s="11" t="s">
        <v>58</v>
      </c>
      <c r="D2172" s="102" t="s">
        <v>3083</v>
      </c>
      <c r="E2172" s="10" t="s">
        <v>71</v>
      </c>
      <c r="F2172" s="10" t="s">
        <v>6210</v>
      </c>
      <c r="G2172" s="11" t="s">
        <v>6343</v>
      </c>
      <c r="H2172" s="11" t="s">
        <v>4907</v>
      </c>
      <c r="I2172" s="10" t="s">
        <v>61</v>
      </c>
      <c r="J2172" s="14">
        <v>51700.0</v>
      </c>
      <c r="K2172" s="14">
        <v>29307.0</v>
      </c>
      <c r="L2172" s="17">
        <v>0.5669</v>
      </c>
      <c r="M2172" s="150">
        <v>0.0</v>
      </c>
      <c r="N2172" s="136">
        <v>0.0</v>
      </c>
      <c r="O2172" s="18">
        <v>13.0</v>
      </c>
      <c r="P2172" s="92">
        <v>0.0</v>
      </c>
      <c r="Q2172" s="137">
        <v>4.0E-4</v>
      </c>
      <c r="R2172" s="17">
        <v>0.0</v>
      </c>
      <c r="S2172" s="18">
        <v>0.0</v>
      </c>
      <c r="T2172" s="18">
        <v>5.0</v>
      </c>
      <c r="U2172" s="151">
        <v>0.0</v>
      </c>
      <c r="V2172" s="92" t="s">
        <v>315</v>
      </c>
      <c r="W2172" s="18" t="s">
        <v>62</v>
      </c>
      <c r="X2172" s="174" t="s">
        <v>4502</v>
      </c>
      <c r="Y2172" s="175">
        <v>46207.0</v>
      </c>
      <c r="Z2172" s="18" t="s">
        <v>6344</v>
      </c>
      <c r="AA2172" s="92">
        <v>96.0</v>
      </c>
      <c r="AB2172" s="18"/>
      <c r="AC2172" s="18">
        <v>96.0</v>
      </c>
      <c r="AD2172" s="14">
        <v>348708.0</v>
      </c>
      <c r="AE2172" s="14"/>
      <c r="AF2172" s="14">
        <v>348708.0</v>
      </c>
      <c r="AG2172" s="22"/>
      <c r="AH2172" s="22"/>
      <c r="AI2172" s="22"/>
      <c r="AJ2172" s="22"/>
      <c r="AK2172" s="22"/>
      <c r="AL2172" s="22"/>
      <c r="AM2172" s="22"/>
      <c r="AN2172" s="22"/>
      <c r="AO2172" s="22"/>
      <c r="AP2172" s="22"/>
    </row>
    <row r="2173" hidden="1">
      <c r="A2173" s="148">
        <v>46207.0</v>
      </c>
      <c r="B2173" s="149">
        <v>0.5416666666666666</v>
      </c>
      <c r="C2173" s="11" t="s">
        <v>58</v>
      </c>
      <c r="D2173" s="102" t="s">
        <v>3083</v>
      </c>
      <c r="E2173" s="10" t="s">
        <v>71</v>
      </c>
      <c r="F2173" s="10" t="s">
        <v>6210</v>
      </c>
      <c r="G2173" s="11" t="s">
        <v>6345</v>
      </c>
      <c r="H2173" s="11" t="s">
        <v>5276</v>
      </c>
      <c r="I2173" s="10" t="s">
        <v>61</v>
      </c>
      <c r="J2173" s="14">
        <v>35861.0</v>
      </c>
      <c r="K2173" s="14">
        <v>19334.0</v>
      </c>
      <c r="L2173" s="17">
        <v>0.5391</v>
      </c>
      <c r="M2173" s="150">
        <v>0.0</v>
      </c>
      <c r="N2173" s="136">
        <v>0.0</v>
      </c>
      <c r="O2173" s="18">
        <v>41.0</v>
      </c>
      <c r="P2173" s="92">
        <v>0.0</v>
      </c>
      <c r="Q2173" s="137">
        <v>0.0021</v>
      </c>
      <c r="R2173" s="17">
        <v>0.0</v>
      </c>
      <c r="S2173" s="18">
        <v>2.0</v>
      </c>
      <c r="T2173" s="18">
        <v>9.0</v>
      </c>
      <c r="U2173" s="151">
        <v>5394.0</v>
      </c>
      <c r="V2173" s="92" t="s">
        <v>315</v>
      </c>
      <c r="W2173" s="18" t="s">
        <v>62</v>
      </c>
      <c r="X2173" s="174" t="s">
        <v>4502</v>
      </c>
      <c r="Y2173" s="175">
        <v>46207.0</v>
      </c>
      <c r="Z2173" s="18" t="s">
        <v>6346</v>
      </c>
      <c r="AA2173" s="92">
        <v>67.0</v>
      </c>
      <c r="AB2173" s="18"/>
      <c r="AC2173" s="18">
        <v>67.0</v>
      </c>
      <c r="AD2173" s="14">
        <v>288657.0</v>
      </c>
      <c r="AE2173" s="14"/>
      <c r="AF2173" s="14">
        <v>288657.0</v>
      </c>
      <c r="AG2173" s="22"/>
      <c r="AH2173" s="22"/>
      <c r="AI2173" s="22"/>
      <c r="AJ2173" s="22"/>
      <c r="AK2173" s="22"/>
      <c r="AL2173" s="22"/>
      <c r="AM2173" s="22"/>
      <c r="AN2173" s="22"/>
      <c r="AO2173" s="22"/>
      <c r="AP2173" s="22"/>
    </row>
    <row r="2174" hidden="1">
      <c r="A2174" s="148">
        <v>46207.0</v>
      </c>
      <c r="B2174" s="149">
        <v>0.5416666666666666</v>
      </c>
      <c r="C2174" s="11" t="s">
        <v>58</v>
      </c>
      <c r="D2174" s="102" t="s">
        <v>3083</v>
      </c>
      <c r="E2174" s="10" t="s">
        <v>71</v>
      </c>
      <c r="F2174" s="10" t="s">
        <v>6210</v>
      </c>
      <c r="G2174" s="11" t="s">
        <v>6347</v>
      </c>
      <c r="H2174" s="11" t="s">
        <v>6217</v>
      </c>
      <c r="I2174" s="10" t="s">
        <v>61</v>
      </c>
      <c r="J2174" s="14">
        <v>28214.0</v>
      </c>
      <c r="K2174" s="14">
        <v>14869.0</v>
      </c>
      <c r="L2174" s="17">
        <v>0.527</v>
      </c>
      <c r="M2174" s="150">
        <v>0.0</v>
      </c>
      <c r="N2174" s="136">
        <v>0.0</v>
      </c>
      <c r="O2174" s="18">
        <v>36.0</v>
      </c>
      <c r="P2174" s="92">
        <v>0.0</v>
      </c>
      <c r="Q2174" s="137">
        <v>0.0024</v>
      </c>
      <c r="R2174" s="17">
        <v>0.0</v>
      </c>
      <c r="S2174" s="18">
        <v>4.0</v>
      </c>
      <c r="T2174" s="18">
        <v>5.0</v>
      </c>
      <c r="U2174" s="151">
        <v>28048.0</v>
      </c>
      <c r="V2174" s="92" t="s">
        <v>315</v>
      </c>
      <c r="W2174" s="18" t="s">
        <v>62</v>
      </c>
      <c r="X2174" s="174" t="s">
        <v>4502</v>
      </c>
      <c r="Y2174" s="175">
        <v>46207.0</v>
      </c>
      <c r="Z2174" s="18" t="s">
        <v>6348</v>
      </c>
      <c r="AA2174" s="92">
        <v>39.0</v>
      </c>
      <c r="AB2174" s="18"/>
      <c r="AC2174" s="18">
        <v>39.0</v>
      </c>
      <c r="AD2174" s="14">
        <v>97596.0</v>
      </c>
      <c r="AE2174" s="14"/>
      <c r="AF2174" s="14">
        <v>97596.0</v>
      </c>
      <c r="AG2174" s="22"/>
      <c r="AH2174" s="22"/>
      <c r="AI2174" s="22"/>
      <c r="AJ2174" s="22"/>
      <c r="AK2174" s="22"/>
      <c r="AL2174" s="22"/>
      <c r="AM2174" s="22"/>
      <c r="AN2174" s="22"/>
      <c r="AO2174" s="22"/>
      <c r="AP2174" s="22"/>
    </row>
    <row r="2175" hidden="1">
      <c r="A2175" s="148">
        <v>46207.0</v>
      </c>
      <c r="B2175" s="149">
        <v>0.5416666666666666</v>
      </c>
      <c r="C2175" s="11" t="s">
        <v>58</v>
      </c>
      <c r="D2175" s="102" t="s">
        <v>3083</v>
      </c>
      <c r="E2175" s="10" t="s">
        <v>71</v>
      </c>
      <c r="F2175" s="10" t="s">
        <v>6210</v>
      </c>
      <c r="G2175" s="11" t="s">
        <v>6349</v>
      </c>
      <c r="H2175" s="11" t="s">
        <v>4928</v>
      </c>
      <c r="I2175" s="10" t="s">
        <v>61</v>
      </c>
      <c r="J2175" s="14">
        <v>17736.0</v>
      </c>
      <c r="K2175" s="14">
        <v>11244.0</v>
      </c>
      <c r="L2175" s="17">
        <v>0.634</v>
      </c>
      <c r="M2175" s="150">
        <v>0.0</v>
      </c>
      <c r="N2175" s="136">
        <v>0.0</v>
      </c>
      <c r="O2175" s="18">
        <v>6.0</v>
      </c>
      <c r="P2175" s="92">
        <v>0.0</v>
      </c>
      <c r="Q2175" s="137">
        <v>5.0E-4</v>
      </c>
      <c r="R2175" s="17">
        <v>0.0</v>
      </c>
      <c r="S2175" s="18">
        <v>0.0</v>
      </c>
      <c r="T2175" s="18">
        <v>2.0</v>
      </c>
      <c r="U2175" s="151">
        <v>0.0</v>
      </c>
      <c r="V2175" s="92" t="s">
        <v>315</v>
      </c>
      <c r="W2175" s="18" t="s">
        <v>62</v>
      </c>
      <c r="X2175" s="174" t="s">
        <v>4502</v>
      </c>
      <c r="Y2175" s="175">
        <v>46207.0</v>
      </c>
      <c r="Z2175" s="18" t="s">
        <v>6350</v>
      </c>
      <c r="AA2175" s="92">
        <v>17.0</v>
      </c>
      <c r="AB2175" s="18"/>
      <c r="AC2175" s="18">
        <v>17.0</v>
      </c>
      <c r="AD2175" s="14">
        <v>53088.0</v>
      </c>
      <c r="AE2175" s="14"/>
      <c r="AF2175" s="14">
        <v>53088.0</v>
      </c>
      <c r="AG2175" s="22"/>
      <c r="AH2175" s="22"/>
      <c r="AI2175" s="22"/>
      <c r="AJ2175" s="22"/>
      <c r="AK2175" s="22"/>
      <c r="AL2175" s="22"/>
      <c r="AM2175" s="22"/>
      <c r="AN2175" s="22"/>
      <c r="AO2175" s="22"/>
      <c r="AP2175" s="22"/>
    </row>
    <row r="2176" hidden="1">
      <c r="A2176" s="148">
        <v>46207.0</v>
      </c>
      <c r="B2176" s="149">
        <v>0.5416666666666666</v>
      </c>
      <c r="C2176" s="11" t="s">
        <v>58</v>
      </c>
      <c r="D2176" s="102" t="s">
        <v>3083</v>
      </c>
      <c r="E2176" s="10" t="s">
        <v>71</v>
      </c>
      <c r="F2176" s="10" t="s">
        <v>6210</v>
      </c>
      <c r="G2176" s="11" t="s">
        <v>6351</v>
      </c>
      <c r="H2176" s="11" t="s">
        <v>4916</v>
      </c>
      <c r="I2176" s="10" t="s">
        <v>61</v>
      </c>
      <c r="J2176" s="14">
        <v>13731.0</v>
      </c>
      <c r="K2176" s="14">
        <v>7421.0</v>
      </c>
      <c r="L2176" s="17">
        <v>0.5405</v>
      </c>
      <c r="M2176" s="150">
        <v>0.0</v>
      </c>
      <c r="N2176" s="136">
        <v>0.0</v>
      </c>
      <c r="O2176" s="18">
        <v>2.0</v>
      </c>
      <c r="P2176" s="92">
        <v>0.0</v>
      </c>
      <c r="Q2176" s="137">
        <v>3.0E-4</v>
      </c>
      <c r="R2176" s="17">
        <v>0.0</v>
      </c>
      <c r="S2176" s="18">
        <v>1.0</v>
      </c>
      <c r="T2176" s="18">
        <v>0.0</v>
      </c>
      <c r="U2176" s="151">
        <v>929.0</v>
      </c>
      <c r="V2176" s="92" t="s">
        <v>315</v>
      </c>
      <c r="W2176" s="18" t="s">
        <v>62</v>
      </c>
      <c r="X2176" s="174" t="s">
        <v>4502</v>
      </c>
      <c r="Y2176" s="175">
        <v>46207.0</v>
      </c>
      <c r="Z2176" s="18" t="s">
        <v>6352</v>
      </c>
      <c r="AA2176" s="92">
        <v>19.0</v>
      </c>
      <c r="AB2176" s="18"/>
      <c r="AC2176" s="18">
        <v>19.0</v>
      </c>
      <c r="AD2176" s="14">
        <v>83530.0</v>
      </c>
      <c r="AE2176" s="14"/>
      <c r="AF2176" s="14">
        <v>83530.0</v>
      </c>
      <c r="AG2176" s="22"/>
      <c r="AH2176" s="22"/>
      <c r="AI2176" s="22"/>
      <c r="AJ2176" s="22"/>
      <c r="AK2176" s="22"/>
      <c r="AL2176" s="22"/>
      <c r="AM2176" s="22"/>
      <c r="AN2176" s="22"/>
      <c r="AO2176" s="22"/>
      <c r="AP2176" s="22"/>
    </row>
    <row r="2177" hidden="1">
      <c r="A2177" s="148">
        <v>46207.0</v>
      </c>
      <c r="B2177" s="149">
        <v>0.5416666666666666</v>
      </c>
      <c r="C2177" s="11" t="s">
        <v>58</v>
      </c>
      <c r="D2177" s="102" t="s">
        <v>3083</v>
      </c>
      <c r="E2177" s="10" t="s">
        <v>71</v>
      </c>
      <c r="F2177" s="10" t="s">
        <v>6210</v>
      </c>
      <c r="G2177" s="11" t="s">
        <v>6353</v>
      </c>
      <c r="H2177" s="11" t="s">
        <v>4936</v>
      </c>
      <c r="I2177" s="10" t="s">
        <v>61</v>
      </c>
      <c r="J2177" s="14">
        <v>13308.0</v>
      </c>
      <c r="K2177" s="14">
        <v>8505.0</v>
      </c>
      <c r="L2177" s="17">
        <v>0.6391</v>
      </c>
      <c r="M2177" s="150">
        <v>0.0</v>
      </c>
      <c r="N2177" s="136">
        <v>0.0</v>
      </c>
      <c r="O2177" s="18">
        <v>12.0</v>
      </c>
      <c r="P2177" s="92">
        <v>0.0</v>
      </c>
      <c r="Q2177" s="137">
        <v>0.0014</v>
      </c>
      <c r="R2177" s="17">
        <v>0.0</v>
      </c>
      <c r="S2177" s="18">
        <v>1.0</v>
      </c>
      <c r="T2177" s="18">
        <v>3.0</v>
      </c>
      <c r="U2177" s="151">
        <v>4318.0</v>
      </c>
      <c r="V2177" s="92" t="s">
        <v>315</v>
      </c>
      <c r="W2177" s="18" t="s">
        <v>62</v>
      </c>
      <c r="X2177" s="174" t="s">
        <v>4502</v>
      </c>
      <c r="Y2177" s="175">
        <v>46207.0</v>
      </c>
      <c r="Z2177" s="18" t="s">
        <v>6354</v>
      </c>
      <c r="AA2177" s="92">
        <v>23.0</v>
      </c>
      <c r="AB2177" s="18"/>
      <c r="AC2177" s="18">
        <v>23.0</v>
      </c>
      <c r="AD2177" s="14">
        <v>84720.0</v>
      </c>
      <c r="AE2177" s="14"/>
      <c r="AF2177" s="14">
        <v>84720.0</v>
      </c>
      <c r="AG2177" s="22"/>
      <c r="AH2177" s="22"/>
      <c r="AI2177" s="22"/>
      <c r="AJ2177" s="22"/>
      <c r="AK2177" s="22"/>
      <c r="AL2177" s="22"/>
      <c r="AM2177" s="22"/>
      <c r="AN2177" s="22"/>
      <c r="AO2177" s="22"/>
      <c r="AP2177" s="22"/>
    </row>
    <row r="2178" hidden="1">
      <c r="A2178" s="148">
        <v>46207.0</v>
      </c>
      <c r="B2178" s="149">
        <v>0.5416666666666666</v>
      </c>
      <c r="C2178" s="11" t="s">
        <v>58</v>
      </c>
      <c r="D2178" s="102" t="s">
        <v>3083</v>
      </c>
      <c r="E2178" s="10" t="s">
        <v>71</v>
      </c>
      <c r="F2178" s="10" t="s">
        <v>6210</v>
      </c>
      <c r="G2178" s="11" t="s">
        <v>6355</v>
      </c>
      <c r="H2178" s="11" t="s">
        <v>4944</v>
      </c>
      <c r="I2178" s="10" t="s">
        <v>61</v>
      </c>
      <c r="J2178" s="14">
        <v>14416.0</v>
      </c>
      <c r="K2178" s="14">
        <v>7707.0</v>
      </c>
      <c r="L2178" s="17">
        <v>0.5346</v>
      </c>
      <c r="M2178" s="150">
        <v>0.0</v>
      </c>
      <c r="N2178" s="136">
        <v>0.0</v>
      </c>
      <c r="O2178" s="18">
        <v>8.0</v>
      </c>
      <c r="P2178" s="92">
        <v>0.0</v>
      </c>
      <c r="Q2178" s="137">
        <v>0.001</v>
      </c>
      <c r="R2178" s="17">
        <v>0.0</v>
      </c>
      <c r="S2178" s="18">
        <v>4.0</v>
      </c>
      <c r="T2178" s="18">
        <v>6.0</v>
      </c>
      <c r="U2178" s="151">
        <v>10854.0</v>
      </c>
      <c r="V2178" s="92" t="s">
        <v>315</v>
      </c>
      <c r="W2178" s="18" t="s">
        <v>62</v>
      </c>
      <c r="X2178" s="174" t="s">
        <v>4502</v>
      </c>
      <c r="Y2178" s="175">
        <v>46207.0</v>
      </c>
      <c r="Z2178" s="18" t="s">
        <v>6356</v>
      </c>
      <c r="AA2178" s="92">
        <v>18.0</v>
      </c>
      <c r="AB2178" s="18"/>
      <c r="AC2178" s="18">
        <v>18.0</v>
      </c>
      <c r="AD2178" s="14">
        <v>49678.0</v>
      </c>
      <c r="AE2178" s="14"/>
      <c r="AF2178" s="14">
        <v>49678.0</v>
      </c>
      <c r="AG2178" s="22"/>
      <c r="AH2178" s="22"/>
      <c r="AI2178" s="22"/>
      <c r="AJ2178" s="22"/>
      <c r="AK2178" s="22"/>
      <c r="AL2178" s="22"/>
      <c r="AM2178" s="22"/>
      <c r="AN2178" s="22"/>
      <c r="AO2178" s="22"/>
      <c r="AP2178" s="22"/>
    </row>
    <row r="2179" hidden="1">
      <c r="A2179" s="148">
        <v>46207.0</v>
      </c>
      <c r="B2179" s="149">
        <v>0.5416666666666666</v>
      </c>
      <c r="C2179" s="11" t="s">
        <v>58</v>
      </c>
      <c r="D2179" s="102" t="s">
        <v>3083</v>
      </c>
      <c r="E2179" s="10" t="s">
        <v>71</v>
      </c>
      <c r="F2179" s="10" t="s">
        <v>6210</v>
      </c>
      <c r="G2179" s="11" t="s">
        <v>6357</v>
      </c>
      <c r="H2179" s="11" t="s">
        <v>5280</v>
      </c>
      <c r="I2179" s="10" t="s">
        <v>61</v>
      </c>
      <c r="J2179" s="14">
        <v>13401.0</v>
      </c>
      <c r="K2179" s="14">
        <v>8394.0</v>
      </c>
      <c r="L2179" s="17">
        <v>0.6264</v>
      </c>
      <c r="M2179" s="150">
        <v>0.0</v>
      </c>
      <c r="N2179" s="136">
        <v>0.0</v>
      </c>
      <c r="O2179" s="18">
        <v>2.0</v>
      </c>
      <c r="P2179" s="92">
        <v>0.0</v>
      </c>
      <c r="Q2179" s="137">
        <v>2.0E-4</v>
      </c>
      <c r="R2179" s="17">
        <v>0.0</v>
      </c>
      <c r="S2179" s="18">
        <v>1.0</v>
      </c>
      <c r="T2179" s="18">
        <v>1.0</v>
      </c>
      <c r="U2179" s="151">
        <v>2338.0</v>
      </c>
      <c r="V2179" s="92" t="s">
        <v>315</v>
      </c>
      <c r="W2179" s="18" t="s">
        <v>62</v>
      </c>
      <c r="X2179" s="174" t="s">
        <v>4502</v>
      </c>
      <c r="Y2179" s="175">
        <v>46207.0</v>
      </c>
      <c r="Z2179" s="18" t="s">
        <v>6358</v>
      </c>
      <c r="AA2179" s="92">
        <v>28.0</v>
      </c>
      <c r="AB2179" s="18"/>
      <c r="AC2179" s="18">
        <v>28.0</v>
      </c>
      <c r="AD2179" s="14">
        <v>143390.0</v>
      </c>
      <c r="AE2179" s="14"/>
      <c r="AF2179" s="14">
        <v>143390.0</v>
      </c>
      <c r="AG2179" s="22"/>
      <c r="AH2179" s="22"/>
      <c r="AI2179" s="22"/>
      <c r="AJ2179" s="22"/>
      <c r="AK2179" s="22"/>
      <c r="AL2179" s="22"/>
      <c r="AM2179" s="22"/>
      <c r="AN2179" s="22"/>
      <c r="AO2179" s="22"/>
      <c r="AP2179" s="22"/>
    </row>
    <row r="2180" hidden="1">
      <c r="A2180" s="148">
        <v>46207.0</v>
      </c>
      <c r="B2180" s="149">
        <v>0.5416666666666666</v>
      </c>
      <c r="C2180" s="11" t="s">
        <v>58</v>
      </c>
      <c r="D2180" s="102" t="s">
        <v>3083</v>
      </c>
      <c r="E2180" s="10" t="s">
        <v>71</v>
      </c>
      <c r="F2180" s="10" t="s">
        <v>6210</v>
      </c>
      <c r="G2180" s="11" t="s">
        <v>6359</v>
      </c>
      <c r="H2180" s="11" t="s">
        <v>4940</v>
      </c>
      <c r="I2180" s="10" t="s">
        <v>61</v>
      </c>
      <c r="J2180" s="14">
        <v>11913.0</v>
      </c>
      <c r="K2180" s="14">
        <v>5969.0</v>
      </c>
      <c r="L2180" s="17">
        <v>0.501</v>
      </c>
      <c r="M2180" s="150">
        <v>0.0</v>
      </c>
      <c r="N2180" s="136">
        <v>0.0</v>
      </c>
      <c r="O2180" s="18">
        <v>9.0</v>
      </c>
      <c r="P2180" s="92">
        <v>0.0</v>
      </c>
      <c r="Q2180" s="137">
        <v>0.0015</v>
      </c>
      <c r="R2180" s="17">
        <v>0.0</v>
      </c>
      <c r="S2180" s="18">
        <v>0.0</v>
      </c>
      <c r="T2180" s="18">
        <v>0.0</v>
      </c>
      <c r="U2180" s="151">
        <v>0.0</v>
      </c>
      <c r="V2180" s="92" t="s">
        <v>315</v>
      </c>
      <c r="W2180" s="18" t="s">
        <v>62</v>
      </c>
      <c r="X2180" s="174" t="s">
        <v>4502</v>
      </c>
      <c r="Y2180" s="175">
        <v>46207.0</v>
      </c>
      <c r="Z2180" s="18" t="s">
        <v>6360</v>
      </c>
      <c r="AA2180" s="92">
        <v>13.0</v>
      </c>
      <c r="AB2180" s="18"/>
      <c r="AC2180" s="18">
        <v>13.0</v>
      </c>
      <c r="AD2180" s="14">
        <v>38879.0</v>
      </c>
      <c r="AE2180" s="14"/>
      <c r="AF2180" s="14">
        <v>38879.0</v>
      </c>
      <c r="AG2180" s="22"/>
      <c r="AH2180" s="22"/>
      <c r="AI2180" s="22"/>
      <c r="AJ2180" s="22"/>
      <c r="AK2180" s="22"/>
      <c r="AL2180" s="22"/>
      <c r="AM2180" s="22"/>
      <c r="AN2180" s="22"/>
      <c r="AO2180" s="22"/>
      <c r="AP2180" s="22"/>
    </row>
    <row r="2181" hidden="1">
      <c r="A2181" s="148">
        <v>46207.0</v>
      </c>
      <c r="B2181" s="149">
        <v>0.5416666666666666</v>
      </c>
      <c r="C2181" s="11" t="s">
        <v>58</v>
      </c>
      <c r="D2181" s="102" t="s">
        <v>3083</v>
      </c>
      <c r="E2181" s="10" t="s">
        <v>71</v>
      </c>
      <c r="F2181" s="10" t="s">
        <v>6210</v>
      </c>
      <c r="G2181" s="11" t="s">
        <v>6361</v>
      </c>
      <c r="H2181" s="11" t="s">
        <v>4920</v>
      </c>
      <c r="I2181" s="10" t="s">
        <v>61</v>
      </c>
      <c r="J2181" s="14">
        <v>7691.0</v>
      </c>
      <c r="K2181" s="14">
        <v>4259.0</v>
      </c>
      <c r="L2181" s="17">
        <v>0.5538</v>
      </c>
      <c r="M2181" s="150">
        <v>0.0</v>
      </c>
      <c r="N2181" s="136">
        <v>0.0</v>
      </c>
      <c r="O2181" s="18">
        <v>2.0</v>
      </c>
      <c r="P2181" s="92">
        <v>0.0</v>
      </c>
      <c r="Q2181" s="137">
        <v>5.0E-4</v>
      </c>
      <c r="R2181" s="17">
        <v>0.0</v>
      </c>
      <c r="S2181" s="18">
        <v>0.0</v>
      </c>
      <c r="T2181" s="18">
        <v>1.0</v>
      </c>
      <c r="U2181" s="151">
        <v>0.0</v>
      </c>
      <c r="V2181" s="92" t="s">
        <v>315</v>
      </c>
      <c r="W2181" s="18" t="s">
        <v>62</v>
      </c>
      <c r="X2181" s="174" t="s">
        <v>4502</v>
      </c>
      <c r="Y2181" s="175">
        <v>46207.0</v>
      </c>
      <c r="Z2181" s="18" t="s">
        <v>6362</v>
      </c>
      <c r="AA2181" s="92">
        <v>11.0</v>
      </c>
      <c r="AB2181" s="18"/>
      <c r="AC2181" s="18">
        <v>11.0</v>
      </c>
      <c r="AD2181" s="14">
        <v>41993.0</v>
      </c>
      <c r="AE2181" s="14"/>
      <c r="AF2181" s="14">
        <v>41993.0</v>
      </c>
      <c r="AG2181" s="22"/>
      <c r="AH2181" s="22"/>
      <c r="AI2181" s="22"/>
      <c r="AJ2181" s="22"/>
      <c r="AK2181" s="22"/>
      <c r="AL2181" s="22"/>
      <c r="AM2181" s="22"/>
      <c r="AN2181" s="22"/>
      <c r="AO2181" s="22"/>
      <c r="AP2181" s="22"/>
    </row>
    <row r="2182" hidden="1">
      <c r="A2182" s="148">
        <v>46208.0</v>
      </c>
      <c r="B2182" s="149">
        <v>0.8125</v>
      </c>
      <c r="C2182" s="11" t="s">
        <v>58</v>
      </c>
      <c r="D2182" s="102" t="s">
        <v>3083</v>
      </c>
      <c r="E2182" s="10" t="s">
        <v>71</v>
      </c>
      <c r="F2182" s="10" t="s">
        <v>6210</v>
      </c>
      <c r="G2182" s="11" t="s">
        <v>6363</v>
      </c>
      <c r="H2182" s="11" t="s">
        <v>4643</v>
      </c>
      <c r="I2182" s="10" t="s">
        <v>61</v>
      </c>
      <c r="J2182" s="14">
        <v>6592.0</v>
      </c>
      <c r="K2182" s="14">
        <v>3888.0</v>
      </c>
      <c r="L2182" s="17">
        <v>0.5898</v>
      </c>
      <c r="M2182" s="150">
        <v>0.0</v>
      </c>
      <c r="N2182" s="136">
        <v>0.0</v>
      </c>
      <c r="O2182" s="18">
        <v>26.0</v>
      </c>
      <c r="P2182" s="92">
        <v>0.0</v>
      </c>
      <c r="Q2182" s="137">
        <v>0.0067</v>
      </c>
      <c r="R2182" s="17">
        <v>0.0</v>
      </c>
      <c r="S2182" s="18">
        <v>3.0</v>
      </c>
      <c r="T2182" s="18">
        <v>26.0</v>
      </c>
      <c r="U2182" s="151">
        <v>8015.0</v>
      </c>
      <c r="V2182" s="92" t="s">
        <v>335</v>
      </c>
      <c r="W2182" s="18" t="s">
        <v>62</v>
      </c>
      <c r="X2182" s="174" t="s">
        <v>4645</v>
      </c>
      <c r="Y2182" s="175">
        <v>46208.0</v>
      </c>
      <c r="Z2182" s="18" t="s">
        <v>6364</v>
      </c>
      <c r="AA2182" s="92">
        <v>7.0</v>
      </c>
      <c r="AB2182" s="18">
        <v>7.0</v>
      </c>
      <c r="AC2182" s="18"/>
      <c r="AD2182" s="14">
        <v>8484.0</v>
      </c>
      <c r="AE2182" s="14">
        <v>8484.0</v>
      </c>
      <c r="AF2182" s="14"/>
      <c r="AG2182" s="22"/>
      <c r="AH2182" s="22"/>
      <c r="AI2182" s="22"/>
      <c r="AJ2182" s="22"/>
      <c r="AK2182" s="22"/>
      <c r="AL2182" s="22"/>
      <c r="AM2182" s="22"/>
      <c r="AN2182" s="22"/>
      <c r="AO2182" s="22"/>
      <c r="AP2182" s="22"/>
    </row>
    <row r="2183" hidden="1">
      <c r="A2183" s="148">
        <v>46208.0</v>
      </c>
      <c r="B2183" s="149">
        <v>0.8125</v>
      </c>
      <c r="C2183" s="11" t="s">
        <v>58</v>
      </c>
      <c r="D2183" s="102" t="s">
        <v>3083</v>
      </c>
      <c r="E2183" s="10" t="s">
        <v>71</v>
      </c>
      <c r="F2183" s="10" t="s">
        <v>6210</v>
      </c>
      <c r="G2183" s="11" t="s">
        <v>6365</v>
      </c>
      <c r="H2183" s="11" t="s">
        <v>4649</v>
      </c>
      <c r="I2183" s="10" t="s">
        <v>61</v>
      </c>
      <c r="J2183" s="14">
        <v>12261.0</v>
      </c>
      <c r="K2183" s="14">
        <v>6479.0</v>
      </c>
      <c r="L2183" s="17">
        <v>0.5284</v>
      </c>
      <c r="M2183" s="150">
        <v>0.0</v>
      </c>
      <c r="N2183" s="136">
        <v>0.0</v>
      </c>
      <c r="O2183" s="18">
        <v>14.0</v>
      </c>
      <c r="P2183" s="92">
        <v>0.0</v>
      </c>
      <c r="Q2183" s="137">
        <v>0.0022</v>
      </c>
      <c r="R2183" s="17">
        <v>0.0</v>
      </c>
      <c r="S2183" s="18">
        <v>2.0</v>
      </c>
      <c r="T2183" s="18">
        <v>5.0</v>
      </c>
      <c r="U2183" s="151">
        <v>2877.0</v>
      </c>
      <c r="V2183" s="92" t="s">
        <v>335</v>
      </c>
      <c r="W2183" s="18" t="s">
        <v>62</v>
      </c>
      <c r="X2183" s="174" t="s">
        <v>82</v>
      </c>
      <c r="Y2183" s="175">
        <v>46208.0</v>
      </c>
      <c r="Z2183" s="18" t="s">
        <v>6366</v>
      </c>
      <c r="AA2183" s="92">
        <v>14.0</v>
      </c>
      <c r="AB2183" s="18">
        <v>14.0</v>
      </c>
      <c r="AC2183" s="18"/>
      <c r="AD2183" s="14">
        <v>32434.0</v>
      </c>
      <c r="AE2183" s="14">
        <v>32434.0</v>
      </c>
      <c r="AF2183" s="14"/>
      <c r="AG2183" s="22"/>
      <c r="AH2183" s="22"/>
      <c r="AI2183" s="22"/>
      <c r="AJ2183" s="22"/>
      <c r="AK2183" s="22"/>
      <c r="AL2183" s="22"/>
      <c r="AM2183" s="22"/>
      <c r="AN2183" s="22"/>
      <c r="AO2183" s="22"/>
      <c r="AP2183" s="22"/>
    </row>
    <row r="2184" hidden="1">
      <c r="A2184" s="148">
        <v>46208.0</v>
      </c>
      <c r="B2184" s="149">
        <v>0.8125</v>
      </c>
      <c r="C2184" s="11" t="s">
        <v>58</v>
      </c>
      <c r="D2184" s="102" t="s">
        <v>3083</v>
      </c>
      <c r="E2184" s="10" t="s">
        <v>71</v>
      </c>
      <c r="F2184" s="10" t="s">
        <v>6210</v>
      </c>
      <c r="G2184" s="11" t="s">
        <v>6367</v>
      </c>
      <c r="H2184" s="11" t="s">
        <v>2597</v>
      </c>
      <c r="I2184" s="10" t="s">
        <v>61</v>
      </c>
      <c r="J2184" s="14">
        <v>4137.0</v>
      </c>
      <c r="K2184" s="14">
        <v>2206.0</v>
      </c>
      <c r="L2184" s="17">
        <v>0.5332</v>
      </c>
      <c r="M2184" s="150">
        <v>0.0</v>
      </c>
      <c r="N2184" s="136">
        <v>0.0</v>
      </c>
      <c r="O2184" s="18">
        <v>3.0</v>
      </c>
      <c r="P2184" s="92">
        <v>0.0</v>
      </c>
      <c r="Q2184" s="137">
        <v>0.0014</v>
      </c>
      <c r="R2184" s="17">
        <v>0.0</v>
      </c>
      <c r="S2184" s="18">
        <v>1.0</v>
      </c>
      <c r="T2184" s="18">
        <v>3.0</v>
      </c>
      <c r="U2184" s="151">
        <v>2290.0</v>
      </c>
      <c r="V2184" s="92" t="s">
        <v>335</v>
      </c>
      <c r="W2184" s="18" t="s">
        <v>76</v>
      </c>
      <c r="X2184" s="174" t="s">
        <v>52</v>
      </c>
      <c r="Y2184" s="175">
        <v>46208.0</v>
      </c>
      <c r="Z2184" s="18" t="s">
        <v>6368</v>
      </c>
      <c r="AA2184" s="92">
        <v>3.0</v>
      </c>
      <c r="AB2184" s="18">
        <v>3.0</v>
      </c>
      <c r="AC2184" s="18"/>
      <c r="AD2184" s="14">
        <v>7818.0</v>
      </c>
      <c r="AE2184" s="14">
        <v>7818.0</v>
      </c>
      <c r="AF2184" s="14"/>
      <c r="AG2184" s="22"/>
      <c r="AH2184" s="22"/>
      <c r="AI2184" s="22"/>
      <c r="AJ2184" s="22"/>
      <c r="AK2184" s="22"/>
      <c r="AL2184" s="22"/>
      <c r="AM2184" s="22"/>
      <c r="AN2184" s="22"/>
      <c r="AO2184" s="22"/>
      <c r="AP2184" s="22"/>
    </row>
    <row r="2185" hidden="1">
      <c r="A2185" s="148">
        <v>46208.0</v>
      </c>
      <c r="B2185" s="149">
        <v>0.8125</v>
      </c>
      <c r="C2185" s="11" t="s">
        <v>58</v>
      </c>
      <c r="D2185" s="102" t="s">
        <v>3083</v>
      </c>
      <c r="E2185" s="10" t="s">
        <v>71</v>
      </c>
      <c r="F2185" s="10" t="s">
        <v>6210</v>
      </c>
      <c r="G2185" s="11" t="s">
        <v>6369</v>
      </c>
      <c r="H2185" s="11" t="s">
        <v>4656</v>
      </c>
      <c r="I2185" s="10" t="s">
        <v>61</v>
      </c>
      <c r="J2185" s="14">
        <v>3474.0</v>
      </c>
      <c r="K2185" s="14">
        <v>2222.0</v>
      </c>
      <c r="L2185" s="17">
        <v>0.6396</v>
      </c>
      <c r="M2185" s="150">
        <v>0.0</v>
      </c>
      <c r="N2185" s="136">
        <v>0.0</v>
      </c>
      <c r="O2185" s="18">
        <v>3.0</v>
      </c>
      <c r="P2185" s="92">
        <v>0.0</v>
      </c>
      <c r="Q2185" s="137">
        <v>0.0014</v>
      </c>
      <c r="R2185" s="17">
        <v>0.0</v>
      </c>
      <c r="S2185" s="18">
        <v>1.0</v>
      </c>
      <c r="T2185" s="18">
        <v>2.0</v>
      </c>
      <c r="U2185" s="151">
        <v>709.0</v>
      </c>
      <c r="V2185" s="92" t="s">
        <v>335</v>
      </c>
      <c r="W2185" s="18" t="s">
        <v>76</v>
      </c>
      <c r="X2185" s="174" t="s">
        <v>2594</v>
      </c>
      <c r="Y2185" s="175">
        <v>46208.0</v>
      </c>
      <c r="Z2185" s="18" t="s">
        <v>6370</v>
      </c>
      <c r="AA2185" s="92">
        <v>4.0</v>
      </c>
      <c r="AB2185" s="18">
        <v>4.0</v>
      </c>
      <c r="AC2185" s="18"/>
      <c r="AD2185" s="14">
        <v>6070.0</v>
      </c>
      <c r="AE2185" s="14">
        <v>6070.0</v>
      </c>
      <c r="AF2185" s="14"/>
      <c r="AG2185" s="22"/>
      <c r="AH2185" s="22"/>
      <c r="AI2185" s="22"/>
      <c r="AJ2185" s="22"/>
      <c r="AK2185" s="22"/>
      <c r="AL2185" s="22"/>
      <c r="AM2185" s="22"/>
      <c r="AN2185" s="22"/>
      <c r="AO2185" s="22"/>
      <c r="AP2185" s="22"/>
    </row>
    <row r="2186" hidden="1">
      <c r="A2186" s="148">
        <v>46208.0</v>
      </c>
      <c r="B2186" s="149">
        <v>0.8125</v>
      </c>
      <c r="C2186" s="11" t="s">
        <v>58</v>
      </c>
      <c r="D2186" s="102" t="s">
        <v>3083</v>
      </c>
      <c r="E2186" s="10" t="s">
        <v>71</v>
      </c>
      <c r="F2186" s="10" t="s">
        <v>6210</v>
      </c>
      <c r="G2186" s="11" t="s">
        <v>6371</v>
      </c>
      <c r="H2186" s="11" t="s">
        <v>4725</v>
      </c>
      <c r="I2186" s="10" t="s">
        <v>61</v>
      </c>
      <c r="J2186" s="14">
        <v>32360.0</v>
      </c>
      <c r="K2186" s="14">
        <v>17431.0</v>
      </c>
      <c r="L2186" s="17">
        <v>0.5387</v>
      </c>
      <c r="M2186" s="150">
        <v>0.0</v>
      </c>
      <c r="N2186" s="136">
        <v>0.0</v>
      </c>
      <c r="O2186" s="18">
        <v>25.0</v>
      </c>
      <c r="P2186" s="92">
        <v>0.0</v>
      </c>
      <c r="Q2186" s="137">
        <v>0.0014</v>
      </c>
      <c r="R2186" s="17">
        <v>0.0</v>
      </c>
      <c r="S2186" s="18">
        <v>1.0</v>
      </c>
      <c r="T2186" s="18">
        <v>2.0</v>
      </c>
      <c r="U2186" s="151">
        <v>3728.0</v>
      </c>
      <c r="V2186" s="92" t="s">
        <v>183</v>
      </c>
      <c r="W2186" s="18" t="s">
        <v>62</v>
      </c>
      <c r="X2186" s="174" t="s">
        <v>52</v>
      </c>
      <c r="Y2186" s="175">
        <v>46208.0</v>
      </c>
      <c r="Z2186" s="18" t="s">
        <v>6372</v>
      </c>
      <c r="AA2186" s="92">
        <v>70.0</v>
      </c>
      <c r="AB2186" s="18">
        <v>6.0</v>
      </c>
      <c r="AC2186" s="18">
        <v>64.0</v>
      </c>
      <c r="AD2186" s="14">
        <v>272607.0</v>
      </c>
      <c r="AE2186" s="14">
        <v>18354.0</v>
      </c>
      <c r="AF2186" s="14">
        <v>254253.0</v>
      </c>
      <c r="AG2186" s="22"/>
      <c r="AH2186" s="22"/>
      <c r="AI2186" s="22"/>
      <c r="AJ2186" s="22"/>
      <c r="AK2186" s="22"/>
      <c r="AL2186" s="22"/>
      <c r="AM2186" s="22"/>
      <c r="AN2186" s="22"/>
      <c r="AO2186" s="22"/>
      <c r="AP2186" s="22"/>
    </row>
    <row r="2187" hidden="1">
      <c r="A2187" s="148">
        <v>46206.0</v>
      </c>
      <c r="B2187" s="149">
        <v>0.4583333333333333</v>
      </c>
      <c r="C2187" s="11" t="s">
        <v>58</v>
      </c>
      <c r="D2187" s="102" t="s">
        <v>33</v>
      </c>
      <c r="E2187" s="10" t="s">
        <v>1998</v>
      </c>
      <c r="F2187" s="10" t="s">
        <v>6373</v>
      </c>
      <c r="G2187" s="11" t="s">
        <v>6374</v>
      </c>
      <c r="H2187" s="11" t="s">
        <v>5312</v>
      </c>
      <c r="I2187" s="180" t="s">
        <v>6375</v>
      </c>
      <c r="J2187" s="14">
        <v>49325.0</v>
      </c>
      <c r="K2187" s="14">
        <v>23864.0</v>
      </c>
      <c r="L2187" s="17">
        <v>0.4838</v>
      </c>
      <c r="M2187" s="150">
        <v>0.0</v>
      </c>
      <c r="N2187" s="136">
        <v>0.0</v>
      </c>
      <c r="O2187" s="18">
        <v>43.0</v>
      </c>
      <c r="P2187" s="92">
        <v>0.0</v>
      </c>
      <c r="Q2187" s="137">
        <v>0.0018</v>
      </c>
      <c r="R2187" s="17">
        <v>0.0</v>
      </c>
      <c r="S2187" s="18">
        <v>0.0</v>
      </c>
      <c r="T2187" s="18">
        <v>3.0</v>
      </c>
      <c r="U2187" s="151">
        <v>0.0</v>
      </c>
      <c r="V2187" s="92" t="s">
        <v>183</v>
      </c>
      <c r="W2187" s="18" t="s">
        <v>62</v>
      </c>
      <c r="X2187" s="174" t="s">
        <v>4296</v>
      </c>
      <c r="Y2187" s="94" t="s">
        <v>6376</v>
      </c>
      <c r="Z2187" s="18" t="s">
        <v>6377</v>
      </c>
      <c r="AA2187" s="92">
        <v>2.0</v>
      </c>
      <c r="AB2187" s="18">
        <v>2.0</v>
      </c>
      <c r="AC2187" s="18">
        <v>0.0</v>
      </c>
      <c r="AD2187" s="14">
        <v>6998.0</v>
      </c>
      <c r="AE2187" s="14">
        <v>6998.0</v>
      </c>
      <c r="AF2187" s="14">
        <v>0.0</v>
      </c>
      <c r="AG2187" s="22"/>
      <c r="AH2187" s="22"/>
      <c r="AI2187" s="22"/>
      <c r="AJ2187" s="22"/>
      <c r="AK2187" s="22"/>
      <c r="AL2187" s="22"/>
      <c r="AM2187" s="22"/>
      <c r="AN2187" s="22"/>
      <c r="AO2187" s="22"/>
      <c r="AP2187" s="22"/>
    </row>
    <row r="2188" hidden="1">
      <c r="A2188" s="148">
        <v>46208.0</v>
      </c>
      <c r="B2188" s="149">
        <v>0.4583333333333333</v>
      </c>
      <c r="C2188" s="11" t="s">
        <v>58</v>
      </c>
      <c r="D2188" s="102" t="s">
        <v>33</v>
      </c>
      <c r="E2188" s="10" t="s">
        <v>1998</v>
      </c>
      <c r="F2188" s="10" t="s">
        <v>6378</v>
      </c>
      <c r="G2188" s="11" t="s">
        <v>6379</v>
      </c>
      <c r="H2188" s="11" t="s">
        <v>5312</v>
      </c>
      <c r="I2188" s="180" t="s">
        <v>6380</v>
      </c>
      <c r="J2188" s="14">
        <v>49334.0</v>
      </c>
      <c r="K2188" s="14">
        <v>23834.0</v>
      </c>
      <c r="L2188" s="17">
        <v>0.4831</v>
      </c>
      <c r="M2188" s="150">
        <v>0.0</v>
      </c>
      <c r="N2188" s="136">
        <v>0.0</v>
      </c>
      <c r="O2188" s="18">
        <v>33.0</v>
      </c>
      <c r="P2188" s="92">
        <v>0.0</v>
      </c>
      <c r="Q2188" s="137">
        <v>0.0014</v>
      </c>
      <c r="R2188" s="17">
        <v>0.0</v>
      </c>
      <c r="S2188" s="18">
        <v>0.0</v>
      </c>
      <c r="T2188" s="18">
        <v>2.0</v>
      </c>
      <c r="U2188" s="151">
        <v>0.0</v>
      </c>
      <c r="V2188" s="92" t="s">
        <v>183</v>
      </c>
      <c r="W2188" s="18" t="s">
        <v>62</v>
      </c>
      <c r="X2188" s="174" t="s">
        <v>4296</v>
      </c>
      <c r="Y2188" s="94" t="s">
        <v>6381</v>
      </c>
      <c r="Z2188" s="18" t="s">
        <v>6382</v>
      </c>
      <c r="AA2188" s="42">
        <v>1.0</v>
      </c>
      <c r="AB2188" s="37">
        <v>1.0</v>
      </c>
      <c r="AC2188" s="37">
        <v>0.0</v>
      </c>
      <c r="AD2188" s="33">
        <v>3499.0</v>
      </c>
      <c r="AE2188" s="33">
        <v>3499.0</v>
      </c>
      <c r="AF2188" s="33">
        <v>0.0</v>
      </c>
      <c r="AG2188" s="22"/>
      <c r="AH2188" s="22"/>
      <c r="AI2188" s="22"/>
      <c r="AJ2188" s="22"/>
      <c r="AK2188" s="22"/>
      <c r="AL2188" s="22"/>
      <c r="AM2188" s="22"/>
      <c r="AN2188" s="22"/>
      <c r="AO2188" s="22"/>
      <c r="AP2188" s="22"/>
    </row>
    <row r="2189" hidden="1">
      <c r="A2189" s="148">
        <v>46207.0</v>
      </c>
      <c r="B2189" s="149">
        <v>0.5</v>
      </c>
      <c r="C2189" s="11" t="s">
        <v>58</v>
      </c>
      <c r="D2189" s="102" t="s">
        <v>3083</v>
      </c>
      <c r="E2189" s="10" t="s">
        <v>34</v>
      </c>
      <c r="F2189" s="10" t="s">
        <v>6383</v>
      </c>
      <c r="G2189" s="11" t="s">
        <v>6384</v>
      </c>
      <c r="H2189" s="11" t="s">
        <v>3762</v>
      </c>
      <c r="I2189" s="10" t="s">
        <v>2956</v>
      </c>
      <c r="J2189" s="14">
        <v>3168.0</v>
      </c>
      <c r="K2189" s="14">
        <v>2093.0</v>
      </c>
      <c r="L2189" s="17">
        <v>0.6607</v>
      </c>
      <c r="M2189" s="150">
        <v>0.0</v>
      </c>
      <c r="N2189" s="136">
        <v>0.0</v>
      </c>
      <c r="O2189" s="18">
        <v>14.0</v>
      </c>
      <c r="P2189" s="92">
        <v>0.0</v>
      </c>
      <c r="Q2189" s="137">
        <v>0.0067</v>
      </c>
      <c r="R2189" s="17">
        <v>0.0</v>
      </c>
      <c r="S2189" s="18">
        <v>3.0</v>
      </c>
      <c r="T2189" s="18">
        <v>38.0</v>
      </c>
      <c r="U2189" s="151">
        <v>17982.0</v>
      </c>
      <c r="V2189" s="92" t="s">
        <v>335</v>
      </c>
      <c r="W2189" s="18" t="s">
        <v>62</v>
      </c>
      <c r="X2189" s="174" t="s">
        <v>4645</v>
      </c>
      <c r="Y2189" s="175" t="s">
        <v>6385</v>
      </c>
      <c r="Z2189" s="18" t="s">
        <v>6386</v>
      </c>
      <c r="AA2189" s="92">
        <v>13.0</v>
      </c>
      <c r="AB2189" s="18">
        <v>13.0</v>
      </c>
      <c r="AC2189" s="18"/>
      <c r="AD2189" s="14">
        <v>72938.0</v>
      </c>
      <c r="AE2189" s="14">
        <v>72938.0</v>
      </c>
      <c r="AF2189" s="14"/>
      <c r="AG2189" s="22"/>
      <c r="AH2189" s="22"/>
      <c r="AI2189" s="22"/>
      <c r="AJ2189" s="22"/>
      <c r="AK2189" s="22"/>
      <c r="AL2189" s="22"/>
      <c r="AM2189" s="22"/>
      <c r="AN2189" s="22"/>
      <c r="AO2189" s="22"/>
      <c r="AP2189" s="22"/>
    </row>
    <row r="2190" hidden="1">
      <c r="A2190" s="148">
        <v>46207.0</v>
      </c>
      <c r="B2190" s="149">
        <v>0.5</v>
      </c>
      <c r="C2190" s="11" t="s">
        <v>58</v>
      </c>
      <c r="D2190" s="102" t="s">
        <v>3083</v>
      </c>
      <c r="E2190" s="10" t="s">
        <v>34</v>
      </c>
      <c r="F2190" s="10" t="s">
        <v>6383</v>
      </c>
      <c r="G2190" s="11" t="s">
        <v>6387</v>
      </c>
      <c r="H2190" s="11" t="s">
        <v>3767</v>
      </c>
      <c r="I2190" s="10" t="s">
        <v>2956</v>
      </c>
      <c r="J2190" s="14">
        <v>407.0</v>
      </c>
      <c r="K2190" s="14">
        <v>278.0</v>
      </c>
      <c r="L2190" s="17">
        <v>0.683</v>
      </c>
      <c r="M2190" s="150">
        <v>0.0</v>
      </c>
      <c r="N2190" s="136">
        <v>0.0</v>
      </c>
      <c r="O2190" s="18">
        <v>2.0</v>
      </c>
      <c r="P2190" s="92">
        <v>0.0</v>
      </c>
      <c r="Q2190" s="137">
        <v>0.0072</v>
      </c>
      <c r="R2190" s="17">
        <v>0.0</v>
      </c>
      <c r="S2190" s="18">
        <v>1.0</v>
      </c>
      <c r="T2190" s="18">
        <v>3.0</v>
      </c>
      <c r="U2190" s="151">
        <v>5499.0</v>
      </c>
      <c r="V2190" s="92" t="s">
        <v>335</v>
      </c>
      <c r="W2190" s="18" t="s">
        <v>62</v>
      </c>
      <c r="X2190" s="174" t="s">
        <v>4645</v>
      </c>
      <c r="Y2190" s="175" t="s">
        <v>6385</v>
      </c>
      <c r="Z2190" s="18" t="s">
        <v>6388</v>
      </c>
      <c r="AA2190" s="92">
        <v>0.0</v>
      </c>
      <c r="AB2190" s="18">
        <v>0.0</v>
      </c>
      <c r="AC2190" s="18"/>
      <c r="AD2190" s="14">
        <v>0.0</v>
      </c>
      <c r="AE2190" s="14">
        <v>0.0</v>
      </c>
      <c r="AF2190" s="14"/>
      <c r="AG2190" s="22"/>
      <c r="AH2190" s="22"/>
      <c r="AI2190" s="22"/>
      <c r="AJ2190" s="22"/>
      <c r="AK2190" s="22"/>
      <c r="AL2190" s="22"/>
      <c r="AM2190" s="22"/>
      <c r="AN2190" s="22"/>
      <c r="AO2190" s="22"/>
      <c r="AP2190" s="22"/>
    </row>
    <row r="2191" hidden="1">
      <c r="A2191" s="148">
        <v>46207.0</v>
      </c>
      <c r="B2191" s="149">
        <v>0.5</v>
      </c>
      <c r="C2191" s="11" t="s">
        <v>58</v>
      </c>
      <c r="D2191" s="102" t="s">
        <v>3083</v>
      </c>
      <c r="E2191" s="10" t="s">
        <v>34</v>
      </c>
      <c r="F2191" s="10" t="s">
        <v>6383</v>
      </c>
      <c r="G2191" s="11" t="s">
        <v>6389</v>
      </c>
      <c r="H2191" s="11" t="s">
        <v>5441</v>
      </c>
      <c r="I2191" s="10" t="s">
        <v>2956</v>
      </c>
      <c r="J2191" s="14">
        <v>49433.0</v>
      </c>
      <c r="K2191" s="14">
        <v>27471.0</v>
      </c>
      <c r="L2191" s="17">
        <v>0.5557</v>
      </c>
      <c r="M2191" s="150">
        <v>0.0</v>
      </c>
      <c r="N2191" s="136">
        <v>0.0</v>
      </c>
      <c r="O2191" s="18">
        <v>58.0</v>
      </c>
      <c r="P2191" s="92">
        <v>0.0</v>
      </c>
      <c r="Q2191" s="137">
        <v>0.0021</v>
      </c>
      <c r="R2191" s="17">
        <v>0.0</v>
      </c>
      <c r="S2191" s="18">
        <v>0.0</v>
      </c>
      <c r="T2191" s="18">
        <v>1.0</v>
      </c>
      <c r="U2191" s="151">
        <v>0.0</v>
      </c>
      <c r="V2191" s="92" t="s">
        <v>183</v>
      </c>
      <c r="W2191" s="18" t="s">
        <v>62</v>
      </c>
      <c r="X2191" s="174" t="s">
        <v>52</v>
      </c>
      <c r="Y2191" s="175" t="s">
        <v>6385</v>
      </c>
      <c r="Z2191" s="18" t="s">
        <v>6390</v>
      </c>
      <c r="AA2191" s="92">
        <v>60.0</v>
      </c>
      <c r="AB2191" s="18">
        <v>9.0</v>
      </c>
      <c r="AC2191" s="18">
        <v>51.0</v>
      </c>
      <c r="AD2191" s="14">
        <v>570494.0</v>
      </c>
      <c r="AE2191" s="14">
        <v>104815.0</v>
      </c>
      <c r="AF2191" s="14">
        <v>465679.0</v>
      </c>
      <c r="AG2191" s="22"/>
      <c r="AH2191" s="22"/>
      <c r="AI2191" s="22"/>
      <c r="AJ2191" s="22"/>
      <c r="AK2191" s="22"/>
      <c r="AL2191" s="22"/>
      <c r="AM2191" s="22"/>
      <c r="AN2191" s="22"/>
      <c r="AO2191" s="22"/>
      <c r="AP2191" s="22"/>
    </row>
    <row r="2192" hidden="1">
      <c r="A2192" s="148">
        <v>46207.0</v>
      </c>
      <c r="B2192" s="149">
        <v>0.5</v>
      </c>
      <c r="C2192" s="11" t="s">
        <v>58</v>
      </c>
      <c r="D2192" s="102" t="s">
        <v>3083</v>
      </c>
      <c r="E2192" s="10" t="s">
        <v>34</v>
      </c>
      <c r="F2192" s="10" t="s">
        <v>6383</v>
      </c>
      <c r="G2192" s="11" t="s">
        <v>6391</v>
      </c>
      <c r="H2192" s="11" t="s">
        <v>6392</v>
      </c>
      <c r="I2192" s="10" t="s">
        <v>2956</v>
      </c>
      <c r="J2192" s="14">
        <v>49048.0</v>
      </c>
      <c r="K2192" s="14">
        <v>26345.0</v>
      </c>
      <c r="L2192" s="17">
        <v>0.5371</v>
      </c>
      <c r="M2192" s="150">
        <v>0.0</v>
      </c>
      <c r="N2192" s="136">
        <v>0.0</v>
      </c>
      <c r="O2192" s="18">
        <v>56.0</v>
      </c>
      <c r="P2192" s="92">
        <v>0.0</v>
      </c>
      <c r="Q2192" s="137">
        <v>0.0021</v>
      </c>
      <c r="R2192" s="17">
        <v>0.0</v>
      </c>
      <c r="S2192" s="18">
        <v>2.0</v>
      </c>
      <c r="T2192" s="18">
        <v>1.0</v>
      </c>
      <c r="U2192" s="151">
        <v>13701.0</v>
      </c>
      <c r="V2192" s="92" t="s">
        <v>183</v>
      </c>
      <c r="W2192" s="18" t="s">
        <v>62</v>
      </c>
      <c r="X2192" s="174" t="s">
        <v>82</v>
      </c>
      <c r="Y2192" s="175" t="s">
        <v>6385</v>
      </c>
      <c r="Z2192" s="18" t="s">
        <v>6393</v>
      </c>
      <c r="AA2192" s="92">
        <v>54.0</v>
      </c>
      <c r="AB2192" s="18">
        <v>8.0</v>
      </c>
      <c r="AC2192" s="18">
        <v>46.0</v>
      </c>
      <c r="AD2192" s="14">
        <v>537807.0</v>
      </c>
      <c r="AE2192" s="14">
        <v>93621.0</v>
      </c>
      <c r="AF2192" s="14">
        <v>444186.0</v>
      </c>
      <c r="AG2192" s="22"/>
      <c r="AH2192" s="22"/>
      <c r="AI2192" s="22"/>
      <c r="AJ2192" s="22"/>
      <c r="AK2192" s="22"/>
      <c r="AL2192" s="22"/>
      <c r="AM2192" s="22"/>
      <c r="AN2192" s="22"/>
      <c r="AO2192" s="22"/>
      <c r="AP2192" s="22"/>
    </row>
    <row r="2193" hidden="1">
      <c r="A2193" s="148">
        <v>46207.0</v>
      </c>
      <c r="B2193" s="149">
        <v>0.5</v>
      </c>
      <c r="C2193" s="11" t="s">
        <v>58</v>
      </c>
      <c r="D2193" s="102" t="s">
        <v>3083</v>
      </c>
      <c r="E2193" s="10" t="s">
        <v>34</v>
      </c>
      <c r="F2193" s="10" t="s">
        <v>6383</v>
      </c>
      <c r="G2193" s="11" t="s">
        <v>6394</v>
      </c>
      <c r="H2193" s="11" t="s">
        <v>6395</v>
      </c>
      <c r="I2193" s="10" t="s">
        <v>2956</v>
      </c>
      <c r="J2193" s="14">
        <v>110886.0</v>
      </c>
      <c r="K2193" s="14">
        <v>61793.0</v>
      </c>
      <c r="L2193" s="17">
        <v>0.5573</v>
      </c>
      <c r="M2193" s="150">
        <v>0.0</v>
      </c>
      <c r="N2193" s="136">
        <v>0.0</v>
      </c>
      <c r="O2193" s="18">
        <v>98.0</v>
      </c>
      <c r="P2193" s="92">
        <v>0.0</v>
      </c>
      <c r="Q2193" s="137">
        <v>0.0016</v>
      </c>
      <c r="R2193" s="17">
        <v>0.0</v>
      </c>
      <c r="S2193" s="18">
        <v>2.0</v>
      </c>
      <c r="T2193" s="18">
        <v>3.0</v>
      </c>
      <c r="U2193" s="151">
        <v>12898.0</v>
      </c>
      <c r="V2193" s="92" t="s">
        <v>183</v>
      </c>
      <c r="W2193" s="18" t="s">
        <v>62</v>
      </c>
      <c r="X2193" s="174" t="s">
        <v>87</v>
      </c>
      <c r="Y2193" s="175" t="s">
        <v>6385</v>
      </c>
      <c r="Z2193" s="18" t="s">
        <v>6396</v>
      </c>
      <c r="AA2193" s="92">
        <v>70.0</v>
      </c>
      <c r="AB2193" s="18">
        <v>9.0</v>
      </c>
      <c r="AC2193" s="18">
        <v>61.0</v>
      </c>
      <c r="AD2193" s="14">
        <v>579266.0</v>
      </c>
      <c r="AE2193" s="14">
        <v>53817.0</v>
      </c>
      <c r="AF2193" s="14">
        <v>525449.0</v>
      </c>
      <c r="AG2193" s="22"/>
      <c r="AH2193" s="22"/>
      <c r="AI2193" s="22"/>
      <c r="AJ2193" s="22"/>
      <c r="AK2193" s="22"/>
      <c r="AL2193" s="22"/>
      <c r="AM2193" s="22"/>
      <c r="AN2193" s="22"/>
      <c r="AO2193" s="22"/>
      <c r="AP2193" s="22"/>
    </row>
    <row r="2194" hidden="1">
      <c r="A2194" s="148">
        <v>46207.0</v>
      </c>
      <c r="B2194" s="149">
        <v>0.5</v>
      </c>
      <c r="C2194" s="11" t="s">
        <v>58</v>
      </c>
      <c r="D2194" s="102" t="s">
        <v>3083</v>
      </c>
      <c r="E2194" s="10" t="s">
        <v>34</v>
      </c>
      <c r="F2194" s="10" t="s">
        <v>6383</v>
      </c>
      <c r="G2194" s="11" t="s">
        <v>6397</v>
      </c>
      <c r="H2194" s="11" t="s">
        <v>6398</v>
      </c>
      <c r="I2194" s="10" t="s">
        <v>2956</v>
      </c>
      <c r="J2194" s="14">
        <v>73535.0</v>
      </c>
      <c r="K2194" s="14">
        <v>38921.0</v>
      </c>
      <c r="L2194" s="17">
        <v>0.5293</v>
      </c>
      <c r="M2194" s="150">
        <v>0.0</v>
      </c>
      <c r="N2194" s="136">
        <v>0.0</v>
      </c>
      <c r="O2194" s="18">
        <v>60.0</v>
      </c>
      <c r="P2194" s="92">
        <v>0.0</v>
      </c>
      <c r="Q2194" s="137">
        <v>0.0015</v>
      </c>
      <c r="R2194" s="17">
        <v>0.0</v>
      </c>
      <c r="S2194" s="18">
        <v>0.0</v>
      </c>
      <c r="T2194" s="18">
        <v>2.0</v>
      </c>
      <c r="U2194" s="151">
        <v>0.0</v>
      </c>
      <c r="V2194" s="92" t="s">
        <v>183</v>
      </c>
      <c r="W2194" s="18" t="s">
        <v>62</v>
      </c>
      <c r="X2194" s="174" t="s">
        <v>87</v>
      </c>
      <c r="Y2194" s="175" t="s">
        <v>6385</v>
      </c>
      <c r="Z2194" s="18" t="s">
        <v>6399</v>
      </c>
      <c r="AA2194" s="92">
        <v>27.0</v>
      </c>
      <c r="AB2194" s="18">
        <v>3.0</v>
      </c>
      <c r="AC2194" s="18">
        <v>24.0</v>
      </c>
      <c r="AD2194" s="14">
        <v>234125.0</v>
      </c>
      <c r="AE2194" s="14">
        <v>24897.0</v>
      </c>
      <c r="AF2194" s="14">
        <v>209228.0</v>
      </c>
      <c r="AG2194" s="22"/>
      <c r="AH2194" s="22"/>
      <c r="AI2194" s="22"/>
      <c r="AJ2194" s="22"/>
      <c r="AK2194" s="22"/>
      <c r="AL2194" s="22"/>
      <c r="AM2194" s="22"/>
      <c r="AN2194" s="22"/>
      <c r="AO2194" s="22"/>
      <c r="AP2194" s="22"/>
    </row>
    <row r="2195" hidden="1">
      <c r="A2195" s="148">
        <v>46206.0</v>
      </c>
      <c r="B2195" s="149">
        <v>0.7083333333333334</v>
      </c>
      <c r="C2195" s="11" t="s">
        <v>196</v>
      </c>
      <c r="D2195" s="102" t="s">
        <v>3083</v>
      </c>
      <c r="E2195" s="10" t="s">
        <v>1998</v>
      </c>
      <c r="F2195" s="10" t="s">
        <v>6400</v>
      </c>
      <c r="G2195" s="11" t="s">
        <v>6401</v>
      </c>
      <c r="H2195" s="11" t="s">
        <v>5312</v>
      </c>
      <c r="I2195" s="10" t="s">
        <v>6402</v>
      </c>
      <c r="J2195" s="14">
        <v>25170.0</v>
      </c>
      <c r="K2195" s="14">
        <v>870.0</v>
      </c>
      <c r="L2195" s="17">
        <v>0.0346</v>
      </c>
      <c r="M2195" s="150">
        <v>214.0</v>
      </c>
      <c r="N2195" s="136">
        <v>0.246</v>
      </c>
      <c r="O2195" s="18">
        <v>6.0</v>
      </c>
      <c r="P2195" s="92">
        <v>0.0</v>
      </c>
      <c r="Q2195" s="137">
        <v>0.0092</v>
      </c>
      <c r="R2195" s="17">
        <v>0.0</v>
      </c>
      <c r="S2195" s="18">
        <v>0.0</v>
      </c>
      <c r="T2195" s="18">
        <v>0.0</v>
      </c>
      <c r="U2195" s="151">
        <v>0.0</v>
      </c>
      <c r="V2195" s="92" t="s">
        <v>183</v>
      </c>
      <c r="W2195" s="18" t="s">
        <v>76</v>
      </c>
      <c r="X2195" s="174" t="s">
        <v>4296</v>
      </c>
      <c r="Y2195" s="94" t="s">
        <v>6403</v>
      </c>
      <c r="Z2195" s="18" t="s">
        <v>6404</v>
      </c>
      <c r="AA2195" s="92">
        <v>0.0</v>
      </c>
      <c r="AB2195" s="18">
        <v>0.0</v>
      </c>
      <c r="AC2195" s="18">
        <v>0.0</v>
      </c>
      <c r="AD2195" s="14">
        <v>0.0</v>
      </c>
      <c r="AE2195" s="14">
        <v>0.0</v>
      </c>
      <c r="AF2195" s="14">
        <v>0.0</v>
      </c>
      <c r="AG2195" s="22"/>
      <c r="AH2195" s="22"/>
      <c r="AI2195" s="22"/>
      <c r="AJ2195" s="22"/>
      <c r="AK2195" s="22"/>
      <c r="AL2195" s="22"/>
      <c r="AM2195" s="22"/>
      <c r="AN2195" s="22"/>
      <c r="AO2195" s="22"/>
      <c r="AP2195" s="22"/>
    </row>
    <row r="2196" hidden="1">
      <c r="A2196" s="148">
        <v>46208.0</v>
      </c>
      <c r="B2196" s="149">
        <v>0.7083333333333334</v>
      </c>
      <c r="C2196" s="11" t="s">
        <v>196</v>
      </c>
      <c r="D2196" s="102" t="s">
        <v>3083</v>
      </c>
      <c r="E2196" s="10" t="s">
        <v>1998</v>
      </c>
      <c r="F2196" s="10" t="s">
        <v>6400</v>
      </c>
      <c r="G2196" s="11" t="s">
        <v>6405</v>
      </c>
      <c r="H2196" s="11" t="s">
        <v>5312</v>
      </c>
      <c r="I2196" s="10" t="s">
        <v>6402</v>
      </c>
      <c r="J2196" s="14">
        <v>23841.0</v>
      </c>
      <c r="K2196" s="14">
        <v>1682.0</v>
      </c>
      <c r="L2196" s="17">
        <v>0.0706</v>
      </c>
      <c r="M2196" s="150">
        <v>266.0</v>
      </c>
      <c r="N2196" s="136">
        <v>0.1581</v>
      </c>
      <c r="O2196" s="18">
        <v>4.0</v>
      </c>
      <c r="P2196" s="92">
        <v>0.0</v>
      </c>
      <c r="Q2196" s="137">
        <v>0.0024</v>
      </c>
      <c r="R2196" s="17">
        <v>0.0</v>
      </c>
      <c r="S2196" s="18">
        <v>0.0</v>
      </c>
      <c r="T2196" s="18">
        <v>0.0</v>
      </c>
      <c r="U2196" s="151">
        <v>0.0</v>
      </c>
      <c r="V2196" s="92" t="s">
        <v>183</v>
      </c>
      <c r="W2196" s="18" t="s">
        <v>76</v>
      </c>
      <c r="X2196" s="174" t="s">
        <v>4296</v>
      </c>
      <c r="Y2196" s="94" t="s">
        <v>6406</v>
      </c>
      <c r="Z2196" s="18" t="s">
        <v>6407</v>
      </c>
      <c r="AA2196" s="92">
        <v>0.0</v>
      </c>
      <c r="AB2196" s="18">
        <v>0.0</v>
      </c>
      <c r="AC2196" s="18">
        <v>0.0</v>
      </c>
      <c r="AD2196" s="14">
        <v>0.0</v>
      </c>
      <c r="AE2196" s="14">
        <v>0.0</v>
      </c>
      <c r="AF2196" s="14">
        <v>0.0</v>
      </c>
      <c r="AG2196" s="22"/>
      <c r="AH2196" s="22"/>
      <c r="AI2196" s="22"/>
      <c r="AJ2196" s="22"/>
      <c r="AK2196" s="22"/>
      <c r="AL2196" s="22"/>
      <c r="AM2196" s="22"/>
      <c r="AN2196" s="22"/>
      <c r="AO2196" s="22"/>
      <c r="AP2196" s="22"/>
    </row>
    <row r="2197" hidden="1">
      <c r="A2197" s="148">
        <v>46207.0</v>
      </c>
      <c r="B2197" s="149">
        <v>0.375</v>
      </c>
      <c r="C2197" s="11" t="s">
        <v>196</v>
      </c>
      <c r="D2197" s="102" t="s">
        <v>33</v>
      </c>
      <c r="E2197" s="10" t="s">
        <v>34</v>
      </c>
      <c r="F2197" s="10" t="s">
        <v>6383</v>
      </c>
      <c r="G2197" s="11" t="s">
        <v>6408</v>
      </c>
      <c r="H2197" s="11" t="s">
        <v>3762</v>
      </c>
      <c r="I2197" s="10" t="s">
        <v>5434</v>
      </c>
      <c r="J2197" s="14">
        <v>3634.0</v>
      </c>
      <c r="K2197" s="14">
        <v>494.0</v>
      </c>
      <c r="L2197" s="17">
        <v>0.1359</v>
      </c>
      <c r="M2197" s="150">
        <v>100.0</v>
      </c>
      <c r="N2197" s="136">
        <v>0.2024</v>
      </c>
      <c r="O2197" s="18">
        <v>12.0</v>
      </c>
      <c r="P2197" s="92">
        <v>0.0</v>
      </c>
      <c r="Q2197" s="137">
        <v>0.0304</v>
      </c>
      <c r="R2197" s="17">
        <v>0.0</v>
      </c>
      <c r="S2197" s="18">
        <v>0.0</v>
      </c>
      <c r="T2197" s="18">
        <v>2.0</v>
      </c>
      <c r="U2197" s="151">
        <v>0.0</v>
      </c>
      <c r="V2197" s="92" t="s">
        <v>335</v>
      </c>
      <c r="W2197" s="18" t="s">
        <v>76</v>
      </c>
      <c r="X2197" s="174" t="s">
        <v>4645</v>
      </c>
      <c r="Y2197" s="175" t="s">
        <v>6385</v>
      </c>
      <c r="Z2197" s="18" t="s">
        <v>6409</v>
      </c>
      <c r="AA2197" s="92">
        <v>1.0</v>
      </c>
      <c r="AB2197" s="18">
        <v>1.0</v>
      </c>
      <c r="AC2197" s="18"/>
      <c r="AD2197" s="14">
        <v>10800.0</v>
      </c>
      <c r="AE2197" s="14">
        <v>10800.0</v>
      </c>
      <c r="AF2197" s="14"/>
      <c r="AG2197" s="22"/>
      <c r="AH2197" s="22"/>
      <c r="AI2197" s="22"/>
      <c r="AJ2197" s="22"/>
      <c r="AK2197" s="22"/>
      <c r="AL2197" s="22"/>
      <c r="AM2197" s="22"/>
      <c r="AN2197" s="22"/>
      <c r="AO2197" s="22"/>
      <c r="AP2197" s="22"/>
    </row>
    <row r="2198" hidden="1">
      <c r="A2198" s="148">
        <v>46207.0</v>
      </c>
      <c r="B2198" s="149">
        <v>0.375</v>
      </c>
      <c r="C2198" s="11" t="s">
        <v>196</v>
      </c>
      <c r="D2198" s="102" t="s">
        <v>33</v>
      </c>
      <c r="E2198" s="10" t="s">
        <v>34</v>
      </c>
      <c r="F2198" s="10" t="s">
        <v>6383</v>
      </c>
      <c r="G2198" s="11" t="s">
        <v>6410</v>
      </c>
      <c r="H2198" s="11" t="s">
        <v>3767</v>
      </c>
      <c r="I2198" s="10" t="s">
        <v>5438</v>
      </c>
      <c r="J2198" s="14">
        <v>457.0</v>
      </c>
      <c r="K2198" s="14">
        <v>51.0</v>
      </c>
      <c r="L2198" s="17">
        <v>0.1116</v>
      </c>
      <c r="M2198" s="150">
        <v>9.0</v>
      </c>
      <c r="N2198" s="136">
        <v>0.1765</v>
      </c>
      <c r="O2198" s="18">
        <v>0.0</v>
      </c>
      <c r="P2198" s="92">
        <v>0.0</v>
      </c>
      <c r="Q2198" s="137">
        <v>0.0</v>
      </c>
      <c r="R2198" s="17">
        <v>0.0</v>
      </c>
      <c r="S2198" s="18">
        <v>0.0</v>
      </c>
      <c r="T2198" s="18">
        <v>0.0</v>
      </c>
      <c r="U2198" s="151">
        <v>0.0</v>
      </c>
      <c r="V2198" s="92" t="s">
        <v>335</v>
      </c>
      <c r="W2198" s="18" t="s">
        <v>76</v>
      </c>
      <c r="X2198" s="174" t="s">
        <v>4645</v>
      </c>
      <c r="Y2198" s="175" t="s">
        <v>6385</v>
      </c>
      <c r="Z2198" s="18" t="s">
        <v>6411</v>
      </c>
      <c r="AA2198" s="92">
        <v>0.0</v>
      </c>
      <c r="AB2198" s="18">
        <v>0.0</v>
      </c>
      <c r="AC2198" s="18"/>
      <c r="AD2198" s="14">
        <v>0.0</v>
      </c>
      <c r="AE2198" s="14">
        <v>0.0</v>
      </c>
      <c r="AF2198" s="14"/>
      <c r="AG2198" s="22"/>
      <c r="AH2198" s="22"/>
      <c r="AI2198" s="22"/>
      <c r="AJ2198" s="22"/>
      <c r="AK2198" s="22"/>
      <c r="AL2198" s="22"/>
      <c r="AM2198" s="22"/>
      <c r="AN2198" s="22"/>
      <c r="AO2198" s="22"/>
      <c r="AP2198" s="22"/>
    </row>
    <row r="2199" hidden="1">
      <c r="A2199" s="148">
        <v>46207.0</v>
      </c>
      <c r="B2199" s="149">
        <v>0.375</v>
      </c>
      <c r="C2199" s="11" t="s">
        <v>196</v>
      </c>
      <c r="D2199" s="102" t="s">
        <v>33</v>
      </c>
      <c r="E2199" s="10" t="s">
        <v>34</v>
      </c>
      <c r="F2199" s="10" t="s">
        <v>6383</v>
      </c>
      <c r="G2199" s="11" t="s">
        <v>6412</v>
      </c>
      <c r="H2199" s="11" t="s">
        <v>5441</v>
      </c>
      <c r="I2199" s="10" t="s">
        <v>6413</v>
      </c>
      <c r="J2199" s="14">
        <v>60687.0</v>
      </c>
      <c r="K2199" s="14">
        <v>11467.0</v>
      </c>
      <c r="L2199" s="17">
        <v>0.189</v>
      </c>
      <c r="M2199" s="150">
        <v>2322.0</v>
      </c>
      <c r="N2199" s="136">
        <v>0.2025</v>
      </c>
      <c r="O2199" s="18">
        <v>82.0</v>
      </c>
      <c r="P2199" s="92">
        <v>0.0</v>
      </c>
      <c r="Q2199" s="137">
        <v>0.0083</v>
      </c>
      <c r="R2199" s="17">
        <v>0.0</v>
      </c>
      <c r="S2199" s="18">
        <v>0.0</v>
      </c>
      <c r="T2199" s="18">
        <v>0.0</v>
      </c>
      <c r="U2199" s="151">
        <v>0.0</v>
      </c>
      <c r="V2199" s="92" t="s">
        <v>183</v>
      </c>
      <c r="W2199" s="18" t="s">
        <v>76</v>
      </c>
      <c r="X2199" s="174" t="s">
        <v>52</v>
      </c>
      <c r="Y2199" s="175" t="s">
        <v>6385</v>
      </c>
      <c r="Z2199" s="18" t="s">
        <v>6414</v>
      </c>
      <c r="AA2199" s="92">
        <v>19.0</v>
      </c>
      <c r="AB2199" s="18">
        <v>2.0</v>
      </c>
      <c r="AC2199" s="18">
        <v>17.0</v>
      </c>
      <c r="AD2199" s="14">
        <v>184177.0</v>
      </c>
      <c r="AE2199" s="14">
        <v>18498.0</v>
      </c>
      <c r="AF2199" s="14">
        <v>165679.0</v>
      </c>
      <c r="AG2199" s="22"/>
      <c r="AH2199" s="22"/>
      <c r="AI2199" s="22"/>
      <c r="AJ2199" s="22"/>
      <c r="AK2199" s="22"/>
      <c r="AL2199" s="22"/>
      <c r="AM2199" s="22"/>
      <c r="AN2199" s="22"/>
      <c r="AO2199" s="22"/>
      <c r="AP2199" s="22"/>
    </row>
    <row r="2200" hidden="1">
      <c r="A2200" s="148">
        <v>46207.0</v>
      </c>
      <c r="B2200" s="149">
        <v>0.375</v>
      </c>
      <c r="C2200" s="11" t="s">
        <v>196</v>
      </c>
      <c r="D2200" s="102" t="s">
        <v>33</v>
      </c>
      <c r="E2200" s="10" t="s">
        <v>34</v>
      </c>
      <c r="F2200" s="10" t="s">
        <v>6383</v>
      </c>
      <c r="G2200" s="11" t="s">
        <v>6415</v>
      </c>
      <c r="H2200" s="11" t="s">
        <v>6392</v>
      </c>
      <c r="I2200" s="10" t="s">
        <v>5463</v>
      </c>
      <c r="J2200" s="14">
        <v>58745.0</v>
      </c>
      <c r="K2200" s="14">
        <v>9914.0</v>
      </c>
      <c r="L2200" s="17">
        <v>0.1688</v>
      </c>
      <c r="M2200" s="150">
        <v>2087.0</v>
      </c>
      <c r="N2200" s="136">
        <v>0.2107</v>
      </c>
      <c r="O2200" s="18">
        <v>62.0</v>
      </c>
      <c r="P2200" s="92">
        <v>0.0</v>
      </c>
      <c r="Q2200" s="137">
        <v>0.0069</v>
      </c>
      <c r="R2200" s="17">
        <v>0.0</v>
      </c>
      <c r="S2200" s="18">
        <v>0.0</v>
      </c>
      <c r="T2200" s="18">
        <v>1.0</v>
      </c>
      <c r="U2200" s="151">
        <v>0.0</v>
      </c>
      <c r="V2200" s="92" t="s">
        <v>183</v>
      </c>
      <c r="W2200" s="18" t="s">
        <v>76</v>
      </c>
      <c r="X2200" s="174" t="s">
        <v>82</v>
      </c>
      <c r="Y2200" s="175" t="s">
        <v>6385</v>
      </c>
      <c r="Z2200" s="18" t="s">
        <v>6416</v>
      </c>
      <c r="AA2200" s="92">
        <v>29.0</v>
      </c>
      <c r="AB2200" s="18">
        <v>7.0</v>
      </c>
      <c r="AC2200" s="18">
        <v>22.0</v>
      </c>
      <c r="AD2200" s="14">
        <v>237923.0</v>
      </c>
      <c r="AE2200" s="14">
        <v>45415.0</v>
      </c>
      <c r="AF2200" s="14">
        <v>192508.0</v>
      </c>
      <c r="AG2200" s="22"/>
      <c r="AH2200" s="22"/>
      <c r="AI2200" s="22"/>
      <c r="AJ2200" s="22"/>
      <c r="AK2200" s="22"/>
      <c r="AL2200" s="22"/>
      <c r="AM2200" s="22"/>
      <c r="AN2200" s="22"/>
      <c r="AO2200" s="22"/>
      <c r="AP2200" s="22"/>
    </row>
    <row r="2201" hidden="1">
      <c r="A2201" s="148">
        <v>46207.0</v>
      </c>
      <c r="B2201" s="149">
        <v>0.375</v>
      </c>
      <c r="C2201" s="11" t="s">
        <v>196</v>
      </c>
      <c r="D2201" s="102" t="s">
        <v>33</v>
      </c>
      <c r="E2201" s="10" t="s">
        <v>34</v>
      </c>
      <c r="F2201" s="10" t="s">
        <v>6383</v>
      </c>
      <c r="G2201" s="11" t="s">
        <v>6417</v>
      </c>
      <c r="H2201" s="11" t="s">
        <v>6395</v>
      </c>
      <c r="I2201" s="10" t="s">
        <v>6418</v>
      </c>
      <c r="J2201" s="14">
        <v>137894.0</v>
      </c>
      <c r="K2201" s="14">
        <v>27216.0</v>
      </c>
      <c r="L2201" s="17">
        <v>0.1974</v>
      </c>
      <c r="M2201" s="150">
        <v>5463.0</v>
      </c>
      <c r="N2201" s="136">
        <v>0.2008</v>
      </c>
      <c r="O2201" s="18">
        <v>177.0</v>
      </c>
      <c r="P2201" s="92">
        <v>0.0</v>
      </c>
      <c r="Q2201" s="137">
        <v>0.0074</v>
      </c>
      <c r="R2201" s="17">
        <v>0.0</v>
      </c>
      <c r="S2201" s="18">
        <v>1.0</v>
      </c>
      <c r="T2201" s="18">
        <v>1.0</v>
      </c>
      <c r="U2201" s="151">
        <v>5999.0</v>
      </c>
      <c r="V2201" s="92" t="s">
        <v>183</v>
      </c>
      <c r="W2201" s="18" t="s">
        <v>76</v>
      </c>
      <c r="X2201" s="174" t="s">
        <v>87</v>
      </c>
      <c r="Y2201" s="175" t="s">
        <v>6385</v>
      </c>
      <c r="Z2201" s="18" t="s">
        <v>6419</v>
      </c>
      <c r="AA2201" s="92">
        <v>31.0</v>
      </c>
      <c r="AB2201" s="18">
        <v>4.0</v>
      </c>
      <c r="AC2201" s="18">
        <v>27.0</v>
      </c>
      <c r="AD2201" s="14">
        <v>344630.0</v>
      </c>
      <c r="AE2201" s="14">
        <v>52704.0</v>
      </c>
      <c r="AF2201" s="14">
        <v>291926.0</v>
      </c>
      <c r="AG2201" s="22"/>
      <c r="AH2201" s="22"/>
      <c r="AI2201" s="22"/>
      <c r="AJ2201" s="22"/>
      <c r="AK2201" s="22"/>
      <c r="AL2201" s="22"/>
      <c r="AM2201" s="22"/>
      <c r="AN2201" s="22"/>
      <c r="AO2201" s="22"/>
      <c r="AP2201" s="22"/>
    </row>
    <row r="2202" hidden="1">
      <c r="A2202" s="148">
        <v>46207.0</v>
      </c>
      <c r="B2202" s="149">
        <v>0.375</v>
      </c>
      <c r="C2202" s="11" t="s">
        <v>196</v>
      </c>
      <c r="D2202" s="11" t="s">
        <v>33</v>
      </c>
      <c r="E2202" s="10" t="s">
        <v>34</v>
      </c>
      <c r="F2202" s="10" t="s">
        <v>6383</v>
      </c>
      <c r="G2202" s="11" t="s">
        <v>6420</v>
      </c>
      <c r="H2202" s="11" t="s">
        <v>6398</v>
      </c>
      <c r="I2202" s="10" t="s">
        <v>6421</v>
      </c>
      <c r="J2202" s="14">
        <v>90094.0</v>
      </c>
      <c r="K2202" s="14">
        <v>15778.0</v>
      </c>
      <c r="L2202" s="17">
        <v>0.1751</v>
      </c>
      <c r="M2202" s="150">
        <v>3279.0</v>
      </c>
      <c r="N2202" s="136">
        <v>0.2078</v>
      </c>
      <c r="O2202" s="18">
        <v>64.0</v>
      </c>
      <c r="P2202" s="92">
        <v>0.0</v>
      </c>
      <c r="Q2202" s="137">
        <v>0.0046</v>
      </c>
      <c r="R2202" s="17">
        <v>0.0</v>
      </c>
      <c r="S2202" s="18">
        <v>0.0</v>
      </c>
      <c r="T2202" s="18">
        <v>0.0</v>
      </c>
      <c r="U2202" s="151">
        <v>0.0</v>
      </c>
      <c r="V2202" s="92" t="s">
        <v>183</v>
      </c>
      <c r="W2202" s="18" t="s">
        <v>76</v>
      </c>
      <c r="X2202" s="174" t="s">
        <v>87</v>
      </c>
      <c r="Y2202" s="175" t="s">
        <v>6385</v>
      </c>
      <c r="Z2202" s="18" t="s">
        <v>6422</v>
      </c>
      <c r="AA2202" s="92">
        <v>7.0</v>
      </c>
      <c r="AB2202" s="18">
        <v>0.0</v>
      </c>
      <c r="AC2202" s="18">
        <v>7.0</v>
      </c>
      <c r="AD2202" s="14">
        <v>60809.0</v>
      </c>
      <c r="AE2202" s="14">
        <v>0.0</v>
      </c>
      <c r="AF2202" s="14">
        <v>60809.0</v>
      </c>
      <c r="AG2202" s="22"/>
      <c r="AH2202" s="22"/>
      <c r="AI2202" s="22"/>
      <c r="AJ2202" s="22"/>
      <c r="AK2202" s="22"/>
      <c r="AL2202" s="22"/>
      <c r="AM2202" s="22"/>
      <c r="AN2202" s="22"/>
      <c r="AO2202" s="22"/>
      <c r="AP2202" s="22"/>
    </row>
    <row r="2203">
      <c r="A2203" s="148">
        <v>46213.0</v>
      </c>
      <c r="B2203" s="149">
        <v>0.4375</v>
      </c>
      <c r="C2203" s="11" t="s">
        <v>32</v>
      </c>
      <c r="D2203" s="11" t="s">
        <v>3083</v>
      </c>
      <c r="E2203" s="10" t="s">
        <v>179</v>
      </c>
      <c r="F2203" s="10" t="s">
        <v>6423</v>
      </c>
      <c r="G2203" s="11" t="s">
        <v>6424</v>
      </c>
      <c r="H2203" s="11" t="s">
        <v>3011</v>
      </c>
      <c r="I2203" s="10" t="s">
        <v>2956</v>
      </c>
      <c r="J2203" s="14">
        <v>59749.0</v>
      </c>
      <c r="K2203" s="14">
        <v>35279.0</v>
      </c>
      <c r="L2203" s="17">
        <v>0.5904</v>
      </c>
      <c r="M2203" s="150">
        <v>8160.0</v>
      </c>
      <c r="N2203" s="136">
        <v>0.2312</v>
      </c>
      <c r="O2203" s="18">
        <v>0.0</v>
      </c>
      <c r="P2203" s="92">
        <v>0.0</v>
      </c>
      <c r="Q2203" s="137">
        <v>0.0</v>
      </c>
      <c r="R2203" s="17">
        <v>0.0</v>
      </c>
      <c r="S2203" s="18">
        <v>9.0</v>
      </c>
      <c r="T2203" s="18">
        <v>31.0</v>
      </c>
      <c r="U2203" s="151">
        <v>100273.0</v>
      </c>
      <c r="V2203" s="92" t="s">
        <v>315</v>
      </c>
      <c r="W2203" s="18" t="s">
        <v>76</v>
      </c>
      <c r="X2203" s="174" t="s">
        <v>6425</v>
      </c>
      <c r="Y2203" s="95" t="s">
        <v>6426</v>
      </c>
      <c r="Z2203" s="18" t="s">
        <v>6427</v>
      </c>
      <c r="AA2203" s="92">
        <v>112.0</v>
      </c>
      <c r="AB2203" s="92"/>
      <c r="AC2203" s="92">
        <v>112.0</v>
      </c>
      <c r="AD2203" s="92">
        <v>718132.0</v>
      </c>
      <c r="AE2203" s="92"/>
      <c r="AF2203" s="92">
        <v>718132.0</v>
      </c>
      <c r="AG2203" s="22"/>
      <c r="AH2203" s="22"/>
      <c r="AI2203" s="22"/>
      <c r="AJ2203" s="22"/>
      <c r="AK2203" s="22"/>
      <c r="AL2203" s="22"/>
      <c r="AM2203" s="22"/>
      <c r="AN2203" s="22"/>
      <c r="AO2203" s="22"/>
      <c r="AP2203" s="22"/>
    </row>
    <row r="2204">
      <c r="A2204" s="148">
        <v>46213.0</v>
      </c>
      <c r="B2204" s="149">
        <v>0.4375</v>
      </c>
      <c r="C2204" s="11" t="s">
        <v>32</v>
      </c>
      <c r="D2204" s="11" t="s">
        <v>3083</v>
      </c>
      <c r="E2204" s="10" t="s">
        <v>179</v>
      </c>
      <c r="F2204" s="10" t="s">
        <v>6423</v>
      </c>
      <c r="G2204" s="11" t="s">
        <v>6428</v>
      </c>
      <c r="H2204" s="11" t="s">
        <v>6429</v>
      </c>
      <c r="I2204" s="10" t="s">
        <v>2956</v>
      </c>
      <c r="J2204" s="14">
        <v>75772.0</v>
      </c>
      <c r="K2204" s="14">
        <v>43755.0</v>
      </c>
      <c r="L2204" s="17">
        <v>0.5774</v>
      </c>
      <c r="M2204" s="150">
        <v>9381.0</v>
      </c>
      <c r="N2204" s="136">
        <v>0.2143</v>
      </c>
      <c r="O2204" s="18">
        <v>0.0</v>
      </c>
      <c r="P2204" s="92">
        <v>0.0</v>
      </c>
      <c r="Q2204" s="137">
        <v>0.0</v>
      </c>
      <c r="R2204" s="17">
        <v>0.0</v>
      </c>
      <c r="S2204" s="18">
        <v>12.0</v>
      </c>
      <c r="T2204" s="18">
        <v>37.0</v>
      </c>
      <c r="U2204" s="151">
        <v>90540.0</v>
      </c>
      <c r="V2204" s="92" t="s">
        <v>315</v>
      </c>
      <c r="W2204" s="18" t="s">
        <v>76</v>
      </c>
      <c r="X2204" s="174" t="s">
        <v>6425</v>
      </c>
      <c r="Y2204" s="95" t="s">
        <v>6426</v>
      </c>
      <c r="Z2204" s="18" t="s">
        <v>6430</v>
      </c>
      <c r="AA2204" s="92">
        <v>138.0</v>
      </c>
      <c r="AB2204" s="92"/>
      <c r="AC2204" s="92">
        <v>138.0</v>
      </c>
      <c r="AD2204" s="92">
        <v>1055184.0</v>
      </c>
      <c r="AE2204" s="92"/>
      <c r="AF2204" s="92">
        <v>1055184.0</v>
      </c>
      <c r="AG2204" s="22"/>
      <c r="AH2204" s="22"/>
      <c r="AI2204" s="22"/>
      <c r="AJ2204" s="22"/>
      <c r="AK2204" s="22"/>
      <c r="AL2204" s="22"/>
      <c r="AM2204" s="22"/>
      <c r="AN2204" s="22"/>
      <c r="AO2204" s="22"/>
      <c r="AP2204" s="22"/>
    </row>
    <row r="2205">
      <c r="A2205" s="148">
        <v>46213.0</v>
      </c>
      <c r="B2205" s="149">
        <v>0.4375</v>
      </c>
      <c r="C2205" s="11" t="s">
        <v>32</v>
      </c>
      <c r="D2205" s="11" t="s">
        <v>3083</v>
      </c>
      <c r="E2205" s="10" t="s">
        <v>179</v>
      </c>
      <c r="F2205" s="10" t="s">
        <v>6423</v>
      </c>
      <c r="G2205" s="11" t="s">
        <v>6431</v>
      </c>
      <c r="H2205" s="11" t="s">
        <v>6432</v>
      </c>
      <c r="I2205" s="10" t="s">
        <v>2956</v>
      </c>
      <c r="J2205" s="14">
        <v>41072.0</v>
      </c>
      <c r="K2205" s="14">
        <v>24442.0</v>
      </c>
      <c r="L2205" s="17">
        <v>0.5951</v>
      </c>
      <c r="M2205" s="150">
        <v>5569.0</v>
      </c>
      <c r="N2205" s="136">
        <v>0.2278</v>
      </c>
      <c r="O2205" s="18">
        <v>0.0</v>
      </c>
      <c r="P2205" s="92">
        <v>0.0</v>
      </c>
      <c r="Q2205" s="137">
        <v>0.0</v>
      </c>
      <c r="R2205" s="17">
        <v>0.0</v>
      </c>
      <c r="S2205" s="18">
        <v>8.0</v>
      </c>
      <c r="T2205" s="18">
        <v>16.0</v>
      </c>
      <c r="U2205" s="151">
        <v>53993.0</v>
      </c>
      <c r="V2205" s="92" t="s">
        <v>315</v>
      </c>
      <c r="W2205" s="18" t="s">
        <v>76</v>
      </c>
      <c r="X2205" s="174" t="s">
        <v>6425</v>
      </c>
      <c r="Y2205" s="95" t="s">
        <v>6426</v>
      </c>
      <c r="Z2205" s="18" t="s">
        <v>6433</v>
      </c>
      <c r="AA2205" s="92">
        <v>68.0</v>
      </c>
      <c r="AB2205" s="92"/>
      <c r="AC2205" s="92">
        <v>68.0</v>
      </c>
      <c r="AD2205" s="92">
        <v>369013.0</v>
      </c>
      <c r="AE2205" s="92"/>
      <c r="AF2205" s="92">
        <v>369013.0</v>
      </c>
      <c r="AG2205" s="22"/>
      <c r="AH2205" s="22"/>
      <c r="AI2205" s="22"/>
      <c r="AJ2205" s="22"/>
      <c r="AK2205" s="22"/>
      <c r="AL2205" s="22"/>
      <c r="AM2205" s="22"/>
      <c r="AN2205" s="22"/>
      <c r="AO2205" s="22"/>
      <c r="AP2205" s="22"/>
    </row>
    <row r="2206">
      <c r="A2206" s="148">
        <v>46213.0</v>
      </c>
      <c r="B2206" s="149">
        <v>0.4375</v>
      </c>
      <c r="C2206" s="11" t="s">
        <v>32</v>
      </c>
      <c r="D2206" s="11" t="s">
        <v>3083</v>
      </c>
      <c r="E2206" s="10" t="s">
        <v>179</v>
      </c>
      <c r="F2206" s="10" t="s">
        <v>6423</v>
      </c>
      <c r="G2206" s="11" t="s">
        <v>6434</v>
      </c>
      <c r="H2206" s="11" t="s">
        <v>6435</v>
      </c>
      <c r="I2206" s="10" t="s">
        <v>2956</v>
      </c>
      <c r="J2206" s="14">
        <v>19249.0</v>
      </c>
      <c r="K2206" s="14">
        <v>12225.0</v>
      </c>
      <c r="L2206" s="17">
        <v>0.6351</v>
      </c>
      <c r="M2206" s="150">
        <v>3201.0</v>
      </c>
      <c r="N2206" s="136">
        <v>0.2618</v>
      </c>
      <c r="O2206" s="18">
        <v>0.0</v>
      </c>
      <c r="P2206" s="92">
        <v>0.0</v>
      </c>
      <c r="Q2206" s="137">
        <v>0.0</v>
      </c>
      <c r="R2206" s="17">
        <v>0.0</v>
      </c>
      <c r="S2206" s="18">
        <v>3.0</v>
      </c>
      <c r="T2206" s="18">
        <v>8.0</v>
      </c>
      <c r="U2206" s="151">
        <v>21581.0</v>
      </c>
      <c r="V2206" s="92" t="s">
        <v>315</v>
      </c>
      <c r="W2206" s="18" t="s">
        <v>76</v>
      </c>
      <c r="X2206" s="174" t="s">
        <v>6425</v>
      </c>
      <c r="Y2206" s="95" t="s">
        <v>6426</v>
      </c>
      <c r="Z2206" s="18" t="s">
        <v>6436</v>
      </c>
      <c r="AA2206" s="92">
        <v>47.0</v>
      </c>
      <c r="AB2206" s="92"/>
      <c r="AC2206" s="92">
        <v>47.0</v>
      </c>
      <c r="AD2206" s="92">
        <v>355520.0</v>
      </c>
      <c r="AE2206" s="92"/>
      <c r="AF2206" s="92">
        <v>355520.0</v>
      </c>
      <c r="AG2206" s="22"/>
      <c r="AH2206" s="22"/>
      <c r="AI2206" s="22"/>
      <c r="AJ2206" s="22"/>
      <c r="AK2206" s="22"/>
      <c r="AL2206" s="22"/>
      <c r="AM2206" s="22"/>
      <c r="AN2206" s="22"/>
      <c r="AO2206" s="22"/>
      <c r="AP2206" s="22"/>
    </row>
    <row r="2207" hidden="1">
      <c r="A2207" s="148">
        <v>46213.0</v>
      </c>
      <c r="B2207" s="149">
        <v>0.75</v>
      </c>
      <c r="C2207" s="11" t="s">
        <v>32</v>
      </c>
      <c r="D2207" s="11" t="s">
        <v>3083</v>
      </c>
      <c r="E2207" s="10" t="s">
        <v>217</v>
      </c>
      <c r="F2207" s="10" t="s">
        <v>6437</v>
      </c>
      <c r="G2207" s="11" t="s">
        <v>6438</v>
      </c>
      <c r="H2207" s="11" t="s">
        <v>6439</v>
      </c>
      <c r="I2207" s="10" t="s">
        <v>2956</v>
      </c>
      <c r="J2207" s="14">
        <v>83552.0</v>
      </c>
      <c r="K2207" s="14">
        <v>47627.0</v>
      </c>
      <c r="L2207" s="17">
        <v>0.57</v>
      </c>
      <c r="M2207" s="150">
        <v>21928.0</v>
      </c>
      <c r="N2207" s="136">
        <v>0.4597</v>
      </c>
      <c r="O2207" s="18">
        <v>995.0</v>
      </c>
      <c r="P2207" s="92">
        <v>953.0</v>
      </c>
      <c r="Q2207" s="137">
        <v>0.02</v>
      </c>
      <c r="R2207" s="17">
        <v>0.0435</v>
      </c>
      <c r="S2207" s="18">
        <v>0.0</v>
      </c>
      <c r="T2207" s="18">
        <v>0.0</v>
      </c>
      <c r="U2207" s="151">
        <v>0.0</v>
      </c>
      <c r="V2207" s="92" t="s">
        <v>315</v>
      </c>
      <c r="W2207" s="18" t="s">
        <v>76</v>
      </c>
      <c r="X2207" s="174" t="s">
        <v>111</v>
      </c>
      <c r="Y2207" s="187" t="s">
        <v>6440</v>
      </c>
      <c r="Z2207" s="18" t="s">
        <v>6441</v>
      </c>
      <c r="AA2207" s="92">
        <v>474.0</v>
      </c>
      <c r="AB2207" s="92"/>
      <c r="AC2207" s="92">
        <v>474.0</v>
      </c>
      <c r="AD2207" s="92">
        <v>837578.0</v>
      </c>
      <c r="AE2207" s="92"/>
      <c r="AF2207" s="92">
        <v>837578.0</v>
      </c>
      <c r="AG2207" s="22"/>
      <c r="AH2207" s="22"/>
      <c r="AI2207" s="22"/>
      <c r="AJ2207" s="22"/>
      <c r="AK2207" s="22"/>
      <c r="AL2207" s="22"/>
      <c r="AM2207" s="22"/>
      <c r="AN2207" s="22"/>
      <c r="AO2207" s="22"/>
      <c r="AP2207" s="22"/>
    </row>
    <row r="2208" hidden="1">
      <c r="A2208" s="148">
        <v>46213.0</v>
      </c>
      <c r="B2208" s="149">
        <v>0.75</v>
      </c>
      <c r="C2208" s="11" t="s">
        <v>32</v>
      </c>
      <c r="D2208" s="11" t="s">
        <v>3083</v>
      </c>
      <c r="E2208" s="10" t="s">
        <v>217</v>
      </c>
      <c r="F2208" s="10" t="s">
        <v>6437</v>
      </c>
      <c r="G2208" s="11" t="s">
        <v>6442</v>
      </c>
      <c r="H2208" s="11" t="s">
        <v>6443</v>
      </c>
      <c r="I2208" s="10" t="s">
        <v>2956</v>
      </c>
      <c r="J2208" s="14">
        <v>63874.0</v>
      </c>
      <c r="K2208" s="14">
        <v>37313.0</v>
      </c>
      <c r="L2208" s="17">
        <v>0.584</v>
      </c>
      <c r="M2208" s="150">
        <v>17381.0</v>
      </c>
      <c r="N2208" s="136">
        <v>0.4653</v>
      </c>
      <c r="O2208" s="18">
        <v>815.0</v>
      </c>
      <c r="P2208" s="92">
        <v>787.0</v>
      </c>
      <c r="Q2208" s="137">
        <v>0.0211</v>
      </c>
      <c r="R2208" s="17">
        <v>0.0453</v>
      </c>
      <c r="S2208" s="18">
        <v>0.0</v>
      </c>
      <c r="T2208" s="18">
        <v>0.0</v>
      </c>
      <c r="U2208" s="151">
        <v>0.0</v>
      </c>
      <c r="V2208" s="92" t="s">
        <v>315</v>
      </c>
      <c r="W2208" s="18" t="s">
        <v>76</v>
      </c>
      <c r="X2208" s="174" t="s">
        <v>111</v>
      </c>
      <c r="Y2208" s="187" t="s">
        <v>6440</v>
      </c>
      <c r="Z2208" s="18" t="s">
        <v>6444</v>
      </c>
      <c r="AA2208" s="92">
        <v>314.0</v>
      </c>
      <c r="AB2208" s="92"/>
      <c r="AC2208" s="92">
        <v>314.0</v>
      </c>
      <c r="AD2208" s="92">
        <v>546610.0</v>
      </c>
      <c r="AE2208" s="92"/>
      <c r="AF2208" s="92">
        <v>546610.0</v>
      </c>
      <c r="AG2208" s="22"/>
      <c r="AH2208" s="22"/>
      <c r="AI2208" s="22"/>
      <c r="AJ2208" s="22"/>
      <c r="AK2208" s="22"/>
      <c r="AL2208" s="22"/>
      <c r="AM2208" s="22"/>
      <c r="AN2208" s="22"/>
      <c r="AO2208" s="22"/>
      <c r="AP2208" s="22"/>
    </row>
    <row r="2209" hidden="1">
      <c r="A2209" s="148">
        <v>46213.0</v>
      </c>
      <c r="B2209" s="149">
        <v>0.75</v>
      </c>
      <c r="C2209" s="11" t="s">
        <v>32</v>
      </c>
      <c r="D2209" s="11" t="s">
        <v>3083</v>
      </c>
      <c r="E2209" s="10" t="s">
        <v>217</v>
      </c>
      <c r="F2209" s="10" t="s">
        <v>6437</v>
      </c>
      <c r="G2209" s="11" t="s">
        <v>6445</v>
      </c>
      <c r="H2209" s="11" t="s">
        <v>6446</v>
      </c>
      <c r="I2209" s="10" t="s">
        <v>2956</v>
      </c>
      <c r="J2209" s="14">
        <v>63369.0</v>
      </c>
      <c r="K2209" s="14">
        <v>38274.0</v>
      </c>
      <c r="L2209" s="17">
        <v>0.6038</v>
      </c>
      <c r="M2209" s="150">
        <v>19249.0</v>
      </c>
      <c r="N2209" s="136">
        <v>0.5022</v>
      </c>
      <c r="O2209" s="18">
        <v>1157.0</v>
      </c>
      <c r="P2209" s="92">
        <v>1108.0</v>
      </c>
      <c r="Q2209" s="137">
        <v>0.029</v>
      </c>
      <c r="R2209" s="17">
        <v>0.0577</v>
      </c>
      <c r="S2209" s="18">
        <v>0.0</v>
      </c>
      <c r="T2209" s="18">
        <v>0.0</v>
      </c>
      <c r="U2209" s="151">
        <v>0.0</v>
      </c>
      <c r="V2209" s="92" t="s">
        <v>315</v>
      </c>
      <c r="W2209" s="18" t="s">
        <v>76</v>
      </c>
      <c r="X2209" s="174" t="s">
        <v>111</v>
      </c>
      <c r="Y2209" s="187" t="s">
        <v>6440</v>
      </c>
      <c r="Z2209" s="18" t="s">
        <v>6447</v>
      </c>
      <c r="AA2209" s="92">
        <v>305.0</v>
      </c>
      <c r="AB2209" s="92">
        <v>305.0</v>
      </c>
      <c r="AC2209" s="92">
        <v>305.0</v>
      </c>
      <c r="AD2209" s="92">
        <v>480557.0</v>
      </c>
      <c r="AE2209" s="92"/>
      <c r="AF2209" s="92">
        <v>480557.0</v>
      </c>
      <c r="AG2209" s="22"/>
      <c r="AH2209" s="22"/>
      <c r="AI2209" s="22"/>
      <c r="AJ2209" s="22"/>
      <c r="AK2209" s="22"/>
      <c r="AL2209" s="22"/>
      <c r="AM2209" s="22"/>
      <c r="AN2209" s="22"/>
      <c r="AO2209" s="22"/>
      <c r="AP2209" s="22"/>
    </row>
    <row r="2210" hidden="1">
      <c r="A2210" s="148">
        <v>46213.0</v>
      </c>
      <c r="B2210" s="149">
        <v>0.75</v>
      </c>
      <c r="C2210" s="11" t="s">
        <v>32</v>
      </c>
      <c r="D2210" s="11" t="s">
        <v>3083</v>
      </c>
      <c r="E2210" s="10" t="s">
        <v>217</v>
      </c>
      <c r="F2210" s="10" t="s">
        <v>6437</v>
      </c>
      <c r="G2210" s="11" t="s">
        <v>6448</v>
      </c>
      <c r="H2210" s="11" t="s">
        <v>6449</v>
      </c>
      <c r="I2210" s="10" t="s">
        <v>2956</v>
      </c>
      <c r="J2210" s="14">
        <v>52857.0</v>
      </c>
      <c r="K2210" s="14">
        <v>33092.0</v>
      </c>
      <c r="L2210" s="17">
        <v>0.6258</v>
      </c>
      <c r="M2210" s="150">
        <v>17946.0</v>
      </c>
      <c r="N2210" s="136">
        <v>0.5419</v>
      </c>
      <c r="O2210" s="18">
        <v>1624.0</v>
      </c>
      <c r="P2210" s="92">
        <v>1537.0</v>
      </c>
      <c r="Q2210" s="137">
        <v>0.0465</v>
      </c>
      <c r="R2210" s="17">
        <v>0.0857</v>
      </c>
      <c r="S2210" s="18">
        <v>0.0</v>
      </c>
      <c r="T2210" s="18">
        <v>0.0</v>
      </c>
      <c r="U2210" s="151">
        <v>0.0</v>
      </c>
      <c r="V2210" s="92" t="s">
        <v>315</v>
      </c>
      <c r="W2210" s="18" t="s">
        <v>76</v>
      </c>
      <c r="X2210" s="174" t="s">
        <v>111</v>
      </c>
      <c r="Y2210" s="187" t="s">
        <v>6440</v>
      </c>
      <c r="Z2210" s="18" t="s">
        <v>6450</v>
      </c>
      <c r="AA2210" s="92">
        <v>331.0</v>
      </c>
      <c r="AB2210" s="92"/>
      <c r="AC2210" s="92">
        <v>331.0</v>
      </c>
      <c r="AD2210" s="92">
        <v>477217.0</v>
      </c>
      <c r="AE2210" s="92"/>
      <c r="AF2210" s="92">
        <v>477217.0</v>
      </c>
      <c r="AG2210" s="22"/>
      <c r="AH2210" s="22"/>
      <c r="AI2210" s="22"/>
      <c r="AJ2210" s="22"/>
      <c r="AK2210" s="22"/>
      <c r="AL2210" s="22"/>
      <c r="AM2210" s="22"/>
      <c r="AN2210" s="22"/>
      <c r="AO2210" s="22"/>
      <c r="AP2210" s="22"/>
    </row>
    <row r="2211" hidden="1">
      <c r="A2211" s="148">
        <v>46214.0</v>
      </c>
      <c r="B2211" s="149">
        <v>0.7916666666666666</v>
      </c>
      <c r="C2211" s="11" t="s">
        <v>32</v>
      </c>
      <c r="D2211" s="11" t="s">
        <v>33</v>
      </c>
      <c r="E2211" s="10" t="s">
        <v>106</v>
      </c>
      <c r="F2211" s="10" t="s">
        <v>6451</v>
      </c>
      <c r="G2211" s="11" t="s">
        <v>6452</v>
      </c>
      <c r="H2211" s="11" t="s">
        <v>6280</v>
      </c>
      <c r="I2211" s="10" t="s">
        <v>5795</v>
      </c>
      <c r="J2211" s="14">
        <v>99853.0</v>
      </c>
      <c r="K2211" s="14">
        <v>35861.0</v>
      </c>
      <c r="L2211" s="17">
        <v>0.359</v>
      </c>
      <c r="M2211" s="150">
        <v>10570.0</v>
      </c>
      <c r="N2211" s="136">
        <v>0.2948</v>
      </c>
      <c r="O2211" s="18">
        <v>2024.0</v>
      </c>
      <c r="P2211" s="92">
        <v>1838.0</v>
      </c>
      <c r="Q2211" s="137">
        <v>0.0513</v>
      </c>
      <c r="R2211" s="17">
        <v>0.1739</v>
      </c>
      <c r="S2211" s="18">
        <v>4.0</v>
      </c>
      <c r="T2211" s="18">
        <v>0.0</v>
      </c>
      <c r="U2211" s="151">
        <v>35797.0</v>
      </c>
      <c r="V2211" s="92" t="s">
        <v>335</v>
      </c>
      <c r="W2211" s="18" t="s">
        <v>76</v>
      </c>
      <c r="X2211" s="174" t="s">
        <v>5796</v>
      </c>
      <c r="Y2211" s="95" t="s">
        <v>6453</v>
      </c>
      <c r="Z2211" s="18" t="s">
        <v>6454</v>
      </c>
      <c r="AA2211" s="92">
        <v>38.0</v>
      </c>
      <c r="AB2211" s="92">
        <v>38.0</v>
      </c>
      <c r="AC2211" s="92"/>
      <c r="AD2211" s="92">
        <v>332129.0</v>
      </c>
      <c r="AE2211" s="92">
        <v>332129.0</v>
      </c>
      <c r="AF2211" s="92"/>
      <c r="AG2211" s="22"/>
      <c r="AH2211" s="22"/>
      <c r="AI2211" s="22"/>
      <c r="AJ2211" s="22"/>
      <c r="AK2211" s="22"/>
      <c r="AL2211" s="22"/>
      <c r="AM2211" s="22"/>
      <c r="AN2211" s="22"/>
      <c r="AO2211" s="22"/>
      <c r="AP2211" s="22"/>
    </row>
    <row r="2212" hidden="1">
      <c r="A2212" s="148">
        <v>46214.0</v>
      </c>
      <c r="B2212" s="149">
        <v>0.7916666666666666</v>
      </c>
      <c r="C2212" s="11" t="s">
        <v>32</v>
      </c>
      <c r="D2212" s="11" t="s">
        <v>33</v>
      </c>
      <c r="E2212" s="10" t="s">
        <v>106</v>
      </c>
      <c r="F2212" s="10" t="s">
        <v>6451</v>
      </c>
      <c r="G2212" s="11" t="s">
        <v>6455</v>
      </c>
      <c r="H2212" s="11" t="s">
        <v>6296</v>
      </c>
      <c r="I2212" s="10" t="s">
        <v>6297</v>
      </c>
      <c r="J2212" s="14">
        <v>51768.0</v>
      </c>
      <c r="K2212" s="14">
        <v>18588.0</v>
      </c>
      <c r="L2212" s="17">
        <v>0.359</v>
      </c>
      <c r="M2212" s="150">
        <v>5470.0</v>
      </c>
      <c r="N2212" s="136">
        <v>0.2943</v>
      </c>
      <c r="O2212" s="18">
        <v>708.0</v>
      </c>
      <c r="P2212" s="92">
        <v>643.0</v>
      </c>
      <c r="Q2212" s="137">
        <v>0.0346</v>
      </c>
      <c r="R2212" s="17">
        <v>0.1176</v>
      </c>
      <c r="S2212" s="18">
        <v>1.0</v>
      </c>
      <c r="T2212" s="18">
        <v>0.0</v>
      </c>
      <c r="U2212" s="151">
        <v>8499.0</v>
      </c>
      <c r="V2212" s="92" t="s">
        <v>183</v>
      </c>
      <c r="W2212" s="18" t="s">
        <v>76</v>
      </c>
      <c r="X2212" s="174" t="s">
        <v>6298</v>
      </c>
      <c r="Y2212" s="95" t="s">
        <v>6453</v>
      </c>
      <c r="Z2212" s="18" t="s">
        <v>6456</v>
      </c>
      <c r="AA2212" s="92">
        <v>18.0</v>
      </c>
      <c r="AB2212" s="92">
        <v>7.0</v>
      </c>
      <c r="AC2212" s="92">
        <v>11.0</v>
      </c>
      <c r="AD2212" s="92">
        <v>174347.0</v>
      </c>
      <c r="AE2212" s="92">
        <v>64458.0</v>
      </c>
      <c r="AF2212" s="92">
        <v>109889.0</v>
      </c>
      <c r="AG2212" s="22"/>
      <c r="AH2212" s="22"/>
      <c r="AI2212" s="22"/>
      <c r="AJ2212" s="22"/>
      <c r="AK2212" s="22"/>
      <c r="AL2212" s="22"/>
      <c r="AM2212" s="22"/>
      <c r="AN2212" s="22"/>
      <c r="AO2212" s="22"/>
      <c r="AP2212" s="22"/>
    </row>
    <row r="2213" hidden="1">
      <c r="A2213" s="148">
        <v>46214.0</v>
      </c>
      <c r="B2213" s="149">
        <v>0.7916666666666666</v>
      </c>
      <c r="C2213" s="11" t="s">
        <v>32</v>
      </c>
      <c r="D2213" s="11" t="s">
        <v>33</v>
      </c>
      <c r="E2213" s="10" t="s">
        <v>106</v>
      </c>
      <c r="F2213" s="10" t="s">
        <v>6451</v>
      </c>
      <c r="G2213" s="11" t="s">
        <v>6457</v>
      </c>
      <c r="H2213" s="11" t="s">
        <v>6286</v>
      </c>
      <c r="I2213" s="10" t="s">
        <v>6287</v>
      </c>
      <c r="J2213" s="14">
        <v>15558.0</v>
      </c>
      <c r="K2213" s="14">
        <v>6283.0</v>
      </c>
      <c r="L2213" s="17">
        <v>0.4038</v>
      </c>
      <c r="M2213" s="150">
        <v>2219.0</v>
      </c>
      <c r="N2213" s="136">
        <v>0.3532</v>
      </c>
      <c r="O2213" s="18">
        <v>500.0</v>
      </c>
      <c r="P2213" s="92">
        <v>451.0</v>
      </c>
      <c r="Q2213" s="137">
        <v>0.0718</v>
      </c>
      <c r="R2213" s="17">
        <v>0.2032</v>
      </c>
      <c r="S2213" s="18">
        <v>4.0</v>
      </c>
      <c r="T2213" s="18">
        <v>0.0</v>
      </c>
      <c r="U2213" s="151">
        <v>36997.0</v>
      </c>
      <c r="V2213" s="92" t="s">
        <v>183</v>
      </c>
      <c r="W2213" s="18" t="s">
        <v>76</v>
      </c>
      <c r="X2213" s="174" t="s">
        <v>6288</v>
      </c>
      <c r="Y2213" s="95" t="s">
        <v>6453</v>
      </c>
      <c r="Z2213" s="18" t="s">
        <v>6458</v>
      </c>
      <c r="AA2213" s="92">
        <v>24.0</v>
      </c>
      <c r="AB2213" s="92">
        <v>5.0</v>
      </c>
      <c r="AC2213" s="92">
        <v>19.0</v>
      </c>
      <c r="AD2213" s="92">
        <v>226589.0</v>
      </c>
      <c r="AE2213" s="92">
        <v>43804.0</v>
      </c>
      <c r="AF2213" s="92">
        <v>182785.0</v>
      </c>
      <c r="AG2213" s="22"/>
      <c r="AH2213" s="22"/>
      <c r="AI2213" s="22"/>
      <c r="AJ2213" s="22"/>
      <c r="AK2213" s="22"/>
      <c r="AL2213" s="22"/>
      <c r="AM2213" s="22"/>
      <c r="AN2213" s="22"/>
      <c r="AO2213" s="22"/>
      <c r="AP2213" s="22"/>
    </row>
    <row r="2214" hidden="1">
      <c r="A2214" s="148">
        <v>46214.0</v>
      </c>
      <c r="B2214" s="149">
        <v>0.7916666666666666</v>
      </c>
      <c r="C2214" s="11" t="s">
        <v>32</v>
      </c>
      <c r="D2214" s="11" t="s">
        <v>33</v>
      </c>
      <c r="E2214" s="10" t="s">
        <v>106</v>
      </c>
      <c r="F2214" s="10" t="s">
        <v>6451</v>
      </c>
      <c r="G2214" s="11" t="s">
        <v>6459</v>
      </c>
      <c r="H2214" s="11" t="s">
        <v>6460</v>
      </c>
      <c r="I2214" s="10" t="s">
        <v>6461</v>
      </c>
      <c r="J2214" s="14">
        <v>31711.0</v>
      </c>
      <c r="K2214" s="14">
        <v>12222.0</v>
      </c>
      <c r="L2214" s="17">
        <v>0.3854</v>
      </c>
      <c r="M2214" s="150">
        <v>3787.0</v>
      </c>
      <c r="N2214" s="136">
        <v>0.3099</v>
      </c>
      <c r="O2214" s="18">
        <v>616.0</v>
      </c>
      <c r="P2214" s="92">
        <v>573.0</v>
      </c>
      <c r="Q2214" s="137">
        <v>0.0469</v>
      </c>
      <c r="R2214" s="17">
        <v>0.1513</v>
      </c>
      <c r="S2214" s="18">
        <v>1.0</v>
      </c>
      <c r="T2214" s="18">
        <v>0.0</v>
      </c>
      <c r="U2214" s="151">
        <v>12999.0</v>
      </c>
      <c r="V2214" s="92" t="s">
        <v>183</v>
      </c>
      <c r="W2214" s="18" t="s">
        <v>76</v>
      </c>
      <c r="X2214" s="174" t="s">
        <v>6462</v>
      </c>
      <c r="Y2214" s="95" t="s">
        <v>6453</v>
      </c>
      <c r="Z2214" s="18" t="s">
        <v>6463</v>
      </c>
      <c r="AA2214" s="92">
        <v>27.0</v>
      </c>
      <c r="AB2214" s="92">
        <v>8.0</v>
      </c>
      <c r="AC2214" s="92">
        <v>19.0</v>
      </c>
      <c r="AD2214" s="92">
        <v>359387.0</v>
      </c>
      <c r="AE2214" s="92">
        <v>119404.0</v>
      </c>
      <c r="AF2214" s="92">
        <v>239983.0</v>
      </c>
      <c r="AG2214" s="22"/>
      <c r="AH2214" s="22"/>
      <c r="AI2214" s="22"/>
      <c r="AJ2214" s="22"/>
      <c r="AK2214" s="22"/>
      <c r="AL2214" s="22"/>
      <c r="AM2214" s="22"/>
      <c r="AN2214" s="22"/>
      <c r="AO2214" s="22"/>
      <c r="AP2214" s="22"/>
    </row>
    <row r="2215" hidden="1">
      <c r="A2215" s="148">
        <v>46214.0</v>
      </c>
      <c r="B2215" s="149">
        <v>0.7916666666666666</v>
      </c>
      <c r="C2215" s="11" t="s">
        <v>32</v>
      </c>
      <c r="D2215" s="11" t="s">
        <v>33</v>
      </c>
      <c r="E2215" s="10" t="s">
        <v>106</v>
      </c>
      <c r="F2215" s="10" t="s">
        <v>6451</v>
      </c>
      <c r="G2215" s="11" t="s">
        <v>6464</v>
      </c>
      <c r="H2215" s="11" t="s">
        <v>6465</v>
      </c>
      <c r="I2215" s="10" t="s">
        <v>6466</v>
      </c>
      <c r="J2215" s="14">
        <v>81868.0</v>
      </c>
      <c r="K2215" s="14">
        <v>27514.0</v>
      </c>
      <c r="L2215" s="17">
        <v>0.336</v>
      </c>
      <c r="M2215" s="150">
        <v>8552.0</v>
      </c>
      <c r="N2215" s="136">
        <v>0.3109</v>
      </c>
      <c r="O2215" s="18">
        <v>1604.0</v>
      </c>
      <c r="P2215" s="92">
        <v>1429.0</v>
      </c>
      <c r="Q2215" s="137">
        <v>0.052</v>
      </c>
      <c r="R2215" s="17">
        <v>0.1671</v>
      </c>
      <c r="S2215" s="18">
        <v>4.0</v>
      </c>
      <c r="T2215" s="18">
        <v>0.0</v>
      </c>
      <c r="U2215" s="151">
        <v>48397.0</v>
      </c>
      <c r="V2215" s="92" t="s">
        <v>183</v>
      </c>
      <c r="W2215" s="18" t="s">
        <v>76</v>
      </c>
      <c r="X2215" s="73" t="s">
        <v>1101</v>
      </c>
      <c r="Y2215" s="95" t="s">
        <v>6453</v>
      </c>
      <c r="Z2215" s="18" t="s">
        <v>6467</v>
      </c>
      <c r="AA2215" s="92">
        <v>65.0</v>
      </c>
      <c r="AB2215" s="92">
        <v>17.0</v>
      </c>
      <c r="AC2215" s="92">
        <v>48.0</v>
      </c>
      <c r="AD2215" s="92">
        <v>714853.0</v>
      </c>
      <c r="AE2215" s="92">
        <v>138691.0</v>
      </c>
      <c r="AF2215" s="92">
        <v>576162.0</v>
      </c>
      <c r="AG2215" s="22"/>
      <c r="AH2215" s="22"/>
      <c r="AI2215" s="22"/>
      <c r="AJ2215" s="22"/>
      <c r="AK2215" s="22"/>
      <c r="AL2215" s="22"/>
      <c r="AM2215" s="22"/>
      <c r="AN2215" s="22"/>
      <c r="AO2215" s="22"/>
      <c r="AP2215" s="22"/>
    </row>
    <row r="2216" hidden="1">
      <c r="A2216" s="148">
        <v>46213.0</v>
      </c>
      <c r="B2216" s="149">
        <v>0.4583333333333333</v>
      </c>
      <c r="C2216" s="11" t="s">
        <v>32</v>
      </c>
      <c r="D2216" s="11" t="s">
        <v>33</v>
      </c>
      <c r="E2216" s="10" t="s">
        <v>71</v>
      </c>
      <c r="F2216" s="10" t="s">
        <v>6468</v>
      </c>
      <c r="G2216" s="11" t="s">
        <v>6469</v>
      </c>
      <c r="H2216" s="11" t="s">
        <v>5593</v>
      </c>
      <c r="I2216" s="10" t="s">
        <v>5594</v>
      </c>
      <c r="J2216" s="14">
        <v>34235.0</v>
      </c>
      <c r="K2216" s="14">
        <v>17743.0</v>
      </c>
      <c r="L2216" s="17">
        <v>0.5182</v>
      </c>
      <c r="M2216" s="150">
        <v>7855.0</v>
      </c>
      <c r="N2216" s="136">
        <v>0.4426</v>
      </c>
      <c r="O2216" s="18">
        <v>1692.0</v>
      </c>
      <c r="P2216" s="92">
        <v>1542.0</v>
      </c>
      <c r="Q2216" s="137">
        <v>0.0869</v>
      </c>
      <c r="R2216" s="17">
        <v>0.1964</v>
      </c>
      <c r="S2216" s="18">
        <v>34.0</v>
      </c>
      <c r="T2216" s="18">
        <v>116.0</v>
      </c>
      <c r="U2216" s="151">
        <v>128088.0</v>
      </c>
      <c r="V2216" s="92" t="s">
        <v>335</v>
      </c>
      <c r="W2216" s="18" t="s">
        <v>76</v>
      </c>
      <c r="X2216" s="174" t="s">
        <v>2286</v>
      </c>
      <c r="Y2216" s="190" t="s">
        <v>6470</v>
      </c>
      <c r="Z2216" s="18" t="s">
        <v>6471</v>
      </c>
      <c r="AA2216" s="92">
        <v>148.0</v>
      </c>
      <c r="AB2216" s="92">
        <v>148.0</v>
      </c>
      <c r="AC2216" s="92"/>
      <c r="AD2216" s="92">
        <v>447197.0</v>
      </c>
      <c r="AE2216" s="92">
        <v>447197.0</v>
      </c>
      <c r="AF2216" s="92"/>
      <c r="AG2216" s="22"/>
      <c r="AH2216" s="22"/>
      <c r="AI2216" s="22"/>
      <c r="AJ2216" s="22"/>
      <c r="AK2216" s="22"/>
      <c r="AL2216" s="22"/>
      <c r="AM2216" s="22"/>
      <c r="AN2216" s="22"/>
      <c r="AO2216" s="22"/>
      <c r="AP2216" s="22"/>
    </row>
    <row r="2217" hidden="1">
      <c r="A2217" s="148">
        <v>46213.0</v>
      </c>
      <c r="B2217" s="149">
        <v>0.4583333333333333</v>
      </c>
      <c r="C2217" s="11" t="s">
        <v>32</v>
      </c>
      <c r="D2217" s="11" t="s">
        <v>33</v>
      </c>
      <c r="E2217" s="10" t="s">
        <v>71</v>
      </c>
      <c r="F2217" s="10" t="s">
        <v>6468</v>
      </c>
      <c r="G2217" s="11" t="s">
        <v>6472</v>
      </c>
      <c r="H2217" s="11" t="s">
        <v>5602</v>
      </c>
      <c r="I2217" s="10" t="s">
        <v>5603</v>
      </c>
      <c r="J2217" s="14">
        <v>152558.0</v>
      </c>
      <c r="K2217" s="14">
        <v>82130.0</v>
      </c>
      <c r="L2217" s="17">
        <v>0.5383</v>
      </c>
      <c r="M2217" s="150">
        <v>32568.0</v>
      </c>
      <c r="N2217" s="136">
        <v>0.3965</v>
      </c>
      <c r="O2217" s="18">
        <v>4511.0</v>
      </c>
      <c r="P2217" s="92">
        <v>4129.0</v>
      </c>
      <c r="Q2217" s="137">
        <v>0.0503</v>
      </c>
      <c r="R2217" s="17">
        <v>0.1268</v>
      </c>
      <c r="S2217" s="18">
        <v>22.0</v>
      </c>
      <c r="T2217" s="18">
        <v>90.0</v>
      </c>
      <c r="U2217" s="151">
        <v>92958.0</v>
      </c>
      <c r="V2217" s="92" t="s">
        <v>315</v>
      </c>
      <c r="W2217" s="18" t="s">
        <v>76</v>
      </c>
      <c r="X2217" s="174" t="s">
        <v>2286</v>
      </c>
      <c r="Y2217" s="189" t="s">
        <v>6470</v>
      </c>
      <c r="Z2217" s="18" t="s">
        <v>6473</v>
      </c>
      <c r="AA2217" s="92">
        <v>685.0</v>
      </c>
      <c r="AB2217" s="92"/>
      <c r="AC2217" s="92">
        <v>685.0</v>
      </c>
      <c r="AD2217" s="92">
        <v>2694252.0</v>
      </c>
      <c r="AE2217" s="92"/>
      <c r="AF2217" s="92">
        <v>2694252.0</v>
      </c>
      <c r="AG2217" s="22"/>
      <c r="AH2217" s="22"/>
      <c r="AI2217" s="22"/>
      <c r="AJ2217" s="22"/>
      <c r="AK2217" s="22"/>
      <c r="AL2217" s="22"/>
      <c r="AM2217" s="22"/>
      <c r="AN2217" s="22"/>
      <c r="AO2217" s="22"/>
      <c r="AP2217" s="22"/>
    </row>
    <row r="2218" hidden="1">
      <c r="A2218" s="148">
        <v>46214.0</v>
      </c>
      <c r="B2218" s="149">
        <v>0.5</v>
      </c>
      <c r="C2218" s="11" t="s">
        <v>32</v>
      </c>
      <c r="D2218" s="11" t="s">
        <v>33</v>
      </c>
      <c r="E2218" s="10" t="s">
        <v>71</v>
      </c>
      <c r="F2218" s="10" t="s">
        <v>6468</v>
      </c>
      <c r="G2218" s="11" t="s">
        <v>6474</v>
      </c>
      <c r="H2218" s="11" t="s">
        <v>5598</v>
      </c>
      <c r="I2218" s="10" t="s">
        <v>5599</v>
      </c>
      <c r="J2218" s="14">
        <v>86915.0</v>
      </c>
      <c r="K2218" s="14">
        <v>37370.0</v>
      </c>
      <c r="L2218" s="17">
        <v>0.4299</v>
      </c>
      <c r="M2218" s="150">
        <v>13609.0</v>
      </c>
      <c r="N2218" s="136">
        <v>0.364</v>
      </c>
      <c r="O2218" s="18">
        <v>2350.0</v>
      </c>
      <c r="P2218" s="92">
        <v>2166.0</v>
      </c>
      <c r="Q2218" s="137">
        <v>0.058</v>
      </c>
      <c r="R2218" s="17">
        <v>0.1593</v>
      </c>
      <c r="S2218" s="18">
        <v>19.0</v>
      </c>
      <c r="T2218" s="18">
        <v>43.0</v>
      </c>
      <c r="U2218" s="151">
        <v>46302.0</v>
      </c>
      <c r="V2218" s="92" t="s">
        <v>335</v>
      </c>
      <c r="W2218" s="18" t="s">
        <v>76</v>
      </c>
      <c r="X2218" s="174" t="s">
        <v>41</v>
      </c>
      <c r="Y2218" s="190" t="s">
        <v>6475</v>
      </c>
      <c r="Z2218" s="18" t="s">
        <v>6476</v>
      </c>
      <c r="AA2218" s="92">
        <v>142.0</v>
      </c>
      <c r="AB2218" s="92">
        <v>142.0</v>
      </c>
      <c r="AC2218" s="92"/>
      <c r="AD2218" s="92">
        <v>355233.0</v>
      </c>
      <c r="AE2218" s="92">
        <v>355233.0</v>
      </c>
      <c r="AF2218" s="92"/>
      <c r="AG2218" s="22"/>
      <c r="AH2218" s="22"/>
      <c r="AI2218" s="22"/>
      <c r="AJ2218" s="22"/>
      <c r="AK2218" s="22"/>
      <c r="AL2218" s="22"/>
      <c r="AM2218" s="22"/>
      <c r="AN2218" s="22"/>
      <c r="AO2218" s="22"/>
      <c r="AP2218" s="22"/>
    </row>
    <row r="2219" hidden="1">
      <c r="A2219" s="148">
        <v>46214.0</v>
      </c>
      <c r="B2219" s="149">
        <v>0.5</v>
      </c>
      <c r="C2219" s="11" t="s">
        <v>32</v>
      </c>
      <c r="D2219" s="11" t="s">
        <v>33</v>
      </c>
      <c r="E2219" s="10" t="s">
        <v>71</v>
      </c>
      <c r="F2219" s="10" t="s">
        <v>6468</v>
      </c>
      <c r="G2219" s="11" t="s">
        <v>6477</v>
      </c>
      <c r="H2219" s="11" t="s">
        <v>5607</v>
      </c>
      <c r="I2219" s="10" t="s">
        <v>5608</v>
      </c>
      <c r="J2219" s="14">
        <v>156566.0</v>
      </c>
      <c r="K2219" s="14">
        <v>65297.0</v>
      </c>
      <c r="L2219" s="17">
        <v>0.417</v>
      </c>
      <c r="M2219" s="150">
        <v>22279.0</v>
      </c>
      <c r="N2219" s="136">
        <v>0.341</v>
      </c>
      <c r="O2219" s="18">
        <v>2289.0</v>
      </c>
      <c r="P2219" s="92">
        <v>2143.0</v>
      </c>
      <c r="Q2219" s="137">
        <v>0.0328</v>
      </c>
      <c r="R2219" s="17">
        <v>0.0963</v>
      </c>
      <c r="S2219" s="18">
        <v>9.0</v>
      </c>
      <c r="T2219" s="18">
        <v>36.0</v>
      </c>
      <c r="U2219" s="151">
        <v>32246.0</v>
      </c>
      <c r="V2219" s="92" t="s">
        <v>315</v>
      </c>
      <c r="W2219" s="18" t="s">
        <v>76</v>
      </c>
      <c r="X2219" s="174" t="s">
        <v>41</v>
      </c>
      <c r="Y2219" s="189" t="s">
        <v>6475</v>
      </c>
      <c r="Z2219" s="18" t="s">
        <v>6478</v>
      </c>
      <c r="AA2219" s="92">
        <v>395.0</v>
      </c>
      <c r="AB2219" s="92"/>
      <c r="AC2219" s="92">
        <v>395.0</v>
      </c>
      <c r="AD2219" s="92">
        <v>1503000.0</v>
      </c>
      <c r="AE2219" s="92"/>
      <c r="AF2219" s="92">
        <v>1503000.0</v>
      </c>
      <c r="AG2219" s="22"/>
      <c r="AH2219" s="22"/>
      <c r="AI2219" s="22"/>
      <c r="AJ2219" s="22"/>
      <c r="AK2219" s="22"/>
      <c r="AL2219" s="22"/>
      <c r="AM2219" s="22"/>
      <c r="AN2219" s="22"/>
      <c r="AO2219" s="22"/>
      <c r="AP2219" s="22"/>
    </row>
    <row r="2220" hidden="1">
      <c r="A2220" s="148">
        <v>46214.0</v>
      </c>
      <c r="B2220" s="149">
        <v>0.5</v>
      </c>
      <c r="C2220" s="11" t="s">
        <v>32</v>
      </c>
      <c r="D2220" s="11" t="s">
        <v>33</v>
      </c>
      <c r="E2220" s="10" t="s">
        <v>71</v>
      </c>
      <c r="F2220" s="10" t="s">
        <v>6468</v>
      </c>
      <c r="G2220" s="11" t="s">
        <v>6479</v>
      </c>
      <c r="H2220" s="11" t="s">
        <v>5611</v>
      </c>
      <c r="I2220" s="10" t="s">
        <v>5612</v>
      </c>
      <c r="J2220" s="14">
        <v>116926.0</v>
      </c>
      <c r="K2220" s="14">
        <v>48043.0</v>
      </c>
      <c r="L2220" s="17">
        <v>0.4108</v>
      </c>
      <c r="M2220" s="150">
        <v>15960.0</v>
      </c>
      <c r="N2220" s="136">
        <v>0.332</v>
      </c>
      <c r="O2220" s="18">
        <v>1396.0</v>
      </c>
      <c r="P2220" s="92">
        <v>1300.0</v>
      </c>
      <c r="Q2220" s="137">
        <v>0.0271</v>
      </c>
      <c r="R2220" s="17">
        <v>0.0815</v>
      </c>
      <c r="S2220" s="18">
        <v>5.0</v>
      </c>
      <c r="T2220" s="18">
        <v>19.0</v>
      </c>
      <c r="U2220" s="151">
        <v>8957.0</v>
      </c>
      <c r="V2220" s="92" t="s">
        <v>315</v>
      </c>
      <c r="W2220" s="18" t="s">
        <v>76</v>
      </c>
      <c r="X2220" s="174" t="s">
        <v>41</v>
      </c>
      <c r="Y2220" s="189" t="s">
        <v>6475</v>
      </c>
      <c r="Z2220" s="18" t="s">
        <v>6480</v>
      </c>
      <c r="AA2220" s="92">
        <v>225.0</v>
      </c>
      <c r="AB2220" s="92"/>
      <c r="AC2220" s="92">
        <v>225.0</v>
      </c>
      <c r="AD2220" s="92">
        <v>900458.0</v>
      </c>
      <c r="AE2220" s="92"/>
      <c r="AF2220" s="92">
        <v>900458.0</v>
      </c>
      <c r="AG2220" s="22"/>
      <c r="AH2220" s="22"/>
      <c r="AI2220" s="22"/>
      <c r="AJ2220" s="22"/>
      <c r="AK2220" s="22"/>
      <c r="AL2220" s="22"/>
      <c r="AM2220" s="22"/>
      <c r="AN2220" s="22"/>
      <c r="AO2220" s="22"/>
      <c r="AP2220" s="22"/>
    </row>
    <row r="2221" hidden="1">
      <c r="A2221" s="148">
        <v>46215.0</v>
      </c>
      <c r="B2221" s="149">
        <v>0.7083333333333334</v>
      </c>
      <c r="C2221" s="11" t="s">
        <v>32</v>
      </c>
      <c r="D2221" s="11" t="s">
        <v>33</v>
      </c>
      <c r="E2221" s="10" t="s">
        <v>71</v>
      </c>
      <c r="F2221" s="10" t="s">
        <v>6468</v>
      </c>
      <c r="G2221" s="11" t="s">
        <v>6481</v>
      </c>
      <c r="H2221" s="11" t="s">
        <v>5576</v>
      </c>
      <c r="I2221" s="10" t="s">
        <v>5577</v>
      </c>
      <c r="J2221" s="14">
        <v>99948.0</v>
      </c>
      <c r="K2221" s="14">
        <v>42492.0</v>
      </c>
      <c r="L2221" s="17">
        <v>0.4251</v>
      </c>
      <c r="M2221" s="150">
        <v>12965.0</v>
      </c>
      <c r="N2221" s="136">
        <v>0.3052</v>
      </c>
      <c r="O2221" s="18">
        <v>2170.0</v>
      </c>
      <c r="P2221" s="92">
        <v>2074.0</v>
      </c>
      <c r="Q2221" s="137">
        <v>0.0488</v>
      </c>
      <c r="R2221" s="17">
        <v>0.16</v>
      </c>
      <c r="S2221" s="18">
        <v>4.0</v>
      </c>
      <c r="T2221" s="18">
        <v>12.0</v>
      </c>
      <c r="U2221" s="151">
        <v>10552.0</v>
      </c>
      <c r="V2221" s="92" t="s">
        <v>335</v>
      </c>
      <c r="W2221" s="18" t="s">
        <v>76</v>
      </c>
      <c r="X2221" s="174" t="s">
        <v>69</v>
      </c>
      <c r="Y2221" s="190" t="s">
        <v>6482</v>
      </c>
      <c r="Z2221" s="18" t="s">
        <v>6483</v>
      </c>
      <c r="AA2221" s="92">
        <v>93.0</v>
      </c>
      <c r="AB2221" s="92">
        <v>93.0</v>
      </c>
      <c r="AC2221" s="92"/>
      <c r="AD2221" s="92">
        <v>244103.0</v>
      </c>
      <c r="AE2221" s="92">
        <v>244103.0</v>
      </c>
      <c r="AF2221" s="92"/>
      <c r="AG2221" s="22"/>
      <c r="AH2221" s="22"/>
      <c r="AI2221" s="22"/>
      <c r="AJ2221" s="22"/>
      <c r="AK2221" s="22"/>
      <c r="AL2221" s="22"/>
      <c r="AM2221" s="22"/>
      <c r="AN2221" s="22"/>
      <c r="AO2221" s="22"/>
      <c r="AP2221" s="22"/>
    </row>
    <row r="2222" hidden="1">
      <c r="A2222" s="148">
        <v>46215.0</v>
      </c>
      <c r="B2222" s="149">
        <v>0.7083333333333334</v>
      </c>
      <c r="C2222" s="11" t="s">
        <v>32</v>
      </c>
      <c r="D2222" s="11" t="s">
        <v>33</v>
      </c>
      <c r="E2222" s="10" t="s">
        <v>71</v>
      </c>
      <c r="F2222" s="10" t="s">
        <v>6468</v>
      </c>
      <c r="G2222" s="11" t="s">
        <v>6484</v>
      </c>
      <c r="H2222" s="11" t="s">
        <v>5585</v>
      </c>
      <c r="I2222" s="10" t="s">
        <v>5586</v>
      </c>
      <c r="J2222" s="14">
        <v>170481.0</v>
      </c>
      <c r="K2222" s="14">
        <v>73745.0</v>
      </c>
      <c r="L2222" s="17">
        <v>0.4325</v>
      </c>
      <c r="M2222" s="150">
        <v>23208.0</v>
      </c>
      <c r="N2222" s="136">
        <v>0.3147</v>
      </c>
      <c r="O2222" s="18">
        <v>2598.0</v>
      </c>
      <c r="P2222" s="92">
        <v>2479.0</v>
      </c>
      <c r="Q2222" s="137">
        <v>0.0336</v>
      </c>
      <c r="R2222" s="17">
        <v>0.1068</v>
      </c>
      <c r="S2222" s="18">
        <v>4.0</v>
      </c>
      <c r="T2222" s="18">
        <v>19.0</v>
      </c>
      <c r="U2222" s="151">
        <v>17600.0</v>
      </c>
      <c r="V2222" s="92" t="s">
        <v>315</v>
      </c>
      <c r="W2222" s="18" t="s">
        <v>76</v>
      </c>
      <c r="X2222" s="174" t="s">
        <v>69</v>
      </c>
      <c r="Y2222" s="189" t="s">
        <v>6482</v>
      </c>
      <c r="Z2222" s="18" t="s">
        <v>6485</v>
      </c>
      <c r="AA2222" s="92">
        <v>187.0</v>
      </c>
      <c r="AB2222" s="92"/>
      <c r="AC2222" s="92">
        <v>187.0</v>
      </c>
      <c r="AD2222" s="92">
        <v>581201.0</v>
      </c>
      <c r="AE2222" s="92"/>
      <c r="AF2222" s="92">
        <v>581201.0</v>
      </c>
      <c r="AG2222" s="22"/>
      <c r="AH2222" s="22"/>
      <c r="AI2222" s="22"/>
      <c r="AJ2222" s="22"/>
      <c r="AK2222" s="22"/>
      <c r="AL2222" s="22"/>
      <c r="AM2222" s="22"/>
      <c r="AN2222" s="22"/>
      <c r="AO2222" s="22"/>
      <c r="AP2222" s="22"/>
    </row>
    <row r="2223" hidden="1">
      <c r="A2223" s="148">
        <v>46213.0</v>
      </c>
      <c r="B2223" s="149">
        <v>0.4375</v>
      </c>
      <c r="C2223" s="11" t="s">
        <v>32</v>
      </c>
      <c r="D2223" s="11" t="s">
        <v>3083</v>
      </c>
      <c r="E2223" s="10" t="s">
        <v>2212</v>
      </c>
      <c r="F2223" s="10" t="s">
        <v>6423</v>
      </c>
      <c r="G2223" s="11" t="s">
        <v>6486</v>
      </c>
      <c r="H2223" s="11" t="s">
        <v>6487</v>
      </c>
      <c r="I2223" s="10" t="s">
        <v>2956</v>
      </c>
      <c r="J2223" s="14">
        <v>14452.0</v>
      </c>
      <c r="K2223" s="14">
        <v>8928.0</v>
      </c>
      <c r="L2223" s="17">
        <v>0.6178</v>
      </c>
      <c r="M2223" s="150">
        <v>2829.0</v>
      </c>
      <c r="N2223" s="136">
        <v>0.3168</v>
      </c>
      <c r="O2223" s="18">
        <v>0.0</v>
      </c>
      <c r="P2223" s="92">
        <v>0.0</v>
      </c>
      <c r="Q2223" s="137">
        <v>0.0</v>
      </c>
      <c r="R2223" s="17">
        <v>0.0</v>
      </c>
      <c r="S2223" s="18">
        <v>41.0</v>
      </c>
      <c r="T2223" s="18">
        <v>0.0</v>
      </c>
      <c r="U2223" s="151">
        <v>0.0</v>
      </c>
      <c r="V2223" s="92" t="s">
        <v>315</v>
      </c>
      <c r="W2223" s="18" t="s">
        <v>76</v>
      </c>
      <c r="X2223" s="174" t="s">
        <v>5999</v>
      </c>
      <c r="Y2223" s="187" t="s">
        <v>6488</v>
      </c>
      <c r="Z2223" s="18" t="s">
        <v>6489</v>
      </c>
      <c r="AA2223" s="92">
        <v>23.0</v>
      </c>
      <c r="AB2223" s="92"/>
      <c r="AC2223" s="92">
        <v>23.0</v>
      </c>
      <c r="AD2223" s="92">
        <v>127707.0</v>
      </c>
      <c r="AE2223" s="92"/>
      <c r="AF2223" s="92">
        <v>127707.0</v>
      </c>
      <c r="AG2223" s="22"/>
      <c r="AH2223" s="22"/>
      <c r="AI2223" s="22"/>
      <c r="AJ2223" s="22"/>
      <c r="AK2223" s="22"/>
      <c r="AL2223" s="22"/>
      <c r="AM2223" s="22"/>
      <c r="AN2223" s="22"/>
      <c r="AO2223" s="22"/>
      <c r="AP2223" s="22"/>
    </row>
    <row r="2224" hidden="1">
      <c r="A2224" s="148">
        <v>46213.0</v>
      </c>
      <c r="B2224" s="149">
        <v>0.4375</v>
      </c>
      <c r="C2224" s="11" t="s">
        <v>32</v>
      </c>
      <c r="D2224" s="11" t="s">
        <v>3083</v>
      </c>
      <c r="E2224" s="10" t="s">
        <v>2212</v>
      </c>
      <c r="F2224" s="10" t="s">
        <v>6423</v>
      </c>
      <c r="G2224" s="11" t="s">
        <v>6490</v>
      </c>
      <c r="H2224" s="11" t="s">
        <v>6491</v>
      </c>
      <c r="I2224" s="10" t="s">
        <v>2956</v>
      </c>
      <c r="J2224" s="14">
        <v>13892.0</v>
      </c>
      <c r="K2224" s="14">
        <v>8737.0</v>
      </c>
      <c r="L2224" s="17">
        <v>0.6289</v>
      </c>
      <c r="M2224" s="150">
        <v>2700.0</v>
      </c>
      <c r="N2224" s="136">
        <v>0.3088</v>
      </c>
      <c r="O2224" s="18">
        <v>0.0</v>
      </c>
      <c r="P2224" s="92">
        <v>0.0</v>
      </c>
      <c r="Q2224" s="137">
        <v>0.0</v>
      </c>
      <c r="R2224" s="17">
        <v>0.0</v>
      </c>
      <c r="S2224" s="18">
        <v>37.0</v>
      </c>
      <c r="T2224" s="18">
        <v>0.0</v>
      </c>
      <c r="U2224" s="151">
        <v>0.0</v>
      </c>
      <c r="V2224" s="92" t="s">
        <v>315</v>
      </c>
      <c r="W2224" s="18" t="s">
        <v>76</v>
      </c>
      <c r="X2224" s="174" t="s">
        <v>5999</v>
      </c>
      <c r="Y2224" s="187" t="s">
        <v>6488</v>
      </c>
      <c r="Z2224" s="18" t="s">
        <v>6492</v>
      </c>
      <c r="AA2224" s="92">
        <v>9.0</v>
      </c>
      <c r="AB2224" s="92"/>
      <c r="AC2224" s="92">
        <v>9.0</v>
      </c>
      <c r="AD2224" s="92">
        <v>85319.0</v>
      </c>
      <c r="AE2224" s="92"/>
      <c r="AF2224" s="92">
        <v>85319.0</v>
      </c>
      <c r="AG2224" s="22"/>
      <c r="AH2224" s="22"/>
      <c r="AI2224" s="22"/>
      <c r="AJ2224" s="22"/>
      <c r="AK2224" s="22"/>
      <c r="AL2224" s="22"/>
      <c r="AM2224" s="22"/>
      <c r="AN2224" s="22"/>
      <c r="AO2224" s="22"/>
      <c r="AP2224" s="22"/>
    </row>
    <row r="2225" hidden="1">
      <c r="A2225" s="148">
        <v>46213.0</v>
      </c>
      <c r="B2225" s="149">
        <v>0.4375</v>
      </c>
      <c r="C2225" s="11" t="s">
        <v>32</v>
      </c>
      <c r="D2225" s="11" t="s">
        <v>3083</v>
      </c>
      <c r="E2225" s="10" t="s">
        <v>2212</v>
      </c>
      <c r="F2225" s="10" t="s">
        <v>6423</v>
      </c>
      <c r="G2225" s="11" t="s">
        <v>6493</v>
      </c>
      <c r="H2225" s="11" t="s">
        <v>6494</v>
      </c>
      <c r="I2225" s="10" t="s">
        <v>2956</v>
      </c>
      <c r="J2225" s="14">
        <v>18804.0</v>
      </c>
      <c r="K2225" s="14">
        <v>11523.0</v>
      </c>
      <c r="L2225" s="17">
        <v>0.6127</v>
      </c>
      <c r="M2225" s="150">
        <v>3503.0</v>
      </c>
      <c r="N2225" s="136">
        <v>0.3039</v>
      </c>
      <c r="O2225" s="18">
        <v>0.0</v>
      </c>
      <c r="P2225" s="92">
        <v>0.0</v>
      </c>
      <c r="Q2225" s="137">
        <v>0.0</v>
      </c>
      <c r="R2225" s="17">
        <v>0.0</v>
      </c>
      <c r="S2225" s="18">
        <v>63.0</v>
      </c>
      <c r="T2225" s="18">
        <v>0.0</v>
      </c>
      <c r="U2225" s="151">
        <v>0.0</v>
      </c>
      <c r="V2225" s="92" t="s">
        <v>315</v>
      </c>
      <c r="W2225" s="18" t="s">
        <v>76</v>
      </c>
      <c r="X2225" s="174" t="s">
        <v>5999</v>
      </c>
      <c r="Y2225" s="187" t="s">
        <v>6488</v>
      </c>
      <c r="Z2225" s="18" t="s">
        <v>6495</v>
      </c>
      <c r="AA2225" s="92">
        <v>10.0</v>
      </c>
      <c r="AB2225" s="92"/>
      <c r="AC2225" s="92">
        <v>10.0</v>
      </c>
      <c r="AD2225" s="92">
        <v>46984.0</v>
      </c>
      <c r="AE2225" s="92"/>
      <c r="AF2225" s="92">
        <v>46984.0</v>
      </c>
      <c r="AG2225" s="22"/>
      <c r="AH2225" s="22"/>
      <c r="AI2225" s="22"/>
      <c r="AJ2225" s="22"/>
      <c r="AK2225" s="22"/>
      <c r="AL2225" s="22"/>
      <c r="AM2225" s="22"/>
      <c r="AN2225" s="22"/>
      <c r="AO2225" s="22"/>
      <c r="AP2225" s="22"/>
    </row>
    <row r="2226" hidden="1">
      <c r="A2226" s="148">
        <v>46213.0</v>
      </c>
      <c r="B2226" s="149">
        <v>0.4375</v>
      </c>
      <c r="C2226" s="11" t="s">
        <v>32</v>
      </c>
      <c r="D2226" s="11" t="s">
        <v>3083</v>
      </c>
      <c r="E2226" s="10" t="s">
        <v>2212</v>
      </c>
      <c r="F2226" s="10" t="s">
        <v>6423</v>
      </c>
      <c r="G2226" s="11" t="s">
        <v>6496</v>
      </c>
      <c r="H2226" s="11" t="s">
        <v>6497</v>
      </c>
      <c r="I2226" s="10" t="s">
        <v>2956</v>
      </c>
      <c r="J2226" s="14">
        <v>6658.0</v>
      </c>
      <c r="K2226" s="14">
        <v>4099.0</v>
      </c>
      <c r="L2226" s="17">
        <v>0.6157</v>
      </c>
      <c r="M2226" s="150">
        <v>1275.0</v>
      </c>
      <c r="N2226" s="136">
        <v>0.3111</v>
      </c>
      <c r="O2226" s="18">
        <v>0.0</v>
      </c>
      <c r="P2226" s="92">
        <v>0.0</v>
      </c>
      <c r="Q2226" s="137">
        <v>0.0</v>
      </c>
      <c r="R2226" s="17">
        <v>0.0</v>
      </c>
      <c r="S2226" s="18">
        <v>22.0</v>
      </c>
      <c r="T2226" s="18">
        <v>0.0</v>
      </c>
      <c r="U2226" s="151">
        <v>0.0</v>
      </c>
      <c r="V2226" s="92" t="s">
        <v>315</v>
      </c>
      <c r="W2226" s="18" t="s">
        <v>76</v>
      </c>
      <c r="X2226" s="174" t="s">
        <v>5999</v>
      </c>
      <c r="Y2226" s="187" t="s">
        <v>6488</v>
      </c>
      <c r="Z2226" s="18" t="s">
        <v>6498</v>
      </c>
      <c r="AA2226" s="92">
        <v>10.0</v>
      </c>
      <c r="AB2226" s="92"/>
      <c r="AC2226" s="92">
        <v>10.0</v>
      </c>
      <c r="AD2226" s="92">
        <v>68558.0</v>
      </c>
      <c r="AE2226" s="92"/>
      <c r="AF2226" s="92">
        <v>68558.0</v>
      </c>
      <c r="AG2226" s="22"/>
      <c r="AH2226" s="22"/>
      <c r="AI2226" s="22"/>
      <c r="AJ2226" s="22"/>
      <c r="AK2226" s="22"/>
      <c r="AL2226" s="22"/>
      <c r="AM2226" s="22"/>
      <c r="AN2226" s="22"/>
      <c r="AO2226" s="22"/>
      <c r="AP2226" s="22"/>
    </row>
    <row r="2227" hidden="1">
      <c r="A2227" s="148">
        <v>46213.0</v>
      </c>
      <c r="B2227" s="149">
        <v>0.4375</v>
      </c>
      <c r="C2227" s="11" t="s">
        <v>32</v>
      </c>
      <c r="D2227" s="11" t="s">
        <v>3083</v>
      </c>
      <c r="E2227" s="10" t="s">
        <v>2212</v>
      </c>
      <c r="F2227" s="10" t="s">
        <v>6423</v>
      </c>
      <c r="G2227" s="11" t="s">
        <v>6499</v>
      </c>
      <c r="H2227" s="11" t="s">
        <v>6500</v>
      </c>
      <c r="I2227" s="10" t="s">
        <v>2956</v>
      </c>
      <c r="J2227" s="14">
        <v>10036.0</v>
      </c>
      <c r="K2227" s="14">
        <v>5984.0</v>
      </c>
      <c r="L2227" s="17">
        <v>0.5963</v>
      </c>
      <c r="M2227" s="150">
        <v>1583.0</v>
      </c>
      <c r="N2227" s="136">
        <v>0.2645</v>
      </c>
      <c r="O2227" s="18">
        <v>0.0</v>
      </c>
      <c r="P2227" s="92">
        <v>0.0</v>
      </c>
      <c r="Q2227" s="137">
        <v>0.0</v>
      </c>
      <c r="R2227" s="17">
        <v>0.0</v>
      </c>
      <c r="S2227" s="18">
        <v>40.0</v>
      </c>
      <c r="T2227" s="18">
        <v>0.0</v>
      </c>
      <c r="U2227" s="151">
        <v>0.0</v>
      </c>
      <c r="V2227" s="92" t="s">
        <v>315</v>
      </c>
      <c r="W2227" s="18" t="s">
        <v>76</v>
      </c>
      <c r="X2227" s="174" t="s">
        <v>3895</v>
      </c>
      <c r="Y2227" s="187" t="s">
        <v>6488</v>
      </c>
      <c r="Z2227" s="18" t="s">
        <v>6501</v>
      </c>
      <c r="AA2227" s="92">
        <v>14.0</v>
      </c>
      <c r="AB2227" s="92"/>
      <c r="AC2227" s="92">
        <v>14.0</v>
      </c>
      <c r="AD2227" s="92">
        <v>105893.0</v>
      </c>
      <c r="AE2227" s="92"/>
      <c r="AF2227" s="92">
        <v>105893.0</v>
      </c>
      <c r="AG2227" s="22"/>
      <c r="AH2227" s="22"/>
      <c r="AI2227" s="22"/>
      <c r="AJ2227" s="22"/>
      <c r="AK2227" s="22"/>
      <c r="AL2227" s="22"/>
      <c r="AM2227" s="22"/>
      <c r="AN2227" s="22"/>
      <c r="AO2227" s="22"/>
      <c r="AP2227" s="22"/>
    </row>
    <row r="2228" hidden="1">
      <c r="A2228" s="148">
        <v>46213.0</v>
      </c>
      <c r="B2228" s="149">
        <v>0.4375</v>
      </c>
      <c r="C2228" s="11" t="s">
        <v>32</v>
      </c>
      <c r="D2228" s="11" t="s">
        <v>3083</v>
      </c>
      <c r="E2228" s="10" t="s">
        <v>2212</v>
      </c>
      <c r="F2228" s="10" t="s">
        <v>6423</v>
      </c>
      <c r="G2228" s="11" t="s">
        <v>6502</v>
      </c>
      <c r="H2228" s="11" t="s">
        <v>6503</v>
      </c>
      <c r="I2228" s="10" t="s">
        <v>2956</v>
      </c>
      <c r="J2228" s="14">
        <v>16343.0</v>
      </c>
      <c r="K2228" s="14">
        <v>9597.0</v>
      </c>
      <c r="L2228" s="17">
        <v>0.5872</v>
      </c>
      <c r="M2228" s="150">
        <v>2402.0</v>
      </c>
      <c r="N2228" s="136">
        <v>0.2503</v>
      </c>
      <c r="O2228" s="18">
        <v>0.0</v>
      </c>
      <c r="P2228" s="92">
        <v>0.0</v>
      </c>
      <c r="Q2228" s="137">
        <v>0.0</v>
      </c>
      <c r="R2228" s="17">
        <v>0.0</v>
      </c>
      <c r="S2228" s="18">
        <v>63.0</v>
      </c>
      <c r="T2228" s="18">
        <v>0.0</v>
      </c>
      <c r="U2228" s="151">
        <v>0.0</v>
      </c>
      <c r="V2228" s="92" t="s">
        <v>315</v>
      </c>
      <c r="W2228" s="18" t="s">
        <v>76</v>
      </c>
      <c r="X2228" s="174" t="s">
        <v>3895</v>
      </c>
      <c r="Y2228" s="187" t="s">
        <v>6488</v>
      </c>
      <c r="Z2228" s="18" t="s">
        <v>6504</v>
      </c>
      <c r="AA2228" s="92">
        <v>10.0</v>
      </c>
      <c r="AB2228" s="92"/>
      <c r="AC2228" s="92">
        <v>10.0</v>
      </c>
      <c r="AD2228" s="92">
        <v>49622.0</v>
      </c>
      <c r="AE2228" s="92"/>
      <c r="AF2228" s="92">
        <v>49622.0</v>
      </c>
      <c r="AG2228" s="22"/>
      <c r="AH2228" s="22"/>
      <c r="AI2228" s="22"/>
      <c r="AJ2228" s="22"/>
      <c r="AK2228" s="22"/>
      <c r="AL2228" s="22"/>
      <c r="AM2228" s="22"/>
      <c r="AN2228" s="22"/>
      <c r="AO2228" s="22"/>
      <c r="AP2228" s="22"/>
    </row>
    <row r="2229" hidden="1">
      <c r="A2229" s="148">
        <v>46213.0</v>
      </c>
      <c r="B2229" s="149">
        <v>0.4375</v>
      </c>
      <c r="C2229" s="11" t="s">
        <v>32</v>
      </c>
      <c r="D2229" s="11" t="s">
        <v>3083</v>
      </c>
      <c r="E2229" s="10" t="s">
        <v>2212</v>
      </c>
      <c r="F2229" s="10" t="s">
        <v>6423</v>
      </c>
      <c r="G2229" s="11" t="s">
        <v>6505</v>
      </c>
      <c r="H2229" s="11" t="s">
        <v>6506</v>
      </c>
      <c r="I2229" s="10" t="s">
        <v>2956</v>
      </c>
      <c r="J2229" s="14">
        <v>10572.0</v>
      </c>
      <c r="K2229" s="14">
        <v>6002.0</v>
      </c>
      <c r="L2229" s="17">
        <v>0.5677</v>
      </c>
      <c r="M2229" s="150">
        <v>1518.0</v>
      </c>
      <c r="N2229" s="136">
        <v>0.2529</v>
      </c>
      <c r="O2229" s="18">
        <v>0.0</v>
      </c>
      <c r="P2229" s="92">
        <v>0.0</v>
      </c>
      <c r="Q2229" s="137">
        <v>0.0</v>
      </c>
      <c r="R2229" s="17">
        <v>0.0</v>
      </c>
      <c r="S2229" s="18">
        <v>31.0</v>
      </c>
      <c r="T2229" s="18">
        <v>0.0</v>
      </c>
      <c r="U2229" s="151">
        <v>0.0</v>
      </c>
      <c r="V2229" s="92" t="s">
        <v>315</v>
      </c>
      <c r="W2229" s="18" t="s">
        <v>76</v>
      </c>
      <c r="X2229" s="174" t="s">
        <v>3895</v>
      </c>
      <c r="Y2229" s="187" t="s">
        <v>6488</v>
      </c>
      <c r="Z2229" s="18" t="s">
        <v>6507</v>
      </c>
      <c r="AA2229" s="92">
        <v>11.0</v>
      </c>
      <c r="AB2229" s="92"/>
      <c r="AC2229" s="92">
        <v>11.0</v>
      </c>
      <c r="AD2229" s="92">
        <v>91484.0</v>
      </c>
      <c r="AE2229" s="92"/>
      <c r="AF2229" s="92">
        <v>91484.0</v>
      </c>
      <c r="AG2229" s="22"/>
      <c r="AH2229" s="22"/>
      <c r="AI2229" s="22"/>
      <c r="AJ2229" s="22"/>
      <c r="AK2229" s="22"/>
      <c r="AL2229" s="22"/>
      <c r="AM2229" s="22"/>
      <c r="AN2229" s="22"/>
      <c r="AO2229" s="22"/>
      <c r="AP2229" s="22"/>
    </row>
    <row r="2230" hidden="1">
      <c r="A2230" s="148">
        <v>46213.0</v>
      </c>
      <c r="B2230" s="149">
        <v>0.4375</v>
      </c>
      <c r="C2230" s="11" t="s">
        <v>32</v>
      </c>
      <c r="D2230" s="11" t="s">
        <v>3083</v>
      </c>
      <c r="E2230" s="10" t="s">
        <v>2212</v>
      </c>
      <c r="F2230" s="10" t="s">
        <v>6423</v>
      </c>
      <c r="G2230" s="11" t="s">
        <v>6508</v>
      </c>
      <c r="H2230" s="11" t="s">
        <v>6509</v>
      </c>
      <c r="I2230" s="10" t="s">
        <v>2956</v>
      </c>
      <c r="J2230" s="14">
        <v>3803.0</v>
      </c>
      <c r="K2230" s="14">
        <v>2161.0</v>
      </c>
      <c r="L2230" s="17">
        <v>0.5682</v>
      </c>
      <c r="M2230" s="150">
        <v>599.0</v>
      </c>
      <c r="N2230" s="136">
        <v>0.2772</v>
      </c>
      <c r="O2230" s="18">
        <v>0.0</v>
      </c>
      <c r="P2230" s="92">
        <v>0.0</v>
      </c>
      <c r="Q2230" s="137">
        <v>0.0</v>
      </c>
      <c r="R2230" s="17">
        <v>0.0</v>
      </c>
      <c r="S2230" s="18">
        <v>13.0</v>
      </c>
      <c r="T2230" s="18">
        <v>0.0</v>
      </c>
      <c r="U2230" s="151">
        <v>0.0</v>
      </c>
      <c r="V2230" s="92" t="s">
        <v>315</v>
      </c>
      <c r="W2230" s="18" t="s">
        <v>76</v>
      </c>
      <c r="X2230" s="174" t="s">
        <v>3895</v>
      </c>
      <c r="Y2230" s="187" t="s">
        <v>6488</v>
      </c>
      <c r="Z2230" s="18" t="s">
        <v>6510</v>
      </c>
      <c r="AA2230" s="92">
        <v>5.0</v>
      </c>
      <c r="AB2230" s="92"/>
      <c r="AC2230" s="92">
        <v>5.0</v>
      </c>
      <c r="AD2230" s="92">
        <v>21466.0</v>
      </c>
      <c r="AE2230" s="92"/>
      <c r="AF2230" s="92">
        <v>21466.0</v>
      </c>
      <c r="AG2230" s="22"/>
      <c r="AH2230" s="22"/>
      <c r="AI2230" s="22"/>
      <c r="AJ2230" s="22"/>
      <c r="AK2230" s="22"/>
      <c r="AL2230" s="22"/>
      <c r="AM2230" s="22"/>
      <c r="AN2230" s="22"/>
      <c r="AO2230" s="22"/>
      <c r="AP2230" s="22"/>
    </row>
    <row r="2231">
      <c r="A2231" s="148">
        <v>46213.0</v>
      </c>
      <c r="B2231" s="149">
        <v>0.5</v>
      </c>
      <c r="C2231" s="11" t="s">
        <v>58</v>
      </c>
      <c r="D2231" s="11" t="s">
        <v>3083</v>
      </c>
      <c r="E2231" s="10" t="s">
        <v>179</v>
      </c>
      <c r="F2231" s="10" t="s">
        <v>6423</v>
      </c>
      <c r="G2231" s="11" t="s">
        <v>6511</v>
      </c>
      <c r="H2231" s="11" t="s">
        <v>3011</v>
      </c>
      <c r="I2231" s="10" t="s">
        <v>61</v>
      </c>
      <c r="J2231" s="14">
        <v>21067.0</v>
      </c>
      <c r="K2231" s="14">
        <v>11525.0</v>
      </c>
      <c r="L2231" s="17">
        <v>0.5471</v>
      </c>
      <c r="M2231" s="150">
        <v>0.0</v>
      </c>
      <c r="N2231" s="136">
        <v>0.0</v>
      </c>
      <c r="O2231" s="18">
        <v>0.0</v>
      </c>
      <c r="P2231" s="92">
        <v>0.0</v>
      </c>
      <c r="Q2231" s="137">
        <v>0.0</v>
      </c>
      <c r="R2231" s="17">
        <v>0.0</v>
      </c>
      <c r="S2231" s="18">
        <v>6.0</v>
      </c>
      <c r="T2231" s="18">
        <v>9.0</v>
      </c>
      <c r="U2231" s="151">
        <v>34681.0</v>
      </c>
      <c r="V2231" s="92" t="s">
        <v>315</v>
      </c>
      <c r="W2231" s="18" t="s">
        <v>58</v>
      </c>
      <c r="X2231" s="174" t="s">
        <v>6425</v>
      </c>
      <c r="Y2231" s="95" t="s">
        <v>6426</v>
      </c>
      <c r="Z2231" s="18" t="s">
        <v>6512</v>
      </c>
      <c r="AA2231" s="92">
        <v>34.0</v>
      </c>
      <c r="AB2231" s="92"/>
      <c r="AC2231" s="92">
        <v>34.0</v>
      </c>
      <c r="AD2231" s="92">
        <v>197020.0</v>
      </c>
      <c r="AE2231" s="92"/>
      <c r="AF2231" s="92">
        <v>197020.0</v>
      </c>
      <c r="AG2231" s="22"/>
      <c r="AH2231" s="22"/>
      <c r="AI2231" s="22"/>
      <c r="AJ2231" s="22"/>
      <c r="AK2231" s="22"/>
      <c r="AL2231" s="22"/>
      <c r="AM2231" s="22"/>
      <c r="AN2231" s="22"/>
      <c r="AO2231" s="22"/>
      <c r="AP2231" s="22"/>
    </row>
    <row r="2232">
      <c r="A2232" s="148">
        <v>46213.0</v>
      </c>
      <c r="B2232" s="149">
        <v>0.5</v>
      </c>
      <c r="C2232" s="11" t="s">
        <v>58</v>
      </c>
      <c r="D2232" s="11" t="s">
        <v>3083</v>
      </c>
      <c r="E2232" s="10" t="s">
        <v>179</v>
      </c>
      <c r="F2232" s="10" t="s">
        <v>6423</v>
      </c>
      <c r="G2232" s="11" t="s">
        <v>6513</v>
      </c>
      <c r="H2232" s="11" t="s">
        <v>6429</v>
      </c>
      <c r="I2232" s="10" t="s">
        <v>61</v>
      </c>
      <c r="J2232" s="14">
        <v>28299.0</v>
      </c>
      <c r="K2232" s="14">
        <v>15514.0</v>
      </c>
      <c r="L2232" s="17">
        <v>0.5482</v>
      </c>
      <c r="M2232" s="150">
        <v>0.0</v>
      </c>
      <c r="N2232" s="136">
        <v>0.0</v>
      </c>
      <c r="O2232" s="18">
        <v>0.0</v>
      </c>
      <c r="P2232" s="92">
        <v>0.0</v>
      </c>
      <c r="Q2232" s="137">
        <v>0.0</v>
      </c>
      <c r="R2232" s="17">
        <v>0.0</v>
      </c>
      <c r="S2232" s="18">
        <v>7.0</v>
      </c>
      <c r="T2232" s="18">
        <v>14.0</v>
      </c>
      <c r="U2232" s="151">
        <v>52816.0</v>
      </c>
      <c r="V2232" s="92" t="s">
        <v>315</v>
      </c>
      <c r="W2232" s="18" t="s">
        <v>58</v>
      </c>
      <c r="X2232" s="174" t="s">
        <v>6425</v>
      </c>
      <c r="Y2232" s="95" t="s">
        <v>6426</v>
      </c>
      <c r="Z2232" s="18" t="s">
        <v>6514</v>
      </c>
      <c r="AA2232" s="92">
        <v>45.0</v>
      </c>
      <c r="AB2232" s="92"/>
      <c r="AC2232" s="92">
        <v>45.0</v>
      </c>
      <c r="AD2232" s="92">
        <v>472087.0</v>
      </c>
      <c r="AE2232" s="92"/>
      <c r="AF2232" s="92">
        <v>472087.0</v>
      </c>
      <c r="AG2232" s="22"/>
      <c r="AH2232" s="22"/>
      <c r="AI2232" s="22"/>
      <c r="AJ2232" s="22"/>
      <c r="AK2232" s="22"/>
      <c r="AL2232" s="22"/>
      <c r="AM2232" s="22"/>
      <c r="AN2232" s="22"/>
      <c r="AO2232" s="22"/>
      <c r="AP2232" s="22"/>
    </row>
    <row r="2233">
      <c r="A2233" s="148">
        <v>46213.0</v>
      </c>
      <c r="B2233" s="149">
        <v>0.5</v>
      </c>
      <c r="C2233" s="11" t="s">
        <v>58</v>
      </c>
      <c r="D2233" s="11" t="s">
        <v>3083</v>
      </c>
      <c r="E2233" s="10" t="s">
        <v>179</v>
      </c>
      <c r="F2233" s="10" t="s">
        <v>6423</v>
      </c>
      <c r="G2233" s="11" t="s">
        <v>6515</v>
      </c>
      <c r="H2233" s="11" t="s">
        <v>6432</v>
      </c>
      <c r="I2233" s="10" t="s">
        <v>61</v>
      </c>
      <c r="J2233" s="14">
        <v>14924.0</v>
      </c>
      <c r="K2233" s="14">
        <v>9101.0</v>
      </c>
      <c r="L2233" s="17">
        <v>0.6098</v>
      </c>
      <c r="M2233" s="150">
        <v>0.0</v>
      </c>
      <c r="N2233" s="136">
        <v>0.0</v>
      </c>
      <c r="O2233" s="18">
        <v>0.0</v>
      </c>
      <c r="P2233" s="92">
        <v>0.0</v>
      </c>
      <c r="Q2233" s="137">
        <v>0.0</v>
      </c>
      <c r="R2233" s="17">
        <v>0.0</v>
      </c>
      <c r="S2233" s="18">
        <v>1.0</v>
      </c>
      <c r="T2233" s="18">
        <v>3.0</v>
      </c>
      <c r="U2233" s="151">
        <v>11268.0</v>
      </c>
      <c r="V2233" s="92" t="s">
        <v>315</v>
      </c>
      <c r="W2233" s="18" t="s">
        <v>58</v>
      </c>
      <c r="X2233" s="174" t="s">
        <v>6425</v>
      </c>
      <c r="Y2233" s="95" t="s">
        <v>6426</v>
      </c>
      <c r="Z2233" s="18" t="s">
        <v>6516</v>
      </c>
      <c r="AA2233" s="92">
        <v>24.0</v>
      </c>
      <c r="AB2233" s="92"/>
      <c r="AC2233" s="92">
        <v>24.0</v>
      </c>
      <c r="AD2233" s="92">
        <v>97878.0</v>
      </c>
      <c r="AE2233" s="92"/>
      <c r="AF2233" s="92">
        <v>97878.0</v>
      </c>
      <c r="AG2233" s="22"/>
      <c r="AH2233" s="22"/>
      <c r="AI2233" s="22"/>
      <c r="AJ2233" s="22"/>
      <c r="AK2233" s="22"/>
      <c r="AL2233" s="22"/>
      <c r="AM2233" s="22"/>
      <c r="AN2233" s="22"/>
      <c r="AO2233" s="22"/>
      <c r="AP2233" s="22"/>
    </row>
    <row r="2234">
      <c r="A2234" s="148">
        <v>46213.0</v>
      </c>
      <c r="B2234" s="149">
        <v>0.5</v>
      </c>
      <c r="C2234" s="11" t="s">
        <v>58</v>
      </c>
      <c r="D2234" s="11" t="s">
        <v>3083</v>
      </c>
      <c r="E2234" s="10" t="s">
        <v>179</v>
      </c>
      <c r="F2234" s="10" t="s">
        <v>6423</v>
      </c>
      <c r="G2234" s="11" t="s">
        <v>6517</v>
      </c>
      <c r="H2234" s="11" t="s">
        <v>6435</v>
      </c>
      <c r="I2234" s="10" t="s">
        <v>61</v>
      </c>
      <c r="J2234" s="14">
        <v>6268.0</v>
      </c>
      <c r="K2234" s="14">
        <v>3843.0</v>
      </c>
      <c r="L2234" s="17">
        <v>0.6131</v>
      </c>
      <c r="M2234" s="150">
        <v>0.0</v>
      </c>
      <c r="N2234" s="136">
        <v>0.0</v>
      </c>
      <c r="O2234" s="18">
        <v>0.0</v>
      </c>
      <c r="P2234" s="92">
        <v>0.0</v>
      </c>
      <c r="Q2234" s="137">
        <v>0.0</v>
      </c>
      <c r="R2234" s="17">
        <v>0.0</v>
      </c>
      <c r="S2234" s="18">
        <v>0.0</v>
      </c>
      <c r="T2234" s="18">
        <v>2.0</v>
      </c>
      <c r="U2234" s="151">
        <v>0.0</v>
      </c>
      <c r="V2234" s="92" t="s">
        <v>315</v>
      </c>
      <c r="W2234" s="18" t="s">
        <v>58</v>
      </c>
      <c r="X2234" s="174" t="s">
        <v>6425</v>
      </c>
      <c r="Y2234" s="95" t="s">
        <v>6426</v>
      </c>
      <c r="Z2234" s="18" t="s">
        <v>6518</v>
      </c>
      <c r="AA2234" s="92">
        <v>15.0</v>
      </c>
      <c r="AB2234" s="92"/>
      <c r="AC2234" s="92">
        <v>15.0</v>
      </c>
      <c r="AD2234" s="92">
        <v>106357.0</v>
      </c>
      <c r="AE2234" s="92"/>
      <c r="AF2234" s="92">
        <v>106357.0</v>
      </c>
      <c r="AG2234" s="22"/>
      <c r="AH2234" s="22"/>
      <c r="AI2234" s="22"/>
      <c r="AJ2234" s="22"/>
      <c r="AK2234" s="22"/>
      <c r="AL2234" s="22"/>
      <c r="AM2234" s="22"/>
      <c r="AN2234" s="22"/>
      <c r="AO2234" s="22"/>
      <c r="AP2234" s="22"/>
    </row>
    <row r="2235" hidden="1">
      <c r="A2235" s="148">
        <v>46213.0</v>
      </c>
      <c r="B2235" s="149">
        <v>0.4166666666666667</v>
      </c>
      <c r="C2235" s="11" t="s">
        <v>58</v>
      </c>
      <c r="D2235" s="11" t="s">
        <v>33</v>
      </c>
      <c r="E2235" s="10" t="s">
        <v>133</v>
      </c>
      <c r="F2235" s="10" t="s">
        <v>1101</v>
      </c>
      <c r="G2235" s="11" t="s">
        <v>6519</v>
      </c>
      <c r="H2235" s="11" t="s">
        <v>6520</v>
      </c>
      <c r="I2235" s="10" t="s">
        <v>6521</v>
      </c>
      <c r="J2235" s="14">
        <v>577.0</v>
      </c>
      <c r="K2235" s="14">
        <v>306.0</v>
      </c>
      <c r="L2235" s="17">
        <v>0.5303</v>
      </c>
      <c r="M2235" s="150">
        <v>0.0</v>
      </c>
      <c r="N2235" s="136">
        <v>0.0</v>
      </c>
      <c r="O2235" s="18">
        <v>0.0</v>
      </c>
      <c r="P2235" s="92">
        <v>0.0</v>
      </c>
      <c r="Q2235" s="137">
        <v>0.0</v>
      </c>
      <c r="R2235" s="17">
        <v>0.0</v>
      </c>
      <c r="S2235" s="18">
        <v>0.0</v>
      </c>
      <c r="T2235" s="18">
        <v>0.0</v>
      </c>
      <c r="U2235" s="151">
        <v>0.0</v>
      </c>
      <c r="V2235" s="92" t="s">
        <v>315</v>
      </c>
      <c r="W2235" s="18" t="s">
        <v>58</v>
      </c>
      <c r="X2235" s="174" t="s">
        <v>6522</v>
      </c>
      <c r="Y2235" s="94" t="s">
        <v>6523</v>
      </c>
      <c r="Z2235" s="18" t="s">
        <v>6524</v>
      </c>
      <c r="AA2235" s="92"/>
      <c r="AB2235" s="92"/>
      <c r="AC2235" s="92"/>
      <c r="AD2235" s="92"/>
      <c r="AE2235" s="92"/>
      <c r="AF2235" s="92"/>
      <c r="AG2235" s="22"/>
      <c r="AH2235" s="22"/>
      <c r="AI2235" s="22"/>
      <c r="AJ2235" s="22"/>
      <c r="AK2235" s="22"/>
      <c r="AL2235" s="22"/>
      <c r="AM2235" s="22"/>
      <c r="AN2235" s="22"/>
      <c r="AO2235" s="22"/>
      <c r="AP2235" s="22"/>
    </row>
    <row r="2236" hidden="1">
      <c r="A2236" s="148">
        <v>46213.0</v>
      </c>
      <c r="B2236" s="149">
        <v>0.4166666666666667</v>
      </c>
      <c r="C2236" s="11" t="s">
        <v>58</v>
      </c>
      <c r="D2236" s="11" t="s">
        <v>33</v>
      </c>
      <c r="E2236" s="10" t="s">
        <v>133</v>
      </c>
      <c r="F2236" s="10" t="s">
        <v>1101</v>
      </c>
      <c r="G2236" s="11" t="s">
        <v>6525</v>
      </c>
      <c r="H2236" s="11" t="s">
        <v>6526</v>
      </c>
      <c r="I2236" s="10" t="s">
        <v>6527</v>
      </c>
      <c r="J2236" s="14">
        <v>968.0</v>
      </c>
      <c r="K2236" s="14">
        <v>444.0</v>
      </c>
      <c r="L2236" s="17">
        <v>0.4587</v>
      </c>
      <c r="M2236" s="150">
        <v>0.0</v>
      </c>
      <c r="N2236" s="136">
        <v>0.0</v>
      </c>
      <c r="O2236" s="18">
        <v>0.0</v>
      </c>
      <c r="P2236" s="92">
        <v>0.0</v>
      </c>
      <c r="Q2236" s="137">
        <v>0.0</v>
      </c>
      <c r="R2236" s="17">
        <v>0.0</v>
      </c>
      <c r="S2236" s="18">
        <v>0.0</v>
      </c>
      <c r="T2236" s="18">
        <v>0.0</v>
      </c>
      <c r="U2236" s="151">
        <v>0.0</v>
      </c>
      <c r="V2236" s="92" t="s">
        <v>315</v>
      </c>
      <c r="W2236" s="18" t="s">
        <v>58</v>
      </c>
      <c r="X2236" s="174" t="s">
        <v>6522</v>
      </c>
      <c r="Y2236" s="94" t="s">
        <v>6523</v>
      </c>
      <c r="Z2236" s="18" t="s">
        <v>6528</v>
      </c>
      <c r="AA2236" s="92"/>
      <c r="AB2236" s="92"/>
      <c r="AC2236" s="92"/>
      <c r="AD2236" s="92"/>
      <c r="AE2236" s="92"/>
      <c r="AF2236" s="92"/>
      <c r="AG2236" s="22"/>
      <c r="AH2236" s="22"/>
      <c r="AI2236" s="22"/>
      <c r="AJ2236" s="22"/>
      <c r="AK2236" s="22"/>
      <c r="AL2236" s="22"/>
      <c r="AM2236" s="22"/>
      <c r="AN2236" s="22"/>
      <c r="AO2236" s="22"/>
      <c r="AP2236" s="22"/>
    </row>
    <row r="2237" hidden="1">
      <c r="A2237" s="148">
        <v>46213.0</v>
      </c>
      <c r="B2237" s="149">
        <v>0.4166666666666667</v>
      </c>
      <c r="C2237" s="11" t="s">
        <v>58</v>
      </c>
      <c r="D2237" s="11" t="s">
        <v>33</v>
      </c>
      <c r="E2237" s="10" t="s">
        <v>133</v>
      </c>
      <c r="F2237" s="10" t="s">
        <v>1101</v>
      </c>
      <c r="G2237" s="11" t="s">
        <v>6529</v>
      </c>
      <c r="H2237" s="11" t="s">
        <v>6530</v>
      </c>
      <c r="I2237" s="10" t="s">
        <v>6531</v>
      </c>
      <c r="J2237" s="14">
        <v>137.0</v>
      </c>
      <c r="K2237" s="14">
        <v>70.0</v>
      </c>
      <c r="L2237" s="17">
        <v>0.5109</v>
      </c>
      <c r="M2237" s="150">
        <v>0.0</v>
      </c>
      <c r="N2237" s="136">
        <v>0.0</v>
      </c>
      <c r="O2237" s="18">
        <v>0.0</v>
      </c>
      <c r="P2237" s="92">
        <v>0.0</v>
      </c>
      <c r="Q2237" s="137">
        <v>0.0</v>
      </c>
      <c r="R2237" s="17">
        <v>0.0</v>
      </c>
      <c r="S2237" s="18">
        <v>0.0</v>
      </c>
      <c r="T2237" s="18">
        <v>0.0</v>
      </c>
      <c r="U2237" s="151">
        <v>0.0</v>
      </c>
      <c r="V2237" s="92" t="s">
        <v>315</v>
      </c>
      <c r="W2237" s="18" t="s">
        <v>58</v>
      </c>
      <c r="X2237" s="174" t="s">
        <v>6522</v>
      </c>
      <c r="Y2237" s="94" t="s">
        <v>6523</v>
      </c>
      <c r="Z2237" s="18" t="s">
        <v>6532</v>
      </c>
      <c r="AA2237" s="92"/>
      <c r="AB2237" s="92"/>
      <c r="AC2237" s="92"/>
      <c r="AD2237" s="92"/>
      <c r="AE2237" s="92"/>
      <c r="AF2237" s="92"/>
      <c r="AG2237" s="22"/>
      <c r="AH2237" s="22"/>
      <c r="AI2237" s="22"/>
      <c r="AJ2237" s="22"/>
      <c r="AK2237" s="22"/>
      <c r="AL2237" s="22"/>
      <c r="AM2237" s="22"/>
      <c r="AN2237" s="22"/>
      <c r="AO2237" s="22"/>
      <c r="AP2237" s="22"/>
    </row>
    <row r="2238" hidden="1">
      <c r="A2238" s="148">
        <v>46213.0</v>
      </c>
      <c r="B2238" s="149">
        <v>0.4166666666666667</v>
      </c>
      <c r="C2238" s="11" t="s">
        <v>58</v>
      </c>
      <c r="D2238" s="11" t="s">
        <v>33</v>
      </c>
      <c r="E2238" s="10" t="s">
        <v>133</v>
      </c>
      <c r="F2238" s="10" t="s">
        <v>1101</v>
      </c>
      <c r="G2238" s="11" t="s">
        <v>6533</v>
      </c>
      <c r="H2238" s="11" t="s">
        <v>6534</v>
      </c>
      <c r="I2238" s="10" t="s">
        <v>6535</v>
      </c>
      <c r="J2238" s="14">
        <v>10998.0</v>
      </c>
      <c r="K2238" s="14">
        <v>5534.0</v>
      </c>
      <c r="L2238" s="17">
        <v>0.5032</v>
      </c>
      <c r="M2238" s="150">
        <v>0.0</v>
      </c>
      <c r="N2238" s="136">
        <v>0.0</v>
      </c>
      <c r="O2238" s="18">
        <v>0.0</v>
      </c>
      <c r="P2238" s="92">
        <v>0.0</v>
      </c>
      <c r="Q2238" s="137">
        <v>0.0</v>
      </c>
      <c r="R2238" s="17">
        <v>0.0</v>
      </c>
      <c r="S2238" s="18">
        <v>0.0</v>
      </c>
      <c r="T2238" s="18">
        <v>0.0</v>
      </c>
      <c r="U2238" s="151">
        <v>0.0</v>
      </c>
      <c r="V2238" s="92" t="s">
        <v>315</v>
      </c>
      <c r="W2238" s="18" t="s">
        <v>58</v>
      </c>
      <c r="X2238" s="174" t="s">
        <v>6522</v>
      </c>
      <c r="Y2238" s="94" t="s">
        <v>6523</v>
      </c>
      <c r="Z2238" s="18" t="s">
        <v>6536</v>
      </c>
      <c r="AA2238" s="92"/>
      <c r="AB2238" s="92"/>
      <c r="AC2238" s="92"/>
      <c r="AD2238" s="92"/>
      <c r="AE2238" s="92"/>
      <c r="AF2238" s="92"/>
      <c r="AG2238" s="22"/>
      <c r="AH2238" s="22"/>
      <c r="AI2238" s="22"/>
      <c r="AJ2238" s="22"/>
      <c r="AK2238" s="22"/>
      <c r="AL2238" s="22"/>
      <c r="AM2238" s="22"/>
      <c r="AN2238" s="22"/>
      <c r="AO2238" s="22"/>
      <c r="AP2238" s="22"/>
    </row>
    <row r="2239" hidden="1">
      <c r="A2239" s="148">
        <v>46213.0</v>
      </c>
      <c r="B2239" s="149">
        <v>0.4166666666666667</v>
      </c>
      <c r="C2239" s="11" t="s">
        <v>58</v>
      </c>
      <c r="D2239" s="11" t="s">
        <v>33</v>
      </c>
      <c r="E2239" s="10" t="s">
        <v>133</v>
      </c>
      <c r="F2239" s="10" t="s">
        <v>1101</v>
      </c>
      <c r="G2239" s="11" t="s">
        <v>6537</v>
      </c>
      <c r="H2239" s="11" t="s">
        <v>6538</v>
      </c>
      <c r="I2239" s="10" t="s">
        <v>6539</v>
      </c>
      <c r="J2239" s="14">
        <v>16262.0</v>
      </c>
      <c r="K2239" s="14">
        <v>9700.0</v>
      </c>
      <c r="L2239" s="17">
        <v>0.5965</v>
      </c>
      <c r="M2239" s="150">
        <v>0.0</v>
      </c>
      <c r="N2239" s="136">
        <v>0.0</v>
      </c>
      <c r="O2239" s="18">
        <v>0.0</v>
      </c>
      <c r="P2239" s="92">
        <v>0.0</v>
      </c>
      <c r="Q2239" s="137">
        <v>0.0</v>
      </c>
      <c r="R2239" s="17">
        <v>0.0</v>
      </c>
      <c r="S2239" s="18">
        <v>0.0</v>
      </c>
      <c r="T2239" s="18">
        <v>0.0</v>
      </c>
      <c r="U2239" s="151">
        <v>0.0</v>
      </c>
      <c r="V2239" s="92" t="s">
        <v>315</v>
      </c>
      <c r="W2239" s="18" t="s">
        <v>58</v>
      </c>
      <c r="X2239" s="174" t="s">
        <v>6522</v>
      </c>
      <c r="Y2239" s="94" t="s">
        <v>6523</v>
      </c>
      <c r="Z2239" s="18" t="s">
        <v>6540</v>
      </c>
      <c r="AA2239" s="92"/>
      <c r="AB2239" s="92"/>
      <c r="AC2239" s="92"/>
      <c r="AD2239" s="92"/>
      <c r="AE2239" s="92"/>
      <c r="AF2239" s="92"/>
      <c r="AG2239" s="22"/>
      <c r="AH2239" s="22"/>
      <c r="AI2239" s="22"/>
      <c r="AJ2239" s="22"/>
      <c r="AK2239" s="22"/>
      <c r="AL2239" s="22"/>
      <c r="AM2239" s="22"/>
      <c r="AN2239" s="22"/>
      <c r="AO2239" s="22"/>
      <c r="AP2239" s="22"/>
    </row>
    <row r="2240" hidden="1">
      <c r="A2240" s="148">
        <v>46213.0</v>
      </c>
      <c r="B2240" s="149">
        <v>0.4166666666666667</v>
      </c>
      <c r="C2240" s="11" t="s">
        <v>58</v>
      </c>
      <c r="D2240" s="11" t="s">
        <v>33</v>
      </c>
      <c r="E2240" s="10" t="s">
        <v>133</v>
      </c>
      <c r="F2240" s="10" t="s">
        <v>1101</v>
      </c>
      <c r="G2240" s="11" t="s">
        <v>6541</v>
      </c>
      <c r="H2240" s="11" t="s">
        <v>6542</v>
      </c>
      <c r="I2240" s="10" t="s">
        <v>6543</v>
      </c>
      <c r="J2240" s="14">
        <v>4982.0</v>
      </c>
      <c r="K2240" s="14">
        <v>2737.0</v>
      </c>
      <c r="L2240" s="17">
        <v>0.5494</v>
      </c>
      <c r="M2240" s="150">
        <v>0.0</v>
      </c>
      <c r="N2240" s="136">
        <v>0.0</v>
      </c>
      <c r="O2240" s="18">
        <v>0.0</v>
      </c>
      <c r="P2240" s="92">
        <v>0.0</v>
      </c>
      <c r="Q2240" s="137">
        <v>0.0</v>
      </c>
      <c r="R2240" s="17">
        <v>0.0</v>
      </c>
      <c r="S2240" s="18">
        <v>0.0</v>
      </c>
      <c r="T2240" s="18">
        <v>0.0</v>
      </c>
      <c r="U2240" s="151">
        <v>0.0</v>
      </c>
      <c r="V2240" s="92" t="s">
        <v>315</v>
      </c>
      <c r="W2240" s="18" t="s">
        <v>58</v>
      </c>
      <c r="X2240" s="174" t="s">
        <v>6522</v>
      </c>
      <c r="Y2240" s="94" t="s">
        <v>6523</v>
      </c>
      <c r="Z2240" s="18" t="s">
        <v>6544</v>
      </c>
      <c r="AA2240" s="92"/>
      <c r="AB2240" s="92"/>
      <c r="AC2240" s="92"/>
      <c r="AD2240" s="92"/>
      <c r="AE2240" s="92"/>
      <c r="AF2240" s="92"/>
      <c r="AG2240" s="22"/>
      <c r="AH2240" s="22"/>
      <c r="AI2240" s="22"/>
      <c r="AJ2240" s="22"/>
      <c r="AK2240" s="22"/>
      <c r="AL2240" s="22"/>
      <c r="AM2240" s="22"/>
      <c r="AN2240" s="22"/>
      <c r="AO2240" s="22"/>
      <c r="AP2240" s="22"/>
    </row>
    <row r="2241" hidden="1">
      <c r="A2241" s="148">
        <v>46213.0</v>
      </c>
      <c r="B2241" s="149">
        <v>0.4166666666666667</v>
      </c>
      <c r="C2241" s="11" t="s">
        <v>58</v>
      </c>
      <c r="D2241" s="11" t="s">
        <v>33</v>
      </c>
      <c r="E2241" s="10" t="s">
        <v>133</v>
      </c>
      <c r="F2241" s="10" t="s">
        <v>1101</v>
      </c>
      <c r="G2241" s="11" t="s">
        <v>6545</v>
      </c>
      <c r="H2241" s="11" t="s">
        <v>6546</v>
      </c>
      <c r="I2241" s="10" t="s">
        <v>6547</v>
      </c>
      <c r="J2241" s="14">
        <v>16102.0</v>
      </c>
      <c r="K2241" s="14">
        <v>9179.0</v>
      </c>
      <c r="L2241" s="17">
        <v>0.5701</v>
      </c>
      <c r="M2241" s="150">
        <v>0.0</v>
      </c>
      <c r="N2241" s="136">
        <v>0.0</v>
      </c>
      <c r="O2241" s="18">
        <v>0.0</v>
      </c>
      <c r="P2241" s="92">
        <v>0.0</v>
      </c>
      <c r="Q2241" s="137">
        <v>0.0</v>
      </c>
      <c r="R2241" s="17">
        <v>0.0</v>
      </c>
      <c r="S2241" s="18">
        <v>0.0</v>
      </c>
      <c r="T2241" s="18">
        <v>0.0</v>
      </c>
      <c r="U2241" s="151">
        <v>0.0</v>
      </c>
      <c r="V2241" s="92" t="s">
        <v>315</v>
      </c>
      <c r="W2241" s="18" t="s">
        <v>58</v>
      </c>
      <c r="X2241" s="174" t="s">
        <v>6522</v>
      </c>
      <c r="Y2241" s="94" t="s">
        <v>6523</v>
      </c>
      <c r="Z2241" s="18" t="s">
        <v>6548</v>
      </c>
      <c r="AA2241" s="92"/>
      <c r="AB2241" s="92"/>
      <c r="AC2241" s="92"/>
      <c r="AD2241" s="92"/>
      <c r="AE2241" s="92"/>
      <c r="AF2241" s="92"/>
      <c r="AG2241" s="22"/>
      <c r="AH2241" s="22"/>
      <c r="AI2241" s="22"/>
      <c r="AJ2241" s="22"/>
      <c r="AK2241" s="22"/>
      <c r="AL2241" s="22"/>
      <c r="AM2241" s="22"/>
      <c r="AN2241" s="22"/>
      <c r="AO2241" s="22"/>
      <c r="AP2241" s="22"/>
    </row>
    <row r="2242" hidden="1">
      <c r="A2242" s="148">
        <v>46213.0</v>
      </c>
      <c r="B2242" s="149">
        <v>0.4166666666666667</v>
      </c>
      <c r="C2242" s="11" t="s">
        <v>58</v>
      </c>
      <c r="D2242" s="11" t="s">
        <v>33</v>
      </c>
      <c r="E2242" s="10" t="s">
        <v>133</v>
      </c>
      <c r="F2242" s="10" t="s">
        <v>1101</v>
      </c>
      <c r="G2242" s="11" t="s">
        <v>6549</v>
      </c>
      <c r="H2242" s="11" t="s">
        <v>6550</v>
      </c>
      <c r="I2242" s="10" t="s">
        <v>6551</v>
      </c>
      <c r="J2242" s="14">
        <v>4589.0</v>
      </c>
      <c r="K2242" s="14">
        <v>2736.0</v>
      </c>
      <c r="L2242" s="17">
        <v>0.5962</v>
      </c>
      <c r="M2242" s="150">
        <v>0.0</v>
      </c>
      <c r="N2242" s="136">
        <v>0.0</v>
      </c>
      <c r="O2242" s="18">
        <v>0.0</v>
      </c>
      <c r="P2242" s="92">
        <v>0.0</v>
      </c>
      <c r="Q2242" s="137">
        <v>0.0</v>
      </c>
      <c r="R2242" s="17">
        <v>0.0</v>
      </c>
      <c r="S2242" s="18">
        <v>0.0</v>
      </c>
      <c r="T2242" s="18">
        <v>0.0</v>
      </c>
      <c r="U2242" s="151">
        <v>0.0</v>
      </c>
      <c r="V2242" s="92" t="s">
        <v>315</v>
      </c>
      <c r="W2242" s="18" t="s">
        <v>58</v>
      </c>
      <c r="X2242" s="174" t="s">
        <v>6522</v>
      </c>
      <c r="Y2242" s="94" t="s">
        <v>6523</v>
      </c>
      <c r="Z2242" s="18" t="s">
        <v>6552</v>
      </c>
      <c r="AA2242" s="92"/>
      <c r="AB2242" s="92"/>
      <c r="AC2242" s="92"/>
      <c r="AD2242" s="92"/>
      <c r="AE2242" s="92"/>
      <c r="AF2242" s="92"/>
      <c r="AG2242" s="22"/>
      <c r="AH2242" s="22"/>
      <c r="AI2242" s="22"/>
      <c r="AJ2242" s="22"/>
      <c r="AK2242" s="22"/>
      <c r="AL2242" s="22"/>
      <c r="AM2242" s="22"/>
      <c r="AN2242" s="22"/>
      <c r="AO2242" s="22"/>
      <c r="AP2242" s="22"/>
    </row>
    <row r="2243" hidden="1">
      <c r="A2243" s="148">
        <v>46213.0</v>
      </c>
      <c r="B2243" s="149">
        <v>0.4166666666666667</v>
      </c>
      <c r="C2243" s="11" t="s">
        <v>58</v>
      </c>
      <c r="D2243" s="11" t="s">
        <v>33</v>
      </c>
      <c r="E2243" s="10" t="s">
        <v>133</v>
      </c>
      <c r="F2243" s="10" t="s">
        <v>1101</v>
      </c>
      <c r="G2243" s="11" t="s">
        <v>6553</v>
      </c>
      <c r="H2243" s="11" t="s">
        <v>6554</v>
      </c>
      <c r="I2243" s="10" t="s">
        <v>6555</v>
      </c>
      <c r="J2243" s="14">
        <v>9142.0</v>
      </c>
      <c r="K2243" s="14">
        <v>5146.0</v>
      </c>
      <c r="L2243" s="17">
        <v>0.5629</v>
      </c>
      <c r="M2243" s="150">
        <v>0.0</v>
      </c>
      <c r="N2243" s="136">
        <v>0.0</v>
      </c>
      <c r="O2243" s="18">
        <v>0.0</v>
      </c>
      <c r="P2243" s="92">
        <v>0.0</v>
      </c>
      <c r="Q2243" s="137">
        <v>0.0</v>
      </c>
      <c r="R2243" s="17">
        <v>0.0</v>
      </c>
      <c r="S2243" s="18">
        <v>0.0</v>
      </c>
      <c r="T2243" s="18">
        <v>0.0</v>
      </c>
      <c r="U2243" s="151">
        <v>0.0</v>
      </c>
      <c r="V2243" s="92" t="s">
        <v>315</v>
      </c>
      <c r="W2243" s="18" t="s">
        <v>58</v>
      </c>
      <c r="X2243" s="174" t="s">
        <v>6522</v>
      </c>
      <c r="Y2243" s="94" t="s">
        <v>6523</v>
      </c>
      <c r="Z2243" s="18" t="s">
        <v>6556</v>
      </c>
      <c r="AA2243" s="92"/>
      <c r="AB2243" s="92"/>
      <c r="AC2243" s="92"/>
      <c r="AD2243" s="92"/>
      <c r="AE2243" s="92"/>
      <c r="AF2243" s="92"/>
      <c r="AG2243" s="22"/>
      <c r="AH2243" s="22"/>
      <c r="AI2243" s="22"/>
      <c r="AJ2243" s="22"/>
      <c r="AK2243" s="22"/>
      <c r="AL2243" s="22"/>
      <c r="AM2243" s="22"/>
      <c r="AN2243" s="22"/>
      <c r="AO2243" s="22"/>
      <c r="AP2243" s="22"/>
    </row>
    <row r="2244" hidden="1">
      <c r="A2244" s="148">
        <v>46213.0</v>
      </c>
      <c r="B2244" s="149">
        <v>0.4166666666666667</v>
      </c>
      <c r="C2244" s="11" t="s">
        <v>58</v>
      </c>
      <c r="D2244" s="11" t="s">
        <v>33</v>
      </c>
      <c r="E2244" s="10" t="s">
        <v>133</v>
      </c>
      <c r="F2244" s="10" t="s">
        <v>1101</v>
      </c>
      <c r="G2244" s="11" t="s">
        <v>6557</v>
      </c>
      <c r="H2244" s="11" t="s">
        <v>6558</v>
      </c>
      <c r="I2244" s="10" t="s">
        <v>6559</v>
      </c>
      <c r="J2244" s="14">
        <v>27785.0</v>
      </c>
      <c r="K2244" s="14">
        <v>14675.0</v>
      </c>
      <c r="L2244" s="17">
        <v>0.5282</v>
      </c>
      <c r="M2244" s="150">
        <v>0.0</v>
      </c>
      <c r="N2244" s="136">
        <v>0.0</v>
      </c>
      <c r="O2244" s="18">
        <v>0.0</v>
      </c>
      <c r="P2244" s="92">
        <v>0.0</v>
      </c>
      <c r="Q2244" s="137">
        <v>0.0</v>
      </c>
      <c r="R2244" s="17">
        <v>0.0</v>
      </c>
      <c r="S2244" s="18">
        <v>0.0</v>
      </c>
      <c r="T2244" s="18">
        <v>0.0</v>
      </c>
      <c r="U2244" s="151">
        <v>0.0</v>
      </c>
      <c r="V2244" s="92" t="s">
        <v>315</v>
      </c>
      <c r="W2244" s="18" t="s">
        <v>58</v>
      </c>
      <c r="X2244" s="174" t="s">
        <v>6522</v>
      </c>
      <c r="Y2244" s="94" t="s">
        <v>6523</v>
      </c>
      <c r="Z2244" s="18" t="s">
        <v>6560</v>
      </c>
      <c r="AA2244" s="92"/>
      <c r="AB2244" s="92"/>
      <c r="AC2244" s="92"/>
      <c r="AD2244" s="92"/>
      <c r="AE2244" s="92"/>
      <c r="AF2244" s="92"/>
      <c r="AG2244" s="22"/>
      <c r="AH2244" s="22"/>
      <c r="AI2244" s="22"/>
      <c r="AJ2244" s="22"/>
      <c r="AK2244" s="22"/>
      <c r="AL2244" s="22"/>
      <c r="AM2244" s="22"/>
      <c r="AN2244" s="22"/>
      <c r="AO2244" s="22"/>
      <c r="AP2244" s="22"/>
    </row>
    <row r="2245" hidden="1">
      <c r="A2245" s="148">
        <v>46213.0</v>
      </c>
      <c r="B2245" s="149">
        <v>0.4166666666666667</v>
      </c>
      <c r="C2245" s="11" t="s">
        <v>58</v>
      </c>
      <c r="D2245" s="11" t="s">
        <v>33</v>
      </c>
      <c r="E2245" s="10" t="s">
        <v>133</v>
      </c>
      <c r="F2245" s="10" t="s">
        <v>1101</v>
      </c>
      <c r="G2245" s="11" t="s">
        <v>6561</v>
      </c>
      <c r="H2245" s="11" t="s">
        <v>6562</v>
      </c>
      <c r="I2245" s="10" t="s">
        <v>6563</v>
      </c>
      <c r="J2245" s="14">
        <v>21279.0</v>
      </c>
      <c r="K2245" s="14">
        <v>11038.0</v>
      </c>
      <c r="L2245" s="17">
        <v>0.5187</v>
      </c>
      <c r="M2245" s="150">
        <v>0.0</v>
      </c>
      <c r="N2245" s="136">
        <v>0.0</v>
      </c>
      <c r="O2245" s="18">
        <v>0.0</v>
      </c>
      <c r="P2245" s="92">
        <v>0.0</v>
      </c>
      <c r="Q2245" s="137">
        <v>0.0</v>
      </c>
      <c r="R2245" s="17">
        <v>0.0</v>
      </c>
      <c r="S2245" s="18">
        <v>0.0</v>
      </c>
      <c r="T2245" s="18">
        <v>0.0</v>
      </c>
      <c r="U2245" s="151">
        <v>0.0</v>
      </c>
      <c r="V2245" s="92" t="s">
        <v>315</v>
      </c>
      <c r="W2245" s="18" t="s">
        <v>58</v>
      </c>
      <c r="X2245" s="174" t="s">
        <v>6522</v>
      </c>
      <c r="Y2245" s="94" t="s">
        <v>6523</v>
      </c>
      <c r="Z2245" s="18" t="s">
        <v>6564</v>
      </c>
      <c r="AA2245" s="92"/>
      <c r="AB2245" s="92"/>
      <c r="AC2245" s="92"/>
      <c r="AD2245" s="92"/>
      <c r="AE2245" s="92"/>
      <c r="AF2245" s="92"/>
      <c r="AG2245" s="22"/>
      <c r="AH2245" s="22"/>
      <c r="AI2245" s="22"/>
      <c r="AJ2245" s="22"/>
      <c r="AK2245" s="22"/>
      <c r="AL2245" s="22"/>
      <c r="AM2245" s="22"/>
      <c r="AN2245" s="22"/>
      <c r="AO2245" s="22"/>
      <c r="AP2245" s="22"/>
    </row>
    <row r="2246" hidden="1">
      <c r="A2246" s="148">
        <v>46213.0</v>
      </c>
      <c r="B2246" s="149">
        <v>0.4166666666666667</v>
      </c>
      <c r="C2246" s="11" t="s">
        <v>58</v>
      </c>
      <c r="D2246" s="11" t="s">
        <v>33</v>
      </c>
      <c r="E2246" s="10" t="s">
        <v>133</v>
      </c>
      <c r="F2246" s="10" t="s">
        <v>1101</v>
      </c>
      <c r="G2246" s="11" t="s">
        <v>6565</v>
      </c>
      <c r="H2246" s="11" t="s">
        <v>6566</v>
      </c>
      <c r="I2246" s="10" t="s">
        <v>6567</v>
      </c>
      <c r="J2246" s="14">
        <v>1649.0</v>
      </c>
      <c r="K2246" s="14">
        <v>858.0</v>
      </c>
      <c r="L2246" s="17">
        <v>0.5203</v>
      </c>
      <c r="M2246" s="150">
        <v>0.0</v>
      </c>
      <c r="N2246" s="136">
        <v>0.0</v>
      </c>
      <c r="O2246" s="18">
        <v>0.0</v>
      </c>
      <c r="P2246" s="92">
        <v>0.0</v>
      </c>
      <c r="Q2246" s="137">
        <v>0.0</v>
      </c>
      <c r="R2246" s="17">
        <v>0.0</v>
      </c>
      <c r="S2246" s="18">
        <v>0.0</v>
      </c>
      <c r="T2246" s="18">
        <v>0.0</v>
      </c>
      <c r="U2246" s="151">
        <v>0.0</v>
      </c>
      <c r="V2246" s="92" t="s">
        <v>315</v>
      </c>
      <c r="W2246" s="18" t="s">
        <v>58</v>
      </c>
      <c r="X2246" s="174" t="s">
        <v>6522</v>
      </c>
      <c r="Y2246" s="94" t="s">
        <v>6523</v>
      </c>
      <c r="Z2246" s="18" t="s">
        <v>6568</v>
      </c>
      <c r="AA2246" s="92"/>
      <c r="AB2246" s="92"/>
      <c r="AC2246" s="92"/>
      <c r="AD2246" s="92"/>
      <c r="AE2246" s="92"/>
      <c r="AF2246" s="92"/>
      <c r="AG2246" s="22"/>
      <c r="AH2246" s="22"/>
      <c r="AI2246" s="22"/>
      <c r="AJ2246" s="22"/>
      <c r="AK2246" s="22"/>
      <c r="AL2246" s="22"/>
      <c r="AM2246" s="22"/>
      <c r="AN2246" s="22"/>
      <c r="AO2246" s="22"/>
      <c r="AP2246" s="22"/>
    </row>
    <row r="2247" hidden="1">
      <c r="A2247" s="148">
        <v>46213.0</v>
      </c>
      <c r="B2247" s="149">
        <v>0.4166666666666667</v>
      </c>
      <c r="C2247" s="11" t="s">
        <v>58</v>
      </c>
      <c r="D2247" s="11" t="s">
        <v>33</v>
      </c>
      <c r="E2247" s="10" t="s">
        <v>133</v>
      </c>
      <c r="F2247" s="10" t="s">
        <v>1101</v>
      </c>
      <c r="G2247" s="11" t="s">
        <v>6569</v>
      </c>
      <c r="H2247" s="11" t="s">
        <v>6570</v>
      </c>
      <c r="I2247" s="10" t="s">
        <v>6571</v>
      </c>
      <c r="J2247" s="14">
        <v>7432.0</v>
      </c>
      <c r="K2247" s="14">
        <v>4156.0</v>
      </c>
      <c r="L2247" s="17">
        <v>0.5592</v>
      </c>
      <c r="M2247" s="150">
        <v>0.0</v>
      </c>
      <c r="N2247" s="136">
        <v>0.0</v>
      </c>
      <c r="O2247" s="18">
        <v>0.0</v>
      </c>
      <c r="P2247" s="92">
        <v>0.0</v>
      </c>
      <c r="Q2247" s="137">
        <v>0.0</v>
      </c>
      <c r="R2247" s="17">
        <v>0.0</v>
      </c>
      <c r="S2247" s="18">
        <v>0.0</v>
      </c>
      <c r="T2247" s="18">
        <v>0.0</v>
      </c>
      <c r="U2247" s="151">
        <v>0.0</v>
      </c>
      <c r="V2247" s="92" t="s">
        <v>315</v>
      </c>
      <c r="W2247" s="18" t="s">
        <v>58</v>
      </c>
      <c r="X2247" s="174" t="s">
        <v>6522</v>
      </c>
      <c r="Y2247" s="94" t="s">
        <v>6523</v>
      </c>
      <c r="Z2247" s="18" t="s">
        <v>6572</v>
      </c>
      <c r="AA2247" s="92"/>
      <c r="AB2247" s="92"/>
      <c r="AC2247" s="92"/>
      <c r="AD2247" s="92"/>
      <c r="AE2247" s="92"/>
      <c r="AF2247" s="92"/>
      <c r="AG2247" s="22"/>
      <c r="AH2247" s="22"/>
      <c r="AI2247" s="22"/>
      <c r="AJ2247" s="22"/>
      <c r="AK2247" s="22"/>
      <c r="AL2247" s="22"/>
      <c r="AM2247" s="22"/>
      <c r="AN2247" s="22"/>
      <c r="AO2247" s="22"/>
      <c r="AP2247" s="22"/>
    </row>
    <row r="2248" hidden="1">
      <c r="A2248" s="148">
        <v>46213.0</v>
      </c>
      <c r="B2248" s="149">
        <v>0.4583333333333333</v>
      </c>
      <c r="C2248" s="11" t="s">
        <v>58</v>
      </c>
      <c r="D2248" s="11" t="s">
        <v>33</v>
      </c>
      <c r="E2248" s="10" t="s">
        <v>106</v>
      </c>
      <c r="F2248" s="10" t="s">
        <v>6573</v>
      </c>
      <c r="G2248" s="11" t="s">
        <v>6574</v>
      </c>
      <c r="H2248" s="11" t="s">
        <v>6121</v>
      </c>
      <c r="I2248" s="10" t="s">
        <v>6575</v>
      </c>
      <c r="J2248" s="14">
        <v>184203.0</v>
      </c>
      <c r="K2248" s="14">
        <v>105459.0</v>
      </c>
      <c r="L2248" s="17">
        <v>0.5725</v>
      </c>
      <c r="M2248" s="150">
        <v>0.0</v>
      </c>
      <c r="N2248" s="136">
        <v>0.0</v>
      </c>
      <c r="O2248" s="18">
        <v>0.0</v>
      </c>
      <c r="P2248" s="92">
        <v>0.0</v>
      </c>
      <c r="Q2248" s="137">
        <v>0.0</v>
      </c>
      <c r="R2248" s="17">
        <v>0.0</v>
      </c>
      <c r="S2248" s="18">
        <v>121.0</v>
      </c>
      <c r="T2248" s="18">
        <v>0.0</v>
      </c>
      <c r="U2248" s="151">
        <v>1407189.0</v>
      </c>
      <c r="V2248" s="92" t="s">
        <v>315</v>
      </c>
      <c r="W2248" s="18" t="s">
        <v>58</v>
      </c>
      <c r="X2248" s="174" t="s">
        <v>6576</v>
      </c>
      <c r="Y2248" s="94" t="s">
        <v>6577</v>
      </c>
      <c r="Z2248" s="18" t="s">
        <v>6578</v>
      </c>
      <c r="AA2248" s="92"/>
      <c r="AB2248" s="92"/>
      <c r="AC2248" s="92"/>
      <c r="AD2248" s="92"/>
      <c r="AE2248" s="92"/>
      <c r="AF2248" s="92"/>
      <c r="AG2248" s="22"/>
      <c r="AH2248" s="22"/>
      <c r="AI2248" s="22"/>
      <c r="AJ2248" s="22"/>
      <c r="AK2248" s="22"/>
      <c r="AL2248" s="22"/>
      <c r="AM2248" s="22"/>
      <c r="AN2248" s="22"/>
      <c r="AO2248" s="22"/>
      <c r="AP2248" s="22"/>
    </row>
    <row r="2249" hidden="1">
      <c r="A2249" s="148">
        <v>46214.0</v>
      </c>
      <c r="B2249" s="149">
        <v>0.8333333333333334</v>
      </c>
      <c r="C2249" s="11" t="s">
        <v>58</v>
      </c>
      <c r="D2249" s="11" t="s">
        <v>3083</v>
      </c>
      <c r="E2249" s="10" t="s">
        <v>106</v>
      </c>
      <c r="F2249" s="10" t="s">
        <v>6451</v>
      </c>
      <c r="G2249" s="11" t="s">
        <v>6579</v>
      </c>
      <c r="H2249" s="11" t="s">
        <v>6280</v>
      </c>
      <c r="I2249" s="10" t="s">
        <v>61</v>
      </c>
      <c r="J2249" s="14">
        <v>59459.0</v>
      </c>
      <c r="K2249" s="14">
        <v>33052.0</v>
      </c>
      <c r="L2249" s="17">
        <v>0.5559</v>
      </c>
      <c r="M2249" s="150">
        <v>0.0</v>
      </c>
      <c r="N2249" s="136">
        <v>0.0</v>
      </c>
      <c r="O2249" s="18">
        <v>0.0</v>
      </c>
      <c r="P2249" s="92">
        <v>0.0</v>
      </c>
      <c r="Q2249" s="137">
        <v>0.0</v>
      </c>
      <c r="R2249" s="17">
        <v>0.0</v>
      </c>
      <c r="S2249" s="18">
        <v>1.0</v>
      </c>
      <c r="T2249" s="18">
        <v>0.0</v>
      </c>
      <c r="U2249" s="151">
        <v>12499.0</v>
      </c>
      <c r="V2249" s="92" t="s">
        <v>335</v>
      </c>
      <c r="W2249" s="18" t="s">
        <v>58</v>
      </c>
      <c r="X2249" s="174" t="s">
        <v>5796</v>
      </c>
      <c r="Y2249" s="95" t="s">
        <v>6453</v>
      </c>
      <c r="Z2249" s="18" t="s">
        <v>6580</v>
      </c>
      <c r="AA2249" s="92">
        <v>24.0</v>
      </c>
      <c r="AB2249" s="92">
        <v>24.0</v>
      </c>
      <c r="AC2249" s="92"/>
      <c r="AD2249" s="92">
        <v>264255.0</v>
      </c>
      <c r="AE2249" s="92">
        <v>264255.0</v>
      </c>
      <c r="AF2249" s="92"/>
      <c r="AG2249" s="22"/>
      <c r="AH2249" s="22"/>
      <c r="AI2249" s="22"/>
      <c r="AJ2249" s="22"/>
      <c r="AK2249" s="22"/>
      <c r="AL2249" s="22"/>
      <c r="AM2249" s="22"/>
      <c r="AN2249" s="22"/>
      <c r="AO2249" s="22"/>
      <c r="AP2249" s="22"/>
    </row>
    <row r="2250" hidden="1">
      <c r="A2250" s="148">
        <v>46214.0</v>
      </c>
      <c r="B2250" s="149">
        <v>0.8333333333333334</v>
      </c>
      <c r="C2250" s="11" t="s">
        <v>58</v>
      </c>
      <c r="D2250" s="11" t="s">
        <v>3083</v>
      </c>
      <c r="E2250" s="10" t="s">
        <v>106</v>
      </c>
      <c r="F2250" s="10" t="s">
        <v>6451</v>
      </c>
      <c r="G2250" s="11" t="s">
        <v>6581</v>
      </c>
      <c r="H2250" s="11" t="s">
        <v>6296</v>
      </c>
      <c r="I2250" s="10" t="s">
        <v>61</v>
      </c>
      <c r="J2250" s="14">
        <v>30460.0</v>
      </c>
      <c r="K2250" s="14">
        <v>16088.0</v>
      </c>
      <c r="L2250" s="17">
        <v>0.5282</v>
      </c>
      <c r="M2250" s="150">
        <v>0.0</v>
      </c>
      <c r="N2250" s="136">
        <v>0.0</v>
      </c>
      <c r="O2250" s="18">
        <v>0.0</v>
      </c>
      <c r="P2250" s="92">
        <v>0.0</v>
      </c>
      <c r="Q2250" s="137">
        <v>0.0</v>
      </c>
      <c r="R2250" s="17">
        <v>0.0</v>
      </c>
      <c r="S2250" s="18">
        <v>1.0</v>
      </c>
      <c r="T2250" s="18">
        <v>0.0</v>
      </c>
      <c r="U2250" s="151">
        <v>10999.0</v>
      </c>
      <c r="V2250" s="92" t="s">
        <v>315</v>
      </c>
      <c r="W2250" s="18" t="s">
        <v>58</v>
      </c>
      <c r="X2250" s="174" t="s">
        <v>6298</v>
      </c>
      <c r="Y2250" s="95" t="s">
        <v>6453</v>
      </c>
      <c r="Z2250" s="18" t="s">
        <v>6582</v>
      </c>
      <c r="AA2250" s="92">
        <v>18.0</v>
      </c>
      <c r="AB2250" s="92"/>
      <c r="AC2250" s="92">
        <v>18.0</v>
      </c>
      <c r="AD2250" s="92">
        <v>209082.0</v>
      </c>
      <c r="AF2250" s="92">
        <v>209082.0</v>
      </c>
      <c r="AG2250" s="22"/>
      <c r="AH2250" s="22"/>
      <c r="AI2250" s="22"/>
      <c r="AJ2250" s="22"/>
      <c r="AK2250" s="22"/>
      <c r="AL2250" s="22"/>
      <c r="AM2250" s="22"/>
      <c r="AN2250" s="22"/>
      <c r="AO2250" s="22"/>
      <c r="AP2250" s="22"/>
    </row>
    <row r="2251" hidden="1">
      <c r="A2251" s="148">
        <v>46214.0</v>
      </c>
      <c r="B2251" s="149">
        <v>0.8333333333333334</v>
      </c>
      <c r="C2251" s="11" t="s">
        <v>58</v>
      </c>
      <c r="D2251" s="11" t="s">
        <v>3083</v>
      </c>
      <c r="E2251" s="10" t="s">
        <v>106</v>
      </c>
      <c r="F2251" s="10" t="s">
        <v>6451</v>
      </c>
      <c r="G2251" s="11" t="s">
        <v>6583</v>
      </c>
      <c r="H2251" s="11" t="s">
        <v>6286</v>
      </c>
      <c r="I2251" s="10" t="s">
        <v>61</v>
      </c>
      <c r="J2251" s="14">
        <v>8950.0</v>
      </c>
      <c r="K2251" s="14">
        <v>5050.0</v>
      </c>
      <c r="L2251" s="17">
        <v>0.5642</v>
      </c>
      <c r="M2251" s="150">
        <v>0.0</v>
      </c>
      <c r="N2251" s="136">
        <v>0.0</v>
      </c>
      <c r="O2251" s="18">
        <v>0.0</v>
      </c>
      <c r="P2251" s="92">
        <v>0.0</v>
      </c>
      <c r="Q2251" s="137">
        <v>0.0</v>
      </c>
      <c r="R2251" s="17">
        <v>0.0</v>
      </c>
      <c r="S2251" s="18">
        <v>0.0</v>
      </c>
      <c r="T2251" s="18">
        <v>0.0</v>
      </c>
      <c r="U2251" s="151">
        <v>0.0</v>
      </c>
      <c r="V2251" s="92" t="s">
        <v>315</v>
      </c>
      <c r="W2251" s="18" t="s">
        <v>58</v>
      </c>
      <c r="X2251" s="174" t="s">
        <v>6288</v>
      </c>
      <c r="Y2251" s="95" t="s">
        <v>6453</v>
      </c>
      <c r="Z2251" s="18" t="s">
        <v>6584</v>
      </c>
      <c r="AA2251" s="92">
        <v>10.0</v>
      </c>
      <c r="AB2251" s="92"/>
      <c r="AC2251" s="92">
        <v>10.0</v>
      </c>
      <c r="AD2251" s="92">
        <v>142890.0</v>
      </c>
      <c r="AE2251" s="92"/>
      <c r="AF2251" s="92">
        <v>142890.0</v>
      </c>
      <c r="AG2251" s="22"/>
      <c r="AH2251" s="22"/>
      <c r="AI2251" s="22"/>
      <c r="AJ2251" s="22"/>
      <c r="AK2251" s="22"/>
      <c r="AL2251" s="22"/>
      <c r="AM2251" s="22"/>
      <c r="AN2251" s="22"/>
      <c r="AO2251" s="22"/>
      <c r="AP2251" s="22"/>
    </row>
    <row r="2252" hidden="1">
      <c r="A2252" s="148">
        <v>46214.0</v>
      </c>
      <c r="B2252" s="149">
        <v>0.8333333333333334</v>
      </c>
      <c r="C2252" s="11" t="s">
        <v>58</v>
      </c>
      <c r="D2252" s="11" t="s">
        <v>3083</v>
      </c>
      <c r="E2252" s="10" t="s">
        <v>106</v>
      </c>
      <c r="F2252" s="10" t="s">
        <v>6451</v>
      </c>
      <c r="G2252" s="11" t="s">
        <v>6585</v>
      </c>
      <c r="H2252" s="11" t="s">
        <v>6460</v>
      </c>
      <c r="I2252" s="10" t="s">
        <v>61</v>
      </c>
      <c r="J2252" s="14">
        <v>18352.0</v>
      </c>
      <c r="K2252" s="14">
        <v>10537.0</v>
      </c>
      <c r="L2252" s="17">
        <v>0.5742</v>
      </c>
      <c r="M2252" s="150">
        <v>0.0</v>
      </c>
      <c r="N2252" s="136">
        <v>0.0</v>
      </c>
      <c r="O2252" s="18">
        <v>0.0</v>
      </c>
      <c r="P2252" s="92">
        <v>0.0</v>
      </c>
      <c r="Q2252" s="137">
        <v>0.0</v>
      </c>
      <c r="R2252" s="17">
        <v>0.0</v>
      </c>
      <c r="S2252" s="18">
        <v>0.0</v>
      </c>
      <c r="T2252" s="18">
        <v>0.0</v>
      </c>
      <c r="U2252" s="151">
        <v>0.0</v>
      </c>
      <c r="V2252" s="92" t="s">
        <v>315</v>
      </c>
      <c r="W2252" s="18" t="s">
        <v>58</v>
      </c>
      <c r="X2252" s="174" t="s">
        <v>6462</v>
      </c>
      <c r="Y2252" s="95" t="s">
        <v>6453</v>
      </c>
      <c r="Z2252" s="18" t="s">
        <v>6586</v>
      </c>
      <c r="AA2252" s="92">
        <v>18.0</v>
      </c>
      <c r="AB2252" s="92"/>
      <c r="AC2252" s="92">
        <v>18.0</v>
      </c>
      <c r="AD2252" s="92">
        <v>192384.0</v>
      </c>
      <c r="AE2252" s="92"/>
      <c r="AF2252" s="92">
        <v>192384.0</v>
      </c>
      <c r="AG2252" s="22"/>
      <c r="AH2252" s="22"/>
      <c r="AI2252" s="22"/>
      <c r="AJ2252" s="22"/>
      <c r="AK2252" s="22"/>
      <c r="AL2252" s="22"/>
      <c r="AM2252" s="22"/>
      <c r="AN2252" s="22"/>
      <c r="AO2252" s="22"/>
      <c r="AP2252" s="22"/>
    </row>
    <row r="2253" hidden="1">
      <c r="A2253" s="148">
        <v>46214.0</v>
      </c>
      <c r="B2253" s="149">
        <v>0.8333333333333334</v>
      </c>
      <c r="C2253" s="11" t="s">
        <v>58</v>
      </c>
      <c r="D2253" s="11" t="s">
        <v>3083</v>
      </c>
      <c r="E2253" s="10" t="s">
        <v>106</v>
      </c>
      <c r="F2253" s="10" t="s">
        <v>6451</v>
      </c>
      <c r="G2253" s="11" t="s">
        <v>6587</v>
      </c>
      <c r="H2253" s="11" t="s">
        <v>6465</v>
      </c>
      <c r="I2253" s="10" t="s">
        <v>61</v>
      </c>
      <c r="J2253" s="14">
        <v>49394.0</v>
      </c>
      <c r="K2253" s="14">
        <v>26247.0</v>
      </c>
      <c r="L2253" s="17">
        <v>0.5314</v>
      </c>
      <c r="M2253" s="150">
        <v>0.0</v>
      </c>
      <c r="N2253" s="136">
        <v>0.0</v>
      </c>
      <c r="O2253" s="18">
        <v>0.0</v>
      </c>
      <c r="P2253" s="92">
        <v>0.0</v>
      </c>
      <c r="Q2253" s="137">
        <v>0.0</v>
      </c>
      <c r="R2253" s="17">
        <v>0.0</v>
      </c>
      <c r="S2253" s="18">
        <v>4.0</v>
      </c>
      <c r="T2253" s="18">
        <v>0.0</v>
      </c>
      <c r="U2253" s="151">
        <v>35097.0</v>
      </c>
      <c r="V2253" s="92" t="s">
        <v>315</v>
      </c>
      <c r="W2253" s="18" t="s">
        <v>58</v>
      </c>
      <c r="X2253" s="174" t="s">
        <v>1101</v>
      </c>
      <c r="Y2253" s="95" t="s">
        <v>6453</v>
      </c>
      <c r="Z2253" s="18" t="s">
        <v>6588</v>
      </c>
      <c r="AA2253" s="92">
        <v>48.0</v>
      </c>
      <c r="AB2253" s="92"/>
      <c r="AC2253" s="92">
        <v>48.0</v>
      </c>
      <c r="AD2253" s="92">
        <v>551057.0</v>
      </c>
      <c r="AE2253" s="92"/>
      <c r="AF2253" s="92">
        <v>551057.0</v>
      </c>
      <c r="AG2253" s="22"/>
      <c r="AH2253" s="22"/>
      <c r="AI2253" s="22"/>
      <c r="AJ2253" s="22"/>
      <c r="AK2253" s="22"/>
      <c r="AL2253" s="22"/>
      <c r="AM2253" s="22"/>
      <c r="AN2253" s="22"/>
      <c r="AO2253" s="22"/>
      <c r="AP2253" s="22"/>
    </row>
    <row r="2254" hidden="1">
      <c r="A2254" s="148">
        <v>46214.0</v>
      </c>
      <c r="B2254" s="149">
        <v>0.5416666666666666</v>
      </c>
      <c r="C2254" s="11" t="s">
        <v>58</v>
      </c>
      <c r="D2254" s="11" t="s">
        <v>3083</v>
      </c>
      <c r="E2254" s="10" t="s">
        <v>71</v>
      </c>
      <c r="F2254" s="10" t="s">
        <v>6468</v>
      </c>
      <c r="G2254" s="11" t="s">
        <v>6589</v>
      </c>
      <c r="H2254" s="11" t="s">
        <v>5607</v>
      </c>
      <c r="I2254" s="10" t="s">
        <v>61</v>
      </c>
      <c r="J2254" s="14">
        <v>88076.0</v>
      </c>
      <c r="K2254" s="14">
        <v>49935.0</v>
      </c>
      <c r="L2254" s="17">
        <v>0.567</v>
      </c>
      <c r="M2254" s="150">
        <v>0.0</v>
      </c>
      <c r="N2254" s="136">
        <v>0.0</v>
      </c>
      <c r="O2254" s="18">
        <v>49.0</v>
      </c>
      <c r="P2254" s="92">
        <v>0.0</v>
      </c>
      <c r="Q2254" s="137">
        <v>0.001</v>
      </c>
      <c r="R2254" s="17">
        <v>0.0</v>
      </c>
      <c r="S2254" s="18">
        <v>1.0</v>
      </c>
      <c r="T2254" s="18">
        <v>8.0</v>
      </c>
      <c r="U2254" s="151">
        <v>1498.0</v>
      </c>
      <c r="V2254" s="92" t="s">
        <v>315</v>
      </c>
      <c r="W2254" s="18" t="s">
        <v>58</v>
      </c>
      <c r="X2254" s="174" t="s">
        <v>41</v>
      </c>
      <c r="Y2254" s="191">
        <v>46214.0</v>
      </c>
      <c r="Z2254" s="18" t="s">
        <v>6590</v>
      </c>
      <c r="AA2254" s="92">
        <v>143.0</v>
      </c>
      <c r="AB2254" s="92"/>
      <c r="AC2254" s="92">
        <v>143.0</v>
      </c>
      <c r="AD2254" s="92">
        <v>575486.0</v>
      </c>
      <c r="AE2254" s="92"/>
      <c r="AF2254" s="92">
        <v>575486.0</v>
      </c>
      <c r="AG2254" s="22"/>
      <c r="AH2254" s="22"/>
      <c r="AI2254" s="22"/>
      <c r="AJ2254" s="22"/>
      <c r="AK2254" s="22"/>
      <c r="AL2254" s="22"/>
      <c r="AM2254" s="22"/>
      <c r="AN2254" s="22"/>
      <c r="AO2254" s="22"/>
      <c r="AP2254" s="22"/>
    </row>
    <row r="2255" hidden="1">
      <c r="A2255" s="148">
        <v>46215.0</v>
      </c>
      <c r="B2255" s="149">
        <v>0.75</v>
      </c>
      <c r="C2255" s="11" t="s">
        <v>58</v>
      </c>
      <c r="D2255" s="11" t="s">
        <v>3083</v>
      </c>
      <c r="E2255" s="10" t="s">
        <v>71</v>
      </c>
      <c r="F2255" s="10" t="s">
        <v>6468</v>
      </c>
      <c r="G2255" s="11" t="s">
        <v>6591</v>
      </c>
      <c r="H2255" s="11" t="s">
        <v>5576</v>
      </c>
      <c r="I2255" s="10" t="s">
        <v>61</v>
      </c>
      <c r="J2255" s="14">
        <v>54237.0</v>
      </c>
      <c r="K2255" s="14">
        <v>31124.0</v>
      </c>
      <c r="L2255" s="17">
        <v>0.5739</v>
      </c>
      <c r="M2255" s="150">
        <v>0.0</v>
      </c>
      <c r="N2255" s="136">
        <v>0.0</v>
      </c>
      <c r="O2255" s="18">
        <v>50.0</v>
      </c>
      <c r="P2255" s="92">
        <v>0.0</v>
      </c>
      <c r="Q2255" s="137">
        <v>0.0016</v>
      </c>
      <c r="R2255" s="17">
        <v>0.0</v>
      </c>
      <c r="S2255" s="18">
        <v>0.0</v>
      </c>
      <c r="T2255" s="18">
        <v>1.0</v>
      </c>
      <c r="U2255" s="151">
        <v>0.0</v>
      </c>
      <c r="V2255" s="92" t="s">
        <v>335</v>
      </c>
      <c r="W2255" s="18" t="s">
        <v>58</v>
      </c>
      <c r="X2255" s="174" t="s">
        <v>69</v>
      </c>
      <c r="Y2255" s="192">
        <v>46215.0</v>
      </c>
      <c r="Z2255" s="18" t="s">
        <v>6592</v>
      </c>
      <c r="AA2255" s="92">
        <v>14.0</v>
      </c>
      <c r="AB2255" s="92">
        <v>14.0</v>
      </c>
      <c r="AD2255" s="92">
        <v>30270.0</v>
      </c>
      <c r="AE2255" s="92">
        <v>30270.0</v>
      </c>
      <c r="AF2255" s="92"/>
      <c r="AG2255" s="22"/>
      <c r="AH2255" s="22"/>
      <c r="AI2255" s="22"/>
      <c r="AJ2255" s="22"/>
      <c r="AK2255" s="22"/>
      <c r="AL2255" s="22"/>
      <c r="AM2255" s="22"/>
      <c r="AN2255" s="22"/>
      <c r="AO2255" s="22"/>
      <c r="AP2255" s="22"/>
    </row>
    <row r="2256" hidden="1">
      <c r="A2256" s="148">
        <v>46215.0</v>
      </c>
      <c r="B2256" s="149">
        <v>0.75</v>
      </c>
      <c r="C2256" s="11" t="s">
        <v>58</v>
      </c>
      <c r="D2256" s="11" t="s">
        <v>3083</v>
      </c>
      <c r="E2256" s="10" t="s">
        <v>71</v>
      </c>
      <c r="F2256" s="10" t="s">
        <v>6468</v>
      </c>
      <c r="G2256" s="11" t="s">
        <v>6593</v>
      </c>
      <c r="H2256" s="11" t="s">
        <v>5585</v>
      </c>
      <c r="I2256" s="10" t="s">
        <v>61</v>
      </c>
      <c r="J2256" s="14">
        <v>91424.0</v>
      </c>
      <c r="K2256" s="14">
        <v>50476.0</v>
      </c>
      <c r="L2256" s="17">
        <v>0.5521</v>
      </c>
      <c r="M2256" s="150">
        <v>0.0</v>
      </c>
      <c r="N2256" s="136">
        <v>0.0</v>
      </c>
      <c r="O2256" s="18">
        <v>49.0</v>
      </c>
      <c r="P2256" s="92">
        <v>0.0</v>
      </c>
      <c r="Q2256" s="137">
        <v>0.001</v>
      </c>
      <c r="R2256" s="17">
        <v>0.0</v>
      </c>
      <c r="S2256" s="18">
        <v>0.0</v>
      </c>
      <c r="T2256" s="18">
        <v>1.0</v>
      </c>
      <c r="U2256" s="151">
        <v>0.0</v>
      </c>
      <c r="V2256" s="92" t="s">
        <v>315</v>
      </c>
      <c r="W2256" s="18" t="s">
        <v>58</v>
      </c>
      <c r="X2256" s="174" t="s">
        <v>69</v>
      </c>
      <c r="Y2256" s="191">
        <v>46215.0</v>
      </c>
      <c r="Z2256" s="18" t="s">
        <v>6594</v>
      </c>
      <c r="AA2256" s="92">
        <v>91.0</v>
      </c>
      <c r="AB2256" s="92"/>
      <c r="AC2256" s="92">
        <v>91.0</v>
      </c>
      <c r="AD2256" s="92">
        <v>384025.0</v>
      </c>
      <c r="AE2256" s="92"/>
      <c r="AF2256" s="92">
        <v>384025.0</v>
      </c>
      <c r="AG2256" s="22"/>
      <c r="AH2256" s="22"/>
      <c r="AI2256" s="22"/>
      <c r="AJ2256" s="22"/>
      <c r="AK2256" s="22"/>
      <c r="AL2256" s="22"/>
      <c r="AM2256" s="22"/>
      <c r="AN2256" s="22"/>
      <c r="AO2256" s="22"/>
      <c r="AP2256" s="22"/>
    </row>
    <row r="2257" hidden="1">
      <c r="A2257" s="148">
        <v>46214.0</v>
      </c>
      <c r="B2257" s="149">
        <v>0.5416666666666666</v>
      </c>
      <c r="C2257" s="11" t="s">
        <v>58</v>
      </c>
      <c r="D2257" s="11" t="s">
        <v>3083</v>
      </c>
      <c r="E2257" s="10" t="s">
        <v>71</v>
      </c>
      <c r="F2257" s="10" t="s">
        <v>6468</v>
      </c>
      <c r="G2257" s="11" t="s">
        <v>6595</v>
      </c>
      <c r="H2257" s="11" t="s">
        <v>5598</v>
      </c>
      <c r="I2257" s="10" t="s">
        <v>61</v>
      </c>
      <c r="J2257" s="14">
        <v>47802.0</v>
      </c>
      <c r="K2257" s="14">
        <v>26554.0</v>
      </c>
      <c r="L2257" s="17">
        <v>0.5555</v>
      </c>
      <c r="M2257" s="150">
        <v>0.0</v>
      </c>
      <c r="N2257" s="136">
        <v>0.0</v>
      </c>
      <c r="O2257" s="18">
        <v>50.0</v>
      </c>
      <c r="P2257" s="92">
        <v>0.0</v>
      </c>
      <c r="Q2257" s="137">
        <v>0.0019</v>
      </c>
      <c r="R2257" s="17">
        <v>0.0</v>
      </c>
      <c r="S2257" s="18">
        <v>6.0</v>
      </c>
      <c r="T2257" s="18">
        <v>19.0</v>
      </c>
      <c r="U2257" s="151">
        <v>12393.0</v>
      </c>
      <c r="V2257" s="92" t="s">
        <v>335</v>
      </c>
      <c r="W2257" s="18" t="s">
        <v>58</v>
      </c>
      <c r="X2257" s="174" t="s">
        <v>41</v>
      </c>
      <c r="Y2257" s="192">
        <v>46214.0</v>
      </c>
      <c r="Z2257" s="18" t="s">
        <v>6596</v>
      </c>
      <c r="AA2257" s="92">
        <v>15.0</v>
      </c>
      <c r="AB2257" s="92">
        <v>15.0</v>
      </c>
      <c r="AC2257" s="92"/>
      <c r="AD2257" s="92">
        <v>29294.0</v>
      </c>
      <c r="AE2257" s="92">
        <v>29294.0</v>
      </c>
      <c r="AF2257" s="92"/>
      <c r="AG2257" s="22"/>
      <c r="AH2257" s="22"/>
      <c r="AI2257" s="22"/>
      <c r="AJ2257" s="22"/>
      <c r="AK2257" s="22"/>
      <c r="AL2257" s="22"/>
      <c r="AM2257" s="22"/>
      <c r="AN2257" s="22"/>
      <c r="AO2257" s="22"/>
      <c r="AP2257" s="22"/>
    </row>
    <row r="2258" hidden="1">
      <c r="A2258" s="148">
        <v>46214.0</v>
      </c>
      <c r="B2258" s="149">
        <v>0.5416666666666666</v>
      </c>
      <c r="C2258" s="11" t="s">
        <v>58</v>
      </c>
      <c r="D2258" s="11" t="s">
        <v>3083</v>
      </c>
      <c r="E2258" s="10" t="s">
        <v>71</v>
      </c>
      <c r="F2258" s="10" t="s">
        <v>6468</v>
      </c>
      <c r="G2258" s="11" t="s">
        <v>6597</v>
      </c>
      <c r="H2258" s="11" t="s">
        <v>5611</v>
      </c>
      <c r="I2258" s="10" t="s">
        <v>61</v>
      </c>
      <c r="J2258" s="14">
        <v>65895.0</v>
      </c>
      <c r="K2258" s="14">
        <v>37492.0</v>
      </c>
      <c r="L2258" s="17">
        <v>0.569</v>
      </c>
      <c r="M2258" s="150">
        <v>0.0</v>
      </c>
      <c r="N2258" s="136">
        <v>0.0</v>
      </c>
      <c r="O2258" s="18">
        <v>26.0</v>
      </c>
      <c r="P2258" s="92">
        <v>0.0</v>
      </c>
      <c r="Q2258" s="137">
        <v>7.0E-4</v>
      </c>
      <c r="R2258" s="17">
        <v>0.0</v>
      </c>
      <c r="S2258" s="18">
        <v>1.0</v>
      </c>
      <c r="T2258" s="18">
        <v>2.0</v>
      </c>
      <c r="U2258" s="151">
        <v>3888.0</v>
      </c>
      <c r="V2258" s="92" t="s">
        <v>315</v>
      </c>
      <c r="W2258" s="18" t="s">
        <v>58</v>
      </c>
      <c r="X2258" s="174" t="s">
        <v>41</v>
      </c>
      <c r="Y2258" s="191">
        <v>46214.0</v>
      </c>
      <c r="Z2258" s="18" t="s">
        <v>6598</v>
      </c>
      <c r="AA2258" s="92">
        <v>81.0</v>
      </c>
      <c r="AB2258" s="92"/>
      <c r="AC2258" s="92">
        <v>81.0</v>
      </c>
      <c r="AD2258" s="92">
        <v>277015.0</v>
      </c>
      <c r="AE2258" s="92"/>
      <c r="AF2258" s="92">
        <v>277015.0</v>
      </c>
      <c r="AG2258" s="22"/>
      <c r="AH2258" s="22"/>
      <c r="AI2258" s="22"/>
      <c r="AJ2258" s="22"/>
      <c r="AK2258" s="22"/>
      <c r="AL2258" s="22"/>
      <c r="AM2258" s="22"/>
      <c r="AN2258" s="22"/>
      <c r="AO2258" s="22"/>
      <c r="AP2258" s="22"/>
    </row>
    <row r="2259" hidden="1">
      <c r="A2259" s="148">
        <v>46213.0</v>
      </c>
      <c r="B2259" s="149">
        <v>0.5</v>
      </c>
      <c r="C2259" s="11" t="s">
        <v>58</v>
      </c>
      <c r="D2259" s="11" t="s">
        <v>3083</v>
      </c>
      <c r="E2259" s="10" t="s">
        <v>71</v>
      </c>
      <c r="F2259" s="10" t="s">
        <v>6468</v>
      </c>
      <c r="G2259" s="11" t="s">
        <v>6599</v>
      </c>
      <c r="H2259" s="11" t="s">
        <v>5593</v>
      </c>
      <c r="I2259" s="10" t="s">
        <v>61</v>
      </c>
      <c r="J2259" s="14">
        <v>16046.0</v>
      </c>
      <c r="K2259" s="14">
        <v>8312.0</v>
      </c>
      <c r="L2259" s="17">
        <v>0.518</v>
      </c>
      <c r="M2259" s="150">
        <v>0.0</v>
      </c>
      <c r="N2259" s="136">
        <v>0.0</v>
      </c>
      <c r="O2259" s="18">
        <v>27.0</v>
      </c>
      <c r="P2259" s="92">
        <v>0.0</v>
      </c>
      <c r="Q2259" s="137">
        <v>0.0032</v>
      </c>
      <c r="R2259" s="17">
        <v>0.0</v>
      </c>
      <c r="S2259" s="18">
        <v>4.0</v>
      </c>
      <c r="T2259" s="18">
        <v>24.0</v>
      </c>
      <c r="U2259" s="151">
        <v>12910.0</v>
      </c>
      <c r="V2259" s="92" t="s">
        <v>335</v>
      </c>
      <c r="W2259" s="18" t="s">
        <v>58</v>
      </c>
      <c r="X2259" s="174" t="s">
        <v>2286</v>
      </c>
      <c r="Y2259" s="192">
        <v>46213.0</v>
      </c>
      <c r="Z2259" s="18" t="s">
        <v>6600</v>
      </c>
      <c r="AA2259" s="92">
        <v>22.0</v>
      </c>
      <c r="AB2259" s="92">
        <v>22.0</v>
      </c>
      <c r="AC2259" s="92"/>
      <c r="AD2259" s="92">
        <v>41574.0</v>
      </c>
      <c r="AE2259" s="92">
        <v>41574.0</v>
      </c>
      <c r="AF2259" s="92"/>
      <c r="AG2259" s="22"/>
      <c r="AH2259" s="22"/>
      <c r="AI2259" s="22"/>
      <c r="AJ2259" s="22"/>
      <c r="AK2259" s="22"/>
      <c r="AL2259" s="22"/>
      <c r="AM2259" s="22"/>
      <c r="AN2259" s="22"/>
      <c r="AO2259" s="22"/>
      <c r="AP2259" s="22"/>
    </row>
    <row r="2260" hidden="1">
      <c r="A2260" s="148">
        <v>46213.0</v>
      </c>
      <c r="B2260" s="149">
        <v>0.5</v>
      </c>
      <c r="C2260" s="11" t="s">
        <v>58</v>
      </c>
      <c r="D2260" s="11" t="s">
        <v>3083</v>
      </c>
      <c r="E2260" s="10" t="s">
        <v>71</v>
      </c>
      <c r="F2260" s="10" t="s">
        <v>6468</v>
      </c>
      <c r="G2260" s="11" t="s">
        <v>6601</v>
      </c>
      <c r="H2260" s="11" t="s">
        <v>5602</v>
      </c>
      <c r="I2260" s="10" t="s">
        <v>61</v>
      </c>
      <c r="J2260" s="14">
        <v>67890.0</v>
      </c>
      <c r="K2260" s="14">
        <v>39690.0</v>
      </c>
      <c r="L2260" s="17">
        <v>0.5846</v>
      </c>
      <c r="M2260" s="150">
        <v>0.0</v>
      </c>
      <c r="N2260" s="136">
        <v>0.0</v>
      </c>
      <c r="O2260" s="18">
        <v>52.0</v>
      </c>
      <c r="P2260" s="92">
        <v>0.0</v>
      </c>
      <c r="Q2260" s="137">
        <v>0.0013</v>
      </c>
      <c r="R2260" s="17">
        <v>0.0</v>
      </c>
      <c r="S2260" s="18">
        <v>3.0</v>
      </c>
      <c r="T2260" s="18">
        <v>14.0</v>
      </c>
      <c r="U2260" s="151">
        <v>14258.0</v>
      </c>
      <c r="V2260" s="92" t="s">
        <v>315</v>
      </c>
      <c r="W2260" s="18" t="s">
        <v>58</v>
      </c>
      <c r="X2260" s="174" t="s">
        <v>2286</v>
      </c>
      <c r="Y2260" s="191">
        <v>46213.0</v>
      </c>
      <c r="Z2260" s="18" t="s">
        <v>6602</v>
      </c>
      <c r="AA2260" s="92">
        <v>87.0</v>
      </c>
      <c r="AB2260" s="92"/>
      <c r="AC2260" s="92">
        <v>87.0</v>
      </c>
      <c r="AD2260" s="92">
        <v>358412.0</v>
      </c>
      <c r="AE2260" s="92"/>
      <c r="AF2260" s="92">
        <v>358412.0</v>
      </c>
      <c r="AG2260" s="22"/>
      <c r="AH2260" s="22"/>
      <c r="AI2260" s="22"/>
      <c r="AJ2260" s="22"/>
      <c r="AK2260" s="22"/>
      <c r="AL2260" s="22"/>
      <c r="AM2260" s="22"/>
      <c r="AN2260" s="22"/>
      <c r="AO2260" s="22"/>
      <c r="AP2260" s="22"/>
    </row>
    <row r="2261" hidden="1">
      <c r="A2261" s="148">
        <v>46213.0</v>
      </c>
      <c r="B2261" s="149">
        <v>0.4583333333333333</v>
      </c>
      <c r="C2261" s="11" t="s">
        <v>58</v>
      </c>
      <c r="D2261" s="11" t="s">
        <v>33</v>
      </c>
      <c r="E2261" s="10" t="s">
        <v>1998</v>
      </c>
      <c r="F2261" s="10" t="s">
        <v>6603</v>
      </c>
      <c r="G2261" s="11" t="s">
        <v>6604</v>
      </c>
      <c r="H2261" s="11" t="s">
        <v>5312</v>
      </c>
      <c r="I2261" s="10" t="s">
        <v>6605</v>
      </c>
      <c r="J2261" s="14">
        <v>49417.0</v>
      </c>
      <c r="K2261" s="14">
        <v>23963.0</v>
      </c>
      <c r="L2261" s="17">
        <v>0.4849</v>
      </c>
      <c r="M2261" s="150">
        <v>0.0</v>
      </c>
      <c r="N2261" s="136">
        <v>0.0</v>
      </c>
      <c r="O2261" s="18">
        <v>46.0</v>
      </c>
      <c r="P2261" s="92">
        <v>0.0</v>
      </c>
      <c r="Q2261" s="137">
        <v>0.0019</v>
      </c>
      <c r="R2261" s="17">
        <v>0.0</v>
      </c>
      <c r="S2261" s="18">
        <v>1.0</v>
      </c>
      <c r="T2261" s="18">
        <v>1.0</v>
      </c>
      <c r="U2261" s="151">
        <v>2499.0</v>
      </c>
      <c r="V2261" s="92" t="s">
        <v>183</v>
      </c>
      <c r="W2261" s="18" t="s">
        <v>58</v>
      </c>
      <c r="X2261" s="18" t="s">
        <v>4296</v>
      </c>
      <c r="Y2261" s="189" t="s">
        <v>6606</v>
      </c>
      <c r="Z2261" s="18" t="s">
        <v>6607</v>
      </c>
      <c r="AA2261" s="92"/>
      <c r="AB2261" s="92"/>
      <c r="AC2261" s="92"/>
      <c r="AD2261" s="92"/>
      <c r="AE2261" s="92"/>
      <c r="AF2261" s="92"/>
      <c r="AG2261" s="22"/>
      <c r="AH2261" s="22"/>
      <c r="AI2261" s="22"/>
      <c r="AJ2261" s="22"/>
      <c r="AK2261" s="22"/>
      <c r="AL2261" s="22"/>
      <c r="AM2261" s="22"/>
      <c r="AN2261" s="22"/>
      <c r="AO2261" s="22"/>
      <c r="AP2261" s="22"/>
    </row>
    <row r="2262" hidden="1">
      <c r="A2262" s="148">
        <v>46214.0</v>
      </c>
      <c r="B2262" s="149">
        <v>0.5</v>
      </c>
      <c r="C2262" s="11" t="s">
        <v>58</v>
      </c>
      <c r="D2262" s="11" t="s">
        <v>3083</v>
      </c>
      <c r="E2262" s="10" t="s">
        <v>34</v>
      </c>
      <c r="F2262" s="10" t="s">
        <v>6608</v>
      </c>
      <c r="G2262" s="11" t="s">
        <v>6609</v>
      </c>
      <c r="H2262" s="11" t="s">
        <v>3762</v>
      </c>
      <c r="I2262" s="10" t="s">
        <v>2956</v>
      </c>
      <c r="J2262" s="14">
        <v>2955.0</v>
      </c>
      <c r="K2262" s="14">
        <v>1940.0</v>
      </c>
      <c r="L2262" s="17">
        <v>0.6565</v>
      </c>
      <c r="M2262" s="150">
        <v>0.0</v>
      </c>
      <c r="N2262" s="136">
        <v>0.0</v>
      </c>
      <c r="O2262" s="18">
        <v>11.0</v>
      </c>
      <c r="P2262" s="92">
        <v>0.0</v>
      </c>
      <c r="Q2262" s="137">
        <v>0.0057</v>
      </c>
      <c r="R2262" s="17">
        <v>0.0</v>
      </c>
      <c r="S2262" s="18">
        <v>1.0</v>
      </c>
      <c r="T2262" s="18">
        <v>16.0</v>
      </c>
      <c r="U2262" s="151">
        <v>9449.0</v>
      </c>
      <c r="V2262" s="92" t="s">
        <v>335</v>
      </c>
      <c r="W2262" s="18" t="s">
        <v>58</v>
      </c>
      <c r="X2262" s="174" t="s">
        <v>4645</v>
      </c>
      <c r="Y2262" s="191" t="s">
        <v>6610</v>
      </c>
      <c r="Z2262" s="18" t="s">
        <v>6611</v>
      </c>
      <c r="AA2262" s="92"/>
      <c r="AB2262" s="92"/>
      <c r="AC2262" s="92"/>
      <c r="AD2262" s="92"/>
      <c r="AE2262" s="92"/>
      <c r="AF2262" s="92"/>
      <c r="AG2262" s="22"/>
      <c r="AH2262" s="22"/>
      <c r="AI2262" s="22"/>
      <c r="AJ2262" s="22"/>
      <c r="AK2262" s="22"/>
      <c r="AL2262" s="22"/>
      <c r="AM2262" s="22"/>
      <c r="AN2262" s="22"/>
      <c r="AO2262" s="22"/>
      <c r="AP2262" s="22"/>
    </row>
    <row r="2263" hidden="1">
      <c r="A2263" s="148">
        <v>46214.0</v>
      </c>
      <c r="B2263" s="149">
        <v>0.5</v>
      </c>
      <c r="C2263" s="11" t="s">
        <v>58</v>
      </c>
      <c r="D2263" s="11" t="s">
        <v>3083</v>
      </c>
      <c r="E2263" s="10" t="s">
        <v>34</v>
      </c>
      <c r="F2263" s="10" t="s">
        <v>6608</v>
      </c>
      <c r="G2263" s="11" t="s">
        <v>6612</v>
      </c>
      <c r="H2263" s="11" t="s">
        <v>3767</v>
      </c>
      <c r="I2263" s="10" t="s">
        <v>2956</v>
      </c>
      <c r="J2263" s="14">
        <v>395.0</v>
      </c>
      <c r="K2263" s="14">
        <v>266.0</v>
      </c>
      <c r="L2263" s="17">
        <v>0.6734</v>
      </c>
      <c r="M2263" s="150">
        <v>0.0</v>
      </c>
      <c r="N2263" s="136">
        <v>0.0</v>
      </c>
      <c r="O2263" s="18">
        <v>2.0</v>
      </c>
      <c r="P2263" s="92">
        <v>0.0</v>
      </c>
      <c r="Q2263" s="137">
        <v>0.0075</v>
      </c>
      <c r="R2263" s="17">
        <v>0.0</v>
      </c>
      <c r="S2263" s="18">
        <v>0.0</v>
      </c>
      <c r="T2263" s="18">
        <v>0.0</v>
      </c>
      <c r="U2263" s="151">
        <v>0.0</v>
      </c>
      <c r="V2263" s="92" t="s">
        <v>335</v>
      </c>
      <c r="W2263" s="18" t="s">
        <v>58</v>
      </c>
      <c r="X2263" s="174" t="s">
        <v>4645</v>
      </c>
      <c r="Y2263" s="191" t="s">
        <v>6610</v>
      </c>
      <c r="Z2263" s="18" t="s">
        <v>6613</v>
      </c>
      <c r="AA2263" s="92"/>
      <c r="AB2263" s="92"/>
      <c r="AC2263" s="92"/>
      <c r="AD2263" s="92"/>
      <c r="AE2263" s="92"/>
      <c r="AF2263" s="92"/>
      <c r="AG2263" s="22"/>
      <c r="AH2263" s="22"/>
      <c r="AI2263" s="22"/>
      <c r="AJ2263" s="22"/>
      <c r="AK2263" s="22"/>
      <c r="AL2263" s="22"/>
      <c r="AM2263" s="22"/>
      <c r="AN2263" s="22"/>
      <c r="AO2263" s="22"/>
      <c r="AP2263" s="22"/>
    </row>
    <row r="2264" hidden="1">
      <c r="A2264" s="148">
        <v>46214.0</v>
      </c>
      <c r="B2264" s="149">
        <v>0.5</v>
      </c>
      <c r="C2264" s="11" t="s">
        <v>58</v>
      </c>
      <c r="D2264" s="11" t="s">
        <v>3083</v>
      </c>
      <c r="E2264" s="10" t="s">
        <v>34</v>
      </c>
      <c r="F2264" s="10" t="s">
        <v>6608</v>
      </c>
      <c r="G2264" s="11" t="s">
        <v>6614</v>
      </c>
      <c r="H2264" s="11" t="s">
        <v>5441</v>
      </c>
      <c r="I2264" s="10" t="s">
        <v>2956</v>
      </c>
      <c r="J2264" s="14">
        <v>49355.0</v>
      </c>
      <c r="K2264" s="14">
        <v>27549.0</v>
      </c>
      <c r="L2264" s="17">
        <v>0.5582</v>
      </c>
      <c r="M2264" s="150">
        <v>0.0</v>
      </c>
      <c r="N2264" s="136">
        <v>0.0</v>
      </c>
      <c r="O2264" s="18">
        <v>63.0</v>
      </c>
      <c r="P2264" s="92">
        <v>0.0</v>
      </c>
      <c r="Q2264" s="137">
        <v>0.0023</v>
      </c>
      <c r="R2264" s="17">
        <v>0.0</v>
      </c>
      <c r="S2264" s="18">
        <v>2.0</v>
      </c>
      <c r="T2264" s="18">
        <v>2.0</v>
      </c>
      <c r="U2264" s="151">
        <v>10599.0</v>
      </c>
      <c r="V2264" s="92" t="s">
        <v>183</v>
      </c>
      <c r="W2264" s="18" t="s">
        <v>58</v>
      </c>
      <c r="X2264" s="174" t="s">
        <v>52</v>
      </c>
      <c r="Y2264" s="191" t="s">
        <v>6610</v>
      </c>
      <c r="Z2264" s="18" t="s">
        <v>6615</v>
      </c>
      <c r="AA2264" s="92"/>
      <c r="AB2264" s="92"/>
      <c r="AC2264" s="92"/>
      <c r="AD2264" s="92"/>
      <c r="AE2264" s="92"/>
      <c r="AF2264" s="92"/>
      <c r="AG2264" s="22"/>
      <c r="AH2264" s="22"/>
      <c r="AI2264" s="22"/>
      <c r="AJ2264" s="22"/>
      <c r="AK2264" s="22"/>
      <c r="AL2264" s="22"/>
      <c r="AM2264" s="22"/>
      <c r="AN2264" s="22"/>
      <c r="AO2264" s="22"/>
      <c r="AP2264" s="22"/>
    </row>
    <row r="2265" hidden="1">
      <c r="A2265" s="148">
        <v>46214.0</v>
      </c>
      <c r="B2265" s="149">
        <v>0.5</v>
      </c>
      <c r="C2265" s="11" t="s">
        <v>58</v>
      </c>
      <c r="D2265" s="11" t="s">
        <v>3083</v>
      </c>
      <c r="E2265" s="10" t="s">
        <v>34</v>
      </c>
      <c r="F2265" s="10" t="s">
        <v>6608</v>
      </c>
      <c r="G2265" s="11" t="s">
        <v>6616</v>
      </c>
      <c r="H2265" s="11" t="s">
        <v>6392</v>
      </c>
      <c r="I2265" s="10" t="s">
        <v>2956</v>
      </c>
      <c r="J2265" s="14">
        <v>49175.0</v>
      </c>
      <c r="K2265" s="14">
        <v>26481.0</v>
      </c>
      <c r="L2265" s="17">
        <v>0.5385</v>
      </c>
      <c r="M2265" s="150">
        <v>0.0</v>
      </c>
      <c r="N2265" s="136">
        <v>0.0</v>
      </c>
      <c r="O2265" s="18">
        <v>69.0</v>
      </c>
      <c r="P2265" s="92">
        <v>0.0</v>
      </c>
      <c r="Q2265" s="137">
        <v>0.0026</v>
      </c>
      <c r="R2265" s="17">
        <v>0.0</v>
      </c>
      <c r="S2265" s="18">
        <v>3.0</v>
      </c>
      <c r="T2265" s="18">
        <v>2.0</v>
      </c>
      <c r="U2265" s="151">
        <v>13033.0</v>
      </c>
      <c r="V2265" s="92" t="s">
        <v>183</v>
      </c>
      <c r="W2265" s="18" t="s">
        <v>58</v>
      </c>
      <c r="X2265" s="174" t="s">
        <v>82</v>
      </c>
      <c r="Y2265" s="191" t="s">
        <v>6610</v>
      </c>
      <c r="Z2265" s="18" t="s">
        <v>6617</v>
      </c>
      <c r="AA2265" s="92"/>
      <c r="AB2265" s="92"/>
      <c r="AC2265" s="92"/>
      <c r="AD2265" s="92"/>
      <c r="AE2265" s="92"/>
      <c r="AF2265" s="92"/>
      <c r="AG2265" s="22"/>
      <c r="AH2265" s="22"/>
      <c r="AI2265" s="22"/>
      <c r="AJ2265" s="22"/>
      <c r="AK2265" s="22"/>
      <c r="AL2265" s="22"/>
      <c r="AM2265" s="22"/>
      <c r="AN2265" s="22"/>
      <c r="AO2265" s="22"/>
      <c r="AP2265" s="22"/>
    </row>
    <row r="2266" hidden="1">
      <c r="A2266" s="148">
        <v>46214.0</v>
      </c>
      <c r="B2266" s="149">
        <v>0.5</v>
      </c>
      <c r="C2266" s="11" t="s">
        <v>58</v>
      </c>
      <c r="D2266" s="11" t="s">
        <v>3083</v>
      </c>
      <c r="E2266" s="10" t="s">
        <v>34</v>
      </c>
      <c r="F2266" s="10" t="s">
        <v>6608</v>
      </c>
      <c r="G2266" s="11" t="s">
        <v>6618</v>
      </c>
      <c r="H2266" s="11" t="s">
        <v>6395</v>
      </c>
      <c r="I2266" s="10" t="s">
        <v>2956</v>
      </c>
      <c r="J2266" s="14">
        <v>111201.0</v>
      </c>
      <c r="K2266" s="14">
        <v>62305.0</v>
      </c>
      <c r="L2266" s="17">
        <v>0.5603</v>
      </c>
      <c r="M2266" s="150">
        <v>0.0</v>
      </c>
      <c r="N2266" s="136">
        <v>0.0</v>
      </c>
      <c r="O2266" s="18">
        <v>96.0</v>
      </c>
      <c r="P2266" s="92">
        <v>0.0</v>
      </c>
      <c r="Q2266" s="137">
        <v>0.0015</v>
      </c>
      <c r="R2266" s="17">
        <v>0.0</v>
      </c>
      <c r="S2266" s="18">
        <v>0.0</v>
      </c>
      <c r="T2266" s="18">
        <v>0.0</v>
      </c>
      <c r="U2266" s="151">
        <v>0.0</v>
      </c>
      <c r="V2266" s="92" t="s">
        <v>183</v>
      </c>
      <c r="W2266" s="18" t="s">
        <v>58</v>
      </c>
      <c r="X2266" s="174" t="s">
        <v>87</v>
      </c>
      <c r="Y2266" s="191" t="s">
        <v>6610</v>
      </c>
      <c r="Z2266" s="18" t="s">
        <v>6619</v>
      </c>
      <c r="AA2266" s="92"/>
      <c r="AB2266" s="92"/>
      <c r="AC2266" s="92"/>
      <c r="AD2266" s="92"/>
      <c r="AE2266" s="92"/>
      <c r="AF2266" s="92"/>
      <c r="AG2266" s="22"/>
      <c r="AH2266" s="22"/>
      <c r="AI2266" s="22"/>
      <c r="AJ2266" s="22"/>
      <c r="AK2266" s="22"/>
      <c r="AL2266" s="22"/>
      <c r="AM2266" s="22"/>
      <c r="AN2266" s="22"/>
      <c r="AO2266" s="22"/>
      <c r="AP2266" s="22"/>
    </row>
    <row r="2267" hidden="1">
      <c r="A2267" s="148">
        <v>46214.0</v>
      </c>
      <c r="B2267" s="149">
        <v>0.5</v>
      </c>
      <c r="C2267" s="11" t="s">
        <v>58</v>
      </c>
      <c r="D2267" s="11" t="s">
        <v>3083</v>
      </c>
      <c r="E2267" s="10" t="s">
        <v>34</v>
      </c>
      <c r="F2267" s="10" t="s">
        <v>6608</v>
      </c>
      <c r="G2267" s="11" t="s">
        <v>6620</v>
      </c>
      <c r="H2267" s="11" t="s">
        <v>6398</v>
      </c>
      <c r="I2267" s="10" t="s">
        <v>2956</v>
      </c>
      <c r="J2267" s="14">
        <v>74644.0</v>
      </c>
      <c r="K2267" s="14">
        <v>39882.0</v>
      </c>
      <c r="L2267" s="17">
        <v>0.5343</v>
      </c>
      <c r="M2267" s="150">
        <v>0.0</v>
      </c>
      <c r="N2267" s="136">
        <v>0.0</v>
      </c>
      <c r="O2267" s="18">
        <v>61.0</v>
      </c>
      <c r="P2267" s="92">
        <v>0.0</v>
      </c>
      <c r="Q2267" s="137">
        <v>0.0015</v>
      </c>
      <c r="R2267" s="17">
        <v>0.0</v>
      </c>
      <c r="S2267" s="18">
        <v>0.0</v>
      </c>
      <c r="T2267" s="18">
        <v>0.0</v>
      </c>
      <c r="U2267" s="151">
        <v>0.0</v>
      </c>
      <c r="V2267" s="92" t="s">
        <v>183</v>
      </c>
      <c r="W2267" s="18" t="s">
        <v>58</v>
      </c>
      <c r="X2267" s="174" t="s">
        <v>87</v>
      </c>
      <c r="Y2267" s="191" t="s">
        <v>6610</v>
      </c>
      <c r="Z2267" s="18" t="s">
        <v>6621</v>
      </c>
      <c r="AA2267" s="92"/>
      <c r="AB2267" s="92"/>
      <c r="AC2267" s="92"/>
      <c r="AD2267" s="92"/>
      <c r="AE2267" s="92"/>
      <c r="AF2267" s="92"/>
      <c r="AG2267" s="22"/>
      <c r="AH2267" s="22"/>
      <c r="AI2267" s="22"/>
      <c r="AJ2267" s="22"/>
      <c r="AK2267" s="22"/>
      <c r="AL2267" s="22"/>
      <c r="AM2267" s="22"/>
      <c r="AN2267" s="22"/>
      <c r="AO2267" s="22"/>
      <c r="AP2267" s="22"/>
    </row>
    <row r="2268" hidden="1">
      <c r="A2268" s="148">
        <v>46213.0</v>
      </c>
      <c r="B2268" s="149">
        <v>0.5</v>
      </c>
      <c r="C2268" s="11" t="s">
        <v>58</v>
      </c>
      <c r="D2268" s="11" t="s">
        <v>3083</v>
      </c>
      <c r="E2268" s="10" t="s">
        <v>2212</v>
      </c>
      <c r="F2268" s="10" t="s">
        <v>6423</v>
      </c>
      <c r="G2268" s="11" t="s">
        <v>6622</v>
      </c>
      <c r="H2268" s="11" t="s">
        <v>6487</v>
      </c>
      <c r="I2268" s="10" t="s">
        <v>61</v>
      </c>
      <c r="J2268" s="14">
        <v>4975.0</v>
      </c>
      <c r="K2268" s="14">
        <v>2450.0</v>
      </c>
      <c r="L2268" s="17">
        <v>0.4925</v>
      </c>
      <c r="M2268" s="150">
        <v>0.0</v>
      </c>
      <c r="N2268" s="136">
        <v>0.0</v>
      </c>
      <c r="O2268" s="18">
        <v>0.0</v>
      </c>
      <c r="P2268" s="92">
        <v>0.0</v>
      </c>
      <c r="Q2268" s="137">
        <v>0.0</v>
      </c>
      <c r="R2268" s="17">
        <v>0.0</v>
      </c>
      <c r="S2268" s="18">
        <v>12.0</v>
      </c>
      <c r="T2268" s="18">
        <v>0.0</v>
      </c>
      <c r="U2268" s="151">
        <v>112669.0</v>
      </c>
      <c r="V2268" s="92" t="s">
        <v>315</v>
      </c>
      <c r="W2268" s="18" t="s">
        <v>58</v>
      </c>
      <c r="X2268" s="174" t="s">
        <v>5999</v>
      </c>
      <c r="Y2268" s="187" t="s">
        <v>6488</v>
      </c>
      <c r="Z2268" s="18" t="s">
        <v>6623</v>
      </c>
      <c r="AA2268" s="92">
        <v>4.0</v>
      </c>
      <c r="AB2268" s="92"/>
      <c r="AC2268" s="92">
        <v>4.0</v>
      </c>
      <c r="AD2268" s="92">
        <v>28027.0</v>
      </c>
      <c r="AE2268" s="92"/>
      <c r="AF2268" s="92">
        <v>28027.0</v>
      </c>
      <c r="AG2268" s="22"/>
      <c r="AH2268" s="22"/>
      <c r="AI2268" s="22"/>
      <c r="AJ2268" s="22"/>
      <c r="AK2268" s="22"/>
      <c r="AL2268" s="22"/>
      <c r="AM2268" s="22"/>
      <c r="AN2268" s="22"/>
      <c r="AO2268" s="22"/>
      <c r="AP2268" s="22"/>
    </row>
    <row r="2269" hidden="1">
      <c r="A2269" s="148">
        <v>46213.0</v>
      </c>
      <c r="B2269" s="149">
        <v>0.5</v>
      </c>
      <c r="C2269" s="11" t="s">
        <v>58</v>
      </c>
      <c r="D2269" s="11" t="s">
        <v>3083</v>
      </c>
      <c r="E2269" s="10" t="s">
        <v>2212</v>
      </c>
      <c r="F2269" s="10" t="s">
        <v>6423</v>
      </c>
      <c r="G2269" s="11" t="s">
        <v>6624</v>
      </c>
      <c r="H2269" s="11" t="s">
        <v>6491</v>
      </c>
      <c r="I2269" s="10" t="s">
        <v>61</v>
      </c>
      <c r="J2269" s="14">
        <v>4740.0</v>
      </c>
      <c r="K2269" s="14">
        <v>2403.0</v>
      </c>
      <c r="L2269" s="17">
        <v>0.507</v>
      </c>
      <c r="M2269" s="150">
        <v>0.0</v>
      </c>
      <c r="N2269" s="136">
        <v>0.0</v>
      </c>
      <c r="O2269" s="18">
        <v>0.0</v>
      </c>
      <c r="P2269" s="92">
        <v>0.0</v>
      </c>
      <c r="Q2269" s="137">
        <v>0.0</v>
      </c>
      <c r="R2269" s="17">
        <v>0.0</v>
      </c>
      <c r="S2269" s="18">
        <v>11.0</v>
      </c>
      <c r="T2269" s="18">
        <v>0.0</v>
      </c>
      <c r="U2269" s="151">
        <v>235890.0</v>
      </c>
      <c r="V2269" s="92" t="s">
        <v>315</v>
      </c>
      <c r="W2269" s="18" t="s">
        <v>58</v>
      </c>
      <c r="X2269" s="174" t="s">
        <v>5999</v>
      </c>
      <c r="Y2269" s="187" t="s">
        <v>6488</v>
      </c>
      <c r="Z2269" s="18" t="s">
        <v>6625</v>
      </c>
      <c r="AA2269" s="92">
        <v>2.0</v>
      </c>
      <c r="AB2269" s="92"/>
      <c r="AC2269" s="92">
        <v>2.0</v>
      </c>
      <c r="AD2269" s="92">
        <v>77000.0</v>
      </c>
      <c r="AE2269" s="92"/>
      <c r="AF2269" s="92">
        <v>77000.0</v>
      </c>
      <c r="AG2269" s="22"/>
      <c r="AH2269" s="22"/>
      <c r="AI2269" s="22"/>
      <c r="AJ2269" s="22"/>
      <c r="AK2269" s="22"/>
      <c r="AL2269" s="22"/>
      <c r="AM2269" s="22"/>
      <c r="AN2269" s="22"/>
      <c r="AO2269" s="22"/>
      <c r="AP2269" s="22"/>
    </row>
    <row r="2270" hidden="1">
      <c r="A2270" s="148">
        <v>46213.0</v>
      </c>
      <c r="B2270" s="149">
        <v>0.5</v>
      </c>
      <c r="C2270" s="11" t="s">
        <v>58</v>
      </c>
      <c r="D2270" s="11" t="s">
        <v>3083</v>
      </c>
      <c r="E2270" s="10" t="s">
        <v>2212</v>
      </c>
      <c r="F2270" s="10" t="s">
        <v>6423</v>
      </c>
      <c r="G2270" s="11" t="s">
        <v>6626</v>
      </c>
      <c r="H2270" s="11" t="s">
        <v>6494</v>
      </c>
      <c r="I2270" s="10" t="s">
        <v>61</v>
      </c>
      <c r="J2270" s="14">
        <v>6828.0</v>
      </c>
      <c r="K2270" s="14">
        <v>3673.0</v>
      </c>
      <c r="L2270" s="17">
        <v>0.5379</v>
      </c>
      <c r="M2270" s="150">
        <v>0.0</v>
      </c>
      <c r="N2270" s="136">
        <v>0.0</v>
      </c>
      <c r="O2270" s="18">
        <v>0.0</v>
      </c>
      <c r="P2270" s="92">
        <v>0.0</v>
      </c>
      <c r="Q2270" s="137">
        <v>0.0</v>
      </c>
      <c r="R2270" s="17">
        <v>0.0</v>
      </c>
      <c r="S2270" s="18">
        <v>23.0</v>
      </c>
      <c r="T2270" s="18">
        <v>0.0</v>
      </c>
      <c r="U2270" s="151">
        <v>196989.0</v>
      </c>
      <c r="V2270" s="92" t="s">
        <v>315</v>
      </c>
      <c r="W2270" s="18" t="s">
        <v>58</v>
      </c>
      <c r="X2270" s="174" t="s">
        <v>5999</v>
      </c>
      <c r="Y2270" s="187" t="s">
        <v>6488</v>
      </c>
      <c r="Z2270" s="18" t="s">
        <v>6627</v>
      </c>
      <c r="AA2270" s="92">
        <v>4.0</v>
      </c>
      <c r="AB2270" s="92"/>
      <c r="AC2270" s="92">
        <v>4.0</v>
      </c>
      <c r="AD2270" s="92">
        <v>26250.0</v>
      </c>
      <c r="AE2270" s="92"/>
      <c r="AF2270" s="92">
        <v>26250.0</v>
      </c>
      <c r="AG2270" s="22"/>
      <c r="AH2270" s="22"/>
      <c r="AI2270" s="22"/>
      <c r="AJ2270" s="22"/>
      <c r="AK2270" s="22"/>
      <c r="AL2270" s="22"/>
      <c r="AM2270" s="22"/>
      <c r="AN2270" s="22"/>
      <c r="AO2270" s="22"/>
      <c r="AP2270" s="22"/>
    </row>
    <row r="2271" hidden="1">
      <c r="A2271" s="148">
        <v>46213.0</v>
      </c>
      <c r="B2271" s="149">
        <v>0.5</v>
      </c>
      <c r="C2271" s="11" t="s">
        <v>58</v>
      </c>
      <c r="D2271" s="11" t="s">
        <v>3083</v>
      </c>
      <c r="E2271" s="10" t="s">
        <v>2212</v>
      </c>
      <c r="F2271" s="10" t="s">
        <v>6423</v>
      </c>
      <c r="G2271" s="11" t="s">
        <v>6628</v>
      </c>
      <c r="H2271" s="11" t="s">
        <v>6497</v>
      </c>
      <c r="I2271" s="10" t="s">
        <v>61</v>
      </c>
      <c r="J2271" s="14">
        <v>2364.0</v>
      </c>
      <c r="K2271" s="14">
        <v>1226.0</v>
      </c>
      <c r="L2271" s="17">
        <v>0.5186</v>
      </c>
      <c r="M2271" s="150">
        <v>0.0</v>
      </c>
      <c r="N2271" s="136">
        <v>0.0</v>
      </c>
      <c r="O2271" s="18">
        <v>0.0</v>
      </c>
      <c r="P2271" s="92">
        <v>0.0</v>
      </c>
      <c r="Q2271" s="137">
        <v>0.0</v>
      </c>
      <c r="R2271" s="17">
        <v>0.0</v>
      </c>
      <c r="S2271" s="18">
        <v>10.0</v>
      </c>
      <c r="T2271" s="18">
        <v>0.0</v>
      </c>
      <c r="U2271" s="151">
        <v>55333.0</v>
      </c>
      <c r="V2271" s="92" t="s">
        <v>315</v>
      </c>
      <c r="W2271" s="18" t="s">
        <v>58</v>
      </c>
      <c r="X2271" s="174" t="s">
        <v>5999</v>
      </c>
      <c r="Y2271" s="187" t="s">
        <v>6488</v>
      </c>
      <c r="Z2271" s="18" t="s">
        <v>6629</v>
      </c>
      <c r="AA2271" s="92">
        <v>6.0</v>
      </c>
      <c r="AB2271" s="92"/>
      <c r="AC2271" s="92">
        <v>6.0</v>
      </c>
      <c r="AD2271" s="92">
        <v>24392.0</v>
      </c>
      <c r="AE2271" s="92"/>
      <c r="AF2271" s="92">
        <v>24392.0</v>
      </c>
      <c r="AG2271" s="22"/>
      <c r="AH2271" s="22"/>
      <c r="AI2271" s="22"/>
      <c r="AJ2271" s="22"/>
      <c r="AK2271" s="22"/>
      <c r="AL2271" s="22"/>
      <c r="AM2271" s="22"/>
      <c r="AN2271" s="22"/>
      <c r="AO2271" s="22"/>
      <c r="AP2271" s="22"/>
    </row>
    <row r="2272" hidden="1">
      <c r="A2272" s="148">
        <v>46213.0</v>
      </c>
      <c r="B2272" s="149">
        <v>0.5</v>
      </c>
      <c r="C2272" s="11" t="s">
        <v>58</v>
      </c>
      <c r="D2272" s="11" t="s">
        <v>3083</v>
      </c>
      <c r="E2272" s="10" t="s">
        <v>2212</v>
      </c>
      <c r="F2272" s="10" t="s">
        <v>6423</v>
      </c>
      <c r="G2272" s="11" t="s">
        <v>6630</v>
      </c>
      <c r="H2272" s="11" t="s">
        <v>6500</v>
      </c>
      <c r="I2272" s="10" t="s">
        <v>61</v>
      </c>
      <c r="J2272" s="14">
        <v>3572.0</v>
      </c>
      <c r="K2272" s="14">
        <v>1884.0</v>
      </c>
      <c r="L2272" s="17">
        <v>0.5274</v>
      </c>
      <c r="M2272" s="150">
        <v>0.0</v>
      </c>
      <c r="N2272" s="136">
        <v>0.0</v>
      </c>
      <c r="O2272" s="18">
        <v>0.0</v>
      </c>
      <c r="P2272" s="92">
        <v>0.0</v>
      </c>
      <c r="Q2272" s="137">
        <v>0.0</v>
      </c>
      <c r="R2272" s="17">
        <v>0.0</v>
      </c>
      <c r="S2272" s="18">
        <v>16.0</v>
      </c>
      <c r="T2272" s="18">
        <v>0.0</v>
      </c>
      <c r="U2272" s="151">
        <v>139567.0</v>
      </c>
      <c r="V2272" s="92" t="s">
        <v>315</v>
      </c>
      <c r="W2272" s="18" t="s">
        <v>58</v>
      </c>
      <c r="X2272" s="174" t="s">
        <v>3895</v>
      </c>
      <c r="Y2272" s="187" t="s">
        <v>6488</v>
      </c>
      <c r="Z2272" s="18" t="s">
        <v>6631</v>
      </c>
      <c r="AA2272" s="92">
        <v>6.0</v>
      </c>
      <c r="AB2272" s="92"/>
      <c r="AC2272" s="92">
        <v>6.0</v>
      </c>
      <c r="AD2272" s="92">
        <v>72867.0</v>
      </c>
      <c r="AE2272" s="92"/>
      <c r="AF2272" s="92">
        <v>72867.0</v>
      </c>
      <c r="AG2272" s="22"/>
      <c r="AH2272" s="22"/>
      <c r="AI2272" s="22"/>
      <c r="AJ2272" s="22"/>
      <c r="AK2272" s="22"/>
      <c r="AL2272" s="22"/>
      <c r="AM2272" s="22"/>
      <c r="AN2272" s="22"/>
      <c r="AO2272" s="22"/>
      <c r="AP2272" s="22"/>
    </row>
    <row r="2273" hidden="1">
      <c r="A2273" s="148">
        <v>46213.0</v>
      </c>
      <c r="B2273" s="149">
        <v>0.5</v>
      </c>
      <c r="C2273" s="11" t="s">
        <v>58</v>
      </c>
      <c r="D2273" s="11" t="s">
        <v>3083</v>
      </c>
      <c r="E2273" s="10" t="s">
        <v>2212</v>
      </c>
      <c r="F2273" s="10" t="s">
        <v>6423</v>
      </c>
      <c r="G2273" s="11" t="s">
        <v>6632</v>
      </c>
      <c r="H2273" s="11" t="s">
        <v>6503</v>
      </c>
      <c r="I2273" s="10" t="s">
        <v>61</v>
      </c>
      <c r="J2273" s="14">
        <v>6198.0</v>
      </c>
      <c r="K2273" s="14">
        <v>3407.0</v>
      </c>
      <c r="L2273" s="17">
        <v>0.5497</v>
      </c>
      <c r="M2273" s="150">
        <v>0.0</v>
      </c>
      <c r="N2273" s="136">
        <v>0.0</v>
      </c>
      <c r="O2273" s="18">
        <v>0.0</v>
      </c>
      <c r="P2273" s="92">
        <v>0.0</v>
      </c>
      <c r="Q2273" s="137">
        <v>0.0</v>
      </c>
      <c r="R2273" s="17">
        <v>0.0</v>
      </c>
      <c r="S2273" s="18">
        <v>17.0</v>
      </c>
      <c r="T2273" s="18">
        <v>0.0</v>
      </c>
      <c r="U2273" s="151">
        <v>138042.0</v>
      </c>
      <c r="V2273" s="92" t="s">
        <v>315</v>
      </c>
      <c r="W2273" s="18" t="s">
        <v>58</v>
      </c>
      <c r="X2273" s="174" t="s">
        <v>3895</v>
      </c>
      <c r="Y2273" s="187" t="s">
        <v>6488</v>
      </c>
      <c r="Z2273" s="18" t="s">
        <v>6633</v>
      </c>
      <c r="AA2273" s="92">
        <v>9.0</v>
      </c>
      <c r="AB2273" s="92"/>
      <c r="AC2273" s="92">
        <v>9.0</v>
      </c>
      <c r="AD2273" s="92">
        <v>55515.0</v>
      </c>
      <c r="AE2273" s="92"/>
      <c r="AF2273" s="92">
        <v>55515.0</v>
      </c>
      <c r="AG2273" s="22"/>
      <c r="AH2273" s="22"/>
      <c r="AI2273" s="22"/>
      <c r="AJ2273" s="22"/>
      <c r="AK2273" s="22"/>
      <c r="AL2273" s="22"/>
      <c r="AM2273" s="22"/>
      <c r="AN2273" s="22"/>
      <c r="AO2273" s="22"/>
      <c r="AP2273" s="22"/>
    </row>
    <row r="2274" hidden="1">
      <c r="A2274" s="148">
        <v>46213.0</v>
      </c>
      <c r="B2274" s="149">
        <v>0.5</v>
      </c>
      <c r="C2274" s="11" t="s">
        <v>58</v>
      </c>
      <c r="D2274" s="11" t="s">
        <v>3083</v>
      </c>
      <c r="E2274" s="10" t="s">
        <v>2212</v>
      </c>
      <c r="F2274" s="10" t="s">
        <v>6423</v>
      </c>
      <c r="G2274" s="11" t="s">
        <v>6634</v>
      </c>
      <c r="H2274" s="11" t="s">
        <v>6506</v>
      </c>
      <c r="I2274" s="10" t="s">
        <v>61</v>
      </c>
      <c r="J2274" s="14">
        <v>4223.0</v>
      </c>
      <c r="K2274" s="14">
        <v>2397.0</v>
      </c>
      <c r="L2274" s="17">
        <v>0.5676</v>
      </c>
      <c r="M2274" s="150">
        <v>0.0</v>
      </c>
      <c r="N2274" s="136">
        <v>0.0</v>
      </c>
      <c r="O2274" s="18">
        <v>0.0</v>
      </c>
      <c r="P2274" s="92">
        <v>0.0</v>
      </c>
      <c r="Q2274" s="137">
        <v>0.0</v>
      </c>
      <c r="R2274" s="17">
        <v>0.0</v>
      </c>
      <c r="S2274" s="18">
        <v>11.0</v>
      </c>
      <c r="T2274" s="18">
        <v>0.0</v>
      </c>
      <c r="U2274" s="151">
        <v>97737.0</v>
      </c>
      <c r="V2274" s="92" t="s">
        <v>315</v>
      </c>
      <c r="W2274" s="18" t="s">
        <v>58</v>
      </c>
      <c r="X2274" s="174" t="s">
        <v>3895</v>
      </c>
      <c r="Y2274" s="187" t="s">
        <v>6488</v>
      </c>
      <c r="Z2274" s="18" t="s">
        <v>6635</v>
      </c>
      <c r="AA2274" s="92">
        <v>3.0</v>
      </c>
      <c r="AB2274" s="92"/>
      <c r="AC2274" s="92">
        <v>3.0</v>
      </c>
      <c r="AD2274" s="92">
        <v>28401.0</v>
      </c>
      <c r="AE2274" s="92"/>
      <c r="AF2274" s="92">
        <v>28401.0</v>
      </c>
      <c r="AG2274" s="22"/>
      <c r="AH2274" s="22"/>
      <c r="AI2274" s="22"/>
      <c r="AJ2274" s="22"/>
      <c r="AK2274" s="22"/>
      <c r="AL2274" s="22"/>
      <c r="AM2274" s="22"/>
      <c r="AN2274" s="22"/>
      <c r="AO2274" s="22"/>
      <c r="AP2274" s="22"/>
    </row>
    <row r="2275" hidden="1">
      <c r="A2275" s="148">
        <v>46213.0</v>
      </c>
      <c r="B2275" s="149">
        <v>0.5</v>
      </c>
      <c r="C2275" s="11" t="s">
        <v>58</v>
      </c>
      <c r="D2275" s="11" t="s">
        <v>3083</v>
      </c>
      <c r="E2275" s="10" t="s">
        <v>2212</v>
      </c>
      <c r="F2275" s="10" t="s">
        <v>6423</v>
      </c>
      <c r="G2275" s="11" t="s">
        <v>6636</v>
      </c>
      <c r="H2275" s="11" t="s">
        <v>6509</v>
      </c>
      <c r="I2275" s="10" t="s">
        <v>61</v>
      </c>
      <c r="J2275" s="14">
        <v>1510.0</v>
      </c>
      <c r="K2275" s="14">
        <v>843.0</v>
      </c>
      <c r="L2275" s="17">
        <v>0.5583</v>
      </c>
      <c r="M2275" s="150">
        <v>0.0</v>
      </c>
      <c r="N2275" s="136">
        <v>0.0</v>
      </c>
      <c r="O2275" s="18">
        <v>0.0</v>
      </c>
      <c r="P2275" s="92">
        <v>0.0</v>
      </c>
      <c r="Q2275" s="137">
        <v>0.0</v>
      </c>
      <c r="R2275" s="17">
        <v>0.0</v>
      </c>
      <c r="S2275" s="18">
        <v>8.0</v>
      </c>
      <c r="T2275" s="18">
        <v>0.0</v>
      </c>
      <c r="U2275" s="151">
        <v>68930.0</v>
      </c>
      <c r="V2275" s="92" t="s">
        <v>315</v>
      </c>
      <c r="W2275" s="18" t="s">
        <v>58</v>
      </c>
      <c r="X2275" s="174" t="s">
        <v>3895</v>
      </c>
      <c r="Y2275" s="187" t="s">
        <v>6488</v>
      </c>
      <c r="Z2275" s="18" t="s">
        <v>6637</v>
      </c>
      <c r="AA2275" s="92">
        <v>5.0</v>
      </c>
      <c r="AB2275" s="92"/>
      <c r="AC2275" s="92">
        <v>5.0</v>
      </c>
      <c r="AD2275" s="92">
        <v>51719.0</v>
      </c>
      <c r="AE2275" s="92"/>
      <c r="AF2275" s="92">
        <v>51719.0</v>
      </c>
      <c r="AG2275" s="22"/>
      <c r="AH2275" s="22"/>
      <c r="AI2275" s="22"/>
      <c r="AJ2275" s="22"/>
      <c r="AK2275" s="22"/>
      <c r="AL2275" s="22"/>
      <c r="AM2275" s="22"/>
      <c r="AN2275" s="22"/>
      <c r="AO2275" s="22"/>
      <c r="AP2275" s="22"/>
    </row>
    <row r="2276">
      <c r="A2276" s="148">
        <v>46213.0</v>
      </c>
      <c r="B2276" s="149">
        <v>0.3541666666666667</v>
      </c>
      <c r="C2276" s="11" t="s">
        <v>196</v>
      </c>
      <c r="D2276" s="11" t="s">
        <v>33</v>
      </c>
      <c r="E2276" s="10" t="s">
        <v>179</v>
      </c>
      <c r="F2276" s="10" t="s">
        <v>6423</v>
      </c>
      <c r="G2276" s="11" t="s">
        <v>6638</v>
      </c>
      <c r="H2276" s="11" t="s">
        <v>3011</v>
      </c>
      <c r="I2276" s="10" t="s">
        <v>6639</v>
      </c>
      <c r="J2276" s="14">
        <v>71454.0</v>
      </c>
      <c r="K2276" s="14">
        <v>11157.0</v>
      </c>
      <c r="L2276" s="17">
        <v>0.1561</v>
      </c>
      <c r="M2276" s="150">
        <v>2198.0</v>
      </c>
      <c r="N2276" s="136">
        <v>0.197</v>
      </c>
      <c r="O2276" s="18">
        <v>32.0</v>
      </c>
      <c r="P2276" s="92">
        <v>0.0</v>
      </c>
      <c r="Q2276" s="137">
        <v>0.003</v>
      </c>
      <c r="R2276" s="17">
        <v>0.0</v>
      </c>
      <c r="S2276" s="18">
        <v>3.0</v>
      </c>
      <c r="T2276" s="18">
        <v>7.0</v>
      </c>
      <c r="U2276" s="151">
        <v>37008.0</v>
      </c>
      <c r="V2276" s="92" t="s">
        <v>315</v>
      </c>
      <c r="W2276" s="18" t="s">
        <v>95</v>
      </c>
      <c r="X2276" s="174" t="s">
        <v>6425</v>
      </c>
      <c r="Y2276" s="95" t="s">
        <v>6426</v>
      </c>
      <c r="Z2276" s="18" t="s">
        <v>6640</v>
      </c>
      <c r="AA2276" s="92">
        <v>31.0</v>
      </c>
      <c r="AB2276" s="92"/>
      <c r="AC2276" s="92">
        <v>31.0</v>
      </c>
      <c r="AD2276" s="92">
        <v>275636.0</v>
      </c>
      <c r="AE2276" s="92"/>
      <c r="AF2276" s="92">
        <v>275636.0</v>
      </c>
      <c r="AG2276" s="22"/>
      <c r="AH2276" s="22"/>
      <c r="AI2276" s="22"/>
      <c r="AJ2276" s="22"/>
      <c r="AK2276" s="22"/>
      <c r="AL2276" s="22"/>
      <c r="AM2276" s="22"/>
      <c r="AN2276" s="22"/>
      <c r="AO2276" s="22"/>
      <c r="AP2276" s="22"/>
    </row>
    <row r="2277">
      <c r="A2277" s="148">
        <v>46213.0</v>
      </c>
      <c r="B2277" s="149">
        <v>0.3541666666666667</v>
      </c>
      <c r="C2277" s="11" t="s">
        <v>196</v>
      </c>
      <c r="D2277" s="11" t="s">
        <v>33</v>
      </c>
      <c r="E2277" s="10" t="s">
        <v>179</v>
      </c>
      <c r="F2277" s="10" t="s">
        <v>6423</v>
      </c>
      <c r="G2277" s="11" t="s">
        <v>6641</v>
      </c>
      <c r="H2277" s="11" t="s">
        <v>6429</v>
      </c>
      <c r="I2277" s="10" t="s">
        <v>6642</v>
      </c>
      <c r="J2277" s="14">
        <v>87157.0</v>
      </c>
      <c r="K2277" s="14">
        <v>10744.0</v>
      </c>
      <c r="L2277" s="17">
        <v>0.1233</v>
      </c>
      <c r="M2277" s="150">
        <v>1967.0</v>
      </c>
      <c r="N2277" s="136">
        <v>0.1831</v>
      </c>
      <c r="O2277" s="18">
        <v>33.0</v>
      </c>
      <c r="P2277" s="92">
        <v>0.0</v>
      </c>
      <c r="Q2277" s="137">
        <v>0.0031</v>
      </c>
      <c r="R2277" s="17">
        <v>0.0</v>
      </c>
      <c r="S2277" s="18">
        <v>2.0</v>
      </c>
      <c r="T2277" s="18">
        <v>8.0</v>
      </c>
      <c r="U2277" s="151">
        <v>12989.0</v>
      </c>
      <c r="V2277" s="92" t="s">
        <v>315</v>
      </c>
      <c r="W2277" s="18" t="s">
        <v>95</v>
      </c>
      <c r="X2277" s="174" t="s">
        <v>6425</v>
      </c>
      <c r="Y2277" s="95" t="s">
        <v>6426</v>
      </c>
      <c r="Z2277" s="18" t="s">
        <v>6643</v>
      </c>
      <c r="AA2277" s="92">
        <v>22.0</v>
      </c>
      <c r="AB2277" s="92"/>
      <c r="AC2277" s="92">
        <v>22.0</v>
      </c>
      <c r="AD2277" s="92">
        <v>166262.0</v>
      </c>
      <c r="AE2277" s="92"/>
      <c r="AF2277" s="92">
        <v>166262.0</v>
      </c>
      <c r="AG2277" s="22"/>
      <c r="AH2277" s="22"/>
      <c r="AI2277" s="22"/>
      <c r="AJ2277" s="22"/>
      <c r="AK2277" s="22"/>
      <c r="AL2277" s="22"/>
      <c r="AM2277" s="22"/>
      <c r="AN2277" s="22"/>
      <c r="AO2277" s="22"/>
      <c r="AP2277" s="22"/>
    </row>
    <row r="2278">
      <c r="A2278" s="148">
        <v>46213.0</v>
      </c>
      <c r="B2278" s="149">
        <v>0.3541666666666667</v>
      </c>
      <c r="C2278" s="11" t="s">
        <v>196</v>
      </c>
      <c r="D2278" s="11" t="s">
        <v>33</v>
      </c>
      <c r="E2278" s="10" t="s">
        <v>179</v>
      </c>
      <c r="F2278" s="10" t="s">
        <v>6423</v>
      </c>
      <c r="G2278" s="11" t="s">
        <v>6644</v>
      </c>
      <c r="H2278" s="11" t="s">
        <v>6432</v>
      </c>
      <c r="I2278" s="10" t="s">
        <v>6645</v>
      </c>
      <c r="J2278" s="14">
        <v>50336.0</v>
      </c>
      <c r="K2278" s="14">
        <v>8711.0</v>
      </c>
      <c r="L2278" s="17">
        <v>0.1731</v>
      </c>
      <c r="M2278" s="150">
        <v>1381.0</v>
      </c>
      <c r="N2278" s="136">
        <v>0.1585</v>
      </c>
      <c r="O2278" s="18">
        <v>14.0</v>
      </c>
      <c r="P2278" s="92">
        <v>0.0</v>
      </c>
      <c r="Q2278" s="137">
        <v>0.0021</v>
      </c>
      <c r="R2278" s="17">
        <v>0.0</v>
      </c>
      <c r="S2278" s="18">
        <v>0.0</v>
      </c>
      <c r="T2278" s="18">
        <v>2.0</v>
      </c>
      <c r="U2278" s="151">
        <v>0.0</v>
      </c>
      <c r="V2278" s="92" t="s">
        <v>315</v>
      </c>
      <c r="W2278" s="18" t="s">
        <v>95</v>
      </c>
      <c r="X2278" s="174" t="s">
        <v>6425</v>
      </c>
      <c r="Y2278" s="95" t="s">
        <v>6426</v>
      </c>
      <c r="Z2278" s="18" t="s">
        <v>6646</v>
      </c>
      <c r="AA2278" s="92">
        <v>23.0</v>
      </c>
      <c r="AB2278" s="92"/>
      <c r="AC2278" s="92">
        <v>23.0</v>
      </c>
      <c r="AD2278" s="92">
        <v>109981.0</v>
      </c>
      <c r="AE2278" s="92"/>
      <c r="AF2278" s="92">
        <v>109981.0</v>
      </c>
      <c r="AG2278" s="22"/>
      <c r="AH2278" s="22"/>
      <c r="AI2278" s="22"/>
      <c r="AJ2278" s="22"/>
      <c r="AK2278" s="22"/>
      <c r="AL2278" s="22"/>
      <c r="AM2278" s="22"/>
      <c r="AN2278" s="22"/>
      <c r="AO2278" s="22"/>
      <c r="AP2278" s="22"/>
    </row>
    <row r="2279">
      <c r="A2279" s="148">
        <v>46213.0</v>
      </c>
      <c r="B2279" s="149">
        <v>0.3541666666666667</v>
      </c>
      <c r="C2279" s="11" t="s">
        <v>196</v>
      </c>
      <c r="D2279" s="11" t="s">
        <v>33</v>
      </c>
      <c r="E2279" s="10" t="s">
        <v>179</v>
      </c>
      <c r="F2279" s="10" t="s">
        <v>6423</v>
      </c>
      <c r="G2279" s="11" t="s">
        <v>6647</v>
      </c>
      <c r="H2279" s="11" t="s">
        <v>6435</v>
      </c>
      <c r="I2279" s="10" t="s">
        <v>6648</v>
      </c>
      <c r="J2279" s="14">
        <v>24183.0</v>
      </c>
      <c r="K2279" s="14">
        <v>4729.0</v>
      </c>
      <c r="L2279" s="17">
        <v>0.1956</v>
      </c>
      <c r="M2279" s="150">
        <v>805.0</v>
      </c>
      <c r="N2279" s="136">
        <v>0.1702</v>
      </c>
      <c r="O2279" s="18">
        <v>11.0</v>
      </c>
      <c r="P2279" s="92">
        <v>0.0</v>
      </c>
      <c r="Q2279" s="137">
        <v>0.003</v>
      </c>
      <c r="R2279" s="17">
        <v>0.0</v>
      </c>
      <c r="S2279" s="18">
        <v>1.0</v>
      </c>
      <c r="T2279" s="18">
        <v>1.0</v>
      </c>
      <c r="U2279" s="151">
        <v>16313.0</v>
      </c>
      <c r="V2279" s="92" t="s">
        <v>315</v>
      </c>
      <c r="W2279" s="18" t="s">
        <v>95</v>
      </c>
      <c r="X2279" s="174" t="s">
        <v>6425</v>
      </c>
      <c r="Y2279" s="95" t="s">
        <v>6426</v>
      </c>
      <c r="Z2279" s="18" t="s">
        <v>6649</v>
      </c>
      <c r="AA2279" s="92">
        <v>19.0</v>
      </c>
      <c r="AB2279" s="92"/>
      <c r="AC2279" s="92">
        <v>19.0</v>
      </c>
      <c r="AD2279" s="92">
        <v>106286.0</v>
      </c>
      <c r="AE2279" s="92"/>
      <c r="AF2279" s="92">
        <v>106286.0</v>
      </c>
      <c r="AG2279" s="22"/>
      <c r="AH2279" s="22"/>
      <c r="AI2279" s="22"/>
      <c r="AJ2279" s="22"/>
      <c r="AK2279" s="22"/>
      <c r="AL2279" s="22"/>
      <c r="AM2279" s="22"/>
      <c r="AN2279" s="22"/>
      <c r="AO2279" s="22"/>
      <c r="AP2279" s="22"/>
    </row>
    <row r="2280" hidden="1">
      <c r="A2280" s="148">
        <v>46213.0</v>
      </c>
      <c r="B2280" s="149">
        <v>0.6666666666666666</v>
      </c>
      <c r="C2280" s="11" t="s">
        <v>196</v>
      </c>
      <c r="D2280" s="11" t="s">
        <v>33</v>
      </c>
      <c r="E2280" s="10" t="s">
        <v>217</v>
      </c>
      <c r="F2280" s="10" t="s">
        <v>6650</v>
      </c>
      <c r="G2280" s="11" t="s">
        <v>6651</v>
      </c>
      <c r="H2280" s="11" t="s">
        <v>6439</v>
      </c>
      <c r="I2280" s="10" t="s">
        <v>6652</v>
      </c>
      <c r="J2280" s="14">
        <v>161739.0</v>
      </c>
      <c r="K2280" s="14">
        <v>78860.0</v>
      </c>
      <c r="L2280" s="17">
        <v>0.4876</v>
      </c>
      <c r="M2280" s="150">
        <v>17357.0</v>
      </c>
      <c r="N2280" s="136">
        <v>0.2203</v>
      </c>
      <c r="O2280" s="18">
        <v>0.0</v>
      </c>
      <c r="P2280" s="92">
        <v>0.0</v>
      </c>
      <c r="Q2280" s="137">
        <v>0.0</v>
      </c>
      <c r="R2280" s="17">
        <v>0.0</v>
      </c>
      <c r="S2280" s="18">
        <v>0.0</v>
      </c>
      <c r="T2280" s="18">
        <v>0.0</v>
      </c>
      <c r="U2280" s="151">
        <v>0.0</v>
      </c>
      <c r="V2280" s="92" t="s">
        <v>183</v>
      </c>
      <c r="W2280" s="18" t="s">
        <v>95</v>
      </c>
      <c r="X2280" s="174" t="s">
        <v>111</v>
      </c>
      <c r="Y2280" s="187" t="s">
        <v>6440</v>
      </c>
      <c r="Z2280" s="18" t="s">
        <v>6653</v>
      </c>
      <c r="AA2280" s="92">
        <v>690.0</v>
      </c>
      <c r="AB2280" s="92">
        <v>0.0</v>
      </c>
      <c r="AC2280" s="92">
        <v>690.0</v>
      </c>
      <c r="AD2280" s="92">
        <v>1158379.0</v>
      </c>
      <c r="AE2280" s="92">
        <v>0.0</v>
      </c>
      <c r="AF2280" s="92">
        <v>1158379.0</v>
      </c>
      <c r="AG2280" s="22"/>
      <c r="AH2280" s="22"/>
      <c r="AI2280" s="22"/>
      <c r="AJ2280" s="22"/>
      <c r="AK2280" s="22"/>
      <c r="AL2280" s="22"/>
      <c r="AM2280" s="22"/>
      <c r="AN2280" s="22"/>
      <c r="AO2280" s="22"/>
      <c r="AP2280" s="22"/>
    </row>
    <row r="2281" hidden="1">
      <c r="A2281" s="148">
        <v>46213.0</v>
      </c>
      <c r="B2281" s="149">
        <v>0.6666666666666666</v>
      </c>
      <c r="C2281" s="11" t="s">
        <v>196</v>
      </c>
      <c r="D2281" s="11" t="s">
        <v>33</v>
      </c>
      <c r="E2281" s="10" t="s">
        <v>217</v>
      </c>
      <c r="F2281" s="10" t="s">
        <v>6650</v>
      </c>
      <c r="G2281" s="11" t="s">
        <v>6654</v>
      </c>
      <c r="H2281" s="11" t="s">
        <v>6443</v>
      </c>
      <c r="I2281" s="10" t="s">
        <v>6655</v>
      </c>
      <c r="J2281" s="14">
        <v>130530.0</v>
      </c>
      <c r="K2281" s="14">
        <v>65212.0</v>
      </c>
      <c r="L2281" s="17">
        <v>0.4996</v>
      </c>
      <c r="M2281" s="150">
        <v>14416.0</v>
      </c>
      <c r="N2281" s="136">
        <v>0.2212</v>
      </c>
      <c r="O2281" s="18">
        <v>0.0</v>
      </c>
      <c r="P2281" s="92">
        <v>0.0</v>
      </c>
      <c r="Q2281" s="137">
        <v>0.0</v>
      </c>
      <c r="R2281" s="17">
        <v>0.0</v>
      </c>
      <c r="S2281" s="18">
        <v>0.0</v>
      </c>
      <c r="T2281" s="18">
        <v>0.0</v>
      </c>
      <c r="U2281" s="151">
        <v>0.0</v>
      </c>
      <c r="V2281" s="92" t="s">
        <v>183</v>
      </c>
      <c r="W2281" s="18" t="s">
        <v>95</v>
      </c>
      <c r="X2281" s="174" t="s">
        <v>111</v>
      </c>
      <c r="Y2281" s="187" t="s">
        <v>6440</v>
      </c>
      <c r="Z2281" s="18" t="s">
        <v>6656</v>
      </c>
      <c r="AA2281" s="92">
        <v>486.0</v>
      </c>
      <c r="AB2281" s="92">
        <v>0.0</v>
      </c>
      <c r="AC2281" s="92">
        <v>486.0</v>
      </c>
      <c r="AD2281" s="92">
        <v>816689.0</v>
      </c>
      <c r="AE2281" s="92">
        <v>0.0</v>
      </c>
      <c r="AF2281" s="92">
        <v>816689.0</v>
      </c>
      <c r="AG2281" s="22"/>
      <c r="AH2281" s="22"/>
      <c r="AI2281" s="22"/>
      <c r="AJ2281" s="22"/>
      <c r="AK2281" s="22"/>
      <c r="AL2281" s="22"/>
      <c r="AM2281" s="22"/>
      <c r="AN2281" s="22"/>
      <c r="AO2281" s="22"/>
      <c r="AP2281" s="22"/>
    </row>
    <row r="2282" hidden="1">
      <c r="A2282" s="148">
        <v>46213.0</v>
      </c>
      <c r="B2282" s="149">
        <v>0.6666666666666666</v>
      </c>
      <c r="C2282" s="11" t="s">
        <v>196</v>
      </c>
      <c r="D2282" s="11" t="s">
        <v>33</v>
      </c>
      <c r="E2282" s="10" t="s">
        <v>217</v>
      </c>
      <c r="F2282" s="10" t="s">
        <v>6650</v>
      </c>
      <c r="G2282" s="11" t="s">
        <v>6657</v>
      </c>
      <c r="H2282" s="11" t="s">
        <v>6446</v>
      </c>
      <c r="I2282" s="10" t="s">
        <v>6658</v>
      </c>
      <c r="J2282" s="14">
        <v>123596.0</v>
      </c>
      <c r="K2282" s="14">
        <v>62717.0</v>
      </c>
      <c r="L2282" s="17">
        <v>0.5074</v>
      </c>
      <c r="M2282" s="150">
        <v>14148.0</v>
      </c>
      <c r="N2282" s="136">
        <v>0.2257</v>
      </c>
      <c r="O2282" s="18">
        <v>0.0</v>
      </c>
      <c r="P2282" s="92">
        <v>0.0</v>
      </c>
      <c r="Q2282" s="137">
        <v>0.0</v>
      </c>
      <c r="R2282" s="17">
        <v>0.0</v>
      </c>
      <c r="S2282" s="18">
        <v>0.0</v>
      </c>
      <c r="T2282" s="18">
        <v>0.0</v>
      </c>
      <c r="U2282" s="151">
        <v>0.0</v>
      </c>
      <c r="V2282" s="92" t="s">
        <v>183</v>
      </c>
      <c r="W2282" s="18" t="s">
        <v>95</v>
      </c>
      <c r="X2282" s="174" t="s">
        <v>111</v>
      </c>
      <c r="Y2282" s="187" t="s">
        <v>6440</v>
      </c>
      <c r="Z2282" s="18" t="s">
        <v>6659</v>
      </c>
      <c r="AA2282" s="92">
        <v>411.0</v>
      </c>
      <c r="AB2282" s="92">
        <v>0.0</v>
      </c>
      <c r="AC2282" s="92">
        <v>411.0</v>
      </c>
      <c r="AD2282" s="92">
        <v>620430.0</v>
      </c>
      <c r="AE2282" s="92">
        <v>0.0</v>
      </c>
      <c r="AF2282" s="92">
        <v>620430.0</v>
      </c>
      <c r="AG2282" s="22"/>
      <c r="AH2282" s="22"/>
      <c r="AI2282" s="22"/>
      <c r="AJ2282" s="22"/>
      <c r="AK2282" s="22"/>
      <c r="AL2282" s="22"/>
      <c r="AM2282" s="22"/>
      <c r="AN2282" s="22"/>
      <c r="AO2282" s="22"/>
      <c r="AP2282" s="22"/>
    </row>
    <row r="2283" hidden="1">
      <c r="A2283" s="148">
        <v>46213.0</v>
      </c>
      <c r="B2283" s="149">
        <v>0.6666666666666666</v>
      </c>
      <c r="C2283" s="11" t="s">
        <v>196</v>
      </c>
      <c r="D2283" s="11" t="s">
        <v>33</v>
      </c>
      <c r="E2283" s="10" t="s">
        <v>217</v>
      </c>
      <c r="F2283" s="10" t="s">
        <v>6650</v>
      </c>
      <c r="G2283" s="11" t="s">
        <v>6660</v>
      </c>
      <c r="H2283" s="11" t="s">
        <v>6449</v>
      </c>
      <c r="I2283" s="10" t="s">
        <v>6661</v>
      </c>
      <c r="J2283" s="14">
        <v>104910.0</v>
      </c>
      <c r="K2283" s="14">
        <v>54347.0</v>
      </c>
      <c r="L2283" s="17">
        <v>0.518</v>
      </c>
      <c r="M2283" s="150">
        <v>12649.0</v>
      </c>
      <c r="N2283" s="136">
        <v>0.2328</v>
      </c>
      <c r="O2283" s="18">
        <v>0.0</v>
      </c>
      <c r="P2283" s="92">
        <v>0.0</v>
      </c>
      <c r="Q2283" s="137">
        <v>0.0</v>
      </c>
      <c r="R2283" s="17">
        <v>0.0</v>
      </c>
      <c r="S2283" s="18">
        <v>0.0</v>
      </c>
      <c r="T2283" s="18">
        <v>0.0</v>
      </c>
      <c r="U2283" s="151">
        <v>0.0</v>
      </c>
      <c r="V2283" s="92" t="s">
        <v>183</v>
      </c>
      <c r="W2283" s="18" t="s">
        <v>95</v>
      </c>
      <c r="X2283" s="174" t="s">
        <v>111</v>
      </c>
      <c r="Y2283" s="187" t="s">
        <v>6440</v>
      </c>
      <c r="Z2283" s="18" t="s">
        <v>6662</v>
      </c>
      <c r="AA2283" s="92">
        <v>391.0</v>
      </c>
      <c r="AB2283" s="92">
        <v>0.0</v>
      </c>
      <c r="AC2283" s="92">
        <v>391.0</v>
      </c>
      <c r="AD2283" s="92">
        <v>530646.0</v>
      </c>
      <c r="AE2283" s="92">
        <v>0.0</v>
      </c>
      <c r="AF2283" s="92">
        <v>530646.0</v>
      </c>
      <c r="AG2283" s="22"/>
      <c r="AH2283" s="22"/>
      <c r="AI2283" s="22"/>
      <c r="AJ2283" s="22"/>
      <c r="AK2283" s="22"/>
      <c r="AL2283" s="22"/>
      <c r="AM2283" s="22"/>
      <c r="AN2283" s="22"/>
      <c r="AO2283" s="22"/>
      <c r="AP2283" s="22"/>
    </row>
    <row r="2284" hidden="1">
      <c r="A2284" s="148">
        <v>46213.0</v>
      </c>
      <c r="B2284" s="149">
        <v>0.7083333333333334</v>
      </c>
      <c r="C2284" s="11" t="s">
        <v>196</v>
      </c>
      <c r="D2284" s="11" t="s">
        <v>3083</v>
      </c>
      <c r="E2284" s="10" t="s">
        <v>1998</v>
      </c>
      <c r="F2284" s="10" t="s">
        <v>6663</v>
      </c>
      <c r="G2284" s="11" t="s">
        <v>6664</v>
      </c>
      <c r="H2284" s="11" t="s">
        <v>5312</v>
      </c>
      <c r="I2284" s="10" t="s">
        <v>6402</v>
      </c>
      <c r="J2284" s="14">
        <v>25071.0</v>
      </c>
      <c r="K2284" s="14">
        <v>1744.0</v>
      </c>
      <c r="L2284" s="17">
        <v>0.0696</v>
      </c>
      <c r="M2284" s="150">
        <v>391.0</v>
      </c>
      <c r="N2284" s="136">
        <v>0.2248</v>
      </c>
      <c r="O2284" s="18">
        <v>7.0</v>
      </c>
      <c r="P2284" s="92">
        <v>0.0</v>
      </c>
      <c r="Q2284" s="137">
        <v>0.0052</v>
      </c>
      <c r="R2284" s="17">
        <v>0.0</v>
      </c>
      <c r="S2284" s="18">
        <v>0.0</v>
      </c>
      <c r="T2284" s="18">
        <v>0.0</v>
      </c>
      <c r="U2284" s="151">
        <v>0.0</v>
      </c>
      <c r="V2284" s="92" t="s">
        <v>183</v>
      </c>
      <c r="W2284" s="18" t="s">
        <v>95</v>
      </c>
      <c r="X2284" s="18" t="s">
        <v>4296</v>
      </c>
      <c r="Y2284" s="189" t="s">
        <v>6606</v>
      </c>
      <c r="Z2284" s="18" t="s">
        <v>6665</v>
      </c>
      <c r="AA2284" s="92"/>
      <c r="AB2284" s="92"/>
      <c r="AC2284" s="92"/>
      <c r="AD2284" s="92"/>
      <c r="AE2284" s="92"/>
      <c r="AF2284" s="92"/>
      <c r="AG2284" s="22"/>
      <c r="AH2284" s="22"/>
      <c r="AI2284" s="22"/>
      <c r="AJ2284" s="22"/>
      <c r="AK2284" s="22"/>
      <c r="AL2284" s="22"/>
      <c r="AM2284" s="22"/>
      <c r="AN2284" s="22"/>
      <c r="AO2284" s="22"/>
      <c r="AP2284" s="22"/>
    </row>
    <row r="2285" hidden="1">
      <c r="A2285" s="148">
        <v>46214.0</v>
      </c>
      <c r="B2285" s="149">
        <v>0.375</v>
      </c>
      <c r="C2285" s="11" t="s">
        <v>196</v>
      </c>
      <c r="D2285" s="11" t="s">
        <v>33</v>
      </c>
      <c r="E2285" s="10" t="s">
        <v>34</v>
      </c>
      <c r="F2285" s="10" t="s">
        <v>6666</v>
      </c>
      <c r="G2285" s="11" t="s">
        <v>6667</v>
      </c>
      <c r="H2285" s="11" t="s">
        <v>3762</v>
      </c>
      <c r="I2285" s="10" t="s">
        <v>5434</v>
      </c>
      <c r="J2285" s="14">
        <v>3622.0</v>
      </c>
      <c r="K2285" s="14">
        <v>654.0</v>
      </c>
      <c r="L2285" s="17">
        <v>0.1806</v>
      </c>
      <c r="M2285" s="150">
        <v>132.0</v>
      </c>
      <c r="N2285" s="136">
        <v>0.2018</v>
      </c>
      <c r="O2285" s="18">
        <v>16.0</v>
      </c>
      <c r="P2285" s="92">
        <v>0.0</v>
      </c>
      <c r="Q2285" s="137">
        <v>0.0275</v>
      </c>
      <c r="R2285" s="17">
        <v>0.0</v>
      </c>
      <c r="S2285" s="18">
        <v>0.0</v>
      </c>
      <c r="T2285" s="18">
        <v>3.0</v>
      </c>
      <c r="U2285" s="151">
        <v>0.0</v>
      </c>
      <c r="V2285" s="92" t="s">
        <v>335</v>
      </c>
      <c r="W2285" s="18" t="s">
        <v>95</v>
      </c>
      <c r="X2285" s="174" t="s">
        <v>4645</v>
      </c>
      <c r="Y2285" s="192" t="s">
        <v>6610</v>
      </c>
      <c r="Z2285" s="18" t="s">
        <v>6668</v>
      </c>
      <c r="AA2285" s="92">
        <v>0.0</v>
      </c>
      <c r="AB2285" s="92">
        <v>0.0</v>
      </c>
      <c r="AC2285" s="92"/>
      <c r="AD2285" s="92">
        <v>0.0</v>
      </c>
      <c r="AE2285" s="92">
        <v>0.0</v>
      </c>
      <c r="AF2285" s="92"/>
      <c r="AG2285" s="22"/>
      <c r="AH2285" s="22"/>
      <c r="AI2285" s="22"/>
      <c r="AJ2285" s="22"/>
      <c r="AK2285" s="22"/>
      <c r="AL2285" s="22"/>
      <c r="AM2285" s="22"/>
      <c r="AN2285" s="22"/>
      <c r="AO2285" s="22"/>
      <c r="AP2285" s="22"/>
    </row>
    <row r="2286" hidden="1">
      <c r="A2286" s="148">
        <v>46214.0</v>
      </c>
      <c r="B2286" s="149">
        <v>0.375</v>
      </c>
      <c r="C2286" s="11" t="s">
        <v>196</v>
      </c>
      <c r="D2286" s="11" t="s">
        <v>33</v>
      </c>
      <c r="E2286" s="10" t="s">
        <v>34</v>
      </c>
      <c r="F2286" s="10" t="s">
        <v>6666</v>
      </c>
      <c r="G2286" s="11" t="s">
        <v>6669</v>
      </c>
      <c r="H2286" s="11" t="s">
        <v>3767</v>
      </c>
      <c r="I2286" s="10" t="s">
        <v>5438</v>
      </c>
      <c r="J2286" s="14">
        <v>458.0</v>
      </c>
      <c r="K2286" s="14">
        <v>65.0</v>
      </c>
      <c r="L2286" s="17">
        <v>0.1419</v>
      </c>
      <c r="M2286" s="150">
        <v>10.0</v>
      </c>
      <c r="N2286" s="136">
        <v>0.1538</v>
      </c>
      <c r="O2286" s="18">
        <v>0.0</v>
      </c>
      <c r="P2286" s="92">
        <v>0.0</v>
      </c>
      <c r="Q2286" s="137">
        <v>0.0</v>
      </c>
      <c r="R2286" s="17">
        <v>0.0</v>
      </c>
      <c r="S2286" s="18">
        <v>0.0</v>
      </c>
      <c r="T2286" s="18">
        <v>0.0</v>
      </c>
      <c r="U2286" s="151">
        <v>0.0</v>
      </c>
      <c r="V2286" s="92" t="s">
        <v>335</v>
      </c>
      <c r="W2286" s="18" t="s">
        <v>95</v>
      </c>
      <c r="X2286" s="174" t="s">
        <v>4645</v>
      </c>
      <c r="Y2286" s="192" t="s">
        <v>6610</v>
      </c>
      <c r="Z2286" s="18" t="s">
        <v>6670</v>
      </c>
      <c r="AA2286" s="92">
        <v>0.0</v>
      </c>
      <c r="AB2286" s="92">
        <v>0.0</v>
      </c>
      <c r="AC2286" s="92"/>
      <c r="AD2286" s="92">
        <v>0.0</v>
      </c>
      <c r="AE2286" s="92">
        <v>0.0</v>
      </c>
      <c r="AF2286" s="92"/>
      <c r="AG2286" s="22"/>
      <c r="AH2286" s="22"/>
      <c r="AI2286" s="22"/>
      <c r="AJ2286" s="22"/>
      <c r="AK2286" s="22"/>
      <c r="AL2286" s="22"/>
      <c r="AM2286" s="22"/>
      <c r="AN2286" s="22"/>
      <c r="AO2286" s="22"/>
      <c r="AP2286" s="22"/>
    </row>
    <row r="2287" hidden="1">
      <c r="A2287" s="148">
        <v>46214.0</v>
      </c>
      <c r="B2287" s="149">
        <v>0.375</v>
      </c>
      <c r="C2287" s="11" t="s">
        <v>196</v>
      </c>
      <c r="D2287" s="11" t="s">
        <v>33</v>
      </c>
      <c r="E2287" s="10" t="s">
        <v>34</v>
      </c>
      <c r="F2287" s="10" t="s">
        <v>6666</v>
      </c>
      <c r="G2287" s="11" t="s">
        <v>6671</v>
      </c>
      <c r="H2287" s="11" t="s">
        <v>5441</v>
      </c>
      <c r="I2287" s="10" t="s">
        <v>6413</v>
      </c>
      <c r="J2287" s="14">
        <v>60621.0</v>
      </c>
      <c r="K2287" s="14">
        <v>11453.0</v>
      </c>
      <c r="L2287" s="17">
        <v>0.1889</v>
      </c>
      <c r="M2287" s="150">
        <v>2310.0</v>
      </c>
      <c r="N2287" s="136">
        <v>0.2018</v>
      </c>
      <c r="O2287" s="18">
        <v>58.0</v>
      </c>
      <c r="P2287" s="92">
        <v>0.0</v>
      </c>
      <c r="Q2287" s="137">
        <v>0.0059</v>
      </c>
      <c r="R2287" s="17">
        <v>0.0</v>
      </c>
      <c r="S2287" s="18">
        <v>1.0</v>
      </c>
      <c r="T2287" s="18">
        <v>0.0</v>
      </c>
      <c r="U2287" s="151">
        <v>8598.0</v>
      </c>
      <c r="V2287" s="92" t="s">
        <v>183</v>
      </c>
      <c r="W2287" s="18" t="s">
        <v>95</v>
      </c>
      <c r="X2287" s="174" t="s">
        <v>52</v>
      </c>
      <c r="Y2287" s="191" t="s">
        <v>6610</v>
      </c>
      <c r="Z2287" s="18" t="s">
        <v>6672</v>
      </c>
      <c r="AA2287" s="92">
        <v>18.0</v>
      </c>
      <c r="AB2287" s="92">
        <v>2.0</v>
      </c>
      <c r="AC2287" s="92">
        <v>16.0</v>
      </c>
      <c r="AD2287" s="92">
        <v>192009.0</v>
      </c>
      <c r="AE2287" s="92">
        <v>12498.0</v>
      </c>
      <c r="AF2287" s="92">
        <v>179511.0</v>
      </c>
      <c r="AG2287" s="22"/>
      <c r="AH2287" s="22"/>
      <c r="AI2287" s="22"/>
      <c r="AJ2287" s="22"/>
      <c r="AK2287" s="22"/>
      <c r="AL2287" s="22"/>
      <c r="AM2287" s="22"/>
      <c r="AN2287" s="22"/>
      <c r="AO2287" s="22"/>
      <c r="AP2287" s="22"/>
    </row>
    <row r="2288" hidden="1">
      <c r="A2288" s="148">
        <v>46214.0</v>
      </c>
      <c r="B2288" s="149">
        <v>0.375</v>
      </c>
      <c r="C2288" s="11" t="s">
        <v>196</v>
      </c>
      <c r="D2288" s="11" t="s">
        <v>33</v>
      </c>
      <c r="E2288" s="10" t="s">
        <v>34</v>
      </c>
      <c r="F2288" s="10" t="s">
        <v>6666</v>
      </c>
      <c r="G2288" s="11" t="s">
        <v>6673</v>
      </c>
      <c r="H2288" s="11" t="s">
        <v>6392</v>
      </c>
      <c r="I2288" s="10" t="s">
        <v>5463</v>
      </c>
      <c r="J2288" s="14">
        <v>59032.0</v>
      </c>
      <c r="K2288" s="14">
        <v>9953.0</v>
      </c>
      <c r="L2288" s="17">
        <v>0.1686</v>
      </c>
      <c r="M2288" s="150">
        <v>2068.0</v>
      </c>
      <c r="N2288" s="136">
        <v>0.208</v>
      </c>
      <c r="O2288" s="18">
        <v>58.0</v>
      </c>
      <c r="P2288" s="92">
        <v>0.0</v>
      </c>
      <c r="Q2288" s="137">
        <v>0.0062</v>
      </c>
      <c r="R2288" s="17">
        <v>0.0</v>
      </c>
      <c r="S2288" s="18">
        <v>0.0</v>
      </c>
      <c r="T2288" s="18">
        <v>0.0</v>
      </c>
      <c r="U2288" s="151">
        <v>0.0</v>
      </c>
      <c r="V2288" s="92" t="s">
        <v>183</v>
      </c>
      <c r="W2288" s="18" t="s">
        <v>95</v>
      </c>
      <c r="X2288" s="174" t="s">
        <v>82</v>
      </c>
      <c r="Y2288" s="191" t="s">
        <v>6610</v>
      </c>
      <c r="Z2288" s="18" t="s">
        <v>6674</v>
      </c>
      <c r="AA2288" s="92">
        <v>23.0</v>
      </c>
      <c r="AB2288" s="92">
        <v>3.0</v>
      </c>
      <c r="AC2288" s="92">
        <v>20.0</v>
      </c>
      <c r="AD2288" s="92">
        <v>104673.0</v>
      </c>
      <c r="AE2288" s="92">
        <v>18298.0</v>
      </c>
      <c r="AF2288" s="92">
        <v>191048.0</v>
      </c>
      <c r="AG2288" s="22"/>
      <c r="AH2288" s="22"/>
      <c r="AI2288" s="22"/>
      <c r="AJ2288" s="22"/>
      <c r="AK2288" s="22"/>
      <c r="AL2288" s="22"/>
      <c r="AM2288" s="22"/>
      <c r="AN2288" s="22"/>
      <c r="AO2288" s="22"/>
      <c r="AP2288" s="22"/>
    </row>
    <row r="2289" hidden="1">
      <c r="A2289" s="148">
        <v>46214.0</v>
      </c>
      <c r="B2289" s="149">
        <v>0.375</v>
      </c>
      <c r="C2289" s="11" t="s">
        <v>196</v>
      </c>
      <c r="D2289" s="11" t="s">
        <v>33</v>
      </c>
      <c r="E2289" s="10" t="s">
        <v>34</v>
      </c>
      <c r="F2289" s="10" t="s">
        <v>6666</v>
      </c>
      <c r="G2289" s="11" t="s">
        <v>6675</v>
      </c>
      <c r="H2289" s="11" t="s">
        <v>6395</v>
      </c>
      <c r="I2289" s="10" t="s">
        <v>6418</v>
      </c>
      <c r="J2289" s="14">
        <v>138304.0</v>
      </c>
      <c r="K2289" s="14">
        <v>27690.0</v>
      </c>
      <c r="L2289" s="17">
        <v>0.2002</v>
      </c>
      <c r="M2289" s="150">
        <v>5406.0</v>
      </c>
      <c r="N2289" s="136">
        <v>0.1954</v>
      </c>
      <c r="O2289" s="18">
        <v>194.0</v>
      </c>
      <c r="P2289" s="92">
        <v>0.0</v>
      </c>
      <c r="Q2289" s="137">
        <v>0.0078</v>
      </c>
      <c r="R2289" s="17">
        <v>0.0</v>
      </c>
      <c r="S2289" s="18">
        <v>0.0</v>
      </c>
      <c r="T2289" s="18">
        <v>0.0</v>
      </c>
      <c r="U2289" s="151">
        <v>0.0</v>
      </c>
      <c r="V2289" s="92" t="s">
        <v>183</v>
      </c>
      <c r="W2289" s="18" t="s">
        <v>95</v>
      </c>
      <c r="X2289" s="174" t="s">
        <v>87</v>
      </c>
      <c r="Y2289" s="191" t="s">
        <v>6610</v>
      </c>
      <c r="Z2289" s="18" t="s">
        <v>6676</v>
      </c>
      <c r="AA2289" s="92">
        <v>33.0</v>
      </c>
      <c r="AB2289" s="92">
        <v>3.0</v>
      </c>
      <c r="AC2289" s="92">
        <v>30.0</v>
      </c>
      <c r="AD2289" s="92">
        <v>331957.0</v>
      </c>
      <c r="AE2289" s="92">
        <v>24597.0</v>
      </c>
      <c r="AF2289" s="92">
        <v>307360.0</v>
      </c>
      <c r="AG2289" s="22"/>
      <c r="AH2289" s="22"/>
      <c r="AI2289" s="22"/>
      <c r="AJ2289" s="22"/>
      <c r="AK2289" s="22"/>
      <c r="AL2289" s="22"/>
      <c r="AM2289" s="22"/>
      <c r="AN2289" s="22"/>
      <c r="AO2289" s="22"/>
      <c r="AP2289" s="22"/>
    </row>
    <row r="2290" hidden="1">
      <c r="A2290" s="148">
        <v>46214.0</v>
      </c>
      <c r="B2290" s="149">
        <v>0.375</v>
      </c>
      <c r="C2290" s="11" t="s">
        <v>196</v>
      </c>
      <c r="D2290" s="11" t="s">
        <v>33</v>
      </c>
      <c r="E2290" s="10" t="s">
        <v>34</v>
      </c>
      <c r="F2290" s="10" t="s">
        <v>6666</v>
      </c>
      <c r="G2290" s="11" t="s">
        <v>6677</v>
      </c>
      <c r="H2290" s="11" t="s">
        <v>6398</v>
      </c>
      <c r="I2290" s="10" t="s">
        <v>6421</v>
      </c>
      <c r="J2290" s="14">
        <v>91369.0</v>
      </c>
      <c r="K2290" s="14">
        <v>16897.0</v>
      </c>
      <c r="L2290" s="17">
        <v>0.1849</v>
      </c>
      <c r="M2290" s="150">
        <v>3236.0</v>
      </c>
      <c r="N2290" s="136">
        <v>0.1916</v>
      </c>
      <c r="O2290" s="18">
        <v>80.0</v>
      </c>
      <c r="P2290" s="92">
        <v>0.0</v>
      </c>
      <c r="Q2290" s="137">
        <v>0.0056</v>
      </c>
      <c r="R2290" s="17">
        <v>0.0</v>
      </c>
      <c r="S2290" s="18">
        <v>0.0</v>
      </c>
      <c r="T2290" s="18">
        <v>0.0</v>
      </c>
      <c r="U2290" s="151">
        <v>0.0</v>
      </c>
      <c r="V2290" s="92" t="s">
        <v>183</v>
      </c>
      <c r="W2290" s="18" t="s">
        <v>95</v>
      </c>
      <c r="X2290" s="174" t="s">
        <v>87</v>
      </c>
      <c r="Y2290" s="191" t="s">
        <v>6610</v>
      </c>
      <c r="Z2290" s="18" t="s">
        <v>6678</v>
      </c>
      <c r="AA2290" s="92">
        <v>5.0</v>
      </c>
      <c r="AB2290" s="92">
        <v>0.0</v>
      </c>
      <c r="AC2290" s="92">
        <v>5.0</v>
      </c>
      <c r="AD2290" s="92">
        <v>36840.0</v>
      </c>
      <c r="AE2290" s="92">
        <v>0.0</v>
      </c>
      <c r="AF2290" s="92">
        <v>36840.0</v>
      </c>
      <c r="AG2290" s="22"/>
      <c r="AH2290" s="22"/>
      <c r="AI2290" s="22"/>
      <c r="AJ2290" s="22"/>
      <c r="AK2290" s="22"/>
      <c r="AL2290" s="22"/>
      <c r="AM2290" s="22"/>
      <c r="AN2290" s="22"/>
      <c r="AO2290" s="22"/>
      <c r="AP2290" s="22"/>
    </row>
    <row r="2291" hidden="1">
      <c r="A2291" s="148">
        <v>46213.0</v>
      </c>
      <c r="B2291" s="149">
        <v>0.3541666666666667</v>
      </c>
      <c r="C2291" s="11" t="s">
        <v>196</v>
      </c>
      <c r="D2291" s="11" t="s">
        <v>33</v>
      </c>
      <c r="E2291" s="10" t="s">
        <v>2212</v>
      </c>
      <c r="F2291" s="10" t="s">
        <v>6423</v>
      </c>
      <c r="G2291" s="11" t="s">
        <v>6679</v>
      </c>
      <c r="H2291" s="11" t="s">
        <v>6487</v>
      </c>
      <c r="I2291" s="10" t="s">
        <v>6680</v>
      </c>
      <c r="J2291" s="14">
        <v>18083.0</v>
      </c>
      <c r="K2291" s="14">
        <v>3579.0</v>
      </c>
      <c r="L2291" s="17">
        <v>0.1979</v>
      </c>
      <c r="M2291" s="150">
        <v>878.0</v>
      </c>
      <c r="N2291" s="136">
        <v>0.2453</v>
      </c>
      <c r="O2291" s="18">
        <v>6.0</v>
      </c>
      <c r="P2291" s="92">
        <v>0.0</v>
      </c>
      <c r="Q2291" s="137">
        <v>0.002</v>
      </c>
      <c r="R2291" s="17">
        <v>0.0</v>
      </c>
      <c r="S2291" s="18">
        <v>13.0</v>
      </c>
      <c r="T2291" s="18">
        <v>0.0</v>
      </c>
      <c r="U2291" s="151">
        <v>146718.0</v>
      </c>
      <c r="V2291" s="92" t="s">
        <v>315</v>
      </c>
      <c r="W2291" s="18" t="s">
        <v>95</v>
      </c>
      <c r="X2291" s="174" t="s">
        <v>5999</v>
      </c>
      <c r="Y2291" s="41" t="s">
        <v>6488</v>
      </c>
      <c r="Z2291" s="18" t="s">
        <v>6681</v>
      </c>
      <c r="AA2291" s="92">
        <v>2.0</v>
      </c>
      <c r="AB2291" s="92"/>
      <c r="AC2291" s="92">
        <v>2.0</v>
      </c>
      <c r="AD2291" s="18">
        <v>32836.0</v>
      </c>
      <c r="AE2291" s="18"/>
      <c r="AF2291" s="18">
        <v>32836.0</v>
      </c>
      <c r="AG2291" s="22"/>
      <c r="AH2291" s="22"/>
      <c r="AI2291" s="22"/>
      <c r="AJ2291" s="22"/>
      <c r="AK2291" s="22"/>
      <c r="AL2291" s="22"/>
      <c r="AM2291" s="22"/>
      <c r="AN2291" s="22"/>
      <c r="AO2291" s="22"/>
      <c r="AP2291" s="22"/>
    </row>
    <row r="2292" hidden="1">
      <c r="A2292" s="148">
        <v>46213.0</v>
      </c>
      <c r="B2292" s="149">
        <v>0.3541666666666667</v>
      </c>
      <c r="C2292" s="11" t="s">
        <v>196</v>
      </c>
      <c r="D2292" s="11" t="s">
        <v>33</v>
      </c>
      <c r="E2292" s="10" t="s">
        <v>2212</v>
      </c>
      <c r="F2292" s="10" t="s">
        <v>6423</v>
      </c>
      <c r="G2292" s="11" t="s">
        <v>6682</v>
      </c>
      <c r="H2292" s="11" t="s">
        <v>6491</v>
      </c>
      <c r="I2292" s="10" t="s">
        <v>6683</v>
      </c>
      <c r="J2292" s="14">
        <v>16577.0</v>
      </c>
      <c r="K2292" s="14">
        <v>2665.0</v>
      </c>
      <c r="L2292" s="17">
        <v>0.1608</v>
      </c>
      <c r="M2292" s="150">
        <v>619.0</v>
      </c>
      <c r="N2292" s="136">
        <v>0.2323</v>
      </c>
      <c r="O2292" s="18">
        <v>3.0</v>
      </c>
      <c r="P2292" s="92">
        <v>0.0</v>
      </c>
      <c r="Q2292" s="137">
        <v>0.0026</v>
      </c>
      <c r="R2292" s="17">
        <v>0.0</v>
      </c>
      <c r="S2292" s="18">
        <v>8.0</v>
      </c>
      <c r="T2292" s="18">
        <v>0.0</v>
      </c>
      <c r="U2292" s="151">
        <v>46663.0</v>
      </c>
      <c r="V2292" s="92" t="s">
        <v>315</v>
      </c>
      <c r="W2292" s="18" t="s">
        <v>95</v>
      </c>
      <c r="X2292" s="174" t="s">
        <v>5999</v>
      </c>
      <c r="Y2292" s="41" t="s">
        <v>6488</v>
      </c>
      <c r="Z2292" s="18" t="s">
        <v>6684</v>
      </c>
      <c r="AA2292" s="92">
        <v>0.0</v>
      </c>
      <c r="AB2292" s="92"/>
      <c r="AC2292" s="92">
        <v>0.0</v>
      </c>
      <c r="AD2292" s="18">
        <v>0.0</v>
      </c>
      <c r="AE2292" s="18"/>
      <c r="AF2292" s="18">
        <v>0.0</v>
      </c>
      <c r="AG2292" s="22"/>
      <c r="AH2292" s="22"/>
      <c r="AI2292" s="22"/>
      <c r="AJ2292" s="22"/>
      <c r="AK2292" s="22"/>
      <c r="AL2292" s="22"/>
      <c r="AM2292" s="22"/>
      <c r="AN2292" s="22"/>
      <c r="AO2292" s="22"/>
      <c r="AP2292" s="22"/>
    </row>
    <row r="2293" hidden="1">
      <c r="A2293" s="148">
        <v>46213.0</v>
      </c>
      <c r="B2293" s="149">
        <v>0.3541666666666667</v>
      </c>
      <c r="C2293" s="11" t="s">
        <v>196</v>
      </c>
      <c r="D2293" s="11" t="s">
        <v>33</v>
      </c>
      <c r="E2293" s="10" t="s">
        <v>2212</v>
      </c>
      <c r="F2293" s="10" t="s">
        <v>6423</v>
      </c>
      <c r="G2293" s="11" t="s">
        <v>6685</v>
      </c>
      <c r="H2293" s="11" t="s">
        <v>6494</v>
      </c>
      <c r="I2293" s="10" t="s">
        <v>6686</v>
      </c>
      <c r="J2293" s="14">
        <v>22775.0</v>
      </c>
      <c r="K2293" s="14">
        <v>3965.0</v>
      </c>
      <c r="L2293" s="17">
        <v>0.1741</v>
      </c>
      <c r="M2293" s="150">
        <v>819.0</v>
      </c>
      <c r="N2293" s="136">
        <v>0.2066</v>
      </c>
      <c r="O2293" s="18">
        <v>11.0</v>
      </c>
      <c r="P2293" s="92">
        <v>0.0</v>
      </c>
      <c r="Q2293" s="137">
        <v>0.0028</v>
      </c>
      <c r="R2293" s="17">
        <v>0.0</v>
      </c>
      <c r="S2293" s="18">
        <v>16.0</v>
      </c>
      <c r="T2293" s="18">
        <v>0.0</v>
      </c>
      <c r="U2293" s="151">
        <v>111075.0</v>
      </c>
      <c r="V2293" s="92" t="s">
        <v>315</v>
      </c>
      <c r="W2293" s="18" t="s">
        <v>95</v>
      </c>
      <c r="X2293" s="174" t="s">
        <v>5999</v>
      </c>
      <c r="Y2293" s="41" t="s">
        <v>6488</v>
      </c>
      <c r="Z2293" s="18" t="s">
        <v>6687</v>
      </c>
      <c r="AA2293" s="92">
        <v>3.0</v>
      </c>
      <c r="AB2293" s="92"/>
      <c r="AC2293" s="92">
        <v>3.0</v>
      </c>
      <c r="AD2293" s="18">
        <v>11677.0</v>
      </c>
      <c r="AE2293" s="18"/>
      <c r="AF2293" s="18">
        <v>11677.0</v>
      </c>
      <c r="AG2293" s="22"/>
      <c r="AH2293" s="22"/>
      <c r="AI2293" s="22"/>
      <c r="AJ2293" s="22"/>
      <c r="AK2293" s="22"/>
      <c r="AL2293" s="22"/>
      <c r="AM2293" s="22"/>
      <c r="AN2293" s="22"/>
      <c r="AO2293" s="22"/>
      <c r="AP2293" s="22"/>
    </row>
    <row r="2294" hidden="1">
      <c r="A2294" s="148">
        <v>46213.0</v>
      </c>
      <c r="B2294" s="149">
        <v>0.3541666666666667</v>
      </c>
      <c r="C2294" s="11" t="s">
        <v>196</v>
      </c>
      <c r="D2294" s="11" t="s">
        <v>33</v>
      </c>
      <c r="E2294" s="10" t="s">
        <v>2212</v>
      </c>
      <c r="F2294" s="10" t="s">
        <v>6423</v>
      </c>
      <c r="G2294" s="11" t="s">
        <v>6688</v>
      </c>
      <c r="H2294" s="11" t="s">
        <v>6497</v>
      </c>
      <c r="I2294" s="10" t="s">
        <v>6689</v>
      </c>
      <c r="J2294" s="14">
        <v>8335.0</v>
      </c>
      <c r="K2294" s="14">
        <v>1719.0</v>
      </c>
      <c r="L2294" s="17">
        <v>0.2062</v>
      </c>
      <c r="M2294" s="150">
        <v>366.0</v>
      </c>
      <c r="N2294" s="136">
        <v>0.2129</v>
      </c>
      <c r="O2294" s="18">
        <v>1.0</v>
      </c>
      <c r="P2294" s="92">
        <v>0.0</v>
      </c>
      <c r="Q2294" s="137">
        <v>6.0E-4</v>
      </c>
      <c r="R2294" s="17">
        <v>0.0</v>
      </c>
      <c r="S2294" s="18">
        <v>10.0</v>
      </c>
      <c r="T2294" s="18">
        <v>0.0</v>
      </c>
      <c r="U2294" s="151">
        <v>104494.0</v>
      </c>
      <c r="V2294" s="92" t="s">
        <v>315</v>
      </c>
      <c r="W2294" s="18" t="s">
        <v>95</v>
      </c>
      <c r="X2294" s="174" t="s">
        <v>5999</v>
      </c>
      <c r="Y2294" s="41" t="s">
        <v>6488</v>
      </c>
      <c r="Z2294" s="18" t="s">
        <v>6690</v>
      </c>
      <c r="AA2294" s="92">
        <v>5.0</v>
      </c>
      <c r="AB2294" s="92"/>
      <c r="AC2294" s="92">
        <v>5.0</v>
      </c>
      <c r="AD2294" s="18">
        <v>101428.0</v>
      </c>
      <c r="AE2294" s="18"/>
      <c r="AF2294" s="18">
        <v>101428.0</v>
      </c>
      <c r="AG2294" s="22"/>
      <c r="AH2294" s="22"/>
      <c r="AI2294" s="22"/>
      <c r="AJ2294" s="22"/>
      <c r="AK2294" s="22"/>
      <c r="AL2294" s="22"/>
      <c r="AM2294" s="22"/>
      <c r="AN2294" s="22"/>
      <c r="AO2294" s="22"/>
      <c r="AP2294" s="22"/>
    </row>
    <row r="2295" hidden="1">
      <c r="A2295" s="148">
        <v>46213.0</v>
      </c>
      <c r="B2295" s="149">
        <v>0.3541666666666667</v>
      </c>
      <c r="C2295" s="11" t="s">
        <v>196</v>
      </c>
      <c r="D2295" s="11" t="s">
        <v>33</v>
      </c>
      <c r="E2295" s="10" t="s">
        <v>2212</v>
      </c>
      <c r="F2295" s="10" t="s">
        <v>6423</v>
      </c>
      <c r="G2295" s="11" t="s">
        <v>6691</v>
      </c>
      <c r="H2295" s="11" t="s">
        <v>6500</v>
      </c>
      <c r="I2295" s="10" t="s">
        <v>6692</v>
      </c>
      <c r="J2295" s="14">
        <v>11787.0</v>
      </c>
      <c r="K2295" s="14">
        <v>1761.0</v>
      </c>
      <c r="L2295" s="17">
        <v>0.1494</v>
      </c>
      <c r="M2295" s="150">
        <v>424.0</v>
      </c>
      <c r="N2295" s="136">
        <v>0.2408</v>
      </c>
      <c r="O2295" s="18">
        <v>3.0</v>
      </c>
      <c r="P2295" s="92">
        <v>0.0</v>
      </c>
      <c r="Q2295" s="137">
        <v>0.0017</v>
      </c>
      <c r="R2295" s="17">
        <v>0.0</v>
      </c>
      <c r="S2295" s="18">
        <v>14.0</v>
      </c>
      <c r="T2295" s="18">
        <v>0.0</v>
      </c>
      <c r="U2295" s="151">
        <v>99259.0</v>
      </c>
      <c r="V2295" s="92" t="s">
        <v>315</v>
      </c>
      <c r="W2295" s="18" t="s">
        <v>95</v>
      </c>
      <c r="X2295" s="174" t="s">
        <v>3895</v>
      </c>
      <c r="Y2295" s="41" t="s">
        <v>6488</v>
      </c>
      <c r="Z2295" s="18" t="s">
        <v>6693</v>
      </c>
      <c r="AA2295" s="92">
        <v>6.0</v>
      </c>
      <c r="AB2295" s="92"/>
      <c r="AC2295" s="92">
        <v>6.0</v>
      </c>
      <c r="AD2295" s="18">
        <v>52872.0</v>
      </c>
      <c r="AE2295" s="18"/>
      <c r="AF2295" s="18">
        <v>52872.0</v>
      </c>
      <c r="AG2295" s="22"/>
      <c r="AH2295" s="22"/>
      <c r="AI2295" s="22"/>
      <c r="AJ2295" s="22"/>
      <c r="AK2295" s="22"/>
      <c r="AL2295" s="22"/>
      <c r="AM2295" s="22"/>
      <c r="AN2295" s="22"/>
      <c r="AO2295" s="22"/>
      <c r="AP2295" s="22"/>
    </row>
    <row r="2296" hidden="1">
      <c r="A2296" s="148">
        <v>46213.0</v>
      </c>
      <c r="B2296" s="149">
        <v>0.3541666666666667</v>
      </c>
      <c r="C2296" s="11" t="s">
        <v>196</v>
      </c>
      <c r="D2296" s="11" t="s">
        <v>33</v>
      </c>
      <c r="E2296" s="10" t="s">
        <v>2212</v>
      </c>
      <c r="F2296" s="10" t="s">
        <v>6423</v>
      </c>
      <c r="G2296" s="11" t="s">
        <v>6694</v>
      </c>
      <c r="H2296" s="11" t="s">
        <v>6503</v>
      </c>
      <c r="I2296" s="10" t="s">
        <v>6695</v>
      </c>
      <c r="J2296" s="14">
        <v>18752.0</v>
      </c>
      <c r="K2296" s="14">
        <v>2342.0</v>
      </c>
      <c r="L2296" s="17">
        <v>0.1249</v>
      </c>
      <c r="M2296" s="150">
        <v>519.0</v>
      </c>
      <c r="N2296" s="136">
        <v>0.2216</v>
      </c>
      <c r="O2296" s="18">
        <v>6.0</v>
      </c>
      <c r="P2296" s="92">
        <v>0.0</v>
      </c>
      <c r="Q2296" s="137">
        <v>0.003</v>
      </c>
      <c r="R2296" s="17">
        <v>0.0</v>
      </c>
      <c r="S2296" s="18">
        <v>9.0</v>
      </c>
      <c r="T2296" s="18">
        <v>0.0</v>
      </c>
      <c r="U2296" s="151">
        <v>78601.0</v>
      </c>
      <c r="V2296" s="92" t="s">
        <v>315</v>
      </c>
      <c r="W2296" s="18" t="s">
        <v>95</v>
      </c>
      <c r="X2296" s="174" t="s">
        <v>3895</v>
      </c>
      <c r="Y2296" s="41" t="s">
        <v>6488</v>
      </c>
      <c r="Z2296" s="18" t="s">
        <v>6696</v>
      </c>
      <c r="AA2296" s="92">
        <v>1.0</v>
      </c>
      <c r="AB2296" s="92"/>
      <c r="AC2296" s="92">
        <v>1.0</v>
      </c>
      <c r="AD2296" s="18">
        <v>13967.0</v>
      </c>
      <c r="AE2296" s="18"/>
      <c r="AF2296" s="18">
        <v>13967.0</v>
      </c>
      <c r="AG2296" s="22"/>
      <c r="AH2296" s="22"/>
      <c r="AI2296" s="22"/>
      <c r="AJ2296" s="22"/>
      <c r="AK2296" s="22"/>
      <c r="AL2296" s="22"/>
      <c r="AM2296" s="22"/>
      <c r="AN2296" s="22"/>
      <c r="AO2296" s="22"/>
      <c r="AP2296" s="22"/>
    </row>
    <row r="2297" hidden="1">
      <c r="A2297" s="148">
        <v>46213.0</v>
      </c>
      <c r="B2297" s="149">
        <v>0.3541666666666667</v>
      </c>
      <c r="C2297" s="11" t="s">
        <v>196</v>
      </c>
      <c r="D2297" s="11" t="s">
        <v>33</v>
      </c>
      <c r="E2297" s="10" t="s">
        <v>2212</v>
      </c>
      <c r="F2297" s="10" t="s">
        <v>6423</v>
      </c>
      <c r="G2297" s="11" t="s">
        <v>6697</v>
      </c>
      <c r="H2297" s="11" t="s">
        <v>6506</v>
      </c>
      <c r="I2297" s="10" t="s">
        <v>6698</v>
      </c>
      <c r="J2297" s="14">
        <v>12370.0</v>
      </c>
      <c r="K2297" s="14">
        <v>1765.0</v>
      </c>
      <c r="L2297" s="17">
        <v>0.1427</v>
      </c>
      <c r="M2297" s="150">
        <v>333.0</v>
      </c>
      <c r="N2297" s="136">
        <v>0.1887</v>
      </c>
      <c r="O2297" s="18">
        <v>1.0</v>
      </c>
      <c r="P2297" s="92">
        <v>0.0</v>
      </c>
      <c r="Q2297" s="137">
        <v>6.0E-4</v>
      </c>
      <c r="R2297" s="17">
        <v>0.0</v>
      </c>
      <c r="S2297" s="18">
        <v>8.0</v>
      </c>
      <c r="T2297" s="18">
        <v>0.0</v>
      </c>
      <c r="U2297" s="151">
        <v>31738.0</v>
      </c>
      <c r="V2297" s="92" t="s">
        <v>315</v>
      </c>
      <c r="W2297" s="18" t="s">
        <v>95</v>
      </c>
      <c r="X2297" s="174" t="s">
        <v>3895</v>
      </c>
      <c r="Y2297" s="41" t="s">
        <v>6488</v>
      </c>
      <c r="Z2297" s="18" t="s">
        <v>6699</v>
      </c>
      <c r="AA2297" s="92">
        <v>3.0</v>
      </c>
      <c r="AB2297" s="92"/>
      <c r="AC2297" s="92">
        <v>3.0</v>
      </c>
      <c r="AD2297" s="18">
        <v>16615.0</v>
      </c>
      <c r="AE2297" s="18"/>
      <c r="AF2297" s="18">
        <v>16615.0</v>
      </c>
      <c r="AG2297" s="22"/>
      <c r="AH2297" s="22"/>
      <c r="AI2297" s="22"/>
      <c r="AJ2297" s="22"/>
      <c r="AK2297" s="22"/>
      <c r="AL2297" s="22"/>
      <c r="AM2297" s="22"/>
      <c r="AN2297" s="22"/>
      <c r="AO2297" s="22"/>
      <c r="AP2297" s="22"/>
    </row>
    <row r="2298" hidden="1">
      <c r="A2298" s="148">
        <v>46213.0</v>
      </c>
      <c r="B2298" s="149">
        <v>0.3541666666666667</v>
      </c>
      <c r="C2298" s="11" t="s">
        <v>196</v>
      </c>
      <c r="D2298" s="11" t="s">
        <v>33</v>
      </c>
      <c r="E2298" s="10" t="s">
        <v>2212</v>
      </c>
      <c r="F2298" s="10" t="s">
        <v>6423</v>
      </c>
      <c r="G2298" s="11" t="s">
        <v>6700</v>
      </c>
      <c r="H2298" s="11" t="s">
        <v>6509</v>
      </c>
      <c r="I2298" s="10" t="s">
        <v>6701</v>
      </c>
      <c r="J2298" s="14">
        <v>4495.0</v>
      </c>
      <c r="K2298" s="14">
        <v>685.0</v>
      </c>
      <c r="L2298" s="17">
        <v>0.1524</v>
      </c>
      <c r="M2298" s="150">
        <v>129.0</v>
      </c>
      <c r="N2298" s="136">
        <v>0.1883</v>
      </c>
      <c r="O2298" s="18">
        <v>2.0</v>
      </c>
      <c r="P2298" s="92">
        <v>0.0</v>
      </c>
      <c r="Q2298" s="137">
        <v>0.0029</v>
      </c>
      <c r="R2298" s="17">
        <v>0.0</v>
      </c>
      <c r="S2298" s="18">
        <v>2.0</v>
      </c>
      <c r="T2298" s="18">
        <v>0.0</v>
      </c>
      <c r="U2298" s="151">
        <v>11499.0</v>
      </c>
      <c r="V2298" s="92" t="s">
        <v>315</v>
      </c>
      <c r="W2298" s="18" t="s">
        <v>95</v>
      </c>
      <c r="X2298" s="174" t="s">
        <v>3895</v>
      </c>
      <c r="Y2298" s="41" t="s">
        <v>6488</v>
      </c>
      <c r="Z2298" s="18" t="s">
        <v>6702</v>
      </c>
      <c r="AA2298" s="92">
        <v>1.0</v>
      </c>
      <c r="AB2298" s="92"/>
      <c r="AC2298" s="92">
        <v>1.0</v>
      </c>
      <c r="AD2298" s="18">
        <v>9899.0</v>
      </c>
      <c r="AE2298" s="18"/>
      <c r="AF2298" s="18">
        <v>9899.0</v>
      </c>
      <c r="AG2298" s="22"/>
      <c r="AH2298" s="22"/>
      <c r="AI2298" s="22"/>
      <c r="AJ2298" s="22"/>
      <c r="AK2298" s="22"/>
      <c r="AL2298" s="22"/>
      <c r="AM2298" s="22"/>
      <c r="AN2298" s="22"/>
      <c r="AO2298" s="22"/>
      <c r="AP2298" s="22"/>
    </row>
    <row r="2299">
      <c r="A2299" s="193"/>
      <c r="B2299" s="194"/>
      <c r="C2299" s="195"/>
      <c r="D2299" s="196"/>
      <c r="E2299" s="197"/>
      <c r="F2299" s="197"/>
      <c r="G2299" s="195"/>
      <c r="H2299" s="195"/>
      <c r="I2299" s="197"/>
      <c r="J2299" s="121"/>
      <c r="K2299" s="14"/>
      <c r="L2299" s="17"/>
      <c r="M2299" s="150"/>
      <c r="N2299" s="136"/>
      <c r="O2299" s="18"/>
      <c r="P2299" s="198"/>
      <c r="Q2299" s="199"/>
      <c r="R2299" s="200"/>
      <c r="S2299" s="170"/>
      <c r="T2299" s="170"/>
      <c r="U2299" s="201"/>
      <c r="V2299" s="198"/>
      <c r="W2299" s="170"/>
      <c r="X2299" s="202"/>
      <c r="Y2299" s="203"/>
      <c r="Z2299" s="170"/>
      <c r="AA2299" s="198"/>
      <c r="AB2299" s="170"/>
      <c r="AC2299" s="170"/>
      <c r="AD2299" s="121"/>
      <c r="AE2299" s="121"/>
      <c r="AF2299" s="121"/>
      <c r="AG2299" s="22"/>
      <c r="AH2299" s="22"/>
      <c r="AI2299" s="22"/>
      <c r="AJ2299" s="22"/>
      <c r="AK2299" s="22"/>
      <c r="AL2299" s="22"/>
      <c r="AM2299" s="22"/>
      <c r="AN2299" s="22"/>
      <c r="AO2299" s="22"/>
      <c r="AP2299" s="22"/>
    </row>
    <row r="2300">
      <c r="A2300" s="193"/>
      <c r="B2300" s="194"/>
      <c r="C2300" s="195"/>
      <c r="D2300" s="196"/>
      <c r="E2300" s="197"/>
      <c r="F2300" s="197"/>
      <c r="G2300" s="195"/>
      <c r="H2300" s="195"/>
      <c r="I2300" s="197"/>
      <c r="J2300" s="121"/>
      <c r="K2300" s="121"/>
      <c r="L2300" s="200"/>
      <c r="M2300" s="204"/>
      <c r="N2300" s="205"/>
      <c r="O2300" s="170"/>
      <c r="P2300" s="198"/>
      <c r="Q2300" s="199"/>
      <c r="R2300" s="200"/>
      <c r="S2300" s="170"/>
      <c r="T2300" s="170"/>
      <c r="U2300" s="201"/>
      <c r="V2300" s="198"/>
      <c r="W2300" s="170"/>
      <c r="X2300" s="202"/>
      <c r="Y2300" s="203"/>
      <c r="Z2300" s="170"/>
      <c r="AA2300" s="198"/>
      <c r="AB2300" s="170"/>
      <c r="AC2300" s="170"/>
      <c r="AD2300" s="121"/>
      <c r="AE2300" s="121"/>
      <c r="AF2300" s="121"/>
      <c r="AG2300" s="22"/>
      <c r="AH2300" s="22"/>
      <c r="AI2300" s="22"/>
      <c r="AJ2300" s="22"/>
      <c r="AK2300" s="22"/>
      <c r="AL2300" s="22"/>
      <c r="AM2300" s="22"/>
      <c r="AN2300" s="22"/>
      <c r="AO2300" s="22"/>
      <c r="AP2300" s="22"/>
    </row>
    <row r="2301">
      <c r="A2301" s="193"/>
      <c r="B2301" s="194"/>
      <c r="C2301" s="195"/>
      <c r="D2301" s="196"/>
      <c r="E2301" s="197"/>
      <c r="F2301" s="197"/>
      <c r="G2301" s="195"/>
      <c r="H2301" s="195"/>
      <c r="I2301" s="197"/>
      <c r="J2301" s="121"/>
      <c r="K2301" s="121"/>
      <c r="L2301" s="200"/>
      <c r="M2301" s="204"/>
      <c r="N2301" s="205"/>
      <c r="O2301" s="170"/>
      <c r="P2301" s="198"/>
      <c r="Q2301" s="199"/>
      <c r="R2301" s="200"/>
      <c r="S2301" s="170"/>
      <c r="T2301" s="170"/>
      <c r="U2301" s="201"/>
      <c r="V2301" s="198"/>
      <c r="W2301" s="170"/>
      <c r="X2301" s="202"/>
      <c r="Y2301" s="203"/>
      <c r="Z2301" s="170"/>
      <c r="AA2301" s="198"/>
      <c r="AB2301" s="170"/>
      <c r="AC2301" s="170"/>
      <c r="AD2301" s="121"/>
      <c r="AE2301" s="121"/>
      <c r="AF2301" s="121"/>
      <c r="AG2301" s="22"/>
      <c r="AH2301" s="22"/>
      <c r="AI2301" s="22"/>
      <c r="AJ2301" s="22"/>
      <c r="AK2301" s="22"/>
      <c r="AL2301" s="22"/>
      <c r="AM2301" s="22"/>
      <c r="AN2301" s="22"/>
      <c r="AO2301" s="22"/>
      <c r="AP2301" s="22"/>
    </row>
    <row r="2302">
      <c r="A2302" s="193"/>
      <c r="B2302" s="194"/>
      <c r="C2302" s="195"/>
      <c r="D2302" s="196"/>
      <c r="E2302" s="197"/>
      <c r="F2302" s="197"/>
      <c r="G2302" s="195"/>
      <c r="H2302" s="195"/>
      <c r="I2302" s="197"/>
      <c r="J2302" s="121"/>
      <c r="K2302" s="121"/>
      <c r="L2302" s="200"/>
      <c r="M2302" s="204"/>
      <c r="N2302" s="205"/>
      <c r="O2302" s="170"/>
      <c r="P2302" s="198"/>
      <c r="Q2302" s="199"/>
      <c r="R2302" s="200"/>
      <c r="S2302" s="170"/>
      <c r="T2302" s="170"/>
      <c r="U2302" s="201"/>
      <c r="V2302" s="198"/>
      <c r="W2302" s="170"/>
      <c r="X2302" s="202"/>
      <c r="Y2302" s="203"/>
      <c r="Z2302" s="170"/>
      <c r="AA2302" s="198"/>
      <c r="AB2302" s="170"/>
      <c r="AC2302" s="170"/>
      <c r="AD2302" s="121"/>
      <c r="AE2302" s="121"/>
      <c r="AF2302" s="121"/>
      <c r="AG2302" s="22"/>
      <c r="AH2302" s="22"/>
      <c r="AI2302" s="22"/>
      <c r="AJ2302" s="22"/>
      <c r="AK2302" s="22"/>
      <c r="AL2302" s="22"/>
      <c r="AM2302" s="22"/>
      <c r="AN2302" s="22"/>
      <c r="AO2302" s="22"/>
      <c r="AP2302" s="22"/>
    </row>
    <row r="2303">
      <c r="A2303" s="193"/>
      <c r="B2303" s="194"/>
      <c r="C2303" s="195"/>
      <c r="D2303" s="196"/>
      <c r="E2303" s="197"/>
      <c r="F2303" s="197"/>
      <c r="G2303" s="195"/>
      <c r="H2303" s="195"/>
      <c r="I2303" s="197"/>
      <c r="J2303" s="121"/>
      <c r="K2303" s="121"/>
      <c r="L2303" s="200"/>
      <c r="M2303" s="204"/>
      <c r="N2303" s="205"/>
      <c r="O2303" s="170"/>
      <c r="P2303" s="198"/>
      <c r="Q2303" s="199"/>
      <c r="R2303" s="200"/>
      <c r="S2303" s="170"/>
      <c r="T2303" s="170"/>
      <c r="U2303" s="201"/>
      <c r="V2303" s="198"/>
      <c r="W2303" s="170"/>
      <c r="X2303" s="202"/>
      <c r="Y2303" s="203"/>
      <c r="Z2303" s="170"/>
      <c r="AA2303" s="198"/>
      <c r="AB2303" s="170"/>
      <c r="AC2303" s="170"/>
      <c r="AD2303" s="121"/>
      <c r="AE2303" s="121"/>
      <c r="AF2303" s="121"/>
      <c r="AG2303" s="22"/>
      <c r="AH2303" s="22"/>
      <c r="AI2303" s="22"/>
      <c r="AJ2303" s="22"/>
      <c r="AK2303" s="22"/>
      <c r="AL2303" s="22"/>
      <c r="AM2303" s="22"/>
      <c r="AN2303" s="22"/>
      <c r="AO2303" s="22"/>
      <c r="AP2303" s="22"/>
    </row>
    <row r="2304">
      <c r="A2304" s="193"/>
      <c r="B2304" s="194"/>
      <c r="C2304" s="195"/>
      <c r="D2304" s="196"/>
      <c r="E2304" s="197"/>
      <c r="F2304" s="197"/>
      <c r="G2304" s="195"/>
      <c r="H2304" s="195"/>
      <c r="I2304" s="197"/>
      <c r="J2304" s="121"/>
      <c r="K2304" s="121"/>
      <c r="L2304" s="200"/>
      <c r="M2304" s="204"/>
      <c r="N2304" s="205"/>
      <c r="O2304" s="170"/>
      <c r="P2304" s="198"/>
      <c r="Q2304" s="199"/>
      <c r="R2304" s="200"/>
      <c r="S2304" s="170"/>
      <c r="T2304" s="170"/>
      <c r="U2304" s="201"/>
      <c r="V2304" s="198"/>
      <c r="W2304" s="170"/>
      <c r="X2304" s="202"/>
      <c r="Y2304" s="203"/>
      <c r="Z2304" s="170"/>
      <c r="AA2304" s="198"/>
      <c r="AB2304" s="170"/>
      <c r="AC2304" s="170"/>
      <c r="AD2304" s="121"/>
      <c r="AE2304" s="121"/>
      <c r="AF2304" s="121"/>
      <c r="AG2304" s="22"/>
      <c r="AH2304" s="22"/>
      <c r="AI2304" s="22"/>
      <c r="AJ2304" s="22"/>
      <c r="AK2304" s="22"/>
      <c r="AL2304" s="22"/>
      <c r="AM2304" s="22"/>
      <c r="AN2304" s="22"/>
      <c r="AO2304" s="22"/>
      <c r="AP2304" s="22"/>
    </row>
    <row r="2305">
      <c r="A2305" s="193"/>
      <c r="B2305" s="194"/>
      <c r="C2305" s="195"/>
      <c r="D2305" s="196"/>
      <c r="E2305" s="197"/>
      <c r="F2305" s="197"/>
      <c r="G2305" s="195"/>
      <c r="H2305" s="195"/>
      <c r="I2305" s="197"/>
      <c r="J2305" s="121"/>
      <c r="K2305" s="121"/>
      <c r="L2305" s="200"/>
      <c r="M2305" s="204"/>
      <c r="N2305" s="205"/>
      <c r="O2305" s="170"/>
      <c r="P2305" s="198"/>
      <c r="Q2305" s="199"/>
      <c r="R2305" s="200"/>
      <c r="S2305" s="170"/>
      <c r="T2305" s="170"/>
      <c r="U2305" s="201"/>
      <c r="V2305" s="198"/>
      <c r="W2305" s="170"/>
      <c r="X2305" s="202"/>
      <c r="Y2305" s="203"/>
      <c r="Z2305" s="170"/>
      <c r="AA2305" s="198"/>
      <c r="AB2305" s="170"/>
      <c r="AC2305" s="170"/>
      <c r="AD2305" s="121"/>
      <c r="AE2305" s="121"/>
      <c r="AF2305" s="121"/>
      <c r="AG2305" s="22"/>
      <c r="AH2305" s="22"/>
      <c r="AI2305" s="22"/>
      <c r="AJ2305" s="22"/>
      <c r="AK2305" s="22"/>
      <c r="AL2305" s="22"/>
      <c r="AM2305" s="22"/>
      <c r="AN2305" s="22"/>
      <c r="AO2305" s="22"/>
      <c r="AP2305" s="22"/>
    </row>
    <row r="2306">
      <c r="A2306" s="193"/>
      <c r="B2306" s="194"/>
      <c r="C2306" s="195"/>
      <c r="D2306" s="196"/>
      <c r="E2306" s="197"/>
      <c r="F2306" s="197"/>
      <c r="G2306" s="195"/>
      <c r="H2306" s="195"/>
      <c r="I2306" s="197"/>
      <c r="J2306" s="121"/>
      <c r="K2306" s="121"/>
      <c r="L2306" s="200"/>
      <c r="M2306" s="204"/>
      <c r="N2306" s="205"/>
      <c r="O2306" s="170"/>
      <c r="P2306" s="198"/>
      <c r="Q2306" s="199"/>
      <c r="R2306" s="200"/>
      <c r="S2306" s="170"/>
      <c r="T2306" s="170"/>
      <c r="U2306" s="201"/>
      <c r="V2306" s="198"/>
      <c r="W2306" s="170"/>
      <c r="X2306" s="202"/>
      <c r="Y2306" s="203"/>
      <c r="Z2306" s="170"/>
      <c r="AA2306" s="198"/>
      <c r="AB2306" s="170"/>
      <c r="AC2306" s="170"/>
      <c r="AD2306" s="121"/>
      <c r="AE2306" s="121"/>
      <c r="AF2306" s="121"/>
      <c r="AG2306" s="22"/>
      <c r="AH2306" s="22"/>
      <c r="AI2306" s="22"/>
      <c r="AJ2306" s="22"/>
      <c r="AK2306" s="22"/>
      <c r="AL2306" s="22"/>
      <c r="AM2306" s="22"/>
      <c r="AN2306" s="22"/>
      <c r="AO2306" s="22"/>
      <c r="AP2306" s="22"/>
    </row>
    <row r="2307">
      <c r="A2307" s="193"/>
      <c r="B2307" s="194"/>
      <c r="C2307" s="195"/>
      <c r="D2307" s="196"/>
      <c r="E2307" s="197"/>
      <c r="F2307" s="197"/>
      <c r="G2307" s="195"/>
      <c r="H2307" s="195"/>
      <c r="I2307" s="197"/>
      <c r="J2307" s="121"/>
      <c r="K2307" s="121"/>
      <c r="L2307" s="200"/>
      <c r="M2307" s="204"/>
      <c r="N2307" s="205"/>
      <c r="O2307" s="170"/>
      <c r="P2307" s="198"/>
      <c r="Q2307" s="199"/>
      <c r="R2307" s="200"/>
      <c r="S2307" s="170"/>
      <c r="T2307" s="170"/>
      <c r="U2307" s="201"/>
      <c r="V2307" s="198"/>
      <c r="W2307" s="170"/>
      <c r="X2307" s="202"/>
      <c r="Y2307" s="203"/>
      <c r="Z2307" s="170"/>
      <c r="AA2307" s="198"/>
      <c r="AB2307" s="170"/>
      <c r="AC2307" s="170"/>
      <c r="AD2307" s="121"/>
      <c r="AE2307" s="121"/>
      <c r="AF2307" s="121"/>
      <c r="AG2307" s="22"/>
      <c r="AH2307" s="22"/>
      <c r="AI2307" s="22"/>
      <c r="AJ2307" s="22"/>
      <c r="AK2307" s="22"/>
      <c r="AL2307" s="22"/>
      <c r="AM2307" s="22"/>
      <c r="AN2307" s="22"/>
      <c r="AO2307" s="22"/>
      <c r="AP2307" s="22"/>
    </row>
    <row r="2308">
      <c r="A2308" s="193"/>
      <c r="B2308" s="194"/>
      <c r="C2308" s="195"/>
      <c r="D2308" s="196"/>
      <c r="E2308" s="197"/>
      <c r="F2308" s="197"/>
      <c r="G2308" s="195"/>
      <c r="H2308" s="195"/>
      <c r="I2308" s="197"/>
      <c r="J2308" s="121"/>
      <c r="K2308" s="121"/>
      <c r="L2308" s="200"/>
      <c r="M2308" s="204"/>
      <c r="N2308" s="205"/>
      <c r="O2308" s="170"/>
      <c r="P2308" s="198"/>
      <c r="Q2308" s="199"/>
      <c r="R2308" s="200"/>
      <c r="S2308" s="170"/>
      <c r="T2308" s="170"/>
      <c r="U2308" s="201"/>
      <c r="V2308" s="198"/>
      <c r="W2308" s="170"/>
      <c r="X2308" s="202"/>
      <c r="Y2308" s="203"/>
      <c r="Z2308" s="170"/>
      <c r="AA2308" s="198"/>
      <c r="AB2308" s="170"/>
      <c r="AC2308" s="170"/>
      <c r="AD2308" s="121"/>
      <c r="AE2308" s="121"/>
      <c r="AF2308" s="121"/>
      <c r="AG2308" s="22"/>
      <c r="AH2308" s="22"/>
      <c r="AI2308" s="22"/>
      <c r="AJ2308" s="22"/>
      <c r="AK2308" s="22"/>
      <c r="AL2308" s="22"/>
      <c r="AM2308" s="22"/>
      <c r="AN2308" s="22"/>
      <c r="AO2308" s="22"/>
      <c r="AP2308" s="22"/>
    </row>
    <row r="2309">
      <c r="A2309" s="193"/>
      <c r="B2309" s="194"/>
      <c r="C2309" s="195"/>
      <c r="D2309" s="196"/>
      <c r="E2309" s="197"/>
      <c r="F2309" s="197"/>
      <c r="G2309" s="195"/>
      <c r="H2309" s="195"/>
      <c r="I2309" s="197"/>
      <c r="J2309" s="121"/>
      <c r="K2309" s="121"/>
      <c r="L2309" s="200"/>
      <c r="M2309" s="204"/>
      <c r="N2309" s="205"/>
      <c r="O2309" s="170"/>
      <c r="P2309" s="198"/>
      <c r="Q2309" s="199"/>
      <c r="R2309" s="200"/>
      <c r="S2309" s="170"/>
      <c r="T2309" s="170"/>
      <c r="U2309" s="201"/>
      <c r="V2309" s="198"/>
      <c r="W2309" s="170"/>
      <c r="X2309" s="202"/>
      <c r="Y2309" s="203"/>
      <c r="Z2309" s="170"/>
      <c r="AA2309" s="198"/>
      <c r="AB2309" s="170"/>
      <c r="AC2309" s="170"/>
      <c r="AD2309" s="121"/>
      <c r="AE2309" s="121"/>
      <c r="AF2309" s="121"/>
      <c r="AG2309" s="22"/>
      <c r="AH2309" s="22"/>
      <c r="AI2309" s="22"/>
      <c r="AJ2309" s="22"/>
      <c r="AK2309" s="22"/>
      <c r="AL2309" s="22"/>
      <c r="AM2309" s="22"/>
      <c r="AN2309" s="22"/>
      <c r="AO2309" s="22"/>
      <c r="AP2309" s="22"/>
    </row>
    <row r="2310">
      <c r="A2310" s="193"/>
      <c r="B2310" s="194"/>
      <c r="C2310" s="195"/>
      <c r="D2310" s="196"/>
      <c r="E2310" s="197"/>
      <c r="F2310" s="197"/>
      <c r="G2310" s="195"/>
      <c r="H2310" s="195"/>
      <c r="I2310" s="197"/>
      <c r="J2310" s="121"/>
      <c r="K2310" s="121"/>
      <c r="L2310" s="200"/>
      <c r="M2310" s="204"/>
      <c r="N2310" s="205"/>
      <c r="O2310" s="170"/>
      <c r="P2310" s="198"/>
      <c r="Q2310" s="199"/>
      <c r="R2310" s="200"/>
      <c r="S2310" s="170"/>
      <c r="T2310" s="170"/>
      <c r="U2310" s="201"/>
      <c r="V2310" s="198"/>
      <c r="W2310" s="170"/>
      <c r="X2310" s="202"/>
      <c r="Y2310" s="203"/>
      <c r="Z2310" s="170"/>
      <c r="AA2310" s="198"/>
      <c r="AB2310" s="170"/>
      <c r="AC2310" s="170"/>
      <c r="AD2310" s="121"/>
      <c r="AE2310" s="121"/>
      <c r="AF2310" s="121"/>
      <c r="AG2310" s="22"/>
      <c r="AH2310" s="22"/>
      <c r="AI2310" s="22"/>
      <c r="AJ2310" s="22"/>
      <c r="AK2310" s="22"/>
      <c r="AL2310" s="22"/>
      <c r="AM2310" s="22"/>
      <c r="AN2310" s="22"/>
      <c r="AO2310" s="22"/>
      <c r="AP2310" s="22"/>
    </row>
    <row r="2311">
      <c r="A2311" s="193"/>
      <c r="B2311" s="194"/>
      <c r="C2311" s="195"/>
      <c r="D2311" s="196"/>
      <c r="E2311" s="197"/>
      <c r="F2311" s="197"/>
      <c r="G2311" s="195"/>
      <c r="H2311" s="195"/>
      <c r="I2311" s="197"/>
      <c r="J2311" s="121"/>
      <c r="K2311" s="121"/>
      <c r="L2311" s="200"/>
      <c r="M2311" s="204"/>
      <c r="N2311" s="205"/>
      <c r="O2311" s="170"/>
      <c r="P2311" s="198"/>
      <c r="Q2311" s="199"/>
      <c r="R2311" s="200"/>
      <c r="S2311" s="170"/>
      <c r="T2311" s="170"/>
      <c r="U2311" s="201"/>
      <c r="V2311" s="198"/>
      <c r="W2311" s="170"/>
      <c r="X2311" s="202"/>
      <c r="Y2311" s="203"/>
      <c r="Z2311" s="170"/>
      <c r="AA2311" s="198"/>
      <c r="AB2311" s="170"/>
      <c r="AC2311" s="170"/>
      <c r="AD2311" s="121"/>
      <c r="AE2311" s="121"/>
      <c r="AF2311" s="121"/>
      <c r="AG2311" s="22"/>
      <c r="AH2311" s="22"/>
      <c r="AI2311" s="22"/>
      <c r="AJ2311" s="22"/>
      <c r="AK2311" s="22"/>
      <c r="AL2311" s="22"/>
      <c r="AM2311" s="22"/>
      <c r="AN2311" s="22"/>
      <c r="AO2311" s="22"/>
      <c r="AP2311" s="22"/>
    </row>
    <row r="2312">
      <c r="A2312" s="193"/>
      <c r="B2312" s="194"/>
      <c r="C2312" s="195"/>
      <c r="D2312" s="196"/>
      <c r="E2312" s="197"/>
      <c r="F2312" s="197"/>
      <c r="G2312" s="195"/>
      <c r="H2312" s="195"/>
      <c r="I2312" s="197"/>
      <c r="J2312" s="121"/>
      <c r="K2312" s="121"/>
      <c r="L2312" s="200"/>
      <c r="M2312" s="204"/>
      <c r="N2312" s="205"/>
      <c r="O2312" s="170"/>
      <c r="P2312" s="198"/>
      <c r="Q2312" s="199"/>
      <c r="R2312" s="200"/>
      <c r="S2312" s="170"/>
      <c r="T2312" s="170"/>
      <c r="U2312" s="201"/>
      <c r="V2312" s="198"/>
      <c r="W2312" s="170"/>
      <c r="X2312" s="202"/>
      <c r="Y2312" s="203"/>
      <c r="Z2312" s="170"/>
      <c r="AA2312" s="198"/>
      <c r="AB2312" s="170"/>
      <c r="AC2312" s="170"/>
      <c r="AD2312" s="121"/>
      <c r="AE2312" s="121"/>
      <c r="AF2312" s="121"/>
      <c r="AG2312" s="22"/>
      <c r="AH2312" s="22"/>
      <c r="AI2312" s="22"/>
      <c r="AJ2312" s="22"/>
      <c r="AK2312" s="22"/>
      <c r="AL2312" s="22"/>
      <c r="AM2312" s="22"/>
      <c r="AN2312" s="22"/>
      <c r="AO2312" s="22"/>
      <c r="AP2312" s="22"/>
    </row>
    <row r="2313">
      <c r="A2313" s="193"/>
      <c r="B2313" s="194"/>
      <c r="C2313" s="195"/>
      <c r="D2313" s="196"/>
      <c r="E2313" s="197"/>
      <c r="F2313" s="197"/>
      <c r="G2313" s="195"/>
      <c r="H2313" s="195"/>
      <c r="I2313" s="197"/>
      <c r="J2313" s="121"/>
      <c r="K2313" s="121"/>
      <c r="L2313" s="200"/>
      <c r="M2313" s="204"/>
      <c r="N2313" s="205"/>
      <c r="O2313" s="170"/>
      <c r="P2313" s="198"/>
      <c r="Q2313" s="199"/>
      <c r="R2313" s="200"/>
      <c r="S2313" s="170"/>
      <c r="T2313" s="170"/>
      <c r="U2313" s="201"/>
      <c r="V2313" s="198"/>
      <c r="W2313" s="170"/>
      <c r="X2313" s="202"/>
      <c r="Y2313" s="203"/>
      <c r="Z2313" s="170"/>
      <c r="AA2313" s="198"/>
      <c r="AB2313" s="170"/>
      <c r="AC2313" s="170"/>
      <c r="AD2313" s="121"/>
      <c r="AE2313" s="121"/>
      <c r="AF2313" s="121"/>
      <c r="AG2313" s="22"/>
      <c r="AH2313" s="22"/>
      <c r="AI2313" s="22"/>
      <c r="AJ2313" s="22"/>
      <c r="AK2313" s="22"/>
      <c r="AL2313" s="22"/>
      <c r="AM2313" s="22"/>
      <c r="AN2313" s="22"/>
      <c r="AO2313" s="22"/>
      <c r="AP2313" s="22"/>
    </row>
    <row r="2314">
      <c r="A2314" s="193"/>
      <c r="B2314" s="194"/>
      <c r="C2314" s="195"/>
      <c r="D2314" s="196"/>
      <c r="E2314" s="197"/>
      <c r="F2314" s="197"/>
      <c r="G2314" s="195"/>
      <c r="H2314" s="195"/>
      <c r="I2314" s="197"/>
      <c r="J2314" s="121"/>
      <c r="K2314" s="121"/>
      <c r="L2314" s="200"/>
      <c r="M2314" s="204"/>
      <c r="N2314" s="205"/>
      <c r="O2314" s="170"/>
      <c r="P2314" s="198"/>
      <c r="Q2314" s="199"/>
      <c r="R2314" s="200"/>
      <c r="S2314" s="170"/>
      <c r="T2314" s="170"/>
      <c r="U2314" s="201"/>
      <c r="V2314" s="198"/>
      <c r="W2314" s="170"/>
      <c r="X2314" s="202"/>
      <c r="Y2314" s="203"/>
      <c r="Z2314" s="170"/>
      <c r="AA2314" s="198"/>
      <c r="AB2314" s="170"/>
      <c r="AC2314" s="170"/>
      <c r="AD2314" s="121"/>
      <c r="AE2314" s="121"/>
      <c r="AF2314" s="121"/>
      <c r="AG2314" s="22"/>
      <c r="AH2314" s="22"/>
      <c r="AI2314" s="22"/>
      <c r="AJ2314" s="22"/>
      <c r="AK2314" s="22"/>
      <c r="AL2314" s="22"/>
      <c r="AM2314" s="22"/>
      <c r="AN2314" s="22"/>
      <c r="AO2314" s="22"/>
      <c r="AP2314" s="22"/>
    </row>
    <row r="2315">
      <c r="A2315" s="193"/>
      <c r="B2315" s="194"/>
      <c r="C2315" s="195"/>
      <c r="D2315" s="196"/>
      <c r="E2315" s="197"/>
      <c r="F2315" s="197"/>
      <c r="G2315" s="195"/>
      <c r="H2315" s="195"/>
      <c r="I2315" s="197"/>
      <c r="J2315" s="121"/>
      <c r="K2315" s="121"/>
      <c r="L2315" s="200"/>
      <c r="M2315" s="204"/>
      <c r="N2315" s="205"/>
      <c r="O2315" s="170"/>
      <c r="P2315" s="198"/>
      <c r="Q2315" s="199"/>
      <c r="R2315" s="200"/>
      <c r="S2315" s="170"/>
      <c r="T2315" s="170"/>
      <c r="U2315" s="201"/>
      <c r="V2315" s="198"/>
      <c r="W2315" s="170"/>
      <c r="X2315" s="202"/>
      <c r="Y2315" s="203"/>
      <c r="Z2315" s="170"/>
      <c r="AA2315" s="198"/>
      <c r="AB2315" s="170"/>
      <c r="AC2315" s="170"/>
      <c r="AD2315" s="121"/>
      <c r="AE2315" s="121"/>
      <c r="AF2315" s="121"/>
      <c r="AG2315" s="22"/>
      <c r="AH2315" s="22"/>
      <c r="AI2315" s="22"/>
      <c r="AJ2315" s="22"/>
      <c r="AK2315" s="22"/>
      <c r="AL2315" s="22"/>
      <c r="AM2315" s="22"/>
      <c r="AN2315" s="22"/>
      <c r="AO2315" s="22"/>
      <c r="AP2315" s="22"/>
    </row>
    <row r="2316">
      <c r="A2316" s="193"/>
      <c r="B2316" s="194"/>
      <c r="C2316" s="195"/>
      <c r="D2316" s="196"/>
      <c r="E2316" s="197"/>
      <c r="F2316" s="197"/>
      <c r="G2316" s="195"/>
      <c r="H2316" s="195"/>
      <c r="I2316" s="197"/>
      <c r="J2316" s="121"/>
      <c r="K2316" s="121"/>
      <c r="L2316" s="200"/>
      <c r="M2316" s="204"/>
      <c r="N2316" s="205"/>
      <c r="O2316" s="170"/>
      <c r="P2316" s="198"/>
      <c r="Q2316" s="199"/>
      <c r="R2316" s="200"/>
      <c r="S2316" s="170"/>
      <c r="T2316" s="170"/>
      <c r="U2316" s="201"/>
      <c r="V2316" s="198"/>
      <c r="W2316" s="170"/>
      <c r="X2316" s="202"/>
      <c r="Y2316" s="203"/>
      <c r="Z2316" s="170"/>
      <c r="AA2316" s="198"/>
      <c r="AB2316" s="170"/>
      <c r="AC2316" s="170"/>
      <c r="AD2316" s="121"/>
      <c r="AE2316" s="121"/>
      <c r="AF2316" s="121"/>
      <c r="AG2316" s="22"/>
      <c r="AH2316" s="22"/>
      <c r="AI2316" s="22"/>
      <c r="AJ2316" s="22"/>
      <c r="AK2316" s="22"/>
      <c r="AL2316" s="22"/>
      <c r="AM2316" s="22"/>
      <c r="AN2316" s="22"/>
      <c r="AO2316" s="22"/>
      <c r="AP2316" s="22"/>
    </row>
    <row r="2317">
      <c r="A2317" s="193"/>
      <c r="B2317" s="194"/>
      <c r="C2317" s="195"/>
      <c r="D2317" s="196"/>
      <c r="E2317" s="197"/>
      <c r="F2317" s="197"/>
      <c r="G2317" s="195"/>
      <c r="H2317" s="195"/>
      <c r="I2317" s="197"/>
      <c r="J2317" s="121"/>
      <c r="K2317" s="121"/>
      <c r="L2317" s="200"/>
      <c r="M2317" s="204"/>
      <c r="N2317" s="205"/>
      <c r="O2317" s="170"/>
      <c r="P2317" s="198"/>
      <c r="Q2317" s="199"/>
      <c r="R2317" s="200"/>
      <c r="S2317" s="170"/>
      <c r="T2317" s="170"/>
      <c r="U2317" s="201"/>
      <c r="V2317" s="198"/>
      <c r="W2317" s="170"/>
      <c r="X2317" s="202"/>
      <c r="Y2317" s="203"/>
      <c r="Z2317" s="170"/>
      <c r="AA2317" s="198"/>
      <c r="AB2317" s="170"/>
      <c r="AC2317" s="170"/>
      <c r="AD2317" s="121"/>
      <c r="AE2317" s="121"/>
      <c r="AF2317" s="121"/>
      <c r="AG2317" s="22"/>
      <c r="AH2317" s="22"/>
      <c r="AI2317" s="22"/>
      <c r="AJ2317" s="22"/>
      <c r="AK2317" s="22"/>
      <c r="AL2317" s="22"/>
      <c r="AM2317" s="22"/>
      <c r="AN2317" s="22"/>
      <c r="AO2317" s="22"/>
      <c r="AP2317" s="22"/>
    </row>
    <row r="2318">
      <c r="A2318" s="193"/>
      <c r="B2318" s="194"/>
      <c r="C2318" s="195"/>
      <c r="D2318" s="196"/>
      <c r="E2318" s="197"/>
      <c r="F2318" s="197"/>
      <c r="G2318" s="195"/>
      <c r="H2318" s="195"/>
      <c r="I2318" s="197"/>
      <c r="J2318" s="121"/>
      <c r="K2318" s="121"/>
      <c r="L2318" s="200"/>
      <c r="M2318" s="204"/>
      <c r="N2318" s="205"/>
      <c r="O2318" s="170"/>
      <c r="P2318" s="198"/>
      <c r="Q2318" s="199"/>
      <c r="R2318" s="200"/>
      <c r="S2318" s="170"/>
      <c r="T2318" s="170"/>
      <c r="U2318" s="201"/>
      <c r="V2318" s="198"/>
      <c r="W2318" s="170"/>
      <c r="X2318" s="202"/>
      <c r="Y2318" s="203"/>
      <c r="Z2318" s="170"/>
      <c r="AA2318" s="198"/>
      <c r="AB2318" s="170"/>
      <c r="AC2318" s="170"/>
      <c r="AD2318" s="121"/>
      <c r="AE2318" s="121"/>
      <c r="AF2318" s="121"/>
      <c r="AG2318" s="22"/>
      <c r="AH2318" s="22"/>
      <c r="AI2318" s="22"/>
      <c r="AJ2318" s="22"/>
      <c r="AK2318" s="22"/>
      <c r="AL2318" s="22"/>
      <c r="AM2318" s="22"/>
      <c r="AN2318" s="22"/>
      <c r="AO2318" s="22"/>
      <c r="AP2318" s="22"/>
    </row>
    <row r="2319">
      <c r="A2319" s="193"/>
      <c r="B2319" s="194"/>
      <c r="C2319" s="195"/>
      <c r="D2319" s="196"/>
      <c r="E2319" s="197"/>
      <c r="F2319" s="197"/>
      <c r="G2319" s="195"/>
      <c r="H2319" s="195"/>
      <c r="I2319" s="197"/>
      <c r="J2319" s="121"/>
      <c r="K2319" s="121"/>
      <c r="L2319" s="200"/>
      <c r="M2319" s="204"/>
      <c r="N2319" s="205"/>
      <c r="O2319" s="170"/>
      <c r="P2319" s="198"/>
      <c r="Q2319" s="199"/>
      <c r="R2319" s="200"/>
      <c r="S2319" s="170"/>
      <c r="T2319" s="170"/>
      <c r="U2319" s="201"/>
      <c r="V2319" s="198"/>
      <c r="W2319" s="170"/>
      <c r="X2319" s="202"/>
      <c r="Y2319" s="203"/>
      <c r="Z2319" s="170"/>
      <c r="AA2319" s="198"/>
      <c r="AB2319" s="170"/>
      <c r="AC2319" s="170"/>
      <c r="AD2319" s="121"/>
      <c r="AE2319" s="121"/>
      <c r="AF2319" s="121"/>
      <c r="AG2319" s="22"/>
      <c r="AH2319" s="22"/>
      <c r="AI2319" s="22"/>
      <c r="AJ2319" s="22"/>
      <c r="AK2319" s="22"/>
      <c r="AL2319" s="22"/>
      <c r="AM2319" s="22"/>
      <c r="AN2319" s="22"/>
      <c r="AO2319" s="22"/>
      <c r="AP2319" s="22"/>
    </row>
    <row r="2320">
      <c r="A2320" s="193"/>
      <c r="B2320" s="194"/>
      <c r="C2320" s="195"/>
      <c r="D2320" s="196"/>
      <c r="E2320" s="197"/>
      <c r="F2320" s="197"/>
      <c r="G2320" s="195"/>
      <c r="H2320" s="195"/>
      <c r="I2320" s="197"/>
      <c r="J2320" s="121"/>
      <c r="K2320" s="121"/>
      <c r="L2320" s="200"/>
      <c r="M2320" s="204"/>
      <c r="N2320" s="205"/>
      <c r="O2320" s="170"/>
      <c r="P2320" s="198"/>
      <c r="Q2320" s="199"/>
      <c r="R2320" s="200"/>
      <c r="S2320" s="170"/>
      <c r="T2320" s="170"/>
      <c r="U2320" s="201"/>
      <c r="V2320" s="198"/>
      <c r="W2320" s="170"/>
      <c r="X2320" s="202"/>
      <c r="Y2320" s="203"/>
      <c r="Z2320" s="170"/>
      <c r="AA2320" s="198"/>
      <c r="AB2320" s="170"/>
      <c r="AC2320" s="170"/>
      <c r="AD2320" s="121"/>
      <c r="AE2320" s="121"/>
      <c r="AF2320" s="121"/>
      <c r="AG2320" s="22"/>
      <c r="AH2320" s="22"/>
      <c r="AI2320" s="22"/>
      <c r="AJ2320" s="22"/>
      <c r="AK2320" s="22"/>
      <c r="AL2320" s="22"/>
      <c r="AM2320" s="22"/>
      <c r="AN2320" s="22"/>
      <c r="AO2320" s="22"/>
      <c r="AP2320" s="22"/>
    </row>
    <row r="2321">
      <c r="A2321" s="193"/>
      <c r="B2321" s="194"/>
      <c r="C2321" s="195"/>
      <c r="D2321" s="196"/>
      <c r="E2321" s="197"/>
      <c r="F2321" s="197"/>
      <c r="G2321" s="195"/>
      <c r="H2321" s="195"/>
      <c r="I2321" s="197"/>
      <c r="J2321" s="121"/>
      <c r="K2321" s="121"/>
      <c r="L2321" s="200"/>
      <c r="M2321" s="204"/>
      <c r="N2321" s="205"/>
      <c r="O2321" s="170"/>
      <c r="P2321" s="198"/>
      <c r="Q2321" s="199"/>
      <c r="R2321" s="200"/>
      <c r="S2321" s="170"/>
      <c r="T2321" s="170"/>
      <c r="U2321" s="201"/>
      <c r="V2321" s="198"/>
      <c r="W2321" s="170"/>
      <c r="X2321" s="202"/>
      <c r="Y2321" s="203"/>
      <c r="Z2321" s="170"/>
      <c r="AA2321" s="198"/>
      <c r="AB2321" s="170"/>
      <c r="AC2321" s="170"/>
      <c r="AD2321" s="121"/>
      <c r="AE2321" s="121"/>
      <c r="AF2321" s="121"/>
      <c r="AG2321" s="22"/>
      <c r="AH2321" s="22"/>
      <c r="AI2321" s="22"/>
      <c r="AJ2321" s="22"/>
      <c r="AK2321" s="22"/>
      <c r="AL2321" s="22"/>
      <c r="AM2321" s="22"/>
      <c r="AN2321" s="22"/>
      <c r="AO2321" s="22"/>
      <c r="AP2321" s="22"/>
    </row>
    <row r="2322">
      <c r="A2322" s="193"/>
      <c r="B2322" s="194"/>
      <c r="C2322" s="195"/>
      <c r="D2322" s="196"/>
      <c r="E2322" s="197"/>
      <c r="F2322" s="197"/>
      <c r="G2322" s="195"/>
      <c r="H2322" s="195"/>
      <c r="I2322" s="197"/>
      <c r="J2322" s="121"/>
      <c r="K2322" s="121"/>
      <c r="L2322" s="200"/>
      <c r="M2322" s="204"/>
      <c r="N2322" s="205"/>
      <c r="O2322" s="170"/>
      <c r="P2322" s="198"/>
      <c r="Q2322" s="199"/>
      <c r="R2322" s="200"/>
      <c r="S2322" s="170"/>
      <c r="T2322" s="170"/>
      <c r="U2322" s="201"/>
      <c r="V2322" s="198"/>
      <c r="W2322" s="170"/>
      <c r="X2322" s="202"/>
      <c r="Y2322" s="203"/>
      <c r="Z2322" s="170"/>
      <c r="AA2322" s="198"/>
      <c r="AB2322" s="170"/>
      <c r="AC2322" s="170"/>
      <c r="AD2322" s="121"/>
      <c r="AE2322" s="121"/>
      <c r="AF2322" s="121"/>
      <c r="AG2322" s="22"/>
      <c r="AH2322" s="22"/>
      <c r="AI2322" s="22"/>
      <c r="AJ2322" s="22"/>
      <c r="AK2322" s="22"/>
      <c r="AL2322" s="22"/>
      <c r="AM2322" s="22"/>
      <c r="AN2322" s="22"/>
      <c r="AO2322" s="22"/>
      <c r="AP2322" s="22"/>
    </row>
    <row r="2323">
      <c r="A2323" s="193"/>
      <c r="B2323" s="194"/>
      <c r="C2323" s="195"/>
      <c r="D2323" s="196"/>
      <c r="E2323" s="197"/>
      <c r="F2323" s="197"/>
      <c r="G2323" s="195"/>
      <c r="H2323" s="195"/>
      <c r="I2323" s="197"/>
      <c r="J2323" s="121"/>
      <c r="K2323" s="121"/>
      <c r="L2323" s="200"/>
      <c r="M2323" s="204"/>
      <c r="N2323" s="205"/>
      <c r="O2323" s="170"/>
      <c r="P2323" s="198"/>
      <c r="Q2323" s="199"/>
      <c r="R2323" s="200"/>
      <c r="S2323" s="170"/>
      <c r="T2323" s="170"/>
      <c r="U2323" s="201"/>
      <c r="V2323" s="198"/>
      <c r="W2323" s="170"/>
      <c r="X2323" s="202"/>
      <c r="Y2323" s="203"/>
      <c r="Z2323" s="170"/>
      <c r="AA2323" s="198"/>
      <c r="AB2323" s="170"/>
      <c r="AC2323" s="170"/>
      <c r="AD2323" s="121"/>
      <c r="AE2323" s="121"/>
      <c r="AF2323" s="121"/>
      <c r="AG2323" s="22"/>
      <c r="AH2323" s="22"/>
      <c r="AI2323" s="22"/>
      <c r="AJ2323" s="22"/>
      <c r="AK2323" s="22"/>
      <c r="AL2323" s="22"/>
      <c r="AM2323" s="22"/>
      <c r="AN2323" s="22"/>
      <c r="AO2323" s="22"/>
      <c r="AP2323" s="22"/>
    </row>
    <row r="2324">
      <c r="A2324" s="193"/>
      <c r="B2324" s="194"/>
      <c r="C2324" s="195"/>
      <c r="D2324" s="196"/>
      <c r="E2324" s="197"/>
      <c r="F2324" s="197"/>
      <c r="G2324" s="195"/>
      <c r="H2324" s="195"/>
      <c r="I2324" s="197"/>
      <c r="J2324" s="121"/>
      <c r="K2324" s="121"/>
      <c r="L2324" s="200"/>
      <c r="M2324" s="204"/>
      <c r="N2324" s="205"/>
      <c r="O2324" s="170"/>
      <c r="P2324" s="198"/>
      <c r="Q2324" s="199"/>
      <c r="R2324" s="200"/>
      <c r="S2324" s="170"/>
      <c r="T2324" s="170"/>
      <c r="U2324" s="201"/>
      <c r="V2324" s="198"/>
      <c r="W2324" s="170"/>
      <c r="X2324" s="202"/>
      <c r="Y2324" s="203"/>
      <c r="Z2324" s="170"/>
      <c r="AA2324" s="198"/>
      <c r="AB2324" s="170"/>
      <c r="AC2324" s="170"/>
      <c r="AD2324" s="121"/>
      <c r="AE2324" s="121"/>
      <c r="AF2324" s="121"/>
      <c r="AG2324" s="22"/>
      <c r="AH2324" s="22"/>
      <c r="AI2324" s="22"/>
      <c r="AJ2324" s="22"/>
      <c r="AK2324" s="22"/>
      <c r="AL2324" s="22"/>
      <c r="AM2324" s="22"/>
      <c r="AN2324" s="22"/>
      <c r="AO2324" s="22"/>
      <c r="AP2324" s="22"/>
    </row>
    <row r="2325">
      <c r="A2325" s="193"/>
      <c r="B2325" s="194"/>
      <c r="C2325" s="195"/>
      <c r="D2325" s="196"/>
      <c r="E2325" s="197"/>
      <c r="F2325" s="197"/>
      <c r="G2325" s="195"/>
      <c r="H2325" s="195"/>
      <c r="I2325" s="197"/>
      <c r="J2325" s="121"/>
      <c r="K2325" s="121"/>
      <c r="L2325" s="200"/>
      <c r="M2325" s="204"/>
      <c r="N2325" s="205"/>
      <c r="O2325" s="170"/>
      <c r="P2325" s="198"/>
      <c r="Q2325" s="199"/>
      <c r="R2325" s="200"/>
      <c r="S2325" s="170"/>
      <c r="T2325" s="170"/>
      <c r="U2325" s="201"/>
      <c r="V2325" s="198"/>
      <c r="W2325" s="170"/>
      <c r="X2325" s="202"/>
      <c r="Y2325" s="203"/>
      <c r="Z2325" s="170"/>
      <c r="AA2325" s="198"/>
      <c r="AB2325" s="170"/>
      <c r="AC2325" s="170"/>
      <c r="AD2325" s="121"/>
      <c r="AE2325" s="121"/>
      <c r="AF2325" s="121"/>
      <c r="AG2325" s="22"/>
      <c r="AH2325" s="22"/>
      <c r="AI2325" s="22"/>
      <c r="AJ2325" s="22"/>
      <c r="AK2325" s="22"/>
      <c r="AL2325" s="22"/>
      <c r="AM2325" s="22"/>
      <c r="AN2325" s="22"/>
      <c r="AO2325" s="22"/>
      <c r="AP2325" s="22"/>
    </row>
    <row r="2326">
      <c r="A2326" s="193"/>
      <c r="B2326" s="194"/>
      <c r="C2326" s="195"/>
      <c r="D2326" s="196"/>
      <c r="E2326" s="197"/>
      <c r="F2326" s="197"/>
      <c r="G2326" s="195"/>
      <c r="H2326" s="195"/>
      <c r="I2326" s="197"/>
      <c r="J2326" s="121"/>
      <c r="K2326" s="121"/>
      <c r="L2326" s="200"/>
      <c r="M2326" s="204"/>
      <c r="N2326" s="205"/>
      <c r="O2326" s="170"/>
      <c r="P2326" s="198"/>
      <c r="Q2326" s="199"/>
      <c r="R2326" s="200"/>
      <c r="S2326" s="170"/>
      <c r="T2326" s="170"/>
      <c r="U2326" s="201"/>
      <c r="V2326" s="198"/>
      <c r="W2326" s="170"/>
      <c r="X2326" s="202"/>
      <c r="Y2326" s="203"/>
      <c r="Z2326" s="170"/>
      <c r="AA2326" s="198"/>
      <c r="AB2326" s="170"/>
      <c r="AC2326" s="170"/>
      <c r="AD2326" s="121"/>
      <c r="AE2326" s="121"/>
      <c r="AF2326" s="121"/>
      <c r="AG2326" s="22"/>
      <c r="AH2326" s="22"/>
      <c r="AI2326" s="22"/>
      <c r="AJ2326" s="22"/>
      <c r="AK2326" s="22"/>
      <c r="AL2326" s="22"/>
      <c r="AM2326" s="22"/>
      <c r="AN2326" s="22"/>
      <c r="AO2326" s="22"/>
      <c r="AP2326" s="22"/>
    </row>
    <row r="2327">
      <c r="A2327" s="193"/>
      <c r="B2327" s="194"/>
      <c r="C2327" s="195"/>
      <c r="D2327" s="196"/>
      <c r="E2327" s="197"/>
      <c r="F2327" s="197"/>
      <c r="G2327" s="195"/>
      <c r="H2327" s="195"/>
      <c r="I2327" s="197"/>
      <c r="J2327" s="121"/>
      <c r="K2327" s="121"/>
      <c r="L2327" s="200"/>
      <c r="M2327" s="204"/>
      <c r="N2327" s="205"/>
      <c r="O2327" s="170"/>
      <c r="P2327" s="198"/>
      <c r="Q2327" s="199"/>
      <c r="R2327" s="200"/>
      <c r="S2327" s="170"/>
      <c r="T2327" s="170"/>
      <c r="U2327" s="201"/>
      <c r="V2327" s="198"/>
      <c r="W2327" s="170"/>
      <c r="X2327" s="202"/>
      <c r="Y2327" s="203"/>
      <c r="Z2327" s="170"/>
      <c r="AA2327" s="198"/>
      <c r="AB2327" s="170"/>
      <c r="AC2327" s="170"/>
      <c r="AD2327" s="121"/>
      <c r="AE2327" s="121"/>
      <c r="AF2327" s="121"/>
      <c r="AG2327" s="22"/>
      <c r="AH2327" s="22"/>
      <c r="AI2327" s="22"/>
      <c r="AJ2327" s="22"/>
      <c r="AK2327" s="22"/>
      <c r="AL2327" s="22"/>
      <c r="AM2327" s="22"/>
      <c r="AN2327" s="22"/>
      <c r="AO2327" s="22"/>
      <c r="AP2327" s="22"/>
    </row>
    <row r="2328">
      <c r="A2328" s="193"/>
      <c r="B2328" s="194"/>
      <c r="C2328" s="195"/>
      <c r="D2328" s="196"/>
      <c r="E2328" s="197"/>
      <c r="F2328" s="197"/>
      <c r="G2328" s="195"/>
      <c r="H2328" s="195"/>
      <c r="I2328" s="197"/>
      <c r="J2328" s="121"/>
      <c r="K2328" s="121"/>
      <c r="L2328" s="200"/>
      <c r="M2328" s="204"/>
      <c r="N2328" s="205"/>
      <c r="O2328" s="170"/>
      <c r="P2328" s="198"/>
      <c r="Q2328" s="199"/>
      <c r="R2328" s="200"/>
      <c r="S2328" s="170"/>
      <c r="T2328" s="170"/>
      <c r="U2328" s="201"/>
      <c r="V2328" s="198"/>
      <c r="W2328" s="170"/>
      <c r="X2328" s="202"/>
      <c r="Y2328" s="203"/>
      <c r="Z2328" s="170"/>
      <c r="AA2328" s="198"/>
      <c r="AB2328" s="170"/>
      <c r="AC2328" s="170"/>
      <c r="AD2328" s="121"/>
      <c r="AE2328" s="121"/>
      <c r="AF2328" s="121"/>
      <c r="AG2328" s="22"/>
      <c r="AH2328" s="22"/>
      <c r="AI2328" s="22"/>
      <c r="AJ2328" s="22"/>
      <c r="AK2328" s="22"/>
      <c r="AL2328" s="22"/>
      <c r="AM2328" s="22"/>
      <c r="AN2328" s="22"/>
      <c r="AO2328" s="22"/>
      <c r="AP2328" s="22"/>
    </row>
    <row r="2329">
      <c r="A2329" s="193"/>
      <c r="B2329" s="194"/>
      <c r="C2329" s="195"/>
      <c r="D2329" s="196"/>
      <c r="E2329" s="197"/>
      <c r="F2329" s="197"/>
      <c r="G2329" s="195"/>
      <c r="H2329" s="195"/>
      <c r="I2329" s="197"/>
      <c r="J2329" s="121"/>
      <c r="K2329" s="121"/>
      <c r="L2329" s="200"/>
      <c r="M2329" s="204"/>
      <c r="N2329" s="205"/>
      <c r="O2329" s="170"/>
      <c r="P2329" s="198"/>
      <c r="Q2329" s="199"/>
      <c r="R2329" s="200"/>
      <c r="S2329" s="170"/>
      <c r="T2329" s="170"/>
      <c r="U2329" s="201"/>
      <c r="V2329" s="198"/>
      <c r="W2329" s="170"/>
      <c r="X2329" s="202"/>
      <c r="Y2329" s="203"/>
      <c r="Z2329" s="170"/>
      <c r="AA2329" s="198"/>
      <c r="AB2329" s="170"/>
      <c r="AC2329" s="170"/>
      <c r="AD2329" s="121"/>
      <c r="AE2329" s="121"/>
      <c r="AF2329" s="121"/>
      <c r="AG2329" s="22"/>
      <c r="AH2329" s="22"/>
      <c r="AI2329" s="22"/>
      <c r="AJ2329" s="22"/>
      <c r="AK2329" s="22"/>
      <c r="AL2329" s="22"/>
      <c r="AM2329" s="22"/>
      <c r="AN2329" s="22"/>
      <c r="AO2329" s="22"/>
      <c r="AP2329" s="22"/>
    </row>
    <row r="2330">
      <c r="A2330" s="193"/>
      <c r="B2330" s="194"/>
      <c r="C2330" s="195"/>
      <c r="D2330" s="196"/>
      <c r="E2330" s="197"/>
      <c r="F2330" s="197"/>
      <c r="G2330" s="195"/>
      <c r="H2330" s="195"/>
      <c r="I2330" s="197"/>
      <c r="J2330" s="121"/>
      <c r="K2330" s="121"/>
      <c r="L2330" s="200"/>
      <c r="M2330" s="204"/>
      <c r="N2330" s="205"/>
      <c r="O2330" s="170"/>
      <c r="P2330" s="198"/>
      <c r="Q2330" s="199"/>
      <c r="R2330" s="200"/>
      <c r="S2330" s="170"/>
      <c r="T2330" s="170"/>
      <c r="U2330" s="201"/>
      <c r="V2330" s="198"/>
      <c r="W2330" s="170"/>
      <c r="X2330" s="202"/>
      <c r="Y2330" s="203"/>
      <c r="Z2330" s="170"/>
      <c r="AA2330" s="198"/>
      <c r="AB2330" s="170"/>
      <c r="AC2330" s="170"/>
      <c r="AD2330" s="121"/>
      <c r="AE2330" s="121"/>
      <c r="AF2330" s="121"/>
      <c r="AG2330" s="22"/>
      <c r="AH2330" s="22"/>
      <c r="AI2330" s="22"/>
      <c r="AJ2330" s="22"/>
      <c r="AK2330" s="22"/>
      <c r="AL2330" s="22"/>
      <c r="AM2330" s="22"/>
      <c r="AN2330" s="22"/>
      <c r="AO2330" s="22"/>
      <c r="AP2330" s="22"/>
    </row>
    <row r="2331">
      <c r="A2331" s="193"/>
      <c r="B2331" s="194"/>
      <c r="C2331" s="195"/>
      <c r="D2331" s="196"/>
      <c r="E2331" s="197"/>
      <c r="F2331" s="197"/>
      <c r="G2331" s="195"/>
      <c r="H2331" s="195"/>
      <c r="I2331" s="197"/>
      <c r="J2331" s="121"/>
      <c r="K2331" s="121"/>
      <c r="L2331" s="200"/>
      <c r="M2331" s="204"/>
      <c r="N2331" s="205"/>
      <c r="O2331" s="170"/>
      <c r="P2331" s="198"/>
      <c r="Q2331" s="199"/>
      <c r="R2331" s="200"/>
      <c r="S2331" s="170"/>
      <c r="T2331" s="170"/>
      <c r="U2331" s="201"/>
      <c r="V2331" s="198"/>
      <c r="W2331" s="170"/>
      <c r="X2331" s="202"/>
      <c r="Y2331" s="203"/>
      <c r="Z2331" s="170"/>
      <c r="AA2331" s="198"/>
      <c r="AB2331" s="170"/>
      <c r="AC2331" s="170"/>
      <c r="AD2331" s="121"/>
      <c r="AE2331" s="121"/>
      <c r="AF2331" s="121"/>
      <c r="AG2331" s="22"/>
      <c r="AH2331" s="22"/>
      <c r="AI2331" s="22"/>
      <c r="AJ2331" s="22"/>
      <c r="AK2331" s="22"/>
      <c r="AL2331" s="22"/>
      <c r="AM2331" s="22"/>
      <c r="AN2331" s="22"/>
      <c r="AO2331" s="22"/>
      <c r="AP2331" s="22"/>
    </row>
    <row r="2332">
      <c r="A2332" s="193"/>
      <c r="B2332" s="194"/>
      <c r="C2332" s="195"/>
      <c r="D2332" s="196"/>
      <c r="E2332" s="197"/>
      <c r="F2332" s="197"/>
      <c r="G2332" s="195"/>
      <c r="H2332" s="195"/>
      <c r="I2332" s="197"/>
      <c r="J2332" s="121"/>
      <c r="K2332" s="121"/>
      <c r="L2332" s="200"/>
      <c r="M2332" s="204"/>
      <c r="N2332" s="205"/>
      <c r="O2332" s="170"/>
      <c r="P2332" s="198"/>
      <c r="Q2332" s="199"/>
      <c r="R2332" s="200"/>
      <c r="S2332" s="170"/>
      <c r="T2332" s="170"/>
      <c r="U2332" s="201"/>
      <c r="V2332" s="198"/>
      <c r="W2332" s="170"/>
      <c r="X2332" s="202"/>
      <c r="Y2332" s="203"/>
      <c r="Z2332" s="170"/>
      <c r="AA2332" s="198"/>
      <c r="AB2332" s="170"/>
      <c r="AC2332" s="170"/>
      <c r="AD2332" s="121"/>
      <c r="AE2332" s="121"/>
      <c r="AF2332" s="121"/>
      <c r="AG2332" s="22"/>
      <c r="AH2332" s="22"/>
      <c r="AI2332" s="22"/>
      <c r="AJ2332" s="22"/>
      <c r="AK2332" s="22"/>
      <c r="AL2332" s="22"/>
      <c r="AM2332" s="22"/>
      <c r="AN2332" s="22"/>
      <c r="AO2332" s="22"/>
      <c r="AP2332" s="22"/>
    </row>
    <row r="2333">
      <c r="A2333" s="193"/>
      <c r="B2333" s="194"/>
      <c r="C2333" s="195"/>
      <c r="D2333" s="196"/>
      <c r="E2333" s="197"/>
      <c r="F2333" s="197"/>
      <c r="G2333" s="195"/>
      <c r="H2333" s="195"/>
      <c r="I2333" s="197"/>
      <c r="J2333" s="121"/>
      <c r="K2333" s="121"/>
      <c r="L2333" s="200"/>
      <c r="M2333" s="204"/>
      <c r="N2333" s="205"/>
      <c r="O2333" s="170"/>
      <c r="P2333" s="198"/>
      <c r="Q2333" s="199"/>
      <c r="R2333" s="200"/>
      <c r="S2333" s="170"/>
      <c r="T2333" s="170"/>
      <c r="U2333" s="201"/>
      <c r="V2333" s="198"/>
      <c r="W2333" s="170"/>
      <c r="X2333" s="202"/>
      <c r="Y2333" s="203"/>
      <c r="Z2333" s="170"/>
      <c r="AA2333" s="198"/>
      <c r="AB2333" s="170"/>
      <c r="AC2333" s="170"/>
      <c r="AD2333" s="121"/>
      <c r="AE2333" s="121"/>
      <c r="AF2333" s="121"/>
      <c r="AG2333" s="22"/>
      <c r="AH2333" s="22"/>
      <c r="AI2333" s="22"/>
      <c r="AJ2333" s="22"/>
      <c r="AK2333" s="22"/>
      <c r="AL2333" s="22"/>
      <c r="AM2333" s="22"/>
      <c r="AN2333" s="22"/>
      <c r="AO2333" s="22"/>
      <c r="AP2333" s="22"/>
    </row>
    <row r="2334">
      <c r="A2334" s="193"/>
      <c r="B2334" s="194"/>
      <c r="C2334" s="195"/>
      <c r="D2334" s="196"/>
      <c r="E2334" s="197"/>
      <c r="F2334" s="197"/>
      <c r="G2334" s="195"/>
      <c r="H2334" s="195"/>
      <c r="I2334" s="197"/>
      <c r="J2334" s="121"/>
      <c r="K2334" s="121"/>
      <c r="L2334" s="200"/>
      <c r="M2334" s="204"/>
      <c r="N2334" s="205"/>
      <c r="O2334" s="170"/>
      <c r="P2334" s="198"/>
      <c r="Q2334" s="199"/>
      <c r="R2334" s="200"/>
      <c r="S2334" s="170"/>
      <c r="T2334" s="170"/>
      <c r="U2334" s="201"/>
      <c r="V2334" s="198"/>
      <c r="W2334" s="170"/>
      <c r="X2334" s="202"/>
      <c r="Y2334" s="203"/>
      <c r="Z2334" s="170"/>
      <c r="AA2334" s="198"/>
      <c r="AB2334" s="170"/>
      <c r="AC2334" s="170"/>
      <c r="AD2334" s="121"/>
      <c r="AE2334" s="121"/>
      <c r="AF2334" s="121"/>
      <c r="AG2334" s="22"/>
      <c r="AH2334" s="22"/>
      <c r="AI2334" s="22"/>
      <c r="AJ2334" s="22"/>
      <c r="AK2334" s="22"/>
      <c r="AL2334" s="22"/>
      <c r="AM2334" s="22"/>
      <c r="AN2334" s="22"/>
      <c r="AO2334" s="22"/>
      <c r="AP2334" s="22"/>
    </row>
    <row r="2335">
      <c r="A2335" s="193"/>
      <c r="B2335" s="194"/>
      <c r="C2335" s="195"/>
      <c r="D2335" s="196"/>
      <c r="E2335" s="197"/>
      <c r="F2335" s="197"/>
      <c r="G2335" s="195"/>
      <c r="H2335" s="195"/>
      <c r="I2335" s="197"/>
      <c r="J2335" s="121"/>
      <c r="K2335" s="121"/>
      <c r="L2335" s="200"/>
      <c r="M2335" s="204"/>
      <c r="N2335" s="205"/>
      <c r="O2335" s="170"/>
      <c r="P2335" s="198"/>
      <c r="Q2335" s="199"/>
      <c r="R2335" s="200"/>
      <c r="S2335" s="170"/>
      <c r="T2335" s="170"/>
      <c r="U2335" s="201"/>
      <c r="V2335" s="198"/>
      <c r="W2335" s="170"/>
      <c r="X2335" s="202"/>
      <c r="Y2335" s="203"/>
      <c r="Z2335" s="170"/>
      <c r="AA2335" s="198"/>
      <c r="AB2335" s="170"/>
      <c r="AC2335" s="170"/>
      <c r="AD2335" s="121"/>
      <c r="AE2335" s="121"/>
      <c r="AF2335" s="121"/>
      <c r="AG2335" s="22"/>
      <c r="AH2335" s="22"/>
      <c r="AI2335" s="22"/>
      <c r="AJ2335" s="22"/>
      <c r="AK2335" s="22"/>
      <c r="AL2335" s="22"/>
      <c r="AM2335" s="22"/>
      <c r="AN2335" s="22"/>
      <c r="AO2335" s="22"/>
      <c r="AP2335" s="22"/>
    </row>
    <row r="2336">
      <c r="A2336" s="193"/>
      <c r="B2336" s="194"/>
      <c r="C2336" s="195"/>
      <c r="D2336" s="196"/>
      <c r="E2336" s="197"/>
      <c r="F2336" s="197"/>
      <c r="G2336" s="195"/>
      <c r="H2336" s="195"/>
      <c r="I2336" s="197"/>
      <c r="J2336" s="121"/>
      <c r="K2336" s="121"/>
      <c r="L2336" s="200"/>
      <c r="M2336" s="204"/>
      <c r="N2336" s="205"/>
      <c r="O2336" s="170"/>
      <c r="P2336" s="198"/>
      <c r="Q2336" s="199"/>
      <c r="R2336" s="200"/>
      <c r="S2336" s="170"/>
      <c r="T2336" s="170"/>
      <c r="U2336" s="201"/>
      <c r="V2336" s="198"/>
      <c r="W2336" s="170"/>
      <c r="X2336" s="202"/>
      <c r="Y2336" s="203"/>
      <c r="Z2336" s="170"/>
      <c r="AA2336" s="198"/>
      <c r="AB2336" s="170"/>
      <c r="AC2336" s="170"/>
      <c r="AD2336" s="121"/>
      <c r="AE2336" s="121"/>
      <c r="AF2336" s="121"/>
      <c r="AG2336" s="22"/>
      <c r="AH2336" s="22"/>
      <c r="AI2336" s="22"/>
      <c r="AJ2336" s="22"/>
      <c r="AK2336" s="22"/>
      <c r="AL2336" s="22"/>
      <c r="AM2336" s="22"/>
      <c r="AN2336" s="22"/>
      <c r="AO2336" s="22"/>
      <c r="AP2336" s="22"/>
    </row>
    <row r="2337">
      <c r="A2337" s="193"/>
      <c r="B2337" s="194"/>
      <c r="C2337" s="195"/>
      <c r="D2337" s="196"/>
      <c r="E2337" s="197"/>
      <c r="F2337" s="197"/>
      <c r="G2337" s="195"/>
      <c r="H2337" s="195"/>
      <c r="I2337" s="197"/>
      <c r="J2337" s="121"/>
      <c r="K2337" s="121"/>
      <c r="L2337" s="200"/>
      <c r="M2337" s="204"/>
      <c r="N2337" s="205"/>
      <c r="O2337" s="170"/>
      <c r="P2337" s="198"/>
      <c r="Q2337" s="199"/>
      <c r="R2337" s="200"/>
      <c r="S2337" s="170"/>
      <c r="T2337" s="170"/>
      <c r="U2337" s="201"/>
      <c r="V2337" s="198"/>
      <c r="W2337" s="170"/>
      <c r="X2337" s="202"/>
      <c r="Y2337" s="203"/>
      <c r="Z2337" s="170"/>
      <c r="AA2337" s="198"/>
      <c r="AB2337" s="170"/>
      <c r="AC2337" s="170"/>
      <c r="AD2337" s="121"/>
      <c r="AE2337" s="121"/>
      <c r="AF2337" s="121"/>
      <c r="AG2337" s="22"/>
      <c r="AH2337" s="22"/>
      <c r="AI2337" s="22"/>
      <c r="AJ2337" s="22"/>
      <c r="AK2337" s="22"/>
      <c r="AL2337" s="22"/>
      <c r="AM2337" s="22"/>
      <c r="AN2337" s="22"/>
      <c r="AO2337" s="22"/>
      <c r="AP2337" s="22"/>
    </row>
    <row r="2338">
      <c r="A2338" s="193"/>
      <c r="B2338" s="194"/>
      <c r="C2338" s="195"/>
      <c r="D2338" s="196"/>
      <c r="E2338" s="197"/>
      <c r="F2338" s="197"/>
      <c r="G2338" s="195"/>
      <c r="H2338" s="195"/>
      <c r="I2338" s="197"/>
      <c r="J2338" s="121"/>
      <c r="K2338" s="121"/>
      <c r="L2338" s="200"/>
      <c r="M2338" s="204"/>
      <c r="N2338" s="205"/>
      <c r="O2338" s="170"/>
      <c r="P2338" s="198"/>
      <c r="Q2338" s="199"/>
      <c r="R2338" s="200"/>
      <c r="S2338" s="170"/>
      <c r="T2338" s="170"/>
      <c r="U2338" s="201"/>
      <c r="V2338" s="198"/>
      <c r="W2338" s="170"/>
      <c r="X2338" s="202"/>
      <c r="Y2338" s="203"/>
      <c r="Z2338" s="170"/>
      <c r="AA2338" s="198"/>
      <c r="AB2338" s="170"/>
      <c r="AC2338" s="170"/>
      <c r="AD2338" s="121"/>
      <c r="AE2338" s="121"/>
      <c r="AF2338" s="121"/>
      <c r="AG2338" s="22"/>
      <c r="AH2338" s="22"/>
      <c r="AI2338" s="22"/>
      <c r="AJ2338" s="22"/>
      <c r="AK2338" s="22"/>
      <c r="AL2338" s="22"/>
      <c r="AM2338" s="22"/>
      <c r="AN2338" s="22"/>
      <c r="AO2338" s="22"/>
      <c r="AP2338" s="22"/>
    </row>
    <row r="2339">
      <c r="A2339" s="193"/>
      <c r="B2339" s="194"/>
      <c r="C2339" s="195"/>
      <c r="D2339" s="196"/>
      <c r="E2339" s="197"/>
      <c r="F2339" s="197"/>
      <c r="G2339" s="195"/>
      <c r="H2339" s="195"/>
      <c r="I2339" s="197"/>
      <c r="J2339" s="121"/>
      <c r="K2339" s="121"/>
      <c r="L2339" s="200"/>
      <c r="M2339" s="204"/>
      <c r="N2339" s="205"/>
      <c r="O2339" s="170"/>
      <c r="P2339" s="198"/>
      <c r="Q2339" s="199"/>
      <c r="R2339" s="200"/>
      <c r="S2339" s="170"/>
      <c r="T2339" s="170"/>
      <c r="U2339" s="201"/>
      <c r="V2339" s="198"/>
      <c r="W2339" s="170"/>
      <c r="X2339" s="202"/>
      <c r="Y2339" s="203"/>
      <c r="Z2339" s="170"/>
      <c r="AA2339" s="198"/>
      <c r="AB2339" s="170"/>
      <c r="AC2339" s="170"/>
      <c r="AD2339" s="121"/>
      <c r="AE2339" s="121"/>
      <c r="AF2339" s="121"/>
      <c r="AG2339" s="22"/>
      <c r="AH2339" s="22"/>
      <c r="AI2339" s="22"/>
      <c r="AJ2339" s="22"/>
      <c r="AK2339" s="22"/>
      <c r="AL2339" s="22"/>
      <c r="AM2339" s="22"/>
      <c r="AN2339" s="22"/>
      <c r="AO2339" s="22"/>
      <c r="AP2339" s="22"/>
    </row>
    <row r="2340">
      <c r="A2340" s="193"/>
      <c r="B2340" s="194"/>
      <c r="C2340" s="195"/>
      <c r="D2340" s="196"/>
      <c r="E2340" s="197"/>
      <c r="F2340" s="197"/>
      <c r="G2340" s="195"/>
      <c r="H2340" s="195"/>
      <c r="I2340" s="197"/>
      <c r="J2340" s="121"/>
      <c r="K2340" s="121"/>
      <c r="L2340" s="200"/>
      <c r="M2340" s="204"/>
      <c r="N2340" s="205"/>
      <c r="O2340" s="170"/>
      <c r="P2340" s="198"/>
      <c r="Q2340" s="199"/>
      <c r="R2340" s="200"/>
      <c r="S2340" s="170"/>
      <c r="T2340" s="170"/>
      <c r="U2340" s="201"/>
      <c r="V2340" s="198"/>
      <c r="W2340" s="170"/>
      <c r="X2340" s="202"/>
      <c r="Y2340" s="203"/>
      <c r="Z2340" s="170"/>
      <c r="AA2340" s="198"/>
      <c r="AB2340" s="170"/>
      <c r="AC2340" s="170"/>
      <c r="AD2340" s="121"/>
      <c r="AE2340" s="121"/>
      <c r="AF2340" s="121"/>
      <c r="AG2340" s="22"/>
      <c r="AH2340" s="22"/>
      <c r="AI2340" s="22"/>
      <c r="AJ2340" s="22"/>
      <c r="AK2340" s="22"/>
      <c r="AL2340" s="22"/>
      <c r="AM2340" s="22"/>
      <c r="AN2340" s="22"/>
      <c r="AO2340" s="22"/>
      <c r="AP2340" s="22"/>
    </row>
    <row r="2341">
      <c r="A2341" s="193"/>
      <c r="B2341" s="194"/>
      <c r="C2341" s="195"/>
      <c r="D2341" s="196"/>
      <c r="E2341" s="197"/>
      <c r="F2341" s="197"/>
      <c r="G2341" s="195"/>
      <c r="H2341" s="195"/>
      <c r="I2341" s="197"/>
      <c r="J2341" s="121"/>
      <c r="K2341" s="121"/>
      <c r="L2341" s="200"/>
      <c r="M2341" s="204"/>
      <c r="N2341" s="205"/>
      <c r="O2341" s="170"/>
      <c r="P2341" s="198"/>
      <c r="Q2341" s="199"/>
      <c r="R2341" s="200"/>
      <c r="S2341" s="170"/>
      <c r="T2341" s="170"/>
      <c r="U2341" s="201"/>
      <c r="V2341" s="198"/>
      <c r="W2341" s="170"/>
      <c r="X2341" s="202"/>
      <c r="Y2341" s="203"/>
      <c r="Z2341" s="170"/>
      <c r="AA2341" s="198"/>
      <c r="AB2341" s="170"/>
      <c r="AC2341" s="170"/>
      <c r="AD2341" s="121"/>
      <c r="AE2341" s="121"/>
      <c r="AF2341" s="121"/>
      <c r="AG2341" s="22"/>
      <c r="AH2341" s="22"/>
      <c r="AI2341" s="22"/>
      <c r="AJ2341" s="22"/>
      <c r="AK2341" s="22"/>
      <c r="AL2341" s="22"/>
      <c r="AM2341" s="22"/>
      <c r="AN2341" s="22"/>
      <c r="AO2341" s="22"/>
      <c r="AP2341" s="22"/>
    </row>
    <row r="2342">
      <c r="A2342" s="193"/>
      <c r="B2342" s="194"/>
      <c r="C2342" s="195"/>
      <c r="D2342" s="196"/>
      <c r="E2342" s="197"/>
      <c r="F2342" s="197"/>
      <c r="G2342" s="195"/>
      <c r="H2342" s="195"/>
      <c r="I2342" s="197"/>
      <c r="J2342" s="121"/>
      <c r="K2342" s="121"/>
      <c r="L2342" s="200"/>
      <c r="M2342" s="204"/>
      <c r="N2342" s="205"/>
      <c r="O2342" s="170"/>
      <c r="P2342" s="198"/>
      <c r="Q2342" s="199"/>
      <c r="R2342" s="200"/>
      <c r="S2342" s="170"/>
      <c r="T2342" s="170"/>
      <c r="U2342" s="201"/>
      <c r="V2342" s="198"/>
      <c r="W2342" s="170"/>
      <c r="X2342" s="202"/>
      <c r="Y2342" s="203"/>
      <c r="Z2342" s="170"/>
      <c r="AA2342" s="198"/>
      <c r="AB2342" s="170"/>
      <c r="AC2342" s="170"/>
      <c r="AD2342" s="121"/>
      <c r="AE2342" s="121"/>
      <c r="AF2342" s="121"/>
      <c r="AG2342" s="22"/>
      <c r="AH2342" s="22"/>
      <c r="AI2342" s="22"/>
      <c r="AJ2342" s="22"/>
      <c r="AK2342" s="22"/>
      <c r="AL2342" s="22"/>
      <c r="AM2342" s="22"/>
      <c r="AN2342" s="22"/>
      <c r="AO2342" s="22"/>
      <c r="AP2342" s="22"/>
    </row>
    <row r="2343">
      <c r="A2343" s="193"/>
      <c r="B2343" s="194"/>
      <c r="C2343" s="195"/>
      <c r="D2343" s="196"/>
      <c r="E2343" s="197"/>
      <c r="F2343" s="197"/>
      <c r="G2343" s="195"/>
      <c r="H2343" s="195"/>
      <c r="I2343" s="197"/>
      <c r="J2343" s="121"/>
      <c r="K2343" s="121"/>
      <c r="L2343" s="200"/>
      <c r="M2343" s="204"/>
      <c r="N2343" s="205"/>
      <c r="O2343" s="170"/>
      <c r="P2343" s="198"/>
      <c r="Q2343" s="199"/>
      <c r="R2343" s="200"/>
      <c r="S2343" s="170"/>
      <c r="T2343" s="170"/>
      <c r="U2343" s="201"/>
      <c r="V2343" s="198"/>
      <c r="W2343" s="170"/>
      <c r="X2343" s="202"/>
      <c r="Y2343" s="203"/>
      <c r="Z2343" s="170"/>
      <c r="AA2343" s="198"/>
      <c r="AB2343" s="170"/>
      <c r="AC2343" s="170"/>
      <c r="AD2343" s="121"/>
      <c r="AE2343" s="121"/>
      <c r="AF2343" s="121"/>
      <c r="AG2343" s="22"/>
      <c r="AH2343" s="22"/>
      <c r="AI2343" s="22"/>
      <c r="AJ2343" s="22"/>
      <c r="AK2343" s="22"/>
      <c r="AL2343" s="22"/>
      <c r="AM2343" s="22"/>
      <c r="AN2343" s="22"/>
      <c r="AO2343" s="22"/>
      <c r="AP2343" s="22"/>
    </row>
    <row r="2344">
      <c r="A2344" s="193"/>
      <c r="B2344" s="194"/>
      <c r="C2344" s="195"/>
      <c r="D2344" s="196"/>
      <c r="E2344" s="197"/>
      <c r="F2344" s="197"/>
      <c r="G2344" s="195"/>
      <c r="H2344" s="195"/>
      <c r="I2344" s="197"/>
      <c r="J2344" s="121"/>
      <c r="K2344" s="121"/>
      <c r="L2344" s="200"/>
      <c r="M2344" s="204"/>
      <c r="N2344" s="205"/>
      <c r="O2344" s="170"/>
      <c r="P2344" s="198"/>
      <c r="Q2344" s="199"/>
      <c r="R2344" s="200"/>
      <c r="S2344" s="170"/>
      <c r="T2344" s="170"/>
      <c r="U2344" s="201"/>
      <c r="V2344" s="198"/>
      <c r="W2344" s="170"/>
      <c r="X2344" s="202"/>
      <c r="Y2344" s="203"/>
      <c r="Z2344" s="170"/>
      <c r="AA2344" s="198"/>
      <c r="AB2344" s="170"/>
      <c r="AC2344" s="170"/>
      <c r="AD2344" s="121"/>
      <c r="AE2344" s="121"/>
      <c r="AF2344" s="121"/>
      <c r="AG2344" s="22"/>
      <c r="AH2344" s="22"/>
      <c r="AI2344" s="22"/>
      <c r="AJ2344" s="22"/>
      <c r="AK2344" s="22"/>
      <c r="AL2344" s="22"/>
      <c r="AM2344" s="22"/>
      <c r="AN2344" s="22"/>
      <c r="AO2344" s="22"/>
      <c r="AP2344" s="22"/>
    </row>
    <row r="2345">
      <c r="A2345" s="193"/>
      <c r="B2345" s="194"/>
      <c r="C2345" s="195"/>
      <c r="D2345" s="196"/>
      <c r="E2345" s="197"/>
      <c r="F2345" s="197"/>
      <c r="G2345" s="195"/>
      <c r="H2345" s="195"/>
      <c r="I2345" s="197"/>
      <c r="J2345" s="121"/>
      <c r="K2345" s="121"/>
      <c r="L2345" s="200"/>
      <c r="M2345" s="204"/>
      <c r="N2345" s="205"/>
      <c r="O2345" s="170"/>
      <c r="P2345" s="198"/>
      <c r="Q2345" s="199"/>
      <c r="R2345" s="200"/>
      <c r="S2345" s="170"/>
      <c r="T2345" s="170"/>
      <c r="U2345" s="201"/>
      <c r="V2345" s="198"/>
      <c r="W2345" s="170"/>
      <c r="X2345" s="202"/>
      <c r="Y2345" s="203"/>
      <c r="Z2345" s="170"/>
      <c r="AA2345" s="198"/>
      <c r="AB2345" s="170"/>
      <c r="AC2345" s="170"/>
      <c r="AD2345" s="121"/>
      <c r="AE2345" s="121"/>
      <c r="AF2345" s="121"/>
      <c r="AG2345" s="22"/>
      <c r="AH2345" s="22"/>
      <c r="AI2345" s="22"/>
      <c r="AJ2345" s="22"/>
      <c r="AK2345" s="22"/>
      <c r="AL2345" s="22"/>
      <c r="AM2345" s="22"/>
      <c r="AN2345" s="22"/>
      <c r="AO2345" s="22"/>
      <c r="AP2345" s="22"/>
    </row>
    <row r="2346">
      <c r="A2346" s="193"/>
      <c r="B2346" s="194"/>
      <c r="C2346" s="195"/>
      <c r="D2346" s="196"/>
      <c r="E2346" s="197"/>
      <c r="F2346" s="197"/>
      <c r="G2346" s="195"/>
      <c r="H2346" s="195"/>
      <c r="I2346" s="197"/>
      <c r="J2346" s="121"/>
      <c r="K2346" s="121"/>
      <c r="L2346" s="200"/>
      <c r="M2346" s="204"/>
      <c r="N2346" s="205"/>
      <c r="O2346" s="170"/>
      <c r="P2346" s="198"/>
      <c r="Q2346" s="199"/>
      <c r="R2346" s="200"/>
      <c r="S2346" s="170"/>
      <c r="T2346" s="170"/>
      <c r="U2346" s="201"/>
      <c r="V2346" s="198"/>
      <c r="W2346" s="170"/>
      <c r="X2346" s="202"/>
      <c r="Y2346" s="203"/>
      <c r="Z2346" s="170"/>
      <c r="AA2346" s="198"/>
      <c r="AB2346" s="170"/>
      <c r="AC2346" s="170"/>
      <c r="AD2346" s="121"/>
      <c r="AE2346" s="121"/>
      <c r="AF2346" s="121"/>
      <c r="AG2346" s="22"/>
      <c r="AH2346" s="22"/>
      <c r="AI2346" s="22"/>
      <c r="AJ2346" s="22"/>
      <c r="AK2346" s="22"/>
      <c r="AL2346" s="22"/>
      <c r="AM2346" s="22"/>
      <c r="AN2346" s="22"/>
      <c r="AO2346" s="22"/>
      <c r="AP2346" s="22"/>
    </row>
    <row r="2347">
      <c r="A2347" s="193"/>
      <c r="B2347" s="194"/>
      <c r="C2347" s="195"/>
      <c r="D2347" s="196"/>
      <c r="E2347" s="197"/>
      <c r="F2347" s="197"/>
      <c r="G2347" s="195"/>
      <c r="H2347" s="195"/>
      <c r="I2347" s="197"/>
      <c r="J2347" s="121"/>
      <c r="K2347" s="121"/>
      <c r="L2347" s="200"/>
      <c r="M2347" s="204"/>
      <c r="N2347" s="205"/>
      <c r="O2347" s="170"/>
      <c r="P2347" s="198"/>
      <c r="Q2347" s="199"/>
      <c r="R2347" s="200"/>
      <c r="S2347" s="170"/>
      <c r="T2347" s="170"/>
      <c r="U2347" s="201"/>
      <c r="V2347" s="198"/>
      <c r="W2347" s="170"/>
      <c r="X2347" s="202"/>
      <c r="Y2347" s="203"/>
      <c r="Z2347" s="170"/>
      <c r="AA2347" s="198"/>
      <c r="AB2347" s="170"/>
      <c r="AC2347" s="170"/>
      <c r="AD2347" s="121"/>
      <c r="AE2347" s="121"/>
      <c r="AF2347" s="121"/>
      <c r="AG2347" s="22"/>
      <c r="AH2347" s="22"/>
      <c r="AI2347" s="22"/>
      <c r="AJ2347" s="22"/>
      <c r="AK2347" s="22"/>
      <c r="AL2347" s="22"/>
      <c r="AM2347" s="22"/>
      <c r="AN2347" s="22"/>
      <c r="AO2347" s="22"/>
      <c r="AP2347" s="22"/>
    </row>
    <row r="2348">
      <c r="A2348" s="193"/>
      <c r="B2348" s="194"/>
      <c r="C2348" s="195"/>
      <c r="D2348" s="196"/>
      <c r="E2348" s="197"/>
      <c r="F2348" s="197"/>
      <c r="G2348" s="195"/>
      <c r="H2348" s="195"/>
      <c r="I2348" s="197"/>
      <c r="J2348" s="121"/>
      <c r="K2348" s="121"/>
      <c r="L2348" s="200"/>
      <c r="M2348" s="204"/>
      <c r="N2348" s="205"/>
      <c r="O2348" s="170"/>
      <c r="P2348" s="198"/>
      <c r="Q2348" s="199"/>
      <c r="R2348" s="200"/>
      <c r="S2348" s="170"/>
      <c r="T2348" s="170"/>
      <c r="U2348" s="201"/>
      <c r="V2348" s="198"/>
      <c r="W2348" s="170"/>
      <c r="X2348" s="202"/>
      <c r="Y2348" s="203"/>
      <c r="Z2348" s="170"/>
      <c r="AA2348" s="198"/>
      <c r="AB2348" s="170"/>
      <c r="AC2348" s="170"/>
      <c r="AD2348" s="121"/>
      <c r="AE2348" s="121"/>
      <c r="AF2348" s="121"/>
      <c r="AG2348" s="22"/>
      <c r="AH2348" s="22"/>
      <c r="AI2348" s="22"/>
      <c r="AJ2348" s="22"/>
      <c r="AK2348" s="22"/>
      <c r="AL2348" s="22"/>
      <c r="AM2348" s="22"/>
      <c r="AN2348" s="22"/>
      <c r="AO2348" s="22"/>
      <c r="AP2348" s="22"/>
    </row>
    <row r="2349">
      <c r="A2349" s="193"/>
      <c r="B2349" s="194"/>
      <c r="C2349" s="195"/>
      <c r="D2349" s="196"/>
      <c r="E2349" s="197"/>
      <c r="F2349" s="197"/>
      <c r="G2349" s="195"/>
      <c r="H2349" s="195"/>
      <c r="I2349" s="197"/>
      <c r="J2349" s="121"/>
      <c r="K2349" s="121"/>
      <c r="L2349" s="200"/>
      <c r="M2349" s="204"/>
      <c r="N2349" s="205"/>
      <c r="O2349" s="170"/>
      <c r="P2349" s="198"/>
      <c r="Q2349" s="199"/>
      <c r="R2349" s="200"/>
      <c r="S2349" s="170"/>
      <c r="T2349" s="170"/>
      <c r="U2349" s="201"/>
      <c r="V2349" s="198"/>
      <c r="W2349" s="170"/>
      <c r="X2349" s="202"/>
      <c r="Y2349" s="203"/>
      <c r="Z2349" s="170"/>
      <c r="AA2349" s="198"/>
      <c r="AB2349" s="170"/>
      <c r="AC2349" s="170"/>
      <c r="AD2349" s="121"/>
      <c r="AE2349" s="121"/>
      <c r="AF2349" s="121"/>
      <c r="AG2349" s="22"/>
      <c r="AH2349" s="22"/>
      <c r="AI2349" s="22"/>
      <c r="AJ2349" s="22"/>
      <c r="AK2349" s="22"/>
      <c r="AL2349" s="22"/>
      <c r="AM2349" s="22"/>
      <c r="AN2349" s="22"/>
      <c r="AO2349" s="22"/>
      <c r="AP2349" s="22"/>
    </row>
    <row r="2350">
      <c r="A2350" s="193"/>
      <c r="B2350" s="194"/>
      <c r="C2350" s="195"/>
      <c r="D2350" s="196"/>
      <c r="E2350" s="197"/>
      <c r="F2350" s="197"/>
      <c r="G2350" s="195"/>
      <c r="H2350" s="195"/>
      <c r="I2350" s="197"/>
      <c r="J2350" s="121"/>
      <c r="K2350" s="121"/>
      <c r="L2350" s="200"/>
      <c r="M2350" s="204"/>
      <c r="N2350" s="205"/>
      <c r="O2350" s="170"/>
      <c r="P2350" s="198"/>
      <c r="Q2350" s="199"/>
      <c r="R2350" s="200"/>
      <c r="S2350" s="170"/>
      <c r="T2350" s="170"/>
      <c r="U2350" s="201"/>
      <c r="V2350" s="198"/>
      <c r="W2350" s="170"/>
      <c r="X2350" s="202"/>
      <c r="Y2350" s="203"/>
      <c r="Z2350" s="170"/>
      <c r="AA2350" s="198"/>
      <c r="AB2350" s="170"/>
      <c r="AC2350" s="170"/>
      <c r="AD2350" s="121"/>
      <c r="AE2350" s="121"/>
      <c r="AF2350" s="121"/>
      <c r="AG2350" s="22"/>
      <c r="AH2350" s="22"/>
      <c r="AI2350" s="22"/>
      <c r="AJ2350" s="22"/>
      <c r="AK2350" s="22"/>
      <c r="AL2350" s="22"/>
      <c r="AM2350" s="22"/>
      <c r="AN2350" s="22"/>
      <c r="AO2350" s="22"/>
      <c r="AP2350" s="22"/>
    </row>
    <row r="2351">
      <c r="A2351" s="193"/>
      <c r="B2351" s="194"/>
      <c r="C2351" s="195"/>
      <c r="D2351" s="196"/>
      <c r="E2351" s="197"/>
      <c r="F2351" s="197"/>
      <c r="G2351" s="195"/>
      <c r="H2351" s="195"/>
      <c r="I2351" s="197"/>
      <c r="J2351" s="121"/>
      <c r="K2351" s="121"/>
      <c r="L2351" s="200"/>
      <c r="M2351" s="204"/>
      <c r="N2351" s="205"/>
      <c r="O2351" s="170"/>
      <c r="P2351" s="198"/>
      <c r="Q2351" s="199"/>
      <c r="R2351" s="200"/>
      <c r="S2351" s="170"/>
      <c r="T2351" s="170"/>
      <c r="U2351" s="201"/>
      <c r="V2351" s="198"/>
      <c r="W2351" s="170"/>
      <c r="X2351" s="202"/>
      <c r="Y2351" s="203"/>
      <c r="Z2351" s="170"/>
      <c r="AA2351" s="198"/>
      <c r="AB2351" s="170"/>
      <c r="AC2351" s="170"/>
      <c r="AD2351" s="121"/>
      <c r="AE2351" s="121"/>
      <c r="AF2351" s="121"/>
      <c r="AG2351" s="22"/>
      <c r="AH2351" s="22"/>
      <c r="AI2351" s="22"/>
      <c r="AJ2351" s="22"/>
      <c r="AK2351" s="22"/>
      <c r="AL2351" s="22"/>
      <c r="AM2351" s="22"/>
      <c r="AN2351" s="22"/>
      <c r="AO2351" s="22"/>
      <c r="AP2351" s="22"/>
    </row>
    <row r="2352">
      <c r="A2352" s="193"/>
      <c r="B2352" s="194"/>
      <c r="C2352" s="195"/>
      <c r="D2352" s="196"/>
      <c r="E2352" s="197"/>
      <c r="F2352" s="197"/>
      <c r="G2352" s="195"/>
      <c r="H2352" s="195"/>
      <c r="I2352" s="197"/>
      <c r="J2352" s="121"/>
      <c r="K2352" s="121"/>
      <c r="L2352" s="200"/>
      <c r="M2352" s="204"/>
      <c r="N2352" s="205"/>
      <c r="O2352" s="170"/>
      <c r="P2352" s="198"/>
      <c r="Q2352" s="199"/>
      <c r="R2352" s="200"/>
      <c r="S2352" s="170"/>
      <c r="T2352" s="170"/>
      <c r="U2352" s="201"/>
      <c r="V2352" s="198"/>
      <c r="W2352" s="170"/>
      <c r="X2352" s="202"/>
      <c r="Y2352" s="203"/>
      <c r="Z2352" s="170"/>
      <c r="AA2352" s="198"/>
      <c r="AB2352" s="170"/>
      <c r="AC2352" s="170"/>
      <c r="AD2352" s="121"/>
      <c r="AE2352" s="121"/>
      <c r="AF2352" s="121"/>
      <c r="AG2352" s="22"/>
      <c r="AH2352" s="22"/>
      <c r="AI2352" s="22"/>
      <c r="AJ2352" s="22"/>
      <c r="AK2352" s="22"/>
      <c r="AL2352" s="22"/>
      <c r="AM2352" s="22"/>
      <c r="AN2352" s="22"/>
      <c r="AO2352" s="22"/>
      <c r="AP2352" s="22"/>
    </row>
    <row r="2353">
      <c r="A2353" s="193"/>
      <c r="B2353" s="194"/>
      <c r="C2353" s="195"/>
      <c r="D2353" s="196"/>
      <c r="E2353" s="197"/>
      <c r="F2353" s="197"/>
      <c r="G2353" s="195"/>
      <c r="H2353" s="195"/>
      <c r="I2353" s="197"/>
      <c r="J2353" s="121"/>
      <c r="K2353" s="121"/>
      <c r="L2353" s="200"/>
      <c r="M2353" s="204"/>
      <c r="N2353" s="205"/>
      <c r="O2353" s="170"/>
      <c r="P2353" s="198"/>
      <c r="Q2353" s="199"/>
      <c r="R2353" s="200"/>
      <c r="S2353" s="170"/>
      <c r="T2353" s="170"/>
      <c r="U2353" s="201"/>
      <c r="V2353" s="198"/>
      <c r="W2353" s="170"/>
      <c r="X2353" s="202"/>
      <c r="Y2353" s="203"/>
      <c r="Z2353" s="170"/>
      <c r="AA2353" s="198"/>
      <c r="AB2353" s="170"/>
      <c r="AC2353" s="170"/>
      <c r="AD2353" s="121"/>
      <c r="AE2353" s="121"/>
      <c r="AF2353" s="121"/>
      <c r="AG2353" s="22"/>
      <c r="AH2353" s="22"/>
      <c r="AI2353" s="22"/>
      <c r="AJ2353" s="22"/>
      <c r="AK2353" s="22"/>
      <c r="AL2353" s="22"/>
      <c r="AM2353" s="22"/>
      <c r="AN2353" s="22"/>
      <c r="AO2353" s="22"/>
      <c r="AP2353" s="22"/>
    </row>
    <row r="2354">
      <c r="A2354" s="193"/>
      <c r="B2354" s="194"/>
      <c r="C2354" s="195"/>
      <c r="D2354" s="196"/>
      <c r="E2354" s="197"/>
      <c r="F2354" s="197"/>
      <c r="G2354" s="195"/>
      <c r="H2354" s="195"/>
      <c r="I2354" s="197"/>
      <c r="J2354" s="121"/>
      <c r="K2354" s="121"/>
      <c r="L2354" s="200"/>
      <c r="M2354" s="204"/>
      <c r="N2354" s="205"/>
      <c r="O2354" s="170"/>
      <c r="P2354" s="198"/>
      <c r="Q2354" s="199"/>
      <c r="R2354" s="200"/>
      <c r="S2354" s="170"/>
      <c r="T2354" s="170"/>
      <c r="U2354" s="201"/>
      <c r="V2354" s="198"/>
      <c r="W2354" s="170"/>
      <c r="X2354" s="202"/>
      <c r="Y2354" s="203"/>
      <c r="Z2354" s="170"/>
      <c r="AA2354" s="198"/>
      <c r="AB2354" s="170"/>
      <c r="AC2354" s="170"/>
      <c r="AD2354" s="121"/>
      <c r="AE2354" s="121"/>
      <c r="AF2354" s="121"/>
      <c r="AG2354" s="22"/>
      <c r="AH2354" s="22"/>
      <c r="AI2354" s="22"/>
      <c r="AJ2354" s="22"/>
      <c r="AK2354" s="22"/>
      <c r="AL2354" s="22"/>
      <c r="AM2354" s="22"/>
      <c r="AN2354" s="22"/>
      <c r="AO2354" s="22"/>
      <c r="AP2354" s="22"/>
    </row>
    <row r="2355">
      <c r="A2355" s="193"/>
      <c r="B2355" s="194"/>
      <c r="C2355" s="195"/>
      <c r="D2355" s="196"/>
      <c r="E2355" s="197"/>
      <c r="F2355" s="197"/>
      <c r="G2355" s="195"/>
      <c r="H2355" s="195"/>
      <c r="I2355" s="197"/>
      <c r="J2355" s="121"/>
      <c r="K2355" s="121"/>
      <c r="L2355" s="200"/>
      <c r="M2355" s="204"/>
      <c r="N2355" s="205"/>
      <c r="O2355" s="170"/>
      <c r="P2355" s="198"/>
      <c r="Q2355" s="199"/>
      <c r="R2355" s="200"/>
      <c r="S2355" s="170"/>
      <c r="T2355" s="170"/>
      <c r="U2355" s="201"/>
      <c r="V2355" s="198"/>
      <c r="W2355" s="170"/>
      <c r="X2355" s="202"/>
      <c r="Y2355" s="203"/>
      <c r="Z2355" s="170"/>
      <c r="AA2355" s="198"/>
      <c r="AB2355" s="170"/>
      <c r="AC2355" s="170"/>
      <c r="AD2355" s="121"/>
      <c r="AE2355" s="121"/>
      <c r="AF2355" s="121"/>
      <c r="AG2355" s="22"/>
      <c r="AH2355" s="22"/>
      <c r="AI2355" s="22"/>
      <c r="AJ2355" s="22"/>
      <c r="AK2355" s="22"/>
      <c r="AL2355" s="22"/>
      <c r="AM2355" s="22"/>
      <c r="AN2355" s="22"/>
      <c r="AO2355" s="22"/>
      <c r="AP2355" s="22"/>
    </row>
    <row r="2356">
      <c r="A2356" s="193"/>
      <c r="B2356" s="194"/>
      <c r="C2356" s="195"/>
      <c r="D2356" s="196"/>
      <c r="E2356" s="197"/>
      <c r="F2356" s="197"/>
      <c r="G2356" s="195"/>
      <c r="H2356" s="195"/>
      <c r="I2356" s="197"/>
      <c r="J2356" s="121"/>
      <c r="K2356" s="121"/>
      <c r="L2356" s="200"/>
      <c r="M2356" s="204"/>
      <c r="N2356" s="205"/>
      <c r="O2356" s="170"/>
      <c r="P2356" s="198"/>
      <c r="Q2356" s="199"/>
      <c r="R2356" s="200"/>
      <c r="S2356" s="170"/>
      <c r="T2356" s="170"/>
      <c r="U2356" s="201"/>
      <c r="V2356" s="198"/>
      <c r="W2356" s="170"/>
      <c r="X2356" s="202"/>
      <c r="Y2356" s="203"/>
      <c r="Z2356" s="170"/>
      <c r="AA2356" s="198"/>
      <c r="AB2356" s="170"/>
      <c r="AC2356" s="170"/>
      <c r="AD2356" s="121"/>
      <c r="AE2356" s="121"/>
      <c r="AF2356" s="121"/>
      <c r="AG2356" s="22"/>
      <c r="AH2356" s="22"/>
      <c r="AI2356" s="22"/>
      <c r="AJ2356" s="22"/>
      <c r="AK2356" s="22"/>
      <c r="AL2356" s="22"/>
      <c r="AM2356" s="22"/>
      <c r="AN2356" s="22"/>
      <c r="AO2356" s="22"/>
      <c r="AP2356" s="22"/>
    </row>
    <row r="2357">
      <c r="A2357" s="193"/>
      <c r="B2357" s="194"/>
      <c r="C2357" s="195"/>
      <c r="D2357" s="196"/>
      <c r="E2357" s="197"/>
      <c r="F2357" s="197"/>
      <c r="G2357" s="195"/>
      <c r="H2357" s="195"/>
      <c r="I2357" s="197"/>
      <c r="J2357" s="121"/>
      <c r="K2357" s="121"/>
      <c r="L2357" s="200"/>
      <c r="M2357" s="204"/>
      <c r="N2357" s="205"/>
      <c r="O2357" s="170"/>
      <c r="P2357" s="198"/>
      <c r="Q2357" s="199"/>
      <c r="R2357" s="200"/>
      <c r="S2357" s="170"/>
      <c r="T2357" s="170"/>
      <c r="U2357" s="201"/>
      <c r="V2357" s="198"/>
      <c r="W2357" s="170"/>
      <c r="X2357" s="202"/>
      <c r="Y2357" s="203"/>
      <c r="Z2357" s="170"/>
      <c r="AA2357" s="198"/>
      <c r="AB2357" s="170"/>
      <c r="AC2357" s="170"/>
      <c r="AD2357" s="121"/>
      <c r="AE2357" s="121"/>
      <c r="AF2357" s="121"/>
      <c r="AG2357" s="22"/>
      <c r="AH2357" s="22"/>
      <c r="AI2357" s="22"/>
      <c r="AJ2357" s="22"/>
      <c r="AK2357" s="22"/>
      <c r="AL2357" s="22"/>
      <c r="AM2357" s="22"/>
      <c r="AN2357" s="22"/>
      <c r="AO2357" s="22"/>
      <c r="AP2357" s="22"/>
    </row>
    <row r="2358">
      <c r="A2358" s="193"/>
      <c r="B2358" s="194"/>
      <c r="C2358" s="195"/>
      <c r="D2358" s="196"/>
      <c r="E2358" s="197"/>
      <c r="F2358" s="197"/>
      <c r="G2358" s="195"/>
      <c r="H2358" s="195"/>
      <c r="I2358" s="197"/>
      <c r="J2358" s="121"/>
      <c r="K2358" s="121"/>
      <c r="L2358" s="200"/>
      <c r="M2358" s="204"/>
      <c r="N2358" s="205"/>
      <c r="O2358" s="170"/>
      <c r="P2358" s="198"/>
      <c r="Q2358" s="199"/>
      <c r="R2358" s="200"/>
      <c r="S2358" s="170"/>
      <c r="T2358" s="170"/>
      <c r="U2358" s="201"/>
      <c r="V2358" s="198"/>
      <c r="W2358" s="170"/>
      <c r="X2358" s="202"/>
      <c r="Y2358" s="203"/>
      <c r="Z2358" s="170"/>
      <c r="AA2358" s="198"/>
      <c r="AB2358" s="170"/>
      <c r="AC2358" s="170"/>
      <c r="AD2358" s="121"/>
      <c r="AE2358" s="121"/>
      <c r="AF2358" s="121"/>
      <c r="AG2358" s="22"/>
      <c r="AH2358" s="22"/>
      <c r="AI2358" s="22"/>
      <c r="AJ2358" s="22"/>
      <c r="AK2358" s="22"/>
      <c r="AL2358" s="22"/>
      <c r="AM2358" s="22"/>
      <c r="AN2358" s="22"/>
      <c r="AO2358" s="22"/>
      <c r="AP2358" s="22"/>
    </row>
    <row r="2359">
      <c r="A2359" s="193"/>
      <c r="B2359" s="194"/>
      <c r="C2359" s="195"/>
      <c r="D2359" s="196"/>
      <c r="E2359" s="197"/>
      <c r="F2359" s="197"/>
      <c r="G2359" s="195"/>
      <c r="H2359" s="195"/>
      <c r="I2359" s="197"/>
      <c r="J2359" s="121"/>
      <c r="K2359" s="121"/>
      <c r="L2359" s="200"/>
      <c r="M2359" s="204"/>
      <c r="N2359" s="205"/>
      <c r="O2359" s="170"/>
      <c r="P2359" s="198"/>
      <c r="Q2359" s="199"/>
      <c r="R2359" s="200"/>
      <c r="S2359" s="170"/>
      <c r="T2359" s="170"/>
      <c r="U2359" s="201"/>
      <c r="V2359" s="198"/>
      <c r="W2359" s="170"/>
      <c r="X2359" s="202"/>
      <c r="Y2359" s="203"/>
      <c r="Z2359" s="170"/>
      <c r="AA2359" s="198"/>
      <c r="AB2359" s="170"/>
      <c r="AC2359" s="170"/>
      <c r="AD2359" s="121"/>
      <c r="AE2359" s="121"/>
      <c r="AF2359" s="121"/>
      <c r="AG2359" s="22"/>
      <c r="AH2359" s="22"/>
      <c r="AI2359" s="22"/>
      <c r="AJ2359" s="22"/>
      <c r="AK2359" s="22"/>
      <c r="AL2359" s="22"/>
      <c r="AM2359" s="22"/>
      <c r="AN2359" s="22"/>
      <c r="AO2359" s="22"/>
      <c r="AP2359" s="22"/>
    </row>
    <row r="2360">
      <c r="A2360" s="193"/>
      <c r="B2360" s="194"/>
      <c r="C2360" s="195"/>
      <c r="D2360" s="196"/>
      <c r="E2360" s="197"/>
      <c r="F2360" s="197"/>
      <c r="G2360" s="195"/>
      <c r="H2360" s="195"/>
      <c r="I2360" s="197"/>
      <c r="J2360" s="121"/>
      <c r="K2360" s="121"/>
      <c r="L2360" s="200"/>
      <c r="M2360" s="204"/>
      <c r="N2360" s="205"/>
      <c r="O2360" s="170"/>
      <c r="P2360" s="198"/>
      <c r="Q2360" s="199"/>
      <c r="R2360" s="200"/>
      <c r="S2360" s="170"/>
      <c r="T2360" s="170"/>
      <c r="U2360" s="201"/>
      <c r="V2360" s="198"/>
      <c r="W2360" s="170"/>
      <c r="X2360" s="202"/>
      <c r="Y2360" s="203"/>
      <c r="Z2360" s="170"/>
      <c r="AA2360" s="198"/>
      <c r="AB2360" s="170"/>
      <c r="AC2360" s="170"/>
      <c r="AD2360" s="121"/>
      <c r="AE2360" s="121"/>
      <c r="AF2360" s="121"/>
      <c r="AG2360" s="22"/>
      <c r="AH2360" s="22"/>
      <c r="AI2360" s="22"/>
      <c r="AJ2360" s="22"/>
      <c r="AK2360" s="22"/>
      <c r="AL2360" s="22"/>
      <c r="AM2360" s="22"/>
      <c r="AN2360" s="22"/>
      <c r="AO2360" s="22"/>
      <c r="AP2360" s="22"/>
    </row>
    <row r="2361">
      <c r="A2361" s="193"/>
      <c r="B2361" s="194"/>
      <c r="C2361" s="195"/>
      <c r="D2361" s="196"/>
      <c r="E2361" s="197"/>
      <c r="F2361" s="197"/>
      <c r="G2361" s="195"/>
      <c r="H2361" s="195"/>
      <c r="I2361" s="197"/>
      <c r="J2361" s="121"/>
      <c r="K2361" s="121"/>
      <c r="L2361" s="200"/>
      <c r="M2361" s="204"/>
      <c r="N2361" s="205"/>
      <c r="O2361" s="170"/>
      <c r="P2361" s="198"/>
      <c r="Q2361" s="199"/>
      <c r="R2361" s="200"/>
      <c r="S2361" s="170"/>
      <c r="T2361" s="170"/>
      <c r="U2361" s="201"/>
      <c r="V2361" s="198"/>
      <c r="W2361" s="170"/>
      <c r="X2361" s="202"/>
      <c r="Y2361" s="203"/>
      <c r="Z2361" s="170"/>
      <c r="AA2361" s="198"/>
      <c r="AB2361" s="170"/>
      <c r="AC2361" s="170"/>
      <c r="AD2361" s="121"/>
      <c r="AE2361" s="121"/>
      <c r="AF2361" s="121"/>
      <c r="AG2361" s="22"/>
      <c r="AH2361" s="22"/>
      <c r="AI2361" s="22"/>
      <c r="AJ2361" s="22"/>
      <c r="AK2361" s="22"/>
      <c r="AL2361" s="22"/>
      <c r="AM2361" s="22"/>
      <c r="AN2361" s="22"/>
      <c r="AO2361" s="22"/>
      <c r="AP2361" s="22"/>
    </row>
    <row r="2362">
      <c r="A2362" s="193"/>
      <c r="B2362" s="194"/>
      <c r="C2362" s="195"/>
      <c r="D2362" s="196"/>
      <c r="E2362" s="197"/>
      <c r="F2362" s="197"/>
      <c r="G2362" s="195"/>
      <c r="H2362" s="195"/>
      <c r="I2362" s="197"/>
      <c r="J2362" s="121"/>
      <c r="K2362" s="121"/>
      <c r="L2362" s="200"/>
      <c r="M2362" s="204"/>
      <c r="N2362" s="205"/>
      <c r="O2362" s="170"/>
      <c r="P2362" s="198"/>
      <c r="Q2362" s="199"/>
      <c r="R2362" s="200"/>
      <c r="S2362" s="170"/>
      <c r="T2362" s="170"/>
      <c r="U2362" s="201"/>
      <c r="V2362" s="198"/>
      <c r="W2362" s="170"/>
      <c r="X2362" s="202"/>
      <c r="Y2362" s="203"/>
      <c r="Z2362" s="170"/>
      <c r="AA2362" s="198"/>
      <c r="AB2362" s="170"/>
      <c r="AC2362" s="170"/>
      <c r="AD2362" s="121"/>
      <c r="AE2362" s="121"/>
      <c r="AF2362" s="121"/>
      <c r="AG2362" s="22"/>
      <c r="AH2362" s="22"/>
      <c r="AI2362" s="22"/>
      <c r="AJ2362" s="22"/>
      <c r="AK2362" s="22"/>
      <c r="AL2362" s="22"/>
      <c r="AM2362" s="22"/>
      <c r="AN2362" s="22"/>
      <c r="AO2362" s="22"/>
      <c r="AP2362" s="22"/>
    </row>
    <row r="2363">
      <c r="A2363" s="193"/>
      <c r="B2363" s="194"/>
      <c r="C2363" s="195"/>
      <c r="D2363" s="196"/>
      <c r="E2363" s="197"/>
      <c r="F2363" s="197"/>
      <c r="G2363" s="195"/>
      <c r="H2363" s="195"/>
      <c r="I2363" s="197"/>
      <c r="J2363" s="121"/>
      <c r="K2363" s="121"/>
      <c r="L2363" s="200"/>
      <c r="M2363" s="204"/>
      <c r="N2363" s="205"/>
      <c r="O2363" s="170"/>
      <c r="P2363" s="198"/>
      <c r="Q2363" s="199"/>
      <c r="R2363" s="200"/>
      <c r="S2363" s="170"/>
      <c r="T2363" s="170"/>
      <c r="U2363" s="201"/>
      <c r="V2363" s="198"/>
      <c r="W2363" s="170"/>
      <c r="X2363" s="202"/>
      <c r="Y2363" s="203"/>
      <c r="Z2363" s="170"/>
      <c r="AA2363" s="198"/>
      <c r="AB2363" s="170"/>
      <c r="AC2363" s="170"/>
      <c r="AD2363" s="121"/>
      <c r="AE2363" s="121"/>
      <c r="AF2363" s="121"/>
      <c r="AG2363" s="22"/>
      <c r="AH2363" s="22"/>
      <c r="AI2363" s="22"/>
      <c r="AJ2363" s="22"/>
      <c r="AK2363" s="22"/>
      <c r="AL2363" s="22"/>
      <c r="AM2363" s="22"/>
      <c r="AN2363" s="22"/>
      <c r="AO2363" s="22"/>
      <c r="AP2363" s="22"/>
    </row>
    <row r="2364">
      <c r="A2364" s="193"/>
      <c r="B2364" s="194"/>
      <c r="C2364" s="195"/>
      <c r="D2364" s="196"/>
      <c r="E2364" s="197"/>
      <c r="F2364" s="197"/>
      <c r="G2364" s="195"/>
      <c r="H2364" s="195"/>
      <c r="I2364" s="197"/>
      <c r="J2364" s="121"/>
      <c r="K2364" s="121"/>
      <c r="L2364" s="200"/>
      <c r="M2364" s="204"/>
      <c r="N2364" s="205"/>
      <c r="O2364" s="170"/>
      <c r="P2364" s="198"/>
      <c r="Q2364" s="199"/>
      <c r="R2364" s="200"/>
      <c r="S2364" s="170"/>
      <c r="T2364" s="170"/>
      <c r="U2364" s="201"/>
      <c r="V2364" s="198"/>
      <c r="W2364" s="170"/>
      <c r="X2364" s="202"/>
      <c r="Y2364" s="203"/>
      <c r="Z2364" s="170"/>
      <c r="AA2364" s="198"/>
      <c r="AB2364" s="170"/>
      <c r="AC2364" s="170"/>
      <c r="AD2364" s="121"/>
      <c r="AE2364" s="121"/>
      <c r="AF2364" s="121"/>
      <c r="AG2364" s="22"/>
      <c r="AH2364" s="22"/>
      <c r="AI2364" s="22"/>
      <c r="AJ2364" s="22"/>
      <c r="AK2364" s="22"/>
      <c r="AL2364" s="22"/>
      <c r="AM2364" s="22"/>
      <c r="AN2364" s="22"/>
      <c r="AO2364" s="22"/>
      <c r="AP2364" s="22"/>
    </row>
    <row r="2365">
      <c r="A2365" s="193"/>
      <c r="B2365" s="194"/>
      <c r="C2365" s="195"/>
      <c r="D2365" s="196"/>
      <c r="E2365" s="197"/>
      <c r="F2365" s="197"/>
      <c r="G2365" s="195"/>
      <c r="H2365" s="195"/>
      <c r="I2365" s="197"/>
      <c r="J2365" s="121"/>
      <c r="K2365" s="121"/>
      <c r="L2365" s="200"/>
      <c r="M2365" s="204"/>
      <c r="N2365" s="205"/>
      <c r="O2365" s="170"/>
      <c r="P2365" s="198"/>
      <c r="Q2365" s="199"/>
      <c r="R2365" s="200"/>
      <c r="S2365" s="170"/>
      <c r="T2365" s="170"/>
      <c r="U2365" s="201"/>
      <c r="V2365" s="198"/>
      <c r="W2365" s="170"/>
      <c r="X2365" s="202"/>
      <c r="Y2365" s="203"/>
      <c r="Z2365" s="170"/>
      <c r="AA2365" s="198"/>
      <c r="AB2365" s="170"/>
      <c r="AC2365" s="170"/>
      <c r="AD2365" s="121"/>
      <c r="AE2365" s="121"/>
      <c r="AF2365" s="121"/>
      <c r="AG2365" s="22"/>
      <c r="AH2365" s="22"/>
      <c r="AI2365" s="22"/>
      <c r="AJ2365" s="22"/>
      <c r="AK2365" s="22"/>
      <c r="AL2365" s="22"/>
      <c r="AM2365" s="22"/>
      <c r="AN2365" s="22"/>
      <c r="AO2365" s="22"/>
      <c r="AP2365" s="22"/>
    </row>
    <row r="2366">
      <c r="A2366" s="193"/>
      <c r="B2366" s="194"/>
      <c r="C2366" s="195"/>
      <c r="D2366" s="196"/>
      <c r="E2366" s="197"/>
      <c r="F2366" s="197"/>
      <c r="G2366" s="195"/>
      <c r="H2366" s="195"/>
      <c r="I2366" s="197"/>
      <c r="J2366" s="121"/>
      <c r="K2366" s="121"/>
      <c r="L2366" s="200"/>
      <c r="M2366" s="204"/>
      <c r="N2366" s="205"/>
      <c r="O2366" s="170"/>
      <c r="P2366" s="198"/>
      <c r="Q2366" s="199"/>
      <c r="R2366" s="200"/>
      <c r="S2366" s="170"/>
      <c r="T2366" s="170"/>
      <c r="U2366" s="201"/>
      <c r="V2366" s="198"/>
      <c r="W2366" s="170"/>
      <c r="X2366" s="202"/>
      <c r="Y2366" s="203"/>
      <c r="Z2366" s="170"/>
      <c r="AA2366" s="198"/>
      <c r="AB2366" s="170"/>
      <c r="AC2366" s="170"/>
      <c r="AD2366" s="121"/>
      <c r="AE2366" s="121"/>
      <c r="AF2366" s="121"/>
      <c r="AG2366" s="22"/>
      <c r="AH2366" s="22"/>
      <c r="AI2366" s="22"/>
      <c r="AJ2366" s="22"/>
      <c r="AK2366" s="22"/>
      <c r="AL2366" s="22"/>
      <c r="AM2366" s="22"/>
      <c r="AN2366" s="22"/>
      <c r="AO2366" s="22"/>
      <c r="AP2366" s="22"/>
    </row>
    <row r="2367">
      <c r="A2367" s="193"/>
      <c r="B2367" s="194"/>
      <c r="C2367" s="195"/>
      <c r="D2367" s="196"/>
      <c r="E2367" s="197"/>
      <c r="F2367" s="197"/>
      <c r="G2367" s="195"/>
      <c r="H2367" s="195"/>
      <c r="I2367" s="197"/>
      <c r="J2367" s="121"/>
      <c r="K2367" s="121"/>
      <c r="L2367" s="200"/>
      <c r="M2367" s="204"/>
      <c r="N2367" s="205"/>
      <c r="O2367" s="170"/>
      <c r="P2367" s="198"/>
      <c r="Q2367" s="199"/>
      <c r="R2367" s="200"/>
      <c r="S2367" s="170"/>
      <c r="T2367" s="170"/>
      <c r="U2367" s="201"/>
      <c r="V2367" s="198"/>
      <c r="W2367" s="170"/>
      <c r="X2367" s="202"/>
      <c r="Y2367" s="203"/>
      <c r="Z2367" s="170"/>
      <c r="AA2367" s="198"/>
      <c r="AB2367" s="170"/>
      <c r="AC2367" s="170"/>
      <c r="AD2367" s="121"/>
      <c r="AE2367" s="121"/>
      <c r="AF2367" s="121"/>
      <c r="AG2367" s="22"/>
      <c r="AH2367" s="22"/>
      <c r="AI2367" s="22"/>
      <c r="AJ2367" s="22"/>
      <c r="AK2367" s="22"/>
      <c r="AL2367" s="22"/>
      <c r="AM2367" s="22"/>
      <c r="AN2367" s="22"/>
      <c r="AO2367" s="22"/>
      <c r="AP2367" s="22"/>
    </row>
    <row r="2368">
      <c r="A2368" s="193"/>
      <c r="B2368" s="194"/>
      <c r="C2368" s="195"/>
      <c r="D2368" s="196"/>
      <c r="E2368" s="197"/>
      <c r="F2368" s="197"/>
      <c r="G2368" s="195"/>
      <c r="H2368" s="195"/>
      <c r="I2368" s="197"/>
      <c r="J2368" s="121"/>
      <c r="K2368" s="121"/>
      <c r="L2368" s="200"/>
      <c r="M2368" s="204"/>
      <c r="N2368" s="205"/>
      <c r="O2368" s="170"/>
      <c r="P2368" s="198"/>
      <c r="Q2368" s="199"/>
      <c r="R2368" s="200"/>
      <c r="S2368" s="170"/>
      <c r="T2368" s="170"/>
      <c r="U2368" s="201"/>
      <c r="V2368" s="198"/>
      <c r="W2368" s="170"/>
      <c r="X2368" s="202"/>
      <c r="Y2368" s="203"/>
      <c r="Z2368" s="170"/>
      <c r="AA2368" s="198"/>
      <c r="AB2368" s="170"/>
      <c r="AC2368" s="170"/>
      <c r="AD2368" s="121"/>
      <c r="AE2368" s="121"/>
      <c r="AF2368" s="121"/>
      <c r="AG2368" s="22"/>
      <c r="AH2368" s="22"/>
      <c r="AI2368" s="22"/>
      <c r="AJ2368" s="22"/>
      <c r="AK2368" s="22"/>
      <c r="AL2368" s="22"/>
      <c r="AM2368" s="22"/>
      <c r="AN2368" s="22"/>
      <c r="AO2368" s="22"/>
      <c r="AP2368" s="22"/>
    </row>
    <row r="2369">
      <c r="A2369" s="193"/>
      <c r="B2369" s="194"/>
      <c r="C2369" s="195"/>
      <c r="D2369" s="196"/>
      <c r="E2369" s="197"/>
      <c r="F2369" s="197"/>
      <c r="G2369" s="195"/>
      <c r="H2369" s="195"/>
      <c r="I2369" s="197"/>
      <c r="J2369" s="121"/>
      <c r="K2369" s="121"/>
      <c r="L2369" s="200"/>
      <c r="M2369" s="204"/>
      <c r="N2369" s="205"/>
      <c r="O2369" s="170"/>
      <c r="P2369" s="198"/>
      <c r="Q2369" s="199"/>
      <c r="R2369" s="200"/>
      <c r="S2369" s="170"/>
      <c r="T2369" s="170"/>
      <c r="U2369" s="201"/>
      <c r="V2369" s="198"/>
      <c r="W2369" s="170"/>
      <c r="X2369" s="202"/>
      <c r="Y2369" s="203"/>
      <c r="Z2369" s="170"/>
      <c r="AA2369" s="198"/>
      <c r="AB2369" s="170"/>
      <c r="AC2369" s="170"/>
      <c r="AD2369" s="121"/>
      <c r="AE2369" s="121"/>
      <c r="AF2369" s="121"/>
      <c r="AG2369" s="22"/>
      <c r="AH2369" s="22"/>
      <c r="AI2369" s="22"/>
      <c r="AJ2369" s="22"/>
      <c r="AK2369" s="22"/>
      <c r="AL2369" s="22"/>
      <c r="AM2369" s="22"/>
      <c r="AN2369" s="22"/>
      <c r="AO2369" s="22"/>
      <c r="AP2369" s="22"/>
    </row>
    <row r="2370">
      <c r="A2370" s="193"/>
      <c r="B2370" s="194"/>
      <c r="C2370" s="195"/>
      <c r="D2370" s="196"/>
      <c r="E2370" s="197"/>
      <c r="F2370" s="197"/>
      <c r="G2370" s="195"/>
      <c r="H2370" s="195"/>
      <c r="I2370" s="197"/>
      <c r="J2370" s="121"/>
      <c r="K2370" s="121"/>
      <c r="L2370" s="200"/>
      <c r="M2370" s="204"/>
      <c r="N2370" s="205"/>
      <c r="O2370" s="170"/>
      <c r="P2370" s="198"/>
      <c r="Q2370" s="199"/>
      <c r="R2370" s="200"/>
      <c r="S2370" s="170"/>
      <c r="T2370" s="170"/>
      <c r="U2370" s="201"/>
      <c r="V2370" s="198"/>
      <c r="W2370" s="170"/>
      <c r="X2370" s="202"/>
      <c r="Y2370" s="203"/>
      <c r="Z2370" s="170"/>
      <c r="AA2370" s="198"/>
      <c r="AB2370" s="170"/>
      <c r="AC2370" s="170"/>
      <c r="AD2370" s="121"/>
      <c r="AE2370" s="121"/>
      <c r="AF2370" s="121"/>
      <c r="AG2370" s="22"/>
      <c r="AH2370" s="22"/>
      <c r="AI2370" s="22"/>
      <c r="AJ2370" s="22"/>
      <c r="AK2370" s="22"/>
      <c r="AL2370" s="22"/>
      <c r="AM2370" s="22"/>
      <c r="AN2370" s="22"/>
      <c r="AO2370" s="22"/>
      <c r="AP2370" s="22"/>
    </row>
    <row r="2371">
      <c r="A2371" s="193"/>
      <c r="B2371" s="194"/>
      <c r="C2371" s="195"/>
      <c r="D2371" s="196"/>
      <c r="E2371" s="197"/>
      <c r="F2371" s="197"/>
      <c r="G2371" s="195"/>
      <c r="H2371" s="195"/>
      <c r="I2371" s="197"/>
      <c r="J2371" s="121"/>
      <c r="K2371" s="121"/>
      <c r="L2371" s="200"/>
      <c r="M2371" s="204"/>
      <c r="N2371" s="205"/>
      <c r="O2371" s="170"/>
      <c r="P2371" s="198"/>
      <c r="Q2371" s="199"/>
      <c r="R2371" s="200"/>
      <c r="S2371" s="170"/>
      <c r="T2371" s="170"/>
      <c r="U2371" s="201"/>
      <c r="V2371" s="198"/>
      <c r="W2371" s="170"/>
      <c r="X2371" s="202"/>
      <c r="Y2371" s="203"/>
      <c r="Z2371" s="170"/>
      <c r="AA2371" s="198"/>
      <c r="AB2371" s="170"/>
      <c r="AC2371" s="170"/>
      <c r="AD2371" s="121"/>
      <c r="AE2371" s="121"/>
      <c r="AF2371" s="121"/>
      <c r="AG2371" s="22"/>
      <c r="AH2371" s="22"/>
      <c r="AI2371" s="22"/>
      <c r="AJ2371" s="22"/>
      <c r="AK2371" s="22"/>
      <c r="AL2371" s="22"/>
      <c r="AM2371" s="22"/>
      <c r="AN2371" s="22"/>
      <c r="AO2371" s="22"/>
      <c r="AP2371" s="22"/>
    </row>
    <row r="2372">
      <c r="A2372" s="193"/>
      <c r="B2372" s="194"/>
      <c r="C2372" s="195"/>
      <c r="D2372" s="196"/>
      <c r="E2372" s="197"/>
      <c r="F2372" s="197"/>
      <c r="G2372" s="195"/>
      <c r="H2372" s="195"/>
      <c r="I2372" s="197"/>
      <c r="J2372" s="121"/>
      <c r="K2372" s="121"/>
      <c r="L2372" s="200"/>
      <c r="M2372" s="204"/>
      <c r="N2372" s="205"/>
      <c r="O2372" s="170"/>
      <c r="P2372" s="198"/>
      <c r="Q2372" s="199"/>
      <c r="R2372" s="200"/>
      <c r="S2372" s="170"/>
      <c r="T2372" s="170"/>
      <c r="U2372" s="201"/>
      <c r="V2372" s="198"/>
      <c r="W2372" s="170"/>
      <c r="X2372" s="202"/>
      <c r="Y2372" s="203"/>
      <c r="Z2372" s="170"/>
      <c r="AA2372" s="198"/>
      <c r="AB2372" s="170"/>
      <c r="AC2372" s="170"/>
      <c r="AD2372" s="121"/>
      <c r="AE2372" s="121"/>
      <c r="AF2372" s="121"/>
      <c r="AG2372" s="22"/>
      <c r="AH2372" s="22"/>
      <c r="AI2372" s="22"/>
      <c r="AJ2372" s="22"/>
      <c r="AK2372" s="22"/>
      <c r="AL2372" s="22"/>
      <c r="AM2372" s="22"/>
      <c r="AN2372" s="22"/>
      <c r="AO2372" s="22"/>
      <c r="AP2372" s="22"/>
    </row>
    <row r="2373">
      <c r="A2373" s="193"/>
      <c r="B2373" s="194"/>
      <c r="C2373" s="195"/>
      <c r="D2373" s="196"/>
      <c r="E2373" s="197"/>
      <c r="F2373" s="197"/>
      <c r="G2373" s="195"/>
      <c r="H2373" s="195"/>
      <c r="I2373" s="197"/>
      <c r="J2373" s="121"/>
      <c r="K2373" s="121"/>
      <c r="L2373" s="200"/>
      <c r="M2373" s="204"/>
      <c r="N2373" s="205"/>
      <c r="O2373" s="170"/>
      <c r="P2373" s="198"/>
      <c r="Q2373" s="199"/>
      <c r="R2373" s="200"/>
      <c r="S2373" s="170"/>
      <c r="T2373" s="170"/>
      <c r="U2373" s="201"/>
      <c r="V2373" s="198"/>
      <c r="W2373" s="170"/>
      <c r="X2373" s="202"/>
      <c r="Y2373" s="203"/>
      <c r="Z2373" s="170"/>
      <c r="AA2373" s="198"/>
      <c r="AB2373" s="170"/>
      <c r="AC2373" s="170"/>
      <c r="AD2373" s="121"/>
      <c r="AE2373" s="121"/>
      <c r="AF2373" s="121"/>
      <c r="AG2373" s="22"/>
      <c r="AH2373" s="22"/>
      <c r="AI2373" s="22"/>
      <c r="AJ2373" s="22"/>
      <c r="AK2373" s="22"/>
      <c r="AL2373" s="22"/>
      <c r="AM2373" s="22"/>
      <c r="AN2373" s="22"/>
      <c r="AO2373" s="22"/>
      <c r="AP2373" s="22"/>
    </row>
    <row r="2374">
      <c r="A2374" s="193"/>
      <c r="B2374" s="194"/>
      <c r="C2374" s="195"/>
      <c r="D2374" s="196"/>
      <c r="E2374" s="197"/>
      <c r="F2374" s="197"/>
      <c r="G2374" s="195"/>
      <c r="H2374" s="195"/>
      <c r="I2374" s="197"/>
      <c r="J2374" s="121"/>
      <c r="K2374" s="121"/>
      <c r="L2374" s="200"/>
      <c r="M2374" s="204"/>
      <c r="N2374" s="205"/>
      <c r="O2374" s="170"/>
      <c r="P2374" s="198"/>
      <c r="Q2374" s="199"/>
      <c r="R2374" s="200"/>
      <c r="S2374" s="170"/>
      <c r="T2374" s="170"/>
      <c r="U2374" s="201"/>
      <c r="V2374" s="198"/>
      <c r="W2374" s="170"/>
      <c r="X2374" s="202"/>
      <c r="Y2374" s="203"/>
      <c r="Z2374" s="170"/>
      <c r="AA2374" s="198"/>
      <c r="AB2374" s="170"/>
      <c r="AC2374" s="170"/>
      <c r="AD2374" s="121"/>
      <c r="AE2374" s="121"/>
      <c r="AF2374" s="121"/>
      <c r="AG2374" s="22"/>
      <c r="AH2374" s="22"/>
      <c r="AI2374" s="22"/>
      <c r="AJ2374" s="22"/>
      <c r="AK2374" s="22"/>
      <c r="AL2374" s="22"/>
      <c r="AM2374" s="22"/>
      <c r="AN2374" s="22"/>
      <c r="AO2374" s="22"/>
      <c r="AP2374" s="22"/>
    </row>
    <row r="2375">
      <c r="A2375" s="193"/>
      <c r="B2375" s="194"/>
      <c r="C2375" s="195"/>
      <c r="D2375" s="196"/>
      <c r="E2375" s="197"/>
      <c r="F2375" s="197"/>
      <c r="G2375" s="195"/>
      <c r="H2375" s="195"/>
      <c r="I2375" s="197"/>
      <c r="J2375" s="121"/>
      <c r="K2375" s="121"/>
      <c r="L2375" s="200"/>
      <c r="M2375" s="204"/>
      <c r="N2375" s="205"/>
      <c r="O2375" s="170"/>
      <c r="P2375" s="198"/>
      <c r="Q2375" s="199"/>
      <c r="R2375" s="200"/>
      <c r="S2375" s="170"/>
      <c r="T2375" s="170"/>
      <c r="U2375" s="201"/>
      <c r="V2375" s="198"/>
      <c r="W2375" s="170"/>
      <c r="X2375" s="202"/>
      <c r="Y2375" s="203"/>
      <c r="Z2375" s="170"/>
      <c r="AA2375" s="198"/>
      <c r="AB2375" s="170"/>
      <c r="AC2375" s="170"/>
      <c r="AD2375" s="121"/>
      <c r="AE2375" s="121"/>
      <c r="AF2375" s="121"/>
      <c r="AG2375" s="22"/>
      <c r="AH2375" s="22"/>
      <c r="AI2375" s="22"/>
      <c r="AJ2375" s="22"/>
      <c r="AK2375" s="22"/>
      <c r="AL2375" s="22"/>
      <c r="AM2375" s="22"/>
      <c r="AN2375" s="22"/>
      <c r="AO2375" s="22"/>
      <c r="AP2375" s="22"/>
    </row>
    <row r="2376">
      <c r="A2376" s="193"/>
      <c r="B2376" s="194"/>
      <c r="C2376" s="195"/>
      <c r="D2376" s="196"/>
      <c r="E2376" s="197"/>
      <c r="F2376" s="197"/>
      <c r="G2376" s="195"/>
      <c r="H2376" s="195"/>
      <c r="I2376" s="197"/>
      <c r="J2376" s="121"/>
      <c r="K2376" s="121"/>
      <c r="L2376" s="200"/>
      <c r="M2376" s="204"/>
      <c r="N2376" s="205"/>
      <c r="O2376" s="170"/>
      <c r="P2376" s="198"/>
      <c r="Q2376" s="199"/>
      <c r="R2376" s="200"/>
      <c r="S2376" s="170"/>
      <c r="T2376" s="170"/>
      <c r="U2376" s="201"/>
      <c r="V2376" s="198"/>
      <c r="W2376" s="170"/>
      <c r="X2376" s="202"/>
      <c r="Y2376" s="203"/>
      <c r="Z2376" s="170"/>
      <c r="AA2376" s="198"/>
      <c r="AB2376" s="170"/>
      <c r="AC2376" s="170"/>
      <c r="AD2376" s="121"/>
      <c r="AE2376" s="121"/>
      <c r="AF2376" s="121"/>
      <c r="AG2376" s="22"/>
      <c r="AH2376" s="22"/>
      <c r="AI2376" s="22"/>
      <c r="AJ2376" s="22"/>
      <c r="AK2376" s="22"/>
      <c r="AL2376" s="22"/>
      <c r="AM2376" s="22"/>
      <c r="AN2376" s="22"/>
      <c r="AO2376" s="22"/>
      <c r="AP2376" s="22"/>
    </row>
    <row r="2377">
      <c r="A2377" s="193"/>
      <c r="B2377" s="194"/>
      <c r="C2377" s="195"/>
      <c r="D2377" s="196"/>
      <c r="E2377" s="197"/>
      <c r="F2377" s="197"/>
      <c r="G2377" s="195"/>
      <c r="H2377" s="195"/>
      <c r="I2377" s="197"/>
      <c r="J2377" s="121"/>
      <c r="K2377" s="121"/>
      <c r="L2377" s="200"/>
      <c r="M2377" s="204"/>
      <c r="N2377" s="205"/>
      <c r="O2377" s="170"/>
      <c r="P2377" s="198"/>
      <c r="Q2377" s="199"/>
      <c r="R2377" s="200"/>
      <c r="S2377" s="170"/>
      <c r="T2377" s="170"/>
      <c r="U2377" s="201"/>
      <c r="V2377" s="198"/>
      <c r="W2377" s="170"/>
      <c r="X2377" s="202"/>
      <c r="Y2377" s="203"/>
      <c r="Z2377" s="170"/>
      <c r="AA2377" s="198"/>
      <c r="AB2377" s="170"/>
      <c r="AC2377" s="170"/>
      <c r="AD2377" s="121"/>
      <c r="AE2377" s="121"/>
      <c r="AF2377" s="121"/>
      <c r="AG2377" s="22"/>
      <c r="AH2377" s="22"/>
      <c r="AI2377" s="22"/>
      <c r="AJ2377" s="22"/>
      <c r="AK2377" s="22"/>
      <c r="AL2377" s="22"/>
      <c r="AM2377" s="22"/>
      <c r="AN2377" s="22"/>
      <c r="AO2377" s="22"/>
      <c r="AP2377" s="22"/>
    </row>
    <row r="2378">
      <c r="A2378" s="193"/>
      <c r="B2378" s="194"/>
      <c r="C2378" s="195"/>
      <c r="D2378" s="196"/>
      <c r="E2378" s="197"/>
      <c r="F2378" s="197"/>
      <c r="G2378" s="195"/>
      <c r="H2378" s="195"/>
      <c r="I2378" s="197"/>
      <c r="J2378" s="121"/>
      <c r="K2378" s="121"/>
      <c r="L2378" s="200"/>
      <c r="M2378" s="204"/>
      <c r="N2378" s="205"/>
      <c r="O2378" s="170"/>
      <c r="P2378" s="198"/>
      <c r="Q2378" s="199"/>
      <c r="R2378" s="200"/>
      <c r="S2378" s="170"/>
      <c r="T2378" s="170"/>
      <c r="U2378" s="201"/>
      <c r="V2378" s="198"/>
      <c r="W2378" s="170"/>
      <c r="X2378" s="202"/>
      <c r="Y2378" s="203"/>
      <c r="Z2378" s="170"/>
      <c r="AA2378" s="198"/>
      <c r="AB2378" s="170"/>
      <c r="AC2378" s="170"/>
      <c r="AD2378" s="121"/>
      <c r="AE2378" s="121"/>
      <c r="AF2378" s="121"/>
      <c r="AG2378" s="22"/>
      <c r="AH2378" s="22"/>
      <c r="AI2378" s="22"/>
      <c r="AJ2378" s="22"/>
      <c r="AK2378" s="22"/>
      <c r="AL2378" s="22"/>
      <c r="AM2378" s="22"/>
      <c r="AN2378" s="22"/>
      <c r="AO2378" s="22"/>
      <c r="AP2378" s="22"/>
    </row>
    <row r="2379">
      <c r="A2379" s="193"/>
      <c r="B2379" s="194"/>
      <c r="C2379" s="195"/>
      <c r="D2379" s="196"/>
      <c r="E2379" s="197"/>
      <c r="F2379" s="197"/>
      <c r="G2379" s="195"/>
      <c r="H2379" s="195"/>
      <c r="I2379" s="197"/>
      <c r="J2379" s="121"/>
      <c r="K2379" s="121"/>
      <c r="L2379" s="200"/>
      <c r="M2379" s="204"/>
      <c r="N2379" s="205"/>
      <c r="O2379" s="170"/>
      <c r="P2379" s="198"/>
      <c r="Q2379" s="199"/>
      <c r="R2379" s="200"/>
      <c r="S2379" s="170"/>
      <c r="T2379" s="170"/>
      <c r="U2379" s="201"/>
      <c r="V2379" s="198"/>
      <c r="W2379" s="170"/>
      <c r="X2379" s="202"/>
      <c r="Y2379" s="203"/>
      <c r="Z2379" s="170"/>
      <c r="AA2379" s="198"/>
      <c r="AB2379" s="170"/>
      <c r="AC2379" s="170"/>
      <c r="AD2379" s="121"/>
      <c r="AE2379" s="121"/>
      <c r="AF2379" s="121"/>
      <c r="AG2379" s="22"/>
      <c r="AH2379" s="22"/>
      <c r="AI2379" s="22"/>
      <c r="AJ2379" s="22"/>
      <c r="AK2379" s="22"/>
      <c r="AL2379" s="22"/>
      <c r="AM2379" s="22"/>
      <c r="AN2379" s="22"/>
      <c r="AO2379" s="22"/>
      <c r="AP2379" s="22"/>
    </row>
    <row r="2380">
      <c r="A2380" s="193"/>
      <c r="B2380" s="194"/>
      <c r="C2380" s="195"/>
      <c r="D2380" s="196"/>
      <c r="E2380" s="197"/>
      <c r="F2380" s="197"/>
      <c r="G2380" s="195"/>
      <c r="H2380" s="195"/>
      <c r="I2380" s="197"/>
      <c r="J2380" s="121"/>
      <c r="K2380" s="121"/>
      <c r="L2380" s="200"/>
      <c r="M2380" s="204"/>
      <c r="N2380" s="205"/>
      <c r="O2380" s="170"/>
      <c r="P2380" s="198"/>
      <c r="Q2380" s="199"/>
      <c r="R2380" s="200"/>
      <c r="S2380" s="170"/>
      <c r="T2380" s="170"/>
      <c r="U2380" s="201"/>
      <c r="V2380" s="198"/>
      <c r="W2380" s="170"/>
      <c r="X2380" s="202"/>
      <c r="Y2380" s="203"/>
      <c r="Z2380" s="170"/>
      <c r="AA2380" s="198"/>
      <c r="AB2380" s="170"/>
      <c r="AC2380" s="170"/>
      <c r="AD2380" s="121"/>
      <c r="AE2380" s="121"/>
      <c r="AF2380" s="121"/>
      <c r="AG2380" s="22"/>
      <c r="AH2380" s="22"/>
      <c r="AI2380" s="22"/>
      <c r="AJ2380" s="22"/>
      <c r="AK2380" s="22"/>
      <c r="AL2380" s="22"/>
      <c r="AM2380" s="22"/>
      <c r="AN2380" s="22"/>
      <c r="AO2380" s="22"/>
      <c r="AP2380" s="22"/>
    </row>
    <row r="2381">
      <c r="A2381" s="193"/>
      <c r="B2381" s="194"/>
      <c r="C2381" s="195"/>
      <c r="D2381" s="196"/>
      <c r="E2381" s="197"/>
      <c r="F2381" s="197"/>
      <c r="G2381" s="195"/>
      <c r="H2381" s="195"/>
      <c r="I2381" s="197"/>
      <c r="J2381" s="121"/>
      <c r="K2381" s="121"/>
      <c r="L2381" s="200"/>
      <c r="M2381" s="204"/>
      <c r="N2381" s="205"/>
      <c r="O2381" s="170"/>
      <c r="P2381" s="198"/>
      <c r="Q2381" s="199"/>
      <c r="R2381" s="200"/>
      <c r="S2381" s="170"/>
      <c r="T2381" s="170"/>
      <c r="U2381" s="201"/>
      <c r="V2381" s="198"/>
      <c r="W2381" s="170"/>
      <c r="X2381" s="202"/>
      <c r="Y2381" s="203"/>
      <c r="Z2381" s="170"/>
      <c r="AA2381" s="198"/>
      <c r="AB2381" s="170"/>
      <c r="AC2381" s="170"/>
      <c r="AD2381" s="121"/>
      <c r="AE2381" s="121"/>
      <c r="AF2381" s="121"/>
      <c r="AG2381" s="22"/>
      <c r="AH2381" s="22"/>
      <c r="AI2381" s="22"/>
      <c r="AJ2381" s="22"/>
      <c r="AK2381" s="22"/>
      <c r="AL2381" s="22"/>
      <c r="AM2381" s="22"/>
      <c r="AN2381" s="22"/>
      <c r="AO2381" s="22"/>
      <c r="AP2381" s="22"/>
    </row>
    <row r="2382">
      <c r="A2382" s="193"/>
      <c r="B2382" s="194"/>
      <c r="C2382" s="195"/>
      <c r="D2382" s="196"/>
      <c r="E2382" s="197"/>
      <c r="F2382" s="197"/>
      <c r="G2382" s="195"/>
      <c r="H2382" s="195"/>
      <c r="I2382" s="197"/>
      <c r="J2382" s="121"/>
      <c r="K2382" s="121"/>
      <c r="L2382" s="200"/>
      <c r="M2382" s="204"/>
      <c r="N2382" s="205"/>
      <c r="O2382" s="170"/>
      <c r="P2382" s="198"/>
      <c r="Q2382" s="199"/>
      <c r="R2382" s="200"/>
      <c r="S2382" s="170"/>
      <c r="T2382" s="170"/>
      <c r="U2382" s="201"/>
      <c r="V2382" s="198"/>
      <c r="W2382" s="170"/>
      <c r="X2382" s="202"/>
      <c r="Y2382" s="203"/>
      <c r="Z2382" s="170"/>
      <c r="AA2382" s="198"/>
      <c r="AB2382" s="170"/>
      <c r="AC2382" s="170"/>
      <c r="AD2382" s="121"/>
      <c r="AE2382" s="121"/>
      <c r="AF2382" s="121"/>
      <c r="AG2382" s="22"/>
      <c r="AH2382" s="22"/>
      <c r="AI2382" s="22"/>
      <c r="AJ2382" s="22"/>
      <c r="AK2382" s="22"/>
      <c r="AL2382" s="22"/>
      <c r="AM2382" s="22"/>
      <c r="AN2382" s="22"/>
      <c r="AO2382" s="22"/>
      <c r="AP2382" s="22"/>
    </row>
    <row r="2383">
      <c r="A2383" s="193"/>
      <c r="B2383" s="194"/>
      <c r="C2383" s="195"/>
      <c r="D2383" s="196"/>
      <c r="E2383" s="197"/>
      <c r="F2383" s="197"/>
      <c r="G2383" s="195"/>
      <c r="H2383" s="195"/>
      <c r="I2383" s="197"/>
      <c r="J2383" s="121"/>
      <c r="K2383" s="121"/>
      <c r="L2383" s="200"/>
      <c r="M2383" s="204"/>
      <c r="N2383" s="205"/>
      <c r="O2383" s="170"/>
      <c r="P2383" s="198"/>
      <c r="Q2383" s="199"/>
      <c r="R2383" s="200"/>
      <c r="S2383" s="170"/>
      <c r="T2383" s="170"/>
      <c r="U2383" s="201"/>
      <c r="V2383" s="198"/>
      <c r="W2383" s="170"/>
      <c r="X2383" s="202"/>
      <c r="Y2383" s="203"/>
      <c r="Z2383" s="170"/>
      <c r="AA2383" s="198"/>
      <c r="AB2383" s="170"/>
      <c r="AC2383" s="170"/>
      <c r="AD2383" s="121"/>
      <c r="AE2383" s="121"/>
      <c r="AF2383" s="121"/>
      <c r="AG2383" s="22"/>
      <c r="AH2383" s="22"/>
      <c r="AI2383" s="22"/>
      <c r="AJ2383" s="22"/>
      <c r="AK2383" s="22"/>
      <c r="AL2383" s="22"/>
      <c r="AM2383" s="22"/>
      <c r="AN2383" s="22"/>
      <c r="AO2383" s="22"/>
      <c r="AP2383" s="22"/>
    </row>
    <row r="2384">
      <c r="A2384" s="193"/>
      <c r="B2384" s="194"/>
      <c r="C2384" s="195"/>
      <c r="D2384" s="196"/>
      <c r="E2384" s="197"/>
      <c r="F2384" s="197"/>
      <c r="G2384" s="195"/>
      <c r="H2384" s="195"/>
      <c r="I2384" s="197"/>
      <c r="J2384" s="121"/>
      <c r="K2384" s="121"/>
      <c r="L2384" s="200"/>
      <c r="M2384" s="204"/>
      <c r="N2384" s="205"/>
      <c r="O2384" s="170"/>
      <c r="P2384" s="198"/>
      <c r="Q2384" s="199"/>
      <c r="R2384" s="200"/>
      <c r="S2384" s="170"/>
      <c r="T2384" s="170"/>
      <c r="U2384" s="201"/>
      <c r="V2384" s="198"/>
      <c r="W2384" s="170"/>
      <c r="X2384" s="202"/>
      <c r="Y2384" s="203"/>
      <c r="Z2384" s="170"/>
      <c r="AA2384" s="198"/>
      <c r="AB2384" s="170"/>
      <c r="AC2384" s="170"/>
      <c r="AD2384" s="121"/>
      <c r="AE2384" s="121"/>
      <c r="AF2384" s="121"/>
      <c r="AG2384" s="22"/>
      <c r="AH2384" s="22"/>
      <c r="AI2384" s="22"/>
      <c r="AJ2384" s="22"/>
      <c r="AK2384" s="22"/>
      <c r="AL2384" s="22"/>
      <c r="AM2384" s="22"/>
      <c r="AN2384" s="22"/>
      <c r="AO2384" s="22"/>
      <c r="AP2384" s="22"/>
    </row>
    <row r="2385">
      <c r="A2385" s="193"/>
      <c r="B2385" s="194"/>
      <c r="C2385" s="195"/>
      <c r="D2385" s="196"/>
      <c r="E2385" s="197"/>
      <c r="F2385" s="197"/>
      <c r="G2385" s="195"/>
      <c r="H2385" s="195"/>
      <c r="I2385" s="197"/>
      <c r="J2385" s="121"/>
      <c r="K2385" s="121"/>
      <c r="L2385" s="200"/>
      <c r="M2385" s="204"/>
      <c r="N2385" s="205"/>
      <c r="O2385" s="170"/>
      <c r="P2385" s="198"/>
      <c r="Q2385" s="199"/>
      <c r="R2385" s="200"/>
      <c r="S2385" s="170"/>
      <c r="T2385" s="170"/>
      <c r="U2385" s="201"/>
      <c r="V2385" s="198"/>
      <c r="W2385" s="170"/>
      <c r="X2385" s="202"/>
      <c r="Y2385" s="203"/>
      <c r="Z2385" s="170"/>
      <c r="AA2385" s="198"/>
      <c r="AB2385" s="170"/>
      <c r="AC2385" s="170"/>
      <c r="AD2385" s="121"/>
      <c r="AE2385" s="121"/>
      <c r="AF2385" s="121"/>
      <c r="AG2385" s="22"/>
      <c r="AH2385" s="22"/>
      <c r="AI2385" s="22"/>
      <c r="AJ2385" s="22"/>
      <c r="AK2385" s="22"/>
      <c r="AL2385" s="22"/>
      <c r="AM2385" s="22"/>
      <c r="AN2385" s="22"/>
      <c r="AO2385" s="22"/>
      <c r="AP2385" s="22"/>
    </row>
    <row r="2386">
      <c r="A2386" s="193"/>
      <c r="B2386" s="194"/>
      <c r="C2386" s="195"/>
      <c r="D2386" s="196"/>
      <c r="E2386" s="197"/>
      <c r="F2386" s="197"/>
      <c r="G2386" s="195"/>
      <c r="H2386" s="195"/>
      <c r="I2386" s="197"/>
      <c r="J2386" s="121"/>
      <c r="K2386" s="121"/>
      <c r="L2386" s="200"/>
      <c r="M2386" s="204"/>
      <c r="N2386" s="205"/>
      <c r="O2386" s="170"/>
      <c r="P2386" s="198"/>
      <c r="Q2386" s="199"/>
      <c r="R2386" s="200"/>
      <c r="S2386" s="170"/>
      <c r="T2386" s="170"/>
      <c r="U2386" s="201"/>
      <c r="V2386" s="198"/>
      <c r="W2386" s="170"/>
      <c r="X2386" s="202"/>
      <c r="Y2386" s="203"/>
      <c r="Z2386" s="170"/>
      <c r="AA2386" s="198"/>
      <c r="AB2386" s="170"/>
      <c r="AC2386" s="170"/>
      <c r="AD2386" s="121"/>
      <c r="AE2386" s="121"/>
      <c r="AF2386" s="121"/>
      <c r="AG2386" s="22"/>
      <c r="AH2386" s="22"/>
      <c r="AI2386" s="22"/>
      <c r="AJ2386" s="22"/>
      <c r="AK2386" s="22"/>
      <c r="AL2386" s="22"/>
      <c r="AM2386" s="22"/>
      <c r="AN2386" s="22"/>
      <c r="AO2386" s="22"/>
      <c r="AP2386" s="22"/>
    </row>
    <row r="2387">
      <c r="A2387" s="193"/>
      <c r="B2387" s="194"/>
      <c r="C2387" s="195"/>
      <c r="D2387" s="196"/>
      <c r="E2387" s="197"/>
      <c r="F2387" s="197"/>
      <c r="G2387" s="195"/>
      <c r="H2387" s="195"/>
      <c r="I2387" s="197"/>
      <c r="J2387" s="121"/>
      <c r="K2387" s="121"/>
      <c r="L2387" s="200"/>
      <c r="M2387" s="204"/>
      <c r="N2387" s="205"/>
      <c r="O2387" s="170"/>
      <c r="P2387" s="198"/>
      <c r="Q2387" s="199"/>
      <c r="R2387" s="200"/>
      <c r="S2387" s="170"/>
      <c r="T2387" s="170"/>
      <c r="U2387" s="201"/>
      <c r="V2387" s="198"/>
      <c r="W2387" s="170"/>
      <c r="X2387" s="202"/>
      <c r="Y2387" s="203"/>
      <c r="Z2387" s="170"/>
      <c r="AA2387" s="198"/>
      <c r="AB2387" s="170"/>
      <c r="AC2387" s="170"/>
      <c r="AD2387" s="121"/>
      <c r="AE2387" s="121"/>
      <c r="AF2387" s="121"/>
      <c r="AG2387" s="22"/>
      <c r="AH2387" s="22"/>
      <c r="AI2387" s="22"/>
      <c r="AJ2387" s="22"/>
      <c r="AK2387" s="22"/>
      <c r="AL2387" s="22"/>
      <c r="AM2387" s="22"/>
      <c r="AN2387" s="22"/>
      <c r="AO2387" s="22"/>
      <c r="AP2387" s="22"/>
    </row>
    <row r="2388">
      <c r="A2388" s="193"/>
      <c r="B2388" s="194"/>
      <c r="C2388" s="195"/>
      <c r="D2388" s="196"/>
      <c r="E2388" s="197"/>
      <c r="F2388" s="197"/>
      <c r="G2388" s="195"/>
      <c r="H2388" s="195"/>
      <c r="I2388" s="197"/>
      <c r="J2388" s="121"/>
      <c r="K2388" s="121"/>
      <c r="L2388" s="200"/>
      <c r="M2388" s="204"/>
      <c r="N2388" s="205"/>
      <c r="O2388" s="170"/>
      <c r="P2388" s="198"/>
      <c r="Q2388" s="199"/>
      <c r="R2388" s="200"/>
      <c r="S2388" s="170"/>
      <c r="T2388" s="170"/>
      <c r="U2388" s="201"/>
      <c r="V2388" s="198"/>
      <c r="W2388" s="170"/>
      <c r="X2388" s="202"/>
      <c r="Y2388" s="203"/>
      <c r="Z2388" s="170"/>
      <c r="AA2388" s="198"/>
      <c r="AB2388" s="170"/>
      <c r="AC2388" s="170"/>
      <c r="AD2388" s="121"/>
      <c r="AE2388" s="121"/>
      <c r="AF2388" s="121"/>
      <c r="AG2388" s="22"/>
      <c r="AH2388" s="22"/>
      <c r="AI2388" s="22"/>
      <c r="AJ2388" s="22"/>
      <c r="AK2388" s="22"/>
      <c r="AL2388" s="22"/>
      <c r="AM2388" s="22"/>
      <c r="AN2388" s="22"/>
      <c r="AO2388" s="22"/>
      <c r="AP2388" s="22"/>
    </row>
    <row r="2389">
      <c r="A2389" s="193"/>
      <c r="B2389" s="194"/>
      <c r="C2389" s="195"/>
      <c r="D2389" s="196"/>
      <c r="E2389" s="197"/>
      <c r="F2389" s="197"/>
      <c r="G2389" s="195"/>
      <c r="H2389" s="195"/>
      <c r="I2389" s="197"/>
      <c r="J2389" s="121"/>
      <c r="K2389" s="121"/>
      <c r="L2389" s="200"/>
      <c r="M2389" s="204"/>
      <c r="N2389" s="205"/>
      <c r="O2389" s="170"/>
      <c r="P2389" s="198"/>
      <c r="Q2389" s="199"/>
      <c r="R2389" s="200"/>
      <c r="S2389" s="170"/>
      <c r="T2389" s="170"/>
      <c r="U2389" s="201"/>
      <c r="V2389" s="198"/>
      <c r="W2389" s="170"/>
      <c r="X2389" s="202"/>
      <c r="Y2389" s="203"/>
      <c r="Z2389" s="170"/>
      <c r="AA2389" s="198"/>
      <c r="AB2389" s="170"/>
      <c r="AC2389" s="170"/>
      <c r="AD2389" s="121"/>
      <c r="AE2389" s="121"/>
      <c r="AF2389" s="121"/>
      <c r="AG2389" s="22"/>
      <c r="AH2389" s="22"/>
      <c r="AI2389" s="22"/>
      <c r="AJ2389" s="22"/>
      <c r="AK2389" s="22"/>
      <c r="AL2389" s="22"/>
      <c r="AM2389" s="22"/>
      <c r="AN2389" s="22"/>
      <c r="AO2389" s="22"/>
      <c r="AP2389" s="22"/>
    </row>
    <row r="2390">
      <c r="A2390" s="193"/>
      <c r="B2390" s="194"/>
      <c r="C2390" s="195"/>
      <c r="D2390" s="196"/>
      <c r="E2390" s="197"/>
      <c r="F2390" s="197"/>
      <c r="G2390" s="195"/>
      <c r="H2390" s="195"/>
      <c r="I2390" s="197"/>
      <c r="J2390" s="121"/>
      <c r="K2390" s="121"/>
      <c r="L2390" s="200"/>
      <c r="M2390" s="204"/>
      <c r="N2390" s="205"/>
      <c r="O2390" s="170"/>
      <c r="P2390" s="198"/>
      <c r="Q2390" s="199"/>
      <c r="R2390" s="200"/>
      <c r="S2390" s="170"/>
      <c r="T2390" s="170"/>
      <c r="U2390" s="201"/>
      <c r="V2390" s="198"/>
      <c r="W2390" s="170"/>
      <c r="X2390" s="202"/>
      <c r="Y2390" s="203"/>
      <c r="Z2390" s="170"/>
      <c r="AA2390" s="198"/>
      <c r="AB2390" s="170"/>
      <c r="AC2390" s="170"/>
      <c r="AD2390" s="121"/>
      <c r="AE2390" s="121"/>
      <c r="AF2390" s="121"/>
      <c r="AG2390" s="22"/>
      <c r="AH2390" s="22"/>
      <c r="AI2390" s="22"/>
      <c r="AJ2390" s="22"/>
      <c r="AK2390" s="22"/>
      <c r="AL2390" s="22"/>
      <c r="AM2390" s="22"/>
      <c r="AN2390" s="22"/>
      <c r="AO2390" s="22"/>
      <c r="AP2390" s="22"/>
    </row>
    <row r="2391">
      <c r="A2391" s="193"/>
      <c r="B2391" s="194"/>
      <c r="C2391" s="195"/>
      <c r="D2391" s="196"/>
      <c r="E2391" s="197"/>
      <c r="F2391" s="197"/>
      <c r="G2391" s="195"/>
      <c r="H2391" s="195"/>
      <c r="I2391" s="197"/>
      <c r="J2391" s="121"/>
      <c r="K2391" s="121"/>
      <c r="L2391" s="200"/>
      <c r="M2391" s="204"/>
      <c r="N2391" s="205"/>
      <c r="O2391" s="170"/>
      <c r="P2391" s="198"/>
      <c r="Q2391" s="199"/>
      <c r="R2391" s="200"/>
      <c r="S2391" s="170"/>
      <c r="T2391" s="170"/>
      <c r="U2391" s="201"/>
      <c r="V2391" s="198"/>
      <c r="W2391" s="170"/>
      <c r="X2391" s="202"/>
      <c r="Y2391" s="203"/>
      <c r="Z2391" s="170"/>
      <c r="AA2391" s="198"/>
      <c r="AB2391" s="170"/>
      <c r="AC2391" s="170"/>
      <c r="AD2391" s="121"/>
      <c r="AE2391" s="121"/>
      <c r="AF2391" s="121"/>
      <c r="AG2391" s="22"/>
      <c r="AH2391" s="22"/>
      <c r="AI2391" s="22"/>
      <c r="AJ2391" s="22"/>
      <c r="AK2391" s="22"/>
      <c r="AL2391" s="22"/>
      <c r="AM2391" s="22"/>
      <c r="AN2391" s="22"/>
      <c r="AO2391" s="22"/>
      <c r="AP2391" s="22"/>
    </row>
    <row r="2392">
      <c r="A2392" s="193"/>
      <c r="B2392" s="194"/>
      <c r="C2392" s="195"/>
      <c r="D2392" s="196"/>
      <c r="E2392" s="197"/>
      <c r="F2392" s="197"/>
      <c r="G2392" s="195"/>
      <c r="H2392" s="195"/>
      <c r="I2392" s="197"/>
      <c r="J2392" s="121"/>
      <c r="K2392" s="121"/>
      <c r="L2392" s="200"/>
      <c r="M2392" s="204"/>
      <c r="N2392" s="205"/>
      <c r="O2392" s="170"/>
      <c r="P2392" s="198"/>
      <c r="Q2392" s="199"/>
      <c r="R2392" s="200"/>
      <c r="S2392" s="170"/>
      <c r="T2392" s="170"/>
      <c r="U2392" s="201"/>
      <c r="V2392" s="198"/>
      <c r="W2392" s="170"/>
      <c r="X2392" s="202"/>
      <c r="Y2392" s="203"/>
      <c r="Z2392" s="170"/>
      <c r="AA2392" s="198"/>
      <c r="AB2392" s="170"/>
      <c r="AC2392" s="170"/>
      <c r="AD2392" s="121"/>
      <c r="AE2392" s="121"/>
      <c r="AF2392" s="121"/>
      <c r="AG2392" s="22"/>
      <c r="AH2392" s="22"/>
      <c r="AI2392" s="22"/>
      <c r="AJ2392" s="22"/>
      <c r="AK2392" s="22"/>
      <c r="AL2392" s="22"/>
      <c r="AM2392" s="22"/>
      <c r="AN2392" s="22"/>
      <c r="AO2392" s="22"/>
      <c r="AP2392" s="22"/>
    </row>
    <row r="2393">
      <c r="A2393" s="193"/>
      <c r="B2393" s="194"/>
      <c r="C2393" s="195"/>
      <c r="D2393" s="196"/>
      <c r="E2393" s="197"/>
      <c r="F2393" s="197"/>
      <c r="G2393" s="195"/>
      <c r="H2393" s="195"/>
      <c r="I2393" s="197"/>
      <c r="J2393" s="121"/>
      <c r="K2393" s="121"/>
      <c r="L2393" s="200"/>
      <c r="M2393" s="204"/>
      <c r="N2393" s="205"/>
      <c r="O2393" s="170"/>
      <c r="P2393" s="198"/>
      <c r="Q2393" s="199"/>
      <c r="R2393" s="200"/>
      <c r="S2393" s="170"/>
      <c r="T2393" s="170"/>
      <c r="U2393" s="201"/>
      <c r="V2393" s="198"/>
      <c r="W2393" s="170"/>
      <c r="X2393" s="202"/>
      <c r="Y2393" s="203"/>
      <c r="Z2393" s="170"/>
      <c r="AA2393" s="198"/>
      <c r="AB2393" s="170"/>
      <c r="AC2393" s="170"/>
      <c r="AD2393" s="121"/>
      <c r="AE2393" s="121"/>
      <c r="AF2393" s="121"/>
      <c r="AG2393" s="22"/>
      <c r="AH2393" s="22"/>
      <c r="AI2393" s="22"/>
      <c r="AJ2393" s="22"/>
      <c r="AK2393" s="22"/>
      <c r="AL2393" s="22"/>
      <c r="AM2393" s="22"/>
      <c r="AN2393" s="22"/>
      <c r="AO2393" s="22"/>
      <c r="AP2393" s="22"/>
    </row>
    <row r="2394">
      <c r="A2394" s="193"/>
      <c r="B2394" s="194"/>
      <c r="C2394" s="195"/>
      <c r="D2394" s="196"/>
      <c r="E2394" s="197"/>
      <c r="F2394" s="197"/>
      <c r="G2394" s="195"/>
      <c r="H2394" s="195"/>
      <c r="I2394" s="197"/>
      <c r="J2394" s="121"/>
      <c r="K2394" s="121"/>
      <c r="L2394" s="200"/>
      <c r="M2394" s="204"/>
      <c r="N2394" s="205"/>
      <c r="O2394" s="170"/>
      <c r="P2394" s="198"/>
      <c r="Q2394" s="199"/>
      <c r="R2394" s="200"/>
      <c r="S2394" s="170"/>
      <c r="T2394" s="170"/>
      <c r="U2394" s="201"/>
      <c r="V2394" s="198"/>
      <c r="W2394" s="170"/>
      <c r="X2394" s="202"/>
      <c r="Y2394" s="203"/>
      <c r="Z2394" s="170"/>
      <c r="AA2394" s="198"/>
      <c r="AB2394" s="170"/>
      <c r="AC2394" s="170"/>
      <c r="AD2394" s="121"/>
      <c r="AE2394" s="121"/>
      <c r="AF2394" s="121"/>
      <c r="AG2394" s="22"/>
      <c r="AH2394" s="22"/>
      <c r="AI2394" s="22"/>
      <c r="AJ2394" s="22"/>
      <c r="AK2394" s="22"/>
      <c r="AL2394" s="22"/>
      <c r="AM2394" s="22"/>
      <c r="AN2394" s="22"/>
      <c r="AO2394" s="22"/>
      <c r="AP2394" s="22"/>
    </row>
    <row r="2395">
      <c r="A2395" s="193"/>
      <c r="B2395" s="194"/>
      <c r="C2395" s="195"/>
      <c r="D2395" s="196"/>
      <c r="E2395" s="197"/>
      <c r="F2395" s="197"/>
      <c r="G2395" s="195"/>
      <c r="H2395" s="195"/>
      <c r="I2395" s="197"/>
      <c r="J2395" s="121"/>
      <c r="K2395" s="121"/>
      <c r="L2395" s="200"/>
      <c r="M2395" s="204"/>
      <c r="N2395" s="205"/>
      <c r="O2395" s="170"/>
      <c r="P2395" s="198"/>
      <c r="Q2395" s="199"/>
      <c r="R2395" s="200"/>
      <c r="S2395" s="170"/>
      <c r="T2395" s="170"/>
      <c r="U2395" s="201"/>
      <c r="V2395" s="198"/>
      <c r="W2395" s="170"/>
      <c r="X2395" s="202"/>
      <c r="Y2395" s="203"/>
      <c r="Z2395" s="170"/>
      <c r="AA2395" s="198"/>
      <c r="AB2395" s="170"/>
      <c r="AC2395" s="170"/>
      <c r="AD2395" s="121"/>
      <c r="AE2395" s="121"/>
      <c r="AF2395" s="121"/>
      <c r="AG2395" s="22"/>
      <c r="AH2395" s="22"/>
      <c r="AI2395" s="22"/>
      <c r="AJ2395" s="22"/>
      <c r="AK2395" s="22"/>
      <c r="AL2395" s="22"/>
      <c r="AM2395" s="22"/>
      <c r="AN2395" s="22"/>
      <c r="AO2395" s="22"/>
      <c r="AP2395" s="22"/>
    </row>
    <row r="2396">
      <c r="A2396" s="193"/>
      <c r="B2396" s="194"/>
      <c r="C2396" s="195"/>
      <c r="D2396" s="196"/>
      <c r="E2396" s="197"/>
      <c r="F2396" s="197"/>
      <c r="G2396" s="195"/>
      <c r="H2396" s="195"/>
      <c r="I2396" s="197"/>
      <c r="J2396" s="121"/>
      <c r="K2396" s="121"/>
      <c r="L2396" s="200"/>
      <c r="M2396" s="204"/>
      <c r="N2396" s="205"/>
      <c r="O2396" s="170"/>
      <c r="P2396" s="198"/>
      <c r="Q2396" s="199"/>
      <c r="R2396" s="200"/>
      <c r="S2396" s="170"/>
      <c r="T2396" s="170"/>
      <c r="U2396" s="201"/>
      <c r="V2396" s="198"/>
      <c r="W2396" s="170"/>
      <c r="X2396" s="202"/>
      <c r="Y2396" s="203"/>
      <c r="Z2396" s="170"/>
      <c r="AA2396" s="198"/>
      <c r="AB2396" s="170"/>
      <c r="AC2396" s="170"/>
      <c r="AD2396" s="121"/>
      <c r="AE2396" s="121"/>
      <c r="AF2396" s="121"/>
      <c r="AG2396" s="22"/>
      <c r="AH2396" s="22"/>
      <c r="AI2396" s="22"/>
      <c r="AJ2396" s="22"/>
      <c r="AK2396" s="22"/>
      <c r="AL2396" s="22"/>
      <c r="AM2396" s="22"/>
      <c r="AN2396" s="22"/>
      <c r="AO2396" s="22"/>
      <c r="AP2396" s="22"/>
    </row>
    <row r="2397">
      <c r="A2397" s="193"/>
      <c r="B2397" s="194"/>
      <c r="C2397" s="195"/>
      <c r="D2397" s="196"/>
      <c r="E2397" s="197"/>
      <c r="F2397" s="197"/>
      <c r="G2397" s="195"/>
      <c r="H2397" s="195"/>
      <c r="I2397" s="197"/>
      <c r="J2397" s="121"/>
      <c r="K2397" s="121"/>
      <c r="L2397" s="200"/>
      <c r="M2397" s="204"/>
      <c r="N2397" s="205"/>
      <c r="O2397" s="170"/>
      <c r="P2397" s="198"/>
      <c r="Q2397" s="199"/>
      <c r="R2397" s="200"/>
      <c r="S2397" s="170"/>
      <c r="T2397" s="170"/>
      <c r="U2397" s="201"/>
      <c r="V2397" s="198"/>
      <c r="W2397" s="170"/>
      <c r="X2397" s="202"/>
      <c r="Y2397" s="203"/>
      <c r="Z2397" s="170"/>
      <c r="AA2397" s="198"/>
      <c r="AB2397" s="170"/>
      <c r="AC2397" s="170"/>
      <c r="AD2397" s="121"/>
      <c r="AE2397" s="121"/>
      <c r="AF2397" s="121"/>
      <c r="AG2397" s="22"/>
      <c r="AH2397" s="22"/>
      <c r="AI2397" s="22"/>
      <c r="AJ2397" s="22"/>
      <c r="AK2397" s="22"/>
      <c r="AL2397" s="22"/>
      <c r="AM2397" s="22"/>
      <c r="AN2397" s="22"/>
      <c r="AO2397" s="22"/>
      <c r="AP2397" s="22"/>
    </row>
    <row r="2398">
      <c r="A2398" s="193"/>
      <c r="B2398" s="194"/>
      <c r="C2398" s="195"/>
      <c r="D2398" s="196"/>
      <c r="E2398" s="197"/>
      <c r="F2398" s="197"/>
      <c r="G2398" s="195"/>
      <c r="H2398" s="195"/>
      <c r="I2398" s="197"/>
      <c r="J2398" s="121"/>
      <c r="K2398" s="121"/>
      <c r="L2398" s="200"/>
      <c r="M2398" s="204"/>
      <c r="N2398" s="205"/>
      <c r="O2398" s="170"/>
      <c r="P2398" s="198"/>
      <c r="Q2398" s="199"/>
      <c r="R2398" s="200"/>
      <c r="S2398" s="170"/>
      <c r="T2398" s="170"/>
      <c r="U2398" s="201"/>
      <c r="V2398" s="198"/>
      <c r="W2398" s="170"/>
      <c r="X2398" s="202"/>
      <c r="Y2398" s="203"/>
      <c r="Z2398" s="170"/>
      <c r="AA2398" s="198"/>
      <c r="AB2398" s="170"/>
      <c r="AC2398" s="170"/>
      <c r="AD2398" s="121"/>
      <c r="AE2398" s="121"/>
      <c r="AF2398" s="121"/>
      <c r="AG2398" s="22"/>
      <c r="AH2398" s="22"/>
      <c r="AI2398" s="22"/>
      <c r="AJ2398" s="22"/>
      <c r="AK2398" s="22"/>
      <c r="AL2398" s="22"/>
      <c r="AM2398" s="22"/>
      <c r="AN2398" s="22"/>
      <c r="AO2398" s="22"/>
      <c r="AP2398" s="22"/>
    </row>
    <row r="2399">
      <c r="A2399" s="193"/>
      <c r="B2399" s="194"/>
      <c r="C2399" s="195"/>
      <c r="D2399" s="196"/>
      <c r="E2399" s="197"/>
      <c r="F2399" s="197"/>
      <c r="G2399" s="195"/>
      <c r="H2399" s="195"/>
      <c r="I2399" s="197"/>
      <c r="J2399" s="121"/>
      <c r="K2399" s="121"/>
      <c r="L2399" s="200"/>
      <c r="M2399" s="204"/>
      <c r="N2399" s="205"/>
      <c r="O2399" s="170"/>
      <c r="P2399" s="198"/>
      <c r="Q2399" s="199"/>
      <c r="R2399" s="200"/>
      <c r="S2399" s="170"/>
      <c r="T2399" s="170"/>
      <c r="U2399" s="201"/>
      <c r="V2399" s="198"/>
      <c r="W2399" s="170"/>
      <c r="X2399" s="202"/>
      <c r="Y2399" s="203"/>
      <c r="Z2399" s="170"/>
      <c r="AA2399" s="198"/>
      <c r="AB2399" s="170"/>
      <c r="AC2399" s="170"/>
      <c r="AD2399" s="121"/>
      <c r="AE2399" s="121"/>
      <c r="AF2399" s="121"/>
      <c r="AG2399" s="22"/>
      <c r="AH2399" s="22"/>
      <c r="AI2399" s="22"/>
      <c r="AJ2399" s="22"/>
      <c r="AK2399" s="22"/>
      <c r="AL2399" s="22"/>
      <c r="AM2399" s="22"/>
      <c r="AN2399" s="22"/>
      <c r="AO2399" s="22"/>
      <c r="AP2399" s="22"/>
    </row>
    <row r="2400">
      <c r="A2400" s="193"/>
      <c r="B2400" s="194"/>
      <c r="C2400" s="195"/>
      <c r="D2400" s="196"/>
      <c r="E2400" s="197"/>
      <c r="F2400" s="197"/>
      <c r="G2400" s="195"/>
      <c r="H2400" s="195"/>
      <c r="I2400" s="197"/>
      <c r="J2400" s="121"/>
      <c r="K2400" s="121"/>
      <c r="L2400" s="200"/>
      <c r="M2400" s="204"/>
      <c r="N2400" s="205"/>
      <c r="O2400" s="170"/>
      <c r="P2400" s="198"/>
      <c r="Q2400" s="199"/>
      <c r="R2400" s="200"/>
      <c r="S2400" s="170"/>
      <c r="T2400" s="170"/>
      <c r="U2400" s="201"/>
      <c r="V2400" s="198"/>
      <c r="W2400" s="170"/>
      <c r="X2400" s="202"/>
      <c r="Y2400" s="203"/>
      <c r="Z2400" s="170"/>
      <c r="AA2400" s="198"/>
      <c r="AB2400" s="170"/>
      <c r="AC2400" s="170"/>
      <c r="AD2400" s="121"/>
      <c r="AE2400" s="121"/>
      <c r="AF2400" s="121"/>
      <c r="AG2400" s="22"/>
      <c r="AH2400" s="22"/>
      <c r="AI2400" s="22"/>
      <c r="AJ2400" s="22"/>
      <c r="AK2400" s="22"/>
      <c r="AL2400" s="22"/>
      <c r="AM2400" s="22"/>
      <c r="AN2400" s="22"/>
      <c r="AO2400" s="22"/>
      <c r="AP2400" s="22"/>
    </row>
    <row r="2401">
      <c r="A2401" s="193"/>
      <c r="B2401" s="194"/>
      <c r="C2401" s="195"/>
      <c r="D2401" s="196"/>
      <c r="E2401" s="197"/>
      <c r="F2401" s="197"/>
      <c r="G2401" s="195"/>
      <c r="H2401" s="195"/>
      <c r="I2401" s="197"/>
      <c r="J2401" s="121"/>
      <c r="K2401" s="121"/>
      <c r="L2401" s="200"/>
      <c r="M2401" s="204"/>
      <c r="N2401" s="205"/>
      <c r="O2401" s="170"/>
      <c r="P2401" s="198"/>
      <c r="Q2401" s="199"/>
      <c r="R2401" s="200"/>
      <c r="S2401" s="170"/>
      <c r="T2401" s="170"/>
      <c r="U2401" s="201"/>
      <c r="V2401" s="198"/>
      <c r="W2401" s="170"/>
      <c r="X2401" s="202"/>
      <c r="Y2401" s="203"/>
      <c r="Z2401" s="170"/>
      <c r="AA2401" s="198"/>
      <c r="AB2401" s="170"/>
      <c r="AC2401" s="170"/>
      <c r="AD2401" s="121"/>
      <c r="AE2401" s="121"/>
      <c r="AF2401" s="121"/>
      <c r="AG2401" s="22"/>
      <c r="AH2401" s="22"/>
      <c r="AI2401" s="22"/>
      <c r="AJ2401" s="22"/>
      <c r="AK2401" s="22"/>
      <c r="AL2401" s="22"/>
      <c r="AM2401" s="22"/>
      <c r="AN2401" s="22"/>
      <c r="AO2401" s="22"/>
      <c r="AP2401" s="22"/>
    </row>
    <row r="2402">
      <c r="A2402" s="193"/>
      <c r="B2402" s="194"/>
      <c r="C2402" s="195"/>
      <c r="D2402" s="196"/>
      <c r="E2402" s="197"/>
      <c r="F2402" s="197"/>
      <c r="G2402" s="195"/>
      <c r="H2402" s="195"/>
      <c r="I2402" s="197"/>
      <c r="J2402" s="121"/>
      <c r="K2402" s="121"/>
      <c r="L2402" s="200"/>
      <c r="M2402" s="204"/>
      <c r="N2402" s="205"/>
      <c r="O2402" s="170"/>
      <c r="P2402" s="198"/>
      <c r="Q2402" s="199"/>
      <c r="R2402" s="200"/>
      <c r="S2402" s="170"/>
      <c r="T2402" s="170"/>
      <c r="U2402" s="201"/>
      <c r="V2402" s="198"/>
      <c r="W2402" s="170"/>
      <c r="X2402" s="202"/>
      <c r="Y2402" s="203"/>
      <c r="Z2402" s="170"/>
      <c r="AA2402" s="198"/>
      <c r="AB2402" s="170"/>
      <c r="AC2402" s="170"/>
      <c r="AD2402" s="121"/>
      <c r="AE2402" s="121"/>
      <c r="AF2402" s="121"/>
      <c r="AG2402" s="22"/>
      <c r="AH2402" s="22"/>
      <c r="AI2402" s="22"/>
      <c r="AJ2402" s="22"/>
      <c r="AK2402" s="22"/>
      <c r="AL2402" s="22"/>
      <c r="AM2402" s="22"/>
      <c r="AN2402" s="22"/>
      <c r="AO2402" s="22"/>
      <c r="AP2402" s="22"/>
    </row>
    <row r="2403">
      <c r="A2403" s="193"/>
      <c r="B2403" s="194"/>
      <c r="C2403" s="195"/>
      <c r="D2403" s="196"/>
      <c r="E2403" s="197"/>
      <c r="F2403" s="197"/>
      <c r="G2403" s="195"/>
      <c r="H2403" s="195"/>
      <c r="I2403" s="197"/>
      <c r="J2403" s="121"/>
      <c r="K2403" s="121"/>
      <c r="L2403" s="200"/>
      <c r="M2403" s="204"/>
      <c r="N2403" s="205"/>
      <c r="O2403" s="170"/>
      <c r="P2403" s="198"/>
      <c r="Q2403" s="199"/>
      <c r="R2403" s="200"/>
      <c r="S2403" s="170"/>
      <c r="T2403" s="170"/>
      <c r="U2403" s="201"/>
      <c r="V2403" s="198"/>
      <c r="W2403" s="170"/>
      <c r="X2403" s="202"/>
      <c r="Y2403" s="203"/>
      <c r="Z2403" s="170"/>
      <c r="AA2403" s="198"/>
      <c r="AB2403" s="170"/>
      <c r="AC2403" s="170"/>
      <c r="AD2403" s="121"/>
      <c r="AE2403" s="121"/>
      <c r="AF2403" s="121"/>
      <c r="AG2403" s="22"/>
      <c r="AH2403" s="22"/>
      <c r="AI2403" s="22"/>
      <c r="AJ2403" s="22"/>
      <c r="AK2403" s="22"/>
      <c r="AL2403" s="22"/>
      <c r="AM2403" s="22"/>
      <c r="AN2403" s="22"/>
      <c r="AO2403" s="22"/>
      <c r="AP2403" s="22"/>
    </row>
    <row r="2404">
      <c r="A2404" s="193"/>
      <c r="B2404" s="194"/>
      <c r="C2404" s="195"/>
      <c r="D2404" s="196"/>
      <c r="E2404" s="197"/>
      <c r="F2404" s="197"/>
      <c r="G2404" s="195"/>
      <c r="H2404" s="195"/>
      <c r="I2404" s="197"/>
      <c r="J2404" s="121"/>
      <c r="K2404" s="121"/>
      <c r="L2404" s="200"/>
      <c r="M2404" s="204"/>
      <c r="N2404" s="205"/>
      <c r="O2404" s="170"/>
      <c r="P2404" s="198"/>
      <c r="Q2404" s="199"/>
      <c r="R2404" s="200"/>
      <c r="S2404" s="170"/>
      <c r="T2404" s="170"/>
      <c r="U2404" s="201"/>
      <c r="V2404" s="198"/>
      <c r="W2404" s="170"/>
      <c r="X2404" s="202"/>
      <c r="Y2404" s="203"/>
      <c r="Z2404" s="170"/>
      <c r="AA2404" s="198"/>
      <c r="AB2404" s="170"/>
      <c r="AC2404" s="170"/>
      <c r="AD2404" s="121"/>
      <c r="AE2404" s="121"/>
      <c r="AF2404" s="121"/>
      <c r="AG2404" s="22"/>
      <c r="AH2404" s="22"/>
      <c r="AI2404" s="22"/>
      <c r="AJ2404" s="22"/>
      <c r="AK2404" s="22"/>
      <c r="AL2404" s="22"/>
      <c r="AM2404" s="22"/>
      <c r="AN2404" s="22"/>
      <c r="AO2404" s="22"/>
      <c r="AP2404" s="22"/>
    </row>
    <row r="2405">
      <c r="A2405" s="193"/>
      <c r="B2405" s="194"/>
      <c r="C2405" s="195"/>
      <c r="D2405" s="196"/>
      <c r="E2405" s="197"/>
      <c r="F2405" s="197"/>
      <c r="G2405" s="195"/>
      <c r="H2405" s="195"/>
      <c r="I2405" s="197"/>
      <c r="J2405" s="121"/>
      <c r="K2405" s="121"/>
      <c r="L2405" s="200"/>
      <c r="M2405" s="204"/>
      <c r="N2405" s="205"/>
      <c r="O2405" s="170"/>
      <c r="P2405" s="198"/>
      <c r="Q2405" s="199"/>
      <c r="R2405" s="200"/>
      <c r="S2405" s="170"/>
      <c r="T2405" s="170"/>
      <c r="U2405" s="201"/>
      <c r="V2405" s="198"/>
      <c r="W2405" s="170"/>
      <c r="X2405" s="202"/>
      <c r="Y2405" s="203"/>
      <c r="Z2405" s="170"/>
      <c r="AA2405" s="198"/>
      <c r="AB2405" s="170"/>
      <c r="AC2405" s="170"/>
      <c r="AD2405" s="121"/>
      <c r="AE2405" s="121"/>
      <c r="AF2405" s="121"/>
      <c r="AG2405" s="22"/>
      <c r="AH2405" s="22"/>
      <c r="AI2405" s="22"/>
      <c r="AJ2405" s="22"/>
      <c r="AK2405" s="22"/>
      <c r="AL2405" s="22"/>
      <c r="AM2405" s="22"/>
      <c r="AN2405" s="22"/>
      <c r="AO2405" s="22"/>
      <c r="AP2405" s="22"/>
    </row>
    <row r="2406">
      <c r="A2406" s="193"/>
      <c r="B2406" s="194"/>
      <c r="C2406" s="195"/>
      <c r="D2406" s="196"/>
      <c r="E2406" s="197"/>
      <c r="F2406" s="197"/>
      <c r="G2406" s="195"/>
      <c r="H2406" s="195"/>
      <c r="I2406" s="197"/>
      <c r="J2406" s="121"/>
      <c r="K2406" s="121"/>
      <c r="L2406" s="200"/>
      <c r="M2406" s="204"/>
      <c r="N2406" s="205"/>
      <c r="O2406" s="170"/>
      <c r="P2406" s="198"/>
      <c r="Q2406" s="199"/>
      <c r="R2406" s="200"/>
      <c r="S2406" s="170"/>
      <c r="T2406" s="170"/>
      <c r="U2406" s="201"/>
      <c r="V2406" s="198"/>
      <c r="W2406" s="170"/>
      <c r="X2406" s="202"/>
      <c r="Y2406" s="203"/>
      <c r="Z2406" s="170"/>
      <c r="AA2406" s="198"/>
      <c r="AB2406" s="170"/>
      <c r="AC2406" s="170"/>
      <c r="AD2406" s="121"/>
      <c r="AE2406" s="121"/>
      <c r="AF2406" s="121"/>
      <c r="AG2406" s="22"/>
      <c r="AH2406" s="22"/>
      <c r="AI2406" s="22"/>
      <c r="AJ2406" s="22"/>
      <c r="AK2406" s="22"/>
      <c r="AL2406" s="22"/>
      <c r="AM2406" s="22"/>
      <c r="AN2406" s="22"/>
      <c r="AO2406" s="22"/>
      <c r="AP2406" s="22"/>
    </row>
    <row r="2407">
      <c r="A2407" s="193"/>
      <c r="B2407" s="194"/>
      <c r="C2407" s="195"/>
      <c r="D2407" s="196"/>
      <c r="E2407" s="197"/>
      <c r="F2407" s="197"/>
      <c r="G2407" s="195"/>
      <c r="H2407" s="195"/>
      <c r="I2407" s="197"/>
      <c r="J2407" s="121"/>
      <c r="K2407" s="121"/>
      <c r="L2407" s="200"/>
      <c r="M2407" s="204"/>
      <c r="N2407" s="205"/>
      <c r="O2407" s="170"/>
      <c r="P2407" s="198"/>
      <c r="Q2407" s="199"/>
      <c r="R2407" s="200"/>
      <c r="S2407" s="170"/>
      <c r="T2407" s="170"/>
      <c r="U2407" s="201"/>
      <c r="V2407" s="198"/>
      <c r="W2407" s="170"/>
      <c r="X2407" s="202"/>
      <c r="Y2407" s="203"/>
      <c r="Z2407" s="170"/>
      <c r="AA2407" s="198"/>
      <c r="AB2407" s="170"/>
      <c r="AC2407" s="170"/>
      <c r="AD2407" s="121"/>
      <c r="AE2407" s="121"/>
      <c r="AF2407" s="121"/>
      <c r="AG2407" s="22"/>
      <c r="AH2407" s="22"/>
      <c r="AI2407" s="22"/>
      <c r="AJ2407" s="22"/>
      <c r="AK2407" s="22"/>
      <c r="AL2407" s="22"/>
      <c r="AM2407" s="22"/>
      <c r="AN2407" s="22"/>
      <c r="AO2407" s="22"/>
      <c r="AP2407" s="22"/>
    </row>
    <row r="2408">
      <c r="A2408" s="193"/>
      <c r="B2408" s="194"/>
      <c r="C2408" s="195"/>
      <c r="D2408" s="196"/>
      <c r="E2408" s="197"/>
      <c r="F2408" s="197"/>
      <c r="G2408" s="195"/>
      <c r="H2408" s="195"/>
      <c r="I2408" s="197"/>
      <c r="J2408" s="121"/>
      <c r="K2408" s="121"/>
      <c r="L2408" s="200"/>
      <c r="M2408" s="204"/>
      <c r="N2408" s="205"/>
      <c r="O2408" s="170"/>
      <c r="P2408" s="198"/>
      <c r="Q2408" s="199"/>
      <c r="R2408" s="200"/>
      <c r="S2408" s="170"/>
      <c r="T2408" s="170"/>
      <c r="U2408" s="201"/>
      <c r="V2408" s="198"/>
      <c r="W2408" s="170"/>
      <c r="X2408" s="202"/>
      <c r="Y2408" s="203"/>
      <c r="Z2408" s="170"/>
      <c r="AA2408" s="198"/>
      <c r="AB2408" s="170"/>
      <c r="AC2408" s="170"/>
      <c r="AD2408" s="121"/>
      <c r="AE2408" s="121"/>
      <c r="AF2408" s="121"/>
      <c r="AG2408" s="22"/>
      <c r="AH2408" s="22"/>
      <c r="AI2408" s="22"/>
      <c r="AJ2408" s="22"/>
      <c r="AK2408" s="22"/>
      <c r="AL2408" s="22"/>
      <c r="AM2408" s="22"/>
      <c r="AN2408" s="22"/>
      <c r="AO2408" s="22"/>
      <c r="AP2408" s="22"/>
    </row>
    <row r="2409">
      <c r="A2409" s="193"/>
      <c r="B2409" s="194"/>
      <c r="C2409" s="195"/>
      <c r="D2409" s="196"/>
      <c r="E2409" s="197"/>
      <c r="F2409" s="197"/>
      <c r="G2409" s="195"/>
      <c r="H2409" s="195"/>
      <c r="I2409" s="197"/>
      <c r="J2409" s="121"/>
      <c r="K2409" s="121"/>
      <c r="L2409" s="200"/>
      <c r="M2409" s="204"/>
      <c r="N2409" s="205"/>
      <c r="O2409" s="170"/>
      <c r="P2409" s="198"/>
      <c r="Q2409" s="199"/>
      <c r="R2409" s="200"/>
      <c r="S2409" s="170"/>
      <c r="T2409" s="170"/>
      <c r="U2409" s="201"/>
      <c r="V2409" s="198"/>
      <c r="W2409" s="170"/>
      <c r="X2409" s="202"/>
      <c r="Y2409" s="203"/>
      <c r="Z2409" s="170"/>
      <c r="AA2409" s="198"/>
      <c r="AB2409" s="170"/>
      <c r="AC2409" s="170"/>
      <c r="AD2409" s="121"/>
      <c r="AE2409" s="121"/>
      <c r="AF2409" s="121"/>
      <c r="AG2409" s="22"/>
      <c r="AH2409" s="22"/>
      <c r="AI2409" s="22"/>
      <c r="AJ2409" s="22"/>
      <c r="AK2409" s="22"/>
      <c r="AL2409" s="22"/>
      <c r="AM2409" s="22"/>
      <c r="AN2409" s="22"/>
      <c r="AO2409" s="22"/>
      <c r="AP2409" s="22"/>
    </row>
    <row r="2410">
      <c r="A2410" s="193"/>
      <c r="B2410" s="194"/>
      <c r="C2410" s="195"/>
      <c r="D2410" s="196"/>
      <c r="E2410" s="197"/>
      <c r="F2410" s="197"/>
      <c r="G2410" s="195"/>
      <c r="H2410" s="195"/>
      <c r="I2410" s="197"/>
      <c r="J2410" s="121"/>
      <c r="K2410" s="121"/>
      <c r="L2410" s="200"/>
      <c r="M2410" s="204"/>
      <c r="N2410" s="205"/>
      <c r="O2410" s="170"/>
      <c r="P2410" s="198"/>
      <c r="Q2410" s="199"/>
      <c r="R2410" s="200"/>
      <c r="S2410" s="170"/>
      <c r="T2410" s="170"/>
      <c r="U2410" s="201"/>
      <c r="V2410" s="198"/>
      <c r="W2410" s="170"/>
      <c r="X2410" s="202"/>
      <c r="Y2410" s="203"/>
      <c r="Z2410" s="170"/>
      <c r="AA2410" s="198"/>
      <c r="AB2410" s="170"/>
      <c r="AC2410" s="170"/>
      <c r="AD2410" s="121"/>
      <c r="AE2410" s="121"/>
      <c r="AF2410" s="121"/>
      <c r="AG2410" s="22"/>
      <c r="AH2410" s="22"/>
      <c r="AI2410" s="22"/>
      <c r="AJ2410" s="22"/>
      <c r="AK2410" s="22"/>
      <c r="AL2410" s="22"/>
      <c r="AM2410" s="22"/>
      <c r="AN2410" s="22"/>
      <c r="AO2410" s="22"/>
      <c r="AP2410" s="22"/>
    </row>
    <row r="2411">
      <c r="A2411" s="193"/>
      <c r="B2411" s="194"/>
      <c r="C2411" s="195"/>
      <c r="D2411" s="196"/>
      <c r="E2411" s="197"/>
      <c r="F2411" s="197"/>
      <c r="G2411" s="195"/>
      <c r="H2411" s="195"/>
      <c r="I2411" s="197"/>
      <c r="J2411" s="121"/>
      <c r="K2411" s="121"/>
      <c r="L2411" s="200"/>
      <c r="M2411" s="204"/>
      <c r="N2411" s="205"/>
      <c r="O2411" s="170"/>
      <c r="P2411" s="198"/>
      <c r="Q2411" s="199"/>
      <c r="R2411" s="200"/>
      <c r="S2411" s="170"/>
      <c r="T2411" s="170"/>
      <c r="U2411" s="201"/>
      <c r="V2411" s="198"/>
      <c r="W2411" s="170"/>
      <c r="X2411" s="202"/>
      <c r="Y2411" s="203"/>
      <c r="Z2411" s="170"/>
      <c r="AA2411" s="198"/>
      <c r="AB2411" s="170"/>
      <c r="AC2411" s="170"/>
      <c r="AD2411" s="121"/>
      <c r="AE2411" s="121"/>
      <c r="AF2411" s="121"/>
      <c r="AG2411" s="22"/>
      <c r="AH2411" s="22"/>
      <c r="AI2411" s="22"/>
      <c r="AJ2411" s="22"/>
      <c r="AK2411" s="22"/>
      <c r="AL2411" s="22"/>
      <c r="AM2411" s="22"/>
      <c r="AN2411" s="22"/>
      <c r="AO2411" s="22"/>
      <c r="AP2411" s="22"/>
    </row>
    <row r="2412">
      <c r="A2412" s="193"/>
      <c r="B2412" s="194"/>
      <c r="C2412" s="195"/>
      <c r="D2412" s="196"/>
      <c r="E2412" s="197"/>
      <c r="F2412" s="197"/>
      <c r="G2412" s="195"/>
      <c r="H2412" s="195"/>
      <c r="I2412" s="197"/>
      <c r="J2412" s="121"/>
      <c r="K2412" s="121"/>
      <c r="L2412" s="200"/>
      <c r="M2412" s="204"/>
      <c r="N2412" s="205"/>
      <c r="O2412" s="170"/>
      <c r="P2412" s="198"/>
      <c r="Q2412" s="199"/>
      <c r="R2412" s="200"/>
      <c r="S2412" s="170"/>
      <c r="T2412" s="170"/>
      <c r="U2412" s="201"/>
      <c r="V2412" s="198"/>
      <c r="W2412" s="170"/>
      <c r="X2412" s="202"/>
      <c r="Y2412" s="203"/>
      <c r="Z2412" s="170"/>
      <c r="AA2412" s="198"/>
      <c r="AB2412" s="170"/>
      <c r="AC2412" s="170"/>
      <c r="AD2412" s="121"/>
      <c r="AE2412" s="121"/>
      <c r="AF2412" s="121"/>
      <c r="AG2412" s="22"/>
      <c r="AH2412" s="22"/>
      <c r="AI2412" s="22"/>
      <c r="AJ2412" s="22"/>
      <c r="AK2412" s="22"/>
      <c r="AL2412" s="22"/>
      <c r="AM2412" s="22"/>
      <c r="AN2412" s="22"/>
      <c r="AO2412" s="22"/>
      <c r="AP2412" s="22"/>
    </row>
    <row r="2413">
      <c r="A2413" s="193"/>
      <c r="B2413" s="194"/>
      <c r="C2413" s="195"/>
      <c r="D2413" s="196"/>
      <c r="E2413" s="197"/>
      <c r="F2413" s="197"/>
      <c r="G2413" s="195"/>
      <c r="H2413" s="195"/>
      <c r="I2413" s="197"/>
      <c r="J2413" s="121"/>
      <c r="K2413" s="121"/>
      <c r="L2413" s="200"/>
      <c r="M2413" s="204"/>
      <c r="N2413" s="205"/>
      <c r="O2413" s="170"/>
      <c r="P2413" s="198"/>
      <c r="Q2413" s="199"/>
      <c r="R2413" s="200"/>
      <c r="S2413" s="170"/>
      <c r="T2413" s="170"/>
      <c r="U2413" s="201"/>
      <c r="V2413" s="198"/>
      <c r="W2413" s="170"/>
      <c r="X2413" s="202"/>
      <c r="Y2413" s="203"/>
      <c r="Z2413" s="170"/>
      <c r="AA2413" s="198"/>
      <c r="AB2413" s="170"/>
      <c r="AC2413" s="170"/>
      <c r="AD2413" s="121"/>
      <c r="AE2413" s="121"/>
      <c r="AF2413" s="121"/>
      <c r="AG2413" s="22"/>
      <c r="AH2413" s="22"/>
      <c r="AI2413" s="22"/>
      <c r="AJ2413" s="22"/>
      <c r="AK2413" s="22"/>
      <c r="AL2413" s="22"/>
      <c r="AM2413" s="22"/>
      <c r="AN2413" s="22"/>
      <c r="AO2413" s="22"/>
      <c r="AP2413" s="22"/>
    </row>
    <row r="2414">
      <c r="A2414" s="193"/>
      <c r="B2414" s="194"/>
      <c r="C2414" s="195"/>
      <c r="D2414" s="196"/>
      <c r="E2414" s="197"/>
      <c r="F2414" s="197"/>
      <c r="G2414" s="195"/>
      <c r="H2414" s="195"/>
      <c r="I2414" s="197"/>
      <c r="J2414" s="121"/>
      <c r="K2414" s="121"/>
      <c r="L2414" s="200"/>
      <c r="M2414" s="204"/>
      <c r="N2414" s="205"/>
      <c r="O2414" s="170"/>
      <c r="P2414" s="198"/>
      <c r="Q2414" s="199"/>
      <c r="R2414" s="200"/>
      <c r="S2414" s="170"/>
      <c r="T2414" s="170"/>
      <c r="U2414" s="201"/>
      <c r="V2414" s="198"/>
      <c r="W2414" s="170"/>
      <c r="X2414" s="202"/>
      <c r="Y2414" s="203"/>
      <c r="Z2414" s="170"/>
      <c r="AA2414" s="198"/>
      <c r="AB2414" s="170"/>
      <c r="AC2414" s="170"/>
      <c r="AD2414" s="121"/>
      <c r="AE2414" s="121"/>
      <c r="AF2414" s="121"/>
      <c r="AG2414" s="22"/>
      <c r="AH2414" s="22"/>
      <c r="AI2414" s="22"/>
      <c r="AJ2414" s="22"/>
      <c r="AK2414" s="22"/>
      <c r="AL2414" s="22"/>
      <c r="AM2414" s="22"/>
      <c r="AN2414" s="22"/>
      <c r="AO2414" s="22"/>
      <c r="AP2414" s="22"/>
    </row>
    <row r="2415">
      <c r="A2415" s="193"/>
      <c r="B2415" s="194"/>
      <c r="C2415" s="195"/>
      <c r="D2415" s="196"/>
      <c r="E2415" s="197"/>
      <c r="F2415" s="197"/>
      <c r="G2415" s="195"/>
      <c r="H2415" s="195"/>
      <c r="I2415" s="197"/>
      <c r="J2415" s="121"/>
      <c r="K2415" s="121"/>
      <c r="L2415" s="200"/>
      <c r="M2415" s="204"/>
      <c r="N2415" s="205"/>
      <c r="O2415" s="170"/>
      <c r="P2415" s="198"/>
      <c r="Q2415" s="199"/>
      <c r="R2415" s="200"/>
      <c r="S2415" s="170"/>
      <c r="T2415" s="170"/>
      <c r="U2415" s="201"/>
      <c r="V2415" s="198"/>
      <c r="W2415" s="170"/>
      <c r="X2415" s="202"/>
      <c r="Y2415" s="203"/>
      <c r="Z2415" s="170"/>
      <c r="AA2415" s="198"/>
      <c r="AB2415" s="170"/>
      <c r="AC2415" s="170"/>
      <c r="AD2415" s="121"/>
      <c r="AE2415" s="121"/>
      <c r="AF2415" s="121"/>
      <c r="AG2415" s="22"/>
      <c r="AH2415" s="22"/>
      <c r="AI2415" s="22"/>
      <c r="AJ2415" s="22"/>
      <c r="AK2415" s="22"/>
      <c r="AL2415" s="22"/>
      <c r="AM2415" s="22"/>
      <c r="AN2415" s="22"/>
      <c r="AO2415" s="22"/>
      <c r="AP2415" s="22"/>
    </row>
    <row r="2416">
      <c r="A2416" s="193"/>
      <c r="B2416" s="194"/>
      <c r="C2416" s="195"/>
      <c r="D2416" s="196"/>
      <c r="E2416" s="197"/>
      <c r="F2416" s="197"/>
      <c r="G2416" s="195"/>
      <c r="H2416" s="195"/>
      <c r="I2416" s="197"/>
      <c r="J2416" s="121"/>
      <c r="K2416" s="121"/>
      <c r="L2416" s="200"/>
      <c r="M2416" s="204"/>
      <c r="N2416" s="205"/>
      <c r="O2416" s="170"/>
      <c r="P2416" s="198"/>
      <c r="Q2416" s="199"/>
      <c r="R2416" s="200"/>
      <c r="S2416" s="170"/>
      <c r="T2416" s="170"/>
      <c r="U2416" s="201"/>
      <c r="V2416" s="198"/>
      <c r="W2416" s="170"/>
      <c r="X2416" s="202"/>
      <c r="Y2416" s="203"/>
      <c r="Z2416" s="170"/>
      <c r="AA2416" s="198"/>
      <c r="AB2416" s="170"/>
      <c r="AC2416" s="170"/>
      <c r="AD2416" s="121"/>
      <c r="AE2416" s="121"/>
      <c r="AF2416" s="121"/>
      <c r="AG2416" s="22"/>
      <c r="AH2416" s="22"/>
      <c r="AI2416" s="22"/>
      <c r="AJ2416" s="22"/>
      <c r="AK2416" s="22"/>
      <c r="AL2416" s="22"/>
      <c r="AM2416" s="22"/>
      <c r="AN2416" s="22"/>
      <c r="AO2416" s="22"/>
      <c r="AP2416" s="22"/>
    </row>
    <row r="2417">
      <c r="A2417" s="193"/>
      <c r="B2417" s="194"/>
      <c r="C2417" s="195"/>
      <c r="D2417" s="196"/>
      <c r="E2417" s="197"/>
      <c r="F2417" s="197"/>
      <c r="G2417" s="195"/>
      <c r="H2417" s="195"/>
      <c r="I2417" s="197"/>
      <c r="J2417" s="121"/>
      <c r="K2417" s="121"/>
      <c r="L2417" s="200"/>
      <c r="M2417" s="204"/>
      <c r="N2417" s="205"/>
      <c r="O2417" s="170"/>
      <c r="P2417" s="198"/>
      <c r="Q2417" s="199"/>
      <c r="R2417" s="200"/>
      <c r="S2417" s="170"/>
      <c r="T2417" s="170"/>
      <c r="U2417" s="201"/>
      <c r="V2417" s="198"/>
      <c r="W2417" s="170"/>
      <c r="X2417" s="202"/>
      <c r="Y2417" s="203"/>
      <c r="Z2417" s="170"/>
      <c r="AA2417" s="198"/>
      <c r="AB2417" s="170"/>
      <c r="AC2417" s="170"/>
      <c r="AD2417" s="121"/>
      <c r="AE2417" s="121"/>
      <c r="AF2417" s="121"/>
      <c r="AG2417" s="22"/>
      <c r="AH2417" s="22"/>
      <c r="AI2417" s="22"/>
      <c r="AJ2417" s="22"/>
      <c r="AK2417" s="22"/>
      <c r="AL2417" s="22"/>
      <c r="AM2417" s="22"/>
      <c r="AN2417" s="22"/>
      <c r="AO2417" s="22"/>
      <c r="AP2417" s="22"/>
    </row>
    <row r="2418">
      <c r="A2418" s="193"/>
      <c r="B2418" s="194"/>
      <c r="C2418" s="195"/>
      <c r="D2418" s="196"/>
      <c r="E2418" s="197"/>
      <c r="F2418" s="197"/>
      <c r="G2418" s="195"/>
      <c r="H2418" s="195"/>
      <c r="I2418" s="197"/>
      <c r="J2418" s="121"/>
      <c r="K2418" s="121"/>
      <c r="L2418" s="200"/>
      <c r="M2418" s="204"/>
      <c r="N2418" s="205"/>
      <c r="O2418" s="170"/>
      <c r="P2418" s="198"/>
      <c r="Q2418" s="199"/>
      <c r="R2418" s="200"/>
      <c r="S2418" s="170"/>
      <c r="T2418" s="170"/>
      <c r="U2418" s="201"/>
      <c r="V2418" s="198"/>
      <c r="W2418" s="170"/>
      <c r="X2418" s="202"/>
      <c r="Y2418" s="203"/>
      <c r="Z2418" s="170"/>
      <c r="AA2418" s="198"/>
      <c r="AB2418" s="170"/>
      <c r="AC2418" s="170"/>
      <c r="AD2418" s="121"/>
      <c r="AE2418" s="121"/>
      <c r="AF2418" s="121"/>
      <c r="AG2418" s="22"/>
      <c r="AH2418" s="22"/>
      <c r="AI2418" s="22"/>
      <c r="AJ2418" s="22"/>
      <c r="AK2418" s="22"/>
      <c r="AL2418" s="22"/>
      <c r="AM2418" s="22"/>
      <c r="AN2418" s="22"/>
      <c r="AO2418" s="22"/>
      <c r="AP2418" s="22"/>
    </row>
    <row r="2419">
      <c r="A2419" s="193"/>
      <c r="B2419" s="194"/>
      <c r="C2419" s="195"/>
      <c r="D2419" s="196"/>
      <c r="E2419" s="197"/>
      <c r="F2419" s="197"/>
      <c r="G2419" s="195"/>
      <c r="H2419" s="195"/>
      <c r="I2419" s="197"/>
      <c r="J2419" s="121"/>
      <c r="K2419" s="121"/>
      <c r="L2419" s="200"/>
      <c r="M2419" s="204"/>
      <c r="N2419" s="205"/>
      <c r="O2419" s="170"/>
      <c r="P2419" s="198"/>
      <c r="Q2419" s="199"/>
      <c r="R2419" s="200"/>
      <c r="S2419" s="170"/>
      <c r="T2419" s="170"/>
      <c r="U2419" s="201"/>
      <c r="V2419" s="198"/>
      <c r="W2419" s="170"/>
      <c r="X2419" s="202"/>
      <c r="Y2419" s="203"/>
      <c r="Z2419" s="170"/>
      <c r="AA2419" s="198"/>
      <c r="AB2419" s="170"/>
      <c r="AC2419" s="170"/>
      <c r="AD2419" s="121"/>
      <c r="AE2419" s="121"/>
      <c r="AF2419" s="121"/>
      <c r="AG2419" s="22"/>
      <c r="AH2419" s="22"/>
      <c r="AI2419" s="22"/>
      <c r="AJ2419" s="22"/>
      <c r="AK2419" s="22"/>
      <c r="AL2419" s="22"/>
      <c r="AM2419" s="22"/>
      <c r="AN2419" s="22"/>
      <c r="AO2419" s="22"/>
      <c r="AP2419" s="22"/>
    </row>
    <row r="2420">
      <c r="A2420" s="193"/>
      <c r="B2420" s="194"/>
      <c r="C2420" s="195"/>
      <c r="D2420" s="196"/>
      <c r="E2420" s="197"/>
      <c r="F2420" s="197"/>
      <c r="G2420" s="195"/>
      <c r="H2420" s="195"/>
      <c r="I2420" s="197"/>
      <c r="J2420" s="121"/>
      <c r="K2420" s="121"/>
      <c r="L2420" s="200"/>
      <c r="M2420" s="204"/>
      <c r="N2420" s="205"/>
      <c r="O2420" s="170"/>
      <c r="P2420" s="198"/>
      <c r="Q2420" s="199"/>
      <c r="R2420" s="200"/>
      <c r="S2420" s="170"/>
      <c r="T2420" s="170"/>
      <c r="U2420" s="201"/>
      <c r="V2420" s="198"/>
      <c r="W2420" s="170"/>
      <c r="X2420" s="202"/>
      <c r="Y2420" s="203"/>
      <c r="Z2420" s="170"/>
      <c r="AA2420" s="198"/>
      <c r="AB2420" s="170"/>
      <c r="AC2420" s="170"/>
      <c r="AD2420" s="121"/>
      <c r="AE2420" s="121"/>
      <c r="AF2420" s="121"/>
      <c r="AG2420" s="22"/>
      <c r="AH2420" s="22"/>
      <c r="AI2420" s="22"/>
      <c r="AJ2420" s="22"/>
      <c r="AK2420" s="22"/>
      <c r="AL2420" s="22"/>
      <c r="AM2420" s="22"/>
      <c r="AN2420" s="22"/>
      <c r="AO2420" s="22"/>
      <c r="AP2420" s="22"/>
    </row>
    <row r="2421">
      <c r="A2421" s="193"/>
      <c r="B2421" s="194"/>
      <c r="C2421" s="195"/>
      <c r="D2421" s="196"/>
      <c r="E2421" s="197"/>
      <c r="F2421" s="197"/>
      <c r="G2421" s="195"/>
      <c r="H2421" s="195"/>
      <c r="I2421" s="197"/>
      <c r="J2421" s="121"/>
      <c r="K2421" s="121"/>
      <c r="L2421" s="200"/>
      <c r="M2421" s="204"/>
      <c r="N2421" s="205"/>
      <c r="O2421" s="170"/>
      <c r="P2421" s="198"/>
      <c r="Q2421" s="199"/>
      <c r="R2421" s="200"/>
      <c r="S2421" s="170"/>
      <c r="T2421" s="170"/>
      <c r="U2421" s="201"/>
      <c r="V2421" s="198"/>
      <c r="W2421" s="170"/>
      <c r="X2421" s="202"/>
      <c r="Y2421" s="203"/>
      <c r="Z2421" s="170"/>
      <c r="AA2421" s="198"/>
      <c r="AB2421" s="170"/>
      <c r="AC2421" s="170"/>
      <c r="AD2421" s="121"/>
      <c r="AE2421" s="121"/>
      <c r="AF2421" s="121"/>
      <c r="AG2421" s="22"/>
      <c r="AH2421" s="22"/>
      <c r="AI2421" s="22"/>
      <c r="AJ2421" s="22"/>
      <c r="AK2421" s="22"/>
      <c r="AL2421" s="22"/>
      <c r="AM2421" s="22"/>
      <c r="AN2421" s="22"/>
      <c r="AO2421" s="22"/>
      <c r="AP2421" s="22"/>
    </row>
    <row r="2422">
      <c r="A2422" s="193"/>
      <c r="B2422" s="194"/>
      <c r="C2422" s="195"/>
      <c r="D2422" s="196"/>
      <c r="E2422" s="197"/>
      <c r="F2422" s="197"/>
      <c r="G2422" s="195"/>
      <c r="H2422" s="195"/>
      <c r="I2422" s="197"/>
      <c r="J2422" s="121"/>
      <c r="K2422" s="121"/>
      <c r="L2422" s="200"/>
      <c r="M2422" s="204"/>
      <c r="N2422" s="205"/>
      <c r="O2422" s="170"/>
      <c r="P2422" s="198"/>
      <c r="Q2422" s="199"/>
      <c r="R2422" s="200"/>
      <c r="S2422" s="170"/>
      <c r="T2422" s="170"/>
      <c r="U2422" s="201"/>
      <c r="V2422" s="198"/>
      <c r="W2422" s="170"/>
      <c r="X2422" s="202"/>
      <c r="Y2422" s="203"/>
      <c r="Z2422" s="170"/>
      <c r="AA2422" s="198"/>
      <c r="AB2422" s="170"/>
      <c r="AC2422" s="170"/>
      <c r="AD2422" s="121"/>
      <c r="AE2422" s="121"/>
      <c r="AF2422" s="121"/>
      <c r="AG2422" s="22"/>
      <c r="AH2422" s="22"/>
      <c r="AI2422" s="22"/>
      <c r="AJ2422" s="22"/>
      <c r="AK2422" s="22"/>
      <c r="AL2422" s="22"/>
      <c r="AM2422" s="22"/>
      <c r="AN2422" s="22"/>
      <c r="AO2422" s="22"/>
      <c r="AP2422" s="22"/>
    </row>
    <row r="2423">
      <c r="A2423" s="193"/>
      <c r="B2423" s="194"/>
      <c r="C2423" s="195"/>
      <c r="D2423" s="196"/>
      <c r="E2423" s="197"/>
      <c r="F2423" s="197"/>
      <c r="G2423" s="195"/>
      <c r="H2423" s="195"/>
      <c r="I2423" s="197"/>
      <c r="J2423" s="121"/>
      <c r="K2423" s="121"/>
      <c r="L2423" s="200"/>
      <c r="M2423" s="204"/>
      <c r="N2423" s="205"/>
      <c r="O2423" s="170"/>
      <c r="P2423" s="198"/>
      <c r="Q2423" s="199"/>
      <c r="R2423" s="200"/>
      <c r="S2423" s="170"/>
      <c r="T2423" s="170"/>
      <c r="U2423" s="201"/>
      <c r="V2423" s="198"/>
      <c r="W2423" s="170"/>
      <c r="X2423" s="202"/>
      <c r="Y2423" s="203"/>
      <c r="Z2423" s="170"/>
      <c r="AA2423" s="198"/>
      <c r="AB2423" s="170"/>
      <c r="AC2423" s="170"/>
      <c r="AD2423" s="121"/>
      <c r="AE2423" s="121"/>
      <c r="AF2423" s="121"/>
      <c r="AG2423" s="22"/>
      <c r="AH2423" s="22"/>
      <c r="AI2423" s="22"/>
      <c r="AJ2423" s="22"/>
      <c r="AK2423" s="22"/>
      <c r="AL2423" s="22"/>
      <c r="AM2423" s="22"/>
      <c r="AN2423" s="22"/>
      <c r="AO2423" s="22"/>
      <c r="AP2423" s="22"/>
    </row>
    <row r="2424">
      <c r="A2424" s="193"/>
      <c r="B2424" s="194"/>
      <c r="C2424" s="195"/>
      <c r="D2424" s="196"/>
      <c r="E2424" s="197"/>
      <c r="F2424" s="197"/>
      <c r="G2424" s="195"/>
      <c r="H2424" s="195"/>
      <c r="I2424" s="197"/>
      <c r="J2424" s="121"/>
      <c r="K2424" s="121"/>
      <c r="L2424" s="200"/>
      <c r="M2424" s="204"/>
      <c r="N2424" s="205"/>
      <c r="O2424" s="170"/>
      <c r="P2424" s="198"/>
      <c r="Q2424" s="199"/>
      <c r="R2424" s="200"/>
      <c r="S2424" s="170"/>
      <c r="T2424" s="170"/>
      <c r="U2424" s="201"/>
      <c r="V2424" s="198"/>
      <c r="W2424" s="170"/>
      <c r="X2424" s="202"/>
      <c r="Y2424" s="203"/>
      <c r="Z2424" s="170"/>
      <c r="AA2424" s="198"/>
      <c r="AB2424" s="170"/>
      <c r="AC2424" s="170"/>
      <c r="AD2424" s="121"/>
      <c r="AE2424" s="121"/>
      <c r="AF2424" s="121"/>
      <c r="AG2424" s="22"/>
      <c r="AH2424" s="22"/>
      <c r="AI2424" s="22"/>
      <c r="AJ2424" s="22"/>
      <c r="AK2424" s="22"/>
      <c r="AL2424" s="22"/>
      <c r="AM2424" s="22"/>
      <c r="AN2424" s="22"/>
      <c r="AO2424" s="22"/>
      <c r="AP2424" s="22"/>
    </row>
    <row r="2425">
      <c r="A2425" s="193"/>
      <c r="B2425" s="194"/>
      <c r="C2425" s="195"/>
      <c r="D2425" s="196"/>
      <c r="E2425" s="197"/>
      <c r="F2425" s="197"/>
      <c r="G2425" s="195"/>
      <c r="H2425" s="195"/>
      <c r="I2425" s="197"/>
      <c r="J2425" s="121"/>
      <c r="K2425" s="121"/>
      <c r="L2425" s="200"/>
      <c r="M2425" s="204"/>
      <c r="N2425" s="205"/>
      <c r="O2425" s="170"/>
      <c r="P2425" s="198"/>
      <c r="Q2425" s="199"/>
      <c r="R2425" s="200"/>
      <c r="S2425" s="170"/>
      <c r="T2425" s="170"/>
      <c r="U2425" s="201"/>
      <c r="V2425" s="198"/>
      <c r="W2425" s="170"/>
      <c r="X2425" s="202"/>
      <c r="Y2425" s="203"/>
      <c r="Z2425" s="170"/>
      <c r="AA2425" s="198"/>
      <c r="AB2425" s="170"/>
      <c r="AC2425" s="170"/>
      <c r="AD2425" s="121"/>
      <c r="AE2425" s="121"/>
      <c r="AF2425" s="121"/>
      <c r="AG2425" s="22"/>
      <c r="AH2425" s="22"/>
      <c r="AI2425" s="22"/>
      <c r="AJ2425" s="22"/>
      <c r="AK2425" s="22"/>
      <c r="AL2425" s="22"/>
      <c r="AM2425" s="22"/>
      <c r="AN2425" s="22"/>
      <c r="AO2425" s="22"/>
      <c r="AP2425" s="22"/>
    </row>
    <row r="2426">
      <c r="A2426" s="193"/>
      <c r="B2426" s="194"/>
      <c r="C2426" s="195"/>
      <c r="D2426" s="196"/>
      <c r="E2426" s="197"/>
      <c r="F2426" s="197"/>
      <c r="G2426" s="195"/>
      <c r="H2426" s="195"/>
      <c r="I2426" s="197"/>
      <c r="J2426" s="121"/>
      <c r="K2426" s="121"/>
      <c r="L2426" s="200"/>
      <c r="M2426" s="204"/>
      <c r="N2426" s="205"/>
      <c r="O2426" s="170"/>
      <c r="P2426" s="198"/>
      <c r="Q2426" s="199"/>
      <c r="R2426" s="200"/>
      <c r="S2426" s="170"/>
      <c r="T2426" s="170"/>
      <c r="U2426" s="201"/>
      <c r="V2426" s="198"/>
      <c r="W2426" s="170"/>
      <c r="X2426" s="202"/>
      <c r="Y2426" s="203"/>
      <c r="Z2426" s="170"/>
      <c r="AA2426" s="198"/>
      <c r="AB2426" s="170"/>
      <c r="AC2426" s="170"/>
      <c r="AD2426" s="121"/>
      <c r="AE2426" s="121"/>
      <c r="AF2426" s="121"/>
      <c r="AG2426" s="22"/>
      <c r="AH2426" s="22"/>
      <c r="AI2426" s="22"/>
      <c r="AJ2426" s="22"/>
      <c r="AK2426" s="22"/>
      <c r="AL2426" s="22"/>
      <c r="AM2426" s="22"/>
      <c r="AN2426" s="22"/>
      <c r="AO2426" s="22"/>
      <c r="AP2426" s="22"/>
    </row>
    <row r="2427">
      <c r="A2427" s="193"/>
      <c r="B2427" s="194"/>
      <c r="C2427" s="195"/>
      <c r="D2427" s="196"/>
      <c r="E2427" s="197"/>
      <c r="F2427" s="197"/>
      <c r="G2427" s="195"/>
      <c r="H2427" s="195"/>
      <c r="I2427" s="197"/>
      <c r="J2427" s="121"/>
      <c r="K2427" s="121"/>
      <c r="L2427" s="200"/>
      <c r="M2427" s="204"/>
      <c r="N2427" s="205"/>
      <c r="O2427" s="170"/>
      <c r="P2427" s="198"/>
      <c r="Q2427" s="199"/>
      <c r="R2427" s="200"/>
      <c r="S2427" s="170"/>
      <c r="T2427" s="170"/>
      <c r="U2427" s="201"/>
      <c r="V2427" s="198"/>
      <c r="W2427" s="170"/>
      <c r="X2427" s="202"/>
      <c r="Y2427" s="203"/>
      <c r="Z2427" s="170"/>
      <c r="AA2427" s="198"/>
      <c r="AB2427" s="170"/>
      <c r="AC2427" s="170"/>
      <c r="AD2427" s="121"/>
      <c r="AE2427" s="121"/>
      <c r="AF2427" s="121"/>
      <c r="AG2427" s="22"/>
      <c r="AH2427" s="22"/>
      <c r="AI2427" s="22"/>
      <c r="AJ2427" s="22"/>
      <c r="AK2427" s="22"/>
      <c r="AL2427" s="22"/>
      <c r="AM2427" s="22"/>
      <c r="AN2427" s="22"/>
      <c r="AO2427" s="22"/>
      <c r="AP2427" s="22"/>
    </row>
    <row r="2428">
      <c r="A2428" s="193"/>
      <c r="B2428" s="194"/>
      <c r="C2428" s="195"/>
      <c r="D2428" s="196"/>
      <c r="E2428" s="197"/>
      <c r="F2428" s="197"/>
      <c r="G2428" s="195"/>
      <c r="H2428" s="195"/>
      <c r="I2428" s="197"/>
      <c r="J2428" s="121"/>
      <c r="K2428" s="121"/>
      <c r="L2428" s="200"/>
      <c r="M2428" s="204"/>
      <c r="N2428" s="205"/>
      <c r="O2428" s="170"/>
      <c r="P2428" s="198"/>
      <c r="Q2428" s="199"/>
      <c r="R2428" s="200"/>
      <c r="S2428" s="170"/>
      <c r="T2428" s="170"/>
      <c r="U2428" s="201"/>
      <c r="V2428" s="198"/>
      <c r="W2428" s="170"/>
      <c r="X2428" s="202"/>
      <c r="Y2428" s="203"/>
      <c r="Z2428" s="170"/>
      <c r="AA2428" s="198"/>
      <c r="AB2428" s="170"/>
      <c r="AC2428" s="170"/>
      <c r="AD2428" s="121"/>
      <c r="AE2428" s="121"/>
      <c r="AF2428" s="121"/>
      <c r="AG2428" s="22"/>
      <c r="AH2428" s="22"/>
      <c r="AI2428" s="22"/>
      <c r="AJ2428" s="22"/>
      <c r="AK2428" s="22"/>
      <c r="AL2428" s="22"/>
      <c r="AM2428" s="22"/>
      <c r="AN2428" s="22"/>
      <c r="AO2428" s="22"/>
      <c r="AP2428" s="22"/>
    </row>
    <row r="2429">
      <c r="A2429" s="193"/>
      <c r="B2429" s="194"/>
      <c r="C2429" s="195"/>
      <c r="D2429" s="196"/>
      <c r="E2429" s="197"/>
      <c r="F2429" s="197"/>
      <c r="G2429" s="195"/>
      <c r="H2429" s="195"/>
      <c r="I2429" s="197"/>
      <c r="J2429" s="121"/>
      <c r="K2429" s="121"/>
      <c r="L2429" s="200"/>
      <c r="M2429" s="204"/>
      <c r="N2429" s="205"/>
      <c r="O2429" s="170"/>
      <c r="P2429" s="198"/>
      <c r="Q2429" s="199"/>
      <c r="R2429" s="200"/>
      <c r="S2429" s="170"/>
      <c r="T2429" s="170"/>
      <c r="U2429" s="201"/>
      <c r="V2429" s="198"/>
      <c r="W2429" s="170"/>
      <c r="X2429" s="202"/>
      <c r="Y2429" s="203"/>
      <c r="Z2429" s="170"/>
      <c r="AA2429" s="198"/>
      <c r="AB2429" s="170"/>
      <c r="AC2429" s="170"/>
      <c r="AD2429" s="121"/>
      <c r="AE2429" s="121"/>
      <c r="AF2429" s="121"/>
      <c r="AG2429" s="22"/>
      <c r="AH2429" s="22"/>
      <c r="AI2429" s="22"/>
      <c r="AJ2429" s="22"/>
      <c r="AK2429" s="22"/>
      <c r="AL2429" s="22"/>
      <c r="AM2429" s="22"/>
      <c r="AN2429" s="22"/>
      <c r="AO2429" s="22"/>
      <c r="AP2429" s="22"/>
    </row>
    <row r="2430">
      <c r="A2430" s="193"/>
      <c r="B2430" s="194"/>
      <c r="C2430" s="195"/>
      <c r="D2430" s="196"/>
      <c r="E2430" s="197"/>
      <c r="F2430" s="197"/>
      <c r="G2430" s="195"/>
      <c r="H2430" s="195"/>
      <c r="I2430" s="197"/>
      <c r="J2430" s="121"/>
      <c r="K2430" s="121"/>
      <c r="L2430" s="200"/>
      <c r="M2430" s="204"/>
      <c r="N2430" s="205"/>
      <c r="O2430" s="170"/>
      <c r="P2430" s="198"/>
      <c r="Q2430" s="199"/>
      <c r="R2430" s="200"/>
      <c r="S2430" s="170"/>
      <c r="T2430" s="170"/>
      <c r="U2430" s="201"/>
      <c r="V2430" s="198"/>
      <c r="W2430" s="170"/>
      <c r="X2430" s="202"/>
      <c r="Y2430" s="203"/>
      <c r="Z2430" s="170"/>
      <c r="AA2430" s="198"/>
      <c r="AB2430" s="170"/>
      <c r="AC2430" s="170"/>
      <c r="AD2430" s="121"/>
      <c r="AE2430" s="121"/>
      <c r="AF2430" s="121"/>
      <c r="AG2430" s="22"/>
      <c r="AH2430" s="22"/>
      <c r="AI2430" s="22"/>
      <c r="AJ2430" s="22"/>
      <c r="AK2430" s="22"/>
      <c r="AL2430" s="22"/>
      <c r="AM2430" s="22"/>
      <c r="AN2430" s="22"/>
      <c r="AO2430" s="22"/>
      <c r="AP2430" s="22"/>
    </row>
    <row r="2431">
      <c r="A2431" s="193"/>
      <c r="B2431" s="194"/>
      <c r="C2431" s="195"/>
      <c r="D2431" s="196"/>
      <c r="E2431" s="197"/>
      <c r="F2431" s="197"/>
      <c r="G2431" s="195"/>
      <c r="H2431" s="195"/>
      <c r="I2431" s="197"/>
      <c r="J2431" s="121"/>
      <c r="K2431" s="121"/>
      <c r="L2431" s="200"/>
      <c r="M2431" s="204"/>
      <c r="N2431" s="205"/>
      <c r="O2431" s="170"/>
      <c r="P2431" s="198"/>
      <c r="Q2431" s="199"/>
      <c r="R2431" s="200"/>
      <c r="S2431" s="170"/>
      <c r="T2431" s="170"/>
      <c r="U2431" s="201"/>
      <c r="V2431" s="198"/>
      <c r="W2431" s="170"/>
      <c r="X2431" s="202"/>
      <c r="Y2431" s="203"/>
      <c r="Z2431" s="170"/>
      <c r="AA2431" s="198"/>
      <c r="AB2431" s="170"/>
      <c r="AC2431" s="170"/>
      <c r="AD2431" s="121"/>
      <c r="AE2431" s="121"/>
      <c r="AF2431" s="121"/>
      <c r="AG2431" s="22"/>
      <c r="AH2431" s="22"/>
      <c r="AI2431" s="22"/>
      <c r="AJ2431" s="22"/>
      <c r="AK2431" s="22"/>
      <c r="AL2431" s="22"/>
      <c r="AM2431" s="22"/>
      <c r="AN2431" s="22"/>
      <c r="AO2431" s="22"/>
      <c r="AP2431" s="22"/>
    </row>
    <row r="2432">
      <c r="A2432" s="193"/>
      <c r="B2432" s="194"/>
      <c r="C2432" s="195"/>
      <c r="D2432" s="196"/>
      <c r="E2432" s="197"/>
      <c r="F2432" s="197"/>
      <c r="G2432" s="195"/>
      <c r="H2432" s="195"/>
      <c r="I2432" s="197"/>
      <c r="J2432" s="121"/>
      <c r="K2432" s="121"/>
      <c r="L2432" s="200"/>
      <c r="M2432" s="204"/>
      <c r="N2432" s="205"/>
      <c r="O2432" s="170"/>
      <c r="P2432" s="198"/>
      <c r="Q2432" s="199"/>
      <c r="R2432" s="200"/>
      <c r="S2432" s="170"/>
      <c r="T2432" s="170"/>
      <c r="U2432" s="201"/>
      <c r="V2432" s="198"/>
      <c r="W2432" s="170"/>
      <c r="X2432" s="202"/>
      <c r="Y2432" s="203"/>
      <c r="Z2432" s="170"/>
      <c r="AA2432" s="198"/>
      <c r="AB2432" s="170"/>
      <c r="AC2432" s="170"/>
      <c r="AD2432" s="121"/>
      <c r="AE2432" s="121"/>
      <c r="AF2432" s="121"/>
      <c r="AG2432" s="22"/>
      <c r="AH2432" s="22"/>
      <c r="AI2432" s="22"/>
      <c r="AJ2432" s="22"/>
      <c r="AK2432" s="22"/>
      <c r="AL2432" s="22"/>
      <c r="AM2432" s="22"/>
      <c r="AN2432" s="22"/>
      <c r="AO2432" s="22"/>
      <c r="AP2432" s="22"/>
    </row>
    <row r="2433">
      <c r="A2433" s="193"/>
      <c r="B2433" s="194"/>
      <c r="C2433" s="195"/>
      <c r="D2433" s="196"/>
      <c r="E2433" s="197"/>
      <c r="F2433" s="197"/>
      <c r="G2433" s="195"/>
      <c r="H2433" s="195"/>
      <c r="I2433" s="197"/>
      <c r="J2433" s="121"/>
      <c r="K2433" s="121"/>
      <c r="L2433" s="200"/>
      <c r="M2433" s="204"/>
      <c r="N2433" s="205"/>
      <c r="O2433" s="170"/>
      <c r="P2433" s="198"/>
      <c r="Q2433" s="199"/>
      <c r="R2433" s="200"/>
      <c r="S2433" s="170"/>
      <c r="T2433" s="170"/>
      <c r="U2433" s="201"/>
      <c r="V2433" s="198"/>
      <c r="W2433" s="170"/>
      <c r="X2433" s="202"/>
      <c r="Y2433" s="203"/>
      <c r="Z2433" s="170"/>
      <c r="AA2433" s="198"/>
      <c r="AB2433" s="170"/>
      <c r="AC2433" s="170"/>
      <c r="AD2433" s="121"/>
      <c r="AE2433" s="121"/>
      <c r="AF2433" s="121"/>
      <c r="AG2433" s="22"/>
      <c r="AH2433" s="22"/>
      <c r="AI2433" s="22"/>
      <c r="AJ2433" s="22"/>
      <c r="AK2433" s="22"/>
      <c r="AL2433" s="22"/>
      <c r="AM2433" s="22"/>
      <c r="AN2433" s="22"/>
      <c r="AO2433" s="22"/>
      <c r="AP2433" s="22"/>
    </row>
    <row r="2434">
      <c r="A2434" s="193"/>
      <c r="B2434" s="194"/>
      <c r="C2434" s="195"/>
      <c r="D2434" s="196"/>
      <c r="E2434" s="197"/>
      <c r="F2434" s="197"/>
      <c r="G2434" s="195"/>
      <c r="H2434" s="195"/>
      <c r="I2434" s="197"/>
      <c r="J2434" s="121"/>
      <c r="K2434" s="121"/>
      <c r="L2434" s="200"/>
      <c r="M2434" s="204"/>
      <c r="N2434" s="205"/>
      <c r="O2434" s="170"/>
      <c r="P2434" s="198"/>
      <c r="Q2434" s="199"/>
      <c r="R2434" s="200"/>
      <c r="S2434" s="170"/>
      <c r="T2434" s="170"/>
      <c r="U2434" s="201"/>
      <c r="V2434" s="198"/>
      <c r="W2434" s="170"/>
      <c r="X2434" s="202"/>
      <c r="Y2434" s="203"/>
      <c r="Z2434" s="170"/>
      <c r="AA2434" s="198"/>
      <c r="AB2434" s="170"/>
      <c r="AC2434" s="170"/>
      <c r="AD2434" s="121"/>
      <c r="AE2434" s="121"/>
      <c r="AF2434" s="121"/>
      <c r="AG2434" s="22"/>
      <c r="AH2434" s="22"/>
      <c r="AI2434" s="22"/>
      <c r="AJ2434" s="22"/>
      <c r="AK2434" s="22"/>
      <c r="AL2434" s="22"/>
      <c r="AM2434" s="22"/>
      <c r="AN2434" s="22"/>
      <c r="AO2434" s="22"/>
      <c r="AP2434" s="22"/>
    </row>
    <row r="2435">
      <c r="A2435" s="193"/>
      <c r="B2435" s="194"/>
      <c r="C2435" s="195"/>
      <c r="D2435" s="196"/>
      <c r="E2435" s="197"/>
      <c r="F2435" s="197"/>
      <c r="G2435" s="195"/>
      <c r="H2435" s="195"/>
      <c r="I2435" s="197"/>
      <c r="J2435" s="121"/>
      <c r="K2435" s="121"/>
      <c r="L2435" s="200"/>
      <c r="M2435" s="204"/>
      <c r="N2435" s="205"/>
      <c r="O2435" s="170"/>
      <c r="P2435" s="198"/>
      <c r="Q2435" s="199"/>
      <c r="R2435" s="200"/>
      <c r="S2435" s="170"/>
      <c r="T2435" s="170"/>
      <c r="U2435" s="201"/>
      <c r="V2435" s="198"/>
      <c r="W2435" s="170"/>
      <c r="X2435" s="202"/>
      <c r="Y2435" s="203"/>
      <c r="Z2435" s="170"/>
      <c r="AA2435" s="198"/>
      <c r="AB2435" s="170"/>
      <c r="AC2435" s="170"/>
      <c r="AD2435" s="121"/>
      <c r="AE2435" s="121"/>
      <c r="AF2435" s="121"/>
      <c r="AG2435" s="22"/>
      <c r="AH2435" s="22"/>
      <c r="AI2435" s="22"/>
      <c r="AJ2435" s="22"/>
      <c r="AK2435" s="22"/>
      <c r="AL2435" s="22"/>
      <c r="AM2435" s="22"/>
      <c r="AN2435" s="22"/>
      <c r="AO2435" s="22"/>
      <c r="AP2435" s="22"/>
    </row>
    <row r="2436">
      <c r="A2436" s="193"/>
      <c r="B2436" s="194"/>
      <c r="C2436" s="195"/>
      <c r="D2436" s="196"/>
      <c r="E2436" s="197"/>
      <c r="F2436" s="197"/>
      <c r="G2436" s="195"/>
      <c r="H2436" s="195"/>
      <c r="I2436" s="197"/>
      <c r="J2436" s="121"/>
      <c r="K2436" s="121"/>
      <c r="L2436" s="200"/>
      <c r="M2436" s="204"/>
      <c r="N2436" s="205"/>
      <c r="O2436" s="170"/>
      <c r="P2436" s="198"/>
      <c r="Q2436" s="199"/>
      <c r="R2436" s="200"/>
      <c r="S2436" s="170"/>
      <c r="T2436" s="170"/>
      <c r="U2436" s="201"/>
      <c r="V2436" s="198"/>
      <c r="W2436" s="170"/>
      <c r="X2436" s="202"/>
      <c r="Y2436" s="203"/>
      <c r="Z2436" s="170"/>
      <c r="AA2436" s="198"/>
      <c r="AB2436" s="170"/>
      <c r="AC2436" s="170"/>
      <c r="AD2436" s="121"/>
      <c r="AE2436" s="121"/>
      <c r="AF2436" s="121"/>
      <c r="AG2436" s="22"/>
      <c r="AH2436" s="22"/>
      <c r="AI2436" s="22"/>
      <c r="AJ2436" s="22"/>
      <c r="AK2436" s="22"/>
      <c r="AL2436" s="22"/>
      <c r="AM2436" s="22"/>
      <c r="AN2436" s="22"/>
      <c r="AO2436" s="22"/>
      <c r="AP2436" s="22"/>
    </row>
    <row r="2437">
      <c r="A2437" s="193"/>
      <c r="B2437" s="194"/>
      <c r="C2437" s="195"/>
      <c r="D2437" s="196"/>
      <c r="E2437" s="197"/>
      <c r="F2437" s="197"/>
      <c r="G2437" s="195"/>
      <c r="H2437" s="195"/>
      <c r="I2437" s="197"/>
      <c r="J2437" s="121"/>
      <c r="K2437" s="121"/>
      <c r="L2437" s="200"/>
      <c r="M2437" s="204"/>
      <c r="N2437" s="205"/>
      <c r="O2437" s="170"/>
      <c r="P2437" s="198"/>
      <c r="Q2437" s="199"/>
      <c r="R2437" s="200"/>
      <c r="S2437" s="170"/>
      <c r="T2437" s="170"/>
      <c r="U2437" s="201"/>
      <c r="V2437" s="198"/>
      <c r="W2437" s="170"/>
      <c r="X2437" s="202"/>
      <c r="Y2437" s="203"/>
      <c r="Z2437" s="170"/>
      <c r="AA2437" s="198"/>
      <c r="AB2437" s="170"/>
      <c r="AC2437" s="170"/>
      <c r="AD2437" s="121"/>
      <c r="AE2437" s="121"/>
      <c r="AF2437" s="121"/>
      <c r="AG2437" s="22"/>
      <c r="AH2437" s="22"/>
      <c r="AI2437" s="22"/>
      <c r="AJ2437" s="22"/>
      <c r="AK2437" s="22"/>
      <c r="AL2437" s="22"/>
      <c r="AM2437" s="22"/>
      <c r="AN2437" s="22"/>
      <c r="AO2437" s="22"/>
      <c r="AP2437" s="22"/>
    </row>
    <row r="2438">
      <c r="A2438" s="193"/>
      <c r="B2438" s="194"/>
      <c r="C2438" s="195"/>
      <c r="D2438" s="196"/>
      <c r="E2438" s="197"/>
      <c r="F2438" s="197"/>
      <c r="G2438" s="195"/>
      <c r="H2438" s="195"/>
      <c r="I2438" s="197"/>
      <c r="J2438" s="121"/>
      <c r="K2438" s="121"/>
      <c r="L2438" s="200"/>
      <c r="M2438" s="204"/>
      <c r="N2438" s="205"/>
      <c r="O2438" s="170"/>
      <c r="P2438" s="198"/>
      <c r="Q2438" s="199"/>
      <c r="R2438" s="200"/>
      <c r="S2438" s="170"/>
      <c r="T2438" s="170"/>
      <c r="U2438" s="201"/>
      <c r="V2438" s="198"/>
      <c r="W2438" s="170"/>
      <c r="X2438" s="202"/>
      <c r="Y2438" s="203"/>
      <c r="Z2438" s="170"/>
      <c r="AA2438" s="198"/>
      <c r="AB2438" s="170"/>
      <c r="AC2438" s="170"/>
      <c r="AD2438" s="121"/>
      <c r="AE2438" s="121"/>
      <c r="AF2438" s="121"/>
      <c r="AG2438" s="22"/>
      <c r="AH2438" s="22"/>
      <c r="AI2438" s="22"/>
      <c r="AJ2438" s="22"/>
      <c r="AK2438" s="22"/>
      <c r="AL2438" s="22"/>
      <c r="AM2438" s="22"/>
      <c r="AN2438" s="22"/>
      <c r="AO2438" s="22"/>
      <c r="AP2438" s="22"/>
    </row>
    <row r="2439">
      <c r="A2439" s="193"/>
      <c r="B2439" s="194"/>
      <c r="C2439" s="195"/>
      <c r="D2439" s="196"/>
      <c r="E2439" s="197"/>
      <c r="F2439" s="197"/>
      <c r="G2439" s="195"/>
      <c r="H2439" s="195"/>
      <c r="I2439" s="197"/>
      <c r="J2439" s="121"/>
      <c r="K2439" s="121"/>
      <c r="L2439" s="200"/>
      <c r="M2439" s="204"/>
      <c r="N2439" s="205"/>
      <c r="O2439" s="170"/>
      <c r="P2439" s="198"/>
      <c r="Q2439" s="199"/>
      <c r="R2439" s="200"/>
      <c r="S2439" s="170"/>
      <c r="T2439" s="170"/>
      <c r="U2439" s="201"/>
      <c r="V2439" s="198"/>
      <c r="W2439" s="170"/>
      <c r="X2439" s="202"/>
      <c r="Y2439" s="203"/>
      <c r="Z2439" s="170"/>
      <c r="AA2439" s="198"/>
      <c r="AB2439" s="170"/>
      <c r="AC2439" s="170"/>
      <c r="AD2439" s="121"/>
      <c r="AE2439" s="121"/>
      <c r="AF2439" s="121"/>
      <c r="AG2439" s="22"/>
      <c r="AH2439" s="22"/>
      <c r="AI2439" s="22"/>
      <c r="AJ2439" s="22"/>
      <c r="AK2439" s="22"/>
      <c r="AL2439" s="22"/>
      <c r="AM2439" s="22"/>
      <c r="AN2439" s="22"/>
      <c r="AO2439" s="22"/>
      <c r="AP2439" s="22"/>
    </row>
    <row r="2440">
      <c r="A2440" s="193"/>
      <c r="B2440" s="194"/>
      <c r="C2440" s="195"/>
      <c r="D2440" s="196"/>
      <c r="E2440" s="197"/>
      <c r="F2440" s="197"/>
      <c r="G2440" s="195"/>
      <c r="H2440" s="195"/>
      <c r="I2440" s="197"/>
      <c r="J2440" s="121"/>
      <c r="K2440" s="121"/>
      <c r="L2440" s="200"/>
      <c r="M2440" s="204"/>
      <c r="N2440" s="205"/>
      <c r="O2440" s="170"/>
      <c r="P2440" s="198"/>
      <c r="Q2440" s="199"/>
      <c r="R2440" s="200"/>
      <c r="S2440" s="170"/>
      <c r="T2440" s="170"/>
      <c r="U2440" s="201"/>
      <c r="V2440" s="198"/>
      <c r="W2440" s="170"/>
      <c r="X2440" s="202"/>
      <c r="Y2440" s="203"/>
      <c r="Z2440" s="170"/>
      <c r="AA2440" s="198"/>
      <c r="AB2440" s="170"/>
      <c r="AC2440" s="170"/>
      <c r="AD2440" s="121"/>
      <c r="AE2440" s="121"/>
      <c r="AF2440" s="121"/>
      <c r="AG2440" s="22"/>
      <c r="AH2440" s="22"/>
      <c r="AI2440" s="22"/>
      <c r="AJ2440" s="22"/>
      <c r="AK2440" s="22"/>
      <c r="AL2440" s="22"/>
      <c r="AM2440" s="22"/>
      <c r="AN2440" s="22"/>
      <c r="AO2440" s="22"/>
      <c r="AP2440" s="22"/>
    </row>
    <row r="2441">
      <c r="A2441" s="193"/>
      <c r="B2441" s="194"/>
      <c r="C2441" s="195"/>
      <c r="D2441" s="196"/>
      <c r="E2441" s="197"/>
      <c r="F2441" s="197"/>
      <c r="G2441" s="195"/>
      <c r="H2441" s="195"/>
      <c r="I2441" s="197"/>
      <c r="J2441" s="121"/>
      <c r="K2441" s="121"/>
      <c r="L2441" s="200"/>
      <c r="M2441" s="204"/>
      <c r="N2441" s="205"/>
      <c r="O2441" s="170"/>
      <c r="P2441" s="198"/>
      <c r="Q2441" s="199"/>
      <c r="R2441" s="200"/>
      <c r="S2441" s="170"/>
      <c r="T2441" s="170"/>
      <c r="U2441" s="201"/>
      <c r="V2441" s="198"/>
      <c r="W2441" s="170"/>
      <c r="X2441" s="202"/>
      <c r="Y2441" s="203"/>
      <c r="Z2441" s="170"/>
      <c r="AA2441" s="198"/>
      <c r="AB2441" s="170"/>
      <c r="AC2441" s="170"/>
      <c r="AD2441" s="121"/>
      <c r="AE2441" s="121"/>
      <c r="AF2441" s="121"/>
      <c r="AG2441" s="22"/>
      <c r="AH2441" s="22"/>
      <c r="AI2441" s="22"/>
      <c r="AJ2441" s="22"/>
      <c r="AK2441" s="22"/>
      <c r="AL2441" s="22"/>
      <c r="AM2441" s="22"/>
      <c r="AN2441" s="22"/>
      <c r="AO2441" s="22"/>
      <c r="AP2441" s="22"/>
    </row>
    <row r="2442">
      <c r="A2442" s="193"/>
      <c r="B2442" s="194"/>
      <c r="C2442" s="195"/>
      <c r="D2442" s="196"/>
      <c r="E2442" s="197"/>
      <c r="F2442" s="197"/>
      <c r="G2442" s="195"/>
      <c r="H2442" s="195"/>
      <c r="I2442" s="197"/>
      <c r="J2442" s="121"/>
      <c r="K2442" s="121"/>
      <c r="L2442" s="200"/>
      <c r="M2442" s="204"/>
      <c r="N2442" s="205"/>
      <c r="O2442" s="170"/>
      <c r="P2442" s="198"/>
      <c r="Q2442" s="199"/>
      <c r="R2442" s="200"/>
      <c r="S2442" s="170"/>
      <c r="T2442" s="170"/>
      <c r="U2442" s="201"/>
      <c r="V2442" s="198"/>
      <c r="W2442" s="170"/>
      <c r="X2442" s="202"/>
      <c r="Y2442" s="203"/>
      <c r="Z2442" s="170"/>
      <c r="AA2442" s="198"/>
      <c r="AB2442" s="170"/>
      <c r="AC2442" s="170"/>
      <c r="AD2442" s="121"/>
      <c r="AE2442" s="121"/>
      <c r="AF2442" s="121"/>
      <c r="AG2442" s="22"/>
      <c r="AH2442" s="22"/>
      <c r="AI2442" s="22"/>
      <c r="AJ2442" s="22"/>
      <c r="AK2442" s="22"/>
      <c r="AL2442" s="22"/>
      <c r="AM2442" s="22"/>
      <c r="AN2442" s="22"/>
      <c r="AO2442" s="22"/>
      <c r="AP2442" s="22"/>
    </row>
    <row r="2443">
      <c r="A2443" s="193"/>
      <c r="B2443" s="194"/>
      <c r="C2443" s="195"/>
      <c r="D2443" s="196"/>
      <c r="E2443" s="197"/>
      <c r="F2443" s="197"/>
      <c r="G2443" s="195"/>
      <c r="H2443" s="195"/>
      <c r="I2443" s="197"/>
      <c r="J2443" s="121"/>
      <c r="K2443" s="121"/>
      <c r="L2443" s="200"/>
      <c r="M2443" s="204"/>
      <c r="N2443" s="205"/>
      <c r="O2443" s="170"/>
      <c r="P2443" s="198"/>
      <c r="Q2443" s="199"/>
      <c r="R2443" s="200"/>
      <c r="S2443" s="170"/>
      <c r="T2443" s="170"/>
      <c r="U2443" s="201"/>
      <c r="V2443" s="198"/>
      <c r="W2443" s="170"/>
      <c r="X2443" s="202"/>
      <c r="Y2443" s="203"/>
      <c r="Z2443" s="170"/>
      <c r="AA2443" s="198"/>
      <c r="AB2443" s="170"/>
      <c r="AC2443" s="170"/>
      <c r="AD2443" s="121"/>
      <c r="AE2443" s="121"/>
      <c r="AF2443" s="121"/>
      <c r="AG2443" s="22"/>
      <c r="AH2443" s="22"/>
      <c r="AI2443" s="22"/>
      <c r="AJ2443" s="22"/>
      <c r="AK2443" s="22"/>
      <c r="AL2443" s="22"/>
      <c r="AM2443" s="22"/>
      <c r="AN2443" s="22"/>
      <c r="AO2443" s="22"/>
      <c r="AP2443" s="22"/>
    </row>
    <row r="2444">
      <c r="A2444" s="193"/>
      <c r="B2444" s="194"/>
      <c r="C2444" s="195"/>
      <c r="D2444" s="196"/>
      <c r="E2444" s="197"/>
      <c r="F2444" s="197"/>
      <c r="G2444" s="195"/>
      <c r="H2444" s="195"/>
      <c r="I2444" s="197"/>
      <c r="J2444" s="121"/>
      <c r="K2444" s="121"/>
      <c r="L2444" s="200"/>
      <c r="M2444" s="204"/>
      <c r="N2444" s="205"/>
      <c r="O2444" s="170"/>
      <c r="P2444" s="198"/>
      <c r="Q2444" s="199"/>
      <c r="R2444" s="200"/>
      <c r="S2444" s="170"/>
      <c r="T2444" s="170"/>
      <c r="U2444" s="201"/>
      <c r="V2444" s="198"/>
      <c r="W2444" s="170"/>
      <c r="X2444" s="202"/>
      <c r="Y2444" s="203"/>
      <c r="Z2444" s="170"/>
      <c r="AA2444" s="198"/>
      <c r="AB2444" s="170"/>
      <c r="AC2444" s="170"/>
      <c r="AD2444" s="121"/>
      <c r="AE2444" s="121"/>
      <c r="AF2444" s="121"/>
      <c r="AG2444" s="22"/>
      <c r="AH2444" s="22"/>
      <c r="AI2444" s="22"/>
      <c r="AJ2444" s="22"/>
      <c r="AK2444" s="22"/>
      <c r="AL2444" s="22"/>
      <c r="AM2444" s="22"/>
      <c r="AN2444" s="22"/>
      <c r="AO2444" s="22"/>
      <c r="AP2444" s="22"/>
    </row>
    <row r="2445">
      <c r="A2445" s="193"/>
      <c r="B2445" s="194"/>
      <c r="C2445" s="195"/>
      <c r="D2445" s="196"/>
      <c r="E2445" s="197"/>
      <c r="F2445" s="197"/>
      <c r="G2445" s="195"/>
      <c r="H2445" s="195"/>
      <c r="I2445" s="197"/>
      <c r="J2445" s="121"/>
      <c r="K2445" s="121"/>
      <c r="L2445" s="200"/>
      <c r="M2445" s="204"/>
      <c r="N2445" s="205"/>
      <c r="O2445" s="170"/>
      <c r="P2445" s="198"/>
      <c r="Q2445" s="199"/>
      <c r="R2445" s="200"/>
      <c r="S2445" s="170"/>
      <c r="T2445" s="170"/>
      <c r="U2445" s="201"/>
      <c r="V2445" s="198"/>
      <c r="W2445" s="170"/>
      <c r="X2445" s="202"/>
      <c r="Y2445" s="203"/>
      <c r="Z2445" s="170"/>
      <c r="AA2445" s="198"/>
      <c r="AB2445" s="170"/>
      <c r="AC2445" s="170"/>
      <c r="AD2445" s="121"/>
      <c r="AE2445" s="121"/>
      <c r="AF2445" s="121"/>
      <c r="AG2445" s="22"/>
      <c r="AH2445" s="22"/>
      <c r="AI2445" s="22"/>
      <c r="AJ2445" s="22"/>
      <c r="AK2445" s="22"/>
      <c r="AL2445" s="22"/>
      <c r="AM2445" s="22"/>
      <c r="AN2445" s="22"/>
      <c r="AO2445" s="22"/>
      <c r="AP2445" s="22"/>
    </row>
    <row r="2446">
      <c r="A2446" s="193"/>
      <c r="B2446" s="194"/>
      <c r="C2446" s="195"/>
      <c r="D2446" s="196"/>
      <c r="E2446" s="197"/>
      <c r="F2446" s="197"/>
      <c r="G2446" s="195"/>
      <c r="H2446" s="195"/>
      <c r="I2446" s="197"/>
      <c r="J2446" s="121"/>
      <c r="K2446" s="121"/>
      <c r="L2446" s="200"/>
      <c r="M2446" s="204"/>
      <c r="N2446" s="205"/>
      <c r="O2446" s="170"/>
      <c r="P2446" s="198"/>
      <c r="Q2446" s="199"/>
      <c r="R2446" s="200"/>
      <c r="S2446" s="170"/>
      <c r="T2446" s="170"/>
      <c r="U2446" s="201"/>
      <c r="V2446" s="198"/>
      <c r="W2446" s="170"/>
      <c r="X2446" s="202"/>
      <c r="Y2446" s="203"/>
      <c r="Z2446" s="170"/>
      <c r="AA2446" s="198"/>
      <c r="AB2446" s="170"/>
      <c r="AC2446" s="170"/>
      <c r="AD2446" s="121"/>
      <c r="AE2446" s="121"/>
      <c r="AF2446" s="121"/>
      <c r="AG2446" s="22"/>
      <c r="AH2446" s="22"/>
      <c r="AI2446" s="22"/>
      <c r="AJ2446" s="22"/>
      <c r="AK2446" s="22"/>
      <c r="AL2446" s="22"/>
      <c r="AM2446" s="22"/>
      <c r="AN2446" s="22"/>
      <c r="AO2446" s="22"/>
      <c r="AP2446" s="22"/>
    </row>
    <row r="2447">
      <c r="A2447" s="193"/>
      <c r="B2447" s="194"/>
      <c r="C2447" s="195"/>
      <c r="D2447" s="196"/>
      <c r="E2447" s="197"/>
      <c r="F2447" s="197"/>
      <c r="G2447" s="195"/>
      <c r="H2447" s="195"/>
      <c r="I2447" s="197"/>
      <c r="J2447" s="121"/>
      <c r="K2447" s="121"/>
      <c r="L2447" s="200"/>
      <c r="M2447" s="204"/>
      <c r="N2447" s="205"/>
      <c r="O2447" s="170"/>
      <c r="P2447" s="198"/>
      <c r="Q2447" s="199"/>
      <c r="R2447" s="200"/>
      <c r="S2447" s="170"/>
      <c r="T2447" s="170"/>
      <c r="U2447" s="201"/>
      <c r="V2447" s="198"/>
      <c r="W2447" s="170"/>
      <c r="X2447" s="202"/>
      <c r="Y2447" s="203"/>
      <c r="Z2447" s="170"/>
      <c r="AA2447" s="198"/>
      <c r="AB2447" s="170"/>
      <c r="AC2447" s="170"/>
      <c r="AD2447" s="121"/>
      <c r="AE2447" s="121"/>
      <c r="AF2447" s="121"/>
      <c r="AG2447" s="22"/>
      <c r="AH2447" s="22"/>
      <c r="AI2447" s="22"/>
      <c r="AJ2447" s="22"/>
      <c r="AK2447" s="22"/>
      <c r="AL2447" s="22"/>
      <c r="AM2447" s="22"/>
      <c r="AN2447" s="22"/>
      <c r="AO2447" s="22"/>
      <c r="AP2447" s="22"/>
    </row>
    <row r="2448">
      <c r="A2448" s="193"/>
      <c r="B2448" s="194"/>
      <c r="C2448" s="195"/>
      <c r="D2448" s="196"/>
      <c r="E2448" s="197"/>
      <c r="F2448" s="197"/>
      <c r="G2448" s="195"/>
      <c r="H2448" s="195"/>
      <c r="I2448" s="197"/>
      <c r="J2448" s="121"/>
      <c r="K2448" s="121"/>
      <c r="L2448" s="200"/>
      <c r="M2448" s="204"/>
      <c r="N2448" s="205"/>
      <c r="O2448" s="170"/>
      <c r="P2448" s="198"/>
      <c r="Q2448" s="199"/>
      <c r="R2448" s="200"/>
      <c r="S2448" s="170"/>
      <c r="T2448" s="170"/>
      <c r="U2448" s="201"/>
      <c r="V2448" s="198"/>
      <c r="W2448" s="170"/>
      <c r="X2448" s="202"/>
      <c r="Y2448" s="203"/>
      <c r="Z2448" s="170"/>
      <c r="AA2448" s="198"/>
      <c r="AB2448" s="170"/>
      <c r="AC2448" s="170"/>
      <c r="AD2448" s="121"/>
      <c r="AE2448" s="121"/>
      <c r="AF2448" s="121"/>
      <c r="AG2448" s="22"/>
      <c r="AH2448" s="22"/>
      <c r="AI2448" s="22"/>
      <c r="AJ2448" s="22"/>
      <c r="AK2448" s="22"/>
      <c r="AL2448" s="22"/>
      <c r="AM2448" s="22"/>
      <c r="AN2448" s="22"/>
      <c r="AO2448" s="22"/>
      <c r="AP2448" s="22"/>
    </row>
    <row r="2449">
      <c r="A2449" s="193"/>
      <c r="B2449" s="194"/>
      <c r="C2449" s="195"/>
      <c r="D2449" s="196"/>
      <c r="E2449" s="197"/>
      <c r="F2449" s="197"/>
      <c r="G2449" s="195"/>
      <c r="H2449" s="195"/>
      <c r="I2449" s="197"/>
      <c r="J2449" s="121"/>
      <c r="K2449" s="121"/>
      <c r="L2449" s="200"/>
      <c r="M2449" s="204"/>
      <c r="N2449" s="205"/>
      <c r="O2449" s="170"/>
      <c r="P2449" s="198"/>
      <c r="Q2449" s="199"/>
      <c r="R2449" s="200"/>
      <c r="S2449" s="170"/>
      <c r="T2449" s="170"/>
      <c r="U2449" s="201"/>
      <c r="V2449" s="198"/>
      <c r="W2449" s="170"/>
      <c r="X2449" s="202"/>
      <c r="Y2449" s="203"/>
      <c r="Z2449" s="170"/>
      <c r="AA2449" s="198"/>
      <c r="AB2449" s="170"/>
      <c r="AC2449" s="170"/>
      <c r="AD2449" s="121"/>
      <c r="AE2449" s="121"/>
      <c r="AF2449" s="121"/>
      <c r="AG2449" s="22"/>
      <c r="AH2449" s="22"/>
      <c r="AI2449" s="22"/>
      <c r="AJ2449" s="22"/>
      <c r="AK2449" s="22"/>
      <c r="AL2449" s="22"/>
      <c r="AM2449" s="22"/>
      <c r="AN2449" s="22"/>
      <c r="AO2449" s="22"/>
      <c r="AP2449" s="22"/>
    </row>
    <row r="2450">
      <c r="A2450" s="193"/>
      <c r="B2450" s="194"/>
      <c r="C2450" s="195"/>
      <c r="D2450" s="196"/>
      <c r="E2450" s="197"/>
      <c r="F2450" s="197"/>
      <c r="G2450" s="195"/>
      <c r="H2450" s="195"/>
      <c r="I2450" s="197"/>
      <c r="J2450" s="121"/>
      <c r="K2450" s="121"/>
      <c r="L2450" s="200"/>
      <c r="M2450" s="204"/>
      <c r="N2450" s="205"/>
      <c r="O2450" s="170"/>
      <c r="P2450" s="198"/>
      <c r="Q2450" s="199"/>
      <c r="R2450" s="200"/>
      <c r="S2450" s="170"/>
      <c r="T2450" s="170"/>
      <c r="U2450" s="201"/>
      <c r="V2450" s="198"/>
      <c r="W2450" s="170"/>
      <c r="X2450" s="202"/>
      <c r="Y2450" s="203"/>
      <c r="Z2450" s="170"/>
      <c r="AA2450" s="198"/>
      <c r="AB2450" s="170"/>
      <c r="AC2450" s="170"/>
      <c r="AD2450" s="121"/>
      <c r="AE2450" s="121"/>
      <c r="AF2450" s="121"/>
      <c r="AG2450" s="22"/>
      <c r="AH2450" s="22"/>
      <c r="AI2450" s="22"/>
      <c r="AJ2450" s="22"/>
      <c r="AK2450" s="22"/>
      <c r="AL2450" s="22"/>
      <c r="AM2450" s="22"/>
      <c r="AN2450" s="22"/>
      <c r="AO2450" s="22"/>
      <c r="AP2450" s="22"/>
    </row>
    <row r="2451">
      <c r="A2451" s="193"/>
      <c r="B2451" s="194"/>
      <c r="C2451" s="195"/>
      <c r="D2451" s="196"/>
      <c r="E2451" s="197"/>
      <c r="F2451" s="197"/>
      <c r="G2451" s="195"/>
      <c r="H2451" s="195"/>
      <c r="I2451" s="197"/>
      <c r="J2451" s="121"/>
      <c r="K2451" s="121"/>
      <c r="L2451" s="200"/>
      <c r="M2451" s="204"/>
      <c r="N2451" s="205"/>
      <c r="O2451" s="170"/>
      <c r="P2451" s="198"/>
      <c r="Q2451" s="199"/>
      <c r="R2451" s="200"/>
      <c r="S2451" s="170"/>
      <c r="T2451" s="170"/>
      <c r="U2451" s="201"/>
      <c r="V2451" s="198"/>
      <c r="W2451" s="170"/>
      <c r="X2451" s="202"/>
      <c r="Y2451" s="203"/>
      <c r="Z2451" s="170"/>
      <c r="AA2451" s="198"/>
      <c r="AB2451" s="170"/>
      <c r="AC2451" s="170"/>
      <c r="AD2451" s="121"/>
      <c r="AE2451" s="121"/>
      <c r="AF2451" s="121"/>
      <c r="AG2451" s="22"/>
      <c r="AH2451" s="22"/>
      <c r="AI2451" s="22"/>
      <c r="AJ2451" s="22"/>
      <c r="AK2451" s="22"/>
      <c r="AL2451" s="22"/>
      <c r="AM2451" s="22"/>
      <c r="AN2451" s="22"/>
      <c r="AO2451" s="22"/>
      <c r="AP2451" s="22"/>
    </row>
    <row r="2452">
      <c r="A2452" s="193"/>
      <c r="B2452" s="194"/>
      <c r="C2452" s="195"/>
      <c r="D2452" s="196"/>
      <c r="E2452" s="197"/>
      <c r="F2452" s="197"/>
      <c r="G2452" s="195"/>
      <c r="H2452" s="195"/>
      <c r="I2452" s="197"/>
      <c r="J2452" s="121"/>
      <c r="K2452" s="121"/>
      <c r="L2452" s="200"/>
      <c r="M2452" s="204"/>
      <c r="N2452" s="205"/>
      <c r="O2452" s="170"/>
      <c r="P2452" s="198"/>
      <c r="Q2452" s="199"/>
      <c r="R2452" s="200"/>
      <c r="S2452" s="170"/>
      <c r="T2452" s="170"/>
      <c r="U2452" s="201"/>
      <c r="V2452" s="198"/>
      <c r="W2452" s="170"/>
      <c r="X2452" s="202"/>
      <c r="Y2452" s="203"/>
      <c r="Z2452" s="170"/>
      <c r="AA2452" s="198"/>
      <c r="AB2452" s="170"/>
      <c r="AC2452" s="170"/>
      <c r="AD2452" s="121"/>
      <c r="AE2452" s="121"/>
      <c r="AF2452" s="121"/>
      <c r="AG2452" s="22"/>
      <c r="AH2452" s="22"/>
      <c r="AI2452" s="22"/>
      <c r="AJ2452" s="22"/>
      <c r="AK2452" s="22"/>
      <c r="AL2452" s="22"/>
      <c r="AM2452" s="22"/>
      <c r="AN2452" s="22"/>
      <c r="AO2452" s="22"/>
      <c r="AP2452" s="22"/>
    </row>
    <row r="2453">
      <c r="A2453" s="193"/>
      <c r="B2453" s="194"/>
      <c r="C2453" s="195"/>
      <c r="D2453" s="196"/>
      <c r="E2453" s="197"/>
      <c r="F2453" s="197"/>
      <c r="G2453" s="195"/>
      <c r="H2453" s="195"/>
      <c r="I2453" s="197"/>
      <c r="J2453" s="121"/>
      <c r="K2453" s="121"/>
      <c r="L2453" s="200"/>
      <c r="M2453" s="204"/>
      <c r="N2453" s="205"/>
      <c r="O2453" s="170"/>
      <c r="P2453" s="198"/>
      <c r="Q2453" s="199"/>
      <c r="R2453" s="200"/>
      <c r="S2453" s="170"/>
      <c r="T2453" s="170"/>
      <c r="U2453" s="201"/>
      <c r="V2453" s="198"/>
      <c r="W2453" s="170"/>
      <c r="X2453" s="202"/>
      <c r="Y2453" s="203"/>
      <c r="Z2453" s="170"/>
      <c r="AA2453" s="198"/>
      <c r="AB2453" s="170"/>
      <c r="AC2453" s="170"/>
      <c r="AD2453" s="121"/>
      <c r="AE2453" s="121"/>
      <c r="AF2453" s="121"/>
      <c r="AG2453" s="22"/>
      <c r="AH2453" s="22"/>
      <c r="AI2453" s="22"/>
      <c r="AJ2453" s="22"/>
      <c r="AK2453" s="22"/>
      <c r="AL2453" s="22"/>
      <c r="AM2453" s="22"/>
      <c r="AN2453" s="22"/>
      <c r="AO2453" s="22"/>
      <c r="AP2453" s="22"/>
    </row>
    <row r="2454">
      <c r="A2454" s="193"/>
      <c r="B2454" s="194"/>
      <c r="C2454" s="195"/>
      <c r="D2454" s="196"/>
      <c r="E2454" s="197"/>
      <c r="F2454" s="197"/>
      <c r="G2454" s="195"/>
      <c r="H2454" s="195"/>
      <c r="I2454" s="197"/>
      <c r="J2454" s="121"/>
      <c r="K2454" s="121"/>
      <c r="L2454" s="200"/>
      <c r="M2454" s="204"/>
      <c r="N2454" s="205"/>
      <c r="O2454" s="170"/>
      <c r="P2454" s="198"/>
      <c r="Q2454" s="199"/>
      <c r="R2454" s="200"/>
      <c r="S2454" s="170"/>
      <c r="T2454" s="170"/>
      <c r="U2454" s="201"/>
      <c r="V2454" s="198"/>
      <c r="W2454" s="170"/>
      <c r="X2454" s="202"/>
      <c r="Y2454" s="203"/>
      <c r="Z2454" s="170"/>
      <c r="AA2454" s="198"/>
      <c r="AB2454" s="170"/>
      <c r="AC2454" s="170"/>
      <c r="AD2454" s="121"/>
      <c r="AE2454" s="121"/>
      <c r="AF2454" s="121"/>
      <c r="AG2454" s="22"/>
      <c r="AH2454" s="22"/>
      <c r="AI2454" s="22"/>
      <c r="AJ2454" s="22"/>
      <c r="AK2454" s="22"/>
      <c r="AL2454" s="22"/>
      <c r="AM2454" s="22"/>
      <c r="AN2454" s="22"/>
      <c r="AO2454" s="22"/>
      <c r="AP2454" s="22"/>
    </row>
    <row r="2455">
      <c r="A2455" s="193"/>
      <c r="B2455" s="194"/>
      <c r="C2455" s="195"/>
      <c r="D2455" s="196"/>
      <c r="E2455" s="197"/>
      <c r="F2455" s="197"/>
      <c r="G2455" s="195"/>
      <c r="H2455" s="195"/>
      <c r="I2455" s="197"/>
      <c r="J2455" s="121"/>
      <c r="K2455" s="121"/>
      <c r="L2455" s="200"/>
      <c r="M2455" s="204"/>
      <c r="N2455" s="205"/>
      <c r="O2455" s="170"/>
      <c r="P2455" s="198"/>
      <c r="Q2455" s="199"/>
      <c r="R2455" s="200"/>
      <c r="S2455" s="170"/>
      <c r="T2455" s="170"/>
      <c r="U2455" s="201"/>
      <c r="V2455" s="198"/>
      <c r="W2455" s="170"/>
      <c r="X2455" s="202"/>
      <c r="Y2455" s="203"/>
      <c r="Z2455" s="170"/>
      <c r="AA2455" s="198"/>
      <c r="AB2455" s="170"/>
      <c r="AC2455" s="170"/>
      <c r="AD2455" s="121"/>
      <c r="AE2455" s="121"/>
      <c r="AF2455" s="121"/>
      <c r="AG2455" s="22"/>
      <c r="AH2455" s="22"/>
      <c r="AI2455" s="22"/>
      <c r="AJ2455" s="22"/>
      <c r="AK2455" s="22"/>
      <c r="AL2455" s="22"/>
      <c r="AM2455" s="22"/>
      <c r="AN2455" s="22"/>
      <c r="AO2455" s="22"/>
      <c r="AP2455" s="22"/>
    </row>
    <row r="2456">
      <c r="A2456" s="193"/>
      <c r="B2456" s="194"/>
      <c r="C2456" s="195"/>
      <c r="D2456" s="196"/>
      <c r="E2456" s="197"/>
      <c r="F2456" s="197"/>
      <c r="G2456" s="195"/>
      <c r="H2456" s="195"/>
      <c r="I2456" s="197"/>
      <c r="J2456" s="121"/>
      <c r="K2456" s="121"/>
      <c r="L2456" s="200"/>
      <c r="M2456" s="204"/>
      <c r="N2456" s="205"/>
      <c r="O2456" s="170"/>
      <c r="P2456" s="198"/>
      <c r="Q2456" s="199"/>
      <c r="R2456" s="200"/>
      <c r="S2456" s="170"/>
      <c r="T2456" s="170"/>
      <c r="U2456" s="201"/>
      <c r="V2456" s="198"/>
      <c r="W2456" s="170"/>
      <c r="X2456" s="202"/>
      <c r="Y2456" s="203"/>
      <c r="Z2456" s="170"/>
      <c r="AA2456" s="198"/>
      <c r="AB2456" s="170"/>
      <c r="AC2456" s="170"/>
      <c r="AD2456" s="121"/>
      <c r="AE2456" s="121"/>
      <c r="AF2456" s="121"/>
      <c r="AG2456" s="22"/>
      <c r="AH2456" s="22"/>
      <c r="AI2456" s="22"/>
      <c r="AJ2456" s="22"/>
      <c r="AK2456" s="22"/>
      <c r="AL2456" s="22"/>
      <c r="AM2456" s="22"/>
      <c r="AN2456" s="22"/>
      <c r="AO2456" s="22"/>
      <c r="AP2456" s="22"/>
    </row>
    <row r="2457">
      <c r="A2457" s="193"/>
      <c r="B2457" s="194"/>
      <c r="C2457" s="195"/>
      <c r="D2457" s="196"/>
      <c r="E2457" s="197"/>
      <c r="F2457" s="197"/>
      <c r="G2457" s="195"/>
      <c r="H2457" s="195"/>
      <c r="I2457" s="197"/>
      <c r="J2457" s="121"/>
      <c r="K2457" s="121"/>
      <c r="L2457" s="200"/>
      <c r="M2457" s="204"/>
      <c r="N2457" s="205"/>
      <c r="O2457" s="170"/>
      <c r="P2457" s="198"/>
      <c r="Q2457" s="199"/>
      <c r="R2457" s="200"/>
      <c r="S2457" s="170"/>
      <c r="T2457" s="170"/>
      <c r="U2457" s="201"/>
      <c r="V2457" s="198"/>
      <c r="W2457" s="170"/>
      <c r="X2457" s="202"/>
      <c r="Y2457" s="203"/>
      <c r="Z2457" s="170"/>
      <c r="AA2457" s="198"/>
      <c r="AB2457" s="170"/>
      <c r="AC2457" s="170"/>
      <c r="AD2457" s="121"/>
      <c r="AE2457" s="121"/>
      <c r="AF2457" s="121"/>
      <c r="AG2457" s="22"/>
      <c r="AH2457" s="22"/>
      <c r="AI2457" s="22"/>
      <c r="AJ2457" s="22"/>
      <c r="AK2457" s="22"/>
      <c r="AL2457" s="22"/>
      <c r="AM2457" s="22"/>
      <c r="AN2457" s="22"/>
      <c r="AO2457" s="22"/>
      <c r="AP2457" s="22"/>
    </row>
    <row r="2458">
      <c r="A2458" s="193"/>
      <c r="B2458" s="194"/>
      <c r="C2458" s="195"/>
      <c r="D2458" s="196"/>
      <c r="E2458" s="197"/>
      <c r="F2458" s="197"/>
      <c r="G2458" s="195"/>
      <c r="H2458" s="195"/>
      <c r="I2458" s="197"/>
      <c r="J2458" s="121"/>
      <c r="K2458" s="121"/>
      <c r="L2458" s="200"/>
      <c r="M2458" s="204"/>
      <c r="N2458" s="205"/>
      <c r="O2458" s="170"/>
      <c r="P2458" s="198"/>
      <c r="Q2458" s="199"/>
      <c r="R2458" s="200"/>
      <c r="S2458" s="170"/>
      <c r="T2458" s="170"/>
      <c r="U2458" s="201"/>
      <c r="V2458" s="198"/>
      <c r="W2458" s="170"/>
      <c r="X2458" s="202"/>
      <c r="Y2458" s="203"/>
      <c r="Z2458" s="170"/>
      <c r="AA2458" s="198"/>
      <c r="AB2458" s="170"/>
      <c r="AC2458" s="170"/>
      <c r="AD2458" s="121"/>
      <c r="AE2458" s="121"/>
      <c r="AF2458" s="121"/>
      <c r="AG2458" s="22"/>
      <c r="AH2458" s="22"/>
      <c r="AI2458" s="22"/>
      <c r="AJ2458" s="22"/>
      <c r="AK2458" s="22"/>
      <c r="AL2458" s="22"/>
      <c r="AM2458" s="22"/>
      <c r="AN2458" s="22"/>
      <c r="AO2458" s="22"/>
      <c r="AP2458" s="22"/>
    </row>
    <row r="2459">
      <c r="A2459" s="193"/>
      <c r="B2459" s="194"/>
      <c r="C2459" s="195"/>
      <c r="D2459" s="196"/>
      <c r="E2459" s="197"/>
      <c r="F2459" s="197"/>
      <c r="G2459" s="195"/>
      <c r="H2459" s="195"/>
      <c r="I2459" s="197"/>
      <c r="J2459" s="121"/>
      <c r="K2459" s="121"/>
      <c r="L2459" s="200"/>
      <c r="M2459" s="204"/>
      <c r="N2459" s="205"/>
      <c r="O2459" s="170"/>
      <c r="P2459" s="198"/>
      <c r="Q2459" s="199"/>
      <c r="R2459" s="200"/>
      <c r="S2459" s="170"/>
      <c r="T2459" s="170"/>
      <c r="U2459" s="201"/>
      <c r="V2459" s="198"/>
      <c r="W2459" s="170"/>
      <c r="X2459" s="202"/>
      <c r="Y2459" s="203"/>
      <c r="Z2459" s="170"/>
      <c r="AA2459" s="198"/>
      <c r="AB2459" s="170"/>
      <c r="AC2459" s="170"/>
      <c r="AD2459" s="121"/>
      <c r="AE2459" s="121"/>
      <c r="AF2459" s="121"/>
      <c r="AG2459" s="22"/>
      <c r="AH2459" s="22"/>
      <c r="AI2459" s="22"/>
      <c r="AJ2459" s="22"/>
      <c r="AK2459" s="22"/>
      <c r="AL2459" s="22"/>
      <c r="AM2459" s="22"/>
      <c r="AN2459" s="22"/>
      <c r="AO2459" s="22"/>
      <c r="AP2459" s="22"/>
    </row>
    <row r="2460">
      <c r="A2460" s="193"/>
      <c r="B2460" s="194"/>
      <c r="C2460" s="195"/>
      <c r="D2460" s="196"/>
      <c r="E2460" s="197"/>
      <c r="F2460" s="197"/>
      <c r="G2460" s="195"/>
      <c r="H2460" s="195"/>
      <c r="I2460" s="197"/>
      <c r="J2460" s="121"/>
      <c r="K2460" s="121"/>
      <c r="L2460" s="200"/>
      <c r="M2460" s="204"/>
      <c r="N2460" s="205"/>
      <c r="O2460" s="170"/>
      <c r="P2460" s="198"/>
      <c r="Q2460" s="199"/>
      <c r="R2460" s="200"/>
      <c r="S2460" s="170"/>
      <c r="T2460" s="170"/>
      <c r="U2460" s="201"/>
      <c r="V2460" s="198"/>
      <c r="W2460" s="170"/>
      <c r="X2460" s="202"/>
      <c r="Y2460" s="203"/>
      <c r="Z2460" s="170"/>
      <c r="AA2460" s="198"/>
      <c r="AB2460" s="170"/>
      <c r="AC2460" s="170"/>
      <c r="AD2460" s="121"/>
      <c r="AE2460" s="121"/>
      <c r="AF2460" s="121"/>
      <c r="AG2460" s="22"/>
      <c r="AH2460" s="22"/>
      <c r="AI2460" s="22"/>
      <c r="AJ2460" s="22"/>
      <c r="AK2460" s="22"/>
      <c r="AL2460" s="22"/>
      <c r="AM2460" s="22"/>
      <c r="AN2460" s="22"/>
      <c r="AO2460" s="22"/>
      <c r="AP2460" s="22"/>
    </row>
    <row r="2461">
      <c r="A2461" s="193"/>
      <c r="B2461" s="194"/>
      <c r="C2461" s="195"/>
      <c r="D2461" s="196"/>
      <c r="E2461" s="197"/>
      <c r="F2461" s="197"/>
      <c r="G2461" s="195"/>
      <c r="H2461" s="195"/>
      <c r="I2461" s="197"/>
      <c r="J2461" s="121"/>
      <c r="K2461" s="121"/>
      <c r="L2461" s="200"/>
      <c r="M2461" s="204"/>
      <c r="N2461" s="205"/>
      <c r="O2461" s="170"/>
      <c r="P2461" s="198"/>
      <c r="Q2461" s="199"/>
      <c r="R2461" s="200"/>
      <c r="S2461" s="170"/>
      <c r="T2461" s="170"/>
      <c r="U2461" s="201"/>
      <c r="V2461" s="198"/>
      <c r="W2461" s="170"/>
      <c r="X2461" s="202"/>
      <c r="Y2461" s="203"/>
      <c r="Z2461" s="170"/>
      <c r="AA2461" s="198"/>
      <c r="AB2461" s="170"/>
      <c r="AC2461" s="170"/>
      <c r="AD2461" s="121"/>
      <c r="AE2461" s="121"/>
      <c r="AF2461" s="121"/>
      <c r="AG2461" s="22"/>
      <c r="AH2461" s="22"/>
      <c r="AI2461" s="22"/>
      <c r="AJ2461" s="22"/>
      <c r="AK2461" s="22"/>
      <c r="AL2461" s="22"/>
      <c r="AM2461" s="22"/>
      <c r="AN2461" s="22"/>
      <c r="AO2461" s="22"/>
      <c r="AP2461" s="22"/>
    </row>
    <row r="2462">
      <c r="A2462" s="193"/>
      <c r="B2462" s="194"/>
      <c r="C2462" s="195"/>
      <c r="D2462" s="196"/>
      <c r="E2462" s="197"/>
      <c r="F2462" s="197"/>
      <c r="G2462" s="195"/>
      <c r="H2462" s="195"/>
      <c r="I2462" s="197"/>
      <c r="J2462" s="121"/>
      <c r="K2462" s="121"/>
      <c r="L2462" s="200"/>
      <c r="M2462" s="204"/>
      <c r="N2462" s="205"/>
      <c r="O2462" s="170"/>
      <c r="P2462" s="198"/>
      <c r="Q2462" s="199"/>
      <c r="R2462" s="200"/>
      <c r="S2462" s="170"/>
      <c r="T2462" s="170"/>
      <c r="U2462" s="201"/>
      <c r="V2462" s="198"/>
      <c r="W2462" s="170"/>
      <c r="X2462" s="202"/>
      <c r="Y2462" s="203"/>
      <c r="Z2462" s="170"/>
      <c r="AA2462" s="198"/>
      <c r="AB2462" s="170"/>
      <c r="AC2462" s="170"/>
      <c r="AD2462" s="121"/>
      <c r="AE2462" s="121"/>
      <c r="AF2462" s="121"/>
      <c r="AG2462" s="22"/>
      <c r="AH2462" s="22"/>
      <c r="AI2462" s="22"/>
      <c r="AJ2462" s="22"/>
      <c r="AK2462" s="22"/>
      <c r="AL2462" s="22"/>
      <c r="AM2462" s="22"/>
      <c r="AN2462" s="22"/>
      <c r="AO2462" s="22"/>
      <c r="AP2462" s="22"/>
    </row>
    <row r="2463">
      <c r="A2463" s="193"/>
      <c r="B2463" s="194"/>
      <c r="C2463" s="195"/>
      <c r="D2463" s="196"/>
      <c r="E2463" s="197"/>
      <c r="F2463" s="197"/>
      <c r="G2463" s="195"/>
      <c r="H2463" s="195"/>
      <c r="I2463" s="197"/>
      <c r="J2463" s="121"/>
      <c r="K2463" s="121"/>
      <c r="L2463" s="200"/>
      <c r="M2463" s="204"/>
      <c r="N2463" s="205"/>
      <c r="O2463" s="170"/>
      <c r="P2463" s="198"/>
      <c r="Q2463" s="199"/>
      <c r="R2463" s="200"/>
      <c r="S2463" s="170"/>
      <c r="T2463" s="170"/>
      <c r="U2463" s="201"/>
      <c r="V2463" s="198"/>
      <c r="W2463" s="170"/>
      <c r="X2463" s="202"/>
      <c r="Y2463" s="203"/>
      <c r="Z2463" s="170"/>
      <c r="AA2463" s="198"/>
      <c r="AB2463" s="170"/>
      <c r="AC2463" s="170"/>
      <c r="AD2463" s="121"/>
      <c r="AE2463" s="121"/>
      <c r="AF2463" s="121"/>
      <c r="AG2463" s="22"/>
      <c r="AH2463" s="22"/>
      <c r="AI2463" s="22"/>
      <c r="AJ2463" s="22"/>
      <c r="AK2463" s="22"/>
      <c r="AL2463" s="22"/>
      <c r="AM2463" s="22"/>
      <c r="AN2463" s="22"/>
      <c r="AO2463" s="22"/>
      <c r="AP2463" s="22"/>
    </row>
    <row r="2464">
      <c r="A2464" s="193"/>
      <c r="B2464" s="194"/>
      <c r="C2464" s="195"/>
      <c r="D2464" s="196"/>
      <c r="E2464" s="197"/>
      <c r="F2464" s="197"/>
      <c r="G2464" s="195"/>
      <c r="H2464" s="195"/>
      <c r="I2464" s="197"/>
      <c r="J2464" s="121"/>
      <c r="K2464" s="121"/>
      <c r="L2464" s="200"/>
      <c r="M2464" s="204"/>
      <c r="N2464" s="205"/>
      <c r="O2464" s="170"/>
      <c r="P2464" s="198"/>
      <c r="Q2464" s="199"/>
      <c r="R2464" s="200"/>
      <c r="S2464" s="170"/>
      <c r="T2464" s="170"/>
      <c r="U2464" s="201"/>
      <c r="V2464" s="198"/>
      <c r="W2464" s="170"/>
      <c r="X2464" s="202"/>
      <c r="Y2464" s="203"/>
      <c r="Z2464" s="170"/>
      <c r="AA2464" s="198"/>
      <c r="AB2464" s="170"/>
      <c r="AC2464" s="170"/>
      <c r="AD2464" s="121"/>
      <c r="AE2464" s="121"/>
      <c r="AF2464" s="121"/>
      <c r="AG2464" s="22"/>
      <c r="AH2464" s="22"/>
      <c r="AI2464" s="22"/>
      <c r="AJ2464" s="22"/>
      <c r="AK2464" s="22"/>
      <c r="AL2464" s="22"/>
      <c r="AM2464" s="22"/>
      <c r="AN2464" s="22"/>
      <c r="AO2464" s="22"/>
      <c r="AP2464" s="22"/>
    </row>
    <row r="2465">
      <c r="A2465" s="193"/>
      <c r="B2465" s="194"/>
      <c r="C2465" s="195"/>
      <c r="D2465" s="196"/>
      <c r="E2465" s="197"/>
      <c r="F2465" s="197"/>
      <c r="G2465" s="195"/>
      <c r="H2465" s="195"/>
      <c r="I2465" s="197"/>
      <c r="J2465" s="121"/>
      <c r="K2465" s="121"/>
      <c r="L2465" s="200"/>
      <c r="M2465" s="204"/>
      <c r="N2465" s="205"/>
      <c r="O2465" s="170"/>
      <c r="P2465" s="198"/>
      <c r="Q2465" s="199"/>
      <c r="R2465" s="200"/>
      <c r="S2465" s="170"/>
      <c r="T2465" s="170"/>
      <c r="U2465" s="201"/>
      <c r="V2465" s="198"/>
      <c r="W2465" s="170"/>
      <c r="X2465" s="202"/>
      <c r="Y2465" s="203"/>
      <c r="Z2465" s="170"/>
      <c r="AA2465" s="198"/>
      <c r="AB2465" s="170"/>
      <c r="AC2465" s="170"/>
      <c r="AD2465" s="121"/>
      <c r="AE2465" s="121"/>
      <c r="AF2465" s="121"/>
      <c r="AG2465" s="22"/>
      <c r="AH2465" s="22"/>
      <c r="AI2465" s="22"/>
      <c r="AJ2465" s="22"/>
      <c r="AK2465" s="22"/>
      <c r="AL2465" s="22"/>
      <c r="AM2465" s="22"/>
      <c r="AN2465" s="22"/>
      <c r="AO2465" s="22"/>
      <c r="AP2465" s="22"/>
    </row>
    <row r="2466">
      <c r="A2466" s="193"/>
      <c r="B2466" s="194"/>
      <c r="C2466" s="195"/>
      <c r="D2466" s="196"/>
      <c r="E2466" s="197"/>
      <c r="F2466" s="197"/>
      <c r="G2466" s="195"/>
      <c r="H2466" s="195"/>
      <c r="I2466" s="197"/>
      <c r="J2466" s="121"/>
      <c r="K2466" s="121"/>
      <c r="L2466" s="200"/>
      <c r="M2466" s="204"/>
      <c r="N2466" s="205"/>
      <c r="O2466" s="170"/>
      <c r="P2466" s="198"/>
      <c r="Q2466" s="199"/>
      <c r="R2466" s="200"/>
      <c r="S2466" s="170"/>
      <c r="T2466" s="170"/>
      <c r="U2466" s="201"/>
      <c r="V2466" s="198"/>
      <c r="W2466" s="170"/>
      <c r="X2466" s="202"/>
      <c r="Y2466" s="203"/>
      <c r="Z2466" s="170"/>
      <c r="AA2466" s="198"/>
      <c r="AB2466" s="170"/>
      <c r="AC2466" s="170"/>
      <c r="AD2466" s="121"/>
      <c r="AE2466" s="121"/>
      <c r="AF2466" s="121"/>
      <c r="AG2466" s="22"/>
      <c r="AH2466" s="22"/>
      <c r="AI2466" s="22"/>
      <c r="AJ2466" s="22"/>
      <c r="AK2466" s="22"/>
      <c r="AL2466" s="22"/>
      <c r="AM2466" s="22"/>
      <c r="AN2466" s="22"/>
      <c r="AO2466" s="22"/>
      <c r="AP2466" s="22"/>
    </row>
    <row r="2467">
      <c r="A2467" s="193"/>
      <c r="B2467" s="194"/>
      <c r="C2467" s="195"/>
      <c r="D2467" s="196"/>
      <c r="E2467" s="197"/>
      <c r="F2467" s="197"/>
      <c r="G2467" s="195"/>
      <c r="H2467" s="195"/>
      <c r="I2467" s="197"/>
      <c r="J2467" s="121"/>
      <c r="K2467" s="121"/>
      <c r="L2467" s="200"/>
      <c r="M2467" s="204"/>
      <c r="N2467" s="205"/>
      <c r="O2467" s="170"/>
      <c r="P2467" s="198"/>
      <c r="Q2467" s="199"/>
      <c r="R2467" s="200"/>
      <c r="S2467" s="170"/>
      <c r="T2467" s="170"/>
      <c r="U2467" s="201"/>
      <c r="V2467" s="198"/>
      <c r="W2467" s="170"/>
      <c r="X2467" s="202"/>
      <c r="Y2467" s="203"/>
      <c r="Z2467" s="170"/>
      <c r="AA2467" s="198"/>
      <c r="AB2467" s="170"/>
      <c r="AC2467" s="170"/>
      <c r="AD2467" s="121"/>
      <c r="AE2467" s="121"/>
      <c r="AF2467" s="121"/>
      <c r="AG2467" s="22"/>
      <c r="AH2467" s="22"/>
      <c r="AI2467" s="22"/>
      <c r="AJ2467" s="22"/>
      <c r="AK2467" s="22"/>
      <c r="AL2467" s="22"/>
      <c r="AM2467" s="22"/>
      <c r="AN2467" s="22"/>
      <c r="AO2467" s="22"/>
      <c r="AP2467" s="22"/>
    </row>
    <row r="2468">
      <c r="A2468" s="193"/>
      <c r="B2468" s="194"/>
      <c r="C2468" s="195"/>
      <c r="D2468" s="196"/>
      <c r="E2468" s="197"/>
      <c r="F2468" s="197"/>
      <c r="G2468" s="195"/>
      <c r="H2468" s="195"/>
      <c r="I2468" s="197"/>
      <c r="J2468" s="121"/>
      <c r="K2468" s="121"/>
      <c r="L2468" s="200"/>
      <c r="M2468" s="204"/>
      <c r="N2468" s="205"/>
      <c r="O2468" s="170"/>
      <c r="P2468" s="198"/>
      <c r="Q2468" s="199"/>
      <c r="R2468" s="200"/>
      <c r="S2468" s="170"/>
      <c r="T2468" s="170"/>
      <c r="U2468" s="201"/>
      <c r="V2468" s="198"/>
      <c r="W2468" s="170"/>
      <c r="X2468" s="202"/>
      <c r="Y2468" s="203"/>
      <c r="Z2468" s="170"/>
      <c r="AA2468" s="198"/>
      <c r="AB2468" s="170"/>
      <c r="AC2468" s="170"/>
      <c r="AD2468" s="121"/>
      <c r="AE2468" s="121"/>
      <c r="AF2468" s="121"/>
      <c r="AG2468" s="22"/>
      <c r="AH2468" s="22"/>
      <c r="AI2468" s="22"/>
      <c r="AJ2468" s="22"/>
      <c r="AK2468" s="22"/>
      <c r="AL2468" s="22"/>
      <c r="AM2468" s="22"/>
      <c r="AN2468" s="22"/>
      <c r="AO2468" s="22"/>
      <c r="AP2468" s="22"/>
    </row>
    <row r="2469">
      <c r="A2469" s="193"/>
      <c r="B2469" s="194"/>
      <c r="C2469" s="195"/>
      <c r="D2469" s="196"/>
      <c r="E2469" s="197"/>
      <c r="F2469" s="197"/>
      <c r="G2469" s="195"/>
      <c r="H2469" s="195"/>
      <c r="I2469" s="197"/>
      <c r="J2469" s="121"/>
      <c r="K2469" s="121"/>
      <c r="L2469" s="200"/>
      <c r="M2469" s="204"/>
      <c r="N2469" s="205"/>
      <c r="O2469" s="170"/>
      <c r="P2469" s="198"/>
      <c r="Q2469" s="199"/>
      <c r="R2469" s="200"/>
      <c r="S2469" s="170"/>
      <c r="T2469" s="170"/>
      <c r="U2469" s="201"/>
      <c r="V2469" s="198"/>
      <c r="W2469" s="170"/>
      <c r="X2469" s="202"/>
      <c r="Y2469" s="203"/>
      <c r="Z2469" s="170"/>
      <c r="AA2469" s="198"/>
      <c r="AB2469" s="170"/>
      <c r="AC2469" s="170"/>
      <c r="AD2469" s="121"/>
      <c r="AE2469" s="121"/>
      <c r="AF2469" s="121"/>
      <c r="AG2469" s="22"/>
      <c r="AH2469" s="22"/>
      <c r="AI2469" s="22"/>
      <c r="AJ2469" s="22"/>
      <c r="AK2469" s="22"/>
      <c r="AL2469" s="22"/>
      <c r="AM2469" s="22"/>
      <c r="AN2469" s="22"/>
      <c r="AO2469" s="22"/>
      <c r="AP2469" s="22"/>
    </row>
    <row r="2470">
      <c r="A2470" s="193"/>
      <c r="B2470" s="194"/>
      <c r="C2470" s="195"/>
      <c r="D2470" s="196"/>
      <c r="E2470" s="197"/>
      <c r="F2470" s="197"/>
      <c r="G2470" s="195"/>
      <c r="H2470" s="195"/>
      <c r="I2470" s="197"/>
      <c r="J2470" s="121"/>
      <c r="K2470" s="121"/>
      <c r="L2470" s="200"/>
      <c r="M2470" s="204"/>
      <c r="N2470" s="205"/>
      <c r="O2470" s="170"/>
      <c r="P2470" s="198"/>
      <c r="Q2470" s="199"/>
      <c r="R2470" s="200"/>
      <c r="S2470" s="170"/>
      <c r="T2470" s="170"/>
      <c r="U2470" s="201"/>
      <c r="V2470" s="198"/>
      <c r="W2470" s="170"/>
      <c r="X2470" s="202"/>
      <c r="Y2470" s="203"/>
      <c r="Z2470" s="170"/>
      <c r="AA2470" s="198"/>
      <c r="AB2470" s="170"/>
      <c r="AC2470" s="170"/>
      <c r="AD2470" s="121"/>
      <c r="AE2470" s="121"/>
      <c r="AF2470" s="121"/>
      <c r="AG2470" s="22"/>
      <c r="AH2470" s="22"/>
      <c r="AI2470" s="22"/>
      <c r="AJ2470" s="22"/>
      <c r="AK2470" s="22"/>
      <c r="AL2470" s="22"/>
      <c r="AM2470" s="22"/>
      <c r="AN2470" s="22"/>
      <c r="AO2470" s="22"/>
      <c r="AP2470" s="22"/>
    </row>
    <row r="2471">
      <c r="A2471" s="193"/>
      <c r="B2471" s="194"/>
      <c r="C2471" s="195"/>
      <c r="D2471" s="196"/>
      <c r="E2471" s="197"/>
      <c r="F2471" s="197"/>
      <c r="G2471" s="195"/>
      <c r="H2471" s="195"/>
      <c r="I2471" s="197"/>
      <c r="J2471" s="121"/>
      <c r="K2471" s="121"/>
      <c r="L2471" s="200"/>
      <c r="M2471" s="204"/>
      <c r="N2471" s="205"/>
      <c r="O2471" s="170"/>
      <c r="P2471" s="198"/>
      <c r="Q2471" s="199"/>
      <c r="R2471" s="200"/>
      <c r="S2471" s="170"/>
      <c r="T2471" s="170"/>
      <c r="U2471" s="201"/>
      <c r="V2471" s="198"/>
      <c r="W2471" s="170"/>
      <c r="X2471" s="202"/>
      <c r="Y2471" s="203"/>
      <c r="Z2471" s="170"/>
      <c r="AA2471" s="198"/>
      <c r="AB2471" s="170"/>
      <c r="AC2471" s="170"/>
      <c r="AD2471" s="121"/>
      <c r="AE2471" s="121"/>
      <c r="AF2471" s="121"/>
      <c r="AG2471" s="22"/>
      <c r="AH2471" s="22"/>
      <c r="AI2471" s="22"/>
      <c r="AJ2471" s="22"/>
      <c r="AK2471" s="22"/>
      <c r="AL2471" s="22"/>
      <c r="AM2471" s="22"/>
      <c r="AN2471" s="22"/>
      <c r="AO2471" s="22"/>
      <c r="AP2471" s="22"/>
    </row>
    <row r="2472">
      <c r="A2472" s="193"/>
      <c r="B2472" s="194"/>
      <c r="C2472" s="195"/>
      <c r="D2472" s="196"/>
      <c r="E2472" s="197"/>
      <c r="F2472" s="197"/>
      <c r="G2472" s="195"/>
      <c r="H2472" s="195"/>
      <c r="I2472" s="197"/>
      <c r="J2472" s="121"/>
      <c r="K2472" s="121"/>
      <c r="L2472" s="200"/>
      <c r="M2472" s="204"/>
      <c r="N2472" s="205"/>
      <c r="O2472" s="170"/>
      <c r="P2472" s="198"/>
      <c r="Q2472" s="199"/>
      <c r="R2472" s="200"/>
      <c r="S2472" s="170"/>
      <c r="T2472" s="170"/>
      <c r="U2472" s="201"/>
      <c r="V2472" s="198"/>
      <c r="W2472" s="170"/>
      <c r="X2472" s="202"/>
      <c r="Y2472" s="203"/>
      <c r="Z2472" s="170"/>
      <c r="AA2472" s="198"/>
      <c r="AB2472" s="170"/>
      <c r="AC2472" s="170"/>
      <c r="AD2472" s="121"/>
      <c r="AE2472" s="121"/>
      <c r="AF2472" s="121"/>
      <c r="AG2472" s="22"/>
      <c r="AH2472" s="22"/>
      <c r="AI2472" s="22"/>
      <c r="AJ2472" s="22"/>
      <c r="AK2472" s="22"/>
      <c r="AL2472" s="22"/>
      <c r="AM2472" s="22"/>
      <c r="AN2472" s="22"/>
      <c r="AO2472" s="22"/>
      <c r="AP2472" s="22"/>
    </row>
    <row r="2473">
      <c r="A2473" s="193"/>
      <c r="B2473" s="194"/>
      <c r="C2473" s="195"/>
      <c r="D2473" s="196"/>
      <c r="E2473" s="197"/>
      <c r="F2473" s="197"/>
      <c r="G2473" s="195"/>
      <c r="H2473" s="195"/>
      <c r="I2473" s="197"/>
      <c r="J2473" s="121"/>
      <c r="K2473" s="121"/>
      <c r="L2473" s="200"/>
      <c r="M2473" s="204"/>
      <c r="N2473" s="205"/>
      <c r="O2473" s="170"/>
      <c r="P2473" s="198"/>
      <c r="Q2473" s="199"/>
      <c r="R2473" s="200"/>
      <c r="S2473" s="170"/>
      <c r="T2473" s="170"/>
      <c r="U2473" s="201"/>
      <c r="V2473" s="198"/>
      <c r="W2473" s="170"/>
      <c r="X2473" s="202"/>
      <c r="Y2473" s="203"/>
      <c r="Z2473" s="170"/>
      <c r="AA2473" s="198"/>
      <c r="AB2473" s="170"/>
      <c r="AC2473" s="170"/>
      <c r="AD2473" s="121"/>
      <c r="AE2473" s="121"/>
      <c r="AF2473" s="121"/>
      <c r="AG2473" s="22"/>
      <c r="AH2473" s="22"/>
      <c r="AI2473" s="22"/>
      <c r="AJ2473" s="22"/>
      <c r="AK2473" s="22"/>
      <c r="AL2473" s="22"/>
      <c r="AM2473" s="22"/>
      <c r="AN2473" s="22"/>
      <c r="AO2473" s="22"/>
      <c r="AP2473" s="22"/>
    </row>
    <row r="2474">
      <c r="A2474" s="193"/>
      <c r="B2474" s="194"/>
      <c r="C2474" s="195"/>
      <c r="D2474" s="196"/>
      <c r="E2474" s="197"/>
      <c r="F2474" s="197"/>
      <c r="G2474" s="195"/>
      <c r="H2474" s="195"/>
      <c r="I2474" s="197"/>
      <c r="J2474" s="121"/>
      <c r="K2474" s="121"/>
      <c r="L2474" s="200"/>
      <c r="M2474" s="204"/>
      <c r="N2474" s="205"/>
      <c r="O2474" s="170"/>
      <c r="P2474" s="198"/>
      <c r="Q2474" s="199"/>
      <c r="R2474" s="200"/>
      <c r="S2474" s="170"/>
      <c r="T2474" s="170"/>
      <c r="U2474" s="201"/>
      <c r="V2474" s="198"/>
      <c r="W2474" s="170"/>
      <c r="X2474" s="202"/>
      <c r="Y2474" s="203"/>
      <c r="Z2474" s="170"/>
      <c r="AA2474" s="198"/>
      <c r="AB2474" s="170"/>
      <c r="AC2474" s="170"/>
      <c r="AD2474" s="121"/>
      <c r="AE2474" s="121"/>
      <c r="AF2474" s="121"/>
      <c r="AG2474" s="22"/>
      <c r="AH2474" s="22"/>
      <c r="AI2474" s="22"/>
      <c r="AJ2474" s="22"/>
      <c r="AK2474" s="22"/>
      <c r="AL2474" s="22"/>
      <c r="AM2474" s="22"/>
      <c r="AN2474" s="22"/>
      <c r="AO2474" s="22"/>
      <c r="AP2474" s="22"/>
    </row>
    <row r="2475">
      <c r="A2475" s="193"/>
      <c r="B2475" s="194"/>
      <c r="C2475" s="195"/>
      <c r="D2475" s="196"/>
      <c r="E2475" s="197"/>
      <c r="F2475" s="197"/>
      <c r="G2475" s="195"/>
      <c r="H2475" s="195"/>
      <c r="I2475" s="197"/>
      <c r="J2475" s="121"/>
      <c r="K2475" s="121"/>
      <c r="L2475" s="200"/>
      <c r="M2475" s="204"/>
      <c r="N2475" s="205"/>
      <c r="O2475" s="170"/>
      <c r="P2475" s="198"/>
      <c r="Q2475" s="199"/>
      <c r="R2475" s="200"/>
      <c r="S2475" s="170"/>
      <c r="T2475" s="170"/>
      <c r="U2475" s="201"/>
      <c r="V2475" s="198"/>
      <c r="W2475" s="170"/>
      <c r="X2475" s="202"/>
      <c r="Y2475" s="203"/>
      <c r="Z2475" s="170"/>
      <c r="AA2475" s="198"/>
      <c r="AB2475" s="170"/>
      <c r="AC2475" s="170"/>
      <c r="AD2475" s="121"/>
      <c r="AE2475" s="121"/>
      <c r="AF2475" s="121"/>
      <c r="AG2475" s="22"/>
      <c r="AH2475" s="22"/>
      <c r="AI2475" s="22"/>
      <c r="AJ2475" s="22"/>
      <c r="AK2475" s="22"/>
      <c r="AL2475" s="22"/>
      <c r="AM2475" s="22"/>
      <c r="AN2475" s="22"/>
      <c r="AO2475" s="22"/>
      <c r="AP2475" s="22"/>
    </row>
    <row r="2476">
      <c r="A2476" s="193"/>
      <c r="B2476" s="194"/>
      <c r="C2476" s="195"/>
      <c r="D2476" s="196"/>
      <c r="E2476" s="197"/>
      <c r="F2476" s="197"/>
      <c r="G2476" s="195"/>
      <c r="H2476" s="195"/>
      <c r="I2476" s="197"/>
      <c r="J2476" s="121"/>
      <c r="K2476" s="121"/>
      <c r="L2476" s="200"/>
      <c r="M2476" s="204"/>
      <c r="N2476" s="205"/>
      <c r="O2476" s="170"/>
      <c r="P2476" s="198"/>
      <c r="Q2476" s="199"/>
      <c r="R2476" s="200"/>
      <c r="S2476" s="170"/>
      <c r="T2476" s="170"/>
      <c r="U2476" s="201"/>
      <c r="V2476" s="198"/>
      <c r="W2476" s="170"/>
      <c r="X2476" s="202"/>
      <c r="Y2476" s="203"/>
      <c r="Z2476" s="170"/>
      <c r="AA2476" s="198"/>
      <c r="AB2476" s="170"/>
      <c r="AC2476" s="170"/>
      <c r="AD2476" s="121"/>
      <c r="AE2476" s="121"/>
      <c r="AF2476" s="121"/>
      <c r="AG2476" s="22"/>
      <c r="AH2476" s="22"/>
      <c r="AI2476" s="22"/>
      <c r="AJ2476" s="22"/>
      <c r="AK2476" s="22"/>
      <c r="AL2476" s="22"/>
      <c r="AM2476" s="22"/>
      <c r="AN2476" s="22"/>
      <c r="AO2476" s="22"/>
      <c r="AP2476" s="22"/>
    </row>
    <row r="2477">
      <c r="A2477" s="193"/>
      <c r="B2477" s="194"/>
      <c r="C2477" s="195"/>
      <c r="D2477" s="196"/>
      <c r="E2477" s="197"/>
      <c r="F2477" s="197"/>
      <c r="G2477" s="195"/>
      <c r="H2477" s="195"/>
      <c r="I2477" s="197"/>
      <c r="J2477" s="121"/>
      <c r="K2477" s="121"/>
      <c r="L2477" s="200"/>
      <c r="M2477" s="204"/>
      <c r="N2477" s="205"/>
      <c r="O2477" s="170"/>
      <c r="P2477" s="198"/>
      <c r="Q2477" s="199"/>
      <c r="R2477" s="200"/>
      <c r="S2477" s="170"/>
      <c r="T2477" s="170"/>
      <c r="U2477" s="201"/>
      <c r="V2477" s="198"/>
      <c r="W2477" s="170"/>
      <c r="X2477" s="202"/>
      <c r="Y2477" s="203"/>
      <c r="Z2477" s="170"/>
      <c r="AA2477" s="198"/>
      <c r="AB2477" s="170"/>
      <c r="AC2477" s="170"/>
      <c r="AD2477" s="121"/>
      <c r="AE2477" s="121"/>
      <c r="AF2477" s="121"/>
      <c r="AG2477" s="22"/>
      <c r="AH2477" s="22"/>
      <c r="AI2477" s="22"/>
      <c r="AJ2477" s="22"/>
      <c r="AK2477" s="22"/>
      <c r="AL2477" s="22"/>
      <c r="AM2477" s="22"/>
      <c r="AN2477" s="22"/>
      <c r="AO2477" s="22"/>
      <c r="AP2477" s="22"/>
    </row>
    <row r="2478">
      <c r="A2478" s="193"/>
      <c r="B2478" s="194"/>
      <c r="C2478" s="195"/>
      <c r="D2478" s="196"/>
      <c r="E2478" s="197"/>
      <c r="F2478" s="197"/>
      <c r="G2478" s="195"/>
      <c r="H2478" s="195"/>
      <c r="I2478" s="197"/>
      <c r="J2478" s="121"/>
      <c r="K2478" s="121"/>
      <c r="L2478" s="200"/>
      <c r="M2478" s="204"/>
      <c r="N2478" s="205"/>
      <c r="O2478" s="170"/>
      <c r="P2478" s="198"/>
      <c r="Q2478" s="199"/>
      <c r="R2478" s="200"/>
      <c r="S2478" s="170"/>
      <c r="T2478" s="170"/>
      <c r="U2478" s="201"/>
      <c r="V2478" s="198"/>
      <c r="W2478" s="170"/>
      <c r="X2478" s="202"/>
      <c r="Y2478" s="203"/>
      <c r="Z2478" s="170"/>
      <c r="AA2478" s="198"/>
      <c r="AB2478" s="170"/>
      <c r="AC2478" s="170"/>
      <c r="AD2478" s="121"/>
      <c r="AE2478" s="121"/>
      <c r="AF2478" s="121"/>
      <c r="AG2478" s="22"/>
      <c r="AH2478" s="22"/>
      <c r="AI2478" s="22"/>
      <c r="AJ2478" s="22"/>
      <c r="AK2478" s="22"/>
      <c r="AL2478" s="22"/>
      <c r="AM2478" s="22"/>
      <c r="AN2478" s="22"/>
      <c r="AO2478" s="22"/>
      <c r="AP2478" s="22"/>
    </row>
    <row r="2479">
      <c r="A2479" s="193"/>
      <c r="B2479" s="194"/>
      <c r="C2479" s="195"/>
      <c r="D2479" s="196"/>
      <c r="E2479" s="197"/>
      <c r="F2479" s="197"/>
      <c r="G2479" s="195"/>
      <c r="H2479" s="195"/>
      <c r="I2479" s="197"/>
      <c r="J2479" s="121"/>
      <c r="K2479" s="121"/>
      <c r="L2479" s="200"/>
      <c r="M2479" s="204"/>
      <c r="N2479" s="205"/>
      <c r="O2479" s="170"/>
      <c r="P2479" s="198"/>
      <c r="Q2479" s="199"/>
      <c r="R2479" s="200"/>
      <c r="S2479" s="170"/>
      <c r="T2479" s="170"/>
      <c r="U2479" s="201"/>
      <c r="V2479" s="198"/>
      <c r="W2479" s="170"/>
      <c r="X2479" s="202"/>
      <c r="Y2479" s="203"/>
      <c r="Z2479" s="170"/>
      <c r="AA2479" s="198"/>
      <c r="AB2479" s="170"/>
      <c r="AC2479" s="170"/>
      <c r="AD2479" s="121"/>
      <c r="AE2479" s="121"/>
      <c r="AF2479" s="121"/>
      <c r="AG2479" s="22"/>
      <c r="AH2479" s="22"/>
      <c r="AI2479" s="22"/>
      <c r="AJ2479" s="22"/>
      <c r="AK2479" s="22"/>
      <c r="AL2479" s="22"/>
      <c r="AM2479" s="22"/>
      <c r="AN2479" s="22"/>
      <c r="AO2479" s="22"/>
      <c r="AP2479" s="22"/>
    </row>
    <row r="2480">
      <c r="A2480" s="193"/>
      <c r="B2480" s="194"/>
      <c r="C2480" s="195"/>
      <c r="D2480" s="196"/>
      <c r="E2480" s="197"/>
      <c r="F2480" s="197"/>
      <c r="G2480" s="195"/>
      <c r="H2480" s="195"/>
      <c r="I2480" s="197"/>
      <c r="J2480" s="121"/>
      <c r="K2480" s="121"/>
      <c r="L2480" s="200"/>
      <c r="M2480" s="204"/>
      <c r="N2480" s="205"/>
      <c r="O2480" s="170"/>
      <c r="P2480" s="198"/>
      <c r="Q2480" s="199"/>
      <c r="R2480" s="200"/>
      <c r="S2480" s="170"/>
      <c r="T2480" s="170"/>
      <c r="U2480" s="201"/>
      <c r="V2480" s="198"/>
      <c r="W2480" s="170"/>
      <c r="X2480" s="202"/>
      <c r="Y2480" s="203"/>
      <c r="Z2480" s="170"/>
      <c r="AA2480" s="198"/>
      <c r="AB2480" s="170"/>
      <c r="AC2480" s="170"/>
      <c r="AD2480" s="121"/>
      <c r="AE2480" s="121"/>
      <c r="AF2480" s="121"/>
      <c r="AG2480" s="22"/>
      <c r="AH2480" s="22"/>
      <c r="AI2480" s="22"/>
      <c r="AJ2480" s="22"/>
      <c r="AK2480" s="22"/>
      <c r="AL2480" s="22"/>
      <c r="AM2480" s="22"/>
      <c r="AN2480" s="22"/>
      <c r="AO2480" s="22"/>
      <c r="AP2480" s="22"/>
    </row>
    <row r="2481">
      <c r="A2481" s="193"/>
      <c r="B2481" s="194"/>
      <c r="C2481" s="195"/>
      <c r="D2481" s="196"/>
      <c r="E2481" s="197"/>
      <c r="F2481" s="197"/>
      <c r="G2481" s="195"/>
      <c r="H2481" s="195"/>
      <c r="I2481" s="197"/>
      <c r="J2481" s="121"/>
      <c r="K2481" s="121"/>
      <c r="L2481" s="200"/>
      <c r="M2481" s="204"/>
      <c r="N2481" s="205"/>
      <c r="O2481" s="170"/>
      <c r="P2481" s="198"/>
      <c r="Q2481" s="199"/>
      <c r="R2481" s="200"/>
      <c r="S2481" s="170"/>
      <c r="T2481" s="170"/>
      <c r="U2481" s="201"/>
      <c r="V2481" s="198"/>
      <c r="W2481" s="170"/>
      <c r="X2481" s="202"/>
      <c r="Y2481" s="203"/>
      <c r="Z2481" s="170"/>
      <c r="AA2481" s="198"/>
      <c r="AB2481" s="170"/>
      <c r="AC2481" s="170"/>
      <c r="AD2481" s="121"/>
      <c r="AE2481" s="121"/>
      <c r="AF2481" s="121"/>
      <c r="AG2481" s="22"/>
      <c r="AH2481" s="22"/>
      <c r="AI2481" s="22"/>
      <c r="AJ2481" s="22"/>
      <c r="AK2481" s="22"/>
      <c r="AL2481" s="22"/>
      <c r="AM2481" s="22"/>
      <c r="AN2481" s="22"/>
      <c r="AO2481" s="22"/>
      <c r="AP2481" s="22"/>
    </row>
    <row r="2482">
      <c r="A2482" s="193"/>
      <c r="B2482" s="194"/>
      <c r="C2482" s="195"/>
      <c r="D2482" s="196"/>
      <c r="E2482" s="197"/>
      <c r="F2482" s="197"/>
      <c r="G2482" s="195"/>
      <c r="H2482" s="195"/>
      <c r="I2482" s="197"/>
      <c r="J2482" s="121"/>
      <c r="K2482" s="121"/>
      <c r="L2482" s="200"/>
      <c r="M2482" s="204"/>
      <c r="N2482" s="205"/>
      <c r="O2482" s="170"/>
      <c r="P2482" s="198"/>
      <c r="Q2482" s="199"/>
      <c r="R2482" s="200"/>
      <c r="S2482" s="170"/>
      <c r="T2482" s="170"/>
      <c r="U2482" s="201"/>
      <c r="V2482" s="198"/>
      <c r="W2482" s="170"/>
      <c r="X2482" s="202"/>
      <c r="Y2482" s="203"/>
      <c r="Z2482" s="170"/>
      <c r="AA2482" s="198"/>
      <c r="AB2482" s="170"/>
      <c r="AC2482" s="170"/>
      <c r="AD2482" s="121"/>
      <c r="AE2482" s="121"/>
      <c r="AF2482" s="121"/>
      <c r="AG2482" s="22"/>
      <c r="AH2482" s="22"/>
      <c r="AI2482" s="22"/>
      <c r="AJ2482" s="22"/>
      <c r="AK2482" s="22"/>
      <c r="AL2482" s="22"/>
      <c r="AM2482" s="22"/>
      <c r="AN2482" s="22"/>
      <c r="AO2482" s="22"/>
      <c r="AP2482" s="22"/>
    </row>
    <row r="2483">
      <c r="A2483" s="193"/>
      <c r="B2483" s="194"/>
      <c r="C2483" s="195"/>
      <c r="D2483" s="196"/>
      <c r="E2483" s="197"/>
      <c r="F2483" s="197"/>
      <c r="G2483" s="195"/>
      <c r="H2483" s="195"/>
      <c r="I2483" s="197"/>
      <c r="J2483" s="121"/>
      <c r="K2483" s="121"/>
      <c r="L2483" s="200"/>
      <c r="M2483" s="204"/>
      <c r="N2483" s="205"/>
      <c r="O2483" s="170"/>
      <c r="P2483" s="198"/>
      <c r="Q2483" s="199"/>
      <c r="R2483" s="200"/>
      <c r="S2483" s="170"/>
      <c r="T2483" s="170"/>
      <c r="U2483" s="201"/>
      <c r="V2483" s="198"/>
      <c r="W2483" s="170"/>
      <c r="X2483" s="202"/>
      <c r="Y2483" s="203"/>
      <c r="Z2483" s="170"/>
      <c r="AA2483" s="198"/>
      <c r="AB2483" s="170"/>
      <c r="AC2483" s="170"/>
      <c r="AD2483" s="121"/>
      <c r="AE2483" s="121"/>
      <c r="AF2483" s="121"/>
      <c r="AG2483" s="22"/>
      <c r="AH2483" s="22"/>
      <c r="AI2483" s="22"/>
      <c r="AJ2483" s="22"/>
      <c r="AK2483" s="22"/>
      <c r="AL2483" s="22"/>
      <c r="AM2483" s="22"/>
      <c r="AN2483" s="22"/>
      <c r="AO2483" s="22"/>
      <c r="AP2483" s="22"/>
    </row>
    <row r="2484">
      <c r="A2484" s="193"/>
      <c r="B2484" s="194"/>
      <c r="C2484" s="195"/>
      <c r="D2484" s="196"/>
      <c r="E2484" s="197"/>
      <c r="F2484" s="197"/>
      <c r="G2484" s="195"/>
      <c r="H2484" s="195"/>
      <c r="I2484" s="197"/>
      <c r="J2484" s="121"/>
      <c r="K2484" s="121"/>
      <c r="L2484" s="200"/>
      <c r="M2484" s="204"/>
      <c r="N2484" s="205"/>
      <c r="O2484" s="170"/>
      <c r="P2484" s="198"/>
      <c r="Q2484" s="199"/>
      <c r="R2484" s="200"/>
      <c r="S2484" s="170"/>
      <c r="T2484" s="170"/>
      <c r="U2484" s="201"/>
      <c r="V2484" s="198"/>
      <c r="W2484" s="170"/>
      <c r="X2484" s="202"/>
      <c r="Y2484" s="203"/>
      <c r="Z2484" s="170"/>
      <c r="AA2484" s="198"/>
      <c r="AB2484" s="170"/>
      <c r="AC2484" s="170"/>
      <c r="AD2484" s="121"/>
      <c r="AE2484" s="121"/>
      <c r="AF2484" s="121"/>
      <c r="AG2484" s="22"/>
      <c r="AH2484" s="22"/>
      <c r="AI2484" s="22"/>
      <c r="AJ2484" s="22"/>
      <c r="AK2484" s="22"/>
      <c r="AL2484" s="22"/>
      <c r="AM2484" s="22"/>
      <c r="AN2484" s="22"/>
      <c r="AO2484" s="22"/>
      <c r="AP2484" s="22"/>
    </row>
    <row r="2485">
      <c r="A2485" s="193"/>
      <c r="B2485" s="194"/>
      <c r="C2485" s="195"/>
      <c r="D2485" s="196"/>
      <c r="E2485" s="197"/>
      <c r="F2485" s="197"/>
      <c r="G2485" s="195"/>
      <c r="H2485" s="195"/>
      <c r="I2485" s="197"/>
      <c r="J2485" s="121"/>
      <c r="K2485" s="121"/>
      <c r="L2485" s="200"/>
      <c r="M2485" s="204"/>
      <c r="N2485" s="205"/>
      <c r="O2485" s="170"/>
      <c r="P2485" s="198"/>
      <c r="Q2485" s="199"/>
      <c r="R2485" s="200"/>
      <c r="S2485" s="170"/>
      <c r="T2485" s="170"/>
      <c r="U2485" s="201"/>
      <c r="V2485" s="198"/>
      <c r="W2485" s="170"/>
      <c r="X2485" s="202"/>
      <c r="Y2485" s="203"/>
      <c r="Z2485" s="170"/>
      <c r="AA2485" s="198"/>
      <c r="AB2485" s="170"/>
      <c r="AC2485" s="170"/>
      <c r="AD2485" s="121"/>
      <c r="AE2485" s="121"/>
      <c r="AF2485" s="121"/>
      <c r="AG2485" s="22"/>
      <c r="AH2485" s="22"/>
      <c r="AI2485" s="22"/>
      <c r="AJ2485" s="22"/>
      <c r="AK2485" s="22"/>
      <c r="AL2485" s="22"/>
      <c r="AM2485" s="22"/>
      <c r="AN2485" s="22"/>
      <c r="AO2485" s="22"/>
      <c r="AP2485" s="22"/>
    </row>
    <row r="2486">
      <c r="A2486" s="193"/>
      <c r="B2486" s="194"/>
      <c r="C2486" s="195"/>
      <c r="D2486" s="196"/>
      <c r="E2486" s="197"/>
      <c r="F2486" s="197"/>
      <c r="G2486" s="195"/>
      <c r="H2486" s="195"/>
      <c r="I2486" s="197"/>
      <c r="J2486" s="121"/>
      <c r="K2486" s="121"/>
      <c r="L2486" s="200"/>
      <c r="M2486" s="204"/>
      <c r="N2486" s="205"/>
      <c r="O2486" s="170"/>
      <c r="P2486" s="198"/>
      <c r="Q2486" s="199"/>
      <c r="R2486" s="200"/>
      <c r="S2486" s="170"/>
      <c r="T2486" s="170"/>
      <c r="U2486" s="201"/>
      <c r="V2486" s="198"/>
      <c r="W2486" s="170"/>
      <c r="X2486" s="202"/>
      <c r="Y2486" s="203"/>
      <c r="Z2486" s="170"/>
      <c r="AA2486" s="198"/>
      <c r="AB2486" s="170"/>
      <c r="AC2486" s="170"/>
      <c r="AD2486" s="121"/>
      <c r="AE2486" s="121"/>
      <c r="AF2486" s="121"/>
      <c r="AG2486" s="22"/>
      <c r="AH2486" s="22"/>
      <c r="AI2486" s="22"/>
      <c r="AJ2486" s="22"/>
      <c r="AK2486" s="22"/>
      <c r="AL2486" s="22"/>
      <c r="AM2486" s="22"/>
      <c r="AN2486" s="22"/>
      <c r="AO2486" s="22"/>
      <c r="AP2486" s="22"/>
    </row>
    <row r="2487">
      <c r="A2487" s="193"/>
      <c r="B2487" s="194"/>
      <c r="C2487" s="195"/>
      <c r="D2487" s="196"/>
      <c r="E2487" s="197"/>
      <c r="F2487" s="197"/>
      <c r="G2487" s="195"/>
      <c r="H2487" s="195"/>
      <c r="I2487" s="197"/>
      <c r="J2487" s="121"/>
      <c r="K2487" s="121"/>
      <c r="L2487" s="200"/>
      <c r="M2487" s="204"/>
      <c r="N2487" s="205"/>
      <c r="O2487" s="170"/>
      <c r="P2487" s="198"/>
      <c r="Q2487" s="199"/>
      <c r="R2487" s="200"/>
      <c r="S2487" s="170"/>
      <c r="T2487" s="170"/>
      <c r="U2487" s="201"/>
      <c r="V2487" s="198"/>
      <c r="W2487" s="170"/>
      <c r="X2487" s="202"/>
      <c r="Y2487" s="203"/>
      <c r="Z2487" s="170"/>
      <c r="AA2487" s="198"/>
      <c r="AB2487" s="170"/>
      <c r="AC2487" s="170"/>
      <c r="AD2487" s="121"/>
      <c r="AE2487" s="121"/>
      <c r="AF2487" s="121"/>
      <c r="AG2487" s="22"/>
      <c r="AH2487" s="22"/>
      <c r="AI2487" s="22"/>
      <c r="AJ2487" s="22"/>
      <c r="AK2487" s="22"/>
      <c r="AL2487" s="22"/>
      <c r="AM2487" s="22"/>
      <c r="AN2487" s="22"/>
      <c r="AO2487" s="22"/>
      <c r="AP2487" s="22"/>
    </row>
    <row r="2488">
      <c r="A2488" s="193"/>
      <c r="B2488" s="194"/>
      <c r="C2488" s="195"/>
      <c r="D2488" s="196"/>
      <c r="E2488" s="197"/>
      <c r="F2488" s="197"/>
      <c r="G2488" s="195"/>
      <c r="H2488" s="195"/>
      <c r="I2488" s="197"/>
      <c r="J2488" s="121"/>
      <c r="K2488" s="121"/>
      <c r="L2488" s="200"/>
      <c r="M2488" s="204"/>
      <c r="N2488" s="205"/>
      <c r="O2488" s="170"/>
      <c r="P2488" s="198"/>
      <c r="Q2488" s="199"/>
      <c r="R2488" s="200"/>
      <c r="S2488" s="170"/>
      <c r="T2488" s="170"/>
      <c r="U2488" s="201"/>
      <c r="V2488" s="198"/>
      <c r="W2488" s="170"/>
      <c r="X2488" s="202"/>
      <c r="Y2488" s="203"/>
      <c r="Z2488" s="170"/>
      <c r="AA2488" s="198"/>
      <c r="AB2488" s="170"/>
      <c r="AC2488" s="170"/>
      <c r="AD2488" s="121"/>
      <c r="AE2488" s="121"/>
      <c r="AF2488" s="121"/>
      <c r="AG2488" s="22"/>
      <c r="AH2488" s="22"/>
      <c r="AI2488" s="22"/>
      <c r="AJ2488" s="22"/>
      <c r="AK2488" s="22"/>
      <c r="AL2488" s="22"/>
      <c r="AM2488" s="22"/>
      <c r="AN2488" s="22"/>
      <c r="AO2488" s="22"/>
      <c r="AP2488" s="22"/>
    </row>
    <row r="2489">
      <c r="A2489" s="193"/>
      <c r="B2489" s="194"/>
      <c r="C2489" s="195"/>
      <c r="D2489" s="196"/>
      <c r="E2489" s="197"/>
      <c r="F2489" s="197"/>
      <c r="G2489" s="195"/>
      <c r="H2489" s="195"/>
      <c r="I2489" s="197"/>
      <c r="J2489" s="121"/>
      <c r="K2489" s="121"/>
      <c r="L2489" s="200"/>
      <c r="M2489" s="204"/>
      <c r="N2489" s="205"/>
      <c r="O2489" s="170"/>
      <c r="P2489" s="198"/>
      <c r="Q2489" s="199"/>
      <c r="R2489" s="200"/>
      <c r="S2489" s="170"/>
      <c r="T2489" s="170"/>
      <c r="U2489" s="201"/>
      <c r="V2489" s="198"/>
      <c r="W2489" s="170"/>
      <c r="X2489" s="202"/>
      <c r="Y2489" s="203"/>
      <c r="Z2489" s="170"/>
      <c r="AA2489" s="198"/>
      <c r="AB2489" s="170"/>
      <c r="AC2489" s="170"/>
      <c r="AD2489" s="121"/>
      <c r="AE2489" s="121"/>
      <c r="AF2489" s="121"/>
      <c r="AG2489" s="22"/>
      <c r="AH2489" s="22"/>
      <c r="AI2489" s="22"/>
      <c r="AJ2489" s="22"/>
      <c r="AK2489" s="22"/>
      <c r="AL2489" s="22"/>
      <c r="AM2489" s="22"/>
      <c r="AN2489" s="22"/>
      <c r="AO2489" s="22"/>
      <c r="AP2489" s="22"/>
    </row>
    <row r="2490">
      <c r="A2490" s="193"/>
      <c r="B2490" s="194"/>
      <c r="C2490" s="195"/>
      <c r="D2490" s="196"/>
      <c r="E2490" s="197"/>
      <c r="F2490" s="197"/>
      <c r="G2490" s="195"/>
      <c r="H2490" s="195"/>
      <c r="I2490" s="197"/>
      <c r="J2490" s="121"/>
      <c r="K2490" s="121"/>
      <c r="L2490" s="200"/>
      <c r="M2490" s="204"/>
      <c r="N2490" s="205"/>
      <c r="O2490" s="170"/>
      <c r="P2490" s="198"/>
      <c r="Q2490" s="199"/>
      <c r="R2490" s="200"/>
      <c r="S2490" s="170"/>
      <c r="T2490" s="170"/>
      <c r="U2490" s="201"/>
      <c r="V2490" s="198"/>
      <c r="W2490" s="170"/>
      <c r="X2490" s="202"/>
      <c r="Y2490" s="203"/>
      <c r="Z2490" s="170"/>
      <c r="AA2490" s="198"/>
      <c r="AB2490" s="170"/>
      <c r="AC2490" s="170"/>
      <c r="AD2490" s="121"/>
      <c r="AE2490" s="121"/>
      <c r="AF2490" s="121"/>
      <c r="AG2490" s="22"/>
      <c r="AH2490" s="22"/>
      <c r="AI2490" s="22"/>
      <c r="AJ2490" s="22"/>
      <c r="AK2490" s="22"/>
      <c r="AL2490" s="22"/>
      <c r="AM2490" s="22"/>
      <c r="AN2490" s="22"/>
      <c r="AO2490" s="22"/>
      <c r="AP2490" s="22"/>
    </row>
    <row r="2491">
      <c r="A2491" s="193"/>
      <c r="B2491" s="194"/>
      <c r="C2491" s="195"/>
      <c r="D2491" s="196"/>
      <c r="E2491" s="197"/>
      <c r="F2491" s="197"/>
      <c r="G2491" s="195"/>
      <c r="H2491" s="195"/>
      <c r="I2491" s="197"/>
      <c r="J2491" s="121"/>
      <c r="K2491" s="121"/>
      <c r="L2491" s="200"/>
      <c r="M2491" s="204"/>
      <c r="N2491" s="205"/>
      <c r="O2491" s="170"/>
      <c r="P2491" s="198"/>
      <c r="Q2491" s="199"/>
      <c r="R2491" s="200"/>
      <c r="S2491" s="170"/>
      <c r="T2491" s="170"/>
      <c r="U2491" s="201"/>
      <c r="V2491" s="198"/>
      <c r="W2491" s="170"/>
      <c r="X2491" s="202"/>
      <c r="Y2491" s="203"/>
      <c r="Z2491" s="170"/>
      <c r="AA2491" s="198"/>
      <c r="AB2491" s="170"/>
      <c r="AC2491" s="170"/>
      <c r="AD2491" s="121"/>
      <c r="AE2491" s="121"/>
      <c r="AF2491" s="121"/>
      <c r="AG2491" s="22"/>
      <c r="AH2491" s="22"/>
      <c r="AI2491" s="22"/>
      <c r="AJ2491" s="22"/>
      <c r="AK2491" s="22"/>
      <c r="AL2491" s="22"/>
      <c r="AM2491" s="22"/>
      <c r="AN2491" s="22"/>
      <c r="AO2491" s="22"/>
      <c r="AP2491" s="22"/>
    </row>
    <row r="2492">
      <c r="A2492" s="193"/>
      <c r="B2492" s="194"/>
      <c r="C2492" s="195"/>
      <c r="D2492" s="196"/>
      <c r="E2492" s="197"/>
      <c r="F2492" s="197"/>
      <c r="G2492" s="195"/>
      <c r="H2492" s="195"/>
      <c r="I2492" s="197"/>
      <c r="J2492" s="121"/>
      <c r="K2492" s="121"/>
      <c r="L2492" s="200"/>
      <c r="M2492" s="204"/>
      <c r="N2492" s="205"/>
      <c r="O2492" s="170"/>
      <c r="P2492" s="198"/>
      <c r="Q2492" s="199"/>
      <c r="R2492" s="200"/>
      <c r="S2492" s="170"/>
      <c r="T2492" s="170"/>
      <c r="U2492" s="201"/>
      <c r="V2492" s="198"/>
      <c r="W2492" s="170"/>
      <c r="X2492" s="202"/>
      <c r="Y2492" s="203"/>
      <c r="Z2492" s="170"/>
      <c r="AA2492" s="198"/>
      <c r="AB2492" s="170"/>
      <c r="AC2492" s="170"/>
      <c r="AD2492" s="121"/>
      <c r="AE2492" s="121"/>
      <c r="AF2492" s="121"/>
      <c r="AG2492" s="22"/>
      <c r="AH2492" s="22"/>
      <c r="AI2492" s="22"/>
      <c r="AJ2492" s="22"/>
      <c r="AK2492" s="22"/>
      <c r="AL2492" s="22"/>
      <c r="AM2492" s="22"/>
      <c r="AN2492" s="22"/>
      <c r="AO2492" s="22"/>
      <c r="AP2492" s="22"/>
    </row>
    <row r="2493">
      <c r="A2493" s="193"/>
      <c r="B2493" s="194"/>
      <c r="C2493" s="195"/>
      <c r="D2493" s="196"/>
      <c r="E2493" s="197"/>
      <c r="F2493" s="197"/>
      <c r="G2493" s="195"/>
      <c r="H2493" s="195"/>
      <c r="I2493" s="197"/>
      <c r="J2493" s="121"/>
      <c r="K2493" s="121"/>
      <c r="L2493" s="200"/>
      <c r="M2493" s="204"/>
      <c r="N2493" s="205"/>
      <c r="O2493" s="170"/>
      <c r="P2493" s="198"/>
      <c r="Q2493" s="199"/>
      <c r="R2493" s="200"/>
      <c r="S2493" s="170"/>
      <c r="T2493" s="170"/>
      <c r="U2493" s="201"/>
      <c r="V2493" s="198"/>
      <c r="W2493" s="170"/>
      <c r="X2493" s="202"/>
      <c r="Y2493" s="203"/>
      <c r="Z2493" s="170"/>
      <c r="AA2493" s="198"/>
      <c r="AB2493" s="170"/>
      <c r="AC2493" s="170"/>
      <c r="AD2493" s="121"/>
      <c r="AE2493" s="121"/>
      <c r="AF2493" s="121"/>
      <c r="AG2493" s="22"/>
      <c r="AH2493" s="22"/>
      <c r="AI2493" s="22"/>
      <c r="AJ2493" s="22"/>
      <c r="AK2493" s="22"/>
      <c r="AL2493" s="22"/>
      <c r="AM2493" s="22"/>
      <c r="AN2493" s="22"/>
      <c r="AO2493" s="22"/>
      <c r="AP2493" s="22"/>
    </row>
    <row r="2494">
      <c r="A2494" s="193"/>
      <c r="B2494" s="194"/>
      <c r="C2494" s="195"/>
      <c r="D2494" s="196"/>
      <c r="E2494" s="197"/>
      <c r="F2494" s="197"/>
      <c r="G2494" s="195"/>
      <c r="H2494" s="195"/>
      <c r="I2494" s="197"/>
      <c r="J2494" s="121"/>
      <c r="K2494" s="121"/>
      <c r="L2494" s="200"/>
      <c r="M2494" s="204"/>
      <c r="N2494" s="205"/>
      <c r="O2494" s="170"/>
      <c r="P2494" s="198"/>
      <c r="Q2494" s="199"/>
      <c r="R2494" s="200"/>
      <c r="S2494" s="170"/>
      <c r="T2494" s="170"/>
      <c r="U2494" s="201"/>
      <c r="V2494" s="198"/>
      <c r="W2494" s="170"/>
      <c r="X2494" s="202"/>
      <c r="Y2494" s="203"/>
      <c r="Z2494" s="170"/>
      <c r="AA2494" s="198"/>
      <c r="AB2494" s="170"/>
      <c r="AC2494" s="170"/>
      <c r="AD2494" s="121"/>
      <c r="AE2494" s="121"/>
      <c r="AF2494" s="121"/>
      <c r="AG2494" s="22"/>
      <c r="AH2494" s="22"/>
      <c r="AI2494" s="22"/>
      <c r="AJ2494" s="22"/>
      <c r="AK2494" s="22"/>
      <c r="AL2494" s="22"/>
      <c r="AM2494" s="22"/>
      <c r="AN2494" s="22"/>
      <c r="AO2494" s="22"/>
      <c r="AP2494" s="22"/>
    </row>
    <row r="2495">
      <c r="A2495" s="193"/>
      <c r="B2495" s="194"/>
      <c r="C2495" s="195"/>
      <c r="D2495" s="196"/>
      <c r="E2495" s="197"/>
      <c r="F2495" s="197"/>
      <c r="G2495" s="195"/>
      <c r="H2495" s="195"/>
      <c r="I2495" s="197"/>
      <c r="J2495" s="121"/>
      <c r="K2495" s="121"/>
      <c r="L2495" s="200"/>
      <c r="M2495" s="204"/>
      <c r="N2495" s="205"/>
      <c r="O2495" s="170"/>
      <c r="P2495" s="198"/>
      <c r="Q2495" s="199"/>
      <c r="R2495" s="200"/>
      <c r="S2495" s="170"/>
      <c r="T2495" s="170"/>
      <c r="U2495" s="201"/>
      <c r="V2495" s="198"/>
      <c r="W2495" s="170"/>
      <c r="X2495" s="202"/>
      <c r="Y2495" s="203"/>
      <c r="Z2495" s="170"/>
      <c r="AA2495" s="198"/>
      <c r="AB2495" s="170"/>
      <c r="AC2495" s="170"/>
      <c r="AD2495" s="121"/>
      <c r="AE2495" s="121"/>
      <c r="AF2495" s="121"/>
      <c r="AG2495" s="22"/>
      <c r="AH2495" s="22"/>
      <c r="AI2495" s="22"/>
      <c r="AJ2495" s="22"/>
      <c r="AK2495" s="22"/>
      <c r="AL2495" s="22"/>
      <c r="AM2495" s="22"/>
      <c r="AN2495" s="22"/>
      <c r="AO2495" s="22"/>
      <c r="AP2495" s="22"/>
    </row>
    <row r="2496">
      <c r="A2496" s="193"/>
      <c r="B2496" s="194"/>
      <c r="C2496" s="195"/>
      <c r="D2496" s="196"/>
      <c r="E2496" s="197"/>
      <c r="F2496" s="197"/>
      <c r="G2496" s="195"/>
      <c r="H2496" s="195"/>
      <c r="I2496" s="197"/>
      <c r="J2496" s="121"/>
      <c r="K2496" s="121"/>
      <c r="L2496" s="200"/>
      <c r="M2496" s="204"/>
      <c r="N2496" s="205"/>
      <c r="O2496" s="170"/>
      <c r="P2496" s="198"/>
      <c r="Q2496" s="199"/>
      <c r="R2496" s="200"/>
      <c r="S2496" s="170"/>
      <c r="T2496" s="170"/>
      <c r="U2496" s="201"/>
      <c r="V2496" s="198"/>
      <c r="W2496" s="170"/>
      <c r="X2496" s="202"/>
      <c r="Y2496" s="203"/>
      <c r="Z2496" s="170"/>
      <c r="AA2496" s="198"/>
      <c r="AB2496" s="170"/>
      <c r="AC2496" s="170"/>
      <c r="AD2496" s="121"/>
      <c r="AE2496" s="121"/>
      <c r="AF2496" s="121"/>
      <c r="AG2496" s="22"/>
      <c r="AH2496" s="22"/>
      <c r="AI2496" s="22"/>
      <c r="AJ2496" s="22"/>
      <c r="AK2496" s="22"/>
      <c r="AL2496" s="22"/>
      <c r="AM2496" s="22"/>
      <c r="AN2496" s="22"/>
      <c r="AO2496" s="22"/>
      <c r="AP2496" s="22"/>
    </row>
    <row r="2497">
      <c r="A2497" s="193"/>
      <c r="B2497" s="194"/>
      <c r="C2497" s="195"/>
      <c r="D2497" s="196"/>
      <c r="E2497" s="197"/>
      <c r="F2497" s="197"/>
      <c r="G2497" s="195"/>
      <c r="H2497" s="195"/>
      <c r="I2497" s="197"/>
      <c r="J2497" s="121"/>
      <c r="K2497" s="121"/>
      <c r="L2497" s="200"/>
      <c r="M2497" s="204"/>
      <c r="N2497" s="205"/>
      <c r="O2497" s="170"/>
      <c r="P2497" s="198"/>
      <c r="Q2497" s="199"/>
      <c r="R2497" s="200"/>
      <c r="S2497" s="170"/>
      <c r="T2497" s="170"/>
      <c r="U2497" s="201"/>
      <c r="V2497" s="198"/>
      <c r="W2497" s="170"/>
      <c r="X2497" s="202"/>
      <c r="Y2497" s="203"/>
      <c r="Z2497" s="170"/>
      <c r="AA2497" s="198"/>
      <c r="AB2497" s="170"/>
      <c r="AC2497" s="170"/>
      <c r="AD2497" s="121"/>
      <c r="AE2497" s="121"/>
      <c r="AF2497" s="121"/>
      <c r="AG2497" s="22"/>
      <c r="AH2497" s="22"/>
      <c r="AI2497" s="22"/>
      <c r="AJ2497" s="22"/>
      <c r="AK2497" s="22"/>
      <c r="AL2497" s="22"/>
      <c r="AM2497" s="22"/>
      <c r="AN2497" s="22"/>
      <c r="AO2497" s="22"/>
      <c r="AP2497" s="22"/>
    </row>
    <row r="2498">
      <c r="A2498" s="193"/>
      <c r="B2498" s="194"/>
      <c r="C2498" s="195"/>
      <c r="D2498" s="196"/>
      <c r="E2498" s="197"/>
      <c r="F2498" s="197"/>
      <c r="G2498" s="195"/>
      <c r="H2498" s="195"/>
      <c r="I2498" s="197"/>
      <c r="J2498" s="121"/>
      <c r="K2498" s="121"/>
      <c r="L2498" s="200"/>
      <c r="M2498" s="204"/>
      <c r="N2498" s="205"/>
      <c r="O2498" s="170"/>
      <c r="P2498" s="198"/>
      <c r="Q2498" s="199"/>
      <c r="R2498" s="200"/>
      <c r="S2498" s="170"/>
      <c r="T2498" s="170"/>
      <c r="U2498" s="201"/>
      <c r="V2498" s="198"/>
      <c r="W2498" s="170"/>
      <c r="X2498" s="202"/>
      <c r="Y2498" s="203"/>
      <c r="Z2498" s="170"/>
      <c r="AA2498" s="198"/>
      <c r="AB2498" s="170"/>
      <c r="AC2498" s="170"/>
      <c r="AD2498" s="121"/>
      <c r="AE2498" s="121"/>
      <c r="AF2498" s="121"/>
      <c r="AG2498" s="22"/>
      <c r="AH2498" s="22"/>
      <c r="AI2498" s="22"/>
      <c r="AJ2498" s="22"/>
      <c r="AK2498" s="22"/>
      <c r="AL2498" s="22"/>
      <c r="AM2498" s="22"/>
      <c r="AN2498" s="22"/>
      <c r="AO2498" s="22"/>
      <c r="AP2498" s="22"/>
    </row>
    <row r="2499">
      <c r="A2499" s="193"/>
      <c r="B2499" s="194"/>
      <c r="C2499" s="195"/>
      <c r="D2499" s="196"/>
      <c r="E2499" s="197"/>
      <c r="F2499" s="197"/>
      <c r="G2499" s="195"/>
      <c r="H2499" s="195"/>
      <c r="I2499" s="197"/>
      <c r="J2499" s="121"/>
      <c r="K2499" s="121"/>
      <c r="L2499" s="200"/>
      <c r="M2499" s="204"/>
      <c r="N2499" s="205"/>
      <c r="O2499" s="170"/>
      <c r="P2499" s="198"/>
      <c r="Q2499" s="199"/>
      <c r="R2499" s="200"/>
      <c r="S2499" s="170"/>
      <c r="T2499" s="170"/>
      <c r="U2499" s="201"/>
      <c r="V2499" s="198"/>
      <c r="W2499" s="170"/>
      <c r="X2499" s="202"/>
      <c r="Y2499" s="203"/>
      <c r="Z2499" s="170"/>
      <c r="AA2499" s="198"/>
      <c r="AB2499" s="170"/>
      <c r="AC2499" s="170"/>
      <c r="AD2499" s="121"/>
      <c r="AE2499" s="121"/>
      <c r="AF2499" s="121"/>
      <c r="AG2499" s="22"/>
      <c r="AH2499" s="22"/>
      <c r="AI2499" s="22"/>
      <c r="AJ2499" s="22"/>
      <c r="AK2499" s="22"/>
      <c r="AL2499" s="22"/>
      <c r="AM2499" s="22"/>
      <c r="AN2499" s="22"/>
      <c r="AO2499" s="22"/>
      <c r="AP2499" s="22"/>
    </row>
    <row r="2500">
      <c r="A2500" s="193"/>
      <c r="B2500" s="194"/>
      <c r="C2500" s="195"/>
      <c r="D2500" s="196"/>
      <c r="E2500" s="197"/>
      <c r="F2500" s="197"/>
      <c r="G2500" s="195"/>
      <c r="H2500" s="195"/>
      <c r="I2500" s="197"/>
      <c r="J2500" s="121"/>
      <c r="K2500" s="121"/>
      <c r="L2500" s="200"/>
      <c r="M2500" s="204"/>
      <c r="N2500" s="205"/>
      <c r="O2500" s="170"/>
      <c r="P2500" s="198"/>
      <c r="Q2500" s="199"/>
      <c r="R2500" s="200"/>
      <c r="S2500" s="170"/>
      <c r="T2500" s="170"/>
      <c r="U2500" s="201"/>
      <c r="V2500" s="198"/>
      <c r="W2500" s="170"/>
      <c r="X2500" s="202"/>
      <c r="Y2500" s="203"/>
      <c r="Z2500" s="170"/>
      <c r="AA2500" s="198"/>
      <c r="AB2500" s="170"/>
      <c r="AC2500" s="170"/>
      <c r="AD2500" s="121"/>
      <c r="AE2500" s="121"/>
      <c r="AF2500" s="121"/>
      <c r="AG2500" s="22"/>
      <c r="AH2500" s="22"/>
      <c r="AI2500" s="22"/>
      <c r="AJ2500" s="22"/>
      <c r="AK2500" s="22"/>
      <c r="AL2500" s="22"/>
      <c r="AM2500" s="22"/>
      <c r="AN2500" s="22"/>
      <c r="AO2500" s="22"/>
      <c r="AP2500" s="22"/>
    </row>
    <row r="2501">
      <c r="A2501" s="193"/>
      <c r="B2501" s="194"/>
      <c r="C2501" s="195"/>
      <c r="D2501" s="196"/>
      <c r="E2501" s="197"/>
      <c r="F2501" s="197"/>
      <c r="G2501" s="195"/>
      <c r="H2501" s="195"/>
      <c r="I2501" s="197"/>
      <c r="J2501" s="121"/>
      <c r="K2501" s="121"/>
      <c r="L2501" s="200"/>
      <c r="M2501" s="204"/>
      <c r="N2501" s="205"/>
      <c r="O2501" s="170"/>
      <c r="P2501" s="198"/>
      <c r="Q2501" s="199"/>
      <c r="R2501" s="200"/>
      <c r="S2501" s="170"/>
      <c r="T2501" s="170"/>
      <c r="U2501" s="201"/>
      <c r="V2501" s="198"/>
      <c r="W2501" s="170"/>
      <c r="X2501" s="202"/>
      <c r="Y2501" s="203"/>
      <c r="Z2501" s="170"/>
      <c r="AA2501" s="198"/>
      <c r="AB2501" s="170"/>
      <c r="AC2501" s="170"/>
      <c r="AD2501" s="121"/>
      <c r="AE2501" s="121"/>
      <c r="AF2501" s="121"/>
      <c r="AG2501" s="22"/>
      <c r="AH2501" s="22"/>
      <c r="AI2501" s="22"/>
      <c r="AJ2501" s="22"/>
      <c r="AK2501" s="22"/>
      <c r="AL2501" s="22"/>
      <c r="AM2501" s="22"/>
      <c r="AN2501" s="22"/>
      <c r="AO2501" s="22"/>
      <c r="AP2501" s="22"/>
    </row>
    <row r="2502">
      <c r="A2502" s="193"/>
      <c r="B2502" s="194"/>
      <c r="C2502" s="195"/>
      <c r="D2502" s="196"/>
      <c r="E2502" s="197"/>
      <c r="F2502" s="197"/>
      <c r="G2502" s="195"/>
      <c r="H2502" s="195"/>
      <c r="I2502" s="197"/>
      <c r="J2502" s="121"/>
      <c r="K2502" s="121"/>
      <c r="L2502" s="200"/>
      <c r="M2502" s="204"/>
      <c r="N2502" s="205"/>
      <c r="O2502" s="170"/>
      <c r="P2502" s="198"/>
      <c r="Q2502" s="199"/>
      <c r="R2502" s="200"/>
      <c r="S2502" s="170"/>
      <c r="T2502" s="170"/>
      <c r="U2502" s="201"/>
      <c r="V2502" s="198"/>
      <c r="W2502" s="170"/>
      <c r="X2502" s="202"/>
      <c r="Y2502" s="206"/>
      <c r="Z2502" s="170"/>
      <c r="AA2502" s="198"/>
      <c r="AB2502" s="170"/>
      <c r="AC2502" s="170"/>
      <c r="AD2502" s="121"/>
      <c r="AE2502" s="121"/>
      <c r="AF2502" s="121"/>
      <c r="AG2502" s="22"/>
      <c r="AH2502" s="22"/>
      <c r="AI2502" s="22"/>
      <c r="AJ2502" s="22"/>
      <c r="AK2502" s="22"/>
      <c r="AL2502" s="22"/>
      <c r="AM2502" s="22"/>
      <c r="AN2502" s="22"/>
      <c r="AO2502" s="22"/>
      <c r="AP2502" s="22"/>
    </row>
    <row r="2503">
      <c r="A2503" s="193"/>
      <c r="B2503" s="194"/>
      <c r="C2503" s="195"/>
      <c r="D2503" s="196"/>
      <c r="E2503" s="197"/>
      <c r="F2503" s="197"/>
      <c r="G2503" s="195"/>
      <c r="H2503" s="195"/>
      <c r="I2503" s="197"/>
      <c r="J2503" s="121"/>
      <c r="K2503" s="121"/>
      <c r="L2503" s="200"/>
      <c r="M2503" s="204"/>
      <c r="N2503" s="205"/>
      <c r="O2503" s="170"/>
      <c r="P2503" s="198"/>
      <c r="Q2503" s="199"/>
      <c r="R2503" s="200"/>
      <c r="S2503" s="170"/>
      <c r="T2503" s="170"/>
      <c r="U2503" s="201"/>
      <c r="V2503" s="198"/>
      <c r="W2503" s="170"/>
      <c r="X2503" s="202"/>
      <c r="Y2503" s="203"/>
      <c r="Z2503" s="170"/>
      <c r="AA2503" s="198"/>
      <c r="AB2503" s="170"/>
      <c r="AC2503" s="170"/>
      <c r="AD2503" s="121"/>
      <c r="AE2503" s="121"/>
      <c r="AF2503" s="121"/>
      <c r="AG2503" s="22"/>
      <c r="AH2503" s="22"/>
      <c r="AI2503" s="22"/>
      <c r="AJ2503" s="22"/>
      <c r="AK2503" s="22"/>
      <c r="AL2503" s="22"/>
      <c r="AM2503" s="22"/>
      <c r="AN2503" s="22"/>
      <c r="AO2503" s="22"/>
      <c r="AP2503" s="22"/>
    </row>
    <row r="2504">
      <c r="A2504" s="193"/>
      <c r="B2504" s="194"/>
      <c r="C2504" s="195"/>
      <c r="D2504" s="196"/>
      <c r="E2504" s="197"/>
      <c r="F2504" s="197"/>
      <c r="G2504" s="195"/>
      <c r="H2504" s="195"/>
      <c r="I2504" s="197"/>
      <c r="J2504" s="121"/>
      <c r="K2504" s="121"/>
      <c r="L2504" s="200"/>
      <c r="M2504" s="204"/>
      <c r="N2504" s="205"/>
      <c r="O2504" s="170"/>
      <c r="P2504" s="198"/>
      <c r="Q2504" s="199"/>
      <c r="R2504" s="200"/>
      <c r="S2504" s="170"/>
      <c r="T2504" s="170"/>
      <c r="U2504" s="201"/>
      <c r="V2504" s="198"/>
      <c r="W2504" s="170"/>
      <c r="X2504" s="202"/>
      <c r="Y2504" s="203"/>
      <c r="Z2504" s="170"/>
      <c r="AA2504" s="198"/>
      <c r="AB2504" s="170"/>
      <c r="AC2504" s="170"/>
      <c r="AD2504" s="121"/>
      <c r="AE2504" s="121"/>
      <c r="AF2504" s="121"/>
      <c r="AG2504" s="22"/>
      <c r="AH2504" s="22"/>
      <c r="AI2504" s="22"/>
      <c r="AJ2504" s="22"/>
      <c r="AK2504" s="22"/>
      <c r="AL2504" s="22"/>
      <c r="AM2504" s="22"/>
      <c r="AN2504" s="22"/>
      <c r="AO2504" s="22"/>
      <c r="AP2504" s="22"/>
    </row>
    <row r="2505">
      <c r="A2505" s="193"/>
      <c r="B2505" s="194"/>
      <c r="C2505" s="195"/>
      <c r="D2505" s="196"/>
      <c r="E2505" s="197"/>
      <c r="F2505" s="197"/>
      <c r="G2505" s="195"/>
      <c r="H2505" s="195"/>
      <c r="I2505" s="197"/>
      <c r="J2505" s="121"/>
      <c r="K2505" s="121"/>
      <c r="L2505" s="200"/>
      <c r="M2505" s="204"/>
      <c r="N2505" s="205"/>
      <c r="O2505" s="170"/>
      <c r="P2505" s="198"/>
      <c r="Q2505" s="199"/>
      <c r="R2505" s="200"/>
      <c r="S2505" s="170"/>
      <c r="T2505" s="170"/>
      <c r="U2505" s="201"/>
      <c r="V2505" s="198"/>
      <c r="W2505" s="170"/>
      <c r="X2505" s="202"/>
      <c r="Y2505" s="203"/>
      <c r="Z2505" s="170"/>
      <c r="AA2505" s="198"/>
      <c r="AB2505" s="170"/>
      <c r="AC2505" s="170"/>
      <c r="AD2505" s="121"/>
      <c r="AE2505" s="121"/>
      <c r="AF2505" s="121"/>
      <c r="AG2505" s="22"/>
      <c r="AH2505" s="22"/>
      <c r="AI2505" s="22"/>
      <c r="AJ2505" s="22"/>
      <c r="AK2505" s="22"/>
      <c r="AL2505" s="22"/>
      <c r="AM2505" s="22"/>
      <c r="AN2505" s="22"/>
      <c r="AO2505" s="22"/>
      <c r="AP2505" s="22"/>
    </row>
    <row r="2506">
      <c r="A2506" s="193"/>
      <c r="B2506" s="194"/>
      <c r="C2506" s="195"/>
      <c r="D2506" s="196"/>
      <c r="E2506" s="197"/>
      <c r="F2506" s="197"/>
      <c r="G2506" s="195"/>
      <c r="H2506" s="195"/>
      <c r="I2506" s="197"/>
      <c r="J2506" s="121"/>
      <c r="K2506" s="121"/>
      <c r="L2506" s="200"/>
      <c r="M2506" s="204"/>
      <c r="N2506" s="205"/>
      <c r="O2506" s="170"/>
      <c r="P2506" s="198"/>
      <c r="Q2506" s="199"/>
      <c r="R2506" s="200"/>
      <c r="S2506" s="170"/>
      <c r="T2506" s="170"/>
      <c r="U2506" s="201"/>
      <c r="V2506" s="198"/>
      <c r="W2506" s="170"/>
      <c r="X2506" s="202"/>
      <c r="Y2506" s="203"/>
      <c r="Z2506" s="170"/>
      <c r="AA2506" s="198"/>
      <c r="AB2506" s="170"/>
      <c r="AC2506" s="170"/>
      <c r="AD2506" s="121"/>
      <c r="AE2506" s="121"/>
      <c r="AF2506" s="121"/>
      <c r="AG2506" s="22"/>
      <c r="AH2506" s="22"/>
      <c r="AI2506" s="22"/>
      <c r="AJ2506" s="22"/>
      <c r="AK2506" s="22"/>
      <c r="AL2506" s="22"/>
      <c r="AM2506" s="22"/>
      <c r="AN2506" s="22"/>
      <c r="AO2506" s="22"/>
      <c r="AP2506" s="22"/>
    </row>
    <row r="2507">
      <c r="A2507" s="193"/>
      <c r="B2507" s="194"/>
      <c r="C2507" s="195"/>
      <c r="D2507" s="196"/>
      <c r="E2507" s="197"/>
      <c r="F2507" s="197"/>
      <c r="G2507" s="195"/>
      <c r="H2507" s="195"/>
      <c r="I2507" s="197"/>
      <c r="J2507" s="121"/>
      <c r="K2507" s="121"/>
      <c r="L2507" s="200"/>
      <c r="M2507" s="204"/>
      <c r="N2507" s="205"/>
      <c r="O2507" s="170"/>
      <c r="P2507" s="198"/>
      <c r="Q2507" s="199"/>
      <c r="R2507" s="200"/>
      <c r="S2507" s="170"/>
      <c r="T2507" s="170"/>
      <c r="U2507" s="201"/>
      <c r="V2507" s="198"/>
      <c r="W2507" s="170"/>
      <c r="X2507" s="202"/>
      <c r="Y2507" s="203"/>
      <c r="Z2507" s="170"/>
      <c r="AA2507" s="198"/>
      <c r="AB2507" s="170"/>
      <c r="AC2507" s="170"/>
      <c r="AD2507" s="121"/>
      <c r="AE2507" s="121"/>
      <c r="AF2507" s="121"/>
      <c r="AG2507" s="22"/>
      <c r="AH2507" s="22"/>
      <c r="AI2507" s="22"/>
      <c r="AJ2507" s="22"/>
      <c r="AK2507" s="22"/>
      <c r="AL2507" s="22"/>
      <c r="AM2507" s="22"/>
      <c r="AN2507" s="22"/>
      <c r="AO2507" s="22"/>
      <c r="AP2507" s="22"/>
    </row>
    <row r="2508">
      <c r="A2508" s="193"/>
      <c r="B2508" s="194"/>
      <c r="C2508" s="195"/>
      <c r="D2508" s="196"/>
      <c r="E2508" s="197"/>
      <c r="F2508" s="197"/>
      <c r="G2508" s="195"/>
      <c r="H2508" s="195"/>
      <c r="I2508" s="197"/>
      <c r="J2508" s="121"/>
      <c r="K2508" s="121"/>
      <c r="L2508" s="200"/>
      <c r="M2508" s="204"/>
      <c r="N2508" s="205"/>
      <c r="O2508" s="170"/>
      <c r="P2508" s="198"/>
      <c r="Q2508" s="199"/>
      <c r="R2508" s="200"/>
      <c r="S2508" s="170"/>
      <c r="T2508" s="170"/>
      <c r="U2508" s="201"/>
      <c r="V2508" s="198"/>
      <c r="W2508" s="170"/>
      <c r="X2508" s="202"/>
      <c r="Y2508" s="203"/>
      <c r="Z2508" s="170"/>
      <c r="AA2508" s="198"/>
      <c r="AB2508" s="170"/>
      <c r="AC2508" s="170"/>
      <c r="AD2508" s="121"/>
      <c r="AE2508" s="121"/>
      <c r="AF2508" s="121"/>
      <c r="AG2508" s="22"/>
      <c r="AH2508" s="22"/>
      <c r="AI2508" s="22"/>
      <c r="AJ2508" s="22"/>
      <c r="AK2508" s="22"/>
      <c r="AL2508" s="22"/>
      <c r="AM2508" s="22"/>
      <c r="AN2508" s="22"/>
      <c r="AO2508" s="22"/>
      <c r="AP2508" s="22"/>
    </row>
    <row r="2509">
      <c r="A2509" s="193"/>
      <c r="B2509" s="194"/>
      <c r="C2509" s="195"/>
      <c r="D2509" s="196"/>
      <c r="E2509" s="197"/>
      <c r="F2509" s="197"/>
      <c r="G2509" s="195"/>
      <c r="H2509" s="195"/>
      <c r="I2509" s="197"/>
      <c r="J2509" s="121"/>
      <c r="K2509" s="121"/>
      <c r="L2509" s="200"/>
      <c r="M2509" s="204"/>
      <c r="N2509" s="205"/>
      <c r="O2509" s="170"/>
      <c r="P2509" s="198"/>
      <c r="Q2509" s="199"/>
      <c r="R2509" s="200"/>
      <c r="S2509" s="170"/>
      <c r="T2509" s="170"/>
      <c r="U2509" s="201"/>
      <c r="V2509" s="198"/>
      <c r="W2509" s="170"/>
      <c r="X2509" s="202"/>
      <c r="Y2509" s="203"/>
      <c r="Z2509" s="170"/>
      <c r="AA2509" s="198"/>
      <c r="AB2509" s="170"/>
      <c r="AC2509" s="170"/>
      <c r="AD2509" s="121"/>
      <c r="AE2509" s="121"/>
      <c r="AF2509" s="121"/>
      <c r="AG2509" s="22"/>
      <c r="AH2509" s="22"/>
      <c r="AI2509" s="22"/>
      <c r="AJ2509" s="22"/>
      <c r="AK2509" s="22"/>
      <c r="AL2509" s="22"/>
      <c r="AM2509" s="22"/>
      <c r="AN2509" s="22"/>
      <c r="AO2509" s="22"/>
      <c r="AP2509" s="22"/>
    </row>
    <row r="2510">
      <c r="A2510" s="193"/>
      <c r="B2510" s="194"/>
      <c r="C2510" s="195"/>
      <c r="D2510" s="196"/>
      <c r="E2510" s="197"/>
      <c r="F2510" s="197"/>
      <c r="G2510" s="195"/>
      <c r="H2510" s="195"/>
      <c r="I2510" s="197"/>
      <c r="J2510" s="121"/>
      <c r="K2510" s="121"/>
      <c r="L2510" s="200"/>
      <c r="M2510" s="204"/>
      <c r="N2510" s="205"/>
      <c r="O2510" s="170"/>
      <c r="P2510" s="198"/>
      <c r="Q2510" s="199"/>
      <c r="R2510" s="200"/>
      <c r="S2510" s="170"/>
      <c r="T2510" s="170"/>
      <c r="U2510" s="201"/>
      <c r="V2510" s="198"/>
      <c r="W2510" s="170"/>
      <c r="X2510" s="202"/>
      <c r="Y2510" s="203"/>
      <c r="Z2510" s="170"/>
      <c r="AA2510" s="198"/>
      <c r="AB2510" s="170"/>
      <c r="AC2510" s="170"/>
      <c r="AD2510" s="121"/>
      <c r="AE2510" s="121"/>
      <c r="AF2510" s="121"/>
      <c r="AG2510" s="22"/>
      <c r="AH2510" s="22"/>
      <c r="AI2510" s="22"/>
      <c r="AJ2510" s="22"/>
      <c r="AK2510" s="22"/>
      <c r="AL2510" s="22"/>
      <c r="AM2510" s="22"/>
      <c r="AN2510" s="22"/>
      <c r="AO2510" s="22"/>
      <c r="AP2510" s="22"/>
    </row>
    <row r="2511">
      <c r="A2511" s="193"/>
      <c r="B2511" s="194"/>
      <c r="C2511" s="195"/>
      <c r="D2511" s="196"/>
      <c r="E2511" s="197"/>
      <c r="F2511" s="197"/>
      <c r="G2511" s="195"/>
      <c r="H2511" s="195"/>
      <c r="I2511" s="197"/>
      <c r="J2511" s="121"/>
      <c r="K2511" s="121"/>
      <c r="L2511" s="200"/>
      <c r="M2511" s="204"/>
      <c r="N2511" s="205"/>
      <c r="O2511" s="170"/>
      <c r="P2511" s="198"/>
      <c r="Q2511" s="199"/>
      <c r="R2511" s="200"/>
      <c r="S2511" s="170"/>
      <c r="T2511" s="170"/>
      <c r="U2511" s="201"/>
      <c r="V2511" s="198"/>
      <c r="W2511" s="170"/>
      <c r="X2511" s="202"/>
      <c r="Y2511" s="203"/>
      <c r="Z2511" s="170"/>
      <c r="AA2511" s="198"/>
      <c r="AB2511" s="170"/>
      <c r="AC2511" s="170"/>
      <c r="AD2511" s="121"/>
      <c r="AE2511" s="121"/>
      <c r="AF2511" s="121"/>
      <c r="AG2511" s="22"/>
      <c r="AH2511" s="22"/>
      <c r="AI2511" s="22"/>
      <c r="AJ2511" s="22"/>
      <c r="AK2511" s="22"/>
      <c r="AL2511" s="22"/>
      <c r="AM2511" s="22"/>
      <c r="AN2511" s="22"/>
      <c r="AO2511" s="22"/>
      <c r="AP2511" s="22"/>
    </row>
    <row r="2512">
      <c r="A2512" s="193"/>
      <c r="B2512" s="194"/>
      <c r="C2512" s="195"/>
      <c r="D2512" s="196"/>
      <c r="E2512" s="197"/>
      <c r="F2512" s="197"/>
      <c r="G2512" s="195"/>
      <c r="H2512" s="195"/>
      <c r="I2512" s="197"/>
      <c r="J2512" s="121"/>
      <c r="K2512" s="121"/>
      <c r="L2512" s="200"/>
      <c r="M2512" s="204"/>
      <c r="N2512" s="205"/>
      <c r="O2512" s="170"/>
      <c r="P2512" s="198"/>
      <c r="Q2512" s="199"/>
      <c r="R2512" s="200"/>
      <c r="S2512" s="170"/>
      <c r="T2512" s="170"/>
      <c r="U2512" s="201"/>
      <c r="V2512" s="198"/>
      <c r="W2512" s="170"/>
      <c r="X2512" s="202"/>
      <c r="Y2512" s="203"/>
      <c r="Z2512" s="170"/>
      <c r="AA2512" s="198"/>
      <c r="AB2512" s="170"/>
      <c r="AC2512" s="170"/>
      <c r="AD2512" s="121"/>
      <c r="AE2512" s="121"/>
      <c r="AF2512" s="121"/>
      <c r="AG2512" s="22"/>
      <c r="AH2512" s="22"/>
      <c r="AI2512" s="22"/>
      <c r="AJ2512" s="22"/>
      <c r="AK2512" s="22"/>
      <c r="AL2512" s="22"/>
      <c r="AM2512" s="22"/>
      <c r="AN2512" s="22"/>
      <c r="AO2512" s="22"/>
      <c r="AP2512" s="22"/>
    </row>
    <row r="2513">
      <c r="A2513" s="193"/>
      <c r="B2513" s="194"/>
      <c r="C2513" s="195"/>
      <c r="D2513" s="196"/>
      <c r="E2513" s="197"/>
      <c r="F2513" s="197"/>
      <c r="G2513" s="195"/>
      <c r="H2513" s="195"/>
      <c r="I2513" s="197"/>
      <c r="J2513" s="121"/>
      <c r="K2513" s="121"/>
      <c r="L2513" s="200"/>
      <c r="M2513" s="204"/>
      <c r="N2513" s="205"/>
      <c r="O2513" s="170"/>
      <c r="P2513" s="198"/>
      <c r="Q2513" s="199"/>
      <c r="R2513" s="200"/>
      <c r="S2513" s="170"/>
      <c r="T2513" s="170"/>
      <c r="U2513" s="201"/>
      <c r="V2513" s="198"/>
      <c r="W2513" s="170"/>
      <c r="X2513" s="202"/>
      <c r="Y2513" s="203"/>
      <c r="Z2513" s="170"/>
      <c r="AA2513" s="198"/>
      <c r="AB2513" s="170"/>
      <c r="AC2513" s="170"/>
      <c r="AD2513" s="121"/>
      <c r="AE2513" s="121"/>
      <c r="AF2513" s="121"/>
      <c r="AG2513" s="22"/>
      <c r="AH2513" s="22"/>
      <c r="AI2513" s="22"/>
      <c r="AJ2513" s="22"/>
      <c r="AK2513" s="22"/>
      <c r="AL2513" s="22"/>
      <c r="AM2513" s="22"/>
      <c r="AN2513" s="22"/>
      <c r="AO2513" s="22"/>
      <c r="AP2513" s="22"/>
    </row>
    <row r="2514">
      <c r="A2514" s="193"/>
      <c r="B2514" s="194"/>
      <c r="C2514" s="195"/>
      <c r="D2514" s="196"/>
      <c r="E2514" s="197"/>
      <c r="F2514" s="197"/>
      <c r="G2514" s="195"/>
      <c r="H2514" s="195"/>
      <c r="I2514" s="197"/>
      <c r="J2514" s="121"/>
      <c r="K2514" s="121"/>
      <c r="L2514" s="200"/>
      <c r="M2514" s="204"/>
      <c r="N2514" s="205"/>
      <c r="O2514" s="170"/>
      <c r="P2514" s="198"/>
      <c r="Q2514" s="199"/>
      <c r="R2514" s="200"/>
      <c r="S2514" s="170"/>
      <c r="T2514" s="170"/>
      <c r="U2514" s="201"/>
      <c r="V2514" s="198"/>
      <c r="W2514" s="170"/>
      <c r="X2514" s="202"/>
      <c r="Y2514" s="203"/>
      <c r="Z2514" s="170"/>
      <c r="AA2514" s="198"/>
      <c r="AB2514" s="170"/>
      <c r="AC2514" s="170"/>
      <c r="AD2514" s="121"/>
      <c r="AE2514" s="121"/>
      <c r="AF2514" s="121"/>
      <c r="AG2514" s="22"/>
      <c r="AH2514" s="22"/>
      <c r="AI2514" s="22"/>
      <c r="AJ2514" s="22"/>
      <c r="AK2514" s="22"/>
      <c r="AL2514" s="22"/>
      <c r="AM2514" s="22"/>
      <c r="AN2514" s="22"/>
      <c r="AO2514" s="22"/>
      <c r="AP2514" s="22"/>
    </row>
    <row r="2515">
      <c r="A2515" s="193"/>
      <c r="B2515" s="194"/>
      <c r="C2515" s="195"/>
      <c r="D2515" s="196"/>
      <c r="E2515" s="197"/>
      <c r="F2515" s="197"/>
      <c r="G2515" s="195"/>
      <c r="H2515" s="195"/>
      <c r="I2515" s="197"/>
      <c r="J2515" s="121"/>
      <c r="K2515" s="121"/>
      <c r="L2515" s="200"/>
      <c r="M2515" s="204"/>
      <c r="N2515" s="205"/>
      <c r="O2515" s="170"/>
      <c r="P2515" s="198"/>
      <c r="Q2515" s="199"/>
      <c r="R2515" s="200"/>
      <c r="S2515" s="170"/>
      <c r="T2515" s="170"/>
      <c r="U2515" s="201"/>
      <c r="V2515" s="198"/>
      <c r="W2515" s="170"/>
      <c r="X2515" s="202"/>
      <c r="Y2515" s="203"/>
      <c r="Z2515" s="170"/>
      <c r="AA2515" s="198"/>
      <c r="AB2515" s="170"/>
      <c r="AC2515" s="170"/>
      <c r="AD2515" s="121"/>
      <c r="AE2515" s="121"/>
      <c r="AF2515" s="121"/>
      <c r="AG2515" s="22"/>
      <c r="AH2515" s="22"/>
      <c r="AI2515" s="22"/>
      <c r="AJ2515" s="22"/>
      <c r="AK2515" s="22"/>
      <c r="AL2515" s="22"/>
      <c r="AM2515" s="22"/>
      <c r="AN2515" s="22"/>
      <c r="AO2515" s="22"/>
      <c r="AP2515" s="22"/>
    </row>
    <row r="2516">
      <c r="A2516" s="193"/>
      <c r="B2516" s="194"/>
      <c r="C2516" s="195"/>
      <c r="D2516" s="196"/>
      <c r="E2516" s="197"/>
      <c r="F2516" s="197"/>
      <c r="G2516" s="195"/>
      <c r="H2516" s="195"/>
      <c r="I2516" s="197"/>
      <c r="J2516" s="121"/>
      <c r="K2516" s="121"/>
      <c r="L2516" s="200"/>
      <c r="M2516" s="204"/>
      <c r="N2516" s="205"/>
      <c r="O2516" s="170"/>
      <c r="P2516" s="198"/>
      <c r="Q2516" s="199"/>
      <c r="R2516" s="200"/>
      <c r="S2516" s="170"/>
      <c r="T2516" s="170"/>
      <c r="U2516" s="201"/>
      <c r="V2516" s="198"/>
      <c r="W2516" s="170"/>
      <c r="X2516" s="202"/>
      <c r="Y2516" s="203"/>
      <c r="Z2516" s="170"/>
      <c r="AA2516" s="198"/>
      <c r="AB2516" s="170"/>
      <c r="AC2516" s="170"/>
      <c r="AD2516" s="121"/>
      <c r="AE2516" s="121"/>
      <c r="AF2516" s="121"/>
      <c r="AG2516" s="22"/>
      <c r="AH2516" s="22"/>
      <c r="AI2516" s="22"/>
      <c r="AJ2516" s="22"/>
      <c r="AK2516" s="22"/>
      <c r="AL2516" s="22"/>
      <c r="AM2516" s="22"/>
      <c r="AN2516" s="22"/>
      <c r="AO2516" s="22"/>
      <c r="AP2516" s="22"/>
    </row>
    <row r="2517">
      <c r="A2517" s="193"/>
      <c r="B2517" s="194"/>
      <c r="C2517" s="195"/>
      <c r="D2517" s="196"/>
      <c r="E2517" s="197"/>
      <c r="F2517" s="197"/>
      <c r="G2517" s="195"/>
      <c r="H2517" s="195"/>
      <c r="I2517" s="197"/>
      <c r="J2517" s="121"/>
      <c r="K2517" s="121"/>
      <c r="L2517" s="200"/>
      <c r="M2517" s="204"/>
      <c r="N2517" s="205"/>
      <c r="O2517" s="170"/>
      <c r="P2517" s="198"/>
      <c r="Q2517" s="199"/>
      <c r="R2517" s="200"/>
      <c r="S2517" s="170"/>
      <c r="T2517" s="170"/>
      <c r="U2517" s="201"/>
      <c r="V2517" s="198"/>
      <c r="W2517" s="170"/>
      <c r="X2517" s="202"/>
      <c r="Y2517" s="203"/>
      <c r="Z2517" s="170"/>
      <c r="AA2517" s="198"/>
      <c r="AB2517" s="170"/>
      <c r="AC2517" s="170"/>
      <c r="AD2517" s="121"/>
      <c r="AE2517" s="121"/>
      <c r="AF2517" s="121"/>
      <c r="AG2517" s="22"/>
      <c r="AH2517" s="22"/>
      <c r="AI2517" s="22"/>
      <c r="AJ2517" s="22"/>
      <c r="AK2517" s="22"/>
      <c r="AL2517" s="22"/>
      <c r="AM2517" s="22"/>
      <c r="AN2517" s="22"/>
      <c r="AO2517" s="22"/>
      <c r="AP2517" s="22"/>
    </row>
    <row r="2518">
      <c r="A2518" s="193"/>
      <c r="B2518" s="194"/>
      <c r="C2518" s="195"/>
      <c r="D2518" s="196"/>
      <c r="E2518" s="197"/>
      <c r="F2518" s="197"/>
      <c r="G2518" s="195"/>
      <c r="H2518" s="195"/>
      <c r="I2518" s="197"/>
      <c r="J2518" s="121"/>
      <c r="K2518" s="121"/>
      <c r="L2518" s="200"/>
      <c r="M2518" s="204"/>
      <c r="N2518" s="205"/>
      <c r="O2518" s="170"/>
      <c r="P2518" s="198"/>
      <c r="Q2518" s="199"/>
      <c r="R2518" s="200"/>
      <c r="S2518" s="170"/>
      <c r="T2518" s="170"/>
      <c r="U2518" s="201"/>
      <c r="V2518" s="198"/>
      <c r="W2518" s="170"/>
      <c r="X2518" s="202"/>
      <c r="Y2518" s="203"/>
      <c r="Z2518" s="170"/>
      <c r="AA2518" s="198"/>
      <c r="AB2518" s="170"/>
      <c r="AC2518" s="170"/>
      <c r="AD2518" s="121"/>
      <c r="AE2518" s="121"/>
      <c r="AF2518" s="121"/>
      <c r="AG2518" s="22"/>
      <c r="AH2518" s="22"/>
      <c r="AI2518" s="22"/>
      <c r="AJ2518" s="22"/>
      <c r="AK2518" s="22"/>
      <c r="AL2518" s="22"/>
      <c r="AM2518" s="22"/>
      <c r="AN2518" s="22"/>
      <c r="AO2518" s="22"/>
      <c r="AP2518" s="22"/>
    </row>
    <row r="2519">
      <c r="A2519" s="193"/>
      <c r="B2519" s="194"/>
      <c r="C2519" s="195"/>
      <c r="D2519" s="196"/>
      <c r="E2519" s="197"/>
      <c r="F2519" s="197"/>
      <c r="G2519" s="195"/>
      <c r="H2519" s="195"/>
      <c r="I2519" s="197"/>
      <c r="J2519" s="121"/>
      <c r="K2519" s="121"/>
      <c r="L2519" s="200"/>
      <c r="M2519" s="204"/>
      <c r="N2519" s="205"/>
      <c r="O2519" s="170"/>
      <c r="P2519" s="198"/>
      <c r="Q2519" s="199"/>
      <c r="R2519" s="200"/>
      <c r="S2519" s="170"/>
      <c r="T2519" s="170"/>
      <c r="U2519" s="201"/>
      <c r="V2519" s="198"/>
      <c r="W2519" s="170"/>
      <c r="X2519" s="202"/>
      <c r="Y2519" s="203"/>
      <c r="Z2519" s="170"/>
      <c r="AA2519" s="198"/>
      <c r="AB2519" s="170"/>
      <c r="AC2519" s="170"/>
      <c r="AD2519" s="121"/>
      <c r="AE2519" s="121"/>
      <c r="AF2519" s="121"/>
      <c r="AG2519" s="22"/>
      <c r="AH2519" s="22"/>
      <c r="AI2519" s="22"/>
      <c r="AJ2519" s="22"/>
      <c r="AK2519" s="22"/>
      <c r="AL2519" s="22"/>
      <c r="AM2519" s="22"/>
      <c r="AN2519" s="22"/>
      <c r="AO2519" s="22"/>
      <c r="AP2519" s="22"/>
    </row>
    <row r="2520">
      <c r="A2520" s="193"/>
      <c r="B2520" s="194"/>
      <c r="C2520" s="195"/>
      <c r="D2520" s="196"/>
      <c r="E2520" s="197"/>
      <c r="F2520" s="197"/>
      <c r="G2520" s="195"/>
      <c r="H2520" s="195"/>
      <c r="I2520" s="197"/>
      <c r="J2520" s="121"/>
      <c r="K2520" s="121"/>
      <c r="L2520" s="200"/>
      <c r="M2520" s="204"/>
      <c r="N2520" s="205"/>
      <c r="O2520" s="170"/>
      <c r="P2520" s="198"/>
      <c r="Q2520" s="199"/>
      <c r="R2520" s="200"/>
      <c r="S2520" s="170"/>
      <c r="T2520" s="170"/>
      <c r="U2520" s="201"/>
      <c r="V2520" s="198"/>
      <c r="W2520" s="170"/>
      <c r="X2520" s="202"/>
      <c r="Y2520" s="203"/>
      <c r="Z2520" s="170"/>
      <c r="AA2520" s="198"/>
      <c r="AB2520" s="170"/>
      <c r="AC2520" s="170"/>
      <c r="AD2520" s="121"/>
      <c r="AE2520" s="121"/>
      <c r="AF2520" s="121"/>
      <c r="AG2520" s="22"/>
      <c r="AH2520" s="22"/>
      <c r="AI2520" s="22"/>
      <c r="AJ2520" s="22"/>
      <c r="AK2520" s="22"/>
      <c r="AL2520" s="22"/>
      <c r="AM2520" s="22"/>
      <c r="AN2520" s="22"/>
      <c r="AO2520" s="22"/>
      <c r="AP2520" s="22"/>
    </row>
    <row r="2521">
      <c r="A2521" s="193"/>
      <c r="B2521" s="194"/>
      <c r="C2521" s="195"/>
      <c r="D2521" s="196"/>
      <c r="E2521" s="197"/>
      <c r="F2521" s="197"/>
      <c r="G2521" s="195"/>
      <c r="H2521" s="195"/>
      <c r="I2521" s="197"/>
      <c r="J2521" s="121"/>
      <c r="K2521" s="121"/>
      <c r="L2521" s="200"/>
      <c r="M2521" s="204"/>
      <c r="N2521" s="205"/>
      <c r="O2521" s="170"/>
      <c r="P2521" s="198"/>
      <c r="Q2521" s="199"/>
      <c r="R2521" s="200"/>
      <c r="S2521" s="170"/>
      <c r="T2521" s="170"/>
      <c r="U2521" s="201"/>
      <c r="V2521" s="198"/>
      <c r="W2521" s="170"/>
      <c r="X2521" s="202"/>
      <c r="Y2521" s="203"/>
      <c r="Z2521" s="170"/>
      <c r="AA2521" s="198"/>
      <c r="AB2521" s="170"/>
      <c r="AC2521" s="170"/>
      <c r="AD2521" s="121"/>
      <c r="AE2521" s="121"/>
      <c r="AF2521" s="121"/>
      <c r="AG2521" s="22"/>
      <c r="AH2521" s="22"/>
      <c r="AI2521" s="22"/>
      <c r="AJ2521" s="22"/>
      <c r="AK2521" s="22"/>
      <c r="AL2521" s="22"/>
      <c r="AM2521" s="22"/>
      <c r="AN2521" s="22"/>
      <c r="AO2521" s="22"/>
      <c r="AP2521" s="22"/>
    </row>
    <row r="2522">
      <c r="A2522" s="193"/>
      <c r="B2522" s="194"/>
      <c r="C2522" s="195"/>
      <c r="D2522" s="196"/>
      <c r="E2522" s="197"/>
      <c r="F2522" s="197"/>
      <c r="G2522" s="195"/>
      <c r="H2522" s="195"/>
      <c r="I2522" s="197"/>
      <c r="J2522" s="121"/>
      <c r="K2522" s="121"/>
      <c r="L2522" s="200"/>
      <c r="M2522" s="204"/>
      <c r="N2522" s="205"/>
      <c r="O2522" s="170"/>
      <c r="P2522" s="198"/>
      <c r="Q2522" s="199"/>
      <c r="R2522" s="200"/>
      <c r="S2522" s="170"/>
      <c r="T2522" s="170"/>
      <c r="U2522" s="201"/>
      <c r="V2522" s="198"/>
      <c r="W2522" s="170"/>
      <c r="X2522" s="202"/>
      <c r="Y2522" s="203"/>
      <c r="Z2522" s="170"/>
      <c r="AA2522" s="198"/>
      <c r="AB2522" s="170"/>
      <c r="AC2522" s="170"/>
      <c r="AD2522" s="121"/>
      <c r="AE2522" s="121"/>
      <c r="AF2522" s="121"/>
      <c r="AG2522" s="22"/>
      <c r="AH2522" s="22"/>
      <c r="AI2522" s="22"/>
      <c r="AJ2522" s="22"/>
      <c r="AK2522" s="22"/>
      <c r="AL2522" s="22"/>
      <c r="AM2522" s="22"/>
      <c r="AN2522" s="22"/>
      <c r="AO2522" s="22"/>
      <c r="AP2522" s="22"/>
    </row>
    <row r="2523">
      <c r="A2523" s="193"/>
      <c r="B2523" s="194"/>
      <c r="C2523" s="195"/>
      <c r="D2523" s="196"/>
      <c r="E2523" s="197"/>
      <c r="F2523" s="197"/>
      <c r="G2523" s="195"/>
      <c r="H2523" s="195"/>
      <c r="I2523" s="197"/>
      <c r="J2523" s="121"/>
      <c r="K2523" s="121"/>
      <c r="L2523" s="200"/>
      <c r="M2523" s="204"/>
      <c r="N2523" s="205"/>
      <c r="O2523" s="170"/>
      <c r="P2523" s="198"/>
      <c r="Q2523" s="199"/>
      <c r="R2523" s="200"/>
      <c r="S2523" s="170"/>
      <c r="T2523" s="170"/>
      <c r="U2523" s="201"/>
      <c r="V2523" s="198"/>
      <c r="W2523" s="170"/>
      <c r="X2523" s="202"/>
      <c r="Y2523" s="203"/>
      <c r="Z2523" s="170"/>
      <c r="AA2523" s="198"/>
      <c r="AB2523" s="170"/>
      <c r="AC2523" s="170"/>
      <c r="AD2523" s="121"/>
      <c r="AE2523" s="121"/>
      <c r="AF2523" s="121"/>
      <c r="AG2523" s="22"/>
      <c r="AH2523" s="22"/>
      <c r="AI2523" s="22"/>
      <c r="AJ2523" s="22"/>
      <c r="AK2523" s="22"/>
      <c r="AL2523" s="22"/>
      <c r="AM2523" s="22"/>
      <c r="AN2523" s="22"/>
      <c r="AO2523" s="22"/>
      <c r="AP2523" s="22"/>
    </row>
    <row r="2524">
      <c r="A2524" s="193"/>
      <c r="B2524" s="194"/>
      <c r="C2524" s="195"/>
      <c r="D2524" s="196"/>
      <c r="E2524" s="197"/>
      <c r="F2524" s="197"/>
      <c r="G2524" s="195"/>
      <c r="H2524" s="195"/>
      <c r="I2524" s="197"/>
      <c r="J2524" s="121"/>
      <c r="K2524" s="121"/>
      <c r="L2524" s="200"/>
      <c r="M2524" s="204"/>
      <c r="N2524" s="205"/>
      <c r="O2524" s="170"/>
      <c r="P2524" s="198"/>
      <c r="Q2524" s="199"/>
      <c r="R2524" s="200"/>
      <c r="S2524" s="170"/>
      <c r="T2524" s="170"/>
      <c r="U2524" s="201"/>
      <c r="V2524" s="198"/>
      <c r="W2524" s="170"/>
      <c r="X2524" s="202"/>
      <c r="Y2524" s="203"/>
      <c r="Z2524" s="170"/>
      <c r="AA2524" s="198"/>
      <c r="AB2524" s="170"/>
      <c r="AC2524" s="170"/>
      <c r="AD2524" s="121"/>
      <c r="AE2524" s="121"/>
      <c r="AF2524" s="121"/>
      <c r="AG2524" s="22"/>
      <c r="AH2524" s="22"/>
      <c r="AI2524" s="22"/>
      <c r="AJ2524" s="22"/>
      <c r="AK2524" s="22"/>
      <c r="AL2524" s="22"/>
      <c r="AM2524" s="22"/>
      <c r="AN2524" s="22"/>
      <c r="AO2524" s="22"/>
      <c r="AP2524" s="22"/>
    </row>
    <row r="2525">
      <c r="A2525" s="193"/>
      <c r="B2525" s="194"/>
      <c r="C2525" s="195"/>
      <c r="D2525" s="196"/>
      <c r="E2525" s="197"/>
      <c r="F2525" s="197"/>
      <c r="G2525" s="195"/>
      <c r="H2525" s="195"/>
      <c r="I2525" s="197"/>
      <c r="J2525" s="121"/>
      <c r="K2525" s="121"/>
      <c r="L2525" s="200"/>
      <c r="M2525" s="204"/>
      <c r="N2525" s="205"/>
      <c r="O2525" s="170"/>
      <c r="P2525" s="198"/>
      <c r="Q2525" s="199"/>
      <c r="R2525" s="200"/>
      <c r="S2525" s="170"/>
      <c r="T2525" s="170"/>
      <c r="U2525" s="201"/>
      <c r="V2525" s="198"/>
      <c r="W2525" s="170"/>
      <c r="X2525" s="202"/>
      <c r="Y2525" s="203"/>
      <c r="Z2525" s="170"/>
      <c r="AA2525" s="198"/>
      <c r="AB2525" s="170"/>
      <c r="AC2525" s="170"/>
      <c r="AD2525" s="121"/>
      <c r="AE2525" s="121"/>
      <c r="AF2525" s="121"/>
      <c r="AG2525" s="22"/>
      <c r="AH2525" s="22"/>
      <c r="AI2525" s="22"/>
      <c r="AJ2525" s="22"/>
      <c r="AK2525" s="22"/>
      <c r="AL2525" s="22"/>
      <c r="AM2525" s="22"/>
      <c r="AN2525" s="22"/>
      <c r="AO2525" s="22"/>
      <c r="AP2525" s="22"/>
    </row>
    <row r="2526">
      <c r="A2526" s="193"/>
      <c r="B2526" s="194"/>
      <c r="C2526" s="195"/>
      <c r="D2526" s="196"/>
      <c r="E2526" s="197"/>
      <c r="F2526" s="197"/>
      <c r="G2526" s="195"/>
      <c r="H2526" s="195"/>
      <c r="I2526" s="197"/>
      <c r="J2526" s="121"/>
      <c r="K2526" s="121"/>
      <c r="L2526" s="200"/>
      <c r="M2526" s="204"/>
      <c r="N2526" s="205"/>
      <c r="O2526" s="170"/>
      <c r="P2526" s="198"/>
      <c r="Q2526" s="199"/>
      <c r="R2526" s="200"/>
      <c r="S2526" s="170"/>
      <c r="T2526" s="170"/>
      <c r="U2526" s="201"/>
      <c r="V2526" s="198"/>
      <c r="W2526" s="170"/>
      <c r="X2526" s="202"/>
      <c r="Y2526" s="203"/>
      <c r="Z2526" s="170"/>
      <c r="AA2526" s="198"/>
      <c r="AB2526" s="170"/>
      <c r="AC2526" s="170"/>
      <c r="AD2526" s="121"/>
      <c r="AE2526" s="121"/>
      <c r="AF2526" s="121"/>
      <c r="AG2526" s="22"/>
      <c r="AH2526" s="22"/>
      <c r="AI2526" s="22"/>
      <c r="AJ2526" s="22"/>
      <c r="AK2526" s="22"/>
      <c r="AL2526" s="22"/>
      <c r="AM2526" s="22"/>
      <c r="AN2526" s="22"/>
      <c r="AO2526" s="22"/>
      <c r="AP2526" s="22"/>
    </row>
    <row r="2527">
      <c r="A2527" s="193"/>
      <c r="B2527" s="194"/>
      <c r="C2527" s="195"/>
      <c r="D2527" s="196"/>
      <c r="E2527" s="197"/>
      <c r="F2527" s="197"/>
      <c r="G2527" s="195"/>
      <c r="H2527" s="195"/>
      <c r="I2527" s="197"/>
      <c r="J2527" s="121"/>
      <c r="K2527" s="121"/>
      <c r="L2527" s="200"/>
      <c r="M2527" s="204"/>
      <c r="N2527" s="205"/>
      <c r="O2527" s="170"/>
      <c r="P2527" s="198"/>
      <c r="Q2527" s="199"/>
      <c r="R2527" s="200"/>
      <c r="S2527" s="170"/>
      <c r="T2527" s="170"/>
      <c r="U2527" s="201"/>
      <c r="V2527" s="198"/>
      <c r="W2527" s="170"/>
      <c r="X2527" s="202"/>
      <c r="Y2527" s="203"/>
      <c r="Z2527" s="170"/>
      <c r="AA2527" s="198"/>
      <c r="AB2527" s="170"/>
      <c r="AC2527" s="170"/>
      <c r="AD2527" s="121"/>
      <c r="AE2527" s="121"/>
      <c r="AF2527" s="121"/>
      <c r="AG2527" s="22"/>
      <c r="AH2527" s="22"/>
      <c r="AI2527" s="22"/>
      <c r="AJ2527" s="22"/>
      <c r="AK2527" s="22"/>
      <c r="AL2527" s="22"/>
      <c r="AM2527" s="22"/>
      <c r="AN2527" s="22"/>
      <c r="AO2527" s="22"/>
      <c r="AP2527" s="22"/>
    </row>
    <row r="2528">
      <c r="A2528" s="193"/>
      <c r="B2528" s="194"/>
      <c r="C2528" s="195"/>
      <c r="D2528" s="196"/>
      <c r="E2528" s="197"/>
      <c r="F2528" s="197"/>
      <c r="G2528" s="195"/>
      <c r="H2528" s="195"/>
      <c r="I2528" s="197"/>
      <c r="J2528" s="121"/>
      <c r="K2528" s="121"/>
      <c r="L2528" s="200"/>
      <c r="M2528" s="204"/>
      <c r="N2528" s="205"/>
      <c r="O2528" s="170"/>
      <c r="P2528" s="198"/>
      <c r="Q2528" s="199"/>
      <c r="R2528" s="200"/>
      <c r="S2528" s="170"/>
      <c r="T2528" s="170"/>
      <c r="U2528" s="201"/>
      <c r="V2528" s="198"/>
      <c r="W2528" s="170"/>
      <c r="X2528" s="202"/>
      <c r="Y2528" s="203"/>
      <c r="Z2528" s="170"/>
      <c r="AA2528" s="198"/>
      <c r="AB2528" s="170"/>
      <c r="AC2528" s="170"/>
      <c r="AD2528" s="121"/>
      <c r="AE2528" s="121"/>
      <c r="AF2528" s="121"/>
      <c r="AG2528" s="22"/>
      <c r="AH2528" s="22"/>
      <c r="AI2528" s="22"/>
      <c r="AJ2528" s="22"/>
      <c r="AK2528" s="22"/>
      <c r="AL2528" s="22"/>
      <c r="AM2528" s="22"/>
      <c r="AN2528" s="22"/>
      <c r="AO2528" s="22"/>
      <c r="AP2528" s="22"/>
    </row>
    <row r="2529">
      <c r="A2529" s="193"/>
      <c r="B2529" s="194"/>
      <c r="C2529" s="195"/>
      <c r="D2529" s="196"/>
      <c r="E2529" s="197"/>
      <c r="F2529" s="197"/>
      <c r="G2529" s="195"/>
      <c r="H2529" s="195"/>
      <c r="I2529" s="197"/>
      <c r="J2529" s="121"/>
      <c r="K2529" s="121"/>
      <c r="L2529" s="200"/>
      <c r="M2529" s="204"/>
      <c r="N2529" s="205"/>
      <c r="O2529" s="170"/>
      <c r="P2529" s="198"/>
      <c r="Q2529" s="199"/>
      <c r="R2529" s="200"/>
      <c r="S2529" s="170"/>
      <c r="T2529" s="170"/>
      <c r="U2529" s="201"/>
      <c r="V2529" s="198"/>
      <c r="W2529" s="170"/>
      <c r="X2529" s="202"/>
      <c r="Y2529" s="203"/>
      <c r="Z2529" s="170"/>
      <c r="AA2529" s="198"/>
      <c r="AB2529" s="170"/>
      <c r="AC2529" s="170"/>
      <c r="AD2529" s="121"/>
      <c r="AE2529" s="121"/>
      <c r="AF2529" s="121"/>
      <c r="AG2529" s="22"/>
      <c r="AH2529" s="22"/>
      <c r="AI2529" s="22"/>
      <c r="AJ2529" s="22"/>
      <c r="AK2529" s="22"/>
      <c r="AL2529" s="22"/>
      <c r="AM2529" s="22"/>
      <c r="AN2529" s="22"/>
      <c r="AO2529" s="22"/>
      <c r="AP2529" s="22"/>
    </row>
    <row r="2530">
      <c r="A2530" s="193"/>
      <c r="B2530" s="194"/>
      <c r="C2530" s="195"/>
      <c r="D2530" s="196"/>
      <c r="E2530" s="197"/>
      <c r="F2530" s="197"/>
      <c r="G2530" s="195"/>
      <c r="H2530" s="195"/>
      <c r="I2530" s="197"/>
      <c r="J2530" s="121"/>
      <c r="K2530" s="121"/>
      <c r="L2530" s="200"/>
      <c r="M2530" s="204"/>
      <c r="N2530" s="205"/>
      <c r="O2530" s="170"/>
      <c r="P2530" s="198"/>
      <c r="Q2530" s="199"/>
      <c r="R2530" s="200"/>
      <c r="S2530" s="170"/>
      <c r="T2530" s="170"/>
      <c r="U2530" s="201"/>
      <c r="V2530" s="198"/>
      <c r="W2530" s="170"/>
      <c r="X2530" s="202"/>
      <c r="Y2530" s="203"/>
      <c r="Z2530" s="170"/>
      <c r="AA2530" s="198"/>
      <c r="AB2530" s="170"/>
      <c r="AC2530" s="170"/>
      <c r="AD2530" s="121"/>
      <c r="AE2530" s="121"/>
      <c r="AF2530" s="121"/>
      <c r="AG2530" s="22"/>
      <c r="AH2530" s="22"/>
      <c r="AI2530" s="22"/>
      <c r="AJ2530" s="22"/>
      <c r="AK2530" s="22"/>
      <c r="AL2530" s="22"/>
      <c r="AM2530" s="22"/>
      <c r="AN2530" s="22"/>
      <c r="AO2530" s="22"/>
      <c r="AP2530" s="22"/>
    </row>
    <row r="2531">
      <c r="A2531" s="193"/>
      <c r="B2531" s="194"/>
      <c r="C2531" s="195"/>
      <c r="D2531" s="196"/>
      <c r="E2531" s="197"/>
      <c r="F2531" s="197"/>
      <c r="G2531" s="195"/>
      <c r="H2531" s="195"/>
      <c r="I2531" s="197"/>
      <c r="J2531" s="121"/>
      <c r="K2531" s="121"/>
      <c r="L2531" s="200"/>
      <c r="M2531" s="204"/>
      <c r="N2531" s="205"/>
      <c r="O2531" s="170"/>
      <c r="P2531" s="198"/>
      <c r="Q2531" s="199"/>
      <c r="R2531" s="200"/>
      <c r="S2531" s="170"/>
      <c r="T2531" s="170"/>
      <c r="U2531" s="201"/>
      <c r="V2531" s="198"/>
      <c r="W2531" s="170"/>
      <c r="X2531" s="202"/>
      <c r="Y2531" s="203"/>
      <c r="Z2531" s="170"/>
      <c r="AA2531" s="198"/>
      <c r="AB2531" s="170"/>
      <c r="AC2531" s="170"/>
      <c r="AD2531" s="121"/>
      <c r="AE2531" s="121"/>
      <c r="AF2531" s="121"/>
      <c r="AG2531" s="22"/>
      <c r="AH2531" s="22"/>
      <c r="AI2531" s="22"/>
      <c r="AJ2531" s="22"/>
      <c r="AK2531" s="22"/>
      <c r="AL2531" s="22"/>
      <c r="AM2531" s="22"/>
      <c r="AN2531" s="22"/>
      <c r="AO2531" s="22"/>
      <c r="AP2531" s="22"/>
    </row>
    <row r="2532">
      <c r="A2532" s="193"/>
      <c r="B2532" s="194"/>
      <c r="C2532" s="195"/>
      <c r="D2532" s="196"/>
      <c r="E2532" s="197"/>
      <c r="F2532" s="197"/>
      <c r="G2532" s="195"/>
      <c r="H2532" s="195"/>
      <c r="I2532" s="197"/>
      <c r="J2532" s="121"/>
      <c r="K2532" s="121"/>
      <c r="L2532" s="200"/>
      <c r="M2532" s="204"/>
      <c r="N2532" s="205"/>
      <c r="O2532" s="170"/>
      <c r="P2532" s="198"/>
      <c r="Q2532" s="199"/>
      <c r="R2532" s="200"/>
      <c r="S2532" s="170"/>
      <c r="T2532" s="170"/>
      <c r="U2532" s="201"/>
      <c r="V2532" s="198"/>
      <c r="W2532" s="170"/>
      <c r="X2532" s="202"/>
      <c r="Y2532" s="203"/>
      <c r="Z2532" s="170"/>
      <c r="AA2532" s="198"/>
      <c r="AB2532" s="170"/>
      <c r="AC2532" s="170"/>
      <c r="AD2532" s="121"/>
      <c r="AE2532" s="121"/>
      <c r="AF2532" s="121"/>
      <c r="AG2532" s="22"/>
      <c r="AH2532" s="22"/>
      <c r="AI2532" s="22"/>
      <c r="AJ2532" s="22"/>
      <c r="AK2532" s="22"/>
      <c r="AL2532" s="22"/>
      <c r="AM2532" s="22"/>
      <c r="AN2532" s="22"/>
      <c r="AO2532" s="22"/>
      <c r="AP2532" s="22"/>
    </row>
    <row r="2533">
      <c r="A2533" s="193"/>
      <c r="B2533" s="194"/>
      <c r="C2533" s="195"/>
      <c r="D2533" s="196"/>
      <c r="E2533" s="197"/>
      <c r="F2533" s="197"/>
      <c r="G2533" s="195"/>
      <c r="H2533" s="195"/>
      <c r="I2533" s="197"/>
      <c r="J2533" s="121"/>
      <c r="K2533" s="121"/>
      <c r="L2533" s="200"/>
      <c r="M2533" s="204"/>
      <c r="N2533" s="205"/>
      <c r="O2533" s="170"/>
      <c r="P2533" s="198"/>
      <c r="Q2533" s="199"/>
      <c r="R2533" s="200"/>
      <c r="S2533" s="170"/>
      <c r="T2533" s="170"/>
      <c r="U2533" s="201"/>
      <c r="V2533" s="198"/>
      <c r="W2533" s="170"/>
      <c r="X2533" s="202"/>
      <c r="Y2533" s="203"/>
      <c r="Z2533" s="170"/>
      <c r="AA2533" s="198"/>
      <c r="AB2533" s="170"/>
      <c r="AC2533" s="170"/>
      <c r="AD2533" s="121"/>
      <c r="AE2533" s="121"/>
      <c r="AF2533" s="121"/>
      <c r="AG2533" s="22"/>
      <c r="AH2533" s="22"/>
      <c r="AI2533" s="22"/>
      <c r="AJ2533" s="22"/>
      <c r="AK2533" s="22"/>
      <c r="AL2533" s="22"/>
      <c r="AM2533" s="22"/>
      <c r="AN2533" s="22"/>
      <c r="AO2533" s="22"/>
      <c r="AP2533" s="22"/>
    </row>
    <row r="2534">
      <c r="A2534" s="193"/>
      <c r="B2534" s="194"/>
      <c r="C2534" s="195"/>
      <c r="D2534" s="196"/>
      <c r="E2534" s="197"/>
      <c r="F2534" s="197"/>
      <c r="G2534" s="195"/>
      <c r="H2534" s="195"/>
      <c r="I2534" s="197"/>
      <c r="J2534" s="121"/>
      <c r="K2534" s="121"/>
      <c r="L2534" s="200"/>
      <c r="M2534" s="204"/>
      <c r="N2534" s="205"/>
      <c r="O2534" s="170"/>
      <c r="P2534" s="198"/>
      <c r="Q2534" s="199"/>
      <c r="R2534" s="200"/>
      <c r="S2534" s="170"/>
      <c r="T2534" s="170"/>
      <c r="U2534" s="201"/>
      <c r="V2534" s="198"/>
      <c r="W2534" s="170"/>
      <c r="X2534" s="202"/>
      <c r="Y2534" s="203"/>
      <c r="Z2534" s="170"/>
      <c r="AA2534" s="198"/>
      <c r="AB2534" s="170"/>
      <c r="AC2534" s="170"/>
      <c r="AD2534" s="121"/>
      <c r="AE2534" s="121"/>
      <c r="AF2534" s="121"/>
      <c r="AG2534" s="22"/>
      <c r="AH2534" s="22"/>
      <c r="AI2534" s="22"/>
      <c r="AJ2534" s="22"/>
      <c r="AK2534" s="22"/>
      <c r="AL2534" s="22"/>
      <c r="AM2534" s="22"/>
      <c r="AN2534" s="22"/>
      <c r="AO2534" s="22"/>
      <c r="AP2534" s="22"/>
    </row>
    <row r="2535">
      <c r="A2535" s="193"/>
      <c r="B2535" s="194"/>
      <c r="C2535" s="195"/>
      <c r="D2535" s="196"/>
      <c r="E2535" s="197"/>
      <c r="F2535" s="197"/>
      <c r="G2535" s="195"/>
      <c r="H2535" s="195"/>
      <c r="I2535" s="197"/>
      <c r="J2535" s="121"/>
      <c r="K2535" s="121"/>
      <c r="L2535" s="200"/>
      <c r="M2535" s="204"/>
      <c r="N2535" s="205"/>
      <c r="O2535" s="170"/>
      <c r="P2535" s="198"/>
      <c r="Q2535" s="199"/>
      <c r="R2535" s="200"/>
      <c r="S2535" s="170"/>
      <c r="T2535" s="170"/>
      <c r="U2535" s="201"/>
      <c r="V2535" s="198"/>
      <c r="W2535" s="170"/>
      <c r="X2535" s="202"/>
      <c r="Y2535" s="203"/>
      <c r="Z2535" s="170"/>
      <c r="AA2535" s="198"/>
      <c r="AB2535" s="170"/>
      <c r="AC2535" s="170"/>
      <c r="AD2535" s="121"/>
      <c r="AE2535" s="121"/>
      <c r="AF2535" s="121"/>
      <c r="AG2535" s="22"/>
      <c r="AH2535" s="22"/>
      <c r="AI2535" s="22"/>
      <c r="AJ2535" s="22"/>
      <c r="AK2535" s="22"/>
      <c r="AL2535" s="22"/>
      <c r="AM2535" s="22"/>
      <c r="AN2535" s="22"/>
      <c r="AO2535" s="22"/>
      <c r="AP2535" s="22"/>
    </row>
    <row r="2536">
      <c r="A2536" s="193"/>
      <c r="B2536" s="194"/>
      <c r="C2536" s="195"/>
      <c r="D2536" s="196"/>
      <c r="E2536" s="197"/>
      <c r="F2536" s="197"/>
      <c r="G2536" s="195"/>
      <c r="H2536" s="195"/>
      <c r="I2536" s="197"/>
      <c r="J2536" s="121"/>
      <c r="K2536" s="121"/>
      <c r="L2536" s="200"/>
      <c r="M2536" s="204"/>
      <c r="N2536" s="205"/>
      <c r="O2536" s="170"/>
      <c r="P2536" s="198"/>
      <c r="Q2536" s="199"/>
      <c r="R2536" s="200"/>
      <c r="S2536" s="170"/>
      <c r="T2536" s="170"/>
      <c r="U2536" s="201"/>
      <c r="V2536" s="198"/>
      <c r="W2536" s="170"/>
      <c r="X2536" s="202"/>
      <c r="Y2536" s="203"/>
      <c r="Z2536" s="170"/>
      <c r="AA2536" s="198"/>
      <c r="AB2536" s="170"/>
      <c r="AC2536" s="170"/>
      <c r="AD2536" s="121"/>
      <c r="AE2536" s="121"/>
      <c r="AF2536" s="121"/>
      <c r="AG2536" s="22"/>
      <c r="AH2536" s="22"/>
      <c r="AI2536" s="22"/>
      <c r="AJ2536" s="22"/>
      <c r="AK2536" s="22"/>
      <c r="AL2536" s="22"/>
      <c r="AM2536" s="22"/>
      <c r="AN2536" s="22"/>
      <c r="AO2536" s="22"/>
      <c r="AP2536" s="22"/>
    </row>
    <row r="2537">
      <c r="A2537" s="193"/>
      <c r="B2537" s="194"/>
      <c r="C2537" s="195"/>
      <c r="D2537" s="196"/>
      <c r="E2537" s="197"/>
      <c r="F2537" s="197"/>
      <c r="G2537" s="195"/>
      <c r="H2537" s="195"/>
      <c r="I2537" s="197"/>
      <c r="J2537" s="121"/>
      <c r="K2537" s="121"/>
      <c r="L2537" s="200"/>
      <c r="M2537" s="204"/>
      <c r="N2537" s="205"/>
      <c r="O2537" s="170"/>
      <c r="P2537" s="198"/>
      <c r="Q2537" s="199"/>
      <c r="R2537" s="200"/>
      <c r="S2537" s="170"/>
      <c r="T2537" s="170"/>
      <c r="U2537" s="201"/>
      <c r="V2537" s="198"/>
      <c r="W2537" s="170"/>
      <c r="X2537" s="202"/>
      <c r="Y2537" s="203"/>
      <c r="Z2537" s="170"/>
      <c r="AA2537" s="198"/>
      <c r="AB2537" s="170"/>
      <c r="AC2537" s="170"/>
      <c r="AD2537" s="121"/>
      <c r="AE2537" s="121"/>
      <c r="AF2537" s="121"/>
      <c r="AG2537" s="22"/>
      <c r="AH2537" s="22"/>
      <c r="AI2537" s="22"/>
      <c r="AJ2537" s="22"/>
      <c r="AK2537" s="22"/>
      <c r="AL2537" s="22"/>
      <c r="AM2537" s="22"/>
      <c r="AN2537" s="22"/>
      <c r="AO2537" s="22"/>
      <c r="AP2537" s="22"/>
    </row>
    <row r="2538">
      <c r="A2538" s="193"/>
      <c r="B2538" s="194"/>
      <c r="C2538" s="195"/>
      <c r="D2538" s="196"/>
      <c r="E2538" s="197"/>
      <c r="F2538" s="197"/>
      <c r="G2538" s="195"/>
      <c r="H2538" s="195"/>
      <c r="I2538" s="197"/>
      <c r="J2538" s="121"/>
      <c r="K2538" s="121"/>
      <c r="L2538" s="200"/>
      <c r="M2538" s="204"/>
      <c r="N2538" s="205"/>
      <c r="O2538" s="170"/>
      <c r="P2538" s="198"/>
      <c r="Q2538" s="199"/>
      <c r="R2538" s="200"/>
      <c r="S2538" s="170"/>
      <c r="T2538" s="170"/>
      <c r="U2538" s="201"/>
      <c r="V2538" s="198"/>
      <c r="W2538" s="170"/>
      <c r="X2538" s="202"/>
      <c r="Y2538" s="203"/>
      <c r="Z2538" s="170"/>
      <c r="AA2538" s="198"/>
      <c r="AB2538" s="170"/>
      <c r="AC2538" s="170"/>
      <c r="AD2538" s="121"/>
      <c r="AE2538" s="121"/>
      <c r="AF2538" s="121"/>
      <c r="AG2538" s="22"/>
      <c r="AH2538" s="22"/>
      <c r="AI2538" s="22"/>
      <c r="AJ2538" s="22"/>
      <c r="AK2538" s="22"/>
      <c r="AL2538" s="22"/>
      <c r="AM2538" s="22"/>
      <c r="AN2538" s="22"/>
      <c r="AO2538" s="22"/>
      <c r="AP2538" s="22"/>
    </row>
    <row r="2539">
      <c r="A2539" s="193"/>
      <c r="B2539" s="194"/>
      <c r="C2539" s="195"/>
      <c r="D2539" s="196"/>
      <c r="E2539" s="197"/>
      <c r="F2539" s="197"/>
      <c r="G2539" s="195"/>
      <c r="H2539" s="195"/>
      <c r="I2539" s="197"/>
      <c r="J2539" s="121"/>
      <c r="K2539" s="121"/>
      <c r="L2539" s="200"/>
      <c r="M2539" s="204"/>
      <c r="N2539" s="205"/>
      <c r="O2539" s="170"/>
      <c r="P2539" s="198"/>
      <c r="Q2539" s="199"/>
      <c r="R2539" s="200"/>
      <c r="S2539" s="170"/>
      <c r="T2539" s="170"/>
      <c r="U2539" s="201"/>
      <c r="V2539" s="198"/>
      <c r="W2539" s="170"/>
      <c r="X2539" s="202"/>
      <c r="Y2539" s="203"/>
      <c r="Z2539" s="170"/>
      <c r="AA2539" s="198"/>
      <c r="AB2539" s="170"/>
      <c r="AC2539" s="170"/>
      <c r="AD2539" s="121"/>
      <c r="AE2539" s="121"/>
      <c r="AF2539" s="121"/>
      <c r="AG2539" s="22"/>
      <c r="AH2539" s="22"/>
      <c r="AI2539" s="22"/>
      <c r="AJ2539" s="22"/>
      <c r="AK2539" s="22"/>
      <c r="AL2539" s="22"/>
      <c r="AM2539" s="22"/>
      <c r="AN2539" s="22"/>
      <c r="AO2539" s="22"/>
      <c r="AP2539" s="22"/>
    </row>
    <row r="2540">
      <c r="A2540" s="193"/>
      <c r="B2540" s="194"/>
      <c r="C2540" s="195"/>
      <c r="D2540" s="196"/>
      <c r="E2540" s="197"/>
      <c r="F2540" s="197"/>
      <c r="G2540" s="195"/>
      <c r="H2540" s="195"/>
      <c r="I2540" s="197"/>
      <c r="J2540" s="121"/>
      <c r="K2540" s="121"/>
      <c r="L2540" s="200"/>
      <c r="M2540" s="204"/>
      <c r="N2540" s="205"/>
      <c r="O2540" s="170"/>
      <c r="P2540" s="198"/>
      <c r="Q2540" s="199"/>
      <c r="R2540" s="200"/>
      <c r="S2540" s="170"/>
      <c r="T2540" s="170"/>
      <c r="U2540" s="201"/>
      <c r="V2540" s="198"/>
      <c r="W2540" s="170"/>
      <c r="X2540" s="202"/>
      <c r="Y2540" s="203"/>
      <c r="Z2540" s="170"/>
      <c r="AA2540" s="198"/>
      <c r="AB2540" s="170"/>
      <c r="AC2540" s="170"/>
      <c r="AD2540" s="121"/>
      <c r="AE2540" s="121"/>
      <c r="AF2540" s="121"/>
      <c r="AG2540" s="22"/>
      <c r="AH2540" s="22"/>
      <c r="AI2540" s="22"/>
      <c r="AJ2540" s="22"/>
      <c r="AK2540" s="22"/>
      <c r="AL2540" s="22"/>
      <c r="AM2540" s="22"/>
      <c r="AN2540" s="22"/>
      <c r="AO2540" s="22"/>
      <c r="AP2540" s="22"/>
    </row>
    <row r="2541">
      <c r="A2541" s="193"/>
      <c r="B2541" s="194"/>
      <c r="C2541" s="195"/>
      <c r="D2541" s="196"/>
      <c r="E2541" s="197"/>
      <c r="F2541" s="197"/>
      <c r="G2541" s="195"/>
      <c r="H2541" s="195"/>
      <c r="I2541" s="197"/>
      <c r="J2541" s="121"/>
      <c r="K2541" s="121"/>
      <c r="L2541" s="200"/>
      <c r="M2541" s="204"/>
      <c r="N2541" s="205"/>
      <c r="O2541" s="170"/>
      <c r="P2541" s="198"/>
      <c r="Q2541" s="199"/>
      <c r="R2541" s="200"/>
      <c r="S2541" s="170"/>
      <c r="T2541" s="170"/>
      <c r="U2541" s="201"/>
      <c r="V2541" s="198"/>
      <c r="W2541" s="170"/>
      <c r="X2541" s="202"/>
      <c r="Y2541" s="203"/>
      <c r="Z2541" s="170"/>
      <c r="AA2541" s="198"/>
      <c r="AB2541" s="170"/>
      <c r="AC2541" s="170"/>
      <c r="AD2541" s="121"/>
      <c r="AE2541" s="121"/>
      <c r="AF2541" s="121"/>
      <c r="AG2541" s="22"/>
      <c r="AH2541" s="22"/>
      <c r="AI2541" s="22"/>
      <c r="AJ2541" s="22"/>
      <c r="AK2541" s="22"/>
      <c r="AL2541" s="22"/>
      <c r="AM2541" s="22"/>
      <c r="AN2541" s="22"/>
      <c r="AO2541" s="22"/>
      <c r="AP2541" s="22"/>
    </row>
    <row r="2542">
      <c r="A2542" s="193"/>
      <c r="B2542" s="194"/>
      <c r="C2542" s="195"/>
      <c r="D2542" s="196"/>
      <c r="E2542" s="197"/>
      <c r="F2542" s="197"/>
      <c r="G2542" s="195"/>
      <c r="H2542" s="195"/>
      <c r="I2542" s="197"/>
      <c r="J2542" s="121"/>
      <c r="K2542" s="121"/>
      <c r="L2542" s="200"/>
      <c r="M2542" s="204"/>
      <c r="N2542" s="205"/>
      <c r="O2542" s="170"/>
      <c r="P2542" s="198"/>
      <c r="Q2542" s="199"/>
      <c r="R2542" s="200"/>
      <c r="S2542" s="170"/>
      <c r="T2542" s="170"/>
      <c r="U2542" s="201"/>
      <c r="V2542" s="198"/>
      <c r="W2542" s="170"/>
      <c r="X2542" s="202"/>
      <c r="Y2542" s="203"/>
      <c r="Z2542" s="170"/>
      <c r="AA2542" s="198"/>
      <c r="AB2542" s="170"/>
      <c r="AC2542" s="170"/>
      <c r="AD2542" s="121"/>
      <c r="AE2542" s="121"/>
      <c r="AF2542" s="121"/>
      <c r="AG2542" s="22"/>
      <c r="AH2542" s="22"/>
      <c r="AI2542" s="22"/>
      <c r="AJ2542" s="22"/>
      <c r="AK2542" s="22"/>
      <c r="AL2542" s="22"/>
      <c r="AM2542" s="22"/>
      <c r="AN2542" s="22"/>
      <c r="AO2542" s="22"/>
      <c r="AP2542" s="22"/>
    </row>
    <row r="2543">
      <c r="A2543" s="193"/>
      <c r="B2543" s="194"/>
      <c r="C2543" s="195"/>
      <c r="D2543" s="196"/>
      <c r="E2543" s="197"/>
      <c r="F2543" s="197"/>
      <c r="G2543" s="195"/>
      <c r="H2543" s="195"/>
      <c r="I2543" s="197"/>
      <c r="J2543" s="121"/>
      <c r="K2543" s="121"/>
      <c r="L2543" s="200"/>
      <c r="M2543" s="204"/>
      <c r="N2543" s="205"/>
      <c r="O2543" s="170"/>
      <c r="P2543" s="198"/>
      <c r="Q2543" s="199"/>
      <c r="R2543" s="200"/>
      <c r="S2543" s="170"/>
      <c r="T2543" s="170"/>
      <c r="U2543" s="201"/>
      <c r="V2543" s="198"/>
      <c r="W2543" s="170"/>
      <c r="X2543" s="202"/>
      <c r="Y2543" s="203"/>
      <c r="Z2543" s="170"/>
      <c r="AA2543" s="198"/>
      <c r="AB2543" s="170"/>
      <c r="AC2543" s="170"/>
      <c r="AD2543" s="121"/>
      <c r="AE2543" s="121"/>
      <c r="AF2543" s="121"/>
      <c r="AG2543" s="22"/>
      <c r="AH2543" s="22"/>
      <c r="AI2543" s="22"/>
      <c r="AJ2543" s="22"/>
      <c r="AK2543" s="22"/>
      <c r="AL2543" s="22"/>
      <c r="AM2543" s="22"/>
      <c r="AN2543" s="22"/>
      <c r="AO2543" s="22"/>
      <c r="AP2543" s="22"/>
    </row>
    <row r="2544">
      <c r="A2544" s="193"/>
      <c r="B2544" s="194"/>
      <c r="C2544" s="195"/>
      <c r="D2544" s="196"/>
      <c r="E2544" s="197"/>
      <c r="F2544" s="197"/>
      <c r="G2544" s="195"/>
      <c r="H2544" s="195"/>
      <c r="I2544" s="197"/>
      <c r="J2544" s="121"/>
      <c r="K2544" s="121"/>
      <c r="L2544" s="200"/>
      <c r="M2544" s="204"/>
      <c r="N2544" s="205"/>
      <c r="O2544" s="170"/>
      <c r="P2544" s="198"/>
      <c r="Q2544" s="199"/>
      <c r="R2544" s="200"/>
      <c r="S2544" s="170"/>
      <c r="T2544" s="170"/>
      <c r="U2544" s="201"/>
      <c r="V2544" s="198"/>
      <c r="W2544" s="170"/>
      <c r="X2544" s="202"/>
      <c r="Y2544" s="203"/>
      <c r="Z2544" s="170"/>
      <c r="AA2544" s="198"/>
      <c r="AB2544" s="170"/>
      <c r="AC2544" s="170"/>
      <c r="AD2544" s="121"/>
      <c r="AE2544" s="121"/>
      <c r="AF2544" s="121"/>
      <c r="AG2544" s="22"/>
      <c r="AH2544" s="22"/>
      <c r="AI2544" s="22"/>
      <c r="AJ2544" s="22"/>
      <c r="AK2544" s="22"/>
      <c r="AL2544" s="22"/>
      <c r="AM2544" s="22"/>
      <c r="AN2544" s="22"/>
      <c r="AO2544" s="22"/>
      <c r="AP2544" s="22"/>
    </row>
    <row r="2545">
      <c r="A2545" s="193"/>
      <c r="B2545" s="194"/>
      <c r="C2545" s="195"/>
      <c r="D2545" s="196"/>
      <c r="E2545" s="197"/>
      <c r="F2545" s="197"/>
      <c r="G2545" s="195"/>
      <c r="H2545" s="195"/>
      <c r="I2545" s="197"/>
      <c r="J2545" s="121"/>
      <c r="K2545" s="121"/>
      <c r="L2545" s="200"/>
      <c r="M2545" s="204"/>
      <c r="N2545" s="205"/>
      <c r="O2545" s="170"/>
      <c r="P2545" s="198"/>
      <c r="Q2545" s="199"/>
      <c r="R2545" s="200"/>
      <c r="S2545" s="170"/>
      <c r="T2545" s="170"/>
      <c r="U2545" s="201"/>
      <c r="V2545" s="198"/>
      <c r="W2545" s="170"/>
      <c r="X2545" s="202"/>
      <c r="Y2545" s="203"/>
      <c r="Z2545" s="170"/>
      <c r="AA2545" s="198"/>
      <c r="AB2545" s="170"/>
      <c r="AC2545" s="170"/>
      <c r="AD2545" s="121"/>
      <c r="AE2545" s="121"/>
      <c r="AF2545" s="121"/>
      <c r="AG2545" s="22"/>
      <c r="AH2545" s="22"/>
      <c r="AI2545" s="22"/>
      <c r="AJ2545" s="22"/>
      <c r="AK2545" s="22"/>
      <c r="AL2545" s="22"/>
      <c r="AM2545" s="22"/>
      <c r="AN2545" s="22"/>
      <c r="AO2545" s="22"/>
      <c r="AP2545" s="22"/>
    </row>
    <row r="2546">
      <c r="A2546" s="193"/>
      <c r="B2546" s="194"/>
      <c r="C2546" s="195"/>
      <c r="D2546" s="196"/>
      <c r="E2546" s="197"/>
      <c r="F2546" s="197"/>
      <c r="G2546" s="195"/>
      <c r="H2546" s="195"/>
      <c r="I2546" s="197"/>
      <c r="J2546" s="121"/>
      <c r="K2546" s="121"/>
      <c r="L2546" s="200"/>
      <c r="M2546" s="204"/>
      <c r="N2546" s="205"/>
      <c r="O2546" s="170"/>
      <c r="P2546" s="198"/>
      <c r="Q2546" s="199"/>
      <c r="R2546" s="200"/>
      <c r="S2546" s="170"/>
      <c r="T2546" s="170"/>
      <c r="U2546" s="201"/>
      <c r="V2546" s="198"/>
      <c r="W2546" s="170"/>
      <c r="X2546" s="202"/>
      <c r="Y2546" s="203"/>
      <c r="Z2546" s="170"/>
      <c r="AA2546" s="198"/>
      <c r="AB2546" s="170"/>
      <c r="AC2546" s="170"/>
      <c r="AD2546" s="121"/>
      <c r="AE2546" s="121"/>
      <c r="AF2546" s="121"/>
      <c r="AG2546" s="22"/>
      <c r="AH2546" s="22"/>
      <c r="AI2546" s="22"/>
      <c r="AJ2546" s="22"/>
      <c r="AK2546" s="22"/>
      <c r="AL2546" s="22"/>
      <c r="AM2546" s="22"/>
      <c r="AN2546" s="22"/>
      <c r="AO2546" s="22"/>
      <c r="AP2546" s="22"/>
    </row>
    <row r="2547">
      <c r="A2547" s="193"/>
      <c r="B2547" s="194"/>
      <c r="C2547" s="195"/>
      <c r="D2547" s="196"/>
      <c r="E2547" s="197"/>
      <c r="F2547" s="197"/>
      <c r="G2547" s="195"/>
      <c r="H2547" s="195"/>
      <c r="I2547" s="197"/>
      <c r="J2547" s="121"/>
      <c r="K2547" s="121"/>
      <c r="L2547" s="200"/>
      <c r="M2547" s="204"/>
      <c r="N2547" s="205"/>
      <c r="O2547" s="170"/>
      <c r="P2547" s="198"/>
      <c r="Q2547" s="199"/>
      <c r="R2547" s="200"/>
      <c r="S2547" s="170"/>
      <c r="T2547" s="170"/>
      <c r="U2547" s="201"/>
      <c r="V2547" s="198"/>
      <c r="W2547" s="170"/>
      <c r="X2547" s="202"/>
      <c r="Y2547" s="203"/>
      <c r="Z2547" s="170"/>
      <c r="AA2547" s="198"/>
      <c r="AB2547" s="170"/>
      <c r="AC2547" s="170"/>
      <c r="AD2547" s="121"/>
      <c r="AE2547" s="121"/>
      <c r="AF2547" s="121"/>
      <c r="AG2547" s="22"/>
      <c r="AH2547" s="22"/>
      <c r="AI2547" s="22"/>
      <c r="AJ2547" s="22"/>
      <c r="AK2547" s="22"/>
      <c r="AL2547" s="22"/>
      <c r="AM2547" s="22"/>
      <c r="AN2547" s="22"/>
      <c r="AO2547" s="22"/>
      <c r="AP2547" s="22"/>
    </row>
    <row r="2548">
      <c r="A2548" s="193"/>
      <c r="B2548" s="194"/>
      <c r="C2548" s="195"/>
      <c r="D2548" s="196"/>
      <c r="E2548" s="197"/>
      <c r="F2548" s="197"/>
      <c r="G2548" s="195"/>
      <c r="H2548" s="195"/>
      <c r="I2548" s="197"/>
      <c r="J2548" s="121"/>
      <c r="K2548" s="121"/>
      <c r="L2548" s="200"/>
      <c r="M2548" s="204"/>
      <c r="N2548" s="205"/>
      <c r="O2548" s="170"/>
      <c r="P2548" s="198"/>
      <c r="Q2548" s="199"/>
      <c r="R2548" s="200"/>
      <c r="S2548" s="170"/>
      <c r="T2548" s="170"/>
      <c r="U2548" s="201"/>
      <c r="V2548" s="198"/>
      <c r="W2548" s="170"/>
      <c r="X2548" s="202"/>
      <c r="Y2548" s="203"/>
      <c r="Z2548" s="170"/>
      <c r="AA2548" s="198"/>
      <c r="AB2548" s="170"/>
      <c r="AC2548" s="170"/>
      <c r="AD2548" s="121"/>
      <c r="AE2548" s="121"/>
      <c r="AF2548" s="121"/>
      <c r="AG2548" s="22"/>
      <c r="AH2548" s="22"/>
      <c r="AI2548" s="22"/>
      <c r="AJ2548" s="22"/>
      <c r="AK2548" s="22"/>
      <c r="AL2548" s="22"/>
      <c r="AM2548" s="22"/>
      <c r="AN2548" s="22"/>
      <c r="AO2548" s="22"/>
      <c r="AP2548" s="22"/>
    </row>
    <row r="2549">
      <c r="A2549" s="193"/>
      <c r="B2549" s="194"/>
      <c r="C2549" s="195"/>
      <c r="D2549" s="196"/>
      <c r="E2549" s="197"/>
      <c r="F2549" s="197"/>
      <c r="G2549" s="195"/>
      <c r="H2549" s="195"/>
      <c r="I2549" s="197"/>
      <c r="J2549" s="121"/>
      <c r="K2549" s="121"/>
      <c r="L2549" s="200"/>
      <c r="M2549" s="204"/>
      <c r="N2549" s="205"/>
      <c r="O2549" s="170"/>
      <c r="P2549" s="198"/>
      <c r="Q2549" s="199"/>
      <c r="R2549" s="200"/>
      <c r="S2549" s="170"/>
      <c r="T2549" s="170"/>
      <c r="U2549" s="201"/>
      <c r="V2549" s="198"/>
      <c r="W2549" s="170"/>
      <c r="X2549" s="202"/>
      <c r="Y2549" s="203"/>
      <c r="Z2549" s="170"/>
      <c r="AA2549" s="198"/>
      <c r="AB2549" s="170"/>
      <c r="AC2549" s="170"/>
      <c r="AD2549" s="121"/>
      <c r="AE2549" s="121"/>
      <c r="AF2549" s="121"/>
      <c r="AG2549" s="22"/>
      <c r="AH2549" s="22"/>
      <c r="AI2549" s="22"/>
      <c r="AJ2549" s="22"/>
      <c r="AK2549" s="22"/>
      <c r="AL2549" s="22"/>
      <c r="AM2549" s="22"/>
      <c r="AN2549" s="22"/>
      <c r="AO2549" s="22"/>
      <c r="AP2549" s="22"/>
    </row>
    <row r="2550">
      <c r="A2550" s="193"/>
      <c r="B2550" s="194"/>
      <c r="C2550" s="195"/>
      <c r="D2550" s="196"/>
      <c r="E2550" s="197"/>
      <c r="F2550" s="197"/>
      <c r="G2550" s="195"/>
      <c r="H2550" s="195"/>
      <c r="I2550" s="197"/>
      <c r="J2550" s="121"/>
      <c r="K2550" s="121"/>
      <c r="L2550" s="200"/>
      <c r="M2550" s="204"/>
      <c r="N2550" s="205"/>
      <c r="O2550" s="170"/>
      <c r="P2550" s="198"/>
      <c r="Q2550" s="199"/>
      <c r="R2550" s="200"/>
      <c r="S2550" s="170"/>
      <c r="T2550" s="170"/>
      <c r="U2550" s="201"/>
      <c r="V2550" s="198"/>
      <c r="W2550" s="170"/>
      <c r="X2550" s="202"/>
      <c r="Y2550" s="203"/>
      <c r="Z2550" s="170"/>
      <c r="AA2550" s="198"/>
      <c r="AB2550" s="170"/>
      <c r="AC2550" s="170"/>
      <c r="AD2550" s="121"/>
      <c r="AE2550" s="121"/>
      <c r="AF2550" s="121"/>
      <c r="AG2550" s="22"/>
      <c r="AH2550" s="22"/>
      <c r="AI2550" s="22"/>
      <c r="AJ2550" s="22"/>
      <c r="AK2550" s="22"/>
      <c r="AL2550" s="22"/>
      <c r="AM2550" s="22"/>
      <c r="AN2550" s="22"/>
      <c r="AO2550" s="22"/>
      <c r="AP2550" s="22"/>
    </row>
    <row r="2551">
      <c r="A2551" s="193"/>
      <c r="B2551" s="194"/>
      <c r="C2551" s="195"/>
      <c r="D2551" s="196"/>
      <c r="E2551" s="197"/>
      <c r="F2551" s="197"/>
      <c r="G2551" s="195"/>
      <c r="H2551" s="195"/>
      <c r="I2551" s="197"/>
      <c r="J2551" s="121"/>
      <c r="K2551" s="121"/>
      <c r="L2551" s="200"/>
      <c r="M2551" s="204"/>
      <c r="N2551" s="205"/>
      <c r="O2551" s="170"/>
      <c r="P2551" s="198"/>
      <c r="Q2551" s="199"/>
      <c r="R2551" s="200"/>
      <c r="S2551" s="170"/>
      <c r="T2551" s="170"/>
      <c r="U2551" s="201"/>
      <c r="V2551" s="198"/>
      <c r="W2551" s="170"/>
      <c r="X2551" s="202"/>
      <c r="Y2551" s="203"/>
      <c r="Z2551" s="170"/>
      <c r="AA2551" s="198"/>
      <c r="AB2551" s="170"/>
      <c r="AC2551" s="170"/>
      <c r="AD2551" s="121"/>
      <c r="AE2551" s="121"/>
      <c r="AF2551" s="121"/>
      <c r="AG2551" s="22"/>
      <c r="AH2551" s="22"/>
      <c r="AI2551" s="22"/>
      <c r="AJ2551" s="22"/>
      <c r="AK2551" s="22"/>
      <c r="AL2551" s="22"/>
      <c r="AM2551" s="22"/>
      <c r="AN2551" s="22"/>
      <c r="AO2551" s="22"/>
      <c r="AP2551" s="22"/>
    </row>
    <row r="2552">
      <c r="A2552" s="193"/>
      <c r="B2552" s="194"/>
      <c r="C2552" s="195"/>
      <c r="D2552" s="196"/>
      <c r="E2552" s="197"/>
      <c r="F2552" s="197"/>
      <c r="G2552" s="195"/>
      <c r="H2552" s="195"/>
      <c r="I2552" s="197"/>
      <c r="J2552" s="121"/>
      <c r="K2552" s="121"/>
      <c r="L2552" s="200"/>
      <c r="M2552" s="204"/>
      <c r="N2552" s="205"/>
      <c r="O2552" s="170"/>
      <c r="P2552" s="198"/>
      <c r="Q2552" s="199"/>
      <c r="R2552" s="200"/>
      <c r="S2552" s="170"/>
      <c r="T2552" s="170"/>
      <c r="U2552" s="201"/>
      <c r="V2552" s="198"/>
      <c r="W2552" s="170"/>
      <c r="X2552" s="202"/>
      <c r="Y2552" s="203"/>
      <c r="Z2552" s="170"/>
      <c r="AA2552" s="198"/>
      <c r="AB2552" s="170"/>
      <c r="AC2552" s="170"/>
      <c r="AD2552" s="121"/>
      <c r="AE2552" s="121"/>
      <c r="AF2552" s="121"/>
      <c r="AG2552" s="22"/>
      <c r="AH2552" s="22"/>
      <c r="AI2552" s="22"/>
      <c r="AJ2552" s="22"/>
      <c r="AK2552" s="22"/>
      <c r="AL2552" s="22"/>
      <c r="AM2552" s="22"/>
      <c r="AN2552" s="22"/>
      <c r="AO2552" s="22"/>
      <c r="AP2552" s="22"/>
    </row>
    <row r="2553">
      <c r="A2553" s="193"/>
      <c r="B2553" s="194"/>
      <c r="C2553" s="195"/>
      <c r="D2553" s="196"/>
      <c r="E2553" s="197"/>
      <c r="F2553" s="197"/>
      <c r="G2553" s="195"/>
      <c r="H2553" s="195"/>
      <c r="I2553" s="197"/>
      <c r="J2553" s="121"/>
      <c r="K2553" s="121"/>
      <c r="L2553" s="200"/>
      <c r="M2553" s="204"/>
      <c r="N2553" s="205"/>
      <c r="O2553" s="170"/>
      <c r="P2553" s="198"/>
      <c r="Q2553" s="199"/>
      <c r="R2553" s="200"/>
      <c r="S2553" s="170"/>
      <c r="T2553" s="170"/>
      <c r="U2553" s="201"/>
      <c r="V2553" s="198"/>
      <c r="W2553" s="170"/>
      <c r="X2553" s="202"/>
      <c r="Y2553" s="203"/>
      <c r="Z2553" s="170"/>
      <c r="AA2553" s="198"/>
      <c r="AB2553" s="170"/>
      <c r="AC2553" s="170"/>
      <c r="AD2553" s="121"/>
      <c r="AE2553" s="121"/>
      <c r="AF2553" s="121"/>
      <c r="AG2553" s="22"/>
      <c r="AH2553" s="22"/>
      <c r="AI2553" s="22"/>
      <c r="AJ2553" s="22"/>
      <c r="AK2553" s="22"/>
      <c r="AL2553" s="22"/>
      <c r="AM2553" s="22"/>
      <c r="AN2553" s="22"/>
      <c r="AO2553" s="22"/>
      <c r="AP2553" s="22"/>
    </row>
    <row r="2554">
      <c r="A2554" s="193"/>
      <c r="B2554" s="194"/>
      <c r="C2554" s="195"/>
      <c r="D2554" s="196"/>
      <c r="E2554" s="197"/>
      <c r="F2554" s="197"/>
      <c r="G2554" s="195"/>
      <c r="H2554" s="195"/>
      <c r="I2554" s="197"/>
      <c r="J2554" s="121"/>
      <c r="K2554" s="121"/>
      <c r="L2554" s="200"/>
      <c r="M2554" s="204"/>
      <c r="N2554" s="205"/>
      <c r="O2554" s="170"/>
      <c r="P2554" s="198"/>
      <c r="Q2554" s="199"/>
      <c r="R2554" s="200"/>
      <c r="S2554" s="170"/>
      <c r="T2554" s="170"/>
      <c r="U2554" s="201"/>
      <c r="V2554" s="198"/>
      <c r="W2554" s="170"/>
      <c r="X2554" s="202"/>
      <c r="Y2554" s="203"/>
      <c r="Z2554" s="170"/>
      <c r="AA2554" s="198"/>
      <c r="AB2554" s="170"/>
      <c r="AC2554" s="170"/>
      <c r="AD2554" s="121"/>
      <c r="AE2554" s="121"/>
      <c r="AF2554" s="121"/>
      <c r="AG2554" s="22"/>
      <c r="AH2554" s="22"/>
      <c r="AI2554" s="22"/>
      <c r="AJ2554" s="22"/>
      <c r="AK2554" s="22"/>
      <c r="AL2554" s="22"/>
      <c r="AM2554" s="22"/>
      <c r="AN2554" s="22"/>
      <c r="AO2554" s="22"/>
      <c r="AP2554" s="22"/>
    </row>
    <row r="2555">
      <c r="A2555" s="193"/>
      <c r="B2555" s="194"/>
      <c r="C2555" s="195"/>
      <c r="D2555" s="196"/>
      <c r="E2555" s="197"/>
      <c r="F2555" s="197"/>
      <c r="G2555" s="195"/>
      <c r="H2555" s="195"/>
      <c r="I2555" s="197"/>
      <c r="J2555" s="121"/>
      <c r="K2555" s="121"/>
      <c r="L2555" s="200"/>
      <c r="M2555" s="204"/>
      <c r="N2555" s="205"/>
      <c r="O2555" s="170"/>
      <c r="P2555" s="198"/>
      <c r="Q2555" s="199"/>
      <c r="R2555" s="200"/>
      <c r="S2555" s="170"/>
      <c r="T2555" s="170"/>
      <c r="U2555" s="201"/>
      <c r="V2555" s="198"/>
      <c r="W2555" s="170"/>
      <c r="X2555" s="202"/>
      <c r="Y2555" s="203"/>
      <c r="Z2555" s="170"/>
      <c r="AA2555" s="198"/>
      <c r="AB2555" s="170"/>
      <c r="AC2555" s="170"/>
      <c r="AD2555" s="121"/>
      <c r="AE2555" s="121"/>
      <c r="AF2555" s="121"/>
      <c r="AG2555" s="22"/>
      <c r="AH2555" s="22"/>
      <c r="AI2555" s="22"/>
      <c r="AJ2555" s="22"/>
      <c r="AK2555" s="22"/>
      <c r="AL2555" s="22"/>
      <c r="AM2555" s="22"/>
      <c r="AN2555" s="22"/>
      <c r="AO2555" s="22"/>
      <c r="AP2555" s="22"/>
    </row>
    <row r="2556">
      <c r="A2556" s="193"/>
      <c r="B2556" s="194"/>
      <c r="C2556" s="195"/>
      <c r="D2556" s="196"/>
      <c r="E2556" s="197"/>
      <c r="F2556" s="197"/>
      <c r="G2556" s="195"/>
      <c r="H2556" s="195"/>
      <c r="I2556" s="197"/>
      <c r="J2556" s="121"/>
      <c r="K2556" s="121"/>
      <c r="L2556" s="200"/>
      <c r="M2556" s="204"/>
      <c r="N2556" s="205"/>
      <c r="O2556" s="170"/>
      <c r="P2556" s="198"/>
      <c r="Q2556" s="199"/>
      <c r="R2556" s="200"/>
      <c r="S2556" s="170"/>
      <c r="T2556" s="170"/>
      <c r="U2556" s="201"/>
      <c r="V2556" s="198"/>
      <c r="W2556" s="170"/>
      <c r="X2556" s="202"/>
      <c r="Y2556" s="203"/>
      <c r="Z2556" s="170"/>
      <c r="AA2556" s="198"/>
      <c r="AB2556" s="170"/>
      <c r="AC2556" s="170"/>
      <c r="AD2556" s="121"/>
      <c r="AE2556" s="121"/>
      <c r="AF2556" s="121"/>
      <c r="AG2556" s="22"/>
      <c r="AH2556" s="22"/>
      <c r="AI2556" s="22"/>
      <c r="AJ2556" s="22"/>
      <c r="AK2556" s="22"/>
      <c r="AL2556" s="22"/>
      <c r="AM2556" s="22"/>
      <c r="AN2556" s="22"/>
      <c r="AO2556" s="22"/>
      <c r="AP2556" s="22"/>
    </row>
    <row r="2557">
      <c r="A2557" s="193"/>
      <c r="B2557" s="194"/>
      <c r="C2557" s="195"/>
      <c r="D2557" s="196"/>
      <c r="E2557" s="197"/>
      <c r="F2557" s="197"/>
      <c r="G2557" s="195"/>
      <c r="H2557" s="195"/>
      <c r="I2557" s="197"/>
      <c r="J2557" s="121"/>
      <c r="K2557" s="121"/>
      <c r="L2557" s="200"/>
      <c r="M2557" s="204"/>
      <c r="N2557" s="205"/>
      <c r="O2557" s="170"/>
      <c r="P2557" s="198"/>
      <c r="Q2557" s="199"/>
      <c r="R2557" s="200"/>
      <c r="S2557" s="170"/>
      <c r="T2557" s="170"/>
      <c r="U2557" s="201"/>
      <c r="V2557" s="198"/>
      <c r="W2557" s="170"/>
      <c r="X2557" s="202"/>
      <c r="Y2557" s="203"/>
      <c r="Z2557" s="170"/>
      <c r="AA2557" s="198"/>
      <c r="AB2557" s="170"/>
      <c r="AC2557" s="170"/>
      <c r="AD2557" s="121"/>
      <c r="AE2557" s="121"/>
      <c r="AF2557" s="121"/>
      <c r="AG2557" s="22"/>
      <c r="AH2557" s="22"/>
      <c r="AI2557" s="22"/>
      <c r="AJ2557" s="22"/>
      <c r="AK2557" s="22"/>
      <c r="AL2557" s="22"/>
      <c r="AM2557" s="22"/>
      <c r="AN2557" s="22"/>
      <c r="AO2557" s="22"/>
      <c r="AP2557" s="22"/>
    </row>
    <row r="2558">
      <c r="A2558" s="193"/>
      <c r="B2558" s="194"/>
      <c r="C2558" s="195"/>
      <c r="D2558" s="196"/>
      <c r="E2558" s="197"/>
      <c r="F2558" s="197"/>
      <c r="G2558" s="195"/>
      <c r="H2558" s="195"/>
      <c r="I2558" s="197"/>
      <c r="J2558" s="121"/>
      <c r="K2558" s="121"/>
      <c r="L2558" s="200"/>
      <c r="M2558" s="204"/>
      <c r="N2558" s="205"/>
      <c r="O2558" s="170"/>
      <c r="P2558" s="198"/>
      <c r="Q2558" s="199"/>
      <c r="R2558" s="200"/>
      <c r="S2558" s="170"/>
      <c r="T2558" s="170"/>
      <c r="U2558" s="201"/>
      <c r="V2558" s="198"/>
      <c r="W2558" s="170"/>
      <c r="X2558" s="202"/>
      <c r="Y2558" s="203"/>
      <c r="Z2558" s="170"/>
      <c r="AA2558" s="198"/>
      <c r="AB2558" s="170"/>
      <c r="AC2558" s="170"/>
      <c r="AD2558" s="121"/>
      <c r="AE2558" s="121"/>
      <c r="AF2558" s="121"/>
      <c r="AG2558" s="22"/>
      <c r="AH2558" s="22"/>
      <c r="AI2558" s="22"/>
      <c r="AJ2558" s="22"/>
      <c r="AK2558" s="22"/>
      <c r="AL2558" s="22"/>
      <c r="AM2558" s="22"/>
      <c r="AN2558" s="22"/>
      <c r="AO2558" s="22"/>
      <c r="AP2558" s="22"/>
    </row>
    <row r="2559">
      <c r="A2559" s="193"/>
      <c r="B2559" s="194"/>
      <c r="C2559" s="195"/>
      <c r="D2559" s="196"/>
      <c r="E2559" s="197"/>
      <c r="F2559" s="197"/>
      <c r="G2559" s="195"/>
      <c r="H2559" s="195"/>
      <c r="I2559" s="197"/>
      <c r="J2559" s="121"/>
      <c r="K2559" s="121"/>
      <c r="L2559" s="200"/>
      <c r="M2559" s="204"/>
      <c r="N2559" s="205"/>
      <c r="O2559" s="170"/>
      <c r="P2559" s="198"/>
      <c r="Q2559" s="199"/>
      <c r="R2559" s="200"/>
      <c r="S2559" s="170"/>
      <c r="T2559" s="170"/>
      <c r="U2559" s="201"/>
      <c r="V2559" s="198"/>
      <c r="W2559" s="170"/>
      <c r="X2559" s="202"/>
      <c r="Y2559" s="203"/>
      <c r="Z2559" s="170"/>
      <c r="AA2559" s="198"/>
      <c r="AB2559" s="170"/>
      <c r="AC2559" s="170"/>
      <c r="AD2559" s="121"/>
      <c r="AE2559" s="121"/>
      <c r="AF2559" s="121"/>
      <c r="AG2559" s="22"/>
      <c r="AH2559" s="22"/>
      <c r="AI2559" s="22"/>
      <c r="AJ2559" s="22"/>
      <c r="AK2559" s="22"/>
      <c r="AL2559" s="22"/>
      <c r="AM2559" s="22"/>
      <c r="AN2559" s="22"/>
      <c r="AO2559" s="22"/>
      <c r="AP2559" s="22"/>
    </row>
    <row r="2560">
      <c r="A2560" s="193"/>
      <c r="B2560" s="194"/>
      <c r="C2560" s="195"/>
      <c r="D2560" s="196"/>
      <c r="E2560" s="197"/>
      <c r="F2560" s="197"/>
      <c r="G2560" s="195"/>
      <c r="H2560" s="195"/>
      <c r="I2560" s="197"/>
      <c r="J2560" s="121"/>
      <c r="K2560" s="121"/>
      <c r="L2560" s="200"/>
      <c r="M2560" s="204"/>
      <c r="N2560" s="205"/>
      <c r="O2560" s="170"/>
      <c r="P2560" s="198"/>
      <c r="Q2560" s="199"/>
      <c r="R2560" s="200"/>
      <c r="S2560" s="170"/>
      <c r="T2560" s="170"/>
      <c r="U2560" s="201"/>
      <c r="V2560" s="198"/>
      <c r="W2560" s="170"/>
      <c r="X2560" s="202"/>
      <c r="Y2560" s="203"/>
      <c r="Z2560" s="170"/>
      <c r="AA2560" s="198"/>
      <c r="AB2560" s="170"/>
      <c r="AC2560" s="170"/>
      <c r="AD2560" s="121"/>
      <c r="AE2560" s="121"/>
      <c r="AF2560" s="121"/>
      <c r="AG2560" s="22"/>
      <c r="AH2560" s="22"/>
      <c r="AI2560" s="22"/>
      <c r="AJ2560" s="22"/>
      <c r="AK2560" s="22"/>
      <c r="AL2560" s="22"/>
      <c r="AM2560" s="22"/>
      <c r="AN2560" s="22"/>
      <c r="AO2560" s="22"/>
      <c r="AP2560" s="22"/>
    </row>
    <row r="2561">
      <c r="A2561" s="193"/>
      <c r="B2561" s="194"/>
      <c r="C2561" s="195"/>
      <c r="D2561" s="196"/>
      <c r="E2561" s="197"/>
      <c r="F2561" s="197"/>
      <c r="G2561" s="195"/>
      <c r="H2561" s="195"/>
      <c r="I2561" s="197"/>
      <c r="J2561" s="121"/>
      <c r="K2561" s="121"/>
      <c r="L2561" s="200"/>
      <c r="M2561" s="204"/>
      <c r="N2561" s="205"/>
      <c r="O2561" s="170"/>
      <c r="P2561" s="198"/>
      <c r="Q2561" s="199"/>
      <c r="R2561" s="200"/>
      <c r="S2561" s="170"/>
      <c r="T2561" s="170"/>
      <c r="U2561" s="201"/>
      <c r="V2561" s="198"/>
      <c r="W2561" s="170"/>
      <c r="X2561" s="202"/>
      <c r="Y2561" s="203"/>
      <c r="Z2561" s="170"/>
      <c r="AA2561" s="198"/>
      <c r="AB2561" s="170"/>
      <c r="AC2561" s="170"/>
      <c r="AD2561" s="121"/>
      <c r="AE2561" s="121"/>
      <c r="AF2561" s="121"/>
      <c r="AG2561" s="22"/>
      <c r="AH2561" s="22"/>
      <c r="AI2561" s="22"/>
      <c r="AJ2561" s="22"/>
      <c r="AK2561" s="22"/>
      <c r="AL2561" s="22"/>
      <c r="AM2561" s="22"/>
      <c r="AN2561" s="22"/>
      <c r="AO2561" s="22"/>
      <c r="AP2561" s="22"/>
    </row>
    <row r="2562">
      <c r="A2562" s="193"/>
      <c r="B2562" s="194"/>
      <c r="C2562" s="195"/>
      <c r="D2562" s="196"/>
      <c r="E2562" s="197"/>
      <c r="F2562" s="197"/>
      <c r="G2562" s="195"/>
      <c r="H2562" s="195"/>
      <c r="I2562" s="197"/>
      <c r="J2562" s="121"/>
      <c r="K2562" s="121"/>
      <c r="L2562" s="200"/>
      <c r="M2562" s="204"/>
      <c r="N2562" s="205"/>
      <c r="O2562" s="170"/>
      <c r="P2562" s="198"/>
      <c r="Q2562" s="199"/>
      <c r="R2562" s="200"/>
      <c r="S2562" s="170"/>
      <c r="T2562" s="170"/>
      <c r="U2562" s="201"/>
      <c r="V2562" s="198"/>
      <c r="W2562" s="170"/>
      <c r="X2562" s="202"/>
      <c r="Y2562" s="203"/>
      <c r="Z2562" s="170"/>
      <c r="AA2562" s="198"/>
      <c r="AB2562" s="170"/>
      <c r="AC2562" s="170"/>
      <c r="AD2562" s="121"/>
      <c r="AE2562" s="121"/>
      <c r="AF2562" s="121"/>
      <c r="AG2562" s="22"/>
      <c r="AH2562" s="22"/>
      <c r="AI2562" s="22"/>
      <c r="AJ2562" s="22"/>
      <c r="AK2562" s="22"/>
      <c r="AL2562" s="22"/>
      <c r="AM2562" s="22"/>
      <c r="AN2562" s="22"/>
      <c r="AO2562" s="22"/>
      <c r="AP2562" s="22"/>
    </row>
    <row r="2563">
      <c r="A2563" s="193"/>
      <c r="B2563" s="194"/>
      <c r="C2563" s="195"/>
      <c r="D2563" s="196"/>
      <c r="E2563" s="197"/>
      <c r="F2563" s="197"/>
      <c r="G2563" s="195"/>
      <c r="H2563" s="195"/>
      <c r="I2563" s="197"/>
      <c r="J2563" s="121"/>
      <c r="K2563" s="121"/>
      <c r="L2563" s="200"/>
      <c r="M2563" s="204"/>
      <c r="N2563" s="205"/>
      <c r="O2563" s="170"/>
      <c r="P2563" s="198"/>
      <c r="Q2563" s="199"/>
      <c r="R2563" s="200"/>
      <c r="S2563" s="170"/>
      <c r="T2563" s="170"/>
      <c r="U2563" s="201"/>
      <c r="V2563" s="198"/>
      <c r="W2563" s="170"/>
      <c r="X2563" s="202"/>
      <c r="Y2563" s="203"/>
      <c r="Z2563" s="170"/>
      <c r="AA2563" s="198"/>
      <c r="AB2563" s="170"/>
      <c r="AC2563" s="170"/>
      <c r="AD2563" s="121"/>
      <c r="AE2563" s="121"/>
      <c r="AF2563" s="121"/>
      <c r="AG2563" s="22"/>
      <c r="AH2563" s="22"/>
      <c r="AI2563" s="22"/>
      <c r="AJ2563" s="22"/>
      <c r="AK2563" s="22"/>
      <c r="AL2563" s="22"/>
      <c r="AM2563" s="22"/>
      <c r="AN2563" s="22"/>
      <c r="AO2563" s="22"/>
      <c r="AP2563" s="22"/>
    </row>
    <row r="2564">
      <c r="A2564" s="193"/>
      <c r="B2564" s="194"/>
      <c r="C2564" s="195"/>
      <c r="D2564" s="196"/>
      <c r="E2564" s="197"/>
      <c r="F2564" s="197"/>
      <c r="G2564" s="195"/>
      <c r="H2564" s="195"/>
      <c r="I2564" s="197"/>
      <c r="J2564" s="121"/>
      <c r="K2564" s="121"/>
      <c r="L2564" s="200"/>
      <c r="M2564" s="204"/>
      <c r="N2564" s="205"/>
      <c r="O2564" s="170"/>
      <c r="P2564" s="198"/>
      <c r="Q2564" s="199"/>
      <c r="R2564" s="200"/>
      <c r="S2564" s="170"/>
      <c r="T2564" s="170"/>
      <c r="U2564" s="201"/>
      <c r="V2564" s="198"/>
      <c r="W2564" s="170"/>
      <c r="X2564" s="202"/>
      <c r="Y2564" s="203"/>
      <c r="Z2564" s="170"/>
      <c r="AA2564" s="198"/>
      <c r="AB2564" s="170"/>
      <c r="AC2564" s="170"/>
      <c r="AD2564" s="121"/>
      <c r="AE2564" s="121"/>
      <c r="AF2564" s="121"/>
      <c r="AG2564" s="22"/>
      <c r="AH2564" s="22"/>
      <c r="AI2564" s="22"/>
      <c r="AJ2564" s="22"/>
      <c r="AK2564" s="22"/>
      <c r="AL2564" s="22"/>
      <c r="AM2564" s="22"/>
      <c r="AN2564" s="22"/>
      <c r="AO2564" s="22"/>
      <c r="AP2564" s="22"/>
    </row>
    <row r="2565">
      <c r="A2565" s="193"/>
      <c r="B2565" s="194"/>
      <c r="C2565" s="195"/>
      <c r="D2565" s="196"/>
      <c r="E2565" s="197"/>
      <c r="F2565" s="197"/>
      <c r="G2565" s="195"/>
      <c r="H2565" s="195"/>
      <c r="I2565" s="197"/>
      <c r="J2565" s="121"/>
      <c r="K2565" s="121"/>
      <c r="L2565" s="200"/>
      <c r="M2565" s="204"/>
      <c r="N2565" s="205"/>
      <c r="O2565" s="170"/>
      <c r="P2565" s="198"/>
      <c r="Q2565" s="199"/>
      <c r="R2565" s="200"/>
      <c r="S2565" s="170"/>
      <c r="T2565" s="170"/>
      <c r="U2565" s="201"/>
      <c r="V2565" s="198"/>
      <c r="W2565" s="170"/>
      <c r="X2565" s="202"/>
      <c r="Y2565" s="203"/>
      <c r="Z2565" s="170"/>
      <c r="AA2565" s="198"/>
      <c r="AB2565" s="170"/>
      <c r="AC2565" s="170"/>
      <c r="AD2565" s="121"/>
      <c r="AE2565" s="121"/>
      <c r="AF2565" s="121"/>
      <c r="AG2565" s="22"/>
      <c r="AH2565" s="22"/>
      <c r="AI2565" s="22"/>
      <c r="AJ2565" s="22"/>
      <c r="AK2565" s="22"/>
      <c r="AL2565" s="22"/>
      <c r="AM2565" s="22"/>
      <c r="AN2565" s="22"/>
      <c r="AO2565" s="22"/>
      <c r="AP2565" s="22"/>
    </row>
    <row r="2566">
      <c r="A2566" s="193"/>
      <c r="B2566" s="194"/>
      <c r="C2566" s="195"/>
      <c r="D2566" s="196"/>
      <c r="E2566" s="197"/>
      <c r="F2566" s="197"/>
      <c r="G2566" s="195"/>
      <c r="H2566" s="195"/>
      <c r="I2566" s="197"/>
      <c r="J2566" s="121"/>
      <c r="K2566" s="121"/>
      <c r="L2566" s="200"/>
      <c r="M2566" s="204"/>
      <c r="N2566" s="205"/>
      <c r="O2566" s="170"/>
      <c r="P2566" s="198"/>
      <c r="Q2566" s="199"/>
      <c r="R2566" s="200"/>
      <c r="S2566" s="170"/>
      <c r="T2566" s="170"/>
      <c r="U2566" s="201"/>
      <c r="V2566" s="198"/>
      <c r="W2566" s="170"/>
      <c r="X2566" s="202"/>
      <c r="Y2566" s="203"/>
      <c r="Z2566" s="170"/>
      <c r="AA2566" s="198"/>
      <c r="AB2566" s="170"/>
      <c r="AC2566" s="170"/>
      <c r="AD2566" s="121"/>
      <c r="AE2566" s="121"/>
      <c r="AF2566" s="121"/>
      <c r="AG2566" s="22"/>
      <c r="AH2566" s="22"/>
      <c r="AI2566" s="22"/>
      <c r="AJ2566" s="22"/>
      <c r="AK2566" s="22"/>
      <c r="AL2566" s="22"/>
      <c r="AM2566" s="22"/>
      <c r="AN2566" s="22"/>
      <c r="AO2566" s="22"/>
      <c r="AP2566" s="22"/>
    </row>
    <row r="2567">
      <c r="A2567" s="193"/>
      <c r="B2567" s="194"/>
      <c r="C2567" s="195"/>
      <c r="D2567" s="196"/>
      <c r="E2567" s="197"/>
      <c r="F2567" s="197"/>
      <c r="G2567" s="195"/>
      <c r="H2567" s="195"/>
      <c r="I2567" s="197"/>
      <c r="J2567" s="121"/>
      <c r="K2567" s="121"/>
      <c r="L2567" s="200"/>
      <c r="M2567" s="204"/>
      <c r="N2567" s="205"/>
      <c r="O2567" s="170"/>
      <c r="P2567" s="198"/>
      <c r="Q2567" s="199"/>
      <c r="R2567" s="200"/>
      <c r="S2567" s="170"/>
      <c r="T2567" s="170"/>
      <c r="U2567" s="201"/>
      <c r="V2567" s="198"/>
      <c r="W2567" s="170"/>
      <c r="X2567" s="202"/>
      <c r="Y2567" s="203"/>
      <c r="Z2567" s="170"/>
      <c r="AA2567" s="198"/>
      <c r="AB2567" s="170"/>
      <c r="AC2567" s="170"/>
      <c r="AD2567" s="121"/>
      <c r="AE2567" s="121"/>
      <c r="AF2567" s="121"/>
      <c r="AG2567" s="22"/>
      <c r="AH2567" s="22"/>
      <c r="AI2567" s="22"/>
      <c r="AJ2567" s="22"/>
      <c r="AK2567" s="22"/>
      <c r="AL2567" s="22"/>
      <c r="AM2567" s="22"/>
      <c r="AN2567" s="22"/>
      <c r="AO2567" s="22"/>
      <c r="AP2567" s="22"/>
    </row>
    <row r="2568">
      <c r="A2568" s="193"/>
      <c r="B2568" s="194"/>
      <c r="C2568" s="195"/>
      <c r="D2568" s="196"/>
      <c r="E2568" s="197"/>
      <c r="F2568" s="197"/>
      <c r="G2568" s="195"/>
      <c r="H2568" s="195"/>
      <c r="I2568" s="197"/>
      <c r="J2568" s="121"/>
      <c r="K2568" s="121"/>
      <c r="L2568" s="200"/>
      <c r="M2568" s="204"/>
      <c r="N2568" s="205"/>
      <c r="O2568" s="170"/>
      <c r="P2568" s="198"/>
      <c r="Q2568" s="199"/>
      <c r="R2568" s="200"/>
      <c r="S2568" s="170"/>
      <c r="T2568" s="170"/>
      <c r="U2568" s="201"/>
      <c r="V2568" s="198"/>
      <c r="W2568" s="170"/>
      <c r="X2568" s="202"/>
      <c r="Y2568" s="203"/>
      <c r="Z2568" s="170"/>
      <c r="AA2568" s="198"/>
      <c r="AB2568" s="170"/>
      <c r="AC2568" s="170"/>
      <c r="AD2568" s="121"/>
      <c r="AE2568" s="121"/>
      <c r="AF2568" s="121"/>
      <c r="AG2568" s="22"/>
      <c r="AH2568" s="22"/>
      <c r="AI2568" s="22"/>
      <c r="AJ2568" s="22"/>
      <c r="AK2568" s="22"/>
      <c r="AL2568" s="22"/>
      <c r="AM2568" s="22"/>
      <c r="AN2568" s="22"/>
      <c r="AO2568" s="22"/>
      <c r="AP2568" s="22"/>
    </row>
    <row r="2569">
      <c r="A2569" s="193"/>
      <c r="B2569" s="194"/>
      <c r="C2569" s="195"/>
      <c r="D2569" s="196"/>
      <c r="E2569" s="197"/>
      <c r="F2569" s="197"/>
      <c r="G2569" s="195"/>
      <c r="H2569" s="195"/>
      <c r="I2569" s="197"/>
      <c r="J2569" s="121"/>
      <c r="K2569" s="121"/>
      <c r="L2569" s="200"/>
      <c r="M2569" s="204"/>
      <c r="N2569" s="205"/>
      <c r="O2569" s="170"/>
      <c r="P2569" s="198"/>
      <c r="Q2569" s="199"/>
      <c r="R2569" s="200"/>
      <c r="S2569" s="170"/>
      <c r="T2569" s="170"/>
      <c r="U2569" s="201"/>
      <c r="V2569" s="198"/>
      <c r="W2569" s="170"/>
      <c r="X2569" s="202"/>
      <c r="Y2569" s="203"/>
      <c r="Z2569" s="170"/>
      <c r="AA2569" s="198"/>
      <c r="AB2569" s="170"/>
      <c r="AC2569" s="170"/>
      <c r="AD2569" s="121"/>
      <c r="AE2569" s="121"/>
      <c r="AF2569" s="121"/>
      <c r="AG2569" s="22"/>
      <c r="AH2569" s="22"/>
      <c r="AI2569" s="22"/>
      <c r="AJ2569" s="22"/>
      <c r="AK2569" s="22"/>
      <c r="AL2569" s="22"/>
      <c r="AM2569" s="22"/>
      <c r="AN2569" s="22"/>
      <c r="AO2569" s="22"/>
      <c r="AP2569" s="22"/>
    </row>
    <row r="2570">
      <c r="A2570" s="193"/>
      <c r="B2570" s="194"/>
      <c r="C2570" s="195"/>
      <c r="D2570" s="196"/>
      <c r="E2570" s="197"/>
      <c r="F2570" s="197"/>
      <c r="G2570" s="195"/>
      <c r="H2570" s="195"/>
      <c r="I2570" s="197"/>
      <c r="J2570" s="121"/>
      <c r="K2570" s="121"/>
      <c r="L2570" s="200"/>
      <c r="M2570" s="204"/>
      <c r="N2570" s="205"/>
      <c r="O2570" s="170"/>
      <c r="P2570" s="198"/>
      <c r="Q2570" s="199"/>
      <c r="R2570" s="200"/>
      <c r="S2570" s="170"/>
      <c r="T2570" s="170"/>
      <c r="U2570" s="201"/>
      <c r="V2570" s="198"/>
      <c r="W2570" s="170"/>
      <c r="X2570" s="202"/>
      <c r="Y2570" s="203"/>
      <c r="Z2570" s="170"/>
      <c r="AA2570" s="198"/>
      <c r="AB2570" s="170"/>
      <c r="AC2570" s="170"/>
      <c r="AD2570" s="121"/>
      <c r="AE2570" s="121"/>
      <c r="AF2570" s="121"/>
      <c r="AG2570" s="22"/>
      <c r="AH2570" s="22"/>
      <c r="AI2570" s="22"/>
      <c r="AJ2570" s="22"/>
      <c r="AK2570" s="22"/>
      <c r="AL2570" s="22"/>
      <c r="AM2570" s="22"/>
      <c r="AN2570" s="22"/>
      <c r="AO2570" s="22"/>
      <c r="AP2570" s="22"/>
    </row>
    <row r="2571">
      <c r="A2571" s="193"/>
      <c r="B2571" s="194"/>
      <c r="C2571" s="195"/>
      <c r="D2571" s="196"/>
      <c r="E2571" s="197"/>
      <c r="F2571" s="197"/>
      <c r="G2571" s="195"/>
      <c r="H2571" s="195"/>
      <c r="I2571" s="197"/>
      <c r="J2571" s="121"/>
      <c r="K2571" s="121"/>
      <c r="L2571" s="200"/>
      <c r="M2571" s="204"/>
      <c r="N2571" s="205"/>
      <c r="O2571" s="170"/>
      <c r="P2571" s="198"/>
      <c r="Q2571" s="199"/>
      <c r="R2571" s="200"/>
      <c r="S2571" s="170"/>
      <c r="T2571" s="170"/>
      <c r="U2571" s="201"/>
      <c r="V2571" s="198"/>
      <c r="W2571" s="170"/>
      <c r="X2571" s="202"/>
      <c r="Y2571" s="203"/>
      <c r="Z2571" s="170"/>
      <c r="AA2571" s="198"/>
      <c r="AB2571" s="170"/>
      <c r="AC2571" s="170"/>
      <c r="AD2571" s="121"/>
      <c r="AE2571" s="121"/>
      <c r="AF2571" s="121"/>
      <c r="AG2571" s="22"/>
      <c r="AH2571" s="22"/>
      <c r="AI2571" s="22"/>
      <c r="AJ2571" s="22"/>
      <c r="AK2571" s="22"/>
      <c r="AL2571" s="22"/>
      <c r="AM2571" s="22"/>
      <c r="AN2571" s="22"/>
      <c r="AO2571" s="22"/>
      <c r="AP2571" s="22"/>
    </row>
    <row r="2572">
      <c r="A2572" s="193"/>
      <c r="B2572" s="194"/>
      <c r="C2572" s="195"/>
      <c r="D2572" s="196"/>
      <c r="E2572" s="197"/>
      <c r="F2572" s="197"/>
      <c r="G2572" s="195"/>
      <c r="H2572" s="195"/>
      <c r="I2572" s="197"/>
      <c r="J2572" s="121"/>
      <c r="K2572" s="121"/>
      <c r="L2572" s="200"/>
      <c r="M2572" s="204"/>
      <c r="N2572" s="205"/>
      <c r="O2572" s="170"/>
      <c r="P2572" s="198"/>
      <c r="Q2572" s="199"/>
      <c r="R2572" s="200"/>
      <c r="S2572" s="170"/>
      <c r="T2572" s="170"/>
      <c r="U2572" s="201"/>
      <c r="V2572" s="198"/>
      <c r="W2572" s="170"/>
      <c r="X2572" s="202"/>
      <c r="Y2572" s="203"/>
      <c r="Z2572" s="170"/>
      <c r="AA2572" s="198"/>
      <c r="AB2572" s="170"/>
      <c r="AC2572" s="170"/>
      <c r="AD2572" s="121"/>
      <c r="AE2572" s="121"/>
      <c r="AF2572" s="121"/>
      <c r="AG2572" s="22"/>
      <c r="AH2572" s="22"/>
      <c r="AI2572" s="22"/>
      <c r="AJ2572" s="22"/>
      <c r="AK2572" s="22"/>
      <c r="AL2572" s="22"/>
      <c r="AM2572" s="22"/>
      <c r="AN2572" s="22"/>
      <c r="AO2572" s="22"/>
      <c r="AP2572" s="22"/>
    </row>
    <row r="2573">
      <c r="A2573" s="193"/>
      <c r="B2573" s="194"/>
      <c r="C2573" s="195"/>
      <c r="D2573" s="196"/>
      <c r="E2573" s="197"/>
      <c r="F2573" s="197"/>
      <c r="G2573" s="195"/>
      <c r="H2573" s="195"/>
      <c r="I2573" s="197"/>
      <c r="J2573" s="121"/>
      <c r="K2573" s="121"/>
      <c r="L2573" s="200"/>
      <c r="M2573" s="204"/>
      <c r="N2573" s="205"/>
      <c r="O2573" s="170"/>
      <c r="P2573" s="198"/>
      <c r="Q2573" s="199"/>
      <c r="R2573" s="200"/>
      <c r="S2573" s="170"/>
      <c r="T2573" s="170"/>
      <c r="U2573" s="201"/>
      <c r="V2573" s="198"/>
      <c r="W2573" s="170"/>
      <c r="X2573" s="202"/>
      <c r="Y2573" s="203"/>
      <c r="Z2573" s="170"/>
      <c r="AA2573" s="198"/>
      <c r="AB2573" s="170"/>
      <c r="AC2573" s="170"/>
      <c r="AD2573" s="121"/>
      <c r="AE2573" s="121"/>
      <c r="AF2573" s="121"/>
      <c r="AG2573" s="22"/>
      <c r="AH2573" s="22"/>
      <c r="AI2573" s="22"/>
      <c r="AJ2573" s="22"/>
      <c r="AK2573" s="22"/>
      <c r="AL2573" s="22"/>
      <c r="AM2573" s="22"/>
      <c r="AN2573" s="22"/>
      <c r="AO2573" s="22"/>
      <c r="AP2573" s="22"/>
    </row>
    <row r="2574">
      <c r="A2574" s="193"/>
      <c r="B2574" s="194"/>
      <c r="C2574" s="195"/>
      <c r="D2574" s="196"/>
      <c r="E2574" s="197"/>
      <c r="F2574" s="197"/>
      <c r="G2574" s="195"/>
      <c r="H2574" s="195"/>
      <c r="I2574" s="197"/>
      <c r="J2574" s="121"/>
      <c r="K2574" s="121"/>
      <c r="L2574" s="200"/>
      <c r="M2574" s="204"/>
      <c r="N2574" s="205"/>
      <c r="O2574" s="170"/>
      <c r="P2574" s="198"/>
      <c r="Q2574" s="199"/>
      <c r="R2574" s="200"/>
      <c r="S2574" s="170"/>
      <c r="T2574" s="170"/>
      <c r="U2574" s="201"/>
      <c r="V2574" s="198"/>
      <c r="W2574" s="170"/>
      <c r="X2574" s="202"/>
      <c r="Y2574" s="203"/>
      <c r="Z2574" s="170"/>
      <c r="AA2574" s="198"/>
      <c r="AB2574" s="170"/>
      <c r="AC2574" s="170"/>
      <c r="AD2574" s="121"/>
      <c r="AE2574" s="121"/>
      <c r="AF2574" s="121"/>
      <c r="AG2574" s="22"/>
      <c r="AH2574" s="22"/>
      <c r="AI2574" s="22"/>
      <c r="AJ2574" s="22"/>
      <c r="AK2574" s="22"/>
      <c r="AL2574" s="22"/>
      <c r="AM2574" s="22"/>
      <c r="AN2574" s="22"/>
      <c r="AO2574" s="22"/>
      <c r="AP2574" s="22"/>
    </row>
    <row r="2575">
      <c r="A2575" s="193"/>
      <c r="B2575" s="194"/>
      <c r="C2575" s="195"/>
      <c r="D2575" s="196"/>
      <c r="E2575" s="197"/>
      <c r="F2575" s="197"/>
      <c r="G2575" s="195"/>
      <c r="H2575" s="195"/>
      <c r="I2575" s="197"/>
      <c r="J2575" s="121"/>
      <c r="K2575" s="121"/>
      <c r="L2575" s="200"/>
      <c r="M2575" s="204"/>
      <c r="N2575" s="205"/>
      <c r="O2575" s="170"/>
      <c r="P2575" s="198"/>
      <c r="Q2575" s="199"/>
      <c r="R2575" s="200"/>
      <c r="S2575" s="170"/>
      <c r="T2575" s="170"/>
      <c r="U2575" s="201"/>
      <c r="V2575" s="198"/>
      <c r="W2575" s="170"/>
      <c r="X2575" s="202"/>
      <c r="Y2575" s="203"/>
      <c r="Z2575" s="170"/>
      <c r="AA2575" s="198"/>
      <c r="AB2575" s="170"/>
      <c r="AC2575" s="170"/>
      <c r="AD2575" s="121"/>
      <c r="AE2575" s="121"/>
      <c r="AF2575" s="121"/>
      <c r="AG2575" s="22"/>
      <c r="AH2575" s="22"/>
      <c r="AI2575" s="22"/>
      <c r="AJ2575" s="22"/>
      <c r="AK2575" s="22"/>
      <c r="AL2575" s="22"/>
      <c r="AM2575" s="22"/>
      <c r="AN2575" s="22"/>
      <c r="AO2575" s="22"/>
      <c r="AP2575" s="22"/>
    </row>
    <row r="2576">
      <c r="A2576" s="193"/>
      <c r="B2576" s="194"/>
      <c r="C2576" s="195"/>
      <c r="D2576" s="196"/>
      <c r="E2576" s="197"/>
      <c r="F2576" s="197"/>
      <c r="G2576" s="195"/>
      <c r="H2576" s="195"/>
      <c r="I2576" s="197"/>
      <c r="J2576" s="121"/>
      <c r="K2576" s="121"/>
      <c r="L2576" s="200"/>
      <c r="M2576" s="204"/>
      <c r="N2576" s="205"/>
      <c r="O2576" s="170"/>
      <c r="P2576" s="198"/>
      <c r="Q2576" s="199"/>
      <c r="R2576" s="200"/>
      <c r="S2576" s="170"/>
      <c r="T2576" s="170"/>
      <c r="U2576" s="201"/>
      <c r="V2576" s="198"/>
      <c r="W2576" s="170"/>
      <c r="X2576" s="202"/>
      <c r="Y2576" s="203"/>
      <c r="Z2576" s="170"/>
      <c r="AA2576" s="198"/>
      <c r="AB2576" s="170"/>
      <c r="AC2576" s="170"/>
      <c r="AD2576" s="121"/>
      <c r="AE2576" s="121"/>
      <c r="AF2576" s="121"/>
      <c r="AG2576" s="22"/>
      <c r="AH2576" s="22"/>
      <c r="AI2576" s="22"/>
      <c r="AJ2576" s="22"/>
      <c r="AK2576" s="22"/>
      <c r="AL2576" s="22"/>
      <c r="AM2576" s="22"/>
      <c r="AN2576" s="22"/>
      <c r="AO2576" s="22"/>
      <c r="AP2576" s="22"/>
    </row>
    <row r="2577">
      <c r="A2577" s="193"/>
      <c r="B2577" s="194"/>
      <c r="C2577" s="195"/>
      <c r="D2577" s="196"/>
      <c r="E2577" s="197"/>
      <c r="F2577" s="197"/>
      <c r="G2577" s="195"/>
      <c r="H2577" s="195"/>
      <c r="I2577" s="197"/>
      <c r="J2577" s="121"/>
      <c r="K2577" s="121"/>
      <c r="L2577" s="200"/>
      <c r="M2577" s="204"/>
      <c r="N2577" s="205"/>
      <c r="O2577" s="170"/>
      <c r="P2577" s="198"/>
      <c r="Q2577" s="199"/>
      <c r="R2577" s="200"/>
      <c r="S2577" s="170"/>
      <c r="T2577" s="170"/>
      <c r="U2577" s="201"/>
      <c r="V2577" s="198"/>
      <c r="W2577" s="170"/>
      <c r="X2577" s="202"/>
      <c r="Y2577" s="203"/>
      <c r="Z2577" s="170"/>
      <c r="AA2577" s="198"/>
      <c r="AB2577" s="170"/>
      <c r="AC2577" s="170"/>
      <c r="AD2577" s="121"/>
      <c r="AE2577" s="121"/>
      <c r="AF2577" s="121"/>
      <c r="AG2577" s="22"/>
      <c r="AH2577" s="22"/>
      <c r="AI2577" s="22"/>
      <c r="AJ2577" s="22"/>
      <c r="AK2577" s="22"/>
      <c r="AL2577" s="22"/>
      <c r="AM2577" s="22"/>
      <c r="AN2577" s="22"/>
      <c r="AO2577" s="22"/>
      <c r="AP2577" s="22"/>
    </row>
    <row r="2578">
      <c r="A2578" s="193"/>
      <c r="B2578" s="194"/>
      <c r="C2578" s="195"/>
      <c r="D2578" s="196"/>
      <c r="E2578" s="197"/>
      <c r="F2578" s="197"/>
      <c r="G2578" s="195"/>
      <c r="H2578" s="195"/>
      <c r="I2578" s="197"/>
      <c r="J2578" s="121"/>
      <c r="K2578" s="121"/>
      <c r="L2578" s="200"/>
      <c r="M2578" s="204"/>
      <c r="N2578" s="205"/>
      <c r="O2578" s="170"/>
      <c r="P2578" s="198"/>
      <c r="Q2578" s="199"/>
      <c r="R2578" s="200"/>
      <c r="S2578" s="170"/>
      <c r="T2578" s="170"/>
      <c r="U2578" s="201"/>
      <c r="V2578" s="198"/>
      <c r="W2578" s="170"/>
      <c r="X2578" s="202"/>
      <c r="Y2578" s="203"/>
      <c r="Z2578" s="170"/>
      <c r="AA2578" s="198"/>
      <c r="AB2578" s="170"/>
      <c r="AC2578" s="170"/>
      <c r="AD2578" s="121"/>
      <c r="AE2578" s="121"/>
      <c r="AF2578" s="121"/>
      <c r="AG2578" s="22"/>
      <c r="AH2578" s="22"/>
      <c r="AI2578" s="22"/>
      <c r="AJ2578" s="22"/>
      <c r="AK2578" s="22"/>
      <c r="AL2578" s="22"/>
      <c r="AM2578" s="22"/>
      <c r="AN2578" s="22"/>
      <c r="AO2578" s="22"/>
      <c r="AP2578" s="22"/>
    </row>
    <row r="2579">
      <c r="A2579" s="193"/>
      <c r="B2579" s="194"/>
      <c r="C2579" s="195"/>
      <c r="D2579" s="196"/>
      <c r="E2579" s="197"/>
      <c r="F2579" s="197"/>
      <c r="G2579" s="195"/>
      <c r="H2579" s="195"/>
      <c r="I2579" s="197"/>
      <c r="J2579" s="121"/>
      <c r="K2579" s="121"/>
      <c r="L2579" s="200"/>
      <c r="M2579" s="204"/>
      <c r="N2579" s="205"/>
      <c r="O2579" s="170"/>
      <c r="P2579" s="198"/>
      <c r="Q2579" s="199"/>
      <c r="R2579" s="200"/>
      <c r="S2579" s="170"/>
      <c r="T2579" s="170"/>
      <c r="U2579" s="201"/>
      <c r="V2579" s="198"/>
      <c r="W2579" s="170"/>
      <c r="X2579" s="202"/>
      <c r="Y2579" s="203"/>
      <c r="Z2579" s="170"/>
      <c r="AA2579" s="198"/>
      <c r="AB2579" s="170"/>
      <c r="AC2579" s="170"/>
      <c r="AD2579" s="121"/>
      <c r="AE2579" s="121"/>
      <c r="AF2579" s="121"/>
      <c r="AG2579" s="22"/>
      <c r="AH2579" s="22"/>
      <c r="AI2579" s="22"/>
      <c r="AJ2579" s="22"/>
      <c r="AK2579" s="22"/>
      <c r="AL2579" s="22"/>
      <c r="AM2579" s="22"/>
      <c r="AN2579" s="22"/>
      <c r="AO2579" s="22"/>
      <c r="AP2579" s="22"/>
    </row>
    <row r="2580">
      <c r="A2580" s="193"/>
      <c r="B2580" s="194"/>
      <c r="C2580" s="195"/>
      <c r="D2580" s="196"/>
      <c r="E2580" s="197"/>
      <c r="F2580" s="197"/>
      <c r="G2580" s="195"/>
      <c r="H2580" s="195"/>
      <c r="I2580" s="197"/>
      <c r="J2580" s="121"/>
      <c r="K2580" s="121"/>
      <c r="L2580" s="200"/>
      <c r="M2580" s="204"/>
      <c r="N2580" s="205"/>
      <c r="O2580" s="170"/>
      <c r="P2580" s="198"/>
      <c r="Q2580" s="199"/>
      <c r="R2580" s="200"/>
      <c r="S2580" s="170"/>
      <c r="T2580" s="170"/>
      <c r="U2580" s="201"/>
      <c r="V2580" s="198"/>
      <c r="W2580" s="170"/>
      <c r="X2580" s="202"/>
      <c r="Y2580" s="203"/>
      <c r="Z2580" s="170"/>
      <c r="AA2580" s="198"/>
      <c r="AB2580" s="170"/>
      <c r="AC2580" s="170"/>
      <c r="AD2580" s="121"/>
      <c r="AE2580" s="121"/>
      <c r="AF2580" s="121"/>
      <c r="AG2580" s="22"/>
      <c r="AH2580" s="22"/>
      <c r="AI2580" s="22"/>
      <c r="AJ2580" s="22"/>
      <c r="AK2580" s="22"/>
      <c r="AL2580" s="22"/>
      <c r="AM2580" s="22"/>
      <c r="AN2580" s="22"/>
      <c r="AO2580" s="22"/>
      <c r="AP2580" s="22"/>
    </row>
    <row r="2581">
      <c r="A2581" s="193"/>
      <c r="B2581" s="194"/>
      <c r="C2581" s="195"/>
      <c r="D2581" s="196"/>
      <c r="E2581" s="197"/>
      <c r="F2581" s="197"/>
      <c r="G2581" s="195"/>
      <c r="H2581" s="195"/>
      <c r="I2581" s="197"/>
      <c r="J2581" s="121"/>
      <c r="K2581" s="121"/>
      <c r="L2581" s="200"/>
      <c r="M2581" s="204"/>
      <c r="N2581" s="205"/>
      <c r="O2581" s="170"/>
      <c r="P2581" s="198"/>
      <c r="Q2581" s="199"/>
      <c r="R2581" s="200"/>
      <c r="S2581" s="170"/>
      <c r="T2581" s="170"/>
      <c r="U2581" s="201"/>
      <c r="V2581" s="198"/>
      <c r="W2581" s="170"/>
      <c r="X2581" s="202"/>
      <c r="Y2581" s="203"/>
      <c r="Z2581" s="170"/>
      <c r="AA2581" s="198"/>
      <c r="AB2581" s="170"/>
      <c r="AC2581" s="170"/>
      <c r="AD2581" s="121"/>
      <c r="AE2581" s="121"/>
      <c r="AF2581" s="121"/>
      <c r="AG2581" s="22"/>
      <c r="AH2581" s="22"/>
      <c r="AI2581" s="22"/>
      <c r="AJ2581" s="22"/>
      <c r="AK2581" s="22"/>
      <c r="AL2581" s="22"/>
      <c r="AM2581" s="22"/>
      <c r="AN2581" s="22"/>
      <c r="AO2581" s="22"/>
      <c r="AP2581" s="22"/>
    </row>
    <row r="2582">
      <c r="A2582" s="193"/>
      <c r="B2582" s="194"/>
      <c r="C2582" s="195"/>
      <c r="D2582" s="196"/>
      <c r="E2582" s="197"/>
      <c r="F2582" s="197"/>
      <c r="G2582" s="195"/>
      <c r="H2582" s="195"/>
      <c r="I2582" s="197"/>
      <c r="J2582" s="121"/>
      <c r="K2582" s="121"/>
      <c r="L2582" s="200"/>
      <c r="M2582" s="204"/>
      <c r="N2582" s="205"/>
      <c r="O2582" s="170"/>
      <c r="P2582" s="198"/>
      <c r="Q2582" s="199"/>
      <c r="R2582" s="200"/>
      <c r="S2582" s="170"/>
      <c r="T2582" s="170"/>
      <c r="U2582" s="201"/>
      <c r="V2582" s="198"/>
      <c r="W2582" s="170"/>
      <c r="X2582" s="202"/>
      <c r="Y2582" s="203"/>
      <c r="Z2582" s="170"/>
      <c r="AA2582" s="198"/>
      <c r="AB2582" s="170"/>
      <c r="AC2582" s="170"/>
      <c r="AD2582" s="121"/>
      <c r="AE2582" s="121"/>
      <c r="AF2582" s="121"/>
      <c r="AG2582" s="22"/>
      <c r="AH2582" s="22"/>
      <c r="AI2582" s="22"/>
      <c r="AJ2582" s="22"/>
      <c r="AK2582" s="22"/>
      <c r="AL2582" s="22"/>
      <c r="AM2582" s="22"/>
      <c r="AN2582" s="22"/>
      <c r="AO2582" s="22"/>
      <c r="AP2582" s="22"/>
    </row>
    <row r="2583">
      <c r="A2583" s="193"/>
      <c r="B2583" s="194"/>
      <c r="C2583" s="195"/>
      <c r="D2583" s="196"/>
      <c r="E2583" s="197"/>
      <c r="F2583" s="197"/>
      <c r="G2583" s="195"/>
      <c r="H2583" s="195"/>
      <c r="I2583" s="197"/>
      <c r="J2583" s="121"/>
      <c r="K2583" s="121"/>
      <c r="L2583" s="200"/>
      <c r="M2583" s="204"/>
      <c r="N2583" s="205"/>
      <c r="O2583" s="170"/>
      <c r="P2583" s="198"/>
      <c r="Q2583" s="199"/>
      <c r="R2583" s="200"/>
      <c r="S2583" s="170"/>
      <c r="T2583" s="170"/>
      <c r="U2583" s="201"/>
      <c r="V2583" s="198"/>
      <c r="W2583" s="170"/>
      <c r="X2583" s="202"/>
      <c r="Y2583" s="203"/>
      <c r="Z2583" s="170"/>
      <c r="AA2583" s="198"/>
      <c r="AB2583" s="170"/>
      <c r="AC2583" s="170"/>
      <c r="AD2583" s="121"/>
      <c r="AE2583" s="121"/>
      <c r="AF2583" s="121"/>
      <c r="AG2583" s="22"/>
      <c r="AH2583" s="22"/>
      <c r="AI2583" s="22"/>
      <c r="AJ2583" s="22"/>
      <c r="AK2583" s="22"/>
      <c r="AL2583" s="22"/>
      <c r="AM2583" s="22"/>
      <c r="AN2583" s="22"/>
      <c r="AO2583" s="22"/>
      <c r="AP2583" s="22"/>
    </row>
    <row r="2584">
      <c r="A2584" s="193"/>
      <c r="B2584" s="194"/>
      <c r="C2584" s="195"/>
      <c r="D2584" s="196"/>
      <c r="E2584" s="197"/>
      <c r="F2584" s="197"/>
      <c r="G2584" s="195"/>
      <c r="H2584" s="195"/>
      <c r="I2584" s="197"/>
      <c r="J2584" s="121"/>
      <c r="K2584" s="121"/>
      <c r="L2584" s="200"/>
      <c r="M2584" s="204"/>
      <c r="N2584" s="205"/>
      <c r="O2584" s="170"/>
      <c r="P2584" s="198"/>
      <c r="Q2584" s="199"/>
      <c r="R2584" s="200"/>
      <c r="S2584" s="170"/>
      <c r="T2584" s="170"/>
      <c r="U2584" s="201"/>
      <c r="V2584" s="198"/>
      <c r="W2584" s="170"/>
      <c r="X2584" s="202"/>
      <c r="Y2584" s="203"/>
      <c r="Z2584" s="170"/>
      <c r="AA2584" s="198"/>
      <c r="AB2584" s="170"/>
      <c r="AC2584" s="170"/>
      <c r="AD2584" s="121"/>
      <c r="AE2584" s="121"/>
      <c r="AF2584" s="121"/>
      <c r="AG2584" s="22"/>
      <c r="AH2584" s="22"/>
      <c r="AI2584" s="22"/>
      <c r="AJ2584" s="22"/>
      <c r="AK2584" s="22"/>
      <c r="AL2584" s="22"/>
      <c r="AM2584" s="22"/>
      <c r="AN2584" s="22"/>
      <c r="AO2584" s="22"/>
      <c r="AP2584" s="22"/>
    </row>
    <row r="2585">
      <c r="A2585" s="193"/>
      <c r="B2585" s="194"/>
      <c r="C2585" s="195"/>
      <c r="D2585" s="196"/>
      <c r="E2585" s="197"/>
      <c r="F2585" s="197"/>
      <c r="G2585" s="195"/>
      <c r="H2585" s="195"/>
      <c r="I2585" s="197"/>
      <c r="J2585" s="121"/>
      <c r="K2585" s="121"/>
      <c r="L2585" s="200"/>
      <c r="M2585" s="204"/>
      <c r="N2585" s="205"/>
      <c r="O2585" s="170"/>
      <c r="P2585" s="198"/>
      <c r="Q2585" s="199"/>
      <c r="R2585" s="200"/>
      <c r="S2585" s="170"/>
      <c r="T2585" s="170"/>
      <c r="U2585" s="201"/>
      <c r="V2585" s="198"/>
      <c r="W2585" s="170"/>
      <c r="X2585" s="202"/>
      <c r="Y2585" s="203"/>
      <c r="Z2585" s="170"/>
      <c r="AA2585" s="198"/>
      <c r="AB2585" s="170"/>
      <c r="AC2585" s="170"/>
      <c r="AD2585" s="121"/>
      <c r="AE2585" s="121"/>
      <c r="AF2585" s="121"/>
      <c r="AG2585" s="22"/>
      <c r="AH2585" s="22"/>
      <c r="AI2585" s="22"/>
      <c r="AJ2585" s="22"/>
      <c r="AK2585" s="22"/>
      <c r="AL2585" s="22"/>
      <c r="AM2585" s="22"/>
      <c r="AN2585" s="22"/>
      <c r="AO2585" s="22"/>
      <c r="AP2585" s="22"/>
    </row>
    <row r="2586">
      <c r="A2586" s="193"/>
      <c r="B2586" s="194"/>
      <c r="C2586" s="195"/>
      <c r="D2586" s="196"/>
      <c r="E2586" s="197"/>
      <c r="F2586" s="197"/>
      <c r="G2586" s="195"/>
      <c r="H2586" s="195"/>
      <c r="I2586" s="197"/>
      <c r="J2586" s="121"/>
      <c r="K2586" s="121"/>
      <c r="L2586" s="200"/>
      <c r="M2586" s="204"/>
      <c r="N2586" s="205"/>
      <c r="O2586" s="170"/>
      <c r="P2586" s="198"/>
      <c r="Q2586" s="199"/>
      <c r="R2586" s="200"/>
      <c r="S2586" s="170"/>
      <c r="T2586" s="170"/>
      <c r="U2586" s="201"/>
      <c r="V2586" s="198"/>
      <c r="W2586" s="170"/>
      <c r="X2586" s="202"/>
      <c r="Y2586" s="203"/>
      <c r="Z2586" s="170"/>
      <c r="AA2586" s="198"/>
      <c r="AB2586" s="170"/>
      <c r="AC2586" s="170"/>
      <c r="AD2586" s="121"/>
      <c r="AE2586" s="121"/>
      <c r="AF2586" s="121"/>
      <c r="AG2586" s="22"/>
      <c r="AH2586" s="22"/>
      <c r="AI2586" s="22"/>
      <c r="AJ2586" s="22"/>
      <c r="AK2586" s="22"/>
      <c r="AL2586" s="22"/>
      <c r="AM2586" s="22"/>
      <c r="AN2586" s="22"/>
      <c r="AO2586" s="22"/>
      <c r="AP2586" s="22"/>
    </row>
    <row r="2587">
      <c r="A2587" s="193"/>
      <c r="B2587" s="194"/>
      <c r="C2587" s="195"/>
      <c r="D2587" s="196"/>
      <c r="E2587" s="197"/>
      <c r="F2587" s="197"/>
      <c r="G2587" s="195"/>
      <c r="H2587" s="195"/>
      <c r="I2587" s="197"/>
      <c r="J2587" s="121"/>
      <c r="K2587" s="121"/>
      <c r="L2587" s="200"/>
      <c r="M2587" s="204"/>
      <c r="N2587" s="205"/>
      <c r="O2587" s="170"/>
      <c r="P2587" s="198"/>
      <c r="Q2587" s="199"/>
      <c r="R2587" s="200"/>
      <c r="S2587" s="170"/>
      <c r="T2587" s="170"/>
      <c r="U2587" s="201"/>
      <c r="V2587" s="198"/>
      <c r="W2587" s="170"/>
      <c r="X2587" s="202"/>
      <c r="Y2587" s="203"/>
      <c r="Z2587" s="170"/>
      <c r="AA2587" s="198"/>
      <c r="AB2587" s="170"/>
      <c r="AC2587" s="170"/>
      <c r="AD2587" s="121"/>
      <c r="AE2587" s="121"/>
      <c r="AF2587" s="121"/>
      <c r="AG2587" s="22"/>
      <c r="AH2587" s="22"/>
      <c r="AI2587" s="22"/>
      <c r="AJ2587" s="22"/>
      <c r="AK2587" s="22"/>
      <c r="AL2587" s="22"/>
      <c r="AM2587" s="22"/>
      <c r="AN2587" s="22"/>
      <c r="AO2587" s="22"/>
      <c r="AP2587" s="22"/>
    </row>
    <row r="2588">
      <c r="A2588" s="193"/>
      <c r="B2588" s="194"/>
      <c r="C2588" s="195"/>
      <c r="D2588" s="196"/>
      <c r="E2588" s="197"/>
      <c r="F2588" s="197"/>
      <c r="G2588" s="195"/>
      <c r="H2588" s="195"/>
      <c r="I2588" s="197"/>
      <c r="J2588" s="121"/>
      <c r="K2588" s="121"/>
      <c r="L2588" s="200"/>
      <c r="M2588" s="204"/>
      <c r="N2588" s="205"/>
      <c r="O2588" s="170"/>
      <c r="P2588" s="198"/>
      <c r="Q2588" s="199"/>
      <c r="R2588" s="200"/>
      <c r="S2588" s="170"/>
      <c r="T2588" s="170"/>
      <c r="U2588" s="201"/>
      <c r="V2588" s="198"/>
      <c r="W2588" s="170"/>
      <c r="X2588" s="202"/>
      <c r="Y2588" s="203"/>
      <c r="Z2588" s="170"/>
      <c r="AA2588" s="198"/>
      <c r="AB2588" s="170"/>
      <c r="AC2588" s="170"/>
      <c r="AD2588" s="121"/>
      <c r="AE2588" s="121"/>
      <c r="AF2588" s="121"/>
      <c r="AG2588" s="22"/>
      <c r="AH2588" s="22"/>
      <c r="AI2588" s="22"/>
      <c r="AJ2588" s="22"/>
      <c r="AK2588" s="22"/>
      <c r="AL2588" s="22"/>
      <c r="AM2588" s="22"/>
      <c r="AN2588" s="22"/>
      <c r="AO2588" s="22"/>
      <c r="AP2588" s="22"/>
    </row>
    <row r="2589">
      <c r="A2589" s="193"/>
      <c r="B2589" s="194"/>
      <c r="C2589" s="195"/>
      <c r="D2589" s="196"/>
      <c r="E2589" s="197"/>
      <c r="F2589" s="197"/>
      <c r="G2589" s="195"/>
      <c r="H2589" s="195"/>
      <c r="I2589" s="197"/>
      <c r="J2589" s="121"/>
      <c r="K2589" s="121"/>
      <c r="L2589" s="200"/>
      <c r="M2589" s="204"/>
      <c r="N2589" s="205"/>
      <c r="O2589" s="170"/>
      <c r="P2589" s="198"/>
      <c r="Q2589" s="199"/>
      <c r="R2589" s="200"/>
      <c r="S2589" s="170"/>
      <c r="T2589" s="170"/>
      <c r="U2589" s="201"/>
      <c r="V2589" s="198"/>
      <c r="W2589" s="170"/>
      <c r="X2589" s="202"/>
      <c r="Y2589" s="203"/>
      <c r="Z2589" s="170"/>
      <c r="AA2589" s="198"/>
      <c r="AB2589" s="170"/>
      <c r="AC2589" s="170"/>
      <c r="AD2589" s="121"/>
      <c r="AE2589" s="121"/>
      <c r="AF2589" s="121"/>
      <c r="AG2589" s="22"/>
      <c r="AH2589" s="22"/>
      <c r="AI2589" s="22"/>
      <c r="AJ2589" s="22"/>
      <c r="AK2589" s="22"/>
      <c r="AL2589" s="22"/>
      <c r="AM2589" s="22"/>
      <c r="AN2589" s="22"/>
      <c r="AO2589" s="22"/>
      <c r="AP2589" s="22"/>
    </row>
    <row r="2590">
      <c r="A2590" s="193"/>
      <c r="B2590" s="194"/>
      <c r="C2590" s="195"/>
      <c r="D2590" s="196"/>
      <c r="E2590" s="197"/>
      <c r="F2590" s="197"/>
      <c r="G2590" s="195"/>
      <c r="H2590" s="195"/>
      <c r="I2590" s="197"/>
      <c r="J2590" s="121"/>
      <c r="K2590" s="121"/>
      <c r="L2590" s="200"/>
      <c r="M2590" s="204"/>
      <c r="N2590" s="205"/>
      <c r="O2590" s="170"/>
      <c r="P2590" s="198"/>
      <c r="Q2590" s="199"/>
      <c r="R2590" s="200"/>
      <c r="S2590" s="170"/>
      <c r="T2590" s="170"/>
      <c r="U2590" s="201"/>
      <c r="V2590" s="198"/>
      <c r="W2590" s="170"/>
      <c r="X2590" s="202"/>
      <c r="Y2590" s="203"/>
      <c r="Z2590" s="170"/>
      <c r="AA2590" s="198"/>
      <c r="AB2590" s="170"/>
      <c r="AC2590" s="170"/>
      <c r="AD2590" s="121"/>
      <c r="AE2590" s="121"/>
      <c r="AF2590" s="121"/>
      <c r="AG2590" s="22"/>
      <c r="AH2590" s="22"/>
      <c r="AI2590" s="22"/>
      <c r="AJ2590" s="22"/>
      <c r="AK2590" s="22"/>
      <c r="AL2590" s="22"/>
      <c r="AM2590" s="22"/>
      <c r="AN2590" s="22"/>
      <c r="AO2590" s="22"/>
      <c r="AP2590" s="22"/>
    </row>
    <row r="2591">
      <c r="A2591" s="193"/>
      <c r="B2591" s="194"/>
      <c r="C2591" s="195"/>
      <c r="D2591" s="196"/>
      <c r="E2591" s="197"/>
      <c r="F2591" s="197"/>
      <c r="G2591" s="195"/>
      <c r="H2591" s="195"/>
      <c r="I2591" s="197"/>
      <c r="J2591" s="121"/>
      <c r="K2591" s="121"/>
      <c r="L2591" s="200"/>
      <c r="M2591" s="204"/>
      <c r="N2591" s="205"/>
      <c r="O2591" s="170"/>
      <c r="P2591" s="198"/>
      <c r="Q2591" s="199"/>
      <c r="R2591" s="200"/>
      <c r="S2591" s="170"/>
      <c r="T2591" s="170"/>
      <c r="U2591" s="201"/>
      <c r="V2591" s="198"/>
      <c r="W2591" s="170"/>
      <c r="X2591" s="202"/>
      <c r="Y2591" s="203"/>
      <c r="Z2591" s="170"/>
      <c r="AA2591" s="198"/>
      <c r="AB2591" s="170"/>
      <c r="AC2591" s="170"/>
      <c r="AD2591" s="121"/>
      <c r="AE2591" s="121"/>
      <c r="AF2591" s="121"/>
      <c r="AG2591" s="22"/>
      <c r="AH2591" s="22"/>
      <c r="AI2591" s="22"/>
      <c r="AJ2591" s="22"/>
      <c r="AK2591" s="22"/>
      <c r="AL2591" s="22"/>
      <c r="AM2591" s="22"/>
      <c r="AN2591" s="22"/>
      <c r="AO2591" s="22"/>
      <c r="AP2591" s="22"/>
    </row>
    <row r="2592">
      <c r="A2592" s="193"/>
      <c r="B2592" s="194"/>
      <c r="C2592" s="195"/>
      <c r="D2592" s="196"/>
      <c r="E2592" s="197"/>
      <c r="F2592" s="197"/>
      <c r="G2592" s="195"/>
      <c r="H2592" s="195"/>
      <c r="I2592" s="197"/>
      <c r="J2592" s="121"/>
      <c r="K2592" s="121"/>
      <c r="L2592" s="200"/>
      <c r="M2592" s="204"/>
      <c r="N2592" s="205"/>
      <c r="O2592" s="170"/>
      <c r="P2592" s="198"/>
      <c r="Q2592" s="199"/>
      <c r="R2592" s="200"/>
      <c r="S2592" s="170"/>
      <c r="T2592" s="170"/>
      <c r="U2592" s="201"/>
      <c r="V2592" s="198"/>
      <c r="W2592" s="170"/>
      <c r="X2592" s="202"/>
      <c r="Y2592" s="203"/>
      <c r="Z2592" s="170"/>
      <c r="AA2592" s="198"/>
      <c r="AB2592" s="170"/>
      <c r="AC2592" s="170"/>
      <c r="AD2592" s="121"/>
      <c r="AE2592" s="121"/>
      <c r="AF2592" s="121"/>
      <c r="AG2592" s="22"/>
      <c r="AH2592" s="22"/>
      <c r="AI2592" s="22"/>
      <c r="AJ2592" s="22"/>
      <c r="AK2592" s="22"/>
      <c r="AL2592" s="22"/>
      <c r="AM2592" s="22"/>
      <c r="AN2592" s="22"/>
      <c r="AO2592" s="22"/>
      <c r="AP2592" s="22"/>
    </row>
    <row r="2593">
      <c r="A2593" s="193"/>
      <c r="B2593" s="194"/>
      <c r="C2593" s="195"/>
      <c r="D2593" s="196"/>
      <c r="E2593" s="197"/>
      <c r="F2593" s="197"/>
      <c r="G2593" s="195"/>
      <c r="H2593" s="195"/>
      <c r="I2593" s="197"/>
      <c r="J2593" s="121"/>
      <c r="K2593" s="121"/>
      <c r="L2593" s="200"/>
      <c r="M2593" s="204"/>
      <c r="N2593" s="205"/>
      <c r="O2593" s="170"/>
      <c r="P2593" s="198"/>
      <c r="Q2593" s="199"/>
      <c r="R2593" s="200"/>
      <c r="S2593" s="170"/>
      <c r="T2593" s="170"/>
      <c r="U2593" s="201"/>
      <c r="V2593" s="198"/>
      <c r="W2593" s="170"/>
      <c r="X2593" s="202"/>
      <c r="Y2593" s="203"/>
      <c r="Z2593" s="170"/>
      <c r="AA2593" s="198"/>
      <c r="AB2593" s="170"/>
      <c r="AC2593" s="170"/>
      <c r="AD2593" s="121"/>
      <c r="AE2593" s="121"/>
      <c r="AF2593" s="121"/>
      <c r="AG2593" s="22"/>
      <c r="AH2593" s="22"/>
      <c r="AI2593" s="22"/>
      <c r="AJ2593" s="22"/>
      <c r="AK2593" s="22"/>
      <c r="AL2593" s="22"/>
      <c r="AM2593" s="22"/>
      <c r="AN2593" s="22"/>
      <c r="AO2593" s="22"/>
      <c r="AP2593" s="22"/>
    </row>
    <row r="2594">
      <c r="A2594" s="193"/>
      <c r="B2594" s="194"/>
      <c r="C2594" s="195"/>
      <c r="D2594" s="196"/>
      <c r="E2594" s="197"/>
      <c r="F2594" s="197"/>
      <c r="G2594" s="195"/>
      <c r="H2594" s="195"/>
      <c r="I2594" s="197"/>
      <c r="J2594" s="121"/>
      <c r="K2594" s="121"/>
      <c r="L2594" s="200"/>
      <c r="M2594" s="204"/>
      <c r="N2594" s="205"/>
      <c r="O2594" s="170"/>
      <c r="P2594" s="198"/>
      <c r="Q2594" s="199"/>
      <c r="R2594" s="200"/>
      <c r="S2594" s="170"/>
      <c r="T2594" s="170"/>
      <c r="U2594" s="201"/>
      <c r="V2594" s="198"/>
      <c r="W2594" s="170"/>
      <c r="X2594" s="202"/>
      <c r="Y2594" s="203"/>
      <c r="Z2594" s="170"/>
      <c r="AA2594" s="198"/>
      <c r="AB2594" s="170"/>
      <c r="AC2594" s="170"/>
      <c r="AD2594" s="121"/>
      <c r="AE2594" s="121"/>
      <c r="AF2594" s="121"/>
      <c r="AG2594" s="22"/>
      <c r="AH2594" s="22"/>
      <c r="AI2594" s="22"/>
      <c r="AJ2594" s="22"/>
      <c r="AK2594" s="22"/>
      <c r="AL2594" s="22"/>
      <c r="AM2594" s="22"/>
      <c r="AN2594" s="22"/>
      <c r="AO2594" s="22"/>
      <c r="AP2594" s="22"/>
    </row>
    <row r="2595">
      <c r="A2595" s="193"/>
      <c r="B2595" s="194"/>
      <c r="C2595" s="195"/>
      <c r="D2595" s="196"/>
      <c r="E2595" s="197"/>
      <c r="F2595" s="197"/>
      <c r="G2595" s="195"/>
      <c r="H2595" s="195"/>
      <c r="I2595" s="197"/>
      <c r="J2595" s="121"/>
      <c r="K2595" s="121"/>
      <c r="L2595" s="200"/>
      <c r="M2595" s="204"/>
      <c r="N2595" s="205"/>
      <c r="O2595" s="170"/>
      <c r="P2595" s="198"/>
      <c r="Q2595" s="199"/>
      <c r="R2595" s="200"/>
      <c r="S2595" s="170"/>
      <c r="T2595" s="170"/>
      <c r="U2595" s="201"/>
      <c r="V2595" s="198"/>
      <c r="W2595" s="170"/>
      <c r="X2595" s="202"/>
      <c r="Y2595" s="203"/>
      <c r="Z2595" s="170"/>
      <c r="AA2595" s="198"/>
      <c r="AB2595" s="170"/>
      <c r="AC2595" s="170"/>
      <c r="AD2595" s="121"/>
      <c r="AE2595" s="121"/>
      <c r="AF2595" s="121"/>
      <c r="AG2595" s="22"/>
      <c r="AH2595" s="22"/>
      <c r="AI2595" s="22"/>
      <c r="AJ2595" s="22"/>
      <c r="AK2595" s="22"/>
      <c r="AL2595" s="22"/>
      <c r="AM2595" s="22"/>
      <c r="AN2595" s="22"/>
      <c r="AO2595" s="22"/>
      <c r="AP2595" s="22"/>
    </row>
    <row r="2596">
      <c r="A2596" s="193"/>
      <c r="B2596" s="194"/>
      <c r="C2596" s="195"/>
      <c r="D2596" s="196"/>
      <c r="E2596" s="197"/>
      <c r="F2596" s="197"/>
      <c r="G2596" s="195"/>
      <c r="H2596" s="195"/>
      <c r="I2596" s="197"/>
      <c r="J2596" s="121"/>
      <c r="K2596" s="121"/>
      <c r="L2596" s="200"/>
      <c r="M2596" s="204"/>
      <c r="N2596" s="205"/>
      <c r="O2596" s="170"/>
      <c r="P2596" s="198"/>
      <c r="Q2596" s="199"/>
      <c r="R2596" s="200"/>
      <c r="S2596" s="170"/>
      <c r="T2596" s="170"/>
      <c r="U2596" s="201"/>
      <c r="V2596" s="198"/>
      <c r="W2596" s="170"/>
      <c r="X2596" s="202"/>
      <c r="Y2596" s="203"/>
      <c r="Z2596" s="170"/>
      <c r="AA2596" s="198"/>
      <c r="AB2596" s="170"/>
      <c r="AC2596" s="170"/>
      <c r="AD2596" s="121"/>
      <c r="AE2596" s="121"/>
      <c r="AF2596" s="121"/>
      <c r="AG2596" s="22"/>
      <c r="AH2596" s="22"/>
      <c r="AI2596" s="22"/>
      <c r="AJ2596" s="22"/>
      <c r="AK2596" s="22"/>
      <c r="AL2596" s="22"/>
      <c r="AM2596" s="22"/>
      <c r="AN2596" s="22"/>
      <c r="AO2596" s="22"/>
      <c r="AP2596" s="22"/>
    </row>
    <row r="2597">
      <c r="A2597" s="193"/>
      <c r="B2597" s="194"/>
      <c r="C2597" s="195"/>
      <c r="D2597" s="196"/>
      <c r="E2597" s="197"/>
      <c r="F2597" s="197"/>
      <c r="G2597" s="195"/>
      <c r="H2597" s="195"/>
      <c r="I2597" s="197"/>
      <c r="J2597" s="121"/>
      <c r="K2597" s="121"/>
      <c r="L2597" s="200"/>
      <c r="M2597" s="204"/>
      <c r="N2597" s="205"/>
      <c r="O2597" s="170"/>
      <c r="P2597" s="198"/>
      <c r="Q2597" s="199"/>
      <c r="R2597" s="200"/>
      <c r="S2597" s="170"/>
      <c r="T2597" s="170"/>
      <c r="U2597" s="201"/>
      <c r="V2597" s="198"/>
      <c r="W2597" s="170"/>
      <c r="X2597" s="202"/>
      <c r="Y2597" s="203"/>
      <c r="Z2597" s="170"/>
      <c r="AA2597" s="198"/>
      <c r="AB2597" s="170"/>
      <c r="AC2597" s="170"/>
      <c r="AD2597" s="121"/>
      <c r="AE2597" s="121"/>
      <c r="AF2597" s="121"/>
      <c r="AG2597" s="22"/>
      <c r="AH2597" s="22"/>
      <c r="AI2597" s="22"/>
      <c r="AJ2597" s="22"/>
      <c r="AK2597" s="22"/>
      <c r="AL2597" s="22"/>
      <c r="AM2597" s="22"/>
      <c r="AN2597" s="22"/>
      <c r="AO2597" s="22"/>
      <c r="AP2597" s="22"/>
    </row>
    <row r="2598">
      <c r="A2598" s="193"/>
      <c r="B2598" s="194"/>
      <c r="C2598" s="195"/>
      <c r="D2598" s="196"/>
      <c r="E2598" s="197"/>
      <c r="F2598" s="197"/>
      <c r="G2598" s="195"/>
      <c r="H2598" s="195"/>
      <c r="I2598" s="197"/>
      <c r="J2598" s="121"/>
      <c r="K2598" s="121"/>
      <c r="L2598" s="200"/>
      <c r="M2598" s="204"/>
      <c r="N2598" s="205"/>
      <c r="O2598" s="170"/>
      <c r="P2598" s="198"/>
      <c r="Q2598" s="199"/>
      <c r="R2598" s="200"/>
      <c r="S2598" s="170"/>
      <c r="T2598" s="170"/>
      <c r="U2598" s="201"/>
      <c r="V2598" s="198"/>
      <c r="W2598" s="170"/>
      <c r="X2598" s="202"/>
      <c r="Y2598" s="203"/>
      <c r="Z2598" s="170"/>
      <c r="AA2598" s="198"/>
      <c r="AB2598" s="170"/>
      <c r="AC2598" s="170"/>
      <c r="AD2598" s="121"/>
      <c r="AE2598" s="121"/>
      <c r="AF2598" s="121"/>
      <c r="AG2598" s="22"/>
      <c r="AH2598" s="22"/>
      <c r="AI2598" s="22"/>
      <c r="AJ2598" s="22"/>
      <c r="AK2598" s="22"/>
      <c r="AL2598" s="22"/>
      <c r="AM2598" s="22"/>
      <c r="AN2598" s="22"/>
      <c r="AO2598" s="22"/>
      <c r="AP2598" s="22"/>
    </row>
    <row r="2599">
      <c r="A2599" s="193"/>
      <c r="B2599" s="194"/>
      <c r="C2599" s="195"/>
      <c r="D2599" s="196"/>
      <c r="E2599" s="197"/>
      <c r="F2599" s="197"/>
      <c r="G2599" s="195"/>
      <c r="H2599" s="195"/>
      <c r="I2599" s="197"/>
      <c r="J2599" s="121"/>
      <c r="K2599" s="121"/>
      <c r="L2599" s="200"/>
      <c r="M2599" s="204"/>
      <c r="N2599" s="205"/>
      <c r="O2599" s="170"/>
      <c r="P2599" s="198"/>
      <c r="Q2599" s="199"/>
      <c r="R2599" s="200"/>
      <c r="S2599" s="170"/>
      <c r="T2599" s="170"/>
      <c r="U2599" s="201"/>
      <c r="V2599" s="198"/>
      <c r="W2599" s="170"/>
      <c r="X2599" s="202"/>
      <c r="Y2599" s="203"/>
      <c r="Z2599" s="170"/>
      <c r="AA2599" s="198"/>
      <c r="AB2599" s="170"/>
      <c r="AC2599" s="170"/>
      <c r="AD2599" s="121"/>
      <c r="AE2599" s="121"/>
      <c r="AF2599" s="121"/>
      <c r="AG2599" s="22"/>
      <c r="AH2599" s="22"/>
      <c r="AI2599" s="22"/>
      <c r="AJ2599" s="22"/>
      <c r="AK2599" s="22"/>
      <c r="AL2599" s="22"/>
      <c r="AM2599" s="22"/>
      <c r="AN2599" s="22"/>
      <c r="AO2599" s="22"/>
      <c r="AP2599" s="22"/>
    </row>
    <row r="2600">
      <c r="A2600" s="193"/>
      <c r="B2600" s="194"/>
      <c r="C2600" s="195"/>
      <c r="D2600" s="196"/>
      <c r="E2600" s="197"/>
      <c r="F2600" s="197"/>
      <c r="G2600" s="195"/>
      <c r="H2600" s="195"/>
      <c r="I2600" s="197"/>
      <c r="J2600" s="121"/>
      <c r="K2600" s="121"/>
      <c r="L2600" s="200"/>
      <c r="M2600" s="204"/>
      <c r="N2600" s="205"/>
      <c r="O2600" s="170"/>
      <c r="P2600" s="198"/>
      <c r="Q2600" s="199"/>
      <c r="R2600" s="200"/>
      <c r="S2600" s="170"/>
      <c r="T2600" s="170"/>
      <c r="U2600" s="201"/>
      <c r="V2600" s="198"/>
      <c r="W2600" s="170"/>
      <c r="X2600" s="202"/>
      <c r="Y2600" s="203"/>
      <c r="Z2600" s="170"/>
      <c r="AA2600" s="198"/>
      <c r="AB2600" s="170"/>
      <c r="AC2600" s="170"/>
      <c r="AD2600" s="121"/>
      <c r="AE2600" s="121"/>
      <c r="AF2600" s="121"/>
      <c r="AG2600" s="22"/>
      <c r="AH2600" s="22"/>
      <c r="AI2600" s="22"/>
      <c r="AJ2600" s="22"/>
      <c r="AK2600" s="22"/>
      <c r="AL2600" s="22"/>
      <c r="AM2600" s="22"/>
      <c r="AN2600" s="22"/>
      <c r="AO2600" s="22"/>
      <c r="AP2600" s="22"/>
    </row>
    <row r="2601">
      <c r="A2601" s="193"/>
      <c r="B2601" s="194"/>
      <c r="C2601" s="195"/>
      <c r="D2601" s="196"/>
      <c r="E2601" s="197"/>
      <c r="F2601" s="197"/>
      <c r="G2601" s="195"/>
      <c r="H2601" s="195"/>
      <c r="I2601" s="197"/>
      <c r="J2601" s="121"/>
      <c r="K2601" s="121"/>
      <c r="L2601" s="200"/>
      <c r="M2601" s="204"/>
      <c r="N2601" s="205"/>
      <c r="O2601" s="170"/>
      <c r="P2601" s="198"/>
      <c r="Q2601" s="199"/>
      <c r="R2601" s="200"/>
      <c r="S2601" s="170"/>
      <c r="T2601" s="170"/>
      <c r="U2601" s="201"/>
      <c r="V2601" s="198"/>
      <c r="W2601" s="170"/>
      <c r="X2601" s="202"/>
      <c r="Y2601" s="203"/>
      <c r="Z2601" s="170"/>
      <c r="AA2601" s="198"/>
      <c r="AB2601" s="170"/>
      <c r="AC2601" s="170"/>
      <c r="AD2601" s="121"/>
      <c r="AE2601" s="121"/>
      <c r="AF2601" s="121"/>
      <c r="AG2601" s="22"/>
      <c r="AH2601" s="22"/>
      <c r="AI2601" s="22"/>
      <c r="AJ2601" s="22"/>
      <c r="AK2601" s="22"/>
      <c r="AL2601" s="22"/>
      <c r="AM2601" s="22"/>
      <c r="AN2601" s="22"/>
      <c r="AO2601" s="22"/>
      <c r="AP2601" s="22"/>
    </row>
    <row r="2602">
      <c r="A2602" s="193"/>
      <c r="B2602" s="194"/>
      <c r="C2602" s="195"/>
      <c r="D2602" s="196"/>
      <c r="E2602" s="197"/>
      <c r="F2602" s="197"/>
      <c r="G2602" s="195"/>
      <c r="H2602" s="195"/>
      <c r="I2602" s="197"/>
      <c r="J2602" s="121"/>
      <c r="K2602" s="121"/>
      <c r="L2602" s="200"/>
      <c r="M2602" s="204"/>
      <c r="N2602" s="205"/>
      <c r="O2602" s="170"/>
      <c r="P2602" s="198"/>
      <c r="Q2602" s="199"/>
      <c r="R2602" s="200"/>
      <c r="S2602" s="170"/>
      <c r="T2602" s="170"/>
      <c r="U2602" s="201"/>
      <c r="V2602" s="198"/>
      <c r="W2602" s="170"/>
      <c r="X2602" s="202"/>
      <c r="Y2602" s="203"/>
      <c r="Z2602" s="170"/>
      <c r="AA2602" s="198"/>
      <c r="AB2602" s="170"/>
      <c r="AC2602" s="170"/>
      <c r="AD2602" s="121"/>
      <c r="AE2602" s="121"/>
      <c r="AF2602" s="121"/>
      <c r="AG2602" s="22"/>
      <c r="AH2602" s="22"/>
      <c r="AI2602" s="22"/>
      <c r="AJ2602" s="22"/>
      <c r="AK2602" s="22"/>
      <c r="AL2602" s="22"/>
      <c r="AM2602" s="22"/>
      <c r="AN2602" s="22"/>
      <c r="AO2602" s="22"/>
      <c r="AP2602" s="22"/>
    </row>
    <row r="2603">
      <c r="A2603" s="193"/>
      <c r="B2603" s="194"/>
      <c r="C2603" s="195"/>
      <c r="D2603" s="196"/>
      <c r="E2603" s="197"/>
      <c r="F2603" s="197"/>
      <c r="G2603" s="195"/>
      <c r="H2603" s="195"/>
      <c r="I2603" s="197"/>
      <c r="J2603" s="121"/>
      <c r="K2603" s="121"/>
      <c r="L2603" s="200"/>
      <c r="M2603" s="204"/>
      <c r="N2603" s="205"/>
      <c r="O2603" s="170"/>
      <c r="P2603" s="198"/>
      <c r="Q2603" s="199"/>
      <c r="R2603" s="200"/>
      <c r="S2603" s="170"/>
      <c r="T2603" s="170"/>
      <c r="U2603" s="201"/>
      <c r="V2603" s="198"/>
      <c r="W2603" s="170"/>
      <c r="X2603" s="202"/>
      <c r="Y2603" s="203"/>
      <c r="Z2603" s="170"/>
      <c r="AA2603" s="198"/>
      <c r="AB2603" s="170"/>
      <c r="AC2603" s="170"/>
      <c r="AD2603" s="121"/>
      <c r="AE2603" s="121"/>
      <c r="AF2603" s="121"/>
      <c r="AG2603" s="22"/>
      <c r="AH2603" s="22"/>
      <c r="AI2603" s="22"/>
      <c r="AJ2603" s="22"/>
      <c r="AK2603" s="22"/>
      <c r="AL2603" s="22"/>
      <c r="AM2603" s="22"/>
      <c r="AN2603" s="22"/>
      <c r="AO2603" s="22"/>
      <c r="AP2603" s="22"/>
    </row>
    <row r="2604">
      <c r="A2604" s="193"/>
      <c r="B2604" s="194"/>
      <c r="C2604" s="195"/>
      <c r="D2604" s="196"/>
      <c r="E2604" s="197"/>
      <c r="F2604" s="197"/>
      <c r="G2604" s="195"/>
      <c r="H2604" s="195"/>
      <c r="I2604" s="197"/>
      <c r="J2604" s="121"/>
      <c r="K2604" s="121"/>
      <c r="L2604" s="200"/>
      <c r="M2604" s="204"/>
      <c r="N2604" s="205"/>
      <c r="O2604" s="170"/>
      <c r="P2604" s="198"/>
      <c r="Q2604" s="199"/>
      <c r="R2604" s="200"/>
      <c r="S2604" s="170"/>
      <c r="T2604" s="170"/>
      <c r="U2604" s="201"/>
      <c r="V2604" s="198"/>
      <c r="W2604" s="170"/>
      <c r="X2604" s="202"/>
      <c r="Y2604" s="203"/>
      <c r="Z2604" s="170"/>
      <c r="AA2604" s="198"/>
      <c r="AB2604" s="170"/>
      <c r="AC2604" s="170"/>
      <c r="AD2604" s="121"/>
      <c r="AE2604" s="121"/>
      <c r="AF2604" s="121"/>
      <c r="AG2604" s="22"/>
      <c r="AH2604" s="22"/>
      <c r="AI2604" s="22"/>
      <c r="AJ2604" s="22"/>
      <c r="AK2604" s="22"/>
      <c r="AL2604" s="22"/>
      <c r="AM2604" s="22"/>
      <c r="AN2604" s="22"/>
      <c r="AO2604" s="22"/>
      <c r="AP2604" s="22"/>
    </row>
    <row r="2605">
      <c r="A2605" s="193"/>
      <c r="B2605" s="194"/>
      <c r="C2605" s="195"/>
      <c r="D2605" s="196"/>
      <c r="E2605" s="197"/>
      <c r="F2605" s="197"/>
      <c r="G2605" s="195"/>
      <c r="H2605" s="195"/>
      <c r="I2605" s="197"/>
      <c r="J2605" s="121"/>
      <c r="K2605" s="121"/>
      <c r="L2605" s="200"/>
      <c r="M2605" s="204"/>
      <c r="N2605" s="205"/>
      <c r="O2605" s="170"/>
      <c r="P2605" s="198"/>
      <c r="Q2605" s="199"/>
      <c r="R2605" s="200"/>
      <c r="S2605" s="170"/>
      <c r="T2605" s="170"/>
      <c r="U2605" s="201"/>
      <c r="V2605" s="198"/>
      <c r="W2605" s="170"/>
      <c r="X2605" s="202"/>
      <c r="Y2605" s="203"/>
      <c r="Z2605" s="170"/>
      <c r="AA2605" s="198"/>
      <c r="AB2605" s="170"/>
      <c r="AC2605" s="170"/>
      <c r="AD2605" s="121"/>
      <c r="AE2605" s="121"/>
      <c r="AF2605" s="121"/>
      <c r="AG2605" s="22"/>
      <c r="AH2605" s="22"/>
      <c r="AI2605" s="22"/>
      <c r="AJ2605" s="22"/>
      <c r="AK2605" s="22"/>
      <c r="AL2605" s="22"/>
      <c r="AM2605" s="22"/>
      <c r="AN2605" s="22"/>
      <c r="AO2605" s="22"/>
      <c r="AP2605" s="22"/>
    </row>
    <row r="2606">
      <c r="A2606" s="193"/>
      <c r="B2606" s="194"/>
      <c r="C2606" s="195"/>
      <c r="D2606" s="196"/>
      <c r="E2606" s="197"/>
      <c r="F2606" s="197"/>
      <c r="G2606" s="195"/>
      <c r="H2606" s="195"/>
      <c r="I2606" s="197"/>
      <c r="J2606" s="121"/>
      <c r="K2606" s="121"/>
      <c r="L2606" s="200"/>
      <c r="M2606" s="204"/>
      <c r="N2606" s="205"/>
      <c r="O2606" s="170"/>
      <c r="P2606" s="198"/>
      <c r="Q2606" s="199"/>
      <c r="R2606" s="200"/>
      <c r="S2606" s="170"/>
      <c r="T2606" s="170"/>
      <c r="U2606" s="201"/>
      <c r="V2606" s="198"/>
      <c r="W2606" s="170"/>
      <c r="X2606" s="202"/>
      <c r="Y2606" s="203"/>
      <c r="Z2606" s="170"/>
      <c r="AA2606" s="198"/>
      <c r="AB2606" s="170"/>
      <c r="AC2606" s="170"/>
      <c r="AD2606" s="121"/>
      <c r="AE2606" s="121"/>
      <c r="AF2606" s="121"/>
      <c r="AG2606" s="22"/>
      <c r="AH2606" s="22"/>
      <c r="AI2606" s="22"/>
      <c r="AJ2606" s="22"/>
      <c r="AK2606" s="22"/>
      <c r="AL2606" s="22"/>
      <c r="AM2606" s="22"/>
      <c r="AN2606" s="22"/>
      <c r="AO2606" s="22"/>
      <c r="AP2606" s="22"/>
    </row>
    <row r="2607">
      <c r="A2607" s="193"/>
      <c r="B2607" s="194"/>
      <c r="C2607" s="195"/>
      <c r="D2607" s="196"/>
      <c r="E2607" s="197"/>
      <c r="F2607" s="197"/>
      <c r="G2607" s="195"/>
      <c r="H2607" s="195"/>
      <c r="I2607" s="197"/>
      <c r="J2607" s="121"/>
      <c r="K2607" s="121"/>
      <c r="L2607" s="200"/>
      <c r="M2607" s="204"/>
      <c r="N2607" s="205"/>
      <c r="O2607" s="170"/>
      <c r="P2607" s="198"/>
      <c r="Q2607" s="199"/>
      <c r="R2607" s="200"/>
      <c r="S2607" s="170"/>
      <c r="T2607" s="170"/>
      <c r="U2607" s="201"/>
      <c r="V2607" s="198"/>
      <c r="W2607" s="170"/>
      <c r="X2607" s="202"/>
      <c r="Y2607" s="203"/>
      <c r="Z2607" s="170"/>
      <c r="AA2607" s="198"/>
      <c r="AB2607" s="170"/>
      <c r="AC2607" s="170"/>
      <c r="AD2607" s="121"/>
      <c r="AE2607" s="121"/>
      <c r="AF2607" s="121"/>
      <c r="AG2607" s="22"/>
      <c r="AH2607" s="22"/>
      <c r="AI2607" s="22"/>
      <c r="AJ2607" s="22"/>
      <c r="AK2607" s="22"/>
      <c r="AL2607" s="22"/>
      <c r="AM2607" s="22"/>
      <c r="AN2607" s="22"/>
      <c r="AO2607" s="22"/>
      <c r="AP2607" s="22"/>
    </row>
    <row r="2608">
      <c r="A2608" s="193"/>
      <c r="B2608" s="194"/>
      <c r="C2608" s="195"/>
      <c r="D2608" s="196"/>
      <c r="E2608" s="197"/>
      <c r="F2608" s="197"/>
      <c r="G2608" s="195"/>
      <c r="H2608" s="195"/>
      <c r="I2608" s="197"/>
      <c r="J2608" s="121"/>
      <c r="K2608" s="121"/>
      <c r="L2608" s="200"/>
      <c r="M2608" s="204"/>
      <c r="N2608" s="205"/>
      <c r="O2608" s="170"/>
      <c r="P2608" s="198"/>
      <c r="Q2608" s="199"/>
      <c r="R2608" s="200"/>
      <c r="S2608" s="170"/>
      <c r="T2608" s="170"/>
      <c r="U2608" s="201"/>
      <c r="V2608" s="198"/>
      <c r="W2608" s="170"/>
      <c r="X2608" s="202"/>
      <c r="Y2608" s="203"/>
      <c r="Z2608" s="170"/>
      <c r="AA2608" s="198"/>
      <c r="AB2608" s="170"/>
      <c r="AC2608" s="170"/>
      <c r="AD2608" s="121"/>
      <c r="AE2608" s="121"/>
      <c r="AF2608" s="121"/>
      <c r="AG2608" s="22"/>
      <c r="AH2608" s="22"/>
      <c r="AI2608" s="22"/>
      <c r="AJ2608" s="22"/>
      <c r="AK2608" s="22"/>
      <c r="AL2608" s="22"/>
      <c r="AM2608" s="22"/>
      <c r="AN2608" s="22"/>
      <c r="AO2608" s="22"/>
      <c r="AP2608" s="22"/>
    </row>
    <row r="2609">
      <c r="A2609" s="193"/>
      <c r="B2609" s="194"/>
      <c r="C2609" s="195"/>
      <c r="D2609" s="196"/>
      <c r="E2609" s="197"/>
      <c r="F2609" s="197"/>
      <c r="G2609" s="195"/>
      <c r="H2609" s="195"/>
      <c r="I2609" s="197"/>
      <c r="J2609" s="121"/>
      <c r="K2609" s="121"/>
      <c r="L2609" s="200"/>
      <c r="M2609" s="204"/>
      <c r="N2609" s="205"/>
      <c r="O2609" s="170"/>
      <c r="P2609" s="198"/>
      <c r="Q2609" s="199"/>
      <c r="R2609" s="200"/>
      <c r="S2609" s="170"/>
      <c r="T2609" s="170"/>
      <c r="U2609" s="201"/>
      <c r="V2609" s="198"/>
      <c r="W2609" s="170"/>
      <c r="X2609" s="202"/>
      <c r="Y2609" s="203"/>
      <c r="Z2609" s="170"/>
      <c r="AA2609" s="198"/>
      <c r="AB2609" s="170"/>
      <c r="AC2609" s="170"/>
      <c r="AD2609" s="121"/>
      <c r="AE2609" s="121"/>
      <c r="AF2609" s="121"/>
      <c r="AG2609" s="22"/>
      <c r="AH2609" s="22"/>
      <c r="AI2609" s="22"/>
      <c r="AJ2609" s="22"/>
      <c r="AK2609" s="22"/>
      <c r="AL2609" s="22"/>
      <c r="AM2609" s="22"/>
      <c r="AN2609" s="22"/>
      <c r="AO2609" s="22"/>
      <c r="AP2609" s="22"/>
    </row>
    <row r="2610">
      <c r="A2610" s="193"/>
      <c r="B2610" s="194"/>
      <c r="C2610" s="195"/>
      <c r="D2610" s="196"/>
      <c r="E2610" s="197"/>
      <c r="F2610" s="197"/>
      <c r="G2610" s="195"/>
      <c r="H2610" s="195"/>
      <c r="I2610" s="197"/>
      <c r="J2610" s="121"/>
      <c r="K2610" s="121"/>
      <c r="L2610" s="200"/>
      <c r="M2610" s="204"/>
      <c r="N2610" s="205"/>
      <c r="O2610" s="170"/>
      <c r="P2610" s="198"/>
      <c r="Q2610" s="199"/>
      <c r="R2610" s="200"/>
      <c r="S2610" s="170"/>
      <c r="T2610" s="170"/>
      <c r="U2610" s="201"/>
      <c r="V2610" s="198"/>
      <c r="W2610" s="170"/>
      <c r="X2610" s="202"/>
      <c r="Y2610" s="203"/>
      <c r="Z2610" s="170"/>
      <c r="AA2610" s="198"/>
      <c r="AB2610" s="170"/>
      <c r="AC2610" s="170"/>
      <c r="AD2610" s="121"/>
      <c r="AE2610" s="121"/>
      <c r="AF2610" s="121"/>
      <c r="AG2610" s="22"/>
      <c r="AH2610" s="22"/>
      <c r="AI2610" s="22"/>
      <c r="AJ2610" s="22"/>
      <c r="AK2610" s="22"/>
      <c r="AL2610" s="22"/>
      <c r="AM2610" s="22"/>
      <c r="AN2610" s="22"/>
      <c r="AO2610" s="22"/>
      <c r="AP2610" s="22"/>
    </row>
    <row r="2611">
      <c r="A2611" s="193"/>
      <c r="B2611" s="194"/>
      <c r="C2611" s="195"/>
      <c r="D2611" s="196"/>
      <c r="E2611" s="197"/>
      <c r="F2611" s="197"/>
      <c r="G2611" s="195"/>
      <c r="H2611" s="195"/>
      <c r="I2611" s="197"/>
      <c r="J2611" s="121"/>
      <c r="K2611" s="121"/>
      <c r="L2611" s="200"/>
      <c r="M2611" s="204"/>
      <c r="N2611" s="205"/>
      <c r="O2611" s="170"/>
      <c r="P2611" s="198"/>
      <c r="Q2611" s="199"/>
      <c r="R2611" s="200"/>
      <c r="S2611" s="170"/>
      <c r="T2611" s="170"/>
      <c r="U2611" s="201"/>
      <c r="V2611" s="198"/>
      <c r="W2611" s="170"/>
      <c r="X2611" s="202"/>
      <c r="Y2611" s="203"/>
      <c r="Z2611" s="170"/>
      <c r="AA2611" s="198"/>
      <c r="AB2611" s="170"/>
      <c r="AC2611" s="170"/>
      <c r="AD2611" s="121"/>
      <c r="AE2611" s="121"/>
      <c r="AF2611" s="121"/>
      <c r="AG2611" s="22"/>
      <c r="AH2611" s="22"/>
      <c r="AI2611" s="22"/>
      <c r="AJ2611" s="22"/>
      <c r="AK2611" s="22"/>
      <c r="AL2611" s="22"/>
      <c r="AM2611" s="22"/>
      <c r="AN2611" s="22"/>
      <c r="AO2611" s="22"/>
      <c r="AP2611" s="22"/>
    </row>
    <row r="2612">
      <c r="A2612" s="193"/>
      <c r="B2612" s="194"/>
      <c r="C2612" s="195"/>
      <c r="D2612" s="196"/>
      <c r="E2612" s="197"/>
      <c r="F2612" s="197"/>
      <c r="G2612" s="195"/>
      <c r="H2612" s="195"/>
      <c r="I2612" s="197"/>
      <c r="J2612" s="121"/>
      <c r="K2612" s="121"/>
      <c r="L2612" s="200"/>
      <c r="M2612" s="204"/>
      <c r="N2612" s="205"/>
      <c r="O2612" s="170"/>
      <c r="P2612" s="198"/>
      <c r="Q2612" s="199"/>
      <c r="R2612" s="200"/>
      <c r="S2612" s="170"/>
      <c r="T2612" s="170"/>
      <c r="U2612" s="201"/>
      <c r="V2612" s="198"/>
      <c r="W2612" s="170"/>
      <c r="X2612" s="202"/>
      <c r="Y2612" s="203"/>
      <c r="Z2612" s="170"/>
      <c r="AA2612" s="198"/>
      <c r="AB2612" s="170"/>
      <c r="AC2612" s="170"/>
      <c r="AD2612" s="121"/>
      <c r="AE2612" s="121"/>
      <c r="AF2612" s="121"/>
      <c r="AG2612" s="22"/>
      <c r="AH2612" s="22"/>
      <c r="AI2612" s="22"/>
      <c r="AJ2612" s="22"/>
      <c r="AK2612" s="22"/>
      <c r="AL2612" s="22"/>
      <c r="AM2612" s="22"/>
      <c r="AN2612" s="22"/>
      <c r="AO2612" s="22"/>
      <c r="AP2612" s="22"/>
    </row>
    <row r="2613">
      <c r="A2613" s="193"/>
      <c r="B2613" s="194"/>
      <c r="C2613" s="195"/>
      <c r="D2613" s="196"/>
      <c r="E2613" s="197"/>
      <c r="F2613" s="197"/>
      <c r="G2613" s="195"/>
      <c r="H2613" s="195"/>
      <c r="I2613" s="197"/>
      <c r="J2613" s="121"/>
      <c r="K2613" s="121"/>
      <c r="L2613" s="200"/>
      <c r="M2613" s="204"/>
      <c r="N2613" s="205"/>
      <c r="O2613" s="170"/>
      <c r="P2613" s="198"/>
      <c r="Q2613" s="199"/>
      <c r="R2613" s="200"/>
      <c r="S2613" s="170"/>
      <c r="T2613" s="170"/>
      <c r="U2613" s="201"/>
      <c r="V2613" s="198"/>
      <c r="W2613" s="170"/>
      <c r="X2613" s="202"/>
      <c r="Y2613" s="203"/>
      <c r="Z2613" s="170"/>
      <c r="AA2613" s="198"/>
      <c r="AB2613" s="170"/>
      <c r="AC2613" s="170"/>
      <c r="AD2613" s="121"/>
      <c r="AE2613" s="121"/>
      <c r="AF2613" s="121"/>
      <c r="AG2613" s="22"/>
      <c r="AH2613" s="22"/>
      <c r="AI2613" s="22"/>
      <c r="AJ2613" s="22"/>
      <c r="AK2613" s="22"/>
      <c r="AL2613" s="22"/>
      <c r="AM2613" s="22"/>
      <c r="AN2613" s="22"/>
      <c r="AO2613" s="22"/>
      <c r="AP2613" s="22"/>
    </row>
    <row r="2614">
      <c r="A2614" s="193"/>
      <c r="B2614" s="194"/>
      <c r="C2614" s="195"/>
      <c r="D2614" s="196"/>
      <c r="E2614" s="197"/>
      <c r="F2614" s="197"/>
      <c r="G2614" s="195"/>
      <c r="H2614" s="195"/>
      <c r="I2614" s="197"/>
      <c r="J2614" s="121"/>
      <c r="K2614" s="121"/>
      <c r="L2614" s="200"/>
      <c r="M2614" s="204"/>
      <c r="N2614" s="205"/>
      <c r="O2614" s="170"/>
      <c r="P2614" s="198"/>
      <c r="Q2614" s="199"/>
      <c r="R2614" s="200"/>
      <c r="S2614" s="170"/>
      <c r="T2614" s="170"/>
      <c r="U2614" s="201"/>
      <c r="V2614" s="198"/>
      <c r="W2614" s="170"/>
      <c r="X2614" s="202"/>
      <c r="Y2614" s="203"/>
      <c r="Z2614" s="170"/>
      <c r="AA2614" s="198"/>
      <c r="AB2614" s="170"/>
      <c r="AC2614" s="170"/>
      <c r="AD2614" s="121"/>
      <c r="AE2614" s="121"/>
      <c r="AF2614" s="121"/>
      <c r="AG2614" s="22"/>
      <c r="AH2614" s="22"/>
      <c r="AI2614" s="22"/>
      <c r="AJ2614" s="22"/>
      <c r="AK2614" s="22"/>
      <c r="AL2614" s="22"/>
      <c r="AM2614" s="22"/>
      <c r="AN2614" s="22"/>
      <c r="AO2614" s="22"/>
      <c r="AP2614" s="22"/>
    </row>
    <row r="2615">
      <c r="A2615" s="193"/>
      <c r="B2615" s="194"/>
      <c r="C2615" s="195"/>
      <c r="D2615" s="196"/>
      <c r="E2615" s="197"/>
      <c r="F2615" s="197"/>
      <c r="G2615" s="195"/>
      <c r="H2615" s="195"/>
      <c r="I2615" s="197"/>
      <c r="J2615" s="121"/>
      <c r="K2615" s="121"/>
      <c r="L2615" s="200"/>
      <c r="M2615" s="204"/>
      <c r="N2615" s="205"/>
      <c r="O2615" s="170"/>
      <c r="P2615" s="198"/>
      <c r="Q2615" s="199"/>
      <c r="R2615" s="200"/>
      <c r="S2615" s="170"/>
      <c r="T2615" s="170"/>
      <c r="U2615" s="201"/>
      <c r="V2615" s="198"/>
      <c r="W2615" s="170"/>
      <c r="X2615" s="202"/>
      <c r="Y2615" s="203"/>
      <c r="Z2615" s="170"/>
      <c r="AA2615" s="198"/>
      <c r="AB2615" s="170"/>
      <c r="AC2615" s="170"/>
      <c r="AD2615" s="121"/>
      <c r="AE2615" s="121"/>
      <c r="AF2615" s="121"/>
      <c r="AG2615" s="22"/>
      <c r="AH2615" s="22"/>
      <c r="AI2615" s="22"/>
      <c r="AJ2615" s="22"/>
      <c r="AK2615" s="22"/>
      <c r="AL2615" s="22"/>
      <c r="AM2615" s="22"/>
      <c r="AN2615" s="22"/>
      <c r="AO2615" s="22"/>
      <c r="AP2615" s="22"/>
    </row>
    <row r="2616">
      <c r="A2616" s="193"/>
      <c r="B2616" s="194"/>
      <c r="C2616" s="195"/>
      <c r="D2616" s="196"/>
      <c r="E2616" s="197"/>
      <c r="F2616" s="197"/>
      <c r="G2616" s="195"/>
      <c r="H2616" s="195"/>
      <c r="I2616" s="197"/>
      <c r="J2616" s="121"/>
      <c r="K2616" s="121"/>
      <c r="L2616" s="200"/>
      <c r="M2616" s="204"/>
      <c r="N2616" s="205"/>
      <c r="O2616" s="170"/>
      <c r="P2616" s="198"/>
      <c r="Q2616" s="199"/>
      <c r="R2616" s="200"/>
      <c r="S2616" s="170"/>
      <c r="T2616" s="170"/>
      <c r="U2616" s="201"/>
      <c r="V2616" s="198"/>
      <c r="W2616" s="170"/>
      <c r="X2616" s="202"/>
      <c r="Y2616" s="203"/>
      <c r="Z2616" s="170"/>
      <c r="AA2616" s="198"/>
      <c r="AB2616" s="170"/>
      <c r="AC2616" s="170"/>
      <c r="AD2616" s="121"/>
      <c r="AE2616" s="121"/>
      <c r="AF2616" s="121"/>
      <c r="AG2616" s="22"/>
      <c r="AH2616" s="22"/>
      <c r="AI2616" s="22"/>
      <c r="AJ2616" s="22"/>
      <c r="AK2616" s="22"/>
      <c r="AL2616" s="22"/>
      <c r="AM2616" s="22"/>
      <c r="AN2616" s="22"/>
      <c r="AO2616" s="22"/>
      <c r="AP2616" s="22"/>
    </row>
    <row r="2617">
      <c r="A2617" s="193"/>
      <c r="B2617" s="194"/>
      <c r="C2617" s="195"/>
      <c r="D2617" s="196"/>
      <c r="E2617" s="197"/>
      <c r="F2617" s="197"/>
      <c r="G2617" s="195"/>
      <c r="H2617" s="195"/>
      <c r="I2617" s="197"/>
      <c r="J2617" s="121"/>
      <c r="K2617" s="121"/>
      <c r="L2617" s="200"/>
      <c r="M2617" s="204"/>
      <c r="N2617" s="205"/>
      <c r="O2617" s="170"/>
      <c r="P2617" s="198"/>
      <c r="Q2617" s="199"/>
      <c r="R2617" s="200"/>
      <c r="S2617" s="170"/>
      <c r="T2617" s="170"/>
      <c r="U2617" s="201"/>
      <c r="V2617" s="198"/>
      <c r="W2617" s="170"/>
      <c r="X2617" s="202"/>
      <c r="Y2617" s="203"/>
      <c r="Z2617" s="170"/>
      <c r="AA2617" s="198"/>
      <c r="AB2617" s="170"/>
      <c r="AC2617" s="170"/>
      <c r="AD2617" s="121"/>
      <c r="AE2617" s="121"/>
      <c r="AF2617" s="121"/>
      <c r="AG2617" s="22"/>
      <c r="AH2617" s="22"/>
      <c r="AI2617" s="22"/>
      <c r="AJ2617" s="22"/>
      <c r="AK2617" s="22"/>
      <c r="AL2617" s="22"/>
      <c r="AM2617" s="22"/>
      <c r="AN2617" s="22"/>
      <c r="AO2617" s="22"/>
      <c r="AP2617" s="22"/>
    </row>
    <row r="2618">
      <c r="A2618" s="193"/>
      <c r="B2618" s="194"/>
      <c r="C2618" s="195"/>
      <c r="D2618" s="196"/>
      <c r="E2618" s="197"/>
      <c r="F2618" s="197"/>
      <c r="G2618" s="195"/>
      <c r="H2618" s="195"/>
      <c r="I2618" s="197"/>
      <c r="J2618" s="121"/>
      <c r="K2618" s="121"/>
      <c r="L2618" s="200"/>
      <c r="M2618" s="204"/>
      <c r="N2618" s="205"/>
      <c r="O2618" s="170"/>
      <c r="P2618" s="198"/>
      <c r="Q2618" s="199"/>
      <c r="R2618" s="200"/>
      <c r="S2618" s="170"/>
      <c r="T2618" s="170"/>
      <c r="U2618" s="201"/>
      <c r="V2618" s="198"/>
      <c r="W2618" s="170"/>
      <c r="X2618" s="202"/>
      <c r="Y2618" s="203"/>
      <c r="Z2618" s="170"/>
      <c r="AA2618" s="198"/>
      <c r="AB2618" s="170"/>
      <c r="AC2618" s="170"/>
      <c r="AD2618" s="121"/>
      <c r="AE2618" s="121"/>
      <c r="AF2618" s="121"/>
      <c r="AG2618" s="22"/>
      <c r="AH2618" s="22"/>
      <c r="AI2618" s="22"/>
      <c r="AJ2618" s="22"/>
      <c r="AK2618" s="22"/>
      <c r="AL2618" s="22"/>
      <c r="AM2618" s="22"/>
      <c r="AN2618" s="22"/>
      <c r="AO2618" s="22"/>
      <c r="AP2618" s="22"/>
    </row>
    <row r="2619">
      <c r="A2619" s="193"/>
      <c r="B2619" s="194"/>
      <c r="C2619" s="195"/>
      <c r="D2619" s="196"/>
      <c r="E2619" s="197"/>
      <c r="F2619" s="197"/>
      <c r="G2619" s="195"/>
      <c r="H2619" s="195"/>
      <c r="I2619" s="197"/>
      <c r="J2619" s="121"/>
      <c r="K2619" s="121"/>
      <c r="L2619" s="200"/>
      <c r="M2619" s="204"/>
      <c r="N2619" s="205"/>
      <c r="O2619" s="170"/>
      <c r="P2619" s="198"/>
      <c r="Q2619" s="199"/>
      <c r="R2619" s="200"/>
      <c r="S2619" s="170"/>
      <c r="T2619" s="170"/>
      <c r="U2619" s="201"/>
      <c r="V2619" s="198"/>
      <c r="W2619" s="170"/>
      <c r="X2619" s="202"/>
      <c r="Y2619" s="203"/>
      <c r="Z2619" s="170"/>
      <c r="AA2619" s="198"/>
      <c r="AB2619" s="170"/>
      <c r="AC2619" s="170"/>
      <c r="AD2619" s="121"/>
      <c r="AE2619" s="121"/>
      <c r="AF2619" s="121"/>
      <c r="AG2619" s="22"/>
      <c r="AH2619" s="22"/>
      <c r="AI2619" s="22"/>
      <c r="AJ2619" s="22"/>
      <c r="AK2619" s="22"/>
      <c r="AL2619" s="22"/>
      <c r="AM2619" s="22"/>
      <c r="AN2619" s="22"/>
      <c r="AO2619" s="22"/>
      <c r="AP2619" s="22"/>
    </row>
    <row r="2620">
      <c r="A2620" s="193"/>
      <c r="B2620" s="194"/>
      <c r="C2620" s="195"/>
      <c r="D2620" s="196"/>
      <c r="E2620" s="197"/>
      <c r="F2620" s="197"/>
      <c r="G2620" s="195"/>
      <c r="H2620" s="195"/>
      <c r="I2620" s="197"/>
      <c r="J2620" s="121"/>
      <c r="K2620" s="121"/>
      <c r="L2620" s="200"/>
      <c r="M2620" s="204"/>
      <c r="N2620" s="205"/>
      <c r="O2620" s="170"/>
      <c r="P2620" s="198"/>
      <c r="Q2620" s="199"/>
      <c r="R2620" s="200"/>
      <c r="S2620" s="170"/>
      <c r="T2620" s="170"/>
      <c r="U2620" s="201"/>
      <c r="V2620" s="198"/>
      <c r="W2620" s="170"/>
      <c r="X2620" s="202"/>
      <c r="Y2620" s="203"/>
      <c r="Z2620" s="170"/>
      <c r="AA2620" s="198"/>
      <c r="AB2620" s="170"/>
      <c r="AC2620" s="170"/>
      <c r="AD2620" s="121"/>
      <c r="AE2620" s="121"/>
      <c r="AF2620" s="121"/>
      <c r="AG2620" s="22"/>
      <c r="AH2620" s="22"/>
      <c r="AI2620" s="22"/>
      <c r="AJ2620" s="22"/>
      <c r="AK2620" s="22"/>
      <c r="AL2620" s="22"/>
      <c r="AM2620" s="22"/>
      <c r="AN2620" s="22"/>
      <c r="AO2620" s="22"/>
      <c r="AP2620" s="22"/>
    </row>
    <row r="2621">
      <c r="A2621" s="193"/>
      <c r="B2621" s="194"/>
      <c r="C2621" s="195"/>
      <c r="D2621" s="196"/>
      <c r="E2621" s="197"/>
      <c r="F2621" s="197"/>
      <c r="G2621" s="195"/>
      <c r="H2621" s="195"/>
      <c r="I2621" s="197"/>
      <c r="J2621" s="121"/>
      <c r="K2621" s="121"/>
      <c r="L2621" s="200"/>
      <c r="M2621" s="204"/>
      <c r="N2621" s="205"/>
      <c r="O2621" s="170"/>
      <c r="P2621" s="198"/>
      <c r="Q2621" s="199"/>
      <c r="R2621" s="200"/>
      <c r="S2621" s="170"/>
      <c r="T2621" s="170"/>
      <c r="U2621" s="201"/>
      <c r="V2621" s="198"/>
      <c r="W2621" s="170"/>
      <c r="X2621" s="202"/>
      <c r="Y2621" s="203"/>
      <c r="Z2621" s="170"/>
      <c r="AA2621" s="198"/>
      <c r="AB2621" s="170"/>
      <c r="AC2621" s="170"/>
      <c r="AD2621" s="121"/>
      <c r="AE2621" s="121"/>
      <c r="AF2621" s="121"/>
      <c r="AG2621" s="22"/>
      <c r="AH2621" s="22"/>
      <c r="AI2621" s="22"/>
      <c r="AJ2621" s="22"/>
      <c r="AK2621" s="22"/>
      <c r="AL2621" s="22"/>
      <c r="AM2621" s="22"/>
      <c r="AN2621" s="22"/>
      <c r="AO2621" s="22"/>
      <c r="AP2621" s="22"/>
    </row>
    <row r="2622">
      <c r="A2622" s="193"/>
      <c r="B2622" s="194"/>
      <c r="C2622" s="195"/>
      <c r="D2622" s="196"/>
      <c r="E2622" s="197"/>
      <c r="F2622" s="197"/>
      <c r="G2622" s="195"/>
      <c r="H2622" s="195"/>
      <c r="I2622" s="197"/>
      <c r="J2622" s="121"/>
      <c r="K2622" s="121"/>
      <c r="L2622" s="200"/>
      <c r="M2622" s="204"/>
      <c r="N2622" s="205"/>
      <c r="O2622" s="170"/>
      <c r="P2622" s="198"/>
      <c r="Q2622" s="199"/>
      <c r="R2622" s="200"/>
      <c r="S2622" s="170"/>
      <c r="T2622" s="170"/>
      <c r="U2622" s="201"/>
      <c r="V2622" s="198"/>
      <c r="W2622" s="170"/>
      <c r="X2622" s="202"/>
      <c r="Y2622" s="203"/>
      <c r="Z2622" s="170"/>
      <c r="AA2622" s="198"/>
      <c r="AB2622" s="170"/>
      <c r="AC2622" s="170"/>
      <c r="AD2622" s="121"/>
      <c r="AE2622" s="121"/>
      <c r="AF2622" s="121"/>
      <c r="AG2622" s="22"/>
      <c r="AH2622" s="22"/>
      <c r="AI2622" s="22"/>
      <c r="AJ2622" s="22"/>
      <c r="AK2622" s="22"/>
      <c r="AL2622" s="22"/>
      <c r="AM2622" s="22"/>
      <c r="AN2622" s="22"/>
      <c r="AO2622" s="22"/>
      <c r="AP2622" s="22"/>
    </row>
    <row r="2623">
      <c r="A2623" s="193"/>
      <c r="B2623" s="194"/>
      <c r="C2623" s="195"/>
      <c r="D2623" s="196"/>
      <c r="E2623" s="197"/>
      <c r="F2623" s="197"/>
      <c r="G2623" s="195"/>
      <c r="H2623" s="195"/>
      <c r="I2623" s="197"/>
      <c r="J2623" s="121"/>
      <c r="K2623" s="121"/>
      <c r="L2623" s="200"/>
      <c r="M2623" s="204"/>
      <c r="N2623" s="205"/>
      <c r="O2623" s="170"/>
      <c r="P2623" s="198"/>
      <c r="Q2623" s="199"/>
      <c r="R2623" s="200"/>
      <c r="S2623" s="170"/>
      <c r="T2623" s="170"/>
      <c r="U2623" s="201"/>
      <c r="V2623" s="198"/>
      <c r="W2623" s="170"/>
      <c r="X2623" s="202"/>
      <c r="Y2623" s="203"/>
      <c r="Z2623" s="170"/>
      <c r="AA2623" s="198"/>
      <c r="AB2623" s="170"/>
      <c r="AC2623" s="170"/>
      <c r="AD2623" s="121"/>
      <c r="AE2623" s="121"/>
      <c r="AF2623" s="121"/>
      <c r="AG2623" s="22"/>
      <c r="AH2623" s="22"/>
      <c r="AI2623" s="22"/>
      <c r="AJ2623" s="22"/>
      <c r="AK2623" s="22"/>
      <c r="AL2623" s="22"/>
      <c r="AM2623" s="22"/>
      <c r="AN2623" s="22"/>
      <c r="AO2623" s="22"/>
      <c r="AP2623" s="22"/>
    </row>
    <row r="2624">
      <c r="A2624" s="193"/>
      <c r="B2624" s="194"/>
      <c r="C2624" s="195"/>
      <c r="D2624" s="196"/>
      <c r="E2624" s="197"/>
      <c r="F2624" s="197"/>
      <c r="G2624" s="195"/>
      <c r="H2624" s="195"/>
      <c r="I2624" s="197"/>
      <c r="J2624" s="121"/>
      <c r="K2624" s="121"/>
      <c r="L2624" s="200"/>
      <c r="M2624" s="204"/>
      <c r="N2624" s="205"/>
      <c r="O2624" s="170"/>
      <c r="P2624" s="198"/>
      <c r="Q2624" s="199"/>
      <c r="R2624" s="200"/>
      <c r="S2624" s="170"/>
      <c r="T2624" s="170"/>
      <c r="U2624" s="201"/>
      <c r="V2624" s="198"/>
      <c r="W2624" s="170"/>
      <c r="X2624" s="202"/>
      <c r="Y2624" s="203"/>
      <c r="Z2624" s="170"/>
      <c r="AA2624" s="198"/>
      <c r="AB2624" s="170"/>
      <c r="AC2624" s="170"/>
      <c r="AD2624" s="121"/>
      <c r="AE2624" s="121"/>
      <c r="AF2624" s="121"/>
      <c r="AG2624" s="22"/>
      <c r="AH2624" s="22"/>
      <c r="AI2624" s="22"/>
      <c r="AJ2624" s="22"/>
      <c r="AK2624" s="22"/>
      <c r="AL2624" s="22"/>
      <c r="AM2624" s="22"/>
      <c r="AN2624" s="22"/>
      <c r="AO2624" s="22"/>
      <c r="AP2624" s="22"/>
    </row>
    <row r="2625">
      <c r="A2625" s="193"/>
      <c r="B2625" s="194"/>
      <c r="C2625" s="195"/>
      <c r="D2625" s="196"/>
      <c r="E2625" s="197"/>
      <c r="F2625" s="197"/>
      <c r="G2625" s="195"/>
      <c r="H2625" s="195"/>
      <c r="I2625" s="197"/>
      <c r="J2625" s="121"/>
      <c r="K2625" s="121"/>
      <c r="L2625" s="200"/>
      <c r="M2625" s="204"/>
      <c r="N2625" s="205"/>
      <c r="O2625" s="170"/>
      <c r="P2625" s="198"/>
      <c r="Q2625" s="199"/>
      <c r="R2625" s="200"/>
      <c r="S2625" s="170"/>
      <c r="T2625" s="170"/>
      <c r="U2625" s="201"/>
      <c r="V2625" s="198"/>
      <c r="W2625" s="170"/>
      <c r="X2625" s="202"/>
      <c r="Y2625" s="203"/>
      <c r="Z2625" s="170"/>
      <c r="AA2625" s="198"/>
      <c r="AB2625" s="170"/>
      <c r="AC2625" s="170"/>
      <c r="AD2625" s="121"/>
      <c r="AE2625" s="121"/>
      <c r="AF2625" s="121"/>
      <c r="AG2625" s="22"/>
      <c r="AH2625" s="22"/>
      <c r="AI2625" s="22"/>
      <c r="AJ2625" s="22"/>
      <c r="AK2625" s="22"/>
      <c r="AL2625" s="22"/>
      <c r="AM2625" s="22"/>
      <c r="AN2625" s="22"/>
      <c r="AO2625" s="22"/>
      <c r="AP2625" s="22"/>
    </row>
    <row r="2626">
      <c r="A2626" s="193"/>
      <c r="B2626" s="194"/>
      <c r="C2626" s="195"/>
      <c r="D2626" s="196"/>
      <c r="E2626" s="197"/>
      <c r="F2626" s="197"/>
      <c r="G2626" s="195"/>
      <c r="H2626" s="195"/>
      <c r="I2626" s="197"/>
      <c r="J2626" s="121"/>
      <c r="K2626" s="121"/>
      <c r="L2626" s="200"/>
      <c r="M2626" s="204"/>
      <c r="N2626" s="205"/>
      <c r="O2626" s="170"/>
      <c r="P2626" s="198"/>
      <c r="Q2626" s="199"/>
      <c r="R2626" s="200"/>
      <c r="S2626" s="170"/>
      <c r="T2626" s="170"/>
      <c r="U2626" s="201"/>
      <c r="V2626" s="198"/>
      <c r="W2626" s="170"/>
      <c r="X2626" s="202"/>
      <c r="Y2626" s="203"/>
      <c r="Z2626" s="170"/>
      <c r="AA2626" s="198"/>
      <c r="AB2626" s="170"/>
      <c r="AC2626" s="170"/>
      <c r="AD2626" s="121"/>
      <c r="AE2626" s="121"/>
      <c r="AF2626" s="121"/>
      <c r="AG2626" s="22"/>
      <c r="AH2626" s="22"/>
      <c r="AI2626" s="22"/>
      <c r="AJ2626" s="22"/>
      <c r="AK2626" s="22"/>
      <c r="AL2626" s="22"/>
      <c r="AM2626" s="22"/>
      <c r="AN2626" s="22"/>
      <c r="AO2626" s="22"/>
      <c r="AP2626" s="22"/>
    </row>
    <row r="2627">
      <c r="A2627" s="193"/>
      <c r="B2627" s="194"/>
      <c r="C2627" s="195"/>
      <c r="D2627" s="196"/>
      <c r="E2627" s="197"/>
      <c r="F2627" s="197"/>
      <c r="G2627" s="195"/>
      <c r="H2627" s="195"/>
      <c r="I2627" s="197"/>
      <c r="J2627" s="121"/>
      <c r="K2627" s="121"/>
      <c r="L2627" s="200"/>
      <c r="M2627" s="204"/>
      <c r="N2627" s="205"/>
      <c r="O2627" s="170"/>
      <c r="P2627" s="198"/>
      <c r="Q2627" s="199"/>
      <c r="R2627" s="200"/>
      <c r="S2627" s="170"/>
      <c r="T2627" s="170"/>
      <c r="U2627" s="201"/>
      <c r="V2627" s="198"/>
      <c r="W2627" s="170"/>
      <c r="X2627" s="202"/>
      <c r="Y2627" s="203"/>
      <c r="Z2627" s="170"/>
      <c r="AA2627" s="198"/>
      <c r="AB2627" s="170"/>
      <c r="AC2627" s="170"/>
      <c r="AD2627" s="121"/>
      <c r="AE2627" s="121"/>
      <c r="AF2627" s="121"/>
      <c r="AG2627" s="22"/>
      <c r="AH2627" s="22"/>
      <c r="AI2627" s="22"/>
      <c r="AJ2627" s="22"/>
      <c r="AK2627" s="22"/>
      <c r="AL2627" s="22"/>
      <c r="AM2627" s="22"/>
      <c r="AN2627" s="22"/>
      <c r="AO2627" s="22"/>
      <c r="AP2627" s="22"/>
    </row>
    <row r="2628">
      <c r="A2628" s="193"/>
      <c r="B2628" s="194"/>
      <c r="C2628" s="195"/>
      <c r="D2628" s="196"/>
      <c r="E2628" s="197"/>
      <c r="F2628" s="197"/>
      <c r="G2628" s="195"/>
      <c r="H2628" s="195"/>
      <c r="I2628" s="197"/>
      <c r="J2628" s="121"/>
      <c r="K2628" s="121"/>
      <c r="L2628" s="200"/>
      <c r="M2628" s="204"/>
      <c r="N2628" s="205"/>
      <c r="O2628" s="170"/>
      <c r="P2628" s="198"/>
      <c r="Q2628" s="199"/>
      <c r="R2628" s="200"/>
      <c r="S2628" s="170"/>
      <c r="T2628" s="170"/>
      <c r="U2628" s="201"/>
      <c r="V2628" s="198"/>
      <c r="W2628" s="170"/>
      <c r="X2628" s="202"/>
      <c r="Y2628" s="203"/>
      <c r="Z2628" s="170"/>
      <c r="AA2628" s="198"/>
      <c r="AB2628" s="170"/>
      <c r="AC2628" s="170"/>
      <c r="AD2628" s="121"/>
      <c r="AE2628" s="121"/>
      <c r="AF2628" s="121"/>
      <c r="AG2628" s="22"/>
      <c r="AH2628" s="22"/>
      <c r="AI2628" s="22"/>
      <c r="AJ2628" s="22"/>
      <c r="AK2628" s="22"/>
      <c r="AL2628" s="22"/>
      <c r="AM2628" s="22"/>
      <c r="AN2628" s="22"/>
      <c r="AO2628" s="22"/>
      <c r="AP2628" s="22"/>
    </row>
    <row r="2629">
      <c r="A2629" s="193"/>
      <c r="B2629" s="194"/>
      <c r="C2629" s="195"/>
      <c r="D2629" s="196"/>
      <c r="E2629" s="197"/>
      <c r="F2629" s="197"/>
      <c r="G2629" s="195"/>
      <c r="H2629" s="195"/>
      <c r="I2629" s="197"/>
      <c r="J2629" s="121"/>
      <c r="K2629" s="121"/>
      <c r="L2629" s="200"/>
      <c r="M2629" s="204"/>
      <c r="N2629" s="205"/>
      <c r="O2629" s="170"/>
      <c r="P2629" s="198"/>
      <c r="Q2629" s="199"/>
      <c r="R2629" s="200"/>
      <c r="S2629" s="170"/>
      <c r="T2629" s="170"/>
      <c r="U2629" s="201"/>
      <c r="V2629" s="198"/>
      <c r="W2629" s="170"/>
      <c r="X2629" s="202"/>
      <c r="Y2629" s="203"/>
      <c r="Z2629" s="170"/>
      <c r="AA2629" s="198"/>
      <c r="AB2629" s="170"/>
      <c r="AC2629" s="170"/>
      <c r="AD2629" s="121"/>
      <c r="AE2629" s="121"/>
      <c r="AF2629" s="121"/>
      <c r="AG2629" s="22"/>
      <c r="AH2629" s="22"/>
      <c r="AI2629" s="22"/>
      <c r="AJ2629" s="22"/>
      <c r="AK2629" s="22"/>
      <c r="AL2629" s="22"/>
      <c r="AM2629" s="22"/>
      <c r="AN2629" s="22"/>
      <c r="AO2629" s="22"/>
      <c r="AP2629" s="22"/>
    </row>
    <row r="2630">
      <c r="A2630" s="193"/>
      <c r="B2630" s="194"/>
      <c r="C2630" s="195"/>
      <c r="D2630" s="196"/>
      <c r="E2630" s="197"/>
      <c r="F2630" s="197"/>
      <c r="G2630" s="195"/>
      <c r="H2630" s="195"/>
      <c r="I2630" s="197"/>
      <c r="J2630" s="121"/>
      <c r="K2630" s="121"/>
      <c r="L2630" s="200"/>
      <c r="M2630" s="204"/>
      <c r="N2630" s="205"/>
      <c r="O2630" s="170"/>
      <c r="P2630" s="198"/>
      <c r="Q2630" s="199"/>
      <c r="R2630" s="200"/>
      <c r="S2630" s="170"/>
      <c r="T2630" s="170"/>
      <c r="U2630" s="201"/>
      <c r="V2630" s="198"/>
      <c r="W2630" s="170"/>
      <c r="X2630" s="202"/>
      <c r="Y2630" s="203"/>
      <c r="Z2630" s="170"/>
      <c r="AA2630" s="198"/>
      <c r="AB2630" s="170"/>
      <c r="AC2630" s="170"/>
      <c r="AD2630" s="121"/>
      <c r="AE2630" s="121"/>
      <c r="AF2630" s="121"/>
      <c r="AG2630" s="22"/>
      <c r="AH2630" s="22"/>
      <c r="AI2630" s="22"/>
      <c r="AJ2630" s="22"/>
      <c r="AK2630" s="22"/>
      <c r="AL2630" s="22"/>
      <c r="AM2630" s="22"/>
      <c r="AN2630" s="22"/>
      <c r="AO2630" s="22"/>
      <c r="AP2630" s="22"/>
    </row>
    <row r="2631">
      <c r="A2631" s="193"/>
      <c r="B2631" s="194"/>
      <c r="C2631" s="195"/>
      <c r="D2631" s="196"/>
      <c r="E2631" s="197"/>
      <c r="F2631" s="197"/>
      <c r="G2631" s="195"/>
      <c r="H2631" s="195"/>
      <c r="I2631" s="197"/>
      <c r="J2631" s="121"/>
      <c r="K2631" s="121"/>
      <c r="L2631" s="200"/>
      <c r="M2631" s="204"/>
      <c r="N2631" s="205"/>
      <c r="O2631" s="170"/>
      <c r="P2631" s="198"/>
      <c r="Q2631" s="199"/>
      <c r="R2631" s="200"/>
      <c r="S2631" s="170"/>
      <c r="T2631" s="170"/>
      <c r="U2631" s="201"/>
      <c r="V2631" s="198"/>
      <c r="W2631" s="170"/>
      <c r="X2631" s="202"/>
      <c r="Y2631" s="203"/>
      <c r="Z2631" s="170"/>
      <c r="AA2631" s="198"/>
      <c r="AB2631" s="170"/>
      <c r="AC2631" s="170"/>
      <c r="AD2631" s="121"/>
      <c r="AE2631" s="121"/>
      <c r="AF2631" s="121"/>
      <c r="AG2631" s="22"/>
      <c r="AH2631" s="22"/>
      <c r="AI2631" s="22"/>
      <c r="AJ2631" s="22"/>
      <c r="AK2631" s="22"/>
      <c r="AL2631" s="22"/>
      <c r="AM2631" s="22"/>
      <c r="AN2631" s="22"/>
      <c r="AO2631" s="22"/>
      <c r="AP2631" s="22"/>
    </row>
    <row r="2632">
      <c r="A2632" s="193"/>
      <c r="B2632" s="194"/>
      <c r="C2632" s="195"/>
      <c r="D2632" s="196"/>
      <c r="E2632" s="197"/>
      <c r="F2632" s="197"/>
      <c r="G2632" s="195"/>
      <c r="H2632" s="195"/>
      <c r="I2632" s="197"/>
      <c r="J2632" s="121"/>
      <c r="K2632" s="121"/>
      <c r="L2632" s="200"/>
      <c r="M2632" s="204"/>
      <c r="N2632" s="205"/>
      <c r="O2632" s="170"/>
      <c r="P2632" s="198"/>
      <c r="Q2632" s="199"/>
      <c r="R2632" s="200"/>
      <c r="S2632" s="170"/>
      <c r="T2632" s="170"/>
      <c r="U2632" s="201"/>
      <c r="V2632" s="198"/>
      <c r="W2632" s="170"/>
      <c r="X2632" s="202"/>
      <c r="Y2632" s="203"/>
      <c r="Z2632" s="170"/>
      <c r="AA2632" s="198"/>
      <c r="AB2632" s="170"/>
      <c r="AC2632" s="170"/>
      <c r="AD2632" s="121"/>
      <c r="AE2632" s="121"/>
      <c r="AF2632" s="121"/>
      <c r="AG2632" s="22"/>
      <c r="AH2632" s="22"/>
      <c r="AI2632" s="22"/>
      <c r="AJ2632" s="22"/>
      <c r="AK2632" s="22"/>
      <c r="AL2632" s="22"/>
      <c r="AM2632" s="22"/>
      <c r="AN2632" s="22"/>
      <c r="AO2632" s="22"/>
      <c r="AP2632" s="22"/>
    </row>
    <row r="2633">
      <c r="A2633" s="193"/>
      <c r="B2633" s="194"/>
      <c r="C2633" s="195"/>
      <c r="D2633" s="196"/>
      <c r="E2633" s="197"/>
      <c r="F2633" s="197"/>
      <c r="G2633" s="195"/>
      <c r="H2633" s="195"/>
      <c r="I2633" s="197"/>
      <c r="J2633" s="121"/>
      <c r="K2633" s="121"/>
      <c r="L2633" s="200"/>
      <c r="M2633" s="204"/>
      <c r="N2633" s="205"/>
      <c r="O2633" s="170"/>
      <c r="P2633" s="198"/>
      <c r="Q2633" s="199"/>
      <c r="R2633" s="200"/>
      <c r="S2633" s="170"/>
      <c r="T2633" s="170"/>
      <c r="U2633" s="201"/>
      <c r="V2633" s="198"/>
      <c r="W2633" s="170"/>
      <c r="X2633" s="202"/>
      <c r="Y2633" s="203"/>
      <c r="Z2633" s="170"/>
      <c r="AA2633" s="198"/>
      <c r="AB2633" s="170"/>
      <c r="AC2633" s="170"/>
      <c r="AD2633" s="121"/>
      <c r="AE2633" s="121"/>
      <c r="AF2633" s="121"/>
      <c r="AG2633" s="22"/>
      <c r="AH2633" s="22"/>
      <c r="AI2633" s="22"/>
      <c r="AJ2633" s="22"/>
      <c r="AK2633" s="22"/>
      <c r="AL2633" s="22"/>
      <c r="AM2633" s="22"/>
      <c r="AN2633" s="22"/>
      <c r="AO2633" s="22"/>
      <c r="AP2633" s="22"/>
    </row>
    <row r="2634">
      <c r="A2634" s="193"/>
      <c r="B2634" s="194"/>
      <c r="C2634" s="195"/>
      <c r="D2634" s="196"/>
      <c r="E2634" s="197"/>
      <c r="F2634" s="197"/>
      <c r="G2634" s="195"/>
      <c r="H2634" s="195"/>
      <c r="I2634" s="197"/>
      <c r="J2634" s="121"/>
      <c r="K2634" s="121"/>
      <c r="L2634" s="200"/>
      <c r="M2634" s="204"/>
      <c r="N2634" s="205"/>
      <c r="O2634" s="170"/>
      <c r="P2634" s="198"/>
      <c r="Q2634" s="199"/>
      <c r="R2634" s="200"/>
      <c r="S2634" s="170"/>
      <c r="T2634" s="170"/>
      <c r="U2634" s="201"/>
      <c r="V2634" s="198"/>
      <c r="W2634" s="170"/>
      <c r="X2634" s="202"/>
      <c r="Y2634" s="203"/>
      <c r="Z2634" s="170"/>
      <c r="AA2634" s="198"/>
      <c r="AB2634" s="170"/>
      <c r="AC2634" s="170"/>
      <c r="AD2634" s="121"/>
      <c r="AE2634" s="121"/>
      <c r="AF2634" s="121"/>
      <c r="AG2634" s="22"/>
      <c r="AH2634" s="22"/>
      <c r="AI2634" s="22"/>
      <c r="AJ2634" s="22"/>
      <c r="AK2634" s="22"/>
      <c r="AL2634" s="22"/>
      <c r="AM2634" s="22"/>
      <c r="AN2634" s="22"/>
      <c r="AO2634" s="22"/>
      <c r="AP2634" s="22"/>
    </row>
    <row r="2635">
      <c r="A2635" s="193"/>
      <c r="B2635" s="194"/>
      <c r="C2635" s="195"/>
      <c r="D2635" s="196"/>
      <c r="E2635" s="197"/>
      <c r="F2635" s="197"/>
      <c r="G2635" s="195"/>
      <c r="H2635" s="195"/>
      <c r="I2635" s="197"/>
      <c r="J2635" s="121"/>
      <c r="K2635" s="121"/>
      <c r="L2635" s="200"/>
      <c r="M2635" s="204"/>
      <c r="N2635" s="205"/>
      <c r="O2635" s="170"/>
      <c r="P2635" s="198"/>
      <c r="Q2635" s="199"/>
      <c r="R2635" s="200"/>
      <c r="S2635" s="170"/>
      <c r="T2635" s="170"/>
      <c r="U2635" s="201"/>
      <c r="V2635" s="198"/>
      <c r="W2635" s="170"/>
      <c r="X2635" s="202"/>
      <c r="Y2635" s="203"/>
      <c r="Z2635" s="170"/>
      <c r="AA2635" s="198"/>
      <c r="AB2635" s="170"/>
      <c r="AC2635" s="170"/>
      <c r="AD2635" s="121"/>
      <c r="AE2635" s="121"/>
      <c r="AF2635" s="121"/>
      <c r="AG2635" s="22"/>
      <c r="AH2635" s="22"/>
      <c r="AI2635" s="22"/>
      <c r="AJ2635" s="22"/>
      <c r="AK2635" s="22"/>
      <c r="AL2635" s="22"/>
      <c r="AM2635" s="22"/>
      <c r="AN2635" s="22"/>
      <c r="AO2635" s="22"/>
      <c r="AP2635" s="22"/>
    </row>
    <row r="2636">
      <c r="A2636" s="193"/>
      <c r="B2636" s="194"/>
      <c r="C2636" s="195"/>
      <c r="D2636" s="196"/>
      <c r="E2636" s="197"/>
      <c r="F2636" s="197"/>
      <c r="G2636" s="195"/>
      <c r="H2636" s="195"/>
      <c r="I2636" s="197"/>
      <c r="J2636" s="121"/>
      <c r="K2636" s="121"/>
      <c r="L2636" s="200"/>
      <c r="M2636" s="204"/>
      <c r="N2636" s="205"/>
      <c r="O2636" s="170"/>
      <c r="P2636" s="198"/>
      <c r="Q2636" s="199"/>
      <c r="R2636" s="200"/>
      <c r="S2636" s="170"/>
      <c r="T2636" s="170"/>
      <c r="U2636" s="201"/>
      <c r="V2636" s="198"/>
      <c r="W2636" s="170"/>
      <c r="X2636" s="202"/>
      <c r="Y2636" s="203"/>
      <c r="Z2636" s="170"/>
      <c r="AA2636" s="198"/>
      <c r="AB2636" s="170"/>
      <c r="AC2636" s="170"/>
      <c r="AD2636" s="121"/>
      <c r="AE2636" s="121"/>
      <c r="AF2636" s="121"/>
      <c r="AG2636" s="22"/>
      <c r="AH2636" s="22"/>
      <c r="AI2636" s="22"/>
      <c r="AJ2636" s="22"/>
      <c r="AK2636" s="22"/>
      <c r="AL2636" s="22"/>
      <c r="AM2636" s="22"/>
      <c r="AN2636" s="22"/>
      <c r="AO2636" s="22"/>
      <c r="AP2636" s="22"/>
    </row>
    <row r="2637">
      <c r="A2637" s="193"/>
      <c r="B2637" s="194"/>
      <c r="C2637" s="195"/>
      <c r="D2637" s="196"/>
      <c r="E2637" s="197"/>
      <c r="F2637" s="197"/>
      <c r="G2637" s="195"/>
      <c r="H2637" s="195"/>
      <c r="I2637" s="197"/>
      <c r="J2637" s="121"/>
      <c r="K2637" s="121"/>
      <c r="L2637" s="200"/>
      <c r="M2637" s="204"/>
      <c r="N2637" s="205"/>
      <c r="O2637" s="170"/>
      <c r="P2637" s="198"/>
      <c r="Q2637" s="199"/>
      <c r="R2637" s="200"/>
      <c r="S2637" s="170"/>
      <c r="T2637" s="170"/>
      <c r="U2637" s="201"/>
      <c r="V2637" s="198"/>
      <c r="W2637" s="170"/>
      <c r="X2637" s="202"/>
      <c r="Y2637" s="203"/>
      <c r="Z2637" s="170"/>
      <c r="AA2637" s="198"/>
      <c r="AB2637" s="170"/>
      <c r="AC2637" s="170"/>
      <c r="AD2637" s="121"/>
      <c r="AE2637" s="121"/>
      <c r="AF2637" s="121"/>
      <c r="AG2637" s="22"/>
      <c r="AH2637" s="22"/>
      <c r="AI2637" s="22"/>
      <c r="AJ2637" s="22"/>
      <c r="AK2637" s="22"/>
      <c r="AL2637" s="22"/>
      <c r="AM2637" s="22"/>
      <c r="AN2637" s="22"/>
      <c r="AO2637" s="22"/>
      <c r="AP2637" s="22"/>
    </row>
    <row r="2638">
      <c r="A2638" s="193"/>
      <c r="B2638" s="194"/>
      <c r="C2638" s="195"/>
      <c r="D2638" s="196"/>
      <c r="E2638" s="197"/>
      <c r="F2638" s="197"/>
      <c r="G2638" s="195"/>
      <c r="H2638" s="195"/>
      <c r="I2638" s="197"/>
      <c r="J2638" s="121"/>
      <c r="K2638" s="121"/>
      <c r="L2638" s="200"/>
      <c r="M2638" s="204"/>
      <c r="N2638" s="205"/>
      <c r="O2638" s="170"/>
      <c r="P2638" s="198"/>
      <c r="Q2638" s="199"/>
      <c r="R2638" s="200"/>
      <c r="S2638" s="170"/>
      <c r="T2638" s="170"/>
      <c r="U2638" s="201"/>
      <c r="V2638" s="198"/>
      <c r="W2638" s="170"/>
      <c r="X2638" s="202"/>
      <c r="Y2638" s="203"/>
      <c r="Z2638" s="170"/>
      <c r="AA2638" s="198"/>
      <c r="AB2638" s="170"/>
      <c r="AC2638" s="170"/>
      <c r="AD2638" s="121"/>
      <c r="AE2638" s="121"/>
      <c r="AF2638" s="121"/>
      <c r="AG2638" s="22"/>
      <c r="AH2638" s="22"/>
      <c r="AI2638" s="22"/>
      <c r="AJ2638" s="22"/>
      <c r="AK2638" s="22"/>
      <c r="AL2638" s="22"/>
      <c r="AM2638" s="22"/>
      <c r="AN2638" s="22"/>
      <c r="AO2638" s="22"/>
      <c r="AP2638" s="22"/>
    </row>
    <row r="2639">
      <c r="A2639" s="193"/>
      <c r="B2639" s="194"/>
      <c r="C2639" s="195"/>
      <c r="D2639" s="196"/>
      <c r="E2639" s="197"/>
      <c r="F2639" s="197"/>
      <c r="G2639" s="195"/>
      <c r="H2639" s="195"/>
      <c r="I2639" s="197"/>
      <c r="J2639" s="121"/>
      <c r="K2639" s="121"/>
      <c r="L2639" s="200"/>
      <c r="M2639" s="204"/>
      <c r="N2639" s="205"/>
      <c r="O2639" s="170"/>
      <c r="P2639" s="198"/>
      <c r="Q2639" s="199"/>
      <c r="R2639" s="200"/>
      <c r="S2639" s="170"/>
      <c r="T2639" s="170"/>
      <c r="U2639" s="201"/>
      <c r="V2639" s="198"/>
      <c r="W2639" s="170"/>
      <c r="X2639" s="202"/>
      <c r="Y2639" s="203"/>
      <c r="Z2639" s="170"/>
      <c r="AA2639" s="198"/>
      <c r="AB2639" s="170"/>
      <c r="AC2639" s="170"/>
      <c r="AD2639" s="121"/>
      <c r="AE2639" s="121"/>
      <c r="AF2639" s="121"/>
      <c r="AG2639" s="22"/>
      <c r="AH2639" s="22"/>
      <c r="AI2639" s="22"/>
      <c r="AJ2639" s="22"/>
      <c r="AK2639" s="22"/>
      <c r="AL2639" s="22"/>
      <c r="AM2639" s="22"/>
      <c r="AN2639" s="22"/>
      <c r="AO2639" s="22"/>
      <c r="AP2639" s="22"/>
    </row>
    <row r="2640">
      <c r="A2640" s="193"/>
      <c r="B2640" s="194"/>
      <c r="C2640" s="195"/>
      <c r="D2640" s="196"/>
      <c r="E2640" s="197"/>
      <c r="F2640" s="197"/>
      <c r="G2640" s="195"/>
      <c r="H2640" s="195"/>
      <c r="I2640" s="197"/>
      <c r="J2640" s="121"/>
      <c r="K2640" s="121"/>
      <c r="L2640" s="200"/>
      <c r="M2640" s="204"/>
      <c r="N2640" s="205"/>
      <c r="O2640" s="170"/>
      <c r="P2640" s="198"/>
      <c r="Q2640" s="199"/>
      <c r="R2640" s="200"/>
      <c r="S2640" s="170"/>
      <c r="T2640" s="170"/>
      <c r="U2640" s="201"/>
      <c r="V2640" s="198"/>
      <c r="W2640" s="170"/>
      <c r="X2640" s="202"/>
      <c r="Y2640" s="203"/>
      <c r="Z2640" s="170"/>
      <c r="AA2640" s="198"/>
      <c r="AB2640" s="170"/>
      <c r="AC2640" s="170"/>
      <c r="AD2640" s="121"/>
      <c r="AE2640" s="121"/>
      <c r="AF2640" s="121"/>
      <c r="AG2640" s="22"/>
      <c r="AH2640" s="22"/>
      <c r="AI2640" s="22"/>
      <c r="AJ2640" s="22"/>
      <c r="AK2640" s="22"/>
      <c r="AL2640" s="22"/>
      <c r="AM2640" s="22"/>
      <c r="AN2640" s="22"/>
      <c r="AO2640" s="22"/>
      <c r="AP2640" s="22"/>
    </row>
    <row r="2641">
      <c r="A2641" s="193"/>
      <c r="B2641" s="194"/>
      <c r="C2641" s="195"/>
      <c r="D2641" s="196"/>
      <c r="E2641" s="197"/>
      <c r="F2641" s="197"/>
      <c r="G2641" s="195"/>
      <c r="H2641" s="195"/>
      <c r="I2641" s="197"/>
      <c r="J2641" s="121"/>
      <c r="K2641" s="121"/>
      <c r="L2641" s="200"/>
      <c r="M2641" s="204"/>
      <c r="N2641" s="205"/>
      <c r="O2641" s="170"/>
      <c r="P2641" s="198"/>
      <c r="Q2641" s="199"/>
      <c r="R2641" s="200"/>
      <c r="S2641" s="170"/>
      <c r="T2641" s="170"/>
      <c r="U2641" s="201"/>
      <c r="V2641" s="198"/>
      <c r="W2641" s="170"/>
      <c r="X2641" s="202"/>
      <c r="Y2641" s="203"/>
      <c r="Z2641" s="170"/>
      <c r="AA2641" s="198"/>
      <c r="AB2641" s="170"/>
      <c r="AC2641" s="170"/>
      <c r="AD2641" s="121"/>
      <c r="AE2641" s="121"/>
      <c r="AF2641" s="121"/>
      <c r="AG2641" s="22"/>
      <c r="AH2641" s="22"/>
      <c r="AI2641" s="22"/>
      <c r="AJ2641" s="22"/>
      <c r="AK2641" s="22"/>
      <c r="AL2641" s="22"/>
      <c r="AM2641" s="22"/>
      <c r="AN2641" s="22"/>
      <c r="AO2641" s="22"/>
      <c r="AP2641" s="22"/>
    </row>
    <row r="2642">
      <c r="A2642" s="193"/>
      <c r="B2642" s="194"/>
      <c r="C2642" s="195"/>
      <c r="D2642" s="196"/>
      <c r="E2642" s="197"/>
      <c r="F2642" s="197"/>
      <c r="G2642" s="195"/>
      <c r="H2642" s="195"/>
      <c r="I2642" s="197"/>
      <c r="J2642" s="121"/>
      <c r="K2642" s="121"/>
      <c r="L2642" s="200"/>
      <c r="M2642" s="204"/>
      <c r="N2642" s="205"/>
      <c r="O2642" s="170"/>
      <c r="P2642" s="198"/>
      <c r="Q2642" s="199"/>
      <c r="R2642" s="200"/>
      <c r="S2642" s="170"/>
      <c r="T2642" s="170"/>
      <c r="U2642" s="201"/>
      <c r="V2642" s="198"/>
      <c r="W2642" s="170"/>
      <c r="X2642" s="202"/>
      <c r="Y2642" s="203"/>
      <c r="Z2642" s="170"/>
      <c r="AA2642" s="198"/>
      <c r="AB2642" s="170"/>
      <c r="AC2642" s="170"/>
      <c r="AD2642" s="121"/>
      <c r="AE2642" s="121"/>
      <c r="AF2642" s="121"/>
      <c r="AG2642" s="22"/>
      <c r="AH2642" s="22"/>
      <c r="AI2642" s="22"/>
      <c r="AJ2642" s="22"/>
      <c r="AK2642" s="22"/>
      <c r="AL2642" s="22"/>
      <c r="AM2642" s="22"/>
      <c r="AN2642" s="22"/>
      <c r="AO2642" s="22"/>
      <c r="AP2642" s="22"/>
    </row>
    <row r="2643">
      <c r="A2643" s="193"/>
      <c r="B2643" s="194"/>
      <c r="C2643" s="195"/>
      <c r="D2643" s="196"/>
      <c r="E2643" s="197"/>
      <c r="F2643" s="197"/>
      <c r="G2643" s="195"/>
      <c r="H2643" s="195"/>
      <c r="I2643" s="197"/>
      <c r="J2643" s="121"/>
      <c r="K2643" s="121"/>
      <c r="L2643" s="200"/>
      <c r="M2643" s="204"/>
      <c r="N2643" s="205"/>
      <c r="O2643" s="170"/>
      <c r="P2643" s="198"/>
      <c r="Q2643" s="199"/>
      <c r="R2643" s="200"/>
      <c r="S2643" s="170"/>
      <c r="T2643" s="170"/>
      <c r="U2643" s="201"/>
      <c r="V2643" s="198"/>
      <c r="W2643" s="170"/>
      <c r="X2643" s="202"/>
      <c r="Y2643" s="203"/>
      <c r="Z2643" s="170"/>
      <c r="AA2643" s="198"/>
      <c r="AB2643" s="170"/>
      <c r="AC2643" s="170"/>
      <c r="AD2643" s="121"/>
      <c r="AE2643" s="121"/>
      <c r="AF2643" s="121"/>
      <c r="AG2643" s="22"/>
      <c r="AH2643" s="22"/>
      <c r="AI2643" s="22"/>
      <c r="AJ2643" s="22"/>
      <c r="AK2643" s="22"/>
      <c r="AL2643" s="22"/>
      <c r="AM2643" s="22"/>
      <c r="AN2643" s="22"/>
      <c r="AO2643" s="22"/>
      <c r="AP2643" s="22"/>
    </row>
    <row r="2644">
      <c r="A2644" s="193"/>
      <c r="B2644" s="194"/>
      <c r="C2644" s="195"/>
      <c r="D2644" s="196"/>
      <c r="E2644" s="197"/>
      <c r="F2644" s="197"/>
      <c r="G2644" s="195"/>
      <c r="H2644" s="195"/>
      <c r="I2644" s="197"/>
      <c r="J2644" s="121"/>
      <c r="K2644" s="121"/>
      <c r="L2644" s="200"/>
      <c r="M2644" s="204"/>
      <c r="N2644" s="205"/>
      <c r="O2644" s="170"/>
      <c r="P2644" s="198"/>
      <c r="Q2644" s="199"/>
      <c r="R2644" s="200"/>
      <c r="S2644" s="170"/>
      <c r="T2644" s="170"/>
      <c r="U2644" s="201"/>
      <c r="V2644" s="198"/>
      <c r="W2644" s="170"/>
      <c r="X2644" s="202"/>
      <c r="Y2644" s="203"/>
      <c r="Z2644" s="170"/>
      <c r="AA2644" s="198"/>
      <c r="AB2644" s="170"/>
      <c r="AC2644" s="170"/>
      <c r="AD2644" s="121"/>
      <c r="AE2644" s="121"/>
      <c r="AF2644" s="121"/>
      <c r="AG2644" s="22"/>
      <c r="AH2644" s="22"/>
      <c r="AI2644" s="22"/>
      <c r="AJ2644" s="22"/>
      <c r="AK2644" s="22"/>
      <c r="AL2644" s="22"/>
      <c r="AM2644" s="22"/>
      <c r="AN2644" s="22"/>
      <c r="AO2644" s="22"/>
      <c r="AP2644" s="22"/>
    </row>
    <row r="2645">
      <c r="A2645" s="193"/>
      <c r="B2645" s="194"/>
      <c r="C2645" s="195"/>
      <c r="D2645" s="196"/>
      <c r="E2645" s="197"/>
      <c r="F2645" s="197"/>
      <c r="G2645" s="195"/>
      <c r="H2645" s="195"/>
      <c r="I2645" s="197"/>
      <c r="J2645" s="121"/>
      <c r="K2645" s="121"/>
      <c r="L2645" s="200"/>
      <c r="M2645" s="204"/>
      <c r="N2645" s="205"/>
      <c r="O2645" s="170"/>
      <c r="P2645" s="198"/>
      <c r="Q2645" s="199"/>
      <c r="R2645" s="200"/>
      <c r="S2645" s="170"/>
      <c r="T2645" s="170"/>
      <c r="U2645" s="201"/>
      <c r="V2645" s="198"/>
      <c r="W2645" s="170"/>
      <c r="X2645" s="202"/>
      <c r="Y2645" s="203"/>
      <c r="Z2645" s="170"/>
      <c r="AA2645" s="198"/>
      <c r="AB2645" s="170"/>
      <c r="AC2645" s="170"/>
      <c r="AD2645" s="121"/>
      <c r="AE2645" s="121"/>
      <c r="AF2645" s="121"/>
      <c r="AG2645" s="22"/>
      <c r="AH2645" s="22"/>
      <c r="AI2645" s="22"/>
      <c r="AJ2645" s="22"/>
      <c r="AK2645" s="22"/>
      <c r="AL2645" s="22"/>
      <c r="AM2645" s="22"/>
      <c r="AN2645" s="22"/>
      <c r="AO2645" s="22"/>
      <c r="AP2645" s="22"/>
    </row>
    <row r="2646">
      <c r="A2646" s="193"/>
      <c r="B2646" s="194"/>
      <c r="C2646" s="195"/>
      <c r="D2646" s="196"/>
      <c r="E2646" s="197"/>
      <c r="F2646" s="197"/>
      <c r="G2646" s="195"/>
      <c r="H2646" s="195"/>
      <c r="I2646" s="197"/>
      <c r="J2646" s="121"/>
      <c r="K2646" s="121"/>
      <c r="L2646" s="200"/>
      <c r="M2646" s="204"/>
      <c r="N2646" s="205"/>
      <c r="O2646" s="170"/>
      <c r="P2646" s="198"/>
      <c r="Q2646" s="199"/>
      <c r="R2646" s="200"/>
      <c r="S2646" s="170"/>
      <c r="T2646" s="170"/>
      <c r="U2646" s="201"/>
      <c r="V2646" s="198"/>
      <c r="W2646" s="170"/>
      <c r="X2646" s="202"/>
      <c r="Y2646" s="203"/>
      <c r="Z2646" s="170"/>
      <c r="AA2646" s="198"/>
      <c r="AB2646" s="170"/>
      <c r="AC2646" s="170"/>
      <c r="AD2646" s="121"/>
      <c r="AE2646" s="121"/>
      <c r="AF2646" s="121"/>
      <c r="AG2646" s="22"/>
      <c r="AH2646" s="22"/>
      <c r="AI2646" s="22"/>
      <c r="AJ2646" s="22"/>
      <c r="AK2646" s="22"/>
      <c r="AL2646" s="22"/>
      <c r="AM2646" s="22"/>
      <c r="AN2646" s="22"/>
      <c r="AO2646" s="22"/>
      <c r="AP2646" s="22"/>
    </row>
    <row r="2647">
      <c r="A2647" s="193"/>
      <c r="B2647" s="194"/>
      <c r="C2647" s="195"/>
      <c r="D2647" s="196"/>
      <c r="E2647" s="197"/>
      <c r="F2647" s="197"/>
      <c r="G2647" s="195"/>
      <c r="H2647" s="195"/>
      <c r="I2647" s="197"/>
      <c r="J2647" s="121"/>
      <c r="K2647" s="121"/>
      <c r="L2647" s="200"/>
      <c r="M2647" s="204"/>
      <c r="N2647" s="205"/>
      <c r="O2647" s="170"/>
      <c r="P2647" s="198"/>
      <c r="Q2647" s="199"/>
      <c r="R2647" s="200"/>
      <c r="S2647" s="170"/>
      <c r="T2647" s="170"/>
      <c r="U2647" s="201"/>
      <c r="V2647" s="198"/>
      <c r="W2647" s="170"/>
      <c r="X2647" s="202"/>
      <c r="Y2647" s="203"/>
      <c r="Z2647" s="170"/>
      <c r="AA2647" s="198"/>
      <c r="AB2647" s="170"/>
      <c r="AC2647" s="170"/>
      <c r="AD2647" s="121"/>
      <c r="AE2647" s="121"/>
      <c r="AF2647" s="121"/>
      <c r="AG2647" s="22"/>
      <c r="AH2647" s="22"/>
      <c r="AI2647" s="22"/>
      <c r="AJ2647" s="22"/>
      <c r="AK2647" s="22"/>
      <c r="AL2647" s="22"/>
      <c r="AM2647" s="22"/>
      <c r="AN2647" s="22"/>
      <c r="AO2647" s="22"/>
      <c r="AP2647" s="22"/>
    </row>
    <row r="2648">
      <c r="A2648" s="193"/>
      <c r="B2648" s="194"/>
      <c r="C2648" s="195"/>
      <c r="D2648" s="196"/>
      <c r="E2648" s="197"/>
      <c r="F2648" s="197"/>
      <c r="G2648" s="195"/>
      <c r="H2648" s="195"/>
      <c r="I2648" s="197"/>
      <c r="J2648" s="121"/>
      <c r="K2648" s="121"/>
      <c r="L2648" s="200"/>
      <c r="M2648" s="204"/>
      <c r="N2648" s="205"/>
      <c r="O2648" s="170"/>
      <c r="P2648" s="198"/>
      <c r="Q2648" s="199"/>
      <c r="R2648" s="200"/>
      <c r="S2648" s="170"/>
      <c r="T2648" s="170"/>
      <c r="U2648" s="201"/>
      <c r="V2648" s="198"/>
      <c r="W2648" s="170"/>
      <c r="X2648" s="202"/>
      <c r="Y2648" s="203"/>
      <c r="Z2648" s="170"/>
      <c r="AA2648" s="198"/>
      <c r="AB2648" s="170"/>
      <c r="AC2648" s="170"/>
      <c r="AD2648" s="121"/>
      <c r="AE2648" s="121"/>
      <c r="AF2648" s="121"/>
      <c r="AG2648" s="22"/>
      <c r="AH2648" s="22"/>
      <c r="AI2648" s="22"/>
      <c r="AJ2648" s="22"/>
      <c r="AK2648" s="22"/>
      <c r="AL2648" s="22"/>
      <c r="AM2648" s="22"/>
      <c r="AN2648" s="22"/>
      <c r="AO2648" s="22"/>
      <c r="AP2648" s="22"/>
    </row>
    <row r="2649">
      <c r="A2649" s="193"/>
      <c r="B2649" s="194"/>
      <c r="C2649" s="195"/>
      <c r="D2649" s="196"/>
      <c r="E2649" s="197"/>
      <c r="F2649" s="197"/>
      <c r="G2649" s="195"/>
      <c r="H2649" s="195"/>
      <c r="I2649" s="197"/>
      <c r="J2649" s="121"/>
      <c r="K2649" s="121"/>
      <c r="L2649" s="200"/>
      <c r="M2649" s="204"/>
      <c r="N2649" s="205"/>
      <c r="O2649" s="170"/>
      <c r="P2649" s="198"/>
      <c r="Q2649" s="199"/>
      <c r="R2649" s="200"/>
      <c r="S2649" s="170"/>
      <c r="T2649" s="170"/>
      <c r="U2649" s="201"/>
      <c r="V2649" s="198"/>
      <c r="W2649" s="170"/>
      <c r="X2649" s="202"/>
      <c r="Y2649" s="203"/>
      <c r="Z2649" s="170"/>
      <c r="AA2649" s="198"/>
      <c r="AB2649" s="170"/>
      <c r="AC2649" s="170"/>
      <c r="AD2649" s="121"/>
      <c r="AE2649" s="121"/>
      <c r="AF2649" s="121"/>
      <c r="AG2649" s="22"/>
      <c r="AH2649" s="22"/>
      <c r="AI2649" s="22"/>
      <c r="AJ2649" s="22"/>
      <c r="AK2649" s="22"/>
      <c r="AL2649" s="22"/>
      <c r="AM2649" s="22"/>
      <c r="AN2649" s="22"/>
      <c r="AO2649" s="22"/>
      <c r="AP2649" s="22"/>
    </row>
    <row r="2650">
      <c r="A2650" s="193"/>
      <c r="B2650" s="194"/>
      <c r="C2650" s="195"/>
      <c r="D2650" s="196"/>
      <c r="E2650" s="197"/>
      <c r="F2650" s="197"/>
      <c r="G2650" s="195"/>
      <c r="H2650" s="195"/>
      <c r="I2650" s="197"/>
      <c r="J2650" s="121"/>
      <c r="K2650" s="121"/>
      <c r="L2650" s="200"/>
      <c r="M2650" s="204"/>
      <c r="N2650" s="205"/>
      <c r="O2650" s="170"/>
      <c r="P2650" s="198"/>
      <c r="Q2650" s="199"/>
      <c r="R2650" s="200"/>
      <c r="S2650" s="170"/>
      <c r="T2650" s="170"/>
      <c r="U2650" s="201"/>
      <c r="V2650" s="198"/>
      <c r="W2650" s="170"/>
      <c r="X2650" s="202"/>
      <c r="Y2650" s="203"/>
      <c r="Z2650" s="170"/>
      <c r="AA2650" s="198"/>
      <c r="AB2650" s="170"/>
      <c r="AC2650" s="170"/>
      <c r="AD2650" s="121"/>
      <c r="AE2650" s="121"/>
      <c r="AF2650" s="121"/>
      <c r="AG2650" s="22"/>
      <c r="AH2650" s="22"/>
      <c r="AI2650" s="22"/>
      <c r="AJ2650" s="22"/>
      <c r="AK2650" s="22"/>
      <c r="AL2650" s="22"/>
      <c r="AM2650" s="22"/>
      <c r="AN2650" s="22"/>
      <c r="AO2650" s="22"/>
      <c r="AP2650" s="22"/>
    </row>
    <row r="2651">
      <c r="A2651" s="193"/>
      <c r="B2651" s="194"/>
      <c r="C2651" s="195"/>
      <c r="D2651" s="196"/>
      <c r="E2651" s="197"/>
      <c r="F2651" s="197"/>
      <c r="G2651" s="195"/>
      <c r="H2651" s="195"/>
      <c r="I2651" s="197"/>
      <c r="J2651" s="121"/>
      <c r="K2651" s="121"/>
      <c r="L2651" s="200"/>
      <c r="M2651" s="204"/>
      <c r="N2651" s="205"/>
      <c r="O2651" s="170"/>
      <c r="P2651" s="198"/>
      <c r="Q2651" s="199"/>
      <c r="R2651" s="200"/>
      <c r="S2651" s="170"/>
      <c r="T2651" s="170"/>
      <c r="U2651" s="201"/>
      <c r="V2651" s="198"/>
      <c r="W2651" s="170"/>
      <c r="X2651" s="202"/>
      <c r="Y2651" s="203"/>
      <c r="Z2651" s="170"/>
      <c r="AA2651" s="198"/>
      <c r="AB2651" s="170"/>
      <c r="AC2651" s="170"/>
      <c r="AD2651" s="121"/>
      <c r="AE2651" s="121"/>
      <c r="AF2651" s="121"/>
      <c r="AG2651" s="22"/>
      <c r="AH2651" s="22"/>
      <c r="AI2651" s="22"/>
      <c r="AJ2651" s="22"/>
      <c r="AK2651" s="22"/>
      <c r="AL2651" s="22"/>
      <c r="AM2651" s="22"/>
      <c r="AN2651" s="22"/>
      <c r="AO2651" s="22"/>
      <c r="AP2651" s="22"/>
    </row>
    <row r="2652">
      <c r="A2652" s="193"/>
      <c r="B2652" s="194"/>
      <c r="C2652" s="195"/>
      <c r="D2652" s="196"/>
      <c r="E2652" s="197"/>
      <c r="F2652" s="197"/>
      <c r="G2652" s="195"/>
      <c r="H2652" s="195"/>
      <c r="I2652" s="197"/>
      <c r="J2652" s="121"/>
      <c r="K2652" s="121"/>
      <c r="L2652" s="200"/>
      <c r="M2652" s="204"/>
      <c r="N2652" s="205"/>
      <c r="O2652" s="170"/>
      <c r="P2652" s="198"/>
      <c r="Q2652" s="199"/>
      <c r="R2652" s="200"/>
      <c r="S2652" s="170"/>
      <c r="T2652" s="170"/>
      <c r="U2652" s="201"/>
      <c r="V2652" s="198"/>
      <c r="W2652" s="170"/>
      <c r="X2652" s="202"/>
      <c r="Y2652" s="203"/>
      <c r="Z2652" s="170"/>
      <c r="AA2652" s="198"/>
      <c r="AB2652" s="170"/>
      <c r="AC2652" s="170"/>
      <c r="AD2652" s="121"/>
      <c r="AE2652" s="121"/>
      <c r="AF2652" s="121"/>
      <c r="AG2652" s="22"/>
      <c r="AH2652" s="22"/>
      <c r="AI2652" s="22"/>
      <c r="AJ2652" s="22"/>
      <c r="AK2652" s="22"/>
      <c r="AL2652" s="22"/>
      <c r="AM2652" s="22"/>
      <c r="AN2652" s="22"/>
      <c r="AO2652" s="22"/>
      <c r="AP2652" s="22"/>
    </row>
    <row r="2653">
      <c r="A2653" s="193"/>
      <c r="B2653" s="194"/>
      <c r="C2653" s="195"/>
      <c r="D2653" s="196"/>
      <c r="E2653" s="197"/>
      <c r="F2653" s="197"/>
      <c r="G2653" s="195"/>
      <c r="H2653" s="195"/>
      <c r="I2653" s="197"/>
      <c r="J2653" s="121"/>
      <c r="K2653" s="121"/>
      <c r="L2653" s="200"/>
      <c r="M2653" s="204"/>
      <c r="N2653" s="205"/>
      <c r="O2653" s="170"/>
      <c r="P2653" s="198"/>
      <c r="Q2653" s="199"/>
      <c r="R2653" s="200"/>
      <c r="S2653" s="170"/>
      <c r="T2653" s="170"/>
      <c r="U2653" s="201"/>
      <c r="V2653" s="198"/>
      <c r="W2653" s="170"/>
      <c r="X2653" s="202"/>
      <c r="Y2653" s="203"/>
      <c r="Z2653" s="170"/>
      <c r="AA2653" s="198"/>
      <c r="AB2653" s="170"/>
      <c r="AC2653" s="170"/>
      <c r="AD2653" s="121"/>
      <c r="AE2653" s="121"/>
      <c r="AF2653" s="121"/>
      <c r="AG2653" s="22"/>
      <c r="AH2653" s="22"/>
      <c r="AI2653" s="22"/>
      <c r="AJ2653" s="22"/>
      <c r="AK2653" s="22"/>
      <c r="AL2653" s="22"/>
      <c r="AM2653" s="22"/>
      <c r="AN2653" s="22"/>
      <c r="AO2653" s="22"/>
      <c r="AP2653" s="22"/>
    </row>
    <row r="2654">
      <c r="A2654" s="193"/>
      <c r="B2654" s="194"/>
      <c r="C2654" s="195"/>
      <c r="D2654" s="196"/>
      <c r="E2654" s="197"/>
      <c r="F2654" s="197"/>
      <c r="G2654" s="195"/>
      <c r="H2654" s="195"/>
      <c r="I2654" s="197"/>
      <c r="J2654" s="121"/>
      <c r="K2654" s="121"/>
      <c r="L2654" s="200"/>
      <c r="M2654" s="204"/>
      <c r="N2654" s="205"/>
      <c r="O2654" s="170"/>
      <c r="P2654" s="198"/>
      <c r="Q2654" s="199"/>
      <c r="R2654" s="200"/>
      <c r="S2654" s="170"/>
      <c r="T2654" s="170"/>
      <c r="U2654" s="201"/>
      <c r="V2654" s="198"/>
      <c r="W2654" s="170"/>
      <c r="X2654" s="202"/>
      <c r="Y2654" s="203"/>
      <c r="Z2654" s="170"/>
      <c r="AA2654" s="198"/>
      <c r="AB2654" s="170"/>
      <c r="AC2654" s="170"/>
      <c r="AD2654" s="121"/>
      <c r="AE2654" s="121"/>
      <c r="AF2654" s="121"/>
      <c r="AG2654" s="22"/>
      <c r="AH2654" s="22"/>
      <c r="AI2654" s="22"/>
      <c r="AJ2654" s="22"/>
      <c r="AK2654" s="22"/>
      <c r="AL2654" s="22"/>
      <c r="AM2654" s="22"/>
      <c r="AN2654" s="22"/>
      <c r="AO2654" s="22"/>
      <c r="AP2654" s="22"/>
    </row>
    <row r="2655">
      <c r="A2655" s="193"/>
      <c r="B2655" s="194"/>
      <c r="C2655" s="195"/>
      <c r="D2655" s="196"/>
      <c r="E2655" s="197"/>
      <c r="F2655" s="197"/>
      <c r="G2655" s="195"/>
      <c r="H2655" s="195"/>
      <c r="I2655" s="197"/>
      <c r="J2655" s="121"/>
      <c r="K2655" s="121"/>
      <c r="L2655" s="200"/>
      <c r="M2655" s="204"/>
      <c r="N2655" s="205"/>
      <c r="O2655" s="170"/>
      <c r="P2655" s="198"/>
      <c r="Q2655" s="199"/>
      <c r="R2655" s="200"/>
      <c r="S2655" s="170"/>
      <c r="T2655" s="170"/>
      <c r="U2655" s="201"/>
      <c r="V2655" s="198"/>
      <c r="W2655" s="170"/>
      <c r="X2655" s="202"/>
      <c r="Y2655" s="203"/>
      <c r="Z2655" s="170"/>
      <c r="AA2655" s="198"/>
      <c r="AB2655" s="170"/>
      <c r="AC2655" s="170"/>
      <c r="AD2655" s="121"/>
      <c r="AE2655" s="121"/>
      <c r="AF2655" s="121"/>
      <c r="AG2655" s="22"/>
      <c r="AH2655" s="22"/>
      <c r="AI2655" s="22"/>
      <c r="AJ2655" s="22"/>
      <c r="AK2655" s="22"/>
      <c r="AL2655" s="22"/>
      <c r="AM2655" s="22"/>
      <c r="AN2655" s="22"/>
      <c r="AO2655" s="22"/>
      <c r="AP2655" s="22"/>
    </row>
    <row r="2656">
      <c r="A2656" s="193"/>
      <c r="B2656" s="194"/>
      <c r="C2656" s="195"/>
      <c r="D2656" s="196"/>
      <c r="E2656" s="197"/>
      <c r="F2656" s="197"/>
      <c r="G2656" s="195"/>
      <c r="H2656" s="195"/>
      <c r="I2656" s="197"/>
      <c r="J2656" s="121"/>
      <c r="K2656" s="121"/>
      <c r="L2656" s="200"/>
      <c r="M2656" s="204"/>
      <c r="N2656" s="205"/>
      <c r="O2656" s="170"/>
      <c r="P2656" s="198"/>
      <c r="Q2656" s="199"/>
      <c r="R2656" s="200"/>
      <c r="S2656" s="170"/>
      <c r="T2656" s="170"/>
      <c r="U2656" s="201"/>
      <c r="V2656" s="198"/>
      <c r="W2656" s="170"/>
      <c r="X2656" s="202"/>
      <c r="Y2656" s="203"/>
      <c r="Z2656" s="170"/>
      <c r="AA2656" s="198"/>
      <c r="AB2656" s="170"/>
      <c r="AC2656" s="170"/>
      <c r="AD2656" s="121"/>
      <c r="AE2656" s="121"/>
      <c r="AF2656" s="121"/>
      <c r="AG2656" s="22"/>
      <c r="AH2656" s="22"/>
      <c r="AI2656" s="22"/>
      <c r="AJ2656" s="22"/>
      <c r="AK2656" s="22"/>
      <c r="AL2656" s="22"/>
      <c r="AM2656" s="22"/>
      <c r="AN2656" s="22"/>
      <c r="AO2656" s="22"/>
      <c r="AP2656" s="22"/>
    </row>
    <row r="2657">
      <c r="A2657" s="193"/>
      <c r="B2657" s="194"/>
      <c r="C2657" s="195"/>
      <c r="D2657" s="196"/>
      <c r="E2657" s="197"/>
      <c r="F2657" s="197"/>
      <c r="G2657" s="195"/>
      <c r="H2657" s="195"/>
      <c r="I2657" s="197"/>
      <c r="J2657" s="121"/>
      <c r="K2657" s="121"/>
      <c r="L2657" s="200"/>
      <c r="M2657" s="204"/>
      <c r="N2657" s="205"/>
      <c r="O2657" s="170"/>
      <c r="P2657" s="198"/>
      <c r="Q2657" s="199"/>
      <c r="R2657" s="200"/>
      <c r="S2657" s="170"/>
      <c r="T2657" s="170"/>
      <c r="U2657" s="201"/>
      <c r="V2657" s="198"/>
      <c r="W2657" s="170"/>
      <c r="X2657" s="202"/>
      <c r="Y2657" s="203"/>
      <c r="Z2657" s="170"/>
      <c r="AA2657" s="198"/>
      <c r="AB2657" s="170"/>
      <c r="AC2657" s="170"/>
      <c r="AD2657" s="121"/>
      <c r="AE2657" s="121"/>
      <c r="AF2657" s="121"/>
      <c r="AG2657" s="22"/>
      <c r="AH2657" s="22"/>
      <c r="AI2657" s="22"/>
      <c r="AJ2657" s="22"/>
      <c r="AK2657" s="22"/>
      <c r="AL2657" s="22"/>
      <c r="AM2657" s="22"/>
      <c r="AN2657" s="22"/>
      <c r="AO2657" s="22"/>
      <c r="AP2657" s="22"/>
    </row>
    <row r="2658">
      <c r="A2658" s="193"/>
      <c r="B2658" s="194"/>
      <c r="C2658" s="195"/>
      <c r="D2658" s="196"/>
      <c r="E2658" s="197"/>
      <c r="F2658" s="197"/>
      <c r="G2658" s="195"/>
      <c r="H2658" s="195"/>
      <c r="I2658" s="197"/>
      <c r="J2658" s="121"/>
      <c r="K2658" s="121"/>
      <c r="L2658" s="200"/>
      <c r="M2658" s="204"/>
      <c r="N2658" s="205"/>
      <c r="O2658" s="170"/>
      <c r="P2658" s="198"/>
      <c r="Q2658" s="199"/>
      <c r="R2658" s="200"/>
      <c r="S2658" s="170"/>
      <c r="T2658" s="170"/>
      <c r="U2658" s="201"/>
      <c r="V2658" s="198"/>
      <c r="W2658" s="170"/>
      <c r="X2658" s="202"/>
      <c r="Y2658" s="203"/>
      <c r="Z2658" s="170"/>
      <c r="AA2658" s="198"/>
      <c r="AB2658" s="170"/>
      <c r="AC2658" s="170"/>
      <c r="AD2658" s="121"/>
      <c r="AE2658" s="121"/>
      <c r="AF2658" s="121"/>
      <c r="AG2658" s="22"/>
      <c r="AH2658" s="22"/>
      <c r="AI2658" s="22"/>
      <c r="AJ2658" s="22"/>
      <c r="AK2658" s="22"/>
      <c r="AL2658" s="22"/>
      <c r="AM2658" s="22"/>
      <c r="AN2658" s="22"/>
      <c r="AO2658" s="22"/>
      <c r="AP2658" s="22"/>
    </row>
    <row r="2659">
      <c r="A2659" s="193"/>
      <c r="B2659" s="194"/>
      <c r="C2659" s="195"/>
      <c r="D2659" s="196"/>
      <c r="E2659" s="197"/>
      <c r="F2659" s="197"/>
      <c r="G2659" s="195"/>
      <c r="H2659" s="195"/>
      <c r="I2659" s="197"/>
      <c r="J2659" s="121"/>
      <c r="K2659" s="121"/>
      <c r="L2659" s="200"/>
      <c r="M2659" s="204"/>
      <c r="N2659" s="205"/>
      <c r="O2659" s="170"/>
      <c r="P2659" s="198"/>
      <c r="Q2659" s="199"/>
      <c r="R2659" s="200"/>
      <c r="S2659" s="170"/>
      <c r="T2659" s="170"/>
      <c r="U2659" s="201"/>
      <c r="V2659" s="198"/>
      <c r="W2659" s="170"/>
      <c r="X2659" s="202"/>
      <c r="Y2659" s="203"/>
      <c r="Z2659" s="170"/>
      <c r="AA2659" s="198"/>
      <c r="AB2659" s="170"/>
      <c r="AC2659" s="170"/>
      <c r="AD2659" s="121"/>
      <c r="AE2659" s="121"/>
      <c r="AF2659" s="121"/>
      <c r="AG2659" s="22"/>
      <c r="AH2659" s="22"/>
      <c r="AI2659" s="22"/>
      <c r="AJ2659" s="22"/>
      <c r="AK2659" s="22"/>
      <c r="AL2659" s="22"/>
      <c r="AM2659" s="22"/>
      <c r="AN2659" s="22"/>
      <c r="AO2659" s="22"/>
      <c r="AP2659" s="22"/>
    </row>
    <row r="2660">
      <c r="A2660" s="193"/>
      <c r="B2660" s="194"/>
      <c r="C2660" s="195"/>
      <c r="D2660" s="196"/>
      <c r="E2660" s="197"/>
      <c r="F2660" s="197"/>
      <c r="G2660" s="195"/>
      <c r="H2660" s="195"/>
      <c r="I2660" s="197"/>
      <c r="J2660" s="121"/>
      <c r="K2660" s="121"/>
      <c r="L2660" s="200"/>
      <c r="M2660" s="204"/>
      <c r="N2660" s="205"/>
      <c r="O2660" s="170"/>
      <c r="P2660" s="198"/>
      <c r="Q2660" s="199"/>
      <c r="R2660" s="200"/>
      <c r="S2660" s="170"/>
      <c r="T2660" s="170"/>
      <c r="U2660" s="201"/>
      <c r="V2660" s="198"/>
      <c r="W2660" s="170"/>
      <c r="X2660" s="202"/>
      <c r="Y2660" s="203"/>
      <c r="Z2660" s="170"/>
      <c r="AA2660" s="198"/>
      <c r="AB2660" s="170"/>
      <c r="AC2660" s="170"/>
      <c r="AD2660" s="121"/>
      <c r="AE2660" s="121"/>
      <c r="AF2660" s="121"/>
      <c r="AG2660" s="22"/>
      <c r="AH2660" s="22"/>
      <c r="AI2660" s="22"/>
      <c r="AJ2660" s="22"/>
      <c r="AK2660" s="22"/>
      <c r="AL2660" s="22"/>
      <c r="AM2660" s="22"/>
      <c r="AN2660" s="22"/>
      <c r="AO2660" s="22"/>
      <c r="AP2660" s="22"/>
    </row>
    <row r="2661">
      <c r="A2661" s="193"/>
      <c r="B2661" s="194"/>
      <c r="C2661" s="195"/>
      <c r="D2661" s="196"/>
      <c r="E2661" s="197"/>
      <c r="F2661" s="197"/>
      <c r="G2661" s="195"/>
      <c r="H2661" s="195"/>
      <c r="I2661" s="197"/>
      <c r="J2661" s="121"/>
      <c r="K2661" s="121"/>
      <c r="L2661" s="200"/>
      <c r="M2661" s="204"/>
      <c r="N2661" s="205"/>
      <c r="O2661" s="170"/>
      <c r="P2661" s="198"/>
      <c r="Q2661" s="199"/>
      <c r="R2661" s="200"/>
      <c r="S2661" s="170"/>
      <c r="T2661" s="170"/>
      <c r="U2661" s="201"/>
      <c r="V2661" s="198"/>
      <c r="W2661" s="170"/>
      <c r="X2661" s="202"/>
      <c r="Y2661" s="203"/>
      <c r="Z2661" s="170"/>
      <c r="AA2661" s="198"/>
      <c r="AB2661" s="170"/>
      <c r="AC2661" s="170"/>
      <c r="AD2661" s="121"/>
      <c r="AE2661" s="121"/>
      <c r="AF2661" s="121"/>
      <c r="AG2661" s="22"/>
      <c r="AH2661" s="22"/>
      <c r="AI2661" s="22"/>
      <c r="AJ2661" s="22"/>
      <c r="AK2661" s="22"/>
      <c r="AL2661" s="22"/>
      <c r="AM2661" s="22"/>
      <c r="AN2661" s="22"/>
      <c r="AO2661" s="22"/>
      <c r="AP2661" s="22"/>
    </row>
    <row r="2662">
      <c r="A2662" s="193"/>
      <c r="B2662" s="194"/>
      <c r="C2662" s="195"/>
      <c r="D2662" s="196"/>
      <c r="E2662" s="197"/>
      <c r="F2662" s="197"/>
      <c r="G2662" s="195"/>
      <c r="H2662" s="195"/>
      <c r="I2662" s="197"/>
      <c r="J2662" s="121"/>
      <c r="K2662" s="121"/>
      <c r="L2662" s="200"/>
      <c r="M2662" s="204"/>
      <c r="N2662" s="205"/>
      <c r="O2662" s="170"/>
      <c r="P2662" s="198"/>
      <c r="Q2662" s="199"/>
      <c r="R2662" s="200"/>
      <c r="S2662" s="170"/>
      <c r="T2662" s="170"/>
      <c r="U2662" s="201"/>
      <c r="V2662" s="198"/>
      <c r="W2662" s="170"/>
      <c r="X2662" s="202"/>
      <c r="Y2662" s="203"/>
      <c r="Z2662" s="170"/>
      <c r="AA2662" s="198"/>
      <c r="AB2662" s="170"/>
      <c r="AC2662" s="170"/>
      <c r="AD2662" s="121"/>
      <c r="AE2662" s="121"/>
      <c r="AF2662" s="121"/>
      <c r="AG2662" s="22"/>
      <c r="AH2662" s="22"/>
      <c r="AI2662" s="22"/>
      <c r="AJ2662" s="22"/>
      <c r="AK2662" s="22"/>
      <c r="AL2662" s="22"/>
      <c r="AM2662" s="22"/>
      <c r="AN2662" s="22"/>
      <c r="AO2662" s="22"/>
      <c r="AP2662" s="22"/>
    </row>
    <row r="2663">
      <c r="A2663" s="193"/>
      <c r="B2663" s="194"/>
      <c r="C2663" s="195"/>
      <c r="D2663" s="196"/>
      <c r="E2663" s="197"/>
      <c r="F2663" s="197"/>
      <c r="G2663" s="195"/>
      <c r="H2663" s="195"/>
      <c r="I2663" s="197"/>
      <c r="J2663" s="121"/>
      <c r="K2663" s="121"/>
      <c r="L2663" s="200"/>
      <c r="M2663" s="204"/>
      <c r="N2663" s="205"/>
      <c r="O2663" s="170"/>
      <c r="P2663" s="198"/>
      <c r="Q2663" s="199"/>
      <c r="R2663" s="200"/>
      <c r="S2663" s="170"/>
      <c r="T2663" s="170"/>
      <c r="U2663" s="201"/>
      <c r="V2663" s="198"/>
      <c r="W2663" s="170"/>
      <c r="X2663" s="202"/>
      <c r="Y2663" s="203"/>
      <c r="Z2663" s="170"/>
      <c r="AA2663" s="198"/>
      <c r="AB2663" s="170"/>
      <c r="AC2663" s="170"/>
      <c r="AD2663" s="121"/>
      <c r="AE2663" s="121"/>
      <c r="AF2663" s="121"/>
      <c r="AG2663" s="22"/>
      <c r="AH2663" s="22"/>
      <c r="AI2663" s="22"/>
      <c r="AJ2663" s="22"/>
      <c r="AK2663" s="22"/>
      <c r="AL2663" s="22"/>
      <c r="AM2663" s="22"/>
      <c r="AN2663" s="22"/>
      <c r="AO2663" s="22"/>
      <c r="AP2663" s="22"/>
    </row>
    <row r="2664">
      <c r="A2664" s="193"/>
      <c r="B2664" s="194"/>
      <c r="C2664" s="195"/>
      <c r="D2664" s="196"/>
      <c r="E2664" s="197"/>
      <c r="F2664" s="197"/>
      <c r="G2664" s="195"/>
      <c r="H2664" s="195"/>
      <c r="I2664" s="197"/>
      <c r="J2664" s="121"/>
      <c r="K2664" s="121"/>
      <c r="L2664" s="200"/>
      <c r="M2664" s="204"/>
      <c r="N2664" s="205"/>
      <c r="O2664" s="170"/>
      <c r="P2664" s="198"/>
      <c r="Q2664" s="199"/>
      <c r="R2664" s="200"/>
      <c r="S2664" s="170"/>
      <c r="T2664" s="170"/>
      <c r="U2664" s="201"/>
      <c r="V2664" s="198"/>
      <c r="W2664" s="170"/>
      <c r="X2664" s="202"/>
      <c r="Y2664" s="203"/>
      <c r="Z2664" s="170"/>
      <c r="AA2664" s="198"/>
      <c r="AB2664" s="170"/>
      <c r="AC2664" s="170"/>
      <c r="AD2664" s="121"/>
      <c r="AE2664" s="121"/>
      <c r="AF2664" s="121"/>
      <c r="AG2664" s="22"/>
      <c r="AH2664" s="22"/>
      <c r="AI2664" s="22"/>
      <c r="AJ2664" s="22"/>
      <c r="AK2664" s="22"/>
      <c r="AL2664" s="22"/>
      <c r="AM2664" s="22"/>
      <c r="AN2664" s="22"/>
      <c r="AO2664" s="22"/>
      <c r="AP2664" s="22"/>
    </row>
    <row r="2665">
      <c r="A2665" s="193"/>
      <c r="B2665" s="194"/>
      <c r="C2665" s="195"/>
      <c r="D2665" s="196"/>
      <c r="E2665" s="197"/>
      <c r="F2665" s="197"/>
      <c r="G2665" s="195"/>
      <c r="H2665" s="195"/>
      <c r="I2665" s="197"/>
      <c r="J2665" s="121"/>
      <c r="K2665" s="121"/>
      <c r="L2665" s="200"/>
      <c r="M2665" s="204"/>
      <c r="N2665" s="205"/>
      <c r="O2665" s="170"/>
      <c r="P2665" s="198"/>
      <c r="Q2665" s="199"/>
      <c r="R2665" s="200"/>
      <c r="S2665" s="170"/>
      <c r="T2665" s="170"/>
      <c r="U2665" s="201"/>
      <c r="V2665" s="198"/>
      <c r="W2665" s="170"/>
      <c r="X2665" s="202"/>
      <c r="Y2665" s="203"/>
      <c r="Z2665" s="170"/>
      <c r="AA2665" s="198"/>
      <c r="AB2665" s="170"/>
      <c r="AC2665" s="170"/>
      <c r="AD2665" s="121"/>
      <c r="AE2665" s="121"/>
      <c r="AF2665" s="121"/>
      <c r="AG2665" s="22"/>
      <c r="AH2665" s="22"/>
      <c r="AI2665" s="22"/>
      <c r="AJ2665" s="22"/>
      <c r="AK2665" s="22"/>
      <c r="AL2665" s="22"/>
      <c r="AM2665" s="22"/>
      <c r="AN2665" s="22"/>
      <c r="AO2665" s="22"/>
      <c r="AP2665" s="22"/>
    </row>
    <row r="2666">
      <c r="A2666" s="193"/>
      <c r="B2666" s="194"/>
      <c r="C2666" s="195"/>
      <c r="D2666" s="196"/>
      <c r="E2666" s="197"/>
      <c r="F2666" s="197"/>
      <c r="G2666" s="195"/>
      <c r="H2666" s="195"/>
      <c r="I2666" s="197"/>
      <c r="J2666" s="121"/>
      <c r="K2666" s="121"/>
      <c r="L2666" s="200"/>
      <c r="M2666" s="204"/>
      <c r="N2666" s="205"/>
      <c r="O2666" s="170"/>
      <c r="P2666" s="198"/>
      <c r="Q2666" s="199"/>
      <c r="R2666" s="200"/>
      <c r="S2666" s="170"/>
      <c r="T2666" s="170"/>
      <c r="U2666" s="201"/>
      <c r="V2666" s="198"/>
      <c r="W2666" s="170"/>
      <c r="X2666" s="202"/>
      <c r="Y2666" s="203"/>
      <c r="Z2666" s="170"/>
      <c r="AA2666" s="198"/>
      <c r="AB2666" s="170"/>
      <c r="AC2666" s="170"/>
      <c r="AD2666" s="121"/>
      <c r="AE2666" s="121"/>
      <c r="AF2666" s="121"/>
      <c r="AG2666" s="22"/>
      <c r="AH2666" s="22"/>
      <c r="AI2666" s="22"/>
      <c r="AJ2666" s="22"/>
      <c r="AK2666" s="22"/>
      <c r="AL2666" s="22"/>
      <c r="AM2666" s="22"/>
      <c r="AN2666" s="22"/>
      <c r="AO2666" s="22"/>
      <c r="AP2666" s="22"/>
    </row>
    <row r="2667">
      <c r="A2667" s="193"/>
      <c r="B2667" s="194"/>
      <c r="C2667" s="195"/>
      <c r="D2667" s="196"/>
      <c r="E2667" s="197"/>
      <c r="F2667" s="197"/>
      <c r="G2667" s="195"/>
      <c r="H2667" s="195"/>
      <c r="I2667" s="197"/>
      <c r="J2667" s="121"/>
      <c r="K2667" s="121"/>
      <c r="L2667" s="200"/>
      <c r="M2667" s="204"/>
      <c r="N2667" s="205"/>
      <c r="O2667" s="170"/>
      <c r="P2667" s="198"/>
      <c r="Q2667" s="199"/>
      <c r="R2667" s="200"/>
      <c r="S2667" s="170"/>
      <c r="T2667" s="170"/>
      <c r="U2667" s="201"/>
      <c r="V2667" s="198"/>
      <c r="W2667" s="170"/>
      <c r="X2667" s="202"/>
      <c r="Y2667" s="203"/>
      <c r="Z2667" s="170"/>
      <c r="AA2667" s="198"/>
      <c r="AB2667" s="170"/>
      <c r="AC2667" s="170"/>
      <c r="AD2667" s="121"/>
      <c r="AE2667" s="121"/>
      <c r="AF2667" s="121"/>
      <c r="AG2667" s="22"/>
      <c r="AH2667" s="22"/>
      <c r="AI2667" s="22"/>
      <c r="AJ2667" s="22"/>
      <c r="AK2667" s="22"/>
      <c r="AL2667" s="22"/>
      <c r="AM2667" s="22"/>
      <c r="AN2667" s="22"/>
      <c r="AO2667" s="22"/>
      <c r="AP2667" s="22"/>
    </row>
    <row r="2668">
      <c r="A2668" s="193"/>
      <c r="B2668" s="194"/>
      <c r="C2668" s="195"/>
      <c r="D2668" s="196"/>
      <c r="E2668" s="197"/>
      <c r="F2668" s="197"/>
      <c r="G2668" s="195"/>
      <c r="H2668" s="195"/>
      <c r="I2668" s="197"/>
      <c r="J2668" s="121"/>
      <c r="K2668" s="121"/>
      <c r="L2668" s="200"/>
      <c r="M2668" s="204"/>
      <c r="N2668" s="205"/>
      <c r="O2668" s="170"/>
      <c r="P2668" s="198"/>
      <c r="Q2668" s="199"/>
      <c r="R2668" s="200"/>
      <c r="S2668" s="170"/>
      <c r="T2668" s="170"/>
      <c r="U2668" s="201"/>
      <c r="V2668" s="198"/>
      <c r="W2668" s="170"/>
      <c r="X2668" s="202"/>
      <c r="Y2668" s="203"/>
      <c r="Z2668" s="170"/>
      <c r="AA2668" s="198"/>
      <c r="AB2668" s="170"/>
      <c r="AC2668" s="170"/>
      <c r="AD2668" s="121"/>
      <c r="AE2668" s="121"/>
      <c r="AF2668" s="121"/>
      <c r="AG2668" s="22"/>
      <c r="AH2668" s="22"/>
      <c r="AI2668" s="22"/>
      <c r="AJ2668" s="22"/>
      <c r="AK2668" s="22"/>
      <c r="AL2668" s="22"/>
      <c r="AM2668" s="22"/>
      <c r="AN2668" s="22"/>
      <c r="AO2668" s="22"/>
      <c r="AP2668" s="22"/>
    </row>
    <row r="2669">
      <c r="A2669" s="193"/>
      <c r="B2669" s="194"/>
      <c r="C2669" s="195"/>
      <c r="D2669" s="196"/>
      <c r="E2669" s="197"/>
      <c r="F2669" s="197"/>
      <c r="G2669" s="195"/>
      <c r="H2669" s="195"/>
      <c r="I2669" s="197"/>
      <c r="J2669" s="121"/>
      <c r="K2669" s="121"/>
      <c r="L2669" s="200"/>
      <c r="M2669" s="204"/>
      <c r="N2669" s="205"/>
      <c r="O2669" s="170"/>
      <c r="P2669" s="198"/>
      <c r="Q2669" s="199"/>
      <c r="R2669" s="200"/>
      <c r="S2669" s="170"/>
      <c r="T2669" s="170"/>
      <c r="U2669" s="201"/>
      <c r="V2669" s="198"/>
      <c r="W2669" s="170"/>
      <c r="X2669" s="202"/>
      <c r="Y2669" s="203"/>
      <c r="Z2669" s="170"/>
      <c r="AA2669" s="198"/>
      <c r="AB2669" s="170"/>
      <c r="AC2669" s="170"/>
      <c r="AD2669" s="121"/>
      <c r="AE2669" s="121"/>
      <c r="AF2669" s="121"/>
      <c r="AG2669" s="22"/>
      <c r="AH2669" s="22"/>
      <c r="AI2669" s="22"/>
      <c r="AJ2669" s="22"/>
      <c r="AK2669" s="22"/>
      <c r="AL2669" s="22"/>
      <c r="AM2669" s="22"/>
      <c r="AN2669" s="22"/>
      <c r="AO2669" s="22"/>
      <c r="AP2669" s="22"/>
    </row>
    <row r="2670">
      <c r="A2670" s="193"/>
      <c r="B2670" s="194"/>
      <c r="C2670" s="195"/>
      <c r="D2670" s="196"/>
      <c r="E2670" s="197"/>
      <c r="F2670" s="197"/>
      <c r="G2670" s="195"/>
      <c r="H2670" s="195"/>
      <c r="I2670" s="197"/>
      <c r="J2670" s="121"/>
      <c r="K2670" s="121"/>
      <c r="L2670" s="200"/>
      <c r="M2670" s="204"/>
      <c r="N2670" s="205"/>
      <c r="O2670" s="170"/>
      <c r="P2670" s="198"/>
      <c r="Q2670" s="199"/>
      <c r="R2670" s="200"/>
      <c r="S2670" s="170"/>
      <c r="T2670" s="170"/>
      <c r="U2670" s="201"/>
      <c r="V2670" s="198"/>
      <c r="W2670" s="170"/>
      <c r="X2670" s="202"/>
      <c r="Y2670" s="203"/>
      <c r="Z2670" s="170"/>
      <c r="AA2670" s="198"/>
      <c r="AB2670" s="170"/>
      <c r="AC2670" s="170"/>
      <c r="AD2670" s="121"/>
      <c r="AE2670" s="121"/>
      <c r="AF2670" s="121"/>
      <c r="AG2670" s="22"/>
      <c r="AH2670" s="22"/>
      <c r="AI2670" s="22"/>
      <c r="AJ2670" s="22"/>
      <c r="AK2670" s="22"/>
      <c r="AL2670" s="22"/>
      <c r="AM2670" s="22"/>
      <c r="AN2670" s="22"/>
      <c r="AO2670" s="22"/>
      <c r="AP2670" s="22"/>
    </row>
    <row r="2671">
      <c r="A2671" s="193"/>
      <c r="B2671" s="194"/>
      <c r="C2671" s="195"/>
      <c r="D2671" s="196"/>
      <c r="E2671" s="197"/>
      <c r="F2671" s="197"/>
      <c r="G2671" s="195"/>
      <c r="H2671" s="195"/>
      <c r="I2671" s="197"/>
      <c r="J2671" s="121"/>
      <c r="K2671" s="121"/>
      <c r="L2671" s="200"/>
      <c r="M2671" s="204"/>
      <c r="N2671" s="205"/>
      <c r="O2671" s="170"/>
      <c r="P2671" s="198"/>
      <c r="Q2671" s="199"/>
      <c r="R2671" s="200"/>
      <c r="S2671" s="170"/>
      <c r="T2671" s="170"/>
      <c r="U2671" s="201"/>
      <c r="V2671" s="198"/>
      <c r="W2671" s="170"/>
      <c r="X2671" s="202"/>
      <c r="Y2671" s="203"/>
      <c r="Z2671" s="170"/>
      <c r="AA2671" s="198"/>
      <c r="AB2671" s="170"/>
      <c r="AC2671" s="170"/>
      <c r="AD2671" s="121"/>
      <c r="AE2671" s="121"/>
      <c r="AF2671" s="121"/>
      <c r="AG2671" s="22"/>
      <c r="AH2671" s="22"/>
      <c r="AI2671" s="22"/>
      <c r="AJ2671" s="22"/>
      <c r="AK2671" s="22"/>
      <c r="AL2671" s="22"/>
      <c r="AM2671" s="22"/>
      <c r="AN2671" s="22"/>
      <c r="AO2671" s="22"/>
      <c r="AP2671" s="22"/>
    </row>
    <row r="2672">
      <c r="A2672" s="193"/>
      <c r="B2672" s="194"/>
      <c r="C2672" s="195"/>
      <c r="D2672" s="196"/>
      <c r="E2672" s="197"/>
      <c r="F2672" s="197"/>
      <c r="G2672" s="195"/>
      <c r="H2672" s="195"/>
      <c r="I2672" s="197"/>
      <c r="J2672" s="121"/>
      <c r="K2672" s="121"/>
      <c r="L2672" s="200"/>
      <c r="M2672" s="204"/>
      <c r="N2672" s="205"/>
      <c r="O2672" s="170"/>
      <c r="P2672" s="198"/>
      <c r="Q2672" s="199"/>
      <c r="R2672" s="200"/>
      <c r="S2672" s="170"/>
      <c r="T2672" s="170"/>
      <c r="U2672" s="201"/>
      <c r="V2672" s="198"/>
      <c r="W2672" s="170"/>
      <c r="X2672" s="202"/>
      <c r="Y2672" s="203"/>
      <c r="Z2672" s="170"/>
      <c r="AA2672" s="198"/>
      <c r="AB2672" s="170"/>
      <c r="AC2672" s="170"/>
      <c r="AD2672" s="121"/>
      <c r="AE2672" s="121"/>
      <c r="AF2672" s="121"/>
      <c r="AG2672" s="22"/>
      <c r="AH2672" s="22"/>
      <c r="AI2672" s="22"/>
      <c r="AJ2672" s="22"/>
      <c r="AK2672" s="22"/>
      <c r="AL2672" s="22"/>
      <c r="AM2672" s="22"/>
      <c r="AN2672" s="22"/>
      <c r="AO2672" s="22"/>
      <c r="AP2672" s="22"/>
    </row>
    <row r="2673">
      <c r="A2673" s="193"/>
      <c r="B2673" s="194"/>
      <c r="C2673" s="195"/>
      <c r="D2673" s="196"/>
      <c r="E2673" s="197"/>
      <c r="F2673" s="197"/>
      <c r="G2673" s="195"/>
      <c r="H2673" s="195"/>
      <c r="I2673" s="197"/>
      <c r="J2673" s="121"/>
      <c r="K2673" s="121"/>
      <c r="L2673" s="200"/>
      <c r="M2673" s="204"/>
      <c r="N2673" s="205"/>
      <c r="O2673" s="170"/>
      <c r="P2673" s="198"/>
      <c r="Q2673" s="199"/>
      <c r="R2673" s="200"/>
      <c r="S2673" s="170"/>
      <c r="T2673" s="170"/>
      <c r="U2673" s="201"/>
      <c r="V2673" s="198"/>
      <c r="W2673" s="170"/>
      <c r="X2673" s="202"/>
      <c r="Y2673" s="203"/>
      <c r="Z2673" s="170"/>
      <c r="AA2673" s="198"/>
      <c r="AB2673" s="170"/>
      <c r="AC2673" s="170"/>
      <c r="AD2673" s="121"/>
      <c r="AE2673" s="121"/>
      <c r="AF2673" s="121"/>
      <c r="AG2673" s="22"/>
      <c r="AH2673" s="22"/>
      <c r="AI2673" s="22"/>
      <c r="AJ2673" s="22"/>
      <c r="AK2673" s="22"/>
      <c r="AL2673" s="22"/>
      <c r="AM2673" s="22"/>
      <c r="AN2673" s="22"/>
      <c r="AO2673" s="22"/>
      <c r="AP2673" s="22"/>
    </row>
    <row r="2674">
      <c r="A2674" s="193"/>
      <c r="B2674" s="194"/>
      <c r="C2674" s="195"/>
      <c r="D2674" s="196"/>
      <c r="E2674" s="197"/>
      <c r="F2674" s="197"/>
      <c r="G2674" s="195"/>
      <c r="H2674" s="195"/>
      <c r="I2674" s="197"/>
      <c r="J2674" s="121"/>
      <c r="K2674" s="121"/>
      <c r="L2674" s="200"/>
      <c r="M2674" s="204"/>
      <c r="N2674" s="205"/>
      <c r="O2674" s="170"/>
      <c r="P2674" s="198"/>
      <c r="Q2674" s="199"/>
      <c r="R2674" s="200"/>
      <c r="S2674" s="170"/>
      <c r="T2674" s="170"/>
      <c r="U2674" s="201"/>
      <c r="V2674" s="198"/>
      <c r="W2674" s="170"/>
      <c r="X2674" s="202"/>
      <c r="Y2674" s="203"/>
      <c r="Z2674" s="170"/>
      <c r="AA2674" s="198"/>
      <c r="AB2674" s="170"/>
      <c r="AC2674" s="170"/>
      <c r="AD2674" s="121"/>
      <c r="AE2674" s="121"/>
      <c r="AF2674" s="121"/>
      <c r="AG2674" s="22"/>
      <c r="AH2674" s="22"/>
      <c r="AI2674" s="22"/>
      <c r="AJ2674" s="22"/>
      <c r="AK2674" s="22"/>
      <c r="AL2674" s="22"/>
      <c r="AM2674" s="22"/>
      <c r="AN2674" s="22"/>
      <c r="AO2674" s="22"/>
      <c r="AP2674" s="22"/>
    </row>
    <row r="2675">
      <c r="A2675" s="193"/>
      <c r="B2675" s="194"/>
      <c r="C2675" s="195"/>
      <c r="D2675" s="196"/>
      <c r="E2675" s="197"/>
      <c r="F2675" s="197"/>
      <c r="G2675" s="195"/>
      <c r="H2675" s="195"/>
      <c r="I2675" s="197"/>
      <c r="J2675" s="121"/>
      <c r="K2675" s="121"/>
      <c r="L2675" s="200"/>
      <c r="M2675" s="204"/>
      <c r="N2675" s="205"/>
      <c r="O2675" s="170"/>
      <c r="P2675" s="198"/>
      <c r="Q2675" s="199"/>
      <c r="R2675" s="200"/>
      <c r="S2675" s="170"/>
      <c r="T2675" s="170"/>
      <c r="U2675" s="201"/>
      <c r="V2675" s="198"/>
      <c r="W2675" s="170"/>
      <c r="X2675" s="202"/>
      <c r="Y2675" s="203"/>
      <c r="Z2675" s="170"/>
      <c r="AA2675" s="198"/>
      <c r="AB2675" s="170"/>
      <c r="AC2675" s="170"/>
      <c r="AD2675" s="121"/>
      <c r="AE2675" s="121"/>
      <c r="AF2675" s="121"/>
      <c r="AG2675" s="22"/>
      <c r="AH2675" s="22"/>
      <c r="AI2675" s="22"/>
      <c r="AJ2675" s="22"/>
      <c r="AK2675" s="22"/>
      <c r="AL2675" s="22"/>
      <c r="AM2675" s="22"/>
      <c r="AN2675" s="22"/>
      <c r="AO2675" s="22"/>
      <c r="AP2675" s="22"/>
    </row>
    <row r="2676">
      <c r="A2676" s="193"/>
      <c r="B2676" s="194"/>
      <c r="C2676" s="195"/>
      <c r="D2676" s="196"/>
      <c r="E2676" s="197"/>
      <c r="F2676" s="197"/>
      <c r="G2676" s="195"/>
      <c r="H2676" s="195"/>
      <c r="I2676" s="197"/>
      <c r="J2676" s="121"/>
      <c r="K2676" s="121"/>
      <c r="L2676" s="200"/>
      <c r="M2676" s="204"/>
      <c r="N2676" s="205"/>
      <c r="O2676" s="170"/>
      <c r="P2676" s="198"/>
      <c r="Q2676" s="199"/>
      <c r="R2676" s="200"/>
      <c r="S2676" s="170"/>
      <c r="T2676" s="170"/>
      <c r="U2676" s="201"/>
      <c r="V2676" s="198"/>
      <c r="W2676" s="170"/>
      <c r="X2676" s="202"/>
      <c r="Y2676" s="203"/>
      <c r="Z2676" s="170"/>
      <c r="AA2676" s="198"/>
      <c r="AB2676" s="170"/>
      <c r="AC2676" s="170"/>
      <c r="AD2676" s="121"/>
      <c r="AE2676" s="121"/>
      <c r="AF2676" s="121"/>
      <c r="AG2676" s="22"/>
      <c r="AH2676" s="22"/>
      <c r="AI2676" s="22"/>
      <c r="AJ2676" s="22"/>
      <c r="AK2676" s="22"/>
      <c r="AL2676" s="22"/>
      <c r="AM2676" s="22"/>
      <c r="AN2676" s="22"/>
      <c r="AO2676" s="22"/>
      <c r="AP2676" s="22"/>
    </row>
    <row r="2677">
      <c r="A2677" s="193"/>
      <c r="B2677" s="194"/>
      <c r="C2677" s="195"/>
      <c r="D2677" s="196"/>
      <c r="E2677" s="197"/>
      <c r="F2677" s="197"/>
      <c r="G2677" s="195"/>
      <c r="H2677" s="195"/>
      <c r="I2677" s="197"/>
      <c r="J2677" s="121"/>
      <c r="K2677" s="121"/>
      <c r="L2677" s="200"/>
      <c r="M2677" s="204"/>
      <c r="N2677" s="205"/>
      <c r="O2677" s="170"/>
      <c r="P2677" s="198"/>
      <c r="Q2677" s="199"/>
      <c r="R2677" s="200"/>
      <c r="S2677" s="170"/>
      <c r="T2677" s="170"/>
      <c r="U2677" s="201"/>
      <c r="V2677" s="198"/>
      <c r="W2677" s="170"/>
      <c r="X2677" s="202"/>
      <c r="Y2677" s="203"/>
      <c r="Z2677" s="170"/>
      <c r="AA2677" s="198"/>
      <c r="AB2677" s="170"/>
      <c r="AC2677" s="170"/>
      <c r="AD2677" s="121"/>
      <c r="AE2677" s="121"/>
      <c r="AF2677" s="121"/>
      <c r="AG2677" s="22"/>
      <c r="AH2677" s="22"/>
      <c r="AI2677" s="22"/>
      <c r="AJ2677" s="22"/>
      <c r="AK2677" s="22"/>
      <c r="AL2677" s="22"/>
      <c r="AM2677" s="22"/>
      <c r="AN2677" s="22"/>
      <c r="AO2677" s="22"/>
      <c r="AP2677" s="22"/>
    </row>
    <row r="2678">
      <c r="A2678" s="193"/>
      <c r="B2678" s="194"/>
      <c r="C2678" s="195"/>
      <c r="D2678" s="196"/>
      <c r="E2678" s="197"/>
      <c r="F2678" s="197"/>
      <c r="G2678" s="195"/>
      <c r="H2678" s="195"/>
      <c r="I2678" s="197"/>
      <c r="J2678" s="121"/>
      <c r="K2678" s="121"/>
      <c r="L2678" s="200"/>
      <c r="M2678" s="204"/>
      <c r="N2678" s="205"/>
      <c r="O2678" s="170"/>
      <c r="P2678" s="198"/>
      <c r="Q2678" s="199"/>
      <c r="R2678" s="200"/>
      <c r="S2678" s="170"/>
      <c r="T2678" s="170"/>
      <c r="U2678" s="201"/>
      <c r="V2678" s="198"/>
      <c r="W2678" s="170"/>
      <c r="X2678" s="202"/>
      <c r="Y2678" s="203"/>
      <c r="Z2678" s="170"/>
      <c r="AA2678" s="198"/>
      <c r="AB2678" s="170"/>
      <c r="AC2678" s="170"/>
      <c r="AD2678" s="121"/>
      <c r="AE2678" s="121"/>
      <c r="AF2678" s="121"/>
      <c r="AG2678" s="22"/>
      <c r="AH2678" s="22"/>
      <c r="AI2678" s="22"/>
      <c r="AJ2678" s="22"/>
      <c r="AK2678" s="22"/>
      <c r="AL2678" s="22"/>
      <c r="AM2678" s="22"/>
      <c r="AN2678" s="22"/>
      <c r="AO2678" s="22"/>
      <c r="AP2678" s="22"/>
    </row>
    <row r="2679">
      <c r="A2679" s="193"/>
      <c r="B2679" s="194"/>
      <c r="C2679" s="195"/>
      <c r="D2679" s="196"/>
      <c r="E2679" s="197"/>
      <c r="F2679" s="197"/>
      <c r="G2679" s="195"/>
      <c r="H2679" s="195"/>
      <c r="I2679" s="197"/>
      <c r="J2679" s="121"/>
      <c r="K2679" s="121"/>
      <c r="L2679" s="200"/>
      <c r="M2679" s="204"/>
      <c r="N2679" s="205"/>
      <c r="O2679" s="170"/>
      <c r="P2679" s="198"/>
      <c r="Q2679" s="199"/>
      <c r="R2679" s="200"/>
      <c r="S2679" s="170"/>
      <c r="T2679" s="170"/>
      <c r="U2679" s="201"/>
      <c r="V2679" s="198"/>
      <c r="W2679" s="170"/>
      <c r="X2679" s="202"/>
      <c r="Y2679" s="203"/>
      <c r="Z2679" s="170"/>
      <c r="AA2679" s="198"/>
      <c r="AB2679" s="170"/>
      <c r="AC2679" s="170"/>
      <c r="AD2679" s="121"/>
      <c r="AE2679" s="121"/>
      <c r="AF2679" s="121"/>
      <c r="AG2679" s="22"/>
      <c r="AH2679" s="22"/>
      <c r="AI2679" s="22"/>
      <c r="AJ2679" s="22"/>
      <c r="AK2679" s="22"/>
      <c r="AL2679" s="22"/>
      <c r="AM2679" s="22"/>
      <c r="AN2679" s="22"/>
      <c r="AO2679" s="22"/>
      <c r="AP2679" s="22"/>
    </row>
    <row r="2680">
      <c r="A2680" s="193"/>
      <c r="B2680" s="194"/>
      <c r="C2680" s="195"/>
      <c r="D2680" s="196"/>
      <c r="E2680" s="197"/>
      <c r="F2680" s="197"/>
      <c r="G2680" s="195"/>
      <c r="H2680" s="195"/>
      <c r="I2680" s="197"/>
      <c r="J2680" s="121"/>
      <c r="K2680" s="121"/>
      <c r="L2680" s="200"/>
      <c r="M2680" s="204"/>
      <c r="N2680" s="205"/>
      <c r="O2680" s="170"/>
      <c r="P2680" s="198"/>
      <c r="Q2680" s="199"/>
      <c r="R2680" s="200"/>
      <c r="S2680" s="170"/>
      <c r="T2680" s="170"/>
      <c r="U2680" s="201"/>
      <c r="V2680" s="198"/>
      <c r="W2680" s="170"/>
      <c r="X2680" s="202"/>
      <c r="Y2680" s="203"/>
      <c r="Z2680" s="170"/>
      <c r="AA2680" s="198"/>
      <c r="AB2680" s="170"/>
      <c r="AC2680" s="170"/>
      <c r="AD2680" s="121"/>
      <c r="AE2680" s="121"/>
      <c r="AF2680" s="121"/>
      <c r="AG2680" s="22"/>
      <c r="AH2680" s="22"/>
      <c r="AI2680" s="22"/>
      <c r="AJ2680" s="22"/>
      <c r="AK2680" s="22"/>
      <c r="AL2680" s="22"/>
      <c r="AM2680" s="22"/>
      <c r="AN2680" s="22"/>
      <c r="AO2680" s="22"/>
      <c r="AP2680" s="22"/>
    </row>
    <row r="2681">
      <c r="A2681" s="193"/>
      <c r="B2681" s="194"/>
      <c r="C2681" s="195"/>
      <c r="D2681" s="196"/>
      <c r="E2681" s="197"/>
      <c r="F2681" s="197"/>
      <c r="G2681" s="195"/>
      <c r="H2681" s="195"/>
      <c r="I2681" s="197"/>
      <c r="J2681" s="121"/>
      <c r="K2681" s="121"/>
      <c r="L2681" s="200"/>
      <c r="M2681" s="204"/>
      <c r="N2681" s="205"/>
      <c r="O2681" s="170"/>
      <c r="P2681" s="198"/>
      <c r="Q2681" s="199"/>
      <c r="R2681" s="200"/>
      <c r="S2681" s="170"/>
      <c r="T2681" s="170"/>
      <c r="U2681" s="201"/>
      <c r="V2681" s="198"/>
      <c r="W2681" s="170"/>
      <c r="X2681" s="202"/>
      <c r="Y2681" s="203"/>
      <c r="Z2681" s="170"/>
      <c r="AA2681" s="198"/>
      <c r="AB2681" s="170"/>
      <c r="AC2681" s="170"/>
      <c r="AD2681" s="121"/>
      <c r="AE2681" s="121"/>
      <c r="AF2681" s="121"/>
      <c r="AG2681" s="22"/>
      <c r="AH2681" s="22"/>
      <c r="AI2681" s="22"/>
      <c r="AJ2681" s="22"/>
      <c r="AK2681" s="22"/>
      <c r="AL2681" s="22"/>
      <c r="AM2681" s="22"/>
      <c r="AN2681" s="22"/>
      <c r="AO2681" s="22"/>
      <c r="AP2681" s="22"/>
    </row>
    <row r="2682">
      <c r="A2682" s="193"/>
      <c r="B2682" s="194"/>
      <c r="C2682" s="195"/>
      <c r="D2682" s="196"/>
      <c r="E2682" s="197"/>
      <c r="F2682" s="197"/>
      <c r="G2682" s="195"/>
      <c r="H2682" s="195"/>
      <c r="I2682" s="197"/>
      <c r="J2682" s="121"/>
      <c r="K2682" s="121"/>
      <c r="L2682" s="200"/>
      <c r="M2682" s="204"/>
      <c r="N2682" s="205"/>
      <c r="O2682" s="170"/>
      <c r="P2682" s="198"/>
      <c r="Q2682" s="199"/>
      <c r="R2682" s="200"/>
      <c r="S2682" s="170"/>
      <c r="T2682" s="170"/>
      <c r="U2682" s="201"/>
      <c r="V2682" s="198"/>
      <c r="W2682" s="170"/>
      <c r="X2682" s="202"/>
      <c r="Y2682" s="203"/>
      <c r="Z2682" s="170"/>
      <c r="AA2682" s="198"/>
      <c r="AB2682" s="170"/>
      <c r="AC2682" s="170"/>
      <c r="AD2682" s="121"/>
      <c r="AE2682" s="121"/>
      <c r="AF2682" s="121"/>
      <c r="AG2682" s="22"/>
      <c r="AH2682" s="22"/>
      <c r="AI2682" s="22"/>
      <c r="AJ2682" s="22"/>
      <c r="AK2682" s="22"/>
      <c r="AL2682" s="22"/>
      <c r="AM2682" s="22"/>
      <c r="AN2682" s="22"/>
      <c r="AO2682" s="22"/>
      <c r="AP2682" s="22"/>
    </row>
    <row r="2683">
      <c r="A2683" s="193"/>
      <c r="B2683" s="194"/>
      <c r="C2683" s="195"/>
      <c r="D2683" s="196"/>
      <c r="E2683" s="197"/>
      <c r="F2683" s="197"/>
      <c r="G2683" s="195"/>
      <c r="H2683" s="195"/>
      <c r="I2683" s="197"/>
      <c r="J2683" s="121"/>
      <c r="K2683" s="121"/>
      <c r="L2683" s="200"/>
      <c r="M2683" s="204"/>
      <c r="N2683" s="205"/>
      <c r="O2683" s="170"/>
      <c r="P2683" s="198"/>
      <c r="Q2683" s="199"/>
      <c r="R2683" s="200"/>
      <c r="S2683" s="170"/>
      <c r="T2683" s="170"/>
      <c r="U2683" s="201"/>
      <c r="V2683" s="198"/>
      <c r="W2683" s="170"/>
      <c r="X2683" s="202"/>
      <c r="Y2683" s="203"/>
      <c r="Z2683" s="170"/>
      <c r="AA2683" s="198"/>
      <c r="AB2683" s="170"/>
      <c r="AC2683" s="170"/>
      <c r="AD2683" s="121"/>
      <c r="AE2683" s="121"/>
      <c r="AF2683" s="121"/>
      <c r="AG2683" s="22"/>
      <c r="AH2683" s="22"/>
      <c r="AI2683" s="22"/>
      <c r="AJ2683" s="22"/>
      <c r="AK2683" s="22"/>
      <c r="AL2683" s="22"/>
      <c r="AM2683" s="22"/>
      <c r="AN2683" s="22"/>
      <c r="AO2683" s="22"/>
      <c r="AP2683" s="22"/>
    </row>
    <row r="2684">
      <c r="A2684" s="193"/>
      <c r="B2684" s="194"/>
      <c r="C2684" s="195"/>
      <c r="D2684" s="196"/>
      <c r="E2684" s="197"/>
      <c r="F2684" s="197"/>
      <c r="G2684" s="195"/>
      <c r="H2684" s="195"/>
      <c r="I2684" s="197"/>
      <c r="J2684" s="121"/>
      <c r="K2684" s="121"/>
      <c r="L2684" s="200"/>
      <c r="M2684" s="204"/>
      <c r="N2684" s="205"/>
      <c r="O2684" s="170"/>
      <c r="P2684" s="198"/>
      <c r="Q2684" s="199"/>
      <c r="R2684" s="200"/>
      <c r="S2684" s="170"/>
      <c r="T2684" s="170"/>
      <c r="U2684" s="201"/>
      <c r="V2684" s="198"/>
      <c r="W2684" s="170"/>
      <c r="X2684" s="202"/>
      <c r="Y2684" s="203"/>
      <c r="Z2684" s="170"/>
      <c r="AA2684" s="198"/>
      <c r="AB2684" s="170"/>
      <c r="AC2684" s="170"/>
      <c r="AD2684" s="121"/>
      <c r="AE2684" s="121"/>
      <c r="AF2684" s="121"/>
      <c r="AG2684" s="22"/>
      <c r="AH2684" s="22"/>
      <c r="AI2684" s="22"/>
      <c r="AJ2684" s="22"/>
      <c r="AK2684" s="22"/>
      <c r="AL2684" s="22"/>
      <c r="AM2684" s="22"/>
      <c r="AN2684" s="22"/>
      <c r="AO2684" s="22"/>
      <c r="AP2684" s="22"/>
    </row>
    <row r="2685">
      <c r="A2685" s="193"/>
      <c r="B2685" s="194"/>
      <c r="C2685" s="195"/>
      <c r="D2685" s="196"/>
      <c r="E2685" s="197"/>
      <c r="F2685" s="197"/>
      <c r="G2685" s="195"/>
      <c r="H2685" s="195"/>
      <c r="I2685" s="197"/>
      <c r="J2685" s="121"/>
      <c r="K2685" s="121"/>
      <c r="L2685" s="200"/>
      <c r="M2685" s="204"/>
      <c r="N2685" s="205"/>
      <c r="O2685" s="170"/>
      <c r="P2685" s="198"/>
      <c r="Q2685" s="199"/>
      <c r="R2685" s="200"/>
      <c r="S2685" s="170"/>
      <c r="T2685" s="170"/>
      <c r="U2685" s="201"/>
      <c r="V2685" s="198"/>
      <c r="W2685" s="170"/>
      <c r="X2685" s="202"/>
      <c r="Y2685" s="203"/>
      <c r="Z2685" s="170"/>
      <c r="AA2685" s="198"/>
      <c r="AB2685" s="170"/>
      <c r="AC2685" s="170"/>
      <c r="AD2685" s="121"/>
      <c r="AE2685" s="121"/>
      <c r="AF2685" s="121"/>
      <c r="AG2685" s="22"/>
      <c r="AH2685" s="22"/>
      <c r="AI2685" s="22"/>
      <c r="AJ2685" s="22"/>
      <c r="AK2685" s="22"/>
      <c r="AL2685" s="22"/>
      <c r="AM2685" s="22"/>
      <c r="AN2685" s="22"/>
      <c r="AO2685" s="22"/>
      <c r="AP2685" s="22"/>
    </row>
    <row r="2686">
      <c r="A2686" s="193"/>
      <c r="B2686" s="194"/>
      <c r="C2686" s="195"/>
      <c r="D2686" s="196"/>
      <c r="E2686" s="197"/>
      <c r="F2686" s="197"/>
      <c r="G2686" s="195"/>
      <c r="H2686" s="195"/>
      <c r="I2686" s="197"/>
      <c r="J2686" s="121"/>
      <c r="K2686" s="121"/>
      <c r="L2686" s="200"/>
      <c r="M2686" s="204"/>
      <c r="N2686" s="205"/>
      <c r="O2686" s="170"/>
      <c r="P2686" s="198"/>
      <c r="Q2686" s="199"/>
      <c r="R2686" s="200"/>
      <c r="S2686" s="170"/>
      <c r="T2686" s="170"/>
      <c r="U2686" s="201"/>
      <c r="V2686" s="198"/>
      <c r="W2686" s="170"/>
      <c r="X2686" s="202"/>
      <c r="Y2686" s="203"/>
      <c r="Z2686" s="170"/>
      <c r="AA2686" s="198"/>
      <c r="AB2686" s="170"/>
      <c r="AC2686" s="170"/>
      <c r="AD2686" s="121"/>
      <c r="AE2686" s="121"/>
      <c r="AF2686" s="121"/>
      <c r="AG2686" s="22"/>
      <c r="AH2686" s="22"/>
      <c r="AI2686" s="22"/>
      <c r="AJ2686" s="22"/>
      <c r="AK2686" s="22"/>
      <c r="AL2686" s="22"/>
      <c r="AM2686" s="22"/>
      <c r="AN2686" s="22"/>
      <c r="AO2686" s="22"/>
      <c r="AP2686" s="22"/>
    </row>
    <row r="2687">
      <c r="A2687" s="193"/>
      <c r="B2687" s="194"/>
      <c r="C2687" s="195"/>
      <c r="D2687" s="196"/>
      <c r="E2687" s="197"/>
      <c r="F2687" s="197"/>
      <c r="G2687" s="195"/>
      <c r="H2687" s="195"/>
      <c r="I2687" s="197"/>
      <c r="J2687" s="121"/>
      <c r="K2687" s="121"/>
      <c r="L2687" s="200"/>
      <c r="M2687" s="204"/>
      <c r="N2687" s="205"/>
      <c r="O2687" s="170"/>
      <c r="P2687" s="198"/>
      <c r="Q2687" s="199"/>
      <c r="R2687" s="200"/>
      <c r="S2687" s="170"/>
      <c r="T2687" s="170"/>
      <c r="U2687" s="201"/>
      <c r="V2687" s="198"/>
      <c r="W2687" s="170"/>
      <c r="X2687" s="202"/>
      <c r="Y2687" s="203"/>
      <c r="Z2687" s="170"/>
      <c r="AA2687" s="198"/>
      <c r="AB2687" s="170"/>
      <c r="AC2687" s="170"/>
      <c r="AD2687" s="121"/>
      <c r="AE2687" s="121"/>
      <c r="AF2687" s="121"/>
      <c r="AG2687" s="22"/>
      <c r="AH2687" s="22"/>
      <c r="AI2687" s="22"/>
      <c r="AJ2687" s="22"/>
      <c r="AK2687" s="22"/>
      <c r="AL2687" s="22"/>
      <c r="AM2687" s="22"/>
      <c r="AN2687" s="22"/>
      <c r="AO2687" s="22"/>
      <c r="AP2687" s="22"/>
    </row>
    <row r="2688">
      <c r="A2688" s="193"/>
      <c r="B2688" s="194"/>
      <c r="C2688" s="195"/>
      <c r="D2688" s="196"/>
      <c r="E2688" s="197"/>
      <c r="F2688" s="197"/>
      <c r="G2688" s="195"/>
      <c r="H2688" s="195"/>
      <c r="I2688" s="197"/>
      <c r="J2688" s="121"/>
      <c r="K2688" s="121"/>
      <c r="L2688" s="200"/>
      <c r="M2688" s="204"/>
      <c r="N2688" s="205"/>
      <c r="O2688" s="170"/>
      <c r="P2688" s="198"/>
      <c r="Q2688" s="199"/>
      <c r="R2688" s="200"/>
      <c r="S2688" s="170"/>
      <c r="T2688" s="170"/>
      <c r="U2688" s="201"/>
      <c r="V2688" s="198"/>
      <c r="W2688" s="170"/>
      <c r="X2688" s="202"/>
      <c r="Y2688" s="203"/>
      <c r="Z2688" s="170"/>
      <c r="AA2688" s="198"/>
      <c r="AB2688" s="170"/>
      <c r="AC2688" s="170"/>
      <c r="AD2688" s="121"/>
      <c r="AE2688" s="121"/>
      <c r="AF2688" s="121"/>
      <c r="AG2688" s="22"/>
      <c r="AH2688" s="22"/>
      <c r="AI2688" s="22"/>
      <c r="AJ2688" s="22"/>
      <c r="AK2688" s="22"/>
      <c r="AL2688" s="22"/>
      <c r="AM2688" s="22"/>
      <c r="AN2688" s="22"/>
      <c r="AO2688" s="22"/>
      <c r="AP2688" s="22"/>
    </row>
    <row r="2689">
      <c r="A2689" s="193"/>
      <c r="B2689" s="194"/>
      <c r="C2689" s="195"/>
      <c r="D2689" s="196"/>
      <c r="E2689" s="197"/>
      <c r="F2689" s="197"/>
      <c r="G2689" s="195"/>
      <c r="H2689" s="195"/>
      <c r="I2689" s="197"/>
      <c r="J2689" s="121"/>
      <c r="K2689" s="121"/>
      <c r="L2689" s="200"/>
      <c r="M2689" s="204"/>
      <c r="N2689" s="205"/>
      <c r="O2689" s="170"/>
      <c r="P2689" s="198"/>
      <c r="Q2689" s="199"/>
      <c r="R2689" s="200"/>
      <c r="S2689" s="170"/>
      <c r="T2689" s="170"/>
      <c r="U2689" s="201"/>
      <c r="V2689" s="198"/>
      <c r="W2689" s="170"/>
      <c r="X2689" s="202"/>
      <c r="Y2689" s="203"/>
      <c r="Z2689" s="170"/>
      <c r="AA2689" s="198"/>
      <c r="AB2689" s="170"/>
      <c r="AC2689" s="170"/>
      <c r="AD2689" s="121"/>
      <c r="AE2689" s="121"/>
      <c r="AF2689" s="121"/>
      <c r="AG2689" s="22"/>
      <c r="AH2689" s="22"/>
      <c r="AI2689" s="22"/>
      <c r="AJ2689" s="22"/>
      <c r="AK2689" s="22"/>
      <c r="AL2689" s="22"/>
      <c r="AM2689" s="22"/>
      <c r="AN2689" s="22"/>
      <c r="AO2689" s="22"/>
      <c r="AP2689" s="22"/>
    </row>
    <row r="2690">
      <c r="A2690" s="193"/>
      <c r="B2690" s="194"/>
      <c r="C2690" s="195"/>
      <c r="D2690" s="196"/>
      <c r="E2690" s="197"/>
      <c r="F2690" s="197"/>
      <c r="G2690" s="195"/>
      <c r="H2690" s="195"/>
      <c r="I2690" s="197"/>
      <c r="J2690" s="121"/>
      <c r="K2690" s="121"/>
      <c r="L2690" s="200"/>
      <c r="M2690" s="204"/>
      <c r="N2690" s="205"/>
      <c r="O2690" s="170"/>
      <c r="P2690" s="198"/>
      <c r="Q2690" s="199"/>
      <c r="R2690" s="200"/>
      <c r="S2690" s="170"/>
      <c r="T2690" s="170"/>
      <c r="U2690" s="201"/>
      <c r="V2690" s="198"/>
      <c r="W2690" s="170"/>
      <c r="X2690" s="202"/>
      <c r="Y2690" s="203"/>
      <c r="Z2690" s="170"/>
      <c r="AA2690" s="198"/>
      <c r="AB2690" s="170"/>
      <c r="AC2690" s="170"/>
      <c r="AD2690" s="121"/>
      <c r="AE2690" s="121"/>
      <c r="AF2690" s="121"/>
      <c r="AG2690" s="22"/>
      <c r="AH2690" s="22"/>
      <c r="AI2690" s="22"/>
      <c r="AJ2690" s="22"/>
      <c r="AK2690" s="22"/>
      <c r="AL2690" s="22"/>
      <c r="AM2690" s="22"/>
      <c r="AN2690" s="22"/>
      <c r="AO2690" s="22"/>
      <c r="AP2690" s="22"/>
    </row>
    <row r="2691">
      <c r="A2691" s="193"/>
      <c r="B2691" s="194"/>
      <c r="C2691" s="195"/>
      <c r="D2691" s="196"/>
      <c r="E2691" s="197"/>
      <c r="F2691" s="197"/>
      <c r="G2691" s="195"/>
      <c r="H2691" s="195"/>
      <c r="I2691" s="197"/>
      <c r="J2691" s="121"/>
      <c r="K2691" s="121"/>
      <c r="L2691" s="200"/>
      <c r="M2691" s="204"/>
      <c r="N2691" s="205"/>
      <c r="O2691" s="170"/>
      <c r="P2691" s="198"/>
      <c r="Q2691" s="199"/>
      <c r="R2691" s="200"/>
      <c r="S2691" s="170"/>
      <c r="T2691" s="170"/>
      <c r="U2691" s="201"/>
      <c r="V2691" s="198"/>
      <c r="W2691" s="170"/>
      <c r="X2691" s="202"/>
      <c r="Y2691" s="203"/>
      <c r="Z2691" s="170"/>
      <c r="AA2691" s="198"/>
      <c r="AB2691" s="170"/>
      <c r="AC2691" s="170"/>
      <c r="AD2691" s="121"/>
      <c r="AE2691" s="121"/>
      <c r="AF2691" s="121"/>
      <c r="AG2691" s="22"/>
      <c r="AH2691" s="22"/>
      <c r="AI2691" s="22"/>
      <c r="AJ2691" s="22"/>
      <c r="AK2691" s="22"/>
      <c r="AL2691" s="22"/>
      <c r="AM2691" s="22"/>
      <c r="AN2691" s="22"/>
      <c r="AO2691" s="22"/>
      <c r="AP2691" s="22"/>
    </row>
    <row r="2692">
      <c r="A2692" s="193"/>
      <c r="B2692" s="194"/>
      <c r="C2692" s="195"/>
      <c r="D2692" s="196"/>
      <c r="E2692" s="197"/>
      <c r="F2692" s="197"/>
      <c r="G2692" s="195"/>
      <c r="H2692" s="195"/>
      <c r="I2692" s="197"/>
      <c r="J2692" s="121"/>
      <c r="K2692" s="121"/>
      <c r="L2692" s="200"/>
      <c r="M2692" s="204"/>
      <c r="N2692" s="205"/>
      <c r="O2692" s="170"/>
      <c r="P2692" s="198"/>
      <c r="Q2692" s="199"/>
      <c r="R2692" s="200"/>
      <c r="S2692" s="170"/>
      <c r="T2692" s="170"/>
      <c r="U2692" s="201"/>
      <c r="V2692" s="198"/>
      <c r="W2692" s="170"/>
      <c r="X2692" s="202"/>
      <c r="Y2692" s="203"/>
      <c r="Z2692" s="170"/>
      <c r="AA2692" s="198"/>
      <c r="AB2692" s="170"/>
      <c r="AC2692" s="170"/>
      <c r="AD2692" s="121"/>
      <c r="AE2692" s="121"/>
      <c r="AF2692" s="121"/>
      <c r="AG2692" s="22"/>
      <c r="AH2692" s="22"/>
      <c r="AI2692" s="22"/>
      <c r="AJ2692" s="22"/>
      <c r="AK2692" s="22"/>
      <c r="AL2692" s="22"/>
      <c r="AM2692" s="22"/>
      <c r="AN2692" s="22"/>
      <c r="AO2692" s="22"/>
      <c r="AP2692" s="22"/>
    </row>
    <row r="2693">
      <c r="A2693" s="193"/>
      <c r="B2693" s="194"/>
      <c r="C2693" s="195"/>
      <c r="D2693" s="196"/>
      <c r="E2693" s="197"/>
      <c r="F2693" s="197"/>
      <c r="G2693" s="195"/>
      <c r="H2693" s="195"/>
      <c r="I2693" s="197"/>
      <c r="J2693" s="121"/>
      <c r="K2693" s="121"/>
      <c r="L2693" s="200"/>
      <c r="M2693" s="204"/>
      <c r="N2693" s="205"/>
      <c r="O2693" s="170"/>
      <c r="P2693" s="198"/>
      <c r="Q2693" s="199"/>
      <c r="R2693" s="200"/>
      <c r="S2693" s="170"/>
      <c r="T2693" s="170"/>
      <c r="U2693" s="201"/>
      <c r="V2693" s="198"/>
      <c r="W2693" s="170"/>
      <c r="X2693" s="202"/>
      <c r="Y2693" s="203"/>
      <c r="Z2693" s="170"/>
      <c r="AA2693" s="198"/>
      <c r="AB2693" s="170"/>
      <c r="AC2693" s="170"/>
      <c r="AD2693" s="121"/>
      <c r="AE2693" s="121"/>
      <c r="AF2693" s="121"/>
      <c r="AG2693" s="22"/>
      <c r="AH2693" s="22"/>
      <c r="AI2693" s="22"/>
      <c r="AJ2693" s="22"/>
      <c r="AK2693" s="22"/>
      <c r="AL2693" s="22"/>
      <c r="AM2693" s="22"/>
      <c r="AN2693" s="22"/>
      <c r="AO2693" s="22"/>
      <c r="AP2693" s="22"/>
    </row>
    <row r="2694">
      <c r="A2694" s="193"/>
      <c r="B2694" s="194"/>
      <c r="C2694" s="195"/>
      <c r="D2694" s="196"/>
      <c r="E2694" s="197"/>
      <c r="F2694" s="197"/>
      <c r="G2694" s="195"/>
      <c r="H2694" s="195"/>
      <c r="I2694" s="197"/>
      <c r="J2694" s="121"/>
      <c r="K2694" s="121"/>
      <c r="L2694" s="200"/>
      <c r="M2694" s="204"/>
      <c r="N2694" s="205"/>
      <c r="O2694" s="170"/>
      <c r="P2694" s="198"/>
      <c r="Q2694" s="199"/>
      <c r="R2694" s="200"/>
      <c r="S2694" s="170"/>
      <c r="T2694" s="170"/>
      <c r="U2694" s="201"/>
      <c r="V2694" s="198"/>
      <c r="W2694" s="170"/>
      <c r="X2694" s="202"/>
      <c r="Y2694" s="203"/>
      <c r="Z2694" s="170"/>
      <c r="AA2694" s="198"/>
      <c r="AB2694" s="170"/>
      <c r="AC2694" s="170"/>
      <c r="AD2694" s="121"/>
      <c r="AE2694" s="121"/>
      <c r="AF2694" s="121"/>
      <c r="AG2694" s="22"/>
      <c r="AH2694" s="22"/>
      <c r="AI2694" s="22"/>
      <c r="AJ2694" s="22"/>
      <c r="AK2694" s="22"/>
      <c r="AL2694" s="22"/>
      <c r="AM2694" s="22"/>
      <c r="AN2694" s="22"/>
      <c r="AO2694" s="22"/>
      <c r="AP2694" s="22"/>
    </row>
    <row r="2695">
      <c r="A2695" s="193"/>
      <c r="B2695" s="194"/>
      <c r="C2695" s="195"/>
      <c r="D2695" s="196"/>
      <c r="E2695" s="197"/>
      <c r="F2695" s="197"/>
      <c r="G2695" s="195"/>
      <c r="H2695" s="195"/>
      <c r="I2695" s="197"/>
      <c r="J2695" s="121"/>
      <c r="K2695" s="121"/>
      <c r="L2695" s="200"/>
      <c r="M2695" s="204"/>
      <c r="N2695" s="205"/>
      <c r="O2695" s="170"/>
      <c r="P2695" s="198"/>
      <c r="Q2695" s="199"/>
      <c r="R2695" s="200"/>
      <c r="S2695" s="170"/>
      <c r="T2695" s="170"/>
      <c r="U2695" s="201"/>
      <c r="V2695" s="198"/>
      <c r="W2695" s="170"/>
      <c r="X2695" s="202"/>
      <c r="Y2695" s="203"/>
      <c r="Z2695" s="170"/>
      <c r="AA2695" s="198"/>
      <c r="AB2695" s="170"/>
      <c r="AC2695" s="170"/>
      <c r="AD2695" s="121"/>
      <c r="AE2695" s="121"/>
      <c r="AF2695" s="121"/>
      <c r="AG2695" s="22"/>
      <c r="AH2695" s="22"/>
      <c r="AI2695" s="22"/>
      <c r="AJ2695" s="22"/>
      <c r="AK2695" s="22"/>
      <c r="AL2695" s="22"/>
      <c r="AM2695" s="22"/>
      <c r="AN2695" s="22"/>
      <c r="AO2695" s="22"/>
      <c r="AP2695" s="22"/>
    </row>
    <row r="2696">
      <c r="A2696" s="193"/>
      <c r="B2696" s="194"/>
      <c r="C2696" s="195"/>
      <c r="D2696" s="196"/>
      <c r="E2696" s="197"/>
      <c r="F2696" s="197"/>
      <c r="G2696" s="195"/>
      <c r="H2696" s="195"/>
      <c r="I2696" s="197"/>
      <c r="J2696" s="121"/>
      <c r="K2696" s="121"/>
      <c r="L2696" s="200"/>
      <c r="M2696" s="204"/>
      <c r="N2696" s="205"/>
      <c r="O2696" s="170"/>
      <c r="P2696" s="198"/>
      <c r="Q2696" s="199"/>
      <c r="R2696" s="200"/>
      <c r="S2696" s="170"/>
      <c r="T2696" s="170"/>
      <c r="U2696" s="201"/>
      <c r="V2696" s="198"/>
      <c r="W2696" s="170"/>
      <c r="X2696" s="202"/>
      <c r="Y2696" s="203"/>
      <c r="Z2696" s="170"/>
      <c r="AA2696" s="198"/>
      <c r="AB2696" s="170"/>
      <c r="AC2696" s="170"/>
      <c r="AD2696" s="121"/>
      <c r="AE2696" s="121"/>
      <c r="AF2696" s="121"/>
      <c r="AG2696" s="22"/>
      <c r="AH2696" s="22"/>
      <c r="AI2696" s="22"/>
      <c r="AJ2696" s="22"/>
      <c r="AK2696" s="22"/>
      <c r="AL2696" s="22"/>
      <c r="AM2696" s="22"/>
      <c r="AN2696" s="22"/>
      <c r="AO2696" s="22"/>
      <c r="AP2696" s="22"/>
    </row>
    <row r="2697">
      <c r="A2697" s="193"/>
      <c r="B2697" s="194"/>
      <c r="C2697" s="195"/>
      <c r="D2697" s="196"/>
      <c r="E2697" s="197"/>
      <c r="F2697" s="197"/>
      <c r="G2697" s="195"/>
      <c r="H2697" s="195"/>
      <c r="I2697" s="197"/>
      <c r="J2697" s="121"/>
      <c r="K2697" s="121"/>
      <c r="L2697" s="200"/>
      <c r="M2697" s="204"/>
      <c r="N2697" s="205"/>
      <c r="O2697" s="170"/>
      <c r="P2697" s="198"/>
      <c r="Q2697" s="199"/>
      <c r="R2697" s="200"/>
      <c r="S2697" s="170"/>
      <c r="T2697" s="170"/>
      <c r="U2697" s="201"/>
      <c r="V2697" s="198"/>
      <c r="W2697" s="170"/>
      <c r="X2697" s="202"/>
      <c r="Y2697" s="203"/>
      <c r="Z2697" s="170"/>
      <c r="AA2697" s="198"/>
      <c r="AB2697" s="170"/>
      <c r="AC2697" s="170"/>
      <c r="AD2697" s="121"/>
      <c r="AE2697" s="121"/>
      <c r="AF2697" s="121"/>
      <c r="AG2697" s="22"/>
      <c r="AH2697" s="22"/>
      <c r="AI2697" s="22"/>
      <c r="AJ2697" s="22"/>
      <c r="AK2697" s="22"/>
      <c r="AL2697" s="22"/>
      <c r="AM2697" s="22"/>
      <c r="AN2697" s="22"/>
      <c r="AO2697" s="22"/>
      <c r="AP2697" s="22"/>
    </row>
    <row r="2698">
      <c r="A2698" s="193"/>
      <c r="B2698" s="194"/>
      <c r="C2698" s="195"/>
      <c r="D2698" s="196"/>
      <c r="E2698" s="197"/>
      <c r="F2698" s="197"/>
      <c r="G2698" s="195"/>
      <c r="H2698" s="195"/>
      <c r="I2698" s="197"/>
      <c r="J2698" s="121"/>
      <c r="K2698" s="121"/>
      <c r="L2698" s="200"/>
      <c r="M2698" s="204"/>
      <c r="N2698" s="205"/>
      <c r="O2698" s="170"/>
      <c r="P2698" s="198"/>
      <c r="Q2698" s="199"/>
      <c r="R2698" s="200"/>
      <c r="S2698" s="170"/>
      <c r="T2698" s="170"/>
      <c r="U2698" s="201"/>
      <c r="V2698" s="198"/>
      <c r="W2698" s="170"/>
      <c r="X2698" s="202"/>
      <c r="Y2698" s="203"/>
      <c r="Z2698" s="170"/>
      <c r="AA2698" s="198"/>
      <c r="AB2698" s="170"/>
      <c r="AC2698" s="170"/>
      <c r="AD2698" s="121"/>
      <c r="AE2698" s="121"/>
      <c r="AF2698" s="121"/>
      <c r="AG2698" s="22"/>
      <c r="AH2698" s="22"/>
      <c r="AI2698" s="22"/>
      <c r="AJ2698" s="22"/>
      <c r="AK2698" s="22"/>
      <c r="AL2698" s="22"/>
      <c r="AM2698" s="22"/>
      <c r="AN2698" s="22"/>
      <c r="AO2698" s="22"/>
      <c r="AP2698" s="22"/>
    </row>
    <row r="2699">
      <c r="A2699" s="193"/>
      <c r="B2699" s="194"/>
      <c r="C2699" s="195"/>
      <c r="D2699" s="196"/>
      <c r="E2699" s="197"/>
      <c r="F2699" s="197"/>
      <c r="G2699" s="195"/>
      <c r="H2699" s="195"/>
      <c r="I2699" s="197"/>
      <c r="J2699" s="121"/>
      <c r="K2699" s="121"/>
      <c r="L2699" s="200"/>
      <c r="M2699" s="204"/>
      <c r="N2699" s="205"/>
      <c r="O2699" s="170"/>
      <c r="P2699" s="198"/>
      <c r="Q2699" s="199"/>
      <c r="R2699" s="200"/>
      <c r="S2699" s="170"/>
      <c r="T2699" s="170"/>
      <c r="U2699" s="201"/>
      <c r="V2699" s="198"/>
      <c r="W2699" s="170"/>
      <c r="X2699" s="202"/>
      <c r="Y2699" s="203"/>
      <c r="Z2699" s="170"/>
      <c r="AA2699" s="198"/>
      <c r="AB2699" s="170"/>
      <c r="AC2699" s="170"/>
      <c r="AD2699" s="121"/>
      <c r="AE2699" s="121"/>
      <c r="AF2699" s="121"/>
      <c r="AG2699" s="22"/>
      <c r="AH2699" s="22"/>
      <c r="AI2699" s="22"/>
      <c r="AJ2699" s="22"/>
      <c r="AK2699" s="22"/>
      <c r="AL2699" s="22"/>
      <c r="AM2699" s="22"/>
      <c r="AN2699" s="22"/>
      <c r="AO2699" s="22"/>
      <c r="AP2699" s="22"/>
    </row>
    <row r="2700">
      <c r="A2700" s="193"/>
      <c r="B2700" s="194"/>
      <c r="C2700" s="195"/>
      <c r="D2700" s="196"/>
      <c r="E2700" s="197"/>
      <c r="F2700" s="197"/>
      <c r="G2700" s="195"/>
      <c r="H2700" s="195"/>
      <c r="I2700" s="197"/>
      <c r="J2700" s="121"/>
      <c r="K2700" s="121"/>
      <c r="L2700" s="200"/>
      <c r="M2700" s="204"/>
      <c r="N2700" s="205"/>
      <c r="O2700" s="170"/>
      <c r="P2700" s="198"/>
      <c r="Q2700" s="199"/>
      <c r="R2700" s="200"/>
      <c r="S2700" s="170"/>
      <c r="T2700" s="170"/>
      <c r="U2700" s="201"/>
      <c r="V2700" s="198"/>
      <c r="W2700" s="170"/>
      <c r="X2700" s="202"/>
      <c r="Y2700" s="203"/>
      <c r="Z2700" s="170"/>
      <c r="AA2700" s="198"/>
      <c r="AB2700" s="170"/>
      <c r="AC2700" s="170"/>
      <c r="AD2700" s="121"/>
      <c r="AE2700" s="121"/>
      <c r="AF2700" s="121"/>
      <c r="AG2700" s="22"/>
      <c r="AH2700" s="22"/>
      <c r="AI2700" s="22"/>
      <c r="AJ2700" s="22"/>
      <c r="AK2700" s="22"/>
      <c r="AL2700" s="22"/>
      <c r="AM2700" s="22"/>
      <c r="AN2700" s="22"/>
      <c r="AO2700" s="22"/>
      <c r="AP2700" s="22"/>
    </row>
    <row r="2701">
      <c r="A2701" s="193"/>
      <c r="B2701" s="194"/>
      <c r="C2701" s="195"/>
      <c r="D2701" s="196"/>
      <c r="E2701" s="197"/>
      <c r="F2701" s="197"/>
      <c r="G2701" s="195"/>
      <c r="H2701" s="195"/>
      <c r="I2701" s="197"/>
      <c r="J2701" s="121"/>
      <c r="K2701" s="121"/>
      <c r="L2701" s="200"/>
      <c r="M2701" s="204"/>
      <c r="N2701" s="205"/>
      <c r="O2701" s="170"/>
      <c r="P2701" s="198"/>
      <c r="Q2701" s="199"/>
      <c r="R2701" s="200"/>
      <c r="S2701" s="170"/>
      <c r="T2701" s="170"/>
      <c r="U2701" s="201"/>
      <c r="V2701" s="198"/>
      <c r="W2701" s="170"/>
      <c r="X2701" s="202"/>
      <c r="Y2701" s="203"/>
      <c r="Z2701" s="170"/>
      <c r="AA2701" s="198"/>
      <c r="AB2701" s="170"/>
      <c r="AC2701" s="170"/>
      <c r="AD2701" s="121"/>
      <c r="AE2701" s="121"/>
      <c r="AF2701" s="121"/>
      <c r="AG2701" s="22"/>
      <c r="AH2701" s="22"/>
      <c r="AI2701" s="22"/>
      <c r="AJ2701" s="22"/>
      <c r="AK2701" s="22"/>
      <c r="AL2701" s="22"/>
      <c r="AM2701" s="22"/>
      <c r="AN2701" s="22"/>
      <c r="AO2701" s="22"/>
      <c r="AP2701" s="22"/>
    </row>
    <row r="2702">
      <c r="A2702" s="193"/>
      <c r="B2702" s="194"/>
      <c r="C2702" s="195"/>
      <c r="D2702" s="196"/>
      <c r="E2702" s="197"/>
      <c r="F2702" s="197"/>
      <c r="G2702" s="195"/>
      <c r="H2702" s="195"/>
      <c r="I2702" s="197"/>
      <c r="J2702" s="121"/>
      <c r="K2702" s="121"/>
      <c r="L2702" s="200"/>
      <c r="M2702" s="204"/>
      <c r="N2702" s="205"/>
      <c r="O2702" s="170"/>
      <c r="P2702" s="198"/>
      <c r="Q2702" s="199"/>
      <c r="R2702" s="200"/>
      <c r="S2702" s="170"/>
      <c r="T2702" s="170"/>
      <c r="U2702" s="201"/>
      <c r="V2702" s="198"/>
      <c r="W2702" s="170"/>
      <c r="X2702" s="202"/>
      <c r="Y2702" s="203"/>
      <c r="Z2702" s="170"/>
      <c r="AA2702" s="198"/>
      <c r="AB2702" s="170"/>
      <c r="AC2702" s="170"/>
      <c r="AD2702" s="121"/>
      <c r="AE2702" s="121"/>
      <c r="AF2702" s="121"/>
      <c r="AG2702" s="22"/>
      <c r="AH2702" s="22"/>
      <c r="AI2702" s="22"/>
      <c r="AJ2702" s="22"/>
      <c r="AK2702" s="22"/>
      <c r="AL2702" s="22"/>
      <c r="AM2702" s="22"/>
      <c r="AN2702" s="22"/>
      <c r="AO2702" s="22"/>
      <c r="AP2702" s="22"/>
    </row>
    <row r="2703">
      <c r="A2703" s="193"/>
      <c r="B2703" s="194"/>
      <c r="C2703" s="195"/>
      <c r="D2703" s="196"/>
      <c r="E2703" s="197"/>
      <c r="F2703" s="197"/>
      <c r="G2703" s="195"/>
      <c r="H2703" s="195"/>
      <c r="I2703" s="197"/>
      <c r="J2703" s="121"/>
      <c r="K2703" s="121"/>
      <c r="L2703" s="200"/>
      <c r="M2703" s="204"/>
      <c r="N2703" s="205"/>
      <c r="O2703" s="170"/>
      <c r="P2703" s="198"/>
      <c r="Q2703" s="199"/>
      <c r="R2703" s="200"/>
      <c r="S2703" s="170"/>
      <c r="T2703" s="170"/>
      <c r="U2703" s="201"/>
      <c r="V2703" s="198"/>
      <c r="W2703" s="170"/>
      <c r="X2703" s="202"/>
      <c r="Y2703" s="203"/>
      <c r="Z2703" s="170"/>
      <c r="AA2703" s="198"/>
      <c r="AB2703" s="170"/>
      <c r="AC2703" s="170"/>
      <c r="AD2703" s="121"/>
      <c r="AE2703" s="121"/>
      <c r="AF2703" s="121"/>
      <c r="AG2703" s="22"/>
      <c r="AH2703" s="22"/>
      <c r="AI2703" s="22"/>
      <c r="AJ2703" s="22"/>
      <c r="AK2703" s="22"/>
      <c r="AL2703" s="22"/>
      <c r="AM2703" s="22"/>
      <c r="AN2703" s="22"/>
      <c r="AO2703" s="22"/>
      <c r="AP2703" s="22"/>
    </row>
    <row r="2704">
      <c r="A2704" s="193"/>
      <c r="B2704" s="194"/>
      <c r="C2704" s="195"/>
      <c r="D2704" s="196"/>
      <c r="E2704" s="197"/>
      <c r="F2704" s="197"/>
      <c r="G2704" s="195"/>
      <c r="H2704" s="195"/>
      <c r="I2704" s="197"/>
      <c r="J2704" s="121"/>
      <c r="K2704" s="121"/>
      <c r="L2704" s="200"/>
      <c r="M2704" s="204"/>
      <c r="N2704" s="205"/>
      <c r="O2704" s="170"/>
      <c r="P2704" s="198"/>
      <c r="Q2704" s="199"/>
      <c r="R2704" s="200"/>
      <c r="S2704" s="170"/>
      <c r="T2704" s="170"/>
      <c r="U2704" s="201"/>
      <c r="V2704" s="198"/>
      <c r="W2704" s="170"/>
      <c r="X2704" s="202"/>
      <c r="Y2704" s="203"/>
      <c r="Z2704" s="170"/>
      <c r="AA2704" s="198"/>
      <c r="AB2704" s="170"/>
      <c r="AC2704" s="170"/>
      <c r="AD2704" s="121"/>
      <c r="AE2704" s="121"/>
      <c r="AF2704" s="121"/>
      <c r="AG2704" s="22"/>
      <c r="AH2704" s="22"/>
      <c r="AI2704" s="22"/>
      <c r="AJ2704" s="22"/>
      <c r="AK2704" s="22"/>
      <c r="AL2704" s="22"/>
      <c r="AM2704" s="22"/>
      <c r="AN2704" s="22"/>
      <c r="AO2704" s="22"/>
      <c r="AP2704" s="22"/>
    </row>
    <row r="2705">
      <c r="A2705" s="193"/>
      <c r="B2705" s="194"/>
      <c r="C2705" s="195"/>
      <c r="D2705" s="196"/>
      <c r="E2705" s="197"/>
      <c r="F2705" s="197"/>
      <c r="G2705" s="195"/>
      <c r="H2705" s="195"/>
      <c r="I2705" s="197"/>
      <c r="J2705" s="121"/>
      <c r="K2705" s="121"/>
      <c r="L2705" s="200"/>
      <c r="M2705" s="204"/>
      <c r="N2705" s="205"/>
      <c r="O2705" s="170"/>
      <c r="P2705" s="198"/>
      <c r="Q2705" s="199"/>
      <c r="R2705" s="200"/>
      <c r="S2705" s="170"/>
      <c r="T2705" s="170"/>
      <c r="U2705" s="201"/>
      <c r="V2705" s="198"/>
      <c r="W2705" s="170"/>
      <c r="X2705" s="202"/>
      <c r="Y2705" s="203"/>
      <c r="Z2705" s="170"/>
      <c r="AA2705" s="198"/>
      <c r="AB2705" s="170"/>
      <c r="AC2705" s="170"/>
      <c r="AD2705" s="121"/>
      <c r="AE2705" s="121"/>
      <c r="AF2705" s="121"/>
      <c r="AG2705" s="22"/>
      <c r="AH2705" s="22"/>
      <c r="AI2705" s="22"/>
      <c r="AJ2705" s="22"/>
      <c r="AK2705" s="22"/>
      <c r="AL2705" s="22"/>
      <c r="AM2705" s="22"/>
      <c r="AN2705" s="22"/>
      <c r="AO2705" s="22"/>
      <c r="AP2705" s="22"/>
    </row>
    <row r="2706">
      <c r="A2706" s="193"/>
      <c r="B2706" s="194"/>
      <c r="C2706" s="195"/>
      <c r="D2706" s="196"/>
      <c r="E2706" s="197"/>
      <c r="F2706" s="197"/>
      <c r="G2706" s="195"/>
      <c r="H2706" s="195"/>
      <c r="I2706" s="197"/>
      <c r="J2706" s="121"/>
      <c r="K2706" s="121"/>
      <c r="L2706" s="200"/>
      <c r="M2706" s="204"/>
      <c r="N2706" s="205"/>
      <c r="O2706" s="170"/>
      <c r="P2706" s="198"/>
      <c r="Q2706" s="199"/>
      <c r="R2706" s="200"/>
      <c r="S2706" s="170"/>
      <c r="T2706" s="170"/>
      <c r="U2706" s="201"/>
      <c r="V2706" s="198"/>
      <c r="W2706" s="170"/>
      <c r="X2706" s="202"/>
      <c r="Y2706" s="203"/>
      <c r="Z2706" s="170"/>
      <c r="AA2706" s="198"/>
      <c r="AB2706" s="170"/>
      <c r="AC2706" s="170"/>
      <c r="AD2706" s="121"/>
      <c r="AE2706" s="121"/>
      <c r="AF2706" s="121"/>
      <c r="AG2706" s="22"/>
      <c r="AH2706" s="22"/>
      <c r="AI2706" s="22"/>
      <c r="AJ2706" s="22"/>
      <c r="AK2706" s="22"/>
      <c r="AL2706" s="22"/>
      <c r="AM2706" s="22"/>
      <c r="AN2706" s="22"/>
      <c r="AO2706" s="22"/>
      <c r="AP2706" s="22"/>
    </row>
    <row r="2707">
      <c r="A2707" s="193"/>
      <c r="B2707" s="194"/>
      <c r="C2707" s="195"/>
      <c r="D2707" s="196"/>
      <c r="E2707" s="197"/>
      <c r="F2707" s="197"/>
      <c r="G2707" s="195"/>
      <c r="H2707" s="195"/>
      <c r="I2707" s="197"/>
      <c r="J2707" s="121"/>
      <c r="K2707" s="121"/>
      <c r="L2707" s="200"/>
      <c r="M2707" s="204"/>
      <c r="N2707" s="205"/>
      <c r="O2707" s="170"/>
      <c r="P2707" s="198"/>
      <c r="Q2707" s="199"/>
      <c r="R2707" s="200"/>
      <c r="S2707" s="170"/>
      <c r="T2707" s="170"/>
      <c r="U2707" s="201"/>
      <c r="V2707" s="198"/>
      <c r="W2707" s="170"/>
      <c r="X2707" s="202"/>
      <c r="Y2707" s="203"/>
      <c r="Z2707" s="170"/>
      <c r="AA2707" s="198"/>
      <c r="AB2707" s="170"/>
      <c r="AC2707" s="170"/>
      <c r="AD2707" s="121"/>
      <c r="AE2707" s="121"/>
      <c r="AF2707" s="121"/>
      <c r="AG2707" s="22"/>
      <c r="AH2707" s="22"/>
      <c r="AI2707" s="22"/>
      <c r="AJ2707" s="22"/>
      <c r="AK2707" s="22"/>
      <c r="AL2707" s="22"/>
      <c r="AM2707" s="22"/>
      <c r="AN2707" s="22"/>
      <c r="AO2707" s="22"/>
      <c r="AP2707" s="22"/>
    </row>
    <row r="2708">
      <c r="A2708" s="193"/>
      <c r="B2708" s="194"/>
      <c r="C2708" s="195"/>
      <c r="D2708" s="196"/>
      <c r="E2708" s="197"/>
      <c r="F2708" s="197"/>
      <c r="G2708" s="195"/>
      <c r="H2708" s="195"/>
      <c r="I2708" s="197"/>
      <c r="J2708" s="121"/>
      <c r="K2708" s="121"/>
      <c r="L2708" s="200"/>
      <c r="M2708" s="204"/>
      <c r="N2708" s="205"/>
      <c r="O2708" s="170"/>
      <c r="P2708" s="198"/>
      <c r="Q2708" s="199"/>
      <c r="R2708" s="200"/>
      <c r="S2708" s="170"/>
      <c r="T2708" s="170"/>
      <c r="U2708" s="201"/>
      <c r="V2708" s="198"/>
      <c r="W2708" s="170"/>
      <c r="X2708" s="202"/>
      <c r="Y2708" s="203"/>
      <c r="Z2708" s="170"/>
      <c r="AA2708" s="198"/>
      <c r="AB2708" s="170"/>
      <c r="AC2708" s="170"/>
      <c r="AD2708" s="121"/>
      <c r="AE2708" s="121"/>
      <c r="AF2708" s="121"/>
      <c r="AG2708" s="22"/>
      <c r="AH2708" s="22"/>
      <c r="AI2708" s="22"/>
      <c r="AJ2708" s="22"/>
      <c r="AK2708" s="22"/>
      <c r="AL2708" s="22"/>
      <c r="AM2708" s="22"/>
      <c r="AN2708" s="22"/>
      <c r="AO2708" s="22"/>
      <c r="AP2708" s="22"/>
    </row>
    <row r="2709">
      <c r="A2709" s="193"/>
      <c r="B2709" s="194"/>
      <c r="C2709" s="195"/>
      <c r="D2709" s="196"/>
      <c r="E2709" s="197"/>
      <c r="F2709" s="197"/>
      <c r="G2709" s="195"/>
      <c r="H2709" s="195"/>
      <c r="I2709" s="197"/>
      <c r="J2709" s="121"/>
      <c r="K2709" s="121"/>
      <c r="L2709" s="200"/>
      <c r="M2709" s="204"/>
      <c r="N2709" s="205"/>
      <c r="O2709" s="170"/>
      <c r="P2709" s="198"/>
      <c r="Q2709" s="199"/>
      <c r="R2709" s="200"/>
      <c r="S2709" s="170"/>
      <c r="T2709" s="170"/>
      <c r="U2709" s="201"/>
      <c r="V2709" s="198"/>
      <c r="W2709" s="170"/>
      <c r="X2709" s="202"/>
      <c r="Y2709" s="203"/>
      <c r="Z2709" s="170"/>
      <c r="AA2709" s="198"/>
      <c r="AB2709" s="170"/>
      <c r="AC2709" s="170"/>
      <c r="AD2709" s="121"/>
      <c r="AE2709" s="121"/>
      <c r="AF2709" s="121"/>
      <c r="AG2709" s="22"/>
      <c r="AH2709" s="22"/>
      <c r="AI2709" s="22"/>
      <c r="AJ2709" s="22"/>
      <c r="AK2709" s="22"/>
      <c r="AL2709" s="22"/>
      <c r="AM2709" s="22"/>
      <c r="AN2709" s="22"/>
      <c r="AO2709" s="22"/>
      <c r="AP2709" s="22"/>
    </row>
    <row r="2710">
      <c r="A2710" s="193"/>
      <c r="B2710" s="194"/>
      <c r="C2710" s="195"/>
      <c r="D2710" s="196"/>
      <c r="E2710" s="197"/>
      <c r="F2710" s="197"/>
      <c r="G2710" s="195"/>
      <c r="H2710" s="195"/>
      <c r="I2710" s="197"/>
      <c r="J2710" s="121"/>
      <c r="K2710" s="121"/>
      <c r="L2710" s="200"/>
      <c r="M2710" s="204"/>
      <c r="N2710" s="205"/>
      <c r="O2710" s="170"/>
      <c r="P2710" s="198"/>
      <c r="Q2710" s="199"/>
      <c r="R2710" s="200"/>
      <c r="S2710" s="170"/>
      <c r="T2710" s="170"/>
      <c r="U2710" s="201"/>
      <c r="V2710" s="198"/>
      <c r="W2710" s="170"/>
      <c r="X2710" s="202"/>
      <c r="Y2710" s="203"/>
      <c r="Z2710" s="170"/>
      <c r="AA2710" s="198"/>
      <c r="AB2710" s="170"/>
      <c r="AC2710" s="170"/>
      <c r="AD2710" s="121"/>
      <c r="AE2710" s="121"/>
      <c r="AF2710" s="121"/>
      <c r="AG2710" s="22"/>
      <c r="AH2710" s="22"/>
      <c r="AI2710" s="22"/>
      <c r="AJ2710" s="22"/>
      <c r="AK2710" s="22"/>
      <c r="AL2710" s="22"/>
      <c r="AM2710" s="22"/>
      <c r="AN2710" s="22"/>
      <c r="AO2710" s="22"/>
      <c r="AP2710" s="22"/>
    </row>
    <row r="2711">
      <c r="A2711" s="193"/>
      <c r="B2711" s="194"/>
      <c r="C2711" s="195"/>
      <c r="D2711" s="196"/>
      <c r="E2711" s="197"/>
      <c r="F2711" s="197"/>
      <c r="G2711" s="195"/>
      <c r="H2711" s="195"/>
      <c r="I2711" s="197"/>
      <c r="J2711" s="121"/>
      <c r="K2711" s="121"/>
      <c r="L2711" s="200"/>
      <c r="M2711" s="204"/>
      <c r="N2711" s="205"/>
      <c r="O2711" s="170"/>
      <c r="P2711" s="198"/>
      <c r="Q2711" s="199"/>
      <c r="R2711" s="200"/>
      <c r="S2711" s="170"/>
      <c r="T2711" s="170"/>
      <c r="U2711" s="201"/>
      <c r="V2711" s="198"/>
      <c r="W2711" s="170"/>
      <c r="X2711" s="202"/>
      <c r="Y2711" s="203"/>
      <c r="Z2711" s="170"/>
      <c r="AA2711" s="198"/>
      <c r="AB2711" s="170"/>
      <c r="AC2711" s="170"/>
      <c r="AD2711" s="121"/>
      <c r="AE2711" s="121"/>
      <c r="AF2711" s="121"/>
      <c r="AG2711" s="22"/>
      <c r="AH2711" s="22"/>
      <c r="AI2711" s="22"/>
      <c r="AJ2711" s="22"/>
      <c r="AK2711" s="22"/>
      <c r="AL2711" s="22"/>
      <c r="AM2711" s="22"/>
      <c r="AN2711" s="22"/>
      <c r="AO2711" s="22"/>
      <c r="AP2711" s="22"/>
    </row>
    <row r="2712">
      <c r="A2712" s="193"/>
      <c r="B2712" s="194"/>
      <c r="C2712" s="195"/>
      <c r="D2712" s="196"/>
      <c r="E2712" s="197"/>
      <c r="F2712" s="197"/>
      <c r="G2712" s="195"/>
      <c r="H2712" s="195"/>
      <c r="I2712" s="197"/>
      <c r="J2712" s="121"/>
      <c r="K2712" s="121"/>
      <c r="L2712" s="200"/>
      <c r="M2712" s="204"/>
      <c r="N2712" s="205"/>
      <c r="O2712" s="170"/>
      <c r="P2712" s="198"/>
      <c r="Q2712" s="199"/>
      <c r="R2712" s="200"/>
      <c r="S2712" s="170"/>
      <c r="T2712" s="170"/>
      <c r="U2712" s="201"/>
      <c r="V2712" s="198"/>
      <c r="W2712" s="170"/>
      <c r="X2712" s="202"/>
      <c r="Y2712" s="203"/>
      <c r="Z2712" s="170"/>
      <c r="AA2712" s="198"/>
      <c r="AB2712" s="170"/>
      <c r="AC2712" s="170"/>
      <c r="AD2712" s="121"/>
      <c r="AE2712" s="121"/>
      <c r="AF2712" s="121"/>
      <c r="AG2712" s="22"/>
      <c r="AH2712" s="22"/>
      <c r="AI2712" s="22"/>
      <c r="AJ2712" s="22"/>
      <c r="AK2712" s="22"/>
      <c r="AL2712" s="22"/>
      <c r="AM2712" s="22"/>
      <c r="AN2712" s="22"/>
      <c r="AO2712" s="22"/>
      <c r="AP2712" s="22"/>
    </row>
    <row r="2713">
      <c r="A2713" s="193"/>
      <c r="B2713" s="194"/>
      <c r="C2713" s="195"/>
      <c r="D2713" s="196"/>
      <c r="E2713" s="197"/>
      <c r="F2713" s="197"/>
      <c r="G2713" s="195"/>
      <c r="H2713" s="195"/>
      <c r="I2713" s="197"/>
      <c r="J2713" s="121"/>
      <c r="K2713" s="121"/>
      <c r="L2713" s="200"/>
      <c r="M2713" s="204"/>
      <c r="N2713" s="205"/>
      <c r="O2713" s="170"/>
      <c r="P2713" s="198"/>
      <c r="Q2713" s="199"/>
      <c r="R2713" s="200"/>
      <c r="S2713" s="170"/>
      <c r="T2713" s="170"/>
      <c r="U2713" s="201"/>
      <c r="V2713" s="198"/>
      <c r="W2713" s="170"/>
      <c r="X2713" s="202"/>
      <c r="Y2713" s="203"/>
      <c r="Z2713" s="170"/>
      <c r="AA2713" s="198"/>
      <c r="AB2713" s="170"/>
      <c r="AC2713" s="170"/>
      <c r="AD2713" s="121"/>
      <c r="AE2713" s="121"/>
      <c r="AF2713" s="121"/>
      <c r="AG2713" s="22"/>
      <c r="AH2713" s="22"/>
      <c r="AI2713" s="22"/>
      <c r="AJ2713" s="22"/>
      <c r="AK2713" s="22"/>
      <c r="AL2713" s="22"/>
      <c r="AM2713" s="22"/>
      <c r="AN2713" s="22"/>
      <c r="AO2713" s="22"/>
      <c r="AP2713" s="22"/>
    </row>
    <row r="2714">
      <c r="A2714" s="193"/>
      <c r="B2714" s="194"/>
      <c r="C2714" s="195"/>
      <c r="D2714" s="196"/>
      <c r="E2714" s="197"/>
      <c r="F2714" s="197"/>
      <c r="G2714" s="195"/>
      <c r="H2714" s="195"/>
      <c r="I2714" s="197"/>
      <c r="J2714" s="121"/>
      <c r="K2714" s="121"/>
      <c r="L2714" s="200"/>
      <c r="M2714" s="204"/>
      <c r="N2714" s="205"/>
      <c r="O2714" s="170"/>
      <c r="P2714" s="198"/>
      <c r="Q2714" s="199"/>
      <c r="R2714" s="200"/>
      <c r="S2714" s="170"/>
      <c r="T2714" s="170"/>
      <c r="U2714" s="201"/>
      <c r="V2714" s="198"/>
      <c r="W2714" s="170"/>
      <c r="X2714" s="202"/>
      <c r="Y2714" s="203"/>
      <c r="Z2714" s="170"/>
      <c r="AA2714" s="198"/>
      <c r="AB2714" s="170"/>
      <c r="AC2714" s="170"/>
      <c r="AD2714" s="121"/>
      <c r="AE2714" s="121"/>
      <c r="AF2714" s="121"/>
      <c r="AG2714" s="22"/>
      <c r="AH2714" s="22"/>
      <c r="AI2714" s="22"/>
      <c r="AJ2714" s="22"/>
      <c r="AK2714" s="22"/>
      <c r="AL2714" s="22"/>
      <c r="AM2714" s="22"/>
      <c r="AN2714" s="22"/>
      <c r="AO2714" s="22"/>
      <c r="AP2714" s="22"/>
    </row>
    <row r="2715">
      <c r="A2715" s="193"/>
      <c r="B2715" s="194"/>
      <c r="C2715" s="195"/>
      <c r="D2715" s="196"/>
      <c r="E2715" s="197"/>
      <c r="F2715" s="197"/>
      <c r="G2715" s="195"/>
      <c r="H2715" s="195"/>
      <c r="I2715" s="197"/>
      <c r="J2715" s="121"/>
      <c r="K2715" s="121"/>
      <c r="L2715" s="200"/>
      <c r="M2715" s="204"/>
      <c r="N2715" s="205"/>
      <c r="O2715" s="170"/>
      <c r="P2715" s="198"/>
      <c r="Q2715" s="199"/>
      <c r="R2715" s="200"/>
      <c r="S2715" s="170"/>
      <c r="T2715" s="170"/>
      <c r="U2715" s="201"/>
      <c r="V2715" s="198"/>
      <c r="W2715" s="170"/>
      <c r="X2715" s="202"/>
      <c r="Y2715" s="203"/>
      <c r="Z2715" s="170"/>
      <c r="AA2715" s="198"/>
      <c r="AB2715" s="170"/>
      <c r="AC2715" s="170"/>
      <c r="AD2715" s="121"/>
      <c r="AE2715" s="121"/>
      <c r="AF2715" s="121"/>
      <c r="AG2715" s="22"/>
      <c r="AH2715" s="22"/>
      <c r="AI2715" s="22"/>
      <c r="AJ2715" s="22"/>
      <c r="AK2715" s="22"/>
      <c r="AL2715" s="22"/>
      <c r="AM2715" s="22"/>
      <c r="AN2715" s="22"/>
      <c r="AO2715" s="22"/>
      <c r="AP2715" s="22"/>
    </row>
    <row r="2716">
      <c r="A2716" s="193"/>
      <c r="B2716" s="194"/>
      <c r="C2716" s="195"/>
      <c r="D2716" s="196"/>
      <c r="E2716" s="197"/>
      <c r="F2716" s="197"/>
      <c r="G2716" s="195"/>
      <c r="H2716" s="195"/>
      <c r="I2716" s="197"/>
      <c r="J2716" s="121"/>
      <c r="K2716" s="121"/>
      <c r="L2716" s="200"/>
      <c r="M2716" s="204"/>
      <c r="N2716" s="205"/>
      <c r="O2716" s="170"/>
      <c r="P2716" s="198"/>
      <c r="Q2716" s="199"/>
      <c r="R2716" s="200"/>
      <c r="S2716" s="170"/>
      <c r="T2716" s="170"/>
      <c r="U2716" s="201"/>
      <c r="V2716" s="198"/>
      <c r="W2716" s="170"/>
      <c r="X2716" s="202"/>
      <c r="Y2716" s="203"/>
      <c r="Z2716" s="170"/>
      <c r="AA2716" s="198"/>
      <c r="AB2716" s="170"/>
      <c r="AC2716" s="170"/>
      <c r="AD2716" s="121"/>
      <c r="AE2716" s="121"/>
      <c r="AF2716" s="121"/>
      <c r="AG2716" s="22"/>
      <c r="AH2716" s="22"/>
      <c r="AI2716" s="22"/>
      <c r="AJ2716" s="22"/>
      <c r="AK2716" s="22"/>
      <c r="AL2716" s="22"/>
      <c r="AM2716" s="22"/>
      <c r="AN2716" s="22"/>
      <c r="AO2716" s="22"/>
      <c r="AP2716" s="22"/>
    </row>
    <row r="2717">
      <c r="A2717" s="193"/>
      <c r="B2717" s="194"/>
      <c r="C2717" s="195"/>
      <c r="D2717" s="196"/>
      <c r="E2717" s="197"/>
      <c r="F2717" s="197"/>
      <c r="G2717" s="195"/>
      <c r="H2717" s="195"/>
      <c r="I2717" s="197"/>
      <c r="J2717" s="121"/>
      <c r="K2717" s="121"/>
      <c r="L2717" s="200"/>
      <c r="M2717" s="204"/>
      <c r="N2717" s="205"/>
      <c r="O2717" s="170"/>
      <c r="P2717" s="198"/>
      <c r="Q2717" s="199"/>
      <c r="R2717" s="200"/>
      <c r="S2717" s="170"/>
      <c r="T2717" s="170"/>
      <c r="U2717" s="201"/>
      <c r="V2717" s="198"/>
      <c r="W2717" s="170"/>
      <c r="X2717" s="202"/>
      <c r="Y2717" s="203"/>
      <c r="Z2717" s="170"/>
      <c r="AA2717" s="198"/>
      <c r="AB2717" s="170"/>
      <c r="AC2717" s="170"/>
      <c r="AD2717" s="121"/>
      <c r="AE2717" s="121"/>
      <c r="AF2717" s="121"/>
      <c r="AG2717" s="22"/>
      <c r="AH2717" s="22"/>
      <c r="AI2717" s="22"/>
      <c r="AJ2717" s="22"/>
      <c r="AK2717" s="22"/>
      <c r="AL2717" s="22"/>
      <c r="AM2717" s="22"/>
      <c r="AN2717" s="22"/>
      <c r="AO2717" s="22"/>
      <c r="AP2717" s="22"/>
    </row>
    <row r="2718">
      <c r="A2718" s="193"/>
      <c r="B2718" s="194"/>
      <c r="C2718" s="195"/>
      <c r="D2718" s="196"/>
      <c r="E2718" s="197"/>
      <c r="F2718" s="197"/>
      <c r="G2718" s="195"/>
      <c r="H2718" s="195"/>
      <c r="I2718" s="197"/>
      <c r="J2718" s="121"/>
      <c r="K2718" s="121"/>
      <c r="L2718" s="200"/>
      <c r="M2718" s="204"/>
      <c r="N2718" s="205"/>
      <c r="O2718" s="170"/>
      <c r="P2718" s="198"/>
      <c r="Q2718" s="199"/>
      <c r="R2718" s="200"/>
      <c r="S2718" s="170"/>
      <c r="T2718" s="170"/>
      <c r="U2718" s="201"/>
      <c r="V2718" s="198"/>
      <c r="W2718" s="170"/>
      <c r="X2718" s="202"/>
      <c r="Y2718" s="203"/>
      <c r="Z2718" s="170"/>
      <c r="AA2718" s="198"/>
      <c r="AB2718" s="170"/>
      <c r="AC2718" s="170"/>
      <c r="AD2718" s="121"/>
      <c r="AE2718" s="121"/>
      <c r="AF2718" s="121"/>
      <c r="AG2718" s="22"/>
      <c r="AH2718" s="22"/>
      <c r="AI2718" s="22"/>
      <c r="AJ2718" s="22"/>
      <c r="AK2718" s="22"/>
      <c r="AL2718" s="22"/>
      <c r="AM2718" s="22"/>
      <c r="AN2718" s="22"/>
      <c r="AO2718" s="22"/>
      <c r="AP2718" s="22"/>
    </row>
    <row r="2719">
      <c r="A2719" s="193"/>
      <c r="B2719" s="194"/>
      <c r="C2719" s="195"/>
      <c r="D2719" s="196"/>
      <c r="E2719" s="197"/>
      <c r="F2719" s="197"/>
      <c r="G2719" s="195"/>
      <c r="H2719" s="195"/>
      <c r="I2719" s="197"/>
      <c r="J2719" s="121"/>
      <c r="K2719" s="121"/>
      <c r="L2719" s="200"/>
      <c r="M2719" s="204"/>
      <c r="N2719" s="205"/>
      <c r="O2719" s="170"/>
      <c r="P2719" s="198"/>
      <c r="Q2719" s="199"/>
      <c r="R2719" s="200"/>
      <c r="S2719" s="170"/>
      <c r="T2719" s="170"/>
      <c r="U2719" s="201"/>
      <c r="V2719" s="198"/>
      <c r="W2719" s="170"/>
      <c r="X2719" s="202"/>
      <c r="Y2719" s="203"/>
      <c r="Z2719" s="170"/>
      <c r="AA2719" s="198"/>
      <c r="AB2719" s="170"/>
      <c r="AC2719" s="170"/>
      <c r="AD2719" s="121"/>
      <c r="AE2719" s="121"/>
      <c r="AF2719" s="121"/>
      <c r="AG2719" s="22"/>
      <c r="AH2719" s="22"/>
      <c r="AI2719" s="22"/>
      <c r="AJ2719" s="22"/>
      <c r="AK2719" s="22"/>
      <c r="AL2719" s="22"/>
      <c r="AM2719" s="22"/>
      <c r="AN2719" s="22"/>
      <c r="AO2719" s="22"/>
      <c r="AP2719" s="22"/>
    </row>
    <row r="2720">
      <c r="A2720" s="193"/>
      <c r="B2720" s="194"/>
      <c r="C2720" s="195"/>
      <c r="D2720" s="196"/>
      <c r="E2720" s="197"/>
      <c r="F2720" s="197"/>
      <c r="G2720" s="195"/>
      <c r="H2720" s="195"/>
      <c r="I2720" s="197"/>
      <c r="J2720" s="121"/>
      <c r="K2720" s="121"/>
      <c r="L2720" s="200"/>
      <c r="M2720" s="204"/>
      <c r="N2720" s="205"/>
      <c r="O2720" s="170"/>
      <c r="P2720" s="198"/>
      <c r="Q2720" s="199"/>
      <c r="R2720" s="200"/>
      <c r="S2720" s="170"/>
      <c r="T2720" s="170"/>
      <c r="U2720" s="201"/>
      <c r="V2720" s="198"/>
      <c r="W2720" s="170"/>
      <c r="X2720" s="202"/>
      <c r="Y2720" s="203"/>
      <c r="Z2720" s="170"/>
      <c r="AA2720" s="198"/>
      <c r="AB2720" s="170"/>
      <c r="AC2720" s="170"/>
      <c r="AD2720" s="121"/>
      <c r="AE2720" s="121"/>
      <c r="AF2720" s="121"/>
      <c r="AG2720" s="22"/>
      <c r="AH2720" s="22"/>
      <c r="AI2720" s="22"/>
      <c r="AJ2720" s="22"/>
      <c r="AK2720" s="22"/>
      <c r="AL2720" s="22"/>
      <c r="AM2720" s="22"/>
      <c r="AN2720" s="22"/>
      <c r="AO2720" s="22"/>
      <c r="AP2720" s="22"/>
    </row>
    <row r="2721">
      <c r="A2721" s="193"/>
      <c r="B2721" s="194"/>
      <c r="C2721" s="195"/>
      <c r="D2721" s="196"/>
      <c r="E2721" s="197"/>
      <c r="F2721" s="197"/>
      <c r="G2721" s="195"/>
      <c r="H2721" s="195"/>
      <c r="I2721" s="197"/>
      <c r="J2721" s="121"/>
      <c r="K2721" s="121"/>
      <c r="L2721" s="200"/>
      <c r="M2721" s="204"/>
      <c r="N2721" s="205"/>
      <c r="O2721" s="170"/>
      <c r="P2721" s="198"/>
      <c r="Q2721" s="199"/>
      <c r="R2721" s="200"/>
      <c r="S2721" s="170"/>
      <c r="T2721" s="170"/>
      <c r="U2721" s="201"/>
      <c r="V2721" s="198"/>
      <c r="W2721" s="170"/>
      <c r="X2721" s="202"/>
      <c r="Y2721" s="203"/>
      <c r="Z2721" s="170"/>
      <c r="AA2721" s="198"/>
      <c r="AB2721" s="170"/>
      <c r="AC2721" s="170"/>
      <c r="AD2721" s="121"/>
      <c r="AE2721" s="121"/>
      <c r="AF2721" s="121"/>
      <c r="AG2721" s="22"/>
      <c r="AH2721" s="22"/>
      <c r="AI2721" s="22"/>
      <c r="AJ2721" s="22"/>
      <c r="AK2721" s="22"/>
      <c r="AL2721" s="22"/>
      <c r="AM2721" s="22"/>
      <c r="AN2721" s="22"/>
      <c r="AO2721" s="22"/>
      <c r="AP2721" s="22"/>
    </row>
    <row r="2722">
      <c r="A2722" s="193"/>
      <c r="B2722" s="194"/>
      <c r="C2722" s="195"/>
      <c r="D2722" s="196"/>
      <c r="E2722" s="197"/>
      <c r="F2722" s="197"/>
      <c r="G2722" s="195"/>
      <c r="H2722" s="195"/>
      <c r="I2722" s="197"/>
      <c r="J2722" s="121"/>
      <c r="K2722" s="121"/>
      <c r="L2722" s="200"/>
      <c r="M2722" s="204"/>
      <c r="N2722" s="205"/>
      <c r="O2722" s="170"/>
      <c r="P2722" s="198"/>
      <c r="Q2722" s="199"/>
      <c r="R2722" s="200"/>
      <c r="S2722" s="170"/>
      <c r="T2722" s="170"/>
      <c r="U2722" s="201"/>
      <c r="V2722" s="198"/>
      <c r="W2722" s="170"/>
      <c r="X2722" s="202"/>
      <c r="Y2722" s="203"/>
      <c r="Z2722" s="170"/>
      <c r="AA2722" s="198"/>
      <c r="AB2722" s="170"/>
      <c r="AC2722" s="170"/>
      <c r="AD2722" s="121"/>
      <c r="AE2722" s="121"/>
      <c r="AF2722" s="121"/>
      <c r="AG2722" s="22"/>
      <c r="AH2722" s="22"/>
      <c r="AI2722" s="22"/>
      <c r="AJ2722" s="22"/>
      <c r="AK2722" s="22"/>
      <c r="AL2722" s="22"/>
      <c r="AM2722" s="22"/>
      <c r="AN2722" s="22"/>
      <c r="AO2722" s="22"/>
      <c r="AP2722" s="22"/>
    </row>
    <row r="2723">
      <c r="A2723" s="193"/>
      <c r="B2723" s="194"/>
      <c r="C2723" s="195"/>
      <c r="D2723" s="196"/>
      <c r="E2723" s="197"/>
      <c r="F2723" s="197"/>
      <c r="G2723" s="195"/>
      <c r="H2723" s="195"/>
      <c r="I2723" s="197"/>
      <c r="J2723" s="121"/>
      <c r="K2723" s="121"/>
      <c r="L2723" s="200"/>
      <c r="M2723" s="204"/>
      <c r="N2723" s="205"/>
      <c r="O2723" s="170"/>
      <c r="P2723" s="198"/>
      <c r="Q2723" s="199"/>
      <c r="R2723" s="200"/>
      <c r="S2723" s="170"/>
      <c r="T2723" s="170"/>
      <c r="U2723" s="201"/>
      <c r="V2723" s="198"/>
      <c r="W2723" s="170"/>
      <c r="X2723" s="202"/>
      <c r="Y2723" s="203"/>
      <c r="Z2723" s="170"/>
      <c r="AA2723" s="198"/>
      <c r="AB2723" s="170"/>
      <c r="AC2723" s="170"/>
      <c r="AD2723" s="121"/>
      <c r="AE2723" s="121"/>
      <c r="AF2723" s="121"/>
      <c r="AG2723" s="22"/>
      <c r="AH2723" s="22"/>
      <c r="AI2723" s="22"/>
      <c r="AJ2723" s="22"/>
      <c r="AK2723" s="22"/>
      <c r="AL2723" s="22"/>
      <c r="AM2723" s="22"/>
      <c r="AN2723" s="22"/>
      <c r="AO2723" s="22"/>
      <c r="AP2723" s="22"/>
    </row>
    <row r="2724">
      <c r="A2724" s="193"/>
      <c r="B2724" s="194"/>
      <c r="C2724" s="195"/>
      <c r="D2724" s="196"/>
      <c r="E2724" s="197"/>
      <c r="F2724" s="197"/>
      <c r="G2724" s="195"/>
      <c r="H2724" s="195"/>
      <c r="I2724" s="197"/>
      <c r="J2724" s="121"/>
      <c r="K2724" s="121"/>
      <c r="L2724" s="200"/>
      <c r="M2724" s="204"/>
      <c r="N2724" s="205"/>
      <c r="O2724" s="170"/>
      <c r="P2724" s="198"/>
      <c r="Q2724" s="199"/>
      <c r="R2724" s="200"/>
      <c r="S2724" s="170"/>
      <c r="T2724" s="170"/>
      <c r="U2724" s="201"/>
      <c r="V2724" s="198"/>
      <c r="W2724" s="170"/>
      <c r="X2724" s="202"/>
      <c r="Y2724" s="203"/>
      <c r="Z2724" s="170"/>
      <c r="AA2724" s="198"/>
      <c r="AB2724" s="170"/>
      <c r="AC2724" s="170"/>
      <c r="AD2724" s="121"/>
      <c r="AE2724" s="121"/>
      <c r="AF2724" s="121"/>
      <c r="AG2724" s="22"/>
      <c r="AH2724" s="22"/>
      <c r="AI2724" s="22"/>
      <c r="AJ2724" s="22"/>
      <c r="AK2724" s="22"/>
      <c r="AL2724" s="22"/>
      <c r="AM2724" s="22"/>
      <c r="AN2724" s="22"/>
      <c r="AO2724" s="22"/>
      <c r="AP2724" s="22"/>
    </row>
    <row r="2725">
      <c r="A2725" s="193"/>
      <c r="B2725" s="194"/>
      <c r="C2725" s="195"/>
      <c r="D2725" s="196"/>
      <c r="E2725" s="197"/>
      <c r="F2725" s="197"/>
      <c r="G2725" s="195"/>
      <c r="H2725" s="195"/>
      <c r="I2725" s="197"/>
      <c r="J2725" s="121"/>
      <c r="K2725" s="121"/>
      <c r="L2725" s="200"/>
      <c r="M2725" s="204"/>
      <c r="N2725" s="205"/>
      <c r="O2725" s="170"/>
      <c r="P2725" s="198"/>
      <c r="Q2725" s="199"/>
      <c r="R2725" s="200"/>
      <c r="S2725" s="170"/>
      <c r="T2725" s="170"/>
      <c r="U2725" s="201"/>
      <c r="V2725" s="198"/>
      <c r="W2725" s="170"/>
      <c r="X2725" s="202"/>
      <c r="Y2725" s="203"/>
      <c r="Z2725" s="170"/>
      <c r="AA2725" s="198"/>
      <c r="AB2725" s="170"/>
      <c r="AC2725" s="170"/>
      <c r="AD2725" s="121"/>
      <c r="AE2725" s="121"/>
      <c r="AF2725" s="121"/>
      <c r="AG2725" s="22"/>
      <c r="AH2725" s="22"/>
      <c r="AI2725" s="22"/>
      <c r="AJ2725" s="22"/>
      <c r="AK2725" s="22"/>
      <c r="AL2725" s="22"/>
      <c r="AM2725" s="22"/>
      <c r="AN2725" s="22"/>
      <c r="AO2725" s="22"/>
      <c r="AP2725" s="22"/>
    </row>
    <row r="2726">
      <c r="A2726" s="193"/>
      <c r="B2726" s="194"/>
      <c r="C2726" s="195"/>
      <c r="D2726" s="196"/>
      <c r="E2726" s="197"/>
      <c r="F2726" s="197"/>
      <c r="G2726" s="195"/>
      <c r="H2726" s="195"/>
      <c r="I2726" s="197"/>
      <c r="J2726" s="121"/>
      <c r="K2726" s="121"/>
      <c r="L2726" s="200"/>
      <c r="M2726" s="204"/>
      <c r="N2726" s="205"/>
      <c r="O2726" s="170"/>
      <c r="P2726" s="198"/>
      <c r="Q2726" s="199"/>
      <c r="R2726" s="200"/>
      <c r="S2726" s="170"/>
      <c r="T2726" s="170"/>
      <c r="U2726" s="201"/>
      <c r="V2726" s="198"/>
      <c r="W2726" s="170"/>
      <c r="X2726" s="202"/>
      <c r="Y2726" s="203"/>
      <c r="Z2726" s="170"/>
      <c r="AA2726" s="198"/>
      <c r="AB2726" s="170"/>
      <c r="AC2726" s="170"/>
      <c r="AD2726" s="121"/>
      <c r="AE2726" s="121"/>
      <c r="AF2726" s="121"/>
      <c r="AG2726" s="22"/>
      <c r="AH2726" s="22"/>
      <c r="AI2726" s="22"/>
      <c r="AJ2726" s="22"/>
      <c r="AK2726" s="22"/>
      <c r="AL2726" s="22"/>
      <c r="AM2726" s="22"/>
      <c r="AN2726" s="22"/>
      <c r="AO2726" s="22"/>
      <c r="AP2726" s="22"/>
    </row>
    <row r="2727">
      <c r="A2727" s="193"/>
      <c r="B2727" s="194"/>
      <c r="C2727" s="195"/>
      <c r="D2727" s="196"/>
      <c r="E2727" s="197"/>
      <c r="F2727" s="197"/>
      <c r="G2727" s="195"/>
      <c r="H2727" s="195"/>
      <c r="I2727" s="197"/>
      <c r="J2727" s="121"/>
      <c r="K2727" s="121"/>
      <c r="L2727" s="200"/>
      <c r="M2727" s="204"/>
      <c r="N2727" s="205"/>
      <c r="O2727" s="170"/>
      <c r="P2727" s="198"/>
      <c r="Q2727" s="199"/>
      <c r="R2727" s="200"/>
      <c r="S2727" s="170"/>
      <c r="T2727" s="170"/>
      <c r="U2727" s="201"/>
      <c r="V2727" s="198"/>
      <c r="W2727" s="170"/>
      <c r="X2727" s="202"/>
      <c r="Y2727" s="203"/>
      <c r="Z2727" s="170"/>
      <c r="AA2727" s="198"/>
      <c r="AB2727" s="170"/>
      <c r="AC2727" s="170"/>
      <c r="AD2727" s="121"/>
      <c r="AE2727" s="121"/>
      <c r="AF2727" s="121"/>
      <c r="AG2727" s="22"/>
      <c r="AH2727" s="22"/>
      <c r="AI2727" s="22"/>
      <c r="AJ2727" s="22"/>
      <c r="AK2727" s="22"/>
      <c r="AL2727" s="22"/>
      <c r="AM2727" s="22"/>
      <c r="AN2727" s="22"/>
      <c r="AO2727" s="22"/>
      <c r="AP2727" s="22"/>
    </row>
    <row r="2728">
      <c r="A2728" s="193"/>
      <c r="B2728" s="194"/>
      <c r="C2728" s="195"/>
      <c r="D2728" s="196"/>
      <c r="E2728" s="197"/>
      <c r="F2728" s="197"/>
      <c r="G2728" s="195"/>
      <c r="H2728" s="195"/>
      <c r="I2728" s="197"/>
      <c r="J2728" s="121"/>
      <c r="K2728" s="121"/>
      <c r="L2728" s="200"/>
      <c r="M2728" s="204"/>
      <c r="N2728" s="205"/>
      <c r="O2728" s="170"/>
      <c r="P2728" s="198"/>
      <c r="Q2728" s="199"/>
      <c r="R2728" s="200"/>
      <c r="S2728" s="170"/>
      <c r="T2728" s="170"/>
      <c r="U2728" s="201"/>
      <c r="V2728" s="198"/>
      <c r="W2728" s="170"/>
      <c r="X2728" s="202"/>
      <c r="Y2728" s="203"/>
      <c r="Z2728" s="170"/>
      <c r="AA2728" s="198"/>
      <c r="AB2728" s="170"/>
      <c r="AC2728" s="170"/>
      <c r="AD2728" s="121"/>
      <c r="AE2728" s="121"/>
      <c r="AF2728" s="121"/>
      <c r="AG2728" s="22"/>
      <c r="AH2728" s="22"/>
      <c r="AI2728" s="22"/>
      <c r="AJ2728" s="22"/>
      <c r="AK2728" s="22"/>
      <c r="AL2728" s="22"/>
      <c r="AM2728" s="22"/>
      <c r="AN2728" s="22"/>
      <c r="AO2728" s="22"/>
      <c r="AP2728" s="22"/>
    </row>
    <row r="2729">
      <c r="A2729" s="193"/>
      <c r="B2729" s="194"/>
      <c r="C2729" s="195"/>
      <c r="D2729" s="196"/>
      <c r="E2729" s="197"/>
      <c r="F2729" s="197"/>
      <c r="G2729" s="195"/>
      <c r="H2729" s="195"/>
      <c r="I2729" s="197"/>
      <c r="J2729" s="121"/>
      <c r="K2729" s="121"/>
      <c r="L2729" s="200"/>
      <c r="M2729" s="204"/>
      <c r="N2729" s="205"/>
      <c r="O2729" s="170"/>
      <c r="P2729" s="198"/>
      <c r="Q2729" s="199"/>
      <c r="R2729" s="200"/>
      <c r="S2729" s="170"/>
      <c r="T2729" s="170"/>
      <c r="U2729" s="201"/>
      <c r="V2729" s="198"/>
      <c r="W2729" s="170"/>
      <c r="X2729" s="202"/>
      <c r="Y2729" s="203"/>
      <c r="Z2729" s="170"/>
      <c r="AA2729" s="198"/>
      <c r="AB2729" s="170"/>
      <c r="AC2729" s="170"/>
      <c r="AD2729" s="121"/>
      <c r="AE2729" s="121"/>
      <c r="AF2729" s="121"/>
      <c r="AG2729" s="22"/>
      <c r="AH2729" s="22"/>
      <c r="AI2729" s="22"/>
      <c r="AJ2729" s="22"/>
      <c r="AK2729" s="22"/>
      <c r="AL2729" s="22"/>
      <c r="AM2729" s="22"/>
      <c r="AN2729" s="22"/>
      <c r="AO2729" s="22"/>
      <c r="AP2729" s="22"/>
    </row>
    <row r="2730">
      <c r="A2730" s="193"/>
      <c r="B2730" s="194"/>
      <c r="C2730" s="195"/>
      <c r="D2730" s="196"/>
      <c r="E2730" s="197"/>
      <c r="F2730" s="197"/>
      <c r="G2730" s="195"/>
      <c r="H2730" s="195"/>
      <c r="I2730" s="197"/>
      <c r="J2730" s="121"/>
      <c r="K2730" s="121"/>
      <c r="L2730" s="200"/>
      <c r="M2730" s="204"/>
      <c r="N2730" s="205"/>
      <c r="O2730" s="170"/>
      <c r="P2730" s="198"/>
      <c r="Q2730" s="199"/>
      <c r="R2730" s="200"/>
      <c r="S2730" s="170"/>
      <c r="T2730" s="170"/>
      <c r="U2730" s="201"/>
      <c r="V2730" s="198"/>
      <c r="W2730" s="170"/>
      <c r="X2730" s="202"/>
      <c r="Y2730" s="203"/>
      <c r="Z2730" s="170"/>
      <c r="AA2730" s="198"/>
      <c r="AB2730" s="170"/>
      <c r="AC2730" s="170"/>
      <c r="AD2730" s="121"/>
      <c r="AE2730" s="121"/>
      <c r="AF2730" s="121"/>
      <c r="AG2730" s="22"/>
      <c r="AH2730" s="22"/>
      <c r="AI2730" s="22"/>
      <c r="AJ2730" s="22"/>
      <c r="AK2730" s="22"/>
      <c r="AL2730" s="22"/>
      <c r="AM2730" s="22"/>
      <c r="AN2730" s="22"/>
      <c r="AO2730" s="22"/>
      <c r="AP2730" s="22"/>
    </row>
    <row r="2731">
      <c r="A2731" s="193"/>
      <c r="B2731" s="194"/>
      <c r="C2731" s="195"/>
      <c r="D2731" s="196"/>
      <c r="E2731" s="197"/>
      <c r="F2731" s="197"/>
      <c r="G2731" s="195"/>
      <c r="H2731" s="195"/>
      <c r="I2731" s="197"/>
      <c r="J2731" s="121"/>
      <c r="K2731" s="121"/>
      <c r="L2731" s="200"/>
      <c r="M2731" s="204"/>
      <c r="N2731" s="205"/>
      <c r="O2731" s="170"/>
      <c r="P2731" s="198"/>
      <c r="Q2731" s="199"/>
      <c r="R2731" s="200"/>
      <c r="S2731" s="170"/>
      <c r="T2731" s="170"/>
      <c r="U2731" s="201"/>
      <c r="V2731" s="198"/>
      <c r="W2731" s="170"/>
      <c r="X2731" s="202"/>
      <c r="Y2731" s="203"/>
      <c r="Z2731" s="170"/>
      <c r="AA2731" s="198"/>
      <c r="AB2731" s="170"/>
      <c r="AC2731" s="170"/>
      <c r="AD2731" s="121"/>
      <c r="AE2731" s="121"/>
      <c r="AF2731" s="121"/>
      <c r="AG2731" s="22"/>
      <c r="AH2731" s="22"/>
      <c r="AI2731" s="22"/>
      <c r="AJ2731" s="22"/>
      <c r="AK2731" s="22"/>
      <c r="AL2731" s="22"/>
      <c r="AM2731" s="22"/>
      <c r="AN2731" s="22"/>
      <c r="AO2731" s="22"/>
      <c r="AP2731" s="22"/>
    </row>
    <row r="2732">
      <c r="A2732" s="193"/>
      <c r="B2732" s="194"/>
      <c r="C2732" s="195"/>
      <c r="D2732" s="196"/>
      <c r="E2732" s="197"/>
      <c r="F2732" s="197"/>
      <c r="G2732" s="195"/>
      <c r="H2732" s="195"/>
      <c r="I2732" s="197"/>
      <c r="J2732" s="121"/>
      <c r="K2732" s="121"/>
      <c r="L2732" s="200"/>
      <c r="M2732" s="204"/>
      <c r="N2732" s="205"/>
      <c r="O2732" s="170"/>
      <c r="P2732" s="198"/>
      <c r="Q2732" s="199"/>
      <c r="R2732" s="200"/>
      <c r="S2732" s="170"/>
      <c r="T2732" s="170"/>
      <c r="U2732" s="201"/>
      <c r="V2732" s="198"/>
      <c r="W2732" s="170"/>
      <c r="X2732" s="202"/>
      <c r="Y2732" s="203"/>
      <c r="Z2732" s="170"/>
      <c r="AA2732" s="198"/>
      <c r="AB2732" s="170"/>
      <c r="AC2732" s="170"/>
      <c r="AD2732" s="121"/>
      <c r="AE2732" s="121"/>
      <c r="AF2732" s="121"/>
      <c r="AG2732" s="22"/>
      <c r="AH2732" s="22"/>
      <c r="AI2732" s="22"/>
      <c r="AJ2732" s="22"/>
      <c r="AK2732" s="22"/>
      <c r="AL2732" s="22"/>
      <c r="AM2732" s="22"/>
      <c r="AN2732" s="22"/>
      <c r="AO2732" s="22"/>
      <c r="AP2732" s="22"/>
    </row>
    <row r="2733">
      <c r="A2733" s="193"/>
      <c r="B2733" s="194"/>
      <c r="C2733" s="195"/>
      <c r="D2733" s="196"/>
      <c r="E2733" s="197"/>
      <c r="F2733" s="197"/>
      <c r="G2733" s="195"/>
      <c r="H2733" s="195"/>
      <c r="I2733" s="197"/>
      <c r="J2733" s="121"/>
      <c r="K2733" s="121"/>
      <c r="L2733" s="200"/>
      <c r="M2733" s="204"/>
      <c r="N2733" s="205"/>
      <c r="O2733" s="170"/>
      <c r="P2733" s="198"/>
      <c r="Q2733" s="199"/>
      <c r="R2733" s="200"/>
      <c r="S2733" s="170"/>
      <c r="T2733" s="170"/>
      <c r="U2733" s="201"/>
      <c r="V2733" s="198"/>
      <c r="W2733" s="170"/>
      <c r="X2733" s="202"/>
      <c r="Y2733" s="203"/>
      <c r="Z2733" s="170"/>
      <c r="AA2733" s="198"/>
      <c r="AB2733" s="170"/>
      <c r="AC2733" s="170"/>
      <c r="AD2733" s="121"/>
      <c r="AE2733" s="121"/>
      <c r="AF2733" s="121"/>
      <c r="AG2733" s="22"/>
      <c r="AH2733" s="22"/>
      <c r="AI2733" s="22"/>
      <c r="AJ2733" s="22"/>
      <c r="AK2733" s="22"/>
      <c r="AL2733" s="22"/>
      <c r="AM2733" s="22"/>
      <c r="AN2733" s="22"/>
      <c r="AO2733" s="22"/>
      <c r="AP2733" s="22"/>
    </row>
    <row r="2734">
      <c r="A2734" s="193"/>
      <c r="B2734" s="194"/>
      <c r="C2734" s="195"/>
      <c r="D2734" s="196"/>
      <c r="E2734" s="197"/>
      <c r="F2734" s="197"/>
      <c r="G2734" s="195"/>
      <c r="H2734" s="195"/>
      <c r="I2734" s="197"/>
      <c r="J2734" s="121"/>
      <c r="K2734" s="121"/>
      <c r="L2734" s="200"/>
      <c r="M2734" s="204"/>
      <c r="N2734" s="205"/>
      <c r="O2734" s="170"/>
      <c r="P2734" s="198"/>
      <c r="Q2734" s="199"/>
      <c r="R2734" s="200"/>
      <c r="S2734" s="170"/>
      <c r="T2734" s="170"/>
      <c r="U2734" s="201"/>
      <c r="V2734" s="198"/>
      <c r="W2734" s="170"/>
      <c r="X2734" s="202"/>
      <c r="Y2734" s="203"/>
      <c r="Z2734" s="170"/>
      <c r="AA2734" s="198"/>
      <c r="AB2734" s="170"/>
      <c r="AC2734" s="170"/>
      <c r="AD2734" s="121"/>
      <c r="AE2734" s="121"/>
      <c r="AF2734" s="121"/>
      <c r="AG2734" s="22"/>
      <c r="AH2734" s="22"/>
      <c r="AI2734" s="22"/>
      <c r="AJ2734" s="22"/>
      <c r="AK2734" s="22"/>
      <c r="AL2734" s="22"/>
      <c r="AM2734" s="22"/>
      <c r="AN2734" s="22"/>
      <c r="AO2734" s="22"/>
      <c r="AP2734" s="22"/>
    </row>
    <row r="2735">
      <c r="A2735" s="193"/>
      <c r="B2735" s="194"/>
      <c r="C2735" s="195"/>
      <c r="D2735" s="196"/>
      <c r="E2735" s="197"/>
      <c r="F2735" s="197"/>
      <c r="G2735" s="195"/>
      <c r="H2735" s="195"/>
      <c r="I2735" s="197"/>
      <c r="J2735" s="121"/>
      <c r="K2735" s="121"/>
      <c r="L2735" s="200"/>
      <c r="M2735" s="204"/>
      <c r="N2735" s="205"/>
      <c r="O2735" s="170"/>
      <c r="P2735" s="198"/>
      <c r="Q2735" s="199"/>
      <c r="R2735" s="200"/>
      <c r="S2735" s="170"/>
      <c r="T2735" s="170"/>
      <c r="U2735" s="201"/>
      <c r="V2735" s="198"/>
      <c r="W2735" s="170"/>
      <c r="X2735" s="202"/>
      <c r="Y2735" s="203"/>
      <c r="Z2735" s="170"/>
      <c r="AA2735" s="198"/>
      <c r="AB2735" s="170"/>
      <c r="AC2735" s="170"/>
      <c r="AD2735" s="121"/>
      <c r="AE2735" s="121"/>
      <c r="AF2735" s="121"/>
      <c r="AG2735" s="22"/>
      <c r="AH2735" s="22"/>
      <c r="AI2735" s="22"/>
      <c r="AJ2735" s="22"/>
      <c r="AK2735" s="22"/>
      <c r="AL2735" s="22"/>
      <c r="AM2735" s="22"/>
      <c r="AN2735" s="22"/>
      <c r="AO2735" s="22"/>
      <c r="AP2735" s="22"/>
    </row>
    <row r="2736">
      <c r="A2736" s="193"/>
      <c r="B2736" s="194"/>
      <c r="C2736" s="195"/>
      <c r="D2736" s="196"/>
      <c r="E2736" s="197"/>
      <c r="F2736" s="197"/>
      <c r="G2736" s="195"/>
      <c r="H2736" s="195"/>
      <c r="I2736" s="197"/>
      <c r="J2736" s="121"/>
      <c r="K2736" s="121"/>
      <c r="L2736" s="200"/>
      <c r="M2736" s="204"/>
      <c r="N2736" s="205"/>
      <c r="O2736" s="170"/>
      <c r="P2736" s="198"/>
      <c r="Q2736" s="199"/>
      <c r="R2736" s="200"/>
      <c r="S2736" s="170"/>
      <c r="T2736" s="170"/>
      <c r="U2736" s="201"/>
      <c r="V2736" s="198"/>
      <c r="W2736" s="170"/>
      <c r="X2736" s="202"/>
      <c r="Y2736" s="203"/>
      <c r="Z2736" s="170"/>
      <c r="AA2736" s="198"/>
      <c r="AB2736" s="170"/>
      <c r="AC2736" s="170"/>
      <c r="AD2736" s="121"/>
      <c r="AE2736" s="121"/>
      <c r="AF2736" s="121"/>
      <c r="AG2736" s="22"/>
      <c r="AH2736" s="22"/>
      <c r="AI2736" s="22"/>
      <c r="AJ2736" s="22"/>
      <c r="AK2736" s="22"/>
      <c r="AL2736" s="22"/>
      <c r="AM2736" s="22"/>
      <c r="AN2736" s="22"/>
      <c r="AO2736" s="22"/>
      <c r="AP2736" s="22"/>
    </row>
    <row r="2737">
      <c r="A2737" s="193"/>
      <c r="B2737" s="194"/>
      <c r="C2737" s="195"/>
      <c r="D2737" s="196"/>
      <c r="E2737" s="197"/>
      <c r="F2737" s="197"/>
      <c r="G2737" s="195"/>
      <c r="H2737" s="195"/>
      <c r="I2737" s="197"/>
      <c r="J2737" s="121"/>
      <c r="K2737" s="121"/>
      <c r="L2737" s="200"/>
      <c r="M2737" s="204"/>
      <c r="N2737" s="205"/>
      <c r="O2737" s="170"/>
      <c r="P2737" s="198"/>
      <c r="Q2737" s="199"/>
      <c r="R2737" s="200"/>
      <c r="S2737" s="170"/>
      <c r="T2737" s="170"/>
      <c r="U2737" s="201"/>
      <c r="V2737" s="198"/>
      <c r="W2737" s="170"/>
      <c r="X2737" s="202"/>
      <c r="Y2737" s="203"/>
      <c r="Z2737" s="170"/>
      <c r="AA2737" s="198"/>
      <c r="AB2737" s="170"/>
      <c r="AC2737" s="170"/>
      <c r="AD2737" s="121"/>
      <c r="AE2737" s="121"/>
      <c r="AF2737" s="121"/>
      <c r="AG2737" s="22"/>
      <c r="AH2737" s="22"/>
      <c r="AI2737" s="22"/>
      <c r="AJ2737" s="22"/>
      <c r="AK2737" s="22"/>
      <c r="AL2737" s="22"/>
      <c r="AM2737" s="22"/>
      <c r="AN2737" s="22"/>
      <c r="AO2737" s="22"/>
      <c r="AP2737" s="22"/>
    </row>
    <row r="2738">
      <c r="A2738" s="193"/>
      <c r="B2738" s="194"/>
      <c r="C2738" s="195"/>
      <c r="D2738" s="196"/>
      <c r="E2738" s="197"/>
      <c r="F2738" s="197"/>
      <c r="G2738" s="195"/>
      <c r="H2738" s="195"/>
      <c r="I2738" s="197"/>
      <c r="J2738" s="121"/>
      <c r="K2738" s="121"/>
      <c r="L2738" s="200"/>
      <c r="M2738" s="204"/>
      <c r="N2738" s="205"/>
      <c r="O2738" s="170"/>
      <c r="P2738" s="198"/>
      <c r="Q2738" s="199"/>
      <c r="R2738" s="200"/>
      <c r="S2738" s="170"/>
      <c r="T2738" s="170"/>
      <c r="U2738" s="201"/>
      <c r="V2738" s="198"/>
      <c r="W2738" s="170"/>
      <c r="X2738" s="202"/>
      <c r="Y2738" s="203"/>
      <c r="Z2738" s="170"/>
      <c r="AA2738" s="198"/>
      <c r="AB2738" s="170"/>
      <c r="AC2738" s="170"/>
      <c r="AD2738" s="121"/>
      <c r="AE2738" s="121"/>
      <c r="AF2738" s="121"/>
      <c r="AG2738" s="22"/>
      <c r="AH2738" s="22"/>
      <c r="AI2738" s="22"/>
      <c r="AJ2738" s="22"/>
      <c r="AK2738" s="22"/>
      <c r="AL2738" s="22"/>
      <c r="AM2738" s="22"/>
      <c r="AN2738" s="22"/>
      <c r="AO2738" s="22"/>
      <c r="AP2738" s="22"/>
    </row>
    <row r="2739">
      <c r="A2739" s="193"/>
      <c r="B2739" s="194"/>
      <c r="C2739" s="195"/>
      <c r="D2739" s="196"/>
      <c r="E2739" s="197"/>
      <c r="F2739" s="197"/>
      <c r="G2739" s="195"/>
      <c r="H2739" s="195"/>
      <c r="I2739" s="197"/>
      <c r="J2739" s="121"/>
      <c r="K2739" s="121"/>
      <c r="L2739" s="200"/>
      <c r="M2739" s="204"/>
      <c r="N2739" s="205"/>
      <c r="O2739" s="170"/>
      <c r="P2739" s="198"/>
      <c r="Q2739" s="199"/>
      <c r="R2739" s="200"/>
      <c r="S2739" s="170"/>
      <c r="T2739" s="170"/>
      <c r="U2739" s="201"/>
      <c r="V2739" s="198"/>
      <c r="W2739" s="170"/>
      <c r="X2739" s="202"/>
      <c r="Y2739" s="203"/>
      <c r="Z2739" s="170"/>
      <c r="AA2739" s="198"/>
      <c r="AB2739" s="170"/>
      <c r="AC2739" s="170"/>
      <c r="AD2739" s="121"/>
      <c r="AE2739" s="121"/>
      <c r="AF2739" s="121"/>
      <c r="AG2739" s="22"/>
      <c r="AH2739" s="22"/>
      <c r="AI2739" s="22"/>
      <c r="AJ2739" s="22"/>
      <c r="AK2739" s="22"/>
      <c r="AL2739" s="22"/>
      <c r="AM2739" s="22"/>
      <c r="AN2739" s="22"/>
      <c r="AO2739" s="22"/>
      <c r="AP2739" s="22"/>
    </row>
    <row r="2740">
      <c r="A2740" s="193"/>
      <c r="B2740" s="194"/>
      <c r="C2740" s="195"/>
      <c r="D2740" s="196"/>
      <c r="E2740" s="197"/>
      <c r="F2740" s="197"/>
      <c r="G2740" s="195"/>
      <c r="H2740" s="195"/>
      <c r="I2740" s="197"/>
      <c r="J2740" s="121"/>
      <c r="K2740" s="121"/>
      <c r="L2740" s="200"/>
      <c r="M2740" s="204"/>
      <c r="N2740" s="205"/>
      <c r="O2740" s="170"/>
      <c r="P2740" s="198"/>
      <c r="Q2740" s="199"/>
      <c r="R2740" s="200"/>
      <c r="S2740" s="170"/>
      <c r="T2740" s="170"/>
      <c r="U2740" s="201"/>
      <c r="V2740" s="198"/>
      <c r="W2740" s="170"/>
      <c r="X2740" s="202"/>
      <c r="Y2740" s="203"/>
      <c r="Z2740" s="170"/>
      <c r="AA2740" s="198"/>
      <c r="AB2740" s="170"/>
      <c r="AC2740" s="170"/>
      <c r="AD2740" s="121"/>
      <c r="AE2740" s="121"/>
      <c r="AF2740" s="121"/>
      <c r="AG2740" s="22"/>
      <c r="AH2740" s="22"/>
      <c r="AI2740" s="22"/>
      <c r="AJ2740" s="22"/>
      <c r="AK2740" s="22"/>
      <c r="AL2740" s="22"/>
      <c r="AM2740" s="22"/>
      <c r="AN2740" s="22"/>
      <c r="AO2740" s="22"/>
      <c r="AP2740" s="22"/>
    </row>
    <row r="2741">
      <c r="A2741" s="193"/>
      <c r="B2741" s="194"/>
      <c r="C2741" s="195"/>
      <c r="D2741" s="196"/>
      <c r="E2741" s="197"/>
      <c r="F2741" s="197"/>
      <c r="G2741" s="195"/>
      <c r="H2741" s="195"/>
      <c r="I2741" s="197"/>
      <c r="J2741" s="121"/>
      <c r="K2741" s="121"/>
      <c r="L2741" s="200"/>
      <c r="M2741" s="204"/>
      <c r="N2741" s="205"/>
      <c r="O2741" s="170"/>
      <c r="P2741" s="198"/>
      <c r="Q2741" s="199"/>
      <c r="R2741" s="200"/>
      <c r="S2741" s="170"/>
      <c r="T2741" s="170"/>
      <c r="U2741" s="201"/>
      <c r="V2741" s="198"/>
      <c r="W2741" s="170"/>
      <c r="X2741" s="202"/>
      <c r="Y2741" s="203"/>
      <c r="Z2741" s="170"/>
      <c r="AA2741" s="198"/>
      <c r="AB2741" s="170"/>
      <c r="AC2741" s="170"/>
      <c r="AD2741" s="121"/>
      <c r="AE2741" s="121"/>
      <c r="AF2741" s="121"/>
      <c r="AG2741" s="22"/>
      <c r="AH2741" s="22"/>
      <c r="AI2741" s="22"/>
      <c r="AJ2741" s="22"/>
      <c r="AK2741" s="22"/>
      <c r="AL2741" s="22"/>
      <c r="AM2741" s="22"/>
      <c r="AN2741" s="22"/>
      <c r="AO2741" s="22"/>
      <c r="AP2741" s="22"/>
    </row>
    <row r="2742">
      <c r="A2742" s="193"/>
      <c r="B2742" s="194"/>
      <c r="C2742" s="195"/>
      <c r="D2742" s="196"/>
      <c r="E2742" s="197"/>
      <c r="F2742" s="197"/>
      <c r="G2742" s="195"/>
      <c r="H2742" s="195"/>
      <c r="I2742" s="197"/>
      <c r="J2742" s="121"/>
      <c r="K2742" s="121"/>
      <c r="L2742" s="200"/>
      <c r="M2742" s="204"/>
      <c r="N2742" s="205"/>
      <c r="O2742" s="170"/>
      <c r="P2742" s="198"/>
      <c r="Q2742" s="199"/>
      <c r="R2742" s="200"/>
      <c r="S2742" s="170"/>
      <c r="T2742" s="170"/>
      <c r="U2742" s="201"/>
      <c r="V2742" s="198"/>
      <c r="W2742" s="170"/>
      <c r="X2742" s="202"/>
      <c r="Y2742" s="203"/>
      <c r="Z2742" s="170"/>
      <c r="AA2742" s="198"/>
      <c r="AB2742" s="170"/>
      <c r="AC2742" s="170"/>
      <c r="AD2742" s="121"/>
      <c r="AE2742" s="121"/>
      <c r="AF2742" s="121"/>
      <c r="AG2742" s="22"/>
      <c r="AH2742" s="22"/>
      <c r="AI2742" s="22"/>
      <c r="AJ2742" s="22"/>
      <c r="AK2742" s="22"/>
      <c r="AL2742" s="22"/>
      <c r="AM2742" s="22"/>
      <c r="AN2742" s="22"/>
      <c r="AO2742" s="22"/>
      <c r="AP2742" s="22"/>
    </row>
    <row r="2743">
      <c r="A2743" s="193"/>
      <c r="B2743" s="194"/>
      <c r="C2743" s="195"/>
      <c r="D2743" s="196"/>
      <c r="E2743" s="197"/>
      <c r="F2743" s="197"/>
      <c r="G2743" s="195"/>
      <c r="H2743" s="195"/>
      <c r="I2743" s="197"/>
      <c r="J2743" s="121"/>
      <c r="K2743" s="121"/>
      <c r="L2743" s="200"/>
      <c r="M2743" s="204"/>
      <c r="N2743" s="205"/>
      <c r="O2743" s="170"/>
      <c r="P2743" s="198"/>
      <c r="Q2743" s="199"/>
      <c r="R2743" s="200"/>
      <c r="S2743" s="170"/>
      <c r="T2743" s="170"/>
      <c r="U2743" s="201"/>
      <c r="V2743" s="198"/>
      <c r="W2743" s="170"/>
      <c r="X2743" s="202"/>
      <c r="Y2743" s="203"/>
      <c r="Z2743" s="170"/>
      <c r="AA2743" s="198"/>
      <c r="AB2743" s="170"/>
      <c r="AC2743" s="170"/>
      <c r="AD2743" s="121"/>
      <c r="AE2743" s="121"/>
      <c r="AF2743" s="121"/>
      <c r="AG2743" s="22"/>
      <c r="AH2743" s="22"/>
      <c r="AI2743" s="22"/>
      <c r="AJ2743" s="22"/>
      <c r="AK2743" s="22"/>
      <c r="AL2743" s="22"/>
      <c r="AM2743" s="22"/>
      <c r="AN2743" s="22"/>
      <c r="AO2743" s="22"/>
      <c r="AP2743" s="22"/>
    </row>
    <row r="2744">
      <c r="A2744" s="193"/>
      <c r="B2744" s="194"/>
      <c r="C2744" s="195"/>
      <c r="D2744" s="196"/>
      <c r="E2744" s="197"/>
      <c r="F2744" s="197"/>
      <c r="G2744" s="195"/>
      <c r="H2744" s="195"/>
      <c r="I2744" s="197"/>
      <c r="J2744" s="121"/>
      <c r="K2744" s="121"/>
      <c r="L2744" s="200"/>
      <c r="M2744" s="204"/>
      <c r="N2744" s="205"/>
      <c r="O2744" s="170"/>
      <c r="P2744" s="198"/>
      <c r="Q2744" s="199"/>
      <c r="R2744" s="200"/>
      <c r="S2744" s="170"/>
      <c r="T2744" s="170"/>
      <c r="U2744" s="201"/>
      <c r="V2744" s="198"/>
      <c r="W2744" s="170"/>
      <c r="X2744" s="202"/>
      <c r="Y2744" s="203"/>
      <c r="Z2744" s="170"/>
      <c r="AA2744" s="198"/>
      <c r="AB2744" s="170"/>
      <c r="AC2744" s="170"/>
      <c r="AD2744" s="121"/>
      <c r="AE2744" s="121"/>
      <c r="AF2744" s="121"/>
      <c r="AG2744" s="22"/>
      <c r="AH2744" s="22"/>
      <c r="AI2744" s="22"/>
      <c r="AJ2744" s="22"/>
      <c r="AK2744" s="22"/>
      <c r="AL2744" s="22"/>
      <c r="AM2744" s="22"/>
      <c r="AN2744" s="22"/>
      <c r="AO2744" s="22"/>
      <c r="AP2744" s="22"/>
    </row>
    <row r="2745">
      <c r="A2745" s="193"/>
      <c r="B2745" s="194"/>
      <c r="C2745" s="195"/>
      <c r="D2745" s="196"/>
      <c r="E2745" s="197"/>
      <c r="F2745" s="197"/>
      <c r="G2745" s="195"/>
      <c r="H2745" s="195"/>
      <c r="I2745" s="197"/>
      <c r="J2745" s="121"/>
      <c r="K2745" s="121"/>
      <c r="L2745" s="200"/>
      <c r="M2745" s="204"/>
      <c r="N2745" s="205"/>
      <c r="O2745" s="170"/>
      <c r="P2745" s="198"/>
      <c r="Q2745" s="199"/>
      <c r="R2745" s="200"/>
      <c r="S2745" s="170"/>
      <c r="T2745" s="170"/>
      <c r="U2745" s="201"/>
      <c r="V2745" s="198"/>
      <c r="W2745" s="170"/>
      <c r="X2745" s="202"/>
      <c r="Y2745" s="203"/>
      <c r="Z2745" s="170"/>
      <c r="AA2745" s="198"/>
      <c r="AB2745" s="170"/>
      <c r="AC2745" s="170"/>
      <c r="AD2745" s="121"/>
      <c r="AE2745" s="121"/>
      <c r="AF2745" s="121"/>
      <c r="AG2745" s="22"/>
      <c r="AH2745" s="22"/>
      <c r="AI2745" s="22"/>
      <c r="AJ2745" s="22"/>
      <c r="AK2745" s="22"/>
      <c r="AL2745" s="22"/>
      <c r="AM2745" s="22"/>
      <c r="AN2745" s="22"/>
      <c r="AO2745" s="22"/>
      <c r="AP2745" s="22"/>
    </row>
    <row r="2746">
      <c r="A2746" s="193"/>
      <c r="B2746" s="194"/>
      <c r="C2746" s="195"/>
      <c r="D2746" s="196"/>
      <c r="E2746" s="197"/>
      <c r="F2746" s="197"/>
      <c r="G2746" s="195"/>
      <c r="H2746" s="195"/>
      <c r="I2746" s="197"/>
      <c r="J2746" s="121"/>
      <c r="K2746" s="121"/>
      <c r="L2746" s="200"/>
      <c r="M2746" s="204"/>
      <c r="N2746" s="205"/>
      <c r="O2746" s="170"/>
      <c r="P2746" s="198"/>
      <c r="Q2746" s="199"/>
      <c r="R2746" s="200"/>
      <c r="S2746" s="170"/>
      <c r="T2746" s="170"/>
      <c r="U2746" s="201"/>
      <c r="V2746" s="198"/>
      <c r="W2746" s="170"/>
      <c r="X2746" s="202"/>
      <c r="Y2746" s="203"/>
      <c r="Z2746" s="170"/>
      <c r="AA2746" s="198"/>
      <c r="AB2746" s="170"/>
      <c r="AC2746" s="170"/>
      <c r="AD2746" s="121"/>
      <c r="AE2746" s="121"/>
      <c r="AF2746" s="121"/>
      <c r="AG2746" s="22"/>
      <c r="AH2746" s="22"/>
      <c r="AI2746" s="22"/>
      <c r="AJ2746" s="22"/>
      <c r="AK2746" s="22"/>
      <c r="AL2746" s="22"/>
      <c r="AM2746" s="22"/>
      <c r="AN2746" s="22"/>
      <c r="AO2746" s="22"/>
      <c r="AP2746" s="22"/>
    </row>
    <row r="2747">
      <c r="A2747" s="193"/>
      <c r="B2747" s="194"/>
      <c r="C2747" s="195"/>
      <c r="D2747" s="196"/>
      <c r="E2747" s="197"/>
      <c r="F2747" s="197"/>
      <c r="G2747" s="195"/>
      <c r="H2747" s="195"/>
      <c r="I2747" s="197"/>
      <c r="J2747" s="121"/>
      <c r="K2747" s="121"/>
      <c r="L2747" s="200"/>
      <c r="M2747" s="204"/>
      <c r="N2747" s="205"/>
      <c r="O2747" s="170"/>
      <c r="P2747" s="198"/>
      <c r="Q2747" s="199"/>
      <c r="R2747" s="200"/>
      <c r="S2747" s="170"/>
      <c r="T2747" s="170"/>
      <c r="U2747" s="201"/>
      <c r="V2747" s="198"/>
      <c r="W2747" s="170"/>
      <c r="X2747" s="202"/>
      <c r="Y2747" s="203"/>
      <c r="Z2747" s="170"/>
      <c r="AA2747" s="198"/>
      <c r="AB2747" s="170"/>
      <c r="AC2747" s="170"/>
      <c r="AD2747" s="121"/>
      <c r="AE2747" s="121"/>
      <c r="AF2747" s="121"/>
      <c r="AG2747" s="22"/>
      <c r="AH2747" s="22"/>
      <c r="AI2747" s="22"/>
      <c r="AJ2747" s="22"/>
      <c r="AK2747" s="22"/>
      <c r="AL2747" s="22"/>
      <c r="AM2747" s="22"/>
      <c r="AN2747" s="22"/>
      <c r="AO2747" s="22"/>
      <c r="AP2747" s="22"/>
    </row>
    <row r="2748">
      <c r="A2748" s="193"/>
      <c r="B2748" s="194"/>
      <c r="C2748" s="195"/>
      <c r="D2748" s="196"/>
      <c r="E2748" s="197"/>
      <c r="F2748" s="197"/>
      <c r="G2748" s="195"/>
      <c r="H2748" s="195"/>
      <c r="I2748" s="197"/>
      <c r="J2748" s="121"/>
      <c r="K2748" s="121"/>
      <c r="L2748" s="200"/>
      <c r="M2748" s="204"/>
      <c r="N2748" s="205"/>
      <c r="O2748" s="170"/>
      <c r="P2748" s="198"/>
      <c r="Q2748" s="199"/>
      <c r="R2748" s="200"/>
      <c r="S2748" s="170"/>
      <c r="T2748" s="170"/>
      <c r="U2748" s="201"/>
      <c r="V2748" s="198"/>
      <c r="W2748" s="170"/>
      <c r="X2748" s="202"/>
      <c r="Y2748" s="203"/>
      <c r="Z2748" s="170"/>
      <c r="AA2748" s="198"/>
      <c r="AB2748" s="170"/>
      <c r="AC2748" s="170"/>
      <c r="AD2748" s="121"/>
      <c r="AE2748" s="121"/>
      <c r="AF2748" s="121"/>
      <c r="AG2748" s="22"/>
      <c r="AH2748" s="22"/>
      <c r="AI2748" s="22"/>
      <c r="AJ2748" s="22"/>
      <c r="AK2748" s="22"/>
      <c r="AL2748" s="22"/>
      <c r="AM2748" s="22"/>
      <c r="AN2748" s="22"/>
      <c r="AO2748" s="22"/>
      <c r="AP2748" s="22"/>
    </row>
    <row r="2749">
      <c r="A2749" s="193"/>
      <c r="B2749" s="194"/>
      <c r="C2749" s="195"/>
      <c r="D2749" s="196"/>
      <c r="E2749" s="197"/>
      <c r="F2749" s="197"/>
      <c r="G2749" s="195"/>
      <c r="H2749" s="195"/>
      <c r="I2749" s="197"/>
      <c r="J2749" s="121"/>
      <c r="K2749" s="121"/>
      <c r="L2749" s="200"/>
      <c r="M2749" s="204"/>
      <c r="N2749" s="205"/>
      <c r="O2749" s="170"/>
      <c r="P2749" s="198"/>
      <c r="Q2749" s="199"/>
      <c r="R2749" s="200"/>
      <c r="S2749" s="170"/>
      <c r="T2749" s="170"/>
      <c r="U2749" s="201"/>
      <c r="V2749" s="198"/>
      <c r="W2749" s="170"/>
      <c r="X2749" s="202"/>
      <c r="Y2749" s="203"/>
      <c r="Z2749" s="170"/>
      <c r="AA2749" s="198"/>
      <c r="AB2749" s="170"/>
      <c r="AC2749" s="170"/>
      <c r="AD2749" s="121"/>
      <c r="AE2749" s="121"/>
      <c r="AF2749" s="121"/>
      <c r="AG2749" s="22"/>
      <c r="AH2749" s="22"/>
      <c r="AI2749" s="22"/>
      <c r="AJ2749" s="22"/>
      <c r="AK2749" s="22"/>
      <c r="AL2749" s="22"/>
      <c r="AM2749" s="22"/>
      <c r="AN2749" s="22"/>
      <c r="AO2749" s="22"/>
      <c r="AP2749" s="22"/>
    </row>
    <row r="2750">
      <c r="A2750" s="193"/>
      <c r="B2750" s="194"/>
      <c r="C2750" s="195"/>
      <c r="D2750" s="196"/>
      <c r="E2750" s="197"/>
      <c r="F2750" s="197"/>
      <c r="G2750" s="195"/>
      <c r="H2750" s="195"/>
      <c r="I2750" s="197"/>
      <c r="J2750" s="121"/>
      <c r="K2750" s="121"/>
      <c r="L2750" s="200"/>
      <c r="M2750" s="204"/>
      <c r="N2750" s="205"/>
      <c r="O2750" s="170"/>
      <c r="P2750" s="198"/>
      <c r="Q2750" s="199"/>
      <c r="R2750" s="200"/>
      <c r="S2750" s="170"/>
      <c r="T2750" s="170"/>
      <c r="U2750" s="201"/>
      <c r="V2750" s="198"/>
      <c r="W2750" s="170"/>
      <c r="X2750" s="202"/>
      <c r="Y2750" s="203"/>
      <c r="Z2750" s="170"/>
      <c r="AA2750" s="198"/>
      <c r="AB2750" s="170"/>
      <c r="AC2750" s="170"/>
      <c r="AD2750" s="121"/>
      <c r="AE2750" s="121"/>
      <c r="AF2750" s="121"/>
      <c r="AG2750" s="22"/>
      <c r="AH2750" s="22"/>
      <c r="AI2750" s="22"/>
      <c r="AJ2750" s="22"/>
      <c r="AK2750" s="22"/>
      <c r="AL2750" s="22"/>
      <c r="AM2750" s="22"/>
      <c r="AN2750" s="22"/>
      <c r="AO2750" s="22"/>
      <c r="AP2750" s="22"/>
    </row>
    <row r="2751">
      <c r="A2751" s="193"/>
      <c r="B2751" s="194"/>
      <c r="C2751" s="195"/>
      <c r="D2751" s="196"/>
      <c r="E2751" s="197"/>
      <c r="F2751" s="197"/>
      <c r="G2751" s="195"/>
      <c r="H2751" s="195"/>
      <c r="I2751" s="197"/>
      <c r="J2751" s="121"/>
      <c r="K2751" s="121"/>
      <c r="L2751" s="200"/>
      <c r="M2751" s="204"/>
      <c r="N2751" s="205"/>
      <c r="O2751" s="170"/>
      <c r="P2751" s="198"/>
      <c r="Q2751" s="199"/>
      <c r="R2751" s="200"/>
      <c r="S2751" s="170"/>
      <c r="T2751" s="170"/>
      <c r="U2751" s="201"/>
      <c r="V2751" s="198"/>
      <c r="W2751" s="170"/>
      <c r="X2751" s="202"/>
      <c r="Y2751" s="203"/>
      <c r="Z2751" s="170"/>
      <c r="AA2751" s="198"/>
      <c r="AB2751" s="170"/>
      <c r="AC2751" s="170"/>
      <c r="AD2751" s="121"/>
      <c r="AE2751" s="121"/>
      <c r="AF2751" s="121"/>
      <c r="AG2751" s="22"/>
      <c r="AH2751" s="22"/>
      <c r="AI2751" s="22"/>
      <c r="AJ2751" s="22"/>
      <c r="AK2751" s="22"/>
      <c r="AL2751" s="22"/>
      <c r="AM2751" s="22"/>
      <c r="AN2751" s="22"/>
      <c r="AO2751" s="22"/>
      <c r="AP2751" s="22"/>
    </row>
    <row r="2752">
      <c r="A2752" s="193"/>
      <c r="B2752" s="194"/>
      <c r="C2752" s="195"/>
      <c r="D2752" s="196"/>
      <c r="E2752" s="197"/>
      <c r="F2752" s="197"/>
      <c r="G2752" s="195"/>
      <c r="H2752" s="195"/>
      <c r="I2752" s="197"/>
      <c r="J2752" s="121"/>
      <c r="K2752" s="121"/>
      <c r="L2752" s="200"/>
      <c r="M2752" s="204"/>
      <c r="N2752" s="205"/>
      <c r="O2752" s="170"/>
      <c r="P2752" s="198"/>
      <c r="Q2752" s="199"/>
      <c r="R2752" s="200"/>
      <c r="S2752" s="170"/>
      <c r="T2752" s="170"/>
      <c r="U2752" s="201"/>
      <c r="V2752" s="198"/>
      <c r="W2752" s="170"/>
      <c r="X2752" s="202"/>
      <c r="Y2752" s="203"/>
      <c r="Z2752" s="170"/>
      <c r="AA2752" s="198"/>
      <c r="AB2752" s="170"/>
      <c r="AC2752" s="170"/>
      <c r="AD2752" s="121"/>
      <c r="AE2752" s="121"/>
      <c r="AF2752" s="121"/>
      <c r="AG2752" s="22"/>
      <c r="AH2752" s="22"/>
      <c r="AI2752" s="22"/>
      <c r="AJ2752" s="22"/>
      <c r="AK2752" s="22"/>
      <c r="AL2752" s="22"/>
      <c r="AM2752" s="22"/>
      <c r="AN2752" s="22"/>
      <c r="AO2752" s="22"/>
      <c r="AP2752" s="22"/>
    </row>
    <row r="2753">
      <c r="A2753" s="193"/>
      <c r="B2753" s="194"/>
      <c r="C2753" s="195"/>
      <c r="D2753" s="196"/>
      <c r="E2753" s="197"/>
      <c r="F2753" s="197"/>
      <c r="G2753" s="195"/>
      <c r="H2753" s="195"/>
      <c r="I2753" s="197"/>
      <c r="J2753" s="121"/>
      <c r="K2753" s="121"/>
      <c r="L2753" s="200"/>
      <c r="M2753" s="204"/>
      <c r="N2753" s="205"/>
      <c r="O2753" s="170"/>
      <c r="P2753" s="198"/>
      <c r="Q2753" s="199"/>
      <c r="R2753" s="200"/>
      <c r="S2753" s="170"/>
      <c r="T2753" s="170"/>
      <c r="U2753" s="201"/>
      <c r="V2753" s="198"/>
      <c r="W2753" s="170"/>
      <c r="X2753" s="202"/>
      <c r="Y2753" s="203"/>
      <c r="Z2753" s="170"/>
      <c r="AA2753" s="198"/>
      <c r="AB2753" s="170"/>
      <c r="AC2753" s="170"/>
      <c r="AD2753" s="121"/>
      <c r="AE2753" s="121"/>
      <c r="AF2753" s="121"/>
      <c r="AG2753" s="22"/>
      <c r="AH2753" s="22"/>
      <c r="AI2753" s="22"/>
      <c r="AJ2753" s="22"/>
      <c r="AK2753" s="22"/>
      <c r="AL2753" s="22"/>
      <c r="AM2753" s="22"/>
      <c r="AN2753" s="22"/>
      <c r="AO2753" s="22"/>
      <c r="AP2753" s="22"/>
    </row>
    <row r="2754">
      <c r="A2754" s="193"/>
      <c r="B2754" s="194"/>
      <c r="C2754" s="195"/>
      <c r="D2754" s="196"/>
      <c r="E2754" s="197"/>
      <c r="F2754" s="197"/>
      <c r="G2754" s="195"/>
      <c r="H2754" s="195"/>
      <c r="I2754" s="197"/>
      <c r="J2754" s="121"/>
      <c r="K2754" s="121"/>
      <c r="L2754" s="200"/>
      <c r="M2754" s="204"/>
      <c r="N2754" s="205"/>
      <c r="O2754" s="170"/>
      <c r="P2754" s="198"/>
      <c r="Q2754" s="199"/>
      <c r="R2754" s="200"/>
      <c r="S2754" s="170"/>
      <c r="T2754" s="170"/>
      <c r="U2754" s="201"/>
      <c r="V2754" s="198"/>
      <c r="W2754" s="170"/>
      <c r="X2754" s="202"/>
      <c r="Y2754" s="203"/>
      <c r="Z2754" s="170"/>
      <c r="AA2754" s="198"/>
      <c r="AB2754" s="170"/>
      <c r="AC2754" s="170"/>
      <c r="AD2754" s="121"/>
      <c r="AE2754" s="121"/>
      <c r="AF2754" s="121"/>
      <c r="AG2754" s="22"/>
      <c r="AH2754" s="22"/>
      <c r="AI2754" s="22"/>
      <c r="AJ2754" s="22"/>
      <c r="AK2754" s="22"/>
      <c r="AL2754" s="22"/>
      <c r="AM2754" s="22"/>
      <c r="AN2754" s="22"/>
      <c r="AO2754" s="22"/>
      <c r="AP2754" s="22"/>
    </row>
    <row r="2755">
      <c r="A2755" s="193"/>
      <c r="B2755" s="194"/>
      <c r="C2755" s="195"/>
      <c r="D2755" s="196"/>
      <c r="E2755" s="197"/>
      <c r="F2755" s="197"/>
      <c r="G2755" s="195"/>
      <c r="H2755" s="195"/>
      <c r="I2755" s="197"/>
      <c r="J2755" s="121"/>
      <c r="K2755" s="121"/>
      <c r="L2755" s="200"/>
      <c r="M2755" s="204"/>
      <c r="N2755" s="205"/>
      <c r="O2755" s="170"/>
      <c r="P2755" s="198"/>
      <c r="Q2755" s="199"/>
      <c r="R2755" s="200"/>
      <c r="S2755" s="170"/>
      <c r="T2755" s="170"/>
      <c r="U2755" s="201"/>
      <c r="V2755" s="198"/>
      <c r="W2755" s="170"/>
      <c r="X2755" s="202"/>
      <c r="Y2755" s="203"/>
      <c r="Z2755" s="170"/>
      <c r="AA2755" s="198"/>
      <c r="AB2755" s="170"/>
      <c r="AC2755" s="170"/>
      <c r="AD2755" s="121"/>
      <c r="AE2755" s="121"/>
      <c r="AF2755" s="121"/>
      <c r="AG2755" s="22"/>
      <c r="AH2755" s="22"/>
      <c r="AI2755" s="22"/>
      <c r="AJ2755" s="22"/>
      <c r="AK2755" s="22"/>
      <c r="AL2755" s="22"/>
      <c r="AM2755" s="22"/>
      <c r="AN2755" s="22"/>
      <c r="AO2755" s="22"/>
      <c r="AP2755" s="22"/>
    </row>
    <row r="2756">
      <c r="A2756" s="193"/>
      <c r="B2756" s="194"/>
      <c r="C2756" s="195"/>
      <c r="D2756" s="196"/>
      <c r="E2756" s="197"/>
      <c r="F2756" s="197"/>
      <c r="G2756" s="195"/>
      <c r="H2756" s="195"/>
      <c r="I2756" s="197"/>
      <c r="J2756" s="121"/>
      <c r="K2756" s="121"/>
      <c r="L2756" s="200"/>
      <c r="M2756" s="204"/>
      <c r="N2756" s="205"/>
      <c r="O2756" s="170"/>
      <c r="P2756" s="198"/>
      <c r="Q2756" s="199"/>
      <c r="R2756" s="200"/>
      <c r="S2756" s="170"/>
      <c r="T2756" s="170"/>
      <c r="U2756" s="201"/>
      <c r="V2756" s="198"/>
      <c r="W2756" s="170"/>
      <c r="X2756" s="202"/>
      <c r="Y2756" s="203"/>
      <c r="Z2756" s="170"/>
      <c r="AA2756" s="198"/>
      <c r="AB2756" s="170"/>
      <c r="AC2756" s="170"/>
      <c r="AD2756" s="121"/>
      <c r="AE2756" s="121"/>
      <c r="AF2756" s="121"/>
      <c r="AG2756" s="22"/>
      <c r="AH2756" s="22"/>
      <c r="AI2756" s="22"/>
      <c r="AJ2756" s="22"/>
      <c r="AK2756" s="22"/>
      <c r="AL2756" s="22"/>
      <c r="AM2756" s="22"/>
      <c r="AN2756" s="22"/>
      <c r="AO2756" s="22"/>
      <c r="AP2756" s="22"/>
    </row>
    <row r="2757">
      <c r="A2757" s="193"/>
      <c r="B2757" s="194"/>
      <c r="C2757" s="195"/>
      <c r="D2757" s="196"/>
      <c r="E2757" s="197"/>
      <c r="F2757" s="197"/>
      <c r="G2757" s="195"/>
      <c r="H2757" s="195"/>
      <c r="I2757" s="197"/>
      <c r="J2757" s="121"/>
      <c r="K2757" s="121"/>
      <c r="L2757" s="200"/>
      <c r="M2757" s="204"/>
      <c r="N2757" s="205"/>
      <c r="O2757" s="170"/>
      <c r="P2757" s="198"/>
      <c r="Q2757" s="199"/>
      <c r="R2757" s="200"/>
      <c r="S2757" s="170"/>
      <c r="T2757" s="170"/>
      <c r="U2757" s="201"/>
      <c r="V2757" s="198"/>
      <c r="W2757" s="170"/>
      <c r="X2757" s="202"/>
      <c r="Y2757" s="203"/>
      <c r="Z2757" s="170"/>
      <c r="AA2757" s="198"/>
      <c r="AB2757" s="170"/>
      <c r="AC2757" s="170"/>
      <c r="AD2757" s="121"/>
      <c r="AE2757" s="121"/>
      <c r="AF2757" s="121"/>
      <c r="AG2757" s="22"/>
      <c r="AH2757" s="22"/>
      <c r="AI2757" s="22"/>
      <c r="AJ2757" s="22"/>
      <c r="AK2757" s="22"/>
      <c r="AL2757" s="22"/>
      <c r="AM2757" s="22"/>
      <c r="AN2757" s="22"/>
      <c r="AO2757" s="22"/>
      <c r="AP2757" s="22"/>
    </row>
    <row r="2758">
      <c r="A2758" s="193"/>
      <c r="B2758" s="194"/>
      <c r="C2758" s="195"/>
      <c r="D2758" s="196"/>
      <c r="E2758" s="197"/>
      <c r="F2758" s="197"/>
      <c r="G2758" s="195"/>
      <c r="H2758" s="195"/>
      <c r="I2758" s="197"/>
      <c r="J2758" s="121"/>
      <c r="K2758" s="121"/>
      <c r="L2758" s="200"/>
      <c r="M2758" s="204"/>
      <c r="N2758" s="205"/>
      <c r="O2758" s="170"/>
      <c r="P2758" s="198"/>
      <c r="Q2758" s="199"/>
      <c r="R2758" s="200"/>
      <c r="S2758" s="170"/>
      <c r="T2758" s="170"/>
      <c r="U2758" s="201"/>
      <c r="V2758" s="198"/>
      <c r="W2758" s="170"/>
      <c r="X2758" s="202"/>
      <c r="Y2758" s="203"/>
      <c r="Z2758" s="170"/>
      <c r="AA2758" s="198"/>
      <c r="AB2758" s="170"/>
      <c r="AC2758" s="170"/>
      <c r="AD2758" s="121"/>
      <c r="AE2758" s="121"/>
      <c r="AF2758" s="121"/>
      <c r="AG2758" s="22"/>
      <c r="AH2758" s="22"/>
      <c r="AI2758" s="22"/>
      <c r="AJ2758" s="22"/>
      <c r="AK2758" s="22"/>
      <c r="AL2758" s="22"/>
      <c r="AM2758" s="22"/>
      <c r="AN2758" s="22"/>
      <c r="AO2758" s="22"/>
      <c r="AP2758" s="22"/>
    </row>
    <row r="2759">
      <c r="A2759" s="193"/>
      <c r="B2759" s="194"/>
      <c r="C2759" s="195"/>
      <c r="D2759" s="196"/>
      <c r="E2759" s="197"/>
      <c r="F2759" s="197"/>
      <c r="G2759" s="195"/>
      <c r="H2759" s="195"/>
      <c r="I2759" s="197"/>
      <c r="J2759" s="121"/>
      <c r="K2759" s="121"/>
      <c r="L2759" s="200"/>
      <c r="M2759" s="204"/>
      <c r="N2759" s="205"/>
      <c r="O2759" s="170"/>
      <c r="P2759" s="198"/>
      <c r="Q2759" s="199"/>
      <c r="R2759" s="200"/>
      <c r="S2759" s="170"/>
      <c r="T2759" s="170"/>
      <c r="U2759" s="201"/>
      <c r="V2759" s="198"/>
      <c r="W2759" s="170"/>
      <c r="X2759" s="202"/>
      <c r="Y2759" s="203"/>
      <c r="Z2759" s="170"/>
      <c r="AA2759" s="198"/>
      <c r="AB2759" s="170"/>
      <c r="AC2759" s="170"/>
      <c r="AD2759" s="121"/>
      <c r="AE2759" s="121"/>
      <c r="AF2759" s="121"/>
      <c r="AG2759" s="22"/>
      <c r="AH2759" s="22"/>
      <c r="AI2759" s="22"/>
      <c r="AJ2759" s="22"/>
      <c r="AK2759" s="22"/>
      <c r="AL2759" s="22"/>
      <c r="AM2759" s="22"/>
      <c r="AN2759" s="22"/>
      <c r="AO2759" s="22"/>
      <c r="AP2759" s="22"/>
    </row>
    <row r="2760">
      <c r="A2760" s="193"/>
      <c r="B2760" s="194"/>
      <c r="C2760" s="195"/>
      <c r="D2760" s="196"/>
      <c r="E2760" s="197"/>
      <c r="F2760" s="197"/>
      <c r="G2760" s="195"/>
      <c r="H2760" s="195"/>
      <c r="I2760" s="197"/>
      <c r="J2760" s="121"/>
      <c r="K2760" s="121"/>
      <c r="L2760" s="200"/>
      <c r="M2760" s="204"/>
      <c r="N2760" s="205"/>
      <c r="O2760" s="170"/>
      <c r="P2760" s="198"/>
      <c r="Q2760" s="199"/>
      <c r="R2760" s="200"/>
      <c r="S2760" s="170"/>
      <c r="T2760" s="170"/>
      <c r="U2760" s="201"/>
      <c r="V2760" s="198"/>
      <c r="W2760" s="170"/>
      <c r="X2760" s="202"/>
      <c r="Y2760" s="203"/>
      <c r="Z2760" s="170"/>
      <c r="AA2760" s="198"/>
      <c r="AB2760" s="170"/>
      <c r="AC2760" s="170"/>
      <c r="AD2760" s="121"/>
      <c r="AE2760" s="121"/>
      <c r="AF2760" s="121"/>
      <c r="AG2760" s="22"/>
      <c r="AH2760" s="22"/>
      <c r="AI2760" s="22"/>
      <c r="AJ2760" s="22"/>
      <c r="AK2760" s="22"/>
      <c r="AL2760" s="22"/>
      <c r="AM2760" s="22"/>
      <c r="AN2760" s="22"/>
      <c r="AO2760" s="22"/>
      <c r="AP2760" s="22"/>
    </row>
    <row r="2761">
      <c r="A2761" s="193"/>
      <c r="B2761" s="194"/>
      <c r="C2761" s="195"/>
      <c r="D2761" s="196"/>
      <c r="E2761" s="197"/>
      <c r="F2761" s="197"/>
      <c r="G2761" s="195"/>
      <c r="H2761" s="195"/>
      <c r="I2761" s="197"/>
      <c r="J2761" s="121"/>
      <c r="K2761" s="121"/>
      <c r="L2761" s="200"/>
      <c r="M2761" s="204"/>
      <c r="N2761" s="205"/>
      <c r="O2761" s="170"/>
      <c r="P2761" s="198"/>
      <c r="Q2761" s="199"/>
      <c r="R2761" s="200"/>
      <c r="S2761" s="170"/>
      <c r="T2761" s="170"/>
      <c r="U2761" s="201"/>
      <c r="V2761" s="198"/>
      <c r="W2761" s="170"/>
      <c r="X2761" s="202"/>
      <c r="Y2761" s="203"/>
      <c r="Z2761" s="170"/>
      <c r="AA2761" s="198"/>
      <c r="AB2761" s="170"/>
      <c r="AC2761" s="170"/>
      <c r="AD2761" s="121"/>
      <c r="AE2761" s="121"/>
      <c r="AF2761" s="121"/>
      <c r="AG2761" s="22"/>
      <c r="AH2761" s="22"/>
      <c r="AI2761" s="22"/>
      <c r="AJ2761" s="22"/>
      <c r="AK2761" s="22"/>
      <c r="AL2761" s="22"/>
      <c r="AM2761" s="22"/>
      <c r="AN2761" s="22"/>
      <c r="AO2761" s="22"/>
      <c r="AP2761" s="22"/>
    </row>
    <row r="2762">
      <c r="A2762" s="193"/>
      <c r="B2762" s="194"/>
      <c r="C2762" s="195"/>
      <c r="D2762" s="196"/>
      <c r="E2762" s="197"/>
      <c r="F2762" s="197"/>
      <c r="G2762" s="195"/>
      <c r="H2762" s="195"/>
      <c r="I2762" s="197"/>
      <c r="J2762" s="121"/>
      <c r="K2762" s="121"/>
      <c r="L2762" s="200"/>
      <c r="M2762" s="204"/>
      <c r="N2762" s="205"/>
      <c r="O2762" s="170"/>
      <c r="P2762" s="198"/>
      <c r="Q2762" s="199"/>
      <c r="R2762" s="200"/>
      <c r="S2762" s="170"/>
      <c r="T2762" s="170"/>
      <c r="U2762" s="201"/>
      <c r="V2762" s="198"/>
      <c r="W2762" s="170"/>
      <c r="X2762" s="202"/>
      <c r="Y2762" s="203"/>
      <c r="Z2762" s="170"/>
      <c r="AA2762" s="198"/>
      <c r="AB2762" s="170"/>
      <c r="AC2762" s="170"/>
      <c r="AD2762" s="121"/>
      <c r="AE2762" s="121"/>
      <c r="AF2762" s="121"/>
      <c r="AG2762" s="22"/>
      <c r="AH2762" s="22"/>
      <c r="AI2762" s="22"/>
      <c r="AJ2762" s="22"/>
      <c r="AK2762" s="22"/>
      <c r="AL2762" s="22"/>
      <c r="AM2762" s="22"/>
      <c r="AN2762" s="22"/>
      <c r="AO2762" s="22"/>
      <c r="AP2762" s="22"/>
    </row>
    <row r="2763">
      <c r="A2763" s="193"/>
      <c r="B2763" s="194"/>
      <c r="C2763" s="195"/>
      <c r="D2763" s="196"/>
      <c r="E2763" s="197"/>
      <c r="F2763" s="197"/>
      <c r="G2763" s="195"/>
      <c r="H2763" s="195"/>
      <c r="I2763" s="197"/>
      <c r="J2763" s="121"/>
      <c r="K2763" s="121"/>
      <c r="L2763" s="200"/>
      <c r="M2763" s="204"/>
      <c r="N2763" s="205"/>
      <c r="O2763" s="170"/>
      <c r="P2763" s="198"/>
      <c r="Q2763" s="199"/>
      <c r="R2763" s="200"/>
      <c r="S2763" s="170"/>
      <c r="T2763" s="170"/>
      <c r="U2763" s="201"/>
      <c r="V2763" s="198"/>
      <c r="W2763" s="170"/>
      <c r="X2763" s="202"/>
      <c r="Y2763" s="203"/>
      <c r="Z2763" s="170"/>
      <c r="AA2763" s="198"/>
      <c r="AB2763" s="170"/>
      <c r="AC2763" s="170"/>
      <c r="AD2763" s="121"/>
      <c r="AE2763" s="121"/>
      <c r="AF2763" s="121"/>
      <c r="AG2763" s="22"/>
      <c r="AH2763" s="22"/>
      <c r="AI2763" s="22"/>
      <c r="AJ2763" s="22"/>
      <c r="AK2763" s="22"/>
      <c r="AL2763" s="22"/>
      <c r="AM2763" s="22"/>
      <c r="AN2763" s="22"/>
      <c r="AO2763" s="22"/>
      <c r="AP2763" s="22"/>
    </row>
    <row r="2764">
      <c r="A2764" s="193"/>
      <c r="B2764" s="194"/>
      <c r="C2764" s="195"/>
      <c r="D2764" s="196"/>
      <c r="E2764" s="197"/>
      <c r="F2764" s="197"/>
      <c r="G2764" s="195"/>
      <c r="H2764" s="195"/>
      <c r="I2764" s="197"/>
      <c r="J2764" s="121"/>
      <c r="K2764" s="121"/>
      <c r="L2764" s="200"/>
      <c r="M2764" s="204"/>
      <c r="N2764" s="205"/>
      <c r="O2764" s="170"/>
      <c r="P2764" s="198"/>
      <c r="Q2764" s="199"/>
      <c r="R2764" s="200"/>
      <c r="S2764" s="170"/>
      <c r="T2764" s="170"/>
      <c r="U2764" s="201"/>
      <c r="V2764" s="198"/>
      <c r="W2764" s="170"/>
      <c r="X2764" s="202"/>
      <c r="Y2764" s="203"/>
      <c r="Z2764" s="170"/>
      <c r="AA2764" s="198"/>
      <c r="AB2764" s="170"/>
      <c r="AC2764" s="170"/>
      <c r="AD2764" s="121"/>
      <c r="AE2764" s="121"/>
      <c r="AF2764" s="121"/>
      <c r="AG2764" s="22"/>
      <c r="AH2764" s="22"/>
      <c r="AI2764" s="22"/>
      <c r="AJ2764" s="22"/>
      <c r="AK2764" s="22"/>
      <c r="AL2764" s="22"/>
      <c r="AM2764" s="22"/>
      <c r="AN2764" s="22"/>
      <c r="AO2764" s="22"/>
      <c r="AP2764" s="22"/>
    </row>
    <row r="2765">
      <c r="A2765" s="193"/>
      <c r="B2765" s="194"/>
      <c r="C2765" s="195"/>
      <c r="D2765" s="196"/>
      <c r="E2765" s="197"/>
      <c r="F2765" s="197"/>
      <c r="G2765" s="195"/>
      <c r="H2765" s="195"/>
      <c r="I2765" s="197"/>
      <c r="J2765" s="121"/>
      <c r="K2765" s="121"/>
      <c r="L2765" s="200"/>
      <c r="M2765" s="204"/>
      <c r="N2765" s="205"/>
      <c r="O2765" s="170"/>
      <c r="P2765" s="198"/>
      <c r="Q2765" s="199"/>
      <c r="R2765" s="200"/>
      <c r="S2765" s="170"/>
      <c r="T2765" s="170"/>
      <c r="U2765" s="201"/>
      <c r="V2765" s="198"/>
      <c r="W2765" s="170"/>
      <c r="X2765" s="202"/>
      <c r="Y2765" s="203"/>
      <c r="Z2765" s="170"/>
      <c r="AA2765" s="198"/>
      <c r="AB2765" s="170"/>
      <c r="AC2765" s="170"/>
      <c r="AD2765" s="121"/>
      <c r="AE2765" s="121"/>
      <c r="AF2765" s="121"/>
      <c r="AG2765" s="22"/>
      <c r="AH2765" s="22"/>
      <c r="AI2765" s="22"/>
      <c r="AJ2765" s="22"/>
      <c r="AK2765" s="22"/>
      <c r="AL2765" s="22"/>
      <c r="AM2765" s="22"/>
      <c r="AN2765" s="22"/>
      <c r="AO2765" s="22"/>
      <c r="AP2765" s="22"/>
    </row>
    <row r="2766">
      <c r="A2766" s="193"/>
      <c r="B2766" s="194"/>
      <c r="C2766" s="195"/>
      <c r="D2766" s="196"/>
      <c r="E2766" s="197"/>
      <c r="F2766" s="197"/>
      <c r="G2766" s="195"/>
      <c r="H2766" s="195"/>
      <c r="I2766" s="197"/>
      <c r="J2766" s="121"/>
      <c r="K2766" s="121"/>
      <c r="L2766" s="200"/>
      <c r="M2766" s="204"/>
      <c r="N2766" s="205"/>
      <c r="O2766" s="170"/>
      <c r="P2766" s="198"/>
      <c r="Q2766" s="199"/>
      <c r="R2766" s="200"/>
      <c r="S2766" s="170"/>
      <c r="T2766" s="170"/>
      <c r="U2766" s="201"/>
      <c r="V2766" s="198"/>
      <c r="W2766" s="170"/>
      <c r="X2766" s="202"/>
      <c r="Y2766" s="203"/>
      <c r="Z2766" s="170"/>
      <c r="AA2766" s="198"/>
      <c r="AB2766" s="170"/>
      <c r="AC2766" s="170"/>
      <c r="AD2766" s="121"/>
      <c r="AE2766" s="121"/>
      <c r="AF2766" s="121"/>
      <c r="AG2766" s="22"/>
      <c r="AH2766" s="22"/>
      <c r="AI2766" s="22"/>
      <c r="AJ2766" s="22"/>
      <c r="AK2766" s="22"/>
      <c r="AL2766" s="22"/>
      <c r="AM2766" s="22"/>
      <c r="AN2766" s="22"/>
      <c r="AO2766" s="22"/>
      <c r="AP2766" s="22"/>
    </row>
    <row r="2767">
      <c r="A2767" s="193"/>
      <c r="B2767" s="194"/>
      <c r="C2767" s="195"/>
      <c r="D2767" s="196"/>
      <c r="E2767" s="197"/>
      <c r="F2767" s="197"/>
      <c r="G2767" s="195"/>
      <c r="H2767" s="195"/>
      <c r="I2767" s="197"/>
      <c r="J2767" s="121"/>
      <c r="K2767" s="121"/>
      <c r="L2767" s="200"/>
      <c r="M2767" s="204"/>
      <c r="N2767" s="205"/>
      <c r="O2767" s="170"/>
      <c r="P2767" s="198"/>
      <c r="Q2767" s="199"/>
      <c r="R2767" s="200"/>
      <c r="S2767" s="170"/>
      <c r="T2767" s="170"/>
      <c r="U2767" s="201"/>
      <c r="V2767" s="198"/>
      <c r="W2767" s="170"/>
      <c r="X2767" s="202"/>
      <c r="Y2767" s="203"/>
      <c r="Z2767" s="170"/>
      <c r="AA2767" s="198"/>
      <c r="AB2767" s="170"/>
      <c r="AC2767" s="170"/>
      <c r="AD2767" s="121"/>
      <c r="AE2767" s="121"/>
      <c r="AF2767" s="121"/>
      <c r="AG2767" s="22"/>
      <c r="AH2767" s="22"/>
      <c r="AI2767" s="22"/>
      <c r="AJ2767" s="22"/>
      <c r="AK2767" s="22"/>
      <c r="AL2767" s="22"/>
      <c r="AM2767" s="22"/>
      <c r="AN2767" s="22"/>
      <c r="AO2767" s="22"/>
      <c r="AP2767" s="22"/>
    </row>
    <row r="2768">
      <c r="A2768" s="193"/>
      <c r="B2768" s="194"/>
      <c r="C2768" s="195"/>
      <c r="D2768" s="196"/>
      <c r="E2768" s="197"/>
      <c r="F2768" s="197"/>
      <c r="G2768" s="195"/>
      <c r="H2768" s="195"/>
      <c r="I2768" s="197"/>
      <c r="J2768" s="121"/>
      <c r="K2768" s="121"/>
      <c r="L2768" s="200"/>
      <c r="M2768" s="204"/>
      <c r="N2768" s="205"/>
      <c r="O2768" s="170"/>
      <c r="P2768" s="198"/>
      <c r="Q2768" s="199"/>
      <c r="R2768" s="200"/>
      <c r="S2768" s="170"/>
      <c r="T2768" s="170"/>
      <c r="U2768" s="201"/>
      <c r="V2768" s="198"/>
      <c r="W2768" s="170"/>
      <c r="X2768" s="202"/>
      <c r="Y2768" s="203"/>
      <c r="Z2768" s="170"/>
      <c r="AA2768" s="198"/>
      <c r="AB2768" s="170"/>
      <c r="AC2768" s="170"/>
      <c r="AD2768" s="121"/>
      <c r="AE2768" s="121"/>
      <c r="AF2768" s="121"/>
      <c r="AG2768" s="22"/>
      <c r="AH2768" s="22"/>
      <c r="AI2768" s="22"/>
      <c r="AJ2768" s="22"/>
      <c r="AK2768" s="22"/>
      <c r="AL2768" s="22"/>
      <c r="AM2768" s="22"/>
      <c r="AN2768" s="22"/>
      <c r="AO2768" s="22"/>
      <c r="AP2768" s="22"/>
    </row>
    <row r="2769">
      <c r="A2769" s="193"/>
      <c r="B2769" s="194"/>
      <c r="C2769" s="195"/>
      <c r="D2769" s="196"/>
      <c r="E2769" s="197"/>
      <c r="F2769" s="197"/>
      <c r="G2769" s="195"/>
      <c r="H2769" s="195"/>
      <c r="I2769" s="197"/>
      <c r="J2769" s="121"/>
      <c r="K2769" s="121"/>
      <c r="L2769" s="200"/>
      <c r="M2769" s="204"/>
      <c r="N2769" s="205"/>
      <c r="O2769" s="170"/>
      <c r="P2769" s="198"/>
      <c r="Q2769" s="199"/>
      <c r="R2769" s="200"/>
      <c r="S2769" s="170"/>
      <c r="T2769" s="170"/>
      <c r="U2769" s="201"/>
      <c r="V2769" s="198"/>
      <c r="W2769" s="170"/>
      <c r="X2769" s="202"/>
      <c r="Y2769" s="203"/>
      <c r="Z2769" s="170"/>
      <c r="AA2769" s="198"/>
      <c r="AB2769" s="170"/>
      <c r="AC2769" s="170"/>
      <c r="AD2769" s="121"/>
      <c r="AE2769" s="121"/>
      <c r="AF2769" s="121"/>
      <c r="AG2769" s="22"/>
      <c r="AH2769" s="22"/>
      <c r="AI2769" s="22"/>
      <c r="AJ2769" s="22"/>
      <c r="AK2769" s="22"/>
      <c r="AL2769" s="22"/>
      <c r="AM2769" s="22"/>
      <c r="AN2769" s="22"/>
      <c r="AO2769" s="22"/>
      <c r="AP2769" s="22"/>
    </row>
    <row r="2770">
      <c r="A2770" s="193"/>
      <c r="B2770" s="194"/>
      <c r="C2770" s="195"/>
      <c r="D2770" s="196"/>
      <c r="E2770" s="197"/>
      <c r="F2770" s="197"/>
      <c r="G2770" s="195"/>
      <c r="H2770" s="195"/>
      <c r="I2770" s="197"/>
      <c r="J2770" s="121"/>
      <c r="K2770" s="121"/>
      <c r="L2770" s="200"/>
      <c r="M2770" s="204"/>
      <c r="N2770" s="205"/>
      <c r="O2770" s="170"/>
      <c r="P2770" s="198"/>
      <c r="Q2770" s="199"/>
      <c r="R2770" s="200"/>
      <c r="S2770" s="170"/>
      <c r="T2770" s="170"/>
      <c r="U2770" s="201"/>
      <c r="V2770" s="198"/>
      <c r="W2770" s="170"/>
      <c r="X2770" s="202"/>
      <c r="Y2770" s="203"/>
      <c r="Z2770" s="170"/>
      <c r="AA2770" s="198"/>
      <c r="AB2770" s="170"/>
      <c r="AC2770" s="170"/>
      <c r="AD2770" s="121"/>
      <c r="AE2770" s="121"/>
      <c r="AF2770" s="121"/>
      <c r="AG2770" s="22"/>
      <c r="AH2770" s="22"/>
      <c r="AI2770" s="22"/>
      <c r="AJ2770" s="22"/>
      <c r="AK2770" s="22"/>
      <c r="AL2770" s="22"/>
      <c r="AM2770" s="22"/>
      <c r="AN2770" s="22"/>
      <c r="AO2770" s="22"/>
      <c r="AP2770" s="22"/>
    </row>
    <row r="2771">
      <c r="A2771" s="193"/>
      <c r="B2771" s="194"/>
      <c r="C2771" s="195"/>
      <c r="D2771" s="196"/>
      <c r="E2771" s="197"/>
      <c r="F2771" s="197"/>
      <c r="G2771" s="195"/>
      <c r="H2771" s="195"/>
      <c r="I2771" s="197"/>
      <c r="J2771" s="121"/>
      <c r="K2771" s="121"/>
      <c r="L2771" s="200"/>
      <c r="M2771" s="204"/>
      <c r="N2771" s="205"/>
      <c r="O2771" s="170"/>
      <c r="P2771" s="198"/>
      <c r="Q2771" s="199"/>
      <c r="R2771" s="200"/>
      <c r="S2771" s="170"/>
      <c r="T2771" s="170"/>
      <c r="U2771" s="201"/>
      <c r="V2771" s="198"/>
      <c r="W2771" s="170"/>
      <c r="X2771" s="202"/>
      <c r="Y2771" s="203"/>
      <c r="Z2771" s="170"/>
      <c r="AA2771" s="198"/>
      <c r="AB2771" s="170"/>
      <c r="AC2771" s="170"/>
      <c r="AD2771" s="121"/>
      <c r="AE2771" s="121"/>
      <c r="AF2771" s="121"/>
      <c r="AG2771" s="22"/>
      <c r="AH2771" s="22"/>
      <c r="AI2771" s="22"/>
      <c r="AJ2771" s="22"/>
      <c r="AK2771" s="22"/>
      <c r="AL2771" s="22"/>
      <c r="AM2771" s="22"/>
      <c r="AN2771" s="22"/>
      <c r="AO2771" s="22"/>
      <c r="AP2771" s="22"/>
    </row>
    <row r="2772">
      <c r="A2772" s="193"/>
      <c r="B2772" s="194"/>
      <c r="C2772" s="195"/>
      <c r="D2772" s="196"/>
      <c r="E2772" s="197"/>
      <c r="F2772" s="197"/>
      <c r="G2772" s="195"/>
      <c r="H2772" s="195"/>
      <c r="I2772" s="197"/>
      <c r="J2772" s="121"/>
      <c r="K2772" s="121"/>
      <c r="L2772" s="200"/>
      <c r="M2772" s="204"/>
      <c r="N2772" s="205"/>
      <c r="O2772" s="170"/>
      <c r="P2772" s="198"/>
      <c r="Q2772" s="199"/>
      <c r="R2772" s="200"/>
      <c r="S2772" s="170"/>
      <c r="T2772" s="170"/>
      <c r="U2772" s="201"/>
      <c r="V2772" s="198"/>
      <c r="W2772" s="170"/>
      <c r="X2772" s="202"/>
      <c r="Y2772" s="203"/>
      <c r="Z2772" s="170"/>
      <c r="AA2772" s="198"/>
      <c r="AB2772" s="170"/>
      <c r="AC2772" s="170"/>
      <c r="AD2772" s="121"/>
      <c r="AE2772" s="121"/>
      <c r="AF2772" s="121"/>
      <c r="AG2772" s="22"/>
      <c r="AH2772" s="22"/>
      <c r="AI2772" s="22"/>
      <c r="AJ2772" s="22"/>
      <c r="AK2772" s="22"/>
      <c r="AL2772" s="22"/>
      <c r="AM2772" s="22"/>
      <c r="AN2772" s="22"/>
      <c r="AO2772" s="22"/>
      <c r="AP2772" s="22"/>
    </row>
    <row r="2773">
      <c r="A2773" s="193"/>
      <c r="B2773" s="194"/>
      <c r="C2773" s="195"/>
      <c r="D2773" s="196"/>
      <c r="E2773" s="197"/>
      <c r="F2773" s="197"/>
      <c r="G2773" s="195"/>
      <c r="H2773" s="195"/>
      <c r="I2773" s="197"/>
      <c r="J2773" s="121"/>
      <c r="K2773" s="121"/>
      <c r="L2773" s="200"/>
      <c r="M2773" s="204"/>
      <c r="N2773" s="205"/>
      <c r="O2773" s="170"/>
      <c r="P2773" s="198"/>
      <c r="Q2773" s="199"/>
      <c r="R2773" s="200"/>
      <c r="S2773" s="170"/>
      <c r="T2773" s="170"/>
      <c r="U2773" s="201"/>
      <c r="V2773" s="198"/>
      <c r="W2773" s="170"/>
      <c r="X2773" s="202"/>
      <c r="Y2773" s="203"/>
      <c r="Z2773" s="170"/>
      <c r="AA2773" s="198"/>
      <c r="AB2773" s="170"/>
      <c r="AC2773" s="170"/>
      <c r="AD2773" s="121"/>
      <c r="AE2773" s="121"/>
      <c r="AF2773" s="121"/>
      <c r="AG2773" s="22"/>
      <c r="AH2773" s="22"/>
      <c r="AI2773" s="22"/>
      <c r="AJ2773" s="22"/>
      <c r="AK2773" s="22"/>
      <c r="AL2773" s="22"/>
      <c r="AM2773" s="22"/>
      <c r="AN2773" s="22"/>
      <c r="AO2773" s="22"/>
      <c r="AP2773" s="22"/>
    </row>
    <row r="2774">
      <c r="A2774" s="193"/>
      <c r="B2774" s="194"/>
      <c r="C2774" s="195"/>
      <c r="D2774" s="196"/>
      <c r="E2774" s="197"/>
      <c r="F2774" s="197"/>
      <c r="G2774" s="195"/>
      <c r="H2774" s="195"/>
      <c r="I2774" s="197"/>
      <c r="J2774" s="121"/>
      <c r="K2774" s="121"/>
      <c r="L2774" s="200"/>
      <c r="M2774" s="204"/>
      <c r="N2774" s="205"/>
      <c r="O2774" s="170"/>
      <c r="P2774" s="198"/>
      <c r="Q2774" s="199"/>
      <c r="R2774" s="200"/>
      <c r="S2774" s="170"/>
      <c r="T2774" s="170"/>
      <c r="U2774" s="201"/>
      <c r="V2774" s="198"/>
      <c r="W2774" s="170"/>
      <c r="X2774" s="202"/>
      <c r="Y2774" s="203"/>
      <c r="Z2774" s="170"/>
      <c r="AA2774" s="198"/>
      <c r="AB2774" s="170"/>
      <c r="AC2774" s="170"/>
      <c r="AD2774" s="121"/>
      <c r="AE2774" s="121"/>
      <c r="AF2774" s="121"/>
      <c r="AG2774" s="22"/>
      <c r="AH2774" s="22"/>
      <c r="AI2774" s="22"/>
      <c r="AJ2774" s="22"/>
      <c r="AK2774" s="22"/>
      <c r="AL2774" s="22"/>
      <c r="AM2774" s="22"/>
      <c r="AN2774" s="22"/>
      <c r="AO2774" s="22"/>
      <c r="AP2774" s="22"/>
    </row>
    <row r="2775">
      <c r="A2775" s="193"/>
      <c r="B2775" s="194"/>
      <c r="C2775" s="195"/>
      <c r="D2775" s="196"/>
      <c r="E2775" s="197"/>
      <c r="F2775" s="197"/>
      <c r="G2775" s="195"/>
      <c r="H2775" s="195"/>
      <c r="I2775" s="197"/>
      <c r="J2775" s="121"/>
      <c r="K2775" s="121"/>
      <c r="L2775" s="200"/>
      <c r="M2775" s="204"/>
      <c r="N2775" s="205"/>
      <c r="O2775" s="170"/>
      <c r="P2775" s="198"/>
      <c r="Q2775" s="199"/>
      <c r="R2775" s="200"/>
      <c r="S2775" s="170"/>
      <c r="T2775" s="170"/>
      <c r="U2775" s="201"/>
      <c r="V2775" s="198"/>
      <c r="W2775" s="170"/>
      <c r="X2775" s="202"/>
      <c r="Y2775" s="203"/>
      <c r="Z2775" s="170"/>
      <c r="AA2775" s="198"/>
      <c r="AB2775" s="170"/>
      <c r="AC2775" s="170"/>
      <c r="AD2775" s="121"/>
      <c r="AE2775" s="121"/>
      <c r="AF2775" s="121"/>
      <c r="AG2775" s="22"/>
      <c r="AH2775" s="22"/>
      <c r="AI2775" s="22"/>
      <c r="AJ2775" s="22"/>
      <c r="AK2775" s="22"/>
      <c r="AL2775" s="22"/>
      <c r="AM2775" s="22"/>
      <c r="AN2775" s="22"/>
      <c r="AO2775" s="22"/>
      <c r="AP2775" s="22"/>
    </row>
    <row r="2776">
      <c r="A2776" s="193"/>
      <c r="B2776" s="194"/>
      <c r="C2776" s="195"/>
      <c r="D2776" s="196"/>
      <c r="E2776" s="197"/>
      <c r="F2776" s="197"/>
      <c r="G2776" s="195"/>
      <c r="H2776" s="195"/>
      <c r="I2776" s="197"/>
      <c r="J2776" s="121"/>
      <c r="K2776" s="121"/>
      <c r="L2776" s="200"/>
      <c r="M2776" s="204"/>
      <c r="N2776" s="205"/>
      <c r="O2776" s="170"/>
      <c r="P2776" s="198"/>
      <c r="Q2776" s="199"/>
      <c r="R2776" s="200"/>
      <c r="S2776" s="170"/>
      <c r="T2776" s="170"/>
      <c r="U2776" s="201"/>
      <c r="V2776" s="198"/>
      <c r="W2776" s="170"/>
      <c r="X2776" s="202"/>
      <c r="Y2776" s="203"/>
      <c r="Z2776" s="170"/>
      <c r="AA2776" s="198"/>
      <c r="AB2776" s="170"/>
      <c r="AC2776" s="170"/>
      <c r="AD2776" s="121"/>
      <c r="AE2776" s="121"/>
      <c r="AF2776" s="121"/>
      <c r="AG2776" s="22"/>
      <c r="AH2776" s="22"/>
      <c r="AI2776" s="22"/>
      <c r="AJ2776" s="22"/>
      <c r="AK2776" s="22"/>
      <c r="AL2776" s="22"/>
      <c r="AM2776" s="22"/>
      <c r="AN2776" s="22"/>
      <c r="AO2776" s="22"/>
      <c r="AP2776" s="22"/>
    </row>
    <row r="2777">
      <c r="A2777" s="193"/>
      <c r="B2777" s="194"/>
      <c r="C2777" s="195"/>
      <c r="D2777" s="196"/>
      <c r="E2777" s="197"/>
      <c r="F2777" s="197"/>
      <c r="G2777" s="195"/>
      <c r="H2777" s="195"/>
      <c r="I2777" s="197"/>
      <c r="J2777" s="121"/>
      <c r="K2777" s="121"/>
      <c r="L2777" s="200"/>
      <c r="M2777" s="204"/>
      <c r="N2777" s="205"/>
      <c r="O2777" s="170"/>
      <c r="P2777" s="198"/>
      <c r="Q2777" s="199"/>
      <c r="R2777" s="200"/>
      <c r="S2777" s="170"/>
      <c r="T2777" s="170"/>
      <c r="U2777" s="201"/>
      <c r="V2777" s="198"/>
      <c r="W2777" s="170"/>
      <c r="X2777" s="202"/>
      <c r="Y2777" s="203"/>
      <c r="Z2777" s="170"/>
      <c r="AA2777" s="198"/>
      <c r="AB2777" s="170"/>
      <c r="AC2777" s="170"/>
      <c r="AD2777" s="121"/>
      <c r="AE2777" s="121"/>
      <c r="AF2777" s="121"/>
      <c r="AG2777" s="22"/>
      <c r="AH2777" s="22"/>
      <c r="AI2777" s="22"/>
      <c r="AJ2777" s="22"/>
      <c r="AK2777" s="22"/>
      <c r="AL2777" s="22"/>
      <c r="AM2777" s="22"/>
      <c r="AN2777" s="22"/>
      <c r="AO2777" s="22"/>
      <c r="AP2777" s="22"/>
    </row>
    <row r="2778">
      <c r="A2778" s="193"/>
      <c r="B2778" s="194"/>
      <c r="C2778" s="195"/>
      <c r="D2778" s="196"/>
      <c r="E2778" s="197"/>
      <c r="F2778" s="197"/>
      <c r="G2778" s="195"/>
      <c r="H2778" s="195"/>
      <c r="I2778" s="197"/>
      <c r="J2778" s="121"/>
      <c r="K2778" s="121"/>
      <c r="L2778" s="200"/>
      <c r="M2778" s="204"/>
      <c r="N2778" s="205"/>
      <c r="O2778" s="170"/>
      <c r="P2778" s="198"/>
      <c r="Q2778" s="199"/>
      <c r="R2778" s="200"/>
      <c r="S2778" s="170"/>
      <c r="T2778" s="170"/>
      <c r="U2778" s="201"/>
      <c r="V2778" s="198"/>
      <c r="W2778" s="170"/>
      <c r="X2778" s="202"/>
      <c r="Y2778" s="203"/>
      <c r="Z2778" s="170"/>
      <c r="AA2778" s="198"/>
      <c r="AB2778" s="170"/>
      <c r="AC2778" s="170"/>
      <c r="AD2778" s="121"/>
      <c r="AE2778" s="121"/>
      <c r="AF2778" s="121"/>
      <c r="AG2778" s="22"/>
      <c r="AH2778" s="22"/>
      <c r="AI2778" s="22"/>
      <c r="AJ2778" s="22"/>
      <c r="AK2778" s="22"/>
      <c r="AL2778" s="22"/>
      <c r="AM2778" s="22"/>
      <c r="AN2778" s="22"/>
      <c r="AO2778" s="22"/>
      <c r="AP2778" s="22"/>
    </row>
    <row r="2779">
      <c r="A2779" s="193"/>
      <c r="B2779" s="194"/>
      <c r="C2779" s="195"/>
      <c r="D2779" s="196"/>
      <c r="E2779" s="197"/>
      <c r="F2779" s="197"/>
      <c r="G2779" s="195"/>
      <c r="H2779" s="195"/>
      <c r="I2779" s="197"/>
      <c r="J2779" s="121"/>
      <c r="K2779" s="121"/>
      <c r="L2779" s="200"/>
      <c r="M2779" s="204"/>
      <c r="N2779" s="205"/>
      <c r="O2779" s="170"/>
      <c r="P2779" s="198"/>
      <c r="Q2779" s="199"/>
      <c r="R2779" s="200"/>
      <c r="S2779" s="170"/>
      <c r="T2779" s="170"/>
      <c r="U2779" s="201"/>
      <c r="V2779" s="198"/>
      <c r="W2779" s="170"/>
      <c r="X2779" s="202"/>
      <c r="Y2779" s="203"/>
      <c r="Z2779" s="170"/>
      <c r="AA2779" s="198"/>
      <c r="AB2779" s="170"/>
      <c r="AC2779" s="170"/>
      <c r="AD2779" s="121"/>
      <c r="AE2779" s="121"/>
      <c r="AF2779" s="121"/>
      <c r="AG2779" s="22"/>
      <c r="AH2779" s="22"/>
      <c r="AI2779" s="22"/>
      <c r="AJ2779" s="22"/>
      <c r="AK2779" s="22"/>
      <c r="AL2779" s="22"/>
      <c r="AM2779" s="22"/>
      <c r="AN2779" s="22"/>
      <c r="AO2779" s="22"/>
      <c r="AP2779" s="22"/>
    </row>
    <row r="2780">
      <c r="A2780" s="193"/>
      <c r="B2780" s="194"/>
      <c r="C2780" s="195"/>
      <c r="D2780" s="196"/>
      <c r="E2780" s="197"/>
      <c r="F2780" s="197"/>
      <c r="G2780" s="195"/>
      <c r="H2780" s="195"/>
      <c r="I2780" s="197"/>
      <c r="J2780" s="121"/>
      <c r="K2780" s="121"/>
      <c r="L2780" s="200"/>
      <c r="M2780" s="204"/>
      <c r="N2780" s="205"/>
      <c r="O2780" s="170"/>
      <c r="P2780" s="198"/>
      <c r="Q2780" s="199"/>
      <c r="R2780" s="200"/>
      <c r="S2780" s="170"/>
      <c r="T2780" s="170"/>
      <c r="U2780" s="201"/>
      <c r="V2780" s="198"/>
      <c r="W2780" s="170"/>
      <c r="X2780" s="202"/>
      <c r="Y2780" s="203"/>
      <c r="Z2780" s="170"/>
      <c r="AA2780" s="198"/>
      <c r="AB2780" s="170"/>
      <c r="AC2780" s="170"/>
      <c r="AD2780" s="121"/>
      <c r="AE2780" s="121"/>
      <c r="AF2780" s="121"/>
      <c r="AG2780" s="22"/>
      <c r="AH2780" s="22"/>
      <c r="AI2780" s="22"/>
      <c r="AJ2780" s="22"/>
      <c r="AK2780" s="22"/>
      <c r="AL2780" s="22"/>
      <c r="AM2780" s="22"/>
      <c r="AN2780" s="22"/>
      <c r="AO2780" s="22"/>
      <c r="AP2780" s="22"/>
    </row>
    <row r="2781">
      <c r="A2781" s="193"/>
      <c r="B2781" s="194"/>
      <c r="C2781" s="195"/>
      <c r="D2781" s="196"/>
      <c r="E2781" s="197"/>
      <c r="F2781" s="197"/>
      <c r="G2781" s="195"/>
      <c r="H2781" s="195"/>
      <c r="I2781" s="197"/>
      <c r="J2781" s="121"/>
      <c r="K2781" s="121"/>
      <c r="L2781" s="200"/>
      <c r="M2781" s="204"/>
      <c r="N2781" s="205"/>
      <c r="O2781" s="170"/>
      <c r="P2781" s="198"/>
      <c r="Q2781" s="199"/>
      <c r="R2781" s="200"/>
      <c r="S2781" s="170"/>
      <c r="T2781" s="170"/>
      <c r="U2781" s="201"/>
      <c r="V2781" s="198"/>
      <c r="W2781" s="170"/>
      <c r="X2781" s="202"/>
      <c r="Y2781" s="203"/>
      <c r="Z2781" s="170"/>
      <c r="AA2781" s="198"/>
      <c r="AB2781" s="170"/>
      <c r="AC2781" s="170"/>
      <c r="AD2781" s="121"/>
      <c r="AE2781" s="121"/>
      <c r="AF2781" s="121"/>
      <c r="AG2781" s="22"/>
      <c r="AH2781" s="22"/>
      <c r="AI2781" s="22"/>
      <c r="AJ2781" s="22"/>
      <c r="AK2781" s="22"/>
      <c r="AL2781" s="22"/>
      <c r="AM2781" s="22"/>
      <c r="AN2781" s="22"/>
      <c r="AO2781" s="22"/>
      <c r="AP2781" s="22"/>
    </row>
    <row r="2782">
      <c r="A2782" s="193"/>
      <c r="B2782" s="194"/>
      <c r="C2782" s="195"/>
      <c r="D2782" s="196"/>
      <c r="E2782" s="197"/>
      <c r="F2782" s="197"/>
      <c r="G2782" s="195"/>
      <c r="H2782" s="195"/>
      <c r="I2782" s="197"/>
      <c r="J2782" s="121"/>
      <c r="K2782" s="121"/>
      <c r="L2782" s="200"/>
      <c r="M2782" s="204"/>
      <c r="N2782" s="205"/>
      <c r="O2782" s="170"/>
      <c r="P2782" s="198"/>
      <c r="Q2782" s="199"/>
      <c r="R2782" s="200"/>
      <c r="S2782" s="170"/>
      <c r="T2782" s="170"/>
      <c r="U2782" s="201"/>
      <c r="V2782" s="198"/>
      <c r="W2782" s="170"/>
      <c r="X2782" s="202"/>
      <c r="Y2782" s="203"/>
      <c r="Z2782" s="170"/>
      <c r="AA2782" s="198"/>
      <c r="AB2782" s="170"/>
      <c r="AC2782" s="170"/>
      <c r="AD2782" s="121"/>
      <c r="AE2782" s="121"/>
      <c r="AF2782" s="121"/>
      <c r="AG2782" s="22"/>
      <c r="AH2782" s="22"/>
      <c r="AI2782" s="22"/>
      <c r="AJ2782" s="22"/>
      <c r="AK2782" s="22"/>
      <c r="AL2782" s="22"/>
      <c r="AM2782" s="22"/>
      <c r="AN2782" s="22"/>
      <c r="AO2782" s="22"/>
      <c r="AP2782" s="22"/>
    </row>
    <row r="2783">
      <c r="A2783" s="193"/>
      <c r="B2783" s="194"/>
      <c r="C2783" s="195"/>
      <c r="D2783" s="196"/>
      <c r="E2783" s="197"/>
      <c r="F2783" s="197"/>
      <c r="G2783" s="195"/>
      <c r="H2783" s="195"/>
      <c r="I2783" s="197"/>
      <c r="J2783" s="121"/>
      <c r="K2783" s="121"/>
      <c r="L2783" s="200"/>
      <c r="M2783" s="204"/>
      <c r="N2783" s="205"/>
      <c r="O2783" s="170"/>
      <c r="P2783" s="198"/>
      <c r="Q2783" s="199"/>
      <c r="R2783" s="200"/>
      <c r="S2783" s="170"/>
      <c r="T2783" s="170"/>
      <c r="U2783" s="201"/>
      <c r="V2783" s="198"/>
      <c r="W2783" s="170"/>
      <c r="X2783" s="202"/>
      <c r="Y2783" s="203"/>
      <c r="Z2783" s="170"/>
      <c r="AA2783" s="198"/>
      <c r="AB2783" s="170"/>
      <c r="AC2783" s="170"/>
      <c r="AD2783" s="121"/>
      <c r="AE2783" s="121"/>
      <c r="AF2783" s="121"/>
      <c r="AG2783" s="22"/>
      <c r="AH2783" s="22"/>
      <c r="AI2783" s="22"/>
      <c r="AJ2783" s="22"/>
      <c r="AK2783" s="22"/>
      <c r="AL2783" s="22"/>
      <c r="AM2783" s="22"/>
      <c r="AN2783" s="22"/>
      <c r="AO2783" s="22"/>
      <c r="AP2783" s="22"/>
    </row>
    <row r="2784">
      <c r="A2784" s="193"/>
      <c r="B2784" s="194"/>
      <c r="C2784" s="195"/>
      <c r="D2784" s="196"/>
      <c r="E2784" s="197"/>
      <c r="F2784" s="197"/>
      <c r="G2784" s="195"/>
      <c r="H2784" s="195"/>
      <c r="I2784" s="197"/>
      <c r="J2784" s="121"/>
      <c r="K2784" s="121"/>
      <c r="L2784" s="200"/>
      <c r="M2784" s="204"/>
      <c r="N2784" s="205"/>
      <c r="O2784" s="170"/>
      <c r="P2784" s="198"/>
      <c r="Q2784" s="199"/>
      <c r="R2784" s="200"/>
      <c r="S2784" s="170"/>
      <c r="T2784" s="170"/>
      <c r="U2784" s="201"/>
      <c r="V2784" s="198"/>
      <c r="W2784" s="170"/>
      <c r="X2784" s="202"/>
      <c r="Y2784" s="203"/>
      <c r="Z2784" s="170"/>
      <c r="AA2784" s="198"/>
      <c r="AB2784" s="170"/>
      <c r="AC2784" s="170"/>
      <c r="AD2784" s="121"/>
      <c r="AE2784" s="121"/>
      <c r="AF2784" s="121"/>
      <c r="AG2784" s="22"/>
      <c r="AH2784" s="22"/>
      <c r="AI2784" s="22"/>
      <c r="AJ2784" s="22"/>
      <c r="AK2784" s="22"/>
      <c r="AL2784" s="22"/>
      <c r="AM2784" s="22"/>
      <c r="AN2784" s="22"/>
      <c r="AO2784" s="22"/>
      <c r="AP2784" s="22"/>
    </row>
    <row r="2785">
      <c r="A2785" s="193"/>
      <c r="B2785" s="194"/>
      <c r="C2785" s="195"/>
      <c r="D2785" s="196"/>
      <c r="E2785" s="197"/>
      <c r="F2785" s="197"/>
      <c r="G2785" s="195"/>
      <c r="H2785" s="195"/>
      <c r="I2785" s="197"/>
      <c r="J2785" s="121"/>
      <c r="K2785" s="121"/>
      <c r="L2785" s="200"/>
      <c r="M2785" s="204"/>
      <c r="N2785" s="205"/>
      <c r="O2785" s="170"/>
      <c r="P2785" s="198"/>
      <c r="Q2785" s="199"/>
      <c r="R2785" s="200"/>
      <c r="S2785" s="170"/>
      <c r="T2785" s="170"/>
      <c r="U2785" s="201"/>
      <c r="V2785" s="198"/>
      <c r="W2785" s="170"/>
      <c r="X2785" s="202"/>
      <c r="Y2785" s="203"/>
      <c r="Z2785" s="170"/>
      <c r="AA2785" s="198"/>
      <c r="AB2785" s="170"/>
      <c r="AC2785" s="170"/>
      <c r="AD2785" s="121"/>
      <c r="AE2785" s="121"/>
      <c r="AF2785" s="121"/>
      <c r="AG2785" s="22"/>
      <c r="AH2785" s="22"/>
      <c r="AI2785" s="22"/>
      <c r="AJ2785" s="22"/>
      <c r="AK2785" s="22"/>
      <c r="AL2785" s="22"/>
      <c r="AM2785" s="22"/>
      <c r="AN2785" s="22"/>
      <c r="AO2785" s="22"/>
      <c r="AP2785" s="22"/>
    </row>
    <row r="2786">
      <c r="A2786" s="193"/>
      <c r="B2786" s="194"/>
      <c r="C2786" s="195"/>
      <c r="D2786" s="196"/>
      <c r="E2786" s="197"/>
      <c r="F2786" s="197"/>
      <c r="G2786" s="195"/>
      <c r="H2786" s="195"/>
      <c r="I2786" s="197"/>
      <c r="J2786" s="121"/>
      <c r="K2786" s="121"/>
      <c r="L2786" s="200"/>
      <c r="M2786" s="204"/>
      <c r="N2786" s="205"/>
      <c r="O2786" s="170"/>
      <c r="P2786" s="198"/>
      <c r="Q2786" s="199"/>
      <c r="R2786" s="200"/>
      <c r="S2786" s="170"/>
      <c r="T2786" s="170"/>
      <c r="U2786" s="201"/>
      <c r="V2786" s="198"/>
      <c r="W2786" s="170"/>
      <c r="X2786" s="202"/>
      <c r="Y2786" s="203"/>
      <c r="Z2786" s="170"/>
      <c r="AA2786" s="198"/>
      <c r="AB2786" s="170"/>
      <c r="AC2786" s="170"/>
      <c r="AD2786" s="121"/>
      <c r="AE2786" s="121"/>
      <c r="AF2786" s="121"/>
      <c r="AG2786" s="22"/>
      <c r="AH2786" s="22"/>
      <c r="AI2786" s="22"/>
      <c r="AJ2786" s="22"/>
      <c r="AK2786" s="22"/>
      <c r="AL2786" s="22"/>
      <c r="AM2786" s="22"/>
      <c r="AN2786" s="22"/>
      <c r="AO2786" s="22"/>
      <c r="AP2786" s="22"/>
    </row>
    <row r="2787">
      <c r="A2787" s="193"/>
      <c r="B2787" s="194"/>
      <c r="C2787" s="195"/>
      <c r="D2787" s="196"/>
      <c r="E2787" s="197"/>
      <c r="F2787" s="197"/>
      <c r="G2787" s="195"/>
      <c r="H2787" s="195"/>
      <c r="I2787" s="197"/>
      <c r="J2787" s="121"/>
      <c r="K2787" s="121"/>
      <c r="L2787" s="200"/>
      <c r="M2787" s="204"/>
      <c r="N2787" s="205"/>
      <c r="O2787" s="170"/>
      <c r="P2787" s="198"/>
      <c r="Q2787" s="199"/>
      <c r="R2787" s="200"/>
      <c r="S2787" s="170"/>
      <c r="T2787" s="170"/>
      <c r="U2787" s="201"/>
      <c r="V2787" s="198"/>
      <c r="W2787" s="170"/>
      <c r="X2787" s="202"/>
      <c r="Y2787" s="203"/>
      <c r="Z2787" s="170"/>
      <c r="AA2787" s="198"/>
      <c r="AB2787" s="170"/>
      <c r="AC2787" s="170"/>
      <c r="AD2787" s="121"/>
      <c r="AE2787" s="121"/>
      <c r="AF2787" s="121"/>
      <c r="AG2787" s="22"/>
      <c r="AH2787" s="22"/>
      <c r="AI2787" s="22"/>
      <c r="AJ2787" s="22"/>
      <c r="AK2787" s="22"/>
      <c r="AL2787" s="22"/>
      <c r="AM2787" s="22"/>
      <c r="AN2787" s="22"/>
      <c r="AO2787" s="22"/>
      <c r="AP2787" s="22"/>
    </row>
    <row r="2788">
      <c r="A2788" s="193"/>
      <c r="B2788" s="194"/>
      <c r="C2788" s="195"/>
      <c r="D2788" s="196"/>
      <c r="E2788" s="197"/>
      <c r="F2788" s="197"/>
      <c r="G2788" s="195"/>
      <c r="H2788" s="195"/>
      <c r="I2788" s="197"/>
      <c r="J2788" s="121"/>
      <c r="K2788" s="121"/>
      <c r="L2788" s="200"/>
      <c r="M2788" s="204"/>
      <c r="N2788" s="205"/>
      <c r="O2788" s="170"/>
      <c r="P2788" s="198"/>
      <c r="Q2788" s="199"/>
      <c r="R2788" s="200"/>
      <c r="S2788" s="170"/>
      <c r="T2788" s="170"/>
      <c r="U2788" s="201"/>
      <c r="V2788" s="198"/>
      <c r="W2788" s="170"/>
      <c r="X2788" s="202"/>
      <c r="Y2788" s="203"/>
      <c r="Z2788" s="170"/>
      <c r="AA2788" s="198"/>
      <c r="AB2788" s="170"/>
      <c r="AC2788" s="170"/>
      <c r="AD2788" s="121"/>
      <c r="AE2788" s="121"/>
      <c r="AF2788" s="121"/>
      <c r="AG2788" s="22"/>
      <c r="AH2788" s="22"/>
      <c r="AI2788" s="22"/>
      <c r="AJ2788" s="22"/>
      <c r="AK2788" s="22"/>
      <c r="AL2788" s="22"/>
      <c r="AM2788" s="22"/>
      <c r="AN2788" s="22"/>
      <c r="AO2788" s="22"/>
      <c r="AP2788" s="22"/>
    </row>
    <row r="2789">
      <c r="A2789" s="193"/>
      <c r="B2789" s="194"/>
      <c r="C2789" s="195"/>
      <c r="D2789" s="196"/>
      <c r="E2789" s="197"/>
      <c r="F2789" s="197"/>
      <c r="G2789" s="195"/>
      <c r="H2789" s="195"/>
      <c r="I2789" s="197"/>
      <c r="J2789" s="121"/>
      <c r="K2789" s="121"/>
      <c r="L2789" s="200"/>
      <c r="M2789" s="204"/>
      <c r="N2789" s="205"/>
      <c r="O2789" s="170"/>
      <c r="P2789" s="198"/>
      <c r="Q2789" s="199"/>
      <c r="R2789" s="200"/>
      <c r="S2789" s="170"/>
      <c r="T2789" s="170"/>
      <c r="U2789" s="201"/>
      <c r="V2789" s="198"/>
      <c r="W2789" s="170"/>
      <c r="X2789" s="202"/>
      <c r="Y2789" s="203"/>
      <c r="Z2789" s="170"/>
      <c r="AA2789" s="198"/>
      <c r="AB2789" s="170"/>
      <c r="AC2789" s="170"/>
      <c r="AD2789" s="121"/>
      <c r="AE2789" s="121"/>
      <c r="AF2789" s="121"/>
      <c r="AG2789" s="22"/>
      <c r="AH2789" s="22"/>
      <c r="AI2789" s="22"/>
      <c r="AJ2789" s="22"/>
      <c r="AK2789" s="22"/>
      <c r="AL2789" s="22"/>
      <c r="AM2789" s="22"/>
      <c r="AN2789" s="22"/>
      <c r="AO2789" s="22"/>
      <c r="AP2789" s="22"/>
    </row>
    <row r="2790">
      <c r="A2790" s="193"/>
      <c r="B2790" s="194"/>
      <c r="C2790" s="195"/>
      <c r="D2790" s="196"/>
      <c r="E2790" s="197"/>
      <c r="F2790" s="197"/>
      <c r="G2790" s="195"/>
      <c r="H2790" s="195"/>
      <c r="I2790" s="197"/>
      <c r="J2790" s="121"/>
      <c r="K2790" s="121"/>
      <c r="L2790" s="200"/>
      <c r="M2790" s="204"/>
      <c r="N2790" s="205"/>
      <c r="O2790" s="170"/>
      <c r="P2790" s="198"/>
      <c r="Q2790" s="199"/>
      <c r="R2790" s="200"/>
      <c r="S2790" s="170"/>
      <c r="T2790" s="170"/>
      <c r="U2790" s="201"/>
      <c r="V2790" s="198"/>
      <c r="W2790" s="170"/>
      <c r="X2790" s="202"/>
      <c r="Y2790" s="203"/>
      <c r="Z2790" s="170"/>
      <c r="AA2790" s="198"/>
      <c r="AB2790" s="170"/>
      <c r="AC2790" s="170"/>
      <c r="AD2790" s="121"/>
      <c r="AE2790" s="121"/>
      <c r="AF2790" s="121"/>
      <c r="AG2790" s="22"/>
      <c r="AH2790" s="22"/>
      <c r="AI2790" s="22"/>
      <c r="AJ2790" s="22"/>
      <c r="AK2790" s="22"/>
      <c r="AL2790" s="22"/>
      <c r="AM2790" s="22"/>
      <c r="AN2790" s="22"/>
      <c r="AO2790" s="22"/>
      <c r="AP2790" s="22"/>
    </row>
    <row r="2791">
      <c r="A2791" s="193"/>
      <c r="B2791" s="194"/>
      <c r="C2791" s="195"/>
      <c r="D2791" s="196"/>
      <c r="E2791" s="197"/>
      <c r="F2791" s="197"/>
      <c r="G2791" s="195"/>
      <c r="H2791" s="195"/>
      <c r="I2791" s="197"/>
      <c r="J2791" s="121"/>
      <c r="K2791" s="121"/>
      <c r="L2791" s="200"/>
      <c r="M2791" s="204"/>
      <c r="N2791" s="205"/>
      <c r="O2791" s="170"/>
      <c r="P2791" s="198"/>
      <c r="Q2791" s="199"/>
      <c r="R2791" s="200"/>
      <c r="S2791" s="170"/>
      <c r="T2791" s="170"/>
      <c r="U2791" s="201"/>
      <c r="V2791" s="198"/>
      <c r="W2791" s="170"/>
      <c r="X2791" s="202"/>
      <c r="Y2791" s="203"/>
      <c r="Z2791" s="170"/>
      <c r="AA2791" s="198"/>
      <c r="AB2791" s="170"/>
      <c r="AC2791" s="170"/>
      <c r="AD2791" s="121"/>
      <c r="AE2791" s="121"/>
      <c r="AF2791" s="121"/>
      <c r="AG2791" s="22"/>
      <c r="AH2791" s="22"/>
      <c r="AI2791" s="22"/>
      <c r="AJ2791" s="22"/>
      <c r="AK2791" s="22"/>
      <c r="AL2791" s="22"/>
      <c r="AM2791" s="22"/>
      <c r="AN2791" s="22"/>
      <c r="AO2791" s="22"/>
      <c r="AP2791" s="22"/>
    </row>
    <row r="2792">
      <c r="A2792" s="193"/>
      <c r="B2792" s="194"/>
      <c r="C2792" s="195"/>
      <c r="D2792" s="196"/>
      <c r="E2792" s="197"/>
      <c r="F2792" s="197"/>
      <c r="G2792" s="195"/>
      <c r="H2792" s="195"/>
      <c r="I2792" s="197"/>
      <c r="J2792" s="121"/>
      <c r="K2792" s="121"/>
      <c r="L2792" s="200"/>
      <c r="M2792" s="204"/>
      <c r="N2792" s="205"/>
      <c r="O2792" s="170"/>
      <c r="P2792" s="198"/>
      <c r="Q2792" s="199"/>
      <c r="R2792" s="200"/>
      <c r="S2792" s="170"/>
      <c r="T2792" s="170"/>
      <c r="U2792" s="201"/>
      <c r="V2792" s="198"/>
      <c r="W2792" s="170"/>
      <c r="X2792" s="202"/>
      <c r="Y2792" s="203"/>
      <c r="Z2792" s="170"/>
      <c r="AA2792" s="198"/>
      <c r="AB2792" s="170"/>
      <c r="AC2792" s="170"/>
      <c r="AD2792" s="121"/>
      <c r="AE2792" s="121"/>
      <c r="AF2792" s="121"/>
      <c r="AG2792" s="22"/>
      <c r="AH2792" s="22"/>
      <c r="AI2792" s="22"/>
      <c r="AJ2792" s="22"/>
      <c r="AK2792" s="22"/>
      <c r="AL2792" s="22"/>
      <c r="AM2792" s="22"/>
      <c r="AN2792" s="22"/>
      <c r="AO2792" s="22"/>
      <c r="AP2792" s="22"/>
    </row>
    <row r="2793">
      <c r="A2793" s="193"/>
      <c r="B2793" s="194"/>
      <c r="C2793" s="195"/>
      <c r="D2793" s="196"/>
      <c r="E2793" s="197"/>
      <c r="F2793" s="197"/>
      <c r="G2793" s="195"/>
      <c r="H2793" s="195"/>
      <c r="I2793" s="197"/>
      <c r="J2793" s="121"/>
      <c r="K2793" s="121"/>
      <c r="L2793" s="200"/>
      <c r="M2793" s="204"/>
      <c r="N2793" s="205"/>
      <c r="O2793" s="170"/>
      <c r="P2793" s="198"/>
      <c r="Q2793" s="199"/>
      <c r="R2793" s="200"/>
      <c r="S2793" s="170"/>
      <c r="T2793" s="170"/>
      <c r="U2793" s="201"/>
      <c r="V2793" s="198"/>
      <c r="W2793" s="170"/>
      <c r="X2793" s="202"/>
      <c r="Y2793" s="203"/>
      <c r="Z2793" s="170"/>
      <c r="AA2793" s="198"/>
      <c r="AB2793" s="170"/>
      <c r="AC2793" s="170"/>
      <c r="AD2793" s="121"/>
      <c r="AE2793" s="121"/>
      <c r="AF2793" s="121"/>
      <c r="AG2793" s="22"/>
      <c r="AH2793" s="22"/>
      <c r="AI2793" s="22"/>
      <c r="AJ2793" s="22"/>
      <c r="AK2793" s="22"/>
      <c r="AL2793" s="22"/>
      <c r="AM2793" s="22"/>
      <c r="AN2793" s="22"/>
      <c r="AO2793" s="22"/>
      <c r="AP2793" s="22"/>
    </row>
    <row r="2794">
      <c r="A2794" s="193"/>
      <c r="B2794" s="194"/>
      <c r="C2794" s="195"/>
      <c r="D2794" s="196"/>
      <c r="E2794" s="197"/>
      <c r="F2794" s="197"/>
      <c r="G2794" s="195"/>
      <c r="H2794" s="195"/>
      <c r="I2794" s="197"/>
      <c r="J2794" s="121"/>
      <c r="K2794" s="121"/>
      <c r="L2794" s="200"/>
      <c r="M2794" s="204"/>
      <c r="N2794" s="205"/>
      <c r="O2794" s="170"/>
      <c r="P2794" s="198"/>
      <c r="Q2794" s="199"/>
      <c r="R2794" s="200"/>
      <c r="S2794" s="170"/>
      <c r="T2794" s="170"/>
      <c r="U2794" s="201"/>
      <c r="V2794" s="198"/>
      <c r="W2794" s="170"/>
      <c r="X2794" s="202"/>
      <c r="Y2794" s="203"/>
      <c r="Z2794" s="170"/>
      <c r="AA2794" s="198"/>
      <c r="AB2794" s="170"/>
      <c r="AC2794" s="170"/>
      <c r="AD2794" s="121"/>
      <c r="AE2794" s="121"/>
      <c r="AF2794" s="121"/>
      <c r="AG2794" s="22"/>
      <c r="AH2794" s="22"/>
      <c r="AI2794" s="22"/>
      <c r="AJ2794" s="22"/>
      <c r="AK2794" s="22"/>
      <c r="AL2794" s="22"/>
      <c r="AM2794" s="22"/>
      <c r="AN2794" s="22"/>
      <c r="AO2794" s="22"/>
      <c r="AP2794" s="22"/>
    </row>
    <row r="2795">
      <c r="A2795" s="193"/>
      <c r="B2795" s="194"/>
      <c r="C2795" s="195"/>
      <c r="D2795" s="196"/>
      <c r="E2795" s="197"/>
      <c r="F2795" s="197"/>
      <c r="G2795" s="195"/>
      <c r="H2795" s="195"/>
      <c r="I2795" s="197"/>
      <c r="J2795" s="121"/>
      <c r="K2795" s="121"/>
      <c r="L2795" s="200"/>
      <c r="M2795" s="204"/>
      <c r="N2795" s="205"/>
      <c r="O2795" s="170"/>
      <c r="P2795" s="198"/>
      <c r="Q2795" s="199"/>
      <c r="R2795" s="200"/>
      <c r="S2795" s="170"/>
      <c r="T2795" s="170"/>
      <c r="U2795" s="201"/>
      <c r="V2795" s="198"/>
      <c r="W2795" s="170"/>
      <c r="X2795" s="202"/>
      <c r="Y2795" s="203"/>
      <c r="Z2795" s="170"/>
      <c r="AA2795" s="198"/>
      <c r="AB2795" s="170"/>
      <c r="AC2795" s="170"/>
      <c r="AD2795" s="121"/>
      <c r="AE2795" s="121"/>
      <c r="AF2795" s="121"/>
      <c r="AG2795" s="22"/>
      <c r="AH2795" s="22"/>
      <c r="AI2795" s="22"/>
      <c r="AJ2795" s="22"/>
      <c r="AK2795" s="22"/>
      <c r="AL2795" s="22"/>
      <c r="AM2795" s="22"/>
      <c r="AN2795" s="22"/>
      <c r="AO2795" s="22"/>
      <c r="AP2795" s="22"/>
    </row>
    <row r="2796">
      <c r="A2796" s="193"/>
      <c r="B2796" s="194"/>
      <c r="C2796" s="195"/>
      <c r="D2796" s="196"/>
      <c r="E2796" s="197"/>
      <c r="F2796" s="197"/>
      <c r="G2796" s="195"/>
      <c r="H2796" s="195"/>
      <c r="I2796" s="197"/>
      <c r="J2796" s="121"/>
      <c r="K2796" s="121"/>
      <c r="L2796" s="200"/>
      <c r="M2796" s="204"/>
      <c r="N2796" s="205"/>
      <c r="O2796" s="170"/>
      <c r="P2796" s="198"/>
      <c r="Q2796" s="199"/>
      <c r="R2796" s="200"/>
      <c r="S2796" s="170"/>
      <c r="T2796" s="170"/>
      <c r="U2796" s="201"/>
      <c r="V2796" s="198"/>
      <c r="W2796" s="170"/>
      <c r="X2796" s="202"/>
      <c r="Y2796" s="203"/>
      <c r="Z2796" s="170"/>
      <c r="AA2796" s="198"/>
      <c r="AB2796" s="170"/>
      <c r="AC2796" s="170"/>
      <c r="AD2796" s="121"/>
      <c r="AE2796" s="121"/>
      <c r="AF2796" s="121"/>
      <c r="AG2796" s="22"/>
      <c r="AH2796" s="22"/>
      <c r="AI2796" s="22"/>
      <c r="AJ2796" s="22"/>
      <c r="AK2796" s="22"/>
      <c r="AL2796" s="22"/>
      <c r="AM2796" s="22"/>
      <c r="AN2796" s="22"/>
      <c r="AO2796" s="22"/>
      <c r="AP2796" s="22"/>
    </row>
    <row r="2797">
      <c r="A2797" s="193"/>
      <c r="B2797" s="194"/>
      <c r="C2797" s="195"/>
      <c r="D2797" s="196"/>
      <c r="E2797" s="197"/>
      <c r="F2797" s="197"/>
      <c r="G2797" s="195"/>
      <c r="H2797" s="195"/>
      <c r="I2797" s="197"/>
      <c r="J2797" s="121"/>
      <c r="K2797" s="121"/>
      <c r="L2797" s="200"/>
      <c r="M2797" s="204"/>
      <c r="N2797" s="205"/>
      <c r="O2797" s="170"/>
      <c r="P2797" s="198"/>
      <c r="Q2797" s="199"/>
      <c r="R2797" s="200"/>
      <c r="S2797" s="170"/>
      <c r="T2797" s="170"/>
      <c r="U2797" s="201"/>
      <c r="V2797" s="198"/>
      <c r="W2797" s="170"/>
      <c r="X2797" s="202"/>
      <c r="Y2797" s="203"/>
      <c r="Z2797" s="170"/>
      <c r="AA2797" s="198"/>
      <c r="AB2797" s="170"/>
      <c r="AC2797" s="170"/>
      <c r="AD2797" s="121"/>
      <c r="AE2797" s="121"/>
      <c r="AF2797" s="121"/>
      <c r="AG2797" s="22"/>
      <c r="AH2797" s="22"/>
      <c r="AI2797" s="22"/>
      <c r="AJ2797" s="22"/>
      <c r="AK2797" s="22"/>
      <c r="AL2797" s="22"/>
      <c r="AM2797" s="22"/>
      <c r="AN2797" s="22"/>
      <c r="AO2797" s="22"/>
      <c r="AP2797" s="22"/>
    </row>
    <row r="2798">
      <c r="A2798" s="193"/>
      <c r="B2798" s="194"/>
      <c r="C2798" s="195"/>
      <c r="D2798" s="196"/>
      <c r="E2798" s="197"/>
      <c r="F2798" s="197"/>
      <c r="G2798" s="195"/>
      <c r="H2798" s="195"/>
      <c r="I2798" s="197"/>
      <c r="J2798" s="121"/>
      <c r="K2798" s="121"/>
      <c r="L2798" s="200"/>
      <c r="M2798" s="204"/>
      <c r="N2798" s="205"/>
      <c r="O2798" s="170"/>
      <c r="P2798" s="198"/>
      <c r="Q2798" s="199"/>
      <c r="R2798" s="200"/>
      <c r="S2798" s="170"/>
      <c r="T2798" s="170"/>
      <c r="U2798" s="201"/>
      <c r="V2798" s="198"/>
      <c r="W2798" s="170"/>
      <c r="X2798" s="202"/>
      <c r="Y2798" s="203"/>
      <c r="Z2798" s="170"/>
      <c r="AA2798" s="198"/>
      <c r="AB2798" s="170"/>
      <c r="AC2798" s="170"/>
      <c r="AD2798" s="121"/>
      <c r="AE2798" s="121"/>
      <c r="AF2798" s="121"/>
      <c r="AG2798" s="22"/>
      <c r="AH2798" s="22"/>
      <c r="AI2798" s="22"/>
      <c r="AJ2798" s="22"/>
      <c r="AK2798" s="22"/>
      <c r="AL2798" s="22"/>
      <c r="AM2798" s="22"/>
      <c r="AN2798" s="22"/>
      <c r="AO2798" s="22"/>
      <c r="AP2798" s="22"/>
    </row>
    <row r="2799">
      <c r="A2799" s="193"/>
      <c r="B2799" s="194"/>
      <c r="C2799" s="195"/>
      <c r="D2799" s="196"/>
      <c r="E2799" s="197"/>
      <c r="F2799" s="197"/>
      <c r="G2799" s="195"/>
      <c r="H2799" s="195"/>
      <c r="I2799" s="197"/>
      <c r="J2799" s="121"/>
      <c r="K2799" s="121"/>
      <c r="L2799" s="200"/>
      <c r="M2799" s="204"/>
      <c r="N2799" s="205"/>
      <c r="O2799" s="170"/>
      <c r="P2799" s="198"/>
      <c r="Q2799" s="199"/>
      <c r="R2799" s="200"/>
      <c r="S2799" s="170"/>
      <c r="T2799" s="170"/>
      <c r="U2799" s="201"/>
      <c r="V2799" s="198"/>
      <c r="W2799" s="170"/>
      <c r="X2799" s="202"/>
      <c r="Y2799" s="203"/>
      <c r="Z2799" s="170"/>
      <c r="AA2799" s="198"/>
      <c r="AB2799" s="170"/>
      <c r="AC2799" s="170"/>
      <c r="AD2799" s="121"/>
      <c r="AE2799" s="121"/>
      <c r="AF2799" s="121"/>
      <c r="AG2799" s="22"/>
      <c r="AH2799" s="22"/>
      <c r="AI2799" s="22"/>
      <c r="AJ2799" s="22"/>
      <c r="AK2799" s="22"/>
      <c r="AL2799" s="22"/>
      <c r="AM2799" s="22"/>
      <c r="AN2799" s="22"/>
      <c r="AO2799" s="22"/>
      <c r="AP2799" s="22"/>
    </row>
    <row r="2800">
      <c r="A2800" s="193"/>
      <c r="B2800" s="194"/>
      <c r="C2800" s="195"/>
      <c r="D2800" s="196"/>
      <c r="E2800" s="197"/>
      <c r="F2800" s="197"/>
      <c r="G2800" s="195"/>
      <c r="H2800" s="195"/>
      <c r="I2800" s="197"/>
      <c r="J2800" s="121"/>
      <c r="K2800" s="121"/>
      <c r="L2800" s="200"/>
      <c r="M2800" s="204"/>
      <c r="N2800" s="205"/>
      <c r="O2800" s="170"/>
      <c r="P2800" s="198"/>
      <c r="Q2800" s="199"/>
      <c r="R2800" s="200"/>
      <c r="S2800" s="170"/>
      <c r="T2800" s="170"/>
      <c r="U2800" s="201"/>
      <c r="V2800" s="198"/>
      <c r="W2800" s="170"/>
      <c r="X2800" s="202"/>
      <c r="Y2800" s="203"/>
      <c r="Z2800" s="170"/>
      <c r="AA2800" s="198"/>
      <c r="AB2800" s="170"/>
      <c r="AC2800" s="170"/>
      <c r="AD2800" s="121"/>
      <c r="AE2800" s="121"/>
      <c r="AF2800" s="121"/>
      <c r="AG2800" s="22"/>
      <c r="AH2800" s="22"/>
      <c r="AI2800" s="22"/>
      <c r="AJ2800" s="22"/>
      <c r="AK2800" s="22"/>
      <c r="AL2800" s="22"/>
      <c r="AM2800" s="22"/>
      <c r="AN2800" s="22"/>
      <c r="AO2800" s="22"/>
      <c r="AP2800" s="22"/>
    </row>
    <row r="2801">
      <c r="A2801" s="193"/>
      <c r="B2801" s="194"/>
      <c r="C2801" s="195"/>
      <c r="D2801" s="196"/>
      <c r="E2801" s="197"/>
      <c r="F2801" s="197"/>
      <c r="G2801" s="195"/>
      <c r="H2801" s="195"/>
      <c r="I2801" s="197"/>
      <c r="J2801" s="121"/>
      <c r="K2801" s="121"/>
      <c r="L2801" s="200"/>
      <c r="M2801" s="204"/>
      <c r="N2801" s="205"/>
      <c r="O2801" s="170"/>
      <c r="P2801" s="198"/>
      <c r="Q2801" s="199"/>
      <c r="R2801" s="200"/>
      <c r="S2801" s="170"/>
      <c r="T2801" s="170"/>
      <c r="U2801" s="201"/>
      <c r="V2801" s="198"/>
      <c r="W2801" s="170"/>
      <c r="X2801" s="202"/>
      <c r="Y2801" s="203"/>
      <c r="Z2801" s="170"/>
      <c r="AA2801" s="198"/>
      <c r="AB2801" s="170"/>
      <c r="AC2801" s="170"/>
      <c r="AD2801" s="121"/>
      <c r="AE2801" s="121"/>
      <c r="AF2801" s="121"/>
      <c r="AG2801" s="22"/>
      <c r="AH2801" s="22"/>
      <c r="AI2801" s="22"/>
      <c r="AJ2801" s="22"/>
      <c r="AK2801" s="22"/>
      <c r="AL2801" s="22"/>
      <c r="AM2801" s="22"/>
      <c r="AN2801" s="22"/>
      <c r="AO2801" s="22"/>
      <c r="AP2801" s="22"/>
    </row>
    <row r="2802">
      <c r="A2802" s="193"/>
      <c r="B2802" s="194"/>
      <c r="C2802" s="195"/>
      <c r="D2802" s="196"/>
      <c r="E2802" s="197"/>
      <c r="F2802" s="197"/>
      <c r="G2802" s="195"/>
      <c r="H2802" s="195"/>
      <c r="I2802" s="197"/>
      <c r="J2802" s="121"/>
      <c r="K2802" s="121"/>
      <c r="L2802" s="200"/>
      <c r="M2802" s="204"/>
      <c r="N2802" s="205"/>
      <c r="O2802" s="170"/>
      <c r="P2802" s="198"/>
      <c r="Q2802" s="199"/>
      <c r="R2802" s="200"/>
      <c r="S2802" s="170"/>
      <c r="T2802" s="170"/>
      <c r="U2802" s="201"/>
      <c r="V2802" s="198"/>
      <c r="W2802" s="170"/>
      <c r="X2802" s="202"/>
      <c r="Y2802" s="203"/>
      <c r="Z2802" s="170"/>
      <c r="AA2802" s="198"/>
      <c r="AB2802" s="170"/>
      <c r="AC2802" s="170"/>
      <c r="AD2802" s="121"/>
      <c r="AE2802" s="121"/>
      <c r="AF2802" s="121"/>
      <c r="AG2802" s="22"/>
      <c r="AH2802" s="22"/>
      <c r="AI2802" s="22"/>
      <c r="AJ2802" s="22"/>
      <c r="AK2802" s="22"/>
      <c r="AL2802" s="22"/>
      <c r="AM2802" s="22"/>
      <c r="AN2802" s="22"/>
      <c r="AO2802" s="22"/>
      <c r="AP2802" s="22"/>
    </row>
    <row r="2803">
      <c r="A2803" s="193"/>
      <c r="B2803" s="194"/>
      <c r="C2803" s="195"/>
      <c r="D2803" s="196"/>
      <c r="E2803" s="197"/>
      <c r="F2803" s="197"/>
      <c r="G2803" s="195"/>
      <c r="H2803" s="195"/>
      <c r="I2803" s="197"/>
      <c r="J2803" s="121"/>
      <c r="K2803" s="121"/>
      <c r="L2803" s="200"/>
      <c r="M2803" s="204"/>
      <c r="N2803" s="205"/>
      <c r="O2803" s="170"/>
      <c r="P2803" s="198"/>
      <c r="Q2803" s="199"/>
      <c r="R2803" s="200"/>
      <c r="S2803" s="170"/>
      <c r="T2803" s="170"/>
      <c r="U2803" s="201"/>
      <c r="V2803" s="198"/>
      <c r="W2803" s="170"/>
      <c r="X2803" s="202"/>
      <c r="Y2803" s="203"/>
      <c r="Z2803" s="170"/>
      <c r="AA2803" s="198"/>
      <c r="AB2803" s="170"/>
      <c r="AC2803" s="170"/>
      <c r="AD2803" s="121"/>
      <c r="AE2803" s="121"/>
      <c r="AF2803" s="121"/>
      <c r="AG2803" s="22"/>
      <c r="AH2803" s="22"/>
      <c r="AI2803" s="22"/>
      <c r="AJ2803" s="22"/>
      <c r="AK2803" s="22"/>
      <c r="AL2803" s="22"/>
      <c r="AM2803" s="22"/>
      <c r="AN2803" s="22"/>
      <c r="AO2803" s="22"/>
      <c r="AP2803" s="22"/>
    </row>
    <row r="2804">
      <c r="A2804" s="193"/>
      <c r="B2804" s="194"/>
      <c r="C2804" s="195"/>
      <c r="D2804" s="196"/>
      <c r="E2804" s="197"/>
      <c r="F2804" s="197"/>
      <c r="G2804" s="195"/>
      <c r="H2804" s="195"/>
      <c r="I2804" s="197"/>
      <c r="J2804" s="121"/>
      <c r="K2804" s="121"/>
      <c r="L2804" s="200"/>
      <c r="M2804" s="204"/>
      <c r="N2804" s="205"/>
      <c r="O2804" s="170"/>
      <c r="P2804" s="198"/>
      <c r="Q2804" s="199"/>
      <c r="R2804" s="200"/>
      <c r="S2804" s="170"/>
      <c r="T2804" s="170"/>
      <c r="U2804" s="201"/>
      <c r="V2804" s="198"/>
      <c r="W2804" s="170"/>
      <c r="X2804" s="202"/>
      <c r="Y2804" s="203"/>
      <c r="Z2804" s="170"/>
      <c r="AA2804" s="198"/>
      <c r="AB2804" s="170"/>
      <c r="AC2804" s="170"/>
      <c r="AD2804" s="121"/>
      <c r="AE2804" s="121"/>
      <c r="AF2804" s="121"/>
      <c r="AG2804" s="22"/>
      <c r="AH2804" s="22"/>
      <c r="AI2804" s="22"/>
      <c r="AJ2804" s="22"/>
      <c r="AK2804" s="22"/>
      <c r="AL2804" s="22"/>
      <c r="AM2804" s="22"/>
      <c r="AN2804" s="22"/>
      <c r="AO2804" s="22"/>
      <c r="AP2804" s="22"/>
    </row>
    <row r="2805">
      <c r="A2805" s="193"/>
      <c r="B2805" s="194"/>
      <c r="C2805" s="195"/>
      <c r="D2805" s="196"/>
      <c r="E2805" s="197"/>
      <c r="F2805" s="197"/>
      <c r="G2805" s="195"/>
      <c r="H2805" s="195"/>
      <c r="I2805" s="197"/>
      <c r="J2805" s="121"/>
      <c r="K2805" s="121"/>
      <c r="L2805" s="200"/>
      <c r="M2805" s="204"/>
      <c r="N2805" s="205"/>
      <c r="O2805" s="170"/>
      <c r="P2805" s="198"/>
      <c r="Q2805" s="199"/>
      <c r="R2805" s="200"/>
      <c r="S2805" s="170"/>
      <c r="T2805" s="170"/>
      <c r="U2805" s="201"/>
      <c r="V2805" s="198"/>
      <c r="W2805" s="170"/>
      <c r="X2805" s="202"/>
      <c r="Y2805" s="203"/>
      <c r="Z2805" s="170"/>
      <c r="AA2805" s="198"/>
      <c r="AB2805" s="170"/>
      <c r="AC2805" s="170"/>
      <c r="AD2805" s="121"/>
      <c r="AE2805" s="121"/>
      <c r="AF2805" s="121"/>
      <c r="AG2805" s="22"/>
      <c r="AH2805" s="22"/>
      <c r="AI2805" s="22"/>
      <c r="AJ2805" s="22"/>
      <c r="AK2805" s="22"/>
      <c r="AL2805" s="22"/>
      <c r="AM2805" s="22"/>
      <c r="AN2805" s="22"/>
      <c r="AO2805" s="22"/>
      <c r="AP2805" s="22"/>
    </row>
    <row r="2806">
      <c r="A2806" s="193"/>
      <c r="B2806" s="194"/>
      <c r="C2806" s="195"/>
      <c r="D2806" s="196"/>
      <c r="E2806" s="197"/>
      <c r="F2806" s="197"/>
      <c r="G2806" s="195"/>
      <c r="H2806" s="195"/>
      <c r="I2806" s="197"/>
      <c r="J2806" s="121"/>
      <c r="K2806" s="121"/>
      <c r="L2806" s="200"/>
      <c r="M2806" s="204"/>
      <c r="N2806" s="205"/>
      <c r="O2806" s="170"/>
      <c r="P2806" s="198"/>
      <c r="Q2806" s="199"/>
      <c r="R2806" s="200"/>
      <c r="S2806" s="170"/>
      <c r="T2806" s="170"/>
      <c r="U2806" s="201"/>
      <c r="V2806" s="198"/>
      <c r="W2806" s="170"/>
      <c r="X2806" s="202"/>
      <c r="Y2806" s="203"/>
      <c r="Z2806" s="170"/>
      <c r="AA2806" s="198"/>
      <c r="AB2806" s="170"/>
      <c r="AC2806" s="170"/>
      <c r="AD2806" s="121"/>
      <c r="AE2806" s="121"/>
      <c r="AF2806" s="121"/>
      <c r="AG2806" s="22"/>
      <c r="AH2806" s="22"/>
      <c r="AI2806" s="22"/>
      <c r="AJ2806" s="22"/>
      <c r="AK2806" s="22"/>
      <c r="AL2806" s="22"/>
      <c r="AM2806" s="22"/>
      <c r="AN2806" s="22"/>
      <c r="AO2806" s="22"/>
      <c r="AP2806" s="22"/>
    </row>
    <row r="2807">
      <c r="A2807" s="193"/>
      <c r="B2807" s="194"/>
      <c r="C2807" s="195"/>
      <c r="D2807" s="196"/>
      <c r="E2807" s="197"/>
      <c r="F2807" s="197"/>
      <c r="G2807" s="195"/>
      <c r="H2807" s="195"/>
      <c r="I2807" s="197"/>
      <c r="J2807" s="121"/>
      <c r="K2807" s="121"/>
      <c r="L2807" s="200"/>
      <c r="M2807" s="204"/>
      <c r="N2807" s="205"/>
      <c r="O2807" s="170"/>
      <c r="P2807" s="198"/>
      <c r="Q2807" s="199"/>
      <c r="R2807" s="200"/>
      <c r="S2807" s="170"/>
      <c r="T2807" s="170"/>
      <c r="U2807" s="201"/>
      <c r="V2807" s="198"/>
      <c r="W2807" s="170"/>
      <c r="X2807" s="202"/>
      <c r="Y2807" s="203"/>
      <c r="Z2807" s="170"/>
      <c r="AA2807" s="198"/>
      <c r="AB2807" s="170"/>
      <c r="AC2807" s="170"/>
      <c r="AD2807" s="121"/>
      <c r="AE2807" s="121"/>
      <c r="AF2807" s="121"/>
      <c r="AG2807" s="22"/>
      <c r="AH2807" s="22"/>
      <c r="AI2807" s="22"/>
      <c r="AJ2807" s="22"/>
      <c r="AK2807" s="22"/>
      <c r="AL2807" s="22"/>
      <c r="AM2807" s="22"/>
      <c r="AN2807" s="22"/>
      <c r="AO2807" s="22"/>
      <c r="AP2807" s="22"/>
    </row>
    <row r="2808">
      <c r="A2808" s="193"/>
      <c r="B2808" s="194"/>
      <c r="C2808" s="195"/>
      <c r="D2808" s="196"/>
      <c r="E2808" s="197"/>
      <c r="F2808" s="197"/>
      <c r="G2808" s="195"/>
      <c r="H2808" s="195"/>
      <c r="I2808" s="197"/>
      <c r="J2808" s="121"/>
      <c r="K2808" s="121"/>
      <c r="L2808" s="200"/>
      <c r="M2808" s="204"/>
      <c r="N2808" s="205"/>
      <c r="O2808" s="170"/>
      <c r="P2808" s="198"/>
      <c r="Q2808" s="199"/>
      <c r="R2808" s="200"/>
      <c r="S2808" s="170"/>
      <c r="T2808" s="170"/>
      <c r="U2808" s="201"/>
      <c r="V2808" s="198"/>
      <c r="W2808" s="170"/>
      <c r="X2808" s="202"/>
      <c r="Y2808" s="203"/>
      <c r="Z2808" s="170"/>
      <c r="AA2808" s="198"/>
      <c r="AB2808" s="170"/>
      <c r="AC2808" s="170"/>
      <c r="AD2808" s="121"/>
      <c r="AE2808" s="121"/>
      <c r="AF2808" s="121"/>
      <c r="AG2808" s="22"/>
      <c r="AH2808" s="22"/>
      <c r="AI2808" s="22"/>
      <c r="AJ2808" s="22"/>
      <c r="AK2808" s="22"/>
      <c r="AL2808" s="22"/>
      <c r="AM2808" s="22"/>
      <c r="AN2808" s="22"/>
      <c r="AO2808" s="22"/>
      <c r="AP2808" s="22"/>
    </row>
    <row r="2809">
      <c r="A2809" s="193"/>
      <c r="B2809" s="194"/>
      <c r="C2809" s="195"/>
      <c r="D2809" s="196"/>
      <c r="E2809" s="197"/>
      <c r="F2809" s="197"/>
      <c r="G2809" s="195"/>
      <c r="H2809" s="195"/>
      <c r="I2809" s="197"/>
      <c r="J2809" s="121"/>
      <c r="K2809" s="121"/>
      <c r="L2809" s="200"/>
      <c r="M2809" s="204"/>
      <c r="N2809" s="205"/>
      <c r="O2809" s="170"/>
      <c r="P2809" s="198"/>
      <c r="Q2809" s="199"/>
      <c r="R2809" s="200"/>
      <c r="S2809" s="170"/>
      <c r="T2809" s="170"/>
      <c r="U2809" s="201"/>
      <c r="V2809" s="198"/>
      <c r="W2809" s="170"/>
      <c r="X2809" s="202"/>
      <c r="Y2809" s="203"/>
      <c r="Z2809" s="170"/>
      <c r="AA2809" s="198"/>
      <c r="AB2809" s="170"/>
      <c r="AC2809" s="170"/>
      <c r="AD2809" s="121"/>
      <c r="AE2809" s="121"/>
      <c r="AF2809" s="121"/>
      <c r="AG2809" s="22"/>
      <c r="AH2809" s="22"/>
      <c r="AI2809" s="22"/>
      <c r="AJ2809" s="22"/>
      <c r="AK2809" s="22"/>
      <c r="AL2809" s="22"/>
      <c r="AM2809" s="22"/>
      <c r="AN2809" s="22"/>
      <c r="AO2809" s="22"/>
      <c r="AP2809" s="22"/>
    </row>
    <row r="2810">
      <c r="A2810" s="193"/>
      <c r="B2810" s="194"/>
      <c r="C2810" s="195"/>
      <c r="D2810" s="196"/>
      <c r="E2810" s="197"/>
      <c r="F2810" s="197"/>
      <c r="G2810" s="195"/>
      <c r="H2810" s="195"/>
      <c r="I2810" s="197"/>
      <c r="J2810" s="121"/>
      <c r="K2810" s="121"/>
      <c r="L2810" s="200"/>
      <c r="M2810" s="204"/>
      <c r="N2810" s="205"/>
      <c r="O2810" s="170"/>
      <c r="P2810" s="198"/>
      <c r="Q2810" s="199"/>
      <c r="R2810" s="200"/>
      <c r="S2810" s="170"/>
      <c r="T2810" s="170"/>
      <c r="U2810" s="201"/>
      <c r="V2810" s="198"/>
      <c r="W2810" s="170"/>
      <c r="X2810" s="202"/>
      <c r="Y2810" s="203"/>
      <c r="Z2810" s="170"/>
      <c r="AA2810" s="198"/>
      <c r="AB2810" s="170"/>
      <c r="AC2810" s="170"/>
      <c r="AD2810" s="121"/>
      <c r="AE2810" s="121"/>
      <c r="AF2810" s="121"/>
      <c r="AG2810" s="22"/>
      <c r="AH2810" s="22"/>
      <c r="AI2810" s="22"/>
      <c r="AJ2810" s="22"/>
      <c r="AK2810" s="22"/>
      <c r="AL2810" s="22"/>
      <c r="AM2810" s="22"/>
      <c r="AN2810" s="22"/>
      <c r="AO2810" s="22"/>
      <c r="AP2810" s="22"/>
    </row>
    <row r="2811">
      <c r="A2811" s="193"/>
      <c r="B2811" s="194"/>
      <c r="C2811" s="195"/>
      <c r="D2811" s="196"/>
      <c r="E2811" s="197"/>
      <c r="F2811" s="197"/>
      <c r="G2811" s="195"/>
      <c r="H2811" s="195"/>
      <c r="I2811" s="197"/>
      <c r="J2811" s="121"/>
      <c r="K2811" s="121"/>
      <c r="L2811" s="200"/>
      <c r="M2811" s="204"/>
      <c r="N2811" s="205"/>
      <c r="O2811" s="170"/>
      <c r="P2811" s="198"/>
      <c r="Q2811" s="199"/>
      <c r="R2811" s="200"/>
      <c r="S2811" s="170"/>
      <c r="T2811" s="170"/>
      <c r="U2811" s="201"/>
      <c r="V2811" s="198"/>
      <c r="W2811" s="170"/>
      <c r="X2811" s="202"/>
      <c r="Y2811" s="203"/>
      <c r="Z2811" s="170"/>
      <c r="AA2811" s="198"/>
      <c r="AB2811" s="170"/>
      <c r="AC2811" s="170"/>
      <c r="AD2811" s="121"/>
      <c r="AE2811" s="121"/>
      <c r="AF2811" s="121"/>
      <c r="AG2811" s="22"/>
      <c r="AH2811" s="22"/>
      <c r="AI2811" s="22"/>
      <c r="AJ2811" s="22"/>
      <c r="AK2811" s="22"/>
      <c r="AL2811" s="22"/>
      <c r="AM2811" s="22"/>
      <c r="AN2811" s="22"/>
      <c r="AO2811" s="22"/>
      <c r="AP2811" s="22"/>
    </row>
    <row r="2812">
      <c r="A2812" s="193"/>
      <c r="B2812" s="194"/>
      <c r="C2812" s="195"/>
      <c r="D2812" s="196"/>
      <c r="E2812" s="197"/>
      <c r="F2812" s="197"/>
      <c r="G2812" s="195"/>
      <c r="H2812" s="195"/>
      <c r="I2812" s="197"/>
      <c r="J2812" s="121"/>
      <c r="K2812" s="121"/>
      <c r="L2812" s="200"/>
      <c r="M2812" s="204"/>
      <c r="N2812" s="205"/>
      <c r="O2812" s="170"/>
      <c r="P2812" s="198"/>
      <c r="Q2812" s="199"/>
      <c r="R2812" s="200"/>
      <c r="S2812" s="170"/>
      <c r="T2812" s="170"/>
      <c r="U2812" s="201"/>
      <c r="V2812" s="198"/>
      <c r="W2812" s="170"/>
      <c r="X2812" s="202"/>
      <c r="Y2812" s="203"/>
      <c r="Z2812" s="170"/>
      <c r="AA2812" s="198"/>
      <c r="AB2812" s="170"/>
      <c r="AC2812" s="170"/>
      <c r="AD2812" s="121"/>
      <c r="AE2812" s="121"/>
      <c r="AF2812" s="121"/>
      <c r="AG2812" s="22"/>
      <c r="AH2812" s="22"/>
      <c r="AI2812" s="22"/>
      <c r="AJ2812" s="22"/>
      <c r="AK2812" s="22"/>
      <c r="AL2812" s="22"/>
      <c r="AM2812" s="22"/>
      <c r="AN2812" s="22"/>
      <c r="AO2812" s="22"/>
      <c r="AP2812" s="22"/>
    </row>
    <row r="2813">
      <c r="A2813" s="193"/>
      <c r="B2813" s="194"/>
      <c r="C2813" s="195"/>
      <c r="D2813" s="196"/>
      <c r="E2813" s="197"/>
      <c r="F2813" s="197"/>
      <c r="G2813" s="195"/>
      <c r="H2813" s="195"/>
      <c r="I2813" s="197"/>
      <c r="J2813" s="121"/>
      <c r="K2813" s="121"/>
      <c r="L2813" s="200"/>
      <c r="M2813" s="204"/>
      <c r="N2813" s="205"/>
      <c r="O2813" s="170"/>
      <c r="P2813" s="198"/>
      <c r="Q2813" s="199"/>
      <c r="R2813" s="200"/>
      <c r="S2813" s="170"/>
      <c r="T2813" s="170"/>
      <c r="U2813" s="201"/>
      <c r="V2813" s="198"/>
      <c r="W2813" s="170"/>
      <c r="X2813" s="202"/>
      <c r="Y2813" s="203"/>
      <c r="Z2813" s="170"/>
      <c r="AA2813" s="198"/>
      <c r="AB2813" s="170"/>
      <c r="AC2813" s="170"/>
      <c r="AD2813" s="121"/>
      <c r="AE2813" s="121"/>
      <c r="AF2813" s="121"/>
      <c r="AG2813" s="22"/>
      <c r="AH2813" s="22"/>
      <c r="AI2813" s="22"/>
      <c r="AJ2813" s="22"/>
      <c r="AK2813" s="22"/>
      <c r="AL2813" s="22"/>
      <c r="AM2813" s="22"/>
      <c r="AN2813" s="22"/>
      <c r="AO2813" s="22"/>
      <c r="AP2813" s="22"/>
    </row>
    <row r="2814">
      <c r="A2814" s="193"/>
      <c r="B2814" s="194"/>
      <c r="C2814" s="195"/>
      <c r="D2814" s="196"/>
      <c r="E2814" s="197"/>
      <c r="F2814" s="197"/>
      <c r="G2814" s="195"/>
      <c r="H2814" s="195"/>
      <c r="I2814" s="197"/>
      <c r="J2814" s="121"/>
      <c r="K2814" s="121"/>
      <c r="L2814" s="200"/>
      <c r="M2814" s="204"/>
      <c r="N2814" s="205"/>
      <c r="O2814" s="170"/>
      <c r="P2814" s="198"/>
      <c r="Q2814" s="199"/>
      <c r="R2814" s="200"/>
      <c r="S2814" s="170"/>
      <c r="T2814" s="170"/>
      <c r="U2814" s="201"/>
      <c r="V2814" s="198"/>
      <c r="W2814" s="170"/>
      <c r="X2814" s="202"/>
      <c r="Y2814" s="203"/>
      <c r="Z2814" s="170"/>
      <c r="AA2814" s="198"/>
      <c r="AB2814" s="170"/>
      <c r="AC2814" s="170"/>
      <c r="AD2814" s="121"/>
      <c r="AE2814" s="121"/>
      <c r="AF2814" s="121"/>
      <c r="AG2814" s="22"/>
      <c r="AH2814" s="22"/>
      <c r="AI2814" s="22"/>
      <c r="AJ2814" s="22"/>
      <c r="AK2814" s="22"/>
      <c r="AL2814" s="22"/>
      <c r="AM2814" s="22"/>
      <c r="AN2814" s="22"/>
      <c r="AO2814" s="22"/>
      <c r="AP2814" s="22"/>
    </row>
    <row r="2815">
      <c r="A2815" s="193"/>
      <c r="B2815" s="194"/>
      <c r="C2815" s="195"/>
      <c r="D2815" s="196"/>
      <c r="E2815" s="197"/>
      <c r="F2815" s="197"/>
      <c r="G2815" s="195"/>
      <c r="H2815" s="195"/>
      <c r="I2815" s="197"/>
      <c r="J2815" s="121"/>
      <c r="K2815" s="121"/>
      <c r="L2815" s="200"/>
      <c r="M2815" s="204"/>
      <c r="N2815" s="205"/>
      <c r="O2815" s="170"/>
      <c r="P2815" s="198"/>
      <c r="Q2815" s="199"/>
      <c r="R2815" s="200"/>
      <c r="S2815" s="170"/>
      <c r="T2815" s="170"/>
      <c r="U2815" s="201"/>
      <c r="V2815" s="198"/>
      <c r="W2815" s="170"/>
      <c r="X2815" s="202"/>
      <c r="Y2815" s="203"/>
      <c r="Z2815" s="170"/>
      <c r="AA2815" s="198"/>
      <c r="AB2815" s="170"/>
      <c r="AC2815" s="170"/>
      <c r="AD2815" s="121"/>
      <c r="AE2815" s="121"/>
      <c r="AF2815" s="121"/>
      <c r="AG2815" s="22"/>
      <c r="AH2815" s="22"/>
      <c r="AI2815" s="22"/>
      <c r="AJ2815" s="22"/>
      <c r="AK2815" s="22"/>
      <c r="AL2815" s="22"/>
      <c r="AM2815" s="22"/>
      <c r="AN2815" s="22"/>
      <c r="AO2815" s="22"/>
      <c r="AP2815" s="22"/>
    </row>
    <row r="2816">
      <c r="A2816" s="193"/>
      <c r="B2816" s="194"/>
      <c r="C2816" s="195"/>
      <c r="D2816" s="196"/>
      <c r="E2816" s="197"/>
      <c r="F2816" s="197"/>
      <c r="G2816" s="195"/>
      <c r="H2816" s="195"/>
      <c r="I2816" s="197"/>
      <c r="J2816" s="121"/>
      <c r="K2816" s="121"/>
      <c r="L2816" s="200"/>
      <c r="M2816" s="204"/>
      <c r="N2816" s="205"/>
      <c r="O2816" s="170"/>
      <c r="P2816" s="198"/>
      <c r="Q2816" s="199"/>
      <c r="R2816" s="200"/>
      <c r="S2816" s="170"/>
      <c r="T2816" s="170"/>
      <c r="U2816" s="201"/>
      <c r="V2816" s="198"/>
      <c r="W2816" s="170"/>
      <c r="X2816" s="202"/>
      <c r="Y2816" s="203"/>
      <c r="Z2816" s="170"/>
      <c r="AA2816" s="198"/>
      <c r="AB2816" s="170"/>
      <c r="AC2816" s="170"/>
      <c r="AD2816" s="121"/>
      <c r="AE2816" s="121"/>
      <c r="AF2816" s="121"/>
      <c r="AG2816" s="22"/>
      <c r="AH2816" s="22"/>
      <c r="AI2816" s="22"/>
      <c r="AJ2816" s="22"/>
      <c r="AK2816" s="22"/>
      <c r="AL2816" s="22"/>
      <c r="AM2816" s="22"/>
      <c r="AN2816" s="22"/>
      <c r="AO2816" s="22"/>
      <c r="AP2816" s="22"/>
    </row>
    <row r="2817">
      <c r="A2817" s="193"/>
      <c r="B2817" s="194"/>
      <c r="C2817" s="195"/>
      <c r="D2817" s="196"/>
      <c r="E2817" s="197"/>
      <c r="F2817" s="197"/>
      <c r="G2817" s="195"/>
      <c r="H2817" s="195"/>
      <c r="I2817" s="197"/>
      <c r="J2817" s="121"/>
      <c r="K2817" s="121"/>
      <c r="L2817" s="200"/>
      <c r="M2817" s="204"/>
      <c r="N2817" s="205"/>
      <c r="O2817" s="170"/>
      <c r="P2817" s="198"/>
      <c r="Q2817" s="199"/>
      <c r="R2817" s="200"/>
      <c r="S2817" s="170"/>
      <c r="T2817" s="170"/>
      <c r="U2817" s="201"/>
      <c r="V2817" s="198"/>
      <c r="W2817" s="170"/>
      <c r="X2817" s="202"/>
      <c r="Y2817" s="203"/>
      <c r="Z2817" s="170"/>
      <c r="AA2817" s="198"/>
      <c r="AB2817" s="170"/>
      <c r="AC2817" s="170"/>
      <c r="AD2817" s="121"/>
      <c r="AE2817" s="121"/>
      <c r="AF2817" s="121"/>
      <c r="AG2817" s="22"/>
      <c r="AH2817" s="22"/>
      <c r="AI2817" s="22"/>
      <c r="AJ2817" s="22"/>
      <c r="AK2817" s="22"/>
      <c r="AL2817" s="22"/>
      <c r="AM2817" s="22"/>
      <c r="AN2817" s="22"/>
      <c r="AO2817" s="22"/>
      <c r="AP2817" s="22"/>
    </row>
    <row r="2818">
      <c r="A2818" s="193"/>
      <c r="B2818" s="194"/>
      <c r="C2818" s="195"/>
      <c r="D2818" s="196"/>
      <c r="E2818" s="197"/>
      <c r="F2818" s="197"/>
      <c r="G2818" s="195"/>
      <c r="H2818" s="195"/>
      <c r="I2818" s="197"/>
      <c r="J2818" s="121"/>
      <c r="K2818" s="121"/>
      <c r="L2818" s="200"/>
      <c r="M2818" s="204"/>
      <c r="N2818" s="205"/>
      <c r="O2818" s="170"/>
      <c r="P2818" s="198"/>
      <c r="Q2818" s="199"/>
      <c r="R2818" s="200"/>
      <c r="S2818" s="170"/>
      <c r="T2818" s="170"/>
      <c r="U2818" s="201"/>
      <c r="V2818" s="198"/>
      <c r="W2818" s="170"/>
      <c r="X2818" s="202"/>
      <c r="Y2818" s="203"/>
      <c r="Z2818" s="170"/>
      <c r="AA2818" s="198"/>
      <c r="AB2818" s="170"/>
      <c r="AC2818" s="170"/>
      <c r="AD2818" s="121"/>
      <c r="AE2818" s="121"/>
      <c r="AF2818" s="121"/>
      <c r="AG2818" s="22"/>
      <c r="AH2818" s="22"/>
      <c r="AI2818" s="22"/>
      <c r="AJ2818" s="22"/>
      <c r="AK2818" s="22"/>
      <c r="AL2818" s="22"/>
      <c r="AM2818" s="22"/>
      <c r="AN2818" s="22"/>
      <c r="AO2818" s="22"/>
      <c r="AP2818" s="22"/>
    </row>
    <row r="2819">
      <c r="A2819" s="193"/>
      <c r="B2819" s="194"/>
      <c r="C2819" s="195"/>
      <c r="D2819" s="196"/>
      <c r="E2819" s="197"/>
      <c r="F2819" s="197"/>
      <c r="G2819" s="195"/>
      <c r="H2819" s="195"/>
      <c r="I2819" s="197"/>
      <c r="J2819" s="121"/>
      <c r="K2819" s="121"/>
      <c r="L2819" s="200"/>
      <c r="M2819" s="204"/>
      <c r="N2819" s="205"/>
      <c r="O2819" s="170"/>
      <c r="P2819" s="198"/>
      <c r="Q2819" s="199"/>
      <c r="R2819" s="200"/>
      <c r="S2819" s="170"/>
      <c r="T2819" s="170"/>
      <c r="U2819" s="201"/>
      <c r="V2819" s="198"/>
      <c r="W2819" s="170"/>
      <c r="X2819" s="202"/>
      <c r="Y2819" s="203"/>
      <c r="Z2819" s="170"/>
      <c r="AA2819" s="198"/>
      <c r="AB2819" s="170"/>
      <c r="AC2819" s="170"/>
      <c r="AD2819" s="121"/>
      <c r="AE2819" s="121"/>
      <c r="AF2819" s="121"/>
      <c r="AG2819" s="22"/>
      <c r="AH2819" s="22"/>
      <c r="AI2819" s="22"/>
      <c r="AJ2819" s="22"/>
      <c r="AK2819" s="22"/>
      <c r="AL2819" s="22"/>
      <c r="AM2819" s="22"/>
      <c r="AN2819" s="22"/>
      <c r="AO2819" s="22"/>
      <c r="AP2819" s="22"/>
    </row>
    <row r="2820">
      <c r="A2820" s="193"/>
      <c r="B2820" s="194"/>
      <c r="C2820" s="195"/>
      <c r="D2820" s="196"/>
      <c r="E2820" s="197"/>
      <c r="F2820" s="197"/>
      <c r="G2820" s="195"/>
      <c r="H2820" s="195"/>
      <c r="I2820" s="197"/>
      <c r="J2820" s="121"/>
      <c r="K2820" s="121"/>
      <c r="L2820" s="200"/>
      <c r="M2820" s="204"/>
      <c r="N2820" s="205"/>
      <c r="O2820" s="170"/>
      <c r="P2820" s="198"/>
      <c r="Q2820" s="199"/>
      <c r="R2820" s="200"/>
      <c r="S2820" s="170"/>
      <c r="T2820" s="170"/>
      <c r="U2820" s="201"/>
      <c r="V2820" s="198"/>
      <c r="W2820" s="170"/>
      <c r="X2820" s="202"/>
      <c r="Y2820" s="203"/>
      <c r="Z2820" s="170"/>
      <c r="AA2820" s="198"/>
      <c r="AB2820" s="170"/>
      <c r="AC2820" s="170"/>
      <c r="AD2820" s="121"/>
      <c r="AE2820" s="121"/>
      <c r="AF2820" s="121"/>
      <c r="AG2820" s="22"/>
      <c r="AH2820" s="22"/>
      <c r="AI2820" s="22"/>
      <c r="AJ2820" s="22"/>
      <c r="AK2820" s="22"/>
      <c r="AL2820" s="22"/>
      <c r="AM2820" s="22"/>
      <c r="AN2820" s="22"/>
      <c r="AO2820" s="22"/>
      <c r="AP2820" s="22"/>
    </row>
    <row r="2821">
      <c r="A2821" s="193"/>
      <c r="B2821" s="194"/>
      <c r="C2821" s="195"/>
      <c r="D2821" s="196"/>
      <c r="E2821" s="197"/>
      <c r="F2821" s="197"/>
      <c r="G2821" s="195"/>
      <c r="H2821" s="195"/>
      <c r="I2821" s="197"/>
      <c r="J2821" s="121"/>
      <c r="K2821" s="121"/>
      <c r="L2821" s="200"/>
      <c r="M2821" s="204"/>
      <c r="N2821" s="205"/>
      <c r="O2821" s="170"/>
      <c r="P2821" s="198"/>
      <c r="Q2821" s="199"/>
      <c r="R2821" s="200"/>
      <c r="S2821" s="170"/>
      <c r="T2821" s="170"/>
      <c r="U2821" s="201"/>
      <c r="V2821" s="198"/>
      <c r="W2821" s="170"/>
      <c r="X2821" s="202"/>
      <c r="Y2821" s="203"/>
      <c r="Z2821" s="170"/>
      <c r="AA2821" s="198"/>
      <c r="AB2821" s="170"/>
      <c r="AC2821" s="170"/>
      <c r="AD2821" s="121"/>
      <c r="AE2821" s="121"/>
      <c r="AF2821" s="121"/>
      <c r="AG2821" s="22"/>
      <c r="AH2821" s="22"/>
      <c r="AI2821" s="22"/>
      <c r="AJ2821" s="22"/>
      <c r="AK2821" s="22"/>
      <c r="AL2821" s="22"/>
      <c r="AM2821" s="22"/>
      <c r="AN2821" s="22"/>
      <c r="AO2821" s="22"/>
      <c r="AP2821" s="22"/>
    </row>
    <row r="2822">
      <c r="A2822" s="193"/>
      <c r="B2822" s="194"/>
      <c r="C2822" s="195"/>
      <c r="D2822" s="196"/>
      <c r="E2822" s="197"/>
      <c r="F2822" s="197"/>
      <c r="G2822" s="195"/>
      <c r="H2822" s="195"/>
      <c r="I2822" s="197"/>
      <c r="J2822" s="121"/>
      <c r="K2822" s="121"/>
      <c r="L2822" s="200"/>
      <c r="M2822" s="204"/>
      <c r="N2822" s="205"/>
      <c r="O2822" s="170"/>
      <c r="P2822" s="198"/>
      <c r="Q2822" s="199"/>
      <c r="R2822" s="200"/>
      <c r="S2822" s="170"/>
      <c r="T2822" s="170"/>
      <c r="U2822" s="201"/>
      <c r="V2822" s="198"/>
      <c r="W2822" s="170"/>
      <c r="X2822" s="202"/>
      <c r="Y2822" s="203"/>
      <c r="Z2822" s="170"/>
      <c r="AA2822" s="198"/>
      <c r="AB2822" s="170"/>
      <c r="AC2822" s="170"/>
      <c r="AD2822" s="121"/>
      <c r="AE2822" s="121"/>
      <c r="AF2822" s="121"/>
      <c r="AG2822" s="22"/>
      <c r="AH2822" s="22"/>
      <c r="AI2822" s="22"/>
      <c r="AJ2822" s="22"/>
      <c r="AK2822" s="22"/>
      <c r="AL2822" s="22"/>
      <c r="AM2822" s="22"/>
      <c r="AN2822" s="22"/>
      <c r="AO2822" s="22"/>
      <c r="AP2822" s="22"/>
    </row>
    <row r="2823">
      <c r="A2823" s="193"/>
      <c r="B2823" s="194"/>
      <c r="C2823" s="195"/>
      <c r="D2823" s="196"/>
      <c r="E2823" s="197"/>
      <c r="F2823" s="197"/>
      <c r="G2823" s="195"/>
      <c r="H2823" s="195"/>
      <c r="I2823" s="197"/>
      <c r="J2823" s="121"/>
      <c r="K2823" s="121"/>
      <c r="L2823" s="200"/>
      <c r="M2823" s="204"/>
      <c r="N2823" s="205"/>
      <c r="O2823" s="170"/>
      <c r="P2823" s="198"/>
      <c r="Q2823" s="199"/>
      <c r="R2823" s="200"/>
      <c r="S2823" s="170"/>
      <c r="T2823" s="170"/>
      <c r="U2823" s="201"/>
      <c r="V2823" s="198"/>
      <c r="W2823" s="170"/>
      <c r="X2823" s="202"/>
      <c r="Y2823" s="203"/>
      <c r="Z2823" s="170"/>
      <c r="AA2823" s="198"/>
      <c r="AB2823" s="170"/>
      <c r="AC2823" s="170"/>
      <c r="AD2823" s="121"/>
      <c r="AE2823" s="121"/>
      <c r="AF2823" s="121"/>
      <c r="AG2823" s="22"/>
      <c r="AH2823" s="22"/>
      <c r="AI2823" s="22"/>
      <c r="AJ2823" s="22"/>
      <c r="AK2823" s="22"/>
      <c r="AL2823" s="22"/>
      <c r="AM2823" s="22"/>
      <c r="AN2823" s="22"/>
      <c r="AO2823" s="22"/>
      <c r="AP2823" s="22"/>
    </row>
    <row r="2824">
      <c r="A2824" s="193"/>
      <c r="B2824" s="194"/>
      <c r="C2824" s="195"/>
      <c r="D2824" s="196"/>
      <c r="E2824" s="197"/>
      <c r="F2824" s="197"/>
      <c r="G2824" s="195"/>
      <c r="H2824" s="195"/>
      <c r="I2824" s="197"/>
      <c r="J2824" s="121"/>
      <c r="K2824" s="121"/>
      <c r="L2824" s="200"/>
      <c r="M2824" s="204"/>
      <c r="N2824" s="205"/>
      <c r="O2824" s="170"/>
      <c r="P2824" s="198"/>
      <c r="Q2824" s="199"/>
      <c r="R2824" s="200"/>
      <c r="S2824" s="170"/>
      <c r="T2824" s="170"/>
      <c r="U2824" s="201"/>
      <c r="V2824" s="198"/>
      <c r="W2824" s="170"/>
      <c r="X2824" s="202"/>
      <c r="Y2824" s="203"/>
      <c r="Z2824" s="170"/>
      <c r="AA2824" s="198"/>
      <c r="AB2824" s="170"/>
      <c r="AC2824" s="170"/>
      <c r="AD2824" s="121"/>
      <c r="AE2824" s="121"/>
      <c r="AF2824" s="121"/>
      <c r="AG2824" s="22"/>
      <c r="AH2824" s="22"/>
      <c r="AI2824" s="22"/>
      <c r="AJ2824" s="22"/>
      <c r="AK2824" s="22"/>
      <c r="AL2824" s="22"/>
      <c r="AM2824" s="22"/>
      <c r="AN2824" s="22"/>
      <c r="AO2824" s="22"/>
      <c r="AP2824" s="22"/>
    </row>
    <row r="2825">
      <c r="A2825" s="193"/>
      <c r="B2825" s="194"/>
      <c r="C2825" s="195"/>
      <c r="D2825" s="196"/>
      <c r="E2825" s="197"/>
      <c r="F2825" s="197"/>
      <c r="G2825" s="195"/>
      <c r="H2825" s="195"/>
      <c r="I2825" s="197"/>
      <c r="J2825" s="121"/>
      <c r="K2825" s="121"/>
      <c r="L2825" s="200"/>
      <c r="M2825" s="204"/>
      <c r="N2825" s="205"/>
      <c r="O2825" s="170"/>
      <c r="P2825" s="198"/>
      <c r="Q2825" s="199"/>
      <c r="R2825" s="200"/>
      <c r="S2825" s="170"/>
      <c r="T2825" s="170"/>
      <c r="U2825" s="201"/>
      <c r="V2825" s="198"/>
      <c r="W2825" s="170"/>
      <c r="X2825" s="202"/>
      <c r="Y2825" s="203"/>
      <c r="Z2825" s="170"/>
      <c r="AA2825" s="198"/>
      <c r="AB2825" s="170"/>
      <c r="AC2825" s="170"/>
      <c r="AD2825" s="121"/>
      <c r="AE2825" s="121"/>
      <c r="AF2825" s="121"/>
      <c r="AG2825" s="22"/>
      <c r="AH2825" s="22"/>
      <c r="AI2825" s="22"/>
      <c r="AJ2825" s="22"/>
      <c r="AK2825" s="22"/>
      <c r="AL2825" s="22"/>
      <c r="AM2825" s="22"/>
      <c r="AN2825" s="22"/>
      <c r="AO2825" s="22"/>
      <c r="AP2825" s="22"/>
    </row>
    <row r="2826">
      <c r="A2826" s="193"/>
      <c r="B2826" s="194"/>
      <c r="C2826" s="195"/>
      <c r="D2826" s="196"/>
      <c r="E2826" s="197"/>
      <c r="F2826" s="197"/>
      <c r="G2826" s="195"/>
      <c r="H2826" s="195"/>
      <c r="I2826" s="197"/>
      <c r="J2826" s="121"/>
      <c r="K2826" s="121"/>
      <c r="L2826" s="200"/>
      <c r="M2826" s="204"/>
      <c r="N2826" s="205"/>
      <c r="O2826" s="170"/>
      <c r="P2826" s="198"/>
      <c r="Q2826" s="199"/>
      <c r="R2826" s="200"/>
      <c r="S2826" s="170"/>
      <c r="T2826" s="170"/>
      <c r="U2826" s="201"/>
      <c r="V2826" s="198"/>
      <c r="W2826" s="170"/>
      <c r="X2826" s="202"/>
      <c r="Y2826" s="203"/>
      <c r="Z2826" s="170"/>
      <c r="AA2826" s="198"/>
      <c r="AB2826" s="170"/>
      <c r="AC2826" s="170"/>
      <c r="AD2826" s="121"/>
      <c r="AE2826" s="121"/>
      <c r="AF2826" s="121"/>
      <c r="AG2826" s="22"/>
      <c r="AH2826" s="22"/>
      <c r="AI2826" s="22"/>
      <c r="AJ2826" s="22"/>
      <c r="AK2826" s="22"/>
      <c r="AL2826" s="22"/>
      <c r="AM2826" s="22"/>
      <c r="AN2826" s="22"/>
      <c r="AO2826" s="22"/>
      <c r="AP2826" s="22"/>
    </row>
    <row r="2827">
      <c r="A2827" s="193"/>
      <c r="B2827" s="194"/>
      <c r="C2827" s="195"/>
      <c r="D2827" s="196"/>
      <c r="E2827" s="197"/>
      <c r="F2827" s="197"/>
      <c r="G2827" s="195"/>
      <c r="H2827" s="195"/>
      <c r="I2827" s="197"/>
      <c r="J2827" s="121"/>
      <c r="K2827" s="121"/>
      <c r="L2827" s="200"/>
      <c r="M2827" s="204"/>
      <c r="N2827" s="205"/>
      <c r="O2827" s="170"/>
      <c r="P2827" s="198"/>
      <c r="Q2827" s="199"/>
      <c r="R2827" s="200"/>
      <c r="S2827" s="170"/>
      <c r="T2827" s="170"/>
      <c r="U2827" s="201"/>
      <c r="V2827" s="198"/>
      <c r="W2827" s="170"/>
      <c r="X2827" s="202"/>
      <c r="Y2827" s="203"/>
      <c r="Z2827" s="170"/>
      <c r="AA2827" s="198"/>
      <c r="AB2827" s="170"/>
      <c r="AC2827" s="170"/>
      <c r="AD2827" s="121"/>
      <c r="AE2827" s="121"/>
      <c r="AF2827" s="121"/>
      <c r="AG2827" s="22"/>
      <c r="AH2827" s="22"/>
      <c r="AI2827" s="22"/>
      <c r="AJ2827" s="22"/>
      <c r="AK2827" s="22"/>
      <c r="AL2827" s="22"/>
      <c r="AM2827" s="22"/>
      <c r="AN2827" s="22"/>
      <c r="AO2827" s="22"/>
      <c r="AP2827" s="22"/>
    </row>
    <row r="2828">
      <c r="A2828" s="193"/>
      <c r="B2828" s="194"/>
      <c r="C2828" s="195"/>
      <c r="D2828" s="196"/>
      <c r="E2828" s="197"/>
      <c r="F2828" s="197"/>
      <c r="G2828" s="195"/>
      <c r="H2828" s="195"/>
      <c r="I2828" s="197"/>
      <c r="J2828" s="121"/>
      <c r="K2828" s="121"/>
      <c r="L2828" s="200"/>
      <c r="M2828" s="204"/>
      <c r="N2828" s="205"/>
      <c r="O2828" s="170"/>
      <c r="P2828" s="198"/>
      <c r="Q2828" s="199"/>
      <c r="R2828" s="200"/>
      <c r="S2828" s="170"/>
      <c r="T2828" s="170"/>
      <c r="U2828" s="201"/>
      <c r="V2828" s="198"/>
      <c r="W2828" s="170"/>
      <c r="X2828" s="202"/>
      <c r="Y2828" s="203"/>
      <c r="Z2828" s="170"/>
      <c r="AA2828" s="198"/>
      <c r="AB2828" s="170"/>
      <c r="AC2828" s="170"/>
      <c r="AD2828" s="121"/>
      <c r="AE2828" s="121"/>
      <c r="AF2828" s="121"/>
      <c r="AG2828" s="22"/>
      <c r="AH2828" s="22"/>
      <c r="AI2828" s="22"/>
      <c r="AJ2828" s="22"/>
      <c r="AK2828" s="22"/>
      <c r="AL2828" s="22"/>
      <c r="AM2828" s="22"/>
      <c r="AN2828" s="22"/>
      <c r="AO2828" s="22"/>
      <c r="AP2828" s="22"/>
    </row>
    <row r="2829">
      <c r="A2829" s="193"/>
      <c r="B2829" s="194"/>
      <c r="C2829" s="195"/>
      <c r="D2829" s="196"/>
      <c r="E2829" s="197"/>
      <c r="F2829" s="197"/>
      <c r="G2829" s="195"/>
      <c r="H2829" s="195"/>
      <c r="I2829" s="197"/>
      <c r="J2829" s="121"/>
      <c r="K2829" s="121"/>
      <c r="L2829" s="200"/>
      <c r="M2829" s="204"/>
      <c r="N2829" s="205"/>
      <c r="O2829" s="170"/>
      <c r="P2829" s="198"/>
      <c r="Q2829" s="199"/>
      <c r="R2829" s="200"/>
      <c r="S2829" s="170"/>
      <c r="T2829" s="170"/>
      <c r="U2829" s="201"/>
      <c r="V2829" s="198"/>
      <c r="W2829" s="170"/>
      <c r="X2829" s="202"/>
      <c r="Y2829" s="203"/>
      <c r="Z2829" s="170"/>
      <c r="AA2829" s="198"/>
      <c r="AB2829" s="170"/>
      <c r="AC2829" s="170"/>
      <c r="AD2829" s="121"/>
      <c r="AE2829" s="121"/>
      <c r="AF2829" s="121"/>
      <c r="AG2829" s="22"/>
      <c r="AH2829" s="22"/>
      <c r="AI2829" s="22"/>
      <c r="AJ2829" s="22"/>
      <c r="AK2829" s="22"/>
      <c r="AL2829" s="22"/>
      <c r="AM2829" s="22"/>
      <c r="AN2829" s="22"/>
      <c r="AO2829" s="22"/>
      <c r="AP2829" s="22"/>
    </row>
    <row r="2830">
      <c r="A2830" s="193"/>
      <c r="B2830" s="194"/>
      <c r="C2830" s="195"/>
      <c r="D2830" s="196"/>
      <c r="E2830" s="197"/>
      <c r="F2830" s="197"/>
      <c r="G2830" s="195"/>
      <c r="H2830" s="195"/>
      <c r="I2830" s="197"/>
      <c r="J2830" s="121"/>
      <c r="K2830" s="121"/>
      <c r="L2830" s="200"/>
      <c r="M2830" s="204"/>
      <c r="N2830" s="205"/>
      <c r="O2830" s="170"/>
      <c r="P2830" s="198"/>
      <c r="Q2830" s="199"/>
      <c r="R2830" s="200"/>
      <c r="S2830" s="170"/>
      <c r="T2830" s="170"/>
      <c r="U2830" s="201"/>
      <c r="V2830" s="198"/>
      <c r="W2830" s="170"/>
      <c r="X2830" s="202"/>
      <c r="Y2830" s="203"/>
      <c r="Z2830" s="170"/>
      <c r="AA2830" s="198"/>
      <c r="AB2830" s="170"/>
      <c r="AC2830" s="170"/>
      <c r="AD2830" s="121"/>
      <c r="AE2830" s="121"/>
      <c r="AF2830" s="121"/>
      <c r="AG2830" s="22"/>
      <c r="AH2830" s="22"/>
      <c r="AI2830" s="22"/>
      <c r="AJ2830" s="22"/>
      <c r="AK2830" s="22"/>
      <c r="AL2830" s="22"/>
      <c r="AM2830" s="22"/>
      <c r="AN2830" s="22"/>
      <c r="AO2830" s="22"/>
      <c r="AP2830" s="22"/>
    </row>
    <row r="2831">
      <c r="A2831" s="193"/>
      <c r="B2831" s="194"/>
      <c r="C2831" s="195"/>
      <c r="D2831" s="196"/>
      <c r="E2831" s="197"/>
      <c r="F2831" s="197"/>
      <c r="G2831" s="195"/>
      <c r="H2831" s="195"/>
      <c r="I2831" s="197"/>
      <c r="J2831" s="121"/>
      <c r="K2831" s="121"/>
      <c r="L2831" s="200"/>
      <c r="M2831" s="204"/>
      <c r="N2831" s="205"/>
      <c r="O2831" s="170"/>
      <c r="P2831" s="198"/>
      <c r="Q2831" s="199"/>
      <c r="R2831" s="200"/>
      <c r="S2831" s="170"/>
      <c r="T2831" s="170"/>
      <c r="U2831" s="201"/>
      <c r="V2831" s="198"/>
      <c r="W2831" s="170"/>
      <c r="X2831" s="202"/>
      <c r="Y2831" s="203"/>
      <c r="Z2831" s="170"/>
      <c r="AA2831" s="198"/>
      <c r="AB2831" s="170"/>
      <c r="AC2831" s="170"/>
      <c r="AD2831" s="121"/>
      <c r="AE2831" s="121"/>
      <c r="AF2831" s="121"/>
      <c r="AG2831" s="22"/>
      <c r="AH2831" s="22"/>
      <c r="AI2831" s="22"/>
      <c r="AJ2831" s="22"/>
      <c r="AK2831" s="22"/>
      <c r="AL2831" s="22"/>
      <c r="AM2831" s="22"/>
      <c r="AN2831" s="22"/>
      <c r="AO2831" s="22"/>
      <c r="AP2831" s="22"/>
    </row>
    <row r="2832">
      <c r="A2832" s="193"/>
      <c r="B2832" s="194"/>
      <c r="C2832" s="195"/>
      <c r="D2832" s="196"/>
      <c r="E2832" s="197"/>
      <c r="F2832" s="197"/>
      <c r="G2832" s="195"/>
      <c r="H2832" s="195"/>
      <c r="I2832" s="197"/>
      <c r="J2832" s="121"/>
      <c r="K2832" s="121"/>
      <c r="L2832" s="200"/>
      <c r="M2832" s="204"/>
      <c r="N2832" s="205"/>
      <c r="O2832" s="170"/>
      <c r="P2832" s="198"/>
      <c r="Q2832" s="199"/>
      <c r="R2832" s="200"/>
      <c r="S2832" s="170"/>
      <c r="T2832" s="170"/>
      <c r="U2832" s="201"/>
      <c r="V2832" s="198"/>
      <c r="W2832" s="170"/>
      <c r="X2832" s="202"/>
      <c r="Y2832" s="203"/>
      <c r="Z2832" s="170"/>
      <c r="AA2832" s="198"/>
      <c r="AB2832" s="170"/>
      <c r="AC2832" s="170"/>
      <c r="AD2832" s="121"/>
      <c r="AE2832" s="121"/>
      <c r="AF2832" s="121"/>
      <c r="AG2832" s="22"/>
      <c r="AH2832" s="22"/>
      <c r="AI2832" s="22"/>
      <c r="AJ2832" s="22"/>
      <c r="AK2832" s="22"/>
      <c r="AL2832" s="22"/>
      <c r="AM2832" s="22"/>
      <c r="AN2832" s="22"/>
      <c r="AO2832" s="22"/>
      <c r="AP2832" s="22"/>
    </row>
    <row r="2833">
      <c r="A2833" s="193"/>
      <c r="B2833" s="194"/>
      <c r="C2833" s="195"/>
      <c r="D2833" s="196"/>
      <c r="E2833" s="197"/>
      <c r="F2833" s="197"/>
      <c r="G2833" s="195"/>
      <c r="H2833" s="195"/>
      <c r="I2833" s="197"/>
      <c r="J2833" s="121"/>
      <c r="K2833" s="121"/>
      <c r="L2833" s="200"/>
      <c r="M2833" s="204"/>
      <c r="N2833" s="205"/>
      <c r="O2833" s="170"/>
      <c r="P2833" s="198"/>
      <c r="Q2833" s="199"/>
      <c r="R2833" s="200"/>
      <c r="S2833" s="170"/>
      <c r="T2833" s="170"/>
      <c r="U2833" s="201"/>
      <c r="V2833" s="198"/>
      <c r="W2833" s="170"/>
      <c r="X2833" s="202"/>
      <c r="Y2833" s="203"/>
      <c r="Z2833" s="170"/>
      <c r="AA2833" s="198"/>
      <c r="AB2833" s="170"/>
      <c r="AC2833" s="170"/>
      <c r="AD2833" s="121"/>
      <c r="AE2833" s="121"/>
      <c r="AF2833" s="121"/>
      <c r="AG2833" s="22"/>
      <c r="AH2833" s="22"/>
      <c r="AI2833" s="22"/>
      <c r="AJ2833" s="22"/>
      <c r="AK2833" s="22"/>
      <c r="AL2833" s="22"/>
      <c r="AM2833" s="22"/>
      <c r="AN2833" s="22"/>
      <c r="AO2833" s="22"/>
      <c r="AP2833" s="22"/>
    </row>
    <row r="2834">
      <c r="A2834" s="193"/>
      <c r="B2834" s="194"/>
      <c r="C2834" s="195"/>
      <c r="D2834" s="196"/>
      <c r="E2834" s="197"/>
      <c r="F2834" s="197"/>
      <c r="G2834" s="195"/>
      <c r="H2834" s="195"/>
      <c r="I2834" s="197"/>
      <c r="J2834" s="121"/>
      <c r="K2834" s="121"/>
      <c r="L2834" s="200"/>
      <c r="M2834" s="204"/>
      <c r="N2834" s="205"/>
      <c r="O2834" s="170"/>
      <c r="P2834" s="198"/>
      <c r="Q2834" s="199"/>
      <c r="R2834" s="200"/>
      <c r="S2834" s="170"/>
      <c r="T2834" s="170"/>
      <c r="U2834" s="201"/>
      <c r="V2834" s="198"/>
      <c r="W2834" s="170"/>
      <c r="X2834" s="202"/>
      <c r="Y2834" s="203"/>
      <c r="Z2834" s="170"/>
      <c r="AA2834" s="198"/>
      <c r="AB2834" s="170"/>
      <c r="AC2834" s="170"/>
      <c r="AD2834" s="121"/>
      <c r="AE2834" s="121"/>
      <c r="AF2834" s="121"/>
      <c r="AG2834" s="22"/>
      <c r="AH2834" s="22"/>
      <c r="AI2834" s="22"/>
      <c r="AJ2834" s="22"/>
      <c r="AK2834" s="22"/>
      <c r="AL2834" s="22"/>
      <c r="AM2834" s="22"/>
      <c r="AN2834" s="22"/>
      <c r="AO2834" s="22"/>
      <c r="AP2834" s="22"/>
    </row>
    <row r="2835">
      <c r="A2835" s="193"/>
      <c r="B2835" s="194"/>
      <c r="C2835" s="195"/>
      <c r="D2835" s="196"/>
      <c r="E2835" s="197"/>
      <c r="F2835" s="197"/>
      <c r="G2835" s="195"/>
      <c r="H2835" s="195"/>
      <c r="I2835" s="197"/>
      <c r="J2835" s="121"/>
      <c r="K2835" s="121"/>
      <c r="L2835" s="200"/>
      <c r="M2835" s="204"/>
      <c r="N2835" s="205"/>
      <c r="O2835" s="170"/>
      <c r="P2835" s="198"/>
      <c r="Q2835" s="199"/>
      <c r="R2835" s="200"/>
      <c r="S2835" s="170"/>
      <c r="T2835" s="170"/>
      <c r="U2835" s="201"/>
      <c r="V2835" s="198"/>
      <c r="W2835" s="170"/>
      <c r="X2835" s="202"/>
      <c r="Y2835" s="203"/>
      <c r="Z2835" s="170"/>
      <c r="AA2835" s="198"/>
      <c r="AB2835" s="170"/>
      <c r="AC2835" s="170"/>
      <c r="AD2835" s="121"/>
      <c r="AE2835" s="121"/>
      <c r="AF2835" s="121"/>
      <c r="AG2835" s="22"/>
      <c r="AH2835" s="22"/>
      <c r="AI2835" s="22"/>
      <c r="AJ2835" s="22"/>
      <c r="AK2835" s="22"/>
      <c r="AL2835" s="22"/>
      <c r="AM2835" s="22"/>
      <c r="AN2835" s="22"/>
      <c r="AO2835" s="22"/>
      <c r="AP2835" s="22"/>
    </row>
    <row r="2836">
      <c r="A2836" s="193"/>
      <c r="B2836" s="194"/>
      <c r="C2836" s="195"/>
      <c r="D2836" s="196"/>
      <c r="E2836" s="197"/>
      <c r="F2836" s="197"/>
      <c r="G2836" s="195"/>
      <c r="H2836" s="195"/>
      <c r="I2836" s="197"/>
      <c r="J2836" s="121"/>
      <c r="K2836" s="121"/>
      <c r="L2836" s="200"/>
      <c r="M2836" s="204"/>
      <c r="N2836" s="205"/>
      <c r="O2836" s="170"/>
      <c r="P2836" s="198"/>
      <c r="Q2836" s="199"/>
      <c r="R2836" s="200"/>
      <c r="S2836" s="170"/>
      <c r="T2836" s="170"/>
      <c r="U2836" s="201"/>
      <c r="V2836" s="198"/>
      <c r="W2836" s="170"/>
      <c r="X2836" s="202"/>
      <c r="Y2836" s="203"/>
      <c r="Z2836" s="170"/>
      <c r="AA2836" s="198"/>
      <c r="AB2836" s="170"/>
      <c r="AC2836" s="170"/>
      <c r="AD2836" s="121"/>
      <c r="AE2836" s="121"/>
      <c r="AF2836" s="121"/>
      <c r="AG2836" s="22"/>
      <c r="AH2836" s="22"/>
      <c r="AI2836" s="22"/>
      <c r="AJ2836" s="22"/>
      <c r="AK2836" s="22"/>
      <c r="AL2836" s="22"/>
      <c r="AM2836" s="22"/>
      <c r="AN2836" s="22"/>
      <c r="AO2836" s="22"/>
      <c r="AP2836" s="22"/>
    </row>
    <row r="2837">
      <c r="A2837" s="193"/>
      <c r="B2837" s="194"/>
      <c r="C2837" s="195"/>
      <c r="D2837" s="196"/>
      <c r="E2837" s="197"/>
      <c r="F2837" s="197"/>
      <c r="G2837" s="195"/>
      <c r="H2837" s="195"/>
      <c r="I2837" s="197"/>
      <c r="J2837" s="121"/>
      <c r="K2837" s="121"/>
      <c r="L2837" s="200"/>
      <c r="M2837" s="204"/>
      <c r="N2837" s="205"/>
      <c r="O2837" s="170"/>
      <c r="P2837" s="198"/>
      <c r="Q2837" s="199"/>
      <c r="R2837" s="200"/>
      <c r="S2837" s="170"/>
      <c r="T2837" s="170"/>
      <c r="U2837" s="201"/>
      <c r="V2837" s="198"/>
      <c r="W2837" s="170"/>
      <c r="X2837" s="202"/>
      <c r="Y2837" s="203"/>
      <c r="Z2837" s="170"/>
      <c r="AA2837" s="198"/>
      <c r="AB2837" s="170"/>
      <c r="AC2837" s="170"/>
      <c r="AD2837" s="121"/>
      <c r="AE2837" s="121"/>
      <c r="AF2837" s="121"/>
      <c r="AG2837" s="22"/>
      <c r="AH2837" s="22"/>
      <c r="AI2837" s="22"/>
      <c r="AJ2837" s="22"/>
      <c r="AK2837" s="22"/>
      <c r="AL2837" s="22"/>
      <c r="AM2837" s="22"/>
      <c r="AN2837" s="22"/>
      <c r="AO2837" s="22"/>
      <c r="AP2837" s="22"/>
    </row>
    <row r="2838">
      <c r="A2838" s="193"/>
      <c r="B2838" s="194"/>
      <c r="C2838" s="195"/>
      <c r="D2838" s="196"/>
      <c r="E2838" s="197"/>
      <c r="F2838" s="197"/>
      <c r="G2838" s="195"/>
      <c r="H2838" s="195"/>
      <c r="I2838" s="197"/>
      <c r="J2838" s="121"/>
      <c r="K2838" s="121"/>
      <c r="L2838" s="200"/>
      <c r="M2838" s="204"/>
      <c r="N2838" s="205"/>
      <c r="O2838" s="170"/>
      <c r="P2838" s="198"/>
      <c r="Q2838" s="199"/>
      <c r="R2838" s="200"/>
      <c r="S2838" s="170"/>
      <c r="T2838" s="170"/>
      <c r="U2838" s="201"/>
      <c r="V2838" s="198"/>
      <c r="W2838" s="170"/>
      <c r="X2838" s="202"/>
      <c r="Y2838" s="203"/>
      <c r="Z2838" s="170"/>
      <c r="AA2838" s="198"/>
      <c r="AB2838" s="170"/>
      <c r="AC2838" s="170"/>
      <c r="AD2838" s="121"/>
      <c r="AE2838" s="121"/>
      <c r="AF2838" s="121"/>
      <c r="AG2838" s="22"/>
      <c r="AH2838" s="22"/>
      <c r="AI2838" s="22"/>
      <c r="AJ2838" s="22"/>
      <c r="AK2838" s="22"/>
      <c r="AL2838" s="22"/>
      <c r="AM2838" s="22"/>
      <c r="AN2838" s="22"/>
      <c r="AO2838" s="22"/>
      <c r="AP2838" s="22"/>
    </row>
    <row r="2839">
      <c r="A2839" s="193"/>
      <c r="B2839" s="194"/>
      <c r="C2839" s="195"/>
      <c r="D2839" s="196"/>
      <c r="E2839" s="197"/>
      <c r="F2839" s="197"/>
      <c r="G2839" s="195"/>
      <c r="H2839" s="195"/>
      <c r="I2839" s="197"/>
      <c r="J2839" s="121"/>
      <c r="K2839" s="121"/>
      <c r="L2839" s="200"/>
      <c r="M2839" s="204"/>
      <c r="N2839" s="205"/>
      <c r="O2839" s="170"/>
      <c r="P2839" s="198"/>
      <c r="Q2839" s="199"/>
      <c r="R2839" s="200"/>
      <c r="S2839" s="170"/>
      <c r="T2839" s="170"/>
      <c r="U2839" s="201"/>
      <c r="V2839" s="198"/>
      <c r="W2839" s="170"/>
      <c r="X2839" s="202"/>
      <c r="Y2839" s="203"/>
      <c r="Z2839" s="170"/>
      <c r="AA2839" s="198"/>
      <c r="AB2839" s="170"/>
      <c r="AC2839" s="170"/>
      <c r="AD2839" s="121"/>
      <c r="AE2839" s="121"/>
      <c r="AF2839" s="121"/>
      <c r="AG2839" s="22"/>
      <c r="AH2839" s="22"/>
      <c r="AI2839" s="22"/>
      <c r="AJ2839" s="22"/>
      <c r="AK2839" s="22"/>
      <c r="AL2839" s="22"/>
      <c r="AM2839" s="22"/>
      <c r="AN2839" s="22"/>
      <c r="AO2839" s="22"/>
      <c r="AP2839" s="22"/>
    </row>
    <row r="2840">
      <c r="A2840" s="193"/>
      <c r="B2840" s="194"/>
      <c r="C2840" s="195"/>
      <c r="D2840" s="196"/>
      <c r="E2840" s="197"/>
      <c r="F2840" s="197"/>
      <c r="G2840" s="195"/>
      <c r="H2840" s="195"/>
      <c r="I2840" s="197"/>
      <c r="J2840" s="121"/>
      <c r="K2840" s="121"/>
      <c r="L2840" s="200"/>
      <c r="M2840" s="204"/>
      <c r="N2840" s="205"/>
      <c r="O2840" s="170"/>
      <c r="P2840" s="198"/>
      <c r="Q2840" s="199"/>
      <c r="R2840" s="200"/>
      <c r="S2840" s="170"/>
      <c r="T2840" s="170"/>
      <c r="U2840" s="201"/>
      <c r="V2840" s="198"/>
      <c r="W2840" s="170"/>
      <c r="X2840" s="202"/>
      <c r="Y2840" s="203"/>
      <c r="Z2840" s="170"/>
      <c r="AA2840" s="198"/>
      <c r="AB2840" s="170"/>
      <c r="AC2840" s="170"/>
      <c r="AD2840" s="121"/>
      <c r="AE2840" s="121"/>
      <c r="AF2840" s="121"/>
      <c r="AG2840" s="22"/>
      <c r="AH2840" s="22"/>
      <c r="AI2840" s="22"/>
      <c r="AJ2840" s="22"/>
      <c r="AK2840" s="22"/>
      <c r="AL2840" s="22"/>
      <c r="AM2840" s="22"/>
      <c r="AN2840" s="22"/>
      <c r="AO2840" s="22"/>
      <c r="AP2840" s="22"/>
    </row>
    <row r="2841">
      <c r="A2841" s="193"/>
      <c r="B2841" s="194"/>
      <c r="C2841" s="195"/>
      <c r="D2841" s="196"/>
      <c r="E2841" s="197"/>
      <c r="F2841" s="197"/>
      <c r="G2841" s="195"/>
      <c r="H2841" s="195"/>
      <c r="I2841" s="197"/>
      <c r="J2841" s="121"/>
      <c r="K2841" s="121"/>
      <c r="L2841" s="200"/>
      <c r="M2841" s="204"/>
      <c r="N2841" s="205"/>
      <c r="O2841" s="170"/>
      <c r="P2841" s="198"/>
      <c r="Q2841" s="199"/>
      <c r="R2841" s="200"/>
      <c r="S2841" s="170"/>
      <c r="T2841" s="170"/>
      <c r="U2841" s="201"/>
      <c r="V2841" s="198"/>
      <c r="W2841" s="170"/>
      <c r="X2841" s="202"/>
      <c r="Y2841" s="203"/>
      <c r="Z2841" s="170"/>
      <c r="AA2841" s="198"/>
      <c r="AB2841" s="170"/>
      <c r="AC2841" s="170"/>
      <c r="AD2841" s="121"/>
      <c r="AE2841" s="121"/>
      <c r="AF2841" s="121"/>
      <c r="AG2841" s="22"/>
      <c r="AH2841" s="22"/>
      <c r="AI2841" s="22"/>
      <c r="AJ2841" s="22"/>
      <c r="AK2841" s="22"/>
      <c r="AL2841" s="22"/>
      <c r="AM2841" s="22"/>
      <c r="AN2841" s="22"/>
      <c r="AO2841" s="22"/>
      <c r="AP2841" s="22"/>
    </row>
    <row r="2842">
      <c r="A2842" s="193"/>
      <c r="B2842" s="194"/>
      <c r="C2842" s="195"/>
      <c r="D2842" s="196"/>
      <c r="E2842" s="197"/>
      <c r="F2842" s="197"/>
      <c r="G2842" s="195"/>
      <c r="H2842" s="195"/>
      <c r="I2842" s="197"/>
      <c r="J2842" s="121"/>
      <c r="K2842" s="121"/>
      <c r="L2842" s="200"/>
      <c r="M2842" s="204"/>
      <c r="N2842" s="205"/>
      <c r="O2842" s="170"/>
      <c r="P2842" s="198"/>
      <c r="Q2842" s="199"/>
      <c r="R2842" s="200"/>
      <c r="S2842" s="170"/>
      <c r="T2842" s="170"/>
      <c r="U2842" s="201"/>
      <c r="V2842" s="198"/>
      <c r="W2842" s="170"/>
      <c r="X2842" s="202"/>
      <c r="Y2842" s="203"/>
      <c r="Z2842" s="170"/>
      <c r="AA2842" s="198"/>
      <c r="AB2842" s="170"/>
      <c r="AC2842" s="170"/>
      <c r="AD2842" s="121"/>
      <c r="AE2842" s="121"/>
      <c r="AF2842" s="121"/>
      <c r="AG2842" s="22"/>
      <c r="AH2842" s="22"/>
      <c r="AI2842" s="22"/>
      <c r="AJ2842" s="22"/>
      <c r="AK2842" s="22"/>
      <c r="AL2842" s="22"/>
      <c r="AM2842" s="22"/>
      <c r="AN2842" s="22"/>
      <c r="AO2842" s="22"/>
      <c r="AP2842" s="22"/>
    </row>
    <row r="2843">
      <c r="A2843" s="193"/>
      <c r="B2843" s="194"/>
      <c r="C2843" s="195"/>
      <c r="D2843" s="196"/>
      <c r="E2843" s="197"/>
      <c r="F2843" s="197"/>
      <c r="G2843" s="195"/>
      <c r="H2843" s="195"/>
      <c r="I2843" s="197"/>
      <c r="J2843" s="121"/>
      <c r="K2843" s="121"/>
      <c r="L2843" s="200"/>
      <c r="M2843" s="204"/>
      <c r="N2843" s="205"/>
      <c r="O2843" s="170"/>
      <c r="P2843" s="198"/>
      <c r="Q2843" s="199"/>
      <c r="R2843" s="200"/>
      <c r="S2843" s="170"/>
      <c r="T2843" s="170"/>
      <c r="U2843" s="201"/>
      <c r="V2843" s="198"/>
      <c r="W2843" s="170"/>
      <c r="X2843" s="202"/>
      <c r="Y2843" s="203"/>
      <c r="Z2843" s="170"/>
      <c r="AA2843" s="198"/>
      <c r="AB2843" s="170"/>
      <c r="AC2843" s="170"/>
      <c r="AD2843" s="121"/>
      <c r="AE2843" s="121"/>
      <c r="AF2843" s="121"/>
      <c r="AG2843" s="22"/>
      <c r="AH2843" s="22"/>
      <c r="AI2843" s="22"/>
      <c r="AJ2843" s="22"/>
      <c r="AK2843" s="22"/>
      <c r="AL2843" s="22"/>
      <c r="AM2843" s="22"/>
      <c r="AN2843" s="22"/>
      <c r="AO2843" s="22"/>
      <c r="AP2843" s="22"/>
    </row>
    <row r="2844">
      <c r="A2844" s="193"/>
      <c r="B2844" s="194"/>
      <c r="C2844" s="195"/>
      <c r="D2844" s="196"/>
      <c r="E2844" s="197"/>
      <c r="F2844" s="197"/>
      <c r="G2844" s="195"/>
      <c r="H2844" s="195"/>
      <c r="I2844" s="197"/>
      <c r="J2844" s="121"/>
      <c r="K2844" s="121"/>
      <c r="L2844" s="200"/>
      <c r="M2844" s="204"/>
      <c r="N2844" s="205"/>
      <c r="O2844" s="170"/>
      <c r="P2844" s="198"/>
      <c r="Q2844" s="199"/>
      <c r="R2844" s="200"/>
      <c r="S2844" s="170"/>
      <c r="T2844" s="170"/>
      <c r="U2844" s="201"/>
      <c r="V2844" s="198"/>
      <c r="W2844" s="170"/>
      <c r="X2844" s="202"/>
      <c r="Y2844" s="203"/>
      <c r="Z2844" s="170"/>
      <c r="AA2844" s="198"/>
      <c r="AB2844" s="170"/>
      <c r="AC2844" s="170"/>
      <c r="AD2844" s="121"/>
      <c r="AE2844" s="121"/>
      <c r="AF2844" s="121"/>
      <c r="AG2844" s="22"/>
      <c r="AH2844" s="22"/>
      <c r="AI2844" s="22"/>
      <c r="AJ2844" s="22"/>
      <c r="AK2844" s="22"/>
      <c r="AL2844" s="22"/>
      <c r="AM2844" s="22"/>
      <c r="AN2844" s="22"/>
      <c r="AO2844" s="22"/>
      <c r="AP2844" s="22"/>
    </row>
    <row r="2845">
      <c r="A2845" s="193"/>
      <c r="B2845" s="194"/>
      <c r="C2845" s="195"/>
      <c r="D2845" s="196"/>
      <c r="E2845" s="197"/>
      <c r="F2845" s="197"/>
      <c r="G2845" s="195"/>
      <c r="H2845" s="195"/>
      <c r="I2845" s="197"/>
      <c r="J2845" s="121"/>
      <c r="K2845" s="121"/>
      <c r="L2845" s="200"/>
      <c r="M2845" s="204"/>
      <c r="N2845" s="205"/>
      <c r="O2845" s="170"/>
      <c r="P2845" s="198"/>
      <c r="Q2845" s="199"/>
      <c r="R2845" s="200"/>
      <c r="S2845" s="170"/>
      <c r="T2845" s="170"/>
      <c r="U2845" s="201"/>
      <c r="V2845" s="198"/>
      <c r="W2845" s="170"/>
      <c r="X2845" s="202"/>
      <c r="Y2845" s="203"/>
      <c r="Z2845" s="170"/>
      <c r="AA2845" s="198"/>
      <c r="AB2845" s="170"/>
      <c r="AC2845" s="170"/>
      <c r="AD2845" s="121"/>
      <c r="AE2845" s="121"/>
      <c r="AF2845" s="121"/>
      <c r="AG2845" s="22"/>
      <c r="AH2845" s="22"/>
      <c r="AI2845" s="22"/>
      <c r="AJ2845" s="22"/>
      <c r="AK2845" s="22"/>
      <c r="AL2845" s="22"/>
      <c r="AM2845" s="22"/>
      <c r="AN2845" s="22"/>
      <c r="AO2845" s="22"/>
      <c r="AP2845" s="22"/>
    </row>
    <row r="2846">
      <c r="A2846" s="193"/>
      <c r="B2846" s="194"/>
      <c r="C2846" s="195"/>
      <c r="D2846" s="196"/>
      <c r="E2846" s="197"/>
      <c r="F2846" s="197"/>
      <c r="G2846" s="195"/>
      <c r="H2846" s="195"/>
      <c r="I2846" s="197"/>
      <c r="J2846" s="121"/>
      <c r="K2846" s="121"/>
      <c r="L2846" s="200"/>
      <c r="M2846" s="204"/>
      <c r="N2846" s="205"/>
      <c r="O2846" s="170"/>
      <c r="P2846" s="198"/>
      <c r="Q2846" s="199"/>
      <c r="R2846" s="200"/>
      <c r="S2846" s="170"/>
      <c r="T2846" s="170"/>
      <c r="U2846" s="201"/>
      <c r="V2846" s="198"/>
      <c r="W2846" s="170"/>
      <c r="X2846" s="202"/>
      <c r="Y2846" s="203"/>
      <c r="Z2846" s="170"/>
      <c r="AA2846" s="198"/>
      <c r="AB2846" s="170"/>
      <c r="AC2846" s="170"/>
      <c r="AD2846" s="121"/>
      <c r="AE2846" s="121"/>
      <c r="AF2846" s="121"/>
      <c r="AG2846" s="22"/>
      <c r="AH2846" s="22"/>
      <c r="AI2846" s="22"/>
      <c r="AJ2846" s="22"/>
      <c r="AK2846" s="22"/>
      <c r="AL2846" s="22"/>
      <c r="AM2846" s="22"/>
      <c r="AN2846" s="22"/>
      <c r="AO2846" s="22"/>
      <c r="AP2846" s="22"/>
    </row>
    <row r="2847">
      <c r="A2847" s="193"/>
      <c r="B2847" s="194"/>
      <c r="C2847" s="195"/>
      <c r="D2847" s="196"/>
      <c r="E2847" s="197"/>
      <c r="F2847" s="197"/>
      <c r="G2847" s="195"/>
      <c r="H2847" s="195"/>
      <c r="I2847" s="197"/>
      <c r="J2847" s="121"/>
      <c r="K2847" s="121"/>
      <c r="L2847" s="200"/>
      <c r="M2847" s="204"/>
      <c r="N2847" s="205"/>
      <c r="O2847" s="170"/>
      <c r="P2847" s="198"/>
      <c r="Q2847" s="199"/>
      <c r="R2847" s="200"/>
      <c r="S2847" s="170"/>
      <c r="T2847" s="170"/>
      <c r="U2847" s="201"/>
      <c r="V2847" s="198"/>
      <c r="W2847" s="170"/>
      <c r="X2847" s="202"/>
      <c r="Y2847" s="203"/>
      <c r="Z2847" s="170"/>
      <c r="AA2847" s="198"/>
      <c r="AB2847" s="170"/>
      <c r="AC2847" s="170"/>
      <c r="AD2847" s="121"/>
      <c r="AE2847" s="121"/>
      <c r="AF2847" s="121"/>
      <c r="AG2847" s="22"/>
      <c r="AH2847" s="22"/>
      <c r="AI2847" s="22"/>
      <c r="AJ2847" s="22"/>
      <c r="AK2847" s="22"/>
      <c r="AL2847" s="22"/>
      <c r="AM2847" s="22"/>
      <c r="AN2847" s="22"/>
      <c r="AO2847" s="22"/>
      <c r="AP2847" s="22"/>
    </row>
    <row r="2848">
      <c r="A2848" s="193"/>
      <c r="B2848" s="194"/>
      <c r="C2848" s="195"/>
      <c r="D2848" s="196"/>
      <c r="E2848" s="197"/>
      <c r="F2848" s="197"/>
      <c r="G2848" s="195"/>
      <c r="H2848" s="195"/>
      <c r="I2848" s="197"/>
      <c r="J2848" s="121"/>
      <c r="K2848" s="121"/>
      <c r="L2848" s="200"/>
      <c r="M2848" s="204"/>
      <c r="N2848" s="205"/>
      <c r="O2848" s="170"/>
      <c r="P2848" s="198"/>
      <c r="Q2848" s="199"/>
      <c r="R2848" s="200"/>
      <c r="S2848" s="170"/>
      <c r="T2848" s="170"/>
      <c r="U2848" s="201"/>
      <c r="V2848" s="198"/>
      <c r="W2848" s="170"/>
      <c r="X2848" s="202"/>
      <c r="Y2848" s="203"/>
      <c r="Z2848" s="170"/>
      <c r="AA2848" s="198"/>
      <c r="AB2848" s="170"/>
      <c r="AC2848" s="170"/>
      <c r="AD2848" s="121"/>
      <c r="AE2848" s="121"/>
      <c r="AF2848" s="121"/>
      <c r="AG2848" s="22"/>
      <c r="AH2848" s="22"/>
      <c r="AI2848" s="22"/>
      <c r="AJ2848" s="22"/>
      <c r="AK2848" s="22"/>
      <c r="AL2848" s="22"/>
      <c r="AM2848" s="22"/>
      <c r="AN2848" s="22"/>
      <c r="AO2848" s="22"/>
      <c r="AP2848" s="22"/>
    </row>
    <row r="2849">
      <c r="A2849" s="193"/>
      <c r="B2849" s="194"/>
      <c r="C2849" s="195"/>
      <c r="D2849" s="196"/>
      <c r="E2849" s="197"/>
      <c r="F2849" s="197"/>
      <c r="G2849" s="195"/>
      <c r="H2849" s="195"/>
      <c r="I2849" s="197"/>
      <c r="J2849" s="121"/>
      <c r="K2849" s="121"/>
      <c r="L2849" s="200"/>
      <c r="M2849" s="204"/>
      <c r="N2849" s="205"/>
      <c r="O2849" s="170"/>
      <c r="P2849" s="198"/>
      <c r="Q2849" s="199"/>
      <c r="R2849" s="200"/>
      <c r="S2849" s="170"/>
      <c r="T2849" s="170"/>
      <c r="U2849" s="201"/>
      <c r="V2849" s="198"/>
      <c r="W2849" s="170"/>
      <c r="X2849" s="202"/>
      <c r="Y2849" s="203"/>
      <c r="Z2849" s="170"/>
      <c r="AA2849" s="198"/>
      <c r="AB2849" s="170"/>
      <c r="AC2849" s="170"/>
      <c r="AD2849" s="121"/>
      <c r="AE2849" s="121"/>
      <c r="AF2849" s="121"/>
      <c r="AG2849" s="22"/>
      <c r="AH2849" s="22"/>
      <c r="AI2849" s="22"/>
      <c r="AJ2849" s="22"/>
      <c r="AK2849" s="22"/>
      <c r="AL2849" s="22"/>
      <c r="AM2849" s="22"/>
      <c r="AN2849" s="22"/>
      <c r="AO2849" s="22"/>
      <c r="AP2849" s="22"/>
    </row>
    <row r="2850">
      <c r="A2850" s="193"/>
      <c r="B2850" s="194"/>
      <c r="C2850" s="195"/>
      <c r="D2850" s="196"/>
      <c r="E2850" s="197"/>
      <c r="F2850" s="197"/>
      <c r="G2850" s="195"/>
      <c r="H2850" s="195"/>
      <c r="I2850" s="197"/>
      <c r="J2850" s="121"/>
      <c r="K2850" s="121"/>
      <c r="L2850" s="200"/>
      <c r="M2850" s="204"/>
      <c r="N2850" s="205"/>
      <c r="O2850" s="170"/>
      <c r="P2850" s="198"/>
      <c r="Q2850" s="199"/>
      <c r="R2850" s="200"/>
      <c r="S2850" s="170"/>
      <c r="T2850" s="170"/>
      <c r="U2850" s="201"/>
      <c r="V2850" s="198"/>
      <c r="W2850" s="170"/>
      <c r="X2850" s="202"/>
      <c r="Y2850" s="203"/>
      <c r="Z2850" s="170"/>
      <c r="AA2850" s="198"/>
      <c r="AB2850" s="170"/>
      <c r="AC2850" s="170"/>
      <c r="AD2850" s="121"/>
      <c r="AE2850" s="121"/>
      <c r="AF2850" s="121"/>
      <c r="AG2850" s="22"/>
      <c r="AH2850" s="22"/>
      <c r="AI2850" s="22"/>
      <c r="AJ2850" s="22"/>
      <c r="AK2850" s="22"/>
      <c r="AL2850" s="22"/>
      <c r="AM2850" s="22"/>
      <c r="AN2850" s="22"/>
      <c r="AO2850" s="22"/>
      <c r="AP2850" s="22"/>
    </row>
    <row r="2851">
      <c r="A2851" s="193"/>
      <c r="B2851" s="194"/>
      <c r="C2851" s="195"/>
      <c r="D2851" s="196"/>
      <c r="E2851" s="197"/>
      <c r="F2851" s="197"/>
      <c r="G2851" s="195"/>
      <c r="H2851" s="195"/>
      <c r="I2851" s="197"/>
      <c r="J2851" s="121"/>
      <c r="K2851" s="121"/>
      <c r="L2851" s="200"/>
      <c r="M2851" s="204"/>
      <c r="N2851" s="205"/>
      <c r="O2851" s="170"/>
      <c r="P2851" s="198"/>
      <c r="Q2851" s="199"/>
      <c r="R2851" s="200"/>
      <c r="S2851" s="170"/>
      <c r="T2851" s="170"/>
      <c r="U2851" s="201"/>
      <c r="V2851" s="198"/>
      <c r="W2851" s="170"/>
      <c r="X2851" s="202"/>
      <c r="Y2851" s="203"/>
      <c r="Z2851" s="170"/>
      <c r="AA2851" s="198"/>
      <c r="AB2851" s="170"/>
      <c r="AC2851" s="170"/>
      <c r="AD2851" s="121"/>
      <c r="AE2851" s="121"/>
      <c r="AF2851" s="121"/>
      <c r="AG2851" s="22"/>
      <c r="AH2851" s="22"/>
      <c r="AI2851" s="22"/>
      <c r="AJ2851" s="22"/>
      <c r="AK2851" s="22"/>
      <c r="AL2851" s="22"/>
      <c r="AM2851" s="22"/>
      <c r="AN2851" s="22"/>
      <c r="AO2851" s="22"/>
      <c r="AP2851" s="22"/>
    </row>
    <row r="2852">
      <c r="A2852" s="193"/>
      <c r="B2852" s="194"/>
      <c r="C2852" s="195"/>
      <c r="D2852" s="196"/>
      <c r="E2852" s="197"/>
      <c r="F2852" s="197"/>
      <c r="G2852" s="195"/>
      <c r="H2852" s="195"/>
      <c r="I2852" s="197"/>
      <c r="J2852" s="121"/>
      <c r="K2852" s="121"/>
      <c r="L2852" s="200"/>
      <c r="M2852" s="204"/>
      <c r="N2852" s="205"/>
      <c r="O2852" s="170"/>
      <c r="P2852" s="198"/>
      <c r="Q2852" s="199"/>
      <c r="R2852" s="200"/>
      <c r="S2852" s="170"/>
      <c r="T2852" s="170"/>
      <c r="U2852" s="201"/>
      <c r="V2852" s="198"/>
      <c r="W2852" s="170"/>
      <c r="X2852" s="202"/>
      <c r="Y2852" s="203"/>
      <c r="Z2852" s="170"/>
      <c r="AA2852" s="198"/>
      <c r="AB2852" s="170"/>
      <c r="AC2852" s="170"/>
      <c r="AD2852" s="121"/>
      <c r="AE2852" s="121"/>
      <c r="AF2852" s="121"/>
      <c r="AG2852" s="22"/>
      <c r="AH2852" s="22"/>
      <c r="AI2852" s="22"/>
      <c r="AJ2852" s="22"/>
      <c r="AK2852" s="22"/>
      <c r="AL2852" s="22"/>
      <c r="AM2852" s="22"/>
      <c r="AN2852" s="22"/>
      <c r="AO2852" s="22"/>
      <c r="AP2852" s="22"/>
    </row>
    <row r="2853">
      <c r="A2853" s="193"/>
      <c r="B2853" s="194"/>
      <c r="C2853" s="195"/>
      <c r="D2853" s="196"/>
      <c r="E2853" s="197"/>
      <c r="F2853" s="197"/>
      <c r="G2853" s="195"/>
      <c r="H2853" s="195"/>
      <c r="I2853" s="197"/>
      <c r="J2853" s="121"/>
      <c r="K2853" s="121"/>
      <c r="L2853" s="200"/>
      <c r="M2853" s="204"/>
      <c r="N2853" s="205"/>
      <c r="O2853" s="170"/>
      <c r="P2853" s="198"/>
      <c r="Q2853" s="199"/>
      <c r="R2853" s="200"/>
      <c r="S2853" s="170"/>
      <c r="T2853" s="170"/>
      <c r="U2853" s="201"/>
      <c r="V2853" s="198"/>
      <c r="W2853" s="170"/>
      <c r="X2853" s="202"/>
      <c r="Y2853" s="203"/>
      <c r="Z2853" s="170"/>
      <c r="AA2853" s="198"/>
      <c r="AB2853" s="170"/>
      <c r="AC2853" s="170"/>
      <c r="AD2853" s="121"/>
      <c r="AE2853" s="121"/>
      <c r="AF2853" s="121"/>
      <c r="AG2853" s="22"/>
      <c r="AH2853" s="22"/>
      <c r="AI2853" s="22"/>
      <c r="AJ2853" s="22"/>
      <c r="AK2853" s="22"/>
      <c r="AL2853" s="22"/>
      <c r="AM2853" s="22"/>
      <c r="AN2853" s="22"/>
      <c r="AO2853" s="22"/>
      <c r="AP2853" s="22"/>
    </row>
    <row r="2854">
      <c r="A2854" s="193"/>
      <c r="B2854" s="194"/>
      <c r="C2854" s="195"/>
      <c r="D2854" s="196"/>
      <c r="E2854" s="197"/>
      <c r="F2854" s="197"/>
      <c r="G2854" s="195"/>
      <c r="H2854" s="195"/>
      <c r="I2854" s="197"/>
      <c r="J2854" s="121"/>
      <c r="K2854" s="121"/>
      <c r="L2854" s="200"/>
      <c r="M2854" s="204"/>
      <c r="N2854" s="205"/>
      <c r="O2854" s="170"/>
      <c r="P2854" s="198"/>
      <c r="Q2854" s="199"/>
      <c r="R2854" s="200"/>
      <c r="S2854" s="170"/>
      <c r="T2854" s="170"/>
      <c r="U2854" s="201"/>
      <c r="V2854" s="198"/>
      <c r="W2854" s="170"/>
      <c r="X2854" s="202"/>
      <c r="Y2854" s="203"/>
      <c r="Z2854" s="170"/>
      <c r="AA2854" s="198"/>
      <c r="AB2854" s="170"/>
      <c r="AC2854" s="170"/>
      <c r="AD2854" s="121"/>
      <c r="AE2854" s="121"/>
      <c r="AF2854" s="121"/>
      <c r="AG2854" s="22"/>
      <c r="AH2854" s="22"/>
      <c r="AI2854" s="22"/>
      <c r="AJ2854" s="22"/>
      <c r="AK2854" s="22"/>
      <c r="AL2854" s="22"/>
      <c r="AM2854" s="22"/>
      <c r="AN2854" s="22"/>
      <c r="AO2854" s="22"/>
      <c r="AP2854" s="22"/>
    </row>
    <row r="2855">
      <c r="A2855" s="193"/>
      <c r="B2855" s="194"/>
      <c r="C2855" s="195"/>
      <c r="D2855" s="196"/>
      <c r="E2855" s="197"/>
      <c r="F2855" s="197"/>
      <c r="G2855" s="195"/>
      <c r="H2855" s="195"/>
      <c r="I2855" s="197"/>
      <c r="J2855" s="121"/>
      <c r="K2855" s="121"/>
      <c r="L2855" s="200"/>
      <c r="M2855" s="204"/>
      <c r="N2855" s="205"/>
      <c r="O2855" s="170"/>
      <c r="P2855" s="198"/>
      <c r="Q2855" s="199"/>
      <c r="R2855" s="200"/>
      <c r="S2855" s="170"/>
      <c r="T2855" s="170"/>
      <c r="U2855" s="201"/>
      <c r="V2855" s="198"/>
      <c r="W2855" s="170"/>
      <c r="X2855" s="202"/>
      <c r="Y2855" s="203"/>
      <c r="Z2855" s="170"/>
      <c r="AA2855" s="198"/>
      <c r="AB2855" s="170"/>
      <c r="AC2855" s="170"/>
      <c r="AD2855" s="121"/>
      <c r="AE2855" s="121"/>
      <c r="AF2855" s="121"/>
      <c r="AG2855" s="22"/>
      <c r="AH2855" s="22"/>
      <c r="AI2855" s="22"/>
      <c r="AJ2855" s="22"/>
      <c r="AK2855" s="22"/>
      <c r="AL2855" s="22"/>
      <c r="AM2855" s="22"/>
      <c r="AN2855" s="22"/>
      <c r="AO2855" s="22"/>
      <c r="AP2855" s="22"/>
    </row>
    <row r="2856">
      <c r="A2856" s="193"/>
      <c r="B2856" s="194"/>
      <c r="C2856" s="195"/>
      <c r="D2856" s="196"/>
      <c r="E2856" s="197"/>
      <c r="F2856" s="197"/>
      <c r="G2856" s="195"/>
      <c r="H2856" s="195"/>
      <c r="I2856" s="197"/>
      <c r="J2856" s="121"/>
      <c r="K2856" s="121"/>
      <c r="L2856" s="200"/>
      <c r="M2856" s="204"/>
      <c r="N2856" s="205"/>
      <c r="O2856" s="170"/>
      <c r="P2856" s="198"/>
      <c r="Q2856" s="199"/>
      <c r="R2856" s="200"/>
      <c r="S2856" s="170"/>
      <c r="T2856" s="170"/>
      <c r="U2856" s="201"/>
      <c r="V2856" s="198"/>
      <c r="W2856" s="170"/>
      <c r="X2856" s="202"/>
      <c r="Y2856" s="203"/>
      <c r="Z2856" s="170"/>
      <c r="AA2856" s="198"/>
      <c r="AB2856" s="170"/>
      <c r="AC2856" s="170"/>
      <c r="AD2856" s="121"/>
      <c r="AE2856" s="121"/>
      <c r="AF2856" s="121"/>
      <c r="AG2856" s="22"/>
      <c r="AH2856" s="22"/>
      <c r="AI2856" s="22"/>
      <c r="AJ2856" s="22"/>
      <c r="AK2856" s="22"/>
      <c r="AL2856" s="22"/>
      <c r="AM2856" s="22"/>
      <c r="AN2856" s="22"/>
      <c r="AO2856" s="22"/>
      <c r="AP2856" s="22"/>
    </row>
    <row r="2857">
      <c r="A2857" s="193"/>
      <c r="B2857" s="194"/>
      <c r="C2857" s="195"/>
      <c r="D2857" s="196"/>
      <c r="E2857" s="197"/>
      <c r="F2857" s="197"/>
      <c r="G2857" s="195"/>
      <c r="H2857" s="195"/>
      <c r="I2857" s="197"/>
      <c r="J2857" s="121"/>
      <c r="K2857" s="121"/>
      <c r="L2857" s="200"/>
      <c r="M2857" s="204"/>
      <c r="N2857" s="205"/>
      <c r="O2857" s="170"/>
      <c r="P2857" s="198"/>
      <c r="Q2857" s="199"/>
      <c r="R2857" s="200"/>
      <c r="S2857" s="170"/>
      <c r="T2857" s="170"/>
      <c r="U2857" s="201"/>
      <c r="V2857" s="198"/>
      <c r="W2857" s="170"/>
      <c r="X2857" s="202"/>
      <c r="Y2857" s="203"/>
      <c r="Z2857" s="170"/>
      <c r="AA2857" s="198"/>
      <c r="AB2857" s="170"/>
      <c r="AC2857" s="170"/>
      <c r="AD2857" s="121"/>
      <c r="AE2857" s="121"/>
      <c r="AF2857" s="121"/>
      <c r="AG2857" s="22"/>
      <c r="AH2857" s="22"/>
      <c r="AI2857" s="22"/>
      <c r="AJ2857" s="22"/>
      <c r="AK2857" s="22"/>
      <c r="AL2857" s="22"/>
      <c r="AM2857" s="22"/>
      <c r="AN2857" s="22"/>
      <c r="AO2857" s="22"/>
      <c r="AP2857" s="22"/>
    </row>
    <row r="2858">
      <c r="A2858" s="193"/>
      <c r="B2858" s="194"/>
      <c r="C2858" s="195"/>
      <c r="D2858" s="196"/>
      <c r="E2858" s="197"/>
      <c r="F2858" s="197"/>
      <c r="G2858" s="195"/>
      <c r="H2858" s="195"/>
      <c r="I2858" s="197"/>
      <c r="J2858" s="121"/>
      <c r="K2858" s="121"/>
      <c r="L2858" s="200"/>
      <c r="M2858" s="204"/>
      <c r="N2858" s="205"/>
      <c r="O2858" s="170"/>
      <c r="P2858" s="198"/>
      <c r="Q2858" s="199"/>
      <c r="R2858" s="200"/>
      <c r="S2858" s="170"/>
      <c r="T2858" s="170"/>
      <c r="U2858" s="201"/>
      <c r="V2858" s="198"/>
      <c r="W2858" s="170"/>
      <c r="X2858" s="202"/>
      <c r="Y2858" s="203"/>
      <c r="Z2858" s="170"/>
      <c r="AA2858" s="198"/>
      <c r="AB2858" s="170"/>
      <c r="AC2858" s="170"/>
      <c r="AD2858" s="121"/>
      <c r="AE2858" s="121"/>
      <c r="AF2858" s="121"/>
      <c r="AG2858" s="22"/>
      <c r="AH2858" s="22"/>
      <c r="AI2858" s="22"/>
      <c r="AJ2858" s="22"/>
      <c r="AK2858" s="22"/>
      <c r="AL2858" s="22"/>
      <c r="AM2858" s="22"/>
      <c r="AN2858" s="22"/>
      <c r="AO2858" s="22"/>
      <c r="AP2858" s="22"/>
    </row>
    <row r="2859">
      <c r="A2859" s="193"/>
      <c r="B2859" s="194"/>
      <c r="C2859" s="195"/>
      <c r="D2859" s="196"/>
      <c r="E2859" s="197"/>
      <c r="F2859" s="197"/>
      <c r="G2859" s="195"/>
      <c r="H2859" s="195"/>
      <c r="I2859" s="197"/>
      <c r="J2859" s="121"/>
      <c r="K2859" s="121"/>
      <c r="L2859" s="200"/>
      <c r="M2859" s="204"/>
      <c r="N2859" s="205"/>
      <c r="O2859" s="170"/>
      <c r="P2859" s="198"/>
      <c r="Q2859" s="199"/>
      <c r="R2859" s="200"/>
      <c r="S2859" s="170"/>
      <c r="T2859" s="170"/>
      <c r="U2859" s="201"/>
      <c r="V2859" s="198"/>
      <c r="W2859" s="170"/>
      <c r="X2859" s="202"/>
      <c r="Y2859" s="203"/>
      <c r="Z2859" s="170"/>
      <c r="AA2859" s="198"/>
      <c r="AB2859" s="170"/>
      <c r="AC2859" s="170"/>
      <c r="AD2859" s="121"/>
      <c r="AE2859" s="121"/>
      <c r="AF2859" s="121"/>
      <c r="AG2859" s="22"/>
      <c r="AH2859" s="22"/>
      <c r="AI2859" s="22"/>
      <c r="AJ2859" s="22"/>
      <c r="AK2859" s="22"/>
      <c r="AL2859" s="22"/>
      <c r="AM2859" s="22"/>
      <c r="AN2859" s="22"/>
      <c r="AO2859" s="22"/>
      <c r="AP2859" s="22"/>
    </row>
    <row r="2860">
      <c r="A2860" s="193"/>
      <c r="B2860" s="194"/>
      <c r="C2860" s="195"/>
      <c r="D2860" s="196"/>
      <c r="E2860" s="197"/>
      <c r="F2860" s="197"/>
      <c r="G2860" s="195"/>
      <c r="H2860" s="195"/>
      <c r="I2860" s="197"/>
      <c r="J2860" s="121"/>
      <c r="K2860" s="121"/>
      <c r="L2860" s="200"/>
      <c r="M2860" s="204"/>
      <c r="N2860" s="205"/>
      <c r="O2860" s="170"/>
      <c r="P2860" s="198"/>
      <c r="Q2860" s="199"/>
      <c r="R2860" s="200"/>
      <c r="S2860" s="170"/>
      <c r="T2860" s="170"/>
      <c r="U2860" s="201"/>
      <c r="V2860" s="198"/>
      <c r="W2860" s="170"/>
      <c r="X2860" s="202"/>
      <c r="Y2860" s="203"/>
      <c r="Z2860" s="170"/>
      <c r="AA2860" s="198"/>
      <c r="AB2860" s="170"/>
      <c r="AC2860" s="170"/>
      <c r="AD2860" s="121"/>
      <c r="AE2860" s="121"/>
      <c r="AF2860" s="121"/>
      <c r="AG2860" s="22"/>
      <c r="AH2860" s="22"/>
      <c r="AI2860" s="22"/>
      <c r="AJ2860" s="22"/>
      <c r="AK2860" s="22"/>
      <c r="AL2860" s="22"/>
      <c r="AM2860" s="22"/>
      <c r="AN2860" s="22"/>
      <c r="AO2860" s="22"/>
      <c r="AP2860" s="22"/>
    </row>
    <row r="2861">
      <c r="A2861" s="193"/>
      <c r="B2861" s="194"/>
      <c r="C2861" s="195"/>
      <c r="D2861" s="196"/>
      <c r="E2861" s="197"/>
      <c r="F2861" s="197"/>
      <c r="G2861" s="195"/>
      <c r="H2861" s="195"/>
      <c r="I2861" s="197"/>
      <c r="J2861" s="121"/>
      <c r="K2861" s="121"/>
      <c r="L2861" s="200"/>
      <c r="M2861" s="204"/>
      <c r="N2861" s="205"/>
      <c r="O2861" s="170"/>
      <c r="P2861" s="198"/>
      <c r="Q2861" s="199"/>
      <c r="R2861" s="200"/>
      <c r="S2861" s="170"/>
      <c r="T2861" s="170"/>
      <c r="U2861" s="201"/>
      <c r="V2861" s="198"/>
      <c r="W2861" s="170"/>
      <c r="X2861" s="202"/>
      <c r="Y2861" s="203"/>
      <c r="Z2861" s="170"/>
      <c r="AA2861" s="198"/>
      <c r="AB2861" s="170"/>
      <c r="AC2861" s="170"/>
      <c r="AD2861" s="121"/>
      <c r="AE2861" s="121"/>
      <c r="AF2861" s="121"/>
      <c r="AG2861" s="22"/>
      <c r="AH2861" s="22"/>
      <c r="AI2861" s="22"/>
      <c r="AJ2861" s="22"/>
      <c r="AK2861" s="22"/>
      <c r="AL2861" s="22"/>
      <c r="AM2861" s="22"/>
      <c r="AN2861" s="22"/>
      <c r="AO2861" s="22"/>
      <c r="AP2861" s="22"/>
    </row>
    <row r="2862">
      <c r="A2862" s="193"/>
      <c r="B2862" s="194"/>
      <c r="C2862" s="195"/>
      <c r="D2862" s="196"/>
      <c r="E2862" s="197"/>
      <c r="F2862" s="197"/>
      <c r="G2862" s="195"/>
      <c r="H2862" s="195"/>
      <c r="I2862" s="197"/>
      <c r="J2862" s="121"/>
      <c r="K2862" s="121"/>
      <c r="L2862" s="200"/>
      <c r="M2862" s="204"/>
      <c r="N2862" s="205"/>
      <c r="O2862" s="170"/>
      <c r="P2862" s="198"/>
      <c r="Q2862" s="199"/>
      <c r="R2862" s="200"/>
      <c r="S2862" s="170"/>
      <c r="T2862" s="170"/>
      <c r="U2862" s="201"/>
      <c r="V2862" s="198"/>
      <c r="W2862" s="170"/>
      <c r="X2862" s="202"/>
      <c r="Y2862" s="203"/>
      <c r="Z2862" s="170"/>
      <c r="AA2862" s="198"/>
      <c r="AB2862" s="170"/>
      <c r="AC2862" s="170"/>
      <c r="AD2862" s="121"/>
      <c r="AE2862" s="121"/>
      <c r="AF2862" s="121"/>
      <c r="AG2862" s="22"/>
      <c r="AH2862" s="22"/>
      <c r="AI2862" s="22"/>
      <c r="AJ2862" s="22"/>
      <c r="AK2862" s="22"/>
      <c r="AL2862" s="22"/>
      <c r="AM2862" s="22"/>
      <c r="AN2862" s="22"/>
      <c r="AO2862" s="22"/>
      <c r="AP2862" s="22"/>
    </row>
    <row r="2863">
      <c r="A2863" s="193"/>
      <c r="B2863" s="194"/>
      <c r="C2863" s="195"/>
      <c r="D2863" s="196"/>
      <c r="E2863" s="197"/>
      <c r="F2863" s="197"/>
      <c r="G2863" s="195"/>
      <c r="H2863" s="195"/>
      <c r="I2863" s="197"/>
      <c r="J2863" s="121"/>
      <c r="K2863" s="121"/>
      <c r="L2863" s="200"/>
      <c r="M2863" s="204"/>
      <c r="N2863" s="205"/>
      <c r="O2863" s="170"/>
      <c r="P2863" s="198"/>
      <c r="Q2863" s="199"/>
      <c r="R2863" s="200"/>
      <c r="S2863" s="170"/>
      <c r="T2863" s="170"/>
      <c r="U2863" s="201"/>
      <c r="V2863" s="198"/>
      <c r="W2863" s="170"/>
      <c r="X2863" s="202"/>
      <c r="Y2863" s="203"/>
      <c r="Z2863" s="170"/>
      <c r="AA2863" s="198"/>
      <c r="AB2863" s="170"/>
      <c r="AC2863" s="170"/>
      <c r="AD2863" s="121"/>
      <c r="AE2863" s="121"/>
      <c r="AF2863" s="121"/>
      <c r="AG2863" s="22"/>
      <c r="AH2863" s="22"/>
      <c r="AI2863" s="22"/>
      <c r="AJ2863" s="22"/>
      <c r="AK2863" s="22"/>
      <c r="AL2863" s="22"/>
      <c r="AM2863" s="22"/>
      <c r="AN2863" s="22"/>
      <c r="AO2863" s="22"/>
      <c r="AP2863" s="22"/>
    </row>
    <row r="2864">
      <c r="A2864" s="193"/>
      <c r="B2864" s="194"/>
      <c r="C2864" s="195"/>
      <c r="D2864" s="196"/>
      <c r="E2864" s="197"/>
      <c r="F2864" s="197"/>
      <c r="G2864" s="195"/>
      <c r="H2864" s="195"/>
      <c r="I2864" s="197"/>
      <c r="J2864" s="121"/>
      <c r="K2864" s="121"/>
      <c r="L2864" s="200"/>
      <c r="M2864" s="204"/>
      <c r="N2864" s="205"/>
      <c r="O2864" s="170"/>
      <c r="P2864" s="198"/>
      <c r="Q2864" s="199"/>
      <c r="R2864" s="200"/>
      <c r="S2864" s="170"/>
      <c r="T2864" s="170"/>
      <c r="U2864" s="201"/>
      <c r="V2864" s="198"/>
      <c r="W2864" s="170"/>
      <c r="X2864" s="202"/>
      <c r="Y2864" s="203"/>
      <c r="Z2864" s="170"/>
      <c r="AA2864" s="198"/>
      <c r="AB2864" s="170"/>
      <c r="AC2864" s="170"/>
      <c r="AD2864" s="121"/>
      <c r="AE2864" s="121"/>
      <c r="AF2864" s="121"/>
      <c r="AG2864" s="22"/>
      <c r="AH2864" s="22"/>
      <c r="AI2864" s="22"/>
      <c r="AJ2864" s="22"/>
      <c r="AK2864" s="22"/>
      <c r="AL2864" s="22"/>
      <c r="AM2864" s="22"/>
      <c r="AN2864" s="22"/>
      <c r="AO2864" s="22"/>
      <c r="AP2864" s="22"/>
    </row>
    <row r="2865">
      <c r="A2865" s="193"/>
      <c r="B2865" s="194"/>
      <c r="C2865" s="195"/>
      <c r="D2865" s="196"/>
      <c r="E2865" s="197"/>
      <c r="F2865" s="197"/>
      <c r="G2865" s="195"/>
      <c r="H2865" s="195"/>
      <c r="I2865" s="197"/>
      <c r="J2865" s="121"/>
      <c r="K2865" s="121"/>
      <c r="L2865" s="200"/>
      <c r="M2865" s="204"/>
      <c r="N2865" s="205"/>
      <c r="O2865" s="170"/>
      <c r="P2865" s="198"/>
      <c r="Q2865" s="199"/>
      <c r="R2865" s="200"/>
      <c r="S2865" s="170"/>
      <c r="T2865" s="170"/>
      <c r="U2865" s="201"/>
      <c r="V2865" s="198"/>
      <c r="W2865" s="170"/>
      <c r="X2865" s="202"/>
      <c r="Y2865" s="203"/>
      <c r="Z2865" s="170"/>
      <c r="AA2865" s="198"/>
      <c r="AB2865" s="170"/>
      <c r="AC2865" s="170"/>
      <c r="AD2865" s="121"/>
      <c r="AE2865" s="121"/>
      <c r="AF2865" s="121"/>
      <c r="AG2865" s="22"/>
      <c r="AH2865" s="22"/>
      <c r="AI2865" s="22"/>
      <c r="AJ2865" s="22"/>
      <c r="AK2865" s="22"/>
      <c r="AL2865" s="22"/>
      <c r="AM2865" s="22"/>
      <c r="AN2865" s="22"/>
      <c r="AO2865" s="22"/>
      <c r="AP2865" s="22"/>
    </row>
    <row r="2866">
      <c r="A2866" s="193"/>
      <c r="B2866" s="194"/>
      <c r="C2866" s="195"/>
      <c r="D2866" s="196"/>
      <c r="E2866" s="197"/>
      <c r="F2866" s="197"/>
      <c r="G2866" s="195"/>
      <c r="H2866" s="195"/>
      <c r="I2866" s="197"/>
      <c r="J2866" s="121"/>
      <c r="K2866" s="121"/>
      <c r="L2866" s="200"/>
      <c r="M2866" s="204"/>
      <c r="N2866" s="205"/>
      <c r="O2866" s="170"/>
      <c r="P2866" s="198"/>
      <c r="Q2866" s="199"/>
      <c r="R2866" s="200"/>
      <c r="S2866" s="170"/>
      <c r="T2866" s="170"/>
      <c r="U2866" s="201"/>
      <c r="V2866" s="198"/>
      <c r="W2866" s="170"/>
      <c r="X2866" s="202"/>
      <c r="Y2866" s="203"/>
      <c r="Z2866" s="170"/>
      <c r="AA2866" s="198"/>
      <c r="AB2866" s="170"/>
      <c r="AC2866" s="170"/>
      <c r="AD2866" s="121"/>
      <c r="AE2866" s="121"/>
      <c r="AF2866" s="121"/>
      <c r="AG2866" s="22"/>
      <c r="AH2866" s="22"/>
      <c r="AI2866" s="22"/>
      <c r="AJ2866" s="22"/>
      <c r="AK2866" s="22"/>
      <c r="AL2866" s="22"/>
      <c r="AM2866" s="22"/>
      <c r="AN2866" s="22"/>
      <c r="AO2866" s="22"/>
      <c r="AP2866" s="22"/>
    </row>
    <row r="2867">
      <c r="A2867" s="193"/>
      <c r="B2867" s="194"/>
      <c r="C2867" s="195"/>
      <c r="D2867" s="196"/>
      <c r="E2867" s="197"/>
      <c r="F2867" s="197"/>
      <c r="G2867" s="195"/>
      <c r="H2867" s="195"/>
      <c r="I2867" s="197"/>
      <c r="J2867" s="121"/>
      <c r="K2867" s="121"/>
      <c r="L2867" s="200"/>
      <c r="M2867" s="204"/>
      <c r="N2867" s="205"/>
      <c r="O2867" s="170"/>
      <c r="P2867" s="198"/>
      <c r="Q2867" s="199"/>
      <c r="R2867" s="200"/>
      <c r="S2867" s="170"/>
      <c r="T2867" s="170"/>
      <c r="U2867" s="201"/>
      <c r="V2867" s="198"/>
      <c r="W2867" s="170"/>
      <c r="X2867" s="202"/>
      <c r="Y2867" s="203"/>
      <c r="Z2867" s="170"/>
      <c r="AA2867" s="198"/>
      <c r="AB2867" s="170"/>
      <c r="AC2867" s="170"/>
      <c r="AD2867" s="121"/>
      <c r="AE2867" s="121"/>
      <c r="AF2867" s="121"/>
      <c r="AG2867" s="22"/>
      <c r="AH2867" s="22"/>
      <c r="AI2867" s="22"/>
      <c r="AJ2867" s="22"/>
      <c r="AK2867" s="22"/>
      <c r="AL2867" s="22"/>
      <c r="AM2867" s="22"/>
      <c r="AN2867" s="22"/>
      <c r="AO2867" s="22"/>
      <c r="AP2867" s="22"/>
    </row>
    <row r="2868">
      <c r="A2868" s="193"/>
      <c r="B2868" s="194"/>
      <c r="C2868" s="195"/>
      <c r="D2868" s="196"/>
      <c r="E2868" s="197"/>
      <c r="F2868" s="197"/>
      <c r="G2868" s="195"/>
      <c r="H2868" s="195"/>
      <c r="I2868" s="197"/>
      <c r="J2868" s="121"/>
      <c r="K2868" s="121"/>
      <c r="L2868" s="200"/>
      <c r="M2868" s="204"/>
      <c r="N2868" s="205"/>
      <c r="O2868" s="170"/>
      <c r="P2868" s="198"/>
      <c r="Q2868" s="199"/>
      <c r="R2868" s="200"/>
      <c r="S2868" s="170"/>
      <c r="T2868" s="170"/>
      <c r="U2868" s="201"/>
      <c r="V2868" s="198"/>
      <c r="W2868" s="170"/>
      <c r="X2868" s="202"/>
      <c r="Y2868" s="203"/>
      <c r="Z2868" s="170"/>
      <c r="AA2868" s="198"/>
      <c r="AB2868" s="170"/>
      <c r="AC2868" s="170"/>
      <c r="AD2868" s="121"/>
      <c r="AE2868" s="121"/>
      <c r="AF2868" s="121"/>
      <c r="AG2868" s="22"/>
      <c r="AH2868" s="22"/>
      <c r="AI2868" s="22"/>
      <c r="AJ2868" s="22"/>
      <c r="AK2868" s="22"/>
      <c r="AL2868" s="22"/>
      <c r="AM2868" s="22"/>
      <c r="AN2868" s="22"/>
      <c r="AO2868" s="22"/>
      <c r="AP2868" s="22"/>
    </row>
    <row r="2869">
      <c r="A2869" s="193"/>
      <c r="B2869" s="194"/>
      <c r="C2869" s="195"/>
      <c r="D2869" s="196"/>
      <c r="E2869" s="197"/>
      <c r="F2869" s="197"/>
      <c r="G2869" s="195"/>
      <c r="H2869" s="195"/>
      <c r="I2869" s="197"/>
      <c r="J2869" s="121"/>
      <c r="K2869" s="121"/>
      <c r="L2869" s="200"/>
      <c r="M2869" s="204"/>
      <c r="N2869" s="205"/>
      <c r="O2869" s="170"/>
      <c r="P2869" s="198"/>
      <c r="Q2869" s="199"/>
      <c r="R2869" s="200"/>
      <c r="S2869" s="170"/>
      <c r="T2869" s="170"/>
      <c r="U2869" s="201"/>
      <c r="V2869" s="198"/>
      <c r="W2869" s="170"/>
      <c r="X2869" s="202"/>
      <c r="Y2869" s="203"/>
      <c r="Z2869" s="170"/>
      <c r="AA2869" s="198"/>
      <c r="AB2869" s="170"/>
      <c r="AC2869" s="170"/>
      <c r="AD2869" s="121"/>
      <c r="AE2869" s="121"/>
      <c r="AF2869" s="121"/>
      <c r="AG2869" s="22"/>
      <c r="AH2869" s="22"/>
      <c r="AI2869" s="22"/>
      <c r="AJ2869" s="22"/>
      <c r="AK2869" s="22"/>
      <c r="AL2869" s="22"/>
      <c r="AM2869" s="22"/>
      <c r="AN2869" s="22"/>
      <c r="AO2869" s="22"/>
      <c r="AP2869" s="22"/>
    </row>
    <row r="2870">
      <c r="A2870" s="193"/>
      <c r="B2870" s="194"/>
      <c r="C2870" s="195"/>
      <c r="D2870" s="196"/>
      <c r="E2870" s="197"/>
      <c r="F2870" s="197"/>
      <c r="G2870" s="195"/>
      <c r="H2870" s="195"/>
      <c r="I2870" s="197"/>
      <c r="J2870" s="121"/>
      <c r="K2870" s="121"/>
      <c r="L2870" s="200"/>
      <c r="M2870" s="204"/>
      <c r="N2870" s="205"/>
      <c r="O2870" s="170"/>
      <c r="P2870" s="198"/>
      <c r="Q2870" s="199"/>
      <c r="R2870" s="200"/>
      <c r="S2870" s="170"/>
      <c r="T2870" s="170"/>
      <c r="U2870" s="201"/>
      <c r="V2870" s="198"/>
      <c r="W2870" s="170"/>
      <c r="X2870" s="202"/>
      <c r="Y2870" s="203"/>
      <c r="Z2870" s="170"/>
      <c r="AA2870" s="198"/>
      <c r="AB2870" s="170"/>
      <c r="AC2870" s="170"/>
      <c r="AD2870" s="121"/>
      <c r="AE2870" s="121"/>
      <c r="AF2870" s="121"/>
      <c r="AG2870" s="22"/>
      <c r="AH2870" s="22"/>
      <c r="AI2870" s="22"/>
      <c r="AJ2870" s="22"/>
      <c r="AK2870" s="22"/>
      <c r="AL2870" s="22"/>
      <c r="AM2870" s="22"/>
      <c r="AN2870" s="22"/>
      <c r="AO2870" s="22"/>
      <c r="AP2870" s="22"/>
    </row>
    <row r="2871">
      <c r="A2871" s="193"/>
      <c r="B2871" s="194"/>
      <c r="C2871" s="195"/>
      <c r="D2871" s="196"/>
      <c r="E2871" s="197"/>
      <c r="F2871" s="197"/>
      <c r="G2871" s="195"/>
      <c r="H2871" s="195"/>
      <c r="I2871" s="197"/>
      <c r="J2871" s="121"/>
      <c r="K2871" s="121"/>
      <c r="L2871" s="200"/>
      <c r="M2871" s="204"/>
      <c r="N2871" s="205"/>
      <c r="O2871" s="170"/>
      <c r="P2871" s="198"/>
      <c r="Q2871" s="199"/>
      <c r="R2871" s="200"/>
      <c r="S2871" s="170"/>
      <c r="T2871" s="170"/>
      <c r="U2871" s="201"/>
      <c r="V2871" s="198"/>
      <c r="W2871" s="170"/>
      <c r="X2871" s="202"/>
      <c r="Y2871" s="203"/>
      <c r="Z2871" s="170"/>
      <c r="AA2871" s="198"/>
      <c r="AB2871" s="170"/>
      <c r="AC2871" s="170"/>
      <c r="AD2871" s="121"/>
      <c r="AE2871" s="121"/>
      <c r="AF2871" s="121"/>
      <c r="AG2871" s="22"/>
      <c r="AH2871" s="22"/>
      <c r="AI2871" s="22"/>
      <c r="AJ2871" s="22"/>
      <c r="AK2871" s="22"/>
      <c r="AL2871" s="22"/>
      <c r="AM2871" s="22"/>
      <c r="AN2871" s="22"/>
      <c r="AO2871" s="22"/>
      <c r="AP2871" s="22"/>
    </row>
    <row r="2872">
      <c r="A2872" s="193"/>
      <c r="B2872" s="194"/>
      <c r="C2872" s="195"/>
      <c r="D2872" s="196"/>
      <c r="E2872" s="197"/>
      <c r="F2872" s="197"/>
      <c r="G2872" s="195"/>
      <c r="H2872" s="195"/>
      <c r="I2872" s="197"/>
      <c r="J2872" s="121"/>
      <c r="K2872" s="121"/>
      <c r="L2872" s="200"/>
      <c r="M2872" s="204"/>
      <c r="N2872" s="205"/>
      <c r="O2872" s="170"/>
      <c r="P2872" s="198"/>
      <c r="Q2872" s="199"/>
      <c r="R2872" s="200"/>
      <c r="S2872" s="170"/>
      <c r="T2872" s="170"/>
      <c r="U2872" s="201"/>
      <c r="V2872" s="198"/>
      <c r="W2872" s="170"/>
      <c r="X2872" s="202"/>
      <c r="Y2872" s="203"/>
      <c r="Z2872" s="170"/>
      <c r="AA2872" s="198"/>
      <c r="AB2872" s="170"/>
      <c r="AC2872" s="170"/>
      <c r="AD2872" s="121"/>
      <c r="AE2872" s="121"/>
      <c r="AF2872" s="121"/>
      <c r="AG2872" s="22"/>
      <c r="AH2872" s="22"/>
      <c r="AI2872" s="22"/>
      <c r="AJ2872" s="22"/>
      <c r="AK2872" s="22"/>
      <c r="AL2872" s="22"/>
      <c r="AM2872" s="22"/>
      <c r="AN2872" s="22"/>
      <c r="AO2872" s="22"/>
      <c r="AP2872" s="22"/>
    </row>
    <row r="2873">
      <c r="A2873" s="193"/>
      <c r="B2873" s="194"/>
      <c r="C2873" s="195"/>
      <c r="D2873" s="196"/>
      <c r="E2873" s="197"/>
      <c r="F2873" s="197"/>
      <c r="G2873" s="195"/>
      <c r="H2873" s="195"/>
      <c r="I2873" s="197"/>
      <c r="J2873" s="121"/>
      <c r="K2873" s="121"/>
      <c r="L2873" s="200"/>
      <c r="M2873" s="204"/>
      <c r="N2873" s="205"/>
      <c r="O2873" s="170"/>
      <c r="P2873" s="198"/>
      <c r="Q2873" s="199"/>
      <c r="R2873" s="200"/>
      <c r="S2873" s="170"/>
      <c r="T2873" s="170"/>
      <c r="U2873" s="201"/>
      <c r="V2873" s="198"/>
      <c r="W2873" s="170"/>
      <c r="X2873" s="202"/>
      <c r="Y2873" s="203"/>
      <c r="Z2873" s="170"/>
      <c r="AA2873" s="198"/>
      <c r="AB2873" s="170"/>
      <c r="AC2873" s="170"/>
      <c r="AD2873" s="121"/>
      <c r="AE2873" s="121"/>
      <c r="AF2873" s="121"/>
      <c r="AG2873" s="22"/>
      <c r="AH2873" s="22"/>
      <c r="AI2873" s="22"/>
      <c r="AJ2873" s="22"/>
      <c r="AK2873" s="22"/>
      <c r="AL2873" s="22"/>
      <c r="AM2873" s="22"/>
      <c r="AN2873" s="22"/>
      <c r="AO2873" s="22"/>
      <c r="AP2873" s="22"/>
    </row>
    <row r="2874">
      <c r="A2874" s="193"/>
      <c r="B2874" s="194"/>
      <c r="C2874" s="195"/>
      <c r="D2874" s="196"/>
      <c r="E2874" s="197"/>
      <c r="F2874" s="197"/>
      <c r="G2874" s="195"/>
      <c r="H2874" s="195"/>
      <c r="I2874" s="197"/>
      <c r="J2874" s="121"/>
      <c r="K2874" s="121"/>
      <c r="L2874" s="200"/>
      <c r="M2874" s="204"/>
      <c r="N2874" s="205"/>
      <c r="O2874" s="170"/>
      <c r="P2874" s="198"/>
      <c r="Q2874" s="199"/>
      <c r="R2874" s="200"/>
      <c r="S2874" s="170"/>
      <c r="T2874" s="170"/>
      <c r="U2874" s="201"/>
      <c r="V2874" s="198"/>
      <c r="W2874" s="170"/>
      <c r="X2874" s="202"/>
      <c r="Y2874" s="203"/>
      <c r="Z2874" s="170"/>
      <c r="AA2874" s="198"/>
      <c r="AB2874" s="170"/>
      <c r="AC2874" s="170"/>
      <c r="AD2874" s="121"/>
      <c r="AE2874" s="121"/>
      <c r="AF2874" s="121"/>
      <c r="AG2874" s="22"/>
      <c r="AH2874" s="22"/>
      <c r="AI2874" s="22"/>
      <c r="AJ2874" s="22"/>
      <c r="AK2874" s="22"/>
      <c r="AL2874" s="22"/>
      <c r="AM2874" s="22"/>
      <c r="AN2874" s="22"/>
      <c r="AO2874" s="22"/>
      <c r="AP2874" s="22"/>
    </row>
    <row r="2875">
      <c r="A2875" s="193"/>
      <c r="B2875" s="194"/>
      <c r="C2875" s="195"/>
      <c r="D2875" s="196"/>
      <c r="E2875" s="197"/>
      <c r="F2875" s="197"/>
      <c r="G2875" s="195"/>
      <c r="H2875" s="195"/>
      <c r="I2875" s="197"/>
      <c r="J2875" s="121"/>
      <c r="K2875" s="121"/>
      <c r="L2875" s="200"/>
      <c r="M2875" s="204"/>
      <c r="N2875" s="205"/>
      <c r="O2875" s="170"/>
      <c r="P2875" s="198"/>
      <c r="Q2875" s="199"/>
      <c r="R2875" s="200"/>
      <c r="S2875" s="170"/>
      <c r="T2875" s="170"/>
      <c r="U2875" s="201"/>
      <c r="V2875" s="198"/>
      <c r="W2875" s="170"/>
      <c r="X2875" s="202"/>
      <c r="Y2875" s="203"/>
      <c r="Z2875" s="170"/>
      <c r="AA2875" s="198"/>
      <c r="AB2875" s="170"/>
      <c r="AC2875" s="170"/>
      <c r="AD2875" s="121"/>
      <c r="AE2875" s="121"/>
      <c r="AF2875" s="121"/>
      <c r="AG2875" s="22"/>
      <c r="AH2875" s="22"/>
      <c r="AI2875" s="22"/>
      <c r="AJ2875" s="22"/>
      <c r="AK2875" s="22"/>
      <c r="AL2875" s="22"/>
      <c r="AM2875" s="22"/>
      <c r="AN2875" s="22"/>
      <c r="AO2875" s="22"/>
      <c r="AP2875" s="22"/>
    </row>
    <row r="2876">
      <c r="A2876" s="193"/>
      <c r="B2876" s="194"/>
      <c r="C2876" s="195"/>
      <c r="D2876" s="196"/>
      <c r="E2876" s="197"/>
      <c r="F2876" s="197"/>
      <c r="G2876" s="195"/>
      <c r="H2876" s="195"/>
      <c r="I2876" s="197"/>
      <c r="J2876" s="121"/>
      <c r="K2876" s="121"/>
      <c r="L2876" s="200"/>
      <c r="M2876" s="204"/>
      <c r="N2876" s="205"/>
      <c r="O2876" s="170"/>
      <c r="P2876" s="198"/>
      <c r="Q2876" s="199"/>
      <c r="R2876" s="200"/>
      <c r="S2876" s="170"/>
      <c r="T2876" s="170"/>
      <c r="U2876" s="201"/>
      <c r="V2876" s="198"/>
      <c r="W2876" s="170"/>
      <c r="X2876" s="202"/>
      <c r="Y2876" s="203"/>
      <c r="Z2876" s="170"/>
      <c r="AA2876" s="198"/>
      <c r="AB2876" s="170"/>
      <c r="AC2876" s="170"/>
      <c r="AD2876" s="121"/>
      <c r="AE2876" s="121"/>
      <c r="AF2876" s="121"/>
      <c r="AG2876" s="22"/>
      <c r="AH2876" s="22"/>
      <c r="AI2876" s="22"/>
      <c r="AJ2876" s="22"/>
      <c r="AK2876" s="22"/>
      <c r="AL2876" s="22"/>
      <c r="AM2876" s="22"/>
      <c r="AN2876" s="22"/>
      <c r="AO2876" s="22"/>
      <c r="AP2876" s="22"/>
    </row>
    <row r="2877">
      <c r="A2877" s="193"/>
      <c r="B2877" s="194"/>
      <c r="C2877" s="195"/>
      <c r="D2877" s="196"/>
      <c r="E2877" s="197"/>
      <c r="F2877" s="197"/>
      <c r="G2877" s="195"/>
      <c r="H2877" s="195"/>
      <c r="I2877" s="197"/>
      <c r="J2877" s="121"/>
      <c r="K2877" s="121"/>
      <c r="L2877" s="200"/>
      <c r="M2877" s="204"/>
      <c r="N2877" s="205"/>
      <c r="O2877" s="170"/>
      <c r="P2877" s="198"/>
      <c r="Q2877" s="199"/>
      <c r="R2877" s="200"/>
      <c r="S2877" s="170"/>
      <c r="T2877" s="170"/>
      <c r="U2877" s="201"/>
      <c r="V2877" s="198"/>
      <c r="W2877" s="170"/>
      <c r="X2877" s="202"/>
      <c r="Y2877" s="203"/>
      <c r="Z2877" s="170"/>
      <c r="AA2877" s="198"/>
      <c r="AB2877" s="170"/>
      <c r="AC2877" s="170"/>
      <c r="AD2877" s="121"/>
      <c r="AE2877" s="121"/>
      <c r="AF2877" s="121"/>
      <c r="AG2877" s="22"/>
      <c r="AH2877" s="22"/>
      <c r="AI2877" s="22"/>
      <c r="AJ2877" s="22"/>
      <c r="AK2877" s="22"/>
      <c r="AL2877" s="22"/>
      <c r="AM2877" s="22"/>
      <c r="AN2877" s="22"/>
      <c r="AO2877" s="22"/>
      <c r="AP2877" s="22"/>
    </row>
    <row r="2878">
      <c r="A2878" s="193"/>
      <c r="B2878" s="194"/>
      <c r="C2878" s="195"/>
      <c r="D2878" s="196"/>
      <c r="E2878" s="197"/>
      <c r="F2878" s="197"/>
      <c r="G2878" s="195"/>
      <c r="H2878" s="195"/>
      <c r="I2878" s="197"/>
      <c r="J2878" s="121"/>
      <c r="K2878" s="121"/>
      <c r="L2878" s="200"/>
      <c r="M2878" s="204"/>
      <c r="N2878" s="205"/>
      <c r="O2878" s="170"/>
      <c r="P2878" s="198"/>
      <c r="Q2878" s="199"/>
      <c r="R2878" s="200"/>
      <c r="S2878" s="170"/>
      <c r="T2878" s="170"/>
      <c r="U2878" s="201"/>
      <c r="V2878" s="198"/>
      <c r="W2878" s="170"/>
      <c r="X2878" s="202"/>
      <c r="Y2878" s="203"/>
      <c r="Z2878" s="170"/>
      <c r="AA2878" s="198"/>
      <c r="AB2878" s="170"/>
      <c r="AC2878" s="170"/>
      <c r="AD2878" s="121"/>
      <c r="AE2878" s="121"/>
      <c r="AF2878" s="121"/>
      <c r="AG2878" s="22"/>
      <c r="AH2878" s="22"/>
      <c r="AI2878" s="22"/>
      <c r="AJ2878" s="22"/>
      <c r="AK2878" s="22"/>
      <c r="AL2878" s="22"/>
      <c r="AM2878" s="22"/>
      <c r="AN2878" s="22"/>
      <c r="AO2878" s="22"/>
      <c r="AP2878" s="22"/>
    </row>
    <row r="2879">
      <c r="A2879" s="193"/>
      <c r="B2879" s="194"/>
      <c r="C2879" s="195"/>
      <c r="D2879" s="196"/>
      <c r="E2879" s="197"/>
      <c r="F2879" s="197"/>
      <c r="G2879" s="195"/>
      <c r="H2879" s="195"/>
      <c r="I2879" s="197"/>
      <c r="J2879" s="121"/>
      <c r="K2879" s="121"/>
      <c r="L2879" s="200"/>
      <c r="M2879" s="204"/>
      <c r="N2879" s="205"/>
      <c r="O2879" s="170"/>
      <c r="P2879" s="198"/>
      <c r="Q2879" s="199"/>
      <c r="R2879" s="200"/>
      <c r="S2879" s="170"/>
      <c r="T2879" s="170"/>
      <c r="U2879" s="201"/>
      <c r="V2879" s="198"/>
      <c r="W2879" s="170"/>
      <c r="X2879" s="202"/>
      <c r="Y2879" s="203"/>
      <c r="Z2879" s="170"/>
      <c r="AA2879" s="198"/>
      <c r="AB2879" s="170"/>
      <c r="AC2879" s="170"/>
      <c r="AD2879" s="121"/>
      <c r="AE2879" s="121"/>
      <c r="AF2879" s="121"/>
      <c r="AG2879" s="22"/>
      <c r="AH2879" s="22"/>
      <c r="AI2879" s="22"/>
      <c r="AJ2879" s="22"/>
      <c r="AK2879" s="22"/>
      <c r="AL2879" s="22"/>
      <c r="AM2879" s="22"/>
      <c r="AN2879" s="22"/>
      <c r="AO2879" s="22"/>
      <c r="AP2879" s="22"/>
    </row>
    <row r="2880">
      <c r="A2880" s="193"/>
      <c r="B2880" s="194"/>
      <c r="C2880" s="195"/>
      <c r="D2880" s="196"/>
      <c r="E2880" s="197"/>
      <c r="F2880" s="197"/>
      <c r="G2880" s="195"/>
      <c r="H2880" s="195"/>
      <c r="I2880" s="197"/>
      <c r="J2880" s="121"/>
      <c r="K2880" s="121"/>
      <c r="L2880" s="200"/>
      <c r="M2880" s="204"/>
      <c r="N2880" s="205"/>
      <c r="O2880" s="170"/>
      <c r="P2880" s="198"/>
      <c r="Q2880" s="199"/>
      <c r="R2880" s="200"/>
      <c r="S2880" s="170"/>
      <c r="T2880" s="170"/>
      <c r="U2880" s="201"/>
      <c r="V2880" s="198"/>
      <c r="W2880" s="170"/>
      <c r="X2880" s="202"/>
      <c r="Y2880" s="203"/>
      <c r="Z2880" s="170"/>
      <c r="AA2880" s="198"/>
      <c r="AB2880" s="170"/>
      <c r="AC2880" s="170"/>
      <c r="AD2880" s="121"/>
      <c r="AE2880" s="121"/>
      <c r="AF2880" s="121"/>
      <c r="AG2880" s="22"/>
      <c r="AH2880" s="22"/>
      <c r="AI2880" s="22"/>
      <c r="AJ2880" s="22"/>
      <c r="AK2880" s="22"/>
      <c r="AL2880" s="22"/>
      <c r="AM2880" s="22"/>
      <c r="AN2880" s="22"/>
      <c r="AO2880" s="22"/>
      <c r="AP2880" s="22"/>
    </row>
    <row r="2881">
      <c r="A2881" s="193"/>
      <c r="B2881" s="194"/>
      <c r="C2881" s="195"/>
      <c r="D2881" s="196"/>
      <c r="E2881" s="197"/>
      <c r="F2881" s="197"/>
      <c r="G2881" s="195"/>
      <c r="H2881" s="195"/>
      <c r="I2881" s="197"/>
      <c r="J2881" s="121"/>
      <c r="K2881" s="121"/>
      <c r="L2881" s="200"/>
      <c r="M2881" s="204"/>
      <c r="N2881" s="205"/>
      <c r="O2881" s="170"/>
      <c r="P2881" s="198"/>
      <c r="Q2881" s="199"/>
      <c r="R2881" s="200"/>
      <c r="S2881" s="170"/>
      <c r="T2881" s="170"/>
      <c r="U2881" s="201"/>
      <c r="V2881" s="198"/>
      <c r="W2881" s="170"/>
      <c r="X2881" s="202"/>
      <c r="Y2881" s="203"/>
      <c r="Z2881" s="170"/>
      <c r="AA2881" s="198"/>
      <c r="AB2881" s="170"/>
      <c r="AC2881" s="170"/>
      <c r="AD2881" s="121"/>
      <c r="AE2881" s="121"/>
      <c r="AF2881" s="121"/>
      <c r="AG2881" s="22"/>
      <c r="AH2881" s="22"/>
      <c r="AI2881" s="22"/>
      <c r="AJ2881" s="22"/>
      <c r="AK2881" s="22"/>
      <c r="AL2881" s="22"/>
      <c r="AM2881" s="22"/>
      <c r="AN2881" s="22"/>
      <c r="AO2881" s="22"/>
      <c r="AP2881" s="22"/>
    </row>
    <row r="2882">
      <c r="A2882" s="193"/>
      <c r="B2882" s="194"/>
      <c r="C2882" s="195"/>
      <c r="D2882" s="196"/>
      <c r="E2882" s="197"/>
      <c r="F2882" s="197"/>
      <c r="G2882" s="195"/>
      <c r="H2882" s="195"/>
      <c r="I2882" s="197"/>
      <c r="J2882" s="121"/>
      <c r="K2882" s="121"/>
      <c r="L2882" s="200"/>
      <c r="M2882" s="204"/>
      <c r="N2882" s="205"/>
      <c r="O2882" s="170"/>
      <c r="P2882" s="198"/>
      <c r="Q2882" s="199"/>
      <c r="R2882" s="200"/>
      <c r="S2882" s="170"/>
      <c r="T2882" s="170"/>
      <c r="U2882" s="201"/>
      <c r="V2882" s="198"/>
      <c r="W2882" s="170"/>
      <c r="X2882" s="202"/>
      <c r="Y2882" s="203"/>
      <c r="Z2882" s="170"/>
      <c r="AA2882" s="198"/>
      <c r="AB2882" s="170"/>
      <c r="AC2882" s="170"/>
      <c r="AD2882" s="121"/>
      <c r="AE2882" s="121"/>
      <c r="AF2882" s="121"/>
      <c r="AG2882" s="22"/>
      <c r="AH2882" s="22"/>
      <c r="AI2882" s="22"/>
      <c r="AJ2882" s="22"/>
      <c r="AK2882" s="22"/>
      <c r="AL2882" s="22"/>
      <c r="AM2882" s="22"/>
      <c r="AN2882" s="22"/>
      <c r="AO2882" s="22"/>
      <c r="AP2882" s="22"/>
    </row>
    <row r="2883">
      <c r="A2883" s="193"/>
      <c r="B2883" s="194"/>
      <c r="C2883" s="195"/>
      <c r="D2883" s="196"/>
      <c r="E2883" s="197"/>
      <c r="F2883" s="197"/>
      <c r="G2883" s="195"/>
      <c r="H2883" s="195"/>
      <c r="I2883" s="197"/>
      <c r="J2883" s="121"/>
      <c r="K2883" s="121"/>
      <c r="L2883" s="200"/>
      <c r="M2883" s="204"/>
      <c r="N2883" s="205"/>
      <c r="O2883" s="170"/>
      <c r="P2883" s="198"/>
      <c r="Q2883" s="199"/>
      <c r="R2883" s="200"/>
      <c r="S2883" s="170"/>
      <c r="T2883" s="170"/>
      <c r="U2883" s="201"/>
      <c r="V2883" s="198"/>
      <c r="W2883" s="170"/>
      <c r="X2883" s="202"/>
      <c r="Y2883" s="203"/>
      <c r="Z2883" s="170"/>
      <c r="AA2883" s="198"/>
      <c r="AB2883" s="170"/>
      <c r="AC2883" s="170"/>
      <c r="AD2883" s="121"/>
      <c r="AE2883" s="121"/>
      <c r="AF2883" s="121"/>
      <c r="AG2883" s="22"/>
      <c r="AH2883" s="22"/>
      <c r="AI2883" s="22"/>
      <c r="AJ2883" s="22"/>
      <c r="AK2883" s="22"/>
      <c r="AL2883" s="22"/>
      <c r="AM2883" s="22"/>
      <c r="AN2883" s="22"/>
      <c r="AO2883" s="22"/>
      <c r="AP2883" s="22"/>
    </row>
    <row r="2884">
      <c r="A2884" s="193"/>
      <c r="B2884" s="194"/>
      <c r="C2884" s="195"/>
      <c r="D2884" s="196"/>
      <c r="E2884" s="197"/>
      <c r="F2884" s="197"/>
      <c r="G2884" s="195"/>
      <c r="H2884" s="195"/>
      <c r="I2884" s="197"/>
      <c r="J2884" s="121"/>
      <c r="K2884" s="121"/>
      <c r="L2884" s="200"/>
      <c r="M2884" s="204"/>
      <c r="N2884" s="205"/>
      <c r="O2884" s="170"/>
      <c r="P2884" s="198"/>
      <c r="Q2884" s="199"/>
      <c r="R2884" s="200"/>
      <c r="S2884" s="170"/>
      <c r="T2884" s="170"/>
      <c r="U2884" s="201"/>
      <c r="V2884" s="198"/>
      <c r="W2884" s="170"/>
      <c r="X2884" s="202"/>
      <c r="Y2884" s="203"/>
      <c r="Z2884" s="170"/>
      <c r="AA2884" s="198"/>
      <c r="AB2884" s="170"/>
      <c r="AC2884" s="170"/>
      <c r="AD2884" s="121"/>
      <c r="AE2884" s="121"/>
      <c r="AF2884" s="121"/>
      <c r="AG2884" s="22"/>
      <c r="AH2884" s="22"/>
      <c r="AI2884" s="22"/>
      <c r="AJ2884" s="22"/>
      <c r="AK2884" s="22"/>
      <c r="AL2884" s="22"/>
      <c r="AM2884" s="22"/>
      <c r="AN2884" s="22"/>
      <c r="AO2884" s="22"/>
      <c r="AP2884" s="22"/>
    </row>
    <row r="2885">
      <c r="A2885" s="193"/>
      <c r="B2885" s="194"/>
      <c r="C2885" s="195"/>
      <c r="D2885" s="196"/>
      <c r="E2885" s="197"/>
      <c r="F2885" s="197"/>
      <c r="G2885" s="195"/>
      <c r="H2885" s="195"/>
      <c r="I2885" s="197"/>
      <c r="J2885" s="121"/>
      <c r="K2885" s="121"/>
      <c r="L2885" s="200"/>
      <c r="M2885" s="204"/>
      <c r="N2885" s="205"/>
      <c r="O2885" s="170"/>
      <c r="P2885" s="198"/>
      <c r="Q2885" s="199"/>
      <c r="R2885" s="200"/>
      <c r="S2885" s="170"/>
      <c r="T2885" s="170"/>
      <c r="U2885" s="201"/>
      <c r="V2885" s="198"/>
      <c r="W2885" s="170"/>
      <c r="X2885" s="202"/>
      <c r="Y2885" s="203"/>
      <c r="Z2885" s="170"/>
      <c r="AA2885" s="198"/>
      <c r="AB2885" s="170"/>
      <c r="AC2885" s="170"/>
      <c r="AD2885" s="121"/>
      <c r="AE2885" s="121"/>
      <c r="AF2885" s="121"/>
      <c r="AG2885" s="22"/>
      <c r="AH2885" s="22"/>
      <c r="AI2885" s="22"/>
      <c r="AJ2885" s="22"/>
      <c r="AK2885" s="22"/>
      <c r="AL2885" s="22"/>
      <c r="AM2885" s="22"/>
      <c r="AN2885" s="22"/>
      <c r="AO2885" s="22"/>
      <c r="AP2885" s="22"/>
    </row>
    <row r="2886">
      <c r="A2886" s="193"/>
      <c r="B2886" s="194"/>
      <c r="C2886" s="195"/>
      <c r="D2886" s="196"/>
      <c r="E2886" s="197"/>
      <c r="F2886" s="197"/>
      <c r="G2886" s="195"/>
      <c r="H2886" s="195"/>
      <c r="I2886" s="197"/>
      <c r="J2886" s="121"/>
      <c r="K2886" s="121"/>
      <c r="L2886" s="200"/>
      <c r="M2886" s="204"/>
      <c r="N2886" s="205"/>
      <c r="O2886" s="170"/>
      <c r="P2886" s="198"/>
      <c r="Q2886" s="199"/>
      <c r="R2886" s="200"/>
      <c r="S2886" s="170"/>
      <c r="T2886" s="170"/>
      <c r="U2886" s="201"/>
      <c r="V2886" s="198"/>
      <c r="W2886" s="170"/>
      <c r="X2886" s="202"/>
      <c r="Y2886" s="203"/>
      <c r="Z2886" s="170"/>
      <c r="AA2886" s="198"/>
      <c r="AB2886" s="170"/>
      <c r="AC2886" s="170"/>
      <c r="AD2886" s="121"/>
      <c r="AE2886" s="121"/>
      <c r="AF2886" s="121"/>
      <c r="AG2886" s="22"/>
      <c r="AH2886" s="22"/>
      <c r="AI2886" s="22"/>
      <c r="AJ2886" s="22"/>
      <c r="AK2886" s="22"/>
      <c r="AL2886" s="22"/>
      <c r="AM2886" s="22"/>
      <c r="AN2886" s="22"/>
      <c r="AO2886" s="22"/>
      <c r="AP2886" s="22"/>
    </row>
    <row r="2887">
      <c r="A2887" s="193"/>
      <c r="B2887" s="194"/>
      <c r="C2887" s="195"/>
      <c r="D2887" s="196"/>
      <c r="E2887" s="197"/>
      <c r="F2887" s="197"/>
      <c r="G2887" s="195"/>
      <c r="H2887" s="195"/>
      <c r="I2887" s="197"/>
      <c r="J2887" s="121"/>
      <c r="K2887" s="121"/>
      <c r="L2887" s="200"/>
      <c r="M2887" s="204"/>
      <c r="N2887" s="205"/>
      <c r="O2887" s="170"/>
      <c r="P2887" s="198"/>
      <c r="Q2887" s="199"/>
      <c r="R2887" s="200"/>
      <c r="S2887" s="170"/>
      <c r="T2887" s="170"/>
      <c r="U2887" s="201"/>
      <c r="V2887" s="198"/>
      <c r="W2887" s="170"/>
      <c r="X2887" s="202"/>
      <c r="Y2887" s="203"/>
      <c r="Z2887" s="170"/>
      <c r="AA2887" s="198"/>
      <c r="AB2887" s="170"/>
      <c r="AC2887" s="170"/>
      <c r="AD2887" s="121"/>
      <c r="AE2887" s="121"/>
      <c r="AF2887" s="121"/>
      <c r="AG2887" s="22"/>
      <c r="AH2887" s="22"/>
      <c r="AI2887" s="22"/>
      <c r="AJ2887" s="22"/>
      <c r="AK2887" s="22"/>
      <c r="AL2887" s="22"/>
      <c r="AM2887" s="22"/>
      <c r="AN2887" s="22"/>
      <c r="AO2887" s="22"/>
      <c r="AP2887" s="22"/>
    </row>
    <row r="2888">
      <c r="A2888" s="193"/>
      <c r="B2888" s="194"/>
      <c r="C2888" s="195"/>
      <c r="D2888" s="196"/>
      <c r="E2888" s="197"/>
      <c r="F2888" s="197"/>
      <c r="G2888" s="195"/>
      <c r="H2888" s="195"/>
      <c r="I2888" s="197"/>
      <c r="J2888" s="121"/>
      <c r="K2888" s="121"/>
      <c r="L2888" s="200"/>
      <c r="M2888" s="204"/>
      <c r="N2888" s="205"/>
      <c r="O2888" s="170"/>
      <c r="P2888" s="198"/>
      <c r="Q2888" s="199"/>
      <c r="R2888" s="200"/>
      <c r="S2888" s="170"/>
      <c r="T2888" s="170"/>
      <c r="U2888" s="201"/>
      <c r="V2888" s="198"/>
      <c r="W2888" s="170"/>
      <c r="X2888" s="202"/>
      <c r="Y2888" s="203"/>
      <c r="Z2888" s="170"/>
      <c r="AA2888" s="198"/>
      <c r="AB2888" s="170"/>
      <c r="AC2888" s="170"/>
      <c r="AD2888" s="121"/>
      <c r="AE2888" s="121"/>
      <c r="AF2888" s="121"/>
      <c r="AG2888" s="22"/>
      <c r="AH2888" s="22"/>
      <c r="AI2888" s="22"/>
      <c r="AJ2888" s="22"/>
      <c r="AK2888" s="22"/>
      <c r="AL2888" s="22"/>
      <c r="AM2888" s="22"/>
      <c r="AN2888" s="22"/>
      <c r="AO2888" s="22"/>
      <c r="AP2888" s="22"/>
    </row>
    <row r="2889">
      <c r="A2889" s="193"/>
      <c r="B2889" s="194"/>
      <c r="C2889" s="195"/>
      <c r="D2889" s="196"/>
      <c r="E2889" s="197"/>
      <c r="F2889" s="197"/>
      <c r="G2889" s="195"/>
      <c r="H2889" s="195"/>
      <c r="I2889" s="197"/>
      <c r="J2889" s="121"/>
      <c r="K2889" s="121"/>
      <c r="L2889" s="200"/>
      <c r="M2889" s="204"/>
      <c r="N2889" s="205"/>
      <c r="O2889" s="170"/>
      <c r="P2889" s="198"/>
      <c r="Q2889" s="199"/>
      <c r="R2889" s="200"/>
      <c r="S2889" s="170"/>
      <c r="T2889" s="170"/>
      <c r="U2889" s="201"/>
      <c r="V2889" s="198"/>
      <c r="W2889" s="170"/>
      <c r="X2889" s="202"/>
      <c r="Y2889" s="203"/>
      <c r="Z2889" s="170"/>
      <c r="AA2889" s="198"/>
      <c r="AB2889" s="170"/>
      <c r="AC2889" s="170"/>
      <c r="AD2889" s="121"/>
      <c r="AE2889" s="121"/>
      <c r="AF2889" s="121"/>
      <c r="AG2889" s="22"/>
      <c r="AH2889" s="22"/>
      <c r="AI2889" s="22"/>
      <c r="AJ2889" s="22"/>
      <c r="AK2889" s="22"/>
      <c r="AL2889" s="22"/>
      <c r="AM2889" s="22"/>
      <c r="AN2889" s="22"/>
      <c r="AO2889" s="22"/>
      <c r="AP2889" s="22"/>
    </row>
    <row r="2890">
      <c r="A2890" s="193"/>
      <c r="B2890" s="194"/>
      <c r="C2890" s="195"/>
      <c r="D2890" s="196"/>
      <c r="E2890" s="197"/>
      <c r="F2890" s="197"/>
      <c r="G2890" s="195"/>
      <c r="H2890" s="195"/>
      <c r="I2890" s="197"/>
      <c r="J2890" s="121"/>
      <c r="K2890" s="121"/>
      <c r="L2890" s="200"/>
      <c r="M2890" s="204"/>
      <c r="N2890" s="205"/>
      <c r="O2890" s="170"/>
      <c r="P2890" s="198"/>
      <c r="Q2890" s="199"/>
      <c r="R2890" s="200"/>
      <c r="S2890" s="170"/>
      <c r="T2890" s="170"/>
      <c r="U2890" s="201"/>
      <c r="V2890" s="198"/>
      <c r="W2890" s="170"/>
      <c r="X2890" s="202"/>
      <c r="Y2890" s="203"/>
      <c r="Z2890" s="170"/>
      <c r="AA2890" s="198"/>
      <c r="AB2890" s="170"/>
      <c r="AC2890" s="170"/>
      <c r="AD2890" s="121"/>
      <c r="AE2890" s="121"/>
      <c r="AF2890" s="121"/>
      <c r="AG2890" s="22"/>
      <c r="AH2890" s="22"/>
      <c r="AI2890" s="22"/>
      <c r="AJ2890" s="22"/>
      <c r="AK2890" s="22"/>
      <c r="AL2890" s="22"/>
      <c r="AM2890" s="22"/>
      <c r="AN2890" s="22"/>
      <c r="AO2890" s="22"/>
      <c r="AP2890" s="22"/>
    </row>
    <row r="2891">
      <c r="A2891" s="193"/>
      <c r="B2891" s="194"/>
      <c r="C2891" s="195"/>
      <c r="D2891" s="196"/>
      <c r="E2891" s="197"/>
      <c r="F2891" s="197"/>
      <c r="G2891" s="195"/>
      <c r="H2891" s="195"/>
      <c r="I2891" s="197"/>
      <c r="J2891" s="121"/>
      <c r="K2891" s="121"/>
      <c r="L2891" s="200"/>
      <c r="M2891" s="204"/>
      <c r="N2891" s="205"/>
      <c r="O2891" s="170"/>
      <c r="P2891" s="198"/>
      <c r="Q2891" s="199"/>
      <c r="R2891" s="200"/>
      <c r="S2891" s="170"/>
      <c r="T2891" s="170"/>
      <c r="U2891" s="201"/>
      <c r="V2891" s="198"/>
      <c r="W2891" s="170"/>
      <c r="X2891" s="202"/>
      <c r="Y2891" s="203"/>
      <c r="Z2891" s="170"/>
      <c r="AA2891" s="198"/>
      <c r="AB2891" s="170"/>
      <c r="AC2891" s="170"/>
      <c r="AD2891" s="121"/>
      <c r="AE2891" s="121"/>
      <c r="AF2891" s="121"/>
      <c r="AG2891" s="22"/>
      <c r="AH2891" s="22"/>
      <c r="AI2891" s="22"/>
      <c r="AJ2891" s="22"/>
      <c r="AK2891" s="22"/>
      <c r="AL2891" s="22"/>
      <c r="AM2891" s="22"/>
      <c r="AN2891" s="22"/>
      <c r="AO2891" s="22"/>
      <c r="AP2891" s="22"/>
    </row>
    <row r="2892">
      <c r="A2892" s="193"/>
      <c r="B2892" s="194"/>
      <c r="C2892" s="195"/>
      <c r="D2892" s="196"/>
      <c r="E2892" s="197"/>
      <c r="F2892" s="197"/>
      <c r="G2892" s="195"/>
      <c r="H2892" s="195"/>
      <c r="I2892" s="197"/>
      <c r="J2892" s="121"/>
      <c r="K2892" s="121"/>
      <c r="L2892" s="200"/>
      <c r="M2892" s="204"/>
      <c r="N2892" s="205"/>
      <c r="O2892" s="170"/>
      <c r="P2892" s="198"/>
      <c r="Q2892" s="199"/>
      <c r="R2892" s="200"/>
      <c r="S2892" s="170"/>
      <c r="T2892" s="170"/>
      <c r="U2892" s="201"/>
      <c r="V2892" s="198"/>
      <c r="W2892" s="170"/>
      <c r="X2892" s="202"/>
      <c r="Y2892" s="203"/>
      <c r="Z2892" s="170"/>
      <c r="AA2892" s="198"/>
      <c r="AB2892" s="170"/>
      <c r="AC2892" s="170"/>
      <c r="AD2892" s="121"/>
      <c r="AE2892" s="121"/>
      <c r="AF2892" s="121"/>
      <c r="AG2892" s="22"/>
      <c r="AH2892" s="22"/>
      <c r="AI2892" s="22"/>
      <c r="AJ2892" s="22"/>
      <c r="AK2892" s="22"/>
      <c r="AL2892" s="22"/>
      <c r="AM2892" s="22"/>
      <c r="AN2892" s="22"/>
      <c r="AO2892" s="22"/>
      <c r="AP2892" s="22"/>
    </row>
    <row r="2893">
      <c r="A2893" s="193"/>
      <c r="B2893" s="194"/>
      <c r="C2893" s="195"/>
      <c r="D2893" s="196"/>
      <c r="E2893" s="197"/>
      <c r="F2893" s="197"/>
      <c r="G2893" s="195"/>
      <c r="H2893" s="195"/>
      <c r="I2893" s="197"/>
      <c r="J2893" s="121"/>
      <c r="K2893" s="121"/>
      <c r="L2893" s="200"/>
      <c r="M2893" s="204"/>
      <c r="N2893" s="205"/>
      <c r="O2893" s="170"/>
      <c r="P2893" s="198"/>
      <c r="Q2893" s="199"/>
      <c r="R2893" s="200"/>
      <c r="S2893" s="170"/>
      <c r="T2893" s="170"/>
      <c r="U2893" s="201"/>
      <c r="V2893" s="198"/>
      <c r="W2893" s="170"/>
      <c r="X2893" s="202"/>
      <c r="Y2893" s="203"/>
      <c r="Z2893" s="170"/>
      <c r="AA2893" s="198"/>
      <c r="AB2893" s="170"/>
      <c r="AC2893" s="170"/>
      <c r="AD2893" s="121"/>
      <c r="AE2893" s="121"/>
      <c r="AF2893" s="121"/>
      <c r="AG2893" s="22"/>
      <c r="AH2893" s="22"/>
      <c r="AI2893" s="22"/>
      <c r="AJ2893" s="22"/>
      <c r="AK2893" s="22"/>
      <c r="AL2893" s="22"/>
      <c r="AM2893" s="22"/>
      <c r="AN2893" s="22"/>
      <c r="AO2893" s="22"/>
      <c r="AP2893" s="22"/>
    </row>
    <row r="2894">
      <c r="A2894" s="193"/>
      <c r="B2894" s="194"/>
      <c r="C2894" s="195"/>
      <c r="D2894" s="196"/>
      <c r="E2894" s="197"/>
      <c r="F2894" s="197"/>
      <c r="G2894" s="195"/>
      <c r="H2894" s="195"/>
      <c r="I2894" s="197"/>
      <c r="J2894" s="121"/>
      <c r="K2894" s="121"/>
      <c r="L2894" s="200"/>
      <c r="M2894" s="204"/>
      <c r="N2894" s="205"/>
      <c r="O2894" s="170"/>
      <c r="P2894" s="198"/>
      <c r="Q2894" s="199"/>
      <c r="R2894" s="200"/>
      <c r="S2894" s="170"/>
      <c r="T2894" s="170"/>
      <c r="U2894" s="201"/>
      <c r="V2894" s="198"/>
      <c r="W2894" s="170"/>
      <c r="X2894" s="202"/>
      <c r="Y2894" s="203"/>
      <c r="Z2894" s="170"/>
      <c r="AA2894" s="198"/>
      <c r="AB2894" s="170"/>
      <c r="AC2894" s="170"/>
      <c r="AD2894" s="121"/>
      <c r="AE2894" s="121"/>
      <c r="AF2894" s="121"/>
      <c r="AG2894" s="22"/>
      <c r="AH2894" s="22"/>
      <c r="AI2894" s="22"/>
      <c r="AJ2894" s="22"/>
      <c r="AK2894" s="22"/>
      <c r="AL2894" s="22"/>
      <c r="AM2894" s="22"/>
      <c r="AN2894" s="22"/>
      <c r="AO2894" s="22"/>
      <c r="AP2894" s="22"/>
    </row>
    <row r="2895">
      <c r="A2895" s="193"/>
      <c r="B2895" s="194"/>
      <c r="C2895" s="195"/>
      <c r="D2895" s="196"/>
      <c r="E2895" s="197"/>
      <c r="F2895" s="197"/>
      <c r="G2895" s="195"/>
      <c r="H2895" s="195"/>
      <c r="I2895" s="197"/>
      <c r="J2895" s="121"/>
      <c r="K2895" s="121"/>
      <c r="L2895" s="200"/>
      <c r="M2895" s="204"/>
      <c r="N2895" s="205"/>
      <c r="O2895" s="170"/>
      <c r="P2895" s="198"/>
      <c r="Q2895" s="199"/>
      <c r="R2895" s="200"/>
      <c r="S2895" s="170"/>
      <c r="T2895" s="170"/>
      <c r="U2895" s="201"/>
      <c r="V2895" s="198"/>
      <c r="W2895" s="170"/>
      <c r="X2895" s="202"/>
      <c r="Y2895" s="203"/>
      <c r="Z2895" s="170"/>
      <c r="AA2895" s="198"/>
      <c r="AB2895" s="170"/>
      <c r="AC2895" s="170"/>
      <c r="AD2895" s="121"/>
      <c r="AE2895" s="121"/>
      <c r="AF2895" s="121"/>
      <c r="AG2895" s="22"/>
      <c r="AH2895" s="22"/>
      <c r="AI2895" s="22"/>
      <c r="AJ2895" s="22"/>
      <c r="AK2895" s="22"/>
      <c r="AL2895" s="22"/>
      <c r="AM2895" s="22"/>
      <c r="AN2895" s="22"/>
      <c r="AO2895" s="22"/>
      <c r="AP2895" s="22"/>
    </row>
    <row r="2896">
      <c r="A2896" s="193"/>
      <c r="B2896" s="194"/>
      <c r="C2896" s="195"/>
      <c r="D2896" s="196"/>
      <c r="E2896" s="197"/>
      <c r="F2896" s="197"/>
      <c r="G2896" s="195"/>
      <c r="H2896" s="195"/>
      <c r="I2896" s="197"/>
      <c r="J2896" s="121"/>
      <c r="K2896" s="121"/>
      <c r="L2896" s="200"/>
      <c r="M2896" s="204"/>
      <c r="N2896" s="205"/>
      <c r="O2896" s="170"/>
      <c r="P2896" s="198"/>
      <c r="Q2896" s="199"/>
      <c r="R2896" s="200"/>
      <c r="S2896" s="170"/>
      <c r="T2896" s="170"/>
      <c r="U2896" s="201"/>
      <c r="V2896" s="198"/>
      <c r="W2896" s="170"/>
      <c r="X2896" s="202"/>
      <c r="Y2896" s="203"/>
      <c r="Z2896" s="170"/>
      <c r="AA2896" s="198"/>
      <c r="AB2896" s="170"/>
      <c r="AC2896" s="170"/>
      <c r="AD2896" s="121"/>
      <c r="AE2896" s="121"/>
      <c r="AF2896" s="121"/>
      <c r="AG2896" s="22"/>
      <c r="AH2896" s="22"/>
      <c r="AI2896" s="22"/>
      <c r="AJ2896" s="22"/>
      <c r="AK2896" s="22"/>
      <c r="AL2896" s="22"/>
      <c r="AM2896" s="22"/>
      <c r="AN2896" s="22"/>
      <c r="AO2896" s="22"/>
      <c r="AP2896" s="22"/>
    </row>
    <row r="2897">
      <c r="A2897" s="193"/>
      <c r="B2897" s="194"/>
      <c r="C2897" s="195"/>
      <c r="D2897" s="196"/>
      <c r="E2897" s="197"/>
      <c r="F2897" s="197"/>
      <c r="G2897" s="195"/>
      <c r="H2897" s="195"/>
      <c r="I2897" s="197"/>
      <c r="J2897" s="121"/>
      <c r="K2897" s="121"/>
      <c r="L2897" s="200"/>
      <c r="M2897" s="204"/>
      <c r="N2897" s="205"/>
      <c r="O2897" s="170"/>
      <c r="P2897" s="198"/>
      <c r="Q2897" s="199"/>
      <c r="R2897" s="200"/>
      <c r="S2897" s="170"/>
      <c r="T2897" s="170"/>
      <c r="U2897" s="201"/>
      <c r="V2897" s="198"/>
      <c r="W2897" s="170"/>
      <c r="X2897" s="202"/>
      <c r="Y2897" s="203"/>
      <c r="Z2897" s="170"/>
      <c r="AA2897" s="198"/>
      <c r="AB2897" s="170"/>
      <c r="AC2897" s="170"/>
      <c r="AD2897" s="121"/>
      <c r="AE2897" s="121"/>
      <c r="AF2897" s="121"/>
      <c r="AG2897" s="22"/>
      <c r="AH2897" s="22"/>
      <c r="AI2897" s="22"/>
      <c r="AJ2897" s="22"/>
      <c r="AK2897" s="22"/>
      <c r="AL2897" s="22"/>
      <c r="AM2897" s="22"/>
      <c r="AN2897" s="22"/>
      <c r="AO2897" s="22"/>
      <c r="AP2897" s="22"/>
    </row>
    <row r="2898">
      <c r="A2898" s="193"/>
      <c r="B2898" s="194"/>
      <c r="C2898" s="195"/>
      <c r="D2898" s="196"/>
      <c r="E2898" s="197"/>
      <c r="F2898" s="197"/>
      <c r="G2898" s="195"/>
      <c r="H2898" s="195"/>
      <c r="I2898" s="197"/>
      <c r="J2898" s="121"/>
      <c r="K2898" s="121"/>
      <c r="L2898" s="200"/>
      <c r="M2898" s="204"/>
      <c r="N2898" s="205"/>
      <c r="O2898" s="170"/>
      <c r="P2898" s="198"/>
      <c r="Q2898" s="199"/>
      <c r="R2898" s="200"/>
      <c r="S2898" s="170"/>
      <c r="T2898" s="170"/>
      <c r="U2898" s="201"/>
      <c r="V2898" s="198"/>
      <c r="W2898" s="170"/>
      <c r="X2898" s="202"/>
      <c r="Y2898" s="203"/>
      <c r="Z2898" s="170"/>
      <c r="AA2898" s="198"/>
      <c r="AB2898" s="170"/>
      <c r="AC2898" s="170"/>
      <c r="AD2898" s="121"/>
      <c r="AE2898" s="121"/>
      <c r="AF2898" s="121"/>
      <c r="AG2898" s="22"/>
      <c r="AH2898" s="22"/>
      <c r="AI2898" s="22"/>
      <c r="AJ2898" s="22"/>
      <c r="AK2898" s="22"/>
      <c r="AL2898" s="22"/>
      <c r="AM2898" s="22"/>
      <c r="AN2898" s="22"/>
      <c r="AO2898" s="22"/>
      <c r="AP2898" s="22"/>
    </row>
    <row r="2899">
      <c r="A2899" s="193"/>
      <c r="B2899" s="194"/>
      <c r="C2899" s="195"/>
      <c r="D2899" s="196"/>
      <c r="E2899" s="197"/>
      <c r="F2899" s="197"/>
      <c r="G2899" s="195"/>
      <c r="H2899" s="195"/>
      <c r="I2899" s="197"/>
      <c r="J2899" s="121"/>
      <c r="K2899" s="121"/>
      <c r="L2899" s="200"/>
      <c r="M2899" s="204"/>
      <c r="N2899" s="205"/>
      <c r="O2899" s="170"/>
      <c r="P2899" s="198"/>
      <c r="Q2899" s="199"/>
      <c r="R2899" s="200"/>
      <c r="S2899" s="170"/>
      <c r="T2899" s="170"/>
      <c r="U2899" s="201"/>
      <c r="V2899" s="198"/>
      <c r="W2899" s="170"/>
      <c r="X2899" s="202"/>
      <c r="Y2899" s="203"/>
      <c r="Z2899" s="170"/>
      <c r="AA2899" s="198"/>
      <c r="AB2899" s="170"/>
      <c r="AC2899" s="170"/>
      <c r="AD2899" s="121"/>
      <c r="AE2899" s="121"/>
      <c r="AF2899" s="121"/>
      <c r="AG2899" s="22"/>
      <c r="AH2899" s="22"/>
      <c r="AI2899" s="22"/>
      <c r="AJ2899" s="22"/>
      <c r="AK2899" s="22"/>
      <c r="AL2899" s="22"/>
      <c r="AM2899" s="22"/>
      <c r="AN2899" s="22"/>
      <c r="AO2899" s="22"/>
      <c r="AP2899" s="22"/>
    </row>
    <row r="2900">
      <c r="A2900" s="193"/>
      <c r="B2900" s="194"/>
      <c r="C2900" s="195"/>
      <c r="D2900" s="196"/>
      <c r="E2900" s="197"/>
      <c r="F2900" s="197"/>
      <c r="G2900" s="195"/>
      <c r="H2900" s="195"/>
      <c r="I2900" s="197"/>
      <c r="J2900" s="121"/>
      <c r="K2900" s="121"/>
      <c r="L2900" s="200"/>
      <c r="M2900" s="204"/>
      <c r="N2900" s="205"/>
      <c r="O2900" s="170"/>
      <c r="P2900" s="198"/>
      <c r="Q2900" s="199"/>
      <c r="R2900" s="200"/>
      <c r="S2900" s="170"/>
      <c r="T2900" s="170"/>
      <c r="U2900" s="201"/>
      <c r="V2900" s="198"/>
      <c r="W2900" s="170"/>
      <c r="X2900" s="202"/>
      <c r="Y2900" s="203"/>
      <c r="Z2900" s="170"/>
      <c r="AA2900" s="198"/>
      <c r="AB2900" s="170"/>
      <c r="AC2900" s="170"/>
      <c r="AD2900" s="121"/>
      <c r="AE2900" s="121"/>
      <c r="AF2900" s="121"/>
      <c r="AG2900" s="22"/>
      <c r="AH2900" s="22"/>
      <c r="AI2900" s="22"/>
      <c r="AJ2900" s="22"/>
      <c r="AK2900" s="22"/>
      <c r="AL2900" s="22"/>
      <c r="AM2900" s="22"/>
      <c r="AN2900" s="22"/>
      <c r="AO2900" s="22"/>
      <c r="AP2900" s="22"/>
    </row>
    <row r="2901">
      <c r="A2901" s="193"/>
      <c r="B2901" s="194"/>
      <c r="C2901" s="195"/>
      <c r="D2901" s="196"/>
      <c r="E2901" s="197"/>
      <c r="F2901" s="197"/>
      <c r="G2901" s="195"/>
      <c r="H2901" s="195"/>
      <c r="I2901" s="197"/>
      <c r="J2901" s="121"/>
      <c r="K2901" s="121"/>
      <c r="L2901" s="200"/>
      <c r="M2901" s="204"/>
      <c r="N2901" s="205"/>
      <c r="O2901" s="170"/>
      <c r="P2901" s="198"/>
      <c r="Q2901" s="199"/>
      <c r="R2901" s="200"/>
      <c r="S2901" s="170"/>
      <c r="T2901" s="170"/>
      <c r="U2901" s="201"/>
      <c r="V2901" s="198"/>
      <c r="W2901" s="170"/>
      <c r="X2901" s="202"/>
      <c r="Y2901" s="203"/>
      <c r="Z2901" s="170"/>
      <c r="AA2901" s="198"/>
      <c r="AB2901" s="170"/>
      <c r="AC2901" s="170"/>
      <c r="AD2901" s="121"/>
      <c r="AE2901" s="121"/>
      <c r="AF2901" s="121"/>
      <c r="AG2901" s="22"/>
      <c r="AH2901" s="22"/>
      <c r="AI2901" s="22"/>
      <c r="AJ2901" s="22"/>
      <c r="AK2901" s="22"/>
      <c r="AL2901" s="22"/>
      <c r="AM2901" s="22"/>
      <c r="AN2901" s="22"/>
      <c r="AO2901" s="22"/>
      <c r="AP2901" s="22"/>
    </row>
    <row r="2902">
      <c r="A2902" s="193"/>
      <c r="B2902" s="194"/>
      <c r="C2902" s="195"/>
      <c r="D2902" s="196"/>
      <c r="E2902" s="197"/>
      <c r="F2902" s="197"/>
      <c r="G2902" s="195"/>
      <c r="H2902" s="195"/>
      <c r="I2902" s="197"/>
      <c r="J2902" s="121"/>
      <c r="K2902" s="121"/>
      <c r="L2902" s="200"/>
      <c r="M2902" s="204"/>
      <c r="N2902" s="205"/>
      <c r="O2902" s="170"/>
      <c r="P2902" s="198"/>
      <c r="Q2902" s="199"/>
      <c r="R2902" s="200"/>
      <c r="S2902" s="170"/>
      <c r="T2902" s="170"/>
      <c r="U2902" s="201"/>
      <c r="V2902" s="198"/>
      <c r="W2902" s="170"/>
      <c r="X2902" s="202"/>
      <c r="Y2902" s="203"/>
      <c r="Z2902" s="170"/>
      <c r="AA2902" s="198"/>
      <c r="AB2902" s="170"/>
      <c r="AC2902" s="170"/>
      <c r="AD2902" s="121"/>
      <c r="AE2902" s="121"/>
      <c r="AF2902" s="121"/>
      <c r="AG2902" s="22"/>
      <c r="AH2902" s="22"/>
      <c r="AI2902" s="22"/>
      <c r="AJ2902" s="22"/>
      <c r="AK2902" s="22"/>
      <c r="AL2902" s="22"/>
      <c r="AM2902" s="22"/>
      <c r="AN2902" s="22"/>
      <c r="AO2902" s="22"/>
      <c r="AP2902" s="22"/>
    </row>
    <row r="2903">
      <c r="A2903" s="193"/>
      <c r="B2903" s="194"/>
      <c r="C2903" s="195"/>
      <c r="D2903" s="196"/>
      <c r="E2903" s="197"/>
      <c r="F2903" s="197"/>
      <c r="G2903" s="195"/>
      <c r="H2903" s="195"/>
      <c r="I2903" s="197"/>
      <c r="J2903" s="121"/>
      <c r="K2903" s="121"/>
      <c r="L2903" s="200"/>
      <c r="M2903" s="204"/>
      <c r="N2903" s="205"/>
      <c r="O2903" s="170"/>
      <c r="P2903" s="198"/>
      <c r="Q2903" s="199"/>
      <c r="R2903" s="200"/>
      <c r="S2903" s="170"/>
      <c r="T2903" s="170"/>
      <c r="U2903" s="201"/>
      <c r="V2903" s="198"/>
      <c r="W2903" s="170"/>
      <c r="X2903" s="202"/>
      <c r="Y2903" s="203"/>
      <c r="Z2903" s="170"/>
      <c r="AA2903" s="198"/>
      <c r="AB2903" s="170"/>
      <c r="AC2903" s="170"/>
      <c r="AD2903" s="121"/>
      <c r="AE2903" s="121"/>
      <c r="AF2903" s="121"/>
      <c r="AG2903" s="22"/>
      <c r="AH2903" s="22"/>
      <c r="AI2903" s="22"/>
      <c r="AJ2903" s="22"/>
      <c r="AK2903" s="22"/>
      <c r="AL2903" s="22"/>
      <c r="AM2903" s="22"/>
      <c r="AN2903" s="22"/>
      <c r="AO2903" s="22"/>
      <c r="AP2903" s="22"/>
    </row>
    <row r="2904">
      <c r="A2904" s="193"/>
      <c r="B2904" s="194"/>
      <c r="C2904" s="195"/>
      <c r="D2904" s="196"/>
      <c r="E2904" s="197"/>
      <c r="F2904" s="197"/>
      <c r="G2904" s="195"/>
      <c r="H2904" s="195"/>
      <c r="I2904" s="197"/>
      <c r="J2904" s="121"/>
      <c r="K2904" s="121"/>
      <c r="L2904" s="200"/>
      <c r="M2904" s="204"/>
      <c r="N2904" s="205"/>
      <c r="O2904" s="170"/>
      <c r="P2904" s="198"/>
      <c r="Q2904" s="199"/>
      <c r="R2904" s="200"/>
      <c r="S2904" s="170"/>
      <c r="T2904" s="170"/>
      <c r="U2904" s="201"/>
      <c r="V2904" s="198"/>
      <c r="W2904" s="170"/>
      <c r="X2904" s="202"/>
      <c r="Y2904" s="203"/>
      <c r="Z2904" s="170"/>
      <c r="AA2904" s="198"/>
      <c r="AB2904" s="170"/>
      <c r="AC2904" s="170"/>
      <c r="AD2904" s="121"/>
      <c r="AE2904" s="121"/>
      <c r="AF2904" s="121"/>
      <c r="AG2904" s="22"/>
      <c r="AH2904" s="22"/>
      <c r="AI2904" s="22"/>
      <c r="AJ2904" s="22"/>
      <c r="AK2904" s="22"/>
      <c r="AL2904" s="22"/>
      <c r="AM2904" s="22"/>
      <c r="AN2904" s="22"/>
      <c r="AO2904" s="22"/>
      <c r="AP2904" s="22"/>
    </row>
    <row r="2905">
      <c r="A2905" s="193"/>
      <c r="B2905" s="194"/>
      <c r="C2905" s="195"/>
      <c r="D2905" s="196"/>
      <c r="E2905" s="197"/>
      <c r="F2905" s="197"/>
      <c r="G2905" s="195"/>
      <c r="H2905" s="195"/>
      <c r="I2905" s="197"/>
      <c r="J2905" s="121"/>
      <c r="K2905" s="121"/>
      <c r="L2905" s="200"/>
      <c r="M2905" s="204"/>
      <c r="N2905" s="205"/>
      <c r="O2905" s="170"/>
      <c r="P2905" s="198"/>
      <c r="Q2905" s="199"/>
      <c r="R2905" s="200"/>
      <c r="S2905" s="170"/>
      <c r="T2905" s="170"/>
      <c r="U2905" s="201"/>
      <c r="V2905" s="198"/>
      <c r="W2905" s="170"/>
      <c r="X2905" s="202"/>
      <c r="Y2905" s="203"/>
      <c r="Z2905" s="170"/>
      <c r="AA2905" s="198"/>
      <c r="AB2905" s="170"/>
      <c r="AC2905" s="170"/>
      <c r="AD2905" s="121"/>
      <c r="AE2905" s="121"/>
      <c r="AF2905" s="121"/>
      <c r="AG2905" s="22"/>
      <c r="AH2905" s="22"/>
      <c r="AI2905" s="22"/>
      <c r="AJ2905" s="22"/>
      <c r="AK2905" s="22"/>
      <c r="AL2905" s="22"/>
      <c r="AM2905" s="22"/>
      <c r="AN2905" s="22"/>
      <c r="AO2905" s="22"/>
      <c r="AP2905" s="22"/>
    </row>
    <row r="2906">
      <c r="A2906" s="193"/>
      <c r="B2906" s="194"/>
      <c r="C2906" s="195"/>
      <c r="D2906" s="196"/>
      <c r="E2906" s="197"/>
      <c r="F2906" s="197"/>
      <c r="G2906" s="195"/>
      <c r="H2906" s="195"/>
      <c r="I2906" s="197"/>
      <c r="J2906" s="121"/>
      <c r="K2906" s="121"/>
      <c r="L2906" s="200"/>
      <c r="M2906" s="204"/>
      <c r="N2906" s="205"/>
      <c r="O2906" s="170"/>
      <c r="P2906" s="198"/>
      <c r="Q2906" s="199"/>
      <c r="R2906" s="200"/>
      <c r="S2906" s="170"/>
      <c r="T2906" s="170"/>
      <c r="U2906" s="201"/>
      <c r="V2906" s="198"/>
      <c r="W2906" s="170"/>
      <c r="X2906" s="202"/>
      <c r="Y2906" s="203"/>
      <c r="Z2906" s="170"/>
      <c r="AA2906" s="198"/>
      <c r="AB2906" s="170"/>
      <c r="AC2906" s="170"/>
      <c r="AD2906" s="121"/>
      <c r="AE2906" s="121"/>
      <c r="AF2906" s="121"/>
      <c r="AG2906" s="22"/>
      <c r="AH2906" s="22"/>
      <c r="AI2906" s="22"/>
      <c r="AJ2906" s="22"/>
      <c r="AK2906" s="22"/>
      <c r="AL2906" s="22"/>
      <c r="AM2906" s="22"/>
      <c r="AN2906" s="22"/>
      <c r="AO2906" s="22"/>
      <c r="AP2906" s="22"/>
    </row>
    <row r="2907">
      <c r="A2907" s="193"/>
      <c r="B2907" s="194"/>
      <c r="C2907" s="195"/>
      <c r="D2907" s="196"/>
      <c r="E2907" s="197"/>
      <c r="F2907" s="197"/>
      <c r="G2907" s="195"/>
      <c r="H2907" s="195"/>
      <c r="I2907" s="197"/>
      <c r="J2907" s="121"/>
      <c r="K2907" s="121"/>
      <c r="L2907" s="200"/>
      <c r="M2907" s="204"/>
      <c r="N2907" s="205"/>
      <c r="O2907" s="170"/>
      <c r="P2907" s="198"/>
      <c r="Q2907" s="199"/>
      <c r="R2907" s="200"/>
      <c r="S2907" s="170"/>
      <c r="T2907" s="170"/>
      <c r="U2907" s="201"/>
      <c r="V2907" s="198"/>
      <c r="W2907" s="170"/>
      <c r="X2907" s="202"/>
      <c r="Y2907" s="203"/>
      <c r="Z2907" s="170"/>
      <c r="AA2907" s="198"/>
      <c r="AB2907" s="170"/>
      <c r="AC2907" s="170"/>
      <c r="AD2907" s="121"/>
      <c r="AE2907" s="121"/>
      <c r="AF2907" s="121"/>
      <c r="AG2907" s="22"/>
      <c r="AH2907" s="22"/>
      <c r="AI2907" s="22"/>
      <c r="AJ2907" s="22"/>
      <c r="AK2907" s="22"/>
      <c r="AL2907" s="22"/>
      <c r="AM2907" s="22"/>
      <c r="AN2907" s="22"/>
      <c r="AO2907" s="22"/>
      <c r="AP2907" s="22"/>
    </row>
    <row r="2908">
      <c r="A2908" s="193"/>
      <c r="B2908" s="194"/>
      <c r="C2908" s="195"/>
      <c r="D2908" s="196"/>
      <c r="E2908" s="197"/>
      <c r="F2908" s="197"/>
      <c r="G2908" s="195"/>
      <c r="H2908" s="195"/>
      <c r="I2908" s="197"/>
      <c r="J2908" s="121"/>
      <c r="K2908" s="121"/>
      <c r="L2908" s="200"/>
      <c r="M2908" s="204"/>
      <c r="N2908" s="205"/>
      <c r="O2908" s="170"/>
      <c r="P2908" s="198"/>
      <c r="Q2908" s="199"/>
      <c r="R2908" s="200"/>
      <c r="S2908" s="170"/>
      <c r="T2908" s="170"/>
      <c r="U2908" s="201"/>
      <c r="V2908" s="198"/>
      <c r="W2908" s="170"/>
      <c r="X2908" s="202"/>
      <c r="Y2908" s="203"/>
      <c r="Z2908" s="170"/>
      <c r="AA2908" s="198"/>
      <c r="AB2908" s="170"/>
      <c r="AC2908" s="170"/>
      <c r="AD2908" s="121"/>
      <c r="AE2908" s="121"/>
      <c r="AF2908" s="121"/>
      <c r="AG2908" s="22"/>
      <c r="AH2908" s="22"/>
      <c r="AI2908" s="22"/>
      <c r="AJ2908" s="22"/>
      <c r="AK2908" s="22"/>
      <c r="AL2908" s="22"/>
      <c r="AM2908" s="22"/>
      <c r="AN2908" s="22"/>
      <c r="AO2908" s="22"/>
      <c r="AP2908" s="22"/>
    </row>
    <row r="2909">
      <c r="A2909" s="193"/>
      <c r="B2909" s="194"/>
      <c r="C2909" s="195"/>
      <c r="D2909" s="196"/>
      <c r="E2909" s="197"/>
      <c r="F2909" s="197"/>
      <c r="G2909" s="195"/>
      <c r="H2909" s="195"/>
      <c r="I2909" s="197"/>
      <c r="J2909" s="121"/>
      <c r="K2909" s="121"/>
      <c r="L2909" s="200"/>
      <c r="M2909" s="204"/>
      <c r="N2909" s="205"/>
      <c r="O2909" s="170"/>
      <c r="P2909" s="198"/>
      <c r="Q2909" s="199"/>
      <c r="R2909" s="200"/>
      <c r="S2909" s="170"/>
      <c r="T2909" s="170"/>
      <c r="U2909" s="201"/>
      <c r="V2909" s="198"/>
      <c r="W2909" s="170"/>
      <c r="X2909" s="202"/>
      <c r="Y2909" s="203"/>
      <c r="Z2909" s="170"/>
      <c r="AA2909" s="198"/>
      <c r="AB2909" s="170"/>
      <c r="AC2909" s="170"/>
      <c r="AD2909" s="121"/>
      <c r="AE2909" s="121"/>
      <c r="AF2909" s="121"/>
      <c r="AG2909" s="22"/>
      <c r="AH2909" s="22"/>
      <c r="AI2909" s="22"/>
      <c r="AJ2909" s="22"/>
      <c r="AK2909" s="22"/>
      <c r="AL2909" s="22"/>
      <c r="AM2909" s="22"/>
      <c r="AN2909" s="22"/>
      <c r="AO2909" s="22"/>
      <c r="AP2909" s="22"/>
    </row>
    <row r="2910">
      <c r="A2910" s="193"/>
      <c r="B2910" s="194"/>
      <c r="C2910" s="195"/>
      <c r="D2910" s="196"/>
      <c r="E2910" s="197"/>
      <c r="F2910" s="197"/>
      <c r="G2910" s="195"/>
      <c r="H2910" s="195"/>
      <c r="I2910" s="197"/>
      <c r="J2910" s="121"/>
      <c r="K2910" s="121"/>
      <c r="L2910" s="200"/>
      <c r="M2910" s="204"/>
      <c r="N2910" s="205"/>
      <c r="O2910" s="170"/>
      <c r="P2910" s="198"/>
      <c r="Q2910" s="199"/>
      <c r="R2910" s="200"/>
      <c r="S2910" s="170"/>
      <c r="T2910" s="170"/>
      <c r="U2910" s="201"/>
      <c r="V2910" s="198"/>
      <c r="W2910" s="170"/>
      <c r="X2910" s="202"/>
      <c r="Y2910" s="203"/>
      <c r="Z2910" s="170"/>
      <c r="AA2910" s="198"/>
      <c r="AB2910" s="170"/>
      <c r="AC2910" s="170"/>
      <c r="AD2910" s="121"/>
      <c r="AE2910" s="121"/>
      <c r="AF2910" s="121"/>
      <c r="AG2910" s="22"/>
      <c r="AH2910" s="22"/>
      <c r="AI2910" s="22"/>
      <c r="AJ2910" s="22"/>
      <c r="AK2910" s="22"/>
      <c r="AL2910" s="22"/>
      <c r="AM2910" s="22"/>
      <c r="AN2910" s="22"/>
      <c r="AO2910" s="22"/>
      <c r="AP2910" s="22"/>
    </row>
    <row r="2911">
      <c r="A2911" s="193"/>
      <c r="B2911" s="194"/>
      <c r="C2911" s="195"/>
      <c r="D2911" s="196"/>
      <c r="E2911" s="197"/>
      <c r="F2911" s="197"/>
      <c r="G2911" s="195"/>
      <c r="H2911" s="195"/>
      <c r="I2911" s="197"/>
      <c r="J2911" s="121"/>
      <c r="K2911" s="121"/>
      <c r="L2911" s="200"/>
      <c r="M2911" s="204"/>
      <c r="N2911" s="205"/>
      <c r="O2911" s="170"/>
      <c r="P2911" s="198"/>
      <c r="Q2911" s="199"/>
      <c r="R2911" s="200"/>
      <c r="S2911" s="170"/>
      <c r="T2911" s="170"/>
      <c r="U2911" s="201"/>
      <c r="V2911" s="198"/>
      <c r="W2911" s="170"/>
      <c r="X2911" s="202"/>
      <c r="Y2911" s="203"/>
      <c r="Z2911" s="170"/>
      <c r="AA2911" s="198"/>
      <c r="AB2911" s="170"/>
      <c r="AC2911" s="170"/>
      <c r="AD2911" s="121"/>
      <c r="AE2911" s="121"/>
      <c r="AF2911" s="121"/>
      <c r="AG2911" s="22"/>
      <c r="AH2911" s="22"/>
      <c r="AI2911" s="22"/>
      <c r="AJ2911" s="22"/>
      <c r="AK2911" s="22"/>
      <c r="AL2911" s="22"/>
      <c r="AM2911" s="22"/>
      <c r="AN2911" s="22"/>
      <c r="AO2911" s="22"/>
      <c r="AP2911" s="22"/>
    </row>
    <row r="2912">
      <c r="A2912" s="193"/>
      <c r="B2912" s="194"/>
      <c r="C2912" s="195"/>
      <c r="D2912" s="196"/>
      <c r="E2912" s="197"/>
      <c r="F2912" s="197"/>
      <c r="G2912" s="195"/>
      <c r="H2912" s="195"/>
      <c r="I2912" s="197"/>
      <c r="J2912" s="121"/>
      <c r="K2912" s="121"/>
      <c r="L2912" s="200"/>
      <c r="M2912" s="204"/>
      <c r="N2912" s="205"/>
      <c r="O2912" s="170"/>
      <c r="P2912" s="198"/>
      <c r="Q2912" s="199"/>
      <c r="R2912" s="200"/>
      <c r="S2912" s="170"/>
      <c r="T2912" s="170"/>
      <c r="U2912" s="201"/>
      <c r="V2912" s="198"/>
      <c r="W2912" s="170"/>
      <c r="X2912" s="202"/>
      <c r="Y2912" s="203"/>
      <c r="Z2912" s="170"/>
      <c r="AA2912" s="198"/>
      <c r="AB2912" s="170"/>
      <c r="AC2912" s="170"/>
      <c r="AD2912" s="121"/>
      <c r="AE2912" s="121"/>
      <c r="AF2912" s="121"/>
      <c r="AG2912" s="22"/>
      <c r="AH2912" s="22"/>
      <c r="AI2912" s="22"/>
      <c r="AJ2912" s="22"/>
      <c r="AK2912" s="22"/>
      <c r="AL2912" s="22"/>
      <c r="AM2912" s="22"/>
      <c r="AN2912" s="22"/>
      <c r="AO2912" s="22"/>
      <c r="AP2912" s="22"/>
    </row>
    <row r="2913">
      <c r="A2913" s="193"/>
      <c r="B2913" s="194"/>
      <c r="C2913" s="195"/>
      <c r="D2913" s="196"/>
      <c r="E2913" s="197"/>
      <c r="F2913" s="197"/>
      <c r="G2913" s="195"/>
      <c r="H2913" s="195"/>
      <c r="I2913" s="197"/>
      <c r="J2913" s="121"/>
      <c r="K2913" s="121"/>
      <c r="L2913" s="200"/>
      <c r="M2913" s="204"/>
      <c r="N2913" s="205"/>
      <c r="O2913" s="170"/>
      <c r="P2913" s="198"/>
      <c r="Q2913" s="199"/>
      <c r="R2913" s="200"/>
      <c r="S2913" s="170"/>
      <c r="T2913" s="170"/>
      <c r="U2913" s="201"/>
      <c r="V2913" s="198"/>
      <c r="W2913" s="170"/>
      <c r="X2913" s="202"/>
      <c r="Y2913" s="203"/>
      <c r="Z2913" s="170"/>
      <c r="AA2913" s="198"/>
      <c r="AB2913" s="170"/>
      <c r="AC2913" s="170"/>
      <c r="AD2913" s="121"/>
      <c r="AE2913" s="121"/>
      <c r="AF2913" s="121"/>
      <c r="AG2913" s="22"/>
      <c r="AH2913" s="22"/>
      <c r="AI2913" s="22"/>
      <c r="AJ2913" s="22"/>
      <c r="AK2913" s="22"/>
      <c r="AL2913" s="22"/>
      <c r="AM2913" s="22"/>
      <c r="AN2913" s="22"/>
      <c r="AO2913" s="22"/>
      <c r="AP2913" s="22"/>
    </row>
    <row r="2914">
      <c r="A2914" s="193"/>
      <c r="B2914" s="194"/>
      <c r="C2914" s="195"/>
      <c r="D2914" s="196"/>
      <c r="E2914" s="197"/>
      <c r="F2914" s="197"/>
      <c r="G2914" s="195"/>
      <c r="H2914" s="195"/>
      <c r="I2914" s="197"/>
      <c r="J2914" s="121"/>
      <c r="K2914" s="121"/>
      <c r="L2914" s="200"/>
      <c r="M2914" s="204"/>
      <c r="N2914" s="205"/>
      <c r="O2914" s="170"/>
      <c r="P2914" s="198"/>
      <c r="Q2914" s="199"/>
      <c r="R2914" s="200"/>
      <c r="S2914" s="170"/>
      <c r="T2914" s="170"/>
      <c r="U2914" s="201"/>
      <c r="V2914" s="198"/>
      <c r="W2914" s="170"/>
      <c r="X2914" s="202"/>
      <c r="Y2914" s="203"/>
      <c r="Z2914" s="170"/>
      <c r="AA2914" s="198"/>
      <c r="AB2914" s="170"/>
      <c r="AC2914" s="170"/>
      <c r="AD2914" s="121"/>
      <c r="AE2914" s="121"/>
      <c r="AF2914" s="121"/>
      <c r="AG2914" s="22"/>
      <c r="AH2914" s="22"/>
      <c r="AI2914" s="22"/>
      <c r="AJ2914" s="22"/>
      <c r="AK2914" s="22"/>
      <c r="AL2914" s="22"/>
      <c r="AM2914" s="22"/>
      <c r="AN2914" s="22"/>
      <c r="AO2914" s="22"/>
      <c r="AP2914" s="22"/>
    </row>
    <row r="2915">
      <c r="A2915" s="193"/>
      <c r="B2915" s="194"/>
      <c r="C2915" s="195"/>
      <c r="D2915" s="196"/>
      <c r="E2915" s="197"/>
      <c r="F2915" s="197"/>
      <c r="G2915" s="195"/>
      <c r="H2915" s="195"/>
      <c r="I2915" s="197"/>
      <c r="J2915" s="121"/>
      <c r="K2915" s="121"/>
      <c r="L2915" s="200"/>
      <c r="M2915" s="204"/>
      <c r="N2915" s="205"/>
      <c r="O2915" s="170"/>
      <c r="P2915" s="198"/>
      <c r="Q2915" s="199"/>
      <c r="R2915" s="200"/>
      <c r="S2915" s="170"/>
      <c r="T2915" s="170"/>
      <c r="U2915" s="201"/>
      <c r="V2915" s="198"/>
      <c r="W2915" s="170"/>
      <c r="X2915" s="202"/>
      <c r="Y2915" s="203"/>
      <c r="Z2915" s="170"/>
      <c r="AA2915" s="198"/>
      <c r="AB2915" s="170"/>
      <c r="AC2915" s="170"/>
      <c r="AD2915" s="121"/>
      <c r="AE2915" s="121"/>
      <c r="AF2915" s="121"/>
      <c r="AG2915" s="22"/>
      <c r="AH2915" s="22"/>
      <c r="AI2915" s="22"/>
      <c r="AJ2915" s="22"/>
      <c r="AK2915" s="22"/>
      <c r="AL2915" s="22"/>
      <c r="AM2915" s="22"/>
      <c r="AN2915" s="22"/>
      <c r="AO2915" s="22"/>
      <c r="AP2915" s="22"/>
    </row>
    <row r="2916">
      <c r="A2916" s="193"/>
      <c r="B2916" s="194"/>
      <c r="C2916" s="195"/>
      <c r="D2916" s="196"/>
      <c r="E2916" s="197"/>
      <c r="F2916" s="197"/>
      <c r="G2916" s="195"/>
      <c r="H2916" s="195"/>
      <c r="I2916" s="197"/>
      <c r="J2916" s="121"/>
      <c r="K2916" s="121"/>
      <c r="L2916" s="200"/>
      <c r="M2916" s="204"/>
      <c r="N2916" s="205"/>
      <c r="O2916" s="170"/>
      <c r="P2916" s="198"/>
      <c r="Q2916" s="199"/>
      <c r="R2916" s="200"/>
      <c r="S2916" s="170"/>
      <c r="T2916" s="170"/>
      <c r="U2916" s="201"/>
      <c r="V2916" s="198"/>
      <c r="W2916" s="170"/>
      <c r="X2916" s="202"/>
      <c r="Y2916" s="203"/>
      <c r="Z2916" s="170"/>
      <c r="AA2916" s="198"/>
      <c r="AB2916" s="170"/>
      <c r="AC2916" s="170"/>
      <c r="AD2916" s="121"/>
      <c r="AE2916" s="121"/>
      <c r="AF2916" s="121"/>
      <c r="AG2916" s="22"/>
      <c r="AH2916" s="22"/>
      <c r="AI2916" s="22"/>
      <c r="AJ2916" s="22"/>
      <c r="AK2916" s="22"/>
      <c r="AL2916" s="22"/>
      <c r="AM2916" s="22"/>
      <c r="AN2916" s="22"/>
      <c r="AO2916" s="22"/>
      <c r="AP2916" s="22"/>
    </row>
    <row r="2917">
      <c r="A2917" s="193"/>
      <c r="B2917" s="194"/>
      <c r="C2917" s="195"/>
      <c r="D2917" s="196"/>
      <c r="E2917" s="197"/>
      <c r="F2917" s="197"/>
      <c r="G2917" s="195"/>
      <c r="H2917" s="195"/>
      <c r="I2917" s="197"/>
      <c r="J2917" s="121"/>
      <c r="K2917" s="121"/>
      <c r="L2917" s="200"/>
      <c r="M2917" s="204"/>
      <c r="N2917" s="205"/>
      <c r="O2917" s="170"/>
      <c r="P2917" s="198"/>
      <c r="Q2917" s="199"/>
      <c r="R2917" s="200"/>
      <c r="S2917" s="170"/>
      <c r="T2917" s="170"/>
      <c r="U2917" s="201"/>
      <c r="V2917" s="198"/>
      <c r="W2917" s="170"/>
      <c r="X2917" s="202"/>
      <c r="Y2917" s="203"/>
      <c r="Z2917" s="170"/>
      <c r="AA2917" s="198"/>
      <c r="AB2917" s="170"/>
      <c r="AC2917" s="170"/>
      <c r="AD2917" s="121"/>
      <c r="AE2917" s="121"/>
      <c r="AF2917" s="121"/>
      <c r="AG2917" s="22"/>
      <c r="AH2917" s="22"/>
      <c r="AI2917" s="22"/>
      <c r="AJ2917" s="22"/>
      <c r="AK2917" s="22"/>
      <c r="AL2917" s="22"/>
      <c r="AM2917" s="22"/>
      <c r="AN2917" s="22"/>
      <c r="AO2917" s="22"/>
      <c r="AP2917" s="22"/>
    </row>
    <row r="2918">
      <c r="A2918" s="193"/>
      <c r="B2918" s="194"/>
      <c r="C2918" s="195"/>
      <c r="D2918" s="196"/>
      <c r="E2918" s="197"/>
      <c r="F2918" s="197"/>
      <c r="G2918" s="195"/>
      <c r="H2918" s="195"/>
      <c r="I2918" s="197"/>
      <c r="J2918" s="121"/>
      <c r="K2918" s="121"/>
      <c r="L2918" s="200"/>
      <c r="M2918" s="204"/>
      <c r="N2918" s="205"/>
      <c r="O2918" s="170"/>
      <c r="P2918" s="198"/>
      <c r="Q2918" s="199"/>
      <c r="R2918" s="200"/>
      <c r="S2918" s="170"/>
      <c r="T2918" s="170"/>
      <c r="U2918" s="201"/>
      <c r="V2918" s="198"/>
      <c r="W2918" s="170"/>
      <c r="X2918" s="202"/>
      <c r="Y2918" s="203"/>
      <c r="Z2918" s="170"/>
      <c r="AA2918" s="198"/>
      <c r="AB2918" s="170"/>
      <c r="AC2918" s="170"/>
      <c r="AD2918" s="121"/>
      <c r="AE2918" s="121"/>
      <c r="AF2918" s="121"/>
      <c r="AG2918" s="22"/>
      <c r="AH2918" s="22"/>
      <c r="AI2918" s="22"/>
      <c r="AJ2918" s="22"/>
      <c r="AK2918" s="22"/>
      <c r="AL2918" s="22"/>
      <c r="AM2918" s="22"/>
      <c r="AN2918" s="22"/>
      <c r="AO2918" s="22"/>
      <c r="AP2918" s="22"/>
    </row>
    <row r="2919">
      <c r="A2919" s="193"/>
      <c r="B2919" s="194"/>
      <c r="C2919" s="195"/>
      <c r="D2919" s="196"/>
      <c r="E2919" s="197"/>
      <c r="F2919" s="197"/>
      <c r="G2919" s="195"/>
      <c r="H2919" s="195"/>
      <c r="I2919" s="197"/>
      <c r="J2919" s="121"/>
      <c r="K2919" s="121"/>
      <c r="L2919" s="200"/>
      <c r="M2919" s="204"/>
      <c r="N2919" s="205"/>
      <c r="O2919" s="170"/>
      <c r="P2919" s="198"/>
      <c r="Q2919" s="199"/>
      <c r="R2919" s="200"/>
      <c r="S2919" s="170"/>
      <c r="T2919" s="170"/>
      <c r="U2919" s="201"/>
      <c r="V2919" s="198"/>
      <c r="W2919" s="170"/>
      <c r="X2919" s="202"/>
      <c r="Y2919" s="203"/>
      <c r="Z2919" s="170"/>
      <c r="AA2919" s="198"/>
      <c r="AB2919" s="170"/>
      <c r="AC2919" s="170"/>
      <c r="AD2919" s="121"/>
      <c r="AE2919" s="121"/>
      <c r="AF2919" s="121"/>
      <c r="AG2919" s="22"/>
      <c r="AH2919" s="22"/>
      <c r="AI2919" s="22"/>
      <c r="AJ2919" s="22"/>
      <c r="AK2919" s="22"/>
      <c r="AL2919" s="22"/>
      <c r="AM2919" s="22"/>
      <c r="AN2919" s="22"/>
      <c r="AO2919" s="22"/>
      <c r="AP2919" s="22"/>
    </row>
    <row r="2920">
      <c r="A2920" s="193"/>
      <c r="B2920" s="194"/>
      <c r="C2920" s="195"/>
      <c r="D2920" s="196"/>
      <c r="E2920" s="197"/>
      <c r="F2920" s="197"/>
      <c r="G2920" s="195"/>
      <c r="H2920" s="195"/>
      <c r="I2920" s="197"/>
      <c r="J2920" s="121"/>
      <c r="K2920" s="121"/>
      <c r="L2920" s="200"/>
      <c r="M2920" s="204"/>
      <c r="N2920" s="205"/>
      <c r="O2920" s="170"/>
      <c r="P2920" s="198"/>
      <c r="Q2920" s="199"/>
      <c r="R2920" s="200"/>
      <c r="S2920" s="170"/>
      <c r="T2920" s="170"/>
      <c r="U2920" s="201"/>
      <c r="V2920" s="198"/>
      <c r="W2920" s="170"/>
      <c r="X2920" s="202"/>
      <c r="Y2920" s="203"/>
      <c r="Z2920" s="170"/>
      <c r="AA2920" s="198"/>
      <c r="AB2920" s="170"/>
      <c r="AC2920" s="170"/>
      <c r="AD2920" s="121"/>
      <c r="AE2920" s="121"/>
      <c r="AF2920" s="121"/>
      <c r="AG2920" s="22"/>
      <c r="AH2920" s="22"/>
      <c r="AI2920" s="22"/>
      <c r="AJ2920" s="22"/>
      <c r="AK2920" s="22"/>
      <c r="AL2920" s="22"/>
      <c r="AM2920" s="22"/>
      <c r="AN2920" s="22"/>
      <c r="AO2920" s="22"/>
      <c r="AP2920" s="22"/>
    </row>
    <row r="2921">
      <c r="A2921" s="193"/>
      <c r="B2921" s="194"/>
      <c r="C2921" s="195"/>
      <c r="D2921" s="196"/>
      <c r="E2921" s="197"/>
      <c r="F2921" s="197"/>
      <c r="G2921" s="195"/>
      <c r="H2921" s="195"/>
      <c r="I2921" s="197"/>
      <c r="J2921" s="121"/>
      <c r="K2921" s="121"/>
      <c r="L2921" s="200"/>
      <c r="M2921" s="204"/>
      <c r="N2921" s="205"/>
      <c r="O2921" s="170"/>
      <c r="P2921" s="198"/>
      <c r="Q2921" s="199"/>
      <c r="R2921" s="200"/>
      <c r="S2921" s="170"/>
      <c r="T2921" s="170"/>
      <c r="U2921" s="201"/>
      <c r="V2921" s="198"/>
      <c r="W2921" s="170"/>
      <c r="X2921" s="202"/>
      <c r="Y2921" s="203"/>
      <c r="Z2921" s="170"/>
      <c r="AA2921" s="198"/>
      <c r="AB2921" s="170"/>
      <c r="AC2921" s="170"/>
      <c r="AD2921" s="121"/>
      <c r="AE2921" s="121"/>
      <c r="AF2921" s="121"/>
      <c r="AG2921" s="22"/>
      <c r="AH2921" s="22"/>
      <c r="AI2921" s="22"/>
      <c r="AJ2921" s="22"/>
      <c r="AK2921" s="22"/>
      <c r="AL2921" s="22"/>
      <c r="AM2921" s="22"/>
      <c r="AN2921" s="22"/>
      <c r="AO2921" s="22"/>
      <c r="AP2921" s="22"/>
    </row>
    <row r="2922">
      <c r="A2922" s="193"/>
      <c r="B2922" s="194"/>
      <c r="C2922" s="195"/>
      <c r="D2922" s="196"/>
      <c r="E2922" s="197"/>
      <c r="F2922" s="197"/>
      <c r="G2922" s="195"/>
      <c r="H2922" s="195"/>
      <c r="I2922" s="197"/>
      <c r="J2922" s="121"/>
      <c r="K2922" s="121"/>
      <c r="L2922" s="200"/>
      <c r="M2922" s="204"/>
      <c r="N2922" s="205"/>
      <c r="O2922" s="170"/>
      <c r="P2922" s="198"/>
      <c r="Q2922" s="199"/>
      <c r="R2922" s="200"/>
      <c r="S2922" s="170"/>
      <c r="T2922" s="170"/>
      <c r="U2922" s="201"/>
      <c r="V2922" s="198"/>
      <c r="W2922" s="170"/>
      <c r="X2922" s="202"/>
      <c r="Y2922" s="203"/>
      <c r="Z2922" s="170"/>
      <c r="AA2922" s="198"/>
      <c r="AB2922" s="170"/>
      <c r="AC2922" s="170"/>
      <c r="AD2922" s="121"/>
      <c r="AE2922" s="121"/>
      <c r="AF2922" s="121"/>
      <c r="AG2922" s="22"/>
      <c r="AH2922" s="22"/>
      <c r="AI2922" s="22"/>
      <c r="AJ2922" s="22"/>
      <c r="AK2922" s="22"/>
      <c r="AL2922" s="22"/>
      <c r="AM2922" s="22"/>
      <c r="AN2922" s="22"/>
      <c r="AO2922" s="22"/>
      <c r="AP2922" s="22"/>
    </row>
    <row r="2923">
      <c r="A2923" s="193"/>
      <c r="B2923" s="194"/>
      <c r="C2923" s="195"/>
      <c r="D2923" s="196"/>
      <c r="E2923" s="197"/>
      <c r="F2923" s="197"/>
      <c r="G2923" s="195"/>
      <c r="H2923" s="195"/>
      <c r="I2923" s="197"/>
      <c r="J2923" s="121"/>
      <c r="K2923" s="121"/>
      <c r="L2923" s="200"/>
      <c r="M2923" s="204"/>
      <c r="N2923" s="205"/>
      <c r="O2923" s="170"/>
      <c r="P2923" s="198"/>
      <c r="Q2923" s="199"/>
      <c r="R2923" s="200"/>
      <c r="S2923" s="170"/>
      <c r="T2923" s="170"/>
      <c r="U2923" s="201"/>
      <c r="V2923" s="198"/>
      <c r="W2923" s="170"/>
      <c r="X2923" s="202"/>
      <c r="Y2923" s="203"/>
      <c r="Z2923" s="170"/>
      <c r="AA2923" s="198"/>
      <c r="AB2923" s="170"/>
      <c r="AC2923" s="170"/>
      <c r="AD2923" s="121"/>
      <c r="AE2923" s="121"/>
      <c r="AF2923" s="121"/>
      <c r="AG2923" s="22"/>
      <c r="AH2923" s="22"/>
      <c r="AI2923" s="22"/>
      <c r="AJ2923" s="22"/>
      <c r="AK2923" s="22"/>
      <c r="AL2923" s="22"/>
      <c r="AM2923" s="22"/>
      <c r="AN2923" s="22"/>
      <c r="AO2923" s="22"/>
      <c r="AP2923" s="22"/>
    </row>
    <row r="2924">
      <c r="A2924" s="193"/>
      <c r="B2924" s="194"/>
      <c r="C2924" s="195"/>
      <c r="D2924" s="196"/>
      <c r="E2924" s="197"/>
      <c r="F2924" s="197"/>
      <c r="G2924" s="195"/>
      <c r="H2924" s="195"/>
      <c r="I2924" s="197"/>
      <c r="J2924" s="121"/>
      <c r="K2924" s="121"/>
      <c r="L2924" s="200"/>
      <c r="M2924" s="204"/>
      <c r="N2924" s="205"/>
      <c r="O2924" s="170"/>
      <c r="P2924" s="198"/>
      <c r="Q2924" s="199"/>
      <c r="R2924" s="200"/>
      <c r="S2924" s="170"/>
      <c r="T2924" s="170"/>
      <c r="U2924" s="201"/>
      <c r="V2924" s="198"/>
      <c r="W2924" s="170"/>
      <c r="X2924" s="202"/>
      <c r="Y2924" s="203"/>
      <c r="Z2924" s="170"/>
      <c r="AA2924" s="198"/>
      <c r="AB2924" s="170"/>
      <c r="AC2924" s="170"/>
      <c r="AD2924" s="121"/>
      <c r="AE2924" s="121"/>
      <c r="AF2924" s="121"/>
      <c r="AG2924" s="22"/>
      <c r="AH2924" s="22"/>
      <c r="AI2924" s="22"/>
      <c r="AJ2924" s="22"/>
      <c r="AK2924" s="22"/>
      <c r="AL2924" s="22"/>
      <c r="AM2924" s="22"/>
      <c r="AN2924" s="22"/>
      <c r="AO2924" s="22"/>
      <c r="AP2924" s="22"/>
    </row>
    <row r="2925">
      <c r="A2925" s="193"/>
      <c r="B2925" s="194"/>
      <c r="C2925" s="195"/>
      <c r="D2925" s="196"/>
      <c r="E2925" s="197"/>
      <c r="F2925" s="197"/>
      <c r="G2925" s="195"/>
      <c r="H2925" s="195"/>
      <c r="I2925" s="197"/>
      <c r="J2925" s="121"/>
      <c r="K2925" s="121"/>
      <c r="L2925" s="200"/>
      <c r="M2925" s="204"/>
      <c r="N2925" s="205"/>
      <c r="O2925" s="170"/>
      <c r="P2925" s="198"/>
      <c r="Q2925" s="199"/>
      <c r="R2925" s="200"/>
      <c r="S2925" s="170"/>
      <c r="T2925" s="170"/>
      <c r="U2925" s="201"/>
      <c r="V2925" s="198"/>
      <c r="W2925" s="170"/>
      <c r="X2925" s="202"/>
      <c r="Y2925" s="203"/>
      <c r="Z2925" s="170"/>
      <c r="AA2925" s="198"/>
      <c r="AB2925" s="170"/>
      <c r="AC2925" s="170"/>
      <c r="AD2925" s="121"/>
      <c r="AE2925" s="121"/>
      <c r="AF2925" s="121"/>
      <c r="AG2925" s="22"/>
      <c r="AH2925" s="22"/>
      <c r="AI2925" s="22"/>
      <c r="AJ2925" s="22"/>
      <c r="AK2925" s="22"/>
      <c r="AL2925" s="22"/>
      <c r="AM2925" s="22"/>
      <c r="AN2925" s="22"/>
      <c r="AO2925" s="22"/>
      <c r="AP2925" s="22"/>
    </row>
    <row r="2926">
      <c r="A2926" s="193"/>
      <c r="B2926" s="194"/>
      <c r="C2926" s="195"/>
      <c r="D2926" s="196"/>
      <c r="E2926" s="197"/>
      <c r="F2926" s="197"/>
      <c r="G2926" s="195"/>
      <c r="H2926" s="195"/>
      <c r="I2926" s="197"/>
      <c r="J2926" s="121"/>
      <c r="K2926" s="121"/>
      <c r="L2926" s="200"/>
      <c r="M2926" s="204"/>
      <c r="N2926" s="205"/>
      <c r="O2926" s="170"/>
      <c r="P2926" s="198"/>
      <c r="Q2926" s="199"/>
      <c r="R2926" s="200"/>
      <c r="S2926" s="170"/>
      <c r="T2926" s="170"/>
      <c r="U2926" s="201"/>
      <c r="V2926" s="198"/>
      <c r="W2926" s="170"/>
      <c r="X2926" s="202"/>
      <c r="Y2926" s="203"/>
      <c r="Z2926" s="170"/>
      <c r="AA2926" s="198"/>
      <c r="AB2926" s="170"/>
      <c r="AC2926" s="170"/>
      <c r="AD2926" s="121"/>
      <c r="AE2926" s="121"/>
      <c r="AF2926" s="121"/>
      <c r="AG2926" s="22"/>
      <c r="AH2926" s="22"/>
      <c r="AI2926" s="22"/>
      <c r="AJ2926" s="22"/>
      <c r="AK2926" s="22"/>
      <c r="AL2926" s="22"/>
      <c r="AM2926" s="22"/>
      <c r="AN2926" s="22"/>
      <c r="AO2926" s="22"/>
      <c r="AP2926" s="22"/>
    </row>
    <row r="2927">
      <c r="A2927" s="193"/>
      <c r="B2927" s="194"/>
      <c r="C2927" s="195"/>
      <c r="D2927" s="196"/>
      <c r="E2927" s="197"/>
      <c r="F2927" s="197"/>
      <c r="G2927" s="195"/>
      <c r="H2927" s="195"/>
      <c r="I2927" s="197"/>
      <c r="J2927" s="121"/>
      <c r="K2927" s="121"/>
      <c r="L2927" s="200"/>
      <c r="M2927" s="204"/>
      <c r="N2927" s="205"/>
      <c r="O2927" s="170"/>
      <c r="P2927" s="198"/>
      <c r="Q2927" s="199"/>
      <c r="R2927" s="200"/>
      <c r="S2927" s="170"/>
      <c r="T2927" s="170"/>
      <c r="U2927" s="201"/>
      <c r="V2927" s="198"/>
      <c r="W2927" s="170"/>
      <c r="X2927" s="202"/>
      <c r="Y2927" s="203"/>
      <c r="Z2927" s="170"/>
      <c r="AA2927" s="198"/>
      <c r="AB2927" s="170"/>
      <c r="AC2927" s="170"/>
      <c r="AD2927" s="121"/>
      <c r="AE2927" s="121"/>
      <c r="AF2927" s="121"/>
      <c r="AG2927" s="22"/>
      <c r="AH2927" s="22"/>
      <c r="AI2927" s="22"/>
      <c r="AJ2927" s="22"/>
      <c r="AK2927" s="22"/>
      <c r="AL2927" s="22"/>
      <c r="AM2927" s="22"/>
      <c r="AN2927" s="22"/>
      <c r="AO2927" s="22"/>
      <c r="AP2927" s="22"/>
    </row>
    <row r="2928">
      <c r="A2928" s="193"/>
      <c r="B2928" s="194"/>
      <c r="C2928" s="195"/>
      <c r="D2928" s="196"/>
      <c r="E2928" s="197"/>
      <c r="F2928" s="197"/>
      <c r="G2928" s="195"/>
      <c r="H2928" s="195"/>
      <c r="I2928" s="197"/>
      <c r="J2928" s="121"/>
      <c r="K2928" s="121"/>
      <c r="L2928" s="200"/>
      <c r="M2928" s="204"/>
      <c r="N2928" s="205"/>
      <c r="O2928" s="170"/>
      <c r="P2928" s="198"/>
      <c r="Q2928" s="199"/>
      <c r="R2928" s="200"/>
      <c r="S2928" s="170"/>
      <c r="T2928" s="170"/>
      <c r="U2928" s="201"/>
      <c r="V2928" s="198"/>
      <c r="W2928" s="170"/>
      <c r="X2928" s="202"/>
      <c r="Y2928" s="203"/>
      <c r="Z2928" s="170"/>
      <c r="AA2928" s="198"/>
      <c r="AB2928" s="170"/>
      <c r="AC2928" s="170"/>
      <c r="AD2928" s="121"/>
      <c r="AE2928" s="121"/>
      <c r="AF2928" s="121"/>
      <c r="AG2928" s="22"/>
      <c r="AH2928" s="22"/>
      <c r="AI2928" s="22"/>
      <c r="AJ2928" s="22"/>
      <c r="AK2928" s="22"/>
      <c r="AL2928" s="22"/>
      <c r="AM2928" s="22"/>
      <c r="AN2928" s="22"/>
      <c r="AO2928" s="22"/>
      <c r="AP2928" s="22"/>
    </row>
    <row r="2929">
      <c r="A2929" s="193"/>
      <c r="B2929" s="194"/>
      <c r="C2929" s="195"/>
      <c r="D2929" s="196"/>
      <c r="E2929" s="197"/>
      <c r="F2929" s="197"/>
      <c r="G2929" s="195"/>
      <c r="H2929" s="195"/>
      <c r="I2929" s="197"/>
      <c r="J2929" s="121"/>
      <c r="K2929" s="121"/>
      <c r="L2929" s="200"/>
      <c r="M2929" s="204"/>
      <c r="N2929" s="205"/>
      <c r="O2929" s="170"/>
      <c r="P2929" s="198"/>
      <c r="Q2929" s="199"/>
      <c r="R2929" s="200"/>
      <c r="S2929" s="170"/>
      <c r="T2929" s="170"/>
      <c r="U2929" s="201"/>
      <c r="V2929" s="198"/>
      <c r="W2929" s="170"/>
      <c r="X2929" s="202"/>
      <c r="Y2929" s="203"/>
      <c r="Z2929" s="170"/>
      <c r="AA2929" s="198"/>
      <c r="AB2929" s="170"/>
      <c r="AC2929" s="170"/>
      <c r="AD2929" s="121"/>
      <c r="AE2929" s="121"/>
      <c r="AF2929" s="121"/>
      <c r="AG2929" s="22"/>
      <c r="AH2929" s="22"/>
      <c r="AI2929" s="22"/>
      <c r="AJ2929" s="22"/>
      <c r="AK2929" s="22"/>
      <c r="AL2929" s="22"/>
      <c r="AM2929" s="22"/>
      <c r="AN2929" s="22"/>
      <c r="AO2929" s="22"/>
      <c r="AP2929" s="22"/>
    </row>
    <row r="2930">
      <c r="A2930" s="193"/>
      <c r="B2930" s="194"/>
      <c r="C2930" s="195"/>
      <c r="D2930" s="196"/>
      <c r="E2930" s="197"/>
      <c r="F2930" s="197"/>
      <c r="G2930" s="195"/>
      <c r="H2930" s="195"/>
      <c r="I2930" s="197"/>
      <c r="J2930" s="121"/>
      <c r="K2930" s="121"/>
      <c r="L2930" s="200"/>
      <c r="M2930" s="204"/>
      <c r="N2930" s="205"/>
      <c r="O2930" s="170"/>
      <c r="P2930" s="198"/>
      <c r="Q2930" s="199"/>
      <c r="R2930" s="200"/>
      <c r="S2930" s="170"/>
      <c r="T2930" s="170"/>
      <c r="U2930" s="201"/>
      <c r="V2930" s="198"/>
      <c r="W2930" s="170"/>
      <c r="X2930" s="202"/>
      <c r="Y2930" s="203"/>
      <c r="Z2930" s="170"/>
      <c r="AA2930" s="198"/>
      <c r="AB2930" s="170"/>
      <c r="AC2930" s="170"/>
      <c r="AD2930" s="121"/>
      <c r="AE2930" s="121"/>
      <c r="AF2930" s="121"/>
      <c r="AG2930" s="22"/>
      <c r="AH2930" s="22"/>
      <c r="AI2930" s="22"/>
      <c r="AJ2930" s="22"/>
      <c r="AK2930" s="22"/>
      <c r="AL2930" s="22"/>
      <c r="AM2930" s="22"/>
      <c r="AN2930" s="22"/>
      <c r="AO2930" s="22"/>
      <c r="AP2930" s="22"/>
    </row>
    <row r="2931">
      <c r="A2931" s="193"/>
      <c r="B2931" s="194"/>
      <c r="C2931" s="195"/>
      <c r="D2931" s="196"/>
      <c r="E2931" s="197"/>
      <c r="F2931" s="197"/>
      <c r="G2931" s="195"/>
      <c r="H2931" s="195"/>
      <c r="I2931" s="197"/>
      <c r="J2931" s="121"/>
      <c r="K2931" s="121"/>
      <c r="L2931" s="200"/>
      <c r="M2931" s="204"/>
      <c r="N2931" s="205"/>
      <c r="O2931" s="170"/>
      <c r="P2931" s="198"/>
      <c r="Q2931" s="199"/>
      <c r="R2931" s="200"/>
      <c r="S2931" s="170"/>
      <c r="T2931" s="170"/>
      <c r="U2931" s="201"/>
      <c r="V2931" s="198"/>
      <c r="W2931" s="170"/>
      <c r="X2931" s="202"/>
      <c r="Y2931" s="203"/>
      <c r="Z2931" s="170"/>
      <c r="AA2931" s="198"/>
      <c r="AB2931" s="170"/>
      <c r="AC2931" s="170"/>
      <c r="AD2931" s="121"/>
      <c r="AE2931" s="121"/>
      <c r="AF2931" s="121"/>
      <c r="AG2931" s="22"/>
      <c r="AH2931" s="22"/>
      <c r="AI2931" s="22"/>
      <c r="AJ2931" s="22"/>
      <c r="AK2931" s="22"/>
      <c r="AL2931" s="22"/>
      <c r="AM2931" s="22"/>
      <c r="AN2931" s="22"/>
      <c r="AO2931" s="22"/>
      <c r="AP2931" s="22"/>
    </row>
    <row r="2932">
      <c r="A2932" s="193"/>
      <c r="B2932" s="194"/>
      <c r="C2932" s="195"/>
      <c r="D2932" s="196"/>
      <c r="E2932" s="197"/>
      <c r="F2932" s="197"/>
      <c r="G2932" s="195"/>
      <c r="H2932" s="195"/>
      <c r="I2932" s="197"/>
      <c r="J2932" s="121"/>
      <c r="K2932" s="121"/>
      <c r="L2932" s="200"/>
      <c r="M2932" s="204"/>
      <c r="N2932" s="205"/>
      <c r="O2932" s="170"/>
      <c r="P2932" s="198"/>
      <c r="Q2932" s="199"/>
      <c r="R2932" s="200"/>
      <c r="S2932" s="170"/>
      <c r="T2932" s="170"/>
      <c r="U2932" s="201"/>
      <c r="V2932" s="198"/>
      <c r="W2932" s="170"/>
      <c r="X2932" s="202"/>
      <c r="Y2932" s="203"/>
      <c r="Z2932" s="170"/>
      <c r="AA2932" s="198"/>
      <c r="AB2932" s="170"/>
      <c r="AC2932" s="170"/>
      <c r="AD2932" s="121"/>
      <c r="AE2932" s="121"/>
      <c r="AF2932" s="121"/>
      <c r="AG2932" s="22"/>
      <c r="AH2932" s="22"/>
      <c r="AI2932" s="22"/>
      <c r="AJ2932" s="22"/>
      <c r="AK2932" s="22"/>
      <c r="AL2932" s="22"/>
      <c r="AM2932" s="22"/>
      <c r="AN2932" s="22"/>
      <c r="AO2932" s="22"/>
      <c r="AP2932" s="22"/>
    </row>
    <row r="2933">
      <c r="A2933" s="193"/>
      <c r="B2933" s="194"/>
      <c r="C2933" s="195"/>
      <c r="D2933" s="196"/>
      <c r="E2933" s="197"/>
      <c r="F2933" s="197"/>
      <c r="G2933" s="195"/>
      <c r="H2933" s="195"/>
      <c r="I2933" s="197"/>
      <c r="J2933" s="121"/>
      <c r="K2933" s="121"/>
      <c r="L2933" s="200"/>
      <c r="M2933" s="204"/>
      <c r="N2933" s="205"/>
      <c r="O2933" s="170"/>
      <c r="P2933" s="198"/>
      <c r="Q2933" s="199"/>
      <c r="R2933" s="200"/>
      <c r="S2933" s="170"/>
      <c r="T2933" s="170"/>
      <c r="U2933" s="201"/>
      <c r="V2933" s="198"/>
      <c r="W2933" s="170"/>
      <c r="X2933" s="202"/>
      <c r="Y2933" s="203"/>
      <c r="Z2933" s="170"/>
      <c r="AA2933" s="198"/>
      <c r="AB2933" s="170"/>
      <c r="AC2933" s="170"/>
      <c r="AD2933" s="121"/>
      <c r="AE2933" s="121"/>
      <c r="AF2933" s="121"/>
      <c r="AG2933" s="22"/>
      <c r="AH2933" s="22"/>
      <c r="AI2933" s="22"/>
      <c r="AJ2933" s="22"/>
      <c r="AK2933" s="22"/>
      <c r="AL2933" s="22"/>
      <c r="AM2933" s="22"/>
      <c r="AN2933" s="22"/>
      <c r="AO2933" s="22"/>
      <c r="AP2933" s="22"/>
    </row>
    <row r="2934">
      <c r="A2934" s="193"/>
      <c r="B2934" s="194"/>
      <c r="C2934" s="195"/>
      <c r="D2934" s="196"/>
      <c r="E2934" s="197"/>
      <c r="F2934" s="197"/>
      <c r="G2934" s="195"/>
      <c r="H2934" s="195"/>
      <c r="I2934" s="197"/>
      <c r="J2934" s="121"/>
      <c r="K2934" s="121"/>
      <c r="L2934" s="200"/>
      <c r="M2934" s="204"/>
      <c r="N2934" s="205"/>
      <c r="O2934" s="170"/>
      <c r="P2934" s="198"/>
      <c r="Q2934" s="199"/>
      <c r="R2934" s="200"/>
      <c r="S2934" s="170"/>
      <c r="T2934" s="170"/>
      <c r="U2934" s="201"/>
      <c r="V2934" s="198"/>
      <c r="W2934" s="170"/>
      <c r="X2934" s="202"/>
      <c r="Y2934" s="203"/>
      <c r="Z2934" s="170"/>
      <c r="AA2934" s="198"/>
      <c r="AB2934" s="170"/>
      <c r="AC2934" s="170"/>
      <c r="AD2934" s="121"/>
      <c r="AE2934" s="121"/>
      <c r="AF2934" s="121"/>
      <c r="AG2934" s="22"/>
      <c r="AH2934" s="22"/>
      <c r="AI2934" s="22"/>
      <c r="AJ2934" s="22"/>
      <c r="AK2934" s="22"/>
      <c r="AL2934" s="22"/>
      <c r="AM2934" s="22"/>
      <c r="AN2934" s="22"/>
      <c r="AO2934" s="22"/>
      <c r="AP2934" s="22"/>
    </row>
    <row r="2935">
      <c r="A2935" s="193"/>
      <c r="B2935" s="194"/>
      <c r="C2935" s="195"/>
      <c r="D2935" s="196"/>
      <c r="E2935" s="197"/>
      <c r="F2935" s="197"/>
      <c r="G2935" s="195"/>
      <c r="H2935" s="195"/>
      <c r="I2935" s="197"/>
      <c r="J2935" s="121"/>
      <c r="K2935" s="121"/>
      <c r="L2935" s="200"/>
      <c r="M2935" s="204"/>
      <c r="N2935" s="205"/>
      <c r="O2935" s="170"/>
      <c r="P2935" s="198"/>
      <c r="Q2935" s="199"/>
      <c r="R2935" s="200"/>
      <c r="S2935" s="170"/>
      <c r="T2935" s="170"/>
      <c r="U2935" s="201"/>
      <c r="V2935" s="198"/>
      <c r="W2935" s="170"/>
      <c r="X2935" s="202"/>
      <c r="Y2935" s="203"/>
      <c r="Z2935" s="170"/>
      <c r="AA2935" s="198"/>
      <c r="AB2935" s="170"/>
      <c r="AC2935" s="170"/>
      <c r="AD2935" s="121"/>
      <c r="AE2935" s="121"/>
      <c r="AF2935" s="121"/>
      <c r="AG2935" s="22"/>
      <c r="AH2935" s="22"/>
      <c r="AI2935" s="22"/>
      <c r="AJ2935" s="22"/>
      <c r="AK2935" s="22"/>
      <c r="AL2935" s="22"/>
      <c r="AM2935" s="22"/>
      <c r="AN2935" s="22"/>
      <c r="AO2935" s="22"/>
      <c r="AP2935" s="22"/>
    </row>
    <row r="2936">
      <c r="A2936" s="193"/>
      <c r="B2936" s="194"/>
      <c r="C2936" s="195"/>
      <c r="D2936" s="196"/>
      <c r="E2936" s="197"/>
      <c r="F2936" s="197"/>
      <c r="G2936" s="195"/>
      <c r="H2936" s="195"/>
      <c r="I2936" s="197"/>
      <c r="J2936" s="121"/>
      <c r="K2936" s="121"/>
      <c r="L2936" s="200"/>
      <c r="M2936" s="204"/>
      <c r="N2936" s="205"/>
      <c r="O2936" s="170"/>
      <c r="P2936" s="198"/>
      <c r="Q2936" s="199"/>
      <c r="R2936" s="200"/>
      <c r="S2936" s="170"/>
      <c r="T2936" s="170"/>
      <c r="U2936" s="201"/>
      <c r="V2936" s="198"/>
      <c r="W2936" s="170"/>
      <c r="X2936" s="202"/>
      <c r="Y2936" s="203"/>
      <c r="Z2936" s="170"/>
      <c r="AA2936" s="198"/>
      <c r="AB2936" s="170"/>
      <c r="AC2936" s="170"/>
      <c r="AD2936" s="121"/>
      <c r="AE2936" s="121"/>
      <c r="AF2936" s="121"/>
      <c r="AG2936" s="22"/>
      <c r="AH2936" s="22"/>
      <c r="AI2936" s="22"/>
      <c r="AJ2936" s="22"/>
      <c r="AK2936" s="22"/>
      <c r="AL2936" s="22"/>
      <c r="AM2936" s="22"/>
      <c r="AN2936" s="22"/>
      <c r="AO2936" s="22"/>
      <c r="AP2936" s="22"/>
    </row>
    <row r="2937">
      <c r="A2937" s="193"/>
      <c r="B2937" s="194"/>
      <c r="C2937" s="195"/>
      <c r="D2937" s="196"/>
      <c r="E2937" s="197"/>
      <c r="F2937" s="197"/>
      <c r="G2937" s="195"/>
      <c r="H2937" s="195"/>
      <c r="I2937" s="197"/>
      <c r="J2937" s="121"/>
      <c r="K2937" s="121"/>
      <c r="L2937" s="200"/>
      <c r="M2937" s="204"/>
      <c r="N2937" s="205"/>
      <c r="O2937" s="170"/>
      <c r="P2937" s="198"/>
      <c r="Q2937" s="199"/>
      <c r="R2937" s="200"/>
      <c r="S2937" s="170"/>
      <c r="T2937" s="170"/>
      <c r="U2937" s="201"/>
      <c r="V2937" s="198"/>
      <c r="W2937" s="170"/>
      <c r="X2937" s="202"/>
      <c r="Y2937" s="203"/>
      <c r="Z2937" s="170"/>
      <c r="AA2937" s="198"/>
      <c r="AB2937" s="170"/>
      <c r="AC2937" s="170"/>
      <c r="AD2937" s="121"/>
      <c r="AE2937" s="121"/>
      <c r="AF2937" s="121"/>
      <c r="AG2937" s="22"/>
      <c r="AH2937" s="22"/>
      <c r="AI2937" s="22"/>
      <c r="AJ2937" s="22"/>
      <c r="AK2937" s="22"/>
      <c r="AL2937" s="22"/>
      <c r="AM2937" s="22"/>
      <c r="AN2937" s="22"/>
      <c r="AO2937" s="22"/>
      <c r="AP2937" s="22"/>
    </row>
    <row r="2938">
      <c r="A2938" s="193"/>
      <c r="B2938" s="194"/>
      <c r="C2938" s="195"/>
      <c r="D2938" s="196"/>
      <c r="E2938" s="197"/>
      <c r="F2938" s="197"/>
      <c r="G2938" s="195"/>
      <c r="H2938" s="195"/>
      <c r="I2938" s="197"/>
      <c r="J2938" s="121"/>
      <c r="K2938" s="121"/>
      <c r="L2938" s="200"/>
      <c r="M2938" s="204"/>
      <c r="N2938" s="205"/>
      <c r="O2938" s="170"/>
      <c r="P2938" s="198"/>
      <c r="Q2938" s="199"/>
      <c r="R2938" s="200"/>
      <c r="S2938" s="170"/>
      <c r="T2938" s="170"/>
      <c r="U2938" s="201"/>
      <c r="V2938" s="198"/>
      <c r="W2938" s="170"/>
      <c r="X2938" s="202"/>
      <c r="Y2938" s="203"/>
      <c r="Z2938" s="170"/>
      <c r="AA2938" s="198"/>
      <c r="AB2938" s="170"/>
      <c r="AC2938" s="170"/>
      <c r="AD2938" s="121"/>
      <c r="AE2938" s="121"/>
      <c r="AF2938" s="121"/>
      <c r="AG2938" s="22"/>
      <c r="AH2938" s="22"/>
      <c r="AI2938" s="22"/>
      <c r="AJ2938" s="22"/>
      <c r="AK2938" s="22"/>
      <c r="AL2938" s="22"/>
      <c r="AM2938" s="22"/>
      <c r="AN2938" s="22"/>
      <c r="AO2938" s="22"/>
      <c r="AP2938" s="22"/>
    </row>
    <row r="2939">
      <c r="A2939" s="193"/>
      <c r="B2939" s="194"/>
      <c r="C2939" s="195"/>
      <c r="D2939" s="196"/>
      <c r="E2939" s="197"/>
      <c r="F2939" s="197"/>
      <c r="G2939" s="195"/>
      <c r="H2939" s="195"/>
      <c r="I2939" s="197"/>
      <c r="J2939" s="121"/>
      <c r="K2939" s="121"/>
      <c r="L2939" s="200"/>
      <c r="M2939" s="204"/>
      <c r="N2939" s="205"/>
      <c r="O2939" s="170"/>
      <c r="P2939" s="198"/>
      <c r="Q2939" s="199"/>
      <c r="R2939" s="200"/>
      <c r="S2939" s="170"/>
      <c r="T2939" s="170"/>
      <c r="U2939" s="201"/>
      <c r="V2939" s="198"/>
      <c r="W2939" s="170"/>
      <c r="X2939" s="202"/>
      <c r="Y2939" s="203"/>
      <c r="Z2939" s="170"/>
      <c r="AA2939" s="198"/>
      <c r="AB2939" s="170"/>
      <c r="AC2939" s="170"/>
      <c r="AD2939" s="121"/>
      <c r="AE2939" s="121"/>
      <c r="AF2939" s="121"/>
      <c r="AG2939" s="22"/>
      <c r="AH2939" s="22"/>
      <c r="AI2939" s="22"/>
      <c r="AJ2939" s="22"/>
      <c r="AK2939" s="22"/>
      <c r="AL2939" s="22"/>
      <c r="AM2939" s="22"/>
      <c r="AN2939" s="22"/>
      <c r="AO2939" s="22"/>
      <c r="AP2939" s="22"/>
    </row>
    <row r="2940">
      <c r="A2940" s="193"/>
      <c r="B2940" s="194"/>
      <c r="C2940" s="195"/>
      <c r="D2940" s="196"/>
      <c r="E2940" s="197"/>
      <c r="F2940" s="197"/>
      <c r="G2940" s="195"/>
      <c r="H2940" s="195"/>
      <c r="I2940" s="197"/>
      <c r="J2940" s="121"/>
      <c r="K2940" s="121"/>
      <c r="L2940" s="200"/>
      <c r="M2940" s="204"/>
      <c r="N2940" s="205"/>
      <c r="O2940" s="170"/>
      <c r="P2940" s="198"/>
      <c r="Q2940" s="199"/>
      <c r="R2940" s="200"/>
      <c r="S2940" s="170"/>
      <c r="T2940" s="170"/>
      <c r="U2940" s="201"/>
      <c r="V2940" s="198"/>
      <c r="W2940" s="170"/>
      <c r="X2940" s="202"/>
      <c r="Y2940" s="203"/>
      <c r="Z2940" s="170"/>
      <c r="AA2940" s="198"/>
      <c r="AB2940" s="170"/>
      <c r="AC2940" s="170"/>
      <c r="AD2940" s="121"/>
      <c r="AE2940" s="121"/>
      <c r="AF2940" s="121"/>
      <c r="AG2940" s="22"/>
      <c r="AH2940" s="22"/>
      <c r="AI2940" s="22"/>
      <c r="AJ2940" s="22"/>
      <c r="AK2940" s="22"/>
      <c r="AL2940" s="22"/>
      <c r="AM2940" s="22"/>
      <c r="AN2940" s="22"/>
      <c r="AO2940" s="22"/>
      <c r="AP2940" s="22"/>
    </row>
    <row r="2941">
      <c r="A2941" s="193"/>
      <c r="B2941" s="194"/>
      <c r="C2941" s="195"/>
      <c r="D2941" s="196"/>
      <c r="E2941" s="197"/>
      <c r="F2941" s="197"/>
      <c r="G2941" s="195"/>
      <c r="H2941" s="195"/>
      <c r="I2941" s="197"/>
      <c r="J2941" s="121"/>
      <c r="K2941" s="121"/>
      <c r="L2941" s="200"/>
      <c r="M2941" s="204"/>
      <c r="N2941" s="205"/>
      <c r="O2941" s="170"/>
      <c r="P2941" s="198"/>
      <c r="Q2941" s="199"/>
      <c r="R2941" s="200"/>
      <c r="S2941" s="170"/>
      <c r="T2941" s="170"/>
      <c r="U2941" s="201"/>
      <c r="V2941" s="198"/>
      <c r="W2941" s="170"/>
      <c r="X2941" s="202"/>
      <c r="Y2941" s="203"/>
      <c r="Z2941" s="170"/>
      <c r="AA2941" s="198"/>
      <c r="AB2941" s="170"/>
      <c r="AC2941" s="170"/>
      <c r="AD2941" s="121"/>
      <c r="AE2941" s="121"/>
      <c r="AF2941" s="121"/>
      <c r="AG2941" s="22"/>
      <c r="AH2941" s="22"/>
      <c r="AI2941" s="22"/>
      <c r="AJ2941" s="22"/>
      <c r="AK2941" s="22"/>
      <c r="AL2941" s="22"/>
      <c r="AM2941" s="22"/>
      <c r="AN2941" s="22"/>
      <c r="AO2941" s="22"/>
      <c r="AP2941" s="22"/>
    </row>
    <row r="2942">
      <c r="A2942" s="193"/>
      <c r="B2942" s="194"/>
      <c r="C2942" s="195"/>
      <c r="D2942" s="196"/>
      <c r="E2942" s="197"/>
      <c r="F2942" s="197"/>
      <c r="G2942" s="195"/>
      <c r="H2942" s="195"/>
      <c r="I2942" s="197"/>
      <c r="J2942" s="121"/>
      <c r="K2942" s="121"/>
      <c r="L2942" s="200"/>
      <c r="M2942" s="204"/>
      <c r="N2942" s="205"/>
      <c r="O2942" s="170"/>
      <c r="P2942" s="198"/>
      <c r="Q2942" s="199"/>
      <c r="R2942" s="200"/>
      <c r="S2942" s="170"/>
      <c r="T2942" s="170"/>
      <c r="U2942" s="201"/>
      <c r="V2942" s="198"/>
      <c r="W2942" s="170"/>
      <c r="X2942" s="202"/>
      <c r="Y2942" s="203"/>
      <c r="Z2942" s="170"/>
      <c r="AA2942" s="198"/>
      <c r="AB2942" s="170"/>
      <c r="AC2942" s="170"/>
      <c r="AD2942" s="121"/>
      <c r="AE2942" s="121"/>
      <c r="AF2942" s="121"/>
      <c r="AG2942" s="22"/>
      <c r="AH2942" s="22"/>
      <c r="AI2942" s="22"/>
      <c r="AJ2942" s="22"/>
      <c r="AK2942" s="22"/>
      <c r="AL2942" s="22"/>
      <c r="AM2942" s="22"/>
      <c r="AN2942" s="22"/>
      <c r="AO2942" s="22"/>
      <c r="AP2942" s="22"/>
    </row>
    <row r="2943">
      <c r="A2943" s="193"/>
      <c r="B2943" s="194"/>
      <c r="C2943" s="195"/>
      <c r="D2943" s="196"/>
      <c r="E2943" s="197"/>
      <c r="F2943" s="197"/>
      <c r="G2943" s="195"/>
      <c r="H2943" s="195"/>
      <c r="I2943" s="197"/>
      <c r="J2943" s="121"/>
      <c r="K2943" s="121"/>
      <c r="L2943" s="200"/>
      <c r="M2943" s="204"/>
      <c r="N2943" s="205"/>
      <c r="O2943" s="170"/>
      <c r="P2943" s="198"/>
      <c r="Q2943" s="199"/>
      <c r="R2943" s="200"/>
      <c r="S2943" s="170"/>
      <c r="T2943" s="170"/>
      <c r="U2943" s="201"/>
      <c r="V2943" s="198"/>
      <c r="W2943" s="170"/>
      <c r="X2943" s="202"/>
      <c r="Y2943" s="203"/>
      <c r="Z2943" s="170"/>
      <c r="AA2943" s="198"/>
      <c r="AB2943" s="170"/>
      <c r="AC2943" s="170"/>
      <c r="AD2943" s="121"/>
      <c r="AE2943" s="121"/>
      <c r="AF2943" s="121"/>
      <c r="AG2943" s="22"/>
      <c r="AH2943" s="22"/>
      <c r="AI2943" s="22"/>
      <c r="AJ2943" s="22"/>
      <c r="AK2943" s="22"/>
      <c r="AL2943" s="22"/>
      <c r="AM2943" s="22"/>
      <c r="AN2943" s="22"/>
      <c r="AO2943" s="22"/>
      <c r="AP2943" s="22"/>
    </row>
    <row r="2944">
      <c r="A2944" s="193"/>
      <c r="B2944" s="194"/>
      <c r="C2944" s="195"/>
      <c r="D2944" s="196"/>
      <c r="E2944" s="197"/>
      <c r="F2944" s="197"/>
      <c r="G2944" s="195"/>
      <c r="H2944" s="195"/>
      <c r="I2944" s="197"/>
      <c r="J2944" s="121"/>
      <c r="K2944" s="121"/>
      <c r="L2944" s="200"/>
      <c r="M2944" s="204"/>
      <c r="N2944" s="205"/>
      <c r="O2944" s="170"/>
      <c r="P2944" s="198"/>
      <c r="Q2944" s="199"/>
      <c r="R2944" s="200"/>
      <c r="S2944" s="170"/>
      <c r="T2944" s="170"/>
      <c r="U2944" s="201"/>
      <c r="V2944" s="198"/>
      <c r="W2944" s="170"/>
      <c r="X2944" s="202"/>
      <c r="Y2944" s="203"/>
      <c r="Z2944" s="170"/>
      <c r="AA2944" s="198"/>
      <c r="AB2944" s="170"/>
      <c r="AC2944" s="170"/>
      <c r="AD2944" s="121"/>
      <c r="AE2944" s="121"/>
      <c r="AF2944" s="121"/>
      <c r="AG2944" s="22"/>
      <c r="AH2944" s="22"/>
      <c r="AI2944" s="22"/>
      <c r="AJ2944" s="22"/>
      <c r="AK2944" s="22"/>
      <c r="AL2944" s="22"/>
      <c r="AM2944" s="22"/>
      <c r="AN2944" s="22"/>
      <c r="AO2944" s="22"/>
      <c r="AP2944" s="22"/>
    </row>
    <row r="2945">
      <c r="A2945" s="193"/>
      <c r="B2945" s="194"/>
      <c r="C2945" s="195"/>
      <c r="D2945" s="196"/>
      <c r="E2945" s="197"/>
      <c r="F2945" s="197"/>
      <c r="G2945" s="195"/>
      <c r="H2945" s="195"/>
      <c r="I2945" s="197"/>
      <c r="J2945" s="121"/>
      <c r="K2945" s="121"/>
      <c r="L2945" s="200"/>
      <c r="M2945" s="204"/>
      <c r="N2945" s="205"/>
      <c r="O2945" s="170"/>
      <c r="P2945" s="198"/>
      <c r="Q2945" s="199"/>
      <c r="R2945" s="200"/>
      <c r="S2945" s="170"/>
      <c r="T2945" s="170"/>
      <c r="U2945" s="201"/>
      <c r="V2945" s="198"/>
      <c r="W2945" s="170"/>
      <c r="X2945" s="202"/>
      <c r="Y2945" s="203"/>
      <c r="Z2945" s="170"/>
      <c r="AA2945" s="198"/>
      <c r="AB2945" s="170"/>
      <c r="AC2945" s="170"/>
      <c r="AD2945" s="121"/>
      <c r="AE2945" s="121"/>
      <c r="AF2945" s="121"/>
      <c r="AG2945" s="22"/>
      <c r="AH2945" s="22"/>
      <c r="AI2945" s="22"/>
      <c r="AJ2945" s="22"/>
      <c r="AK2945" s="22"/>
      <c r="AL2945" s="22"/>
      <c r="AM2945" s="22"/>
      <c r="AN2945" s="22"/>
      <c r="AO2945" s="22"/>
      <c r="AP2945" s="22"/>
    </row>
    <row r="2946">
      <c r="A2946" s="193"/>
      <c r="B2946" s="194"/>
      <c r="C2946" s="195"/>
      <c r="D2946" s="196"/>
      <c r="E2946" s="197"/>
      <c r="F2946" s="197"/>
      <c r="G2946" s="195"/>
      <c r="H2946" s="195"/>
      <c r="I2946" s="197"/>
      <c r="J2946" s="121"/>
      <c r="K2946" s="121"/>
      <c r="L2946" s="200"/>
      <c r="M2946" s="204"/>
      <c r="N2946" s="205"/>
      <c r="O2946" s="170"/>
      <c r="P2946" s="198"/>
      <c r="Q2946" s="199"/>
      <c r="R2946" s="200"/>
      <c r="S2946" s="170"/>
      <c r="T2946" s="170"/>
      <c r="U2946" s="201"/>
      <c r="V2946" s="198"/>
      <c r="W2946" s="170"/>
      <c r="X2946" s="202"/>
      <c r="Y2946" s="203"/>
      <c r="Z2946" s="170"/>
      <c r="AA2946" s="198"/>
      <c r="AB2946" s="170"/>
      <c r="AC2946" s="170"/>
      <c r="AD2946" s="121"/>
      <c r="AE2946" s="121"/>
      <c r="AF2946" s="121"/>
      <c r="AG2946" s="22"/>
      <c r="AH2946" s="22"/>
      <c r="AI2946" s="22"/>
      <c r="AJ2946" s="22"/>
      <c r="AK2946" s="22"/>
      <c r="AL2946" s="22"/>
      <c r="AM2946" s="22"/>
      <c r="AN2946" s="22"/>
      <c r="AO2946" s="22"/>
      <c r="AP2946" s="22"/>
    </row>
    <row r="2947">
      <c r="A2947" s="193"/>
      <c r="B2947" s="194"/>
      <c r="C2947" s="195"/>
      <c r="D2947" s="196"/>
      <c r="E2947" s="197"/>
      <c r="F2947" s="197"/>
      <c r="G2947" s="195"/>
      <c r="H2947" s="195"/>
      <c r="I2947" s="197"/>
      <c r="J2947" s="121"/>
      <c r="K2947" s="121"/>
      <c r="L2947" s="200"/>
      <c r="M2947" s="204"/>
      <c r="N2947" s="205"/>
      <c r="O2947" s="170"/>
      <c r="P2947" s="198"/>
      <c r="Q2947" s="199"/>
      <c r="R2947" s="200"/>
      <c r="S2947" s="170"/>
      <c r="T2947" s="170"/>
      <c r="U2947" s="201"/>
      <c r="V2947" s="198"/>
      <c r="W2947" s="170"/>
      <c r="X2947" s="202"/>
      <c r="Y2947" s="203"/>
      <c r="Z2947" s="170"/>
      <c r="AA2947" s="198"/>
      <c r="AB2947" s="170"/>
      <c r="AC2947" s="170"/>
      <c r="AD2947" s="121"/>
      <c r="AE2947" s="121"/>
      <c r="AF2947" s="121"/>
      <c r="AG2947" s="22"/>
      <c r="AH2947" s="22"/>
      <c r="AI2947" s="22"/>
      <c r="AJ2947" s="22"/>
      <c r="AK2947" s="22"/>
      <c r="AL2947" s="22"/>
      <c r="AM2947" s="22"/>
      <c r="AN2947" s="22"/>
      <c r="AO2947" s="22"/>
      <c r="AP2947" s="22"/>
    </row>
    <row r="2948">
      <c r="A2948" s="193"/>
      <c r="B2948" s="194"/>
      <c r="C2948" s="195"/>
      <c r="D2948" s="196"/>
      <c r="E2948" s="197"/>
      <c r="F2948" s="197"/>
      <c r="G2948" s="195"/>
      <c r="H2948" s="195"/>
      <c r="I2948" s="197"/>
      <c r="J2948" s="121"/>
      <c r="K2948" s="121"/>
      <c r="L2948" s="200"/>
      <c r="M2948" s="204"/>
      <c r="N2948" s="205"/>
      <c r="O2948" s="170"/>
      <c r="P2948" s="198"/>
      <c r="Q2948" s="199"/>
      <c r="R2948" s="200"/>
      <c r="S2948" s="170"/>
      <c r="T2948" s="170"/>
      <c r="U2948" s="201"/>
      <c r="V2948" s="198"/>
      <c r="W2948" s="170"/>
      <c r="X2948" s="202"/>
      <c r="Y2948" s="203"/>
      <c r="Z2948" s="170"/>
      <c r="AA2948" s="198"/>
      <c r="AB2948" s="170"/>
      <c r="AC2948" s="170"/>
      <c r="AD2948" s="121"/>
      <c r="AE2948" s="121"/>
      <c r="AF2948" s="121"/>
      <c r="AG2948" s="22"/>
      <c r="AH2948" s="22"/>
      <c r="AI2948" s="22"/>
      <c r="AJ2948" s="22"/>
      <c r="AK2948" s="22"/>
      <c r="AL2948" s="22"/>
      <c r="AM2948" s="22"/>
      <c r="AN2948" s="22"/>
      <c r="AO2948" s="22"/>
      <c r="AP2948" s="22"/>
    </row>
    <row r="2949">
      <c r="A2949" s="193"/>
      <c r="B2949" s="194"/>
      <c r="C2949" s="195"/>
      <c r="D2949" s="196"/>
      <c r="E2949" s="197"/>
      <c r="F2949" s="197"/>
      <c r="G2949" s="195"/>
      <c r="H2949" s="195"/>
      <c r="I2949" s="197"/>
      <c r="J2949" s="121"/>
      <c r="K2949" s="121"/>
      <c r="L2949" s="200"/>
      <c r="M2949" s="204"/>
      <c r="N2949" s="205"/>
      <c r="O2949" s="170"/>
      <c r="P2949" s="198"/>
      <c r="Q2949" s="199"/>
      <c r="R2949" s="200"/>
      <c r="S2949" s="170"/>
      <c r="T2949" s="170"/>
      <c r="U2949" s="201"/>
      <c r="V2949" s="198"/>
      <c r="W2949" s="170"/>
      <c r="X2949" s="202"/>
      <c r="Y2949" s="203"/>
      <c r="Z2949" s="170"/>
      <c r="AA2949" s="198"/>
      <c r="AB2949" s="170"/>
      <c r="AC2949" s="170"/>
      <c r="AD2949" s="121"/>
      <c r="AE2949" s="121"/>
      <c r="AF2949" s="121"/>
      <c r="AG2949" s="22"/>
      <c r="AH2949" s="22"/>
      <c r="AI2949" s="22"/>
      <c r="AJ2949" s="22"/>
      <c r="AK2949" s="22"/>
      <c r="AL2949" s="22"/>
      <c r="AM2949" s="22"/>
      <c r="AN2949" s="22"/>
      <c r="AO2949" s="22"/>
      <c r="AP2949" s="22"/>
    </row>
    <row r="2950">
      <c r="A2950" s="193"/>
      <c r="B2950" s="194"/>
      <c r="C2950" s="195"/>
      <c r="D2950" s="196"/>
      <c r="E2950" s="197"/>
      <c r="F2950" s="197"/>
      <c r="G2950" s="195"/>
      <c r="H2950" s="195"/>
      <c r="I2950" s="197"/>
      <c r="J2950" s="121"/>
      <c r="K2950" s="121"/>
      <c r="L2950" s="200"/>
      <c r="M2950" s="204"/>
      <c r="N2950" s="205"/>
      <c r="O2950" s="170"/>
      <c r="P2950" s="198"/>
      <c r="Q2950" s="199"/>
      <c r="R2950" s="200"/>
      <c r="S2950" s="170"/>
      <c r="T2950" s="170"/>
      <c r="U2950" s="201"/>
      <c r="V2950" s="198"/>
      <c r="W2950" s="170"/>
      <c r="X2950" s="202"/>
      <c r="Y2950" s="203"/>
      <c r="Z2950" s="170"/>
      <c r="AA2950" s="198"/>
      <c r="AB2950" s="170"/>
      <c r="AC2950" s="170"/>
      <c r="AD2950" s="121"/>
      <c r="AE2950" s="121"/>
      <c r="AF2950" s="121"/>
      <c r="AG2950" s="22"/>
      <c r="AH2950" s="22"/>
      <c r="AI2950" s="22"/>
      <c r="AJ2950" s="22"/>
      <c r="AK2950" s="22"/>
      <c r="AL2950" s="22"/>
      <c r="AM2950" s="22"/>
      <c r="AN2950" s="22"/>
      <c r="AO2950" s="22"/>
      <c r="AP2950" s="22"/>
    </row>
    <row r="2951">
      <c r="A2951" s="193"/>
      <c r="B2951" s="194"/>
      <c r="C2951" s="195"/>
      <c r="D2951" s="196"/>
      <c r="E2951" s="197"/>
      <c r="F2951" s="197"/>
      <c r="G2951" s="195"/>
      <c r="H2951" s="195"/>
      <c r="I2951" s="197"/>
      <c r="J2951" s="121"/>
      <c r="K2951" s="121"/>
      <c r="L2951" s="200"/>
      <c r="M2951" s="204"/>
      <c r="N2951" s="205"/>
      <c r="O2951" s="170"/>
      <c r="P2951" s="198"/>
      <c r="Q2951" s="199"/>
      <c r="R2951" s="200"/>
      <c r="S2951" s="170"/>
      <c r="T2951" s="170"/>
      <c r="U2951" s="201"/>
      <c r="V2951" s="198"/>
      <c r="W2951" s="170"/>
      <c r="X2951" s="202"/>
      <c r="Y2951" s="203"/>
      <c r="Z2951" s="170"/>
      <c r="AA2951" s="198"/>
      <c r="AB2951" s="170"/>
      <c r="AC2951" s="170"/>
      <c r="AD2951" s="121"/>
      <c r="AE2951" s="121"/>
      <c r="AF2951" s="121"/>
      <c r="AG2951" s="22"/>
      <c r="AH2951" s="22"/>
      <c r="AI2951" s="22"/>
      <c r="AJ2951" s="22"/>
      <c r="AK2951" s="22"/>
      <c r="AL2951" s="22"/>
      <c r="AM2951" s="22"/>
      <c r="AN2951" s="22"/>
      <c r="AO2951" s="22"/>
      <c r="AP2951" s="22"/>
    </row>
    <row r="2952">
      <c r="A2952" s="193"/>
      <c r="B2952" s="194"/>
      <c r="C2952" s="195"/>
      <c r="D2952" s="196"/>
      <c r="E2952" s="197"/>
      <c r="F2952" s="197"/>
      <c r="G2952" s="195"/>
      <c r="H2952" s="195"/>
      <c r="I2952" s="197"/>
      <c r="J2952" s="121"/>
      <c r="K2952" s="121"/>
      <c r="L2952" s="200"/>
      <c r="M2952" s="204"/>
      <c r="N2952" s="205"/>
      <c r="O2952" s="170"/>
      <c r="P2952" s="198"/>
      <c r="Q2952" s="199"/>
      <c r="R2952" s="200"/>
      <c r="S2952" s="170"/>
      <c r="T2952" s="170"/>
      <c r="U2952" s="201"/>
      <c r="V2952" s="198"/>
      <c r="W2952" s="170"/>
      <c r="X2952" s="202"/>
      <c r="Y2952" s="203"/>
      <c r="Z2952" s="170"/>
      <c r="AA2952" s="198"/>
      <c r="AB2952" s="170"/>
      <c r="AC2952" s="170"/>
      <c r="AD2952" s="121"/>
      <c r="AE2952" s="121"/>
      <c r="AF2952" s="121"/>
      <c r="AG2952" s="22"/>
      <c r="AH2952" s="22"/>
      <c r="AI2952" s="22"/>
      <c r="AJ2952" s="22"/>
      <c r="AK2952" s="22"/>
      <c r="AL2952" s="22"/>
      <c r="AM2952" s="22"/>
      <c r="AN2952" s="22"/>
      <c r="AO2952" s="22"/>
      <c r="AP2952" s="22"/>
    </row>
    <row r="2953">
      <c r="A2953" s="193"/>
      <c r="B2953" s="194"/>
      <c r="C2953" s="195"/>
      <c r="D2953" s="196"/>
      <c r="E2953" s="197"/>
      <c r="F2953" s="197"/>
      <c r="G2953" s="195"/>
      <c r="H2953" s="195"/>
      <c r="I2953" s="197"/>
      <c r="J2953" s="121"/>
      <c r="K2953" s="121"/>
      <c r="L2953" s="200"/>
      <c r="M2953" s="204"/>
      <c r="N2953" s="205"/>
      <c r="O2953" s="170"/>
      <c r="P2953" s="198"/>
      <c r="Q2953" s="199"/>
      <c r="R2953" s="200"/>
      <c r="S2953" s="170"/>
      <c r="T2953" s="170"/>
      <c r="U2953" s="201"/>
      <c r="V2953" s="198"/>
      <c r="W2953" s="170"/>
      <c r="X2953" s="202"/>
      <c r="Y2953" s="203"/>
      <c r="Z2953" s="170"/>
      <c r="AA2953" s="198"/>
      <c r="AB2953" s="170"/>
      <c r="AC2953" s="170"/>
      <c r="AD2953" s="121"/>
      <c r="AE2953" s="121"/>
      <c r="AF2953" s="121"/>
      <c r="AG2953" s="22"/>
      <c r="AH2953" s="22"/>
      <c r="AI2953" s="22"/>
      <c r="AJ2953" s="22"/>
      <c r="AK2953" s="22"/>
      <c r="AL2953" s="22"/>
      <c r="AM2953" s="22"/>
      <c r="AN2953" s="22"/>
      <c r="AO2953" s="22"/>
      <c r="AP2953" s="22"/>
    </row>
    <row r="2954">
      <c r="A2954" s="193"/>
      <c r="B2954" s="194"/>
      <c r="C2954" s="195"/>
      <c r="D2954" s="196"/>
      <c r="E2954" s="197"/>
      <c r="F2954" s="197"/>
      <c r="G2954" s="195"/>
      <c r="H2954" s="195"/>
      <c r="I2954" s="197"/>
      <c r="J2954" s="121"/>
      <c r="K2954" s="121"/>
      <c r="L2954" s="200"/>
      <c r="M2954" s="204"/>
      <c r="N2954" s="205"/>
      <c r="O2954" s="170"/>
      <c r="P2954" s="198"/>
      <c r="Q2954" s="199"/>
      <c r="R2954" s="200"/>
      <c r="S2954" s="170"/>
      <c r="T2954" s="170"/>
      <c r="U2954" s="201"/>
      <c r="V2954" s="198"/>
      <c r="W2954" s="170"/>
      <c r="X2954" s="202"/>
      <c r="Y2954" s="203"/>
      <c r="Z2954" s="170"/>
      <c r="AA2954" s="198"/>
      <c r="AB2954" s="170"/>
      <c r="AC2954" s="170"/>
      <c r="AD2954" s="121"/>
      <c r="AE2954" s="121"/>
      <c r="AF2954" s="121"/>
      <c r="AG2954" s="22"/>
      <c r="AH2954" s="22"/>
      <c r="AI2954" s="22"/>
      <c r="AJ2954" s="22"/>
      <c r="AK2954" s="22"/>
      <c r="AL2954" s="22"/>
      <c r="AM2954" s="22"/>
      <c r="AN2954" s="22"/>
      <c r="AO2954" s="22"/>
      <c r="AP2954" s="22"/>
    </row>
    <row r="2955">
      <c r="A2955" s="193"/>
      <c r="B2955" s="194"/>
      <c r="C2955" s="195"/>
      <c r="D2955" s="196"/>
      <c r="E2955" s="197"/>
      <c r="F2955" s="197"/>
      <c r="G2955" s="195"/>
      <c r="H2955" s="195"/>
      <c r="I2955" s="197"/>
      <c r="J2955" s="121"/>
      <c r="K2955" s="121"/>
      <c r="L2955" s="200"/>
      <c r="M2955" s="204"/>
      <c r="N2955" s="205"/>
      <c r="O2955" s="170"/>
      <c r="P2955" s="198"/>
      <c r="Q2955" s="199"/>
      <c r="R2955" s="200"/>
      <c r="S2955" s="170"/>
      <c r="T2955" s="170"/>
      <c r="U2955" s="201"/>
      <c r="V2955" s="198"/>
      <c r="W2955" s="170"/>
      <c r="X2955" s="202"/>
      <c r="Y2955" s="203"/>
      <c r="Z2955" s="170"/>
      <c r="AA2955" s="198"/>
      <c r="AB2955" s="170"/>
      <c r="AC2955" s="170"/>
      <c r="AD2955" s="121"/>
      <c r="AE2955" s="121"/>
      <c r="AF2955" s="121"/>
      <c r="AG2955" s="22"/>
      <c r="AH2955" s="22"/>
      <c r="AI2955" s="22"/>
      <c r="AJ2955" s="22"/>
      <c r="AK2955" s="22"/>
      <c r="AL2955" s="22"/>
      <c r="AM2955" s="22"/>
      <c r="AN2955" s="22"/>
      <c r="AO2955" s="22"/>
      <c r="AP2955" s="22"/>
    </row>
    <row r="2956">
      <c r="A2956" s="193"/>
      <c r="B2956" s="194"/>
      <c r="C2956" s="195"/>
      <c r="D2956" s="196"/>
      <c r="E2956" s="197"/>
      <c r="F2956" s="197"/>
      <c r="G2956" s="195"/>
      <c r="H2956" s="195"/>
      <c r="I2956" s="197"/>
      <c r="J2956" s="121"/>
      <c r="K2956" s="121"/>
      <c r="L2956" s="200"/>
      <c r="M2956" s="204"/>
      <c r="N2956" s="205"/>
      <c r="O2956" s="170"/>
      <c r="P2956" s="198"/>
      <c r="Q2956" s="199"/>
      <c r="R2956" s="200"/>
      <c r="S2956" s="170"/>
      <c r="T2956" s="170"/>
      <c r="U2956" s="201"/>
      <c r="V2956" s="198"/>
      <c r="W2956" s="170"/>
      <c r="X2956" s="202"/>
      <c r="Y2956" s="203"/>
      <c r="Z2956" s="170"/>
      <c r="AA2956" s="198"/>
      <c r="AB2956" s="170"/>
      <c r="AC2956" s="170"/>
      <c r="AD2956" s="121"/>
      <c r="AE2956" s="121"/>
      <c r="AF2956" s="121"/>
      <c r="AG2956" s="22"/>
      <c r="AH2956" s="22"/>
      <c r="AI2956" s="22"/>
      <c r="AJ2956" s="22"/>
      <c r="AK2956" s="22"/>
      <c r="AL2956" s="22"/>
      <c r="AM2956" s="22"/>
      <c r="AN2956" s="22"/>
      <c r="AO2956" s="22"/>
      <c r="AP2956" s="22"/>
    </row>
    <row r="2957">
      <c r="A2957" s="193"/>
      <c r="B2957" s="194"/>
      <c r="C2957" s="195"/>
      <c r="D2957" s="196"/>
      <c r="E2957" s="197"/>
      <c r="F2957" s="197"/>
      <c r="G2957" s="195"/>
      <c r="H2957" s="195"/>
      <c r="I2957" s="197"/>
      <c r="J2957" s="121"/>
      <c r="K2957" s="121"/>
      <c r="L2957" s="200"/>
      <c r="M2957" s="204"/>
      <c r="N2957" s="205"/>
      <c r="O2957" s="170"/>
      <c r="P2957" s="198"/>
      <c r="Q2957" s="199"/>
      <c r="R2957" s="200"/>
      <c r="S2957" s="170"/>
      <c r="T2957" s="170"/>
      <c r="U2957" s="201"/>
      <c r="V2957" s="198"/>
      <c r="W2957" s="170"/>
      <c r="X2957" s="202"/>
      <c r="Y2957" s="203"/>
      <c r="Z2957" s="170"/>
      <c r="AA2957" s="198"/>
      <c r="AB2957" s="170"/>
      <c r="AC2957" s="170"/>
      <c r="AD2957" s="121"/>
      <c r="AE2957" s="121"/>
      <c r="AF2957" s="121"/>
      <c r="AG2957" s="22"/>
      <c r="AH2957" s="22"/>
      <c r="AI2957" s="22"/>
      <c r="AJ2957" s="22"/>
      <c r="AK2957" s="22"/>
      <c r="AL2957" s="22"/>
      <c r="AM2957" s="22"/>
      <c r="AN2957" s="22"/>
      <c r="AO2957" s="22"/>
      <c r="AP2957" s="22"/>
    </row>
    <row r="2958">
      <c r="A2958" s="193"/>
      <c r="B2958" s="194"/>
      <c r="C2958" s="195"/>
      <c r="D2958" s="196"/>
      <c r="E2958" s="197"/>
      <c r="F2958" s="197"/>
      <c r="G2958" s="195"/>
      <c r="H2958" s="195"/>
      <c r="I2958" s="197"/>
      <c r="J2958" s="121"/>
      <c r="K2958" s="121"/>
      <c r="L2958" s="200"/>
      <c r="M2958" s="204"/>
      <c r="N2958" s="205"/>
      <c r="O2958" s="170"/>
      <c r="P2958" s="198"/>
      <c r="Q2958" s="199"/>
      <c r="R2958" s="200"/>
      <c r="S2958" s="170"/>
      <c r="T2958" s="170"/>
      <c r="U2958" s="201"/>
      <c r="V2958" s="198"/>
      <c r="W2958" s="170"/>
      <c r="X2958" s="202"/>
      <c r="Y2958" s="203"/>
      <c r="Z2958" s="170"/>
      <c r="AA2958" s="198"/>
      <c r="AB2958" s="170"/>
      <c r="AC2958" s="170"/>
      <c r="AD2958" s="121"/>
      <c r="AE2958" s="121"/>
      <c r="AF2958" s="121"/>
      <c r="AG2958" s="22"/>
      <c r="AH2958" s="22"/>
      <c r="AI2958" s="22"/>
      <c r="AJ2958" s="22"/>
      <c r="AK2958" s="22"/>
      <c r="AL2958" s="22"/>
      <c r="AM2958" s="22"/>
      <c r="AN2958" s="22"/>
      <c r="AO2958" s="22"/>
      <c r="AP2958" s="22"/>
    </row>
    <row r="2959">
      <c r="A2959" s="193"/>
      <c r="B2959" s="194"/>
      <c r="C2959" s="195"/>
      <c r="D2959" s="196"/>
      <c r="E2959" s="197"/>
      <c r="F2959" s="197"/>
      <c r="G2959" s="195"/>
      <c r="H2959" s="195"/>
      <c r="I2959" s="197"/>
      <c r="J2959" s="121"/>
      <c r="K2959" s="121"/>
      <c r="L2959" s="200"/>
      <c r="M2959" s="204"/>
      <c r="N2959" s="205"/>
      <c r="O2959" s="170"/>
      <c r="P2959" s="198"/>
      <c r="Q2959" s="199"/>
      <c r="R2959" s="200"/>
      <c r="S2959" s="170"/>
      <c r="T2959" s="170"/>
      <c r="U2959" s="201"/>
      <c r="V2959" s="198"/>
      <c r="W2959" s="170"/>
      <c r="X2959" s="202"/>
      <c r="Y2959" s="203"/>
      <c r="Z2959" s="170"/>
      <c r="AA2959" s="198"/>
      <c r="AB2959" s="170"/>
      <c r="AC2959" s="170"/>
      <c r="AD2959" s="121"/>
      <c r="AE2959" s="121"/>
      <c r="AF2959" s="121"/>
      <c r="AG2959" s="22"/>
      <c r="AH2959" s="22"/>
      <c r="AI2959" s="22"/>
      <c r="AJ2959" s="22"/>
      <c r="AK2959" s="22"/>
      <c r="AL2959" s="22"/>
      <c r="AM2959" s="22"/>
      <c r="AN2959" s="22"/>
      <c r="AO2959" s="22"/>
      <c r="AP2959" s="22"/>
    </row>
    <row r="2960">
      <c r="A2960" s="193"/>
      <c r="B2960" s="194"/>
      <c r="C2960" s="195"/>
      <c r="D2960" s="196"/>
      <c r="E2960" s="197"/>
      <c r="F2960" s="197"/>
      <c r="G2960" s="195"/>
      <c r="H2960" s="195"/>
      <c r="I2960" s="197"/>
      <c r="J2960" s="121"/>
      <c r="K2960" s="121"/>
      <c r="L2960" s="200"/>
      <c r="M2960" s="204"/>
      <c r="N2960" s="205"/>
      <c r="O2960" s="170"/>
      <c r="P2960" s="198"/>
      <c r="Q2960" s="199"/>
      <c r="R2960" s="200"/>
      <c r="S2960" s="170"/>
      <c r="T2960" s="170"/>
      <c r="U2960" s="201"/>
      <c r="V2960" s="198"/>
      <c r="W2960" s="170"/>
      <c r="X2960" s="202"/>
      <c r="Y2960" s="203"/>
      <c r="Z2960" s="170"/>
      <c r="AA2960" s="198"/>
      <c r="AB2960" s="170"/>
      <c r="AC2960" s="170"/>
      <c r="AD2960" s="121"/>
      <c r="AE2960" s="121"/>
      <c r="AF2960" s="121"/>
      <c r="AG2960" s="22"/>
      <c r="AH2960" s="22"/>
      <c r="AI2960" s="22"/>
      <c r="AJ2960" s="22"/>
      <c r="AK2960" s="22"/>
      <c r="AL2960" s="22"/>
      <c r="AM2960" s="22"/>
      <c r="AN2960" s="22"/>
      <c r="AO2960" s="22"/>
      <c r="AP2960" s="22"/>
    </row>
    <row r="2961">
      <c r="A2961" s="193"/>
      <c r="B2961" s="194"/>
      <c r="C2961" s="195"/>
      <c r="D2961" s="196"/>
      <c r="E2961" s="197"/>
      <c r="F2961" s="197"/>
      <c r="G2961" s="195"/>
      <c r="H2961" s="195"/>
      <c r="I2961" s="197"/>
      <c r="J2961" s="121"/>
      <c r="K2961" s="121"/>
      <c r="L2961" s="200"/>
      <c r="M2961" s="204"/>
      <c r="N2961" s="205"/>
      <c r="O2961" s="170"/>
      <c r="P2961" s="198"/>
      <c r="Q2961" s="199"/>
      <c r="R2961" s="200"/>
      <c r="S2961" s="170"/>
      <c r="T2961" s="170"/>
      <c r="U2961" s="201"/>
      <c r="V2961" s="198"/>
      <c r="W2961" s="170"/>
      <c r="X2961" s="202"/>
      <c r="Y2961" s="203"/>
      <c r="Z2961" s="170"/>
      <c r="AA2961" s="198"/>
      <c r="AB2961" s="170"/>
      <c r="AC2961" s="170"/>
      <c r="AD2961" s="121"/>
      <c r="AE2961" s="121"/>
      <c r="AF2961" s="121"/>
      <c r="AG2961" s="22"/>
      <c r="AH2961" s="22"/>
      <c r="AI2961" s="22"/>
      <c r="AJ2961" s="22"/>
      <c r="AK2961" s="22"/>
      <c r="AL2961" s="22"/>
      <c r="AM2961" s="22"/>
      <c r="AN2961" s="22"/>
      <c r="AO2961" s="22"/>
      <c r="AP2961" s="22"/>
    </row>
    <row r="2962">
      <c r="A2962" s="193"/>
      <c r="B2962" s="194"/>
      <c r="C2962" s="195"/>
      <c r="D2962" s="196"/>
      <c r="E2962" s="197"/>
      <c r="F2962" s="197"/>
      <c r="G2962" s="195"/>
      <c r="H2962" s="195"/>
      <c r="I2962" s="197"/>
      <c r="J2962" s="121"/>
      <c r="K2962" s="121"/>
      <c r="L2962" s="200"/>
      <c r="M2962" s="204"/>
      <c r="N2962" s="205"/>
      <c r="O2962" s="170"/>
      <c r="P2962" s="198"/>
      <c r="Q2962" s="199"/>
      <c r="R2962" s="200"/>
      <c r="S2962" s="170"/>
      <c r="T2962" s="170"/>
      <c r="U2962" s="201"/>
      <c r="V2962" s="198"/>
      <c r="W2962" s="170"/>
      <c r="X2962" s="202"/>
      <c r="Y2962" s="203"/>
      <c r="Z2962" s="170"/>
      <c r="AA2962" s="198"/>
      <c r="AB2962" s="170"/>
      <c r="AC2962" s="170"/>
      <c r="AD2962" s="121"/>
      <c r="AE2962" s="121"/>
      <c r="AF2962" s="121"/>
      <c r="AG2962" s="22"/>
      <c r="AH2962" s="22"/>
      <c r="AI2962" s="22"/>
      <c r="AJ2962" s="22"/>
      <c r="AK2962" s="22"/>
      <c r="AL2962" s="22"/>
      <c r="AM2962" s="22"/>
      <c r="AN2962" s="22"/>
      <c r="AO2962" s="22"/>
      <c r="AP2962" s="22"/>
    </row>
    <row r="2963">
      <c r="A2963" s="193"/>
      <c r="B2963" s="194"/>
      <c r="C2963" s="195"/>
      <c r="D2963" s="196"/>
      <c r="E2963" s="197"/>
      <c r="F2963" s="197"/>
      <c r="G2963" s="195"/>
      <c r="H2963" s="195"/>
      <c r="I2963" s="197"/>
      <c r="J2963" s="121"/>
      <c r="K2963" s="121"/>
      <c r="L2963" s="200"/>
      <c r="M2963" s="204"/>
      <c r="N2963" s="205"/>
      <c r="O2963" s="170"/>
      <c r="P2963" s="198"/>
      <c r="Q2963" s="199"/>
      <c r="R2963" s="200"/>
      <c r="S2963" s="170"/>
      <c r="T2963" s="170"/>
      <c r="U2963" s="201"/>
      <c r="V2963" s="198"/>
      <c r="W2963" s="170"/>
      <c r="X2963" s="202"/>
      <c r="Y2963" s="203"/>
      <c r="Z2963" s="170"/>
      <c r="AA2963" s="198"/>
      <c r="AB2963" s="170"/>
      <c r="AC2963" s="170"/>
      <c r="AD2963" s="121"/>
      <c r="AE2963" s="121"/>
      <c r="AF2963" s="121"/>
      <c r="AG2963" s="22"/>
      <c r="AH2963" s="22"/>
      <c r="AI2963" s="22"/>
      <c r="AJ2963" s="22"/>
      <c r="AK2963" s="22"/>
      <c r="AL2963" s="22"/>
      <c r="AM2963" s="22"/>
      <c r="AN2963" s="22"/>
      <c r="AO2963" s="22"/>
      <c r="AP2963" s="22"/>
    </row>
    <row r="2964">
      <c r="A2964" s="193"/>
      <c r="B2964" s="194"/>
      <c r="C2964" s="195"/>
      <c r="D2964" s="196"/>
      <c r="E2964" s="197"/>
      <c r="F2964" s="197"/>
      <c r="G2964" s="195"/>
      <c r="H2964" s="195"/>
      <c r="I2964" s="197"/>
      <c r="J2964" s="121"/>
      <c r="K2964" s="121"/>
      <c r="L2964" s="200"/>
      <c r="M2964" s="204"/>
      <c r="N2964" s="205"/>
      <c r="O2964" s="170"/>
      <c r="P2964" s="198"/>
      <c r="Q2964" s="199"/>
      <c r="R2964" s="200"/>
      <c r="S2964" s="170"/>
      <c r="T2964" s="170"/>
      <c r="U2964" s="201"/>
      <c r="V2964" s="198"/>
      <c r="W2964" s="170"/>
      <c r="X2964" s="202"/>
      <c r="Y2964" s="203"/>
      <c r="Z2964" s="170"/>
      <c r="AA2964" s="198"/>
      <c r="AB2964" s="170"/>
      <c r="AC2964" s="170"/>
      <c r="AD2964" s="121"/>
      <c r="AE2964" s="121"/>
      <c r="AF2964" s="121"/>
      <c r="AG2964" s="22"/>
      <c r="AH2964" s="22"/>
      <c r="AI2964" s="22"/>
      <c r="AJ2964" s="22"/>
      <c r="AK2964" s="22"/>
      <c r="AL2964" s="22"/>
      <c r="AM2964" s="22"/>
      <c r="AN2964" s="22"/>
      <c r="AO2964" s="22"/>
      <c r="AP2964" s="22"/>
    </row>
    <row r="2965">
      <c r="A2965" s="193"/>
      <c r="B2965" s="194"/>
      <c r="C2965" s="195"/>
      <c r="D2965" s="196"/>
      <c r="E2965" s="197"/>
      <c r="F2965" s="197"/>
      <c r="G2965" s="195"/>
      <c r="H2965" s="195"/>
      <c r="I2965" s="197"/>
      <c r="J2965" s="121"/>
      <c r="K2965" s="121"/>
      <c r="L2965" s="200"/>
      <c r="M2965" s="204"/>
      <c r="N2965" s="205"/>
      <c r="O2965" s="170"/>
      <c r="P2965" s="198"/>
      <c r="Q2965" s="199"/>
      <c r="R2965" s="200"/>
      <c r="S2965" s="170"/>
      <c r="T2965" s="170"/>
      <c r="U2965" s="201"/>
      <c r="V2965" s="198"/>
      <c r="W2965" s="170"/>
      <c r="X2965" s="202"/>
      <c r="Y2965" s="203"/>
      <c r="Z2965" s="170"/>
      <c r="AA2965" s="198"/>
      <c r="AB2965" s="170"/>
      <c r="AC2965" s="170"/>
      <c r="AD2965" s="121"/>
      <c r="AE2965" s="121"/>
      <c r="AF2965" s="121"/>
      <c r="AG2965" s="22"/>
      <c r="AH2965" s="22"/>
      <c r="AI2965" s="22"/>
      <c r="AJ2965" s="22"/>
      <c r="AK2965" s="22"/>
      <c r="AL2965" s="22"/>
      <c r="AM2965" s="22"/>
      <c r="AN2965" s="22"/>
      <c r="AO2965" s="22"/>
      <c r="AP2965" s="22"/>
    </row>
    <row r="2966">
      <c r="A2966" s="193"/>
      <c r="B2966" s="194"/>
      <c r="C2966" s="195"/>
      <c r="D2966" s="196"/>
      <c r="E2966" s="197"/>
      <c r="F2966" s="197"/>
      <c r="G2966" s="195"/>
      <c r="H2966" s="195"/>
      <c r="I2966" s="197"/>
      <c r="J2966" s="121"/>
      <c r="K2966" s="121"/>
      <c r="L2966" s="200"/>
      <c r="M2966" s="204"/>
      <c r="N2966" s="205"/>
      <c r="O2966" s="170"/>
      <c r="P2966" s="198"/>
      <c r="Q2966" s="199"/>
      <c r="R2966" s="200"/>
      <c r="S2966" s="170"/>
      <c r="T2966" s="170"/>
      <c r="U2966" s="201"/>
      <c r="V2966" s="198"/>
      <c r="W2966" s="170"/>
      <c r="X2966" s="202"/>
      <c r="Y2966" s="203"/>
      <c r="Z2966" s="170"/>
      <c r="AA2966" s="198"/>
      <c r="AB2966" s="170"/>
      <c r="AC2966" s="170"/>
      <c r="AD2966" s="121"/>
      <c r="AE2966" s="121"/>
      <c r="AF2966" s="121"/>
      <c r="AG2966" s="22"/>
      <c r="AH2966" s="22"/>
      <c r="AI2966" s="22"/>
      <c r="AJ2966" s="22"/>
      <c r="AK2966" s="22"/>
      <c r="AL2966" s="22"/>
      <c r="AM2966" s="22"/>
      <c r="AN2966" s="22"/>
      <c r="AO2966" s="22"/>
      <c r="AP2966" s="22"/>
    </row>
    <row r="2967">
      <c r="A2967" s="193"/>
      <c r="B2967" s="194"/>
      <c r="C2967" s="195"/>
      <c r="D2967" s="196"/>
      <c r="E2967" s="197"/>
      <c r="F2967" s="197"/>
      <c r="G2967" s="195"/>
      <c r="H2967" s="195"/>
      <c r="I2967" s="197"/>
      <c r="J2967" s="121"/>
      <c r="K2967" s="121"/>
      <c r="L2967" s="200"/>
      <c r="M2967" s="204"/>
      <c r="N2967" s="205"/>
      <c r="O2967" s="170"/>
      <c r="P2967" s="198"/>
      <c r="Q2967" s="199"/>
      <c r="R2967" s="200"/>
      <c r="S2967" s="170"/>
      <c r="T2967" s="170"/>
      <c r="U2967" s="201"/>
      <c r="V2967" s="198"/>
      <c r="W2967" s="170"/>
      <c r="X2967" s="202"/>
      <c r="Y2967" s="203"/>
      <c r="Z2967" s="170"/>
      <c r="AA2967" s="198"/>
      <c r="AB2967" s="170"/>
      <c r="AC2967" s="170"/>
      <c r="AD2967" s="121"/>
      <c r="AE2967" s="121"/>
      <c r="AF2967" s="121"/>
      <c r="AG2967" s="22"/>
      <c r="AH2967" s="22"/>
      <c r="AI2967" s="22"/>
      <c r="AJ2967" s="22"/>
      <c r="AK2967" s="22"/>
      <c r="AL2967" s="22"/>
      <c r="AM2967" s="22"/>
      <c r="AN2967" s="22"/>
      <c r="AO2967" s="22"/>
      <c r="AP2967" s="22"/>
    </row>
    <row r="2968">
      <c r="A2968" s="193"/>
      <c r="B2968" s="194"/>
      <c r="C2968" s="195"/>
      <c r="D2968" s="196"/>
      <c r="E2968" s="197"/>
      <c r="F2968" s="197"/>
      <c r="G2968" s="195"/>
      <c r="H2968" s="195"/>
      <c r="I2968" s="197"/>
      <c r="J2968" s="121"/>
      <c r="K2968" s="121"/>
      <c r="L2968" s="200"/>
      <c r="M2968" s="204"/>
      <c r="N2968" s="205"/>
      <c r="O2968" s="170"/>
      <c r="P2968" s="198"/>
      <c r="Q2968" s="199"/>
      <c r="R2968" s="200"/>
      <c r="S2968" s="170"/>
      <c r="T2968" s="170"/>
      <c r="U2968" s="201"/>
      <c r="V2968" s="198"/>
      <c r="W2968" s="170"/>
      <c r="X2968" s="202"/>
      <c r="Y2968" s="203"/>
      <c r="Z2968" s="170"/>
      <c r="AA2968" s="198"/>
      <c r="AB2968" s="170"/>
      <c r="AC2968" s="170"/>
      <c r="AD2968" s="121"/>
      <c r="AE2968" s="121"/>
      <c r="AF2968" s="121"/>
      <c r="AG2968" s="22"/>
      <c r="AH2968" s="22"/>
      <c r="AI2968" s="22"/>
      <c r="AJ2968" s="22"/>
      <c r="AK2968" s="22"/>
      <c r="AL2968" s="22"/>
      <c r="AM2968" s="22"/>
      <c r="AN2968" s="22"/>
      <c r="AO2968" s="22"/>
      <c r="AP2968" s="22"/>
    </row>
    <row r="2969">
      <c r="A2969" s="193"/>
      <c r="B2969" s="194"/>
      <c r="C2969" s="195"/>
      <c r="D2969" s="196"/>
      <c r="E2969" s="197"/>
      <c r="F2969" s="197"/>
      <c r="G2969" s="195"/>
      <c r="H2969" s="195"/>
      <c r="I2969" s="197"/>
      <c r="J2969" s="121"/>
      <c r="K2969" s="121"/>
      <c r="L2969" s="200"/>
      <c r="M2969" s="204"/>
      <c r="N2969" s="205"/>
      <c r="O2969" s="170"/>
      <c r="P2969" s="198"/>
      <c r="Q2969" s="199"/>
      <c r="R2969" s="200"/>
      <c r="S2969" s="170"/>
      <c r="T2969" s="170"/>
      <c r="U2969" s="201"/>
      <c r="V2969" s="198"/>
      <c r="W2969" s="170"/>
      <c r="X2969" s="202"/>
      <c r="Y2969" s="203"/>
      <c r="Z2969" s="170"/>
      <c r="AA2969" s="198"/>
      <c r="AB2969" s="170"/>
      <c r="AC2969" s="170"/>
      <c r="AD2969" s="121"/>
      <c r="AE2969" s="121"/>
      <c r="AF2969" s="121"/>
      <c r="AG2969" s="22"/>
      <c r="AH2969" s="22"/>
      <c r="AI2969" s="22"/>
      <c r="AJ2969" s="22"/>
      <c r="AK2969" s="22"/>
      <c r="AL2969" s="22"/>
      <c r="AM2969" s="22"/>
      <c r="AN2969" s="22"/>
      <c r="AO2969" s="22"/>
      <c r="AP2969" s="22"/>
    </row>
    <row r="2970">
      <c r="A2970" s="193"/>
      <c r="B2970" s="194"/>
      <c r="C2970" s="195"/>
      <c r="D2970" s="196"/>
      <c r="E2970" s="197"/>
      <c r="F2970" s="197"/>
      <c r="G2970" s="195"/>
      <c r="H2970" s="195"/>
      <c r="I2970" s="197"/>
      <c r="J2970" s="121"/>
      <c r="K2970" s="121"/>
      <c r="L2970" s="200"/>
      <c r="M2970" s="204"/>
      <c r="N2970" s="205"/>
      <c r="O2970" s="170"/>
      <c r="P2970" s="198"/>
      <c r="Q2970" s="199"/>
      <c r="R2970" s="200"/>
      <c r="S2970" s="170"/>
      <c r="T2970" s="170"/>
      <c r="U2970" s="201"/>
      <c r="V2970" s="198"/>
      <c r="W2970" s="170"/>
      <c r="X2970" s="202"/>
      <c r="Y2970" s="203"/>
      <c r="Z2970" s="170"/>
      <c r="AA2970" s="198"/>
      <c r="AB2970" s="170"/>
      <c r="AC2970" s="170"/>
      <c r="AD2970" s="121"/>
      <c r="AE2970" s="121"/>
      <c r="AF2970" s="121"/>
      <c r="AG2970" s="22"/>
      <c r="AH2970" s="22"/>
      <c r="AI2970" s="22"/>
      <c r="AJ2970" s="22"/>
      <c r="AK2970" s="22"/>
      <c r="AL2970" s="22"/>
      <c r="AM2970" s="22"/>
      <c r="AN2970" s="22"/>
      <c r="AO2970" s="22"/>
      <c r="AP2970" s="22"/>
    </row>
    <row r="2971">
      <c r="A2971" s="193"/>
      <c r="B2971" s="194"/>
      <c r="C2971" s="195"/>
      <c r="D2971" s="196"/>
      <c r="E2971" s="197"/>
      <c r="F2971" s="197"/>
      <c r="G2971" s="195"/>
      <c r="H2971" s="195"/>
      <c r="I2971" s="197"/>
      <c r="J2971" s="121"/>
      <c r="K2971" s="121"/>
      <c r="L2971" s="200"/>
      <c r="M2971" s="204"/>
      <c r="N2971" s="205"/>
      <c r="O2971" s="170"/>
      <c r="P2971" s="198"/>
      <c r="Q2971" s="199"/>
      <c r="R2971" s="200"/>
      <c r="S2971" s="170"/>
      <c r="T2971" s="170"/>
      <c r="U2971" s="201"/>
      <c r="V2971" s="198"/>
      <c r="W2971" s="170"/>
      <c r="X2971" s="202"/>
      <c r="Y2971" s="203"/>
      <c r="Z2971" s="170"/>
      <c r="AA2971" s="198"/>
      <c r="AB2971" s="170"/>
      <c r="AC2971" s="170"/>
      <c r="AD2971" s="121"/>
      <c r="AE2971" s="121"/>
      <c r="AF2971" s="121"/>
      <c r="AG2971" s="22"/>
      <c r="AH2971" s="22"/>
      <c r="AI2971" s="22"/>
      <c r="AJ2971" s="22"/>
      <c r="AK2971" s="22"/>
      <c r="AL2971" s="22"/>
      <c r="AM2971" s="22"/>
      <c r="AN2971" s="22"/>
      <c r="AO2971" s="22"/>
      <c r="AP2971" s="22"/>
    </row>
    <row r="2972">
      <c r="A2972" s="193"/>
      <c r="B2972" s="194"/>
      <c r="C2972" s="195"/>
      <c r="D2972" s="196"/>
      <c r="E2972" s="197"/>
      <c r="F2972" s="197"/>
      <c r="G2972" s="195"/>
      <c r="H2972" s="195"/>
      <c r="I2972" s="197"/>
      <c r="J2972" s="121"/>
      <c r="K2972" s="121"/>
      <c r="L2972" s="200"/>
      <c r="M2972" s="204"/>
      <c r="N2972" s="205"/>
      <c r="O2972" s="170"/>
      <c r="P2972" s="198"/>
      <c r="Q2972" s="199"/>
      <c r="R2972" s="200"/>
      <c r="S2972" s="170"/>
      <c r="T2972" s="170"/>
      <c r="U2972" s="201"/>
      <c r="V2972" s="198"/>
      <c r="W2972" s="170"/>
      <c r="X2972" s="202"/>
      <c r="Y2972" s="203"/>
      <c r="Z2972" s="170"/>
      <c r="AA2972" s="198"/>
      <c r="AB2972" s="170"/>
      <c r="AC2972" s="170"/>
      <c r="AD2972" s="121"/>
      <c r="AE2972" s="121"/>
      <c r="AF2972" s="121"/>
      <c r="AG2972" s="22"/>
      <c r="AH2972" s="22"/>
      <c r="AI2972" s="22"/>
      <c r="AJ2972" s="22"/>
      <c r="AK2972" s="22"/>
      <c r="AL2972" s="22"/>
      <c r="AM2972" s="22"/>
      <c r="AN2972" s="22"/>
      <c r="AO2972" s="22"/>
      <c r="AP2972" s="22"/>
    </row>
    <row r="2973">
      <c r="A2973" s="193"/>
      <c r="B2973" s="194"/>
      <c r="C2973" s="195"/>
      <c r="D2973" s="196"/>
      <c r="E2973" s="197"/>
      <c r="F2973" s="197"/>
      <c r="G2973" s="195"/>
      <c r="H2973" s="195"/>
      <c r="I2973" s="197"/>
      <c r="J2973" s="121"/>
      <c r="K2973" s="121"/>
      <c r="L2973" s="200"/>
      <c r="M2973" s="204"/>
      <c r="N2973" s="205"/>
      <c r="O2973" s="170"/>
      <c r="P2973" s="198"/>
      <c r="Q2973" s="199"/>
      <c r="R2973" s="200"/>
      <c r="S2973" s="170"/>
      <c r="T2973" s="170"/>
      <c r="U2973" s="201"/>
      <c r="V2973" s="198"/>
      <c r="W2973" s="170"/>
      <c r="X2973" s="202"/>
      <c r="Y2973" s="203"/>
      <c r="Z2973" s="170"/>
      <c r="AA2973" s="198"/>
      <c r="AB2973" s="170"/>
      <c r="AC2973" s="170"/>
      <c r="AD2973" s="121"/>
      <c r="AE2973" s="121"/>
      <c r="AF2973" s="121"/>
      <c r="AG2973" s="22"/>
      <c r="AH2973" s="22"/>
      <c r="AI2973" s="22"/>
      <c r="AJ2973" s="22"/>
      <c r="AK2973" s="22"/>
      <c r="AL2973" s="22"/>
      <c r="AM2973" s="22"/>
      <c r="AN2973" s="22"/>
      <c r="AO2973" s="22"/>
      <c r="AP2973" s="22"/>
    </row>
    <row r="2974">
      <c r="A2974" s="193"/>
      <c r="B2974" s="194"/>
      <c r="C2974" s="195"/>
      <c r="D2974" s="196"/>
      <c r="E2974" s="197"/>
      <c r="F2974" s="197"/>
      <c r="G2974" s="195"/>
      <c r="H2974" s="195"/>
      <c r="I2974" s="197"/>
      <c r="J2974" s="121"/>
      <c r="K2974" s="121"/>
      <c r="L2974" s="200"/>
      <c r="M2974" s="204"/>
      <c r="N2974" s="205"/>
      <c r="O2974" s="170"/>
      <c r="P2974" s="198"/>
      <c r="Q2974" s="199"/>
      <c r="R2974" s="200"/>
      <c r="S2974" s="170"/>
      <c r="T2974" s="170"/>
      <c r="U2974" s="201"/>
      <c r="V2974" s="198"/>
      <c r="W2974" s="170"/>
      <c r="X2974" s="202"/>
      <c r="Y2974" s="203"/>
      <c r="Z2974" s="170"/>
      <c r="AA2974" s="198"/>
      <c r="AB2974" s="170"/>
      <c r="AC2974" s="170"/>
      <c r="AD2974" s="121"/>
      <c r="AE2974" s="121"/>
      <c r="AF2974" s="121"/>
      <c r="AG2974" s="22"/>
      <c r="AH2974" s="22"/>
      <c r="AI2974" s="22"/>
      <c r="AJ2974" s="22"/>
      <c r="AK2974" s="22"/>
      <c r="AL2974" s="22"/>
      <c r="AM2974" s="22"/>
      <c r="AN2974" s="22"/>
      <c r="AO2974" s="22"/>
      <c r="AP2974" s="22"/>
    </row>
    <row r="2975">
      <c r="A2975" s="193"/>
      <c r="B2975" s="194"/>
      <c r="C2975" s="195"/>
      <c r="D2975" s="196"/>
      <c r="E2975" s="197"/>
      <c r="F2975" s="197"/>
      <c r="G2975" s="195"/>
      <c r="H2975" s="195"/>
      <c r="I2975" s="197"/>
      <c r="J2975" s="121"/>
      <c r="K2975" s="121"/>
      <c r="L2975" s="200"/>
      <c r="M2975" s="204"/>
      <c r="N2975" s="205"/>
      <c r="O2975" s="170"/>
      <c r="P2975" s="198"/>
      <c r="Q2975" s="199"/>
      <c r="R2975" s="200"/>
      <c r="S2975" s="170"/>
      <c r="T2975" s="170"/>
      <c r="U2975" s="201"/>
      <c r="V2975" s="198"/>
      <c r="W2975" s="170"/>
      <c r="X2975" s="202"/>
      <c r="Y2975" s="203"/>
      <c r="Z2975" s="170"/>
      <c r="AA2975" s="198"/>
      <c r="AB2975" s="170"/>
      <c r="AC2975" s="170"/>
      <c r="AD2975" s="121"/>
      <c r="AE2975" s="121"/>
      <c r="AF2975" s="121"/>
      <c r="AG2975" s="22"/>
      <c r="AH2975" s="22"/>
      <c r="AI2975" s="22"/>
      <c r="AJ2975" s="22"/>
      <c r="AK2975" s="22"/>
      <c r="AL2975" s="22"/>
      <c r="AM2975" s="22"/>
      <c r="AN2975" s="22"/>
      <c r="AO2975" s="22"/>
      <c r="AP2975" s="22"/>
    </row>
    <row r="2976">
      <c r="A2976" s="193"/>
      <c r="B2976" s="194"/>
      <c r="C2976" s="195"/>
      <c r="D2976" s="196"/>
      <c r="E2976" s="197"/>
      <c r="F2976" s="197"/>
      <c r="G2976" s="195"/>
      <c r="H2976" s="195"/>
      <c r="I2976" s="197"/>
      <c r="J2976" s="121"/>
      <c r="K2976" s="121"/>
      <c r="L2976" s="200"/>
      <c r="M2976" s="204"/>
      <c r="N2976" s="205"/>
      <c r="O2976" s="170"/>
      <c r="P2976" s="198"/>
      <c r="Q2976" s="199"/>
      <c r="R2976" s="200"/>
      <c r="S2976" s="170"/>
      <c r="T2976" s="170"/>
      <c r="U2976" s="201"/>
      <c r="V2976" s="198"/>
      <c r="W2976" s="170"/>
      <c r="X2976" s="202"/>
      <c r="Y2976" s="203"/>
      <c r="Z2976" s="170"/>
      <c r="AA2976" s="198"/>
      <c r="AB2976" s="170"/>
      <c r="AC2976" s="170"/>
      <c r="AD2976" s="121"/>
      <c r="AE2976" s="121"/>
      <c r="AF2976" s="121"/>
      <c r="AG2976" s="22"/>
      <c r="AH2976" s="22"/>
      <c r="AI2976" s="22"/>
      <c r="AJ2976" s="22"/>
      <c r="AK2976" s="22"/>
      <c r="AL2976" s="22"/>
      <c r="AM2976" s="22"/>
      <c r="AN2976" s="22"/>
      <c r="AO2976" s="22"/>
      <c r="AP2976" s="22"/>
    </row>
    <row r="2977">
      <c r="A2977" s="193"/>
      <c r="B2977" s="194"/>
      <c r="C2977" s="195"/>
      <c r="D2977" s="196"/>
      <c r="E2977" s="197"/>
      <c r="F2977" s="197"/>
      <c r="G2977" s="195"/>
      <c r="H2977" s="195"/>
      <c r="I2977" s="197"/>
      <c r="J2977" s="121"/>
      <c r="K2977" s="121"/>
      <c r="L2977" s="200"/>
      <c r="M2977" s="204"/>
      <c r="N2977" s="205"/>
      <c r="O2977" s="170"/>
      <c r="P2977" s="198"/>
      <c r="Q2977" s="199"/>
      <c r="R2977" s="200"/>
      <c r="S2977" s="170"/>
      <c r="T2977" s="170"/>
      <c r="U2977" s="201"/>
      <c r="V2977" s="198"/>
      <c r="W2977" s="170"/>
      <c r="X2977" s="202"/>
      <c r="Y2977" s="203"/>
      <c r="Z2977" s="170"/>
      <c r="AA2977" s="198"/>
      <c r="AB2977" s="170"/>
      <c r="AC2977" s="170"/>
      <c r="AD2977" s="121"/>
      <c r="AE2977" s="121"/>
      <c r="AF2977" s="121"/>
      <c r="AG2977" s="22"/>
      <c r="AH2977" s="22"/>
      <c r="AI2977" s="22"/>
      <c r="AJ2977" s="22"/>
      <c r="AK2977" s="22"/>
      <c r="AL2977" s="22"/>
      <c r="AM2977" s="22"/>
      <c r="AN2977" s="22"/>
      <c r="AO2977" s="22"/>
      <c r="AP2977" s="22"/>
    </row>
    <row r="2978">
      <c r="A2978" s="193"/>
      <c r="B2978" s="194"/>
      <c r="C2978" s="195"/>
      <c r="D2978" s="196"/>
      <c r="E2978" s="197"/>
      <c r="F2978" s="197"/>
      <c r="G2978" s="195"/>
      <c r="H2978" s="195"/>
      <c r="I2978" s="197"/>
      <c r="J2978" s="121"/>
      <c r="K2978" s="121"/>
      <c r="L2978" s="200"/>
      <c r="M2978" s="204"/>
      <c r="N2978" s="205"/>
      <c r="O2978" s="170"/>
      <c r="P2978" s="198"/>
      <c r="Q2978" s="199"/>
      <c r="R2978" s="200"/>
      <c r="S2978" s="170"/>
      <c r="T2978" s="170"/>
      <c r="U2978" s="201"/>
      <c r="V2978" s="198"/>
      <c r="W2978" s="170"/>
      <c r="X2978" s="202"/>
      <c r="Y2978" s="203"/>
      <c r="Z2978" s="170"/>
      <c r="AA2978" s="198"/>
      <c r="AB2978" s="170"/>
      <c r="AC2978" s="170"/>
      <c r="AD2978" s="121"/>
      <c r="AE2978" s="121"/>
      <c r="AF2978" s="121"/>
      <c r="AG2978" s="22"/>
      <c r="AH2978" s="22"/>
      <c r="AI2978" s="22"/>
      <c r="AJ2978" s="22"/>
      <c r="AK2978" s="22"/>
      <c r="AL2978" s="22"/>
      <c r="AM2978" s="22"/>
      <c r="AN2978" s="22"/>
      <c r="AO2978" s="22"/>
      <c r="AP2978" s="22"/>
    </row>
    <row r="2979">
      <c r="A2979" s="193"/>
      <c r="B2979" s="194"/>
      <c r="C2979" s="195"/>
      <c r="D2979" s="196"/>
      <c r="E2979" s="197"/>
      <c r="F2979" s="197"/>
      <c r="G2979" s="195"/>
      <c r="H2979" s="195"/>
      <c r="I2979" s="197"/>
      <c r="J2979" s="121"/>
      <c r="K2979" s="121"/>
      <c r="L2979" s="200"/>
      <c r="M2979" s="204"/>
      <c r="N2979" s="205"/>
      <c r="O2979" s="170"/>
      <c r="P2979" s="198"/>
      <c r="Q2979" s="199"/>
      <c r="R2979" s="200"/>
      <c r="S2979" s="170"/>
      <c r="T2979" s="170"/>
      <c r="U2979" s="201"/>
      <c r="V2979" s="198"/>
      <c r="W2979" s="170"/>
      <c r="X2979" s="202"/>
      <c r="Y2979" s="203"/>
      <c r="Z2979" s="170"/>
      <c r="AA2979" s="198"/>
      <c r="AB2979" s="170"/>
      <c r="AC2979" s="170"/>
      <c r="AD2979" s="121"/>
      <c r="AE2979" s="121"/>
      <c r="AF2979" s="121"/>
      <c r="AG2979" s="22"/>
      <c r="AH2979" s="22"/>
      <c r="AI2979" s="22"/>
      <c r="AJ2979" s="22"/>
      <c r="AK2979" s="22"/>
      <c r="AL2979" s="22"/>
      <c r="AM2979" s="22"/>
      <c r="AN2979" s="22"/>
      <c r="AO2979" s="22"/>
      <c r="AP2979" s="22"/>
    </row>
    <row r="2980">
      <c r="A2980" s="193"/>
      <c r="B2980" s="194"/>
      <c r="C2980" s="195"/>
      <c r="D2980" s="196"/>
      <c r="E2980" s="197"/>
      <c r="F2980" s="197"/>
      <c r="G2980" s="195"/>
      <c r="H2980" s="195"/>
      <c r="I2980" s="197"/>
      <c r="J2980" s="121"/>
      <c r="K2980" s="121"/>
      <c r="L2980" s="200"/>
      <c r="M2980" s="204"/>
      <c r="N2980" s="205"/>
      <c r="O2980" s="170"/>
      <c r="P2980" s="198"/>
      <c r="Q2980" s="199"/>
      <c r="R2980" s="200"/>
      <c r="S2980" s="170"/>
      <c r="T2980" s="170"/>
      <c r="U2980" s="201"/>
      <c r="V2980" s="198"/>
      <c r="W2980" s="170"/>
      <c r="X2980" s="202"/>
      <c r="Y2980" s="203"/>
      <c r="Z2980" s="170"/>
      <c r="AA2980" s="198"/>
      <c r="AB2980" s="170"/>
      <c r="AC2980" s="170"/>
      <c r="AD2980" s="121"/>
      <c r="AE2980" s="121"/>
      <c r="AF2980" s="121"/>
      <c r="AG2980" s="22"/>
      <c r="AH2980" s="22"/>
      <c r="AI2980" s="22"/>
      <c r="AJ2980" s="22"/>
      <c r="AK2980" s="22"/>
      <c r="AL2980" s="22"/>
      <c r="AM2980" s="22"/>
      <c r="AN2980" s="22"/>
      <c r="AO2980" s="22"/>
      <c r="AP2980" s="22"/>
    </row>
    <row r="2981">
      <c r="A2981" s="193"/>
      <c r="B2981" s="194"/>
      <c r="C2981" s="195"/>
      <c r="D2981" s="196"/>
      <c r="E2981" s="197"/>
      <c r="F2981" s="197"/>
      <c r="G2981" s="195"/>
      <c r="H2981" s="195"/>
      <c r="I2981" s="197"/>
      <c r="J2981" s="121"/>
      <c r="K2981" s="121"/>
      <c r="L2981" s="200"/>
      <c r="M2981" s="204"/>
      <c r="N2981" s="205"/>
      <c r="O2981" s="170"/>
      <c r="P2981" s="198"/>
      <c r="Q2981" s="199"/>
      <c r="R2981" s="200"/>
      <c r="S2981" s="170"/>
      <c r="T2981" s="170"/>
      <c r="U2981" s="201"/>
      <c r="V2981" s="198"/>
      <c r="W2981" s="170"/>
      <c r="X2981" s="202"/>
      <c r="Y2981" s="203"/>
      <c r="Z2981" s="170"/>
      <c r="AA2981" s="198"/>
      <c r="AB2981" s="170"/>
      <c r="AC2981" s="170"/>
      <c r="AD2981" s="121"/>
      <c r="AE2981" s="121"/>
      <c r="AF2981" s="121"/>
      <c r="AG2981" s="22"/>
      <c r="AH2981" s="22"/>
      <c r="AI2981" s="22"/>
      <c r="AJ2981" s="22"/>
      <c r="AK2981" s="22"/>
      <c r="AL2981" s="22"/>
      <c r="AM2981" s="22"/>
      <c r="AN2981" s="22"/>
      <c r="AO2981" s="22"/>
      <c r="AP2981" s="22"/>
    </row>
    <row r="2982">
      <c r="A2982" s="193"/>
      <c r="B2982" s="194"/>
      <c r="C2982" s="195"/>
      <c r="D2982" s="196"/>
      <c r="E2982" s="197"/>
      <c r="F2982" s="197"/>
      <c r="G2982" s="195"/>
      <c r="H2982" s="195"/>
      <c r="I2982" s="197"/>
      <c r="J2982" s="121"/>
      <c r="K2982" s="121"/>
      <c r="L2982" s="200"/>
      <c r="M2982" s="204"/>
      <c r="N2982" s="205"/>
      <c r="O2982" s="170"/>
      <c r="P2982" s="198"/>
      <c r="Q2982" s="199"/>
      <c r="R2982" s="200"/>
      <c r="S2982" s="170"/>
      <c r="T2982" s="170"/>
      <c r="U2982" s="201"/>
      <c r="V2982" s="198"/>
      <c r="W2982" s="170"/>
      <c r="X2982" s="202"/>
      <c r="Y2982" s="203"/>
      <c r="Z2982" s="170"/>
      <c r="AA2982" s="198"/>
      <c r="AB2982" s="170"/>
      <c r="AC2982" s="170"/>
      <c r="AD2982" s="121"/>
      <c r="AE2982" s="121"/>
      <c r="AF2982" s="121"/>
      <c r="AG2982" s="22"/>
      <c r="AH2982" s="22"/>
      <c r="AI2982" s="22"/>
      <c r="AJ2982" s="22"/>
      <c r="AK2982" s="22"/>
      <c r="AL2982" s="22"/>
      <c r="AM2982" s="22"/>
      <c r="AN2982" s="22"/>
      <c r="AO2982" s="22"/>
      <c r="AP2982" s="22"/>
    </row>
    <row r="2983">
      <c r="A2983" s="193"/>
      <c r="B2983" s="194"/>
      <c r="C2983" s="195"/>
      <c r="D2983" s="196"/>
      <c r="E2983" s="197"/>
      <c r="F2983" s="197"/>
      <c r="G2983" s="195"/>
      <c r="H2983" s="195"/>
      <c r="I2983" s="197"/>
      <c r="J2983" s="121"/>
      <c r="K2983" s="121"/>
      <c r="L2983" s="200"/>
      <c r="M2983" s="204"/>
      <c r="N2983" s="205"/>
      <c r="O2983" s="170"/>
      <c r="P2983" s="198"/>
      <c r="Q2983" s="199"/>
      <c r="R2983" s="200"/>
      <c r="S2983" s="170"/>
      <c r="T2983" s="170"/>
      <c r="U2983" s="201"/>
      <c r="V2983" s="198"/>
      <c r="W2983" s="170"/>
      <c r="X2983" s="202"/>
      <c r="Y2983" s="203"/>
      <c r="Z2983" s="170"/>
      <c r="AA2983" s="198"/>
      <c r="AB2983" s="170"/>
      <c r="AC2983" s="170"/>
      <c r="AD2983" s="121"/>
      <c r="AE2983" s="121"/>
      <c r="AF2983" s="121"/>
      <c r="AG2983" s="22"/>
      <c r="AH2983" s="22"/>
      <c r="AI2983" s="22"/>
      <c r="AJ2983" s="22"/>
      <c r="AK2983" s="22"/>
      <c r="AL2983" s="22"/>
      <c r="AM2983" s="22"/>
      <c r="AN2983" s="22"/>
      <c r="AO2983" s="22"/>
      <c r="AP2983" s="22"/>
    </row>
    <row r="2984">
      <c r="A2984" s="193"/>
      <c r="B2984" s="194"/>
      <c r="C2984" s="195"/>
      <c r="D2984" s="196"/>
      <c r="E2984" s="197"/>
      <c r="F2984" s="197"/>
      <c r="G2984" s="195"/>
      <c r="H2984" s="195"/>
      <c r="I2984" s="197"/>
      <c r="J2984" s="121"/>
      <c r="K2984" s="121"/>
      <c r="L2984" s="200"/>
      <c r="M2984" s="204"/>
      <c r="N2984" s="205"/>
      <c r="O2984" s="170"/>
      <c r="P2984" s="198"/>
      <c r="Q2984" s="199"/>
      <c r="R2984" s="200"/>
      <c r="S2984" s="170"/>
      <c r="T2984" s="170"/>
      <c r="U2984" s="201"/>
      <c r="V2984" s="198"/>
      <c r="W2984" s="170"/>
      <c r="X2984" s="202"/>
      <c r="Y2984" s="203"/>
      <c r="Z2984" s="170"/>
      <c r="AA2984" s="198"/>
      <c r="AB2984" s="170"/>
      <c r="AC2984" s="170"/>
      <c r="AD2984" s="121"/>
      <c r="AE2984" s="121"/>
      <c r="AF2984" s="121"/>
      <c r="AG2984" s="22"/>
      <c r="AH2984" s="22"/>
      <c r="AI2984" s="22"/>
      <c r="AJ2984" s="22"/>
      <c r="AK2984" s="22"/>
      <c r="AL2984" s="22"/>
      <c r="AM2984" s="22"/>
      <c r="AN2984" s="22"/>
      <c r="AO2984" s="22"/>
      <c r="AP2984" s="22"/>
    </row>
    <row r="2985">
      <c r="A2985" s="193"/>
      <c r="B2985" s="194"/>
      <c r="C2985" s="195"/>
      <c r="D2985" s="196"/>
      <c r="E2985" s="197"/>
      <c r="F2985" s="197"/>
      <c r="G2985" s="195"/>
      <c r="H2985" s="195"/>
      <c r="I2985" s="197"/>
      <c r="J2985" s="121"/>
      <c r="K2985" s="121"/>
      <c r="L2985" s="200"/>
      <c r="M2985" s="204"/>
      <c r="N2985" s="205"/>
      <c r="O2985" s="170"/>
      <c r="P2985" s="198"/>
      <c r="Q2985" s="199"/>
      <c r="R2985" s="200"/>
      <c r="S2985" s="170"/>
      <c r="T2985" s="170"/>
      <c r="U2985" s="201"/>
      <c r="V2985" s="198"/>
      <c r="W2985" s="170"/>
      <c r="X2985" s="202"/>
      <c r="Y2985" s="203"/>
      <c r="Z2985" s="170"/>
      <c r="AA2985" s="198"/>
      <c r="AB2985" s="170"/>
      <c r="AC2985" s="170"/>
      <c r="AD2985" s="121"/>
      <c r="AE2985" s="121"/>
      <c r="AF2985" s="121"/>
      <c r="AG2985" s="22"/>
      <c r="AH2985" s="22"/>
      <c r="AI2985" s="22"/>
      <c r="AJ2985" s="22"/>
      <c r="AK2985" s="22"/>
      <c r="AL2985" s="22"/>
      <c r="AM2985" s="22"/>
      <c r="AN2985" s="22"/>
      <c r="AO2985" s="22"/>
      <c r="AP2985" s="22"/>
    </row>
    <row r="2986">
      <c r="A2986" s="193"/>
      <c r="B2986" s="194"/>
      <c r="C2986" s="195"/>
      <c r="D2986" s="196"/>
      <c r="E2986" s="197"/>
      <c r="F2986" s="197"/>
      <c r="G2986" s="195"/>
      <c r="H2986" s="195"/>
      <c r="I2986" s="197"/>
      <c r="J2986" s="121"/>
      <c r="K2986" s="121"/>
      <c r="L2986" s="200"/>
      <c r="M2986" s="204"/>
      <c r="N2986" s="205"/>
      <c r="O2986" s="170"/>
      <c r="P2986" s="198"/>
      <c r="Q2986" s="199"/>
      <c r="R2986" s="200"/>
      <c r="S2986" s="170"/>
      <c r="T2986" s="170"/>
      <c r="U2986" s="201"/>
      <c r="V2986" s="198"/>
      <c r="W2986" s="170"/>
      <c r="X2986" s="202"/>
      <c r="Y2986" s="203"/>
      <c r="Z2986" s="170"/>
      <c r="AA2986" s="198"/>
      <c r="AB2986" s="170"/>
      <c r="AC2986" s="170"/>
      <c r="AD2986" s="121"/>
      <c r="AE2986" s="121"/>
      <c r="AF2986" s="121"/>
      <c r="AG2986" s="22"/>
      <c r="AH2986" s="22"/>
      <c r="AI2986" s="22"/>
      <c r="AJ2986" s="22"/>
      <c r="AK2986" s="22"/>
      <c r="AL2986" s="22"/>
      <c r="AM2986" s="22"/>
      <c r="AN2986" s="22"/>
      <c r="AO2986" s="22"/>
      <c r="AP2986" s="22"/>
    </row>
    <row r="2987">
      <c r="A2987" s="193"/>
      <c r="B2987" s="194"/>
      <c r="C2987" s="195"/>
      <c r="D2987" s="196"/>
      <c r="E2987" s="197"/>
      <c r="F2987" s="197"/>
      <c r="G2987" s="195"/>
      <c r="H2987" s="195"/>
      <c r="I2987" s="197"/>
      <c r="J2987" s="121"/>
      <c r="K2987" s="121"/>
      <c r="L2987" s="200"/>
      <c r="M2987" s="204"/>
      <c r="N2987" s="205"/>
      <c r="O2987" s="170"/>
      <c r="P2987" s="198"/>
      <c r="Q2987" s="199"/>
      <c r="R2987" s="200"/>
      <c r="S2987" s="170"/>
      <c r="T2987" s="170"/>
      <c r="U2987" s="201"/>
      <c r="V2987" s="198"/>
      <c r="W2987" s="170"/>
      <c r="X2987" s="202"/>
      <c r="Y2987" s="203"/>
      <c r="Z2987" s="170"/>
      <c r="AA2987" s="198"/>
      <c r="AB2987" s="170"/>
      <c r="AC2987" s="170"/>
      <c r="AD2987" s="121"/>
      <c r="AE2987" s="121"/>
      <c r="AF2987" s="121"/>
      <c r="AG2987" s="22"/>
      <c r="AH2987" s="22"/>
      <c r="AI2987" s="22"/>
      <c r="AJ2987" s="22"/>
      <c r="AK2987" s="22"/>
      <c r="AL2987" s="22"/>
      <c r="AM2987" s="22"/>
      <c r="AN2987" s="22"/>
      <c r="AO2987" s="22"/>
      <c r="AP2987" s="22"/>
    </row>
    <row r="2988">
      <c r="A2988" s="193"/>
      <c r="B2988" s="194"/>
      <c r="C2988" s="195"/>
      <c r="D2988" s="196"/>
      <c r="E2988" s="197"/>
      <c r="F2988" s="197"/>
      <c r="G2988" s="195"/>
      <c r="H2988" s="195"/>
      <c r="I2988" s="197"/>
      <c r="J2988" s="121"/>
      <c r="K2988" s="121"/>
      <c r="L2988" s="200"/>
      <c r="M2988" s="204"/>
      <c r="N2988" s="205"/>
      <c r="O2988" s="170"/>
      <c r="P2988" s="198"/>
      <c r="Q2988" s="199"/>
      <c r="R2988" s="200"/>
      <c r="S2988" s="170"/>
      <c r="T2988" s="170"/>
      <c r="U2988" s="201"/>
      <c r="V2988" s="198"/>
      <c r="W2988" s="170"/>
      <c r="X2988" s="202"/>
      <c r="Y2988" s="203"/>
      <c r="Z2988" s="170"/>
      <c r="AA2988" s="198"/>
      <c r="AB2988" s="170"/>
      <c r="AC2988" s="170"/>
      <c r="AD2988" s="121"/>
      <c r="AE2988" s="121"/>
      <c r="AF2988" s="121"/>
      <c r="AG2988" s="22"/>
      <c r="AH2988" s="22"/>
      <c r="AI2988" s="22"/>
      <c r="AJ2988" s="22"/>
      <c r="AK2988" s="22"/>
      <c r="AL2988" s="22"/>
      <c r="AM2988" s="22"/>
      <c r="AN2988" s="22"/>
      <c r="AO2988" s="22"/>
      <c r="AP2988" s="22"/>
    </row>
    <row r="2989">
      <c r="A2989" s="193"/>
      <c r="B2989" s="194"/>
      <c r="C2989" s="195"/>
      <c r="D2989" s="196"/>
      <c r="E2989" s="197"/>
      <c r="F2989" s="197"/>
      <c r="G2989" s="195"/>
      <c r="H2989" s="195"/>
      <c r="I2989" s="197"/>
      <c r="J2989" s="121"/>
      <c r="K2989" s="121"/>
      <c r="L2989" s="200"/>
      <c r="M2989" s="204"/>
      <c r="N2989" s="205"/>
      <c r="O2989" s="170"/>
      <c r="P2989" s="198"/>
      <c r="Q2989" s="199"/>
      <c r="R2989" s="200"/>
      <c r="S2989" s="170"/>
      <c r="T2989" s="170"/>
      <c r="U2989" s="201"/>
      <c r="V2989" s="198"/>
      <c r="W2989" s="170"/>
      <c r="X2989" s="202"/>
      <c r="Y2989" s="203"/>
      <c r="Z2989" s="170"/>
      <c r="AA2989" s="198"/>
      <c r="AB2989" s="170"/>
      <c r="AC2989" s="170"/>
      <c r="AD2989" s="121"/>
      <c r="AE2989" s="121"/>
      <c r="AF2989" s="121"/>
      <c r="AG2989" s="22"/>
      <c r="AH2989" s="22"/>
      <c r="AI2989" s="22"/>
      <c r="AJ2989" s="22"/>
      <c r="AK2989" s="22"/>
      <c r="AL2989" s="22"/>
      <c r="AM2989" s="22"/>
      <c r="AN2989" s="22"/>
      <c r="AO2989" s="22"/>
      <c r="AP2989" s="22"/>
    </row>
    <row r="2990">
      <c r="A2990" s="193"/>
      <c r="B2990" s="194"/>
      <c r="C2990" s="195"/>
      <c r="D2990" s="196"/>
      <c r="E2990" s="197"/>
      <c r="F2990" s="197"/>
      <c r="G2990" s="195"/>
      <c r="H2990" s="195"/>
      <c r="I2990" s="197"/>
      <c r="J2990" s="121"/>
      <c r="K2990" s="121"/>
      <c r="L2990" s="200"/>
      <c r="M2990" s="204"/>
      <c r="N2990" s="205"/>
      <c r="O2990" s="170"/>
      <c r="P2990" s="198"/>
      <c r="Q2990" s="199"/>
      <c r="R2990" s="200"/>
      <c r="S2990" s="170"/>
      <c r="T2990" s="170"/>
      <c r="U2990" s="201"/>
      <c r="V2990" s="198"/>
      <c r="W2990" s="170"/>
      <c r="X2990" s="202"/>
      <c r="Y2990" s="203"/>
      <c r="Z2990" s="170"/>
      <c r="AA2990" s="198"/>
      <c r="AB2990" s="170"/>
      <c r="AC2990" s="170"/>
      <c r="AD2990" s="121"/>
      <c r="AE2990" s="121"/>
      <c r="AF2990" s="121"/>
      <c r="AG2990" s="22"/>
      <c r="AH2990" s="22"/>
      <c r="AI2990" s="22"/>
      <c r="AJ2990" s="22"/>
      <c r="AK2990" s="22"/>
      <c r="AL2990" s="22"/>
      <c r="AM2990" s="22"/>
      <c r="AN2990" s="22"/>
      <c r="AO2990" s="22"/>
      <c r="AP2990" s="22"/>
    </row>
    <row r="2991">
      <c r="A2991" s="193"/>
      <c r="B2991" s="194"/>
      <c r="C2991" s="195"/>
      <c r="D2991" s="196"/>
      <c r="E2991" s="197"/>
      <c r="F2991" s="197"/>
      <c r="G2991" s="195"/>
      <c r="H2991" s="195"/>
      <c r="I2991" s="197"/>
      <c r="J2991" s="121"/>
      <c r="K2991" s="121"/>
      <c r="L2991" s="200"/>
      <c r="M2991" s="204"/>
      <c r="N2991" s="205"/>
      <c r="O2991" s="170"/>
      <c r="P2991" s="198"/>
      <c r="Q2991" s="199"/>
      <c r="R2991" s="200"/>
      <c r="S2991" s="170"/>
      <c r="T2991" s="170"/>
      <c r="U2991" s="201"/>
      <c r="V2991" s="198"/>
      <c r="W2991" s="170"/>
      <c r="X2991" s="202"/>
      <c r="Y2991" s="203"/>
      <c r="Z2991" s="170"/>
      <c r="AA2991" s="198"/>
      <c r="AB2991" s="170"/>
      <c r="AC2991" s="170"/>
      <c r="AD2991" s="121"/>
      <c r="AE2991" s="121"/>
      <c r="AF2991" s="121"/>
      <c r="AG2991" s="22"/>
      <c r="AH2991" s="22"/>
      <c r="AI2991" s="22"/>
      <c r="AJ2991" s="22"/>
      <c r="AK2991" s="22"/>
      <c r="AL2991" s="22"/>
      <c r="AM2991" s="22"/>
      <c r="AN2991" s="22"/>
      <c r="AO2991" s="22"/>
      <c r="AP2991" s="22"/>
    </row>
    <row r="2992">
      <c r="A2992" s="193"/>
      <c r="B2992" s="194"/>
      <c r="C2992" s="195"/>
      <c r="D2992" s="196"/>
      <c r="E2992" s="197"/>
      <c r="F2992" s="197"/>
      <c r="G2992" s="195"/>
      <c r="H2992" s="195"/>
      <c r="I2992" s="197"/>
      <c r="J2992" s="121"/>
      <c r="K2992" s="121"/>
      <c r="L2992" s="200"/>
      <c r="M2992" s="204"/>
      <c r="N2992" s="205"/>
      <c r="O2992" s="170"/>
      <c r="P2992" s="198"/>
      <c r="Q2992" s="199"/>
      <c r="R2992" s="200"/>
      <c r="S2992" s="170"/>
      <c r="T2992" s="170"/>
      <c r="U2992" s="201"/>
      <c r="V2992" s="198"/>
      <c r="W2992" s="170"/>
      <c r="X2992" s="202"/>
      <c r="Y2992" s="203"/>
      <c r="Z2992" s="170"/>
      <c r="AA2992" s="198"/>
      <c r="AB2992" s="170"/>
      <c r="AC2992" s="170"/>
      <c r="AD2992" s="121"/>
      <c r="AE2992" s="121"/>
      <c r="AF2992" s="121"/>
      <c r="AG2992" s="22"/>
      <c r="AH2992" s="22"/>
      <c r="AI2992" s="22"/>
      <c r="AJ2992" s="22"/>
      <c r="AK2992" s="22"/>
      <c r="AL2992" s="22"/>
      <c r="AM2992" s="22"/>
      <c r="AN2992" s="22"/>
      <c r="AO2992" s="22"/>
      <c r="AP2992" s="22"/>
    </row>
    <row r="2993">
      <c r="A2993" s="193"/>
      <c r="B2993" s="194"/>
      <c r="C2993" s="195"/>
      <c r="D2993" s="196"/>
      <c r="E2993" s="197"/>
      <c r="F2993" s="197"/>
      <c r="G2993" s="195"/>
      <c r="H2993" s="195"/>
      <c r="I2993" s="197"/>
      <c r="J2993" s="121"/>
      <c r="K2993" s="121"/>
      <c r="L2993" s="200"/>
      <c r="M2993" s="204"/>
      <c r="N2993" s="205"/>
      <c r="O2993" s="170"/>
      <c r="P2993" s="198"/>
      <c r="Q2993" s="199"/>
      <c r="R2993" s="200"/>
      <c r="S2993" s="170"/>
      <c r="T2993" s="170"/>
      <c r="U2993" s="201"/>
      <c r="V2993" s="198"/>
      <c r="W2993" s="170"/>
      <c r="X2993" s="202"/>
      <c r="Y2993" s="203"/>
      <c r="Z2993" s="170"/>
      <c r="AA2993" s="198"/>
      <c r="AB2993" s="170"/>
      <c r="AC2993" s="170"/>
      <c r="AD2993" s="121"/>
      <c r="AE2993" s="121"/>
      <c r="AF2993" s="121"/>
      <c r="AG2993" s="22"/>
      <c r="AH2993" s="22"/>
      <c r="AI2993" s="22"/>
      <c r="AJ2993" s="22"/>
      <c r="AK2993" s="22"/>
      <c r="AL2993" s="22"/>
      <c r="AM2993" s="22"/>
      <c r="AN2993" s="22"/>
      <c r="AO2993" s="22"/>
      <c r="AP2993" s="22"/>
    </row>
    <row r="2994">
      <c r="A2994" s="193"/>
      <c r="B2994" s="194"/>
      <c r="C2994" s="195"/>
      <c r="D2994" s="196"/>
      <c r="E2994" s="197"/>
      <c r="F2994" s="197"/>
      <c r="G2994" s="195"/>
      <c r="H2994" s="195"/>
      <c r="I2994" s="197"/>
      <c r="J2994" s="121"/>
      <c r="K2994" s="121"/>
      <c r="L2994" s="200"/>
      <c r="M2994" s="204"/>
      <c r="N2994" s="205"/>
      <c r="O2994" s="170"/>
      <c r="P2994" s="198"/>
      <c r="Q2994" s="199"/>
      <c r="R2994" s="200"/>
      <c r="S2994" s="170"/>
      <c r="T2994" s="170"/>
      <c r="U2994" s="201"/>
      <c r="V2994" s="198"/>
      <c r="W2994" s="170"/>
      <c r="X2994" s="202"/>
      <c r="Y2994" s="203"/>
      <c r="Z2994" s="170"/>
      <c r="AA2994" s="198"/>
      <c r="AB2994" s="170"/>
      <c r="AC2994" s="170"/>
      <c r="AD2994" s="121"/>
      <c r="AE2994" s="121"/>
      <c r="AF2994" s="121"/>
      <c r="AG2994" s="22"/>
      <c r="AH2994" s="22"/>
      <c r="AI2994" s="22"/>
      <c r="AJ2994" s="22"/>
      <c r="AK2994" s="22"/>
      <c r="AL2994" s="22"/>
      <c r="AM2994" s="22"/>
      <c r="AN2994" s="22"/>
      <c r="AO2994" s="22"/>
      <c r="AP2994" s="22"/>
    </row>
    <row r="2995">
      <c r="A2995" s="193"/>
      <c r="B2995" s="194"/>
      <c r="C2995" s="195"/>
      <c r="D2995" s="196"/>
      <c r="E2995" s="197"/>
      <c r="F2995" s="197"/>
      <c r="G2995" s="195"/>
      <c r="H2995" s="195"/>
      <c r="I2995" s="197"/>
      <c r="J2995" s="121"/>
      <c r="K2995" s="121"/>
      <c r="L2995" s="200"/>
      <c r="M2995" s="204"/>
      <c r="N2995" s="205"/>
      <c r="O2995" s="170"/>
      <c r="P2995" s="198"/>
      <c r="Q2995" s="199"/>
      <c r="R2995" s="200"/>
      <c r="S2995" s="170"/>
      <c r="T2995" s="170"/>
      <c r="U2995" s="201"/>
      <c r="V2995" s="198"/>
      <c r="W2995" s="170"/>
      <c r="X2995" s="202"/>
      <c r="Y2995" s="203"/>
      <c r="Z2995" s="170"/>
      <c r="AA2995" s="198"/>
      <c r="AB2995" s="170"/>
      <c r="AC2995" s="170"/>
      <c r="AD2995" s="121"/>
      <c r="AE2995" s="121"/>
      <c r="AF2995" s="121"/>
      <c r="AG2995" s="22"/>
      <c r="AH2995" s="22"/>
      <c r="AI2995" s="22"/>
      <c r="AJ2995" s="22"/>
      <c r="AK2995" s="22"/>
      <c r="AL2995" s="22"/>
      <c r="AM2995" s="22"/>
      <c r="AN2995" s="22"/>
      <c r="AO2995" s="22"/>
      <c r="AP2995" s="22"/>
    </row>
    <row r="2996">
      <c r="A2996" s="193"/>
      <c r="B2996" s="194"/>
      <c r="C2996" s="195"/>
      <c r="D2996" s="196"/>
      <c r="E2996" s="197"/>
      <c r="F2996" s="197"/>
      <c r="G2996" s="195"/>
      <c r="H2996" s="195"/>
      <c r="I2996" s="197"/>
      <c r="J2996" s="121"/>
      <c r="K2996" s="121"/>
      <c r="L2996" s="200"/>
      <c r="M2996" s="204"/>
      <c r="N2996" s="205"/>
      <c r="O2996" s="170"/>
      <c r="P2996" s="198"/>
      <c r="Q2996" s="199"/>
      <c r="R2996" s="200"/>
      <c r="S2996" s="170"/>
      <c r="T2996" s="170"/>
      <c r="U2996" s="201"/>
      <c r="V2996" s="198"/>
      <c r="W2996" s="170"/>
      <c r="X2996" s="202"/>
      <c r="Y2996" s="203"/>
      <c r="Z2996" s="170"/>
      <c r="AA2996" s="198"/>
      <c r="AB2996" s="170"/>
      <c r="AC2996" s="170"/>
      <c r="AD2996" s="121"/>
      <c r="AE2996" s="121"/>
      <c r="AF2996" s="121"/>
      <c r="AG2996" s="22"/>
      <c r="AH2996" s="22"/>
      <c r="AI2996" s="22"/>
      <c r="AJ2996" s="22"/>
      <c r="AK2996" s="22"/>
      <c r="AL2996" s="22"/>
      <c r="AM2996" s="22"/>
      <c r="AN2996" s="22"/>
      <c r="AO2996" s="22"/>
      <c r="AP2996" s="22"/>
    </row>
    <row r="2997">
      <c r="A2997" s="193"/>
      <c r="B2997" s="194"/>
      <c r="C2997" s="195"/>
      <c r="D2997" s="196"/>
      <c r="E2997" s="197"/>
      <c r="F2997" s="197"/>
      <c r="G2997" s="195"/>
      <c r="H2997" s="195"/>
      <c r="I2997" s="197"/>
      <c r="J2997" s="121"/>
      <c r="K2997" s="121"/>
      <c r="L2997" s="200"/>
      <c r="M2997" s="204"/>
      <c r="N2997" s="205"/>
      <c r="O2997" s="170"/>
      <c r="P2997" s="198"/>
      <c r="Q2997" s="199"/>
      <c r="R2997" s="200"/>
      <c r="S2997" s="170"/>
      <c r="T2997" s="170"/>
      <c r="U2997" s="201"/>
      <c r="V2997" s="198"/>
      <c r="W2997" s="170"/>
      <c r="X2997" s="202"/>
      <c r="Y2997" s="203"/>
      <c r="Z2997" s="170"/>
      <c r="AA2997" s="198"/>
      <c r="AB2997" s="170"/>
      <c r="AC2997" s="170"/>
      <c r="AD2997" s="121"/>
      <c r="AE2997" s="121"/>
      <c r="AF2997" s="121"/>
      <c r="AG2997" s="22"/>
      <c r="AH2997" s="22"/>
      <c r="AI2997" s="22"/>
      <c r="AJ2997" s="22"/>
      <c r="AK2997" s="22"/>
      <c r="AL2997" s="22"/>
      <c r="AM2997" s="22"/>
      <c r="AN2997" s="22"/>
      <c r="AO2997" s="22"/>
      <c r="AP2997" s="22"/>
    </row>
    <row r="2998">
      <c r="A2998" s="193"/>
      <c r="B2998" s="194"/>
      <c r="C2998" s="195"/>
      <c r="D2998" s="196"/>
      <c r="E2998" s="197"/>
      <c r="F2998" s="197"/>
      <c r="G2998" s="195"/>
      <c r="H2998" s="195"/>
      <c r="I2998" s="197"/>
      <c r="J2998" s="121"/>
      <c r="K2998" s="121"/>
      <c r="L2998" s="200"/>
      <c r="M2998" s="204"/>
      <c r="N2998" s="205"/>
      <c r="O2998" s="170"/>
      <c r="P2998" s="198"/>
      <c r="Q2998" s="199"/>
      <c r="R2998" s="200"/>
      <c r="S2998" s="170"/>
      <c r="T2998" s="170"/>
      <c r="U2998" s="201"/>
      <c r="V2998" s="198"/>
      <c r="W2998" s="170"/>
      <c r="X2998" s="202"/>
      <c r="Y2998" s="203"/>
      <c r="Z2998" s="170"/>
      <c r="AA2998" s="198"/>
      <c r="AB2998" s="170"/>
      <c r="AC2998" s="170"/>
      <c r="AD2998" s="121"/>
      <c r="AE2998" s="121"/>
      <c r="AF2998" s="121"/>
      <c r="AG2998" s="22"/>
      <c r="AH2998" s="22"/>
      <c r="AI2998" s="22"/>
      <c r="AJ2998" s="22"/>
      <c r="AK2998" s="22"/>
      <c r="AL2998" s="22"/>
      <c r="AM2998" s="22"/>
      <c r="AN2998" s="22"/>
      <c r="AO2998" s="22"/>
      <c r="AP2998" s="22"/>
    </row>
    <row r="2999">
      <c r="A2999" s="193"/>
      <c r="B2999" s="194"/>
      <c r="C2999" s="195"/>
      <c r="D2999" s="196"/>
      <c r="E2999" s="197"/>
      <c r="F2999" s="197"/>
      <c r="G2999" s="195"/>
      <c r="H2999" s="195"/>
      <c r="I2999" s="197"/>
      <c r="J2999" s="121"/>
      <c r="K2999" s="121"/>
      <c r="L2999" s="200"/>
      <c r="M2999" s="204"/>
      <c r="N2999" s="205"/>
      <c r="O2999" s="170"/>
      <c r="P2999" s="198"/>
      <c r="Q2999" s="199"/>
      <c r="R2999" s="200"/>
      <c r="S2999" s="170"/>
      <c r="T2999" s="170"/>
      <c r="U2999" s="201"/>
      <c r="V2999" s="198"/>
      <c r="W2999" s="170"/>
      <c r="X2999" s="202"/>
      <c r="Y2999" s="203"/>
      <c r="Z2999" s="170"/>
      <c r="AA2999" s="198"/>
      <c r="AB2999" s="170"/>
      <c r="AC2999" s="170"/>
      <c r="AD2999" s="121"/>
      <c r="AE2999" s="121"/>
      <c r="AF2999" s="121"/>
      <c r="AG2999" s="22"/>
      <c r="AH2999" s="22"/>
      <c r="AI2999" s="22"/>
      <c r="AJ2999" s="22"/>
      <c r="AK2999" s="22"/>
      <c r="AL2999" s="22"/>
      <c r="AM2999" s="22"/>
      <c r="AN2999" s="22"/>
      <c r="AO2999" s="22"/>
      <c r="AP2999" s="22"/>
    </row>
    <row r="3000">
      <c r="A3000" s="193"/>
      <c r="B3000" s="194"/>
      <c r="C3000" s="195"/>
      <c r="D3000" s="196"/>
      <c r="E3000" s="197"/>
      <c r="F3000" s="197"/>
      <c r="G3000" s="195"/>
      <c r="H3000" s="195"/>
      <c r="I3000" s="197"/>
      <c r="J3000" s="121"/>
      <c r="K3000" s="121"/>
      <c r="L3000" s="200"/>
      <c r="M3000" s="204"/>
      <c r="N3000" s="205"/>
      <c r="O3000" s="170"/>
      <c r="P3000" s="198"/>
      <c r="Q3000" s="199"/>
      <c r="R3000" s="200"/>
      <c r="S3000" s="170"/>
      <c r="T3000" s="170"/>
      <c r="U3000" s="201"/>
      <c r="V3000" s="198"/>
      <c r="W3000" s="170"/>
      <c r="X3000" s="202"/>
      <c r="Y3000" s="203"/>
      <c r="Z3000" s="170"/>
      <c r="AA3000" s="198"/>
      <c r="AB3000" s="170"/>
      <c r="AC3000" s="170"/>
      <c r="AD3000" s="121"/>
      <c r="AE3000" s="121"/>
      <c r="AF3000" s="121"/>
      <c r="AG3000" s="22"/>
      <c r="AH3000" s="22"/>
      <c r="AI3000" s="22"/>
      <c r="AJ3000" s="22"/>
      <c r="AK3000" s="22"/>
      <c r="AL3000" s="22"/>
      <c r="AM3000" s="22"/>
      <c r="AN3000" s="22"/>
      <c r="AO3000" s="22"/>
      <c r="AP3000" s="22"/>
    </row>
    <row r="3001">
      <c r="A3001" s="193"/>
      <c r="B3001" s="194"/>
      <c r="C3001" s="195"/>
      <c r="D3001" s="196"/>
      <c r="E3001" s="197"/>
      <c r="F3001" s="197"/>
      <c r="G3001" s="195"/>
      <c r="H3001" s="195"/>
      <c r="I3001" s="197"/>
      <c r="J3001" s="121"/>
      <c r="K3001" s="121"/>
      <c r="L3001" s="200"/>
      <c r="M3001" s="204"/>
      <c r="N3001" s="205"/>
      <c r="O3001" s="170"/>
      <c r="P3001" s="198"/>
      <c r="Q3001" s="199"/>
      <c r="R3001" s="200"/>
      <c r="S3001" s="170"/>
      <c r="T3001" s="170"/>
      <c r="U3001" s="201"/>
      <c r="V3001" s="198"/>
      <c r="W3001" s="170"/>
      <c r="X3001" s="202"/>
      <c r="Y3001" s="203"/>
      <c r="Z3001" s="170"/>
      <c r="AA3001" s="198"/>
      <c r="AB3001" s="170"/>
      <c r="AC3001" s="170"/>
      <c r="AD3001" s="121"/>
      <c r="AE3001" s="121"/>
      <c r="AF3001" s="121"/>
      <c r="AG3001" s="22"/>
      <c r="AH3001" s="22"/>
      <c r="AI3001" s="22"/>
      <c r="AJ3001" s="22"/>
      <c r="AK3001" s="22"/>
      <c r="AL3001" s="22"/>
      <c r="AM3001" s="22"/>
      <c r="AN3001" s="22"/>
      <c r="AO3001" s="22"/>
      <c r="AP3001" s="22"/>
    </row>
    <row r="3002">
      <c r="A3002" s="193"/>
      <c r="B3002" s="194"/>
      <c r="C3002" s="195"/>
      <c r="D3002" s="196"/>
      <c r="E3002" s="197"/>
      <c r="F3002" s="197"/>
      <c r="G3002" s="195"/>
      <c r="H3002" s="195"/>
      <c r="I3002" s="197"/>
      <c r="J3002" s="121"/>
      <c r="K3002" s="121"/>
      <c r="L3002" s="200"/>
      <c r="M3002" s="204"/>
      <c r="N3002" s="205"/>
      <c r="O3002" s="170"/>
      <c r="P3002" s="198"/>
      <c r="Q3002" s="199"/>
      <c r="R3002" s="200"/>
      <c r="S3002" s="170"/>
      <c r="T3002" s="170"/>
      <c r="U3002" s="201"/>
      <c r="V3002" s="198"/>
      <c r="W3002" s="170"/>
      <c r="X3002" s="202"/>
      <c r="Y3002" s="203"/>
      <c r="Z3002" s="170"/>
      <c r="AA3002" s="198"/>
      <c r="AB3002" s="170"/>
      <c r="AC3002" s="170"/>
      <c r="AD3002" s="121"/>
      <c r="AE3002" s="121"/>
      <c r="AF3002" s="121"/>
      <c r="AG3002" s="22"/>
      <c r="AH3002" s="22"/>
      <c r="AI3002" s="22"/>
      <c r="AJ3002" s="22"/>
      <c r="AK3002" s="22"/>
      <c r="AL3002" s="22"/>
      <c r="AM3002" s="22"/>
      <c r="AN3002" s="22"/>
      <c r="AO3002" s="22"/>
      <c r="AP3002" s="22"/>
    </row>
    <row r="3003">
      <c r="A3003" s="193"/>
      <c r="B3003" s="194"/>
      <c r="C3003" s="195"/>
      <c r="D3003" s="196"/>
      <c r="E3003" s="197"/>
      <c r="F3003" s="197"/>
      <c r="G3003" s="195"/>
      <c r="H3003" s="195"/>
      <c r="I3003" s="197"/>
      <c r="J3003" s="121"/>
      <c r="K3003" s="121"/>
      <c r="L3003" s="200"/>
      <c r="M3003" s="204"/>
      <c r="N3003" s="205"/>
      <c r="O3003" s="170"/>
      <c r="P3003" s="198"/>
      <c r="Q3003" s="199"/>
      <c r="R3003" s="200"/>
      <c r="S3003" s="170"/>
      <c r="T3003" s="170"/>
      <c r="U3003" s="201"/>
      <c r="V3003" s="198"/>
      <c r="W3003" s="170"/>
      <c r="X3003" s="202"/>
      <c r="Y3003" s="203"/>
      <c r="Z3003" s="170"/>
      <c r="AA3003" s="198"/>
      <c r="AB3003" s="170"/>
      <c r="AC3003" s="170"/>
      <c r="AD3003" s="121"/>
      <c r="AE3003" s="121"/>
      <c r="AF3003" s="121"/>
      <c r="AG3003" s="22"/>
      <c r="AH3003" s="22"/>
      <c r="AI3003" s="22"/>
      <c r="AJ3003" s="22"/>
      <c r="AK3003" s="22"/>
      <c r="AL3003" s="22"/>
      <c r="AM3003" s="22"/>
      <c r="AN3003" s="22"/>
      <c r="AO3003" s="22"/>
      <c r="AP3003" s="22"/>
    </row>
    <row r="3004">
      <c r="A3004" s="193"/>
      <c r="B3004" s="194"/>
      <c r="C3004" s="195"/>
      <c r="D3004" s="196"/>
      <c r="E3004" s="197"/>
      <c r="F3004" s="197"/>
      <c r="G3004" s="195"/>
      <c r="H3004" s="195"/>
      <c r="I3004" s="197"/>
      <c r="J3004" s="121"/>
      <c r="K3004" s="121"/>
      <c r="L3004" s="200"/>
      <c r="M3004" s="204"/>
      <c r="N3004" s="205"/>
      <c r="O3004" s="170"/>
      <c r="P3004" s="198"/>
      <c r="Q3004" s="199"/>
      <c r="R3004" s="200"/>
      <c r="S3004" s="170"/>
      <c r="T3004" s="170"/>
      <c r="U3004" s="201"/>
      <c r="V3004" s="198"/>
      <c r="W3004" s="170"/>
      <c r="X3004" s="202"/>
      <c r="Y3004" s="203"/>
      <c r="Z3004" s="170"/>
      <c r="AA3004" s="198"/>
      <c r="AB3004" s="170"/>
      <c r="AC3004" s="170"/>
      <c r="AD3004" s="121"/>
      <c r="AE3004" s="121"/>
      <c r="AF3004" s="121"/>
      <c r="AG3004" s="22"/>
      <c r="AH3004" s="22"/>
      <c r="AI3004" s="22"/>
      <c r="AJ3004" s="22"/>
      <c r="AK3004" s="22"/>
      <c r="AL3004" s="22"/>
      <c r="AM3004" s="22"/>
      <c r="AN3004" s="22"/>
      <c r="AO3004" s="22"/>
      <c r="AP3004" s="22"/>
    </row>
    <row r="3005">
      <c r="A3005" s="193"/>
      <c r="B3005" s="194"/>
      <c r="C3005" s="195"/>
      <c r="D3005" s="196"/>
      <c r="E3005" s="197"/>
      <c r="F3005" s="197"/>
      <c r="G3005" s="195"/>
      <c r="H3005" s="195"/>
      <c r="I3005" s="197"/>
      <c r="J3005" s="121"/>
      <c r="K3005" s="121"/>
      <c r="L3005" s="200"/>
      <c r="M3005" s="204"/>
      <c r="N3005" s="205"/>
      <c r="O3005" s="170"/>
      <c r="P3005" s="198"/>
      <c r="Q3005" s="199"/>
      <c r="R3005" s="200"/>
      <c r="S3005" s="170"/>
      <c r="T3005" s="170"/>
      <c r="U3005" s="201"/>
      <c r="V3005" s="198"/>
      <c r="W3005" s="170"/>
      <c r="X3005" s="202"/>
      <c r="Y3005" s="203"/>
      <c r="Z3005" s="170"/>
      <c r="AA3005" s="198"/>
      <c r="AB3005" s="170"/>
      <c r="AC3005" s="170"/>
      <c r="AD3005" s="121"/>
      <c r="AE3005" s="121"/>
      <c r="AF3005" s="121"/>
      <c r="AG3005" s="22"/>
      <c r="AH3005" s="22"/>
      <c r="AI3005" s="22"/>
      <c r="AJ3005" s="22"/>
      <c r="AK3005" s="22"/>
      <c r="AL3005" s="22"/>
      <c r="AM3005" s="22"/>
      <c r="AN3005" s="22"/>
      <c r="AO3005" s="22"/>
      <c r="AP3005" s="22"/>
    </row>
    <row r="3006">
      <c r="A3006" s="193"/>
      <c r="B3006" s="194"/>
      <c r="C3006" s="195"/>
      <c r="D3006" s="196"/>
      <c r="E3006" s="197"/>
      <c r="F3006" s="197"/>
      <c r="G3006" s="195"/>
      <c r="H3006" s="195"/>
      <c r="I3006" s="197"/>
      <c r="J3006" s="121"/>
      <c r="K3006" s="121"/>
      <c r="L3006" s="200"/>
      <c r="M3006" s="204"/>
      <c r="N3006" s="205"/>
      <c r="O3006" s="170"/>
      <c r="P3006" s="198"/>
      <c r="Q3006" s="199"/>
      <c r="R3006" s="200"/>
      <c r="S3006" s="170"/>
      <c r="T3006" s="170"/>
      <c r="U3006" s="201"/>
      <c r="V3006" s="198"/>
      <c r="W3006" s="170"/>
      <c r="X3006" s="202"/>
      <c r="Y3006" s="203"/>
      <c r="Z3006" s="170"/>
      <c r="AA3006" s="198"/>
      <c r="AB3006" s="170"/>
      <c r="AC3006" s="170"/>
      <c r="AD3006" s="121"/>
      <c r="AE3006" s="121"/>
      <c r="AF3006" s="121"/>
      <c r="AG3006" s="22"/>
      <c r="AH3006" s="22"/>
      <c r="AI3006" s="22"/>
      <c r="AJ3006" s="22"/>
      <c r="AK3006" s="22"/>
      <c r="AL3006" s="22"/>
      <c r="AM3006" s="22"/>
      <c r="AN3006" s="22"/>
      <c r="AO3006" s="22"/>
      <c r="AP3006" s="22"/>
    </row>
    <row r="3007">
      <c r="A3007" s="193"/>
      <c r="B3007" s="194"/>
      <c r="C3007" s="195"/>
      <c r="D3007" s="196"/>
      <c r="E3007" s="197"/>
      <c r="F3007" s="197"/>
      <c r="G3007" s="195"/>
      <c r="H3007" s="195"/>
      <c r="I3007" s="197"/>
      <c r="J3007" s="121"/>
      <c r="K3007" s="121"/>
      <c r="L3007" s="200"/>
      <c r="M3007" s="204"/>
      <c r="N3007" s="205"/>
      <c r="O3007" s="170"/>
      <c r="P3007" s="198"/>
      <c r="Q3007" s="199"/>
      <c r="R3007" s="200"/>
      <c r="S3007" s="170"/>
      <c r="T3007" s="170"/>
      <c r="U3007" s="201"/>
      <c r="V3007" s="198"/>
      <c r="W3007" s="170"/>
      <c r="X3007" s="202"/>
      <c r="Y3007" s="203"/>
      <c r="Z3007" s="170"/>
      <c r="AA3007" s="198"/>
      <c r="AB3007" s="170"/>
      <c r="AC3007" s="170"/>
      <c r="AD3007" s="121"/>
      <c r="AE3007" s="121"/>
      <c r="AF3007" s="121"/>
      <c r="AG3007" s="22"/>
      <c r="AH3007" s="22"/>
      <c r="AI3007" s="22"/>
      <c r="AJ3007" s="22"/>
      <c r="AK3007" s="22"/>
      <c r="AL3007" s="22"/>
      <c r="AM3007" s="22"/>
      <c r="AN3007" s="22"/>
      <c r="AO3007" s="22"/>
      <c r="AP3007" s="22"/>
    </row>
    <row r="3008">
      <c r="A3008" s="193"/>
      <c r="B3008" s="194"/>
      <c r="C3008" s="195"/>
      <c r="D3008" s="196"/>
      <c r="E3008" s="197"/>
      <c r="F3008" s="197"/>
      <c r="G3008" s="195"/>
      <c r="H3008" s="195"/>
      <c r="I3008" s="197"/>
      <c r="J3008" s="121"/>
      <c r="K3008" s="121"/>
      <c r="L3008" s="200"/>
      <c r="M3008" s="204"/>
      <c r="N3008" s="205"/>
      <c r="O3008" s="170"/>
      <c r="P3008" s="198"/>
      <c r="Q3008" s="199"/>
      <c r="R3008" s="200"/>
      <c r="S3008" s="170"/>
      <c r="T3008" s="170"/>
      <c r="U3008" s="201"/>
      <c r="V3008" s="198"/>
      <c r="W3008" s="170"/>
      <c r="X3008" s="202"/>
      <c r="Y3008" s="203"/>
      <c r="Z3008" s="170"/>
      <c r="AA3008" s="198"/>
      <c r="AB3008" s="170"/>
      <c r="AC3008" s="170"/>
      <c r="AD3008" s="121"/>
      <c r="AE3008" s="121"/>
      <c r="AF3008" s="121"/>
      <c r="AG3008" s="22"/>
      <c r="AH3008" s="22"/>
      <c r="AI3008" s="22"/>
      <c r="AJ3008" s="22"/>
      <c r="AK3008" s="22"/>
      <c r="AL3008" s="22"/>
      <c r="AM3008" s="22"/>
      <c r="AN3008" s="22"/>
      <c r="AO3008" s="22"/>
      <c r="AP3008" s="22"/>
    </row>
    <row r="3009">
      <c r="A3009" s="193"/>
      <c r="B3009" s="194"/>
      <c r="C3009" s="195"/>
      <c r="D3009" s="196"/>
      <c r="E3009" s="197"/>
      <c r="F3009" s="197"/>
      <c r="G3009" s="195"/>
      <c r="H3009" s="195"/>
      <c r="I3009" s="197"/>
      <c r="J3009" s="121"/>
      <c r="K3009" s="121"/>
      <c r="L3009" s="200"/>
      <c r="M3009" s="204"/>
      <c r="N3009" s="205"/>
      <c r="O3009" s="170"/>
      <c r="P3009" s="198"/>
      <c r="Q3009" s="199"/>
      <c r="R3009" s="200"/>
      <c r="S3009" s="170"/>
      <c r="T3009" s="170"/>
      <c r="U3009" s="201"/>
      <c r="V3009" s="198"/>
      <c r="W3009" s="170"/>
      <c r="X3009" s="202"/>
      <c r="Y3009" s="203"/>
      <c r="Z3009" s="170"/>
      <c r="AA3009" s="198"/>
      <c r="AB3009" s="170"/>
      <c r="AC3009" s="170"/>
      <c r="AD3009" s="121"/>
      <c r="AE3009" s="121"/>
      <c r="AF3009" s="121"/>
      <c r="AG3009" s="22"/>
      <c r="AH3009" s="22"/>
      <c r="AI3009" s="22"/>
      <c r="AJ3009" s="22"/>
      <c r="AK3009" s="22"/>
      <c r="AL3009" s="22"/>
      <c r="AM3009" s="22"/>
      <c r="AN3009" s="22"/>
      <c r="AO3009" s="22"/>
      <c r="AP3009" s="22"/>
    </row>
    <row r="3010">
      <c r="A3010" s="193"/>
      <c r="B3010" s="194"/>
      <c r="C3010" s="195"/>
      <c r="D3010" s="196"/>
      <c r="E3010" s="197"/>
      <c r="F3010" s="197"/>
      <c r="G3010" s="195"/>
      <c r="H3010" s="195"/>
      <c r="I3010" s="197"/>
      <c r="J3010" s="121"/>
      <c r="K3010" s="121"/>
      <c r="L3010" s="200"/>
      <c r="M3010" s="204"/>
      <c r="N3010" s="205"/>
      <c r="O3010" s="170"/>
      <c r="P3010" s="198"/>
      <c r="Q3010" s="199"/>
      <c r="R3010" s="200"/>
      <c r="S3010" s="170"/>
      <c r="T3010" s="170"/>
      <c r="U3010" s="201"/>
      <c r="V3010" s="198"/>
      <c r="W3010" s="170"/>
      <c r="X3010" s="202"/>
      <c r="Y3010" s="203"/>
      <c r="Z3010" s="170"/>
      <c r="AA3010" s="198"/>
      <c r="AB3010" s="170"/>
      <c r="AC3010" s="170"/>
      <c r="AD3010" s="121"/>
      <c r="AE3010" s="121"/>
      <c r="AF3010" s="121"/>
      <c r="AG3010" s="22"/>
      <c r="AH3010" s="22"/>
      <c r="AI3010" s="22"/>
      <c r="AJ3010" s="22"/>
      <c r="AK3010" s="22"/>
      <c r="AL3010" s="22"/>
      <c r="AM3010" s="22"/>
      <c r="AN3010" s="22"/>
      <c r="AO3010" s="22"/>
      <c r="AP3010" s="22"/>
    </row>
    <row r="3011">
      <c r="A3011" s="193"/>
      <c r="B3011" s="194"/>
      <c r="C3011" s="195"/>
      <c r="D3011" s="196"/>
      <c r="E3011" s="197"/>
      <c r="F3011" s="197"/>
      <c r="G3011" s="195"/>
      <c r="H3011" s="195"/>
      <c r="I3011" s="197"/>
      <c r="J3011" s="121"/>
      <c r="K3011" s="121"/>
      <c r="L3011" s="200"/>
      <c r="M3011" s="204"/>
      <c r="N3011" s="205"/>
      <c r="O3011" s="170"/>
      <c r="P3011" s="198"/>
      <c r="Q3011" s="199"/>
      <c r="R3011" s="200"/>
      <c r="S3011" s="170"/>
      <c r="T3011" s="170"/>
      <c r="U3011" s="201"/>
      <c r="V3011" s="198"/>
      <c r="W3011" s="170"/>
      <c r="X3011" s="202"/>
      <c r="Y3011" s="203"/>
      <c r="Z3011" s="170"/>
      <c r="AA3011" s="198"/>
      <c r="AB3011" s="170"/>
      <c r="AC3011" s="170"/>
      <c r="AD3011" s="121"/>
      <c r="AE3011" s="121"/>
      <c r="AF3011" s="121"/>
      <c r="AG3011" s="22"/>
      <c r="AH3011" s="22"/>
      <c r="AI3011" s="22"/>
      <c r="AJ3011" s="22"/>
      <c r="AK3011" s="22"/>
      <c r="AL3011" s="22"/>
      <c r="AM3011" s="22"/>
      <c r="AN3011" s="22"/>
      <c r="AO3011" s="22"/>
      <c r="AP3011" s="22"/>
    </row>
    <row r="3012">
      <c r="A3012" s="193"/>
      <c r="B3012" s="194"/>
      <c r="C3012" s="195"/>
      <c r="D3012" s="196"/>
      <c r="E3012" s="197"/>
      <c r="F3012" s="197"/>
      <c r="G3012" s="195"/>
      <c r="H3012" s="195"/>
      <c r="I3012" s="197"/>
      <c r="J3012" s="121"/>
      <c r="K3012" s="121"/>
      <c r="L3012" s="200"/>
      <c r="M3012" s="204"/>
      <c r="N3012" s="205"/>
      <c r="O3012" s="170"/>
      <c r="P3012" s="198"/>
      <c r="Q3012" s="199"/>
      <c r="R3012" s="200"/>
      <c r="S3012" s="170"/>
      <c r="T3012" s="170"/>
      <c r="U3012" s="201"/>
      <c r="V3012" s="198"/>
      <c r="W3012" s="170"/>
      <c r="X3012" s="202"/>
      <c r="Y3012" s="203"/>
      <c r="Z3012" s="170"/>
      <c r="AA3012" s="198"/>
      <c r="AB3012" s="170"/>
      <c r="AC3012" s="170"/>
      <c r="AD3012" s="121"/>
      <c r="AE3012" s="121"/>
      <c r="AF3012" s="121"/>
      <c r="AG3012" s="22"/>
      <c r="AH3012" s="22"/>
      <c r="AI3012" s="22"/>
      <c r="AJ3012" s="22"/>
      <c r="AK3012" s="22"/>
      <c r="AL3012" s="22"/>
      <c r="AM3012" s="22"/>
      <c r="AN3012" s="22"/>
      <c r="AO3012" s="22"/>
      <c r="AP3012" s="22"/>
    </row>
    <row r="3013">
      <c r="A3013" s="193"/>
      <c r="B3013" s="194"/>
      <c r="C3013" s="195"/>
      <c r="D3013" s="196"/>
      <c r="E3013" s="197"/>
      <c r="F3013" s="197"/>
      <c r="G3013" s="195"/>
      <c r="H3013" s="195"/>
      <c r="I3013" s="197"/>
      <c r="J3013" s="121"/>
      <c r="K3013" s="121"/>
      <c r="L3013" s="200"/>
      <c r="M3013" s="204"/>
      <c r="N3013" s="205"/>
      <c r="O3013" s="170"/>
      <c r="P3013" s="198"/>
      <c r="Q3013" s="199"/>
      <c r="R3013" s="200"/>
      <c r="S3013" s="170"/>
      <c r="T3013" s="170"/>
      <c r="U3013" s="201"/>
      <c r="V3013" s="198"/>
      <c r="W3013" s="170"/>
      <c r="X3013" s="202"/>
      <c r="Y3013" s="203"/>
      <c r="Z3013" s="170"/>
      <c r="AA3013" s="198"/>
      <c r="AB3013" s="170"/>
      <c r="AC3013" s="170"/>
      <c r="AD3013" s="121"/>
      <c r="AE3013" s="121"/>
      <c r="AF3013" s="121"/>
      <c r="AG3013" s="22"/>
      <c r="AH3013" s="22"/>
      <c r="AI3013" s="22"/>
      <c r="AJ3013" s="22"/>
      <c r="AK3013" s="22"/>
      <c r="AL3013" s="22"/>
      <c r="AM3013" s="22"/>
      <c r="AN3013" s="22"/>
      <c r="AO3013" s="22"/>
      <c r="AP3013" s="22"/>
    </row>
    <row r="3014">
      <c r="A3014" s="193"/>
      <c r="B3014" s="194"/>
      <c r="C3014" s="195"/>
      <c r="D3014" s="196"/>
      <c r="E3014" s="197"/>
      <c r="F3014" s="197"/>
      <c r="G3014" s="195"/>
      <c r="H3014" s="195"/>
      <c r="I3014" s="197"/>
      <c r="J3014" s="121"/>
      <c r="K3014" s="121"/>
      <c r="L3014" s="200"/>
      <c r="M3014" s="204"/>
      <c r="N3014" s="205"/>
      <c r="O3014" s="170"/>
      <c r="P3014" s="198"/>
      <c r="Q3014" s="199"/>
      <c r="R3014" s="200"/>
      <c r="S3014" s="170"/>
      <c r="T3014" s="170"/>
      <c r="U3014" s="201"/>
      <c r="V3014" s="198"/>
      <c r="W3014" s="170"/>
      <c r="X3014" s="202"/>
      <c r="Y3014" s="203"/>
      <c r="Z3014" s="170"/>
      <c r="AA3014" s="198"/>
      <c r="AB3014" s="170"/>
      <c r="AC3014" s="170"/>
      <c r="AD3014" s="121"/>
      <c r="AE3014" s="121"/>
      <c r="AF3014" s="121"/>
      <c r="AG3014" s="22"/>
      <c r="AH3014" s="22"/>
      <c r="AI3014" s="22"/>
      <c r="AJ3014" s="22"/>
      <c r="AK3014" s="22"/>
      <c r="AL3014" s="22"/>
      <c r="AM3014" s="22"/>
      <c r="AN3014" s="22"/>
      <c r="AO3014" s="22"/>
      <c r="AP3014" s="22"/>
    </row>
    <row r="3015">
      <c r="A3015" s="193"/>
      <c r="B3015" s="194"/>
      <c r="C3015" s="195"/>
      <c r="D3015" s="196"/>
      <c r="E3015" s="197"/>
      <c r="F3015" s="197"/>
      <c r="G3015" s="195"/>
      <c r="H3015" s="195"/>
      <c r="I3015" s="197"/>
      <c r="J3015" s="121"/>
      <c r="K3015" s="121"/>
      <c r="L3015" s="200"/>
      <c r="M3015" s="204"/>
      <c r="N3015" s="205"/>
      <c r="O3015" s="170"/>
      <c r="P3015" s="198"/>
      <c r="Q3015" s="199"/>
      <c r="R3015" s="200"/>
      <c r="S3015" s="170"/>
      <c r="T3015" s="170"/>
      <c r="U3015" s="201"/>
      <c r="V3015" s="198"/>
      <c r="W3015" s="170"/>
      <c r="X3015" s="202"/>
      <c r="Y3015" s="203"/>
      <c r="Z3015" s="170"/>
      <c r="AA3015" s="198"/>
      <c r="AB3015" s="170"/>
      <c r="AC3015" s="170"/>
      <c r="AD3015" s="121"/>
      <c r="AE3015" s="121"/>
      <c r="AF3015" s="121"/>
      <c r="AG3015" s="22"/>
      <c r="AH3015" s="22"/>
      <c r="AI3015" s="22"/>
      <c r="AJ3015" s="22"/>
      <c r="AK3015" s="22"/>
      <c r="AL3015" s="22"/>
      <c r="AM3015" s="22"/>
      <c r="AN3015" s="22"/>
      <c r="AO3015" s="22"/>
      <c r="AP3015" s="22"/>
    </row>
    <row r="3016">
      <c r="A3016" s="193"/>
      <c r="B3016" s="194"/>
      <c r="C3016" s="195"/>
      <c r="D3016" s="196"/>
      <c r="E3016" s="197"/>
      <c r="F3016" s="197"/>
      <c r="G3016" s="195"/>
      <c r="H3016" s="195"/>
      <c r="I3016" s="197"/>
      <c r="J3016" s="121"/>
      <c r="K3016" s="121"/>
      <c r="L3016" s="200"/>
      <c r="M3016" s="204"/>
      <c r="N3016" s="205"/>
      <c r="O3016" s="170"/>
      <c r="P3016" s="198"/>
      <c r="Q3016" s="199"/>
      <c r="R3016" s="200"/>
      <c r="S3016" s="170"/>
      <c r="T3016" s="170"/>
      <c r="U3016" s="201"/>
      <c r="V3016" s="198"/>
      <c r="W3016" s="170"/>
      <c r="X3016" s="202"/>
      <c r="Y3016" s="203"/>
      <c r="Z3016" s="170"/>
      <c r="AA3016" s="198"/>
      <c r="AB3016" s="170"/>
      <c r="AC3016" s="170"/>
      <c r="AD3016" s="121"/>
      <c r="AE3016" s="121"/>
      <c r="AF3016" s="121"/>
      <c r="AG3016" s="22"/>
      <c r="AH3016" s="22"/>
      <c r="AI3016" s="22"/>
      <c r="AJ3016" s="22"/>
      <c r="AK3016" s="22"/>
      <c r="AL3016" s="22"/>
      <c r="AM3016" s="22"/>
      <c r="AN3016" s="22"/>
      <c r="AO3016" s="22"/>
      <c r="AP3016" s="22"/>
    </row>
    <row r="3017">
      <c r="A3017" s="193"/>
      <c r="B3017" s="194"/>
      <c r="C3017" s="195"/>
      <c r="D3017" s="196"/>
      <c r="E3017" s="197"/>
      <c r="F3017" s="197"/>
      <c r="G3017" s="195"/>
      <c r="H3017" s="195"/>
      <c r="I3017" s="197"/>
      <c r="J3017" s="121"/>
      <c r="K3017" s="121"/>
      <c r="L3017" s="200"/>
      <c r="M3017" s="204"/>
      <c r="N3017" s="205"/>
      <c r="O3017" s="170"/>
      <c r="P3017" s="198"/>
      <c r="Q3017" s="199"/>
      <c r="R3017" s="200"/>
      <c r="S3017" s="170"/>
      <c r="T3017" s="170"/>
      <c r="U3017" s="201"/>
      <c r="V3017" s="198"/>
      <c r="W3017" s="170"/>
      <c r="X3017" s="202"/>
      <c r="Y3017" s="203"/>
      <c r="Z3017" s="170"/>
      <c r="AA3017" s="198"/>
      <c r="AB3017" s="170"/>
      <c r="AC3017" s="170"/>
      <c r="AD3017" s="121"/>
      <c r="AE3017" s="121"/>
      <c r="AF3017" s="121"/>
      <c r="AG3017" s="22"/>
      <c r="AH3017" s="22"/>
      <c r="AI3017" s="22"/>
      <c r="AJ3017" s="22"/>
      <c r="AK3017" s="22"/>
      <c r="AL3017" s="22"/>
      <c r="AM3017" s="22"/>
      <c r="AN3017" s="22"/>
      <c r="AO3017" s="22"/>
      <c r="AP3017" s="22"/>
    </row>
    <row r="3018">
      <c r="A3018" s="193"/>
      <c r="B3018" s="194"/>
      <c r="C3018" s="195"/>
      <c r="D3018" s="196"/>
      <c r="E3018" s="197"/>
      <c r="F3018" s="197"/>
      <c r="G3018" s="195"/>
      <c r="H3018" s="195"/>
      <c r="I3018" s="197"/>
      <c r="J3018" s="121"/>
      <c r="K3018" s="121"/>
      <c r="L3018" s="200"/>
      <c r="M3018" s="204"/>
      <c r="N3018" s="205"/>
      <c r="O3018" s="170"/>
      <c r="P3018" s="198"/>
      <c r="Q3018" s="199"/>
      <c r="R3018" s="200"/>
      <c r="S3018" s="170"/>
      <c r="T3018" s="170"/>
      <c r="U3018" s="201"/>
      <c r="V3018" s="198"/>
      <c r="W3018" s="170"/>
      <c r="X3018" s="202"/>
      <c r="Y3018" s="203"/>
      <c r="Z3018" s="170"/>
      <c r="AA3018" s="198"/>
      <c r="AB3018" s="170"/>
      <c r="AC3018" s="170"/>
      <c r="AD3018" s="121"/>
      <c r="AE3018" s="121"/>
      <c r="AF3018" s="121"/>
      <c r="AG3018" s="22"/>
      <c r="AH3018" s="22"/>
      <c r="AI3018" s="22"/>
      <c r="AJ3018" s="22"/>
      <c r="AK3018" s="22"/>
      <c r="AL3018" s="22"/>
      <c r="AM3018" s="22"/>
      <c r="AN3018" s="22"/>
      <c r="AO3018" s="22"/>
      <c r="AP3018" s="22"/>
    </row>
    <row r="3019">
      <c r="A3019" s="193"/>
      <c r="B3019" s="194"/>
      <c r="C3019" s="195"/>
      <c r="D3019" s="196"/>
      <c r="E3019" s="197"/>
      <c r="F3019" s="197"/>
      <c r="G3019" s="195"/>
      <c r="H3019" s="195"/>
      <c r="I3019" s="197"/>
      <c r="J3019" s="121"/>
      <c r="K3019" s="121"/>
      <c r="L3019" s="200"/>
      <c r="M3019" s="204"/>
      <c r="N3019" s="205"/>
      <c r="O3019" s="170"/>
      <c r="P3019" s="198"/>
      <c r="Q3019" s="199"/>
      <c r="R3019" s="200"/>
      <c r="S3019" s="170"/>
      <c r="T3019" s="170"/>
      <c r="U3019" s="201"/>
      <c r="V3019" s="198"/>
      <c r="W3019" s="170"/>
      <c r="X3019" s="202"/>
      <c r="Y3019" s="203"/>
      <c r="Z3019" s="170"/>
      <c r="AA3019" s="198"/>
      <c r="AB3019" s="170"/>
      <c r="AC3019" s="170"/>
      <c r="AD3019" s="121"/>
      <c r="AE3019" s="121"/>
      <c r="AF3019" s="121"/>
      <c r="AG3019" s="22"/>
      <c r="AH3019" s="22"/>
      <c r="AI3019" s="22"/>
      <c r="AJ3019" s="22"/>
      <c r="AK3019" s="22"/>
      <c r="AL3019" s="22"/>
      <c r="AM3019" s="22"/>
      <c r="AN3019" s="22"/>
      <c r="AO3019" s="22"/>
      <c r="AP3019" s="22"/>
    </row>
    <row r="3020">
      <c r="A3020" s="193"/>
      <c r="B3020" s="194"/>
      <c r="C3020" s="195"/>
      <c r="D3020" s="196"/>
      <c r="E3020" s="197"/>
      <c r="F3020" s="197"/>
      <c r="G3020" s="195"/>
      <c r="H3020" s="195"/>
      <c r="I3020" s="197"/>
      <c r="J3020" s="121"/>
      <c r="K3020" s="121"/>
      <c r="L3020" s="200"/>
      <c r="M3020" s="204"/>
      <c r="N3020" s="205"/>
      <c r="O3020" s="170"/>
      <c r="P3020" s="198"/>
      <c r="Q3020" s="199"/>
      <c r="R3020" s="200"/>
      <c r="S3020" s="170"/>
      <c r="T3020" s="170"/>
      <c r="U3020" s="201"/>
      <c r="V3020" s="198"/>
      <c r="W3020" s="170"/>
      <c r="X3020" s="202"/>
      <c r="Y3020" s="203"/>
      <c r="Z3020" s="170"/>
      <c r="AA3020" s="198"/>
      <c r="AB3020" s="170"/>
      <c r="AC3020" s="170"/>
      <c r="AD3020" s="121"/>
      <c r="AE3020" s="121"/>
      <c r="AF3020" s="121"/>
      <c r="AG3020" s="22"/>
      <c r="AH3020" s="22"/>
      <c r="AI3020" s="22"/>
      <c r="AJ3020" s="22"/>
      <c r="AK3020" s="22"/>
      <c r="AL3020" s="22"/>
      <c r="AM3020" s="22"/>
      <c r="AN3020" s="22"/>
      <c r="AO3020" s="22"/>
      <c r="AP3020" s="22"/>
    </row>
    <row r="3021">
      <c r="A3021" s="193"/>
      <c r="B3021" s="194"/>
      <c r="C3021" s="195"/>
      <c r="D3021" s="196"/>
      <c r="E3021" s="197"/>
      <c r="F3021" s="197"/>
      <c r="G3021" s="195"/>
      <c r="H3021" s="195"/>
      <c r="I3021" s="197"/>
      <c r="J3021" s="121"/>
      <c r="K3021" s="121"/>
      <c r="L3021" s="200"/>
      <c r="M3021" s="204"/>
      <c r="N3021" s="205"/>
      <c r="O3021" s="170"/>
      <c r="P3021" s="198"/>
      <c r="Q3021" s="199"/>
      <c r="R3021" s="200"/>
      <c r="S3021" s="170"/>
      <c r="T3021" s="170"/>
      <c r="U3021" s="201"/>
      <c r="V3021" s="198"/>
      <c r="W3021" s="170"/>
      <c r="X3021" s="202"/>
      <c r="Y3021" s="203"/>
      <c r="Z3021" s="170"/>
      <c r="AA3021" s="198"/>
      <c r="AB3021" s="170"/>
      <c r="AC3021" s="170"/>
      <c r="AD3021" s="121"/>
      <c r="AE3021" s="121"/>
      <c r="AF3021" s="121"/>
      <c r="AG3021" s="22"/>
      <c r="AH3021" s="22"/>
      <c r="AI3021" s="22"/>
      <c r="AJ3021" s="22"/>
      <c r="AK3021" s="22"/>
      <c r="AL3021" s="22"/>
      <c r="AM3021" s="22"/>
      <c r="AN3021" s="22"/>
      <c r="AO3021" s="22"/>
      <c r="AP3021" s="22"/>
    </row>
    <row r="3022">
      <c r="A3022" s="193"/>
      <c r="B3022" s="194"/>
      <c r="C3022" s="195"/>
      <c r="D3022" s="196"/>
      <c r="E3022" s="197"/>
      <c r="F3022" s="197"/>
      <c r="G3022" s="195"/>
      <c r="H3022" s="195"/>
      <c r="I3022" s="197"/>
      <c r="J3022" s="121"/>
      <c r="K3022" s="121"/>
      <c r="L3022" s="200"/>
      <c r="M3022" s="204"/>
      <c r="N3022" s="205"/>
      <c r="O3022" s="170"/>
      <c r="P3022" s="198"/>
      <c r="Q3022" s="199"/>
      <c r="R3022" s="200"/>
      <c r="S3022" s="170"/>
      <c r="T3022" s="170"/>
      <c r="U3022" s="201"/>
      <c r="V3022" s="198"/>
      <c r="W3022" s="170"/>
      <c r="X3022" s="202"/>
      <c r="Y3022" s="203"/>
      <c r="Z3022" s="170"/>
      <c r="AA3022" s="198"/>
      <c r="AB3022" s="170"/>
      <c r="AC3022" s="170"/>
      <c r="AD3022" s="121"/>
      <c r="AE3022" s="121"/>
      <c r="AF3022" s="121"/>
      <c r="AG3022" s="22"/>
      <c r="AH3022" s="22"/>
      <c r="AI3022" s="22"/>
      <c r="AJ3022" s="22"/>
      <c r="AK3022" s="22"/>
      <c r="AL3022" s="22"/>
      <c r="AM3022" s="22"/>
      <c r="AN3022" s="22"/>
      <c r="AO3022" s="22"/>
      <c r="AP3022" s="22"/>
    </row>
    <row r="3023">
      <c r="A3023" s="193"/>
      <c r="B3023" s="194"/>
      <c r="C3023" s="195"/>
      <c r="D3023" s="196"/>
      <c r="E3023" s="197"/>
      <c r="F3023" s="197"/>
      <c r="G3023" s="195"/>
      <c r="H3023" s="195"/>
      <c r="I3023" s="197"/>
      <c r="J3023" s="121"/>
      <c r="K3023" s="121"/>
      <c r="L3023" s="200"/>
      <c r="M3023" s="204"/>
      <c r="N3023" s="205"/>
      <c r="O3023" s="170"/>
      <c r="P3023" s="198"/>
      <c r="Q3023" s="199"/>
      <c r="R3023" s="200"/>
      <c r="S3023" s="170"/>
      <c r="T3023" s="170"/>
      <c r="U3023" s="201"/>
      <c r="V3023" s="198"/>
      <c r="W3023" s="170"/>
      <c r="X3023" s="202"/>
      <c r="Y3023" s="203"/>
      <c r="Z3023" s="170"/>
      <c r="AA3023" s="198"/>
      <c r="AB3023" s="170"/>
      <c r="AC3023" s="170"/>
      <c r="AD3023" s="121"/>
      <c r="AE3023" s="121"/>
      <c r="AF3023" s="121"/>
      <c r="AG3023" s="22"/>
      <c r="AH3023" s="22"/>
      <c r="AI3023" s="22"/>
      <c r="AJ3023" s="22"/>
      <c r="AK3023" s="22"/>
      <c r="AL3023" s="22"/>
      <c r="AM3023" s="22"/>
      <c r="AN3023" s="22"/>
      <c r="AO3023" s="22"/>
      <c r="AP3023" s="22"/>
    </row>
    <row r="3024">
      <c r="A3024" s="193"/>
      <c r="B3024" s="194"/>
      <c r="C3024" s="195"/>
      <c r="D3024" s="196"/>
      <c r="E3024" s="197"/>
      <c r="F3024" s="197"/>
      <c r="G3024" s="195"/>
      <c r="H3024" s="195"/>
      <c r="I3024" s="197"/>
      <c r="J3024" s="121"/>
      <c r="K3024" s="121"/>
      <c r="L3024" s="200"/>
      <c r="M3024" s="204"/>
      <c r="N3024" s="205"/>
      <c r="O3024" s="170"/>
      <c r="P3024" s="198"/>
      <c r="Q3024" s="199"/>
      <c r="R3024" s="200"/>
      <c r="S3024" s="170"/>
      <c r="T3024" s="170"/>
      <c r="U3024" s="201"/>
      <c r="V3024" s="198"/>
      <c r="W3024" s="170"/>
      <c r="X3024" s="202"/>
      <c r="Y3024" s="203"/>
      <c r="Z3024" s="170"/>
      <c r="AA3024" s="198"/>
      <c r="AB3024" s="170"/>
      <c r="AC3024" s="170"/>
      <c r="AD3024" s="121"/>
      <c r="AE3024" s="121"/>
      <c r="AF3024" s="121"/>
      <c r="AG3024" s="22"/>
      <c r="AH3024" s="22"/>
      <c r="AI3024" s="22"/>
      <c r="AJ3024" s="22"/>
      <c r="AK3024" s="22"/>
      <c r="AL3024" s="22"/>
      <c r="AM3024" s="22"/>
      <c r="AN3024" s="22"/>
      <c r="AO3024" s="22"/>
      <c r="AP3024" s="22"/>
    </row>
    <row r="3025">
      <c r="A3025" s="193"/>
      <c r="B3025" s="194"/>
      <c r="C3025" s="195"/>
      <c r="D3025" s="196"/>
      <c r="E3025" s="197"/>
      <c r="F3025" s="197"/>
      <c r="G3025" s="195"/>
      <c r="H3025" s="195"/>
      <c r="I3025" s="197"/>
      <c r="J3025" s="121"/>
      <c r="K3025" s="121"/>
      <c r="L3025" s="200"/>
      <c r="M3025" s="204"/>
      <c r="N3025" s="205"/>
      <c r="O3025" s="170"/>
      <c r="P3025" s="198"/>
      <c r="Q3025" s="199"/>
      <c r="R3025" s="200"/>
      <c r="S3025" s="170"/>
      <c r="T3025" s="170"/>
      <c r="U3025" s="201"/>
      <c r="V3025" s="198"/>
      <c r="W3025" s="170"/>
      <c r="X3025" s="202"/>
      <c r="Y3025" s="203"/>
      <c r="Z3025" s="170"/>
      <c r="AA3025" s="198"/>
      <c r="AB3025" s="170"/>
      <c r="AC3025" s="170"/>
      <c r="AD3025" s="121"/>
      <c r="AE3025" s="121"/>
      <c r="AF3025" s="121"/>
      <c r="AG3025" s="22"/>
      <c r="AH3025" s="22"/>
      <c r="AI3025" s="22"/>
      <c r="AJ3025" s="22"/>
      <c r="AK3025" s="22"/>
      <c r="AL3025" s="22"/>
      <c r="AM3025" s="22"/>
      <c r="AN3025" s="22"/>
      <c r="AO3025" s="22"/>
      <c r="AP3025" s="22"/>
    </row>
    <row r="3026">
      <c r="A3026" s="193"/>
      <c r="B3026" s="194"/>
      <c r="C3026" s="195"/>
      <c r="D3026" s="196"/>
      <c r="E3026" s="197"/>
      <c r="F3026" s="197"/>
      <c r="G3026" s="195"/>
      <c r="H3026" s="195"/>
      <c r="I3026" s="197"/>
      <c r="J3026" s="121"/>
      <c r="K3026" s="121"/>
      <c r="L3026" s="200"/>
      <c r="M3026" s="204"/>
      <c r="N3026" s="205"/>
      <c r="O3026" s="170"/>
      <c r="P3026" s="198"/>
      <c r="Q3026" s="199"/>
      <c r="R3026" s="200"/>
      <c r="S3026" s="170"/>
      <c r="T3026" s="170"/>
      <c r="U3026" s="201"/>
      <c r="V3026" s="198"/>
      <c r="W3026" s="170"/>
      <c r="X3026" s="202"/>
      <c r="Y3026" s="203"/>
      <c r="Z3026" s="170"/>
      <c r="AA3026" s="198"/>
      <c r="AB3026" s="170"/>
      <c r="AC3026" s="170"/>
      <c r="AD3026" s="121"/>
      <c r="AE3026" s="121"/>
      <c r="AF3026" s="121"/>
      <c r="AG3026" s="22"/>
      <c r="AH3026" s="22"/>
      <c r="AI3026" s="22"/>
      <c r="AJ3026" s="22"/>
      <c r="AK3026" s="22"/>
      <c r="AL3026" s="22"/>
      <c r="AM3026" s="22"/>
      <c r="AN3026" s="22"/>
      <c r="AO3026" s="22"/>
      <c r="AP3026" s="22"/>
    </row>
    <row r="3027">
      <c r="A3027" s="193"/>
      <c r="B3027" s="194"/>
      <c r="C3027" s="195"/>
      <c r="D3027" s="196"/>
      <c r="E3027" s="197"/>
      <c r="F3027" s="197"/>
      <c r="G3027" s="195"/>
      <c r="H3027" s="195"/>
      <c r="I3027" s="197"/>
      <c r="J3027" s="121"/>
      <c r="K3027" s="121"/>
      <c r="L3027" s="200"/>
      <c r="M3027" s="204"/>
      <c r="N3027" s="205"/>
      <c r="O3027" s="170"/>
      <c r="P3027" s="198"/>
      <c r="Q3027" s="199"/>
      <c r="R3027" s="200"/>
      <c r="S3027" s="170"/>
      <c r="T3027" s="170"/>
      <c r="U3027" s="201"/>
      <c r="V3027" s="198"/>
      <c r="W3027" s="170"/>
      <c r="X3027" s="202"/>
      <c r="Y3027" s="203"/>
      <c r="Z3027" s="170"/>
      <c r="AA3027" s="198"/>
      <c r="AB3027" s="170"/>
      <c r="AC3027" s="170"/>
      <c r="AD3027" s="121"/>
      <c r="AE3027" s="121"/>
      <c r="AF3027" s="121"/>
      <c r="AG3027" s="22"/>
      <c r="AH3027" s="22"/>
      <c r="AI3027" s="22"/>
      <c r="AJ3027" s="22"/>
      <c r="AK3027" s="22"/>
      <c r="AL3027" s="22"/>
      <c r="AM3027" s="22"/>
      <c r="AN3027" s="22"/>
      <c r="AO3027" s="22"/>
      <c r="AP3027" s="22"/>
    </row>
    <row r="3028">
      <c r="A3028" s="193"/>
      <c r="B3028" s="194"/>
      <c r="C3028" s="195"/>
      <c r="D3028" s="196"/>
      <c r="E3028" s="197"/>
      <c r="F3028" s="197"/>
      <c r="G3028" s="195"/>
      <c r="H3028" s="195"/>
      <c r="I3028" s="197"/>
      <c r="J3028" s="121"/>
      <c r="K3028" s="121"/>
      <c r="L3028" s="200"/>
      <c r="M3028" s="204"/>
      <c r="N3028" s="205"/>
      <c r="O3028" s="170"/>
      <c r="P3028" s="198"/>
      <c r="Q3028" s="199"/>
      <c r="R3028" s="200"/>
      <c r="S3028" s="170"/>
      <c r="T3028" s="170"/>
      <c r="U3028" s="201"/>
      <c r="V3028" s="198"/>
      <c r="W3028" s="170"/>
      <c r="X3028" s="202"/>
      <c r="Y3028" s="203"/>
      <c r="Z3028" s="170"/>
      <c r="AA3028" s="198"/>
      <c r="AB3028" s="170"/>
      <c r="AC3028" s="170"/>
      <c r="AD3028" s="121"/>
      <c r="AE3028" s="121"/>
      <c r="AF3028" s="121"/>
      <c r="AG3028" s="22"/>
      <c r="AH3028" s="22"/>
      <c r="AI3028" s="22"/>
      <c r="AJ3028" s="22"/>
      <c r="AK3028" s="22"/>
      <c r="AL3028" s="22"/>
      <c r="AM3028" s="22"/>
      <c r="AN3028" s="22"/>
      <c r="AO3028" s="22"/>
      <c r="AP3028" s="22"/>
    </row>
    <row r="3029">
      <c r="A3029" s="193"/>
      <c r="B3029" s="194"/>
      <c r="C3029" s="195"/>
      <c r="D3029" s="196"/>
      <c r="E3029" s="197"/>
      <c r="F3029" s="197"/>
      <c r="G3029" s="195"/>
      <c r="H3029" s="195"/>
      <c r="I3029" s="197"/>
      <c r="J3029" s="121"/>
      <c r="K3029" s="121"/>
      <c r="L3029" s="200"/>
      <c r="M3029" s="204"/>
      <c r="N3029" s="205"/>
      <c r="O3029" s="170"/>
      <c r="P3029" s="198"/>
      <c r="Q3029" s="199"/>
      <c r="R3029" s="200"/>
      <c r="S3029" s="170"/>
      <c r="T3029" s="170"/>
      <c r="U3029" s="201"/>
      <c r="V3029" s="198"/>
      <c r="W3029" s="170"/>
      <c r="X3029" s="202"/>
      <c r="Y3029" s="203"/>
      <c r="Z3029" s="170"/>
      <c r="AA3029" s="198"/>
      <c r="AB3029" s="170"/>
      <c r="AC3029" s="170"/>
      <c r="AD3029" s="121"/>
      <c r="AE3029" s="121"/>
      <c r="AF3029" s="121"/>
      <c r="AG3029" s="22"/>
      <c r="AH3029" s="22"/>
      <c r="AI3029" s="22"/>
      <c r="AJ3029" s="22"/>
      <c r="AK3029" s="22"/>
      <c r="AL3029" s="22"/>
      <c r="AM3029" s="22"/>
      <c r="AN3029" s="22"/>
      <c r="AO3029" s="22"/>
      <c r="AP3029" s="22"/>
    </row>
    <row r="3030">
      <c r="A3030" s="193"/>
      <c r="B3030" s="194"/>
      <c r="C3030" s="195"/>
      <c r="D3030" s="196"/>
      <c r="E3030" s="197"/>
      <c r="F3030" s="197"/>
      <c r="G3030" s="195"/>
      <c r="H3030" s="195"/>
      <c r="I3030" s="197"/>
      <c r="J3030" s="121"/>
      <c r="K3030" s="121"/>
      <c r="L3030" s="200"/>
      <c r="M3030" s="204"/>
      <c r="N3030" s="205"/>
      <c r="O3030" s="170"/>
      <c r="P3030" s="198"/>
      <c r="Q3030" s="199"/>
      <c r="R3030" s="200"/>
      <c r="S3030" s="170"/>
      <c r="T3030" s="170"/>
      <c r="U3030" s="201"/>
      <c r="V3030" s="198"/>
      <c r="W3030" s="170"/>
      <c r="X3030" s="202"/>
      <c r="Y3030" s="203"/>
      <c r="Z3030" s="170"/>
      <c r="AA3030" s="198"/>
      <c r="AB3030" s="170"/>
      <c r="AC3030" s="170"/>
      <c r="AD3030" s="121"/>
      <c r="AE3030" s="121"/>
      <c r="AF3030" s="121"/>
      <c r="AG3030" s="22"/>
      <c r="AH3030" s="22"/>
      <c r="AI3030" s="22"/>
      <c r="AJ3030" s="22"/>
      <c r="AK3030" s="22"/>
      <c r="AL3030" s="22"/>
      <c r="AM3030" s="22"/>
      <c r="AN3030" s="22"/>
      <c r="AO3030" s="22"/>
      <c r="AP3030" s="22"/>
    </row>
    <row r="3031">
      <c r="A3031" s="193"/>
      <c r="B3031" s="194"/>
      <c r="C3031" s="195"/>
      <c r="D3031" s="196"/>
      <c r="E3031" s="197"/>
      <c r="F3031" s="197"/>
      <c r="G3031" s="195"/>
      <c r="H3031" s="195"/>
      <c r="I3031" s="197"/>
      <c r="J3031" s="121"/>
      <c r="K3031" s="121"/>
      <c r="L3031" s="200"/>
      <c r="M3031" s="204"/>
      <c r="N3031" s="205"/>
      <c r="O3031" s="170"/>
      <c r="P3031" s="198"/>
      <c r="Q3031" s="199"/>
      <c r="R3031" s="200"/>
      <c r="S3031" s="170"/>
      <c r="T3031" s="170"/>
      <c r="U3031" s="201"/>
      <c r="V3031" s="198"/>
      <c r="W3031" s="170"/>
      <c r="X3031" s="202"/>
      <c r="Y3031" s="203"/>
      <c r="Z3031" s="170"/>
      <c r="AA3031" s="198"/>
      <c r="AB3031" s="170"/>
      <c r="AC3031" s="170"/>
      <c r="AD3031" s="121"/>
      <c r="AE3031" s="121"/>
      <c r="AF3031" s="121"/>
      <c r="AG3031" s="22"/>
      <c r="AH3031" s="22"/>
      <c r="AI3031" s="22"/>
      <c r="AJ3031" s="22"/>
      <c r="AK3031" s="22"/>
      <c r="AL3031" s="22"/>
      <c r="AM3031" s="22"/>
      <c r="AN3031" s="22"/>
      <c r="AO3031" s="22"/>
      <c r="AP3031" s="22"/>
    </row>
    <row r="3032">
      <c r="A3032" s="193"/>
      <c r="B3032" s="194"/>
      <c r="C3032" s="195"/>
      <c r="D3032" s="196"/>
      <c r="E3032" s="197"/>
      <c r="F3032" s="197"/>
      <c r="G3032" s="195"/>
      <c r="H3032" s="195"/>
      <c r="I3032" s="197"/>
      <c r="J3032" s="121"/>
      <c r="K3032" s="121"/>
      <c r="L3032" s="200"/>
      <c r="M3032" s="204"/>
      <c r="N3032" s="205"/>
      <c r="O3032" s="170"/>
      <c r="P3032" s="198"/>
      <c r="Q3032" s="199"/>
      <c r="R3032" s="200"/>
      <c r="S3032" s="170"/>
      <c r="T3032" s="170"/>
      <c r="U3032" s="201"/>
      <c r="V3032" s="198"/>
      <c r="W3032" s="170"/>
      <c r="X3032" s="202"/>
      <c r="Y3032" s="203"/>
      <c r="Z3032" s="170"/>
      <c r="AA3032" s="198"/>
      <c r="AB3032" s="170"/>
      <c r="AC3032" s="170"/>
      <c r="AD3032" s="121"/>
      <c r="AE3032" s="121"/>
      <c r="AF3032" s="121"/>
      <c r="AG3032" s="22"/>
      <c r="AH3032" s="22"/>
      <c r="AI3032" s="22"/>
      <c r="AJ3032" s="22"/>
      <c r="AK3032" s="22"/>
      <c r="AL3032" s="22"/>
      <c r="AM3032" s="22"/>
      <c r="AN3032" s="22"/>
      <c r="AO3032" s="22"/>
      <c r="AP3032" s="22"/>
    </row>
    <row r="3033">
      <c r="A3033" s="193"/>
      <c r="B3033" s="194"/>
      <c r="C3033" s="195"/>
      <c r="D3033" s="196"/>
      <c r="E3033" s="197"/>
      <c r="F3033" s="197"/>
      <c r="G3033" s="195"/>
      <c r="H3033" s="195"/>
      <c r="I3033" s="197"/>
      <c r="J3033" s="121"/>
      <c r="K3033" s="121"/>
      <c r="L3033" s="200"/>
      <c r="M3033" s="204"/>
      <c r="N3033" s="205"/>
      <c r="O3033" s="170"/>
      <c r="P3033" s="198"/>
      <c r="Q3033" s="199"/>
      <c r="R3033" s="200"/>
      <c r="S3033" s="170"/>
      <c r="T3033" s="170"/>
      <c r="U3033" s="201"/>
      <c r="V3033" s="198"/>
      <c r="W3033" s="170"/>
      <c r="X3033" s="202"/>
      <c r="Y3033" s="203"/>
      <c r="Z3033" s="170"/>
      <c r="AA3033" s="198"/>
      <c r="AB3033" s="170"/>
      <c r="AC3033" s="170"/>
      <c r="AD3033" s="121"/>
      <c r="AE3033" s="121"/>
      <c r="AF3033" s="121"/>
      <c r="AG3033" s="22"/>
      <c r="AH3033" s="22"/>
      <c r="AI3033" s="22"/>
      <c r="AJ3033" s="22"/>
      <c r="AK3033" s="22"/>
      <c r="AL3033" s="22"/>
      <c r="AM3033" s="22"/>
      <c r="AN3033" s="22"/>
      <c r="AO3033" s="22"/>
      <c r="AP3033" s="22"/>
    </row>
    <row r="3034">
      <c r="A3034" s="193"/>
      <c r="B3034" s="194"/>
      <c r="C3034" s="195"/>
      <c r="D3034" s="196"/>
      <c r="E3034" s="197"/>
      <c r="F3034" s="197"/>
      <c r="G3034" s="195"/>
      <c r="H3034" s="195"/>
      <c r="I3034" s="197"/>
      <c r="J3034" s="121"/>
      <c r="K3034" s="121"/>
      <c r="L3034" s="200"/>
      <c r="M3034" s="204"/>
      <c r="N3034" s="205"/>
      <c r="O3034" s="170"/>
      <c r="P3034" s="198"/>
      <c r="Q3034" s="199"/>
      <c r="R3034" s="200"/>
      <c r="S3034" s="170"/>
      <c r="T3034" s="170"/>
      <c r="U3034" s="201"/>
      <c r="V3034" s="198"/>
      <c r="W3034" s="170"/>
      <c r="X3034" s="202"/>
      <c r="Y3034" s="203"/>
      <c r="Z3034" s="170"/>
      <c r="AA3034" s="198"/>
      <c r="AB3034" s="170"/>
      <c r="AC3034" s="170"/>
      <c r="AD3034" s="121"/>
      <c r="AE3034" s="121"/>
      <c r="AF3034" s="121"/>
      <c r="AG3034" s="22"/>
      <c r="AH3034" s="22"/>
      <c r="AI3034" s="22"/>
      <c r="AJ3034" s="22"/>
      <c r="AK3034" s="22"/>
      <c r="AL3034" s="22"/>
      <c r="AM3034" s="22"/>
      <c r="AN3034" s="22"/>
      <c r="AO3034" s="22"/>
      <c r="AP3034" s="22"/>
    </row>
    <row r="3035">
      <c r="A3035" s="193"/>
      <c r="B3035" s="194"/>
      <c r="C3035" s="195"/>
      <c r="D3035" s="196"/>
      <c r="E3035" s="197"/>
      <c r="F3035" s="197"/>
      <c r="G3035" s="195"/>
      <c r="H3035" s="195"/>
      <c r="I3035" s="197"/>
      <c r="J3035" s="121"/>
      <c r="K3035" s="121"/>
      <c r="L3035" s="200"/>
      <c r="M3035" s="204"/>
      <c r="N3035" s="205"/>
      <c r="O3035" s="170"/>
      <c r="P3035" s="198"/>
      <c r="Q3035" s="199"/>
      <c r="R3035" s="200"/>
      <c r="S3035" s="170"/>
      <c r="T3035" s="170"/>
      <c r="U3035" s="201"/>
      <c r="V3035" s="198"/>
      <c r="W3035" s="170"/>
      <c r="X3035" s="202"/>
      <c r="Y3035" s="203"/>
      <c r="Z3035" s="170"/>
      <c r="AA3035" s="198"/>
      <c r="AB3035" s="170"/>
      <c r="AC3035" s="170"/>
      <c r="AD3035" s="121"/>
      <c r="AE3035" s="121"/>
      <c r="AF3035" s="121"/>
      <c r="AG3035" s="22"/>
      <c r="AH3035" s="22"/>
      <c r="AI3035" s="22"/>
      <c r="AJ3035" s="22"/>
      <c r="AK3035" s="22"/>
      <c r="AL3035" s="22"/>
      <c r="AM3035" s="22"/>
      <c r="AN3035" s="22"/>
      <c r="AO3035" s="22"/>
      <c r="AP3035" s="22"/>
    </row>
    <row r="3036">
      <c r="A3036" s="193"/>
      <c r="B3036" s="194"/>
      <c r="C3036" s="195"/>
      <c r="D3036" s="196"/>
      <c r="E3036" s="197"/>
      <c r="F3036" s="197"/>
      <c r="G3036" s="195"/>
      <c r="H3036" s="195"/>
      <c r="I3036" s="197"/>
      <c r="J3036" s="121"/>
      <c r="K3036" s="121"/>
      <c r="L3036" s="200"/>
      <c r="M3036" s="204"/>
      <c r="N3036" s="205"/>
      <c r="O3036" s="170"/>
      <c r="P3036" s="198"/>
      <c r="Q3036" s="199"/>
      <c r="R3036" s="200"/>
      <c r="S3036" s="170"/>
      <c r="T3036" s="170"/>
      <c r="U3036" s="201"/>
      <c r="V3036" s="198"/>
      <c r="W3036" s="170"/>
      <c r="X3036" s="202"/>
      <c r="Y3036" s="203"/>
      <c r="Z3036" s="170"/>
      <c r="AA3036" s="198"/>
      <c r="AB3036" s="170"/>
      <c r="AC3036" s="170"/>
      <c r="AD3036" s="121"/>
      <c r="AE3036" s="121"/>
      <c r="AF3036" s="121"/>
      <c r="AG3036" s="22"/>
      <c r="AH3036" s="22"/>
      <c r="AI3036" s="22"/>
      <c r="AJ3036" s="22"/>
      <c r="AK3036" s="22"/>
      <c r="AL3036" s="22"/>
      <c r="AM3036" s="22"/>
      <c r="AN3036" s="22"/>
      <c r="AO3036" s="22"/>
      <c r="AP3036" s="22"/>
    </row>
    <row r="3037">
      <c r="A3037" s="193"/>
      <c r="B3037" s="194"/>
      <c r="C3037" s="195"/>
      <c r="D3037" s="196"/>
      <c r="E3037" s="197"/>
      <c r="F3037" s="197"/>
      <c r="G3037" s="195"/>
      <c r="H3037" s="195"/>
      <c r="I3037" s="197"/>
      <c r="J3037" s="121"/>
      <c r="K3037" s="121"/>
      <c r="L3037" s="200"/>
      <c r="M3037" s="204"/>
      <c r="N3037" s="205"/>
      <c r="O3037" s="170"/>
      <c r="P3037" s="198"/>
      <c r="Q3037" s="199"/>
      <c r="R3037" s="200"/>
      <c r="S3037" s="170"/>
      <c r="T3037" s="170"/>
      <c r="U3037" s="201"/>
      <c r="V3037" s="198"/>
      <c r="W3037" s="170"/>
      <c r="X3037" s="202"/>
      <c r="Y3037" s="203"/>
      <c r="Z3037" s="170"/>
      <c r="AA3037" s="198"/>
      <c r="AB3037" s="170"/>
      <c r="AC3037" s="170"/>
      <c r="AD3037" s="121"/>
      <c r="AE3037" s="121"/>
      <c r="AF3037" s="121"/>
      <c r="AG3037" s="22"/>
      <c r="AH3037" s="22"/>
      <c r="AI3037" s="22"/>
      <c r="AJ3037" s="22"/>
      <c r="AK3037" s="22"/>
      <c r="AL3037" s="22"/>
      <c r="AM3037" s="22"/>
      <c r="AN3037" s="22"/>
      <c r="AO3037" s="22"/>
      <c r="AP3037" s="22"/>
    </row>
    <row r="3038">
      <c r="A3038" s="193"/>
      <c r="B3038" s="194"/>
      <c r="C3038" s="195"/>
      <c r="D3038" s="196"/>
      <c r="E3038" s="197"/>
      <c r="F3038" s="197"/>
      <c r="G3038" s="195"/>
      <c r="H3038" s="195"/>
      <c r="I3038" s="197"/>
      <c r="J3038" s="121"/>
      <c r="K3038" s="121"/>
      <c r="L3038" s="200"/>
      <c r="M3038" s="204"/>
      <c r="N3038" s="205"/>
      <c r="O3038" s="170"/>
      <c r="P3038" s="198"/>
      <c r="Q3038" s="199"/>
      <c r="R3038" s="200"/>
      <c r="S3038" s="170"/>
      <c r="T3038" s="170"/>
      <c r="U3038" s="201"/>
      <c r="V3038" s="198"/>
      <c r="W3038" s="170"/>
      <c r="X3038" s="202"/>
      <c r="Y3038" s="203"/>
      <c r="Z3038" s="170"/>
      <c r="AA3038" s="198"/>
      <c r="AB3038" s="170"/>
      <c r="AC3038" s="170"/>
      <c r="AD3038" s="121"/>
      <c r="AE3038" s="121"/>
      <c r="AF3038" s="121"/>
      <c r="AG3038" s="22"/>
      <c r="AH3038" s="22"/>
      <c r="AI3038" s="22"/>
      <c r="AJ3038" s="22"/>
      <c r="AK3038" s="22"/>
      <c r="AL3038" s="22"/>
      <c r="AM3038" s="22"/>
      <c r="AN3038" s="22"/>
      <c r="AO3038" s="22"/>
      <c r="AP3038" s="22"/>
    </row>
    <row r="3039">
      <c r="A3039" s="193"/>
      <c r="B3039" s="194"/>
      <c r="C3039" s="195"/>
      <c r="D3039" s="196"/>
      <c r="E3039" s="197"/>
      <c r="F3039" s="197"/>
      <c r="G3039" s="195"/>
      <c r="H3039" s="195"/>
      <c r="I3039" s="197"/>
      <c r="J3039" s="121"/>
      <c r="K3039" s="121"/>
      <c r="L3039" s="200"/>
      <c r="M3039" s="204"/>
      <c r="N3039" s="205"/>
      <c r="O3039" s="170"/>
      <c r="P3039" s="198"/>
      <c r="Q3039" s="199"/>
      <c r="R3039" s="200"/>
      <c r="S3039" s="170"/>
      <c r="T3039" s="170"/>
      <c r="U3039" s="201"/>
      <c r="V3039" s="198"/>
      <c r="W3039" s="170"/>
      <c r="X3039" s="202"/>
      <c r="Y3039" s="203"/>
      <c r="Z3039" s="170"/>
      <c r="AA3039" s="198"/>
      <c r="AB3039" s="170"/>
      <c r="AC3039" s="170"/>
      <c r="AD3039" s="121"/>
      <c r="AE3039" s="121"/>
      <c r="AF3039" s="121"/>
      <c r="AG3039" s="22"/>
      <c r="AH3039" s="22"/>
      <c r="AI3039" s="22"/>
      <c r="AJ3039" s="22"/>
      <c r="AK3039" s="22"/>
      <c r="AL3039" s="22"/>
      <c r="AM3039" s="22"/>
      <c r="AN3039" s="22"/>
      <c r="AO3039" s="22"/>
      <c r="AP3039" s="22"/>
    </row>
    <row r="3040">
      <c r="A3040" s="193"/>
      <c r="B3040" s="194"/>
      <c r="C3040" s="195"/>
      <c r="D3040" s="196"/>
      <c r="E3040" s="197"/>
      <c r="F3040" s="197"/>
      <c r="G3040" s="195"/>
      <c r="H3040" s="195"/>
      <c r="I3040" s="197"/>
      <c r="J3040" s="121"/>
      <c r="K3040" s="121"/>
      <c r="L3040" s="200"/>
      <c r="M3040" s="204"/>
      <c r="N3040" s="205"/>
      <c r="O3040" s="170"/>
      <c r="P3040" s="198"/>
      <c r="Q3040" s="199"/>
      <c r="R3040" s="200"/>
      <c r="S3040" s="170"/>
      <c r="T3040" s="170"/>
      <c r="U3040" s="201"/>
      <c r="V3040" s="198"/>
      <c r="W3040" s="170"/>
      <c r="X3040" s="202"/>
      <c r="Y3040" s="203"/>
      <c r="Z3040" s="170"/>
      <c r="AA3040" s="198"/>
      <c r="AB3040" s="170"/>
      <c r="AC3040" s="170"/>
      <c r="AD3040" s="121"/>
      <c r="AE3040" s="121"/>
      <c r="AF3040" s="121"/>
      <c r="AG3040" s="22"/>
      <c r="AH3040" s="22"/>
      <c r="AI3040" s="22"/>
      <c r="AJ3040" s="22"/>
      <c r="AK3040" s="22"/>
      <c r="AL3040" s="22"/>
      <c r="AM3040" s="22"/>
      <c r="AN3040" s="22"/>
      <c r="AO3040" s="22"/>
      <c r="AP3040" s="22"/>
    </row>
    <row r="3041">
      <c r="A3041" s="193"/>
      <c r="B3041" s="194"/>
      <c r="C3041" s="195"/>
      <c r="D3041" s="196"/>
      <c r="E3041" s="197"/>
      <c r="F3041" s="197"/>
      <c r="G3041" s="195"/>
      <c r="H3041" s="195"/>
      <c r="I3041" s="197"/>
      <c r="J3041" s="121"/>
      <c r="K3041" s="121"/>
      <c r="L3041" s="200"/>
      <c r="M3041" s="204"/>
      <c r="N3041" s="205"/>
      <c r="O3041" s="170"/>
      <c r="P3041" s="198"/>
      <c r="Q3041" s="199"/>
      <c r="R3041" s="200"/>
      <c r="S3041" s="170"/>
      <c r="T3041" s="170"/>
      <c r="U3041" s="201"/>
      <c r="V3041" s="198"/>
      <c r="W3041" s="170"/>
      <c r="X3041" s="202"/>
      <c r="Y3041" s="203"/>
      <c r="Z3041" s="170"/>
      <c r="AA3041" s="198"/>
      <c r="AB3041" s="170"/>
      <c r="AC3041" s="170"/>
      <c r="AD3041" s="121"/>
      <c r="AE3041" s="121"/>
      <c r="AF3041" s="121"/>
      <c r="AG3041" s="22"/>
      <c r="AH3041" s="22"/>
      <c r="AI3041" s="22"/>
      <c r="AJ3041" s="22"/>
      <c r="AK3041" s="22"/>
      <c r="AL3041" s="22"/>
      <c r="AM3041" s="22"/>
      <c r="AN3041" s="22"/>
      <c r="AO3041" s="22"/>
      <c r="AP3041" s="22"/>
    </row>
    <row r="3042">
      <c r="A3042" s="193"/>
      <c r="B3042" s="194"/>
      <c r="C3042" s="195"/>
      <c r="D3042" s="196"/>
      <c r="E3042" s="197"/>
      <c r="F3042" s="197"/>
      <c r="G3042" s="195"/>
      <c r="H3042" s="195"/>
      <c r="I3042" s="197"/>
      <c r="J3042" s="121"/>
      <c r="K3042" s="121"/>
      <c r="L3042" s="200"/>
      <c r="M3042" s="204"/>
      <c r="N3042" s="205"/>
      <c r="O3042" s="170"/>
      <c r="P3042" s="198"/>
      <c r="Q3042" s="199"/>
      <c r="R3042" s="200"/>
      <c r="S3042" s="170"/>
      <c r="T3042" s="170"/>
      <c r="U3042" s="201"/>
      <c r="V3042" s="198"/>
      <c r="W3042" s="170"/>
      <c r="X3042" s="202"/>
      <c r="Y3042" s="203"/>
      <c r="Z3042" s="170"/>
      <c r="AA3042" s="198"/>
      <c r="AB3042" s="170"/>
      <c r="AC3042" s="170"/>
      <c r="AD3042" s="121"/>
      <c r="AE3042" s="121"/>
      <c r="AF3042" s="121"/>
      <c r="AG3042" s="22"/>
      <c r="AH3042" s="22"/>
      <c r="AI3042" s="22"/>
      <c r="AJ3042" s="22"/>
      <c r="AK3042" s="22"/>
      <c r="AL3042" s="22"/>
      <c r="AM3042" s="22"/>
      <c r="AN3042" s="22"/>
      <c r="AO3042" s="22"/>
      <c r="AP3042" s="22"/>
    </row>
    <row r="3043">
      <c r="A3043" s="193"/>
      <c r="B3043" s="194"/>
      <c r="C3043" s="195"/>
      <c r="D3043" s="196"/>
      <c r="E3043" s="197"/>
      <c r="F3043" s="197"/>
      <c r="G3043" s="195"/>
      <c r="H3043" s="195"/>
      <c r="I3043" s="197"/>
      <c r="J3043" s="121"/>
      <c r="K3043" s="121"/>
      <c r="L3043" s="200"/>
      <c r="M3043" s="204"/>
      <c r="N3043" s="205"/>
      <c r="O3043" s="170"/>
      <c r="P3043" s="198"/>
      <c r="Q3043" s="199"/>
      <c r="R3043" s="200"/>
      <c r="S3043" s="170"/>
      <c r="T3043" s="170"/>
      <c r="U3043" s="201"/>
      <c r="V3043" s="198"/>
      <c r="W3043" s="170"/>
      <c r="X3043" s="202"/>
      <c r="Y3043" s="203"/>
      <c r="Z3043" s="170"/>
      <c r="AA3043" s="198"/>
      <c r="AB3043" s="170"/>
      <c r="AC3043" s="170"/>
      <c r="AD3043" s="121"/>
      <c r="AE3043" s="121"/>
      <c r="AF3043" s="121"/>
      <c r="AG3043" s="22"/>
      <c r="AH3043" s="22"/>
      <c r="AI3043" s="22"/>
      <c r="AJ3043" s="22"/>
      <c r="AK3043" s="22"/>
      <c r="AL3043" s="22"/>
      <c r="AM3043" s="22"/>
      <c r="AN3043" s="22"/>
      <c r="AO3043" s="22"/>
      <c r="AP3043" s="22"/>
    </row>
    <row r="3044">
      <c r="A3044" s="193"/>
      <c r="B3044" s="194"/>
      <c r="C3044" s="195"/>
      <c r="D3044" s="196"/>
      <c r="E3044" s="197"/>
      <c r="F3044" s="197"/>
      <c r="G3044" s="195"/>
      <c r="H3044" s="195"/>
      <c r="I3044" s="197"/>
      <c r="J3044" s="121"/>
      <c r="K3044" s="121"/>
      <c r="L3044" s="200"/>
      <c r="M3044" s="204"/>
      <c r="N3044" s="205"/>
      <c r="O3044" s="170"/>
      <c r="P3044" s="198"/>
      <c r="Q3044" s="199"/>
      <c r="R3044" s="200"/>
      <c r="S3044" s="170"/>
      <c r="T3044" s="170"/>
      <c r="U3044" s="201"/>
      <c r="V3044" s="198"/>
      <c r="W3044" s="170"/>
      <c r="X3044" s="202"/>
      <c r="Y3044" s="203"/>
      <c r="Z3044" s="170"/>
      <c r="AA3044" s="198"/>
      <c r="AB3044" s="170"/>
      <c r="AC3044" s="170"/>
      <c r="AD3044" s="121"/>
      <c r="AE3044" s="121"/>
      <c r="AF3044" s="121"/>
      <c r="AG3044" s="22"/>
      <c r="AH3044" s="22"/>
      <c r="AI3044" s="22"/>
      <c r="AJ3044" s="22"/>
      <c r="AK3044" s="22"/>
      <c r="AL3044" s="22"/>
      <c r="AM3044" s="22"/>
      <c r="AN3044" s="22"/>
      <c r="AO3044" s="22"/>
      <c r="AP3044" s="22"/>
    </row>
    <row r="3045">
      <c r="A3045" s="193"/>
      <c r="B3045" s="194"/>
      <c r="C3045" s="195"/>
      <c r="D3045" s="196"/>
      <c r="E3045" s="197"/>
      <c r="F3045" s="197"/>
      <c r="G3045" s="195"/>
      <c r="H3045" s="195"/>
      <c r="I3045" s="197"/>
      <c r="J3045" s="121"/>
      <c r="K3045" s="121"/>
      <c r="L3045" s="200"/>
      <c r="M3045" s="204"/>
      <c r="N3045" s="205"/>
      <c r="O3045" s="170"/>
      <c r="P3045" s="198"/>
      <c r="Q3045" s="199"/>
      <c r="R3045" s="200"/>
      <c r="S3045" s="170"/>
      <c r="T3045" s="170"/>
      <c r="U3045" s="201"/>
      <c r="V3045" s="198"/>
      <c r="W3045" s="170"/>
      <c r="X3045" s="202"/>
      <c r="Y3045" s="203"/>
      <c r="Z3045" s="170"/>
      <c r="AA3045" s="198"/>
      <c r="AB3045" s="170"/>
      <c r="AC3045" s="170"/>
      <c r="AD3045" s="121"/>
      <c r="AE3045" s="121"/>
      <c r="AF3045" s="121"/>
      <c r="AG3045" s="22"/>
      <c r="AH3045" s="22"/>
      <c r="AI3045" s="22"/>
      <c r="AJ3045" s="22"/>
      <c r="AK3045" s="22"/>
      <c r="AL3045" s="22"/>
      <c r="AM3045" s="22"/>
      <c r="AN3045" s="22"/>
      <c r="AO3045" s="22"/>
      <c r="AP3045" s="22"/>
    </row>
    <row r="3046">
      <c r="A3046" s="193"/>
      <c r="B3046" s="194"/>
      <c r="C3046" s="195"/>
      <c r="D3046" s="196"/>
      <c r="E3046" s="197"/>
      <c r="F3046" s="197"/>
      <c r="G3046" s="195"/>
      <c r="H3046" s="195"/>
      <c r="I3046" s="197"/>
      <c r="J3046" s="121"/>
      <c r="K3046" s="121"/>
      <c r="L3046" s="200"/>
      <c r="M3046" s="204"/>
      <c r="N3046" s="205"/>
      <c r="O3046" s="170"/>
      <c r="P3046" s="198"/>
      <c r="Q3046" s="199"/>
      <c r="R3046" s="200"/>
      <c r="S3046" s="170"/>
      <c r="T3046" s="170"/>
      <c r="U3046" s="201"/>
      <c r="V3046" s="198"/>
      <c r="W3046" s="170"/>
      <c r="X3046" s="202"/>
      <c r="Y3046" s="203"/>
      <c r="Z3046" s="170"/>
      <c r="AA3046" s="198"/>
      <c r="AB3046" s="170"/>
      <c r="AC3046" s="170"/>
      <c r="AD3046" s="121"/>
      <c r="AE3046" s="121"/>
      <c r="AF3046" s="121"/>
      <c r="AG3046" s="22"/>
      <c r="AH3046" s="22"/>
      <c r="AI3046" s="22"/>
      <c r="AJ3046" s="22"/>
      <c r="AK3046" s="22"/>
      <c r="AL3046" s="22"/>
      <c r="AM3046" s="22"/>
      <c r="AN3046" s="22"/>
      <c r="AO3046" s="22"/>
      <c r="AP3046" s="22"/>
    </row>
    <row r="3047">
      <c r="A3047" s="193"/>
      <c r="B3047" s="194"/>
      <c r="C3047" s="195"/>
      <c r="D3047" s="196"/>
      <c r="E3047" s="197"/>
      <c r="F3047" s="197"/>
      <c r="G3047" s="195"/>
      <c r="H3047" s="195"/>
      <c r="I3047" s="197"/>
      <c r="J3047" s="121"/>
      <c r="K3047" s="121"/>
      <c r="L3047" s="200"/>
      <c r="M3047" s="204"/>
      <c r="N3047" s="205"/>
      <c r="O3047" s="170"/>
      <c r="P3047" s="198"/>
      <c r="Q3047" s="199"/>
      <c r="R3047" s="200"/>
      <c r="S3047" s="170"/>
      <c r="T3047" s="170"/>
      <c r="U3047" s="201"/>
      <c r="V3047" s="198"/>
      <c r="W3047" s="170"/>
      <c r="X3047" s="202"/>
      <c r="Y3047" s="203"/>
      <c r="Z3047" s="170"/>
      <c r="AA3047" s="198"/>
      <c r="AB3047" s="170"/>
      <c r="AC3047" s="170"/>
      <c r="AD3047" s="121"/>
      <c r="AE3047" s="121"/>
      <c r="AF3047" s="121"/>
      <c r="AG3047" s="22"/>
      <c r="AH3047" s="22"/>
      <c r="AI3047" s="22"/>
      <c r="AJ3047" s="22"/>
      <c r="AK3047" s="22"/>
      <c r="AL3047" s="22"/>
      <c r="AM3047" s="22"/>
      <c r="AN3047" s="22"/>
      <c r="AO3047" s="22"/>
      <c r="AP3047" s="22"/>
    </row>
    <row r="3048">
      <c r="A3048" s="193"/>
      <c r="B3048" s="194"/>
      <c r="C3048" s="195"/>
      <c r="D3048" s="196"/>
      <c r="E3048" s="197"/>
      <c r="F3048" s="197"/>
      <c r="G3048" s="195"/>
      <c r="H3048" s="195"/>
      <c r="I3048" s="197"/>
      <c r="J3048" s="121"/>
      <c r="K3048" s="121"/>
      <c r="L3048" s="200"/>
      <c r="M3048" s="204"/>
      <c r="N3048" s="205"/>
      <c r="O3048" s="170"/>
      <c r="P3048" s="198"/>
      <c r="Q3048" s="199"/>
      <c r="R3048" s="200"/>
      <c r="S3048" s="170"/>
      <c r="T3048" s="170"/>
      <c r="U3048" s="201"/>
      <c r="V3048" s="198"/>
      <c r="W3048" s="170"/>
      <c r="X3048" s="202"/>
      <c r="Y3048" s="203"/>
      <c r="Z3048" s="170"/>
      <c r="AA3048" s="198"/>
      <c r="AB3048" s="170"/>
      <c r="AC3048" s="170"/>
      <c r="AD3048" s="121"/>
      <c r="AE3048" s="121"/>
      <c r="AF3048" s="121"/>
      <c r="AG3048" s="22"/>
      <c r="AH3048" s="22"/>
      <c r="AI3048" s="22"/>
      <c r="AJ3048" s="22"/>
      <c r="AK3048" s="22"/>
      <c r="AL3048" s="22"/>
      <c r="AM3048" s="22"/>
      <c r="AN3048" s="22"/>
      <c r="AO3048" s="22"/>
      <c r="AP3048" s="22"/>
    </row>
    <row r="3049">
      <c r="A3049" s="193"/>
      <c r="B3049" s="194"/>
      <c r="C3049" s="195"/>
      <c r="D3049" s="196"/>
      <c r="E3049" s="197"/>
      <c r="F3049" s="197"/>
      <c r="G3049" s="195"/>
      <c r="H3049" s="195"/>
      <c r="I3049" s="197"/>
      <c r="J3049" s="121"/>
      <c r="K3049" s="121"/>
      <c r="L3049" s="200"/>
      <c r="M3049" s="204"/>
      <c r="N3049" s="205"/>
      <c r="O3049" s="170"/>
      <c r="P3049" s="198"/>
      <c r="Q3049" s="199"/>
      <c r="R3049" s="200"/>
      <c r="S3049" s="170"/>
      <c r="T3049" s="170"/>
      <c r="U3049" s="201"/>
      <c r="V3049" s="198"/>
      <c r="W3049" s="170"/>
      <c r="X3049" s="202"/>
      <c r="Y3049" s="203"/>
      <c r="Z3049" s="170"/>
      <c r="AA3049" s="198"/>
      <c r="AB3049" s="170"/>
      <c r="AC3049" s="170"/>
      <c r="AD3049" s="121"/>
      <c r="AE3049" s="121"/>
      <c r="AF3049" s="121"/>
      <c r="AG3049" s="22"/>
      <c r="AH3049" s="22"/>
      <c r="AI3049" s="22"/>
      <c r="AJ3049" s="22"/>
      <c r="AK3049" s="22"/>
      <c r="AL3049" s="22"/>
      <c r="AM3049" s="22"/>
      <c r="AN3049" s="22"/>
      <c r="AO3049" s="22"/>
      <c r="AP3049" s="22"/>
    </row>
    <row r="3050">
      <c r="A3050" s="193"/>
      <c r="B3050" s="194"/>
      <c r="C3050" s="195"/>
      <c r="D3050" s="196"/>
      <c r="E3050" s="197"/>
      <c r="F3050" s="197"/>
      <c r="G3050" s="195"/>
      <c r="H3050" s="195"/>
      <c r="I3050" s="197"/>
      <c r="J3050" s="121"/>
      <c r="K3050" s="121"/>
      <c r="L3050" s="200"/>
      <c r="M3050" s="204"/>
      <c r="N3050" s="205"/>
      <c r="O3050" s="170"/>
      <c r="P3050" s="198"/>
      <c r="Q3050" s="199"/>
      <c r="R3050" s="200"/>
      <c r="S3050" s="170"/>
      <c r="T3050" s="170"/>
      <c r="U3050" s="201"/>
      <c r="V3050" s="198"/>
      <c r="W3050" s="170"/>
      <c r="X3050" s="202"/>
      <c r="Y3050" s="203"/>
      <c r="Z3050" s="170"/>
      <c r="AA3050" s="198"/>
      <c r="AB3050" s="170"/>
      <c r="AC3050" s="170"/>
      <c r="AD3050" s="121"/>
      <c r="AE3050" s="121"/>
      <c r="AF3050" s="121"/>
      <c r="AG3050" s="22"/>
      <c r="AH3050" s="22"/>
      <c r="AI3050" s="22"/>
      <c r="AJ3050" s="22"/>
      <c r="AK3050" s="22"/>
      <c r="AL3050" s="22"/>
      <c r="AM3050" s="22"/>
      <c r="AN3050" s="22"/>
      <c r="AO3050" s="22"/>
      <c r="AP3050" s="22"/>
    </row>
    <row r="3051">
      <c r="A3051" s="193"/>
      <c r="B3051" s="194"/>
      <c r="C3051" s="195"/>
      <c r="D3051" s="196"/>
      <c r="E3051" s="197"/>
      <c r="F3051" s="197"/>
      <c r="G3051" s="195"/>
      <c r="H3051" s="195"/>
      <c r="I3051" s="197"/>
      <c r="J3051" s="121"/>
      <c r="K3051" s="121"/>
      <c r="L3051" s="200"/>
      <c r="M3051" s="204"/>
      <c r="N3051" s="205"/>
      <c r="O3051" s="170"/>
      <c r="P3051" s="198"/>
      <c r="Q3051" s="199"/>
      <c r="R3051" s="200"/>
      <c r="S3051" s="170"/>
      <c r="T3051" s="170"/>
      <c r="U3051" s="201"/>
      <c r="V3051" s="198"/>
      <c r="W3051" s="170"/>
      <c r="X3051" s="202"/>
      <c r="Y3051" s="203"/>
      <c r="Z3051" s="170"/>
      <c r="AA3051" s="198"/>
      <c r="AB3051" s="170"/>
      <c r="AC3051" s="170"/>
      <c r="AD3051" s="121"/>
      <c r="AE3051" s="121"/>
      <c r="AF3051" s="121"/>
      <c r="AG3051" s="22"/>
      <c r="AH3051" s="22"/>
      <c r="AI3051" s="22"/>
      <c r="AJ3051" s="22"/>
      <c r="AK3051" s="22"/>
      <c r="AL3051" s="22"/>
      <c r="AM3051" s="22"/>
      <c r="AN3051" s="22"/>
      <c r="AO3051" s="22"/>
      <c r="AP3051" s="22"/>
    </row>
    <row r="3052">
      <c r="A3052" s="193"/>
      <c r="B3052" s="194"/>
      <c r="C3052" s="195"/>
      <c r="D3052" s="196"/>
      <c r="E3052" s="197"/>
      <c r="F3052" s="197"/>
      <c r="G3052" s="195"/>
      <c r="H3052" s="195"/>
      <c r="I3052" s="197"/>
      <c r="J3052" s="121"/>
      <c r="K3052" s="121"/>
      <c r="L3052" s="200"/>
      <c r="M3052" s="204"/>
      <c r="N3052" s="205"/>
      <c r="O3052" s="170"/>
      <c r="P3052" s="198"/>
      <c r="Q3052" s="199"/>
      <c r="R3052" s="200"/>
      <c r="S3052" s="170"/>
      <c r="T3052" s="170"/>
      <c r="U3052" s="201"/>
      <c r="V3052" s="198"/>
      <c r="W3052" s="170"/>
      <c r="X3052" s="202"/>
      <c r="Y3052" s="203"/>
      <c r="Z3052" s="170"/>
      <c r="AA3052" s="198"/>
      <c r="AB3052" s="170"/>
      <c r="AC3052" s="170"/>
      <c r="AD3052" s="121"/>
      <c r="AE3052" s="121"/>
      <c r="AF3052" s="121"/>
      <c r="AG3052" s="22"/>
      <c r="AH3052" s="22"/>
      <c r="AI3052" s="22"/>
      <c r="AJ3052" s="22"/>
      <c r="AK3052" s="22"/>
      <c r="AL3052" s="22"/>
      <c r="AM3052" s="22"/>
      <c r="AN3052" s="22"/>
      <c r="AO3052" s="22"/>
      <c r="AP3052" s="22"/>
    </row>
    <row r="3053">
      <c r="A3053" s="193"/>
      <c r="B3053" s="194"/>
      <c r="C3053" s="195"/>
      <c r="D3053" s="196"/>
      <c r="E3053" s="197"/>
      <c r="F3053" s="197"/>
      <c r="G3053" s="195"/>
      <c r="H3053" s="195"/>
      <c r="I3053" s="197"/>
      <c r="J3053" s="121"/>
      <c r="K3053" s="121"/>
      <c r="L3053" s="200"/>
      <c r="M3053" s="204"/>
      <c r="N3053" s="205"/>
      <c r="O3053" s="170"/>
      <c r="P3053" s="198"/>
      <c r="Q3053" s="199"/>
      <c r="R3053" s="200"/>
      <c r="S3053" s="170"/>
      <c r="T3053" s="170"/>
      <c r="U3053" s="201"/>
      <c r="V3053" s="198"/>
      <c r="W3053" s="170"/>
      <c r="X3053" s="202"/>
      <c r="Y3053" s="203"/>
      <c r="Z3053" s="170"/>
      <c r="AA3053" s="198"/>
      <c r="AB3053" s="170"/>
      <c r="AC3053" s="170"/>
      <c r="AD3053" s="121"/>
      <c r="AE3053" s="121"/>
      <c r="AF3053" s="121"/>
      <c r="AG3053" s="22"/>
      <c r="AH3053" s="22"/>
      <c r="AI3053" s="22"/>
      <c r="AJ3053" s="22"/>
      <c r="AK3053" s="22"/>
      <c r="AL3053" s="22"/>
      <c r="AM3053" s="22"/>
      <c r="AN3053" s="22"/>
      <c r="AO3053" s="22"/>
      <c r="AP3053" s="22"/>
    </row>
    <row r="3054">
      <c r="A3054" s="193"/>
      <c r="B3054" s="194"/>
      <c r="C3054" s="195"/>
      <c r="D3054" s="196"/>
      <c r="E3054" s="197"/>
      <c r="F3054" s="197"/>
      <c r="G3054" s="195"/>
      <c r="H3054" s="195"/>
      <c r="I3054" s="197"/>
      <c r="J3054" s="121"/>
      <c r="K3054" s="121"/>
      <c r="L3054" s="200"/>
      <c r="M3054" s="204"/>
      <c r="N3054" s="205"/>
      <c r="O3054" s="170"/>
      <c r="P3054" s="198"/>
      <c r="Q3054" s="199"/>
      <c r="R3054" s="200"/>
      <c r="S3054" s="170"/>
      <c r="T3054" s="170"/>
      <c r="U3054" s="201"/>
      <c r="V3054" s="198"/>
      <c r="W3054" s="170"/>
      <c r="X3054" s="202"/>
      <c r="Y3054" s="203"/>
      <c r="Z3054" s="170"/>
      <c r="AA3054" s="198"/>
      <c r="AB3054" s="170"/>
      <c r="AC3054" s="170"/>
      <c r="AD3054" s="121"/>
      <c r="AE3054" s="121"/>
      <c r="AF3054" s="121"/>
      <c r="AG3054" s="22"/>
      <c r="AH3054" s="22"/>
      <c r="AI3054" s="22"/>
      <c r="AJ3054" s="22"/>
      <c r="AK3054" s="22"/>
      <c r="AL3054" s="22"/>
      <c r="AM3054" s="22"/>
      <c r="AN3054" s="22"/>
      <c r="AO3054" s="22"/>
      <c r="AP3054" s="22"/>
    </row>
    <row r="3055">
      <c r="A3055" s="193"/>
      <c r="B3055" s="194"/>
      <c r="C3055" s="195"/>
      <c r="D3055" s="196"/>
      <c r="E3055" s="197"/>
      <c r="F3055" s="197"/>
      <c r="G3055" s="195"/>
      <c r="H3055" s="195"/>
      <c r="I3055" s="197"/>
      <c r="J3055" s="121"/>
      <c r="K3055" s="121"/>
      <c r="L3055" s="200"/>
      <c r="M3055" s="204"/>
      <c r="N3055" s="205"/>
      <c r="O3055" s="170"/>
      <c r="P3055" s="198"/>
      <c r="Q3055" s="199"/>
      <c r="R3055" s="200"/>
      <c r="S3055" s="170"/>
      <c r="T3055" s="170"/>
      <c r="U3055" s="201"/>
      <c r="V3055" s="198"/>
      <c r="W3055" s="170"/>
      <c r="X3055" s="202"/>
      <c r="Y3055" s="203"/>
      <c r="Z3055" s="170"/>
      <c r="AA3055" s="198"/>
      <c r="AB3055" s="170"/>
      <c r="AC3055" s="170"/>
      <c r="AD3055" s="121"/>
      <c r="AE3055" s="121"/>
      <c r="AF3055" s="121"/>
      <c r="AG3055" s="22"/>
      <c r="AH3055" s="22"/>
      <c r="AI3055" s="22"/>
      <c r="AJ3055" s="22"/>
      <c r="AK3055" s="22"/>
      <c r="AL3055" s="22"/>
      <c r="AM3055" s="22"/>
      <c r="AN3055" s="22"/>
      <c r="AO3055" s="22"/>
      <c r="AP3055" s="22"/>
    </row>
    <row r="3056">
      <c r="A3056" s="193"/>
      <c r="B3056" s="194"/>
      <c r="C3056" s="195"/>
      <c r="D3056" s="196"/>
      <c r="E3056" s="197"/>
      <c r="F3056" s="197"/>
      <c r="G3056" s="195"/>
      <c r="H3056" s="195"/>
      <c r="I3056" s="197"/>
      <c r="J3056" s="121"/>
      <c r="K3056" s="121"/>
      <c r="L3056" s="200"/>
      <c r="M3056" s="204"/>
      <c r="N3056" s="205"/>
      <c r="O3056" s="170"/>
      <c r="P3056" s="198"/>
      <c r="Q3056" s="199"/>
      <c r="R3056" s="200"/>
      <c r="S3056" s="170"/>
      <c r="T3056" s="170"/>
      <c r="U3056" s="201"/>
      <c r="V3056" s="198"/>
      <c r="W3056" s="170"/>
      <c r="X3056" s="202"/>
      <c r="Y3056" s="203"/>
      <c r="Z3056" s="170"/>
      <c r="AA3056" s="198"/>
      <c r="AB3056" s="170"/>
      <c r="AC3056" s="170"/>
      <c r="AD3056" s="121"/>
      <c r="AE3056" s="121"/>
      <c r="AF3056" s="121"/>
      <c r="AG3056" s="22"/>
      <c r="AH3056" s="22"/>
      <c r="AI3056" s="22"/>
      <c r="AJ3056" s="22"/>
      <c r="AK3056" s="22"/>
      <c r="AL3056" s="22"/>
      <c r="AM3056" s="22"/>
      <c r="AN3056" s="22"/>
      <c r="AO3056" s="22"/>
      <c r="AP3056" s="22"/>
    </row>
    <row r="3057">
      <c r="A3057" s="193"/>
      <c r="B3057" s="194"/>
      <c r="C3057" s="195"/>
      <c r="D3057" s="196"/>
      <c r="E3057" s="197"/>
      <c r="F3057" s="197"/>
      <c r="G3057" s="195"/>
      <c r="H3057" s="195"/>
      <c r="I3057" s="197"/>
      <c r="J3057" s="121"/>
      <c r="K3057" s="121"/>
      <c r="L3057" s="200"/>
      <c r="M3057" s="204"/>
      <c r="N3057" s="205"/>
      <c r="O3057" s="170"/>
      <c r="P3057" s="198"/>
      <c r="Q3057" s="199"/>
      <c r="R3057" s="200"/>
      <c r="S3057" s="170"/>
      <c r="T3057" s="170"/>
      <c r="U3057" s="201"/>
      <c r="V3057" s="198"/>
      <c r="W3057" s="170"/>
      <c r="X3057" s="202"/>
      <c r="Y3057" s="203"/>
      <c r="Z3057" s="170"/>
      <c r="AA3057" s="198"/>
      <c r="AB3057" s="170"/>
      <c r="AC3057" s="170"/>
      <c r="AD3057" s="121"/>
      <c r="AE3057" s="121"/>
      <c r="AF3057" s="121"/>
      <c r="AG3057" s="22"/>
      <c r="AH3057" s="22"/>
      <c r="AI3057" s="22"/>
      <c r="AJ3057" s="22"/>
      <c r="AK3057" s="22"/>
      <c r="AL3057" s="22"/>
      <c r="AM3057" s="22"/>
      <c r="AN3057" s="22"/>
      <c r="AO3057" s="22"/>
      <c r="AP3057" s="22"/>
    </row>
    <row r="3058">
      <c r="A3058" s="193"/>
      <c r="B3058" s="194"/>
      <c r="C3058" s="195"/>
      <c r="D3058" s="196"/>
      <c r="E3058" s="197"/>
      <c r="F3058" s="197"/>
      <c r="G3058" s="195"/>
      <c r="H3058" s="195"/>
      <c r="I3058" s="197"/>
      <c r="J3058" s="121"/>
      <c r="K3058" s="121"/>
      <c r="L3058" s="200"/>
      <c r="M3058" s="204"/>
      <c r="N3058" s="205"/>
      <c r="O3058" s="170"/>
      <c r="P3058" s="198"/>
      <c r="Q3058" s="199"/>
      <c r="R3058" s="200"/>
      <c r="S3058" s="170"/>
      <c r="T3058" s="170"/>
      <c r="U3058" s="201"/>
      <c r="V3058" s="198"/>
      <c r="W3058" s="170"/>
      <c r="X3058" s="202"/>
      <c r="Y3058" s="203"/>
      <c r="Z3058" s="170"/>
      <c r="AA3058" s="198"/>
      <c r="AB3058" s="170"/>
      <c r="AC3058" s="170"/>
      <c r="AD3058" s="121"/>
      <c r="AE3058" s="121"/>
      <c r="AF3058" s="121"/>
      <c r="AG3058" s="22"/>
      <c r="AH3058" s="22"/>
      <c r="AI3058" s="22"/>
      <c r="AJ3058" s="22"/>
      <c r="AK3058" s="22"/>
      <c r="AL3058" s="22"/>
      <c r="AM3058" s="22"/>
      <c r="AN3058" s="22"/>
      <c r="AO3058" s="22"/>
      <c r="AP3058" s="22"/>
    </row>
    <row r="3059">
      <c r="A3059" s="193"/>
      <c r="B3059" s="194"/>
      <c r="C3059" s="195"/>
      <c r="D3059" s="196"/>
      <c r="E3059" s="197"/>
      <c r="F3059" s="197"/>
      <c r="G3059" s="195"/>
      <c r="H3059" s="195"/>
      <c r="I3059" s="197"/>
      <c r="J3059" s="121"/>
      <c r="K3059" s="121"/>
      <c r="L3059" s="200"/>
      <c r="M3059" s="204"/>
      <c r="N3059" s="205"/>
      <c r="O3059" s="170"/>
      <c r="P3059" s="198"/>
      <c r="Q3059" s="199"/>
      <c r="R3059" s="200"/>
      <c r="S3059" s="170"/>
      <c r="T3059" s="170"/>
      <c r="U3059" s="201"/>
      <c r="V3059" s="198"/>
      <c r="W3059" s="170"/>
      <c r="X3059" s="202"/>
      <c r="Y3059" s="203"/>
      <c r="Z3059" s="170"/>
      <c r="AA3059" s="198"/>
      <c r="AB3059" s="170"/>
      <c r="AC3059" s="170"/>
      <c r="AD3059" s="121"/>
      <c r="AE3059" s="121"/>
      <c r="AF3059" s="121"/>
      <c r="AG3059" s="22"/>
      <c r="AH3059" s="22"/>
      <c r="AI3059" s="22"/>
      <c r="AJ3059" s="22"/>
      <c r="AK3059" s="22"/>
      <c r="AL3059" s="22"/>
      <c r="AM3059" s="22"/>
      <c r="AN3059" s="22"/>
      <c r="AO3059" s="22"/>
      <c r="AP3059" s="22"/>
    </row>
    <row r="3060">
      <c r="A3060" s="193"/>
      <c r="B3060" s="194"/>
      <c r="C3060" s="195"/>
      <c r="D3060" s="196"/>
      <c r="E3060" s="197"/>
      <c r="F3060" s="197"/>
      <c r="G3060" s="195"/>
      <c r="H3060" s="195"/>
      <c r="I3060" s="197"/>
      <c r="J3060" s="121"/>
      <c r="K3060" s="121"/>
      <c r="L3060" s="200"/>
      <c r="M3060" s="204"/>
      <c r="N3060" s="205"/>
      <c r="O3060" s="170"/>
      <c r="P3060" s="198"/>
      <c r="Q3060" s="199"/>
      <c r="R3060" s="200"/>
      <c r="S3060" s="170"/>
      <c r="T3060" s="170"/>
      <c r="U3060" s="201"/>
      <c r="V3060" s="198"/>
      <c r="W3060" s="170"/>
      <c r="X3060" s="202"/>
      <c r="Y3060" s="203"/>
      <c r="Z3060" s="170"/>
      <c r="AA3060" s="198"/>
      <c r="AB3060" s="170"/>
      <c r="AC3060" s="170"/>
      <c r="AD3060" s="121"/>
      <c r="AE3060" s="121"/>
      <c r="AF3060" s="121"/>
      <c r="AG3060" s="22"/>
      <c r="AH3060" s="22"/>
      <c r="AI3060" s="22"/>
      <c r="AJ3060" s="22"/>
      <c r="AK3060" s="22"/>
      <c r="AL3060" s="22"/>
      <c r="AM3060" s="22"/>
      <c r="AN3060" s="22"/>
      <c r="AO3060" s="22"/>
      <c r="AP3060" s="22"/>
    </row>
    <row r="3061">
      <c r="A3061" s="193"/>
      <c r="B3061" s="194"/>
      <c r="C3061" s="195"/>
      <c r="D3061" s="196"/>
      <c r="E3061" s="197"/>
      <c r="F3061" s="197"/>
      <c r="G3061" s="195"/>
      <c r="H3061" s="195"/>
      <c r="I3061" s="197"/>
      <c r="J3061" s="121"/>
      <c r="K3061" s="121"/>
      <c r="L3061" s="200"/>
      <c r="M3061" s="204"/>
      <c r="N3061" s="205"/>
      <c r="O3061" s="170"/>
      <c r="P3061" s="198"/>
      <c r="Q3061" s="199"/>
      <c r="R3061" s="200"/>
      <c r="S3061" s="170"/>
      <c r="T3061" s="170"/>
      <c r="U3061" s="201"/>
      <c r="V3061" s="198"/>
      <c r="W3061" s="170"/>
      <c r="X3061" s="202"/>
      <c r="Y3061" s="203"/>
      <c r="Z3061" s="170"/>
      <c r="AA3061" s="198"/>
      <c r="AB3061" s="170"/>
      <c r="AC3061" s="170"/>
      <c r="AD3061" s="121"/>
      <c r="AE3061" s="121"/>
      <c r="AF3061" s="121"/>
      <c r="AG3061" s="22"/>
      <c r="AH3061" s="22"/>
      <c r="AI3061" s="22"/>
      <c r="AJ3061" s="22"/>
      <c r="AK3061" s="22"/>
      <c r="AL3061" s="22"/>
      <c r="AM3061" s="22"/>
      <c r="AN3061" s="22"/>
      <c r="AO3061" s="22"/>
      <c r="AP3061" s="22"/>
    </row>
    <row r="3062">
      <c r="A3062" s="193"/>
      <c r="B3062" s="194"/>
      <c r="C3062" s="195"/>
      <c r="D3062" s="196"/>
      <c r="E3062" s="197"/>
      <c r="F3062" s="197"/>
      <c r="G3062" s="195"/>
      <c r="H3062" s="195"/>
      <c r="I3062" s="197"/>
      <c r="J3062" s="121"/>
      <c r="K3062" s="121"/>
      <c r="L3062" s="200"/>
      <c r="M3062" s="204"/>
      <c r="N3062" s="205"/>
      <c r="O3062" s="170"/>
      <c r="P3062" s="198"/>
      <c r="Q3062" s="199"/>
      <c r="R3062" s="200"/>
      <c r="S3062" s="170"/>
      <c r="T3062" s="170"/>
      <c r="U3062" s="201"/>
      <c r="V3062" s="198"/>
      <c r="W3062" s="170"/>
      <c r="X3062" s="202"/>
      <c r="Y3062" s="203"/>
      <c r="Z3062" s="170"/>
      <c r="AA3062" s="198"/>
      <c r="AB3062" s="170"/>
      <c r="AC3062" s="170"/>
      <c r="AD3062" s="121"/>
      <c r="AE3062" s="121"/>
      <c r="AF3062" s="121"/>
      <c r="AG3062" s="22"/>
      <c r="AH3062" s="22"/>
      <c r="AI3062" s="22"/>
      <c r="AJ3062" s="22"/>
      <c r="AK3062" s="22"/>
      <c r="AL3062" s="22"/>
      <c r="AM3062" s="22"/>
      <c r="AN3062" s="22"/>
      <c r="AO3062" s="22"/>
      <c r="AP3062" s="22"/>
    </row>
    <row r="3063">
      <c r="A3063" s="193"/>
      <c r="B3063" s="194"/>
      <c r="C3063" s="195"/>
      <c r="D3063" s="196"/>
      <c r="E3063" s="197"/>
      <c r="F3063" s="197"/>
      <c r="G3063" s="195"/>
      <c r="H3063" s="195"/>
      <c r="I3063" s="197"/>
      <c r="J3063" s="121"/>
      <c r="K3063" s="121"/>
      <c r="L3063" s="200"/>
      <c r="M3063" s="204"/>
      <c r="N3063" s="205"/>
      <c r="O3063" s="170"/>
      <c r="P3063" s="198"/>
      <c r="Q3063" s="199"/>
      <c r="R3063" s="200"/>
      <c r="S3063" s="170"/>
      <c r="T3063" s="170"/>
      <c r="U3063" s="201"/>
      <c r="V3063" s="198"/>
      <c r="W3063" s="170"/>
      <c r="X3063" s="202"/>
      <c r="Y3063" s="203"/>
      <c r="Z3063" s="170"/>
      <c r="AA3063" s="198"/>
      <c r="AB3063" s="170"/>
      <c r="AC3063" s="170"/>
      <c r="AD3063" s="121"/>
      <c r="AE3063" s="121"/>
      <c r="AF3063" s="121"/>
      <c r="AG3063" s="22"/>
      <c r="AH3063" s="22"/>
      <c r="AI3063" s="22"/>
      <c r="AJ3063" s="22"/>
      <c r="AK3063" s="22"/>
      <c r="AL3063" s="22"/>
      <c r="AM3063" s="22"/>
      <c r="AN3063" s="22"/>
      <c r="AO3063" s="22"/>
      <c r="AP3063" s="22"/>
    </row>
    <row r="3064">
      <c r="A3064" s="193"/>
      <c r="B3064" s="194"/>
      <c r="C3064" s="195"/>
      <c r="D3064" s="196"/>
      <c r="E3064" s="197"/>
      <c r="F3064" s="197"/>
      <c r="G3064" s="195"/>
      <c r="H3064" s="195"/>
      <c r="I3064" s="197"/>
      <c r="J3064" s="121"/>
      <c r="K3064" s="121"/>
      <c r="L3064" s="200"/>
      <c r="M3064" s="204"/>
      <c r="N3064" s="205"/>
      <c r="O3064" s="170"/>
      <c r="P3064" s="198"/>
      <c r="Q3064" s="199"/>
      <c r="R3064" s="200"/>
      <c r="S3064" s="170"/>
      <c r="T3064" s="170"/>
      <c r="U3064" s="201"/>
      <c r="V3064" s="198"/>
      <c r="W3064" s="170"/>
      <c r="X3064" s="202"/>
      <c r="Y3064" s="203"/>
      <c r="Z3064" s="170"/>
      <c r="AA3064" s="198"/>
      <c r="AB3064" s="170"/>
      <c r="AC3064" s="170"/>
      <c r="AD3064" s="121"/>
      <c r="AE3064" s="121"/>
      <c r="AF3064" s="121"/>
      <c r="AG3064" s="22"/>
      <c r="AH3064" s="22"/>
      <c r="AI3064" s="22"/>
      <c r="AJ3064" s="22"/>
      <c r="AK3064" s="22"/>
      <c r="AL3064" s="22"/>
      <c r="AM3064" s="22"/>
      <c r="AN3064" s="22"/>
      <c r="AO3064" s="22"/>
      <c r="AP3064" s="22"/>
    </row>
    <row r="3065">
      <c r="A3065" s="193"/>
      <c r="B3065" s="194"/>
      <c r="C3065" s="195"/>
      <c r="D3065" s="196"/>
      <c r="E3065" s="197"/>
      <c r="F3065" s="197"/>
      <c r="G3065" s="195"/>
      <c r="H3065" s="195"/>
      <c r="I3065" s="197"/>
      <c r="J3065" s="121"/>
      <c r="K3065" s="121"/>
      <c r="L3065" s="200"/>
      <c r="M3065" s="204"/>
      <c r="N3065" s="205"/>
      <c r="O3065" s="170"/>
      <c r="P3065" s="198"/>
      <c r="Q3065" s="199"/>
      <c r="R3065" s="200"/>
      <c r="S3065" s="170"/>
      <c r="T3065" s="170"/>
      <c r="U3065" s="201"/>
      <c r="V3065" s="198"/>
      <c r="W3065" s="170"/>
      <c r="X3065" s="202"/>
      <c r="Y3065" s="203"/>
      <c r="Z3065" s="170"/>
      <c r="AA3065" s="198"/>
      <c r="AB3065" s="170"/>
      <c r="AC3065" s="170"/>
      <c r="AD3065" s="121"/>
      <c r="AE3065" s="121"/>
      <c r="AF3065" s="121"/>
      <c r="AG3065" s="22"/>
      <c r="AH3065" s="22"/>
      <c r="AI3065" s="22"/>
      <c r="AJ3065" s="22"/>
      <c r="AK3065" s="22"/>
      <c r="AL3065" s="22"/>
      <c r="AM3065" s="22"/>
      <c r="AN3065" s="22"/>
      <c r="AO3065" s="22"/>
      <c r="AP3065" s="22"/>
    </row>
    <row r="3066">
      <c r="A3066" s="193"/>
      <c r="B3066" s="194"/>
      <c r="C3066" s="195"/>
      <c r="D3066" s="196"/>
      <c r="E3066" s="197"/>
      <c r="F3066" s="197"/>
      <c r="G3066" s="195"/>
      <c r="H3066" s="195"/>
      <c r="I3066" s="197"/>
      <c r="J3066" s="121"/>
      <c r="K3066" s="121"/>
      <c r="L3066" s="200"/>
      <c r="M3066" s="204"/>
      <c r="N3066" s="205"/>
      <c r="O3066" s="170"/>
      <c r="P3066" s="198"/>
      <c r="Q3066" s="199"/>
      <c r="R3066" s="200"/>
      <c r="S3066" s="170"/>
      <c r="T3066" s="170"/>
      <c r="U3066" s="201"/>
      <c r="V3066" s="198"/>
      <c r="W3066" s="170"/>
      <c r="X3066" s="202"/>
      <c r="Y3066" s="203"/>
      <c r="Z3066" s="170"/>
      <c r="AA3066" s="198"/>
      <c r="AB3066" s="170"/>
      <c r="AC3066" s="170"/>
      <c r="AD3066" s="121"/>
      <c r="AE3066" s="121"/>
      <c r="AF3066" s="121"/>
      <c r="AG3066" s="22"/>
      <c r="AH3066" s="22"/>
      <c r="AI3066" s="22"/>
      <c r="AJ3066" s="22"/>
      <c r="AK3066" s="22"/>
      <c r="AL3066" s="22"/>
      <c r="AM3066" s="22"/>
      <c r="AN3066" s="22"/>
      <c r="AO3066" s="22"/>
      <c r="AP3066" s="22"/>
    </row>
    <row r="3067">
      <c r="A3067" s="193"/>
      <c r="B3067" s="194"/>
      <c r="C3067" s="195"/>
      <c r="D3067" s="196"/>
      <c r="E3067" s="197"/>
      <c r="F3067" s="197"/>
      <c r="G3067" s="195"/>
      <c r="H3067" s="195"/>
      <c r="I3067" s="197"/>
      <c r="J3067" s="121"/>
      <c r="K3067" s="121"/>
      <c r="L3067" s="200"/>
      <c r="M3067" s="204"/>
      <c r="N3067" s="205"/>
      <c r="O3067" s="170"/>
      <c r="P3067" s="198"/>
      <c r="Q3067" s="199"/>
      <c r="R3067" s="200"/>
      <c r="S3067" s="170"/>
      <c r="T3067" s="170"/>
      <c r="U3067" s="201"/>
      <c r="V3067" s="198"/>
      <c r="W3067" s="170"/>
      <c r="X3067" s="202"/>
      <c r="Y3067" s="203"/>
      <c r="Z3067" s="170"/>
      <c r="AA3067" s="198"/>
      <c r="AB3067" s="170"/>
      <c r="AC3067" s="170"/>
      <c r="AD3067" s="121"/>
      <c r="AE3067" s="121"/>
      <c r="AF3067" s="121"/>
      <c r="AG3067" s="22"/>
      <c r="AH3067" s="22"/>
      <c r="AI3067" s="22"/>
      <c r="AJ3067" s="22"/>
      <c r="AK3067" s="22"/>
      <c r="AL3067" s="22"/>
      <c r="AM3067" s="22"/>
      <c r="AN3067" s="22"/>
      <c r="AO3067" s="22"/>
      <c r="AP3067" s="22"/>
    </row>
    <row r="3068">
      <c r="A3068" s="193"/>
      <c r="B3068" s="194"/>
      <c r="C3068" s="195"/>
      <c r="D3068" s="196"/>
      <c r="E3068" s="197"/>
      <c r="F3068" s="197"/>
      <c r="G3068" s="195"/>
      <c r="H3068" s="195"/>
      <c r="I3068" s="197"/>
      <c r="J3068" s="121"/>
      <c r="K3068" s="121"/>
      <c r="L3068" s="200"/>
      <c r="M3068" s="204"/>
      <c r="N3068" s="205"/>
      <c r="O3068" s="170"/>
      <c r="P3068" s="198"/>
      <c r="Q3068" s="199"/>
      <c r="R3068" s="200"/>
      <c r="S3068" s="170"/>
      <c r="T3068" s="170"/>
      <c r="U3068" s="201"/>
      <c r="V3068" s="198"/>
      <c r="W3068" s="170"/>
      <c r="X3068" s="202"/>
      <c r="Y3068" s="203"/>
      <c r="Z3068" s="170"/>
      <c r="AA3068" s="198"/>
      <c r="AB3068" s="170"/>
      <c r="AC3068" s="170"/>
      <c r="AD3068" s="121"/>
      <c r="AE3068" s="121"/>
      <c r="AF3068" s="121"/>
      <c r="AG3068" s="22"/>
      <c r="AH3068" s="22"/>
      <c r="AI3068" s="22"/>
      <c r="AJ3068" s="22"/>
      <c r="AK3068" s="22"/>
      <c r="AL3068" s="22"/>
      <c r="AM3068" s="22"/>
      <c r="AN3068" s="22"/>
      <c r="AO3068" s="22"/>
      <c r="AP3068" s="22"/>
    </row>
    <row r="3069">
      <c r="A3069" s="193"/>
      <c r="B3069" s="194"/>
      <c r="C3069" s="195"/>
      <c r="D3069" s="196"/>
      <c r="E3069" s="197"/>
      <c r="F3069" s="197"/>
      <c r="G3069" s="195"/>
      <c r="H3069" s="195"/>
      <c r="I3069" s="197"/>
      <c r="J3069" s="121"/>
      <c r="K3069" s="121"/>
      <c r="L3069" s="200"/>
      <c r="M3069" s="204"/>
      <c r="N3069" s="205"/>
      <c r="O3069" s="170"/>
      <c r="P3069" s="198"/>
      <c r="Q3069" s="199"/>
      <c r="R3069" s="200"/>
      <c r="S3069" s="170"/>
      <c r="T3069" s="170"/>
      <c r="U3069" s="201"/>
      <c r="V3069" s="198"/>
      <c r="W3069" s="170"/>
      <c r="X3069" s="202"/>
      <c r="Y3069" s="203"/>
      <c r="Z3069" s="170"/>
      <c r="AA3069" s="198"/>
      <c r="AB3069" s="170"/>
      <c r="AC3069" s="170"/>
      <c r="AD3069" s="121"/>
      <c r="AE3069" s="121"/>
      <c r="AF3069" s="121"/>
      <c r="AG3069" s="22"/>
      <c r="AH3069" s="22"/>
      <c r="AI3069" s="22"/>
      <c r="AJ3069" s="22"/>
      <c r="AK3069" s="22"/>
      <c r="AL3069" s="22"/>
      <c r="AM3069" s="22"/>
      <c r="AN3069" s="22"/>
      <c r="AO3069" s="22"/>
      <c r="AP3069" s="22"/>
    </row>
    <row r="3070">
      <c r="A3070" s="193"/>
      <c r="B3070" s="194"/>
      <c r="C3070" s="195"/>
      <c r="D3070" s="196"/>
      <c r="E3070" s="197"/>
      <c r="F3070" s="197"/>
      <c r="G3070" s="195"/>
      <c r="H3070" s="195"/>
      <c r="I3070" s="197"/>
      <c r="J3070" s="121"/>
      <c r="K3070" s="121"/>
      <c r="L3070" s="200"/>
      <c r="M3070" s="204"/>
      <c r="N3070" s="205"/>
      <c r="O3070" s="170"/>
      <c r="P3070" s="198"/>
      <c r="Q3070" s="199"/>
      <c r="R3070" s="200"/>
      <c r="S3070" s="170"/>
      <c r="T3070" s="170"/>
      <c r="U3070" s="201"/>
      <c r="V3070" s="198"/>
      <c r="W3070" s="170"/>
      <c r="X3070" s="202"/>
      <c r="Y3070" s="203"/>
      <c r="Z3070" s="170"/>
      <c r="AA3070" s="198"/>
      <c r="AB3070" s="170"/>
      <c r="AC3070" s="170"/>
      <c r="AD3070" s="121"/>
      <c r="AE3070" s="121"/>
      <c r="AF3070" s="121"/>
      <c r="AG3070" s="22"/>
      <c r="AH3070" s="22"/>
      <c r="AI3070" s="22"/>
      <c r="AJ3070" s="22"/>
      <c r="AK3070" s="22"/>
      <c r="AL3070" s="22"/>
      <c r="AM3070" s="22"/>
      <c r="AN3070" s="22"/>
      <c r="AO3070" s="22"/>
      <c r="AP3070" s="22"/>
    </row>
    <row r="3071">
      <c r="A3071" s="193"/>
      <c r="B3071" s="194"/>
      <c r="C3071" s="195"/>
      <c r="D3071" s="196"/>
      <c r="E3071" s="197"/>
      <c r="F3071" s="197"/>
      <c r="G3071" s="195"/>
      <c r="H3071" s="195"/>
      <c r="I3071" s="197"/>
      <c r="J3071" s="121"/>
      <c r="K3071" s="121"/>
      <c r="L3071" s="200"/>
      <c r="M3071" s="204"/>
      <c r="N3071" s="205"/>
      <c r="O3071" s="170"/>
      <c r="P3071" s="198"/>
      <c r="Q3071" s="199"/>
      <c r="R3071" s="200"/>
      <c r="S3071" s="170"/>
      <c r="T3071" s="170"/>
      <c r="U3071" s="201"/>
      <c r="V3071" s="198"/>
      <c r="W3071" s="170"/>
      <c r="X3071" s="202"/>
      <c r="Y3071" s="203"/>
      <c r="Z3071" s="170"/>
      <c r="AA3071" s="198"/>
      <c r="AB3071" s="170"/>
      <c r="AC3071" s="170"/>
      <c r="AD3071" s="121"/>
      <c r="AE3071" s="121"/>
      <c r="AF3071" s="121"/>
      <c r="AG3071" s="22"/>
      <c r="AH3071" s="22"/>
      <c r="AI3071" s="22"/>
      <c r="AJ3071" s="22"/>
      <c r="AK3071" s="22"/>
      <c r="AL3071" s="22"/>
      <c r="AM3071" s="22"/>
      <c r="AN3071" s="22"/>
      <c r="AO3071" s="22"/>
      <c r="AP3071" s="22"/>
    </row>
    <row r="3072">
      <c r="A3072" s="193"/>
      <c r="B3072" s="194"/>
      <c r="C3072" s="195"/>
      <c r="D3072" s="196"/>
      <c r="E3072" s="197"/>
      <c r="F3072" s="197"/>
      <c r="G3072" s="195"/>
      <c r="H3072" s="195"/>
      <c r="I3072" s="197"/>
      <c r="J3072" s="121"/>
      <c r="K3072" s="121"/>
      <c r="L3072" s="200"/>
      <c r="M3072" s="204"/>
      <c r="N3072" s="205"/>
      <c r="O3072" s="170"/>
      <c r="P3072" s="198"/>
      <c r="Q3072" s="199"/>
      <c r="R3072" s="200"/>
      <c r="S3072" s="170"/>
      <c r="T3072" s="170"/>
      <c r="U3072" s="201"/>
      <c r="V3072" s="198"/>
      <c r="W3072" s="170"/>
      <c r="X3072" s="202"/>
      <c r="Y3072" s="203"/>
      <c r="Z3072" s="170"/>
      <c r="AA3072" s="198"/>
      <c r="AB3072" s="170"/>
      <c r="AC3072" s="170"/>
      <c r="AD3072" s="121"/>
      <c r="AE3072" s="121"/>
      <c r="AF3072" s="121"/>
      <c r="AG3072" s="22"/>
      <c r="AH3072" s="22"/>
      <c r="AI3072" s="22"/>
      <c r="AJ3072" s="22"/>
      <c r="AK3072" s="22"/>
      <c r="AL3072" s="22"/>
      <c r="AM3072" s="22"/>
      <c r="AN3072" s="22"/>
      <c r="AO3072" s="22"/>
      <c r="AP3072" s="22"/>
    </row>
    <row r="3073">
      <c r="A3073" s="193"/>
      <c r="B3073" s="194"/>
      <c r="C3073" s="195"/>
      <c r="D3073" s="196"/>
      <c r="E3073" s="197"/>
      <c r="F3073" s="197"/>
      <c r="G3073" s="195"/>
      <c r="H3073" s="195"/>
      <c r="I3073" s="197"/>
      <c r="J3073" s="121"/>
      <c r="K3073" s="121"/>
      <c r="L3073" s="200"/>
      <c r="M3073" s="204"/>
      <c r="N3073" s="205"/>
      <c r="O3073" s="170"/>
      <c r="P3073" s="198"/>
      <c r="Q3073" s="199"/>
      <c r="R3073" s="200"/>
      <c r="S3073" s="170"/>
      <c r="T3073" s="170"/>
      <c r="U3073" s="201"/>
      <c r="V3073" s="198"/>
      <c r="W3073" s="170"/>
      <c r="X3073" s="202"/>
      <c r="Y3073" s="203"/>
      <c r="Z3073" s="170"/>
      <c r="AA3073" s="198"/>
      <c r="AB3073" s="170"/>
      <c r="AC3073" s="170"/>
      <c r="AD3073" s="121"/>
      <c r="AE3073" s="121"/>
      <c r="AF3073" s="121"/>
      <c r="AG3073" s="22"/>
      <c r="AH3073" s="22"/>
      <c r="AI3073" s="22"/>
      <c r="AJ3073" s="22"/>
      <c r="AK3073" s="22"/>
      <c r="AL3073" s="22"/>
      <c r="AM3073" s="22"/>
      <c r="AN3073" s="22"/>
      <c r="AO3073" s="22"/>
      <c r="AP3073" s="22"/>
    </row>
    <row r="3074">
      <c r="A3074" s="193"/>
      <c r="B3074" s="194"/>
      <c r="C3074" s="195"/>
      <c r="D3074" s="196"/>
      <c r="E3074" s="197"/>
      <c r="F3074" s="197"/>
      <c r="G3074" s="195"/>
      <c r="H3074" s="195"/>
      <c r="I3074" s="197"/>
      <c r="J3074" s="121"/>
      <c r="K3074" s="121"/>
      <c r="L3074" s="200"/>
      <c r="M3074" s="204"/>
      <c r="N3074" s="205"/>
      <c r="O3074" s="170"/>
      <c r="P3074" s="198"/>
      <c r="Q3074" s="199"/>
      <c r="R3074" s="200"/>
      <c r="S3074" s="170"/>
      <c r="T3074" s="170"/>
      <c r="U3074" s="201"/>
      <c r="V3074" s="198"/>
      <c r="W3074" s="170"/>
      <c r="X3074" s="202"/>
      <c r="Y3074" s="203"/>
      <c r="Z3074" s="170"/>
      <c r="AA3074" s="198"/>
      <c r="AB3074" s="170"/>
      <c r="AC3074" s="170"/>
      <c r="AD3074" s="121"/>
      <c r="AE3074" s="121"/>
      <c r="AF3074" s="121"/>
      <c r="AG3074" s="22"/>
      <c r="AH3074" s="22"/>
      <c r="AI3074" s="22"/>
      <c r="AJ3074" s="22"/>
      <c r="AK3074" s="22"/>
      <c r="AL3074" s="22"/>
      <c r="AM3074" s="22"/>
      <c r="AN3074" s="22"/>
      <c r="AO3074" s="22"/>
      <c r="AP3074" s="22"/>
    </row>
    <row r="3075">
      <c r="A3075" s="193"/>
      <c r="B3075" s="194"/>
      <c r="C3075" s="195"/>
      <c r="D3075" s="196"/>
      <c r="E3075" s="197"/>
      <c r="F3075" s="197"/>
      <c r="G3075" s="195"/>
      <c r="H3075" s="195"/>
      <c r="I3075" s="197"/>
      <c r="J3075" s="121"/>
      <c r="K3075" s="121"/>
      <c r="L3075" s="200"/>
      <c r="M3075" s="204"/>
      <c r="N3075" s="205"/>
      <c r="O3075" s="170"/>
      <c r="P3075" s="198"/>
      <c r="Q3075" s="199"/>
      <c r="R3075" s="200"/>
      <c r="S3075" s="170"/>
      <c r="T3075" s="170"/>
      <c r="U3075" s="201"/>
      <c r="V3075" s="198"/>
      <c r="W3075" s="170"/>
      <c r="X3075" s="202"/>
      <c r="Y3075" s="203"/>
      <c r="Z3075" s="170"/>
      <c r="AA3075" s="198"/>
      <c r="AB3075" s="170"/>
      <c r="AC3075" s="170"/>
      <c r="AD3075" s="121"/>
      <c r="AE3075" s="121"/>
      <c r="AF3075" s="121"/>
      <c r="AG3075" s="22"/>
      <c r="AH3075" s="22"/>
      <c r="AI3075" s="22"/>
      <c r="AJ3075" s="22"/>
      <c r="AK3075" s="22"/>
      <c r="AL3075" s="22"/>
      <c r="AM3075" s="22"/>
      <c r="AN3075" s="22"/>
      <c r="AO3075" s="22"/>
      <c r="AP3075" s="22"/>
    </row>
    <row r="3076">
      <c r="A3076" s="193"/>
      <c r="B3076" s="194"/>
      <c r="C3076" s="195"/>
      <c r="D3076" s="196"/>
      <c r="E3076" s="197"/>
      <c r="F3076" s="197"/>
      <c r="G3076" s="195"/>
      <c r="H3076" s="195"/>
      <c r="I3076" s="197"/>
      <c r="J3076" s="121"/>
      <c r="K3076" s="121"/>
      <c r="L3076" s="200"/>
      <c r="M3076" s="204"/>
      <c r="N3076" s="205"/>
      <c r="O3076" s="170"/>
      <c r="P3076" s="198"/>
      <c r="Q3076" s="199"/>
      <c r="R3076" s="200"/>
      <c r="S3076" s="170"/>
      <c r="T3076" s="170"/>
      <c r="U3076" s="201"/>
      <c r="V3076" s="198"/>
      <c r="W3076" s="170"/>
      <c r="X3076" s="202"/>
      <c r="Y3076" s="203"/>
      <c r="Z3076" s="170"/>
      <c r="AA3076" s="198"/>
      <c r="AB3076" s="170"/>
      <c r="AC3076" s="170"/>
      <c r="AD3076" s="121"/>
      <c r="AE3076" s="121"/>
      <c r="AF3076" s="121"/>
      <c r="AG3076" s="22"/>
      <c r="AH3076" s="22"/>
      <c r="AI3076" s="22"/>
      <c r="AJ3076" s="22"/>
      <c r="AK3076" s="22"/>
      <c r="AL3076" s="22"/>
      <c r="AM3076" s="22"/>
      <c r="AN3076" s="22"/>
      <c r="AO3076" s="22"/>
      <c r="AP3076" s="22"/>
    </row>
    <row r="3077">
      <c r="A3077" s="193"/>
      <c r="B3077" s="194"/>
      <c r="C3077" s="195"/>
      <c r="D3077" s="196"/>
      <c r="E3077" s="197"/>
      <c r="F3077" s="197"/>
      <c r="G3077" s="195"/>
      <c r="H3077" s="195"/>
      <c r="I3077" s="197"/>
      <c r="J3077" s="121"/>
      <c r="K3077" s="121"/>
      <c r="L3077" s="200"/>
      <c r="M3077" s="204"/>
      <c r="N3077" s="205"/>
      <c r="O3077" s="170"/>
      <c r="P3077" s="198"/>
      <c r="Q3077" s="199"/>
      <c r="R3077" s="200"/>
      <c r="S3077" s="170"/>
      <c r="T3077" s="170"/>
      <c r="U3077" s="201"/>
      <c r="V3077" s="198"/>
      <c r="W3077" s="170"/>
      <c r="X3077" s="202"/>
      <c r="Y3077" s="203"/>
      <c r="Z3077" s="170"/>
      <c r="AA3077" s="198"/>
      <c r="AB3077" s="170"/>
      <c r="AC3077" s="170"/>
      <c r="AD3077" s="121"/>
      <c r="AE3077" s="121"/>
      <c r="AF3077" s="121"/>
      <c r="AG3077" s="22"/>
      <c r="AH3077" s="22"/>
      <c r="AI3077" s="22"/>
      <c r="AJ3077" s="22"/>
      <c r="AK3077" s="22"/>
      <c r="AL3077" s="22"/>
      <c r="AM3077" s="22"/>
      <c r="AN3077" s="22"/>
      <c r="AO3077" s="22"/>
      <c r="AP3077" s="22"/>
    </row>
    <row r="3078">
      <c r="A3078" s="193"/>
      <c r="B3078" s="194"/>
      <c r="C3078" s="195"/>
      <c r="D3078" s="196"/>
      <c r="E3078" s="197"/>
      <c r="F3078" s="197"/>
      <c r="G3078" s="195"/>
      <c r="H3078" s="195"/>
      <c r="I3078" s="197"/>
      <c r="J3078" s="121"/>
      <c r="K3078" s="121"/>
      <c r="L3078" s="200"/>
      <c r="M3078" s="204"/>
      <c r="N3078" s="205"/>
      <c r="O3078" s="170"/>
      <c r="P3078" s="198"/>
      <c r="Q3078" s="199"/>
      <c r="R3078" s="200"/>
      <c r="S3078" s="170"/>
      <c r="T3078" s="170"/>
      <c r="U3078" s="201"/>
      <c r="V3078" s="198"/>
      <c r="W3078" s="170"/>
      <c r="X3078" s="202"/>
      <c r="Y3078" s="203"/>
      <c r="Z3078" s="170"/>
      <c r="AA3078" s="198"/>
      <c r="AB3078" s="170"/>
      <c r="AC3078" s="170"/>
      <c r="AD3078" s="121"/>
      <c r="AE3078" s="121"/>
      <c r="AF3078" s="121"/>
      <c r="AG3078" s="22"/>
      <c r="AH3078" s="22"/>
      <c r="AI3078" s="22"/>
      <c r="AJ3078" s="22"/>
      <c r="AK3078" s="22"/>
      <c r="AL3078" s="22"/>
      <c r="AM3078" s="22"/>
      <c r="AN3078" s="22"/>
      <c r="AO3078" s="22"/>
      <c r="AP3078" s="22"/>
    </row>
    <row r="3079">
      <c r="A3079" s="193"/>
      <c r="B3079" s="194"/>
      <c r="C3079" s="195"/>
      <c r="D3079" s="196"/>
      <c r="E3079" s="197"/>
      <c r="F3079" s="197"/>
      <c r="G3079" s="195"/>
      <c r="H3079" s="195"/>
      <c r="I3079" s="197"/>
      <c r="J3079" s="121"/>
      <c r="K3079" s="121"/>
      <c r="L3079" s="200"/>
      <c r="M3079" s="204"/>
      <c r="N3079" s="205"/>
      <c r="O3079" s="170"/>
      <c r="P3079" s="198"/>
      <c r="Q3079" s="199"/>
      <c r="R3079" s="200"/>
      <c r="S3079" s="170"/>
      <c r="T3079" s="170"/>
      <c r="U3079" s="201"/>
      <c r="V3079" s="198"/>
      <c r="W3079" s="170"/>
      <c r="X3079" s="202"/>
      <c r="Y3079" s="203"/>
      <c r="Z3079" s="170"/>
      <c r="AA3079" s="198"/>
      <c r="AB3079" s="170"/>
      <c r="AC3079" s="170"/>
      <c r="AD3079" s="121"/>
      <c r="AE3079" s="121"/>
      <c r="AF3079" s="121"/>
      <c r="AG3079" s="22"/>
      <c r="AH3079" s="22"/>
      <c r="AI3079" s="22"/>
      <c r="AJ3079" s="22"/>
      <c r="AK3079" s="22"/>
      <c r="AL3079" s="22"/>
      <c r="AM3079" s="22"/>
      <c r="AN3079" s="22"/>
      <c r="AO3079" s="22"/>
      <c r="AP3079" s="22"/>
    </row>
    <row r="3080">
      <c r="A3080" s="193"/>
      <c r="B3080" s="194"/>
      <c r="C3080" s="195"/>
      <c r="D3080" s="196"/>
      <c r="E3080" s="197"/>
      <c r="F3080" s="197"/>
      <c r="G3080" s="195"/>
      <c r="H3080" s="195"/>
      <c r="I3080" s="197"/>
      <c r="J3080" s="121"/>
      <c r="K3080" s="121"/>
      <c r="L3080" s="200"/>
      <c r="M3080" s="204"/>
      <c r="N3080" s="205"/>
      <c r="O3080" s="170"/>
      <c r="P3080" s="198"/>
      <c r="Q3080" s="199"/>
      <c r="R3080" s="200"/>
      <c r="S3080" s="170"/>
      <c r="T3080" s="170"/>
      <c r="U3080" s="201"/>
      <c r="V3080" s="198"/>
      <c r="W3080" s="170"/>
      <c r="X3080" s="202"/>
      <c r="Y3080" s="203"/>
      <c r="Z3080" s="170"/>
      <c r="AA3080" s="198"/>
      <c r="AB3080" s="170"/>
      <c r="AC3080" s="170"/>
      <c r="AD3080" s="121"/>
      <c r="AE3080" s="121"/>
      <c r="AF3080" s="121"/>
      <c r="AG3080" s="22"/>
      <c r="AH3080" s="22"/>
      <c r="AI3080" s="22"/>
      <c r="AJ3080" s="22"/>
      <c r="AK3080" s="22"/>
      <c r="AL3080" s="22"/>
      <c r="AM3080" s="22"/>
      <c r="AN3080" s="22"/>
      <c r="AO3080" s="22"/>
      <c r="AP3080" s="22"/>
    </row>
    <row r="3081">
      <c r="A3081" s="193"/>
      <c r="B3081" s="194"/>
      <c r="C3081" s="195"/>
      <c r="D3081" s="196"/>
      <c r="E3081" s="197"/>
      <c r="F3081" s="197"/>
      <c r="G3081" s="195"/>
      <c r="H3081" s="195"/>
      <c r="I3081" s="197"/>
      <c r="J3081" s="121"/>
      <c r="K3081" s="121"/>
      <c r="L3081" s="200"/>
      <c r="M3081" s="204"/>
      <c r="N3081" s="205"/>
      <c r="O3081" s="170"/>
      <c r="P3081" s="198"/>
      <c r="Q3081" s="199"/>
      <c r="R3081" s="200"/>
      <c r="S3081" s="170"/>
      <c r="T3081" s="170"/>
      <c r="U3081" s="201"/>
      <c r="V3081" s="198"/>
      <c r="W3081" s="170"/>
      <c r="X3081" s="202"/>
      <c r="Y3081" s="203"/>
      <c r="Z3081" s="170"/>
      <c r="AA3081" s="198"/>
      <c r="AB3081" s="170"/>
      <c r="AC3081" s="170"/>
      <c r="AD3081" s="121"/>
      <c r="AE3081" s="121"/>
      <c r="AF3081" s="121"/>
      <c r="AG3081" s="22"/>
      <c r="AH3081" s="22"/>
      <c r="AI3081" s="22"/>
      <c r="AJ3081" s="22"/>
      <c r="AK3081" s="22"/>
      <c r="AL3081" s="22"/>
      <c r="AM3081" s="22"/>
      <c r="AN3081" s="22"/>
      <c r="AO3081" s="22"/>
      <c r="AP3081" s="22"/>
    </row>
    <row r="3082">
      <c r="A3082" s="193"/>
      <c r="B3082" s="194"/>
      <c r="C3082" s="195"/>
      <c r="D3082" s="196"/>
      <c r="E3082" s="197"/>
      <c r="F3082" s="197"/>
      <c r="G3082" s="195"/>
      <c r="H3082" s="195"/>
      <c r="I3082" s="197"/>
      <c r="J3082" s="121"/>
      <c r="K3082" s="121"/>
      <c r="L3082" s="200"/>
      <c r="M3082" s="204"/>
      <c r="N3082" s="205"/>
      <c r="O3082" s="170"/>
      <c r="P3082" s="198"/>
      <c r="Q3082" s="199"/>
      <c r="R3082" s="200"/>
      <c r="S3082" s="170"/>
      <c r="T3082" s="170"/>
      <c r="U3082" s="201"/>
      <c r="V3082" s="198"/>
      <c r="W3082" s="170"/>
      <c r="X3082" s="202"/>
      <c r="Y3082" s="203"/>
      <c r="Z3082" s="170"/>
      <c r="AA3082" s="198"/>
      <c r="AB3082" s="170"/>
      <c r="AC3082" s="170"/>
      <c r="AD3082" s="121"/>
      <c r="AE3082" s="121"/>
      <c r="AF3082" s="121"/>
      <c r="AG3082" s="22"/>
      <c r="AH3082" s="22"/>
      <c r="AI3082" s="22"/>
      <c r="AJ3082" s="22"/>
      <c r="AK3082" s="22"/>
      <c r="AL3082" s="22"/>
      <c r="AM3082" s="22"/>
      <c r="AN3082" s="22"/>
      <c r="AO3082" s="22"/>
      <c r="AP3082" s="22"/>
    </row>
    <row r="3083">
      <c r="A3083" s="193"/>
      <c r="B3083" s="194"/>
      <c r="C3083" s="195"/>
      <c r="D3083" s="196"/>
      <c r="E3083" s="197"/>
      <c r="F3083" s="197"/>
      <c r="G3083" s="195"/>
      <c r="H3083" s="195"/>
      <c r="I3083" s="197"/>
      <c r="J3083" s="121"/>
      <c r="K3083" s="121"/>
      <c r="L3083" s="200"/>
      <c r="M3083" s="204"/>
      <c r="N3083" s="205"/>
      <c r="O3083" s="170"/>
      <c r="P3083" s="198"/>
      <c r="Q3083" s="199"/>
      <c r="R3083" s="200"/>
      <c r="S3083" s="170"/>
      <c r="T3083" s="170"/>
      <c r="U3083" s="201"/>
      <c r="V3083" s="198"/>
      <c r="W3083" s="170"/>
      <c r="X3083" s="202"/>
      <c r="Y3083" s="203"/>
      <c r="Z3083" s="170"/>
      <c r="AA3083" s="198"/>
      <c r="AB3083" s="170"/>
      <c r="AC3083" s="170"/>
      <c r="AD3083" s="121"/>
      <c r="AE3083" s="121"/>
      <c r="AF3083" s="121"/>
      <c r="AG3083" s="22"/>
      <c r="AH3083" s="22"/>
      <c r="AI3083" s="22"/>
      <c r="AJ3083" s="22"/>
      <c r="AK3083" s="22"/>
      <c r="AL3083" s="22"/>
      <c r="AM3083" s="22"/>
      <c r="AN3083" s="22"/>
      <c r="AO3083" s="22"/>
      <c r="AP3083" s="22"/>
    </row>
    <row r="3084">
      <c r="A3084" s="193"/>
      <c r="B3084" s="194"/>
      <c r="C3084" s="195"/>
      <c r="D3084" s="196"/>
      <c r="E3084" s="197"/>
      <c r="F3084" s="197"/>
      <c r="G3084" s="195"/>
      <c r="H3084" s="195"/>
      <c r="I3084" s="197"/>
      <c r="J3084" s="121"/>
      <c r="K3084" s="121"/>
      <c r="L3084" s="200"/>
      <c r="M3084" s="204"/>
      <c r="N3084" s="205"/>
      <c r="O3084" s="170"/>
      <c r="P3084" s="198"/>
      <c r="Q3084" s="199"/>
      <c r="R3084" s="200"/>
      <c r="S3084" s="170"/>
      <c r="T3084" s="170"/>
      <c r="U3084" s="201"/>
      <c r="V3084" s="198"/>
      <c r="W3084" s="170"/>
      <c r="X3084" s="202"/>
      <c r="Y3084" s="203"/>
      <c r="Z3084" s="170"/>
      <c r="AA3084" s="198"/>
      <c r="AB3084" s="170"/>
      <c r="AC3084" s="170"/>
      <c r="AD3084" s="121"/>
      <c r="AE3084" s="121"/>
      <c r="AF3084" s="121"/>
      <c r="AG3084" s="22"/>
      <c r="AH3084" s="22"/>
      <c r="AI3084" s="22"/>
      <c r="AJ3084" s="22"/>
      <c r="AK3084" s="22"/>
      <c r="AL3084" s="22"/>
      <c r="AM3084" s="22"/>
      <c r="AN3084" s="22"/>
      <c r="AO3084" s="22"/>
      <c r="AP3084" s="22"/>
    </row>
    <row r="3085">
      <c r="A3085" s="193"/>
      <c r="B3085" s="194"/>
      <c r="C3085" s="195"/>
      <c r="D3085" s="196"/>
      <c r="E3085" s="197"/>
      <c r="F3085" s="197"/>
      <c r="G3085" s="195"/>
      <c r="H3085" s="195"/>
      <c r="I3085" s="197"/>
      <c r="J3085" s="121"/>
      <c r="K3085" s="121"/>
      <c r="L3085" s="200"/>
      <c r="M3085" s="204"/>
      <c r="N3085" s="205"/>
      <c r="O3085" s="170"/>
      <c r="P3085" s="198"/>
      <c r="Q3085" s="199"/>
      <c r="R3085" s="200"/>
      <c r="S3085" s="170"/>
      <c r="T3085" s="170"/>
      <c r="U3085" s="201"/>
      <c r="V3085" s="198"/>
      <c r="W3085" s="170"/>
      <c r="X3085" s="202"/>
      <c r="Y3085" s="203"/>
      <c r="Z3085" s="170"/>
      <c r="AA3085" s="198"/>
      <c r="AB3085" s="170"/>
      <c r="AC3085" s="170"/>
      <c r="AD3085" s="121"/>
      <c r="AE3085" s="121"/>
      <c r="AF3085" s="121"/>
      <c r="AG3085" s="22"/>
      <c r="AH3085" s="22"/>
      <c r="AI3085" s="22"/>
      <c r="AJ3085" s="22"/>
      <c r="AK3085" s="22"/>
      <c r="AL3085" s="22"/>
      <c r="AM3085" s="22"/>
      <c r="AN3085" s="22"/>
      <c r="AO3085" s="22"/>
      <c r="AP3085" s="22"/>
    </row>
    <row r="3086">
      <c r="A3086" s="193"/>
      <c r="B3086" s="194"/>
      <c r="C3086" s="195"/>
      <c r="D3086" s="196"/>
      <c r="E3086" s="197"/>
      <c r="F3086" s="197"/>
      <c r="G3086" s="195"/>
      <c r="H3086" s="195"/>
      <c r="I3086" s="197"/>
      <c r="J3086" s="121"/>
      <c r="K3086" s="121"/>
      <c r="L3086" s="200"/>
      <c r="M3086" s="204"/>
      <c r="N3086" s="205"/>
      <c r="O3086" s="170"/>
      <c r="P3086" s="198"/>
      <c r="Q3086" s="199"/>
      <c r="R3086" s="200"/>
      <c r="S3086" s="170"/>
      <c r="T3086" s="170"/>
      <c r="U3086" s="201"/>
      <c r="V3086" s="198"/>
      <c r="W3086" s="170"/>
      <c r="X3086" s="202"/>
      <c r="Y3086" s="203"/>
      <c r="Z3086" s="170"/>
      <c r="AA3086" s="198"/>
      <c r="AB3086" s="170"/>
      <c r="AC3086" s="170"/>
      <c r="AD3086" s="121"/>
      <c r="AE3086" s="121"/>
      <c r="AF3086" s="121"/>
      <c r="AG3086" s="22"/>
      <c r="AH3086" s="22"/>
      <c r="AI3086" s="22"/>
      <c r="AJ3086" s="22"/>
      <c r="AK3086" s="22"/>
      <c r="AL3086" s="22"/>
      <c r="AM3086" s="22"/>
      <c r="AN3086" s="22"/>
      <c r="AO3086" s="22"/>
      <c r="AP3086" s="22"/>
    </row>
    <row r="3087">
      <c r="A3087" s="193"/>
      <c r="B3087" s="194"/>
      <c r="C3087" s="195"/>
      <c r="D3087" s="196"/>
      <c r="E3087" s="197"/>
      <c r="F3087" s="197"/>
      <c r="G3087" s="195"/>
      <c r="H3087" s="195"/>
      <c r="I3087" s="197"/>
      <c r="J3087" s="121"/>
      <c r="K3087" s="121"/>
      <c r="L3087" s="200"/>
      <c r="M3087" s="204"/>
      <c r="N3087" s="205"/>
      <c r="O3087" s="170"/>
      <c r="P3087" s="198"/>
      <c r="Q3087" s="199"/>
      <c r="R3087" s="200"/>
      <c r="S3087" s="170"/>
      <c r="T3087" s="170"/>
      <c r="U3087" s="201"/>
      <c r="V3087" s="198"/>
      <c r="W3087" s="170"/>
      <c r="X3087" s="202"/>
      <c r="Y3087" s="203"/>
      <c r="Z3087" s="170"/>
      <c r="AA3087" s="198"/>
      <c r="AB3087" s="170"/>
      <c r="AC3087" s="170"/>
      <c r="AD3087" s="121"/>
      <c r="AE3087" s="121"/>
      <c r="AF3087" s="121"/>
      <c r="AG3087" s="22"/>
      <c r="AH3087" s="22"/>
      <c r="AI3087" s="22"/>
      <c r="AJ3087" s="22"/>
      <c r="AK3087" s="22"/>
      <c r="AL3087" s="22"/>
      <c r="AM3087" s="22"/>
      <c r="AN3087" s="22"/>
      <c r="AO3087" s="22"/>
      <c r="AP3087" s="22"/>
    </row>
    <row r="3088">
      <c r="A3088" s="193"/>
      <c r="B3088" s="194"/>
      <c r="C3088" s="195"/>
      <c r="D3088" s="196"/>
      <c r="E3088" s="197"/>
      <c r="F3088" s="197"/>
      <c r="G3088" s="195"/>
      <c r="H3088" s="195"/>
      <c r="I3088" s="197"/>
      <c r="J3088" s="121"/>
      <c r="K3088" s="121"/>
      <c r="L3088" s="200"/>
      <c r="M3088" s="204"/>
      <c r="N3088" s="205"/>
      <c r="O3088" s="170"/>
      <c r="P3088" s="198"/>
      <c r="Q3088" s="199"/>
      <c r="R3088" s="200"/>
      <c r="S3088" s="170"/>
      <c r="T3088" s="170"/>
      <c r="U3088" s="201"/>
      <c r="V3088" s="198"/>
      <c r="W3088" s="170"/>
      <c r="X3088" s="202"/>
      <c r="Y3088" s="203"/>
      <c r="Z3088" s="170"/>
      <c r="AA3088" s="198"/>
      <c r="AB3088" s="170"/>
      <c r="AC3088" s="170"/>
      <c r="AD3088" s="121"/>
      <c r="AE3088" s="121"/>
      <c r="AF3088" s="121"/>
      <c r="AG3088" s="22"/>
      <c r="AH3088" s="22"/>
      <c r="AI3088" s="22"/>
      <c r="AJ3088" s="22"/>
      <c r="AK3088" s="22"/>
      <c r="AL3088" s="22"/>
      <c r="AM3088" s="22"/>
      <c r="AN3088" s="22"/>
      <c r="AO3088" s="22"/>
      <c r="AP3088" s="22"/>
    </row>
    <row r="3089">
      <c r="A3089" s="193"/>
      <c r="B3089" s="194"/>
      <c r="C3089" s="195"/>
      <c r="D3089" s="196"/>
      <c r="E3089" s="197"/>
      <c r="F3089" s="197"/>
      <c r="G3089" s="195"/>
      <c r="H3089" s="195"/>
      <c r="I3089" s="197"/>
      <c r="J3089" s="121"/>
      <c r="K3089" s="121"/>
      <c r="L3089" s="200"/>
      <c r="M3089" s="204"/>
      <c r="N3089" s="205"/>
      <c r="O3089" s="170"/>
      <c r="P3089" s="198"/>
      <c r="Q3089" s="199"/>
      <c r="R3089" s="200"/>
      <c r="S3089" s="170"/>
      <c r="T3089" s="170"/>
      <c r="U3089" s="201"/>
      <c r="V3089" s="198"/>
      <c r="W3089" s="170"/>
      <c r="X3089" s="202"/>
      <c r="Y3089" s="203"/>
      <c r="Z3089" s="170"/>
      <c r="AA3089" s="198"/>
      <c r="AB3089" s="170"/>
      <c r="AC3089" s="170"/>
      <c r="AD3089" s="121"/>
      <c r="AE3089" s="121"/>
      <c r="AF3089" s="121"/>
      <c r="AG3089" s="22"/>
      <c r="AH3089" s="22"/>
      <c r="AI3089" s="22"/>
      <c r="AJ3089" s="22"/>
      <c r="AK3089" s="22"/>
      <c r="AL3089" s="22"/>
      <c r="AM3089" s="22"/>
      <c r="AN3089" s="22"/>
      <c r="AO3089" s="22"/>
      <c r="AP3089" s="22"/>
    </row>
    <row r="3090">
      <c r="A3090" s="193"/>
      <c r="B3090" s="194"/>
      <c r="C3090" s="195"/>
      <c r="D3090" s="196"/>
      <c r="E3090" s="197"/>
      <c r="F3090" s="197"/>
      <c r="G3090" s="195"/>
      <c r="H3090" s="195"/>
      <c r="I3090" s="197"/>
      <c r="J3090" s="121"/>
      <c r="K3090" s="121"/>
      <c r="L3090" s="200"/>
      <c r="M3090" s="204"/>
      <c r="N3090" s="205"/>
      <c r="O3090" s="170"/>
      <c r="P3090" s="198"/>
      <c r="Q3090" s="199"/>
      <c r="R3090" s="200"/>
      <c r="S3090" s="170"/>
      <c r="T3090" s="170"/>
      <c r="U3090" s="201"/>
      <c r="V3090" s="198"/>
      <c r="W3090" s="170"/>
      <c r="X3090" s="202"/>
      <c r="Y3090" s="203"/>
      <c r="Z3090" s="170"/>
      <c r="AA3090" s="198"/>
      <c r="AB3090" s="170"/>
      <c r="AC3090" s="170"/>
      <c r="AD3090" s="121"/>
      <c r="AE3090" s="121"/>
      <c r="AF3090" s="121"/>
      <c r="AG3090" s="22"/>
      <c r="AH3090" s="22"/>
      <c r="AI3090" s="22"/>
      <c r="AJ3090" s="22"/>
      <c r="AK3090" s="22"/>
      <c r="AL3090" s="22"/>
      <c r="AM3090" s="22"/>
      <c r="AN3090" s="22"/>
      <c r="AO3090" s="22"/>
      <c r="AP3090" s="22"/>
    </row>
    <row r="3091">
      <c r="A3091" s="193"/>
      <c r="B3091" s="194"/>
      <c r="C3091" s="195"/>
      <c r="D3091" s="196"/>
      <c r="E3091" s="197"/>
      <c r="F3091" s="197"/>
      <c r="G3091" s="195"/>
      <c r="H3091" s="195"/>
      <c r="I3091" s="197"/>
      <c r="J3091" s="121"/>
      <c r="K3091" s="121"/>
      <c r="L3091" s="200"/>
      <c r="M3091" s="204"/>
      <c r="N3091" s="205"/>
      <c r="O3091" s="170"/>
      <c r="P3091" s="198"/>
      <c r="Q3091" s="199"/>
      <c r="R3091" s="200"/>
      <c r="S3091" s="170"/>
      <c r="T3091" s="170"/>
      <c r="U3091" s="201"/>
      <c r="V3091" s="198"/>
      <c r="W3091" s="170"/>
      <c r="X3091" s="202"/>
      <c r="Y3091" s="203"/>
      <c r="Z3091" s="170"/>
      <c r="AA3091" s="198"/>
      <c r="AB3091" s="170"/>
      <c r="AC3091" s="170"/>
      <c r="AD3091" s="121"/>
      <c r="AE3091" s="121"/>
      <c r="AF3091" s="121"/>
      <c r="AG3091" s="22"/>
      <c r="AH3091" s="22"/>
      <c r="AI3091" s="22"/>
      <c r="AJ3091" s="22"/>
      <c r="AK3091" s="22"/>
      <c r="AL3091" s="22"/>
      <c r="AM3091" s="22"/>
      <c r="AN3091" s="22"/>
      <c r="AO3091" s="22"/>
      <c r="AP3091" s="22"/>
    </row>
    <row r="3092">
      <c r="A3092" s="193"/>
      <c r="B3092" s="194"/>
      <c r="C3092" s="195"/>
      <c r="D3092" s="196"/>
      <c r="E3092" s="197"/>
      <c r="F3092" s="197"/>
      <c r="G3092" s="195"/>
      <c r="H3092" s="195"/>
      <c r="I3092" s="197"/>
      <c r="J3092" s="121"/>
      <c r="K3092" s="121"/>
      <c r="L3092" s="200"/>
      <c r="M3092" s="204"/>
      <c r="N3092" s="205"/>
      <c r="O3092" s="170"/>
      <c r="P3092" s="198"/>
      <c r="Q3092" s="199"/>
      <c r="R3092" s="200"/>
      <c r="S3092" s="170"/>
      <c r="T3092" s="170"/>
      <c r="U3092" s="201"/>
      <c r="V3092" s="198"/>
      <c r="W3092" s="170"/>
      <c r="X3092" s="202"/>
      <c r="Y3092" s="203"/>
      <c r="Z3092" s="170"/>
      <c r="AA3092" s="198"/>
      <c r="AB3092" s="170"/>
      <c r="AC3092" s="170"/>
      <c r="AD3092" s="121"/>
      <c r="AE3092" s="121"/>
      <c r="AF3092" s="121"/>
      <c r="AG3092" s="22"/>
      <c r="AH3092" s="22"/>
      <c r="AI3092" s="22"/>
      <c r="AJ3092" s="22"/>
      <c r="AK3092" s="22"/>
      <c r="AL3092" s="22"/>
      <c r="AM3092" s="22"/>
      <c r="AN3092" s="22"/>
      <c r="AO3092" s="22"/>
      <c r="AP3092" s="22"/>
    </row>
    <row r="3093">
      <c r="A3093" s="193"/>
      <c r="B3093" s="194"/>
      <c r="C3093" s="195"/>
      <c r="D3093" s="196"/>
      <c r="E3093" s="197"/>
      <c r="F3093" s="197"/>
      <c r="G3093" s="195"/>
      <c r="H3093" s="195"/>
      <c r="I3093" s="197"/>
      <c r="J3093" s="121"/>
      <c r="K3093" s="121"/>
      <c r="L3093" s="200"/>
      <c r="M3093" s="204"/>
      <c r="N3093" s="205"/>
      <c r="O3093" s="170"/>
      <c r="P3093" s="198"/>
      <c r="Q3093" s="199"/>
      <c r="R3093" s="200"/>
      <c r="S3093" s="170"/>
      <c r="T3093" s="170"/>
      <c r="U3093" s="201"/>
      <c r="V3093" s="198"/>
      <c r="W3093" s="170"/>
      <c r="X3093" s="202"/>
      <c r="Y3093" s="203"/>
      <c r="Z3093" s="170"/>
      <c r="AA3093" s="198"/>
      <c r="AB3093" s="170"/>
      <c r="AC3093" s="170"/>
      <c r="AD3093" s="121"/>
      <c r="AE3093" s="121"/>
      <c r="AF3093" s="121"/>
      <c r="AG3093" s="22"/>
      <c r="AH3093" s="22"/>
      <c r="AI3093" s="22"/>
      <c r="AJ3093" s="22"/>
      <c r="AK3093" s="22"/>
      <c r="AL3093" s="22"/>
      <c r="AM3093" s="22"/>
      <c r="AN3093" s="22"/>
      <c r="AO3093" s="22"/>
      <c r="AP3093" s="22"/>
    </row>
    <row r="3094">
      <c r="A3094" s="193"/>
      <c r="B3094" s="194"/>
      <c r="C3094" s="195"/>
      <c r="D3094" s="196"/>
      <c r="E3094" s="197"/>
      <c r="F3094" s="197"/>
      <c r="G3094" s="195"/>
      <c r="H3094" s="195"/>
      <c r="I3094" s="197"/>
      <c r="J3094" s="121"/>
      <c r="K3094" s="121"/>
      <c r="L3094" s="200"/>
      <c r="M3094" s="204"/>
      <c r="N3094" s="205"/>
      <c r="O3094" s="170"/>
      <c r="P3094" s="198"/>
      <c r="Q3094" s="199"/>
      <c r="R3094" s="200"/>
      <c r="S3094" s="170"/>
      <c r="T3094" s="170"/>
      <c r="U3094" s="201"/>
      <c r="V3094" s="198"/>
      <c r="W3094" s="170"/>
      <c r="X3094" s="202"/>
      <c r="Y3094" s="203"/>
      <c r="Z3094" s="170"/>
      <c r="AA3094" s="198"/>
      <c r="AB3094" s="170"/>
      <c r="AC3094" s="170"/>
      <c r="AD3094" s="121"/>
      <c r="AE3094" s="121"/>
      <c r="AF3094" s="121"/>
      <c r="AG3094" s="22"/>
      <c r="AH3094" s="22"/>
      <c r="AI3094" s="22"/>
      <c r="AJ3094" s="22"/>
      <c r="AK3094" s="22"/>
      <c r="AL3094" s="22"/>
      <c r="AM3094" s="22"/>
      <c r="AN3094" s="22"/>
      <c r="AO3094" s="22"/>
      <c r="AP3094" s="22"/>
    </row>
    <row r="3095">
      <c r="A3095" s="193"/>
      <c r="B3095" s="194"/>
      <c r="C3095" s="195"/>
      <c r="D3095" s="196"/>
      <c r="E3095" s="197"/>
      <c r="F3095" s="197"/>
      <c r="G3095" s="195"/>
      <c r="H3095" s="195"/>
      <c r="I3095" s="197"/>
      <c r="J3095" s="121"/>
      <c r="K3095" s="121"/>
      <c r="L3095" s="200"/>
      <c r="M3095" s="204"/>
      <c r="N3095" s="205"/>
      <c r="O3095" s="170"/>
      <c r="P3095" s="198"/>
      <c r="Q3095" s="199"/>
      <c r="R3095" s="200"/>
      <c r="S3095" s="170"/>
      <c r="T3095" s="170"/>
      <c r="U3095" s="201"/>
      <c r="V3095" s="198"/>
      <c r="W3095" s="170"/>
      <c r="X3095" s="202"/>
      <c r="Y3095" s="203"/>
      <c r="Z3095" s="170"/>
      <c r="AA3095" s="198"/>
      <c r="AB3095" s="170"/>
      <c r="AC3095" s="170"/>
      <c r="AD3095" s="121"/>
      <c r="AE3095" s="121"/>
      <c r="AF3095" s="121"/>
      <c r="AG3095" s="22"/>
      <c r="AH3095" s="22"/>
      <c r="AI3095" s="22"/>
      <c r="AJ3095" s="22"/>
      <c r="AK3095" s="22"/>
      <c r="AL3095" s="22"/>
      <c r="AM3095" s="22"/>
      <c r="AN3095" s="22"/>
      <c r="AO3095" s="22"/>
      <c r="AP3095" s="22"/>
    </row>
    <row r="3096">
      <c r="A3096" s="193"/>
      <c r="B3096" s="194"/>
      <c r="C3096" s="195"/>
      <c r="D3096" s="196"/>
      <c r="E3096" s="197"/>
      <c r="F3096" s="197"/>
      <c r="G3096" s="195"/>
      <c r="H3096" s="195"/>
      <c r="I3096" s="197"/>
      <c r="J3096" s="121"/>
      <c r="K3096" s="121"/>
      <c r="L3096" s="200"/>
      <c r="M3096" s="204"/>
      <c r="N3096" s="205"/>
      <c r="O3096" s="170"/>
      <c r="P3096" s="198"/>
      <c r="Q3096" s="199"/>
      <c r="R3096" s="200"/>
      <c r="S3096" s="170"/>
      <c r="T3096" s="170"/>
      <c r="U3096" s="201"/>
      <c r="V3096" s="198"/>
      <c r="W3096" s="170"/>
      <c r="X3096" s="202"/>
      <c r="Y3096" s="203"/>
      <c r="Z3096" s="170"/>
      <c r="AA3096" s="198"/>
      <c r="AB3096" s="170"/>
      <c r="AC3096" s="170"/>
      <c r="AD3096" s="121"/>
      <c r="AE3096" s="121"/>
      <c r="AF3096" s="121"/>
      <c r="AG3096" s="22"/>
      <c r="AH3096" s="22"/>
      <c r="AI3096" s="22"/>
      <c r="AJ3096" s="22"/>
      <c r="AK3096" s="22"/>
      <c r="AL3096" s="22"/>
      <c r="AM3096" s="22"/>
      <c r="AN3096" s="22"/>
      <c r="AO3096" s="22"/>
      <c r="AP3096" s="22"/>
    </row>
    <row r="3097">
      <c r="A3097" s="193"/>
      <c r="B3097" s="194"/>
      <c r="C3097" s="195"/>
      <c r="D3097" s="196"/>
      <c r="E3097" s="197"/>
      <c r="F3097" s="197"/>
      <c r="G3097" s="195"/>
      <c r="H3097" s="195"/>
      <c r="I3097" s="197"/>
      <c r="J3097" s="121"/>
      <c r="K3097" s="121"/>
      <c r="L3097" s="200"/>
      <c r="M3097" s="204"/>
      <c r="N3097" s="205"/>
      <c r="O3097" s="170"/>
      <c r="P3097" s="198"/>
      <c r="Q3097" s="199"/>
      <c r="R3097" s="200"/>
      <c r="S3097" s="170"/>
      <c r="T3097" s="170"/>
      <c r="U3097" s="201"/>
      <c r="V3097" s="198"/>
      <c r="W3097" s="170"/>
      <c r="X3097" s="202"/>
      <c r="Y3097" s="203"/>
      <c r="Z3097" s="170"/>
      <c r="AA3097" s="198"/>
      <c r="AB3097" s="170"/>
      <c r="AC3097" s="170"/>
      <c r="AD3097" s="121"/>
      <c r="AE3097" s="121"/>
      <c r="AF3097" s="121"/>
      <c r="AG3097" s="22"/>
      <c r="AH3097" s="22"/>
      <c r="AI3097" s="22"/>
      <c r="AJ3097" s="22"/>
      <c r="AK3097" s="22"/>
      <c r="AL3097" s="22"/>
      <c r="AM3097" s="22"/>
      <c r="AN3097" s="22"/>
      <c r="AO3097" s="22"/>
      <c r="AP3097" s="22"/>
    </row>
    <row r="3098">
      <c r="A3098" s="193"/>
      <c r="B3098" s="194"/>
      <c r="C3098" s="195"/>
      <c r="D3098" s="196"/>
      <c r="E3098" s="197"/>
      <c r="F3098" s="197"/>
      <c r="G3098" s="195"/>
      <c r="H3098" s="195"/>
      <c r="I3098" s="197"/>
      <c r="J3098" s="121"/>
      <c r="K3098" s="121"/>
      <c r="L3098" s="200"/>
      <c r="M3098" s="204"/>
      <c r="N3098" s="205"/>
      <c r="O3098" s="170"/>
      <c r="P3098" s="198"/>
      <c r="Q3098" s="199"/>
      <c r="R3098" s="200"/>
      <c r="S3098" s="170"/>
      <c r="T3098" s="170"/>
      <c r="U3098" s="201"/>
      <c r="V3098" s="198"/>
      <c r="W3098" s="170"/>
      <c r="X3098" s="202"/>
      <c r="Y3098" s="203"/>
      <c r="Z3098" s="170"/>
      <c r="AA3098" s="198"/>
      <c r="AB3098" s="170"/>
      <c r="AC3098" s="170"/>
      <c r="AD3098" s="121"/>
      <c r="AE3098" s="121"/>
      <c r="AF3098" s="121"/>
      <c r="AG3098" s="22"/>
      <c r="AH3098" s="22"/>
      <c r="AI3098" s="22"/>
      <c r="AJ3098" s="22"/>
      <c r="AK3098" s="22"/>
      <c r="AL3098" s="22"/>
      <c r="AM3098" s="22"/>
      <c r="AN3098" s="22"/>
      <c r="AO3098" s="22"/>
      <c r="AP3098" s="22"/>
    </row>
    <row r="3099">
      <c r="A3099" s="193"/>
      <c r="B3099" s="194"/>
      <c r="C3099" s="195"/>
      <c r="D3099" s="196"/>
      <c r="E3099" s="197"/>
      <c r="F3099" s="197"/>
      <c r="G3099" s="195"/>
      <c r="H3099" s="195"/>
      <c r="I3099" s="197"/>
      <c r="J3099" s="121"/>
      <c r="K3099" s="121"/>
      <c r="L3099" s="200"/>
      <c r="M3099" s="204"/>
      <c r="N3099" s="205"/>
      <c r="O3099" s="170"/>
      <c r="P3099" s="198"/>
      <c r="Q3099" s="199"/>
      <c r="R3099" s="200"/>
      <c r="S3099" s="170"/>
      <c r="T3099" s="170"/>
      <c r="U3099" s="201"/>
      <c r="V3099" s="198"/>
      <c r="W3099" s="170"/>
      <c r="X3099" s="202"/>
      <c r="Y3099" s="203"/>
      <c r="Z3099" s="170"/>
      <c r="AA3099" s="198"/>
      <c r="AB3099" s="170"/>
      <c r="AC3099" s="170"/>
      <c r="AD3099" s="121"/>
      <c r="AE3099" s="121"/>
      <c r="AF3099" s="121"/>
      <c r="AG3099" s="22"/>
      <c r="AH3099" s="22"/>
      <c r="AI3099" s="22"/>
      <c r="AJ3099" s="22"/>
      <c r="AK3099" s="22"/>
      <c r="AL3099" s="22"/>
      <c r="AM3099" s="22"/>
      <c r="AN3099" s="22"/>
      <c r="AO3099" s="22"/>
      <c r="AP3099" s="22"/>
    </row>
    <row r="3100">
      <c r="A3100" s="193"/>
      <c r="B3100" s="194"/>
      <c r="C3100" s="195"/>
      <c r="D3100" s="196"/>
      <c r="E3100" s="197"/>
      <c r="F3100" s="197"/>
      <c r="G3100" s="195"/>
      <c r="H3100" s="195"/>
      <c r="I3100" s="197"/>
      <c r="J3100" s="121"/>
      <c r="K3100" s="121"/>
      <c r="L3100" s="200"/>
      <c r="M3100" s="204"/>
      <c r="N3100" s="205"/>
      <c r="O3100" s="170"/>
      <c r="P3100" s="198"/>
      <c r="Q3100" s="199"/>
      <c r="R3100" s="200"/>
      <c r="S3100" s="170"/>
      <c r="T3100" s="170"/>
      <c r="U3100" s="201"/>
      <c r="V3100" s="198"/>
      <c r="W3100" s="170"/>
      <c r="X3100" s="202"/>
      <c r="Y3100" s="203"/>
      <c r="Z3100" s="170"/>
      <c r="AA3100" s="198"/>
      <c r="AB3100" s="170"/>
      <c r="AC3100" s="170"/>
      <c r="AD3100" s="121"/>
      <c r="AE3100" s="121"/>
      <c r="AF3100" s="121"/>
      <c r="AG3100" s="22"/>
      <c r="AH3100" s="22"/>
      <c r="AI3100" s="22"/>
      <c r="AJ3100" s="22"/>
      <c r="AK3100" s="22"/>
      <c r="AL3100" s="22"/>
      <c r="AM3100" s="22"/>
      <c r="AN3100" s="22"/>
      <c r="AO3100" s="22"/>
      <c r="AP3100" s="22"/>
    </row>
    <row r="3101">
      <c r="A3101" s="193"/>
      <c r="B3101" s="194"/>
      <c r="C3101" s="195"/>
      <c r="D3101" s="196"/>
      <c r="E3101" s="197"/>
      <c r="F3101" s="197"/>
      <c r="G3101" s="195"/>
      <c r="H3101" s="195"/>
      <c r="I3101" s="197"/>
      <c r="J3101" s="121"/>
      <c r="K3101" s="121"/>
      <c r="L3101" s="200"/>
      <c r="M3101" s="204"/>
      <c r="N3101" s="205"/>
      <c r="O3101" s="170"/>
      <c r="P3101" s="198"/>
      <c r="Q3101" s="199"/>
      <c r="R3101" s="200"/>
      <c r="S3101" s="170"/>
      <c r="T3101" s="170"/>
      <c r="U3101" s="201"/>
      <c r="V3101" s="198"/>
      <c r="W3101" s="170"/>
      <c r="X3101" s="202"/>
      <c r="Y3101" s="203"/>
      <c r="Z3101" s="170"/>
      <c r="AA3101" s="198"/>
      <c r="AB3101" s="170"/>
      <c r="AC3101" s="170"/>
      <c r="AD3101" s="121"/>
      <c r="AE3101" s="121"/>
      <c r="AF3101" s="121"/>
      <c r="AG3101" s="22"/>
      <c r="AH3101" s="22"/>
      <c r="AI3101" s="22"/>
      <c r="AJ3101" s="22"/>
      <c r="AK3101" s="22"/>
      <c r="AL3101" s="22"/>
      <c r="AM3101" s="22"/>
      <c r="AN3101" s="22"/>
      <c r="AO3101" s="22"/>
      <c r="AP3101" s="22"/>
    </row>
    <row r="3102">
      <c r="A3102" s="193"/>
      <c r="B3102" s="194"/>
      <c r="C3102" s="195"/>
      <c r="D3102" s="196"/>
      <c r="E3102" s="197"/>
      <c r="F3102" s="197"/>
      <c r="G3102" s="195"/>
      <c r="H3102" s="195"/>
      <c r="I3102" s="197"/>
      <c r="J3102" s="121"/>
      <c r="K3102" s="121"/>
      <c r="L3102" s="200"/>
      <c r="M3102" s="204"/>
      <c r="N3102" s="205"/>
      <c r="O3102" s="170"/>
      <c r="P3102" s="198"/>
      <c r="Q3102" s="199"/>
      <c r="R3102" s="200"/>
      <c r="S3102" s="170"/>
      <c r="T3102" s="170"/>
      <c r="U3102" s="201"/>
      <c r="V3102" s="198"/>
      <c r="W3102" s="170"/>
      <c r="X3102" s="202"/>
      <c r="Y3102" s="203"/>
      <c r="Z3102" s="170"/>
      <c r="AA3102" s="198"/>
      <c r="AB3102" s="170"/>
      <c r="AC3102" s="170"/>
      <c r="AD3102" s="121"/>
      <c r="AE3102" s="121"/>
      <c r="AF3102" s="121"/>
      <c r="AG3102" s="22"/>
      <c r="AH3102" s="22"/>
      <c r="AI3102" s="22"/>
      <c r="AJ3102" s="22"/>
      <c r="AK3102" s="22"/>
      <c r="AL3102" s="22"/>
      <c r="AM3102" s="22"/>
      <c r="AN3102" s="22"/>
      <c r="AO3102" s="22"/>
      <c r="AP3102" s="22"/>
    </row>
    <row r="3103">
      <c r="A3103" s="193"/>
      <c r="B3103" s="194"/>
      <c r="C3103" s="195"/>
      <c r="D3103" s="196"/>
      <c r="E3103" s="197"/>
      <c r="F3103" s="197"/>
      <c r="G3103" s="195"/>
      <c r="H3103" s="195"/>
      <c r="I3103" s="197"/>
      <c r="J3103" s="121"/>
      <c r="K3103" s="121"/>
      <c r="L3103" s="200"/>
      <c r="M3103" s="204"/>
      <c r="N3103" s="205"/>
      <c r="O3103" s="170"/>
      <c r="P3103" s="198"/>
      <c r="Q3103" s="199"/>
      <c r="R3103" s="200"/>
      <c r="S3103" s="170"/>
      <c r="T3103" s="170"/>
      <c r="U3103" s="201"/>
      <c r="V3103" s="198"/>
      <c r="W3103" s="170"/>
      <c r="X3103" s="202"/>
      <c r="Y3103" s="203"/>
      <c r="Z3103" s="170"/>
      <c r="AA3103" s="198"/>
      <c r="AB3103" s="170"/>
      <c r="AC3103" s="170"/>
      <c r="AD3103" s="121"/>
      <c r="AE3103" s="121"/>
      <c r="AF3103" s="121"/>
      <c r="AG3103" s="22"/>
      <c r="AH3103" s="22"/>
      <c r="AI3103" s="22"/>
      <c r="AJ3103" s="22"/>
      <c r="AK3103" s="22"/>
      <c r="AL3103" s="22"/>
      <c r="AM3103" s="22"/>
      <c r="AN3103" s="22"/>
      <c r="AO3103" s="22"/>
      <c r="AP3103" s="22"/>
    </row>
    <row r="3104">
      <c r="A3104" s="193"/>
      <c r="B3104" s="194"/>
      <c r="C3104" s="195"/>
      <c r="D3104" s="196"/>
      <c r="E3104" s="197"/>
      <c r="F3104" s="197"/>
      <c r="G3104" s="195"/>
      <c r="H3104" s="195"/>
      <c r="I3104" s="197"/>
      <c r="J3104" s="121"/>
      <c r="K3104" s="121"/>
      <c r="L3104" s="200"/>
      <c r="M3104" s="204"/>
      <c r="N3104" s="205"/>
      <c r="O3104" s="170"/>
      <c r="P3104" s="198"/>
      <c r="Q3104" s="199"/>
      <c r="R3104" s="200"/>
      <c r="S3104" s="170"/>
      <c r="T3104" s="170"/>
      <c r="U3104" s="201"/>
      <c r="V3104" s="198"/>
      <c r="W3104" s="170"/>
      <c r="X3104" s="202"/>
      <c r="Y3104" s="203"/>
      <c r="Z3104" s="170"/>
      <c r="AA3104" s="198"/>
      <c r="AB3104" s="170"/>
      <c r="AC3104" s="170"/>
      <c r="AD3104" s="121"/>
      <c r="AE3104" s="121"/>
      <c r="AF3104" s="121"/>
      <c r="AG3104" s="22"/>
      <c r="AH3104" s="22"/>
      <c r="AI3104" s="22"/>
      <c r="AJ3104" s="22"/>
      <c r="AK3104" s="22"/>
      <c r="AL3104" s="22"/>
      <c r="AM3104" s="22"/>
      <c r="AN3104" s="22"/>
      <c r="AO3104" s="22"/>
      <c r="AP3104" s="22"/>
    </row>
    <row r="3105">
      <c r="A3105" s="193"/>
      <c r="B3105" s="194"/>
      <c r="C3105" s="195"/>
      <c r="D3105" s="196"/>
      <c r="E3105" s="197"/>
      <c r="F3105" s="197"/>
      <c r="G3105" s="195"/>
      <c r="H3105" s="195"/>
      <c r="I3105" s="197"/>
      <c r="J3105" s="121"/>
      <c r="K3105" s="121"/>
      <c r="L3105" s="200"/>
      <c r="M3105" s="204"/>
      <c r="N3105" s="205"/>
      <c r="O3105" s="170"/>
      <c r="P3105" s="198"/>
      <c r="Q3105" s="199"/>
      <c r="R3105" s="200"/>
      <c r="S3105" s="170"/>
      <c r="T3105" s="170"/>
      <c r="U3105" s="201"/>
      <c r="V3105" s="198"/>
      <c r="W3105" s="170"/>
      <c r="X3105" s="202"/>
      <c r="Y3105" s="203"/>
      <c r="Z3105" s="170"/>
      <c r="AA3105" s="198"/>
      <c r="AB3105" s="170"/>
      <c r="AC3105" s="170"/>
      <c r="AD3105" s="121"/>
      <c r="AE3105" s="121"/>
      <c r="AF3105" s="121"/>
      <c r="AG3105" s="22"/>
      <c r="AH3105" s="22"/>
      <c r="AI3105" s="22"/>
      <c r="AJ3105" s="22"/>
      <c r="AK3105" s="22"/>
      <c r="AL3105" s="22"/>
      <c r="AM3105" s="22"/>
      <c r="AN3105" s="22"/>
      <c r="AO3105" s="22"/>
      <c r="AP3105" s="22"/>
    </row>
    <row r="3106">
      <c r="A3106" s="193"/>
      <c r="B3106" s="194"/>
      <c r="C3106" s="195"/>
      <c r="D3106" s="196"/>
      <c r="E3106" s="197"/>
      <c r="F3106" s="197"/>
      <c r="G3106" s="195"/>
      <c r="H3106" s="195"/>
      <c r="I3106" s="197"/>
      <c r="J3106" s="121"/>
      <c r="K3106" s="121"/>
      <c r="L3106" s="200"/>
      <c r="M3106" s="204"/>
      <c r="N3106" s="205"/>
      <c r="O3106" s="170"/>
      <c r="P3106" s="198"/>
      <c r="Q3106" s="199"/>
      <c r="R3106" s="200"/>
      <c r="S3106" s="170"/>
      <c r="T3106" s="170"/>
      <c r="U3106" s="201"/>
      <c r="V3106" s="198"/>
      <c r="W3106" s="170"/>
      <c r="X3106" s="202"/>
      <c r="Y3106" s="203"/>
      <c r="Z3106" s="170"/>
      <c r="AA3106" s="198"/>
      <c r="AB3106" s="170"/>
      <c r="AC3106" s="170"/>
      <c r="AD3106" s="121"/>
      <c r="AE3106" s="121"/>
      <c r="AF3106" s="121"/>
      <c r="AG3106" s="22"/>
      <c r="AH3106" s="22"/>
      <c r="AI3106" s="22"/>
      <c r="AJ3106" s="22"/>
      <c r="AK3106" s="22"/>
      <c r="AL3106" s="22"/>
      <c r="AM3106" s="22"/>
      <c r="AN3106" s="22"/>
      <c r="AO3106" s="22"/>
      <c r="AP3106" s="22"/>
    </row>
    <row r="3107">
      <c r="A3107" s="193"/>
      <c r="B3107" s="194"/>
      <c r="C3107" s="195"/>
      <c r="D3107" s="196"/>
      <c r="E3107" s="197"/>
      <c r="F3107" s="197"/>
      <c r="G3107" s="195"/>
      <c r="H3107" s="195"/>
      <c r="I3107" s="197"/>
      <c r="J3107" s="121"/>
      <c r="K3107" s="121"/>
      <c r="L3107" s="200"/>
      <c r="M3107" s="204"/>
      <c r="N3107" s="205"/>
      <c r="O3107" s="170"/>
      <c r="P3107" s="198"/>
      <c r="Q3107" s="199"/>
      <c r="R3107" s="200"/>
      <c r="S3107" s="170"/>
      <c r="T3107" s="170"/>
      <c r="U3107" s="201"/>
      <c r="V3107" s="198"/>
      <c r="W3107" s="170"/>
      <c r="X3107" s="202"/>
      <c r="Y3107" s="203"/>
      <c r="Z3107" s="170"/>
      <c r="AA3107" s="198"/>
      <c r="AB3107" s="170"/>
      <c r="AC3107" s="170"/>
      <c r="AD3107" s="121"/>
      <c r="AE3107" s="121"/>
      <c r="AF3107" s="121"/>
      <c r="AG3107" s="22"/>
      <c r="AH3107" s="22"/>
      <c r="AI3107" s="22"/>
      <c r="AJ3107" s="22"/>
      <c r="AK3107" s="22"/>
      <c r="AL3107" s="22"/>
      <c r="AM3107" s="22"/>
      <c r="AN3107" s="22"/>
      <c r="AO3107" s="22"/>
      <c r="AP3107" s="22"/>
    </row>
    <row r="3108">
      <c r="A3108" s="193"/>
      <c r="B3108" s="194"/>
      <c r="C3108" s="195"/>
      <c r="D3108" s="196"/>
      <c r="E3108" s="197"/>
      <c r="F3108" s="197"/>
      <c r="G3108" s="195"/>
      <c r="H3108" s="195"/>
      <c r="I3108" s="197"/>
      <c r="J3108" s="121"/>
      <c r="K3108" s="121"/>
      <c r="L3108" s="200"/>
      <c r="M3108" s="204"/>
      <c r="N3108" s="205"/>
      <c r="O3108" s="170"/>
      <c r="P3108" s="198"/>
      <c r="Q3108" s="199"/>
      <c r="R3108" s="200"/>
      <c r="S3108" s="170"/>
      <c r="T3108" s="170"/>
      <c r="U3108" s="201"/>
      <c r="V3108" s="198"/>
      <c r="W3108" s="170"/>
      <c r="X3108" s="202"/>
      <c r="Y3108" s="203"/>
      <c r="Z3108" s="170"/>
      <c r="AA3108" s="198"/>
      <c r="AB3108" s="170"/>
      <c r="AC3108" s="170"/>
      <c r="AD3108" s="121"/>
      <c r="AE3108" s="121"/>
      <c r="AF3108" s="121"/>
      <c r="AG3108" s="22"/>
      <c r="AH3108" s="22"/>
      <c r="AI3108" s="22"/>
      <c r="AJ3108" s="22"/>
      <c r="AK3108" s="22"/>
      <c r="AL3108" s="22"/>
      <c r="AM3108" s="22"/>
      <c r="AN3108" s="22"/>
      <c r="AO3108" s="22"/>
      <c r="AP3108" s="22"/>
    </row>
    <row r="3109">
      <c r="A3109" s="193"/>
      <c r="B3109" s="194"/>
      <c r="C3109" s="195"/>
      <c r="D3109" s="196"/>
      <c r="E3109" s="197"/>
      <c r="F3109" s="197"/>
      <c r="G3109" s="195"/>
      <c r="H3109" s="195"/>
      <c r="I3109" s="197"/>
      <c r="J3109" s="121"/>
      <c r="K3109" s="121"/>
      <c r="L3109" s="200"/>
      <c r="M3109" s="204"/>
      <c r="N3109" s="205"/>
      <c r="O3109" s="170"/>
      <c r="P3109" s="198"/>
      <c r="Q3109" s="199"/>
      <c r="R3109" s="200"/>
      <c r="S3109" s="170"/>
      <c r="T3109" s="170"/>
      <c r="U3109" s="201"/>
      <c r="V3109" s="198"/>
      <c r="W3109" s="170"/>
      <c r="X3109" s="202"/>
      <c r="Y3109" s="203"/>
      <c r="Z3109" s="170"/>
      <c r="AA3109" s="198"/>
      <c r="AB3109" s="170"/>
      <c r="AC3109" s="170"/>
      <c r="AD3109" s="121"/>
      <c r="AE3109" s="121"/>
      <c r="AF3109" s="121"/>
      <c r="AG3109" s="22"/>
      <c r="AH3109" s="22"/>
      <c r="AI3109" s="22"/>
      <c r="AJ3109" s="22"/>
      <c r="AK3109" s="22"/>
      <c r="AL3109" s="22"/>
      <c r="AM3109" s="22"/>
      <c r="AN3109" s="22"/>
      <c r="AO3109" s="22"/>
      <c r="AP3109" s="22"/>
    </row>
    <row r="3110">
      <c r="A3110" s="193"/>
      <c r="B3110" s="194"/>
      <c r="C3110" s="195"/>
      <c r="D3110" s="196"/>
      <c r="E3110" s="197"/>
      <c r="F3110" s="197"/>
      <c r="G3110" s="195"/>
      <c r="H3110" s="195"/>
      <c r="I3110" s="197"/>
      <c r="J3110" s="121"/>
      <c r="K3110" s="121"/>
      <c r="L3110" s="200"/>
      <c r="M3110" s="204"/>
      <c r="N3110" s="205"/>
      <c r="O3110" s="170"/>
      <c r="P3110" s="198"/>
      <c r="Q3110" s="199"/>
      <c r="R3110" s="200"/>
      <c r="S3110" s="170"/>
      <c r="T3110" s="170"/>
      <c r="U3110" s="201"/>
      <c r="V3110" s="198"/>
      <c r="W3110" s="170"/>
      <c r="X3110" s="202"/>
      <c r="Y3110" s="203"/>
      <c r="Z3110" s="170"/>
      <c r="AA3110" s="198"/>
      <c r="AB3110" s="170"/>
      <c r="AC3110" s="170"/>
      <c r="AD3110" s="121"/>
      <c r="AE3110" s="121"/>
      <c r="AF3110" s="121"/>
      <c r="AG3110" s="22"/>
      <c r="AH3110" s="22"/>
      <c r="AI3110" s="22"/>
      <c r="AJ3110" s="22"/>
      <c r="AK3110" s="22"/>
      <c r="AL3110" s="22"/>
      <c r="AM3110" s="22"/>
      <c r="AN3110" s="22"/>
      <c r="AO3110" s="22"/>
      <c r="AP3110" s="22"/>
    </row>
    <row r="3111">
      <c r="A3111" s="193"/>
      <c r="B3111" s="194"/>
      <c r="C3111" s="195"/>
      <c r="D3111" s="196"/>
      <c r="E3111" s="197"/>
      <c r="F3111" s="197"/>
      <c r="G3111" s="195"/>
      <c r="H3111" s="195"/>
      <c r="I3111" s="197"/>
      <c r="J3111" s="121"/>
      <c r="K3111" s="121"/>
      <c r="L3111" s="200"/>
      <c r="M3111" s="204"/>
      <c r="N3111" s="205"/>
      <c r="O3111" s="170"/>
      <c r="P3111" s="198"/>
      <c r="Q3111" s="199"/>
      <c r="R3111" s="200"/>
      <c r="S3111" s="170"/>
      <c r="T3111" s="170"/>
      <c r="U3111" s="201"/>
      <c r="V3111" s="198"/>
      <c r="W3111" s="170"/>
      <c r="X3111" s="202"/>
      <c r="Y3111" s="203"/>
      <c r="Z3111" s="170"/>
      <c r="AA3111" s="198"/>
      <c r="AB3111" s="170"/>
      <c r="AC3111" s="170"/>
      <c r="AD3111" s="121"/>
      <c r="AE3111" s="121"/>
      <c r="AF3111" s="121"/>
      <c r="AG3111" s="22"/>
      <c r="AH3111" s="22"/>
      <c r="AI3111" s="22"/>
      <c r="AJ3111" s="22"/>
      <c r="AK3111" s="22"/>
      <c r="AL3111" s="22"/>
      <c r="AM3111" s="22"/>
      <c r="AN3111" s="22"/>
      <c r="AO3111" s="22"/>
      <c r="AP3111" s="22"/>
    </row>
    <row r="3112">
      <c r="A3112" s="193"/>
      <c r="B3112" s="194"/>
      <c r="C3112" s="195"/>
      <c r="D3112" s="196"/>
      <c r="E3112" s="197"/>
      <c r="F3112" s="197"/>
      <c r="G3112" s="195"/>
      <c r="H3112" s="195"/>
      <c r="I3112" s="197"/>
      <c r="J3112" s="121"/>
      <c r="K3112" s="121"/>
      <c r="L3112" s="200"/>
      <c r="M3112" s="204"/>
      <c r="N3112" s="205"/>
      <c r="O3112" s="170"/>
      <c r="P3112" s="198"/>
      <c r="Q3112" s="199"/>
      <c r="R3112" s="200"/>
      <c r="S3112" s="170"/>
      <c r="T3112" s="170"/>
      <c r="U3112" s="201"/>
      <c r="V3112" s="198"/>
      <c r="W3112" s="170"/>
      <c r="X3112" s="202"/>
      <c r="Y3112" s="203"/>
      <c r="Z3112" s="170"/>
      <c r="AA3112" s="198"/>
      <c r="AB3112" s="170"/>
      <c r="AC3112" s="170"/>
      <c r="AD3112" s="121"/>
      <c r="AE3112" s="121"/>
      <c r="AF3112" s="121"/>
      <c r="AG3112" s="22"/>
      <c r="AH3112" s="22"/>
      <c r="AI3112" s="22"/>
      <c r="AJ3112" s="22"/>
      <c r="AK3112" s="22"/>
      <c r="AL3112" s="22"/>
      <c r="AM3112" s="22"/>
      <c r="AN3112" s="22"/>
      <c r="AO3112" s="22"/>
      <c r="AP3112" s="22"/>
    </row>
    <row r="3113">
      <c r="A3113" s="193"/>
      <c r="B3113" s="194"/>
      <c r="C3113" s="195"/>
      <c r="D3113" s="196"/>
      <c r="E3113" s="197"/>
      <c r="F3113" s="197"/>
      <c r="G3113" s="195"/>
      <c r="H3113" s="195"/>
      <c r="I3113" s="197"/>
      <c r="J3113" s="121"/>
      <c r="K3113" s="121"/>
      <c r="L3113" s="200"/>
      <c r="M3113" s="204"/>
      <c r="N3113" s="205"/>
      <c r="O3113" s="170"/>
      <c r="P3113" s="198"/>
      <c r="Q3113" s="199"/>
      <c r="R3113" s="200"/>
      <c r="S3113" s="170"/>
      <c r="T3113" s="170"/>
      <c r="U3113" s="201"/>
      <c r="V3113" s="198"/>
      <c r="W3113" s="170"/>
      <c r="X3113" s="202"/>
      <c r="Y3113" s="203"/>
      <c r="Z3113" s="170"/>
      <c r="AA3113" s="198"/>
      <c r="AB3113" s="170"/>
      <c r="AC3113" s="170"/>
      <c r="AD3113" s="121"/>
      <c r="AE3113" s="121"/>
      <c r="AF3113" s="121"/>
      <c r="AG3113" s="22"/>
      <c r="AH3113" s="22"/>
      <c r="AI3113" s="22"/>
      <c r="AJ3113" s="22"/>
      <c r="AK3113" s="22"/>
      <c r="AL3113" s="22"/>
      <c r="AM3113" s="22"/>
      <c r="AN3113" s="22"/>
      <c r="AO3113" s="22"/>
      <c r="AP3113" s="22"/>
    </row>
    <row r="3114">
      <c r="A3114" s="193"/>
      <c r="B3114" s="194"/>
      <c r="C3114" s="195"/>
      <c r="D3114" s="196"/>
      <c r="E3114" s="197"/>
      <c r="F3114" s="197"/>
      <c r="G3114" s="195"/>
      <c r="H3114" s="195"/>
      <c r="I3114" s="197"/>
      <c r="J3114" s="121"/>
      <c r="K3114" s="121"/>
      <c r="L3114" s="200"/>
      <c r="M3114" s="204"/>
      <c r="N3114" s="205"/>
      <c r="O3114" s="170"/>
      <c r="P3114" s="198"/>
      <c r="Q3114" s="199"/>
      <c r="R3114" s="200"/>
      <c r="S3114" s="170"/>
      <c r="T3114" s="170"/>
      <c r="U3114" s="201"/>
      <c r="V3114" s="198"/>
      <c r="W3114" s="170"/>
      <c r="X3114" s="202"/>
      <c r="Y3114" s="203"/>
      <c r="Z3114" s="170"/>
      <c r="AA3114" s="198"/>
      <c r="AB3114" s="170"/>
      <c r="AC3114" s="170"/>
      <c r="AD3114" s="121"/>
      <c r="AE3114" s="121"/>
      <c r="AF3114" s="121"/>
      <c r="AG3114" s="22"/>
      <c r="AH3114" s="22"/>
      <c r="AI3114" s="22"/>
      <c r="AJ3114" s="22"/>
      <c r="AK3114" s="22"/>
      <c r="AL3114" s="22"/>
      <c r="AM3114" s="22"/>
      <c r="AN3114" s="22"/>
      <c r="AO3114" s="22"/>
      <c r="AP3114" s="22"/>
    </row>
    <row r="3115">
      <c r="A3115" s="193"/>
      <c r="B3115" s="194"/>
      <c r="C3115" s="195"/>
      <c r="D3115" s="196"/>
      <c r="E3115" s="197"/>
      <c r="F3115" s="197"/>
      <c r="G3115" s="195"/>
      <c r="H3115" s="195"/>
      <c r="I3115" s="197"/>
      <c r="J3115" s="121"/>
      <c r="K3115" s="121"/>
      <c r="L3115" s="200"/>
      <c r="M3115" s="204"/>
      <c r="N3115" s="205"/>
      <c r="O3115" s="170"/>
      <c r="P3115" s="198"/>
      <c r="Q3115" s="199"/>
      <c r="R3115" s="200"/>
      <c r="S3115" s="170"/>
      <c r="T3115" s="170"/>
      <c r="U3115" s="201"/>
      <c r="V3115" s="198"/>
      <c r="W3115" s="170"/>
      <c r="X3115" s="202"/>
      <c r="Y3115" s="203"/>
      <c r="Z3115" s="170"/>
      <c r="AA3115" s="198"/>
      <c r="AB3115" s="170"/>
      <c r="AC3115" s="170"/>
      <c r="AD3115" s="121"/>
      <c r="AE3115" s="121"/>
      <c r="AF3115" s="121"/>
      <c r="AG3115" s="22"/>
      <c r="AH3115" s="22"/>
      <c r="AI3115" s="22"/>
      <c r="AJ3115" s="22"/>
      <c r="AK3115" s="22"/>
      <c r="AL3115" s="22"/>
      <c r="AM3115" s="22"/>
      <c r="AN3115" s="22"/>
      <c r="AO3115" s="22"/>
      <c r="AP3115" s="22"/>
    </row>
    <row r="3116">
      <c r="A3116" s="193"/>
      <c r="B3116" s="194"/>
      <c r="C3116" s="195"/>
      <c r="D3116" s="196"/>
      <c r="E3116" s="197"/>
      <c r="F3116" s="197"/>
      <c r="G3116" s="195"/>
      <c r="H3116" s="195"/>
      <c r="I3116" s="197"/>
      <c r="J3116" s="121"/>
      <c r="K3116" s="121"/>
      <c r="L3116" s="200"/>
      <c r="M3116" s="204"/>
      <c r="N3116" s="205"/>
      <c r="O3116" s="170"/>
      <c r="P3116" s="198"/>
      <c r="Q3116" s="199"/>
      <c r="R3116" s="200"/>
      <c r="S3116" s="170"/>
      <c r="T3116" s="170"/>
      <c r="U3116" s="201"/>
      <c r="V3116" s="198"/>
      <c r="W3116" s="170"/>
      <c r="X3116" s="202"/>
      <c r="Y3116" s="203"/>
      <c r="Z3116" s="170"/>
      <c r="AA3116" s="198"/>
      <c r="AB3116" s="170"/>
      <c r="AC3116" s="170"/>
      <c r="AD3116" s="121"/>
      <c r="AE3116" s="121"/>
      <c r="AF3116" s="121"/>
      <c r="AG3116" s="22"/>
      <c r="AH3116" s="22"/>
      <c r="AI3116" s="22"/>
      <c r="AJ3116" s="22"/>
      <c r="AK3116" s="22"/>
      <c r="AL3116" s="22"/>
      <c r="AM3116" s="22"/>
      <c r="AN3116" s="22"/>
      <c r="AO3116" s="22"/>
      <c r="AP3116" s="22"/>
    </row>
    <row r="3117">
      <c r="A3117" s="193"/>
      <c r="B3117" s="194"/>
      <c r="C3117" s="195"/>
      <c r="D3117" s="196"/>
      <c r="E3117" s="197"/>
      <c r="F3117" s="197"/>
      <c r="G3117" s="195"/>
      <c r="H3117" s="195"/>
      <c r="I3117" s="197"/>
      <c r="J3117" s="121"/>
      <c r="K3117" s="121"/>
      <c r="L3117" s="200"/>
      <c r="M3117" s="204"/>
      <c r="N3117" s="205"/>
      <c r="O3117" s="170"/>
      <c r="P3117" s="198"/>
      <c r="Q3117" s="199"/>
      <c r="R3117" s="200"/>
      <c r="S3117" s="170"/>
      <c r="T3117" s="170"/>
      <c r="U3117" s="201"/>
      <c r="V3117" s="198"/>
      <c r="W3117" s="170"/>
      <c r="X3117" s="202"/>
      <c r="Y3117" s="203"/>
      <c r="Z3117" s="170"/>
      <c r="AA3117" s="198"/>
      <c r="AB3117" s="170"/>
      <c r="AC3117" s="170"/>
      <c r="AD3117" s="121"/>
      <c r="AE3117" s="121"/>
      <c r="AF3117" s="121"/>
      <c r="AG3117" s="22"/>
      <c r="AH3117" s="22"/>
      <c r="AI3117" s="22"/>
      <c r="AJ3117" s="22"/>
      <c r="AK3117" s="22"/>
      <c r="AL3117" s="22"/>
      <c r="AM3117" s="22"/>
      <c r="AN3117" s="22"/>
      <c r="AO3117" s="22"/>
      <c r="AP3117" s="22"/>
    </row>
    <row r="3118">
      <c r="A3118" s="193"/>
      <c r="B3118" s="194"/>
      <c r="C3118" s="195"/>
      <c r="D3118" s="196"/>
      <c r="E3118" s="197"/>
      <c r="F3118" s="197"/>
      <c r="G3118" s="195"/>
      <c r="H3118" s="195"/>
      <c r="I3118" s="197"/>
      <c r="J3118" s="121"/>
      <c r="K3118" s="121"/>
      <c r="L3118" s="200"/>
      <c r="M3118" s="204"/>
      <c r="N3118" s="205"/>
      <c r="O3118" s="170"/>
      <c r="P3118" s="198"/>
      <c r="Q3118" s="199"/>
      <c r="R3118" s="200"/>
      <c r="S3118" s="170"/>
      <c r="T3118" s="170"/>
      <c r="U3118" s="201"/>
      <c r="V3118" s="198"/>
      <c r="W3118" s="170"/>
      <c r="X3118" s="202"/>
      <c r="Y3118" s="203"/>
      <c r="Z3118" s="170"/>
      <c r="AA3118" s="198"/>
      <c r="AB3118" s="170"/>
      <c r="AC3118" s="170"/>
      <c r="AD3118" s="121"/>
      <c r="AE3118" s="121"/>
      <c r="AF3118" s="121"/>
      <c r="AG3118" s="22"/>
      <c r="AH3118" s="22"/>
      <c r="AI3118" s="22"/>
      <c r="AJ3118" s="22"/>
      <c r="AK3118" s="22"/>
      <c r="AL3118" s="22"/>
      <c r="AM3118" s="22"/>
      <c r="AN3118" s="22"/>
      <c r="AO3118" s="22"/>
      <c r="AP3118" s="22"/>
    </row>
    <row r="3119">
      <c r="A3119" s="193"/>
      <c r="B3119" s="194"/>
      <c r="C3119" s="195"/>
      <c r="D3119" s="196"/>
      <c r="E3119" s="197"/>
      <c r="F3119" s="197"/>
      <c r="G3119" s="195"/>
      <c r="H3119" s="195"/>
      <c r="I3119" s="197"/>
      <c r="J3119" s="121"/>
      <c r="K3119" s="121"/>
      <c r="L3119" s="200"/>
      <c r="M3119" s="204"/>
      <c r="N3119" s="205"/>
      <c r="O3119" s="170"/>
      <c r="P3119" s="198"/>
      <c r="Q3119" s="199"/>
      <c r="R3119" s="200"/>
      <c r="S3119" s="170"/>
      <c r="T3119" s="170"/>
      <c r="U3119" s="201"/>
      <c r="V3119" s="198"/>
      <c r="W3119" s="170"/>
      <c r="X3119" s="202"/>
      <c r="Y3119" s="203"/>
      <c r="Z3119" s="170"/>
      <c r="AA3119" s="198"/>
      <c r="AB3119" s="170"/>
      <c r="AC3119" s="170"/>
      <c r="AD3119" s="121"/>
      <c r="AE3119" s="121"/>
      <c r="AF3119" s="121"/>
      <c r="AG3119" s="22"/>
      <c r="AH3119" s="22"/>
      <c r="AI3119" s="22"/>
      <c r="AJ3119" s="22"/>
      <c r="AK3119" s="22"/>
      <c r="AL3119" s="22"/>
      <c r="AM3119" s="22"/>
      <c r="AN3119" s="22"/>
      <c r="AO3119" s="22"/>
      <c r="AP3119" s="22"/>
    </row>
    <row r="3120">
      <c r="A3120" s="193"/>
      <c r="B3120" s="194"/>
      <c r="C3120" s="195"/>
      <c r="D3120" s="196"/>
      <c r="E3120" s="197"/>
      <c r="F3120" s="197"/>
      <c r="G3120" s="195"/>
      <c r="H3120" s="195"/>
      <c r="I3120" s="197"/>
      <c r="J3120" s="121"/>
      <c r="K3120" s="121"/>
      <c r="L3120" s="200"/>
      <c r="M3120" s="204"/>
      <c r="N3120" s="205"/>
      <c r="O3120" s="170"/>
      <c r="P3120" s="198"/>
      <c r="Q3120" s="199"/>
      <c r="R3120" s="200"/>
      <c r="S3120" s="170"/>
      <c r="T3120" s="170"/>
      <c r="U3120" s="201"/>
      <c r="V3120" s="198"/>
      <c r="W3120" s="170"/>
      <c r="X3120" s="202"/>
      <c r="Y3120" s="203"/>
      <c r="Z3120" s="170"/>
      <c r="AA3120" s="198"/>
      <c r="AB3120" s="170"/>
      <c r="AC3120" s="170"/>
      <c r="AD3120" s="121"/>
      <c r="AE3120" s="121"/>
      <c r="AF3120" s="121"/>
      <c r="AG3120" s="22"/>
      <c r="AH3120" s="22"/>
      <c r="AI3120" s="22"/>
      <c r="AJ3120" s="22"/>
      <c r="AK3120" s="22"/>
      <c r="AL3120" s="22"/>
      <c r="AM3120" s="22"/>
      <c r="AN3120" s="22"/>
      <c r="AO3120" s="22"/>
      <c r="AP3120" s="22"/>
    </row>
    <row r="3121">
      <c r="A3121" s="193"/>
      <c r="B3121" s="194"/>
      <c r="C3121" s="195"/>
      <c r="D3121" s="196"/>
      <c r="E3121" s="197"/>
      <c r="F3121" s="197"/>
      <c r="G3121" s="195"/>
      <c r="H3121" s="195"/>
      <c r="I3121" s="197"/>
      <c r="J3121" s="121"/>
      <c r="K3121" s="121"/>
      <c r="L3121" s="200"/>
      <c r="M3121" s="204"/>
      <c r="N3121" s="205"/>
      <c r="O3121" s="170"/>
      <c r="P3121" s="198"/>
      <c r="Q3121" s="199"/>
      <c r="R3121" s="200"/>
      <c r="S3121" s="170"/>
      <c r="T3121" s="170"/>
      <c r="U3121" s="201"/>
      <c r="V3121" s="198"/>
      <c r="W3121" s="170"/>
      <c r="X3121" s="202"/>
      <c r="Y3121" s="203"/>
      <c r="Z3121" s="170"/>
      <c r="AA3121" s="198"/>
      <c r="AB3121" s="170"/>
      <c r="AC3121" s="170"/>
      <c r="AD3121" s="121"/>
      <c r="AE3121" s="121"/>
      <c r="AF3121" s="121"/>
      <c r="AG3121" s="22"/>
      <c r="AH3121" s="22"/>
      <c r="AI3121" s="22"/>
      <c r="AJ3121" s="22"/>
      <c r="AK3121" s="22"/>
      <c r="AL3121" s="22"/>
      <c r="AM3121" s="22"/>
      <c r="AN3121" s="22"/>
      <c r="AO3121" s="22"/>
      <c r="AP3121" s="22"/>
    </row>
    <row r="3122">
      <c r="A3122" s="193"/>
      <c r="B3122" s="194"/>
      <c r="C3122" s="195"/>
      <c r="D3122" s="196"/>
      <c r="E3122" s="197"/>
      <c r="F3122" s="197"/>
      <c r="G3122" s="195"/>
      <c r="H3122" s="195"/>
      <c r="I3122" s="197"/>
      <c r="J3122" s="121"/>
      <c r="K3122" s="121"/>
      <c r="L3122" s="200"/>
      <c r="M3122" s="204"/>
      <c r="N3122" s="205"/>
      <c r="O3122" s="170"/>
      <c r="P3122" s="198"/>
      <c r="Q3122" s="199"/>
      <c r="R3122" s="200"/>
      <c r="S3122" s="170"/>
      <c r="T3122" s="170"/>
      <c r="U3122" s="201"/>
      <c r="V3122" s="198"/>
      <c r="W3122" s="170"/>
      <c r="X3122" s="202"/>
      <c r="Y3122" s="203"/>
      <c r="Z3122" s="170"/>
      <c r="AA3122" s="198"/>
      <c r="AB3122" s="170"/>
      <c r="AC3122" s="170"/>
      <c r="AD3122" s="121"/>
      <c r="AE3122" s="121"/>
      <c r="AF3122" s="121"/>
      <c r="AG3122" s="22"/>
      <c r="AH3122" s="22"/>
      <c r="AI3122" s="22"/>
      <c r="AJ3122" s="22"/>
      <c r="AK3122" s="22"/>
      <c r="AL3122" s="22"/>
      <c r="AM3122" s="22"/>
      <c r="AN3122" s="22"/>
      <c r="AO3122" s="22"/>
      <c r="AP3122" s="22"/>
    </row>
    <row r="3123">
      <c r="A3123" s="193"/>
      <c r="B3123" s="194"/>
      <c r="C3123" s="195"/>
      <c r="D3123" s="196"/>
      <c r="E3123" s="197"/>
      <c r="F3123" s="197"/>
      <c r="G3123" s="195"/>
      <c r="H3123" s="195"/>
      <c r="I3123" s="197"/>
      <c r="J3123" s="121"/>
      <c r="K3123" s="121"/>
      <c r="L3123" s="200"/>
      <c r="M3123" s="204"/>
      <c r="N3123" s="205"/>
      <c r="O3123" s="170"/>
      <c r="P3123" s="198"/>
      <c r="Q3123" s="199"/>
      <c r="R3123" s="200"/>
      <c r="S3123" s="170"/>
      <c r="T3123" s="170"/>
      <c r="U3123" s="201"/>
      <c r="V3123" s="198"/>
      <c r="W3123" s="170"/>
      <c r="X3123" s="202"/>
      <c r="Y3123" s="203"/>
      <c r="Z3123" s="170"/>
      <c r="AA3123" s="198"/>
      <c r="AB3123" s="170"/>
      <c r="AC3123" s="170"/>
      <c r="AD3123" s="121"/>
      <c r="AE3123" s="121"/>
      <c r="AF3123" s="121"/>
      <c r="AG3123" s="22"/>
      <c r="AH3123" s="22"/>
      <c r="AI3123" s="22"/>
      <c r="AJ3123" s="22"/>
      <c r="AK3123" s="22"/>
      <c r="AL3123" s="22"/>
      <c r="AM3123" s="22"/>
      <c r="AN3123" s="22"/>
      <c r="AO3123" s="22"/>
      <c r="AP3123" s="22"/>
    </row>
    <row r="3124">
      <c r="A3124" s="193"/>
      <c r="B3124" s="194"/>
      <c r="C3124" s="195"/>
      <c r="D3124" s="196"/>
      <c r="E3124" s="197"/>
      <c r="F3124" s="197"/>
      <c r="G3124" s="195"/>
      <c r="H3124" s="195"/>
      <c r="I3124" s="197"/>
      <c r="J3124" s="121"/>
      <c r="K3124" s="121"/>
      <c r="L3124" s="200"/>
      <c r="M3124" s="204"/>
      <c r="N3124" s="205"/>
      <c r="O3124" s="170"/>
      <c r="P3124" s="198"/>
      <c r="Q3124" s="199"/>
      <c r="R3124" s="200"/>
      <c r="S3124" s="170"/>
      <c r="T3124" s="170"/>
      <c r="U3124" s="201"/>
      <c r="V3124" s="198"/>
      <c r="W3124" s="170"/>
      <c r="X3124" s="202"/>
      <c r="Y3124" s="203"/>
      <c r="Z3124" s="170"/>
      <c r="AA3124" s="198"/>
      <c r="AB3124" s="170"/>
      <c r="AC3124" s="170"/>
      <c r="AD3124" s="121"/>
      <c r="AE3124" s="121"/>
      <c r="AF3124" s="121"/>
      <c r="AG3124" s="22"/>
      <c r="AH3124" s="22"/>
      <c r="AI3124" s="22"/>
      <c r="AJ3124" s="22"/>
      <c r="AK3124" s="22"/>
      <c r="AL3124" s="22"/>
      <c r="AM3124" s="22"/>
      <c r="AN3124" s="22"/>
      <c r="AO3124" s="22"/>
      <c r="AP3124" s="22"/>
    </row>
    <row r="3125">
      <c r="A3125" s="193"/>
      <c r="B3125" s="194"/>
      <c r="C3125" s="195"/>
      <c r="D3125" s="196"/>
      <c r="E3125" s="197"/>
      <c r="F3125" s="197"/>
      <c r="G3125" s="195"/>
      <c r="H3125" s="195"/>
      <c r="I3125" s="197"/>
      <c r="J3125" s="121"/>
      <c r="K3125" s="121"/>
      <c r="L3125" s="200"/>
      <c r="M3125" s="204"/>
      <c r="N3125" s="205"/>
      <c r="O3125" s="170"/>
      <c r="P3125" s="198"/>
      <c r="Q3125" s="199"/>
      <c r="R3125" s="200"/>
      <c r="S3125" s="170"/>
      <c r="T3125" s="170"/>
      <c r="U3125" s="201"/>
      <c r="V3125" s="198"/>
      <c r="W3125" s="170"/>
      <c r="X3125" s="202"/>
      <c r="Y3125" s="203"/>
      <c r="Z3125" s="170"/>
      <c r="AA3125" s="198"/>
      <c r="AB3125" s="170"/>
      <c r="AC3125" s="170"/>
      <c r="AD3125" s="121"/>
      <c r="AE3125" s="121"/>
      <c r="AF3125" s="121"/>
      <c r="AG3125" s="22"/>
      <c r="AH3125" s="22"/>
      <c r="AI3125" s="22"/>
      <c r="AJ3125" s="22"/>
      <c r="AK3125" s="22"/>
      <c r="AL3125" s="22"/>
      <c r="AM3125" s="22"/>
      <c r="AN3125" s="22"/>
      <c r="AO3125" s="22"/>
      <c r="AP3125" s="22"/>
    </row>
    <row r="3126">
      <c r="A3126" s="193"/>
      <c r="B3126" s="194"/>
      <c r="C3126" s="195"/>
      <c r="D3126" s="196"/>
      <c r="E3126" s="197"/>
      <c r="F3126" s="197"/>
      <c r="G3126" s="195"/>
      <c r="H3126" s="195"/>
      <c r="I3126" s="197"/>
      <c r="J3126" s="121"/>
      <c r="K3126" s="121"/>
      <c r="L3126" s="200"/>
      <c r="M3126" s="204"/>
      <c r="N3126" s="205"/>
      <c r="O3126" s="170"/>
      <c r="P3126" s="198"/>
      <c r="Q3126" s="199"/>
      <c r="R3126" s="200"/>
      <c r="S3126" s="170"/>
      <c r="T3126" s="170"/>
      <c r="U3126" s="201"/>
      <c r="V3126" s="198"/>
      <c r="W3126" s="170"/>
      <c r="X3126" s="202"/>
      <c r="Y3126" s="203"/>
      <c r="Z3126" s="170"/>
      <c r="AA3126" s="198"/>
      <c r="AB3126" s="170"/>
      <c r="AC3126" s="170"/>
      <c r="AD3126" s="121"/>
      <c r="AE3126" s="121"/>
      <c r="AF3126" s="121"/>
      <c r="AG3126" s="22"/>
      <c r="AH3126" s="22"/>
      <c r="AI3126" s="22"/>
      <c r="AJ3126" s="22"/>
      <c r="AK3126" s="22"/>
      <c r="AL3126" s="22"/>
      <c r="AM3126" s="22"/>
      <c r="AN3126" s="22"/>
      <c r="AO3126" s="22"/>
      <c r="AP3126" s="22"/>
    </row>
    <row r="3127">
      <c r="A3127" s="193"/>
      <c r="B3127" s="194"/>
      <c r="C3127" s="195"/>
      <c r="D3127" s="196"/>
      <c r="E3127" s="197"/>
      <c r="F3127" s="197"/>
      <c r="G3127" s="195"/>
      <c r="H3127" s="195"/>
      <c r="I3127" s="197"/>
      <c r="J3127" s="121"/>
      <c r="K3127" s="121"/>
      <c r="L3127" s="200"/>
      <c r="M3127" s="204"/>
      <c r="N3127" s="205"/>
      <c r="O3127" s="170"/>
      <c r="P3127" s="198"/>
      <c r="Q3127" s="199"/>
      <c r="R3127" s="200"/>
      <c r="S3127" s="170"/>
      <c r="T3127" s="170"/>
      <c r="U3127" s="201"/>
      <c r="V3127" s="198"/>
      <c r="W3127" s="170"/>
      <c r="X3127" s="202"/>
      <c r="Y3127" s="203"/>
      <c r="Z3127" s="170"/>
      <c r="AA3127" s="198"/>
      <c r="AB3127" s="170"/>
      <c r="AC3127" s="170"/>
      <c r="AD3127" s="121"/>
      <c r="AE3127" s="121"/>
      <c r="AF3127" s="121"/>
      <c r="AG3127" s="22"/>
      <c r="AH3127" s="22"/>
      <c r="AI3127" s="22"/>
      <c r="AJ3127" s="22"/>
      <c r="AK3127" s="22"/>
      <c r="AL3127" s="22"/>
      <c r="AM3127" s="22"/>
      <c r="AN3127" s="22"/>
      <c r="AO3127" s="22"/>
      <c r="AP3127" s="22"/>
    </row>
    <row r="3128">
      <c r="A3128" s="193"/>
      <c r="B3128" s="194"/>
      <c r="C3128" s="195"/>
      <c r="D3128" s="196"/>
      <c r="E3128" s="197"/>
      <c r="F3128" s="197"/>
      <c r="G3128" s="195"/>
      <c r="H3128" s="195"/>
      <c r="I3128" s="197"/>
      <c r="J3128" s="121"/>
      <c r="K3128" s="121"/>
      <c r="L3128" s="200"/>
      <c r="M3128" s="204"/>
      <c r="N3128" s="205"/>
      <c r="O3128" s="170"/>
      <c r="P3128" s="198"/>
      <c r="Q3128" s="199"/>
      <c r="R3128" s="200"/>
      <c r="S3128" s="170"/>
      <c r="T3128" s="170"/>
      <c r="U3128" s="201"/>
      <c r="V3128" s="198"/>
      <c r="W3128" s="170"/>
      <c r="X3128" s="202"/>
      <c r="Y3128" s="203"/>
      <c r="Z3128" s="170"/>
      <c r="AA3128" s="198"/>
      <c r="AB3128" s="170"/>
      <c r="AC3128" s="170"/>
      <c r="AD3128" s="121"/>
      <c r="AE3128" s="121"/>
      <c r="AF3128" s="121"/>
      <c r="AG3128" s="22"/>
      <c r="AH3128" s="22"/>
      <c r="AI3128" s="22"/>
      <c r="AJ3128" s="22"/>
      <c r="AK3128" s="22"/>
      <c r="AL3128" s="22"/>
      <c r="AM3128" s="22"/>
      <c r="AN3128" s="22"/>
      <c r="AO3128" s="22"/>
      <c r="AP3128" s="22"/>
    </row>
    <row r="3129">
      <c r="A3129" s="193"/>
      <c r="B3129" s="194"/>
      <c r="C3129" s="195"/>
      <c r="D3129" s="196"/>
      <c r="E3129" s="197"/>
      <c r="F3129" s="197"/>
      <c r="G3129" s="195"/>
      <c r="H3129" s="195"/>
      <c r="I3129" s="197"/>
      <c r="J3129" s="121"/>
      <c r="K3129" s="121"/>
      <c r="L3129" s="200"/>
      <c r="M3129" s="204"/>
      <c r="N3129" s="205"/>
      <c r="O3129" s="170"/>
      <c r="P3129" s="198"/>
      <c r="Q3129" s="199"/>
      <c r="R3129" s="200"/>
      <c r="S3129" s="170"/>
      <c r="T3129" s="170"/>
      <c r="U3129" s="201"/>
      <c r="V3129" s="198"/>
      <c r="W3129" s="170"/>
      <c r="X3129" s="202"/>
      <c r="Y3129" s="203"/>
      <c r="Z3129" s="170"/>
      <c r="AA3129" s="198"/>
      <c r="AB3129" s="170"/>
      <c r="AC3129" s="170"/>
      <c r="AD3129" s="121"/>
      <c r="AE3129" s="121"/>
      <c r="AF3129" s="121"/>
      <c r="AG3129" s="22"/>
      <c r="AH3129" s="22"/>
      <c r="AI3129" s="22"/>
      <c r="AJ3129" s="22"/>
      <c r="AK3129" s="22"/>
      <c r="AL3129" s="22"/>
      <c r="AM3129" s="22"/>
      <c r="AN3129" s="22"/>
      <c r="AO3129" s="22"/>
      <c r="AP3129" s="22"/>
    </row>
    <row r="3130">
      <c r="A3130" s="193"/>
      <c r="B3130" s="194"/>
      <c r="C3130" s="195"/>
      <c r="D3130" s="196"/>
      <c r="E3130" s="197"/>
      <c r="F3130" s="197"/>
      <c r="G3130" s="195"/>
      <c r="H3130" s="195"/>
      <c r="I3130" s="197"/>
      <c r="J3130" s="121"/>
      <c r="K3130" s="121"/>
      <c r="L3130" s="200"/>
      <c r="M3130" s="204"/>
      <c r="N3130" s="205"/>
      <c r="O3130" s="170"/>
      <c r="P3130" s="198"/>
      <c r="Q3130" s="199"/>
      <c r="R3130" s="200"/>
      <c r="S3130" s="170"/>
      <c r="T3130" s="170"/>
      <c r="U3130" s="201"/>
      <c r="V3130" s="198"/>
      <c r="W3130" s="170"/>
      <c r="X3130" s="202"/>
      <c r="Y3130" s="203"/>
      <c r="Z3130" s="170"/>
      <c r="AA3130" s="198"/>
      <c r="AB3130" s="170"/>
      <c r="AC3130" s="170"/>
      <c r="AD3130" s="121"/>
      <c r="AE3130" s="121"/>
      <c r="AF3130" s="121"/>
      <c r="AG3130" s="22"/>
      <c r="AH3130" s="22"/>
      <c r="AI3130" s="22"/>
      <c r="AJ3130" s="22"/>
      <c r="AK3130" s="22"/>
      <c r="AL3130" s="22"/>
      <c r="AM3130" s="22"/>
      <c r="AN3130" s="22"/>
      <c r="AO3130" s="22"/>
      <c r="AP3130" s="22"/>
    </row>
    <row r="3131">
      <c r="A3131" s="193"/>
      <c r="B3131" s="194"/>
      <c r="C3131" s="195"/>
      <c r="D3131" s="196"/>
      <c r="E3131" s="197"/>
      <c r="F3131" s="197"/>
      <c r="G3131" s="195"/>
      <c r="H3131" s="195"/>
      <c r="I3131" s="197"/>
      <c r="J3131" s="121"/>
      <c r="K3131" s="121"/>
      <c r="L3131" s="200"/>
      <c r="M3131" s="204"/>
      <c r="N3131" s="205"/>
      <c r="O3131" s="170"/>
      <c r="P3131" s="198"/>
      <c r="Q3131" s="199"/>
      <c r="R3131" s="200"/>
      <c r="S3131" s="170"/>
      <c r="T3131" s="170"/>
      <c r="U3131" s="201"/>
      <c r="V3131" s="198"/>
      <c r="W3131" s="170"/>
      <c r="X3131" s="202"/>
      <c r="Y3131" s="203"/>
      <c r="Z3131" s="170"/>
      <c r="AA3131" s="198"/>
      <c r="AB3131" s="170"/>
      <c r="AC3131" s="170"/>
      <c r="AD3131" s="121"/>
      <c r="AE3131" s="121"/>
      <c r="AF3131" s="121"/>
      <c r="AG3131" s="22"/>
      <c r="AH3131" s="22"/>
      <c r="AI3131" s="22"/>
      <c r="AJ3131" s="22"/>
      <c r="AK3131" s="22"/>
      <c r="AL3131" s="22"/>
      <c r="AM3131" s="22"/>
      <c r="AN3131" s="22"/>
      <c r="AO3131" s="22"/>
      <c r="AP3131" s="22"/>
    </row>
    <row r="3132">
      <c r="A3132" s="193"/>
      <c r="B3132" s="194"/>
      <c r="C3132" s="195"/>
      <c r="D3132" s="196"/>
      <c r="E3132" s="197"/>
      <c r="F3132" s="197"/>
      <c r="G3132" s="195"/>
      <c r="H3132" s="195"/>
      <c r="I3132" s="197"/>
      <c r="J3132" s="121"/>
      <c r="K3132" s="121"/>
      <c r="L3132" s="200"/>
      <c r="M3132" s="204"/>
      <c r="N3132" s="205"/>
      <c r="O3132" s="170"/>
      <c r="P3132" s="198"/>
      <c r="Q3132" s="199"/>
      <c r="R3132" s="200"/>
      <c r="S3132" s="170"/>
      <c r="T3132" s="170"/>
      <c r="U3132" s="201"/>
      <c r="V3132" s="198"/>
      <c r="W3132" s="170"/>
      <c r="X3132" s="202"/>
      <c r="Y3132" s="203"/>
      <c r="Z3132" s="170"/>
      <c r="AA3132" s="198"/>
      <c r="AB3132" s="170"/>
      <c r="AC3132" s="170"/>
      <c r="AD3132" s="121"/>
      <c r="AE3132" s="121"/>
      <c r="AF3132" s="121"/>
      <c r="AG3132" s="22"/>
      <c r="AH3132" s="22"/>
      <c r="AI3132" s="22"/>
      <c r="AJ3132" s="22"/>
      <c r="AK3132" s="22"/>
      <c r="AL3132" s="22"/>
      <c r="AM3132" s="22"/>
      <c r="AN3132" s="22"/>
      <c r="AO3132" s="22"/>
      <c r="AP3132" s="22"/>
    </row>
    <row r="3133">
      <c r="A3133" s="193"/>
      <c r="B3133" s="194"/>
      <c r="C3133" s="195"/>
      <c r="D3133" s="196"/>
      <c r="E3133" s="197"/>
      <c r="F3133" s="197"/>
      <c r="G3133" s="195"/>
      <c r="H3133" s="195"/>
      <c r="I3133" s="197"/>
      <c r="J3133" s="121"/>
      <c r="K3133" s="121"/>
      <c r="L3133" s="200"/>
      <c r="M3133" s="204"/>
      <c r="N3133" s="205"/>
      <c r="O3133" s="170"/>
      <c r="P3133" s="198"/>
      <c r="Q3133" s="199"/>
      <c r="R3133" s="200"/>
      <c r="S3133" s="170"/>
      <c r="T3133" s="170"/>
      <c r="U3133" s="201"/>
      <c r="V3133" s="198"/>
      <c r="W3133" s="170"/>
      <c r="X3133" s="202"/>
      <c r="Y3133" s="203"/>
      <c r="Z3133" s="170"/>
      <c r="AA3133" s="198"/>
      <c r="AB3133" s="170"/>
      <c r="AC3133" s="170"/>
      <c r="AD3133" s="121"/>
      <c r="AE3133" s="121"/>
      <c r="AF3133" s="121"/>
      <c r="AG3133" s="22"/>
      <c r="AH3133" s="22"/>
      <c r="AI3133" s="22"/>
      <c r="AJ3133" s="22"/>
      <c r="AK3133" s="22"/>
      <c r="AL3133" s="22"/>
      <c r="AM3133" s="22"/>
      <c r="AN3133" s="22"/>
      <c r="AO3133" s="22"/>
      <c r="AP3133" s="22"/>
    </row>
    <row r="3134">
      <c r="A3134" s="193"/>
      <c r="B3134" s="194"/>
      <c r="C3134" s="195"/>
      <c r="D3134" s="196"/>
      <c r="E3134" s="197"/>
      <c r="F3134" s="197"/>
      <c r="G3134" s="195"/>
      <c r="H3134" s="195"/>
      <c r="I3134" s="197"/>
      <c r="J3134" s="121"/>
      <c r="K3134" s="121"/>
      <c r="L3134" s="200"/>
      <c r="M3134" s="204"/>
      <c r="N3134" s="205"/>
      <c r="O3134" s="170"/>
      <c r="P3134" s="198"/>
      <c r="Q3134" s="199"/>
      <c r="R3134" s="200"/>
      <c r="S3134" s="170"/>
      <c r="T3134" s="170"/>
      <c r="U3134" s="201"/>
      <c r="V3134" s="198"/>
      <c r="W3134" s="170"/>
      <c r="X3134" s="202"/>
      <c r="Y3134" s="203"/>
      <c r="Z3134" s="170"/>
      <c r="AA3134" s="198"/>
      <c r="AB3134" s="170"/>
      <c r="AC3134" s="170"/>
      <c r="AD3134" s="121"/>
      <c r="AE3134" s="121"/>
      <c r="AF3134" s="121"/>
      <c r="AG3134" s="22"/>
      <c r="AH3134" s="22"/>
      <c r="AI3134" s="22"/>
      <c r="AJ3134" s="22"/>
      <c r="AK3134" s="22"/>
      <c r="AL3134" s="22"/>
      <c r="AM3134" s="22"/>
      <c r="AN3134" s="22"/>
      <c r="AO3134" s="22"/>
      <c r="AP3134" s="22"/>
    </row>
    <row r="3135">
      <c r="A3135" s="193"/>
      <c r="B3135" s="194"/>
      <c r="C3135" s="195"/>
      <c r="D3135" s="196"/>
      <c r="E3135" s="197"/>
      <c r="F3135" s="197"/>
      <c r="G3135" s="195"/>
      <c r="H3135" s="195"/>
      <c r="I3135" s="197"/>
      <c r="J3135" s="121"/>
      <c r="K3135" s="121"/>
      <c r="L3135" s="200"/>
      <c r="M3135" s="204"/>
      <c r="N3135" s="205"/>
      <c r="O3135" s="170"/>
      <c r="P3135" s="198"/>
      <c r="Q3135" s="199"/>
      <c r="R3135" s="200"/>
      <c r="S3135" s="170"/>
      <c r="T3135" s="170"/>
      <c r="U3135" s="201"/>
      <c r="V3135" s="198"/>
      <c r="W3135" s="170"/>
      <c r="X3135" s="202"/>
      <c r="Y3135" s="203"/>
      <c r="Z3135" s="170"/>
      <c r="AA3135" s="198"/>
      <c r="AB3135" s="170"/>
      <c r="AC3135" s="170"/>
      <c r="AD3135" s="121"/>
      <c r="AE3135" s="121"/>
      <c r="AF3135" s="121"/>
      <c r="AG3135" s="22"/>
      <c r="AH3135" s="22"/>
      <c r="AI3135" s="22"/>
      <c r="AJ3135" s="22"/>
      <c r="AK3135" s="22"/>
      <c r="AL3135" s="22"/>
      <c r="AM3135" s="22"/>
      <c r="AN3135" s="22"/>
      <c r="AO3135" s="22"/>
      <c r="AP3135" s="22"/>
    </row>
    <row r="3136">
      <c r="A3136" s="193"/>
      <c r="B3136" s="194"/>
      <c r="C3136" s="195"/>
      <c r="D3136" s="196"/>
      <c r="E3136" s="197"/>
      <c r="F3136" s="197"/>
      <c r="G3136" s="195"/>
      <c r="H3136" s="195"/>
      <c r="I3136" s="197"/>
      <c r="J3136" s="121"/>
      <c r="K3136" s="121"/>
      <c r="L3136" s="200"/>
      <c r="M3136" s="204"/>
      <c r="N3136" s="205"/>
      <c r="O3136" s="170"/>
      <c r="P3136" s="198"/>
      <c r="Q3136" s="199"/>
      <c r="R3136" s="200"/>
      <c r="S3136" s="170"/>
      <c r="T3136" s="170"/>
      <c r="U3136" s="201"/>
      <c r="V3136" s="198"/>
      <c r="W3136" s="170"/>
      <c r="X3136" s="202"/>
      <c r="Y3136" s="203"/>
      <c r="Z3136" s="170"/>
      <c r="AA3136" s="198"/>
      <c r="AB3136" s="170"/>
      <c r="AC3136" s="170"/>
      <c r="AD3136" s="121"/>
      <c r="AE3136" s="121"/>
      <c r="AF3136" s="121"/>
      <c r="AG3136" s="22"/>
      <c r="AH3136" s="22"/>
      <c r="AI3136" s="22"/>
      <c r="AJ3136" s="22"/>
      <c r="AK3136" s="22"/>
      <c r="AL3136" s="22"/>
      <c r="AM3136" s="22"/>
      <c r="AN3136" s="22"/>
      <c r="AO3136" s="22"/>
      <c r="AP3136" s="22"/>
    </row>
    <row r="3137">
      <c r="A3137" s="193"/>
      <c r="B3137" s="194"/>
      <c r="C3137" s="195"/>
      <c r="D3137" s="196"/>
      <c r="E3137" s="197"/>
      <c r="F3137" s="197"/>
      <c r="G3137" s="195"/>
      <c r="H3137" s="195"/>
      <c r="I3137" s="197"/>
      <c r="J3137" s="121"/>
      <c r="K3137" s="121"/>
      <c r="L3137" s="200"/>
      <c r="M3137" s="204"/>
      <c r="N3137" s="205"/>
      <c r="O3137" s="170"/>
      <c r="P3137" s="198"/>
      <c r="Q3137" s="199"/>
      <c r="R3137" s="200"/>
      <c r="S3137" s="170"/>
      <c r="T3137" s="170"/>
      <c r="U3137" s="201"/>
      <c r="V3137" s="198"/>
      <c r="W3137" s="170"/>
      <c r="X3137" s="202"/>
      <c r="Y3137" s="203"/>
      <c r="Z3137" s="170"/>
      <c r="AA3137" s="198"/>
      <c r="AB3137" s="170"/>
      <c r="AC3137" s="170"/>
      <c r="AD3137" s="121"/>
      <c r="AE3137" s="121"/>
      <c r="AF3137" s="121"/>
      <c r="AG3137" s="22"/>
      <c r="AH3137" s="22"/>
      <c r="AI3137" s="22"/>
      <c r="AJ3137" s="22"/>
      <c r="AK3137" s="22"/>
      <c r="AL3137" s="22"/>
      <c r="AM3137" s="22"/>
      <c r="AN3137" s="22"/>
      <c r="AO3137" s="22"/>
      <c r="AP3137" s="22"/>
    </row>
    <row r="3138">
      <c r="A3138" s="193"/>
      <c r="B3138" s="194"/>
      <c r="C3138" s="195"/>
      <c r="D3138" s="196"/>
      <c r="E3138" s="197"/>
      <c r="F3138" s="197"/>
      <c r="G3138" s="195"/>
      <c r="H3138" s="195"/>
      <c r="I3138" s="197"/>
      <c r="J3138" s="121"/>
      <c r="K3138" s="121"/>
      <c r="L3138" s="200"/>
      <c r="M3138" s="204"/>
      <c r="N3138" s="205"/>
      <c r="O3138" s="170"/>
      <c r="P3138" s="198"/>
      <c r="Q3138" s="199"/>
      <c r="R3138" s="200"/>
      <c r="S3138" s="170"/>
      <c r="T3138" s="170"/>
      <c r="U3138" s="201"/>
      <c r="V3138" s="198"/>
      <c r="W3138" s="170"/>
      <c r="X3138" s="202"/>
      <c r="Y3138" s="203"/>
      <c r="Z3138" s="170"/>
      <c r="AA3138" s="198"/>
      <c r="AB3138" s="170"/>
      <c r="AC3138" s="170"/>
      <c r="AD3138" s="121"/>
      <c r="AE3138" s="121"/>
      <c r="AF3138" s="121"/>
      <c r="AG3138" s="22"/>
      <c r="AH3138" s="22"/>
      <c r="AI3138" s="22"/>
      <c r="AJ3138" s="22"/>
      <c r="AK3138" s="22"/>
      <c r="AL3138" s="22"/>
      <c r="AM3138" s="22"/>
      <c r="AN3138" s="22"/>
      <c r="AO3138" s="22"/>
      <c r="AP3138" s="22"/>
    </row>
    <row r="3139">
      <c r="A3139" s="193"/>
      <c r="B3139" s="194"/>
      <c r="C3139" s="195"/>
      <c r="D3139" s="196"/>
      <c r="E3139" s="197"/>
      <c r="F3139" s="197"/>
      <c r="G3139" s="195"/>
      <c r="H3139" s="195"/>
      <c r="I3139" s="197"/>
      <c r="J3139" s="121"/>
      <c r="K3139" s="121"/>
      <c r="L3139" s="200"/>
      <c r="M3139" s="204"/>
      <c r="N3139" s="205"/>
      <c r="O3139" s="170"/>
      <c r="P3139" s="198"/>
      <c r="Q3139" s="199"/>
      <c r="R3139" s="200"/>
      <c r="S3139" s="170"/>
      <c r="T3139" s="170"/>
      <c r="U3139" s="201"/>
      <c r="V3139" s="198"/>
      <c r="W3139" s="170"/>
      <c r="X3139" s="202"/>
      <c r="Y3139" s="203"/>
      <c r="Z3139" s="170"/>
      <c r="AA3139" s="198"/>
      <c r="AB3139" s="170"/>
      <c r="AC3139" s="170"/>
      <c r="AD3139" s="121"/>
      <c r="AE3139" s="121"/>
      <c r="AF3139" s="121"/>
      <c r="AG3139" s="22"/>
      <c r="AH3139" s="22"/>
      <c r="AI3139" s="22"/>
      <c r="AJ3139" s="22"/>
      <c r="AK3139" s="22"/>
      <c r="AL3139" s="22"/>
      <c r="AM3139" s="22"/>
      <c r="AN3139" s="22"/>
      <c r="AO3139" s="22"/>
      <c r="AP3139" s="22"/>
    </row>
    <row r="3140">
      <c r="A3140" s="193"/>
      <c r="B3140" s="194"/>
      <c r="C3140" s="195"/>
      <c r="D3140" s="196"/>
      <c r="E3140" s="197"/>
      <c r="F3140" s="197"/>
      <c r="G3140" s="195"/>
      <c r="H3140" s="195"/>
      <c r="I3140" s="197"/>
      <c r="J3140" s="121"/>
      <c r="K3140" s="121"/>
      <c r="L3140" s="200"/>
      <c r="M3140" s="204"/>
      <c r="N3140" s="205"/>
      <c r="O3140" s="170"/>
      <c r="P3140" s="198"/>
      <c r="Q3140" s="199"/>
      <c r="R3140" s="200"/>
      <c r="S3140" s="170"/>
      <c r="T3140" s="170"/>
      <c r="U3140" s="201"/>
      <c r="V3140" s="198"/>
      <c r="W3140" s="170"/>
      <c r="X3140" s="202"/>
      <c r="Y3140" s="203"/>
      <c r="Z3140" s="170"/>
      <c r="AA3140" s="198"/>
      <c r="AB3140" s="170"/>
      <c r="AC3140" s="170"/>
      <c r="AD3140" s="121"/>
      <c r="AE3140" s="121"/>
      <c r="AF3140" s="121"/>
      <c r="AG3140" s="22"/>
      <c r="AH3140" s="22"/>
      <c r="AI3140" s="22"/>
      <c r="AJ3140" s="22"/>
      <c r="AK3140" s="22"/>
      <c r="AL3140" s="22"/>
      <c r="AM3140" s="22"/>
      <c r="AN3140" s="22"/>
      <c r="AO3140" s="22"/>
      <c r="AP3140" s="22"/>
    </row>
    <row r="3141">
      <c r="A3141" s="193"/>
      <c r="B3141" s="194"/>
      <c r="C3141" s="195"/>
      <c r="D3141" s="196"/>
      <c r="E3141" s="197"/>
      <c r="F3141" s="197"/>
      <c r="G3141" s="195"/>
      <c r="H3141" s="195"/>
      <c r="I3141" s="197"/>
      <c r="J3141" s="121"/>
      <c r="K3141" s="121"/>
      <c r="L3141" s="200"/>
      <c r="M3141" s="204"/>
      <c r="N3141" s="205"/>
      <c r="O3141" s="170"/>
      <c r="P3141" s="198"/>
      <c r="Q3141" s="199"/>
      <c r="R3141" s="200"/>
      <c r="S3141" s="170"/>
      <c r="T3141" s="170"/>
      <c r="U3141" s="201"/>
      <c r="V3141" s="198"/>
      <c r="W3141" s="170"/>
      <c r="X3141" s="202"/>
      <c r="Y3141" s="203"/>
      <c r="Z3141" s="170"/>
      <c r="AA3141" s="198"/>
      <c r="AB3141" s="170"/>
      <c r="AC3141" s="170"/>
      <c r="AD3141" s="121"/>
      <c r="AE3141" s="121"/>
      <c r="AF3141" s="121"/>
      <c r="AG3141" s="22"/>
      <c r="AH3141" s="22"/>
      <c r="AI3141" s="22"/>
      <c r="AJ3141" s="22"/>
      <c r="AK3141" s="22"/>
      <c r="AL3141" s="22"/>
      <c r="AM3141" s="22"/>
      <c r="AN3141" s="22"/>
      <c r="AO3141" s="22"/>
      <c r="AP3141" s="22"/>
    </row>
    <row r="3142">
      <c r="A3142" s="193"/>
      <c r="B3142" s="194"/>
      <c r="C3142" s="195"/>
      <c r="D3142" s="196"/>
      <c r="E3142" s="197"/>
      <c r="F3142" s="197"/>
      <c r="G3142" s="195"/>
      <c r="H3142" s="195"/>
      <c r="I3142" s="197"/>
      <c r="J3142" s="121"/>
      <c r="K3142" s="121"/>
      <c r="L3142" s="200"/>
      <c r="M3142" s="204"/>
      <c r="N3142" s="205"/>
      <c r="O3142" s="170"/>
      <c r="P3142" s="198"/>
      <c r="Q3142" s="199"/>
      <c r="R3142" s="200"/>
      <c r="S3142" s="170"/>
      <c r="T3142" s="170"/>
      <c r="U3142" s="201"/>
      <c r="V3142" s="198"/>
      <c r="W3142" s="170"/>
      <c r="X3142" s="202"/>
      <c r="Y3142" s="203"/>
      <c r="Z3142" s="170"/>
      <c r="AA3142" s="198"/>
      <c r="AB3142" s="170"/>
      <c r="AC3142" s="170"/>
      <c r="AD3142" s="121"/>
      <c r="AE3142" s="121"/>
      <c r="AF3142" s="121"/>
      <c r="AG3142" s="22"/>
      <c r="AH3142" s="22"/>
      <c r="AI3142" s="22"/>
      <c r="AJ3142" s="22"/>
      <c r="AK3142" s="22"/>
      <c r="AL3142" s="22"/>
      <c r="AM3142" s="22"/>
      <c r="AN3142" s="22"/>
      <c r="AO3142" s="22"/>
      <c r="AP3142" s="22"/>
    </row>
    <row r="3143">
      <c r="A3143" s="193"/>
      <c r="B3143" s="194"/>
      <c r="C3143" s="195"/>
      <c r="D3143" s="196"/>
      <c r="E3143" s="197"/>
      <c r="F3143" s="197"/>
      <c r="G3143" s="195"/>
      <c r="H3143" s="195"/>
      <c r="I3143" s="197"/>
      <c r="J3143" s="121"/>
      <c r="K3143" s="121"/>
      <c r="L3143" s="200"/>
      <c r="M3143" s="204"/>
      <c r="N3143" s="205"/>
      <c r="O3143" s="170"/>
      <c r="P3143" s="198"/>
      <c r="Q3143" s="199"/>
      <c r="R3143" s="200"/>
      <c r="S3143" s="170"/>
      <c r="T3143" s="170"/>
      <c r="U3143" s="201"/>
      <c r="V3143" s="198"/>
      <c r="W3143" s="170"/>
      <c r="X3143" s="202"/>
      <c r="Y3143" s="203"/>
      <c r="Z3143" s="170"/>
      <c r="AA3143" s="198"/>
      <c r="AB3143" s="170"/>
      <c r="AC3143" s="170"/>
      <c r="AD3143" s="121"/>
      <c r="AE3143" s="121"/>
      <c r="AF3143" s="121"/>
      <c r="AG3143" s="22"/>
      <c r="AH3143" s="22"/>
      <c r="AI3143" s="22"/>
      <c r="AJ3143" s="22"/>
      <c r="AK3143" s="22"/>
      <c r="AL3143" s="22"/>
      <c r="AM3143" s="22"/>
      <c r="AN3143" s="22"/>
      <c r="AO3143" s="22"/>
      <c r="AP3143" s="22"/>
    </row>
    <row r="3144">
      <c r="A3144" s="193"/>
      <c r="B3144" s="194"/>
      <c r="C3144" s="195"/>
      <c r="D3144" s="196"/>
      <c r="E3144" s="197"/>
      <c r="F3144" s="197"/>
      <c r="G3144" s="195"/>
      <c r="H3144" s="195"/>
      <c r="I3144" s="197"/>
      <c r="J3144" s="121"/>
      <c r="K3144" s="121"/>
      <c r="L3144" s="200"/>
      <c r="M3144" s="204"/>
      <c r="N3144" s="205"/>
      <c r="O3144" s="170"/>
      <c r="P3144" s="198"/>
      <c r="Q3144" s="199"/>
      <c r="R3144" s="200"/>
      <c r="S3144" s="170"/>
      <c r="T3144" s="170"/>
      <c r="U3144" s="201"/>
      <c r="V3144" s="198"/>
      <c r="W3144" s="170"/>
      <c r="X3144" s="202"/>
      <c r="Y3144" s="203"/>
      <c r="Z3144" s="170"/>
      <c r="AA3144" s="198"/>
      <c r="AB3144" s="170"/>
      <c r="AC3144" s="170"/>
      <c r="AD3144" s="121"/>
      <c r="AE3144" s="121"/>
      <c r="AF3144" s="121"/>
      <c r="AG3144" s="22"/>
      <c r="AH3144" s="22"/>
      <c r="AI3144" s="22"/>
      <c r="AJ3144" s="22"/>
      <c r="AK3144" s="22"/>
      <c r="AL3144" s="22"/>
      <c r="AM3144" s="22"/>
      <c r="AN3144" s="22"/>
      <c r="AO3144" s="22"/>
      <c r="AP3144" s="22"/>
    </row>
    <row r="3145">
      <c r="A3145" s="193"/>
      <c r="B3145" s="194"/>
      <c r="C3145" s="195"/>
      <c r="D3145" s="196"/>
      <c r="E3145" s="197"/>
      <c r="F3145" s="197"/>
      <c r="G3145" s="195"/>
      <c r="H3145" s="195"/>
      <c r="I3145" s="197"/>
      <c r="J3145" s="121"/>
      <c r="K3145" s="121"/>
      <c r="L3145" s="200"/>
      <c r="M3145" s="204"/>
      <c r="N3145" s="205"/>
      <c r="O3145" s="170"/>
      <c r="P3145" s="198"/>
      <c r="Q3145" s="199"/>
      <c r="R3145" s="200"/>
      <c r="S3145" s="170"/>
      <c r="T3145" s="170"/>
      <c r="U3145" s="201"/>
      <c r="V3145" s="198"/>
      <c r="W3145" s="170"/>
      <c r="X3145" s="202"/>
      <c r="Y3145" s="203"/>
      <c r="Z3145" s="170"/>
      <c r="AA3145" s="198"/>
      <c r="AB3145" s="170"/>
      <c r="AC3145" s="170"/>
      <c r="AD3145" s="121"/>
      <c r="AE3145" s="121"/>
      <c r="AF3145" s="121"/>
      <c r="AG3145" s="22"/>
      <c r="AH3145" s="22"/>
      <c r="AI3145" s="22"/>
      <c r="AJ3145" s="22"/>
      <c r="AK3145" s="22"/>
      <c r="AL3145" s="22"/>
      <c r="AM3145" s="22"/>
      <c r="AN3145" s="22"/>
      <c r="AO3145" s="22"/>
      <c r="AP3145" s="22"/>
    </row>
    <row r="3146">
      <c r="A3146" s="193"/>
      <c r="B3146" s="194"/>
      <c r="C3146" s="195"/>
      <c r="D3146" s="196"/>
      <c r="E3146" s="197"/>
      <c r="F3146" s="197"/>
      <c r="G3146" s="195"/>
      <c r="H3146" s="195"/>
      <c r="I3146" s="197"/>
      <c r="J3146" s="121"/>
      <c r="K3146" s="121"/>
      <c r="L3146" s="200"/>
      <c r="M3146" s="204"/>
      <c r="N3146" s="205"/>
      <c r="O3146" s="170"/>
      <c r="P3146" s="198"/>
      <c r="Q3146" s="199"/>
      <c r="R3146" s="200"/>
      <c r="S3146" s="170"/>
      <c r="T3146" s="170"/>
      <c r="U3146" s="201"/>
      <c r="V3146" s="198"/>
      <c r="W3146" s="170"/>
      <c r="X3146" s="202"/>
      <c r="Y3146" s="203"/>
      <c r="Z3146" s="170"/>
      <c r="AA3146" s="198"/>
      <c r="AB3146" s="170"/>
      <c r="AC3146" s="170"/>
      <c r="AD3146" s="121"/>
      <c r="AE3146" s="121"/>
      <c r="AF3146" s="121"/>
      <c r="AG3146" s="22"/>
      <c r="AH3146" s="22"/>
      <c r="AI3146" s="22"/>
      <c r="AJ3146" s="22"/>
      <c r="AK3146" s="22"/>
      <c r="AL3146" s="22"/>
      <c r="AM3146" s="22"/>
      <c r="AN3146" s="22"/>
      <c r="AO3146" s="22"/>
      <c r="AP3146" s="22"/>
    </row>
    <row r="3147">
      <c r="A3147" s="193"/>
      <c r="B3147" s="194"/>
      <c r="C3147" s="195"/>
      <c r="D3147" s="196"/>
      <c r="E3147" s="197"/>
      <c r="F3147" s="197"/>
      <c r="G3147" s="195"/>
      <c r="H3147" s="195"/>
      <c r="I3147" s="197"/>
      <c r="J3147" s="121"/>
      <c r="K3147" s="121"/>
      <c r="L3147" s="200"/>
      <c r="M3147" s="204"/>
      <c r="N3147" s="205"/>
      <c r="O3147" s="170"/>
      <c r="P3147" s="198"/>
      <c r="Q3147" s="199"/>
      <c r="R3147" s="200"/>
      <c r="S3147" s="170"/>
      <c r="T3147" s="170"/>
      <c r="U3147" s="201"/>
      <c r="V3147" s="198"/>
      <c r="W3147" s="170"/>
      <c r="X3147" s="202"/>
      <c r="Y3147" s="203"/>
      <c r="Z3147" s="170"/>
      <c r="AA3147" s="198"/>
      <c r="AB3147" s="170"/>
      <c r="AC3147" s="170"/>
      <c r="AD3147" s="121"/>
      <c r="AE3147" s="121"/>
      <c r="AF3147" s="121"/>
      <c r="AG3147" s="22"/>
      <c r="AH3147" s="22"/>
      <c r="AI3147" s="22"/>
      <c r="AJ3147" s="22"/>
      <c r="AK3147" s="22"/>
      <c r="AL3147" s="22"/>
      <c r="AM3147" s="22"/>
      <c r="AN3147" s="22"/>
      <c r="AO3147" s="22"/>
      <c r="AP3147" s="22"/>
    </row>
    <row r="3148">
      <c r="A3148" s="193"/>
      <c r="B3148" s="194"/>
      <c r="C3148" s="195"/>
      <c r="D3148" s="196"/>
      <c r="E3148" s="197"/>
      <c r="F3148" s="197"/>
      <c r="G3148" s="195"/>
      <c r="H3148" s="195"/>
      <c r="I3148" s="197"/>
      <c r="J3148" s="121"/>
      <c r="K3148" s="121"/>
      <c r="L3148" s="200"/>
      <c r="M3148" s="204"/>
      <c r="N3148" s="205"/>
      <c r="O3148" s="170"/>
      <c r="P3148" s="198"/>
      <c r="Q3148" s="199"/>
      <c r="R3148" s="200"/>
      <c r="S3148" s="170"/>
      <c r="T3148" s="170"/>
      <c r="U3148" s="201"/>
      <c r="V3148" s="198"/>
      <c r="W3148" s="170"/>
      <c r="X3148" s="202"/>
      <c r="Y3148" s="203"/>
      <c r="Z3148" s="170"/>
      <c r="AA3148" s="198"/>
      <c r="AB3148" s="170"/>
      <c r="AC3148" s="170"/>
      <c r="AD3148" s="121"/>
      <c r="AE3148" s="121"/>
      <c r="AF3148" s="121"/>
      <c r="AG3148" s="22"/>
      <c r="AH3148" s="22"/>
      <c r="AI3148" s="22"/>
      <c r="AJ3148" s="22"/>
      <c r="AK3148" s="22"/>
      <c r="AL3148" s="22"/>
      <c r="AM3148" s="22"/>
      <c r="AN3148" s="22"/>
      <c r="AO3148" s="22"/>
      <c r="AP3148" s="22"/>
    </row>
    <row r="3149">
      <c r="A3149" s="193"/>
      <c r="B3149" s="194"/>
      <c r="C3149" s="195"/>
      <c r="D3149" s="196"/>
      <c r="E3149" s="197"/>
      <c r="F3149" s="197"/>
      <c r="G3149" s="195"/>
      <c r="H3149" s="195"/>
      <c r="I3149" s="197"/>
      <c r="J3149" s="121"/>
      <c r="K3149" s="121"/>
      <c r="L3149" s="200"/>
      <c r="M3149" s="204"/>
      <c r="N3149" s="205"/>
      <c r="O3149" s="170"/>
      <c r="P3149" s="198"/>
      <c r="Q3149" s="199"/>
      <c r="R3149" s="200"/>
      <c r="S3149" s="170"/>
      <c r="T3149" s="170"/>
      <c r="U3149" s="201"/>
      <c r="V3149" s="198"/>
      <c r="W3149" s="170"/>
      <c r="X3149" s="202"/>
      <c r="Y3149" s="203"/>
      <c r="Z3149" s="170"/>
      <c r="AA3149" s="198"/>
      <c r="AB3149" s="170"/>
      <c r="AC3149" s="170"/>
      <c r="AD3149" s="121"/>
      <c r="AE3149" s="121"/>
      <c r="AF3149" s="121"/>
      <c r="AG3149" s="22"/>
      <c r="AH3149" s="22"/>
      <c r="AI3149" s="22"/>
      <c r="AJ3149" s="22"/>
      <c r="AK3149" s="22"/>
      <c r="AL3149" s="22"/>
      <c r="AM3149" s="22"/>
      <c r="AN3149" s="22"/>
      <c r="AO3149" s="22"/>
      <c r="AP3149" s="22"/>
    </row>
    <row r="3150">
      <c r="A3150" s="193"/>
      <c r="B3150" s="194"/>
      <c r="C3150" s="195"/>
      <c r="D3150" s="196"/>
      <c r="E3150" s="197"/>
      <c r="F3150" s="197"/>
      <c r="G3150" s="195"/>
      <c r="H3150" s="195"/>
      <c r="I3150" s="197"/>
      <c r="J3150" s="121"/>
      <c r="K3150" s="121"/>
      <c r="L3150" s="200"/>
      <c r="M3150" s="204"/>
      <c r="N3150" s="205"/>
      <c r="O3150" s="170"/>
      <c r="P3150" s="198"/>
      <c r="Q3150" s="199"/>
      <c r="R3150" s="200"/>
      <c r="S3150" s="170"/>
      <c r="T3150" s="170"/>
      <c r="U3150" s="201"/>
      <c r="V3150" s="198"/>
      <c r="W3150" s="170"/>
      <c r="X3150" s="202"/>
      <c r="Y3150" s="203"/>
      <c r="Z3150" s="170"/>
      <c r="AA3150" s="198"/>
      <c r="AB3150" s="170"/>
      <c r="AC3150" s="170"/>
      <c r="AD3150" s="121"/>
      <c r="AE3150" s="121"/>
      <c r="AF3150" s="121"/>
      <c r="AG3150" s="22"/>
      <c r="AH3150" s="22"/>
      <c r="AI3150" s="22"/>
      <c r="AJ3150" s="22"/>
      <c r="AK3150" s="22"/>
      <c r="AL3150" s="22"/>
      <c r="AM3150" s="22"/>
      <c r="AN3150" s="22"/>
      <c r="AO3150" s="22"/>
      <c r="AP3150" s="22"/>
    </row>
    <row r="3151">
      <c r="A3151" s="193"/>
      <c r="B3151" s="194"/>
      <c r="C3151" s="195"/>
      <c r="D3151" s="196"/>
      <c r="E3151" s="197"/>
      <c r="F3151" s="197"/>
      <c r="G3151" s="195"/>
      <c r="H3151" s="195"/>
      <c r="I3151" s="197"/>
      <c r="J3151" s="121"/>
      <c r="K3151" s="121"/>
      <c r="L3151" s="200"/>
      <c r="M3151" s="204"/>
      <c r="N3151" s="205"/>
      <c r="O3151" s="170"/>
      <c r="P3151" s="198"/>
      <c r="Q3151" s="199"/>
      <c r="R3151" s="200"/>
      <c r="S3151" s="170"/>
      <c r="T3151" s="170"/>
      <c r="U3151" s="201"/>
      <c r="V3151" s="198"/>
      <c r="W3151" s="170"/>
      <c r="X3151" s="202"/>
      <c r="Y3151" s="203"/>
      <c r="Z3151" s="170"/>
      <c r="AA3151" s="198"/>
      <c r="AB3151" s="170"/>
      <c r="AC3151" s="170"/>
      <c r="AD3151" s="121"/>
      <c r="AE3151" s="121"/>
      <c r="AF3151" s="121"/>
      <c r="AG3151" s="22"/>
      <c r="AH3151" s="22"/>
      <c r="AI3151" s="22"/>
      <c r="AJ3151" s="22"/>
      <c r="AK3151" s="22"/>
      <c r="AL3151" s="22"/>
      <c r="AM3151" s="22"/>
      <c r="AN3151" s="22"/>
      <c r="AO3151" s="22"/>
      <c r="AP3151" s="22"/>
    </row>
    <row r="3152">
      <c r="A3152" s="193"/>
      <c r="B3152" s="194"/>
      <c r="C3152" s="195"/>
      <c r="D3152" s="196"/>
      <c r="E3152" s="197"/>
      <c r="F3152" s="197"/>
      <c r="G3152" s="195"/>
      <c r="H3152" s="195"/>
      <c r="I3152" s="197"/>
      <c r="J3152" s="121"/>
      <c r="K3152" s="121"/>
      <c r="L3152" s="200"/>
      <c r="M3152" s="204"/>
      <c r="N3152" s="205"/>
      <c r="O3152" s="170"/>
      <c r="P3152" s="198"/>
      <c r="Q3152" s="199"/>
      <c r="R3152" s="200"/>
      <c r="S3152" s="170"/>
      <c r="T3152" s="170"/>
      <c r="U3152" s="201"/>
      <c r="V3152" s="198"/>
      <c r="W3152" s="170"/>
      <c r="X3152" s="202"/>
      <c r="Y3152" s="203"/>
      <c r="Z3152" s="170"/>
      <c r="AA3152" s="198"/>
      <c r="AB3152" s="170"/>
      <c r="AC3152" s="170"/>
      <c r="AD3152" s="121"/>
      <c r="AE3152" s="121"/>
      <c r="AF3152" s="121"/>
      <c r="AG3152" s="22"/>
      <c r="AH3152" s="22"/>
      <c r="AI3152" s="22"/>
      <c r="AJ3152" s="22"/>
      <c r="AK3152" s="22"/>
      <c r="AL3152" s="22"/>
      <c r="AM3152" s="22"/>
      <c r="AN3152" s="22"/>
      <c r="AO3152" s="22"/>
      <c r="AP3152" s="22"/>
    </row>
    <row r="3153">
      <c r="A3153" s="193"/>
      <c r="B3153" s="194"/>
      <c r="C3153" s="195"/>
      <c r="D3153" s="196"/>
      <c r="E3153" s="197"/>
      <c r="F3153" s="197"/>
      <c r="G3153" s="195"/>
      <c r="H3153" s="195"/>
      <c r="I3153" s="197"/>
      <c r="J3153" s="121"/>
      <c r="K3153" s="121"/>
      <c r="L3153" s="200"/>
      <c r="M3153" s="204"/>
      <c r="N3153" s="205"/>
      <c r="O3153" s="170"/>
      <c r="P3153" s="198"/>
      <c r="Q3153" s="199"/>
      <c r="R3153" s="200"/>
      <c r="S3153" s="170"/>
      <c r="T3153" s="170"/>
      <c r="U3153" s="201"/>
      <c r="V3153" s="198"/>
      <c r="W3153" s="170"/>
      <c r="X3153" s="202"/>
      <c r="Y3153" s="203"/>
      <c r="Z3153" s="170"/>
      <c r="AA3153" s="198"/>
      <c r="AB3153" s="170"/>
      <c r="AC3153" s="170"/>
      <c r="AD3153" s="121"/>
      <c r="AE3153" s="121"/>
      <c r="AF3153" s="121"/>
      <c r="AG3153" s="22"/>
      <c r="AH3153" s="22"/>
      <c r="AI3153" s="22"/>
      <c r="AJ3153" s="22"/>
      <c r="AK3153" s="22"/>
      <c r="AL3153" s="22"/>
      <c r="AM3153" s="22"/>
      <c r="AN3153" s="22"/>
      <c r="AO3153" s="22"/>
      <c r="AP3153" s="22"/>
    </row>
    <row r="3154">
      <c r="A3154" s="193"/>
      <c r="B3154" s="194"/>
      <c r="C3154" s="195"/>
      <c r="D3154" s="196"/>
      <c r="E3154" s="197"/>
      <c r="F3154" s="197"/>
      <c r="G3154" s="195"/>
      <c r="H3154" s="195"/>
      <c r="I3154" s="197"/>
      <c r="J3154" s="121"/>
      <c r="K3154" s="121"/>
      <c r="L3154" s="200"/>
      <c r="M3154" s="204"/>
      <c r="N3154" s="205"/>
      <c r="O3154" s="170"/>
      <c r="P3154" s="198"/>
      <c r="Q3154" s="199"/>
      <c r="R3154" s="200"/>
      <c r="S3154" s="170"/>
      <c r="T3154" s="170"/>
      <c r="U3154" s="201"/>
      <c r="V3154" s="198"/>
      <c r="W3154" s="170"/>
      <c r="X3154" s="202"/>
      <c r="Y3154" s="203"/>
      <c r="Z3154" s="170"/>
      <c r="AA3154" s="198"/>
      <c r="AB3154" s="170"/>
      <c r="AC3154" s="170"/>
      <c r="AD3154" s="121"/>
      <c r="AE3154" s="121"/>
      <c r="AF3154" s="121"/>
      <c r="AG3154" s="22"/>
      <c r="AH3154" s="22"/>
      <c r="AI3154" s="22"/>
      <c r="AJ3154" s="22"/>
      <c r="AK3154" s="22"/>
      <c r="AL3154" s="22"/>
      <c r="AM3154" s="22"/>
      <c r="AN3154" s="22"/>
      <c r="AO3154" s="22"/>
      <c r="AP3154" s="22"/>
    </row>
    <row r="3155">
      <c r="A3155" s="193"/>
      <c r="B3155" s="194"/>
      <c r="C3155" s="195"/>
      <c r="D3155" s="196"/>
      <c r="E3155" s="197"/>
      <c r="F3155" s="197"/>
      <c r="G3155" s="195"/>
      <c r="H3155" s="195"/>
      <c r="I3155" s="197"/>
      <c r="J3155" s="121"/>
      <c r="K3155" s="121"/>
      <c r="L3155" s="200"/>
      <c r="M3155" s="204"/>
      <c r="N3155" s="205"/>
      <c r="O3155" s="170"/>
      <c r="P3155" s="198"/>
      <c r="Q3155" s="199"/>
      <c r="R3155" s="200"/>
      <c r="S3155" s="170"/>
      <c r="T3155" s="170"/>
      <c r="U3155" s="201"/>
      <c r="V3155" s="198"/>
      <c r="W3155" s="170"/>
      <c r="X3155" s="202"/>
      <c r="Y3155" s="203"/>
      <c r="Z3155" s="170"/>
      <c r="AA3155" s="198"/>
      <c r="AB3155" s="170"/>
      <c r="AC3155" s="170"/>
      <c r="AD3155" s="121"/>
      <c r="AE3155" s="121"/>
      <c r="AF3155" s="121"/>
      <c r="AG3155" s="22"/>
      <c r="AH3155" s="22"/>
      <c r="AI3155" s="22"/>
      <c r="AJ3155" s="22"/>
      <c r="AK3155" s="22"/>
      <c r="AL3155" s="22"/>
      <c r="AM3155" s="22"/>
      <c r="AN3155" s="22"/>
      <c r="AO3155" s="22"/>
      <c r="AP3155" s="22"/>
    </row>
    <row r="3156">
      <c r="A3156" s="193"/>
      <c r="B3156" s="194"/>
      <c r="C3156" s="195"/>
      <c r="D3156" s="196"/>
      <c r="E3156" s="197"/>
      <c r="F3156" s="197"/>
      <c r="G3156" s="195"/>
      <c r="H3156" s="195"/>
      <c r="I3156" s="197"/>
      <c r="J3156" s="121"/>
      <c r="K3156" s="121"/>
      <c r="L3156" s="200"/>
      <c r="M3156" s="204"/>
      <c r="N3156" s="205"/>
      <c r="O3156" s="170"/>
      <c r="P3156" s="198"/>
      <c r="Q3156" s="199"/>
      <c r="R3156" s="200"/>
      <c r="S3156" s="170"/>
      <c r="T3156" s="170"/>
      <c r="U3156" s="201"/>
      <c r="V3156" s="198"/>
      <c r="W3156" s="170"/>
      <c r="X3156" s="202"/>
      <c r="Y3156" s="203"/>
      <c r="Z3156" s="170"/>
      <c r="AA3156" s="198"/>
      <c r="AB3156" s="170"/>
      <c r="AC3156" s="170"/>
      <c r="AD3156" s="121"/>
      <c r="AE3156" s="121"/>
      <c r="AF3156" s="121"/>
      <c r="AG3156" s="22"/>
      <c r="AH3156" s="22"/>
      <c r="AI3156" s="22"/>
      <c r="AJ3156" s="22"/>
      <c r="AK3156" s="22"/>
      <c r="AL3156" s="22"/>
      <c r="AM3156" s="22"/>
      <c r="AN3156" s="22"/>
      <c r="AO3156" s="22"/>
      <c r="AP3156" s="22"/>
    </row>
    <row r="3157">
      <c r="A3157" s="193"/>
      <c r="B3157" s="194"/>
      <c r="C3157" s="195"/>
      <c r="D3157" s="196"/>
      <c r="E3157" s="197"/>
      <c r="F3157" s="197"/>
      <c r="G3157" s="195"/>
      <c r="H3157" s="195"/>
      <c r="I3157" s="197"/>
      <c r="J3157" s="121"/>
      <c r="K3157" s="121"/>
      <c r="L3157" s="200"/>
      <c r="M3157" s="204"/>
      <c r="N3157" s="205"/>
      <c r="O3157" s="170"/>
      <c r="P3157" s="198"/>
      <c r="Q3157" s="199"/>
      <c r="R3157" s="200"/>
      <c r="S3157" s="170"/>
      <c r="T3157" s="170"/>
      <c r="U3157" s="201"/>
      <c r="V3157" s="198"/>
      <c r="W3157" s="170"/>
      <c r="X3157" s="202"/>
      <c r="Y3157" s="203"/>
      <c r="Z3157" s="170"/>
      <c r="AA3157" s="198"/>
      <c r="AB3157" s="170"/>
      <c r="AC3157" s="170"/>
      <c r="AD3157" s="121"/>
      <c r="AE3157" s="121"/>
      <c r="AF3157" s="121"/>
      <c r="AG3157" s="22"/>
      <c r="AH3157" s="22"/>
      <c r="AI3157" s="22"/>
      <c r="AJ3157" s="22"/>
      <c r="AK3157" s="22"/>
      <c r="AL3157" s="22"/>
      <c r="AM3157" s="22"/>
      <c r="AN3157" s="22"/>
      <c r="AO3157" s="22"/>
      <c r="AP3157" s="22"/>
    </row>
    <row r="3158">
      <c r="A3158" s="193"/>
      <c r="B3158" s="194"/>
      <c r="C3158" s="195"/>
      <c r="D3158" s="196"/>
      <c r="E3158" s="197"/>
      <c r="F3158" s="197"/>
      <c r="G3158" s="195"/>
      <c r="H3158" s="195"/>
      <c r="I3158" s="197"/>
      <c r="J3158" s="121"/>
      <c r="K3158" s="121"/>
      <c r="L3158" s="200"/>
      <c r="M3158" s="204"/>
      <c r="N3158" s="205"/>
      <c r="O3158" s="170"/>
      <c r="P3158" s="198"/>
      <c r="Q3158" s="199"/>
      <c r="R3158" s="200"/>
      <c r="S3158" s="170"/>
      <c r="T3158" s="170"/>
      <c r="U3158" s="201"/>
      <c r="V3158" s="198"/>
      <c r="W3158" s="170"/>
      <c r="X3158" s="202"/>
      <c r="Y3158" s="203"/>
      <c r="Z3158" s="170"/>
      <c r="AA3158" s="198"/>
      <c r="AB3158" s="170"/>
      <c r="AC3158" s="170"/>
      <c r="AD3158" s="121"/>
      <c r="AE3158" s="121"/>
      <c r="AF3158" s="121"/>
      <c r="AG3158" s="22"/>
      <c r="AH3158" s="22"/>
      <c r="AI3158" s="22"/>
      <c r="AJ3158" s="22"/>
      <c r="AK3158" s="22"/>
      <c r="AL3158" s="22"/>
      <c r="AM3158" s="22"/>
      <c r="AN3158" s="22"/>
      <c r="AO3158" s="22"/>
      <c r="AP3158" s="22"/>
    </row>
    <row r="3159">
      <c r="A3159" s="193"/>
      <c r="B3159" s="194"/>
      <c r="C3159" s="195"/>
      <c r="D3159" s="196"/>
      <c r="E3159" s="197"/>
      <c r="F3159" s="197"/>
      <c r="G3159" s="195"/>
      <c r="H3159" s="195"/>
      <c r="I3159" s="197"/>
      <c r="J3159" s="121"/>
      <c r="K3159" s="121"/>
      <c r="L3159" s="200"/>
      <c r="M3159" s="204"/>
      <c r="N3159" s="205"/>
      <c r="O3159" s="170"/>
      <c r="P3159" s="198"/>
      <c r="Q3159" s="199"/>
      <c r="R3159" s="200"/>
      <c r="S3159" s="170"/>
      <c r="T3159" s="170"/>
      <c r="U3159" s="201"/>
      <c r="V3159" s="198"/>
      <c r="W3159" s="170"/>
      <c r="X3159" s="202"/>
      <c r="Y3159" s="203"/>
      <c r="Z3159" s="170"/>
      <c r="AA3159" s="198"/>
      <c r="AB3159" s="170"/>
      <c r="AC3159" s="170"/>
      <c r="AD3159" s="121"/>
      <c r="AE3159" s="121"/>
      <c r="AF3159" s="121"/>
      <c r="AG3159" s="22"/>
      <c r="AH3159" s="22"/>
      <c r="AI3159" s="22"/>
      <c r="AJ3159" s="22"/>
      <c r="AK3159" s="22"/>
      <c r="AL3159" s="22"/>
      <c r="AM3159" s="22"/>
      <c r="AN3159" s="22"/>
      <c r="AO3159" s="22"/>
      <c r="AP3159" s="22"/>
    </row>
    <row r="3160">
      <c r="A3160" s="193"/>
      <c r="B3160" s="194"/>
      <c r="C3160" s="195"/>
      <c r="D3160" s="196"/>
      <c r="E3160" s="197"/>
      <c r="F3160" s="197"/>
      <c r="G3160" s="195"/>
      <c r="H3160" s="195"/>
      <c r="I3160" s="197"/>
      <c r="J3160" s="121"/>
      <c r="K3160" s="121"/>
      <c r="L3160" s="200"/>
      <c r="M3160" s="204"/>
      <c r="N3160" s="205"/>
      <c r="O3160" s="170"/>
      <c r="P3160" s="198"/>
      <c r="Q3160" s="199"/>
      <c r="R3160" s="200"/>
      <c r="S3160" s="170"/>
      <c r="T3160" s="170"/>
      <c r="U3160" s="201"/>
      <c r="V3160" s="198"/>
      <c r="W3160" s="170"/>
      <c r="X3160" s="202"/>
      <c r="Y3160" s="203"/>
      <c r="Z3160" s="170"/>
      <c r="AA3160" s="198"/>
      <c r="AB3160" s="170"/>
      <c r="AC3160" s="170"/>
      <c r="AD3160" s="121"/>
      <c r="AE3160" s="121"/>
      <c r="AF3160" s="121"/>
      <c r="AG3160" s="22"/>
      <c r="AH3160" s="22"/>
      <c r="AI3160" s="22"/>
      <c r="AJ3160" s="22"/>
      <c r="AK3160" s="22"/>
      <c r="AL3160" s="22"/>
      <c r="AM3160" s="22"/>
      <c r="AN3160" s="22"/>
      <c r="AO3160" s="22"/>
      <c r="AP3160" s="22"/>
    </row>
    <row r="3161">
      <c r="A3161" s="193"/>
      <c r="B3161" s="194"/>
      <c r="C3161" s="195"/>
      <c r="D3161" s="196"/>
      <c r="E3161" s="197"/>
      <c r="F3161" s="197"/>
      <c r="G3161" s="195"/>
      <c r="H3161" s="195"/>
      <c r="I3161" s="197"/>
      <c r="J3161" s="121"/>
      <c r="K3161" s="121"/>
      <c r="L3161" s="200"/>
      <c r="M3161" s="204"/>
      <c r="N3161" s="205"/>
      <c r="O3161" s="170"/>
      <c r="P3161" s="198"/>
      <c r="Q3161" s="199"/>
      <c r="R3161" s="200"/>
      <c r="S3161" s="170"/>
      <c r="T3161" s="170"/>
      <c r="U3161" s="201"/>
      <c r="V3161" s="198"/>
      <c r="W3161" s="170"/>
      <c r="X3161" s="202"/>
      <c r="Y3161" s="203"/>
      <c r="Z3161" s="170"/>
      <c r="AA3161" s="198"/>
      <c r="AB3161" s="170"/>
      <c r="AC3161" s="170"/>
      <c r="AD3161" s="121"/>
      <c r="AE3161" s="121"/>
      <c r="AF3161" s="121"/>
      <c r="AG3161" s="22"/>
      <c r="AH3161" s="22"/>
      <c r="AI3161" s="22"/>
      <c r="AJ3161" s="22"/>
      <c r="AK3161" s="22"/>
      <c r="AL3161" s="22"/>
      <c r="AM3161" s="22"/>
      <c r="AN3161" s="22"/>
      <c r="AO3161" s="22"/>
      <c r="AP3161" s="22"/>
    </row>
    <row r="3162">
      <c r="A3162" s="193"/>
      <c r="B3162" s="194"/>
      <c r="C3162" s="195"/>
      <c r="D3162" s="196"/>
      <c r="E3162" s="197"/>
      <c r="F3162" s="197"/>
      <c r="G3162" s="195"/>
      <c r="H3162" s="195"/>
      <c r="I3162" s="197"/>
      <c r="J3162" s="121"/>
      <c r="K3162" s="121"/>
      <c r="L3162" s="200"/>
      <c r="M3162" s="204"/>
      <c r="N3162" s="205"/>
      <c r="O3162" s="170"/>
      <c r="P3162" s="198"/>
      <c r="Q3162" s="199"/>
      <c r="R3162" s="200"/>
      <c r="S3162" s="170"/>
      <c r="T3162" s="170"/>
      <c r="U3162" s="201"/>
      <c r="V3162" s="198"/>
      <c r="W3162" s="170"/>
      <c r="X3162" s="202"/>
      <c r="Y3162" s="203"/>
      <c r="Z3162" s="170"/>
      <c r="AA3162" s="198"/>
      <c r="AB3162" s="170"/>
      <c r="AC3162" s="170"/>
      <c r="AD3162" s="121"/>
      <c r="AE3162" s="121"/>
      <c r="AF3162" s="121"/>
      <c r="AG3162" s="22"/>
      <c r="AH3162" s="22"/>
      <c r="AI3162" s="22"/>
      <c r="AJ3162" s="22"/>
      <c r="AK3162" s="22"/>
      <c r="AL3162" s="22"/>
      <c r="AM3162" s="22"/>
      <c r="AN3162" s="22"/>
      <c r="AO3162" s="22"/>
      <c r="AP3162" s="22"/>
    </row>
    <row r="3163">
      <c r="A3163" s="193"/>
      <c r="B3163" s="194"/>
      <c r="C3163" s="195"/>
      <c r="D3163" s="196"/>
      <c r="E3163" s="197"/>
      <c r="F3163" s="197"/>
      <c r="G3163" s="195"/>
      <c r="H3163" s="195"/>
      <c r="I3163" s="197"/>
      <c r="J3163" s="121"/>
      <c r="K3163" s="121"/>
      <c r="L3163" s="200"/>
      <c r="M3163" s="204"/>
      <c r="N3163" s="205"/>
      <c r="O3163" s="170"/>
      <c r="P3163" s="198"/>
      <c r="Q3163" s="199"/>
      <c r="R3163" s="200"/>
      <c r="S3163" s="170"/>
      <c r="T3163" s="170"/>
      <c r="U3163" s="201"/>
      <c r="V3163" s="198"/>
      <c r="W3163" s="170"/>
      <c r="X3163" s="202"/>
      <c r="Y3163" s="203"/>
      <c r="Z3163" s="170"/>
      <c r="AA3163" s="198"/>
      <c r="AB3163" s="170"/>
      <c r="AC3163" s="170"/>
      <c r="AD3163" s="121"/>
      <c r="AE3163" s="121"/>
      <c r="AF3163" s="121"/>
      <c r="AG3163" s="22"/>
      <c r="AH3163" s="22"/>
      <c r="AI3163" s="22"/>
      <c r="AJ3163" s="22"/>
      <c r="AK3163" s="22"/>
      <c r="AL3163" s="22"/>
      <c r="AM3163" s="22"/>
      <c r="AN3163" s="22"/>
      <c r="AO3163" s="22"/>
      <c r="AP3163" s="22"/>
    </row>
    <row r="3164">
      <c r="A3164" s="193"/>
      <c r="B3164" s="194"/>
      <c r="C3164" s="195"/>
      <c r="D3164" s="196"/>
      <c r="E3164" s="197"/>
      <c r="F3164" s="197"/>
      <c r="G3164" s="195"/>
      <c r="H3164" s="195"/>
      <c r="I3164" s="197"/>
      <c r="J3164" s="121"/>
      <c r="K3164" s="121"/>
      <c r="L3164" s="200"/>
      <c r="M3164" s="204"/>
      <c r="N3164" s="205"/>
      <c r="O3164" s="170"/>
      <c r="P3164" s="198"/>
      <c r="Q3164" s="199"/>
      <c r="R3164" s="200"/>
      <c r="S3164" s="170"/>
      <c r="T3164" s="170"/>
      <c r="U3164" s="201"/>
      <c r="V3164" s="198"/>
      <c r="W3164" s="170"/>
      <c r="X3164" s="202"/>
      <c r="Y3164" s="203"/>
      <c r="Z3164" s="170"/>
      <c r="AA3164" s="198"/>
      <c r="AB3164" s="170"/>
      <c r="AC3164" s="170"/>
      <c r="AD3164" s="121"/>
      <c r="AE3164" s="121"/>
      <c r="AF3164" s="121"/>
      <c r="AG3164" s="22"/>
      <c r="AH3164" s="22"/>
      <c r="AI3164" s="22"/>
      <c r="AJ3164" s="22"/>
      <c r="AK3164" s="22"/>
      <c r="AL3164" s="22"/>
      <c r="AM3164" s="22"/>
      <c r="AN3164" s="22"/>
      <c r="AO3164" s="22"/>
      <c r="AP3164" s="22"/>
    </row>
    <row r="3165">
      <c r="A3165" s="193"/>
      <c r="B3165" s="194"/>
      <c r="C3165" s="195"/>
      <c r="D3165" s="196"/>
      <c r="E3165" s="197"/>
      <c r="F3165" s="197"/>
      <c r="G3165" s="195"/>
      <c r="H3165" s="195"/>
      <c r="I3165" s="197"/>
      <c r="J3165" s="121"/>
      <c r="K3165" s="121"/>
      <c r="L3165" s="200"/>
      <c r="M3165" s="204"/>
      <c r="N3165" s="205"/>
      <c r="O3165" s="170"/>
      <c r="P3165" s="198"/>
      <c r="Q3165" s="199"/>
      <c r="R3165" s="200"/>
      <c r="S3165" s="170"/>
      <c r="T3165" s="170"/>
      <c r="U3165" s="201"/>
      <c r="V3165" s="198"/>
      <c r="W3165" s="170"/>
      <c r="X3165" s="202"/>
      <c r="Y3165" s="203"/>
      <c r="Z3165" s="170"/>
      <c r="AA3165" s="198"/>
      <c r="AB3165" s="170"/>
      <c r="AC3165" s="170"/>
      <c r="AD3165" s="121"/>
      <c r="AE3165" s="121"/>
      <c r="AF3165" s="121"/>
      <c r="AG3165" s="22"/>
      <c r="AH3165" s="22"/>
      <c r="AI3165" s="22"/>
      <c r="AJ3165" s="22"/>
      <c r="AK3165" s="22"/>
      <c r="AL3165" s="22"/>
      <c r="AM3165" s="22"/>
      <c r="AN3165" s="22"/>
      <c r="AO3165" s="22"/>
      <c r="AP3165" s="22"/>
    </row>
    <row r="3166">
      <c r="A3166" s="193"/>
      <c r="B3166" s="194"/>
      <c r="C3166" s="195"/>
      <c r="D3166" s="196"/>
      <c r="E3166" s="197"/>
      <c r="F3166" s="197"/>
      <c r="G3166" s="195"/>
      <c r="H3166" s="195"/>
      <c r="I3166" s="197"/>
      <c r="J3166" s="121"/>
      <c r="K3166" s="121"/>
      <c r="L3166" s="200"/>
      <c r="M3166" s="204"/>
      <c r="N3166" s="205"/>
      <c r="O3166" s="170"/>
      <c r="P3166" s="198"/>
      <c r="Q3166" s="199"/>
      <c r="R3166" s="200"/>
      <c r="S3166" s="170"/>
      <c r="T3166" s="170"/>
      <c r="U3166" s="201"/>
      <c r="V3166" s="198"/>
      <c r="W3166" s="170"/>
      <c r="X3166" s="202"/>
      <c r="Y3166" s="203"/>
      <c r="Z3166" s="170"/>
      <c r="AA3166" s="198"/>
      <c r="AB3166" s="170"/>
      <c r="AC3166" s="170"/>
      <c r="AD3166" s="121"/>
      <c r="AE3166" s="121"/>
      <c r="AF3166" s="121"/>
      <c r="AG3166" s="22"/>
      <c r="AH3166" s="22"/>
      <c r="AI3166" s="22"/>
      <c r="AJ3166" s="22"/>
      <c r="AK3166" s="22"/>
      <c r="AL3166" s="22"/>
      <c r="AM3166" s="22"/>
      <c r="AN3166" s="22"/>
      <c r="AO3166" s="22"/>
      <c r="AP3166" s="22"/>
    </row>
    <row r="3167">
      <c r="A3167" s="193"/>
      <c r="B3167" s="194"/>
      <c r="C3167" s="195"/>
      <c r="D3167" s="196"/>
      <c r="E3167" s="197"/>
      <c r="F3167" s="197"/>
      <c r="G3167" s="195"/>
      <c r="H3167" s="195"/>
      <c r="I3167" s="197"/>
      <c r="J3167" s="121"/>
      <c r="K3167" s="121"/>
      <c r="L3167" s="200"/>
      <c r="M3167" s="204"/>
      <c r="N3167" s="205"/>
      <c r="O3167" s="170"/>
      <c r="P3167" s="198"/>
      <c r="Q3167" s="199"/>
      <c r="R3167" s="200"/>
      <c r="S3167" s="170"/>
      <c r="T3167" s="170"/>
      <c r="U3167" s="201"/>
      <c r="V3167" s="198"/>
      <c r="W3167" s="170"/>
      <c r="X3167" s="202"/>
      <c r="Y3167" s="203"/>
      <c r="Z3167" s="170"/>
      <c r="AA3167" s="198"/>
      <c r="AB3167" s="170"/>
      <c r="AC3167" s="170"/>
      <c r="AD3167" s="121"/>
      <c r="AE3167" s="121"/>
      <c r="AF3167" s="121"/>
      <c r="AG3167" s="22"/>
      <c r="AH3167" s="22"/>
      <c r="AI3167" s="22"/>
      <c r="AJ3167" s="22"/>
      <c r="AK3167" s="22"/>
      <c r="AL3167" s="22"/>
      <c r="AM3167" s="22"/>
      <c r="AN3167" s="22"/>
      <c r="AO3167" s="22"/>
      <c r="AP3167" s="22"/>
    </row>
    <row r="3168">
      <c r="A3168" s="193"/>
      <c r="B3168" s="194"/>
      <c r="C3168" s="195"/>
      <c r="D3168" s="196"/>
      <c r="E3168" s="197"/>
      <c r="F3168" s="197"/>
      <c r="G3168" s="195"/>
      <c r="H3168" s="195"/>
      <c r="I3168" s="197"/>
      <c r="J3168" s="121"/>
      <c r="K3168" s="121"/>
      <c r="L3168" s="200"/>
      <c r="M3168" s="204"/>
      <c r="N3168" s="205"/>
      <c r="O3168" s="170"/>
      <c r="P3168" s="198"/>
      <c r="Q3168" s="199"/>
      <c r="R3168" s="200"/>
      <c r="S3168" s="170"/>
      <c r="T3168" s="170"/>
      <c r="U3168" s="201"/>
      <c r="V3168" s="198"/>
      <c r="W3168" s="170"/>
      <c r="X3168" s="202"/>
      <c r="Y3168" s="203"/>
      <c r="Z3168" s="170"/>
      <c r="AA3168" s="198"/>
      <c r="AB3168" s="170"/>
      <c r="AC3168" s="170"/>
      <c r="AD3168" s="121"/>
      <c r="AE3168" s="121"/>
      <c r="AF3168" s="121"/>
      <c r="AG3168" s="22"/>
      <c r="AH3168" s="22"/>
      <c r="AI3168" s="22"/>
      <c r="AJ3168" s="22"/>
      <c r="AK3168" s="22"/>
      <c r="AL3168" s="22"/>
      <c r="AM3168" s="22"/>
      <c r="AN3168" s="22"/>
      <c r="AO3168" s="22"/>
      <c r="AP3168" s="22"/>
    </row>
    <row r="3169">
      <c r="A3169" s="193"/>
      <c r="B3169" s="194"/>
      <c r="C3169" s="195"/>
      <c r="D3169" s="196"/>
      <c r="E3169" s="197"/>
      <c r="F3169" s="197"/>
      <c r="G3169" s="195"/>
      <c r="H3169" s="195"/>
      <c r="I3169" s="197"/>
      <c r="J3169" s="121"/>
      <c r="K3169" s="121"/>
      <c r="L3169" s="200"/>
      <c r="M3169" s="204"/>
      <c r="N3169" s="205"/>
      <c r="O3169" s="170"/>
      <c r="P3169" s="198"/>
      <c r="Q3169" s="199"/>
      <c r="R3169" s="200"/>
      <c r="S3169" s="170"/>
      <c r="T3169" s="170"/>
      <c r="U3169" s="201"/>
      <c r="V3169" s="198"/>
      <c r="W3169" s="170"/>
      <c r="X3169" s="202"/>
      <c r="Y3169" s="203"/>
      <c r="Z3169" s="170"/>
      <c r="AA3169" s="198"/>
      <c r="AB3169" s="170"/>
      <c r="AC3169" s="170"/>
      <c r="AD3169" s="121"/>
      <c r="AE3169" s="121"/>
      <c r="AF3169" s="121"/>
      <c r="AG3169" s="22"/>
      <c r="AH3169" s="22"/>
      <c r="AI3169" s="22"/>
      <c r="AJ3169" s="22"/>
      <c r="AK3169" s="22"/>
      <c r="AL3169" s="22"/>
      <c r="AM3169" s="22"/>
      <c r="AN3169" s="22"/>
      <c r="AO3169" s="22"/>
      <c r="AP3169" s="22"/>
    </row>
    <row r="3170">
      <c r="A3170" s="193"/>
      <c r="B3170" s="194"/>
      <c r="C3170" s="195"/>
      <c r="D3170" s="196"/>
      <c r="E3170" s="197"/>
      <c r="F3170" s="197"/>
      <c r="G3170" s="195"/>
      <c r="H3170" s="195"/>
      <c r="I3170" s="197"/>
      <c r="J3170" s="121"/>
      <c r="K3170" s="121"/>
      <c r="L3170" s="200"/>
      <c r="M3170" s="204"/>
      <c r="N3170" s="205"/>
      <c r="O3170" s="170"/>
      <c r="P3170" s="198"/>
      <c r="Q3170" s="199"/>
      <c r="R3170" s="200"/>
      <c r="S3170" s="170"/>
      <c r="T3170" s="170"/>
      <c r="U3170" s="201"/>
      <c r="V3170" s="198"/>
      <c r="W3170" s="170"/>
      <c r="X3170" s="202"/>
      <c r="Y3170" s="203"/>
      <c r="Z3170" s="170"/>
      <c r="AA3170" s="198"/>
      <c r="AB3170" s="170"/>
      <c r="AC3170" s="170"/>
      <c r="AD3170" s="121"/>
      <c r="AE3170" s="121"/>
      <c r="AF3170" s="121"/>
      <c r="AG3170" s="22"/>
      <c r="AH3170" s="22"/>
      <c r="AI3170" s="22"/>
      <c r="AJ3170" s="22"/>
      <c r="AK3170" s="22"/>
      <c r="AL3170" s="22"/>
      <c r="AM3170" s="22"/>
      <c r="AN3170" s="22"/>
      <c r="AO3170" s="22"/>
      <c r="AP3170" s="22"/>
    </row>
    <row r="3171">
      <c r="A3171" s="193"/>
      <c r="B3171" s="194"/>
      <c r="C3171" s="195"/>
      <c r="D3171" s="196"/>
      <c r="E3171" s="197"/>
      <c r="F3171" s="197"/>
      <c r="G3171" s="195"/>
      <c r="H3171" s="195"/>
      <c r="I3171" s="197"/>
      <c r="J3171" s="121"/>
      <c r="K3171" s="121"/>
      <c r="L3171" s="200"/>
      <c r="M3171" s="204"/>
      <c r="N3171" s="205"/>
      <c r="O3171" s="170"/>
      <c r="P3171" s="198"/>
      <c r="Q3171" s="199"/>
      <c r="R3171" s="200"/>
      <c r="S3171" s="170"/>
      <c r="T3171" s="170"/>
      <c r="U3171" s="201"/>
      <c r="V3171" s="198"/>
      <c r="W3171" s="170"/>
      <c r="X3171" s="202"/>
      <c r="Y3171" s="203"/>
      <c r="Z3171" s="170"/>
      <c r="AA3171" s="198"/>
      <c r="AB3171" s="170"/>
      <c r="AC3171" s="170"/>
      <c r="AD3171" s="121"/>
      <c r="AE3171" s="121"/>
      <c r="AF3171" s="121"/>
      <c r="AG3171" s="22"/>
      <c r="AH3171" s="22"/>
      <c r="AI3171" s="22"/>
      <c r="AJ3171" s="22"/>
      <c r="AK3171" s="22"/>
      <c r="AL3171" s="22"/>
      <c r="AM3171" s="22"/>
      <c r="AN3171" s="22"/>
      <c r="AO3171" s="22"/>
      <c r="AP3171" s="22"/>
    </row>
    <row r="3172">
      <c r="A3172" s="193"/>
      <c r="B3172" s="194"/>
      <c r="C3172" s="195"/>
      <c r="D3172" s="196"/>
      <c r="E3172" s="197"/>
      <c r="F3172" s="197"/>
      <c r="G3172" s="195"/>
      <c r="H3172" s="195"/>
      <c r="I3172" s="197"/>
      <c r="J3172" s="121"/>
      <c r="K3172" s="121"/>
      <c r="L3172" s="200"/>
      <c r="M3172" s="204"/>
      <c r="N3172" s="205"/>
      <c r="O3172" s="170"/>
      <c r="P3172" s="198"/>
      <c r="Q3172" s="199"/>
      <c r="R3172" s="200"/>
      <c r="S3172" s="170"/>
      <c r="T3172" s="170"/>
      <c r="U3172" s="201"/>
      <c r="V3172" s="198"/>
      <c r="W3172" s="170"/>
      <c r="X3172" s="202"/>
      <c r="Y3172" s="203"/>
      <c r="Z3172" s="170"/>
      <c r="AA3172" s="198"/>
      <c r="AB3172" s="170"/>
      <c r="AC3172" s="170"/>
      <c r="AD3172" s="121"/>
      <c r="AE3172" s="121"/>
      <c r="AF3172" s="121"/>
      <c r="AG3172" s="22"/>
      <c r="AH3172" s="22"/>
      <c r="AI3172" s="22"/>
      <c r="AJ3172" s="22"/>
      <c r="AK3172" s="22"/>
      <c r="AL3172" s="22"/>
      <c r="AM3172" s="22"/>
      <c r="AN3172" s="22"/>
      <c r="AO3172" s="22"/>
      <c r="AP3172" s="22"/>
    </row>
    <row r="3173">
      <c r="A3173" s="193"/>
      <c r="B3173" s="194"/>
      <c r="C3173" s="195"/>
      <c r="D3173" s="196"/>
      <c r="E3173" s="197"/>
      <c r="F3173" s="197"/>
      <c r="G3173" s="195"/>
      <c r="H3173" s="195"/>
      <c r="I3173" s="197"/>
      <c r="J3173" s="121"/>
      <c r="K3173" s="121"/>
      <c r="L3173" s="200"/>
      <c r="M3173" s="204"/>
      <c r="N3173" s="205"/>
      <c r="O3173" s="170"/>
      <c r="P3173" s="198"/>
      <c r="Q3173" s="199"/>
      <c r="R3173" s="200"/>
      <c r="S3173" s="170"/>
      <c r="T3173" s="170"/>
      <c r="U3173" s="201"/>
      <c r="V3173" s="198"/>
      <c r="W3173" s="170"/>
      <c r="X3173" s="202"/>
      <c r="Y3173" s="203"/>
      <c r="Z3173" s="170"/>
      <c r="AA3173" s="198"/>
      <c r="AB3173" s="170"/>
      <c r="AC3173" s="170"/>
      <c r="AD3173" s="121"/>
      <c r="AE3173" s="121"/>
      <c r="AF3173" s="121"/>
      <c r="AG3173" s="22"/>
      <c r="AH3173" s="22"/>
      <c r="AI3173" s="22"/>
      <c r="AJ3173" s="22"/>
      <c r="AK3173" s="22"/>
      <c r="AL3173" s="22"/>
      <c r="AM3173" s="22"/>
      <c r="AN3173" s="22"/>
      <c r="AO3173" s="22"/>
      <c r="AP3173" s="22"/>
    </row>
    <row r="3174">
      <c r="A3174" s="193"/>
      <c r="B3174" s="194"/>
      <c r="C3174" s="195"/>
      <c r="D3174" s="196"/>
      <c r="E3174" s="197"/>
      <c r="F3174" s="197"/>
      <c r="G3174" s="195"/>
      <c r="H3174" s="195"/>
      <c r="I3174" s="197"/>
      <c r="J3174" s="121"/>
      <c r="K3174" s="121"/>
      <c r="L3174" s="200"/>
      <c r="M3174" s="204"/>
      <c r="N3174" s="205"/>
      <c r="O3174" s="170"/>
      <c r="P3174" s="198"/>
      <c r="Q3174" s="199"/>
      <c r="R3174" s="200"/>
      <c r="S3174" s="170"/>
      <c r="T3174" s="170"/>
      <c r="U3174" s="201"/>
      <c r="V3174" s="198"/>
      <c r="W3174" s="170"/>
      <c r="X3174" s="202"/>
      <c r="Y3174" s="203"/>
      <c r="Z3174" s="170"/>
      <c r="AA3174" s="198"/>
      <c r="AB3174" s="170"/>
      <c r="AC3174" s="170"/>
      <c r="AD3174" s="121"/>
      <c r="AE3174" s="121"/>
      <c r="AF3174" s="121"/>
      <c r="AG3174" s="22"/>
      <c r="AH3174" s="22"/>
      <c r="AI3174" s="22"/>
      <c r="AJ3174" s="22"/>
      <c r="AK3174" s="22"/>
      <c r="AL3174" s="22"/>
      <c r="AM3174" s="22"/>
      <c r="AN3174" s="22"/>
      <c r="AO3174" s="22"/>
      <c r="AP3174" s="22"/>
    </row>
    <row r="3175">
      <c r="A3175" s="193"/>
      <c r="B3175" s="194"/>
      <c r="C3175" s="195"/>
      <c r="D3175" s="196"/>
      <c r="E3175" s="197"/>
      <c r="F3175" s="197"/>
      <c r="G3175" s="195"/>
      <c r="H3175" s="195"/>
      <c r="I3175" s="197"/>
      <c r="J3175" s="121"/>
      <c r="K3175" s="121"/>
      <c r="L3175" s="200"/>
      <c r="M3175" s="204"/>
      <c r="N3175" s="205"/>
      <c r="O3175" s="170"/>
      <c r="P3175" s="198"/>
      <c r="Q3175" s="199"/>
      <c r="R3175" s="200"/>
      <c r="S3175" s="170"/>
      <c r="T3175" s="170"/>
      <c r="U3175" s="201"/>
      <c r="V3175" s="198"/>
      <c r="W3175" s="170"/>
      <c r="X3175" s="202"/>
      <c r="Y3175" s="203"/>
      <c r="Z3175" s="170"/>
      <c r="AA3175" s="198"/>
      <c r="AB3175" s="170"/>
      <c r="AC3175" s="170"/>
      <c r="AD3175" s="121"/>
      <c r="AE3175" s="121"/>
      <c r="AF3175" s="121"/>
      <c r="AG3175" s="22"/>
      <c r="AH3175" s="22"/>
      <c r="AI3175" s="22"/>
      <c r="AJ3175" s="22"/>
      <c r="AK3175" s="22"/>
      <c r="AL3175" s="22"/>
      <c r="AM3175" s="22"/>
      <c r="AN3175" s="22"/>
      <c r="AO3175" s="22"/>
      <c r="AP3175" s="22"/>
    </row>
    <row r="3176">
      <c r="A3176" s="193"/>
      <c r="B3176" s="194"/>
      <c r="C3176" s="195"/>
      <c r="D3176" s="196"/>
      <c r="E3176" s="197"/>
      <c r="F3176" s="197"/>
      <c r="G3176" s="195"/>
      <c r="H3176" s="195"/>
      <c r="I3176" s="197"/>
      <c r="J3176" s="121"/>
      <c r="K3176" s="121"/>
      <c r="L3176" s="200"/>
      <c r="M3176" s="204"/>
      <c r="N3176" s="205"/>
      <c r="O3176" s="170"/>
      <c r="P3176" s="198"/>
      <c r="Q3176" s="199"/>
      <c r="R3176" s="200"/>
      <c r="S3176" s="170"/>
      <c r="T3176" s="170"/>
      <c r="U3176" s="201"/>
      <c r="V3176" s="198"/>
      <c r="W3176" s="170"/>
      <c r="X3176" s="202"/>
      <c r="Y3176" s="203"/>
      <c r="Z3176" s="170"/>
      <c r="AA3176" s="198"/>
      <c r="AB3176" s="170"/>
      <c r="AC3176" s="170"/>
      <c r="AD3176" s="121"/>
      <c r="AE3176" s="121"/>
      <c r="AF3176" s="121"/>
      <c r="AG3176" s="22"/>
      <c r="AH3176" s="22"/>
      <c r="AI3176" s="22"/>
      <c r="AJ3176" s="22"/>
      <c r="AK3176" s="22"/>
      <c r="AL3176" s="22"/>
      <c r="AM3176" s="22"/>
      <c r="AN3176" s="22"/>
      <c r="AO3176" s="22"/>
      <c r="AP3176" s="22"/>
    </row>
    <row r="3177">
      <c r="A3177" s="193"/>
      <c r="B3177" s="194"/>
      <c r="C3177" s="195"/>
      <c r="D3177" s="196"/>
      <c r="E3177" s="197"/>
      <c r="F3177" s="197"/>
      <c r="G3177" s="195"/>
      <c r="H3177" s="195"/>
      <c r="I3177" s="197"/>
      <c r="J3177" s="121"/>
      <c r="K3177" s="121"/>
      <c r="L3177" s="200"/>
      <c r="M3177" s="204"/>
      <c r="N3177" s="205"/>
      <c r="O3177" s="170"/>
      <c r="P3177" s="198"/>
      <c r="Q3177" s="199"/>
      <c r="R3177" s="200"/>
      <c r="S3177" s="170"/>
      <c r="T3177" s="170"/>
      <c r="U3177" s="201"/>
      <c r="V3177" s="198"/>
      <c r="W3177" s="170"/>
      <c r="X3177" s="202"/>
      <c r="Y3177" s="203"/>
      <c r="Z3177" s="170"/>
      <c r="AA3177" s="198"/>
      <c r="AB3177" s="170"/>
      <c r="AC3177" s="170"/>
      <c r="AD3177" s="121"/>
      <c r="AE3177" s="121"/>
      <c r="AF3177" s="121"/>
      <c r="AG3177" s="22"/>
      <c r="AH3177" s="22"/>
      <c r="AI3177" s="22"/>
      <c r="AJ3177" s="22"/>
      <c r="AK3177" s="22"/>
      <c r="AL3177" s="22"/>
      <c r="AM3177" s="22"/>
      <c r="AN3177" s="22"/>
      <c r="AO3177" s="22"/>
      <c r="AP3177" s="22"/>
    </row>
    <row r="3178">
      <c r="A3178" s="193"/>
      <c r="B3178" s="194"/>
      <c r="C3178" s="195"/>
      <c r="D3178" s="196"/>
      <c r="E3178" s="197"/>
      <c r="F3178" s="197"/>
      <c r="G3178" s="195"/>
      <c r="H3178" s="195"/>
      <c r="I3178" s="197"/>
      <c r="J3178" s="121"/>
      <c r="K3178" s="121"/>
      <c r="L3178" s="200"/>
      <c r="M3178" s="204"/>
      <c r="N3178" s="205"/>
      <c r="O3178" s="170"/>
      <c r="P3178" s="198"/>
      <c r="Q3178" s="199"/>
      <c r="R3178" s="200"/>
      <c r="S3178" s="170"/>
      <c r="T3178" s="170"/>
      <c r="U3178" s="201"/>
      <c r="V3178" s="198"/>
      <c r="W3178" s="170"/>
      <c r="X3178" s="202"/>
      <c r="Y3178" s="203"/>
      <c r="Z3178" s="170"/>
      <c r="AA3178" s="198"/>
      <c r="AB3178" s="170"/>
      <c r="AC3178" s="170"/>
      <c r="AD3178" s="121"/>
      <c r="AE3178" s="121"/>
      <c r="AF3178" s="121"/>
      <c r="AG3178" s="22"/>
      <c r="AH3178" s="22"/>
      <c r="AI3178" s="22"/>
      <c r="AJ3178" s="22"/>
      <c r="AK3178" s="22"/>
      <c r="AL3178" s="22"/>
      <c r="AM3178" s="22"/>
      <c r="AN3178" s="22"/>
      <c r="AO3178" s="22"/>
      <c r="AP3178" s="22"/>
    </row>
    <row r="3179">
      <c r="A3179" s="193"/>
      <c r="B3179" s="194"/>
      <c r="C3179" s="195"/>
      <c r="D3179" s="196"/>
      <c r="E3179" s="197"/>
      <c r="F3179" s="197"/>
      <c r="G3179" s="195"/>
      <c r="H3179" s="195"/>
      <c r="I3179" s="197"/>
      <c r="J3179" s="121"/>
      <c r="K3179" s="121"/>
      <c r="L3179" s="200"/>
      <c r="M3179" s="204"/>
      <c r="N3179" s="205"/>
      <c r="O3179" s="170"/>
      <c r="P3179" s="198"/>
      <c r="Q3179" s="199"/>
      <c r="R3179" s="200"/>
      <c r="S3179" s="170"/>
      <c r="T3179" s="170"/>
      <c r="U3179" s="201"/>
      <c r="V3179" s="198"/>
      <c r="W3179" s="170"/>
      <c r="X3179" s="202"/>
      <c r="Y3179" s="203"/>
      <c r="Z3179" s="170"/>
      <c r="AA3179" s="198"/>
      <c r="AB3179" s="170"/>
      <c r="AC3179" s="170"/>
      <c r="AD3179" s="121"/>
      <c r="AE3179" s="121"/>
      <c r="AF3179" s="121"/>
      <c r="AG3179" s="22"/>
      <c r="AH3179" s="22"/>
      <c r="AI3179" s="22"/>
      <c r="AJ3179" s="22"/>
      <c r="AK3179" s="22"/>
      <c r="AL3179" s="22"/>
      <c r="AM3179" s="22"/>
      <c r="AN3179" s="22"/>
      <c r="AO3179" s="22"/>
      <c r="AP3179" s="22"/>
    </row>
    <row r="3180">
      <c r="A3180" s="193"/>
      <c r="B3180" s="194"/>
      <c r="C3180" s="195"/>
      <c r="D3180" s="196"/>
      <c r="E3180" s="197"/>
      <c r="F3180" s="197"/>
      <c r="G3180" s="195"/>
      <c r="H3180" s="195"/>
      <c r="I3180" s="197"/>
      <c r="J3180" s="121"/>
      <c r="K3180" s="121"/>
      <c r="L3180" s="200"/>
      <c r="M3180" s="204"/>
      <c r="N3180" s="205"/>
      <c r="O3180" s="170"/>
      <c r="P3180" s="198"/>
      <c r="Q3180" s="199"/>
      <c r="R3180" s="200"/>
      <c r="S3180" s="170"/>
      <c r="T3180" s="170"/>
      <c r="U3180" s="201"/>
      <c r="V3180" s="198"/>
      <c r="W3180" s="170"/>
      <c r="X3180" s="202"/>
      <c r="Y3180" s="203"/>
      <c r="Z3180" s="170"/>
      <c r="AA3180" s="198"/>
      <c r="AB3180" s="170"/>
      <c r="AC3180" s="170"/>
      <c r="AD3180" s="121"/>
      <c r="AE3180" s="121"/>
      <c r="AF3180" s="121"/>
      <c r="AG3180" s="22"/>
      <c r="AH3180" s="22"/>
      <c r="AI3180" s="22"/>
      <c r="AJ3180" s="22"/>
      <c r="AK3180" s="22"/>
      <c r="AL3180" s="22"/>
      <c r="AM3180" s="22"/>
      <c r="AN3180" s="22"/>
      <c r="AO3180" s="22"/>
      <c r="AP3180" s="22"/>
    </row>
    <row r="3181">
      <c r="A3181" s="193"/>
      <c r="B3181" s="194"/>
      <c r="C3181" s="195"/>
      <c r="D3181" s="196"/>
      <c r="E3181" s="197"/>
      <c r="F3181" s="197"/>
      <c r="G3181" s="195"/>
      <c r="H3181" s="195"/>
      <c r="I3181" s="197"/>
      <c r="J3181" s="121"/>
      <c r="K3181" s="121"/>
      <c r="L3181" s="200"/>
      <c r="M3181" s="204"/>
      <c r="N3181" s="205"/>
      <c r="O3181" s="170"/>
      <c r="P3181" s="198"/>
      <c r="Q3181" s="199"/>
      <c r="R3181" s="200"/>
      <c r="S3181" s="170"/>
      <c r="T3181" s="170"/>
      <c r="U3181" s="201"/>
      <c r="V3181" s="198"/>
      <c r="W3181" s="170"/>
      <c r="X3181" s="202"/>
      <c r="Y3181" s="203"/>
      <c r="Z3181" s="170"/>
      <c r="AA3181" s="198"/>
      <c r="AB3181" s="170"/>
      <c r="AC3181" s="170"/>
      <c r="AD3181" s="121"/>
      <c r="AE3181" s="121"/>
      <c r="AF3181" s="121"/>
      <c r="AG3181" s="22"/>
      <c r="AH3181" s="22"/>
      <c r="AI3181" s="22"/>
      <c r="AJ3181" s="22"/>
      <c r="AK3181" s="22"/>
      <c r="AL3181" s="22"/>
      <c r="AM3181" s="22"/>
      <c r="AN3181" s="22"/>
      <c r="AO3181" s="22"/>
      <c r="AP3181" s="22"/>
    </row>
    <row r="3182">
      <c r="A3182" s="193"/>
      <c r="B3182" s="194"/>
      <c r="C3182" s="195"/>
      <c r="D3182" s="196"/>
      <c r="E3182" s="197"/>
      <c r="F3182" s="197"/>
      <c r="G3182" s="195"/>
      <c r="H3182" s="195"/>
      <c r="I3182" s="197"/>
      <c r="J3182" s="121"/>
      <c r="K3182" s="121"/>
      <c r="L3182" s="200"/>
      <c r="M3182" s="204"/>
      <c r="N3182" s="205"/>
      <c r="O3182" s="170"/>
      <c r="P3182" s="198"/>
      <c r="Q3182" s="199"/>
      <c r="R3182" s="200"/>
      <c r="S3182" s="170"/>
      <c r="T3182" s="170"/>
      <c r="U3182" s="201"/>
      <c r="V3182" s="198"/>
      <c r="W3182" s="170"/>
      <c r="X3182" s="202"/>
      <c r="Y3182" s="203"/>
      <c r="Z3182" s="170"/>
      <c r="AA3182" s="198"/>
      <c r="AB3182" s="170"/>
      <c r="AC3182" s="170"/>
      <c r="AD3182" s="121"/>
      <c r="AE3182" s="121"/>
      <c r="AF3182" s="121"/>
      <c r="AG3182" s="22"/>
      <c r="AH3182" s="22"/>
      <c r="AI3182" s="22"/>
      <c r="AJ3182" s="22"/>
      <c r="AK3182" s="22"/>
      <c r="AL3182" s="22"/>
      <c r="AM3182" s="22"/>
      <c r="AN3182" s="22"/>
      <c r="AO3182" s="22"/>
      <c r="AP3182" s="22"/>
    </row>
    <row r="3183">
      <c r="A3183" s="193"/>
      <c r="B3183" s="194"/>
      <c r="C3183" s="195"/>
      <c r="D3183" s="196"/>
      <c r="E3183" s="197"/>
      <c r="F3183" s="197"/>
      <c r="G3183" s="195"/>
      <c r="H3183" s="195"/>
      <c r="I3183" s="197"/>
      <c r="J3183" s="121"/>
      <c r="K3183" s="121"/>
      <c r="L3183" s="200"/>
      <c r="M3183" s="204"/>
      <c r="N3183" s="205"/>
      <c r="O3183" s="170"/>
      <c r="P3183" s="198"/>
      <c r="Q3183" s="199"/>
      <c r="R3183" s="200"/>
      <c r="S3183" s="170"/>
      <c r="T3183" s="170"/>
      <c r="U3183" s="201"/>
      <c r="V3183" s="198"/>
      <c r="W3183" s="170"/>
      <c r="X3183" s="202"/>
      <c r="Y3183" s="203"/>
      <c r="Z3183" s="170"/>
      <c r="AA3183" s="198"/>
      <c r="AB3183" s="170"/>
      <c r="AC3183" s="170"/>
      <c r="AD3183" s="121"/>
      <c r="AE3183" s="121"/>
      <c r="AF3183" s="121"/>
      <c r="AG3183" s="22"/>
      <c r="AH3183" s="22"/>
      <c r="AI3183" s="22"/>
      <c r="AJ3183" s="22"/>
      <c r="AK3183" s="22"/>
      <c r="AL3183" s="22"/>
      <c r="AM3183" s="22"/>
      <c r="AN3183" s="22"/>
      <c r="AO3183" s="22"/>
      <c r="AP3183" s="22"/>
    </row>
    <row r="3184">
      <c r="A3184" s="193"/>
      <c r="B3184" s="194"/>
      <c r="C3184" s="195"/>
      <c r="D3184" s="196"/>
      <c r="E3184" s="197"/>
      <c r="F3184" s="197"/>
      <c r="G3184" s="195"/>
      <c r="H3184" s="195"/>
      <c r="I3184" s="197"/>
      <c r="J3184" s="121"/>
      <c r="K3184" s="121"/>
      <c r="L3184" s="200"/>
      <c r="M3184" s="204"/>
      <c r="N3184" s="205"/>
      <c r="O3184" s="170"/>
      <c r="P3184" s="198"/>
      <c r="Q3184" s="199"/>
      <c r="R3184" s="200"/>
      <c r="S3184" s="170"/>
      <c r="T3184" s="170"/>
      <c r="U3184" s="201"/>
      <c r="V3184" s="198"/>
      <c r="W3184" s="170"/>
      <c r="X3184" s="202"/>
      <c r="Y3184" s="203"/>
      <c r="Z3184" s="170"/>
      <c r="AA3184" s="198"/>
      <c r="AB3184" s="170"/>
      <c r="AC3184" s="170"/>
      <c r="AD3184" s="121"/>
      <c r="AE3184" s="121"/>
      <c r="AF3184" s="121"/>
      <c r="AG3184" s="22"/>
      <c r="AH3184" s="22"/>
      <c r="AI3184" s="22"/>
      <c r="AJ3184" s="22"/>
      <c r="AK3184" s="22"/>
      <c r="AL3184" s="22"/>
      <c r="AM3184" s="22"/>
      <c r="AN3184" s="22"/>
      <c r="AO3184" s="22"/>
      <c r="AP3184" s="22"/>
    </row>
    <row r="3185">
      <c r="A3185" s="193"/>
      <c r="B3185" s="194"/>
      <c r="C3185" s="195"/>
      <c r="D3185" s="196"/>
      <c r="E3185" s="197"/>
      <c r="F3185" s="197"/>
      <c r="G3185" s="195"/>
      <c r="H3185" s="195"/>
      <c r="I3185" s="197"/>
      <c r="J3185" s="121"/>
      <c r="K3185" s="121"/>
      <c r="L3185" s="200"/>
      <c r="M3185" s="204"/>
      <c r="N3185" s="205"/>
      <c r="O3185" s="170"/>
      <c r="P3185" s="198"/>
      <c r="Q3185" s="199"/>
      <c r="R3185" s="200"/>
      <c r="S3185" s="170"/>
      <c r="T3185" s="170"/>
      <c r="U3185" s="201"/>
      <c r="V3185" s="198"/>
      <c r="W3185" s="170"/>
      <c r="X3185" s="202"/>
      <c r="Y3185" s="203"/>
      <c r="Z3185" s="170"/>
      <c r="AA3185" s="198"/>
      <c r="AB3185" s="170"/>
      <c r="AC3185" s="170"/>
      <c r="AD3185" s="121"/>
      <c r="AE3185" s="121"/>
      <c r="AF3185" s="121"/>
      <c r="AG3185" s="22"/>
      <c r="AH3185" s="22"/>
      <c r="AI3185" s="22"/>
      <c r="AJ3185" s="22"/>
      <c r="AK3185" s="22"/>
      <c r="AL3185" s="22"/>
      <c r="AM3185" s="22"/>
      <c r="AN3185" s="22"/>
      <c r="AO3185" s="22"/>
      <c r="AP3185" s="22"/>
    </row>
    <row r="3186">
      <c r="A3186" s="193"/>
      <c r="B3186" s="194"/>
      <c r="C3186" s="195"/>
      <c r="D3186" s="196"/>
      <c r="E3186" s="197"/>
      <c r="F3186" s="197"/>
      <c r="G3186" s="195"/>
      <c r="H3186" s="195"/>
      <c r="I3186" s="197"/>
      <c r="J3186" s="121"/>
      <c r="K3186" s="121"/>
      <c r="L3186" s="200"/>
      <c r="M3186" s="204"/>
      <c r="N3186" s="205"/>
      <c r="O3186" s="170"/>
      <c r="P3186" s="198"/>
      <c r="Q3186" s="199"/>
      <c r="R3186" s="200"/>
      <c r="S3186" s="170"/>
      <c r="T3186" s="170"/>
      <c r="U3186" s="201"/>
      <c r="V3186" s="198"/>
      <c r="W3186" s="170"/>
      <c r="X3186" s="202"/>
      <c r="Y3186" s="203"/>
      <c r="Z3186" s="170"/>
      <c r="AA3186" s="198"/>
      <c r="AB3186" s="170"/>
      <c r="AC3186" s="170"/>
      <c r="AD3186" s="121"/>
      <c r="AE3186" s="121"/>
      <c r="AF3186" s="121"/>
      <c r="AG3186" s="22"/>
      <c r="AH3186" s="22"/>
      <c r="AI3186" s="22"/>
      <c r="AJ3186" s="22"/>
      <c r="AK3186" s="22"/>
      <c r="AL3186" s="22"/>
      <c r="AM3186" s="22"/>
      <c r="AN3186" s="22"/>
      <c r="AO3186" s="22"/>
      <c r="AP3186" s="22"/>
    </row>
    <row r="3187">
      <c r="A3187" s="193"/>
      <c r="B3187" s="194"/>
      <c r="C3187" s="195"/>
      <c r="D3187" s="196"/>
      <c r="E3187" s="197"/>
      <c r="F3187" s="197"/>
      <c r="G3187" s="195"/>
      <c r="H3187" s="195"/>
      <c r="I3187" s="197"/>
      <c r="J3187" s="121"/>
      <c r="K3187" s="121"/>
      <c r="L3187" s="200"/>
      <c r="M3187" s="204"/>
      <c r="N3187" s="205"/>
      <c r="O3187" s="170"/>
      <c r="P3187" s="198"/>
      <c r="Q3187" s="199"/>
      <c r="R3187" s="200"/>
      <c r="S3187" s="170"/>
      <c r="T3187" s="170"/>
      <c r="U3187" s="201"/>
      <c r="V3187" s="198"/>
      <c r="W3187" s="170"/>
      <c r="X3187" s="202"/>
      <c r="Y3187" s="203"/>
      <c r="Z3187" s="170"/>
      <c r="AA3187" s="198"/>
      <c r="AB3187" s="170"/>
      <c r="AC3187" s="170"/>
      <c r="AD3187" s="121"/>
      <c r="AE3187" s="121"/>
      <c r="AF3187" s="121"/>
      <c r="AG3187" s="22"/>
      <c r="AH3187" s="22"/>
      <c r="AI3187" s="22"/>
      <c r="AJ3187" s="22"/>
      <c r="AK3187" s="22"/>
      <c r="AL3187" s="22"/>
      <c r="AM3187" s="22"/>
      <c r="AN3187" s="22"/>
      <c r="AO3187" s="22"/>
      <c r="AP3187" s="22"/>
    </row>
    <row r="3188">
      <c r="A3188" s="193"/>
      <c r="B3188" s="194"/>
      <c r="C3188" s="195"/>
      <c r="D3188" s="196"/>
      <c r="E3188" s="197"/>
      <c r="F3188" s="197"/>
      <c r="G3188" s="195"/>
      <c r="H3188" s="195"/>
      <c r="I3188" s="197"/>
      <c r="J3188" s="121"/>
      <c r="K3188" s="121"/>
      <c r="L3188" s="200"/>
      <c r="M3188" s="204"/>
      <c r="N3188" s="205"/>
      <c r="O3188" s="170"/>
      <c r="P3188" s="198"/>
      <c r="Q3188" s="199"/>
      <c r="R3188" s="200"/>
      <c r="S3188" s="170"/>
      <c r="T3188" s="170"/>
      <c r="U3188" s="201"/>
      <c r="V3188" s="198"/>
      <c r="W3188" s="170"/>
      <c r="X3188" s="202"/>
      <c r="Y3188" s="203"/>
      <c r="Z3188" s="170"/>
      <c r="AA3188" s="198"/>
      <c r="AB3188" s="170"/>
      <c r="AC3188" s="170"/>
      <c r="AD3188" s="121"/>
      <c r="AE3188" s="121"/>
      <c r="AF3188" s="121"/>
      <c r="AG3188" s="22"/>
      <c r="AH3188" s="22"/>
      <c r="AI3188" s="22"/>
      <c r="AJ3188" s="22"/>
      <c r="AK3188" s="22"/>
      <c r="AL3188" s="22"/>
      <c r="AM3188" s="22"/>
      <c r="AN3188" s="22"/>
      <c r="AO3188" s="22"/>
      <c r="AP3188" s="22"/>
    </row>
    <row r="3189">
      <c r="A3189" s="193"/>
      <c r="B3189" s="194"/>
      <c r="C3189" s="195"/>
      <c r="D3189" s="196"/>
      <c r="E3189" s="197"/>
      <c r="F3189" s="197"/>
      <c r="G3189" s="195"/>
      <c r="H3189" s="195"/>
      <c r="I3189" s="197"/>
      <c r="J3189" s="121"/>
      <c r="K3189" s="121"/>
      <c r="L3189" s="200"/>
      <c r="M3189" s="204"/>
      <c r="N3189" s="205"/>
      <c r="O3189" s="170"/>
      <c r="P3189" s="198"/>
      <c r="Q3189" s="199"/>
      <c r="R3189" s="200"/>
      <c r="S3189" s="170"/>
      <c r="T3189" s="170"/>
      <c r="U3189" s="201"/>
      <c r="V3189" s="198"/>
      <c r="W3189" s="170"/>
      <c r="X3189" s="202"/>
      <c r="Y3189" s="203"/>
      <c r="Z3189" s="170"/>
      <c r="AA3189" s="198"/>
      <c r="AB3189" s="170"/>
      <c r="AC3189" s="170"/>
      <c r="AD3189" s="121"/>
      <c r="AE3189" s="121"/>
      <c r="AF3189" s="121"/>
      <c r="AG3189" s="22"/>
      <c r="AH3189" s="22"/>
      <c r="AI3189" s="22"/>
      <c r="AJ3189" s="22"/>
      <c r="AK3189" s="22"/>
      <c r="AL3189" s="22"/>
      <c r="AM3189" s="22"/>
      <c r="AN3189" s="22"/>
      <c r="AO3189" s="22"/>
      <c r="AP3189" s="22"/>
    </row>
    <row r="3190">
      <c r="A3190" s="193"/>
      <c r="B3190" s="194"/>
      <c r="C3190" s="195"/>
      <c r="D3190" s="196"/>
      <c r="E3190" s="197"/>
      <c r="F3190" s="197"/>
      <c r="G3190" s="195"/>
      <c r="H3190" s="195"/>
      <c r="I3190" s="197"/>
      <c r="J3190" s="121"/>
      <c r="K3190" s="121"/>
      <c r="L3190" s="200"/>
      <c r="M3190" s="204"/>
      <c r="N3190" s="205"/>
      <c r="O3190" s="170"/>
      <c r="P3190" s="198"/>
      <c r="Q3190" s="199"/>
      <c r="R3190" s="200"/>
      <c r="S3190" s="170"/>
      <c r="T3190" s="170"/>
      <c r="U3190" s="201"/>
      <c r="V3190" s="198"/>
      <c r="W3190" s="170"/>
      <c r="X3190" s="202"/>
      <c r="Y3190" s="203"/>
      <c r="Z3190" s="170"/>
      <c r="AA3190" s="198"/>
      <c r="AB3190" s="170"/>
      <c r="AC3190" s="170"/>
      <c r="AD3190" s="121"/>
      <c r="AE3190" s="121"/>
      <c r="AF3190" s="121"/>
      <c r="AG3190" s="22"/>
      <c r="AH3190" s="22"/>
      <c r="AI3190" s="22"/>
      <c r="AJ3190" s="22"/>
      <c r="AK3190" s="22"/>
      <c r="AL3190" s="22"/>
      <c r="AM3190" s="22"/>
      <c r="AN3190" s="22"/>
      <c r="AO3190" s="22"/>
      <c r="AP3190" s="22"/>
    </row>
    <row r="3191">
      <c r="A3191" s="193"/>
      <c r="B3191" s="194"/>
      <c r="C3191" s="195"/>
      <c r="D3191" s="196"/>
      <c r="E3191" s="197"/>
      <c r="F3191" s="197"/>
      <c r="G3191" s="195"/>
      <c r="H3191" s="195"/>
      <c r="I3191" s="197"/>
      <c r="J3191" s="121"/>
      <c r="K3191" s="121"/>
      <c r="L3191" s="200"/>
      <c r="M3191" s="204"/>
      <c r="N3191" s="205"/>
      <c r="O3191" s="170"/>
      <c r="P3191" s="198"/>
      <c r="Q3191" s="199"/>
      <c r="R3191" s="200"/>
      <c r="S3191" s="170"/>
      <c r="T3191" s="170"/>
      <c r="U3191" s="201"/>
      <c r="V3191" s="198"/>
      <c r="W3191" s="170"/>
      <c r="X3191" s="202"/>
      <c r="Y3191" s="203"/>
      <c r="Z3191" s="170"/>
      <c r="AA3191" s="198"/>
      <c r="AB3191" s="170"/>
      <c r="AC3191" s="170"/>
      <c r="AD3191" s="121"/>
      <c r="AE3191" s="121"/>
      <c r="AF3191" s="121"/>
      <c r="AG3191" s="22"/>
      <c r="AH3191" s="22"/>
      <c r="AI3191" s="22"/>
      <c r="AJ3191" s="22"/>
      <c r="AK3191" s="22"/>
      <c r="AL3191" s="22"/>
      <c r="AM3191" s="22"/>
      <c r="AN3191" s="22"/>
      <c r="AO3191" s="22"/>
      <c r="AP3191" s="22"/>
    </row>
    <row r="3192">
      <c r="A3192" s="193"/>
      <c r="B3192" s="194"/>
      <c r="C3192" s="195"/>
      <c r="D3192" s="196"/>
      <c r="E3192" s="197"/>
      <c r="F3192" s="197"/>
      <c r="G3192" s="195"/>
      <c r="H3192" s="195"/>
      <c r="I3192" s="197"/>
      <c r="J3192" s="121"/>
      <c r="K3192" s="121"/>
      <c r="L3192" s="200"/>
      <c r="M3192" s="204"/>
      <c r="N3192" s="205"/>
      <c r="O3192" s="170"/>
      <c r="P3192" s="198"/>
      <c r="Q3192" s="199"/>
      <c r="R3192" s="200"/>
      <c r="S3192" s="170"/>
      <c r="T3192" s="170"/>
      <c r="U3192" s="201"/>
      <c r="V3192" s="198"/>
      <c r="W3192" s="170"/>
      <c r="X3192" s="202"/>
      <c r="Y3192" s="203"/>
      <c r="Z3192" s="170"/>
      <c r="AA3192" s="198"/>
      <c r="AB3192" s="170"/>
      <c r="AC3192" s="170"/>
      <c r="AD3192" s="121"/>
      <c r="AE3192" s="121"/>
      <c r="AF3192" s="121"/>
      <c r="AG3192" s="22"/>
      <c r="AH3192" s="22"/>
      <c r="AI3192" s="22"/>
      <c r="AJ3192" s="22"/>
      <c r="AK3192" s="22"/>
      <c r="AL3192" s="22"/>
      <c r="AM3192" s="22"/>
      <c r="AN3192" s="22"/>
      <c r="AO3192" s="22"/>
      <c r="AP3192" s="22"/>
    </row>
    <row r="3193">
      <c r="A3193" s="193"/>
      <c r="B3193" s="194"/>
      <c r="C3193" s="195"/>
      <c r="D3193" s="196"/>
      <c r="E3193" s="197"/>
      <c r="F3193" s="197"/>
      <c r="G3193" s="195"/>
      <c r="H3193" s="195"/>
      <c r="I3193" s="197"/>
      <c r="J3193" s="121"/>
      <c r="K3193" s="121"/>
      <c r="L3193" s="200"/>
      <c r="M3193" s="204"/>
      <c r="N3193" s="205"/>
      <c r="O3193" s="170"/>
      <c r="P3193" s="198"/>
      <c r="Q3193" s="199"/>
      <c r="R3193" s="200"/>
      <c r="S3193" s="170"/>
      <c r="T3193" s="170"/>
      <c r="U3193" s="201"/>
      <c r="V3193" s="198"/>
      <c r="W3193" s="170"/>
      <c r="X3193" s="202"/>
      <c r="Y3193" s="203"/>
      <c r="Z3193" s="170"/>
      <c r="AA3193" s="198"/>
      <c r="AB3193" s="170"/>
      <c r="AC3193" s="170"/>
      <c r="AD3193" s="121"/>
      <c r="AE3193" s="121"/>
      <c r="AF3193" s="121"/>
      <c r="AG3193" s="22"/>
      <c r="AH3193" s="22"/>
      <c r="AI3193" s="22"/>
      <c r="AJ3193" s="22"/>
      <c r="AK3193" s="22"/>
      <c r="AL3193" s="22"/>
      <c r="AM3193" s="22"/>
      <c r="AN3193" s="22"/>
      <c r="AO3193" s="22"/>
      <c r="AP3193" s="22"/>
    </row>
    <row r="3194">
      <c r="A3194" s="193"/>
      <c r="B3194" s="194"/>
      <c r="C3194" s="195"/>
      <c r="D3194" s="196"/>
      <c r="E3194" s="197"/>
      <c r="F3194" s="197"/>
      <c r="G3194" s="195"/>
      <c r="H3194" s="195"/>
      <c r="I3194" s="197"/>
      <c r="J3194" s="121"/>
      <c r="K3194" s="121"/>
      <c r="L3194" s="200"/>
      <c r="M3194" s="204"/>
      <c r="N3194" s="205"/>
      <c r="O3194" s="170"/>
      <c r="P3194" s="198"/>
      <c r="Q3194" s="199"/>
      <c r="R3194" s="200"/>
      <c r="S3194" s="170"/>
      <c r="T3194" s="170"/>
      <c r="U3194" s="201"/>
      <c r="V3194" s="198"/>
      <c r="W3194" s="170"/>
      <c r="X3194" s="202"/>
      <c r="Y3194" s="203"/>
      <c r="Z3194" s="170"/>
      <c r="AA3194" s="198"/>
      <c r="AB3194" s="170"/>
      <c r="AC3194" s="170"/>
      <c r="AD3194" s="121"/>
      <c r="AE3194" s="121"/>
      <c r="AF3194" s="121"/>
      <c r="AG3194" s="22"/>
      <c r="AH3194" s="22"/>
      <c r="AI3194" s="22"/>
      <c r="AJ3194" s="22"/>
      <c r="AK3194" s="22"/>
      <c r="AL3194" s="22"/>
      <c r="AM3194" s="22"/>
      <c r="AN3194" s="22"/>
      <c r="AO3194" s="22"/>
      <c r="AP3194" s="22"/>
    </row>
    <row r="3195">
      <c r="A3195" s="193"/>
      <c r="B3195" s="194"/>
      <c r="C3195" s="195"/>
      <c r="D3195" s="196"/>
      <c r="E3195" s="197"/>
      <c r="F3195" s="197"/>
      <c r="G3195" s="195"/>
      <c r="H3195" s="195"/>
      <c r="I3195" s="197"/>
      <c r="J3195" s="121"/>
      <c r="K3195" s="121"/>
      <c r="L3195" s="200"/>
      <c r="M3195" s="204"/>
      <c r="N3195" s="205"/>
      <c r="O3195" s="170"/>
      <c r="P3195" s="198"/>
      <c r="Q3195" s="199"/>
      <c r="R3195" s="200"/>
      <c r="S3195" s="170"/>
      <c r="T3195" s="170"/>
      <c r="U3195" s="201"/>
      <c r="V3195" s="198"/>
      <c r="W3195" s="170"/>
      <c r="X3195" s="202"/>
      <c r="Y3195" s="203"/>
      <c r="Z3195" s="170"/>
      <c r="AA3195" s="198"/>
      <c r="AB3195" s="170"/>
      <c r="AC3195" s="170"/>
      <c r="AD3195" s="121"/>
      <c r="AE3195" s="121"/>
      <c r="AF3195" s="121"/>
      <c r="AG3195" s="22"/>
      <c r="AH3195" s="22"/>
      <c r="AI3195" s="22"/>
      <c r="AJ3195" s="22"/>
      <c r="AK3195" s="22"/>
      <c r="AL3195" s="22"/>
      <c r="AM3195" s="22"/>
      <c r="AN3195" s="22"/>
      <c r="AO3195" s="22"/>
      <c r="AP3195" s="22"/>
    </row>
    <row r="3196">
      <c r="A3196" s="193"/>
      <c r="B3196" s="194"/>
      <c r="C3196" s="195"/>
      <c r="D3196" s="196"/>
      <c r="E3196" s="197"/>
      <c r="F3196" s="197"/>
      <c r="G3196" s="195"/>
      <c r="H3196" s="195"/>
      <c r="I3196" s="197"/>
      <c r="J3196" s="121"/>
      <c r="K3196" s="121"/>
      <c r="L3196" s="200"/>
      <c r="M3196" s="204"/>
      <c r="N3196" s="205"/>
      <c r="O3196" s="170"/>
      <c r="P3196" s="198"/>
      <c r="Q3196" s="199"/>
      <c r="R3196" s="200"/>
      <c r="S3196" s="170"/>
      <c r="T3196" s="170"/>
      <c r="U3196" s="201"/>
      <c r="V3196" s="198"/>
      <c r="W3196" s="170"/>
      <c r="X3196" s="202"/>
      <c r="Y3196" s="203"/>
      <c r="Z3196" s="170"/>
      <c r="AA3196" s="198"/>
      <c r="AB3196" s="170"/>
      <c r="AC3196" s="170"/>
      <c r="AD3196" s="121"/>
      <c r="AE3196" s="121"/>
      <c r="AF3196" s="121"/>
      <c r="AG3196" s="22"/>
      <c r="AH3196" s="22"/>
      <c r="AI3196" s="22"/>
      <c r="AJ3196" s="22"/>
      <c r="AK3196" s="22"/>
      <c r="AL3196" s="22"/>
      <c r="AM3196" s="22"/>
      <c r="AN3196" s="22"/>
      <c r="AO3196" s="22"/>
      <c r="AP3196" s="22"/>
    </row>
    <row r="3197">
      <c r="A3197" s="193"/>
      <c r="B3197" s="194"/>
      <c r="C3197" s="195"/>
      <c r="D3197" s="196"/>
      <c r="E3197" s="197"/>
      <c r="F3197" s="197"/>
      <c r="G3197" s="195"/>
      <c r="H3197" s="195"/>
      <c r="I3197" s="197"/>
      <c r="J3197" s="121"/>
      <c r="K3197" s="121"/>
      <c r="L3197" s="200"/>
      <c r="M3197" s="204"/>
      <c r="N3197" s="205"/>
      <c r="O3197" s="170"/>
      <c r="P3197" s="198"/>
      <c r="Q3197" s="199"/>
      <c r="R3197" s="200"/>
      <c r="S3197" s="170"/>
      <c r="T3197" s="170"/>
      <c r="U3197" s="201"/>
      <c r="V3197" s="198"/>
      <c r="W3197" s="170"/>
      <c r="X3197" s="202"/>
      <c r="Y3197" s="203"/>
      <c r="Z3197" s="170"/>
      <c r="AA3197" s="198"/>
      <c r="AB3197" s="170"/>
      <c r="AC3197" s="170"/>
      <c r="AD3197" s="121"/>
      <c r="AE3197" s="121"/>
      <c r="AF3197" s="121"/>
      <c r="AG3197" s="22"/>
      <c r="AH3197" s="22"/>
      <c r="AI3197" s="22"/>
      <c r="AJ3197" s="22"/>
      <c r="AK3197" s="22"/>
      <c r="AL3197" s="22"/>
      <c r="AM3197" s="22"/>
      <c r="AN3197" s="22"/>
      <c r="AO3197" s="22"/>
      <c r="AP3197" s="22"/>
    </row>
    <row r="3198">
      <c r="A3198" s="193"/>
      <c r="B3198" s="194"/>
      <c r="C3198" s="195"/>
      <c r="D3198" s="196"/>
      <c r="E3198" s="197"/>
      <c r="F3198" s="197"/>
      <c r="G3198" s="195"/>
      <c r="H3198" s="195"/>
      <c r="I3198" s="197"/>
      <c r="J3198" s="121"/>
      <c r="K3198" s="121"/>
      <c r="L3198" s="200"/>
      <c r="M3198" s="204"/>
      <c r="N3198" s="205"/>
      <c r="O3198" s="170"/>
      <c r="P3198" s="198"/>
      <c r="Q3198" s="199"/>
      <c r="R3198" s="200"/>
      <c r="S3198" s="170"/>
      <c r="T3198" s="170"/>
      <c r="U3198" s="201"/>
      <c r="V3198" s="198"/>
      <c r="W3198" s="170"/>
      <c r="X3198" s="202"/>
      <c r="Y3198" s="203"/>
      <c r="Z3198" s="170"/>
      <c r="AA3198" s="198"/>
      <c r="AB3198" s="170"/>
      <c r="AC3198" s="170"/>
      <c r="AD3198" s="121"/>
      <c r="AE3198" s="121"/>
      <c r="AF3198" s="121"/>
      <c r="AG3198" s="22"/>
      <c r="AH3198" s="22"/>
      <c r="AI3198" s="22"/>
      <c r="AJ3198" s="22"/>
      <c r="AK3198" s="22"/>
      <c r="AL3198" s="22"/>
      <c r="AM3198" s="22"/>
      <c r="AN3198" s="22"/>
      <c r="AO3198" s="22"/>
      <c r="AP3198" s="22"/>
    </row>
    <row r="3199">
      <c r="A3199" s="193"/>
      <c r="B3199" s="194"/>
      <c r="C3199" s="195"/>
      <c r="D3199" s="196"/>
      <c r="E3199" s="197"/>
      <c r="F3199" s="197"/>
      <c r="G3199" s="195"/>
      <c r="H3199" s="195"/>
      <c r="I3199" s="197"/>
      <c r="J3199" s="121"/>
      <c r="K3199" s="121"/>
      <c r="L3199" s="200"/>
      <c r="M3199" s="204"/>
      <c r="N3199" s="205"/>
      <c r="O3199" s="170"/>
      <c r="P3199" s="198"/>
      <c r="Q3199" s="199"/>
      <c r="R3199" s="200"/>
      <c r="S3199" s="170"/>
      <c r="T3199" s="170"/>
      <c r="U3199" s="201"/>
      <c r="V3199" s="198"/>
      <c r="W3199" s="170"/>
      <c r="X3199" s="202"/>
      <c r="Y3199" s="203"/>
      <c r="Z3199" s="170"/>
      <c r="AA3199" s="198"/>
      <c r="AB3199" s="170"/>
      <c r="AC3199" s="170"/>
      <c r="AD3199" s="121"/>
      <c r="AE3199" s="121"/>
      <c r="AF3199" s="121"/>
      <c r="AG3199" s="22"/>
      <c r="AH3199" s="22"/>
      <c r="AI3199" s="22"/>
      <c r="AJ3199" s="22"/>
      <c r="AK3199" s="22"/>
      <c r="AL3199" s="22"/>
      <c r="AM3199" s="22"/>
      <c r="AN3199" s="22"/>
      <c r="AO3199" s="22"/>
      <c r="AP3199" s="22"/>
    </row>
    <row r="3200">
      <c r="A3200" s="193"/>
      <c r="B3200" s="194"/>
      <c r="C3200" s="195"/>
      <c r="D3200" s="196"/>
      <c r="E3200" s="197"/>
      <c r="F3200" s="197"/>
      <c r="G3200" s="195"/>
      <c r="H3200" s="195"/>
      <c r="I3200" s="197"/>
      <c r="J3200" s="121"/>
      <c r="K3200" s="121"/>
      <c r="L3200" s="200"/>
      <c r="M3200" s="204"/>
      <c r="N3200" s="205"/>
      <c r="O3200" s="170"/>
      <c r="P3200" s="198"/>
      <c r="Q3200" s="199"/>
      <c r="R3200" s="200"/>
      <c r="S3200" s="170"/>
      <c r="T3200" s="170"/>
      <c r="U3200" s="201"/>
      <c r="V3200" s="198"/>
      <c r="W3200" s="170"/>
      <c r="X3200" s="202"/>
      <c r="Y3200" s="203"/>
      <c r="Z3200" s="170"/>
      <c r="AA3200" s="198"/>
      <c r="AB3200" s="170"/>
      <c r="AC3200" s="170"/>
      <c r="AD3200" s="121"/>
      <c r="AE3200" s="121"/>
      <c r="AF3200" s="121"/>
      <c r="AG3200" s="22"/>
      <c r="AH3200" s="22"/>
      <c r="AI3200" s="22"/>
      <c r="AJ3200" s="22"/>
      <c r="AK3200" s="22"/>
      <c r="AL3200" s="22"/>
      <c r="AM3200" s="22"/>
      <c r="AN3200" s="22"/>
      <c r="AO3200" s="22"/>
      <c r="AP3200" s="22"/>
    </row>
    <row r="3201">
      <c r="A3201" s="193"/>
      <c r="B3201" s="194"/>
      <c r="C3201" s="195"/>
      <c r="D3201" s="196"/>
      <c r="E3201" s="197"/>
      <c r="F3201" s="197"/>
      <c r="G3201" s="195"/>
      <c r="H3201" s="195"/>
      <c r="I3201" s="197"/>
      <c r="J3201" s="121"/>
      <c r="K3201" s="121"/>
      <c r="L3201" s="200"/>
      <c r="M3201" s="204"/>
      <c r="N3201" s="205"/>
      <c r="O3201" s="170"/>
      <c r="P3201" s="198"/>
      <c r="Q3201" s="199"/>
      <c r="R3201" s="200"/>
      <c r="S3201" s="170"/>
      <c r="T3201" s="170"/>
      <c r="U3201" s="201"/>
      <c r="V3201" s="198"/>
      <c r="W3201" s="170"/>
      <c r="X3201" s="202"/>
      <c r="Y3201" s="203"/>
      <c r="Z3201" s="170"/>
      <c r="AA3201" s="198"/>
      <c r="AB3201" s="170"/>
      <c r="AC3201" s="170"/>
      <c r="AD3201" s="121"/>
      <c r="AE3201" s="121"/>
      <c r="AF3201" s="121"/>
      <c r="AG3201" s="22"/>
      <c r="AH3201" s="22"/>
      <c r="AI3201" s="22"/>
      <c r="AJ3201" s="22"/>
      <c r="AK3201" s="22"/>
      <c r="AL3201" s="22"/>
      <c r="AM3201" s="22"/>
      <c r="AN3201" s="22"/>
      <c r="AO3201" s="22"/>
      <c r="AP3201" s="22"/>
    </row>
    <row r="3202">
      <c r="A3202" s="193"/>
      <c r="B3202" s="194"/>
      <c r="C3202" s="195"/>
      <c r="D3202" s="196"/>
      <c r="E3202" s="197"/>
      <c r="F3202" s="197"/>
      <c r="G3202" s="195"/>
      <c r="H3202" s="195"/>
      <c r="I3202" s="197"/>
      <c r="J3202" s="121"/>
      <c r="K3202" s="121"/>
      <c r="L3202" s="200"/>
      <c r="M3202" s="204"/>
      <c r="N3202" s="205"/>
      <c r="O3202" s="170"/>
      <c r="P3202" s="198"/>
      <c r="Q3202" s="199"/>
      <c r="R3202" s="200"/>
      <c r="S3202" s="170"/>
      <c r="T3202" s="170"/>
      <c r="U3202" s="201"/>
      <c r="V3202" s="198"/>
      <c r="W3202" s="170"/>
      <c r="X3202" s="202"/>
      <c r="Y3202" s="203"/>
      <c r="Z3202" s="170"/>
      <c r="AA3202" s="198"/>
      <c r="AB3202" s="170"/>
      <c r="AC3202" s="170"/>
      <c r="AD3202" s="121"/>
      <c r="AE3202" s="121"/>
      <c r="AF3202" s="121"/>
      <c r="AG3202" s="22"/>
      <c r="AH3202" s="22"/>
      <c r="AI3202" s="22"/>
      <c r="AJ3202" s="22"/>
      <c r="AK3202" s="22"/>
      <c r="AL3202" s="22"/>
      <c r="AM3202" s="22"/>
      <c r="AN3202" s="22"/>
      <c r="AO3202" s="22"/>
      <c r="AP3202" s="22"/>
    </row>
    <row r="3203">
      <c r="A3203" s="193"/>
      <c r="B3203" s="194"/>
      <c r="C3203" s="195"/>
      <c r="D3203" s="196"/>
      <c r="E3203" s="197"/>
      <c r="F3203" s="197"/>
      <c r="G3203" s="195"/>
      <c r="H3203" s="195"/>
      <c r="I3203" s="197"/>
      <c r="J3203" s="121"/>
      <c r="K3203" s="121"/>
      <c r="L3203" s="200"/>
      <c r="M3203" s="204"/>
      <c r="N3203" s="205"/>
      <c r="O3203" s="170"/>
      <c r="P3203" s="198"/>
      <c r="Q3203" s="199"/>
      <c r="R3203" s="200"/>
      <c r="S3203" s="170"/>
      <c r="T3203" s="170"/>
      <c r="U3203" s="201"/>
      <c r="V3203" s="198"/>
      <c r="W3203" s="170"/>
      <c r="X3203" s="202"/>
      <c r="Y3203" s="203"/>
      <c r="Z3203" s="170"/>
      <c r="AA3203" s="198"/>
      <c r="AB3203" s="170"/>
      <c r="AC3203" s="170"/>
      <c r="AD3203" s="121"/>
      <c r="AE3203" s="121"/>
      <c r="AF3203" s="121"/>
      <c r="AG3203" s="22"/>
      <c r="AH3203" s="22"/>
      <c r="AI3203" s="22"/>
      <c r="AJ3203" s="22"/>
      <c r="AK3203" s="22"/>
      <c r="AL3203" s="22"/>
      <c r="AM3203" s="22"/>
      <c r="AN3203" s="22"/>
      <c r="AO3203" s="22"/>
      <c r="AP3203" s="22"/>
    </row>
    <row r="3204">
      <c r="A3204" s="193"/>
      <c r="B3204" s="194"/>
      <c r="C3204" s="195"/>
      <c r="D3204" s="196"/>
      <c r="E3204" s="197"/>
      <c r="F3204" s="197"/>
      <c r="G3204" s="195"/>
      <c r="H3204" s="195"/>
      <c r="I3204" s="197"/>
      <c r="J3204" s="121"/>
      <c r="K3204" s="121"/>
      <c r="L3204" s="200"/>
      <c r="M3204" s="204"/>
      <c r="N3204" s="205"/>
      <c r="O3204" s="170"/>
      <c r="P3204" s="198"/>
      <c r="Q3204" s="199"/>
      <c r="R3204" s="200"/>
      <c r="S3204" s="170"/>
      <c r="T3204" s="170"/>
      <c r="U3204" s="201"/>
      <c r="V3204" s="198"/>
      <c r="W3204" s="170"/>
      <c r="X3204" s="202"/>
      <c r="Y3204" s="203"/>
      <c r="Z3204" s="170"/>
      <c r="AA3204" s="198"/>
      <c r="AB3204" s="170"/>
      <c r="AC3204" s="170"/>
      <c r="AD3204" s="121"/>
      <c r="AE3204" s="121"/>
      <c r="AF3204" s="121"/>
      <c r="AG3204" s="22"/>
      <c r="AH3204" s="22"/>
      <c r="AI3204" s="22"/>
      <c r="AJ3204" s="22"/>
      <c r="AK3204" s="22"/>
      <c r="AL3204" s="22"/>
      <c r="AM3204" s="22"/>
      <c r="AN3204" s="22"/>
      <c r="AO3204" s="22"/>
      <c r="AP3204" s="22"/>
    </row>
    <row r="3205">
      <c r="A3205" s="193"/>
      <c r="B3205" s="194"/>
      <c r="C3205" s="195"/>
      <c r="D3205" s="196"/>
      <c r="E3205" s="197"/>
      <c r="F3205" s="197"/>
      <c r="G3205" s="195"/>
      <c r="H3205" s="195"/>
      <c r="I3205" s="197"/>
      <c r="J3205" s="121"/>
      <c r="K3205" s="121"/>
      <c r="L3205" s="200"/>
      <c r="M3205" s="204"/>
      <c r="N3205" s="205"/>
      <c r="O3205" s="170"/>
      <c r="P3205" s="198"/>
      <c r="Q3205" s="199"/>
      <c r="R3205" s="200"/>
      <c r="S3205" s="170"/>
      <c r="T3205" s="170"/>
      <c r="U3205" s="201"/>
      <c r="V3205" s="198"/>
      <c r="W3205" s="170"/>
      <c r="X3205" s="202"/>
      <c r="Y3205" s="203"/>
      <c r="Z3205" s="170"/>
      <c r="AA3205" s="198"/>
      <c r="AB3205" s="170"/>
      <c r="AC3205" s="170"/>
      <c r="AD3205" s="121"/>
      <c r="AE3205" s="121"/>
      <c r="AF3205" s="121"/>
      <c r="AG3205" s="22"/>
      <c r="AH3205" s="22"/>
      <c r="AI3205" s="22"/>
      <c r="AJ3205" s="22"/>
      <c r="AK3205" s="22"/>
      <c r="AL3205" s="22"/>
      <c r="AM3205" s="22"/>
      <c r="AN3205" s="22"/>
      <c r="AO3205" s="22"/>
      <c r="AP3205" s="22"/>
    </row>
    <row r="3206">
      <c r="A3206" s="193"/>
      <c r="B3206" s="194"/>
      <c r="C3206" s="195"/>
      <c r="D3206" s="196"/>
      <c r="E3206" s="197"/>
      <c r="F3206" s="197"/>
      <c r="G3206" s="195"/>
      <c r="H3206" s="195"/>
      <c r="I3206" s="197"/>
      <c r="J3206" s="121"/>
      <c r="K3206" s="121"/>
      <c r="L3206" s="200"/>
      <c r="M3206" s="204"/>
      <c r="N3206" s="205"/>
      <c r="O3206" s="170"/>
      <c r="P3206" s="198"/>
      <c r="Q3206" s="199"/>
      <c r="R3206" s="200"/>
      <c r="S3206" s="170"/>
      <c r="T3206" s="170"/>
      <c r="U3206" s="201"/>
      <c r="V3206" s="198"/>
      <c r="W3206" s="170"/>
      <c r="X3206" s="202"/>
      <c r="Y3206" s="203"/>
      <c r="Z3206" s="170"/>
      <c r="AA3206" s="198"/>
      <c r="AB3206" s="170"/>
      <c r="AC3206" s="170"/>
      <c r="AD3206" s="121"/>
      <c r="AE3206" s="121"/>
      <c r="AF3206" s="121"/>
      <c r="AG3206" s="22"/>
      <c r="AH3206" s="22"/>
      <c r="AI3206" s="22"/>
      <c r="AJ3206" s="22"/>
      <c r="AK3206" s="22"/>
      <c r="AL3206" s="22"/>
      <c r="AM3206" s="22"/>
      <c r="AN3206" s="22"/>
      <c r="AO3206" s="22"/>
      <c r="AP3206" s="22"/>
    </row>
    <row r="3207">
      <c r="A3207" s="193"/>
      <c r="B3207" s="194"/>
      <c r="C3207" s="195"/>
      <c r="D3207" s="196"/>
      <c r="E3207" s="197"/>
      <c r="F3207" s="197"/>
      <c r="G3207" s="195"/>
      <c r="H3207" s="195"/>
      <c r="I3207" s="197"/>
      <c r="J3207" s="121"/>
      <c r="K3207" s="121"/>
      <c r="L3207" s="200"/>
      <c r="M3207" s="204"/>
      <c r="N3207" s="205"/>
      <c r="O3207" s="170"/>
      <c r="P3207" s="198"/>
      <c r="Q3207" s="199"/>
      <c r="R3207" s="200"/>
      <c r="S3207" s="170"/>
      <c r="T3207" s="170"/>
      <c r="U3207" s="201"/>
      <c r="V3207" s="198"/>
      <c r="W3207" s="170"/>
      <c r="X3207" s="202"/>
      <c r="Y3207" s="203"/>
      <c r="Z3207" s="170"/>
      <c r="AA3207" s="198"/>
      <c r="AB3207" s="170"/>
      <c r="AC3207" s="170"/>
      <c r="AD3207" s="121"/>
      <c r="AE3207" s="121"/>
      <c r="AF3207" s="121"/>
      <c r="AG3207" s="22"/>
      <c r="AH3207" s="22"/>
      <c r="AI3207" s="22"/>
      <c r="AJ3207" s="22"/>
      <c r="AK3207" s="22"/>
      <c r="AL3207" s="22"/>
      <c r="AM3207" s="22"/>
      <c r="AN3207" s="22"/>
      <c r="AO3207" s="22"/>
      <c r="AP3207" s="22"/>
    </row>
    <row r="3208">
      <c r="A3208" s="193"/>
      <c r="B3208" s="194"/>
      <c r="C3208" s="195"/>
      <c r="D3208" s="196"/>
      <c r="E3208" s="197"/>
      <c r="F3208" s="197"/>
      <c r="G3208" s="195"/>
      <c r="H3208" s="195"/>
      <c r="I3208" s="197"/>
      <c r="J3208" s="121"/>
      <c r="K3208" s="121"/>
      <c r="L3208" s="200"/>
      <c r="M3208" s="204"/>
      <c r="N3208" s="205"/>
      <c r="O3208" s="170"/>
      <c r="P3208" s="198"/>
      <c r="Q3208" s="199"/>
      <c r="R3208" s="200"/>
      <c r="S3208" s="170"/>
      <c r="T3208" s="170"/>
      <c r="U3208" s="201"/>
      <c r="V3208" s="198"/>
      <c r="W3208" s="170"/>
      <c r="X3208" s="202"/>
      <c r="Y3208" s="203"/>
      <c r="Z3208" s="170"/>
      <c r="AA3208" s="198"/>
      <c r="AB3208" s="170"/>
      <c r="AC3208" s="170"/>
      <c r="AD3208" s="121"/>
      <c r="AE3208" s="121"/>
      <c r="AF3208" s="121"/>
      <c r="AG3208" s="22"/>
      <c r="AH3208" s="22"/>
      <c r="AI3208" s="22"/>
      <c r="AJ3208" s="22"/>
      <c r="AK3208" s="22"/>
      <c r="AL3208" s="22"/>
      <c r="AM3208" s="22"/>
      <c r="AN3208" s="22"/>
      <c r="AO3208" s="22"/>
      <c r="AP3208" s="22"/>
    </row>
    <row r="3209">
      <c r="A3209" s="193"/>
      <c r="B3209" s="194"/>
      <c r="C3209" s="195"/>
      <c r="D3209" s="196"/>
      <c r="E3209" s="197"/>
      <c r="F3209" s="197"/>
      <c r="G3209" s="195"/>
      <c r="H3209" s="195"/>
      <c r="I3209" s="197"/>
      <c r="J3209" s="121"/>
      <c r="K3209" s="121"/>
      <c r="L3209" s="200"/>
      <c r="M3209" s="204"/>
      <c r="N3209" s="205"/>
      <c r="O3209" s="170"/>
      <c r="P3209" s="198"/>
      <c r="Q3209" s="199"/>
      <c r="R3209" s="200"/>
      <c r="S3209" s="170"/>
      <c r="T3209" s="170"/>
      <c r="U3209" s="201"/>
      <c r="V3209" s="198"/>
      <c r="W3209" s="170"/>
      <c r="X3209" s="202"/>
      <c r="Y3209" s="203"/>
      <c r="Z3209" s="170"/>
      <c r="AA3209" s="198"/>
      <c r="AB3209" s="170"/>
      <c r="AC3209" s="170"/>
      <c r="AD3209" s="121"/>
      <c r="AE3209" s="121"/>
      <c r="AF3209" s="121"/>
      <c r="AG3209" s="22"/>
      <c r="AH3209" s="22"/>
      <c r="AI3209" s="22"/>
      <c r="AJ3209" s="22"/>
      <c r="AK3209" s="22"/>
      <c r="AL3209" s="22"/>
      <c r="AM3209" s="22"/>
      <c r="AN3209" s="22"/>
      <c r="AO3209" s="22"/>
      <c r="AP3209" s="22"/>
    </row>
    <row r="3210">
      <c r="A3210" s="193"/>
      <c r="B3210" s="194"/>
      <c r="C3210" s="195"/>
      <c r="D3210" s="196"/>
      <c r="E3210" s="197"/>
      <c r="F3210" s="197"/>
      <c r="G3210" s="195"/>
      <c r="H3210" s="195"/>
      <c r="I3210" s="197"/>
      <c r="J3210" s="121"/>
      <c r="K3210" s="121"/>
      <c r="L3210" s="200"/>
      <c r="M3210" s="204"/>
      <c r="N3210" s="205"/>
      <c r="O3210" s="170"/>
      <c r="P3210" s="198"/>
      <c r="Q3210" s="199"/>
      <c r="R3210" s="200"/>
      <c r="S3210" s="170"/>
      <c r="T3210" s="170"/>
      <c r="U3210" s="201"/>
      <c r="V3210" s="198"/>
      <c r="W3210" s="170"/>
      <c r="X3210" s="202"/>
      <c r="Y3210" s="203"/>
      <c r="Z3210" s="170"/>
      <c r="AA3210" s="198"/>
      <c r="AB3210" s="170"/>
      <c r="AC3210" s="170"/>
      <c r="AD3210" s="121"/>
      <c r="AE3210" s="121"/>
      <c r="AF3210" s="121"/>
      <c r="AG3210" s="22"/>
      <c r="AH3210" s="22"/>
      <c r="AI3210" s="22"/>
      <c r="AJ3210" s="22"/>
      <c r="AK3210" s="22"/>
      <c r="AL3210" s="22"/>
      <c r="AM3210" s="22"/>
      <c r="AN3210" s="22"/>
      <c r="AO3210" s="22"/>
      <c r="AP3210" s="22"/>
    </row>
    <row r="3211">
      <c r="A3211" s="193"/>
      <c r="B3211" s="194"/>
      <c r="C3211" s="195"/>
      <c r="D3211" s="196"/>
      <c r="E3211" s="197"/>
      <c r="F3211" s="197"/>
      <c r="G3211" s="195"/>
      <c r="H3211" s="195"/>
      <c r="I3211" s="197"/>
      <c r="J3211" s="121"/>
      <c r="K3211" s="121"/>
      <c r="L3211" s="200"/>
      <c r="M3211" s="204"/>
      <c r="N3211" s="205"/>
      <c r="O3211" s="170"/>
      <c r="P3211" s="198"/>
      <c r="Q3211" s="199"/>
      <c r="R3211" s="200"/>
      <c r="S3211" s="170"/>
      <c r="T3211" s="170"/>
      <c r="U3211" s="201"/>
      <c r="V3211" s="198"/>
      <c r="W3211" s="170"/>
      <c r="X3211" s="202"/>
      <c r="Y3211" s="203"/>
      <c r="Z3211" s="170"/>
      <c r="AA3211" s="198"/>
      <c r="AB3211" s="170"/>
      <c r="AC3211" s="170"/>
      <c r="AD3211" s="121"/>
      <c r="AE3211" s="121"/>
      <c r="AF3211" s="121"/>
      <c r="AG3211" s="22"/>
      <c r="AH3211" s="22"/>
      <c r="AI3211" s="22"/>
      <c r="AJ3211" s="22"/>
      <c r="AK3211" s="22"/>
      <c r="AL3211" s="22"/>
      <c r="AM3211" s="22"/>
      <c r="AN3211" s="22"/>
      <c r="AO3211" s="22"/>
      <c r="AP3211" s="22"/>
    </row>
    <row r="3212">
      <c r="A3212" s="193"/>
      <c r="B3212" s="194"/>
      <c r="C3212" s="195"/>
      <c r="D3212" s="196"/>
      <c r="E3212" s="197"/>
      <c r="F3212" s="197"/>
      <c r="G3212" s="195"/>
      <c r="H3212" s="195"/>
      <c r="I3212" s="197"/>
      <c r="J3212" s="121"/>
      <c r="K3212" s="121"/>
      <c r="L3212" s="200"/>
      <c r="M3212" s="204"/>
      <c r="N3212" s="205"/>
      <c r="O3212" s="170"/>
      <c r="P3212" s="198"/>
      <c r="Q3212" s="199"/>
      <c r="R3212" s="200"/>
      <c r="S3212" s="170"/>
      <c r="T3212" s="170"/>
      <c r="U3212" s="201"/>
      <c r="V3212" s="198"/>
      <c r="W3212" s="170"/>
      <c r="X3212" s="202"/>
      <c r="Y3212" s="203"/>
      <c r="Z3212" s="170"/>
      <c r="AA3212" s="198"/>
      <c r="AB3212" s="170"/>
      <c r="AC3212" s="170"/>
      <c r="AD3212" s="121"/>
      <c r="AE3212" s="121"/>
      <c r="AF3212" s="121"/>
      <c r="AG3212" s="22"/>
      <c r="AH3212" s="22"/>
      <c r="AI3212" s="22"/>
      <c r="AJ3212" s="22"/>
      <c r="AK3212" s="22"/>
      <c r="AL3212" s="22"/>
      <c r="AM3212" s="22"/>
      <c r="AN3212" s="22"/>
      <c r="AO3212" s="22"/>
      <c r="AP3212" s="22"/>
    </row>
    <row r="3213">
      <c r="A3213" s="193"/>
      <c r="B3213" s="194"/>
      <c r="C3213" s="195"/>
      <c r="D3213" s="196"/>
      <c r="E3213" s="197"/>
      <c r="F3213" s="197"/>
      <c r="G3213" s="195"/>
      <c r="H3213" s="195"/>
      <c r="I3213" s="197"/>
      <c r="J3213" s="121"/>
      <c r="K3213" s="121"/>
      <c r="L3213" s="200"/>
      <c r="M3213" s="204"/>
      <c r="N3213" s="205"/>
      <c r="O3213" s="170"/>
      <c r="P3213" s="198"/>
      <c r="Q3213" s="199"/>
      <c r="R3213" s="200"/>
      <c r="S3213" s="170"/>
      <c r="T3213" s="170"/>
      <c r="U3213" s="201"/>
      <c r="V3213" s="198"/>
      <c r="W3213" s="170"/>
      <c r="X3213" s="202"/>
      <c r="Y3213" s="203"/>
      <c r="Z3213" s="170"/>
      <c r="AA3213" s="198"/>
      <c r="AB3213" s="170"/>
      <c r="AC3213" s="170"/>
      <c r="AD3213" s="121"/>
      <c r="AE3213" s="121"/>
      <c r="AF3213" s="121"/>
      <c r="AG3213" s="22"/>
      <c r="AH3213" s="22"/>
      <c r="AI3213" s="22"/>
      <c r="AJ3213" s="22"/>
      <c r="AK3213" s="22"/>
      <c r="AL3213" s="22"/>
      <c r="AM3213" s="22"/>
      <c r="AN3213" s="22"/>
      <c r="AO3213" s="22"/>
      <c r="AP3213" s="22"/>
    </row>
    <row r="3214">
      <c r="A3214" s="193"/>
      <c r="B3214" s="194"/>
      <c r="C3214" s="195"/>
      <c r="D3214" s="196"/>
      <c r="E3214" s="197"/>
      <c r="F3214" s="197"/>
      <c r="G3214" s="195"/>
      <c r="H3214" s="195"/>
      <c r="I3214" s="197"/>
      <c r="J3214" s="121"/>
      <c r="K3214" s="121"/>
      <c r="L3214" s="200"/>
      <c r="M3214" s="204"/>
      <c r="N3214" s="205"/>
      <c r="O3214" s="170"/>
      <c r="P3214" s="198"/>
      <c r="Q3214" s="199"/>
      <c r="R3214" s="200"/>
      <c r="S3214" s="170"/>
      <c r="T3214" s="170"/>
      <c r="U3214" s="201"/>
      <c r="V3214" s="198"/>
      <c r="W3214" s="170"/>
      <c r="X3214" s="202"/>
      <c r="Y3214" s="203"/>
      <c r="Z3214" s="170"/>
      <c r="AA3214" s="198"/>
      <c r="AB3214" s="170"/>
      <c r="AC3214" s="170"/>
      <c r="AD3214" s="121"/>
      <c r="AE3214" s="121"/>
      <c r="AF3214" s="121"/>
      <c r="AG3214" s="22"/>
      <c r="AH3214" s="22"/>
      <c r="AI3214" s="22"/>
      <c r="AJ3214" s="22"/>
      <c r="AK3214" s="22"/>
      <c r="AL3214" s="22"/>
      <c r="AM3214" s="22"/>
      <c r="AN3214" s="22"/>
      <c r="AO3214" s="22"/>
      <c r="AP3214" s="22"/>
    </row>
    <row r="3215">
      <c r="A3215" s="193"/>
      <c r="B3215" s="194"/>
      <c r="C3215" s="195"/>
      <c r="D3215" s="196"/>
      <c r="E3215" s="197"/>
      <c r="F3215" s="197"/>
      <c r="G3215" s="195"/>
      <c r="H3215" s="195"/>
      <c r="I3215" s="197"/>
      <c r="J3215" s="121"/>
      <c r="K3215" s="121"/>
      <c r="L3215" s="200"/>
      <c r="M3215" s="204"/>
      <c r="N3215" s="205"/>
      <c r="O3215" s="170"/>
      <c r="P3215" s="198"/>
      <c r="Q3215" s="199"/>
      <c r="R3215" s="200"/>
      <c r="S3215" s="170"/>
      <c r="T3215" s="170"/>
      <c r="U3215" s="201"/>
      <c r="V3215" s="198"/>
      <c r="W3215" s="170"/>
      <c r="X3215" s="202"/>
      <c r="Y3215" s="203"/>
      <c r="Z3215" s="170"/>
      <c r="AA3215" s="198"/>
      <c r="AB3215" s="170"/>
      <c r="AC3215" s="170"/>
      <c r="AD3215" s="121"/>
      <c r="AE3215" s="121"/>
      <c r="AF3215" s="121"/>
      <c r="AG3215" s="22"/>
      <c r="AH3215" s="22"/>
      <c r="AI3215" s="22"/>
      <c r="AJ3215" s="22"/>
      <c r="AK3215" s="22"/>
      <c r="AL3215" s="22"/>
      <c r="AM3215" s="22"/>
      <c r="AN3215" s="22"/>
      <c r="AO3215" s="22"/>
      <c r="AP3215" s="22"/>
    </row>
    <row r="3216">
      <c r="A3216" s="193"/>
      <c r="B3216" s="194"/>
      <c r="C3216" s="195"/>
      <c r="D3216" s="196"/>
      <c r="E3216" s="197"/>
      <c r="F3216" s="197"/>
      <c r="G3216" s="195"/>
      <c r="H3216" s="195"/>
      <c r="I3216" s="197"/>
      <c r="J3216" s="121"/>
      <c r="K3216" s="121"/>
      <c r="L3216" s="200"/>
      <c r="M3216" s="204"/>
      <c r="N3216" s="205"/>
      <c r="O3216" s="170"/>
      <c r="P3216" s="198"/>
      <c r="Q3216" s="199"/>
      <c r="R3216" s="200"/>
      <c r="S3216" s="170"/>
      <c r="T3216" s="170"/>
      <c r="U3216" s="201"/>
      <c r="V3216" s="198"/>
      <c r="W3216" s="170"/>
      <c r="X3216" s="202"/>
      <c r="Y3216" s="203"/>
      <c r="Z3216" s="170"/>
      <c r="AA3216" s="198"/>
      <c r="AB3216" s="170"/>
      <c r="AC3216" s="170"/>
      <c r="AD3216" s="121"/>
      <c r="AE3216" s="121"/>
      <c r="AF3216" s="121"/>
      <c r="AG3216" s="22"/>
      <c r="AH3216" s="22"/>
      <c r="AI3216" s="22"/>
      <c r="AJ3216" s="22"/>
      <c r="AK3216" s="22"/>
      <c r="AL3216" s="22"/>
      <c r="AM3216" s="22"/>
      <c r="AN3216" s="22"/>
      <c r="AO3216" s="22"/>
      <c r="AP3216" s="22"/>
    </row>
    <row r="3217">
      <c r="A3217" s="193"/>
      <c r="B3217" s="194"/>
      <c r="C3217" s="195"/>
      <c r="D3217" s="196"/>
      <c r="E3217" s="197"/>
      <c r="F3217" s="197"/>
      <c r="G3217" s="195"/>
      <c r="H3217" s="195"/>
      <c r="I3217" s="197"/>
      <c r="J3217" s="121"/>
      <c r="K3217" s="121"/>
      <c r="L3217" s="200"/>
      <c r="M3217" s="204"/>
      <c r="N3217" s="205"/>
      <c r="O3217" s="170"/>
      <c r="P3217" s="198"/>
      <c r="Q3217" s="199"/>
      <c r="R3217" s="200"/>
      <c r="S3217" s="170"/>
      <c r="T3217" s="170"/>
      <c r="U3217" s="201"/>
      <c r="V3217" s="198"/>
      <c r="W3217" s="170"/>
      <c r="X3217" s="202"/>
      <c r="Y3217" s="203"/>
      <c r="Z3217" s="170"/>
      <c r="AA3217" s="198"/>
      <c r="AB3217" s="170"/>
      <c r="AC3217" s="170"/>
      <c r="AD3217" s="121"/>
      <c r="AE3217" s="121"/>
      <c r="AF3217" s="121"/>
      <c r="AG3217" s="22"/>
      <c r="AH3217" s="22"/>
      <c r="AI3217" s="22"/>
      <c r="AJ3217" s="22"/>
      <c r="AK3217" s="22"/>
      <c r="AL3217" s="22"/>
      <c r="AM3217" s="22"/>
      <c r="AN3217" s="22"/>
      <c r="AO3217" s="22"/>
      <c r="AP3217" s="22"/>
    </row>
    <row r="3218">
      <c r="A3218" s="193"/>
      <c r="B3218" s="194"/>
      <c r="C3218" s="195"/>
      <c r="D3218" s="196"/>
      <c r="E3218" s="197"/>
      <c r="F3218" s="197"/>
      <c r="G3218" s="195"/>
      <c r="H3218" s="195"/>
      <c r="I3218" s="197"/>
      <c r="J3218" s="121"/>
      <c r="K3218" s="121"/>
      <c r="L3218" s="200"/>
      <c r="M3218" s="204"/>
      <c r="N3218" s="205"/>
      <c r="O3218" s="170"/>
      <c r="P3218" s="198"/>
      <c r="Q3218" s="199"/>
      <c r="R3218" s="200"/>
      <c r="S3218" s="170"/>
      <c r="T3218" s="170"/>
      <c r="U3218" s="201"/>
      <c r="V3218" s="198"/>
      <c r="W3218" s="170"/>
      <c r="X3218" s="202"/>
      <c r="Y3218" s="203"/>
      <c r="Z3218" s="170"/>
      <c r="AA3218" s="198"/>
      <c r="AB3218" s="170"/>
      <c r="AC3218" s="170"/>
      <c r="AD3218" s="121"/>
      <c r="AE3218" s="121"/>
      <c r="AF3218" s="121"/>
      <c r="AG3218" s="22"/>
      <c r="AH3218" s="22"/>
      <c r="AI3218" s="22"/>
      <c r="AJ3218" s="22"/>
      <c r="AK3218" s="22"/>
      <c r="AL3218" s="22"/>
      <c r="AM3218" s="22"/>
      <c r="AN3218" s="22"/>
      <c r="AO3218" s="22"/>
      <c r="AP3218" s="22"/>
    </row>
    <row r="3219">
      <c r="A3219" s="193"/>
      <c r="B3219" s="194"/>
      <c r="C3219" s="195"/>
      <c r="D3219" s="196"/>
      <c r="E3219" s="197"/>
      <c r="F3219" s="197"/>
      <c r="G3219" s="195"/>
      <c r="H3219" s="195"/>
      <c r="I3219" s="197"/>
      <c r="J3219" s="121"/>
      <c r="K3219" s="121"/>
      <c r="L3219" s="200"/>
      <c r="M3219" s="204"/>
      <c r="N3219" s="205"/>
      <c r="O3219" s="170"/>
      <c r="P3219" s="198"/>
      <c r="Q3219" s="199"/>
      <c r="R3219" s="200"/>
      <c r="S3219" s="170"/>
      <c r="T3219" s="170"/>
      <c r="U3219" s="201"/>
      <c r="V3219" s="198"/>
      <c r="W3219" s="170"/>
      <c r="X3219" s="202"/>
      <c r="Y3219" s="203"/>
      <c r="Z3219" s="170"/>
      <c r="AA3219" s="198"/>
      <c r="AB3219" s="170"/>
      <c r="AC3219" s="170"/>
      <c r="AD3219" s="121"/>
      <c r="AE3219" s="121"/>
      <c r="AF3219" s="121"/>
      <c r="AG3219" s="22"/>
      <c r="AH3219" s="22"/>
      <c r="AI3219" s="22"/>
      <c r="AJ3219" s="22"/>
      <c r="AK3219" s="22"/>
      <c r="AL3219" s="22"/>
      <c r="AM3219" s="22"/>
      <c r="AN3219" s="22"/>
      <c r="AO3219" s="22"/>
      <c r="AP3219" s="22"/>
    </row>
    <row r="3220">
      <c r="A3220" s="193"/>
      <c r="B3220" s="194"/>
      <c r="C3220" s="195"/>
      <c r="D3220" s="196"/>
      <c r="E3220" s="197"/>
      <c r="F3220" s="197"/>
      <c r="G3220" s="195"/>
      <c r="H3220" s="195"/>
      <c r="I3220" s="197"/>
      <c r="J3220" s="121"/>
      <c r="K3220" s="121"/>
      <c r="L3220" s="200"/>
      <c r="M3220" s="204"/>
      <c r="N3220" s="205"/>
      <c r="O3220" s="170"/>
      <c r="P3220" s="198"/>
      <c r="Q3220" s="199"/>
      <c r="R3220" s="200"/>
      <c r="S3220" s="170"/>
      <c r="T3220" s="170"/>
      <c r="U3220" s="201"/>
      <c r="V3220" s="198"/>
      <c r="W3220" s="170"/>
      <c r="X3220" s="202"/>
      <c r="Y3220" s="203"/>
      <c r="Z3220" s="170"/>
      <c r="AA3220" s="198"/>
      <c r="AB3220" s="170"/>
      <c r="AC3220" s="170"/>
      <c r="AD3220" s="121"/>
      <c r="AE3220" s="121"/>
      <c r="AF3220" s="121"/>
      <c r="AG3220" s="22"/>
      <c r="AH3220" s="22"/>
      <c r="AI3220" s="22"/>
      <c r="AJ3220" s="22"/>
      <c r="AK3220" s="22"/>
      <c r="AL3220" s="22"/>
      <c r="AM3220" s="22"/>
      <c r="AN3220" s="22"/>
      <c r="AO3220" s="22"/>
      <c r="AP3220" s="22"/>
    </row>
    <row r="3221">
      <c r="A3221" s="193"/>
      <c r="B3221" s="194"/>
      <c r="C3221" s="195"/>
      <c r="D3221" s="196"/>
      <c r="E3221" s="197"/>
      <c r="F3221" s="197"/>
      <c r="G3221" s="195"/>
      <c r="H3221" s="195"/>
      <c r="I3221" s="197"/>
      <c r="J3221" s="121"/>
      <c r="K3221" s="121"/>
      <c r="L3221" s="200"/>
      <c r="M3221" s="204"/>
      <c r="N3221" s="205"/>
      <c r="O3221" s="170"/>
      <c r="P3221" s="198"/>
      <c r="Q3221" s="199"/>
      <c r="R3221" s="200"/>
      <c r="S3221" s="170"/>
      <c r="T3221" s="170"/>
      <c r="U3221" s="201"/>
      <c r="V3221" s="198"/>
      <c r="W3221" s="170"/>
      <c r="X3221" s="202"/>
      <c r="Y3221" s="203"/>
      <c r="Z3221" s="170"/>
      <c r="AA3221" s="198"/>
      <c r="AB3221" s="170"/>
      <c r="AC3221" s="170"/>
      <c r="AD3221" s="121"/>
      <c r="AE3221" s="121"/>
      <c r="AF3221" s="121"/>
      <c r="AG3221" s="22"/>
      <c r="AH3221" s="22"/>
      <c r="AI3221" s="22"/>
      <c r="AJ3221" s="22"/>
      <c r="AK3221" s="22"/>
      <c r="AL3221" s="22"/>
      <c r="AM3221" s="22"/>
      <c r="AN3221" s="22"/>
      <c r="AO3221" s="22"/>
      <c r="AP3221" s="22"/>
    </row>
    <row r="3222">
      <c r="A3222" s="193"/>
      <c r="B3222" s="194"/>
      <c r="C3222" s="195"/>
      <c r="D3222" s="196"/>
      <c r="E3222" s="197"/>
      <c r="F3222" s="197"/>
      <c r="G3222" s="195"/>
      <c r="H3222" s="195"/>
      <c r="I3222" s="197"/>
      <c r="J3222" s="121"/>
      <c r="K3222" s="121"/>
      <c r="L3222" s="200"/>
      <c r="M3222" s="204"/>
      <c r="N3222" s="205"/>
      <c r="O3222" s="170"/>
      <c r="P3222" s="198"/>
      <c r="Q3222" s="199"/>
      <c r="R3222" s="200"/>
      <c r="S3222" s="170"/>
      <c r="T3222" s="170"/>
      <c r="U3222" s="201"/>
      <c r="V3222" s="198"/>
      <c r="W3222" s="170"/>
      <c r="X3222" s="202"/>
      <c r="Y3222" s="203"/>
      <c r="Z3222" s="170"/>
      <c r="AA3222" s="198"/>
      <c r="AB3222" s="170"/>
      <c r="AC3222" s="170"/>
      <c r="AD3222" s="121"/>
      <c r="AE3222" s="121"/>
      <c r="AF3222" s="121"/>
      <c r="AG3222" s="22"/>
      <c r="AH3222" s="22"/>
      <c r="AI3222" s="22"/>
      <c r="AJ3222" s="22"/>
      <c r="AK3222" s="22"/>
      <c r="AL3222" s="22"/>
      <c r="AM3222" s="22"/>
      <c r="AN3222" s="22"/>
      <c r="AO3222" s="22"/>
      <c r="AP3222" s="22"/>
    </row>
    <row r="3223">
      <c r="A3223" s="193"/>
      <c r="B3223" s="194"/>
      <c r="C3223" s="195"/>
      <c r="D3223" s="196"/>
      <c r="E3223" s="197"/>
      <c r="F3223" s="197"/>
      <c r="G3223" s="195"/>
      <c r="H3223" s="195"/>
      <c r="I3223" s="197"/>
      <c r="J3223" s="121"/>
      <c r="K3223" s="121"/>
      <c r="L3223" s="200"/>
      <c r="M3223" s="204"/>
      <c r="N3223" s="205"/>
      <c r="O3223" s="170"/>
      <c r="P3223" s="198"/>
      <c r="Q3223" s="199"/>
      <c r="R3223" s="200"/>
      <c r="S3223" s="170"/>
      <c r="T3223" s="170"/>
      <c r="U3223" s="201"/>
      <c r="V3223" s="198"/>
      <c r="W3223" s="170"/>
      <c r="X3223" s="202"/>
      <c r="Y3223" s="203"/>
      <c r="Z3223" s="170"/>
      <c r="AA3223" s="198"/>
      <c r="AB3223" s="170"/>
      <c r="AC3223" s="170"/>
      <c r="AD3223" s="121"/>
      <c r="AE3223" s="121"/>
      <c r="AF3223" s="121"/>
      <c r="AG3223" s="22"/>
      <c r="AH3223" s="22"/>
      <c r="AI3223" s="22"/>
      <c r="AJ3223" s="22"/>
      <c r="AK3223" s="22"/>
      <c r="AL3223" s="22"/>
      <c r="AM3223" s="22"/>
      <c r="AN3223" s="22"/>
      <c r="AO3223" s="22"/>
      <c r="AP3223" s="22"/>
    </row>
    <row r="3224">
      <c r="A3224" s="193"/>
      <c r="B3224" s="194"/>
      <c r="C3224" s="195"/>
      <c r="D3224" s="196"/>
      <c r="E3224" s="197"/>
      <c r="F3224" s="197"/>
      <c r="G3224" s="195"/>
      <c r="H3224" s="195"/>
      <c r="I3224" s="197"/>
      <c r="J3224" s="121"/>
      <c r="K3224" s="121"/>
      <c r="L3224" s="200"/>
      <c r="M3224" s="204"/>
      <c r="N3224" s="205"/>
      <c r="O3224" s="170"/>
      <c r="P3224" s="198"/>
      <c r="Q3224" s="199"/>
      <c r="R3224" s="200"/>
      <c r="S3224" s="170"/>
      <c r="T3224" s="170"/>
      <c r="U3224" s="201"/>
      <c r="V3224" s="198"/>
      <c r="W3224" s="170"/>
      <c r="X3224" s="202"/>
      <c r="Y3224" s="203"/>
      <c r="Z3224" s="170"/>
      <c r="AA3224" s="198"/>
      <c r="AB3224" s="170"/>
      <c r="AC3224" s="170"/>
      <c r="AD3224" s="121"/>
      <c r="AE3224" s="121"/>
      <c r="AF3224" s="121"/>
      <c r="AG3224" s="22"/>
      <c r="AH3224" s="22"/>
      <c r="AI3224" s="22"/>
      <c r="AJ3224" s="22"/>
      <c r="AK3224" s="22"/>
      <c r="AL3224" s="22"/>
      <c r="AM3224" s="22"/>
      <c r="AN3224" s="22"/>
      <c r="AO3224" s="22"/>
      <c r="AP3224" s="22"/>
    </row>
    <row r="3225">
      <c r="A3225" s="193"/>
      <c r="B3225" s="194"/>
      <c r="C3225" s="195"/>
      <c r="D3225" s="196"/>
      <c r="E3225" s="197"/>
      <c r="F3225" s="197"/>
      <c r="G3225" s="195"/>
      <c r="H3225" s="195"/>
      <c r="I3225" s="197"/>
      <c r="J3225" s="121"/>
      <c r="K3225" s="121"/>
      <c r="L3225" s="200"/>
      <c r="M3225" s="204"/>
      <c r="N3225" s="205"/>
      <c r="O3225" s="170"/>
      <c r="P3225" s="198"/>
      <c r="Q3225" s="199"/>
      <c r="R3225" s="200"/>
      <c r="S3225" s="170"/>
      <c r="T3225" s="170"/>
      <c r="U3225" s="201"/>
      <c r="V3225" s="198"/>
      <c r="W3225" s="170"/>
      <c r="X3225" s="202"/>
      <c r="Y3225" s="203"/>
      <c r="Z3225" s="170"/>
      <c r="AA3225" s="198"/>
      <c r="AB3225" s="170"/>
      <c r="AC3225" s="170"/>
      <c r="AD3225" s="121"/>
      <c r="AE3225" s="121"/>
      <c r="AF3225" s="121"/>
      <c r="AG3225" s="22"/>
      <c r="AH3225" s="22"/>
      <c r="AI3225" s="22"/>
      <c r="AJ3225" s="22"/>
      <c r="AK3225" s="22"/>
      <c r="AL3225" s="22"/>
      <c r="AM3225" s="22"/>
      <c r="AN3225" s="22"/>
      <c r="AO3225" s="22"/>
      <c r="AP3225" s="22"/>
    </row>
    <row r="3226">
      <c r="A3226" s="193"/>
      <c r="B3226" s="194"/>
      <c r="C3226" s="195"/>
      <c r="D3226" s="196"/>
      <c r="E3226" s="197"/>
      <c r="F3226" s="197"/>
      <c r="G3226" s="195"/>
      <c r="H3226" s="195"/>
      <c r="I3226" s="197"/>
      <c r="J3226" s="121"/>
      <c r="K3226" s="121"/>
      <c r="L3226" s="200"/>
      <c r="M3226" s="204"/>
      <c r="N3226" s="205"/>
      <c r="O3226" s="170"/>
      <c r="P3226" s="198"/>
      <c r="Q3226" s="199"/>
      <c r="R3226" s="200"/>
      <c r="S3226" s="170"/>
      <c r="T3226" s="170"/>
      <c r="U3226" s="201"/>
      <c r="V3226" s="198"/>
      <c r="W3226" s="170"/>
      <c r="X3226" s="202"/>
      <c r="Y3226" s="203"/>
      <c r="Z3226" s="170"/>
      <c r="AA3226" s="198"/>
      <c r="AB3226" s="170"/>
      <c r="AC3226" s="170"/>
      <c r="AD3226" s="121"/>
      <c r="AE3226" s="121"/>
      <c r="AF3226" s="121"/>
      <c r="AG3226" s="22"/>
      <c r="AH3226" s="22"/>
      <c r="AI3226" s="22"/>
      <c r="AJ3226" s="22"/>
      <c r="AK3226" s="22"/>
      <c r="AL3226" s="22"/>
      <c r="AM3226" s="22"/>
      <c r="AN3226" s="22"/>
      <c r="AO3226" s="22"/>
      <c r="AP3226" s="22"/>
    </row>
    <row r="3227">
      <c r="A3227" s="193"/>
      <c r="B3227" s="194"/>
      <c r="C3227" s="195"/>
      <c r="D3227" s="196"/>
      <c r="E3227" s="197"/>
      <c r="F3227" s="197"/>
      <c r="G3227" s="195"/>
      <c r="H3227" s="195"/>
      <c r="I3227" s="197"/>
      <c r="J3227" s="121"/>
      <c r="K3227" s="121"/>
      <c r="L3227" s="200"/>
      <c r="M3227" s="204"/>
      <c r="N3227" s="205"/>
      <c r="O3227" s="170"/>
      <c r="P3227" s="198"/>
      <c r="Q3227" s="199"/>
      <c r="R3227" s="200"/>
      <c r="S3227" s="170"/>
      <c r="T3227" s="170"/>
      <c r="U3227" s="201"/>
      <c r="V3227" s="198"/>
      <c r="W3227" s="170"/>
      <c r="X3227" s="202"/>
      <c r="Y3227" s="203"/>
      <c r="Z3227" s="170"/>
      <c r="AA3227" s="198"/>
      <c r="AB3227" s="170"/>
      <c r="AC3227" s="170"/>
      <c r="AD3227" s="121"/>
      <c r="AE3227" s="121"/>
      <c r="AF3227" s="121"/>
      <c r="AG3227" s="22"/>
      <c r="AH3227" s="22"/>
      <c r="AI3227" s="22"/>
      <c r="AJ3227" s="22"/>
      <c r="AK3227" s="22"/>
      <c r="AL3227" s="22"/>
      <c r="AM3227" s="22"/>
      <c r="AN3227" s="22"/>
      <c r="AO3227" s="22"/>
      <c r="AP3227" s="22"/>
    </row>
    <row r="3228">
      <c r="A3228" s="193"/>
      <c r="B3228" s="194"/>
      <c r="C3228" s="195"/>
      <c r="D3228" s="196"/>
      <c r="E3228" s="197"/>
      <c r="F3228" s="197"/>
      <c r="G3228" s="195"/>
      <c r="H3228" s="195"/>
      <c r="I3228" s="197"/>
      <c r="J3228" s="121"/>
      <c r="K3228" s="121"/>
      <c r="L3228" s="200"/>
      <c r="M3228" s="204"/>
      <c r="N3228" s="205"/>
      <c r="O3228" s="170"/>
      <c r="P3228" s="198"/>
      <c r="Q3228" s="199"/>
      <c r="R3228" s="200"/>
      <c r="S3228" s="170"/>
      <c r="T3228" s="170"/>
      <c r="U3228" s="201"/>
      <c r="V3228" s="198"/>
      <c r="W3228" s="170"/>
      <c r="X3228" s="202"/>
      <c r="Y3228" s="203"/>
      <c r="Z3228" s="170"/>
      <c r="AA3228" s="198"/>
      <c r="AB3228" s="170"/>
      <c r="AC3228" s="170"/>
      <c r="AD3228" s="121"/>
      <c r="AE3228" s="121"/>
      <c r="AF3228" s="121"/>
      <c r="AG3228" s="22"/>
      <c r="AH3228" s="22"/>
      <c r="AI3228" s="22"/>
      <c r="AJ3228" s="22"/>
      <c r="AK3228" s="22"/>
      <c r="AL3228" s="22"/>
      <c r="AM3228" s="22"/>
      <c r="AN3228" s="22"/>
      <c r="AO3228" s="22"/>
      <c r="AP3228" s="22"/>
    </row>
    <row r="3229">
      <c r="A3229" s="193"/>
      <c r="B3229" s="194"/>
      <c r="C3229" s="195"/>
      <c r="D3229" s="196"/>
      <c r="E3229" s="197"/>
      <c r="F3229" s="197"/>
      <c r="G3229" s="195"/>
      <c r="H3229" s="195"/>
      <c r="I3229" s="197"/>
      <c r="J3229" s="121"/>
      <c r="K3229" s="121"/>
      <c r="L3229" s="200"/>
      <c r="M3229" s="204"/>
      <c r="N3229" s="205"/>
      <c r="O3229" s="170"/>
      <c r="P3229" s="198"/>
      <c r="Q3229" s="199"/>
      <c r="R3229" s="200"/>
      <c r="S3229" s="170"/>
      <c r="T3229" s="170"/>
      <c r="U3229" s="201"/>
      <c r="V3229" s="198"/>
      <c r="W3229" s="170"/>
      <c r="X3229" s="202"/>
      <c r="Y3229" s="203"/>
      <c r="Z3229" s="170"/>
      <c r="AA3229" s="198"/>
      <c r="AB3229" s="170"/>
      <c r="AC3229" s="170"/>
      <c r="AD3229" s="121"/>
      <c r="AE3229" s="121"/>
      <c r="AF3229" s="121"/>
      <c r="AG3229" s="22"/>
      <c r="AH3229" s="22"/>
      <c r="AI3229" s="22"/>
      <c r="AJ3229" s="22"/>
      <c r="AK3229" s="22"/>
      <c r="AL3229" s="22"/>
      <c r="AM3229" s="22"/>
      <c r="AN3229" s="22"/>
      <c r="AO3229" s="22"/>
      <c r="AP3229" s="22"/>
    </row>
    <row r="3230">
      <c r="A3230" s="193"/>
      <c r="B3230" s="194"/>
      <c r="C3230" s="195"/>
      <c r="D3230" s="196"/>
      <c r="E3230" s="197"/>
      <c r="F3230" s="197"/>
      <c r="G3230" s="195"/>
      <c r="H3230" s="195"/>
      <c r="I3230" s="197"/>
      <c r="J3230" s="121"/>
      <c r="K3230" s="121"/>
      <c r="L3230" s="200"/>
      <c r="M3230" s="204"/>
      <c r="N3230" s="205"/>
      <c r="O3230" s="170"/>
      <c r="P3230" s="198"/>
      <c r="Q3230" s="199"/>
      <c r="R3230" s="200"/>
      <c r="S3230" s="170"/>
      <c r="T3230" s="170"/>
      <c r="U3230" s="201"/>
      <c r="V3230" s="198"/>
      <c r="W3230" s="170"/>
      <c r="X3230" s="202"/>
      <c r="Y3230" s="203"/>
      <c r="Z3230" s="170"/>
      <c r="AA3230" s="198"/>
      <c r="AB3230" s="170"/>
      <c r="AC3230" s="170"/>
      <c r="AD3230" s="121"/>
      <c r="AE3230" s="121"/>
      <c r="AF3230" s="121"/>
      <c r="AG3230" s="22"/>
      <c r="AH3230" s="22"/>
      <c r="AI3230" s="22"/>
      <c r="AJ3230" s="22"/>
      <c r="AK3230" s="22"/>
      <c r="AL3230" s="22"/>
      <c r="AM3230" s="22"/>
      <c r="AN3230" s="22"/>
      <c r="AO3230" s="22"/>
      <c r="AP3230" s="22"/>
    </row>
    <row r="3231">
      <c r="A3231" s="193"/>
      <c r="B3231" s="194"/>
      <c r="C3231" s="195"/>
      <c r="D3231" s="196"/>
      <c r="E3231" s="197"/>
      <c r="F3231" s="197"/>
      <c r="G3231" s="195"/>
      <c r="H3231" s="195"/>
      <c r="I3231" s="197"/>
      <c r="J3231" s="121"/>
      <c r="K3231" s="121"/>
      <c r="L3231" s="200"/>
      <c r="M3231" s="204"/>
      <c r="N3231" s="205"/>
      <c r="O3231" s="170"/>
      <c r="P3231" s="198"/>
      <c r="Q3231" s="199"/>
      <c r="R3231" s="200"/>
      <c r="S3231" s="170"/>
      <c r="T3231" s="170"/>
      <c r="U3231" s="201"/>
      <c r="V3231" s="198"/>
      <c r="W3231" s="170"/>
      <c r="X3231" s="202"/>
      <c r="Y3231" s="203"/>
      <c r="Z3231" s="170"/>
      <c r="AA3231" s="198"/>
      <c r="AB3231" s="170"/>
      <c r="AC3231" s="170"/>
      <c r="AD3231" s="121"/>
      <c r="AE3231" s="121"/>
      <c r="AF3231" s="121"/>
      <c r="AG3231" s="22"/>
      <c r="AH3231" s="22"/>
      <c r="AI3231" s="22"/>
      <c r="AJ3231" s="22"/>
      <c r="AK3231" s="22"/>
      <c r="AL3231" s="22"/>
      <c r="AM3231" s="22"/>
      <c r="AN3231" s="22"/>
      <c r="AO3231" s="22"/>
      <c r="AP3231" s="22"/>
    </row>
    <row r="3232">
      <c r="A3232" s="193"/>
      <c r="B3232" s="194"/>
      <c r="C3232" s="195"/>
      <c r="D3232" s="196"/>
      <c r="E3232" s="197"/>
      <c r="F3232" s="197"/>
      <c r="G3232" s="195"/>
      <c r="H3232" s="195"/>
      <c r="I3232" s="197"/>
      <c r="J3232" s="121"/>
      <c r="K3232" s="121"/>
      <c r="L3232" s="200"/>
      <c r="M3232" s="204"/>
      <c r="N3232" s="205"/>
      <c r="O3232" s="170"/>
      <c r="P3232" s="198"/>
      <c r="Q3232" s="199"/>
      <c r="R3232" s="200"/>
      <c r="S3232" s="170"/>
      <c r="T3232" s="170"/>
      <c r="U3232" s="201"/>
      <c r="V3232" s="198"/>
      <c r="W3232" s="170"/>
      <c r="X3232" s="202"/>
      <c r="Y3232" s="203"/>
      <c r="Z3232" s="170"/>
      <c r="AA3232" s="198"/>
      <c r="AB3232" s="170"/>
      <c r="AC3232" s="170"/>
      <c r="AD3232" s="121"/>
      <c r="AE3232" s="121"/>
      <c r="AF3232" s="121"/>
      <c r="AG3232" s="22"/>
      <c r="AH3232" s="22"/>
      <c r="AI3232" s="22"/>
      <c r="AJ3232" s="22"/>
      <c r="AK3232" s="22"/>
      <c r="AL3232" s="22"/>
      <c r="AM3232" s="22"/>
      <c r="AN3232" s="22"/>
      <c r="AO3232" s="22"/>
      <c r="AP3232" s="22"/>
    </row>
    <row r="3233">
      <c r="A3233" s="193"/>
      <c r="B3233" s="194"/>
      <c r="C3233" s="195"/>
      <c r="D3233" s="196"/>
      <c r="E3233" s="197"/>
      <c r="F3233" s="197"/>
      <c r="G3233" s="195"/>
      <c r="H3233" s="195"/>
      <c r="I3233" s="197"/>
      <c r="J3233" s="121"/>
      <c r="K3233" s="121"/>
      <c r="L3233" s="200"/>
      <c r="M3233" s="204"/>
      <c r="N3233" s="205"/>
      <c r="O3233" s="170"/>
      <c r="P3233" s="198"/>
      <c r="Q3233" s="199"/>
      <c r="R3233" s="200"/>
      <c r="S3233" s="170"/>
      <c r="T3233" s="170"/>
      <c r="U3233" s="201"/>
      <c r="V3233" s="198"/>
      <c r="W3233" s="170"/>
      <c r="X3233" s="202"/>
      <c r="Y3233" s="203"/>
      <c r="Z3233" s="170"/>
      <c r="AA3233" s="198"/>
      <c r="AB3233" s="170"/>
      <c r="AC3233" s="170"/>
      <c r="AD3233" s="121"/>
      <c r="AE3233" s="121"/>
      <c r="AF3233" s="121"/>
      <c r="AG3233" s="22"/>
      <c r="AH3233" s="22"/>
      <c r="AI3233" s="22"/>
      <c r="AJ3233" s="22"/>
      <c r="AK3233" s="22"/>
      <c r="AL3233" s="22"/>
      <c r="AM3233" s="22"/>
      <c r="AN3233" s="22"/>
      <c r="AO3233" s="22"/>
      <c r="AP3233" s="22"/>
    </row>
    <row r="3234">
      <c r="A3234" s="193"/>
      <c r="B3234" s="194"/>
      <c r="C3234" s="195"/>
      <c r="D3234" s="196"/>
      <c r="E3234" s="197"/>
      <c r="F3234" s="197"/>
      <c r="G3234" s="195"/>
      <c r="H3234" s="195"/>
      <c r="I3234" s="197"/>
      <c r="J3234" s="121"/>
      <c r="K3234" s="121"/>
      <c r="L3234" s="200"/>
      <c r="M3234" s="204"/>
      <c r="N3234" s="205"/>
      <c r="O3234" s="170"/>
      <c r="P3234" s="198"/>
      <c r="Q3234" s="199"/>
      <c r="R3234" s="200"/>
      <c r="S3234" s="170"/>
      <c r="T3234" s="170"/>
      <c r="U3234" s="201"/>
      <c r="V3234" s="198"/>
      <c r="W3234" s="170"/>
      <c r="X3234" s="202"/>
      <c r="Y3234" s="203"/>
      <c r="Z3234" s="170"/>
      <c r="AA3234" s="198"/>
      <c r="AB3234" s="170"/>
      <c r="AC3234" s="170"/>
      <c r="AD3234" s="121"/>
      <c r="AE3234" s="121"/>
      <c r="AF3234" s="121"/>
      <c r="AG3234" s="22"/>
      <c r="AH3234" s="22"/>
      <c r="AI3234" s="22"/>
      <c r="AJ3234" s="22"/>
      <c r="AK3234" s="22"/>
      <c r="AL3234" s="22"/>
      <c r="AM3234" s="22"/>
      <c r="AN3234" s="22"/>
      <c r="AO3234" s="22"/>
      <c r="AP3234" s="22"/>
    </row>
    <row r="3235">
      <c r="A3235" s="193"/>
      <c r="B3235" s="194"/>
      <c r="C3235" s="195"/>
      <c r="D3235" s="196"/>
      <c r="E3235" s="197"/>
      <c r="F3235" s="197"/>
      <c r="G3235" s="195"/>
      <c r="H3235" s="195"/>
      <c r="I3235" s="197"/>
      <c r="J3235" s="121"/>
      <c r="K3235" s="121"/>
      <c r="L3235" s="200"/>
      <c r="M3235" s="204"/>
      <c r="N3235" s="205"/>
      <c r="O3235" s="170"/>
      <c r="P3235" s="198"/>
      <c r="Q3235" s="199"/>
      <c r="R3235" s="200"/>
      <c r="S3235" s="170"/>
      <c r="T3235" s="170"/>
      <c r="U3235" s="201"/>
      <c r="V3235" s="198"/>
      <c r="W3235" s="170"/>
      <c r="X3235" s="202"/>
      <c r="Y3235" s="203"/>
      <c r="Z3235" s="170"/>
      <c r="AA3235" s="198"/>
      <c r="AB3235" s="170"/>
      <c r="AC3235" s="170"/>
      <c r="AD3235" s="121"/>
      <c r="AE3235" s="121"/>
      <c r="AF3235" s="121"/>
      <c r="AG3235" s="22"/>
      <c r="AH3235" s="22"/>
      <c r="AI3235" s="22"/>
      <c r="AJ3235" s="22"/>
      <c r="AK3235" s="22"/>
      <c r="AL3235" s="22"/>
      <c r="AM3235" s="22"/>
      <c r="AN3235" s="22"/>
      <c r="AO3235" s="22"/>
      <c r="AP3235" s="22"/>
    </row>
    <row r="3236">
      <c r="A3236" s="193"/>
      <c r="B3236" s="194"/>
      <c r="C3236" s="195"/>
      <c r="D3236" s="196"/>
      <c r="E3236" s="197"/>
      <c r="F3236" s="197"/>
      <c r="G3236" s="195"/>
      <c r="H3236" s="195"/>
      <c r="I3236" s="197"/>
      <c r="J3236" s="121"/>
      <c r="K3236" s="121"/>
      <c r="L3236" s="200"/>
      <c r="M3236" s="204"/>
      <c r="N3236" s="205"/>
      <c r="O3236" s="170"/>
      <c r="P3236" s="198"/>
      <c r="Q3236" s="199"/>
      <c r="R3236" s="200"/>
      <c r="S3236" s="170"/>
      <c r="T3236" s="170"/>
      <c r="U3236" s="201"/>
      <c r="V3236" s="198"/>
      <c r="W3236" s="170"/>
      <c r="X3236" s="202"/>
      <c r="Y3236" s="203"/>
      <c r="Z3236" s="170"/>
      <c r="AA3236" s="198"/>
      <c r="AB3236" s="170"/>
      <c r="AC3236" s="170"/>
      <c r="AD3236" s="121"/>
      <c r="AE3236" s="121"/>
      <c r="AF3236" s="121"/>
      <c r="AG3236" s="22"/>
      <c r="AH3236" s="22"/>
      <c r="AI3236" s="22"/>
      <c r="AJ3236" s="22"/>
      <c r="AK3236" s="22"/>
      <c r="AL3236" s="22"/>
      <c r="AM3236" s="22"/>
      <c r="AN3236" s="22"/>
      <c r="AO3236" s="22"/>
      <c r="AP3236" s="22"/>
    </row>
    <row r="3237">
      <c r="A3237" s="193"/>
      <c r="B3237" s="194"/>
      <c r="C3237" s="195"/>
      <c r="D3237" s="196"/>
      <c r="E3237" s="197"/>
      <c r="F3237" s="197"/>
      <c r="G3237" s="195"/>
      <c r="H3237" s="195"/>
      <c r="I3237" s="197"/>
      <c r="J3237" s="121"/>
      <c r="K3237" s="121"/>
      <c r="L3237" s="200"/>
      <c r="M3237" s="204"/>
      <c r="N3237" s="205"/>
      <c r="O3237" s="170"/>
      <c r="P3237" s="198"/>
      <c r="Q3237" s="199"/>
      <c r="R3237" s="200"/>
      <c r="S3237" s="170"/>
      <c r="T3237" s="170"/>
      <c r="U3237" s="201"/>
      <c r="V3237" s="198"/>
      <c r="W3237" s="170"/>
      <c r="X3237" s="202"/>
      <c r="Y3237" s="203"/>
      <c r="Z3237" s="170"/>
      <c r="AA3237" s="198"/>
      <c r="AB3237" s="170"/>
      <c r="AC3237" s="170"/>
      <c r="AD3237" s="121"/>
      <c r="AE3237" s="121"/>
      <c r="AF3237" s="121"/>
      <c r="AG3237" s="22"/>
      <c r="AH3237" s="22"/>
      <c r="AI3237" s="22"/>
      <c r="AJ3237" s="22"/>
      <c r="AK3237" s="22"/>
      <c r="AL3237" s="22"/>
      <c r="AM3237" s="22"/>
      <c r="AN3237" s="22"/>
      <c r="AO3237" s="22"/>
      <c r="AP3237" s="22"/>
    </row>
    <row r="3238">
      <c r="A3238" s="193"/>
      <c r="B3238" s="194"/>
      <c r="C3238" s="195"/>
      <c r="D3238" s="196"/>
      <c r="E3238" s="197"/>
      <c r="F3238" s="197"/>
      <c r="G3238" s="195"/>
      <c r="H3238" s="195"/>
      <c r="I3238" s="197"/>
      <c r="J3238" s="121"/>
      <c r="K3238" s="121"/>
      <c r="L3238" s="200"/>
      <c r="M3238" s="204"/>
      <c r="N3238" s="205"/>
      <c r="O3238" s="170"/>
      <c r="P3238" s="198"/>
      <c r="Q3238" s="199"/>
      <c r="R3238" s="200"/>
      <c r="S3238" s="170"/>
      <c r="T3238" s="170"/>
      <c r="U3238" s="201"/>
      <c r="V3238" s="198"/>
      <c r="W3238" s="170"/>
      <c r="X3238" s="202"/>
      <c r="Y3238" s="203"/>
      <c r="Z3238" s="170"/>
      <c r="AA3238" s="198"/>
      <c r="AB3238" s="170"/>
      <c r="AC3238" s="170"/>
      <c r="AD3238" s="121"/>
      <c r="AE3238" s="121"/>
      <c r="AF3238" s="121"/>
      <c r="AG3238" s="22"/>
      <c r="AH3238" s="22"/>
      <c r="AI3238" s="22"/>
      <c r="AJ3238" s="22"/>
      <c r="AK3238" s="22"/>
      <c r="AL3238" s="22"/>
      <c r="AM3238" s="22"/>
      <c r="AN3238" s="22"/>
      <c r="AO3238" s="22"/>
      <c r="AP3238" s="22"/>
    </row>
    <row r="3239">
      <c r="A3239" s="193"/>
      <c r="B3239" s="194"/>
      <c r="C3239" s="195"/>
      <c r="D3239" s="196"/>
      <c r="E3239" s="197"/>
      <c r="F3239" s="197"/>
      <c r="G3239" s="195"/>
      <c r="H3239" s="195"/>
      <c r="I3239" s="197"/>
      <c r="J3239" s="121"/>
      <c r="K3239" s="121"/>
      <c r="L3239" s="200"/>
      <c r="M3239" s="204"/>
      <c r="N3239" s="205"/>
      <c r="O3239" s="170"/>
      <c r="P3239" s="198"/>
      <c r="Q3239" s="199"/>
      <c r="R3239" s="200"/>
      <c r="S3239" s="170"/>
      <c r="T3239" s="170"/>
      <c r="U3239" s="201"/>
      <c r="V3239" s="198"/>
      <c r="W3239" s="170"/>
      <c r="X3239" s="202"/>
      <c r="Y3239" s="203"/>
      <c r="Z3239" s="170"/>
      <c r="AA3239" s="198"/>
      <c r="AB3239" s="170"/>
      <c r="AC3239" s="170"/>
      <c r="AD3239" s="121"/>
      <c r="AE3239" s="121"/>
      <c r="AF3239" s="121"/>
      <c r="AG3239" s="22"/>
      <c r="AH3239" s="22"/>
      <c r="AI3239" s="22"/>
      <c r="AJ3239" s="22"/>
      <c r="AK3239" s="22"/>
      <c r="AL3239" s="22"/>
      <c r="AM3239" s="22"/>
      <c r="AN3239" s="22"/>
      <c r="AO3239" s="22"/>
      <c r="AP3239" s="22"/>
    </row>
    <row r="3240">
      <c r="A3240" s="193"/>
      <c r="B3240" s="194"/>
      <c r="C3240" s="195"/>
      <c r="D3240" s="196"/>
      <c r="E3240" s="197"/>
      <c r="F3240" s="197"/>
      <c r="G3240" s="195"/>
      <c r="H3240" s="195"/>
      <c r="I3240" s="197"/>
      <c r="J3240" s="121"/>
      <c r="K3240" s="121"/>
      <c r="L3240" s="200"/>
      <c r="M3240" s="204"/>
      <c r="N3240" s="205"/>
      <c r="O3240" s="170"/>
      <c r="P3240" s="198"/>
      <c r="Q3240" s="199"/>
      <c r="R3240" s="200"/>
      <c r="S3240" s="170"/>
      <c r="T3240" s="170"/>
      <c r="U3240" s="201"/>
      <c r="V3240" s="198"/>
      <c r="W3240" s="170"/>
      <c r="X3240" s="202"/>
      <c r="Y3240" s="203"/>
      <c r="Z3240" s="170"/>
      <c r="AA3240" s="198"/>
      <c r="AB3240" s="170"/>
      <c r="AC3240" s="170"/>
      <c r="AD3240" s="121"/>
      <c r="AE3240" s="121"/>
      <c r="AF3240" s="121"/>
      <c r="AG3240" s="22"/>
      <c r="AH3240" s="22"/>
      <c r="AI3240" s="22"/>
      <c r="AJ3240" s="22"/>
      <c r="AK3240" s="22"/>
      <c r="AL3240" s="22"/>
      <c r="AM3240" s="22"/>
      <c r="AN3240" s="22"/>
      <c r="AO3240" s="22"/>
      <c r="AP3240" s="22"/>
    </row>
    <row r="3241">
      <c r="A3241" s="193"/>
      <c r="B3241" s="194"/>
      <c r="C3241" s="195"/>
      <c r="D3241" s="196"/>
      <c r="E3241" s="197"/>
      <c r="F3241" s="197"/>
      <c r="G3241" s="195"/>
      <c r="H3241" s="195"/>
      <c r="I3241" s="197"/>
      <c r="J3241" s="121"/>
      <c r="K3241" s="121"/>
      <c r="L3241" s="200"/>
      <c r="M3241" s="204"/>
      <c r="N3241" s="205"/>
      <c r="O3241" s="170"/>
      <c r="P3241" s="198"/>
      <c r="Q3241" s="199"/>
      <c r="R3241" s="200"/>
      <c r="S3241" s="170"/>
      <c r="T3241" s="170"/>
      <c r="U3241" s="201"/>
      <c r="V3241" s="198"/>
      <c r="W3241" s="170"/>
      <c r="X3241" s="202"/>
      <c r="Y3241" s="203"/>
      <c r="Z3241" s="170"/>
      <c r="AA3241" s="198"/>
      <c r="AB3241" s="170"/>
      <c r="AC3241" s="170"/>
      <c r="AD3241" s="121"/>
      <c r="AE3241" s="121"/>
      <c r="AF3241" s="121"/>
      <c r="AG3241" s="22"/>
      <c r="AH3241" s="22"/>
      <c r="AI3241" s="22"/>
      <c r="AJ3241" s="22"/>
      <c r="AK3241" s="22"/>
      <c r="AL3241" s="22"/>
      <c r="AM3241" s="22"/>
      <c r="AN3241" s="22"/>
      <c r="AO3241" s="22"/>
      <c r="AP3241" s="22"/>
    </row>
    <row r="3242">
      <c r="A3242" s="193"/>
      <c r="B3242" s="194"/>
      <c r="C3242" s="195"/>
      <c r="D3242" s="196"/>
      <c r="E3242" s="197"/>
      <c r="F3242" s="197"/>
      <c r="G3242" s="195"/>
      <c r="H3242" s="195"/>
      <c r="I3242" s="197"/>
      <c r="J3242" s="121"/>
      <c r="K3242" s="121"/>
      <c r="L3242" s="200"/>
      <c r="M3242" s="204"/>
      <c r="N3242" s="205"/>
      <c r="O3242" s="170"/>
      <c r="P3242" s="198"/>
      <c r="Q3242" s="199"/>
      <c r="R3242" s="200"/>
      <c r="S3242" s="170"/>
      <c r="T3242" s="170"/>
      <c r="U3242" s="201"/>
      <c r="V3242" s="198"/>
      <c r="W3242" s="170"/>
      <c r="X3242" s="202"/>
      <c r="Y3242" s="203"/>
      <c r="Z3242" s="170"/>
      <c r="AA3242" s="198"/>
      <c r="AB3242" s="170"/>
      <c r="AC3242" s="170"/>
      <c r="AD3242" s="121"/>
      <c r="AE3242" s="121"/>
      <c r="AF3242" s="121"/>
      <c r="AG3242" s="22"/>
      <c r="AH3242" s="22"/>
      <c r="AI3242" s="22"/>
      <c r="AJ3242" s="22"/>
      <c r="AK3242" s="22"/>
      <c r="AL3242" s="22"/>
      <c r="AM3242" s="22"/>
      <c r="AN3242" s="22"/>
      <c r="AO3242" s="22"/>
      <c r="AP3242" s="22"/>
    </row>
    <row r="3243">
      <c r="A3243" s="193"/>
      <c r="B3243" s="194"/>
      <c r="C3243" s="195"/>
      <c r="D3243" s="196"/>
      <c r="E3243" s="197"/>
      <c r="F3243" s="197"/>
      <c r="G3243" s="195"/>
      <c r="H3243" s="195"/>
      <c r="I3243" s="197"/>
      <c r="J3243" s="121"/>
      <c r="K3243" s="121"/>
      <c r="L3243" s="200"/>
      <c r="M3243" s="204"/>
      <c r="N3243" s="205"/>
      <c r="O3243" s="170"/>
      <c r="P3243" s="198"/>
      <c r="Q3243" s="199"/>
      <c r="R3243" s="200"/>
      <c r="S3243" s="170"/>
      <c r="T3243" s="170"/>
      <c r="U3243" s="201"/>
      <c r="V3243" s="198"/>
      <c r="W3243" s="170"/>
      <c r="X3243" s="202"/>
      <c r="Y3243" s="203"/>
      <c r="Z3243" s="170"/>
      <c r="AA3243" s="198"/>
      <c r="AB3243" s="170"/>
      <c r="AC3243" s="170"/>
      <c r="AD3243" s="121"/>
      <c r="AE3243" s="121"/>
      <c r="AF3243" s="121"/>
      <c r="AG3243" s="22"/>
      <c r="AH3243" s="22"/>
      <c r="AI3243" s="22"/>
      <c r="AJ3243" s="22"/>
      <c r="AK3243" s="22"/>
      <c r="AL3243" s="22"/>
      <c r="AM3243" s="22"/>
      <c r="AN3243" s="22"/>
      <c r="AO3243" s="22"/>
      <c r="AP3243" s="22"/>
    </row>
    <row r="3244">
      <c r="A3244" s="193"/>
      <c r="B3244" s="194"/>
      <c r="C3244" s="195"/>
      <c r="D3244" s="196"/>
      <c r="E3244" s="197"/>
      <c r="F3244" s="197"/>
      <c r="G3244" s="195"/>
      <c r="H3244" s="195"/>
      <c r="I3244" s="197"/>
      <c r="J3244" s="121"/>
      <c r="K3244" s="121"/>
      <c r="L3244" s="200"/>
      <c r="M3244" s="204"/>
      <c r="N3244" s="205"/>
      <c r="O3244" s="170"/>
      <c r="P3244" s="198"/>
      <c r="Q3244" s="199"/>
      <c r="R3244" s="200"/>
      <c r="S3244" s="170"/>
      <c r="T3244" s="170"/>
      <c r="U3244" s="201"/>
      <c r="V3244" s="198"/>
      <c r="W3244" s="170"/>
      <c r="X3244" s="202"/>
      <c r="Y3244" s="203"/>
      <c r="Z3244" s="170"/>
      <c r="AA3244" s="198"/>
      <c r="AB3244" s="170"/>
      <c r="AC3244" s="170"/>
      <c r="AD3244" s="121"/>
      <c r="AE3244" s="121"/>
      <c r="AF3244" s="121"/>
      <c r="AG3244" s="22"/>
      <c r="AH3244" s="22"/>
      <c r="AI3244" s="22"/>
      <c r="AJ3244" s="22"/>
      <c r="AK3244" s="22"/>
      <c r="AL3244" s="22"/>
      <c r="AM3244" s="22"/>
      <c r="AN3244" s="22"/>
      <c r="AO3244" s="22"/>
      <c r="AP3244" s="22"/>
    </row>
    <row r="3245">
      <c r="A3245" s="193"/>
      <c r="B3245" s="194"/>
      <c r="C3245" s="195"/>
      <c r="D3245" s="196"/>
      <c r="E3245" s="197"/>
      <c r="F3245" s="197"/>
      <c r="G3245" s="195"/>
      <c r="H3245" s="195"/>
      <c r="I3245" s="197"/>
      <c r="J3245" s="121"/>
      <c r="K3245" s="121"/>
      <c r="L3245" s="200"/>
      <c r="M3245" s="204"/>
      <c r="N3245" s="205"/>
      <c r="O3245" s="170"/>
      <c r="P3245" s="198"/>
      <c r="Q3245" s="199"/>
      <c r="R3245" s="200"/>
      <c r="S3245" s="170"/>
      <c r="T3245" s="170"/>
      <c r="U3245" s="201"/>
      <c r="V3245" s="198"/>
      <c r="W3245" s="170"/>
      <c r="X3245" s="202"/>
      <c r="Y3245" s="203"/>
      <c r="Z3245" s="170"/>
      <c r="AA3245" s="198"/>
      <c r="AB3245" s="170"/>
      <c r="AC3245" s="170"/>
      <c r="AD3245" s="121"/>
      <c r="AE3245" s="121"/>
      <c r="AF3245" s="121"/>
      <c r="AG3245" s="22"/>
      <c r="AH3245" s="22"/>
      <c r="AI3245" s="22"/>
      <c r="AJ3245" s="22"/>
      <c r="AK3245" s="22"/>
      <c r="AL3245" s="22"/>
      <c r="AM3245" s="22"/>
      <c r="AN3245" s="22"/>
      <c r="AO3245" s="22"/>
      <c r="AP3245" s="22"/>
    </row>
    <row r="3246">
      <c r="A3246" s="193"/>
      <c r="B3246" s="194"/>
      <c r="C3246" s="195"/>
      <c r="D3246" s="196"/>
      <c r="E3246" s="197"/>
      <c r="F3246" s="197"/>
      <c r="G3246" s="195"/>
      <c r="H3246" s="195"/>
      <c r="I3246" s="197"/>
      <c r="J3246" s="121"/>
      <c r="K3246" s="121"/>
      <c r="L3246" s="200"/>
      <c r="M3246" s="204"/>
      <c r="N3246" s="205"/>
      <c r="O3246" s="170"/>
      <c r="P3246" s="198"/>
      <c r="Q3246" s="199"/>
      <c r="R3246" s="200"/>
      <c r="S3246" s="170"/>
      <c r="T3246" s="170"/>
      <c r="U3246" s="201"/>
      <c r="V3246" s="198"/>
      <c r="W3246" s="170"/>
      <c r="X3246" s="202"/>
      <c r="Y3246" s="203"/>
      <c r="Z3246" s="170"/>
      <c r="AA3246" s="198"/>
      <c r="AB3246" s="170"/>
      <c r="AC3246" s="170"/>
      <c r="AD3246" s="121"/>
      <c r="AE3246" s="121"/>
      <c r="AF3246" s="121"/>
      <c r="AG3246" s="22"/>
      <c r="AH3246" s="22"/>
      <c r="AI3246" s="22"/>
      <c r="AJ3246" s="22"/>
      <c r="AK3246" s="22"/>
      <c r="AL3246" s="22"/>
      <c r="AM3246" s="22"/>
      <c r="AN3246" s="22"/>
      <c r="AO3246" s="22"/>
      <c r="AP3246" s="22"/>
    </row>
    <row r="3247">
      <c r="A3247" s="193"/>
      <c r="B3247" s="194"/>
      <c r="C3247" s="195"/>
      <c r="D3247" s="196"/>
      <c r="E3247" s="197"/>
      <c r="F3247" s="197"/>
      <c r="G3247" s="195"/>
      <c r="H3247" s="195"/>
      <c r="I3247" s="197"/>
      <c r="J3247" s="121"/>
      <c r="K3247" s="121"/>
      <c r="L3247" s="200"/>
      <c r="M3247" s="204"/>
      <c r="N3247" s="205"/>
      <c r="O3247" s="170"/>
      <c r="P3247" s="198"/>
      <c r="Q3247" s="199"/>
      <c r="R3247" s="200"/>
      <c r="S3247" s="170"/>
      <c r="T3247" s="170"/>
      <c r="U3247" s="201"/>
      <c r="V3247" s="198"/>
      <c r="W3247" s="170"/>
      <c r="X3247" s="202"/>
      <c r="Y3247" s="203"/>
      <c r="Z3247" s="170"/>
      <c r="AA3247" s="198"/>
      <c r="AB3247" s="170"/>
      <c r="AC3247" s="170"/>
      <c r="AD3247" s="121"/>
      <c r="AE3247" s="121"/>
      <c r="AF3247" s="121"/>
      <c r="AG3247" s="22"/>
      <c r="AH3247" s="22"/>
      <c r="AI3247" s="22"/>
      <c r="AJ3247" s="22"/>
      <c r="AK3247" s="22"/>
      <c r="AL3247" s="22"/>
      <c r="AM3247" s="22"/>
      <c r="AN3247" s="22"/>
      <c r="AO3247" s="22"/>
      <c r="AP3247" s="22"/>
    </row>
    <row r="3248">
      <c r="A3248" s="193"/>
      <c r="B3248" s="194"/>
      <c r="C3248" s="195"/>
      <c r="D3248" s="196"/>
      <c r="E3248" s="197"/>
      <c r="F3248" s="197"/>
      <c r="G3248" s="195"/>
      <c r="H3248" s="195"/>
      <c r="I3248" s="197"/>
      <c r="J3248" s="121"/>
      <c r="K3248" s="121"/>
      <c r="L3248" s="200"/>
      <c r="M3248" s="204"/>
      <c r="N3248" s="205"/>
      <c r="O3248" s="170"/>
      <c r="P3248" s="198"/>
      <c r="Q3248" s="199"/>
      <c r="R3248" s="200"/>
      <c r="S3248" s="170"/>
      <c r="T3248" s="170"/>
      <c r="U3248" s="201"/>
      <c r="V3248" s="198"/>
      <c r="W3248" s="170"/>
      <c r="X3248" s="202"/>
      <c r="Y3248" s="203"/>
      <c r="Z3248" s="170"/>
      <c r="AA3248" s="198"/>
      <c r="AB3248" s="170"/>
      <c r="AC3248" s="170"/>
      <c r="AD3248" s="121"/>
      <c r="AE3248" s="121"/>
      <c r="AF3248" s="121"/>
      <c r="AG3248" s="22"/>
      <c r="AH3248" s="22"/>
      <c r="AI3248" s="22"/>
      <c r="AJ3248" s="22"/>
      <c r="AK3248" s="22"/>
      <c r="AL3248" s="22"/>
      <c r="AM3248" s="22"/>
      <c r="AN3248" s="22"/>
      <c r="AO3248" s="22"/>
      <c r="AP3248" s="22"/>
    </row>
    <row r="3249">
      <c r="A3249" s="193"/>
      <c r="B3249" s="194"/>
      <c r="C3249" s="195"/>
      <c r="D3249" s="196"/>
      <c r="E3249" s="197"/>
      <c r="F3249" s="197"/>
      <c r="G3249" s="195"/>
      <c r="H3249" s="195"/>
      <c r="I3249" s="197"/>
      <c r="J3249" s="121"/>
      <c r="K3249" s="121"/>
      <c r="L3249" s="200"/>
      <c r="M3249" s="204"/>
      <c r="N3249" s="205"/>
      <c r="O3249" s="170"/>
      <c r="P3249" s="198"/>
      <c r="Q3249" s="199"/>
      <c r="R3249" s="200"/>
      <c r="S3249" s="170"/>
      <c r="T3249" s="170"/>
      <c r="U3249" s="201"/>
      <c r="V3249" s="198"/>
      <c r="W3249" s="170"/>
      <c r="X3249" s="202"/>
      <c r="Y3249" s="203"/>
      <c r="Z3249" s="170"/>
      <c r="AA3249" s="198"/>
      <c r="AB3249" s="170"/>
      <c r="AC3249" s="170"/>
      <c r="AD3249" s="121"/>
      <c r="AE3249" s="121"/>
      <c r="AF3249" s="121"/>
      <c r="AG3249" s="22"/>
      <c r="AH3249" s="22"/>
      <c r="AI3249" s="22"/>
      <c r="AJ3249" s="22"/>
      <c r="AK3249" s="22"/>
      <c r="AL3249" s="22"/>
      <c r="AM3249" s="22"/>
      <c r="AN3249" s="22"/>
      <c r="AO3249" s="22"/>
      <c r="AP3249" s="22"/>
    </row>
    <row r="3250">
      <c r="A3250" s="193"/>
      <c r="B3250" s="194"/>
      <c r="C3250" s="195"/>
      <c r="D3250" s="196"/>
      <c r="E3250" s="197"/>
      <c r="F3250" s="197"/>
      <c r="G3250" s="195"/>
      <c r="H3250" s="195"/>
      <c r="I3250" s="197"/>
      <c r="J3250" s="121"/>
      <c r="K3250" s="121"/>
      <c r="L3250" s="200"/>
      <c r="M3250" s="204"/>
      <c r="N3250" s="205"/>
      <c r="O3250" s="170"/>
      <c r="P3250" s="198"/>
      <c r="Q3250" s="199"/>
      <c r="R3250" s="200"/>
      <c r="S3250" s="170"/>
      <c r="T3250" s="170"/>
      <c r="U3250" s="201"/>
      <c r="V3250" s="198"/>
      <c r="W3250" s="170"/>
      <c r="X3250" s="202"/>
      <c r="Y3250" s="203"/>
      <c r="Z3250" s="170"/>
      <c r="AA3250" s="198"/>
      <c r="AB3250" s="170"/>
      <c r="AC3250" s="170"/>
      <c r="AD3250" s="121"/>
      <c r="AE3250" s="121"/>
      <c r="AF3250" s="121"/>
      <c r="AG3250" s="22"/>
      <c r="AH3250" s="22"/>
      <c r="AI3250" s="22"/>
      <c r="AJ3250" s="22"/>
      <c r="AK3250" s="22"/>
      <c r="AL3250" s="22"/>
      <c r="AM3250" s="22"/>
      <c r="AN3250" s="22"/>
      <c r="AO3250" s="22"/>
      <c r="AP3250" s="22"/>
    </row>
    <row r="3251">
      <c r="A3251" s="193"/>
      <c r="B3251" s="194"/>
      <c r="C3251" s="195"/>
      <c r="D3251" s="196"/>
      <c r="E3251" s="197"/>
      <c r="F3251" s="197"/>
      <c r="G3251" s="195"/>
      <c r="H3251" s="195"/>
      <c r="I3251" s="197"/>
      <c r="J3251" s="121"/>
      <c r="K3251" s="121"/>
      <c r="L3251" s="200"/>
      <c r="M3251" s="204"/>
      <c r="N3251" s="205"/>
      <c r="O3251" s="170"/>
      <c r="P3251" s="198"/>
      <c r="Q3251" s="199"/>
      <c r="R3251" s="200"/>
      <c r="S3251" s="170"/>
      <c r="T3251" s="170"/>
      <c r="U3251" s="201"/>
      <c r="V3251" s="198"/>
      <c r="W3251" s="170"/>
      <c r="X3251" s="202"/>
      <c r="Y3251" s="203"/>
      <c r="Z3251" s="170"/>
      <c r="AA3251" s="198"/>
      <c r="AB3251" s="170"/>
      <c r="AC3251" s="170"/>
      <c r="AD3251" s="121"/>
      <c r="AE3251" s="121"/>
      <c r="AF3251" s="121"/>
      <c r="AG3251" s="22"/>
      <c r="AH3251" s="22"/>
      <c r="AI3251" s="22"/>
      <c r="AJ3251" s="22"/>
      <c r="AK3251" s="22"/>
      <c r="AL3251" s="22"/>
      <c r="AM3251" s="22"/>
      <c r="AN3251" s="22"/>
      <c r="AO3251" s="22"/>
      <c r="AP3251" s="22"/>
    </row>
    <row r="3252">
      <c r="A3252" s="193"/>
      <c r="B3252" s="194"/>
      <c r="C3252" s="195"/>
      <c r="D3252" s="196"/>
      <c r="E3252" s="197"/>
      <c r="F3252" s="197"/>
      <c r="G3252" s="195"/>
      <c r="H3252" s="195"/>
      <c r="I3252" s="197"/>
      <c r="J3252" s="121"/>
      <c r="K3252" s="121"/>
      <c r="L3252" s="200"/>
      <c r="M3252" s="204"/>
      <c r="N3252" s="205"/>
      <c r="O3252" s="170"/>
      <c r="P3252" s="198"/>
      <c r="Q3252" s="199"/>
      <c r="R3252" s="200"/>
      <c r="S3252" s="170"/>
      <c r="T3252" s="170"/>
      <c r="U3252" s="201"/>
      <c r="V3252" s="198"/>
      <c r="W3252" s="170"/>
      <c r="X3252" s="202"/>
      <c r="Y3252" s="203"/>
      <c r="Z3252" s="170"/>
      <c r="AA3252" s="198"/>
      <c r="AB3252" s="170"/>
      <c r="AC3252" s="170"/>
      <c r="AD3252" s="121"/>
      <c r="AE3252" s="121"/>
      <c r="AF3252" s="121"/>
      <c r="AG3252" s="22"/>
      <c r="AH3252" s="22"/>
      <c r="AI3252" s="22"/>
      <c r="AJ3252" s="22"/>
      <c r="AK3252" s="22"/>
      <c r="AL3252" s="22"/>
      <c r="AM3252" s="22"/>
      <c r="AN3252" s="22"/>
      <c r="AO3252" s="22"/>
      <c r="AP3252" s="22"/>
    </row>
    <row r="3253">
      <c r="A3253" s="193"/>
      <c r="B3253" s="194"/>
      <c r="C3253" s="195"/>
      <c r="D3253" s="196"/>
      <c r="E3253" s="197"/>
      <c r="F3253" s="197"/>
      <c r="G3253" s="195"/>
      <c r="H3253" s="195"/>
      <c r="I3253" s="197"/>
      <c r="J3253" s="121"/>
      <c r="K3253" s="121"/>
      <c r="L3253" s="200"/>
      <c r="M3253" s="204"/>
      <c r="N3253" s="205"/>
      <c r="O3253" s="170"/>
      <c r="P3253" s="198"/>
      <c r="Q3253" s="199"/>
      <c r="R3253" s="200"/>
      <c r="S3253" s="170"/>
      <c r="T3253" s="170"/>
      <c r="U3253" s="201"/>
      <c r="V3253" s="198"/>
      <c r="W3253" s="170"/>
      <c r="X3253" s="202"/>
      <c r="Y3253" s="203"/>
      <c r="Z3253" s="170"/>
      <c r="AA3253" s="198"/>
      <c r="AB3253" s="170"/>
      <c r="AC3253" s="170"/>
      <c r="AD3253" s="121"/>
      <c r="AE3253" s="121"/>
      <c r="AF3253" s="121"/>
      <c r="AG3253" s="22"/>
      <c r="AH3253" s="22"/>
      <c r="AI3253" s="22"/>
      <c r="AJ3253" s="22"/>
      <c r="AK3253" s="22"/>
      <c r="AL3253" s="22"/>
      <c r="AM3253" s="22"/>
      <c r="AN3253" s="22"/>
      <c r="AO3253" s="22"/>
      <c r="AP3253" s="22"/>
    </row>
    <row r="3254">
      <c r="A3254" s="193"/>
      <c r="B3254" s="194"/>
      <c r="C3254" s="195"/>
      <c r="D3254" s="196"/>
      <c r="E3254" s="197"/>
      <c r="F3254" s="197"/>
      <c r="G3254" s="195"/>
      <c r="H3254" s="195"/>
      <c r="I3254" s="197"/>
      <c r="J3254" s="121"/>
      <c r="K3254" s="121"/>
      <c r="L3254" s="200"/>
      <c r="M3254" s="204"/>
      <c r="N3254" s="205"/>
      <c r="O3254" s="170"/>
      <c r="P3254" s="198"/>
      <c r="Q3254" s="199"/>
      <c r="R3254" s="200"/>
      <c r="S3254" s="170"/>
      <c r="T3254" s="170"/>
      <c r="U3254" s="201"/>
      <c r="V3254" s="198"/>
      <c r="W3254" s="170"/>
      <c r="X3254" s="202"/>
      <c r="Y3254" s="203"/>
      <c r="Z3254" s="170"/>
      <c r="AA3254" s="198"/>
      <c r="AB3254" s="170"/>
      <c r="AC3254" s="170"/>
      <c r="AD3254" s="121"/>
      <c r="AE3254" s="121"/>
      <c r="AF3254" s="121"/>
      <c r="AG3254" s="22"/>
      <c r="AH3254" s="22"/>
      <c r="AI3254" s="22"/>
      <c r="AJ3254" s="22"/>
      <c r="AK3254" s="22"/>
      <c r="AL3254" s="22"/>
      <c r="AM3254" s="22"/>
      <c r="AN3254" s="22"/>
      <c r="AO3254" s="22"/>
      <c r="AP3254" s="22"/>
    </row>
    <row r="3255">
      <c r="A3255" s="193"/>
      <c r="B3255" s="194"/>
      <c r="C3255" s="195"/>
      <c r="D3255" s="196"/>
      <c r="E3255" s="197"/>
      <c r="F3255" s="197"/>
      <c r="G3255" s="195"/>
      <c r="H3255" s="195"/>
      <c r="I3255" s="197"/>
      <c r="J3255" s="121"/>
      <c r="K3255" s="121"/>
      <c r="L3255" s="200"/>
      <c r="M3255" s="204"/>
      <c r="N3255" s="205"/>
      <c r="O3255" s="170"/>
      <c r="P3255" s="198"/>
      <c r="Q3255" s="199"/>
      <c r="R3255" s="200"/>
      <c r="S3255" s="170"/>
      <c r="T3255" s="170"/>
      <c r="U3255" s="201"/>
      <c r="V3255" s="198"/>
      <c r="W3255" s="170"/>
      <c r="X3255" s="202"/>
      <c r="Y3255" s="203"/>
      <c r="Z3255" s="170"/>
      <c r="AA3255" s="198"/>
      <c r="AB3255" s="170"/>
      <c r="AC3255" s="170"/>
      <c r="AD3255" s="121"/>
      <c r="AE3255" s="121"/>
      <c r="AF3255" s="121"/>
      <c r="AG3255" s="22"/>
      <c r="AH3255" s="22"/>
      <c r="AI3255" s="22"/>
      <c r="AJ3255" s="22"/>
      <c r="AK3255" s="22"/>
      <c r="AL3255" s="22"/>
      <c r="AM3255" s="22"/>
      <c r="AN3255" s="22"/>
      <c r="AO3255" s="22"/>
      <c r="AP3255" s="22"/>
    </row>
    <row r="3256">
      <c r="A3256" s="193"/>
      <c r="B3256" s="194"/>
      <c r="C3256" s="195"/>
      <c r="D3256" s="196"/>
      <c r="E3256" s="197"/>
      <c r="F3256" s="197"/>
      <c r="G3256" s="195"/>
      <c r="H3256" s="195"/>
      <c r="I3256" s="197"/>
      <c r="J3256" s="121"/>
      <c r="K3256" s="121"/>
      <c r="L3256" s="200"/>
      <c r="M3256" s="204"/>
      <c r="N3256" s="205"/>
      <c r="O3256" s="170"/>
      <c r="P3256" s="198"/>
      <c r="Q3256" s="199"/>
      <c r="R3256" s="200"/>
      <c r="S3256" s="170"/>
      <c r="T3256" s="170"/>
      <c r="U3256" s="201"/>
      <c r="V3256" s="198"/>
      <c r="W3256" s="170"/>
      <c r="X3256" s="202"/>
      <c r="Y3256" s="203"/>
      <c r="Z3256" s="170"/>
      <c r="AA3256" s="198"/>
      <c r="AB3256" s="170"/>
      <c r="AC3256" s="170"/>
      <c r="AD3256" s="121"/>
      <c r="AE3256" s="121"/>
      <c r="AF3256" s="121"/>
      <c r="AG3256" s="22"/>
      <c r="AH3256" s="22"/>
      <c r="AI3256" s="22"/>
      <c r="AJ3256" s="22"/>
      <c r="AK3256" s="22"/>
      <c r="AL3256" s="22"/>
      <c r="AM3256" s="22"/>
      <c r="AN3256" s="22"/>
      <c r="AO3256" s="22"/>
      <c r="AP3256" s="22"/>
    </row>
    <row r="3257">
      <c r="A3257" s="193"/>
      <c r="B3257" s="194"/>
      <c r="C3257" s="195"/>
      <c r="D3257" s="196"/>
      <c r="E3257" s="197"/>
      <c r="F3257" s="197"/>
      <c r="G3257" s="195"/>
      <c r="H3257" s="195"/>
      <c r="I3257" s="197"/>
      <c r="J3257" s="121"/>
      <c r="K3257" s="121"/>
      <c r="L3257" s="200"/>
      <c r="M3257" s="204"/>
      <c r="N3257" s="205"/>
      <c r="O3257" s="170"/>
      <c r="P3257" s="198"/>
      <c r="Q3257" s="199"/>
      <c r="R3257" s="200"/>
      <c r="S3257" s="170"/>
      <c r="T3257" s="170"/>
      <c r="U3257" s="201"/>
      <c r="V3257" s="198"/>
      <c r="W3257" s="170"/>
      <c r="X3257" s="202"/>
      <c r="Y3257" s="203"/>
      <c r="Z3257" s="170"/>
      <c r="AA3257" s="198"/>
      <c r="AB3257" s="170"/>
      <c r="AC3257" s="170"/>
      <c r="AD3257" s="121"/>
      <c r="AE3257" s="121"/>
      <c r="AF3257" s="121"/>
      <c r="AG3257" s="22"/>
      <c r="AH3257" s="22"/>
      <c r="AI3257" s="22"/>
      <c r="AJ3257" s="22"/>
      <c r="AK3257" s="22"/>
      <c r="AL3257" s="22"/>
      <c r="AM3257" s="22"/>
      <c r="AN3257" s="22"/>
      <c r="AO3257" s="22"/>
      <c r="AP3257" s="22"/>
    </row>
    <row r="3258">
      <c r="A3258" s="193"/>
      <c r="B3258" s="194"/>
      <c r="C3258" s="195"/>
      <c r="D3258" s="196"/>
      <c r="E3258" s="197"/>
      <c r="F3258" s="197"/>
      <c r="G3258" s="195"/>
      <c r="H3258" s="195"/>
      <c r="I3258" s="197"/>
      <c r="J3258" s="121"/>
      <c r="K3258" s="121"/>
      <c r="L3258" s="200"/>
      <c r="M3258" s="204"/>
      <c r="N3258" s="205"/>
      <c r="O3258" s="170"/>
      <c r="P3258" s="198"/>
      <c r="Q3258" s="199"/>
      <c r="R3258" s="200"/>
      <c r="S3258" s="170"/>
      <c r="T3258" s="170"/>
      <c r="U3258" s="201"/>
      <c r="V3258" s="198"/>
      <c r="W3258" s="170"/>
      <c r="X3258" s="202"/>
      <c r="Y3258" s="203"/>
      <c r="Z3258" s="170"/>
      <c r="AA3258" s="198"/>
      <c r="AB3258" s="170"/>
      <c r="AC3258" s="170"/>
      <c r="AD3258" s="121"/>
      <c r="AE3258" s="121"/>
      <c r="AF3258" s="121"/>
      <c r="AG3258" s="22"/>
      <c r="AH3258" s="22"/>
      <c r="AI3258" s="22"/>
      <c r="AJ3258" s="22"/>
      <c r="AK3258" s="22"/>
      <c r="AL3258" s="22"/>
      <c r="AM3258" s="22"/>
      <c r="AN3258" s="22"/>
      <c r="AO3258" s="22"/>
      <c r="AP3258" s="22"/>
    </row>
    <row r="3259">
      <c r="A3259" s="193"/>
      <c r="B3259" s="194"/>
      <c r="C3259" s="195"/>
      <c r="D3259" s="196"/>
      <c r="E3259" s="197"/>
      <c r="F3259" s="197"/>
      <c r="G3259" s="195"/>
      <c r="H3259" s="195"/>
      <c r="I3259" s="197"/>
      <c r="J3259" s="121"/>
      <c r="K3259" s="121"/>
      <c r="L3259" s="200"/>
      <c r="M3259" s="204"/>
      <c r="N3259" s="205"/>
      <c r="O3259" s="170"/>
      <c r="P3259" s="198"/>
      <c r="Q3259" s="199"/>
      <c r="R3259" s="200"/>
      <c r="S3259" s="170"/>
      <c r="T3259" s="170"/>
      <c r="U3259" s="201"/>
      <c r="V3259" s="198"/>
      <c r="W3259" s="170"/>
      <c r="X3259" s="202"/>
      <c r="Y3259" s="203"/>
      <c r="Z3259" s="170"/>
      <c r="AA3259" s="198"/>
      <c r="AB3259" s="170"/>
      <c r="AC3259" s="170"/>
      <c r="AD3259" s="121"/>
      <c r="AE3259" s="121"/>
      <c r="AF3259" s="121"/>
      <c r="AG3259" s="22"/>
      <c r="AH3259" s="22"/>
      <c r="AI3259" s="22"/>
      <c r="AJ3259" s="22"/>
      <c r="AK3259" s="22"/>
      <c r="AL3259" s="22"/>
      <c r="AM3259" s="22"/>
      <c r="AN3259" s="22"/>
      <c r="AO3259" s="22"/>
      <c r="AP3259" s="22"/>
    </row>
    <row r="3260">
      <c r="A3260" s="193"/>
      <c r="B3260" s="194"/>
      <c r="C3260" s="195"/>
      <c r="D3260" s="196"/>
      <c r="E3260" s="197"/>
      <c r="F3260" s="197"/>
      <c r="G3260" s="195"/>
      <c r="H3260" s="195"/>
      <c r="I3260" s="197"/>
      <c r="J3260" s="121"/>
      <c r="K3260" s="121"/>
      <c r="L3260" s="200"/>
      <c r="M3260" s="204"/>
      <c r="N3260" s="205"/>
      <c r="O3260" s="170"/>
      <c r="P3260" s="198"/>
      <c r="Q3260" s="199"/>
      <c r="R3260" s="200"/>
      <c r="S3260" s="170"/>
      <c r="T3260" s="170"/>
      <c r="U3260" s="201"/>
      <c r="V3260" s="198"/>
      <c r="W3260" s="170"/>
      <c r="X3260" s="202"/>
      <c r="Y3260" s="203"/>
      <c r="Z3260" s="170"/>
      <c r="AA3260" s="198"/>
      <c r="AB3260" s="170"/>
      <c r="AC3260" s="170"/>
      <c r="AD3260" s="121"/>
      <c r="AE3260" s="121"/>
      <c r="AF3260" s="121"/>
      <c r="AG3260" s="22"/>
      <c r="AH3260" s="22"/>
      <c r="AI3260" s="22"/>
      <c r="AJ3260" s="22"/>
      <c r="AK3260" s="22"/>
      <c r="AL3260" s="22"/>
      <c r="AM3260" s="22"/>
      <c r="AN3260" s="22"/>
      <c r="AO3260" s="22"/>
      <c r="AP3260" s="22"/>
    </row>
    <row r="3261">
      <c r="A3261" s="193"/>
      <c r="B3261" s="194"/>
      <c r="C3261" s="195"/>
      <c r="D3261" s="196"/>
      <c r="E3261" s="197"/>
      <c r="F3261" s="197"/>
      <c r="G3261" s="195"/>
      <c r="H3261" s="195"/>
      <c r="I3261" s="197"/>
      <c r="J3261" s="121"/>
      <c r="K3261" s="121"/>
      <c r="L3261" s="200"/>
      <c r="M3261" s="204"/>
      <c r="N3261" s="205"/>
      <c r="O3261" s="170"/>
      <c r="P3261" s="198"/>
      <c r="Q3261" s="199"/>
      <c r="R3261" s="200"/>
      <c r="S3261" s="170"/>
      <c r="T3261" s="170"/>
      <c r="U3261" s="201"/>
      <c r="V3261" s="198"/>
      <c r="W3261" s="170"/>
      <c r="X3261" s="202"/>
      <c r="Y3261" s="203"/>
      <c r="Z3261" s="170"/>
      <c r="AA3261" s="198"/>
      <c r="AB3261" s="170"/>
      <c r="AC3261" s="170"/>
      <c r="AD3261" s="121"/>
      <c r="AE3261" s="121"/>
      <c r="AF3261" s="121"/>
      <c r="AG3261" s="22"/>
      <c r="AH3261" s="22"/>
      <c r="AI3261" s="22"/>
      <c r="AJ3261" s="22"/>
      <c r="AK3261" s="22"/>
      <c r="AL3261" s="22"/>
      <c r="AM3261" s="22"/>
      <c r="AN3261" s="22"/>
      <c r="AO3261" s="22"/>
      <c r="AP3261" s="22"/>
    </row>
    <row r="3262">
      <c r="A3262" s="193"/>
      <c r="B3262" s="194"/>
      <c r="C3262" s="195"/>
      <c r="D3262" s="196"/>
      <c r="E3262" s="197"/>
      <c r="F3262" s="197"/>
      <c r="G3262" s="195"/>
      <c r="H3262" s="195"/>
      <c r="I3262" s="197"/>
      <c r="J3262" s="121"/>
      <c r="K3262" s="121"/>
      <c r="L3262" s="200"/>
      <c r="M3262" s="204"/>
      <c r="N3262" s="205"/>
      <c r="O3262" s="170"/>
      <c r="P3262" s="198"/>
      <c r="Q3262" s="199"/>
      <c r="R3262" s="200"/>
      <c r="S3262" s="170"/>
      <c r="T3262" s="170"/>
      <c r="U3262" s="201"/>
      <c r="V3262" s="198"/>
      <c r="W3262" s="170"/>
      <c r="X3262" s="202"/>
      <c r="Y3262" s="203"/>
      <c r="Z3262" s="170"/>
      <c r="AA3262" s="198"/>
      <c r="AB3262" s="170"/>
      <c r="AC3262" s="170"/>
      <c r="AD3262" s="121"/>
      <c r="AE3262" s="121"/>
      <c r="AF3262" s="121"/>
      <c r="AG3262" s="22"/>
      <c r="AH3262" s="22"/>
      <c r="AI3262" s="22"/>
      <c r="AJ3262" s="22"/>
      <c r="AK3262" s="22"/>
      <c r="AL3262" s="22"/>
      <c r="AM3262" s="22"/>
      <c r="AN3262" s="22"/>
      <c r="AO3262" s="22"/>
      <c r="AP3262" s="22"/>
    </row>
    <row r="3263">
      <c r="A3263" s="193"/>
      <c r="B3263" s="194"/>
      <c r="C3263" s="195"/>
      <c r="D3263" s="196"/>
      <c r="E3263" s="197"/>
      <c r="F3263" s="197"/>
      <c r="G3263" s="195"/>
      <c r="H3263" s="195"/>
      <c r="I3263" s="197"/>
      <c r="J3263" s="121"/>
      <c r="K3263" s="121"/>
      <c r="L3263" s="200"/>
      <c r="M3263" s="204"/>
      <c r="N3263" s="205"/>
      <c r="O3263" s="170"/>
      <c r="P3263" s="198"/>
      <c r="Q3263" s="199"/>
      <c r="R3263" s="200"/>
      <c r="S3263" s="170"/>
      <c r="T3263" s="170"/>
      <c r="U3263" s="201"/>
      <c r="V3263" s="198"/>
      <c r="W3263" s="170"/>
      <c r="X3263" s="202"/>
      <c r="Y3263" s="203"/>
      <c r="Z3263" s="170"/>
      <c r="AA3263" s="198"/>
      <c r="AB3263" s="170"/>
      <c r="AC3263" s="170"/>
      <c r="AD3263" s="121"/>
      <c r="AE3263" s="121"/>
      <c r="AF3263" s="121"/>
      <c r="AG3263" s="22"/>
      <c r="AH3263" s="22"/>
      <c r="AI3263" s="22"/>
      <c r="AJ3263" s="22"/>
      <c r="AK3263" s="22"/>
      <c r="AL3263" s="22"/>
      <c r="AM3263" s="22"/>
      <c r="AN3263" s="22"/>
      <c r="AO3263" s="22"/>
      <c r="AP3263" s="22"/>
    </row>
    <row r="3264">
      <c r="A3264" s="193"/>
      <c r="B3264" s="194"/>
      <c r="C3264" s="195"/>
      <c r="D3264" s="196"/>
      <c r="E3264" s="197"/>
      <c r="F3264" s="197"/>
      <c r="G3264" s="195"/>
      <c r="H3264" s="195"/>
      <c r="I3264" s="197"/>
      <c r="J3264" s="121"/>
      <c r="K3264" s="121"/>
      <c r="L3264" s="200"/>
      <c r="M3264" s="204"/>
      <c r="N3264" s="205"/>
      <c r="O3264" s="170"/>
      <c r="P3264" s="198"/>
      <c r="Q3264" s="199"/>
      <c r="R3264" s="200"/>
      <c r="S3264" s="170"/>
      <c r="T3264" s="170"/>
      <c r="U3264" s="201"/>
      <c r="V3264" s="198"/>
      <c r="W3264" s="170"/>
      <c r="X3264" s="202"/>
      <c r="Y3264" s="203"/>
      <c r="Z3264" s="170"/>
      <c r="AA3264" s="198"/>
      <c r="AB3264" s="170"/>
      <c r="AC3264" s="170"/>
      <c r="AD3264" s="121"/>
      <c r="AE3264" s="121"/>
      <c r="AF3264" s="121"/>
      <c r="AG3264" s="22"/>
      <c r="AH3264" s="22"/>
      <c r="AI3264" s="22"/>
      <c r="AJ3264" s="22"/>
      <c r="AK3264" s="22"/>
      <c r="AL3264" s="22"/>
      <c r="AM3264" s="22"/>
      <c r="AN3264" s="22"/>
      <c r="AO3264" s="22"/>
      <c r="AP3264" s="22"/>
    </row>
    <row r="3265">
      <c r="A3265" s="193"/>
      <c r="B3265" s="194"/>
      <c r="C3265" s="195"/>
      <c r="D3265" s="196"/>
      <c r="E3265" s="197"/>
      <c r="F3265" s="197"/>
      <c r="G3265" s="195"/>
      <c r="H3265" s="195"/>
      <c r="I3265" s="197"/>
      <c r="J3265" s="121"/>
      <c r="K3265" s="121"/>
      <c r="L3265" s="200"/>
      <c r="M3265" s="204"/>
      <c r="N3265" s="205"/>
      <c r="O3265" s="170"/>
      <c r="P3265" s="198"/>
      <c r="Q3265" s="199"/>
      <c r="R3265" s="200"/>
      <c r="S3265" s="170"/>
      <c r="T3265" s="170"/>
      <c r="U3265" s="201"/>
      <c r="V3265" s="198"/>
      <c r="W3265" s="170"/>
      <c r="X3265" s="202"/>
      <c r="Y3265" s="203"/>
      <c r="Z3265" s="170"/>
      <c r="AA3265" s="198"/>
      <c r="AB3265" s="170"/>
      <c r="AC3265" s="170"/>
      <c r="AD3265" s="121"/>
      <c r="AE3265" s="121"/>
      <c r="AF3265" s="121"/>
      <c r="AG3265" s="22"/>
      <c r="AH3265" s="22"/>
      <c r="AI3265" s="22"/>
      <c r="AJ3265" s="22"/>
      <c r="AK3265" s="22"/>
      <c r="AL3265" s="22"/>
      <c r="AM3265" s="22"/>
      <c r="AN3265" s="22"/>
      <c r="AO3265" s="22"/>
      <c r="AP3265" s="22"/>
    </row>
    <row r="3266">
      <c r="A3266" s="193"/>
      <c r="B3266" s="194"/>
      <c r="C3266" s="195"/>
      <c r="D3266" s="196"/>
      <c r="E3266" s="197"/>
      <c r="F3266" s="197"/>
      <c r="G3266" s="195"/>
      <c r="H3266" s="195"/>
      <c r="I3266" s="197"/>
      <c r="J3266" s="121"/>
      <c r="K3266" s="121"/>
      <c r="L3266" s="200"/>
      <c r="M3266" s="204"/>
      <c r="N3266" s="205"/>
      <c r="O3266" s="170"/>
      <c r="P3266" s="198"/>
      <c r="Q3266" s="199"/>
      <c r="R3266" s="200"/>
      <c r="S3266" s="170"/>
      <c r="T3266" s="170"/>
      <c r="U3266" s="201"/>
      <c r="V3266" s="198"/>
      <c r="W3266" s="170"/>
      <c r="X3266" s="202"/>
      <c r="Y3266" s="203"/>
      <c r="Z3266" s="170"/>
      <c r="AA3266" s="198"/>
      <c r="AB3266" s="170"/>
      <c r="AC3266" s="170"/>
      <c r="AD3266" s="121"/>
      <c r="AE3266" s="121"/>
      <c r="AF3266" s="121"/>
      <c r="AG3266" s="22"/>
      <c r="AH3266" s="22"/>
      <c r="AI3266" s="22"/>
      <c r="AJ3266" s="22"/>
      <c r="AK3266" s="22"/>
      <c r="AL3266" s="22"/>
      <c r="AM3266" s="22"/>
      <c r="AN3266" s="22"/>
      <c r="AO3266" s="22"/>
      <c r="AP3266" s="22"/>
    </row>
    <row r="3267">
      <c r="A3267" s="193"/>
      <c r="B3267" s="194"/>
      <c r="C3267" s="195"/>
      <c r="D3267" s="196"/>
      <c r="E3267" s="197"/>
      <c r="F3267" s="197"/>
      <c r="G3267" s="195"/>
      <c r="H3267" s="195"/>
      <c r="I3267" s="197"/>
      <c r="J3267" s="121"/>
      <c r="K3267" s="121"/>
      <c r="L3267" s="200"/>
      <c r="M3267" s="204"/>
      <c r="N3267" s="205"/>
      <c r="O3267" s="170"/>
      <c r="P3267" s="198"/>
      <c r="Q3267" s="199"/>
      <c r="R3267" s="200"/>
      <c r="S3267" s="170"/>
      <c r="T3267" s="170"/>
      <c r="U3267" s="201"/>
      <c r="V3267" s="198"/>
      <c r="W3267" s="170"/>
      <c r="X3267" s="202"/>
      <c r="Y3267" s="203"/>
      <c r="Z3267" s="170"/>
      <c r="AA3267" s="198"/>
      <c r="AB3267" s="170"/>
      <c r="AC3267" s="170"/>
      <c r="AD3267" s="121"/>
      <c r="AE3267" s="121"/>
      <c r="AF3267" s="121"/>
      <c r="AG3267" s="22"/>
      <c r="AH3267" s="22"/>
      <c r="AI3267" s="22"/>
      <c r="AJ3267" s="22"/>
      <c r="AK3267" s="22"/>
      <c r="AL3267" s="22"/>
      <c r="AM3267" s="22"/>
      <c r="AN3267" s="22"/>
      <c r="AO3267" s="22"/>
      <c r="AP3267" s="22"/>
    </row>
    <row r="3268">
      <c r="A3268" s="193"/>
      <c r="B3268" s="194"/>
      <c r="C3268" s="195"/>
      <c r="D3268" s="196"/>
      <c r="E3268" s="197"/>
      <c r="F3268" s="197"/>
      <c r="G3268" s="195"/>
      <c r="H3268" s="195"/>
      <c r="I3268" s="197"/>
      <c r="J3268" s="121"/>
      <c r="K3268" s="121"/>
      <c r="L3268" s="200"/>
      <c r="M3268" s="204"/>
      <c r="N3268" s="205"/>
      <c r="O3268" s="170"/>
      <c r="P3268" s="198"/>
      <c r="Q3268" s="199"/>
      <c r="R3268" s="200"/>
      <c r="S3268" s="170"/>
      <c r="T3268" s="170"/>
      <c r="U3268" s="201"/>
      <c r="V3268" s="198"/>
      <c r="W3268" s="170"/>
      <c r="X3268" s="202"/>
      <c r="Y3268" s="203"/>
      <c r="Z3268" s="170"/>
      <c r="AA3268" s="198"/>
      <c r="AB3268" s="170"/>
      <c r="AC3268" s="170"/>
      <c r="AD3268" s="121"/>
      <c r="AE3268" s="121"/>
      <c r="AF3268" s="121"/>
      <c r="AG3268" s="22"/>
      <c r="AH3268" s="22"/>
      <c r="AI3268" s="22"/>
      <c r="AJ3268" s="22"/>
      <c r="AK3268" s="22"/>
      <c r="AL3268" s="22"/>
      <c r="AM3268" s="22"/>
      <c r="AN3268" s="22"/>
      <c r="AO3268" s="22"/>
      <c r="AP3268" s="22"/>
    </row>
    <row r="3269">
      <c r="A3269" s="193"/>
      <c r="B3269" s="194"/>
      <c r="C3269" s="195"/>
      <c r="D3269" s="196"/>
      <c r="E3269" s="197"/>
      <c r="F3269" s="197"/>
      <c r="G3269" s="195"/>
      <c r="H3269" s="195"/>
      <c r="I3269" s="197"/>
      <c r="J3269" s="121"/>
      <c r="K3269" s="121"/>
      <c r="L3269" s="200"/>
      <c r="M3269" s="204"/>
      <c r="N3269" s="205"/>
      <c r="O3269" s="170"/>
      <c r="P3269" s="198"/>
      <c r="Q3269" s="199"/>
      <c r="R3269" s="200"/>
      <c r="S3269" s="170"/>
      <c r="T3269" s="170"/>
      <c r="U3269" s="201"/>
      <c r="V3269" s="198"/>
      <c r="W3269" s="170"/>
      <c r="X3269" s="202"/>
      <c r="Y3269" s="203"/>
      <c r="Z3269" s="170"/>
      <c r="AA3269" s="198"/>
      <c r="AB3269" s="170"/>
      <c r="AC3269" s="170"/>
      <c r="AD3269" s="121"/>
      <c r="AE3269" s="121"/>
      <c r="AF3269" s="121"/>
      <c r="AG3269" s="22"/>
      <c r="AH3269" s="22"/>
      <c r="AI3269" s="22"/>
      <c r="AJ3269" s="22"/>
      <c r="AK3269" s="22"/>
      <c r="AL3269" s="22"/>
      <c r="AM3269" s="22"/>
      <c r="AN3269" s="22"/>
      <c r="AO3269" s="22"/>
      <c r="AP3269" s="22"/>
    </row>
    <row r="3270">
      <c r="A3270" s="193"/>
      <c r="B3270" s="194"/>
      <c r="C3270" s="195"/>
      <c r="D3270" s="196"/>
      <c r="E3270" s="197"/>
      <c r="F3270" s="197"/>
      <c r="G3270" s="195"/>
      <c r="H3270" s="195"/>
      <c r="I3270" s="197"/>
      <c r="J3270" s="121"/>
      <c r="K3270" s="121"/>
      <c r="L3270" s="200"/>
      <c r="M3270" s="204"/>
      <c r="N3270" s="205"/>
      <c r="O3270" s="170"/>
      <c r="P3270" s="198"/>
      <c r="Q3270" s="199"/>
      <c r="R3270" s="200"/>
      <c r="S3270" s="170"/>
      <c r="T3270" s="170"/>
      <c r="U3270" s="201"/>
      <c r="V3270" s="198"/>
      <c r="W3270" s="170"/>
      <c r="X3270" s="202"/>
      <c r="Y3270" s="203"/>
      <c r="Z3270" s="170"/>
      <c r="AA3270" s="198"/>
      <c r="AB3270" s="170"/>
      <c r="AC3270" s="170"/>
      <c r="AD3270" s="121"/>
      <c r="AE3270" s="121"/>
      <c r="AF3270" s="121"/>
      <c r="AG3270" s="22"/>
      <c r="AH3270" s="22"/>
      <c r="AI3270" s="22"/>
      <c r="AJ3270" s="22"/>
      <c r="AK3270" s="22"/>
      <c r="AL3270" s="22"/>
      <c r="AM3270" s="22"/>
      <c r="AN3270" s="22"/>
      <c r="AO3270" s="22"/>
      <c r="AP3270" s="22"/>
    </row>
    <row r="3271">
      <c r="A3271" s="193"/>
      <c r="B3271" s="194"/>
      <c r="C3271" s="195"/>
      <c r="D3271" s="196"/>
      <c r="E3271" s="197"/>
      <c r="F3271" s="197"/>
      <c r="G3271" s="195"/>
      <c r="H3271" s="195"/>
      <c r="I3271" s="197"/>
      <c r="J3271" s="121"/>
      <c r="K3271" s="121"/>
      <c r="L3271" s="200"/>
      <c r="M3271" s="204"/>
      <c r="N3271" s="205"/>
      <c r="O3271" s="170"/>
      <c r="P3271" s="198"/>
      <c r="Q3271" s="199"/>
      <c r="R3271" s="200"/>
      <c r="S3271" s="170"/>
      <c r="T3271" s="170"/>
      <c r="U3271" s="201"/>
      <c r="V3271" s="198"/>
      <c r="W3271" s="170"/>
      <c r="X3271" s="202"/>
      <c r="Y3271" s="203"/>
      <c r="Z3271" s="170"/>
      <c r="AA3271" s="198"/>
      <c r="AB3271" s="170"/>
      <c r="AC3271" s="170"/>
      <c r="AD3271" s="121"/>
      <c r="AE3271" s="121"/>
      <c r="AF3271" s="121"/>
      <c r="AG3271" s="22"/>
      <c r="AH3271" s="22"/>
      <c r="AI3271" s="22"/>
      <c r="AJ3271" s="22"/>
      <c r="AK3271" s="22"/>
      <c r="AL3271" s="22"/>
      <c r="AM3271" s="22"/>
      <c r="AN3271" s="22"/>
      <c r="AO3271" s="22"/>
      <c r="AP3271" s="22"/>
    </row>
    <row r="3272">
      <c r="A3272" s="193"/>
      <c r="B3272" s="194"/>
      <c r="C3272" s="195"/>
      <c r="D3272" s="196"/>
      <c r="E3272" s="197"/>
      <c r="F3272" s="197"/>
      <c r="G3272" s="195"/>
      <c r="H3272" s="195"/>
      <c r="I3272" s="197"/>
      <c r="J3272" s="121"/>
      <c r="K3272" s="121"/>
      <c r="L3272" s="200"/>
      <c r="M3272" s="204"/>
      <c r="N3272" s="205"/>
      <c r="O3272" s="170"/>
      <c r="P3272" s="198"/>
      <c r="Q3272" s="199"/>
      <c r="R3272" s="200"/>
      <c r="S3272" s="170"/>
      <c r="T3272" s="170"/>
      <c r="U3272" s="201"/>
      <c r="V3272" s="198"/>
      <c r="W3272" s="170"/>
      <c r="X3272" s="202"/>
      <c r="Y3272" s="203"/>
      <c r="Z3272" s="170"/>
      <c r="AA3272" s="198"/>
      <c r="AB3272" s="170"/>
      <c r="AC3272" s="170"/>
      <c r="AD3272" s="121"/>
      <c r="AE3272" s="121"/>
      <c r="AF3272" s="121"/>
      <c r="AG3272" s="22"/>
      <c r="AH3272" s="22"/>
      <c r="AI3272" s="22"/>
      <c r="AJ3272" s="22"/>
      <c r="AK3272" s="22"/>
      <c r="AL3272" s="22"/>
      <c r="AM3272" s="22"/>
      <c r="AN3272" s="22"/>
      <c r="AO3272" s="22"/>
      <c r="AP3272" s="22"/>
    </row>
    <row r="3273">
      <c r="A3273" s="193"/>
      <c r="B3273" s="194"/>
      <c r="C3273" s="195"/>
      <c r="D3273" s="196"/>
      <c r="E3273" s="197"/>
      <c r="F3273" s="197"/>
      <c r="G3273" s="195"/>
      <c r="H3273" s="195"/>
      <c r="I3273" s="197"/>
      <c r="J3273" s="121"/>
      <c r="K3273" s="121"/>
      <c r="L3273" s="200"/>
      <c r="M3273" s="204"/>
      <c r="N3273" s="205"/>
      <c r="O3273" s="170"/>
      <c r="P3273" s="198"/>
      <c r="Q3273" s="199"/>
      <c r="R3273" s="200"/>
      <c r="S3273" s="170"/>
      <c r="T3273" s="170"/>
      <c r="U3273" s="201"/>
      <c r="V3273" s="198"/>
      <c r="W3273" s="170"/>
      <c r="X3273" s="202"/>
      <c r="Y3273" s="203"/>
      <c r="Z3273" s="170"/>
      <c r="AA3273" s="198"/>
      <c r="AB3273" s="170"/>
      <c r="AC3273" s="170"/>
      <c r="AD3273" s="121"/>
      <c r="AE3273" s="121"/>
      <c r="AF3273" s="121"/>
      <c r="AG3273" s="22"/>
      <c r="AH3273" s="22"/>
      <c r="AI3273" s="22"/>
      <c r="AJ3273" s="22"/>
      <c r="AK3273" s="22"/>
      <c r="AL3273" s="22"/>
      <c r="AM3273" s="22"/>
      <c r="AN3273" s="22"/>
      <c r="AO3273" s="22"/>
      <c r="AP3273" s="22"/>
    </row>
    <row r="3274">
      <c r="A3274" s="193"/>
      <c r="B3274" s="194"/>
      <c r="C3274" s="195"/>
      <c r="D3274" s="196"/>
      <c r="E3274" s="197"/>
      <c r="F3274" s="197"/>
      <c r="G3274" s="195"/>
      <c r="H3274" s="195"/>
      <c r="I3274" s="197"/>
      <c r="J3274" s="121"/>
      <c r="K3274" s="121"/>
      <c r="L3274" s="200"/>
      <c r="M3274" s="204"/>
      <c r="N3274" s="205"/>
      <c r="O3274" s="170"/>
      <c r="P3274" s="198"/>
      <c r="Q3274" s="199"/>
      <c r="R3274" s="200"/>
      <c r="S3274" s="170"/>
      <c r="T3274" s="170"/>
      <c r="U3274" s="201"/>
      <c r="V3274" s="198"/>
      <c r="W3274" s="170"/>
      <c r="X3274" s="202"/>
      <c r="Y3274" s="203"/>
      <c r="Z3274" s="170"/>
      <c r="AA3274" s="198"/>
      <c r="AB3274" s="170"/>
      <c r="AC3274" s="170"/>
      <c r="AD3274" s="121"/>
      <c r="AE3274" s="121"/>
      <c r="AF3274" s="121"/>
      <c r="AG3274" s="22"/>
      <c r="AH3274" s="22"/>
      <c r="AI3274" s="22"/>
      <c r="AJ3274" s="22"/>
      <c r="AK3274" s="22"/>
      <c r="AL3274" s="22"/>
      <c r="AM3274" s="22"/>
      <c r="AN3274" s="22"/>
      <c r="AO3274" s="22"/>
      <c r="AP3274" s="22"/>
    </row>
    <row r="3275">
      <c r="A3275" s="193"/>
      <c r="B3275" s="194"/>
      <c r="C3275" s="195"/>
      <c r="D3275" s="196"/>
      <c r="E3275" s="197"/>
      <c r="F3275" s="197"/>
      <c r="G3275" s="195"/>
      <c r="H3275" s="195"/>
      <c r="I3275" s="197"/>
      <c r="J3275" s="121"/>
      <c r="K3275" s="121"/>
      <c r="L3275" s="200"/>
      <c r="M3275" s="204"/>
      <c r="N3275" s="205"/>
      <c r="O3275" s="170"/>
      <c r="P3275" s="198"/>
      <c r="Q3275" s="199"/>
      <c r="R3275" s="200"/>
      <c r="S3275" s="170"/>
      <c r="T3275" s="170"/>
      <c r="U3275" s="201"/>
      <c r="V3275" s="198"/>
      <c r="W3275" s="170"/>
      <c r="X3275" s="202"/>
      <c r="Y3275" s="203"/>
      <c r="Z3275" s="170"/>
      <c r="AA3275" s="198"/>
      <c r="AB3275" s="170"/>
      <c r="AC3275" s="170"/>
      <c r="AD3275" s="121"/>
      <c r="AE3275" s="121"/>
      <c r="AF3275" s="121"/>
      <c r="AG3275" s="22"/>
      <c r="AH3275" s="22"/>
      <c r="AI3275" s="22"/>
      <c r="AJ3275" s="22"/>
      <c r="AK3275" s="22"/>
      <c r="AL3275" s="22"/>
      <c r="AM3275" s="22"/>
      <c r="AN3275" s="22"/>
      <c r="AO3275" s="22"/>
      <c r="AP3275" s="22"/>
    </row>
    <row r="3276">
      <c r="A3276" s="193"/>
      <c r="B3276" s="194"/>
      <c r="C3276" s="195"/>
      <c r="D3276" s="196"/>
      <c r="E3276" s="197"/>
      <c r="F3276" s="197"/>
      <c r="G3276" s="195"/>
      <c r="H3276" s="195"/>
      <c r="I3276" s="197"/>
      <c r="J3276" s="121"/>
      <c r="K3276" s="121"/>
      <c r="L3276" s="200"/>
      <c r="M3276" s="204"/>
      <c r="N3276" s="205"/>
      <c r="O3276" s="170"/>
      <c r="P3276" s="198"/>
      <c r="Q3276" s="199"/>
      <c r="R3276" s="200"/>
      <c r="S3276" s="170"/>
      <c r="T3276" s="170"/>
      <c r="U3276" s="201"/>
      <c r="V3276" s="198"/>
      <c r="W3276" s="170"/>
      <c r="X3276" s="202"/>
      <c r="Y3276" s="203"/>
      <c r="Z3276" s="170"/>
      <c r="AA3276" s="198"/>
      <c r="AB3276" s="170"/>
      <c r="AC3276" s="170"/>
      <c r="AD3276" s="121"/>
      <c r="AE3276" s="121"/>
      <c r="AF3276" s="121"/>
      <c r="AG3276" s="22"/>
      <c r="AH3276" s="22"/>
      <c r="AI3276" s="22"/>
      <c r="AJ3276" s="22"/>
      <c r="AK3276" s="22"/>
      <c r="AL3276" s="22"/>
      <c r="AM3276" s="22"/>
      <c r="AN3276" s="22"/>
      <c r="AO3276" s="22"/>
      <c r="AP3276" s="22"/>
    </row>
    <row r="3277">
      <c r="A3277" s="193"/>
      <c r="B3277" s="194"/>
      <c r="C3277" s="195"/>
      <c r="D3277" s="196"/>
      <c r="E3277" s="197"/>
      <c r="F3277" s="197"/>
      <c r="G3277" s="195"/>
      <c r="H3277" s="195"/>
      <c r="I3277" s="197"/>
      <c r="J3277" s="121"/>
      <c r="K3277" s="121"/>
      <c r="L3277" s="200"/>
      <c r="M3277" s="204"/>
      <c r="N3277" s="205"/>
      <c r="O3277" s="170"/>
      <c r="P3277" s="198"/>
      <c r="Q3277" s="199"/>
      <c r="R3277" s="200"/>
      <c r="S3277" s="170"/>
      <c r="T3277" s="170"/>
      <c r="U3277" s="201"/>
      <c r="V3277" s="198"/>
      <c r="W3277" s="170"/>
      <c r="X3277" s="202"/>
      <c r="Y3277" s="203"/>
      <c r="Z3277" s="170"/>
      <c r="AA3277" s="198"/>
      <c r="AB3277" s="170"/>
      <c r="AC3277" s="170"/>
      <c r="AD3277" s="121"/>
      <c r="AE3277" s="121"/>
      <c r="AF3277" s="121"/>
      <c r="AG3277" s="22"/>
      <c r="AH3277" s="22"/>
      <c r="AI3277" s="22"/>
      <c r="AJ3277" s="22"/>
      <c r="AK3277" s="22"/>
      <c r="AL3277" s="22"/>
      <c r="AM3277" s="22"/>
      <c r="AN3277" s="22"/>
      <c r="AO3277" s="22"/>
      <c r="AP3277" s="22"/>
    </row>
    <row r="3278">
      <c r="A3278" s="193"/>
      <c r="B3278" s="194"/>
      <c r="C3278" s="195"/>
      <c r="D3278" s="196"/>
      <c r="E3278" s="197"/>
      <c r="F3278" s="197"/>
      <c r="G3278" s="195"/>
      <c r="H3278" s="195"/>
      <c r="I3278" s="197"/>
      <c r="J3278" s="121"/>
      <c r="K3278" s="121"/>
      <c r="L3278" s="200"/>
      <c r="M3278" s="204"/>
      <c r="N3278" s="205"/>
      <c r="O3278" s="170"/>
      <c r="P3278" s="198"/>
      <c r="Q3278" s="199"/>
      <c r="R3278" s="200"/>
      <c r="S3278" s="170"/>
      <c r="T3278" s="170"/>
      <c r="U3278" s="201"/>
      <c r="V3278" s="198"/>
      <c r="W3278" s="170"/>
      <c r="X3278" s="202"/>
      <c r="Y3278" s="203"/>
      <c r="Z3278" s="170"/>
      <c r="AA3278" s="198"/>
      <c r="AB3278" s="170"/>
      <c r="AC3278" s="170"/>
      <c r="AD3278" s="121"/>
      <c r="AE3278" s="121"/>
      <c r="AF3278" s="121"/>
      <c r="AG3278" s="22"/>
      <c r="AH3278" s="22"/>
      <c r="AI3278" s="22"/>
      <c r="AJ3278" s="22"/>
      <c r="AK3278" s="22"/>
      <c r="AL3278" s="22"/>
      <c r="AM3278" s="22"/>
      <c r="AN3278" s="22"/>
      <c r="AO3278" s="22"/>
      <c r="AP3278" s="22"/>
    </row>
    <row r="3279">
      <c r="A3279" s="193"/>
      <c r="B3279" s="194"/>
      <c r="C3279" s="195"/>
      <c r="D3279" s="196"/>
      <c r="E3279" s="197"/>
      <c r="F3279" s="197"/>
      <c r="G3279" s="195"/>
      <c r="H3279" s="195"/>
      <c r="I3279" s="197"/>
      <c r="J3279" s="121"/>
      <c r="K3279" s="121"/>
      <c r="L3279" s="200"/>
      <c r="M3279" s="204"/>
      <c r="N3279" s="205"/>
      <c r="O3279" s="170"/>
      <c r="P3279" s="198"/>
      <c r="Q3279" s="199"/>
      <c r="R3279" s="200"/>
      <c r="S3279" s="170"/>
      <c r="T3279" s="170"/>
      <c r="U3279" s="201"/>
      <c r="V3279" s="198"/>
      <c r="W3279" s="170"/>
      <c r="X3279" s="202"/>
      <c r="Y3279" s="203"/>
      <c r="Z3279" s="170"/>
      <c r="AA3279" s="198"/>
      <c r="AB3279" s="170"/>
      <c r="AC3279" s="170"/>
      <c r="AD3279" s="121"/>
      <c r="AE3279" s="121"/>
      <c r="AF3279" s="121"/>
      <c r="AG3279" s="22"/>
      <c r="AH3279" s="22"/>
      <c r="AI3279" s="22"/>
      <c r="AJ3279" s="22"/>
      <c r="AK3279" s="22"/>
      <c r="AL3279" s="22"/>
      <c r="AM3279" s="22"/>
      <c r="AN3279" s="22"/>
      <c r="AO3279" s="22"/>
      <c r="AP3279" s="22"/>
    </row>
    <row r="3280">
      <c r="A3280" s="193"/>
      <c r="B3280" s="194"/>
      <c r="C3280" s="195"/>
      <c r="D3280" s="196"/>
      <c r="E3280" s="197"/>
      <c r="F3280" s="197"/>
      <c r="G3280" s="195"/>
      <c r="H3280" s="195"/>
      <c r="I3280" s="197"/>
      <c r="J3280" s="121"/>
      <c r="K3280" s="121"/>
      <c r="L3280" s="200"/>
      <c r="M3280" s="204"/>
      <c r="N3280" s="205"/>
      <c r="O3280" s="170"/>
      <c r="P3280" s="198"/>
      <c r="Q3280" s="199"/>
      <c r="R3280" s="200"/>
      <c r="S3280" s="170"/>
      <c r="T3280" s="170"/>
      <c r="U3280" s="201"/>
      <c r="V3280" s="198"/>
      <c r="W3280" s="170"/>
      <c r="X3280" s="202"/>
      <c r="Y3280" s="203"/>
      <c r="Z3280" s="170"/>
      <c r="AA3280" s="198"/>
      <c r="AB3280" s="170"/>
      <c r="AC3280" s="170"/>
      <c r="AD3280" s="121"/>
      <c r="AE3280" s="121"/>
      <c r="AF3280" s="121"/>
      <c r="AG3280" s="22"/>
      <c r="AH3280" s="22"/>
      <c r="AI3280" s="22"/>
      <c r="AJ3280" s="22"/>
      <c r="AK3280" s="22"/>
      <c r="AL3280" s="22"/>
      <c r="AM3280" s="22"/>
      <c r="AN3280" s="22"/>
      <c r="AO3280" s="22"/>
      <c r="AP3280" s="22"/>
    </row>
    <row r="3281">
      <c r="A3281" s="193"/>
      <c r="B3281" s="194"/>
      <c r="C3281" s="195"/>
      <c r="D3281" s="196"/>
      <c r="E3281" s="197"/>
      <c r="F3281" s="197"/>
      <c r="G3281" s="195"/>
      <c r="H3281" s="195"/>
      <c r="I3281" s="197"/>
      <c r="J3281" s="121"/>
      <c r="K3281" s="121"/>
      <c r="L3281" s="200"/>
      <c r="M3281" s="204"/>
      <c r="N3281" s="205"/>
      <c r="O3281" s="170"/>
      <c r="P3281" s="198"/>
      <c r="Q3281" s="199"/>
      <c r="R3281" s="200"/>
      <c r="S3281" s="170"/>
      <c r="T3281" s="170"/>
      <c r="U3281" s="201"/>
      <c r="V3281" s="198"/>
      <c r="W3281" s="170"/>
      <c r="X3281" s="202"/>
      <c r="Y3281" s="203"/>
      <c r="Z3281" s="170"/>
      <c r="AA3281" s="198"/>
      <c r="AB3281" s="170"/>
      <c r="AC3281" s="170"/>
      <c r="AD3281" s="121"/>
      <c r="AE3281" s="121"/>
      <c r="AF3281" s="121"/>
      <c r="AG3281" s="22"/>
      <c r="AH3281" s="22"/>
      <c r="AI3281" s="22"/>
      <c r="AJ3281" s="22"/>
      <c r="AK3281" s="22"/>
      <c r="AL3281" s="22"/>
      <c r="AM3281" s="22"/>
      <c r="AN3281" s="22"/>
      <c r="AO3281" s="22"/>
      <c r="AP3281" s="22"/>
    </row>
    <row r="3282">
      <c r="A3282" s="193"/>
      <c r="B3282" s="194"/>
      <c r="C3282" s="195"/>
      <c r="D3282" s="196"/>
      <c r="E3282" s="197"/>
      <c r="F3282" s="197"/>
      <c r="G3282" s="195"/>
      <c r="H3282" s="195"/>
      <c r="I3282" s="197"/>
      <c r="J3282" s="121"/>
      <c r="K3282" s="121"/>
      <c r="L3282" s="200"/>
      <c r="M3282" s="204"/>
      <c r="N3282" s="205"/>
      <c r="O3282" s="170"/>
      <c r="P3282" s="198"/>
      <c r="Q3282" s="199"/>
      <c r="R3282" s="200"/>
      <c r="S3282" s="170"/>
      <c r="T3282" s="170"/>
      <c r="U3282" s="201"/>
      <c r="V3282" s="198"/>
      <c r="W3282" s="170"/>
      <c r="X3282" s="202"/>
      <c r="Y3282" s="203"/>
      <c r="Z3282" s="170"/>
      <c r="AA3282" s="198"/>
      <c r="AB3282" s="170"/>
      <c r="AC3282" s="170"/>
      <c r="AD3282" s="121"/>
      <c r="AE3282" s="121"/>
      <c r="AF3282" s="121"/>
      <c r="AG3282" s="22"/>
      <c r="AH3282" s="22"/>
      <c r="AI3282" s="22"/>
      <c r="AJ3282" s="22"/>
      <c r="AK3282" s="22"/>
      <c r="AL3282" s="22"/>
      <c r="AM3282" s="22"/>
      <c r="AN3282" s="22"/>
      <c r="AO3282" s="22"/>
      <c r="AP3282" s="22"/>
    </row>
    <row r="3283">
      <c r="A3283" s="193"/>
      <c r="B3283" s="194"/>
      <c r="C3283" s="195"/>
      <c r="D3283" s="196"/>
      <c r="E3283" s="197"/>
      <c r="F3283" s="197"/>
      <c r="G3283" s="195"/>
      <c r="H3283" s="195"/>
      <c r="I3283" s="197"/>
      <c r="J3283" s="121"/>
      <c r="K3283" s="121"/>
      <c r="L3283" s="200"/>
      <c r="M3283" s="204"/>
      <c r="N3283" s="205"/>
      <c r="O3283" s="170"/>
      <c r="P3283" s="198"/>
      <c r="Q3283" s="199"/>
      <c r="R3283" s="200"/>
      <c r="S3283" s="170"/>
      <c r="T3283" s="170"/>
      <c r="U3283" s="201"/>
      <c r="V3283" s="198"/>
      <c r="W3283" s="170"/>
      <c r="X3283" s="202"/>
      <c r="Y3283" s="203"/>
      <c r="Z3283" s="170"/>
      <c r="AA3283" s="198"/>
      <c r="AB3283" s="170"/>
      <c r="AC3283" s="170"/>
      <c r="AD3283" s="121"/>
      <c r="AE3283" s="121"/>
      <c r="AF3283" s="121"/>
      <c r="AG3283" s="22"/>
      <c r="AH3283" s="22"/>
      <c r="AI3283" s="22"/>
      <c r="AJ3283" s="22"/>
      <c r="AK3283" s="22"/>
      <c r="AL3283" s="22"/>
      <c r="AM3283" s="22"/>
      <c r="AN3283" s="22"/>
      <c r="AO3283" s="22"/>
      <c r="AP3283" s="22"/>
    </row>
    <row r="3284">
      <c r="A3284" s="193"/>
      <c r="B3284" s="194"/>
      <c r="C3284" s="195"/>
      <c r="D3284" s="196"/>
      <c r="E3284" s="197"/>
      <c r="F3284" s="197"/>
      <c r="G3284" s="195"/>
      <c r="H3284" s="195"/>
      <c r="I3284" s="197"/>
      <c r="J3284" s="121"/>
      <c r="K3284" s="121"/>
      <c r="L3284" s="200"/>
      <c r="M3284" s="204"/>
      <c r="N3284" s="205"/>
      <c r="O3284" s="170"/>
      <c r="P3284" s="198"/>
      <c r="Q3284" s="199"/>
      <c r="R3284" s="200"/>
      <c r="S3284" s="170"/>
      <c r="T3284" s="170"/>
      <c r="U3284" s="201"/>
      <c r="V3284" s="198"/>
      <c r="W3284" s="170"/>
      <c r="X3284" s="202"/>
      <c r="Y3284" s="203"/>
      <c r="Z3284" s="170"/>
      <c r="AA3284" s="198"/>
      <c r="AB3284" s="170"/>
      <c r="AC3284" s="170"/>
      <c r="AD3284" s="121"/>
      <c r="AE3284" s="121"/>
      <c r="AF3284" s="121"/>
      <c r="AG3284" s="22"/>
      <c r="AH3284" s="22"/>
      <c r="AI3284" s="22"/>
      <c r="AJ3284" s="22"/>
      <c r="AK3284" s="22"/>
      <c r="AL3284" s="22"/>
      <c r="AM3284" s="22"/>
      <c r="AN3284" s="22"/>
      <c r="AO3284" s="22"/>
      <c r="AP3284" s="22"/>
    </row>
    <row r="3285">
      <c r="A3285" s="193"/>
      <c r="B3285" s="194"/>
      <c r="C3285" s="195"/>
      <c r="D3285" s="196"/>
      <c r="E3285" s="197"/>
      <c r="F3285" s="197"/>
      <c r="G3285" s="195"/>
      <c r="H3285" s="195"/>
      <c r="I3285" s="197"/>
      <c r="J3285" s="121"/>
      <c r="K3285" s="121"/>
      <c r="L3285" s="200"/>
      <c r="M3285" s="204"/>
      <c r="N3285" s="205"/>
      <c r="O3285" s="170"/>
      <c r="P3285" s="198"/>
      <c r="Q3285" s="199"/>
      <c r="R3285" s="200"/>
      <c r="S3285" s="170"/>
      <c r="T3285" s="170"/>
      <c r="U3285" s="201"/>
      <c r="V3285" s="198"/>
      <c r="W3285" s="170"/>
      <c r="X3285" s="202"/>
      <c r="Y3285" s="203"/>
      <c r="Z3285" s="170"/>
      <c r="AA3285" s="198"/>
      <c r="AB3285" s="170"/>
      <c r="AC3285" s="170"/>
      <c r="AD3285" s="121"/>
      <c r="AE3285" s="121"/>
      <c r="AF3285" s="121"/>
      <c r="AG3285" s="22"/>
      <c r="AH3285" s="22"/>
      <c r="AI3285" s="22"/>
      <c r="AJ3285" s="22"/>
      <c r="AK3285" s="22"/>
      <c r="AL3285" s="22"/>
      <c r="AM3285" s="22"/>
      <c r="AN3285" s="22"/>
      <c r="AO3285" s="22"/>
      <c r="AP3285" s="22"/>
    </row>
    <row r="3286">
      <c r="A3286" s="193"/>
      <c r="B3286" s="194"/>
      <c r="C3286" s="195"/>
      <c r="D3286" s="196"/>
      <c r="E3286" s="197"/>
      <c r="F3286" s="197"/>
      <c r="G3286" s="195"/>
      <c r="H3286" s="195"/>
      <c r="I3286" s="197"/>
      <c r="J3286" s="121"/>
      <c r="K3286" s="121"/>
      <c r="L3286" s="200"/>
      <c r="M3286" s="204"/>
      <c r="N3286" s="205"/>
      <c r="O3286" s="170"/>
      <c r="P3286" s="198"/>
      <c r="Q3286" s="199"/>
      <c r="R3286" s="200"/>
      <c r="S3286" s="170"/>
      <c r="T3286" s="170"/>
      <c r="U3286" s="201"/>
      <c r="V3286" s="198"/>
      <c r="W3286" s="170"/>
      <c r="X3286" s="202"/>
      <c r="Y3286" s="203"/>
      <c r="Z3286" s="170"/>
      <c r="AA3286" s="198"/>
      <c r="AB3286" s="170"/>
      <c r="AC3286" s="170"/>
      <c r="AD3286" s="121"/>
      <c r="AE3286" s="121"/>
      <c r="AF3286" s="121"/>
      <c r="AG3286" s="22"/>
      <c r="AH3286" s="22"/>
      <c r="AI3286" s="22"/>
      <c r="AJ3286" s="22"/>
      <c r="AK3286" s="22"/>
      <c r="AL3286" s="22"/>
      <c r="AM3286" s="22"/>
      <c r="AN3286" s="22"/>
      <c r="AO3286" s="22"/>
      <c r="AP3286" s="22"/>
    </row>
    <row r="3287">
      <c r="A3287" s="193"/>
      <c r="B3287" s="194"/>
      <c r="C3287" s="195"/>
      <c r="D3287" s="196"/>
      <c r="E3287" s="197"/>
      <c r="F3287" s="197"/>
      <c r="G3287" s="195"/>
      <c r="H3287" s="195"/>
      <c r="I3287" s="197"/>
      <c r="J3287" s="121"/>
      <c r="K3287" s="121"/>
      <c r="L3287" s="200"/>
      <c r="M3287" s="204"/>
      <c r="N3287" s="205"/>
      <c r="O3287" s="170"/>
      <c r="P3287" s="198"/>
      <c r="Q3287" s="199"/>
      <c r="R3287" s="200"/>
      <c r="S3287" s="170"/>
      <c r="T3287" s="170"/>
      <c r="U3287" s="201"/>
      <c r="V3287" s="198"/>
      <c r="W3287" s="170"/>
      <c r="X3287" s="202"/>
      <c r="Y3287" s="203"/>
      <c r="Z3287" s="170"/>
      <c r="AA3287" s="198"/>
      <c r="AB3287" s="170"/>
      <c r="AC3287" s="170"/>
      <c r="AD3287" s="121"/>
      <c r="AE3287" s="121"/>
      <c r="AF3287" s="121"/>
      <c r="AG3287" s="22"/>
      <c r="AH3287" s="22"/>
      <c r="AI3287" s="22"/>
      <c r="AJ3287" s="22"/>
      <c r="AK3287" s="22"/>
      <c r="AL3287" s="22"/>
      <c r="AM3287" s="22"/>
      <c r="AN3287" s="22"/>
      <c r="AO3287" s="22"/>
      <c r="AP3287" s="22"/>
    </row>
    <row r="3288">
      <c r="A3288" s="193"/>
      <c r="B3288" s="194"/>
      <c r="C3288" s="195"/>
      <c r="D3288" s="196"/>
      <c r="E3288" s="197"/>
      <c r="F3288" s="197"/>
      <c r="G3288" s="195"/>
      <c r="H3288" s="195"/>
      <c r="I3288" s="197"/>
      <c r="J3288" s="121"/>
      <c r="K3288" s="121"/>
      <c r="L3288" s="200"/>
      <c r="M3288" s="204"/>
      <c r="N3288" s="205"/>
      <c r="O3288" s="170"/>
      <c r="P3288" s="198"/>
      <c r="Q3288" s="199"/>
      <c r="R3288" s="200"/>
      <c r="S3288" s="170"/>
      <c r="T3288" s="170"/>
      <c r="U3288" s="201"/>
      <c r="V3288" s="198"/>
      <c r="W3288" s="170"/>
      <c r="X3288" s="202"/>
      <c r="Y3288" s="203"/>
      <c r="Z3288" s="170"/>
      <c r="AA3288" s="198"/>
      <c r="AB3288" s="170"/>
      <c r="AC3288" s="170"/>
      <c r="AD3288" s="121"/>
      <c r="AE3288" s="121"/>
      <c r="AF3288" s="121"/>
      <c r="AG3288" s="22"/>
      <c r="AH3288" s="22"/>
      <c r="AI3288" s="22"/>
      <c r="AJ3288" s="22"/>
      <c r="AK3288" s="22"/>
      <c r="AL3288" s="22"/>
      <c r="AM3288" s="22"/>
      <c r="AN3288" s="22"/>
      <c r="AO3288" s="22"/>
      <c r="AP3288" s="22"/>
    </row>
    <row r="3289">
      <c r="A3289" s="193"/>
      <c r="B3289" s="194"/>
      <c r="C3289" s="195"/>
      <c r="D3289" s="196"/>
      <c r="E3289" s="197"/>
      <c r="F3289" s="197"/>
      <c r="G3289" s="195"/>
      <c r="H3289" s="195"/>
      <c r="I3289" s="197"/>
      <c r="J3289" s="121"/>
      <c r="K3289" s="121"/>
      <c r="L3289" s="200"/>
      <c r="M3289" s="204"/>
      <c r="N3289" s="205"/>
      <c r="O3289" s="170"/>
      <c r="P3289" s="198"/>
      <c r="Q3289" s="199"/>
      <c r="R3289" s="200"/>
      <c r="S3289" s="170"/>
      <c r="T3289" s="170"/>
      <c r="U3289" s="201"/>
      <c r="V3289" s="198"/>
      <c r="W3289" s="170"/>
      <c r="X3289" s="202"/>
      <c r="Y3289" s="203"/>
      <c r="Z3289" s="170"/>
      <c r="AA3289" s="198"/>
      <c r="AB3289" s="170"/>
      <c r="AC3289" s="170"/>
      <c r="AD3289" s="121"/>
      <c r="AE3289" s="121"/>
      <c r="AF3289" s="121"/>
      <c r="AG3289" s="22"/>
      <c r="AH3289" s="22"/>
      <c r="AI3289" s="22"/>
      <c r="AJ3289" s="22"/>
      <c r="AK3289" s="22"/>
      <c r="AL3289" s="22"/>
      <c r="AM3289" s="22"/>
      <c r="AN3289" s="22"/>
      <c r="AO3289" s="22"/>
      <c r="AP3289" s="22"/>
    </row>
    <row r="3290">
      <c r="A3290" s="193"/>
      <c r="B3290" s="194"/>
      <c r="C3290" s="195"/>
      <c r="D3290" s="196"/>
      <c r="E3290" s="197"/>
      <c r="F3290" s="197"/>
      <c r="G3290" s="195"/>
      <c r="H3290" s="195"/>
      <c r="I3290" s="197"/>
      <c r="J3290" s="121"/>
      <c r="K3290" s="121"/>
      <c r="L3290" s="200"/>
      <c r="M3290" s="204"/>
      <c r="N3290" s="205"/>
      <c r="O3290" s="170"/>
      <c r="P3290" s="198"/>
      <c r="Q3290" s="199"/>
      <c r="R3290" s="200"/>
      <c r="S3290" s="170"/>
      <c r="T3290" s="170"/>
      <c r="U3290" s="201"/>
      <c r="V3290" s="198"/>
      <c r="W3290" s="170"/>
      <c r="X3290" s="202"/>
      <c r="Y3290" s="203"/>
      <c r="Z3290" s="170"/>
      <c r="AA3290" s="198"/>
      <c r="AB3290" s="170"/>
      <c r="AC3290" s="170"/>
      <c r="AD3290" s="121"/>
      <c r="AE3290" s="121"/>
      <c r="AF3290" s="121"/>
      <c r="AG3290" s="22"/>
      <c r="AH3290" s="22"/>
      <c r="AI3290" s="22"/>
      <c r="AJ3290" s="22"/>
      <c r="AK3290" s="22"/>
      <c r="AL3290" s="22"/>
      <c r="AM3290" s="22"/>
      <c r="AN3290" s="22"/>
      <c r="AO3290" s="22"/>
      <c r="AP3290" s="22"/>
    </row>
    <row r="3291">
      <c r="A3291" s="193"/>
      <c r="B3291" s="194"/>
      <c r="C3291" s="195"/>
      <c r="D3291" s="196"/>
      <c r="E3291" s="197"/>
      <c r="F3291" s="197"/>
      <c r="G3291" s="195"/>
      <c r="H3291" s="195"/>
      <c r="I3291" s="197"/>
      <c r="J3291" s="121"/>
      <c r="K3291" s="121"/>
      <c r="L3291" s="200"/>
      <c r="M3291" s="204"/>
      <c r="N3291" s="205"/>
      <c r="O3291" s="170"/>
      <c r="P3291" s="198"/>
      <c r="Q3291" s="199"/>
      <c r="R3291" s="200"/>
      <c r="S3291" s="170"/>
      <c r="T3291" s="170"/>
      <c r="U3291" s="201"/>
      <c r="V3291" s="198"/>
      <c r="W3291" s="170"/>
      <c r="X3291" s="202"/>
      <c r="Y3291" s="203"/>
      <c r="Z3291" s="170"/>
      <c r="AA3291" s="198"/>
      <c r="AB3291" s="170"/>
      <c r="AC3291" s="170"/>
      <c r="AD3291" s="121"/>
      <c r="AE3291" s="121"/>
      <c r="AF3291" s="121"/>
      <c r="AG3291" s="22"/>
      <c r="AH3291" s="22"/>
      <c r="AI3291" s="22"/>
      <c r="AJ3291" s="22"/>
      <c r="AK3291" s="22"/>
      <c r="AL3291" s="22"/>
      <c r="AM3291" s="22"/>
      <c r="AN3291" s="22"/>
      <c r="AO3291" s="22"/>
      <c r="AP3291" s="22"/>
    </row>
    <row r="3292">
      <c r="A3292" s="193"/>
      <c r="B3292" s="194"/>
      <c r="C3292" s="195"/>
      <c r="D3292" s="196"/>
      <c r="E3292" s="197"/>
      <c r="F3292" s="197"/>
      <c r="G3292" s="195"/>
      <c r="H3292" s="195"/>
      <c r="I3292" s="197"/>
      <c r="J3292" s="121"/>
      <c r="K3292" s="121"/>
      <c r="L3292" s="200"/>
      <c r="M3292" s="204"/>
      <c r="N3292" s="205"/>
      <c r="O3292" s="170"/>
      <c r="P3292" s="198"/>
      <c r="Q3292" s="199"/>
      <c r="R3292" s="200"/>
      <c r="S3292" s="170"/>
      <c r="T3292" s="170"/>
      <c r="U3292" s="201"/>
      <c r="V3292" s="198"/>
      <c r="W3292" s="170"/>
      <c r="X3292" s="202"/>
      <c r="Y3292" s="203"/>
      <c r="Z3292" s="170"/>
      <c r="AA3292" s="198"/>
      <c r="AB3292" s="170"/>
      <c r="AC3292" s="170"/>
      <c r="AD3292" s="121"/>
      <c r="AE3292" s="121"/>
      <c r="AF3292" s="121"/>
      <c r="AG3292" s="22"/>
      <c r="AH3292" s="22"/>
      <c r="AI3292" s="22"/>
      <c r="AJ3292" s="22"/>
      <c r="AK3292" s="22"/>
      <c r="AL3292" s="22"/>
      <c r="AM3292" s="22"/>
      <c r="AN3292" s="22"/>
      <c r="AO3292" s="22"/>
      <c r="AP3292" s="22"/>
    </row>
    <row r="3293">
      <c r="A3293" s="193"/>
      <c r="B3293" s="194"/>
      <c r="C3293" s="195"/>
      <c r="D3293" s="196"/>
      <c r="E3293" s="197"/>
      <c r="F3293" s="197"/>
      <c r="G3293" s="195"/>
      <c r="H3293" s="195"/>
      <c r="I3293" s="197"/>
      <c r="J3293" s="121"/>
      <c r="K3293" s="121"/>
      <c r="L3293" s="200"/>
      <c r="M3293" s="204"/>
      <c r="N3293" s="205"/>
      <c r="O3293" s="170"/>
      <c r="P3293" s="198"/>
      <c r="Q3293" s="199"/>
      <c r="R3293" s="200"/>
      <c r="S3293" s="170"/>
      <c r="T3293" s="170"/>
      <c r="U3293" s="201"/>
      <c r="V3293" s="198"/>
      <c r="W3293" s="170"/>
      <c r="X3293" s="202"/>
      <c r="Y3293" s="203"/>
      <c r="Z3293" s="170"/>
      <c r="AA3293" s="198"/>
      <c r="AB3293" s="170"/>
      <c r="AC3293" s="170"/>
      <c r="AD3293" s="121"/>
      <c r="AE3293" s="121"/>
      <c r="AF3293" s="121"/>
      <c r="AG3293" s="22"/>
      <c r="AH3293" s="22"/>
      <c r="AI3293" s="22"/>
      <c r="AJ3293" s="22"/>
      <c r="AK3293" s="22"/>
      <c r="AL3293" s="22"/>
      <c r="AM3293" s="22"/>
      <c r="AN3293" s="22"/>
      <c r="AO3293" s="22"/>
      <c r="AP3293" s="22"/>
    </row>
    <row r="3294">
      <c r="A3294" s="193"/>
      <c r="B3294" s="194"/>
      <c r="C3294" s="195"/>
      <c r="D3294" s="196"/>
      <c r="E3294" s="197"/>
      <c r="F3294" s="197"/>
      <c r="G3294" s="195"/>
      <c r="H3294" s="195"/>
      <c r="I3294" s="197"/>
      <c r="J3294" s="121"/>
      <c r="K3294" s="121"/>
      <c r="L3294" s="200"/>
      <c r="M3294" s="204"/>
      <c r="N3294" s="205"/>
      <c r="O3294" s="170"/>
      <c r="P3294" s="198"/>
      <c r="Q3294" s="199"/>
      <c r="R3294" s="200"/>
      <c r="S3294" s="170"/>
      <c r="T3294" s="170"/>
      <c r="U3294" s="201"/>
      <c r="V3294" s="198"/>
      <c r="W3294" s="170"/>
      <c r="X3294" s="202"/>
      <c r="Y3294" s="203"/>
      <c r="Z3294" s="170"/>
      <c r="AA3294" s="198"/>
      <c r="AB3294" s="170"/>
      <c r="AC3294" s="170"/>
      <c r="AD3294" s="121"/>
      <c r="AE3294" s="121"/>
      <c r="AF3294" s="121"/>
      <c r="AG3294" s="22"/>
      <c r="AH3294" s="22"/>
      <c r="AI3294" s="22"/>
      <c r="AJ3294" s="22"/>
      <c r="AK3294" s="22"/>
      <c r="AL3294" s="22"/>
      <c r="AM3294" s="22"/>
      <c r="AN3294" s="22"/>
      <c r="AO3294" s="22"/>
      <c r="AP3294" s="22"/>
    </row>
    <row r="3295">
      <c r="A3295" s="193"/>
      <c r="B3295" s="194"/>
      <c r="C3295" s="195"/>
      <c r="D3295" s="196"/>
      <c r="E3295" s="197"/>
      <c r="F3295" s="197"/>
      <c r="G3295" s="195"/>
      <c r="H3295" s="195"/>
      <c r="I3295" s="197"/>
      <c r="J3295" s="121"/>
      <c r="K3295" s="121"/>
      <c r="L3295" s="200"/>
      <c r="M3295" s="204"/>
      <c r="N3295" s="205"/>
      <c r="O3295" s="170"/>
      <c r="P3295" s="198"/>
      <c r="Q3295" s="199"/>
      <c r="R3295" s="200"/>
      <c r="S3295" s="170"/>
      <c r="T3295" s="170"/>
      <c r="U3295" s="201"/>
      <c r="V3295" s="198"/>
      <c r="W3295" s="170"/>
      <c r="X3295" s="202"/>
      <c r="Y3295" s="203"/>
      <c r="Z3295" s="170"/>
      <c r="AA3295" s="198"/>
      <c r="AB3295" s="170"/>
      <c r="AC3295" s="170"/>
      <c r="AD3295" s="121"/>
      <c r="AE3295" s="121"/>
      <c r="AF3295" s="121"/>
      <c r="AG3295" s="22"/>
      <c r="AH3295" s="22"/>
      <c r="AI3295" s="22"/>
      <c r="AJ3295" s="22"/>
      <c r="AK3295" s="22"/>
      <c r="AL3295" s="22"/>
      <c r="AM3295" s="22"/>
      <c r="AN3295" s="22"/>
      <c r="AO3295" s="22"/>
      <c r="AP3295" s="22"/>
    </row>
    <row r="3296">
      <c r="A3296" s="193"/>
      <c r="B3296" s="194"/>
      <c r="C3296" s="195"/>
      <c r="D3296" s="196"/>
      <c r="E3296" s="197"/>
      <c r="F3296" s="197"/>
      <c r="G3296" s="195"/>
      <c r="H3296" s="195"/>
      <c r="I3296" s="197"/>
      <c r="J3296" s="121"/>
      <c r="K3296" s="121"/>
      <c r="L3296" s="200"/>
      <c r="M3296" s="204"/>
      <c r="N3296" s="205"/>
      <c r="O3296" s="170"/>
      <c r="P3296" s="198"/>
      <c r="Q3296" s="199"/>
      <c r="R3296" s="200"/>
      <c r="S3296" s="170"/>
      <c r="T3296" s="170"/>
      <c r="U3296" s="201"/>
      <c r="V3296" s="198"/>
      <c r="W3296" s="170"/>
      <c r="X3296" s="202"/>
      <c r="Y3296" s="203"/>
      <c r="Z3296" s="170"/>
      <c r="AA3296" s="198"/>
      <c r="AB3296" s="170"/>
      <c r="AC3296" s="170"/>
      <c r="AD3296" s="121"/>
      <c r="AE3296" s="121"/>
      <c r="AF3296" s="121"/>
      <c r="AG3296" s="22"/>
      <c r="AH3296" s="22"/>
      <c r="AI3296" s="22"/>
      <c r="AJ3296" s="22"/>
      <c r="AK3296" s="22"/>
      <c r="AL3296" s="22"/>
      <c r="AM3296" s="22"/>
      <c r="AN3296" s="22"/>
      <c r="AO3296" s="22"/>
      <c r="AP3296" s="22"/>
    </row>
    <row r="3297">
      <c r="A3297" s="193"/>
      <c r="B3297" s="194"/>
      <c r="C3297" s="195"/>
      <c r="D3297" s="196"/>
      <c r="E3297" s="197"/>
      <c r="F3297" s="197"/>
      <c r="G3297" s="195"/>
      <c r="H3297" s="195"/>
      <c r="I3297" s="197"/>
      <c r="J3297" s="121"/>
      <c r="K3297" s="121"/>
      <c r="L3297" s="200"/>
      <c r="M3297" s="204"/>
      <c r="N3297" s="205"/>
      <c r="O3297" s="170"/>
      <c r="P3297" s="198"/>
      <c r="Q3297" s="199"/>
      <c r="R3297" s="200"/>
      <c r="S3297" s="170"/>
      <c r="T3297" s="170"/>
      <c r="U3297" s="201"/>
      <c r="V3297" s="198"/>
      <c r="W3297" s="170"/>
      <c r="X3297" s="202"/>
      <c r="Y3297" s="203"/>
      <c r="Z3297" s="170"/>
      <c r="AA3297" s="198"/>
      <c r="AB3297" s="170"/>
      <c r="AC3297" s="170"/>
      <c r="AD3297" s="121"/>
      <c r="AE3297" s="121"/>
      <c r="AF3297" s="121"/>
      <c r="AG3297" s="22"/>
      <c r="AH3297" s="22"/>
      <c r="AI3297" s="22"/>
      <c r="AJ3297" s="22"/>
      <c r="AK3297" s="22"/>
      <c r="AL3297" s="22"/>
      <c r="AM3297" s="22"/>
      <c r="AN3297" s="22"/>
      <c r="AO3297" s="22"/>
      <c r="AP3297" s="22"/>
    </row>
    <row r="3298">
      <c r="A3298" s="193"/>
      <c r="B3298" s="194"/>
      <c r="C3298" s="195"/>
      <c r="D3298" s="196"/>
      <c r="E3298" s="197"/>
      <c r="F3298" s="197"/>
      <c r="G3298" s="195"/>
      <c r="H3298" s="195"/>
      <c r="I3298" s="197"/>
      <c r="J3298" s="121"/>
      <c r="K3298" s="121"/>
      <c r="L3298" s="200"/>
      <c r="M3298" s="204"/>
      <c r="N3298" s="205"/>
      <c r="O3298" s="170"/>
      <c r="P3298" s="198"/>
      <c r="Q3298" s="199"/>
      <c r="R3298" s="200"/>
      <c r="S3298" s="170"/>
      <c r="T3298" s="170"/>
      <c r="U3298" s="201"/>
      <c r="V3298" s="198"/>
      <c r="W3298" s="170"/>
      <c r="X3298" s="202"/>
      <c r="Y3298" s="203"/>
      <c r="Z3298" s="170"/>
      <c r="AA3298" s="198"/>
      <c r="AB3298" s="170"/>
      <c r="AC3298" s="170"/>
      <c r="AD3298" s="121"/>
      <c r="AE3298" s="121"/>
      <c r="AF3298" s="121"/>
      <c r="AG3298" s="22"/>
      <c r="AH3298" s="22"/>
      <c r="AI3298" s="22"/>
      <c r="AJ3298" s="22"/>
      <c r="AK3298" s="22"/>
      <c r="AL3298" s="22"/>
      <c r="AM3298" s="22"/>
      <c r="AN3298" s="22"/>
      <c r="AO3298" s="22"/>
      <c r="AP3298" s="22"/>
    </row>
    <row r="3299">
      <c r="A3299" s="193"/>
      <c r="B3299" s="194"/>
      <c r="C3299" s="195"/>
      <c r="D3299" s="196"/>
      <c r="E3299" s="197"/>
      <c r="F3299" s="197"/>
      <c r="G3299" s="195"/>
      <c r="H3299" s="195"/>
      <c r="I3299" s="197"/>
      <c r="J3299" s="121"/>
      <c r="K3299" s="121"/>
      <c r="L3299" s="200"/>
      <c r="M3299" s="204"/>
      <c r="N3299" s="205"/>
      <c r="O3299" s="170"/>
      <c r="P3299" s="198"/>
      <c r="Q3299" s="199"/>
      <c r="R3299" s="200"/>
      <c r="S3299" s="170"/>
      <c r="T3299" s="170"/>
      <c r="U3299" s="201"/>
      <c r="V3299" s="198"/>
      <c r="W3299" s="170"/>
      <c r="X3299" s="202"/>
      <c r="Y3299" s="203"/>
      <c r="Z3299" s="170"/>
      <c r="AA3299" s="198"/>
      <c r="AB3299" s="170"/>
      <c r="AC3299" s="170"/>
      <c r="AD3299" s="121"/>
      <c r="AE3299" s="121"/>
      <c r="AF3299" s="121"/>
      <c r="AG3299" s="22"/>
      <c r="AH3299" s="22"/>
      <c r="AI3299" s="22"/>
      <c r="AJ3299" s="22"/>
      <c r="AK3299" s="22"/>
      <c r="AL3299" s="22"/>
      <c r="AM3299" s="22"/>
      <c r="AN3299" s="22"/>
      <c r="AO3299" s="22"/>
      <c r="AP3299" s="22"/>
    </row>
    <row r="3300">
      <c r="A3300" s="193"/>
      <c r="B3300" s="194"/>
      <c r="C3300" s="195"/>
      <c r="D3300" s="196"/>
      <c r="E3300" s="197"/>
      <c r="F3300" s="197"/>
      <c r="G3300" s="195"/>
      <c r="H3300" s="195"/>
      <c r="I3300" s="197"/>
      <c r="J3300" s="121"/>
      <c r="K3300" s="121"/>
      <c r="L3300" s="200"/>
      <c r="M3300" s="204"/>
      <c r="N3300" s="205"/>
      <c r="O3300" s="170"/>
      <c r="P3300" s="198"/>
      <c r="Q3300" s="199"/>
      <c r="R3300" s="200"/>
      <c r="S3300" s="170"/>
      <c r="T3300" s="170"/>
      <c r="U3300" s="201"/>
      <c r="V3300" s="198"/>
      <c r="W3300" s="170"/>
      <c r="X3300" s="202"/>
      <c r="Y3300" s="203"/>
      <c r="Z3300" s="170"/>
      <c r="AA3300" s="198"/>
      <c r="AB3300" s="170"/>
      <c r="AC3300" s="170"/>
      <c r="AD3300" s="121"/>
      <c r="AE3300" s="121"/>
      <c r="AF3300" s="121"/>
      <c r="AG3300" s="22"/>
      <c r="AH3300" s="22"/>
      <c r="AI3300" s="22"/>
      <c r="AJ3300" s="22"/>
      <c r="AK3300" s="22"/>
      <c r="AL3300" s="22"/>
      <c r="AM3300" s="22"/>
      <c r="AN3300" s="22"/>
      <c r="AO3300" s="22"/>
      <c r="AP3300" s="22"/>
    </row>
    <row r="3301">
      <c r="A3301" s="193"/>
      <c r="B3301" s="194"/>
      <c r="C3301" s="195"/>
      <c r="D3301" s="196"/>
      <c r="E3301" s="197"/>
      <c r="F3301" s="197"/>
      <c r="G3301" s="195"/>
      <c r="H3301" s="195"/>
      <c r="I3301" s="197"/>
      <c r="J3301" s="121"/>
      <c r="K3301" s="121"/>
      <c r="L3301" s="200"/>
      <c r="M3301" s="204"/>
      <c r="N3301" s="205"/>
      <c r="O3301" s="170"/>
      <c r="P3301" s="198"/>
      <c r="Q3301" s="199"/>
      <c r="R3301" s="200"/>
      <c r="S3301" s="170"/>
      <c r="T3301" s="170"/>
      <c r="U3301" s="201"/>
      <c r="V3301" s="198"/>
      <c r="W3301" s="170"/>
      <c r="X3301" s="202"/>
      <c r="Y3301" s="203"/>
      <c r="Z3301" s="170"/>
      <c r="AA3301" s="198"/>
      <c r="AB3301" s="170"/>
      <c r="AC3301" s="170"/>
      <c r="AD3301" s="121"/>
      <c r="AE3301" s="121"/>
      <c r="AF3301" s="121"/>
      <c r="AG3301" s="22"/>
      <c r="AH3301" s="22"/>
      <c r="AI3301" s="22"/>
      <c r="AJ3301" s="22"/>
      <c r="AK3301" s="22"/>
      <c r="AL3301" s="22"/>
      <c r="AM3301" s="22"/>
      <c r="AN3301" s="22"/>
      <c r="AO3301" s="22"/>
      <c r="AP3301" s="22"/>
    </row>
    <row r="3302">
      <c r="A3302" s="193"/>
      <c r="B3302" s="194"/>
      <c r="C3302" s="195"/>
      <c r="D3302" s="196"/>
      <c r="E3302" s="197"/>
      <c r="F3302" s="197"/>
      <c r="G3302" s="195"/>
      <c r="H3302" s="195"/>
      <c r="I3302" s="197"/>
      <c r="J3302" s="121"/>
      <c r="K3302" s="121"/>
      <c r="L3302" s="200"/>
      <c r="M3302" s="204"/>
      <c r="N3302" s="205"/>
      <c r="O3302" s="170"/>
      <c r="P3302" s="198"/>
      <c r="Q3302" s="199"/>
      <c r="R3302" s="200"/>
      <c r="S3302" s="170"/>
      <c r="T3302" s="170"/>
      <c r="U3302" s="201"/>
      <c r="V3302" s="198"/>
      <c r="W3302" s="170"/>
      <c r="X3302" s="202"/>
      <c r="Y3302" s="203"/>
      <c r="Z3302" s="170"/>
      <c r="AA3302" s="198"/>
      <c r="AB3302" s="170"/>
      <c r="AC3302" s="170"/>
      <c r="AD3302" s="121"/>
      <c r="AE3302" s="121"/>
      <c r="AF3302" s="121"/>
      <c r="AG3302" s="22"/>
      <c r="AH3302" s="22"/>
      <c r="AI3302" s="22"/>
      <c r="AJ3302" s="22"/>
      <c r="AK3302" s="22"/>
      <c r="AL3302" s="22"/>
      <c r="AM3302" s="22"/>
      <c r="AN3302" s="22"/>
      <c r="AO3302" s="22"/>
      <c r="AP3302" s="22"/>
    </row>
    <row r="3303">
      <c r="A3303" s="193"/>
      <c r="B3303" s="194"/>
      <c r="C3303" s="195"/>
      <c r="D3303" s="196"/>
      <c r="E3303" s="197"/>
      <c r="F3303" s="197"/>
      <c r="G3303" s="195"/>
      <c r="H3303" s="195"/>
      <c r="I3303" s="197"/>
      <c r="J3303" s="121"/>
      <c r="K3303" s="121"/>
      <c r="L3303" s="200"/>
      <c r="M3303" s="204"/>
      <c r="N3303" s="205"/>
      <c r="O3303" s="170"/>
      <c r="P3303" s="198"/>
      <c r="Q3303" s="199"/>
      <c r="R3303" s="200"/>
      <c r="S3303" s="170"/>
      <c r="T3303" s="170"/>
      <c r="U3303" s="201"/>
      <c r="V3303" s="198"/>
      <c r="W3303" s="170"/>
      <c r="X3303" s="202"/>
      <c r="Y3303" s="203"/>
      <c r="Z3303" s="170"/>
      <c r="AA3303" s="198"/>
      <c r="AB3303" s="170"/>
      <c r="AC3303" s="170"/>
      <c r="AD3303" s="121"/>
      <c r="AE3303" s="121"/>
      <c r="AF3303" s="121"/>
      <c r="AG3303" s="22"/>
      <c r="AH3303" s="22"/>
      <c r="AI3303" s="22"/>
      <c r="AJ3303" s="22"/>
      <c r="AK3303" s="22"/>
      <c r="AL3303" s="22"/>
      <c r="AM3303" s="22"/>
      <c r="AN3303" s="22"/>
      <c r="AO3303" s="22"/>
      <c r="AP3303" s="22"/>
    </row>
    <row r="3304">
      <c r="A3304" s="193"/>
      <c r="B3304" s="194"/>
      <c r="C3304" s="195"/>
      <c r="D3304" s="196"/>
      <c r="E3304" s="197"/>
      <c r="F3304" s="197"/>
      <c r="G3304" s="195"/>
      <c r="H3304" s="195"/>
      <c r="I3304" s="197"/>
      <c r="J3304" s="121"/>
      <c r="K3304" s="121"/>
      <c r="L3304" s="200"/>
      <c r="M3304" s="204"/>
      <c r="N3304" s="205"/>
      <c r="O3304" s="170"/>
      <c r="P3304" s="198"/>
      <c r="Q3304" s="199"/>
      <c r="R3304" s="200"/>
      <c r="S3304" s="170"/>
      <c r="T3304" s="170"/>
      <c r="U3304" s="201"/>
      <c r="V3304" s="198"/>
      <c r="W3304" s="170"/>
      <c r="X3304" s="202"/>
      <c r="Y3304" s="203"/>
      <c r="Z3304" s="170"/>
      <c r="AA3304" s="198"/>
      <c r="AB3304" s="170"/>
      <c r="AC3304" s="170"/>
      <c r="AD3304" s="121"/>
      <c r="AE3304" s="121"/>
      <c r="AF3304" s="121"/>
      <c r="AG3304" s="22"/>
      <c r="AH3304" s="22"/>
      <c r="AI3304" s="22"/>
      <c r="AJ3304" s="22"/>
      <c r="AK3304" s="22"/>
      <c r="AL3304" s="22"/>
      <c r="AM3304" s="22"/>
      <c r="AN3304" s="22"/>
      <c r="AO3304" s="22"/>
      <c r="AP3304" s="22"/>
    </row>
    <row r="3305">
      <c r="A3305" s="193"/>
      <c r="B3305" s="194"/>
      <c r="C3305" s="195"/>
      <c r="D3305" s="196"/>
      <c r="E3305" s="197"/>
      <c r="F3305" s="197"/>
      <c r="G3305" s="195"/>
      <c r="H3305" s="195"/>
      <c r="I3305" s="197"/>
      <c r="J3305" s="121"/>
      <c r="K3305" s="121"/>
      <c r="L3305" s="200"/>
      <c r="M3305" s="204"/>
      <c r="N3305" s="205"/>
      <c r="O3305" s="170"/>
      <c r="P3305" s="198"/>
      <c r="Q3305" s="199"/>
      <c r="R3305" s="200"/>
      <c r="S3305" s="170"/>
      <c r="T3305" s="170"/>
      <c r="U3305" s="201"/>
      <c r="V3305" s="198"/>
      <c r="W3305" s="170"/>
      <c r="X3305" s="202"/>
      <c r="Y3305" s="203"/>
      <c r="Z3305" s="170"/>
      <c r="AA3305" s="198"/>
      <c r="AB3305" s="170"/>
      <c r="AC3305" s="170"/>
      <c r="AD3305" s="121"/>
      <c r="AE3305" s="121"/>
      <c r="AF3305" s="121"/>
      <c r="AG3305" s="22"/>
      <c r="AH3305" s="22"/>
      <c r="AI3305" s="22"/>
      <c r="AJ3305" s="22"/>
      <c r="AK3305" s="22"/>
      <c r="AL3305" s="22"/>
      <c r="AM3305" s="22"/>
      <c r="AN3305" s="22"/>
      <c r="AO3305" s="22"/>
      <c r="AP3305" s="22"/>
    </row>
    <row r="3306">
      <c r="A3306" s="193"/>
      <c r="B3306" s="194"/>
      <c r="C3306" s="195"/>
      <c r="D3306" s="196"/>
      <c r="E3306" s="197"/>
      <c r="F3306" s="197"/>
      <c r="G3306" s="195"/>
      <c r="H3306" s="195"/>
      <c r="I3306" s="197"/>
      <c r="J3306" s="121"/>
      <c r="K3306" s="121"/>
      <c r="L3306" s="200"/>
      <c r="M3306" s="204"/>
      <c r="N3306" s="205"/>
      <c r="O3306" s="170"/>
      <c r="P3306" s="198"/>
      <c r="Q3306" s="199"/>
      <c r="R3306" s="200"/>
      <c r="S3306" s="170"/>
      <c r="T3306" s="170"/>
      <c r="U3306" s="201"/>
      <c r="V3306" s="198"/>
      <c r="W3306" s="170"/>
      <c r="X3306" s="202"/>
      <c r="Y3306" s="203"/>
      <c r="Z3306" s="170"/>
      <c r="AA3306" s="198"/>
      <c r="AB3306" s="170"/>
      <c r="AC3306" s="170"/>
      <c r="AD3306" s="121"/>
      <c r="AE3306" s="121"/>
      <c r="AF3306" s="121"/>
      <c r="AG3306" s="22"/>
      <c r="AH3306" s="22"/>
      <c r="AI3306" s="22"/>
      <c r="AJ3306" s="22"/>
      <c r="AK3306" s="22"/>
      <c r="AL3306" s="22"/>
      <c r="AM3306" s="22"/>
      <c r="AN3306" s="22"/>
      <c r="AO3306" s="22"/>
      <c r="AP3306" s="22"/>
    </row>
    <row r="3307">
      <c r="A3307" s="193"/>
      <c r="B3307" s="194"/>
      <c r="C3307" s="195"/>
      <c r="D3307" s="196"/>
      <c r="E3307" s="197"/>
      <c r="F3307" s="197"/>
      <c r="G3307" s="195"/>
      <c r="H3307" s="195"/>
      <c r="I3307" s="197"/>
      <c r="J3307" s="121"/>
      <c r="K3307" s="121"/>
      <c r="L3307" s="200"/>
      <c r="M3307" s="204"/>
      <c r="N3307" s="205"/>
      <c r="O3307" s="170"/>
      <c r="P3307" s="198"/>
      <c r="Q3307" s="199"/>
      <c r="R3307" s="200"/>
      <c r="S3307" s="170"/>
      <c r="T3307" s="170"/>
      <c r="U3307" s="201"/>
      <c r="V3307" s="198"/>
      <c r="W3307" s="170"/>
      <c r="X3307" s="202"/>
      <c r="Y3307" s="203"/>
      <c r="Z3307" s="170"/>
      <c r="AA3307" s="198"/>
      <c r="AB3307" s="170"/>
      <c r="AC3307" s="170"/>
      <c r="AD3307" s="121"/>
      <c r="AE3307" s="121"/>
      <c r="AF3307" s="121"/>
      <c r="AG3307" s="22"/>
      <c r="AH3307" s="22"/>
      <c r="AI3307" s="22"/>
      <c r="AJ3307" s="22"/>
      <c r="AK3307" s="22"/>
      <c r="AL3307" s="22"/>
      <c r="AM3307" s="22"/>
      <c r="AN3307" s="22"/>
      <c r="AO3307" s="22"/>
      <c r="AP3307" s="22"/>
    </row>
    <row r="3308">
      <c r="A3308" s="193"/>
      <c r="B3308" s="194"/>
      <c r="C3308" s="195"/>
      <c r="D3308" s="196"/>
      <c r="E3308" s="197"/>
      <c r="F3308" s="197"/>
      <c r="G3308" s="195"/>
      <c r="H3308" s="195"/>
      <c r="I3308" s="197"/>
      <c r="J3308" s="121"/>
      <c r="K3308" s="121"/>
      <c r="L3308" s="200"/>
      <c r="M3308" s="204"/>
      <c r="N3308" s="205"/>
      <c r="O3308" s="170"/>
      <c r="P3308" s="198"/>
      <c r="Q3308" s="199"/>
      <c r="R3308" s="200"/>
      <c r="S3308" s="170"/>
      <c r="T3308" s="170"/>
      <c r="U3308" s="201"/>
      <c r="V3308" s="198"/>
      <c r="W3308" s="170"/>
      <c r="X3308" s="202"/>
      <c r="Y3308" s="203"/>
      <c r="Z3308" s="170"/>
      <c r="AA3308" s="198"/>
      <c r="AB3308" s="170"/>
      <c r="AC3308" s="170"/>
      <c r="AD3308" s="121"/>
      <c r="AE3308" s="121"/>
      <c r="AF3308" s="121"/>
      <c r="AG3308" s="22"/>
      <c r="AH3308" s="22"/>
      <c r="AI3308" s="22"/>
      <c r="AJ3308" s="22"/>
      <c r="AK3308" s="22"/>
      <c r="AL3308" s="22"/>
      <c r="AM3308" s="22"/>
      <c r="AN3308" s="22"/>
      <c r="AO3308" s="22"/>
      <c r="AP3308" s="22"/>
    </row>
    <row r="3309">
      <c r="A3309" s="193"/>
      <c r="B3309" s="194"/>
      <c r="C3309" s="195"/>
      <c r="D3309" s="196"/>
      <c r="E3309" s="197"/>
      <c r="F3309" s="197"/>
      <c r="G3309" s="195"/>
      <c r="H3309" s="195"/>
      <c r="I3309" s="197"/>
      <c r="J3309" s="121"/>
      <c r="K3309" s="121"/>
      <c r="L3309" s="200"/>
      <c r="M3309" s="204"/>
      <c r="N3309" s="205"/>
      <c r="O3309" s="170"/>
      <c r="P3309" s="198"/>
      <c r="Q3309" s="199"/>
      <c r="R3309" s="200"/>
      <c r="S3309" s="170"/>
      <c r="T3309" s="170"/>
      <c r="U3309" s="201"/>
      <c r="V3309" s="198"/>
      <c r="W3309" s="170"/>
      <c r="X3309" s="202"/>
      <c r="Y3309" s="203"/>
      <c r="Z3309" s="170"/>
      <c r="AA3309" s="198"/>
      <c r="AB3309" s="170"/>
      <c r="AC3309" s="170"/>
      <c r="AD3309" s="121"/>
      <c r="AE3309" s="121"/>
      <c r="AF3309" s="121"/>
      <c r="AG3309" s="22"/>
      <c r="AH3309" s="22"/>
      <c r="AI3309" s="22"/>
      <c r="AJ3309" s="22"/>
      <c r="AK3309" s="22"/>
      <c r="AL3309" s="22"/>
      <c r="AM3309" s="22"/>
      <c r="AN3309" s="22"/>
      <c r="AO3309" s="22"/>
      <c r="AP3309" s="22"/>
    </row>
    <row r="3310">
      <c r="A3310" s="193"/>
      <c r="B3310" s="194"/>
      <c r="C3310" s="195"/>
      <c r="D3310" s="196"/>
      <c r="E3310" s="197"/>
      <c r="F3310" s="197"/>
      <c r="G3310" s="195"/>
      <c r="H3310" s="195"/>
      <c r="I3310" s="197"/>
      <c r="J3310" s="121"/>
      <c r="K3310" s="121"/>
      <c r="L3310" s="200"/>
      <c r="M3310" s="204"/>
      <c r="N3310" s="205"/>
      <c r="O3310" s="170"/>
      <c r="P3310" s="198"/>
      <c r="Q3310" s="199"/>
      <c r="R3310" s="200"/>
      <c r="S3310" s="170"/>
      <c r="T3310" s="170"/>
      <c r="U3310" s="201"/>
      <c r="V3310" s="198"/>
      <c r="W3310" s="170"/>
      <c r="X3310" s="202"/>
      <c r="Y3310" s="203"/>
      <c r="Z3310" s="170"/>
      <c r="AA3310" s="198"/>
      <c r="AB3310" s="170"/>
      <c r="AC3310" s="170"/>
      <c r="AD3310" s="121"/>
      <c r="AE3310" s="121"/>
      <c r="AF3310" s="121"/>
      <c r="AG3310" s="22"/>
      <c r="AH3310" s="22"/>
      <c r="AI3310" s="22"/>
      <c r="AJ3310" s="22"/>
      <c r="AK3310" s="22"/>
      <c r="AL3310" s="22"/>
      <c r="AM3310" s="22"/>
      <c r="AN3310" s="22"/>
      <c r="AO3310" s="22"/>
      <c r="AP3310" s="22"/>
    </row>
    <row r="3311">
      <c r="A3311" s="193"/>
      <c r="B3311" s="194"/>
      <c r="C3311" s="195"/>
      <c r="D3311" s="196"/>
      <c r="E3311" s="197"/>
      <c r="F3311" s="197"/>
      <c r="G3311" s="195"/>
      <c r="H3311" s="195"/>
      <c r="I3311" s="197"/>
      <c r="J3311" s="121"/>
      <c r="K3311" s="121"/>
      <c r="L3311" s="200"/>
      <c r="M3311" s="204"/>
      <c r="N3311" s="205"/>
      <c r="O3311" s="170"/>
      <c r="P3311" s="198"/>
      <c r="Q3311" s="199"/>
      <c r="R3311" s="200"/>
      <c r="S3311" s="170"/>
      <c r="T3311" s="170"/>
      <c r="U3311" s="201"/>
      <c r="V3311" s="198"/>
      <c r="W3311" s="170"/>
      <c r="X3311" s="202"/>
      <c r="Y3311" s="203"/>
      <c r="Z3311" s="170"/>
      <c r="AA3311" s="198"/>
      <c r="AB3311" s="170"/>
      <c r="AC3311" s="170"/>
      <c r="AD3311" s="121"/>
      <c r="AE3311" s="121"/>
      <c r="AF3311" s="121"/>
      <c r="AG3311" s="22"/>
      <c r="AH3311" s="22"/>
      <c r="AI3311" s="22"/>
      <c r="AJ3311" s="22"/>
      <c r="AK3311" s="22"/>
      <c r="AL3311" s="22"/>
      <c r="AM3311" s="22"/>
      <c r="AN3311" s="22"/>
      <c r="AO3311" s="22"/>
      <c r="AP3311" s="22"/>
    </row>
    <row r="3312">
      <c r="A3312" s="193"/>
      <c r="B3312" s="194"/>
      <c r="C3312" s="195"/>
      <c r="D3312" s="196"/>
      <c r="E3312" s="197"/>
      <c r="F3312" s="197"/>
      <c r="G3312" s="195"/>
      <c r="H3312" s="195"/>
      <c r="I3312" s="197"/>
      <c r="J3312" s="121"/>
      <c r="K3312" s="121"/>
      <c r="L3312" s="200"/>
      <c r="M3312" s="204"/>
      <c r="N3312" s="205"/>
      <c r="O3312" s="170"/>
      <c r="P3312" s="198"/>
      <c r="Q3312" s="199"/>
      <c r="R3312" s="200"/>
      <c r="S3312" s="170"/>
      <c r="T3312" s="170"/>
      <c r="U3312" s="201"/>
      <c r="V3312" s="198"/>
      <c r="W3312" s="170"/>
      <c r="X3312" s="202"/>
      <c r="Y3312" s="203"/>
      <c r="Z3312" s="170"/>
      <c r="AA3312" s="198"/>
      <c r="AB3312" s="170"/>
      <c r="AC3312" s="170"/>
      <c r="AD3312" s="121"/>
      <c r="AE3312" s="121"/>
      <c r="AF3312" s="121"/>
      <c r="AG3312" s="22"/>
      <c r="AH3312" s="22"/>
      <c r="AI3312" s="22"/>
      <c r="AJ3312" s="22"/>
      <c r="AK3312" s="22"/>
      <c r="AL3312" s="22"/>
      <c r="AM3312" s="22"/>
      <c r="AN3312" s="22"/>
      <c r="AO3312" s="22"/>
      <c r="AP3312" s="22"/>
    </row>
    <row r="3313">
      <c r="A3313" s="193"/>
      <c r="B3313" s="194"/>
      <c r="C3313" s="195"/>
      <c r="D3313" s="196"/>
      <c r="E3313" s="197"/>
      <c r="F3313" s="197"/>
      <c r="G3313" s="195"/>
      <c r="H3313" s="195"/>
      <c r="I3313" s="197"/>
      <c r="J3313" s="121"/>
      <c r="K3313" s="121"/>
      <c r="L3313" s="200"/>
      <c r="M3313" s="204"/>
      <c r="N3313" s="205"/>
      <c r="O3313" s="170"/>
      <c r="P3313" s="198"/>
      <c r="Q3313" s="199"/>
      <c r="R3313" s="200"/>
      <c r="S3313" s="170"/>
      <c r="T3313" s="170"/>
      <c r="U3313" s="201"/>
      <c r="V3313" s="198"/>
      <c r="W3313" s="170"/>
      <c r="X3313" s="202"/>
      <c r="Y3313" s="203"/>
      <c r="Z3313" s="170"/>
      <c r="AA3313" s="198"/>
      <c r="AB3313" s="170"/>
      <c r="AC3313" s="170"/>
      <c r="AD3313" s="121"/>
      <c r="AE3313" s="121"/>
      <c r="AF3313" s="121"/>
      <c r="AG3313" s="22"/>
      <c r="AH3313" s="22"/>
      <c r="AI3313" s="22"/>
      <c r="AJ3313" s="22"/>
      <c r="AK3313" s="22"/>
      <c r="AL3313" s="22"/>
      <c r="AM3313" s="22"/>
      <c r="AN3313" s="22"/>
      <c r="AO3313" s="22"/>
      <c r="AP3313" s="22"/>
    </row>
    <row r="3314">
      <c r="A3314" s="193"/>
      <c r="B3314" s="194"/>
      <c r="C3314" s="195"/>
      <c r="D3314" s="196"/>
      <c r="E3314" s="197"/>
      <c r="F3314" s="197"/>
      <c r="G3314" s="195"/>
      <c r="H3314" s="195"/>
      <c r="I3314" s="197"/>
      <c r="J3314" s="121"/>
      <c r="K3314" s="121"/>
      <c r="L3314" s="200"/>
      <c r="M3314" s="204"/>
      <c r="N3314" s="205"/>
      <c r="O3314" s="170"/>
      <c r="P3314" s="198"/>
      <c r="Q3314" s="199"/>
      <c r="R3314" s="200"/>
      <c r="S3314" s="170"/>
      <c r="T3314" s="170"/>
      <c r="U3314" s="201"/>
      <c r="V3314" s="198"/>
      <c r="W3314" s="170"/>
      <c r="X3314" s="202"/>
      <c r="Y3314" s="203"/>
      <c r="Z3314" s="170"/>
      <c r="AA3314" s="198"/>
      <c r="AB3314" s="170"/>
      <c r="AC3314" s="170"/>
      <c r="AD3314" s="121"/>
      <c r="AE3314" s="121"/>
      <c r="AF3314" s="121"/>
      <c r="AG3314" s="22"/>
      <c r="AH3314" s="22"/>
      <c r="AI3314" s="22"/>
      <c r="AJ3314" s="22"/>
      <c r="AK3314" s="22"/>
      <c r="AL3314" s="22"/>
      <c r="AM3314" s="22"/>
      <c r="AN3314" s="22"/>
      <c r="AO3314" s="22"/>
      <c r="AP3314" s="22"/>
    </row>
    <row r="3315">
      <c r="A3315" s="193"/>
      <c r="B3315" s="194"/>
      <c r="C3315" s="195"/>
      <c r="D3315" s="196"/>
      <c r="E3315" s="197"/>
      <c r="F3315" s="197"/>
      <c r="G3315" s="195"/>
      <c r="H3315" s="195"/>
      <c r="I3315" s="197"/>
      <c r="J3315" s="121"/>
      <c r="K3315" s="121"/>
      <c r="L3315" s="200"/>
      <c r="M3315" s="204"/>
      <c r="N3315" s="205"/>
      <c r="O3315" s="170"/>
      <c r="P3315" s="198"/>
      <c r="Q3315" s="199"/>
      <c r="R3315" s="200"/>
      <c r="S3315" s="170"/>
      <c r="T3315" s="170"/>
      <c r="U3315" s="201"/>
      <c r="V3315" s="198"/>
      <c r="W3315" s="170"/>
      <c r="X3315" s="202"/>
      <c r="Y3315" s="203"/>
      <c r="Z3315" s="170"/>
      <c r="AA3315" s="198"/>
      <c r="AB3315" s="170"/>
      <c r="AC3315" s="170"/>
      <c r="AD3315" s="121"/>
      <c r="AE3315" s="121"/>
      <c r="AF3315" s="121"/>
      <c r="AG3315" s="22"/>
      <c r="AH3315" s="22"/>
      <c r="AI3315" s="22"/>
      <c r="AJ3315" s="22"/>
      <c r="AK3315" s="22"/>
      <c r="AL3315" s="22"/>
      <c r="AM3315" s="22"/>
      <c r="AN3315" s="22"/>
      <c r="AO3315" s="22"/>
      <c r="AP3315" s="22"/>
    </row>
    <row r="3316">
      <c r="A3316" s="193"/>
      <c r="B3316" s="194"/>
      <c r="C3316" s="195"/>
      <c r="D3316" s="196"/>
      <c r="E3316" s="197"/>
      <c r="F3316" s="197"/>
      <c r="G3316" s="195"/>
      <c r="H3316" s="195"/>
      <c r="I3316" s="197"/>
      <c r="J3316" s="121"/>
      <c r="K3316" s="121"/>
      <c r="L3316" s="200"/>
      <c r="M3316" s="204"/>
      <c r="N3316" s="205"/>
      <c r="O3316" s="170"/>
      <c r="P3316" s="198"/>
      <c r="Q3316" s="199"/>
      <c r="R3316" s="200"/>
      <c r="S3316" s="170"/>
      <c r="T3316" s="170"/>
      <c r="U3316" s="201"/>
      <c r="V3316" s="198"/>
      <c r="W3316" s="170"/>
      <c r="X3316" s="202"/>
      <c r="Y3316" s="203"/>
      <c r="Z3316" s="170"/>
      <c r="AA3316" s="198"/>
      <c r="AB3316" s="170"/>
      <c r="AC3316" s="170"/>
      <c r="AD3316" s="121"/>
      <c r="AE3316" s="121"/>
      <c r="AF3316" s="121"/>
      <c r="AG3316" s="22"/>
      <c r="AH3316" s="22"/>
      <c r="AI3316" s="22"/>
      <c r="AJ3316" s="22"/>
      <c r="AK3316" s="22"/>
      <c r="AL3316" s="22"/>
      <c r="AM3316" s="22"/>
      <c r="AN3316" s="22"/>
      <c r="AO3316" s="22"/>
      <c r="AP3316" s="22"/>
    </row>
    <row r="3317">
      <c r="A3317" s="193"/>
      <c r="B3317" s="194"/>
      <c r="C3317" s="195"/>
      <c r="D3317" s="196"/>
      <c r="E3317" s="197"/>
      <c r="F3317" s="197"/>
      <c r="G3317" s="195"/>
      <c r="H3317" s="195"/>
      <c r="I3317" s="197"/>
      <c r="J3317" s="121"/>
      <c r="K3317" s="121"/>
      <c r="L3317" s="200"/>
      <c r="M3317" s="204"/>
      <c r="N3317" s="205"/>
      <c r="O3317" s="170"/>
      <c r="P3317" s="198"/>
      <c r="Q3317" s="199"/>
      <c r="R3317" s="200"/>
      <c r="S3317" s="170"/>
      <c r="T3317" s="170"/>
      <c r="U3317" s="201"/>
      <c r="V3317" s="198"/>
      <c r="W3317" s="170"/>
      <c r="X3317" s="202"/>
      <c r="Y3317" s="203"/>
      <c r="Z3317" s="170"/>
      <c r="AA3317" s="198"/>
      <c r="AB3317" s="170"/>
      <c r="AC3317" s="170"/>
      <c r="AD3317" s="121"/>
      <c r="AE3317" s="121"/>
      <c r="AF3317" s="121"/>
      <c r="AG3317" s="22"/>
      <c r="AH3317" s="22"/>
      <c r="AI3317" s="22"/>
      <c r="AJ3317" s="22"/>
      <c r="AK3317" s="22"/>
      <c r="AL3317" s="22"/>
      <c r="AM3317" s="22"/>
      <c r="AN3317" s="22"/>
      <c r="AO3317" s="22"/>
      <c r="AP3317" s="22"/>
    </row>
    <row r="3318">
      <c r="A3318" s="193"/>
      <c r="B3318" s="194"/>
      <c r="C3318" s="195"/>
      <c r="D3318" s="196"/>
      <c r="E3318" s="197"/>
      <c r="F3318" s="197"/>
      <c r="G3318" s="195"/>
      <c r="H3318" s="195"/>
      <c r="I3318" s="197"/>
      <c r="J3318" s="121"/>
      <c r="K3318" s="121"/>
      <c r="L3318" s="200"/>
      <c r="M3318" s="204"/>
      <c r="N3318" s="205"/>
      <c r="O3318" s="170"/>
      <c r="P3318" s="198"/>
      <c r="Q3318" s="199"/>
      <c r="R3318" s="200"/>
      <c r="S3318" s="170"/>
      <c r="T3318" s="170"/>
      <c r="U3318" s="201"/>
      <c r="V3318" s="198"/>
      <c r="W3318" s="170"/>
      <c r="X3318" s="202"/>
      <c r="Y3318" s="203"/>
      <c r="Z3318" s="170"/>
      <c r="AA3318" s="198"/>
      <c r="AB3318" s="170"/>
      <c r="AC3318" s="170"/>
      <c r="AD3318" s="121"/>
      <c r="AE3318" s="121"/>
      <c r="AF3318" s="121"/>
      <c r="AG3318" s="22"/>
      <c r="AH3318" s="22"/>
      <c r="AI3318" s="22"/>
      <c r="AJ3318" s="22"/>
      <c r="AK3318" s="22"/>
      <c r="AL3318" s="22"/>
      <c r="AM3318" s="22"/>
      <c r="AN3318" s="22"/>
      <c r="AO3318" s="22"/>
      <c r="AP3318" s="22"/>
    </row>
    <row r="3319">
      <c r="A3319" s="193"/>
      <c r="B3319" s="194"/>
      <c r="C3319" s="195"/>
      <c r="D3319" s="196"/>
      <c r="E3319" s="197"/>
      <c r="F3319" s="197"/>
      <c r="G3319" s="195"/>
      <c r="H3319" s="195"/>
      <c r="I3319" s="197"/>
      <c r="J3319" s="121"/>
      <c r="K3319" s="121"/>
      <c r="L3319" s="200"/>
      <c r="M3319" s="204"/>
      <c r="N3319" s="205"/>
      <c r="O3319" s="170"/>
      <c r="P3319" s="198"/>
      <c r="Q3319" s="199"/>
      <c r="R3319" s="200"/>
      <c r="S3319" s="170"/>
      <c r="T3319" s="170"/>
      <c r="U3319" s="201"/>
      <c r="V3319" s="198"/>
      <c r="W3319" s="170"/>
      <c r="X3319" s="202"/>
      <c r="Y3319" s="203"/>
      <c r="Z3319" s="170"/>
      <c r="AA3319" s="198"/>
      <c r="AB3319" s="170"/>
      <c r="AC3319" s="170"/>
      <c r="AD3319" s="121"/>
      <c r="AE3319" s="121"/>
      <c r="AF3319" s="121"/>
      <c r="AG3319" s="22"/>
      <c r="AH3319" s="22"/>
      <c r="AI3319" s="22"/>
      <c r="AJ3319" s="22"/>
      <c r="AK3319" s="22"/>
      <c r="AL3319" s="22"/>
      <c r="AM3319" s="22"/>
      <c r="AN3319" s="22"/>
      <c r="AO3319" s="22"/>
      <c r="AP3319" s="22"/>
    </row>
    <row r="3320">
      <c r="A3320" s="193"/>
      <c r="B3320" s="194"/>
      <c r="C3320" s="195"/>
      <c r="D3320" s="196"/>
      <c r="E3320" s="197"/>
      <c r="F3320" s="197"/>
      <c r="G3320" s="195"/>
      <c r="H3320" s="195"/>
      <c r="I3320" s="197"/>
      <c r="J3320" s="121"/>
      <c r="K3320" s="121"/>
      <c r="L3320" s="200"/>
      <c r="M3320" s="204"/>
      <c r="N3320" s="205"/>
      <c r="O3320" s="170"/>
      <c r="P3320" s="198"/>
      <c r="Q3320" s="199"/>
      <c r="R3320" s="200"/>
      <c r="S3320" s="170"/>
      <c r="T3320" s="170"/>
      <c r="U3320" s="201"/>
      <c r="V3320" s="198"/>
      <c r="W3320" s="170"/>
      <c r="X3320" s="202"/>
      <c r="Y3320" s="203"/>
      <c r="Z3320" s="170"/>
      <c r="AA3320" s="198"/>
      <c r="AB3320" s="170"/>
      <c r="AC3320" s="170"/>
      <c r="AD3320" s="121"/>
      <c r="AE3320" s="121"/>
      <c r="AF3320" s="121"/>
      <c r="AG3320" s="22"/>
      <c r="AH3320" s="22"/>
      <c r="AI3320" s="22"/>
      <c r="AJ3320" s="22"/>
      <c r="AK3320" s="22"/>
      <c r="AL3320" s="22"/>
      <c r="AM3320" s="22"/>
      <c r="AN3320" s="22"/>
      <c r="AO3320" s="22"/>
      <c r="AP3320" s="22"/>
    </row>
    <row r="3321">
      <c r="A3321" s="193"/>
      <c r="B3321" s="194"/>
      <c r="C3321" s="195"/>
      <c r="D3321" s="196"/>
      <c r="E3321" s="197"/>
      <c r="F3321" s="197"/>
      <c r="G3321" s="195"/>
      <c r="H3321" s="195"/>
      <c r="I3321" s="197"/>
      <c r="J3321" s="121"/>
      <c r="K3321" s="121"/>
      <c r="L3321" s="200"/>
      <c r="M3321" s="204"/>
      <c r="N3321" s="205"/>
      <c r="O3321" s="170"/>
      <c r="P3321" s="198"/>
      <c r="Q3321" s="199"/>
      <c r="R3321" s="200"/>
      <c r="S3321" s="170"/>
      <c r="T3321" s="170"/>
      <c r="U3321" s="201"/>
      <c r="V3321" s="198"/>
      <c r="W3321" s="170"/>
      <c r="X3321" s="202"/>
      <c r="Y3321" s="203"/>
      <c r="Z3321" s="170"/>
      <c r="AA3321" s="198"/>
      <c r="AB3321" s="170"/>
      <c r="AC3321" s="170"/>
      <c r="AD3321" s="121"/>
      <c r="AE3321" s="121"/>
      <c r="AF3321" s="121"/>
      <c r="AG3321" s="22"/>
      <c r="AH3321" s="22"/>
      <c r="AI3321" s="22"/>
      <c r="AJ3321" s="22"/>
      <c r="AK3321" s="22"/>
      <c r="AL3321" s="22"/>
      <c r="AM3321" s="22"/>
      <c r="AN3321" s="22"/>
      <c r="AO3321" s="22"/>
      <c r="AP3321" s="22"/>
    </row>
    <row r="3322">
      <c r="A3322" s="193"/>
      <c r="B3322" s="194"/>
      <c r="C3322" s="195"/>
      <c r="D3322" s="196"/>
      <c r="E3322" s="197"/>
      <c r="F3322" s="197"/>
      <c r="G3322" s="195"/>
      <c r="H3322" s="195"/>
      <c r="I3322" s="197"/>
      <c r="J3322" s="121"/>
      <c r="K3322" s="121"/>
      <c r="L3322" s="200"/>
      <c r="M3322" s="204"/>
      <c r="N3322" s="205"/>
      <c r="O3322" s="170"/>
      <c r="P3322" s="198"/>
      <c r="Q3322" s="199"/>
      <c r="R3322" s="200"/>
      <c r="S3322" s="170"/>
      <c r="T3322" s="170"/>
      <c r="U3322" s="201"/>
      <c r="V3322" s="198"/>
      <c r="W3322" s="170"/>
      <c r="X3322" s="202"/>
      <c r="Y3322" s="203"/>
      <c r="Z3322" s="170"/>
      <c r="AA3322" s="198"/>
      <c r="AB3322" s="170"/>
      <c r="AC3322" s="170"/>
      <c r="AD3322" s="121"/>
      <c r="AE3322" s="121"/>
      <c r="AF3322" s="121"/>
      <c r="AG3322" s="22"/>
      <c r="AH3322" s="22"/>
      <c r="AI3322" s="22"/>
      <c r="AJ3322" s="22"/>
      <c r="AK3322" s="22"/>
      <c r="AL3322" s="22"/>
      <c r="AM3322" s="22"/>
      <c r="AN3322" s="22"/>
      <c r="AO3322" s="22"/>
      <c r="AP3322" s="22"/>
    </row>
    <row r="3323">
      <c r="A3323" s="193"/>
      <c r="B3323" s="194"/>
      <c r="C3323" s="195"/>
      <c r="D3323" s="196"/>
      <c r="E3323" s="197"/>
      <c r="F3323" s="197"/>
      <c r="G3323" s="195"/>
      <c r="H3323" s="195"/>
      <c r="I3323" s="197"/>
      <c r="J3323" s="121"/>
      <c r="K3323" s="121"/>
      <c r="L3323" s="200"/>
      <c r="M3323" s="204"/>
      <c r="N3323" s="205"/>
      <c r="O3323" s="170"/>
      <c r="P3323" s="198"/>
      <c r="Q3323" s="199"/>
      <c r="R3323" s="200"/>
      <c r="S3323" s="170"/>
      <c r="T3323" s="170"/>
      <c r="U3323" s="201"/>
      <c r="V3323" s="198"/>
      <c r="W3323" s="170"/>
      <c r="X3323" s="202"/>
      <c r="Y3323" s="203"/>
      <c r="Z3323" s="170"/>
      <c r="AA3323" s="198"/>
      <c r="AB3323" s="170"/>
      <c r="AC3323" s="170"/>
      <c r="AD3323" s="121"/>
      <c r="AE3323" s="121"/>
      <c r="AF3323" s="121"/>
      <c r="AG3323" s="22"/>
      <c r="AH3323" s="22"/>
      <c r="AI3323" s="22"/>
      <c r="AJ3323" s="22"/>
      <c r="AK3323" s="22"/>
      <c r="AL3323" s="22"/>
      <c r="AM3323" s="22"/>
      <c r="AN3323" s="22"/>
      <c r="AO3323" s="22"/>
      <c r="AP3323" s="22"/>
    </row>
    <row r="3324">
      <c r="A3324" s="193"/>
      <c r="B3324" s="194"/>
      <c r="C3324" s="195"/>
      <c r="D3324" s="196"/>
      <c r="E3324" s="197"/>
      <c r="F3324" s="197"/>
      <c r="G3324" s="195"/>
      <c r="H3324" s="195"/>
      <c r="I3324" s="197"/>
      <c r="J3324" s="121"/>
      <c r="K3324" s="121"/>
      <c r="L3324" s="200"/>
      <c r="M3324" s="204"/>
      <c r="N3324" s="205"/>
      <c r="O3324" s="170"/>
      <c r="P3324" s="198"/>
      <c r="Q3324" s="199"/>
      <c r="R3324" s="200"/>
      <c r="S3324" s="170"/>
      <c r="T3324" s="170"/>
      <c r="U3324" s="201"/>
      <c r="V3324" s="198"/>
      <c r="W3324" s="170"/>
      <c r="X3324" s="202"/>
      <c r="Y3324" s="203"/>
      <c r="Z3324" s="170"/>
      <c r="AA3324" s="198"/>
      <c r="AB3324" s="170"/>
      <c r="AC3324" s="170"/>
      <c r="AD3324" s="121"/>
      <c r="AE3324" s="121"/>
      <c r="AF3324" s="121"/>
      <c r="AG3324" s="22"/>
      <c r="AH3324" s="22"/>
      <c r="AI3324" s="22"/>
      <c r="AJ3324" s="22"/>
      <c r="AK3324" s="22"/>
      <c r="AL3324" s="22"/>
      <c r="AM3324" s="22"/>
      <c r="AN3324" s="22"/>
      <c r="AO3324" s="22"/>
      <c r="AP3324" s="22"/>
    </row>
    <row r="3325">
      <c r="A3325" s="193"/>
      <c r="B3325" s="194"/>
      <c r="C3325" s="195"/>
      <c r="D3325" s="196"/>
      <c r="E3325" s="197"/>
      <c r="F3325" s="197"/>
      <c r="G3325" s="195"/>
      <c r="H3325" s="195"/>
      <c r="I3325" s="197"/>
      <c r="J3325" s="121"/>
      <c r="K3325" s="121"/>
      <c r="L3325" s="200"/>
      <c r="M3325" s="204"/>
      <c r="N3325" s="205"/>
      <c r="O3325" s="170"/>
      <c r="P3325" s="198"/>
      <c r="Q3325" s="199"/>
      <c r="R3325" s="200"/>
      <c r="S3325" s="170"/>
      <c r="T3325" s="170"/>
      <c r="U3325" s="201"/>
      <c r="V3325" s="198"/>
      <c r="W3325" s="170"/>
      <c r="X3325" s="202"/>
      <c r="Y3325" s="203"/>
      <c r="Z3325" s="170"/>
      <c r="AA3325" s="198"/>
      <c r="AB3325" s="170"/>
      <c r="AC3325" s="170"/>
      <c r="AD3325" s="121"/>
      <c r="AE3325" s="121"/>
      <c r="AF3325" s="121"/>
      <c r="AG3325" s="22"/>
      <c r="AH3325" s="22"/>
      <c r="AI3325" s="22"/>
      <c r="AJ3325" s="22"/>
      <c r="AK3325" s="22"/>
      <c r="AL3325" s="22"/>
      <c r="AM3325" s="22"/>
      <c r="AN3325" s="22"/>
      <c r="AO3325" s="22"/>
      <c r="AP3325" s="22"/>
    </row>
    <row r="3326">
      <c r="A3326" s="193"/>
      <c r="B3326" s="194"/>
      <c r="C3326" s="195"/>
      <c r="D3326" s="196"/>
      <c r="E3326" s="197"/>
      <c r="F3326" s="197"/>
      <c r="G3326" s="195"/>
      <c r="H3326" s="195"/>
      <c r="I3326" s="197"/>
      <c r="J3326" s="121"/>
      <c r="K3326" s="121"/>
      <c r="L3326" s="200"/>
      <c r="M3326" s="204"/>
      <c r="N3326" s="205"/>
      <c r="O3326" s="170"/>
      <c r="P3326" s="198"/>
      <c r="Q3326" s="199"/>
      <c r="R3326" s="200"/>
      <c r="S3326" s="170"/>
      <c r="T3326" s="170"/>
      <c r="U3326" s="201"/>
      <c r="V3326" s="198"/>
      <c r="W3326" s="170"/>
      <c r="X3326" s="202"/>
      <c r="Y3326" s="203"/>
      <c r="Z3326" s="170"/>
      <c r="AA3326" s="198"/>
      <c r="AB3326" s="170"/>
      <c r="AC3326" s="170"/>
      <c r="AD3326" s="121"/>
      <c r="AE3326" s="121"/>
      <c r="AF3326" s="121"/>
      <c r="AG3326" s="22"/>
      <c r="AH3326" s="22"/>
      <c r="AI3326" s="22"/>
      <c r="AJ3326" s="22"/>
      <c r="AK3326" s="22"/>
      <c r="AL3326" s="22"/>
      <c r="AM3326" s="22"/>
      <c r="AN3326" s="22"/>
      <c r="AO3326" s="22"/>
      <c r="AP3326" s="22"/>
    </row>
    <row r="3327">
      <c r="A3327" s="193"/>
      <c r="B3327" s="194"/>
      <c r="C3327" s="195"/>
      <c r="D3327" s="196"/>
      <c r="E3327" s="197"/>
      <c r="F3327" s="197"/>
      <c r="G3327" s="195"/>
      <c r="H3327" s="195"/>
      <c r="I3327" s="197"/>
      <c r="J3327" s="121"/>
      <c r="K3327" s="121"/>
      <c r="L3327" s="200"/>
      <c r="M3327" s="204"/>
      <c r="N3327" s="205"/>
      <c r="O3327" s="170"/>
      <c r="P3327" s="198"/>
      <c r="Q3327" s="199"/>
      <c r="R3327" s="200"/>
      <c r="S3327" s="170"/>
      <c r="T3327" s="170"/>
      <c r="U3327" s="201"/>
      <c r="V3327" s="198"/>
      <c r="W3327" s="170"/>
      <c r="X3327" s="202"/>
      <c r="Z3327" s="170"/>
      <c r="AA3327" s="198"/>
      <c r="AB3327" s="170"/>
      <c r="AC3327" s="170"/>
      <c r="AD3327" s="121"/>
      <c r="AE3327" s="121"/>
      <c r="AF3327" s="121"/>
      <c r="AG3327" s="22"/>
      <c r="AH3327" s="22"/>
      <c r="AI3327" s="22"/>
      <c r="AJ3327" s="22"/>
      <c r="AK3327" s="22"/>
      <c r="AL3327" s="22"/>
      <c r="AM3327" s="22"/>
      <c r="AN3327" s="22"/>
      <c r="AO3327" s="22"/>
      <c r="AP3327" s="22"/>
    </row>
    <row r="3328">
      <c r="A3328" s="193"/>
      <c r="B3328" s="194"/>
      <c r="C3328" s="195"/>
      <c r="D3328" s="196"/>
      <c r="E3328" s="197"/>
      <c r="F3328" s="197"/>
      <c r="G3328" s="195"/>
      <c r="H3328" s="195"/>
      <c r="I3328" s="197"/>
      <c r="J3328" s="121"/>
      <c r="K3328" s="121"/>
      <c r="L3328" s="200"/>
      <c r="M3328" s="204"/>
      <c r="N3328" s="205"/>
      <c r="O3328" s="170"/>
      <c r="P3328" s="198"/>
      <c r="Q3328" s="199"/>
      <c r="R3328" s="200"/>
      <c r="S3328" s="170"/>
      <c r="T3328" s="170"/>
      <c r="U3328" s="201"/>
      <c r="V3328" s="198"/>
      <c r="W3328" s="170"/>
      <c r="X3328" s="202"/>
      <c r="Z3328" s="170"/>
      <c r="AA3328" s="198"/>
      <c r="AB3328" s="170"/>
      <c r="AC3328" s="170"/>
      <c r="AD3328" s="121"/>
      <c r="AE3328" s="121"/>
      <c r="AF3328" s="121"/>
      <c r="AG3328" s="22"/>
      <c r="AH3328" s="22"/>
      <c r="AI3328" s="22"/>
      <c r="AJ3328" s="22"/>
      <c r="AK3328" s="22"/>
      <c r="AL3328" s="22"/>
      <c r="AM3328" s="22"/>
      <c r="AN3328" s="22"/>
      <c r="AO3328" s="22"/>
      <c r="AP3328" s="22"/>
    </row>
    <row r="3329">
      <c r="A3329" s="193"/>
      <c r="B3329" s="194"/>
      <c r="C3329" s="195"/>
      <c r="D3329" s="196"/>
      <c r="E3329" s="197"/>
      <c r="F3329" s="197"/>
      <c r="G3329" s="195"/>
      <c r="H3329" s="195"/>
      <c r="I3329" s="197"/>
      <c r="J3329" s="121"/>
      <c r="K3329" s="121"/>
      <c r="L3329" s="200"/>
      <c r="M3329" s="204"/>
      <c r="N3329" s="205"/>
      <c r="O3329" s="170"/>
      <c r="P3329" s="198"/>
      <c r="Q3329" s="199"/>
      <c r="R3329" s="200"/>
      <c r="S3329" s="170"/>
      <c r="T3329" s="170"/>
      <c r="U3329" s="201"/>
      <c r="V3329" s="198"/>
      <c r="W3329" s="170"/>
      <c r="X3329" s="202"/>
      <c r="Z3329" s="170"/>
      <c r="AA3329" s="198"/>
      <c r="AB3329" s="170"/>
      <c r="AC3329" s="170"/>
      <c r="AD3329" s="121"/>
      <c r="AE3329" s="121"/>
      <c r="AF3329" s="121"/>
      <c r="AG3329" s="22"/>
      <c r="AH3329" s="22"/>
      <c r="AI3329" s="22"/>
      <c r="AJ3329" s="22"/>
      <c r="AK3329" s="22"/>
      <c r="AL3329" s="22"/>
      <c r="AM3329" s="22"/>
      <c r="AN3329" s="22"/>
      <c r="AO3329" s="22"/>
      <c r="AP3329" s="22"/>
    </row>
    <row r="3330">
      <c r="A3330" s="193"/>
      <c r="B3330" s="194"/>
      <c r="C3330" s="195"/>
      <c r="D3330" s="196"/>
      <c r="E3330" s="197"/>
      <c r="F3330" s="197"/>
      <c r="G3330" s="195"/>
      <c r="H3330" s="195"/>
      <c r="I3330" s="197"/>
      <c r="J3330" s="121"/>
      <c r="K3330" s="121"/>
      <c r="L3330" s="200"/>
      <c r="M3330" s="204"/>
      <c r="N3330" s="205"/>
      <c r="O3330" s="170"/>
      <c r="P3330" s="198"/>
      <c r="Q3330" s="199"/>
      <c r="R3330" s="200"/>
      <c r="S3330" s="170"/>
      <c r="T3330" s="170"/>
      <c r="U3330" s="201"/>
      <c r="V3330" s="198"/>
      <c r="W3330" s="170"/>
      <c r="X3330" s="202"/>
      <c r="Z3330" s="170"/>
      <c r="AA3330" s="198"/>
      <c r="AB3330" s="170"/>
      <c r="AC3330" s="170"/>
      <c r="AD3330" s="121"/>
      <c r="AE3330" s="121"/>
      <c r="AF3330" s="121"/>
      <c r="AG3330" s="22"/>
      <c r="AH3330" s="22"/>
      <c r="AI3330" s="22"/>
      <c r="AJ3330" s="22"/>
      <c r="AK3330" s="22"/>
      <c r="AL3330" s="22"/>
      <c r="AM3330" s="22"/>
      <c r="AN3330" s="22"/>
      <c r="AO3330" s="22"/>
      <c r="AP3330" s="22"/>
    </row>
    <row r="3331">
      <c r="A3331" s="193"/>
      <c r="B3331" s="194"/>
      <c r="C3331" s="195"/>
      <c r="D3331" s="196"/>
      <c r="E3331" s="197"/>
      <c r="F3331" s="197"/>
      <c r="G3331" s="195"/>
      <c r="H3331" s="195"/>
      <c r="I3331" s="197"/>
      <c r="J3331" s="121"/>
      <c r="K3331" s="121"/>
      <c r="L3331" s="200"/>
      <c r="M3331" s="204"/>
      <c r="N3331" s="205"/>
      <c r="O3331" s="170"/>
      <c r="P3331" s="198"/>
      <c r="Q3331" s="199"/>
      <c r="R3331" s="200"/>
      <c r="S3331" s="170"/>
      <c r="T3331" s="170"/>
      <c r="U3331" s="201"/>
      <c r="V3331" s="198"/>
      <c r="W3331" s="170"/>
      <c r="X3331" s="202"/>
      <c r="Z3331" s="170"/>
      <c r="AA3331" s="198"/>
      <c r="AB3331" s="170"/>
      <c r="AC3331" s="170"/>
      <c r="AD3331" s="121"/>
      <c r="AE3331" s="121"/>
      <c r="AF3331" s="121"/>
      <c r="AG3331" s="22"/>
      <c r="AH3331" s="22"/>
      <c r="AI3331" s="22"/>
      <c r="AJ3331" s="22"/>
      <c r="AK3331" s="22"/>
      <c r="AL3331" s="22"/>
      <c r="AM3331" s="22"/>
      <c r="AN3331" s="22"/>
      <c r="AO3331" s="22"/>
      <c r="AP3331" s="22"/>
    </row>
    <row r="3332">
      <c r="A3332" s="193"/>
      <c r="B3332" s="194"/>
      <c r="C3332" s="195"/>
      <c r="D3332" s="196"/>
      <c r="E3332" s="197"/>
      <c r="F3332" s="197"/>
      <c r="G3332" s="195"/>
      <c r="H3332" s="195"/>
      <c r="I3332" s="197"/>
      <c r="J3332" s="121"/>
      <c r="K3332" s="121"/>
      <c r="L3332" s="200"/>
      <c r="M3332" s="204"/>
      <c r="N3332" s="205"/>
      <c r="O3332" s="170"/>
      <c r="P3332" s="198"/>
      <c r="Q3332" s="199"/>
      <c r="R3332" s="200"/>
      <c r="S3332" s="170"/>
      <c r="T3332" s="170"/>
      <c r="U3332" s="201"/>
      <c r="V3332" s="198"/>
      <c r="W3332" s="170"/>
      <c r="X3332" s="202"/>
      <c r="Z3332" s="170"/>
      <c r="AA3332" s="198"/>
      <c r="AB3332" s="170"/>
      <c r="AC3332" s="170"/>
      <c r="AD3332" s="121"/>
      <c r="AE3332" s="121"/>
      <c r="AF3332" s="121"/>
      <c r="AG3332" s="22"/>
      <c r="AH3332" s="22"/>
      <c r="AI3332" s="22"/>
      <c r="AJ3332" s="22"/>
      <c r="AK3332" s="22"/>
      <c r="AL3332" s="22"/>
      <c r="AM3332" s="22"/>
      <c r="AN3332" s="22"/>
      <c r="AO3332" s="22"/>
      <c r="AP3332" s="22"/>
    </row>
    <row r="3333">
      <c r="A3333" s="193"/>
      <c r="B3333" s="194"/>
      <c r="C3333" s="195"/>
      <c r="D3333" s="196"/>
      <c r="E3333" s="197"/>
      <c r="F3333" s="197"/>
      <c r="G3333" s="195"/>
      <c r="H3333" s="195"/>
      <c r="I3333" s="197"/>
      <c r="J3333" s="121"/>
      <c r="K3333" s="121"/>
      <c r="L3333" s="200"/>
      <c r="M3333" s="204"/>
      <c r="N3333" s="205"/>
      <c r="O3333" s="170"/>
      <c r="P3333" s="198"/>
      <c r="Q3333" s="199"/>
      <c r="R3333" s="200"/>
      <c r="S3333" s="170"/>
      <c r="T3333" s="170"/>
      <c r="U3333" s="201"/>
      <c r="V3333" s="198"/>
      <c r="W3333" s="170"/>
      <c r="X3333" s="202"/>
      <c r="Z3333" s="170"/>
      <c r="AA3333" s="198"/>
      <c r="AB3333" s="170"/>
      <c r="AC3333" s="170"/>
      <c r="AD3333" s="121"/>
      <c r="AE3333" s="121"/>
      <c r="AF3333" s="121"/>
      <c r="AG3333" s="22"/>
      <c r="AH3333" s="22"/>
      <c r="AI3333" s="22"/>
      <c r="AJ3333" s="22"/>
      <c r="AK3333" s="22"/>
      <c r="AL3333" s="22"/>
      <c r="AM3333" s="22"/>
      <c r="AN3333" s="22"/>
      <c r="AO3333" s="22"/>
      <c r="AP3333" s="22"/>
    </row>
    <row r="3334">
      <c r="A3334" s="193"/>
      <c r="B3334" s="194"/>
      <c r="C3334" s="195"/>
      <c r="D3334" s="196"/>
      <c r="E3334" s="197"/>
      <c r="F3334" s="197"/>
      <c r="G3334" s="195"/>
      <c r="H3334" s="195"/>
      <c r="I3334" s="197"/>
      <c r="J3334" s="121"/>
      <c r="K3334" s="121"/>
      <c r="L3334" s="200"/>
      <c r="M3334" s="204"/>
      <c r="N3334" s="205"/>
      <c r="O3334" s="170"/>
      <c r="P3334" s="198"/>
      <c r="Q3334" s="199"/>
      <c r="R3334" s="200"/>
      <c r="S3334" s="170"/>
      <c r="T3334" s="170"/>
      <c r="U3334" s="201"/>
      <c r="V3334" s="198"/>
      <c r="W3334" s="170"/>
      <c r="X3334" s="202"/>
      <c r="Z3334" s="170"/>
      <c r="AA3334" s="198"/>
      <c r="AB3334" s="170"/>
      <c r="AC3334" s="170"/>
      <c r="AD3334" s="121"/>
      <c r="AE3334" s="121"/>
      <c r="AF3334" s="121"/>
      <c r="AG3334" s="22"/>
      <c r="AH3334" s="22"/>
      <c r="AI3334" s="22"/>
      <c r="AJ3334" s="22"/>
      <c r="AK3334" s="22"/>
      <c r="AL3334" s="22"/>
      <c r="AM3334" s="22"/>
      <c r="AN3334" s="22"/>
      <c r="AO3334" s="22"/>
      <c r="AP3334" s="22"/>
    </row>
    <row r="3335">
      <c r="A3335" s="193"/>
      <c r="B3335" s="194"/>
      <c r="C3335" s="195"/>
      <c r="D3335" s="196"/>
      <c r="E3335" s="197"/>
      <c r="F3335" s="197"/>
      <c r="G3335" s="195"/>
      <c r="H3335" s="195"/>
      <c r="I3335" s="197"/>
      <c r="J3335" s="121"/>
      <c r="K3335" s="121"/>
      <c r="L3335" s="200"/>
      <c r="M3335" s="204"/>
      <c r="N3335" s="205"/>
      <c r="O3335" s="170"/>
      <c r="P3335" s="198"/>
      <c r="Q3335" s="199"/>
      <c r="R3335" s="200"/>
      <c r="S3335" s="170"/>
      <c r="T3335" s="170"/>
      <c r="U3335" s="201"/>
      <c r="V3335" s="198"/>
      <c r="W3335" s="170"/>
      <c r="X3335" s="202"/>
      <c r="Z3335" s="170"/>
      <c r="AA3335" s="198"/>
      <c r="AB3335" s="170"/>
      <c r="AC3335" s="170"/>
      <c r="AD3335" s="121"/>
      <c r="AE3335" s="121"/>
      <c r="AF3335" s="121"/>
      <c r="AG3335" s="22"/>
      <c r="AH3335" s="22"/>
      <c r="AI3335" s="22"/>
      <c r="AJ3335" s="22"/>
      <c r="AK3335" s="22"/>
      <c r="AL3335" s="22"/>
      <c r="AM3335" s="22"/>
      <c r="AN3335" s="22"/>
      <c r="AO3335" s="22"/>
      <c r="AP3335" s="22"/>
    </row>
    <row r="3336">
      <c r="A3336" s="193"/>
      <c r="B3336" s="194"/>
      <c r="C3336" s="195"/>
      <c r="D3336" s="196"/>
      <c r="E3336" s="197"/>
      <c r="F3336" s="197"/>
      <c r="G3336" s="195"/>
      <c r="H3336" s="195"/>
      <c r="I3336" s="197"/>
      <c r="J3336" s="121"/>
      <c r="K3336" s="121"/>
      <c r="L3336" s="200"/>
      <c r="M3336" s="204"/>
      <c r="N3336" s="205"/>
      <c r="O3336" s="170"/>
      <c r="P3336" s="198"/>
      <c r="Q3336" s="199"/>
      <c r="R3336" s="200"/>
      <c r="S3336" s="170"/>
      <c r="T3336" s="170"/>
      <c r="U3336" s="201"/>
      <c r="V3336" s="198"/>
      <c r="W3336" s="170"/>
      <c r="X3336" s="202"/>
      <c r="Z3336" s="170"/>
      <c r="AA3336" s="198"/>
      <c r="AB3336" s="170"/>
      <c r="AC3336" s="170"/>
      <c r="AD3336" s="121"/>
      <c r="AE3336" s="121"/>
      <c r="AF3336" s="121"/>
      <c r="AG3336" s="22"/>
      <c r="AH3336" s="22"/>
      <c r="AI3336" s="22"/>
      <c r="AJ3336" s="22"/>
      <c r="AK3336" s="22"/>
      <c r="AL3336" s="22"/>
      <c r="AM3336" s="22"/>
      <c r="AN3336" s="22"/>
      <c r="AO3336" s="22"/>
      <c r="AP3336" s="22"/>
    </row>
    <row r="3337">
      <c r="A3337" s="193"/>
      <c r="B3337" s="194"/>
      <c r="C3337" s="195"/>
      <c r="D3337" s="196"/>
      <c r="E3337" s="197"/>
      <c r="F3337" s="197"/>
      <c r="G3337" s="195"/>
      <c r="H3337" s="195"/>
      <c r="I3337" s="197"/>
      <c r="J3337" s="121"/>
      <c r="K3337" s="121"/>
      <c r="L3337" s="200"/>
      <c r="M3337" s="204"/>
      <c r="N3337" s="205"/>
      <c r="O3337" s="170"/>
      <c r="P3337" s="198"/>
      <c r="Q3337" s="199"/>
      <c r="R3337" s="200"/>
      <c r="S3337" s="170"/>
      <c r="T3337" s="170"/>
      <c r="U3337" s="201"/>
      <c r="V3337" s="198"/>
      <c r="W3337" s="170"/>
      <c r="X3337" s="202"/>
      <c r="Z3337" s="170"/>
      <c r="AA3337" s="198"/>
      <c r="AB3337" s="170"/>
      <c r="AC3337" s="170"/>
      <c r="AD3337" s="121"/>
      <c r="AE3337" s="121"/>
      <c r="AF3337" s="121"/>
      <c r="AG3337" s="22"/>
      <c r="AH3337" s="22"/>
      <c r="AI3337" s="22"/>
      <c r="AJ3337" s="22"/>
      <c r="AK3337" s="22"/>
      <c r="AL3337" s="22"/>
      <c r="AM3337" s="22"/>
      <c r="AN3337" s="22"/>
      <c r="AO3337" s="22"/>
      <c r="AP3337" s="22"/>
    </row>
    <row r="3338">
      <c r="A3338" s="193"/>
      <c r="B3338" s="194"/>
      <c r="C3338" s="195"/>
      <c r="D3338" s="196"/>
      <c r="E3338" s="197"/>
      <c r="F3338" s="197"/>
      <c r="G3338" s="195"/>
      <c r="H3338" s="195"/>
      <c r="I3338" s="197"/>
      <c r="J3338" s="121"/>
      <c r="K3338" s="121"/>
      <c r="L3338" s="200"/>
      <c r="M3338" s="204"/>
      <c r="N3338" s="205"/>
      <c r="O3338" s="170"/>
      <c r="P3338" s="198"/>
      <c r="Q3338" s="199"/>
      <c r="R3338" s="200"/>
      <c r="S3338" s="170"/>
      <c r="T3338" s="170"/>
      <c r="U3338" s="201"/>
      <c r="V3338" s="198"/>
      <c r="W3338" s="170"/>
      <c r="X3338" s="202"/>
      <c r="Z3338" s="170"/>
      <c r="AA3338" s="198"/>
      <c r="AB3338" s="170"/>
      <c r="AC3338" s="170"/>
      <c r="AD3338" s="121"/>
      <c r="AE3338" s="121"/>
      <c r="AF3338" s="121"/>
      <c r="AG3338" s="22"/>
      <c r="AH3338" s="22"/>
      <c r="AI3338" s="22"/>
      <c r="AJ3338" s="22"/>
      <c r="AK3338" s="22"/>
      <c r="AL3338" s="22"/>
      <c r="AM3338" s="22"/>
      <c r="AN3338" s="22"/>
      <c r="AO3338" s="22"/>
      <c r="AP3338" s="22"/>
    </row>
    <row r="3339">
      <c r="A3339" s="193"/>
      <c r="B3339" s="194"/>
      <c r="C3339" s="195"/>
      <c r="D3339" s="196"/>
      <c r="E3339" s="197"/>
      <c r="F3339" s="197"/>
      <c r="G3339" s="195"/>
      <c r="H3339" s="195"/>
      <c r="I3339" s="197"/>
      <c r="J3339" s="121"/>
      <c r="K3339" s="121"/>
      <c r="L3339" s="200"/>
      <c r="M3339" s="204"/>
      <c r="N3339" s="205"/>
      <c r="O3339" s="170"/>
      <c r="P3339" s="198"/>
      <c r="Q3339" s="199"/>
      <c r="R3339" s="200"/>
      <c r="S3339" s="170"/>
      <c r="T3339" s="170"/>
      <c r="U3339" s="201"/>
      <c r="V3339" s="198"/>
      <c r="W3339" s="170"/>
      <c r="X3339" s="202"/>
      <c r="Z3339" s="170"/>
      <c r="AA3339" s="198"/>
      <c r="AB3339" s="170"/>
      <c r="AC3339" s="170"/>
      <c r="AD3339" s="121"/>
      <c r="AE3339" s="121"/>
      <c r="AF3339" s="121"/>
      <c r="AG3339" s="22"/>
      <c r="AH3339" s="22"/>
      <c r="AI3339" s="22"/>
      <c r="AJ3339" s="22"/>
      <c r="AK3339" s="22"/>
      <c r="AL3339" s="22"/>
      <c r="AM3339" s="22"/>
      <c r="AN3339" s="22"/>
      <c r="AO3339" s="22"/>
      <c r="AP3339" s="22"/>
    </row>
    <row r="3340">
      <c r="A3340" s="193"/>
      <c r="B3340" s="194"/>
      <c r="C3340" s="195"/>
      <c r="D3340" s="196"/>
      <c r="E3340" s="197"/>
      <c r="F3340" s="197"/>
      <c r="G3340" s="195"/>
      <c r="H3340" s="195"/>
      <c r="I3340" s="197"/>
      <c r="J3340" s="121"/>
      <c r="K3340" s="121"/>
      <c r="L3340" s="200"/>
      <c r="M3340" s="204"/>
      <c r="N3340" s="205"/>
      <c r="O3340" s="170"/>
      <c r="P3340" s="198"/>
      <c r="Q3340" s="199"/>
      <c r="R3340" s="200"/>
      <c r="S3340" s="170"/>
      <c r="T3340" s="170"/>
      <c r="U3340" s="201"/>
      <c r="V3340" s="198"/>
      <c r="W3340" s="170"/>
      <c r="X3340" s="202"/>
      <c r="Z3340" s="170"/>
      <c r="AA3340" s="198"/>
      <c r="AB3340" s="170"/>
      <c r="AC3340" s="170"/>
      <c r="AD3340" s="121"/>
      <c r="AE3340" s="121"/>
      <c r="AF3340" s="121"/>
      <c r="AG3340" s="22"/>
      <c r="AH3340" s="22"/>
      <c r="AI3340" s="22"/>
      <c r="AJ3340" s="22"/>
      <c r="AK3340" s="22"/>
      <c r="AL3340" s="22"/>
      <c r="AM3340" s="22"/>
      <c r="AN3340" s="22"/>
      <c r="AO3340" s="22"/>
      <c r="AP3340" s="22"/>
    </row>
    <row r="3341">
      <c r="A3341" s="193"/>
      <c r="B3341" s="194"/>
      <c r="C3341" s="195"/>
      <c r="D3341" s="196"/>
      <c r="E3341" s="197"/>
      <c r="F3341" s="197"/>
      <c r="G3341" s="195"/>
      <c r="H3341" s="195"/>
      <c r="I3341" s="197"/>
      <c r="J3341" s="121"/>
      <c r="K3341" s="121"/>
      <c r="L3341" s="200"/>
      <c r="M3341" s="204"/>
      <c r="N3341" s="205"/>
      <c r="O3341" s="170"/>
      <c r="P3341" s="198"/>
      <c r="Q3341" s="199"/>
      <c r="R3341" s="200"/>
      <c r="S3341" s="170"/>
      <c r="T3341" s="170"/>
      <c r="U3341" s="201"/>
      <c r="V3341" s="198"/>
      <c r="W3341" s="170"/>
      <c r="X3341" s="202"/>
      <c r="Z3341" s="170"/>
      <c r="AA3341" s="198"/>
      <c r="AB3341" s="170"/>
      <c r="AC3341" s="170"/>
      <c r="AD3341" s="121"/>
      <c r="AE3341" s="121"/>
      <c r="AF3341" s="121"/>
      <c r="AG3341" s="22"/>
      <c r="AH3341" s="22"/>
      <c r="AI3341" s="22"/>
      <c r="AJ3341" s="22"/>
      <c r="AK3341" s="22"/>
      <c r="AL3341" s="22"/>
      <c r="AM3341" s="22"/>
      <c r="AN3341" s="22"/>
      <c r="AO3341" s="22"/>
      <c r="AP3341" s="22"/>
    </row>
    <row r="3342">
      <c r="A3342" s="193"/>
      <c r="B3342" s="194"/>
      <c r="C3342" s="195"/>
      <c r="D3342" s="196"/>
      <c r="E3342" s="197"/>
      <c r="F3342" s="197"/>
      <c r="G3342" s="195"/>
      <c r="H3342" s="195"/>
      <c r="I3342" s="197"/>
      <c r="J3342" s="121"/>
      <c r="K3342" s="121"/>
      <c r="L3342" s="200"/>
      <c r="M3342" s="204"/>
      <c r="N3342" s="205"/>
      <c r="O3342" s="170"/>
      <c r="P3342" s="198"/>
      <c r="Q3342" s="199"/>
      <c r="R3342" s="200"/>
      <c r="S3342" s="170"/>
      <c r="T3342" s="170"/>
      <c r="U3342" s="201"/>
      <c r="V3342" s="198"/>
      <c r="W3342" s="170"/>
      <c r="X3342" s="202"/>
      <c r="Z3342" s="170"/>
      <c r="AA3342" s="198"/>
      <c r="AB3342" s="170"/>
      <c r="AC3342" s="170"/>
      <c r="AD3342" s="121"/>
      <c r="AE3342" s="121"/>
      <c r="AF3342" s="121"/>
      <c r="AG3342" s="22"/>
      <c r="AH3342" s="22"/>
      <c r="AI3342" s="22"/>
      <c r="AJ3342" s="22"/>
      <c r="AK3342" s="22"/>
      <c r="AL3342" s="22"/>
      <c r="AM3342" s="22"/>
      <c r="AN3342" s="22"/>
      <c r="AO3342" s="22"/>
      <c r="AP3342" s="22"/>
    </row>
    <row r="3343">
      <c r="A3343" s="193"/>
      <c r="B3343" s="194"/>
      <c r="C3343" s="195"/>
      <c r="D3343" s="196"/>
      <c r="E3343" s="197"/>
      <c r="F3343" s="197"/>
      <c r="G3343" s="195"/>
      <c r="H3343" s="195"/>
      <c r="I3343" s="197"/>
      <c r="J3343" s="121"/>
      <c r="K3343" s="121"/>
      <c r="L3343" s="200"/>
      <c r="M3343" s="204"/>
      <c r="N3343" s="205"/>
      <c r="O3343" s="170"/>
      <c r="P3343" s="198"/>
      <c r="Q3343" s="199"/>
      <c r="R3343" s="200"/>
      <c r="S3343" s="170"/>
      <c r="T3343" s="170"/>
      <c r="U3343" s="201"/>
      <c r="V3343" s="198"/>
      <c r="W3343" s="170"/>
      <c r="X3343" s="202"/>
      <c r="Z3343" s="170"/>
      <c r="AA3343" s="198"/>
      <c r="AB3343" s="170"/>
      <c r="AC3343" s="170"/>
      <c r="AD3343" s="121"/>
      <c r="AE3343" s="121"/>
      <c r="AF3343" s="121"/>
      <c r="AG3343" s="22"/>
      <c r="AH3343" s="22"/>
      <c r="AI3343" s="22"/>
      <c r="AJ3343" s="22"/>
      <c r="AK3343" s="22"/>
      <c r="AL3343" s="22"/>
      <c r="AM3343" s="22"/>
      <c r="AN3343" s="22"/>
      <c r="AO3343" s="22"/>
      <c r="AP3343" s="22"/>
    </row>
    <row r="3344">
      <c r="A3344" s="193"/>
      <c r="B3344" s="194"/>
      <c r="C3344" s="195"/>
      <c r="D3344" s="196"/>
      <c r="E3344" s="197"/>
      <c r="F3344" s="197"/>
      <c r="G3344" s="195"/>
      <c r="H3344" s="195"/>
      <c r="I3344" s="197"/>
      <c r="J3344" s="121"/>
      <c r="K3344" s="121"/>
      <c r="L3344" s="200"/>
      <c r="M3344" s="204"/>
      <c r="N3344" s="205"/>
      <c r="O3344" s="170"/>
      <c r="P3344" s="198"/>
      <c r="Q3344" s="199"/>
      <c r="R3344" s="200"/>
      <c r="S3344" s="170"/>
      <c r="T3344" s="170"/>
      <c r="U3344" s="201"/>
      <c r="V3344" s="198"/>
      <c r="W3344" s="170"/>
      <c r="X3344" s="202"/>
      <c r="Z3344" s="170"/>
      <c r="AA3344" s="198"/>
      <c r="AB3344" s="170"/>
      <c r="AC3344" s="170"/>
      <c r="AD3344" s="121"/>
      <c r="AE3344" s="121"/>
      <c r="AF3344" s="121"/>
      <c r="AG3344" s="22"/>
      <c r="AH3344" s="22"/>
      <c r="AI3344" s="22"/>
      <c r="AJ3344" s="22"/>
      <c r="AK3344" s="22"/>
      <c r="AL3344" s="22"/>
      <c r="AM3344" s="22"/>
      <c r="AN3344" s="22"/>
      <c r="AO3344" s="22"/>
      <c r="AP3344" s="22"/>
    </row>
    <row r="3345">
      <c r="A3345" s="193"/>
      <c r="B3345" s="194"/>
      <c r="C3345" s="195"/>
      <c r="D3345" s="196"/>
      <c r="E3345" s="197"/>
      <c r="F3345" s="197"/>
      <c r="G3345" s="195"/>
      <c r="H3345" s="195"/>
      <c r="I3345" s="197"/>
      <c r="J3345" s="121"/>
      <c r="K3345" s="121"/>
      <c r="L3345" s="200"/>
      <c r="M3345" s="204"/>
      <c r="N3345" s="205"/>
      <c r="O3345" s="170"/>
      <c r="P3345" s="198"/>
      <c r="Q3345" s="199"/>
      <c r="R3345" s="200"/>
      <c r="S3345" s="170"/>
      <c r="T3345" s="170"/>
      <c r="U3345" s="201"/>
      <c r="V3345" s="198"/>
      <c r="W3345" s="170"/>
      <c r="X3345" s="202"/>
      <c r="Z3345" s="170"/>
      <c r="AA3345" s="198"/>
      <c r="AB3345" s="170"/>
      <c r="AC3345" s="170"/>
      <c r="AD3345" s="121"/>
      <c r="AE3345" s="121"/>
      <c r="AF3345" s="121"/>
      <c r="AG3345" s="22"/>
      <c r="AH3345" s="22"/>
      <c r="AI3345" s="22"/>
      <c r="AJ3345" s="22"/>
      <c r="AK3345" s="22"/>
      <c r="AL3345" s="22"/>
      <c r="AM3345" s="22"/>
      <c r="AN3345" s="22"/>
      <c r="AO3345" s="22"/>
      <c r="AP3345" s="22"/>
    </row>
    <row r="3346">
      <c r="A3346" s="193"/>
      <c r="B3346" s="194"/>
      <c r="C3346" s="195"/>
      <c r="D3346" s="196"/>
      <c r="E3346" s="197"/>
      <c r="F3346" s="197"/>
      <c r="G3346" s="195"/>
      <c r="H3346" s="195"/>
      <c r="I3346" s="197"/>
      <c r="J3346" s="121"/>
      <c r="K3346" s="121"/>
      <c r="L3346" s="200"/>
      <c r="M3346" s="204"/>
      <c r="N3346" s="205"/>
      <c r="O3346" s="170"/>
      <c r="P3346" s="198"/>
      <c r="Q3346" s="199"/>
      <c r="R3346" s="200"/>
      <c r="S3346" s="170"/>
      <c r="T3346" s="170"/>
      <c r="U3346" s="201"/>
      <c r="V3346" s="198"/>
      <c r="W3346" s="170"/>
      <c r="X3346" s="202"/>
      <c r="Z3346" s="170"/>
      <c r="AA3346" s="198"/>
      <c r="AB3346" s="170"/>
      <c r="AC3346" s="170"/>
      <c r="AD3346" s="121"/>
      <c r="AE3346" s="121"/>
      <c r="AF3346" s="121"/>
      <c r="AG3346" s="22"/>
      <c r="AH3346" s="22"/>
      <c r="AI3346" s="22"/>
      <c r="AJ3346" s="22"/>
      <c r="AK3346" s="22"/>
      <c r="AL3346" s="22"/>
      <c r="AM3346" s="22"/>
      <c r="AN3346" s="22"/>
      <c r="AO3346" s="22"/>
      <c r="AP3346" s="22"/>
    </row>
    <row r="3347">
      <c r="A3347" s="193"/>
      <c r="B3347" s="194"/>
      <c r="C3347" s="195"/>
      <c r="D3347" s="196"/>
      <c r="E3347" s="197"/>
      <c r="F3347" s="197"/>
      <c r="G3347" s="195"/>
      <c r="H3347" s="195"/>
      <c r="I3347" s="197"/>
      <c r="J3347" s="121"/>
      <c r="K3347" s="121"/>
      <c r="L3347" s="200"/>
      <c r="M3347" s="204"/>
      <c r="N3347" s="205"/>
      <c r="O3347" s="170"/>
      <c r="P3347" s="198"/>
      <c r="Q3347" s="199"/>
      <c r="R3347" s="200"/>
      <c r="S3347" s="170"/>
      <c r="T3347" s="170"/>
      <c r="U3347" s="201"/>
      <c r="V3347" s="198"/>
      <c r="W3347" s="170"/>
      <c r="X3347" s="202"/>
      <c r="Z3347" s="170"/>
      <c r="AA3347" s="198"/>
      <c r="AB3347" s="170"/>
      <c r="AC3347" s="170"/>
      <c r="AD3347" s="121"/>
      <c r="AE3347" s="121"/>
      <c r="AF3347" s="121"/>
      <c r="AG3347" s="22"/>
      <c r="AH3347" s="22"/>
      <c r="AI3347" s="22"/>
      <c r="AJ3347" s="22"/>
      <c r="AK3347" s="22"/>
      <c r="AL3347" s="22"/>
      <c r="AM3347" s="22"/>
      <c r="AN3347" s="22"/>
      <c r="AO3347" s="22"/>
      <c r="AP3347" s="22"/>
    </row>
    <row r="3348">
      <c r="A3348" s="193"/>
      <c r="B3348" s="194"/>
      <c r="C3348" s="195"/>
      <c r="D3348" s="196"/>
      <c r="E3348" s="197"/>
      <c r="F3348" s="197"/>
      <c r="G3348" s="195"/>
      <c r="H3348" s="195"/>
      <c r="I3348" s="197"/>
      <c r="J3348" s="121"/>
      <c r="K3348" s="121"/>
      <c r="L3348" s="200"/>
      <c r="M3348" s="204"/>
      <c r="N3348" s="205"/>
      <c r="O3348" s="170"/>
      <c r="P3348" s="198"/>
      <c r="Q3348" s="199"/>
      <c r="R3348" s="200"/>
      <c r="S3348" s="170"/>
      <c r="T3348" s="170"/>
      <c r="U3348" s="201"/>
      <c r="V3348" s="198"/>
      <c r="W3348" s="170"/>
      <c r="X3348" s="202"/>
      <c r="Z3348" s="170"/>
      <c r="AA3348" s="198"/>
      <c r="AB3348" s="170"/>
      <c r="AC3348" s="170"/>
      <c r="AD3348" s="121"/>
      <c r="AE3348" s="121"/>
      <c r="AF3348" s="121"/>
      <c r="AG3348" s="22"/>
      <c r="AH3348" s="22"/>
      <c r="AI3348" s="22"/>
      <c r="AJ3348" s="22"/>
      <c r="AK3348" s="22"/>
      <c r="AL3348" s="22"/>
      <c r="AM3348" s="22"/>
      <c r="AN3348" s="22"/>
      <c r="AO3348" s="22"/>
      <c r="AP3348" s="22"/>
    </row>
    <row r="3349">
      <c r="A3349" s="193"/>
      <c r="B3349" s="194"/>
      <c r="C3349" s="195"/>
      <c r="D3349" s="196"/>
      <c r="E3349" s="197"/>
      <c r="F3349" s="197"/>
      <c r="G3349" s="195"/>
      <c r="H3349" s="195"/>
      <c r="I3349" s="197"/>
      <c r="J3349" s="121"/>
      <c r="K3349" s="121"/>
      <c r="L3349" s="200"/>
      <c r="M3349" s="204"/>
      <c r="N3349" s="205"/>
      <c r="O3349" s="170"/>
      <c r="P3349" s="198"/>
      <c r="Q3349" s="199"/>
      <c r="R3349" s="200"/>
      <c r="S3349" s="170"/>
      <c r="T3349" s="170"/>
      <c r="U3349" s="201"/>
      <c r="V3349" s="198"/>
      <c r="W3349" s="170"/>
      <c r="X3349" s="202"/>
      <c r="Z3349" s="170"/>
      <c r="AA3349" s="198"/>
      <c r="AB3349" s="170"/>
      <c r="AC3349" s="170"/>
      <c r="AD3349" s="121"/>
      <c r="AE3349" s="121"/>
      <c r="AF3349" s="121"/>
      <c r="AG3349" s="22"/>
      <c r="AH3349" s="22"/>
      <c r="AI3349" s="22"/>
      <c r="AJ3349" s="22"/>
      <c r="AK3349" s="22"/>
      <c r="AL3349" s="22"/>
      <c r="AM3349" s="22"/>
      <c r="AN3349" s="22"/>
      <c r="AO3349" s="22"/>
      <c r="AP3349" s="22"/>
    </row>
    <row r="3350">
      <c r="A3350" s="193"/>
      <c r="B3350" s="194"/>
      <c r="C3350" s="195"/>
      <c r="D3350" s="196"/>
      <c r="E3350" s="197"/>
      <c r="F3350" s="197"/>
      <c r="G3350" s="195"/>
      <c r="H3350" s="195"/>
      <c r="I3350" s="197"/>
      <c r="J3350" s="121"/>
      <c r="K3350" s="121"/>
      <c r="L3350" s="200"/>
      <c r="M3350" s="204"/>
      <c r="N3350" s="205"/>
      <c r="O3350" s="170"/>
      <c r="P3350" s="198"/>
      <c r="Q3350" s="199"/>
      <c r="R3350" s="200"/>
      <c r="S3350" s="170"/>
      <c r="T3350" s="170"/>
      <c r="U3350" s="201"/>
      <c r="V3350" s="198"/>
      <c r="W3350" s="170"/>
      <c r="X3350" s="202"/>
      <c r="Z3350" s="170"/>
      <c r="AA3350" s="198"/>
      <c r="AB3350" s="170"/>
      <c r="AC3350" s="170"/>
      <c r="AD3350" s="121"/>
      <c r="AE3350" s="121"/>
      <c r="AF3350" s="121"/>
      <c r="AG3350" s="22"/>
      <c r="AH3350" s="22"/>
      <c r="AI3350" s="22"/>
      <c r="AJ3350" s="22"/>
      <c r="AK3350" s="22"/>
      <c r="AL3350" s="22"/>
      <c r="AM3350" s="22"/>
      <c r="AN3350" s="22"/>
      <c r="AO3350" s="22"/>
      <c r="AP3350" s="22"/>
    </row>
    <row r="3351">
      <c r="A3351" s="193"/>
      <c r="B3351" s="194"/>
      <c r="C3351" s="195"/>
      <c r="D3351" s="196"/>
      <c r="E3351" s="197"/>
      <c r="F3351" s="197"/>
      <c r="G3351" s="195"/>
      <c r="H3351" s="195"/>
      <c r="I3351" s="197"/>
      <c r="J3351" s="121"/>
      <c r="K3351" s="121"/>
      <c r="L3351" s="200"/>
      <c r="M3351" s="204"/>
      <c r="N3351" s="205"/>
      <c r="O3351" s="170"/>
      <c r="P3351" s="198"/>
      <c r="Q3351" s="199"/>
      <c r="R3351" s="200"/>
      <c r="S3351" s="170"/>
      <c r="T3351" s="170"/>
      <c r="U3351" s="201"/>
      <c r="V3351" s="198"/>
      <c r="W3351" s="170"/>
      <c r="X3351" s="202"/>
      <c r="Z3351" s="170"/>
      <c r="AA3351" s="198"/>
      <c r="AB3351" s="170"/>
      <c r="AC3351" s="170"/>
      <c r="AD3351" s="121"/>
      <c r="AE3351" s="121"/>
      <c r="AF3351" s="121"/>
      <c r="AG3351" s="22"/>
      <c r="AH3351" s="22"/>
      <c r="AI3351" s="22"/>
      <c r="AJ3351" s="22"/>
      <c r="AK3351" s="22"/>
      <c r="AL3351" s="22"/>
      <c r="AM3351" s="22"/>
      <c r="AN3351" s="22"/>
      <c r="AO3351" s="22"/>
      <c r="AP3351" s="22"/>
    </row>
    <row r="3352">
      <c r="A3352" s="193"/>
      <c r="B3352" s="194"/>
      <c r="C3352" s="195"/>
      <c r="D3352" s="196"/>
      <c r="E3352" s="197"/>
      <c r="F3352" s="197"/>
      <c r="G3352" s="195"/>
      <c r="H3352" s="195"/>
      <c r="I3352" s="197"/>
      <c r="J3352" s="121"/>
      <c r="K3352" s="121"/>
      <c r="L3352" s="200"/>
      <c r="M3352" s="204"/>
      <c r="N3352" s="205"/>
      <c r="O3352" s="170"/>
      <c r="P3352" s="198"/>
      <c r="Q3352" s="199"/>
      <c r="R3352" s="200"/>
      <c r="S3352" s="170"/>
      <c r="T3352" s="170"/>
      <c r="U3352" s="201"/>
      <c r="V3352" s="198"/>
      <c r="W3352" s="170"/>
      <c r="X3352" s="202"/>
      <c r="Z3352" s="170"/>
      <c r="AA3352" s="198"/>
      <c r="AB3352" s="170"/>
      <c r="AC3352" s="170"/>
      <c r="AD3352" s="121"/>
      <c r="AE3352" s="121"/>
      <c r="AF3352" s="121"/>
      <c r="AG3352" s="22"/>
      <c r="AH3352" s="22"/>
      <c r="AI3352" s="22"/>
      <c r="AJ3352" s="22"/>
      <c r="AK3352" s="22"/>
      <c r="AL3352" s="22"/>
      <c r="AM3352" s="22"/>
      <c r="AN3352" s="22"/>
      <c r="AO3352" s="22"/>
      <c r="AP3352" s="22"/>
    </row>
    <row r="3353">
      <c r="A3353" s="193"/>
      <c r="B3353" s="194"/>
      <c r="C3353" s="195"/>
      <c r="D3353" s="196"/>
      <c r="E3353" s="197"/>
      <c r="F3353" s="197"/>
      <c r="G3353" s="195"/>
      <c r="H3353" s="195"/>
      <c r="I3353" s="197"/>
      <c r="J3353" s="121"/>
      <c r="K3353" s="121"/>
      <c r="L3353" s="200"/>
      <c r="M3353" s="204"/>
      <c r="N3353" s="205"/>
      <c r="O3353" s="170"/>
      <c r="P3353" s="198"/>
      <c r="Q3353" s="199"/>
      <c r="R3353" s="200"/>
      <c r="S3353" s="170"/>
      <c r="T3353" s="170"/>
      <c r="U3353" s="201"/>
      <c r="V3353" s="198"/>
      <c r="W3353" s="170"/>
      <c r="X3353" s="202"/>
      <c r="Z3353" s="170"/>
      <c r="AA3353" s="198"/>
      <c r="AB3353" s="170"/>
      <c r="AC3353" s="170"/>
      <c r="AD3353" s="121"/>
      <c r="AE3353" s="121"/>
      <c r="AF3353" s="121"/>
      <c r="AG3353" s="22"/>
      <c r="AH3353" s="22"/>
      <c r="AI3353" s="22"/>
      <c r="AJ3353" s="22"/>
      <c r="AK3353" s="22"/>
      <c r="AL3353" s="22"/>
      <c r="AM3353" s="22"/>
      <c r="AN3353" s="22"/>
      <c r="AO3353" s="22"/>
      <c r="AP3353" s="22"/>
    </row>
    <row r="3354">
      <c r="A3354" s="193"/>
      <c r="B3354" s="194"/>
      <c r="C3354" s="195"/>
      <c r="D3354" s="196"/>
      <c r="E3354" s="197"/>
      <c r="F3354" s="197"/>
      <c r="G3354" s="195"/>
      <c r="H3354" s="195"/>
      <c r="I3354" s="197"/>
      <c r="J3354" s="121"/>
      <c r="K3354" s="121"/>
      <c r="L3354" s="200"/>
      <c r="M3354" s="204"/>
      <c r="N3354" s="205"/>
      <c r="O3354" s="170"/>
      <c r="P3354" s="198"/>
      <c r="Q3354" s="199"/>
      <c r="R3354" s="200"/>
      <c r="S3354" s="170"/>
      <c r="T3354" s="170"/>
      <c r="U3354" s="201"/>
      <c r="V3354" s="198"/>
      <c r="W3354" s="170"/>
      <c r="X3354" s="202"/>
      <c r="Z3354" s="170"/>
      <c r="AA3354" s="198"/>
      <c r="AB3354" s="170"/>
      <c r="AC3354" s="170"/>
      <c r="AD3354" s="121"/>
      <c r="AE3354" s="121"/>
      <c r="AF3354" s="121"/>
      <c r="AG3354" s="22"/>
      <c r="AH3354" s="22"/>
      <c r="AI3354" s="22"/>
      <c r="AJ3354" s="22"/>
      <c r="AK3354" s="22"/>
      <c r="AL3354" s="22"/>
      <c r="AM3354" s="22"/>
      <c r="AN3354" s="22"/>
      <c r="AO3354" s="22"/>
      <c r="AP3354" s="22"/>
    </row>
    <row r="3355">
      <c r="A3355" s="193"/>
      <c r="B3355" s="194"/>
      <c r="C3355" s="195"/>
      <c r="D3355" s="196"/>
      <c r="E3355" s="197"/>
      <c r="F3355" s="197"/>
      <c r="G3355" s="195"/>
      <c r="H3355" s="195"/>
      <c r="I3355" s="197"/>
      <c r="J3355" s="121"/>
      <c r="K3355" s="121"/>
      <c r="L3355" s="200"/>
      <c r="M3355" s="204"/>
      <c r="N3355" s="205"/>
      <c r="O3355" s="170"/>
      <c r="P3355" s="198"/>
      <c r="Q3355" s="199"/>
      <c r="R3355" s="200"/>
      <c r="S3355" s="170"/>
      <c r="T3355" s="170"/>
      <c r="U3355" s="201"/>
      <c r="V3355" s="198"/>
      <c r="W3355" s="170"/>
      <c r="X3355" s="202"/>
      <c r="Z3355" s="170"/>
      <c r="AA3355" s="198"/>
      <c r="AB3355" s="170"/>
      <c r="AC3355" s="170"/>
      <c r="AD3355" s="121"/>
      <c r="AE3355" s="121"/>
      <c r="AF3355" s="121"/>
      <c r="AG3355" s="22"/>
      <c r="AH3355" s="22"/>
      <c r="AI3355" s="22"/>
      <c r="AJ3355" s="22"/>
      <c r="AK3355" s="22"/>
      <c r="AL3355" s="22"/>
      <c r="AM3355" s="22"/>
      <c r="AN3355" s="22"/>
      <c r="AO3355" s="22"/>
      <c r="AP3355" s="22"/>
    </row>
    <row r="3356">
      <c r="A3356" s="193"/>
      <c r="B3356" s="194"/>
      <c r="C3356" s="195"/>
      <c r="D3356" s="196"/>
      <c r="E3356" s="197"/>
      <c r="F3356" s="197"/>
      <c r="G3356" s="195"/>
      <c r="H3356" s="195"/>
      <c r="I3356" s="197"/>
      <c r="J3356" s="121"/>
      <c r="K3356" s="121"/>
      <c r="L3356" s="200"/>
      <c r="M3356" s="204"/>
      <c r="N3356" s="205"/>
      <c r="O3356" s="170"/>
      <c r="P3356" s="198"/>
      <c r="Q3356" s="199"/>
      <c r="R3356" s="200"/>
      <c r="S3356" s="170"/>
      <c r="T3356" s="170"/>
      <c r="U3356" s="201"/>
      <c r="V3356" s="198"/>
      <c r="W3356" s="170"/>
      <c r="X3356" s="202"/>
      <c r="Z3356" s="170"/>
      <c r="AA3356" s="198"/>
      <c r="AB3356" s="170"/>
      <c r="AC3356" s="170"/>
      <c r="AD3356" s="121"/>
      <c r="AE3356" s="121"/>
      <c r="AF3356" s="121"/>
      <c r="AG3356" s="22"/>
      <c r="AH3356" s="22"/>
      <c r="AI3356" s="22"/>
      <c r="AJ3356" s="22"/>
      <c r="AK3356" s="22"/>
      <c r="AL3356" s="22"/>
      <c r="AM3356" s="22"/>
      <c r="AN3356" s="22"/>
      <c r="AO3356" s="22"/>
      <c r="AP3356" s="22"/>
    </row>
    <row r="3357">
      <c r="A3357" s="193"/>
      <c r="B3357" s="194"/>
      <c r="C3357" s="195"/>
      <c r="D3357" s="196"/>
      <c r="E3357" s="197"/>
      <c r="F3357" s="197"/>
      <c r="G3357" s="195"/>
      <c r="H3357" s="195"/>
      <c r="I3357" s="197"/>
      <c r="J3357" s="121"/>
      <c r="K3357" s="121"/>
      <c r="L3357" s="200"/>
      <c r="M3357" s="204"/>
      <c r="N3357" s="205"/>
      <c r="O3357" s="170"/>
      <c r="P3357" s="198"/>
      <c r="Q3357" s="199"/>
      <c r="R3357" s="200"/>
      <c r="S3357" s="170"/>
      <c r="T3357" s="170"/>
      <c r="U3357" s="201"/>
      <c r="V3357" s="198"/>
      <c r="W3357" s="170"/>
      <c r="X3357" s="202"/>
      <c r="Z3357" s="170"/>
      <c r="AA3357" s="198"/>
      <c r="AB3357" s="170"/>
      <c r="AC3357" s="170"/>
      <c r="AD3357" s="121"/>
      <c r="AE3357" s="121"/>
      <c r="AF3357" s="121"/>
      <c r="AG3357" s="22"/>
      <c r="AH3357" s="22"/>
      <c r="AI3357" s="22"/>
      <c r="AJ3357" s="22"/>
      <c r="AK3357" s="22"/>
      <c r="AL3357" s="22"/>
      <c r="AM3357" s="22"/>
      <c r="AN3357" s="22"/>
      <c r="AO3357" s="22"/>
      <c r="AP3357" s="22"/>
    </row>
    <row r="3358">
      <c r="A3358" s="193"/>
      <c r="B3358" s="194"/>
      <c r="C3358" s="195"/>
      <c r="D3358" s="196"/>
      <c r="E3358" s="197"/>
      <c r="F3358" s="197"/>
      <c r="G3358" s="195"/>
      <c r="H3358" s="195"/>
      <c r="I3358" s="197"/>
      <c r="J3358" s="121"/>
      <c r="K3358" s="121"/>
      <c r="L3358" s="200"/>
      <c r="M3358" s="204"/>
      <c r="N3358" s="205"/>
      <c r="O3358" s="170"/>
      <c r="P3358" s="198"/>
      <c r="Q3358" s="199"/>
      <c r="R3358" s="200"/>
      <c r="S3358" s="170"/>
      <c r="T3358" s="170"/>
      <c r="U3358" s="201"/>
      <c r="V3358" s="198"/>
      <c r="W3358" s="170"/>
      <c r="X3358" s="202"/>
      <c r="Z3358" s="170"/>
      <c r="AA3358" s="198"/>
      <c r="AB3358" s="170"/>
      <c r="AC3358" s="170"/>
      <c r="AD3358" s="121"/>
      <c r="AE3358" s="121"/>
      <c r="AF3358" s="121"/>
      <c r="AG3358" s="22"/>
      <c r="AH3358" s="22"/>
      <c r="AI3358" s="22"/>
      <c r="AJ3358" s="22"/>
      <c r="AK3358" s="22"/>
      <c r="AL3358" s="22"/>
      <c r="AM3358" s="22"/>
      <c r="AN3358" s="22"/>
      <c r="AO3358" s="22"/>
      <c r="AP3358" s="22"/>
    </row>
    <row r="3359">
      <c r="A3359" s="193"/>
      <c r="B3359" s="194"/>
      <c r="C3359" s="195"/>
      <c r="D3359" s="196"/>
      <c r="E3359" s="197"/>
      <c r="F3359" s="197"/>
      <c r="G3359" s="195"/>
      <c r="H3359" s="195"/>
      <c r="I3359" s="197"/>
      <c r="J3359" s="121"/>
      <c r="K3359" s="121"/>
      <c r="L3359" s="200"/>
      <c r="M3359" s="204"/>
      <c r="N3359" s="205"/>
      <c r="O3359" s="170"/>
      <c r="P3359" s="198"/>
      <c r="Q3359" s="199"/>
      <c r="R3359" s="200"/>
      <c r="S3359" s="170"/>
      <c r="T3359" s="170"/>
      <c r="U3359" s="201"/>
      <c r="V3359" s="198"/>
      <c r="W3359" s="170"/>
      <c r="X3359" s="202"/>
      <c r="Z3359" s="170"/>
      <c r="AA3359" s="198"/>
      <c r="AB3359" s="170"/>
      <c r="AC3359" s="170"/>
      <c r="AD3359" s="121"/>
      <c r="AE3359" s="121"/>
      <c r="AF3359" s="121"/>
      <c r="AG3359" s="22"/>
      <c r="AH3359" s="22"/>
      <c r="AI3359" s="22"/>
      <c r="AJ3359" s="22"/>
      <c r="AK3359" s="22"/>
      <c r="AL3359" s="22"/>
      <c r="AM3359" s="22"/>
      <c r="AN3359" s="22"/>
      <c r="AO3359" s="22"/>
      <c r="AP3359" s="22"/>
    </row>
    <row r="3360">
      <c r="A3360" s="193"/>
      <c r="B3360" s="194"/>
      <c r="C3360" s="195"/>
      <c r="D3360" s="196"/>
      <c r="E3360" s="197"/>
      <c r="F3360" s="197"/>
      <c r="G3360" s="195"/>
      <c r="H3360" s="195"/>
      <c r="I3360" s="197"/>
      <c r="J3360" s="121"/>
      <c r="K3360" s="121"/>
      <c r="L3360" s="200"/>
      <c r="M3360" s="204"/>
      <c r="N3360" s="205"/>
      <c r="O3360" s="170"/>
      <c r="P3360" s="198"/>
      <c r="Q3360" s="199"/>
      <c r="R3360" s="200"/>
      <c r="S3360" s="170"/>
      <c r="T3360" s="170"/>
      <c r="U3360" s="201"/>
      <c r="V3360" s="198"/>
      <c r="W3360" s="170"/>
      <c r="X3360" s="202"/>
      <c r="Z3360" s="170"/>
      <c r="AA3360" s="198"/>
      <c r="AB3360" s="170"/>
      <c r="AC3360" s="170"/>
      <c r="AD3360" s="121"/>
      <c r="AE3360" s="121"/>
      <c r="AF3360" s="121"/>
      <c r="AG3360" s="22"/>
      <c r="AH3360" s="22"/>
      <c r="AI3360" s="22"/>
      <c r="AJ3360" s="22"/>
      <c r="AK3360" s="22"/>
      <c r="AL3360" s="22"/>
      <c r="AM3360" s="22"/>
      <c r="AN3360" s="22"/>
      <c r="AO3360" s="22"/>
      <c r="AP3360" s="22"/>
    </row>
    <row r="3361">
      <c r="A3361" s="193"/>
      <c r="B3361" s="194"/>
      <c r="C3361" s="195"/>
      <c r="D3361" s="196"/>
      <c r="E3361" s="197"/>
      <c r="F3361" s="197"/>
      <c r="G3361" s="195"/>
      <c r="H3361" s="195"/>
      <c r="I3361" s="197"/>
      <c r="J3361" s="121"/>
      <c r="K3361" s="121"/>
      <c r="L3361" s="200"/>
      <c r="M3361" s="204"/>
      <c r="N3361" s="205"/>
      <c r="O3361" s="170"/>
      <c r="P3361" s="198"/>
      <c r="Q3361" s="199"/>
      <c r="R3361" s="200"/>
      <c r="S3361" s="170"/>
      <c r="T3361" s="170"/>
      <c r="U3361" s="201"/>
      <c r="V3361" s="198"/>
      <c r="W3361" s="170"/>
      <c r="X3361" s="202"/>
      <c r="Z3361" s="170"/>
      <c r="AA3361" s="198"/>
      <c r="AB3361" s="170"/>
      <c r="AC3361" s="170"/>
      <c r="AD3361" s="121"/>
      <c r="AE3361" s="121"/>
      <c r="AF3361" s="121"/>
      <c r="AG3361" s="22"/>
      <c r="AH3361" s="22"/>
      <c r="AI3361" s="22"/>
      <c r="AJ3361" s="22"/>
      <c r="AK3361" s="22"/>
      <c r="AL3361" s="22"/>
      <c r="AM3361" s="22"/>
      <c r="AN3361" s="22"/>
      <c r="AO3361" s="22"/>
      <c r="AP3361" s="22"/>
    </row>
    <row r="3362">
      <c r="A3362" s="193"/>
      <c r="B3362" s="194"/>
      <c r="C3362" s="195"/>
      <c r="D3362" s="196"/>
      <c r="E3362" s="197"/>
      <c r="F3362" s="197"/>
      <c r="G3362" s="195"/>
      <c r="H3362" s="195"/>
      <c r="I3362" s="197"/>
      <c r="J3362" s="121"/>
      <c r="K3362" s="121"/>
      <c r="L3362" s="200"/>
      <c r="M3362" s="204"/>
      <c r="N3362" s="205"/>
      <c r="O3362" s="170"/>
      <c r="P3362" s="198"/>
      <c r="Q3362" s="199"/>
      <c r="R3362" s="200"/>
      <c r="S3362" s="170"/>
      <c r="T3362" s="170"/>
      <c r="U3362" s="201"/>
      <c r="V3362" s="198"/>
      <c r="W3362" s="170"/>
      <c r="X3362" s="202"/>
      <c r="Z3362" s="170"/>
      <c r="AA3362" s="198"/>
      <c r="AB3362" s="170"/>
      <c r="AC3362" s="170"/>
      <c r="AD3362" s="121"/>
      <c r="AE3362" s="121"/>
      <c r="AF3362" s="121"/>
      <c r="AG3362" s="22"/>
      <c r="AH3362" s="22"/>
      <c r="AI3362" s="22"/>
      <c r="AJ3362" s="22"/>
      <c r="AK3362" s="22"/>
      <c r="AL3362" s="22"/>
      <c r="AM3362" s="22"/>
      <c r="AN3362" s="22"/>
      <c r="AO3362" s="22"/>
      <c r="AP3362" s="22"/>
    </row>
    <row r="3363">
      <c r="A3363" s="193"/>
      <c r="B3363" s="194"/>
      <c r="C3363" s="195"/>
      <c r="D3363" s="196"/>
      <c r="E3363" s="197"/>
      <c r="F3363" s="197"/>
      <c r="G3363" s="195"/>
      <c r="H3363" s="195"/>
      <c r="I3363" s="197"/>
      <c r="J3363" s="121"/>
      <c r="K3363" s="121"/>
      <c r="L3363" s="200"/>
      <c r="M3363" s="204"/>
      <c r="N3363" s="205"/>
      <c r="O3363" s="170"/>
      <c r="P3363" s="198"/>
      <c r="Q3363" s="199"/>
      <c r="R3363" s="200"/>
      <c r="S3363" s="170"/>
      <c r="T3363" s="170"/>
      <c r="U3363" s="201"/>
      <c r="V3363" s="198"/>
      <c r="W3363" s="170"/>
      <c r="X3363" s="202"/>
      <c r="Z3363" s="170"/>
      <c r="AA3363" s="198"/>
      <c r="AB3363" s="170"/>
      <c r="AC3363" s="170"/>
      <c r="AD3363" s="121"/>
      <c r="AE3363" s="121"/>
      <c r="AF3363" s="121"/>
      <c r="AG3363" s="22"/>
      <c r="AH3363" s="22"/>
      <c r="AI3363" s="22"/>
      <c r="AJ3363" s="22"/>
      <c r="AK3363" s="22"/>
      <c r="AL3363" s="22"/>
      <c r="AM3363" s="22"/>
      <c r="AN3363" s="22"/>
      <c r="AO3363" s="22"/>
      <c r="AP3363" s="22"/>
    </row>
    <row r="3364">
      <c r="A3364" s="193"/>
      <c r="B3364" s="194"/>
      <c r="C3364" s="195"/>
      <c r="D3364" s="196"/>
      <c r="E3364" s="197"/>
      <c r="F3364" s="197"/>
      <c r="G3364" s="195"/>
      <c r="H3364" s="195"/>
      <c r="I3364" s="197"/>
      <c r="J3364" s="121"/>
      <c r="K3364" s="121"/>
      <c r="L3364" s="200"/>
      <c r="M3364" s="204"/>
      <c r="N3364" s="205"/>
      <c r="O3364" s="170"/>
      <c r="P3364" s="198"/>
      <c r="Q3364" s="199"/>
      <c r="R3364" s="200"/>
      <c r="S3364" s="170"/>
      <c r="T3364" s="170"/>
      <c r="U3364" s="201"/>
      <c r="V3364" s="198"/>
      <c r="W3364" s="170"/>
      <c r="X3364" s="202"/>
      <c r="Z3364" s="170"/>
      <c r="AA3364" s="198"/>
      <c r="AB3364" s="170"/>
      <c r="AC3364" s="170"/>
      <c r="AD3364" s="121"/>
      <c r="AE3364" s="121"/>
      <c r="AF3364" s="121"/>
      <c r="AG3364" s="22"/>
      <c r="AH3364" s="22"/>
      <c r="AI3364" s="22"/>
      <c r="AJ3364" s="22"/>
      <c r="AK3364" s="22"/>
      <c r="AL3364" s="22"/>
      <c r="AM3364" s="22"/>
      <c r="AN3364" s="22"/>
      <c r="AO3364" s="22"/>
      <c r="AP3364" s="22"/>
    </row>
    <row r="3365">
      <c r="A3365" s="193"/>
      <c r="B3365" s="194"/>
      <c r="C3365" s="195"/>
      <c r="D3365" s="196"/>
      <c r="E3365" s="197"/>
      <c r="F3365" s="197"/>
      <c r="G3365" s="195"/>
      <c r="H3365" s="195"/>
      <c r="I3365" s="197"/>
      <c r="J3365" s="121"/>
      <c r="K3365" s="121"/>
      <c r="L3365" s="200"/>
      <c r="M3365" s="204"/>
      <c r="N3365" s="205"/>
      <c r="O3365" s="170"/>
      <c r="P3365" s="198"/>
      <c r="Q3365" s="199"/>
      <c r="R3365" s="200"/>
      <c r="S3365" s="170"/>
      <c r="T3365" s="170"/>
      <c r="U3365" s="201"/>
      <c r="V3365" s="198"/>
      <c r="W3365" s="170"/>
      <c r="X3365" s="202"/>
      <c r="Z3365" s="170"/>
      <c r="AA3365" s="198"/>
      <c r="AB3365" s="170"/>
      <c r="AC3365" s="170"/>
      <c r="AD3365" s="121"/>
      <c r="AE3365" s="121"/>
      <c r="AF3365" s="121"/>
      <c r="AG3365" s="22"/>
      <c r="AH3365" s="22"/>
      <c r="AI3365" s="22"/>
      <c r="AJ3365" s="22"/>
      <c r="AK3365" s="22"/>
      <c r="AL3365" s="22"/>
      <c r="AM3365" s="22"/>
      <c r="AN3365" s="22"/>
      <c r="AO3365" s="22"/>
      <c r="AP3365" s="22"/>
    </row>
    <row r="3366">
      <c r="A3366" s="193"/>
      <c r="B3366" s="194"/>
      <c r="C3366" s="195"/>
      <c r="D3366" s="196"/>
      <c r="E3366" s="197"/>
      <c r="F3366" s="197"/>
      <c r="G3366" s="195"/>
      <c r="H3366" s="195"/>
      <c r="I3366" s="197"/>
      <c r="J3366" s="121"/>
      <c r="K3366" s="121"/>
      <c r="L3366" s="200"/>
      <c r="M3366" s="204"/>
      <c r="N3366" s="205"/>
      <c r="O3366" s="170"/>
      <c r="P3366" s="198"/>
      <c r="Q3366" s="199"/>
      <c r="R3366" s="200"/>
      <c r="S3366" s="170"/>
      <c r="T3366" s="170"/>
      <c r="U3366" s="201"/>
      <c r="V3366" s="198"/>
      <c r="W3366" s="170"/>
      <c r="X3366" s="202"/>
      <c r="Z3366" s="170"/>
      <c r="AA3366" s="198"/>
      <c r="AB3366" s="170"/>
      <c r="AC3366" s="170"/>
      <c r="AD3366" s="121"/>
      <c r="AE3366" s="121"/>
      <c r="AF3366" s="121"/>
      <c r="AG3366" s="22"/>
      <c r="AH3366" s="22"/>
      <c r="AI3366" s="22"/>
      <c r="AJ3366" s="22"/>
      <c r="AK3366" s="22"/>
      <c r="AL3366" s="22"/>
      <c r="AM3366" s="22"/>
      <c r="AN3366" s="22"/>
      <c r="AO3366" s="22"/>
      <c r="AP3366" s="22"/>
    </row>
    <row r="3367">
      <c r="A3367" s="193"/>
      <c r="B3367" s="194"/>
      <c r="C3367" s="195"/>
      <c r="D3367" s="196"/>
      <c r="E3367" s="197"/>
      <c r="F3367" s="197"/>
      <c r="G3367" s="195"/>
      <c r="H3367" s="195"/>
      <c r="I3367" s="197"/>
      <c r="J3367" s="121"/>
      <c r="K3367" s="121"/>
      <c r="L3367" s="200"/>
      <c r="M3367" s="204"/>
      <c r="N3367" s="205"/>
      <c r="O3367" s="170"/>
      <c r="P3367" s="198"/>
      <c r="Q3367" s="199"/>
      <c r="R3367" s="200"/>
      <c r="S3367" s="170"/>
      <c r="T3367" s="170"/>
      <c r="U3367" s="201"/>
      <c r="V3367" s="198"/>
      <c r="W3367" s="170"/>
      <c r="X3367" s="202"/>
      <c r="Z3367" s="170"/>
      <c r="AA3367" s="198"/>
      <c r="AB3367" s="170"/>
      <c r="AC3367" s="170"/>
      <c r="AD3367" s="121"/>
      <c r="AE3367" s="121"/>
      <c r="AF3367" s="121"/>
      <c r="AG3367" s="22"/>
      <c r="AH3367" s="22"/>
      <c r="AI3367" s="22"/>
      <c r="AJ3367" s="22"/>
      <c r="AK3367" s="22"/>
      <c r="AL3367" s="22"/>
      <c r="AM3367" s="22"/>
      <c r="AN3367" s="22"/>
      <c r="AO3367" s="22"/>
      <c r="AP3367" s="22"/>
    </row>
    <row r="3368">
      <c r="A3368" s="193"/>
      <c r="B3368" s="194"/>
      <c r="C3368" s="195"/>
      <c r="D3368" s="196"/>
      <c r="E3368" s="197"/>
      <c r="F3368" s="197"/>
      <c r="G3368" s="195"/>
      <c r="H3368" s="195"/>
      <c r="I3368" s="197"/>
      <c r="J3368" s="121"/>
      <c r="K3368" s="121"/>
      <c r="L3368" s="200"/>
      <c r="M3368" s="204"/>
      <c r="N3368" s="205"/>
      <c r="O3368" s="170"/>
      <c r="P3368" s="198"/>
      <c r="Q3368" s="199"/>
      <c r="R3368" s="200"/>
      <c r="S3368" s="170"/>
      <c r="T3368" s="170"/>
      <c r="U3368" s="201"/>
      <c r="V3368" s="198"/>
      <c r="W3368" s="170"/>
      <c r="X3368" s="202"/>
      <c r="Z3368" s="170"/>
      <c r="AA3368" s="198"/>
      <c r="AB3368" s="170"/>
      <c r="AC3368" s="170"/>
      <c r="AD3368" s="121"/>
      <c r="AE3368" s="121"/>
      <c r="AF3368" s="121"/>
      <c r="AG3368" s="22"/>
      <c r="AH3368" s="22"/>
      <c r="AI3368" s="22"/>
      <c r="AJ3368" s="22"/>
      <c r="AK3368" s="22"/>
      <c r="AL3368" s="22"/>
      <c r="AM3368" s="22"/>
      <c r="AN3368" s="22"/>
      <c r="AO3368" s="22"/>
      <c r="AP3368" s="22"/>
    </row>
    <row r="3369">
      <c r="A3369" s="193"/>
      <c r="B3369" s="194"/>
      <c r="C3369" s="195"/>
      <c r="D3369" s="196"/>
      <c r="E3369" s="197"/>
      <c r="F3369" s="197"/>
      <c r="G3369" s="195"/>
      <c r="H3369" s="195"/>
      <c r="I3369" s="197"/>
      <c r="J3369" s="121"/>
      <c r="K3369" s="121"/>
      <c r="L3369" s="200"/>
      <c r="M3369" s="204"/>
      <c r="N3369" s="205"/>
      <c r="O3369" s="170"/>
      <c r="P3369" s="198"/>
      <c r="Q3369" s="199"/>
      <c r="R3369" s="200"/>
      <c r="S3369" s="170"/>
      <c r="T3369" s="170"/>
      <c r="U3369" s="201"/>
      <c r="V3369" s="198"/>
      <c r="W3369" s="170"/>
      <c r="X3369" s="202"/>
      <c r="Z3369" s="170"/>
      <c r="AA3369" s="198"/>
      <c r="AB3369" s="170"/>
      <c r="AC3369" s="170"/>
      <c r="AD3369" s="121"/>
      <c r="AE3369" s="121"/>
      <c r="AF3369" s="121"/>
      <c r="AG3369" s="22"/>
      <c r="AH3369" s="22"/>
      <c r="AI3369" s="22"/>
      <c r="AJ3369" s="22"/>
      <c r="AK3369" s="22"/>
      <c r="AL3369" s="22"/>
      <c r="AM3369" s="22"/>
      <c r="AN3369" s="22"/>
      <c r="AO3369" s="22"/>
      <c r="AP3369" s="22"/>
    </row>
    <row r="3370">
      <c r="A3370" s="193"/>
      <c r="B3370" s="194"/>
      <c r="C3370" s="195"/>
      <c r="D3370" s="196"/>
      <c r="E3370" s="197"/>
      <c r="F3370" s="197"/>
      <c r="G3370" s="195"/>
      <c r="H3370" s="195"/>
      <c r="I3370" s="197"/>
      <c r="J3370" s="121"/>
      <c r="K3370" s="121"/>
      <c r="L3370" s="200"/>
      <c r="M3370" s="204"/>
      <c r="N3370" s="205"/>
      <c r="O3370" s="170"/>
      <c r="P3370" s="198"/>
      <c r="Q3370" s="199"/>
      <c r="R3370" s="200"/>
      <c r="S3370" s="170"/>
      <c r="T3370" s="170"/>
      <c r="U3370" s="201"/>
      <c r="V3370" s="198"/>
      <c r="W3370" s="170"/>
      <c r="X3370" s="202"/>
      <c r="Z3370" s="170"/>
      <c r="AA3370" s="198"/>
      <c r="AB3370" s="170"/>
      <c r="AC3370" s="170"/>
      <c r="AD3370" s="121"/>
      <c r="AE3370" s="121"/>
      <c r="AF3370" s="121"/>
      <c r="AG3370" s="22"/>
      <c r="AH3370" s="22"/>
      <c r="AI3370" s="22"/>
      <c r="AJ3370" s="22"/>
      <c r="AK3370" s="22"/>
      <c r="AL3370" s="22"/>
      <c r="AM3370" s="22"/>
      <c r="AN3370" s="22"/>
      <c r="AO3370" s="22"/>
      <c r="AP3370" s="22"/>
    </row>
    <row r="3371">
      <c r="A3371" s="193"/>
      <c r="B3371" s="194"/>
      <c r="C3371" s="195"/>
      <c r="D3371" s="196"/>
      <c r="E3371" s="197"/>
      <c r="F3371" s="197"/>
      <c r="G3371" s="195"/>
      <c r="H3371" s="195"/>
      <c r="I3371" s="197"/>
      <c r="J3371" s="121"/>
      <c r="K3371" s="121"/>
      <c r="L3371" s="200"/>
      <c r="M3371" s="204"/>
      <c r="N3371" s="205"/>
      <c r="O3371" s="170"/>
      <c r="P3371" s="198"/>
      <c r="Q3371" s="199"/>
      <c r="R3371" s="200"/>
      <c r="S3371" s="170"/>
      <c r="T3371" s="170"/>
      <c r="U3371" s="201"/>
      <c r="V3371" s="198"/>
      <c r="W3371" s="170"/>
      <c r="X3371" s="202"/>
      <c r="Z3371" s="170"/>
      <c r="AA3371" s="198"/>
      <c r="AB3371" s="170"/>
      <c r="AC3371" s="170"/>
      <c r="AD3371" s="121"/>
      <c r="AE3371" s="121"/>
      <c r="AF3371" s="121"/>
      <c r="AG3371" s="22"/>
      <c r="AH3371" s="22"/>
      <c r="AI3371" s="22"/>
      <c r="AJ3371" s="22"/>
      <c r="AK3371" s="22"/>
      <c r="AL3371" s="22"/>
      <c r="AM3371" s="22"/>
      <c r="AN3371" s="22"/>
      <c r="AO3371" s="22"/>
      <c r="AP3371" s="22"/>
    </row>
    <row r="3372">
      <c r="A3372" s="193"/>
      <c r="B3372" s="194"/>
      <c r="C3372" s="195"/>
      <c r="D3372" s="196"/>
      <c r="E3372" s="197"/>
      <c r="F3372" s="197"/>
      <c r="G3372" s="195"/>
      <c r="H3372" s="195"/>
      <c r="I3372" s="197"/>
      <c r="J3372" s="121"/>
      <c r="K3372" s="121"/>
      <c r="L3372" s="200"/>
      <c r="M3372" s="204"/>
      <c r="N3372" s="205"/>
      <c r="O3372" s="170"/>
      <c r="P3372" s="198"/>
      <c r="Q3372" s="199"/>
      <c r="R3372" s="200"/>
      <c r="S3372" s="170"/>
      <c r="T3372" s="170"/>
      <c r="U3372" s="201"/>
      <c r="V3372" s="198"/>
      <c r="W3372" s="170"/>
      <c r="X3372" s="202"/>
      <c r="Z3372" s="170"/>
      <c r="AA3372" s="198"/>
      <c r="AB3372" s="170"/>
      <c r="AC3372" s="170"/>
      <c r="AD3372" s="121"/>
      <c r="AE3372" s="121"/>
      <c r="AF3372" s="121"/>
      <c r="AG3372" s="22"/>
      <c r="AH3372" s="22"/>
      <c r="AI3372" s="22"/>
      <c r="AJ3372" s="22"/>
      <c r="AK3372" s="22"/>
      <c r="AL3372" s="22"/>
      <c r="AM3372" s="22"/>
      <c r="AN3372" s="22"/>
      <c r="AO3372" s="22"/>
      <c r="AP3372" s="22"/>
    </row>
    <row r="3373">
      <c r="A3373" s="193"/>
      <c r="B3373" s="194"/>
      <c r="C3373" s="195"/>
      <c r="D3373" s="196"/>
      <c r="E3373" s="197"/>
      <c r="F3373" s="197"/>
      <c r="G3373" s="195"/>
      <c r="H3373" s="195"/>
      <c r="I3373" s="197"/>
      <c r="J3373" s="121"/>
      <c r="K3373" s="121"/>
      <c r="L3373" s="200"/>
      <c r="M3373" s="204"/>
      <c r="N3373" s="205"/>
      <c r="O3373" s="170"/>
      <c r="P3373" s="198"/>
      <c r="Q3373" s="199"/>
      <c r="R3373" s="200"/>
      <c r="S3373" s="170"/>
      <c r="T3373" s="170"/>
      <c r="U3373" s="201"/>
      <c r="V3373" s="198"/>
      <c r="W3373" s="170"/>
      <c r="X3373" s="202"/>
      <c r="Z3373" s="170"/>
      <c r="AA3373" s="198"/>
      <c r="AB3373" s="170"/>
      <c r="AC3373" s="170"/>
      <c r="AD3373" s="121"/>
      <c r="AE3373" s="121"/>
      <c r="AF3373" s="121"/>
      <c r="AG3373" s="22"/>
      <c r="AH3373" s="22"/>
      <c r="AI3373" s="22"/>
      <c r="AJ3373" s="22"/>
      <c r="AK3373" s="22"/>
      <c r="AL3373" s="22"/>
      <c r="AM3373" s="22"/>
      <c r="AN3373" s="22"/>
      <c r="AO3373" s="22"/>
      <c r="AP3373" s="22"/>
    </row>
    <row r="3374">
      <c r="A3374" s="193"/>
      <c r="B3374" s="194"/>
      <c r="C3374" s="195"/>
      <c r="D3374" s="196"/>
      <c r="E3374" s="197"/>
      <c r="F3374" s="197"/>
      <c r="G3374" s="195"/>
      <c r="H3374" s="195"/>
      <c r="I3374" s="197"/>
      <c r="J3374" s="121"/>
      <c r="K3374" s="121"/>
      <c r="L3374" s="200"/>
      <c r="M3374" s="204"/>
      <c r="N3374" s="205"/>
      <c r="O3374" s="170"/>
      <c r="P3374" s="198"/>
      <c r="Q3374" s="199"/>
      <c r="R3374" s="200"/>
      <c r="S3374" s="170"/>
      <c r="T3374" s="170"/>
      <c r="U3374" s="201"/>
      <c r="V3374" s="198"/>
      <c r="W3374" s="170"/>
      <c r="X3374" s="202"/>
      <c r="Z3374" s="170"/>
      <c r="AA3374" s="198"/>
      <c r="AB3374" s="170"/>
      <c r="AC3374" s="170"/>
      <c r="AD3374" s="121"/>
      <c r="AE3374" s="121"/>
      <c r="AF3374" s="121"/>
      <c r="AG3374" s="22"/>
      <c r="AH3374" s="22"/>
      <c r="AI3374" s="22"/>
      <c r="AJ3374" s="22"/>
      <c r="AK3374" s="22"/>
      <c r="AL3374" s="22"/>
      <c r="AM3374" s="22"/>
      <c r="AN3374" s="22"/>
      <c r="AO3374" s="22"/>
      <c r="AP3374" s="22"/>
    </row>
    <row r="3375">
      <c r="A3375" s="193"/>
      <c r="B3375" s="194"/>
      <c r="C3375" s="195"/>
      <c r="D3375" s="196"/>
      <c r="E3375" s="197"/>
      <c r="F3375" s="197"/>
      <c r="G3375" s="195"/>
      <c r="H3375" s="195"/>
      <c r="I3375" s="197"/>
      <c r="J3375" s="121"/>
      <c r="K3375" s="121"/>
      <c r="L3375" s="200"/>
      <c r="M3375" s="204"/>
      <c r="N3375" s="205"/>
      <c r="O3375" s="170"/>
      <c r="P3375" s="198"/>
      <c r="Q3375" s="199"/>
      <c r="R3375" s="200"/>
      <c r="S3375" s="170"/>
      <c r="T3375" s="170"/>
      <c r="U3375" s="201"/>
      <c r="V3375" s="198"/>
      <c r="W3375" s="170"/>
      <c r="X3375" s="202"/>
      <c r="Z3375" s="170"/>
      <c r="AA3375" s="198"/>
      <c r="AB3375" s="170"/>
      <c r="AC3375" s="170"/>
      <c r="AD3375" s="121"/>
      <c r="AE3375" s="121"/>
      <c r="AF3375" s="121"/>
      <c r="AG3375" s="22"/>
      <c r="AH3375" s="22"/>
      <c r="AI3375" s="22"/>
      <c r="AJ3375" s="22"/>
      <c r="AK3375" s="22"/>
      <c r="AL3375" s="22"/>
      <c r="AM3375" s="22"/>
      <c r="AN3375" s="22"/>
      <c r="AO3375" s="22"/>
      <c r="AP3375" s="22"/>
    </row>
    <row r="3376">
      <c r="A3376" s="193"/>
      <c r="B3376" s="194"/>
      <c r="C3376" s="195"/>
      <c r="D3376" s="196"/>
      <c r="E3376" s="197"/>
      <c r="F3376" s="197"/>
      <c r="G3376" s="195"/>
      <c r="H3376" s="195"/>
      <c r="I3376" s="197"/>
      <c r="J3376" s="121"/>
      <c r="K3376" s="121"/>
      <c r="L3376" s="200"/>
      <c r="M3376" s="204"/>
      <c r="N3376" s="205"/>
      <c r="O3376" s="170"/>
      <c r="P3376" s="198"/>
      <c r="Q3376" s="199"/>
      <c r="R3376" s="200"/>
      <c r="S3376" s="170"/>
      <c r="T3376" s="170"/>
      <c r="U3376" s="201"/>
      <c r="V3376" s="198"/>
      <c r="W3376" s="170"/>
      <c r="X3376" s="202"/>
      <c r="Z3376" s="170"/>
      <c r="AA3376" s="198"/>
      <c r="AB3376" s="170"/>
      <c r="AC3376" s="170"/>
      <c r="AD3376" s="121"/>
      <c r="AE3376" s="121"/>
      <c r="AF3376" s="121"/>
      <c r="AG3376" s="22"/>
      <c r="AH3376" s="22"/>
      <c r="AI3376" s="22"/>
      <c r="AJ3376" s="22"/>
      <c r="AK3376" s="22"/>
      <c r="AL3376" s="22"/>
      <c r="AM3376" s="22"/>
      <c r="AN3376" s="22"/>
      <c r="AO3376" s="22"/>
      <c r="AP3376" s="22"/>
    </row>
    <row r="3377">
      <c r="A3377" s="193"/>
      <c r="B3377" s="194"/>
      <c r="C3377" s="195"/>
      <c r="D3377" s="196"/>
      <c r="E3377" s="197"/>
      <c r="F3377" s="197"/>
      <c r="G3377" s="195"/>
      <c r="H3377" s="195"/>
      <c r="I3377" s="197"/>
      <c r="J3377" s="121"/>
      <c r="K3377" s="121"/>
      <c r="L3377" s="200"/>
      <c r="M3377" s="204"/>
      <c r="N3377" s="205"/>
      <c r="O3377" s="170"/>
      <c r="P3377" s="198"/>
      <c r="Q3377" s="199"/>
      <c r="R3377" s="200"/>
      <c r="S3377" s="170"/>
      <c r="T3377" s="170"/>
      <c r="U3377" s="201"/>
      <c r="V3377" s="198"/>
      <c r="W3377" s="170"/>
      <c r="X3377" s="202"/>
      <c r="Z3377" s="170"/>
      <c r="AA3377" s="198"/>
      <c r="AB3377" s="170"/>
      <c r="AC3377" s="170"/>
      <c r="AD3377" s="121"/>
      <c r="AE3377" s="121"/>
      <c r="AF3377" s="121"/>
      <c r="AG3377" s="22"/>
      <c r="AH3377" s="22"/>
      <c r="AI3377" s="22"/>
      <c r="AJ3377" s="22"/>
      <c r="AK3377" s="22"/>
      <c r="AL3377" s="22"/>
      <c r="AM3377" s="22"/>
      <c r="AN3377" s="22"/>
      <c r="AO3377" s="22"/>
      <c r="AP3377" s="22"/>
    </row>
    <row r="3378">
      <c r="A3378" s="193"/>
      <c r="B3378" s="194"/>
      <c r="C3378" s="195"/>
      <c r="D3378" s="196"/>
      <c r="E3378" s="197"/>
      <c r="F3378" s="197"/>
      <c r="G3378" s="195"/>
      <c r="H3378" s="195"/>
      <c r="I3378" s="197"/>
      <c r="J3378" s="121"/>
      <c r="K3378" s="121"/>
      <c r="L3378" s="200"/>
      <c r="M3378" s="204"/>
      <c r="N3378" s="205"/>
      <c r="O3378" s="170"/>
      <c r="P3378" s="198"/>
      <c r="Q3378" s="199"/>
      <c r="R3378" s="200"/>
      <c r="S3378" s="170"/>
      <c r="T3378" s="170"/>
      <c r="U3378" s="201"/>
      <c r="V3378" s="198"/>
      <c r="W3378" s="170"/>
      <c r="X3378" s="202"/>
      <c r="Z3378" s="170"/>
      <c r="AA3378" s="198"/>
      <c r="AB3378" s="170"/>
      <c r="AC3378" s="170"/>
      <c r="AD3378" s="121"/>
      <c r="AE3378" s="121"/>
      <c r="AF3378" s="121"/>
      <c r="AG3378" s="22"/>
      <c r="AH3378" s="22"/>
      <c r="AI3378" s="22"/>
      <c r="AJ3378" s="22"/>
      <c r="AK3378" s="22"/>
      <c r="AL3378" s="22"/>
      <c r="AM3378" s="22"/>
      <c r="AN3378" s="22"/>
      <c r="AO3378" s="22"/>
      <c r="AP3378" s="22"/>
    </row>
    <row r="3379">
      <c r="A3379" s="193"/>
      <c r="B3379" s="194"/>
      <c r="C3379" s="195"/>
      <c r="D3379" s="196"/>
      <c r="E3379" s="197"/>
      <c r="F3379" s="197"/>
      <c r="G3379" s="195"/>
      <c r="H3379" s="195"/>
      <c r="I3379" s="197"/>
      <c r="J3379" s="121"/>
      <c r="K3379" s="121"/>
      <c r="L3379" s="200"/>
      <c r="M3379" s="204"/>
      <c r="N3379" s="205"/>
      <c r="O3379" s="170"/>
      <c r="P3379" s="198"/>
      <c r="Q3379" s="199"/>
      <c r="R3379" s="200"/>
      <c r="S3379" s="170"/>
      <c r="T3379" s="170"/>
      <c r="U3379" s="201"/>
      <c r="V3379" s="198"/>
      <c r="W3379" s="170"/>
      <c r="X3379" s="202"/>
      <c r="Z3379" s="170"/>
      <c r="AA3379" s="198"/>
      <c r="AB3379" s="170"/>
      <c r="AC3379" s="170"/>
      <c r="AD3379" s="121"/>
      <c r="AE3379" s="121"/>
      <c r="AF3379" s="121"/>
      <c r="AG3379" s="22"/>
      <c r="AH3379" s="22"/>
      <c r="AI3379" s="22"/>
      <c r="AJ3379" s="22"/>
      <c r="AK3379" s="22"/>
      <c r="AL3379" s="22"/>
      <c r="AM3379" s="22"/>
      <c r="AN3379" s="22"/>
      <c r="AO3379" s="22"/>
      <c r="AP3379" s="22"/>
    </row>
    <row r="3380">
      <c r="A3380" s="193"/>
      <c r="B3380" s="194"/>
      <c r="C3380" s="195"/>
      <c r="D3380" s="196"/>
      <c r="E3380" s="197"/>
      <c r="F3380" s="197"/>
      <c r="G3380" s="195"/>
      <c r="H3380" s="195"/>
      <c r="I3380" s="197"/>
      <c r="J3380" s="121"/>
      <c r="K3380" s="121"/>
      <c r="L3380" s="200"/>
      <c r="M3380" s="204"/>
      <c r="N3380" s="205"/>
      <c r="O3380" s="170"/>
      <c r="P3380" s="198"/>
      <c r="Q3380" s="199"/>
      <c r="R3380" s="200"/>
      <c r="S3380" s="170"/>
      <c r="T3380" s="170"/>
      <c r="U3380" s="201"/>
      <c r="V3380" s="198"/>
      <c r="W3380" s="170"/>
      <c r="X3380" s="202"/>
      <c r="Z3380" s="170"/>
      <c r="AA3380" s="198"/>
      <c r="AB3380" s="170"/>
      <c r="AC3380" s="170"/>
      <c r="AD3380" s="121"/>
      <c r="AE3380" s="121"/>
      <c r="AF3380" s="121"/>
      <c r="AG3380" s="22"/>
      <c r="AH3380" s="22"/>
      <c r="AI3380" s="22"/>
      <c r="AJ3380" s="22"/>
      <c r="AK3380" s="22"/>
      <c r="AL3380" s="22"/>
      <c r="AM3380" s="22"/>
      <c r="AN3380" s="22"/>
      <c r="AO3380" s="22"/>
      <c r="AP3380" s="22"/>
    </row>
    <row r="3381">
      <c r="A3381" s="193"/>
      <c r="B3381" s="194"/>
      <c r="C3381" s="195"/>
      <c r="D3381" s="196"/>
      <c r="E3381" s="197"/>
      <c r="F3381" s="197"/>
      <c r="G3381" s="195"/>
      <c r="H3381" s="195"/>
      <c r="I3381" s="197"/>
      <c r="J3381" s="121"/>
      <c r="K3381" s="121"/>
      <c r="L3381" s="200"/>
      <c r="M3381" s="204"/>
      <c r="N3381" s="205"/>
      <c r="O3381" s="170"/>
      <c r="P3381" s="198"/>
      <c r="Q3381" s="199"/>
      <c r="R3381" s="200"/>
      <c r="S3381" s="170"/>
      <c r="T3381" s="170"/>
      <c r="U3381" s="201"/>
      <c r="V3381" s="198"/>
      <c r="W3381" s="170"/>
      <c r="X3381" s="202"/>
      <c r="Z3381" s="170"/>
      <c r="AA3381" s="198"/>
      <c r="AB3381" s="170"/>
      <c r="AC3381" s="170"/>
      <c r="AD3381" s="121"/>
      <c r="AE3381" s="121"/>
      <c r="AF3381" s="121"/>
      <c r="AG3381" s="22"/>
      <c r="AH3381" s="22"/>
      <c r="AI3381" s="22"/>
      <c r="AJ3381" s="22"/>
      <c r="AK3381" s="22"/>
      <c r="AL3381" s="22"/>
      <c r="AM3381" s="22"/>
      <c r="AN3381" s="22"/>
      <c r="AO3381" s="22"/>
      <c r="AP3381" s="22"/>
    </row>
    <row r="3382">
      <c r="A3382" s="193"/>
      <c r="B3382" s="194"/>
      <c r="C3382" s="195"/>
      <c r="D3382" s="196"/>
      <c r="E3382" s="197"/>
      <c r="F3382" s="197"/>
      <c r="G3382" s="195"/>
      <c r="H3382" s="195"/>
      <c r="I3382" s="197"/>
      <c r="J3382" s="121"/>
      <c r="K3382" s="121"/>
      <c r="L3382" s="200"/>
      <c r="M3382" s="204"/>
      <c r="N3382" s="205"/>
      <c r="O3382" s="170"/>
      <c r="P3382" s="198"/>
      <c r="Q3382" s="199"/>
      <c r="R3382" s="200"/>
      <c r="S3382" s="170"/>
      <c r="T3382" s="170"/>
      <c r="U3382" s="201"/>
      <c r="V3382" s="198"/>
      <c r="W3382" s="170"/>
      <c r="X3382" s="202"/>
      <c r="Z3382" s="170"/>
      <c r="AA3382" s="198"/>
      <c r="AB3382" s="170"/>
      <c r="AC3382" s="170"/>
      <c r="AD3382" s="121"/>
      <c r="AE3382" s="121"/>
      <c r="AF3382" s="121"/>
      <c r="AG3382" s="22"/>
      <c r="AH3382" s="22"/>
      <c r="AI3382" s="22"/>
      <c r="AJ3382" s="22"/>
      <c r="AK3382" s="22"/>
      <c r="AL3382" s="22"/>
      <c r="AM3382" s="22"/>
      <c r="AN3382" s="22"/>
      <c r="AO3382" s="22"/>
      <c r="AP3382" s="22"/>
    </row>
    <row r="3383">
      <c r="A3383" s="193"/>
      <c r="B3383" s="194"/>
      <c r="C3383" s="195"/>
      <c r="D3383" s="196"/>
      <c r="E3383" s="197"/>
      <c r="F3383" s="197"/>
      <c r="G3383" s="195"/>
      <c r="H3383" s="195"/>
      <c r="I3383" s="197"/>
      <c r="J3383" s="121"/>
      <c r="K3383" s="121"/>
      <c r="L3383" s="200"/>
      <c r="M3383" s="204"/>
      <c r="N3383" s="205"/>
      <c r="O3383" s="170"/>
      <c r="P3383" s="198"/>
      <c r="Q3383" s="199"/>
      <c r="R3383" s="200"/>
      <c r="S3383" s="170"/>
      <c r="T3383" s="170"/>
      <c r="U3383" s="201"/>
      <c r="V3383" s="198"/>
      <c r="W3383" s="170"/>
      <c r="X3383" s="202"/>
      <c r="Z3383" s="170"/>
      <c r="AA3383" s="198"/>
      <c r="AB3383" s="170"/>
      <c r="AC3383" s="170"/>
      <c r="AD3383" s="121"/>
      <c r="AE3383" s="121"/>
      <c r="AF3383" s="121"/>
      <c r="AG3383" s="22"/>
      <c r="AH3383" s="22"/>
      <c r="AI3383" s="22"/>
      <c r="AJ3383" s="22"/>
      <c r="AK3383" s="22"/>
      <c r="AL3383" s="22"/>
      <c r="AM3383" s="22"/>
      <c r="AN3383" s="22"/>
      <c r="AO3383" s="22"/>
      <c r="AP3383" s="22"/>
    </row>
    <row r="3384">
      <c r="A3384" s="193"/>
      <c r="B3384" s="194"/>
      <c r="C3384" s="195"/>
      <c r="D3384" s="196"/>
      <c r="E3384" s="197"/>
      <c r="F3384" s="197"/>
      <c r="G3384" s="195"/>
      <c r="H3384" s="195"/>
      <c r="I3384" s="197"/>
      <c r="J3384" s="121"/>
      <c r="K3384" s="121"/>
      <c r="L3384" s="200"/>
      <c r="M3384" s="204"/>
      <c r="N3384" s="205"/>
      <c r="O3384" s="170"/>
      <c r="P3384" s="198"/>
      <c r="Q3384" s="199"/>
      <c r="R3384" s="200"/>
      <c r="S3384" s="170"/>
      <c r="T3384" s="170"/>
      <c r="U3384" s="201"/>
      <c r="V3384" s="198"/>
      <c r="W3384" s="170"/>
      <c r="X3384" s="202"/>
      <c r="Z3384" s="170"/>
      <c r="AA3384" s="198"/>
      <c r="AB3384" s="170"/>
      <c r="AC3384" s="170"/>
      <c r="AD3384" s="121"/>
      <c r="AE3384" s="121"/>
      <c r="AF3384" s="121"/>
      <c r="AG3384" s="22"/>
      <c r="AH3384" s="22"/>
      <c r="AI3384" s="22"/>
      <c r="AJ3384" s="22"/>
      <c r="AK3384" s="22"/>
      <c r="AL3384" s="22"/>
      <c r="AM3384" s="22"/>
      <c r="AN3384" s="22"/>
      <c r="AO3384" s="22"/>
      <c r="AP3384" s="22"/>
    </row>
    <row r="3385">
      <c r="A3385" s="193"/>
      <c r="B3385" s="194"/>
      <c r="C3385" s="195"/>
      <c r="D3385" s="196"/>
      <c r="E3385" s="197"/>
      <c r="F3385" s="197"/>
      <c r="G3385" s="195"/>
      <c r="H3385" s="195"/>
      <c r="I3385" s="197"/>
      <c r="J3385" s="121"/>
      <c r="K3385" s="121"/>
      <c r="L3385" s="200"/>
      <c r="M3385" s="204"/>
      <c r="N3385" s="205"/>
      <c r="O3385" s="170"/>
      <c r="P3385" s="198"/>
      <c r="Q3385" s="199"/>
      <c r="R3385" s="200"/>
      <c r="S3385" s="170"/>
      <c r="T3385" s="170"/>
      <c r="U3385" s="201"/>
      <c r="V3385" s="198"/>
      <c r="W3385" s="170"/>
      <c r="X3385" s="202"/>
      <c r="Z3385" s="170"/>
      <c r="AA3385" s="198"/>
      <c r="AB3385" s="170"/>
      <c r="AC3385" s="170"/>
      <c r="AD3385" s="121"/>
      <c r="AE3385" s="121"/>
      <c r="AF3385" s="121"/>
      <c r="AG3385" s="22"/>
      <c r="AH3385" s="22"/>
      <c r="AI3385" s="22"/>
      <c r="AJ3385" s="22"/>
      <c r="AK3385" s="22"/>
      <c r="AL3385" s="22"/>
      <c r="AM3385" s="22"/>
      <c r="AN3385" s="22"/>
      <c r="AO3385" s="22"/>
      <c r="AP3385" s="22"/>
    </row>
    <row r="3386">
      <c r="A3386" s="193"/>
      <c r="B3386" s="194"/>
      <c r="C3386" s="195"/>
      <c r="D3386" s="196"/>
      <c r="E3386" s="197"/>
      <c r="F3386" s="197"/>
      <c r="G3386" s="195"/>
      <c r="H3386" s="195"/>
      <c r="I3386" s="197"/>
      <c r="J3386" s="121"/>
      <c r="K3386" s="121"/>
      <c r="L3386" s="200"/>
      <c r="M3386" s="204"/>
      <c r="N3386" s="205"/>
      <c r="O3386" s="170"/>
      <c r="P3386" s="198"/>
      <c r="Q3386" s="199"/>
      <c r="R3386" s="200"/>
      <c r="S3386" s="170"/>
      <c r="T3386" s="170"/>
      <c r="U3386" s="201"/>
      <c r="V3386" s="198"/>
      <c r="W3386" s="170"/>
      <c r="X3386" s="202"/>
      <c r="Z3386" s="170"/>
      <c r="AA3386" s="198"/>
      <c r="AB3386" s="170"/>
      <c r="AC3386" s="170"/>
      <c r="AD3386" s="121"/>
      <c r="AE3386" s="121"/>
      <c r="AF3386" s="121"/>
      <c r="AG3386" s="22"/>
      <c r="AH3386" s="22"/>
      <c r="AI3386" s="22"/>
      <c r="AJ3386" s="22"/>
      <c r="AK3386" s="22"/>
      <c r="AL3386" s="22"/>
      <c r="AM3386" s="22"/>
      <c r="AN3386" s="22"/>
      <c r="AO3386" s="22"/>
      <c r="AP3386" s="22"/>
    </row>
    <row r="3387">
      <c r="A3387" s="193"/>
      <c r="B3387" s="194"/>
      <c r="C3387" s="195"/>
      <c r="D3387" s="196"/>
      <c r="E3387" s="197"/>
      <c r="F3387" s="197"/>
      <c r="G3387" s="195"/>
      <c r="H3387" s="195"/>
      <c r="I3387" s="197"/>
      <c r="J3387" s="121"/>
      <c r="K3387" s="121"/>
      <c r="L3387" s="200"/>
      <c r="M3387" s="204"/>
      <c r="N3387" s="205"/>
      <c r="O3387" s="170"/>
      <c r="P3387" s="198"/>
      <c r="Q3387" s="199"/>
      <c r="R3387" s="200"/>
      <c r="S3387" s="170"/>
      <c r="T3387" s="170"/>
      <c r="U3387" s="201"/>
      <c r="V3387" s="198"/>
      <c r="W3387" s="170"/>
      <c r="X3387" s="202"/>
      <c r="Z3387" s="170"/>
      <c r="AA3387" s="198"/>
      <c r="AB3387" s="170"/>
      <c r="AC3387" s="170"/>
      <c r="AD3387" s="121"/>
      <c r="AE3387" s="121"/>
      <c r="AF3387" s="121"/>
      <c r="AG3387" s="22"/>
      <c r="AH3387" s="22"/>
      <c r="AI3387" s="22"/>
      <c r="AJ3387" s="22"/>
      <c r="AK3387" s="22"/>
      <c r="AL3387" s="22"/>
      <c r="AM3387" s="22"/>
      <c r="AN3387" s="22"/>
      <c r="AO3387" s="22"/>
      <c r="AP3387" s="22"/>
    </row>
    <row r="3388">
      <c r="A3388" s="193"/>
      <c r="B3388" s="194"/>
      <c r="C3388" s="195"/>
      <c r="D3388" s="196"/>
      <c r="E3388" s="197"/>
      <c r="F3388" s="197"/>
      <c r="G3388" s="195"/>
      <c r="H3388" s="195"/>
      <c r="I3388" s="197"/>
      <c r="J3388" s="121"/>
      <c r="K3388" s="121"/>
      <c r="L3388" s="200"/>
      <c r="M3388" s="204"/>
      <c r="N3388" s="205"/>
      <c r="O3388" s="170"/>
      <c r="P3388" s="198"/>
      <c r="Q3388" s="199"/>
      <c r="R3388" s="200"/>
      <c r="S3388" s="170"/>
      <c r="T3388" s="170"/>
      <c r="U3388" s="201"/>
      <c r="V3388" s="198"/>
      <c r="W3388" s="170"/>
      <c r="X3388" s="202"/>
      <c r="Z3388" s="170"/>
      <c r="AA3388" s="198"/>
      <c r="AB3388" s="170"/>
      <c r="AC3388" s="170"/>
      <c r="AD3388" s="121"/>
      <c r="AE3388" s="121"/>
      <c r="AF3388" s="121"/>
      <c r="AG3388" s="22"/>
      <c r="AH3388" s="22"/>
      <c r="AI3388" s="22"/>
      <c r="AJ3388" s="22"/>
      <c r="AK3388" s="22"/>
      <c r="AL3388" s="22"/>
      <c r="AM3388" s="22"/>
      <c r="AN3388" s="22"/>
      <c r="AO3388" s="22"/>
      <c r="AP3388" s="22"/>
    </row>
    <row r="3389">
      <c r="A3389" s="193"/>
      <c r="B3389" s="194"/>
      <c r="C3389" s="195"/>
      <c r="D3389" s="196"/>
      <c r="E3389" s="197"/>
      <c r="F3389" s="197"/>
      <c r="G3389" s="195"/>
      <c r="H3389" s="195"/>
      <c r="I3389" s="197"/>
      <c r="J3389" s="121"/>
      <c r="K3389" s="121"/>
      <c r="L3389" s="200"/>
      <c r="M3389" s="204"/>
      <c r="N3389" s="205"/>
      <c r="O3389" s="170"/>
      <c r="P3389" s="198"/>
      <c r="Q3389" s="199"/>
      <c r="R3389" s="200"/>
      <c r="S3389" s="170"/>
      <c r="T3389" s="170"/>
      <c r="U3389" s="201"/>
      <c r="V3389" s="198"/>
      <c r="W3389" s="170"/>
      <c r="X3389" s="202"/>
      <c r="Z3389" s="170"/>
      <c r="AA3389" s="198"/>
      <c r="AB3389" s="170"/>
      <c r="AC3389" s="170"/>
      <c r="AD3389" s="121"/>
      <c r="AE3389" s="121"/>
      <c r="AF3389" s="121"/>
      <c r="AG3389" s="22"/>
      <c r="AH3389" s="22"/>
      <c r="AI3389" s="22"/>
      <c r="AJ3389" s="22"/>
      <c r="AK3389" s="22"/>
      <c r="AL3389" s="22"/>
      <c r="AM3389" s="22"/>
      <c r="AN3389" s="22"/>
      <c r="AO3389" s="22"/>
      <c r="AP3389" s="22"/>
    </row>
    <row r="3390">
      <c r="A3390" s="193"/>
      <c r="B3390" s="194"/>
      <c r="C3390" s="195"/>
      <c r="D3390" s="196"/>
      <c r="E3390" s="197"/>
      <c r="F3390" s="197"/>
      <c r="G3390" s="195"/>
      <c r="H3390" s="195"/>
      <c r="I3390" s="197"/>
      <c r="J3390" s="121"/>
      <c r="K3390" s="121"/>
      <c r="L3390" s="200"/>
      <c r="M3390" s="204"/>
      <c r="N3390" s="205"/>
      <c r="O3390" s="170"/>
      <c r="P3390" s="198"/>
      <c r="Q3390" s="199"/>
      <c r="R3390" s="200"/>
      <c r="S3390" s="170"/>
      <c r="T3390" s="170"/>
      <c r="U3390" s="201"/>
      <c r="V3390" s="198"/>
      <c r="W3390" s="170"/>
      <c r="X3390" s="202"/>
      <c r="Z3390" s="170"/>
      <c r="AA3390" s="198"/>
      <c r="AB3390" s="170"/>
      <c r="AC3390" s="170"/>
      <c r="AD3390" s="121"/>
      <c r="AE3390" s="121"/>
      <c r="AF3390" s="121"/>
      <c r="AG3390" s="22"/>
      <c r="AH3390" s="22"/>
      <c r="AI3390" s="22"/>
      <c r="AJ3390" s="22"/>
      <c r="AK3390" s="22"/>
      <c r="AL3390" s="22"/>
      <c r="AM3390" s="22"/>
      <c r="AN3390" s="22"/>
      <c r="AO3390" s="22"/>
      <c r="AP3390" s="22"/>
    </row>
    <row r="3391">
      <c r="A3391" s="193"/>
      <c r="B3391" s="194"/>
      <c r="C3391" s="195"/>
      <c r="D3391" s="196"/>
      <c r="E3391" s="197"/>
      <c r="F3391" s="197"/>
      <c r="G3391" s="195"/>
      <c r="H3391" s="195"/>
      <c r="I3391" s="197"/>
      <c r="J3391" s="121"/>
      <c r="K3391" s="121"/>
      <c r="L3391" s="200"/>
      <c r="M3391" s="204"/>
      <c r="N3391" s="205"/>
      <c r="O3391" s="170"/>
      <c r="P3391" s="198"/>
      <c r="Q3391" s="199"/>
      <c r="R3391" s="200"/>
      <c r="S3391" s="170"/>
      <c r="T3391" s="170"/>
      <c r="U3391" s="201"/>
      <c r="V3391" s="198"/>
      <c r="W3391" s="170"/>
      <c r="X3391" s="202"/>
      <c r="Z3391" s="170"/>
      <c r="AA3391" s="198"/>
      <c r="AB3391" s="170"/>
      <c r="AC3391" s="170"/>
      <c r="AD3391" s="121"/>
      <c r="AE3391" s="121"/>
      <c r="AF3391" s="121"/>
      <c r="AG3391" s="22"/>
      <c r="AH3391" s="22"/>
      <c r="AI3391" s="22"/>
      <c r="AJ3391" s="22"/>
      <c r="AK3391" s="22"/>
      <c r="AL3391" s="22"/>
      <c r="AM3391" s="22"/>
      <c r="AN3391" s="22"/>
      <c r="AO3391" s="22"/>
      <c r="AP3391" s="22"/>
    </row>
    <row r="3392">
      <c r="A3392" s="193"/>
      <c r="B3392" s="194"/>
      <c r="C3392" s="195"/>
      <c r="D3392" s="196"/>
      <c r="E3392" s="197"/>
      <c r="F3392" s="197"/>
      <c r="G3392" s="195"/>
      <c r="H3392" s="195"/>
      <c r="I3392" s="197"/>
      <c r="J3392" s="121"/>
      <c r="K3392" s="121"/>
      <c r="L3392" s="200"/>
      <c r="M3392" s="204"/>
      <c r="N3392" s="205"/>
      <c r="O3392" s="170"/>
      <c r="P3392" s="198"/>
      <c r="Q3392" s="199"/>
      <c r="R3392" s="200"/>
      <c r="S3392" s="170"/>
      <c r="T3392" s="170"/>
      <c r="U3392" s="201"/>
      <c r="V3392" s="198"/>
      <c r="W3392" s="170"/>
      <c r="X3392" s="202"/>
      <c r="Z3392" s="170"/>
      <c r="AA3392" s="198"/>
      <c r="AB3392" s="170"/>
      <c r="AC3392" s="170"/>
      <c r="AD3392" s="121"/>
      <c r="AE3392" s="121"/>
      <c r="AF3392" s="121"/>
      <c r="AG3392" s="22"/>
      <c r="AH3392" s="22"/>
      <c r="AI3392" s="22"/>
      <c r="AJ3392" s="22"/>
      <c r="AK3392" s="22"/>
      <c r="AL3392" s="22"/>
      <c r="AM3392" s="22"/>
      <c r="AN3392" s="22"/>
      <c r="AO3392" s="22"/>
      <c r="AP3392" s="22"/>
    </row>
    <row r="3393">
      <c r="A3393" s="193"/>
      <c r="B3393" s="194"/>
      <c r="C3393" s="195"/>
      <c r="D3393" s="196"/>
      <c r="E3393" s="197"/>
      <c r="F3393" s="197"/>
      <c r="G3393" s="195"/>
      <c r="H3393" s="195"/>
      <c r="I3393" s="197"/>
      <c r="J3393" s="121"/>
      <c r="K3393" s="121"/>
      <c r="L3393" s="200"/>
      <c r="M3393" s="204"/>
      <c r="N3393" s="205"/>
      <c r="O3393" s="170"/>
      <c r="P3393" s="198"/>
      <c r="Q3393" s="199"/>
      <c r="R3393" s="200"/>
      <c r="S3393" s="170"/>
      <c r="T3393" s="170"/>
      <c r="U3393" s="201"/>
      <c r="V3393" s="198"/>
      <c r="W3393" s="170"/>
      <c r="X3393" s="202"/>
      <c r="Z3393" s="170"/>
      <c r="AA3393" s="198"/>
      <c r="AB3393" s="170"/>
      <c r="AC3393" s="170"/>
      <c r="AD3393" s="121"/>
      <c r="AE3393" s="121"/>
      <c r="AF3393" s="121"/>
      <c r="AG3393" s="22"/>
      <c r="AH3393" s="22"/>
      <c r="AI3393" s="22"/>
      <c r="AJ3393" s="22"/>
      <c r="AK3393" s="22"/>
      <c r="AL3393" s="22"/>
      <c r="AM3393" s="22"/>
      <c r="AN3393" s="22"/>
      <c r="AO3393" s="22"/>
      <c r="AP3393" s="22"/>
    </row>
    <row r="3394">
      <c r="A3394" s="193"/>
      <c r="B3394" s="194"/>
      <c r="C3394" s="195"/>
      <c r="D3394" s="196"/>
      <c r="E3394" s="197"/>
      <c r="F3394" s="197"/>
      <c r="G3394" s="195"/>
      <c r="H3394" s="195"/>
      <c r="I3394" s="197"/>
      <c r="J3394" s="121"/>
      <c r="K3394" s="121"/>
      <c r="L3394" s="200"/>
      <c r="M3394" s="204"/>
      <c r="N3394" s="205"/>
      <c r="O3394" s="170"/>
      <c r="P3394" s="198"/>
      <c r="Q3394" s="199"/>
      <c r="R3394" s="200"/>
      <c r="S3394" s="170"/>
      <c r="T3394" s="170"/>
      <c r="U3394" s="201"/>
      <c r="V3394" s="198"/>
      <c r="W3394" s="170"/>
      <c r="X3394" s="202"/>
      <c r="Z3394" s="170"/>
      <c r="AA3394" s="198"/>
      <c r="AB3394" s="170"/>
      <c r="AC3394" s="170"/>
      <c r="AD3394" s="121"/>
      <c r="AE3394" s="121"/>
      <c r="AF3394" s="121"/>
      <c r="AG3394" s="22"/>
      <c r="AH3394" s="22"/>
      <c r="AI3394" s="22"/>
      <c r="AJ3394" s="22"/>
      <c r="AK3394" s="22"/>
      <c r="AL3394" s="22"/>
      <c r="AM3394" s="22"/>
      <c r="AN3394" s="22"/>
      <c r="AO3394" s="22"/>
      <c r="AP3394" s="22"/>
    </row>
    <row r="3395">
      <c r="A3395" s="193"/>
      <c r="B3395" s="194"/>
      <c r="C3395" s="195"/>
      <c r="D3395" s="196"/>
      <c r="E3395" s="197"/>
      <c r="F3395" s="197"/>
      <c r="G3395" s="195"/>
      <c r="H3395" s="195"/>
      <c r="I3395" s="197"/>
      <c r="J3395" s="121"/>
      <c r="K3395" s="121"/>
      <c r="L3395" s="200"/>
      <c r="M3395" s="204"/>
      <c r="N3395" s="205"/>
      <c r="O3395" s="170"/>
      <c r="P3395" s="198"/>
      <c r="Q3395" s="199"/>
      <c r="R3395" s="200"/>
      <c r="S3395" s="170"/>
      <c r="T3395" s="170"/>
      <c r="U3395" s="201"/>
      <c r="V3395" s="198"/>
      <c r="W3395" s="170"/>
      <c r="X3395" s="202"/>
      <c r="Z3395" s="170"/>
      <c r="AA3395" s="198"/>
      <c r="AB3395" s="170"/>
      <c r="AC3395" s="170"/>
      <c r="AD3395" s="121"/>
      <c r="AE3395" s="121"/>
      <c r="AF3395" s="121"/>
      <c r="AG3395" s="22"/>
      <c r="AH3395" s="22"/>
      <c r="AI3395" s="22"/>
      <c r="AJ3395" s="22"/>
      <c r="AK3395" s="22"/>
      <c r="AL3395" s="22"/>
      <c r="AM3395" s="22"/>
      <c r="AN3395" s="22"/>
      <c r="AO3395" s="22"/>
      <c r="AP3395" s="22"/>
    </row>
    <row r="3396">
      <c r="A3396" s="193"/>
      <c r="B3396" s="194"/>
      <c r="C3396" s="195"/>
      <c r="D3396" s="196"/>
      <c r="E3396" s="197"/>
      <c r="F3396" s="197"/>
      <c r="G3396" s="195"/>
      <c r="H3396" s="195"/>
      <c r="I3396" s="197"/>
      <c r="J3396" s="121"/>
      <c r="K3396" s="121"/>
      <c r="L3396" s="200"/>
      <c r="M3396" s="204"/>
      <c r="N3396" s="205"/>
      <c r="O3396" s="170"/>
      <c r="P3396" s="198"/>
      <c r="Q3396" s="199"/>
      <c r="R3396" s="200"/>
      <c r="S3396" s="170"/>
      <c r="T3396" s="170"/>
      <c r="U3396" s="201"/>
      <c r="V3396" s="198"/>
      <c r="W3396" s="170"/>
      <c r="X3396" s="202"/>
      <c r="Z3396" s="170"/>
      <c r="AA3396" s="198"/>
      <c r="AB3396" s="170"/>
      <c r="AC3396" s="170"/>
      <c r="AD3396" s="121"/>
      <c r="AE3396" s="121"/>
      <c r="AF3396" s="121"/>
      <c r="AG3396" s="22"/>
      <c r="AH3396" s="22"/>
      <c r="AI3396" s="22"/>
      <c r="AJ3396" s="22"/>
      <c r="AK3396" s="22"/>
      <c r="AL3396" s="22"/>
      <c r="AM3396" s="22"/>
      <c r="AN3396" s="22"/>
      <c r="AO3396" s="22"/>
      <c r="AP3396" s="22"/>
    </row>
    <row r="3397">
      <c r="A3397" s="193"/>
      <c r="B3397" s="194"/>
      <c r="C3397" s="195"/>
      <c r="D3397" s="196"/>
      <c r="E3397" s="197"/>
      <c r="F3397" s="197"/>
      <c r="G3397" s="195"/>
      <c r="H3397" s="195"/>
      <c r="I3397" s="197"/>
      <c r="J3397" s="121"/>
      <c r="K3397" s="121"/>
      <c r="L3397" s="200"/>
      <c r="M3397" s="204"/>
      <c r="N3397" s="205"/>
      <c r="O3397" s="170"/>
      <c r="P3397" s="198"/>
      <c r="Q3397" s="199"/>
      <c r="R3397" s="200"/>
      <c r="S3397" s="170"/>
      <c r="T3397" s="170"/>
      <c r="U3397" s="201"/>
      <c r="V3397" s="198"/>
      <c r="W3397" s="170"/>
      <c r="X3397" s="202"/>
      <c r="Z3397" s="170"/>
      <c r="AA3397" s="198"/>
      <c r="AB3397" s="170"/>
      <c r="AC3397" s="170"/>
      <c r="AD3397" s="121"/>
      <c r="AE3397" s="121"/>
      <c r="AF3397" s="121"/>
      <c r="AG3397" s="22"/>
      <c r="AH3397" s="22"/>
      <c r="AI3397" s="22"/>
      <c r="AJ3397" s="22"/>
      <c r="AK3397" s="22"/>
      <c r="AL3397" s="22"/>
      <c r="AM3397" s="22"/>
      <c r="AN3397" s="22"/>
      <c r="AO3397" s="22"/>
      <c r="AP3397" s="22"/>
    </row>
    <row r="3398">
      <c r="A3398" s="193"/>
      <c r="B3398" s="194"/>
      <c r="C3398" s="195"/>
      <c r="D3398" s="196"/>
      <c r="E3398" s="197"/>
      <c r="F3398" s="197"/>
      <c r="G3398" s="195"/>
      <c r="H3398" s="195"/>
      <c r="I3398" s="197"/>
      <c r="J3398" s="121"/>
      <c r="K3398" s="121"/>
      <c r="L3398" s="200"/>
      <c r="M3398" s="204"/>
      <c r="N3398" s="205"/>
      <c r="O3398" s="170"/>
      <c r="P3398" s="198"/>
      <c r="Q3398" s="199"/>
      <c r="R3398" s="200"/>
      <c r="S3398" s="170"/>
      <c r="T3398" s="170"/>
      <c r="U3398" s="201"/>
      <c r="V3398" s="198"/>
      <c r="W3398" s="170"/>
      <c r="X3398" s="202"/>
      <c r="Z3398" s="170"/>
      <c r="AA3398" s="198"/>
      <c r="AB3398" s="170"/>
      <c r="AC3398" s="170"/>
      <c r="AD3398" s="121"/>
      <c r="AE3398" s="121"/>
      <c r="AF3398" s="121"/>
      <c r="AG3398" s="22"/>
      <c r="AH3398" s="22"/>
      <c r="AI3398" s="22"/>
      <c r="AJ3398" s="22"/>
      <c r="AK3398" s="22"/>
      <c r="AL3398" s="22"/>
      <c r="AM3398" s="22"/>
      <c r="AN3398" s="22"/>
      <c r="AO3398" s="22"/>
      <c r="AP3398" s="22"/>
    </row>
    <row r="3399">
      <c r="A3399" s="193"/>
      <c r="B3399" s="194"/>
      <c r="C3399" s="195"/>
      <c r="D3399" s="196"/>
      <c r="E3399" s="197"/>
      <c r="F3399" s="197"/>
      <c r="G3399" s="195"/>
      <c r="H3399" s="195"/>
      <c r="I3399" s="197"/>
      <c r="J3399" s="121"/>
      <c r="K3399" s="121"/>
      <c r="L3399" s="200"/>
      <c r="M3399" s="204"/>
      <c r="N3399" s="205"/>
      <c r="O3399" s="170"/>
      <c r="P3399" s="198"/>
      <c r="Q3399" s="199"/>
      <c r="R3399" s="200"/>
      <c r="S3399" s="170"/>
      <c r="T3399" s="170"/>
      <c r="U3399" s="201"/>
      <c r="V3399" s="198"/>
      <c r="W3399" s="170"/>
      <c r="X3399" s="202"/>
      <c r="Z3399" s="170"/>
      <c r="AA3399" s="198"/>
      <c r="AB3399" s="170"/>
      <c r="AC3399" s="170"/>
      <c r="AD3399" s="121"/>
      <c r="AE3399" s="121"/>
      <c r="AF3399" s="121"/>
      <c r="AG3399" s="22"/>
      <c r="AH3399" s="22"/>
      <c r="AI3399" s="22"/>
      <c r="AJ3399" s="22"/>
      <c r="AK3399" s="22"/>
      <c r="AL3399" s="22"/>
      <c r="AM3399" s="22"/>
      <c r="AN3399" s="22"/>
      <c r="AO3399" s="22"/>
      <c r="AP3399" s="22"/>
    </row>
    <row r="3400">
      <c r="A3400" s="193"/>
      <c r="B3400" s="194"/>
      <c r="C3400" s="195"/>
      <c r="D3400" s="196"/>
      <c r="E3400" s="197"/>
      <c r="F3400" s="197"/>
      <c r="G3400" s="195"/>
      <c r="H3400" s="195"/>
      <c r="I3400" s="197"/>
      <c r="J3400" s="121"/>
      <c r="K3400" s="121"/>
      <c r="L3400" s="200"/>
      <c r="M3400" s="204"/>
      <c r="N3400" s="205"/>
      <c r="O3400" s="170"/>
      <c r="P3400" s="198"/>
      <c r="Q3400" s="199"/>
      <c r="R3400" s="200"/>
      <c r="S3400" s="170"/>
      <c r="T3400" s="170"/>
      <c r="U3400" s="201"/>
      <c r="V3400" s="198"/>
      <c r="W3400" s="170"/>
      <c r="X3400" s="202"/>
      <c r="Z3400" s="170"/>
      <c r="AA3400" s="198"/>
      <c r="AB3400" s="170"/>
      <c r="AC3400" s="170"/>
      <c r="AD3400" s="121"/>
      <c r="AE3400" s="121"/>
      <c r="AF3400" s="121"/>
      <c r="AG3400" s="22"/>
      <c r="AH3400" s="22"/>
      <c r="AI3400" s="22"/>
      <c r="AJ3400" s="22"/>
      <c r="AK3400" s="22"/>
      <c r="AL3400" s="22"/>
      <c r="AM3400" s="22"/>
      <c r="AN3400" s="22"/>
      <c r="AO3400" s="22"/>
      <c r="AP3400" s="22"/>
    </row>
    <row r="3401">
      <c r="A3401" s="193"/>
      <c r="B3401" s="194"/>
      <c r="C3401" s="195"/>
      <c r="D3401" s="196"/>
      <c r="E3401" s="197"/>
      <c r="F3401" s="197"/>
      <c r="G3401" s="195"/>
      <c r="H3401" s="195"/>
      <c r="I3401" s="197"/>
      <c r="J3401" s="121"/>
      <c r="K3401" s="121"/>
      <c r="L3401" s="200"/>
      <c r="M3401" s="204"/>
      <c r="N3401" s="205"/>
      <c r="O3401" s="170"/>
      <c r="P3401" s="198"/>
      <c r="Q3401" s="199"/>
      <c r="R3401" s="200"/>
      <c r="S3401" s="170"/>
      <c r="T3401" s="170"/>
      <c r="U3401" s="201"/>
      <c r="V3401" s="198"/>
      <c r="W3401" s="170"/>
      <c r="X3401" s="202"/>
      <c r="Z3401" s="170"/>
      <c r="AA3401" s="198"/>
      <c r="AB3401" s="170"/>
      <c r="AC3401" s="170"/>
      <c r="AD3401" s="121"/>
      <c r="AE3401" s="121"/>
      <c r="AF3401" s="121"/>
      <c r="AG3401" s="22"/>
      <c r="AH3401" s="22"/>
      <c r="AI3401" s="22"/>
      <c r="AJ3401" s="22"/>
      <c r="AK3401" s="22"/>
      <c r="AL3401" s="22"/>
      <c r="AM3401" s="22"/>
      <c r="AN3401" s="22"/>
      <c r="AO3401" s="22"/>
      <c r="AP3401" s="22"/>
    </row>
    <row r="3402">
      <c r="A3402" s="193"/>
      <c r="B3402" s="194"/>
      <c r="C3402" s="195"/>
      <c r="D3402" s="196"/>
      <c r="E3402" s="197"/>
      <c r="F3402" s="197"/>
      <c r="G3402" s="195"/>
      <c r="H3402" s="195"/>
      <c r="I3402" s="197"/>
      <c r="J3402" s="121"/>
      <c r="K3402" s="121"/>
      <c r="L3402" s="200"/>
      <c r="M3402" s="204"/>
      <c r="N3402" s="205"/>
      <c r="O3402" s="170"/>
      <c r="P3402" s="198"/>
      <c r="Q3402" s="199"/>
      <c r="R3402" s="200"/>
      <c r="S3402" s="170"/>
      <c r="T3402" s="170"/>
      <c r="U3402" s="201"/>
      <c r="V3402" s="198"/>
      <c r="W3402" s="170"/>
      <c r="X3402" s="202"/>
      <c r="Z3402" s="170"/>
      <c r="AA3402" s="198"/>
      <c r="AB3402" s="170"/>
      <c r="AC3402" s="170"/>
      <c r="AD3402" s="121"/>
      <c r="AE3402" s="121"/>
      <c r="AF3402" s="121"/>
      <c r="AG3402" s="22"/>
      <c r="AH3402" s="22"/>
      <c r="AI3402" s="22"/>
      <c r="AJ3402" s="22"/>
      <c r="AK3402" s="22"/>
      <c r="AL3402" s="22"/>
      <c r="AM3402" s="22"/>
      <c r="AN3402" s="22"/>
      <c r="AO3402" s="22"/>
      <c r="AP3402" s="22"/>
    </row>
    <row r="3403">
      <c r="A3403" s="193"/>
      <c r="B3403" s="194"/>
      <c r="C3403" s="195"/>
      <c r="D3403" s="196"/>
      <c r="E3403" s="197"/>
      <c r="F3403" s="197"/>
      <c r="G3403" s="195"/>
      <c r="H3403" s="195"/>
      <c r="I3403" s="197"/>
      <c r="J3403" s="121"/>
      <c r="K3403" s="121"/>
      <c r="L3403" s="200"/>
      <c r="M3403" s="204"/>
      <c r="N3403" s="205"/>
      <c r="O3403" s="170"/>
      <c r="P3403" s="198"/>
      <c r="Q3403" s="199"/>
      <c r="R3403" s="200"/>
      <c r="S3403" s="170"/>
      <c r="T3403" s="170"/>
      <c r="U3403" s="201"/>
      <c r="V3403" s="198"/>
      <c r="W3403" s="170"/>
      <c r="X3403" s="202"/>
      <c r="Z3403" s="170"/>
      <c r="AA3403" s="198"/>
      <c r="AB3403" s="170"/>
      <c r="AC3403" s="170"/>
      <c r="AD3403" s="121"/>
      <c r="AE3403" s="121"/>
      <c r="AF3403" s="121"/>
      <c r="AG3403" s="22"/>
      <c r="AH3403" s="22"/>
      <c r="AI3403" s="22"/>
      <c r="AJ3403" s="22"/>
      <c r="AK3403" s="22"/>
      <c r="AL3403" s="22"/>
      <c r="AM3403" s="22"/>
      <c r="AN3403" s="22"/>
      <c r="AO3403" s="22"/>
      <c r="AP3403" s="22"/>
    </row>
    <row r="3404">
      <c r="A3404" s="193"/>
      <c r="B3404" s="194"/>
      <c r="C3404" s="195"/>
      <c r="D3404" s="196"/>
      <c r="E3404" s="197"/>
      <c r="F3404" s="197"/>
      <c r="G3404" s="195"/>
      <c r="H3404" s="195"/>
      <c r="I3404" s="197"/>
      <c r="J3404" s="121"/>
      <c r="K3404" s="121"/>
      <c r="L3404" s="200"/>
      <c r="M3404" s="204"/>
      <c r="N3404" s="205"/>
      <c r="O3404" s="170"/>
      <c r="P3404" s="198"/>
      <c r="Q3404" s="199"/>
      <c r="R3404" s="200"/>
      <c r="S3404" s="170"/>
      <c r="T3404" s="170"/>
      <c r="U3404" s="201"/>
      <c r="V3404" s="198"/>
      <c r="W3404" s="170"/>
      <c r="X3404" s="202"/>
      <c r="Z3404" s="170"/>
      <c r="AA3404" s="198"/>
      <c r="AB3404" s="170"/>
      <c r="AC3404" s="170"/>
      <c r="AD3404" s="121"/>
      <c r="AE3404" s="121"/>
      <c r="AF3404" s="121"/>
      <c r="AG3404" s="22"/>
      <c r="AH3404" s="22"/>
      <c r="AI3404" s="22"/>
      <c r="AJ3404" s="22"/>
      <c r="AK3404" s="22"/>
      <c r="AL3404" s="22"/>
      <c r="AM3404" s="22"/>
      <c r="AN3404" s="22"/>
      <c r="AO3404" s="22"/>
      <c r="AP3404" s="22"/>
    </row>
    <row r="3405">
      <c r="A3405" s="193"/>
      <c r="B3405" s="194"/>
      <c r="C3405" s="195"/>
      <c r="D3405" s="196"/>
      <c r="E3405" s="197"/>
      <c r="F3405" s="197"/>
      <c r="G3405" s="195"/>
      <c r="H3405" s="195"/>
      <c r="I3405" s="197"/>
      <c r="J3405" s="121"/>
      <c r="K3405" s="121"/>
      <c r="L3405" s="200"/>
      <c r="M3405" s="204"/>
      <c r="N3405" s="205"/>
      <c r="O3405" s="170"/>
      <c r="P3405" s="198"/>
      <c r="Q3405" s="199"/>
      <c r="R3405" s="200"/>
      <c r="S3405" s="170"/>
      <c r="T3405" s="170"/>
      <c r="U3405" s="201"/>
      <c r="V3405" s="198"/>
      <c r="W3405" s="170"/>
      <c r="X3405" s="202"/>
      <c r="Z3405" s="170"/>
      <c r="AA3405" s="198"/>
      <c r="AB3405" s="170"/>
      <c r="AC3405" s="170"/>
      <c r="AD3405" s="121"/>
      <c r="AE3405" s="121"/>
      <c r="AF3405" s="121"/>
      <c r="AG3405" s="22"/>
      <c r="AH3405" s="22"/>
      <c r="AI3405" s="22"/>
      <c r="AJ3405" s="22"/>
      <c r="AK3405" s="22"/>
      <c r="AL3405" s="22"/>
      <c r="AM3405" s="22"/>
      <c r="AN3405" s="22"/>
      <c r="AO3405" s="22"/>
      <c r="AP3405" s="22"/>
    </row>
    <row r="3406">
      <c r="A3406" s="193"/>
      <c r="B3406" s="194"/>
      <c r="C3406" s="195"/>
      <c r="D3406" s="196"/>
      <c r="E3406" s="197"/>
      <c r="F3406" s="197"/>
      <c r="G3406" s="195"/>
      <c r="H3406" s="195"/>
      <c r="I3406" s="197"/>
      <c r="J3406" s="121"/>
      <c r="K3406" s="121"/>
      <c r="L3406" s="200"/>
      <c r="M3406" s="204"/>
      <c r="N3406" s="205"/>
      <c r="O3406" s="170"/>
      <c r="P3406" s="198"/>
      <c r="Q3406" s="199"/>
      <c r="R3406" s="200"/>
      <c r="S3406" s="170"/>
      <c r="T3406" s="170"/>
      <c r="U3406" s="201"/>
      <c r="V3406" s="198"/>
      <c r="W3406" s="170"/>
      <c r="X3406" s="202"/>
      <c r="Z3406" s="170"/>
      <c r="AA3406" s="198"/>
      <c r="AB3406" s="170"/>
      <c r="AC3406" s="170"/>
      <c r="AD3406" s="121"/>
      <c r="AE3406" s="121"/>
      <c r="AF3406" s="121"/>
      <c r="AG3406" s="22"/>
      <c r="AH3406" s="22"/>
      <c r="AI3406" s="22"/>
      <c r="AJ3406" s="22"/>
      <c r="AK3406" s="22"/>
      <c r="AL3406" s="22"/>
      <c r="AM3406" s="22"/>
      <c r="AN3406" s="22"/>
      <c r="AO3406" s="22"/>
      <c r="AP3406" s="22"/>
    </row>
    <row r="3407">
      <c r="A3407" s="193"/>
      <c r="B3407" s="194"/>
      <c r="C3407" s="195"/>
      <c r="D3407" s="196"/>
      <c r="E3407" s="197"/>
      <c r="F3407" s="197"/>
      <c r="G3407" s="195"/>
      <c r="H3407" s="195"/>
      <c r="I3407" s="197"/>
      <c r="J3407" s="121"/>
      <c r="K3407" s="121"/>
      <c r="L3407" s="200"/>
      <c r="M3407" s="204"/>
      <c r="N3407" s="205"/>
      <c r="O3407" s="170"/>
      <c r="P3407" s="198"/>
      <c r="Q3407" s="199"/>
      <c r="R3407" s="200"/>
      <c r="S3407" s="170"/>
      <c r="T3407" s="170"/>
      <c r="U3407" s="201"/>
      <c r="V3407" s="198"/>
      <c r="W3407" s="170"/>
      <c r="X3407" s="202"/>
      <c r="Z3407" s="170"/>
      <c r="AA3407" s="198"/>
      <c r="AB3407" s="170"/>
      <c r="AC3407" s="170"/>
      <c r="AD3407" s="121"/>
      <c r="AE3407" s="121"/>
      <c r="AF3407" s="121"/>
      <c r="AG3407" s="22"/>
      <c r="AH3407" s="22"/>
      <c r="AI3407" s="22"/>
      <c r="AJ3407" s="22"/>
      <c r="AK3407" s="22"/>
      <c r="AL3407" s="22"/>
      <c r="AM3407" s="22"/>
      <c r="AN3407" s="22"/>
      <c r="AO3407" s="22"/>
      <c r="AP3407" s="22"/>
    </row>
    <row r="3408">
      <c r="A3408" s="193"/>
      <c r="B3408" s="194"/>
      <c r="C3408" s="195"/>
      <c r="D3408" s="196"/>
      <c r="E3408" s="197"/>
      <c r="F3408" s="197"/>
      <c r="G3408" s="195"/>
      <c r="H3408" s="195"/>
      <c r="I3408" s="197"/>
      <c r="J3408" s="121"/>
      <c r="K3408" s="121"/>
      <c r="L3408" s="200"/>
      <c r="M3408" s="204"/>
      <c r="N3408" s="205"/>
      <c r="O3408" s="170"/>
      <c r="P3408" s="198"/>
      <c r="Q3408" s="199"/>
      <c r="R3408" s="200"/>
      <c r="S3408" s="170"/>
      <c r="T3408" s="170"/>
      <c r="U3408" s="201"/>
      <c r="V3408" s="198"/>
      <c r="W3408" s="170"/>
      <c r="X3408" s="202"/>
      <c r="Z3408" s="170"/>
      <c r="AA3408" s="198"/>
      <c r="AB3408" s="170"/>
      <c r="AC3408" s="170"/>
      <c r="AD3408" s="121"/>
      <c r="AE3408" s="121"/>
      <c r="AF3408" s="121"/>
      <c r="AG3408" s="22"/>
      <c r="AH3408" s="22"/>
      <c r="AI3408" s="22"/>
      <c r="AJ3408" s="22"/>
      <c r="AK3408" s="22"/>
      <c r="AL3408" s="22"/>
      <c r="AM3408" s="22"/>
      <c r="AN3408" s="22"/>
      <c r="AO3408" s="22"/>
      <c r="AP3408" s="22"/>
    </row>
    <row r="3409">
      <c r="A3409" s="193"/>
      <c r="B3409" s="194"/>
      <c r="C3409" s="195"/>
      <c r="D3409" s="196"/>
      <c r="E3409" s="197"/>
      <c r="F3409" s="197"/>
      <c r="G3409" s="195"/>
      <c r="H3409" s="195"/>
      <c r="I3409" s="197"/>
      <c r="J3409" s="121"/>
      <c r="K3409" s="121"/>
      <c r="L3409" s="200"/>
      <c r="M3409" s="204"/>
      <c r="N3409" s="205"/>
      <c r="O3409" s="170"/>
      <c r="P3409" s="198"/>
      <c r="Q3409" s="199"/>
      <c r="R3409" s="200"/>
      <c r="S3409" s="170"/>
      <c r="T3409" s="170"/>
      <c r="U3409" s="201"/>
      <c r="V3409" s="198"/>
      <c r="W3409" s="170"/>
      <c r="X3409" s="202"/>
      <c r="Z3409" s="170"/>
      <c r="AA3409" s="198"/>
      <c r="AB3409" s="170"/>
      <c r="AC3409" s="170"/>
      <c r="AD3409" s="121"/>
      <c r="AE3409" s="121"/>
      <c r="AF3409" s="121"/>
      <c r="AG3409" s="22"/>
      <c r="AH3409" s="22"/>
      <c r="AI3409" s="22"/>
      <c r="AJ3409" s="22"/>
      <c r="AK3409" s="22"/>
      <c r="AL3409" s="22"/>
      <c r="AM3409" s="22"/>
      <c r="AN3409" s="22"/>
      <c r="AO3409" s="22"/>
      <c r="AP3409" s="22"/>
    </row>
    <row r="3410">
      <c r="A3410" s="193"/>
      <c r="B3410" s="194"/>
      <c r="C3410" s="195"/>
      <c r="D3410" s="196"/>
      <c r="E3410" s="197"/>
      <c r="F3410" s="197"/>
      <c r="G3410" s="195"/>
      <c r="H3410" s="195"/>
      <c r="I3410" s="197"/>
      <c r="J3410" s="121"/>
      <c r="K3410" s="121"/>
      <c r="L3410" s="200"/>
      <c r="M3410" s="204"/>
      <c r="N3410" s="205"/>
      <c r="O3410" s="170"/>
      <c r="P3410" s="198"/>
      <c r="Q3410" s="199"/>
      <c r="R3410" s="200"/>
      <c r="S3410" s="170"/>
      <c r="T3410" s="170"/>
      <c r="U3410" s="201"/>
      <c r="V3410" s="198"/>
      <c r="W3410" s="170"/>
      <c r="X3410" s="202"/>
      <c r="Z3410" s="170"/>
      <c r="AA3410" s="198"/>
      <c r="AB3410" s="170"/>
      <c r="AC3410" s="170"/>
      <c r="AD3410" s="121"/>
      <c r="AE3410" s="121"/>
      <c r="AF3410" s="121"/>
      <c r="AG3410" s="22"/>
      <c r="AH3410" s="22"/>
      <c r="AI3410" s="22"/>
      <c r="AJ3410" s="22"/>
      <c r="AK3410" s="22"/>
      <c r="AL3410" s="22"/>
      <c r="AM3410" s="22"/>
      <c r="AN3410" s="22"/>
      <c r="AO3410" s="22"/>
      <c r="AP3410" s="22"/>
    </row>
    <row r="3411">
      <c r="A3411" s="193"/>
      <c r="B3411" s="194"/>
      <c r="C3411" s="195"/>
      <c r="D3411" s="196"/>
      <c r="E3411" s="197"/>
      <c r="F3411" s="197"/>
      <c r="G3411" s="195"/>
      <c r="H3411" s="195"/>
      <c r="I3411" s="197"/>
      <c r="J3411" s="121"/>
      <c r="K3411" s="121"/>
      <c r="L3411" s="200"/>
      <c r="M3411" s="204"/>
      <c r="N3411" s="205"/>
      <c r="O3411" s="170"/>
      <c r="P3411" s="198"/>
      <c r="Q3411" s="199"/>
      <c r="R3411" s="200"/>
      <c r="S3411" s="170"/>
      <c r="T3411" s="170"/>
      <c r="U3411" s="201"/>
      <c r="V3411" s="198"/>
      <c r="W3411" s="170"/>
      <c r="X3411" s="202"/>
      <c r="Z3411" s="170"/>
      <c r="AA3411" s="198"/>
      <c r="AB3411" s="170"/>
      <c r="AC3411" s="170"/>
      <c r="AD3411" s="121"/>
      <c r="AE3411" s="121"/>
      <c r="AF3411" s="121"/>
      <c r="AG3411" s="22"/>
      <c r="AH3411" s="22"/>
      <c r="AI3411" s="22"/>
      <c r="AJ3411" s="22"/>
      <c r="AK3411" s="22"/>
      <c r="AL3411" s="22"/>
      <c r="AM3411" s="22"/>
      <c r="AN3411" s="22"/>
      <c r="AO3411" s="22"/>
      <c r="AP3411" s="22"/>
    </row>
    <row r="3412">
      <c r="A3412" s="193"/>
      <c r="B3412" s="194"/>
      <c r="C3412" s="195"/>
      <c r="D3412" s="196"/>
      <c r="E3412" s="197"/>
      <c r="F3412" s="197"/>
      <c r="G3412" s="195"/>
      <c r="H3412" s="195"/>
      <c r="I3412" s="197"/>
      <c r="J3412" s="121"/>
      <c r="K3412" s="121"/>
      <c r="L3412" s="200"/>
      <c r="M3412" s="204"/>
      <c r="N3412" s="205"/>
      <c r="O3412" s="170"/>
      <c r="P3412" s="198"/>
      <c r="Q3412" s="199"/>
      <c r="R3412" s="200"/>
      <c r="S3412" s="170"/>
      <c r="T3412" s="170"/>
      <c r="U3412" s="201"/>
      <c r="V3412" s="198"/>
      <c r="W3412" s="170"/>
      <c r="X3412" s="202"/>
      <c r="Z3412" s="170"/>
      <c r="AA3412" s="198"/>
      <c r="AB3412" s="170"/>
      <c r="AC3412" s="170"/>
      <c r="AD3412" s="121"/>
      <c r="AE3412" s="121"/>
      <c r="AF3412" s="121"/>
      <c r="AG3412" s="22"/>
      <c r="AH3412" s="22"/>
      <c r="AI3412" s="22"/>
      <c r="AJ3412" s="22"/>
      <c r="AK3412" s="22"/>
      <c r="AL3412" s="22"/>
      <c r="AM3412" s="22"/>
      <c r="AN3412" s="22"/>
      <c r="AO3412" s="22"/>
      <c r="AP3412" s="22"/>
    </row>
    <row r="3413">
      <c r="A3413" s="193"/>
      <c r="B3413" s="194"/>
      <c r="C3413" s="195"/>
      <c r="D3413" s="196"/>
      <c r="E3413" s="197"/>
      <c r="F3413" s="197"/>
      <c r="G3413" s="195"/>
      <c r="H3413" s="195"/>
      <c r="I3413" s="197"/>
      <c r="J3413" s="121"/>
      <c r="K3413" s="121"/>
      <c r="L3413" s="200"/>
      <c r="M3413" s="204"/>
      <c r="N3413" s="205"/>
      <c r="O3413" s="170"/>
      <c r="P3413" s="198"/>
      <c r="Q3413" s="199"/>
      <c r="R3413" s="200"/>
      <c r="S3413" s="170"/>
      <c r="T3413" s="170"/>
      <c r="U3413" s="201"/>
      <c r="V3413" s="198"/>
      <c r="W3413" s="170"/>
      <c r="X3413" s="202"/>
      <c r="Z3413" s="170"/>
      <c r="AA3413" s="198"/>
      <c r="AB3413" s="170"/>
      <c r="AC3413" s="170"/>
      <c r="AD3413" s="121"/>
      <c r="AE3413" s="121"/>
      <c r="AF3413" s="121"/>
      <c r="AG3413" s="22"/>
      <c r="AH3413" s="22"/>
      <c r="AI3413" s="22"/>
      <c r="AJ3413" s="22"/>
      <c r="AK3413" s="22"/>
      <c r="AL3413" s="22"/>
      <c r="AM3413" s="22"/>
      <c r="AN3413" s="22"/>
      <c r="AO3413" s="22"/>
      <c r="AP3413" s="22"/>
    </row>
    <row r="3414">
      <c r="A3414" s="193"/>
      <c r="B3414" s="194"/>
      <c r="C3414" s="195"/>
      <c r="D3414" s="196"/>
      <c r="E3414" s="197"/>
      <c r="F3414" s="197"/>
      <c r="G3414" s="195"/>
      <c r="H3414" s="195"/>
      <c r="I3414" s="197"/>
      <c r="J3414" s="121"/>
      <c r="K3414" s="121"/>
      <c r="L3414" s="200"/>
      <c r="M3414" s="204"/>
      <c r="N3414" s="205"/>
      <c r="O3414" s="170"/>
      <c r="P3414" s="198"/>
      <c r="Q3414" s="199"/>
      <c r="R3414" s="200"/>
      <c r="S3414" s="170"/>
      <c r="T3414" s="170"/>
      <c r="U3414" s="201"/>
      <c r="V3414" s="198"/>
      <c r="W3414" s="170"/>
      <c r="X3414" s="202"/>
      <c r="Z3414" s="170"/>
      <c r="AA3414" s="198"/>
      <c r="AB3414" s="170"/>
      <c r="AC3414" s="170"/>
      <c r="AD3414" s="121"/>
      <c r="AE3414" s="121"/>
      <c r="AF3414" s="121"/>
      <c r="AG3414" s="22"/>
      <c r="AH3414" s="22"/>
      <c r="AI3414" s="22"/>
      <c r="AJ3414" s="22"/>
      <c r="AK3414" s="22"/>
      <c r="AL3414" s="22"/>
      <c r="AM3414" s="22"/>
      <c r="AN3414" s="22"/>
      <c r="AO3414" s="22"/>
      <c r="AP3414" s="22"/>
    </row>
    <row r="3415">
      <c r="A3415" s="193"/>
      <c r="B3415" s="194"/>
      <c r="C3415" s="195"/>
      <c r="D3415" s="196"/>
      <c r="E3415" s="197"/>
      <c r="F3415" s="197"/>
      <c r="G3415" s="195"/>
      <c r="H3415" s="195"/>
      <c r="I3415" s="197"/>
      <c r="J3415" s="121"/>
      <c r="K3415" s="121"/>
      <c r="L3415" s="200"/>
      <c r="M3415" s="204"/>
      <c r="N3415" s="205"/>
      <c r="O3415" s="170"/>
      <c r="P3415" s="198"/>
      <c r="Q3415" s="199"/>
      <c r="R3415" s="200"/>
      <c r="S3415" s="170"/>
      <c r="T3415" s="170"/>
      <c r="U3415" s="201"/>
      <c r="V3415" s="198"/>
      <c r="W3415" s="170"/>
      <c r="X3415" s="202"/>
      <c r="Z3415" s="170"/>
      <c r="AA3415" s="198"/>
      <c r="AB3415" s="170"/>
      <c r="AC3415" s="170"/>
      <c r="AD3415" s="121"/>
      <c r="AE3415" s="121"/>
      <c r="AF3415" s="121"/>
      <c r="AG3415" s="22"/>
      <c r="AH3415" s="22"/>
      <c r="AI3415" s="22"/>
      <c r="AJ3415" s="22"/>
      <c r="AK3415" s="22"/>
      <c r="AL3415" s="22"/>
      <c r="AM3415" s="22"/>
      <c r="AN3415" s="22"/>
      <c r="AO3415" s="22"/>
      <c r="AP3415" s="22"/>
    </row>
    <row r="3416">
      <c r="A3416" s="193"/>
      <c r="B3416" s="194"/>
      <c r="C3416" s="195"/>
      <c r="D3416" s="196"/>
      <c r="E3416" s="197"/>
      <c r="F3416" s="197"/>
      <c r="G3416" s="195"/>
      <c r="H3416" s="195"/>
      <c r="I3416" s="197"/>
      <c r="J3416" s="121"/>
      <c r="K3416" s="121"/>
      <c r="L3416" s="200"/>
      <c r="M3416" s="204"/>
      <c r="N3416" s="205"/>
      <c r="O3416" s="170"/>
      <c r="P3416" s="198"/>
      <c r="Q3416" s="199"/>
      <c r="R3416" s="200"/>
      <c r="S3416" s="170"/>
      <c r="T3416" s="170"/>
      <c r="U3416" s="201"/>
      <c r="V3416" s="198"/>
      <c r="W3416" s="170"/>
      <c r="X3416" s="202"/>
      <c r="Z3416" s="170"/>
      <c r="AA3416" s="198"/>
      <c r="AB3416" s="170"/>
      <c r="AC3416" s="170"/>
      <c r="AD3416" s="121"/>
      <c r="AE3416" s="121"/>
      <c r="AF3416" s="121"/>
      <c r="AG3416" s="22"/>
      <c r="AH3416" s="22"/>
      <c r="AI3416" s="22"/>
      <c r="AJ3416" s="22"/>
      <c r="AK3416" s="22"/>
      <c r="AL3416" s="22"/>
      <c r="AM3416" s="22"/>
      <c r="AN3416" s="22"/>
      <c r="AO3416" s="22"/>
      <c r="AP3416" s="22"/>
    </row>
    <row r="3417">
      <c r="A3417" s="193"/>
      <c r="B3417" s="194"/>
      <c r="C3417" s="195"/>
      <c r="D3417" s="196"/>
      <c r="E3417" s="197"/>
      <c r="F3417" s="197"/>
      <c r="G3417" s="195"/>
      <c r="H3417" s="195"/>
      <c r="I3417" s="197"/>
      <c r="J3417" s="121"/>
      <c r="K3417" s="121"/>
      <c r="L3417" s="200"/>
      <c r="M3417" s="204"/>
      <c r="N3417" s="205"/>
      <c r="O3417" s="170"/>
      <c r="P3417" s="198"/>
      <c r="Q3417" s="199"/>
      <c r="R3417" s="200"/>
      <c r="S3417" s="170"/>
      <c r="T3417" s="170"/>
      <c r="U3417" s="201"/>
      <c r="V3417" s="198"/>
      <c r="W3417" s="170"/>
      <c r="X3417" s="202"/>
      <c r="Z3417" s="170"/>
      <c r="AA3417" s="198"/>
      <c r="AB3417" s="170"/>
      <c r="AC3417" s="170"/>
      <c r="AD3417" s="121"/>
      <c r="AE3417" s="121"/>
      <c r="AF3417" s="121"/>
      <c r="AG3417" s="22"/>
      <c r="AH3417" s="22"/>
      <c r="AI3417" s="22"/>
      <c r="AJ3417" s="22"/>
      <c r="AK3417" s="22"/>
      <c r="AL3417" s="22"/>
      <c r="AM3417" s="22"/>
      <c r="AN3417" s="22"/>
      <c r="AO3417" s="22"/>
      <c r="AP3417" s="22"/>
    </row>
    <row r="3418">
      <c r="A3418" s="193"/>
      <c r="B3418" s="194"/>
      <c r="C3418" s="195"/>
      <c r="D3418" s="196"/>
      <c r="E3418" s="197"/>
      <c r="F3418" s="197"/>
      <c r="G3418" s="195"/>
      <c r="H3418" s="195"/>
      <c r="I3418" s="197"/>
      <c r="J3418" s="121"/>
      <c r="K3418" s="121"/>
      <c r="L3418" s="200"/>
      <c r="M3418" s="204"/>
      <c r="N3418" s="205"/>
      <c r="O3418" s="170"/>
      <c r="P3418" s="198"/>
      <c r="Q3418" s="199"/>
      <c r="R3418" s="200"/>
      <c r="S3418" s="170"/>
      <c r="T3418" s="170"/>
      <c r="U3418" s="201"/>
      <c r="V3418" s="198"/>
      <c r="W3418" s="170"/>
      <c r="X3418" s="202"/>
      <c r="Z3418" s="170"/>
      <c r="AA3418" s="198"/>
      <c r="AB3418" s="170"/>
      <c r="AC3418" s="170"/>
      <c r="AD3418" s="121"/>
      <c r="AE3418" s="121"/>
      <c r="AF3418" s="121"/>
      <c r="AG3418" s="22"/>
      <c r="AH3418" s="22"/>
      <c r="AI3418" s="22"/>
      <c r="AJ3418" s="22"/>
      <c r="AK3418" s="22"/>
      <c r="AL3418" s="22"/>
      <c r="AM3418" s="22"/>
      <c r="AN3418" s="22"/>
      <c r="AO3418" s="22"/>
      <c r="AP3418" s="22"/>
    </row>
    <row r="3419">
      <c r="A3419" s="193"/>
      <c r="B3419" s="194"/>
      <c r="C3419" s="195"/>
      <c r="D3419" s="196"/>
      <c r="E3419" s="197"/>
      <c r="F3419" s="197"/>
      <c r="G3419" s="195"/>
      <c r="H3419" s="195"/>
      <c r="I3419" s="197"/>
      <c r="J3419" s="121"/>
      <c r="K3419" s="121"/>
      <c r="L3419" s="200"/>
      <c r="M3419" s="204"/>
      <c r="N3419" s="205"/>
      <c r="O3419" s="170"/>
      <c r="P3419" s="198"/>
      <c r="Q3419" s="199"/>
      <c r="R3419" s="200"/>
      <c r="S3419" s="170"/>
      <c r="T3419" s="170"/>
      <c r="U3419" s="201"/>
      <c r="V3419" s="198"/>
      <c r="W3419" s="170"/>
      <c r="X3419" s="202"/>
      <c r="Z3419" s="170"/>
      <c r="AA3419" s="198"/>
      <c r="AB3419" s="170"/>
      <c r="AC3419" s="170"/>
      <c r="AD3419" s="121"/>
      <c r="AE3419" s="121"/>
      <c r="AF3419" s="121"/>
      <c r="AG3419" s="22"/>
      <c r="AH3419" s="22"/>
      <c r="AI3419" s="22"/>
      <c r="AJ3419" s="22"/>
      <c r="AK3419" s="22"/>
      <c r="AL3419" s="22"/>
      <c r="AM3419" s="22"/>
      <c r="AN3419" s="22"/>
      <c r="AO3419" s="22"/>
      <c r="AP3419" s="22"/>
    </row>
    <row r="3420">
      <c r="A3420" s="193"/>
      <c r="B3420" s="194"/>
      <c r="C3420" s="195"/>
      <c r="D3420" s="196"/>
      <c r="E3420" s="197"/>
      <c r="F3420" s="197"/>
      <c r="G3420" s="195"/>
      <c r="H3420" s="195"/>
      <c r="I3420" s="197"/>
      <c r="J3420" s="121"/>
      <c r="K3420" s="121"/>
      <c r="L3420" s="200"/>
      <c r="M3420" s="204"/>
      <c r="N3420" s="205"/>
      <c r="O3420" s="170"/>
      <c r="P3420" s="198"/>
      <c r="Q3420" s="199"/>
      <c r="R3420" s="200"/>
      <c r="S3420" s="170"/>
      <c r="T3420" s="170"/>
      <c r="U3420" s="201"/>
      <c r="V3420" s="198"/>
      <c r="W3420" s="170"/>
      <c r="X3420" s="202"/>
      <c r="Z3420" s="170"/>
      <c r="AA3420" s="198"/>
      <c r="AB3420" s="170"/>
      <c r="AC3420" s="170"/>
      <c r="AD3420" s="121"/>
      <c r="AE3420" s="121"/>
      <c r="AF3420" s="121"/>
      <c r="AG3420" s="22"/>
      <c r="AH3420" s="22"/>
      <c r="AI3420" s="22"/>
      <c r="AJ3420" s="22"/>
      <c r="AK3420" s="22"/>
      <c r="AL3420" s="22"/>
      <c r="AM3420" s="22"/>
      <c r="AN3420" s="22"/>
      <c r="AO3420" s="22"/>
      <c r="AP3420" s="22"/>
    </row>
    <row r="3421">
      <c r="A3421" s="193"/>
      <c r="B3421" s="194"/>
      <c r="C3421" s="195"/>
      <c r="D3421" s="196"/>
      <c r="E3421" s="197"/>
      <c r="F3421" s="197"/>
      <c r="G3421" s="195"/>
      <c r="H3421" s="195"/>
      <c r="I3421" s="197"/>
      <c r="J3421" s="121"/>
      <c r="K3421" s="121"/>
      <c r="L3421" s="200"/>
      <c r="M3421" s="204"/>
      <c r="N3421" s="205"/>
      <c r="O3421" s="170"/>
      <c r="P3421" s="198"/>
      <c r="Q3421" s="199"/>
      <c r="R3421" s="200"/>
      <c r="S3421" s="170"/>
      <c r="T3421" s="170"/>
      <c r="U3421" s="201"/>
      <c r="V3421" s="198"/>
      <c r="W3421" s="170"/>
      <c r="X3421" s="202"/>
      <c r="Z3421" s="170"/>
      <c r="AA3421" s="198"/>
      <c r="AB3421" s="170"/>
      <c r="AC3421" s="170"/>
      <c r="AD3421" s="121"/>
      <c r="AE3421" s="121"/>
      <c r="AF3421" s="121"/>
      <c r="AG3421" s="22"/>
      <c r="AH3421" s="22"/>
      <c r="AI3421" s="22"/>
      <c r="AJ3421" s="22"/>
      <c r="AK3421" s="22"/>
      <c r="AL3421" s="22"/>
      <c r="AM3421" s="22"/>
      <c r="AN3421" s="22"/>
      <c r="AO3421" s="22"/>
      <c r="AP3421" s="22"/>
    </row>
    <row r="3422">
      <c r="A3422" s="193"/>
      <c r="B3422" s="194"/>
      <c r="C3422" s="195"/>
      <c r="D3422" s="196"/>
      <c r="E3422" s="197"/>
      <c r="F3422" s="197"/>
      <c r="G3422" s="195"/>
      <c r="H3422" s="195"/>
      <c r="I3422" s="197"/>
      <c r="J3422" s="121"/>
      <c r="K3422" s="121"/>
      <c r="L3422" s="200"/>
      <c r="M3422" s="204"/>
      <c r="N3422" s="205"/>
      <c r="O3422" s="170"/>
      <c r="P3422" s="198"/>
      <c r="Q3422" s="199"/>
      <c r="R3422" s="200"/>
      <c r="S3422" s="170"/>
      <c r="T3422" s="170"/>
      <c r="U3422" s="201"/>
      <c r="V3422" s="198"/>
      <c r="W3422" s="170"/>
      <c r="X3422" s="202"/>
      <c r="Z3422" s="170"/>
      <c r="AA3422" s="198"/>
      <c r="AB3422" s="170"/>
      <c r="AC3422" s="170"/>
      <c r="AD3422" s="121"/>
      <c r="AE3422" s="121"/>
      <c r="AF3422" s="121"/>
      <c r="AG3422" s="22"/>
      <c r="AH3422" s="22"/>
      <c r="AI3422" s="22"/>
      <c r="AJ3422" s="22"/>
      <c r="AK3422" s="22"/>
      <c r="AL3422" s="22"/>
      <c r="AM3422" s="22"/>
      <c r="AN3422" s="22"/>
      <c r="AO3422" s="22"/>
      <c r="AP3422" s="22"/>
    </row>
    <row r="3423">
      <c r="A3423" s="193"/>
      <c r="B3423" s="194"/>
      <c r="C3423" s="195"/>
      <c r="D3423" s="196"/>
      <c r="E3423" s="197"/>
      <c r="F3423" s="197"/>
      <c r="G3423" s="195"/>
      <c r="H3423" s="195"/>
      <c r="I3423" s="197"/>
      <c r="J3423" s="121"/>
      <c r="K3423" s="121"/>
      <c r="L3423" s="200"/>
      <c r="M3423" s="204"/>
      <c r="N3423" s="205"/>
      <c r="O3423" s="170"/>
      <c r="P3423" s="198"/>
      <c r="Q3423" s="199"/>
      <c r="R3423" s="200"/>
      <c r="S3423" s="170"/>
      <c r="T3423" s="170"/>
      <c r="U3423" s="201"/>
      <c r="V3423" s="198"/>
      <c r="W3423" s="170"/>
      <c r="X3423" s="202"/>
      <c r="Z3423" s="170"/>
      <c r="AA3423" s="198"/>
      <c r="AB3423" s="170"/>
      <c r="AC3423" s="170"/>
      <c r="AD3423" s="121"/>
      <c r="AE3423" s="121"/>
      <c r="AF3423" s="121"/>
      <c r="AG3423" s="22"/>
      <c r="AH3423" s="22"/>
      <c r="AI3423" s="22"/>
      <c r="AJ3423" s="22"/>
      <c r="AK3423" s="22"/>
      <c r="AL3423" s="22"/>
      <c r="AM3423" s="22"/>
      <c r="AN3423" s="22"/>
      <c r="AO3423" s="22"/>
      <c r="AP3423" s="22"/>
    </row>
    <row r="3424">
      <c r="A3424" s="193"/>
      <c r="B3424" s="194"/>
      <c r="C3424" s="195"/>
      <c r="D3424" s="196"/>
      <c r="E3424" s="197"/>
      <c r="F3424" s="197"/>
      <c r="G3424" s="195"/>
      <c r="H3424" s="195"/>
      <c r="I3424" s="197"/>
      <c r="J3424" s="121"/>
      <c r="K3424" s="121"/>
      <c r="L3424" s="200"/>
      <c r="M3424" s="204"/>
      <c r="N3424" s="205"/>
      <c r="O3424" s="170"/>
      <c r="P3424" s="198"/>
      <c r="Q3424" s="199"/>
      <c r="R3424" s="200"/>
      <c r="S3424" s="170"/>
      <c r="T3424" s="170"/>
      <c r="U3424" s="201"/>
      <c r="V3424" s="198"/>
      <c r="W3424" s="170"/>
      <c r="X3424" s="202"/>
      <c r="Z3424" s="170"/>
      <c r="AA3424" s="198"/>
      <c r="AB3424" s="170"/>
      <c r="AC3424" s="170"/>
      <c r="AD3424" s="121"/>
      <c r="AE3424" s="121"/>
      <c r="AF3424" s="121"/>
      <c r="AG3424" s="22"/>
      <c r="AH3424" s="22"/>
      <c r="AI3424" s="22"/>
      <c r="AJ3424" s="22"/>
      <c r="AK3424" s="22"/>
      <c r="AL3424" s="22"/>
      <c r="AM3424" s="22"/>
      <c r="AN3424" s="22"/>
      <c r="AO3424" s="22"/>
      <c r="AP3424" s="22"/>
    </row>
    <row r="3425">
      <c r="A3425" s="193"/>
      <c r="B3425" s="194"/>
      <c r="C3425" s="195"/>
      <c r="D3425" s="196"/>
      <c r="E3425" s="197"/>
      <c r="F3425" s="197"/>
      <c r="G3425" s="195"/>
      <c r="H3425" s="195"/>
      <c r="I3425" s="197"/>
      <c r="J3425" s="121"/>
      <c r="K3425" s="121"/>
      <c r="L3425" s="200"/>
      <c r="M3425" s="204"/>
      <c r="N3425" s="205"/>
      <c r="O3425" s="170"/>
      <c r="P3425" s="198"/>
      <c r="Q3425" s="199"/>
      <c r="R3425" s="200"/>
      <c r="S3425" s="170"/>
      <c r="T3425" s="170"/>
      <c r="U3425" s="201"/>
      <c r="V3425" s="198"/>
      <c r="W3425" s="170"/>
      <c r="X3425" s="202"/>
      <c r="Z3425" s="170"/>
      <c r="AA3425" s="198"/>
      <c r="AB3425" s="170"/>
      <c r="AC3425" s="170"/>
      <c r="AD3425" s="121"/>
      <c r="AE3425" s="121"/>
      <c r="AF3425" s="121"/>
      <c r="AG3425" s="22"/>
      <c r="AH3425" s="22"/>
      <c r="AI3425" s="22"/>
      <c r="AJ3425" s="22"/>
      <c r="AK3425" s="22"/>
      <c r="AL3425" s="22"/>
      <c r="AM3425" s="22"/>
      <c r="AN3425" s="22"/>
      <c r="AO3425" s="22"/>
      <c r="AP3425" s="22"/>
    </row>
    <row r="3426">
      <c r="A3426" s="193"/>
      <c r="B3426" s="194"/>
      <c r="C3426" s="195"/>
      <c r="D3426" s="196"/>
      <c r="E3426" s="197"/>
      <c r="F3426" s="197"/>
      <c r="G3426" s="195"/>
      <c r="H3426" s="195"/>
      <c r="I3426" s="197"/>
      <c r="J3426" s="121"/>
      <c r="K3426" s="121"/>
      <c r="L3426" s="200"/>
      <c r="M3426" s="204"/>
      <c r="N3426" s="205"/>
      <c r="O3426" s="170"/>
      <c r="P3426" s="198"/>
      <c r="Q3426" s="199"/>
      <c r="R3426" s="200"/>
      <c r="S3426" s="170"/>
      <c r="T3426" s="170"/>
      <c r="U3426" s="201"/>
      <c r="V3426" s="198"/>
      <c r="W3426" s="170"/>
      <c r="X3426" s="202"/>
      <c r="Z3426" s="170"/>
      <c r="AA3426" s="198"/>
      <c r="AB3426" s="170"/>
      <c r="AC3426" s="170"/>
      <c r="AD3426" s="121"/>
      <c r="AE3426" s="121"/>
      <c r="AF3426" s="121"/>
      <c r="AG3426" s="22"/>
      <c r="AH3426" s="22"/>
      <c r="AI3426" s="22"/>
      <c r="AJ3426" s="22"/>
      <c r="AK3426" s="22"/>
      <c r="AL3426" s="22"/>
      <c r="AM3426" s="22"/>
      <c r="AN3426" s="22"/>
      <c r="AO3426" s="22"/>
      <c r="AP3426" s="22"/>
    </row>
    <row r="3427">
      <c r="A3427" s="193"/>
      <c r="B3427" s="194"/>
      <c r="C3427" s="195"/>
      <c r="D3427" s="196"/>
      <c r="E3427" s="197"/>
      <c r="F3427" s="197"/>
      <c r="G3427" s="195"/>
      <c r="H3427" s="195"/>
      <c r="I3427" s="197"/>
      <c r="J3427" s="121"/>
      <c r="K3427" s="121"/>
      <c r="L3427" s="200"/>
      <c r="M3427" s="204"/>
      <c r="N3427" s="205"/>
      <c r="O3427" s="170"/>
      <c r="P3427" s="198"/>
      <c r="Q3427" s="199"/>
      <c r="R3427" s="200"/>
      <c r="S3427" s="170"/>
      <c r="T3427" s="170"/>
      <c r="U3427" s="201"/>
      <c r="V3427" s="198"/>
      <c r="W3427" s="170"/>
      <c r="X3427" s="202"/>
      <c r="Z3427" s="170"/>
      <c r="AA3427" s="198"/>
      <c r="AB3427" s="170"/>
      <c r="AC3427" s="170"/>
      <c r="AD3427" s="121"/>
      <c r="AE3427" s="121"/>
      <c r="AF3427" s="121"/>
      <c r="AG3427" s="22"/>
      <c r="AH3427" s="22"/>
      <c r="AI3427" s="22"/>
      <c r="AJ3427" s="22"/>
      <c r="AK3427" s="22"/>
      <c r="AL3427" s="22"/>
      <c r="AM3427" s="22"/>
      <c r="AN3427" s="22"/>
      <c r="AO3427" s="22"/>
      <c r="AP3427" s="22"/>
    </row>
    <row r="3428">
      <c r="A3428" s="193"/>
      <c r="B3428" s="194"/>
      <c r="C3428" s="195"/>
      <c r="D3428" s="196"/>
      <c r="E3428" s="197"/>
      <c r="F3428" s="197"/>
      <c r="G3428" s="195"/>
      <c r="H3428" s="195"/>
      <c r="I3428" s="197"/>
      <c r="J3428" s="121"/>
      <c r="K3428" s="121"/>
      <c r="L3428" s="200"/>
      <c r="M3428" s="204"/>
      <c r="N3428" s="205"/>
      <c r="O3428" s="170"/>
      <c r="P3428" s="198"/>
      <c r="Q3428" s="199"/>
      <c r="R3428" s="200"/>
      <c r="S3428" s="170"/>
      <c r="T3428" s="170"/>
      <c r="U3428" s="201"/>
      <c r="V3428" s="198"/>
      <c r="W3428" s="170"/>
      <c r="X3428" s="202"/>
      <c r="Z3428" s="170"/>
      <c r="AA3428" s="198"/>
      <c r="AB3428" s="170"/>
      <c r="AC3428" s="170"/>
      <c r="AD3428" s="121"/>
      <c r="AE3428" s="121"/>
      <c r="AF3428" s="121"/>
      <c r="AG3428" s="22"/>
      <c r="AH3428" s="22"/>
      <c r="AI3428" s="22"/>
      <c r="AJ3428" s="22"/>
      <c r="AK3428" s="22"/>
      <c r="AL3428" s="22"/>
      <c r="AM3428" s="22"/>
      <c r="AN3428" s="22"/>
      <c r="AO3428" s="22"/>
      <c r="AP3428" s="22"/>
    </row>
    <row r="3429">
      <c r="A3429" s="193"/>
      <c r="B3429" s="194"/>
      <c r="C3429" s="195"/>
      <c r="D3429" s="196"/>
      <c r="E3429" s="197"/>
      <c r="F3429" s="197"/>
      <c r="G3429" s="195"/>
      <c r="H3429" s="195"/>
      <c r="I3429" s="197"/>
      <c r="J3429" s="121"/>
      <c r="K3429" s="121"/>
      <c r="L3429" s="200"/>
      <c r="M3429" s="204"/>
      <c r="N3429" s="205"/>
      <c r="O3429" s="170"/>
      <c r="P3429" s="198"/>
      <c r="Q3429" s="199"/>
      <c r="R3429" s="200"/>
      <c r="S3429" s="170"/>
      <c r="T3429" s="170"/>
      <c r="U3429" s="201"/>
      <c r="V3429" s="198"/>
      <c r="W3429" s="170"/>
      <c r="X3429" s="202"/>
      <c r="Z3429" s="170"/>
      <c r="AA3429" s="198"/>
      <c r="AB3429" s="170"/>
      <c r="AC3429" s="170"/>
      <c r="AD3429" s="121"/>
      <c r="AE3429" s="121"/>
      <c r="AF3429" s="121"/>
      <c r="AG3429" s="22"/>
      <c r="AH3429" s="22"/>
      <c r="AI3429" s="22"/>
      <c r="AJ3429" s="22"/>
      <c r="AK3429" s="22"/>
      <c r="AL3429" s="22"/>
      <c r="AM3429" s="22"/>
      <c r="AN3429" s="22"/>
      <c r="AO3429" s="22"/>
      <c r="AP3429" s="22"/>
    </row>
    <row r="3430">
      <c r="A3430" s="193"/>
      <c r="B3430" s="194"/>
      <c r="C3430" s="195"/>
      <c r="D3430" s="196"/>
      <c r="E3430" s="197"/>
      <c r="F3430" s="197"/>
      <c r="G3430" s="195"/>
      <c r="H3430" s="195"/>
      <c r="I3430" s="197"/>
      <c r="J3430" s="121"/>
      <c r="K3430" s="121"/>
      <c r="L3430" s="200"/>
      <c r="M3430" s="204"/>
      <c r="N3430" s="205"/>
      <c r="O3430" s="170"/>
      <c r="P3430" s="198"/>
      <c r="Q3430" s="199"/>
      <c r="R3430" s="200"/>
      <c r="S3430" s="170"/>
      <c r="T3430" s="170"/>
      <c r="U3430" s="201"/>
      <c r="V3430" s="198"/>
      <c r="W3430" s="170"/>
      <c r="X3430" s="202"/>
      <c r="Z3430" s="170"/>
      <c r="AA3430" s="198"/>
      <c r="AB3430" s="170"/>
      <c r="AC3430" s="170"/>
      <c r="AD3430" s="121"/>
      <c r="AE3430" s="121"/>
      <c r="AF3430" s="121"/>
      <c r="AG3430" s="22"/>
      <c r="AH3430" s="22"/>
      <c r="AI3430" s="22"/>
      <c r="AJ3430" s="22"/>
      <c r="AK3430" s="22"/>
      <c r="AL3430" s="22"/>
      <c r="AM3430" s="22"/>
      <c r="AN3430" s="22"/>
      <c r="AO3430" s="22"/>
      <c r="AP3430" s="22"/>
    </row>
    <row r="3431">
      <c r="A3431" s="193"/>
      <c r="B3431" s="194"/>
      <c r="C3431" s="195"/>
      <c r="D3431" s="196"/>
      <c r="E3431" s="197"/>
      <c r="F3431" s="197"/>
      <c r="G3431" s="195"/>
      <c r="H3431" s="195"/>
      <c r="I3431" s="197"/>
      <c r="J3431" s="121"/>
      <c r="K3431" s="121"/>
      <c r="L3431" s="200"/>
      <c r="M3431" s="204"/>
      <c r="N3431" s="205"/>
      <c r="O3431" s="170"/>
      <c r="P3431" s="198"/>
      <c r="Q3431" s="199"/>
      <c r="R3431" s="200"/>
      <c r="S3431" s="170"/>
      <c r="T3431" s="170"/>
      <c r="U3431" s="201"/>
      <c r="V3431" s="198"/>
      <c r="W3431" s="170"/>
      <c r="X3431" s="202"/>
      <c r="Z3431" s="170"/>
      <c r="AA3431" s="198"/>
      <c r="AB3431" s="170"/>
      <c r="AC3431" s="170"/>
      <c r="AD3431" s="121"/>
      <c r="AE3431" s="121"/>
      <c r="AF3431" s="121"/>
      <c r="AG3431" s="22"/>
      <c r="AH3431" s="22"/>
      <c r="AI3431" s="22"/>
      <c r="AJ3431" s="22"/>
      <c r="AK3431" s="22"/>
      <c r="AL3431" s="22"/>
      <c r="AM3431" s="22"/>
      <c r="AN3431" s="22"/>
      <c r="AO3431" s="22"/>
      <c r="AP3431" s="22"/>
    </row>
    <row r="3432">
      <c r="A3432" s="193"/>
      <c r="B3432" s="194"/>
      <c r="C3432" s="195"/>
      <c r="D3432" s="196"/>
      <c r="E3432" s="197"/>
      <c r="F3432" s="197"/>
      <c r="G3432" s="195"/>
      <c r="H3432" s="195"/>
      <c r="I3432" s="197"/>
      <c r="J3432" s="121"/>
      <c r="K3432" s="121"/>
      <c r="L3432" s="200"/>
      <c r="M3432" s="204"/>
      <c r="N3432" s="205"/>
      <c r="O3432" s="170"/>
      <c r="P3432" s="198"/>
      <c r="Q3432" s="199"/>
      <c r="R3432" s="200"/>
      <c r="S3432" s="170"/>
      <c r="T3432" s="170"/>
      <c r="U3432" s="201"/>
      <c r="V3432" s="198"/>
      <c r="W3432" s="170"/>
      <c r="X3432" s="202"/>
      <c r="Z3432" s="170"/>
      <c r="AA3432" s="198"/>
      <c r="AB3432" s="170"/>
      <c r="AC3432" s="170"/>
      <c r="AD3432" s="121"/>
      <c r="AE3432" s="121"/>
      <c r="AF3432" s="121"/>
      <c r="AG3432" s="22"/>
      <c r="AH3432" s="22"/>
      <c r="AI3432" s="22"/>
      <c r="AJ3432" s="22"/>
      <c r="AK3432" s="22"/>
      <c r="AL3432" s="22"/>
      <c r="AM3432" s="22"/>
      <c r="AN3432" s="22"/>
      <c r="AO3432" s="22"/>
      <c r="AP3432" s="22"/>
    </row>
    <row r="3433">
      <c r="A3433" s="193"/>
      <c r="B3433" s="194"/>
      <c r="C3433" s="195"/>
      <c r="D3433" s="196"/>
      <c r="E3433" s="197"/>
      <c r="F3433" s="197"/>
      <c r="G3433" s="195"/>
      <c r="H3433" s="195"/>
      <c r="I3433" s="197"/>
      <c r="J3433" s="121"/>
      <c r="K3433" s="121"/>
      <c r="L3433" s="200"/>
      <c r="M3433" s="204"/>
      <c r="N3433" s="205"/>
      <c r="O3433" s="170"/>
      <c r="P3433" s="198"/>
      <c r="Q3433" s="199"/>
      <c r="R3433" s="200"/>
      <c r="S3433" s="170"/>
      <c r="T3433" s="170"/>
      <c r="U3433" s="201"/>
      <c r="V3433" s="198"/>
      <c r="W3433" s="170"/>
      <c r="X3433" s="202"/>
      <c r="Z3433" s="170"/>
      <c r="AA3433" s="198"/>
      <c r="AB3433" s="170"/>
      <c r="AC3433" s="170"/>
      <c r="AD3433" s="121"/>
      <c r="AE3433" s="121"/>
      <c r="AF3433" s="121"/>
      <c r="AG3433" s="22"/>
      <c r="AH3433" s="22"/>
      <c r="AI3433" s="22"/>
      <c r="AJ3433" s="22"/>
      <c r="AK3433" s="22"/>
      <c r="AL3433" s="22"/>
      <c r="AM3433" s="22"/>
      <c r="AN3433" s="22"/>
      <c r="AO3433" s="22"/>
      <c r="AP3433" s="22"/>
    </row>
    <row r="3434">
      <c r="A3434" s="193"/>
      <c r="B3434" s="194"/>
      <c r="C3434" s="195"/>
      <c r="D3434" s="196"/>
      <c r="E3434" s="197"/>
      <c r="F3434" s="197"/>
      <c r="G3434" s="195"/>
      <c r="H3434" s="195"/>
      <c r="I3434" s="197"/>
      <c r="J3434" s="121"/>
      <c r="K3434" s="121"/>
      <c r="L3434" s="200"/>
      <c r="M3434" s="204"/>
      <c r="N3434" s="205"/>
      <c r="O3434" s="170"/>
      <c r="P3434" s="198"/>
      <c r="Q3434" s="199"/>
      <c r="R3434" s="200"/>
      <c r="S3434" s="170"/>
      <c r="T3434" s="170"/>
      <c r="U3434" s="201"/>
      <c r="V3434" s="198"/>
      <c r="W3434" s="170"/>
      <c r="X3434" s="202"/>
      <c r="Z3434" s="170"/>
      <c r="AA3434" s="198"/>
      <c r="AB3434" s="170"/>
      <c r="AC3434" s="170"/>
      <c r="AD3434" s="121"/>
      <c r="AE3434" s="121"/>
      <c r="AF3434" s="121"/>
      <c r="AG3434" s="22"/>
      <c r="AH3434" s="22"/>
      <c r="AI3434" s="22"/>
      <c r="AJ3434" s="22"/>
      <c r="AK3434" s="22"/>
      <c r="AL3434" s="22"/>
      <c r="AM3434" s="22"/>
      <c r="AN3434" s="22"/>
      <c r="AO3434" s="22"/>
      <c r="AP3434" s="22"/>
    </row>
    <row r="3435">
      <c r="A3435" s="193"/>
      <c r="B3435" s="194"/>
      <c r="C3435" s="195"/>
      <c r="D3435" s="196"/>
      <c r="E3435" s="197"/>
      <c r="F3435" s="197"/>
      <c r="G3435" s="195"/>
      <c r="H3435" s="195"/>
      <c r="I3435" s="197"/>
      <c r="J3435" s="121"/>
      <c r="K3435" s="121"/>
      <c r="L3435" s="200"/>
      <c r="M3435" s="204"/>
      <c r="N3435" s="205"/>
      <c r="O3435" s="170"/>
      <c r="P3435" s="198"/>
      <c r="Q3435" s="199"/>
      <c r="R3435" s="200"/>
      <c r="S3435" s="170"/>
      <c r="T3435" s="170"/>
      <c r="U3435" s="201"/>
      <c r="V3435" s="198"/>
      <c r="W3435" s="170"/>
      <c r="X3435" s="202"/>
      <c r="Z3435" s="170"/>
      <c r="AA3435" s="198"/>
      <c r="AB3435" s="170"/>
      <c r="AC3435" s="170"/>
      <c r="AD3435" s="121"/>
      <c r="AE3435" s="121"/>
      <c r="AF3435" s="121"/>
      <c r="AG3435" s="22"/>
      <c r="AH3435" s="22"/>
      <c r="AI3435" s="22"/>
      <c r="AJ3435" s="22"/>
      <c r="AK3435" s="22"/>
      <c r="AL3435" s="22"/>
      <c r="AM3435" s="22"/>
      <c r="AN3435" s="22"/>
      <c r="AO3435" s="22"/>
      <c r="AP3435" s="22"/>
    </row>
    <row r="3436">
      <c r="A3436" s="193"/>
      <c r="B3436" s="194"/>
      <c r="C3436" s="195"/>
      <c r="D3436" s="196"/>
      <c r="E3436" s="197"/>
      <c r="F3436" s="197"/>
      <c r="G3436" s="195"/>
      <c r="H3436" s="195"/>
      <c r="I3436" s="197"/>
      <c r="J3436" s="121"/>
      <c r="K3436" s="121"/>
      <c r="L3436" s="200"/>
      <c r="M3436" s="204"/>
      <c r="N3436" s="205"/>
      <c r="O3436" s="170"/>
      <c r="P3436" s="198"/>
      <c r="Q3436" s="199"/>
      <c r="R3436" s="200"/>
      <c r="S3436" s="170"/>
      <c r="T3436" s="170"/>
      <c r="U3436" s="201"/>
      <c r="V3436" s="198"/>
      <c r="W3436" s="170"/>
      <c r="X3436" s="202"/>
      <c r="Z3436" s="170"/>
      <c r="AA3436" s="198"/>
      <c r="AB3436" s="170"/>
      <c r="AC3436" s="170"/>
      <c r="AD3436" s="121"/>
      <c r="AE3436" s="121"/>
      <c r="AF3436" s="121"/>
      <c r="AG3436" s="22"/>
      <c r="AH3436" s="22"/>
      <c r="AI3436" s="22"/>
      <c r="AJ3436" s="22"/>
      <c r="AK3436" s="22"/>
      <c r="AL3436" s="22"/>
      <c r="AM3436" s="22"/>
      <c r="AN3436" s="22"/>
      <c r="AO3436" s="22"/>
      <c r="AP3436" s="22"/>
    </row>
    <row r="3437">
      <c r="A3437" s="193"/>
      <c r="B3437" s="194"/>
      <c r="C3437" s="195"/>
      <c r="D3437" s="196"/>
      <c r="E3437" s="197"/>
      <c r="F3437" s="197"/>
      <c r="G3437" s="195"/>
      <c r="H3437" s="195"/>
      <c r="I3437" s="197"/>
      <c r="J3437" s="121"/>
      <c r="K3437" s="121"/>
      <c r="L3437" s="200"/>
      <c r="M3437" s="204"/>
      <c r="N3437" s="205"/>
      <c r="O3437" s="170"/>
      <c r="P3437" s="198"/>
      <c r="Q3437" s="199"/>
      <c r="R3437" s="200"/>
      <c r="S3437" s="170"/>
      <c r="T3437" s="170"/>
      <c r="U3437" s="201"/>
      <c r="V3437" s="198"/>
      <c r="W3437" s="170"/>
      <c r="X3437" s="202"/>
      <c r="Z3437" s="170"/>
      <c r="AA3437" s="198"/>
      <c r="AB3437" s="170"/>
      <c r="AC3437" s="170"/>
      <c r="AD3437" s="121"/>
      <c r="AE3437" s="121"/>
      <c r="AF3437" s="121"/>
      <c r="AG3437" s="22"/>
      <c r="AH3437" s="22"/>
      <c r="AI3437" s="22"/>
      <c r="AJ3437" s="22"/>
      <c r="AK3437" s="22"/>
      <c r="AL3437" s="22"/>
      <c r="AM3437" s="22"/>
      <c r="AN3437" s="22"/>
      <c r="AO3437" s="22"/>
      <c r="AP3437" s="22"/>
    </row>
    <row r="3438">
      <c r="A3438" s="193"/>
      <c r="B3438" s="194"/>
      <c r="C3438" s="195"/>
      <c r="D3438" s="196"/>
      <c r="E3438" s="197"/>
      <c r="F3438" s="197"/>
      <c r="G3438" s="195"/>
      <c r="H3438" s="195"/>
      <c r="I3438" s="197"/>
      <c r="J3438" s="121"/>
      <c r="K3438" s="121"/>
      <c r="L3438" s="200"/>
      <c r="M3438" s="204"/>
      <c r="N3438" s="205"/>
      <c r="O3438" s="170"/>
      <c r="P3438" s="198"/>
      <c r="Q3438" s="199"/>
      <c r="R3438" s="200"/>
      <c r="S3438" s="170"/>
      <c r="T3438" s="170"/>
      <c r="U3438" s="201"/>
      <c r="V3438" s="198"/>
      <c r="W3438" s="170"/>
      <c r="X3438" s="202"/>
      <c r="Z3438" s="170"/>
      <c r="AA3438" s="198"/>
      <c r="AB3438" s="170"/>
      <c r="AC3438" s="170"/>
      <c r="AD3438" s="121"/>
      <c r="AE3438" s="121"/>
      <c r="AF3438" s="121"/>
      <c r="AG3438" s="22"/>
      <c r="AH3438" s="22"/>
      <c r="AI3438" s="22"/>
      <c r="AJ3438" s="22"/>
      <c r="AK3438" s="22"/>
      <c r="AL3438" s="22"/>
      <c r="AM3438" s="22"/>
      <c r="AN3438" s="22"/>
      <c r="AO3438" s="22"/>
      <c r="AP3438" s="22"/>
    </row>
    <row r="3439">
      <c r="A3439" s="193"/>
      <c r="B3439" s="194"/>
      <c r="C3439" s="195"/>
      <c r="D3439" s="196"/>
      <c r="E3439" s="197"/>
      <c r="F3439" s="197"/>
      <c r="G3439" s="195"/>
      <c r="H3439" s="195"/>
      <c r="I3439" s="197"/>
      <c r="J3439" s="121"/>
      <c r="K3439" s="121"/>
      <c r="L3439" s="200"/>
      <c r="M3439" s="204"/>
      <c r="N3439" s="205"/>
      <c r="O3439" s="170"/>
      <c r="P3439" s="198"/>
      <c r="Q3439" s="199"/>
      <c r="R3439" s="200"/>
      <c r="S3439" s="170"/>
      <c r="T3439" s="170"/>
      <c r="U3439" s="201"/>
      <c r="V3439" s="198"/>
      <c r="W3439" s="170"/>
      <c r="X3439" s="202"/>
      <c r="Z3439" s="170"/>
      <c r="AA3439" s="198"/>
      <c r="AB3439" s="170"/>
      <c r="AC3439" s="170"/>
      <c r="AD3439" s="121"/>
      <c r="AE3439" s="121"/>
      <c r="AF3439" s="121"/>
      <c r="AG3439" s="22"/>
      <c r="AH3439" s="22"/>
      <c r="AI3439" s="22"/>
      <c r="AJ3439" s="22"/>
      <c r="AK3439" s="22"/>
      <c r="AL3439" s="22"/>
      <c r="AM3439" s="22"/>
      <c r="AN3439" s="22"/>
      <c r="AO3439" s="22"/>
      <c r="AP3439" s="22"/>
    </row>
    <row r="3440">
      <c r="A3440" s="193"/>
      <c r="B3440" s="194"/>
      <c r="C3440" s="195"/>
      <c r="D3440" s="196"/>
      <c r="E3440" s="197"/>
      <c r="F3440" s="197"/>
      <c r="G3440" s="195"/>
      <c r="H3440" s="195"/>
      <c r="I3440" s="197"/>
      <c r="J3440" s="121"/>
      <c r="K3440" s="121"/>
      <c r="L3440" s="200"/>
      <c r="M3440" s="204"/>
      <c r="N3440" s="205"/>
      <c r="O3440" s="170"/>
      <c r="P3440" s="198"/>
      <c r="Q3440" s="199"/>
      <c r="R3440" s="200"/>
      <c r="S3440" s="170"/>
      <c r="T3440" s="170"/>
      <c r="U3440" s="201"/>
      <c r="V3440" s="198"/>
      <c r="W3440" s="170"/>
      <c r="X3440" s="202"/>
      <c r="Z3440" s="170"/>
      <c r="AA3440" s="198"/>
      <c r="AB3440" s="170"/>
      <c r="AC3440" s="170"/>
      <c r="AD3440" s="121"/>
      <c r="AE3440" s="121"/>
      <c r="AF3440" s="121"/>
      <c r="AG3440" s="22"/>
      <c r="AH3440" s="22"/>
      <c r="AI3440" s="22"/>
      <c r="AJ3440" s="22"/>
      <c r="AK3440" s="22"/>
      <c r="AL3440" s="22"/>
      <c r="AM3440" s="22"/>
      <c r="AN3440" s="22"/>
      <c r="AO3440" s="22"/>
      <c r="AP3440" s="22"/>
    </row>
    <row r="3441">
      <c r="A3441" s="193"/>
      <c r="B3441" s="194"/>
      <c r="C3441" s="195"/>
      <c r="D3441" s="196"/>
      <c r="E3441" s="197"/>
      <c r="F3441" s="197"/>
      <c r="G3441" s="195"/>
      <c r="H3441" s="195"/>
      <c r="I3441" s="197"/>
      <c r="J3441" s="121"/>
      <c r="K3441" s="121"/>
      <c r="L3441" s="200"/>
      <c r="M3441" s="204"/>
      <c r="N3441" s="205"/>
      <c r="O3441" s="170"/>
      <c r="P3441" s="198"/>
      <c r="Q3441" s="199"/>
      <c r="R3441" s="200"/>
      <c r="S3441" s="170"/>
      <c r="T3441" s="170"/>
      <c r="U3441" s="201"/>
      <c r="V3441" s="198"/>
      <c r="W3441" s="170"/>
      <c r="X3441" s="202"/>
      <c r="Z3441" s="170"/>
      <c r="AA3441" s="198"/>
      <c r="AB3441" s="170"/>
      <c r="AC3441" s="170"/>
      <c r="AD3441" s="121"/>
      <c r="AE3441" s="121"/>
      <c r="AF3441" s="121"/>
      <c r="AG3441" s="22"/>
      <c r="AH3441" s="22"/>
      <c r="AI3441" s="22"/>
      <c r="AJ3441" s="22"/>
      <c r="AK3441" s="22"/>
      <c r="AL3441" s="22"/>
      <c r="AM3441" s="22"/>
      <c r="AN3441" s="22"/>
      <c r="AO3441" s="22"/>
      <c r="AP3441" s="22"/>
    </row>
    <row r="3442">
      <c r="A3442" s="193"/>
      <c r="B3442" s="194"/>
      <c r="C3442" s="195"/>
      <c r="D3442" s="196"/>
      <c r="E3442" s="197"/>
      <c r="F3442" s="197"/>
      <c r="G3442" s="195"/>
      <c r="H3442" s="195"/>
      <c r="I3442" s="197"/>
      <c r="J3442" s="121"/>
      <c r="K3442" s="121"/>
      <c r="L3442" s="200"/>
      <c r="M3442" s="204"/>
      <c r="N3442" s="205"/>
      <c r="O3442" s="170"/>
      <c r="P3442" s="198"/>
      <c r="Q3442" s="199"/>
      <c r="R3442" s="200"/>
      <c r="S3442" s="170"/>
      <c r="T3442" s="170"/>
      <c r="U3442" s="201"/>
      <c r="V3442" s="198"/>
      <c r="W3442" s="170"/>
      <c r="X3442" s="202"/>
      <c r="Z3442" s="170"/>
      <c r="AA3442" s="198"/>
      <c r="AB3442" s="170"/>
      <c r="AC3442" s="170"/>
      <c r="AD3442" s="121"/>
      <c r="AE3442" s="121"/>
      <c r="AF3442" s="121"/>
      <c r="AG3442" s="22"/>
      <c r="AH3442" s="22"/>
      <c r="AI3442" s="22"/>
      <c r="AJ3442" s="22"/>
      <c r="AK3442" s="22"/>
      <c r="AL3442" s="22"/>
      <c r="AM3442" s="22"/>
      <c r="AN3442" s="22"/>
      <c r="AO3442" s="22"/>
      <c r="AP3442" s="22"/>
    </row>
    <row r="3443">
      <c r="A3443" s="193"/>
      <c r="B3443" s="194"/>
      <c r="C3443" s="195"/>
      <c r="D3443" s="196"/>
      <c r="E3443" s="197"/>
      <c r="F3443" s="197"/>
      <c r="G3443" s="195"/>
      <c r="H3443" s="195"/>
      <c r="I3443" s="197"/>
      <c r="J3443" s="121"/>
      <c r="K3443" s="121"/>
      <c r="L3443" s="200"/>
      <c r="M3443" s="204"/>
      <c r="N3443" s="205"/>
      <c r="O3443" s="170"/>
      <c r="P3443" s="198"/>
      <c r="Q3443" s="199"/>
      <c r="R3443" s="200"/>
      <c r="S3443" s="170"/>
      <c r="T3443" s="170"/>
      <c r="U3443" s="201"/>
      <c r="V3443" s="198"/>
      <c r="W3443" s="170"/>
      <c r="X3443" s="202"/>
      <c r="Z3443" s="170"/>
      <c r="AA3443" s="198"/>
      <c r="AB3443" s="170"/>
      <c r="AC3443" s="170"/>
      <c r="AD3443" s="121"/>
      <c r="AE3443" s="121"/>
      <c r="AF3443" s="121"/>
      <c r="AG3443" s="22"/>
      <c r="AH3443" s="22"/>
      <c r="AI3443" s="22"/>
      <c r="AJ3443" s="22"/>
      <c r="AK3443" s="22"/>
      <c r="AL3443" s="22"/>
      <c r="AM3443" s="22"/>
      <c r="AN3443" s="22"/>
      <c r="AO3443" s="22"/>
      <c r="AP3443" s="22"/>
    </row>
    <row r="3444">
      <c r="A3444" s="193"/>
      <c r="B3444" s="194"/>
      <c r="C3444" s="195"/>
      <c r="D3444" s="196"/>
      <c r="E3444" s="197"/>
      <c r="F3444" s="197"/>
      <c r="G3444" s="195"/>
      <c r="H3444" s="195"/>
      <c r="I3444" s="197"/>
      <c r="J3444" s="121"/>
      <c r="K3444" s="121"/>
      <c r="L3444" s="200"/>
      <c r="M3444" s="204"/>
      <c r="N3444" s="205"/>
      <c r="O3444" s="170"/>
      <c r="P3444" s="198"/>
      <c r="Q3444" s="199"/>
      <c r="R3444" s="200"/>
      <c r="S3444" s="170"/>
      <c r="T3444" s="170"/>
      <c r="U3444" s="201"/>
      <c r="V3444" s="198"/>
      <c r="W3444" s="170"/>
      <c r="X3444" s="202"/>
      <c r="Z3444" s="170"/>
      <c r="AA3444" s="198"/>
      <c r="AB3444" s="170"/>
      <c r="AC3444" s="170"/>
      <c r="AD3444" s="121"/>
      <c r="AE3444" s="121"/>
      <c r="AF3444" s="121"/>
      <c r="AG3444" s="22"/>
      <c r="AH3444" s="22"/>
      <c r="AI3444" s="22"/>
      <c r="AJ3444" s="22"/>
      <c r="AK3444" s="22"/>
      <c r="AL3444" s="22"/>
      <c r="AM3444" s="22"/>
      <c r="AN3444" s="22"/>
      <c r="AO3444" s="22"/>
      <c r="AP3444" s="22"/>
    </row>
    <row r="3445">
      <c r="A3445" s="193"/>
      <c r="B3445" s="194"/>
      <c r="C3445" s="195"/>
      <c r="D3445" s="196"/>
      <c r="E3445" s="197"/>
      <c r="F3445" s="197"/>
      <c r="G3445" s="195"/>
      <c r="H3445" s="195"/>
      <c r="I3445" s="197"/>
      <c r="J3445" s="121"/>
      <c r="K3445" s="121"/>
      <c r="L3445" s="200"/>
      <c r="M3445" s="204"/>
      <c r="N3445" s="205"/>
      <c r="O3445" s="170"/>
      <c r="P3445" s="198"/>
      <c r="Q3445" s="199"/>
      <c r="R3445" s="200"/>
      <c r="S3445" s="170"/>
      <c r="T3445" s="170"/>
      <c r="U3445" s="201"/>
      <c r="V3445" s="198"/>
      <c r="W3445" s="170"/>
      <c r="X3445" s="202"/>
      <c r="Z3445" s="170"/>
      <c r="AA3445" s="198"/>
      <c r="AB3445" s="170"/>
      <c r="AC3445" s="170"/>
      <c r="AD3445" s="121"/>
      <c r="AE3445" s="121"/>
      <c r="AF3445" s="121"/>
      <c r="AG3445" s="22"/>
      <c r="AH3445" s="22"/>
      <c r="AI3445" s="22"/>
      <c r="AJ3445" s="22"/>
      <c r="AK3445" s="22"/>
      <c r="AL3445" s="22"/>
      <c r="AM3445" s="22"/>
      <c r="AN3445" s="22"/>
      <c r="AO3445" s="22"/>
      <c r="AP3445" s="22"/>
    </row>
    <row r="3446">
      <c r="A3446" s="193"/>
      <c r="B3446" s="194"/>
      <c r="C3446" s="195"/>
      <c r="D3446" s="196"/>
      <c r="E3446" s="197"/>
      <c r="F3446" s="197"/>
      <c r="G3446" s="195"/>
      <c r="H3446" s="195"/>
      <c r="I3446" s="197"/>
      <c r="J3446" s="121"/>
      <c r="K3446" s="121"/>
      <c r="L3446" s="200"/>
      <c r="M3446" s="204"/>
      <c r="N3446" s="205"/>
      <c r="O3446" s="170"/>
      <c r="P3446" s="198"/>
      <c r="Q3446" s="199"/>
      <c r="R3446" s="200"/>
      <c r="S3446" s="170"/>
      <c r="T3446" s="170"/>
      <c r="U3446" s="201"/>
      <c r="V3446" s="198"/>
      <c r="W3446" s="170"/>
      <c r="X3446" s="202"/>
      <c r="Z3446" s="170"/>
      <c r="AA3446" s="198"/>
      <c r="AB3446" s="170"/>
      <c r="AC3446" s="170"/>
      <c r="AD3446" s="121"/>
      <c r="AE3446" s="121"/>
      <c r="AF3446" s="121"/>
      <c r="AG3446" s="22"/>
      <c r="AH3446" s="22"/>
      <c r="AI3446" s="22"/>
      <c r="AJ3446" s="22"/>
      <c r="AK3446" s="22"/>
      <c r="AL3446" s="22"/>
      <c r="AM3446" s="22"/>
      <c r="AN3446" s="22"/>
      <c r="AO3446" s="22"/>
      <c r="AP3446" s="22"/>
    </row>
    <row r="3447">
      <c r="A3447" s="193"/>
      <c r="B3447" s="194"/>
      <c r="C3447" s="195"/>
      <c r="D3447" s="196"/>
      <c r="E3447" s="197"/>
      <c r="F3447" s="197"/>
      <c r="G3447" s="195"/>
      <c r="H3447" s="195"/>
      <c r="I3447" s="197"/>
      <c r="J3447" s="121"/>
      <c r="K3447" s="121"/>
      <c r="L3447" s="200"/>
      <c r="M3447" s="204"/>
      <c r="N3447" s="205"/>
      <c r="O3447" s="170"/>
      <c r="P3447" s="198"/>
      <c r="Q3447" s="199"/>
      <c r="R3447" s="200"/>
      <c r="S3447" s="170"/>
      <c r="T3447" s="170"/>
      <c r="U3447" s="201"/>
      <c r="V3447" s="198"/>
      <c r="W3447" s="170"/>
      <c r="X3447" s="202"/>
      <c r="Z3447" s="170"/>
      <c r="AA3447" s="198"/>
      <c r="AB3447" s="170"/>
      <c r="AC3447" s="170"/>
      <c r="AD3447" s="121"/>
      <c r="AE3447" s="121"/>
      <c r="AF3447" s="121"/>
      <c r="AG3447" s="22"/>
      <c r="AH3447" s="22"/>
      <c r="AI3447" s="22"/>
      <c r="AJ3447" s="22"/>
      <c r="AK3447" s="22"/>
      <c r="AL3447" s="22"/>
      <c r="AM3447" s="22"/>
      <c r="AN3447" s="22"/>
      <c r="AO3447" s="22"/>
      <c r="AP3447" s="22"/>
    </row>
    <row r="3448">
      <c r="A3448" s="193"/>
      <c r="B3448" s="194"/>
      <c r="C3448" s="195"/>
      <c r="D3448" s="196"/>
      <c r="E3448" s="197"/>
      <c r="F3448" s="197"/>
      <c r="G3448" s="195"/>
      <c r="H3448" s="195"/>
      <c r="I3448" s="197"/>
      <c r="J3448" s="121"/>
      <c r="K3448" s="121"/>
      <c r="L3448" s="200"/>
      <c r="M3448" s="204"/>
      <c r="N3448" s="205"/>
      <c r="O3448" s="170"/>
      <c r="P3448" s="198"/>
      <c r="Q3448" s="199"/>
      <c r="R3448" s="200"/>
      <c r="S3448" s="170"/>
      <c r="T3448" s="170"/>
      <c r="U3448" s="201"/>
      <c r="V3448" s="198"/>
      <c r="W3448" s="170"/>
      <c r="X3448" s="202"/>
      <c r="Z3448" s="170"/>
      <c r="AA3448" s="198"/>
      <c r="AB3448" s="170"/>
      <c r="AC3448" s="170"/>
      <c r="AD3448" s="121"/>
      <c r="AE3448" s="121"/>
      <c r="AF3448" s="121"/>
      <c r="AG3448" s="22"/>
      <c r="AH3448" s="22"/>
      <c r="AI3448" s="22"/>
      <c r="AJ3448" s="22"/>
      <c r="AK3448" s="22"/>
      <c r="AL3448" s="22"/>
      <c r="AM3448" s="22"/>
      <c r="AN3448" s="22"/>
      <c r="AO3448" s="22"/>
      <c r="AP3448" s="22"/>
    </row>
    <row r="3449">
      <c r="A3449" s="193"/>
      <c r="B3449" s="194"/>
      <c r="C3449" s="195"/>
      <c r="D3449" s="196"/>
      <c r="E3449" s="197"/>
      <c r="F3449" s="197"/>
      <c r="G3449" s="195"/>
      <c r="H3449" s="195"/>
      <c r="I3449" s="197"/>
      <c r="J3449" s="121"/>
      <c r="K3449" s="121"/>
      <c r="L3449" s="200"/>
      <c r="M3449" s="204"/>
      <c r="N3449" s="205"/>
      <c r="O3449" s="170"/>
      <c r="P3449" s="198"/>
      <c r="Q3449" s="199"/>
      <c r="R3449" s="200"/>
      <c r="S3449" s="170"/>
      <c r="T3449" s="170"/>
      <c r="U3449" s="201"/>
      <c r="V3449" s="198"/>
      <c r="W3449" s="170"/>
      <c r="X3449" s="202"/>
      <c r="Z3449" s="170"/>
      <c r="AA3449" s="198"/>
      <c r="AB3449" s="170"/>
      <c r="AC3449" s="170"/>
      <c r="AD3449" s="121"/>
      <c r="AE3449" s="121"/>
      <c r="AF3449" s="121"/>
      <c r="AG3449" s="22"/>
      <c r="AH3449" s="22"/>
      <c r="AI3449" s="22"/>
      <c r="AJ3449" s="22"/>
      <c r="AK3449" s="22"/>
      <c r="AL3449" s="22"/>
      <c r="AM3449" s="22"/>
      <c r="AN3449" s="22"/>
      <c r="AO3449" s="22"/>
      <c r="AP3449" s="22"/>
    </row>
    <row r="3450">
      <c r="A3450" s="193"/>
      <c r="B3450" s="194"/>
      <c r="C3450" s="195"/>
      <c r="D3450" s="196"/>
      <c r="E3450" s="197"/>
      <c r="F3450" s="197"/>
      <c r="G3450" s="195"/>
      <c r="H3450" s="195"/>
      <c r="I3450" s="197"/>
      <c r="J3450" s="121"/>
      <c r="K3450" s="121"/>
      <c r="L3450" s="200"/>
      <c r="M3450" s="204"/>
      <c r="N3450" s="205"/>
      <c r="O3450" s="170"/>
      <c r="P3450" s="198"/>
      <c r="Q3450" s="199"/>
      <c r="R3450" s="200"/>
      <c r="S3450" s="170"/>
      <c r="T3450" s="170"/>
      <c r="U3450" s="201"/>
      <c r="V3450" s="198"/>
      <c r="W3450" s="170"/>
      <c r="X3450" s="202"/>
      <c r="Z3450" s="170"/>
      <c r="AA3450" s="198"/>
      <c r="AB3450" s="170"/>
      <c r="AC3450" s="170"/>
      <c r="AD3450" s="121"/>
      <c r="AE3450" s="121"/>
      <c r="AF3450" s="121"/>
      <c r="AG3450" s="22"/>
      <c r="AH3450" s="22"/>
      <c r="AI3450" s="22"/>
      <c r="AJ3450" s="22"/>
      <c r="AK3450" s="22"/>
      <c r="AL3450" s="22"/>
      <c r="AM3450" s="22"/>
      <c r="AN3450" s="22"/>
      <c r="AO3450" s="22"/>
      <c r="AP3450" s="22"/>
    </row>
    <row r="3451">
      <c r="A3451" s="193"/>
      <c r="B3451" s="194"/>
      <c r="C3451" s="195"/>
      <c r="D3451" s="196"/>
      <c r="E3451" s="197"/>
      <c r="F3451" s="197"/>
      <c r="G3451" s="195"/>
      <c r="H3451" s="195"/>
      <c r="I3451" s="197"/>
      <c r="J3451" s="121"/>
      <c r="K3451" s="121"/>
      <c r="L3451" s="200"/>
      <c r="M3451" s="204"/>
      <c r="N3451" s="205"/>
      <c r="O3451" s="170"/>
      <c r="P3451" s="198"/>
      <c r="Q3451" s="199"/>
      <c r="R3451" s="200"/>
      <c r="S3451" s="170"/>
      <c r="T3451" s="170"/>
      <c r="U3451" s="201"/>
      <c r="V3451" s="198"/>
      <c r="W3451" s="170"/>
      <c r="X3451" s="202"/>
      <c r="Z3451" s="170"/>
      <c r="AA3451" s="198"/>
      <c r="AB3451" s="170"/>
      <c r="AC3451" s="170"/>
      <c r="AD3451" s="121"/>
      <c r="AE3451" s="121"/>
      <c r="AF3451" s="121"/>
      <c r="AG3451" s="22"/>
      <c r="AH3451" s="22"/>
      <c r="AI3451" s="22"/>
      <c r="AJ3451" s="22"/>
      <c r="AK3451" s="22"/>
      <c r="AL3451" s="22"/>
      <c r="AM3451" s="22"/>
      <c r="AN3451" s="22"/>
      <c r="AO3451" s="22"/>
      <c r="AP3451" s="22"/>
    </row>
    <row r="3452">
      <c r="A3452" s="193"/>
      <c r="B3452" s="194"/>
      <c r="C3452" s="195"/>
      <c r="D3452" s="196"/>
      <c r="E3452" s="197"/>
      <c r="F3452" s="197"/>
      <c r="G3452" s="195"/>
      <c r="H3452" s="195"/>
      <c r="I3452" s="197"/>
      <c r="J3452" s="121"/>
      <c r="K3452" s="121"/>
      <c r="L3452" s="200"/>
      <c r="M3452" s="204"/>
      <c r="N3452" s="205"/>
      <c r="O3452" s="170"/>
      <c r="P3452" s="198"/>
      <c r="Q3452" s="199"/>
      <c r="R3452" s="200"/>
      <c r="S3452" s="170"/>
      <c r="T3452" s="170"/>
      <c r="U3452" s="201"/>
      <c r="V3452" s="198"/>
      <c r="W3452" s="170"/>
      <c r="X3452" s="202"/>
      <c r="Z3452" s="170"/>
      <c r="AA3452" s="198"/>
      <c r="AB3452" s="170"/>
      <c r="AC3452" s="170"/>
      <c r="AD3452" s="121"/>
      <c r="AE3452" s="121"/>
      <c r="AF3452" s="121"/>
      <c r="AG3452" s="22"/>
      <c r="AH3452" s="22"/>
      <c r="AI3452" s="22"/>
      <c r="AJ3452" s="22"/>
      <c r="AK3452" s="22"/>
      <c r="AL3452" s="22"/>
      <c r="AM3452" s="22"/>
      <c r="AN3452" s="22"/>
      <c r="AO3452" s="22"/>
      <c r="AP3452" s="22"/>
    </row>
    <row r="3453">
      <c r="A3453" s="193"/>
      <c r="B3453" s="194"/>
      <c r="C3453" s="195"/>
      <c r="D3453" s="196"/>
      <c r="E3453" s="197"/>
      <c r="F3453" s="197"/>
      <c r="G3453" s="195"/>
      <c r="H3453" s="195"/>
      <c r="I3453" s="197"/>
      <c r="J3453" s="121"/>
      <c r="K3453" s="121"/>
      <c r="L3453" s="200"/>
      <c r="M3453" s="204"/>
      <c r="N3453" s="205"/>
      <c r="O3453" s="170"/>
      <c r="P3453" s="198"/>
      <c r="Q3453" s="199"/>
      <c r="R3453" s="200"/>
      <c r="S3453" s="170"/>
      <c r="T3453" s="170"/>
      <c r="U3453" s="201"/>
      <c r="V3453" s="198"/>
      <c r="W3453" s="170"/>
      <c r="X3453" s="202"/>
      <c r="Z3453" s="170"/>
      <c r="AA3453" s="198"/>
      <c r="AB3453" s="170"/>
      <c r="AC3453" s="170"/>
      <c r="AD3453" s="121"/>
      <c r="AE3453" s="121"/>
      <c r="AF3453" s="121"/>
      <c r="AG3453" s="22"/>
      <c r="AH3453" s="22"/>
      <c r="AI3453" s="22"/>
      <c r="AJ3453" s="22"/>
      <c r="AK3453" s="22"/>
      <c r="AL3453" s="22"/>
      <c r="AM3453" s="22"/>
      <c r="AN3453" s="22"/>
      <c r="AO3453" s="22"/>
      <c r="AP3453" s="22"/>
    </row>
    <row r="3454">
      <c r="A3454" s="193"/>
      <c r="B3454" s="194"/>
      <c r="C3454" s="195"/>
      <c r="D3454" s="196"/>
      <c r="E3454" s="197"/>
      <c r="F3454" s="197"/>
      <c r="G3454" s="195"/>
      <c r="H3454" s="195"/>
      <c r="I3454" s="197"/>
      <c r="J3454" s="121"/>
      <c r="K3454" s="121"/>
      <c r="L3454" s="200"/>
      <c r="M3454" s="204"/>
      <c r="N3454" s="205"/>
      <c r="O3454" s="170"/>
      <c r="P3454" s="198"/>
      <c r="Q3454" s="199"/>
      <c r="R3454" s="200"/>
      <c r="S3454" s="170"/>
      <c r="T3454" s="170"/>
      <c r="U3454" s="201"/>
      <c r="V3454" s="198"/>
      <c r="W3454" s="170"/>
      <c r="X3454" s="202"/>
      <c r="Z3454" s="170"/>
      <c r="AA3454" s="198"/>
      <c r="AB3454" s="170"/>
      <c r="AC3454" s="170"/>
      <c r="AD3454" s="121"/>
      <c r="AE3454" s="121"/>
      <c r="AF3454" s="121"/>
      <c r="AG3454" s="22"/>
      <c r="AH3454" s="22"/>
      <c r="AI3454" s="22"/>
      <c r="AJ3454" s="22"/>
      <c r="AK3454" s="22"/>
      <c r="AL3454" s="22"/>
      <c r="AM3454" s="22"/>
      <c r="AN3454" s="22"/>
      <c r="AO3454" s="22"/>
      <c r="AP3454" s="22"/>
    </row>
    <row r="3455">
      <c r="A3455" s="193"/>
      <c r="B3455" s="194"/>
      <c r="C3455" s="195"/>
      <c r="D3455" s="196"/>
      <c r="E3455" s="197"/>
      <c r="F3455" s="197"/>
      <c r="G3455" s="195"/>
      <c r="H3455" s="195"/>
      <c r="I3455" s="197"/>
      <c r="J3455" s="121"/>
      <c r="K3455" s="121"/>
      <c r="L3455" s="200"/>
      <c r="M3455" s="204"/>
      <c r="N3455" s="205"/>
      <c r="O3455" s="170"/>
      <c r="P3455" s="198"/>
      <c r="Q3455" s="199"/>
      <c r="R3455" s="200"/>
      <c r="S3455" s="170"/>
      <c r="T3455" s="170"/>
      <c r="U3455" s="201"/>
      <c r="V3455" s="198"/>
      <c r="W3455" s="170"/>
      <c r="X3455" s="202"/>
      <c r="Z3455" s="170"/>
      <c r="AA3455" s="198"/>
      <c r="AB3455" s="170"/>
      <c r="AC3455" s="170"/>
      <c r="AD3455" s="121"/>
      <c r="AE3455" s="121"/>
      <c r="AF3455" s="121"/>
      <c r="AG3455" s="22"/>
      <c r="AH3455" s="22"/>
      <c r="AI3455" s="22"/>
      <c r="AJ3455" s="22"/>
      <c r="AK3455" s="22"/>
      <c r="AL3455" s="22"/>
      <c r="AM3455" s="22"/>
      <c r="AN3455" s="22"/>
      <c r="AO3455" s="22"/>
      <c r="AP3455" s="22"/>
    </row>
    <row r="3456">
      <c r="A3456" s="193"/>
      <c r="B3456" s="194"/>
      <c r="C3456" s="195"/>
      <c r="D3456" s="196"/>
      <c r="E3456" s="197"/>
      <c r="F3456" s="197"/>
      <c r="G3456" s="195"/>
      <c r="H3456" s="195"/>
      <c r="I3456" s="197"/>
      <c r="J3456" s="121"/>
      <c r="K3456" s="121"/>
      <c r="L3456" s="200"/>
      <c r="M3456" s="204"/>
      <c r="N3456" s="205"/>
      <c r="O3456" s="170"/>
      <c r="P3456" s="198"/>
      <c r="Q3456" s="199"/>
      <c r="R3456" s="200"/>
      <c r="S3456" s="170"/>
      <c r="T3456" s="170"/>
      <c r="U3456" s="201"/>
      <c r="V3456" s="198"/>
      <c r="W3456" s="170"/>
      <c r="X3456" s="202"/>
      <c r="Z3456" s="170"/>
      <c r="AA3456" s="198"/>
      <c r="AB3456" s="170"/>
      <c r="AC3456" s="170"/>
      <c r="AD3456" s="121"/>
      <c r="AE3456" s="121"/>
      <c r="AF3456" s="121"/>
      <c r="AG3456" s="22"/>
      <c r="AH3456" s="22"/>
      <c r="AI3456" s="22"/>
      <c r="AJ3456" s="22"/>
      <c r="AK3456" s="22"/>
      <c r="AL3456" s="22"/>
      <c r="AM3456" s="22"/>
      <c r="AN3456" s="22"/>
      <c r="AO3456" s="22"/>
      <c r="AP3456" s="22"/>
    </row>
    <row r="3457">
      <c r="A3457" s="193"/>
      <c r="B3457" s="194"/>
      <c r="C3457" s="195"/>
      <c r="D3457" s="196"/>
      <c r="E3457" s="197"/>
      <c r="F3457" s="197"/>
      <c r="G3457" s="195"/>
      <c r="H3457" s="195"/>
      <c r="I3457" s="197"/>
      <c r="J3457" s="121"/>
      <c r="K3457" s="121"/>
      <c r="L3457" s="200"/>
      <c r="M3457" s="204"/>
      <c r="N3457" s="205"/>
      <c r="O3457" s="170"/>
      <c r="P3457" s="198"/>
      <c r="Q3457" s="199"/>
      <c r="R3457" s="200"/>
      <c r="S3457" s="170"/>
      <c r="T3457" s="170"/>
      <c r="U3457" s="201"/>
      <c r="V3457" s="198"/>
      <c r="W3457" s="170"/>
      <c r="X3457" s="202"/>
      <c r="Z3457" s="170"/>
      <c r="AA3457" s="198"/>
      <c r="AB3457" s="170"/>
      <c r="AC3457" s="170"/>
      <c r="AD3457" s="121"/>
      <c r="AE3457" s="121"/>
      <c r="AF3457" s="121"/>
      <c r="AG3457" s="22"/>
      <c r="AH3457" s="22"/>
      <c r="AI3457" s="22"/>
      <c r="AJ3457" s="22"/>
      <c r="AK3457" s="22"/>
      <c r="AL3457" s="22"/>
      <c r="AM3457" s="22"/>
      <c r="AN3457" s="22"/>
      <c r="AO3457" s="22"/>
      <c r="AP3457" s="22"/>
    </row>
    <row r="3458">
      <c r="A3458" s="193"/>
      <c r="B3458" s="194"/>
      <c r="C3458" s="195"/>
      <c r="D3458" s="196"/>
      <c r="E3458" s="197"/>
      <c r="F3458" s="197"/>
      <c r="G3458" s="195"/>
      <c r="H3458" s="195"/>
      <c r="I3458" s="197"/>
      <c r="J3458" s="121"/>
      <c r="K3458" s="121"/>
      <c r="L3458" s="200"/>
      <c r="M3458" s="204"/>
      <c r="N3458" s="205"/>
      <c r="O3458" s="170"/>
      <c r="P3458" s="198"/>
      <c r="Q3458" s="199"/>
      <c r="R3458" s="200"/>
      <c r="S3458" s="170"/>
      <c r="T3458" s="170"/>
      <c r="U3458" s="201"/>
      <c r="V3458" s="198"/>
      <c r="W3458" s="170"/>
      <c r="X3458" s="202"/>
      <c r="Z3458" s="170"/>
      <c r="AA3458" s="198"/>
      <c r="AB3458" s="170"/>
      <c r="AC3458" s="170"/>
      <c r="AD3458" s="121"/>
      <c r="AE3458" s="121"/>
      <c r="AF3458" s="121"/>
      <c r="AG3458" s="22"/>
      <c r="AH3458" s="22"/>
      <c r="AI3458" s="22"/>
      <c r="AJ3458" s="22"/>
      <c r="AK3458" s="22"/>
      <c r="AL3458" s="22"/>
      <c r="AM3458" s="22"/>
      <c r="AN3458" s="22"/>
      <c r="AO3458" s="22"/>
      <c r="AP3458" s="22"/>
    </row>
    <row r="3459">
      <c r="A3459" s="193"/>
      <c r="B3459" s="194"/>
      <c r="C3459" s="195"/>
      <c r="D3459" s="196"/>
      <c r="E3459" s="197"/>
      <c r="F3459" s="197"/>
      <c r="G3459" s="195"/>
      <c r="H3459" s="195"/>
      <c r="I3459" s="197"/>
      <c r="J3459" s="121"/>
      <c r="K3459" s="121"/>
      <c r="L3459" s="200"/>
      <c r="M3459" s="204"/>
      <c r="N3459" s="205"/>
      <c r="O3459" s="170"/>
      <c r="P3459" s="198"/>
      <c r="Q3459" s="199"/>
      <c r="R3459" s="200"/>
      <c r="S3459" s="170"/>
      <c r="T3459" s="170"/>
      <c r="U3459" s="201"/>
      <c r="V3459" s="198"/>
      <c r="W3459" s="170"/>
      <c r="X3459" s="202"/>
      <c r="Z3459" s="170"/>
      <c r="AA3459" s="198"/>
      <c r="AB3459" s="170"/>
      <c r="AC3459" s="170"/>
      <c r="AD3459" s="121"/>
      <c r="AE3459" s="121"/>
      <c r="AF3459" s="121"/>
      <c r="AG3459" s="22"/>
      <c r="AH3459" s="22"/>
      <c r="AI3459" s="22"/>
      <c r="AJ3459" s="22"/>
      <c r="AK3459" s="22"/>
      <c r="AL3459" s="22"/>
      <c r="AM3459" s="22"/>
      <c r="AN3459" s="22"/>
      <c r="AO3459" s="22"/>
      <c r="AP3459" s="22"/>
    </row>
    <row r="3460">
      <c r="A3460" s="193"/>
      <c r="B3460" s="194"/>
      <c r="C3460" s="195"/>
      <c r="D3460" s="196"/>
      <c r="E3460" s="197"/>
      <c r="F3460" s="197"/>
      <c r="G3460" s="195"/>
      <c r="H3460" s="195"/>
      <c r="I3460" s="197"/>
      <c r="J3460" s="121"/>
      <c r="K3460" s="121"/>
      <c r="L3460" s="200"/>
      <c r="M3460" s="204"/>
      <c r="N3460" s="205"/>
      <c r="O3460" s="170"/>
      <c r="P3460" s="198"/>
      <c r="Q3460" s="199"/>
      <c r="R3460" s="200"/>
      <c r="S3460" s="170"/>
      <c r="T3460" s="170"/>
      <c r="U3460" s="201"/>
      <c r="V3460" s="198"/>
      <c r="W3460" s="170"/>
      <c r="X3460" s="202"/>
      <c r="Z3460" s="170"/>
      <c r="AA3460" s="198"/>
      <c r="AB3460" s="170"/>
      <c r="AC3460" s="170"/>
      <c r="AD3460" s="121"/>
      <c r="AE3460" s="121"/>
      <c r="AF3460" s="121"/>
      <c r="AG3460" s="22"/>
      <c r="AH3460" s="22"/>
      <c r="AI3460" s="22"/>
      <c r="AJ3460" s="22"/>
      <c r="AK3460" s="22"/>
      <c r="AL3460" s="22"/>
      <c r="AM3460" s="22"/>
      <c r="AN3460" s="22"/>
      <c r="AO3460" s="22"/>
      <c r="AP3460" s="22"/>
    </row>
    <row r="3461">
      <c r="A3461" s="193"/>
      <c r="B3461" s="194"/>
      <c r="C3461" s="195"/>
      <c r="D3461" s="196"/>
      <c r="E3461" s="197"/>
      <c r="F3461" s="197"/>
      <c r="G3461" s="195"/>
      <c r="H3461" s="195"/>
      <c r="I3461" s="197"/>
      <c r="J3461" s="121"/>
      <c r="K3461" s="121"/>
      <c r="L3461" s="200"/>
      <c r="M3461" s="204"/>
      <c r="N3461" s="205"/>
      <c r="O3461" s="170"/>
      <c r="P3461" s="198"/>
      <c r="Q3461" s="199"/>
      <c r="R3461" s="200"/>
      <c r="S3461" s="170"/>
      <c r="T3461" s="170"/>
      <c r="U3461" s="201"/>
      <c r="V3461" s="198"/>
      <c r="W3461" s="170"/>
      <c r="X3461" s="202"/>
      <c r="Z3461" s="170"/>
      <c r="AA3461" s="198"/>
      <c r="AB3461" s="170"/>
      <c r="AC3461" s="170"/>
      <c r="AD3461" s="121"/>
      <c r="AE3461" s="121"/>
      <c r="AF3461" s="121"/>
      <c r="AG3461" s="22"/>
      <c r="AH3461" s="22"/>
      <c r="AI3461" s="22"/>
      <c r="AJ3461" s="22"/>
      <c r="AK3461" s="22"/>
      <c r="AL3461" s="22"/>
      <c r="AM3461" s="22"/>
      <c r="AN3461" s="22"/>
      <c r="AO3461" s="22"/>
      <c r="AP3461" s="22"/>
    </row>
    <row r="3462">
      <c r="A3462" s="193"/>
      <c r="B3462" s="194"/>
      <c r="C3462" s="195"/>
      <c r="D3462" s="196"/>
      <c r="E3462" s="197"/>
      <c r="F3462" s="197"/>
      <c r="G3462" s="195"/>
      <c r="H3462" s="195"/>
      <c r="I3462" s="197"/>
      <c r="J3462" s="121"/>
      <c r="K3462" s="121"/>
      <c r="L3462" s="200"/>
      <c r="M3462" s="204"/>
      <c r="N3462" s="205"/>
      <c r="O3462" s="170"/>
      <c r="P3462" s="198"/>
      <c r="Q3462" s="199"/>
      <c r="R3462" s="200"/>
      <c r="S3462" s="170"/>
      <c r="T3462" s="170"/>
      <c r="U3462" s="201"/>
      <c r="V3462" s="198"/>
      <c r="W3462" s="170"/>
      <c r="X3462" s="202"/>
      <c r="Z3462" s="170"/>
      <c r="AA3462" s="198"/>
      <c r="AB3462" s="170"/>
      <c r="AC3462" s="170"/>
      <c r="AD3462" s="121"/>
      <c r="AE3462" s="121"/>
      <c r="AF3462" s="121"/>
      <c r="AG3462" s="22"/>
      <c r="AH3462" s="22"/>
      <c r="AI3462" s="22"/>
      <c r="AJ3462" s="22"/>
      <c r="AK3462" s="22"/>
      <c r="AL3462" s="22"/>
      <c r="AM3462" s="22"/>
      <c r="AN3462" s="22"/>
      <c r="AO3462" s="22"/>
      <c r="AP3462" s="22"/>
    </row>
    <row r="3463">
      <c r="A3463" s="193"/>
      <c r="B3463" s="194"/>
      <c r="C3463" s="195"/>
      <c r="D3463" s="196"/>
      <c r="E3463" s="197"/>
      <c r="F3463" s="197"/>
      <c r="G3463" s="195"/>
      <c r="H3463" s="195"/>
      <c r="I3463" s="197"/>
      <c r="J3463" s="121"/>
      <c r="K3463" s="121"/>
      <c r="L3463" s="200"/>
      <c r="M3463" s="204"/>
      <c r="N3463" s="205"/>
      <c r="O3463" s="170"/>
      <c r="P3463" s="198"/>
      <c r="Q3463" s="199"/>
      <c r="R3463" s="200"/>
      <c r="S3463" s="170"/>
      <c r="T3463" s="170"/>
      <c r="U3463" s="201"/>
      <c r="V3463" s="198"/>
      <c r="W3463" s="170"/>
      <c r="X3463" s="202"/>
      <c r="Z3463" s="170"/>
      <c r="AA3463" s="198"/>
      <c r="AB3463" s="170"/>
      <c r="AC3463" s="170"/>
      <c r="AD3463" s="121"/>
      <c r="AE3463" s="121"/>
      <c r="AF3463" s="121"/>
      <c r="AG3463" s="22"/>
      <c r="AH3463" s="22"/>
      <c r="AI3463" s="22"/>
      <c r="AJ3463" s="22"/>
      <c r="AK3463" s="22"/>
      <c r="AL3463" s="22"/>
      <c r="AM3463" s="22"/>
      <c r="AN3463" s="22"/>
      <c r="AO3463" s="22"/>
      <c r="AP3463" s="22"/>
    </row>
    <row r="3464">
      <c r="A3464" s="193"/>
      <c r="B3464" s="194"/>
      <c r="C3464" s="195"/>
      <c r="D3464" s="196"/>
      <c r="E3464" s="197"/>
      <c r="F3464" s="197"/>
      <c r="G3464" s="195"/>
      <c r="H3464" s="195"/>
      <c r="I3464" s="197"/>
      <c r="J3464" s="121"/>
      <c r="K3464" s="121"/>
      <c r="L3464" s="200"/>
      <c r="M3464" s="204"/>
      <c r="N3464" s="205"/>
      <c r="O3464" s="170"/>
      <c r="P3464" s="198"/>
      <c r="Q3464" s="199"/>
      <c r="R3464" s="200"/>
      <c r="S3464" s="170"/>
      <c r="T3464" s="170"/>
      <c r="U3464" s="201"/>
      <c r="V3464" s="198"/>
      <c r="W3464" s="170"/>
      <c r="X3464" s="202"/>
      <c r="Z3464" s="170"/>
      <c r="AA3464" s="198"/>
      <c r="AB3464" s="170"/>
      <c r="AC3464" s="170"/>
      <c r="AD3464" s="121"/>
      <c r="AE3464" s="121"/>
      <c r="AF3464" s="121"/>
      <c r="AG3464" s="22"/>
      <c r="AH3464" s="22"/>
      <c r="AI3464" s="22"/>
      <c r="AJ3464" s="22"/>
      <c r="AK3464" s="22"/>
      <c r="AL3464" s="22"/>
      <c r="AM3464" s="22"/>
      <c r="AN3464" s="22"/>
      <c r="AO3464" s="22"/>
      <c r="AP3464" s="22"/>
    </row>
    <row r="3465">
      <c r="A3465" s="193"/>
      <c r="B3465" s="194"/>
      <c r="C3465" s="195"/>
      <c r="D3465" s="196"/>
      <c r="E3465" s="197"/>
      <c r="F3465" s="197"/>
      <c r="G3465" s="195"/>
      <c r="H3465" s="195"/>
      <c r="I3465" s="197"/>
      <c r="J3465" s="121"/>
      <c r="K3465" s="121"/>
      <c r="L3465" s="200"/>
      <c r="M3465" s="204"/>
      <c r="N3465" s="205"/>
      <c r="O3465" s="170"/>
      <c r="P3465" s="198"/>
      <c r="Q3465" s="199"/>
      <c r="R3465" s="200"/>
      <c r="S3465" s="170"/>
      <c r="T3465" s="170"/>
      <c r="U3465" s="201"/>
      <c r="V3465" s="198"/>
      <c r="W3465" s="170"/>
      <c r="X3465" s="202"/>
      <c r="Z3465" s="170"/>
      <c r="AA3465" s="198"/>
      <c r="AB3465" s="170"/>
      <c r="AC3465" s="170"/>
      <c r="AD3465" s="121"/>
      <c r="AE3465" s="121"/>
      <c r="AF3465" s="121"/>
      <c r="AG3465" s="22"/>
      <c r="AH3465" s="22"/>
      <c r="AI3465" s="22"/>
      <c r="AJ3465" s="22"/>
      <c r="AK3465" s="22"/>
      <c r="AL3465" s="22"/>
      <c r="AM3465" s="22"/>
      <c r="AN3465" s="22"/>
      <c r="AO3465" s="22"/>
      <c r="AP3465" s="22"/>
    </row>
    <row r="3466">
      <c r="A3466" s="193"/>
      <c r="B3466" s="194"/>
      <c r="C3466" s="195"/>
      <c r="D3466" s="196"/>
      <c r="E3466" s="197"/>
      <c r="F3466" s="197"/>
      <c r="G3466" s="195"/>
      <c r="H3466" s="195"/>
      <c r="I3466" s="197"/>
      <c r="J3466" s="121"/>
      <c r="K3466" s="121"/>
      <c r="L3466" s="200"/>
      <c r="M3466" s="204"/>
      <c r="N3466" s="205"/>
      <c r="O3466" s="170"/>
      <c r="P3466" s="198"/>
      <c r="Q3466" s="199"/>
      <c r="R3466" s="200"/>
      <c r="S3466" s="170"/>
      <c r="T3466" s="170"/>
      <c r="U3466" s="201"/>
      <c r="V3466" s="198"/>
      <c r="W3466" s="170"/>
      <c r="X3466" s="202"/>
      <c r="Z3466" s="170"/>
      <c r="AA3466" s="198"/>
      <c r="AB3466" s="170"/>
      <c r="AC3466" s="170"/>
      <c r="AD3466" s="121"/>
      <c r="AE3466" s="121"/>
      <c r="AF3466" s="121"/>
      <c r="AG3466" s="22"/>
      <c r="AH3466" s="22"/>
      <c r="AI3466" s="22"/>
      <c r="AJ3466" s="22"/>
      <c r="AK3466" s="22"/>
      <c r="AL3466" s="22"/>
      <c r="AM3466" s="22"/>
      <c r="AN3466" s="22"/>
      <c r="AO3466" s="22"/>
      <c r="AP3466" s="22"/>
    </row>
    <row r="3467">
      <c r="A3467" s="193"/>
      <c r="B3467" s="194"/>
      <c r="C3467" s="195"/>
      <c r="D3467" s="196"/>
      <c r="E3467" s="197"/>
      <c r="F3467" s="197"/>
      <c r="G3467" s="195"/>
      <c r="H3467" s="195"/>
      <c r="I3467" s="197"/>
      <c r="J3467" s="121"/>
      <c r="K3467" s="121"/>
      <c r="L3467" s="200"/>
      <c r="M3467" s="204"/>
      <c r="N3467" s="205"/>
      <c r="O3467" s="170"/>
      <c r="P3467" s="198"/>
      <c r="Q3467" s="199"/>
      <c r="R3467" s="200"/>
      <c r="S3467" s="170"/>
      <c r="T3467" s="170"/>
      <c r="U3467" s="201"/>
      <c r="V3467" s="198"/>
      <c r="W3467" s="170"/>
      <c r="X3467" s="202"/>
      <c r="Z3467" s="170"/>
      <c r="AA3467" s="198"/>
      <c r="AB3467" s="170"/>
      <c r="AC3467" s="170"/>
      <c r="AD3467" s="121"/>
      <c r="AE3467" s="121"/>
      <c r="AF3467" s="121"/>
      <c r="AG3467" s="22"/>
      <c r="AH3467" s="22"/>
      <c r="AI3467" s="22"/>
      <c r="AJ3467" s="22"/>
      <c r="AK3467" s="22"/>
      <c r="AL3467" s="22"/>
      <c r="AM3467" s="22"/>
      <c r="AN3467" s="22"/>
      <c r="AO3467" s="22"/>
      <c r="AP3467" s="22"/>
    </row>
    <row r="3468">
      <c r="A3468" s="193"/>
      <c r="B3468" s="194"/>
      <c r="C3468" s="195"/>
      <c r="D3468" s="196"/>
      <c r="E3468" s="197"/>
      <c r="F3468" s="197"/>
      <c r="G3468" s="195"/>
      <c r="H3468" s="195"/>
      <c r="I3468" s="197"/>
      <c r="J3468" s="121"/>
      <c r="K3468" s="121"/>
      <c r="L3468" s="200"/>
      <c r="M3468" s="204"/>
      <c r="N3468" s="205"/>
      <c r="O3468" s="170"/>
      <c r="P3468" s="198"/>
      <c r="Q3468" s="199"/>
      <c r="R3468" s="200"/>
      <c r="S3468" s="170"/>
      <c r="T3468" s="170"/>
      <c r="U3468" s="201"/>
      <c r="V3468" s="198"/>
      <c r="W3468" s="170"/>
      <c r="X3468" s="202"/>
      <c r="Z3468" s="170"/>
      <c r="AA3468" s="198"/>
      <c r="AB3468" s="170"/>
      <c r="AC3468" s="170"/>
      <c r="AD3468" s="121"/>
      <c r="AE3468" s="121"/>
      <c r="AF3468" s="121"/>
      <c r="AG3468" s="22"/>
      <c r="AH3468" s="22"/>
      <c r="AI3468" s="22"/>
      <c r="AJ3468" s="22"/>
      <c r="AK3468" s="22"/>
      <c r="AL3468" s="22"/>
      <c r="AM3468" s="22"/>
      <c r="AN3468" s="22"/>
      <c r="AO3468" s="22"/>
      <c r="AP3468" s="22"/>
    </row>
    <row r="3469">
      <c r="A3469" s="193"/>
      <c r="B3469" s="194"/>
      <c r="C3469" s="195"/>
      <c r="D3469" s="196"/>
      <c r="E3469" s="197"/>
      <c r="F3469" s="197"/>
      <c r="G3469" s="195"/>
      <c r="H3469" s="195"/>
      <c r="I3469" s="197"/>
      <c r="J3469" s="121"/>
      <c r="K3469" s="121"/>
      <c r="L3469" s="200"/>
      <c r="M3469" s="204"/>
      <c r="N3469" s="205"/>
      <c r="O3469" s="170"/>
      <c r="P3469" s="198"/>
      <c r="Q3469" s="199"/>
      <c r="R3469" s="200"/>
      <c r="S3469" s="170"/>
      <c r="T3469" s="170"/>
      <c r="U3469" s="201"/>
      <c r="V3469" s="198"/>
      <c r="W3469" s="170"/>
      <c r="X3469" s="202"/>
      <c r="Z3469" s="170"/>
      <c r="AA3469" s="198"/>
      <c r="AB3469" s="170"/>
      <c r="AC3469" s="170"/>
      <c r="AD3469" s="121"/>
      <c r="AE3469" s="121"/>
      <c r="AF3469" s="121"/>
      <c r="AG3469" s="22"/>
      <c r="AH3469" s="22"/>
      <c r="AI3469" s="22"/>
      <c r="AJ3469" s="22"/>
      <c r="AK3469" s="22"/>
      <c r="AL3469" s="22"/>
      <c r="AM3469" s="22"/>
      <c r="AN3469" s="22"/>
      <c r="AO3469" s="22"/>
      <c r="AP3469" s="22"/>
    </row>
    <row r="3470">
      <c r="A3470" s="193"/>
      <c r="B3470" s="194"/>
      <c r="C3470" s="195"/>
      <c r="D3470" s="196"/>
      <c r="E3470" s="197"/>
      <c r="F3470" s="197"/>
      <c r="G3470" s="195"/>
      <c r="H3470" s="195"/>
      <c r="I3470" s="197"/>
      <c r="J3470" s="121"/>
      <c r="K3470" s="121"/>
      <c r="L3470" s="200"/>
      <c r="M3470" s="204"/>
      <c r="N3470" s="205"/>
      <c r="O3470" s="170"/>
      <c r="P3470" s="198"/>
      <c r="Q3470" s="199"/>
      <c r="R3470" s="200"/>
      <c r="S3470" s="170"/>
      <c r="T3470" s="170"/>
      <c r="U3470" s="201"/>
      <c r="V3470" s="198"/>
      <c r="W3470" s="170"/>
      <c r="X3470" s="202"/>
      <c r="Z3470" s="170"/>
      <c r="AA3470" s="198"/>
      <c r="AB3470" s="170"/>
      <c r="AC3470" s="170"/>
      <c r="AD3470" s="121"/>
      <c r="AE3470" s="121"/>
      <c r="AF3470" s="121"/>
      <c r="AG3470" s="22"/>
      <c r="AH3470" s="22"/>
      <c r="AI3470" s="22"/>
      <c r="AJ3470" s="22"/>
      <c r="AK3470" s="22"/>
      <c r="AL3470" s="22"/>
      <c r="AM3470" s="22"/>
      <c r="AN3470" s="22"/>
      <c r="AO3470" s="22"/>
      <c r="AP3470" s="22"/>
    </row>
    <row r="3471">
      <c r="A3471" s="193"/>
      <c r="B3471" s="194"/>
      <c r="C3471" s="195"/>
      <c r="D3471" s="196"/>
      <c r="E3471" s="197"/>
      <c r="F3471" s="197"/>
      <c r="G3471" s="195"/>
      <c r="H3471" s="195"/>
      <c r="I3471" s="197"/>
      <c r="J3471" s="121"/>
      <c r="K3471" s="121"/>
      <c r="L3471" s="200"/>
      <c r="M3471" s="204"/>
      <c r="N3471" s="205"/>
      <c r="O3471" s="170"/>
      <c r="P3471" s="198"/>
      <c r="Q3471" s="199"/>
      <c r="R3471" s="200"/>
      <c r="S3471" s="170"/>
      <c r="T3471" s="170"/>
      <c r="U3471" s="201"/>
      <c r="V3471" s="198"/>
      <c r="W3471" s="170"/>
      <c r="X3471" s="202"/>
      <c r="Z3471" s="170"/>
      <c r="AA3471" s="198"/>
      <c r="AB3471" s="170"/>
      <c r="AC3471" s="170"/>
      <c r="AD3471" s="121"/>
      <c r="AE3471" s="121"/>
      <c r="AF3471" s="121"/>
      <c r="AG3471" s="22"/>
      <c r="AH3471" s="22"/>
      <c r="AI3471" s="22"/>
      <c r="AJ3471" s="22"/>
      <c r="AK3471" s="22"/>
      <c r="AL3471" s="22"/>
      <c r="AM3471" s="22"/>
      <c r="AN3471" s="22"/>
      <c r="AO3471" s="22"/>
      <c r="AP3471" s="22"/>
    </row>
    <row r="3472">
      <c r="A3472" s="193"/>
      <c r="B3472" s="194"/>
      <c r="C3472" s="195"/>
      <c r="D3472" s="196"/>
      <c r="E3472" s="197"/>
      <c r="F3472" s="197"/>
      <c r="G3472" s="195"/>
      <c r="H3472" s="195"/>
      <c r="I3472" s="197"/>
      <c r="J3472" s="121"/>
      <c r="K3472" s="121"/>
      <c r="L3472" s="200"/>
      <c r="M3472" s="204"/>
      <c r="N3472" s="205"/>
      <c r="O3472" s="170"/>
      <c r="P3472" s="198"/>
      <c r="Q3472" s="199"/>
      <c r="R3472" s="200"/>
      <c r="S3472" s="170"/>
      <c r="T3472" s="170"/>
      <c r="U3472" s="201"/>
      <c r="V3472" s="198"/>
      <c r="W3472" s="170"/>
      <c r="X3472" s="202"/>
      <c r="Z3472" s="170"/>
      <c r="AA3472" s="198"/>
      <c r="AB3472" s="170"/>
      <c r="AC3472" s="170"/>
      <c r="AD3472" s="121"/>
      <c r="AE3472" s="121"/>
      <c r="AF3472" s="121"/>
      <c r="AG3472" s="22"/>
      <c r="AH3472" s="22"/>
      <c r="AI3472" s="22"/>
      <c r="AJ3472" s="22"/>
      <c r="AK3472" s="22"/>
      <c r="AL3472" s="22"/>
      <c r="AM3472" s="22"/>
      <c r="AN3472" s="22"/>
      <c r="AO3472" s="22"/>
      <c r="AP3472" s="22"/>
    </row>
    <row r="3473">
      <c r="A3473" s="193"/>
      <c r="B3473" s="194"/>
      <c r="C3473" s="195"/>
      <c r="D3473" s="196"/>
      <c r="E3473" s="197"/>
      <c r="F3473" s="197"/>
      <c r="G3473" s="195"/>
      <c r="H3473" s="195"/>
      <c r="I3473" s="197"/>
      <c r="J3473" s="121"/>
      <c r="K3473" s="121"/>
      <c r="L3473" s="200"/>
      <c r="M3473" s="204"/>
      <c r="N3473" s="205"/>
      <c r="O3473" s="170"/>
      <c r="P3473" s="198"/>
      <c r="Q3473" s="199"/>
      <c r="R3473" s="200"/>
      <c r="S3473" s="170"/>
      <c r="T3473" s="170"/>
      <c r="U3473" s="201"/>
      <c r="V3473" s="198"/>
      <c r="W3473" s="170"/>
      <c r="X3473" s="202"/>
      <c r="Z3473" s="170"/>
      <c r="AA3473" s="198"/>
      <c r="AB3473" s="170"/>
      <c r="AC3473" s="170"/>
      <c r="AD3473" s="121"/>
      <c r="AE3473" s="121"/>
      <c r="AF3473" s="121"/>
      <c r="AG3473" s="22"/>
      <c r="AH3473" s="22"/>
      <c r="AI3473" s="22"/>
      <c r="AJ3473" s="22"/>
      <c r="AK3473" s="22"/>
      <c r="AL3473" s="22"/>
      <c r="AM3473" s="22"/>
      <c r="AN3473" s="22"/>
      <c r="AO3473" s="22"/>
      <c r="AP3473" s="22"/>
    </row>
    <row r="3474">
      <c r="A3474" s="193"/>
      <c r="B3474" s="194"/>
      <c r="C3474" s="195"/>
      <c r="D3474" s="196"/>
      <c r="E3474" s="197"/>
      <c r="F3474" s="197"/>
      <c r="G3474" s="195"/>
      <c r="H3474" s="195"/>
      <c r="I3474" s="197"/>
      <c r="J3474" s="121"/>
      <c r="K3474" s="121"/>
      <c r="L3474" s="200"/>
      <c r="M3474" s="204"/>
      <c r="N3474" s="205"/>
      <c r="O3474" s="170"/>
      <c r="P3474" s="198"/>
      <c r="Q3474" s="199"/>
      <c r="R3474" s="200"/>
      <c r="S3474" s="170"/>
      <c r="T3474" s="170"/>
      <c r="U3474" s="201"/>
      <c r="V3474" s="198"/>
      <c r="W3474" s="170"/>
      <c r="X3474" s="202"/>
      <c r="Z3474" s="170"/>
      <c r="AA3474" s="198"/>
      <c r="AB3474" s="170"/>
      <c r="AC3474" s="170"/>
      <c r="AD3474" s="121"/>
      <c r="AE3474" s="121"/>
      <c r="AF3474" s="121"/>
      <c r="AG3474" s="22"/>
      <c r="AH3474" s="22"/>
      <c r="AI3474" s="22"/>
      <c r="AJ3474" s="22"/>
      <c r="AK3474" s="22"/>
      <c r="AL3474" s="22"/>
      <c r="AM3474" s="22"/>
      <c r="AN3474" s="22"/>
      <c r="AO3474" s="22"/>
      <c r="AP3474" s="22"/>
    </row>
    <row r="3475">
      <c r="A3475" s="193"/>
      <c r="B3475" s="194"/>
      <c r="C3475" s="195"/>
      <c r="D3475" s="196"/>
      <c r="E3475" s="197"/>
      <c r="F3475" s="197"/>
      <c r="G3475" s="195"/>
      <c r="H3475" s="195"/>
      <c r="I3475" s="197"/>
      <c r="J3475" s="121"/>
      <c r="K3475" s="121"/>
      <c r="L3475" s="200"/>
      <c r="M3475" s="204"/>
      <c r="N3475" s="205"/>
      <c r="O3475" s="170"/>
      <c r="P3475" s="198"/>
      <c r="Q3475" s="199"/>
      <c r="R3475" s="200"/>
      <c r="S3475" s="170"/>
      <c r="T3475" s="170"/>
      <c r="U3475" s="201"/>
      <c r="V3475" s="198"/>
      <c r="W3475" s="170"/>
      <c r="X3475" s="202"/>
      <c r="Z3475" s="170"/>
      <c r="AA3475" s="198"/>
      <c r="AB3475" s="170"/>
      <c r="AC3475" s="170"/>
      <c r="AD3475" s="121"/>
      <c r="AE3475" s="121"/>
      <c r="AF3475" s="121"/>
      <c r="AG3475" s="22"/>
      <c r="AH3475" s="22"/>
      <c r="AI3475" s="22"/>
      <c r="AJ3475" s="22"/>
      <c r="AK3475" s="22"/>
      <c r="AL3475" s="22"/>
      <c r="AM3475" s="22"/>
      <c r="AN3475" s="22"/>
      <c r="AO3475" s="22"/>
      <c r="AP3475" s="22"/>
    </row>
    <row r="3476">
      <c r="A3476" s="193"/>
      <c r="B3476" s="194"/>
      <c r="C3476" s="195"/>
      <c r="D3476" s="196"/>
      <c r="E3476" s="197"/>
      <c r="F3476" s="197"/>
      <c r="G3476" s="195"/>
      <c r="H3476" s="195"/>
      <c r="I3476" s="197"/>
      <c r="J3476" s="121"/>
      <c r="K3476" s="121"/>
      <c r="L3476" s="200"/>
      <c r="M3476" s="204"/>
      <c r="N3476" s="205"/>
      <c r="O3476" s="170"/>
      <c r="P3476" s="198"/>
      <c r="Q3476" s="199"/>
      <c r="R3476" s="200"/>
      <c r="S3476" s="170"/>
      <c r="T3476" s="170"/>
      <c r="U3476" s="201"/>
      <c r="V3476" s="198"/>
      <c r="W3476" s="170"/>
      <c r="X3476" s="202"/>
      <c r="Z3476" s="170"/>
      <c r="AA3476" s="198"/>
      <c r="AB3476" s="170"/>
      <c r="AC3476" s="170"/>
      <c r="AD3476" s="121"/>
      <c r="AE3476" s="121"/>
      <c r="AF3476" s="121"/>
      <c r="AG3476" s="22"/>
      <c r="AH3476" s="22"/>
      <c r="AI3476" s="22"/>
      <c r="AJ3476" s="22"/>
      <c r="AK3476" s="22"/>
      <c r="AL3476" s="22"/>
      <c r="AM3476" s="22"/>
      <c r="AN3476" s="22"/>
      <c r="AO3476" s="22"/>
      <c r="AP3476" s="22"/>
    </row>
    <row r="3477">
      <c r="A3477" s="193"/>
      <c r="B3477" s="194"/>
      <c r="C3477" s="195"/>
      <c r="D3477" s="196"/>
      <c r="E3477" s="197"/>
      <c r="F3477" s="197"/>
      <c r="G3477" s="195"/>
      <c r="H3477" s="195"/>
      <c r="I3477" s="197"/>
      <c r="J3477" s="121"/>
      <c r="K3477" s="121"/>
      <c r="L3477" s="200"/>
      <c r="M3477" s="204"/>
      <c r="N3477" s="205"/>
      <c r="O3477" s="170"/>
      <c r="P3477" s="198"/>
      <c r="Q3477" s="199"/>
      <c r="R3477" s="200"/>
      <c r="S3477" s="170"/>
      <c r="T3477" s="170"/>
      <c r="U3477" s="201"/>
      <c r="V3477" s="198"/>
      <c r="W3477" s="170"/>
      <c r="X3477" s="202"/>
      <c r="Z3477" s="170"/>
      <c r="AA3477" s="198"/>
      <c r="AB3477" s="170"/>
      <c r="AC3477" s="170"/>
      <c r="AD3477" s="121"/>
      <c r="AE3477" s="121"/>
      <c r="AF3477" s="121"/>
      <c r="AG3477" s="22"/>
      <c r="AH3477" s="22"/>
      <c r="AI3477" s="22"/>
      <c r="AJ3477" s="22"/>
      <c r="AK3477" s="22"/>
      <c r="AL3477" s="22"/>
      <c r="AM3477" s="22"/>
      <c r="AN3477" s="22"/>
      <c r="AO3477" s="22"/>
      <c r="AP3477" s="22"/>
    </row>
    <row r="3478">
      <c r="A3478" s="193"/>
      <c r="B3478" s="194"/>
      <c r="C3478" s="195"/>
      <c r="D3478" s="196"/>
      <c r="E3478" s="197"/>
      <c r="F3478" s="197"/>
      <c r="G3478" s="195"/>
      <c r="H3478" s="195"/>
      <c r="I3478" s="197"/>
      <c r="J3478" s="121"/>
      <c r="K3478" s="121"/>
      <c r="L3478" s="200"/>
      <c r="M3478" s="204"/>
      <c r="N3478" s="205"/>
      <c r="O3478" s="170"/>
      <c r="P3478" s="198"/>
      <c r="Q3478" s="199"/>
      <c r="R3478" s="200"/>
      <c r="S3478" s="170"/>
      <c r="T3478" s="170"/>
      <c r="U3478" s="201"/>
      <c r="V3478" s="198"/>
      <c r="W3478" s="170"/>
      <c r="X3478" s="202"/>
      <c r="Z3478" s="170"/>
      <c r="AA3478" s="198"/>
      <c r="AB3478" s="170"/>
      <c r="AC3478" s="170"/>
      <c r="AD3478" s="121"/>
      <c r="AE3478" s="121"/>
      <c r="AF3478" s="121"/>
      <c r="AG3478" s="22"/>
      <c r="AH3478" s="22"/>
      <c r="AI3478" s="22"/>
      <c r="AJ3478" s="22"/>
      <c r="AK3478" s="22"/>
      <c r="AL3478" s="22"/>
      <c r="AM3478" s="22"/>
      <c r="AN3478" s="22"/>
      <c r="AO3478" s="22"/>
      <c r="AP3478" s="22"/>
    </row>
    <row r="3479">
      <c r="A3479" s="193"/>
      <c r="B3479" s="194"/>
      <c r="C3479" s="195"/>
      <c r="D3479" s="196"/>
      <c r="E3479" s="197"/>
      <c r="F3479" s="197"/>
      <c r="G3479" s="195"/>
      <c r="H3479" s="195"/>
      <c r="I3479" s="197"/>
      <c r="J3479" s="121"/>
      <c r="K3479" s="121"/>
      <c r="L3479" s="200"/>
      <c r="M3479" s="204"/>
      <c r="N3479" s="205"/>
      <c r="O3479" s="170"/>
      <c r="P3479" s="198"/>
      <c r="Q3479" s="199"/>
      <c r="R3479" s="200"/>
      <c r="S3479" s="170"/>
      <c r="T3479" s="170"/>
      <c r="U3479" s="201"/>
      <c r="V3479" s="198"/>
      <c r="W3479" s="170"/>
      <c r="X3479" s="202"/>
      <c r="Z3479" s="170"/>
      <c r="AA3479" s="198"/>
      <c r="AB3479" s="170"/>
      <c r="AC3479" s="170"/>
      <c r="AD3479" s="121"/>
      <c r="AE3479" s="121"/>
      <c r="AF3479" s="121"/>
      <c r="AG3479" s="22"/>
      <c r="AH3479" s="22"/>
      <c r="AI3479" s="22"/>
      <c r="AJ3479" s="22"/>
      <c r="AK3479" s="22"/>
      <c r="AL3479" s="22"/>
      <c r="AM3479" s="22"/>
      <c r="AN3479" s="22"/>
      <c r="AO3479" s="22"/>
      <c r="AP3479" s="22"/>
    </row>
    <row r="3480">
      <c r="A3480" s="193"/>
      <c r="B3480" s="194"/>
      <c r="C3480" s="195"/>
      <c r="D3480" s="196"/>
      <c r="E3480" s="197"/>
      <c r="F3480" s="197"/>
      <c r="G3480" s="195"/>
      <c r="H3480" s="195"/>
      <c r="I3480" s="197"/>
      <c r="J3480" s="121"/>
      <c r="K3480" s="121"/>
      <c r="L3480" s="200"/>
      <c r="M3480" s="204"/>
      <c r="N3480" s="205"/>
      <c r="O3480" s="170"/>
      <c r="P3480" s="198"/>
      <c r="Q3480" s="199"/>
      <c r="R3480" s="200"/>
      <c r="S3480" s="170"/>
      <c r="T3480" s="170"/>
      <c r="U3480" s="201"/>
      <c r="V3480" s="198"/>
      <c r="W3480" s="170"/>
      <c r="X3480" s="202"/>
      <c r="Z3480" s="170"/>
      <c r="AA3480" s="198"/>
      <c r="AB3480" s="170"/>
      <c r="AC3480" s="170"/>
      <c r="AD3480" s="121"/>
      <c r="AE3480" s="121"/>
      <c r="AF3480" s="121"/>
      <c r="AG3480" s="22"/>
      <c r="AH3480" s="22"/>
      <c r="AI3480" s="22"/>
      <c r="AJ3480" s="22"/>
      <c r="AK3480" s="22"/>
      <c r="AL3480" s="22"/>
      <c r="AM3480" s="22"/>
      <c r="AN3480" s="22"/>
      <c r="AO3480" s="22"/>
      <c r="AP3480" s="22"/>
    </row>
    <row r="3481">
      <c r="A3481" s="193"/>
      <c r="B3481" s="194"/>
      <c r="C3481" s="195"/>
      <c r="D3481" s="196"/>
      <c r="E3481" s="197"/>
      <c r="F3481" s="197"/>
      <c r="G3481" s="195"/>
      <c r="H3481" s="195"/>
      <c r="I3481" s="197"/>
      <c r="J3481" s="121"/>
      <c r="K3481" s="121"/>
      <c r="L3481" s="200"/>
      <c r="M3481" s="204"/>
      <c r="N3481" s="205"/>
      <c r="O3481" s="170"/>
      <c r="P3481" s="198"/>
      <c r="Q3481" s="199"/>
      <c r="R3481" s="200"/>
      <c r="S3481" s="170"/>
      <c r="T3481" s="170"/>
      <c r="U3481" s="201"/>
      <c r="V3481" s="198"/>
      <c r="W3481" s="170"/>
      <c r="X3481" s="202"/>
      <c r="Z3481" s="170"/>
      <c r="AA3481" s="198"/>
      <c r="AB3481" s="170"/>
      <c r="AC3481" s="170"/>
      <c r="AD3481" s="121"/>
      <c r="AE3481" s="121"/>
      <c r="AF3481" s="121"/>
      <c r="AG3481" s="22"/>
      <c r="AH3481" s="22"/>
      <c r="AI3481" s="22"/>
      <c r="AJ3481" s="22"/>
      <c r="AK3481" s="22"/>
      <c r="AL3481" s="22"/>
      <c r="AM3481" s="22"/>
      <c r="AN3481" s="22"/>
      <c r="AO3481" s="22"/>
      <c r="AP3481" s="22"/>
    </row>
    <row r="3482">
      <c r="A3482" s="193"/>
      <c r="B3482" s="194"/>
      <c r="C3482" s="195"/>
      <c r="D3482" s="196"/>
      <c r="E3482" s="197"/>
      <c r="F3482" s="197"/>
      <c r="G3482" s="195"/>
      <c r="H3482" s="195"/>
      <c r="I3482" s="197"/>
      <c r="J3482" s="121"/>
      <c r="K3482" s="121"/>
      <c r="L3482" s="200"/>
      <c r="M3482" s="204"/>
      <c r="N3482" s="205"/>
      <c r="O3482" s="170"/>
      <c r="P3482" s="198"/>
      <c r="Q3482" s="199"/>
      <c r="R3482" s="200"/>
      <c r="S3482" s="170"/>
      <c r="T3482" s="170"/>
      <c r="U3482" s="201"/>
      <c r="V3482" s="198"/>
      <c r="W3482" s="170"/>
      <c r="X3482" s="202"/>
      <c r="Z3482" s="170"/>
      <c r="AA3482" s="198"/>
      <c r="AB3482" s="170"/>
      <c r="AC3482" s="170"/>
      <c r="AD3482" s="121"/>
      <c r="AE3482" s="121"/>
      <c r="AF3482" s="121"/>
      <c r="AG3482" s="22"/>
      <c r="AH3482" s="22"/>
      <c r="AI3482" s="22"/>
      <c r="AJ3482" s="22"/>
      <c r="AK3482" s="22"/>
      <c r="AL3482" s="22"/>
      <c r="AM3482" s="22"/>
      <c r="AN3482" s="22"/>
      <c r="AO3482" s="22"/>
      <c r="AP3482" s="22"/>
    </row>
    <row r="3483">
      <c r="A3483" s="193"/>
      <c r="B3483" s="194"/>
      <c r="C3483" s="195"/>
      <c r="D3483" s="196"/>
      <c r="E3483" s="197"/>
      <c r="F3483" s="197"/>
      <c r="G3483" s="195"/>
      <c r="H3483" s="195"/>
      <c r="I3483" s="197"/>
      <c r="J3483" s="121"/>
      <c r="K3483" s="121"/>
      <c r="L3483" s="200"/>
      <c r="M3483" s="204"/>
      <c r="N3483" s="205"/>
      <c r="O3483" s="170"/>
      <c r="P3483" s="198"/>
      <c r="Q3483" s="199"/>
      <c r="R3483" s="200"/>
      <c r="S3483" s="170"/>
      <c r="T3483" s="170"/>
      <c r="U3483" s="201"/>
      <c r="V3483" s="198"/>
      <c r="W3483" s="170"/>
      <c r="X3483" s="202"/>
      <c r="Z3483" s="170"/>
      <c r="AA3483" s="198"/>
      <c r="AB3483" s="170"/>
      <c r="AC3483" s="170"/>
      <c r="AD3483" s="121"/>
      <c r="AE3483" s="121"/>
      <c r="AF3483" s="121"/>
      <c r="AG3483" s="22"/>
      <c r="AH3483" s="22"/>
      <c r="AI3483" s="22"/>
      <c r="AJ3483" s="22"/>
      <c r="AK3483" s="22"/>
      <c r="AL3483" s="22"/>
      <c r="AM3483" s="22"/>
      <c r="AN3483" s="22"/>
      <c r="AO3483" s="22"/>
      <c r="AP3483" s="22"/>
    </row>
    <row r="3484">
      <c r="A3484" s="193"/>
      <c r="B3484" s="194"/>
      <c r="C3484" s="195"/>
      <c r="D3484" s="196"/>
      <c r="E3484" s="197"/>
      <c r="F3484" s="197"/>
      <c r="G3484" s="195"/>
      <c r="H3484" s="195"/>
      <c r="I3484" s="197"/>
      <c r="J3484" s="121"/>
      <c r="K3484" s="121"/>
      <c r="L3484" s="200"/>
      <c r="M3484" s="204"/>
      <c r="N3484" s="205"/>
      <c r="O3484" s="170"/>
      <c r="P3484" s="198"/>
      <c r="Q3484" s="199"/>
      <c r="R3484" s="200"/>
      <c r="S3484" s="170"/>
      <c r="T3484" s="170"/>
      <c r="U3484" s="201"/>
      <c r="V3484" s="198"/>
      <c r="W3484" s="170"/>
      <c r="X3484" s="202"/>
      <c r="Z3484" s="170"/>
      <c r="AA3484" s="198"/>
      <c r="AB3484" s="170"/>
      <c r="AC3484" s="170"/>
      <c r="AD3484" s="121"/>
      <c r="AE3484" s="121"/>
      <c r="AF3484" s="121"/>
      <c r="AG3484" s="22"/>
      <c r="AH3484" s="22"/>
      <c r="AI3484" s="22"/>
      <c r="AJ3484" s="22"/>
      <c r="AK3484" s="22"/>
      <c r="AL3484" s="22"/>
      <c r="AM3484" s="22"/>
      <c r="AN3484" s="22"/>
      <c r="AO3484" s="22"/>
      <c r="AP3484" s="22"/>
    </row>
    <row r="3485">
      <c r="A3485" s="193"/>
      <c r="B3485" s="194"/>
      <c r="C3485" s="195"/>
      <c r="D3485" s="196"/>
      <c r="E3485" s="197"/>
      <c r="F3485" s="197"/>
      <c r="G3485" s="195"/>
      <c r="H3485" s="195"/>
      <c r="I3485" s="197"/>
      <c r="J3485" s="121"/>
      <c r="K3485" s="121"/>
      <c r="L3485" s="200"/>
      <c r="M3485" s="204"/>
      <c r="N3485" s="205"/>
      <c r="O3485" s="170"/>
      <c r="P3485" s="198"/>
      <c r="Q3485" s="199"/>
      <c r="R3485" s="200"/>
      <c r="S3485" s="170"/>
      <c r="T3485" s="170"/>
      <c r="U3485" s="201"/>
      <c r="V3485" s="198"/>
      <c r="W3485" s="170"/>
      <c r="X3485" s="202"/>
      <c r="Z3485" s="170"/>
      <c r="AA3485" s="198"/>
      <c r="AB3485" s="170"/>
      <c r="AC3485" s="170"/>
      <c r="AD3485" s="121"/>
      <c r="AE3485" s="121"/>
      <c r="AF3485" s="121"/>
      <c r="AG3485" s="22"/>
      <c r="AH3485" s="22"/>
      <c r="AI3485" s="22"/>
      <c r="AJ3485" s="22"/>
      <c r="AK3485" s="22"/>
      <c r="AL3485" s="22"/>
      <c r="AM3485" s="22"/>
      <c r="AN3485" s="22"/>
      <c r="AO3485" s="22"/>
      <c r="AP3485" s="22"/>
    </row>
    <row r="3486">
      <c r="A3486" s="193"/>
      <c r="B3486" s="194"/>
      <c r="C3486" s="195"/>
      <c r="D3486" s="196"/>
      <c r="E3486" s="197"/>
      <c r="F3486" s="197"/>
      <c r="G3486" s="195"/>
      <c r="H3486" s="195"/>
      <c r="I3486" s="197"/>
      <c r="J3486" s="121"/>
      <c r="K3486" s="121"/>
      <c r="L3486" s="200"/>
      <c r="M3486" s="204"/>
      <c r="N3486" s="205"/>
      <c r="O3486" s="170"/>
      <c r="P3486" s="198"/>
      <c r="Q3486" s="199"/>
      <c r="R3486" s="200"/>
      <c r="S3486" s="170"/>
      <c r="T3486" s="170"/>
      <c r="U3486" s="201"/>
      <c r="V3486" s="198"/>
      <c r="W3486" s="170"/>
      <c r="X3486" s="202"/>
      <c r="Z3486" s="170"/>
      <c r="AA3486" s="198"/>
      <c r="AB3486" s="170"/>
      <c r="AC3486" s="170"/>
      <c r="AD3486" s="121"/>
      <c r="AE3486" s="121"/>
      <c r="AF3486" s="121"/>
      <c r="AG3486" s="22"/>
      <c r="AH3486" s="22"/>
      <c r="AI3486" s="22"/>
      <c r="AJ3486" s="22"/>
      <c r="AK3486" s="22"/>
      <c r="AL3486" s="22"/>
      <c r="AM3486" s="22"/>
      <c r="AN3486" s="22"/>
      <c r="AO3486" s="22"/>
      <c r="AP3486" s="22"/>
    </row>
    <row r="3487">
      <c r="A3487" s="193"/>
      <c r="B3487" s="194"/>
      <c r="C3487" s="195"/>
      <c r="D3487" s="196"/>
      <c r="E3487" s="197"/>
      <c r="F3487" s="197"/>
      <c r="G3487" s="195"/>
      <c r="H3487" s="195"/>
      <c r="I3487" s="197"/>
      <c r="J3487" s="121"/>
      <c r="K3487" s="121"/>
      <c r="L3487" s="200"/>
      <c r="M3487" s="204"/>
      <c r="N3487" s="205"/>
      <c r="O3487" s="170"/>
      <c r="P3487" s="198"/>
      <c r="Q3487" s="199"/>
      <c r="R3487" s="200"/>
      <c r="S3487" s="170"/>
      <c r="T3487" s="170"/>
      <c r="U3487" s="201"/>
      <c r="V3487" s="198"/>
      <c r="W3487" s="170"/>
      <c r="X3487" s="202"/>
      <c r="Z3487" s="170"/>
      <c r="AA3487" s="198"/>
      <c r="AB3487" s="170"/>
      <c r="AC3487" s="170"/>
      <c r="AD3487" s="121"/>
      <c r="AE3487" s="121"/>
      <c r="AF3487" s="121"/>
      <c r="AG3487" s="22"/>
      <c r="AH3487" s="22"/>
      <c r="AI3487" s="22"/>
      <c r="AJ3487" s="22"/>
      <c r="AK3487" s="22"/>
      <c r="AL3487" s="22"/>
      <c r="AM3487" s="22"/>
      <c r="AN3487" s="22"/>
      <c r="AO3487" s="22"/>
      <c r="AP3487" s="22"/>
    </row>
    <row r="3488">
      <c r="A3488" s="193"/>
      <c r="B3488" s="194"/>
      <c r="C3488" s="195"/>
      <c r="D3488" s="196"/>
      <c r="E3488" s="197"/>
      <c r="F3488" s="197"/>
      <c r="G3488" s="195"/>
      <c r="H3488" s="195"/>
      <c r="I3488" s="197"/>
      <c r="J3488" s="121"/>
      <c r="K3488" s="121"/>
      <c r="L3488" s="200"/>
      <c r="M3488" s="204"/>
      <c r="N3488" s="205"/>
      <c r="O3488" s="170"/>
      <c r="P3488" s="198"/>
      <c r="Q3488" s="199"/>
      <c r="R3488" s="200"/>
      <c r="S3488" s="170"/>
      <c r="T3488" s="170"/>
      <c r="U3488" s="201"/>
      <c r="V3488" s="198"/>
      <c r="W3488" s="170"/>
      <c r="X3488" s="202"/>
      <c r="Z3488" s="170"/>
      <c r="AA3488" s="198"/>
      <c r="AB3488" s="170"/>
      <c r="AC3488" s="170"/>
      <c r="AD3488" s="121"/>
      <c r="AE3488" s="121"/>
      <c r="AF3488" s="121"/>
      <c r="AG3488" s="22"/>
      <c r="AH3488" s="22"/>
      <c r="AI3488" s="22"/>
      <c r="AJ3488" s="22"/>
      <c r="AK3488" s="22"/>
      <c r="AL3488" s="22"/>
      <c r="AM3488" s="22"/>
      <c r="AN3488" s="22"/>
      <c r="AO3488" s="22"/>
      <c r="AP3488" s="22"/>
    </row>
    <row r="3489">
      <c r="A3489" s="193"/>
      <c r="B3489" s="194"/>
      <c r="C3489" s="195"/>
      <c r="D3489" s="196"/>
      <c r="E3489" s="197"/>
      <c r="F3489" s="197"/>
      <c r="G3489" s="195"/>
      <c r="H3489" s="195"/>
      <c r="I3489" s="197"/>
      <c r="J3489" s="121"/>
      <c r="K3489" s="121"/>
      <c r="L3489" s="200"/>
      <c r="M3489" s="204"/>
      <c r="N3489" s="205"/>
      <c r="O3489" s="170"/>
      <c r="P3489" s="198"/>
      <c r="Q3489" s="199"/>
      <c r="R3489" s="200"/>
      <c r="S3489" s="170"/>
      <c r="T3489" s="170"/>
      <c r="U3489" s="201"/>
      <c r="V3489" s="198"/>
      <c r="W3489" s="170"/>
      <c r="X3489" s="202"/>
      <c r="Z3489" s="170"/>
      <c r="AA3489" s="198"/>
      <c r="AB3489" s="170"/>
      <c r="AC3489" s="170"/>
      <c r="AD3489" s="121"/>
      <c r="AE3489" s="121"/>
      <c r="AF3489" s="121"/>
      <c r="AG3489" s="22"/>
      <c r="AH3489" s="22"/>
      <c r="AI3489" s="22"/>
      <c r="AJ3489" s="22"/>
      <c r="AK3489" s="22"/>
      <c r="AL3489" s="22"/>
      <c r="AM3489" s="22"/>
      <c r="AN3489" s="22"/>
      <c r="AO3489" s="22"/>
      <c r="AP3489" s="22"/>
    </row>
    <row r="3490">
      <c r="A3490" s="193"/>
      <c r="B3490" s="194"/>
      <c r="C3490" s="195"/>
      <c r="D3490" s="196"/>
      <c r="E3490" s="197"/>
      <c r="F3490" s="197"/>
      <c r="G3490" s="195"/>
      <c r="H3490" s="195"/>
      <c r="I3490" s="197"/>
      <c r="J3490" s="121"/>
      <c r="K3490" s="121"/>
      <c r="L3490" s="200"/>
      <c r="M3490" s="204"/>
      <c r="N3490" s="205"/>
      <c r="O3490" s="170"/>
      <c r="P3490" s="198"/>
      <c r="Q3490" s="199"/>
      <c r="R3490" s="200"/>
      <c r="S3490" s="170"/>
      <c r="T3490" s="170"/>
      <c r="U3490" s="201"/>
      <c r="V3490" s="198"/>
      <c r="W3490" s="170"/>
      <c r="X3490" s="202"/>
      <c r="Z3490" s="170"/>
      <c r="AA3490" s="198"/>
      <c r="AB3490" s="170"/>
      <c r="AC3490" s="170"/>
      <c r="AD3490" s="121"/>
      <c r="AE3490" s="121"/>
      <c r="AF3490" s="121"/>
      <c r="AG3490" s="22"/>
      <c r="AH3490" s="22"/>
      <c r="AI3490" s="22"/>
      <c r="AJ3490" s="22"/>
      <c r="AK3490" s="22"/>
      <c r="AL3490" s="22"/>
      <c r="AM3490" s="22"/>
      <c r="AN3490" s="22"/>
      <c r="AO3490" s="22"/>
      <c r="AP3490" s="22"/>
    </row>
    <row r="3491">
      <c r="A3491" s="193"/>
      <c r="B3491" s="194"/>
      <c r="C3491" s="195"/>
      <c r="D3491" s="196"/>
      <c r="E3491" s="197"/>
      <c r="F3491" s="197"/>
      <c r="G3491" s="195"/>
      <c r="H3491" s="195"/>
      <c r="I3491" s="197"/>
      <c r="J3491" s="121"/>
      <c r="K3491" s="121"/>
      <c r="L3491" s="200"/>
      <c r="M3491" s="204"/>
      <c r="N3491" s="205"/>
      <c r="O3491" s="170"/>
      <c r="P3491" s="198"/>
      <c r="Q3491" s="199"/>
      <c r="R3491" s="200"/>
      <c r="S3491" s="170"/>
      <c r="T3491" s="170"/>
      <c r="U3491" s="201"/>
      <c r="V3491" s="198"/>
      <c r="W3491" s="170"/>
      <c r="X3491" s="202"/>
      <c r="Z3491" s="170"/>
      <c r="AA3491" s="198"/>
      <c r="AB3491" s="170"/>
      <c r="AC3491" s="170"/>
      <c r="AD3491" s="121"/>
      <c r="AE3491" s="121"/>
      <c r="AF3491" s="121"/>
      <c r="AG3491" s="22"/>
      <c r="AH3491" s="22"/>
      <c r="AI3491" s="22"/>
      <c r="AJ3491" s="22"/>
      <c r="AK3491" s="22"/>
      <c r="AL3491" s="22"/>
      <c r="AM3491" s="22"/>
      <c r="AN3491" s="22"/>
      <c r="AO3491" s="22"/>
      <c r="AP3491" s="22"/>
    </row>
    <row r="3492">
      <c r="A3492" s="193"/>
      <c r="B3492" s="194"/>
      <c r="C3492" s="195"/>
      <c r="D3492" s="196"/>
      <c r="E3492" s="197"/>
      <c r="F3492" s="197"/>
      <c r="G3492" s="195"/>
      <c r="H3492" s="195"/>
      <c r="I3492" s="197"/>
      <c r="J3492" s="121"/>
      <c r="K3492" s="121"/>
      <c r="L3492" s="200"/>
      <c r="M3492" s="204"/>
      <c r="N3492" s="205"/>
      <c r="O3492" s="170"/>
      <c r="P3492" s="198"/>
      <c r="Q3492" s="199"/>
      <c r="R3492" s="200"/>
      <c r="S3492" s="170"/>
      <c r="T3492" s="170"/>
      <c r="U3492" s="201"/>
      <c r="V3492" s="198"/>
      <c r="W3492" s="170"/>
      <c r="X3492" s="202"/>
      <c r="Z3492" s="170"/>
      <c r="AA3492" s="198"/>
      <c r="AB3492" s="170"/>
      <c r="AC3492" s="170"/>
      <c r="AD3492" s="121"/>
      <c r="AE3492" s="121"/>
      <c r="AF3492" s="121"/>
      <c r="AG3492" s="22"/>
      <c r="AH3492" s="22"/>
      <c r="AI3492" s="22"/>
      <c r="AJ3492" s="22"/>
      <c r="AK3492" s="22"/>
      <c r="AL3492" s="22"/>
      <c r="AM3492" s="22"/>
      <c r="AN3492" s="22"/>
      <c r="AO3492" s="22"/>
      <c r="AP3492" s="22"/>
    </row>
    <row r="3493">
      <c r="A3493" s="193"/>
      <c r="B3493" s="194"/>
      <c r="C3493" s="195"/>
      <c r="D3493" s="196"/>
      <c r="E3493" s="197"/>
      <c r="F3493" s="197"/>
      <c r="G3493" s="195"/>
      <c r="H3493" s="195"/>
      <c r="I3493" s="197"/>
      <c r="J3493" s="121"/>
      <c r="K3493" s="121"/>
      <c r="L3493" s="200"/>
      <c r="M3493" s="204"/>
      <c r="N3493" s="205"/>
      <c r="O3493" s="170"/>
      <c r="P3493" s="198"/>
      <c r="Q3493" s="199"/>
      <c r="R3493" s="200"/>
      <c r="S3493" s="170"/>
      <c r="T3493" s="170"/>
      <c r="U3493" s="201"/>
      <c r="V3493" s="198"/>
      <c r="W3493" s="170"/>
      <c r="X3493" s="202"/>
      <c r="Z3493" s="170"/>
      <c r="AA3493" s="198"/>
      <c r="AB3493" s="170"/>
      <c r="AC3493" s="170"/>
      <c r="AD3493" s="121"/>
      <c r="AE3493" s="121"/>
      <c r="AF3493" s="121"/>
      <c r="AG3493" s="22"/>
      <c r="AH3493" s="22"/>
      <c r="AI3493" s="22"/>
      <c r="AJ3493" s="22"/>
      <c r="AK3493" s="22"/>
      <c r="AL3493" s="22"/>
      <c r="AM3493" s="22"/>
      <c r="AN3493" s="22"/>
      <c r="AO3493" s="22"/>
      <c r="AP3493" s="22"/>
    </row>
    <row r="3494">
      <c r="A3494" s="193"/>
      <c r="B3494" s="194"/>
      <c r="C3494" s="195"/>
      <c r="D3494" s="196"/>
      <c r="E3494" s="197"/>
      <c r="F3494" s="197"/>
      <c r="G3494" s="195"/>
      <c r="H3494" s="195"/>
      <c r="I3494" s="197"/>
      <c r="J3494" s="121"/>
      <c r="K3494" s="121"/>
      <c r="L3494" s="200"/>
      <c r="M3494" s="204"/>
      <c r="N3494" s="205"/>
      <c r="O3494" s="170"/>
      <c r="P3494" s="198"/>
      <c r="Q3494" s="199"/>
      <c r="R3494" s="200"/>
      <c r="S3494" s="170"/>
      <c r="T3494" s="170"/>
      <c r="U3494" s="201"/>
      <c r="V3494" s="198"/>
      <c r="W3494" s="170"/>
      <c r="X3494" s="202"/>
      <c r="Z3494" s="170"/>
      <c r="AA3494" s="198"/>
      <c r="AB3494" s="170"/>
      <c r="AC3494" s="170"/>
      <c r="AD3494" s="121"/>
      <c r="AE3494" s="121"/>
      <c r="AF3494" s="121"/>
      <c r="AG3494" s="22"/>
      <c r="AH3494" s="22"/>
      <c r="AI3494" s="22"/>
      <c r="AJ3494" s="22"/>
      <c r="AK3494" s="22"/>
      <c r="AL3494" s="22"/>
      <c r="AM3494" s="22"/>
      <c r="AN3494" s="22"/>
      <c r="AO3494" s="22"/>
      <c r="AP3494" s="22"/>
    </row>
    <row r="3495">
      <c r="A3495" s="193"/>
      <c r="B3495" s="194"/>
      <c r="C3495" s="195"/>
      <c r="D3495" s="196"/>
      <c r="E3495" s="197"/>
      <c r="F3495" s="197"/>
      <c r="G3495" s="195"/>
      <c r="H3495" s="195"/>
      <c r="I3495" s="197"/>
      <c r="J3495" s="121"/>
      <c r="K3495" s="121"/>
      <c r="L3495" s="200"/>
      <c r="M3495" s="204"/>
      <c r="N3495" s="205"/>
      <c r="O3495" s="170"/>
      <c r="P3495" s="198"/>
      <c r="Q3495" s="199"/>
      <c r="R3495" s="200"/>
      <c r="S3495" s="170"/>
      <c r="T3495" s="170"/>
      <c r="U3495" s="201"/>
      <c r="V3495" s="198"/>
      <c r="W3495" s="170"/>
      <c r="X3495" s="202"/>
      <c r="Z3495" s="170"/>
      <c r="AA3495" s="198"/>
      <c r="AB3495" s="170"/>
      <c r="AC3495" s="170"/>
      <c r="AD3495" s="121"/>
      <c r="AE3495" s="121"/>
      <c r="AF3495" s="121"/>
      <c r="AG3495" s="22"/>
      <c r="AH3495" s="22"/>
      <c r="AI3495" s="22"/>
      <c r="AJ3495" s="22"/>
      <c r="AK3495" s="22"/>
      <c r="AL3495" s="22"/>
      <c r="AM3495" s="22"/>
      <c r="AN3495" s="22"/>
      <c r="AO3495" s="22"/>
      <c r="AP3495" s="22"/>
    </row>
    <row r="3496">
      <c r="A3496" s="193"/>
      <c r="B3496" s="194"/>
      <c r="C3496" s="195"/>
      <c r="D3496" s="196"/>
      <c r="E3496" s="197"/>
      <c r="F3496" s="197"/>
      <c r="G3496" s="195"/>
      <c r="H3496" s="195"/>
      <c r="I3496" s="197"/>
      <c r="J3496" s="121"/>
      <c r="K3496" s="121"/>
      <c r="L3496" s="200"/>
      <c r="M3496" s="204"/>
      <c r="N3496" s="205"/>
      <c r="O3496" s="170"/>
      <c r="P3496" s="198"/>
      <c r="Q3496" s="199"/>
      <c r="R3496" s="200"/>
      <c r="S3496" s="170"/>
      <c r="T3496" s="170"/>
      <c r="U3496" s="201"/>
      <c r="V3496" s="198"/>
      <c r="W3496" s="170"/>
      <c r="X3496" s="202"/>
      <c r="Z3496" s="170"/>
      <c r="AA3496" s="198"/>
      <c r="AB3496" s="170"/>
      <c r="AC3496" s="170"/>
      <c r="AD3496" s="121"/>
      <c r="AE3496" s="121"/>
      <c r="AF3496" s="121"/>
      <c r="AG3496" s="22"/>
      <c r="AH3496" s="22"/>
      <c r="AI3496" s="22"/>
      <c r="AJ3496" s="22"/>
      <c r="AK3496" s="22"/>
      <c r="AL3496" s="22"/>
      <c r="AM3496" s="22"/>
      <c r="AN3496" s="22"/>
      <c r="AO3496" s="22"/>
      <c r="AP3496" s="22"/>
    </row>
    <row r="3497">
      <c r="A3497" s="193"/>
      <c r="B3497" s="194"/>
      <c r="C3497" s="195"/>
      <c r="D3497" s="196"/>
      <c r="E3497" s="197"/>
      <c r="F3497" s="197"/>
      <c r="G3497" s="195"/>
      <c r="H3497" s="195"/>
      <c r="I3497" s="197"/>
      <c r="J3497" s="121"/>
      <c r="K3497" s="121"/>
      <c r="L3497" s="200"/>
      <c r="M3497" s="204"/>
      <c r="N3497" s="205"/>
      <c r="O3497" s="170"/>
      <c r="P3497" s="198"/>
      <c r="Q3497" s="199"/>
      <c r="R3497" s="200"/>
      <c r="S3497" s="170"/>
      <c r="T3497" s="170"/>
      <c r="U3497" s="201"/>
      <c r="V3497" s="198"/>
      <c r="W3497" s="170"/>
      <c r="X3497" s="202"/>
      <c r="Z3497" s="170"/>
      <c r="AA3497" s="198"/>
      <c r="AB3497" s="170"/>
      <c r="AC3497" s="170"/>
      <c r="AD3497" s="121"/>
      <c r="AE3497" s="121"/>
      <c r="AF3497" s="121"/>
      <c r="AG3497" s="22"/>
      <c r="AH3497" s="22"/>
      <c r="AI3497" s="22"/>
      <c r="AJ3497" s="22"/>
      <c r="AK3497" s="22"/>
      <c r="AL3497" s="22"/>
      <c r="AM3497" s="22"/>
      <c r="AN3497" s="22"/>
      <c r="AO3497" s="22"/>
      <c r="AP3497" s="22"/>
    </row>
    <row r="3498">
      <c r="A3498" s="193"/>
      <c r="B3498" s="194"/>
      <c r="C3498" s="195"/>
      <c r="D3498" s="196"/>
      <c r="E3498" s="197"/>
      <c r="F3498" s="197"/>
      <c r="G3498" s="195"/>
      <c r="H3498" s="195"/>
      <c r="I3498" s="197"/>
      <c r="J3498" s="121"/>
      <c r="K3498" s="121"/>
      <c r="L3498" s="200"/>
      <c r="M3498" s="204"/>
      <c r="N3498" s="205"/>
      <c r="O3498" s="170"/>
      <c r="P3498" s="198"/>
      <c r="Q3498" s="199"/>
      <c r="R3498" s="200"/>
      <c r="S3498" s="170"/>
      <c r="T3498" s="170"/>
      <c r="U3498" s="201"/>
      <c r="V3498" s="198"/>
      <c r="W3498" s="170"/>
      <c r="X3498" s="202"/>
      <c r="Z3498" s="170"/>
      <c r="AA3498" s="198"/>
      <c r="AB3498" s="170"/>
      <c r="AC3498" s="170"/>
      <c r="AD3498" s="121"/>
      <c r="AE3498" s="121"/>
      <c r="AF3498" s="121"/>
      <c r="AG3498" s="22"/>
      <c r="AH3498" s="22"/>
      <c r="AI3498" s="22"/>
      <c r="AJ3498" s="22"/>
      <c r="AK3498" s="22"/>
      <c r="AL3498" s="22"/>
      <c r="AM3498" s="22"/>
      <c r="AN3498" s="22"/>
      <c r="AO3498" s="22"/>
      <c r="AP3498" s="22"/>
    </row>
    <row r="3499">
      <c r="A3499" s="193"/>
      <c r="B3499" s="194"/>
      <c r="C3499" s="195"/>
      <c r="D3499" s="196"/>
      <c r="E3499" s="197"/>
      <c r="F3499" s="197"/>
      <c r="G3499" s="195"/>
      <c r="H3499" s="195"/>
      <c r="I3499" s="197"/>
      <c r="J3499" s="121"/>
      <c r="K3499" s="121"/>
      <c r="L3499" s="200"/>
      <c r="M3499" s="204"/>
      <c r="N3499" s="205"/>
      <c r="O3499" s="170"/>
      <c r="P3499" s="198"/>
      <c r="Q3499" s="199"/>
      <c r="R3499" s="200"/>
      <c r="S3499" s="170"/>
      <c r="T3499" s="170"/>
      <c r="U3499" s="201"/>
      <c r="V3499" s="198"/>
      <c r="W3499" s="170"/>
      <c r="X3499" s="202"/>
      <c r="Z3499" s="170"/>
      <c r="AA3499" s="198"/>
      <c r="AB3499" s="170"/>
      <c r="AC3499" s="170"/>
      <c r="AD3499" s="121"/>
      <c r="AE3499" s="121"/>
      <c r="AF3499" s="121"/>
      <c r="AG3499" s="22"/>
      <c r="AH3499" s="22"/>
      <c r="AI3499" s="22"/>
      <c r="AJ3499" s="22"/>
      <c r="AK3499" s="22"/>
      <c r="AL3499" s="22"/>
      <c r="AM3499" s="22"/>
      <c r="AN3499" s="22"/>
      <c r="AO3499" s="22"/>
      <c r="AP3499" s="22"/>
    </row>
    <row r="3500">
      <c r="A3500" s="193"/>
      <c r="B3500" s="194"/>
      <c r="C3500" s="195"/>
      <c r="D3500" s="196"/>
      <c r="E3500" s="197"/>
      <c r="F3500" s="197"/>
      <c r="G3500" s="195"/>
      <c r="H3500" s="195"/>
      <c r="I3500" s="197"/>
      <c r="J3500" s="121"/>
      <c r="K3500" s="121"/>
      <c r="L3500" s="200"/>
      <c r="M3500" s="204"/>
      <c r="N3500" s="205"/>
      <c r="O3500" s="170"/>
      <c r="P3500" s="198"/>
      <c r="Q3500" s="199"/>
      <c r="R3500" s="200"/>
      <c r="S3500" s="170"/>
      <c r="T3500" s="170"/>
      <c r="U3500" s="201"/>
      <c r="V3500" s="198"/>
      <c r="W3500" s="170"/>
      <c r="X3500" s="202"/>
      <c r="Z3500" s="170"/>
      <c r="AA3500" s="198"/>
      <c r="AB3500" s="170"/>
      <c r="AC3500" s="170"/>
      <c r="AD3500" s="121"/>
      <c r="AE3500" s="121"/>
      <c r="AF3500" s="121"/>
      <c r="AG3500" s="22"/>
      <c r="AH3500" s="22"/>
      <c r="AI3500" s="22"/>
      <c r="AJ3500" s="22"/>
      <c r="AK3500" s="22"/>
      <c r="AL3500" s="22"/>
      <c r="AM3500" s="22"/>
      <c r="AN3500" s="22"/>
      <c r="AO3500" s="22"/>
      <c r="AP3500" s="22"/>
    </row>
  </sheetData>
  <autoFilter ref="$A$1:$AL$2298">
    <filterColumn colId="0">
      <filters>
        <filter val="5 July 2026"/>
        <filter val="10 July 2026"/>
        <filter val="4 July 2026"/>
        <filter val="2 July 2026"/>
        <filter val="12 July 2026"/>
        <filter val="3 July 2026"/>
        <filter val="11 July 2026"/>
      </filters>
    </filterColumn>
    <filterColumn colId="4">
      <filters>
        <filter val="VS"/>
      </filters>
    </filterColumn>
  </autoFilter>
  <customSheetViews>
    <customSheetView guid="{343B9D3D-83AC-40E2-B093-AAE6F2C755CF}" filter="1" showAutoFilter="1">
      <autoFilter ref="$A$1:$AP$351">
        <filterColumn colId="4">
          <filters>
            <filter val="Crocs"/>
            <filter val="Aldo"/>
            <filter val="VS"/>
            <filter val="R&amp;B"/>
          </filters>
        </filterColumn>
        <filterColumn colId="22">
          <filters>
            <filter val="Carousel"/>
            <filter val="SMS"/>
            <filter val="simple"/>
            <filter val="carousel"/>
          </filters>
        </filterColumn>
      </autoFilter>
    </customSheetView>
    <customSheetView guid="{4F481BEB-3FD9-4E87-9E64-3DD7AA4D8448}" filter="1" showAutoFilter="1">
      <autoFilter ref="$E$1">
        <filterColumn colId="0">
          <filters/>
        </filterColumn>
      </autoFilter>
    </customSheetView>
    <customSheetView guid="{E0139048-70F5-47E2-9AB5-E95A38945892}" filter="1" showAutoFilter="1">
      <autoFilter ref="$A$1:$AF$2299">
        <filterColumn colId="26">
          <filters blank="1">
            <filter val="1580"/>
            <filter val="471"/>
            <filter val="230"/>
            <filter val="473"/>
            <filter val="110"/>
            <filter val="111"/>
            <filter val="232"/>
            <filter val="474"/>
            <filter val="112"/>
            <filter val="233"/>
            <filter val="113"/>
            <filter val="234"/>
            <filter val="235"/>
            <filter val="114"/>
            <filter val="115"/>
            <filter val="236"/>
            <filter val="479"/>
            <filter val="116"/>
            <filter val="117"/>
            <filter val="238"/>
            <filter val="118"/>
            <filter val="119"/>
            <filter val="-"/>
            <filter val="16,150"/>
            <filter val="120"/>
            <filter val="121"/>
            <filter val="1107"/>
            <filter val="242"/>
            <filter val="122"/>
            <filter val="243"/>
            <filter val="123"/>
            <filter val="244"/>
            <filter val="486"/>
            <filter val="125"/>
            <filter val="489"/>
            <filter val="126"/>
            <filter val="127"/>
            <filter val="248"/>
            <filter val="7"/>
            <filter val="128"/>
            <filter val="9"/>
            <filter val="22"/>
            <filter val="23"/>
            <filter val="25"/>
            <filter val="26"/>
            <filter val="27"/>
            <filter val="29"/>
            <filter val="490"/>
            <filter val="370"/>
            <filter val="130"/>
            <filter val="372"/>
            <filter val="251"/>
            <filter val="131"/>
            <filter val="132"/>
            <filter val="133"/>
            <filter val="375"/>
            <filter val="376"/>
            <filter val="497"/>
            <filter val="135"/>
            <filter val="136"/>
            <filter val="257"/>
            <filter val="137"/>
            <filter val="138"/>
            <filter val="259"/>
            <filter val="139"/>
            <filter val="30"/>
            <filter val="31"/>
            <filter val="32"/>
            <filter val="33"/>
            <filter val="35"/>
            <filter val="37"/>
            <filter val="38"/>
            <filter val="39"/>
            <filter val="260"/>
            <filter val="140"/>
            <filter val="261"/>
            <filter val="141"/>
            <filter val="142"/>
            <filter val="385"/>
            <filter val="143"/>
            <filter val="144"/>
            <filter val="266"/>
            <filter val="145"/>
            <filter val="269"/>
            <filter val="148"/>
            <filter val="41"/>
            <filter val="42"/>
            <filter val="43"/>
            <filter val="1,047"/>
            <filter val="45"/>
            <filter val="49"/>
            <filter val="270"/>
            <filter val="391"/>
            <filter val="393"/>
            <filter val="152"/>
            <filter val="153"/>
            <filter val="274"/>
            <filter val="395"/>
            <filter val="154"/>
            <filter val="396"/>
            <filter val="397"/>
            <filter val="156"/>
            <filter val="157"/>
            <filter val="158"/>
            <filter val="832"/>
            <filter val="50"/>
            <filter val="52"/>
            <filter val="53"/>
            <filter val="54"/>
            <filter val="55"/>
            <filter val="56"/>
            <filter val="57"/>
            <filter val="59"/>
            <filter val="280"/>
            <filter val="281"/>
            <filter val="160"/>
            <filter val="282"/>
            <filter val="161"/>
            <filter val="162"/>
            <filter val="163"/>
            <filter val="165"/>
            <filter val="166"/>
            <filter val="167"/>
            <filter val="168"/>
            <filter val="289"/>
            <filter val="60"/>
            <filter val="61"/>
            <filter val="62"/>
            <filter val="63"/>
            <filter val="64"/>
            <filter val="65"/>
            <filter val="66"/>
            <filter val="67"/>
            <filter val="68"/>
            <filter val="69"/>
            <filter val="2,272"/>
            <filter val="170"/>
            <filter val="171"/>
            <filter val="172"/>
            <filter val="293"/>
            <filter val="173"/>
            <filter val="295"/>
            <filter val="175"/>
            <filter val="176"/>
            <filter val="299"/>
            <filter val="178"/>
            <filter val="850"/>
            <filter val="179"/>
            <filter val="731"/>
            <filter val="70"/>
            <filter val="71"/>
            <filter val="72"/>
            <filter val="616"/>
            <filter val="73"/>
            <filter val="75"/>
            <filter val="619"/>
            <filter val="76"/>
            <filter val="77"/>
            <filter val="78"/>
            <filter val="79"/>
            <filter val="185"/>
            <filter val="186"/>
            <filter val="187"/>
            <filter val="188"/>
            <filter val="189"/>
            <filter val="987"/>
            <filter val="80"/>
            <filter val="81"/>
            <filter val="82"/>
            <filter val="83"/>
            <filter val="507"/>
            <filter val="84"/>
            <filter val="85"/>
            <filter val="86"/>
            <filter val="87"/>
            <filter val="88"/>
            <filter val="89"/>
            <filter val="191"/>
            <filter val="195"/>
            <filter val="197"/>
            <filter val="199"/>
            <filter val="511"/>
            <filter val="633"/>
            <filter val="91"/>
            <filter val="756"/>
            <filter val="92"/>
            <filter val="93"/>
            <filter val="94"/>
            <filter val="95"/>
            <filter val="96"/>
            <filter val="99"/>
            <filter val="400"/>
            <filter val="1069"/>
            <filter val="403"/>
            <filter val="889"/>
            <filter val="409"/>
            <filter val="2,358"/>
            <filter val="770"/>
            <filter val="651"/>
            <filter val="411"/>
            <filter val="535"/>
            <filter val="414"/>
            <filter val="2611"/>
            <filter val="543"/>
            <filter val="303"/>
            <filter val="425"/>
            <filter val="304"/>
            <filter val="305"/>
            <filter val="309"/>
            <filter val="551"/>
            <filter val="311"/>
            <filter val="312"/>
            <filter val="313"/>
            <filter val="676"/>
            <filter val="435"/>
            <filter val="314"/>
            <filter val="437"/>
            <filter val="318"/>
            <filter val="320"/>
            <filter val="442"/>
            <filter val="200"/>
            <filter val="322"/>
            <filter val="201"/>
            <filter val="685"/>
            <filter val="566"/>
            <filter val="204"/>
            <filter val="205"/>
            <filter val="1,428"/>
            <filter val="208"/>
            <filter val="329"/>
            <filter val="209"/>
            <filter val="690"/>
            <filter val="210"/>
            <filter val="331"/>
            <filter val="454"/>
            <filter val="455"/>
            <filter val="213"/>
            <filter val="1,195"/>
            <filter val="216"/>
            <filter val="217"/>
            <filter val="218"/>
            <filter val="1439"/>
            <filter val="583"/>
            <filter val="221"/>
            <filter val="100"/>
            <filter val="463"/>
            <filter val="101"/>
            <filter val="223"/>
            <filter val="102"/>
            <filter val="103"/>
            <filter val="466"/>
            <filter val="1202"/>
            <filter val="225"/>
            <filter val="104"/>
            <filter val="588"/>
            <filter val="105"/>
            <filter val="106"/>
            <filter val="107"/>
            <filter val="108"/>
            <filter val="229"/>
            <filter val="109"/>
          </filters>
        </filterColumn>
      </autoFilter>
    </customSheetView>
    <customSheetView guid="{B5DC7125-7B51-4504-BB9D-63132411310B}" filter="1" showAutoFilter="1">
      <autoFilter ref="$A$1:$AF$2299"/>
    </customSheetView>
  </customSheetViews>
  <dataValidations>
    <dataValidation type="list" allowBlank="1" showErrorMessage="1" sqref="X2:X28 X37 X51 X53:X55 X79:X104 X107:X110 X117:X120 X124:X126">
      <formula1>"Dormant,Loyal,New,Generic,Repeat,Recent,Full Price Shopper,Discount Shopper,Category Movers,Event Buyers,Festival Buyers,Sub-Category Movers,Karix Base,Custom Upload,Cross Brand,Gender,City,Churned,Store Base,At Risk"</formula1>
    </dataValidation>
    <dataValidation type="list" allowBlank="1" showErrorMessage="1" sqref="X29:X36">
      <formula1>"Dormant,Loyal,New,Generic,Repeat,Recent,Full Price Shopper,Discount Shopper,Category Movers,Event Buyers,Festival Buyers,Sub-Category Movers,Karix Base,Custom Upload,Cross Brand,Gender,City,Churned,At Risk"</formula1>
    </dataValidation>
    <dataValidation type="list" allowBlank="1" showErrorMessage="1" sqref="X674:X679">
      <formula1>"Dormant,Loyal,New,Generic,Repeat,Recent,Full Price Shopper,Discount Shopper,Category Movers,Event Buyers,Festival Buyers,Sub-Category Movers,Karix Base,Custom Upload,Cross Brand,Gender,Churned"</formula1>
    </dataValidation>
    <dataValidation type="list" allowBlank="1" showErrorMessage="1" sqref="X171:X173 X180 X547:X548 X613">
      <formula1>"Dormant,Loyal,New,Generic,Repeat,Recent,Full Price Shopper,Discount Shopper,Category Movers,Event Buyers,Festival Buyers,Sub-Category Movers,Karix Base,Custom Upload,Cross Brand,Gender,City,Churned"</formula1>
    </dataValidation>
    <dataValidation type="list" allowBlank="1" showErrorMessage="1" sqref="X38:X50 X52 X56:X78 X105:X106 X111:X116 X121:X123 X127:X170 X174:X179 X181:X346 X348:X349 X351:X370 X373 X378 X381:X410 X412:X414 X417 X421 X423:X424 X428:X472 X474:X475 X478 X480 X483:X485 X488:X491 X495 X497 X499 X501 X507:X513 X516:X518 X521 X523:X526 X611:X612 X614 X616:X617 X619:X620 X625 X627 X638:X641 X656 X659 X662:X663 X689:X702 X711:X717 X730:X736 X752:X755 X879:X890">
      <formula1>"Dormant,Loyal,New,Generic,Repeat,Recent,Full Price Shopper,Discount Shopper,Category Movers,Event Buyers,Festival Buyers,Sub-Category Movers,Karix Base,Custom Upload,Cross Brand,Gender,City,Churned,At Risk"</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5.5"/>
    <col customWidth="1" min="2" max="2" width="9.88"/>
    <col customWidth="1" min="3" max="3" width="17.13"/>
    <col customWidth="1" min="4" max="4" width="25.75"/>
    <col customWidth="1" min="5" max="5" width="30.38"/>
    <col customWidth="1" min="6" max="6" width="41.88"/>
    <col customWidth="1" min="7" max="7" width="33.75"/>
    <col customWidth="1" min="8" max="8" width="45.88"/>
    <col customWidth="1" min="9" max="9" width="44.5"/>
    <col customWidth="1" min="10" max="10" width="12.0"/>
    <col customWidth="1" min="11" max="11" width="9.75"/>
    <col customWidth="1" min="12" max="12" width="9.63"/>
    <col customWidth="1" min="13" max="13" width="10.25"/>
    <col customWidth="1" min="14" max="14" width="12.38"/>
    <col customWidth="1" min="15" max="15" width="9.13"/>
    <col customWidth="1" min="16" max="17" width="12.25"/>
    <col customWidth="1" min="18" max="18" width="12.75"/>
    <col customWidth="1" min="19" max="19" width="9.75"/>
    <col customWidth="1" min="24" max="24" width="21.0"/>
    <col customWidth="1" min="25" max="25" width="33.25"/>
    <col customWidth="1" min="26" max="26" width="29.5"/>
  </cols>
  <sheetData>
    <row r="1">
      <c r="A1" s="207" t="str">
        <f>IFERROR(__xludf.DUMMYFUNCTION("QUERY(Mastersheet!A1:AF1000, ""SELECT * WHERE E = 'Aldo'"", 1)
"),"Date")</f>
        <v>Date</v>
      </c>
      <c r="B1" s="207" t="str">
        <f>IFERROR(__xludf.DUMMYFUNCTION("""COMPUTED_VALUE"""),"Send Time")</f>
        <v>Send Time</v>
      </c>
      <c r="C1" s="207" t="str">
        <f>IFERROR(__xludf.DUMMYFUNCTION("""COMPUTED_VALUE"""),"Channel")</f>
        <v>Channel</v>
      </c>
      <c r="D1" s="207" t="str">
        <f>IFERROR(__xludf.DUMMYFUNCTION("""COMPUTED_VALUE"""),"Campaign Type")</f>
        <v>Campaign Type</v>
      </c>
      <c r="E1" s="207" t="str">
        <f>IFERROR(__xludf.DUMMYFUNCTION("""COMPUTED_VALUE"""),"Brand")</f>
        <v>Brand</v>
      </c>
      <c r="F1" s="207" t="str">
        <f>IFERROR(__xludf.DUMMYFUNCTION("""COMPUTED_VALUE"""),"Master Campaign / Offer Category")</f>
        <v>Master Campaign / Offer Category</v>
      </c>
      <c r="G1" s="207" t="str">
        <f>IFERROR(__xludf.DUMMYFUNCTION("""COMPUTED_VALUE"""),"Campaign Name")</f>
        <v>Campaign Name</v>
      </c>
      <c r="H1" s="207" t="str">
        <f>IFERROR(__xludf.DUMMYFUNCTION("""COMPUTED_VALUE"""),"Segment Name")</f>
        <v>Segment Name</v>
      </c>
      <c r="I1" s="207" t="str">
        <f>IFERROR(__xludf.DUMMYFUNCTION("""COMPUTED_VALUE"""),"Segment Logic")</f>
        <v>Segment Logic</v>
      </c>
      <c r="J1" s="207" t="str">
        <f>IFERROR(__xludf.DUMMYFUNCTION("""COMPUTED_VALUE"""),"Total Sent")</f>
        <v>Total Sent</v>
      </c>
      <c r="K1" s="207" t="str">
        <f>IFERROR(__xludf.DUMMYFUNCTION("""COMPUTED_VALUE"""),"Total Delivered")</f>
        <v>Total Delivered</v>
      </c>
      <c r="L1" s="207" t="str">
        <f>IFERROR(__xludf.DUMMYFUNCTION("""COMPUTED_VALUE"""),"Delivery Rate")</f>
        <v>Delivery Rate</v>
      </c>
      <c r="M1" s="207" t="str">
        <f>IFERROR(__xludf.DUMMYFUNCTION("""COMPUTED_VALUE"""),"Total Read")</f>
        <v>Total Read</v>
      </c>
      <c r="N1" s="207" t="str">
        <f>IFERROR(__xludf.DUMMYFUNCTION("""COMPUTED_VALUE"""),"Read Rate")</f>
        <v>Read Rate</v>
      </c>
      <c r="O1" s="207" t="str">
        <f>IFERROR(__xludf.DUMMYFUNCTION("""COMPUTED_VALUE"""),"Total Clicks")</f>
        <v>Total Clicks</v>
      </c>
      <c r="P1" s="207" t="str">
        <f>IFERROR(__xludf.DUMMYFUNCTION("""COMPUTED_VALUE"""),"Unique Clicks")</f>
        <v>Unique Clicks</v>
      </c>
      <c r="Q1" s="207" t="str">
        <f>IFERROR(__xludf.DUMMYFUNCTION("""COMPUTED_VALUE"""),"CTR")</f>
        <v>CTR</v>
      </c>
      <c r="R1" s="207" t="str">
        <f>IFERROR(__xludf.DUMMYFUNCTION("""COMPUTED_VALUE"""),"Click to Open Rate")</f>
        <v>Click to Open Rate</v>
      </c>
      <c r="S1" s="207" t="str">
        <f>IFERROR(__xludf.DUMMYFUNCTION("""COMPUTED_VALUE"""),"Goal 1 Conversions")</f>
        <v>Goal 1 Conversions</v>
      </c>
      <c r="T1" s="207" t="str">
        <f>IFERROR(__xludf.DUMMYFUNCTION("""COMPUTED_VALUE"""),"Goal 2 Add to Cart")</f>
        <v>Goal 2 Add to Cart</v>
      </c>
      <c r="U1" s="207" t="str">
        <f>IFERROR(__xludf.DUMMYFUNCTION("""COMPUTED_VALUE"""),"Total Campaign Revenue INR")</f>
        <v>Total Campaign Revenue INR</v>
      </c>
      <c r="V1" s="207" t="str">
        <f>IFERROR(__xludf.DUMMYFUNCTION("""COMPUTED_VALUE"""),"Campaign Channel Type")</f>
        <v>Campaign Channel Type</v>
      </c>
      <c r="W1" s="207" t="str">
        <f>IFERROR(__xludf.DUMMYFUNCTION("""COMPUTED_VALUE"""),"Template Type")</f>
        <v>Template Type</v>
      </c>
      <c r="X1" s="207" t="str">
        <f>IFERROR(__xludf.DUMMYFUNCTION("""COMPUTED_VALUE"""),"Segment Customer Base Type")</f>
        <v>Segment Customer Base Type</v>
      </c>
      <c r="Y1" s="207" t="str">
        <f>IFERROR(__xludf.DUMMYFUNCTION("""COMPUTED_VALUE"""),"Track Goals for")</f>
        <v>Track Goals for</v>
      </c>
      <c r="Z1" s="207" t="str">
        <f>IFERROR(__xludf.DUMMYFUNCTION("""COMPUTED_VALUE"""),"Campaign ID")</f>
        <v>Campaign ID</v>
      </c>
      <c r="AA1" s="207" t="str">
        <f>IFERROR(__xludf.DUMMYFUNCTION("""COMPUTED_VALUE"""),"Campaign Purchased Customers")</f>
        <v>Campaign Purchased Customers</v>
      </c>
      <c r="AB1" s="207" t="str">
        <f>IFERROR(__xludf.DUMMYFUNCTION("""COMPUTED_VALUE"""),"Campaign Purchased Customers - Online")</f>
        <v>Campaign Purchased Customers - Online</v>
      </c>
      <c r="AC1" s="207" t="str">
        <f>IFERROR(__xludf.DUMMYFUNCTION("""COMPUTED_VALUE"""),"Campaign Purchased Customers - Offline")</f>
        <v>Campaign Purchased Customers - Offline</v>
      </c>
      <c r="AD1" s="207" t="str">
        <f>IFERROR(__xludf.DUMMYFUNCTION("""COMPUTED_VALUE"""),"Influenced Revenue")</f>
        <v>Influenced Revenue</v>
      </c>
      <c r="AE1" s="207" t="str">
        <f>IFERROR(__xludf.DUMMYFUNCTION("""COMPUTED_VALUE"""),"Influenced Revenue - Online")</f>
        <v>Influenced Revenue - Online</v>
      </c>
      <c r="AF1" s="207" t="str">
        <f>IFERROR(__xludf.DUMMYFUNCTION("""COMPUTED_VALUE"""),"Influenced Revenue - Offline")</f>
        <v>Influenced Revenue - Offline</v>
      </c>
      <c r="AG1" s="208"/>
      <c r="AH1" s="208"/>
      <c r="AI1" s="208"/>
      <c r="AJ1" s="208"/>
      <c r="AK1" s="208"/>
    </row>
    <row r="2">
      <c r="A2" s="209">
        <f>IFERROR(__xludf.DUMMYFUNCTION("""COMPUTED_VALUE"""),46023.0)</f>
        <v>46023</v>
      </c>
      <c r="B2" s="210">
        <f>IFERROR(__xludf.DUMMYFUNCTION("""COMPUTED_VALUE"""),0.375)</f>
        <v>0.375</v>
      </c>
      <c r="C2" s="211" t="str">
        <f>IFERROR(__xludf.DUMMYFUNCTION("""COMPUTED_VALUE"""),"Whatsapp")</f>
        <v>Whatsapp</v>
      </c>
      <c r="D2" s="211" t="str">
        <f>IFERROR(__xludf.DUMMYFUNCTION("""COMPUTED_VALUE"""),"Promotional")</f>
        <v>Promotional</v>
      </c>
      <c r="E2" s="211" t="str">
        <f>IFERROR(__xludf.DUMMYFUNCTION("""COMPUTED_VALUE"""),"Aldo")</f>
        <v>Aldo</v>
      </c>
      <c r="F2" s="211" t="str">
        <f>IFERROR(__xludf.DUMMYFUNCTION("""COMPUTED_VALUE"""),"EOSS")</f>
        <v>EOSS</v>
      </c>
      <c r="G2" s="211" t="str">
        <f>IFERROR(__xludf.DUMMYFUNCTION("""COMPUTED_VALUE"""),"ALDO_EOSS_1JAN DORMANT")</f>
        <v>ALDO_EOSS_1JAN DORMANT</v>
      </c>
      <c r="H2" s="212" t="str">
        <f>IFERROR(__xludf.DUMMYFUNCTION("""COMPUTED_VALUE"""),"al_onoff_Dormant_12thDec OR AGIPL_Internal")</f>
        <v>al_onoff_Dormant_12thDec OR AGIPL_Internal</v>
      </c>
      <c r="I2" s="212" t="str">
        <f>IFERROR(__xludf.DUMMYFUNCTION("""COMPUTED_VALUE"""),"Customers who have shopped in the Last 36 Months and have not shopped in the last 78 days AND Exclude event buyers segment")</f>
        <v>Customers who have shopped in the Last 36 Months and have not shopped in the last 78 days AND Exclude event buyers segment</v>
      </c>
      <c r="J2" s="213">
        <f>IFERROR(__xludf.DUMMYFUNCTION("""COMPUTED_VALUE"""),72059.0)</f>
        <v>72059</v>
      </c>
      <c r="K2" s="213">
        <f>IFERROR(__xludf.DUMMYFUNCTION("""COMPUTED_VALUE"""),24373.0)</f>
        <v>24373</v>
      </c>
      <c r="L2" s="214">
        <f>IFERROR(__xludf.DUMMYFUNCTION("""COMPUTED_VALUE"""),0.338236723)</f>
        <v>0.338236723</v>
      </c>
      <c r="M2" s="213">
        <f>IFERROR(__xludf.DUMMYFUNCTION("""COMPUTED_VALUE"""),8855.0)</f>
        <v>8855</v>
      </c>
      <c r="N2" s="214">
        <f>IFERROR(__xludf.DUMMYFUNCTION("""COMPUTED_VALUE"""),0.3626)</f>
        <v>0.3626</v>
      </c>
      <c r="O2" s="101">
        <f>IFERROR(__xludf.DUMMYFUNCTION("""COMPUTED_VALUE"""),225.0)</f>
        <v>225</v>
      </c>
      <c r="P2" s="101">
        <f>IFERROR(__xludf.DUMMYFUNCTION("""COMPUTED_VALUE"""),198.0)</f>
        <v>198</v>
      </c>
      <c r="Q2" s="214">
        <f>IFERROR(__xludf.DUMMYFUNCTION("""COMPUTED_VALUE"""),0.0081)</f>
        <v>0.0081</v>
      </c>
      <c r="R2" s="214">
        <f>IFERROR(__xludf.DUMMYFUNCTION("""COMPUTED_VALUE"""),0.0224)</f>
        <v>0.0224</v>
      </c>
      <c r="S2" s="101">
        <f>IFERROR(__xludf.DUMMYFUNCTION("""COMPUTED_VALUE"""),3.0)</f>
        <v>3</v>
      </c>
      <c r="T2" s="101">
        <f>IFERROR(__xludf.DUMMYFUNCTION("""COMPUTED_VALUE"""),5.0)</f>
        <v>5</v>
      </c>
      <c r="U2" s="213">
        <f>IFERROR(__xludf.DUMMYFUNCTION("""COMPUTED_VALUE"""),13557.0)</f>
        <v>13557</v>
      </c>
      <c r="V2" s="213" t="str">
        <f>IFERROR(__xludf.DUMMYFUNCTION("""COMPUTED_VALUE"""),"Overall")</f>
        <v>Overall</v>
      </c>
      <c r="W2" s="213" t="str">
        <f>IFERROR(__xludf.DUMMYFUNCTION("""COMPUTED_VALUE"""),"carousel")</f>
        <v>carousel</v>
      </c>
      <c r="X2" s="213" t="str">
        <f>IFERROR(__xludf.DUMMYFUNCTION("""COMPUTED_VALUE"""),"Dormant")</f>
        <v>Dormant</v>
      </c>
      <c r="Y2" s="213" t="str">
        <f>IFERROR(__xludf.DUMMYFUNCTION("""COMPUTED_VALUE"""),"1st Januay 2026- 3rd Januray 2026")</f>
        <v>1st Januay 2026- 3rd Januray 2026</v>
      </c>
      <c r="Z2" s="213" t="str">
        <f>IFERROR(__xludf.DUMMYFUNCTION("""COMPUTED_VALUE"""),"694e689540a0736c9bb561f3")</f>
        <v>694e689540a0736c9bb561f3</v>
      </c>
      <c r="AA2" s="213">
        <f>IFERROR(__xludf.DUMMYFUNCTION("""COMPUTED_VALUE"""),39.0)</f>
        <v>39</v>
      </c>
      <c r="AB2" s="213">
        <f>IFERROR(__xludf.DUMMYFUNCTION("""COMPUTED_VALUE"""),8.0)</f>
        <v>8</v>
      </c>
      <c r="AC2" s="213">
        <f>IFERROR(__xludf.DUMMYFUNCTION("""COMPUTED_VALUE"""),31.0)</f>
        <v>31</v>
      </c>
      <c r="AD2" s="213">
        <f>IFERROR(__xludf.DUMMYFUNCTION("""COMPUTED_VALUE"""),319720.0)</f>
        <v>319720</v>
      </c>
      <c r="AE2" s="213">
        <f>IFERROR(__xludf.DUMMYFUNCTION("""COMPUTED_VALUE"""),46677.0)</f>
        <v>46677</v>
      </c>
      <c r="AF2" s="213">
        <f>IFERROR(__xludf.DUMMYFUNCTION("""COMPUTED_VALUE"""),273043.0)</f>
        <v>273043</v>
      </c>
      <c r="AG2" s="208"/>
      <c r="AH2" s="208"/>
      <c r="AI2" s="208"/>
      <c r="AJ2" s="208"/>
      <c r="AK2" s="208"/>
    </row>
    <row r="3">
      <c r="A3" s="209">
        <f>IFERROR(__xludf.DUMMYFUNCTION("""COMPUTED_VALUE"""),46023.0)</f>
        <v>46023</v>
      </c>
      <c r="B3" s="210">
        <f>IFERROR(__xludf.DUMMYFUNCTION("""COMPUTED_VALUE"""),0.37847222222262644)</f>
        <v>0.3784722222</v>
      </c>
      <c r="C3" s="211" t="str">
        <f>IFERROR(__xludf.DUMMYFUNCTION("""COMPUTED_VALUE"""),"Whatsapp")</f>
        <v>Whatsapp</v>
      </c>
      <c r="D3" s="211" t="str">
        <f>IFERROR(__xludf.DUMMYFUNCTION("""COMPUTED_VALUE"""),"Promotional")</f>
        <v>Promotional</v>
      </c>
      <c r="E3" s="211" t="str">
        <f>IFERROR(__xludf.DUMMYFUNCTION("""COMPUTED_VALUE"""),"Aldo")</f>
        <v>Aldo</v>
      </c>
      <c r="F3" s="211" t="str">
        <f>IFERROR(__xludf.DUMMYFUNCTION("""COMPUTED_VALUE"""),"EOSS")</f>
        <v>EOSS</v>
      </c>
      <c r="G3" s="211" t="str">
        <f>IFERROR(__xludf.DUMMYFUNCTION("""COMPUTED_VALUE"""),"ALDO_EOSS_1JAN Recent")</f>
        <v>ALDO_EOSS_1JAN Recent</v>
      </c>
      <c r="H3" s="212" t="str">
        <f>IFERROR(__xludf.DUMMYFUNCTION("""COMPUTED_VALUE"""),"al_onoff_Recent_12thDec")</f>
        <v>al_onoff_Recent_12thDec</v>
      </c>
      <c r="I3" s="212" t="str">
        <f>IFERROR(__xludf.DUMMYFUNCTION("""COMPUTED_VALUE"""),"Customers who have purchased in the last 78 days AND Exclude event buyers segment")</f>
        <v>Customers who have purchased in the last 78 days AND Exclude event buyers segment</v>
      </c>
      <c r="J3" s="213">
        <f>IFERROR(__xludf.DUMMYFUNCTION("""COMPUTED_VALUE"""),40027.0)</f>
        <v>40027</v>
      </c>
      <c r="K3" s="213">
        <f>IFERROR(__xludf.DUMMYFUNCTION("""COMPUTED_VALUE"""),19058.0)</f>
        <v>19058</v>
      </c>
      <c r="L3" s="214">
        <f>IFERROR(__xludf.DUMMYFUNCTION("""COMPUTED_VALUE"""),0.476128613)</f>
        <v>0.476128613</v>
      </c>
      <c r="M3" s="213">
        <f>IFERROR(__xludf.DUMMYFUNCTION("""COMPUTED_VALUE"""),8104.0)</f>
        <v>8104</v>
      </c>
      <c r="N3" s="214">
        <f>IFERROR(__xludf.DUMMYFUNCTION("""COMPUTED_VALUE"""),0.4244)</f>
        <v>0.4244</v>
      </c>
      <c r="O3" s="101">
        <f>IFERROR(__xludf.DUMMYFUNCTION("""COMPUTED_VALUE"""),588.0)</f>
        <v>588</v>
      </c>
      <c r="P3" s="101">
        <f>IFERROR(__xludf.DUMMYFUNCTION("""COMPUTED_VALUE"""),497.0)</f>
        <v>497</v>
      </c>
      <c r="Q3" s="214">
        <f>IFERROR(__xludf.DUMMYFUNCTION("""COMPUTED_VALUE"""),0.0261)</f>
        <v>0.0261</v>
      </c>
      <c r="R3" s="214">
        <f>IFERROR(__xludf.DUMMYFUNCTION("""COMPUTED_VALUE"""),0.0615)</f>
        <v>0.0615</v>
      </c>
      <c r="S3" s="101">
        <f>IFERROR(__xludf.DUMMYFUNCTION("""COMPUTED_VALUE"""),8.0)</f>
        <v>8</v>
      </c>
      <c r="T3" s="101">
        <f>IFERROR(__xludf.DUMMYFUNCTION("""COMPUTED_VALUE"""),23.0)</f>
        <v>23</v>
      </c>
      <c r="U3" s="213">
        <f>IFERROR(__xludf.DUMMYFUNCTION("""COMPUTED_VALUE"""),55517.0)</f>
        <v>55517</v>
      </c>
      <c r="V3" s="213" t="str">
        <f>IFERROR(__xludf.DUMMYFUNCTION("""COMPUTED_VALUE"""),"Overall")</f>
        <v>Overall</v>
      </c>
      <c r="W3" s="213" t="str">
        <f>IFERROR(__xludf.DUMMYFUNCTION("""COMPUTED_VALUE"""),"carousel")</f>
        <v>carousel</v>
      </c>
      <c r="X3" s="213" t="str">
        <f>IFERROR(__xludf.DUMMYFUNCTION("""COMPUTED_VALUE"""),"Recent")</f>
        <v>Recent</v>
      </c>
      <c r="Y3" s="213" t="str">
        <f>IFERROR(__xludf.DUMMYFUNCTION("""COMPUTED_VALUE"""),"1st Januay 2026- 3rd Januray 2026")</f>
        <v>1st Januay 2026- 3rd Januray 2026</v>
      </c>
      <c r="Z3" s="213" t="str">
        <f>IFERROR(__xludf.DUMMYFUNCTION("""COMPUTED_VALUE"""),"694e68fb40a0736c9bb561ff")</f>
        <v>694e68fb40a0736c9bb561ff</v>
      </c>
      <c r="AA3" s="213">
        <f>IFERROR(__xludf.DUMMYFUNCTION("""COMPUTED_VALUE"""),55.0)</f>
        <v>55</v>
      </c>
      <c r="AB3" s="213">
        <f>IFERROR(__xludf.DUMMYFUNCTION("""COMPUTED_VALUE"""),22.0)</f>
        <v>22</v>
      </c>
      <c r="AC3" s="213">
        <f>IFERROR(__xludf.DUMMYFUNCTION("""COMPUTED_VALUE"""),33.0)</f>
        <v>33</v>
      </c>
      <c r="AD3" s="213">
        <f>IFERROR(__xludf.DUMMYFUNCTION("""COMPUTED_VALUE"""),351938.0)</f>
        <v>351938</v>
      </c>
      <c r="AE3" s="213">
        <f>IFERROR(__xludf.DUMMYFUNCTION("""COMPUTED_VALUE"""),109581.0)</f>
        <v>109581</v>
      </c>
      <c r="AF3" s="213">
        <f>IFERROR(__xludf.DUMMYFUNCTION("""COMPUTED_VALUE"""),242357.0)</f>
        <v>242357</v>
      </c>
      <c r="AG3" s="208"/>
      <c r="AH3" s="208"/>
      <c r="AI3" s="208"/>
      <c r="AJ3" s="208"/>
      <c r="AK3" s="208"/>
    </row>
    <row r="4">
      <c r="A4" s="209">
        <f>IFERROR(__xludf.DUMMYFUNCTION("""COMPUTED_VALUE"""),46023.0)</f>
        <v>46023</v>
      </c>
      <c r="B4" s="210">
        <f>IFERROR(__xludf.DUMMYFUNCTION("""COMPUTED_VALUE"""),0.3819444444452529)</f>
        <v>0.3819444444</v>
      </c>
      <c r="C4" s="211" t="str">
        <f>IFERROR(__xludf.DUMMYFUNCTION("""COMPUTED_VALUE"""),"Whatsapp")</f>
        <v>Whatsapp</v>
      </c>
      <c r="D4" s="211" t="str">
        <f>IFERROR(__xludf.DUMMYFUNCTION("""COMPUTED_VALUE"""),"Promotional")</f>
        <v>Promotional</v>
      </c>
      <c r="E4" s="211" t="str">
        <f>IFERROR(__xludf.DUMMYFUNCTION("""COMPUTED_VALUE"""),"Aldo")</f>
        <v>Aldo</v>
      </c>
      <c r="F4" s="211" t="str">
        <f>IFERROR(__xludf.DUMMYFUNCTION("""COMPUTED_VALUE"""),"EOSS")</f>
        <v>EOSS</v>
      </c>
      <c r="G4" s="211" t="str">
        <f>IFERROR(__xludf.DUMMYFUNCTION("""COMPUTED_VALUE"""),"ALDO_EOSS_1JAN Event")</f>
        <v>ALDO_EOSS_1JAN Event</v>
      </c>
      <c r="H4" s="212" t="str">
        <f>IFERROR(__xludf.DUMMYFUNCTION("""COMPUTED_VALUE"""),"al_onoff_pr_EventBuyers_12thDec")</f>
        <v>al_onoff_pr_EventBuyers_12thDec</v>
      </c>
      <c r="I4" s="212" t="str">
        <f>IFERROR(__xludf.DUMMYFUNCTION("""COMPUTED_VALUE"""),"Customers who have purchased from 9th Nov 2024 to 10th Nov 2024 OR 10th Nov 2023 to 11th Nov 2023 OR 25th Nov 2024 to 2nd Dec 2024 OR 23rd Nov 2023 to 27th Nov 2023 OR 7th Nov 2025 to 9th Nov 2025 OR 10th June 2025 to 31st July 2025 OR 10th Dec 2024 to 31"&amp;"st Jan 2025")</f>
        <v>Customers who have purchased from 9th Nov 2024 to 10th Nov 2024 OR 10th Nov 2023 to 11th Nov 2023 OR 25th Nov 2024 to 2nd Dec 2024 OR 23rd Nov 2023 to 27th Nov 2023 OR 7th Nov 2025 to 9th Nov 2025 OR 10th June 2025 to 31st July 2025 OR 10th Dec 2024 to 31st Jan 2025</v>
      </c>
      <c r="J4" s="213">
        <f>IFERROR(__xludf.DUMMYFUNCTION("""COMPUTED_VALUE"""),96178.0)</f>
        <v>96178</v>
      </c>
      <c r="K4" s="213">
        <f>IFERROR(__xludf.DUMMYFUNCTION("""COMPUTED_VALUE"""),43482.0)</f>
        <v>43482</v>
      </c>
      <c r="L4" s="214">
        <f>IFERROR(__xludf.DUMMYFUNCTION("""COMPUTED_VALUE"""),0.452099233)</f>
        <v>0.452099233</v>
      </c>
      <c r="M4" s="213">
        <f>IFERROR(__xludf.DUMMYFUNCTION("""COMPUTED_VALUE"""),15246.0)</f>
        <v>15246</v>
      </c>
      <c r="N4" s="214">
        <f>IFERROR(__xludf.DUMMYFUNCTION("""COMPUTED_VALUE"""),0.3496)</f>
        <v>0.3496</v>
      </c>
      <c r="O4" s="101">
        <f>IFERROR(__xludf.DUMMYFUNCTION("""COMPUTED_VALUE"""),598.0)</f>
        <v>598</v>
      </c>
      <c r="P4" s="101">
        <f>IFERROR(__xludf.DUMMYFUNCTION("""COMPUTED_VALUE"""),533.0)</f>
        <v>533</v>
      </c>
      <c r="Q4" s="214">
        <f>IFERROR(__xludf.DUMMYFUNCTION("""COMPUTED_VALUE"""),0.0123)</f>
        <v>0.0123</v>
      </c>
      <c r="R4" s="214">
        <f>IFERROR(__xludf.DUMMYFUNCTION("""COMPUTED_VALUE"""),0.0351)</f>
        <v>0.0351</v>
      </c>
      <c r="S4" s="101">
        <f>IFERROR(__xludf.DUMMYFUNCTION("""COMPUTED_VALUE"""),5.0)</f>
        <v>5</v>
      </c>
      <c r="T4" s="101">
        <f>IFERROR(__xludf.DUMMYFUNCTION("""COMPUTED_VALUE"""),17.0)</f>
        <v>17</v>
      </c>
      <c r="U4" s="213">
        <f>IFERROR(__xludf.DUMMYFUNCTION("""COMPUTED_VALUE"""),41444.0)</f>
        <v>41444</v>
      </c>
      <c r="V4" s="213" t="str">
        <f>IFERROR(__xludf.DUMMYFUNCTION("""COMPUTED_VALUE"""),"Overall")</f>
        <v>Overall</v>
      </c>
      <c r="W4" s="213" t="str">
        <f>IFERROR(__xludf.DUMMYFUNCTION("""COMPUTED_VALUE"""),"carousel")</f>
        <v>carousel</v>
      </c>
      <c r="X4" s="213" t="str">
        <f>IFERROR(__xludf.DUMMYFUNCTION("""COMPUTED_VALUE"""),"Event Buyers")</f>
        <v>Event Buyers</v>
      </c>
      <c r="Y4" s="213" t="str">
        <f>IFERROR(__xludf.DUMMYFUNCTION("""COMPUTED_VALUE"""),"1st Januay 2026- 3rd Januray 2026")</f>
        <v>1st Januay 2026- 3rd Januray 2026</v>
      </c>
      <c r="Z4" s="213" t="str">
        <f>IFERROR(__xludf.DUMMYFUNCTION("""COMPUTED_VALUE"""),"694e69b0ddc99d6545108020")</f>
        <v>694e69b0ddc99d6545108020</v>
      </c>
      <c r="AA4" s="213">
        <f>IFERROR(__xludf.DUMMYFUNCTION("""COMPUTED_VALUE"""),88.0)</f>
        <v>88</v>
      </c>
      <c r="AB4" s="213">
        <f>IFERROR(__xludf.DUMMYFUNCTION("""COMPUTED_VALUE"""),18.0)</f>
        <v>18</v>
      </c>
      <c r="AC4" s="213">
        <f>IFERROR(__xludf.DUMMYFUNCTION("""COMPUTED_VALUE"""),70.0)</f>
        <v>70</v>
      </c>
      <c r="AD4" s="213">
        <f>IFERROR(__xludf.DUMMYFUNCTION("""COMPUTED_VALUE"""),791240.0)</f>
        <v>791240</v>
      </c>
      <c r="AE4" s="213">
        <f>IFERROR(__xludf.DUMMYFUNCTION("""COMPUTED_VALUE"""),150974.0)</f>
        <v>150974</v>
      </c>
      <c r="AF4" s="213">
        <f>IFERROR(__xludf.DUMMYFUNCTION("""COMPUTED_VALUE"""),640266.0)</f>
        <v>640266</v>
      </c>
      <c r="AG4" s="208"/>
      <c r="AH4" s="208"/>
      <c r="AI4" s="208"/>
      <c r="AJ4" s="208"/>
      <c r="AK4" s="208"/>
    </row>
    <row r="5">
      <c r="A5" s="209">
        <f>IFERROR(__xludf.DUMMYFUNCTION("""COMPUTED_VALUE"""),46023.0)</f>
        <v>46023</v>
      </c>
      <c r="B5" s="210">
        <f>IFERROR(__xludf.DUMMYFUNCTION("""COMPUTED_VALUE"""),0.3854166666678793)</f>
        <v>0.3854166667</v>
      </c>
      <c r="C5" s="211" t="str">
        <f>IFERROR(__xludf.DUMMYFUNCTION("""COMPUTED_VALUE"""),"Whatsapp")</f>
        <v>Whatsapp</v>
      </c>
      <c r="D5" s="211" t="str">
        <f>IFERROR(__xludf.DUMMYFUNCTION("""COMPUTED_VALUE"""),"Promotional")</f>
        <v>Promotional</v>
      </c>
      <c r="E5" s="211" t="str">
        <f>IFERROR(__xludf.DUMMYFUNCTION("""COMPUTED_VALUE"""),"Aldo")</f>
        <v>Aldo</v>
      </c>
      <c r="F5" s="211" t="str">
        <f>IFERROR(__xludf.DUMMYFUNCTION("""COMPUTED_VALUE"""),"EOSS")</f>
        <v>EOSS</v>
      </c>
      <c r="G5" s="211" t="str">
        <f>IFERROR(__xludf.DUMMYFUNCTION("""COMPUTED_VALUE"""),"ALDO_EOSS_1JAN Churned")</f>
        <v>ALDO_EOSS_1JAN Churned</v>
      </c>
      <c r="H5" s="212" t="str">
        <f>IFERROR(__xludf.DUMMYFUNCTION("""COMPUTED_VALUE"""),"al_onoff_Churned_12thDec")</f>
        <v>al_onoff_Churned_12thDec</v>
      </c>
      <c r="I5" s="212" t="str">
        <f>IFERROR(__xludf.DUMMYFUNCTION("""COMPUTED_VALUE"""),"Customers who have not shopped in the last 365 days AND exclude event buyers OR Recent OR Dormant segment")</f>
        <v>Customers who have not shopped in the last 365 days AND exclude event buyers OR Recent OR Dormant segment</v>
      </c>
      <c r="J5" s="213">
        <f>IFERROR(__xludf.DUMMYFUNCTION("""COMPUTED_VALUE"""),126563.0)</f>
        <v>126563</v>
      </c>
      <c r="K5" s="213">
        <f>IFERROR(__xludf.DUMMYFUNCTION("""COMPUTED_VALUE"""),57556.0)</f>
        <v>57556</v>
      </c>
      <c r="L5" s="214">
        <f>IFERROR(__xludf.DUMMYFUNCTION("""COMPUTED_VALUE"""),0.45476166)</f>
        <v>0.45476166</v>
      </c>
      <c r="M5" s="213">
        <f>IFERROR(__xludf.DUMMYFUNCTION("""COMPUTED_VALUE"""),18018.0)</f>
        <v>18018</v>
      </c>
      <c r="N5" s="214">
        <f>IFERROR(__xludf.DUMMYFUNCTION("""COMPUTED_VALUE"""),0.3121)</f>
        <v>0.3121</v>
      </c>
      <c r="O5" s="101">
        <f>IFERROR(__xludf.DUMMYFUNCTION("""COMPUTED_VALUE"""),367.0)</f>
        <v>367</v>
      </c>
      <c r="P5" s="101">
        <f>IFERROR(__xludf.DUMMYFUNCTION("""COMPUTED_VALUE"""),330.0)</f>
        <v>330</v>
      </c>
      <c r="Q5" s="214">
        <f>IFERROR(__xludf.DUMMYFUNCTION("""COMPUTED_VALUE"""),0.0057)</f>
        <v>0.0057</v>
      </c>
      <c r="R5" s="214">
        <f>IFERROR(__xludf.DUMMYFUNCTION("""COMPUTED_VALUE"""),0.0184)</f>
        <v>0.0184</v>
      </c>
      <c r="S5" s="101">
        <f>IFERROR(__xludf.DUMMYFUNCTION("""COMPUTED_VALUE"""),3.0)</f>
        <v>3</v>
      </c>
      <c r="T5" s="101">
        <f>IFERROR(__xludf.DUMMYFUNCTION("""COMPUTED_VALUE"""),5.0)</f>
        <v>5</v>
      </c>
      <c r="U5" s="213">
        <f>IFERROR(__xludf.DUMMYFUNCTION("""COMPUTED_VALUE"""),23497.0)</f>
        <v>23497</v>
      </c>
      <c r="V5" s="213" t="str">
        <f>IFERROR(__xludf.DUMMYFUNCTION("""COMPUTED_VALUE"""),"Overall")</f>
        <v>Overall</v>
      </c>
      <c r="W5" s="213" t="str">
        <f>IFERROR(__xludf.DUMMYFUNCTION("""COMPUTED_VALUE"""),"carousel")</f>
        <v>carousel</v>
      </c>
      <c r="X5" s="213" t="str">
        <f>IFERROR(__xludf.DUMMYFUNCTION("""COMPUTED_VALUE"""),"Recent")</f>
        <v>Recent</v>
      </c>
      <c r="Y5" s="213" t="str">
        <f>IFERROR(__xludf.DUMMYFUNCTION("""COMPUTED_VALUE"""),"1st Januay 2026- 3rd Januray 2026")</f>
        <v>1st Januay 2026- 3rd Januray 2026</v>
      </c>
      <c r="Z5" s="213" t="str">
        <f>IFERROR(__xludf.DUMMYFUNCTION("""COMPUTED_VALUE"""),"694e6a69a48fa916057bae9f")</f>
        <v>694e6a69a48fa916057bae9f</v>
      </c>
      <c r="AA5" s="213">
        <f>IFERROR(__xludf.DUMMYFUNCTION("""COMPUTED_VALUE"""),48.0)</f>
        <v>48</v>
      </c>
      <c r="AB5" s="213">
        <f>IFERROR(__xludf.DUMMYFUNCTION("""COMPUTED_VALUE"""),9.0)</f>
        <v>9</v>
      </c>
      <c r="AC5" s="213">
        <f>IFERROR(__xludf.DUMMYFUNCTION("""COMPUTED_VALUE"""),39.0)</f>
        <v>39</v>
      </c>
      <c r="AD5" s="213">
        <f>IFERROR(__xludf.DUMMYFUNCTION("""COMPUTED_VALUE"""),421998.0)</f>
        <v>421998</v>
      </c>
      <c r="AE5" s="213">
        <f>IFERROR(__xludf.DUMMYFUNCTION("""COMPUTED_VALUE"""),59491.0)</f>
        <v>59491</v>
      </c>
      <c r="AF5" s="213">
        <f>IFERROR(__xludf.DUMMYFUNCTION("""COMPUTED_VALUE"""),362507.0)</f>
        <v>362507</v>
      </c>
      <c r="AG5" s="208"/>
      <c r="AH5" s="208"/>
      <c r="AI5" s="208"/>
      <c r="AJ5" s="208"/>
      <c r="AK5" s="208"/>
    </row>
    <row r="6">
      <c r="A6" s="209">
        <f>IFERROR(__xludf.DUMMYFUNCTION("""COMPUTED_VALUE"""),46023.0)</f>
        <v>46023</v>
      </c>
      <c r="B6" s="210">
        <f>IFERROR(__xludf.DUMMYFUNCTION("""COMPUTED_VALUE"""),0.75)</f>
        <v>0.75</v>
      </c>
      <c r="C6" s="211" t="str">
        <f>IFERROR(__xludf.DUMMYFUNCTION("""COMPUTED_VALUE"""),"Sms")</f>
        <v>Sms</v>
      </c>
      <c r="D6" s="211" t="str">
        <f>IFERROR(__xludf.DUMMYFUNCTION("""COMPUTED_VALUE"""),"Fallback Campaign")</f>
        <v>Fallback Campaign</v>
      </c>
      <c r="E6" s="211" t="str">
        <f>IFERROR(__xludf.DUMMYFUNCTION("""COMPUTED_VALUE"""),"Aldo")</f>
        <v>Aldo</v>
      </c>
      <c r="F6" s="211" t="str">
        <f>IFERROR(__xludf.DUMMYFUNCTION("""COMPUTED_VALUE"""),"EOSS")</f>
        <v>EOSS</v>
      </c>
      <c r="G6" s="211" t="str">
        <f>IFERROR(__xludf.DUMMYFUNCTION("""COMPUTED_VALUE"""),"ALDO_EOSS_1JAN DORMANT FB WA")</f>
        <v>ALDO_EOSS_1JAN DORMANT FB WA</v>
      </c>
      <c r="H6" s="212" t="str">
        <f>IFERROR(__xludf.DUMMYFUNCTION("""COMPUTED_VALUE"""),"al_onoff_Dormant_12thDec OR AGIPL_Internal")</f>
        <v>al_onoff_Dormant_12thDec OR AGIPL_Internal</v>
      </c>
      <c r="I6" s="212" t="str">
        <f>IFERROR(__xludf.DUMMYFUNCTION("""COMPUTED_VALUE"""),"WA Undelivered")</f>
        <v>WA Undelivered</v>
      </c>
      <c r="J6" s="213">
        <f>IFERROR(__xludf.DUMMYFUNCTION("""COMPUTED_VALUE"""),46690.0)</f>
        <v>46690</v>
      </c>
      <c r="K6" s="213">
        <f>IFERROR(__xludf.DUMMYFUNCTION("""COMPUTED_VALUE"""),26965.0)</f>
        <v>26965</v>
      </c>
      <c r="L6" s="214">
        <f>IFERROR(__xludf.DUMMYFUNCTION("""COMPUTED_VALUE"""),0.577532662)</f>
        <v>0.577532662</v>
      </c>
      <c r="M6" s="213"/>
      <c r="N6" s="214"/>
      <c r="O6" s="101">
        <f>IFERROR(__xludf.DUMMYFUNCTION("""COMPUTED_VALUE"""),9.0)</f>
        <v>9</v>
      </c>
      <c r="P6" s="101"/>
      <c r="Q6" s="214">
        <f>IFERROR(__xludf.DUMMYFUNCTION("""COMPUTED_VALUE"""),3.0E-4)</f>
        <v>0.0003</v>
      </c>
      <c r="R6" s="214"/>
      <c r="S6" s="101">
        <f>IFERROR(__xludf.DUMMYFUNCTION("""COMPUTED_VALUE"""),0.0)</f>
        <v>0</v>
      </c>
      <c r="T6" s="101">
        <f>IFERROR(__xludf.DUMMYFUNCTION("""COMPUTED_VALUE"""),3.0)</f>
        <v>3</v>
      </c>
      <c r="U6" s="213">
        <f>IFERROR(__xludf.DUMMYFUNCTION("""COMPUTED_VALUE"""),0.0)</f>
        <v>0</v>
      </c>
      <c r="V6" s="213" t="str">
        <f>IFERROR(__xludf.DUMMYFUNCTION("""COMPUTED_VALUE"""),"Overall")</f>
        <v>Overall</v>
      </c>
      <c r="W6" s="213" t="str">
        <f>IFERROR(__xludf.DUMMYFUNCTION("""COMPUTED_VALUE"""),"SMS")</f>
        <v>SMS</v>
      </c>
      <c r="X6" s="213" t="str">
        <f>IFERROR(__xludf.DUMMYFUNCTION("""COMPUTED_VALUE"""),"Dormant")</f>
        <v>Dormant</v>
      </c>
      <c r="Y6" s="213" t="str">
        <f>IFERROR(__xludf.DUMMYFUNCTION("""COMPUTED_VALUE"""),"1st Januay 2026- 3rd Januray 2026")</f>
        <v>1st Januay 2026- 3rd Januray 2026</v>
      </c>
      <c r="Z6" s="213" t="str">
        <f>IFERROR(__xludf.DUMMYFUNCTION("""COMPUTED_VALUE"""),"694e819540a0736c9bb5686f")</f>
        <v>694e819540a0736c9bb5686f</v>
      </c>
      <c r="AA6" s="213">
        <f>IFERROR(__xludf.DUMMYFUNCTION("""COMPUTED_VALUE"""),34.0)</f>
        <v>34</v>
      </c>
      <c r="AB6" s="213">
        <f>IFERROR(__xludf.DUMMYFUNCTION("""COMPUTED_VALUE"""),2.0)</f>
        <v>2</v>
      </c>
      <c r="AC6" s="213">
        <f>IFERROR(__xludf.DUMMYFUNCTION("""COMPUTED_VALUE"""),32.0)</f>
        <v>32</v>
      </c>
      <c r="AD6" s="213">
        <f>IFERROR(__xludf.DUMMYFUNCTION("""COMPUTED_VALUE"""),277018.0)</f>
        <v>277018</v>
      </c>
      <c r="AE6" s="213">
        <f>IFERROR(__xludf.DUMMYFUNCTION("""COMPUTED_VALUE"""),10698.0)</f>
        <v>10698</v>
      </c>
      <c r="AF6" s="213">
        <f>IFERROR(__xludf.DUMMYFUNCTION("""COMPUTED_VALUE"""),266320.0)</f>
        <v>266320</v>
      </c>
      <c r="AG6" s="208"/>
      <c r="AH6" s="208"/>
      <c r="AI6" s="208"/>
      <c r="AJ6" s="208"/>
      <c r="AK6" s="208"/>
    </row>
    <row r="7">
      <c r="A7" s="209">
        <f>IFERROR(__xludf.DUMMYFUNCTION("""COMPUTED_VALUE"""),46023.0)</f>
        <v>46023</v>
      </c>
      <c r="B7" s="210">
        <f>IFERROR(__xludf.DUMMYFUNCTION("""COMPUTED_VALUE"""),0.7534722222226264)</f>
        <v>0.7534722222</v>
      </c>
      <c r="C7" s="211" t="str">
        <f>IFERROR(__xludf.DUMMYFUNCTION("""COMPUTED_VALUE"""),"Sms")</f>
        <v>Sms</v>
      </c>
      <c r="D7" s="211" t="str">
        <f>IFERROR(__xludf.DUMMYFUNCTION("""COMPUTED_VALUE"""),"Fallback Campaign")</f>
        <v>Fallback Campaign</v>
      </c>
      <c r="E7" s="211" t="str">
        <f>IFERROR(__xludf.DUMMYFUNCTION("""COMPUTED_VALUE"""),"Aldo")</f>
        <v>Aldo</v>
      </c>
      <c r="F7" s="211" t="str">
        <f>IFERROR(__xludf.DUMMYFUNCTION("""COMPUTED_VALUE"""),"EOSS")</f>
        <v>EOSS</v>
      </c>
      <c r="G7" s="211" t="str">
        <f>IFERROR(__xludf.DUMMYFUNCTION("""COMPUTED_VALUE"""),"ALDO_EOSS_1JAN Recent FB WA")</f>
        <v>ALDO_EOSS_1JAN Recent FB WA</v>
      </c>
      <c r="H7" s="212" t="str">
        <f>IFERROR(__xludf.DUMMYFUNCTION("""COMPUTED_VALUE"""),"al_onoff_Recent_12thDec")</f>
        <v>al_onoff_Recent_12thDec</v>
      </c>
      <c r="I7" s="212" t="str">
        <f>IFERROR(__xludf.DUMMYFUNCTION("""COMPUTED_VALUE"""),"WA Undelivered")</f>
        <v>WA Undelivered</v>
      </c>
      <c r="J7" s="213">
        <f>IFERROR(__xludf.DUMMYFUNCTION("""COMPUTED_VALUE"""),20724.0)</f>
        <v>20724</v>
      </c>
      <c r="K7" s="213">
        <f>IFERROR(__xludf.DUMMYFUNCTION("""COMPUTED_VALUE"""),12332.0)</f>
        <v>12332</v>
      </c>
      <c r="L7" s="214">
        <f>IFERROR(__xludf.DUMMYFUNCTION("""COMPUTED_VALUE"""),0.595058869)</f>
        <v>0.595058869</v>
      </c>
      <c r="M7" s="213"/>
      <c r="N7" s="214"/>
      <c r="O7" s="101">
        <f>IFERROR(__xludf.DUMMYFUNCTION("""COMPUTED_VALUE"""),16.0)</f>
        <v>16</v>
      </c>
      <c r="P7" s="101"/>
      <c r="Q7" s="214">
        <f>IFERROR(__xludf.DUMMYFUNCTION("""COMPUTED_VALUE"""),0.0013)</f>
        <v>0.0013</v>
      </c>
      <c r="R7" s="214"/>
      <c r="S7" s="101">
        <f>IFERROR(__xludf.DUMMYFUNCTION("""COMPUTED_VALUE"""),4.0)</f>
        <v>4</v>
      </c>
      <c r="T7" s="101">
        <f>IFERROR(__xludf.DUMMYFUNCTION("""COMPUTED_VALUE"""),16.0)</f>
        <v>16</v>
      </c>
      <c r="U7" s="213">
        <f>IFERROR(__xludf.DUMMYFUNCTION("""COMPUTED_VALUE"""),38620.0)</f>
        <v>38620</v>
      </c>
      <c r="V7" s="213" t="str">
        <f>IFERROR(__xludf.DUMMYFUNCTION("""COMPUTED_VALUE"""),"Overall")</f>
        <v>Overall</v>
      </c>
      <c r="W7" s="213" t="str">
        <f>IFERROR(__xludf.DUMMYFUNCTION("""COMPUTED_VALUE"""),"SMS")</f>
        <v>SMS</v>
      </c>
      <c r="X7" s="213" t="str">
        <f>IFERROR(__xludf.DUMMYFUNCTION("""COMPUTED_VALUE"""),"Recent")</f>
        <v>Recent</v>
      </c>
      <c r="Y7" s="213" t="str">
        <f>IFERROR(__xludf.DUMMYFUNCTION("""COMPUTED_VALUE"""),"1st Januay 2026- 3rd Januray 2026")</f>
        <v>1st Januay 2026- 3rd Januray 2026</v>
      </c>
      <c r="Z7" s="213" t="str">
        <f>IFERROR(__xludf.DUMMYFUNCTION("""COMPUTED_VALUE"""),"694e8201f5109e23cf97ab6e")</f>
        <v>694e8201f5109e23cf97ab6e</v>
      </c>
      <c r="AA7" s="213">
        <f>IFERROR(__xludf.DUMMYFUNCTION("""COMPUTED_VALUE"""),39.0)</f>
        <v>39</v>
      </c>
      <c r="AB7" s="213">
        <f>IFERROR(__xludf.DUMMYFUNCTION("""COMPUTED_VALUE"""),14.0)</f>
        <v>14</v>
      </c>
      <c r="AC7" s="213">
        <f>IFERROR(__xludf.DUMMYFUNCTION("""COMPUTED_VALUE"""),25.0)</f>
        <v>25</v>
      </c>
      <c r="AD7" s="213">
        <f>IFERROR(__xludf.DUMMYFUNCTION("""COMPUTED_VALUE"""),274165.0)</f>
        <v>274165</v>
      </c>
      <c r="AE7" s="213">
        <f>IFERROR(__xludf.DUMMYFUNCTION("""COMPUTED_VALUE"""),82494.0)</f>
        <v>82494</v>
      </c>
      <c r="AF7" s="213">
        <f>IFERROR(__xludf.DUMMYFUNCTION("""COMPUTED_VALUE"""),191671.0)</f>
        <v>191671</v>
      </c>
      <c r="AG7" s="208"/>
      <c r="AH7" s="208"/>
      <c r="AI7" s="208"/>
      <c r="AJ7" s="208"/>
      <c r="AK7" s="208"/>
    </row>
    <row r="8">
      <c r="A8" s="209">
        <f>IFERROR(__xludf.DUMMYFUNCTION("""COMPUTED_VALUE"""),46023.0)</f>
        <v>46023</v>
      </c>
      <c r="B8" s="210">
        <f>IFERROR(__xludf.DUMMYFUNCTION("""COMPUTED_VALUE"""),0.7569444444452529)</f>
        <v>0.7569444444</v>
      </c>
      <c r="C8" s="211" t="str">
        <f>IFERROR(__xludf.DUMMYFUNCTION("""COMPUTED_VALUE"""),"Sms")</f>
        <v>Sms</v>
      </c>
      <c r="D8" s="211" t="str">
        <f>IFERROR(__xludf.DUMMYFUNCTION("""COMPUTED_VALUE"""),"Fallback Campaign")</f>
        <v>Fallback Campaign</v>
      </c>
      <c r="E8" s="211" t="str">
        <f>IFERROR(__xludf.DUMMYFUNCTION("""COMPUTED_VALUE"""),"Aldo")</f>
        <v>Aldo</v>
      </c>
      <c r="F8" s="211" t="str">
        <f>IFERROR(__xludf.DUMMYFUNCTION("""COMPUTED_VALUE"""),"EOSS")</f>
        <v>EOSS</v>
      </c>
      <c r="G8" s="211" t="str">
        <f>IFERROR(__xludf.DUMMYFUNCTION("""COMPUTED_VALUE"""),"ALDO_EOSS_1JAN Event FB WA")</f>
        <v>ALDO_EOSS_1JAN Event FB WA</v>
      </c>
      <c r="H8" s="212" t="str">
        <f>IFERROR(__xludf.DUMMYFUNCTION("""COMPUTED_VALUE"""),"al_onoff_pr_EventBuyers_12thDec")</f>
        <v>al_onoff_pr_EventBuyers_12thDec</v>
      </c>
      <c r="I8" s="212" t="str">
        <f>IFERROR(__xludf.DUMMYFUNCTION("""COMPUTED_VALUE"""),"WA Undelivered")</f>
        <v>WA Undelivered</v>
      </c>
      <c r="J8" s="213">
        <f>IFERROR(__xludf.DUMMYFUNCTION("""COMPUTED_VALUE"""),51316.0)</f>
        <v>51316</v>
      </c>
      <c r="K8" s="213">
        <f>IFERROR(__xludf.DUMMYFUNCTION("""COMPUTED_VALUE"""),29829.0)</f>
        <v>29829</v>
      </c>
      <c r="L8" s="214">
        <f>IFERROR(__xludf.DUMMYFUNCTION("""COMPUTED_VALUE"""),0.581280692)</f>
        <v>0.581280692</v>
      </c>
      <c r="M8" s="213"/>
      <c r="N8" s="214"/>
      <c r="O8" s="101">
        <f>IFERROR(__xludf.DUMMYFUNCTION("""COMPUTED_VALUE"""),18.0)</f>
        <v>18</v>
      </c>
      <c r="P8" s="101"/>
      <c r="Q8" s="214">
        <f>IFERROR(__xludf.DUMMYFUNCTION("""COMPUTED_VALUE"""),6.0E-4)</f>
        <v>0.0006</v>
      </c>
      <c r="R8" s="214"/>
      <c r="S8" s="101">
        <f>IFERROR(__xludf.DUMMYFUNCTION("""COMPUTED_VALUE"""),5.0)</f>
        <v>5</v>
      </c>
      <c r="T8" s="101">
        <f>IFERROR(__xludf.DUMMYFUNCTION("""COMPUTED_VALUE"""),13.0)</f>
        <v>13</v>
      </c>
      <c r="U8" s="213">
        <f>IFERROR(__xludf.DUMMYFUNCTION("""COMPUTED_VALUE"""),60893.0)</f>
        <v>60893</v>
      </c>
      <c r="V8" s="213" t="str">
        <f>IFERROR(__xludf.DUMMYFUNCTION("""COMPUTED_VALUE"""),"Overall")</f>
        <v>Overall</v>
      </c>
      <c r="W8" s="213" t="str">
        <f>IFERROR(__xludf.DUMMYFUNCTION("""COMPUTED_VALUE"""),"SMS")</f>
        <v>SMS</v>
      </c>
      <c r="X8" s="213" t="str">
        <f>IFERROR(__xludf.DUMMYFUNCTION("""COMPUTED_VALUE"""),"Event Buyers")</f>
        <v>Event Buyers</v>
      </c>
      <c r="Y8" s="213" t="str">
        <f>IFERROR(__xludf.DUMMYFUNCTION("""COMPUTED_VALUE"""),"1st Januay 2026- 3rd Januray 2026")</f>
        <v>1st Januay 2026- 3rd Januray 2026</v>
      </c>
      <c r="Z8" s="213" t="str">
        <f>IFERROR(__xludf.DUMMYFUNCTION("""COMPUTED_VALUE"""),"694e82780138644ae540024c")</f>
        <v>694e82780138644ae540024c</v>
      </c>
      <c r="AA8" s="213">
        <f>IFERROR(__xludf.DUMMYFUNCTION("""COMPUTED_VALUE"""),61.0)</f>
        <v>61</v>
      </c>
      <c r="AB8" s="213">
        <f>IFERROR(__xludf.DUMMYFUNCTION("""COMPUTED_VALUE"""),14.0)</f>
        <v>14</v>
      </c>
      <c r="AC8" s="213">
        <f>IFERROR(__xludf.DUMMYFUNCTION("""COMPUTED_VALUE"""),47.0)</f>
        <v>47</v>
      </c>
      <c r="AD8" s="213">
        <f>IFERROR(__xludf.DUMMYFUNCTION("""COMPUTED_VALUE"""),540942.0)</f>
        <v>540942</v>
      </c>
      <c r="AE8" s="213">
        <f>IFERROR(__xludf.DUMMYFUNCTION("""COMPUTED_VALUE"""),111126.0)</f>
        <v>111126</v>
      </c>
      <c r="AF8" s="213">
        <f>IFERROR(__xludf.DUMMYFUNCTION("""COMPUTED_VALUE"""),429816.0)</f>
        <v>429816</v>
      </c>
      <c r="AG8" s="208"/>
      <c r="AH8" s="208"/>
      <c r="AI8" s="208"/>
      <c r="AJ8" s="208"/>
      <c r="AK8" s="208"/>
    </row>
    <row r="9">
      <c r="A9" s="209">
        <f>IFERROR(__xludf.DUMMYFUNCTION("""COMPUTED_VALUE"""),46023.0)</f>
        <v>46023</v>
      </c>
      <c r="B9" s="210">
        <f>IFERROR(__xludf.DUMMYFUNCTION("""COMPUTED_VALUE"""),0.7604166666678793)</f>
        <v>0.7604166667</v>
      </c>
      <c r="C9" s="211" t="str">
        <f>IFERROR(__xludf.DUMMYFUNCTION("""COMPUTED_VALUE"""),"Sms")</f>
        <v>Sms</v>
      </c>
      <c r="D9" s="211" t="str">
        <f>IFERROR(__xludf.DUMMYFUNCTION("""COMPUTED_VALUE"""),"Fallback Campaign")</f>
        <v>Fallback Campaign</v>
      </c>
      <c r="E9" s="211" t="str">
        <f>IFERROR(__xludf.DUMMYFUNCTION("""COMPUTED_VALUE"""),"Aldo")</f>
        <v>Aldo</v>
      </c>
      <c r="F9" s="211" t="str">
        <f>IFERROR(__xludf.DUMMYFUNCTION("""COMPUTED_VALUE"""),"EOSS")</f>
        <v>EOSS</v>
      </c>
      <c r="G9" s="211" t="str">
        <f>IFERROR(__xludf.DUMMYFUNCTION("""COMPUTED_VALUE"""),"ALDO_EOSS_1JAN Churned FB WA")</f>
        <v>ALDO_EOSS_1JAN Churned FB WA</v>
      </c>
      <c r="H9" s="212" t="str">
        <f>IFERROR(__xludf.DUMMYFUNCTION("""COMPUTED_VALUE"""),"al_onoff_Churned_12thDec")</f>
        <v>al_onoff_Churned_12thDec</v>
      </c>
      <c r="I9" s="212" t="str">
        <f>IFERROR(__xludf.DUMMYFUNCTION("""COMPUTED_VALUE"""),"WA Undelivered")</f>
        <v>WA Undelivered</v>
      </c>
      <c r="J9" s="213">
        <f>IFERROR(__xludf.DUMMYFUNCTION("""COMPUTED_VALUE"""),65947.0)</f>
        <v>65947</v>
      </c>
      <c r="K9" s="213">
        <f>IFERROR(__xludf.DUMMYFUNCTION("""COMPUTED_VALUE"""),37157.0)</f>
        <v>37157</v>
      </c>
      <c r="L9" s="214">
        <f>IFERROR(__xludf.DUMMYFUNCTION("""COMPUTED_VALUE"""),0.563437306)</f>
        <v>0.563437306</v>
      </c>
      <c r="M9" s="213"/>
      <c r="N9" s="214"/>
      <c r="O9" s="101">
        <f>IFERROR(__xludf.DUMMYFUNCTION("""COMPUTED_VALUE"""),14.0)</f>
        <v>14</v>
      </c>
      <c r="P9" s="101"/>
      <c r="Q9" s="214">
        <f>IFERROR(__xludf.DUMMYFUNCTION("""COMPUTED_VALUE"""),4.0E-4)</f>
        <v>0.0004</v>
      </c>
      <c r="R9" s="214"/>
      <c r="S9" s="101">
        <f>IFERROR(__xludf.DUMMYFUNCTION("""COMPUTED_VALUE"""),0.0)</f>
        <v>0</v>
      </c>
      <c r="T9" s="101">
        <f>IFERROR(__xludf.DUMMYFUNCTION("""COMPUTED_VALUE"""),4.0)</f>
        <v>4</v>
      </c>
      <c r="U9" s="213">
        <f>IFERROR(__xludf.DUMMYFUNCTION("""COMPUTED_VALUE"""),0.0)</f>
        <v>0</v>
      </c>
      <c r="V9" s="213" t="str">
        <f>IFERROR(__xludf.DUMMYFUNCTION("""COMPUTED_VALUE"""),"Overall")</f>
        <v>Overall</v>
      </c>
      <c r="W9" s="213" t="str">
        <f>IFERROR(__xludf.DUMMYFUNCTION("""COMPUTED_VALUE"""),"SMS")</f>
        <v>SMS</v>
      </c>
      <c r="X9" s="213" t="str">
        <f>IFERROR(__xludf.DUMMYFUNCTION("""COMPUTED_VALUE"""),"Churned")</f>
        <v>Churned</v>
      </c>
      <c r="Y9" s="213" t="str">
        <f>IFERROR(__xludf.DUMMYFUNCTION("""COMPUTED_VALUE"""),"1st Januay 2026- 3rd Januray 2026")</f>
        <v>1st Januay 2026- 3rd Januray 2026</v>
      </c>
      <c r="Z9" s="213" t="str">
        <f>IFERROR(__xludf.DUMMYFUNCTION("""COMPUTED_VALUE"""),"694e82b08dcbe92ac11d3814")</f>
        <v>694e82b08dcbe92ac11d3814</v>
      </c>
      <c r="AA9" s="213">
        <f>IFERROR(__xludf.DUMMYFUNCTION("""COMPUTED_VALUE"""),28.0)</f>
        <v>28</v>
      </c>
      <c r="AB9" s="213">
        <f>IFERROR(__xludf.DUMMYFUNCTION("""COMPUTED_VALUE"""),4.0)</f>
        <v>4</v>
      </c>
      <c r="AC9" s="213">
        <f>IFERROR(__xludf.DUMMYFUNCTION("""COMPUTED_VALUE"""),24.0)</f>
        <v>24</v>
      </c>
      <c r="AD9" s="213">
        <f>IFERROR(__xludf.DUMMYFUNCTION("""COMPUTED_VALUE"""),226904.0)</f>
        <v>226904</v>
      </c>
      <c r="AE9" s="213">
        <f>IFERROR(__xludf.DUMMYFUNCTION("""COMPUTED_VALUE"""),40845.0)</f>
        <v>40845</v>
      </c>
      <c r="AF9" s="213">
        <f>IFERROR(__xludf.DUMMYFUNCTION("""COMPUTED_VALUE"""),186059.0)</f>
        <v>186059</v>
      </c>
      <c r="AG9" s="208"/>
      <c r="AH9" s="208"/>
      <c r="AI9" s="208"/>
      <c r="AJ9" s="208"/>
      <c r="AK9" s="208"/>
    </row>
    <row r="10">
      <c r="A10" s="209">
        <f>IFERROR(__xludf.DUMMYFUNCTION("""COMPUTED_VALUE"""),46025.0)</f>
        <v>46025</v>
      </c>
      <c r="B10" s="210">
        <f>IFERROR(__xludf.DUMMYFUNCTION("""COMPUTED_VALUE"""),0.3958333333321207)</f>
        <v>0.3958333333</v>
      </c>
      <c r="C10" s="211" t="str">
        <f>IFERROR(__xludf.DUMMYFUNCTION("""COMPUTED_VALUE"""),"RCS")</f>
        <v>RCS</v>
      </c>
      <c r="D10" s="211" t="str">
        <f>IFERROR(__xludf.DUMMYFUNCTION("""COMPUTED_VALUE"""),"Promotional")</f>
        <v>Promotional</v>
      </c>
      <c r="E10" s="211" t="str">
        <f>IFERROR(__xludf.DUMMYFUNCTION("""COMPUTED_VALUE"""),"Aldo")</f>
        <v>Aldo</v>
      </c>
      <c r="F10" s="212" t="str">
        <f>IFERROR(__xludf.DUMMYFUNCTION("""COMPUTED_VALUE"""),"EOSS")</f>
        <v>EOSS</v>
      </c>
      <c r="G10" s="211" t="str">
        <f>IFERROR(__xludf.DUMMYFUNCTION("""COMPUTED_VALUE"""),"RCS Flat_50_EOSS_Dormant")</f>
        <v>RCS Flat_50_EOSS_Dormant</v>
      </c>
      <c r="H10" s="212" t="str">
        <f>IFERROR(__xludf.DUMMYFUNCTION("""COMPUTED_VALUE""")," al_onoff_Dormant_12thDec")</f>
        <v> al_onoff_Dormant_12thDec</v>
      </c>
      <c r="I10" s="212" t="str">
        <f>IFERROR(__xludf.DUMMYFUNCTION("""COMPUTED_VALUE"""),"Customers who have shopped in the Last 36 Months and have not shopped in the last 78 days AND Exclude event buyers segment")</f>
        <v>Customers who have shopped in the Last 36 Months and have not shopped in the last 78 days AND Exclude event buyers segment</v>
      </c>
      <c r="J10" s="213">
        <f>IFERROR(__xludf.DUMMYFUNCTION("""COMPUTED_VALUE"""),72655.0)</f>
        <v>72655</v>
      </c>
      <c r="K10" s="213">
        <f>IFERROR(__xludf.DUMMYFUNCTION("""COMPUTED_VALUE"""),15065.0)</f>
        <v>15065</v>
      </c>
      <c r="L10" s="214">
        <f>IFERROR(__xludf.DUMMYFUNCTION("""COMPUTED_VALUE"""),0.207)</f>
        <v>0.207</v>
      </c>
      <c r="M10" s="213">
        <f>IFERROR(__xludf.DUMMYFUNCTION("""COMPUTED_VALUE"""),2050.0)</f>
        <v>2050</v>
      </c>
      <c r="N10" s="214">
        <f>IFERROR(__xludf.DUMMYFUNCTION("""COMPUTED_VALUE"""),0.136)</f>
        <v>0.136</v>
      </c>
      <c r="O10" s="101">
        <f>IFERROR(__xludf.DUMMYFUNCTION("""COMPUTED_VALUE"""),77.0)</f>
        <v>77</v>
      </c>
      <c r="P10" s="101"/>
      <c r="Q10" s="214">
        <f>IFERROR(__xludf.DUMMYFUNCTION("""COMPUTED_VALUE"""),0.005)</f>
        <v>0.005</v>
      </c>
      <c r="R10" s="214"/>
      <c r="S10" s="101">
        <f>IFERROR(__xludf.DUMMYFUNCTION("""COMPUTED_VALUE"""),2.0)</f>
        <v>2</v>
      </c>
      <c r="T10" s="101">
        <f>IFERROR(__xludf.DUMMYFUNCTION("""COMPUTED_VALUE"""),4.0)</f>
        <v>4</v>
      </c>
      <c r="U10" s="213">
        <f>IFERROR(__xludf.DUMMYFUNCTION("""COMPUTED_VALUE"""),15198.0)</f>
        <v>15198</v>
      </c>
      <c r="V10" s="213" t="str">
        <f>IFERROR(__xludf.DUMMYFUNCTION("""COMPUTED_VALUE"""),"Overall")</f>
        <v>Overall</v>
      </c>
      <c r="W10" s="213" t="str">
        <f>IFERROR(__xludf.DUMMYFUNCTION("""COMPUTED_VALUE"""),"RCS")</f>
        <v>RCS</v>
      </c>
      <c r="X10" s="213" t="str">
        <f>IFERROR(__xludf.DUMMYFUNCTION("""COMPUTED_VALUE"""),"Dormant")</f>
        <v>Dormant</v>
      </c>
      <c r="Y10" s="213" t="str">
        <f>IFERROR(__xludf.DUMMYFUNCTION("""COMPUTED_VALUE"""),"3rd Jan - 4th Jan")</f>
        <v>3rd Jan - 4th Jan</v>
      </c>
      <c r="Z10" s="213" t="str">
        <f>IFERROR(__xludf.DUMMYFUNCTION("""COMPUTED_VALUE"""),"6957c3e5bd01a3219d17ceac")</f>
        <v>6957c3e5bd01a3219d17ceac</v>
      </c>
      <c r="AA10" s="213">
        <f>IFERROR(__xludf.DUMMYFUNCTION("""COMPUTED_VALUE"""),28.0)</f>
        <v>28</v>
      </c>
      <c r="AB10" s="213">
        <f>IFERROR(__xludf.DUMMYFUNCTION("""COMPUTED_VALUE"""),8.0)</f>
        <v>8</v>
      </c>
      <c r="AC10" s="213">
        <f>IFERROR(__xludf.DUMMYFUNCTION("""COMPUTED_VALUE"""),21.0)</f>
        <v>21</v>
      </c>
      <c r="AD10" s="213">
        <f>IFERROR(__xludf.DUMMYFUNCTION("""COMPUTED_VALUE"""),270191.0)</f>
        <v>270191</v>
      </c>
      <c r="AE10" s="213">
        <f>IFERROR(__xludf.DUMMYFUNCTION("""COMPUTED_VALUE"""),44692.0)</f>
        <v>44692</v>
      </c>
      <c r="AF10" s="213">
        <f>IFERROR(__xludf.DUMMYFUNCTION("""COMPUTED_VALUE"""),225499.0)</f>
        <v>225499</v>
      </c>
      <c r="AG10" s="208"/>
      <c r="AH10" s="208"/>
      <c r="AI10" s="208"/>
      <c r="AJ10" s="208"/>
      <c r="AK10" s="208"/>
    </row>
    <row r="11">
      <c r="A11" s="209">
        <f>IFERROR(__xludf.DUMMYFUNCTION("""COMPUTED_VALUE"""),46025.0)</f>
        <v>46025</v>
      </c>
      <c r="B11" s="210">
        <f>IFERROR(__xludf.DUMMYFUNCTION("""COMPUTED_VALUE"""),0.3958333333321207)</f>
        <v>0.3958333333</v>
      </c>
      <c r="C11" s="211" t="str">
        <f>IFERROR(__xludf.DUMMYFUNCTION("""COMPUTED_VALUE"""),"RCS")</f>
        <v>RCS</v>
      </c>
      <c r="D11" s="211" t="str">
        <f>IFERROR(__xludf.DUMMYFUNCTION("""COMPUTED_VALUE"""),"Promotional")</f>
        <v>Promotional</v>
      </c>
      <c r="E11" s="211" t="str">
        <f>IFERROR(__xludf.DUMMYFUNCTION("""COMPUTED_VALUE"""),"Aldo")</f>
        <v>Aldo</v>
      </c>
      <c r="F11" s="212" t="str">
        <f>IFERROR(__xludf.DUMMYFUNCTION("""COMPUTED_VALUE"""),"EOSS")</f>
        <v>EOSS</v>
      </c>
      <c r="G11" s="211" t="str">
        <f>IFERROR(__xludf.DUMMYFUNCTION("""COMPUTED_VALUE"""),"RCS Flat_50_EOSS_Churned")</f>
        <v>RCS Flat_50_EOSS_Churned</v>
      </c>
      <c r="H11" s="212" t="str">
        <f>IFERROR(__xludf.DUMMYFUNCTION("""COMPUTED_VALUE"""),"al_onoff_Churned_12thDec")</f>
        <v>al_onoff_Churned_12thDec</v>
      </c>
      <c r="I11" s="212" t="str">
        <f>IFERROR(__xludf.DUMMYFUNCTION("""COMPUTED_VALUE"""),"Customers who have not shopped in the last 365 days AND exclude event buyers OR Recent OR Dormant segment")</f>
        <v>Customers who have not shopped in the last 365 days AND exclude event buyers OR Recent OR Dormant segment</v>
      </c>
      <c r="J11" s="213">
        <f>IFERROR(__xludf.DUMMYFUNCTION("""COMPUTED_VALUE"""),126627.0)</f>
        <v>126627</v>
      </c>
      <c r="K11" s="213">
        <f>IFERROR(__xludf.DUMMYFUNCTION("""COMPUTED_VALUE"""),28071.0)</f>
        <v>28071</v>
      </c>
      <c r="L11" s="214">
        <f>IFERROR(__xludf.DUMMYFUNCTION("""COMPUTED_VALUE"""),0.222)</f>
        <v>0.222</v>
      </c>
      <c r="M11" s="213">
        <f>IFERROR(__xludf.DUMMYFUNCTION("""COMPUTED_VALUE"""),3459.0)</f>
        <v>3459</v>
      </c>
      <c r="N11" s="214">
        <f>IFERROR(__xludf.DUMMYFUNCTION("""COMPUTED_VALUE"""),0.123)</f>
        <v>0.123</v>
      </c>
      <c r="O11" s="101">
        <f>IFERROR(__xludf.DUMMYFUNCTION("""COMPUTED_VALUE"""),115.0)</f>
        <v>115</v>
      </c>
      <c r="P11" s="101"/>
      <c r="Q11" s="214">
        <f>IFERROR(__xludf.DUMMYFUNCTION("""COMPUTED_VALUE"""),0.004)</f>
        <v>0.004</v>
      </c>
      <c r="R11" s="214"/>
      <c r="S11" s="101">
        <f>IFERROR(__xludf.DUMMYFUNCTION("""COMPUTED_VALUE"""),1.0)</f>
        <v>1</v>
      </c>
      <c r="T11" s="101">
        <f>IFERROR(__xludf.DUMMYFUNCTION("""COMPUTED_VALUE"""),2.0)</f>
        <v>2</v>
      </c>
      <c r="U11" s="213">
        <f>IFERROR(__xludf.DUMMYFUNCTION("""COMPUTED_VALUE"""),12999.0)</f>
        <v>12999</v>
      </c>
      <c r="V11" s="213" t="str">
        <f>IFERROR(__xludf.DUMMYFUNCTION("""COMPUTED_VALUE"""),"Overall")</f>
        <v>Overall</v>
      </c>
      <c r="W11" s="213" t="str">
        <f>IFERROR(__xludf.DUMMYFUNCTION("""COMPUTED_VALUE"""),"RCS")</f>
        <v>RCS</v>
      </c>
      <c r="X11" s="213" t="str">
        <f>IFERROR(__xludf.DUMMYFUNCTION("""COMPUTED_VALUE"""),"Churned")</f>
        <v>Churned</v>
      </c>
      <c r="Y11" s="213" t="str">
        <f>IFERROR(__xludf.DUMMYFUNCTION("""COMPUTED_VALUE"""),"3rd Jan - 4th Jan")</f>
        <v>3rd Jan - 4th Jan</v>
      </c>
      <c r="Z11" s="213" t="str">
        <f>IFERROR(__xludf.DUMMYFUNCTION("""COMPUTED_VALUE"""),"6957c3656a2428db44eaa32c")</f>
        <v>6957c3656a2428db44eaa32c</v>
      </c>
      <c r="AA11" s="213">
        <f>IFERROR(__xludf.DUMMYFUNCTION("""COMPUTED_VALUE"""),20.0)</f>
        <v>20</v>
      </c>
      <c r="AB11" s="213">
        <f>IFERROR(__xludf.DUMMYFUNCTION("""COMPUTED_VALUE"""),7.0)</f>
        <v>7</v>
      </c>
      <c r="AC11" s="213">
        <f>IFERROR(__xludf.DUMMYFUNCTION("""COMPUTED_VALUE"""),13.0)</f>
        <v>13</v>
      </c>
      <c r="AD11" s="213">
        <f>IFERROR(__xludf.DUMMYFUNCTION("""COMPUTED_VALUE"""),116448.0)</f>
        <v>116448</v>
      </c>
      <c r="AE11" s="213">
        <f>IFERROR(__xludf.DUMMYFUNCTION("""COMPUTED_VALUE"""),35618.0)</f>
        <v>35618</v>
      </c>
      <c r="AF11" s="213">
        <f>IFERROR(__xludf.DUMMYFUNCTION("""COMPUTED_VALUE"""),80830.0)</f>
        <v>80830</v>
      </c>
      <c r="AG11" s="208"/>
      <c r="AH11" s="208"/>
      <c r="AI11" s="208"/>
      <c r="AJ11" s="208"/>
      <c r="AK11" s="208"/>
    </row>
    <row r="12">
      <c r="A12" s="209">
        <f>IFERROR(__xludf.DUMMYFUNCTION("""COMPUTED_VALUE"""),46025.0)</f>
        <v>46025</v>
      </c>
      <c r="B12" s="210">
        <f>IFERROR(__xludf.DUMMYFUNCTION("""COMPUTED_VALUE"""),0.3958333333321207)</f>
        <v>0.3958333333</v>
      </c>
      <c r="C12" s="211" t="str">
        <f>IFERROR(__xludf.DUMMYFUNCTION("""COMPUTED_VALUE"""),"RCS")</f>
        <v>RCS</v>
      </c>
      <c r="D12" s="211" t="str">
        <f>IFERROR(__xludf.DUMMYFUNCTION("""COMPUTED_VALUE"""),"Promotional")</f>
        <v>Promotional</v>
      </c>
      <c r="E12" s="211" t="str">
        <f>IFERROR(__xludf.DUMMYFUNCTION("""COMPUTED_VALUE"""),"Aldo")</f>
        <v>Aldo</v>
      </c>
      <c r="F12" s="212" t="str">
        <f>IFERROR(__xludf.DUMMYFUNCTION("""COMPUTED_VALUE"""),"EOSS")</f>
        <v>EOSS</v>
      </c>
      <c r="G12" s="211" t="str">
        <f>IFERROR(__xludf.DUMMYFUNCTION("""COMPUTED_VALUE"""),"RCS Flat_50_EOSS_Recent")</f>
        <v>RCS Flat_50_EOSS_Recent</v>
      </c>
      <c r="H12" s="212" t="str">
        <f>IFERROR(__xludf.DUMMYFUNCTION("""COMPUTED_VALUE"""),"al_onoff_Recent_12thDec")</f>
        <v>al_onoff_Recent_12thDec</v>
      </c>
      <c r="I12" s="212" t="str">
        <f>IFERROR(__xludf.DUMMYFUNCTION("""COMPUTED_VALUE"""),"Customers who have purchased in the last 78 days AND Exclude event buyers segment")</f>
        <v>Customers who have purchased in the last 78 days AND Exclude event buyers segment</v>
      </c>
      <c r="J12" s="213">
        <f>IFERROR(__xludf.DUMMYFUNCTION("""COMPUTED_VALUE"""),26392.0)</f>
        <v>26392</v>
      </c>
      <c r="K12" s="213">
        <f>IFERROR(__xludf.DUMMYFUNCTION("""COMPUTED_VALUE"""),4929.0)</f>
        <v>4929</v>
      </c>
      <c r="L12" s="214">
        <f>IFERROR(__xludf.DUMMYFUNCTION("""COMPUTED_VALUE"""),0.187)</f>
        <v>0.187</v>
      </c>
      <c r="M12" s="213">
        <f>IFERROR(__xludf.DUMMYFUNCTION("""COMPUTED_VALUE"""),785.0)</f>
        <v>785</v>
      </c>
      <c r="N12" s="214">
        <f>IFERROR(__xludf.DUMMYFUNCTION("""COMPUTED_VALUE"""),0.159)</f>
        <v>0.159</v>
      </c>
      <c r="O12" s="101">
        <f>IFERROR(__xludf.DUMMYFUNCTION("""COMPUTED_VALUE"""),53.0)</f>
        <v>53</v>
      </c>
      <c r="P12" s="101"/>
      <c r="Q12" s="214">
        <f>IFERROR(__xludf.DUMMYFUNCTION("""COMPUTED_VALUE"""),0.011)</f>
        <v>0.011</v>
      </c>
      <c r="R12" s="214"/>
      <c r="S12" s="101">
        <f>IFERROR(__xludf.DUMMYFUNCTION("""COMPUTED_VALUE"""),4.0)</f>
        <v>4</v>
      </c>
      <c r="T12" s="101">
        <f>IFERROR(__xludf.DUMMYFUNCTION("""COMPUTED_VALUE"""),2.0)</f>
        <v>2</v>
      </c>
      <c r="U12" s="213">
        <f>IFERROR(__xludf.DUMMYFUNCTION("""COMPUTED_VALUE"""),17098.0)</f>
        <v>17098</v>
      </c>
      <c r="V12" s="213" t="str">
        <f>IFERROR(__xludf.DUMMYFUNCTION("""COMPUTED_VALUE"""),"Overall")</f>
        <v>Overall</v>
      </c>
      <c r="W12" s="213" t="str">
        <f>IFERROR(__xludf.DUMMYFUNCTION("""COMPUTED_VALUE"""),"RCS")</f>
        <v>RCS</v>
      </c>
      <c r="X12" s="213" t="str">
        <f>IFERROR(__xludf.DUMMYFUNCTION("""COMPUTED_VALUE"""),"Recent")</f>
        <v>Recent</v>
      </c>
      <c r="Y12" s="213" t="str">
        <f>IFERROR(__xludf.DUMMYFUNCTION("""COMPUTED_VALUE"""),"3rd Jan - 4th Jan")</f>
        <v>3rd Jan - 4th Jan</v>
      </c>
      <c r="Z12" s="213" t="str">
        <f>IFERROR(__xludf.DUMMYFUNCTION("""COMPUTED_VALUE"""),"6957c3156c041bee75c20418")</f>
        <v>6957c3156c041bee75c20418</v>
      </c>
      <c r="AA12" s="213">
        <f>IFERROR(__xludf.DUMMYFUNCTION("""COMPUTED_VALUE"""),15.0)</f>
        <v>15</v>
      </c>
      <c r="AB12" s="213">
        <f>IFERROR(__xludf.DUMMYFUNCTION("""COMPUTED_VALUE"""),3.0)</f>
        <v>3</v>
      </c>
      <c r="AC12" s="213">
        <f>IFERROR(__xludf.DUMMYFUNCTION("""COMPUTED_VALUE"""),12.0)</f>
        <v>12</v>
      </c>
      <c r="AD12" s="213">
        <f>IFERROR(__xludf.DUMMYFUNCTION("""COMPUTED_VALUE"""),136935.0)</f>
        <v>136935</v>
      </c>
      <c r="AE12" s="213">
        <f>IFERROR(__xludf.DUMMYFUNCTION("""COMPUTED_VALUE"""),22597.0)</f>
        <v>22597</v>
      </c>
      <c r="AF12" s="213">
        <f>IFERROR(__xludf.DUMMYFUNCTION("""COMPUTED_VALUE"""),114338.0)</f>
        <v>114338</v>
      </c>
      <c r="AG12" s="208"/>
      <c r="AH12" s="208"/>
      <c r="AI12" s="208"/>
      <c r="AJ12" s="208"/>
      <c r="AK12" s="208"/>
    </row>
    <row r="13">
      <c r="A13" s="209">
        <f>IFERROR(__xludf.DUMMYFUNCTION("""COMPUTED_VALUE"""),46025.0)</f>
        <v>46025</v>
      </c>
      <c r="B13" s="210">
        <f>IFERROR(__xludf.DUMMYFUNCTION("""COMPUTED_VALUE"""),0.3958333333321207)</f>
        <v>0.3958333333</v>
      </c>
      <c r="C13" s="211" t="str">
        <f>IFERROR(__xludf.DUMMYFUNCTION("""COMPUTED_VALUE"""),"RCS")</f>
        <v>RCS</v>
      </c>
      <c r="D13" s="211" t="str">
        <f>IFERROR(__xludf.DUMMYFUNCTION("""COMPUTED_VALUE"""),"Promotional")</f>
        <v>Promotional</v>
      </c>
      <c r="E13" s="211" t="str">
        <f>IFERROR(__xludf.DUMMYFUNCTION("""COMPUTED_VALUE"""),"Aldo")</f>
        <v>Aldo</v>
      </c>
      <c r="F13" s="212" t="str">
        <f>IFERROR(__xludf.DUMMYFUNCTION("""COMPUTED_VALUE"""),"EOSS")</f>
        <v>EOSS</v>
      </c>
      <c r="G13" s="211" t="str">
        <f>IFERROR(__xludf.DUMMYFUNCTION("""COMPUTED_VALUE"""),"RCS Flat_50_EOSS_Event")</f>
        <v>RCS Flat_50_EOSS_Event</v>
      </c>
      <c r="H13" s="212" t="str">
        <f>IFERROR(__xludf.DUMMYFUNCTION("""COMPUTED_VALUE"""),"al_onoff_pr_EventBuyers_12thDec")</f>
        <v>al_onoff_pr_EventBuyers_12thDec</v>
      </c>
      <c r="I13" s="212" t="str">
        <f>IFERROR(__xludf.DUMMYFUNCTION("""COMPUTED_VALUE"""),"Customers who have purchased from 9th Nov 2024 to 10th Nov 2024 OR 10th Nov 2023 to 11th Nov 2023 OR 25th Nov 2024 to 2nd Dec 2024 OR 23rd Nov 2023 to 27th Nov 2023 OR 7th Nov 2025 to 9th Nov 2025 OR 10th June 2025 to 31st July 2025 OR 10th Dec 2024 to 31"&amp;"st Jan 2025")</f>
        <v>Customers who have purchased from 9th Nov 2024 to 10th Nov 2024 OR 10th Nov 2023 to 11th Nov 2023 OR 25th Nov 2024 to 2nd Dec 2024 OR 23rd Nov 2023 to 27th Nov 2023 OR 7th Nov 2025 to 9th Nov 2025 OR 10th June 2025 to 31st July 2025 OR 10th Dec 2024 to 31st Jan 2025</v>
      </c>
      <c r="J13" s="213">
        <f>IFERROR(__xludf.DUMMYFUNCTION("""COMPUTED_VALUE"""),95402.0)</f>
        <v>95402</v>
      </c>
      <c r="K13" s="213">
        <f>IFERROR(__xludf.DUMMYFUNCTION("""COMPUTED_VALUE"""),2649.0)</f>
        <v>2649</v>
      </c>
      <c r="L13" s="214">
        <f>IFERROR(__xludf.DUMMYFUNCTION("""COMPUTED_VALUE"""),0.028)</f>
        <v>0.028</v>
      </c>
      <c r="M13" s="213">
        <f>IFERROR(__xludf.DUMMYFUNCTION("""COMPUTED_VALUE"""),472.0)</f>
        <v>472</v>
      </c>
      <c r="N13" s="214">
        <f>IFERROR(__xludf.DUMMYFUNCTION("""COMPUTED_VALUE"""),0.178)</f>
        <v>0.178</v>
      </c>
      <c r="O13" s="101">
        <f>IFERROR(__xludf.DUMMYFUNCTION("""COMPUTED_VALUE"""),60.0)</f>
        <v>60</v>
      </c>
      <c r="P13" s="101"/>
      <c r="Q13" s="214">
        <f>IFERROR(__xludf.DUMMYFUNCTION("""COMPUTED_VALUE"""),0.023)</f>
        <v>0.023</v>
      </c>
      <c r="R13" s="214"/>
      <c r="S13" s="101">
        <f>IFERROR(__xludf.DUMMYFUNCTION("""COMPUTED_VALUE"""),4.0)</f>
        <v>4</v>
      </c>
      <c r="T13" s="101">
        <f>IFERROR(__xludf.DUMMYFUNCTION("""COMPUTED_VALUE"""),1.0)</f>
        <v>1</v>
      </c>
      <c r="U13" s="213">
        <f>IFERROR(__xludf.DUMMYFUNCTION("""COMPUTED_VALUE"""),5499.0)</f>
        <v>5499</v>
      </c>
      <c r="V13" s="213" t="str">
        <f>IFERROR(__xludf.DUMMYFUNCTION("""COMPUTED_VALUE"""),"Overall")</f>
        <v>Overall</v>
      </c>
      <c r="W13" s="213" t="str">
        <f>IFERROR(__xludf.DUMMYFUNCTION("""COMPUTED_VALUE"""),"RCS")</f>
        <v>RCS</v>
      </c>
      <c r="X13" s="213" t="str">
        <f>IFERROR(__xludf.DUMMYFUNCTION("""COMPUTED_VALUE"""),"Event Buyers")</f>
        <v>Event Buyers</v>
      </c>
      <c r="Y13" s="213" t="str">
        <f>IFERROR(__xludf.DUMMYFUNCTION("""COMPUTED_VALUE"""),"3rd Jan - 4th Jan")</f>
        <v>3rd Jan - 4th Jan</v>
      </c>
      <c r="Z13" s="213" t="str">
        <f>IFERROR(__xludf.DUMMYFUNCTION("""COMPUTED_VALUE"""),"6957c286f61479585ddffe5b")</f>
        <v>6957c286f61479585ddffe5b</v>
      </c>
      <c r="AA13" s="213">
        <f>IFERROR(__xludf.DUMMYFUNCTION("""COMPUTED_VALUE"""),11.0)</f>
        <v>11</v>
      </c>
      <c r="AB13" s="213">
        <f>IFERROR(__xludf.DUMMYFUNCTION("""COMPUTED_VALUE"""),6.0)</f>
        <v>6</v>
      </c>
      <c r="AC13" s="213">
        <f>IFERROR(__xludf.DUMMYFUNCTION("""COMPUTED_VALUE"""),5.0)</f>
        <v>5</v>
      </c>
      <c r="AD13" s="213">
        <f>IFERROR(__xludf.DUMMYFUNCTION("""COMPUTED_VALUE"""),89998.0)</f>
        <v>89998</v>
      </c>
      <c r="AE13" s="213">
        <f>IFERROR(__xludf.DUMMYFUNCTION("""COMPUTED_VALUE"""),42569.0)</f>
        <v>42569</v>
      </c>
      <c r="AF13" s="213">
        <f>IFERROR(__xludf.DUMMYFUNCTION("""COMPUTED_VALUE"""),47429.0)</f>
        <v>47429</v>
      </c>
      <c r="AG13" s="208"/>
      <c r="AH13" s="208"/>
      <c r="AI13" s="208"/>
      <c r="AJ13" s="208"/>
      <c r="AK13" s="208"/>
    </row>
    <row r="14">
      <c r="A14" s="215">
        <f>IFERROR(__xludf.DUMMYFUNCTION("""COMPUTED_VALUE"""),46025.0)</f>
        <v>46025</v>
      </c>
      <c r="B14" s="210">
        <f>IFERROR(__xludf.DUMMYFUNCTION("""COMPUTED_VALUE"""),0.5)</f>
        <v>0.5</v>
      </c>
      <c r="C14" s="211" t="str">
        <f>IFERROR(__xludf.DUMMYFUNCTION("""COMPUTED_VALUE"""),"Sms")</f>
        <v>Sms</v>
      </c>
      <c r="D14" s="211" t="str">
        <f>IFERROR(__xludf.DUMMYFUNCTION("""COMPUTED_VALUE"""),"Fallback Campaign")</f>
        <v>Fallback Campaign</v>
      </c>
      <c r="E14" s="211" t="str">
        <f>IFERROR(__xludf.DUMMYFUNCTION("""COMPUTED_VALUE"""),"Aldo")</f>
        <v>Aldo</v>
      </c>
      <c r="F14" s="211" t="str">
        <f>IFERROR(__xludf.DUMMYFUNCTION("""COMPUTED_VALUE"""),"EOSS")</f>
        <v>EOSS</v>
      </c>
      <c r="G14" s="211" t="str">
        <f>IFERROR(__xludf.DUMMYFUNCTION("""COMPUTED_VALUE"""),"RCS Flat_50_EOSS_Event_FB")</f>
        <v>RCS Flat_50_EOSS_Event_FB</v>
      </c>
      <c r="H14" s="212" t="str">
        <f>IFERROR(__xludf.DUMMYFUNCTION("""COMPUTED_VALUE"""),"al_onoff_pr_EventBuyers_12thDec OR AGIPL_Internal")</f>
        <v>al_onoff_pr_EventBuyers_12thDec OR AGIPL_Internal</v>
      </c>
      <c r="I14" s="212" t="str">
        <f>IFERROR(__xludf.DUMMYFUNCTION("""COMPUTED_VALUE"""),"RCS Undelivered ")</f>
        <v>RCS Undelivered </v>
      </c>
      <c r="J14" s="213">
        <f>IFERROR(__xludf.DUMMYFUNCTION("""COMPUTED_VALUE"""),92583.0)</f>
        <v>92583</v>
      </c>
      <c r="K14" s="213">
        <f>IFERROR(__xludf.DUMMYFUNCTION("""COMPUTED_VALUE"""),54137.0)</f>
        <v>54137</v>
      </c>
      <c r="L14" s="214">
        <f>IFERROR(__xludf.DUMMYFUNCTION("""COMPUTED_VALUE"""),0.584740179)</f>
        <v>0.584740179</v>
      </c>
      <c r="M14" s="213"/>
      <c r="N14" s="214"/>
      <c r="O14" s="101">
        <f>IFERROR(__xludf.DUMMYFUNCTION("""COMPUTED_VALUE"""),70.0)</f>
        <v>70</v>
      </c>
      <c r="P14" s="101"/>
      <c r="Q14" s="214">
        <f>IFERROR(__xludf.DUMMYFUNCTION("""COMPUTED_VALUE"""),0.0013)</f>
        <v>0.0013</v>
      </c>
      <c r="R14" s="214"/>
      <c r="S14" s="101">
        <f>IFERROR(__xludf.DUMMYFUNCTION("""COMPUTED_VALUE"""),8.0)</f>
        <v>8</v>
      </c>
      <c r="T14" s="101">
        <f>IFERROR(__xludf.DUMMYFUNCTION("""COMPUTED_VALUE"""),18.0)</f>
        <v>18</v>
      </c>
      <c r="U14" s="213">
        <f>IFERROR(__xludf.DUMMYFUNCTION("""COMPUTED_VALUE"""),98889.0)</f>
        <v>98889</v>
      </c>
      <c r="V14" s="213" t="str">
        <f>IFERROR(__xludf.DUMMYFUNCTION("""COMPUTED_VALUE"""),"Overall")</f>
        <v>Overall</v>
      </c>
      <c r="W14" s="213" t="str">
        <f>IFERROR(__xludf.DUMMYFUNCTION("""COMPUTED_VALUE"""),"SMS")</f>
        <v>SMS</v>
      </c>
      <c r="X14" s="213" t="str">
        <f>IFERROR(__xludf.DUMMYFUNCTION("""COMPUTED_VALUE"""),"Event Buyers")</f>
        <v>Event Buyers</v>
      </c>
      <c r="Y14" s="213" t="str">
        <f>IFERROR(__xludf.DUMMYFUNCTION("""COMPUTED_VALUE"""),"3rd Jan 26 - 4th Jan 26")</f>
        <v>3rd Jan 26 - 4th Jan 26</v>
      </c>
      <c r="Z14" s="213" t="str">
        <f>IFERROR(__xludf.DUMMYFUNCTION("""COMPUTED_VALUE"""),"6957cd45d7003f643f3bc4cc")</f>
        <v>6957cd45d7003f643f3bc4cc</v>
      </c>
      <c r="AA14" s="213">
        <f>IFERROR(__xludf.DUMMYFUNCTION("""COMPUTED_VALUE"""),86.0)</f>
        <v>86</v>
      </c>
      <c r="AB14" s="213">
        <f>IFERROR(__xludf.DUMMYFUNCTION("""COMPUTED_VALUE"""),17.0)</f>
        <v>17</v>
      </c>
      <c r="AC14" s="213">
        <f>IFERROR(__xludf.DUMMYFUNCTION("""COMPUTED_VALUE"""),69.0)</f>
        <v>69</v>
      </c>
      <c r="AD14" s="213">
        <f>IFERROR(__xludf.DUMMYFUNCTION("""COMPUTED_VALUE"""),701742.0)</f>
        <v>701742</v>
      </c>
      <c r="AE14" s="213">
        <f>IFERROR(__xludf.DUMMYFUNCTION("""COMPUTED_VALUE"""),106296.0)</f>
        <v>106296</v>
      </c>
      <c r="AF14" s="213">
        <f>IFERROR(__xludf.DUMMYFUNCTION("""COMPUTED_VALUE"""),595446.0)</f>
        <v>595446</v>
      </c>
      <c r="AG14" s="208"/>
      <c r="AH14" s="208"/>
      <c r="AI14" s="208"/>
      <c r="AJ14" s="208"/>
      <c r="AK14" s="208"/>
    </row>
    <row r="15">
      <c r="A15" s="215">
        <f>IFERROR(__xludf.DUMMYFUNCTION("""COMPUTED_VALUE"""),46025.0)</f>
        <v>46025</v>
      </c>
      <c r="B15" s="210">
        <f>IFERROR(__xludf.DUMMYFUNCTION("""COMPUTED_VALUE"""),0.5)</f>
        <v>0.5</v>
      </c>
      <c r="C15" s="211" t="str">
        <f>IFERROR(__xludf.DUMMYFUNCTION("""COMPUTED_VALUE"""),"Sms")</f>
        <v>Sms</v>
      </c>
      <c r="D15" s="211" t="str">
        <f>IFERROR(__xludf.DUMMYFUNCTION("""COMPUTED_VALUE"""),"Fallback Campaign")</f>
        <v>Fallback Campaign</v>
      </c>
      <c r="E15" s="211" t="str">
        <f>IFERROR(__xludf.DUMMYFUNCTION("""COMPUTED_VALUE"""),"Aldo")</f>
        <v>Aldo</v>
      </c>
      <c r="F15" s="211" t="str">
        <f>IFERROR(__xludf.DUMMYFUNCTION("""COMPUTED_VALUE"""),"EOSS")</f>
        <v>EOSS</v>
      </c>
      <c r="G15" s="211" t="str">
        <f>IFERROR(__xludf.DUMMYFUNCTION("""COMPUTED_VALUE"""),"RCS Flat_50_EOSS_Recent_FB")</f>
        <v>RCS Flat_50_EOSS_Recent_FB</v>
      </c>
      <c r="H15" s="212" t="str">
        <f>IFERROR(__xludf.DUMMYFUNCTION("""COMPUTED_VALUE"""),"al_onoff_Recent_12thDec")</f>
        <v>al_onoff_Recent_12thDec</v>
      </c>
      <c r="I15" s="212" t="str">
        <f>IFERROR(__xludf.DUMMYFUNCTION("""COMPUTED_VALUE"""),"RCS Undelivered ")</f>
        <v>RCS Undelivered </v>
      </c>
      <c r="J15" s="213">
        <f>IFERROR(__xludf.DUMMYFUNCTION("""COMPUTED_VALUE"""),21270.0)</f>
        <v>21270</v>
      </c>
      <c r="K15" s="213">
        <f>IFERROR(__xludf.DUMMYFUNCTION("""COMPUTED_VALUE"""),12681.0)</f>
        <v>12681</v>
      </c>
      <c r="L15" s="214">
        <f>IFERROR(__xludf.DUMMYFUNCTION("""COMPUTED_VALUE"""),0.596191819)</f>
        <v>0.596191819</v>
      </c>
      <c r="M15" s="213"/>
      <c r="N15" s="214"/>
      <c r="O15" s="101">
        <f>IFERROR(__xludf.DUMMYFUNCTION("""COMPUTED_VALUE"""),26.0)</f>
        <v>26</v>
      </c>
      <c r="P15" s="101"/>
      <c r="Q15" s="214">
        <f>IFERROR(__xludf.DUMMYFUNCTION("""COMPUTED_VALUE"""),0.0021)</f>
        <v>0.0021</v>
      </c>
      <c r="R15" s="214"/>
      <c r="S15" s="101">
        <f>IFERROR(__xludf.DUMMYFUNCTION("""COMPUTED_VALUE"""),1.0)</f>
        <v>1</v>
      </c>
      <c r="T15" s="101">
        <f>IFERROR(__xludf.DUMMYFUNCTION("""COMPUTED_VALUE"""),5.0)</f>
        <v>5</v>
      </c>
      <c r="U15" s="213">
        <f>IFERROR(__xludf.DUMMYFUNCTION("""COMPUTED_VALUE"""),8999.0)</f>
        <v>8999</v>
      </c>
      <c r="V15" s="213" t="str">
        <f>IFERROR(__xludf.DUMMYFUNCTION("""COMPUTED_VALUE"""),"Overall")</f>
        <v>Overall</v>
      </c>
      <c r="W15" s="213" t="str">
        <f>IFERROR(__xludf.DUMMYFUNCTION("""COMPUTED_VALUE"""),"SMS")</f>
        <v>SMS</v>
      </c>
      <c r="X15" s="213" t="str">
        <f>IFERROR(__xludf.DUMMYFUNCTION("""COMPUTED_VALUE"""),"Recent")</f>
        <v>Recent</v>
      </c>
      <c r="Y15" s="213" t="str">
        <f>IFERROR(__xludf.DUMMYFUNCTION("""COMPUTED_VALUE"""),"3rd Jan 26 - 4th Jan 26")</f>
        <v>3rd Jan 26 - 4th Jan 26</v>
      </c>
      <c r="Z15" s="213" t="str">
        <f>IFERROR(__xludf.DUMMYFUNCTION("""COMPUTED_VALUE"""),"6957cd9ee838abe917f76e7f")</f>
        <v>6957cd9ee838abe917f76e7f</v>
      </c>
      <c r="AA15" s="213">
        <f>IFERROR(__xludf.DUMMYFUNCTION("""COMPUTED_VALUE"""),23.0)</f>
        <v>23</v>
      </c>
      <c r="AB15" s="213">
        <f>IFERROR(__xludf.DUMMYFUNCTION("""COMPUTED_VALUE"""),7.0)</f>
        <v>7</v>
      </c>
      <c r="AC15" s="213">
        <f>IFERROR(__xludf.DUMMYFUNCTION("""COMPUTED_VALUE"""),16.0)</f>
        <v>16</v>
      </c>
      <c r="AD15" s="213">
        <f>IFERROR(__xludf.DUMMYFUNCTION("""COMPUTED_VALUE"""),204078.0)</f>
        <v>204078</v>
      </c>
      <c r="AE15" s="213">
        <f>IFERROR(__xludf.DUMMYFUNCTION("""COMPUTED_VALUE"""),55142.0)</f>
        <v>55142</v>
      </c>
      <c r="AF15" s="213">
        <f>IFERROR(__xludf.DUMMYFUNCTION("""COMPUTED_VALUE"""),148936.0)</f>
        <v>148936</v>
      </c>
      <c r="AG15" s="208"/>
      <c r="AH15" s="208"/>
      <c r="AI15" s="208"/>
      <c r="AJ15" s="208"/>
      <c r="AK15" s="208"/>
    </row>
    <row r="16">
      <c r="A16" s="215">
        <f>IFERROR(__xludf.DUMMYFUNCTION("""COMPUTED_VALUE"""),46025.0)</f>
        <v>46025</v>
      </c>
      <c r="B16" s="210">
        <f>IFERROR(__xludf.DUMMYFUNCTION("""COMPUTED_VALUE"""),0.5)</f>
        <v>0.5</v>
      </c>
      <c r="C16" s="211" t="str">
        <f>IFERROR(__xludf.DUMMYFUNCTION("""COMPUTED_VALUE"""),"Sms")</f>
        <v>Sms</v>
      </c>
      <c r="D16" s="211" t="str">
        <f>IFERROR(__xludf.DUMMYFUNCTION("""COMPUTED_VALUE"""),"Fallback Campaign")</f>
        <v>Fallback Campaign</v>
      </c>
      <c r="E16" s="211" t="str">
        <f>IFERROR(__xludf.DUMMYFUNCTION("""COMPUTED_VALUE"""),"Aldo")</f>
        <v>Aldo</v>
      </c>
      <c r="F16" s="211" t="str">
        <f>IFERROR(__xludf.DUMMYFUNCTION("""COMPUTED_VALUE"""),"EOSS")</f>
        <v>EOSS</v>
      </c>
      <c r="G16" s="211" t="str">
        <f>IFERROR(__xludf.DUMMYFUNCTION("""COMPUTED_VALUE"""),"RCS Flat_50_EOSS_Churned_FB")</f>
        <v>RCS Flat_50_EOSS_Churned_FB</v>
      </c>
      <c r="H16" s="212" t="str">
        <f>IFERROR(__xludf.DUMMYFUNCTION("""COMPUTED_VALUE"""),"al_onoff_Churned_12thDec")</f>
        <v>al_onoff_Churned_12thDec</v>
      </c>
      <c r="I16" s="212" t="str">
        <f>IFERROR(__xludf.DUMMYFUNCTION("""COMPUTED_VALUE"""),"RCS Undelivered ")</f>
        <v>RCS Undelivered </v>
      </c>
      <c r="J16" s="213">
        <f>IFERROR(__xludf.DUMMYFUNCTION("""COMPUTED_VALUE"""),97644.0)</f>
        <v>97644</v>
      </c>
      <c r="K16" s="213">
        <f>IFERROR(__xludf.DUMMYFUNCTION("""COMPUTED_VALUE"""),55246.0)</f>
        <v>55246</v>
      </c>
      <c r="L16" s="214">
        <f>IFERROR(__xludf.DUMMYFUNCTION("""COMPUTED_VALUE"""),0.565790013)</f>
        <v>0.565790013</v>
      </c>
      <c r="M16" s="213"/>
      <c r="N16" s="214"/>
      <c r="O16" s="101">
        <f>IFERROR(__xludf.DUMMYFUNCTION("""COMPUTED_VALUE"""),45.0)</f>
        <v>45</v>
      </c>
      <c r="P16" s="101"/>
      <c r="Q16" s="214">
        <f>IFERROR(__xludf.DUMMYFUNCTION("""COMPUTED_VALUE"""),8.0E-4)</f>
        <v>0.0008</v>
      </c>
      <c r="R16" s="214"/>
      <c r="S16" s="101">
        <f>IFERROR(__xludf.DUMMYFUNCTION("""COMPUTED_VALUE"""),2.0)</f>
        <v>2</v>
      </c>
      <c r="T16" s="101">
        <f>IFERROR(__xludf.DUMMYFUNCTION("""COMPUTED_VALUE"""),9.0)</f>
        <v>9</v>
      </c>
      <c r="U16" s="213">
        <f>IFERROR(__xludf.DUMMYFUNCTION("""COMPUTED_VALUE"""),13498.0)</f>
        <v>13498</v>
      </c>
      <c r="V16" s="213" t="str">
        <f>IFERROR(__xludf.DUMMYFUNCTION("""COMPUTED_VALUE"""),"Overall")</f>
        <v>Overall</v>
      </c>
      <c r="W16" s="213" t="str">
        <f>IFERROR(__xludf.DUMMYFUNCTION("""COMPUTED_VALUE"""),"SMS")</f>
        <v>SMS</v>
      </c>
      <c r="X16" s="213" t="str">
        <f>IFERROR(__xludf.DUMMYFUNCTION("""COMPUTED_VALUE"""),"Churned")</f>
        <v>Churned</v>
      </c>
      <c r="Y16" s="213" t="str">
        <f>IFERROR(__xludf.DUMMYFUNCTION("""COMPUTED_VALUE"""),"3rd Jan 26 - 4th Jan 26")</f>
        <v>3rd Jan 26 - 4th Jan 26</v>
      </c>
      <c r="Z16" s="213" t="str">
        <f>IFERROR(__xludf.DUMMYFUNCTION("""COMPUTED_VALUE"""),"6957cdfa6bf24d93ddfe3fda")</f>
        <v>6957cdfa6bf24d93ddfe3fda</v>
      </c>
      <c r="AA16" s="213">
        <f>IFERROR(__xludf.DUMMYFUNCTION("""COMPUTED_VALUE"""),39.0)</f>
        <v>39</v>
      </c>
      <c r="AB16" s="213">
        <f>IFERROR(__xludf.DUMMYFUNCTION("""COMPUTED_VALUE"""),4.0)</f>
        <v>4</v>
      </c>
      <c r="AC16" s="213">
        <f>IFERROR(__xludf.DUMMYFUNCTION("""COMPUTED_VALUE"""),35.0)</f>
        <v>35</v>
      </c>
      <c r="AD16" s="213">
        <f>IFERROR(__xludf.DUMMYFUNCTION("""COMPUTED_VALUE"""),345800.0)</f>
        <v>345800</v>
      </c>
      <c r="AE16" s="213">
        <f>IFERROR(__xludf.DUMMYFUNCTION("""COMPUTED_VALUE"""),25538.0)</f>
        <v>25538</v>
      </c>
      <c r="AF16" s="213">
        <f>IFERROR(__xludf.DUMMYFUNCTION("""COMPUTED_VALUE"""),320262.0)</f>
        <v>320262</v>
      </c>
      <c r="AG16" s="208"/>
      <c r="AH16" s="208"/>
      <c r="AI16" s="208"/>
      <c r="AJ16" s="208"/>
      <c r="AK16" s="208"/>
    </row>
    <row r="17">
      <c r="A17" s="216">
        <f>IFERROR(__xludf.DUMMYFUNCTION("""COMPUTED_VALUE"""),46025.0)</f>
        <v>46025</v>
      </c>
      <c r="B17" s="217">
        <f>IFERROR(__xludf.DUMMYFUNCTION("""COMPUTED_VALUE"""),0.5)</f>
        <v>0.5</v>
      </c>
      <c r="C17" s="211" t="str">
        <f>IFERROR(__xludf.DUMMYFUNCTION("""COMPUTED_VALUE"""),"Sms")</f>
        <v>Sms</v>
      </c>
      <c r="D17" s="211" t="str">
        <f>IFERROR(__xludf.DUMMYFUNCTION("""COMPUTED_VALUE"""),"Fallback Campaign")</f>
        <v>Fallback Campaign</v>
      </c>
      <c r="E17" s="211" t="str">
        <f>IFERROR(__xludf.DUMMYFUNCTION("""COMPUTED_VALUE"""),"Aldo")</f>
        <v>Aldo</v>
      </c>
      <c r="F17" s="211" t="str">
        <f>IFERROR(__xludf.DUMMYFUNCTION("""COMPUTED_VALUE"""),"EOSS")</f>
        <v>EOSS</v>
      </c>
      <c r="G17" s="211" t="str">
        <f>IFERROR(__xludf.DUMMYFUNCTION("""COMPUTED_VALUE"""),"RCS Flat_50_EOSS_Dormant_FB")</f>
        <v>RCS Flat_50_EOSS_Dormant_FB</v>
      </c>
      <c r="H17" s="212" t="str">
        <f>IFERROR(__xludf.DUMMYFUNCTION("""COMPUTED_VALUE"""),"al_onoff_Dormant_12thDec")</f>
        <v>al_onoff_Dormant_12thDec</v>
      </c>
      <c r="I17" s="212" t="str">
        <f>IFERROR(__xludf.DUMMYFUNCTION("""COMPUTED_VALUE"""),"RCS Undelivered ")</f>
        <v>RCS Undelivered </v>
      </c>
      <c r="J17" s="213">
        <f>IFERROR(__xludf.DUMMYFUNCTION("""COMPUTED_VALUE"""),56719.0)</f>
        <v>56719</v>
      </c>
      <c r="K17" s="213">
        <f>IFERROR(__xludf.DUMMYFUNCTION("""COMPUTED_VALUE"""),32914.0)</f>
        <v>32914</v>
      </c>
      <c r="L17" s="214">
        <f>IFERROR(__xludf.DUMMYFUNCTION("""COMPUTED_VALUE"""),0.580299371)</f>
        <v>0.580299371</v>
      </c>
      <c r="M17" s="213"/>
      <c r="N17" s="214"/>
      <c r="O17" s="213">
        <f>IFERROR(__xludf.DUMMYFUNCTION("""COMPUTED_VALUE"""),22.0)</f>
        <v>22</v>
      </c>
      <c r="P17" s="213"/>
      <c r="Q17" s="214">
        <f>IFERROR(__xludf.DUMMYFUNCTION("""COMPUTED_VALUE"""),7.0E-4)</f>
        <v>0.0007</v>
      </c>
      <c r="R17" s="214"/>
      <c r="S17" s="101">
        <f>IFERROR(__xludf.DUMMYFUNCTION("""COMPUTED_VALUE"""),0.0)</f>
        <v>0</v>
      </c>
      <c r="T17" s="101">
        <f>IFERROR(__xludf.DUMMYFUNCTION("""COMPUTED_VALUE"""),0.0)</f>
        <v>0</v>
      </c>
      <c r="U17" s="213">
        <f>IFERROR(__xludf.DUMMYFUNCTION("""COMPUTED_VALUE"""),0.0)</f>
        <v>0</v>
      </c>
      <c r="V17" s="213" t="str">
        <f>IFERROR(__xludf.DUMMYFUNCTION("""COMPUTED_VALUE"""),"Overall")</f>
        <v>Overall</v>
      </c>
      <c r="W17" s="213" t="str">
        <f>IFERROR(__xludf.DUMMYFUNCTION("""COMPUTED_VALUE"""),"SMS")</f>
        <v>SMS</v>
      </c>
      <c r="X17" s="213" t="str">
        <f>IFERROR(__xludf.DUMMYFUNCTION("""COMPUTED_VALUE"""),"Dormant")</f>
        <v>Dormant</v>
      </c>
      <c r="Y17" s="213" t="str">
        <f>IFERROR(__xludf.DUMMYFUNCTION("""COMPUTED_VALUE"""),"3rd Jan 26 - 4th Jan 26")</f>
        <v>3rd Jan 26 - 4th Jan 26</v>
      </c>
      <c r="Z17" s="213" t="str">
        <f>IFERROR(__xludf.DUMMYFUNCTION("""COMPUTED_VALUE"""),"6957ce4473f4c558bd9ee522")</f>
        <v>6957ce4473f4c558bd9ee522</v>
      </c>
      <c r="AA17" s="213">
        <f>IFERROR(__xludf.DUMMYFUNCTION("""COMPUTED_VALUE"""),37.0)</f>
        <v>37</v>
      </c>
      <c r="AB17" s="213">
        <f>IFERROR(__xludf.DUMMYFUNCTION("""COMPUTED_VALUE"""),7.0)</f>
        <v>7</v>
      </c>
      <c r="AC17" s="213">
        <f>IFERROR(__xludf.DUMMYFUNCTION("""COMPUTED_VALUE"""),30.0)</f>
        <v>30</v>
      </c>
      <c r="AD17" s="213">
        <f>IFERROR(__xludf.DUMMYFUNCTION("""COMPUTED_VALUE"""),311451.0)</f>
        <v>311451</v>
      </c>
      <c r="AE17" s="213">
        <f>IFERROR(__xludf.DUMMYFUNCTION("""COMPUTED_VALUE"""),38069.0)</f>
        <v>38069</v>
      </c>
      <c r="AF17" s="213">
        <f>IFERROR(__xludf.DUMMYFUNCTION("""COMPUTED_VALUE"""),273382.0)</f>
        <v>273382</v>
      </c>
      <c r="AG17" s="208"/>
      <c r="AH17" s="208"/>
      <c r="AI17" s="208"/>
      <c r="AJ17" s="208"/>
      <c r="AK17" s="208"/>
    </row>
    <row r="18">
      <c r="A18" s="216">
        <f>IFERROR(__xludf.DUMMYFUNCTION("""COMPUTED_VALUE"""),46032.0)</f>
        <v>46032</v>
      </c>
      <c r="B18" s="217">
        <f>IFERROR(__xludf.DUMMYFUNCTION("""COMPUTED_VALUE"""),0.5145833333335759)</f>
        <v>0.5145833333</v>
      </c>
      <c r="C18" s="211" t="str">
        <f>IFERROR(__xludf.DUMMYFUNCTION("""COMPUTED_VALUE"""),"Sms")</f>
        <v>Sms</v>
      </c>
      <c r="D18" s="211" t="str">
        <f>IFERROR(__xludf.DUMMYFUNCTION("""COMPUTED_VALUE"""),"Promotional")</f>
        <v>Promotional</v>
      </c>
      <c r="E18" s="211" t="str">
        <f>IFERROR(__xludf.DUMMYFUNCTION("""COMPUTED_VALUE"""),"Aldo")</f>
        <v>Aldo</v>
      </c>
      <c r="F18" s="211" t="str">
        <f>IFERROR(__xludf.DUMMYFUNCTION("""COMPUTED_VALUE"""),"Flat 50 store campaigns")</f>
        <v>Flat 50 store campaigns</v>
      </c>
      <c r="G18" s="211" t="str">
        <f>IFERROR(__xludf.DUMMYFUNCTION("""COMPUTED_VALUE"""),"Flat 50_ALDO Accessories Store at Inorbit")</f>
        <v>Flat 50_ALDO Accessories Store at Inorbit</v>
      </c>
      <c r="H18" s="212" t="str">
        <f>IFERROR(__xludf.DUMMYFUNCTION("""COMPUTED_VALUE"""),"al_off_pr_strcd_15034_9thJan")</f>
        <v>al_off_pr_strcd_15034_9thJan</v>
      </c>
      <c r="I18" s="212" t="str">
        <f>IFERROR(__xludf.DUMMYFUNCTION("""COMPUTED_VALUE"""),"Customers who have purchased from store code 15034 in the entire duration")</f>
        <v>Customers who have purchased from store code 15034 in the entire duration</v>
      </c>
      <c r="J18" s="213">
        <f>IFERROR(__xludf.DUMMYFUNCTION("""COMPUTED_VALUE"""),1584.0)</f>
        <v>1584</v>
      </c>
      <c r="K18" s="213">
        <f>IFERROR(__xludf.DUMMYFUNCTION("""COMPUTED_VALUE"""),906.0)</f>
        <v>906</v>
      </c>
      <c r="L18" s="214">
        <f>IFERROR(__xludf.DUMMYFUNCTION("""COMPUTED_VALUE"""),0.572)</f>
        <v>0.572</v>
      </c>
      <c r="M18" s="213"/>
      <c r="N18" s="214"/>
      <c r="O18" s="213"/>
      <c r="P18" s="213"/>
      <c r="Q18" s="214"/>
      <c r="R18" s="214"/>
      <c r="S18" s="101"/>
      <c r="T18" s="101"/>
      <c r="U18" s="213"/>
      <c r="V18" s="213" t="str">
        <f>IFERROR(__xludf.DUMMYFUNCTION("""COMPUTED_VALUE"""),"Offline ")</f>
        <v>Offline </v>
      </c>
      <c r="W18" s="213" t="str">
        <f>IFERROR(__xludf.DUMMYFUNCTION("""COMPUTED_VALUE"""),"SMS")</f>
        <v>SMS</v>
      </c>
      <c r="X18" s="213" t="str">
        <f>IFERROR(__xludf.DUMMYFUNCTION("""COMPUTED_VALUE"""),"Generic")</f>
        <v>Generic</v>
      </c>
      <c r="Y18" s="213" t="str">
        <f>IFERROR(__xludf.DUMMYFUNCTION("""COMPUTED_VALUE"""),"10th - 13th January 2026 ")</f>
        <v>10th - 13th January 2026 </v>
      </c>
      <c r="Z18" s="213" t="str">
        <f>IFERROR(__xludf.DUMMYFUNCTION("""COMPUTED_VALUE"""),"6961f70a3527e0044736bffa")</f>
        <v>6961f70a3527e0044736bffa</v>
      </c>
      <c r="AA18" s="213">
        <f>IFERROR(__xludf.DUMMYFUNCTION("""COMPUTED_VALUE"""),1.0)</f>
        <v>1</v>
      </c>
      <c r="AB18" s="213"/>
      <c r="AC18" s="213">
        <f>IFERROR(__xludf.DUMMYFUNCTION("""COMPUTED_VALUE"""),1.0)</f>
        <v>1</v>
      </c>
      <c r="AD18" s="213">
        <f>IFERROR(__xludf.DUMMYFUNCTION("""COMPUTED_VALUE"""),6999.0)</f>
        <v>6999</v>
      </c>
      <c r="AE18" s="213"/>
      <c r="AF18" s="213">
        <f>IFERROR(__xludf.DUMMYFUNCTION("""COMPUTED_VALUE"""),6999.0)</f>
        <v>6999</v>
      </c>
      <c r="AG18" s="208"/>
      <c r="AH18" s="208"/>
      <c r="AI18" s="208"/>
      <c r="AJ18" s="208"/>
      <c r="AK18" s="208"/>
    </row>
    <row r="19">
      <c r="A19" s="216">
        <f>IFERROR(__xludf.DUMMYFUNCTION("""COMPUTED_VALUE"""),46032.0)</f>
        <v>46032</v>
      </c>
      <c r="B19" s="217">
        <f>IFERROR(__xludf.DUMMYFUNCTION("""COMPUTED_VALUE"""),0.5187499999992724)</f>
        <v>0.51875</v>
      </c>
      <c r="C19" s="211" t="str">
        <f>IFERROR(__xludf.DUMMYFUNCTION("""COMPUTED_VALUE"""),"Sms")</f>
        <v>Sms</v>
      </c>
      <c r="D19" s="211" t="str">
        <f>IFERROR(__xludf.DUMMYFUNCTION("""COMPUTED_VALUE"""),"Promotional")</f>
        <v>Promotional</v>
      </c>
      <c r="E19" s="211" t="str">
        <f>IFERROR(__xludf.DUMMYFUNCTION("""COMPUTED_VALUE"""),"Aldo")</f>
        <v>Aldo</v>
      </c>
      <c r="F19" s="211" t="str">
        <f>IFERROR(__xludf.DUMMYFUNCTION("""COMPUTED_VALUE"""),"Flat 50 store campaigns")</f>
        <v>Flat 50 store campaigns</v>
      </c>
      <c r="G19" s="211" t="str">
        <f>IFERROR(__xludf.DUMMYFUNCTION("""COMPUTED_VALUE"""),"Flat 50_ALDO Store at Forum South")</f>
        <v>Flat 50_ALDO Store at Forum South</v>
      </c>
      <c r="H19" s="212" t="str">
        <f>IFERROR(__xludf.DUMMYFUNCTION("""COMPUTED_VALUE"""),"al_off_pr_strcd_8280_9thJan")</f>
        <v>al_off_pr_strcd_8280_9thJan</v>
      </c>
      <c r="I19" s="212" t="str">
        <f>IFERROR(__xludf.DUMMYFUNCTION("""COMPUTED_VALUE"""),"Customers who have purchased from store code 8280 in the entire duration")</f>
        <v>Customers who have purchased from store code 8280 in the entire duration</v>
      </c>
      <c r="J19" s="213">
        <f>IFERROR(__xludf.DUMMYFUNCTION("""COMPUTED_VALUE"""),2805.0)</f>
        <v>2805</v>
      </c>
      <c r="K19" s="213">
        <f>IFERROR(__xludf.DUMMYFUNCTION("""COMPUTED_VALUE"""),1631.0)</f>
        <v>1631</v>
      </c>
      <c r="L19" s="214">
        <f>IFERROR(__xludf.DUMMYFUNCTION("""COMPUTED_VALUE"""),0.5815)</f>
        <v>0.5815</v>
      </c>
      <c r="M19" s="213"/>
      <c r="N19" s="214"/>
      <c r="O19" s="213"/>
      <c r="P19" s="213"/>
      <c r="Q19" s="214"/>
      <c r="R19" s="214"/>
      <c r="S19" s="101"/>
      <c r="T19" s="101"/>
      <c r="U19" s="213"/>
      <c r="V19" s="213" t="str">
        <f>IFERROR(__xludf.DUMMYFUNCTION("""COMPUTED_VALUE"""),"Offline ")</f>
        <v>Offline </v>
      </c>
      <c r="W19" s="213" t="str">
        <f>IFERROR(__xludf.DUMMYFUNCTION("""COMPUTED_VALUE"""),"SMS")</f>
        <v>SMS</v>
      </c>
      <c r="X19" s="213" t="str">
        <f>IFERROR(__xludf.DUMMYFUNCTION("""COMPUTED_VALUE"""),"Generic")</f>
        <v>Generic</v>
      </c>
      <c r="Y19" s="213" t="str">
        <f>IFERROR(__xludf.DUMMYFUNCTION("""COMPUTED_VALUE"""),"10th - 13th January 2026 ")</f>
        <v>10th - 13th January 2026 </v>
      </c>
      <c r="Z19" s="213" t="str">
        <f>IFERROR(__xludf.DUMMYFUNCTION("""COMPUTED_VALUE"""),"6961f863de865f8ae2fc9a8c")</f>
        <v>6961f863de865f8ae2fc9a8c</v>
      </c>
      <c r="AA19" s="213">
        <f>IFERROR(__xludf.DUMMYFUNCTION("""COMPUTED_VALUE"""),4.0)</f>
        <v>4</v>
      </c>
      <c r="AB19" s="213"/>
      <c r="AC19" s="213">
        <f>IFERROR(__xludf.DUMMYFUNCTION("""COMPUTED_VALUE"""),4.0)</f>
        <v>4</v>
      </c>
      <c r="AD19" s="213">
        <f>IFERROR(__xludf.DUMMYFUNCTION("""COMPUTED_VALUE"""),36449.0)</f>
        <v>36449</v>
      </c>
      <c r="AE19" s="213"/>
      <c r="AF19" s="213">
        <f>IFERROR(__xludf.DUMMYFUNCTION("""COMPUTED_VALUE"""),36449.0)</f>
        <v>36449</v>
      </c>
      <c r="AG19" s="208"/>
      <c r="AH19" s="208"/>
      <c r="AI19" s="208"/>
      <c r="AJ19" s="208"/>
      <c r="AK19" s="208"/>
    </row>
    <row r="20">
      <c r="A20" s="216">
        <f>IFERROR(__xludf.DUMMYFUNCTION("""COMPUTED_VALUE"""),46032.0)</f>
        <v>46032</v>
      </c>
      <c r="B20" s="217">
        <f>IFERROR(__xludf.DUMMYFUNCTION("""COMPUTED_VALUE"""),0.5215277777788287)</f>
        <v>0.5215277778</v>
      </c>
      <c r="C20" s="211" t="str">
        <f>IFERROR(__xludf.DUMMYFUNCTION("""COMPUTED_VALUE"""),"Sms")</f>
        <v>Sms</v>
      </c>
      <c r="D20" s="211" t="str">
        <f>IFERROR(__xludf.DUMMYFUNCTION("""COMPUTED_VALUE"""),"Promotional")</f>
        <v>Promotional</v>
      </c>
      <c r="E20" s="211" t="str">
        <f>IFERROR(__xludf.DUMMYFUNCTION("""COMPUTED_VALUE"""),"Aldo")</f>
        <v>Aldo</v>
      </c>
      <c r="F20" s="211" t="str">
        <f>IFERROR(__xludf.DUMMYFUNCTION("""COMPUTED_VALUE"""),"Flat 50 store campaigns")</f>
        <v>Flat 50 store campaigns</v>
      </c>
      <c r="G20" s="211" t="str">
        <f>IFERROR(__xludf.DUMMYFUNCTION("""COMPUTED_VALUE"""),"Flat 50_ALDO Store at Phoenix Marketcity Kurla")</f>
        <v>Flat 50_ALDO Store at Phoenix Marketcity Kurla</v>
      </c>
      <c r="H20" s="212" t="str">
        <f>IFERROR(__xludf.DUMMYFUNCTION("""COMPUTED_VALUE"""),"al_off_pr_strcd_15012_9thJan")</f>
        <v>al_off_pr_strcd_15012_9thJan</v>
      </c>
      <c r="I20" s="212" t="str">
        <f>IFERROR(__xludf.DUMMYFUNCTION("""COMPUTED_VALUE"""),"Customers who have purchased from store code 15012 in the entire duration")</f>
        <v>Customers who have purchased from store code 15012 in the entire duration</v>
      </c>
      <c r="J20" s="213">
        <f>IFERROR(__xludf.DUMMYFUNCTION("""COMPUTED_VALUE"""),1200.0)</f>
        <v>1200</v>
      </c>
      <c r="K20" s="213">
        <f>IFERROR(__xludf.DUMMYFUNCTION("""COMPUTED_VALUE"""),713.0)</f>
        <v>713</v>
      </c>
      <c r="L20" s="214">
        <f>IFERROR(__xludf.DUMMYFUNCTION("""COMPUTED_VALUE"""),0.5942)</f>
        <v>0.5942</v>
      </c>
      <c r="M20" s="213"/>
      <c r="N20" s="214"/>
      <c r="O20" s="213"/>
      <c r="P20" s="213"/>
      <c r="Q20" s="214"/>
      <c r="R20" s="214"/>
      <c r="S20" s="101"/>
      <c r="T20" s="101"/>
      <c r="U20" s="213"/>
      <c r="V20" s="213" t="str">
        <f>IFERROR(__xludf.DUMMYFUNCTION("""COMPUTED_VALUE"""),"Offline ")</f>
        <v>Offline </v>
      </c>
      <c r="W20" s="213" t="str">
        <f>IFERROR(__xludf.DUMMYFUNCTION("""COMPUTED_VALUE"""),"SMS")</f>
        <v>SMS</v>
      </c>
      <c r="X20" s="213" t="str">
        <f>IFERROR(__xludf.DUMMYFUNCTION("""COMPUTED_VALUE"""),"Generic")</f>
        <v>Generic</v>
      </c>
      <c r="Y20" s="213" t="str">
        <f>IFERROR(__xludf.DUMMYFUNCTION("""COMPUTED_VALUE"""),"10th - 13th January 2026 ")</f>
        <v>10th - 13th January 2026 </v>
      </c>
      <c r="Z20" s="213" t="str">
        <f>IFERROR(__xludf.DUMMYFUNCTION("""COMPUTED_VALUE"""),"6961f92b65756dbcb49212b2")</f>
        <v>6961f92b65756dbcb49212b2</v>
      </c>
      <c r="AA20" s="213">
        <f>IFERROR(__xludf.DUMMYFUNCTION("""COMPUTED_VALUE"""),1.0)</f>
        <v>1</v>
      </c>
      <c r="AB20" s="213"/>
      <c r="AC20" s="213">
        <f>IFERROR(__xludf.DUMMYFUNCTION("""COMPUTED_VALUE"""),1.0)</f>
        <v>1</v>
      </c>
      <c r="AD20" s="213">
        <f>IFERROR(__xludf.DUMMYFUNCTION("""COMPUTED_VALUE"""),6741.0)</f>
        <v>6741</v>
      </c>
      <c r="AE20" s="213"/>
      <c r="AF20" s="213">
        <f>IFERROR(__xludf.DUMMYFUNCTION("""COMPUTED_VALUE"""),6741.0)</f>
        <v>6741</v>
      </c>
      <c r="AG20" s="208"/>
      <c r="AH20" s="208"/>
      <c r="AI20" s="208"/>
      <c r="AJ20" s="208"/>
      <c r="AK20" s="208"/>
    </row>
    <row r="21">
      <c r="A21" s="216">
        <f>IFERROR(__xludf.DUMMYFUNCTION("""COMPUTED_VALUE"""),46032.0)</f>
        <v>46032</v>
      </c>
      <c r="B21" s="217">
        <f>IFERROR(__xludf.DUMMYFUNCTION("""COMPUTED_VALUE"""),0.523611111111677)</f>
        <v>0.5236111111</v>
      </c>
      <c r="C21" s="211" t="str">
        <f>IFERROR(__xludf.DUMMYFUNCTION("""COMPUTED_VALUE"""),"Sms")</f>
        <v>Sms</v>
      </c>
      <c r="D21" s="211" t="str">
        <f>IFERROR(__xludf.DUMMYFUNCTION("""COMPUTED_VALUE"""),"Promotional")</f>
        <v>Promotional</v>
      </c>
      <c r="E21" s="211" t="str">
        <f>IFERROR(__xludf.DUMMYFUNCTION("""COMPUTED_VALUE"""),"Aldo")</f>
        <v>Aldo</v>
      </c>
      <c r="F21" s="211" t="str">
        <f>IFERROR(__xludf.DUMMYFUNCTION("""COMPUTED_VALUE"""),"Flat 50 store campaigns")</f>
        <v>Flat 50 store campaigns</v>
      </c>
      <c r="G21" s="211" t="str">
        <f>IFERROR(__xludf.DUMMYFUNCTION("""COMPUTED_VALUE"""),"Flat 50_ALDO Store at LULU Bengaluru")</f>
        <v>Flat 50_ALDO Store at LULU Bengaluru</v>
      </c>
      <c r="H21" s="212" t="str">
        <f>IFERROR(__xludf.DUMMYFUNCTION("""COMPUTED_VALUE"""),"al_off_pr_strcd_8269_9thJan")</f>
        <v>al_off_pr_strcd_8269_9thJan</v>
      </c>
      <c r="I21" s="212" t="str">
        <f>IFERROR(__xludf.DUMMYFUNCTION("""COMPUTED_VALUE"""),"Customers who have purchased from store code 8269 in the entire duration")</f>
        <v>Customers who have purchased from store code 8269 in the entire duration</v>
      </c>
      <c r="J21" s="213">
        <f>IFERROR(__xludf.DUMMYFUNCTION("""COMPUTED_VALUE"""),2403.0)</f>
        <v>2403</v>
      </c>
      <c r="K21" s="213">
        <f>IFERROR(__xludf.DUMMYFUNCTION("""COMPUTED_VALUE"""),1545.0)</f>
        <v>1545</v>
      </c>
      <c r="L21" s="214">
        <f>IFERROR(__xludf.DUMMYFUNCTION("""COMPUTED_VALUE"""),0.6429)</f>
        <v>0.6429</v>
      </c>
      <c r="M21" s="213"/>
      <c r="N21" s="214"/>
      <c r="O21" s="213"/>
      <c r="P21" s="213"/>
      <c r="Q21" s="214"/>
      <c r="R21" s="214"/>
      <c r="S21" s="101"/>
      <c r="T21" s="101"/>
      <c r="U21" s="213"/>
      <c r="V21" s="213" t="str">
        <f>IFERROR(__xludf.DUMMYFUNCTION("""COMPUTED_VALUE"""),"Offline ")</f>
        <v>Offline </v>
      </c>
      <c r="W21" s="213" t="str">
        <f>IFERROR(__xludf.DUMMYFUNCTION("""COMPUTED_VALUE"""),"SMS")</f>
        <v>SMS</v>
      </c>
      <c r="X21" s="213" t="str">
        <f>IFERROR(__xludf.DUMMYFUNCTION("""COMPUTED_VALUE"""),"Generic")</f>
        <v>Generic</v>
      </c>
      <c r="Y21" s="213" t="str">
        <f>IFERROR(__xludf.DUMMYFUNCTION("""COMPUTED_VALUE"""),"10th - 13th January 2026")</f>
        <v>10th - 13th January 2026</v>
      </c>
      <c r="Z21" s="213" t="str">
        <f>IFERROR(__xludf.DUMMYFUNCTION("""COMPUTED_VALUE"""),"6961fa09111c966fc57199bd")</f>
        <v>6961fa09111c966fc57199bd</v>
      </c>
      <c r="AA21" s="213">
        <f>IFERROR(__xludf.DUMMYFUNCTION("""COMPUTED_VALUE"""),5.0)</f>
        <v>5</v>
      </c>
      <c r="AB21" s="213"/>
      <c r="AC21" s="213">
        <f>IFERROR(__xludf.DUMMYFUNCTION("""COMPUTED_VALUE"""),5.0)</f>
        <v>5</v>
      </c>
      <c r="AD21" s="213">
        <f>IFERROR(__xludf.DUMMYFUNCTION("""COMPUTED_VALUE"""),55829.0)</f>
        <v>55829</v>
      </c>
      <c r="AE21" s="213"/>
      <c r="AF21" s="213">
        <f>IFERROR(__xludf.DUMMYFUNCTION("""COMPUTED_VALUE"""),55829.0)</f>
        <v>55829</v>
      </c>
      <c r="AG21" s="208"/>
      <c r="AH21" s="208"/>
      <c r="AI21" s="208"/>
      <c r="AJ21" s="208"/>
      <c r="AK21" s="208"/>
    </row>
    <row r="22">
      <c r="A22" s="216">
        <f>IFERROR(__xludf.DUMMYFUNCTION("""COMPUTED_VALUE"""),46032.0)</f>
        <v>46032</v>
      </c>
      <c r="B22" s="217">
        <f>IFERROR(__xludf.DUMMYFUNCTION("""COMPUTED_VALUE"""),0.5256944444445253)</f>
        <v>0.5256944444</v>
      </c>
      <c r="C22" s="211" t="str">
        <f>IFERROR(__xludf.DUMMYFUNCTION("""COMPUTED_VALUE"""),"Sms")</f>
        <v>Sms</v>
      </c>
      <c r="D22" s="211" t="str">
        <f>IFERROR(__xludf.DUMMYFUNCTION("""COMPUTED_VALUE"""),"Promotional")</f>
        <v>Promotional</v>
      </c>
      <c r="E22" s="211" t="str">
        <f>IFERROR(__xludf.DUMMYFUNCTION("""COMPUTED_VALUE"""),"Aldo")</f>
        <v>Aldo</v>
      </c>
      <c r="F22" s="211" t="str">
        <f>IFERROR(__xludf.DUMMYFUNCTION("""COMPUTED_VALUE"""),"Flat 50 store campaigns")</f>
        <v>Flat 50 store campaigns</v>
      </c>
      <c r="G22" s="211" t="str">
        <f>IFERROR(__xludf.DUMMYFUNCTION("""COMPUTED_VALUE"""),"FLAT 50_ALDO Store at LULU Lucknow")</f>
        <v>FLAT 50_ALDO Store at LULU Lucknow</v>
      </c>
      <c r="H22" s="212" t="str">
        <f>IFERROR(__xludf.DUMMYFUNCTION("""COMPUTED_VALUE"""),"al_off_pr_strcd_8277_9thJan")</f>
        <v>al_off_pr_strcd_8277_9thJan</v>
      </c>
      <c r="I22" s="212" t="str">
        <f>IFERROR(__xludf.DUMMYFUNCTION("""COMPUTED_VALUE"""),"Customers who have purchased from store code 8277 in the entire duration")</f>
        <v>Customers who have purchased from store code 8277 in the entire duration</v>
      </c>
      <c r="J22" s="213">
        <f>IFERROR(__xludf.DUMMYFUNCTION("""COMPUTED_VALUE"""),2266.0)</f>
        <v>2266</v>
      </c>
      <c r="K22" s="213">
        <f>IFERROR(__xludf.DUMMYFUNCTION("""COMPUTED_VALUE"""),1531.0)</f>
        <v>1531</v>
      </c>
      <c r="L22" s="214">
        <f>IFERROR(__xludf.DUMMYFUNCTION("""COMPUTED_VALUE"""),0.6756)</f>
        <v>0.6756</v>
      </c>
      <c r="M22" s="213"/>
      <c r="N22" s="214"/>
      <c r="O22" s="213"/>
      <c r="P22" s="213"/>
      <c r="Q22" s="214"/>
      <c r="R22" s="214"/>
      <c r="S22" s="101"/>
      <c r="T22" s="101"/>
      <c r="U22" s="213"/>
      <c r="V22" s="213" t="str">
        <f>IFERROR(__xludf.DUMMYFUNCTION("""COMPUTED_VALUE"""),"Offline ")</f>
        <v>Offline </v>
      </c>
      <c r="W22" s="213" t="str">
        <f>IFERROR(__xludf.DUMMYFUNCTION("""COMPUTED_VALUE"""),"SMS")</f>
        <v>SMS</v>
      </c>
      <c r="X22" s="213" t="str">
        <f>IFERROR(__xludf.DUMMYFUNCTION("""COMPUTED_VALUE"""),"Generic")</f>
        <v>Generic</v>
      </c>
      <c r="Y22" s="213" t="str">
        <f>IFERROR(__xludf.DUMMYFUNCTION("""COMPUTED_VALUE"""),"10th - 13th January 2026")</f>
        <v>10th - 13th January 2026</v>
      </c>
      <c r="Z22" s="213" t="str">
        <f>IFERROR(__xludf.DUMMYFUNCTION("""COMPUTED_VALUE"""),"6961faa6bfe9dee6c624308d")</f>
        <v>6961faa6bfe9dee6c624308d</v>
      </c>
      <c r="AA22" s="213">
        <f>IFERROR(__xludf.DUMMYFUNCTION("""COMPUTED_VALUE"""),5.0)</f>
        <v>5</v>
      </c>
      <c r="AB22" s="213"/>
      <c r="AC22" s="213">
        <f>IFERROR(__xludf.DUMMYFUNCTION("""COMPUTED_VALUE"""),5.0)</f>
        <v>5</v>
      </c>
      <c r="AD22" s="213">
        <f>IFERROR(__xludf.DUMMYFUNCTION("""COMPUTED_VALUE"""),55368.0)</f>
        <v>55368</v>
      </c>
      <c r="AE22" s="213"/>
      <c r="AF22" s="213">
        <f>IFERROR(__xludf.DUMMYFUNCTION("""COMPUTED_VALUE"""),55368.0)</f>
        <v>55368</v>
      </c>
      <c r="AG22" s="208"/>
      <c r="AH22" s="208"/>
      <c r="AI22" s="208"/>
      <c r="AJ22" s="208"/>
      <c r="AK22" s="208"/>
    </row>
    <row r="23">
      <c r="A23" s="216">
        <f>IFERROR(__xludf.DUMMYFUNCTION("""COMPUTED_VALUE"""),46032.0)</f>
        <v>46032</v>
      </c>
      <c r="B23" s="217">
        <f>IFERROR(__xludf.DUMMYFUNCTION("""COMPUTED_VALUE"""),0.5284722222204437)</f>
        <v>0.5284722222</v>
      </c>
      <c r="C23" s="211" t="str">
        <f>IFERROR(__xludf.DUMMYFUNCTION("""COMPUTED_VALUE"""),"Sms")</f>
        <v>Sms</v>
      </c>
      <c r="D23" s="211" t="str">
        <f>IFERROR(__xludf.DUMMYFUNCTION("""COMPUTED_VALUE"""),"Promotional")</f>
        <v>Promotional</v>
      </c>
      <c r="E23" s="211" t="str">
        <f>IFERROR(__xludf.DUMMYFUNCTION("""COMPUTED_VALUE"""),"Aldo")</f>
        <v>Aldo</v>
      </c>
      <c r="F23" s="211" t="str">
        <f>IFERROR(__xludf.DUMMYFUNCTION("""COMPUTED_VALUE"""),"Flat 50 store campaigns")</f>
        <v>Flat 50 store campaigns</v>
      </c>
      <c r="G23" s="211" t="str">
        <f>IFERROR(__xludf.DUMMYFUNCTION("""COMPUTED_VALUE"""),"FLAT 50_ALDO Store at Phoenix Palassio")</f>
        <v>FLAT 50_ALDO Store at Phoenix Palassio</v>
      </c>
      <c r="H23" s="212" t="str">
        <f>IFERROR(__xludf.DUMMYFUNCTION("""COMPUTED_VALUE"""),"al_off_pr_strcd_8267_9thJan")</f>
        <v>al_off_pr_strcd_8267_9thJan</v>
      </c>
      <c r="I23" s="212" t="str">
        <f>IFERROR(__xludf.DUMMYFUNCTION("""COMPUTED_VALUE"""),"Customers who have purchased from store code 8267 in the entire duration")</f>
        <v>Customers who have purchased from store code 8267 in the entire duration</v>
      </c>
      <c r="J23" s="213">
        <f>IFERROR(__xludf.DUMMYFUNCTION("""COMPUTED_VALUE"""),5460.0)</f>
        <v>5460</v>
      </c>
      <c r="K23" s="213">
        <f>IFERROR(__xludf.DUMMYFUNCTION("""COMPUTED_VALUE"""),3552.0)</f>
        <v>3552</v>
      </c>
      <c r="L23" s="214">
        <f>IFERROR(__xludf.DUMMYFUNCTION("""COMPUTED_VALUE"""),0.6505)</f>
        <v>0.6505</v>
      </c>
      <c r="M23" s="213"/>
      <c r="N23" s="214"/>
      <c r="O23" s="213"/>
      <c r="P23" s="213"/>
      <c r="Q23" s="214"/>
      <c r="R23" s="214"/>
      <c r="S23" s="101"/>
      <c r="T23" s="101">
        <f>IFERROR(__xludf.DUMMYFUNCTION("""COMPUTED_VALUE"""),1.0)</f>
        <v>1</v>
      </c>
      <c r="U23" s="213"/>
      <c r="V23" s="213" t="str">
        <f>IFERROR(__xludf.DUMMYFUNCTION("""COMPUTED_VALUE"""),"Offline ")</f>
        <v>Offline </v>
      </c>
      <c r="W23" s="213" t="str">
        <f>IFERROR(__xludf.DUMMYFUNCTION("""COMPUTED_VALUE"""),"SMS")</f>
        <v>SMS</v>
      </c>
      <c r="X23" s="213" t="str">
        <f>IFERROR(__xludf.DUMMYFUNCTION("""COMPUTED_VALUE"""),"Generic")</f>
        <v>Generic</v>
      </c>
      <c r="Y23" s="213" t="str">
        <f>IFERROR(__xludf.DUMMYFUNCTION("""COMPUTED_VALUE"""),"10th - 13th January 2026")</f>
        <v>10th - 13th January 2026</v>
      </c>
      <c r="Z23" s="213" t="str">
        <f>IFERROR(__xludf.DUMMYFUNCTION("""COMPUTED_VALUE"""),"6961fba2eca8e6baea7ac1cd")</f>
        <v>6961fba2eca8e6baea7ac1cd</v>
      </c>
      <c r="AA23" s="213">
        <f>IFERROR(__xludf.DUMMYFUNCTION("""COMPUTED_VALUE"""),9.0)</f>
        <v>9</v>
      </c>
      <c r="AB23" s="213"/>
      <c r="AC23" s="213">
        <f>IFERROR(__xludf.DUMMYFUNCTION("""COMPUTED_VALUE"""),9.0)</f>
        <v>9</v>
      </c>
      <c r="AD23" s="213">
        <f>IFERROR(__xludf.DUMMYFUNCTION("""COMPUTED_VALUE"""),67705.0)</f>
        <v>67705</v>
      </c>
      <c r="AE23" s="213"/>
      <c r="AF23" s="213">
        <f>IFERROR(__xludf.DUMMYFUNCTION("""COMPUTED_VALUE"""),67705.0)</f>
        <v>67705</v>
      </c>
      <c r="AG23" s="208"/>
      <c r="AH23" s="208"/>
      <c r="AI23" s="208"/>
      <c r="AJ23" s="208"/>
      <c r="AK23" s="208"/>
    </row>
    <row r="24">
      <c r="A24" s="216">
        <f>IFERROR(__xludf.DUMMYFUNCTION("""COMPUTED_VALUE"""),46032.0)</f>
        <v>46032</v>
      </c>
      <c r="B24" s="217">
        <f>IFERROR(__xludf.DUMMYFUNCTION("""COMPUTED_VALUE"""),0.5305555555569299)</f>
        <v>0.5305555556</v>
      </c>
      <c r="C24" s="211" t="str">
        <f>IFERROR(__xludf.DUMMYFUNCTION("""COMPUTED_VALUE"""),"Sms")</f>
        <v>Sms</v>
      </c>
      <c r="D24" s="211" t="str">
        <f>IFERROR(__xludf.DUMMYFUNCTION("""COMPUTED_VALUE"""),"Promotional")</f>
        <v>Promotional</v>
      </c>
      <c r="E24" s="211" t="str">
        <f>IFERROR(__xludf.DUMMYFUNCTION("""COMPUTED_VALUE"""),"Aldo")</f>
        <v>Aldo</v>
      </c>
      <c r="F24" s="211" t="str">
        <f>IFERROR(__xludf.DUMMYFUNCTION("""COMPUTED_VALUE"""),"Flat 50 store campaigns")</f>
        <v>Flat 50 store campaigns</v>
      </c>
      <c r="G24" s="211" t="str">
        <f>IFERROR(__xludf.DUMMYFUNCTION("""COMPUTED_VALUE"""),"FLAT 50_ALDO Accessories Store at Phoenix Palassio")</f>
        <v>FLAT 50_ALDO Accessories Store at Phoenix Palassio</v>
      </c>
      <c r="H24" s="212" t="str">
        <f>IFERROR(__xludf.DUMMYFUNCTION("""COMPUTED_VALUE"""),"al_off_pr_strcd_15028_9thJan")</f>
        <v>al_off_pr_strcd_15028_9thJan</v>
      </c>
      <c r="I24" s="212" t="str">
        <f>IFERROR(__xludf.DUMMYFUNCTION("""COMPUTED_VALUE"""),"Customers who have purchased from store code 15028 in the entire duration")</f>
        <v>Customers who have purchased from store code 15028 in the entire duration</v>
      </c>
      <c r="J24" s="213">
        <f>IFERROR(__xludf.DUMMYFUNCTION("""COMPUTED_VALUE"""),2450.0)</f>
        <v>2450</v>
      </c>
      <c r="K24" s="213">
        <f>IFERROR(__xludf.DUMMYFUNCTION("""COMPUTED_VALUE"""),1680.0)</f>
        <v>1680</v>
      </c>
      <c r="L24" s="214">
        <f>IFERROR(__xludf.DUMMYFUNCTION("""COMPUTED_VALUE"""),0.6857)</f>
        <v>0.6857</v>
      </c>
      <c r="M24" s="213"/>
      <c r="N24" s="214"/>
      <c r="O24" s="213"/>
      <c r="P24" s="213"/>
      <c r="Q24" s="214"/>
      <c r="R24" s="214"/>
      <c r="S24" s="101"/>
      <c r="T24" s="101">
        <f>IFERROR(__xludf.DUMMYFUNCTION("""COMPUTED_VALUE"""),1.0)</f>
        <v>1</v>
      </c>
      <c r="U24" s="213"/>
      <c r="V24" s="213" t="str">
        <f>IFERROR(__xludf.DUMMYFUNCTION("""COMPUTED_VALUE"""),"Offline ")</f>
        <v>Offline </v>
      </c>
      <c r="W24" s="213" t="str">
        <f>IFERROR(__xludf.DUMMYFUNCTION("""COMPUTED_VALUE"""),"SMS")</f>
        <v>SMS</v>
      </c>
      <c r="X24" s="213" t="str">
        <f>IFERROR(__xludf.DUMMYFUNCTION("""COMPUTED_VALUE"""),"Generic")</f>
        <v>Generic</v>
      </c>
      <c r="Y24" s="213" t="str">
        <f>IFERROR(__xludf.DUMMYFUNCTION("""COMPUTED_VALUE"""),"10th - 13th January 2026")</f>
        <v>10th - 13th January 2026</v>
      </c>
      <c r="Z24" s="213" t="str">
        <f>IFERROR(__xludf.DUMMYFUNCTION("""COMPUTED_VALUE"""),"6961fc5b2294efeec78c0325")</f>
        <v>6961fc5b2294efeec78c0325</v>
      </c>
      <c r="AA24" s="213">
        <f>IFERROR(__xludf.DUMMYFUNCTION("""COMPUTED_VALUE"""),7.0)</f>
        <v>7</v>
      </c>
      <c r="AB24" s="213"/>
      <c r="AC24" s="213">
        <f>IFERROR(__xludf.DUMMYFUNCTION("""COMPUTED_VALUE"""),7.0)</f>
        <v>7</v>
      </c>
      <c r="AD24" s="213">
        <f>IFERROR(__xludf.DUMMYFUNCTION("""COMPUTED_VALUE"""),45904.0)</f>
        <v>45904</v>
      </c>
      <c r="AE24" s="213"/>
      <c r="AF24" s="213">
        <f>IFERROR(__xludf.DUMMYFUNCTION("""COMPUTED_VALUE"""),45904.0)</f>
        <v>45904</v>
      </c>
      <c r="AG24" s="208"/>
      <c r="AH24" s="208"/>
      <c r="AI24" s="208"/>
      <c r="AJ24" s="208"/>
      <c r="AK24" s="208"/>
    </row>
    <row r="25">
      <c r="A25" s="216">
        <f>IFERROR(__xludf.DUMMYFUNCTION("""COMPUTED_VALUE"""),46032.0)</f>
        <v>46032</v>
      </c>
      <c r="B25" s="217">
        <f>IFERROR(__xludf.DUMMYFUNCTION("""COMPUTED_VALUE"""),0.5326388888897782)</f>
        <v>0.5326388889</v>
      </c>
      <c r="C25" s="211" t="str">
        <f>IFERROR(__xludf.DUMMYFUNCTION("""COMPUTED_VALUE"""),"Sms")</f>
        <v>Sms</v>
      </c>
      <c r="D25" s="211" t="str">
        <f>IFERROR(__xludf.DUMMYFUNCTION("""COMPUTED_VALUE"""),"Promotional")</f>
        <v>Promotional</v>
      </c>
      <c r="E25" s="211" t="str">
        <f>IFERROR(__xludf.DUMMYFUNCTION("""COMPUTED_VALUE"""),"Aldo")</f>
        <v>Aldo</v>
      </c>
      <c r="F25" s="211" t="str">
        <f>IFERROR(__xludf.DUMMYFUNCTION("""COMPUTED_VALUE"""),"Flat 50 store campaigns")</f>
        <v>Flat 50 store campaigns</v>
      </c>
      <c r="G25" s="211" t="str">
        <f>IFERROR(__xludf.DUMMYFUNCTION("""COMPUTED_VALUE"""),"FLAT 50_ALDO Accessories Store at LULU_Kochi")</f>
        <v>FLAT 50_ALDO Accessories Store at LULU_Kochi</v>
      </c>
      <c r="H25" s="212" t="str">
        <f>IFERROR(__xludf.DUMMYFUNCTION("""COMPUTED_VALUE"""),"al_off_pr_strcd_1288_9thJan")</f>
        <v>al_off_pr_strcd_1288_9thJan</v>
      </c>
      <c r="I25" s="212" t="str">
        <f>IFERROR(__xludf.DUMMYFUNCTION("""COMPUTED_VALUE"""),"Customers who have purchased from store code 1288 in the entire duration")</f>
        <v>Customers who have purchased from store code 1288 in the entire duration</v>
      </c>
      <c r="J25" s="213">
        <f>IFERROR(__xludf.DUMMYFUNCTION("""COMPUTED_VALUE"""),416.0)</f>
        <v>416</v>
      </c>
      <c r="K25" s="213">
        <f>IFERROR(__xludf.DUMMYFUNCTION("""COMPUTED_VALUE"""),288.0)</f>
        <v>288</v>
      </c>
      <c r="L25" s="214">
        <f>IFERROR(__xludf.DUMMYFUNCTION("""COMPUTED_VALUE"""),0.6923)</f>
        <v>0.6923</v>
      </c>
      <c r="M25" s="213"/>
      <c r="N25" s="214"/>
      <c r="O25" s="213"/>
      <c r="P25" s="213"/>
      <c r="Q25" s="214"/>
      <c r="R25" s="214"/>
      <c r="S25" s="101"/>
      <c r="T25" s="101"/>
      <c r="U25" s="213"/>
      <c r="V25" s="213" t="str">
        <f>IFERROR(__xludf.DUMMYFUNCTION("""COMPUTED_VALUE"""),"Offline ")</f>
        <v>Offline </v>
      </c>
      <c r="W25" s="213" t="str">
        <f>IFERROR(__xludf.DUMMYFUNCTION("""COMPUTED_VALUE"""),"SMS")</f>
        <v>SMS</v>
      </c>
      <c r="X25" s="213" t="str">
        <f>IFERROR(__xludf.DUMMYFUNCTION("""COMPUTED_VALUE"""),"Generic")</f>
        <v>Generic</v>
      </c>
      <c r="Y25" s="213" t="str">
        <f>IFERROR(__xludf.DUMMYFUNCTION("""COMPUTED_VALUE"""),"10th - 13th January 2026")</f>
        <v>10th - 13th January 2026</v>
      </c>
      <c r="Z25" s="213" t="str">
        <f>IFERROR(__xludf.DUMMYFUNCTION("""COMPUTED_VALUE"""),"6961fd191e554e71fb3c1125")</f>
        <v>6961fd191e554e71fb3c1125</v>
      </c>
      <c r="AA25" s="213">
        <f>IFERROR(__xludf.DUMMYFUNCTION("""COMPUTED_VALUE"""),2.0)</f>
        <v>2</v>
      </c>
      <c r="AB25" s="213"/>
      <c r="AC25" s="213">
        <f>IFERROR(__xludf.DUMMYFUNCTION("""COMPUTED_VALUE"""),2.0)</f>
        <v>2</v>
      </c>
      <c r="AD25" s="213">
        <f>IFERROR(__xludf.DUMMYFUNCTION("""COMPUTED_VALUE"""),9480.0)</f>
        <v>9480</v>
      </c>
      <c r="AE25" s="213"/>
      <c r="AF25" s="213">
        <f>IFERROR(__xludf.DUMMYFUNCTION("""COMPUTED_VALUE"""),9480.0)</f>
        <v>9480</v>
      </c>
      <c r="AG25" s="208"/>
      <c r="AH25" s="208"/>
      <c r="AI25" s="208"/>
      <c r="AJ25" s="208"/>
      <c r="AK25" s="208"/>
    </row>
    <row r="26">
      <c r="A26" s="216">
        <f>IFERROR(__xludf.DUMMYFUNCTION("""COMPUTED_VALUE"""),46032.0)</f>
        <v>46032</v>
      </c>
      <c r="B26" s="217">
        <f>IFERROR(__xludf.DUMMYFUNCTION("""COMPUTED_VALUE"""),0.5347222222226264)</f>
        <v>0.5347222222</v>
      </c>
      <c r="C26" s="211" t="str">
        <f>IFERROR(__xludf.DUMMYFUNCTION("""COMPUTED_VALUE"""),"Sms")</f>
        <v>Sms</v>
      </c>
      <c r="D26" s="211" t="str">
        <f>IFERROR(__xludf.DUMMYFUNCTION("""COMPUTED_VALUE"""),"Promotional")</f>
        <v>Promotional</v>
      </c>
      <c r="E26" s="211" t="str">
        <f>IFERROR(__xludf.DUMMYFUNCTION("""COMPUTED_VALUE"""),"Aldo")</f>
        <v>Aldo</v>
      </c>
      <c r="F26" s="211" t="str">
        <f>IFERROR(__xludf.DUMMYFUNCTION("""COMPUTED_VALUE"""),"Flat 50 store campaigns")</f>
        <v>Flat 50 store campaigns</v>
      </c>
      <c r="G26" s="211" t="str">
        <f>IFERROR(__xludf.DUMMYFUNCTION("""COMPUTED_VALUE"""),"FLAT 50_ALDO Store at KOPA")</f>
        <v>FLAT 50_ALDO Store at KOPA</v>
      </c>
      <c r="H26" s="212" t="str">
        <f>IFERROR(__xludf.DUMMYFUNCTION("""COMPUTED_VALUE"""),"al_off_pr_strcd_8285_9thJan")</f>
        <v>al_off_pr_strcd_8285_9thJan</v>
      </c>
      <c r="I26" s="212" t="str">
        <f>IFERROR(__xludf.DUMMYFUNCTION("""COMPUTED_VALUE"""),"Customers who have purchased from store code 8285 in the entire duration")</f>
        <v>Customers who have purchased from store code 8285 in the entire duration</v>
      </c>
      <c r="J26" s="213">
        <f>IFERROR(__xludf.DUMMYFUNCTION("""COMPUTED_VALUE"""),2019.0)</f>
        <v>2019</v>
      </c>
      <c r="K26" s="213">
        <f>IFERROR(__xludf.DUMMYFUNCTION("""COMPUTED_VALUE"""),1036.0)</f>
        <v>1036</v>
      </c>
      <c r="L26" s="214">
        <f>IFERROR(__xludf.DUMMYFUNCTION("""COMPUTED_VALUE"""),0.5131)</f>
        <v>0.5131</v>
      </c>
      <c r="M26" s="213"/>
      <c r="N26" s="214"/>
      <c r="O26" s="213"/>
      <c r="P26" s="213"/>
      <c r="Q26" s="214"/>
      <c r="R26" s="214"/>
      <c r="S26" s="101"/>
      <c r="T26" s="101"/>
      <c r="U26" s="213"/>
      <c r="V26" s="213" t="str">
        <f>IFERROR(__xludf.DUMMYFUNCTION("""COMPUTED_VALUE"""),"Offline ")</f>
        <v>Offline </v>
      </c>
      <c r="W26" s="213" t="str">
        <f>IFERROR(__xludf.DUMMYFUNCTION("""COMPUTED_VALUE"""),"SMS")</f>
        <v>SMS</v>
      </c>
      <c r="X26" s="213" t="str">
        <f>IFERROR(__xludf.DUMMYFUNCTION("""COMPUTED_VALUE"""),"Generic")</f>
        <v>Generic</v>
      </c>
      <c r="Y26" s="213" t="str">
        <f>IFERROR(__xludf.DUMMYFUNCTION("""COMPUTED_VALUE"""),"10th - 13th January 2026")</f>
        <v>10th - 13th January 2026</v>
      </c>
      <c r="Z26" s="213" t="str">
        <f>IFERROR(__xludf.DUMMYFUNCTION("""COMPUTED_VALUE"""),"6961fd9fa21d806871f47df9")</f>
        <v>6961fd9fa21d806871f47df9</v>
      </c>
      <c r="AA26" s="213">
        <f>IFERROR(__xludf.DUMMYFUNCTION("""COMPUTED_VALUE"""),3.0)</f>
        <v>3</v>
      </c>
      <c r="AB26" s="213"/>
      <c r="AC26" s="213">
        <f>IFERROR(__xludf.DUMMYFUNCTION("""COMPUTED_VALUE"""),3.0)</f>
        <v>3</v>
      </c>
      <c r="AD26" s="213">
        <f>IFERROR(__xludf.DUMMYFUNCTION("""COMPUTED_VALUE"""),22469.0)</f>
        <v>22469</v>
      </c>
      <c r="AE26" s="213"/>
      <c r="AF26" s="213">
        <f>IFERROR(__xludf.DUMMYFUNCTION("""COMPUTED_VALUE"""),22469.0)</f>
        <v>22469</v>
      </c>
      <c r="AG26" s="208"/>
      <c r="AH26" s="208"/>
      <c r="AI26" s="208"/>
      <c r="AJ26" s="208"/>
      <c r="AK26" s="208"/>
    </row>
    <row r="27">
      <c r="A27" s="215">
        <f>IFERROR(__xludf.DUMMYFUNCTION("""COMPUTED_VALUE"""),46032.0)</f>
        <v>46032</v>
      </c>
      <c r="B27" s="210">
        <f>IFERROR(__xludf.DUMMYFUNCTION("""COMPUTED_VALUE"""),0.5361111111124046)</f>
        <v>0.5361111111</v>
      </c>
      <c r="C27" s="211" t="str">
        <f>IFERROR(__xludf.DUMMYFUNCTION("""COMPUTED_VALUE"""),"Sms")</f>
        <v>Sms</v>
      </c>
      <c r="D27" s="211" t="str">
        <f>IFERROR(__xludf.DUMMYFUNCTION("""COMPUTED_VALUE"""),"Promotional")</f>
        <v>Promotional</v>
      </c>
      <c r="E27" s="218" t="str">
        <f>IFERROR(__xludf.DUMMYFUNCTION("""COMPUTED_VALUE"""),"Aldo")</f>
        <v>Aldo</v>
      </c>
      <c r="F27" s="218" t="str">
        <f>IFERROR(__xludf.DUMMYFUNCTION("""COMPUTED_VALUE"""),"Flat 50 store campaigns")</f>
        <v>Flat 50 store campaigns</v>
      </c>
      <c r="G27" s="218" t="str">
        <f>IFERROR(__xludf.DUMMYFUNCTION("""COMPUTED_VALUE"""),"FLAT 50_ALDO Store at CP 67")</f>
        <v>FLAT 50_ALDO Store at CP 67</v>
      </c>
      <c r="H27" s="212" t="str">
        <f>IFERROR(__xludf.DUMMYFUNCTION("""COMPUTED_VALUE"""),"al_off_pr_strcd_8284_9thJan")</f>
        <v>al_off_pr_strcd_8284_9thJan</v>
      </c>
      <c r="I27" s="212" t="str">
        <f>IFERROR(__xludf.DUMMYFUNCTION("""COMPUTED_VALUE"""),"Customers who have purchased from store code 8284 in the entire duration")</f>
        <v>Customers who have purchased from store code 8284 in the entire duration</v>
      </c>
      <c r="J27" s="213">
        <f>IFERROR(__xludf.DUMMYFUNCTION("""COMPUTED_VALUE"""),4261.0)</f>
        <v>4261</v>
      </c>
      <c r="K27" s="213">
        <f>IFERROR(__xludf.DUMMYFUNCTION("""COMPUTED_VALUE"""),2702.0)</f>
        <v>2702</v>
      </c>
      <c r="L27" s="214">
        <f>IFERROR(__xludf.DUMMYFUNCTION("""COMPUTED_VALUE"""),0.6341)</f>
        <v>0.6341</v>
      </c>
      <c r="M27" s="213"/>
      <c r="N27" s="214"/>
      <c r="O27" s="101"/>
      <c r="P27" s="101"/>
      <c r="Q27" s="214"/>
      <c r="R27" s="214"/>
      <c r="S27" s="101"/>
      <c r="T27" s="101"/>
      <c r="U27" s="213"/>
      <c r="V27" s="213" t="str">
        <f>IFERROR(__xludf.DUMMYFUNCTION("""COMPUTED_VALUE"""),"Offline ")</f>
        <v>Offline </v>
      </c>
      <c r="W27" s="213" t="str">
        <f>IFERROR(__xludf.DUMMYFUNCTION("""COMPUTED_VALUE"""),"SMS")</f>
        <v>SMS</v>
      </c>
      <c r="X27" s="213" t="str">
        <f>IFERROR(__xludf.DUMMYFUNCTION("""COMPUTED_VALUE"""),"Generic")</f>
        <v>Generic</v>
      </c>
      <c r="Y27" s="213" t="str">
        <f>IFERROR(__xludf.DUMMYFUNCTION("""COMPUTED_VALUE"""),"10th - 13th January 2026")</f>
        <v>10th - 13th January 2026</v>
      </c>
      <c r="Z27" s="213" t="str">
        <f>IFERROR(__xludf.DUMMYFUNCTION("""COMPUTED_VALUE"""),"6961fe44fbad0af76d399e40")</f>
        <v>6961fe44fbad0af76d399e40</v>
      </c>
      <c r="AA27" s="213">
        <f>IFERROR(__xludf.DUMMYFUNCTION("""COMPUTED_VALUE"""),8.0)</f>
        <v>8</v>
      </c>
      <c r="AB27" s="213"/>
      <c r="AC27" s="213">
        <f>IFERROR(__xludf.DUMMYFUNCTION("""COMPUTED_VALUE"""),8.0)</f>
        <v>8</v>
      </c>
      <c r="AD27" s="213">
        <f>IFERROR(__xludf.DUMMYFUNCTION("""COMPUTED_VALUE"""),82356.0)</f>
        <v>82356</v>
      </c>
      <c r="AE27" s="213"/>
      <c r="AF27" s="213">
        <f>IFERROR(__xludf.DUMMYFUNCTION("""COMPUTED_VALUE"""),82356.0)</f>
        <v>82356</v>
      </c>
      <c r="AG27" s="208"/>
      <c r="AH27" s="208"/>
      <c r="AI27" s="208"/>
      <c r="AJ27" s="208"/>
      <c r="AK27" s="208"/>
    </row>
    <row r="28">
      <c r="A28" s="215">
        <f>IFERROR(__xludf.DUMMYFUNCTION("""COMPUTED_VALUE"""),46032.0)</f>
        <v>46032</v>
      </c>
      <c r="B28" s="210">
        <f>IFERROR(__xludf.DUMMYFUNCTION("""COMPUTED_VALUE"""),0.5374999999985448)</f>
        <v>0.5375</v>
      </c>
      <c r="C28" s="211" t="str">
        <f>IFERROR(__xludf.DUMMYFUNCTION("""COMPUTED_VALUE"""),"Sms")</f>
        <v>Sms</v>
      </c>
      <c r="D28" s="211" t="str">
        <f>IFERROR(__xludf.DUMMYFUNCTION("""COMPUTED_VALUE"""),"Promotional")</f>
        <v>Promotional</v>
      </c>
      <c r="E28" s="218" t="str">
        <f>IFERROR(__xludf.DUMMYFUNCTION("""COMPUTED_VALUE"""),"Aldo")</f>
        <v>Aldo</v>
      </c>
      <c r="F28" s="218" t="str">
        <f>IFERROR(__xludf.DUMMYFUNCTION("""COMPUTED_VALUE"""),"Flat 50 store campaigns")</f>
        <v>Flat 50 store campaigns</v>
      </c>
      <c r="G28" s="218" t="str">
        <f>IFERROR(__xludf.DUMMYFUNCTION("""COMPUTED_VALUE"""),"FLAT 50_ALDO Store at Nexus Shantiniketan")</f>
        <v>FLAT 50_ALDO Store at Nexus Shantiniketan</v>
      </c>
      <c r="H28" s="212" t="str">
        <f>IFERROR(__xludf.DUMMYFUNCTION("""COMPUTED_VALUE"""),"al_off_pr_strcd_8259_9thJan")</f>
        <v>al_off_pr_strcd_8259_9thJan</v>
      </c>
      <c r="I28" s="212" t="str">
        <f>IFERROR(__xludf.DUMMYFUNCTION("""COMPUTED_VALUE"""),"Customers who have purchased from store code 8259 in the entire duration")</f>
        <v>Customers who have purchased from store code 8259 in the entire duration</v>
      </c>
      <c r="J28" s="213">
        <f>IFERROR(__xludf.DUMMYFUNCTION("""COMPUTED_VALUE"""),1484.0)</f>
        <v>1484</v>
      </c>
      <c r="K28" s="213">
        <f>IFERROR(__xludf.DUMMYFUNCTION("""COMPUTED_VALUE"""),741.0)</f>
        <v>741</v>
      </c>
      <c r="L28" s="214">
        <f>IFERROR(__xludf.DUMMYFUNCTION("""COMPUTED_VALUE"""),0.4993)</f>
        <v>0.4993</v>
      </c>
      <c r="M28" s="213"/>
      <c r="N28" s="214"/>
      <c r="O28" s="101"/>
      <c r="P28" s="101"/>
      <c r="Q28" s="214"/>
      <c r="R28" s="214"/>
      <c r="S28" s="101"/>
      <c r="T28" s="101"/>
      <c r="U28" s="213"/>
      <c r="V28" s="213" t="str">
        <f>IFERROR(__xludf.DUMMYFUNCTION("""COMPUTED_VALUE"""),"Offline ")</f>
        <v>Offline </v>
      </c>
      <c r="W28" s="213" t="str">
        <f>IFERROR(__xludf.DUMMYFUNCTION("""COMPUTED_VALUE"""),"SMS")</f>
        <v>SMS</v>
      </c>
      <c r="X28" s="213" t="str">
        <f>IFERROR(__xludf.DUMMYFUNCTION("""COMPUTED_VALUE"""),"Generic")</f>
        <v>Generic</v>
      </c>
      <c r="Y28" s="213" t="str">
        <f>IFERROR(__xludf.DUMMYFUNCTION("""COMPUTED_VALUE"""),"10th - 13th January 2026")</f>
        <v>10th - 13th January 2026</v>
      </c>
      <c r="Z28" s="213" t="str">
        <f>IFERROR(__xludf.DUMMYFUNCTION("""COMPUTED_VALUE"""),"6961fec1ec20578a52ab87e3")</f>
        <v>6961fec1ec20578a52ab87e3</v>
      </c>
      <c r="AA28" s="213">
        <f>IFERROR(__xludf.DUMMYFUNCTION("""COMPUTED_VALUE"""),1.0)</f>
        <v>1</v>
      </c>
      <c r="AB28" s="213"/>
      <c r="AC28" s="213">
        <f>IFERROR(__xludf.DUMMYFUNCTION("""COMPUTED_VALUE"""),1.0)</f>
        <v>1</v>
      </c>
      <c r="AD28" s="213">
        <f>IFERROR(__xludf.DUMMYFUNCTION("""COMPUTED_VALUE"""),5990.0)</f>
        <v>5990</v>
      </c>
      <c r="AE28" s="213"/>
      <c r="AF28" s="213">
        <f>IFERROR(__xludf.DUMMYFUNCTION("""COMPUTED_VALUE"""),5990.0)</f>
        <v>5990</v>
      </c>
      <c r="AG28" s="208"/>
      <c r="AH28" s="208"/>
      <c r="AI28" s="208"/>
      <c r="AJ28" s="208"/>
      <c r="AK28" s="208"/>
    </row>
    <row r="29">
      <c r="A29" s="215">
        <f>IFERROR(__xludf.DUMMYFUNCTION("""COMPUTED_VALUE"""),46032.0)</f>
        <v>46032</v>
      </c>
      <c r="B29" s="210">
        <f>IFERROR(__xludf.DUMMYFUNCTION("""COMPUTED_VALUE"""),0.5395833333350311)</f>
        <v>0.5395833333</v>
      </c>
      <c r="C29" s="211" t="str">
        <f>IFERROR(__xludf.DUMMYFUNCTION("""COMPUTED_VALUE"""),"Sms")</f>
        <v>Sms</v>
      </c>
      <c r="D29" s="211" t="str">
        <f>IFERROR(__xludf.DUMMYFUNCTION("""COMPUTED_VALUE"""),"Promotional")</f>
        <v>Promotional</v>
      </c>
      <c r="E29" s="218" t="str">
        <f>IFERROR(__xludf.DUMMYFUNCTION("""COMPUTED_VALUE"""),"Aldo")</f>
        <v>Aldo</v>
      </c>
      <c r="F29" s="218" t="str">
        <f>IFERROR(__xludf.DUMMYFUNCTION("""COMPUTED_VALUE"""),"Flat 50 store campaigns")</f>
        <v>Flat 50 store campaigns</v>
      </c>
      <c r="G29" s="218" t="str">
        <f>IFERROR(__xludf.DUMMYFUNCTION("""COMPUTED_VALUE"""),"FLAT 50_ALDO Store at Nexus Alpha One")</f>
        <v>FLAT 50_ALDO Store at Nexus Alpha One</v>
      </c>
      <c r="H29" s="212" t="str">
        <f>IFERROR(__xludf.DUMMYFUNCTION("""COMPUTED_VALUE"""),"al_off_pr_strcd_8233_9thJan")</f>
        <v>al_off_pr_strcd_8233_9thJan</v>
      </c>
      <c r="I29" s="212" t="str">
        <f>IFERROR(__xludf.DUMMYFUNCTION("""COMPUTED_VALUE"""),"Customers who have purchased from store code 8233 in the entire duration")</f>
        <v>Customers who have purchased from store code 8233 in the entire duration</v>
      </c>
      <c r="J29" s="213">
        <f>IFERROR(__xludf.DUMMYFUNCTION("""COMPUTED_VALUE"""),4068.0)</f>
        <v>4068</v>
      </c>
      <c r="K29" s="213">
        <f>IFERROR(__xludf.DUMMYFUNCTION("""COMPUTED_VALUE"""),2772.0)</f>
        <v>2772</v>
      </c>
      <c r="L29" s="214">
        <f>IFERROR(__xludf.DUMMYFUNCTION("""COMPUTED_VALUE"""),0.6814)</f>
        <v>0.6814</v>
      </c>
      <c r="M29" s="213"/>
      <c r="N29" s="214"/>
      <c r="O29" s="101"/>
      <c r="P29" s="101"/>
      <c r="Q29" s="214"/>
      <c r="R29" s="214"/>
      <c r="S29" s="101"/>
      <c r="T29" s="101"/>
      <c r="U29" s="213"/>
      <c r="V29" s="213" t="str">
        <f>IFERROR(__xludf.DUMMYFUNCTION("""COMPUTED_VALUE"""),"Offline ")</f>
        <v>Offline </v>
      </c>
      <c r="W29" s="213" t="str">
        <f>IFERROR(__xludf.DUMMYFUNCTION("""COMPUTED_VALUE"""),"SMS")</f>
        <v>SMS</v>
      </c>
      <c r="X29" s="213" t="str">
        <f>IFERROR(__xludf.DUMMYFUNCTION("""COMPUTED_VALUE"""),"Generic")</f>
        <v>Generic</v>
      </c>
      <c r="Y29" s="213" t="str">
        <f>IFERROR(__xludf.DUMMYFUNCTION("""COMPUTED_VALUE"""),"10th - 13th January 2026")</f>
        <v>10th - 13th January 2026</v>
      </c>
      <c r="Z29" s="213" t="str">
        <f>IFERROR(__xludf.DUMMYFUNCTION("""COMPUTED_VALUE"""),"6961ff4fa9117542ae595948")</f>
        <v>6961ff4fa9117542ae595948</v>
      </c>
      <c r="AA29" s="213">
        <f>IFERROR(__xludf.DUMMYFUNCTION("""COMPUTED_VALUE"""),6.0)</f>
        <v>6</v>
      </c>
      <c r="AB29" s="213"/>
      <c r="AC29" s="213">
        <f>IFERROR(__xludf.DUMMYFUNCTION("""COMPUTED_VALUE"""),6.0)</f>
        <v>6</v>
      </c>
      <c r="AD29" s="213">
        <f>IFERROR(__xludf.DUMMYFUNCTION("""COMPUTED_VALUE"""),40863.0)</f>
        <v>40863</v>
      </c>
      <c r="AE29" s="213"/>
      <c r="AF29" s="213">
        <f>IFERROR(__xludf.DUMMYFUNCTION("""COMPUTED_VALUE"""),40863.0)</f>
        <v>40863</v>
      </c>
      <c r="AG29" s="208"/>
      <c r="AH29" s="208"/>
      <c r="AI29" s="208"/>
      <c r="AJ29" s="208"/>
      <c r="AK29" s="208"/>
    </row>
    <row r="30">
      <c r="A30" s="215">
        <f>IFERROR(__xludf.DUMMYFUNCTION("""COMPUTED_VALUE"""),46032.0)</f>
        <v>46032</v>
      </c>
      <c r="B30" s="210">
        <f>IFERROR(__xludf.DUMMYFUNCTION("""COMPUTED_VALUE"""),0.5409722222211713)</f>
        <v>0.5409722222</v>
      </c>
      <c r="C30" s="211" t="str">
        <f>IFERROR(__xludf.DUMMYFUNCTION("""COMPUTED_VALUE"""),"Sms")</f>
        <v>Sms</v>
      </c>
      <c r="D30" s="211" t="str">
        <f>IFERROR(__xludf.DUMMYFUNCTION("""COMPUTED_VALUE"""),"Promotional")</f>
        <v>Promotional</v>
      </c>
      <c r="E30" s="218" t="str">
        <f>IFERROR(__xludf.DUMMYFUNCTION("""COMPUTED_VALUE"""),"Aldo")</f>
        <v>Aldo</v>
      </c>
      <c r="F30" s="218" t="str">
        <f>IFERROR(__xludf.DUMMYFUNCTION("""COMPUTED_VALUE"""),"Flat 50 store campaigns")</f>
        <v>Flat 50 store campaigns</v>
      </c>
      <c r="G30" s="218" t="str">
        <f>IFERROR(__xludf.DUMMYFUNCTION("""COMPUTED_VALUE"""),"FLAT 50_ALDO Store at Inorbit Vadodara")</f>
        <v>FLAT 50_ALDO Store at Inorbit Vadodara</v>
      </c>
      <c r="H30" s="212" t="str">
        <f>IFERROR(__xludf.DUMMYFUNCTION("""COMPUTED_VALUE"""),"al_off_pr_strcd_8266_9thJan")</f>
        <v>al_off_pr_strcd_8266_9thJan</v>
      </c>
      <c r="I30" s="212" t="str">
        <f>IFERROR(__xludf.DUMMYFUNCTION("""COMPUTED_VALUE"""),"Customers who have purchased from store code 8266 in the entire duration")</f>
        <v>Customers who have purchased from store code 8266 in the entire duration</v>
      </c>
      <c r="J30" s="213">
        <f>IFERROR(__xludf.DUMMYFUNCTION("""COMPUTED_VALUE"""),2982.0)</f>
        <v>2982</v>
      </c>
      <c r="K30" s="213">
        <f>IFERROR(__xludf.DUMMYFUNCTION("""COMPUTED_VALUE"""),1435.0)</f>
        <v>1435</v>
      </c>
      <c r="L30" s="214">
        <f>IFERROR(__xludf.DUMMYFUNCTION("""COMPUTED_VALUE"""),0.4812)</f>
        <v>0.4812</v>
      </c>
      <c r="M30" s="213"/>
      <c r="N30" s="214"/>
      <c r="O30" s="101"/>
      <c r="P30" s="101"/>
      <c r="Q30" s="214"/>
      <c r="R30" s="214"/>
      <c r="S30" s="101"/>
      <c r="T30" s="101"/>
      <c r="U30" s="213"/>
      <c r="V30" s="213" t="str">
        <f>IFERROR(__xludf.DUMMYFUNCTION("""COMPUTED_VALUE"""),"Offline ")</f>
        <v>Offline </v>
      </c>
      <c r="W30" s="213" t="str">
        <f>IFERROR(__xludf.DUMMYFUNCTION("""COMPUTED_VALUE"""),"SMS")</f>
        <v>SMS</v>
      </c>
      <c r="X30" s="213" t="str">
        <f>IFERROR(__xludf.DUMMYFUNCTION("""COMPUTED_VALUE"""),"Generic")</f>
        <v>Generic</v>
      </c>
      <c r="Y30" s="213" t="str">
        <f>IFERROR(__xludf.DUMMYFUNCTION("""COMPUTED_VALUE"""),"10th - 13th January 2026")</f>
        <v>10th - 13th January 2026</v>
      </c>
      <c r="Z30" s="213" t="str">
        <f>IFERROR(__xludf.DUMMYFUNCTION("""COMPUTED_VALUE"""),"6961ffdc4dd075dce83aad7b")</f>
        <v>6961ffdc4dd075dce83aad7b</v>
      </c>
      <c r="AA30" s="213">
        <f>IFERROR(__xludf.DUMMYFUNCTION("""COMPUTED_VALUE"""),7.0)</f>
        <v>7</v>
      </c>
      <c r="AB30" s="213"/>
      <c r="AC30" s="213">
        <f>IFERROR(__xludf.DUMMYFUNCTION("""COMPUTED_VALUE"""),7.0)</f>
        <v>7</v>
      </c>
      <c r="AD30" s="213">
        <f>IFERROR(__xludf.DUMMYFUNCTION("""COMPUTED_VALUE"""),42992.0)</f>
        <v>42992</v>
      </c>
      <c r="AE30" s="213"/>
      <c r="AF30" s="213">
        <f>IFERROR(__xludf.DUMMYFUNCTION("""COMPUTED_VALUE"""),42992.0)</f>
        <v>42992</v>
      </c>
      <c r="AG30" s="208"/>
      <c r="AH30" s="208"/>
      <c r="AI30" s="208"/>
      <c r="AJ30" s="208"/>
      <c r="AK30" s="208"/>
    </row>
    <row r="31">
      <c r="A31" s="215">
        <f>IFERROR(__xludf.DUMMYFUNCTION("""COMPUTED_VALUE"""),46032.0)</f>
        <v>46032</v>
      </c>
      <c r="B31" s="210">
        <f>IFERROR(__xludf.DUMMYFUNCTION("""COMPUTED_VALUE"""),0.5430555555540195)</f>
        <v>0.5430555556</v>
      </c>
      <c r="C31" s="211" t="str">
        <f>IFERROR(__xludf.DUMMYFUNCTION("""COMPUTED_VALUE"""),"Sms")</f>
        <v>Sms</v>
      </c>
      <c r="D31" s="211" t="str">
        <f>IFERROR(__xludf.DUMMYFUNCTION("""COMPUTED_VALUE"""),"Promotional")</f>
        <v>Promotional</v>
      </c>
      <c r="E31" s="218" t="str">
        <f>IFERROR(__xludf.DUMMYFUNCTION("""COMPUTED_VALUE"""),"Aldo")</f>
        <v>Aldo</v>
      </c>
      <c r="F31" s="218" t="str">
        <f>IFERROR(__xludf.DUMMYFUNCTION("""COMPUTED_VALUE"""),"Flat 50 store campaigns")</f>
        <v>Flat 50 store campaigns</v>
      </c>
      <c r="G31" s="218" t="str">
        <f>IFERROR(__xludf.DUMMYFUNCTION("""COMPUTED_VALUE"""),"FLAT 50_ALDO Accessories Store at Forum South")</f>
        <v>FLAT 50_ALDO Accessories Store at Forum South</v>
      </c>
      <c r="H31" s="212" t="str">
        <f>IFERROR(__xludf.DUMMYFUNCTION("""COMPUTED_VALUE"""),"al_off_pr_strcd_1291_9thJan")</f>
        <v>al_off_pr_strcd_1291_9thJan</v>
      </c>
      <c r="I31" s="212" t="str">
        <f>IFERROR(__xludf.DUMMYFUNCTION("""COMPUTED_VALUE"""),"Customers who have purchased from store code 1291 in the entire duration")</f>
        <v>Customers who have purchased from store code 1291 in the entire duration</v>
      </c>
      <c r="J31" s="213">
        <f>IFERROR(__xludf.DUMMYFUNCTION("""COMPUTED_VALUE"""),219.0)</f>
        <v>219</v>
      </c>
      <c r="K31" s="213">
        <f>IFERROR(__xludf.DUMMYFUNCTION("""COMPUTED_VALUE"""),137.0)</f>
        <v>137</v>
      </c>
      <c r="L31" s="214">
        <f>IFERROR(__xludf.DUMMYFUNCTION("""COMPUTED_VALUE"""),0.6256)</f>
        <v>0.6256</v>
      </c>
      <c r="M31" s="213"/>
      <c r="N31" s="214"/>
      <c r="O31" s="101"/>
      <c r="P31" s="101"/>
      <c r="Q31" s="214"/>
      <c r="R31" s="214"/>
      <c r="S31" s="101"/>
      <c r="T31" s="101"/>
      <c r="U31" s="213"/>
      <c r="V31" s="213" t="str">
        <f>IFERROR(__xludf.DUMMYFUNCTION("""COMPUTED_VALUE"""),"Offline ")</f>
        <v>Offline </v>
      </c>
      <c r="W31" s="213" t="str">
        <f>IFERROR(__xludf.DUMMYFUNCTION("""COMPUTED_VALUE"""),"SMS")</f>
        <v>SMS</v>
      </c>
      <c r="X31" s="213" t="str">
        <f>IFERROR(__xludf.DUMMYFUNCTION("""COMPUTED_VALUE"""),"Generic")</f>
        <v>Generic</v>
      </c>
      <c r="Y31" s="213" t="str">
        <f>IFERROR(__xludf.DUMMYFUNCTION("""COMPUTED_VALUE"""),"10th - 13th January 2026")</f>
        <v>10th - 13th January 2026</v>
      </c>
      <c r="Z31" s="213" t="str">
        <f>IFERROR(__xludf.DUMMYFUNCTION("""COMPUTED_VALUE"""),"696200a7eca8e6baea7ac1ea")</f>
        <v>696200a7eca8e6baea7ac1ea</v>
      </c>
      <c r="AA31" s="213">
        <f>IFERROR(__xludf.DUMMYFUNCTION("""COMPUTED_VALUE"""),0.0)</f>
        <v>0</v>
      </c>
      <c r="AB31" s="213"/>
      <c r="AC31" s="213">
        <f>IFERROR(__xludf.DUMMYFUNCTION("""COMPUTED_VALUE"""),0.0)</f>
        <v>0</v>
      </c>
      <c r="AD31" s="213">
        <f>IFERROR(__xludf.DUMMYFUNCTION("""COMPUTED_VALUE"""),0.0)</f>
        <v>0</v>
      </c>
      <c r="AE31" s="213"/>
      <c r="AF31" s="213">
        <f>IFERROR(__xludf.DUMMYFUNCTION("""COMPUTED_VALUE"""),0.0)</f>
        <v>0</v>
      </c>
      <c r="AG31" s="208"/>
      <c r="AH31" s="208"/>
      <c r="AI31" s="208"/>
      <c r="AJ31" s="208"/>
      <c r="AK31" s="208"/>
    </row>
    <row r="32">
      <c r="A32" s="215">
        <f>IFERROR(__xludf.DUMMYFUNCTION("""COMPUTED_VALUE"""),46032.0)</f>
        <v>46032</v>
      </c>
      <c r="B32" s="210">
        <f>IFERROR(__xludf.DUMMYFUNCTION("""COMPUTED_VALUE"""),0.5451388888905058)</f>
        <v>0.5451388889</v>
      </c>
      <c r="C32" s="211" t="str">
        <f>IFERROR(__xludf.DUMMYFUNCTION("""COMPUTED_VALUE"""),"Sms")</f>
        <v>Sms</v>
      </c>
      <c r="D32" s="211" t="str">
        <f>IFERROR(__xludf.DUMMYFUNCTION("""COMPUTED_VALUE"""),"Promotional")</f>
        <v>Promotional</v>
      </c>
      <c r="E32" s="218" t="str">
        <f>IFERROR(__xludf.DUMMYFUNCTION("""COMPUTED_VALUE"""),"Aldo")</f>
        <v>Aldo</v>
      </c>
      <c r="F32" s="218" t="str">
        <f>IFERROR(__xludf.DUMMYFUNCTION("""COMPUTED_VALUE"""),"Flat 50 store campaigns")</f>
        <v>Flat 50 store campaigns</v>
      </c>
      <c r="G32" s="218" t="str">
        <f>IFERROR(__xludf.DUMMYFUNCTION("""COMPUTED_VALUE"""),"FLAT 50_ALDO Store at VR")</f>
        <v>FLAT 50_ALDO Store at VR</v>
      </c>
      <c r="H32" s="212" t="str">
        <f>IFERROR(__xludf.DUMMYFUNCTION("""COMPUTED_VALUE"""),"al_off_pr_strcd_8257_9thJan")</f>
        <v>al_off_pr_strcd_8257_9thJan</v>
      </c>
      <c r="I32" s="212" t="str">
        <f>IFERROR(__xludf.DUMMYFUNCTION("""COMPUTED_VALUE"""),"Customers who have purchased from store code 8257 in the entire duration")</f>
        <v>Customers who have purchased from store code 8257 in the entire duration</v>
      </c>
      <c r="J32" s="213">
        <f>IFERROR(__xludf.DUMMYFUNCTION("""COMPUTED_VALUE"""),3598.0)</f>
        <v>3598</v>
      </c>
      <c r="K32" s="213">
        <f>IFERROR(__xludf.DUMMYFUNCTION("""COMPUTED_VALUE"""),1852.0)</f>
        <v>1852</v>
      </c>
      <c r="L32" s="214">
        <f>IFERROR(__xludf.DUMMYFUNCTION("""COMPUTED_VALUE"""),0.5147)</f>
        <v>0.5147</v>
      </c>
      <c r="M32" s="213"/>
      <c r="N32" s="214"/>
      <c r="O32" s="101"/>
      <c r="P32" s="101"/>
      <c r="Q32" s="214"/>
      <c r="R32" s="214"/>
      <c r="S32" s="101"/>
      <c r="T32" s="101">
        <f>IFERROR(__xludf.DUMMYFUNCTION("""COMPUTED_VALUE"""),1.0)</f>
        <v>1</v>
      </c>
      <c r="U32" s="213"/>
      <c r="V32" s="213" t="str">
        <f>IFERROR(__xludf.DUMMYFUNCTION("""COMPUTED_VALUE"""),"Offline ")</f>
        <v>Offline </v>
      </c>
      <c r="W32" s="213" t="str">
        <f>IFERROR(__xludf.DUMMYFUNCTION("""COMPUTED_VALUE"""),"SMS")</f>
        <v>SMS</v>
      </c>
      <c r="X32" s="213" t="str">
        <f>IFERROR(__xludf.DUMMYFUNCTION("""COMPUTED_VALUE"""),"Generic")</f>
        <v>Generic</v>
      </c>
      <c r="Y32" s="213" t="str">
        <f>IFERROR(__xludf.DUMMYFUNCTION("""COMPUTED_VALUE"""),"10th - 13th January 2026")</f>
        <v>10th - 13th January 2026</v>
      </c>
      <c r="Z32" s="213" t="str">
        <f>IFERROR(__xludf.DUMMYFUNCTION("""COMPUTED_VALUE"""),"69620129aca7266d2ac9db00")</f>
        <v>69620129aca7266d2ac9db00</v>
      </c>
      <c r="AA32" s="213">
        <f>IFERROR(__xludf.DUMMYFUNCTION("""COMPUTED_VALUE"""),1.0)</f>
        <v>1</v>
      </c>
      <c r="AB32" s="213"/>
      <c r="AC32" s="213">
        <f>IFERROR(__xludf.DUMMYFUNCTION("""COMPUTED_VALUE"""),1.0)</f>
        <v>1</v>
      </c>
      <c r="AD32" s="213">
        <f>IFERROR(__xludf.DUMMYFUNCTION("""COMPUTED_VALUE"""),6490.0)</f>
        <v>6490</v>
      </c>
      <c r="AE32" s="213"/>
      <c r="AF32" s="213">
        <f>IFERROR(__xludf.DUMMYFUNCTION("""COMPUTED_VALUE"""),6490.0)</f>
        <v>6490</v>
      </c>
      <c r="AG32" s="208"/>
      <c r="AH32" s="208"/>
      <c r="AI32" s="208"/>
      <c r="AJ32" s="208"/>
      <c r="AK32" s="208"/>
    </row>
    <row r="33">
      <c r="A33" s="215">
        <f>IFERROR(__xludf.DUMMYFUNCTION("""COMPUTED_VALUE"""),46032.0)</f>
        <v>46032</v>
      </c>
      <c r="B33" s="210">
        <f>IFERROR(__xludf.DUMMYFUNCTION("""COMPUTED_VALUE"""),0.546527777776646)</f>
        <v>0.5465277778</v>
      </c>
      <c r="C33" s="211" t="str">
        <f>IFERROR(__xludf.DUMMYFUNCTION("""COMPUTED_VALUE"""),"Sms")</f>
        <v>Sms</v>
      </c>
      <c r="D33" s="211" t="str">
        <f>IFERROR(__xludf.DUMMYFUNCTION("""COMPUTED_VALUE"""),"Promotional")</f>
        <v>Promotional</v>
      </c>
      <c r="E33" s="211" t="str">
        <f>IFERROR(__xludf.DUMMYFUNCTION("""COMPUTED_VALUE"""),"Aldo")</f>
        <v>Aldo</v>
      </c>
      <c r="F33" s="211" t="str">
        <f>IFERROR(__xludf.DUMMYFUNCTION("""COMPUTED_VALUE"""),"Flat 50 store campaigns")</f>
        <v>Flat 50 store campaigns</v>
      </c>
      <c r="G33" s="211" t="str">
        <f>IFERROR(__xludf.DUMMYFUNCTION("""COMPUTED_VALUE"""),"FLAT 50_ALDO Store at Nexus Kormangala")</f>
        <v>FLAT 50_ALDO Store at Nexus Kormangala</v>
      </c>
      <c r="H33" s="212" t="str">
        <f>IFERROR(__xludf.DUMMYFUNCTION("""COMPUTED_VALUE"""),"al_off_pr_strcd_8258_9thJan")</f>
        <v>al_off_pr_strcd_8258_9thJan</v>
      </c>
      <c r="I33" s="212" t="str">
        <f>IFERROR(__xludf.DUMMYFUNCTION("""COMPUTED_VALUE"""),"Customers who have purchased from store code 8258 in the entire duration")</f>
        <v>Customers who have purchased from store code 8258 in the entire duration</v>
      </c>
      <c r="J33" s="213">
        <f>IFERROR(__xludf.DUMMYFUNCTION("""COMPUTED_VALUE"""),4611.0)</f>
        <v>4611</v>
      </c>
      <c r="K33" s="213">
        <f>IFERROR(__xludf.DUMMYFUNCTION("""COMPUTED_VALUE"""),2685.0)</f>
        <v>2685</v>
      </c>
      <c r="L33" s="214">
        <f>IFERROR(__xludf.DUMMYFUNCTION("""COMPUTED_VALUE"""),0.5823)</f>
        <v>0.5823</v>
      </c>
      <c r="M33" s="213"/>
      <c r="N33" s="214"/>
      <c r="O33" s="101"/>
      <c r="P33" s="101"/>
      <c r="Q33" s="214"/>
      <c r="R33" s="214"/>
      <c r="S33" s="101"/>
      <c r="T33" s="101"/>
      <c r="U33" s="213"/>
      <c r="V33" s="213" t="str">
        <f>IFERROR(__xludf.DUMMYFUNCTION("""COMPUTED_VALUE"""),"Offline ")</f>
        <v>Offline </v>
      </c>
      <c r="W33" s="213" t="str">
        <f>IFERROR(__xludf.DUMMYFUNCTION("""COMPUTED_VALUE"""),"SMS")</f>
        <v>SMS</v>
      </c>
      <c r="X33" s="213" t="str">
        <f>IFERROR(__xludf.DUMMYFUNCTION("""COMPUTED_VALUE"""),"Generic")</f>
        <v>Generic</v>
      </c>
      <c r="Y33" s="213" t="str">
        <f>IFERROR(__xludf.DUMMYFUNCTION("""COMPUTED_VALUE"""),"10th - 13th January 2026")</f>
        <v>10th - 13th January 2026</v>
      </c>
      <c r="Z33" s="213" t="str">
        <f>IFERROR(__xludf.DUMMYFUNCTION("""COMPUTED_VALUE"""),"696201a87deb139ff19bbdc9")</f>
        <v>696201a87deb139ff19bbdc9</v>
      </c>
      <c r="AA33" s="213">
        <f>IFERROR(__xludf.DUMMYFUNCTION("""COMPUTED_VALUE"""),4.0)</f>
        <v>4</v>
      </c>
      <c r="AB33" s="213"/>
      <c r="AC33" s="213">
        <f>IFERROR(__xludf.DUMMYFUNCTION("""COMPUTED_VALUE"""),4.0)</f>
        <v>4</v>
      </c>
      <c r="AD33" s="213">
        <f>IFERROR(__xludf.DUMMYFUNCTION("""COMPUTED_VALUE"""),33477.0)</f>
        <v>33477</v>
      </c>
      <c r="AE33" s="213"/>
      <c r="AF33" s="213">
        <f>IFERROR(__xludf.DUMMYFUNCTION("""COMPUTED_VALUE"""),33477.0)</f>
        <v>33477</v>
      </c>
      <c r="AG33" s="208"/>
      <c r="AH33" s="208"/>
      <c r="AI33" s="208"/>
      <c r="AJ33" s="208"/>
      <c r="AK33" s="208"/>
    </row>
    <row r="34">
      <c r="A34" s="215">
        <f>IFERROR(__xludf.DUMMYFUNCTION("""COMPUTED_VALUE"""),46032.0)</f>
        <v>46032</v>
      </c>
      <c r="B34" s="210">
        <f>IFERROR(__xludf.DUMMYFUNCTION("""COMPUTED_VALUE"""),0.547222222223354)</f>
        <v>0.5472222222</v>
      </c>
      <c r="C34" s="211" t="str">
        <f>IFERROR(__xludf.DUMMYFUNCTION("""COMPUTED_VALUE"""),"Sms")</f>
        <v>Sms</v>
      </c>
      <c r="D34" s="211" t="str">
        <f>IFERROR(__xludf.DUMMYFUNCTION("""COMPUTED_VALUE"""),"Promotional")</f>
        <v>Promotional</v>
      </c>
      <c r="E34" s="211" t="str">
        <f>IFERROR(__xludf.DUMMYFUNCTION("""COMPUTED_VALUE"""),"Aldo")</f>
        <v>Aldo</v>
      </c>
      <c r="F34" s="211" t="str">
        <f>IFERROR(__xludf.DUMMYFUNCTION("""COMPUTED_VALUE"""),"Flat 50 store campaigns")</f>
        <v>Flat 50 store campaigns</v>
      </c>
      <c r="G34" s="211" t="str">
        <f>IFERROR(__xludf.DUMMYFUNCTION("""COMPUTED_VALUE"""),"FLAT 50_ALDO Store at Forum South")</f>
        <v>FLAT 50_ALDO Store at Forum South</v>
      </c>
      <c r="H34" s="212" t="str">
        <f>IFERROR(__xludf.DUMMYFUNCTION("""COMPUTED_VALUE"""),"al_off_pr_strcd_8282_9thJan")</f>
        <v>al_off_pr_strcd_8282_9thJan</v>
      </c>
      <c r="I34" s="212" t="str">
        <f>IFERROR(__xludf.DUMMYFUNCTION("""COMPUTED_VALUE"""),"Customers who have purchased from store code 8282 in the entire duration")</f>
        <v>Customers who have purchased from store code 8282 in the entire duration</v>
      </c>
      <c r="J34" s="213">
        <f>IFERROR(__xludf.DUMMYFUNCTION("""COMPUTED_VALUE"""),1297.0)</f>
        <v>1297</v>
      </c>
      <c r="K34" s="213">
        <f>IFERROR(__xludf.DUMMYFUNCTION("""COMPUTED_VALUE"""),727.0)</f>
        <v>727</v>
      </c>
      <c r="L34" s="214">
        <f>IFERROR(__xludf.DUMMYFUNCTION("""COMPUTED_VALUE"""),0.5605)</f>
        <v>0.5605</v>
      </c>
      <c r="M34" s="213"/>
      <c r="N34" s="214"/>
      <c r="O34" s="101"/>
      <c r="P34" s="101"/>
      <c r="Q34" s="214"/>
      <c r="R34" s="214"/>
      <c r="S34" s="101"/>
      <c r="T34" s="101"/>
      <c r="U34" s="213"/>
      <c r="V34" s="213" t="str">
        <f>IFERROR(__xludf.DUMMYFUNCTION("""COMPUTED_VALUE"""),"Offline ")</f>
        <v>Offline </v>
      </c>
      <c r="W34" s="213" t="str">
        <f>IFERROR(__xludf.DUMMYFUNCTION("""COMPUTED_VALUE"""),"SMS")</f>
        <v>SMS</v>
      </c>
      <c r="X34" s="213" t="str">
        <f>IFERROR(__xludf.DUMMYFUNCTION("""COMPUTED_VALUE"""),"Generic")</f>
        <v>Generic</v>
      </c>
      <c r="Y34" s="213" t="str">
        <f>IFERROR(__xludf.DUMMYFUNCTION("""COMPUTED_VALUE"""),"10th - 13th January 2026")</f>
        <v>10th - 13th January 2026</v>
      </c>
      <c r="Z34" s="213" t="str">
        <f>IFERROR(__xludf.DUMMYFUNCTION("""COMPUTED_VALUE"""),"696202104dd075dce83aadd1")</f>
        <v>696202104dd075dce83aadd1</v>
      </c>
      <c r="AA34" s="213">
        <f>IFERROR(__xludf.DUMMYFUNCTION("""COMPUTED_VALUE"""),3.0)</f>
        <v>3</v>
      </c>
      <c r="AB34" s="213"/>
      <c r="AC34" s="213">
        <f>IFERROR(__xludf.DUMMYFUNCTION("""COMPUTED_VALUE"""),3.0)</f>
        <v>3</v>
      </c>
      <c r="AD34" s="213">
        <f>IFERROR(__xludf.DUMMYFUNCTION("""COMPUTED_VALUE"""),20802.0)</f>
        <v>20802</v>
      </c>
      <c r="AE34" s="213"/>
      <c r="AF34" s="213">
        <f>IFERROR(__xludf.DUMMYFUNCTION("""COMPUTED_VALUE"""),20802.0)</f>
        <v>20802</v>
      </c>
      <c r="AG34" s="208"/>
      <c r="AH34" s="208"/>
      <c r="AI34" s="208"/>
      <c r="AJ34" s="208"/>
      <c r="AK34" s="208"/>
    </row>
    <row r="35">
      <c r="A35" s="216">
        <f>IFERROR(__xludf.DUMMYFUNCTION("""COMPUTED_VALUE"""),46039.0)</f>
        <v>46039</v>
      </c>
      <c r="B35" s="210">
        <f>IFERROR(__xludf.DUMMYFUNCTION("""COMPUTED_VALUE"""),0.3958333333321207)</f>
        <v>0.3958333333</v>
      </c>
      <c r="C35" s="211" t="str">
        <f>IFERROR(__xludf.DUMMYFUNCTION("""COMPUTED_VALUE"""),"Rcs")</f>
        <v>Rcs</v>
      </c>
      <c r="D35" s="211" t="str">
        <f>IFERROR(__xludf.DUMMYFUNCTION("""COMPUTED_VALUE"""),"Promotional")</f>
        <v>Promotional</v>
      </c>
      <c r="E35" s="211" t="str">
        <f>IFERROR(__xludf.DUMMYFUNCTION("""COMPUTED_VALUE"""),"Aldo")</f>
        <v>Aldo</v>
      </c>
      <c r="F35" s="211" t="str">
        <f>IFERROR(__xludf.DUMMYFUNCTION("""COMPUTED_VALUE"""),"Flat 50")</f>
        <v>Flat 50</v>
      </c>
      <c r="G35" s="211" t="str">
        <f>IFERROR(__xludf.DUMMYFUNCTION("""COMPUTED_VALUE"""),"Flat 50_ALDO Store at PMC Pune")</f>
        <v>Flat 50_ALDO Store at PMC Pune</v>
      </c>
      <c r="H35" s="212" t="str">
        <f>IFERROR(__xludf.DUMMYFUNCTION("""COMPUTED_VALUE"""),"al_off_pr_strcd_8221_9thJan")</f>
        <v>al_off_pr_strcd_8221_9thJan</v>
      </c>
      <c r="I35" s="211" t="str">
        <f>IFERROR(__xludf.DUMMYFUNCTION("""COMPUTED_VALUE"""),"Customers who have purchased from store code 8221 in the entire duration")</f>
        <v>Customers who have purchased from store code 8221 in the entire duration</v>
      </c>
      <c r="J35" s="213">
        <f>IFERROR(__xludf.DUMMYFUNCTION("""COMPUTED_VALUE"""),5389.0)</f>
        <v>5389</v>
      </c>
      <c r="K35" s="213">
        <f>IFERROR(__xludf.DUMMYFUNCTION("""COMPUTED_VALUE"""),1187.0)</f>
        <v>1187</v>
      </c>
      <c r="L35" s="214">
        <f>IFERROR(__xludf.DUMMYFUNCTION("""COMPUTED_VALUE"""),0.2203)</f>
        <v>0.2203</v>
      </c>
      <c r="M35" s="213">
        <f>IFERROR(__xludf.DUMMYFUNCTION("""COMPUTED_VALUE"""),172.0)</f>
        <v>172</v>
      </c>
      <c r="N35" s="214">
        <f>IFERROR(__xludf.DUMMYFUNCTION("""COMPUTED_VALUE"""),0.145)</f>
        <v>0.145</v>
      </c>
      <c r="O35" s="101">
        <f>IFERROR(__xludf.DUMMYFUNCTION("""COMPUTED_VALUE"""),5.0)</f>
        <v>5</v>
      </c>
      <c r="P35" s="101"/>
      <c r="Q35" s="214">
        <f>IFERROR(__xludf.DUMMYFUNCTION("""COMPUTED_VALUE"""),0.0042)</f>
        <v>0.0042</v>
      </c>
      <c r="R35" s="214"/>
      <c r="S35" s="101">
        <f>IFERROR(__xludf.DUMMYFUNCTION("""COMPUTED_VALUE"""),0.0)</f>
        <v>0</v>
      </c>
      <c r="T35" s="101">
        <f>IFERROR(__xludf.DUMMYFUNCTION("""COMPUTED_VALUE"""),0.0)</f>
        <v>0</v>
      </c>
      <c r="U35" s="213">
        <f>IFERROR(__xludf.DUMMYFUNCTION("""COMPUTED_VALUE"""),0.0)</f>
        <v>0</v>
      </c>
      <c r="V35" s="213" t="str">
        <f>IFERROR(__xludf.DUMMYFUNCTION("""COMPUTED_VALUE"""),"Offline ")</f>
        <v>Offline </v>
      </c>
      <c r="W35" s="213" t="str">
        <f>IFERROR(__xludf.DUMMYFUNCTION("""COMPUTED_VALUE"""),"RCS")</f>
        <v>RCS</v>
      </c>
      <c r="X35" s="213" t="str">
        <f>IFERROR(__xludf.DUMMYFUNCTION("""COMPUTED_VALUE"""),"Generic")</f>
        <v>Generic</v>
      </c>
      <c r="Y35" s="213" t="str">
        <f>IFERROR(__xludf.DUMMYFUNCTION("""COMPUTED_VALUE"""),"17th - 21st January 2026 ")</f>
        <v>17th - 21st January 2026 </v>
      </c>
      <c r="Z35" s="213" t="str">
        <f>IFERROR(__xludf.DUMMYFUNCTION("""COMPUTED_VALUE"""),"696a4732e61ad335ed20050a")</f>
        <v>696a4732e61ad335ed20050a</v>
      </c>
      <c r="AA35" s="213">
        <f>IFERROR(__xludf.DUMMYFUNCTION("""COMPUTED_VALUE"""),4.0)</f>
        <v>4</v>
      </c>
      <c r="AB35" s="213"/>
      <c r="AC35" s="213">
        <f>IFERROR(__xludf.DUMMYFUNCTION("""COMPUTED_VALUE"""),4.0)</f>
        <v>4</v>
      </c>
      <c r="AD35" s="213">
        <f>IFERROR(__xludf.DUMMYFUNCTION("""COMPUTED_VALUE"""),33332.0)</f>
        <v>33332</v>
      </c>
      <c r="AE35" s="213"/>
      <c r="AF35" s="213">
        <f>IFERROR(__xludf.DUMMYFUNCTION("""COMPUTED_VALUE"""),33332.0)</f>
        <v>33332</v>
      </c>
      <c r="AG35" s="208"/>
      <c r="AH35" s="208"/>
      <c r="AI35" s="208"/>
      <c r="AJ35" s="208"/>
      <c r="AK35" s="208"/>
    </row>
    <row r="36">
      <c r="A36" s="216">
        <f>IFERROR(__xludf.DUMMYFUNCTION("""COMPUTED_VALUE"""),46039.0)</f>
        <v>46039</v>
      </c>
      <c r="B36" s="210">
        <f>IFERROR(__xludf.DUMMYFUNCTION("""COMPUTED_VALUE"""),0.3958333333321207)</f>
        <v>0.3958333333</v>
      </c>
      <c r="C36" s="211" t="str">
        <f>IFERROR(__xludf.DUMMYFUNCTION("""COMPUTED_VALUE"""),"Rcs")</f>
        <v>Rcs</v>
      </c>
      <c r="D36" s="211" t="str">
        <f>IFERROR(__xludf.DUMMYFUNCTION("""COMPUTED_VALUE"""),"Promotional")</f>
        <v>Promotional</v>
      </c>
      <c r="E36" s="211" t="str">
        <f>IFERROR(__xludf.DUMMYFUNCTION("""COMPUTED_VALUE"""),"Aldo")</f>
        <v>Aldo</v>
      </c>
      <c r="F36" s="211" t="str">
        <f>IFERROR(__xludf.DUMMYFUNCTION("""COMPUTED_VALUE"""),"Flat 50")</f>
        <v>Flat 50</v>
      </c>
      <c r="G36" s="211" t="str">
        <f>IFERROR(__xludf.DUMMYFUNCTION("""COMPUTED_VALUE"""),"Flat 50_ALDO Accessories Store at PMC Pune")</f>
        <v>Flat 50_ALDO Accessories Store at PMC Pune</v>
      </c>
      <c r="H36" s="212" t="str">
        <f>IFERROR(__xludf.DUMMYFUNCTION("""COMPUTED_VALUE"""),"al_off_pr_strcd_15013_9thJan")</f>
        <v>al_off_pr_strcd_15013_9thJan</v>
      </c>
      <c r="I36" s="211" t="str">
        <f>IFERROR(__xludf.DUMMYFUNCTION("""COMPUTED_VALUE"""),"Customers who have purchased from store code 15013 in the entire duration")</f>
        <v>Customers who have purchased from store code 15013 in the entire duration</v>
      </c>
      <c r="J36" s="213">
        <f>IFERROR(__xludf.DUMMYFUNCTION("""COMPUTED_VALUE"""),3434.0)</f>
        <v>3434</v>
      </c>
      <c r="K36" s="213">
        <f>IFERROR(__xludf.DUMMYFUNCTION("""COMPUTED_VALUE"""),699.0)</f>
        <v>699</v>
      </c>
      <c r="L36" s="214">
        <f>IFERROR(__xludf.DUMMYFUNCTION("""COMPUTED_VALUE"""),0.2036)</f>
        <v>0.2036</v>
      </c>
      <c r="M36" s="213">
        <f>IFERROR(__xludf.DUMMYFUNCTION("""COMPUTED_VALUE"""),74.0)</f>
        <v>74</v>
      </c>
      <c r="N36" s="214">
        <f>IFERROR(__xludf.DUMMYFUNCTION("""COMPUTED_VALUE"""),0.106)</f>
        <v>0.106</v>
      </c>
      <c r="O36" s="101">
        <f>IFERROR(__xludf.DUMMYFUNCTION("""COMPUTED_VALUE"""),3.0)</f>
        <v>3</v>
      </c>
      <c r="P36" s="101"/>
      <c r="Q36" s="214">
        <f>IFERROR(__xludf.DUMMYFUNCTION("""COMPUTED_VALUE"""),0.0043)</f>
        <v>0.0043</v>
      </c>
      <c r="R36" s="214"/>
      <c r="S36" s="101">
        <f>IFERROR(__xludf.DUMMYFUNCTION("""COMPUTED_VALUE"""),0.0)</f>
        <v>0</v>
      </c>
      <c r="T36" s="101">
        <f>IFERROR(__xludf.DUMMYFUNCTION("""COMPUTED_VALUE"""),0.0)</f>
        <v>0</v>
      </c>
      <c r="U36" s="213">
        <f>IFERROR(__xludf.DUMMYFUNCTION("""COMPUTED_VALUE"""),0.0)</f>
        <v>0</v>
      </c>
      <c r="V36" s="213" t="str">
        <f>IFERROR(__xludf.DUMMYFUNCTION("""COMPUTED_VALUE"""),"Offline ")</f>
        <v>Offline </v>
      </c>
      <c r="W36" s="213" t="str">
        <f>IFERROR(__xludf.DUMMYFUNCTION("""COMPUTED_VALUE"""),"RCS")</f>
        <v>RCS</v>
      </c>
      <c r="X36" s="213" t="str">
        <f>IFERROR(__xludf.DUMMYFUNCTION("""COMPUTED_VALUE"""),"Generic")</f>
        <v>Generic</v>
      </c>
      <c r="Y36" s="213" t="str">
        <f>IFERROR(__xludf.DUMMYFUNCTION("""COMPUTED_VALUE"""),"17th - 21st January 2026 ")</f>
        <v>17th - 21st January 2026 </v>
      </c>
      <c r="Z36" s="213" t="str">
        <f>IFERROR(__xludf.DUMMYFUNCTION("""COMPUTED_VALUE"""),"696a47d6e5e2cc58bf2bffba")</f>
        <v>696a47d6e5e2cc58bf2bffba</v>
      </c>
      <c r="AA36" s="213">
        <f>IFERROR(__xludf.DUMMYFUNCTION("""COMPUTED_VALUE"""),0.0)</f>
        <v>0</v>
      </c>
      <c r="AB36" s="213"/>
      <c r="AC36" s="213">
        <f>IFERROR(__xludf.DUMMYFUNCTION("""COMPUTED_VALUE"""),0.0)</f>
        <v>0</v>
      </c>
      <c r="AD36" s="213">
        <f>IFERROR(__xludf.DUMMYFUNCTION("""COMPUTED_VALUE"""),0.0)</f>
        <v>0</v>
      </c>
      <c r="AE36" s="213"/>
      <c r="AF36" s="213">
        <f>IFERROR(__xludf.DUMMYFUNCTION("""COMPUTED_VALUE"""),0.0)</f>
        <v>0</v>
      </c>
      <c r="AG36" s="208"/>
      <c r="AH36" s="208"/>
      <c r="AI36" s="208"/>
      <c r="AJ36" s="208"/>
      <c r="AK36" s="208"/>
    </row>
    <row r="37">
      <c r="A37" s="219">
        <f>IFERROR(__xludf.DUMMYFUNCTION("""COMPUTED_VALUE"""),46039.0)</f>
        <v>46039</v>
      </c>
      <c r="B37" s="220">
        <f>IFERROR(__xludf.DUMMYFUNCTION("""COMPUTED_VALUE"""),0.3958333333321207)</f>
        <v>0.3958333333</v>
      </c>
      <c r="C37" s="221" t="str">
        <f>IFERROR(__xludf.DUMMYFUNCTION("""COMPUTED_VALUE"""),"Rcs")</f>
        <v>Rcs</v>
      </c>
      <c r="D37" s="221" t="str">
        <f>IFERROR(__xludf.DUMMYFUNCTION("""COMPUTED_VALUE"""),"Promotional")</f>
        <v>Promotional</v>
      </c>
      <c r="E37" s="221" t="str">
        <f>IFERROR(__xludf.DUMMYFUNCTION("""COMPUTED_VALUE"""),"Aldo")</f>
        <v>Aldo</v>
      </c>
      <c r="F37" s="221" t="str">
        <f>IFERROR(__xludf.DUMMYFUNCTION("""COMPUTED_VALUE"""),"Flat 50")</f>
        <v>Flat 50</v>
      </c>
      <c r="G37" s="222" t="str">
        <f>IFERROR(__xludf.DUMMYFUNCTION("""COMPUTED_VALUE"""),"Flat 50_ALDO Store at Orion")</f>
        <v>Flat 50_ALDO Store at Orion</v>
      </c>
      <c r="H37" s="223" t="str">
        <f>IFERROR(__xludf.DUMMYFUNCTION("""COMPUTED_VALUE"""),"al_off_pr_strcd_8240_9thJan")</f>
        <v>al_off_pr_strcd_8240_9thJan</v>
      </c>
      <c r="I37" s="221" t="str">
        <f>IFERROR(__xludf.DUMMYFUNCTION("""COMPUTED_VALUE"""),"Customers who have purchased from store code 8240 in the entire duration")</f>
        <v>Customers who have purchased from store code 8240 in the entire duration</v>
      </c>
      <c r="J37" s="224">
        <f>IFERROR(__xludf.DUMMYFUNCTION("""COMPUTED_VALUE"""),9348.0)</f>
        <v>9348</v>
      </c>
      <c r="K37" s="224">
        <f>IFERROR(__xludf.DUMMYFUNCTION("""COMPUTED_VALUE"""),1963.0)</f>
        <v>1963</v>
      </c>
      <c r="L37" s="225">
        <f>IFERROR(__xludf.DUMMYFUNCTION("""COMPUTED_VALUE"""),0.21)</f>
        <v>0.21</v>
      </c>
      <c r="M37" s="224">
        <f>IFERROR(__xludf.DUMMYFUNCTION("""COMPUTED_VALUE"""),302.0)</f>
        <v>302</v>
      </c>
      <c r="N37" s="225">
        <f>IFERROR(__xludf.DUMMYFUNCTION("""COMPUTED_VALUE"""),0.154)</f>
        <v>0.154</v>
      </c>
      <c r="O37" s="226">
        <f>IFERROR(__xludf.DUMMYFUNCTION("""COMPUTED_VALUE"""),7.0)</f>
        <v>7</v>
      </c>
      <c r="P37" s="226"/>
      <c r="Q37" s="225">
        <f>IFERROR(__xludf.DUMMYFUNCTION("""COMPUTED_VALUE"""),0.0036)</f>
        <v>0.0036</v>
      </c>
      <c r="R37" s="225"/>
      <c r="S37" s="226">
        <f>IFERROR(__xludf.DUMMYFUNCTION("""COMPUTED_VALUE"""),0.0)</f>
        <v>0</v>
      </c>
      <c r="T37" s="226">
        <f>IFERROR(__xludf.DUMMYFUNCTION("""COMPUTED_VALUE"""),0.0)</f>
        <v>0</v>
      </c>
      <c r="U37" s="224">
        <f>IFERROR(__xludf.DUMMYFUNCTION("""COMPUTED_VALUE"""),0.0)</f>
        <v>0</v>
      </c>
      <c r="V37" s="224" t="str">
        <f>IFERROR(__xludf.DUMMYFUNCTION("""COMPUTED_VALUE"""),"Offline ")</f>
        <v>Offline </v>
      </c>
      <c r="W37" s="224" t="str">
        <f>IFERROR(__xludf.DUMMYFUNCTION("""COMPUTED_VALUE"""),"RCS")</f>
        <v>RCS</v>
      </c>
      <c r="X37" s="224" t="str">
        <f>IFERROR(__xludf.DUMMYFUNCTION("""COMPUTED_VALUE"""),"Generic")</f>
        <v>Generic</v>
      </c>
      <c r="Y37" s="224" t="str">
        <f>IFERROR(__xludf.DUMMYFUNCTION("""COMPUTED_VALUE"""),"17th - 21st January 2026 ")</f>
        <v>17th - 21st January 2026 </v>
      </c>
      <c r="Z37" s="224" t="str">
        <f>IFERROR(__xludf.DUMMYFUNCTION("""COMPUTED_VALUE"""),"696a48d939048ec51c05c0ac")</f>
        <v>696a48d939048ec51c05c0ac</v>
      </c>
      <c r="AA37" s="224">
        <f>IFERROR(__xludf.DUMMYFUNCTION("""COMPUTED_VALUE"""),10.0)</f>
        <v>10</v>
      </c>
      <c r="AB37" s="224"/>
      <c r="AC37" s="224">
        <f>IFERROR(__xludf.DUMMYFUNCTION("""COMPUTED_VALUE"""),10.0)</f>
        <v>10</v>
      </c>
      <c r="AD37" s="224">
        <f>IFERROR(__xludf.DUMMYFUNCTION("""COMPUTED_VALUE"""),87779.0)</f>
        <v>87779</v>
      </c>
      <c r="AE37" s="224"/>
      <c r="AF37" s="224">
        <f>IFERROR(__xludf.DUMMYFUNCTION("""COMPUTED_VALUE"""),87779.0)</f>
        <v>87779</v>
      </c>
      <c r="AG37" s="208"/>
      <c r="AH37" s="208"/>
      <c r="AI37" s="208"/>
      <c r="AJ37" s="208"/>
      <c r="AK37" s="208"/>
    </row>
    <row r="38">
      <c r="A38" s="219">
        <f>IFERROR(__xludf.DUMMYFUNCTION("""COMPUTED_VALUE"""),46039.0)</f>
        <v>46039</v>
      </c>
      <c r="B38" s="220">
        <f>IFERROR(__xludf.DUMMYFUNCTION("""COMPUTED_VALUE"""),0.5)</f>
        <v>0.5</v>
      </c>
      <c r="C38" s="221" t="str">
        <f>IFERROR(__xludf.DUMMYFUNCTION("""COMPUTED_VALUE"""),"Sms")</f>
        <v>Sms</v>
      </c>
      <c r="D38" s="221" t="str">
        <f>IFERROR(__xludf.DUMMYFUNCTION("""COMPUTED_VALUE"""),"Fallback Campaign")</f>
        <v>Fallback Campaign</v>
      </c>
      <c r="E38" s="221" t="str">
        <f>IFERROR(__xludf.DUMMYFUNCTION("""COMPUTED_VALUE"""),"Aldo")</f>
        <v>Aldo</v>
      </c>
      <c r="F38" s="221" t="str">
        <f>IFERROR(__xludf.DUMMYFUNCTION("""COMPUTED_VALUE"""),"Flat 50")</f>
        <v>Flat 50</v>
      </c>
      <c r="G38" s="222" t="str">
        <f>IFERROR(__xludf.DUMMYFUNCTION("""COMPUTED_VALUE"""),"FLAT 50_ALDO Store at Phoenix Marketcity Pune")</f>
        <v>FLAT 50_ALDO Store at Phoenix Marketcity Pune</v>
      </c>
      <c r="H38" s="223" t="str">
        <f>IFERROR(__xludf.DUMMYFUNCTION("""COMPUTED_VALUE"""),"al_off_pr_strcd_8221_9thJan")</f>
        <v>al_off_pr_strcd_8221_9thJan</v>
      </c>
      <c r="I38" s="221" t="str">
        <f>IFERROR(__xludf.DUMMYFUNCTION("""COMPUTED_VALUE"""),"RCS Delivery Failed")</f>
        <v>RCS Delivery Failed</v>
      </c>
      <c r="J38" s="224">
        <f>IFERROR(__xludf.DUMMYFUNCTION("""COMPUTED_VALUE"""),4148.0)</f>
        <v>4148</v>
      </c>
      <c r="K38" s="224">
        <f>IFERROR(__xludf.DUMMYFUNCTION("""COMPUTED_VALUE"""),2217.0)</f>
        <v>2217</v>
      </c>
      <c r="L38" s="225">
        <f>IFERROR(__xludf.DUMMYFUNCTION("""COMPUTED_VALUE"""),0.5345)</f>
        <v>0.5345</v>
      </c>
      <c r="M38" s="224"/>
      <c r="N38" s="225"/>
      <c r="O38" s="226">
        <f>IFERROR(__xludf.DUMMYFUNCTION("""COMPUTED_VALUE"""),0.0)</f>
        <v>0</v>
      </c>
      <c r="P38" s="226"/>
      <c r="Q38" s="225">
        <f>IFERROR(__xludf.DUMMYFUNCTION("""COMPUTED_VALUE"""),0.0)</f>
        <v>0</v>
      </c>
      <c r="R38" s="225"/>
      <c r="S38" s="226">
        <f>IFERROR(__xludf.DUMMYFUNCTION("""COMPUTED_VALUE"""),0.0)</f>
        <v>0</v>
      </c>
      <c r="T38" s="226">
        <f>IFERROR(__xludf.DUMMYFUNCTION("""COMPUTED_VALUE"""),0.0)</f>
        <v>0</v>
      </c>
      <c r="U38" s="224">
        <f>IFERROR(__xludf.DUMMYFUNCTION("""COMPUTED_VALUE"""),0.0)</f>
        <v>0</v>
      </c>
      <c r="V38" s="224" t="str">
        <f>IFERROR(__xludf.DUMMYFUNCTION("""COMPUTED_VALUE"""),"Offline ")</f>
        <v>Offline </v>
      </c>
      <c r="W38" s="224" t="str">
        <f>IFERROR(__xludf.DUMMYFUNCTION("""COMPUTED_VALUE"""),"SMS")</f>
        <v>SMS</v>
      </c>
      <c r="X38" s="224" t="str">
        <f>IFERROR(__xludf.DUMMYFUNCTION("""COMPUTED_VALUE"""),"Generic")</f>
        <v>Generic</v>
      </c>
      <c r="Y38" s="224" t="str">
        <f>IFERROR(__xludf.DUMMYFUNCTION("""COMPUTED_VALUE"""),"17th - 21st January 2026 ")</f>
        <v>17th - 21st January 2026 </v>
      </c>
      <c r="Z38" s="224" t="str">
        <f>IFERROR(__xludf.DUMMYFUNCTION("""COMPUTED_VALUE"""),"696a4a06e563fd0f343a909d")</f>
        <v>696a4a06e563fd0f343a909d</v>
      </c>
      <c r="AA38" s="224">
        <f>IFERROR(__xludf.DUMMYFUNCTION("""COMPUTED_VALUE"""),2.0)</f>
        <v>2</v>
      </c>
      <c r="AB38" s="224"/>
      <c r="AC38" s="224">
        <f>IFERROR(__xludf.DUMMYFUNCTION("""COMPUTED_VALUE"""),2.0)</f>
        <v>2</v>
      </c>
      <c r="AD38" s="224">
        <f>IFERROR(__xludf.DUMMYFUNCTION("""COMPUTED_VALUE"""),26450.0)</f>
        <v>26450</v>
      </c>
      <c r="AE38" s="224"/>
      <c r="AF38" s="224">
        <f>IFERROR(__xludf.DUMMYFUNCTION("""COMPUTED_VALUE"""),26450.0)</f>
        <v>26450</v>
      </c>
      <c r="AG38" s="208"/>
      <c r="AH38" s="208"/>
      <c r="AI38" s="208"/>
      <c r="AJ38" s="208"/>
      <c r="AK38" s="208"/>
    </row>
    <row r="39">
      <c r="A39" s="219">
        <f>IFERROR(__xludf.DUMMYFUNCTION("""COMPUTED_VALUE"""),46039.0)</f>
        <v>46039</v>
      </c>
      <c r="B39" s="220">
        <f>IFERROR(__xludf.DUMMYFUNCTION("""COMPUTED_VALUE"""),0.5)</f>
        <v>0.5</v>
      </c>
      <c r="C39" s="221" t="str">
        <f>IFERROR(__xludf.DUMMYFUNCTION("""COMPUTED_VALUE"""),"Sms")</f>
        <v>Sms</v>
      </c>
      <c r="D39" s="221" t="str">
        <f>IFERROR(__xludf.DUMMYFUNCTION("""COMPUTED_VALUE"""),"Fallback Campaign")</f>
        <v>Fallback Campaign</v>
      </c>
      <c r="E39" s="221" t="str">
        <f>IFERROR(__xludf.DUMMYFUNCTION("""COMPUTED_VALUE"""),"Aldo")</f>
        <v>Aldo</v>
      </c>
      <c r="F39" s="221" t="str">
        <f>IFERROR(__xludf.DUMMYFUNCTION("""COMPUTED_VALUE"""),"Flat 50")</f>
        <v>Flat 50</v>
      </c>
      <c r="G39" s="222" t="str">
        <f>IFERROR(__xludf.DUMMYFUNCTION("""COMPUTED_VALUE"""),"FLAT 50_ALDO Acceessories Store at Phoenix Marketcity Pune")</f>
        <v>FLAT 50_ALDO Acceessories Store at Phoenix Marketcity Pune</v>
      </c>
      <c r="H39" s="223" t="str">
        <f>IFERROR(__xludf.DUMMYFUNCTION("""COMPUTED_VALUE"""),"al_off_pr_strcd_15013_9thJan")</f>
        <v>al_off_pr_strcd_15013_9thJan</v>
      </c>
      <c r="I39" s="221" t="str">
        <f>IFERROR(__xludf.DUMMYFUNCTION("""COMPUTED_VALUE"""),"RCS Delivery Failed")</f>
        <v>RCS Delivery Failed</v>
      </c>
      <c r="J39" s="224">
        <f>IFERROR(__xludf.DUMMYFUNCTION("""COMPUTED_VALUE"""),2694.0)</f>
        <v>2694</v>
      </c>
      <c r="K39" s="224">
        <f>IFERROR(__xludf.DUMMYFUNCTION("""COMPUTED_VALUE"""),1623.0)</f>
        <v>1623</v>
      </c>
      <c r="L39" s="225">
        <f>IFERROR(__xludf.DUMMYFUNCTION("""COMPUTED_VALUE"""),0.6024)</f>
        <v>0.6024</v>
      </c>
      <c r="M39" s="224"/>
      <c r="N39" s="225"/>
      <c r="O39" s="226">
        <f>IFERROR(__xludf.DUMMYFUNCTION("""COMPUTED_VALUE"""),0.0)</f>
        <v>0</v>
      </c>
      <c r="P39" s="226"/>
      <c r="Q39" s="225">
        <f>IFERROR(__xludf.DUMMYFUNCTION("""COMPUTED_VALUE"""),0.0)</f>
        <v>0</v>
      </c>
      <c r="R39" s="225"/>
      <c r="S39" s="226">
        <f>IFERROR(__xludf.DUMMYFUNCTION("""COMPUTED_VALUE"""),0.0)</f>
        <v>0</v>
      </c>
      <c r="T39" s="226">
        <f>IFERROR(__xludf.DUMMYFUNCTION("""COMPUTED_VALUE"""),0.0)</f>
        <v>0</v>
      </c>
      <c r="U39" s="224">
        <f>IFERROR(__xludf.DUMMYFUNCTION("""COMPUTED_VALUE"""),0.0)</f>
        <v>0</v>
      </c>
      <c r="V39" s="224" t="str">
        <f>IFERROR(__xludf.DUMMYFUNCTION("""COMPUTED_VALUE"""),"Offline ")</f>
        <v>Offline </v>
      </c>
      <c r="W39" s="224" t="str">
        <f>IFERROR(__xludf.DUMMYFUNCTION("""COMPUTED_VALUE"""),"SMS")</f>
        <v>SMS</v>
      </c>
      <c r="X39" s="224" t="str">
        <f>IFERROR(__xludf.DUMMYFUNCTION("""COMPUTED_VALUE"""),"Generic")</f>
        <v>Generic</v>
      </c>
      <c r="Y39" s="224" t="str">
        <f>IFERROR(__xludf.DUMMYFUNCTION("""COMPUTED_VALUE"""),"17th - 21st January 2026 ")</f>
        <v>17th - 21st January 2026 </v>
      </c>
      <c r="Z39" s="224" t="str">
        <f>IFERROR(__xludf.DUMMYFUNCTION("""COMPUTED_VALUE"""),"696a4ab0618546e8359d9e39")</f>
        <v>696a4ab0618546e8359d9e39</v>
      </c>
      <c r="AA39" s="224">
        <f>IFERROR(__xludf.DUMMYFUNCTION("""COMPUTED_VALUE"""),3.0)</f>
        <v>3</v>
      </c>
      <c r="AB39" s="224"/>
      <c r="AC39" s="224">
        <f>IFERROR(__xludf.DUMMYFUNCTION("""COMPUTED_VALUE"""),3.0)</f>
        <v>3</v>
      </c>
      <c r="AD39" s="224">
        <f>IFERROR(__xludf.DUMMYFUNCTION("""COMPUTED_VALUE"""),31722.0)</f>
        <v>31722</v>
      </c>
      <c r="AE39" s="224"/>
      <c r="AF39" s="224">
        <f>IFERROR(__xludf.DUMMYFUNCTION("""COMPUTED_VALUE"""),31722.0)</f>
        <v>31722</v>
      </c>
      <c r="AG39" s="208"/>
      <c r="AH39" s="208"/>
      <c r="AI39" s="208"/>
      <c r="AJ39" s="208"/>
      <c r="AK39" s="208"/>
    </row>
    <row r="40">
      <c r="A40" s="219">
        <f>IFERROR(__xludf.DUMMYFUNCTION("""COMPUTED_VALUE"""),46039.0)</f>
        <v>46039</v>
      </c>
      <c r="B40" s="220">
        <f>IFERROR(__xludf.DUMMYFUNCTION("""COMPUTED_VALUE"""),0.5)</f>
        <v>0.5</v>
      </c>
      <c r="C40" s="221" t="str">
        <f>IFERROR(__xludf.DUMMYFUNCTION("""COMPUTED_VALUE"""),"Sms")</f>
        <v>Sms</v>
      </c>
      <c r="D40" s="221" t="str">
        <f>IFERROR(__xludf.DUMMYFUNCTION("""COMPUTED_VALUE"""),"Fallback Campaign")</f>
        <v>Fallback Campaign</v>
      </c>
      <c r="E40" s="221" t="str">
        <f>IFERROR(__xludf.DUMMYFUNCTION("""COMPUTED_VALUE"""),"Aldo")</f>
        <v>Aldo</v>
      </c>
      <c r="F40" s="221" t="str">
        <f>IFERROR(__xludf.DUMMYFUNCTION("""COMPUTED_VALUE"""),"Flat 50")</f>
        <v>Flat 50</v>
      </c>
      <c r="G40" s="222" t="str">
        <f>IFERROR(__xludf.DUMMYFUNCTION("""COMPUTED_VALUE"""),"FLAT 50_ALDO Store at Orion Mall, Bengaluru")</f>
        <v>FLAT 50_ALDO Store at Orion Mall, Bengaluru</v>
      </c>
      <c r="H40" s="223" t="str">
        <f>IFERROR(__xludf.DUMMYFUNCTION("""COMPUTED_VALUE"""),"al_off_pr_strcd_8240_9thJan")</f>
        <v>al_off_pr_strcd_8240_9thJan</v>
      </c>
      <c r="I40" s="221" t="str">
        <f>IFERROR(__xludf.DUMMYFUNCTION("""COMPUTED_VALUE"""),"RCS Delivery Failed")</f>
        <v>RCS Delivery Failed</v>
      </c>
      <c r="J40" s="224">
        <f>IFERROR(__xludf.DUMMYFUNCTION("""COMPUTED_VALUE"""),7292.0)</f>
        <v>7292</v>
      </c>
      <c r="K40" s="224">
        <f>IFERROR(__xludf.DUMMYFUNCTION("""COMPUTED_VALUE"""),4373.0)</f>
        <v>4373</v>
      </c>
      <c r="L40" s="225">
        <f>IFERROR(__xludf.DUMMYFUNCTION("""COMPUTED_VALUE"""),0.5997)</f>
        <v>0.5997</v>
      </c>
      <c r="M40" s="224"/>
      <c r="N40" s="225"/>
      <c r="O40" s="226">
        <f>IFERROR(__xludf.DUMMYFUNCTION("""COMPUTED_VALUE"""),0.0)</f>
        <v>0</v>
      </c>
      <c r="P40" s="226"/>
      <c r="Q40" s="225">
        <f>IFERROR(__xludf.DUMMYFUNCTION("""COMPUTED_VALUE"""),0.0)</f>
        <v>0</v>
      </c>
      <c r="R40" s="225"/>
      <c r="S40" s="226">
        <f>IFERROR(__xludf.DUMMYFUNCTION("""COMPUTED_VALUE"""),0.0)</f>
        <v>0</v>
      </c>
      <c r="T40" s="226">
        <f>IFERROR(__xludf.DUMMYFUNCTION("""COMPUTED_VALUE"""),0.0)</f>
        <v>0</v>
      </c>
      <c r="U40" s="224">
        <f>IFERROR(__xludf.DUMMYFUNCTION("""COMPUTED_VALUE"""),0.0)</f>
        <v>0</v>
      </c>
      <c r="V40" s="224" t="str">
        <f>IFERROR(__xludf.DUMMYFUNCTION("""COMPUTED_VALUE"""),"Offline ")</f>
        <v>Offline </v>
      </c>
      <c r="W40" s="224" t="str">
        <f>IFERROR(__xludf.DUMMYFUNCTION("""COMPUTED_VALUE"""),"SMS")</f>
        <v>SMS</v>
      </c>
      <c r="X40" s="224" t="str">
        <f>IFERROR(__xludf.DUMMYFUNCTION("""COMPUTED_VALUE"""),"Generic")</f>
        <v>Generic</v>
      </c>
      <c r="Y40" s="224" t="str">
        <f>IFERROR(__xludf.DUMMYFUNCTION("""COMPUTED_VALUE"""),"17th - 21st January 2026 ")</f>
        <v>17th - 21st January 2026 </v>
      </c>
      <c r="Z40" s="224" t="str">
        <f>IFERROR(__xludf.DUMMYFUNCTION("""COMPUTED_VALUE"""),"696a4b20d33e34b5a646c046")</f>
        <v>696a4b20d33e34b5a646c046</v>
      </c>
      <c r="AA40" s="224">
        <f>IFERROR(__xludf.DUMMYFUNCTION("""COMPUTED_VALUE"""),7.0)</f>
        <v>7</v>
      </c>
      <c r="AB40" s="224"/>
      <c r="AC40" s="224">
        <f>IFERROR(__xludf.DUMMYFUNCTION("""COMPUTED_VALUE"""),7.0)</f>
        <v>7</v>
      </c>
      <c r="AD40" s="224">
        <f>IFERROR(__xludf.DUMMYFUNCTION("""COMPUTED_VALUE"""),69817.0)</f>
        <v>69817</v>
      </c>
      <c r="AE40" s="224"/>
      <c r="AF40" s="224">
        <f>IFERROR(__xludf.DUMMYFUNCTION("""COMPUTED_VALUE"""),69817.0)</f>
        <v>69817</v>
      </c>
      <c r="AG40" s="208"/>
      <c r="AH40" s="208"/>
      <c r="AI40" s="208"/>
      <c r="AJ40" s="208"/>
      <c r="AK40" s="208"/>
    </row>
    <row r="41">
      <c r="A41" s="219">
        <f>IFERROR(__xludf.DUMMYFUNCTION("""COMPUTED_VALUE"""),46046.0)</f>
        <v>46046</v>
      </c>
      <c r="B41" s="220">
        <f>IFERROR(__xludf.DUMMYFUNCTION("""COMPUTED_VALUE"""),0.42013888889050577)</f>
        <v>0.4201388889</v>
      </c>
      <c r="C41" s="221" t="str">
        <f>IFERROR(__xludf.DUMMYFUNCTION("""COMPUTED_VALUE"""),"Rcs")</f>
        <v>Rcs</v>
      </c>
      <c r="D41" s="221" t="str">
        <f>IFERROR(__xludf.DUMMYFUNCTION("""COMPUTED_VALUE"""),"Promotional")</f>
        <v>Promotional</v>
      </c>
      <c r="E41" s="221" t="str">
        <f>IFERROR(__xludf.DUMMYFUNCTION("""COMPUTED_VALUE"""),"Aldo")</f>
        <v>Aldo</v>
      </c>
      <c r="F41" s="221" t="str">
        <f>IFERROR(__xludf.DUMMYFUNCTION("""COMPUTED_VALUE"""),"Republic Day Campaign")</f>
        <v>Republic Day Campaign</v>
      </c>
      <c r="G41" s="222" t="str">
        <f>IFERROR(__xludf.DUMMYFUNCTION("""COMPUTED_VALUE"""),"Flat 50_Republic_Dormant")</f>
        <v>Flat 50_Republic_Dormant</v>
      </c>
      <c r="H41" s="223" t="str">
        <f>IFERROR(__xludf.DUMMYFUNCTION("""COMPUTED_VALUE"""),"al_onoff_nopr_80days_Dormant_23_Jan_26")</f>
        <v>al_onoff_nopr_80days_Dormant_23_Jan_26</v>
      </c>
      <c r="I41" s="221" t="str">
        <f>IFERROR(__xludf.DUMMYFUNCTION("""COMPUTED_VALUE"""),"Customers who have shopped in the Last 36 Months and have not shopped in the last 80 days AND Exclude event buyers segment")</f>
        <v>Customers who have shopped in the Last 36 Months and have not shopped in the last 80 days AND Exclude event buyers segment</v>
      </c>
      <c r="J41" s="224">
        <f>IFERROR(__xludf.DUMMYFUNCTION("""COMPUTED_VALUE"""),200068.0)</f>
        <v>200068</v>
      </c>
      <c r="K41" s="224">
        <f>IFERROR(__xludf.DUMMYFUNCTION("""COMPUTED_VALUE"""),44813.0)</f>
        <v>44813</v>
      </c>
      <c r="L41" s="225">
        <f>IFERROR(__xludf.DUMMYFUNCTION("""COMPUTED_VALUE"""),0.224)</f>
        <v>0.224</v>
      </c>
      <c r="M41" s="224">
        <f>IFERROR(__xludf.DUMMYFUNCTION("""COMPUTED_VALUE"""),5594.0)</f>
        <v>5594</v>
      </c>
      <c r="N41" s="225">
        <f>IFERROR(__xludf.DUMMYFUNCTION("""COMPUTED_VALUE"""),0.125)</f>
        <v>0.125</v>
      </c>
      <c r="O41" s="226">
        <f>IFERROR(__xludf.DUMMYFUNCTION("""COMPUTED_VALUE"""),188.0)</f>
        <v>188</v>
      </c>
      <c r="P41" s="226"/>
      <c r="Q41" s="225">
        <f>IFERROR(__xludf.DUMMYFUNCTION("""COMPUTED_VALUE"""),0.0042)</f>
        <v>0.0042</v>
      </c>
      <c r="R41" s="225"/>
      <c r="S41" s="226">
        <f>IFERROR(__xludf.DUMMYFUNCTION("""COMPUTED_VALUE"""),3.0)</f>
        <v>3</v>
      </c>
      <c r="T41" s="226">
        <f>IFERROR(__xludf.DUMMYFUNCTION("""COMPUTED_VALUE"""),5.0)</f>
        <v>5</v>
      </c>
      <c r="U41" s="224">
        <f>IFERROR(__xludf.DUMMYFUNCTION("""COMPUTED_VALUE"""),21997.0)</f>
        <v>21997</v>
      </c>
      <c r="V41" s="224" t="str">
        <f>IFERROR(__xludf.DUMMYFUNCTION("""COMPUTED_VALUE"""),"overall")</f>
        <v>overall</v>
      </c>
      <c r="W41" s="224" t="str">
        <f>IFERROR(__xludf.DUMMYFUNCTION("""COMPUTED_VALUE"""),"RCS")</f>
        <v>RCS</v>
      </c>
      <c r="X41" s="224" t="str">
        <f>IFERROR(__xludf.DUMMYFUNCTION("""COMPUTED_VALUE"""),"Dormant")</f>
        <v>Dormant</v>
      </c>
      <c r="Y41" s="224" t="str">
        <f>IFERROR(__xludf.DUMMYFUNCTION("""COMPUTED_VALUE"""),"24-27th January 2026")</f>
        <v>24-27th January 2026</v>
      </c>
      <c r="Z41" s="224" t="str">
        <f>IFERROR(__xludf.DUMMYFUNCTION("""COMPUTED_VALUE"""),"697353ad95047ecf364ae20f")</f>
        <v>697353ad95047ecf364ae20f</v>
      </c>
      <c r="AA41" s="224">
        <f>IFERROR(__xludf.DUMMYFUNCTION("""COMPUTED_VALUE"""),62.0)</f>
        <v>62</v>
      </c>
      <c r="AB41" s="224">
        <f>IFERROR(__xludf.DUMMYFUNCTION("""COMPUTED_VALUE"""),9.0)</f>
        <v>9</v>
      </c>
      <c r="AC41" s="224">
        <f>IFERROR(__xludf.DUMMYFUNCTION("""COMPUTED_VALUE"""),53.0)</f>
        <v>53</v>
      </c>
      <c r="AD41" s="224">
        <f>IFERROR(__xludf.DUMMYFUNCTION("""COMPUTED_VALUE"""),628840.0)</f>
        <v>628840</v>
      </c>
      <c r="AE41" s="224">
        <f>IFERROR(__xludf.DUMMYFUNCTION("""COMPUTED_VALUE"""),64191.0)</f>
        <v>64191</v>
      </c>
      <c r="AF41" s="224">
        <f>IFERROR(__xludf.DUMMYFUNCTION("""COMPUTED_VALUE"""),564649.0)</f>
        <v>564649</v>
      </c>
      <c r="AG41" s="208"/>
      <c r="AH41" s="208"/>
      <c r="AI41" s="208"/>
      <c r="AJ41" s="208"/>
      <c r="AK41" s="208"/>
    </row>
    <row r="42">
      <c r="A42" s="219">
        <f>IFERROR(__xludf.DUMMYFUNCTION("""COMPUTED_VALUE"""),46046.0)</f>
        <v>46046</v>
      </c>
      <c r="B42" s="220">
        <f>IFERROR(__xludf.DUMMYFUNCTION("""COMPUTED_VALUE"""),0.4166666666678793)</f>
        <v>0.4166666667</v>
      </c>
      <c r="C42" s="221" t="str">
        <f>IFERROR(__xludf.DUMMYFUNCTION("""COMPUTED_VALUE"""),"Rcs")</f>
        <v>Rcs</v>
      </c>
      <c r="D42" s="221" t="str">
        <f>IFERROR(__xludf.DUMMYFUNCTION("""COMPUTED_VALUE"""),"Promotional")</f>
        <v>Promotional</v>
      </c>
      <c r="E42" s="221" t="str">
        <f>IFERROR(__xludf.DUMMYFUNCTION("""COMPUTED_VALUE"""),"Aldo")</f>
        <v>Aldo</v>
      </c>
      <c r="F42" s="221" t="str">
        <f>IFERROR(__xludf.DUMMYFUNCTION("""COMPUTED_VALUE"""),"Republic Day Campaign")</f>
        <v>Republic Day Campaign</v>
      </c>
      <c r="G42" s="222" t="str">
        <f>IFERROR(__xludf.DUMMYFUNCTION("""COMPUTED_VALUE"""),"Flat 50_Republic_EventBuyers")</f>
        <v>Flat 50_Republic_EventBuyers</v>
      </c>
      <c r="H42" s="223" t="str">
        <f>IFERROR(__xludf.DUMMYFUNCTION("""COMPUTED_VALUE"""),"al_onoff_pr_EventBuyers_12thDec")</f>
        <v>al_onoff_pr_EventBuyers_12thDec</v>
      </c>
      <c r="I42" s="221" t="str">
        <f>IFERROR(__xludf.DUMMYFUNCTION("""COMPUTED_VALUE"""),"Customers who have purchased from 9th Nov 2024 to 10th Nov 2024 OR 10th Nov 2023 to 11th Nov 2023 OR 25th Nov 2024 to 2nd Dec 2024 OR 23rd Nov 2023 to 27th Nov 2023 OR 7th Nov 2025 to 9th Nov 2025 OR 10th June 2025 to 31st July 2025 OR 10th Dec 2024 to 31"&amp;"st Jan 2025")</f>
        <v>Customers who have purchased from 9th Nov 2024 to 10th Nov 2024 OR 10th Nov 2023 to 11th Nov 2023 OR 25th Nov 2024 to 2nd Dec 2024 OR 23rd Nov 2023 to 27th Nov 2023 OR 7th Nov 2025 to 9th Nov 2025 OR 10th June 2025 to 31st July 2025 OR 10th Dec 2024 to 31st Jan 2025</v>
      </c>
      <c r="J42" s="224">
        <f>IFERROR(__xludf.DUMMYFUNCTION("""COMPUTED_VALUE"""),96499.0)</f>
        <v>96499</v>
      </c>
      <c r="K42" s="224">
        <f>IFERROR(__xludf.DUMMYFUNCTION("""COMPUTED_VALUE"""),22380.0)</f>
        <v>22380</v>
      </c>
      <c r="L42" s="225">
        <f>IFERROR(__xludf.DUMMYFUNCTION("""COMPUTED_VALUE"""),0.2319)</f>
        <v>0.2319</v>
      </c>
      <c r="M42" s="224">
        <f>IFERROR(__xludf.DUMMYFUNCTION("""COMPUTED_VALUE"""),2862.0)</f>
        <v>2862</v>
      </c>
      <c r="N42" s="225">
        <f>IFERROR(__xludf.DUMMYFUNCTION("""COMPUTED_VALUE"""),0.128)</f>
        <v>0.128</v>
      </c>
      <c r="O42" s="226">
        <f>IFERROR(__xludf.DUMMYFUNCTION("""COMPUTED_VALUE"""),144.0)</f>
        <v>144</v>
      </c>
      <c r="P42" s="226"/>
      <c r="Q42" s="225">
        <f>IFERROR(__xludf.DUMMYFUNCTION("""COMPUTED_VALUE"""),0.0064)</f>
        <v>0.0064</v>
      </c>
      <c r="R42" s="225"/>
      <c r="S42" s="226">
        <f>IFERROR(__xludf.DUMMYFUNCTION("""COMPUTED_VALUE"""),1.0)</f>
        <v>1</v>
      </c>
      <c r="T42" s="226">
        <f>IFERROR(__xludf.DUMMYFUNCTION("""COMPUTED_VALUE"""),3.0)</f>
        <v>3</v>
      </c>
      <c r="U42" s="224">
        <f>IFERROR(__xludf.DUMMYFUNCTION("""COMPUTED_VALUE"""),8999.0)</f>
        <v>8999</v>
      </c>
      <c r="V42" s="224" t="str">
        <f>IFERROR(__xludf.DUMMYFUNCTION("""COMPUTED_VALUE"""),"overall")</f>
        <v>overall</v>
      </c>
      <c r="W42" s="224" t="str">
        <f>IFERROR(__xludf.DUMMYFUNCTION("""COMPUTED_VALUE"""),"RCS")</f>
        <v>RCS</v>
      </c>
      <c r="X42" s="224" t="str">
        <f>IFERROR(__xludf.DUMMYFUNCTION("""COMPUTED_VALUE"""),"Event Buyers")</f>
        <v>Event Buyers</v>
      </c>
      <c r="Y42" s="224" t="str">
        <f>IFERROR(__xludf.DUMMYFUNCTION("""COMPUTED_VALUE"""),"24-27th January 2026")</f>
        <v>24-27th January 2026</v>
      </c>
      <c r="Z42" s="224" t="str">
        <f>IFERROR(__xludf.DUMMYFUNCTION("""COMPUTED_VALUE"""),"69735409b016e6a750b26cf7")</f>
        <v>69735409b016e6a750b26cf7</v>
      </c>
      <c r="AA42" s="224">
        <f>IFERROR(__xludf.DUMMYFUNCTION("""COMPUTED_VALUE"""),72.0)</f>
        <v>72</v>
      </c>
      <c r="AB42" s="224">
        <f>IFERROR(__xludf.DUMMYFUNCTION("""COMPUTED_VALUE"""),10.0)</f>
        <v>10</v>
      </c>
      <c r="AC42" s="224">
        <f>IFERROR(__xludf.DUMMYFUNCTION("""COMPUTED_VALUE"""),62.0)</f>
        <v>62</v>
      </c>
      <c r="AD42" s="224">
        <f>IFERROR(__xludf.DUMMYFUNCTION("""COMPUTED_VALUE"""),651366.0)</f>
        <v>651366</v>
      </c>
      <c r="AE42" s="224">
        <f>IFERROR(__xludf.DUMMYFUNCTION("""COMPUTED_VALUE"""),68490.0)</f>
        <v>68490</v>
      </c>
      <c r="AF42" s="224">
        <f>IFERROR(__xludf.DUMMYFUNCTION("""COMPUTED_VALUE"""),582876.0)</f>
        <v>582876</v>
      </c>
      <c r="AG42" s="208"/>
      <c r="AH42" s="208"/>
      <c r="AI42" s="208"/>
      <c r="AJ42" s="208"/>
      <c r="AK42" s="208"/>
    </row>
    <row r="43">
      <c r="A43" s="215">
        <f>IFERROR(__xludf.DUMMYFUNCTION("""COMPUTED_VALUE"""),46046.0)</f>
        <v>46046</v>
      </c>
      <c r="B43" s="210">
        <f>IFERROR(__xludf.DUMMYFUNCTION("""COMPUTED_VALUE"""),0.42361111110949423)</f>
        <v>0.4236111111</v>
      </c>
      <c r="C43" s="211" t="str">
        <f>IFERROR(__xludf.DUMMYFUNCTION("""COMPUTED_VALUE"""),"Rcs")</f>
        <v>Rcs</v>
      </c>
      <c r="D43" s="211" t="str">
        <f>IFERROR(__xludf.DUMMYFUNCTION("""COMPUTED_VALUE"""),"Promotional")</f>
        <v>Promotional</v>
      </c>
      <c r="E43" s="211" t="str">
        <f>IFERROR(__xludf.DUMMYFUNCTION("""COMPUTED_VALUE"""),"Aldo")</f>
        <v>Aldo</v>
      </c>
      <c r="F43" s="211" t="str">
        <f>IFERROR(__xludf.DUMMYFUNCTION("""COMPUTED_VALUE"""),"Republic Day Campaign")</f>
        <v>Republic Day Campaign</v>
      </c>
      <c r="G43" s="218" t="str">
        <f>IFERROR(__xludf.DUMMYFUNCTION("""COMPUTED_VALUE"""),"Flat 50_Republic_Recent")</f>
        <v>Flat 50_Republic_Recent</v>
      </c>
      <c r="H43" s="218" t="str">
        <f>IFERROR(__xludf.DUMMYFUNCTION("""COMPUTED_VALUE"""),"al_onoff_pr_80days_Recnt_23_Jan_26")</f>
        <v>al_onoff_pr_80days_Recnt_23_Jan_26</v>
      </c>
      <c r="I43" s="223" t="str">
        <f>IFERROR(__xludf.DUMMYFUNCTION("""COMPUTED_VALUE"""),"Customers who have purchased in the last 80 days AND Exclude event buyers segment")</f>
        <v>Customers who have purchased in the last 80 days AND Exclude event buyers segment</v>
      </c>
      <c r="J43" s="213">
        <f>IFERROR(__xludf.DUMMYFUNCTION("""COMPUTED_VALUE"""),43363.0)</f>
        <v>43363</v>
      </c>
      <c r="K43" s="213">
        <f>IFERROR(__xludf.DUMMYFUNCTION("""COMPUTED_VALUE"""),10878.0)</f>
        <v>10878</v>
      </c>
      <c r="L43" s="214">
        <f>IFERROR(__xludf.DUMMYFUNCTION("""COMPUTED_VALUE"""),0.2509)</f>
        <v>0.2509</v>
      </c>
      <c r="M43" s="213">
        <f>IFERROR(__xludf.DUMMYFUNCTION("""COMPUTED_VALUE"""),1692.0)</f>
        <v>1692</v>
      </c>
      <c r="N43" s="214">
        <f>IFERROR(__xludf.DUMMYFUNCTION("""COMPUTED_VALUE"""),0.156)</f>
        <v>0.156</v>
      </c>
      <c r="O43" s="101">
        <f>IFERROR(__xludf.DUMMYFUNCTION("""COMPUTED_VALUE"""),147.0)</f>
        <v>147</v>
      </c>
      <c r="P43" s="101"/>
      <c r="Q43" s="214">
        <f>IFERROR(__xludf.DUMMYFUNCTION("""COMPUTED_VALUE"""),0.0135)</f>
        <v>0.0135</v>
      </c>
      <c r="R43" s="214"/>
      <c r="S43" s="101">
        <f>IFERROR(__xludf.DUMMYFUNCTION("""COMPUTED_VALUE"""),0.0)</f>
        <v>0</v>
      </c>
      <c r="T43" s="101">
        <f>IFERROR(__xludf.DUMMYFUNCTION("""COMPUTED_VALUE"""),4.0)</f>
        <v>4</v>
      </c>
      <c r="U43" s="213">
        <f>IFERROR(__xludf.DUMMYFUNCTION("""COMPUTED_VALUE"""),0.0)</f>
        <v>0</v>
      </c>
      <c r="V43" s="213" t="str">
        <f>IFERROR(__xludf.DUMMYFUNCTION("""COMPUTED_VALUE"""),"overall")</f>
        <v>overall</v>
      </c>
      <c r="W43" s="213" t="str">
        <f>IFERROR(__xludf.DUMMYFUNCTION("""COMPUTED_VALUE"""),"RCS")</f>
        <v>RCS</v>
      </c>
      <c r="X43" s="213" t="str">
        <f>IFERROR(__xludf.DUMMYFUNCTION("""COMPUTED_VALUE"""),"Recent")</f>
        <v>Recent</v>
      </c>
      <c r="Y43" s="213" t="str">
        <f>IFERROR(__xludf.DUMMYFUNCTION("""COMPUTED_VALUE"""),"24-27th January 2026")</f>
        <v>24-27th January 2026</v>
      </c>
      <c r="Z43" s="213" t="str">
        <f>IFERROR(__xludf.DUMMYFUNCTION("""COMPUTED_VALUE"""),"69735434153f4039818a9e8e")</f>
        <v>69735434153f4039818a9e8e</v>
      </c>
      <c r="AA43" s="213">
        <f>IFERROR(__xludf.DUMMYFUNCTION("""COMPUTED_VALUE"""),51.0)</f>
        <v>51</v>
      </c>
      <c r="AB43" s="213">
        <f>IFERROR(__xludf.DUMMYFUNCTION("""COMPUTED_VALUE"""),12.0)</f>
        <v>12</v>
      </c>
      <c r="AC43" s="213">
        <f>IFERROR(__xludf.DUMMYFUNCTION("""COMPUTED_VALUE"""),39.0)</f>
        <v>39</v>
      </c>
      <c r="AD43" s="213">
        <f>IFERROR(__xludf.DUMMYFUNCTION("""COMPUTED_VALUE"""),499600.0)</f>
        <v>499600</v>
      </c>
      <c r="AE43" s="213">
        <f>IFERROR(__xludf.DUMMYFUNCTION("""COMPUTED_VALUE"""),131731.0)</f>
        <v>131731</v>
      </c>
      <c r="AF43" s="213">
        <f>IFERROR(__xludf.DUMMYFUNCTION("""COMPUTED_VALUE"""),367869.0)</f>
        <v>367869</v>
      </c>
      <c r="AG43" s="208"/>
      <c r="AH43" s="208"/>
      <c r="AI43" s="208"/>
      <c r="AJ43" s="208"/>
      <c r="AK43" s="208"/>
    </row>
    <row r="44">
      <c r="A44" s="215">
        <f>IFERROR(__xludf.DUMMYFUNCTION("""COMPUTED_VALUE"""),46046.0)</f>
        <v>46046</v>
      </c>
      <c r="B44" s="210">
        <f>IFERROR(__xludf.DUMMYFUNCTION("""COMPUTED_VALUE"""),0.5)</f>
        <v>0.5</v>
      </c>
      <c r="C44" s="211" t="str">
        <f>IFERROR(__xludf.DUMMYFUNCTION("""COMPUTED_VALUE"""),"Sms")</f>
        <v>Sms</v>
      </c>
      <c r="D44" s="211" t="str">
        <f>IFERROR(__xludf.DUMMYFUNCTION("""COMPUTED_VALUE"""),"Fallback Campaign")</f>
        <v>Fallback Campaign</v>
      </c>
      <c r="E44" s="211" t="str">
        <f>IFERROR(__xludf.DUMMYFUNCTION("""COMPUTED_VALUE"""),"Aldo")</f>
        <v>Aldo</v>
      </c>
      <c r="F44" s="211" t="str">
        <f>IFERROR(__xludf.DUMMYFUNCTION("""COMPUTED_VALUE"""),"Republic Day Campaign")</f>
        <v>Republic Day Campaign</v>
      </c>
      <c r="G44" s="218" t="str">
        <f>IFERROR(__xludf.DUMMYFUNCTION("""COMPUTED_VALUE"""),"Flat 50_Final Reduction_Republic_Churned_Fall Back")</f>
        <v>Flat 50_Final Reduction_Republic_Churned_Fall Back</v>
      </c>
      <c r="H44" s="218" t="str">
        <f>IFERROR(__xludf.DUMMYFUNCTION("""COMPUTED_VALUE"""),"al_onoff_nopr_365days_Churned_23_Jan_26")</f>
        <v>al_onoff_nopr_365days_Churned_23_Jan_26</v>
      </c>
      <c r="I44" s="218" t="str">
        <f>IFERROR(__xludf.DUMMYFUNCTION("""COMPUTED_VALUE"""),"WA Undelivered")</f>
        <v>WA Undelivered</v>
      </c>
      <c r="J44" s="213">
        <f>IFERROR(__xludf.DUMMYFUNCTION("""COMPUTED_VALUE"""),227920.0)</f>
        <v>227920</v>
      </c>
      <c r="K44" s="213">
        <f>IFERROR(__xludf.DUMMYFUNCTION("""COMPUTED_VALUE"""),127608.0)</f>
        <v>127608</v>
      </c>
      <c r="L44" s="214">
        <f>IFERROR(__xludf.DUMMYFUNCTION("""COMPUTED_VALUE"""),0.5599)</f>
        <v>0.5599</v>
      </c>
      <c r="M44" s="213"/>
      <c r="N44" s="214"/>
      <c r="O44" s="101">
        <f>IFERROR(__xludf.DUMMYFUNCTION("""COMPUTED_VALUE"""),266.0)</f>
        <v>266</v>
      </c>
      <c r="P44" s="101"/>
      <c r="Q44" s="214">
        <f>IFERROR(__xludf.DUMMYFUNCTION("""COMPUTED_VALUE"""),0.0021)</f>
        <v>0.0021</v>
      </c>
      <c r="R44" s="214"/>
      <c r="S44" s="101">
        <f>IFERROR(__xludf.DUMMYFUNCTION("""COMPUTED_VALUE"""),2.0)</f>
        <v>2</v>
      </c>
      <c r="T44" s="101">
        <f>IFERROR(__xludf.DUMMYFUNCTION("""COMPUTED_VALUE"""),24.0)</f>
        <v>24</v>
      </c>
      <c r="U44" s="213">
        <f>IFERROR(__xludf.DUMMYFUNCTION("""COMPUTED_VALUE"""),16998.0)</f>
        <v>16998</v>
      </c>
      <c r="V44" s="213" t="str">
        <f>IFERROR(__xludf.DUMMYFUNCTION("""COMPUTED_VALUE"""),"overall")</f>
        <v>overall</v>
      </c>
      <c r="W44" s="213" t="str">
        <f>IFERROR(__xludf.DUMMYFUNCTION("""COMPUTED_VALUE"""),"SMS")</f>
        <v>SMS</v>
      </c>
      <c r="X44" s="213" t="str">
        <f>IFERROR(__xludf.DUMMYFUNCTION("""COMPUTED_VALUE"""),"Churned")</f>
        <v>Churned</v>
      </c>
      <c r="Y44" s="213" t="str">
        <f>IFERROR(__xludf.DUMMYFUNCTION("""COMPUTED_VALUE"""),"24-27th January 2026")</f>
        <v>24-27th January 2026</v>
      </c>
      <c r="Z44" s="213" t="str">
        <f>IFERROR(__xludf.DUMMYFUNCTION("""COMPUTED_VALUE"""),"69735cfafdb0dad737f6db3b")</f>
        <v>69735cfafdb0dad737f6db3b</v>
      </c>
      <c r="AA44" s="213">
        <f>IFERROR(__xludf.DUMMYFUNCTION("""COMPUTED_VALUE"""),112.0)</f>
        <v>112</v>
      </c>
      <c r="AB44" s="213">
        <f>IFERROR(__xludf.DUMMYFUNCTION("""COMPUTED_VALUE"""),15.0)</f>
        <v>15</v>
      </c>
      <c r="AC44" s="213">
        <f>IFERROR(__xludf.DUMMYFUNCTION("""COMPUTED_VALUE"""),97.0)</f>
        <v>97</v>
      </c>
      <c r="AD44" s="213">
        <f>IFERROR(__xludf.DUMMYFUNCTION("""COMPUTED_VALUE"""),970826.0)</f>
        <v>970826</v>
      </c>
      <c r="AE44" s="213">
        <f>IFERROR(__xludf.DUMMYFUNCTION("""COMPUTED_VALUE"""),92784.0)</f>
        <v>92784</v>
      </c>
      <c r="AF44" s="213">
        <f>IFERROR(__xludf.DUMMYFUNCTION("""COMPUTED_VALUE"""),878042.0)</f>
        <v>878042</v>
      </c>
      <c r="AG44" s="208"/>
      <c r="AH44" s="208"/>
      <c r="AI44" s="208"/>
      <c r="AJ44" s="208"/>
      <c r="AK44" s="208"/>
    </row>
    <row r="45">
      <c r="A45" s="216">
        <f>IFERROR(__xludf.DUMMYFUNCTION("""COMPUTED_VALUE"""),46046.0)</f>
        <v>46046</v>
      </c>
      <c r="B45" s="210">
        <f>IFERROR(__xludf.DUMMYFUNCTION("""COMPUTED_VALUE"""),0.5069444444452529)</f>
        <v>0.5069444444</v>
      </c>
      <c r="C45" s="211" t="str">
        <f>IFERROR(__xludf.DUMMYFUNCTION("""COMPUTED_VALUE"""),"Sms")</f>
        <v>Sms</v>
      </c>
      <c r="D45" s="211" t="str">
        <f>IFERROR(__xludf.DUMMYFUNCTION("""COMPUTED_VALUE"""),"Fallback Campaign")</f>
        <v>Fallback Campaign</v>
      </c>
      <c r="E45" s="211" t="str">
        <f>IFERROR(__xludf.DUMMYFUNCTION("""COMPUTED_VALUE"""),"Aldo")</f>
        <v>Aldo</v>
      </c>
      <c r="F45" s="211" t="str">
        <f>IFERROR(__xludf.DUMMYFUNCTION("""COMPUTED_VALUE"""),"Republic Day Campaign")</f>
        <v>Republic Day Campaign</v>
      </c>
      <c r="G45" s="218" t="str">
        <f>IFERROR(__xludf.DUMMYFUNCTION("""COMPUTED_VALUE"""),"Flat 50_Republic_EventBuyers_FallBk_RCS")</f>
        <v>Flat 50_Republic_EventBuyers_FallBk_RCS</v>
      </c>
      <c r="H45" s="218" t="str">
        <f>IFERROR(__xludf.DUMMYFUNCTION("""COMPUTED_VALUE"""),"al_onoff_pr_EventBuyers_12thDec")</f>
        <v>al_onoff_pr_EventBuyers_12thDec</v>
      </c>
      <c r="I45" s="218" t="str">
        <f>IFERROR(__xludf.DUMMYFUNCTION("""COMPUTED_VALUE"""),"RCS Undelivered ")</f>
        <v>RCS Undelivered </v>
      </c>
      <c r="J45" s="213">
        <f>IFERROR(__xludf.DUMMYFUNCTION("""COMPUTED_VALUE"""),74352.0)</f>
        <v>74352</v>
      </c>
      <c r="K45" s="213">
        <f>IFERROR(__xludf.DUMMYFUNCTION("""COMPUTED_VALUE"""),43570.0)</f>
        <v>43570</v>
      </c>
      <c r="L45" s="214">
        <f>IFERROR(__xludf.DUMMYFUNCTION("""COMPUTED_VALUE"""),0.586)</f>
        <v>0.586</v>
      </c>
      <c r="M45" s="213"/>
      <c r="N45" s="214"/>
      <c r="O45" s="213">
        <f>IFERROR(__xludf.DUMMYFUNCTION("""COMPUTED_VALUE"""),137.0)</f>
        <v>137</v>
      </c>
      <c r="P45" s="213"/>
      <c r="Q45" s="214">
        <f>IFERROR(__xludf.DUMMYFUNCTION("""COMPUTED_VALUE"""),0.0031)</f>
        <v>0.0031</v>
      </c>
      <c r="R45" s="214"/>
      <c r="S45" s="101">
        <f>IFERROR(__xludf.DUMMYFUNCTION("""COMPUTED_VALUE"""),3.0)</f>
        <v>3</v>
      </c>
      <c r="T45" s="101">
        <f>IFERROR(__xludf.DUMMYFUNCTION("""COMPUTED_VALUE"""),5.0)</f>
        <v>5</v>
      </c>
      <c r="U45" s="213">
        <f>IFERROR(__xludf.DUMMYFUNCTION("""COMPUTED_VALUE"""),30996.0)</f>
        <v>30996</v>
      </c>
      <c r="V45" s="213" t="str">
        <f>IFERROR(__xludf.DUMMYFUNCTION("""COMPUTED_VALUE"""),"overall")</f>
        <v>overall</v>
      </c>
      <c r="W45" s="213" t="str">
        <f>IFERROR(__xludf.DUMMYFUNCTION("""COMPUTED_VALUE"""),"SMS")</f>
        <v>SMS</v>
      </c>
      <c r="X45" s="213" t="str">
        <f>IFERROR(__xludf.DUMMYFUNCTION("""COMPUTED_VALUE"""),"Event Buyers")</f>
        <v>Event Buyers</v>
      </c>
      <c r="Y45" s="213" t="str">
        <f>IFERROR(__xludf.DUMMYFUNCTION("""COMPUTED_VALUE"""),"24-27th January 2026")</f>
        <v>24-27th January 2026</v>
      </c>
      <c r="Z45" s="213" t="str">
        <f>IFERROR(__xludf.DUMMYFUNCTION("""COMPUTED_VALUE"""),"69735d35a4cece596f932f25")</f>
        <v>69735d35a4cece596f932f25</v>
      </c>
      <c r="AA45" s="213">
        <f>IFERROR(__xludf.DUMMYFUNCTION("""COMPUTED_VALUE"""),107.0)</f>
        <v>107</v>
      </c>
      <c r="AB45" s="213">
        <f>IFERROR(__xludf.DUMMYFUNCTION("""COMPUTED_VALUE"""),13.0)</f>
        <v>13</v>
      </c>
      <c r="AC45" s="213">
        <f>IFERROR(__xludf.DUMMYFUNCTION("""COMPUTED_VALUE"""),94.0)</f>
        <v>94</v>
      </c>
      <c r="AD45" s="213">
        <f>IFERROR(__xludf.DUMMYFUNCTION("""COMPUTED_VALUE"""),956658.0)</f>
        <v>956658</v>
      </c>
      <c r="AE45" s="213">
        <f>IFERROR(__xludf.DUMMYFUNCTION("""COMPUTED_VALUE"""),104355.0)</f>
        <v>104355</v>
      </c>
      <c r="AF45" s="213">
        <f>IFERROR(__xludf.DUMMYFUNCTION("""COMPUTED_VALUE"""),852303.0)</f>
        <v>852303</v>
      </c>
      <c r="AG45" s="208"/>
      <c r="AH45" s="208"/>
      <c r="AI45" s="208"/>
      <c r="AJ45" s="208"/>
      <c r="AK45" s="208"/>
    </row>
    <row r="46">
      <c r="A46" s="216">
        <f>IFERROR(__xludf.DUMMYFUNCTION("""COMPUTED_VALUE"""),46046.0)</f>
        <v>46046</v>
      </c>
      <c r="B46" s="210">
        <f>IFERROR(__xludf.DUMMYFUNCTION("""COMPUTED_VALUE"""),0.5104166666678793)</f>
        <v>0.5104166667</v>
      </c>
      <c r="C46" s="211" t="str">
        <f>IFERROR(__xludf.DUMMYFUNCTION("""COMPUTED_VALUE"""),"Sms")</f>
        <v>Sms</v>
      </c>
      <c r="D46" s="211" t="str">
        <f>IFERROR(__xludf.DUMMYFUNCTION("""COMPUTED_VALUE"""),"Fallback Campaign")</f>
        <v>Fallback Campaign</v>
      </c>
      <c r="E46" s="211" t="str">
        <f>IFERROR(__xludf.DUMMYFUNCTION("""COMPUTED_VALUE"""),"Aldo")</f>
        <v>Aldo</v>
      </c>
      <c r="F46" s="211" t="str">
        <f>IFERROR(__xludf.DUMMYFUNCTION("""COMPUTED_VALUE"""),"Republic Day Campaign")</f>
        <v>Republic Day Campaign</v>
      </c>
      <c r="G46" s="218" t="str">
        <f>IFERROR(__xludf.DUMMYFUNCTION("""COMPUTED_VALUE"""),"Flat 50_Republic_Dormant_FallBk_RCS")</f>
        <v>Flat 50_Republic_Dormant_FallBk_RCS</v>
      </c>
      <c r="H46" s="218" t="str">
        <f>IFERROR(__xludf.DUMMYFUNCTION("""COMPUTED_VALUE"""),"al_onoff_nopr_80days_Dormant_23_Jan_26")</f>
        <v>al_onoff_nopr_80days_Dormant_23_Jan_26</v>
      </c>
      <c r="I46" s="218" t="str">
        <f>IFERROR(__xludf.DUMMYFUNCTION("""COMPUTED_VALUE"""),"RCS Undelivered ")</f>
        <v>RCS Undelivered </v>
      </c>
      <c r="J46" s="213">
        <f>IFERROR(__xludf.DUMMYFUNCTION("""COMPUTED_VALUE"""),154369.0)</f>
        <v>154369</v>
      </c>
      <c r="K46" s="213">
        <f>IFERROR(__xludf.DUMMYFUNCTION("""COMPUTED_VALUE"""),87990.0)</f>
        <v>87990</v>
      </c>
      <c r="L46" s="214">
        <f>IFERROR(__xludf.DUMMYFUNCTION("""COMPUTED_VALUE"""),0.57)</f>
        <v>0.57</v>
      </c>
      <c r="M46" s="213"/>
      <c r="N46" s="214"/>
      <c r="O46" s="213">
        <f>IFERROR(__xludf.DUMMYFUNCTION("""COMPUTED_VALUE"""),161.0)</f>
        <v>161</v>
      </c>
      <c r="P46" s="213"/>
      <c r="Q46" s="214">
        <f>IFERROR(__xludf.DUMMYFUNCTION("""COMPUTED_VALUE"""),0.0018)</f>
        <v>0.0018</v>
      </c>
      <c r="R46" s="214"/>
      <c r="S46" s="101">
        <f>IFERROR(__xludf.DUMMYFUNCTION("""COMPUTED_VALUE"""),2.0)</f>
        <v>2</v>
      </c>
      <c r="T46" s="101">
        <f>IFERROR(__xludf.DUMMYFUNCTION("""COMPUTED_VALUE"""),3.0)</f>
        <v>3</v>
      </c>
      <c r="U46" s="213">
        <f>IFERROR(__xludf.DUMMYFUNCTION("""COMPUTED_VALUE"""),12998.0)</f>
        <v>12998</v>
      </c>
      <c r="V46" s="213" t="str">
        <f>IFERROR(__xludf.DUMMYFUNCTION("""COMPUTED_VALUE"""),"overall")</f>
        <v>overall</v>
      </c>
      <c r="W46" s="213" t="str">
        <f>IFERROR(__xludf.DUMMYFUNCTION("""COMPUTED_VALUE"""),"SMS")</f>
        <v>SMS</v>
      </c>
      <c r="X46" s="213" t="str">
        <f>IFERROR(__xludf.DUMMYFUNCTION("""COMPUTED_VALUE"""),"Dormant")</f>
        <v>Dormant</v>
      </c>
      <c r="Y46" s="213" t="str">
        <f>IFERROR(__xludf.DUMMYFUNCTION("""COMPUTED_VALUE"""),"24-27th January 2026")</f>
        <v>24-27th January 2026</v>
      </c>
      <c r="Z46" s="213" t="str">
        <f>IFERROR(__xludf.DUMMYFUNCTION("""COMPUTED_VALUE"""),"69735d69f854022616f4dc87")</f>
        <v>69735d69f854022616f4dc87</v>
      </c>
      <c r="AA46" s="213">
        <f>IFERROR(__xludf.DUMMYFUNCTION("""COMPUTED_VALUE"""),156.0)</f>
        <v>156</v>
      </c>
      <c r="AB46" s="213">
        <f>IFERROR(__xludf.DUMMYFUNCTION("""COMPUTED_VALUE"""),16.0)</f>
        <v>16</v>
      </c>
      <c r="AC46" s="213">
        <f>IFERROR(__xludf.DUMMYFUNCTION("""COMPUTED_VALUE"""),140.0)</f>
        <v>140</v>
      </c>
      <c r="AD46" s="213">
        <f>IFERROR(__xludf.DUMMYFUNCTION("""COMPUTED_VALUE"""),1454097.0)</f>
        <v>1454097</v>
      </c>
      <c r="AE46" s="213">
        <f>IFERROR(__xludf.DUMMYFUNCTION("""COMPUTED_VALUE"""),105283.0)</f>
        <v>105283</v>
      </c>
      <c r="AF46" s="213">
        <f>IFERROR(__xludf.DUMMYFUNCTION("""COMPUTED_VALUE"""),1348814.0)</f>
        <v>1348814</v>
      </c>
      <c r="AG46" s="208"/>
      <c r="AH46" s="208"/>
      <c r="AI46" s="208"/>
      <c r="AJ46" s="208"/>
      <c r="AK46" s="208"/>
    </row>
    <row r="47">
      <c r="A47" s="216">
        <f>IFERROR(__xludf.DUMMYFUNCTION("""COMPUTED_VALUE"""),46046.0)</f>
        <v>46046</v>
      </c>
      <c r="B47" s="210">
        <f>IFERROR(__xludf.DUMMYFUNCTION("""COMPUTED_VALUE"""),0.5104166666678793)</f>
        <v>0.5104166667</v>
      </c>
      <c r="C47" s="211" t="str">
        <f>IFERROR(__xludf.DUMMYFUNCTION("""COMPUTED_VALUE"""),"Sms")</f>
        <v>Sms</v>
      </c>
      <c r="D47" s="211" t="str">
        <f>IFERROR(__xludf.DUMMYFUNCTION("""COMPUTED_VALUE"""),"Fallback Campaign")</f>
        <v>Fallback Campaign</v>
      </c>
      <c r="E47" s="211" t="str">
        <f>IFERROR(__xludf.DUMMYFUNCTION("""COMPUTED_VALUE"""),"Aldo")</f>
        <v>Aldo</v>
      </c>
      <c r="F47" s="211" t="str">
        <f>IFERROR(__xludf.DUMMYFUNCTION("""COMPUTED_VALUE"""),"Republic Day Campaign")</f>
        <v>Republic Day Campaign</v>
      </c>
      <c r="G47" s="218" t="str">
        <f>IFERROR(__xludf.DUMMYFUNCTION("""COMPUTED_VALUE"""),"Flat 50_Republic_Recent_FallBk_RCS")</f>
        <v>Flat 50_Republic_Recent_FallBk_RCS</v>
      </c>
      <c r="H47" s="218" t="str">
        <f>IFERROR(__xludf.DUMMYFUNCTION("""COMPUTED_VALUE"""),"al_onoff_pr_80days_Recnt_23_Jan_26")</f>
        <v>al_onoff_pr_80days_Recnt_23_Jan_26</v>
      </c>
      <c r="I47" s="218" t="str">
        <f>IFERROR(__xludf.DUMMYFUNCTION("""COMPUTED_VALUE"""),"RCS Undelivered ")</f>
        <v>RCS Undelivered </v>
      </c>
      <c r="J47" s="213">
        <f>IFERROR(__xludf.DUMMYFUNCTION("""COMPUTED_VALUE"""),32626.0)</f>
        <v>32626</v>
      </c>
      <c r="K47" s="213">
        <f>IFERROR(__xludf.DUMMYFUNCTION("""COMPUTED_VALUE"""),19665.0)</f>
        <v>19665</v>
      </c>
      <c r="L47" s="214">
        <f>IFERROR(__xludf.DUMMYFUNCTION("""COMPUTED_VALUE"""),0.6027)</f>
        <v>0.6027</v>
      </c>
      <c r="M47" s="213"/>
      <c r="N47" s="214"/>
      <c r="O47" s="213">
        <f>IFERROR(__xludf.DUMMYFUNCTION("""COMPUTED_VALUE"""),81.0)</f>
        <v>81</v>
      </c>
      <c r="P47" s="213"/>
      <c r="Q47" s="214">
        <f>IFERROR(__xludf.DUMMYFUNCTION("""COMPUTED_VALUE"""),0.0041)</f>
        <v>0.0041</v>
      </c>
      <c r="R47" s="214"/>
      <c r="S47" s="101">
        <f>IFERROR(__xludf.DUMMYFUNCTION("""COMPUTED_VALUE"""),2.0)</f>
        <v>2</v>
      </c>
      <c r="T47" s="101">
        <f>IFERROR(__xludf.DUMMYFUNCTION("""COMPUTED_VALUE"""),10.0)</f>
        <v>10</v>
      </c>
      <c r="U47" s="213">
        <f>IFERROR(__xludf.DUMMYFUNCTION("""COMPUTED_VALUE"""),21497.0)</f>
        <v>21497</v>
      </c>
      <c r="V47" s="213" t="str">
        <f>IFERROR(__xludf.DUMMYFUNCTION("""COMPUTED_VALUE"""),"overall")</f>
        <v>overall</v>
      </c>
      <c r="W47" s="213" t="str">
        <f>IFERROR(__xludf.DUMMYFUNCTION("""COMPUTED_VALUE"""),"SMS")</f>
        <v>SMS</v>
      </c>
      <c r="X47" s="213" t="str">
        <f>IFERROR(__xludf.DUMMYFUNCTION("""COMPUTED_VALUE"""),"Recent")</f>
        <v>Recent</v>
      </c>
      <c r="Y47" s="213" t="str">
        <f>IFERROR(__xludf.DUMMYFUNCTION("""COMPUTED_VALUE"""),"24-27th January 2026")</f>
        <v>24-27th January 2026</v>
      </c>
      <c r="Z47" s="213" t="str">
        <f>IFERROR(__xludf.DUMMYFUNCTION("""COMPUTED_VALUE"""),"69735e19b41cfca3562979a0")</f>
        <v>69735e19b41cfca3562979a0</v>
      </c>
      <c r="AA47" s="213">
        <f>IFERROR(__xludf.DUMMYFUNCTION("""COMPUTED_VALUE"""),75.0)</f>
        <v>75</v>
      </c>
      <c r="AB47" s="213">
        <f>IFERROR(__xludf.DUMMYFUNCTION("""COMPUTED_VALUE"""),14.0)</f>
        <v>14</v>
      </c>
      <c r="AC47" s="213">
        <f>IFERROR(__xludf.DUMMYFUNCTION("""COMPUTED_VALUE"""),62.0)</f>
        <v>62</v>
      </c>
      <c r="AD47" s="213">
        <f>IFERROR(__xludf.DUMMYFUNCTION("""COMPUTED_VALUE"""),635165.0)</f>
        <v>635165</v>
      </c>
      <c r="AE47" s="213">
        <f>IFERROR(__xludf.DUMMYFUNCTION("""COMPUTED_VALUE"""),91235.0)</f>
        <v>91235</v>
      </c>
      <c r="AF47" s="213">
        <f>IFERROR(__xludf.DUMMYFUNCTION("""COMPUTED_VALUE"""),543930.0)</f>
        <v>543930</v>
      </c>
      <c r="AG47" s="208"/>
      <c r="AH47" s="208"/>
      <c r="AI47" s="208"/>
      <c r="AJ47" s="208"/>
      <c r="AK47" s="208"/>
    </row>
    <row r="48">
      <c r="A48" s="216">
        <f>IFERROR(__xludf.DUMMYFUNCTION("""COMPUTED_VALUE"""),46046.0)</f>
        <v>46046</v>
      </c>
      <c r="B48" s="210">
        <f>IFERROR(__xludf.DUMMYFUNCTION("""COMPUTED_VALUE"""),0.375)</f>
        <v>0.375</v>
      </c>
      <c r="C48" s="211" t="str">
        <f>IFERROR(__xludf.DUMMYFUNCTION("""COMPUTED_VALUE"""),"Whatsapp")</f>
        <v>Whatsapp</v>
      </c>
      <c r="D48" s="211" t="str">
        <f>IFERROR(__xludf.DUMMYFUNCTION("""COMPUTED_VALUE"""),"Promotional")</f>
        <v>Promotional</v>
      </c>
      <c r="E48" s="211" t="str">
        <f>IFERROR(__xludf.DUMMYFUNCTION("""COMPUTED_VALUE"""),"Aldo")</f>
        <v>Aldo</v>
      </c>
      <c r="F48" s="211" t="str">
        <f>IFERROR(__xludf.DUMMYFUNCTION("""COMPUTED_VALUE"""),"Republic Day Campaign")</f>
        <v>Republic Day Campaign</v>
      </c>
      <c r="G48" s="218" t="str">
        <f>IFERROR(__xludf.DUMMYFUNCTION("""COMPUTED_VALUE"""),"Flat 50_Final Reduction_Republic_Churned")</f>
        <v>Flat 50_Final Reduction_Republic_Churned</v>
      </c>
      <c r="H48" s="218" t="str">
        <f>IFERROR(__xludf.DUMMYFUNCTION("""COMPUTED_VALUE"""),"al_onoff_nopr_365days_Churned_23_Jan_26")</f>
        <v>al_onoff_nopr_365days_Churned_23_Jan_26</v>
      </c>
      <c r="I48" s="218" t="str">
        <f>IFERROR(__xludf.DUMMYFUNCTION("""COMPUTED_VALUE"""),"Customers who have not shopped in the last 365 days AND exclude event buyers OR Recent OR Dormant segment")</f>
        <v>Customers who have not shopped in the last 365 days AND exclude event buyers OR Recent OR Dormant segment</v>
      </c>
      <c r="J48" s="213">
        <f>IFERROR(__xludf.DUMMYFUNCTION("""COMPUTED_VALUE"""),258747.0)</f>
        <v>258747</v>
      </c>
      <c r="K48" s="213">
        <f>IFERROR(__xludf.DUMMYFUNCTION("""COMPUTED_VALUE"""),29725.0)</f>
        <v>29725</v>
      </c>
      <c r="L48" s="214">
        <f>IFERROR(__xludf.DUMMYFUNCTION("""COMPUTED_VALUE"""),0.1149)</f>
        <v>0.1149</v>
      </c>
      <c r="M48" s="213">
        <f>IFERROR(__xludf.DUMMYFUNCTION("""COMPUTED_VALUE"""),13083.0)</f>
        <v>13083</v>
      </c>
      <c r="N48" s="214">
        <f>IFERROR(__xludf.DUMMYFUNCTION("""COMPUTED_VALUE"""),0.4401)</f>
        <v>0.4401</v>
      </c>
      <c r="O48" s="213">
        <f>IFERROR(__xludf.DUMMYFUNCTION("""COMPUTED_VALUE"""),1372.0)</f>
        <v>1372</v>
      </c>
      <c r="P48" s="213">
        <f>IFERROR(__xludf.DUMMYFUNCTION("""COMPUTED_VALUE"""),1145.0)</f>
        <v>1145</v>
      </c>
      <c r="Q48" s="214">
        <f>IFERROR(__xludf.DUMMYFUNCTION("""COMPUTED_VALUE"""),0.04)</f>
        <v>0.04</v>
      </c>
      <c r="R48" s="214">
        <f>IFERROR(__xludf.DUMMYFUNCTION("""COMPUTED_VALUE"""),0.09)</f>
        <v>0.09</v>
      </c>
      <c r="S48" s="101">
        <f>IFERROR(__xludf.DUMMYFUNCTION("""COMPUTED_VALUE"""),2.0)</f>
        <v>2</v>
      </c>
      <c r="T48" s="101">
        <f>IFERROR(__xludf.DUMMYFUNCTION("""COMPUTED_VALUE"""),10.0)</f>
        <v>10</v>
      </c>
      <c r="U48" s="213">
        <f>IFERROR(__xludf.DUMMYFUNCTION("""COMPUTED_VALUE"""),14998.0)</f>
        <v>14998</v>
      </c>
      <c r="V48" s="213" t="str">
        <f>IFERROR(__xludf.DUMMYFUNCTION("""COMPUTED_VALUE"""),"overall")</f>
        <v>overall</v>
      </c>
      <c r="W48" s="213" t="str">
        <f>IFERROR(__xludf.DUMMYFUNCTION("""COMPUTED_VALUE"""),"Carousel")</f>
        <v>Carousel</v>
      </c>
      <c r="X48" s="213" t="str">
        <f>IFERROR(__xludf.DUMMYFUNCTION("""COMPUTED_VALUE"""),"Churned")</f>
        <v>Churned</v>
      </c>
      <c r="Y48" s="213" t="str">
        <f>IFERROR(__xludf.DUMMYFUNCTION("""COMPUTED_VALUE"""),"24-27th January 2026")</f>
        <v>24-27th January 2026</v>
      </c>
      <c r="Z48" s="213" t="str">
        <f>IFERROR(__xludf.DUMMYFUNCTION("""COMPUTED_VALUE"""),"6973595d93b4386821b68b90")</f>
        <v>6973595d93b4386821b68b90</v>
      </c>
      <c r="AA48" s="213">
        <f>IFERROR(__xludf.DUMMYFUNCTION("""COMPUTED_VALUE"""),28.0)</f>
        <v>28</v>
      </c>
      <c r="AB48" s="213">
        <f>IFERROR(__xludf.DUMMYFUNCTION("""COMPUTED_VALUE"""),6.0)</f>
        <v>6</v>
      </c>
      <c r="AC48" s="213">
        <f>IFERROR(__xludf.DUMMYFUNCTION("""COMPUTED_VALUE"""),22.0)</f>
        <v>22</v>
      </c>
      <c r="AD48" s="213">
        <f>IFERROR(__xludf.DUMMYFUNCTION("""COMPUTED_VALUE"""),273825.0)</f>
        <v>273825</v>
      </c>
      <c r="AE48" s="213">
        <f>IFERROR(__xludf.DUMMYFUNCTION("""COMPUTED_VALUE"""),34743.0)</f>
        <v>34743</v>
      </c>
      <c r="AF48" s="213">
        <f>IFERROR(__xludf.DUMMYFUNCTION("""COMPUTED_VALUE"""),239082.0)</f>
        <v>239082</v>
      </c>
      <c r="AG48" s="208"/>
      <c r="AH48" s="208"/>
      <c r="AI48" s="208"/>
      <c r="AJ48" s="208"/>
      <c r="AK48" s="208"/>
    </row>
    <row r="49">
      <c r="A49" s="216">
        <f>IFERROR(__xludf.DUMMYFUNCTION("""COMPUTED_VALUE"""),46060.0)</f>
        <v>46060</v>
      </c>
      <c r="B49" s="210">
        <f>IFERROR(__xludf.DUMMYFUNCTION("""COMPUTED_VALUE"""),0.3541666666678793)</f>
        <v>0.3541666667</v>
      </c>
      <c r="C49" s="211" t="str">
        <f>IFERROR(__xludf.DUMMYFUNCTION("""COMPUTED_VALUE"""),"Whatsapp")</f>
        <v>Whatsapp</v>
      </c>
      <c r="D49" s="211" t="str">
        <f>IFERROR(__xludf.DUMMYFUNCTION("""COMPUTED_VALUE"""),"Promotional")</f>
        <v>Promotional</v>
      </c>
      <c r="E49" s="211" t="str">
        <f>IFERROR(__xludf.DUMMYFUNCTION("""COMPUTED_VALUE"""),"Aldo")</f>
        <v>Aldo</v>
      </c>
      <c r="F49" s="211" t="str">
        <f>IFERROR(__xludf.DUMMYFUNCTION("""COMPUTED_VALUE"""),"Valentines day")</f>
        <v>Valentines day</v>
      </c>
      <c r="G49" s="218" t="str">
        <f>IFERROR(__xludf.DUMMYFUNCTION("""COMPUTED_VALUE"""),"VD Collection")</f>
        <v>VD Collection</v>
      </c>
      <c r="H49" s="218" t="str">
        <f>IFERROR(__xludf.DUMMYFUNCTION("""COMPUTED_VALUE"""),"PLP_View_NoPr_On OR Event_Gifters_Val_OnOff OR Event_Buyers_Val_Rak_Wom_OnOff OR OnOff_Men_Gift OR OnOff_Men_Predom OR AGIPL_Internal")</f>
        <v>PLP_View_NoPr_On OR Event_Gifters_Val_OnOff OR Event_Buyers_Val_Rak_Wom_OnOff OR OnOff_Men_Gift OR OnOff_Men_Predom OR AGIPL_Internal</v>
      </c>
      <c r="I49" s="218" t="str">
        <f>IFERROR(__xludf.DUMMYFUNCTION("""COMPUTED_VALUE"""),"Online customers who have viewed products (Cat: Women) in the last 14 days but have not made a purchase
Customers who have purchased during 8th Feb 2023 to 15th Feb 2023, 8th Feb 2024 to 15th Feb 2024 ,8th Feb 2025 to 15th Feb 2025 have predominantly pur"&amp;"chased from Gender Men and have purchased at least once from Gender Women And exclude custom segment :- PLP_View_NoPr_On
Customers who have purchased during 8th Feb 2023 to 15th Feb 2023, 8th Feb 2024 to 15th Feb 2024 ,8th Feb 2025 to 15th Feb 2025, 17th"&amp;" Aug 2023 to 24th Aug 2023, 13th Aug 2024 to 20th Aug 2024, 5th Aug 2025 to 10th AUg 2025, 2nd Mar 2023 to 9th Mar 2023 , 2nd Mar 2024 to 9th Mar 2024, 2nd Mar 2025 to 9th Mar 2025 AND Exclude Custom Segment :- Event_Gifters_Val_OnOff OR PLP_View_NoPr_On
"&amp;"
Customers who have predominantly purchased from Gender Men and have purchased at least once from Gender Women in last 3 Years AND Exclude Custom Segment :- Event_Gifters_Val_OnOff OR PLP_View_NoPr_On OR Event_Buyers_Val_Rak_Wom_OnOff
Customers who have "&amp;"predominantly purchased from Gender Men (excluding MenGifters) AND Exclude Custom Segment :- Event_Gifters_Val_OnOff OR PLP_View_NoPr_On OR Event_Buyers_Val_Rak_Wom_OnOff OR OnOff_Men_Gift")</f>
        <v>Online customers who have viewed products (Cat: Women) in the last 14 days but have not made a purchase
Customers who have purchased during 8th Feb 2023 to 15th Feb 2023, 8th Feb 2024 to 15th Feb 2024 ,8th Feb 2025 to 15th Feb 2025 have predominantly purchased from Gender Men and have purchased at least once from Gender Women And exclude custom segment :- PLP_View_NoPr_On
Customers who have purchased during 8th Feb 2023 to 15th Feb 2023, 8th Feb 2024 to 15th Feb 2024 ,8th Feb 2025 to 15th Feb 2025, 17th Aug 2023 to 24th Aug 2023, 13th Aug 2024 to 20th Aug 2024, 5th Aug 2025 to 10th AUg 2025, 2nd Mar 2023 to 9th Mar 2023 , 2nd Mar 2024 to 9th Mar 2024, 2nd Mar 2025 to 9th Mar 2025 AND Exclude Custom Segment :- Event_Gifters_Val_OnOff OR PLP_View_NoPr_On
Customers who have predominantly purchased from Gender Men and have purchased at least once from Gender Women in last 3 Years AND Exclude Custom Segment :- Event_Gifters_Val_OnOff OR PLP_View_NoPr_On OR Event_Buyers_Val_Rak_Wom_OnOff
Customers who have predominantly purchased from Gender Men (excluding MenGifters) AND Exclude Custom Segment :- Event_Gifters_Val_OnOff OR PLP_View_NoPr_On OR Event_Buyers_Val_Rak_Wom_OnOff OR OnOff_Men_Gift</v>
      </c>
      <c r="J49" s="213">
        <f>IFERROR(__xludf.DUMMYFUNCTION("""COMPUTED_VALUE"""),306120.0)</f>
        <v>306120</v>
      </c>
      <c r="K49" s="213">
        <f>IFERROR(__xludf.DUMMYFUNCTION("""COMPUTED_VALUE"""),136267.0)</f>
        <v>136267</v>
      </c>
      <c r="L49" s="214">
        <f>IFERROR(__xludf.DUMMYFUNCTION("""COMPUTED_VALUE"""),0.4451)</f>
        <v>0.4451</v>
      </c>
      <c r="M49" s="213">
        <f>IFERROR(__xludf.DUMMYFUNCTION("""COMPUTED_VALUE"""),53054.0)</f>
        <v>53054</v>
      </c>
      <c r="N49" s="214">
        <f>IFERROR(__xludf.DUMMYFUNCTION("""COMPUTED_VALUE"""),0.3893)</f>
        <v>0.3893</v>
      </c>
      <c r="O49" s="213">
        <f>IFERROR(__xludf.DUMMYFUNCTION("""COMPUTED_VALUE"""),2334.0)</f>
        <v>2334</v>
      </c>
      <c r="P49" s="213">
        <f>IFERROR(__xludf.DUMMYFUNCTION("""COMPUTED_VALUE"""),2242.0)</f>
        <v>2242</v>
      </c>
      <c r="Q49" s="214">
        <f>IFERROR(__xludf.DUMMYFUNCTION("""COMPUTED_VALUE"""),0.0165)</f>
        <v>0.0165</v>
      </c>
      <c r="R49" s="214">
        <f>IFERROR(__xludf.DUMMYFUNCTION("""COMPUTED_VALUE"""),0.0423)</f>
        <v>0.0423</v>
      </c>
      <c r="S49" s="101">
        <f>IFERROR(__xludf.DUMMYFUNCTION("""COMPUTED_VALUE"""),2.0)</f>
        <v>2</v>
      </c>
      <c r="T49" s="101">
        <f>IFERROR(__xludf.DUMMYFUNCTION("""COMPUTED_VALUE"""),9.0)</f>
        <v>9</v>
      </c>
      <c r="U49" s="213">
        <f>IFERROR(__xludf.DUMMYFUNCTION("""COMPUTED_VALUE"""),2700.0)</f>
        <v>2700</v>
      </c>
      <c r="V49" s="213" t="str">
        <f>IFERROR(__xludf.DUMMYFUNCTION("""COMPUTED_VALUE"""),"overall")</f>
        <v>overall</v>
      </c>
      <c r="W49" s="213" t="str">
        <f>IFERROR(__xludf.DUMMYFUNCTION("""COMPUTED_VALUE"""),"carousel")</f>
        <v>carousel</v>
      </c>
      <c r="X49" s="213" t="str">
        <f>IFERROR(__xludf.DUMMYFUNCTION("""COMPUTED_VALUE"""),"Event Buyers")</f>
        <v>Event Buyers</v>
      </c>
      <c r="Y49" s="213" t="str">
        <f>IFERROR(__xludf.DUMMYFUNCTION("""COMPUTED_VALUE"""),"7th- 15th February 2026")</f>
        <v>7th- 15th February 2026</v>
      </c>
      <c r="Z49" s="213" t="str">
        <f>IFERROR(__xludf.DUMMYFUNCTION("""COMPUTED_VALUE"""),"6985fa7f71348ab96deb9bac")</f>
        <v>6985fa7f71348ab96deb9bac</v>
      </c>
      <c r="AA49" s="213">
        <f>IFERROR(__xludf.DUMMYFUNCTION("""COMPUTED_VALUE"""),274.0)</f>
        <v>274</v>
      </c>
      <c r="AB49" s="213">
        <f>IFERROR(__xludf.DUMMYFUNCTION("""COMPUTED_VALUE"""),51.0)</f>
        <v>51</v>
      </c>
      <c r="AC49" s="213">
        <f>IFERROR(__xludf.DUMMYFUNCTION("""COMPUTED_VALUE"""),223.0)</f>
        <v>223</v>
      </c>
      <c r="AD49" s="213">
        <f>IFERROR(__xludf.DUMMYFUNCTION("""COMPUTED_VALUE"""),3240671.0)</f>
        <v>3240671</v>
      </c>
      <c r="AE49" s="213">
        <f>IFERROR(__xludf.DUMMYFUNCTION("""COMPUTED_VALUE"""),368021.0)</f>
        <v>368021</v>
      </c>
      <c r="AF49" s="213">
        <f>IFERROR(__xludf.DUMMYFUNCTION("""COMPUTED_VALUE"""),2872650.0)</f>
        <v>2872650</v>
      </c>
      <c r="AG49" s="208"/>
      <c r="AH49" s="208"/>
      <c r="AI49" s="208"/>
      <c r="AJ49" s="208"/>
      <c r="AK49" s="208"/>
    </row>
    <row r="50">
      <c r="A50" s="216">
        <f>IFERROR(__xludf.DUMMYFUNCTION("""COMPUTED_VALUE"""),46060.0)</f>
        <v>46060</v>
      </c>
      <c r="B50" s="210">
        <f>IFERROR(__xludf.DUMMYFUNCTION("""COMPUTED_VALUE"""),0.42361111110949423)</f>
        <v>0.4236111111</v>
      </c>
      <c r="C50" s="211" t="str">
        <f>IFERROR(__xludf.DUMMYFUNCTION("""COMPUTED_VALUE"""),"Rcs")</f>
        <v>Rcs</v>
      </c>
      <c r="D50" s="211" t="str">
        <f>IFERROR(__xludf.DUMMYFUNCTION("""COMPUTED_VALUE"""),"Fallback Campaign")</f>
        <v>Fallback Campaign</v>
      </c>
      <c r="E50" s="211" t="str">
        <f>IFERROR(__xludf.DUMMYFUNCTION("""COMPUTED_VALUE"""),"Aldo")</f>
        <v>Aldo</v>
      </c>
      <c r="F50" s="211" t="str">
        <f>IFERROR(__xludf.DUMMYFUNCTION("""COMPUTED_VALUE"""),"Valentines day")</f>
        <v>Valentines day</v>
      </c>
      <c r="G50" s="218" t="str">
        <f>IFERROR(__xludf.DUMMYFUNCTION("""COMPUTED_VALUE"""),"ALDO VD")</f>
        <v>ALDO VD</v>
      </c>
      <c r="H50" s="218" t="str">
        <f>IFERROR(__xludf.DUMMYFUNCTION("""COMPUTED_VALUE"""),"PLP_View_NoPr_On OR Event_Gifters_Val_OnOff OR Event_Buyers_Val_Rak_Wom_OnOff OR OnOff_Men_Gift OR OnOff_Men_Predom OR AGIPL_Internal")</f>
        <v>PLP_View_NoPr_On OR Event_Gifters_Val_OnOff OR Event_Buyers_Val_Rak_Wom_OnOff OR OnOff_Men_Gift OR OnOff_Men_Predom OR AGIPL_Internal</v>
      </c>
      <c r="I50" s="218" t="str">
        <f>IFERROR(__xludf.DUMMYFUNCTION("""COMPUTED_VALUE"""),"WA Undelivered")</f>
        <v>WA Undelivered</v>
      </c>
      <c r="J50" s="213">
        <f>IFERROR(__xludf.DUMMYFUNCTION("""COMPUTED_VALUE"""),164141.0)</f>
        <v>164141</v>
      </c>
      <c r="K50" s="213">
        <f>IFERROR(__xludf.DUMMYFUNCTION("""COMPUTED_VALUE"""),31718.0)</f>
        <v>31718</v>
      </c>
      <c r="L50" s="214">
        <f>IFERROR(__xludf.DUMMYFUNCTION("""COMPUTED_VALUE"""),0.1932)</f>
        <v>0.1932</v>
      </c>
      <c r="M50" s="213">
        <f>IFERROR(__xludf.DUMMYFUNCTION("""COMPUTED_VALUE"""),3458.0)</f>
        <v>3458</v>
      </c>
      <c r="N50" s="214">
        <f>IFERROR(__xludf.DUMMYFUNCTION("""COMPUTED_VALUE"""),0.109)</f>
        <v>0.109</v>
      </c>
      <c r="O50" s="213">
        <f>IFERROR(__xludf.DUMMYFUNCTION("""COMPUTED_VALUE"""),169.0)</f>
        <v>169</v>
      </c>
      <c r="P50" s="213"/>
      <c r="Q50" s="214">
        <f>IFERROR(__xludf.DUMMYFUNCTION("""COMPUTED_VALUE"""),0.0053)</f>
        <v>0.0053</v>
      </c>
      <c r="R50" s="214"/>
      <c r="S50" s="101">
        <f>IFERROR(__xludf.DUMMYFUNCTION("""COMPUTED_VALUE"""),1.0)</f>
        <v>1</v>
      </c>
      <c r="T50" s="101">
        <f>IFERROR(__xludf.DUMMYFUNCTION("""COMPUTED_VALUE"""),3.0)</f>
        <v>3</v>
      </c>
      <c r="U50" s="213">
        <f>IFERROR(__xludf.DUMMYFUNCTION("""COMPUTED_VALUE"""),25135.0)</f>
        <v>25135</v>
      </c>
      <c r="V50" s="213" t="str">
        <f>IFERROR(__xludf.DUMMYFUNCTION("""COMPUTED_VALUE"""),"overall")</f>
        <v>overall</v>
      </c>
      <c r="W50" s="213" t="str">
        <f>IFERROR(__xludf.DUMMYFUNCTION("""COMPUTED_VALUE"""),"RCS")</f>
        <v>RCS</v>
      </c>
      <c r="X50" s="213" t="str">
        <f>IFERROR(__xludf.DUMMYFUNCTION("""COMPUTED_VALUE"""),"Event Buyers")</f>
        <v>Event Buyers</v>
      </c>
      <c r="Y50" s="213" t="str">
        <f>IFERROR(__xludf.DUMMYFUNCTION("""COMPUTED_VALUE"""),"7th- 15th February 2026")</f>
        <v>7th- 15th February 2026</v>
      </c>
      <c r="Z50" s="213" t="str">
        <f>IFERROR(__xludf.DUMMYFUNCTION("""COMPUTED_VALUE"""),"6985faa2431da1fb3ed06bd6")</f>
        <v>6985faa2431da1fb3ed06bd6</v>
      </c>
      <c r="AA50" s="213">
        <f>IFERROR(__xludf.DUMMYFUNCTION("""COMPUTED_VALUE"""),69.0)</f>
        <v>69</v>
      </c>
      <c r="AB50" s="213">
        <f>IFERROR(__xludf.DUMMYFUNCTION("""COMPUTED_VALUE"""),6.0)</f>
        <v>6</v>
      </c>
      <c r="AC50" s="213">
        <f>IFERROR(__xludf.DUMMYFUNCTION("""COMPUTED_VALUE"""),63.0)</f>
        <v>63</v>
      </c>
      <c r="AD50" s="213">
        <f>IFERROR(__xludf.DUMMYFUNCTION("""COMPUTED_VALUE"""),867044.0)</f>
        <v>867044</v>
      </c>
      <c r="AE50" s="213">
        <f>IFERROR(__xludf.DUMMYFUNCTION("""COMPUTED_VALUE"""),53123.0)</f>
        <v>53123</v>
      </c>
      <c r="AF50" s="213">
        <f>IFERROR(__xludf.DUMMYFUNCTION("""COMPUTED_VALUE"""),813921.0)</f>
        <v>813921</v>
      </c>
      <c r="AG50" s="208"/>
      <c r="AH50" s="208"/>
      <c r="AI50" s="208"/>
      <c r="AJ50" s="208"/>
      <c r="AK50" s="208"/>
    </row>
    <row r="51">
      <c r="A51" s="216">
        <f>IFERROR(__xludf.DUMMYFUNCTION("""COMPUTED_VALUE"""),46060.0)</f>
        <v>46060</v>
      </c>
      <c r="B51" s="210">
        <f>IFERROR(__xludf.DUMMYFUNCTION("""COMPUTED_VALUE"""),0.5208333333321207)</f>
        <v>0.5208333333</v>
      </c>
      <c r="C51" s="211" t="str">
        <f>IFERROR(__xludf.DUMMYFUNCTION("""COMPUTED_VALUE"""),"Sms")</f>
        <v>Sms</v>
      </c>
      <c r="D51" s="211" t="str">
        <f>IFERROR(__xludf.DUMMYFUNCTION("""COMPUTED_VALUE"""),"Fallback Campaign")</f>
        <v>Fallback Campaign</v>
      </c>
      <c r="E51" s="211" t="str">
        <f>IFERROR(__xludf.DUMMYFUNCTION("""COMPUTED_VALUE"""),"Aldo")</f>
        <v>Aldo</v>
      </c>
      <c r="F51" s="211" t="str">
        <f>IFERROR(__xludf.DUMMYFUNCTION("""COMPUTED_VALUE"""),"Valentines day")</f>
        <v>Valentines day</v>
      </c>
      <c r="G51" s="218" t="str">
        <f>IFERROR(__xludf.DUMMYFUNCTION("""COMPUTED_VALUE"""),"VD Collection")</f>
        <v>VD Collection</v>
      </c>
      <c r="H51" s="218" t="str">
        <f>IFERROR(__xludf.DUMMYFUNCTION("""COMPUTED_VALUE"""),"PLP_View_NoPr_On OR Event_Gifters_Val_OnOff OR Event_Buyers_Val_Rak_Wom_OnOff OR OnOff_Men_Gift OR OnOff_Men_Predom OR AGIPL_Internal")</f>
        <v>PLP_View_NoPr_On OR Event_Gifters_Val_OnOff OR Event_Buyers_Val_Rak_Wom_OnOff OR OnOff_Men_Gift OR OnOff_Men_Predom OR AGIPL_Internal</v>
      </c>
      <c r="I51" s="218" t="str">
        <f>IFERROR(__xludf.DUMMYFUNCTION("""COMPUTED_VALUE"""),"RCS Delivery Failed")</f>
        <v>RCS Delivery Failed</v>
      </c>
      <c r="J51" s="213">
        <f>IFERROR(__xludf.DUMMYFUNCTION("""COMPUTED_VALUE"""),131221.0)</f>
        <v>131221</v>
      </c>
      <c r="K51" s="213">
        <f>IFERROR(__xludf.DUMMYFUNCTION("""COMPUTED_VALUE"""),75914.0)</f>
        <v>75914</v>
      </c>
      <c r="L51" s="214">
        <f>IFERROR(__xludf.DUMMYFUNCTION("""COMPUTED_VALUE"""),0.5785)</f>
        <v>0.5785</v>
      </c>
      <c r="M51" s="213"/>
      <c r="N51" s="214"/>
      <c r="O51" s="213">
        <f>IFERROR(__xludf.DUMMYFUNCTION("""COMPUTED_VALUE"""),85.0)</f>
        <v>85</v>
      </c>
      <c r="P51" s="213"/>
      <c r="Q51" s="214">
        <f>IFERROR(__xludf.DUMMYFUNCTION("""COMPUTED_VALUE"""),0.0011)</f>
        <v>0.0011</v>
      </c>
      <c r="R51" s="214"/>
      <c r="S51" s="101">
        <f>IFERROR(__xludf.DUMMYFUNCTION("""COMPUTED_VALUE"""),2.0)</f>
        <v>2</v>
      </c>
      <c r="T51" s="101">
        <f>IFERROR(__xludf.DUMMYFUNCTION("""COMPUTED_VALUE"""),4.0)</f>
        <v>4</v>
      </c>
      <c r="U51" s="213">
        <f>IFERROR(__xludf.DUMMYFUNCTION("""COMPUTED_VALUE"""),21598.0)</f>
        <v>21598</v>
      </c>
      <c r="V51" s="213" t="str">
        <f>IFERROR(__xludf.DUMMYFUNCTION("""COMPUTED_VALUE"""),"overall")</f>
        <v>overall</v>
      </c>
      <c r="W51" s="213" t="str">
        <f>IFERROR(__xludf.DUMMYFUNCTION("""COMPUTED_VALUE"""),"SMS")</f>
        <v>SMS</v>
      </c>
      <c r="X51" s="213" t="str">
        <f>IFERROR(__xludf.DUMMYFUNCTION("""COMPUTED_VALUE"""),"Event Buyers")</f>
        <v>Event Buyers</v>
      </c>
      <c r="Y51" s="213" t="str">
        <f>IFERROR(__xludf.DUMMYFUNCTION("""COMPUTED_VALUE"""),"7th- 15th February 2026")</f>
        <v>7th- 15th February 2026</v>
      </c>
      <c r="Z51" s="213" t="str">
        <f>IFERROR(__xludf.DUMMYFUNCTION("""COMPUTED_VALUE"""),"6985faccf7a5dcffcb876d2b")</f>
        <v>6985faccf7a5dcffcb876d2b</v>
      </c>
      <c r="AA51" s="213">
        <f>IFERROR(__xludf.DUMMYFUNCTION("""COMPUTED_VALUE"""),167.0)</f>
        <v>167</v>
      </c>
      <c r="AB51" s="213">
        <f>IFERROR(__xludf.DUMMYFUNCTION("""COMPUTED_VALUE"""),22.0)</f>
        <v>22</v>
      </c>
      <c r="AC51" s="213">
        <f>IFERROR(__xludf.DUMMYFUNCTION("""COMPUTED_VALUE"""),145.0)</f>
        <v>145</v>
      </c>
      <c r="AD51" s="213">
        <f>IFERROR(__xludf.DUMMYFUNCTION("""COMPUTED_VALUE"""),2303625.0)</f>
        <v>2303625</v>
      </c>
      <c r="AE51" s="213">
        <f>IFERROR(__xludf.DUMMYFUNCTION("""COMPUTED_VALUE"""),195666.0)</f>
        <v>195666</v>
      </c>
      <c r="AF51" s="213">
        <f>IFERROR(__xludf.DUMMYFUNCTION("""COMPUTED_VALUE"""),2107959.0)</f>
        <v>2107959</v>
      </c>
      <c r="AG51" s="208"/>
      <c r="AH51" s="208"/>
      <c r="AI51" s="208"/>
      <c r="AJ51" s="208"/>
      <c r="AK51" s="208"/>
    </row>
    <row r="52">
      <c r="A52" s="216">
        <f>IFERROR(__xludf.DUMMYFUNCTION("""COMPUTED_VALUE"""),46064.0)</f>
        <v>46064</v>
      </c>
      <c r="B52" s="210">
        <f>IFERROR(__xludf.DUMMYFUNCTION("""COMPUTED_VALUE"""),0.7604166666678793)</f>
        <v>0.7604166667</v>
      </c>
      <c r="C52" s="211" t="str">
        <f>IFERROR(__xludf.DUMMYFUNCTION("""COMPUTED_VALUE"""),"Rcs")</f>
        <v>Rcs</v>
      </c>
      <c r="D52" s="211" t="str">
        <f>IFERROR(__xludf.DUMMYFUNCTION("""COMPUTED_VALUE"""),"Promotional")</f>
        <v>Promotional</v>
      </c>
      <c r="E52" s="211" t="str">
        <f>IFERROR(__xludf.DUMMYFUNCTION("""COMPUTED_VALUE"""),"Aldo")</f>
        <v>Aldo</v>
      </c>
      <c r="F52" s="211" t="str">
        <f>IFERROR(__xludf.DUMMYFUNCTION("""COMPUTED_VALUE"""),"Valentine's Day")</f>
        <v>Valentine's Day</v>
      </c>
      <c r="G52" s="218" t="str">
        <f>IFERROR(__xludf.DUMMYFUNCTION("""COMPUTED_VALUE"""),"ALDO VD 1")</f>
        <v>ALDO VD 1</v>
      </c>
      <c r="H52" s="218" t="str">
        <f>IFERROR(__xludf.DUMMYFUNCTION("""COMPUTED_VALUE"""),"PLP_View_NoPr_On")</f>
        <v>PLP_View_NoPr_On</v>
      </c>
      <c r="I52" s="218" t="str">
        <f>IFERROR(__xludf.DUMMYFUNCTION("""COMPUTED_VALUE"""),"Online customers who have viewed products (Cat: Women) in the last 14 days but have not made a purchase")</f>
        <v>Online customers who have viewed products (Cat: Women) in the last 14 days but have not made a purchase</v>
      </c>
      <c r="J52" s="213">
        <f>IFERROR(__xludf.DUMMYFUNCTION("""COMPUTED_VALUE"""),1109.0)</f>
        <v>1109</v>
      </c>
      <c r="K52" s="213">
        <f>IFERROR(__xludf.DUMMYFUNCTION("""COMPUTED_VALUE"""),301.0)</f>
        <v>301</v>
      </c>
      <c r="L52" s="214">
        <f>IFERROR(__xludf.DUMMYFUNCTION("""COMPUTED_VALUE"""),0.2714)</f>
        <v>0.2714</v>
      </c>
      <c r="M52" s="213">
        <f>IFERROR(__xludf.DUMMYFUNCTION("""COMPUTED_VALUE"""),56.0)</f>
        <v>56</v>
      </c>
      <c r="N52" s="214">
        <f>IFERROR(__xludf.DUMMYFUNCTION("""COMPUTED_VALUE"""),0.186)</f>
        <v>0.186</v>
      </c>
      <c r="O52" s="213">
        <f>IFERROR(__xludf.DUMMYFUNCTION("""COMPUTED_VALUE"""),8.0)</f>
        <v>8</v>
      </c>
      <c r="P52" s="213"/>
      <c r="Q52" s="214">
        <f>IFERROR(__xludf.DUMMYFUNCTION("""COMPUTED_VALUE"""),0.0266)</f>
        <v>0.0266</v>
      </c>
      <c r="R52" s="214"/>
      <c r="S52" s="101">
        <f>IFERROR(__xludf.DUMMYFUNCTION("""COMPUTED_VALUE"""),0.0)</f>
        <v>0</v>
      </c>
      <c r="T52" s="101">
        <f>IFERROR(__xludf.DUMMYFUNCTION("""COMPUTED_VALUE"""),3.0)</f>
        <v>3</v>
      </c>
      <c r="U52" s="213">
        <f>IFERROR(__xludf.DUMMYFUNCTION("""COMPUTED_VALUE"""),0.0)</f>
        <v>0</v>
      </c>
      <c r="V52" s="213" t="str">
        <f>IFERROR(__xludf.DUMMYFUNCTION("""COMPUTED_VALUE"""),"online")</f>
        <v>online</v>
      </c>
      <c r="W52" s="213" t="str">
        <f>IFERROR(__xludf.DUMMYFUNCTION("""COMPUTED_VALUE"""),"RCS")</f>
        <v>RCS</v>
      </c>
      <c r="X52" s="213" t="str">
        <f>IFERROR(__xludf.DUMMYFUNCTION("""COMPUTED_VALUE"""),"PLP View_but no purchase")</f>
        <v>PLP View_but no purchase</v>
      </c>
      <c r="Y52" s="213" t="str">
        <f>IFERROR(__xludf.DUMMYFUNCTION("""COMPUTED_VALUE"""),"11th Feb - 15th Feb")</f>
        <v>11th Feb - 15th Feb</v>
      </c>
      <c r="Z52" s="213" t="str">
        <f>IFERROR(__xludf.DUMMYFUNCTION("""COMPUTED_VALUE"""),"698c74195757ac0c8548334a")</f>
        <v>698c74195757ac0c8548334a</v>
      </c>
      <c r="AA52" s="213">
        <f>IFERROR(__xludf.DUMMYFUNCTION("""COMPUTED_VALUE"""),0.0)</f>
        <v>0</v>
      </c>
      <c r="AB52" s="213">
        <f>IFERROR(__xludf.DUMMYFUNCTION("""COMPUTED_VALUE"""),0.0)</f>
        <v>0</v>
      </c>
      <c r="AC52" s="213"/>
      <c r="AD52" s="213">
        <f>IFERROR(__xludf.DUMMYFUNCTION("""COMPUTED_VALUE"""),0.0)</f>
        <v>0</v>
      </c>
      <c r="AE52" s="213">
        <f>IFERROR(__xludf.DUMMYFUNCTION("""COMPUTED_VALUE"""),0.0)</f>
        <v>0</v>
      </c>
      <c r="AF52" s="213"/>
      <c r="AG52" s="208"/>
      <c r="AH52" s="208"/>
      <c r="AI52" s="208"/>
      <c r="AJ52" s="208"/>
      <c r="AK52" s="208"/>
    </row>
    <row r="53">
      <c r="A53" s="219">
        <f>IFERROR(__xludf.DUMMYFUNCTION("""COMPUTED_VALUE"""),46064.0)</f>
        <v>46064</v>
      </c>
      <c r="B53" s="220">
        <f>IFERROR(__xludf.DUMMYFUNCTION("""COMPUTED_VALUE"""),0.7604166666678793)</f>
        <v>0.7604166667</v>
      </c>
      <c r="C53" s="221" t="str">
        <f>IFERROR(__xludf.DUMMYFUNCTION("""COMPUTED_VALUE"""),"Rcs")</f>
        <v>Rcs</v>
      </c>
      <c r="D53" s="221" t="str">
        <f>IFERROR(__xludf.DUMMYFUNCTION("""COMPUTED_VALUE"""),"Promotional")</f>
        <v>Promotional</v>
      </c>
      <c r="E53" s="221" t="str">
        <f>IFERROR(__xludf.DUMMYFUNCTION("""COMPUTED_VALUE"""),"Aldo")</f>
        <v>Aldo</v>
      </c>
      <c r="F53" s="221" t="str">
        <f>IFERROR(__xludf.DUMMYFUNCTION("""COMPUTED_VALUE"""),"Valentine's Day")</f>
        <v>Valentine's Day</v>
      </c>
      <c r="G53" s="221" t="str">
        <f>IFERROR(__xludf.DUMMYFUNCTION("""COMPUTED_VALUE"""),"ALDO VD 2")</f>
        <v>ALDO VD 2</v>
      </c>
      <c r="H53" s="223" t="str">
        <f>IFERROR(__xludf.DUMMYFUNCTION("""COMPUTED_VALUE"""),"Event_Gifters_Val_OnOff_Cities")</f>
        <v>Event_Gifters_Val_OnOff_Cities</v>
      </c>
      <c r="I53" s="221" t="str">
        <f>IFERROR(__xludf.DUMMYFUNCTION("""COMPUTED_VALUE"""),"Customers who have purchased during Valentines Week, (2023-2025), have predominantly purchased from Gender Men and have purchased at least once from Gender Women with Txn_City contains Bengaluru, Bangalore, Banglore, Mumbai, Gurgaon, Gurgoan, Thana, Thane"&amp;", Noida, Delhi, Banagalore")</f>
        <v>Customers who have purchased during Valentines Week, (2023-2025), have predominantly purchased from Gender Men and have purchased at least once from Gender Women with Txn_City contains Bengaluru, Bangalore, Banglore, Mumbai, Gurgaon, Gurgoan, Thana, Thane, Noida, Delhi, Banagalore</v>
      </c>
      <c r="J53" s="224">
        <f>IFERROR(__xludf.DUMMYFUNCTION("""COMPUTED_VALUE"""),1268.0)</f>
        <v>1268</v>
      </c>
      <c r="K53" s="224">
        <f>IFERROR(__xludf.DUMMYFUNCTION("""COMPUTED_VALUE"""),246.0)</f>
        <v>246</v>
      </c>
      <c r="L53" s="225">
        <f>IFERROR(__xludf.DUMMYFUNCTION("""COMPUTED_VALUE"""),0.194)</f>
        <v>0.194</v>
      </c>
      <c r="M53" s="224">
        <f>IFERROR(__xludf.DUMMYFUNCTION("""COMPUTED_VALUE"""),33.0)</f>
        <v>33</v>
      </c>
      <c r="N53" s="225">
        <f>IFERROR(__xludf.DUMMYFUNCTION("""COMPUTED_VALUE"""),0.134)</f>
        <v>0.134</v>
      </c>
      <c r="O53" s="226">
        <f>IFERROR(__xludf.DUMMYFUNCTION("""COMPUTED_VALUE"""),0.0)</f>
        <v>0</v>
      </c>
      <c r="P53" s="226"/>
      <c r="Q53" s="225">
        <f>IFERROR(__xludf.DUMMYFUNCTION("""COMPUTED_VALUE"""),0.0)</f>
        <v>0</v>
      </c>
      <c r="R53" s="225"/>
      <c r="S53" s="226">
        <f>IFERROR(__xludf.DUMMYFUNCTION("""COMPUTED_VALUE"""),0.0)</f>
        <v>0</v>
      </c>
      <c r="T53" s="226">
        <f>IFERROR(__xludf.DUMMYFUNCTION("""COMPUTED_VALUE"""),0.0)</f>
        <v>0</v>
      </c>
      <c r="U53" s="224">
        <f>IFERROR(__xludf.DUMMYFUNCTION("""COMPUTED_VALUE"""),0.0)</f>
        <v>0</v>
      </c>
      <c r="V53" s="226" t="str">
        <f>IFERROR(__xludf.DUMMYFUNCTION("""COMPUTED_VALUE"""),"overall")</f>
        <v>overall</v>
      </c>
      <c r="W53" s="226" t="str">
        <f>IFERROR(__xludf.DUMMYFUNCTION("""COMPUTED_VALUE"""),"RCS")</f>
        <v>RCS</v>
      </c>
      <c r="X53" s="226" t="str">
        <f>IFERROR(__xludf.DUMMYFUNCTION("""COMPUTED_VALUE"""),"Men Gifters Valentine Event")</f>
        <v>Men Gifters Valentine Event</v>
      </c>
      <c r="Y53" s="226" t="str">
        <f>IFERROR(__xludf.DUMMYFUNCTION("""COMPUTED_VALUE"""),"11th Feb - 15th Feb")</f>
        <v>11th Feb - 15th Feb</v>
      </c>
      <c r="Z53" s="226" t="str">
        <f>IFERROR(__xludf.DUMMYFUNCTION("""COMPUTED_VALUE"""),"698c742255344233133ec4b5")</f>
        <v>698c742255344233133ec4b5</v>
      </c>
      <c r="AA53" s="224">
        <f>IFERROR(__xludf.DUMMYFUNCTION("""COMPUTED_VALUE"""),0.0)</f>
        <v>0</v>
      </c>
      <c r="AB53" s="224">
        <f>IFERROR(__xludf.DUMMYFUNCTION("""COMPUTED_VALUE"""),0.0)</f>
        <v>0</v>
      </c>
      <c r="AC53" s="224">
        <f>IFERROR(__xludf.DUMMYFUNCTION("""COMPUTED_VALUE"""),0.0)</f>
        <v>0</v>
      </c>
      <c r="AD53" s="224">
        <f>IFERROR(__xludf.DUMMYFUNCTION("""COMPUTED_VALUE"""),0.0)</f>
        <v>0</v>
      </c>
      <c r="AE53" s="224">
        <f>IFERROR(__xludf.DUMMYFUNCTION("""COMPUTED_VALUE"""),0.0)</f>
        <v>0</v>
      </c>
      <c r="AF53" s="224">
        <f>IFERROR(__xludf.DUMMYFUNCTION("""COMPUTED_VALUE"""),0.0)</f>
        <v>0</v>
      </c>
      <c r="AG53" s="208"/>
      <c r="AH53" s="208"/>
      <c r="AI53" s="208"/>
      <c r="AJ53" s="208"/>
      <c r="AK53" s="208"/>
    </row>
    <row r="54">
      <c r="A54" s="219">
        <f>IFERROR(__xludf.DUMMYFUNCTION("""COMPUTED_VALUE"""),46064.0)</f>
        <v>46064</v>
      </c>
      <c r="B54" s="220">
        <f>IFERROR(__xludf.DUMMYFUNCTION("""COMPUTED_VALUE"""),0.7604166666678793)</f>
        <v>0.7604166667</v>
      </c>
      <c r="C54" s="221" t="str">
        <f>IFERROR(__xludf.DUMMYFUNCTION("""COMPUTED_VALUE"""),"Rcs")</f>
        <v>Rcs</v>
      </c>
      <c r="D54" s="221" t="str">
        <f>IFERROR(__xludf.DUMMYFUNCTION("""COMPUTED_VALUE"""),"Promotional")</f>
        <v>Promotional</v>
      </c>
      <c r="E54" s="221" t="str">
        <f>IFERROR(__xludf.DUMMYFUNCTION("""COMPUTED_VALUE"""),"Aldo")</f>
        <v>Aldo</v>
      </c>
      <c r="F54" s="221" t="str">
        <f>IFERROR(__xludf.DUMMYFUNCTION("""COMPUTED_VALUE"""),"Valentine's Day")</f>
        <v>Valentine's Day</v>
      </c>
      <c r="G54" s="221" t="str">
        <f>IFERROR(__xludf.DUMMYFUNCTION("""COMPUTED_VALUE"""),"ALDO VD 3")</f>
        <v>ALDO VD 3</v>
      </c>
      <c r="H54" s="223" t="str">
        <f>IFERROR(__xludf.DUMMYFUNCTION("""COMPUTED_VALUE"""),"Event_Buyers_Val_Rak_Wom_OnOff_Cities")</f>
        <v>Event_Buyers_Val_Rak_Wom_OnOff_Cities</v>
      </c>
      <c r="I54" s="221" t="str">
        <f>IFERROR(__xludf.DUMMYFUNCTION("""COMPUTED_VALUE"""),"Customers who have purchased during Valentines Week, Womens Day Week, Rakhi Week in Last 3 Years (2023-2025) with Txn_City contains Bengaluru, Bangalore, Banglore, Mumbai, Gurgaon, Gurgoan, Thana, Thane, Noida, Delhi, Banagalore")</f>
        <v>Customers who have purchased during Valentines Week, Womens Day Week, Rakhi Week in Last 3 Years (2023-2025) with Txn_City contains Bengaluru, Bangalore, Banglore, Mumbai, Gurgaon, Gurgoan, Thana, Thane, Noida, Delhi, Banagalore</v>
      </c>
      <c r="J54" s="224">
        <f>IFERROR(__xludf.DUMMYFUNCTION("""COMPUTED_VALUE"""),5119.0)</f>
        <v>5119</v>
      </c>
      <c r="K54" s="224">
        <f>IFERROR(__xludf.DUMMYFUNCTION("""COMPUTED_VALUE"""),1071.0)</f>
        <v>1071</v>
      </c>
      <c r="L54" s="225">
        <f>IFERROR(__xludf.DUMMYFUNCTION("""COMPUTED_VALUE"""),0.2092)</f>
        <v>0.2092</v>
      </c>
      <c r="M54" s="224">
        <f>IFERROR(__xludf.DUMMYFUNCTION("""COMPUTED_VALUE"""),153.0)</f>
        <v>153</v>
      </c>
      <c r="N54" s="225">
        <f>IFERROR(__xludf.DUMMYFUNCTION("""COMPUTED_VALUE"""),0.143)</f>
        <v>0.143</v>
      </c>
      <c r="O54" s="226">
        <f>IFERROR(__xludf.DUMMYFUNCTION("""COMPUTED_VALUE"""),2.0)</f>
        <v>2</v>
      </c>
      <c r="P54" s="226"/>
      <c r="Q54" s="225">
        <f>IFERROR(__xludf.DUMMYFUNCTION("""COMPUTED_VALUE"""),0.0019)</f>
        <v>0.0019</v>
      </c>
      <c r="R54" s="225"/>
      <c r="S54" s="226">
        <f>IFERROR(__xludf.DUMMYFUNCTION("""COMPUTED_VALUE"""),0.0)</f>
        <v>0</v>
      </c>
      <c r="T54" s="226">
        <f>IFERROR(__xludf.DUMMYFUNCTION("""COMPUTED_VALUE"""),1.0)</f>
        <v>1</v>
      </c>
      <c r="U54" s="224">
        <f>IFERROR(__xludf.DUMMYFUNCTION("""COMPUTED_VALUE"""),0.0)</f>
        <v>0</v>
      </c>
      <c r="V54" s="226" t="str">
        <f>IFERROR(__xludf.DUMMYFUNCTION("""COMPUTED_VALUE"""),"overall")</f>
        <v>overall</v>
      </c>
      <c r="W54" s="226" t="str">
        <f>IFERROR(__xludf.DUMMYFUNCTION("""COMPUTED_VALUE"""),"RCS")</f>
        <v>RCS</v>
      </c>
      <c r="X54" s="226" t="str">
        <f>IFERROR(__xludf.DUMMYFUNCTION("""COMPUTED_VALUE"""),"Event Buyers")</f>
        <v>Event Buyers</v>
      </c>
      <c r="Y54" s="226" t="str">
        <f>IFERROR(__xludf.DUMMYFUNCTION("""COMPUTED_VALUE"""),"11th Feb - 15th Feb")</f>
        <v>11th Feb - 15th Feb</v>
      </c>
      <c r="Z54" s="226" t="str">
        <f>IFERROR(__xludf.DUMMYFUNCTION("""COMPUTED_VALUE"""),"698c74351bb76b2b8d49a2f4")</f>
        <v>698c74351bb76b2b8d49a2f4</v>
      </c>
      <c r="AA54" s="224">
        <f>IFERROR(__xludf.DUMMYFUNCTION("""COMPUTED_VALUE"""),1.0)</f>
        <v>1</v>
      </c>
      <c r="AB54" s="224">
        <f>IFERROR(__xludf.DUMMYFUNCTION("""COMPUTED_VALUE"""),0.0)</f>
        <v>0</v>
      </c>
      <c r="AC54" s="224">
        <f>IFERROR(__xludf.DUMMYFUNCTION("""COMPUTED_VALUE"""),1.0)</f>
        <v>1</v>
      </c>
      <c r="AD54" s="224">
        <f>IFERROR(__xludf.DUMMYFUNCTION("""COMPUTED_VALUE"""),29997.0)</f>
        <v>29997</v>
      </c>
      <c r="AE54" s="224">
        <f>IFERROR(__xludf.DUMMYFUNCTION("""COMPUTED_VALUE"""),0.0)</f>
        <v>0</v>
      </c>
      <c r="AF54" s="224">
        <f>IFERROR(__xludf.DUMMYFUNCTION("""COMPUTED_VALUE"""),29997.0)</f>
        <v>29997</v>
      </c>
      <c r="AG54" s="208"/>
      <c r="AH54" s="208"/>
      <c r="AI54" s="208"/>
      <c r="AJ54" s="208"/>
      <c r="AK54" s="208"/>
    </row>
    <row r="55">
      <c r="A55" s="219">
        <f>IFERROR(__xludf.DUMMYFUNCTION("""COMPUTED_VALUE"""),46064.0)</f>
        <v>46064</v>
      </c>
      <c r="B55" s="220">
        <f>IFERROR(__xludf.DUMMYFUNCTION("""COMPUTED_VALUE"""),0.7604166666678793)</f>
        <v>0.7604166667</v>
      </c>
      <c r="C55" s="221" t="str">
        <f>IFERROR(__xludf.DUMMYFUNCTION("""COMPUTED_VALUE"""),"Rcs")</f>
        <v>Rcs</v>
      </c>
      <c r="D55" s="221" t="str">
        <f>IFERROR(__xludf.DUMMYFUNCTION("""COMPUTED_VALUE"""),"Promotional")</f>
        <v>Promotional</v>
      </c>
      <c r="E55" s="221" t="str">
        <f>IFERROR(__xludf.DUMMYFUNCTION("""COMPUTED_VALUE"""),"Aldo")</f>
        <v>Aldo</v>
      </c>
      <c r="F55" s="221" t="str">
        <f>IFERROR(__xludf.DUMMYFUNCTION("""COMPUTED_VALUE"""),"Valentine's Day")</f>
        <v>Valentine's Day</v>
      </c>
      <c r="G55" s="221" t="str">
        <f>IFERROR(__xludf.DUMMYFUNCTION("""COMPUTED_VALUE"""),"ALDO VD 4")</f>
        <v>ALDO VD 4</v>
      </c>
      <c r="H55" s="223" t="str">
        <f>IFERROR(__xludf.DUMMYFUNCTION("""COMPUTED_VALUE"""),"OnOff_Men_Gift_Cities")</f>
        <v>OnOff_Men_Gift_Cities</v>
      </c>
      <c r="I55" s="221" t="str">
        <f>IFERROR(__xludf.DUMMYFUNCTION("""COMPUTED_VALUE"""),"Customers who have predominantly purchased from Gender Men and have purchased at least once from Gender Women in last 3 Years with Txn_City contains Bengaluru, Bangalore, Banglore, Mumbai, Gurgaon, Gurgoan, Thana, Thane, Noida, Delhi, Banagalore")</f>
        <v>Customers who have predominantly purchased from Gender Men and have purchased at least once from Gender Women in last 3 Years with Txn_City contains Bengaluru, Bangalore, Banglore, Mumbai, Gurgaon, Gurgoan, Thana, Thane, Noida, Delhi, Banagalore</v>
      </c>
      <c r="J55" s="224">
        <f>IFERROR(__xludf.DUMMYFUNCTION("""COMPUTED_VALUE"""),90120.0)</f>
        <v>90120</v>
      </c>
      <c r="K55" s="224">
        <f>IFERROR(__xludf.DUMMYFUNCTION("""COMPUTED_VALUE"""),19508.0)</f>
        <v>19508</v>
      </c>
      <c r="L55" s="225">
        <f>IFERROR(__xludf.DUMMYFUNCTION("""COMPUTED_VALUE"""),0.2165)</f>
        <v>0.2165</v>
      </c>
      <c r="M55" s="224">
        <f>IFERROR(__xludf.DUMMYFUNCTION("""COMPUTED_VALUE"""),2594.0)</f>
        <v>2594</v>
      </c>
      <c r="N55" s="225">
        <f>IFERROR(__xludf.DUMMYFUNCTION("""COMPUTED_VALUE"""),0.133)</f>
        <v>0.133</v>
      </c>
      <c r="O55" s="226">
        <f>IFERROR(__xludf.DUMMYFUNCTION("""COMPUTED_VALUE"""),104.0)</f>
        <v>104</v>
      </c>
      <c r="P55" s="226"/>
      <c r="Q55" s="225">
        <f>IFERROR(__xludf.DUMMYFUNCTION("""COMPUTED_VALUE"""),0.0053)</f>
        <v>0.0053</v>
      </c>
      <c r="R55" s="225"/>
      <c r="S55" s="226">
        <f>IFERROR(__xludf.DUMMYFUNCTION("""COMPUTED_VALUE"""),0.0)</f>
        <v>0</v>
      </c>
      <c r="T55" s="226">
        <f>IFERROR(__xludf.DUMMYFUNCTION("""COMPUTED_VALUE"""),1.0)</f>
        <v>1</v>
      </c>
      <c r="U55" s="224">
        <f>IFERROR(__xludf.DUMMYFUNCTION("""COMPUTED_VALUE"""),0.0)</f>
        <v>0</v>
      </c>
      <c r="V55" s="226" t="str">
        <f>IFERROR(__xludf.DUMMYFUNCTION("""COMPUTED_VALUE"""),"overall")</f>
        <v>overall</v>
      </c>
      <c r="W55" s="226" t="str">
        <f>IFERROR(__xludf.DUMMYFUNCTION("""COMPUTED_VALUE"""),"RCS")</f>
        <v>RCS</v>
      </c>
      <c r="X55" s="226" t="str">
        <f>IFERROR(__xludf.DUMMYFUNCTION("""COMPUTED_VALUE"""),"MenGifters")</f>
        <v>MenGifters</v>
      </c>
      <c r="Y55" s="226" t="str">
        <f>IFERROR(__xludf.DUMMYFUNCTION("""COMPUTED_VALUE"""),"11th Feb - 15th Feb")</f>
        <v>11th Feb - 15th Feb</v>
      </c>
      <c r="Z55" s="226" t="str">
        <f>IFERROR(__xludf.DUMMYFUNCTION("""COMPUTED_VALUE"""),"698c74444a16c58822531741")</f>
        <v>698c74444a16c58822531741</v>
      </c>
      <c r="AA55" s="224">
        <f>IFERROR(__xludf.DUMMYFUNCTION("""COMPUTED_VALUE"""),18.0)</f>
        <v>18</v>
      </c>
      <c r="AB55" s="224">
        <f>IFERROR(__xludf.DUMMYFUNCTION("""COMPUTED_VALUE"""),2.0)</f>
        <v>2</v>
      </c>
      <c r="AC55" s="224">
        <f>IFERROR(__xludf.DUMMYFUNCTION("""COMPUTED_VALUE"""),16.0)</f>
        <v>16</v>
      </c>
      <c r="AD55" s="224">
        <f>IFERROR(__xludf.DUMMYFUNCTION("""COMPUTED_VALUE"""),220452.0)</f>
        <v>220452</v>
      </c>
      <c r="AE55" s="224">
        <f>IFERROR(__xludf.DUMMYFUNCTION("""COMPUTED_VALUE"""),8159.0)</f>
        <v>8159</v>
      </c>
      <c r="AF55" s="224">
        <f>IFERROR(__xludf.DUMMYFUNCTION("""COMPUTED_VALUE"""),212293.0)</f>
        <v>212293</v>
      </c>
      <c r="AG55" s="208"/>
      <c r="AH55" s="208"/>
      <c r="AI55" s="208"/>
      <c r="AJ55" s="208"/>
      <c r="AK55" s="208"/>
    </row>
    <row r="56">
      <c r="A56" s="219">
        <f>IFERROR(__xludf.DUMMYFUNCTION("""COMPUTED_VALUE"""),46064.0)</f>
        <v>46064</v>
      </c>
      <c r="B56" s="220">
        <f>IFERROR(__xludf.DUMMYFUNCTION("""COMPUTED_VALUE"""),0.7604166666678793)</f>
        <v>0.7604166667</v>
      </c>
      <c r="C56" s="221" t="str">
        <f>IFERROR(__xludf.DUMMYFUNCTION("""COMPUTED_VALUE"""),"Rcs")</f>
        <v>Rcs</v>
      </c>
      <c r="D56" s="221" t="str">
        <f>IFERROR(__xludf.DUMMYFUNCTION("""COMPUTED_VALUE"""),"Promotional")</f>
        <v>Promotional</v>
      </c>
      <c r="E56" s="221" t="str">
        <f>IFERROR(__xludf.DUMMYFUNCTION("""COMPUTED_VALUE"""),"Aldo")</f>
        <v>Aldo</v>
      </c>
      <c r="F56" s="221" t="str">
        <f>IFERROR(__xludf.DUMMYFUNCTION("""COMPUTED_VALUE"""),"Valentine's Day")</f>
        <v>Valentine's Day</v>
      </c>
      <c r="G56" s="221" t="str">
        <f>IFERROR(__xludf.DUMMYFUNCTION("""COMPUTED_VALUE"""),"ALDO VD 5")</f>
        <v>ALDO VD 5</v>
      </c>
      <c r="H56" s="223" t="str">
        <f>IFERROR(__xludf.DUMMYFUNCTION("""COMPUTED_VALUE"""),"OnOff_Men_Predom_Cities")</f>
        <v>OnOff_Men_Predom_Cities</v>
      </c>
      <c r="I56" s="221" t="str">
        <f>IFERROR(__xludf.DUMMYFUNCTION("""COMPUTED_VALUE"""),"Customers who have predominantly purchased from Gender Men (excluding MenGifters) with Txn_City contains Bengaluru, Bangalore, Banglore, Mumbai, Gurgaon, Gurgoan, Thana, Thane, Noida, Delhi, Banagalore")</f>
        <v>Customers who have predominantly purchased from Gender Men (excluding MenGifters) with Txn_City contains Bengaluru, Bangalore, Banglore, Mumbai, Gurgaon, Gurgoan, Thana, Thane, Noida, Delhi, Banagalore</v>
      </c>
      <c r="J56" s="224">
        <f>IFERROR(__xludf.DUMMYFUNCTION("""COMPUTED_VALUE"""),15260.0)</f>
        <v>15260</v>
      </c>
      <c r="K56" s="224">
        <f>IFERROR(__xludf.DUMMYFUNCTION("""COMPUTED_VALUE"""),3467.0)</f>
        <v>3467</v>
      </c>
      <c r="L56" s="225">
        <f>IFERROR(__xludf.DUMMYFUNCTION("""COMPUTED_VALUE"""),0.2272)</f>
        <v>0.2272</v>
      </c>
      <c r="M56" s="224">
        <f>IFERROR(__xludf.DUMMYFUNCTION("""COMPUTED_VALUE"""),683.0)</f>
        <v>683</v>
      </c>
      <c r="N56" s="225">
        <f>IFERROR(__xludf.DUMMYFUNCTION("""COMPUTED_VALUE"""),0.197)</f>
        <v>0.197</v>
      </c>
      <c r="O56" s="226">
        <f>IFERROR(__xludf.DUMMYFUNCTION("""COMPUTED_VALUE"""),9.0)</f>
        <v>9</v>
      </c>
      <c r="P56" s="226"/>
      <c r="Q56" s="225">
        <f>IFERROR(__xludf.DUMMYFUNCTION("""COMPUTED_VALUE"""),0.0026)</f>
        <v>0.0026</v>
      </c>
      <c r="R56" s="225"/>
      <c r="S56" s="226">
        <f>IFERROR(__xludf.DUMMYFUNCTION("""COMPUTED_VALUE"""),0.0)</f>
        <v>0</v>
      </c>
      <c r="T56" s="226">
        <f>IFERROR(__xludf.DUMMYFUNCTION("""COMPUTED_VALUE"""),1.0)</f>
        <v>1</v>
      </c>
      <c r="U56" s="224">
        <f>IFERROR(__xludf.DUMMYFUNCTION("""COMPUTED_VALUE"""),0.0)</f>
        <v>0</v>
      </c>
      <c r="V56" s="226" t="str">
        <f>IFERROR(__xludf.DUMMYFUNCTION("""COMPUTED_VALUE"""),"overall")</f>
        <v>overall</v>
      </c>
      <c r="W56" s="226" t="str">
        <f>IFERROR(__xludf.DUMMYFUNCTION("""COMPUTED_VALUE"""),"RCS")</f>
        <v>RCS</v>
      </c>
      <c r="X56" s="226" t="str">
        <f>IFERROR(__xludf.DUMMYFUNCTION("""COMPUTED_VALUE"""),"Predom Men")</f>
        <v>Predom Men</v>
      </c>
      <c r="Y56" s="226" t="str">
        <f>IFERROR(__xludf.DUMMYFUNCTION("""COMPUTED_VALUE"""),"11th Feb - 15th Feb")</f>
        <v>11th Feb - 15th Feb</v>
      </c>
      <c r="Z56" s="226" t="str">
        <f>IFERROR(__xludf.DUMMYFUNCTION("""COMPUTED_VALUE"""),"698c7452c2fe8be2a15f6723")</f>
        <v>698c7452c2fe8be2a15f6723</v>
      </c>
      <c r="AA56" s="224">
        <f>IFERROR(__xludf.DUMMYFUNCTION("""COMPUTED_VALUE"""),2.0)</f>
        <v>2</v>
      </c>
      <c r="AB56" s="224">
        <f>IFERROR(__xludf.DUMMYFUNCTION("""COMPUTED_VALUE"""),0.0)</f>
        <v>0</v>
      </c>
      <c r="AC56" s="224">
        <f>IFERROR(__xludf.DUMMYFUNCTION("""COMPUTED_VALUE"""),2.0)</f>
        <v>2</v>
      </c>
      <c r="AD56" s="224">
        <f>IFERROR(__xludf.DUMMYFUNCTION("""COMPUTED_VALUE"""),17097.0)</f>
        <v>17097</v>
      </c>
      <c r="AE56" s="224">
        <f>IFERROR(__xludf.DUMMYFUNCTION("""COMPUTED_VALUE"""),0.0)</f>
        <v>0</v>
      </c>
      <c r="AF56" s="224">
        <f>IFERROR(__xludf.DUMMYFUNCTION("""COMPUTED_VALUE"""),17097.0)</f>
        <v>17097</v>
      </c>
      <c r="AG56" s="208"/>
      <c r="AH56" s="208"/>
      <c r="AI56" s="208"/>
      <c r="AJ56" s="208"/>
      <c r="AK56" s="208"/>
    </row>
    <row r="57">
      <c r="A57" s="219">
        <f>IFERROR(__xludf.DUMMYFUNCTION("""COMPUTED_VALUE"""),46064.0)</f>
        <v>46064</v>
      </c>
      <c r="B57" s="220">
        <f>IFERROR(__xludf.DUMMYFUNCTION("""COMPUTED_VALUE"""),0.8125)</f>
        <v>0.8125</v>
      </c>
      <c r="C57" s="221" t="str">
        <f>IFERROR(__xludf.DUMMYFUNCTION("""COMPUTED_VALUE"""),"Sms")</f>
        <v>Sms</v>
      </c>
      <c r="D57" s="221" t="str">
        <f>IFERROR(__xludf.DUMMYFUNCTION("""COMPUTED_VALUE"""),"Fallback Campaign")</f>
        <v>Fallback Campaign</v>
      </c>
      <c r="E57" s="221" t="str">
        <f>IFERROR(__xludf.DUMMYFUNCTION("""COMPUTED_VALUE"""),"Aldo")</f>
        <v>Aldo</v>
      </c>
      <c r="F57" s="221" t="str">
        <f>IFERROR(__xludf.DUMMYFUNCTION("""COMPUTED_VALUE"""),"Valentine's Day")</f>
        <v>Valentine's Day</v>
      </c>
      <c r="G57" s="221" t="str">
        <f>IFERROR(__xludf.DUMMYFUNCTION("""COMPUTED_VALUE"""),"VD SMS 1")</f>
        <v>VD SMS 1</v>
      </c>
      <c r="H57" s="223" t="str">
        <f>IFERROR(__xludf.DUMMYFUNCTION("""COMPUTED_VALUE"""),"PLP_View_NoPr_On")</f>
        <v>PLP_View_NoPr_On</v>
      </c>
      <c r="I57" s="221" t="str">
        <f>IFERROR(__xludf.DUMMYFUNCTION("""COMPUTED_VALUE"""),"RCS Delivery Failed")</f>
        <v>RCS Delivery Failed</v>
      </c>
      <c r="J57" s="224">
        <f>IFERROR(__xludf.DUMMYFUNCTION("""COMPUTED_VALUE"""),801.0)</f>
        <v>801</v>
      </c>
      <c r="K57" s="224">
        <f>IFERROR(__xludf.DUMMYFUNCTION("""COMPUTED_VALUE"""),545.0)</f>
        <v>545</v>
      </c>
      <c r="L57" s="225">
        <f>IFERROR(__xludf.DUMMYFUNCTION("""COMPUTED_VALUE"""),0.6804)</f>
        <v>0.6804</v>
      </c>
      <c r="M57" s="224"/>
      <c r="N57" s="225"/>
      <c r="O57" s="226">
        <f>IFERROR(__xludf.DUMMYFUNCTION("""COMPUTED_VALUE"""),7.0)</f>
        <v>7</v>
      </c>
      <c r="P57" s="226"/>
      <c r="Q57" s="225">
        <f>IFERROR(__xludf.DUMMYFUNCTION("""COMPUTED_VALUE"""),0.0128)</f>
        <v>0.0128</v>
      </c>
      <c r="R57" s="225"/>
      <c r="S57" s="226">
        <f>IFERROR(__xludf.DUMMYFUNCTION("""COMPUTED_VALUE"""),0.0)</f>
        <v>0</v>
      </c>
      <c r="T57" s="226">
        <f>IFERROR(__xludf.DUMMYFUNCTION("""COMPUTED_VALUE"""),3.0)</f>
        <v>3</v>
      </c>
      <c r="U57" s="224">
        <f>IFERROR(__xludf.DUMMYFUNCTION("""COMPUTED_VALUE"""),0.0)</f>
        <v>0</v>
      </c>
      <c r="V57" s="226" t="str">
        <f>IFERROR(__xludf.DUMMYFUNCTION("""COMPUTED_VALUE"""),"online")</f>
        <v>online</v>
      </c>
      <c r="W57" s="226" t="str">
        <f>IFERROR(__xludf.DUMMYFUNCTION("""COMPUTED_VALUE"""),"SMS")</f>
        <v>SMS</v>
      </c>
      <c r="X57" s="226" t="str">
        <f>IFERROR(__xludf.DUMMYFUNCTION("""COMPUTED_VALUE"""),"PLP View_but no purchase")</f>
        <v>PLP View_but no purchase</v>
      </c>
      <c r="Y57" s="226" t="str">
        <f>IFERROR(__xludf.DUMMYFUNCTION("""COMPUTED_VALUE"""),"11th Feb - 15th Feb")</f>
        <v>11th Feb - 15th Feb</v>
      </c>
      <c r="Z57" s="226" t="str">
        <f>IFERROR(__xludf.DUMMYFUNCTION("""COMPUTED_VALUE"""),"698c785d5e843a07e810562f")</f>
        <v>698c785d5e843a07e810562f</v>
      </c>
      <c r="AA57" s="224">
        <f>IFERROR(__xludf.DUMMYFUNCTION("""COMPUTED_VALUE"""),4.0)</f>
        <v>4</v>
      </c>
      <c r="AB57" s="224">
        <f>IFERROR(__xludf.DUMMYFUNCTION("""COMPUTED_VALUE"""),4.0)</f>
        <v>4</v>
      </c>
      <c r="AC57" s="224"/>
      <c r="AD57" s="224">
        <f>IFERROR(__xludf.DUMMYFUNCTION("""COMPUTED_VALUE"""),26996.0)</f>
        <v>26996</v>
      </c>
      <c r="AE57" s="224">
        <f>IFERROR(__xludf.DUMMYFUNCTION("""COMPUTED_VALUE"""),26996.0)</f>
        <v>26996</v>
      </c>
      <c r="AF57" s="224"/>
      <c r="AG57" s="208"/>
      <c r="AH57" s="208"/>
      <c r="AI57" s="208"/>
      <c r="AJ57" s="208"/>
      <c r="AK57" s="208"/>
    </row>
    <row r="58">
      <c r="A58" s="219">
        <f>IFERROR(__xludf.DUMMYFUNCTION("""COMPUTED_VALUE"""),46064.0)</f>
        <v>46064</v>
      </c>
      <c r="B58" s="220">
        <f>IFERROR(__xludf.DUMMYFUNCTION("""COMPUTED_VALUE"""),0.8125)</f>
        <v>0.8125</v>
      </c>
      <c r="C58" s="221" t="str">
        <f>IFERROR(__xludf.DUMMYFUNCTION("""COMPUTED_VALUE"""),"Sms")</f>
        <v>Sms</v>
      </c>
      <c r="D58" s="221" t="str">
        <f>IFERROR(__xludf.DUMMYFUNCTION("""COMPUTED_VALUE"""),"Fallback Campaign")</f>
        <v>Fallback Campaign</v>
      </c>
      <c r="E58" s="221" t="str">
        <f>IFERROR(__xludf.DUMMYFUNCTION("""COMPUTED_VALUE"""),"Aldo")</f>
        <v>Aldo</v>
      </c>
      <c r="F58" s="221" t="str">
        <f>IFERROR(__xludf.DUMMYFUNCTION("""COMPUTED_VALUE"""),"Valentine's Day")</f>
        <v>Valentine's Day</v>
      </c>
      <c r="G58" s="221" t="str">
        <f>IFERROR(__xludf.DUMMYFUNCTION("""COMPUTED_VALUE"""),"VD SMS 2")</f>
        <v>VD SMS 2</v>
      </c>
      <c r="H58" s="223" t="str">
        <f>IFERROR(__xludf.DUMMYFUNCTION("""COMPUTED_VALUE"""),"Event_Gifters_Val_OnOff_Cities")</f>
        <v>Event_Gifters_Val_OnOff_Cities</v>
      </c>
      <c r="I58" s="221" t="str">
        <f>IFERROR(__xludf.DUMMYFUNCTION("""COMPUTED_VALUE"""),"RCS Delivery Failed")</f>
        <v>RCS Delivery Failed</v>
      </c>
      <c r="J58" s="224">
        <f>IFERROR(__xludf.DUMMYFUNCTION("""COMPUTED_VALUE"""),1012.0)</f>
        <v>1012</v>
      </c>
      <c r="K58" s="224">
        <f>IFERROR(__xludf.DUMMYFUNCTION("""COMPUTED_VALUE"""),555.0)</f>
        <v>555</v>
      </c>
      <c r="L58" s="225">
        <f>IFERROR(__xludf.DUMMYFUNCTION("""COMPUTED_VALUE"""),0.5484)</f>
        <v>0.5484</v>
      </c>
      <c r="M58" s="224"/>
      <c r="N58" s="225"/>
      <c r="O58" s="226">
        <f>IFERROR(__xludf.DUMMYFUNCTION("""COMPUTED_VALUE"""),2.0)</f>
        <v>2</v>
      </c>
      <c r="P58" s="226"/>
      <c r="Q58" s="225">
        <f>IFERROR(__xludf.DUMMYFUNCTION("""COMPUTED_VALUE"""),0.0036)</f>
        <v>0.0036</v>
      </c>
      <c r="R58" s="225"/>
      <c r="S58" s="226">
        <f>IFERROR(__xludf.DUMMYFUNCTION("""COMPUTED_VALUE"""),0.0)</f>
        <v>0</v>
      </c>
      <c r="T58" s="226">
        <f>IFERROR(__xludf.DUMMYFUNCTION("""COMPUTED_VALUE"""),0.0)</f>
        <v>0</v>
      </c>
      <c r="U58" s="224">
        <f>IFERROR(__xludf.DUMMYFUNCTION("""COMPUTED_VALUE"""),0.0)</f>
        <v>0</v>
      </c>
      <c r="V58" s="226" t="str">
        <f>IFERROR(__xludf.DUMMYFUNCTION("""COMPUTED_VALUE"""),"overall")</f>
        <v>overall</v>
      </c>
      <c r="W58" s="226" t="str">
        <f>IFERROR(__xludf.DUMMYFUNCTION("""COMPUTED_VALUE"""),"SMS")</f>
        <v>SMS</v>
      </c>
      <c r="X58" s="226" t="str">
        <f>IFERROR(__xludf.DUMMYFUNCTION("""COMPUTED_VALUE"""),"Men Gifters Valentine Event")</f>
        <v>Men Gifters Valentine Event</v>
      </c>
      <c r="Y58" s="226" t="str">
        <f>IFERROR(__xludf.DUMMYFUNCTION("""COMPUTED_VALUE"""),"11th Feb - 15th Feb")</f>
        <v>11th Feb - 15th Feb</v>
      </c>
      <c r="Z58" s="226" t="str">
        <f>IFERROR(__xludf.DUMMYFUNCTION("""COMPUTED_VALUE"""),"698c78d11ed7537aaa57688c")</f>
        <v>698c78d11ed7537aaa57688c</v>
      </c>
      <c r="AA58" s="224">
        <f>IFERROR(__xludf.DUMMYFUNCTION("""COMPUTED_VALUE"""),2.0)</f>
        <v>2</v>
      </c>
      <c r="AB58" s="224">
        <f>IFERROR(__xludf.DUMMYFUNCTION("""COMPUTED_VALUE"""),1.0)</f>
        <v>1</v>
      </c>
      <c r="AC58" s="224">
        <f>IFERROR(__xludf.DUMMYFUNCTION("""COMPUTED_VALUE"""),1.0)</f>
        <v>1</v>
      </c>
      <c r="AD58" s="224">
        <f>IFERROR(__xludf.DUMMYFUNCTION("""COMPUTED_VALUE"""),26807.0)</f>
        <v>26807</v>
      </c>
      <c r="AE58" s="224">
        <f>IFERROR(__xludf.DUMMYFUNCTION("""COMPUTED_VALUE"""),17798.0)</f>
        <v>17798</v>
      </c>
      <c r="AF58" s="224">
        <f>IFERROR(__xludf.DUMMYFUNCTION("""COMPUTED_VALUE"""),9009.0)</f>
        <v>9009</v>
      </c>
      <c r="AG58" s="208"/>
      <c r="AH58" s="208"/>
      <c r="AI58" s="208"/>
      <c r="AJ58" s="208"/>
      <c r="AK58" s="208"/>
    </row>
    <row r="59">
      <c r="A59" s="219">
        <f>IFERROR(__xludf.DUMMYFUNCTION("""COMPUTED_VALUE"""),46064.0)</f>
        <v>46064</v>
      </c>
      <c r="B59" s="220">
        <f>IFERROR(__xludf.DUMMYFUNCTION("""COMPUTED_VALUE"""),0.8125)</f>
        <v>0.8125</v>
      </c>
      <c r="C59" s="221" t="str">
        <f>IFERROR(__xludf.DUMMYFUNCTION("""COMPUTED_VALUE"""),"Sms")</f>
        <v>Sms</v>
      </c>
      <c r="D59" s="221" t="str">
        <f>IFERROR(__xludf.DUMMYFUNCTION("""COMPUTED_VALUE"""),"Fallback Campaign")</f>
        <v>Fallback Campaign</v>
      </c>
      <c r="E59" s="221" t="str">
        <f>IFERROR(__xludf.DUMMYFUNCTION("""COMPUTED_VALUE"""),"Aldo")</f>
        <v>Aldo</v>
      </c>
      <c r="F59" s="221" t="str">
        <f>IFERROR(__xludf.DUMMYFUNCTION("""COMPUTED_VALUE"""),"Valentine's Day")</f>
        <v>Valentine's Day</v>
      </c>
      <c r="G59" s="221" t="str">
        <f>IFERROR(__xludf.DUMMYFUNCTION("""COMPUTED_VALUE"""),"VD SMS 3")</f>
        <v>VD SMS 3</v>
      </c>
      <c r="H59" s="223" t="str">
        <f>IFERROR(__xludf.DUMMYFUNCTION("""COMPUTED_VALUE"""),"Event_Buyers_Val_Rak_Wom_OnOff_Cities")</f>
        <v>Event_Buyers_Val_Rak_Wom_OnOff_Cities</v>
      </c>
      <c r="I59" s="221" t="str">
        <f>IFERROR(__xludf.DUMMYFUNCTION("""COMPUTED_VALUE"""),"RCS Delivery Failed")</f>
        <v>RCS Delivery Failed</v>
      </c>
      <c r="J59" s="224">
        <f>IFERROR(__xludf.DUMMYFUNCTION("""COMPUTED_VALUE"""),4021.0)</f>
        <v>4021</v>
      </c>
      <c r="K59" s="224">
        <f>IFERROR(__xludf.DUMMYFUNCTION("""COMPUTED_VALUE"""),2188.0)</f>
        <v>2188</v>
      </c>
      <c r="L59" s="225">
        <f>IFERROR(__xludf.DUMMYFUNCTION("""COMPUTED_VALUE"""),0.5441)</f>
        <v>0.5441</v>
      </c>
      <c r="M59" s="224"/>
      <c r="N59" s="225"/>
      <c r="O59" s="226">
        <f>IFERROR(__xludf.DUMMYFUNCTION("""COMPUTED_VALUE"""),2.0)</f>
        <v>2</v>
      </c>
      <c r="P59" s="226"/>
      <c r="Q59" s="225">
        <f>IFERROR(__xludf.DUMMYFUNCTION("""COMPUTED_VALUE"""),9.0E-4)</f>
        <v>0.0009</v>
      </c>
      <c r="R59" s="225"/>
      <c r="S59" s="226">
        <f>IFERROR(__xludf.DUMMYFUNCTION("""COMPUTED_VALUE"""),0.0)</f>
        <v>0</v>
      </c>
      <c r="T59" s="226">
        <f>IFERROR(__xludf.DUMMYFUNCTION("""COMPUTED_VALUE"""),0.0)</f>
        <v>0</v>
      </c>
      <c r="U59" s="224">
        <f>IFERROR(__xludf.DUMMYFUNCTION("""COMPUTED_VALUE"""),0.0)</f>
        <v>0</v>
      </c>
      <c r="V59" s="226" t="str">
        <f>IFERROR(__xludf.DUMMYFUNCTION("""COMPUTED_VALUE"""),"overall")</f>
        <v>overall</v>
      </c>
      <c r="W59" s="226" t="str">
        <f>IFERROR(__xludf.DUMMYFUNCTION("""COMPUTED_VALUE"""),"SMS")</f>
        <v>SMS</v>
      </c>
      <c r="X59" s="226" t="str">
        <f>IFERROR(__xludf.DUMMYFUNCTION("""COMPUTED_VALUE"""),"Event Buyers")</f>
        <v>Event Buyers</v>
      </c>
      <c r="Y59" s="226" t="str">
        <f>IFERROR(__xludf.DUMMYFUNCTION("""COMPUTED_VALUE"""),"11th Feb - 15th Feb")</f>
        <v>11th Feb - 15th Feb</v>
      </c>
      <c r="Z59" s="226" t="str">
        <f>IFERROR(__xludf.DUMMYFUNCTION("""COMPUTED_VALUE"""),"698c7922d823eaf7e26c2c5b")</f>
        <v>698c7922d823eaf7e26c2c5b</v>
      </c>
      <c r="AA59" s="224">
        <f>IFERROR(__xludf.DUMMYFUNCTION("""COMPUTED_VALUE"""),3.0)</f>
        <v>3</v>
      </c>
      <c r="AB59" s="224">
        <f>IFERROR(__xludf.DUMMYFUNCTION("""COMPUTED_VALUE"""),0.0)</f>
        <v>0</v>
      </c>
      <c r="AC59" s="224">
        <f>IFERROR(__xludf.DUMMYFUNCTION("""COMPUTED_VALUE"""),3.0)</f>
        <v>3</v>
      </c>
      <c r="AD59" s="224">
        <f>IFERROR(__xludf.DUMMYFUNCTION("""COMPUTED_VALUE"""),38283.0)</f>
        <v>38283</v>
      </c>
      <c r="AE59" s="224">
        <f>IFERROR(__xludf.DUMMYFUNCTION("""COMPUTED_VALUE"""),0.0)</f>
        <v>0</v>
      </c>
      <c r="AF59" s="224">
        <f>IFERROR(__xludf.DUMMYFUNCTION("""COMPUTED_VALUE"""),38283.0)</f>
        <v>38283</v>
      </c>
      <c r="AG59" s="208"/>
      <c r="AH59" s="208"/>
      <c r="AI59" s="208"/>
      <c r="AJ59" s="208"/>
      <c r="AK59" s="208"/>
    </row>
    <row r="60">
      <c r="A60" s="219">
        <f>IFERROR(__xludf.DUMMYFUNCTION("""COMPUTED_VALUE"""),46064.0)</f>
        <v>46064</v>
      </c>
      <c r="B60" s="220">
        <f>IFERROR(__xludf.DUMMYFUNCTION("""COMPUTED_VALUE"""),0.8125)</f>
        <v>0.8125</v>
      </c>
      <c r="C60" s="221" t="str">
        <f>IFERROR(__xludf.DUMMYFUNCTION("""COMPUTED_VALUE"""),"Sms")</f>
        <v>Sms</v>
      </c>
      <c r="D60" s="221" t="str">
        <f>IFERROR(__xludf.DUMMYFUNCTION("""COMPUTED_VALUE"""),"Fallback Campaign")</f>
        <v>Fallback Campaign</v>
      </c>
      <c r="E60" s="221" t="str">
        <f>IFERROR(__xludf.DUMMYFUNCTION("""COMPUTED_VALUE"""),"Aldo")</f>
        <v>Aldo</v>
      </c>
      <c r="F60" s="221" t="str">
        <f>IFERROR(__xludf.DUMMYFUNCTION("""COMPUTED_VALUE"""),"Valentine's Day")</f>
        <v>Valentine's Day</v>
      </c>
      <c r="G60" s="221" t="str">
        <f>IFERROR(__xludf.DUMMYFUNCTION("""COMPUTED_VALUE"""),"VD SMS 4")</f>
        <v>VD SMS 4</v>
      </c>
      <c r="H60" s="223" t="str">
        <f>IFERROR(__xludf.DUMMYFUNCTION("""COMPUTED_VALUE"""),"OnOff_Men_Gift_Cities")</f>
        <v>OnOff_Men_Gift_Cities</v>
      </c>
      <c r="I60" s="221" t="str">
        <f>IFERROR(__xludf.DUMMYFUNCTION("""COMPUTED_VALUE"""),"RCS Delivery Failed")</f>
        <v>RCS Delivery Failed</v>
      </c>
      <c r="J60" s="224">
        <f>IFERROR(__xludf.DUMMYFUNCTION("""COMPUTED_VALUE"""),70431.0)</f>
        <v>70431</v>
      </c>
      <c r="K60" s="224">
        <f>IFERROR(__xludf.DUMMYFUNCTION("""COMPUTED_VALUE"""),39457.0)</f>
        <v>39457</v>
      </c>
      <c r="L60" s="225">
        <f>IFERROR(__xludf.DUMMYFUNCTION("""COMPUTED_VALUE"""),0.5602)</f>
        <v>0.5602</v>
      </c>
      <c r="M60" s="224"/>
      <c r="N60" s="225"/>
      <c r="O60" s="226">
        <f>IFERROR(__xludf.DUMMYFUNCTION("""COMPUTED_VALUE"""),117.0)</f>
        <v>117</v>
      </c>
      <c r="P60" s="226"/>
      <c r="Q60" s="225">
        <f>IFERROR(__xludf.DUMMYFUNCTION("""COMPUTED_VALUE"""),0.003)</f>
        <v>0.003</v>
      </c>
      <c r="R60" s="225"/>
      <c r="S60" s="226">
        <f>IFERROR(__xludf.DUMMYFUNCTION("""COMPUTED_VALUE"""),1.0)</f>
        <v>1</v>
      </c>
      <c r="T60" s="226">
        <f>IFERROR(__xludf.DUMMYFUNCTION("""COMPUTED_VALUE"""),2.0)</f>
        <v>2</v>
      </c>
      <c r="U60" s="224">
        <f>IFERROR(__xludf.DUMMYFUNCTION("""COMPUTED_VALUE"""),4000.0)</f>
        <v>4000</v>
      </c>
      <c r="V60" s="226" t="str">
        <f>IFERROR(__xludf.DUMMYFUNCTION("""COMPUTED_VALUE"""),"overall")</f>
        <v>overall</v>
      </c>
      <c r="W60" s="226" t="str">
        <f>IFERROR(__xludf.DUMMYFUNCTION("""COMPUTED_VALUE"""),"SMS")</f>
        <v>SMS</v>
      </c>
      <c r="X60" s="226" t="str">
        <f>IFERROR(__xludf.DUMMYFUNCTION("""COMPUTED_VALUE"""),"MenGifters")</f>
        <v>MenGifters</v>
      </c>
      <c r="Y60" s="226" t="str">
        <f>IFERROR(__xludf.DUMMYFUNCTION("""COMPUTED_VALUE"""),"11th Feb - 15th Feb")</f>
        <v>11th Feb - 15th Feb</v>
      </c>
      <c r="Z60" s="226" t="str">
        <f>IFERROR(__xludf.DUMMYFUNCTION("""COMPUTED_VALUE"""),"698c79849254122943ef0140")</f>
        <v>698c79849254122943ef0140</v>
      </c>
      <c r="AA60" s="224">
        <f>IFERROR(__xludf.DUMMYFUNCTION("""COMPUTED_VALUE"""),55.0)</f>
        <v>55</v>
      </c>
      <c r="AB60" s="224">
        <f>IFERROR(__xludf.DUMMYFUNCTION("""COMPUTED_VALUE"""),10.0)</f>
        <v>10</v>
      </c>
      <c r="AC60" s="224">
        <f>IFERROR(__xludf.DUMMYFUNCTION("""COMPUTED_VALUE"""),45.0)</f>
        <v>45</v>
      </c>
      <c r="AD60" s="224">
        <f>IFERROR(__xludf.DUMMYFUNCTION("""COMPUTED_VALUE"""),697229.0)</f>
        <v>697229</v>
      </c>
      <c r="AE60" s="224">
        <f>IFERROR(__xludf.DUMMYFUNCTION("""COMPUTED_VALUE"""),75567.0)</f>
        <v>75567</v>
      </c>
      <c r="AF60" s="224">
        <f>IFERROR(__xludf.DUMMYFUNCTION("""COMPUTED_VALUE"""),621662.0)</f>
        <v>621662</v>
      </c>
      <c r="AG60" s="208"/>
      <c r="AH60" s="208"/>
      <c r="AI60" s="208"/>
      <c r="AJ60" s="208"/>
      <c r="AK60" s="208"/>
    </row>
    <row r="61">
      <c r="A61" s="219">
        <f>IFERROR(__xludf.DUMMYFUNCTION("""COMPUTED_VALUE"""),46064.0)</f>
        <v>46064</v>
      </c>
      <c r="B61" s="220">
        <f>IFERROR(__xludf.DUMMYFUNCTION("""COMPUTED_VALUE"""),0.8125)</f>
        <v>0.8125</v>
      </c>
      <c r="C61" s="221" t="str">
        <f>IFERROR(__xludf.DUMMYFUNCTION("""COMPUTED_VALUE"""),"Sms")</f>
        <v>Sms</v>
      </c>
      <c r="D61" s="221" t="str">
        <f>IFERROR(__xludf.DUMMYFUNCTION("""COMPUTED_VALUE"""),"Fallback Campaign")</f>
        <v>Fallback Campaign</v>
      </c>
      <c r="E61" s="221" t="str">
        <f>IFERROR(__xludf.DUMMYFUNCTION("""COMPUTED_VALUE"""),"Aldo")</f>
        <v>Aldo</v>
      </c>
      <c r="F61" s="221" t="str">
        <f>IFERROR(__xludf.DUMMYFUNCTION("""COMPUTED_VALUE"""),"Valentine's Day")</f>
        <v>Valentine's Day</v>
      </c>
      <c r="G61" s="221" t="str">
        <f>IFERROR(__xludf.DUMMYFUNCTION("""COMPUTED_VALUE"""),"VD SMS 5")</f>
        <v>VD SMS 5</v>
      </c>
      <c r="H61" s="223" t="str">
        <f>IFERROR(__xludf.DUMMYFUNCTION("""COMPUTED_VALUE"""),"OnOff_Men_Predom_Cities")</f>
        <v>OnOff_Men_Predom_Cities</v>
      </c>
      <c r="I61" s="221" t="str">
        <f>IFERROR(__xludf.DUMMYFUNCTION("""COMPUTED_VALUE"""),"RCS Delivery Failed")</f>
        <v>RCS Delivery Failed</v>
      </c>
      <c r="J61" s="224">
        <f>IFERROR(__xludf.DUMMYFUNCTION("""COMPUTED_VALUE"""),11728.0)</f>
        <v>11728</v>
      </c>
      <c r="K61" s="224">
        <f>IFERROR(__xludf.DUMMYFUNCTION("""COMPUTED_VALUE"""),5025.0)</f>
        <v>5025</v>
      </c>
      <c r="L61" s="225">
        <f>IFERROR(__xludf.DUMMYFUNCTION("""COMPUTED_VALUE"""),0.4285)</f>
        <v>0.4285</v>
      </c>
      <c r="M61" s="224"/>
      <c r="N61" s="225"/>
      <c r="O61" s="226">
        <f>IFERROR(__xludf.DUMMYFUNCTION("""COMPUTED_VALUE"""),17.0)</f>
        <v>17</v>
      </c>
      <c r="P61" s="226"/>
      <c r="Q61" s="225">
        <f>IFERROR(__xludf.DUMMYFUNCTION("""COMPUTED_VALUE"""),0.0034)</f>
        <v>0.0034</v>
      </c>
      <c r="R61" s="225"/>
      <c r="S61" s="226">
        <f>IFERROR(__xludf.DUMMYFUNCTION("""COMPUTED_VALUE"""),0.0)</f>
        <v>0</v>
      </c>
      <c r="T61" s="226">
        <f>IFERROR(__xludf.DUMMYFUNCTION("""COMPUTED_VALUE"""),0.0)</f>
        <v>0</v>
      </c>
      <c r="U61" s="224">
        <f>IFERROR(__xludf.DUMMYFUNCTION("""COMPUTED_VALUE"""),0.0)</f>
        <v>0</v>
      </c>
      <c r="V61" s="226" t="str">
        <f>IFERROR(__xludf.DUMMYFUNCTION("""COMPUTED_VALUE"""),"overall")</f>
        <v>overall</v>
      </c>
      <c r="W61" s="226" t="str">
        <f>IFERROR(__xludf.DUMMYFUNCTION("""COMPUTED_VALUE"""),"SMS")</f>
        <v>SMS</v>
      </c>
      <c r="X61" s="226" t="str">
        <f>IFERROR(__xludf.DUMMYFUNCTION("""COMPUTED_VALUE"""),"Predom Men")</f>
        <v>Predom Men</v>
      </c>
      <c r="Y61" s="226" t="str">
        <f>IFERROR(__xludf.DUMMYFUNCTION("""COMPUTED_VALUE"""),"11th Feb - 15th Feb")</f>
        <v>11th Feb - 15th Feb</v>
      </c>
      <c r="Z61" s="226" t="str">
        <f>IFERROR(__xludf.DUMMYFUNCTION("""COMPUTED_VALUE"""),"698c79f557bcf0c517852ba7")</f>
        <v>698c79f557bcf0c517852ba7</v>
      </c>
      <c r="AA61" s="224">
        <f>IFERROR(__xludf.DUMMYFUNCTION("""COMPUTED_VALUE"""),4.0)</f>
        <v>4</v>
      </c>
      <c r="AB61" s="224">
        <f>IFERROR(__xludf.DUMMYFUNCTION("""COMPUTED_VALUE"""),1.0)</f>
        <v>1</v>
      </c>
      <c r="AC61" s="224">
        <f>IFERROR(__xludf.DUMMYFUNCTION("""COMPUTED_VALUE"""),3.0)</f>
        <v>3</v>
      </c>
      <c r="AD61" s="224">
        <f>IFERROR(__xludf.DUMMYFUNCTION("""COMPUTED_VALUE"""),47717.0)</f>
        <v>47717</v>
      </c>
      <c r="AE61" s="224">
        <f>IFERROR(__xludf.DUMMYFUNCTION("""COMPUTED_VALUE"""),2490.0)</f>
        <v>2490</v>
      </c>
      <c r="AF61" s="224">
        <f>IFERROR(__xludf.DUMMYFUNCTION("""COMPUTED_VALUE"""),45227.0)</f>
        <v>45227</v>
      </c>
      <c r="AG61" s="208"/>
      <c r="AH61" s="208"/>
      <c r="AI61" s="208"/>
      <c r="AJ61" s="208"/>
      <c r="AK61" s="208"/>
    </row>
    <row r="62">
      <c r="A62" s="219">
        <f>IFERROR(__xludf.DUMMYFUNCTION("""COMPUTED_VALUE"""),46081.0)</f>
        <v>46081</v>
      </c>
      <c r="B62" s="220">
        <f>IFERROR(__xludf.DUMMYFUNCTION("""COMPUTED_VALUE"""),0.375)</f>
        <v>0.375</v>
      </c>
      <c r="C62" s="221" t="str">
        <f>IFERROR(__xludf.DUMMYFUNCTION("""COMPUTED_VALUE"""),"Whatsapp")</f>
        <v>Whatsapp</v>
      </c>
      <c r="D62" s="221" t="str">
        <f>IFERROR(__xludf.DUMMYFUNCTION("""COMPUTED_VALUE"""),"Promotional")</f>
        <v>Promotional</v>
      </c>
      <c r="E62" s="221" t="str">
        <f>IFERROR(__xludf.DUMMYFUNCTION("""COMPUTED_VALUE"""),"Aldo")</f>
        <v>Aldo</v>
      </c>
      <c r="F62" s="221" t="str">
        <f>IFERROR(__xludf.DUMMYFUNCTION("""COMPUTED_VALUE"""),"ALDO New Arrivals")</f>
        <v>ALDO New Arrivals</v>
      </c>
      <c r="G62" s="221" t="str">
        <f>IFERROR(__xludf.DUMMYFUNCTION("""COMPUTED_VALUE"""),"ALDO New Arrivals _ Active Base")</f>
        <v>ALDO New Arrivals _ Active Base</v>
      </c>
      <c r="H62" s="223" t="str">
        <f>IFERROR(__xludf.DUMMYFUNCTION("""COMPUTED_VALUE"""),"AL_Active_Base")</f>
        <v>AL_Active_Base</v>
      </c>
      <c r="I62" s="221" t="str">
        <f>IFERROR(__xludf.DUMMYFUNCTION("""COMPUTED_VALUE"""),"Has executed Sale_Array atleast 1 time in the last 76 days ")</f>
        <v>Has executed Sale_Array atleast 1 time in the last 76 days </v>
      </c>
      <c r="J62" s="224">
        <f>IFERROR(__xludf.DUMMYFUNCTION("""COMPUTED_VALUE"""),34301.0)</f>
        <v>34301</v>
      </c>
      <c r="K62" s="224">
        <f>IFERROR(__xludf.DUMMYFUNCTION("""COMPUTED_VALUE"""),13614.0)</f>
        <v>13614</v>
      </c>
      <c r="L62" s="225">
        <f>IFERROR(__xludf.DUMMYFUNCTION("""COMPUTED_VALUE"""),0.3969)</f>
        <v>0.3969</v>
      </c>
      <c r="M62" s="224">
        <f>IFERROR(__xludf.DUMMYFUNCTION("""COMPUTED_VALUE"""),6507.0)</f>
        <v>6507</v>
      </c>
      <c r="N62" s="225">
        <f>IFERROR(__xludf.DUMMYFUNCTION("""COMPUTED_VALUE"""),0.478)</f>
        <v>0.478</v>
      </c>
      <c r="O62" s="226">
        <f>IFERROR(__xludf.DUMMYFUNCTION("""COMPUTED_VALUE"""),491.0)</f>
        <v>491</v>
      </c>
      <c r="P62" s="226">
        <f>IFERROR(__xludf.DUMMYFUNCTION("""COMPUTED_VALUE"""),442.0)</f>
        <v>442</v>
      </c>
      <c r="Q62" s="225">
        <f>IFERROR(__xludf.DUMMYFUNCTION("""COMPUTED_VALUE"""),0.0325)</f>
        <v>0.0325</v>
      </c>
      <c r="R62" s="225">
        <f>IFERROR(__xludf.DUMMYFUNCTION("""COMPUTED_VALUE"""),0.0679)</f>
        <v>0.0679</v>
      </c>
      <c r="S62" s="226">
        <f>IFERROR(__xludf.DUMMYFUNCTION("""COMPUTED_VALUE"""),1.0)</f>
        <v>1</v>
      </c>
      <c r="T62" s="226">
        <f>IFERROR(__xludf.DUMMYFUNCTION("""COMPUTED_VALUE"""),0.0)</f>
        <v>0</v>
      </c>
      <c r="U62" s="224">
        <f>IFERROR(__xludf.DUMMYFUNCTION("""COMPUTED_VALUE"""),6400.0)</f>
        <v>6400</v>
      </c>
      <c r="V62" s="226" t="str">
        <f>IFERROR(__xludf.DUMMYFUNCTION("""COMPUTED_VALUE"""),"overall")</f>
        <v>overall</v>
      </c>
      <c r="W62" s="226" t="str">
        <f>IFERROR(__xludf.DUMMYFUNCTION("""COMPUTED_VALUE"""),"carousel")</f>
        <v>carousel</v>
      </c>
      <c r="X62" s="226" t="str">
        <f>IFERROR(__xludf.DUMMYFUNCTION("""COMPUTED_VALUE"""),"Recent")</f>
        <v>Recent</v>
      </c>
      <c r="Y62" s="226" t="str">
        <f>IFERROR(__xludf.DUMMYFUNCTION("""COMPUTED_VALUE"""),"2nd March 2026 ")</f>
        <v>2nd March 2026 </v>
      </c>
      <c r="Z62" s="226" t="str">
        <f>IFERROR(__xludf.DUMMYFUNCTION("""COMPUTED_VALUE"""),"69a1b124483fbd44e87a7446")</f>
        <v>69a1b124483fbd44e87a7446</v>
      </c>
      <c r="AA62" s="224">
        <f>IFERROR(__xludf.DUMMYFUNCTION("""COMPUTED_VALUE"""),8.0)</f>
        <v>8</v>
      </c>
      <c r="AB62" s="224">
        <f>IFERROR(__xludf.DUMMYFUNCTION("""COMPUTED_VALUE"""),1.0)</f>
        <v>1</v>
      </c>
      <c r="AC62" s="224">
        <f>IFERROR(__xludf.DUMMYFUNCTION("""COMPUTED_VALUE"""),7.0)</f>
        <v>7</v>
      </c>
      <c r="AD62" s="224">
        <f>IFERROR(__xludf.DUMMYFUNCTION("""COMPUTED_VALUE"""),71154.0)</f>
        <v>71154</v>
      </c>
      <c r="AE62" s="224">
        <f>IFERROR(__xludf.DUMMYFUNCTION("""COMPUTED_VALUE"""),10199.0)</f>
        <v>10199</v>
      </c>
      <c r="AF62" s="224">
        <f>IFERROR(__xludf.DUMMYFUNCTION("""COMPUTED_VALUE"""),60955.0)</f>
        <v>60955</v>
      </c>
      <c r="AG62" s="208"/>
      <c r="AH62" s="208"/>
      <c r="AI62" s="208"/>
      <c r="AJ62" s="208"/>
      <c r="AK62" s="208"/>
    </row>
    <row r="63">
      <c r="A63" s="219">
        <f>IFERROR(__xludf.DUMMYFUNCTION("""COMPUTED_VALUE"""),46081.0)</f>
        <v>46081</v>
      </c>
      <c r="B63" s="220">
        <f>IFERROR(__xludf.DUMMYFUNCTION("""COMPUTED_VALUE"""),0.375)</f>
        <v>0.375</v>
      </c>
      <c r="C63" s="221" t="str">
        <f>IFERROR(__xludf.DUMMYFUNCTION("""COMPUTED_VALUE"""),"Whatsapp")</f>
        <v>Whatsapp</v>
      </c>
      <c r="D63" s="221" t="str">
        <f>IFERROR(__xludf.DUMMYFUNCTION("""COMPUTED_VALUE"""),"Promotional")</f>
        <v>Promotional</v>
      </c>
      <c r="E63" s="221" t="str">
        <f>IFERROR(__xludf.DUMMYFUNCTION("""COMPUTED_VALUE"""),"Aldo")</f>
        <v>Aldo</v>
      </c>
      <c r="F63" s="221" t="str">
        <f>IFERROR(__xludf.DUMMYFUNCTION("""COMPUTED_VALUE"""),"ALDO New Arrivals")</f>
        <v>ALDO New Arrivals</v>
      </c>
      <c r="G63" s="221" t="str">
        <f>IFERROR(__xludf.DUMMYFUNCTION("""COMPUTED_VALUE"""),"ALDO New Arrivals _AL HB Full Price")</f>
        <v>ALDO New Arrivals _AL HB Full Price</v>
      </c>
      <c r="H63" s="223" t="str">
        <f>IFERROR(__xludf.DUMMYFUNCTION("""COMPUTED_VALUE"""),"AL-Handbags-FullPriceUsers")</f>
        <v>AL-Handbags-FullPriceUsers</v>
      </c>
      <c r="I63" s="221" t="str">
        <f>IFERROR(__xludf.DUMMYFUNCTION("""COMPUTED_VALUE"""),"Has executed Sale_Array atleast 1 time in the last 36 months with attributes (Category_L2_Desc (any_of)  contains Handbags  (case insensitive) ) AND having aggregation: summation of Order_Disc_Val is 0
 and exclude users in 
 ((Users in custom segment: "&amp;"AbdCheck-17-2-26-Handbags OR Users in custom segment: PV-Intent-Handbags-17-2-26)) ")</f>
        <v>Has executed Sale_Array atleast 1 time in the last 36 months with attributes (Category_L2_Desc (any_of)  contains Handbags  (case insensitive) ) AND having aggregation: summation of Order_Disc_Val is 0
 and exclude users in 
 ((Users in custom segment: AbdCheck-17-2-26-Handbags OR Users in custom segment: PV-Intent-Handbags-17-2-26)) </v>
      </c>
      <c r="J63" s="224">
        <f>IFERROR(__xludf.DUMMYFUNCTION("""COMPUTED_VALUE"""),15808.0)</f>
        <v>15808</v>
      </c>
      <c r="K63" s="224">
        <f>IFERROR(__xludf.DUMMYFUNCTION("""COMPUTED_VALUE"""),5626.0)</f>
        <v>5626</v>
      </c>
      <c r="L63" s="225">
        <f>IFERROR(__xludf.DUMMYFUNCTION("""COMPUTED_VALUE"""),0.3559)</f>
        <v>0.3559</v>
      </c>
      <c r="M63" s="224">
        <f>IFERROR(__xludf.DUMMYFUNCTION("""COMPUTED_VALUE"""),2329.0)</f>
        <v>2329</v>
      </c>
      <c r="N63" s="225">
        <f>IFERROR(__xludf.DUMMYFUNCTION("""COMPUTED_VALUE"""),0.414)</f>
        <v>0.414</v>
      </c>
      <c r="O63" s="226">
        <f>IFERROR(__xludf.DUMMYFUNCTION("""COMPUTED_VALUE"""),54.0)</f>
        <v>54</v>
      </c>
      <c r="P63" s="226">
        <f>IFERROR(__xludf.DUMMYFUNCTION("""COMPUTED_VALUE"""),48.0)</f>
        <v>48</v>
      </c>
      <c r="Q63" s="225">
        <f>IFERROR(__xludf.DUMMYFUNCTION("""COMPUTED_VALUE"""),0.0085)</f>
        <v>0.0085</v>
      </c>
      <c r="R63" s="225">
        <f>IFERROR(__xludf.DUMMYFUNCTION("""COMPUTED_VALUE"""),0.0206)</f>
        <v>0.0206</v>
      </c>
      <c r="S63" s="226">
        <f>IFERROR(__xludf.DUMMYFUNCTION("""COMPUTED_VALUE"""),0.0)</f>
        <v>0</v>
      </c>
      <c r="T63" s="226">
        <f>IFERROR(__xludf.DUMMYFUNCTION("""COMPUTED_VALUE"""),0.0)</f>
        <v>0</v>
      </c>
      <c r="U63" s="224">
        <f>IFERROR(__xludf.DUMMYFUNCTION("""COMPUTED_VALUE"""),0.0)</f>
        <v>0</v>
      </c>
      <c r="V63" s="226" t="str">
        <f>IFERROR(__xludf.DUMMYFUNCTION("""COMPUTED_VALUE"""),"overall")</f>
        <v>overall</v>
      </c>
      <c r="W63" s="226" t="str">
        <f>IFERROR(__xludf.DUMMYFUNCTION("""COMPUTED_VALUE"""),"carousel")</f>
        <v>carousel</v>
      </c>
      <c r="X63" s="226" t="str">
        <f>IFERROR(__xludf.DUMMYFUNCTION("""COMPUTED_VALUE"""),"Full Price Shopper")</f>
        <v>Full Price Shopper</v>
      </c>
      <c r="Y63" s="226" t="str">
        <f>IFERROR(__xludf.DUMMYFUNCTION("""COMPUTED_VALUE"""),"2nd March 2026 ")</f>
        <v>2nd March 2026 </v>
      </c>
      <c r="Z63" s="226" t="str">
        <f>IFERROR(__xludf.DUMMYFUNCTION("""COMPUTED_VALUE"""),"69a1b1aef440f2df0b3f6e5e")</f>
        <v>69a1b1aef440f2df0b3f6e5e</v>
      </c>
      <c r="AA63" s="224">
        <f>IFERROR(__xludf.DUMMYFUNCTION("""COMPUTED_VALUE"""),1.0)</f>
        <v>1</v>
      </c>
      <c r="AB63" s="224">
        <f>IFERROR(__xludf.DUMMYFUNCTION("""COMPUTED_VALUE"""),0.0)</f>
        <v>0</v>
      </c>
      <c r="AC63" s="224">
        <f>IFERROR(__xludf.DUMMYFUNCTION("""COMPUTED_VALUE"""),1.0)</f>
        <v>1</v>
      </c>
      <c r="AD63" s="224">
        <f>IFERROR(__xludf.DUMMYFUNCTION("""COMPUTED_VALUE"""),23397.0)</f>
        <v>23397</v>
      </c>
      <c r="AE63" s="224">
        <f>IFERROR(__xludf.DUMMYFUNCTION("""COMPUTED_VALUE"""),0.0)</f>
        <v>0</v>
      </c>
      <c r="AF63" s="224">
        <f>IFERROR(__xludf.DUMMYFUNCTION("""COMPUTED_VALUE"""),23397.0)</f>
        <v>23397</v>
      </c>
      <c r="AG63" s="208"/>
      <c r="AH63" s="208"/>
      <c r="AI63" s="208"/>
      <c r="AJ63" s="208"/>
      <c r="AK63" s="208"/>
    </row>
    <row r="64">
      <c r="A64" s="219">
        <f>IFERROR(__xludf.DUMMYFUNCTION("""COMPUTED_VALUE"""),46081.0)</f>
        <v>46081</v>
      </c>
      <c r="B64" s="220">
        <f>IFERROR(__xludf.DUMMYFUNCTION("""COMPUTED_VALUE"""),0.375)</f>
        <v>0.375</v>
      </c>
      <c r="C64" s="221" t="str">
        <f>IFERROR(__xludf.DUMMYFUNCTION("""COMPUTED_VALUE"""),"Whatsapp")</f>
        <v>Whatsapp</v>
      </c>
      <c r="D64" s="221" t="str">
        <f>IFERROR(__xludf.DUMMYFUNCTION("""COMPUTED_VALUE"""),"Promotional")</f>
        <v>Promotional</v>
      </c>
      <c r="E64" s="221" t="str">
        <f>IFERROR(__xludf.DUMMYFUNCTION("""COMPUTED_VALUE"""),"Aldo")</f>
        <v>Aldo</v>
      </c>
      <c r="F64" s="221" t="str">
        <f>IFERROR(__xludf.DUMMYFUNCTION("""COMPUTED_VALUE"""),"ALDO New Arrivals")</f>
        <v>ALDO New Arrivals</v>
      </c>
      <c r="G64" s="221" t="str">
        <f>IFERROR(__xludf.DUMMYFUNCTION("""COMPUTED_VALUE"""),"ALDO New Arrivals _ FW AL Full Price")</f>
        <v>ALDO New Arrivals _ FW AL Full Price</v>
      </c>
      <c r="H64" s="223" t="str">
        <f>IFERROR(__xludf.DUMMYFUNCTION("""COMPUTED_VALUE"""),"AL-Footwear-FullPriceUsers")</f>
        <v>AL-Footwear-FullPriceUsers</v>
      </c>
      <c r="I64" s="221" t="str">
        <f>IFERROR(__xludf.DUMMYFUNCTION("""COMPUTED_VALUE"""),"Has executed Sale_Array atleast 1 time in the last 36 months with attributes (Category_L1_Desc (any_of)  contains FOOTWEAR  (case insensitive) ) AND having aggregation: summation of Order_Disc_Val is 0
 and exclude users in 
 (Users in custom segment: P"&amp;"V-Intent-Footwear-17-2-26)")</f>
        <v>Has executed Sale_Array atleast 1 time in the last 36 months with attributes (Category_L1_Desc (any_of)  contains FOOTWEAR  (case insensitive) ) AND having aggregation: summation of Order_Disc_Val is 0
 and exclude users in 
 (Users in custom segment: PV-Intent-Footwear-17-2-26)</v>
      </c>
      <c r="J64" s="224">
        <f>IFERROR(__xludf.DUMMYFUNCTION("""COMPUTED_VALUE"""),18039.0)</f>
        <v>18039</v>
      </c>
      <c r="K64" s="224">
        <f>IFERROR(__xludf.DUMMYFUNCTION("""COMPUTED_VALUE"""),5730.0)</f>
        <v>5730</v>
      </c>
      <c r="L64" s="225">
        <f>IFERROR(__xludf.DUMMYFUNCTION("""COMPUTED_VALUE"""),0.3176)</f>
        <v>0.3176</v>
      </c>
      <c r="M64" s="224">
        <f>IFERROR(__xludf.DUMMYFUNCTION("""COMPUTED_VALUE"""),2304.0)</f>
        <v>2304</v>
      </c>
      <c r="N64" s="225">
        <f>IFERROR(__xludf.DUMMYFUNCTION("""COMPUTED_VALUE"""),0.4021)</f>
        <v>0.4021</v>
      </c>
      <c r="O64" s="226">
        <f>IFERROR(__xludf.DUMMYFUNCTION("""COMPUTED_VALUE"""),91.0)</f>
        <v>91</v>
      </c>
      <c r="P64" s="226">
        <f>IFERROR(__xludf.DUMMYFUNCTION("""COMPUTED_VALUE"""),82.0)</f>
        <v>82</v>
      </c>
      <c r="Q64" s="225">
        <f>IFERROR(__xludf.DUMMYFUNCTION("""COMPUTED_VALUE"""),0.0143)</f>
        <v>0.0143</v>
      </c>
      <c r="R64" s="225">
        <f>IFERROR(__xludf.DUMMYFUNCTION("""COMPUTED_VALUE"""),0.0356)</f>
        <v>0.0356</v>
      </c>
      <c r="S64" s="226">
        <f>IFERROR(__xludf.DUMMYFUNCTION("""COMPUTED_VALUE"""),0.0)</f>
        <v>0</v>
      </c>
      <c r="T64" s="226">
        <f>IFERROR(__xludf.DUMMYFUNCTION("""COMPUTED_VALUE"""),0.0)</f>
        <v>0</v>
      </c>
      <c r="U64" s="224">
        <f>IFERROR(__xludf.DUMMYFUNCTION("""COMPUTED_VALUE"""),0.0)</f>
        <v>0</v>
      </c>
      <c r="V64" s="226" t="str">
        <f>IFERROR(__xludf.DUMMYFUNCTION("""COMPUTED_VALUE"""),"overall")</f>
        <v>overall</v>
      </c>
      <c r="W64" s="226" t="str">
        <f>IFERROR(__xludf.DUMMYFUNCTION("""COMPUTED_VALUE"""),"carousel")</f>
        <v>carousel</v>
      </c>
      <c r="X64" s="226" t="str">
        <f>IFERROR(__xludf.DUMMYFUNCTION("""COMPUTED_VALUE"""),"Full Price Shopper")</f>
        <v>Full Price Shopper</v>
      </c>
      <c r="Y64" s="226" t="str">
        <f>IFERROR(__xludf.DUMMYFUNCTION("""COMPUTED_VALUE"""),"2nd March 2026 ")</f>
        <v>2nd March 2026 </v>
      </c>
      <c r="Z64" s="226" t="str">
        <f>IFERROR(__xludf.DUMMYFUNCTION("""COMPUTED_VALUE"""),"69a1b230a2499d55eb9d2e5f")</f>
        <v>69a1b230a2499d55eb9d2e5f</v>
      </c>
      <c r="AA64" s="224">
        <f>IFERROR(__xludf.DUMMYFUNCTION("""COMPUTED_VALUE"""),2.0)</f>
        <v>2</v>
      </c>
      <c r="AB64" s="224">
        <f>IFERROR(__xludf.DUMMYFUNCTION("""COMPUTED_VALUE"""),0.0)</f>
        <v>0</v>
      </c>
      <c r="AC64" s="224">
        <f>IFERROR(__xludf.DUMMYFUNCTION("""COMPUTED_VALUE"""),2.0)</f>
        <v>2</v>
      </c>
      <c r="AD64" s="224">
        <f>IFERROR(__xludf.DUMMYFUNCTION("""COMPUTED_VALUE"""),31996.0)</f>
        <v>31996</v>
      </c>
      <c r="AE64" s="224">
        <f>IFERROR(__xludf.DUMMYFUNCTION("""COMPUTED_VALUE"""),0.0)</f>
        <v>0</v>
      </c>
      <c r="AF64" s="224">
        <f>IFERROR(__xludf.DUMMYFUNCTION("""COMPUTED_VALUE"""),31996.0)</f>
        <v>31996</v>
      </c>
      <c r="AG64" s="208"/>
      <c r="AH64" s="208"/>
      <c r="AI64" s="208"/>
      <c r="AJ64" s="208"/>
      <c r="AK64" s="208"/>
    </row>
    <row r="65">
      <c r="A65" s="219">
        <f>IFERROR(__xludf.DUMMYFUNCTION("""COMPUTED_VALUE"""),46081.0)</f>
        <v>46081</v>
      </c>
      <c r="B65" s="220">
        <f>IFERROR(__xludf.DUMMYFUNCTION("""COMPUTED_VALUE"""),0.5)</f>
        <v>0.5</v>
      </c>
      <c r="C65" s="221" t="str">
        <f>IFERROR(__xludf.DUMMYFUNCTION("""COMPUTED_VALUE"""),"Sms")</f>
        <v>Sms</v>
      </c>
      <c r="D65" s="221" t="str">
        <f>IFERROR(__xludf.DUMMYFUNCTION("""COMPUTED_VALUE"""),"Fallback Campaign")</f>
        <v>Fallback Campaign</v>
      </c>
      <c r="E65" s="221" t="str">
        <f>IFERROR(__xludf.DUMMYFUNCTION("""COMPUTED_VALUE"""),"Aldo")</f>
        <v>Aldo</v>
      </c>
      <c r="F65" s="221" t="str">
        <f>IFERROR(__xludf.DUMMYFUNCTION("""COMPUTED_VALUE"""),"ALDO New Arrivals")</f>
        <v>ALDO New Arrivals</v>
      </c>
      <c r="G65" s="221" t="str">
        <f>IFERROR(__xludf.DUMMYFUNCTION("""COMPUTED_VALUE"""),"ALDO- New Arrivals _ Active baseFB")</f>
        <v>ALDO- New Arrivals _ Active baseFB</v>
      </c>
      <c r="H65" s="223" t="str">
        <f>IFERROR(__xludf.DUMMYFUNCTION("""COMPUTED_VALUE"""),"AL_Active_Base")</f>
        <v>AL_Active_Base</v>
      </c>
      <c r="I65" s="221" t="str">
        <f>IFERROR(__xludf.DUMMYFUNCTION("""COMPUTED_VALUE"""),"WA Undelivered")</f>
        <v>WA Undelivered</v>
      </c>
      <c r="J65" s="224">
        <f>IFERROR(__xludf.DUMMYFUNCTION("""COMPUTED_VALUE"""),15437.0)</f>
        <v>15437</v>
      </c>
      <c r="K65" s="224">
        <f>IFERROR(__xludf.DUMMYFUNCTION("""COMPUTED_VALUE"""),9167.0)</f>
        <v>9167</v>
      </c>
      <c r="L65" s="225">
        <f>IFERROR(__xludf.DUMMYFUNCTION("""COMPUTED_VALUE"""),0.5938)</f>
        <v>0.5938</v>
      </c>
      <c r="M65" s="224"/>
      <c r="N65" s="225"/>
      <c r="O65" s="226">
        <f>IFERROR(__xludf.DUMMYFUNCTION("""COMPUTED_VALUE"""),23.0)</f>
        <v>23</v>
      </c>
      <c r="P65" s="226"/>
      <c r="Q65" s="225">
        <f>IFERROR(__xludf.DUMMYFUNCTION("""COMPUTED_VALUE"""),0.0025)</f>
        <v>0.0025</v>
      </c>
      <c r="R65" s="225"/>
      <c r="S65" s="226">
        <f>IFERROR(__xludf.DUMMYFUNCTION("""COMPUTED_VALUE"""),0.0)</f>
        <v>0</v>
      </c>
      <c r="T65" s="226">
        <f>IFERROR(__xludf.DUMMYFUNCTION("""COMPUTED_VALUE"""),5.0)</f>
        <v>5</v>
      </c>
      <c r="U65" s="224">
        <f>IFERROR(__xludf.DUMMYFUNCTION("""COMPUTED_VALUE"""),0.0)</f>
        <v>0</v>
      </c>
      <c r="V65" s="226" t="str">
        <f>IFERROR(__xludf.DUMMYFUNCTION("""COMPUTED_VALUE"""),"overall")</f>
        <v>overall</v>
      </c>
      <c r="W65" s="226" t="str">
        <f>IFERROR(__xludf.DUMMYFUNCTION("""COMPUTED_VALUE"""),"SMS")</f>
        <v>SMS</v>
      </c>
      <c r="X65" s="226" t="str">
        <f>IFERROR(__xludf.DUMMYFUNCTION("""COMPUTED_VALUE"""),"Recent")</f>
        <v>Recent</v>
      </c>
      <c r="Y65" s="226" t="str">
        <f>IFERROR(__xludf.DUMMYFUNCTION("""COMPUTED_VALUE"""),"2nd March 2026 ")</f>
        <v>2nd March 2026 </v>
      </c>
      <c r="Z65" s="226" t="str">
        <f>IFERROR(__xludf.DUMMYFUNCTION("""COMPUTED_VALUE"""),"69a1b34de4f2d57151dae0f3")</f>
        <v>69a1b34de4f2d57151dae0f3</v>
      </c>
      <c r="AA65" s="224">
        <f>IFERROR(__xludf.DUMMYFUNCTION("""COMPUTED_VALUE"""),3.0)</f>
        <v>3</v>
      </c>
      <c r="AB65" s="224">
        <f>IFERROR(__xludf.DUMMYFUNCTION("""COMPUTED_VALUE"""),1.0)</f>
        <v>1</v>
      </c>
      <c r="AC65" s="224">
        <f>IFERROR(__xludf.DUMMYFUNCTION("""COMPUTED_VALUE"""),2.0)</f>
        <v>2</v>
      </c>
      <c r="AD65" s="224">
        <f>IFERROR(__xludf.DUMMYFUNCTION("""COMPUTED_VALUE"""),21803.0)</f>
        <v>21803</v>
      </c>
      <c r="AE65" s="224">
        <f>IFERROR(__xludf.DUMMYFUNCTION("""COMPUTED_VALUE"""),1200.0)</f>
        <v>1200</v>
      </c>
      <c r="AF65" s="224">
        <f>IFERROR(__xludf.DUMMYFUNCTION("""COMPUTED_VALUE"""),20603.0)</f>
        <v>20603</v>
      </c>
      <c r="AG65" s="208"/>
      <c r="AH65" s="208"/>
      <c r="AI65" s="208"/>
      <c r="AJ65" s="208"/>
      <c r="AK65" s="208"/>
    </row>
    <row r="66">
      <c r="A66" s="219">
        <f>IFERROR(__xludf.DUMMYFUNCTION("""COMPUTED_VALUE"""),46081.0)</f>
        <v>46081</v>
      </c>
      <c r="B66" s="220">
        <f>IFERROR(__xludf.DUMMYFUNCTION("""COMPUTED_VALUE"""),0.5)</f>
        <v>0.5</v>
      </c>
      <c r="C66" s="221" t="str">
        <f>IFERROR(__xludf.DUMMYFUNCTION("""COMPUTED_VALUE"""),"Sms")</f>
        <v>Sms</v>
      </c>
      <c r="D66" s="221" t="str">
        <f>IFERROR(__xludf.DUMMYFUNCTION("""COMPUTED_VALUE"""),"Fallback Campaign")</f>
        <v>Fallback Campaign</v>
      </c>
      <c r="E66" s="221" t="str">
        <f>IFERROR(__xludf.DUMMYFUNCTION("""COMPUTED_VALUE"""),"Aldo")</f>
        <v>Aldo</v>
      </c>
      <c r="F66" s="221" t="str">
        <f>IFERROR(__xludf.DUMMYFUNCTION("""COMPUTED_VALUE"""),"ALDO New Arrivals")</f>
        <v>ALDO New Arrivals</v>
      </c>
      <c r="G66" s="221" t="str">
        <f>IFERROR(__xludf.DUMMYFUNCTION("""COMPUTED_VALUE"""),"ALDO- New Arrivals _ O1_HB Full Price FB")</f>
        <v>ALDO- New Arrivals _ O1_HB Full Price FB</v>
      </c>
      <c r="H66" s="223" t="str">
        <f>IFERROR(__xludf.DUMMYFUNCTION("""COMPUTED_VALUE"""),"AL-Handbags-FullPriceUsers")</f>
        <v>AL-Handbags-FullPriceUsers</v>
      </c>
      <c r="I66" s="221" t="str">
        <f>IFERROR(__xludf.DUMMYFUNCTION("""COMPUTED_VALUE"""),"WA Undelivered")</f>
        <v>WA Undelivered</v>
      </c>
      <c r="J66" s="224">
        <f>IFERROR(__xludf.DUMMYFUNCTION("""COMPUTED_VALUE"""),7618.0)</f>
        <v>7618</v>
      </c>
      <c r="K66" s="224">
        <f>IFERROR(__xludf.DUMMYFUNCTION("""COMPUTED_VALUE"""),4516.0)</f>
        <v>4516</v>
      </c>
      <c r="L66" s="225">
        <f>IFERROR(__xludf.DUMMYFUNCTION("""COMPUTED_VALUE"""),0.5928)</f>
        <v>0.5928</v>
      </c>
      <c r="M66" s="224"/>
      <c r="N66" s="225"/>
      <c r="O66" s="226">
        <f>IFERROR(__xludf.DUMMYFUNCTION("""COMPUTED_VALUE"""),5.0)</f>
        <v>5</v>
      </c>
      <c r="P66" s="226"/>
      <c r="Q66" s="225">
        <f>IFERROR(__xludf.DUMMYFUNCTION("""COMPUTED_VALUE"""),0.0011)</f>
        <v>0.0011</v>
      </c>
      <c r="R66" s="225"/>
      <c r="S66" s="226">
        <f>IFERROR(__xludf.DUMMYFUNCTION("""COMPUTED_VALUE"""),0.0)</f>
        <v>0</v>
      </c>
      <c r="T66" s="226">
        <f>IFERROR(__xludf.DUMMYFUNCTION("""COMPUTED_VALUE"""),0.0)</f>
        <v>0</v>
      </c>
      <c r="U66" s="224">
        <f>IFERROR(__xludf.DUMMYFUNCTION("""COMPUTED_VALUE"""),0.0)</f>
        <v>0</v>
      </c>
      <c r="V66" s="226" t="str">
        <f>IFERROR(__xludf.DUMMYFUNCTION("""COMPUTED_VALUE"""),"overall")</f>
        <v>overall</v>
      </c>
      <c r="W66" s="226" t="str">
        <f>IFERROR(__xludf.DUMMYFUNCTION("""COMPUTED_VALUE"""),"SMS")</f>
        <v>SMS</v>
      </c>
      <c r="X66" s="226" t="str">
        <f>IFERROR(__xludf.DUMMYFUNCTION("""COMPUTED_VALUE"""),"Full Price Shopper")</f>
        <v>Full Price Shopper</v>
      </c>
      <c r="Y66" s="226" t="str">
        <f>IFERROR(__xludf.DUMMYFUNCTION("""COMPUTED_VALUE"""),"2nd March 2026 ")</f>
        <v>2nd March 2026 </v>
      </c>
      <c r="Z66" s="226" t="str">
        <f>IFERROR(__xludf.DUMMYFUNCTION("""COMPUTED_VALUE"""),"69a1b3b2483fbd44e87a74d9")</f>
        <v>69a1b3b2483fbd44e87a74d9</v>
      </c>
      <c r="AA66" s="224">
        <f>IFERROR(__xludf.DUMMYFUNCTION("""COMPUTED_VALUE"""),0.0)</f>
        <v>0</v>
      </c>
      <c r="AB66" s="224">
        <f>IFERROR(__xludf.DUMMYFUNCTION("""COMPUTED_VALUE"""),0.0)</f>
        <v>0</v>
      </c>
      <c r="AC66" s="224">
        <f>IFERROR(__xludf.DUMMYFUNCTION("""COMPUTED_VALUE"""),0.0)</f>
        <v>0</v>
      </c>
      <c r="AD66" s="224">
        <f>IFERROR(__xludf.DUMMYFUNCTION("""COMPUTED_VALUE"""),0.0)</f>
        <v>0</v>
      </c>
      <c r="AE66" s="224">
        <f>IFERROR(__xludf.DUMMYFUNCTION("""COMPUTED_VALUE"""),0.0)</f>
        <v>0</v>
      </c>
      <c r="AF66" s="224">
        <f>IFERROR(__xludf.DUMMYFUNCTION("""COMPUTED_VALUE"""),0.0)</f>
        <v>0</v>
      </c>
      <c r="AG66" s="208"/>
      <c r="AH66" s="208"/>
      <c r="AI66" s="208"/>
      <c r="AJ66" s="208"/>
      <c r="AK66" s="208"/>
    </row>
    <row r="67">
      <c r="A67" s="219">
        <f>IFERROR(__xludf.DUMMYFUNCTION("""COMPUTED_VALUE"""),46081.0)</f>
        <v>46081</v>
      </c>
      <c r="B67" s="220">
        <f>IFERROR(__xludf.DUMMYFUNCTION("""COMPUTED_VALUE"""),0.5)</f>
        <v>0.5</v>
      </c>
      <c r="C67" s="221" t="str">
        <f>IFERROR(__xludf.DUMMYFUNCTION("""COMPUTED_VALUE"""),"Sms")</f>
        <v>Sms</v>
      </c>
      <c r="D67" s="221" t="str">
        <f>IFERROR(__xludf.DUMMYFUNCTION("""COMPUTED_VALUE"""),"Fallback Campaign")</f>
        <v>Fallback Campaign</v>
      </c>
      <c r="E67" s="221" t="str">
        <f>IFERROR(__xludf.DUMMYFUNCTION("""COMPUTED_VALUE"""),"Aldo")</f>
        <v>Aldo</v>
      </c>
      <c r="F67" s="221" t="str">
        <f>IFERROR(__xludf.DUMMYFUNCTION("""COMPUTED_VALUE"""),"ALDO New Arrivals")</f>
        <v>ALDO New Arrivals</v>
      </c>
      <c r="G67" s="221" t="str">
        <f>IFERROR(__xludf.DUMMYFUNCTION("""COMPUTED_VALUE"""),"ALDO- New Arrivals _01_FW Full Price")</f>
        <v>ALDO- New Arrivals _01_FW Full Price</v>
      </c>
      <c r="H67" s="223" t="str">
        <f>IFERROR(__xludf.DUMMYFUNCTION("""COMPUTED_VALUE"""),"AL-Footwear-FullPriceUsers")</f>
        <v>AL-Footwear-FullPriceUsers</v>
      </c>
      <c r="I67" s="221" t="str">
        <f>IFERROR(__xludf.DUMMYFUNCTION("""COMPUTED_VALUE"""),"WA Undelivered")</f>
        <v>WA Undelivered</v>
      </c>
      <c r="J67" s="224">
        <f>IFERROR(__xludf.DUMMYFUNCTION("""COMPUTED_VALUE"""),9201.0)</f>
        <v>9201</v>
      </c>
      <c r="K67" s="224">
        <f>IFERROR(__xludf.DUMMYFUNCTION("""COMPUTED_VALUE"""),4830.0)</f>
        <v>4830</v>
      </c>
      <c r="L67" s="225">
        <f>IFERROR(__xludf.DUMMYFUNCTION("""COMPUTED_VALUE"""),0.5249)</f>
        <v>0.5249</v>
      </c>
      <c r="M67" s="224"/>
      <c r="N67" s="225"/>
      <c r="O67" s="226">
        <f>IFERROR(__xludf.DUMMYFUNCTION("""COMPUTED_VALUE"""),5.0)</f>
        <v>5</v>
      </c>
      <c r="P67" s="226"/>
      <c r="Q67" s="225">
        <f>IFERROR(__xludf.DUMMYFUNCTION("""COMPUTED_VALUE"""),0.001)</f>
        <v>0.001</v>
      </c>
      <c r="R67" s="225"/>
      <c r="S67" s="226">
        <f>IFERROR(__xludf.DUMMYFUNCTION("""COMPUTED_VALUE"""),0.0)</f>
        <v>0</v>
      </c>
      <c r="T67" s="226">
        <f>IFERROR(__xludf.DUMMYFUNCTION("""COMPUTED_VALUE"""),0.0)</f>
        <v>0</v>
      </c>
      <c r="U67" s="224">
        <f>IFERROR(__xludf.DUMMYFUNCTION("""COMPUTED_VALUE"""),0.0)</f>
        <v>0</v>
      </c>
      <c r="V67" s="226" t="str">
        <f>IFERROR(__xludf.DUMMYFUNCTION("""COMPUTED_VALUE"""),"overall")</f>
        <v>overall</v>
      </c>
      <c r="W67" s="226" t="str">
        <f>IFERROR(__xludf.DUMMYFUNCTION("""COMPUTED_VALUE"""),"SMS")</f>
        <v>SMS</v>
      </c>
      <c r="X67" s="226" t="str">
        <f>IFERROR(__xludf.DUMMYFUNCTION("""COMPUTED_VALUE"""),"Full Price Shopper")</f>
        <v>Full Price Shopper</v>
      </c>
      <c r="Y67" s="226" t="str">
        <f>IFERROR(__xludf.DUMMYFUNCTION("""COMPUTED_VALUE"""),"2nd March 2026 ")</f>
        <v>2nd March 2026 </v>
      </c>
      <c r="Z67" s="226" t="str">
        <f>IFERROR(__xludf.DUMMYFUNCTION("""COMPUTED_VALUE"""),"69a1b4121c55086edf858692")</f>
        <v>69a1b4121c55086edf858692</v>
      </c>
      <c r="AA67" s="224">
        <f>IFERROR(__xludf.DUMMYFUNCTION("""COMPUTED_VALUE"""),2.0)</f>
        <v>2</v>
      </c>
      <c r="AB67" s="224">
        <f>IFERROR(__xludf.DUMMYFUNCTION("""COMPUTED_VALUE"""),0.0)</f>
        <v>0</v>
      </c>
      <c r="AC67" s="224">
        <f>IFERROR(__xludf.DUMMYFUNCTION("""COMPUTED_VALUE"""),2.0)</f>
        <v>2</v>
      </c>
      <c r="AD67" s="224">
        <f>IFERROR(__xludf.DUMMYFUNCTION("""COMPUTED_VALUE"""),19937.0)</f>
        <v>19937</v>
      </c>
      <c r="AE67" s="224">
        <f>IFERROR(__xludf.DUMMYFUNCTION("""COMPUTED_VALUE"""),0.0)</f>
        <v>0</v>
      </c>
      <c r="AF67" s="224">
        <f>IFERROR(__xludf.DUMMYFUNCTION("""COMPUTED_VALUE"""),19937.0)</f>
        <v>19937</v>
      </c>
      <c r="AG67" s="208"/>
      <c r="AH67" s="208"/>
      <c r="AI67" s="208"/>
      <c r="AJ67" s="208"/>
      <c r="AK67" s="208"/>
    </row>
    <row r="68">
      <c r="A68" s="227">
        <f>IFERROR(__xludf.DUMMYFUNCTION("""COMPUTED_VALUE"""),46087.0)</f>
        <v>46087</v>
      </c>
      <c r="B68" s="228">
        <f>IFERROR(__xludf.DUMMYFUNCTION("""COMPUTED_VALUE"""),0.8333333333321207)</f>
        <v>0.8333333333</v>
      </c>
      <c r="C68" s="223" t="str">
        <f>IFERROR(__xludf.DUMMYFUNCTION("""COMPUTED_VALUE"""),"Whatsapp")</f>
        <v>Whatsapp</v>
      </c>
      <c r="D68" s="223" t="str">
        <f>IFERROR(__xludf.DUMMYFUNCTION("""COMPUTED_VALUE"""),"Promotional")</f>
        <v>Promotional</v>
      </c>
      <c r="E68" s="223" t="str">
        <f>IFERROR(__xludf.DUMMYFUNCTION("""COMPUTED_VALUE"""),"Aldo")</f>
        <v>Aldo</v>
      </c>
      <c r="F68" s="223" t="str">
        <f>IFERROR(__xludf.DUMMYFUNCTION("""COMPUTED_VALUE"""),"App Push")</f>
        <v>App Push</v>
      </c>
      <c r="G68" s="223" t="str">
        <f>IFERROR(__xludf.DUMMYFUNCTION("""COMPUTED_VALUE"""),"ALDO_APP Download Push")</f>
        <v>ALDO_APP Download Push</v>
      </c>
      <c r="H68" s="223" t="str">
        <f>IFERROR(__xludf.DUMMYFUNCTION("""COMPUTED_VALUE"""),"App_Push_Cust")</f>
        <v>App_Push_Cust</v>
      </c>
      <c r="I68" s="223" t="str">
        <f>IFERROR(__xludf.DUMMYFUNCTION("""COMPUTED_VALUE"""),"Customers who have downloaded the App")</f>
        <v>Customers who have downloaded the App</v>
      </c>
      <c r="J68" s="229">
        <f>IFERROR(__xludf.DUMMYFUNCTION("""COMPUTED_VALUE"""),311455.0)</f>
        <v>311455</v>
      </c>
      <c r="K68" s="229">
        <f>IFERROR(__xludf.DUMMYFUNCTION("""COMPUTED_VALUE"""),125410.0)</f>
        <v>125410</v>
      </c>
      <c r="L68" s="230">
        <f>IFERROR(__xludf.DUMMYFUNCTION("""COMPUTED_VALUE"""),0.4027)</f>
        <v>0.4027</v>
      </c>
      <c r="M68" s="229">
        <f>IFERROR(__xludf.DUMMYFUNCTION("""COMPUTED_VALUE"""),51676.0)</f>
        <v>51676</v>
      </c>
      <c r="N68" s="230">
        <f>IFERROR(__xludf.DUMMYFUNCTION("""COMPUTED_VALUE"""),0.4121)</f>
        <v>0.4121</v>
      </c>
      <c r="O68" s="231">
        <f>IFERROR(__xludf.DUMMYFUNCTION("""COMPUTED_VALUE"""),3567.0)</f>
        <v>3567</v>
      </c>
      <c r="P68" s="231">
        <f>IFERROR(__xludf.DUMMYFUNCTION("""COMPUTED_VALUE"""),3398.0)</f>
        <v>3398</v>
      </c>
      <c r="Q68" s="230">
        <f>IFERROR(__xludf.DUMMYFUNCTION("""COMPUTED_VALUE"""),0.0271)</f>
        <v>0.0271</v>
      </c>
      <c r="R68" s="230">
        <f>IFERROR(__xludf.DUMMYFUNCTION("""COMPUTED_VALUE"""),0.0658)</f>
        <v>0.0658</v>
      </c>
      <c r="S68" s="231">
        <f>IFERROR(__xludf.DUMMYFUNCTION("""COMPUTED_VALUE"""),1.0)</f>
        <v>1</v>
      </c>
      <c r="T68" s="231">
        <f>IFERROR(__xludf.DUMMYFUNCTION("""COMPUTED_VALUE"""),4.0)</f>
        <v>4</v>
      </c>
      <c r="U68" s="229">
        <f>IFERROR(__xludf.DUMMYFUNCTION("""COMPUTED_VALUE"""),7499.0)</f>
        <v>7499</v>
      </c>
      <c r="V68" s="231" t="str">
        <f>IFERROR(__xludf.DUMMYFUNCTION("""COMPUTED_VALUE"""),"online")</f>
        <v>online</v>
      </c>
      <c r="W68" s="231" t="str">
        <f>IFERROR(__xludf.DUMMYFUNCTION("""COMPUTED_VALUE"""),"simple ")</f>
        <v>simple </v>
      </c>
      <c r="X68" s="231" t="str">
        <f>IFERROR(__xludf.DUMMYFUNCTION("""COMPUTED_VALUE"""),"App_Push_Cust")</f>
        <v>App_Push_Cust</v>
      </c>
      <c r="Y68" s="231" t="str">
        <f>IFERROR(__xludf.DUMMYFUNCTION("""COMPUTED_VALUE"""),"7-9th March 2026 ")</f>
        <v>7-9th March 2026 </v>
      </c>
      <c r="Z68" s="231" t="str">
        <f>IFERROR(__xludf.DUMMYFUNCTION("""COMPUTED_VALUE"""),"69aad4c1e9e1b46421f344c8")</f>
        <v>69aad4c1e9e1b46421f344c8</v>
      </c>
      <c r="AA68" s="229">
        <f>IFERROR(__xludf.DUMMYFUNCTION("""COMPUTED_VALUE"""),3.0)</f>
        <v>3</v>
      </c>
      <c r="AB68" s="229">
        <f>IFERROR(__xludf.DUMMYFUNCTION("""COMPUTED_VALUE"""),3.0)</f>
        <v>3</v>
      </c>
      <c r="AC68" s="229">
        <f>IFERROR(__xludf.DUMMYFUNCTION("""COMPUTED_VALUE"""),0.0)</f>
        <v>0</v>
      </c>
      <c r="AD68" s="229">
        <f>IFERROR(__xludf.DUMMYFUNCTION("""COMPUTED_VALUE"""),42116.0)</f>
        <v>42116</v>
      </c>
      <c r="AE68" s="229">
        <f>IFERROR(__xludf.DUMMYFUNCTION("""COMPUTED_VALUE"""),42116.0)</f>
        <v>42116</v>
      </c>
      <c r="AF68" s="229">
        <f>IFERROR(__xludf.DUMMYFUNCTION("""COMPUTED_VALUE"""),0.0)</f>
        <v>0</v>
      </c>
      <c r="AG68" s="232"/>
      <c r="AH68" s="232"/>
      <c r="AI68" s="232"/>
      <c r="AJ68" s="232"/>
      <c r="AK68" s="232"/>
    </row>
    <row r="69">
      <c r="A69" s="227">
        <f>IFERROR(__xludf.DUMMYFUNCTION("""COMPUTED_VALUE"""),46088.0)</f>
        <v>46088</v>
      </c>
      <c r="B69" s="228">
        <f>IFERROR(__xludf.DUMMYFUNCTION("""COMPUTED_VALUE"""),0.3333333333321207)</f>
        <v>0.3333333333</v>
      </c>
      <c r="C69" s="223" t="str">
        <f>IFERROR(__xludf.DUMMYFUNCTION("""COMPUTED_VALUE"""),"Whatsapp")</f>
        <v>Whatsapp</v>
      </c>
      <c r="D69" s="223" t="str">
        <f>IFERROR(__xludf.DUMMYFUNCTION("""COMPUTED_VALUE"""),"Promotional")</f>
        <v>Promotional</v>
      </c>
      <c r="E69" s="223" t="str">
        <f>IFERROR(__xludf.DUMMYFUNCTION("""COMPUTED_VALUE"""),"Aldo")</f>
        <v>Aldo</v>
      </c>
      <c r="F69" s="223" t="str">
        <f>IFERROR(__xludf.DUMMYFUNCTION("""COMPUTED_VALUE"""),"New Launch")</f>
        <v>New Launch</v>
      </c>
      <c r="G69" s="223" t="str">
        <f>IFERROR(__xludf.DUMMYFUNCTION("""COMPUTED_VALUE"""),"01_WAM_AbdCheck")</f>
        <v>01_WAM_AbdCheck</v>
      </c>
      <c r="H69" s="223" t="str">
        <f>IFERROR(__xludf.DUMMYFUNCTION("""COMPUTED_VALUE"""),"AbdCheck-17-2-26")</f>
        <v>AbdCheck-17-2-26</v>
      </c>
      <c r="I69" s="223" t="str">
        <f>IFERROR(__xludf.DUMMYFUNCTION("""COMPUTED_VALUE"""),"No brief")</f>
        <v>No brief</v>
      </c>
      <c r="J69" s="229">
        <f>IFERROR(__xludf.DUMMYFUNCTION("""COMPUTED_VALUE"""),268.0)</f>
        <v>268</v>
      </c>
      <c r="K69" s="229">
        <f>IFERROR(__xludf.DUMMYFUNCTION("""COMPUTED_VALUE"""),111.0)</f>
        <v>111</v>
      </c>
      <c r="L69" s="230">
        <f>IFERROR(__xludf.DUMMYFUNCTION("""COMPUTED_VALUE"""),0.4142)</f>
        <v>0.4142</v>
      </c>
      <c r="M69" s="229">
        <f>IFERROR(__xludf.DUMMYFUNCTION("""COMPUTED_VALUE"""),57.0)</f>
        <v>57</v>
      </c>
      <c r="N69" s="230">
        <f>IFERROR(__xludf.DUMMYFUNCTION("""COMPUTED_VALUE"""),0.5135)</f>
        <v>0.5135</v>
      </c>
      <c r="O69" s="231">
        <f>IFERROR(__xludf.DUMMYFUNCTION("""COMPUTED_VALUE"""),4.0)</f>
        <v>4</v>
      </c>
      <c r="P69" s="231">
        <f>IFERROR(__xludf.DUMMYFUNCTION("""COMPUTED_VALUE"""),4.0)</f>
        <v>4</v>
      </c>
      <c r="Q69" s="230">
        <f>IFERROR(__xludf.DUMMYFUNCTION("""COMPUTED_VALUE"""),0.036)</f>
        <v>0.036</v>
      </c>
      <c r="R69" s="230">
        <f>IFERROR(__xludf.DUMMYFUNCTION("""COMPUTED_VALUE"""),0.0702)</f>
        <v>0.0702</v>
      </c>
      <c r="S69" s="231">
        <f>IFERROR(__xludf.DUMMYFUNCTION("""COMPUTED_VALUE"""),0.0)</f>
        <v>0</v>
      </c>
      <c r="T69" s="231">
        <f>IFERROR(__xludf.DUMMYFUNCTION("""COMPUTED_VALUE"""),0.0)</f>
        <v>0</v>
      </c>
      <c r="U69" s="229">
        <f>IFERROR(__xludf.DUMMYFUNCTION("""COMPUTED_VALUE"""),0.0)</f>
        <v>0</v>
      </c>
      <c r="V69" s="231" t="str">
        <f>IFERROR(__xludf.DUMMYFUNCTION("""COMPUTED_VALUE"""),"online")</f>
        <v>online</v>
      </c>
      <c r="W69" s="231" t="str">
        <f>IFERROR(__xludf.DUMMYFUNCTION("""COMPUTED_VALUE"""),"simple ")</f>
        <v>simple </v>
      </c>
      <c r="X69" s="231" t="str">
        <f>IFERROR(__xludf.DUMMYFUNCTION("""COMPUTED_VALUE"""),"No brief")</f>
        <v>No brief</v>
      </c>
      <c r="Y69" s="231" t="str">
        <f>IFERROR(__xludf.DUMMYFUNCTION("""COMPUTED_VALUE"""),"7-9th March 2026 ")</f>
        <v>7-9th March 2026 </v>
      </c>
      <c r="Z69" s="231" t="str">
        <f>IFERROR(__xludf.DUMMYFUNCTION("""COMPUTED_VALUE"""),"69aae180a57ee38880a9f79b")</f>
        <v>69aae180a57ee38880a9f79b</v>
      </c>
      <c r="AA69" s="229">
        <f>IFERROR(__xludf.DUMMYFUNCTION("""COMPUTED_VALUE"""),0.0)</f>
        <v>0</v>
      </c>
      <c r="AB69" s="229">
        <f>IFERROR(__xludf.DUMMYFUNCTION("""COMPUTED_VALUE"""),0.0)</f>
        <v>0</v>
      </c>
      <c r="AC69" s="229">
        <f>IFERROR(__xludf.DUMMYFUNCTION("""COMPUTED_VALUE"""),0.0)</f>
        <v>0</v>
      </c>
      <c r="AD69" s="229">
        <f>IFERROR(__xludf.DUMMYFUNCTION("""COMPUTED_VALUE"""),0.0)</f>
        <v>0</v>
      </c>
      <c r="AE69" s="229">
        <f>IFERROR(__xludf.DUMMYFUNCTION("""COMPUTED_VALUE"""),0.0)</f>
        <v>0</v>
      </c>
      <c r="AF69" s="229">
        <f>IFERROR(__xludf.DUMMYFUNCTION("""COMPUTED_VALUE"""),0.0)</f>
        <v>0</v>
      </c>
      <c r="AG69" s="232"/>
      <c r="AH69" s="232"/>
      <c r="AI69" s="232"/>
      <c r="AJ69" s="232"/>
      <c r="AK69" s="232"/>
    </row>
    <row r="70">
      <c r="A70" s="227">
        <f>IFERROR(__xludf.DUMMYFUNCTION("""COMPUTED_VALUE"""),46088.0)</f>
        <v>46088</v>
      </c>
      <c r="B70" s="228">
        <f>IFERROR(__xludf.DUMMYFUNCTION("""COMPUTED_VALUE"""),0.3333333333321207)</f>
        <v>0.3333333333</v>
      </c>
      <c r="C70" s="223" t="str">
        <f>IFERROR(__xludf.DUMMYFUNCTION("""COMPUTED_VALUE"""),"Whatsapp")</f>
        <v>Whatsapp</v>
      </c>
      <c r="D70" s="223" t="str">
        <f>IFERROR(__xludf.DUMMYFUNCTION("""COMPUTED_VALUE"""),"Promotional")</f>
        <v>Promotional</v>
      </c>
      <c r="E70" s="223" t="str">
        <f>IFERROR(__xludf.DUMMYFUNCTION("""COMPUTED_VALUE"""),"Aldo")</f>
        <v>Aldo</v>
      </c>
      <c r="F70" s="223" t="str">
        <f>IFERROR(__xludf.DUMMYFUNCTION("""COMPUTED_VALUE"""),"New Launch")</f>
        <v>New Launch</v>
      </c>
      <c r="G70" s="223" t="str">
        <f>IFERROR(__xludf.DUMMYFUNCTION("""COMPUTED_VALUE"""),"02_WAM_PV-Intent-Footwear")</f>
        <v>02_WAM_PV-Intent-Footwear</v>
      </c>
      <c r="H70" s="223" t="str">
        <f>IFERROR(__xludf.DUMMYFUNCTION("""COMPUTED_VALUE"""),"PV-Intent-Footwear-17-2-26")</f>
        <v>PV-Intent-Footwear-17-2-26</v>
      </c>
      <c r="I70" s="223" t="str">
        <f>IFERROR(__xludf.DUMMYFUNCTION("""COMPUTED_VALUE"""),"No brief")</f>
        <v>No brief</v>
      </c>
      <c r="J70" s="229">
        <f>IFERROR(__xludf.DUMMYFUNCTION("""COMPUTED_VALUE"""),1981.0)</f>
        <v>1981</v>
      </c>
      <c r="K70" s="229">
        <f>IFERROR(__xludf.DUMMYFUNCTION("""COMPUTED_VALUE"""),844.0)</f>
        <v>844</v>
      </c>
      <c r="L70" s="230">
        <f>IFERROR(__xludf.DUMMYFUNCTION("""COMPUTED_VALUE"""),0.426)</f>
        <v>0.426</v>
      </c>
      <c r="M70" s="229">
        <f>IFERROR(__xludf.DUMMYFUNCTION("""COMPUTED_VALUE"""),474.0)</f>
        <v>474</v>
      </c>
      <c r="N70" s="230">
        <f>IFERROR(__xludf.DUMMYFUNCTION("""COMPUTED_VALUE"""),0.5616)</f>
        <v>0.5616</v>
      </c>
      <c r="O70" s="231">
        <f>IFERROR(__xludf.DUMMYFUNCTION("""COMPUTED_VALUE"""),89.0)</f>
        <v>89</v>
      </c>
      <c r="P70" s="231">
        <f>IFERROR(__xludf.DUMMYFUNCTION("""COMPUTED_VALUE"""),86.0)</f>
        <v>86</v>
      </c>
      <c r="Q70" s="230">
        <f>IFERROR(__xludf.DUMMYFUNCTION("""COMPUTED_VALUE"""),0.1019)</f>
        <v>0.1019</v>
      </c>
      <c r="R70" s="230">
        <f>IFERROR(__xludf.DUMMYFUNCTION("""COMPUTED_VALUE"""),0.1814)</f>
        <v>0.1814</v>
      </c>
      <c r="S70" s="231">
        <f>IFERROR(__xludf.DUMMYFUNCTION("""COMPUTED_VALUE"""),1.0)</f>
        <v>1</v>
      </c>
      <c r="T70" s="231">
        <f>IFERROR(__xludf.DUMMYFUNCTION("""COMPUTED_VALUE"""),5.0)</f>
        <v>5</v>
      </c>
      <c r="U70" s="229">
        <f>IFERROR(__xludf.DUMMYFUNCTION("""COMPUTED_VALUE"""),5398.0)</f>
        <v>5398</v>
      </c>
      <c r="V70" s="231" t="str">
        <f>IFERROR(__xludf.DUMMYFUNCTION("""COMPUTED_VALUE"""),"online")</f>
        <v>online</v>
      </c>
      <c r="W70" s="231" t="str">
        <f>IFERROR(__xludf.DUMMYFUNCTION("""COMPUTED_VALUE"""),"simple ")</f>
        <v>simple </v>
      </c>
      <c r="X70" s="231" t="str">
        <f>IFERROR(__xludf.DUMMYFUNCTION("""COMPUTED_VALUE"""),"No brief")</f>
        <v>No brief</v>
      </c>
      <c r="Y70" s="231" t="str">
        <f>IFERROR(__xludf.DUMMYFUNCTION("""COMPUTED_VALUE"""),"7-9th March 2026 ")</f>
        <v>7-9th March 2026 </v>
      </c>
      <c r="Z70" s="231" t="str">
        <f>IFERROR(__xludf.DUMMYFUNCTION("""COMPUTED_VALUE"""),"69aae28181009227f640fe62")</f>
        <v>69aae28181009227f640fe62</v>
      </c>
      <c r="AA70" s="229">
        <f>IFERROR(__xludf.DUMMYFUNCTION("""COMPUTED_VALUE"""),2.0)</f>
        <v>2</v>
      </c>
      <c r="AB70" s="229">
        <f>IFERROR(__xludf.DUMMYFUNCTION("""COMPUTED_VALUE"""),2.0)</f>
        <v>2</v>
      </c>
      <c r="AC70" s="229">
        <f>IFERROR(__xludf.DUMMYFUNCTION("""COMPUTED_VALUE"""),0.0)</f>
        <v>0</v>
      </c>
      <c r="AD70" s="229">
        <f>IFERROR(__xludf.DUMMYFUNCTION("""COMPUTED_VALUE"""),16017.0)</f>
        <v>16017</v>
      </c>
      <c r="AE70" s="229">
        <f>IFERROR(__xludf.DUMMYFUNCTION("""COMPUTED_VALUE"""),16017.0)</f>
        <v>16017</v>
      </c>
      <c r="AF70" s="229">
        <f>IFERROR(__xludf.DUMMYFUNCTION("""COMPUTED_VALUE"""),0.0)</f>
        <v>0</v>
      </c>
      <c r="AG70" s="232"/>
      <c r="AH70" s="232"/>
      <c r="AI70" s="232"/>
      <c r="AJ70" s="232"/>
      <c r="AK70" s="232"/>
    </row>
    <row r="71">
      <c r="A71" s="227">
        <f>IFERROR(__xludf.DUMMYFUNCTION("""COMPUTED_VALUE"""),46088.0)</f>
        <v>46088</v>
      </c>
      <c r="B71" s="228">
        <f>IFERROR(__xludf.DUMMYFUNCTION("""COMPUTED_VALUE"""),0.3333333333321207)</f>
        <v>0.3333333333</v>
      </c>
      <c r="C71" s="223" t="str">
        <f>IFERROR(__xludf.DUMMYFUNCTION("""COMPUTED_VALUE"""),"Whatsapp")</f>
        <v>Whatsapp</v>
      </c>
      <c r="D71" s="223" t="str">
        <f>IFERROR(__xludf.DUMMYFUNCTION("""COMPUTED_VALUE"""),"Promotional")</f>
        <v>Promotional</v>
      </c>
      <c r="E71" s="223" t="str">
        <f>IFERROR(__xludf.DUMMYFUNCTION("""COMPUTED_VALUE"""),"Aldo")</f>
        <v>Aldo</v>
      </c>
      <c r="F71" s="223" t="str">
        <f>IFERROR(__xludf.DUMMYFUNCTION("""COMPUTED_VALUE"""),"New Launch")</f>
        <v>New Launch</v>
      </c>
      <c r="G71" s="223" t="str">
        <f>IFERROR(__xludf.DUMMYFUNCTION("""COMPUTED_VALUE"""),"03_WAM_Footwear-FullPriceUsers")</f>
        <v>03_WAM_Footwear-FullPriceUsers</v>
      </c>
      <c r="H71" s="223" t="str">
        <f>IFERROR(__xludf.DUMMYFUNCTION("""COMPUTED_VALUE"""),"AL-Footwear-FullPriceUsers-ON")</f>
        <v>AL-Footwear-FullPriceUsers-ON</v>
      </c>
      <c r="I71" s="223" t="str">
        <f>IFERROR(__xludf.DUMMYFUNCTION("""COMPUTED_VALUE"""),"No brief")</f>
        <v>No brief</v>
      </c>
      <c r="J71" s="229">
        <f>IFERROR(__xludf.DUMMYFUNCTION("""COMPUTED_VALUE"""),657.0)</f>
        <v>657</v>
      </c>
      <c r="K71" s="229">
        <f>IFERROR(__xludf.DUMMYFUNCTION("""COMPUTED_VALUE"""),196.0)</f>
        <v>196</v>
      </c>
      <c r="L71" s="230">
        <f>IFERROR(__xludf.DUMMYFUNCTION("""COMPUTED_VALUE"""),0.2983)</f>
        <v>0.2983</v>
      </c>
      <c r="M71" s="229">
        <f>IFERROR(__xludf.DUMMYFUNCTION("""COMPUTED_VALUE"""),75.0)</f>
        <v>75</v>
      </c>
      <c r="N71" s="230">
        <f>IFERROR(__xludf.DUMMYFUNCTION("""COMPUTED_VALUE"""),0.3827)</f>
        <v>0.3827</v>
      </c>
      <c r="O71" s="231">
        <f>IFERROR(__xludf.DUMMYFUNCTION("""COMPUTED_VALUE"""),1.0)</f>
        <v>1</v>
      </c>
      <c r="P71" s="231">
        <f>IFERROR(__xludf.DUMMYFUNCTION("""COMPUTED_VALUE"""),1.0)</f>
        <v>1</v>
      </c>
      <c r="Q71" s="230">
        <f>IFERROR(__xludf.DUMMYFUNCTION("""COMPUTED_VALUE"""),0.0051)</f>
        <v>0.0051</v>
      </c>
      <c r="R71" s="230">
        <f>IFERROR(__xludf.DUMMYFUNCTION("""COMPUTED_VALUE"""),0.0133)</f>
        <v>0.0133</v>
      </c>
      <c r="S71" s="231">
        <f>IFERROR(__xludf.DUMMYFUNCTION("""COMPUTED_VALUE"""),0.0)</f>
        <v>0</v>
      </c>
      <c r="T71" s="231">
        <f>IFERROR(__xludf.DUMMYFUNCTION("""COMPUTED_VALUE"""),0.0)</f>
        <v>0</v>
      </c>
      <c r="U71" s="229">
        <f>IFERROR(__xludf.DUMMYFUNCTION("""COMPUTED_VALUE"""),0.0)</f>
        <v>0</v>
      </c>
      <c r="V71" s="231" t="str">
        <f>IFERROR(__xludf.DUMMYFUNCTION("""COMPUTED_VALUE"""),"online")</f>
        <v>online</v>
      </c>
      <c r="W71" s="231" t="str">
        <f>IFERROR(__xludf.DUMMYFUNCTION("""COMPUTED_VALUE"""),"simple ")</f>
        <v>simple </v>
      </c>
      <c r="X71" s="231" t="str">
        <f>IFERROR(__xludf.DUMMYFUNCTION("""COMPUTED_VALUE"""),"No brief")</f>
        <v>No brief</v>
      </c>
      <c r="Y71" s="231" t="str">
        <f>IFERROR(__xludf.DUMMYFUNCTION("""COMPUTED_VALUE"""),"7-9th March 2026 ")</f>
        <v>7-9th March 2026 </v>
      </c>
      <c r="Z71" s="231" t="str">
        <f>IFERROR(__xludf.DUMMYFUNCTION("""COMPUTED_VALUE"""),"69aae32cb5a8f919748c4f69")</f>
        <v>69aae32cb5a8f919748c4f69</v>
      </c>
      <c r="AA71" s="229">
        <f>IFERROR(__xludf.DUMMYFUNCTION("""COMPUTED_VALUE"""),0.0)</f>
        <v>0</v>
      </c>
      <c r="AB71" s="229">
        <f>IFERROR(__xludf.DUMMYFUNCTION("""COMPUTED_VALUE"""),0.0)</f>
        <v>0</v>
      </c>
      <c r="AC71" s="229"/>
      <c r="AD71" s="229">
        <f>IFERROR(__xludf.DUMMYFUNCTION("""COMPUTED_VALUE"""),0.0)</f>
        <v>0</v>
      </c>
      <c r="AE71" s="229">
        <f>IFERROR(__xludf.DUMMYFUNCTION("""COMPUTED_VALUE"""),0.0)</f>
        <v>0</v>
      </c>
      <c r="AF71" s="229"/>
      <c r="AG71" s="232"/>
      <c r="AH71" s="232"/>
      <c r="AI71" s="232"/>
      <c r="AJ71" s="232"/>
      <c r="AK71" s="232"/>
    </row>
    <row r="72">
      <c r="A72" s="227">
        <f>IFERROR(__xludf.DUMMYFUNCTION("""COMPUTED_VALUE"""),46088.0)</f>
        <v>46088</v>
      </c>
      <c r="B72" s="228">
        <f>IFERROR(__xludf.DUMMYFUNCTION("""COMPUTED_VALUE"""),0.3333333333321207)</f>
        <v>0.3333333333</v>
      </c>
      <c r="C72" s="223" t="str">
        <f>IFERROR(__xludf.DUMMYFUNCTION("""COMPUTED_VALUE"""),"Whatsapp")</f>
        <v>Whatsapp</v>
      </c>
      <c r="D72" s="223" t="str">
        <f>IFERROR(__xludf.DUMMYFUNCTION("""COMPUTED_VALUE"""),"Promotional")</f>
        <v>Promotional</v>
      </c>
      <c r="E72" s="223" t="str">
        <f>IFERROR(__xludf.DUMMYFUNCTION("""COMPUTED_VALUE"""),"Aldo")</f>
        <v>Aldo</v>
      </c>
      <c r="F72" s="223" t="str">
        <f>IFERROR(__xludf.DUMMYFUNCTION("""COMPUTED_VALUE"""),"New Launch")</f>
        <v>New Launch</v>
      </c>
      <c r="G72" s="223" t="str">
        <f>IFERROR(__xludf.DUMMYFUNCTION("""COMPUTED_VALUE"""),"04_WAM_Map_Shoes")</f>
        <v>04_WAM_Map_Shoes</v>
      </c>
      <c r="H72" s="223" t="str">
        <f>IFERROR(__xludf.DUMMYFUNCTION("""COMPUTED_VALUE"""),"AL_Map_Shoes_ONLINE")</f>
        <v>AL_Map_Shoes_ONLINE</v>
      </c>
      <c r="I72" s="223" t="str">
        <f>IFERROR(__xludf.DUMMYFUNCTION("""COMPUTED_VALUE"""),"No brief")</f>
        <v>No brief</v>
      </c>
      <c r="J72" s="229">
        <f>IFERROR(__xludf.DUMMYFUNCTION("""COMPUTED_VALUE"""),26947.0)</f>
        <v>26947</v>
      </c>
      <c r="K72" s="229">
        <f>IFERROR(__xludf.DUMMYFUNCTION("""COMPUTED_VALUE"""),9453.0)</f>
        <v>9453</v>
      </c>
      <c r="L72" s="230">
        <f>IFERROR(__xludf.DUMMYFUNCTION("""COMPUTED_VALUE"""),0.3508)</f>
        <v>0.3508</v>
      </c>
      <c r="M72" s="229">
        <f>IFERROR(__xludf.DUMMYFUNCTION("""COMPUTED_VALUE"""),3912.0)</f>
        <v>3912</v>
      </c>
      <c r="N72" s="230">
        <f>IFERROR(__xludf.DUMMYFUNCTION("""COMPUTED_VALUE"""),0.4138)</f>
        <v>0.4138</v>
      </c>
      <c r="O72" s="231">
        <f>IFERROR(__xludf.DUMMYFUNCTION("""COMPUTED_VALUE"""),179.0)</f>
        <v>179</v>
      </c>
      <c r="P72" s="231">
        <f>IFERROR(__xludf.DUMMYFUNCTION("""COMPUTED_VALUE"""),172.0)</f>
        <v>172</v>
      </c>
      <c r="Q72" s="230">
        <f>IFERROR(__xludf.DUMMYFUNCTION("""COMPUTED_VALUE"""),0.0182)</f>
        <v>0.0182</v>
      </c>
      <c r="R72" s="230">
        <f>IFERROR(__xludf.DUMMYFUNCTION("""COMPUTED_VALUE"""),0.044)</f>
        <v>0.044</v>
      </c>
      <c r="S72" s="231">
        <f>IFERROR(__xludf.DUMMYFUNCTION("""COMPUTED_VALUE"""),0.0)</f>
        <v>0</v>
      </c>
      <c r="T72" s="231">
        <f>IFERROR(__xludf.DUMMYFUNCTION("""COMPUTED_VALUE"""),0.0)</f>
        <v>0</v>
      </c>
      <c r="U72" s="229">
        <f>IFERROR(__xludf.DUMMYFUNCTION("""COMPUTED_VALUE"""),0.0)</f>
        <v>0</v>
      </c>
      <c r="V72" s="231" t="str">
        <f>IFERROR(__xludf.DUMMYFUNCTION("""COMPUTED_VALUE"""),"online")</f>
        <v>online</v>
      </c>
      <c r="W72" s="231" t="str">
        <f>IFERROR(__xludf.DUMMYFUNCTION("""COMPUTED_VALUE"""),"simple ")</f>
        <v>simple </v>
      </c>
      <c r="X72" s="231" t="str">
        <f>IFERROR(__xludf.DUMMYFUNCTION("""COMPUTED_VALUE"""),"No brief")</f>
        <v>No brief</v>
      </c>
      <c r="Y72" s="231" t="str">
        <f>IFERROR(__xludf.DUMMYFUNCTION("""COMPUTED_VALUE"""),"7-9th March 2026 ")</f>
        <v>7-9th March 2026 </v>
      </c>
      <c r="Z72" s="231" t="str">
        <f>IFERROR(__xludf.DUMMYFUNCTION("""COMPUTED_VALUE"""),"69aae3c1a57ee38880a9f7cc")</f>
        <v>69aae3c1a57ee38880a9f7cc</v>
      </c>
      <c r="AA72" s="229">
        <f>IFERROR(__xludf.DUMMYFUNCTION("""COMPUTED_VALUE"""),3.0)</f>
        <v>3</v>
      </c>
      <c r="AB72" s="229">
        <f>IFERROR(__xludf.DUMMYFUNCTION("""COMPUTED_VALUE"""),3.0)</f>
        <v>3</v>
      </c>
      <c r="AC72" s="229"/>
      <c r="AD72" s="229">
        <f>IFERROR(__xludf.DUMMYFUNCTION("""COMPUTED_VALUE"""),32498.0)</f>
        <v>32498</v>
      </c>
      <c r="AE72" s="229">
        <f>IFERROR(__xludf.DUMMYFUNCTION("""COMPUTED_VALUE"""),32498.0)</f>
        <v>32498</v>
      </c>
      <c r="AF72" s="229"/>
      <c r="AG72" s="232"/>
      <c r="AH72" s="232"/>
      <c r="AI72" s="232"/>
      <c r="AJ72" s="232"/>
      <c r="AK72" s="232"/>
    </row>
    <row r="73">
      <c r="A73" s="227">
        <f>IFERROR(__xludf.DUMMYFUNCTION("""COMPUTED_VALUE"""),46088.0)</f>
        <v>46088</v>
      </c>
      <c r="B73" s="228">
        <f>IFERROR(__xludf.DUMMYFUNCTION("""COMPUTED_VALUE"""),0.3333333333321207)</f>
        <v>0.3333333333</v>
      </c>
      <c r="C73" s="223" t="str">
        <f>IFERROR(__xludf.DUMMYFUNCTION("""COMPUTED_VALUE"""),"Whatsapp")</f>
        <v>Whatsapp</v>
      </c>
      <c r="D73" s="223" t="str">
        <f>IFERROR(__xludf.DUMMYFUNCTION("""COMPUTED_VALUE"""),"Promotional")</f>
        <v>Promotional</v>
      </c>
      <c r="E73" s="223" t="str">
        <f>IFERROR(__xludf.DUMMYFUNCTION("""COMPUTED_VALUE"""),"Aldo")</f>
        <v>Aldo</v>
      </c>
      <c r="F73" s="223" t="str">
        <f>IFERROR(__xludf.DUMMYFUNCTION("""COMPUTED_VALUE"""),"New Launch")</f>
        <v>New Launch</v>
      </c>
      <c r="G73" s="223" t="str">
        <f>IFERROR(__xludf.DUMMYFUNCTION("""COMPUTED_VALUE"""),"05_Map_Footwear_3Y")</f>
        <v>05_Map_Footwear_3Y</v>
      </c>
      <c r="H73" s="223" t="str">
        <f>IFERROR(__xludf.DUMMYFUNCTION("""COMPUTED_VALUE"""),"Al_Map_Footwear_3Y_Predom_ON")</f>
        <v>Al_Map_Footwear_3Y_Predom_ON</v>
      </c>
      <c r="I73" s="223" t="str">
        <f>IFERROR(__xludf.DUMMYFUNCTION("""COMPUTED_VALUE"""),"No brief")</f>
        <v>No brief</v>
      </c>
      <c r="J73" s="229">
        <f>IFERROR(__xludf.DUMMYFUNCTION("""COMPUTED_VALUE"""),10993.0)</f>
        <v>10993</v>
      </c>
      <c r="K73" s="229">
        <f>IFERROR(__xludf.DUMMYFUNCTION("""COMPUTED_VALUE"""),3635.0)</f>
        <v>3635</v>
      </c>
      <c r="L73" s="230">
        <f>IFERROR(__xludf.DUMMYFUNCTION("""COMPUTED_VALUE"""),0.3307)</f>
        <v>0.3307</v>
      </c>
      <c r="M73" s="229">
        <f>IFERROR(__xludf.DUMMYFUNCTION("""COMPUTED_VALUE"""),1426.0)</f>
        <v>1426</v>
      </c>
      <c r="N73" s="230">
        <f>IFERROR(__xludf.DUMMYFUNCTION("""COMPUTED_VALUE"""),0.3923)</f>
        <v>0.3923</v>
      </c>
      <c r="O73" s="231">
        <f>IFERROR(__xludf.DUMMYFUNCTION("""COMPUTED_VALUE"""),79.0)</f>
        <v>79</v>
      </c>
      <c r="P73" s="231">
        <f>IFERROR(__xludf.DUMMYFUNCTION("""COMPUTED_VALUE"""),75.0)</f>
        <v>75</v>
      </c>
      <c r="Q73" s="230">
        <f>IFERROR(__xludf.DUMMYFUNCTION("""COMPUTED_VALUE"""),0.0206)</f>
        <v>0.0206</v>
      </c>
      <c r="R73" s="230">
        <f>IFERROR(__xludf.DUMMYFUNCTION("""COMPUTED_VALUE"""),0.0526)</f>
        <v>0.0526</v>
      </c>
      <c r="S73" s="231">
        <f>IFERROR(__xludf.DUMMYFUNCTION("""COMPUTED_VALUE"""),0.0)</f>
        <v>0</v>
      </c>
      <c r="T73" s="231">
        <f>IFERROR(__xludf.DUMMYFUNCTION("""COMPUTED_VALUE"""),2.0)</f>
        <v>2</v>
      </c>
      <c r="U73" s="229">
        <f>IFERROR(__xludf.DUMMYFUNCTION("""COMPUTED_VALUE"""),0.0)</f>
        <v>0</v>
      </c>
      <c r="V73" s="231" t="str">
        <f>IFERROR(__xludf.DUMMYFUNCTION("""COMPUTED_VALUE"""),"online")</f>
        <v>online</v>
      </c>
      <c r="W73" s="231" t="str">
        <f>IFERROR(__xludf.DUMMYFUNCTION("""COMPUTED_VALUE"""),"simple ")</f>
        <v>simple </v>
      </c>
      <c r="X73" s="231" t="str">
        <f>IFERROR(__xludf.DUMMYFUNCTION("""COMPUTED_VALUE"""),"No brief")</f>
        <v>No brief</v>
      </c>
      <c r="Y73" s="231" t="str">
        <f>IFERROR(__xludf.DUMMYFUNCTION("""COMPUTED_VALUE"""),"7-9th March 2026 ")</f>
        <v>7-9th March 2026 </v>
      </c>
      <c r="Z73" s="231" t="str">
        <f>IFERROR(__xludf.DUMMYFUNCTION("""COMPUTED_VALUE"""),"69aae3e89a919acb485986c6")</f>
        <v>69aae3e89a919acb485986c6</v>
      </c>
      <c r="AA73" s="229">
        <f>IFERROR(__xludf.DUMMYFUNCTION("""COMPUTED_VALUE"""),0.0)</f>
        <v>0</v>
      </c>
      <c r="AB73" s="229">
        <f>IFERROR(__xludf.DUMMYFUNCTION("""COMPUTED_VALUE"""),0.0)</f>
        <v>0</v>
      </c>
      <c r="AC73" s="229"/>
      <c r="AD73" s="229">
        <f>IFERROR(__xludf.DUMMYFUNCTION("""COMPUTED_VALUE"""),0.0)</f>
        <v>0</v>
      </c>
      <c r="AE73" s="229">
        <f>IFERROR(__xludf.DUMMYFUNCTION("""COMPUTED_VALUE"""),0.0)</f>
        <v>0</v>
      </c>
      <c r="AF73" s="229"/>
      <c r="AG73" s="232"/>
      <c r="AH73" s="232"/>
      <c r="AI73" s="232"/>
      <c r="AJ73" s="232"/>
      <c r="AK73" s="232"/>
    </row>
    <row r="74">
      <c r="A74" s="227">
        <f>IFERROR(__xludf.DUMMYFUNCTION("""COMPUTED_VALUE"""),46088.0)</f>
        <v>46088</v>
      </c>
      <c r="B74" s="228">
        <f>IFERROR(__xludf.DUMMYFUNCTION("""COMPUTED_VALUE"""),0.4166666666678793)</f>
        <v>0.4166666667</v>
      </c>
      <c r="C74" s="223" t="str">
        <f>IFERROR(__xludf.DUMMYFUNCTION("""COMPUTED_VALUE"""),"Sms")</f>
        <v>Sms</v>
      </c>
      <c r="D74" s="223" t="str">
        <f>IFERROR(__xludf.DUMMYFUNCTION("""COMPUTED_VALUE"""),"Promotional")</f>
        <v>Promotional</v>
      </c>
      <c r="E74" s="223" t="str">
        <f>IFERROR(__xludf.DUMMYFUNCTION("""COMPUTED_VALUE"""),"Aldo")</f>
        <v>Aldo</v>
      </c>
      <c r="F74" s="223" t="str">
        <f>IFERROR(__xludf.DUMMYFUNCTION("""COMPUTED_VALUE"""),"Women's Day")</f>
        <v>Women's Day</v>
      </c>
      <c r="G74" s="223" t="str">
        <f>IFERROR(__xludf.DUMMYFUNCTION("""COMPUTED_VALUE"""),"Women's Day Offer _ Stores Only")</f>
        <v>Women's Day Offer _ Stores Only</v>
      </c>
      <c r="H74" s="223" t="str">
        <f>IFERROR(__xludf.DUMMYFUNCTION("""COMPUTED_VALUE"""),"Offline_Buyers_12M")</f>
        <v>Offline_Buyers_12M</v>
      </c>
      <c r="I74" s="223" t="str">
        <f>IFERROR(__xludf.DUMMYFUNCTION("""COMPUTED_VALUE"""),"No brief")</f>
        <v>No brief</v>
      </c>
      <c r="J74" s="229">
        <f>IFERROR(__xludf.DUMMYFUNCTION("""COMPUTED_VALUE"""),122646.0)</f>
        <v>122646</v>
      </c>
      <c r="K74" s="229">
        <f>IFERROR(__xludf.DUMMYFUNCTION("""COMPUTED_VALUE"""),71838.0)</f>
        <v>71838</v>
      </c>
      <c r="L74" s="230">
        <f>IFERROR(__xludf.DUMMYFUNCTION("""COMPUTED_VALUE"""),0.5857)</f>
        <v>0.5857</v>
      </c>
      <c r="M74" s="229"/>
      <c r="N74" s="230"/>
      <c r="O74" s="231">
        <f>IFERROR(__xludf.DUMMYFUNCTION("""COMPUTED_VALUE"""),138.0)</f>
        <v>138</v>
      </c>
      <c r="P74" s="231"/>
      <c r="Q74" s="230">
        <f>IFERROR(__xludf.DUMMYFUNCTION("""COMPUTED_VALUE"""),0.0019)</f>
        <v>0.0019</v>
      </c>
      <c r="R74" s="230"/>
      <c r="S74" s="231">
        <f>IFERROR(__xludf.DUMMYFUNCTION("""COMPUTED_VALUE"""),0.0)</f>
        <v>0</v>
      </c>
      <c r="T74" s="231">
        <f>IFERROR(__xludf.DUMMYFUNCTION("""COMPUTED_VALUE"""),1.0)</f>
        <v>1</v>
      </c>
      <c r="U74" s="229">
        <f>IFERROR(__xludf.DUMMYFUNCTION("""COMPUTED_VALUE"""),0.0)</f>
        <v>0</v>
      </c>
      <c r="V74" s="231" t="str">
        <f>IFERROR(__xludf.DUMMYFUNCTION("""COMPUTED_VALUE"""),"offline")</f>
        <v>offline</v>
      </c>
      <c r="W74" s="231" t="str">
        <f>IFERROR(__xludf.DUMMYFUNCTION("""COMPUTED_VALUE"""),"SMS")</f>
        <v>SMS</v>
      </c>
      <c r="X74" s="231" t="str">
        <f>IFERROR(__xludf.DUMMYFUNCTION("""COMPUTED_VALUE"""),"No brief")</f>
        <v>No brief</v>
      </c>
      <c r="Y74" s="231" t="str">
        <f>IFERROR(__xludf.DUMMYFUNCTION("""COMPUTED_VALUE"""),"7-9th March 2026 ")</f>
        <v>7-9th March 2026 </v>
      </c>
      <c r="Z74" s="231" t="str">
        <f>IFERROR(__xludf.DUMMYFUNCTION("""COMPUTED_VALUE"""),"69aad18b6f26ca5e8556ba6b")</f>
        <v>69aad18b6f26ca5e8556ba6b</v>
      </c>
      <c r="AA74" s="229">
        <f>IFERROR(__xludf.DUMMYFUNCTION("""COMPUTED_VALUE"""),133.0)</f>
        <v>133</v>
      </c>
      <c r="AB74" s="229"/>
      <c r="AC74" s="229">
        <f>IFERROR(__xludf.DUMMYFUNCTION("""COMPUTED_VALUE"""),133.0)</f>
        <v>133</v>
      </c>
      <c r="AD74" s="229">
        <f>IFERROR(__xludf.DUMMYFUNCTION("""COMPUTED_VALUE"""),2028865.0)</f>
        <v>2028865</v>
      </c>
      <c r="AE74" s="229"/>
      <c r="AF74" s="229">
        <f>IFERROR(__xludf.DUMMYFUNCTION("""COMPUTED_VALUE"""),2028865.0)</f>
        <v>2028865</v>
      </c>
      <c r="AG74" s="232"/>
      <c r="AH74" s="232"/>
      <c r="AI74" s="232"/>
      <c r="AJ74" s="232"/>
      <c r="AK74" s="232"/>
    </row>
    <row r="75">
      <c r="A75" s="227">
        <f>IFERROR(__xludf.DUMMYFUNCTION("""COMPUTED_VALUE"""),46088.0)</f>
        <v>46088</v>
      </c>
      <c r="B75" s="228">
        <f>IFERROR(__xludf.DUMMYFUNCTION("""COMPUTED_VALUE"""),0.5208333333321207)</f>
        <v>0.5208333333</v>
      </c>
      <c r="C75" s="223" t="str">
        <f>IFERROR(__xludf.DUMMYFUNCTION("""COMPUTED_VALUE"""),"Sms")</f>
        <v>Sms</v>
      </c>
      <c r="D75" s="223" t="str">
        <f>IFERROR(__xludf.DUMMYFUNCTION("""COMPUTED_VALUE"""),"Fallback Campaign")</f>
        <v>Fallback Campaign</v>
      </c>
      <c r="E75" s="223" t="str">
        <f>IFERROR(__xludf.DUMMYFUNCTION("""COMPUTED_VALUE"""),"Aldo")</f>
        <v>Aldo</v>
      </c>
      <c r="F75" s="223" t="str">
        <f>IFERROR(__xludf.DUMMYFUNCTION("""COMPUTED_VALUE"""),"New Launch")</f>
        <v>New Launch</v>
      </c>
      <c r="G75" s="223" t="str">
        <f>IFERROR(__xludf.DUMMYFUNCTION("""COMPUTED_VALUE"""),"01 FallBack_abdcheck")</f>
        <v>01 FallBack_abdcheck</v>
      </c>
      <c r="H75" s="223" t="str">
        <f>IFERROR(__xludf.DUMMYFUNCTION("""COMPUTED_VALUE"""),"AbdCheck-17-2-26")</f>
        <v>AbdCheck-17-2-26</v>
      </c>
      <c r="I75" s="223" t="str">
        <f>IFERROR(__xludf.DUMMYFUNCTION("""COMPUTED_VALUE"""),"WA Undelivered")</f>
        <v>WA Undelivered</v>
      </c>
      <c r="J75" s="229">
        <f>IFERROR(__xludf.DUMMYFUNCTION("""COMPUTED_VALUE"""),155.0)</f>
        <v>155</v>
      </c>
      <c r="K75" s="229">
        <f>IFERROR(__xludf.DUMMYFUNCTION("""COMPUTED_VALUE"""),90.0)</f>
        <v>90</v>
      </c>
      <c r="L75" s="230">
        <f>IFERROR(__xludf.DUMMYFUNCTION("""COMPUTED_VALUE"""),0.5806)</f>
        <v>0.5806</v>
      </c>
      <c r="M75" s="229"/>
      <c r="N75" s="230"/>
      <c r="O75" s="231">
        <f>IFERROR(__xludf.DUMMYFUNCTION("""COMPUTED_VALUE"""),0.0)</f>
        <v>0</v>
      </c>
      <c r="P75" s="231"/>
      <c r="Q75" s="230">
        <f>IFERROR(__xludf.DUMMYFUNCTION("""COMPUTED_VALUE"""),0.0)</f>
        <v>0</v>
      </c>
      <c r="R75" s="230"/>
      <c r="S75" s="231">
        <f>IFERROR(__xludf.DUMMYFUNCTION("""COMPUTED_VALUE"""),0.0)</f>
        <v>0</v>
      </c>
      <c r="T75" s="231">
        <f>IFERROR(__xludf.DUMMYFUNCTION("""COMPUTED_VALUE"""),1.0)</f>
        <v>1</v>
      </c>
      <c r="U75" s="229">
        <f>IFERROR(__xludf.DUMMYFUNCTION("""COMPUTED_VALUE"""),0.0)</f>
        <v>0</v>
      </c>
      <c r="V75" s="231" t="str">
        <f>IFERROR(__xludf.DUMMYFUNCTION("""COMPUTED_VALUE"""),"online")</f>
        <v>online</v>
      </c>
      <c r="W75" s="231" t="str">
        <f>IFERROR(__xludf.DUMMYFUNCTION("""COMPUTED_VALUE"""),"SMS")</f>
        <v>SMS</v>
      </c>
      <c r="X75" s="231" t="str">
        <f>IFERROR(__xludf.DUMMYFUNCTION("""COMPUTED_VALUE"""),"No brief")</f>
        <v>No brief</v>
      </c>
      <c r="Y75" s="231" t="str">
        <f>IFERROR(__xludf.DUMMYFUNCTION("""COMPUTED_VALUE"""),"7-9th March 2026 ")</f>
        <v>7-9th March 2026 </v>
      </c>
      <c r="Z75" s="231" t="str">
        <f>IFERROR(__xludf.DUMMYFUNCTION("""COMPUTED_VALUE"""),"69aae53950f3816f644f7698")</f>
        <v>69aae53950f3816f644f7698</v>
      </c>
      <c r="AA75" s="229">
        <f>IFERROR(__xludf.DUMMYFUNCTION("""COMPUTED_VALUE"""),1.0)</f>
        <v>1</v>
      </c>
      <c r="AB75" s="229">
        <f>IFERROR(__xludf.DUMMYFUNCTION("""COMPUTED_VALUE"""),1.0)</f>
        <v>1</v>
      </c>
      <c r="AC75" s="229"/>
      <c r="AD75" s="229">
        <f>IFERROR(__xludf.DUMMYFUNCTION("""COMPUTED_VALUE"""),11159.0)</f>
        <v>11159</v>
      </c>
      <c r="AE75" s="229">
        <f>IFERROR(__xludf.DUMMYFUNCTION("""COMPUTED_VALUE"""),11159.0)</f>
        <v>11159</v>
      </c>
      <c r="AF75" s="229"/>
      <c r="AG75" s="232"/>
      <c r="AH75" s="232"/>
      <c r="AI75" s="232"/>
      <c r="AJ75" s="232"/>
      <c r="AK75" s="232"/>
    </row>
    <row r="76">
      <c r="A76" s="227">
        <f>IFERROR(__xludf.DUMMYFUNCTION("""COMPUTED_VALUE"""),46088.0)</f>
        <v>46088</v>
      </c>
      <c r="B76" s="228">
        <f>IFERROR(__xludf.DUMMYFUNCTION("""COMPUTED_VALUE"""),0.5208333333321207)</f>
        <v>0.5208333333</v>
      </c>
      <c r="C76" s="223" t="str">
        <f>IFERROR(__xludf.DUMMYFUNCTION("""COMPUTED_VALUE"""),"Sms")</f>
        <v>Sms</v>
      </c>
      <c r="D76" s="223" t="str">
        <f>IFERROR(__xludf.DUMMYFUNCTION("""COMPUTED_VALUE"""),"Fallback Campaign")</f>
        <v>Fallback Campaign</v>
      </c>
      <c r="E76" s="223" t="str">
        <f>IFERROR(__xludf.DUMMYFUNCTION("""COMPUTED_VALUE"""),"Aldo")</f>
        <v>Aldo</v>
      </c>
      <c r="F76" s="223" t="str">
        <f>IFERROR(__xludf.DUMMYFUNCTION("""COMPUTED_VALUE"""),"New Launch")</f>
        <v>New Launch</v>
      </c>
      <c r="G76" s="223" t="str">
        <f>IFERROR(__xludf.DUMMYFUNCTION("""COMPUTED_VALUE"""),"02_FallBack_Intent-Footwear-17-2-26")</f>
        <v>02_FallBack_Intent-Footwear-17-2-26</v>
      </c>
      <c r="H76" s="223" t="str">
        <f>IFERROR(__xludf.DUMMYFUNCTION("""COMPUTED_VALUE"""),"PV-Intent-Footwear-17-2-26")</f>
        <v>PV-Intent-Footwear-17-2-26</v>
      </c>
      <c r="I76" s="223" t="str">
        <f>IFERROR(__xludf.DUMMYFUNCTION("""COMPUTED_VALUE"""),"WA Undelivered")</f>
        <v>WA Undelivered</v>
      </c>
      <c r="J76" s="229">
        <f>IFERROR(__xludf.DUMMYFUNCTION("""COMPUTED_VALUE"""),1122.0)</f>
        <v>1122</v>
      </c>
      <c r="K76" s="229">
        <f>IFERROR(__xludf.DUMMYFUNCTION("""COMPUTED_VALUE"""),729.0)</f>
        <v>729</v>
      </c>
      <c r="L76" s="230">
        <f>IFERROR(__xludf.DUMMYFUNCTION("""COMPUTED_VALUE"""),0.6497)</f>
        <v>0.6497</v>
      </c>
      <c r="M76" s="229"/>
      <c r="N76" s="230"/>
      <c r="O76" s="231">
        <f>IFERROR(__xludf.DUMMYFUNCTION("""COMPUTED_VALUE"""),1.0)</f>
        <v>1</v>
      </c>
      <c r="P76" s="231"/>
      <c r="Q76" s="230">
        <f>IFERROR(__xludf.DUMMYFUNCTION("""COMPUTED_VALUE"""),0.0014)</f>
        <v>0.0014</v>
      </c>
      <c r="R76" s="230"/>
      <c r="S76" s="231">
        <f>IFERROR(__xludf.DUMMYFUNCTION("""COMPUTED_VALUE"""),0.0)</f>
        <v>0</v>
      </c>
      <c r="T76" s="231">
        <f>IFERROR(__xludf.DUMMYFUNCTION("""COMPUTED_VALUE"""),3.0)</f>
        <v>3</v>
      </c>
      <c r="U76" s="229">
        <f>IFERROR(__xludf.DUMMYFUNCTION("""COMPUTED_VALUE"""),0.0)</f>
        <v>0</v>
      </c>
      <c r="V76" s="231" t="str">
        <f>IFERROR(__xludf.DUMMYFUNCTION("""COMPUTED_VALUE"""),"online")</f>
        <v>online</v>
      </c>
      <c r="W76" s="231" t="str">
        <f>IFERROR(__xludf.DUMMYFUNCTION("""COMPUTED_VALUE"""),"SMS")</f>
        <v>SMS</v>
      </c>
      <c r="X76" s="231" t="str">
        <f>IFERROR(__xludf.DUMMYFUNCTION("""COMPUTED_VALUE"""),"No brief")</f>
        <v>No brief</v>
      </c>
      <c r="Y76" s="231" t="str">
        <f>IFERROR(__xludf.DUMMYFUNCTION("""COMPUTED_VALUE"""),"7-9th March 2026 ")</f>
        <v>7-9th March 2026 </v>
      </c>
      <c r="Z76" s="231" t="str">
        <f>IFERROR(__xludf.DUMMYFUNCTION("""COMPUTED_VALUE"""),"69aae541681d9d01dca515ba")</f>
        <v>69aae541681d9d01dca515ba</v>
      </c>
      <c r="AA76" s="229">
        <f>IFERROR(__xludf.DUMMYFUNCTION("""COMPUTED_VALUE"""),2.0)</f>
        <v>2</v>
      </c>
      <c r="AB76" s="229">
        <f>IFERROR(__xludf.DUMMYFUNCTION("""COMPUTED_VALUE"""),2.0)</f>
        <v>2</v>
      </c>
      <c r="AC76" s="229"/>
      <c r="AD76" s="229">
        <f>IFERROR(__xludf.DUMMYFUNCTION("""COMPUTED_VALUE"""),14158.0)</f>
        <v>14158</v>
      </c>
      <c r="AE76" s="229">
        <f>IFERROR(__xludf.DUMMYFUNCTION("""COMPUTED_VALUE"""),14158.0)</f>
        <v>14158</v>
      </c>
      <c r="AF76" s="229"/>
      <c r="AG76" s="232"/>
      <c r="AH76" s="232"/>
      <c r="AI76" s="232"/>
      <c r="AJ76" s="232"/>
      <c r="AK76" s="232"/>
    </row>
    <row r="77">
      <c r="A77" s="227">
        <f>IFERROR(__xludf.DUMMYFUNCTION("""COMPUTED_VALUE"""),46088.0)</f>
        <v>46088</v>
      </c>
      <c r="B77" s="228">
        <f>IFERROR(__xludf.DUMMYFUNCTION("""COMPUTED_VALUE"""),0.5208333333321207)</f>
        <v>0.5208333333</v>
      </c>
      <c r="C77" s="223" t="str">
        <f>IFERROR(__xludf.DUMMYFUNCTION("""COMPUTED_VALUE"""),"Sms")</f>
        <v>Sms</v>
      </c>
      <c r="D77" s="223" t="str">
        <f>IFERROR(__xludf.DUMMYFUNCTION("""COMPUTED_VALUE"""),"Fallback Campaign")</f>
        <v>Fallback Campaign</v>
      </c>
      <c r="E77" s="223" t="str">
        <f>IFERROR(__xludf.DUMMYFUNCTION("""COMPUTED_VALUE"""),"Aldo")</f>
        <v>Aldo</v>
      </c>
      <c r="F77" s="223" t="str">
        <f>IFERROR(__xludf.DUMMYFUNCTION("""COMPUTED_VALUE"""),"New Launch")</f>
        <v>New Launch</v>
      </c>
      <c r="G77" s="223" t="str">
        <f>IFERROR(__xludf.DUMMYFUNCTION("""COMPUTED_VALUE"""),"04_FallBack_Newlaunch_AL_Map_Shoes_ONLINE")</f>
        <v>04_FallBack_Newlaunch_AL_Map_Shoes_ONLINE</v>
      </c>
      <c r="H77" s="223" t="str">
        <f>IFERROR(__xludf.DUMMYFUNCTION("""COMPUTED_VALUE"""),"Al_Map_Footwear_3Y_Predom_ON")</f>
        <v>Al_Map_Footwear_3Y_Predom_ON</v>
      </c>
      <c r="I77" s="223" t="str">
        <f>IFERROR(__xludf.DUMMYFUNCTION("""COMPUTED_VALUE"""),"WA Undelivered")</f>
        <v>WA Undelivered</v>
      </c>
      <c r="J77" s="229">
        <f>IFERROR(__xludf.DUMMYFUNCTION("""COMPUTED_VALUE"""),16904.0)</f>
        <v>16904</v>
      </c>
      <c r="K77" s="229">
        <f>IFERROR(__xludf.DUMMYFUNCTION("""COMPUTED_VALUE"""),8203.0)</f>
        <v>8203</v>
      </c>
      <c r="L77" s="230">
        <f>IFERROR(__xludf.DUMMYFUNCTION("""COMPUTED_VALUE"""),0.4853)</f>
        <v>0.4853</v>
      </c>
      <c r="M77" s="229"/>
      <c r="N77" s="230"/>
      <c r="O77" s="231">
        <f>IFERROR(__xludf.DUMMYFUNCTION("""COMPUTED_VALUE"""),18.0)</f>
        <v>18</v>
      </c>
      <c r="P77" s="231"/>
      <c r="Q77" s="230">
        <f>IFERROR(__xludf.DUMMYFUNCTION("""COMPUTED_VALUE"""),0.0022)</f>
        <v>0.0022</v>
      </c>
      <c r="R77" s="230"/>
      <c r="S77" s="231">
        <f>IFERROR(__xludf.DUMMYFUNCTION("""COMPUTED_VALUE"""),0.0)</f>
        <v>0</v>
      </c>
      <c r="T77" s="231">
        <f>IFERROR(__xludf.DUMMYFUNCTION("""COMPUTED_VALUE"""),0.0)</f>
        <v>0</v>
      </c>
      <c r="U77" s="229">
        <f>IFERROR(__xludf.DUMMYFUNCTION("""COMPUTED_VALUE"""),0.0)</f>
        <v>0</v>
      </c>
      <c r="V77" s="231" t="str">
        <f>IFERROR(__xludf.DUMMYFUNCTION("""COMPUTED_VALUE"""),"online")</f>
        <v>online</v>
      </c>
      <c r="W77" s="231" t="str">
        <f>IFERROR(__xludf.DUMMYFUNCTION("""COMPUTED_VALUE"""),"SMS")</f>
        <v>SMS</v>
      </c>
      <c r="X77" s="231" t="str">
        <f>IFERROR(__xludf.DUMMYFUNCTION("""COMPUTED_VALUE"""),"No brief")</f>
        <v>No brief</v>
      </c>
      <c r="Y77" s="231" t="str">
        <f>IFERROR(__xludf.DUMMYFUNCTION("""COMPUTED_VALUE"""),"7-9th March 2026 ")</f>
        <v>7-9th March 2026 </v>
      </c>
      <c r="Z77" s="231" t="str">
        <f>IFERROR(__xludf.DUMMYFUNCTION("""COMPUTED_VALUE"""),"69aae629a57ee38880a9f844")</f>
        <v>69aae629a57ee38880a9f844</v>
      </c>
      <c r="AA77" s="229">
        <f>IFERROR(__xludf.DUMMYFUNCTION("""COMPUTED_VALUE"""),4.0)</f>
        <v>4</v>
      </c>
      <c r="AB77" s="229">
        <f>IFERROR(__xludf.DUMMYFUNCTION("""COMPUTED_VALUE"""),4.0)</f>
        <v>4</v>
      </c>
      <c r="AC77" s="229"/>
      <c r="AD77" s="229">
        <f>IFERROR(__xludf.DUMMYFUNCTION("""COMPUTED_VALUE"""),22344.0)</f>
        <v>22344</v>
      </c>
      <c r="AE77" s="229">
        <f>IFERROR(__xludf.DUMMYFUNCTION("""COMPUTED_VALUE"""),22344.0)</f>
        <v>22344</v>
      </c>
      <c r="AF77" s="229"/>
      <c r="AG77" s="232"/>
      <c r="AH77" s="232"/>
      <c r="AI77" s="232"/>
      <c r="AJ77" s="232"/>
      <c r="AK77" s="232"/>
    </row>
    <row r="78">
      <c r="A78" s="227">
        <f>IFERROR(__xludf.DUMMYFUNCTION("""COMPUTED_VALUE"""),46088.0)</f>
        <v>46088</v>
      </c>
      <c r="B78" s="228">
        <f>IFERROR(__xludf.DUMMYFUNCTION("""COMPUTED_VALUE"""),0.5208333333321207)</f>
        <v>0.5208333333</v>
      </c>
      <c r="C78" s="223" t="str">
        <f>IFERROR(__xludf.DUMMYFUNCTION("""COMPUTED_VALUE"""),"Sms")</f>
        <v>Sms</v>
      </c>
      <c r="D78" s="223" t="str">
        <f>IFERROR(__xludf.DUMMYFUNCTION("""COMPUTED_VALUE"""),"Fallback Campaign")</f>
        <v>Fallback Campaign</v>
      </c>
      <c r="E78" s="223" t="str">
        <f>IFERROR(__xludf.DUMMYFUNCTION("""COMPUTED_VALUE"""),"Aldo")</f>
        <v>Aldo</v>
      </c>
      <c r="F78" s="223" t="str">
        <f>IFERROR(__xludf.DUMMYFUNCTION("""COMPUTED_VALUE"""),"New Launch")</f>
        <v>New Launch</v>
      </c>
      <c r="G78" s="223" t="str">
        <f>IFERROR(__xludf.DUMMYFUNCTION("""COMPUTED_VALUE"""),"03_FallBack_Footwear-FullPriceUsers-ON")</f>
        <v>03_FallBack_Footwear-FullPriceUsers-ON</v>
      </c>
      <c r="H78" s="223" t="str">
        <f>IFERROR(__xludf.DUMMYFUNCTION("""COMPUTED_VALUE"""),"AL-Footwear-FullPriceUsers-ON")</f>
        <v>AL-Footwear-FullPriceUsers-ON</v>
      </c>
      <c r="I78" s="223" t="str">
        <f>IFERROR(__xludf.DUMMYFUNCTION("""COMPUTED_VALUE"""),"WA Undelivered")</f>
        <v>WA Undelivered</v>
      </c>
      <c r="J78" s="229">
        <f>IFERROR(__xludf.DUMMYFUNCTION("""COMPUTED_VALUE"""),443.0)</f>
        <v>443</v>
      </c>
      <c r="K78" s="229">
        <f>IFERROR(__xludf.DUMMYFUNCTION("""COMPUTED_VALUE"""),228.0)</f>
        <v>228</v>
      </c>
      <c r="L78" s="230">
        <f>IFERROR(__xludf.DUMMYFUNCTION("""COMPUTED_VALUE"""),0.5147)</f>
        <v>0.5147</v>
      </c>
      <c r="M78" s="229"/>
      <c r="N78" s="230"/>
      <c r="O78" s="231">
        <f>IFERROR(__xludf.DUMMYFUNCTION("""COMPUTED_VALUE"""),0.0)</f>
        <v>0</v>
      </c>
      <c r="P78" s="231"/>
      <c r="Q78" s="230">
        <f>IFERROR(__xludf.DUMMYFUNCTION("""COMPUTED_VALUE"""),0.0)</f>
        <v>0</v>
      </c>
      <c r="R78" s="230"/>
      <c r="S78" s="231">
        <f>IFERROR(__xludf.DUMMYFUNCTION("""COMPUTED_VALUE"""),0.0)</f>
        <v>0</v>
      </c>
      <c r="T78" s="231">
        <f>IFERROR(__xludf.DUMMYFUNCTION("""COMPUTED_VALUE"""),0.0)</f>
        <v>0</v>
      </c>
      <c r="U78" s="229">
        <f>IFERROR(__xludf.DUMMYFUNCTION("""COMPUTED_VALUE"""),0.0)</f>
        <v>0</v>
      </c>
      <c r="V78" s="231" t="str">
        <f>IFERROR(__xludf.DUMMYFUNCTION("""COMPUTED_VALUE"""),"online")</f>
        <v>online</v>
      </c>
      <c r="W78" s="231" t="str">
        <f>IFERROR(__xludf.DUMMYFUNCTION("""COMPUTED_VALUE"""),"SMS")</f>
        <v>SMS</v>
      </c>
      <c r="X78" s="231" t="str">
        <f>IFERROR(__xludf.DUMMYFUNCTION("""COMPUTED_VALUE"""),"No brief")</f>
        <v>No brief</v>
      </c>
      <c r="Y78" s="231" t="str">
        <f>IFERROR(__xludf.DUMMYFUNCTION("""COMPUTED_VALUE"""),"7-9th March 2026 ")</f>
        <v>7-9th March 2026 </v>
      </c>
      <c r="Z78" s="231" t="str">
        <f>IFERROR(__xludf.DUMMYFUNCTION("""COMPUTED_VALUE"""),"69aae62f9a9a45e9166e8229")</f>
        <v>69aae62f9a9a45e9166e8229</v>
      </c>
      <c r="AA78" s="229">
        <f>IFERROR(__xludf.DUMMYFUNCTION("""COMPUTED_VALUE"""),0.0)</f>
        <v>0</v>
      </c>
      <c r="AB78" s="229">
        <f>IFERROR(__xludf.DUMMYFUNCTION("""COMPUTED_VALUE"""),0.0)</f>
        <v>0</v>
      </c>
      <c r="AC78" s="229"/>
      <c r="AD78" s="229">
        <f>IFERROR(__xludf.DUMMYFUNCTION("""COMPUTED_VALUE"""),0.0)</f>
        <v>0</v>
      </c>
      <c r="AE78" s="229">
        <f>IFERROR(__xludf.DUMMYFUNCTION("""COMPUTED_VALUE"""),0.0)</f>
        <v>0</v>
      </c>
      <c r="AF78" s="229"/>
      <c r="AG78" s="232"/>
      <c r="AH78" s="232"/>
      <c r="AI78" s="232"/>
      <c r="AJ78" s="232"/>
      <c r="AK78" s="232"/>
    </row>
    <row r="79">
      <c r="A79" s="227">
        <f>IFERROR(__xludf.DUMMYFUNCTION("""COMPUTED_VALUE"""),46088.0)</f>
        <v>46088</v>
      </c>
      <c r="B79" s="228">
        <f>IFERROR(__xludf.DUMMYFUNCTION("""COMPUTED_VALUE"""),0.5208333333321207)</f>
        <v>0.5208333333</v>
      </c>
      <c r="C79" s="223" t="str">
        <f>IFERROR(__xludf.DUMMYFUNCTION("""COMPUTED_VALUE"""),"Sms")</f>
        <v>Sms</v>
      </c>
      <c r="D79" s="223" t="str">
        <f>IFERROR(__xludf.DUMMYFUNCTION("""COMPUTED_VALUE"""),"Fallback Campaign")</f>
        <v>Fallback Campaign</v>
      </c>
      <c r="E79" s="223" t="str">
        <f>IFERROR(__xludf.DUMMYFUNCTION("""COMPUTED_VALUE"""),"Aldo")</f>
        <v>Aldo</v>
      </c>
      <c r="F79" s="223" t="str">
        <f>IFERROR(__xludf.DUMMYFUNCTION("""COMPUTED_VALUE"""),"New Launch")</f>
        <v>New Launch</v>
      </c>
      <c r="G79" s="223" t="str">
        <f>IFERROR(__xludf.DUMMYFUNCTION("""COMPUTED_VALUE"""),"05_fallback_Al_Map_Footwear_3Y_Predom_ON")</f>
        <v>05_fallback_Al_Map_Footwear_3Y_Predom_ON</v>
      </c>
      <c r="H79" s="223" t="str">
        <f>IFERROR(__xludf.DUMMYFUNCTION("""COMPUTED_VALUE"""),"Al_Map_Footwear_3Y_Predom_ON")</f>
        <v>Al_Map_Footwear_3Y_Predom_ON</v>
      </c>
      <c r="I79" s="223" t="str">
        <f>IFERROR(__xludf.DUMMYFUNCTION("""COMPUTED_VALUE"""),"WA Undelivered")</f>
        <v>WA Undelivered</v>
      </c>
      <c r="J79" s="229">
        <f>IFERROR(__xludf.DUMMYFUNCTION("""COMPUTED_VALUE"""),7125.0)</f>
        <v>7125</v>
      </c>
      <c r="K79" s="229">
        <f>IFERROR(__xludf.DUMMYFUNCTION("""COMPUTED_VALUE"""),3945.0)</f>
        <v>3945</v>
      </c>
      <c r="L79" s="230">
        <f>IFERROR(__xludf.DUMMYFUNCTION("""COMPUTED_VALUE"""),0.5537)</f>
        <v>0.5537</v>
      </c>
      <c r="M79" s="229"/>
      <c r="N79" s="230"/>
      <c r="O79" s="231">
        <f>IFERROR(__xludf.DUMMYFUNCTION("""COMPUTED_VALUE"""),8.0)</f>
        <v>8</v>
      </c>
      <c r="P79" s="231"/>
      <c r="Q79" s="230">
        <f>IFERROR(__xludf.DUMMYFUNCTION("""COMPUTED_VALUE"""),0.002)</f>
        <v>0.002</v>
      </c>
      <c r="R79" s="230"/>
      <c r="S79" s="231">
        <f>IFERROR(__xludf.DUMMYFUNCTION("""COMPUTED_VALUE"""),0.0)</f>
        <v>0</v>
      </c>
      <c r="T79" s="231">
        <f>IFERROR(__xludf.DUMMYFUNCTION("""COMPUTED_VALUE"""),2.0)</f>
        <v>2</v>
      </c>
      <c r="U79" s="229">
        <f>IFERROR(__xludf.DUMMYFUNCTION("""COMPUTED_VALUE"""),0.0)</f>
        <v>0</v>
      </c>
      <c r="V79" s="231" t="str">
        <f>IFERROR(__xludf.DUMMYFUNCTION("""COMPUTED_VALUE"""),"online")</f>
        <v>online</v>
      </c>
      <c r="W79" s="231" t="str">
        <f>IFERROR(__xludf.DUMMYFUNCTION("""COMPUTED_VALUE"""),"SMS")</f>
        <v>SMS</v>
      </c>
      <c r="X79" s="231" t="str">
        <f>IFERROR(__xludf.DUMMYFUNCTION("""COMPUTED_VALUE"""),"No brief")</f>
        <v>No brief</v>
      </c>
      <c r="Y79" s="231" t="str">
        <f>IFERROR(__xludf.DUMMYFUNCTION("""COMPUTED_VALUE"""),"7-9th March 2026 ")</f>
        <v>7-9th March 2026 </v>
      </c>
      <c r="Z79" s="231" t="str">
        <f>IFERROR(__xludf.DUMMYFUNCTION("""COMPUTED_VALUE"""),"69aae6a9a576f43a1abc4592")</f>
        <v>69aae6a9a576f43a1abc4592</v>
      </c>
      <c r="AA79" s="229">
        <f>IFERROR(__xludf.DUMMYFUNCTION("""COMPUTED_VALUE"""),0.0)</f>
        <v>0</v>
      </c>
      <c r="AB79" s="229">
        <f>IFERROR(__xludf.DUMMYFUNCTION("""COMPUTED_VALUE"""),0.0)</f>
        <v>0</v>
      </c>
      <c r="AC79" s="229"/>
      <c r="AD79" s="229">
        <f>IFERROR(__xludf.DUMMYFUNCTION("""COMPUTED_VALUE"""),0.0)</f>
        <v>0</v>
      </c>
      <c r="AE79" s="229">
        <f>IFERROR(__xludf.DUMMYFUNCTION("""COMPUTED_VALUE"""),0.0)</f>
        <v>0</v>
      </c>
      <c r="AF79" s="229"/>
      <c r="AG79" s="232"/>
      <c r="AH79" s="232"/>
      <c r="AI79" s="232"/>
      <c r="AJ79" s="232"/>
      <c r="AK79" s="232"/>
    </row>
    <row r="80">
      <c r="A80" s="227">
        <f>IFERROR(__xludf.DUMMYFUNCTION("""COMPUTED_VALUE"""),46089.0)</f>
        <v>46089</v>
      </c>
      <c r="B80" s="228">
        <f>IFERROR(__xludf.DUMMYFUNCTION("""COMPUTED_VALUE"""),0.4270833333321207)</f>
        <v>0.4270833333</v>
      </c>
      <c r="C80" s="223" t="str">
        <f>IFERROR(__xludf.DUMMYFUNCTION("""COMPUTED_VALUE"""),"Sms")</f>
        <v>Sms</v>
      </c>
      <c r="D80" s="223" t="str">
        <f>IFERROR(__xludf.DUMMYFUNCTION("""COMPUTED_VALUE"""),"Promotional")</f>
        <v>Promotional</v>
      </c>
      <c r="E80" s="223" t="str">
        <f>IFERROR(__xludf.DUMMYFUNCTION("""COMPUTED_VALUE"""),"Aldo")</f>
        <v>Aldo</v>
      </c>
      <c r="F80" s="223" t="str">
        <f>IFERROR(__xludf.DUMMYFUNCTION("""COMPUTED_VALUE"""),"CIS")</f>
        <v>CIS</v>
      </c>
      <c r="G80" s="223" t="str">
        <f>IFERROR(__xludf.DUMMYFUNCTION("""COMPUTED_VALUE"""),"Call it spring_fullbase")</f>
        <v>Call it spring_fullbase</v>
      </c>
      <c r="H80" s="223" t="str">
        <f>IFERROR(__xludf.DUMMYFUNCTION("""COMPUTED_VALUE"""),"cis_onoff_pr_last36months")</f>
        <v>cis_onoff_pr_last36months</v>
      </c>
      <c r="I80" s="223" t="str">
        <f>IFERROR(__xludf.DUMMYFUNCTION("""COMPUTED_VALUE"""),"No brief")</f>
        <v>No brief</v>
      </c>
      <c r="J80" s="229">
        <f>IFERROR(__xludf.DUMMYFUNCTION("""COMPUTED_VALUE"""),18748.0)</f>
        <v>18748</v>
      </c>
      <c r="K80" s="229">
        <f>IFERROR(__xludf.DUMMYFUNCTION("""COMPUTED_VALUE"""),11006.0)</f>
        <v>11006</v>
      </c>
      <c r="L80" s="230">
        <f>IFERROR(__xludf.DUMMYFUNCTION("""COMPUTED_VALUE"""),0.587)</f>
        <v>0.587</v>
      </c>
      <c r="M80" s="229"/>
      <c r="N80" s="230"/>
      <c r="O80" s="231">
        <f>IFERROR(__xludf.DUMMYFUNCTION("""COMPUTED_VALUE"""),34.0)</f>
        <v>34</v>
      </c>
      <c r="P80" s="231"/>
      <c r="Q80" s="230">
        <f>IFERROR(__xludf.DUMMYFUNCTION("""COMPUTED_VALUE"""),0.0031)</f>
        <v>0.0031</v>
      </c>
      <c r="R80" s="230"/>
      <c r="S80" s="231">
        <f>IFERROR(__xludf.DUMMYFUNCTION("""COMPUTED_VALUE"""),1.0)</f>
        <v>1</v>
      </c>
      <c r="T80" s="231">
        <f>IFERROR(__xludf.DUMMYFUNCTION("""COMPUTED_VALUE"""),3.0)</f>
        <v>3</v>
      </c>
      <c r="U80" s="229">
        <f>IFERROR(__xludf.DUMMYFUNCTION("""COMPUTED_VALUE"""),2699.0)</f>
        <v>2699</v>
      </c>
      <c r="V80" s="231" t="str">
        <f>IFERROR(__xludf.DUMMYFUNCTION("""COMPUTED_VALUE"""),"overall")</f>
        <v>overall</v>
      </c>
      <c r="W80" s="231" t="str">
        <f>IFERROR(__xludf.DUMMYFUNCTION("""COMPUTED_VALUE"""),"SMS")</f>
        <v>SMS</v>
      </c>
      <c r="X80" s="231" t="str">
        <f>IFERROR(__xludf.DUMMYFUNCTION("""COMPUTED_VALUE"""),"No brief")</f>
        <v>No brief</v>
      </c>
      <c r="Y80" s="231" t="str">
        <f>IFERROR(__xludf.DUMMYFUNCTION("""COMPUTED_VALUE"""),"8th- 9th March 2026 ")</f>
        <v>8th- 9th March 2026 </v>
      </c>
      <c r="Z80" s="231" t="str">
        <f>IFERROR(__xludf.DUMMYFUNCTION("""COMPUTED_VALUE"""),"69acfdba3e5e8ec3793b48ad")</f>
        <v>69acfdba3e5e8ec3793b48ad</v>
      </c>
      <c r="AA80" s="229">
        <f>IFERROR(__xludf.DUMMYFUNCTION("""COMPUTED_VALUE"""),7.0)</f>
        <v>7</v>
      </c>
      <c r="AB80" s="229">
        <f>IFERROR(__xludf.DUMMYFUNCTION("""COMPUTED_VALUE"""),6.0)</f>
        <v>6</v>
      </c>
      <c r="AC80" s="229">
        <f>IFERROR(__xludf.DUMMYFUNCTION("""COMPUTED_VALUE"""),1.0)</f>
        <v>1</v>
      </c>
      <c r="AD80" s="229">
        <f>IFERROR(__xludf.DUMMYFUNCTION("""COMPUTED_VALUE"""),84519.0)</f>
        <v>84519</v>
      </c>
      <c r="AE80" s="229">
        <f>IFERROR(__xludf.DUMMYFUNCTION("""COMPUTED_VALUE"""),44523.0)</f>
        <v>44523</v>
      </c>
      <c r="AF80" s="229">
        <f>IFERROR(__xludf.DUMMYFUNCTION("""COMPUTED_VALUE"""),39996.0)</f>
        <v>39996</v>
      </c>
      <c r="AG80" s="232"/>
      <c r="AH80" s="232"/>
      <c r="AI80" s="232"/>
      <c r="AJ80" s="232"/>
      <c r="AK80" s="232"/>
    </row>
    <row r="81">
      <c r="A81" s="227">
        <f>IFERROR(__xludf.DUMMYFUNCTION("""COMPUTED_VALUE"""),46095.0)</f>
        <v>46095</v>
      </c>
      <c r="B81" s="228">
        <f>IFERROR(__xludf.DUMMYFUNCTION("""COMPUTED_VALUE"""),46095.35416666667)</f>
        <v>46095.35417</v>
      </c>
      <c r="C81" s="223" t="str">
        <f>IFERROR(__xludf.DUMMYFUNCTION("""COMPUTED_VALUE"""),"Whatsapp")</f>
        <v>Whatsapp</v>
      </c>
      <c r="D81" s="223" t="str">
        <f>IFERROR(__xludf.DUMMYFUNCTION("""COMPUTED_VALUE"""),"Promotional")</f>
        <v>Promotional</v>
      </c>
      <c r="E81" s="223" t="str">
        <f>IFERROR(__xludf.DUMMYFUNCTION("""COMPUTED_VALUE"""),"Aldo")</f>
        <v>Aldo</v>
      </c>
      <c r="F81" s="223" t="str">
        <f>IFERROR(__xludf.DUMMYFUNCTION("""COMPUTED_VALUE"""),"Dormant base")</f>
        <v>Dormant base</v>
      </c>
      <c r="G81" s="223" t="str">
        <f>IFERROR(__xludf.DUMMYFUNCTION("""COMPUTED_VALUE"""),"Activate_doormant_4999 Offer")</f>
        <v>Activate_doormant_4999 Offer</v>
      </c>
      <c r="H81" s="223" t="str">
        <f>IFERROR(__xludf.DUMMYFUNCTION("""COMPUTED_VALUE"""),"AL_Dormant_Base")</f>
        <v>AL_Dormant_Base</v>
      </c>
      <c r="I81" s="223" t="str">
        <f>IFERROR(__xludf.DUMMYFUNCTION("""COMPUTED_VALUE"""),"Dormant")</f>
        <v>Dormant</v>
      </c>
      <c r="J81" s="229">
        <f>IFERROR(__xludf.DUMMYFUNCTION("""COMPUTED_VALUE"""),124453.0)</f>
        <v>124453</v>
      </c>
      <c r="K81" s="229">
        <f>IFERROR(__xludf.DUMMYFUNCTION("""COMPUTED_VALUE"""),63604.0)</f>
        <v>63604</v>
      </c>
      <c r="L81" s="230">
        <f>IFERROR(__xludf.DUMMYFUNCTION("""COMPUTED_VALUE"""),0.511)</f>
        <v>0.511</v>
      </c>
      <c r="M81" s="229">
        <f>IFERROR(__xludf.DUMMYFUNCTION("""COMPUTED_VALUE"""),25656.0)</f>
        <v>25656</v>
      </c>
      <c r="N81" s="230">
        <f>IFERROR(__xludf.DUMMYFUNCTION("""COMPUTED_VALUE"""),0.4032)</f>
        <v>0.4032</v>
      </c>
      <c r="O81" s="231">
        <f>IFERROR(__xludf.DUMMYFUNCTION("""COMPUTED_VALUE"""),6606.0)</f>
        <v>6606</v>
      </c>
      <c r="P81" s="231">
        <f>IFERROR(__xludf.DUMMYFUNCTION("""COMPUTED_VALUE"""),5430.0)</f>
        <v>5430</v>
      </c>
      <c r="Q81" s="230">
        <f>IFERROR(__xludf.DUMMYFUNCTION("""COMPUTED_VALUE"""),0.0854)</f>
        <v>0.0854</v>
      </c>
      <c r="R81" s="230">
        <f>IFERROR(__xludf.DUMMYFUNCTION("""COMPUTED_VALUE"""),0.2118)</f>
        <v>0.2118</v>
      </c>
      <c r="S81" s="231"/>
      <c r="T81" s="231"/>
      <c r="U81" s="229"/>
      <c r="V81" s="231" t="str">
        <f>IFERROR(__xludf.DUMMYFUNCTION("""COMPUTED_VALUE"""),"overall ")</f>
        <v>overall </v>
      </c>
      <c r="W81" s="231" t="str">
        <f>IFERROR(__xludf.DUMMYFUNCTION("""COMPUTED_VALUE"""),"simple")</f>
        <v>simple</v>
      </c>
      <c r="X81" s="231" t="str">
        <f>IFERROR(__xludf.DUMMYFUNCTION("""COMPUTED_VALUE"""),"Dormant")</f>
        <v>Dormant</v>
      </c>
      <c r="Y81" s="231" t="str">
        <f>IFERROR(__xludf.DUMMYFUNCTION("""COMPUTED_VALUE"""),"14th-16 march")</f>
        <v>14th-16 march</v>
      </c>
      <c r="Z81" s="231" t="str">
        <f>IFERROR(__xludf.DUMMYFUNCTION("""COMPUTED_VALUE"""),"69b3f90c743df6fa415874bc")</f>
        <v>69b3f90c743df6fa415874bc</v>
      </c>
      <c r="AA81" s="229">
        <f>IFERROR(__xludf.DUMMYFUNCTION("""COMPUTED_VALUE"""),104.0)</f>
        <v>104</v>
      </c>
      <c r="AB81" s="229">
        <f>IFERROR(__xludf.DUMMYFUNCTION("""COMPUTED_VALUE"""),53.0)</f>
        <v>53</v>
      </c>
      <c r="AC81" s="229">
        <f>IFERROR(__xludf.DUMMYFUNCTION("""COMPUTED_VALUE"""),51.0)</f>
        <v>51</v>
      </c>
      <c r="AD81" s="229">
        <f>IFERROR(__xludf.DUMMYFUNCTION("""COMPUTED_VALUE"""),1217185.0)</f>
        <v>1217185</v>
      </c>
      <c r="AE81" s="229">
        <f>IFERROR(__xludf.DUMMYFUNCTION("""COMPUTED_VALUE"""),416109.0)</f>
        <v>416109</v>
      </c>
      <c r="AF81" s="229">
        <f>IFERROR(__xludf.DUMMYFUNCTION("""COMPUTED_VALUE"""),801076.0)</f>
        <v>801076</v>
      </c>
      <c r="AG81" s="232"/>
      <c r="AH81" s="232"/>
      <c r="AI81" s="232"/>
      <c r="AJ81" s="232"/>
      <c r="AK81" s="232"/>
    </row>
    <row r="82">
      <c r="A82" s="227">
        <f>IFERROR(__xludf.DUMMYFUNCTION("""COMPUTED_VALUE"""),46095.0)</f>
        <v>46095</v>
      </c>
      <c r="B82" s="228">
        <f>IFERROR(__xludf.DUMMYFUNCTION("""COMPUTED_VALUE"""),46095.52083333333)</f>
        <v>46095.52083</v>
      </c>
      <c r="C82" s="223" t="str">
        <f>IFERROR(__xludf.DUMMYFUNCTION("""COMPUTED_VALUE"""),"Sms")</f>
        <v>Sms</v>
      </c>
      <c r="D82" s="223" t="str">
        <f>IFERROR(__xludf.DUMMYFUNCTION("""COMPUTED_VALUE"""),"Fallback Campaign")</f>
        <v>Fallback Campaign</v>
      </c>
      <c r="E82" s="223" t="str">
        <f>IFERROR(__xludf.DUMMYFUNCTION("""COMPUTED_VALUE"""),"Aldo")</f>
        <v>Aldo</v>
      </c>
      <c r="F82" s="223" t="str">
        <f>IFERROR(__xludf.DUMMYFUNCTION("""COMPUTED_VALUE"""),"Dormant base")</f>
        <v>Dormant base</v>
      </c>
      <c r="G82" s="223" t="str">
        <f>IFERROR(__xludf.DUMMYFUNCTION("""COMPUTED_VALUE"""),"Fallback_4999_AL_Dormant_Base")</f>
        <v>Fallback_4999_AL_Dormant_Base</v>
      </c>
      <c r="H82" s="223" t="str">
        <f>IFERROR(__xludf.DUMMYFUNCTION("""COMPUTED_VALUE"""),"AL_Dormant_Base")</f>
        <v>AL_Dormant_Base</v>
      </c>
      <c r="I82" s="223" t="str">
        <f>IFERROR(__xludf.DUMMYFUNCTION("""COMPUTED_VALUE"""),"WhatsApp undelivered")</f>
        <v>WhatsApp undelivered</v>
      </c>
      <c r="J82" s="229">
        <f>IFERROR(__xludf.DUMMYFUNCTION("""COMPUTED_VALUE"""),58457.0)</f>
        <v>58457</v>
      </c>
      <c r="K82" s="229">
        <f>IFERROR(__xludf.DUMMYFUNCTION("""COMPUTED_VALUE"""),34324.0)</f>
        <v>34324</v>
      </c>
      <c r="L82" s="230">
        <f>IFERROR(__xludf.DUMMYFUNCTION("""COMPUTED_VALUE"""),0.587)</f>
        <v>0.587</v>
      </c>
      <c r="M82" s="229">
        <f>IFERROR(__xludf.DUMMYFUNCTION("""COMPUTED_VALUE"""),0.0)</f>
        <v>0</v>
      </c>
      <c r="N82" s="230">
        <f>IFERROR(__xludf.DUMMYFUNCTION("""COMPUTED_VALUE"""),0.0)</f>
        <v>0</v>
      </c>
      <c r="O82" s="231">
        <f>IFERROR(__xludf.DUMMYFUNCTION("""COMPUTED_VALUE"""),112.0)</f>
        <v>112</v>
      </c>
      <c r="P82" s="231">
        <f>IFERROR(__xludf.DUMMYFUNCTION("""COMPUTED_VALUE"""),0.0)</f>
        <v>0</v>
      </c>
      <c r="Q82" s="230">
        <f>IFERROR(__xludf.DUMMYFUNCTION("""COMPUTED_VALUE"""),0.003)</f>
        <v>0.003</v>
      </c>
      <c r="R82" s="230">
        <f>IFERROR(__xludf.DUMMYFUNCTION("""COMPUTED_VALUE"""),0.0)</f>
        <v>0</v>
      </c>
      <c r="S82" s="231">
        <f>IFERROR(__xludf.DUMMYFUNCTION("""COMPUTED_VALUE"""),1.0)</f>
        <v>1</v>
      </c>
      <c r="T82" s="231">
        <f>IFERROR(__xludf.DUMMYFUNCTION("""COMPUTED_VALUE"""),2.0)</f>
        <v>2</v>
      </c>
      <c r="U82" s="229">
        <f>IFERROR(__xludf.DUMMYFUNCTION("""COMPUTED_VALUE"""),4999.0)</f>
        <v>4999</v>
      </c>
      <c r="V82" s="231" t="str">
        <f>IFERROR(__xludf.DUMMYFUNCTION("""COMPUTED_VALUE"""),"overall ")</f>
        <v>overall </v>
      </c>
      <c r="W82" s="231" t="str">
        <f>IFERROR(__xludf.DUMMYFUNCTION("""COMPUTED_VALUE"""),"SMS")</f>
        <v>SMS</v>
      </c>
      <c r="X82" s="231" t="str">
        <f>IFERROR(__xludf.DUMMYFUNCTION("""COMPUTED_VALUE"""),"Dormant")</f>
        <v>Dormant</v>
      </c>
      <c r="Y82" s="231" t="str">
        <f>IFERROR(__xludf.DUMMYFUNCTION("""COMPUTED_VALUE"""),"14th-16 march")</f>
        <v>14th-16 march</v>
      </c>
      <c r="Z82" s="231" t="str">
        <f>IFERROR(__xludf.DUMMYFUNCTION("""COMPUTED_VALUE"""),"69b3f9417000af8384c38936")</f>
        <v>69b3f9417000af8384c38936</v>
      </c>
      <c r="AA82" s="229">
        <f>IFERROR(__xludf.DUMMYFUNCTION("""COMPUTED_VALUE"""),40.0)</f>
        <v>40</v>
      </c>
      <c r="AB82" s="229">
        <f>IFERROR(__xludf.DUMMYFUNCTION("""COMPUTED_VALUE"""),5.0)</f>
        <v>5</v>
      </c>
      <c r="AC82" s="229">
        <f>IFERROR(__xludf.DUMMYFUNCTION("""COMPUTED_VALUE"""),35.0)</f>
        <v>35</v>
      </c>
      <c r="AD82" s="229">
        <f>IFERROR(__xludf.DUMMYFUNCTION("""COMPUTED_VALUE"""),547343.0)</f>
        <v>547343</v>
      </c>
      <c r="AE82" s="229">
        <f>IFERROR(__xludf.DUMMYFUNCTION("""COMPUTED_VALUE"""),28077.0)</f>
        <v>28077</v>
      </c>
      <c r="AF82" s="229">
        <f>IFERROR(__xludf.DUMMYFUNCTION("""COMPUTED_VALUE"""),519266.0)</f>
        <v>519266</v>
      </c>
      <c r="AG82" s="232"/>
      <c r="AH82" s="232"/>
      <c r="AI82" s="232"/>
      <c r="AJ82" s="232"/>
      <c r="AK82" s="232"/>
    </row>
    <row r="83">
      <c r="A83" s="227">
        <f>IFERROR(__xludf.DUMMYFUNCTION("""COMPUTED_VALUE"""),46116.0)</f>
        <v>46116</v>
      </c>
      <c r="B83" s="228">
        <f>IFERROR(__xludf.DUMMYFUNCTION("""COMPUTED_VALUE"""),0.5208333333321207)</f>
        <v>0.5208333333</v>
      </c>
      <c r="C83" s="223" t="str">
        <f>IFERROR(__xludf.DUMMYFUNCTION("""COMPUTED_VALUE"""),"Sms")</f>
        <v>Sms</v>
      </c>
      <c r="D83" s="223" t="str">
        <f>IFERROR(__xludf.DUMMYFUNCTION("""COMPUTED_VALUE"""),"Fallback Campaign")</f>
        <v>Fallback Campaign</v>
      </c>
      <c r="E83" s="223" t="str">
        <f>IFERROR(__xludf.DUMMYFUNCTION("""COMPUTED_VALUE"""),"Aldo")</f>
        <v>Aldo</v>
      </c>
      <c r="F83" s="223" t="str">
        <f>IFERROR(__xludf.DUMMYFUNCTION("""COMPUTED_VALUE"""),"Handbags Campaign")</f>
        <v>Handbags Campaign</v>
      </c>
      <c r="G83" s="223" t="str">
        <f>IFERROR(__xludf.DUMMYFUNCTION("""COMPUTED_VALUE"""),"Eventbuyerscampaign")</f>
        <v>Eventbuyerscampaign</v>
      </c>
      <c r="H83" s="223" t="str">
        <f>IFERROR(__xludf.DUMMYFUNCTION("""COMPUTED_VALUE"""),"EventBuyers_OnOff")</f>
        <v>EventBuyers_OnOff</v>
      </c>
      <c r="I83" s="223" t="str">
        <f>IFERROR(__xludf.DUMMYFUNCTION("""COMPUTED_VALUE"""),"RCS Undelivered")</f>
        <v>RCS Undelivered</v>
      </c>
      <c r="J83" s="229">
        <f>IFERROR(__xludf.DUMMYFUNCTION("""COMPUTED_VALUE"""),3808.0)</f>
        <v>3808</v>
      </c>
      <c r="K83" s="229">
        <f>IFERROR(__xludf.DUMMYFUNCTION("""COMPUTED_VALUE"""),2168.0)</f>
        <v>2168</v>
      </c>
      <c r="L83" s="230">
        <f>IFERROR(__xludf.DUMMYFUNCTION("""COMPUTED_VALUE"""),0.5693)</f>
        <v>0.5693</v>
      </c>
      <c r="M83" s="229"/>
      <c r="N83" s="230"/>
      <c r="O83" s="231">
        <f>IFERROR(__xludf.DUMMYFUNCTION("""COMPUTED_VALUE"""),9.0)</f>
        <v>9</v>
      </c>
      <c r="P83" s="231"/>
      <c r="Q83" s="230">
        <f>IFERROR(__xludf.DUMMYFUNCTION("""COMPUTED_VALUE"""),0.0042)</f>
        <v>0.0042</v>
      </c>
      <c r="R83" s="230"/>
      <c r="S83" s="231">
        <f>IFERROR(__xludf.DUMMYFUNCTION("""COMPUTED_VALUE"""),0.0)</f>
        <v>0</v>
      </c>
      <c r="T83" s="231">
        <f>IFERROR(__xludf.DUMMYFUNCTION("""COMPUTED_VALUE"""),0.0)</f>
        <v>0</v>
      </c>
      <c r="U83" s="229">
        <f>IFERROR(__xludf.DUMMYFUNCTION("""COMPUTED_VALUE"""),0.0)</f>
        <v>0</v>
      </c>
      <c r="V83" s="231" t="str">
        <f>IFERROR(__xludf.DUMMYFUNCTION("""COMPUTED_VALUE"""),"overall")</f>
        <v>overall</v>
      </c>
      <c r="W83" s="231" t="str">
        <f>IFERROR(__xludf.DUMMYFUNCTION("""COMPUTED_VALUE"""),"SMS")</f>
        <v>SMS</v>
      </c>
      <c r="X83" s="231" t="str">
        <f>IFERROR(__xludf.DUMMYFUNCTION("""COMPUTED_VALUE"""),"Event Buyers")</f>
        <v>Event Buyers</v>
      </c>
      <c r="Y83" s="231" t="str">
        <f>IFERROR(__xludf.DUMMYFUNCTION("""COMPUTED_VALUE"""),"4-6 April")</f>
        <v>4-6 April</v>
      </c>
      <c r="Z83" s="231" t="str">
        <f>IFERROR(__xludf.DUMMYFUNCTION("""COMPUTED_VALUE"""),"69cf7bd420be3e84d1aac0d8")</f>
        <v>69cf7bd420be3e84d1aac0d8</v>
      </c>
      <c r="AA83" s="229">
        <f>IFERROR(__xludf.DUMMYFUNCTION("""COMPUTED_VALUE"""),6.0)</f>
        <v>6</v>
      </c>
      <c r="AB83" s="229">
        <f>IFERROR(__xludf.DUMMYFUNCTION("""COMPUTED_VALUE"""),0.0)</f>
        <v>0</v>
      </c>
      <c r="AC83" s="229">
        <f>IFERROR(__xludf.DUMMYFUNCTION("""COMPUTED_VALUE"""),6.0)</f>
        <v>6</v>
      </c>
      <c r="AD83" s="229">
        <f>IFERROR(__xludf.DUMMYFUNCTION("""COMPUTED_VALUE"""),63336.0)</f>
        <v>63336</v>
      </c>
      <c r="AE83" s="229">
        <f>IFERROR(__xludf.DUMMYFUNCTION("""COMPUTED_VALUE"""),0.0)</f>
        <v>0</v>
      </c>
      <c r="AF83" s="229">
        <f>IFERROR(__xludf.DUMMYFUNCTION("""COMPUTED_VALUE"""),63336.0)</f>
        <v>63336</v>
      </c>
      <c r="AG83" s="232"/>
      <c r="AH83" s="232"/>
      <c r="AI83" s="232"/>
      <c r="AJ83" s="232"/>
      <c r="AK83" s="232"/>
    </row>
    <row r="84">
      <c r="A84" s="227">
        <f>IFERROR(__xludf.DUMMYFUNCTION("""COMPUTED_VALUE"""),46116.0)</f>
        <v>46116</v>
      </c>
      <c r="B84" s="228">
        <f>IFERROR(__xludf.DUMMYFUNCTION("""COMPUTED_VALUE"""),0.5208333333321207)</f>
        <v>0.5208333333</v>
      </c>
      <c r="C84" s="223" t="str">
        <f>IFERROR(__xludf.DUMMYFUNCTION("""COMPUTED_VALUE"""),"Sms")</f>
        <v>Sms</v>
      </c>
      <c r="D84" s="223" t="str">
        <f>IFERROR(__xludf.DUMMYFUNCTION("""COMPUTED_VALUE"""),"Fallback Campaign")</f>
        <v>Fallback Campaign</v>
      </c>
      <c r="E84" s="223" t="str">
        <f>IFERROR(__xludf.DUMMYFUNCTION("""COMPUTED_VALUE"""),"Aldo")</f>
        <v>Aldo</v>
      </c>
      <c r="F84" s="223" t="str">
        <f>IFERROR(__xludf.DUMMYFUNCTION("""COMPUTED_VALUE"""),"Handbags Campaign")</f>
        <v>Handbags Campaign</v>
      </c>
      <c r="G84" s="223" t="str">
        <f>IFERROR(__xludf.DUMMYFUNCTION("""COMPUTED_VALUE"""),"Aldo30%off_campaign")</f>
        <v>Aldo30%off_campaign</v>
      </c>
      <c r="H84" s="223" t="str">
        <f>IFERROR(__xludf.DUMMYFUNCTION("""COMPUTED_VALUE"""),"Disc_Buyers_OnOff")</f>
        <v>Disc_Buyers_OnOff</v>
      </c>
      <c r="I84" s="223" t="str">
        <f>IFERROR(__xludf.DUMMYFUNCTION("""COMPUTED_VALUE"""),"RCS Undelivered")</f>
        <v>RCS Undelivered</v>
      </c>
      <c r="J84" s="229">
        <f>IFERROR(__xludf.DUMMYFUNCTION("""COMPUTED_VALUE"""),30343.0)</f>
        <v>30343</v>
      </c>
      <c r="K84" s="229">
        <f>IFERROR(__xludf.DUMMYFUNCTION("""COMPUTED_VALUE"""),16897.0)</f>
        <v>16897</v>
      </c>
      <c r="L84" s="230">
        <f>IFERROR(__xludf.DUMMYFUNCTION("""COMPUTED_VALUE"""),0.5569)</f>
        <v>0.5569</v>
      </c>
      <c r="M84" s="229"/>
      <c r="N84" s="230"/>
      <c r="O84" s="231">
        <f>IFERROR(__xludf.DUMMYFUNCTION("""COMPUTED_VALUE"""),46.0)</f>
        <v>46</v>
      </c>
      <c r="P84" s="231"/>
      <c r="Q84" s="230">
        <f>IFERROR(__xludf.DUMMYFUNCTION("""COMPUTED_VALUE"""),0.0027)</f>
        <v>0.0027</v>
      </c>
      <c r="R84" s="230"/>
      <c r="S84" s="231">
        <f>IFERROR(__xludf.DUMMYFUNCTION("""COMPUTED_VALUE"""),3.0)</f>
        <v>3</v>
      </c>
      <c r="T84" s="231">
        <f>IFERROR(__xludf.DUMMYFUNCTION("""COMPUTED_VALUE"""),9.0)</f>
        <v>9</v>
      </c>
      <c r="U84" s="229">
        <f>IFERROR(__xludf.DUMMYFUNCTION("""COMPUTED_VALUE"""),7358.0)</f>
        <v>7358</v>
      </c>
      <c r="V84" s="231" t="str">
        <f>IFERROR(__xludf.DUMMYFUNCTION("""COMPUTED_VALUE"""),"overall")</f>
        <v>overall</v>
      </c>
      <c r="W84" s="231" t="str">
        <f>IFERROR(__xludf.DUMMYFUNCTION("""COMPUTED_VALUE"""),"SMS")</f>
        <v>SMS</v>
      </c>
      <c r="X84" s="231" t="str">
        <f>IFERROR(__xludf.DUMMYFUNCTION("""COMPUTED_VALUE"""),"Discount Buyers")</f>
        <v>Discount Buyers</v>
      </c>
      <c r="Y84" s="231" t="str">
        <f>IFERROR(__xludf.DUMMYFUNCTION("""COMPUTED_VALUE"""),"4-6 April")</f>
        <v>4-6 April</v>
      </c>
      <c r="Z84" s="231" t="str">
        <f>IFERROR(__xludf.DUMMYFUNCTION("""COMPUTED_VALUE"""),"69cf7cdb1a4daa9afd8819da")</f>
        <v>69cf7cdb1a4daa9afd8819da</v>
      </c>
      <c r="AA84" s="229">
        <f>IFERROR(__xludf.DUMMYFUNCTION("""COMPUTED_VALUE"""),30.0)</f>
        <v>30</v>
      </c>
      <c r="AB84" s="229">
        <f>IFERROR(__xludf.DUMMYFUNCTION("""COMPUTED_VALUE"""),24.0)</f>
        <v>24</v>
      </c>
      <c r="AC84" s="229">
        <f>IFERROR(__xludf.DUMMYFUNCTION("""COMPUTED_VALUE"""),6.0)</f>
        <v>6</v>
      </c>
      <c r="AD84" s="229">
        <f>IFERROR(__xludf.DUMMYFUNCTION("""COMPUTED_VALUE"""),154697.0)</f>
        <v>154697</v>
      </c>
      <c r="AE84" s="229">
        <f>IFERROR(__xludf.DUMMYFUNCTION("""COMPUTED_VALUE"""),101567.0)</f>
        <v>101567</v>
      </c>
      <c r="AF84" s="229">
        <f>IFERROR(__xludf.DUMMYFUNCTION("""COMPUTED_VALUE"""),53130.0)</f>
        <v>53130</v>
      </c>
      <c r="AG84" s="232"/>
      <c r="AH84" s="232"/>
      <c r="AI84" s="232"/>
      <c r="AJ84" s="232"/>
      <c r="AK84" s="232"/>
    </row>
    <row r="85">
      <c r="A85" s="209">
        <f>IFERROR(__xludf.DUMMYFUNCTION("""COMPUTED_VALUE"""),46116.0)</f>
        <v>46116</v>
      </c>
      <c r="B85" s="210">
        <f>IFERROR(__xludf.DUMMYFUNCTION("""COMPUTED_VALUE"""),0.5208333333321207)</f>
        <v>0.5208333333</v>
      </c>
      <c r="C85" s="211" t="str">
        <f>IFERROR(__xludf.DUMMYFUNCTION("""COMPUTED_VALUE"""),"Sms")</f>
        <v>Sms</v>
      </c>
      <c r="D85" s="211" t="str">
        <f>IFERROR(__xludf.DUMMYFUNCTION("""COMPUTED_VALUE"""),"Fallback Campaign")</f>
        <v>Fallback Campaign</v>
      </c>
      <c r="E85" s="211" t="str">
        <f>IFERROR(__xludf.DUMMYFUNCTION("""COMPUTED_VALUE"""),"Aldo")</f>
        <v>Aldo</v>
      </c>
      <c r="F85" s="211" t="str">
        <f>IFERROR(__xludf.DUMMYFUNCTION("""COMPUTED_VALUE"""),"Handbags Campaign")</f>
        <v>Handbags Campaign</v>
      </c>
      <c r="G85" s="211" t="str">
        <f>IFERROR(__xludf.DUMMYFUNCTION("""COMPUTED_VALUE"""),"Dormantcampaign")</f>
        <v>Dormantcampaign</v>
      </c>
      <c r="H85" s="212" t="str">
        <f>IFERROR(__xludf.DUMMYFUNCTION("""COMPUTED_VALUE"""),"Dormant_OnOff")</f>
        <v>Dormant_OnOff</v>
      </c>
      <c r="I85" s="212" t="str">
        <f>IFERROR(__xludf.DUMMYFUNCTION("""COMPUTED_VALUE"""),"RCS Undelivered")</f>
        <v>RCS Undelivered</v>
      </c>
      <c r="J85" s="213">
        <f>IFERROR(__xludf.DUMMYFUNCTION("""COMPUTED_VALUE"""),80427.0)</f>
        <v>80427</v>
      </c>
      <c r="K85" s="213">
        <f>IFERROR(__xludf.DUMMYFUNCTION("""COMPUTED_VALUE"""),45192.0)</f>
        <v>45192</v>
      </c>
      <c r="L85" s="214">
        <f>IFERROR(__xludf.DUMMYFUNCTION("""COMPUTED_VALUE"""),0.5619)</f>
        <v>0.5619</v>
      </c>
      <c r="M85" s="213"/>
      <c r="N85" s="214"/>
      <c r="O85" s="213">
        <f>IFERROR(__xludf.DUMMYFUNCTION("""COMPUTED_VALUE"""),81.0)</f>
        <v>81</v>
      </c>
      <c r="P85" s="213"/>
      <c r="Q85" s="214">
        <f>IFERROR(__xludf.DUMMYFUNCTION("""COMPUTED_VALUE"""),0.0018)</f>
        <v>0.0018</v>
      </c>
      <c r="R85" s="214"/>
      <c r="S85" s="213">
        <f>IFERROR(__xludf.DUMMYFUNCTION("""COMPUTED_VALUE"""),0.0)</f>
        <v>0</v>
      </c>
      <c r="T85" s="213">
        <f>IFERROR(__xludf.DUMMYFUNCTION("""COMPUTED_VALUE"""),2.0)</f>
        <v>2</v>
      </c>
      <c r="U85" s="213">
        <f>IFERROR(__xludf.DUMMYFUNCTION("""COMPUTED_VALUE"""),0.0)</f>
        <v>0</v>
      </c>
      <c r="V85" s="213" t="str">
        <f>IFERROR(__xludf.DUMMYFUNCTION("""COMPUTED_VALUE"""),"overall")</f>
        <v>overall</v>
      </c>
      <c r="W85" s="213" t="str">
        <f>IFERROR(__xludf.DUMMYFUNCTION("""COMPUTED_VALUE"""),"SMS")</f>
        <v>SMS</v>
      </c>
      <c r="X85" s="213" t="str">
        <f>IFERROR(__xludf.DUMMYFUNCTION("""COMPUTED_VALUE"""),"Dormant")</f>
        <v>Dormant</v>
      </c>
      <c r="Y85" s="213" t="str">
        <f>IFERROR(__xludf.DUMMYFUNCTION("""COMPUTED_VALUE"""),"4-6 April")</f>
        <v>4-6 April</v>
      </c>
      <c r="Z85" s="213" t="str">
        <f>IFERROR(__xludf.DUMMYFUNCTION("""COMPUTED_VALUE"""),"69cf7e6047468f76ba33cb89")</f>
        <v>69cf7e6047468f76ba33cb89</v>
      </c>
      <c r="AA85" s="213">
        <f>IFERROR(__xludf.DUMMYFUNCTION("""COMPUTED_VALUE"""),68.0)</f>
        <v>68</v>
      </c>
      <c r="AB85" s="213">
        <f>IFERROR(__xludf.DUMMYFUNCTION("""COMPUTED_VALUE"""),5.0)</f>
        <v>5</v>
      </c>
      <c r="AC85" s="213">
        <f>IFERROR(__xludf.DUMMYFUNCTION("""COMPUTED_VALUE"""),63.0)</f>
        <v>63</v>
      </c>
      <c r="AD85" s="213">
        <f>IFERROR(__xludf.DUMMYFUNCTION("""COMPUTED_VALUE"""),880943.0)</f>
        <v>880943</v>
      </c>
      <c r="AE85" s="213">
        <f>IFERROR(__xludf.DUMMYFUNCTION("""COMPUTED_VALUE"""),29116.0)</f>
        <v>29116</v>
      </c>
      <c r="AF85" s="213">
        <f>IFERROR(__xludf.DUMMYFUNCTION("""COMPUTED_VALUE"""),851827.0)</f>
        <v>851827</v>
      </c>
      <c r="AG85" s="208"/>
      <c r="AH85" s="208"/>
      <c r="AI85" s="208"/>
      <c r="AJ85" s="208"/>
      <c r="AK85" s="208"/>
    </row>
    <row r="86">
      <c r="A86" s="209">
        <f>IFERROR(__xludf.DUMMYFUNCTION("""COMPUTED_VALUE"""),46116.0)</f>
        <v>46116</v>
      </c>
      <c r="B86" s="210">
        <f>IFERROR(__xludf.DUMMYFUNCTION("""COMPUTED_VALUE"""),0.5208333333321207)</f>
        <v>0.5208333333</v>
      </c>
      <c r="C86" s="211" t="str">
        <f>IFERROR(__xludf.DUMMYFUNCTION("""COMPUTED_VALUE"""),"Sms")</f>
        <v>Sms</v>
      </c>
      <c r="D86" s="211" t="str">
        <f>IFERROR(__xludf.DUMMYFUNCTION("""COMPUTED_VALUE"""),"Fallback Campaign")</f>
        <v>Fallback Campaign</v>
      </c>
      <c r="E86" s="211" t="str">
        <f>IFERROR(__xludf.DUMMYFUNCTION("""COMPUTED_VALUE"""),"Aldo")</f>
        <v>Aldo</v>
      </c>
      <c r="F86" s="211" t="str">
        <f>IFERROR(__xludf.DUMMYFUNCTION("""COMPUTED_VALUE"""),"Handbags Campaign")</f>
        <v>Handbags Campaign</v>
      </c>
      <c r="G86" s="211" t="str">
        <f>IFERROR(__xludf.DUMMYFUNCTION("""COMPUTED_VALUE"""),"ChurnedCampaign")</f>
        <v>ChurnedCampaign</v>
      </c>
      <c r="H86" s="212" t="str">
        <f>IFERROR(__xludf.DUMMYFUNCTION("""COMPUTED_VALUE"""),"Churned_OnOff")</f>
        <v>Churned_OnOff</v>
      </c>
      <c r="I86" s="212" t="str">
        <f>IFERROR(__xludf.DUMMYFUNCTION("""COMPUTED_VALUE"""),"RCS Undelivered")</f>
        <v>RCS Undelivered</v>
      </c>
      <c r="J86" s="213">
        <f>IFERROR(__xludf.DUMMYFUNCTION("""COMPUTED_VALUE"""),152962.0)</f>
        <v>152962</v>
      </c>
      <c r="K86" s="213">
        <f>IFERROR(__xludf.DUMMYFUNCTION("""COMPUTED_VALUE"""),81975.0)</f>
        <v>81975</v>
      </c>
      <c r="L86" s="214">
        <f>IFERROR(__xludf.DUMMYFUNCTION("""COMPUTED_VALUE"""),0.5359)</f>
        <v>0.5359</v>
      </c>
      <c r="M86" s="213"/>
      <c r="N86" s="214"/>
      <c r="O86" s="213">
        <f>IFERROR(__xludf.DUMMYFUNCTION("""COMPUTED_VALUE"""),109.0)</f>
        <v>109</v>
      </c>
      <c r="P86" s="213"/>
      <c r="Q86" s="214">
        <f>IFERROR(__xludf.DUMMYFUNCTION("""COMPUTED_VALUE"""),0.0013)</f>
        <v>0.0013</v>
      </c>
      <c r="R86" s="214"/>
      <c r="S86" s="213">
        <f>IFERROR(__xludf.DUMMYFUNCTION("""COMPUTED_VALUE"""),1.0)</f>
        <v>1</v>
      </c>
      <c r="T86" s="213">
        <f>IFERROR(__xludf.DUMMYFUNCTION("""COMPUTED_VALUE"""),2.0)</f>
        <v>2</v>
      </c>
      <c r="U86" s="213">
        <f>IFERROR(__xludf.DUMMYFUNCTION("""COMPUTED_VALUE"""),1800.0)</f>
        <v>1800</v>
      </c>
      <c r="V86" s="213" t="str">
        <f>IFERROR(__xludf.DUMMYFUNCTION("""COMPUTED_VALUE"""),"overall")</f>
        <v>overall</v>
      </c>
      <c r="W86" s="213" t="str">
        <f>IFERROR(__xludf.DUMMYFUNCTION("""COMPUTED_VALUE"""),"SMS")</f>
        <v>SMS</v>
      </c>
      <c r="X86" s="213" t="str">
        <f>IFERROR(__xludf.DUMMYFUNCTION("""COMPUTED_VALUE"""),"Churned")</f>
        <v>Churned</v>
      </c>
      <c r="Y86" s="213" t="str">
        <f>IFERROR(__xludf.DUMMYFUNCTION("""COMPUTED_VALUE"""),"4-6 April")</f>
        <v>4-6 April</v>
      </c>
      <c r="Z86" s="213" t="str">
        <f>IFERROR(__xludf.DUMMYFUNCTION("""COMPUTED_VALUE"""),"69cf80afc89771c941d6aa0c")</f>
        <v>69cf80afc89771c941d6aa0c</v>
      </c>
      <c r="AA86" s="213">
        <f>IFERROR(__xludf.DUMMYFUNCTION("""COMPUTED_VALUE"""),42.0)</f>
        <v>42</v>
      </c>
      <c r="AB86" s="213">
        <f>IFERROR(__xludf.DUMMYFUNCTION("""COMPUTED_VALUE"""),9.0)</f>
        <v>9</v>
      </c>
      <c r="AC86" s="213">
        <f>IFERROR(__xludf.DUMMYFUNCTION("""COMPUTED_VALUE"""),33.0)</f>
        <v>33</v>
      </c>
      <c r="AD86" s="213">
        <f>IFERROR(__xludf.DUMMYFUNCTION("""COMPUTED_VALUE"""),421464.0)</f>
        <v>421464</v>
      </c>
      <c r="AE86" s="213">
        <f>IFERROR(__xludf.DUMMYFUNCTION("""COMPUTED_VALUE"""),53177.0)</f>
        <v>53177</v>
      </c>
      <c r="AF86" s="213">
        <f>IFERROR(__xludf.DUMMYFUNCTION("""COMPUTED_VALUE"""),368287.0)</f>
        <v>368287</v>
      </c>
      <c r="AG86" s="208"/>
      <c r="AH86" s="208"/>
      <c r="AI86" s="208"/>
      <c r="AJ86" s="208"/>
      <c r="AK86" s="208"/>
    </row>
    <row r="87">
      <c r="A87" s="209">
        <f>IFERROR(__xludf.DUMMYFUNCTION("""COMPUTED_VALUE"""),46116.0)</f>
        <v>46116</v>
      </c>
      <c r="B87" s="210">
        <f>IFERROR(__xludf.DUMMYFUNCTION("""COMPUTED_VALUE"""),0.4166666666678793)</f>
        <v>0.4166666667</v>
      </c>
      <c r="C87" s="211" t="str">
        <f>IFERROR(__xludf.DUMMYFUNCTION("""COMPUTED_VALUE"""),"Rcs")</f>
        <v>Rcs</v>
      </c>
      <c r="D87" s="211" t="str">
        <f>IFERROR(__xludf.DUMMYFUNCTION("""COMPUTED_VALUE"""),"Promotional")</f>
        <v>Promotional</v>
      </c>
      <c r="E87" s="211" t="str">
        <f>IFERROR(__xludf.DUMMYFUNCTION("""COMPUTED_VALUE"""),"Aldo")</f>
        <v>Aldo</v>
      </c>
      <c r="F87" s="211" t="str">
        <f>IFERROR(__xludf.DUMMYFUNCTION("""COMPUTED_VALUE"""),"Handbags Campaign")</f>
        <v>Handbags Campaign</v>
      </c>
      <c r="G87" s="211" t="str">
        <f>IFERROR(__xludf.DUMMYFUNCTION("""COMPUTED_VALUE"""),"ALDO_HB_Flt30%_April 2026")</f>
        <v>ALDO_HB_Flt30%_April 2026</v>
      </c>
      <c r="H87" s="212" t="str">
        <f>IFERROR(__xludf.DUMMYFUNCTION("""COMPUTED_VALUE"""),"ID is in [917710025512] case insensitive OR Disc_Buyers_OnOff")</f>
        <v>ID is in [917710025512] case insensitive OR Disc_Buyers_OnOff</v>
      </c>
      <c r="I87" s="212" t="str">
        <f>IFERROR(__xludf.DUMMYFUNCTION("""COMPUTED_VALUE"""),"Customers who have purchased with order disc percent greater then 0.30")</f>
        <v>Customers who have purchased with order disc percent greater then 0.30</v>
      </c>
      <c r="J87" s="213">
        <f>IFERROR(__xludf.DUMMYFUNCTION("""COMPUTED_VALUE"""),37034.0)</f>
        <v>37034</v>
      </c>
      <c r="K87" s="213">
        <f>IFERROR(__xludf.DUMMYFUNCTION("""COMPUTED_VALUE"""),6756.0)</f>
        <v>6756</v>
      </c>
      <c r="L87" s="214">
        <f>IFERROR(__xludf.DUMMYFUNCTION("""COMPUTED_VALUE"""),0.1824)</f>
        <v>0.1824</v>
      </c>
      <c r="M87" s="213"/>
      <c r="N87" s="214">
        <f>IFERROR(__xludf.DUMMYFUNCTION("""COMPUTED_VALUE"""),0.131)</f>
        <v>0.131</v>
      </c>
      <c r="O87" s="213">
        <f>IFERROR(__xludf.DUMMYFUNCTION("""COMPUTED_VALUE"""),65.0)</f>
        <v>65</v>
      </c>
      <c r="P87" s="213"/>
      <c r="Q87" s="214">
        <f>IFERROR(__xludf.DUMMYFUNCTION("""COMPUTED_VALUE"""),0.0105)</f>
        <v>0.0105</v>
      </c>
      <c r="R87" s="214"/>
      <c r="S87" s="213">
        <f>IFERROR(__xludf.DUMMYFUNCTION("""COMPUTED_VALUE"""),4.0)</f>
        <v>4</v>
      </c>
      <c r="T87" s="213">
        <f>IFERROR(__xludf.DUMMYFUNCTION("""COMPUTED_VALUE"""),3.0)</f>
        <v>3</v>
      </c>
      <c r="U87" s="213">
        <f>IFERROR(__xludf.DUMMYFUNCTION("""COMPUTED_VALUE"""),16377.0)</f>
        <v>16377</v>
      </c>
      <c r="V87" s="213" t="str">
        <f>IFERROR(__xludf.DUMMYFUNCTION("""COMPUTED_VALUE"""),"overall")</f>
        <v>overall</v>
      </c>
      <c r="W87" s="213" t="str">
        <f>IFERROR(__xludf.DUMMYFUNCTION("""COMPUTED_VALUE"""),"RCS")</f>
        <v>RCS</v>
      </c>
      <c r="X87" s="213" t="str">
        <f>IFERROR(__xludf.DUMMYFUNCTION("""COMPUTED_VALUE"""),"Discount Buyers")</f>
        <v>Discount Buyers</v>
      </c>
      <c r="Y87" s="213" t="str">
        <f>IFERROR(__xludf.DUMMYFUNCTION("""COMPUTED_VALUE"""),"4-6 April")</f>
        <v>4-6 April</v>
      </c>
      <c r="Z87" s="213" t="str">
        <f>IFERROR(__xludf.DUMMYFUNCTION("""COMPUTED_VALUE"""),"69cf69f67486720438c25bae")</f>
        <v>69cf69f67486720438c25bae</v>
      </c>
      <c r="AA87" s="213">
        <f>IFERROR(__xludf.DUMMYFUNCTION("""COMPUTED_VALUE"""),14.0)</f>
        <v>14</v>
      </c>
      <c r="AB87" s="213">
        <f>IFERROR(__xludf.DUMMYFUNCTION("""COMPUTED_VALUE"""),11.0)</f>
        <v>11</v>
      </c>
      <c r="AC87" s="213">
        <f>IFERROR(__xludf.DUMMYFUNCTION("""COMPUTED_VALUE"""),3.0)</f>
        <v>3</v>
      </c>
      <c r="AD87" s="213">
        <f>IFERROR(__xludf.DUMMYFUNCTION("""COMPUTED_VALUE"""),67950.0)</f>
        <v>67950</v>
      </c>
      <c r="AE87" s="213">
        <f>IFERROR(__xludf.DUMMYFUNCTION("""COMPUTED_VALUE"""),59671.0)</f>
        <v>59671</v>
      </c>
      <c r="AF87" s="213">
        <f>IFERROR(__xludf.DUMMYFUNCTION("""COMPUTED_VALUE"""),8279.0)</f>
        <v>8279</v>
      </c>
      <c r="AG87" s="208"/>
      <c r="AH87" s="208"/>
      <c r="AI87" s="208"/>
      <c r="AJ87" s="208"/>
      <c r="AK87" s="208"/>
    </row>
    <row r="88">
      <c r="A88" s="209">
        <f>IFERROR(__xludf.DUMMYFUNCTION("""COMPUTED_VALUE"""),46116.0)</f>
        <v>46116</v>
      </c>
      <c r="B88" s="210">
        <f>IFERROR(__xludf.DUMMYFUNCTION("""COMPUTED_VALUE"""),0.4166666666678793)</f>
        <v>0.4166666667</v>
      </c>
      <c r="C88" s="211" t="str">
        <f>IFERROR(__xludf.DUMMYFUNCTION("""COMPUTED_VALUE"""),"Rcs")</f>
        <v>Rcs</v>
      </c>
      <c r="D88" s="211" t="str">
        <f>IFERROR(__xludf.DUMMYFUNCTION("""COMPUTED_VALUE"""),"Promotional")</f>
        <v>Promotional</v>
      </c>
      <c r="E88" s="211" t="str">
        <f>IFERROR(__xludf.DUMMYFUNCTION("""COMPUTED_VALUE"""),"Aldo")</f>
        <v>Aldo</v>
      </c>
      <c r="F88" s="211" t="str">
        <f>IFERROR(__xludf.DUMMYFUNCTION("""COMPUTED_VALUE"""),"Handbags Campaign")</f>
        <v>Handbags Campaign</v>
      </c>
      <c r="G88" s="211" t="str">
        <f>IFERROR(__xludf.DUMMYFUNCTION("""COMPUTED_VALUE"""),"ALDO_Eventbuyersapril2026")</f>
        <v>ALDO_Eventbuyersapril2026</v>
      </c>
      <c r="H88" s="212" t="str">
        <f>IFERROR(__xludf.DUMMYFUNCTION("""COMPUTED_VALUE"""),"EventBuyers_OnOff")</f>
        <v>EventBuyers_OnOff</v>
      </c>
      <c r="I88" s="212" t="str">
        <f>IFERROR(__xludf.DUMMYFUNCTION("""COMPUTED_VALUE"""),"Customers who are purchasing on 7th Aug 2025 - 10th Aug 2025, 1st Nov2025 - 4th Nov 2025, 28th Feb 2026- 2nd March 2026, 7th Mar 2026 - 9th March 2026")</f>
        <v>Customers who are purchasing on 7th Aug 2025 - 10th Aug 2025, 1st Nov2025 - 4th Nov 2025, 28th Feb 2026- 2nd March 2026, 7th Mar 2026 - 9th March 2026</v>
      </c>
      <c r="J88" s="213">
        <f>IFERROR(__xludf.DUMMYFUNCTION("""COMPUTED_VALUE"""),4662.0)</f>
        <v>4662</v>
      </c>
      <c r="K88" s="213">
        <f>IFERROR(__xludf.DUMMYFUNCTION("""COMPUTED_VALUE"""),875.0)</f>
        <v>875</v>
      </c>
      <c r="L88" s="214">
        <f>IFERROR(__xludf.DUMMYFUNCTION("""COMPUTED_VALUE"""),0.1877)</f>
        <v>0.1877</v>
      </c>
      <c r="M88" s="213"/>
      <c r="N88" s="214">
        <f>IFERROR(__xludf.DUMMYFUNCTION("""COMPUTED_VALUE"""),0.1383)</f>
        <v>0.1383</v>
      </c>
      <c r="O88" s="213">
        <f>IFERROR(__xludf.DUMMYFUNCTION("""COMPUTED_VALUE"""),7.0)</f>
        <v>7</v>
      </c>
      <c r="P88" s="213"/>
      <c r="Q88" s="214">
        <f>IFERROR(__xludf.DUMMYFUNCTION("""COMPUTED_VALUE"""),0.008)</f>
        <v>0.008</v>
      </c>
      <c r="R88" s="214"/>
      <c r="S88" s="213">
        <f>IFERROR(__xludf.DUMMYFUNCTION("""COMPUTED_VALUE"""),0.0)</f>
        <v>0</v>
      </c>
      <c r="T88" s="213">
        <f>IFERROR(__xludf.DUMMYFUNCTION("""COMPUTED_VALUE"""),1.0)</f>
        <v>1</v>
      </c>
      <c r="U88" s="213">
        <f>IFERROR(__xludf.DUMMYFUNCTION("""COMPUTED_VALUE"""),0.0)</f>
        <v>0</v>
      </c>
      <c r="V88" s="213" t="str">
        <f>IFERROR(__xludf.DUMMYFUNCTION("""COMPUTED_VALUE"""),"overall")</f>
        <v>overall</v>
      </c>
      <c r="W88" s="213" t="str">
        <f>IFERROR(__xludf.DUMMYFUNCTION("""COMPUTED_VALUE"""),"RCS")</f>
        <v>RCS</v>
      </c>
      <c r="X88" s="213" t="str">
        <f>IFERROR(__xludf.DUMMYFUNCTION("""COMPUTED_VALUE"""),"Event Buyers")</f>
        <v>Event Buyers</v>
      </c>
      <c r="Y88" s="213" t="str">
        <f>IFERROR(__xludf.DUMMYFUNCTION("""COMPUTED_VALUE"""),"4-6 April")</f>
        <v>4-6 April</v>
      </c>
      <c r="Z88" s="213" t="str">
        <f>IFERROR(__xludf.DUMMYFUNCTION("""COMPUTED_VALUE"""),"69cf6ad30a827c73d8f9bfb7")</f>
        <v>69cf6ad30a827c73d8f9bfb7</v>
      </c>
      <c r="AA88" s="213">
        <f>IFERROR(__xludf.DUMMYFUNCTION("""COMPUTED_VALUE"""),1.0)</f>
        <v>1</v>
      </c>
      <c r="AB88" s="213">
        <f>IFERROR(__xludf.DUMMYFUNCTION("""COMPUTED_VALUE"""),0.0)</f>
        <v>0</v>
      </c>
      <c r="AC88" s="213">
        <f>IFERROR(__xludf.DUMMYFUNCTION("""COMPUTED_VALUE"""),1.0)</f>
        <v>1</v>
      </c>
      <c r="AD88" s="213">
        <f>IFERROR(__xludf.DUMMYFUNCTION("""COMPUTED_VALUE"""),4690.0)</f>
        <v>4690</v>
      </c>
      <c r="AE88" s="213">
        <f>IFERROR(__xludf.DUMMYFUNCTION("""COMPUTED_VALUE"""),0.0)</f>
        <v>0</v>
      </c>
      <c r="AF88" s="213">
        <f>IFERROR(__xludf.DUMMYFUNCTION("""COMPUTED_VALUE"""),4690.0)</f>
        <v>4690</v>
      </c>
      <c r="AG88" s="208"/>
      <c r="AH88" s="208"/>
      <c r="AI88" s="208"/>
      <c r="AJ88" s="208"/>
      <c r="AK88" s="208"/>
    </row>
    <row r="89">
      <c r="A89" s="209">
        <f>IFERROR(__xludf.DUMMYFUNCTION("""COMPUTED_VALUE"""),46116.0)</f>
        <v>46116</v>
      </c>
      <c r="B89" s="210">
        <f>IFERROR(__xludf.DUMMYFUNCTION("""COMPUTED_VALUE"""),0.4166666666678793)</f>
        <v>0.4166666667</v>
      </c>
      <c r="C89" s="211" t="str">
        <f>IFERROR(__xludf.DUMMYFUNCTION("""COMPUTED_VALUE"""),"Rcs")</f>
        <v>Rcs</v>
      </c>
      <c r="D89" s="211" t="str">
        <f>IFERROR(__xludf.DUMMYFUNCTION("""COMPUTED_VALUE"""),"Promotional")</f>
        <v>Promotional</v>
      </c>
      <c r="E89" s="211" t="str">
        <f>IFERROR(__xludf.DUMMYFUNCTION("""COMPUTED_VALUE"""),"Aldo")</f>
        <v>Aldo</v>
      </c>
      <c r="F89" s="211" t="str">
        <f>IFERROR(__xludf.DUMMYFUNCTION("""COMPUTED_VALUE"""),"Handbags Campaign")</f>
        <v>Handbags Campaign</v>
      </c>
      <c r="G89" s="211" t="str">
        <f>IFERROR(__xludf.DUMMYFUNCTION("""COMPUTED_VALUE"""),"ALDO_DormantApril")</f>
        <v>ALDO_DormantApril</v>
      </c>
      <c r="H89" s="212" t="str">
        <f>IFERROR(__xludf.DUMMYFUNCTION("""COMPUTED_VALUE"""),"Dormant_OnOff")</f>
        <v>Dormant_OnOff</v>
      </c>
      <c r="I89" s="212" t="str">
        <f>IFERROR(__xludf.DUMMYFUNCTION("""COMPUTED_VALUE"""),"Customers purchasing who has not purchased in the last 76 days but have purchased in the last 76 days")</f>
        <v>Customers purchasing who has not purchased in the last 76 days but have purchased in the last 76 days</v>
      </c>
      <c r="J89" s="213">
        <f>IFERROR(__xludf.DUMMYFUNCTION("""COMPUTED_VALUE"""),100146.0)</f>
        <v>100146</v>
      </c>
      <c r="K89" s="213">
        <f>IFERROR(__xludf.DUMMYFUNCTION("""COMPUTED_VALUE"""),19674.0)</f>
        <v>19674</v>
      </c>
      <c r="L89" s="214">
        <f>IFERROR(__xludf.DUMMYFUNCTION("""COMPUTED_VALUE"""),0.1965)</f>
        <v>0.1965</v>
      </c>
      <c r="M89" s="213"/>
      <c r="N89" s="214">
        <f>IFERROR(__xludf.DUMMYFUNCTION("""COMPUTED_VALUE"""),0.1358)</f>
        <v>0.1358</v>
      </c>
      <c r="O89" s="213">
        <f>IFERROR(__xludf.DUMMYFUNCTION("""COMPUTED_VALUE"""),128.0)</f>
        <v>128</v>
      </c>
      <c r="P89" s="213"/>
      <c r="Q89" s="214">
        <f>IFERROR(__xludf.DUMMYFUNCTION("""COMPUTED_VALUE"""),0.0075)</f>
        <v>0.0075</v>
      </c>
      <c r="R89" s="214"/>
      <c r="S89" s="213">
        <f>IFERROR(__xludf.DUMMYFUNCTION("""COMPUTED_VALUE"""),0.0)</f>
        <v>0</v>
      </c>
      <c r="T89" s="213">
        <f>IFERROR(__xludf.DUMMYFUNCTION("""COMPUTED_VALUE"""),2.0)</f>
        <v>2</v>
      </c>
      <c r="U89" s="213">
        <f>IFERROR(__xludf.DUMMYFUNCTION("""COMPUTED_VALUE"""),0.0)</f>
        <v>0</v>
      </c>
      <c r="V89" s="213" t="str">
        <f>IFERROR(__xludf.DUMMYFUNCTION("""COMPUTED_VALUE"""),"overall")</f>
        <v>overall</v>
      </c>
      <c r="W89" s="213" t="str">
        <f>IFERROR(__xludf.DUMMYFUNCTION("""COMPUTED_VALUE"""),"RCS")</f>
        <v>RCS</v>
      </c>
      <c r="X89" s="213" t="str">
        <f>IFERROR(__xludf.DUMMYFUNCTION("""COMPUTED_VALUE"""),"Dormant")</f>
        <v>Dormant</v>
      </c>
      <c r="Y89" s="213" t="str">
        <f>IFERROR(__xludf.DUMMYFUNCTION("""COMPUTED_VALUE"""),"4-6 April")</f>
        <v>4-6 April</v>
      </c>
      <c r="Z89" s="213" t="str">
        <f>IFERROR(__xludf.DUMMYFUNCTION("""COMPUTED_VALUE"""),"69cf6b2a43afba245f062178")</f>
        <v>69cf6b2a43afba245f062178</v>
      </c>
      <c r="AA89" s="213">
        <f>IFERROR(__xludf.DUMMYFUNCTION("""COMPUTED_VALUE"""),18.0)</f>
        <v>18</v>
      </c>
      <c r="AB89" s="213">
        <f>IFERROR(__xludf.DUMMYFUNCTION("""COMPUTED_VALUE"""),2.0)</f>
        <v>2</v>
      </c>
      <c r="AC89" s="213">
        <f>IFERROR(__xludf.DUMMYFUNCTION("""COMPUTED_VALUE"""),16.0)</f>
        <v>16</v>
      </c>
      <c r="AD89" s="213">
        <f>IFERROR(__xludf.DUMMYFUNCTION("""COMPUTED_VALUE"""),244196.0)</f>
        <v>244196</v>
      </c>
      <c r="AE89" s="213">
        <f>IFERROR(__xludf.DUMMYFUNCTION("""COMPUTED_VALUE"""),18996.0)</f>
        <v>18996</v>
      </c>
      <c r="AF89" s="213">
        <f>IFERROR(__xludf.DUMMYFUNCTION("""COMPUTED_VALUE"""),225200.0)</f>
        <v>225200</v>
      </c>
      <c r="AG89" s="208"/>
      <c r="AH89" s="208"/>
      <c r="AI89" s="208"/>
      <c r="AJ89" s="208"/>
      <c r="AK89" s="208"/>
    </row>
    <row r="90">
      <c r="A90" s="209">
        <f>IFERROR(__xludf.DUMMYFUNCTION("""COMPUTED_VALUE"""),46116.0)</f>
        <v>46116</v>
      </c>
      <c r="B90" s="210">
        <f>IFERROR(__xludf.DUMMYFUNCTION("""COMPUTED_VALUE"""),0.4166666666678793)</f>
        <v>0.4166666667</v>
      </c>
      <c r="C90" s="211" t="str">
        <f>IFERROR(__xludf.DUMMYFUNCTION("""COMPUTED_VALUE"""),"Rcs")</f>
        <v>Rcs</v>
      </c>
      <c r="D90" s="211" t="str">
        <f>IFERROR(__xludf.DUMMYFUNCTION("""COMPUTED_VALUE"""),"Promotional")</f>
        <v>Promotional</v>
      </c>
      <c r="E90" s="211" t="str">
        <f>IFERROR(__xludf.DUMMYFUNCTION("""COMPUTED_VALUE"""),"Aldo")</f>
        <v>Aldo</v>
      </c>
      <c r="F90" s="211" t="str">
        <f>IFERROR(__xludf.DUMMYFUNCTION("""COMPUTED_VALUE"""),"Handbags Campaign")</f>
        <v>Handbags Campaign</v>
      </c>
      <c r="G90" s="211" t="str">
        <f>IFERROR(__xludf.DUMMYFUNCTION("""COMPUTED_VALUE"""),"ALDO_Churnedonoffapril2026")</f>
        <v>ALDO_Churnedonoffapril2026</v>
      </c>
      <c r="H90" s="212" t="str">
        <f>IFERROR(__xludf.DUMMYFUNCTION("""COMPUTED_VALUE"""),"Churned_OnOff")</f>
        <v>Churned_OnOff</v>
      </c>
      <c r="I90" s="212" t="str">
        <f>IFERROR(__xludf.DUMMYFUNCTION("""COMPUTED_VALUE"""),"Customers who have not purchased in the last 365 days but have purchased in the last 36 months")</f>
        <v>Customers who have not purchased in the last 365 days but have purchased in the last 36 months</v>
      </c>
      <c r="J90" s="213">
        <f>IFERROR(__xludf.DUMMYFUNCTION("""COMPUTED_VALUE"""),187301.0)</f>
        <v>187301</v>
      </c>
      <c r="K90" s="213">
        <f>IFERROR(__xludf.DUMMYFUNCTION("""COMPUTED_VALUE"""),34092.0)</f>
        <v>34092</v>
      </c>
      <c r="L90" s="214">
        <f>IFERROR(__xludf.DUMMYFUNCTION("""COMPUTED_VALUE"""),0.182)</f>
        <v>0.182</v>
      </c>
      <c r="M90" s="213"/>
      <c r="N90" s="214">
        <f>IFERROR(__xludf.DUMMYFUNCTION("""COMPUTED_VALUE"""),0.1221)</f>
        <v>0.1221</v>
      </c>
      <c r="O90" s="213">
        <f>IFERROR(__xludf.DUMMYFUNCTION("""COMPUTED_VALUE"""),181.0)</f>
        <v>181</v>
      </c>
      <c r="P90" s="213"/>
      <c r="Q90" s="214">
        <f>IFERROR(__xludf.DUMMYFUNCTION("""COMPUTED_VALUE"""),0.0056)</f>
        <v>0.0056</v>
      </c>
      <c r="R90" s="214"/>
      <c r="S90" s="213">
        <f>IFERROR(__xludf.DUMMYFUNCTION("""COMPUTED_VALUE"""),1.0)</f>
        <v>1</v>
      </c>
      <c r="T90" s="213">
        <f>IFERROR(__xludf.DUMMYFUNCTION("""COMPUTED_VALUE"""),1.0)</f>
        <v>1</v>
      </c>
      <c r="U90" s="213">
        <f>IFERROR(__xludf.DUMMYFUNCTION("""COMPUTED_VALUE"""),7469.0)</f>
        <v>7469</v>
      </c>
      <c r="V90" s="213" t="str">
        <f>IFERROR(__xludf.DUMMYFUNCTION("""COMPUTED_VALUE"""),"overall")</f>
        <v>overall</v>
      </c>
      <c r="W90" s="213" t="str">
        <f>IFERROR(__xludf.DUMMYFUNCTION("""COMPUTED_VALUE"""),"RCS")</f>
        <v>RCS</v>
      </c>
      <c r="X90" s="213" t="str">
        <f>IFERROR(__xludf.DUMMYFUNCTION("""COMPUTED_VALUE"""),"Churned")</f>
        <v>Churned</v>
      </c>
      <c r="Y90" s="213" t="str">
        <f>IFERROR(__xludf.DUMMYFUNCTION("""COMPUTED_VALUE"""),"4-6 April")</f>
        <v>4-6 April</v>
      </c>
      <c r="Z90" s="213" t="str">
        <f>IFERROR(__xludf.DUMMYFUNCTION("""COMPUTED_VALUE"""),"69cf6bf4ecc8dde4ddde45a7")</f>
        <v>69cf6bf4ecc8dde4ddde45a7</v>
      </c>
      <c r="AA90" s="213">
        <f>IFERROR(__xludf.DUMMYFUNCTION("""COMPUTED_VALUE"""),17.0)</f>
        <v>17</v>
      </c>
      <c r="AB90" s="213">
        <f>IFERROR(__xludf.DUMMYFUNCTION("""COMPUTED_VALUE"""),1.0)</f>
        <v>1</v>
      </c>
      <c r="AC90" s="213">
        <f>IFERROR(__xludf.DUMMYFUNCTION("""COMPUTED_VALUE"""),16.0)</f>
        <v>16</v>
      </c>
      <c r="AD90" s="213">
        <f>IFERROR(__xludf.DUMMYFUNCTION("""COMPUTED_VALUE"""),271236.0)</f>
        <v>271236</v>
      </c>
      <c r="AE90" s="213">
        <f>IFERROR(__xludf.DUMMYFUNCTION("""COMPUTED_VALUE"""),7469.0)</f>
        <v>7469</v>
      </c>
      <c r="AF90" s="213">
        <f>IFERROR(__xludf.DUMMYFUNCTION("""COMPUTED_VALUE"""),263767.0)</f>
        <v>263767</v>
      </c>
      <c r="AG90" s="208"/>
      <c r="AH90" s="208"/>
      <c r="AI90" s="208"/>
      <c r="AJ90" s="208"/>
      <c r="AK90" s="208"/>
    </row>
    <row r="91">
      <c r="A91" s="209">
        <f>IFERROR(__xludf.DUMMYFUNCTION("""COMPUTED_VALUE"""),46142.0)</f>
        <v>46142</v>
      </c>
      <c r="B91" s="210">
        <f>IFERROR(__xludf.DUMMYFUNCTION("""COMPUTED_VALUE"""),0.7083333333321207)</f>
        <v>0.7083333333</v>
      </c>
      <c r="C91" s="211" t="str">
        <f>IFERROR(__xludf.DUMMYFUNCTION("""COMPUTED_VALUE"""),"Whatsapp")</f>
        <v>Whatsapp</v>
      </c>
      <c r="D91" s="211" t="str">
        <f>IFERROR(__xludf.DUMMYFUNCTION("""COMPUTED_VALUE"""),"Promtional")</f>
        <v>Promtional</v>
      </c>
      <c r="E91" s="211" t="str">
        <f>IFERROR(__xludf.DUMMYFUNCTION("""COMPUTED_VALUE"""),"Aldo")</f>
        <v>Aldo</v>
      </c>
      <c r="F91" s="211" t="str">
        <f>IFERROR(__xludf.DUMMYFUNCTION("""COMPUTED_VALUE"""),"MAY BOGO 2026 1-3 MAY - B1G1")</f>
        <v>MAY BOGO 2026 1-3 MAY - B1G1</v>
      </c>
      <c r="G91" s="211" t="str">
        <f>IFERROR(__xludf.DUMMYFUNCTION("""COMPUTED_VALUE"""),"WA_BOGO_AL_ON_ATC_90D")</f>
        <v>WA_BOGO_AL_ON_ATC_90D</v>
      </c>
      <c r="H91" s="212" t="str">
        <f>IFERROR(__xludf.DUMMYFUNCTION("""COMPUTED_VALUE"""),"AL_ON_ATC_90D")</f>
        <v>AL_ON_ATC_90D</v>
      </c>
      <c r="I91" s="212" t="str">
        <f>IFERROR(__xludf.DUMMYFUNCTION("""COMPUTED_VALUE"""),"All customers who have added to cart at least 2 times in the last 90 days but have not purchased")</f>
        <v>All customers who have added to cart at least 2 times in the last 90 days but have not purchased</v>
      </c>
      <c r="J91" s="213">
        <f>IFERROR(__xludf.DUMMYFUNCTION("""COMPUTED_VALUE"""),1308.0)</f>
        <v>1308</v>
      </c>
      <c r="K91" s="213">
        <f>IFERROR(__xludf.DUMMYFUNCTION("""COMPUTED_VALUE"""),662.0)</f>
        <v>662</v>
      </c>
      <c r="L91" s="214">
        <f>IFERROR(__xludf.DUMMYFUNCTION("""COMPUTED_VALUE"""),0.5061)</f>
        <v>0.5061</v>
      </c>
      <c r="M91" s="213">
        <f>IFERROR(__xludf.DUMMYFUNCTION("""COMPUTED_VALUE"""),357.0)</f>
        <v>357</v>
      </c>
      <c r="N91" s="214">
        <f>IFERROR(__xludf.DUMMYFUNCTION("""COMPUTED_VALUE"""),0.5393)</f>
        <v>0.5393</v>
      </c>
      <c r="O91" s="213">
        <f>IFERROR(__xludf.DUMMYFUNCTION("""COMPUTED_VALUE"""),175.0)</f>
        <v>175</v>
      </c>
      <c r="P91" s="213">
        <f>IFERROR(__xludf.DUMMYFUNCTION("""COMPUTED_VALUE"""),155.0)</f>
        <v>155</v>
      </c>
      <c r="Q91" s="214">
        <f>IFERROR(__xludf.DUMMYFUNCTION("""COMPUTED_VALUE"""),0.2341)</f>
        <v>0.2341</v>
      </c>
      <c r="R91" s="214">
        <f>IFERROR(__xludf.DUMMYFUNCTION("""COMPUTED_VALUE"""),0.4342)</f>
        <v>0.4342</v>
      </c>
      <c r="S91" s="213">
        <f>IFERROR(__xludf.DUMMYFUNCTION("""COMPUTED_VALUE"""),12.0)</f>
        <v>12</v>
      </c>
      <c r="T91" s="213">
        <f>IFERROR(__xludf.DUMMYFUNCTION("""COMPUTED_VALUE"""),88.0)</f>
        <v>88</v>
      </c>
      <c r="U91" s="213">
        <f>IFERROR(__xludf.DUMMYFUNCTION("""COMPUTED_VALUE"""),172561.0)</f>
        <v>172561</v>
      </c>
      <c r="V91" s="213" t="str">
        <f>IFERROR(__xludf.DUMMYFUNCTION("""COMPUTED_VALUE"""),"online")</f>
        <v>online</v>
      </c>
      <c r="W91" s="213" t="str">
        <f>IFERROR(__xludf.DUMMYFUNCTION("""COMPUTED_VALUE"""),"simple")</f>
        <v>simple</v>
      </c>
      <c r="X91" s="213" t="str">
        <f>IFERROR(__xludf.DUMMYFUNCTION("""COMPUTED_VALUE"""),"Add to Cart")</f>
        <v>Add to Cart</v>
      </c>
      <c r="Y91" s="213" t="str">
        <f>IFERROR(__xludf.DUMMYFUNCTION("""COMPUTED_VALUE"""),"30th April ")</f>
        <v>30th April </v>
      </c>
      <c r="Z91" s="213" t="str">
        <f>IFERROR(__xludf.DUMMYFUNCTION("""COMPUTED_VALUE"""),"69f33463abe4ec1a98562d79")</f>
        <v>69f33463abe4ec1a98562d79</v>
      </c>
      <c r="AA91" s="213"/>
      <c r="AB91" s="213"/>
      <c r="AC91" s="213"/>
      <c r="AD91" s="213"/>
      <c r="AE91" s="213"/>
      <c r="AF91" s="213"/>
      <c r="AG91" s="208"/>
      <c r="AH91" s="208"/>
      <c r="AI91" s="208"/>
      <c r="AJ91" s="208"/>
      <c r="AK91" s="208"/>
    </row>
    <row r="92">
      <c r="A92" s="209">
        <f>IFERROR(__xludf.DUMMYFUNCTION("""COMPUTED_VALUE"""),46142.0)</f>
        <v>46142</v>
      </c>
      <c r="B92" s="210">
        <f>IFERROR(__xludf.DUMMYFUNCTION("""COMPUTED_VALUE"""),0.75)</f>
        <v>0.75</v>
      </c>
      <c r="C92" s="211" t="str">
        <f>IFERROR(__xludf.DUMMYFUNCTION("""COMPUTED_VALUE"""),"Whatsapp")</f>
        <v>Whatsapp</v>
      </c>
      <c r="D92" s="211" t="str">
        <f>IFERROR(__xludf.DUMMYFUNCTION("""COMPUTED_VALUE"""),"Promtional")</f>
        <v>Promtional</v>
      </c>
      <c r="E92" s="211" t="str">
        <f>IFERROR(__xludf.DUMMYFUNCTION("""COMPUTED_VALUE"""),"Aldo")</f>
        <v>Aldo</v>
      </c>
      <c r="F92" s="211" t="str">
        <f>IFERROR(__xludf.DUMMYFUNCTION("""COMPUTED_VALUE"""),"MAY BOGO 2026 1-3 MAY - B1G1")</f>
        <v>MAY BOGO 2026 1-3 MAY - B1G1</v>
      </c>
      <c r="G92" s="211" t="str">
        <f>IFERROR(__xludf.DUMMYFUNCTION("""COMPUTED_VALUE"""),"WA_BOGO_AL_ON_View_Item")</f>
        <v>WA_BOGO_AL_ON_View_Item</v>
      </c>
      <c r="H92" s="212" t="str">
        <f>IFERROR(__xludf.DUMMYFUNCTION("""COMPUTED_VALUE"""),"AL_ON_View_Item")</f>
        <v>AL_ON_View_Item</v>
      </c>
      <c r="I92" s="212" t="str">
        <f>IFERROR(__xludf.DUMMYFUNCTION("""COMPUTED_VALUE"""),"All customers who have Viewed Item at least 5 times in the last 90 days but have not purchased")</f>
        <v>All customers who have Viewed Item at least 5 times in the last 90 days but have not purchased</v>
      </c>
      <c r="J92" s="213">
        <f>IFERROR(__xludf.DUMMYFUNCTION("""COMPUTED_VALUE"""),1766.0)</f>
        <v>1766</v>
      </c>
      <c r="K92" s="213">
        <f>IFERROR(__xludf.DUMMYFUNCTION("""COMPUTED_VALUE"""),921.0)</f>
        <v>921</v>
      </c>
      <c r="L92" s="214">
        <f>IFERROR(__xludf.DUMMYFUNCTION("""COMPUTED_VALUE"""),0.5215)</f>
        <v>0.5215</v>
      </c>
      <c r="M92" s="213">
        <f>IFERROR(__xludf.DUMMYFUNCTION("""COMPUTED_VALUE"""),515.0)</f>
        <v>515</v>
      </c>
      <c r="N92" s="214">
        <f>IFERROR(__xludf.DUMMYFUNCTION("""COMPUTED_VALUE"""),0.5592)</f>
        <v>0.5592</v>
      </c>
      <c r="O92" s="213">
        <f>IFERROR(__xludf.DUMMYFUNCTION("""COMPUTED_VALUE"""),215.0)</f>
        <v>215</v>
      </c>
      <c r="P92" s="213">
        <f>IFERROR(__xludf.DUMMYFUNCTION("""COMPUTED_VALUE"""),194.0)</f>
        <v>194</v>
      </c>
      <c r="Q92" s="214">
        <f>IFERROR(__xludf.DUMMYFUNCTION("""COMPUTED_VALUE"""),0.2106)</f>
        <v>0.2106</v>
      </c>
      <c r="R92" s="214">
        <f>IFERROR(__xludf.DUMMYFUNCTION("""COMPUTED_VALUE"""),0.3767)</f>
        <v>0.3767</v>
      </c>
      <c r="S92" s="213">
        <f>IFERROR(__xludf.DUMMYFUNCTION("""COMPUTED_VALUE"""),7.0)</f>
        <v>7</v>
      </c>
      <c r="T92" s="213">
        <f>IFERROR(__xludf.DUMMYFUNCTION("""COMPUTED_VALUE"""),66.0)</f>
        <v>66</v>
      </c>
      <c r="U92" s="213">
        <f>IFERROR(__xludf.DUMMYFUNCTION("""COMPUTED_VALUE"""),80992.0)</f>
        <v>80992</v>
      </c>
      <c r="V92" s="213" t="str">
        <f>IFERROR(__xludf.DUMMYFUNCTION("""COMPUTED_VALUE"""),"online")</f>
        <v>online</v>
      </c>
      <c r="W92" s="213" t="str">
        <f>IFERROR(__xludf.DUMMYFUNCTION("""COMPUTED_VALUE"""),"simple")</f>
        <v>simple</v>
      </c>
      <c r="X92" s="213" t="str">
        <f>IFERROR(__xludf.DUMMYFUNCTION("""COMPUTED_VALUE"""),"View Item")</f>
        <v>View Item</v>
      </c>
      <c r="Y92" s="213" t="str">
        <f>IFERROR(__xludf.DUMMYFUNCTION("""COMPUTED_VALUE"""),"30th April ")</f>
        <v>30th April </v>
      </c>
      <c r="Z92" s="213" t="str">
        <f>IFERROR(__xludf.DUMMYFUNCTION("""COMPUTED_VALUE"""),"69f33704b9f13223d9d40263")</f>
        <v>69f33704b9f13223d9d40263</v>
      </c>
      <c r="AA92" s="213"/>
      <c r="AB92" s="213"/>
      <c r="AC92" s="213"/>
      <c r="AD92" s="213"/>
      <c r="AE92" s="213"/>
      <c r="AF92" s="213"/>
      <c r="AG92" s="208"/>
      <c r="AH92" s="208"/>
      <c r="AI92" s="208"/>
      <c r="AJ92" s="208"/>
      <c r="AK92" s="208"/>
    </row>
    <row r="93">
      <c r="A93" s="209">
        <f>IFERROR(__xludf.DUMMYFUNCTION("""COMPUTED_VALUE"""),46142.0)</f>
        <v>46142</v>
      </c>
      <c r="B93" s="210">
        <f>IFERROR(__xludf.DUMMYFUNCTION("""COMPUTED_VALUE"""),0.75)</f>
        <v>0.75</v>
      </c>
      <c r="C93" s="211" t="str">
        <f>IFERROR(__xludf.DUMMYFUNCTION("""COMPUTED_VALUE"""),"Whatsapp")</f>
        <v>Whatsapp</v>
      </c>
      <c r="D93" s="211" t="str">
        <f>IFERROR(__xludf.DUMMYFUNCTION("""COMPUTED_VALUE"""),"Promtional")</f>
        <v>Promtional</v>
      </c>
      <c r="E93" s="211" t="str">
        <f>IFERROR(__xludf.DUMMYFUNCTION("""COMPUTED_VALUE"""),"Aldo")</f>
        <v>Aldo</v>
      </c>
      <c r="F93" s="211" t="str">
        <f>IFERROR(__xludf.DUMMYFUNCTION("""COMPUTED_VALUE"""),"MAY BOGO 2026 1-3 MAY - B1G1")</f>
        <v>MAY BOGO 2026 1-3 MAY - B1G1</v>
      </c>
      <c r="G93" s="211" t="str">
        <f>IFERROR(__xludf.DUMMYFUNCTION("""COMPUTED_VALUE"""),"WA_BOGO_AL_ON_SignUp_Form")</f>
        <v>WA_BOGO_AL_ON_SignUp_Form</v>
      </c>
      <c r="H93" s="212" t="str">
        <f>IFERROR(__xludf.DUMMYFUNCTION("""COMPUTED_VALUE"""),"AL_ON_SignUp_Form")</f>
        <v>AL_ON_SignUp_Form</v>
      </c>
      <c r="I93" s="212" t="str">
        <f>IFERROR(__xludf.DUMMYFUNCTION("""COMPUTED_VALUE"""),"Customers who have completed the sign up on site form")</f>
        <v>Customers who have completed the sign up on site form</v>
      </c>
      <c r="J93" s="213">
        <f>IFERROR(__xludf.DUMMYFUNCTION("""COMPUTED_VALUE"""),1494.0)</f>
        <v>1494</v>
      </c>
      <c r="K93" s="213">
        <f>IFERROR(__xludf.DUMMYFUNCTION("""COMPUTED_VALUE"""),820.0)</f>
        <v>820</v>
      </c>
      <c r="L93" s="214">
        <f>IFERROR(__xludf.DUMMYFUNCTION("""COMPUTED_VALUE"""),0.5489)</f>
        <v>0.5489</v>
      </c>
      <c r="M93" s="213">
        <f>IFERROR(__xludf.DUMMYFUNCTION("""COMPUTED_VALUE"""),434.0)</f>
        <v>434</v>
      </c>
      <c r="N93" s="214">
        <f>IFERROR(__xludf.DUMMYFUNCTION("""COMPUTED_VALUE"""),0.5293)</f>
        <v>0.5293</v>
      </c>
      <c r="O93" s="213">
        <f>IFERROR(__xludf.DUMMYFUNCTION("""COMPUTED_VALUE"""),118.0)</f>
        <v>118</v>
      </c>
      <c r="P93" s="213">
        <f>IFERROR(__xludf.DUMMYFUNCTION("""COMPUTED_VALUE"""),112.0)</f>
        <v>112</v>
      </c>
      <c r="Q93" s="214">
        <f>IFERROR(__xludf.DUMMYFUNCTION("""COMPUTED_VALUE"""),0.1366)</f>
        <v>0.1366</v>
      </c>
      <c r="R93" s="214">
        <f>IFERROR(__xludf.DUMMYFUNCTION("""COMPUTED_VALUE"""),0.2581)</f>
        <v>0.2581</v>
      </c>
      <c r="S93" s="213">
        <f>IFERROR(__xludf.DUMMYFUNCTION("""COMPUTED_VALUE"""),10.0)</f>
        <v>10</v>
      </c>
      <c r="T93" s="213">
        <f>IFERROR(__xludf.DUMMYFUNCTION("""COMPUTED_VALUE"""),46.0)</f>
        <v>46</v>
      </c>
      <c r="U93" s="213">
        <f>IFERROR(__xludf.DUMMYFUNCTION("""COMPUTED_VALUE"""),108590.1)</f>
        <v>108590.1</v>
      </c>
      <c r="V93" s="213" t="str">
        <f>IFERROR(__xludf.DUMMYFUNCTION("""COMPUTED_VALUE"""),"online")</f>
        <v>online</v>
      </c>
      <c r="W93" s="213" t="str">
        <f>IFERROR(__xludf.DUMMYFUNCTION("""COMPUTED_VALUE"""),"simple")</f>
        <v>simple</v>
      </c>
      <c r="X93" s="213" t="str">
        <f>IFERROR(__xludf.DUMMYFUNCTION("""COMPUTED_VALUE"""),"Sign Up Form")</f>
        <v>Sign Up Form</v>
      </c>
      <c r="Y93" s="213" t="str">
        <f>IFERROR(__xludf.DUMMYFUNCTION("""COMPUTED_VALUE"""),"30th April ")</f>
        <v>30th April </v>
      </c>
      <c r="Z93" s="213" t="str">
        <f>IFERROR(__xludf.DUMMYFUNCTION("""COMPUTED_VALUE"""),"69f337b651b33c29a8029b66")</f>
        <v>69f337b651b33c29a8029b66</v>
      </c>
      <c r="AA93" s="213"/>
      <c r="AB93" s="213"/>
      <c r="AC93" s="213"/>
      <c r="AD93" s="213"/>
      <c r="AE93" s="213"/>
      <c r="AF93" s="213"/>
      <c r="AG93" s="208"/>
      <c r="AH93" s="208"/>
      <c r="AI93" s="208"/>
      <c r="AJ93" s="208"/>
      <c r="AK93" s="208"/>
    </row>
    <row r="94">
      <c r="A94" s="209">
        <f>IFERROR(__xludf.DUMMYFUNCTION("""COMPUTED_VALUE"""),46142.0)</f>
        <v>46142</v>
      </c>
      <c r="B94" s="210">
        <f>IFERROR(__xludf.DUMMYFUNCTION("""COMPUTED_VALUE"""),0.75)</f>
        <v>0.75</v>
      </c>
      <c r="C94" s="211" t="str">
        <f>IFERROR(__xludf.DUMMYFUNCTION("""COMPUTED_VALUE"""),"Whatsapp")</f>
        <v>Whatsapp</v>
      </c>
      <c r="D94" s="211" t="str">
        <f>IFERROR(__xludf.DUMMYFUNCTION("""COMPUTED_VALUE"""),"Promtional")</f>
        <v>Promtional</v>
      </c>
      <c r="E94" s="211" t="str">
        <f>IFERROR(__xludf.DUMMYFUNCTION("""COMPUTED_VALUE"""),"Aldo")</f>
        <v>Aldo</v>
      </c>
      <c r="F94" s="211" t="str">
        <f>IFERROR(__xludf.DUMMYFUNCTION("""COMPUTED_VALUE"""),"MAY BOGO 2026 1-3 MAY - B1G1")</f>
        <v>MAY BOGO 2026 1-3 MAY - B1G1</v>
      </c>
      <c r="G94" s="211" t="str">
        <f>IFERROR(__xludf.DUMMYFUNCTION("""COMPUTED_VALUE"""),"WA_BOGO_AL_ON_Cart_Exit_Intent")</f>
        <v>WA_BOGO_AL_ON_Cart_Exit_Intent</v>
      </c>
      <c r="H94" s="212" t="str">
        <f>IFERROR(__xludf.DUMMYFUNCTION("""COMPUTED_VALUE"""),"AL_ON_Cart_Exit_Intent")</f>
        <v>AL_ON_Cart_Exit_Intent</v>
      </c>
      <c r="I94" s="212" t="str">
        <f>IFERROR(__xludf.DUMMYFUNCTION("""COMPUTED_VALUE"""),"Customers who have completed the exit intent on site form")</f>
        <v>Customers who have completed the exit intent on site form</v>
      </c>
      <c r="J94" s="213">
        <f>IFERROR(__xludf.DUMMYFUNCTION("""COMPUTED_VALUE"""),20642.0)</f>
        <v>20642</v>
      </c>
      <c r="K94" s="213">
        <f>IFERROR(__xludf.DUMMYFUNCTION("""COMPUTED_VALUE"""),9620.0)</f>
        <v>9620</v>
      </c>
      <c r="L94" s="214">
        <f>IFERROR(__xludf.DUMMYFUNCTION("""COMPUTED_VALUE"""),0.466)</f>
        <v>0.466</v>
      </c>
      <c r="M94" s="213">
        <f>IFERROR(__xludf.DUMMYFUNCTION("""COMPUTED_VALUE"""),4959.0)</f>
        <v>4959</v>
      </c>
      <c r="N94" s="214">
        <f>IFERROR(__xludf.DUMMYFUNCTION("""COMPUTED_VALUE"""),0.5155)</f>
        <v>0.5155</v>
      </c>
      <c r="O94" s="213">
        <f>IFERROR(__xludf.DUMMYFUNCTION("""COMPUTED_VALUE"""),1808.0)</f>
        <v>1808</v>
      </c>
      <c r="P94" s="213">
        <f>IFERROR(__xludf.DUMMYFUNCTION("""COMPUTED_VALUE"""),1668.0)</f>
        <v>1668</v>
      </c>
      <c r="Q94" s="214">
        <f>IFERROR(__xludf.DUMMYFUNCTION("""COMPUTED_VALUE"""),0.1734)</f>
        <v>0.1734</v>
      </c>
      <c r="R94" s="214">
        <f>IFERROR(__xludf.DUMMYFUNCTION("""COMPUTED_VALUE"""),0.3364)</f>
        <v>0.3364</v>
      </c>
      <c r="S94" s="213">
        <f>IFERROR(__xludf.DUMMYFUNCTION("""COMPUTED_VALUE"""),10.0)</f>
        <v>10</v>
      </c>
      <c r="T94" s="213">
        <f>IFERROR(__xludf.DUMMYFUNCTION("""COMPUTED_VALUE"""),130.0)</f>
        <v>130</v>
      </c>
      <c r="U94" s="213">
        <f>IFERROR(__xludf.DUMMYFUNCTION("""COMPUTED_VALUE"""),149745.0)</f>
        <v>149745</v>
      </c>
      <c r="V94" s="213" t="str">
        <f>IFERROR(__xludf.DUMMYFUNCTION("""COMPUTED_VALUE"""),"online")</f>
        <v>online</v>
      </c>
      <c r="W94" s="213" t="str">
        <f>IFERROR(__xludf.DUMMYFUNCTION("""COMPUTED_VALUE"""),"simple")</f>
        <v>simple</v>
      </c>
      <c r="X94" s="213" t="str">
        <f>IFERROR(__xludf.DUMMYFUNCTION("""COMPUTED_VALUE"""),"Exit Intent Form")</f>
        <v>Exit Intent Form</v>
      </c>
      <c r="Y94" s="213" t="str">
        <f>IFERROR(__xludf.DUMMYFUNCTION("""COMPUTED_VALUE"""),"30th April ")</f>
        <v>30th April </v>
      </c>
      <c r="Z94" s="213" t="str">
        <f>IFERROR(__xludf.DUMMYFUNCTION("""COMPUTED_VALUE"""),"69f3380fee81578030fdce4f")</f>
        <v>69f3380fee81578030fdce4f</v>
      </c>
      <c r="AA94" s="213"/>
      <c r="AB94" s="213"/>
      <c r="AC94" s="213"/>
      <c r="AD94" s="213"/>
      <c r="AE94" s="213"/>
      <c r="AF94" s="213"/>
      <c r="AG94" s="208"/>
      <c r="AH94" s="208"/>
      <c r="AI94" s="208"/>
      <c r="AJ94" s="208"/>
      <c r="AK94" s="208"/>
    </row>
    <row r="95">
      <c r="A95" s="209">
        <f>IFERROR(__xludf.DUMMYFUNCTION("""COMPUTED_VALUE"""),46142.0)</f>
        <v>46142</v>
      </c>
      <c r="B95" s="210">
        <f>IFERROR(__xludf.DUMMYFUNCTION("""COMPUTED_VALUE"""),0.75)</f>
        <v>0.75</v>
      </c>
      <c r="C95" s="211" t="str">
        <f>IFERROR(__xludf.DUMMYFUNCTION("""COMPUTED_VALUE"""),"Whatsapp")</f>
        <v>Whatsapp</v>
      </c>
      <c r="D95" s="211" t="str">
        <f>IFERROR(__xludf.DUMMYFUNCTION("""COMPUTED_VALUE"""),"Promtional")</f>
        <v>Promtional</v>
      </c>
      <c r="E95" s="211" t="str">
        <f>IFERROR(__xludf.DUMMYFUNCTION("""COMPUTED_VALUE"""),"Aldo")</f>
        <v>Aldo</v>
      </c>
      <c r="F95" s="211" t="str">
        <f>IFERROR(__xludf.DUMMYFUNCTION("""COMPUTED_VALUE"""),"MAY BOGO 2026 1-3 MAY - B1G1")</f>
        <v>MAY BOGO 2026 1-3 MAY - B1G1</v>
      </c>
      <c r="G95" s="211" t="str">
        <f>IFERROR(__xludf.DUMMYFUNCTION("""COMPUTED_VALUE"""),"WA_BOGO_AL_ON_OFF_Event_Buyers_BOGO")</f>
        <v>WA_BOGO_AL_ON_OFF_Event_Buyers_BOGO</v>
      </c>
      <c r="H95" s="212" t="str">
        <f>IFERROR(__xludf.DUMMYFUNCTION("""COMPUTED_VALUE"""),"AL_ON_OFF_Event_Buyers_BOGO")</f>
        <v>AL_ON_OFF_Event_Buyers_BOGO</v>
      </c>
      <c r="I95" s="212" t="str">
        <f>IFERROR(__xludf.DUMMYFUNCTION("""COMPUTED_VALUE"""),"All customers who have purchased between 7 - 11 Nov, 2025")</f>
        <v>All customers who have purchased between 7 - 11 Nov, 2025</v>
      </c>
      <c r="J95" s="213">
        <f>IFERROR(__xludf.DUMMYFUNCTION("""COMPUTED_VALUE"""),7779.0)</f>
        <v>7779</v>
      </c>
      <c r="K95" s="213">
        <f>IFERROR(__xludf.DUMMYFUNCTION("""COMPUTED_VALUE"""),3620.0)</f>
        <v>3620</v>
      </c>
      <c r="L95" s="214">
        <f>IFERROR(__xludf.DUMMYFUNCTION("""COMPUTED_VALUE"""),0.4654)</f>
        <v>0.4654</v>
      </c>
      <c r="M95" s="213">
        <f>IFERROR(__xludf.DUMMYFUNCTION("""COMPUTED_VALUE"""),1659.0)</f>
        <v>1659</v>
      </c>
      <c r="N95" s="214">
        <f>IFERROR(__xludf.DUMMYFUNCTION("""COMPUTED_VALUE"""),0.458)</f>
        <v>0.458</v>
      </c>
      <c r="O95" s="213">
        <f>IFERROR(__xludf.DUMMYFUNCTION("""COMPUTED_VALUE"""),463.0)</f>
        <v>463</v>
      </c>
      <c r="P95" s="213">
        <f>IFERROR(__xludf.DUMMYFUNCTION("""COMPUTED_VALUE"""),419.0)</f>
        <v>419</v>
      </c>
      <c r="Q95" s="214">
        <f>IFERROR(__xludf.DUMMYFUNCTION("""COMPUTED_VALUE"""),0.1157)</f>
        <v>0.1157</v>
      </c>
      <c r="R95" s="214">
        <f>IFERROR(__xludf.DUMMYFUNCTION("""COMPUTED_VALUE"""),0.2527)</f>
        <v>0.2527</v>
      </c>
      <c r="S95" s="213">
        <f>IFERROR(__xludf.DUMMYFUNCTION("""COMPUTED_VALUE"""),7.0)</f>
        <v>7</v>
      </c>
      <c r="T95" s="213">
        <f>IFERROR(__xludf.DUMMYFUNCTION("""COMPUTED_VALUE"""),14.0)</f>
        <v>14</v>
      </c>
      <c r="U95" s="213">
        <f>IFERROR(__xludf.DUMMYFUNCTION("""COMPUTED_VALUE"""),104542.0)</f>
        <v>104542</v>
      </c>
      <c r="V95" s="213" t="str">
        <f>IFERROR(__xludf.DUMMYFUNCTION("""COMPUTED_VALUE"""),"overall")</f>
        <v>overall</v>
      </c>
      <c r="W95" s="213" t="str">
        <f>IFERROR(__xludf.DUMMYFUNCTION("""COMPUTED_VALUE"""),"simple")</f>
        <v>simple</v>
      </c>
      <c r="X95" s="213" t="str">
        <f>IFERROR(__xludf.DUMMYFUNCTION("""COMPUTED_VALUE"""),"Event Buyers")</f>
        <v>Event Buyers</v>
      </c>
      <c r="Y95" s="213" t="str">
        <f>IFERROR(__xludf.DUMMYFUNCTION("""COMPUTED_VALUE"""),"30th April ")</f>
        <v>30th April </v>
      </c>
      <c r="Z95" s="213" t="str">
        <f>IFERROR(__xludf.DUMMYFUNCTION("""COMPUTED_VALUE"""),"69f338389a16ca55b75ae26a")</f>
        <v>69f338389a16ca55b75ae26a</v>
      </c>
      <c r="AA95" s="213"/>
      <c r="AB95" s="213"/>
      <c r="AC95" s="213"/>
      <c r="AD95" s="213"/>
      <c r="AE95" s="213"/>
      <c r="AF95" s="213"/>
      <c r="AG95" s="208"/>
      <c r="AH95" s="208"/>
      <c r="AI95" s="208"/>
      <c r="AJ95" s="208"/>
      <c r="AK95" s="208"/>
    </row>
    <row r="96">
      <c r="A96" s="209">
        <f>IFERROR(__xludf.DUMMYFUNCTION("""COMPUTED_VALUE"""),46142.0)</f>
        <v>46142</v>
      </c>
      <c r="B96" s="210">
        <f>IFERROR(__xludf.DUMMYFUNCTION("""COMPUTED_VALUE"""),0.75)</f>
        <v>0.75</v>
      </c>
      <c r="C96" s="211" t="str">
        <f>IFERROR(__xludf.DUMMYFUNCTION("""COMPUTED_VALUE"""),"Whatsapp")</f>
        <v>Whatsapp</v>
      </c>
      <c r="D96" s="211" t="str">
        <f>IFERROR(__xludf.DUMMYFUNCTION("""COMPUTED_VALUE"""),"Promtional")</f>
        <v>Promtional</v>
      </c>
      <c r="E96" s="211" t="str">
        <f>IFERROR(__xludf.DUMMYFUNCTION("""COMPUTED_VALUE"""),"Aldo")</f>
        <v>Aldo</v>
      </c>
      <c r="F96" s="211" t="str">
        <f>IFERROR(__xludf.DUMMYFUNCTION("""COMPUTED_VALUE"""),"MAY BOGO 2026 1-3 MAY - B1G1")</f>
        <v>MAY BOGO 2026 1-3 MAY - B1G1</v>
      </c>
      <c r="G96" s="211" t="str">
        <f>IFERROR(__xludf.DUMMYFUNCTION("""COMPUTED_VALUE"""),"WA_BOGO_AL_ON_OFF_Repeat_1Year")</f>
        <v>WA_BOGO_AL_ON_OFF_Repeat_1Year</v>
      </c>
      <c r="H96" s="212" t="str">
        <f>IFERROR(__xludf.DUMMYFUNCTION("""COMPUTED_VALUE"""),"AL_ON_OFF_Repeat_1Year")</f>
        <v>AL_ON_OFF_Repeat_1Year</v>
      </c>
      <c r="I96" s="212" t="str">
        <f>IFERROR(__xludf.DUMMYFUNCTION("""COMPUTED_VALUE"""),"All customers who have purchased at least 2 times in the last 365 days")</f>
        <v>All customers who have purchased at least 2 times in the last 365 days</v>
      </c>
      <c r="J96" s="213">
        <f>IFERROR(__xludf.DUMMYFUNCTION("""COMPUTED_VALUE"""),24598.0)</f>
        <v>24598</v>
      </c>
      <c r="K96" s="213">
        <f>IFERROR(__xludf.DUMMYFUNCTION("""COMPUTED_VALUE"""),10984.0)</f>
        <v>10984</v>
      </c>
      <c r="L96" s="214">
        <f>IFERROR(__xludf.DUMMYFUNCTION("""COMPUTED_VALUE"""),0.4465)</f>
        <v>0.4465</v>
      </c>
      <c r="M96" s="213">
        <f>IFERROR(__xludf.DUMMYFUNCTION("""COMPUTED_VALUE"""),4950.0)</f>
        <v>4950</v>
      </c>
      <c r="N96" s="214">
        <f>IFERROR(__xludf.DUMMYFUNCTION("""COMPUTED_VALUE"""),0.4507)</f>
        <v>0.4507</v>
      </c>
      <c r="O96" s="213">
        <f>IFERROR(__xludf.DUMMYFUNCTION("""COMPUTED_VALUE"""),1101.0)</f>
        <v>1101</v>
      </c>
      <c r="P96" s="213">
        <f>IFERROR(__xludf.DUMMYFUNCTION("""COMPUTED_VALUE"""),1043.0)</f>
        <v>1043</v>
      </c>
      <c r="Q96" s="214">
        <f>IFERROR(__xludf.DUMMYFUNCTION("""COMPUTED_VALUE"""),0.095)</f>
        <v>0.095</v>
      </c>
      <c r="R96" s="214">
        <f>IFERROR(__xludf.DUMMYFUNCTION("""COMPUTED_VALUE"""),0.2107)</f>
        <v>0.2107</v>
      </c>
      <c r="S96" s="213">
        <f>IFERROR(__xludf.DUMMYFUNCTION("""COMPUTED_VALUE"""),9.0)</f>
        <v>9</v>
      </c>
      <c r="T96" s="213">
        <f>IFERROR(__xludf.DUMMYFUNCTION("""COMPUTED_VALUE"""),24.0)</f>
        <v>24</v>
      </c>
      <c r="U96" s="213">
        <f>IFERROR(__xludf.DUMMYFUNCTION("""COMPUTED_VALUE"""),137590.0)</f>
        <v>137590</v>
      </c>
      <c r="V96" s="213" t="str">
        <f>IFERROR(__xludf.DUMMYFUNCTION("""COMPUTED_VALUE"""),"overall")</f>
        <v>overall</v>
      </c>
      <c r="W96" s="213" t="str">
        <f>IFERROR(__xludf.DUMMYFUNCTION("""COMPUTED_VALUE"""),"simple")</f>
        <v>simple</v>
      </c>
      <c r="X96" s="213" t="str">
        <f>IFERROR(__xludf.DUMMYFUNCTION("""COMPUTED_VALUE"""),"Repeat")</f>
        <v>Repeat</v>
      </c>
      <c r="Y96" s="213" t="str">
        <f>IFERROR(__xludf.DUMMYFUNCTION("""COMPUTED_VALUE"""),"30th April ")</f>
        <v>30th April </v>
      </c>
      <c r="Z96" s="213" t="str">
        <f>IFERROR(__xludf.DUMMYFUNCTION("""COMPUTED_VALUE"""),"69f338823f23795c48ee1b4c")</f>
        <v>69f338823f23795c48ee1b4c</v>
      </c>
      <c r="AA96" s="213"/>
      <c r="AB96" s="213"/>
      <c r="AC96" s="213"/>
      <c r="AD96" s="213"/>
      <c r="AE96" s="213"/>
      <c r="AF96" s="213"/>
      <c r="AG96" s="208"/>
      <c r="AH96" s="208"/>
      <c r="AI96" s="208"/>
      <c r="AJ96" s="208"/>
      <c r="AK96" s="208"/>
    </row>
    <row r="97">
      <c r="A97" s="209">
        <f>IFERROR(__xludf.DUMMYFUNCTION("""COMPUTED_VALUE"""),46142.0)</f>
        <v>46142</v>
      </c>
      <c r="B97" s="210">
        <f>IFERROR(__xludf.DUMMYFUNCTION("""COMPUTED_VALUE"""),0.75)</f>
        <v>0.75</v>
      </c>
      <c r="C97" s="211" t="str">
        <f>IFERROR(__xludf.DUMMYFUNCTION("""COMPUTED_VALUE"""),"Whatsapp")</f>
        <v>Whatsapp</v>
      </c>
      <c r="D97" s="211" t="str">
        <f>IFERROR(__xludf.DUMMYFUNCTION("""COMPUTED_VALUE"""),"Promtional")</f>
        <v>Promtional</v>
      </c>
      <c r="E97" s="211" t="str">
        <f>IFERROR(__xludf.DUMMYFUNCTION("""COMPUTED_VALUE"""),"Aldo")</f>
        <v>Aldo</v>
      </c>
      <c r="F97" s="211" t="str">
        <f>IFERROR(__xludf.DUMMYFUNCTION("""COMPUTED_VALUE"""),"MAY BOGO 2026 1-3 MAY - B1G1")</f>
        <v>MAY BOGO 2026 1-3 MAY - B1G1</v>
      </c>
      <c r="G97" s="211" t="str">
        <f>IFERROR(__xludf.DUMMYFUNCTION("""COMPUTED_VALUE"""),"WA_BOGO_AL_ON_OFF_Recent")</f>
        <v>WA_BOGO_AL_ON_OFF_Recent</v>
      </c>
      <c r="H97" s="212" t="str">
        <f>IFERROR(__xludf.DUMMYFUNCTION("""COMPUTED_VALUE"""),"AL_ON_OFF_Recent")</f>
        <v>AL_ON_OFF_Recent</v>
      </c>
      <c r="I97" s="212" t="str">
        <f>IFERROR(__xludf.DUMMYFUNCTION("""COMPUTED_VALUE"""),"All customers who have purchased at least 1 time in the last 76 days")</f>
        <v>All customers who have purchased at least 1 time in the last 76 days</v>
      </c>
      <c r="J97" s="213">
        <f>IFERROR(__xludf.DUMMYFUNCTION("""COMPUTED_VALUE"""),14744.0)</f>
        <v>14744</v>
      </c>
      <c r="K97" s="213">
        <f>IFERROR(__xludf.DUMMYFUNCTION("""COMPUTED_VALUE"""),7437.0)</f>
        <v>7437</v>
      </c>
      <c r="L97" s="214">
        <f>IFERROR(__xludf.DUMMYFUNCTION("""COMPUTED_VALUE"""),0.5044)</f>
        <v>0.5044</v>
      </c>
      <c r="M97" s="213">
        <f>IFERROR(__xludf.DUMMYFUNCTION("""COMPUTED_VALUE"""),3798.0)</f>
        <v>3798</v>
      </c>
      <c r="N97" s="214">
        <f>IFERROR(__xludf.DUMMYFUNCTION("""COMPUTED_VALUE"""),0.5107)</f>
        <v>0.5107</v>
      </c>
      <c r="O97" s="213">
        <f>IFERROR(__xludf.DUMMYFUNCTION("""COMPUTED_VALUE"""),1059.0)</f>
        <v>1059</v>
      </c>
      <c r="P97" s="213">
        <f>IFERROR(__xludf.DUMMYFUNCTION("""COMPUTED_VALUE"""),979.0)</f>
        <v>979</v>
      </c>
      <c r="Q97" s="214">
        <f>IFERROR(__xludf.DUMMYFUNCTION("""COMPUTED_VALUE"""),0.1316)</f>
        <v>0.1316</v>
      </c>
      <c r="R97" s="214">
        <f>IFERROR(__xludf.DUMMYFUNCTION("""COMPUTED_VALUE"""),0.2578)</f>
        <v>0.2578</v>
      </c>
      <c r="S97" s="213">
        <f>IFERROR(__xludf.DUMMYFUNCTION("""COMPUTED_VALUE"""),6.0)</f>
        <v>6</v>
      </c>
      <c r="T97" s="213">
        <f>IFERROR(__xludf.DUMMYFUNCTION("""COMPUTED_VALUE"""),26.0)</f>
        <v>26</v>
      </c>
      <c r="U97" s="213">
        <f>IFERROR(__xludf.DUMMYFUNCTION("""COMPUTED_VALUE"""),100883.0)</f>
        <v>100883</v>
      </c>
      <c r="V97" s="213" t="str">
        <f>IFERROR(__xludf.DUMMYFUNCTION("""COMPUTED_VALUE"""),"overall")</f>
        <v>overall</v>
      </c>
      <c r="W97" s="213" t="str">
        <f>IFERROR(__xludf.DUMMYFUNCTION("""COMPUTED_VALUE"""),"simple")</f>
        <v>simple</v>
      </c>
      <c r="X97" s="213" t="str">
        <f>IFERROR(__xludf.DUMMYFUNCTION("""COMPUTED_VALUE"""),"Recent")</f>
        <v>Recent</v>
      </c>
      <c r="Y97" s="213" t="str">
        <f>IFERROR(__xludf.DUMMYFUNCTION("""COMPUTED_VALUE"""),"30th April ")</f>
        <v>30th April </v>
      </c>
      <c r="Z97" s="213" t="str">
        <f>IFERROR(__xludf.DUMMYFUNCTION("""COMPUTED_VALUE"""),"69f33a52313ceec475d2497d")</f>
        <v>69f33a52313ceec475d2497d</v>
      </c>
      <c r="AA97" s="213"/>
      <c r="AB97" s="213"/>
      <c r="AC97" s="213"/>
      <c r="AD97" s="213"/>
      <c r="AE97" s="213"/>
      <c r="AF97" s="213"/>
      <c r="AG97" s="208"/>
      <c r="AH97" s="208"/>
      <c r="AI97" s="208"/>
      <c r="AJ97" s="208"/>
      <c r="AK97" s="208"/>
    </row>
    <row r="98">
      <c r="A98" s="209">
        <f>IFERROR(__xludf.DUMMYFUNCTION("""COMPUTED_VALUE"""),46142.0)</f>
        <v>46142</v>
      </c>
      <c r="B98" s="210">
        <f>IFERROR(__xludf.DUMMYFUNCTION("""COMPUTED_VALUE"""),0.75)</f>
        <v>0.75</v>
      </c>
      <c r="C98" s="211" t="str">
        <f>IFERROR(__xludf.DUMMYFUNCTION("""COMPUTED_VALUE"""),"Whatsapp")</f>
        <v>Whatsapp</v>
      </c>
      <c r="D98" s="211" t="str">
        <f>IFERROR(__xludf.DUMMYFUNCTION("""COMPUTED_VALUE"""),"Promtional")</f>
        <v>Promtional</v>
      </c>
      <c r="E98" s="211" t="str">
        <f>IFERROR(__xludf.DUMMYFUNCTION("""COMPUTED_VALUE"""),"Aldo")</f>
        <v>Aldo</v>
      </c>
      <c r="F98" s="211" t="str">
        <f>IFERROR(__xludf.DUMMYFUNCTION("""COMPUTED_VALUE"""),"MAY BOGO 2026 1-3 MAY - B1G1")</f>
        <v>MAY BOGO 2026 1-3 MAY - B1G1</v>
      </c>
      <c r="G98" s="211" t="str">
        <f>IFERROR(__xludf.DUMMYFUNCTION("""COMPUTED_VALUE"""),"WA_BOGO_AL_ON_OFF_Disc_Buyers_50_perc")</f>
        <v>WA_BOGO_AL_ON_OFF_Disc_Buyers_50_perc</v>
      </c>
      <c r="H98" s="212" t="str">
        <f>IFERROR(__xludf.DUMMYFUNCTION("""COMPUTED_VALUE"""),"AL_ON_OFF_Disc_Buyers_50_perc")</f>
        <v>AL_ON_OFF_Disc_Buyers_50_perc</v>
      </c>
      <c r="I98" s="212" t="str">
        <f>IFERROR(__xludf.DUMMYFUNCTION("""COMPUTED_VALUE"""),"All customers who have purchased at least 1 time with discount percentage of at least 50% in the last 365 days")</f>
        <v>All customers who have purchased at least 1 time with discount percentage of at least 50% in the last 365 days</v>
      </c>
      <c r="J98" s="213">
        <f>IFERROR(__xludf.DUMMYFUNCTION("""COMPUTED_VALUE"""),20292.0)</f>
        <v>20292</v>
      </c>
      <c r="K98" s="213">
        <f>IFERROR(__xludf.DUMMYFUNCTION("""COMPUTED_VALUE"""),9094.0)</f>
        <v>9094</v>
      </c>
      <c r="L98" s="214">
        <f>IFERROR(__xludf.DUMMYFUNCTION("""COMPUTED_VALUE"""),0.4481)</f>
        <v>0.4481</v>
      </c>
      <c r="M98" s="213">
        <f>IFERROR(__xludf.DUMMYFUNCTION("""COMPUTED_VALUE"""),3814.0)</f>
        <v>3814</v>
      </c>
      <c r="N98" s="214">
        <f>IFERROR(__xludf.DUMMYFUNCTION("""COMPUTED_VALUE"""),0.4194)</f>
        <v>0.4194</v>
      </c>
      <c r="O98" s="213">
        <f>IFERROR(__xludf.DUMMYFUNCTION("""COMPUTED_VALUE"""),1000.0)</f>
        <v>1000</v>
      </c>
      <c r="P98" s="213">
        <f>IFERROR(__xludf.DUMMYFUNCTION("""COMPUTED_VALUE"""),932.0)</f>
        <v>932</v>
      </c>
      <c r="Q98" s="214">
        <f>IFERROR(__xludf.DUMMYFUNCTION("""COMPUTED_VALUE"""),0.1025)</f>
        <v>0.1025</v>
      </c>
      <c r="R98" s="214">
        <f>IFERROR(__xludf.DUMMYFUNCTION("""COMPUTED_VALUE"""),0.2444)</f>
        <v>0.2444</v>
      </c>
      <c r="S98" s="213">
        <f>IFERROR(__xludf.DUMMYFUNCTION("""COMPUTED_VALUE"""),8.0)</f>
        <v>8</v>
      </c>
      <c r="T98" s="213">
        <f>IFERROR(__xludf.DUMMYFUNCTION("""COMPUTED_VALUE"""),17.0)</f>
        <v>17</v>
      </c>
      <c r="U98" s="213">
        <f>IFERROR(__xludf.DUMMYFUNCTION("""COMPUTED_VALUE"""),118690.1)</f>
        <v>118690.1</v>
      </c>
      <c r="V98" s="213" t="str">
        <f>IFERROR(__xludf.DUMMYFUNCTION("""COMPUTED_VALUE"""),"overall")</f>
        <v>overall</v>
      </c>
      <c r="W98" s="213" t="str">
        <f>IFERROR(__xludf.DUMMYFUNCTION("""COMPUTED_VALUE"""),"simple")</f>
        <v>simple</v>
      </c>
      <c r="X98" s="213" t="str">
        <f>IFERROR(__xludf.DUMMYFUNCTION("""COMPUTED_VALUE"""),"Discount Shoppers")</f>
        <v>Discount Shoppers</v>
      </c>
      <c r="Y98" s="213" t="str">
        <f>IFERROR(__xludf.DUMMYFUNCTION("""COMPUTED_VALUE"""),"30th April ")</f>
        <v>30th April </v>
      </c>
      <c r="Z98" s="213" t="str">
        <f>IFERROR(__xludf.DUMMYFUNCTION("""COMPUTED_VALUE"""),"69f33ad48361a39c180f635d")</f>
        <v>69f33ad48361a39c180f635d</v>
      </c>
      <c r="AA98" s="213"/>
      <c r="AB98" s="213"/>
      <c r="AC98" s="213"/>
      <c r="AD98" s="213"/>
      <c r="AE98" s="213"/>
      <c r="AF98" s="213"/>
      <c r="AG98" s="208"/>
      <c r="AH98" s="208"/>
      <c r="AI98" s="208"/>
      <c r="AJ98" s="208"/>
      <c r="AK98" s="208"/>
    </row>
    <row r="99">
      <c r="A99" s="209">
        <f>IFERROR(__xludf.DUMMYFUNCTION("""COMPUTED_VALUE"""),46142.0)</f>
        <v>46142</v>
      </c>
      <c r="B99" s="210">
        <f>IFERROR(__xludf.DUMMYFUNCTION("""COMPUTED_VALUE"""),0.75)</f>
        <v>0.75</v>
      </c>
      <c r="C99" s="211" t="str">
        <f>IFERROR(__xludf.DUMMYFUNCTION("""COMPUTED_VALUE"""),"Whatsapp")</f>
        <v>Whatsapp</v>
      </c>
      <c r="D99" s="211" t="str">
        <f>IFERROR(__xludf.DUMMYFUNCTION("""COMPUTED_VALUE"""),"Promtional")</f>
        <v>Promtional</v>
      </c>
      <c r="E99" s="211" t="str">
        <f>IFERROR(__xludf.DUMMYFUNCTION("""COMPUTED_VALUE"""),"Aldo")</f>
        <v>Aldo</v>
      </c>
      <c r="F99" s="211" t="str">
        <f>IFERROR(__xludf.DUMMYFUNCTION("""COMPUTED_VALUE"""),"MAY BOGO 2026 1-3 MAY - B1G1")</f>
        <v>MAY BOGO 2026 1-3 MAY - B1G1</v>
      </c>
      <c r="G99" s="211" t="str">
        <f>IFERROR(__xludf.DUMMYFUNCTION("""COMPUTED_VALUE"""),"WA_BOGO_AL_ON_OFF_UPT_Min_2")</f>
        <v>WA_BOGO_AL_ON_OFF_UPT_Min_2</v>
      </c>
      <c r="H99" s="212" t="str">
        <f>IFERROR(__xludf.DUMMYFUNCTION("""COMPUTED_VALUE"""),"AL_ON_OFF_UPT_Min_2, Push_Notif_Off_UserBase")</f>
        <v>AL_ON_OFF_UPT_Min_2, Push_Notif_Off_UserBase</v>
      </c>
      <c r="I99" s="212" t="str">
        <f>IFERROR(__xludf.DUMMYFUNCTION("""COMPUTED_VALUE"""),"No Brief")</f>
        <v>No Brief</v>
      </c>
      <c r="J99" s="213">
        <f>IFERROR(__xludf.DUMMYFUNCTION("""COMPUTED_VALUE"""),160016.0)</f>
        <v>160016</v>
      </c>
      <c r="K99" s="213">
        <f>IFERROR(__xludf.DUMMYFUNCTION("""COMPUTED_VALUE"""),73394.0)</f>
        <v>73394</v>
      </c>
      <c r="L99" s="214">
        <f>IFERROR(__xludf.DUMMYFUNCTION("""COMPUTED_VALUE"""),0.4586)</f>
        <v>0.4586</v>
      </c>
      <c r="M99" s="213">
        <f>IFERROR(__xludf.DUMMYFUNCTION("""COMPUTED_VALUE"""),30860.0)</f>
        <v>30860</v>
      </c>
      <c r="N99" s="214">
        <f>IFERROR(__xludf.DUMMYFUNCTION("""COMPUTED_VALUE"""),0.4205)</f>
        <v>0.4205</v>
      </c>
      <c r="O99" s="213">
        <f>IFERROR(__xludf.DUMMYFUNCTION("""COMPUTED_VALUE"""),5247.0)</f>
        <v>5247</v>
      </c>
      <c r="P99" s="213">
        <f>IFERROR(__xludf.DUMMYFUNCTION("""COMPUTED_VALUE"""),4920.0)</f>
        <v>4920</v>
      </c>
      <c r="Q99" s="214">
        <f>IFERROR(__xludf.DUMMYFUNCTION("""COMPUTED_VALUE"""),0.067)</f>
        <v>0.067</v>
      </c>
      <c r="R99" s="214">
        <f>IFERROR(__xludf.DUMMYFUNCTION("""COMPUTED_VALUE"""),0.1594)</f>
        <v>0.1594</v>
      </c>
      <c r="S99" s="213">
        <f>IFERROR(__xludf.DUMMYFUNCTION("""COMPUTED_VALUE"""),24.0)</f>
        <v>24</v>
      </c>
      <c r="T99" s="213">
        <f>IFERROR(__xludf.DUMMYFUNCTION("""COMPUTED_VALUE"""),100.0)</f>
        <v>100</v>
      </c>
      <c r="U99" s="213">
        <f>IFERROR(__xludf.DUMMYFUNCTION("""COMPUTED_VALUE"""),316298.1)</f>
        <v>316298.1</v>
      </c>
      <c r="V99" s="213" t="str">
        <f>IFERROR(__xludf.DUMMYFUNCTION("""COMPUTED_VALUE"""),"overall")</f>
        <v>overall</v>
      </c>
      <c r="W99" s="213" t="str">
        <f>IFERROR(__xludf.DUMMYFUNCTION("""COMPUTED_VALUE"""),"simple")</f>
        <v>simple</v>
      </c>
      <c r="X99" s="213" t="str">
        <f>IFERROR(__xludf.DUMMYFUNCTION("""COMPUTED_VALUE"""),"No Brief")</f>
        <v>No Brief</v>
      </c>
      <c r="Y99" s="213" t="str">
        <f>IFERROR(__xludf.DUMMYFUNCTION("""COMPUTED_VALUE"""),"30th April ")</f>
        <v>30th April </v>
      </c>
      <c r="Z99" s="213" t="str">
        <f>IFERROR(__xludf.DUMMYFUNCTION("""COMPUTED_VALUE"""),"69f34085708981abe0fc1d2b")</f>
        <v>69f34085708981abe0fc1d2b</v>
      </c>
      <c r="AA99" s="213"/>
      <c r="AB99" s="213"/>
      <c r="AC99" s="213"/>
      <c r="AD99" s="213"/>
      <c r="AE99" s="213"/>
      <c r="AF99" s="213"/>
      <c r="AG99" s="208"/>
      <c r="AH99" s="208"/>
      <c r="AI99" s="208"/>
      <c r="AJ99" s="208"/>
      <c r="AK99" s="208"/>
    </row>
    <row r="100">
      <c r="A100" s="209">
        <f>IFERROR(__xludf.DUMMYFUNCTION("""COMPUTED_VALUE"""),46142.0)</f>
        <v>46142</v>
      </c>
      <c r="B100" s="210">
        <f>IFERROR(__xludf.DUMMYFUNCTION("""COMPUTED_VALUE"""),0.8333333333321207)</f>
        <v>0.8333333333</v>
      </c>
      <c r="C100" s="211" t="str">
        <f>IFERROR(__xludf.DUMMYFUNCTION("""COMPUTED_VALUE"""),"Sms")</f>
        <v>Sms</v>
      </c>
      <c r="D100" s="211" t="str">
        <f>IFERROR(__xludf.DUMMYFUNCTION("""COMPUTED_VALUE"""),"Fallback campaign")</f>
        <v>Fallback campaign</v>
      </c>
      <c r="E100" s="211" t="str">
        <f>IFERROR(__xludf.DUMMYFUNCTION("""COMPUTED_VALUE"""),"Aldo")</f>
        <v>Aldo</v>
      </c>
      <c r="F100" s="211" t="str">
        <f>IFERROR(__xludf.DUMMYFUNCTION("""COMPUTED_VALUE"""),"MAY BOGO 2026 1-3 MAY - No Brief")</f>
        <v>MAY BOGO 2026 1-3 MAY - No Brief</v>
      </c>
      <c r="G100" s="211" t="str">
        <f>IFERROR(__xludf.DUMMYFUNCTION("""COMPUTED_VALUE"""),"AL_ON_ATC_90D/FALL BACK")</f>
        <v>AL_ON_ATC_90D/FALL BACK</v>
      </c>
      <c r="H100" s="212" t="str">
        <f>IFERROR(__xludf.DUMMYFUNCTION("""COMPUTED_VALUE"""),"AL_ON_ATC_90D")</f>
        <v>AL_ON_ATC_90D</v>
      </c>
      <c r="I100" s="212" t="str">
        <f>IFERROR(__xludf.DUMMYFUNCTION("""COMPUTED_VALUE"""),"RCS Undelivered")</f>
        <v>RCS Undelivered</v>
      </c>
      <c r="J100" s="213">
        <f>IFERROR(__xludf.DUMMYFUNCTION("""COMPUTED_VALUE"""),499.0)</f>
        <v>499</v>
      </c>
      <c r="K100" s="213">
        <f>IFERROR(__xludf.DUMMYFUNCTION("""COMPUTED_VALUE"""),292.0)</f>
        <v>292</v>
      </c>
      <c r="L100" s="214">
        <f>IFERROR(__xludf.DUMMYFUNCTION("""COMPUTED_VALUE"""),0.5852)</f>
        <v>0.5852</v>
      </c>
      <c r="M100" s="213">
        <f>IFERROR(__xludf.DUMMYFUNCTION("""COMPUTED_VALUE"""),0.0)</f>
        <v>0</v>
      </c>
      <c r="N100" s="214">
        <f>IFERROR(__xludf.DUMMYFUNCTION("""COMPUTED_VALUE"""),0.0)</f>
        <v>0</v>
      </c>
      <c r="O100" s="213">
        <f>IFERROR(__xludf.DUMMYFUNCTION("""COMPUTED_VALUE"""),3.0)</f>
        <v>3</v>
      </c>
      <c r="P100" s="213">
        <f>IFERROR(__xludf.DUMMYFUNCTION("""COMPUTED_VALUE"""),0.0)</f>
        <v>0</v>
      </c>
      <c r="Q100" s="214">
        <f>IFERROR(__xludf.DUMMYFUNCTION("""COMPUTED_VALUE"""),0.0103)</f>
        <v>0.0103</v>
      </c>
      <c r="R100" s="214">
        <f>IFERROR(__xludf.DUMMYFUNCTION("""COMPUTED_VALUE"""),0.0)</f>
        <v>0</v>
      </c>
      <c r="S100" s="213">
        <f>IFERROR(__xludf.DUMMYFUNCTION("""COMPUTED_VALUE"""),2.0)</f>
        <v>2</v>
      </c>
      <c r="T100" s="213">
        <f>IFERROR(__xludf.DUMMYFUNCTION("""COMPUTED_VALUE"""),42.0)</f>
        <v>42</v>
      </c>
      <c r="U100" s="213">
        <f>IFERROR(__xludf.DUMMYFUNCTION("""COMPUTED_VALUE"""),29997.0)</f>
        <v>29997</v>
      </c>
      <c r="V100" s="213" t="str">
        <f>IFERROR(__xludf.DUMMYFUNCTION("""COMPUTED_VALUE"""),"online")</f>
        <v>online</v>
      </c>
      <c r="W100" s="213" t="str">
        <f>IFERROR(__xludf.DUMMYFUNCTION("""COMPUTED_VALUE"""),"rcs")</f>
        <v>rcs</v>
      </c>
      <c r="X100" s="213" t="str">
        <f>IFERROR(__xludf.DUMMYFUNCTION("""COMPUTED_VALUE"""),"Add to Cart")</f>
        <v>Add to Cart</v>
      </c>
      <c r="Y100" s="213" t="str">
        <f>IFERROR(__xludf.DUMMYFUNCTION("""COMPUTED_VALUE"""),"30th April ")</f>
        <v>30th April </v>
      </c>
      <c r="Z100" s="213" t="str">
        <f>IFERROR(__xludf.DUMMYFUNCTION("""COMPUTED_VALUE"""),"69f3480e229663e7432b02b6")</f>
        <v>69f3480e229663e7432b02b6</v>
      </c>
      <c r="AA100" s="213"/>
      <c r="AB100" s="213"/>
      <c r="AC100" s="213"/>
      <c r="AD100" s="213"/>
      <c r="AE100" s="213"/>
      <c r="AF100" s="213"/>
      <c r="AG100" s="208"/>
      <c r="AH100" s="208"/>
      <c r="AI100" s="208"/>
      <c r="AJ100" s="208"/>
      <c r="AK100" s="208"/>
    </row>
    <row r="101">
      <c r="A101" s="209">
        <f>IFERROR(__xludf.DUMMYFUNCTION("""COMPUTED_VALUE"""),46142.0)</f>
        <v>46142</v>
      </c>
      <c r="B101" s="210">
        <f>IFERROR(__xludf.DUMMYFUNCTION("""COMPUTED_VALUE"""),0.8333333333321207)</f>
        <v>0.8333333333</v>
      </c>
      <c r="C101" s="211" t="str">
        <f>IFERROR(__xludf.DUMMYFUNCTION("""COMPUTED_VALUE"""),"Sms")</f>
        <v>Sms</v>
      </c>
      <c r="D101" s="211" t="str">
        <f>IFERROR(__xludf.DUMMYFUNCTION("""COMPUTED_VALUE"""),"Fallback campaign")</f>
        <v>Fallback campaign</v>
      </c>
      <c r="E101" s="211" t="str">
        <f>IFERROR(__xludf.DUMMYFUNCTION("""COMPUTED_VALUE"""),"Aldo")</f>
        <v>Aldo</v>
      </c>
      <c r="F101" s="211" t="str">
        <f>IFERROR(__xludf.DUMMYFUNCTION("""COMPUTED_VALUE"""),"MAY BOGO 2026 1-3 MAY - No Brief")</f>
        <v>MAY BOGO 2026 1-3 MAY - No Brief</v>
      </c>
      <c r="G101" s="211" t="str">
        <f>IFERROR(__xludf.DUMMYFUNCTION("""COMPUTED_VALUE"""),"AL_ON_View_Item_fall back")</f>
        <v>AL_ON_View_Item_fall back</v>
      </c>
      <c r="H101" s="212" t="str">
        <f>IFERROR(__xludf.DUMMYFUNCTION("""COMPUTED_VALUE"""),"AL_ON_View_Item")</f>
        <v>AL_ON_View_Item</v>
      </c>
      <c r="I101" s="212" t="str">
        <f>IFERROR(__xludf.DUMMYFUNCTION("""COMPUTED_VALUE"""),"RCS Undelivered")</f>
        <v>RCS Undelivered</v>
      </c>
      <c r="J101" s="213">
        <f>IFERROR(__xludf.DUMMYFUNCTION("""COMPUTED_VALUE"""),631.0)</f>
        <v>631</v>
      </c>
      <c r="K101" s="213">
        <f>IFERROR(__xludf.DUMMYFUNCTION("""COMPUTED_VALUE"""),373.0)</f>
        <v>373</v>
      </c>
      <c r="L101" s="214">
        <f>IFERROR(__xludf.DUMMYFUNCTION("""COMPUTED_VALUE"""),0.5911)</f>
        <v>0.5911</v>
      </c>
      <c r="M101" s="213">
        <f>IFERROR(__xludf.DUMMYFUNCTION("""COMPUTED_VALUE"""),0.0)</f>
        <v>0</v>
      </c>
      <c r="N101" s="214">
        <f>IFERROR(__xludf.DUMMYFUNCTION("""COMPUTED_VALUE"""),0.0)</f>
        <v>0</v>
      </c>
      <c r="O101" s="213">
        <f>IFERROR(__xludf.DUMMYFUNCTION("""COMPUTED_VALUE"""),9.0)</f>
        <v>9</v>
      </c>
      <c r="P101" s="213">
        <f>IFERROR(__xludf.DUMMYFUNCTION("""COMPUTED_VALUE"""),0.0)</f>
        <v>0</v>
      </c>
      <c r="Q101" s="214">
        <f>IFERROR(__xludf.DUMMYFUNCTION("""COMPUTED_VALUE"""),0.0241)</f>
        <v>0.0241</v>
      </c>
      <c r="R101" s="214">
        <f>IFERROR(__xludf.DUMMYFUNCTION("""COMPUTED_VALUE"""),0.0)</f>
        <v>0</v>
      </c>
      <c r="S101" s="213">
        <f>IFERROR(__xludf.DUMMYFUNCTION("""COMPUTED_VALUE"""),4.0)</f>
        <v>4</v>
      </c>
      <c r="T101" s="213">
        <f>IFERROR(__xludf.DUMMYFUNCTION("""COMPUTED_VALUE"""),26.0)</f>
        <v>26</v>
      </c>
      <c r="U101" s="213">
        <f>IFERROR(__xludf.DUMMYFUNCTION("""COMPUTED_VALUE"""),55996.0)</f>
        <v>55996</v>
      </c>
      <c r="V101" s="213" t="str">
        <f>IFERROR(__xludf.DUMMYFUNCTION("""COMPUTED_VALUE"""),"online")</f>
        <v>online</v>
      </c>
      <c r="W101" s="213" t="str">
        <f>IFERROR(__xludf.DUMMYFUNCTION("""COMPUTED_VALUE"""),"sms")</f>
        <v>sms</v>
      </c>
      <c r="X101" s="213" t="str">
        <f>IFERROR(__xludf.DUMMYFUNCTION("""COMPUTED_VALUE"""),"View Item")</f>
        <v>View Item</v>
      </c>
      <c r="Y101" s="213" t="str">
        <f>IFERROR(__xludf.DUMMYFUNCTION("""COMPUTED_VALUE"""),"30th April ")</f>
        <v>30th April </v>
      </c>
      <c r="Z101" s="213" t="str">
        <f>IFERROR(__xludf.DUMMYFUNCTION("""COMPUTED_VALUE"""),"69f3485ddee817fdae755412")</f>
        <v>69f3485ddee817fdae755412</v>
      </c>
      <c r="AA101" s="213"/>
      <c r="AB101" s="213"/>
      <c r="AC101" s="213"/>
      <c r="AD101" s="213"/>
      <c r="AE101" s="213"/>
      <c r="AF101" s="213"/>
      <c r="AG101" s="208"/>
      <c r="AH101" s="208"/>
      <c r="AI101" s="208"/>
      <c r="AJ101" s="208"/>
      <c r="AK101" s="208"/>
    </row>
    <row r="102">
      <c r="A102" s="209">
        <f>IFERROR(__xludf.DUMMYFUNCTION("""COMPUTED_VALUE"""),46142.0)</f>
        <v>46142</v>
      </c>
      <c r="B102" s="210">
        <f>IFERROR(__xludf.DUMMYFUNCTION("""COMPUTED_VALUE"""),0.8333333333321207)</f>
        <v>0.8333333333</v>
      </c>
      <c r="C102" s="211" t="str">
        <f>IFERROR(__xludf.DUMMYFUNCTION("""COMPUTED_VALUE"""),"Sms")</f>
        <v>Sms</v>
      </c>
      <c r="D102" s="211" t="str">
        <f>IFERROR(__xludf.DUMMYFUNCTION("""COMPUTED_VALUE"""),"Fallback campaign")</f>
        <v>Fallback campaign</v>
      </c>
      <c r="E102" s="211" t="str">
        <f>IFERROR(__xludf.DUMMYFUNCTION("""COMPUTED_VALUE"""),"Aldo")</f>
        <v>Aldo</v>
      </c>
      <c r="F102" s="211" t="str">
        <f>IFERROR(__xludf.DUMMYFUNCTION("""COMPUTED_VALUE"""),"MAY BOGO 2026 1-3 MAY - No Brief")</f>
        <v>MAY BOGO 2026 1-3 MAY - No Brief</v>
      </c>
      <c r="G102" s="211" t="str">
        <f>IFERROR(__xludf.DUMMYFUNCTION("""COMPUTED_VALUE"""),"AL_ON_SignUp_Form_fall back")</f>
        <v>AL_ON_SignUp_Form_fall back</v>
      </c>
      <c r="H102" s="212" t="str">
        <f>IFERROR(__xludf.DUMMYFUNCTION("""COMPUTED_VALUE"""),"AL_ON_SignUp_Form")</f>
        <v>AL_ON_SignUp_Form</v>
      </c>
      <c r="I102" s="212" t="str">
        <f>IFERROR(__xludf.DUMMYFUNCTION("""COMPUTED_VALUE"""),"RCS Undelivered")</f>
        <v>RCS Undelivered</v>
      </c>
      <c r="J102" s="213">
        <f>IFERROR(__xludf.DUMMYFUNCTION("""COMPUTED_VALUE"""),548.0)</f>
        <v>548</v>
      </c>
      <c r="K102" s="213">
        <f>IFERROR(__xludf.DUMMYFUNCTION("""COMPUTED_VALUE"""),355.0)</f>
        <v>355</v>
      </c>
      <c r="L102" s="214">
        <f>IFERROR(__xludf.DUMMYFUNCTION("""COMPUTED_VALUE"""),0.6478)</f>
        <v>0.6478</v>
      </c>
      <c r="M102" s="213">
        <f>IFERROR(__xludf.DUMMYFUNCTION("""COMPUTED_VALUE"""),0.0)</f>
        <v>0</v>
      </c>
      <c r="N102" s="214">
        <f>IFERROR(__xludf.DUMMYFUNCTION("""COMPUTED_VALUE"""),0.0)</f>
        <v>0</v>
      </c>
      <c r="O102" s="213">
        <f>IFERROR(__xludf.DUMMYFUNCTION("""COMPUTED_VALUE"""),1.0)</f>
        <v>1</v>
      </c>
      <c r="P102" s="213">
        <f>IFERROR(__xludf.DUMMYFUNCTION("""COMPUTED_VALUE"""),0.0)</f>
        <v>0</v>
      </c>
      <c r="Q102" s="214">
        <f>IFERROR(__xludf.DUMMYFUNCTION("""COMPUTED_VALUE"""),0.0028)</f>
        <v>0.0028</v>
      </c>
      <c r="R102" s="214">
        <f>IFERROR(__xludf.DUMMYFUNCTION("""COMPUTED_VALUE"""),0.0)</f>
        <v>0</v>
      </c>
      <c r="S102" s="213">
        <f>IFERROR(__xludf.DUMMYFUNCTION("""COMPUTED_VALUE"""),2.0)</f>
        <v>2</v>
      </c>
      <c r="T102" s="213">
        <f>IFERROR(__xludf.DUMMYFUNCTION("""COMPUTED_VALUE"""),16.0)</f>
        <v>16</v>
      </c>
      <c r="U102" s="213">
        <f>IFERROR(__xludf.DUMMYFUNCTION("""COMPUTED_VALUE"""),28498.0)</f>
        <v>28498</v>
      </c>
      <c r="V102" s="213" t="str">
        <f>IFERROR(__xludf.DUMMYFUNCTION("""COMPUTED_VALUE"""),"online")</f>
        <v>online</v>
      </c>
      <c r="W102" s="213" t="str">
        <f>IFERROR(__xludf.DUMMYFUNCTION("""COMPUTED_VALUE"""),"sms")</f>
        <v>sms</v>
      </c>
      <c r="X102" s="213" t="str">
        <f>IFERROR(__xludf.DUMMYFUNCTION("""COMPUTED_VALUE"""),"Sign Up Form")</f>
        <v>Sign Up Form</v>
      </c>
      <c r="Y102" s="213" t="str">
        <f>IFERROR(__xludf.DUMMYFUNCTION("""COMPUTED_VALUE"""),"30th April ")</f>
        <v>30th April </v>
      </c>
      <c r="Z102" s="213" t="str">
        <f>IFERROR(__xludf.DUMMYFUNCTION("""COMPUTED_VALUE"""),"69f348b45bfdf1a68c6a2917")</f>
        <v>69f348b45bfdf1a68c6a2917</v>
      </c>
      <c r="AA102" s="213"/>
      <c r="AB102" s="213"/>
      <c r="AC102" s="213"/>
      <c r="AD102" s="213"/>
      <c r="AE102" s="213"/>
      <c r="AF102" s="213"/>
      <c r="AG102" s="208"/>
      <c r="AH102" s="208"/>
      <c r="AI102" s="208"/>
      <c r="AJ102" s="208"/>
      <c r="AK102" s="208"/>
    </row>
    <row r="103">
      <c r="A103" s="209">
        <f>IFERROR(__xludf.DUMMYFUNCTION("""COMPUTED_VALUE"""),46142.0)</f>
        <v>46142</v>
      </c>
      <c r="B103" s="210">
        <f>IFERROR(__xludf.DUMMYFUNCTION("""COMPUTED_VALUE"""),0.8333333333321207)</f>
        <v>0.8333333333</v>
      </c>
      <c r="C103" s="211" t="str">
        <f>IFERROR(__xludf.DUMMYFUNCTION("""COMPUTED_VALUE"""),"Sms")</f>
        <v>Sms</v>
      </c>
      <c r="D103" s="211" t="str">
        <f>IFERROR(__xludf.DUMMYFUNCTION("""COMPUTED_VALUE"""),"Fallback campaign")</f>
        <v>Fallback campaign</v>
      </c>
      <c r="E103" s="211" t="str">
        <f>IFERROR(__xludf.DUMMYFUNCTION("""COMPUTED_VALUE"""),"Aldo")</f>
        <v>Aldo</v>
      </c>
      <c r="F103" s="211" t="str">
        <f>IFERROR(__xludf.DUMMYFUNCTION("""COMPUTED_VALUE"""),"MAY BOGO 2026 1-3 MAY - No Brief")</f>
        <v>MAY BOGO 2026 1-3 MAY - No Brief</v>
      </c>
      <c r="G103" s="211" t="str">
        <f>IFERROR(__xludf.DUMMYFUNCTION("""COMPUTED_VALUE"""),"AL_ON_Cart_Exit_Intent_fallback")</f>
        <v>AL_ON_Cart_Exit_Intent_fallback</v>
      </c>
      <c r="H103" s="212" t="str">
        <f>IFERROR(__xludf.DUMMYFUNCTION("""COMPUTED_VALUE"""),"AL_ON_Cart_Exit_Intent")</f>
        <v>AL_ON_Cart_Exit_Intent</v>
      </c>
      <c r="I103" s="212" t="str">
        <f>IFERROR(__xludf.DUMMYFUNCTION("""COMPUTED_VALUE"""),"RCS Undelivered")</f>
        <v>RCS Undelivered</v>
      </c>
      <c r="J103" s="213">
        <f>IFERROR(__xludf.DUMMYFUNCTION("""COMPUTED_VALUE"""),8877.0)</f>
        <v>8877</v>
      </c>
      <c r="K103" s="213">
        <f>IFERROR(__xludf.DUMMYFUNCTION("""COMPUTED_VALUE"""),5899.0)</f>
        <v>5899</v>
      </c>
      <c r="L103" s="214">
        <f>IFERROR(__xludf.DUMMYFUNCTION("""COMPUTED_VALUE"""),0.6645)</f>
        <v>0.6645</v>
      </c>
      <c r="M103" s="213">
        <f>IFERROR(__xludf.DUMMYFUNCTION("""COMPUTED_VALUE"""),0.0)</f>
        <v>0</v>
      </c>
      <c r="N103" s="214">
        <f>IFERROR(__xludf.DUMMYFUNCTION("""COMPUTED_VALUE"""),0.0)</f>
        <v>0</v>
      </c>
      <c r="O103" s="213">
        <f>IFERROR(__xludf.DUMMYFUNCTION("""COMPUTED_VALUE"""),52.0)</f>
        <v>52</v>
      </c>
      <c r="P103" s="213">
        <f>IFERROR(__xludf.DUMMYFUNCTION("""COMPUTED_VALUE"""),0.0)</f>
        <v>0</v>
      </c>
      <c r="Q103" s="214">
        <f>IFERROR(__xludf.DUMMYFUNCTION("""COMPUTED_VALUE"""),0.0088)</f>
        <v>0.0088</v>
      </c>
      <c r="R103" s="214">
        <f>IFERROR(__xludf.DUMMYFUNCTION("""COMPUTED_VALUE"""),0.0)</f>
        <v>0</v>
      </c>
      <c r="S103" s="213">
        <f>IFERROR(__xludf.DUMMYFUNCTION("""COMPUTED_VALUE"""),3.0)</f>
        <v>3</v>
      </c>
      <c r="T103" s="213">
        <f>IFERROR(__xludf.DUMMYFUNCTION("""COMPUTED_VALUE"""),71.0)</f>
        <v>71</v>
      </c>
      <c r="U103" s="213">
        <f>IFERROR(__xludf.DUMMYFUNCTION("""COMPUTED_VALUE"""),31997.0)</f>
        <v>31997</v>
      </c>
      <c r="V103" s="213" t="str">
        <f>IFERROR(__xludf.DUMMYFUNCTION("""COMPUTED_VALUE"""),"online")</f>
        <v>online</v>
      </c>
      <c r="W103" s="213" t="str">
        <f>IFERROR(__xludf.DUMMYFUNCTION("""COMPUTED_VALUE"""),"sms")</f>
        <v>sms</v>
      </c>
      <c r="X103" s="213" t="str">
        <f>IFERROR(__xludf.DUMMYFUNCTION("""COMPUTED_VALUE"""),"Exit Intent Form")</f>
        <v>Exit Intent Form</v>
      </c>
      <c r="Y103" s="213" t="str">
        <f>IFERROR(__xludf.DUMMYFUNCTION("""COMPUTED_VALUE"""),"30th April ")</f>
        <v>30th April </v>
      </c>
      <c r="Z103" s="213" t="str">
        <f>IFERROR(__xludf.DUMMYFUNCTION("""COMPUTED_VALUE"""),"69f348f922969270fba7a4db")</f>
        <v>69f348f922969270fba7a4db</v>
      </c>
      <c r="AA103" s="213"/>
      <c r="AB103" s="213"/>
      <c r="AC103" s="213"/>
      <c r="AD103" s="213"/>
      <c r="AE103" s="213"/>
      <c r="AF103" s="213"/>
      <c r="AG103" s="208"/>
      <c r="AH103" s="208"/>
      <c r="AI103" s="208"/>
      <c r="AJ103" s="208"/>
      <c r="AK103" s="208"/>
    </row>
    <row r="104">
      <c r="A104" s="209">
        <f>IFERROR(__xludf.DUMMYFUNCTION("""COMPUTED_VALUE"""),46142.0)</f>
        <v>46142</v>
      </c>
      <c r="B104" s="210">
        <f>IFERROR(__xludf.DUMMYFUNCTION("""COMPUTED_VALUE"""),0.8333333333321207)</f>
        <v>0.8333333333</v>
      </c>
      <c r="C104" s="211" t="str">
        <f>IFERROR(__xludf.DUMMYFUNCTION("""COMPUTED_VALUE"""),"Sms")</f>
        <v>Sms</v>
      </c>
      <c r="D104" s="211" t="str">
        <f>IFERROR(__xludf.DUMMYFUNCTION("""COMPUTED_VALUE"""),"Fallback campaign")</f>
        <v>Fallback campaign</v>
      </c>
      <c r="E104" s="211" t="str">
        <f>IFERROR(__xludf.DUMMYFUNCTION("""COMPUTED_VALUE"""),"Aldo")</f>
        <v>Aldo</v>
      </c>
      <c r="F104" s="211" t="str">
        <f>IFERROR(__xludf.DUMMYFUNCTION("""COMPUTED_VALUE"""),"MAY BOGO 2026 1-3 MAY - No Brief")</f>
        <v>MAY BOGO 2026 1-3 MAY - No Brief</v>
      </c>
      <c r="G104" s="211" t="str">
        <f>IFERROR(__xludf.DUMMYFUNCTION("""COMPUTED_VALUE"""),"AL_ON_OFF_Event_Buyers_BOGO_fall back")</f>
        <v>AL_ON_OFF_Event_Buyers_BOGO_fall back</v>
      </c>
      <c r="H104" s="212" t="str">
        <f>IFERROR(__xludf.DUMMYFUNCTION("""COMPUTED_VALUE"""),"AL_ON_OFF_Event_Buyers_BOGO")</f>
        <v>AL_ON_OFF_Event_Buyers_BOGO</v>
      </c>
      <c r="I104" s="212" t="str">
        <f>IFERROR(__xludf.DUMMYFUNCTION("""COMPUTED_VALUE"""),"RCS Undelivered")</f>
        <v>RCS Undelivered</v>
      </c>
      <c r="J104" s="213">
        <f>IFERROR(__xludf.DUMMYFUNCTION("""COMPUTED_VALUE"""),3417.0)</f>
        <v>3417</v>
      </c>
      <c r="K104" s="213">
        <f>IFERROR(__xludf.DUMMYFUNCTION("""COMPUTED_VALUE"""),1923.0)</f>
        <v>1923</v>
      </c>
      <c r="L104" s="214">
        <f>IFERROR(__xludf.DUMMYFUNCTION("""COMPUTED_VALUE"""),0.5628)</f>
        <v>0.5628</v>
      </c>
      <c r="M104" s="213">
        <f>IFERROR(__xludf.DUMMYFUNCTION("""COMPUTED_VALUE"""),0.0)</f>
        <v>0</v>
      </c>
      <c r="N104" s="214">
        <f>IFERROR(__xludf.DUMMYFUNCTION("""COMPUTED_VALUE"""),0.0)</f>
        <v>0</v>
      </c>
      <c r="O104" s="213">
        <f>IFERROR(__xludf.DUMMYFUNCTION("""COMPUTED_VALUE"""),14.0)</f>
        <v>14</v>
      </c>
      <c r="P104" s="213">
        <f>IFERROR(__xludf.DUMMYFUNCTION("""COMPUTED_VALUE"""),0.0)</f>
        <v>0</v>
      </c>
      <c r="Q104" s="214">
        <f>IFERROR(__xludf.DUMMYFUNCTION("""COMPUTED_VALUE"""),0.0073)</f>
        <v>0.0073</v>
      </c>
      <c r="R104" s="214">
        <f>IFERROR(__xludf.DUMMYFUNCTION("""COMPUTED_VALUE"""),0.0)</f>
        <v>0</v>
      </c>
      <c r="S104" s="213">
        <f>IFERROR(__xludf.DUMMYFUNCTION("""COMPUTED_VALUE"""),1.0)</f>
        <v>1</v>
      </c>
      <c r="T104" s="213">
        <f>IFERROR(__xludf.DUMMYFUNCTION("""COMPUTED_VALUE"""),6.0)</f>
        <v>6</v>
      </c>
      <c r="U104" s="213">
        <f>IFERROR(__xludf.DUMMYFUNCTION("""COMPUTED_VALUE"""),13999.0)</f>
        <v>13999</v>
      </c>
      <c r="V104" s="213" t="str">
        <f>IFERROR(__xludf.DUMMYFUNCTION("""COMPUTED_VALUE"""),"overall")</f>
        <v>overall</v>
      </c>
      <c r="W104" s="213" t="str">
        <f>IFERROR(__xludf.DUMMYFUNCTION("""COMPUTED_VALUE"""),"sms")</f>
        <v>sms</v>
      </c>
      <c r="X104" s="213" t="str">
        <f>IFERROR(__xludf.DUMMYFUNCTION("""COMPUTED_VALUE"""),"Event Buyers")</f>
        <v>Event Buyers</v>
      </c>
      <c r="Y104" s="213" t="str">
        <f>IFERROR(__xludf.DUMMYFUNCTION("""COMPUTED_VALUE"""),"30th April ")</f>
        <v>30th April </v>
      </c>
      <c r="Z104" s="213" t="str">
        <f>IFERROR(__xludf.DUMMYFUNCTION("""COMPUTED_VALUE"""),"69f3494ea6bda52b3b826a0a")</f>
        <v>69f3494ea6bda52b3b826a0a</v>
      </c>
      <c r="AA104" s="213"/>
      <c r="AB104" s="213"/>
      <c r="AC104" s="213"/>
      <c r="AD104" s="213"/>
      <c r="AE104" s="213"/>
      <c r="AF104" s="213"/>
      <c r="AG104" s="208"/>
      <c r="AH104" s="208"/>
      <c r="AI104" s="208"/>
      <c r="AJ104" s="208"/>
      <c r="AK104" s="208"/>
    </row>
    <row r="105">
      <c r="A105" s="209">
        <f>IFERROR(__xludf.DUMMYFUNCTION("""COMPUTED_VALUE"""),46142.0)</f>
        <v>46142</v>
      </c>
      <c r="B105" s="210">
        <f>IFERROR(__xludf.DUMMYFUNCTION("""COMPUTED_VALUE"""),0.8333333333321207)</f>
        <v>0.8333333333</v>
      </c>
      <c r="C105" s="211" t="str">
        <f>IFERROR(__xludf.DUMMYFUNCTION("""COMPUTED_VALUE"""),"Sms")</f>
        <v>Sms</v>
      </c>
      <c r="D105" s="211" t="str">
        <f>IFERROR(__xludf.DUMMYFUNCTION("""COMPUTED_VALUE"""),"Fallback campaign")</f>
        <v>Fallback campaign</v>
      </c>
      <c r="E105" s="211" t="str">
        <f>IFERROR(__xludf.DUMMYFUNCTION("""COMPUTED_VALUE"""),"Aldo")</f>
        <v>Aldo</v>
      </c>
      <c r="F105" s="211" t="str">
        <f>IFERROR(__xludf.DUMMYFUNCTION("""COMPUTED_VALUE"""),"MAY BOGO 2026 1-3 MAY - No Brief")</f>
        <v>MAY BOGO 2026 1-3 MAY - No Brief</v>
      </c>
      <c r="G105" s="211" t="str">
        <f>IFERROR(__xludf.DUMMYFUNCTION("""COMPUTED_VALUE"""),"AL_ON_OFF_Repeat_1Year_fall back")</f>
        <v>AL_ON_OFF_Repeat_1Year_fall back</v>
      </c>
      <c r="H105" s="212" t="str">
        <f>IFERROR(__xludf.DUMMYFUNCTION("""COMPUTED_VALUE"""),"AL_ON_OFF_Repeat_1Year")</f>
        <v>AL_ON_OFF_Repeat_1Year</v>
      </c>
      <c r="I105" s="212" t="str">
        <f>IFERROR(__xludf.DUMMYFUNCTION("""COMPUTED_VALUE"""),"RCS Undelivered")</f>
        <v>RCS Undelivered</v>
      </c>
      <c r="J105" s="213">
        <f>IFERROR(__xludf.DUMMYFUNCTION("""COMPUTED_VALUE"""),11065.0)</f>
        <v>11065</v>
      </c>
      <c r="K105" s="213">
        <f>IFERROR(__xludf.DUMMYFUNCTION("""COMPUTED_VALUE"""),5890.0)</f>
        <v>5890</v>
      </c>
      <c r="L105" s="214">
        <f>IFERROR(__xludf.DUMMYFUNCTION("""COMPUTED_VALUE"""),0.5323)</f>
        <v>0.5323</v>
      </c>
      <c r="M105" s="213">
        <f>IFERROR(__xludf.DUMMYFUNCTION("""COMPUTED_VALUE"""),0.0)</f>
        <v>0</v>
      </c>
      <c r="N105" s="214">
        <f>IFERROR(__xludf.DUMMYFUNCTION("""COMPUTED_VALUE"""),0.0)</f>
        <v>0</v>
      </c>
      <c r="O105" s="213">
        <f>IFERROR(__xludf.DUMMYFUNCTION("""COMPUTED_VALUE"""),37.0)</f>
        <v>37</v>
      </c>
      <c r="P105" s="213">
        <f>IFERROR(__xludf.DUMMYFUNCTION("""COMPUTED_VALUE"""),0.0)</f>
        <v>0</v>
      </c>
      <c r="Q105" s="214">
        <f>IFERROR(__xludf.DUMMYFUNCTION("""COMPUTED_VALUE"""),0.0063)</f>
        <v>0.0063</v>
      </c>
      <c r="R105" s="214">
        <f>IFERROR(__xludf.DUMMYFUNCTION("""COMPUTED_VALUE"""),0.0)</f>
        <v>0</v>
      </c>
      <c r="S105" s="213">
        <f>IFERROR(__xludf.DUMMYFUNCTION("""COMPUTED_VALUE"""),2.0)</f>
        <v>2</v>
      </c>
      <c r="T105" s="213">
        <f>IFERROR(__xludf.DUMMYFUNCTION("""COMPUTED_VALUE"""),12.0)</f>
        <v>12</v>
      </c>
      <c r="U105" s="213">
        <f>IFERROR(__xludf.DUMMYFUNCTION("""COMPUTED_VALUE"""),18998.0)</f>
        <v>18998</v>
      </c>
      <c r="V105" s="213" t="str">
        <f>IFERROR(__xludf.DUMMYFUNCTION("""COMPUTED_VALUE"""),"overall")</f>
        <v>overall</v>
      </c>
      <c r="W105" s="213" t="str">
        <f>IFERROR(__xludf.DUMMYFUNCTION("""COMPUTED_VALUE"""),"sms")</f>
        <v>sms</v>
      </c>
      <c r="X105" s="213" t="str">
        <f>IFERROR(__xludf.DUMMYFUNCTION("""COMPUTED_VALUE"""),"Event Buyers")</f>
        <v>Event Buyers</v>
      </c>
      <c r="Y105" s="213" t="str">
        <f>IFERROR(__xludf.DUMMYFUNCTION("""COMPUTED_VALUE"""),"30th April ")</f>
        <v>30th April </v>
      </c>
      <c r="Z105" s="213" t="str">
        <f>IFERROR(__xludf.DUMMYFUNCTION("""COMPUTED_VALUE"""),"69f3499d1bca67a413295cc5")</f>
        <v>69f3499d1bca67a413295cc5</v>
      </c>
      <c r="AA105" s="213"/>
      <c r="AB105" s="213"/>
      <c r="AC105" s="213"/>
      <c r="AD105" s="213"/>
      <c r="AE105" s="213"/>
      <c r="AF105" s="213"/>
      <c r="AG105" s="208"/>
      <c r="AH105" s="208"/>
      <c r="AI105" s="208"/>
      <c r="AJ105" s="208"/>
      <c r="AK105" s="208"/>
    </row>
    <row r="106">
      <c r="A106" s="209">
        <f>IFERROR(__xludf.DUMMYFUNCTION("""COMPUTED_VALUE"""),46142.0)</f>
        <v>46142</v>
      </c>
      <c r="B106" s="210">
        <f>IFERROR(__xludf.DUMMYFUNCTION("""COMPUTED_VALUE"""),0.8333333333321207)</f>
        <v>0.8333333333</v>
      </c>
      <c r="C106" s="211" t="str">
        <f>IFERROR(__xludf.DUMMYFUNCTION("""COMPUTED_VALUE"""),"Sms")</f>
        <v>Sms</v>
      </c>
      <c r="D106" s="211" t="str">
        <f>IFERROR(__xludf.DUMMYFUNCTION("""COMPUTED_VALUE"""),"Fallback campaign")</f>
        <v>Fallback campaign</v>
      </c>
      <c r="E106" s="211" t="str">
        <f>IFERROR(__xludf.DUMMYFUNCTION("""COMPUTED_VALUE"""),"Aldo")</f>
        <v>Aldo</v>
      </c>
      <c r="F106" s="211" t="str">
        <f>IFERROR(__xludf.DUMMYFUNCTION("""COMPUTED_VALUE"""),"MAY BOGO 2026 1-3 MAY - No Brief")</f>
        <v>MAY BOGO 2026 1-3 MAY - No Brief</v>
      </c>
      <c r="G106" s="211" t="str">
        <f>IFERROR(__xludf.DUMMYFUNCTION("""COMPUTED_VALUE"""),"AL_ON_OFF_Recent_fall back")</f>
        <v>AL_ON_OFF_Recent_fall back</v>
      </c>
      <c r="H106" s="212" t="str">
        <f>IFERROR(__xludf.DUMMYFUNCTION("""COMPUTED_VALUE"""),"AL_ON_OFF_Recent")</f>
        <v>AL_ON_OFF_Recent</v>
      </c>
      <c r="I106" s="212" t="str">
        <f>IFERROR(__xludf.DUMMYFUNCTION("""COMPUTED_VALUE"""),"RCS Undelivered")</f>
        <v>RCS Undelivered</v>
      </c>
      <c r="J106" s="213">
        <f>IFERROR(__xludf.DUMMYFUNCTION("""COMPUTED_VALUE"""),5900.0)</f>
        <v>5900</v>
      </c>
      <c r="K106" s="213">
        <f>IFERROR(__xludf.DUMMYFUNCTION("""COMPUTED_VALUE"""),3128.0)</f>
        <v>3128</v>
      </c>
      <c r="L106" s="214">
        <f>IFERROR(__xludf.DUMMYFUNCTION("""COMPUTED_VALUE"""),0.5302)</f>
        <v>0.5302</v>
      </c>
      <c r="M106" s="213">
        <f>IFERROR(__xludf.DUMMYFUNCTION("""COMPUTED_VALUE"""),0.0)</f>
        <v>0</v>
      </c>
      <c r="N106" s="214">
        <f>IFERROR(__xludf.DUMMYFUNCTION("""COMPUTED_VALUE"""),0.0)</f>
        <v>0</v>
      </c>
      <c r="O106" s="213">
        <f>IFERROR(__xludf.DUMMYFUNCTION("""COMPUTED_VALUE"""),14.0)</f>
        <v>14</v>
      </c>
      <c r="P106" s="213">
        <f>IFERROR(__xludf.DUMMYFUNCTION("""COMPUTED_VALUE"""),0.0)</f>
        <v>0</v>
      </c>
      <c r="Q106" s="214">
        <f>IFERROR(__xludf.DUMMYFUNCTION("""COMPUTED_VALUE"""),0.0045)</f>
        <v>0.0045</v>
      </c>
      <c r="R106" s="214">
        <f>IFERROR(__xludf.DUMMYFUNCTION("""COMPUTED_VALUE"""),0.0)</f>
        <v>0</v>
      </c>
      <c r="S106" s="213">
        <f>IFERROR(__xludf.DUMMYFUNCTION("""COMPUTED_VALUE"""),3.0)</f>
        <v>3</v>
      </c>
      <c r="T106" s="213">
        <f>IFERROR(__xludf.DUMMYFUNCTION("""COMPUTED_VALUE"""),13.0)</f>
        <v>13</v>
      </c>
      <c r="U106" s="213">
        <f>IFERROR(__xludf.DUMMYFUNCTION("""COMPUTED_VALUE"""),44646.0)</f>
        <v>44646</v>
      </c>
      <c r="V106" s="213" t="str">
        <f>IFERROR(__xludf.DUMMYFUNCTION("""COMPUTED_VALUE"""),"overall")</f>
        <v>overall</v>
      </c>
      <c r="W106" s="213" t="str">
        <f>IFERROR(__xludf.DUMMYFUNCTION("""COMPUTED_VALUE"""),"sms")</f>
        <v>sms</v>
      </c>
      <c r="X106" s="213" t="str">
        <f>IFERROR(__xludf.DUMMYFUNCTION("""COMPUTED_VALUE"""),"Repeat")</f>
        <v>Repeat</v>
      </c>
      <c r="Y106" s="213" t="str">
        <f>IFERROR(__xludf.DUMMYFUNCTION("""COMPUTED_VALUE"""),"30th April ")</f>
        <v>30th April </v>
      </c>
      <c r="Z106" s="213" t="str">
        <f>IFERROR(__xludf.DUMMYFUNCTION("""COMPUTED_VALUE"""),"69f349d6094def537a263010")</f>
        <v>69f349d6094def537a263010</v>
      </c>
      <c r="AA106" s="213"/>
      <c r="AB106" s="213"/>
      <c r="AC106" s="213"/>
      <c r="AD106" s="213"/>
      <c r="AE106" s="213"/>
      <c r="AF106" s="213"/>
      <c r="AG106" s="208"/>
      <c r="AH106" s="208"/>
      <c r="AI106" s="208"/>
      <c r="AJ106" s="208"/>
      <c r="AK106" s="208"/>
    </row>
    <row r="107">
      <c r="A107" s="209">
        <f>IFERROR(__xludf.DUMMYFUNCTION("""COMPUTED_VALUE"""),46142.0)</f>
        <v>46142</v>
      </c>
      <c r="B107" s="210">
        <f>IFERROR(__xludf.DUMMYFUNCTION("""COMPUTED_VALUE"""),0.8333333333321207)</f>
        <v>0.8333333333</v>
      </c>
      <c r="C107" s="211" t="str">
        <f>IFERROR(__xludf.DUMMYFUNCTION("""COMPUTED_VALUE"""),"Sms")</f>
        <v>Sms</v>
      </c>
      <c r="D107" s="211" t="str">
        <f>IFERROR(__xludf.DUMMYFUNCTION("""COMPUTED_VALUE"""),"Fallback campaign")</f>
        <v>Fallback campaign</v>
      </c>
      <c r="E107" s="211" t="str">
        <f>IFERROR(__xludf.DUMMYFUNCTION("""COMPUTED_VALUE"""),"Aldo")</f>
        <v>Aldo</v>
      </c>
      <c r="F107" s="211" t="str">
        <f>IFERROR(__xludf.DUMMYFUNCTION("""COMPUTED_VALUE"""),"MAY BOGO 2026 1-3 MAY - No Brief")</f>
        <v>MAY BOGO 2026 1-3 MAY - No Brief</v>
      </c>
      <c r="G107" s="211" t="str">
        <f>IFERROR(__xludf.DUMMYFUNCTION("""COMPUTED_VALUE"""),"AL_ON_OFF_UPT_Min_2_fall back")</f>
        <v>AL_ON_OFF_UPT_Min_2_fall back</v>
      </c>
      <c r="H107" s="212" t="str">
        <f>IFERROR(__xludf.DUMMYFUNCTION("""COMPUTED_VALUE"""),"AL_ON_OFF_UPT_Min_2")</f>
        <v>AL_ON_OFF_UPT_Min_2</v>
      </c>
      <c r="I107" s="212" t="str">
        <f>IFERROR(__xludf.DUMMYFUNCTION("""COMPUTED_VALUE"""),"RCS Undelivered")</f>
        <v>RCS Undelivered</v>
      </c>
      <c r="J107" s="213">
        <f>IFERROR(__xludf.DUMMYFUNCTION("""COMPUTED_VALUE"""),69946.0)</f>
        <v>69946</v>
      </c>
      <c r="K107" s="213">
        <f>IFERROR(__xludf.DUMMYFUNCTION("""COMPUTED_VALUE"""),37092.0)</f>
        <v>37092</v>
      </c>
      <c r="L107" s="214">
        <f>IFERROR(__xludf.DUMMYFUNCTION("""COMPUTED_VALUE"""),0.5303)</f>
        <v>0.5303</v>
      </c>
      <c r="M107" s="213">
        <f>IFERROR(__xludf.DUMMYFUNCTION("""COMPUTED_VALUE"""),0.0)</f>
        <v>0</v>
      </c>
      <c r="N107" s="214">
        <f>IFERROR(__xludf.DUMMYFUNCTION("""COMPUTED_VALUE"""),0.0)</f>
        <v>0</v>
      </c>
      <c r="O107" s="213">
        <f>IFERROR(__xludf.DUMMYFUNCTION("""COMPUTED_VALUE"""),166.0)</f>
        <v>166</v>
      </c>
      <c r="P107" s="213">
        <f>IFERROR(__xludf.DUMMYFUNCTION("""COMPUTED_VALUE"""),0.0)</f>
        <v>0</v>
      </c>
      <c r="Q107" s="214">
        <f>IFERROR(__xludf.DUMMYFUNCTION("""COMPUTED_VALUE"""),0.0045)</f>
        <v>0.0045</v>
      </c>
      <c r="R107" s="214">
        <f>IFERROR(__xludf.DUMMYFUNCTION("""COMPUTED_VALUE"""),0.0)</f>
        <v>0</v>
      </c>
      <c r="S107" s="213">
        <f>IFERROR(__xludf.DUMMYFUNCTION("""COMPUTED_VALUE"""),11.0)</f>
        <v>11</v>
      </c>
      <c r="T107" s="213">
        <f>IFERROR(__xludf.DUMMYFUNCTION("""COMPUTED_VALUE"""),59.0)</f>
        <v>59</v>
      </c>
      <c r="U107" s="213">
        <f>IFERROR(__xludf.DUMMYFUNCTION("""COMPUTED_VALUE"""),11699.1)</f>
        <v>11699.1</v>
      </c>
      <c r="V107" s="213" t="str">
        <f>IFERROR(__xludf.DUMMYFUNCTION("""COMPUTED_VALUE"""),"overall")</f>
        <v>overall</v>
      </c>
      <c r="W107" s="213" t="str">
        <f>IFERROR(__xludf.DUMMYFUNCTION("""COMPUTED_VALUE"""),"sms")</f>
        <v>sms</v>
      </c>
      <c r="X107" s="213" t="str">
        <f>IFERROR(__xludf.DUMMYFUNCTION("""COMPUTED_VALUE"""),"Recent")</f>
        <v>Recent</v>
      </c>
      <c r="Y107" s="213" t="str">
        <f>IFERROR(__xludf.DUMMYFUNCTION("""COMPUTED_VALUE"""),"30th April ")</f>
        <v>30th April </v>
      </c>
      <c r="Z107" s="213" t="str">
        <f>IFERROR(__xludf.DUMMYFUNCTION("""COMPUTED_VALUE"""),"69f34b026496c1c00da4997c")</f>
        <v>69f34b026496c1c00da4997c</v>
      </c>
      <c r="AA107" s="213"/>
      <c r="AB107" s="213"/>
      <c r="AC107" s="213"/>
      <c r="AD107" s="213"/>
      <c r="AE107" s="213"/>
      <c r="AF107" s="213"/>
      <c r="AG107" s="208"/>
      <c r="AH107" s="208"/>
      <c r="AI107" s="208"/>
      <c r="AJ107" s="208"/>
      <c r="AK107" s="208"/>
    </row>
    <row r="108">
      <c r="A108" s="209">
        <f>IFERROR(__xludf.DUMMYFUNCTION("""COMPUTED_VALUE"""),46142.0)</f>
        <v>46142</v>
      </c>
      <c r="B108" s="210">
        <f>IFERROR(__xludf.DUMMYFUNCTION("""COMPUTED_VALUE"""),0.7916666666678793)</f>
        <v>0.7916666667</v>
      </c>
      <c r="C108" s="211" t="str">
        <f>IFERROR(__xludf.DUMMYFUNCTION("""COMPUTED_VALUE"""),"Sms")</f>
        <v>Sms</v>
      </c>
      <c r="D108" s="211" t="str">
        <f>IFERROR(__xludf.DUMMYFUNCTION("""COMPUTED_VALUE"""),"Promtional")</f>
        <v>Promtional</v>
      </c>
      <c r="E108" s="211" t="str">
        <f>IFERROR(__xludf.DUMMYFUNCTION("""COMPUTED_VALUE"""),"Aldo")</f>
        <v>Aldo</v>
      </c>
      <c r="F108" s="211" t="str">
        <f>IFERROR(__xludf.DUMMYFUNCTION("""COMPUTED_VALUE"""),"MAY BOGO 2026 1-3 MAY - No Brief")</f>
        <v>MAY BOGO 2026 1-3 MAY - No Brief</v>
      </c>
      <c r="G108" s="211" t="str">
        <f>IFERROR(__xludf.DUMMYFUNCTION("""COMPUTED_VALUE"""),"AL_ON_OFF_Churned_BOGO_Apr_26")</f>
        <v>AL_ON_OFF_Churned_BOGO_Apr_26</v>
      </c>
      <c r="H108" s="212" t="str">
        <f>IFERROR(__xludf.DUMMYFUNCTION("""COMPUTED_VALUE"""),"AL_ON_OFF_Churned_BOGO_Apr_26")</f>
        <v>AL_ON_OFF_Churned_BOGO_Apr_26</v>
      </c>
      <c r="I108" s="212" t="str">
        <f>IFERROR(__xludf.DUMMYFUNCTION("""COMPUTED_VALUE"""),"All customers who have purchased at least 1 time in the last 1095 days excluding above segments")</f>
        <v>All customers who have purchased at least 1 time in the last 1095 days excluding above segments</v>
      </c>
      <c r="J108" s="213">
        <f>IFERROR(__xludf.DUMMYFUNCTION("""COMPUTED_VALUE"""),121521.0)</f>
        <v>121521</v>
      </c>
      <c r="K108" s="213">
        <f>IFERROR(__xludf.DUMMYFUNCTION("""COMPUTED_VALUE"""),0.0)</f>
        <v>0</v>
      </c>
      <c r="L108" s="214">
        <f>IFERROR(__xludf.DUMMYFUNCTION("""COMPUTED_VALUE"""),0.0)</f>
        <v>0</v>
      </c>
      <c r="M108" s="213">
        <f>IFERROR(__xludf.DUMMYFUNCTION("""COMPUTED_VALUE"""),0.0)</f>
        <v>0</v>
      </c>
      <c r="N108" s="214">
        <f>IFERROR(__xludf.DUMMYFUNCTION("""COMPUTED_VALUE"""),0.0)</f>
        <v>0</v>
      </c>
      <c r="O108" s="213">
        <f>IFERROR(__xludf.DUMMYFUNCTION("""COMPUTED_VALUE"""),0.0)</f>
        <v>0</v>
      </c>
      <c r="P108" s="213">
        <f>IFERROR(__xludf.DUMMYFUNCTION("""COMPUTED_VALUE"""),0.0)</f>
        <v>0</v>
      </c>
      <c r="Q108" s="214">
        <f>IFERROR(__xludf.DUMMYFUNCTION("""COMPUTED_VALUE"""),0.0)</f>
        <v>0</v>
      </c>
      <c r="R108" s="214">
        <f>IFERROR(__xludf.DUMMYFUNCTION("""COMPUTED_VALUE"""),0.0)</f>
        <v>0</v>
      </c>
      <c r="S108" s="213">
        <f>IFERROR(__xludf.DUMMYFUNCTION("""COMPUTED_VALUE"""),0.0)</f>
        <v>0</v>
      </c>
      <c r="T108" s="213">
        <f>IFERROR(__xludf.DUMMYFUNCTION("""COMPUTED_VALUE"""),0.0)</f>
        <v>0</v>
      </c>
      <c r="U108" s="213">
        <f>IFERROR(__xludf.DUMMYFUNCTION("""COMPUTED_VALUE"""),0.0)</f>
        <v>0</v>
      </c>
      <c r="V108" s="213" t="str">
        <f>IFERROR(__xludf.DUMMYFUNCTION("""COMPUTED_VALUE"""),"overall")</f>
        <v>overall</v>
      </c>
      <c r="W108" s="213" t="str">
        <f>IFERROR(__xludf.DUMMYFUNCTION("""COMPUTED_VALUE"""),"sms")</f>
        <v>sms</v>
      </c>
      <c r="X108" s="213" t="str">
        <f>IFERROR(__xludf.DUMMYFUNCTION("""COMPUTED_VALUE"""),"Churned")</f>
        <v>Churned</v>
      </c>
      <c r="Y108" s="213" t="str">
        <f>IFERROR(__xludf.DUMMYFUNCTION("""COMPUTED_VALUE"""),"30th April ")</f>
        <v>30th April </v>
      </c>
      <c r="Z108" s="213" t="str">
        <f>IFERROR(__xludf.DUMMYFUNCTION("""COMPUTED_VALUE"""),"69f34ca88361a39c180f6763")</f>
        <v>69f34ca88361a39c180f6763</v>
      </c>
      <c r="AA108" s="213"/>
      <c r="AB108" s="213"/>
      <c r="AC108" s="213"/>
      <c r="AD108" s="213"/>
      <c r="AE108" s="213"/>
      <c r="AF108" s="213"/>
      <c r="AG108" s="208"/>
      <c r="AH108" s="208"/>
      <c r="AI108" s="208"/>
      <c r="AJ108" s="208"/>
      <c r="AK108" s="208"/>
    </row>
    <row r="109">
      <c r="A109" s="209">
        <f>IFERROR(__xludf.DUMMYFUNCTION("""COMPUTED_VALUE"""),46142.0)</f>
        <v>46142</v>
      </c>
      <c r="B109" s="210">
        <f>IFERROR(__xludf.DUMMYFUNCTION("""COMPUTED_VALUE"""),0.7916666666678793)</f>
        <v>0.7916666667</v>
      </c>
      <c r="C109" s="211" t="str">
        <f>IFERROR(__xludf.DUMMYFUNCTION("""COMPUTED_VALUE"""),"Sms")</f>
        <v>Sms</v>
      </c>
      <c r="D109" s="211" t="str">
        <f>IFERROR(__xludf.DUMMYFUNCTION("""COMPUTED_VALUE"""),"Promtional")</f>
        <v>Promtional</v>
      </c>
      <c r="E109" s="211" t="str">
        <f>IFERROR(__xludf.DUMMYFUNCTION("""COMPUTED_VALUE"""),"Aldo")</f>
        <v>Aldo</v>
      </c>
      <c r="F109" s="211" t="str">
        <f>IFERROR(__xludf.DUMMYFUNCTION("""COMPUTED_VALUE"""),"MAY BOGO 2026 1-3 MAY - No Brief")</f>
        <v>MAY BOGO 2026 1-3 MAY - No Brief</v>
      </c>
      <c r="G109" s="211" t="str">
        <f>IFERROR(__xludf.DUMMYFUNCTION("""COMPUTED_VALUE"""),"AL_Non-Txn_Base")</f>
        <v>AL_Non-Txn_Base</v>
      </c>
      <c r="H109" s="212" t="str">
        <f>IFERROR(__xludf.DUMMYFUNCTION("""COMPUTED_VALUE"""),"AL_Non-Txn_Base")</f>
        <v>AL_Non-Txn_Base</v>
      </c>
      <c r="I109" s="212" t="str">
        <f>IFERROR(__xludf.DUMMYFUNCTION("""COMPUTED_VALUE"""),"Non- Transactional Base")</f>
        <v>Non- Transactional Base</v>
      </c>
      <c r="J109" s="213">
        <f>IFERROR(__xludf.DUMMYFUNCTION("""COMPUTED_VALUE"""),99147.0)</f>
        <v>99147</v>
      </c>
      <c r="K109" s="213">
        <f>IFERROR(__xludf.DUMMYFUNCTION("""COMPUTED_VALUE"""),59282.0)</f>
        <v>59282</v>
      </c>
      <c r="L109" s="214">
        <f>IFERROR(__xludf.DUMMYFUNCTION("""COMPUTED_VALUE"""),0.5979)</f>
        <v>0.5979</v>
      </c>
      <c r="M109" s="213">
        <f>IFERROR(__xludf.DUMMYFUNCTION("""COMPUTED_VALUE"""),0.0)</f>
        <v>0</v>
      </c>
      <c r="N109" s="214">
        <f>IFERROR(__xludf.DUMMYFUNCTION("""COMPUTED_VALUE"""),0.0)</f>
        <v>0</v>
      </c>
      <c r="O109" s="213">
        <f>IFERROR(__xludf.DUMMYFUNCTION("""COMPUTED_VALUE"""),258.0)</f>
        <v>258</v>
      </c>
      <c r="P109" s="213">
        <f>IFERROR(__xludf.DUMMYFUNCTION("""COMPUTED_VALUE"""),0.0)</f>
        <v>0</v>
      </c>
      <c r="Q109" s="214">
        <f>IFERROR(__xludf.DUMMYFUNCTION("""COMPUTED_VALUE"""),0.0044)</f>
        <v>0.0044</v>
      </c>
      <c r="R109" s="214">
        <f>IFERROR(__xludf.DUMMYFUNCTION("""COMPUTED_VALUE"""),0.0)</f>
        <v>0</v>
      </c>
      <c r="S109" s="213">
        <f>IFERROR(__xludf.DUMMYFUNCTION("""COMPUTED_VALUE"""),29.0)</f>
        <v>29</v>
      </c>
      <c r="T109" s="213">
        <f>IFERROR(__xludf.DUMMYFUNCTION("""COMPUTED_VALUE"""),380.0)</f>
        <v>380</v>
      </c>
      <c r="U109" s="213">
        <f>IFERROR(__xludf.DUMMYFUNCTION("""COMPUTED_VALUE"""),362583.1)</f>
        <v>362583.1</v>
      </c>
      <c r="V109" s="213" t="str">
        <f>IFERROR(__xludf.DUMMYFUNCTION("""COMPUTED_VALUE"""),"overall")</f>
        <v>overall</v>
      </c>
      <c r="W109" s="213" t="str">
        <f>IFERROR(__xludf.DUMMYFUNCTION("""COMPUTED_VALUE"""),"sms")</f>
        <v>sms</v>
      </c>
      <c r="X109" s="213" t="str">
        <f>IFERROR(__xludf.DUMMYFUNCTION("""COMPUTED_VALUE"""),"Non Transactional Base")</f>
        <v>Non Transactional Base</v>
      </c>
      <c r="Y109" s="213" t="str">
        <f>IFERROR(__xludf.DUMMYFUNCTION("""COMPUTED_VALUE"""),"30th April ")</f>
        <v>30th April </v>
      </c>
      <c r="Z109" s="213" t="str">
        <f>IFERROR(__xludf.DUMMYFUNCTION("""COMPUTED_VALUE"""),"69f34d0c9b2cfe826fc8e971")</f>
        <v>69f34d0c9b2cfe826fc8e971</v>
      </c>
      <c r="AA109" s="213"/>
      <c r="AB109" s="213"/>
      <c r="AC109" s="213"/>
      <c r="AD109" s="213"/>
      <c r="AE109" s="213"/>
      <c r="AF109" s="213"/>
      <c r="AG109" s="208"/>
      <c r="AH109" s="208"/>
      <c r="AI109" s="208"/>
      <c r="AJ109" s="208"/>
      <c r="AK109" s="208"/>
    </row>
    <row r="110">
      <c r="A110" s="209">
        <f>IFERROR(__xludf.DUMMYFUNCTION("""COMPUTED_VALUE"""),46142.0)</f>
        <v>46142</v>
      </c>
      <c r="B110" s="210">
        <f>IFERROR(__xludf.DUMMYFUNCTION("""COMPUTED_VALUE"""),0.7916666666678793)</f>
        <v>0.7916666667</v>
      </c>
      <c r="C110" s="211" t="str">
        <f>IFERROR(__xludf.DUMMYFUNCTION("""COMPUTED_VALUE"""),"Sms")</f>
        <v>Sms</v>
      </c>
      <c r="D110" s="211" t="str">
        <f>IFERROR(__xludf.DUMMYFUNCTION("""COMPUTED_VALUE"""),"Promtional")</f>
        <v>Promtional</v>
      </c>
      <c r="E110" s="211" t="str">
        <f>IFERROR(__xludf.DUMMYFUNCTION("""COMPUTED_VALUE"""),"Aldo")</f>
        <v>Aldo</v>
      </c>
      <c r="F110" s="211" t="str">
        <f>IFERROR(__xludf.DUMMYFUNCTION("""COMPUTED_VALUE"""),"MAY BOGO 2026 1-3 MAY - No Brief")</f>
        <v>MAY BOGO 2026 1-3 MAY - No Brief</v>
      </c>
      <c r="G110" s="211" t="str">
        <f>IFERROR(__xludf.DUMMYFUNCTION("""COMPUTED_VALUE"""),"Karnival_Base_Actual")</f>
        <v>Karnival_Base_Actual</v>
      </c>
      <c r="H110" s="212" t="str">
        <f>IFERROR(__xludf.DUMMYFUNCTION("""COMPUTED_VALUE"""),"Karnival_Base_Actual")</f>
        <v>Karnival_Base_Actual</v>
      </c>
      <c r="I110" s="212" t="str">
        <f>IFERROR(__xludf.DUMMYFUNCTION("""COMPUTED_VALUE"""),"Karnival Base")</f>
        <v>Karnival Base</v>
      </c>
      <c r="J110" s="213">
        <f>IFERROR(__xludf.DUMMYFUNCTION("""COMPUTED_VALUE"""),187520.0)</f>
        <v>187520</v>
      </c>
      <c r="K110" s="213">
        <f>IFERROR(__xludf.DUMMYFUNCTION("""COMPUTED_VALUE"""),101269.0)</f>
        <v>101269</v>
      </c>
      <c r="L110" s="214">
        <f>IFERROR(__xludf.DUMMYFUNCTION("""COMPUTED_VALUE"""),0.54)</f>
        <v>0.54</v>
      </c>
      <c r="M110" s="213">
        <f>IFERROR(__xludf.DUMMYFUNCTION("""COMPUTED_VALUE"""),0.0)</f>
        <v>0</v>
      </c>
      <c r="N110" s="214">
        <f>IFERROR(__xludf.DUMMYFUNCTION("""COMPUTED_VALUE"""),0.0)</f>
        <v>0</v>
      </c>
      <c r="O110" s="213">
        <f>IFERROR(__xludf.DUMMYFUNCTION("""COMPUTED_VALUE"""),332.0)</f>
        <v>332</v>
      </c>
      <c r="P110" s="213">
        <f>IFERROR(__xludf.DUMMYFUNCTION("""COMPUTED_VALUE"""),0.0)</f>
        <v>0</v>
      </c>
      <c r="Q110" s="214">
        <f>IFERROR(__xludf.DUMMYFUNCTION("""COMPUTED_VALUE"""),0.0033)</f>
        <v>0.0033</v>
      </c>
      <c r="R110" s="214">
        <f>IFERROR(__xludf.DUMMYFUNCTION("""COMPUTED_VALUE"""),0.0)</f>
        <v>0</v>
      </c>
      <c r="S110" s="213">
        <f>IFERROR(__xludf.DUMMYFUNCTION("""COMPUTED_VALUE"""),7.0)</f>
        <v>7</v>
      </c>
      <c r="T110" s="213">
        <f>IFERROR(__xludf.DUMMYFUNCTION("""COMPUTED_VALUE"""),40.0)</f>
        <v>40</v>
      </c>
      <c r="U110" s="213">
        <f>IFERROR(__xludf.DUMMYFUNCTION("""COMPUTED_VALUE"""),74543.0)</f>
        <v>74543</v>
      </c>
      <c r="V110" s="213" t="str">
        <f>IFERROR(__xludf.DUMMYFUNCTION("""COMPUTED_VALUE"""),"overall")</f>
        <v>overall</v>
      </c>
      <c r="W110" s="213" t="str">
        <f>IFERROR(__xludf.DUMMYFUNCTION("""COMPUTED_VALUE"""),"sms")</f>
        <v>sms</v>
      </c>
      <c r="X110" s="213" t="str">
        <f>IFERROR(__xludf.DUMMYFUNCTION("""COMPUTED_VALUE"""),"Karnival Base")</f>
        <v>Karnival Base</v>
      </c>
      <c r="Y110" s="213" t="str">
        <f>IFERROR(__xludf.DUMMYFUNCTION("""COMPUTED_VALUE"""),"30th April ")</f>
        <v>30th April </v>
      </c>
      <c r="Z110" s="213" t="str">
        <f>IFERROR(__xludf.DUMMYFUNCTION("""COMPUTED_VALUE"""),"69f34d1a5a966da8614a44ea")</f>
        <v>69f34d1a5a966da8614a44ea</v>
      </c>
      <c r="AA110" s="213"/>
      <c r="AB110" s="213"/>
      <c r="AC110" s="213"/>
      <c r="AD110" s="213"/>
      <c r="AE110" s="213"/>
      <c r="AF110" s="213"/>
      <c r="AG110" s="208"/>
      <c r="AH110" s="208"/>
      <c r="AI110" s="208"/>
      <c r="AJ110" s="208"/>
      <c r="AK110" s="208"/>
    </row>
    <row r="111">
      <c r="A111" s="209">
        <f>IFERROR(__xludf.DUMMYFUNCTION("""COMPUTED_VALUE"""),46142.0)</f>
        <v>46142</v>
      </c>
      <c r="B111" s="210">
        <f>IFERROR(__xludf.DUMMYFUNCTION("""COMPUTED_VALUE"""),0.8333333333321207)</f>
        <v>0.8333333333</v>
      </c>
      <c r="C111" s="211" t="str">
        <f>IFERROR(__xludf.DUMMYFUNCTION("""COMPUTED_VALUE"""),"Sms")</f>
        <v>Sms</v>
      </c>
      <c r="D111" s="211" t="str">
        <f>IFERROR(__xludf.DUMMYFUNCTION("""COMPUTED_VALUE"""),"Fallback campaign")</f>
        <v>Fallback campaign</v>
      </c>
      <c r="E111" s="211" t="str">
        <f>IFERROR(__xludf.DUMMYFUNCTION("""COMPUTED_VALUE"""),"Aldo")</f>
        <v>Aldo</v>
      </c>
      <c r="F111" s="211" t="str">
        <f>IFERROR(__xludf.DUMMYFUNCTION("""COMPUTED_VALUE"""),"MAY BOGO 2026 1-3 MAY - No Brief")</f>
        <v>MAY BOGO 2026 1-3 MAY - No Brief</v>
      </c>
      <c r="G111" s="211" t="str">
        <f>IFERROR(__xludf.DUMMYFUNCTION("""COMPUTED_VALUE"""),"AL_ON_OFF_Disc_Buyers_50_perc_fall back")</f>
        <v>AL_ON_OFF_Disc_Buyers_50_perc_fall back</v>
      </c>
      <c r="H111" s="212" t="str">
        <f>IFERROR(__xludf.DUMMYFUNCTION("""COMPUTED_VALUE"""),"AL_ON_OFF_Disc_Buyers_50_perc")</f>
        <v>AL_ON_OFF_Disc_Buyers_50_perc</v>
      </c>
      <c r="I111" s="212" t="str">
        <f>IFERROR(__xludf.DUMMYFUNCTION("""COMPUTED_VALUE"""),"RCS Undelivered")</f>
        <v>RCS Undelivered</v>
      </c>
      <c r="J111" s="213">
        <f>IFERROR(__xludf.DUMMYFUNCTION("""COMPUTED_VALUE"""),9085.0)</f>
        <v>9085</v>
      </c>
      <c r="K111" s="213">
        <f>IFERROR(__xludf.DUMMYFUNCTION("""COMPUTED_VALUE"""),4768.0)</f>
        <v>4768</v>
      </c>
      <c r="L111" s="214">
        <f>IFERROR(__xludf.DUMMYFUNCTION("""COMPUTED_VALUE"""),0.5248)</f>
        <v>0.5248</v>
      </c>
      <c r="M111" s="213">
        <f>IFERROR(__xludf.DUMMYFUNCTION("""COMPUTED_VALUE"""),0.0)</f>
        <v>0</v>
      </c>
      <c r="N111" s="214">
        <f>IFERROR(__xludf.DUMMYFUNCTION("""COMPUTED_VALUE"""),0.0)</f>
        <v>0</v>
      </c>
      <c r="O111" s="213">
        <f>IFERROR(__xludf.DUMMYFUNCTION("""COMPUTED_VALUE"""),35.0)</f>
        <v>35</v>
      </c>
      <c r="P111" s="213">
        <f>IFERROR(__xludf.DUMMYFUNCTION("""COMPUTED_VALUE"""),0.0)</f>
        <v>0</v>
      </c>
      <c r="Q111" s="214">
        <f>IFERROR(__xludf.DUMMYFUNCTION("""COMPUTED_VALUE"""),0.0073)</f>
        <v>0.0073</v>
      </c>
      <c r="R111" s="214">
        <f>IFERROR(__xludf.DUMMYFUNCTION("""COMPUTED_VALUE"""),0.0)</f>
        <v>0</v>
      </c>
      <c r="S111" s="213">
        <f>IFERROR(__xludf.DUMMYFUNCTION("""COMPUTED_VALUE"""),5.0)</f>
        <v>5</v>
      </c>
      <c r="T111" s="213">
        <f>IFERROR(__xludf.DUMMYFUNCTION("""COMPUTED_VALUE"""),12.0)</f>
        <v>12</v>
      </c>
      <c r="U111" s="213">
        <f>IFERROR(__xludf.DUMMYFUNCTION("""COMPUTED_VALUE"""),58373.0)</f>
        <v>58373</v>
      </c>
      <c r="V111" s="213" t="str">
        <f>IFERROR(__xludf.DUMMYFUNCTION("""COMPUTED_VALUE"""),"overall")</f>
        <v>overall</v>
      </c>
      <c r="W111" s="213" t="str">
        <f>IFERROR(__xludf.DUMMYFUNCTION("""COMPUTED_VALUE"""),"sms")</f>
        <v>sms</v>
      </c>
      <c r="X111" s="213" t="str">
        <f>IFERROR(__xludf.DUMMYFUNCTION("""COMPUTED_VALUE"""),"Discount Shoppers")</f>
        <v>Discount Shoppers</v>
      </c>
      <c r="Y111" s="213" t="str">
        <f>IFERROR(__xludf.DUMMYFUNCTION("""COMPUTED_VALUE"""),"30th April ")</f>
        <v>30th April </v>
      </c>
      <c r="Z111" s="213" t="str">
        <f>IFERROR(__xludf.DUMMYFUNCTION("""COMPUTED_VALUE"""),"69f34ea4793bba077c29f0b2")</f>
        <v>69f34ea4793bba077c29f0b2</v>
      </c>
      <c r="AA111" s="213"/>
      <c r="AB111" s="213"/>
      <c r="AC111" s="213"/>
      <c r="AD111" s="213"/>
      <c r="AE111" s="213"/>
      <c r="AF111" s="213"/>
      <c r="AG111" s="208"/>
      <c r="AH111" s="208"/>
      <c r="AI111" s="208"/>
      <c r="AJ111" s="208"/>
      <c r="AK111" s="208"/>
    </row>
    <row r="112">
      <c r="A112" s="209">
        <f>IFERROR(__xludf.DUMMYFUNCTION("""COMPUTED_VALUE"""),46142.0)</f>
        <v>46142</v>
      </c>
      <c r="B112" s="210">
        <f>IFERROR(__xludf.DUMMYFUNCTION("""COMPUTED_VALUE"""),0.7916666666678793)</f>
        <v>0.7916666667</v>
      </c>
      <c r="C112" s="211" t="str">
        <f>IFERROR(__xludf.DUMMYFUNCTION("""COMPUTED_VALUE"""),"Rcs")</f>
        <v>Rcs</v>
      </c>
      <c r="D112" s="211" t="str">
        <f>IFERROR(__xludf.DUMMYFUNCTION("""COMPUTED_VALUE"""),"Fallback campaign")</f>
        <v>Fallback campaign</v>
      </c>
      <c r="E112" s="211" t="str">
        <f>IFERROR(__xludf.DUMMYFUNCTION("""COMPUTED_VALUE"""),"Aldo")</f>
        <v>Aldo</v>
      </c>
      <c r="F112" s="211" t="str">
        <f>IFERROR(__xludf.DUMMYFUNCTION("""COMPUTED_VALUE"""),"MAY BOGO 2026 1-3 MAY - B1G1")</f>
        <v>MAY BOGO 2026 1-3 MAY - B1G1</v>
      </c>
      <c r="G112" s="211" t="str">
        <f>IFERROR(__xludf.DUMMYFUNCTION("""COMPUTED_VALUE"""),"3OTH April_AL_ON_ATC_90D")</f>
        <v>3OTH April_AL_ON_ATC_90D</v>
      </c>
      <c r="H112" s="212" t="str">
        <f>IFERROR(__xludf.DUMMYFUNCTION("""COMPUTED_VALUE"""),"AL_ON_ATC_90D")</f>
        <v>AL_ON_ATC_90D</v>
      </c>
      <c r="I112" s="212" t="str">
        <f>IFERROR(__xludf.DUMMYFUNCTION("""COMPUTED_VALUE"""),"WA Undelivered")</f>
        <v>WA Undelivered</v>
      </c>
      <c r="J112" s="213">
        <f>IFERROR(__xludf.DUMMYFUNCTION("""COMPUTED_VALUE"""),633.0)</f>
        <v>633</v>
      </c>
      <c r="K112" s="213">
        <f>IFERROR(__xludf.DUMMYFUNCTION("""COMPUTED_VALUE"""),139.0)</f>
        <v>139</v>
      </c>
      <c r="L112" s="214">
        <f>IFERROR(__xludf.DUMMYFUNCTION("""COMPUTED_VALUE"""),0.219589257503949)</f>
        <v>0.2195892575</v>
      </c>
      <c r="M112" s="213">
        <f>IFERROR(__xludf.DUMMYFUNCTION("""COMPUTED_VALUE"""),37.0)</f>
        <v>37</v>
      </c>
      <c r="N112" s="214">
        <f>IFERROR(__xludf.DUMMYFUNCTION("""COMPUTED_VALUE"""),0.2662)</f>
        <v>0.2662</v>
      </c>
      <c r="O112" s="213">
        <f>IFERROR(__xludf.DUMMYFUNCTION("""COMPUTED_VALUE"""),10.0)</f>
        <v>10</v>
      </c>
      <c r="P112" s="213">
        <f>IFERROR(__xludf.DUMMYFUNCTION("""COMPUTED_VALUE"""),0.0)</f>
        <v>0</v>
      </c>
      <c r="Q112" s="214">
        <f>IFERROR(__xludf.DUMMYFUNCTION("""COMPUTED_VALUE"""),0.0791)</f>
        <v>0.0791</v>
      </c>
      <c r="R112" s="214">
        <f>IFERROR(__xludf.DUMMYFUNCTION("""COMPUTED_VALUE"""),0.0)</f>
        <v>0</v>
      </c>
      <c r="S112" s="213">
        <f>IFERROR(__xludf.DUMMYFUNCTION("""COMPUTED_VALUE"""),2.0)</f>
        <v>2</v>
      </c>
      <c r="T112" s="213">
        <f>IFERROR(__xludf.DUMMYFUNCTION("""COMPUTED_VALUE"""),14.0)</f>
        <v>14</v>
      </c>
      <c r="U112" s="213">
        <f>IFERROR(__xludf.DUMMYFUNCTION("""COMPUTED_VALUE"""),24998.0)</f>
        <v>24998</v>
      </c>
      <c r="V112" s="213" t="str">
        <f>IFERROR(__xludf.DUMMYFUNCTION("""COMPUTED_VALUE"""),"online")</f>
        <v>online</v>
      </c>
      <c r="W112" s="213" t="str">
        <f>IFERROR(__xludf.DUMMYFUNCTION("""COMPUTED_VALUE"""),"rcs")</f>
        <v>rcs</v>
      </c>
      <c r="X112" s="213" t="str">
        <f>IFERROR(__xludf.DUMMYFUNCTION("""COMPUTED_VALUE"""),"Add to Cart")</f>
        <v>Add to Cart</v>
      </c>
      <c r="Y112" s="213" t="str">
        <f>IFERROR(__xludf.DUMMYFUNCTION("""COMPUTED_VALUE"""),"30th April ")</f>
        <v>30th April </v>
      </c>
      <c r="Z112" s="213" t="str">
        <f>IFERROR(__xludf.DUMMYFUNCTION("""COMPUTED_VALUE"""),"69f33d0f56f5de75beb9bb36")</f>
        <v>69f33d0f56f5de75beb9bb36</v>
      </c>
      <c r="AA112" s="213"/>
      <c r="AB112" s="213"/>
      <c r="AC112" s="213"/>
      <c r="AD112" s="213"/>
      <c r="AE112" s="213"/>
      <c r="AF112" s="213"/>
      <c r="AG112" s="208"/>
      <c r="AH112" s="208"/>
      <c r="AI112" s="208"/>
      <c r="AJ112" s="208"/>
      <c r="AK112" s="208"/>
    </row>
    <row r="113">
      <c r="A113" s="209">
        <f>IFERROR(__xludf.DUMMYFUNCTION("""COMPUTED_VALUE"""),46142.0)</f>
        <v>46142</v>
      </c>
      <c r="B113" s="210">
        <f>IFERROR(__xludf.DUMMYFUNCTION("""COMPUTED_VALUE"""),0.7916666666678793)</f>
        <v>0.7916666667</v>
      </c>
      <c r="C113" s="211" t="str">
        <f>IFERROR(__xludf.DUMMYFUNCTION("""COMPUTED_VALUE"""),"Rcs")</f>
        <v>Rcs</v>
      </c>
      <c r="D113" s="211" t="str">
        <f>IFERROR(__xludf.DUMMYFUNCTION("""COMPUTED_VALUE"""),"Fallback campaign")</f>
        <v>Fallback campaign</v>
      </c>
      <c r="E113" s="211" t="str">
        <f>IFERROR(__xludf.DUMMYFUNCTION("""COMPUTED_VALUE"""),"Aldo")</f>
        <v>Aldo</v>
      </c>
      <c r="F113" s="211" t="str">
        <f>IFERROR(__xludf.DUMMYFUNCTION("""COMPUTED_VALUE"""),"MAY BOGO 2026 1-3 MAY - B1G1")</f>
        <v>MAY BOGO 2026 1-3 MAY - B1G1</v>
      </c>
      <c r="G113" s="211" t="str">
        <f>IFERROR(__xludf.DUMMYFUNCTION("""COMPUTED_VALUE"""),"3OTH April_AL_ON_View_Item WAFB")</f>
        <v>3OTH April_AL_ON_View_Item WAFB</v>
      </c>
      <c r="H113" s="212" t="str">
        <f>IFERROR(__xludf.DUMMYFUNCTION("""COMPUTED_VALUE"""),"AL_ON_View_Item")</f>
        <v>AL_ON_View_Item</v>
      </c>
      <c r="I113" s="212" t="str">
        <f>IFERROR(__xludf.DUMMYFUNCTION("""COMPUTED_VALUE"""),"WA Undelivered")</f>
        <v>WA Undelivered</v>
      </c>
      <c r="J113" s="213">
        <f>IFERROR(__xludf.DUMMYFUNCTION("""COMPUTED_VALUE"""),837.0)</f>
        <v>837</v>
      </c>
      <c r="K113" s="213">
        <f>IFERROR(__xludf.DUMMYFUNCTION("""COMPUTED_VALUE"""),217.0)</f>
        <v>217</v>
      </c>
      <c r="L113" s="214">
        <f>IFERROR(__xludf.DUMMYFUNCTION("""COMPUTED_VALUE"""),0.259259259259259)</f>
        <v>0.2592592593</v>
      </c>
      <c r="M113" s="213">
        <f>IFERROR(__xludf.DUMMYFUNCTION("""COMPUTED_VALUE"""),51.0)</f>
        <v>51</v>
      </c>
      <c r="N113" s="214">
        <f>IFERROR(__xludf.DUMMYFUNCTION("""COMPUTED_VALUE"""),0.235)</f>
        <v>0.235</v>
      </c>
      <c r="O113" s="213">
        <f>IFERROR(__xludf.DUMMYFUNCTION("""COMPUTED_VALUE"""),13.0)</f>
        <v>13</v>
      </c>
      <c r="P113" s="213">
        <f>IFERROR(__xludf.DUMMYFUNCTION("""COMPUTED_VALUE"""),0.0)</f>
        <v>0</v>
      </c>
      <c r="Q113" s="214">
        <f>IFERROR(__xludf.DUMMYFUNCTION("""COMPUTED_VALUE"""),0.0783)</f>
        <v>0.0783</v>
      </c>
      <c r="R113" s="214">
        <f>IFERROR(__xludf.DUMMYFUNCTION("""COMPUTED_VALUE"""),0.0)</f>
        <v>0</v>
      </c>
      <c r="S113" s="213">
        <f>IFERROR(__xludf.DUMMYFUNCTION("""COMPUTED_VALUE"""),0.0)</f>
        <v>0</v>
      </c>
      <c r="T113" s="213">
        <f>IFERROR(__xludf.DUMMYFUNCTION("""COMPUTED_VALUE"""),17.0)</f>
        <v>17</v>
      </c>
      <c r="U113" s="213">
        <f>IFERROR(__xludf.DUMMYFUNCTION("""COMPUTED_VALUE"""),0.0)</f>
        <v>0</v>
      </c>
      <c r="V113" s="213" t="str">
        <f>IFERROR(__xludf.DUMMYFUNCTION("""COMPUTED_VALUE"""),"online")</f>
        <v>online</v>
      </c>
      <c r="W113" s="213" t="str">
        <f>IFERROR(__xludf.DUMMYFUNCTION("""COMPUTED_VALUE"""),"rcs")</f>
        <v>rcs</v>
      </c>
      <c r="X113" s="213" t="str">
        <f>IFERROR(__xludf.DUMMYFUNCTION("""COMPUTED_VALUE"""),"View Item")</f>
        <v>View Item</v>
      </c>
      <c r="Y113" s="213" t="str">
        <f>IFERROR(__xludf.DUMMYFUNCTION("""COMPUTED_VALUE"""),"30th April ")</f>
        <v>30th April </v>
      </c>
      <c r="Z113" s="213" t="str">
        <f>IFERROR(__xludf.DUMMYFUNCTION("""COMPUTED_VALUE"""),"69f33d72e536fbd07a46e4a3")</f>
        <v>69f33d72e536fbd07a46e4a3</v>
      </c>
      <c r="AA113" s="213"/>
      <c r="AB113" s="213"/>
      <c r="AC113" s="213"/>
      <c r="AD113" s="213"/>
      <c r="AE113" s="213"/>
      <c r="AF113" s="213"/>
      <c r="AG113" s="208"/>
      <c r="AH113" s="208"/>
      <c r="AI113" s="208"/>
      <c r="AJ113" s="208"/>
      <c r="AK113" s="208"/>
    </row>
    <row r="114">
      <c r="A114" s="209">
        <f>IFERROR(__xludf.DUMMYFUNCTION("""COMPUTED_VALUE"""),46142.0)</f>
        <v>46142</v>
      </c>
      <c r="B114" s="210">
        <f>IFERROR(__xludf.DUMMYFUNCTION("""COMPUTED_VALUE"""),0.7916666666678793)</f>
        <v>0.7916666667</v>
      </c>
      <c r="C114" s="211" t="str">
        <f>IFERROR(__xludf.DUMMYFUNCTION("""COMPUTED_VALUE"""),"Rcs")</f>
        <v>Rcs</v>
      </c>
      <c r="D114" s="211" t="str">
        <f>IFERROR(__xludf.DUMMYFUNCTION("""COMPUTED_VALUE"""),"Fallback campaign")</f>
        <v>Fallback campaign</v>
      </c>
      <c r="E114" s="211" t="str">
        <f>IFERROR(__xludf.DUMMYFUNCTION("""COMPUTED_VALUE"""),"Aldo")</f>
        <v>Aldo</v>
      </c>
      <c r="F114" s="211" t="str">
        <f>IFERROR(__xludf.DUMMYFUNCTION("""COMPUTED_VALUE"""),"MAY BOGO 2026 1-3 MAY - B1G1")</f>
        <v>MAY BOGO 2026 1-3 MAY - B1G1</v>
      </c>
      <c r="G114" s="211" t="str">
        <f>IFERROR(__xludf.DUMMYFUNCTION("""COMPUTED_VALUE"""),"3OTH April_AL_ON_SignUp_Form")</f>
        <v>3OTH April_AL_ON_SignUp_Form</v>
      </c>
      <c r="H114" s="212" t="str">
        <f>IFERROR(__xludf.DUMMYFUNCTION("""COMPUTED_VALUE"""),"AL_ON_SignUp_Form")</f>
        <v>AL_ON_SignUp_Form</v>
      </c>
      <c r="I114" s="212" t="str">
        <f>IFERROR(__xludf.DUMMYFUNCTION("""COMPUTED_VALUE"""),"WA Undelivered")</f>
        <v>WA Undelivered</v>
      </c>
      <c r="J114" s="213">
        <f>IFERROR(__xludf.DUMMYFUNCTION("""COMPUTED_VALUE"""),667.0)</f>
        <v>667</v>
      </c>
      <c r="K114" s="213">
        <f>IFERROR(__xludf.DUMMYFUNCTION("""COMPUTED_VALUE"""),121.0)</f>
        <v>121</v>
      </c>
      <c r="L114" s="214">
        <f>IFERROR(__xludf.DUMMYFUNCTION("""COMPUTED_VALUE"""),0.181409295352324)</f>
        <v>0.1814092954</v>
      </c>
      <c r="M114" s="213">
        <f>IFERROR(__xludf.DUMMYFUNCTION("""COMPUTED_VALUE"""),26.0)</f>
        <v>26</v>
      </c>
      <c r="N114" s="214">
        <f>IFERROR(__xludf.DUMMYFUNCTION("""COMPUTED_VALUE"""),0.2149)</f>
        <v>0.2149</v>
      </c>
      <c r="O114" s="213">
        <f>IFERROR(__xludf.DUMMYFUNCTION("""COMPUTED_VALUE"""),2.0)</f>
        <v>2</v>
      </c>
      <c r="P114" s="213">
        <f>IFERROR(__xludf.DUMMYFUNCTION("""COMPUTED_VALUE"""),0.0)</f>
        <v>0</v>
      </c>
      <c r="Q114" s="214">
        <f>IFERROR(__xludf.DUMMYFUNCTION("""COMPUTED_VALUE"""),0.0165)</f>
        <v>0.0165</v>
      </c>
      <c r="R114" s="214">
        <f>IFERROR(__xludf.DUMMYFUNCTION("""COMPUTED_VALUE"""),0.0)</f>
        <v>0</v>
      </c>
      <c r="S114" s="213">
        <f>IFERROR(__xludf.DUMMYFUNCTION("""COMPUTED_VALUE"""),0.0)</f>
        <v>0</v>
      </c>
      <c r="T114" s="213">
        <f>IFERROR(__xludf.DUMMYFUNCTION("""COMPUTED_VALUE"""),2.0)</f>
        <v>2</v>
      </c>
      <c r="U114" s="213">
        <f>IFERROR(__xludf.DUMMYFUNCTION("""COMPUTED_VALUE"""),0.0)</f>
        <v>0</v>
      </c>
      <c r="V114" s="213" t="str">
        <f>IFERROR(__xludf.DUMMYFUNCTION("""COMPUTED_VALUE"""),"online")</f>
        <v>online</v>
      </c>
      <c r="W114" s="213" t="str">
        <f>IFERROR(__xludf.DUMMYFUNCTION("""COMPUTED_VALUE"""),"rcs")</f>
        <v>rcs</v>
      </c>
      <c r="X114" s="213" t="str">
        <f>IFERROR(__xludf.DUMMYFUNCTION("""COMPUTED_VALUE"""),"Sign Up Form")</f>
        <v>Sign Up Form</v>
      </c>
      <c r="Y114" s="213" t="str">
        <f>IFERROR(__xludf.DUMMYFUNCTION("""COMPUTED_VALUE"""),"30th April ")</f>
        <v>30th April </v>
      </c>
      <c r="Z114" s="213" t="str">
        <f>IFERROR(__xludf.DUMMYFUNCTION("""COMPUTED_VALUE"""),"69f344b11e6538628e75447c")</f>
        <v>69f344b11e6538628e75447c</v>
      </c>
      <c r="AA114" s="213"/>
      <c r="AB114" s="213"/>
      <c r="AC114" s="213"/>
      <c r="AD114" s="213"/>
      <c r="AE114" s="213"/>
      <c r="AF114" s="213"/>
      <c r="AG114" s="208"/>
      <c r="AH114" s="208"/>
      <c r="AI114" s="208"/>
      <c r="AJ114" s="208"/>
      <c r="AK114" s="208"/>
    </row>
    <row r="115">
      <c r="A115" s="209">
        <f>IFERROR(__xludf.DUMMYFUNCTION("""COMPUTED_VALUE"""),46142.0)</f>
        <v>46142</v>
      </c>
      <c r="B115" s="210">
        <f>IFERROR(__xludf.DUMMYFUNCTION("""COMPUTED_VALUE"""),0.7916666666678793)</f>
        <v>0.7916666667</v>
      </c>
      <c r="C115" s="211" t="str">
        <f>IFERROR(__xludf.DUMMYFUNCTION("""COMPUTED_VALUE"""),"Rcs")</f>
        <v>Rcs</v>
      </c>
      <c r="D115" s="211" t="str">
        <f>IFERROR(__xludf.DUMMYFUNCTION("""COMPUTED_VALUE"""),"Fallback campaign")</f>
        <v>Fallback campaign</v>
      </c>
      <c r="E115" s="211" t="str">
        <f>IFERROR(__xludf.DUMMYFUNCTION("""COMPUTED_VALUE"""),"Aldo")</f>
        <v>Aldo</v>
      </c>
      <c r="F115" s="211" t="str">
        <f>IFERROR(__xludf.DUMMYFUNCTION("""COMPUTED_VALUE"""),"MAY BOGO 2026 1-3 MAY - B1G1")</f>
        <v>MAY BOGO 2026 1-3 MAY - B1G1</v>
      </c>
      <c r="G115" s="211" t="str">
        <f>IFERROR(__xludf.DUMMYFUNCTION("""COMPUTED_VALUE"""),"3OTH April_AL_ON_Cart_Exit_Intent")</f>
        <v>3OTH April_AL_ON_Cart_Exit_Intent</v>
      </c>
      <c r="H115" s="212" t="str">
        <f>IFERROR(__xludf.DUMMYFUNCTION("""COMPUTED_VALUE"""),"AL_ON_Cart_Exit_Intent")</f>
        <v>AL_ON_Cart_Exit_Intent</v>
      </c>
      <c r="I115" s="212" t="str">
        <f>IFERROR(__xludf.DUMMYFUNCTION("""COMPUTED_VALUE"""),"WA Undelivered")</f>
        <v>WA Undelivered</v>
      </c>
      <c r="J115" s="213">
        <f>IFERROR(__xludf.DUMMYFUNCTION("""COMPUTED_VALUE"""),10964.0)</f>
        <v>10964</v>
      </c>
      <c r="K115" s="213">
        <f>IFERROR(__xludf.DUMMYFUNCTION("""COMPUTED_VALUE"""),2156.0)</f>
        <v>2156</v>
      </c>
      <c r="L115" s="214">
        <f>IFERROR(__xludf.DUMMYFUNCTION("""COMPUTED_VALUE"""),0.196643560744254)</f>
        <v>0.1966435607</v>
      </c>
      <c r="M115" s="213">
        <f>IFERROR(__xludf.DUMMYFUNCTION("""COMPUTED_VALUE"""),422.0)</f>
        <v>422</v>
      </c>
      <c r="N115" s="214">
        <f>IFERROR(__xludf.DUMMYFUNCTION("""COMPUTED_VALUE"""),0.1957)</f>
        <v>0.1957</v>
      </c>
      <c r="O115" s="213">
        <f>IFERROR(__xludf.DUMMYFUNCTION("""COMPUTED_VALUE"""),78.0)</f>
        <v>78</v>
      </c>
      <c r="P115" s="213">
        <f>IFERROR(__xludf.DUMMYFUNCTION("""COMPUTED_VALUE"""),0.0)</f>
        <v>0</v>
      </c>
      <c r="Q115" s="214">
        <f>IFERROR(__xludf.DUMMYFUNCTION("""COMPUTED_VALUE"""),0.038)</f>
        <v>0.038</v>
      </c>
      <c r="R115" s="214">
        <f>IFERROR(__xludf.DUMMYFUNCTION("""COMPUTED_VALUE"""),0.0)</f>
        <v>0</v>
      </c>
      <c r="S115" s="213">
        <f>IFERROR(__xludf.DUMMYFUNCTION("""COMPUTED_VALUE"""),0.0)</f>
        <v>0</v>
      </c>
      <c r="T115" s="213">
        <f>IFERROR(__xludf.DUMMYFUNCTION("""COMPUTED_VALUE"""),28.0)</f>
        <v>28</v>
      </c>
      <c r="U115" s="213">
        <f>IFERROR(__xludf.DUMMYFUNCTION("""COMPUTED_VALUE"""),0.0)</f>
        <v>0</v>
      </c>
      <c r="V115" s="213" t="str">
        <f>IFERROR(__xludf.DUMMYFUNCTION("""COMPUTED_VALUE"""),"online")</f>
        <v>online</v>
      </c>
      <c r="W115" s="213" t="str">
        <f>IFERROR(__xludf.DUMMYFUNCTION("""COMPUTED_VALUE"""),"rcs")</f>
        <v>rcs</v>
      </c>
      <c r="X115" s="213" t="str">
        <f>IFERROR(__xludf.DUMMYFUNCTION("""COMPUTED_VALUE"""),"Exit Intent Form")</f>
        <v>Exit Intent Form</v>
      </c>
      <c r="Y115" s="213" t="str">
        <f>IFERROR(__xludf.DUMMYFUNCTION("""COMPUTED_VALUE"""),"30th April ")</f>
        <v>30th April </v>
      </c>
      <c r="Z115" s="213" t="str">
        <f>IFERROR(__xludf.DUMMYFUNCTION("""COMPUTED_VALUE"""),"69f344eef96c24110b6d7435")</f>
        <v>69f344eef96c24110b6d7435</v>
      </c>
      <c r="AA115" s="213"/>
      <c r="AB115" s="213"/>
      <c r="AC115" s="213"/>
      <c r="AD115" s="213"/>
      <c r="AE115" s="213"/>
      <c r="AF115" s="213"/>
      <c r="AG115" s="208"/>
      <c r="AH115" s="208"/>
      <c r="AI115" s="208"/>
      <c r="AJ115" s="208"/>
      <c r="AK115" s="208"/>
    </row>
    <row r="116">
      <c r="A116" s="209">
        <f>IFERROR(__xludf.DUMMYFUNCTION("""COMPUTED_VALUE"""),46142.0)</f>
        <v>46142</v>
      </c>
      <c r="B116" s="210">
        <f>IFERROR(__xludf.DUMMYFUNCTION("""COMPUTED_VALUE"""),0.7916666666678793)</f>
        <v>0.7916666667</v>
      </c>
      <c r="C116" s="211" t="str">
        <f>IFERROR(__xludf.DUMMYFUNCTION("""COMPUTED_VALUE"""),"Rcs")</f>
        <v>Rcs</v>
      </c>
      <c r="D116" s="211" t="str">
        <f>IFERROR(__xludf.DUMMYFUNCTION("""COMPUTED_VALUE"""),"Fallback campaign")</f>
        <v>Fallback campaign</v>
      </c>
      <c r="E116" s="211" t="str">
        <f>IFERROR(__xludf.DUMMYFUNCTION("""COMPUTED_VALUE"""),"Aldo")</f>
        <v>Aldo</v>
      </c>
      <c r="F116" s="211" t="str">
        <f>IFERROR(__xludf.DUMMYFUNCTION("""COMPUTED_VALUE"""),"MAY BOGO 2026 1-3 MAY - B1G1")</f>
        <v>MAY BOGO 2026 1-3 MAY - B1G1</v>
      </c>
      <c r="G116" s="211" t="str">
        <f>IFERROR(__xludf.DUMMYFUNCTION("""COMPUTED_VALUE"""),"3OTH April_AL_ON_OFF_Event_Buyers_BOGO")</f>
        <v>3OTH April_AL_ON_OFF_Event_Buyers_BOGO</v>
      </c>
      <c r="H116" s="212" t="str">
        <f>IFERROR(__xludf.DUMMYFUNCTION("""COMPUTED_VALUE"""),"AL_ON_OFF_Event_Buyers_BOGO")</f>
        <v>AL_ON_OFF_Event_Buyers_BOGO</v>
      </c>
      <c r="I116" s="212" t="str">
        <f>IFERROR(__xludf.DUMMYFUNCTION("""COMPUTED_VALUE"""),"WA Undelivered")</f>
        <v>WA Undelivered</v>
      </c>
      <c r="J116" s="213">
        <f>IFERROR(__xludf.DUMMYFUNCTION("""COMPUTED_VALUE"""),4100.0)</f>
        <v>4100</v>
      </c>
      <c r="K116" s="213">
        <f>IFERROR(__xludf.DUMMYFUNCTION("""COMPUTED_VALUE"""),692.0)</f>
        <v>692</v>
      </c>
      <c r="L116" s="214">
        <f>IFERROR(__xludf.DUMMYFUNCTION("""COMPUTED_VALUE"""),0.168780487804878)</f>
        <v>0.1687804878</v>
      </c>
      <c r="M116" s="213">
        <f>IFERROR(__xludf.DUMMYFUNCTION("""COMPUTED_VALUE"""),152.0)</f>
        <v>152</v>
      </c>
      <c r="N116" s="214">
        <f>IFERROR(__xludf.DUMMYFUNCTION("""COMPUTED_VALUE"""),0.2197)</f>
        <v>0.2197</v>
      </c>
      <c r="O116" s="213">
        <f>IFERROR(__xludf.DUMMYFUNCTION("""COMPUTED_VALUE"""),15.0)</f>
        <v>15</v>
      </c>
      <c r="P116" s="213">
        <f>IFERROR(__xludf.DUMMYFUNCTION("""COMPUTED_VALUE"""),0.0)</f>
        <v>0</v>
      </c>
      <c r="Q116" s="214">
        <f>IFERROR(__xludf.DUMMYFUNCTION("""COMPUTED_VALUE"""),0.026)</f>
        <v>0.026</v>
      </c>
      <c r="R116" s="214">
        <f>IFERROR(__xludf.DUMMYFUNCTION("""COMPUTED_VALUE"""),0.0)</f>
        <v>0</v>
      </c>
      <c r="S116" s="213">
        <f>IFERROR(__xludf.DUMMYFUNCTION("""COMPUTED_VALUE"""),0.0)</f>
        <v>0</v>
      </c>
      <c r="T116" s="213">
        <f>IFERROR(__xludf.DUMMYFUNCTION("""COMPUTED_VALUE"""),2.0)</f>
        <v>2</v>
      </c>
      <c r="U116" s="213">
        <f>IFERROR(__xludf.DUMMYFUNCTION("""COMPUTED_VALUE"""),0.0)</f>
        <v>0</v>
      </c>
      <c r="V116" s="213" t="str">
        <f>IFERROR(__xludf.DUMMYFUNCTION("""COMPUTED_VALUE"""),"overall")</f>
        <v>overall</v>
      </c>
      <c r="W116" s="213" t="str">
        <f>IFERROR(__xludf.DUMMYFUNCTION("""COMPUTED_VALUE"""),"rcs")</f>
        <v>rcs</v>
      </c>
      <c r="X116" s="213" t="str">
        <f>IFERROR(__xludf.DUMMYFUNCTION("""COMPUTED_VALUE"""),"Event Buyers")</f>
        <v>Event Buyers</v>
      </c>
      <c r="Y116" s="213" t="str">
        <f>IFERROR(__xludf.DUMMYFUNCTION("""COMPUTED_VALUE"""),"30th April ")</f>
        <v>30th April </v>
      </c>
      <c r="Z116" s="213" t="str">
        <f>IFERROR(__xludf.DUMMYFUNCTION("""COMPUTED_VALUE"""),"69f34532b7e9618f43e997f5")</f>
        <v>69f34532b7e9618f43e997f5</v>
      </c>
      <c r="AA116" s="213"/>
      <c r="AB116" s="213"/>
      <c r="AC116" s="213"/>
      <c r="AD116" s="213"/>
      <c r="AE116" s="213"/>
      <c r="AF116" s="213"/>
      <c r="AG116" s="208"/>
      <c r="AH116" s="208"/>
      <c r="AI116" s="208"/>
      <c r="AJ116" s="208"/>
      <c r="AK116" s="208"/>
    </row>
    <row r="117">
      <c r="A117" s="209">
        <f>IFERROR(__xludf.DUMMYFUNCTION("""COMPUTED_VALUE"""),46142.0)</f>
        <v>46142</v>
      </c>
      <c r="B117" s="210">
        <f>IFERROR(__xludf.DUMMYFUNCTION("""COMPUTED_VALUE"""),0.7916666666678793)</f>
        <v>0.7916666667</v>
      </c>
      <c r="C117" s="211" t="str">
        <f>IFERROR(__xludf.DUMMYFUNCTION("""COMPUTED_VALUE"""),"Rcs")</f>
        <v>Rcs</v>
      </c>
      <c r="D117" s="211" t="str">
        <f>IFERROR(__xludf.DUMMYFUNCTION("""COMPUTED_VALUE"""),"Fallback campaign")</f>
        <v>Fallback campaign</v>
      </c>
      <c r="E117" s="211" t="str">
        <f>IFERROR(__xludf.DUMMYFUNCTION("""COMPUTED_VALUE"""),"Aldo")</f>
        <v>Aldo</v>
      </c>
      <c r="F117" s="211" t="str">
        <f>IFERROR(__xludf.DUMMYFUNCTION("""COMPUTED_VALUE"""),"MAY BOGO 2026 1-3 MAY - B1G1")</f>
        <v>MAY BOGO 2026 1-3 MAY - B1G1</v>
      </c>
      <c r="G117" s="211" t="str">
        <f>IFERROR(__xludf.DUMMYFUNCTION("""COMPUTED_VALUE"""),"3OTH April_AL_ON_OFF_Repeat_1Year")</f>
        <v>3OTH April_AL_ON_OFF_Repeat_1Year</v>
      </c>
      <c r="H117" s="212" t="str">
        <f>IFERROR(__xludf.DUMMYFUNCTION("""COMPUTED_VALUE"""),"AL_ON_OFF_Repeat_1Year")</f>
        <v>AL_ON_OFF_Repeat_1Year</v>
      </c>
      <c r="I117" s="212" t="str">
        <f>IFERROR(__xludf.DUMMYFUNCTION("""COMPUTED_VALUE"""),"WA Undelivered")</f>
        <v>WA Undelivered</v>
      </c>
      <c r="J117" s="213">
        <f>IFERROR(__xludf.DUMMYFUNCTION("""COMPUTED_VALUE"""),13331.0)</f>
        <v>13331</v>
      </c>
      <c r="K117" s="213">
        <f>IFERROR(__xludf.DUMMYFUNCTION("""COMPUTED_VALUE"""),2340.0)</f>
        <v>2340</v>
      </c>
      <c r="L117" s="214">
        <f>IFERROR(__xludf.DUMMYFUNCTION("""COMPUTED_VALUE"""),0.175530717875628)</f>
        <v>0.1755307179</v>
      </c>
      <c r="M117" s="213">
        <f>IFERROR(__xludf.DUMMYFUNCTION("""COMPUTED_VALUE"""),513.0)</f>
        <v>513</v>
      </c>
      <c r="N117" s="214">
        <f>IFERROR(__xludf.DUMMYFUNCTION("""COMPUTED_VALUE"""),0.2192)</f>
        <v>0.2192</v>
      </c>
      <c r="O117" s="213">
        <f>IFERROR(__xludf.DUMMYFUNCTION("""COMPUTED_VALUE"""),27.0)</f>
        <v>27</v>
      </c>
      <c r="P117" s="213">
        <f>IFERROR(__xludf.DUMMYFUNCTION("""COMPUTED_VALUE"""),0.0)</f>
        <v>0</v>
      </c>
      <c r="Q117" s="214">
        <f>IFERROR(__xludf.DUMMYFUNCTION("""COMPUTED_VALUE"""),0.0115)</f>
        <v>0.0115</v>
      </c>
      <c r="R117" s="214">
        <f>IFERROR(__xludf.DUMMYFUNCTION("""COMPUTED_VALUE"""),0.0)</f>
        <v>0</v>
      </c>
      <c r="S117" s="213">
        <f>IFERROR(__xludf.DUMMYFUNCTION("""COMPUTED_VALUE"""),1.0)</f>
        <v>1</v>
      </c>
      <c r="T117" s="213">
        <f>IFERROR(__xludf.DUMMYFUNCTION("""COMPUTED_VALUE"""),4.0)</f>
        <v>4</v>
      </c>
      <c r="U117" s="213">
        <f>IFERROR(__xludf.DUMMYFUNCTION("""COMPUTED_VALUE"""),13999.0)</f>
        <v>13999</v>
      </c>
      <c r="V117" s="213" t="str">
        <f>IFERROR(__xludf.DUMMYFUNCTION("""COMPUTED_VALUE"""),"overall")</f>
        <v>overall</v>
      </c>
      <c r="W117" s="213" t="str">
        <f>IFERROR(__xludf.DUMMYFUNCTION("""COMPUTED_VALUE"""),"rcs")</f>
        <v>rcs</v>
      </c>
      <c r="X117" s="213" t="str">
        <f>IFERROR(__xludf.DUMMYFUNCTION("""COMPUTED_VALUE"""),"Repeat")</f>
        <v>Repeat</v>
      </c>
      <c r="Y117" s="213" t="str">
        <f>IFERROR(__xludf.DUMMYFUNCTION("""COMPUTED_VALUE"""),"30th April ")</f>
        <v>30th April </v>
      </c>
      <c r="Z117" s="213" t="str">
        <f>IFERROR(__xludf.DUMMYFUNCTION("""COMPUTED_VALUE"""),"69f3456ca36a432998489fc2")</f>
        <v>69f3456ca36a432998489fc2</v>
      </c>
      <c r="AA117" s="213"/>
      <c r="AB117" s="213"/>
      <c r="AC117" s="213"/>
      <c r="AD117" s="213"/>
      <c r="AE117" s="213"/>
      <c r="AF117" s="213"/>
      <c r="AG117" s="208"/>
      <c r="AH117" s="208"/>
      <c r="AI117" s="208"/>
      <c r="AJ117" s="208"/>
      <c r="AK117" s="208"/>
    </row>
    <row r="118">
      <c r="A118" s="209">
        <f>IFERROR(__xludf.DUMMYFUNCTION("""COMPUTED_VALUE"""),46142.0)</f>
        <v>46142</v>
      </c>
      <c r="B118" s="210">
        <f>IFERROR(__xludf.DUMMYFUNCTION("""COMPUTED_VALUE"""),0.7916666666678793)</f>
        <v>0.7916666667</v>
      </c>
      <c r="C118" s="211" t="str">
        <f>IFERROR(__xludf.DUMMYFUNCTION("""COMPUTED_VALUE"""),"Rcs")</f>
        <v>Rcs</v>
      </c>
      <c r="D118" s="211" t="str">
        <f>IFERROR(__xludf.DUMMYFUNCTION("""COMPUTED_VALUE"""),"Fallback campaign")</f>
        <v>Fallback campaign</v>
      </c>
      <c r="E118" s="211" t="str">
        <f>IFERROR(__xludf.DUMMYFUNCTION("""COMPUTED_VALUE"""),"Aldo")</f>
        <v>Aldo</v>
      </c>
      <c r="F118" s="211" t="str">
        <f>IFERROR(__xludf.DUMMYFUNCTION("""COMPUTED_VALUE"""),"MAY BOGO 2026 1-3 MAY - B1G1")</f>
        <v>MAY BOGO 2026 1-3 MAY - B1G1</v>
      </c>
      <c r="G118" s="211" t="str">
        <f>IFERROR(__xludf.DUMMYFUNCTION("""COMPUTED_VALUE"""),"3OTH April_AL_ON_OFF_Recent")</f>
        <v>3OTH April_AL_ON_OFF_Recent</v>
      </c>
      <c r="H118" s="212" t="str">
        <f>IFERROR(__xludf.DUMMYFUNCTION("""COMPUTED_VALUE"""),"AL_ON_OFF_Recent")</f>
        <v>AL_ON_OFF_Recent</v>
      </c>
      <c r="I118" s="212" t="str">
        <f>IFERROR(__xludf.DUMMYFUNCTION("""COMPUTED_VALUE"""),"WA Undelivered")</f>
        <v>WA Undelivered</v>
      </c>
      <c r="J118" s="213">
        <f>IFERROR(__xludf.DUMMYFUNCTION("""COMPUTED_VALUE"""),7222.0)</f>
        <v>7222</v>
      </c>
      <c r="K118" s="213">
        <f>IFERROR(__xludf.DUMMYFUNCTION("""COMPUTED_VALUE"""),1345.0)</f>
        <v>1345</v>
      </c>
      <c r="L118" s="214">
        <f>IFERROR(__xludf.DUMMYFUNCTION("""COMPUTED_VALUE"""),0.186236499584603)</f>
        <v>0.1862364996</v>
      </c>
      <c r="M118" s="213">
        <f>IFERROR(__xludf.DUMMYFUNCTION("""COMPUTED_VALUE"""),292.0)</f>
        <v>292</v>
      </c>
      <c r="N118" s="214">
        <f>IFERROR(__xludf.DUMMYFUNCTION("""COMPUTED_VALUE"""),0.2171)</f>
        <v>0.2171</v>
      </c>
      <c r="O118" s="213">
        <f>IFERROR(__xludf.DUMMYFUNCTION("""COMPUTED_VALUE"""),40.0)</f>
        <v>40</v>
      </c>
      <c r="P118" s="213">
        <f>IFERROR(__xludf.DUMMYFUNCTION("""COMPUTED_VALUE"""),0.0)</f>
        <v>0</v>
      </c>
      <c r="Q118" s="214">
        <f>IFERROR(__xludf.DUMMYFUNCTION("""COMPUTED_VALUE"""),0.032)</f>
        <v>0.032</v>
      </c>
      <c r="R118" s="214">
        <f>IFERROR(__xludf.DUMMYFUNCTION("""COMPUTED_VALUE"""),0.0)</f>
        <v>0</v>
      </c>
      <c r="S118" s="213">
        <f>IFERROR(__xludf.DUMMYFUNCTION("""COMPUTED_VALUE"""),2.0)</f>
        <v>2</v>
      </c>
      <c r="T118" s="213">
        <f>IFERROR(__xludf.DUMMYFUNCTION("""COMPUTED_VALUE"""),8.0)</f>
        <v>8</v>
      </c>
      <c r="U118" s="213">
        <f>IFERROR(__xludf.DUMMYFUNCTION("""COMPUTED_VALUE"""),32302.3)</f>
        <v>32302.3</v>
      </c>
      <c r="V118" s="213" t="str">
        <f>IFERROR(__xludf.DUMMYFUNCTION("""COMPUTED_VALUE"""),"overall")</f>
        <v>overall</v>
      </c>
      <c r="W118" s="213" t="str">
        <f>IFERROR(__xludf.DUMMYFUNCTION("""COMPUTED_VALUE"""),"rcs")</f>
        <v>rcs</v>
      </c>
      <c r="X118" s="213" t="str">
        <f>IFERROR(__xludf.DUMMYFUNCTION("""COMPUTED_VALUE"""),"Recent")</f>
        <v>Recent</v>
      </c>
      <c r="Y118" s="213" t="str">
        <f>IFERROR(__xludf.DUMMYFUNCTION("""COMPUTED_VALUE"""),"30th April ")</f>
        <v>30th April </v>
      </c>
      <c r="Z118" s="213" t="str">
        <f>IFERROR(__xludf.DUMMYFUNCTION("""COMPUTED_VALUE"""),"69f34608313ceec475d24d33")</f>
        <v>69f34608313ceec475d24d33</v>
      </c>
      <c r="AA118" s="213"/>
      <c r="AB118" s="213"/>
      <c r="AC118" s="213"/>
      <c r="AD118" s="213"/>
      <c r="AE118" s="213"/>
      <c r="AF118" s="213"/>
      <c r="AG118" s="208"/>
      <c r="AH118" s="208"/>
      <c r="AI118" s="208"/>
      <c r="AJ118" s="208"/>
      <c r="AK118" s="208"/>
    </row>
    <row r="119">
      <c r="A119" s="209">
        <f>IFERROR(__xludf.DUMMYFUNCTION("""COMPUTED_VALUE"""),46142.0)</f>
        <v>46142</v>
      </c>
      <c r="B119" s="210">
        <f>IFERROR(__xludf.DUMMYFUNCTION("""COMPUTED_VALUE"""),0.7916666666678793)</f>
        <v>0.7916666667</v>
      </c>
      <c r="C119" s="211" t="str">
        <f>IFERROR(__xludf.DUMMYFUNCTION("""COMPUTED_VALUE"""),"Rcs")</f>
        <v>Rcs</v>
      </c>
      <c r="D119" s="211" t="str">
        <f>IFERROR(__xludf.DUMMYFUNCTION("""COMPUTED_VALUE"""),"Fallback campaign")</f>
        <v>Fallback campaign</v>
      </c>
      <c r="E119" s="211" t="str">
        <f>IFERROR(__xludf.DUMMYFUNCTION("""COMPUTED_VALUE"""),"Aldo")</f>
        <v>Aldo</v>
      </c>
      <c r="F119" s="211" t="str">
        <f>IFERROR(__xludf.DUMMYFUNCTION("""COMPUTED_VALUE"""),"MAY BOGO 2026 1-3 MAY - B1G1")</f>
        <v>MAY BOGO 2026 1-3 MAY - B1G1</v>
      </c>
      <c r="G119" s="211" t="str">
        <f>IFERROR(__xludf.DUMMYFUNCTION("""COMPUTED_VALUE"""),"3OTH April_AL_ON_OFF_Disc_Buyers_50_perc")</f>
        <v>3OTH April_AL_ON_OFF_Disc_Buyers_50_perc</v>
      </c>
      <c r="H119" s="212" t="str">
        <f>IFERROR(__xludf.DUMMYFUNCTION("""COMPUTED_VALUE"""),"AL_ON_OFF_Disc_Buyers_50_perc")</f>
        <v>AL_ON_OFF_Disc_Buyers_50_perc</v>
      </c>
      <c r="I119" s="212" t="str">
        <f>IFERROR(__xludf.DUMMYFUNCTION("""COMPUTED_VALUE"""),"WA Undelivered")</f>
        <v>WA Undelivered</v>
      </c>
      <c r="J119" s="213">
        <f>IFERROR(__xludf.DUMMYFUNCTION("""COMPUTED_VALUE"""),10959.0)</f>
        <v>10959</v>
      </c>
      <c r="K119" s="213">
        <f>IFERROR(__xludf.DUMMYFUNCTION("""COMPUTED_VALUE"""),1956.0)</f>
        <v>1956</v>
      </c>
      <c r="L119" s="214">
        <f>IFERROR(__xludf.DUMMYFUNCTION("""COMPUTED_VALUE"""),0.178483438269915)</f>
        <v>0.1784834383</v>
      </c>
      <c r="M119" s="213">
        <f>IFERROR(__xludf.DUMMYFUNCTION("""COMPUTED_VALUE"""),363.0)</f>
        <v>363</v>
      </c>
      <c r="N119" s="214">
        <f>IFERROR(__xludf.DUMMYFUNCTION("""COMPUTED_VALUE"""),0.1856)</f>
        <v>0.1856</v>
      </c>
      <c r="O119" s="213">
        <f>IFERROR(__xludf.DUMMYFUNCTION("""COMPUTED_VALUE"""),19.0)</f>
        <v>19</v>
      </c>
      <c r="P119" s="213">
        <f>IFERROR(__xludf.DUMMYFUNCTION("""COMPUTED_VALUE"""),0.0)</f>
        <v>0</v>
      </c>
      <c r="Q119" s="214">
        <f>IFERROR(__xludf.DUMMYFUNCTION("""COMPUTED_VALUE"""),0.0102)</f>
        <v>0.0102</v>
      </c>
      <c r="R119" s="214">
        <f>IFERROR(__xludf.DUMMYFUNCTION("""COMPUTED_VALUE"""),0.0)</f>
        <v>0</v>
      </c>
      <c r="S119" s="213">
        <f>IFERROR(__xludf.DUMMYFUNCTION("""COMPUTED_VALUE"""),1.0)</f>
        <v>1</v>
      </c>
      <c r="T119" s="213">
        <f>IFERROR(__xludf.DUMMYFUNCTION("""COMPUTED_VALUE"""),4.0)</f>
        <v>4</v>
      </c>
      <c r="U119" s="213">
        <f>IFERROR(__xludf.DUMMYFUNCTION("""COMPUTED_VALUE"""),22798.0)</f>
        <v>22798</v>
      </c>
      <c r="V119" s="213" t="str">
        <f>IFERROR(__xludf.DUMMYFUNCTION("""COMPUTED_VALUE"""),"overall")</f>
        <v>overall</v>
      </c>
      <c r="W119" s="213" t="str">
        <f>IFERROR(__xludf.DUMMYFUNCTION("""COMPUTED_VALUE"""),"rcs")</f>
        <v>rcs</v>
      </c>
      <c r="X119" s="213" t="str">
        <f>IFERROR(__xludf.DUMMYFUNCTION("""COMPUTED_VALUE"""),"Discount Shoppers")</f>
        <v>Discount Shoppers</v>
      </c>
      <c r="Y119" s="213" t="str">
        <f>IFERROR(__xludf.DUMMYFUNCTION("""COMPUTED_VALUE"""),"30th April ")</f>
        <v>30th April </v>
      </c>
      <c r="Z119" s="213" t="str">
        <f>IFERROR(__xludf.DUMMYFUNCTION("""COMPUTED_VALUE"""),"69f346929b32ef26e5158425")</f>
        <v>69f346929b32ef26e5158425</v>
      </c>
      <c r="AA119" s="213"/>
      <c r="AB119" s="213"/>
      <c r="AC119" s="213"/>
      <c r="AD119" s="213"/>
      <c r="AE119" s="213"/>
      <c r="AF119" s="213"/>
      <c r="AG119" s="208"/>
      <c r="AH119" s="208"/>
      <c r="AI119" s="208"/>
      <c r="AJ119" s="208"/>
      <c r="AK119" s="208"/>
    </row>
    <row r="120">
      <c r="A120" s="209">
        <f>IFERROR(__xludf.DUMMYFUNCTION("""COMPUTED_VALUE"""),46142.0)</f>
        <v>46142</v>
      </c>
      <c r="B120" s="210">
        <f>IFERROR(__xludf.DUMMYFUNCTION("""COMPUTED_VALUE"""),0.7916666666678793)</f>
        <v>0.7916666667</v>
      </c>
      <c r="C120" s="211" t="str">
        <f>IFERROR(__xludf.DUMMYFUNCTION("""COMPUTED_VALUE"""),"Rcs")</f>
        <v>Rcs</v>
      </c>
      <c r="D120" s="211" t="str">
        <f>IFERROR(__xludf.DUMMYFUNCTION("""COMPUTED_VALUE"""),"Fallback campaign")</f>
        <v>Fallback campaign</v>
      </c>
      <c r="E120" s="211" t="str">
        <f>IFERROR(__xludf.DUMMYFUNCTION("""COMPUTED_VALUE"""),"Aldo")</f>
        <v>Aldo</v>
      </c>
      <c r="F120" s="211" t="str">
        <f>IFERROR(__xludf.DUMMYFUNCTION("""COMPUTED_VALUE"""),"MAY BOGO 2026 1-3 MAY - B1G1")</f>
        <v>MAY BOGO 2026 1-3 MAY - B1G1</v>
      </c>
      <c r="G120" s="211" t="str">
        <f>IFERROR(__xludf.DUMMYFUNCTION("""COMPUTED_VALUE"""),"3OTH April_AL_ON_OFF_UPT_Min_2")</f>
        <v>3OTH April_AL_ON_OFF_UPT_Min_2</v>
      </c>
      <c r="H120" s="212" t="str">
        <f>IFERROR(__xludf.DUMMYFUNCTION("""COMPUTED_VALUE"""),"AL_ON_OFF_UPT_Min_2")</f>
        <v>AL_ON_OFF_UPT_Min_2</v>
      </c>
      <c r="I120" s="212" t="str">
        <f>IFERROR(__xludf.DUMMYFUNCTION("""COMPUTED_VALUE"""),"WA Undelivered")</f>
        <v>WA Undelivered</v>
      </c>
      <c r="J120" s="213">
        <f>IFERROR(__xludf.DUMMYFUNCTION("""COMPUTED_VALUE"""),84096.0)</f>
        <v>84096</v>
      </c>
      <c r="K120" s="213">
        <f>IFERROR(__xludf.DUMMYFUNCTION("""COMPUTED_VALUE"""),14295.0)</f>
        <v>14295</v>
      </c>
      <c r="L120" s="214">
        <f>IFERROR(__xludf.DUMMYFUNCTION("""COMPUTED_VALUE"""),0.169984303652968)</f>
        <v>0.1699843037</v>
      </c>
      <c r="M120" s="213">
        <f>IFERROR(__xludf.DUMMYFUNCTION("""COMPUTED_VALUE"""),2820.0)</f>
        <v>2820</v>
      </c>
      <c r="N120" s="214">
        <f>IFERROR(__xludf.DUMMYFUNCTION("""COMPUTED_VALUE"""),0.1973)</f>
        <v>0.1973</v>
      </c>
      <c r="O120" s="213">
        <f>IFERROR(__xludf.DUMMYFUNCTION("""COMPUTED_VALUE"""),116.0)</f>
        <v>116</v>
      </c>
      <c r="P120" s="213">
        <f>IFERROR(__xludf.DUMMYFUNCTION("""COMPUTED_VALUE"""),0.0)</f>
        <v>0</v>
      </c>
      <c r="Q120" s="214">
        <f>IFERROR(__xludf.DUMMYFUNCTION("""COMPUTED_VALUE"""),0.0089)</f>
        <v>0.0089</v>
      </c>
      <c r="R120" s="214">
        <f>IFERROR(__xludf.DUMMYFUNCTION("""COMPUTED_VALUE"""),0.0)</f>
        <v>0</v>
      </c>
      <c r="S120" s="213">
        <f>IFERROR(__xludf.DUMMYFUNCTION("""COMPUTED_VALUE"""),2.0)</f>
        <v>2</v>
      </c>
      <c r="T120" s="213">
        <f>IFERROR(__xludf.DUMMYFUNCTION("""COMPUTED_VALUE"""),13.0)</f>
        <v>13</v>
      </c>
      <c r="U120" s="213">
        <f>IFERROR(__xludf.DUMMYFUNCTION("""COMPUTED_VALUE"""),26998.0)</f>
        <v>26998</v>
      </c>
      <c r="V120" s="213" t="str">
        <f>IFERROR(__xludf.DUMMYFUNCTION("""COMPUTED_VALUE"""),"overall")</f>
        <v>overall</v>
      </c>
      <c r="W120" s="213" t="str">
        <f>IFERROR(__xludf.DUMMYFUNCTION("""COMPUTED_VALUE"""),"rcs")</f>
        <v>rcs</v>
      </c>
      <c r="X120" s="213" t="str">
        <f>IFERROR(__xludf.DUMMYFUNCTION("""COMPUTED_VALUE"""),"UPT atleast 2")</f>
        <v>UPT atleast 2</v>
      </c>
      <c r="Y120" s="213" t="str">
        <f>IFERROR(__xludf.DUMMYFUNCTION("""COMPUTED_VALUE"""),"30th April ")</f>
        <v>30th April </v>
      </c>
      <c r="Z120" s="213" t="str">
        <f>IFERROR(__xludf.DUMMYFUNCTION("""COMPUTED_VALUE"""),"69f346fb5a966da8614a42a4")</f>
        <v>69f346fb5a966da8614a42a4</v>
      </c>
      <c r="AA120" s="213"/>
      <c r="AB120" s="213"/>
      <c r="AC120" s="213"/>
      <c r="AD120" s="213"/>
      <c r="AE120" s="213"/>
      <c r="AF120" s="213"/>
      <c r="AG120" s="208"/>
      <c r="AH120" s="208"/>
      <c r="AI120" s="208"/>
      <c r="AJ120" s="208"/>
      <c r="AK120" s="208"/>
    </row>
    <row r="121">
      <c r="A121" s="209">
        <f>IFERROR(__xludf.DUMMYFUNCTION("""COMPUTED_VALUE"""),46143.0)</f>
        <v>46143</v>
      </c>
      <c r="B121" s="210">
        <f>IFERROR(__xludf.DUMMYFUNCTION("""COMPUTED_VALUE"""),0.375)</f>
        <v>0.375</v>
      </c>
      <c r="C121" s="211" t="str">
        <f>IFERROR(__xludf.DUMMYFUNCTION("""COMPUTED_VALUE"""),"Whatsapp")</f>
        <v>Whatsapp</v>
      </c>
      <c r="D121" s="211" t="str">
        <f>IFERROR(__xludf.DUMMYFUNCTION("""COMPUTED_VALUE"""),"Promtional")</f>
        <v>Promtional</v>
      </c>
      <c r="E121" s="211" t="str">
        <f>IFERROR(__xludf.DUMMYFUNCTION("""COMPUTED_VALUE"""),"Aldo")</f>
        <v>Aldo</v>
      </c>
      <c r="F121" s="211" t="str">
        <f>IFERROR(__xludf.DUMMYFUNCTION("""COMPUTED_VALUE"""),"MAY BOGO 2026 1-3 MAY - B1G1")</f>
        <v>MAY BOGO 2026 1-3 MAY - B1G1</v>
      </c>
      <c r="G121" s="211" t="str">
        <f>IFERROR(__xludf.DUMMYFUNCTION("""COMPUTED_VALUE"""),"WA_1stMay_Bogo_AL_ON_OFF_UPT_Min_2")</f>
        <v>WA_1stMay_Bogo_AL_ON_OFF_UPT_Min_2</v>
      </c>
      <c r="H121" s="212" t="str">
        <f>IFERROR(__xludf.DUMMYFUNCTION("""COMPUTED_VALUE"""),"AL_ON_OFF_UPT_Min_2")</f>
        <v>AL_ON_OFF_UPT_Min_2</v>
      </c>
      <c r="I121" s="212" t="str">
        <f>IFERROR(__xludf.DUMMYFUNCTION("""COMPUTED_VALUE"""),"All customers who have purchased PREDOM with unit per transaction of at least 2")</f>
        <v>All customers who have purchased PREDOM with unit per transaction of at least 2</v>
      </c>
      <c r="J121" s="213">
        <f>IFERROR(__xludf.DUMMYFUNCTION("""COMPUTED_VALUE"""),159035.0)</f>
        <v>159035</v>
      </c>
      <c r="K121" s="213">
        <f>IFERROR(__xludf.DUMMYFUNCTION("""COMPUTED_VALUE"""),78806.0)</f>
        <v>78806</v>
      </c>
      <c r="L121" s="214">
        <f>IFERROR(__xludf.DUMMYFUNCTION("""COMPUTED_VALUE"""),0.4955)</f>
        <v>0.4955</v>
      </c>
      <c r="M121" s="213">
        <f>IFERROR(__xludf.DUMMYFUNCTION("""COMPUTED_VALUE"""),28331.0)</f>
        <v>28331</v>
      </c>
      <c r="N121" s="214">
        <f>IFERROR(__xludf.DUMMYFUNCTION("""COMPUTED_VALUE"""),0.3595)</f>
        <v>0.3595</v>
      </c>
      <c r="O121" s="213">
        <f>IFERROR(__xludf.DUMMYFUNCTION("""COMPUTED_VALUE"""),4196.0)</f>
        <v>4196</v>
      </c>
      <c r="P121" s="213">
        <f>IFERROR(__xludf.DUMMYFUNCTION("""COMPUTED_VALUE"""),3940.0)</f>
        <v>3940</v>
      </c>
      <c r="Q121" s="214">
        <f>IFERROR(__xludf.DUMMYFUNCTION("""COMPUTED_VALUE"""),0.05)</f>
        <v>0.05</v>
      </c>
      <c r="R121" s="214">
        <f>IFERROR(__xludf.DUMMYFUNCTION("""COMPUTED_VALUE"""),0.1391)</f>
        <v>0.1391</v>
      </c>
      <c r="S121" s="213">
        <f>IFERROR(__xludf.DUMMYFUNCTION("""COMPUTED_VALUE"""),15.0)</f>
        <v>15</v>
      </c>
      <c r="T121" s="213">
        <f>IFERROR(__xludf.DUMMYFUNCTION("""COMPUTED_VALUE"""),48.0)</f>
        <v>48</v>
      </c>
      <c r="U121" s="213">
        <f>IFERROR(__xludf.DUMMYFUNCTION("""COMPUTED_VALUE"""),194961.1)</f>
        <v>194961.1</v>
      </c>
      <c r="V121" s="213" t="str">
        <f>IFERROR(__xludf.DUMMYFUNCTION("""COMPUTED_VALUE"""),"overall")</f>
        <v>overall</v>
      </c>
      <c r="W121" s="213" t="str">
        <f>IFERROR(__xludf.DUMMYFUNCTION("""COMPUTED_VALUE"""),"simple")</f>
        <v>simple</v>
      </c>
      <c r="X121" s="213" t="str">
        <f>IFERROR(__xludf.DUMMYFUNCTION("""COMPUTED_VALUE"""),"UPT atleast 2")</f>
        <v>UPT atleast 2</v>
      </c>
      <c r="Y121" s="213" t="str">
        <f>IFERROR(__xludf.DUMMYFUNCTION("""COMPUTED_VALUE"""),"1st May - 2nd May 2026")</f>
        <v>1st May - 2nd May 2026</v>
      </c>
      <c r="Z121" s="213" t="str">
        <f>IFERROR(__xludf.DUMMYFUNCTION("""COMPUTED_VALUE"""),"69f33b83f96c24110b6d6fcb")</f>
        <v>69f33b83f96c24110b6d6fcb</v>
      </c>
      <c r="AA121" s="213"/>
      <c r="AB121" s="213"/>
      <c r="AC121" s="213"/>
      <c r="AD121" s="213"/>
      <c r="AE121" s="213"/>
      <c r="AF121" s="213"/>
      <c r="AG121" s="208"/>
      <c r="AH121" s="208"/>
      <c r="AI121" s="208"/>
      <c r="AJ121" s="208"/>
      <c r="AK121" s="208"/>
    </row>
    <row r="122">
      <c r="A122" s="209">
        <f>IFERROR(__xludf.DUMMYFUNCTION("""COMPUTED_VALUE"""),46143.0)</f>
        <v>46143</v>
      </c>
      <c r="B122" s="210">
        <f>IFERROR(__xludf.DUMMYFUNCTION("""COMPUTED_VALUE"""),0.3541666666678793)</f>
        <v>0.3541666667</v>
      </c>
      <c r="C122" s="211" t="str">
        <f>IFERROR(__xludf.DUMMYFUNCTION("""COMPUTED_VALUE"""),"Whatsapp")</f>
        <v>Whatsapp</v>
      </c>
      <c r="D122" s="211" t="str">
        <f>IFERROR(__xludf.DUMMYFUNCTION("""COMPUTED_VALUE"""),"Promtional")</f>
        <v>Promtional</v>
      </c>
      <c r="E122" s="211" t="str">
        <f>IFERROR(__xludf.DUMMYFUNCTION("""COMPUTED_VALUE"""),"Aldo")</f>
        <v>Aldo</v>
      </c>
      <c r="F122" s="211" t="str">
        <f>IFERROR(__xludf.DUMMYFUNCTION("""COMPUTED_VALUE"""),"MAY BOGO 2026 1-3 MAY - B1G1")</f>
        <v>MAY BOGO 2026 1-3 MAY - B1G1</v>
      </c>
      <c r="G122" s="211" t="str">
        <f>IFERROR(__xludf.DUMMYFUNCTION("""COMPUTED_VALUE"""),"WA_1stMay_Bogo_AL_ON_ATC_90D")</f>
        <v>WA_1stMay_Bogo_AL_ON_ATC_90D</v>
      </c>
      <c r="H122" s="212" t="str">
        <f>IFERROR(__xludf.DUMMYFUNCTION("""COMPUTED_VALUE"""),"AL_ON_ATC_90D")</f>
        <v>AL_ON_ATC_90D</v>
      </c>
      <c r="I122" s="212" t="str">
        <f>IFERROR(__xludf.DUMMYFUNCTION("""COMPUTED_VALUE"""),"All customers who have added to cart at least 2 times in the last 90 days but have not purchased")</f>
        <v>All customers who have added to cart at least 2 times in the last 90 days but have not purchased</v>
      </c>
      <c r="J122" s="213">
        <f>IFERROR(__xludf.DUMMYFUNCTION("""COMPUTED_VALUE"""),1805.0)</f>
        <v>1805</v>
      </c>
      <c r="K122" s="213">
        <f>IFERROR(__xludf.DUMMYFUNCTION("""COMPUTED_VALUE"""),1020.0)</f>
        <v>1020</v>
      </c>
      <c r="L122" s="214">
        <f>IFERROR(__xludf.DUMMYFUNCTION("""COMPUTED_VALUE"""),0.5651)</f>
        <v>0.5651</v>
      </c>
      <c r="M122" s="213">
        <f>IFERROR(__xludf.DUMMYFUNCTION("""COMPUTED_VALUE"""),467.0)</f>
        <v>467</v>
      </c>
      <c r="N122" s="214">
        <f>IFERROR(__xludf.DUMMYFUNCTION("""COMPUTED_VALUE"""),0.4578)</f>
        <v>0.4578</v>
      </c>
      <c r="O122" s="213">
        <f>IFERROR(__xludf.DUMMYFUNCTION("""COMPUTED_VALUE"""),95.0)</f>
        <v>95</v>
      </c>
      <c r="P122" s="213">
        <f>IFERROR(__xludf.DUMMYFUNCTION("""COMPUTED_VALUE"""),81.0)</f>
        <v>81</v>
      </c>
      <c r="Q122" s="214">
        <f>IFERROR(__xludf.DUMMYFUNCTION("""COMPUTED_VALUE"""),0.0794)</f>
        <v>0.0794</v>
      </c>
      <c r="R122" s="214">
        <f>IFERROR(__xludf.DUMMYFUNCTION("""COMPUTED_VALUE"""),0.1734)</f>
        <v>0.1734</v>
      </c>
      <c r="S122" s="213">
        <f>IFERROR(__xludf.DUMMYFUNCTION("""COMPUTED_VALUE"""),21.0)</f>
        <v>21</v>
      </c>
      <c r="T122" s="213">
        <f>IFERROR(__xludf.DUMMYFUNCTION("""COMPUTED_VALUE"""),122.0)</f>
        <v>122</v>
      </c>
      <c r="U122" s="213">
        <f>IFERROR(__xludf.DUMMYFUNCTION("""COMPUTED_VALUE"""),312532.2)</f>
        <v>312532.2</v>
      </c>
      <c r="V122" s="213" t="str">
        <f>IFERROR(__xludf.DUMMYFUNCTION("""COMPUTED_VALUE"""),"online")</f>
        <v>online</v>
      </c>
      <c r="W122" s="213" t="str">
        <f>IFERROR(__xludf.DUMMYFUNCTION("""COMPUTED_VALUE"""),"simple")</f>
        <v>simple</v>
      </c>
      <c r="X122" s="213" t="str">
        <f>IFERROR(__xludf.DUMMYFUNCTION("""COMPUTED_VALUE"""),"Add to Cart")</f>
        <v>Add to Cart</v>
      </c>
      <c r="Y122" s="213" t="str">
        <f>IFERROR(__xludf.DUMMYFUNCTION("""COMPUTED_VALUE"""),"1st May - 2nd May 2026")</f>
        <v>1st May - 2nd May 2026</v>
      </c>
      <c r="Z122" s="213" t="str">
        <f>IFERROR(__xludf.DUMMYFUNCTION("""COMPUTED_VALUE"""),"69f354c2159b7d33bacef9db")</f>
        <v>69f354c2159b7d33bacef9db</v>
      </c>
      <c r="AA122" s="213"/>
      <c r="AB122" s="213"/>
      <c r="AC122" s="213"/>
      <c r="AD122" s="213"/>
      <c r="AE122" s="213"/>
      <c r="AF122" s="213"/>
      <c r="AG122" s="208"/>
      <c r="AH122" s="208"/>
      <c r="AI122" s="208"/>
      <c r="AJ122" s="208"/>
      <c r="AK122" s="208"/>
    </row>
    <row r="123">
      <c r="A123" s="209">
        <f>IFERROR(__xludf.DUMMYFUNCTION("""COMPUTED_VALUE"""),46143.0)</f>
        <v>46143</v>
      </c>
      <c r="B123" s="210">
        <f>IFERROR(__xludf.DUMMYFUNCTION("""COMPUTED_VALUE"""),0.3541666666678793)</f>
        <v>0.3541666667</v>
      </c>
      <c r="C123" s="211" t="str">
        <f>IFERROR(__xludf.DUMMYFUNCTION("""COMPUTED_VALUE"""),"Whatsapp")</f>
        <v>Whatsapp</v>
      </c>
      <c r="D123" s="211" t="str">
        <f>IFERROR(__xludf.DUMMYFUNCTION("""COMPUTED_VALUE"""),"Promtional")</f>
        <v>Promtional</v>
      </c>
      <c r="E123" s="211" t="str">
        <f>IFERROR(__xludf.DUMMYFUNCTION("""COMPUTED_VALUE"""),"Aldo")</f>
        <v>Aldo</v>
      </c>
      <c r="F123" s="211" t="str">
        <f>IFERROR(__xludf.DUMMYFUNCTION("""COMPUTED_VALUE"""),"MAY BOGO 2026 1-3 MAY - B1G1")</f>
        <v>MAY BOGO 2026 1-3 MAY - B1G1</v>
      </c>
      <c r="G123" s="211" t="str">
        <f>IFERROR(__xludf.DUMMYFUNCTION("""COMPUTED_VALUE"""),"WA_1stMay_Bogo_AL_ON_View_Item")</f>
        <v>WA_1stMay_Bogo_AL_ON_View_Item</v>
      </c>
      <c r="H123" s="212" t="str">
        <f>IFERROR(__xludf.DUMMYFUNCTION("""COMPUTED_VALUE"""),"AL_ON_View_Item")</f>
        <v>AL_ON_View_Item</v>
      </c>
      <c r="I123" s="212" t="str">
        <f>IFERROR(__xludf.DUMMYFUNCTION("""COMPUTED_VALUE"""),"All customers who have Viewed Item at least 5 times in the last 90 days but have not purchased")</f>
        <v>All customers who have Viewed Item at least 5 times in the last 90 days but have not purchased</v>
      </c>
      <c r="J123" s="213">
        <f>IFERROR(__xludf.DUMMYFUNCTION("""COMPUTED_VALUE"""),1847.0)</f>
        <v>1847</v>
      </c>
      <c r="K123" s="213">
        <f>IFERROR(__xludf.DUMMYFUNCTION("""COMPUTED_VALUE"""),1047.0)</f>
        <v>1047</v>
      </c>
      <c r="L123" s="214">
        <f>IFERROR(__xludf.DUMMYFUNCTION("""COMPUTED_VALUE"""),0.5669)</f>
        <v>0.5669</v>
      </c>
      <c r="M123" s="213">
        <f>IFERROR(__xludf.DUMMYFUNCTION("""COMPUTED_VALUE"""),470.0)</f>
        <v>470</v>
      </c>
      <c r="N123" s="214">
        <f>IFERROR(__xludf.DUMMYFUNCTION("""COMPUTED_VALUE"""),0.4489)</f>
        <v>0.4489</v>
      </c>
      <c r="O123" s="213">
        <f>IFERROR(__xludf.DUMMYFUNCTION("""COMPUTED_VALUE"""),153.0)</f>
        <v>153</v>
      </c>
      <c r="P123" s="213">
        <f>IFERROR(__xludf.DUMMYFUNCTION("""COMPUTED_VALUE"""),133.0)</f>
        <v>133</v>
      </c>
      <c r="Q123" s="214">
        <f>IFERROR(__xludf.DUMMYFUNCTION("""COMPUTED_VALUE"""),0.127)</f>
        <v>0.127</v>
      </c>
      <c r="R123" s="214">
        <f>IFERROR(__xludf.DUMMYFUNCTION("""COMPUTED_VALUE"""),0.283)</f>
        <v>0.283</v>
      </c>
      <c r="S123" s="213">
        <f>IFERROR(__xludf.DUMMYFUNCTION("""COMPUTED_VALUE"""),10.0)</f>
        <v>10</v>
      </c>
      <c r="T123" s="213">
        <f>IFERROR(__xludf.DUMMYFUNCTION("""COMPUTED_VALUE"""),56.0)</f>
        <v>56</v>
      </c>
      <c r="U123" s="213">
        <f>IFERROR(__xludf.DUMMYFUNCTION("""COMPUTED_VALUE"""),131990.0)</f>
        <v>131990</v>
      </c>
      <c r="V123" s="213" t="str">
        <f>IFERROR(__xludf.DUMMYFUNCTION("""COMPUTED_VALUE"""),"online")</f>
        <v>online</v>
      </c>
      <c r="W123" s="213" t="str">
        <f>IFERROR(__xludf.DUMMYFUNCTION("""COMPUTED_VALUE"""),"simple")</f>
        <v>simple</v>
      </c>
      <c r="X123" s="213" t="str">
        <f>IFERROR(__xludf.DUMMYFUNCTION("""COMPUTED_VALUE"""),"View Item")</f>
        <v>View Item</v>
      </c>
      <c r="Y123" s="213" t="str">
        <f>IFERROR(__xludf.DUMMYFUNCTION("""COMPUTED_VALUE"""),"1st May - 2nd May 2026")</f>
        <v>1st May - 2nd May 2026</v>
      </c>
      <c r="Z123" s="213" t="str">
        <f>IFERROR(__xludf.DUMMYFUNCTION("""COMPUTED_VALUE"""),"69f35501806cf266b38ab034")</f>
        <v>69f35501806cf266b38ab034</v>
      </c>
      <c r="AA123" s="213"/>
      <c r="AB123" s="213"/>
      <c r="AC123" s="213"/>
      <c r="AD123" s="213"/>
      <c r="AE123" s="213"/>
      <c r="AF123" s="213"/>
      <c r="AG123" s="208"/>
      <c r="AH123" s="208"/>
      <c r="AI123" s="208"/>
      <c r="AJ123" s="208"/>
      <c r="AK123" s="208"/>
    </row>
    <row r="124">
      <c r="A124" s="209">
        <f>IFERROR(__xludf.DUMMYFUNCTION("""COMPUTED_VALUE"""),46143.0)</f>
        <v>46143</v>
      </c>
      <c r="B124" s="210">
        <f>IFERROR(__xludf.DUMMYFUNCTION("""COMPUTED_VALUE"""),0.3541666666678793)</f>
        <v>0.3541666667</v>
      </c>
      <c r="C124" s="211" t="str">
        <f>IFERROR(__xludf.DUMMYFUNCTION("""COMPUTED_VALUE"""),"Whatsapp")</f>
        <v>Whatsapp</v>
      </c>
      <c r="D124" s="211" t="str">
        <f>IFERROR(__xludf.DUMMYFUNCTION("""COMPUTED_VALUE"""),"Promtional")</f>
        <v>Promtional</v>
      </c>
      <c r="E124" s="211" t="str">
        <f>IFERROR(__xludf.DUMMYFUNCTION("""COMPUTED_VALUE"""),"Aldo")</f>
        <v>Aldo</v>
      </c>
      <c r="F124" s="211" t="str">
        <f>IFERROR(__xludf.DUMMYFUNCTION("""COMPUTED_VALUE"""),"MAY BOGO 2026 1-3 MAY - B1G1")</f>
        <v>MAY BOGO 2026 1-3 MAY - B1G1</v>
      </c>
      <c r="G124" s="211" t="str">
        <f>IFERROR(__xludf.DUMMYFUNCTION("""COMPUTED_VALUE"""),"WA_1stMay_Bogo_AL_ON_SignUp_Form")</f>
        <v>WA_1stMay_Bogo_AL_ON_SignUp_Form</v>
      </c>
      <c r="H124" s="212" t="str">
        <f>IFERROR(__xludf.DUMMYFUNCTION("""COMPUTED_VALUE"""),"AL_ON_SignUp_Form")</f>
        <v>AL_ON_SignUp_Form</v>
      </c>
      <c r="I124" s="212" t="str">
        <f>IFERROR(__xludf.DUMMYFUNCTION("""COMPUTED_VALUE"""),"Customers who have completed the sign up on site form")</f>
        <v>Customers who have completed the sign up on site form</v>
      </c>
      <c r="J124" s="213">
        <f>IFERROR(__xludf.DUMMYFUNCTION("""COMPUTED_VALUE"""),1559.0)</f>
        <v>1559</v>
      </c>
      <c r="K124" s="213">
        <f>IFERROR(__xludf.DUMMYFUNCTION("""COMPUTED_VALUE"""),866.0)</f>
        <v>866</v>
      </c>
      <c r="L124" s="214">
        <f>IFERROR(__xludf.DUMMYFUNCTION("""COMPUTED_VALUE"""),0.5555)</f>
        <v>0.5555</v>
      </c>
      <c r="M124" s="213">
        <f>IFERROR(__xludf.DUMMYFUNCTION("""COMPUTED_VALUE"""),393.0)</f>
        <v>393</v>
      </c>
      <c r="N124" s="214">
        <f>IFERROR(__xludf.DUMMYFUNCTION("""COMPUTED_VALUE"""),0.4538)</f>
        <v>0.4538</v>
      </c>
      <c r="O124" s="213">
        <f>IFERROR(__xludf.DUMMYFUNCTION("""COMPUTED_VALUE"""),94.0)</f>
        <v>94</v>
      </c>
      <c r="P124" s="213">
        <f>IFERROR(__xludf.DUMMYFUNCTION("""COMPUTED_VALUE"""),88.0)</f>
        <v>88</v>
      </c>
      <c r="Q124" s="214">
        <f>IFERROR(__xludf.DUMMYFUNCTION("""COMPUTED_VALUE"""),0.1016)</f>
        <v>0.1016</v>
      </c>
      <c r="R124" s="214">
        <f>IFERROR(__xludf.DUMMYFUNCTION("""COMPUTED_VALUE"""),0.2239)</f>
        <v>0.2239</v>
      </c>
      <c r="S124" s="213">
        <f>IFERROR(__xludf.DUMMYFUNCTION("""COMPUTED_VALUE"""),6.0)</f>
        <v>6</v>
      </c>
      <c r="T124" s="213">
        <f>IFERROR(__xludf.DUMMYFUNCTION("""COMPUTED_VALUE"""),34.0)</f>
        <v>34</v>
      </c>
      <c r="U124" s="213">
        <f>IFERROR(__xludf.DUMMYFUNCTION("""COMPUTED_VALUE"""),60144.0)</f>
        <v>60144</v>
      </c>
      <c r="V124" s="213" t="str">
        <f>IFERROR(__xludf.DUMMYFUNCTION("""COMPUTED_VALUE"""),"online")</f>
        <v>online</v>
      </c>
      <c r="W124" s="213" t="str">
        <f>IFERROR(__xludf.DUMMYFUNCTION("""COMPUTED_VALUE"""),"simple")</f>
        <v>simple</v>
      </c>
      <c r="X124" s="213" t="str">
        <f>IFERROR(__xludf.DUMMYFUNCTION("""COMPUTED_VALUE"""),"Sign Up Form")</f>
        <v>Sign Up Form</v>
      </c>
      <c r="Y124" s="213" t="str">
        <f>IFERROR(__xludf.DUMMYFUNCTION("""COMPUTED_VALUE"""),"1st May - 2nd May 2026")</f>
        <v>1st May - 2nd May 2026</v>
      </c>
      <c r="Z124" s="213" t="str">
        <f>IFERROR(__xludf.DUMMYFUNCTION("""COMPUTED_VALUE"""),"69f3553589cf64798910ce13")</f>
        <v>69f3553589cf64798910ce13</v>
      </c>
      <c r="AA124" s="213"/>
      <c r="AB124" s="213"/>
      <c r="AC124" s="213"/>
      <c r="AD124" s="213"/>
      <c r="AE124" s="213"/>
      <c r="AF124" s="213"/>
      <c r="AG124" s="208"/>
      <c r="AH124" s="208"/>
      <c r="AI124" s="208"/>
      <c r="AJ124" s="208"/>
      <c r="AK124" s="208"/>
    </row>
    <row r="125">
      <c r="A125" s="209">
        <f>IFERROR(__xludf.DUMMYFUNCTION("""COMPUTED_VALUE"""),46143.0)</f>
        <v>46143</v>
      </c>
      <c r="B125" s="210">
        <f>IFERROR(__xludf.DUMMYFUNCTION("""COMPUTED_VALUE"""),0.35763888889050577)</f>
        <v>0.3576388889</v>
      </c>
      <c r="C125" s="211" t="str">
        <f>IFERROR(__xludf.DUMMYFUNCTION("""COMPUTED_VALUE"""),"Whatsapp")</f>
        <v>Whatsapp</v>
      </c>
      <c r="D125" s="211" t="str">
        <f>IFERROR(__xludf.DUMMYFUNCTION("""COMPUTED_VALUE"""),"Promtional")</f>
        <v>Promtional</v>
      </c>
      <c r="E125" s="211" t="str">
        <f>IFERROR(__xludf.DUMMYFUNCTION("""COMPUTED_VALUE"""),"Aldo")</f>
        <v>Aldo</v>
      </c>
      <c r="F125" s="211" t="str">
        <f>IFERROR(__xludf.DUMMYFUNCTION("""COMPUTED_VALUE"""),"MAY BOGO 2026 1-3 MAY - B1G1")</f>
        <v>MAY BOGO 2026 1-3 MAY - B1G1</v>
      </c>
      <c r="G125" s="211" t="str">
        <f>IFERROR(__xludf.DUMMYFUNCTION("""COMPUTED_VALUE"""),"WA_1stMay_Bogo_AL_ON_Cart_Exit_Intent")</f>
        <v>WA_1stMay_Bogo_AL_ON_Cart_Exit_Intent</v>
      </c>
      <c r="H125" s="212" t="str">
        <f>IFERROR(__xludf.DUMMYFUNCTION("""COMPUTED_VALUE"""),"AL_ON_Cart_Exit_Intent")</f>
        <v>AL_ON_Cart_Exit_Intent</v>
      </c>
      <c r="I125" s="212" t="str">
        <f>IFERROR(__xludf.DUMMYFUNCTION("""COMPUTED_VALUE"""),"Customers who have completed the exit intent on site form")</f>
        <v>Customers who have completed the exit intent on site form</v>
      </c>
      <c r="J125" s="213">
        <f>IFERROR(__xludf.DUMMYFUNCTION("""COMPUTED_VALUE"""),21047.0)</f>
        <v>21047</v>
      </c>
      <c r="K125" s="213">
        <f>IFERROR(__xludf.DUMMYFUNCTION("""COMPUTED_VALUE"""),10534.0)</f>
        <v>10534</v>
      </c>
      <c r="L125" s="214">
        <f>IFERROR(__xludf.DUMMYFUNCTION("""COMPUTED_VALUE"""),0.5004)</f>
        <v>0.5004</v>
      </c>
      <c r="M125" s="213">
        <f>IFERROR(__xludf.DUMMYFUNCTION("""COMPUTED_VALUE"""),4693.0)</f>
        <v>4693</v>
      </c>
      <c r="N125" s="214">
        <f>IFERROR(__xludf.DUMMYFUNCTION("""COMPUTED_VALUE"""),0.4456)</f>
        <v>0.4456</v>
      </c>
      <c r="O125" s="213">
        <f>IFERROR(__xludf.DUMMYFUNCTION("""COMPUTED_VALUE"""),1412.0)</f>
        <v>1412</v>
      </c>
      <c r="P125" s="213">
        <f>IFERROR(__xludf.DUMMYFUNCTION("""COMPUTED_VALUE"""),1312.0)</f>
        <v>1312</v>
      </c>
      <c r="Q125" s="214">
        <f>IFERROR(__xludf.DUMMYFUNCTION("""COMPUTED_VALUE"""),0.1246)</f>
        <v>0.1246</v>
      </c>
      <c r="R125" s="214">
        <f>IFERROR(__xludf.DUMMYFUNCTION("""COMPUTED_VALUE"""),0.2796)</f>
        <v>0.2796</v>
      </c>
      <c r="S125" s="213">
        <f>IFERROR(__xludf.DUMMYFUNCTION("""COMPUTED_VALUE"""),15.0)</f>
        <v>15</v>
      </c>
      <c r="T125" s="213">
        <f>IFERROR(__xludf.DUMMYFUNCTION("""COMPUTED_VALUE"""),110.0)</f>
        <v>110</v>
      </c>
      <c r="U125" s="213">
        <f>IFERROR(__xludf.DUMMYFUNCTION("""COMPUTED_VALUE"""),183996.3)</f>
        <v>183996.3</v>
      </c>
      <c r="V125" s="213" t="str">
        <f>IFERROR(__xludf.DUMMYFUNCTION("""COMPUTED_VALUE"""),"online")</f>
        <v>online</v>
      </c>
      <c r="W125" s="213" t="str">
        <f>IFERROR(__xludf.DUMMYFUNCTION("""COMPUTED_VALUE"""),"simple")</f>
        <v>simple</v>
      </c>
      <c r="X125" s="213" t="str">
        <f>IFERROR(__xludf.DUMMYFUNCTION("""COMPUTED_VALUE"""),"Exit Intent Form")</f>
        <v>Exit Intent Form</v>
      </c>
      <c r="Y125" s="213" t="str">
        <f>IFERROR(__xludf.DUMMYFUNCTION("""COMPUTED_VALUE"""),"1st May - 2nd May 2026")</f>
        <v>1st May - 2nd May 2026</v>
      </c>
      <c r="Z125" s="213" t="str">
        <f>IFERROR(__xludf.DUMMYFUNCTION("""COMPUTED_VALUE"""),"69f35568708981abe0fc22a4")</f>
        <v>69f35568708981abe0fc22a4</v>
      </c>
      <c r="AA125" s="213"/>
      <c r="AB125" s="213"/>
      <c r="AC125" s="213"/>
      <c r="AD125" s="213"/>
      <c r="AE125" s="213"/>
      <c r="AF125" s="213"/>
      <c r="AG125" s="208"/>
      <c r="AH125" s="208"/>
      <c r="AI125" s="208"/>
      <c r="AJ125" s="208"/>
      <c r="AK125" s="208"/>
    </row>
    <row r="126">
      <c r="A126" s="209">
        <f>IFERROR(__xludf.DUMMYFUNCTION("""COMPUTED_VALUE"""),46143.0)</f>
        <v>46143</v>
      </c>
      <c r="B126" s="210">
        <f>IFERROR(__xludf.DUMMYFUNCTION("""COMPUTED_VALUE"""),0.36111111110949423)</f>
        <v>0.3611111111</v>
      </c>
      <c r="C126" s="211" t="str">
        <f>IFERROR(__xludf.DUMMYFUNCTION("""COMPUTED_VALUE"""),"Whatsapp")</f>
        <v>Whatsapp</v>
      </c>
      <c r="D126" s="211" t="str">
        <f>IFERROR(__xludf.DUMMYFUNCTION("""COMPUTED_VALUE"""),"Promtional")</f>
        <v>Promtional</v>
      </c>
      <c r="E126" s="211" t="str">
        <f>IFERROR(__xludf.DUMMYFUNCTION("""COMPUTED_VALUE"""),"Aldo")</f>
        <v>Aldo</v>
      </c>
      <c r="F126" s="211" t="str">
        <f>IFERROR(__xludf.DUMMYFUNCTION("""COMPUTED_VALUE"""),"MAY BOGO 2026 1-3 MAY - B1G1")</f>
        <v>MAY BOGO 2026 1-3 MAY - B1G1</v>
      </c>
      <c r="G126" s="211" t="str">
        <f>IFERROR(__xludf.DUMMYFUNCTION("""COMPUTED_VALUE"""),"WA_1stMay_Bogo_AL_ON_OFF_Event_Buyers_BOGO")</f>
        <v>WA_1stMay_Bogo_AL_ON_OFF_Event_Buyers_BOGO</v>
      </c>
      <c r="H126" s="212" t="str">
        <f>IFERROR(__xludf.DUMMYFUNCTION("""COMPUTED_VALUE"""),"AL_ON_OFF_Event_Buyers_BOGO")</f>
        <v>AL_ON_OFF_Event_Buyers_BOGO</v>
      </c>
      <c r="I126" s="212" t="str">
        <f>IFERROR(__xludf.DUMMYFUNCTION("""COMPUTED_VALUE"""),"All customers who have purchased between 7 - 11 Nov, 2025")</f>
        <v>All customers who have purchased between 7 - 11 Nov, 2025</v>
      </c>
      <c r="J126" s="213">
        <f>IFERROR(__xludf.DUMMYFUNCTION("""COMPUTED_VALUE"""),7766.0)</f>
        <v>7766</v>
      </c>
      <c r="K126" s="213">
        <f>IFERROR(__xludf.DUMMYFUNCTION("""COMPUTED_VALUE"""),4033.0)</f>
        <v>4033</v>
      </c>
      <c r="L126" s="214">
        <f>IFERROR(__xludf.DUMMYFUNCTION("""COMPUTED_VALUE"""),0.5193)</f>
        <v>0.5193</v>
      </c>
      <c r="M126" s="213">
        <f>IFERROR(__xludf.DUMMYFUNCTION("""COMPUTED_VALUE"""),1611.0)</f>
        <v>1611</v>
      </c>
      <c r="N126" s="214">
        <f>IFERROR(__xludf.DUMMYFUNCTION("""COMPUTED_VALUE"""),0.3992)</f>
        <v>0.3992</v>
      </c>
      <c r="O126" s="213">
        <f>IFERROR(__xludf.DUMMYFUNCTION("""COMPUTED_VALUE"""),376.0)</f>
        <v>376</v>
      </c>
      <c r="P126" s="213">
        <f>IFERROR(__xludf.DUMMYFUNCTION("""COMPUTED_VALUE"""),343.0)</f>
        <v>343</v>
      </c>
      <c r="Q126" s="214">
        <f>IFERROR(__xludf.DUMMYFUNCTION("""COMPUTED_VALUE"""),0.085)</f>
        <v>0.085</v>
      </c>
      <c r="R126" s="214">
        <f>IFERROR(__xludf.DUMMYFUNCTION("""COMPUTED_VALUE"""),0.213)</f>
        <v>0.213</v>
      </c>
      <c r="S126" s="213">
        <f>IFERROR(__xludf.DUMMYFUNCTION("""COMPUTED_VALUE"""),5.0)</f>
        <v>5</v>
      </c>
      <c r="T126" s="213">
        <f>IFERROR(__xludf.DUMMYFUNCTION("""COMPUTED_VALUE"""),10.0)</f>
        <v>10</v>
      </c>
      <c r="U126" s="213">
        <f>IFERROR(__xludf.DUMMYFUNCTION("""COMPUTED_VALUE"""),66395.0)</f>
        <v>66395</v>
      </c>
      <c r="V126" s="213" t="str">
        <f>IFERROR(__xludf.DUMMYFUNCTION("""COMPUTED_VALUE"""),"overall")</f>
        <v>overall</v>
      </c>
      <c r="W126" s="213" t="str">
        <f>IFERROR(__xludf.DUMMYFUNCTION("""COMPUTED_VALUE"""),"simple")</f>
        <v>simple</v>
      </c>
      <c r="X126" s="213" t="str">
        <f>IFERROR(__xludf.DUMMYFUNCTION("""COMPUTED_VALUE"""),"Event Buyers")</f>
        <v>Event Buyers</v>
      </c>
      <c r="Y126" s="213" t="str">
        <f>IFERROR(__xludf.DUMMYFUNCTION("""COMPUTED_VALUE"""),"1st May - 2nd May 2026")</f>
        <v>1st May - 2nd May 2026</v>
      </c>
      <c r="Z126" s="213" t="str">
        <f>IFERROR(__xludf.DUMMYFUNCTION("""COMPUTED_VALUE"""),"69f35595cad0c56b4256ae46")</f>
        <v>69f35595cad0c56b4256ae46</v>
      </c>
      <c r="AA126" s="213"/>
      <c r="AB126" s="213"/>
      <c r="AC126" s="213"/>
      <c r="AD126" s="213"/>
      <c r="AE126" s="213"/>
      <c r="AF126" s="213"/>
      <c r="AG126" s="208"/>
      <c r="AH126" s="208"/>
      <c r="AI126" s="208"/>
      <c r="AJ126" s="208"/>
      <c r="AK126" s="208"/>
    </row>
    <row r="127">
      <c r="A127" s="209">
        <f>IFERROR(__xludf.DUMMYFUNCTION("""COMPUTED_VALUE"""),46143.0)</f>
        <v>46143</v>
      </c>
      <c r="B127" s="210">
        <f>IFERROR(__xludf.DUMMYFUNCTION("""COMPUTED_VALUE"""),0.3645833333321207)</f>
        <v>0.3645833333</v>
      </c>
      <c r="C127" s="211" t="str">
        <f>IFERROR(__xludf.DUMMYFUNCTION("""COMPUTED_VALUE"""),"Whatsapp")</f>
        <v>Whatsapp</v>
      </c>
      <c r="D127" s="211" t="str">
        <f>IFERROR(__xludf.DUMMYFUNCTION("""COMPUTED_VALUE"""),"Promtional")</f>
        <v>Promtional</v>
      </c>
      <c r="E127" s="211" t="str">
        <f>IFERROR(__xludf.DUMMYFUNCTION("""COMPUTED_VALUE"""),"Aldo")</f>
        <v>Aldo</v>
      </c>
      <c r="F127" s="211" t="str">
        <f>IFERROR(__xludf.DUMMYFUNCTION("""COMPUTED_VALUE"""),"MAY BOGO 2026 1-3 MAY - B1G1")</f>
        <v>MAY BOGO 2026 1-3 MAY - B1G1</v>
      </c>
      <c r="G127" s="211" t="str">
        <f>IFERROR(__xludf.DUMMYFUNCTION("""COMPUTED_VALUE"""),"WA_1stMay_Bogo_AL_ON_OFF_Repeat_1Year")</f>
        <v>WA_1stMay_Bogo_AL_ON_OFF_Repeat_1Year</v>
      </c>
      <c r="H127" s="212" t="str">
        <f>IFERROR(__xludf.DUMMYFUNCTION("""COMPUTED_VALUE"""),"AL_ON_OFF_Repeat_1Year")</f>
        <v>AL_ON_OFF_Repeat_1Year</v>
      </c>
      <c r="I127" s="212" t="str">
        <f>IFERROR(__xludf.DUMMYFUNCTION("""COMPUTED_VALUE"""),"All customers who have purchased at least 2 times in the last 365 days")</f>
        <v>All customers who have purchased at least 2 times in the last 365 days</v>
      </c>
      <c r="J127" s="213">
        <f>IFERROR(__xludf.DUMMYFUNCTION("""COMPUTED_VALUE"""),24520.0)</f>
        <v>24520</v>
      </c>
      <c r="K127" s="213">
        <f>IFERROR(__xludf.DUMMYFUNCTION("""COMPUTED_VALUE"""),11624.0)</f>
        <v>11624</v>
      </c>
      <c r="L127" s="214">
        <f>IFERROR(__xludf.DUMMYFUNCTION("""COMPUTED_VALUE"""),0.4739)</f>
        <v>0.4739</v>
      </c>
      <c r="M127" s="213">
        <f>IFERROR(__xludf.DUMMYFUNCTION("""COMPUTED_VALUE"""),4538.0)</f>
        <v>4538</v>
      </c>
      <c r="N127" s="214">
        <f>IFERROR(__xludf.DUMMYFUNCTION("""COMPUTED_VALUE"""),0.3905)</f>
        <v>0.3905</v>
      </c>
      <c r="O127" s="213">
        <f>IFERROR(__xludf.DUMMYFUNCTION("""COMPUTED_VALUE"""),939.0)</f>
        <v>939</v>
      </c>
      <c r="P127" s="213">
        <f>IFERROR(__xludf.DUMMYFUNCTION("""COMPUTED_VALUE"""),846.0)</f>
        <v>846</v>
      </c>
      <c r="Q127" s="214">
        <f>IFERROR(__xludf.DUMMYFUNCTION("""COMPUTED_VALUE"""),0.0728)</f>
        <v>0.0728</v>
      </c>
      <c r="R127" s="214">
        <f>IFERROR(__xludf.DUMMYFUNCTION("""COMPUTED_VALUE"""),0.1864)</f>
        <v>0.1864</v>
      </c>
      <c r="S127" s="213">
        <f>IFERROR(__xludf.DUMMYFUNCTION("""COMPUTED_VALUE"""),8.0)</f>
        <v>8</v>
      </c>
      <c r="T127" s="213">
        <f>IFERROR(__xludf.DUMMYFUNCTION("""COMPUTED_VALUE"""),23.0)</f>
        <v>23</v>
      </c>
      <c r="U127" s="213">
        <f>IFERROR(__xludf.DUMMYFUNCTION("""COMPUTED_VALUE"""),102992.0)</f>
        <v>102992</v>
      </c>
      <c r="V127" s="213" t="str">
        <f>IFERROR(__xludf.DUMMYFUNCTION("""COMPUTED_VALUE"""),"overall")</f>
        <v>overall</v>
      </c>
      <c r="W127" s="213" t="str">
        <f>IFERROR(__xludf.DUMMYFUNCTION("""COMPUTED_VALUE"""),"simple")</f>
        <v>simple</v>
      </c>
      <c r="X127" s="213" t="str">
        <f>IFERROR(__xludf.DUMMYFUNCTION("""COMPUTED_VALUE"""),"Repeat")</f>
        <v>Repeat</v>
      </c>
      <c r="Y127" s="213" t="str">
        <f>IFERROR(__xludf.DUMMYFUNCTION("""COMPUTED_VALUE"""),"1st May - 2nd May 2026")</f>
        <v>1st May - 2nd May 2026</v>
      </c>
      <c r="Z127" s="213" t="str">
        <f>IFERROR(__xludf.DUMMYFUNCTION("""COMPUTED_VALUE"""),"69f355e92bf4cb0781a4cafc")</f>
        <v>69f355e92bf4cb0781a4cafc</v>
      </c>
      <c r="AA127" s="213"/>
      <c r="AB127" s="213"/>
      <c r="AC127" s="213"/>
      <c r="AD127" s="213"/>
      <c r="AE127" s="213"/>
      <c r="AF127" s="213"/>
      <c r="AG127" s="208"/>
      <c r="AH127" s="208"/>
      <c r="AI127" s="208"/>
      <c r="AJ127" s="208"/>
      <c r="AK127" s="208"/>
    </row>
    <row r="128">
      <c r="A128" s="209">
        <f>IFERROR(__xludf.DUMMYFUNCTION("""COMPUTED_VALUE"""),46143.0)</f>
        <v>46143</v>
      </c>
      <c r="B128" s="210">
        <f>IFERROR(__xludf.DUMMYFUNCTION("""COMPUTED_VALUE"""),0.3680555555547471)</f>
        <v>0.3680555556</v>
      </c>
      <c r="C128" s="211" t="str">
        <f>IFERROR(__xludf.DUMMYFUNCTION("""COMPUTED_VALUE"""),"Whatsapp")</f>
        <v>Whatsapp</v>
      </c>
      <c r="D128" s="211" t="str">
        <f>IFERROR(__xludf.DUMMYFUNCTION("""COMPUTED_VALUE"""),"Promtional")</f>
        <v>Promtional</v>
      </c>
      <c r="E128" s="211" t="str">
        <f>IFERROR(__xludf.DUMMYFUNCTION("""COMPUTED_VALUE"""),"Aldo")</f>
        <v>Aldo</v>
      </c>
      <c r="F128" s="211" t="str">
        <f>IFERROR(__xludf.DUMMYFUNCTION("""COMPUTED_VALUE"""),"MAY BOGO 2026 1-3 MAY - B1G1")</f>
        <v>MAY BOGO 2026 1-3 MAY - B1G1</v>
      </c>
      <c r="G128" s="211" t="str">
        <f>IFERROR(__xludf.DUMMYFUNCTION("""COMPUTED_VALUE"""),"WA_1stMay_Bogo_AL_ON_OFF_Recent")</f>
        <v>WA_1stMay_Bogo_AL_ON_OFF_Recent</v>
      </c>
      <c r="H128" s="212" t="str">
        <f>IFERROR(__xludf.DUMMYFUNCTION("""COMPUTED_VALUE"""),"AL_ON_OFF_Recent")</f>
        <v>AL_ON_OFF_Recent</v>
      </c>
      <c r="I128" s="212" t="str">
        <f>IFERROR(__xludf.DUMMYFUNCTION("""COMPUTED_VALUE"""),"All customers who have purchased at least 1 time in the last 76 days")</f>
        <v>All customers who have purchased at least 1 time in the last 76 days</v>
      </c>
      <c r="J128" s="213">
        <f>IFERROR(__xludf.DUMMYFUNCTION("""COMPUTED_VALUE"""),14566.0)</f>
        <v>14566</v>
      </c>
      <c r="K128" s="213">
        <f>IFERROR(__xludf.DUMMYFUNCTION("""COMPUTED_VALUE"""),7303.0)</f>
        <v>7303</v>
      </c>
      <c r="L128" s="214">
        <f>IFERROR(__xludf.DUMMYFUNCTION("""COMPUTED_VALUE"""),0.5014)</f>
        <v>0.5014</v>
      </c>
      <c r="M128" s="213">
        <f>IFERROR(__xludf.DUMMYFUNCTION("""COMPUTED_VALUE"""),3161.0)</f>
        <v>3161</v>
      </c>
      <c r="N128" s="214">
        <f>IFERROR(__xludf.DUMMYFUNCTION("""COMPUTED_VALUE"""),0.4328)</f>
        <v>0.4328</v>
      </c>
      <c r="O128" s="213">
        <f>IFERROR(__xludf.DUMMYFUNCTION("""COMPUTED_VALUE"""),686.0)</f>
        <v>686</v>
      </c>
      <c r="P128" s="213">
        <f>IFERROR(__xludf.DUMMYFUNCTION("""COMPUTED_VALUE"""),603.0)</f>
        <v>603</v>
      </c>
      <c r="Q128" s="214">
        <f>IFERROR(__xludf.DUMMYFUNCTION("""COMPUTED_VALUE"""),0.0826)</f>
        <v>0.0826</v>
      </c>
      <c r="R128" s="214">
        <f>IFERROR(__xludf.DUMMYFUNCTION("""COMPUTED_VALUE"""),0.1908)</f>
        <v>0.1908</v>
      </c>
      <c r="S128" s="213">
        <f>IFERROR(__xludf.DUMMYFUNCTION("""COMPUTED_VALUE"""),4.0)</f>
        <v>4</v>
      </c>
      <c r="T128" s="213">
        <f>IFERROR(__xludf.DUMMYFUNCTION("""COMPUTED_VALUE"""),22.0)</f>
        <v>22</v>
      </c>
      <c r="U128" s="213">
        <f>IFERROR(__xludf.DUMMYFUNCTION("""COMPUTED_VALUE"""),66659.0)</f>
        <v>66659</v>
      </c>
      <c r="V128" s="213" t="str">
        <f>IFERROR(__xludf.DUMMYFUNCTION("""COMPUTED_VALUE"""),"overall")</f>
        <v>overall</v>
      </c>
      <c r="W128" s="213" t="str">
        <f>IFERROR(__xludf.DUMMYFUNCTION("""COMPUTED_VALUE"""),"simple")</f>
        <v>simple</v>
      </c>
      <c r="X128" s="213" t="str">
        <f>IFERROR(__xludf.DUMMYFUNCTION("""COMPUTED_VALUE"""),"Recent")</f>
        <v>Recent</v>
      </c>
      <c r="Y128" s="213" t="str">
        <f>IFERROR(__xludf.DUMMYFUNCTION("""COMPUTED_VALUE"""),"1st May - 2nd May 2026")</f>
        <v>1st May - 2nd May 2026</v>
      </c>
      <c r="Z128" s="213" t="str">
        <f>IFERROR(__xludf.DUMMYFUNCTION("""COMPUTED_VALUE"""),"69f3569e1bca67a41329608b")</f>
        <v>69f3569e1bca67a41329608b</v>
      </c>
      <c r="AA128" s="213"/>
      <c r="AB128" s="213"/>
      <c r="AC128" s="213"/>
      <c r="AD128" s="213"/>
      <c r="AE128" s="213"/>
      <c r="AF128" s="213"/>
      <c r="AG128" s="208"/>
      <c r="AH128" s="208"/>
      <c r="AI128" s="208"/>
      <c r="AJ128" s="208"/>
      <c r="AK128" s="208"/>
    </row>
    <row r="129">
      <c r="A129" s="209">
        <f>IFERROR(__xludf.DUMMYFUNCTION("""COMPUTED_VALUE"""),46143.0)</f>
        <v>46143</v>
      </c>
      <c r="B129" s="210">
        <f>IFERROR(__xludf.DUMMYFUNCTION("""COMPUTED_VALUE"""),0.37152777777737356)</f>
        <v>0.3715277778</v>
      </c>
      <c r="C129" s="211" t="str">
        <f>IFERROR(__xludf.DUMMYFUNCTION("""COMPUTED_VALUE"""),"Whatsapp")</f>
        <v>Whatsapp</v>
      </c>
      <c r="D129" s="211" t="str">
        <f>IFERROR(__xludf.DUMMYFUNCTION("""COMPUTED_VALUE"""),"Promtional")</f>
        <v>Promtional</v>
      </c>
      <c r="E129" s="211" t="str">
        <f>IFERROR(__xludf.DUMMYFUNCTION("""COMPUTED_VALUE"""),"Aldo")</f>
        <v>Aldo</v>
      </c>
      <c r="F129" s="211" t="str">
        <f>IFERROR(__xludf.DUMMYFUNCTION("""COMPUTED_VALUE"""),"MAY BOGO 2026 1-3 MAY - B1G1")</f>
        <v>MAY BOGO 2026 1-3 MAY - B1G1</v>
      </c>
      <c r="G129" s="211" t="str">
        <f>IFERROR(__xludf.DUMMYFUNCTION("""COMPUTED_VALUE"""),"WA_1stMay_Bogo_AL_ON_OFF_Disc_Buyers_50_perc")</f>
        <v>WA_1stMay_Bogo_AL_ON_OFF_Disc_Buyers_50_perc</v>
      </c>
      <c r="H129" s="212" t="str">
        <f>IFERROR(__xludf.DUMMYFUNCTION("""COMPUTED_VALUE"""),"AL_ON_OFF_Disc_Buyers_50_perc")</f>
        <v>AL_ON_OFF_Disc_Buyers_50_perc</v>
      </c>
      <c r="I129" s="212" t="str">
        <f>IFERROR(__xludf.DUMMYFUNCTION("""COMPUTED_VALUE"""),"All customers who have purchased at least 1 time with discount percentage of at least 50% in the last 365 days")</f>
        <v>All customers who have purchased at least 1 time with discount percentage of at least 50% in the last 365 days</v>
      </c>
      <c r="J129" s="213">
        <f>IFERROR(__xludf.DUMMYFUNCTION("""COMPUTED_VALUE"""),20292.0)</f>
        <v>20292</v>
      </c>
      <c r="K129" s="213">
        <f>IFERROR(__xludf.DUMMYFUNCTION("""COMPUTED_VALUE"""),9453.0)</f>
        <v>9453</v>
      </c>
      <c r="L129" s="214">
        <f>IFERROR(__xludf.DUMMYFUNCTION("""COMPUTED_VALUE"""),0.4658)</f>
        <v>0.4658</v>
      </c>
      <c r="M129" s="213">
        <f>IFERROR(__xludf.DUMMYFUNCTION("""COMPUTED_VALUE"""),3424.0)</f>
        <v>3424</v>
      </c>
      <c r="N129" s="214">
        <f>IFERROR(__xludf.DUMMYFUNCTION("""COMPUTED_VALUE"""),0.3622)</f>
        <v>0.3622</v>
      </c>
      <c r="O129" s="213">
        <f>IFERROR(__xludf.DUMMYFUNCTION("""COMPUTED_VALUE"""),791.0)</f>
        <v>791</v>
      </c>
      <c r="P129" s="213">
        <f>IFERROR(__xludf.DUMMYFUNCTION("""COMPUTED_VALUE"""),722.0)</f>
        <v>722</v>
      </c>
      <c r="Q129" s="214">
        <f>IFERROR(__xludf.DUMMYFUNCTION("""COMPUTED_VALUE"""),0.0764)</f>
        <v>0.0764</v>
      </c>
      <c r="R129" s="214">
        <f>IFERROR(__xludf.DUMMYFUNCTION("""COMPUTED_VALUE"""),0.2109)</f>
        <v>0.2109</v>
      </c>
      <c r="S129" s="213">
        <f>IFERROR(__xludf.DUMMYFUNCTION("""COMPUTED_VALUE"""),8.0)</f>
        <v>8</v>
      </c>
      <c r="T129" s="213">
        <f>IFERROR(__xludf.DUMMYFUNCTION("""COMPUTED_VALUE"""),16.0)</f>
        <v>16</v>
      </c>
      <c r="U129" s="213">
        <f>IFERROR(__xludf.DUMMYFUNCTION("""COMPUTED_VALUE"""),99269.1)</f>
        <v>99269.1</v>
      </c>
      <c r="V129" s="213" t="str">
        <f>IFERROR(__xludf.DUMMYFUNCTION("""COMPUTED_VALUE"""),"overall")</f>
        <v>overall</v>
      </c>
      <c r="W129" s="213" t="str">
        <f>IFERROR(__xludf.DUMMYFUNCTION("""COMPUTED_VALUE"""),"simple")</f>
        <v>simple</v>
      </c>
      <c r="X129" s="213" t="str">
        <f>IFERROR(__xludf.DUMMYFUNCTION("""COMPUTED_VALUE"""),"Discount Shoppers")</f>
        <v>Discount Shoppers</v>
      </c>
      <c r="Y129" s="213" t="str">
        <f>IFERROR(__xludf.DUMMYFUNCTION("""COMPUTED_VALUE"""),"1st May - 2nd May 2026")</f>
        <v>1st May - 2nd May 2026</v>
      </c>
      <c r="Z129" s="213" t="str">
        <f>IFERROR(__xludf.DUMMYFUNCTION("""COMPUTED_VALUE"""),"69f356cd229663e7432b06b8")</f>
        <v>69f356cd229663e7432b06b8</v>
      </c>
      <c r="AA129" s="213"/>
      <c r="AB129" s="213"/>
      <c r="AC129" s="213"/>
      <c r="AD129" s="213"/>
      <c r="AE129" s="213"/>
      <c r="AF129" s="213"/>
      <c r="AG129" s="208"/>
      <c r="AH129" s="208"/>
      <c r="AI129" s="208"/>
      <c r="AJ129" s="208"/>
      <c r="AK129" s="208"/>
    </row>
    <row r="130">
      <c r="A130" s="209">
        <f>IFERROR(__xludf.DUMMYFUNCTION("""COMPUTED_VALUE"""),46143.0)</f>
        <v>46143</v>
      </c>
      <c r="B130" s="210">
        <f>IFERROR(__xludf.DUMMYFUNCTION("""COMPUTED_VALUE"""),0.5208333333321207)</f>
        <v>0.5208333333</v>
      </c>
      <c r="C130" s="211" t="str">
        <f>IFERROR(__xludf.DUMMYFUNCTION("""COMPUTED_VALUE"""),"Sms")</f>
        <v>Sms</v>
      </c>
      <c r="D130" s="211" t="str">
        <f>IFERROR(__xludf.DUMMYFUNCTION("""COMPUTED_VALUE"""),"Fallback campaign")</f>
        <v>Fallback campaign</v>
      </c>
      <c r="E130" s="211" t="str">
        <f>IFERROR(__xludf.DUMMYFUNCTION("""COMPUTED_VALUE"""),"Aldo")</f>
        <v>Aldo</v>
      </c>
      <c r="F130" s="211" t="str">
        <f>IFERROR(__xludf.DUMMYFUNCTION("""COMPUTED_VALUE"""),"MAY BOGO 2026 1-3 MAY - No Brief")</f>
        <v>MAY BOGO 2026 1-3 MAY - No Brief</v>
      </c>
      <c r="G130" s="211" t="str">
        <f>IFERROR(__xludf.DUMMYFUNCTION("""COMPUTED_VALUE"""),"AL_ON_ATC_90D/FALL BACK/ day 2")</f>
        <v>AL_ON_ATC_90D/FALL BACK/ day 2</v>
      </c>
      <c r="H130" s="212" t="str">
        <f>IFERROR(__xludf.DUMMYFUNCTION("""COMPUTED_VALUE"""),"AL_ON_ATC_90D")</f>
        <v>AL_ON_ATC_90D</v>
      </c>
      <c r="I130" s="212" t="str">
        <f>IFERROR(__xludf.DUMMYFUNCTION("""COMPUTED_VALUE"""),"RCS Undelivered")</f>
        <v>RCS Undelivered</v>
      </c>
      <c r="J130" s="213">
        <f>IFERROR(__xludf.DUMMYFUNCTION("""COMPUTED_VALUE"""),615.0)</f>
        <v>615</v>
      </c>
      <c r="K130" s="213">
        <f>IFERROR(__xludf.DUMMYFUNCTION("""COMPUTED_VALUE"""),383.0)</f>
        <v>383</v>
      </c>
      <c r="L130" s="214">
        <f>IFERROR(__xludf.DUMMYFUNCTION("""COMPUTED_VALUE"""),0.6228)</f>
        <v>0.6228</v>
      </c>
      <c r="M130" s="213">
        <f>IFERROR(__xludf.DUMMYFUNCTION("""COMPUTED_VALUE"""),0.0)</f>
        <v>0</v>
      </c>
      <c r="N130" s="214">
        <f>IFERROR(__xludf.DUMMYFUNCTION("""COMPUTED_VALUE"""),0.0)</f>
        <v>0</v>
      </c>
      <c r="O130" s="213">
        <f>IFERROR(__xludf.DUMMYFUNCTION("""COMPUTED_VALUE"""),2.0)</f>
        <v>2</v>
      </c>
      <c r="P130" s="213">
        <f>IFERROR(__xludf.DUMMYFUNCTION("""COMPUTED_VALUE"""),0.0)</f>
        <v>0</v>
      </c>
      <c r="Q130" s="214">
        <f>IFERROR(__xludf.DUMMYFUNCTION("""COMPUTED_VALUE"""),0.0052)</f>
        <v>0.0052</v>
      </c>
      <c r="R130" s="214">
        <f>IFERROR(__xludf.DUMMYFUNCTION("""COMPUTED_VALUE"""),0.0)</f>
        <v>0</v>
      </c>
      <c r="S130" s="213">
        <f>IFERROR(__xludf.DUMMYFUNCTION("""COMPUTED_VALUE"""),8.0)</f>
        <v>8</v>
      </c>
      <c r="T130" s="213">
        <f>IFERROR(__xludf.DUMMYFUNCTION("""COMPUTED_VALUE"""),66.0)</f>
        <v>66</v>
      </c>
      <c r="U130" s="213">
        <f>IFERROR(__xludf.DUMMYFUNCTION("""COMPUTED_VALUE"""),105692.0)</f>
        <v>105692</v>
      </c>
      <c r="V130" s="213" t="str">
        <f>IFERROR(__xludf.DUMMYFUNCTION("""COMPUTED_VALUE"""),"online")</f>
        <v>online</v>
      </c>
      <c r="W130" s="213" t="str">
        <f>IFERROR(__xludf.DUMMYFUNCTION("""COMPUTED_VALUE"""),"sms")</f>
        <v>sms</v>
      </c>
      <c r="X130" s="213" t="str">
        <f>IFERROR(__xludf.DUMMYFUNCTION("""COMPUTED_VALUE"""),"Add to Cart")</f>
        <v>Add to Cart</v>
      </c>
      <c r="Y130" s="213" t="str">
        <f>IFERROR(__xludf.DUMMYFUNCTION("""COMPUTED_VALUE"""),"1st May - 2nd May 2026")</f>
        <v>1st May - 2nd May 2026</v>
      </c>
      <c r="Z130" s="213" t="str">
        <f>IFERROR(__xludf.DUMMYFUNCTION("""COMPUTED_VALUE"""),"69f373f3abe4ec1a98563aa8")</f>
        <v>69f373f3abe4ec1a98563aa8</v>
      </c>
      <c r="AA130" s="213"/>
      <c r="AB130" s="213"/>
      <c r="AC130" s="213"/>
      <c r="AD130" s="213"/>
      <c r="AE130" s="213"/>
      <c r="AF130" s="213"/>
      <c r="AG130" s="208"/>
      <c r="AH130" s="208"/>
      <c r="AI130" s="208"/>
      <c r="AJ130" s="208"/>
      <c r="AK130" s="208"/>
    </row>
    <row r="131">
      <c r="A131" s="209">
        <f>IFERROR(__xludf.DUMMYFUNCTION("""COMPUTED_VALUE"""),46143.0)</f>
        <v>46143</v>
      </c>
      <c r="B131" s="210">
        <f>IFERROR(__xludf.DUMMYFUNCTION("""COMPUTED_VALUE"""),0.5208333333321207)</f>
        <v>0.5208333333</v>
      </c>
      <c r="C131" s="211" t="str">
        <f>IFERROR(__xludf.DUMMYFUNCTION("""COMPUTED_VALUE"""),"Sms")</f>
        <v>Sms</v>
      </c>
      <c r="D131" s="211" t="str">
        <f>IFERROR(__xludf.DUMMYFUNCTION("""COMPUTED_VALUE"""),"Fallback campaign")</f>
        <v>Fallback campaign</v>
      </c>
      <c r="E131" s="211" t="str">
        <f>IFERROR(__xludf.DUMMYFUNCTION("""COMPUTED_VALUE"""),"Aldo")</f>
        <v>Aldo</v>
      </c>
      <c r="F131" s="211" t="str">
        <f>IFERROR(__xludf.DUMMYFUNCTION("""COMPUTED_VALUE"""),"MAY BOGO 2026 1-3 MAY - No Brief")</f>
        <v>MAY BOGO 2026 1-3 MAY - No Brief</v>
      </c>
      <c r="G131" s="211" t="str">
        <f>IFERROR(__xludf.DUMMYFUNCTION("""COMPUTED_VALUE"""),"AL_ON_View_Item_fall back / day 2")</f>
        <v>AL_ON_View_Item_fall back / day 2</v>
      </c>
      <c r="H131" s="212" t="str">
        <f>IFERROR(__xludf.DUMMYFUNCTION("""COMPUTED_VALUE"""),"AL_ON_View_Item")</f>
        <v>AL_ON_View_Item</v>
      </c>
      <c r="I131" s="212" t="str">
        <f>IFERROR(__xludf.DUMMYFUNCTION("""COMPUTED_VALUE"""),"RCS Undelivered")</f>
        <v>RCS Undelivered</v>
      </c>
      <c r="J131" s="213">
        <f>IFERROR(__xludf.DUMMYFUNCTION("""COMPUTED_VALUE"""),606.0)</f>
        <v>606</v>
      </c>
      <c r="K131" s="213">
        <f>IFERROR(__xludf.DUMMYFUNCTION("""COMPUTED_VALUE"""),362.0)</f>
        <v>362</v>
      </c>
      <c r="L131" s="214">
        <f>IFERROR(__xludf.DUMMYFUNCTION("""COMPUTED_VALUE"""),0.5974)</f>
        <v>0.5974</v>
      </c>
      <c r="M131" s="213">
        <f>IFERROR(__xludf.DUMMYFUNCTION("""COMPUTED_VALUE"""),0.0)</f>
        <v>0</v>
      </c>
      <c r="N131" s="214">
        <f>IFERROR(__xludf.DUMMYFUNCTION("""COMPUTED_VALUE"""),0.0)</f>
        <v>0</v>
      </c>
      <c r="O131" s="213">
        <f>IFERROR(__xludf.DUMMYFUNCTION("""COMPUTED_VALUE"""),5.0)</f>
        <v>5</v>
      </c>
      <c r="P131" s="213">
        <f>IFERROR(__xludf.DUMMYFUNCTION("""COMPUTED_VALUE"""),0.0)</f>
        <v>0</v>
      </c>
      <c r="Q131" s="214">
        <f>IFERROR(__xludf.DUMMYFUNCTION("""COMPUTED_VALUE"""),0.0138)</f>
        <v>0.0138</v>
      </c>
      <c r="R131" s="214">
        <f>IFERROR(__xludf.DUMMYFUNCTION("""COMPUTED_VALUE"""),0.0)</f>
        <v>0</v>
      </c>
      <c r="S131" s="213">
        <f>IFERROR(__xludf.DUMMYFUNCTION("""COMPUTED_VALUE"""),1.0)</f>
        <v>1</v>
      </c>
      <c r="T131" s="213">
        <f>IFERROR(__xludf.DUMMYFUNCTION("""COMPUTED_VALUE"""),14.0)</f>
        <v>14</v>
      </c>
      <c r="U131" s="213">
        <f>IFERROR(__xludf.DUMMYFUNCTION("""COMPUTED_VALUE"""),13999.0)</f>
        <v>13999</v>
      </c>
      <c r="V131" s="213" t="str">
        <f>IFERROR(__xludf.DUMMYFUNCTION("""COMPUTED_VALUE"""),"online")</f>
        <v>online</v>
      </c>
      <c r="W131" s="213" t="str">
        <f>IFERROR(__xludf.DUMMYFUNCTION("""COMPUTED_VALUE"""),"sms")</f>
        <v>sms</v>
      </c>
      <c r="X131" s="213" t="str">
        <f>IFERROR(__xludf.DUMMYFUNCTION("""COMPUTED_VALUE"""),"View Item")</f>
        <v>View Item</v>
      </c>
      <c r="Y131" s="213" t="str">
        <f>IFERROR(__xludf.DUMMYFUNCTION("""COMPUTED_VALUE"""),"1st May - 2nd May 2026")</f>
        <v>1st May - 2nd May 2026</v>
      </c>
      <c r="Z131" s="213" t="str">
        <f>IFERROR(__xludf.DUMMYFUNCTION("""COMPUTED_VALUE"""),"69f3747c6e854e54aa85a13b")</f>
        <v>69f3747c6e854e54aa85a13b</v>
      </c>
      <c r="AA131" s="213"/>
      <c r="AB131" s="213"/>
      <c r="AC131" s="213"/>
      <c r="AD131" s="213"/>
      <c r="AE131" s="213"/>
      <c r="AF131" s="213"/>
      <c r="AG131" s="208"/>
      <c r="AH131" s="208"/>
      <c r="AI131" s="208"/>
      <c r="AJ131" s="208"/>
      <c r="AK131" s="208"/>
    </row>
    <row r="132">
      <c r="A132" s="209">
        <f>IFERROR(__xludf.DUMMYFUNCTION("""COMPUTED_VALUE"""),46143.0)</f>
        <v>46143</v>
      </c>
      <c r="B132" s="210">
        <f>IFERROR(__xludf.DUMMYFUNCTION("""COMPUTED_VALUE"""),0.5208333333321207)</f>
        <v>0.5208333333</v>
      </c>
      <c r="C132" s="211" t="str">
        <f>IFERROR(__xludf.DUMMYFUNCTION("""COMPUTED_VALUE"""),"Sms")</f>
        <v>Sms</v>
      </c>
      <c r="D132" s="211" t="str">
        <f>IFERROR(__xludf.DUMMYFUNCTION("""COMPUTED_VALUE"""),"Fallback campaign")</f>
        <v>Fallback campaign</v>
      </c>
      <c r="E132" s="211" t="str">
        <f>IFERROR(__xludf.DUMMYFUNCTION("""COMPUTED_VALUE"""),"Aldo")</f>
        <v>Aldo</v>
      </c>
      <c r="F132" s="211" t="str">
        <f>IFERROR(__xludf.DUMMYFUNCTION("""COMPUTED_VALUE"""),"MAY BOGO 2026 1-3 MAY - No Brief")</f>
        <v>MAY BOGO 2026 1-3 MAY - No Brief</v>
      </c>
      <c r="G132" s="211" t="str">
        <f>IFERROR(__xludf.DUMMYFUNCTION("""COMPUTED_VALUE"""),"AL_ON_SignUp_Form_fall back / day 2")</f>
        <v>AL_ON_SignUp_Form_fall back / day 2</v>
      </c>
      <c r="H132" s="212" t="str">
        <f>IFERROR(__xludf.DUMMYFUNCTION("""COMPUTED_VALUE"""),"AL_ON_SignUp_Form")</f>
        <v>AL_ON_SignUp_Form</v>
      </c>
      <c r="I132" s="212" t="str">
        <f>IFERROR(__xludf.DUMMYFUNCTION("""COMPUTED_VALUE"""),"RCS Undelivered")</f>
        <v>RCS Undelivered</v>
      </c>
      <c r="J132" s="213">
        <f>IFERROR(__xludf.DUMMYFUNCTION("""COMPUTED_VALUE"""),568.0)</f>
        <v>568</v>
      </c>
      <c r="K132" s="213">
        <f>IFERROR(__xludf.DUMMYFUNCTION("""COMPUTED_VALUE"""),375.0)</f>
        <v>375</v>
      </c>
      <c r="L132" s="214">
        <f>IFERROR(__xludf.DUMMYFUNCTION("""COMPUTED_VALUE"""),0.6602)</f>
        <v>0.6602</v>
      </c>
      <c r="M132" s="213">
        <f>IFERROR(__xludf.DUMMYFUNCTION("""COMPUTED_VALUE"""),0.0)</f>
        <v>0</v>
      </c>
      <c r="N132" s="214">
        <f>IFERROR(__xludf.DUMMYFUNCTION("""COMPUTED_VALUE"""),0.0)</f>
        <v>0</v>
      </c>
      <c r="O132" s="213">
        <f>IFERROR(__xludf.DUMMYFUNCTION("""COMPUTED_VALUE"""),1.0)</f>
        <v>1</v>
      </c>
      <c r="P132" s="213">
        <f>IFERROR(__xludf.DUMMYFUNCTION("""COMPUTED_VALUE"""),0.0)</f>
        <v>0</v>
      </c>
      <c r="Q132" s="214">
        <f>IFERROR(__xludf.DUMMYFUNCTION("""COMPUTED_VALUE"""),0.0027)</f>
        <v>0.0027</v>
      </c>
      <c r="R132" s="214">
        <f>IFERROR(__xludf.DUMMYFUNCTION("""COMPUTED_VALUE"""),0.0)</f>
        <v>0</v>
      </c>
      <c r="S132" s="213">
        <f>IFERROR(__xludf.DUMMYFUNCTION("""COMPUTED_VALUE"""),2.0)</f>
        <v>2</v>
      </c>
      <c r="T132" s="213">
        <f>IFERROR(__xludf.DUMMYFUNCTION("""COMPUTED_VALUE"""),14.0)</f>
        <v>14</v>
      </c>
      <c r="U132" s="213">
        <f>IFERROR(__xludf.DUMMYFUNCTION("""COMPUTED_VALUE"""),28498.0)</f>
        <v>28498</v>
      </c>
      <c r="V132" s="213" t="str">
        <f>IFERROR(__xludf.DUMMYFUNCTION("""COMPUTED_VALUE"""),"online")</f>
        <v>online</v>
      </c>
      <c r="W132" s="213" t="str">
        <f>IFERROR(__xludf.DUMMYFUNCTION("""COMPUTED_VALUE"""),"sms")</f>
        <v>sms</v>
      </c>
      <c r="X132" s="213" t="str">
        <f>IFERROR(__xludf.DUMMYFUNCTION("""COMPUTED_VALUE"""),"Sign Up Form")</f>
        <v>Sign Up Form</v>
      </c>
      <c r="Y132" s="213" t="str">
        <f>IFERROR(__xludf.DUMMYFUNCTION("""COMPUTED_VALUE"""),"1st May - 2nd May 2026")</f>
        <v>1st May - 2nd May 2026</v>
      </c>
      <c r="Z132" s="213" t="str">
        <f>IFERROR(__xludf.DUMMYFUNCTION("""COMPUTED_VALUE"""),"69f374c83f23795c48ee277f")</f>
        <v>69f374c83f23795c48ee277f</v>
      </c>
      <c r="AA132" s="213"/>
      <c r="AB132" s="213"/>
      <c r="AC132" s="213"/>
      <c r="AD132" s="213"/>
      <c r="AE132" s="213"/>
      <c r="AF132" s="213"/>
      <c r="AG132" s="208"/>
      <c r="AH132" s="208"/>
      <c r="AI132" s="208"/>
      <c r="AJ132" s="208"/>
      <c r="AK132" s="208"/>
    </row>
    <row r="133">
      <c r="A133" s="209">
        <f>IFERROR(__xludf.DUMMYFUNCTION("""COMPUTED_VALUE"""),46143.0)</f>
        <v>46143</v>
      </c>
      <c r="B133" s="210">
        <f>IFERROR(__xludf.DUMMYFUNCTION("""COMPUTED_VALUE"""),0.4375)</f>
        <v>0.4375</v>
      </c>
      <c r="C133" s="211" t="str">
        <f>IFERROR(__xludf.DUMMYFUNCTION("""COMPUTED_VALUE"""),"Sms")</f>
        <v>Sms</v>
      </c>
      <c r="D133" s="211" t="str">
        <f>IFERROR(__xludf.DUMMYFUNCTION("""COMPUTED_VALUE"""),"Promtional")</f>
        <v>Promtional</v>
      </c>
      <c r="E133" s="211" t="str">
        <f>IFERROR(__xludf.DUMMYFUNCTION("""COMPUTED_VALUE"""),"Aldo")</f>
        <v>Aldo</v>
      </c>
      <c r="F133" s="211" t="str">
        <f>IFERROR(__xludf.DUMMYFUNCTION("""COMPUTED_VALUE"""),"MAY BOGO 2026 1-3 MAY - No Brief")</f>
        <v>MAY BOGO 2026 1-3 MAY - No Brief</v>
      </c>
      <c r="G133" s="211" t="str">
        <f>IFERROR(__xludf.DUMMYFUNCTION("""COMPUTED_VALUE"""),"AL_ON_OFF_Churned_BOGO_Apr_26/ FRIDAY")</f>
        <v>AL_ON_OFF_Churned_BOGO_Apr_26/ FRIDAY</v>
      </c>
      <c r="H133" s="212" t="str">
        <f>IFERROR(__xludf.DUMMYFUNCTION("""COMPUTED_VALUE"""),"AL_ON_OFF_Churned_BOGO_Apr_26")</f>
        <v>AL_ON_OFF_Churned_BOGO_Apr_26</v>
      </c>
      <c r="I133" s="212" t="str">
        <f>IFERROR(__xludf.DUMMYFUNCTION("""COMPUTED_VALUE"""),"All customers who have purchased at least 1 time in the last 1095 days excluding above segments")</f>
        <v>All customers who have purchased at least 1 time in the last 1095 days excluding above segments</v>
      </c>
      <c r="J133" s="213">
        <f>IFERROR(__xludf.DUMMYFUNCTION("""COMPUTED_VALUE"""),121439.0)</f>
        <v>121439</v>
      </c>
      <c r="K133" s="213">
        <f>IFERROR(__xludf.DUMMYFUNCTION("""COMPUTED_VALUE"""),69467.0)</f>
        <v>69467</v>
      </c>
      <c r="L133" s="214">
        <f>IFERROR(__xludf.DUMMYFUNCTION("""COMPUTED_VALUE"""),0.572)</f>
        <v>0.572</v>
      </c>
      <c r="M133" s="213">
        <f>IFERROR(__xludf.DUMMYFUNCTION("""COMPUTED_VALUE"""),0.0)</f>
        <v>0</v>
      </c>
      <c r="N133" s="214">
        <f>IFERROR(__xludf.DUMMYFUNCTION("""COMPUTED_VALUE"""),0.0)</f>
        <v>0</v>
      </c>
      <c r="O133" s="213">
        <f>IFERROR(__xludf.DUMMYFUNCTION("""COMPUTED_VALUE"""),231.0)</f>
        <v>231</v>
      </c>
      <c r="P133" s="213">
        <f>IFERROR(__xludf.DUMMYFUNCTION("""COMPUTED_VALUE"""),0.0)</f>
        <v>0</v>
      </c>
      <c r="Q133" s="214">
        <f>IFERROR(__xludf.DUMMYFUNCTION("""COMPUTED_VALUE"""),0.0033)</f>
        <v>0.0033</v>
      </c>
      <c r="R133" s="214">
        <f>IFERROR(__xludf.DUMMYFUNCTION("""COMPUTED_VALUE"""),0.0)</f>
        <v>0</v>
      </c>
      <c r="S133" s="213">
        <f>IFERROR(__xludf.DUMMYFUNCTION("""COMPUTED_VALUE"""),14.0)</f>
        <v>14</v>
      </c>
      <c r="T133" s="213">
        <f>IFERROR(__xludf.DUMMYFUNCTION("""COMPUTED_VALUE"""),33.0)</f>
        <v>33</v>
      </c>
      <c r="U133" s="213">
        <f>IFERROR(__xludf.DUMMYFUNCTION("""COMPUTED_VALUE"""),161968.0)</f>
        <v>161968</v>
      </c>
      <c r="V133" s="213" t="str">
        <f>IFERROR(__xludf.DUMMYFUNCTION("""COMPUTED_VALUE"""),"overall")</f>
        <v>overall</v>
      </c>
      <c r="W133" s="213" t="str">
        <f>IFERROR(__xludf.DUMMYFUNCTION("""COMPUTED_VALUE"""),"sms")</f>
        <v>sms</v>
      </c>
      <c r="X133" s="213" t="str">
        <f>IFERROR(__xludf.DUMMYFUNCTION("""COMPUTED_VALUE"""),"Churned")</f>
        <v>Churned</v>
      </c>
      <c r="Y133" s="213" t="str">
        <f>IFERROR(__xludf.DUMMYFUNCTION("""COMPUTED_VALUE"""),"1st May - 2nd May 2026")</f>
        <v>1st May - 2nd May 2026</v>
      </c>
      <c r="Z133" s="213" t="str">
        <f>IFERROR(__xludf.DUMMYFUNCTION("""COMPUTED_VALUE"""),"69f375ceba03d5e24de1432d")</f>
        <v>69f375ceba03d5e24de1432d</v>
      </c>
      <c r="AA133" s="213"/>
      <c r="AB133" s="213"/>
      <c r="AC133" s="213"/>
      <c r="AD133" s="213"/>
      <c r="AE133" s="213"/>
      <c r="AF133" s="213"/>
      <c r="AG133" s="208"/>
      <c r="AH133" s="208"/>
      <c r="AI133" s="208"/>
      <c r="AJ133" s="208"/>
      <c r="AK133" s="208"/>
    </row>
    <row r="134">
      <c r="A134" s="209">
        <f>IFERROR(__xludf.DUMMYFUNCTION("""COMPUTED_VALUE"""),46143.0)</f>
        <v>46143</v>
      </c>
      <c r="B134" s="210">
        <f>IFERROR(__xludf.DUMMYFUNCTION("""COMPUTED_VALUE"""),0.4375)</f>
        <v>0.4375</v>
      </c>
      <c r="C134" s="211" t="str">
        <f>IFERROR(__xludf.DUMMYFUNCTION("""COMPUTED_VALUE"""),"Sms")</f>
        <v>Sms</v>
      </c>
      <c r="D134" s="211" t="str">
        <f>IFERROR(__xludf.DUMMYFUNCTION("""COMPUTED_VALUE"""),"Promtional")</f>
        <v>Promtional</v>
      </c>
      <c r="E134" s="211" t="str">
        <f>IFERROR(__xludf.DUMMYFUNCTION("""COMPUTED_VALUE"""),"Aldo")</f>
        <v>Aldo</v>
      </c>
      <c r="F134" s="211" t="str">
        <f>IFERROR(__xludf.DUMMYFUNCTION("""COMPUTED_VALUE"""),"MAY BOGO 2026 1-3 MAY - No Brief")</f>
        <v>MAY BOGO 2026 1-3 MAY - No Brief</v>
      </c>
      <c r="G134" s="211" t="str">
        <f>IFERROR(__xludf.DUMMYFUNCTION("""COMPUTED_VALUE"""),"AL_Non-Txn_Base/FRIDAY")</f>
        <v>AL_Non-Txn_Base/FRIDAY</v>
      </c>
      <c r="H134" s="212" t="str">
        <f>IFERROR(__xludf.DUMMYFUNCTION("""COMPUTED_VALUE"""),"AL_Non-Txn_Base")</f>
        <v>AL_Non-Txn_Base</v>
      </c>
      <c r="I134" s="212" t="str">
        <f>IFERROR(__xludf.DUMMYFUNCTION("""COMPUTED_VALUE"""),"Non- Transactional Base")</f>
        <v>Non- Transactional Base</v>
      </c>
      <c r="J134" s="213">
        <f>IFERROR(__xludf.DUMMYFUNCTION("""COMPUTED_VALUE"""),99988.0)</f>
        <v>99988</v>
      </c>
      <c r="K134" s="213">
        <f>IFERROR(__xludf.DUMMYFUNCTION("""COMPUTED_VALUE"""),59978.0)</f>
        <v>59978</v>
      </c>
      <c r="L134" s="214">
        <f>IFERROR(__xludf.DUMMYFUNCTION("""COMPUTED_VALUE"""),0.5999)</f>
        <v>0.5999</v>
      </c>
      <c r="M134" s="213">
        <f>IFERROR(__xludf.DUMMYFUNCTION("""COMPUTED_VALUE"""),0.0)</f>
        <v>0</v>
      </c>
      <c r="N134" s="214">
        <f>IFERROR(__xludf.DUMMYFUNCTION("""COMPUTED_VALUE"""),0.0)</f>
        <v>0</v>
      </c>
      <c r="O134" s="213">
        <f>IFERROR(__xludf.DUMMYFUNCTION("""COMPUTED_VALUE"""),197.0)</f>
        <v>197</v>
      </c>
      <c r="P134" s="213">
        <f>IFERROR(__xludf.DUMMYFUNCTION("""COMPUTED_VALUE"""),0.0)</f>
        <v>0</v>
      </c>
      <c r="Q134" s="214">
        <f>IFERROR(__xludf.DUMMYFUNCTION("""COMPUTED_VALUE"""),0.0033)</f>
        <v>0.0033</v>
      </c>
      <c r="R134" s="214">
        <f>IFERROR(__xludf.DUMMYFUNCTION("""COMPUTED_VALUE"""),0.0)</f>
        <v>0</v>
      </c>
      <c r="S134" s="213">
        <f>IFERROR(__xludf.DUMMYFUNCTION("""COMPUTED_VALUE"""),38.0)</f>
        <v>38</v>
      </c>
      <c r="T134" s="213">
        <f>IFERROR(__xludf.DUMMYFUNCTION("""COMPUTED_VALUE"""),365.0)</f>
        <v>365</v>
      </c>
      <c r="U134" s="213">
        <f>IFERROR(__xludf.DUMMYFUNCTION("""COMPUTED_VALUE"""),487974.2)</f>
        <v>487974.2</v>
      </c>
      <c r="V134" s="213" t="str">
        <f>IFERROR(__xludf.DUMMYFUNCTION("""COMPUTED_VALUE"""),"overall")</f>
        <v>overall</v>
      </c>
      <c r="W134" s="213" t="str">
        <f>IFERROR(__xludf.DUMMYFUNCTION("""COMPUTED_VALUE"""),"sms")</f>
        <v>sms</v>
      </c>
      <c r="X134" s="213" t="str">
        <f>IFERROR(__xludf.DUMMYFUNCTION("""COMPUTED_VALUE"""),"Non Transactional Base")</f>
        <v>Non Transactional Base</v>
      </c>
      <c r="Y134" s="213" t="str">
        <f>IFERROR(__xludf.DUMMYFUNCTION("""COMPUTED_VALUE"""),"1st May - 2nd May 2026")</f>
        <v>1st May - 2nd May 2026</v>
      </c>
      <c r="Z134" s="213" t="str">
        <f>IFERROR(__xludf.DUMMYFUNCTION("""COMPUTED_VALUE"""),"69f37628b9f13223d9d40cb0")</f>
        <v>69f37628b9f13223d9d40cb0</v>
      </c>
      <c r="AA134" s="213"/>
      <c r="AB134" s="213"/>
      <c r="AC134" s="213"/>
      <c r="AD134" s="213"/>
      <c r="AE134" s="213"/>
      <c r="AF134" s="213"/>
      <c r="AG134" s="208"/>
      <c r="AH134" s="208"/>
      <c r="AI134" s="208"/>
      <c r="AJ134" s="208"/>
      <c r="AK134" s="208"/>
    </row>
    <row r="135">
      <c r="A135" s="209">
        <f>IFERROR(__xludf.DUMMYFUNCTION("""COMPUTED_VALUE"""),46143.0)</f>
        <v>46143</v>
      </c>
      <c r="B135" s="210">
        <f>IFERROR(__xludf.DUMMYFUNCTION("""COMPUTED_VALUE"""),0.4375)</f>
        <v>0.4375</v>
      </c>
      <c r="C135" s="211" t="str">
        <f>IFERROR(__xludf.DUMMYFUNCTION("""COMPUTED_VALUE"""),"Sms")</f>
        <v>Sms</v>
      </c>
      <c r="D135" s="211" t="str">
        <f>IFERROR(__xludf.DUMMYFUNCTION("""COMPUTED_VALUE"""),"Promtional")</f>
        <v>Promtional</v>
      </c>
      <c r="E135" s="211" t="str">
        <f>IFERROR(__xludf.DUMMYFUNCTION("""COMPUTED_VALUE"""),"Aldo")</f>
        <v>Aldo</v>
      </c>
      <c r="F135" s="211" t="str">
        <f>IFERROR(__xludf.DUMMYFUNCTION("""COMPUTED_VALUE"""),"MAY BOGO 2026 1-3 MAY - No Brief")</f>
        <v>MAY BOGO 2026 1-3 MAY - No Brief</v>
      </c>
      <c r="G135" s="211" t="str">
        <f>IFERROR(__xludf.DUMMYFUNCTION("""COMPUTED_VALUE"""),"Karnival_Base_Actual/ FRIDAY")</f>
        <v>Karnival_Base_Actual/ FRIDAY</v>
      </c>
      <c r="H135" s="212" t="str">
        <f>IFERROR(__xludf.DUMMYFUNCTION("""COMPUTED_VALUE"""),"Karnival_Base_Actual")</f>
        <v>Karnival_Base_Actual</v>
      </c>
      <c r="I135" s="212" t="str">
        <f>IFERROR(__xludf.DUMMYFUNCTION("""COMPUTED_VALUE"""),"Karnival Base")</f>
        <v>Karnival Base</v>
      </c>
      <c r="J135" s="213">
        <f>IFERROR(__xludf.DUMMYFUNCTION("""COMPUTED_VALUE"""),187645.0)</f>
        <v>187645</v>
      </c>
      <c r="K135" s="213">
        <f>IFERROR(__xludf.DUMMYFUNCTION("""COMPUTED_VALUE"""),101403.0)</f>
        <v>101403</v>
      </c>
      <c r="L135" s="214">
        <f>IFERROR(__xludf.DUMMYFUNCTION("""COMPUTED_VALUE"""),0.5404)</f>
        <v>0.5404</v>
      </c>
      <c r="M135" s="213">
        <f>IFERROR(__xludf.DUMMYFUNCTION("""COMPUTED_VALUE"""),0.0)</f>
        <v>0</v>
      </c>
      <c r="N135" s="214">
        <f>IFERROR(__xludf.DUMMYFUNCTION("""COMPUTED_VALUE"""),0.0)</f>
        <v>0</v>
      </c>
      <c r="O135" s="213">
        <f>IFERROR(__xludf.DUMMYFUNCTION("""COMPUTED_VALUE"""),224.0)</f>
        <v>224</v>
      </c>
      <c r="P135" s="213">
        <f>IFERROR(__xludf.DUMMYFUNCTION("""COMPUTED_VALUE"""),0.0)</f>
        <v>0</v>
      </c>
      <c r="Q135" s="214">
        <f>IFERROR(__xludf.DUMMYFUNCTION("""COMPUTED_VALUE"""),0.0022)</f>
        <v>0.0022</v>
      </c>
      <c r="R135" s="214">
        <f>IFERROR(__xludf.DUMMYFUNCTION("""COMPUTED_VALUE"""),0.0)</f>
        <v>0</v>
      </c>
      <c r="S135" s="213">
        <f>IFERROR(__xludf.DUMMYFUNCTION("""COMPUTED_VALUE"""),6.0)</f>
        <v>6</v>
      </c>
      <c r="T135" s="213">
        <f>IFERROR(__xludf.DUMMYFUNCTION("""COMPUTED_VALUE"""),33.0)</f>
        <v>33</v>
      </c>
      <c r="U135" s="213">
        <f>IFERROR(__xludf.DUMMYFUNCTION("""COMPUTED_VALUE"""),71544.0)</f>
        <v>71544</v>
      </c>
      <c r="V135" s="213" t="str">
        <f>IFERROR(__xludf.DUMMYFUNCTION("""COMPUTED_VALUE"""),"overall")</f>
        <v>overall</v>
      </c>
      <c r="W135" s="213" t="str">
        <f>IFERROR(__xludf.DUMMYFUNCTION("""COMPUTED_VALUE"""),"sms")</f>
        <v>sms</v>
      </c>
      <c r="X135" s="213" t="str">
        <f>IFERROR(__xludf.DUMMYFUNCTION("""COMPUTED_VALUE"""),"Karnival Base")</f>
        <v>Karnival Base</v>
      </c>
      <c r="Y135" s="213" t="str">
        <f>IFERROR(__xludf.DUMMYFUNCTION("""COMPUTED_VALUE"""),"1st May - 2nd May 2026")</f>
        <v>1st May - 2nd May 2026</v>
      </c>
      <c r="Z135" s="213" t="str">
        <f>IFERROR(__xludf.DUMMYFUNCTION("""COMPUTED_VALUE"""),"69f3766f89cf64798910d267")</f>
        <v>69f3766f89cf64798910d267</v>
      </c>
      <c r="AA135" s="213"/>
      <c r="AB135" s="213"/>
      <c r="AC135" s="213"/>
      <c r="AD135" s="213"/>
      <c r="AE135" s="213"/>
      <c r="AF135" s="213"/>
      <c r="AG135" s="208"/>
      <c r="AH135" s="208"/>
      <c r="AI135" s="208"/>
      <c r="AJ135" s="208"/>
      <c r="AK135" s="208"/>
    </row>
    <row r="136">
      <c r="A136" s="209">
        <f>IFERROR(__xludf.DUMMYFUNCTION("""COMPUTED_VALUE"""),46143.0)</f>
        <v>46143</v>
      </c>
      <c r="B136" s="210">
        <f>IFERROR(__xludf.DUMMYFUNCTION("""COMPUTED_VALUE"""),0.5208333333321207)</f>
        <v>0.5208333333</v>
      </c>
      <c r="C136" s="211" t="str">
        <f>IFERROR(__xludf.DUMMYFUNCTION("""COMPUTED_VALUE"""),"Sms")</f>
        <v>Sms</v>
      </c>
      <c r="D136" s="211" t="str">
        <f>IFERROR(__xludf.DUMMYFUNCTION("""COMPUTED_VALUE"""),"Fallback campaign")</f>
        <v>Fallback campaign</v>
      </c>
      <c r="E136" s="211" t="str">
        <f>IFERROR(__xludf.DUMMYFUNCTION("""COMPUTED_VALUE"""),"Aldo")</f>
        <v>Aldo</v>
      </c>
      <c r="F136" s="211" t="str">
        <f>IFERROR(__xludf.DUMMYFUNCTION("""COMPUTED_VALUE"""),"MAY BOGO 2026 1-3 MAY - No Brief")</f>
        <v>MAY BOGO 2026 1-3 MAY - No Brief</v>
      </c>
      <c r="G136" s="211" t="str">
        <f>IFERROR(__xludf.DUMMYFUNCTION("""COMPUTED_VALUE"""),"AL_ON_Cart_Exit_Intent_fallback / day 2")</f>
        <v>AL_ON_Cart_Exit_Intent_fallback / day 2</v>
      </c>
      <c r="H136" s="212" t="str">
        <f>IFERROR(__xludf.DUMMYFUNCTION("""COMPUTED_VALUE"""),"AL_ON_Cart_Exit_Intent")</f>
        <v>AL_ON_Cart_Exit_Intent</v>
      </c>
      <c r="I136" s="212" t="str">
        <f>IFERROR(__xludf.DUMMYFUNCTION("""COMPUTED_VALUE"""),"RCS Undelivered")</f>
        <v>RCS Undelivered</v>
      </c>
      <c r="J136" s="213">
        <f>IFERROR(__xludf.DUMMYFUNCTION("""COMPUTED_VALUE"""),8606.0)</f>
        <v>8606</v>
      </c>
      <c r="K136" s="213">
        <f>IFERROR(__xludf.DUMMYFUNCTION("""COMPUTED_VALUE"""),5875.0)</f>
        <v>5875</v>
      </c>
      <c r="L136" s="214">
        <f>IFERROR(__xludf.DUMMYFUNCTION("""COMPUTED_VALUE"""),0.6827)</f>
        <v>0.6827</v>
      </c>
      <c r="M136" s="213">
        <f>IFERROR(__xludf.DUMMYFUNCTION("""COMPUTED_VALUE"""),0.0)</f>
        <v>0</v>
      </c>
      <c r="N136" s="214">
        <f>IFERROR(__xludf.DUMMYFUNCTION("""COMPUTED_VALUE"""),0.0)</f>
        <v>0</v>
      </c>
      <c r="O136" s="213">
        <f>IFERROR(__xludf.DUMMYFUNCTION("""COMPUTED_VALUE"""),24.0)</f>
        <v>24</v>
      </c>
      <c r="P136" s="213">
        <f>IFERROR(__xludf.DUMMYFUNCTION("""COMPUTED_VALUE"""),0.0)</f>
        <v>0</v>
      </c>
      <c r="Q136" s="214">
        <f>IFERROR(__xludf.DUMMYFUNCTION("""COMPUTED_VALUE"""),0.0041)</f>
        <v>0.0041</v>
      </c>
      <c r="R136" s="214">
        <f>IFERROR(__xludf.DUMMYFUNCTION("""COMPUTED_VALUE"""),0.0)</f>
        <v>0</v>
      </c>
      <c r="S136" s="213">
        <f>IFERROR(__xludf.DUMMYFUNCTION("""COMPUTED_VALUE"""),1.0)</f>
        <v>1</v>
      </c>
      <c r="T136" s="213">
        <f>IFERROR(__xludf.DUMMYFUNCTION("""COMPUTED_VALUE"""),20.0)</f>
        <v>20</v>
      </c>
      <c r="U136" s="213">
        <f>IFERROR(__xludf.DUMMYFUNCTION("""COMPUTED_VALUE"""),13999.0)</f>
        <v>13999</v>
      </c>
      <c r="V136" s="213" t="str">
        <f>IFERROR(__xludf.DUMMYFUNCTION("""COMPUTED_VALUE"""),"online")</f>
        <v>online</v>
      </c>
      <c r="W136" s="213" t="str">
        <f>IFERROR(__xludf.DUMMYFUNCTION("""COMPUTED_VALUE"""),"sms")</f>
        <v>sms</v>
      </c>
      <c r="X136" s="213" t="str">
        <f>IFERROR(__xludf.DUMMYFUNCTION("""COMPUTED_VALUE"""),"Exit Intent Form")</f>
        <v>Exit Intent Form</v>
      </c>
      <c r="Y136" s="213" t="str">
        <f>IFERROR(__xludf.DUMMYFUNCTION("""COMPUTED_VALUE"""),"1st May - 2nd May 2026")</f>
        <v>1st May - 2nd May 2026</v>
      </c>
      <c r="Z136" s="213" t="str">
        <f>IFERROR(__xludf.DUMMYFUNCTION("""COMPUTED_VALUE"""),"69f376cb03e722c849eb0f09")</f>
        <v>69f376cb03e722c849eb0f09</v>
      </c>
      <c r="AA136" s="213"/>
      <c r="AB136" s="213"/>
      <c r="AC136" s="213"/>
      <c r="AD136" s="213"/>
      <c r="AE136" s="213"/>
      <c r="AF136" s="213"/>
      <c r="AG136" s="208"/>
      <c r="AH136" s="208"/>
      <c r="AI136" s="208"/>
      <c r="AJ136" s="208"/>
      <c r="AK136" s="208"/>
    </row>
    <row r="137">
      <c r="A137" s="209">
        <f>IFERROR(__xludf.DUMMYFUNCTION("""COMPUTED_VALUE"""),46143.0)</f>
        <v>46143</v>
      </c>
      <c r="B137" s="210">
        <f>IFERROR(__xludf.DUMMYFUNCTION("""COMPUTED_VALUE"""),0.5208333333321207)</f>
        <v>0.5208333333</v>
      </c>
      <c r="C137" s="211" t="str">
        <f>IFERROR(__xludf.DUMMYFUNCTION("""COMPUTED_VALUE"""),"Sms")</f>
        <v>Sms</v>
      </c>
      <c r="D137" s="211" t="str">
        <f>IFERROR(__xludf.DUMMYFUNCTION("""COMPUTED_VALUE"""),"Fallback campaign")</f>
        <v>Fallback campaign</v>
      </c>
      <c r="E137" s="211" t="str">
        <f>IFERROR(__xludf.DUMMYFUNCTION("""COMPUTED_VALUE"""),"Aldo")</f>
        <v>Aldo</v>
      </c>
      <c r="F137" s="211" t="str">
        <f>IFERROR(__xludf.DUMMYFUNCTION("""COMPUTED_VALUE"""),"MAY BOGO 2026 1-3 MAY - No Brief")</f>
        <v>MAY BOGO 2026 1-3 MAY - No Brief</v>
      </c>
      <c r="G137" s="211" t="str">
        <f>IFERROR(__xludf.DUMMYFUNCTION("""COMPUTED_VALUE"""),"AL_ON_OFF_Disc_Buyers_50_perc_fall back / day 2")</f>
        <v>AL_ON_OFF_Disc_Buyers_50_perc_fall back / day 2</v>
      </c>
      <c r="H137" s="212" t="str">
        <f>IFERROR(__xludf.DUMMYFUNCTION("""COMPUTED_VALUE"""),"AL_ON_OFF_Disc_Buyers_50_perc")</f>
        <v>AL_ON_OFF_Disc_Buyers_50_perc</v>
      </c>
      <c r="I137" s="212" t="str">
        <f>IFERROR(__xludf.DUMMYFUNCTION("""COMPUTED_VALUE"""),"RCS Undelivered")</f>
        <v>RCS Undelivered</v>
      </c>
      <c r="J137" s="213">
        <f>IFERROR(__xludf.DUMMYFUNCTION("""COMPUTED_VALUE"""),8716.0)</f>
        <v>8716</v>
      </c>
      <c r="K137" s="213">
        <f>IFERROR(__xludf.DUMMYFUNCTION("""COMPUTED_VALUE"""),4712.0)</f>
        <v>4712</v>
      </c>
      <c r="L137" s="214">
        <f>IFERROR(__xludf.DUMMYFUNCTION("""COMPUTED_VALUE"""),0.5406)</f>
        <v>0.5406</v>
      </c>
      <c r="M137" s="213">
        <f>IFERROR(__xludf.DUMMYFUNCTION("""COMPUTED_VALUE"""),0.0)</f>
        <v>0</v>
      </c>
      <c r="N137" s="214">
        <f>IFERROR(__xludf.DUMMYFUNCTION("""COMPUTED_VALUE"""),0.0)</f>
        <v>0</v>
      </c>
      <c r="O137" s="213">
        <f>IFERROR(__xludf.DUMMYFUNCTION("""COMPUTED_VALUE"""),25.0)</f>
        <v>25</v>
      </c>
      <c r="P137" s="213">
        <f>IFERROR(__xludf.DUMMYFUNCTION("""COMPUTED_VALUE"""),0.0)</f>
        <v>0</v>
      </c>
      <c r="Q137" s="214">
        <f>IFERROR(__xludf.DUMMYFUNCTION("""COMPUTED_VALUE"""),0.0053)</f>
        <v>0.0053</v>
      </c>
      <c r="R137" s="214">
        <f>IFERROR(__xludf.DUMMYFUNCTION("""COMPUTED_VALUE"""),0.0)</f>
        <v>0</v>
      </c>
      <c r="S137" s="213">
        <f>IFERROR(__xludf.DUMMYFUNCTION("""COMPUTED_VALUE"""),4.0)</f>
        <v>4</v>
      </c>
      <c r="T137" s="213">
        <f>IFERROR(__xludf.DUMMYFUNCTION("""COMPUTED_VALUE"""),9.0)</f>
        <v>9</v>
      </c>
      <c r="U137" s="213">
        <f>IFERROR(__xludf.DUMMYFUNCTION("""COMPUTED_VALUE"""),64695.0)</f>
        <v>64695</v>
      </c>
      <c r="V137" s="213" t="str">
        <f>IFERROR(__xludf.DUMMYFUNCTION("""COMPUTED_VALUE"""),"overall")</f>
        <v>overall</v>
      </c>
      <c r="W137" s="213" t="str">
        <f>IFERROR(__xludf.DUMMYFUNCTION("""COMPUTED_VALUE"""),"sms")</f>
        <v>sms</v>
      </c>
      <c r="X137" s="213" t="str">
        <f>IFERROR(__xludf.DUMMYFUNCTION("""COMPUTED_VALUE"""),"Discount Shoppers")</f>
        <v>Discount Shoppers</v>
      </c>
      <c r="Y137" s="213" t="str">
        <f>IFERROR(__xludf.DUMMYFUNCTION("""COMPUTED_VALUE"""),"1st May - 2nd May 2026")</f>
        <v>1st May - 2nd May 2026</v>
      </c>
      <c r="Z137" s="213" t="str">
        <f>IFERROR(__xludf.DUMMYFUNCTION("""COMPUTED_VALUE"""),"69f378ac313ceec475d256d0")</f>
        <v>69f378ac313ceec475d256d0</v>
      </c>
      <c r="AA137" s="213"/>
      <c r="AB137" s="213"/>
      <c r="AC137" s="213"/>
      <c r="AD137" s="213"/>
      <c r="AE137" s="213"/>
      <c r="AF137" s="213"/>
      <c r="AG137" s="208"/>
      <c r="AH137" s="208"/>
      <c r="AI137" s="208"/>
      <c r="AJ137" s="208"/>
      <c r="AK137" s="208"/>
    </row>
    <row r="138">
      <c r="A138" s="209">
        <f>IFERROR(__xludf.DUMMYFUNCTION("""COMPUTED_VALUE"""),46143.0)</f>
        <v>46143</v>
      </c>
      <c r="B138" s="210">
        <f>IFERROR(__xludf.DUMMYFUNCTION("""COMPUTED_VALUE"""),0.5208333333321207)</f>
        <v>0.5208333333</v>
      </c>
      <c r="C138" s="211" t="str">
        <f>IFERROR(__xludf.DUMMYFUNCTION("""COMPUTED_VALUE"""),"Sms")</f>
        <v>Sms</v>
      </c>
      <c r="D138" s="211" t="str">
        <f>IFERROR(__xludf.DUMMYFUNCTION("""COMPUTED_VALUE"""),"Fallback campaign")</f>
        <v>Fallback campaign</v>
      </c>
      <c r="E138" s="211" t="str">
        <f>IFERROR(__xludf.DUMMYFUNCTION("""COMPUTED_VALUE"""),"Aldo")</f>
        <v>Aldo</v>
      </c>
      <c r="F138" s="211" t="str">
        <f>IFERROR(__xludf.DUMMYFUNCTION("""COMPUTED_VALUE"""),"MAY BOGO 2026 1-3 MAY - No Brief")</f>
        <v>MAY BOGO 2026 1-3 MAY - No Brief</v>
      </c>
      <c r="G138" s="211" t="str">
        <f>IFERROR(__xludf.DUMMYFUNCTION("""COMPUTED_VALUE"""),"AL_ON_OFF_Recent_fall back / day 2")</f>
        <v>AL_ON_OFF_Recent_fall back / day 2</v>
      </c>
      <c r="H138" s="212" t="str">
        <f>IFERROR(__xludf.DUMMYFUNCTION("""COMPUTED_VALUE"""),"AL_ON_OFF_Recent")</f>
        <v>AL_ON_OFF_Recent</v>
      </c>
      <c r="I138" s="212" t="str">
        <f>IFERROR(__xludf.DUMMYFUNCTION("""COMPUTED_VALUE"""),"RCS Undelivered")</f>
        <v>RCS Undelivered</v>
      </c>
      <c r="J138" s="213">
        <f>IFERROR(__xludf.DUMMYFUNCTION("""COMPUTED_VALUE"""),5861.0)</f>
        <v>5861</v>
      </c>
      <c r="K138" s="213">
        <f>IFERROR(__xludf.DUMMYFUNCTION("""COMPUTED_VALUE"""),3205.0)</f>
        <v>3205</v>
      </c>
      <c r="L138" s="214">
        <f>IFERROR(__xludf.DUMMYFUNCTION("""COMPUTED_VALUE"""),0.5468)</f>
        <v>0.5468</v>
      </c>
      <c r="M138" s="213">
        <f>IFERROR(__xludf.DUMMYFUNCTION("""COMPUTED_VALUE"""),0.0)</f>
        <v>0</v>
      </c>
      <c r="N138" s="214">
        <f>IFERROR(__xludf.DUMMYFUNCTION("""COMPUTED_VALUE"""),0.0)</f>
        <v>0</v>
      </c>
      <c r="O138" s="213">
        <f>IFERROR(__xludf.DUMMYFUNCTION("""COMPUTED_VALUE"""),26.0)</f>
        <v>26</v>
      </c>
      <c r="P138" s="213">
        <f>IFERROR(__xludf.DUMMYFUNCTION("""COMPUTED_VALUE"""),0.0)</f>
        <v>0</v>
      </c>
      <c r="Q138" s="214">
        <f>IFERROR(__xludf.DUMMYFUNCTION("""COMPUTED_VALUE"""),0.0081)</f>
        <v>0.0081</v>
      </c>
      <c r="R138" s="214">
        <f>IFERROR(__xludf.DUMMYFUNCTION("""COMPUTED_VALUE"""),0.0)</f>
        <v>0</v>
      </c>
      <c r="S138" s="213">
        <f>IFERROR(__xludf.DUMMYFUNCTION("""COMPUTED_VALUE"""),1.0)</f>
        <v>1</v>
      </c>
      <c r="T138" s="213">
        <f>IFERROR(__xludf.DUMMYFUNCTION("""COMPUTED_VALUE"""),7.0)</f>
        <v>7</v>
      </c>
      <c r="U138" s="213">
        <f>IFERROR(__xludf.DUMMYFUNCTION("""COMPUTED_VALUE"""),11399.0)</f>
        <v>11399</v>
      </c>
      <c r="V138" s="213" t="str">
        <f>IFERROR(__xludf.DUMMYFUNCTION("""COMPUTED_VALUE"""),"overall")</f>
        <v>overall</v>
      </c>
      <c r="W138" s="213" t="str">
        <f>IFERROR(__xludf.DUMMYFUNCTION("""COMPUTED_VALUE"""),"sms")</f>
        <v>sms</v>
      </c>
      <c r="X138" s="213" t="str">
        <f>IFERROR(__xludf.DUMMYFUNCTION("""COMPUTED_VALUE"""),"Recent")</f>
        <v>Recent</v>
      </c>
      <c r="Y138" s="213" t="str">
        <f>IFERROR(__xludf.DUMMYFUNCTION("""COMPUTED_VALUE"""),"1st May - 2nd May 2026")</f>
        <v>1st May - 2nd May 2026</v>
      </c>
      <c r="Z138" s="213" t="str">
        <f>IFERROR(__xludf.DUMMYFUNCTION("""COMPUTED_VALUE"""),"69f3791137695c455e725b5e")</f>
        <v>69f3791137695c455e725b5e</v>
      </c>
      <c r="AA138" s="213"/>
      <c r="AB138" s="213"/>
      <c r="AC138" s="213"/>
      <c r="AD138" s="213"/>
      <c r="AE138" s="213"/>
      <c r="AF138" s="213"/>
      <c r="AG138" s="208"/>
      <c r="AH138" s="208"/>
      <c r="AI138" s="208"/>
      <c r="AJ138" s="208"/>
      <c r="AK138" s="208"/>
    </row>
    <row r="139">
      <c r="A139" s="209">
        <f>IFERROR(__xludf.DUMMYFUNCTION("""COMPUTED_VALUE"""),46143.0)</f>
        <v>46143</v>
      </c>
      <c r="B139" s="210">
        <f>IFERROR(__xludf.DUMMYFUNCTION("""COMPUTED_VALUE"""),0.5208333333321207)</f>
        <v>0.5208333333</v>
      </c>
      <c r="C139" s="211" t="str">
        <f>IFERROR(__xludf.DUMMYFUNCTION("""COMPUTED_VALUE"""),"Sms")</f>
        <v>Sms</v>
      </c>
      <c r="D139" s="211" t="str">
        <f>IFERROR(__xludf.DUMMYFUNCTION("""COMPUTED_VALUE"""),"Fallback campaign")</f>
        <v>Fallback campaign</v>
      </c>
      <c r="E139" s="211" t="str">
        <f>IFERROR(__xludf.DUMMYFUNCTION("""COMPUTED_VALUE"""),"Aldo")</f>
        <v>Aldo</v>
      </c>
      <c r="F139" s="211" t="str">
        <f>IFERROR(__xludf.DUMMYFUNCTION("""COMPUTED_VALUE"""),"MAY BOGO 2026 1-3 MAY - No Brief")</f>
        <v>MAY BOGO 2026 1-3 MAY - No Brief</v>
      </c>
      <c r="G139" s="211" t="str">
        <f>IFERROR(__xludf.DUMMYFUNCTION("""COMPUTED_VALUE"""),"AL_ON_OFF_Repeat_1Year_fall back / day 2")</f>
        <v>AL_ON_OFF_Repeat_1Year_fall back / day 2</v>
      </c>
      <c r="H139" s="212" t="str">
        <f>IFERROR(__xludf.DUMMYFUNCTION("""COMPUTED_VALUE"""),"AL_ON_OFF_Repeat_1Year")</f>
        <v>AL_ON_OFF_Repeat_1Year</v>
      </c>
      <c r="I139" s="212" t="str">
        <f>IFERROR(__xludf.DUMMYFUNCTION("""COMPUTED_VALUE"""),"RCS Undelivered")</f>
        <v>RCS Undelivered</v>
      </c>
      <c r="J139" s="213">
        <f>IFERROR(__xludf.DUMMYFUNCTION("""COMPUTED_VALUE"""),10568.0)</f>
        <v>10568</v>
      </c>
      <c r="K139" s="213">
        <f>IFERROR(__xludf.DUMMYFUNCTION("""COMPUTED_VALUE"""),5762.0)</f>
        <v>5762</v>
      </c>
      <c r="L139" s="214">
        <f>IFERROR(__xludf.DUMMYFUNCTION("""COMPUTED_VALUE"""),0.5452)</f>
        <v>0.5452</v>
      </c>
      <c r="M139" s="213">
        <f>IFERROR(__xludf.DUMMYFUNCTION("""COMPUTED_VALUE"""),0.0)</f>
        <v>0</v>
      </c>
      <c r="N139" s="214">
        <f>IFERROR(__xludf.DUMMYFUNCTION("""COMPUTED_VALUE"""),0.0)</f>
        <v>0</v>
      </c>
      <c r="O139" s="213">
        <f>IFERROR(__xludf.DUMMYFUNCTION("""COMPUTED_VALUE"""),27.0)</f>
        <v>27</v>
      </c>
      <c r="P139" s="213">
        <f>IFERROR(__xludf.DUMMYFUNCTION("""COMPUTED_VALUE"""),0.0)</f>
        <v>0</v>
      </c>
      <c r="Q139" s="214">
        <f>IFERROR(__xludf.DUMMYFUNCTION("""COMPUTED_VALUE"""),0.0047)</f>
        <v>0.0047</v>
      </c>
      <c r="R139" s="214">
        <f>IFERROR(__xludf.DUMMYFUNCTION("""COMPUTED_VALUE"""),0.0)</f>
        <v>0</v>
      </c>
      <c r="S139" s="213">
        <f>IFERROR(__xludf.DUMMYFUNCTION("""COMPUTED_VALUE"""),2.0)</f>
        <v>2</v>
      </c>
      <c r="T139" s="213">
        <f>IFERROR(__xludf.DUMMYFUNCTION("""COMPUTED_VALUE"""),6.0)</f>
        <v>6</v>
      </c>
      <c r="U139" s="213">
        <f>IFERROR(__xludf.DUMMYFUNCTION("""COMPUTED_VALUE"""),25998.0)</f>
        <v>25998</v>
      </c>
      <c r="V139" s="213" t="str">
        <f>IFERROR(__xludf.DUMMYFUNCTION("""COMPUTED_VALUE"""),"overall")</f>
        <v>overall</v>
      </c>
      <c r="W139" s="213" t="str">
        <f>IFERROR(__xludf.DUMMYFUNCTION("""COMPUTED_VALUE"""),"sms")</f>
        <v>sms</v>
      </c>
      <c r="X139" s="213" t="str">
        <f>IFERROR(__xludf.DUMMYFUNCTION("""COMPUTED_VALUE"""),"Repeat")</f>
        <v>Repeat</v>
      </c>
      <c r="Y139" s="213" t="str">
        <f>IFERROR(__xludf.DUMMYFUNCTION("""COMPUTED_VALUE"""),"1st May - 2nd May 2026")</f>
        <v>1st May - 2nd May 2026</v>
      </c>
      <c r="Z139" s="213" t="str">
        <f>IFERROR(__xludf.DUMMYFUNCTION("""COMPUTED_VALUE"""),"69f379819b32ef26e5158a5e")</f>
        <v>69f379819b32ef26e5158a5e</v>
      </c>
      <c r="AA139" s="213"/>
      <c r="AB139" s="213"/>
      <c r="AC139" s="213"/>
      <c r="AD139" s="213"/>
      <c r="AE139" s="213"/>
      <c r="AF139" s="213"/>
      <c r="AG139" s="208"/>
      <c r="AH139" s="208"/>
      <c r="AI139" s="208"/>
      <c r="AJ139" s="208"/>
      <c r="AK139" s="208"/>
    </row>
    <row r="140">
      <c r="A140" s="209">
        <f>IFERROR(__xludf.DUMMYFUNCTION("""COMPUTED_VALUE"""),46143.0)</f>
        <v>46143</v>
      </c>
      <c r="B140" s="210">
        <f>IFERROR(__xludf.DUMMYFUNCTION("""COMPUTED_VALUE"""),0.5208333333321207)</f>
        <v>0.5208333333</v>
      </c>
      <c r="C140" s="211" t="str">
        <f>IFERROR(__xludf.DUMMYFUNCTION("""COMPUTED_VALUE"""),"Sms")</f>
        <v>Sms</v>
      </c>
      <c r="D140" s="211" t="str">
        <f>IFERROR(__xludf.DUMMYFUNCTION("""COMPUTED_VALUE"""),"Fallback campaign")</f>
        <v>Fallback campaign</v>
      </c>
      <c r="E140" s="211" t="str">
        <f>IFERROR(__xludf.DUMMYFUNCTION("""COMPUTED_VALUE"""),"Aldo")</f>
        <v>Aldo</v>
      </c>
      <c r="F140" s="211" t="str">
        <f>IFERROR(__xludf.DUMMYFUNCTION("""COMPUTED_VALUE"""),"MAY BOGO 2026 1-3 MAY - No Brief")</f>
        <v>MAY BOGO 2026 1-3 MAY - No Brief</v>
      </c>
      <c r="G140" s="211" t="str">
        <f>IFERROR(__xludf.DUMMYFUNCTION("""COMPUTED_VALUE"""),"AL_ON_OFF_Event_Buyers_BOGO_fall back / day 2")</f>
        <v>AL_ON_OFF_Event_Buyers_BOGO_fall back / day 2</v>
      </c>
      <c r="H140" s="212" t="str">
        <f>IFERROR(__xludf.DUMMYFUNCTION("""COMPUTED_VALUE"""),"AL_ON_OFF_Disc_Buyers_50_perc")</f>
        <v>AL_ON_OFF_Disc_Buyers_50_perc</v>
      </c>
      <c r="I140" s="212" t="str">
        <f>IFERROR(__xludf.DUMMYFUNCTION("""COMPUTED_VALUE"""),"RCS Undelivered")</f>
        <v>RCS Undelivered</v>
      </c>
      <c r="J140" s="213">
        <f>IFERROR(__xludf.DUMMYFUNCTION("""COMPUTED_VALUE"""),3125.0)</f>
        <v>3125</v>
      </c>
      <c r="K140" s="213">
        <f>IFERROR(__xludf.DUMMYFUNCTION("""COMPUTED_VALUE"""),1784.0)</f>
        <v>1784</v>
      </c>
      <c r="L140" s="214">
        <f>IFERROR(__xludf.DUMMYFUNCTION("""COMPUTED_VALUE"""),0.5709)</f>
        <v>0.5709</v>
      </c>
      <c r="M140" s="213">
        <f>IFERROR(__xludf.DUMMYFUNCTION("""COMPUTED_VALUE"""),0.0)</f>
        <v>0</v>
      </c>
      <c r="N140" s="214">
        <f>IFERROR(__xludf.DUMMYFUNCTION("""COMPUTED_VALUE"""),0.0)</f>
        <v>0</v>
      </c>
      <c r="O140" s="213">
        <f>IFERROR(__xludf.DUMMYFUNCTION("""COMPUTED_VALUE"""),4.0)</f>
        <v>4</v>
      </c>
      <c r="P140" s="213">
        <f>IFERROR(__xludf.DUMMYFUNCTION("""COMPUTED_VALUE"""),0.0)</f>
        <v>0</v>
      </c>
      <c r="Q140" s="214">
        <f>IFERROR(__xludf.DUMMYFUNCTION("""COMPUTED_VALUE"""),0.0022)</f>
        <v>0.0022</v>
      </c>
      <c r="R140" s="214">
        <f>IFERROR(__xludf.DUMMYFUNCTION("""COMPUTED_VALUE"""),0.0)</f>
        <v>0</v>
      </c>
      <c r="S140" s="213">
        <f>IFERROR(__xludf.DUMMYFUNCTION("""COMPUTED_VALUE"""),2.0)</f>
        <v>2</v>
      </c>
      <c r="T140" s="213">
        <f>IFERROR(__xludf.DUMMYFUNCTION("""COMPUTED_VALUE"""),5.0)</f>
        <v>5</v>
      </c>
      <c r="U140" s="213">
        <f>IFERROR(__xludf.DUMMYFUNCTION("""COMPUTED_VALUE"""),40147.0)</f>
        <v>40147</v>
      </c>
      <c r="V140" s="213" t="str">
        <f>IFERROR(__xludf.DUMMYFUNCTION("""COMPUTED_VALUE"""),"overall")</f>
        <v>overall</v>
      </c>
      <c r="W140" s="213" t="str">
        <f>IFERROR(__xludf.DUMMYFUNCTION("""COMPUTED_VALUE"""),"sms")</f>
        <v>sms</v>
      </c>
      <c r="X140" s="213" t="str">
        <f>IFERROR(__xludf.DUMMYFUNCTION("""COMPUTED_VALUE"""),"Discount Shoppers")</f>
        <v>Discount Shoppers</v>
      </c>
      <c r="Y140" s="213" t="str">
        <f>IFERROR(__xludf.DUMMYFUNCTION("""COMPUTED_VALUE"""),"1st May - 2nd May 2026")</f>
        <v>1st May - 2nd May 2026</v>
      </c>
      <c r="Z140" s="213" t="str">
        <f>IFERROR(__xludf.DUMMYFUNCTION("""COMPUTED_VALUE"""),"69f379db89cf64798910d298")</f>
        <v>69f379db89cf64798910d298</v>
      </c>
      <c r="AA140" s="213"/>
      <c r="AB140" s="213"/>
      <c r="AC140" s="213"/>
      <c r="AD140" s="213"/>
      <c r="AE140" s="213"/>
      <c r="AF140" s="213"/>
      <c r="AG140" s="208"/>
      <c r="AH140" s="208"/>
      <c r="AI140" s="208"/>
      <c r="AJ140" s="208"/>
      <c r="AK140" s="208"/>
    </row>
    <row r="141">
      <c r="A141" s="209">
        <f>IFERROR(__xludf.DUMMYFUNCTION("""COMPUTED_VALUE"""),46143.0)</f>
        <v>46143</v>
      </c>
      <c r="B141" s="210">
        <f>IFERROR(__xludf.DUMMYFUNCTION("""COMPUTED_VALUE"""),0.5208333333321207)</f>
        <v>0.5208333333</v>
      </c>
      <c r="C141" s="211" t="str">
        <f>IFERROR(__xludf.DUMMYFUNCTION("""COMPUTED_VALUE"""),"Sms")</f>
        <v>Sms</v>
      </c>
      <c r="D141" s="211" t="str">
        <f>IFERROR(__xludf.DUMMYFUNCTION("""COMPUTED_VALUE"""),"Fallback campaign")</f>
        <v>Fallback campaign</v>
      </c>
      <c r="E141" s="211" t="str">
        <f>IFERROR(__xludf.DUMMYFUNCTION("""COMPUTED_VALUE"""),"Aldo")</f>
        <v>Aldo</v>
      </c>
      <c r="F141" s="211" t="str">
        <f>IFERROR(__xludf.DUMMYFUNCTION("""COMPUTED_VALUE"""),"MAY BOGO 2026 1-3 MAY - No Brief")</f>
        <v>MAY BOGO 2026 1-3 MAY - No Brief</v>
      </c>
      <c r="G141" s="211" t="str">
        <f>IFERROR(__xludf.DUMMYFUNCTION("""COMPUTED_VALUE"""),"AL_ON_OFF_UPT_Min_2_fall back / day 2")</f>
        <v>AL_ON_OFF_UPT_Min_2_fall back / day 2</v>
      </c>
      <c r="H141" s="212" t="str">
        <f>IFERROR(__xludf.DUMMYFUNCTION("""COMPUTED_VALUE"""),"AL_ON_OFF_UPT_Min_2")</f>
        <v>AL_ON_OFF_UPT_Min_2</v>
      </c>
      <c r="I141" s="212" t="str">
        <f>IFERROR(__xludf.DUMMYFUNCTION("""COMPUTED_VALUE"""),"RCS Undelivered")</f>
        <v>RCS Undelivered</v>
      </c>
      <c r="J141" s="213">
        <f>IFERROR(__xludf.DUMMYFUNCTION("""COMPUTED_VALUE"""),63963.0)</f>
        <v>63963</v>
      </c>
      <c r="K141" s="213">
        <f>IFERROR(__xludf.DUMMYFUNCTION("""COMPUTED_VALUE"""),34279.0)</f>
        <v>34279</v>
      </c>
      <c r="L141" s="214">
        <f>IFERROR(__xludf.DUMMYFUNCTION("""COMPUTED_VALUE"""),0.5359)</f>
        <v>0.5359</v>
      </c>
      <c r="M141" s="213">
        <f>IFERROR(__xludf.DUMMYFUNCTION("""COMPUTED_VALUE"""),0.0)</f>
        <v>0</v>
      </c>
      <c r="N141" s="214">
        <f>IFERROR(__xludf.DUMMYFUNCTION("""COMPUTED_VALUE"""),0.0)</f>
        <v>0</v>
      </c>
      <c r="O141" s="213">
        <f>IFERROR(__xludf.DUMMYFUNCTION("""COMPUTED_VALUE"""),85.0)</f>
        <v>85</v>
      </c>
      <c r="P141" s="213">
        <f>IFERROR(__xludf.DUMMYFUNCTION("""COMPUTED_VALUE"""),0.0)</f>
        <v>0</v>
      </c>
      <c r="Q141" s="214">
        <f>IFERROR(__xludf.DUMMYFUNCTION("""COMPUTED_VALUE"""),0.0025)</f>
        <v>0.0025</v>
      </c>
      <c r="R141" s="214">
        <f>IFERROR(__xludf.DUMMYFUNCTION("""COMPUTED_VALUE"""),0.0)</f>
        <v>0</v>
      </c>
      <c r="S141" s="213">
        <f>IFERROR(__xludf.DUMMYFUNCTION("""COMPUTED_VALUE"""),1.0)</f>
        <v>1</v>
      </c>
      <c r="T141" s="213">
        <f>IFERROR(__xludf.DUMMYFUNCTION("""COMPUTED_VALUE"""),10.0)</f>
        <v>10</v>
      </c>
      <c r="U141" s="213">
        <f>IFERROR(__xludf.DUMMYFUNCTION("""COMPUTED_VALUE"""),11699.1)</f>
        <v>11699.1</v>
      </c>
      <c r="V141" s="213" t="str">
        <f>IFERROR(__xludf.DUMMYFUNCTION("""COMPUTED_VALUE"""),"overall")</f>
        <v>overall</v>
      </c>
      <c r="W141" s="213" t="str">
        <f>IFERROR(__xludf.DUMMYFUNCTION("""COMPUTED_VALUE"""),"sms")</f>
        <v>sms</v>
      </c>
      <c r="X141" s="213" t="str">
        <f>IFERROR(__xludf.DUMMYFUNCTION("""COMPUTED_VALUE"""),"UPT atleast 2")</f>
        <v>UPT atleast 2</v>
      </c>
      <c r="Y141" s="213" t="str">
        <f>IFERROR(__xludf.DUMMYFUNCTION("""COMPUTED_VALUE"""),"1st May - 2nd May 2026")</f>
        <v>1st May - 2nd May 2026</v>
      </c>
      <c r="Z141" s="213" t="str">
        <f>IFERROR(__xludf.DUMMYFUNCTION("""COMPUTED_VALUE"""),"69f37a0cd3f76bc397f55dda")</f>
        <v>69f37a0cd3f76bc397f55dda</v>
      </c>
      <c r="AA141" s="213"/>
      <c r="AB141" s="213"/>
      <c r="AC141" s="213"/>
      <c r="AD141" s="213"/>
      <c r="AE141" s="213"/>
      <c r="AF141" s="213"/>
      <c r="AG141" s="208"/>
      <c r="AH141" s="208"/>
      <c r="AI141" s="208"/>
      <c r="AJ141" s="208"/>
      <c r="AK141" s="208"/>
    </row>
    <row r="142">
      <c r="A142" s="209">
        <f>IFERROR(__xludf.DUMMYFUNCTION("""COMPUTED_VALUE"""),46143.0)</f>
        <v>46143</v>
      </c>
      <c r="B142" s="210">
        <f>IFERROR(__xludf.DUMMYFUNCTION("""COMPUTED_VALUE"""),0.4305555555547471)</f>
        <v>0.4305555556</v>
      </c>
      <c r="C142" s="211" t="str">
        <f>IFERROR(__xludf.DUMMYFUNCTION("""COMPUTED_VALUE"""),"Rcs")</f>
        <v>Rcs</v>
      </c>
      <c r="D142" s="211" t="str">
        <f>IFERROR(__xludf.DUMMYFUNCTION("""COMPUTED_VALUE"""),"Fallback campaign")</f>
        <v>Fallback campaign</v>
      </c>
      <c r="E142" s="211" t="str">
        <f>IFERROR(__xludf.DUMMYFUNCTION("""COMPUTED_VALUE"""),"Aldo")</f>
        <v>Aldo</v>
      </c>
      <c r="F142" s="211" t="str">
        <f>IFERROR(__xludf.DUMMYFUNCTION("""COMPUTED_VALUE"""),"MAY BOGO 2026 1-3 MAY - B1G1")</f>
        <v>MAY BOGO 2026 1-3 MAY - B1G1</v>
      </c>
      <c r="G142" s="211" t="str">
        <f>IFERROR(__xludf.DUMMYFUNCTION("""COMPUTED_VALUE"""),"1 May BOGO_AL_ON_OFF_Event_Buyers_BOGO")</f>
        <v>1 May BOGO_AL_ON_OFF_Event_Buyers_BOGO</v>
      </c>
      <c r="H142" s="212" t="str">
        <f>IFERROR(__xludf.DUMMYFUNCTION("""COMPUTED_VALUE"""),"AL_ON_OFF_Event_Buyers_BOGO")</f>
        <v>AL_ON_OFF_Event_Buyers_BOGO</v>
      </c>
      <c r="I142" s="212" t="str">
        <f>IFERROR(__xludf.DUMMYFUNCTION("""COMPUTED_VALUE"""),"WA Undelivered")</f>
        <v>WA Undelivered</v>
      </c>
      <c r="J142" s="213">
        <f>IFERROR(__xludf.DUMMYFUNCTION("""COMPUTED_VALUE"""),3664.0)</f>
        <v>3664</v>
      </c>
      <c r="K142" s="213">
        <f>IFERROR(__xludf.DUMMYFUNCTION("""COMPUTED_VALUE"""),548.0)</f>
        <v>548</v>
      </c>
      <c r="L142" s="214">
        <f>IFERROR(__xludf.DUMMYFUNCTION("""COMPUTED_VALUE"""),0.149563318777293)</f>
        <v>0.1495633188</v>
      </c>
      <c r="M142" s="213">
        <f>IFERROR(__xludf.DUMMYFUNCTION("""COMPUTED_VALUE"""),93.0)</f>
        <v>93</v>
      </c>
      <c r="N142" s="214">
        <f>IFERROR(__xludf.DUMMYFUNCTION("""COMPUTED_VALUE"""),0.1697)</f>
        <v>0.1697</v>
      </c>
      <c r="O142" s="213">
        <f>IFERROR(__xludf.DUMMYFUNCTION("""COMPUTED_VALUE"""),7.0)</f>
        <v>7</v>
      </c>
      <c r="P142" s="213">
        <f>IFERROR(__xludf.DUMMYFUNCTION("""COMPUTED_VALUE"""),0.0)</f>
        <v>0</v>
      </c>
      <c r="Q142" s="214">
        <f>IFERROR(__xludf.DUMMYFUNCTION("""COMPUTED_VALUE"""),0.0182)</f>
        <v>0.0182</v>
      </c>
      <c r="R142" s="214">
        <f>IFERROR(__xludf.DUMMYFUNCTION("""COMPUTED_VALUE"""),0.0)</f>
        <v>0</v>
      </c>
      <c r="S142" s="213">
        <f>IFERROR(__xludf.DUMMYFUNCTION("""COMPUTED_VALUE"""),2.0)</f>
        <v>2</v>
      </c>
      <c r="T142" s="213">
        <f>IFERROR(__xludf.DUMMYFUNCTION("""COMPUTED_VALUE"""),0.0)</f>
        <v>0</v>
      </c>
      <c r="U142" s="213">
        <f>IFERROR(__xludf.DUMMYFUNCTION("""COMPUTED_VALUE"""),37496.0)</f>
        <v>37496</v>
      </c>
      <c r="V142" s="213" t="str">
        <f>IFERROR(__xludf.DUMMYFUNCTION("""COMPUTED_VALUE"""),"overall")</f>
        <v>overall</v>
      </c>
      <c r="W142" s="213" t="str">
        <f>IFERROR(__xludf.DUMMYFUNCTION("""COMPUTED_VALUE"""),"rcs")</f>
        <v>rcs</v>
      </c>
      <c r="X142" s="213" t="str">
        <f>IFERROR(__xludf.DUMMYFUNCTION("""COMPUTED_VALUE"""),"Event Buyers")</f>
        <v>Event Buyers</v>
      </c>
      <c r="Y142" s="213" t="str">
        <f>IFERROR(__xludf.DUMMYFUNCTION("""COMPUTED_VALUE"""),"1st May - 2nd May 2026")</f>
        <v>1st May - 2nd May 2026</v>
      </c>
      <c r="Z142" s="213" t="str">
        <f>IFERROR(__xludf.DUMMYFUNCTION("""COMPUTED_VALUE"""),"69f36e0d5a966da8614a4b9a")</f>
        <v>69f36e0d5a966da8614a4b9a</v>
      </c>
      <c r="AA142" s="213"/>
      <c r="AB142" s="213"/>
      <c r="AC142" s="213"/>
      <c r="AD142" s="213"/>
      <c r="AE142" s="213"/>
      <c r="AF142" s="213"/>
      <c r="AG142" s="208"/>
      <c r="AH142" s="208"/>
      <c r="AI142" s="208"/>
      <c r="AJ142" s="208"/>
      <c r="AK142" s="208"/>
    </row>
    <row r="143">
      <c r="A143" s="209">
        <f>IFERROR(__xludf.DUMMYFUNCTION("""COMPUTED_VALUE"""),46143.0)</f>
        <v>46143</v>
      </c>
      <c r="B143" s="210">
        <f>IFERROR(__xludf.DUMMYFUNCTION("""COMPUTED_VALUE"""),0.43402777777737356)</f>
        <v>0.4340277778</v>
      </c>
      <c r="C143" s="211" t="str">
        <f>IFERROR(__xludf.DUMMYFUNCTION("""COMPUTED_VALUE"""),"Rcs")</f>
        <v>Rcs</v>
      </c>
      <c r="D143" s="211" t="str">
        <f>IFERROR(__xludf.DUMMYFUNCTION("""COMPUTED_VALUE"""),"Fallback campaign")</f>
        <v>Fallback campaign</v>
      </c>
      <c r="E143" s="211" t="str">
        <f>IFERROR(__xludf.DUMMYFUNCTION("""COMPUTED_VALUE"""),"Aldo")</f>
        <v>Aldo</v>
      </c>
      <c r="F143" s="211" t="str">
        <f>IFERROR(__xludf.DUMMYFUNCTION("""COMPUTED_VALUE"""),"MAY BOGO 2026 1-3 MAY - B1G1")</f>
        <v>MAY BOGO 2026 1-3 MAY - B1G1</v>
      </c>
      <c r="G143" s="211" t="str">
        <f>IFERROR(__xludf.DUMMYFUNCTION("""COMPUTED_VALUE"""),"1 May BOGO_AL_ON_OFF_Repeat_1Year")</f>
        <v>1 May BOGO_AL_ON_OFF_Repeat_1Year</v>
      </c>
      <c r="H143" s="212" t="str">
        <f>IFERROR(__xludf.DUMMYFUNCTION("""COMPUTED_VALUE"""),"AL_ON_OFF_Repeat_1Year")</f>
        <v>AL_ON_OFF_Repeat_1Year</v>
      </c>
      <c r="I143" s="212" t="str">
        <f>IFERROR(__xludf.DUMMYFUNCTION("""COMPUTED_VALUE"""),"WA Undelivered")</f>
        <v>WA Undelivered</v>
      </c>
      <c r="J143" s="213">
        <f>IFERROR(__xludf.DUMMYFUNCTION("""COMPUTED_VALUE"""),12590.0)</f>
        <v>12590</v>
      </c>
      <c r="K143" s="213">
        <f>IFERROR(__xludf.DUMMYFUNCTION("""COMPUTED_VALUE"""),2068.0)</f>
        <v>2068</v>
      </c>
      <c r="L143" s="214">
        <f>IFERROR(__xludf.DUMMYFUNCTION("""COMPUTED_VALUE"""),0.164257347100874)</f>
        <v>0.1642573471</v>
      </c>
      <c r="M143" s="213">
        <f>IFERROR(__xludf.DUMMYFUNCTION("""COMPUTED_VALUE"""),372.0)</f>
        <v>372</v>
      </c>
      <c r="N143" s="214">
        <f>IFERROR(__xludf.DUMMYFUNCTION("""COMPUTED_VALUE"""),0.1799)</f>
        <v>0.1799</v>
      </c>
      <c r="O143" s="213">
        <f>IFERROR(__xludf.DUMMYFUNCTION("""COMPUTED_VALUE"""),16.0)</f>
        <v>16</v>
      </c>
      <c r="P143" s="213">
        <f>IFERROR(__xludf.DUMMYFUNCTION("""COMPUTED_VALUE"""),0.0)</f>
        <v>0</v>
      </c>
      <c r="Q143" s="214">
        <f>IFERROR(__xludf.DUMMYFUNCTION("""COMPUTED_VALUE"""),0.0082)</f>
        <v>0.0082</v>
      </c>
      <c r="R143" s="214">
        <f>IFERROR(__xludf.DUMMYFUNCTION("""COMPUTED_VALUE"""),0.0)</f>
        <v>0</v>
      </c>
      <c r="S143" s="213">
        <f>IFERROR(__xludf.DUMMYFUNCTION("""COMPUTED_VALUE"""),2.0)</f>
        <v>2</v>
      </c>
      <c r="T143" s="213">
        <f>IFERROR(__xludf.DUMMYFUNCTION("""COMPUTED_VALUE"""),0.0)</f>
        <v>0</v>
      </c>
      <c r="U143" s="213">
        <f>IFERROR(__xludf.DUMMYFUNCTION("""COMPUTED_VALUE"""),120993.0)</f>
        <v>120993</v>
      </c>
      <c r="V143" s="213" t="str">
        <f>IFERROR(__xludf.DUMMYFUNCTION("""COMPUTED_VALUE"""),"overall")</f>
        <v>overall</v>
      </c>
      <c r="W143" s="213" t="str">
        <f>IFERROR(__xludf.DUMMYFUNCTION("""COMPUTED_VALUE"""),"rcs")</f>
        <v>rcs</v>
      </c>
      <c r="X143" s="213" t="str">
        <f>IFERROR(__xludf.DUMMYFUNCTION("""COMPUTED_VALUE"""),"Repeat")</f>
        <v>Repeat</v>
      </c>
      <c r="Y143" s="213" t="str">
        <f>IFERROR(__xludf.DUMMYFUNCTION("""COMPUTED_VALUE"""),"1st May - 2nd May 2026")</f>
        <v>1st May - 2nd May 2026</v>
      </c>
      <c r="Z143" s="213" t="str">
        <f>IFERROR(__xludf.DUMMYFUNCTION("""COMPUTED_VALUE"""),"69f36e55b7e9618f43e99f65")</f>
        <v>69f36e55b7e9618f43e99f65</v>
      </c>
      <c r="AA143" s="213"/>
      <c r="AB143" s="213"/>
      <c r="AC143" s="213"/>
      <c r="AD143" s="213"/>
      <c r="AE143" s="213"/>
      <c r="AF143" s="213"/>
      <c r="AG143" s="208"/>
      <c r="AH143" s="208"/>
      <c r="AI143" s="208"/>
      <c r="AJ143" s="208"/>
      <c r="AK143" s="208"/>
    </row>
    <row r="144">
      <c r="A144" s="209">
        <f>IFERROR(__xludf.DUMMYFUNCTION("""COMPUTED_VALUE"""),46143.0)</f>
        <v>46143</v>
      </c>
      <c r="B144" s="210">
        <f>IFERROR(__xludf.DUMMYFUNCTION("""COMPUTED_VALUE"""),0.44097222222262644)</f>
        <v>0.4409722222</v>
      </c>
      <c r="C144" s="211" t="str">
        <f>IFERROR(__xludf.DUMMYFUNCTION("""COMPUTED_VALUE"""),"Rcs")</f>
        <v>Rcs</v>
      </c>
      <c r="D144" s="211" t="str">
        <f>IFERROR(__xludf.DUMMYFUNCTION("""COMPUTED_VALUE"""),"Fallback campaign")</f>
        <v>Fallback campaign</v>
      </c>
      <c r="E144" s="211" t="str">
        <f>IFERROR(__xludf.DUMMYFUNCTION("""COMPUTED_VALUE"""),"Aldo")</f>
        <v>Aldo</v>
      </c>
      <c r="F144" s="211" t="str">
        <f>IFERROR(__xludf.DUMMYFUNCTION("""COMPUTED_VALUE"""),"MAY BOGO 2026 1-3 MAY - B1G1")</f>
        <v>MAY BOGO 2026 1-3 MAY - B1G1</v>
      </c>
      <c r="G144" s="211" t="str">
        <f>IFERROR(__xludf.DUMMYFUNCTION("""COMPUTED_VALUE"""),"1 May BOGO_AL_ON_OFF_Disc_Buyers_50_perc")</f>
        <v>1 May BOGO_AL_ON_OFF_Disc_Buyers_50_perc</v>
      </c>
      <c r="H144" s="212" t="str">
        <f>IFERROR(__xludf.DUMMYFUNCTION("""COMPUTED_VALUE"""),"AL_ON_OFF_Disc_Buyers_50_perc")</f>
        <v>AL_ON_OFF_Disc_Buyers_50_perc</v>
      </c>
      <c r="I144" s="212" t="str">
        <f>IFERROR(__xludf.DUMMYFUNCTION("""COMPUTED_VALUE"""),"WA Undelivered")</f>
        <v>WA Undelivered</v>
      </c>
      <c r="J144" s="213">
        <f>IFERROR(__xludf.DUMMYFUNCTION("""COMPUTED_VALUE"""),10523.0)</f>
        <v>10523</v>
      </c>
      <c r="K144" s="213">
        <f>IFERROR(__xludf.DUMMYFUNCTION("""COMPUTED_VALUE"""),1809.0)</f>
        <v>1809</v>
      </c>
      <c r="L144" s="214">
        <f>IFERROR(__xludf.DUMMYFUNCTION("""COMPUTED_VALUE"""),0.171909151382686)</f>
        <v>0.1719091514</v>
      </c>
      <c r="M144" s="213">
        <f>IFERROR(__xludf.DUMMYFUNCTION("""COMPUTED_VALUE"""),275.0)</f>
        <v>275</v>
      </c>
      <c r="N144" s="214">
        <f>IFERROR(__xludf.DUMMYFUNCTION("""COMPUTED_VALUE"""),0.152)</f>
        <v>0.152</v>
      </c>
      <c r="O144" s="213">
        <f>IFERROR(__xludf.DUMMYFUNCTION("""COMPUTED_VALUE"""),11.0)</f>
        <v>11</v>
      </c>
      <c r="P144" s="213">
        <f>IFERROR(__xludf.DUMMYFUNCTION("""COMPUTED_VALUE"""),0.0)</f>
        <v>0</v>
      </c>
      <c r="Q144" s="214">
        <f>IFERROR(__xludf.DUMMYFUNCTION("""COMPUTED_VALUE"""),0.0066)</f>
        <v>0.0066</v>
      </c>
      <c r="R144" s="214">
        <f>IFERROR(__xludf.DUMMYFUNCTION("""COMPUTED_VALUE"""),0.0)</f>
        <v>0</v>
      </c>
      <c r="S144" s="213">
        <f>IFERROR(__xludf.DUMMYFUNCTION("""COMPUTED_VALUE"""),2.0)</f>
        <v>2</v>
      </c>
      <c r="T144" s="213">
        <f>IFERROR(__xludf.DUMMYFUNCTION("""COMPUTED_VALUE"""),1.0)</f>
        <v>1</v>
      </c>
      <c r="U144" s="213">
        <f>IFERROR(__xludf.DUMMYFUNCTION("""COMPUTED_VALUE"""),127990.0)</f>
        <v>127990</v>
      </c>
      <c r="V144" s="213" t="str">
        <f>IFERROR(__xludf.DUMMYFUNCTION("""COMPUTED_VALUE"""),"overall")</f>
        <v>overall</v>
      </c>
      <c r="W144" s="213" t="str">
        <f>IFERROR(__xludf.DUMMYFUNCTION("""COMPUTED_VALUE"""),"rcs")</f>
        <v>rcs</v>
      </c>
      <c r="X144" s="213" t="str">
        <f>IFERROR(__xludf.DUMMYFUNCTION("""COMPUTED_VALUE"""),"Discount Shoppers")</f>
        <v>Discount Shoppers</v>
      </c>
      <c r="Y144" s="213" t="str">
        <f>IFERROR(__xludf.DUMMYFUNCTION("""COMPUTED_VALUE"""),"1st May - 2nd May 2026")</f>
        <v>1st May - 2nd May 2026</v>
      </c>
      <c r="Z144" s="213" t="str">
        <f>IFERROR(__xludf.DUMMYFUNCTION("""COMPUTED_VALUE"""),"69f36f3c89cf64798910d19b")</f>
        <v>69f36f3c89cf64798910d19b</v>
      </c>
      <c r="AA144" s="213"/>
      <c r="AB144" s="213"/>
      <c r="AC144" s="213"/>
      <c r="AD144" s="213"/>
      <c r="AE144" s="213"/>
      <c r="AF144" s="213"/>
      <c r="AG144" s="208"/>
      <c r="AH144" s="208"/>
      <c r="AI144" s="208"/>
      <c r="AJ144" s="208"/>
      <c r="AK144" s="208"/>
    </row>
    <row r="145">
      <c r="A145" s="209">
        <f>IFERROR(__xludf.DUMMYFUNCTION("""COMPUTED_VALUE"""),46143.0)</f>
        <v>46143</v>
      </c>
      <c r="B145" s="210">
        <f>IFERROR(__xludf.DUMMYFUNCTION("""COMPUTED_VALUE"""),0.4444444444452529)</f>
        <v>0.4444444444</v>
      </c>
      <c r="C145" s="211" t="str">
        <f>IFERROR(__xludf.DUMMYFUNCTION("""COMPUTED_VALUE"""),"Rcs")</f>
        <v>Rcs</v>
      </c>
      <c r="D145" s="211" t="str">
        <f>IFERROR(__xludf.DUMMYFUNCTION("""COMPUTED_VALUE"""),"Fallback campaign")</f>
        <v>Fallback campaign</v>
      </c>
      <c r="E145" s="211" t="str">
        <f>IFERROR(__xludf.DUMMYFUNCTION("""COMPUTED_VALUE"""),"Aldo")</f>
        <v>Aldo</v>
      </c>
      <c r="F145" s="211" t="str">
        <f>IFERROR(__xludf.DUMMYFUNCTION("""COMPUTED_VALUE"""),"MAY BOGO 2026 1-3 MAY - B1G1")</f>
        <v>MAY BOGO 2026 1-3 MAY - B1G1</v>
      </c>
      <c r="G145" s="211" t="str">
        <f>IFERROR(__xludf.DUMMYFUNCTION("""COMPUTED_VALUE"""),"1 May BOGO_AL_ON_OFF_UPT_Min_2")</f>
        <v>1 May BOGO_AL_ON_OFF_UPT_Min_2</v>
      </c>
      <c r="H145" s="212" t="str">
        <f>IFERROR(__xludf.DUMMYFUNCTION("""COMPUTED_VALUE"""),"AL_ON_OFF_UPT_Min_2")</f>
        <v>AL_ON_OFF_UPT_Min_2</v>
      </c>
      <c r="I145" s="212" t="str">
        <f>IFERROR(__xludf.DUMMYFUNCTION("""COMPUTED_VALUE"""),"WA Undelivered")</f>
        <v>WA Undelivered</v>
      </c>
      <c r="J145" s="213">
        <f>IFERROR(__xludf.DUMMYFUNCTION("""COMPUTED_VALUE"""),76830.0)</f>
        <v>76830</v>
      </c>
      <c r="K145" s="213">
        <f>IFERROR(__xludf.DUMMYFUNCTION("""COMPUTED_VALUE"""),12716.0)</f>
        <v>12716</v>
      </c>
      <c r="L145" s="214">
        <f>IFERROR(__xludf.DUMMYFUNCTION("""COMPUTED_VALUE"""),0.165508265000651)</f>
        <v>0.165508265</v>
      </c>
      <c r="M145" s="213">
        <f>IFERROR(__xludf.DUMMYFUNCTION("""COMPUTED_VALUE"""),2065.0)</f>
        <v>2065</v>
      </c>
      <c r="N145" s="214">
        <f>IFERROR(__xludf.DUMMYFUNCTION("""COMPUTED_VALUE"""),0.1625)</f>
        <v>0.1625</v>
      </c>
      <c r="O145" s="213">
        <f>IFERROR(__xludf.DUMMYFUNCTION("""COMPUTED_VALUE"""),51.0)</f>
        <v>51</v>
      </c>
      <c r="P145" s="213">
        <f>IFERROR(__xludf.DUMMYFUNCTION("""COMPUTED_VALUE"""),0.0)</f>
        <v>0</v>
      </c>
      <c r="Q145" s="214">
        <f>IFERROR(__xludf.DUMMYFUNCTION("""COMPUTED_VALUE"""),0.0047)</f>
        <v>0.0047</v>
      </c>
      <c r="R145" s="214">
        <f>IFERROR(__xludf.DUMMYFUNCTION("""COMPUTED_VALUE"""),0.0)</f>
        <v>0</v>
      </c>
      <c r="S145" s="213">
        <f>IFERROR(__xludf.DUMMYFUNCTION("""COMPUTED_VALUE"""),6.0)</f>
        <v>6</v>
      </c>
      <c r="T145" s="213">
        <f>IFERROR(__xludf.DUMMYFUNCTION("""COMPUTED_VALUE"""),1.0)</f>
        <v>1</v>
      </c>
      <c r="U145" s="213">
        <f>IFERROR(__xludf.DUMMYFUNCTION("""COMPUTED_VALUE"""),165984.0)</f>
        <v>165984</v>
      </c>
      <c r="V145" s="213" t="str">
        <f>IFERROR(__xludf.DUMMYFUNCTION("""COMPUTED_VALUE"""),"overall")</f>
        <v>overall</v>
      </c>
      <c r="W145" s="213" t="str">
        <f>IFERROR(__xludf.DUMMYFUNCTION("""COMPUTED_VALUE"""),"rcs")</f>
        <v>rcs</v>
      </c>
      <c r="X145" s="213" t="str">
        <f>IFERROR(__xludf.DUMMYFUNCTION("""COMPUTED_VALUE"""),"UPT atleast 2")</f>
        <v>UPT atleast 2</v>
      </c>
      <c r="Y145" s="213" t="str">
        <f>IFERROR(__xludf.DUMMYFUNCTION("""COMPUTED_VALUE"""),"1st May - 2nd May 2026")</f>
        <v>1st May - 2nd May 2026</v>
      </c>
      <c r="Z145" s="213" t="str">
        <f>IFERROR(__xludf.DUMMYFUNCTION("""COMPUTED_VALUE"""),"69f36f8b37695c455e725abe")</f>
        <v>69f36f8b37695c455e725abe</v>
      </c>
      <c r="AA145" s="213"/>
      <c r="AB145" s="213"/>
      <c r="AC145" s="213"/>
      <c r="AD145" s="213"/>
      <c r="AE145" s="213"/>
      <c r="AF145" s="213"/>
      <c r="AG145" s="208"/>
      <c r="AH145" s="208"/>
      <c r="AI145" s="208"/>
      <c r="AJ145" s="208"/>
      <c r="AK145" s="208"/>
    </row>
    <row r="146">
      <c r="A146" s="209">
        <f>IFERROR(__xludf.DUMMYFUNCTION("""COMPUTED_VALUE"""),46143.0)</f>
        <v>46143</v>
      </c>
      <c r="B146" s="210">
        <f>IFERROR(__xludf.DUMMYFUNCTION("""COMPUTED_VALUE"""),0.4166666666678793)</f>
        <v>0.4166666667</v>
      </c>
      <c r="C146" s="211" t="str">
        <f>IFERROR(__xludf.DUMMYFUNCTION("""COMPUTED_VALUE"""),"Rcs")</f>
        <v>Rcs</v>
      </c>
      <c r="D146" s="211" t="str">
        <f>IFERROR(__xludf.DUMMYFUNCTION("""COMPUTED_VALUE"""),"Fallback campaign")</f>
        <v>Fallback campaign</v>
      </c>
      <c r="E146" s="211" t="str">
        <f>IFERROR(__xludf.DUMMYFUNCTION("""COMPUTED_VALUE"""),"Aldo")</f>
        <v>Aldo</v>
      </c>
      <c r="F146" s="211" t="str">
        <f>IFERROR(__xludf.DUMMYFUNCTION("""COMPUTED_VALUE"""),"MAY BOGO 2026 1-3 MAY - B1G1")</f>
        <v>MAY BOGO 2026 1-3 MAY - B1G1</v>
      </c>
      <c r="G146" s="211" t="str">
        <f>IFERROR(__xludf.DUMMYFUNCTION("""COMPUTED_VALUE"""),"1 May BOGO_AL_ON_ATC_90D")</f>
        <v>1 May BOGO_AL_ON_ATC_90D</v>
      </c>
      <c r="H146" s="212" t="str">
        <f>IFERROR(__xludf.DUMMYFUNCTION("""COMPUTED_VALUE"""),"AL_ON_ATC_90D")</f>
        <v>AL_ON_ATC_90D</v>
      </c>
      <c r="I146" s="212" t="str">
        <f>IFERROR(__xludf.DUMMYFUNCTION("""COMPUTED_VALUE"""),"WA Undelivered")</f>
        <v>WA Undelivered</v>
      </c>
      <c r="J146" s="213">
        <f>IFERROR(__xludf.DUMMYFUNCTION("""COMPUTED_VALUE"""),780.0)</f>
        <v>780</v>
      </c>
      <c r="K146" s="213">
        <f>IFERROR(__xludf.DUMMYFUNCTION("""COMPUTED_VALUE"""),167.0)</f>
        <v>167</v>
      </c>
      <c r="L146" s="214">
        <f>IFERROR(__xludf.DUMMYFUNCTION("""COMPUTED_VALUE"""),0.214102564102564)</f>
        <v>0.2141025641</v>
      </c>
      <c r="M146" s="213">
        <f>IFERROR(__xludf.DUMMYFUNCTION("""COMPUTED_VALUE"""),35.0)</f>
        <v>35</v>
      </c>
      <c r="N146" s="214">
        <f>IFERROR(__xludf.DUMMYFUNCTION("""COMPUTED_VALUE"""),0.2096)</f>
        <v>0.2096</v>
      </c>
      <c r="O146" s="213">
        <f>IFERROR(__xludf.DUMMYFUNCTION("""COMPUTED_VALUE"""),1.0)</f>
        <v>1</v>
      </c>
      <c r="P146" s="213">
        <f>IFERROR(__xludf.DUMMYFUNCTION("""COMPUTED_VALUE"""),0.0)</f>
        <v>0</v>
      </c>
      <c r="Q146" s="214">
        <f>IFERROR(__xludf.DUMMYFUNCTION("""COMPUTED_VALUE"""),0.006)</f>
        <v>0.006</v>
      </c>
      <c r="R146" s="214">
        <f>IFERROR(__xludf.DUMMYFUNCTION("""COMPUTED_VALUE"""),0.0)</f>
        <v>0</v>
      </c>
      <c r="S146" s="213">
        <f>IFERROR(__xludf.DUMMYFUNCTION("""COMPUTED_VALUE"""),4.0)</f>
        <v>4</v>
      </c>
      <c r="T146" s="213">
        <f>IFERROR(__xludf.DUMMYFUNCTION("""COMPUTED_VALUE"""),21.0)</f>
        <v>21</v>
      </c>
      <c r="U146" s="213">
        <f>IFERROR(__xludf.DUMMYFUNCTION("""COMPUTED_VALUE"""),63995.0)</f>
        <v>63995</v>
      </c>
      <c r="V146" s="213" t="str">
        <f>IFERROR(__xludf.DUMMYFUNCTION("""COMPUTED_VALUE"""),"online")</f>
        <v>online</v>
      </c>
      <c r="W146" s="213" t="str">
        <f>IFERROR(__xludf.DUMMYFUNCTION("""COMPUTED_VALUE"""),"rcs")</f>
        <v>rcs</v>
      </c>
      <c r="X146" s="213" t="str">
        <f>IFERROR(__xludf.DUMMYFUNCTION("""COMPUTED_VALUE"""),"Add to Cart")</f>
        <v>Add to Cart</v>
      </c>
      <c r="Y146" s="213" t="str">
        <f>IFERROR(__xludf.DUMMYFUNCTION("""COMPUTED_VALUE"""),"1st May - 2nd May 2026")</f>
        <v>1st May - 2nd May 2026</v>
      </c>
      <c r="Z146" s="213" t="str">
        <f>IFERROR(__xludf.DUMMYFUNCTION("""COMPUTED_VALUE"""),"69f36fbd6a7065ae6f30ceb2")</f>
        <v>69f36fbd6a7065ae6f30ceb2</v>
      </c>
      <c r="AA146" s="213"/>
      <c r="AB146" s="213"/>
      <c r="AC146" s="213"/>
      <c r="AD146" s="213"/>
      <c r="AE146" s="213"/>
      <c r="AF146" s="213"/>
      <c r="AG146" s="208"/>
      <c r="AH146" s="208"/>
      <c r="AI146" s="208"/>
      <c r="AJ146" s="208"/>
      <c r="AK146" s="208"/>
    </row>
    <row r="147">
      <c r="A147" s="209">
        <f>IFERROR(__xludf.DUMMYFUNCTION("""COMPUTED_VALUE"""),46143.0)</f>
        <v>46143</v>
      </c>
      <c r="B147" s="210">
        <f>IFERROR(__xludf.DUMMYFUNCTION("""COMPUTED_VALUE"""),0.42013888889050577)</f>
        <v>0.4201388889</v>
      </c>
      <c r="C147" s="211" t="str">
        <f>IFERROR(__xludf.DUMMYFUNCTION("""COMPUTED_VALUE"""),"Rcs")</f>
        <v>Rcs</v>
      </c>
      <c r="D147" s="211" t="str">
        <f>IFERROR(__xludf.DUMMYFUNCTION("""COMPUTED_VALUE"""),"Fallback campaign")</f>
        <v>Fallback campaign</v>
      </c>
      <c r="E147" s="211" t="str">
        <f>IFERROR(__xludf.DUMMYFUNCTION("""COMPUTED_VALUE"""),"Aldo")</f>
        <v>Aldo</v>
      </c>
      <c r="F147" s="211" t="str">
        <f>IFERROR(__xludf.DUMMYFUNCTION("""COMPUTED_VALUE"""),"MAY BOGO 2026 1-3 MAY - B1G1")</f>
        <v>MAY BOGO 2026 1-3 MAY - B1G1</v>
      </c>
      <c r="G147" s="211" t="str">
        <f>IFERROR(__xludf.DUMMYFUNCTION("""COMPUTED_VALUE"""),"1 May BOGO_AL_ON_View_Item")</f>
        <v>1 May BOGO_AL_ON_View_Item</v>
      </c>
      <c r="H147" s="212" t="str">
        <f>IFERROR(__xludf.DUMMYFUNCTION("""COMPUTED_VALUE"""),"AL_ON_View_Item")</f>
        <v>AL_ON_View_Item</v>
      </c>
      <c r="I147" s="212" t="str">
        <f>IFERROR(__xludf.DUMMYFUNCTION("""COMPUTED_VALUE"""),"WA Undelivered")</f>
        <v>WA Undelivered</v>
      </c>
      <c r="J147" s="213">
        <f>IFERROR(__xludf.DUMMYFUNCTION("""COMPUTED_VALUE"""),795.0)</f>
        <v>795</v>
      </c>
      <c r="K147" s="213">
        <f>IFERROR(__xludf.DUMMYFUNCTION("""COMPUTED_VALUE"""),195.0)</f>
        <v>195</v>
      </c>
      <c r="L147" s="214">
        <f>IFERROR(__xludf.DUMMYFUNCTION("""COMPUTED_VALUE"""),0.245283018867925)</f>
        <v>0.2452830189</v>
      </c>
      <c r="M147" s="213">
        <f>IFERROR(__xludf.DUMMYFUNCTION("""COMPUTED_VALUE"""),33.0)</f>
        <v>33</v>
      </c>
      <c r="N147" s="214">
        <f>IFERROR(__xludf.DUMMYFUNCTION("""COMPUTED_VALUE"""),0.1692)</f>
        <v>0.1692</v>
      </c>
      <c r="O147" s="213">
        <f>IFERROR(__xludf.DUMMYFUNCTION("""COMPUTED_VALUE"""),6.0)</f>
        <v>6</v>
      </c>
      <c r="P147" s="213">
        <f>IFERROR(__xludf.DUMMYFUNCTION("""COMPUTED_VALUE"""),0.0)</f>
        <v>0</v>
      </c>
      <c r="Q147" s="214">
        <f>IFERROR(__xludf.DUMMYFUNCTION("""COMPUTED_VALUE"""),0.0359)</f>
        <v>0.0359</v>
      </c>
      <c r="R147" s="214">
        <f>IFERROR(__xludf.DUMMYFUNCTION("""COMPUTED_VALUE"""),0.0)</f>
        <v>0</v>
      </c>
      <c r="S147" s="213">
        <f>IFERROR(__xludf.DUMMYFUNCTION("""COMPUTED_VALUE"""),1.0)</f>
        <v>1</v>
      </c>
      <c r="T147" s="213">
        <f>IFERROR(__xludf.DUMMYFUNCTION("""COMPUTED_VALUE"""),9.0)</f>
        <v>9</v>
      </c>
      <c r="U147" s="213">
        <f>IFERROR(__xludf.DUMMYFUNCTION("""COMPUTED_VALUE"""),35998.0)</f>
        <v>35998</v>
      </c>
      <c r="V147" s="213" t="str">
        <f>IFERROR(__xludf.DUMMYFUNCTION("""COMPUTED_VALUE"""),"online")</f>
        <v>online</v>
      </c>
      <c r="W147" s="213" t="str">
        <f>IFERROR(__xludf.DUMMYFUNCTION("""COMPUTED_VALUE"""),"rcs")</f>
        <v>rcs</v>
      </c>
      <c r="X147" s="213" t="str">
        <f>IFERROR(__xludf.DUMMYFUNCTION("""COMPUTED_VALUE"""),"View Item")</f>
        <v>View Item</v>
      </c>
      <c r="Y147" s="213" t="str">
        <f>IFERROR(__xludf.DUMMYFUNCTION("""COMPUTED_VALUE"""),"1st May - 2nd May 2026")</f>
        <v>1st May - 2nd May 2026</v>
      </c>
      <c r="Z147" s="213" t="str">
        <f>IFERROR(__xludf.DUMMYFUNCTION("""COMPUTED_VALUE"""),"69f36fcd6fb6f85c90d6f2d9")</f>
        <v>69f36fcd6fb6f85c90d6f2d9</v>
      </c>
      <c r="AA147" s="213"/>
      <c r="AB147" s="213"/>
      <c r="AC147" s="213"/>
      <c r="AD147" s="213"/>
      <c r="AE147" s="213"/>
      <c r="AF147" s="213"/>
      <c r="AG147" s="208"/>
      <c r="AH147" s="208"/>
      <c r="AI147" s="208"/>
      <c r="AJ147" s="208"/>
      <c r="AK147" s="208"/>
    </row>
    <row r="148">
      <c r="A148" s="209">
        <f>IFERROR(__xludf.DUMMYFUNCTION("""COMPUTED_VALUE"""),46143.0)</f>
        <v>46143</v>
      </c>
      <c r="B148" s="210">
        <f>IFERROR(__xludf.DUMMYFUNCTION("""COMPUTED_VALUE"""),0.42361111110949423)</f>
        <v>0.4236111111</v>
      </c>
      <c r="C148" s="211" t="str">
        <f>IFERROR(__xludf.DUMMYFUNCTION("""COMPUTED_VALUE"""),"Rcs")</f>
        <v>Rcs</v>
      </c>
      <c r="D148" s="211" t="str">
        <f>IFERROR(__xludf.DUMMYFUNCTION("""COMPUTED_VALUE"""),"Fallback campaign")</f>
        <v>Fallback campaign</v>
      </c>
      <c r="E148" s="211" t="str">
        <f>IFERROR(__xludf.DUMMYFUNCTION("""COMPUTED_VALUE"""),"Aldo")</f>
        <v>Aldo</v>
      </c>
      <c r="F148" s="211" t="str">
        <f>IFERROR(__xludf.DUMMYFUNCTION("""COMPUTED_VALUE"""),"MAY BOGO 2026 1-3 MAY - B1G1")</f>
        <v>MAY BOGO 2026 1-3 MAY - B1G1</v>
      </c>
      <c r="G148" s="211" t="str">
        <f>IFERROR(__xludf.DUMMYFUNCTION("""COMPUTED_VALUE"""),"1 May BOGO_AL_ON_SignUp_Form")</f>
        <v>1 May BOGO_AL_ON_SignUp_Form</v>
      </c>
      <c r="H148" s="212" t="str">
        <f>IFERROR(__xludf.DUMMYFUNCTION("""COMPUTED_VALUE"""),"AL_ON_SignUp_Form")</f>
        <v>AL_ON_SignUp_Form</v>
      </c>
      <c r="I148" s="212" t="str">
        <f>IFERROR(__xludf.DUMMYFUNCTION("""COMPUTED_VALUE"""),"WA Undelivered")</f>
        <v>WA Undelivered</v>
      </c>
      <c r="J148" s="213">
        <f>IFERROR(__xludf.DUMMYFUNCTION("""COMPUTED_VALUE"""),689.0)</f>
        <v>689</v>
      </c>
      <c r="K148" s="213">
        <f>IFERROR(__xludf.DUMMYFUNCTION("""COMPUTED_VALUE"""),118.0)</f>
        <v>118</v>
      </c>
      <c r="L148" s="214">
        <f>IFERROR(__xludf.DUMMYFUNCTION("""COMPUTED_VALUE"""),0.171262699564586)</f>
        <v>0.1712626996</v>
      </c>
      <c r="M148" s="213">
        <f>IFERROR(__xludf.DUMMYFUNCTION("""COMPUTED_VALUE"""),22.0)</f>
        <v>22</v>
      </c>
      <c r="N148" s="214">
        <f>IFERROR(__xludf.DUMMYFUNCTION("""COMPUTED_VALUE"""),0.1864)</f>
        <v>0.1864</v>
      </c>
      <c r="O148" s="213">
        <f>IFERROR(__xludf.DUMMYFUNCTION("""COMPUTED_VALUE"""),0.0)</f>
        <v>0</v>
      </c>
      <c r="P148" s="213">
        <f>IFERROR(__xludf.DUMMYFUNCTION("""COMPUTED_VALUE"""),0.0)</f>
        <v>0</v>
      </c>
      <c r="Q148" s="214">
        <f>IFERROR(__xludf.DUMMYFUNCTION("""COMPUTED_VALUE"""),0.0)</f>
        <v>0</v>
      </c>
      <c r="R148" s="214">
        <f>IFERROR(__xludf.DUMMYFUNCTION("""COMPUTED_VALUE"""),0.0)</f>
        <v>0</v>
      </c>
      <c r="S148" s="213">
        <f>IFERROR(__xludf.DUMMYFUNCTION("""COMPUTED_VALUE"""),0.0)</f>
        <v>0</v>
      </c>
      <c r="T148" s="213">
        <f>IFERROR(__xludf.DUMMYFUNCTION("""COMPUTED_VALUE"""),5.0)</f>
        <v>5</v>
      </c>
      <c r="U148" s="213">
        <f>IFERROR(__xludf.DUMMYFUNCTION("""COMPUTED_VALUE"""),0.0)</f>
        <v>0</v>
      </c>
      <c r="V148" s="213" t="str">
        <f>IFERROR(__xludf.DUMMYFUNCTION("""COMPUTED_VALUE"""),"online")</f>
        <v>online</v>
      </c>
      <c r="W148" s="213" t="str">
        <f>IFERROR(__xludf.DUMMYFUNCTION("""COMPUTED_VALUE"""),"rcs")</f>
        <v>rcs</v>
      </c>
      <c r="X148" s="213" t="str">
        <f>IFERROR(__xludf.DUMMYFUNCTION("""COMPUTED_VALUE"""),"Sign Up Form")</f>
        <v>Sign Up Form</v>
      </c>
      <c r="Y148" s="213" t="str">
        <f>IFERROR(__xludf.DUMMYFUNCTION("""COMPUTED_VALUE"""),"1st May - 2nd May 2026")</f>
        <v>1st May - 2nd May 2026</v>
      </c>
      <c r="Z148" s="213" t="str">
        <f>IFERROR(__xludf.DUMMYFUNCTION("""COMPUTED_VALUE"""),"69f36fe66a7065ae6f30ceb8")</f>
        <v>69f36fe66a7065ae6f30ceb8</v>
      </c>
      <c r="AA148" s="213"/>
      <c r="AB148" s="213"/>
      <c r="AC148" s="213"/>
      <c r="AD148" s="213"/>
      <c r="AE148" s="213"/>
      <c r="AF148" s="213"/>
      <c r="AG148" s="208"/>
      <c r="AH148" s="208"/>
      <c r="AI148" s="208"/>
      <c r="AJ148" s="208"/>
      <c r="AK148" s="208"/>
    </row>
    <row r="149">
      <c r="A149" s="209">
        <f>IFERROR(__xludf.DUMMYFUNCTION("""COMPUTED_VALUE"""),46143.0)</f>
        <v>46143</v>
      </c>
      <c r="B149" s="210">
        <f>IFERROR(__xludf.DUMMYFUNCTION("""COMPUTED_VALUE"""),0.4270833333321207)</f>
        <v>0.4270833333</v>
      </c>
      <c r="C149" s="211" t="str">
        <f>IFERROR(__xludf.DUMMYFUNCTION("""COMPUTED_VALUE"""),"Rcs")</f>
        <v>Rcs</v>
      </c>
      <c r="D149" s="211" t="str">
        <f>IFERROR(__xludf.DUMMYFUNCTION("""COMPUTED_VALUE"""),"Fallback campaign")</f>
        <v>Fallback campaign</v>
      </c>
      <c r="E149" s="211" t="str">
        <f>IFERROR(__xludf.DUMMYFUNCTION("""COMPUTED_VALUE"""),"Aldo")</f>
        <v>Aldo</v>
      </c>
      <c r="F149" s="211" t="str">
        <f>IFERROR(__xludf.DUMMYFUNCTION("""COMPUTED_VALUE"""),"MAY BOGO 2026 1-3 MAY - B1G1")</f>
        <v>MAY BOGO 2026 1-3 MAY - B1G1</v>
      </c>
      <c r="G149" s="211" t="str">
        <f>IFERROR(__xludf.DUMMYFUNCTION("""COMPUTED_VALUE"""),"1 May BOGO_AL_ON_Cart_Exit_Intent")</f>
        <v>1 May BOGO_AL_ON_Cart_Exit_Intent</v>
      </c>
      <c r="H149" s="212" t="str">
        <f>IFERROR(__xludf.DUMMYFUNCTION("""COMPUTED_VALUE"""),"AL_ON_Cart_Exit_Intent")</f>
        <v>AL_ON_Cart_Exit_Intent</v>
      </c>
      <c r="I149" s="212" t="str">
        <f>IFERROR(__xludf.DUMMYFUNCTION("""COMPUTED_VALUE"""),"WA Undelivered")</f>
        <v>WA Undelivered</v>
      </c>
      <c r="J149" s="213">
        <f>IFERROR(__xludf.DUMMYFUNCTION("""COMPUTED_VALUE"""),10416.0)</f>
        <v>10416</v>
      </c>
      <c r="K149" s="213">
        <f>IFERROR(__xludf.DUMMYFUNCTION("""COMPUTED_VALUE"""),1832.0)</f>
        <v>1832</v>
      </c>
      <c r="L149" s="214">
        <f>IFERROR(__xludf.DUMMYFUNCTION("""COMPUTED_VALUE"""),0.175883256528418)</f>
        <v>0.1758832565</v>
      </c>
      <c r="M149" s="213">
        <f>IFERROR(__xludf.DUMMYFUNCTION("""COMPUTED_VALUE"""),266.0)</f>
        <v>266</v>
      </c>
      <c r="N149" s="214">
        <f>IFERROR(__xludf.DUMMYFUNCTION("""COMPUTED_VALUE"""),0.1452)</f>
        <v>0.1452</v>
      </c>
      <c r="O149" s="213">
        <f>IFERROR(__xludf.DUMMYFUNCTION("""COMPUTED_VALUE"""),35.0)</f>
        <v>35</v>
      </c>
      <c r="P149" s="213">
        <f>IFERROR(__xludf.DUMMYFUNCTION("""COMPUTED_VALUE"""),0.0)</f>
        <v>0</v>
      </c>
      <c r="Q149" s="214">
        <f>IFERROR(__xludf.DUMMYFUNCTION("""COMPUTED_VALUE"""),0.0207)</f>
        <v>0.0207</v>
      </c>
      <c r="R149" s="214">
        <f>IFERROR(__xludf.DUMMYFUNCTION("""COMPUTED_VALUE"""),0.0)</f>
        <v>0</v>
      </c>
      <c r="S149" s="213">
        <f>IFERROR(__xludf.DUMMYFUNCTION("""COMPUTED_VALUE"""),0.0)</f>
        <v>0</v>
      </c>
      <c r="T149" s="213">
        <f>IFERROR(__xludf.DUMMYFUNCTION("""COMPUTED_VALUE"""),25.0)</f>
        <v>25</v>
      </c>
      <c r="U149" s="213">
        <f>IFERROR(__xludf.DUMMYFUNCTION("""COMPUTED_VALUE"""),0.0)</f>
        <v>0</v>
      </c>
      <c r="V149" s="213" t="str">
        <f>IFERROR(__xludf.DUMMYFUNCTION("""COMPUTED_VALUE"""),"online")</f>
        <v>online</v>
      </c>
      <c r="W149" s="213" t="str">
        <f>IFERROR(__xludf.DUMMYFUNCTION("""COMPUTED_VALUE"""),"rcs")</f>
        <v>rcs</v>
      </c>
      <c r="X149" s="213" t="str">
        <f>IFERROR(__xludf.DUMMYFUNCTION("""COMPUTED_VALUE"""),"Exit Intent Form")</f>
        <v>Exit Intent Form</v>
      </c>
      <c r="Y149" s="213" t="str">
        <f>IFERROR(__xludf.DUMMYFUNCTION("""COMPUTED_VALUE"""),"1st May - 2nd May 2026")</f>
        <v>1st May - 2nd May 2026</v>
      </c>
      <c r="Z149" s="213" t="str">
        <f>IFERROR(__xludf.DUMMYFUNCTION("""COMPUTED_VALUE"""),"69f36ffe5a4eca78a0afc0f0")</f>
        <v>69f36ffe5a4eca78a0afc0f0</v>
      </c>
      <c r="AA149" s="213"/>
      <c r="AB149" s="213"/>
      <c r="AC149" s="213"/>
      <c r="AD149" s="213"/>
      <c r="AE149" s="213"/>
      <c r="AF149" s="213"/>
      <c r="AG149" s="208"/>
      <c r="AH149" s="208"/>
      <c r="AI149" s="208"/>
      <c r="AJ149" s="208"/>
      <c r="AK149" s="208"/>
    </row>
    <row r="150">
      <c r="A150" s="209">
        <f>IFERROR(__xludf.DUMMYFUNCTION("""COMPUTED_VALUE"""),46143.0)</f>
        <v>46143</v>
      </c>
      <c r="B150" s="210">
        <f>IFERROR(__xludf.DUMMYFUNCTION("""COMPUTED_VALUE"""),0.4375)</f>
        <v>0.4375</v>
      </c>
      <c r="C150" s="211" t="str">
        <f>IFERROR(__xludf.DUMMYFUNCTION("""COMPUTED_VALUE"""),"Rcs")</f>
        <v>Rcs</v>
      </c>
      <c r="D150" s="211" t="str">
        <f>IFERROR(__xludf.DUMMYFUNCTION("""COMPUTED_VALUE"""),"Fallback campaign")</f>
        <v>Fallback campaign</v>
      </c>
      <c r="E150" s="211" t="str">
        <f>IFERROR(__xludf.DUMMYFUNCTION("""COMPUTED_VALUE"""),"Aldo")</f>
        <v>Aldo</v>
      </c>
      <c r="F150" s="211" t="str">
        <f>IFERROR(__xludf.DUMMYFUNCTION("""COMPUTED_VALUE"""),"MAY BOGO 2026 1-3 MAY - B1G1")</f>
        <v>MAY BOGO 2026 1-3 MAY - B1G1</v>
      </c>
      <c r="G150" s="211" t="str">
        <f>IFERROR(__xludf.DUMMYFUNCTION("""COMPUTED_VALUE"""),"1 May BOGO_AL_ON_OFF_Recent")</f>
        <v>1 May BOGO_AL_ON_OFF_Recent</v>
      </c>
      <c r="H150" s="212" t="str">
        <f>IFERROR(__xludf.DUMMYFUNCTION("""COMPUTED_VALUE"""),"AL_ON_OFF_Recent")</f>
        <v>AL_ON_OFF_Recent</v>
      </c>
      <c r="I150" s="212" t="str">
        <f>IFERROR(__xludf.DUMMYFUNCTION("""COMPUTED_VALUE"""),"WA Undelivered")</f>
        <v>WA Undelivered</v>
      </c>
      <c r="J150" s="213">
        <f>IFERROR(__xludf.DUMMYFUNCTION("""COMPUTED_VALUE"""),7145.0)</f>
        <v>7145</v>
      </c>
      <c r="K150" s="213">
        <f>IFERROR(__xludf.DUMMYFUNCTION("""COMPUTED_VALUE"""),1261.0)</f>
        <v>1261</v>
      </c>
      <c r="L150" s="214">
        <f>IFERROR(__xludf.DUMMYFUNCTION("""COMPUTED_VALUE"""),0.176487053883835)</f>
        <v>0.1764870539</v>
      </c>
      <c r="M150" s="213">
        <f>IFERROR(__xludf.DUMMYFUNCTION("""COMPUTED_VALUE"""),210.0)</f>
        <v>210</v>
      </c>
      <c r="N150" s="214">
        <f>IFERROR(__xludf.DUMMYFUNCTION("""COMPUTED_VALUE"""),0.1665)</f>
        <v>0.1665</v>
      </c>
      <c r="O150" s="213">
        <f>IFERROR(__xludf.DUMMYFUNCTION("""COMPUTED_VALUE"""),16.0)</f>
        <v>16</v>
      </c>
      <c r="P150" s="213">
        <f>IFERROR(__xludf.DUMMYFUNCTION("""COMPUTED_VALUE"""),0.0)</f>
        <v>0</v>
      </c>
      <c r="Q150" s="214">
        <f>IFERROR(__xludf.DUMMYFUNCTION("""COMPUTED_VALUE"""),0.0159)</f>
        <v>0.0159</v>
      </c>
      <c r="R150" s="214">
        <f>IFERROR(__xludf.DUMMYFUNCTION("""COMPUTED_VALUE"""),0.0)</f>
        <v>0</v>
      </c>
      <c r="S150" s="213">
        <f>IFERROR(__xludf.DUMMYFUNCTION("""COMPUTED_VALUE"""),3.0)</f>
        <v>3</v>
      </c>
      <c r="T150" s="213">
        <f>IFERROR(__xludf.DUMMYFUNCTION("""COMPUTED_VALUE"""),1.0)</f>
        <v>1</v>
      </c>
      <c r="U150" s="213">
        <f>IFERROR(__xludf.DUMMYFUNCTION("""COMPUTED_VALUE"""),258985.0)</f>
        <v>258985</v>
      </c>
      <c r="V150" s="213" t="str">
        <f>IFERROR(__xludf.DUMMYFUNCTION("""COMPUTED_VALUE"""),"overall")</f>
        <v>overall</v>
      </c>
      <c r="W150" s="213" t="str">
        <f>IFERROR(__xludf.DUMMYFUNCTION("""COMPUTED_VALUE"""),"rcs")</f>
        <v>rcs</v>
      </c>
      <c r="X150" s="213" t="str">
        <f>IFERROR(__xludf.DUMMYFUNCTION("""COMPUTED_VALUE"""),"Recent")</f>
        <v>Recent</v>
      </c>
      <c r="Y150" s="213" t="str">
        <f>IFERROR(__xludf.DUMMYFUNCTION("""COMPUTED_VALUE"""),"1st May - 2nd May 2026")</f>
        <v>1st May - 2nd May 2026</v>
      </c>
      <c r="Z150" s="213" t="str">
        <f>IFERROR(__xludf.DUMMYFUNCTION("""COMPUTED_VALUE"""),"69f3714b60a50b833cd0218a")</f>
        <v>69f3714b60a50b833cd0218a</v>
      </c>
      <c r="AA150" s="213"/>
      <c r="AB150" s="213"/>
      <c r="AC150" s="213"/>
      <c r="AD150" s="213"/>
      <c r="AE150" s="213"/>
      <c r="AF150" s="213"/>
      <c r="AG150" s="208"/>
      <c r="AH150" s="208"/>
      <c r="AI150" s="208"/>
      <c r="AJ150" s="208"/>
      <c r="AK150" s="208"/>
    </row>
    <row r="151">
      <c r="A151" s="209">
        <f>IFERROR(__xludf.DUMMYFUNCTION("""COMPUTED_VALUE"""),46144.0)</f>
        <v>46144</v>
      </c>
      <c r="B151" s="210">
        <f>IFERROR(__xludf.DUMMYFUNCTION("""COMPUTED_VALUE"""),0.4166666666678793)</f>
        <v>0.4166666667</v>
      </c>
      <c r="C151" s="211" t="str">
        <f>IFERROR(__xludf.DUMMYFUNCTION("""COMPUTED_VALUE"""),"Whatsapp")</f>
        <v>Whatsapp</v>
      </c>
      <c r="D151" s="211" t="str">
        <f>IFERROR(__xludf.DUMMYFUNCTION("""COMPUTED_VALUE"""),"Promtional")</f>
        <v>Promtional</v>
      </c>
      <c r="E151" s="211" t="str">
        <f>IFERROR(__xludf.DUMMYFUNCTION("""COMPUTED_VALUE"""),"Aldo")</f>
        <v>Aldo</v>
      </c>
      <c r="F151" s="211" t="str">
        <f>IFERROR(__xludf.DUMMYFUNCTION("""COMPUTED_VALUE"""),"MAY BOGO 2026 1-3 MAY - B1G1")</f>
        <v>MAY BOGO 2026 1-3 MAY - B1G1</v>
      </c>
      <c r="G151" s="211" t="str">
        <f>IFERROR(__xludf.DUMMYFUNCTION("""COMPUTED_VALUE"""),"AL_BOGO_30Apr_26_FaliedOrders")</f>
        <v>AL_BOGO_30Apr_26_FaliedOrders</v>
      </c>
      <c r="H151" s="212" t="str">
        <f>IFERROR(__xludf.DUMMYFUNCTION("""COMPUTED_VALUE"""),"ALDO_BOGO_FailedOrders_30Apr26")</f>
        <v>ALDO_BOGO_FailedOrders_30Apr26</v>
      </c>
      <c r="I151" s="212" t="str">
        <f>IFERROR(__xludf.DUMMYFUNCTION("""COMPUTED_VALUE"""),"No Brief")</f>
        <v>No Brief</v>
      </c>
      <c r="J151" s="213">
        <f>IFERROR(__xludf.DUMMYFUNCTION("""COMPUTED_VALUE"""),67.0)</f>
        <v>67</v>
      </c>
      <c r="K151" s="213">
        <f>IFERROR(__xludf.DUMMYFUNCTION("""COMPUTED_VALUE"""),37.0)</f>
        <v>37</v>
      </c>
      <c r="L151" s="214">
        <f>IFERROR(__xludf.DUMMYFUNCTION("""COMPUTED_VALUE"""),0.5522)</f>
        <v>0.5522</v>
      </c>
      <c r="M151" s="213">
        <f>IFERROR(__xludf.DUMMYFUNCTION("""COMPUTED_VALUE"""),22.0)</f>
        <v>22</v>
      </c>
      <c r="N151" s="214">
        <f>IFERROR(__xludf.DUMMYFUNCTION("""COMPUTED_VALUE"""),0.5946)</f>
        <v>0.5946</v>
      </c>
      <c r="O151" s="213">
        <f>IFERROR(__xludf.DUMMYFUNCTION("""COMPUTED_VALUE"""),3.0)</f>
        <v>3</v>
      </c>
      <c r="P151" s="213">
        <f>IFERROR(__xludf.DUMMYFUNCTION("""COMPUTED_VALUE"""),3.0)</f>
        <v>3</v>
      </c>
      <c r="Q151" s="214">
        <f>IFERROR(__xludf.DUMMYFUNCTION("""COMPUTED_VALUE"""),0.0811)</f>
        <v>0.0811</v>
      </c>
      <c r="R151" s="214">
        <f>IFERROR(__xludf.DUMMYFUNCTION("""COMPUTED_VALUE"""),0.1364)</f>
        <v>0.1364</v>
      </c>
      <c r="S151" s="213">
        <f>IFERROR(__xludf.DUMMYFUNCTION("""COMPUTED_VALUE"""),0.0)</f>
        <v>0</v>
      </c>
      <c r="T151" s="213">
        <f>IFERROR(__xludf.DUMMYFUNCTION("""COMPUTED_VALUE"""),0.0)</f>
        <v>0</v>
      </c>
      <c r="U151" s="213">
        <f>IFERROR(__xludf.DUMMYFUNCTION("""COMPUTED_VALUE"""),0.0)</f>
        <v>0</v>
      </c>
      <c r="V151" s="213" t="str">
        <f>IFERROR(__xludf.DUMMYFUNCTION("""COMPUTED_VALUE"""),"online")</f>
        <v>online</v>
      </c>
      <c r="W151" s="213" t="str">
        <f>IFERROR(__xludf.DUMMYFUNCTION("""COMPUTED_VALUE"""),"simple")</f>
        <v>simple</v>
      </c>
      <c r="X151" s="213" t="str">
        <f>IFERROR(__xludf.DUMMYFUNCTION("""COMPUTED_VALUE"""),"No Brief")</f>
        <v>No Brief</v>
      </c>
      <c r="Y151" s="213" t="str">
        <f>IFERROR(__xludf.DUMMYFUNCTION("""COMPUTED_VALUE"""),"2nd May")</f>
        <v>2nd May</v>
      </c>
      <c r="Z151" s="213" t="str">
        <f>IFERROR(__xludf.DUMMYFUNCTION("""COMPUTED_VALUE"""),"69f4e2235b7aaa358dc4f11c")</f>
        <v>69f4e2235b7aaa358dc4f11c</v>
      </c>
      <c r="AA151" s="213"/>
      <c r="AB151" s="213"/>
      <c r="AC151" s="213"/>
      <c r="AD151" s="213"/>
      <c r="AE151" s="213"/>
      <c r="AF151" s="213"/>
      <c r="AG151" s="208"/>
      <c r="AH151" s="208"/>
      <c r="AI151" s="208"/>
      <c r="AJ151" s="208"/>
      <c r="AK151" s="208"/>
    </row>
    <row r="152">
      <c r="A152" s="209">
        <f>IFERROR(__xludf.DUMMYFUNCTION("""COMPUTED_VALUE"""),46144.0)</f>
        <v>46144</v>
      </c>
      <c r="B152" s="210">
        <f>IFERROR(__xludf.DUMMYFUNCTION("""COMPUTED_VALUE"""),0.59375)</f>
        <v>0.59375</v>
      </c>
      <c r="C152" s="211" t="str">
        <f>IFERROR(__xludf.DUMMYFUNCTION("""COMPUTED_VALUE"""),"Whatsapp")</f>
        <v>Whatsapp</v>
      </c>
      <c r="D152" s="211" t="str">
        <f>IFERROR(__xludf.DUMMYFUNCTION("""COMPUTED_VALUE"""),"Promtional")</f>
        <v>Promtional</v>
      </c>
      <c r="E152" s="211" t="str">
        <f>IFERROR(__xludf.DUMMYFUNCTION("""COMPUTED_VALUE"""),"Aldo")</f>
        <v>Aldo</v>
      </c>
      <c r="F152" s="211" t="str">
        <f>IFERROR(__xludf.DUMMYFUNCTION("""COMPUTED_VALUE"""),"MAY BOGO 2026 1-3 MAY - B1G1")</f>
        <v>MAY BOGO 2026 1-3 MAY - B1G1</v>
      </c>
      <c r="G152" s="211" t="str">
        <f>IFERROR(__xludf.DUMMYFUNCTION("""COMPUTED_VALUE"""),"failedorders_may2_bogo_al")</f>
        <v>failedorders_may2_bogo_al</v>
      </c>
      <c r="H152" s="212" t="str">
        <f>IFERROR(__xludf.DUMMYFUNCTION("""COMPUTED_VALUE"""),"ALDO_Failed_Orders_1May26")</f>
        <v>ALDO_Failed_Orders_1May26</v>
      </c>
      <c r="I152" s="212" t="str">
        <f>IFERROR(__xludf.DUMMYFUNCTION("""COMPUTED_VALUE"""),"No Brief")</f>
        <v>No Brief</v>
      </c>
      <c r="J152" s="213">
        <f>IFERROR(__xludf.DUMMYFUNCTION("""COMPUTED_VALUE"""),74.0)</f>
        <v>74</v>
      </c>
      <c r="K152" s="213">
        <f>IFERROR(__xludf.DUMMYFUNCTION("""COMPUTED_VALUE"""),33.0)</f>
        <v>33</v>
      </c>
      <c r="L152" s="214">
        <f>IFERROR(__xludf.DUMMYFUNCTION("""COMPUTED_VALUE"""),0.4459)</f>
        <v>0.4459</v>
      </c>
      <c r="M152" s="213">
        <f>IFERROR(__xludf.DUMMYFUNCTION("""COMPUTED_VALUE"""),18.0)</f>
        <v>18</v>
      </c>
      <c r="N152" s="214">
        <f>IFERROR(__xludf.DUMMYFUNCTION("""COMPUTED_VALUE"""),0.5455)</f>
        <v>0.5455</v>
      </c>
      <c r="O152" s="213">
        <f>IFERROR(__xludf.DUMMYFUNCTION("""COMPUTED_VALUE"""),7.0)</f>
        <v>7</v>
      </c>
      <c r="P152" s="213">
        <f>IFERROR(__xludf.DUMMYFUNCTION("""COMPUTED_VALUE"""),7.0)</f>
        <v>7</v>
      </c>
      <c r="Q152" s="214">
        <f>IFERROR(__xludf.DUMMYFUNCTION("""COMPUTED_VALUE"""),0.2121)</f>
        <v>0.2121</v>
      </c>
      <c r="R152" s="214">
        <f>IFERROR(__xludf.DUMMYFUNCTION("""COMPUTED_VALUE"""),0.3889)</f>
        <v>0.3889</v>
      </c>
      <c r="S152" s="213">
        <f>IFERROR(__xludf.DUMMYFUNCTION("""COMPUTED_VALUE"""),0.0)</f>
        <v>0</v>
      </c>
      <c r="T152" s="213">
        <f>IFERROR(__xludf.DUMMYFUNCTION("""COMPUTED_VALUE"""),2.0)</f>
        <v>2</v>
      </c>
      <c r="U152" s="213">
        <f>IFERROR(__xludf.DUMMYFUNCTION("""COMPUTED_VALUE"""),0.0)</f>
        <v>0</v>
      </c>
      <c r="V152" s="213" t="str">
        <f>IFERROR(__xludf.DUMMYFUNCTION("""COMPUTED_VALUE"""),"online")</f>
        <v>online</v>
      </c>
      <c r="W152" s="213" t="str">
        <f>IFERROR(__xludf.DUMMYFUNCTION("""COMPUTED_VALUE"""),"simple")</f>
        <v>simple</v>
      </c>
      <c r="X152" s="213" t="str">
        <f>IFERROR(__xludf.DUMMYFUNCTION("""COMPUTED_VALUE"""),"No Brief")</f>
        <v>No Brief</v>
      </c>
      <c r="Y152" s="213" t="str">
        <f>IFERROR(__xludf.DUMMYFUNCTION("""COMPUTED_VALUE"""),"2nd May")</f>
        <v>2nd May</v>
      </c>
      <c r="Z152" s="213" t="str">
        <f>IFERROR(__xludf.DUMMYFUNCTION("""COMPUTED_VALUE"""),"69f5b88f00938eb8d807ea20")</f>
        <v>69f5b88f00938eb8d807ea20</v>
      </c>
      <c r="AA152" s="213"/>
      <c r="AB152" s="213"/>
      <c r="AC152" s="213"/>
      <c r="AD152" s="213"/>
      <c r="AE152" s="213"/>
      <c r="AF152" s="213"/>
      <c r="AG152" s="208"/>
      <c r="AH152" s="208"/>
      <c r="AI152" s="208"/>
      <c r="AJ152" s="208"/>
      <c r="AK152" s="208"/>
    </row>
    <row r="153">
      <c r="A153" s="209">
        <f>IFERROR(__xludf.DUMMYFUNCTION("""COMPUTED_VALUE"""),46144.0)</f>
        <v>46144</v>
      </c>
      <c r="B153" s="210">
        <f>IFERROR(__xludf.DUMMYFUNCTION("""COMPUTED_VALUE"""),0.7291666666678793)</f>
        <v>0.7291666667</v>
      </c>
      <c r="C153" s="211" t="str">
        <f>IFERROR(__xludf.DUMMYFUNCTION("""COMPUTED_VALUE"""),"Whatsapp")</f>
        <v>Whatsapp</v>
      </c>
      <c r="D153" s="211" t="str">
        <f>IFERROR(__xludf.DUMMYFUNCTION("""COMPUTED_VALUE"""),"Promtional")</f>
        <v>Promtional</v>
      </c>
      <c r="E153" s="211" t="str">
        <f>IFERROR(__xludf.DUMMYFUNCTION("""COMPUTED_VALUE"""),"Aldo")</f>
        <v>Aldo</v>
      </c>
      <c r="F153" s="211" t="str">
        <f>IFERROR(__xludf.DUMMYFUNCTION("""COMPUTED_VALUE"""),"MAY BOGO 2026 1-3 MAY - B1G1")</f>
        <v>MAY BOGO 2026 1-3 MAY - B1G1</v>
      </c>
      <c r="G153" s="211" t="str">
        <f>IFERROR(__xludf.DUMMYFUNCTION("""COMPUTED_VALUE"""),"BOGO_ALDO_MMR_Base_Off")</f>
        <v>BOGO_ALDO_MMR_Base_Off</v>
      </c>
      <c r="H153" s="212" t="str">
        <f>IFERROR(__xludf.DUMMYFUNCTION("""COMPUTED_VALUE"""),"ALDO_MMR_Base_Off")</f>
        <v>ALDO_MMR_Base_Off</v>
      </c>
      <c r="I153" s="212" t="str">
        <f>IFERROR(__xludf.DUMMYFUNCTION("""COMPUTED_VALUE"""),"No Brief")</f>
        <v>No Brief</v>
      </c>
      <c r="J153" s="213">
        <f>IFERROR(__xludf.DUMMYFUNCTION("""COMPUTED_VALUE"""),36271.0)</f>
        <v>36271</v>
      </c>
      <c r="K153" s="213">
        <f>IFERROR(__xludf.DUMMYFUNCTION("""COMPUTED_VALUE"""),13722.0)</f>
        <v>13722</v>
      </c>
      <c r="L153" s="214">
        <f>IFERROR(__xludf.DUMMYFUNCTION("""COMPUTED_VALUE"""),0.3782)</f>
        <v>0.3782</v>
      </c>
      <c r="M153" s="213">
        <f>IFERROR(__xludf.DUMMYFUNCTION("""COMPUTED_VALUE"""),5611.0)</f>
        <v>5611</v>
      </c>
      <c r="N153" s="214">
        <f>IFERROR(__xludf.DUMMYFUNCTION("""COMPUTED_VALUE"""),0.4089)</f>
        <v>0.4089</v>
      </c>
      <c r="O153" s="213">
        <f>IFERROR(__xludf.DUMMYFUNCTION("""COMPUTED_VALUE"""),655.0)</f>
        <v>655</v>
      </c>
      <c r="P153" s="213">
        <f>IFERROR(__xludf.DUMMYFUNCTION("""COMPUTED_VALUE"""),597.0)</f>
        <v>597</v>
      </c>
      <c r="Q153" s="214">
        <f>IFERROR(__xludf.DUMMYFUNCTION("""COMPUTED_VALUE"""),0.0435)</f>
        <v>0.0435</v>
      </c>
      <c r="R153" s="214">
        <f>IFERROR(__xludf.DUMMYFUNCTION("""COMPUTED_VALUE"""),0.1064)</f>
        <v>0.1064</v>
      </c>
      <c r="S153" s="213">
        <f>IFERROR(__xludf.DUMMYFUNCTION("""COMPUTED_VALUE"""),3.0)</f>
        <v>3</v>
      </c>
      <c r="T153" s="213">
        <f>IFERROR(__xludf.DUMMYFUNCTION("""COMPUTED_VALUE"""),9.0)</f>
        <v>9</v>
      </c>
      <c r="U153" s="213">
        <f>IFERROR(__xludf.DUMMYFUNCTION("""COMPUTED_VALUE"""),50996.0)</f>
        <v>50996</v>
      </c>
      <c r="V153" s="213" t="str">
        <f>IFERROR(__xludf.DUMMYFUNCTION("""COMPUTED_VALUE"""),"offline")</f>
        <v>offline</v>
      </c>
      <c r="W153" s="213" t="str">
        <f>IFERROR(__xludf.DUMMYFUNCTION("""COMPUTED_VALUE"""),"simple")</f>
        <v>simple</v>
      </c>
      <c r="X153" s="213" t="str">
        <f>IFERROR(__xludf.DUMMYFUNCTION("""COMPUTED_VALUE"""),"No Brief")</f>
        <v>No Brief</v>
      </c>
      <c r="Y153" s="213" t="str">
        <f>IFERROR(__xludf.DUMMYFUNCTION("""COMPUTED_VALUE"""),"2nd May")</f>
        <v>2nd May</v>
      </c>
      <c r="Z153" s="213" t="str">
        <f>IFERROR(__xludf.DUMMYFUNCTION("""COMPUTED_VALUE"""),"69f5d95d733b0268213d5b3e")</f>
        <v>69f5d95d733b0268213d5b3e</v>
      </c>
      <c r="AA153" s="213"/>
      <c r="AB153" s="213"/>
      <c r="AC153" s="213"/>
      <c r="AD153" s="213"/>
      <c r="AE153" s="213"/>
      <c r="AF153" s="213"/>
      <c r="AG153" s="208"/>
      <c r="AH153" s="208"/>
      <c r="AI153" s="208"/>
      <c r="AJ153" s="208"/>
      <c r="AK153" s="208"/>
    </row>
    <row r="154">
      <c r="A154" s="209">
        <f>IFERROR(__xludf.DUMMYFUNCTION("""COMPUTED_VALUE"""),46144.0)</f>
        <v>46144</v>
      </c>
      <c r="B154" s="210">
        <f>IFERROR(__xludf.DUMMYFUNCTION("""COMPUTED_VALUE"""),0.6666666666678793)</f>
        <v>0.6666666667</v>
      </c>
      <c r="C154" s="211" t="str">
        <f>IFERROR(__xludf.DUMMYFUNCTION("""COMPUTED_VALUE"""),"Sms")</f>
        <v>Sms</v>
      </c>
      <c r="D154" s="211" t="str">
        <f>IFERROR(__xludf.DUMMYFUNCTION("""COMPUTED_VALUE"""),"Fallback campaign")</f>
        <v>Fallback campaign</v>
      </c>
      <c r="E154" s="211" t="str">
        <f>IFERROR(__xludf.DUMMYFUNCTION("""COMPUTED_VALUE"""),"Aldo")</f>
        <v>Aldo</v>
      </c>
      <c r="F154" s="211" t="str">
        <f>IFERROR(__xludf.DUMMYFUNCTION("""COMPUTED_VALUE"""),"MAY BOGO 2026 1-3 MAY - No Brief")</f>
        <v>MAY BOGO 2026 1-3 MAY - No Brief</v>
      </c>
      <c r="G154" s="211" t="str">
        <f>IFERROR(__xludf.DUMMYFUNCTION("""COMPUTED_VALUE"""),"Failed_orders_fallbk_sms")</f>
        <v>Failed_orders_fallbk_sms</v>
      </c>
      <c r="H154" s="212" t="str">
        <f>IFERROR(__xludf.DUMMYFUNCTION("""COMPUTED_VALUE"""),"ALDO_Failed_Orders_1May26")</f>
        <v>ALDO_Failed_Orders_1May26</v>
      </c>
      <c r="I154" s="212" t="str">
        <f>IFERROR(__xludf.DUMMYFUNCTION("""COMPUTED_VALUE"""),"WA Undelivered")</f>
        <v>WA Undelivered</v>
      </c>
      <c r="J154" s="213">
        <f>IFERROR(__xludf.DUMMYFUNCTION("""COMPUTED_VALUE"""),61.0)</f>
        <v>61</v>
      </c>
      <c r="K154" s="213">
        <f>IFERROR(__xludf.DUMMYFUNCTION("""COMPUTED_VALUE"""),39.0)</f>
        <v>39</v>
      </c>
      <c r="L154" s="214">
        <f>IFERROR(__xludf.DUMMYFUNCTION("""COMPUTED_VALUE"""),0.6393)</f>
        <v>0.6393</v>
      </c>
      <c r="M154" s="213">
        <f>IFERROR(__xludf.DUMMYFUNCTION("""COMPUTED_VALUE"""),0.0)</f>
        <v>0</v>
      </c>
      <c r="N154" s="214">
        <f>IFERROR(__xludf.DUMMYFUNCTION("""COMPUTED_VALUE"""),0.0)</f>
        <v>0</v>
      </c>
      <c r="O154" s="213">
        <f>IFERROR(__xludf.DUMMYFUNCTION("""COMPUTED_VALUE"""),0.0)</f>
        <v>0</v>
      </c>
      <c r="P154" s="213">
        <f>IFERROR(__xludf.DUMMYFUNCTION("""COMPUTED_VALUE"""),0.0)</f>
        <v>0</v>
      </c>
      <c r="Q154" s="214">
        <f>IFERROR(__xludf.DUMMYFUNCTION("""COMPUTED_VALUE"""),0.0)</f>
        <v>0</v>
      </c>
      <c r="R154" s="214">
        <f>IFERROR(__xludf.DUMMYFUNCTION("""COMPUTED_VALUE"""),0.0)</f>
        <v>0</v>
      </c>
      <c r="S154" s="213">
        <f>IFERROR(__xludf.DUMMYFUNCTION("""COMPUTED_VALUE"""),1.0)</f>
        <v>1</v>
      </c>
      <c r="T154" s="213">
        <f>IFERROR(__xludf.DUMMYFUNCTION("""COMPUTED_VALUE"""),4.0)</f>
        <v>4</v>
      </c>
      <c r="U154" s="213">
        <f>IFERROR(__xludf.DUMMYFUNCTION("""COMPUTED_VALUE"""),12999.0)</f>
        <v>12999</v>
      </c>
      <c r="V154" s="213" t="str">
        <f>IFERROR(__xludf.DUMMYFUNCTION("""COMPUTED_VALUE"""),"online")</f>
        <v>online</v>
      </c>
      <c r="W154" s="213" t="str">
        <f>IFERROR(__xludf.DUMMYFUNCTION("""COMPUTED_VALUE"""),"sms")</f>
        <v>sms</v>
      </c>
      <c r="X154" s="213" t="str">
        <f>IFERROR(__xludf.DUMMYFUNCTION("""COMPUTED_VALUE"""),"ALDO Failed Orders")</f>
        <v>ALDO Failed Orders</v>
      </c>
      <c r="Y154" s="213" t="str">
        <f>IFERROR(__xludf.DUMMYFUNCTION("""COMPUTED_VALUE"""),"2nd May")</f>
        <v>2nd May</v>
      </c>
      <c r="Z154" s="213" t="str">
        <f>IFERROR(__xludf.DUMMYFUNCTION("""COMPUTED_VALUE"""),"69f5c9c11d77cbde5068aac2")</f>
        <v>69f5c9c11d77cbde5068aac2</v>
      </c>
      <c r="AA154" s="213"/>
      <c r="AB154" s="213"/>
      <c r="AC154" s="213"/>
      <c r="AD154" s="213"/>
      <c r="AE154" s="213"/>
      <c r="AF154" s="213"/>
      <c r="AG154" s="208"/>
      <c r="AH154" s="208"/>
      <c r="AI154" s="208"/>
      <c r="AJ154" s="208"/>
      <c r="AK154" s="208"/>
    </row>
    <row r="155">
      <c r="A155" s="209">
        <f>IFERROR(__xludf.DUMMYFUNCTION("""COMPUTED_VALUE"""),46145.0)</f>
        <v>46145</v>
      </c>
      <c r="B155" s="210">
        <f>IFERROR(__xludf.DUMMYFUNCTION("""COMPUTED_VALUE"""),0.3541666666678793)</f>
        <v>0.3541666667</v>
      </c>
      <c r="C155" s="211" t="str">
        <f>IFERROR(__xludf.DUMMYFUNCTION("""COMPUTED_VALUE"""),"Whatsapp")</f>
        <v>Whatsapp</v>
      </c>
      <c r="D155" s="211" t="str">
        <f>IFERROR(__xludf.DUMMYFUNCTION("""COMPUTED_VALUE"""),"Promtional")</f>
        <v>Promtional</v>
      </c>
      <c r="E155" s="211" t="str">
        <f>IFERROR(__xludf.DUMMYFUNCTION("""COMPUTED_VALUE"""),"Aldo")</f>
        <v>Aldo</v>
      </c>
      <c r="F155" s="211" t="str">
        <f>IFERROR(__xludf.DUMMYFUNCTION("""COMPUTED_VALUE"""),"MAY BOGO 2026 1-3 MAY - B1G1")</f>
        <v>MAY BOGO 2026 1-3 MAY - B1G1</v>
      </c>
      <c r="G155" s="211" t="str">
        <f>IFERROR(__xludf.DUMMYFUNCTION("""COMPUTED_VALUE"""),"WA_3rdMay_BOGO_AL_ON_ATC_90D")</f>
        <v>WA_3rdMay_BOGO_AL_ON_ATC_90D</v>
      </c>
      <c r="H155" s="212" t="str">
        <f>IFERROR(__xludf.DUMMYFUNCTION("""COMPUTED_VALUE"""),"AL_ON_ATC_90D")</f>
        <v>AL_ON_ATC_90D</v>
      </c>
      <c r="I155" s="212" t="str">
        <f>IFERROR(__xludf.DUMMYFUNCTION("""COMPUTED_VALUE"""),"All customers who have added to cart at least 2 times in the last 90 days but have not purchased")</f>
        <v>All customers who have added to cart at least 2 times in the last 90 days but have not purchased</v>
      </c>
      <c r="J155" s="213">
        <f>IFERROR(__xludf.DUMMYFUNCTION("""COMPUTED_VALUE"""),3041.0)</f>
        <v>3041</v>
      </c>
      <c r="K155" s="213">
        <f>IFERROR(__xludf.DUMMYFUNCTION("""COMPUTED_VALUE"""),1706.0)</f>
        <v>1706</v>
      </c>
      <c r="L155" s="214">
        <f>IFERROR(__xludf.DUMMYFUNCTION("""COMPUTED_VALUE"""),0.561)</f>
        <v>0.561</v>
      </c>
      <c r="M155" s="213">
        <f>IFERROR(__xludf.DUMMYFUNCTION("""COMPUTED_VALUE"""),746.0)</f>
        <v>746</v>
      </c>
      <c r="N155" s="214">
        <f>IFERROR(__xludf.DUMMYFUNCTION("""COMPUTED_VALUE"""),0.4367)</f>
        <v>0.4367</v>
      </c>
      <c r="O155" s="213">
        <f>IFERROR(__xludf.DUMMYFUNCTION("""COMPUTED_VALUE"""),165.0)</f>
        <v>165</v>
      </c>
      <c r="P155" s="213">
        <f>IFERROR(__xludf.DUMMYFUNCTION("""COMPUTED_VALUE"""),151.0)</f>
        <v>151</v>
      </c>
      <c r="Q155" s="214">
        <f>IFERROR(__xludf.DUMMYFUNCTION("""COMPUTED_VALUE"""),0.0885)</f>
        <v>0.0885</v>
      </c>
      <c r="R155" s="214">
        <f>IFERROR(__xludf.DUMMYFUNCTION("""COMPUTED_VALUE"""),0.2027)</f>
        <v>0.2027</v>
      </c>
      <c r="S155" s="213">
        <f>IFERROR(__xludf.DUMMYFUNCTION("""COMPUTED_VALUE"""),33.0)</f>
        <v>33</v>
      </c>
      <c r="T155" s="213">
        <f>IFERROR(__xludf.DUMMYFUNCTION("""COMPUTED_VALUE"""),126.0)</f>
        <v>126</v>
      </c>
      <c r="U155" s="213">
        <f>IFERROR(__xludf.DUMMYFUNCTION("""COMPUTED_VALUE"""),400992.2)</f>
        <v>400992.2</v>
      </c>
      <c r="V155" s="213" t="str">
        <f>IFERROR(__xludf.DUMMYFUNCTION("""COMPUTED_VALUE"""),"online")</f>
        <v>online</v>
      </c>
      <c r="W155" s="213" t="str">
        <f>IFERROR(__xludf.DUMMYFUNCTION("""COMPUTED_VALUE"""),"simple")</f>
        <v>simple</v>
      </c>
      <c r="X155" s="213" t="str">
        <f>IFERROR(__xludf.DUMMYFUNCTION("""COMPUTED_VALUE"""),"Add to Cart")</f>
        <v>Add to Cart</v>
      </c>
      <c r="Y155" s="213" t="str">
        <f>IFERROR(__xludf.DUMMYFUNCTION("""COMPUTED_VALUE"""),"3rd May - 4th May 2026")</f>
        <v>3rd May - 4th May 2026</v>
      </c>
      <c r="Z155" s="213" t="str">
        <f>IFERROR(__xludf.DUMMYFUNCTION("""COMPUTED_VALUE"""),"69f58df99d755decca1436bd")</f>
        <v>69f58df99d755decca1436bd</v>
      </c>
      <c r="AA155" s="213"/>
      <c r="AB155" s="213"/>
      <c r="AC155" s="213"/>
      <c r="AD155" s="213"/>
      <c r="AE155" s="213"/>
      <c r="AF155" s="213"/>
      <c r="AG155" s="208"/>
      <c r="AH155" s="208"/>
      <c r="AI155" s="208"/>
      <c r="AJ155" s="208"/>
      <c r="AK155" s="208"/>
    </row>
    <row r="156">
      <c r="A156" s="209">
        <f>IFERROR(__xludf.DUMMYFUNCTION("""COMPUTED_VALUE"""),46145.0)</f>
        <v>46145</v>
      </c>
      <c r="B156" s="210">
        <f>IFERROR(__xludf.DUMMYFUNCTION("""COMPUTED_VALUE"""),0.3541666666678793)</f>
        <v>0.3541666667</v>
      </c>
      <c r="C156" s="211" t="str">
        <f>IFERROR(__xludf.DUMMYFUNCTION("""COMPUTED_VALUE"""),"Whatsapp")</f>
        <v>Whatsapp</v>
      </c>
      <c r="D156" s="211" t="str">
        <f>IFERROR(__xludf.DUMMYFUNCTION("""COMPUTED_VALUE"""),"Promtional")</f>
        <v>Promtional</v>
      </c>
      <c r="E156" s="211" t="str">
        <f>IFERROR(__xludf.DUMMYFUNCTION("""COMPUTED_VALUE"""),"Aldo")</f>
        <v>Aldo</v>
      </c>
      <c r="F156" s="211" t="str">
        <f>IFERROR(__xludf.DUMMYFUNCTION("""COMPUTED_VALUE"""),"MAY BOGO 2026 1-3 MAY - B1G1")</f>
        <v>MAY BOGO 2026 1-3 MAY - B1G1</v>
      </c>
      <c r="G156" s="211" t="str">
        <f>IFERROR(__xludf.DUMMYFUNCTION("""COMPUTED_VALUE"""),"WA_3rdMay_BOGO_AL_ON_View_Item")</f>
        <v>WA_3rdMay_BOGO_AL_ON_View_Item</v>
      </c>
      <c r="H156" s="212" t="str">
        <f>IFERROR(__xludf.DUMMYFUNCTION("""COMPUTED_VALUE"""),"AL_ON_View_Item")</f>
        <v>AL_ON_View_Item</v>
      </c>
      <c r="I156" s="212" t="str">
        <f>IFERROR(__xludf.DUMMYFUNCTION("""COMPUTED_VALUE"""),"All customers who have Viewed Item at least 5 times in the last 90 days but have not purchased")</f>
        <v>All customers who have Viewed Item at least 5 times in the last 90 days but have not purchased</v>
      </c>
      <c r="J156" s="213">
        <f>IFERROR(__xludf.DUMMYFUNCTION("""COMPUTED_VALUE"""),2216.0)</f>
        <v>2216</v>
      </c>
      <c r="K156" s="213">
        <f>IFERROR(__xludf.DUMMYFUNCTION("""COMPUTED_VALUE"""),1266.0)</f>
        <v>1266</v>
      </c>
      <c r="L156" s="214">
        <f>IFERROR(__xludf.DUMMYFUNCTION("""COMPUTED_VALUE"""),0.5713)</f>
        <v>0.5713</v>
      </c>
      <c r="M156" s="213">
        <f>IFERROR(__xludf.DUMMYFUNCTION("""COMPUTED_VALUE"""),548.0)</f>
        <v>548</v>
      </c>
      <c r="N156" s="214">
        <f>IFERROR(__xludf.DUMMYFUNCTION("""COMPUTED_VALUE"""),0.4329)</f>
        <v>0.4329</v>
      </c>
      <c r="O156" s="213">
        <f>IFERROR(__xludf.DUMMYFUNCTION("""COMPUTED_VALUE"""),127.0)</f>
        <v>127</v>
      </c>
      <c r="P156" s="213">
        <f>IFERROR(__xludf.DUMMYFUNCTION("""COMPUTED_VALUE"""),114.0)</f>
        <v>114</v>
      </c>
      <c r="Q156" s="214">
        <f>IFERROR(__xludf.DUMMYFUNCTION("""COMPUTED_VALUE"""),0.09)</f>
        <v>0.09</v>
      </c>
      <c r="R156" s="214">
        <f>IFERROR(__xludf.DUMMYFUNCTION("""COMPUTED_VALUE"""),0.208)</f>
        <v>0.208</v>
      </c>
      <c r="S156" s="213">
        <f>IFERROR(__xludf.DUMMYFUNCTION("""COMPUTED_VALUE"""),6.0)</f>
        <v>6</v>
      </c>
      <c r="T156" s="213">
        <f>IFERROR(__xludf.DUMMYFUNCTION("""COMPUTED_VALUE"""),32.0)</f>
        <v>32</v>
      </c>
      <c r="U156" s="213">
        <f>IFERROR(__xludf.DUMMYFUNCTION("""COMPUTED_VALUE"""),103993.0)</f>
        <v>103993</v>
      </c>
      <c r="V156" s="213" t="str">
        <f>IFERROR(__xludf.DUMMYFUNCTION("""COMPUTED_VALUE"""),"online")</f>
        <v>online</v>
      </c>
      <c r="W156" s="213" t="str">
        <f>IFERROR(__xludf.DUMMYFUNCTION("""COMPUTED_VALUE"""),"simple")</f>
        <v>simple</v>
      </c>
      <c r="X156" s="213" t="str">
        <f>IFERROR(__xludf.DUMMYFUNCTION("""COMPUTED_VALUE"""),"View Item")</f>
        <v>View Item</v>
      </c>
      <c r="Y156" s="213" t="str">
        <f>IFERROR(__xludf.DUMMYFUNCTION("""COMPUTED_VALUE"""),"3rd May - 4th May 2026")</f>
        <v>3rd May - 4th May 2026</v>
      </c>
      <c r="Z156" s="213" t="str">
        <f>IFERROR(__xludf.DUMMYFUNCTION("""COMPUTED_VALUE"""),"69f58e269d9ef9074d45a396")</f>
        <v>69f58e269d9ef9074d45a396</v>
      </c>
      <c r="AA156" s="213"/>
      <c r="AB156" s="213"/>
      <c r="AC156" s="213"/>
      <c r="AD156" s="213"/>
      <c r="AE156" s="213"/>
      <c r="AF156" s="213"/>
      <c r="AG156" s="208"/>
      <c r="AH156" s="208"/>
      <c r="AI156" s="208"/>
      <c r="AJ156" s="208"/>
      <c r="AK156" s="208"/>
    </row>
    <row r="157">
      <c r="A157" s="209">
        <f>IFERROR(__xludf.DUMMYFUNCTION("""COMPUTED_VALUE"""),46145.0)</f>
        <v>46145</v>
      </c>
      <c r="B157" s="210">
        <f>IFERROR(__xludf.DUMMYFUNCTION("""COMPUTED_VALUE"""),0.35763888889050577)</f>
        <v>0.3576388889</v>
      </c>
      <c r="C157" s="211" t="str">
        <f>IFERROR(__xludf.DUMMYFUNCTION("""COMPUTED_VALUE"""),"Whatsapp")</f>
        <v>Whatsapp</v>
      </c>
      <c r="D157" s="211" t="str">
        <f>IFERROR(__xludf.DUMMYFUNCTION("""COMPUTED_VALUE"""),"Promtional")</f>
        <v>Promtional</v>
      </c>
      <c r="E157" s="211" t="str">
        <f>IFERROR(__xludf.DUMMYFUNCTION("""COMPUTED_VALUE"""),"Aldo")</f>
        <v>Aldo</v>
      </c>
      <c r="F157" s="211" t="str">
        <f>IFERROR(__xludf.DUMMYFUNCTION("""COMPUTED_VALUE"""),"MAY BOGO 2026 1-3 MAY - B1G1")</f>
        <v>MAY BOGO 2026 1-3 MAY - B1G1</v>
      </c>
      <c r="G157" s="211" t="str">
        <f>IFERROR(__xludf.DUMMYFUNCTION("""COMPUTED_VALUE"""),"WA_3rdMay_BOGO_AL_ON_Cart_Exit_Intent")</f>
        <v>WA_3rdMay_BOGO_AL_ON_Cart_Exit_Intent</v>
      </c>
      <c r="H157" s="212" t="str">
        <f>IFERROR(__xludf.DUMMYFUNCTION("""COMPUTED_VALUE"""),"AL_ON_Cart_Exit_Intent")</f>
        <v>AL_ON_Cart_Exit_Intent</v>
      </c>
      <c r="I157" s="212" t="str">
        <f>IFERROR(__xludf.DUMMYFUNCTION("""COMPUTED_VALUE"""),"Customers who have completed the exit intent on site form")</f>
        <v>Customers who have completed the exit intent on site form</v>
      </c>
      <c r="J157" s="213">
        <f>IFERROR(__xludf.DUMMYFUNCTION("""COMPUTED_VALUE"""),22432.0)</f>
        <v>22432</v>
      </c>
      <c r="K157" s="213">
        <f>IFERROR(__xludf.DUMMYFUNCTION("""COMPUTED_VALUE"""),12296.0)</f>
        <v>12296</v>
      </c>
      <c r="L157" s="214">
        <f>IFERROR(__xludf.DUMMYFUNCTION("""COMPUTED_VALUE"""),0.5481)</f>
        <v>0.5481</v>
      </c>
      <c r="M157" s="213">
        <f>IFERROR(__xludf.DUMMYFUNCTION("""COMPUTED_VALUE"""),4971.0)</f>
        <v>4971</v>
      </c>
      <c r="N157" s="214">
        <f>IFERROR(__xludf.DUMMYFUNCTION("""COMPUTED_VALUE"""),0.4039)</f>
        <v>0.4039</v>
      </c>
      <c r="O157" s="213">
        <f>IFERROR(__xludf.DUMMYFUNCTION("""COMPUTED_VALUE"""),1207.0)</f>
        <v>1207</v>
      </c>
      <c r="P157" s="213">
        <f>IFERROR(__xludf.DUMMYFUNCTION("""COMPUTED_VALUE"""),1122.0)</f>
        <v>1122</v>
      </c>
      <c r="Q157" s="214">
        <f>IFERROR(__xludf.DUMMYFUNCTION("""COMPUTED_VALUE"""),0.0913)</f>
        <v>0.0913</v>
      </c>
      <c r="R157" s="214">
        <f>IFERROR(__xludf.DUMMYFUNCTION("""COMPUTED_VALUE"""),0.226)</f>
        <v>0.226</v>
      </c>
      <c r="S157" s="213">
        <f>IFERROR(__xludf.DUMMYFUNCTION("""COMPUTED_VALUE"""),7.0)</f>
        <v>7</v>
      </c>
      <c r="T157" s="213">
        <f>IFERROR(__xludf.DUMMYFUNCTION("""COMPUTED_VALUE"""),68.0)</f>
        <v>68</v>
      </c>
      <c r="U157" s="213">
        <f>IFERROR(__xludf.DUMMYFUNCTION("""COMPUTED_VALUE"""),83343.0)</f>
        <v>83343</v>
      </c>
      <c r="V157" s="213" t="str">
        <f>IFERROR(__xludf.DUMMYFUNCTION("""COMPUTED_VALUE"""),"online")</f>
        <v>online</v>
      </c>
      <c r="W157" s="213" t="str">
        <f>IFERROR(__xludf.DUMMYFUNCTION("""COMPUTED_VALUE"""),"simple")</f>
        <v>simple</v>
      </c>
      <c r="X157" s="213" t="str">
        <f>IFERROR(__xludf.DUMMYFUNCTION("""COMPUTED_VALUE"""),"Exit Intent Form")</f>
        <v>Exit Intent Form</v>
      </c>
      <c r="Y157" s="213" t="str">
        <f>IFERROR(__xludf.DUMMYFUNCTION("""COMPUTED_VALUE"""),"3rd May - 4th May 2026")</f>
        <v>3rd May - 4th May 2026</v>
      </c>
      <c r="Z157" s="213" t="str">
        <f>IFERROR(__xludf.DUMMYFUNCTION("""COMPUTED_VALUE"""),"69f591cd464af21774afe768")</f>
        <v>69f591cd464af21774afe768</v>
      </c>
      <c r="AA157" s="213"/>
      <c r="AB157" s="213"/>
      <c r="AC157" s="213"/>
      <c r="AD157" s="213"/>
      <c r="AE157" s="213"/>
      <c r="AF157" s="213"/>
      <c r="AG157" s="208"/>
      <c r="AH157" s="208"/>
      <c r="AI157" s="208"/>
      <c r="AJ157" s="208"/>
      <c r="AK157" s="208"/>
    </row>
    <row r="158">
      <c r="A158" s="209">
        <f>IFERROR(__xludf.DUMMYFUNCTION("""COMPUTED_VALUE"""),46145.0)</f>
        <v>46145</v>
      </c>
      <c r="B158" s="210">
        <f>IFERROR(__xludf.DUMMYFUNCTION("""COMPUTED_VALUE"""),0.36111111110949423)</f>
        <v>0.3611111111</v>
      </c>
      <c r="C158" s="211" t="str">
        <f>IFERROR(__xludf.DUMMYFUNCTION("""COMPUTED_VALUE"""),"Whatsapp")</f>
        <v>Whatsapp</v>
      </c>
      <c r="D158" s="211" t="str">
        <f>IFERROR(__xludf.DUMMYFUNCTION("""COMPUTED_VALUE"""),"Promtional")</f>
        <v>Promtional</v>
      </c>
      <c r="E158" s="211" t="str">
        <f>IFERROR(__xludf.DUMMYFUNCTION("""COMPUTED_VALUE"""),"Aldo")</f>
        <v>Aldo</v>
      </c>
      <c r="F158" s="211" t="str">
        <f>IFERROR(__xludf.DUMMYFUNCTION("""COMPUTED_VALUE"""),"MAY BOGO 2026 1-3 MAY - B1G1")</f>
        <v>MAY BOGO 2026 1-3 MAY - B1G1</v>
      </c>
      <c r="G158" s="211" t="str">
        <f>IFERROR(__xludf.DUMMYFUNCTION("""COMPUTED_VALUE"""),"WA_3rdMay_BOGO_AL_ON_OFF_Event_Buyers_BOGO")</f>
        <v>WA_3rdMay_BOGO_AL_ON_OFF_Event_Buyers_BOGO</v>
      </c>
      <c r="H158" s="212" t="str">
        <f>IFERROR(__xludf.DUMMYFUNCTION("""COMPUTED_VALUE"""),"AL_ON_OFF_Event_Buyers_BOGO")</f>
        <v>AL_ON_OFF_Event_Buyers_BOGO</v>
      </c>
      <c r="I158" s="212" t="str">
        <f>IFERROR(__xludf.DUMMYFUNCTION("""COMPUTED_VALUE"""),"All customers who have purchased between 7 - 11 Nov, 2025")</f>
        <v>All customers who have purchased between 7 - 11 Nov, 2025</v>
      </c>
      <c r="J158" s="213">
        <f>IFERROR(__xludf.DUMMYFUNCTION("""COMPUTED_VALUE"""),7673.0)</f>
        <v>7673</v>
      </c>
      <c r="K158" s="213">
        <f>IFERROR(__xludf.DUMMYFUNCTION("""COMPUTED_VALUE"""),3670.0)</f>
        <v>3670</v>
      </c>
      <c r="L158" s="214">
        <f>IFERROR(__xludf.DUMMYFUNCTION("""COMPUTED_VALUE"""),0.4783)</f>
        <v>0.4783</v>
      </c>
      <c r="M158" s="213">
        <f>IFERROR(__xludf.DUMMYFUNCTION("""COMPUTED_VALUE"""),1361.0)</f>
        <v>1361</v>
      </c>
      <c r="N158" s="214">
        <f>IFERROR(__xludf.DUMMYFUNCTION("""COMPUTED_VALUE"""),0.3706)</f>
        <v>0.3706</v>
      </c>
      <c r="O158" s="213">
        <f>IFERROR(__xludf.DUMMYFUNCTION("""COMPUTED_VALUE"""),175.0)</f>
        <v>175</v>
      </c>
      <c r="P158" s="213">
        <f>IFERROR(__xludf.DUMMYFUNCTION("""COMPUTED_VALUE"""),163.0)</f>
        <v>163</v>
      </c>
      <c r="Q158" s="214">
        <f>IFERROR(__xludf.DUMMYFUNCTION("""COMPUTED_VALUE"""),0.0444)</f>
        <v>0.0444</v>
      </c>
      <c r="R158" s="214">
        <f>IFERROR(__xludf.DUMMYFUNCTION("""COMPUTED_VALUE"""),0.1199)</f>
        <v>0.1199</v>
      </c>
      <c r="S158" s="213">
        <f>IFERROR(__xludf.DUMMYFUNCTION("""COMPUTED_VALUE"""),0.0)</f>
        <v>0</v>
      </c>
      <c r="T158" s="213">
        <f>IFERROR(__xludf.DUMMYFUNCTION("""COMPUTED_VALUE"""),0.0)</f>
        <v>0</v>
      </c>
      <c r="U158" s="213">
        <f>IFERROR(__xludf.DUMMYFUNCTION("""COMPUTED_VALUE"""),0.0)</f>
        <v>0</v>
      </c>
      <c r="V158" s="213" t="str">
        <f>IFERROR(__xludf.DUMMYFUNCTION("""COMPUTED_VALUE"""),"overall")</f>
        <v>overall</v>
      </c>
      <c r="W158" s="213" t="str">
        <f>IFERROR(__xludf.DUMMYFUNCTION("""COMPUTED_VALUE"""),"simple")</f>
        <v>simple</v>
      </c>
      <c r="X158" s="213" t="str">
        <f>IFERROR(__xludf.DUMMYFUNCTION("""COMPUTED_VALUE"""),"Event Buyers")</f>
        <v>Event Buyers</v>
      </c>
      <c r="Y158" s="213" t="str">
        <f>IFERROR(__xludf.DUMMYFUNCTION("""COMPUTED_VALUE"""),"3rd May - 4th May 2026")</f>
        <v>3rd May - 4th May 2026</v>
      </c>
      <c r="Z158" s="213" t="str">
        <f>IFERROR(__xludf.DUMMYFUNCTION("""COMPUTED_VALUE"""),"69f5920005bba1e3055e9eb9")</f>
        <v>69f5920005bba1e3055e9eb9</v>
      </c>
      <c r="AA158" s="213"/>
      <c r="AB158" s="213"/>
      <c r="AC158" s="213"/>
      <c r="AD158" s="213"/>
      <c r="AE158" s="213"/>
      <c r="AF158" s="213"/>
      <c r="AG158" s="208"/>
      <c r="AH158" s="208"/>
      <c r="AI158" s="208"/>
      <c r="AJ158" s="208"/>
      <c r="AK158" s="208"/>
    </row>
    <row r="159">
      <c r="A159" s="209">
        <f>IFERROR(__xludf.DUMMYFUNCTION("""COMPUTED_VALUE"""),46145.0)</f>
        <v>46145</v>
      </c>
      <c r="B159" s="210">
        <f>IFERROR(__xludf.DUMMYFUNCTION("""COMPUTED_VALUE"""),0.3645833333321207)</f>
        <v>0.3645833333</v>
      </c>
      <c r="C159" s="211" t="str">
        <f>IFERROR(__xludf.DUMMYFUNCTION("""COMPUTED_VALUE"""),"Whatsapp")</f>
        <v>Whatsapp</v>
      </c>
      <c r="D159" s="211" t="str">
        <f>IFERROR(__xludf.DUMMYFUNCTION("""COMPUTED_VALUE"""),"Promtional")</f>
        <v>Promtional</v>
      </c>
      <c r="E159" s="211" t="str">
        <f>IFERROR(__xludf.DUMMYFUNCTION("""COMPUTED_VALUE"""),"Aldo")</f>
        <v>Aldo</v>
      </c>
      <c r="F159" s="211" t="str">
        <f>IFERROR(__xludf.DUMMYFUNCTION("""COMPUTED_VALUE"""),"MAY BOGO 2026 1-3 MAY - B1G1")</f>
        <v>MAY BOGO 2026 1-3 MAY - B1G1</v>
      </c>
      <c r="G159" s="211" t="str">
        <f>IFERROR(__xludf.DUMMYFUNCTION("""COMPUTED_VALUE"""),"WA_3rdMay_BOGO_AL_ON_OFF_Repeat_1Year")</f>
        <v>WA_3rdMay_BOGO_AL_ON_OFF_Repeat_1Year</v>
      </c>
      <c r="H159" s="212" t="str">
        <f>IFERROR(__xludf.DUMMYFUNCTION("""COMPUTED_VALUE"""),"AL_ON_OFF_Repeat_1Year")</f>
        <v>AL_ON_OFF_Repeat_1Year</v>
      </c>
      <c r="I159" s="212" t="str">
        <f>IFERROR(__xludf.DUMMYFUNCTION("""COMPUTED_VALUE"""),"All customers who have purchased at least 2 times in the last 365 days")</f>
        <v>All customers who have purchased at least 2 times in the last 365 days</v>
      </c>
      <c r="J159" s="213">
        <f>IFERROR(__xludf.DUMMYFUNCTION("""COMPUTED_VALUE"""),23931.0)</f>
        <v>23931</v>
      </c>
      <c r="K159" s="213">
        <f>IFERROR(__xludf.DUMMYFUNCTION("""COMPUTED_VALUE"""),3191.0)</f>
        <v>3191</v>
      </c>
      <c r="L159" s="214">
        <f>IFERROR(__xludf.DUMMYFUNCTION("""COMPUTED_VALUE"""),0.1333)</f>
        <v>0.1333</v>
      </c>
      <c r="M159" s="213">
        <f>IFERROR(__xludf.DUMMYFUNCTION("""COMPUTED_VALUE"""),1186.0)</f>
        <v>1186</v>
      </c>
      <c r="N159" s="214">
        <f>IFERROR(__xludf.DUMMYFUNCTION("""COMPUTED_VALUE"""),0.3707)</f>
        <v>0.3707</v>
      </c>
      <c r="O159" s="213">
        <f>IFERROR(__xludf.DUMMYFUNCTION("""COMPUTED_VALUE"""),158.0)</f>
        <v>158</v>
      </c>
      <c r="P159" s="213">
        <f>IFERROR(__xludf.DUMMYFUNCTION("""COMPUTED_VALUE"""),152.0)</f>
        <v>152</v>
      </c>
      <c r="Q159" s="214">
        <f>IFERROR(__xludf.DUMMYFUNCTION("""COMPUTED_VALUE"""),0.0476)</f>
        <v>0.0476</v>
      </c>
      <c r="R159" s="214">
        <f>IFERROR(__xludf.DUMMYFUNCTION("""COMPUTED_VALUE"""),0.1285)</f>
        <v>0.1285</v>
      </c>
      <c r="S159" s="213">
        <f>IFERROR(__xludf.DUMMYFUNCTION("""COMPUTED_VALUE"""),1.0)</f>
        <v>1</v>
      </c>
      <c r="T159" s="213">
        <f>IFERROR(__xludf.DUMMYFUNCTION("""COMPUTED_VALUE"""),1.0)</f>
        <v>1</v>
      </c>
      <c r="U159" s="213">
        <f>IFERROR(__xludf.DUMMYFUNCTION("""COMPUTED_VALUE"""),12999.0)</f>
        <v>12999</v>
      </c>
      <c r="V159" s="213" t="str">
        <f>IFERROR(__xludf.DUMMYFUNCTION("""COMPUTED_VALUE"""),"overall")</f>
        <v>overall</v>
      </c>
      <c r="W159" s="213" t="str">
        <f>IFERROR(__xludf.DUMMYFUNCTION("""COMPUTED_VALUE"""),"simple")</f>
        <v>simple</v>
      </c>
      <c r="X159" s="213" t="str">
        <f>IFERROR(__xludf.DUMMYFUNCTION("""COMPUTED_VALUE"""),"Repeat")</f>
        <v>Repeat</v>
      </c>
      <c r="Y159" s="213" t="str">
        <f>IFERROR(__xludf.DUMMYFUNCTION("""COMPUTED_VALUE"""),"3rd May - 4th May 2026")</f>
        <v>3rd May - 4th May 2026</v>
      </c>
      <c r="Z159" s="213" t="str">
        <f>IFERROR(__xludf.DUMMYFUNCTION("""COMPUTED_VALUE"""),"69f5922a7389bd75c57c5544")</f>
        <v>69f5922a7389bd75c57c5544</v>
      </c>
      <c r="AA159" s="213"/>
      <c r="AB159" s="213"/>
      <c r="AC159" s="213"/>
      <c r="AD159" s="213"/>
      <c r="AE159" s="213"/>
      <c r="AF159" s="213"/>
      <c r="AG159" s="208"/>
      <c r="AH159" s="208"/>
      <c r="AI159" s="208"/>
      <c r="AJ159" s="208"/>
      <c r="AK159" s="208"/>
    </row>
    <row r="160">
      <c r="A160" s="209">
        <f>IFERROR(__xludf.DUMMYFUNCTION("""COMPUTED_VALUE"""),46145.0)</f>
        <v>46145</v>
      </c>
      <c r="B160" s="210">
        <f>IFERROR(__xludf.DUMMYFUNCTION("""COMPUTED_VALUE"""),0.3541666666678793)</f>
        <v>0.3541666667</v>
      </c>
      <c r="C160" s="211" t="str">
        <f>IFERROR(__xludf.DUMMYFUNCTION("""COMPUTED_VALUE"""),"Whatsapp")</f>
        <v>Whatsapp</v>
      </c>
      <c r="D160" s="211" t="str">
        <f>IFERROR(__xludf.DUMMYFUNCTION("""COMPUTED_VALUE"""),"Promtional")</f>
        <v>Promtional</v>
      </c>
      <c r="E160" s="211" t="str">
        <f>IFERROR(__xludf.DUMMYFUNCTION("""COMPUTED_VALUE"""),"Aldo")</f>
        <v>Aldo</v>
      </c>
      <c r="F160" s="211" t="str">
        <f>IFERROR(__xludf.DUMMYFUNCTION("""COMPUTED_VALUE"""),"MAY BOGO 2026 1-3 MAY - B1G1")</f>
        <v>MAY BOGO 2026 1-3 MAY - B1G1</v>
      </c>
      <c r="G160" s="211" t="str">
        <f>IFERROR(__xludf.DUMMYFUNCTION("""COMPUTED_VALUE"""),"WA_3rdMay_BOGO_AL_ON_SignUp_Form")</f>
        <v>WA_3rdMay_BOGO_AL_ON_SignUp_Form</v>
      </c>
      <c r="H160" s="212" t="str">
        <f>IFERROR(__xludf.DUMMYFUNCTION("""COMPUTED_VALUE"""),"AL_ON_SignUp_Form")</f>
        <v>AL_ON_SignUp_Form</v>
      </c>
      <c r="I160" s="212" t="str">
        <f>IFERROR(__xludf.DUMMYFUNCTION("""COMPUTED_VALUE"""),"Customers who have completed the sign up on site form")</f>
        <v>Customers who have completed the sign up on site form</v>
      </c>
      <c r="J160" s="213">
        <f>IFERROR(__xludf.DUMMYFUNCTION("""COMPUTED_VALUE"""),1606.0)</f>
        <v>1606</v>
      </c>
      <c r="K160" s="213">
        <f>IFERROR(__xludf.DUMMYFUNCTION("""COMPUTED_VALUE"""),949.0)</f>
        <v>949</v>
      </c>
      <c r="L160" s="214">
        <f>IFERROR(__xludf.DUMMYFUNCTION("""COMPUTED_VALUE"""),0.5909)</f>
        <v>0.5909</v>
      </c>
      <c r="M160" s="213">
        <f>IFERROR(__xludf.DUMMYFUNCTION("""COMPUTED_VALUE"""),394.0)</f>
        <v>394</v>
      </c>
      <c r="N160" s="214">
        <f>IFERROR(__xludf.DUMMYFUNCTION("""COMPUTED_VALUE"""),0.4141)</f>
        <v>0.4141</v>
      </c>
      <c r="O160" s="213">
        <f>IFERROR(__xludf.DUMMYFUNCTION("""COMPUTED_VALUE"""),46.0)</f>
        <v>46</v>
      </c>
      <c r="P160" s="213">
        <f>IFERROR(__xludf.DUMMYFUNCTION("""COMPUTED_VALUE"""),44.0)</f>
        <v>44</v>
      </c>
      <c r="Q160" s="214">
        <f>IFERROR(__xludf.DUMMYFUNCTION("""COMPUTED_VALUE"""),0.0464)</f>
        <v>0.0464</v>
      </c>
      <c r="R160" s="214">
        <f>IFERROR(__xludf.DUMMYFUNCTION("""COMPUTED_VALUE"""),0.112)</f>
        <v>0.112</v>
      </c>
      <c r="S160" s="213">
        <f>IFERROR(__xludf.DUMMYFUNCTION("""COMPUTED_VALUE"""),2.0)</f>
        <v>2</v>
      </c>
      <c r="T160" s="213">
        <f>IFERROR(__xludf.DUMMYFUNCTION("""COMPUTED_VALUE"""),16.0)</f>
        <v>16</v>
      </c>
      <c r="U160" s="213">
        <f>IFERROR(__xludf.DUMMYFUNCTION("""COMPUTED_VALUE"""),16148.0)</f>
        <v>16148</v>
      </c>
      <c r="V160" s="213" t="str">
        <f>IFERROR(__xludf.DUMMYFUNCTION("""COMPUTED_VALUE"""),"online")</f>
        <v>online</v>
      </c>
      <c r="W160" s="213" t="str">
        <f>IFERROR(__xludf.DUMMYFUNCTION("""COMPUTED_VALUE"""),"simple")</f>
        <v>simple</v>
      </c>
      <c r="X160" s="213" t="str">
        <f>IFERROR(__xludf.DUMMYFUNCTION("""COMPUTED_VALUE"""),"Sign Up Form")</f>
        <v>Sign Up Form</v>
      </c>
      <c r="Y160" s="213" t="str">
        <f>IFERROR(__xludf.DUMMYFUNCTION("""COMPUTED_VALUE"""),"3rd May - 4th May 2026")</f>
        <v>3rd May - 4th May 2026</v>
      </c>
      <c r="Z160" s="213" t="str">
        <f>IFERROR(__xludf.DUMMYFUNCTION("""COMPUTED_VALUE"""),"69f59b2c5b7aaa358dc4f61f")</f>
        <v>69f59b2c5b7aaa358dc4f61f</v>
      </c>
      <c r="AA160" s="213"/>
      <c r="AB160" s="213"/>
      <c r="AC160" s="213"/>
      <c r="AD160" s="213"/>
      <c r="AE160" s="213"/>
      <c r="AF160" s="213"/>
      <c r="AG160" s="208"/>
      <c r="AH160" s="208"/>
      <c r="AI160" s="208"/>
      <c r="AJ160" s="208"/>
      <c r="AK160" s="208"/>
    </row>
    <row r="161">
      <c r="A161" s="209">
        <f>IFERROR(__xludf.DUMMYFUNCTION("""COMPUTED_VALUE"""),46145.0)</f>
        <v>46145</v>
      </c>
      <c r="B161" s="210">
        <f>IFERROR(__xludf.DUMMYFUNCTION("""COMPUTED_VALUE"""),0.6527777777773736)</f>
        <v>0.6527777778</v>
      </c>
      <c r="C161" s="211" t="str">
        <f>IFERROR(__xludf.DUMMYFUNCTION("""COMPUTED_VALUE"""),"Whatsapp")</f>
        <v>Whatsapp</v>
      </c>
      <c r="D161" s="211" t="str">
        <f>IFERROR(__xludf.DUMMYFUNCTION("""COMPUTED_VALUE"""),"Promtional")</f>
        <v>Promtional</v>
      </c>
      <c r="E161" s="211" t="str">
        <f>IFERROR(__xludf.DUMMYFUNCTION("""COMPUTED_VALUE"""),"Aldo")</f>
        <v>Aldo</v>
      </c>
      <c r="F161" s="211" t="str">
        <f>IFERROR(__xludf.DUMMYFUNCTION("""COMPUTED_VALUE"""),"MAY BOGO 2026 1-3 MAY - B1G1")</f>
        <v>MAY BOGO 2026 1-3 MAY - B1G1</v>
      </c>
      <c r="G161" s="211" t="str">
        <f>IFERROR(__xludf.DUMMYFUNCTION("""COMPUTED_VALUE"""),"may3_failedorders_bogoAL")</f>
        <v>may3_failedorders_bogoAL</v>
      </c>
      <c r="H161" s="212" t="str">
        <f>IFERROR(__xludf.DUMMYFUNCTION("""COMPUTED_VALUE"""),"ALDO_Failed_Orders_2May26")</f>
        <v>ALDO_Failed_Orders_2May26</v>
      </c>
      <c r="I161" s="212" t="str">
        <f>IFERROR(__xludf.DUMMYFUNCTION("""COMPUTED_VALUE"""),"No Brief")</f>
        <v>No Brief</v>
      </c>
      <c r="J161" s="213">
        <f>IFERROR(__xludf.DUMMYFUNCTION("""COMPUTED_VALUE"""),77.0)</f>
        <v>77</v>
      </c>
      <c r="K161" s="213">
        <f>IFERROR(__xludf.DUMMYFUNCTION("""COMPUTED_VALUE"""),39.0)</f>
        <v>39</v>
      </c>
      <c r="L161" s="214">
        <f>IFERROR(__xludf.DUMMYFUNCTION("""COMPUTED_VALUE"""),0.5065)</f>
        <v>0.5065</v>
      </c>
      <c r="M161" s="213">
        <f>IFERROR(__xludf.DUMMYFUNCTION("""COMPUTED_VALUE"""),20.0)</f>
        <v>20</v>
      </c>
      <c r="N161" s="214">
        <f>IFERROR(__xludf.DUMMYFUNCTION("""COMPUTED_VALUE"""),0.5128)</f>
        <v>0.5128</v>
      </c>
      <c r="O161" s="213">
        <f>IFERROR(__xludf.DUMMYFUNCTION("""COMPUTED_VALUE"""),3.0)</f>
        <v>3</v>
      </c>
      <c r="P161" s="213">
        <f>IFERROR(__xludf.DUMMYFUNCTION("""COMPUTED_VALUE"""),3.0)</f>
        <v>3</v>
      </c>
      <c r="Q161" s="214">
        <f>IFERROR(__xludf.DUMMYFUNCTION("""COMPUTED_VALUE"""),0.0769)</f>
        <v>0.0769</v>
      </c>
      <c r="R161" s="214">
        <f>IFERROR(__xludf.DUMMYFUNCTION("""COMPUTED_VALUE"""),0.15)</f>
        <v>0.15</v>
      </c>
      <c r="S161" s="213">
        <f>IFERROR(__xludf.DUMMYFUNCTION("""COMPUTED_VALUE"""),0.0)</f>
        <v>0</v>
      </c>
      <c r="T161" s="213">
        <f>IFERROR(__xludf.DUMMYFUNCTION("""COMPUTED_VALUE"""),3.0)</f>
        <v>3</v>
      </c>
      <c r="U161" s="213">
        <f>IFERROR(__xludf.DUMMYFUNCTION("""COMPUTED_VALUE"""),0.0)</f>
        <v>0</v>
      </c>
      <c r="V161" s="213" t="str">
        <f>IFERROR(__xludf.DUMMYFUNCTION("""COMPUTED_VALUE"""),"online")</f>
        <v>online</v>
      </c>
      <c r="W161" s="213" t="str">
        <f>IFERROR(__xludf.DUMMYFUNCTION("""COMPUTED_VALUE"""),"simple")</f>
        <v>simple</v>
      </c>
      <c r="X161" s="213" t="str">
        <f>IFERROR(__xludf.DUMMYFUNCTION("""COMPUTED_VALUE"""),"No Brief")</f>
        <v>No Brief</v>
      </c>
      <c r="Y161" s="213" t="str">
        <f>IFERROR(__xludf.DUMMYFUNCTION("""COMPUTED_VALUE"""),"3rd May - 4th May 2026")</f>
        <v>3rd May - 4th May 2026</v>
      </c>
      <c r="Z161" s="213" t="str">
        <f>IFERROR(__xludf.DUMMYFUNCTION("""COMPUTED_VALUE"""),"69f71d7c963ed68b65949434")</f>
        <v>69f71d7c963ed68b65949434</v>
      </c>
      <c r="AA161" s="213"/>
      <c r="AB161" s="213"/>
      <c r="AC161" s="213"/>
      <c r="AD161" s="213"/>
      <c r="AE161" s="213"/>
      <c r="AF161" s="213"/>
      <c r="AG161" s="208"/>
      <c r="AH161" s="208"/>
      <c r="AI161" s="208"/>
      <c r="AJ161" s="208"/>
      <c r="AK161" s="208"/>
    </row>
    <row r="162">
      <c r="A162" s="209">
        <f>IFERROR(__xludf.DUMMYFUNCTION("""COMPUTED_VALUE"""),46145.0)</f>
        <v>46145</v>
      </c>
      <c r="B162" s="210">
        <f>IFERROR(__xludf.DUMMYFUNCTION("""COMPUTED_VALUE"""),0.75)</f>
        <v>0.75</v>
      </c>
      <c r="C162" s="211" t="str">
        <f>IFERROR(__xludf.DUMMYFUNCTION("""COMPUTED_VALUE"""),"Whatsapp")</f>
        <v>Whatsapp</v>
      </c>
      <c r="D162" s="211" t="str">
        <f>IFERROR(__xludf.DUMMYFUNCTION("""COMPUTED_VALUE"""),"Promtional")</f>
        <v>Promtional</v>
      </c>
      <c r="E162" s="211" t="str">
        <f>IFERROR(__xludf.DUMMYFUNCTION("""COMPUTED_VALUE"""),"Aldo")</f>
        <v>Aldo</v>
      </c>
      <c r="F162" s="211" t="str">
        <f>IFERROR(__xludf.DUMMYFUNCTION("""COMPUTED_VALUE"""),"MAY BOGO 2026 1-3 MAY - B1G1")</f>
        <v>MAY BOGO 2026 1-3 MAY - B1G1</v>
      </c>
      <c r="G162" s="211" t="str">
        <f>IFERROR(__xludf.DUMMYFUNCTION("""COMPUTED_VALUE"""),"RETRIGGER_AL_ON_OFF_Recent")</f>
        <v>RETRIGGER_AL_ON_OFF_Recent</v>
      </c>
      <c r="H162" s="212" t="str">
        <f>IFERROR(__xludf.DUMMYFUNCTION("""COMPUTED_VALUE"""),"AL_ON_OFF_Recent")</f>
        <v>AL_ON_OFF_Recent</v>
      </c>
      <c r="I162" s="212" t="str">
        <f>IFERROR(__xludf.DUMMYFUNCTION("""COMPUTED_VALUE"""),"All customers who have purchased at least 1 time in the last 76 days")</f>
        <v>All customers who have purchased at least 1 time in the last 76 days</v>
      </c>
      <c r="J162" s="213">
        <f>IFERROR(__xludf.DUMMYFUNCTION("""COMPUTED_VALUE"""),6662.0)</f>
        <v>6662</v>
      </c>
      <c r="K162" s="213">
        <f>IFERROR(__xludf.DUMMYFUNCTION("""COMPUTED_VALUE"""),2456.0)</f>
        <v>2456</v>
      </c>
      <c r="L162" s="214">
        <f>IFERROR(__xludf.DUMMYFUNCTION("""COMPUTED_VALUE"""),0.3685)</f>
        <v>0.3685</v>
      </c>
      <c r="M162" s="213">
        <f>IFERROR(__xludf.DUMMYFUNCTION("""COMPUTED_VALUE"""),1090.0)</f>
        <v>1090</v>
      </c>
      <c r="N162" s="214">
        <f>IFERROR(__xludf.DUMMYFUNCTION("""COMPUTED_VALUE"""),0.4411)</f>
        <v>0.4411</v>
      </c>
      <c r="O162" s="213">
        <f>IFERROR(__xludf.DUMMYFUNCTION("""COMPUTED_VALUE"""),174.0)</f>
        <v>174</v>
      </c>
      <c r="P162" s="213">
        <f>IFERROR(__xludf.DUMMYFUNCTION("""COMPUTED_VALUE"""),161.0)</f>
        <v>161</v>
      </c>
      <c r="Q162" s="214">
        <f>IFERROR(__xludf.DUMMYFUNCTION("""COMPUTED_VALUE"""),0.0656)</f>
        <v>0.0656</v>
      </c>
      <c r="R162" s="214">
        <f>IFERROR(__xludf.DUMMYFUNCTION("""COMPUTED_VALUE"""),0.1487)</f>
        <v>0.1487</v>
      </c>
      <c r="S162" s="213">
        <f>IFERROR(__xludf.DUMMYFUNCTION("""COMPUTED_VALUE"""),0.0)</f>
        <v>0</v>
      </c>
      <c r="T162" s="213">
        <f>IFERROR(__xludf.DUMMYFUNCTION("""COMPUTED_VALUE"""),0.0)</f>
        <v>0</v>
      </c>
      <c r="U162" s="213">
        <f>IFERROR(__xludf.DUMMYFUNCTION("""COMPUTED_VALUE"""),0.0)</f>
        <v>0</v>
      </c>
      <c r="V162" s="213" t="str">
        <f>IFERROR(__xludf.DUMMYFUNCTION("""COMPUTED_VALUE"""),"overall")</f>
        <v>overall</v>
      </c>
      <c r="W162" s="213" t="str">
        <f>IFERROR(__xludf.DUMMYFUNCTION("""COMPUTED_VALUE"""),"simple")</f>
        <v>simple</v>
      </c>
      <c r="X162" s="213" t="str">
        <f>IFERROR(__xludf.DUMMYFUNCTION("""COMPUTED_VALUE"""),"Recent")</f>
        <v>Recent</v>
      </c>
      <c r="Y162" s="213" t="str">
        <f>IFERROR(__xludf.DUMMYFUNCTION("""COMPUTED_VALUE"""),"3rd May - 4th May 2026")</f>
        <v>3rd May - 4th May 2026</v>
      </c>
      <c r="Z162" s="213" t="str">
        <f>IFERROR(__xludf.DUMMYFUNCTION("""COMPUTED_VALUE"""),"69f73c73bafbc50369b180b6")</f>
        <v>69f73c73bafbc50369b180b6</v>
      </c>
      <c r="AA162" s="213"/>
      <c r="AB162" s="213"/>
      <c r="AC162" s="213"/>
      <c r="AD162" s="213"/>
      <c r="AE162" s="213"/>
      <c r="AF162" s="213"/>
      <c r="AG162" s="208"/>
      <c r="AH162" s="208"/>
      <c r="AI162" s="208"/>
      <c r="AJ162" s="208"/>
      <c r="AK162" s="208"/>
    </row>
    <row r="163">
      <c r="A163" s="209">
        <f>IFERROR(__xludf.DUMMYFUNCTION("""COMPUTED_VALUE"""),46145.0)</f>
        <v>46145</v>
      </c>
      <c r="B163" s="210">
        <f>IFERROR(__xludf.DUMMYFUNCTION("""COMPUTED_VALUE"""),0.75)</f>
        <v>0.75</v>
      </c>
      <c r="C163" s="211" t="str">
        <f>IFERROR(__xludf.DUMMYFUNCTION("""COMPUTED_VALUE"""),"Whatsapp")</f>
        <v>Whatsapp</v>
      </c>
      <c r="D163" s="211" t="str">
        <f>IFERROR(__xludf.DUMMYFUNCTION("""COMPUTED_VALUE"""),"Promtional")</f>
        <v>Promtional</v>
      </c>
      <c r="E163" s="211" t="str">
        <f>IFERROR(__xludf.DUMMYFUNCTION("""COMPUTED_VALUE"""),"Aldo")</f>
        <v>Aldo</v>
      </c>
      <c r="F163" s="211" t="str">
        <f>IFERROR(__xludf.DUMMYFUNCTION("""COMPUTED_VALUE"""),"MAY BOGO 2026 1-3 MAY - B1G1")</f>
        <v>MAY BOGO 2026 1-3 MAY - B1G1</v>
      </c>
      <c r="G163" s="211" t="str">
        <f>IFERROR(__xludf.DUMMYFUNCTION("""COMPUTED_VALUE"""),"RETRIGGER_AL_ON_OFF_Disc_Buyers_50_perc")</f>
        <v>RETRIGGER_AL_ON_OFF_Disc_Buyers_50_perc</v>
      </c>
      <c r="H163" s="212" t="str">
        <f>IFERROR(__xludf.DUMMYFUNCTION("""COMPUTED_VALUE"""),"AL_ON_OFF_Disc_Buyers_50_perc")</f>
        <v>AL_ON_OFF_Disc_Buyers_50_perc</v>
      </c>
      <c r="I163" s="212" t="str">
        <f>IFERROR(__xludf.DUMMYFUNCTION("""COMPUTED_VALUE"""),"All customers who have purchased at least 1 time with discount percentage of at least 50% in the last 365 days")</f>
        <v>All customers who have purchased at least 1 time with discount percentage of at least 50% in the last 365 days</v>
      </c>
      <c r="J163" s="213">
        <f>IFERROR(__xludf.DUMMYFUNCTION("""COMPUTED_VALUE"""),7490.0)</f>
        <v>7490</v>
      </c>
      <c r="K163" s="213">
        <f>IFERROR(__xludf.DUMMYFUNCTION("""COMPUTED_VALUE"""),2533.0)</f>
        <v>2533</v>
      </c>
      <c r="L163" s="214">
        <f>IFERROR(__xludf.DUMMYFUNCTION("""COMPUTED_VALUE"""),0.3379)</f>
        <v>0.3379</v>
      </c>
      <c r="M163" s="213">
        <f>IFERROR(__xludf.DUMMYFUNCTION("""COMPUTED_VALUE"""),904.0)</f>
        <v>904</v>
      </c>
      <c r="N163" s="214">
        <f>IFERROR(__xludf.DUMMYFUNCTION("""COMPUTED_VALUE"""),0.3544)</f>
        <v>0.3544</v>
      </c>
      <c r="O163" s="213">
        <f>IFERROR(__xludf.DUMMYFUNCTION("""COMPUTED_VALUE"""),127.0)</f>
        <v>127</v>
      </c>
      <c r="P163" s="213">
        <f>IFERROR(__xludf.DUMMYFUNCTION("""COMPUTED_VALUE"""),117.0)</f>
        <v>117</v>
      </c>
      <c r="Q163" s="214">
        <f>IFERROR(__xludf.DUMMYFUNCTION("""COMPUTED_VALUE"""),0.0462)</f>
        <v>0.0462</v>
      </c>
      <c r="R163" s="214">
        <f>IFERROR(__xludf.DUMMYFUNCTION("""COMPUTED_VALUE"""),0.1304)</f>
        <v>0.1304</v>
      </c>
      <c r="S163" s="213">
        <f>IFERROR(__xludf.DUMMYFUNCTION("""COMPUTED_VALUE"""),1.0)</f>
        <v>1</v>
      </c>
      <c r="T163" s="213">
        <f>IFERROR(__xludf.DUMMYFUNCTION("""COMPUTED_VALUE"""),0.0)</f>
        <v>0</v>
      </c>
      <c r="U163" s="213">
        <f>IFERROR(__xludf.DUMMYFUNCTION("""COMPUTED_VALUE"""),16999.0)</f>
        <v>16999</v>
      </c>
      <c r="V163" s="213" t="str">
        <f>IFERROR(__xludf.DUMMYFUNCTION("""COMPUTED_VALUE"""),"overall")</f>
        <v>overall</v>
      </c>
      <c r="W163" s="213" t="str">
        <f>IFERROR(__xludf.DUMMYFUNCTION("""COMPUTED_VALUE"""),"simple")</f>
        <v>simple</v>
      </c>
      <c r="X163" s="213" t="str">
        <f>IFERROR(__xludf.DUMMYFUNCTION("""COMPUTED_VALUE"""),"Discount Shoppers")</f>
        <v>Discount Shoppers</v>
      </c>
      <c r="Y163" s="213" t="str">
        <f>IFERROR(__xludf.DUMMYFUNCTION("""COMPUTED_VALUE"""),"3rd May - 4th May 2026")</f>
        <v>3rd May - 4th May 2026</v>
      </c>
      <c r="Z163" s="213" t="str">
        <f>IFERROR(__xludf.DUMMYFUNCTION("""COMPUTED_VALUE"""),"69f73c88f1a6e2bf764506b3")</f>
        <v>69f73c88f1a6e2bf764506b3</v>
      </c>
      <c r="AA163" s="213"/>
      <c r="AB163" s="213"/>
      <c r="AC163" s="213"/>
      <c r="AD163" s="213"/>
      <c r="AE163" s="213"/>
      <c r="AF163" s="213"/>
      <c r="AG163" s="208"/>
      <c r="AH163" s="208"/>
      <c r="AI163" s="208"/>
      <c r="AJ163" s="208"/>
      <c r="AK163" s="208"/>
    </row>
    <row r="164">
      <c r="A164" s="209">
        <f>IFERROR(__xludf.DUMMYFUNCTION("""COMPUTED_VALUE"""),46145.0)</f>
        <v>46145</v>
      </c>
      <c r="B164" s="210">
        <f>IFERROR(__xludf.DUMMYFUNCTION("""COMPUTED_VALUE"""),0.75)</f>
        <v>0.75</v>
      </c>
      <c r="C164" s="211" t="str">
        <f>IFERROR(__xludf.DUMMYFUNCTION("""COMPUTED_VALUE"""),"Whatsapp")</f>
        <v>Whatsapp</v>
      </c>
      <c r="D164" s="211" t="str">
        <f>IFERROR(__xludf.DUMMYFUNCTION("""COMPUTED_VALUE"""),"Promtional")</f>
        <v>Promtional</v>
      </c>
      <c r="E164" s="211" t="str">
        <f>IFERROR(__xludf.DUMMYFUNCTION("""COMPUTED_VALUE"""),"Aldo")</f>
        <v>Aldo</v>
      </c>
      <c r="F164" s="211" t="str">
        <f>IFERROR(__xludf.DUMMYFUNCTION("""COMPUTED_VALUE"""),"MAY BOGO 2026 1-3 MAY - B1G1")</f>
        <v>MAY BOGO 2026 1-3 MAY - B1G1</v>
      </c>
      <c r="G164" s="211" t="str">
        <f>IFERROR(__xludf.DUMMYFUNCTION("""COMPUTED_VALUE"""),"RETRIGGER_AL_ON_OFF_UPT_Min_2 + AGIPL_INTERNAL")</f>
        <v>RETRIGGER_AL_ON_OFF_UPT_Min_2 + AGIPL_INTERNAL</v>
      </c>
      <c r="H164" s="212" t="str">
        <f>IFERROR(__xludf.DUMMYFUNCTION("""COMPUTED_VALUE"""),"AL_ON_OFF_UPT_Min_2")</f>
        <v>AL_ON_OFF_UPT_Min_2</v>
      </c>
      <c r="I164" s="212" t="str">
        <f>IFERROR(__xludf.DUMMYFUNCTION("""COMPUTED_VALUE"""),"All customers who have purchased PREDOM with unit per transaction of at least 2")</f>
        <v>All customers who have purchased PREDOM with unit per transaction of at least 2</v>
      </c>
      <c r="J164" s="213">
        <f>IFERROR(__xludf.DUMMYFUNCTION("""COMPUTED_VALUE"""),60007.0)</f>
        <v>60007</v>
      </c>
      <c r="K164" s="213">
        <f>IFERROR(__xludf.DUMMYFUNCTION("""COMPUTED_VALUE"""),18968.0)</f>
        <v>18968</v>
      </c>
      <c r="L164" s="214">
        <f>IFERROR(__xludf.DUMMYFUNCTION("""COMPUTED_VALUE"""),0.316)</f>
        <v>0.316</v>
      </c>
      <c r="M164" s="213">
        <f>IFERROR(__xludf.DUMMYFUNCTION("""COMPUTED_VALUE"""),7259.0)</f>
        <v>7259</v>
      </c>
      <c r="N164" s="214">
        <f>IFERROR(__xludf.DUMMYFUNCTION("""COMPUTED_VALUE"""),0.381)</f>
        <v>0.381</v>
      </c>
      <c r="O164" s="213">
        <f>IFERROR(__xludf.DUMMYFUNCTION("""COMPUTED_VALUE"""),797.0)</f>
        <v>797</v>
      </c>
      <c r="P164" s="213">
        <f>IFERROR(__xludf.DUMMYFUNCTION("""COMPUTED_VALUE"""),709.0)</f>
        <v>709</v>
      </c>
      <c r="Q164" s="214">
        <f>IFERROR(__xludf.DUMMYFUNCTION("""COMPUTED_VALUE"""),0.0374)</f>
        <v>0.0374</v>
      </c>
      <c r="R164" s="214">
        <f>IFERROR(__xludf.DUMMYFUNCTION("""COMPUTED_VALUE"""),0.0981)</f>
        <v>0.0981</v>
      </c>
      <c r="S164" s="213">
        <f>IFERROR(__xludf.DUMMYFUNCTION("""COMPUTED_VALUE"""),1.0)</f>
        <v>1</v>
      </c>
      <c r="T164" s="213">
        <f>IFERROR(__xludf.DUMMYFUNCTION("""COMPUTED_VALUE"""),0.0)</f>
        <v>0</v>
      </c>
      <c r="U164" s="213">
        <f>IFERROR(__xludf.DUMMYFUNCTION("""COMPUTED_VALUE"""),5499.0)</f>
        <v>5499</v>
      </c>
      <c r="V164" s="213" t="str">
        <f>IFERROR(__xludf.DUMMYFUNCTION("""COMPUTED_VALUE"""),"overall")</f>
        <v>overall</v>
      </c>
      <c r="W164" s="213" t="str">
        <f>IFERROR(__xludf.DUMMYFUNCTION("""COMPUTED_VALUE"""),"simple")</f>
        <v>simple</v>
      </c>
      <c r="X164" s="213" t="str">
        <f>IFERROR(__xludf.DUMMYFUNCTION("""COMPUTED_VALUE"""),"UPT atleast 2")</f>
        <v>UPT atleast 2</v>
      </c>
      <c r="Y164" s="213" t="str">
        <f>IFERROR(__xludf.DUMMYFUNCTION("""COMPUTED_VALUE"""),"3rd May - 4th May 2026")</f>
        <v>3rd May - 4th May 2026</v>
      </c>
      <c r="Z164" s="213" t="str">
        <f>IFERROR(__xludf.DUMMYFUNCTION("""COMPUTED_VALUE"""),"69f73c9b7967df0cc925d09d")</f>
        <v>69f73c9b7967df0cc925d09d</v>
      </c>
      <c r="AA164" s="213"/>
      <c r="AB164" s="213"/>
      <c r="AC164" s="213"/>
      <c r="AD164" s="213"/>
      <c r="AE164" s="213"/>
      <c r="AF164" s="213"/>
      <c r="AG164" s="208"/>
      <c r="AH164" s="208"/>
      <c r="AI164" s="208"/>
      <c r="AJ164" s="208"/>
      <c r="AK164" s="208"/>
    </row>
    <row r="165">
      <c r="A165" s="209">
        <f>IFERROR(__xludf.DUMMYFUNCTION("""COMPUTED_VALUE"""),46145.0)</f>
        <v>46145</v>
      </c>
      <c r="B165" s="210">
        <f>IFERROR(__xludf.DUMMYFUNCTION("""COMPUTED_VALUE"""),0.4791666666678793)</f>
        <v>0.4791666667</v>
      </c>
      <c r="C165" s="211" t="str">
        <f>IFERROR(__xludf.DUMMYFUNCTION("""COMPUTED_VALUE"""),"Sms")</f>
        <v>Sms</v>
      </c>
      <c r="D165" s="211" t="str">
        <f>IFERROR(__xludf.DUMMYFUNCTION("""COMPUTED_VALUE"""),"Fallback campaign")</f>
        <v>Fallback campaign</v>
      </c>
      <c r="E165" s="211" t="str">
        <f>IFERROR(__xludf.DUMMYFUNCTION("""COMPUTED_VALUE"""),"Aldo")</f>
        <v>Aldo</v>
      </c>
      <c r="F165" s="211" t="str">
        <f>IFERROR(__xludf.DUMMYFUNCTION("""COMPUTED_VALUE"""),"MAY BOGO 2026 1-3 MAY - No Brief")</f>
        <v>MAY BOGO 2026 1-3 MAY - No Brief</v>
      </c>
      <c r="G165" s="211" t="str">
        <f>IFERROR(__xludf.DUMMYFUNCTION("""COMPUTED_VALUE"""),"AL_ON_ATC_90D/FALL BACK/DAY_last day")</f>
        <v>AL_ON_ATC_90D/FALL BACK/DAY_last day</v>
      </c>
      <c r="H165" s="212" t="str">
        <f>IFERROR(__xludf.DUMMYFUNCTION("""COMPUTED_VALUE"""),"AL_ON_ATC_90D")</f>
        <v>AL_ON_ATC_90D</v>
      </c>
      <c r="I165" s="212" t="str">
        <f>IFERROR(__xludf.DUMMYFUNCTION("""COMPUTED_VALUE"""),"RCS Undelivered")</f>
        <v>RCS Undelivered</v>
      </c>
      <c r="J165" s="213">
        <f>IFERROR(__xludf.DUMMYFUNCTION("""COMPUTED_VALUE"""),1040.0)</f>
        <v>1040</v>
      </c>
      <c r="K165" s="213">
        <f>IFERROR(__xludf.DUMMYFUNCTION("""COMPUTED_VALUE"""),663.0)</f>
        <v>663</v>
      </c>
      <c r="L165" s="214">
        <f>IFERROR(__xludf.DUMMYFUNCTION("""COMPUTED_VALUE"""),0.6375)</f>
        <v>0.6375</v>
      </c>
      <c r="M165" s="213">
        <f>IFERROR(__xludf.DUMMYFUNCTION("""COMPUTED_VALUE"""),0.0)</f>
        <v>0</v>
      </c>
      <c r="N165" s="214">
        <f>IFERROR(__xludf.DUMMYFUNCTION("""COMPUTED_VALUE"""),0.0)</f>
        <v>0</v>
      </c>
      <c r="O165" s="213">
        <f>IFERROR(__xludf.DUMMYFUNCTION("""COMPUTED_VALUE"""),3.0)</f>
        <v>3</v>
      </c>
      <c r="P165" s="213">
        <f>IFERROR(__xludf.DUMMYFUNCTION("""COMPUTED_VALUE"""),0.0)</f>
        <v>0</v>
      </c>
      <c r="Q165" s="214">
        <f>IFERROR(__xludf.DUMMYFUNCTION("""COMPUTED_VALUE"""),0.0045)</f>
        <v>0.0045</v>
      </c>
      <c r="R165" s="214">
        <f>IFERROR(__xludf.DUMMYFUNCTION("""COMPUTED_VALUE"""),0.0)</f>
        <v>0</v>
      </c>
      <c r="S165" s="213">
        <f>IFERROR(__xludf.DUMMYFUNCTION("""COMPUTED_VALUE"""),3.0)</f>
        <v>3</v>
      </c>
      <c r="T165" s="213">
        <f>IFERROR(__xludf.DUMMYFUNCTION("""COMPUTED_VALUE"""),25.0)</f>
        <v>25</v>
      </c>
      <c r="U165" s="213">
        <f>IFERROR(__xludf.DUMMYFUNCTION("""COMPUTED_VALUE"""),36497.0)</f>
        <v>36497</v>
      </c>
      <c r="V165" s="213" t="str">
        <f>IFERROR(__xludf.DUMMYFUNCTION("""COMPUTED_VALUE"""),"online")</f>
        <v>online</v>
      </c>
      <c r="W165" s="213" t="str">
        <f>IFERROR(__xludf.DUMMYFUNCTION("""COMPUTED_VALUE"""),"sms")</f>
        <v>sms</v>
      </c>
      <c r="X165" s="213" t="str">
        <f>IFERROR(__xludf.DUMMYFUNCTION("""COMPUTED_VALUE"""),"Add to Cart")</f>
        <v>Add to Cart</v>
      </c>
      <c r="Y165" s="213" t="str">
        <f>IFERROR(__xludf.DUMMYFUNCTION("""COMPUTED_VALUE"""),"3rd May - 4th May 2026")</f>
        <v>3rd May - 4th May 2026</v>
      </c>
      <c r="Z165" s="213" t="str">
        <f>IFERROR(__xludf.DUMMYFUNCTION("""COMPUTED_VALUE"""),"69f5a62047ebb96076097a02")</f>
        <v>69f5a62047ebb96076097a02</v>
      </c>
      <c r="AA165" s="213"/>
      <c r="AB165" s="213"/>
      <c r="AC165" s="213"/>
      <c r="AD165" s="213"/>
      <c r="AE165" s="213"/>
      <c r="AF165" s="213"/>
      <c r="AG165" s="208"/>
      <c r="AH165" s="208"/>
      <c r="AI165" s="208"/>
      <c r="AJ165" s="208"/>
      <c r="AK165" s="208"/>
    </row>
    <row r="166">
      <c r="A166" s="209">
        <f>IFERROR(__xludf.DUMMYFUNCTION("""COMPUTED_VALUE"""),46145.0)</f>
        <v>46145</v>
      </c>
      <c r="B166" s="210">
        <f>IFERROR(__xludf.DUMMYFUNCTION("""COMPUTED_VALUE"""),0.4791666666678793)</f>
        <v>0.4791666667</v>
      </c>
      <c r="C166" s="211" t="str">
        <f>IFERROR(__xludf.DUMMYFUNCTION("""COMPUTED_VALUE"""),"Sms")</f>
        <v>Sms</v>
      </c>
      <c r="D166" s="211" t="str">
        <f>IFERROR(__xludf.DUMMYFUNCTION("""COMPUTED_VALUE"""),"Fallback campaign")</f>
        <v>Fallback campaign</v>
      </c>
      <c r="E166" s="211" t="str">
        <f>IFERROR(__xludf.DUMMYFUNCTION("""COMPUTED_VALUE"""),"Aldo")</f>
        <v>Aldo</v>
      </c>
      <c r="F166" s="211" t="str">
        <f>IFERROR(__xludf.DUMMYFUNCTION("""COMPUTED_VALUE"""),"MAY BOGO 2026 1-3 MAY - No Brief")</f>
        <v>MAY BOGO 2026 1-3 MAY - No Brief</v>
      </c>
      <c r="G166" s="211" t="str">
        <f>IFERROR(__xludf.DUMMYFUNCTION("""COMPUTED_VALUE"""),"AL_ON_View_Item_fall back _last day")</f>
        <v>AL_ON_View_Item_fall back _last day</v>
      </c>
      <c r="H166" s="212" t="str">
        <f>IFERROR(__xludf.DUMMYFUNCTION("""COMPUTED_VALUE"""),"AL_ON_View_Item")</f>
        <v>AL_ON_View_Item</v>
      </c>
      <c r="I166" s="212" t="str">
        <f>IFERROR(__xludf.DUMMYFUNCTION("""COMPUTED_VALUE"""),"RCS Undelivered")</f>
        <v>RCS Undelivered</v>
      </c>
      <c r="J166" s="213">
        <f>IFERROR(__xludf.DUMMYFUNCTION("""COMPUTED_VALUE"""),711.0)</f>
        <v>711</v>
      </c>
      <c r="K166" s="213">
        <f>IFERROR(__xludf.DUMMYFUNCTION("""COMPUTED_VALUE"""),423.0)</f>
        <v>423</v>
      </c>
      <c r="L166" s="214">
        <f>IFERROR(__xludf.DUMMYFUNCTION("""COMPUTED_VALUE"""),0.5949)</f>
        <v>0.5949</v>
      </c>
      <c r="M166" s="213">
        <f>IFERROR(__xludf.DUMMYFUNCTION("""COMPUTED_VALUE"""),0.0)</f>
        <v>0</v>
      </c>
      <c r="N166" s="214">
        <f>IFERROR(__xludf.DUMMYFUNCTION("""COMPUTED_VALUE"""),0.0)</f>
        <v>0</v>
      </c>
      <c r="O166" s="213">
        <f>IFERROR(__xludf.DUMMYFUNCTION("""COMPUTED_VALUE"""),1.0)</f>
        <v>1</v>
      </c>
      <c r="P166" s="213">
        <f>IFERROR(__xludf.DUMMYFUNCTION("""COMPUTED_VALUE"""),0.0)</f>
        <v>0</v>
      </c>
      <c r="Q166" s="214">
        <f>IFERROR(__xludf.DUMMYFUNCTION("""COMPUTED_VALUE"""),0.0024)</f>
        <v>0.0024</v>
      </c>
      <c r="R166" s="214">
        <f>IFERROR(__xludf.DUMMYFUNCTION("""COMPUTED_VALUE"""),0.0)</f>
        <v>0</v>
      </c>
      <c r="S166" s="213">
        <f>IFERROR(__xludf.DUMMYFUNCTION("""COMPUTED_VALUE"""),1.0)</f>
        <v>1</v>
      </c>
      <c r="T166" s="213">
        <f>IFERROR(__xludf.DUMMYFUNCTION("""COMPUTED_VALUE"""),7.0)</f>
        <v>7</v>
      </c>
      <c r="U166" s="213">
        <f>IFERROR(__xludf.DUMMYFUNCTION("""COMPUTED_VALUE"""),11999.0)</f>
        <v>11999</v>
      </c>
      <c r="V166" s="213" t="str">
        <f>IFERROR(__xludf.DUMMYFUNCTION("""COMPUTED_VALUE"""),"online")</f>
        <v>online</v>
      </c>
      <c r="W166" s="213" t="str">
        <f>IFERROR(__xludf.DUMMYFUNCTION("""COMPUTED_VALUE"""),"sms")</f>
        <v>sms</v>
      </c>
      <c r="X166" s="213" t="str">
        <f>IFERROR(__xludf.DUMMYFUNCTION("""COMPUTED_VALUE"""),"View Item")</f>
        <v>View Item</v>
      </c>
      <c r="Y166" s="213" t="str">
        <f>IFERROR(__xludf.DUMMYFUNCTION("""COMPUTED_VALUE"""),"3rd May - 4th May 2026")</f>
        <v>3rd May - 4th May 2026</v>
      </c>
      <c r="Z166" s="213" t="str">
        <f>IFERROR(__xludf.DUMMYFUNCTION("""COMPUTED_VALUE"""),"69f5a65d73a8f0c8a0a9939c")</f>
        <v>69f5a65d73a8f0c8a0a9939c</v>
      </c>
      <c r="AA166" s="213"/>
      <c r="AB166" s="213"/>
      <c r="AC166" s="213"/>
      <c r="AD166" s="213"/>
      <c r="AE166" s="213"/>
      <c r="AF166" s="213"/>
      <c r="AG166" s="208"/>
      <c r="AH166" s="208"/>
      <c r="AI166" s="208"/>
      <c r="AJ166" s="208"/>
      <c r="AK166" s="208"/>
    </row>
    <row r="167">
      <c r="A167" s="209">
        <f>IFERROR(__xludf.DUMMYFUNCTION("""COMPUTED_VALUE"""),46145.0)</f>
        <v>46145</v>
      </c>
      <c r="B167" s="210">
        <f>IFERROR(__xludf.DUMMYFUNCTION("""COMPUTED_VALUE"""),0.4791666666678793)</f>
        <v>0.4791666667</v>
      </c>
      <c r="C167" s="211" t="str">
        <f>IFERROR(__xludf.DUMMYFUNCTION("""COMPUTED_VALUE"""),"Sms")</f>
        <v>Sms</v>
      </c>
      <c r="D167" s="211" t="str">
        <f>IFERROR(__xludf.DUMMYFUNCTION("""COMPUTED_VALUE"""),"Fallback campaign")</f>
        <v>Fallback campaign</v>
      </c>
      <c r="E167" s="211" t="str">
        <f>IFERROR(__xludf.DUMMYFUNCTION("""COMPUTED_VALUE"""),"Aldo")</f>
        <v>Aldo</v>
      </c>
      <c r="F167" s="211" t="str">
        <f>IFERROR(__xludf.DUMMYFUNCTION("""COMPUTED_VALUE"""),"MAY BOGO 2026 1-3 MAY - No Brief")</f>
        <v>MAY BOGO 2026 1-3 MAY - No Brief</v>
      </c>
      <c r="G167" s="211" t="str">
        <f>IFERROR(__xludf.DUMMYFUNCTION("""COMPUTED_VALUE"""),"AL_ON_SignUp_Form_fall back / LAST DAY")</f>
        <v>AL_ON_SignUp_Form_fall back / LAST DAY</v>
      </c>
      <c r="H167" s="212" t="str">
        <f>IFERROR(__xludf.DUMMYFUNCTION("""COMPUTED_VALUE"""),"AL_ON_SignUp_Form")</f>
        <v>AL_ON_SignUp_Form</v>
      </c>
      <c r="I167" s="212" t="str">
        <f>IFERROR(__xludf.DUMMYFUNCTION("""COMPUTED_VALUE"""),"RCS Undelivered")</f>
        <v>RCS Undelivered</v>
      </c>
      <c r="J167" s="213">
        <f>IFERROR(__xludf.DUMMYFUNCTION("""COMPUTED_VALUE"""),519.0)</f>
        <v>519</v>
      </c>
      <c r="K167" s="213">
        <f>IFERROR(__xludf.DUMMYFUNCTION("""COMPUTED_VALUE"""),335.0)</f>
        <v>335</v>
      </c>
      <c r="L167" s="214">
        <f>IFERROR(__xludf.DUMMYFUNCTION("""COMPUTED_VALUE"""),0.6455)</f>
        <v>0.6455</v>
      </c>
      <c r="M167" s="213">
        <f>IFERROR(__xludf.DUMMYFUNCTION("""COMPUTED_VALUE"""),0.0)</f>
        <v>0</v>
      </c>
      <c r="N167" s="214">
        <f>IFERROR(__xludf.DUMMYFUNCTION("""COMPUTED_VALUE"""),0.0)</f>
        <v>0</v>
      </c>
      <c r="O167" s="213">
        <f>IFERROR(__xludf.DUMMYFUNCTION("""COMPUTED_VALUE"""),1.0)</f>
        <v>1</v>
      </c>
      <c r="P167" s="213">
        <f>IFERROR(__xludf.DUMMYFUNCTION("""COMPUTED_VALUE"""),0.0)</f>
        <v>0</v>
      </c>
      <c r="Q167" s="214">
        <f>IFERROR(__xludf.DUMMYFUNCTION("""COMPUTED_VALUE"""),0.003)</f>
        <v>0.003</v>
      </c>
      <c r="R167" s="214">
        <f>IFERROR(__xludf.DUMMYFUNCTION("""COMPUTED_VALUE"""),0.0)</f>
        <v>0</v>
      </c>
      <c r="S167" s="213">
        <f>IFERROR(__xludf.DUMMYFUNCTION("""COMPUTED_VALUE"""),2.0)</f>
        <v>2</v>
      </c>
      <c r="T167" s="213">
        <f>IFERROR(__xludf.DUMMYFUNCTION("""COMPUTED_VALUE"""),2.0)</f>
        <v>2</v>
      </c>
      <c r="U167" s="213">
        <f>IFERROR(__xludf.DUMMYFUNCTION("""COMPUTED_VALUE"""),28498.0)</f>
        <v>28498</v>
      </c>
      <c r="V167" s="213" t="str">
        <f>IFERROR(__xludf.DUMMYFUNCTION("""COMPUTED_VALUE"""),"online")</f>
        <v>online</v>
      </c>
      <c r="W167" s="213" t="str">
        <f>IFERROR(__xludf.DUMMYFUNCTION("""COMPUTED_VALUE"""),"sms")</f>
        <v>sms</v>
      </c>
      <c r="X167" s="213" t="str">
        <f>IFERROR(__xludf.DUMMYFUNCTION("""COMPUTED_VALUE"""),"Sign Up Form")</f>
        <v>Sign Up Form</v>
      </c>
      <c r="Y167" s="213" t="str">
        <f>IFERROR(__xludf.DUMMYFUNCTION("""COMPUTED_VALUE"""),"3rd May - 4th May 2026")</f>
        <v>3rd May - 4th May 2026</v>
      </c>
      <c r="Z167" s="213" t="str">
        <f>IFERROR(__xludf.DUMMYFUNCTION("""COMPUTED_VALUE"""),"69f5a6af1d77cbde5068a6fa")</f>
        <v>69f5a6af1d77cbde5068a6fa</v>
      </c>
      <c r="AA167" s="213"/>
      <c r="AB167" s="213"/>
      <c r="AC167" s="213"/>
      <c r="AD167" s="213"/>
      <c r="AE167" s="213"/>
      <c r="AF167" s="213"/>
      <c r="AG167" s="208"/>
      <c r="AH167" s="208"/>
      <c r="AI167" s="208"/>
      <c r="AJ167" s="208"/>
      <c r="AK167" s="208"/>
    </row>
    <row r="168">
      <c r="A168" s="209">
        <f>IFERROR(__xludf.DUMMYFUNCTION("""COMPUTED_VALUE"""),46145.0)</f>
        <v>46145</v>
      </c>
      <c r="B168" s="210">
        <f>IFERROR(__xludf.DUMMYFUNCTION("""COMPUTED_VALUE"""),0.4791666666678793)</f>
        <v>0.4791666667</v>
      </c>
      <c r="C168" s="211" t="str">
        <f>IFERROR(__xludf.DUMMYFUNCTION("""COMPUTED_VALUE"""),"Sms")</f>
        <v>Sms</v>
      </c>
      <c r="D168" s="211" t="str">
        <f>IFERROR(__xludf.DUMMYFUNCTION("""COMPUTED_VALUE"""),"Fallback campaign")</f>
        <v>Fallback campaign</v>
      </c>
      <c r="E168" s="211" t="str">
        <f>IFERROR(__xludf.DUMMYFUNCTION("""COMPUTED_VALUE"""),"Aldo")</f>
        <v>Aldo</v>
      </c>
      <c r="F168" s="211" t="str">
        <f>IFERROR(__xludf.DUMMYFUNCTION("""COMPUTED_VALUE"""),"MAY BOGO 2026 1-3 MAY - No Brief")</f>
        <v>MAY BOGO 2026 1-3 MAY - No Brief</v>
      </c>
      <c r="G168" s="211" t="str">
        <f>IFERROR(__xludf.DUMMYFUNCTION("""COMPUTED_VALUE"""),"AL_ON_Cart_Exit_Intent_fallback/ LAST DAY")</f>
        <v>AL_ON_Cart_Exit_Intent_fallback/ LAST DAY</v>
      </c>
      <c r="H168" s="212" t="str">
        <f>IFERROR(__xludf.DUMMYFUNCTION("""COMPUTED_VALUE"""),"AL_ON_Cart_Exit_Intent")</f>
        <v>AL_ON_Cart_Exit_Intent</v>
      </c>
      <c r="I168" s="212" t="str">
        <f>IFERROR(__xludf.DUMMYFUNCTION("""COMPUTED_VALUE"""),"RCS Undelivered")</f>
        <v>RCS Undelivered</v>
      </c>
      <c r="J168" s="213">
        <f>IFERROR(__xludf.DUMMYFUNCTION("""COMPUTED_VALUE"""),8106.0)</f>
        <v>8106</v>
      </c>
      <c r="K168" s="213">
        <f>IFERROR(__xludf.DUMMYFUNCTION("""COMPUTED_VALUE"""),5424.0)</f>
        <v>5424</v>
      </c>
      <c r="L168" s="214">
        <f>IFERROR(__xludf.DUMMYFUNCTION("""COMPUTED_VALUE"""),0.6691)</f>
        <v>0.6691</v>
      </c>
      <c r="M168" s="213">
        <f>IFERROR(__xludf.DUMMYFUNCTION("""COMPUTED_VALUE"""),0.0)</f>
        <v>0</v>
      </c>
      <c r="N168" s="214">
        <f>IFERROR(__xludf.DUMMYFUNCTION("""COMPUTED_VALUE"""),0.0)</f>
        <v>0</v>
      </c>
      <c r="O168" s="213">
        <f>IFERROR(__xludf.DUMMYFUNCTION("""COMPUTED_VALUE"""),12.0)</f>
        <v>12</v>
      </c>
      <c r="P168" s="213">
        <f>IFERROR(__xludf.DUMMYFUNCTION("""COMPUTED_VALUE"""),0.0)</f>
        <v>0</v>
      </c>
      <c r="Q168" s="214">
        <f>IFERROR(__xludf.DUMMYFUNCTION("""COMPUTED_VALUE"""),0.0022)</f>
        <v>0.0022</v>
      </c>
      <c r="R168" s="214">
        <f>IFERROR(__xludf.DUMMYFUNCTION("""COMPUTED_VALUE"""),0.0)</f>
        <v>0</v>
      </c>
      <c r="S168" s="213">
        <f>IFERROR(__xludf.DUMMYFUNCTION("""COMPUTED_VALUE"""),0.0)</f>
        <v>0</v>
      </c>
      <c r="T168" s="213">
        <f>IFERROR(__xludf.DUMMYFUNCTION("""COMPUTED_VALUE"""),12.0)</f>
        <v>12</v>
      </c>
      <c r="U168" s="213">
        <f>IFERROR(__xludf.DUMMYFUNCTION("""COMPUTED_VALUE"""),0.0)</f>
        <v>0</v>
      </c>
      <c r="V168" s="213" t="str">
        <f>IFERROR(__xludf.DUMMYFUNCTION("""COMPUTED_VALUE"""),"online")</f>
        <v>online</v>
      </c>
      <c r="W168" s="213" t="str">
        <f>IFERROR(__xludf.DUMMYFUNCTION("""COMPUTED_VALUE"""),"sms")</f>
        <v>sms</v>
      </c>
      <c r="X168" s="213" t="str">
        <f>IFERROR(__xludf.DUMMYFUNCTION("""COMPUTED_VALUE"""),"Exit Intent Form")</f>
        <v>Exit Intent Form</v>
      </c>
      <c r="Y168" s="213" t="str">
        <f>IFERROR(__xludf.DUMMYFUNCTION("""COMPUTED_VALUE"""),"3rd May - 4th May 2026")</f>
        <v>3rd May - 4th May 2026</v>
      </c>
      <c r="Z168" s="213" t="str">
        <f>IFERROR(__xludf.DUMMYFUNCTION("""COMPUTED_VALUE"""),"69f5a705cd277f53b0adbce4")</f>
        <v>69f5a705cd277f53b0adbce4</v>
      </c>
      <c r="AA168" s="213"/>
      <c r="AB168" s="213"/>
      <c r="AC168" s="213"/>
      <c r="AD168" s="213"/>
      <c r="AE168" s="213"/>
      <c r="AF168" s="213"/>
      <c r="AG168" s="208"/>
      <c r="AH168" s="208"/>
      <c r="AI168" s="208"/>
      <c r="AJ168" s="208"/>
      <c r="AK168" s="208"/>
    </row>
    <row r="169">
      <c r="A169" s="209">
        <f>IFERROR(__xludf.DUMMYFUNCTION("""COMPUTED_VALUE"""),46145.0)</f>
        <v>46145</v>
      </c>
      <c r="B169" s="210">
        <f>IFERROR(__xludf.DUMMYFUNCTION("""COMPUTED_VALUE"""),0.4791666666678793)</f>
        <v>0.4791666667</v>
      </c>
      <c r="C169" s="211" t="str">
        <f>IFERROR(__xludf.DUMMYFUNCTION("""COMPUTED_VALUE"""),"Sms")</f>
        <v>Sms</v>
      </c>
      <c r="D169" s="211" t="str">
        <f>IFERROR(__xludf.DUMMYFUNCTION("""COMPUTED_VALUE"""),"Fallback campaign")</f>
        <v>Fallback campaign</v>
      </c>
      <c r="E169" s="211" t="str">
        <f>IFERROR(__xludf.DUMMYFUNCTION("""COMPUTED_VALUE"""),"Aldo")</f>
        <v>Aldo</v>
      </c>
      <c r="F169" s="211" t="str">
        <f>IFERROR(__xludf.DUMMYFUNCTION("""COMPUTED_VALUE"""),"MAY BOGO 2026 1-3 MAY - No Brief")</f>
        <v>MAY BOGO 2026 1-3 MAY - No Brief</v>
      </c>
      <c r="G169" s="211" t="str">
        <f>IFERROR(__xludf.DUMMYFUNCTION("""COMPUTED_VALUE"""),"AL_ON_OFF_Event_Buyers_BOGO_fall back /LAST DAY")</f>
        <v>AL_ON_OFF_Event_Buyers_BOGO_fall back /LAST DAY</v>
      </c>
      <c r="H169" s="212" t="str">
        <f>IFERROR(__xludf.DUMMYFUNCTION("""COMPUTED_VALUE"""),"AL_ON_OFF_Event_Buyers_BOGO")</f>
        <v>AL_ON_OFF_Event_Buyers_BOGO</v>
      </c>
      <c r="I169" s="212" t="str">
        <f>IFERROR(__xludf.DUMMYFUNCTION("""COMPUTED_VALUE"""),"RCS Undelivered")</f>
        <v>RCS Undelivered</v>
      </c>
      <c r="J169" s="213">
        <f>IFERROR(__xludf.DUMMYFUNCTION("""COMPUTED_VALUE"""),3306.0)</f>
        <v>3306</v>
      </c>
      <c r="K169" s="213">
        <f>IFERROR(__xludf.DUMMYFUNCTION("""COMPUTED_VALUE"""),1921.0)</f>
        <v>1921</v>
      </c>
      <c r="L169" s="214">
        <f>IFERROR(__xludf.DUMMYFUNCTION("""COMPUTED_VALUE"""),0.5811)</f>
        <v>0.5811</v>
      </c>
      <c r="M169" s="213">
        <f>IFERROR(__xludf.DUMMYFUNCTION("""COMPUTED_VALUE"""),0.0)</f>
        <v>0</v>
      </c>
      <c r="N169" s="214">
        <f>IFERROR(__xludf.DUMMYFUNCTION("""COMPUTED_VALUE"""),0.0)</f>
        <v>0</v>
      </c>
      <c r="O169" s="213">
        <f>IFERROR(__xludf.DUMMYFUNCTION("""COMPUTED_VALUE"""),7.0)</f>
        <v>7</v>
      </c>
      <c r="P169" s="213">
        <f>IFERROR(__xludf.DUMMYFUNCTION("""COMPUTED_VALUE"""),0.0)</f>
        <v>0</v>
      </c>
      <c r="Q169" s="214">
        <f>IFERROR(__xludf.DUMMYFUNCTION("""COMPUTED_VALUE"""),0.0036)</f>
        <v>0.0036</v>
      </c>
      <c r="R169" s="214">
        <f>IFERROR(__xludf.DUMMYFUNCTION("""COMPUTED_VALUE"""),0.0)</f>
        <v>0</v>
      </c>
      <c r="S169" s="213">
        <f>IFERROR(__xludf.DUMMYFUNCTION("""COMPUTED_VALUE"""),2.0)</f>
        <v>2</v>
      </c>
      <c r="T169" s="213">
        <f>IFERROR(__xludf.DUMMYFUNCTION("""COMPUTED_VALUE"""),4.0)</f>
        <v>4</v>
      </c>
      <c r="U169" s="213">
        <f>IFERROR(__xludf.DUMMYFUNCTION("""COMPUTED_VALUE"""),40147.0)</f>
        <v>40147</v>
      </c>
      <c r="V169" s="213" t="str">
        <f>IFERROR(__xludf.DUMMYFUNCTION("""COMPUTED_VALUE"""),"overall")</f>
        <v>overall</v>
      </c>
      <c r="W169" s="213" t="str">
        <f>IFERROR(__xludf.DUMMYFUNCTION("""COMPUTED_VALUE"""),"sms")</f>
        <v>sms</v>
      </c>
      <c r="X169" s="213" t="str">
        <f>IFERROR(__xludf.DUMMYFUNCTION("""COMPUTED_VALUE"""),"Event Buyers")</f>
        <v>Event Buyers</v>
      </c>
      <c r="Y169" s="213" t="str">
        <f>IFERROR(__xludf.DUMMYFUNCTION("""COMPUTED_VALUE"""),"3rd May - 4th May 2026")</f>
        <v>3rd May - 4th May 2026</v>
      </c>
      <c r="Z169" s="213" t="str">
        <f>IFERROR(__xludf.DUMMYFUNCTION("""COMPUTED_VALUE"""),"69f5a75e09e5e6fb6b72d38d")</f>
        <v>69f5a75e09e5e6fb6b72d38d</v>
      </c>
      <c r="AA169" s="213"/>
      <c r="AB169" s="213"/>
      <c r="AC169" s="213"/>
      <c r="AD169" s="213"/>
      <c r="AE169" s="213"/>
      <c r="AF169" s="213"/>
      <c r="AG169" s="208"/>
      <c r="AH169" s="208"/>
      <c r="AI169" s="208"/>
      <c r="AJ169" s="208"/>
      <c r="AK169" s="208"/>
    </row>
    <row r="170">
      <c r="A170" s="209">
        <f>IFERROR(__xludf.DUMMYFUNCTION("""COMPUTED_VALUE"""),46145.0)</f>
        <v>46145</v>
      </c>
      <c r="B170" s="210">
        <f>IFERROR(__xludf.DUMMYFUNCTION("""COMPUTED_VALUE"""),0.4791666666678793)</f>
        <v>0.4791666667</v>
      </c>
      <c r="C170" s="211" t="str">
        <f>IFERROR(__xludf.DUMMYFUNCTION("""COMPUTED_VALUE"""),"Sms")</f>
        <v>Sms</v>
      </c>
      <c r="D170" s="211" t="str">
        <f>IFERROR(__xludf.DUMMYFUNCTION("""COMPUTED_VALUE"""),"Fallback campaign")</f>
        <v>Fallback campaign</v>
      </c>
      <c r="E170" s="211" t="str">
        <f>IFERROR(__xludf.DUMMYFUNCTION("""COMPUTED_VALUE"""),"Aldo")</f>
        <v>Aldo</v>
      </c>
      <c r="F170" s="211" t="str">
        <f>IFERROR(__xludf.DUMMYFUNCTION("""COMPUTED_VALUE"""),"MAY BOGO 2026 1-3 MAY - No Brief")</f>
        <v>MAY BOGO 2026 1-3 MAY - No Brief</v>
      </c>
      <c r="G170" s="211" t="str">
        <f>IFERROR(__xludf.DUMMYFUNCTION("""COMPUTED_VALUE"""),"AL_ON_OFF_Repeat_1Year_fall back / LAST DAY")</f>
        <v>AL_ON_OFF_Repeat_1Year_fall back / LAST DAY</v>
      </c>
      <c r="H170" s="212" t="str">
        <f>IFERROR(__xludf.DUMMYFUNCTION("""COMPUTED_VALUE"""),"AL_ON_OFF_Repeat_1Year")</f>
        <v>AL_ON_OFF_Repeat_1Year</v>
      </c>
      <c r="I170" s="212" t="str">
        <f>IFERROR(__xludf.DUMMYFUNCTION("""COMPUTED_VALUE"""),"RCS Undelivered")</f>
        <v>RCS Undelivered</v>
      </c>
      <c r="J170" s="213">
        <f>IFERROR(__xludf.DUMMYFUNCTION("""COMPUTED_VALUE"""),16833.0)</f>
        <v>16833</v>
      </c>
      <c r="K170" s="213">
        <f>IFERROR(__xludf.DUMMYFUNCTION("""COMPUTED_VALUE"""),9300.0)</f>
        <v>9300</v>
      </c>
      <c r="L170" s="214">
        <f>IFERROR(__xludf.DUMMYFUNCTION("""COMPUTED_VALUE"""),0.5525)</f>
        <v>0.5525</v>
      </c>
      <c r="M170" s="213">
        <f>IFERROR(__xludf.DUMMYFUNCTION("""COMPUTED_VALUE"""),0.0)</f>
        <v>0</v>
      </c>
      <c r="N170" s="214">
        <f>IFERROR(__xludf.DUMMYFUNCTION("""COMPUTED_VALUE"""),0.0)</f>
        <v>0</v>
      </c>
      <c r="O170" s="213">
        <f>IFERROR(__xludf.DUMMYFUNCTION("""COMPUTED_VALUE"""),28.0)</f>
        <v>28</v>
      </c>
      <c r="P170" s="213">
        <f>IFERROR(__xludf.DUMMYFUNCTION("""COMPUTED_VALUE"""),0.0)</f>
        <v>0</v>
      </c>
      <c r="Q170" s="214">
        <f>IFERROR(__xludf.DUMMYFUNCTION("""COMPUTED_VALUE"""),0.003)</f>
        <v>0.003</v>
      </c>
      <c r="R170" s="214">
        <f>IFERROR(__xludf.DUMMYFUNCTION("""COMPUTED_VALUE"""),0.0)</f>
        <v>0</v>
      </c>
      <c r="S170" s="213">
        <f>IFERROR(__xludf.DUMMYFUNCTION("""COMPUTED_VALUE"""),1.0)</f>
        <v>1</v>
      </c>
      <c r="T170" s="213">
        <f>IFERROR(__xludf.DUMMYFUNCTION("""COMPUTED_VALUE"""),1.0)</f>
        <v>1</v>
      </c>
      <c r="U170" s="213">
        <f>IFERROR(__xludf.DUMMYFUNCTION("""COMPUTED_VALUE"""),11999.0)</f>
        <v>11999</v>
      </c>
      <c r="V170" s="213" t="str">
        <f>IFERROR(__xludf.DUMMYFUNCTION("""COMPUTED_VALUE"""),"overall")</f>
        <v>overall</v>
      </c>
      <c r="W170" s="213" t="str">
        <f>IFERROR(__xludf.DUMMYFUNCTION("""COMPUTED_VALUE"""),"sms")</f>
        <v>sms</v>
      </c>
      <c r="X170" s="213" t="str">
        <f>IFERROR(__xludf.DUMMYFUNCTION("""COMPUTED_VALUE"""),"Repeat")</f>
        <v>Repeat</v>
      </c>
      <c r="Y170" s="213" t="str">
        <f>IFERROR(__xludf.DUMMYFUNCTION("""COMPUTED_VALUE"""),"3rd May - 4th May 2026")</f>
        <v>3rd May - 4th May 2026</v>
      </c>
      <c r="Z170" s="213" t="str">
        <f>IFERROR(__xludf.DUMMYFUNCTION("""COMPUTED_VALUE"""),"69f5a7979d9ef9074d45a6b1")</f>
        <v>69f5a7979d9ef9074d45a6b1</v>
      </c>
      <c r="AA170" s="213"/>
      <c r="AB170" s="213"/>
      <c r="AC170" s="213"/>
      <c r="AD170" s="213"/>
      <c r="AE170" s="213"/>
      <c r="AF170" s="213"/>
      <c r="AG170" s="208"/>
      <c r="AH170" s="208"/>
      <c r="AI170" s="208"/>
      <c r="AJ170" s="208"/>
      <c r="AK170" s="208"/>
    </row>
    <row r="171">
      <c r="A171" s="209">
        <f>IFERROR(__xludf.DUMMYFUNCTION("""COMPUTED_VALUE"""),46145.0)</f>
        <v>46145</v>
      </c>
      <c r="B171" s="210">
        <f>IFERROR(__xludf.DUMMYFUNCTION("""COMPUTED_VALUE"""),0.4791666666678793)</f>
        <v>0.4791666667</v>
      </c>
      <c r="C171" s="211" t="str">
        <f>IFERROR(__xludf.DUMMYFUNCTION("""COMPUTED_VALUE"""),"Sms")</f>
        <v>Sms</v>
      </c>
      <c r="D171" s="211" t="str">
        <f>IFERROR(__xludf.DUMMYFUNCTION("""COMPUTED_VALUE"""),"Fallback campaign")</f>
        <v>Fallback campaign</v>
      </c>
      <c r="E171" s="211" t="str">
        <f>IFERROR(__xludf.DUMMYFUNCTION("""COMPUTED_VALUE"""),"Aldo")</f>
        <v>Aldo</v>
      </c>
      <c r="F171" s="211" t="str">
        <f>IFERROR(__xludf.DUMMYFUNCTION("""COMPUTED_VALUE"""),"MAY BOGO 2026 1-3 MAY - No Brief")</f>
        <v>MAY BOGO 2026 1-3 MAY - No Brief</v>
      </c>
      <c r="G171" s="211" t="str">
        <f>IFERROR(__xludf.DUMMYFUNCTION("""COMPUTED_VALUE"""),"AL_ON_OFF_Recent_fall back / LAST DAY")</f>
        <v>AL_ON_OFF_Recent_fall back / LAST DAY</v>
      </c>
      <c r="H171" s="212" t="str">
        <f>IFERROR(__xludf.DUMMYFUNCTION("""COMPUTED_VALUE"""),"AL_ON_OFF_Recent")</f>
        <v>AL_ON_OFF_Recent</v>
      </c>
      <c r="I171" s="212" t="str">
        <f>IFERROR(__xludf.DUMMYFUNCTION("""COMPUTED_VALUE"""),"RCS Undelivered")</f>
        <v>RCS Undelivered</v>
      </c>
      <c r="J171" s="213">
        <f>IFERROR(__xludf.DUMMYFUNCTION("""COMPUTED_VALUE"""),11248.0)</f>
        <v>11248</v>
      </c>
      <c r="K171" s="213">
        <f>IFERROR(__xludf.DUMMYFUNCTION("""COMPUTED_VALUE"""),6235.0)</f>
        <v>6235</v>
      </c>
      <c r="L171" s="214">
        <f>IFERROR(__xludf.DUMMYFUNCTION("""COMPUTED_VALUE"""),0.5543)</f>
        <v>0.5543</v>
      </c>
      <c r="M171" s="213">
        <f>IFERROR(__xludf.DUMMYFUNCTION("""COMPUTED_VALUE"""),0.0)</f>
        <v>0</v>
      </c>
      <c r="N171" s="214">
        <f>IFERROR(__xludf.DUMMYFUNCTION("""COMPUTED_VALUE"""),0.0)</f>
        <v>0</v>
      </c>
      <c r="O171" s="213">
        <f>IFERROR(__xludf.DUMMYFUNCTION("""COMPUTED_VALUE"""),18.0)</f>
        <v>18</v>
      </c>
      <c r="P171" s="213">
        <f>IFERROR(__xludf.DUMMYFUNCTION("""COMPUTED_VALUE"""),0.0)</f>
        <v>0</v>
      </c>
      <c r="Q171" s="214">
        <f>IFERROR(__xludf.DUMMYFUNCTION("""COMPUTED_VALUE"""),0.0029)</f>
        <v>0.0029</v>
      </c>
      <c r="R171" s="214">
        <f>IFERROR(__xludf.DUMMYFUNCTION("""COMPUTED_VALUE"""),0.0)</f>
        <v>0</v>
      </c>
      <c r="S171" s="213">
        <f>IFERROR(__xludf.DUMMYFUNCTION("""COMPUTED_VALUE"""),1.0)</f>
        <v>1</v>
      </c>
      <c r="T171" s="213">
        <f>IFERROR(__xludf.DUMMYFUNCTION("""COMPUTED_VALUE"""),9.0)</f>
        <v>9</v>
      </c>
      <c r="U171" s="213">
        <f>IFERROR(__xludf.DUMMYFUNCTION("""COMPUTED_VALUE"""),8549.0)</f>
        <v>8549</v>
      </c>
      <c r="V171" s="213" t="str">
        <f>IFERROR(__xludf.DUMMYFUNCTION("""COMPUTED_VALUE"""),"overall")</f>
        <v>overall</v>
      </c>
      <c r="W171" s="213" t="str">
        <f>IFERROR(__xludf.DUMMYFUNCTION("""COMPUTED_VALUE"""),"sms")</f>
        <v>sms</v>
      </c>
      <c r="X171" s="213" t="str">
        <f>IFERROR(__xludf.DUMMYFUNCTION("""COMPUTED_VALUE"""),"Recent")</f>
        <v>Recent</v>
      </c>
      <c r="Y171" s="213" t="str">
        <f>IFERROR(__xludf.DUMMYFUNCTION("""COMPUTED_VALUE"""),"3rd May - 4th May 2026")</f>
        <v>3rd May - 4th May 2026</v>
      </c>
      <c r="Z171" s="213" t="str">
        <f>IFERROR(__xludf.DUMMYFUNCTION("""COMPUTED_VALUE"""),"69f5a7dbfaa9f5a3eace4c57")</f>
        <v>69f5a7dbfaa9f5a3eace4c57</v>
      </c>
      <c r="AA171" s="213"/>
      <c r="AB171" s="213"/>
      <c r="AC171" s="213"/>
      <c r="AD171" s="213"/>
      <c r="AE171" s="213"/>
      <c r="AF171" s="213"/>
      <c r="AG171" s="208"/>
      <c r="AH171" s="208"/>
      <c r="AI171" s="208"/>
      <c r="AJ171" s="208"/>
      <c r="AK171" s="208"/>
    </row>
    <row r="172">
      <c r="A172" s="209">
        <f>IFERROR(__xludf.DUMMYFUNCTION("""COMPUTED_VALUE"""),46145.0)</f>
        <v>46145</v>
      </c>
      <c r="B172" s="210">
        <f>IFERROR(__xludf.DUMMYFUNCTION("""COMPUTED_VALUE"""),0.4791666666678793)</f>
        <v>0.4791666667</v>
      </c>
      <c r="C172" s="211" t="str">
        <f>IFERROR(__xludf.DUMMYFUNCTION("""COMPUTED_VALUE"""),"Sms")</f>
        <v>Sms</v>
      </c>
      <c r="D172" s="211" t="str">
        <f>IFERROR(__xludf.DUMMYFUNCTION("""COMPUTED_VALUE"""),"Fallback campaign")</f>
        <v>Fallback campaign</v>
      </c>
      <c r="E172" s="211" t="str">
        <f>IFERROR(__xludf.DUMMYFUNCTION("""COMPUTED_VALUE"""),"Aldo")</f>
        <v>Aldo</v>
      </c>
      <c r="F172" s="211" t="str">
        <f>IFERROR(__xludf.DUMMYFUNCTION("""COMPUTED_VALUE"""),"MAY BOGO 2026 1-3 MAY - No Brief")</f>
        <v>MAY BOGO 2026 1-3 MAY - No Brief</v>
      </c>
      <c r="G172" s="211" t="str">
        <f>IFERROR(__xludf.DUMMYFUNCTION("""COMPUTED_VALUE"""),"AL_ON_OFF_Disc_Buyers_50_perc_fall back / LAST DAY")</f>
        <v>AL_ON_OFF_Disc_Buyers_50_perc_fall back / LAST DAY</v>
      </c>
      <c r="H172" s="212" t="str">
        <f>IFERROR(__xludf.DUMMYFUNCTION("""COMPUTED_VALUE"""),"AL_ON_OFF_Disc_Buyers_50_perc")</f>
        <v>AL_ON_OFF_Disc_Buyers_50_perc</v>
      </c>
      <c r="I172" s="212" t="str">
        <f>IFERROR(__xludf.DUMMYFUNCTION("""COMPUTED_VALUE"""),"RCS Undelivered")</f>
        <v>RCS Undelivered</v>
      </c>
      <c r="J172" s="213">
        <f>IFERROR(__xludf.DUMMYFUNCTION("""COMPUTED_VALUE"""),16497.0)</f>
        <v>16497</v>
      </c>
      <c r="K172" s="213">
        <f>IFERROR(__xludf.DUMMYFUNCTION("""COMPUTED_VALUE"""),9115.0)</f>
        <v>9115</v>
      </c>
      <c r="L172" s="214">
        <f>IFERROR(__xludf.DUMMYFUNCTION("""COMPUTED_VALUE"""),0.5525)</f>
        <v>0.5525</v>
      </c>
      <c r="M172" s="213">
        <f>IFERROR(__xludf.DUMMYFUNCTION("""COMPUTED_VALUE"""),0.0)</f>
        <v>0</v>
      </c>
      <c r="N172" s="214">
        <f>IFERROR(__xludf.DUMMYFUNCTION("""COMPUTED_VALUE"""),0.0)</f>
        <v>0</v>
      </c>
      <c r="O172" s="213">
        <f>IFERROR(__xludf.DUMMYFUNCTION("""COMPUTED_VALUE"""),35.0)</f>
        <v>35</v>
      </c>
      <c r="P172" s="213">
        <f>IFERROR(__xludf.DUMMYFUNCTION("""COMPUTED_VALUE"""),0.0)</f>
        <v>0</v>
      </c>
      <c r="Q172" s="214">
        <f>IFERROR(__xludf.DUMMYFUNCTION("""COMPUTED_VALUE"""),0.0038)</f>
        <v>0.0038</v>
      </c>
      <c r="R172" s="214">
        <f>IFERROR(__xludf.DUMMYFUNCTION("""COMPUTED_VALUE"""),0.0)</f>
        <v>0</v>
      </c>
      <c r="S172" s="213">
        <f>IFERROR(__xludf.DUMMYFUNCTION("""COMPUTED_VALUE"""),4.0)</f>
        <v>4</v>
      </c>
      <c r="T172" s="213">
        <f>IFERROR(__xludf.DUMMYFUNCTION("""COMPUTED_VALUE"""),5.0)</f>
        <v>5</v>
      </c>
      <c r="U172" s="213">
        <f>IFERROR(__xludf.DUMMYFUNCTION("""COMPUTED_VALUE"""),63373.0)</f>
        <v>63373</v>
      </c>
      <c r="V172" s="213" t="str">
        <f>IFERROR(__xludf.DUMMYFUNCTION("""COMPUTED_VALUE"""),"overall")</f>
        <v>overall</v>
      </c>
      <c r="W172" s="213" t="str">
        <f>IFERROR(__xludf.DUMMYFUNCTION("""COMPUTED_VALUE"""),"sms")</f>
        <v>sms</v>
      </c>
      <c r="X172" s="213" t="str">
        <f>IFERROR(__xludf.DUMMYFUNCTION("""COMPUTED_VALUE"""),"Discount Shoppers")</f>
        <v>Discount Shoppers</v>
      </c>
      <c r="Y172" s="213" t="str">
        <f>IFERROR(__xludf.DUMMYFUNCTION("""COMPUTED_VALUE"""),"3rd May - 4th May 2026")</f>
        <v>3rd May - 4th May 2026</v>
      </c>
      <c r="Z172" s="213" t="str">
        <f>IFERROR(__xludf.DUMMYFUNCTION("""COMPUTED_VALUE"""),"69f5a828fdaad15a1c5c6bb8")</f>
        <v>69f5a828fdaad15a1c5c6bb8</v>
      </c>
      <c r="AA172" s="213"/>
      <c r="AB172" s="213"/>
      <c r="AC172" s="213"/>
      <c r="AD172" s="213"/>
      <c r="AE172" s="213"/>
      <c r="AF172" s="213"/>
      <c r="AG172" s="208"/>
      <c r="AH172" s="208"/>
      <c r="AI172" s="208"/>
      <c r="AJ172" s="208"/>
      <c r="AK172" s="208"/>
    </row>
    <row r="173">
      <c r="A173" s="209">
        <f>IFERROR(__xludf.DUMMYFUNCTION("""COMPUTED_VALUE"""),46145.0)</f>
        <v>46145</v>
      </c>
      <c r="B173" s="210">
        <f>IFERROR(__xludf.DUMMYFUNCTION("""COMPUTED_VALUE"""),0.4791666666678793)</f>
        <v>0.4791666667</v>
      </c>
      <c r="C173" s="211" t="str">
        <f>IFERROR(__xludf.DUMMYFUNCTION("""COMPUTED_VALUE"""),"Sms")</f>
        <v>Sms</v>
      </c>
      <c r="D173" s="211" t="str">
        <f>IFERROR(__xludf.DUMMYFUNCTION("""COMPUTED_VALUE"""),"Fallback campaign")</f>
        <v>Fallback campaign</v>
      </c>
      <c r="E173" s="211" t="str">
        <f>IFERROR(__xludf.DUMMYFUNCTION("""COMPUTED_VALUE"""),"Aldo")</f>
        <v>Aldo</v>
      </c>
      <c r="F173" s="211" t="str">
        <f>IFERROR(__xludf.DUMMYFUNCTION("""COMPUTED_VALUE"""),"MAY BOGO 2026 1-3 MAY - No Brief")</f>
        <v>MAY BOGO 2026 1-3 MAY - No Brief</v>
      </c>
      <c r="G173" s="211" t="str">
        <f>IFERROR(__xludf.DUMMYFUNCTION("""COMPUTED_VALUE"""),"AL_ON_OFF_UPT_Min_2_fall back /LAST DAY")</f>
        <v>AL_ON_OFF_UPT_Min_2_fall back /LAST DAY</v>
      </c>
      <c r="H173" s="212" t="str">
        <f>IFERROR(__xludf.DUMMYFUNCTION("""COMPUTED_VALUE"""),"AL_ON_OFF_UPT_Min_2")</f>
        <v>AL_ON_OFF_UPT_Min_2</v>
      </c>
      <c r="I173" s="212" t="str">
        <f>IFERROR(__xludf.DUMMYFUNCTION("""COMPUTED_VALUE"""),"RCS Undelivered")</f>
        <v>RCS Undelivered</v>
      </c>
      <c r="J173" s="213">
        <f>IFERROR(__xludf.DUMMYFUNCTION("""COMPUTED_VALUE"""),128745.0)</f>
        <v>128745</v>
      </c>
      <c r="K173" s="213">
        <f>IFERROR(__xludf.DUMMYFUNCTION("""COMPUTED_VALUE"""),70621.0)</f>
        <v>70621</v>
      </c>
      <c r="L173" s="214">
        <f>IFERROR(__xludf.DUMMYFUNCTION("""COMPUTED_VALUE"""),0.5485)</f>
        <v>0.5485</v>
      </c>
      <c r="M173" s="213">
        <f>IFERROR(__xludf.DUMMYFUNCTION("""COMPUTED_VALUE"""),0.0)</f>
        <v>0</v>
      </c>
      <c r="N173" s="214">
        <f>IFERROR(__xludf.DUMMYFUNCTION("""COMPUTED_VALUE"""),0.0)</f>
        <v>0</v>
      </c>
      <c r="O173" s="213">
        <f>IFERROR(__xludf.DUMMYFUNCTION("""COMPUTED_VALUE"""),149.0)</f>
        <v>149</v>
      </c>
      <c r="P173" s="213">
        <f>IFERROR(__xludf.DUMMYFUNCTION("""COMPUTED_VALUE"""),0.0)</f>
        <v>0</v>
      </c>
      <c r="Q173" s="214">
        <f>IFERROR(__xludf.DUMMYFUNCTION("""COMPUTED_VALUE"""),0.0021)</f>
        <v>0.0021</v>
      </c>
      <c r="R173" s="214">
        <f>IFERROR(__xludf.DUMMYFUNCTION("""COMPUTED_VALUE"""),0.0)</f>
        <v>0</v>
      </c>
      <c r="S173" s="213">
        <f>IFERROR(__xludf.DUMMYFUNCTION("""COMPUTED_VALUE"""),4.0)</f>
        <v>4</v>
      </c>
      <c r="T173" s="213">
        <f>IFERROR(__xludf.DUMMYFUNCTION("""COMPUTED_VALUE"""),8.0)</f>
        <v>8</v>
      </c>
      <c r="U173" s="213">
        <f>IFERROR(__xludf.DUMMYFUNCTION("""COMPUTED_VALUE"""),60073.0)</f>
        <v>60073</v>
      </c>
      <c r="V173" s="213" t="str">
        <f>IFERROR(__xludf.DUMMYFUNCTION("""COMPUTED_VALUE"""),"overall")</f>
        <v>overall</v>
      </c>
      <c r="W173" s="213" t="str">
        <f>IFERROR(__xludf.DUMMYFUNCTION("""COMPUTED_VALUE"""),"sms")</f>
        <v>sms</v>
      </c>
      <c r="X173" s="213" t="str">
        <f>IFERROR(__xludf.DUMMYFUNCTION("""COMPUTED_VALUE"""),"UPT atleast 2")</f>
        <v>UPT atleast 2</v>
      </c>
      <c r="Y173" s="213" t="str">
        <f>IFERROR(__xludf.DUMMYFUNCTION("""COMPUTED_VALUE"""),"3rd May - 4th May 2026")</f>
        <v>3rd May - 4th May 2026</v>
      </c>
      <c r="Z173" s="213" t="str">
        <f>IFERROR(__xludf.DUMMYFUNCTION("""COMPUTED_VALUE"""),"69f5a85b06b3c8eae8747d70")</f>
        <v>69f5a85b06b3c8eae8747d70</v>
      </c>
      <c r="AA173" s="213"/>
      <c r="AB173" s="213"/>
      <c r="AC173" s="213"/>
      <c r="AD173" s="213"/>
      <c r="AE173" s="213"/>
      <c r="AF173" s="213"/>
      <c r="AG173" s="208"/>
      <c r="AH173" s="208"/>
      <c r="AI173" s="208"/>
      <c r="AJ173" s="208"/>
      <c r="AK173" s="208"/>
    </row>
    <row r="174">
      <c r="A174" s="209">
        <f>IFERROR(__xludf.DUMMYFUNCTION("""COMPUTED_VALUE"""),46145.0)</f>
        <v>46145</v>
      </c>
      <c r="B174" s="210">
        <f>IFERROR(__xludf.DUMMYFUNCTION("""COMPUTED_VALUE"""),0.4791666666678793)</f>
        <v>0.4791666667</v>
      </c>
      <c r="C174" s="211" t="str">
        <f>IFERROR(__xludf.DUMMYFUNCTION("""COMPUTED_VALUE"""),"Sms")</f>
        <v>Sms</v>
      </c>
      <c r="D174" s="211" t="str">
        <f>IFERROR(__xludf.DUMMYFUNCTION("""COMPUTED_VALUE"""),"Promtional")</f>
        <v>Promtional</v>
      </c>
      <c r="E174" s="211" t="str">
        <f>IFERROR(__xludf.DUMMYFUNCTION("""COMPUTED_VALUE"""),"Aldo")</f>
        <v>Aldo</v>
      </c>
      <c r="F174" s="211" t="str">
        <f>IFERROR(__xludf.DUMMYFUNCTION("""COMPUTED_VALUE"""),"MAY BOGO 2026 1-3 MAY - No Brief")</f>
        <v>MAY BOGO 2026 1-3 MAY - No Brief</v>
      </c>
      <c r="G174" s="211" t="str">
        <f>IFERROR(__xludf.DUMMYFUNCTION("""COMPUTED_VALUE"""),"AL_ON_OFF_Churned_BOGO_Apr_26_SUNDAY")</f>
        <v>AL_ON_OFF_Churned_BOGO_Apr_26_SUNDAY</v>
      </c>
      <c r="H174" s="212" t="str">
        <f>IFERROR(__xludf.DUMMYFUNCTION("""COMPUTED_VALUE"""),"AL_ON_OFF_Churned_BOGO_Apr_26")</f>
        <v>AL_ON_OFF_Churned_BOGO_Apr_26</v>
      </c>
      <c r="I174" s="212" t="str">
        <f>IFERROR(__xludf.DUMMYFUNCTION("""COMPUTED_VALUE"""),"All customers who have purchased at least 1 time in the last 1095 days excluding above segments")</f>
        <v>All customers who have purchased at least 1 time in the last 1095 days excluding above segments</v>
      </c>
      <c r="J174" s="213">
        <f>IFERROR(__xludf.DUMMYFUNCTION("""COMPUTED_VALUE"""),121244.0)</f>
        <v>121244</v>
      </c>
      <c r="K174" s="213">
        <f>IFERROR(__xludf.DUMMYFUNCTION("""COMPUTED_VALUE"""),69395.0)</f>
        <v>69395</v>
      </c>
      <c r="L174" s="214">
        <f>IFERROR(__xludf.DUMMYFUNCTION("""COMPUTED_VALUE"""),0.5724)</f>
        <v>0.5724</v>
      </c>
      <c r="M174" s="213">
        <f>IFERROR(__xludf.DUMMYFUNCTION("""COMPUTED_VALUE"""),0.0)</f>
        <v>0</v>
      </c>
      <c r="N174" s="214">
        <f>IFERROR(__xludf.DUMMYFUNCTION("""COMPUTED_VALUE"""),0.0)</f>
        <v>0</v>
      </c>
      <c r="O174" s="213">
        <f>IFERROR(__xludf.DUMMYFUNCTION("""COMPUTED_VALUE"""),149.0)</f>
        <v>149</v>
      </c>
      <c r="P174" s="213">
        <f>IFERROR(__xludf.DUMMYFUNCTION("""COMPUTED_VALUE"""),0.0)</f>
        <v>0</v>
      </c>
      <c r="Q174" s="214">
        <f>IFERROR(__xludf.DUMMYFUNCTION("""COMPUTED_VALUE"""),0.0021)</f>
        <v>0.0021</v>
      </c>
      <c r="R174" s="214">
        <f>IFERROR(__xludf.DUMMYFUNCTION("""COMPUTED_VALUE"""),0.0)</f>
        <v>0</v>
      </c>
      <c r="S174" s="213">
        <f>IFERROR(__xludf.DUMMYFUNCTION("""COMPUTED_VALUE"""),6.0)</f>
        <v>6</v>
      </c>
      <c r="T174" s="213">
        <f>IFERROR(__xludf.DUMMYFUNCTION("""COMPUTED_VALUE"""),7.0)</f>
        <v>7</v>
      </c>
      <c r="U174" s="213">
        <f>IFERROR(__xludf.DUMMYFUNCTION("""COMPUTED_VALUE"""),74072.0)</f>
        <v>74072</v>
      </c>
      <c r="V174" s="213" t="str">
        <f>IFERROR(__xludf.DUMMYFUNCTION("""COMPUTED_VALUE"""),"overall")</f>
        <v>overall</v>
      </c>
      <c r="W174" s="213" t="str">
        <f>IFERROR(__xludf.DUMMYFUNCTION("""COMPUTED_VALUE"""),"sms")</f>
        <v>sms</v>
      </c>
      <c r="X174" s="213" t="str">
        <f>IFERROR(__xludf.DUMMYFUNCTION("""COMPUTED_VALUE"""),"Churned")</f>
        <v>Churned</v>
      </c>
      <c r="Y174" s="213" t="str">
        <f>IFERROR(__xludf.DUMMYFUNCTION("""COMPUTED_VALUE"""),"3rd May - 4th May 2026")</f>
        <v>3rd May - 4th May 2026</v>
      </c>
      <c r="Z174" s="213" t="str">
        <f>IFERROR(__xludf.DUMMYFUNCTION("""COMPUTED_VALUE"""),"69f5bd3047ebb96076097caa")</f>
        <v>69f5bd3047ebb96076097caa</v>
      </c>
      <c r="AA174" s="213"/>
      <c r="AB174" s="213"/>
      <c r="AC174" s="213"/>
      <c r="AD174" s="213"/>
      <c r="AE174" s="213"/>
      <c r="AF174" s="213"/>
      <c r="AG174" s="208"/>
      <c r="AH174" s="208"/>
      <c r="AI174" s="208"/>
      <c r="AJ174" s="208"/>
      <c r="AK174" s="208"/>
    </row>
    <row r="175">
      <c r="A175" s="209">
        <f>IFERROR(__xludf.DUMMYFUNCTION("""COMPUTED_VALUE"""),46145.0)</f>
        <v>46145</v>
      </c>
      <c r="B175" s="210">
        <f>IFERROR(__xludf.DUMMYFUNCTION("""COMPUTED_VALUE"""),0.4791666666678793)</f>
        <v>0.4791666667</v>
      </c>
      <c r="C175" s="211" t="str">
        <f>IFERROR(__xludf.DUMMYFUNCTION("""COMPUTED_VALUE"""),"Sms")</f>
        <v>Sms</v>
      </c>
      <c r="D175" s="211" t="str">
        <f>IFERROR(__xludf.DUMMYFUNCTION("""COMPUTED_VALUE"""),"Promtional")</f>
        <v>Promtional</v>
      </c>
      <c r="E175" s="211" t="str">
        <f>IFERROR(__xludf.DUMMYFUNCTION("""COMPUTED_VALUE"""),"Aldo")</f>
        <v>Aldo</v>
      </c>
      <c r="F175" s="211" t="str">
        <f>IFERROR(__xludf.DUMMYFUNCTION("""COMPUTED_VALUE"""),"MAY BOGO 2026 1-3 MAY - No Brief")</f>
        <v>MAY BOGO 2026 1-3 MAY - No Brief</v>
      </c>
      <c r="G175" s="211" t="str">
        <f>IFERROR(__xludf.DUMMYFUNCTION("""COMPUTED_VALUE"""),"AL_Non-Txn_Base_SUNDAY")</f>
        <v>AL_Non-Txn_Base_SUNDAY</v>
      </c>
      <c r="H175" s="212" t="str">
        <f>IFERROR(__xludf.DUMMYFUNCTION("""COMPUTED_VALUE"""),"AL_Non-Txn_Base")</f>
        <v>AL_Non-Txn_Base</v>
      </c>
      <c r="I175" s="212" t="str">
        <f>IFERROR(__xludf.DUMMYFUNCTION("""COMPUTED_VALUE"""),"Non- Transactional Base")</f>
        <v>Non- Transactional Base</v>
      </c>
      <c r="J175" s="213">
        <f>IFERROR(__xludf.DUMMYFUNCTION("""COMPUTED_VALUE"""),107746.0)</f>
        <v>107746</v>
      </c>
      <c r="K175" s="213">
        <f>IFERROR(__xludf.DUMMYFUNCTION("""COMPUTED_VALUE"""),64857.0)</f>
        <v>64857</v>
      </c>
      <c r="L175" s="214">
        <f>IFERROR(__xludf.DUMMYFUNCTION("""COMPUTED_VALUE"""),0.6019)</f>
        <v>0.6019</v>
      </c>
      <c r="M175" s="213">
        <f>IFERROR(__xludf.DUMMYFUNCTION("""COMPUTED_VALUE"""),0.0)</f>
        <v>0</v>
      </c>
      <c r="N175" s="214">
        <f>IFERROR(__xludf.DUMMYFUNCTION("""COMPUTED_VALUE"""),0.0)</f>
        <v>0</v>
      </c>
      <c r="O175" s="213">
        <f>IFERROR(__xludf.DUMMYFUNCTION("""COMPUTED_VALUE"""),179.0)</f>
        <v>179</v>
      </c>
      <c r="P175" s="213">
        <f>IFERROR(__xludf.DUMMYFUNCTION("""COMPUTED_VALUE"""),0.0)</f>
        <v>0</v>
      </c>
      <c r="Q175" s="214">
        <f>IFERROR(__xludf.DUMMYFUNCTION("""COMPUTED_VALUE"""),0.0028)</f>
        <v>0.0028</v>
      </c>
      <c r="R175" s="214">
        <f>IFERROR(__xludf.DUMMYFUNCTION("""COMPUTED_VALUE"""),0.0)</f>
        <v>0</v>
      </c>
      <c r="S175" s="213">
        <f>IFERROR(__xludf.DUMMYFUNCTION("""COMPUTED_VALUE"""),37.0)</f>
        <v>37</v>
      </c>
      <c r="T175" s="213">
        <f>IFERROR(__xludf.DUMMYFUNCTION("""COMPUTED_VALUE"""),188.0)</f>
        <v>188</v>
      </c>
      <c r="U175" s="213">
        <f>IFERROR(__xludf.DUMMYFUNCTION("""COMPUTED_VALUE"""),429262.2)</f>
        <v>429262.2</v>
      </c>
      <c r="V175" s="213" t="str">
        <f>IFERROR(__xludf.DUMMYFUNCTION("""COMPUTED_VALUE"""),"overall")</f>
        <v>overall</v>
      </c>
      <c r="W175" s="213" t="str">
        <f>IFERROR(__xludf.DUMMYFUNCTION("""COMPUTED_VALUE"""),"sms")</f>
        <v>sms</v>
      </c>
      <c r="X175" s="213" t="str">
        <f>IFERROR(__xludf.DUMMYFUNCTION("""COMPUTED_VALUE"""),"Non Transactional Base")</f>
        <v>Non Transactional Base</v>
      </c>
      <c r="Y175" s="213" t="str">
        <f>IFERROR(__xludf.DUMMYFUNCTION("""COMPUTED_VALUE"""),"3rd May - 4th May 2026")</f>
        <v>3rd May - 4th May 2026</v>
      </c>
      <c r="Z175" s="213" t="str">
        <f>IFERROR(__xludf.DUMMYFUNCTION("""COMPUTED_VALUE"""),"69f5bd68d17b97f980076a60")</f>
        <v>69f5bd68d17b97f980076a60</v>
      </c>
      <c r="AA175" s="213"/>
      <c r="AB175" s="213"/>
      <c r="AC175" s="213"/>
      <c r="AD175" s="213"/>
      <c r="AE175" s="213"/>
      <c r="AF175" s="213"/>
      <c r="AG175" s="208"/>
      <c r="AH175" s="208"/>
      <c r="AI175" s="208"/>
      <c r="AJ175" s="208"/>
      <c r="AK175" s="208"/>
    </row>
    <row r="176">
      <c r="A176" s="209">
        <f>IFERROR(__xludf.DUMMYFUNCTION("""COMPUTED_VALUE"""),46145.0)</f>
        <v>46145</v>
      </c>
      <c r="B176" s="210">
        <f>IFERROR(__xludf.DUMMYFUNCTION("""COMPUTED_VALUE"""),0.4791666666678793)</f>
        <v>0.4791666667</v>
      </c>
      <c r="C176" s="211" t="str">
        <f>IFERROR(__xludf.DUMMYFUNCTION("""COMPUTED_VALUE"""),"Sms")</f>
        <v>Sms</v>
      </c>
      <c r="D176" s="211" t="str">
        <f>IFERROR(__xludf.DUMMYFUNCTION("""COMPUTED_VALUE"""),"Promtional")</f>
        <v>Promtional</v>
      </c>
      <c r="E176" s="211" t="str">
        <f>IFERROR(__xludf.DUMMYFUNCTION("""COMPUTED_VALUE"""),"Aldo")</f>
        <v>Aldo</v>
      </c>
      <c r="F176" s="211" t="str">
        <f>IFERROR(__xludf.DUMMYFUNCTION("""COMPUTED_VALUE"""),"MAY BOGO 2026 1-3 MAY - No Brief")</f>
        <v>MAY BOGO 2026 1-3 MAY - No Brief</v>
      </c>
      <c r="G176" s="211" t="str">
        <f>IFERROR(__xludf.DUMMYFUNCTION("""COMPUTED_VALUE"""),"Karnival_Base_Actual_SUNDAY")</f>
        <v>Karnival_Base_Actual_SUNDAY</v>
      </c>
      <c r="H176" s="212" t="str">
        <f>IFERROR(__xludf.DUMMYFUNCTION("""COMPUTED_VALUE"""),"Karnival_Base_Actual")</f>
        <v>Karnival_Base_Actual</v>
      </c>
      <c r="I176" s="212" t="str">
        <f>IFERROR(__xludf.DUMMYFUNCTION("""COMPUTED_VALUE"""),"Karnival Base")</f>
        <v>Karnival Base</v>
      </c>
      <c r="J176" s="213">
        <f>IFERROR(__xludf.DUMMYFUNCTION("""COMPUTED_VALUE"""),192782.0)</f>
        <v>192782</v>
      </c>
      <c r="K176" s="213">
        <f>IFERROR(__xludf.DUMMYFUNCTION("""COMPUTED_VALUE"""),104681.0)</f>
        <v>104681</v>
      </c>
      <c r="L176" s="214">
        <f>IFERROR(__xludf.DUMMYFUNCTION("""COMPUTED_VALUE"""),0.543)</f>
        <v>0.543</v>
      </c>
      <c r="M176" s="213">
        <f>IFERROR(__xludf.DUMMYFUNCTION("""COMPUTED_VALUE"""),0.0)</f>
        <v>0</v>
      </c>
      <c r="N176" s="214">
        <f>IFERROR(__xludf.DUMMYFUNCTION("""COMPUTED_VALUE"""),0.0)</f>
        <v>0</v>
      </c>
      <c r="O176" s="213">
        <f>IFERROR(__xludf.DUMMYFUNCTION("""COMPUTED_VALUE"""),193.0)</f>
        <v>193</v>
      </c>
      <c r="P176" s="213">
        <f>IFERROR(__xludf.DUMMYFUNCTION("""COMPUTED_VALUE"""),0.0)</f>
        <v>0</v>
      </c>
      <c r="Q176" s="214">
        <f>IFERROR(__xludf.DUMMYFUNCTION("""COMPUTED_VALUE"""),0.0018)</f>
        <v>0.0018</v>
      </c>
      <c r="R176" s="214">
        <f>IFERROR(__xludf.DUMMYFUNCTION("""COMPUTED_VALUE"""),0.0)</f>
        <v>0</v>
      </c>
      <c r="S176" s="213">
        <f>IFERROR(__xludf.DUMMYFUNCTION("""COMPUTED_VALUE"""),7.0)</f>
        <v>7</v>
      </c>
      <c r="T176" s="213">
        <f>IFERROR(__xludf.DUMMYFUNCTION("""COMPUTED_VALUE"""),31.0)</f>
        <v>31</v>
      </c>
      <c r="U176" s="213">
        <f>IFERROR(__xludf.DUMMYFUNCTION("""COMPUTED_VALUE"""),79442.2)</f>
        <v>79442.2</v>
      </c>
      <c r="V176" s="213" t="str">
        <f>IFERROR(__xludf.DUMMYFUNCTION("""COMPUTED_VALUE"""),"overall")</f>
        <v>overall</v>
      </c>
      <c r="W176" s="213" t="str">
        <f>IFERROR(__xludf.DUMMYFUNCTION("""COMPUTED_VALUE"""),"sms")</f>
        <v>sms</v>
      </c>
      <c r="X176" s="213" t="str">
        <f>IFERROR(__xludf.DUMMYFUNCTION("""COMPUTED_VALUE"""),"Karnival Base")</f>
        <v>Karnival Base</v>
      </c>
      <c r="Y176" s="213" t="str">
        <f>IFERROR(__xludf.DUMMYFUNCTION("""COMPUTED_VALUE"""),"3rd May - 4th May 2026")</f>
        <v>3rd May - 4th May 2026</v>
      </c>
      <c r="Z176" s="213" t="str">
        <f>IFERROR(__xludf.DUMMYFUNCTION("""COMPUTED_VALUE"""),"69f5bda5e859bc5b603c4628")</f>
        <v>69f5bda5e859bc5b603c4628</v>
      </c>
      <c r="AA176" s="213"/>
      <c r="AB176" s="213"/>
      <c r="AC176" s="213"/>
      <c r="AD176" s="213"/>
      <c r="AE176" s="213"/>
      <c r="AF176" s="213"/>
      <c r="AG176" s="208"/>
      <c r="AH176" s="208"/>
      <c r="AI176" s="208"/>
      <c r="AJ176" s="208"/>
      <c r="AK176" s="208"/>
    </row>
    <row r="177">
      <c r="A177" s="209">
        <f>IFERROR(__xludf.DUMMYFUNCTION("""COMPUTED_VALUE"""),46145.0)</f>
        <v>46145</v>
      </c>
      <c r="B177" s="210">
        <f>IFERROR(__xludf.DUMMYFUNCTION("""COMPUTED_VALUE"""),0.6875)</f>
        <v>0.6875</v>
      </c>
      <c r="C177" s="211" t="str">
        <f>IFERROR(__xludf.DUMMYFUNCTION("""COMPUTED_VALUE"""),"Sms")</f>
        <v>Sms</v>
      </c>
      <c r="D177" s="211" t="str">
        <f>IFERROR(__xludf.DUMMYFUNCTION("""COMPUTED_VALUE"""),"Fallback campaign")</f>
        <v>Fallback campaign</v>
      </c>
      <c r="E177" s="211" t="str">
        <f>IFERROR(__xludf.DUMMYFUNCTION("""COMPUTED_VALUE"""),"Aldo")</f>
        <v>Aldo</v>
      </c>
      <c r="F177" s="211" t="str">
        <f>IFERROR(__xludf.DUMMYFUNCTION("""COMPUTED_VALUE"""),"No Brief")</f>
        <v>No Brief</v>
      </c>
      <c r="G177" s="211" t="str">
        <f>IFERROR(__xludf.DUMMYFUNCTION("""COMPUTED_VALUE"""),"3rd_May_Failed_orders_fallbk_sms")</f>
        <v>3rd_May_Failed_orders_fallbk_sms</v>
      </c>
      <c r="H177" s="212" t="str">
        <f>IFERROR(__xludf.DUMMYFUNCTION("""COMPUTED_VALUE"""),"ALDO_Failed_Orders_2May26")</f>
        <v>ALDO_Failed_Orders_2May26</v>
      </c>
      <c r="I177" s="212" t="str">
        <f>IFERROR(__xludf.DUMMYFUNCTION("""COMPUTED_VALUE"""),"WA Undelivered")</f>
        <v>WA Undelivered</v>
      </c>
      <c r="J177" s="213">
        <f>IFERROR(__xludf.DUMMYFUNCTION("""COMPUTED_VALUE"""),38.0)</f>
        <v>38</v>
      </c>
      <c r="K177" s="213">
        <f>IFERROR(__xludf.DUMMYFUNCTION("""COMPUTED_VALUE"""),26.0)</f>
        <v>26</v>
      </c>
      <c r="L177" s="214">
        <f>IFERROR(__xludf.DUMMYFUNCTION("""COMPUTED_VALUE"""),0.6842)</f>
        <v>0.6842</v>
      </c>
      <c r="M177" s="213">
        <f>IFERROR(__xludf.DUMMYFUNCTION("""COMPUTED_VALUE"""),0.0)</f>
        <v>0</v>
      </c>
      <c r="N177" s="214">
        <f>IFERROR(__xludf.DUMMYFUNCTION("""COMPUTED_VALUE"""),0.0)</f>
        <v>0</v>
      </c>
      <c r="O177" s="213">
        <f>IFERROR(__xludf.DUMMYFUNCTION("""COMPUTED_VALUE"""),0.0)</f>
        <v>0</v>
      </c>
      <c r="P177" s="213">
        <f>IFERROR(__xludf.DUMMYFUNCTION("""COMPUTED_VALUE"""),0.0)</f>
        <v>0</v>
      </c>
      <c r="Q177" s="214">
        <f>IFERROR(__xludf.DUMMYFUNCTION("""COMPUTED_VALUE"""),0.0)</f>
        <v>0</v>
      </c>
      <c r="R177" s="214">
        <f>IFERROR(__xludf.DUMMYFUNCTION("""COMPUTED_VALUE"""),0.0)</f>
        <v>0</v>
      </c>
      <c r="S177" s="213">
        <f>IFERROR(__xludf.DUMMYFUNCTION("""COMPUTED_VALUE"""),0.0)</f>
        <v>0</v>
      </c>
      <c r="T177" s="213">
        <f>IFERROR(__xludf.DUMMYFUNCTION("""COMPUTED_VALUE"""),0.0)</f>
        <v>0</v>
      </c>
      <c r="U177" s="213">
        <f>IFERROR(__xludf.DUMMYFUNCTION("""COMPUTED_VALUE"""),0.0)</f>
        <v>0</v>
      </c>
      <c r="V177" s="213" t="str">
        <f>IFERROR(__xludf.DUMMYFUNCTION("""COMPUTED_VALUE"""),"online")</f>
        <v>online</v>
      </c>
      <c r="W177" s="213" t="str">
        <f>IFERROR(__xludf.DUMMYFUNCTION("""COMPUTED_VALUE"""),"sms")</f>
        <v>sms</v>
      </c>
      <c r="X177" s="213" t="str">
        <f>IFERROR(__xludf.DUMMYFUNCTION("""COMPUTED_VALUE"""),"ALDO Failed Orders")</f>
        <v>ALDO Failed Orders</v>
      </c>
      <c r="Y177" s="213" t="str">
        <f>IFERROR(__xludf.DUMMYFUNCTION("""COMPUTED_VALUE"""),"3rd May - 4th May 2026")</f>
        <v>3rd May - 4th May 2026</v>
      </c>
      <c r="Z177" s="213" t="str">
        <f>IFERROR(__xludf.DUMMYFUNCTION("""COMPUTED_VALUE"""),"69f71e22f1a6e2bf764505f2")</f>
        <v>69f71e22f1a6e2bf764505f2</v>
      </c>
      <c r="AA177" s="213"/>
      <c r="AB177" s="213"/>
      <c r="AC177" s="213"/>
      <c r="AD177" s="213"/>
      <c r="AE177" s="213"/>
      <c r="AF177" s="213"/>
      <c r="AG177" s="208"/>
      <c r="AH177" s="208"/>
      <c r="AI177" s="208"/>
      <c r="AJ177" s="208"/>
      <c r="AK177" s="208"/>
    </row>
    <row r="178">
      <c r="A178" s="209">
        <f>IFERROR(__xludf.DUMMYFUNCTION("""COMPUTED_VALUE"""),46145.0)</f>
        <v>46145</v>
      </c>
      <c r="B178" s="210">
        <f>IFERROR(__xludf.DUMMYFUNCTION("""COMPUTED_VALUE"""),0.4166666666678793)</f>
        <v>0.4166666667</v>
      </c>
      <c r="C178" s="211" t="str">
        <f>IFERROR(__xludf.DUMMYFUNCTION("""COMPUTED_VALUE"""),"Rcs")</f>
        <v>Rcs</v>
      </c>
      <c r="D178" s="211" t="str">
        <f>IFERROR(__xludf.DUMMYFUNCTION("""COMPUTED_VALUE"""),"Fallback campaign")</f>
        <v>Fallback campaign</v>
      </c>
      <c r="E178" s="211" t="str">
        <f>IFERROR(__xludf.DUMMYFUNCTION("""COMPUTED_VALUE"""),"Aldo")</f>
        <v>Aldo</v>
      </c>
      <c r="F178" s="211" t="str">
        <f>IFERROR(__xludf.DUMMYFUNCTION("""COMPUTED_VALUE"""),"MAY BOGO 2026 1-3 MAY - B1G1")</f>
        <v>MAY BOGO 2026 1-3 MAY - B1G1</v>
      </c>
      <c r="G178" s="211" t="str">
        <f>IFERROR(__xludf.DUMMYFUNCTION("""COMPUTED_VALUE"""),"3rd May 2026_AL_ON_ATC_90D")</f>
        <v>3rd May 2026_AL_ON_ATC_90D</v>
      </c>
      <c r="H178" s="212" t="str">
        <f>IFERROR(__xludf.DUMMYFUNCTION("""COMPUTED_VALUE"""),"AL_ON_ATC_90D")</f>
        <v>AL_ON_ATC_90D</v>
      </c>
      <c r="I178" s="212" t="str">
        <f>IFERROR(__xludf.DUMMYFUNCTION("""COMPUTED_VALUE"""),"WA Undelivered")</f>
        <v>WA Undelivered</v>
      </c>
      <c r="J178" s="213">
        <f>IFERROR(__xludf.DUMMYFUNCTION("""COMPUTED_VALUE"""),1294.0)</f>
        <v>1294</v>
      </c>
      <c r="K178" s="213">
        <f>IFERROR(__xludf.DUMMYFUNCTION("""COMPUTED_VALUE"""),257.0)</f>
        <v>257</v>
      </c>
      <c r="L178" s="214">
        <f>IFERROR(__xludf.DUMMYFUNCTION("""COMPUTED_VALUE"""),0.198608964451314)</f>
        <v>0.1986089645</v>
      </c>
      <c r="M178" s="213">
        <f>IFERROR(__xludf.DUMMYFUNCTION("""COMPUTED_VALUE"""),43.0)</f>
        <v>43</v>
      </c>
      <c r="N178" s="214">
        <f>IFERROR(__xludf.DUMMYFUNCTION("""COMPUTED_VALUE"""),0.1673)</f>
        <v>0.1673</v>
      </c>
      <c r="O178" s="213">
        <f>IFERROR(__xludf.DUMMYFUNCTION("""COMPUTED_VALUE"""),4.0)</f>
        <v>4</v>
      </c>
      <c r="P178" s="213">
        <f>IFERROR(__xludf.DUMMYFUNCTION("""COMPUTED_VALUE"""),0.0)</f>
        <v>0</v>
      </c>
      <c r="Q178" s="214">
        <f>IFERROR(__xludf.DUMMYFUNCTION("""COMPUTED_VALUE"""),0.0195)</f>
        <v>0.0195</v>
      </c>
      <c r="R178" s="214">
        <f>IFERROR(__xludf.DUMMYFUNCTION("""COMPUTED_VALUE"""),0.0)</f>
        <v>0</v>
      </c>
      <c r="S178" s="213">
        <f>IFERROR(__xludf.DUMMYFUNCTION("""COMPUTED_VALUE"""),3.0)</f>
        <v>3</v>
      </c>
      <c r="T178" s="213">
        <f>IFERROR(__xludf.DUMMYFUNCTION("""COMPUTED_VALUE"""),14.0)</f>
        <v>14</v>
      </c>
      <c r="U178" s="213">
        <f>IFERROR(__xludf.DUMMYFUNCTION("""COMPUTED_VALUE"""),38997.0)</f>
        <v>38997</v>
      </c>
      <c r="V178" s="213" t="str">
        <f>IFERROR(__xludf.DUMMYFUNCTION("""COMPUTED_VALUE"""),"online")</f>
        <v>online</v>
      </c>
      <c r="W178" s="213" t="str">
        <f>IFERROR(__xludf.DUMMYFUNCTION("""COMPUTED_VALUE"""),"rcs")</f>
        <v>rcs</v>
      </c>
      <c r="X178" s="213" t="str">
        <f>IFERROR(__xludf.DUMMYFUNCTION("""COMPUTED_VALUE"""),"Add to Cart")</f>
        <v>Add to Cart</v>
      </c>
      <c r="Y178" s="213" t="str">
        <f>IFERROR(__xludf.DUMMYFUNCTION("""COMPUTED_VALUE"""),"3rd May - 4th May 2026")</f>
        <v>3rd May - 4th May 2026</v>
      </c>
      <c r="Z178" s="213" t="str">
        <f>IFERROR(__xludf.DUMMYFUNCTION("""COMPUTED_VALUE"""),"69f59b876e3db0fae1956cd3")</f>
        <v>69f59b876e3db0fae1956cd3</v>
      </c>
      <c r="AA178" s="213"/>
      <c r="AB178" s="213"/>
      <c r="AC178" s="213"/>
      <c r="AD178" s="213"/>
      <c r="AE178" s="213"/>
      <c r="AF178" s="213"/>
      <c r="AG178" s="208"/>
      <c r="AH178" s="208"/>
      <c r="AI178" s="208"/>
      <c r="AJ178" s="208"/>
      <c r="AK178" s="208"/>
    </row>
    <row r="179">
      <c r="A179" s="209">
        <f>IFERROR(__xludf.DUMMYFUNCTION("""COMPUTED_VALUE"""),46145.0)</f>
        <v>46145</v>
      </c>
      <c r="B179" s="210">
        <f>IFERROR(__xludf.DUMMYFUNCTION("""COMPUTED_VALUE"""),0.4166666666678793)</f>
        <v>0.4166666667</v>
      </c>
      <c r="C179" s="211" t="str">
        <f>IFERROR(__xludf.DUMMYFUNCTION("""COMPUTED_VALUE"""),"Rcs")</f>
        <v>Rcs</v>
      </c>
      <c r="D179" s="211" t="str">
        <f>IFERROR(__xludf.DUMMYFUNCTION("""COMPUTED_VALUE"""),"Fallback campaign")</f>
        <v>Fallback campaign</v>
      </c>
      <c r="E179" s="211" t="str">
        <f>IFERROR(__xludf.DUMMYFUNCTION("""COMPUTED_VALUE"""),"Aldo")</f>
        <v>Aldo</v>
      </c>
      <c r="F179" s="211" t="str">
        <f>IFERROR(__xludf.DUMMYFUNCTION("""COMPUTED_VALUE"""),"MAY BOGO 2026 1-3 MAY - B1G1")</f>
        <v>MAY BOGO 2026 1-3 MAY - B1G1</v>
      </c>
      <c r="G179" s="211" t="str">
        <f>IFERROR(__xludf.DUMMYFUNCTION("""COMPUTED_VALUE"""),"3rd May 2026_AL_ON_View_Item")</f>
        <v>3rd May 2026_AL_ON_View_Item</v>
      </c>
      <c r="H179" s="212" t="str">
        <f>IFERROR(__xludf.DUMMYFUNCTION("""COMPUTED_VALUE"""),"AL_ON_View_Item")</f>
        <v>AL_ON_View_Item</v>
      </c>
      <c r="I179" s="212" t="str">
        <f>IFERROR(__xludf.DUMMYFUNCTION("""COMPUTED_VALUE"""),"WA Undelivered")</f>
        <v>WA Undelivered</v>
      </c>
      <c r="J179" s="213">
        <f>IFERROR(__xludf.DUMMYFUNCTION("""COMPUTED_VALUE"""),929.0)</f>
        <v>929</v>
      </c>
      <c r="K179" s="213">
        <f>IFERROR(__xludf.DUMMYFUNCTION("""COMPUTED_VALUE"""),229.0)</f>
        <v>229</v>
      </c>
      <c r="L179" s="214">
        <f>IFERROR(__xludf.DUMMYFUNCTION("""COMPUTED_VALUE"""),0.246501614639397)</f>
        <v>0.2465016146</v>
      </c>
      <c r="M179" s="213">
        <f>IFERROR(__xludf.DUMMYFUNCTION("""COMPUTED_VALUE"""),45.0)</f>
        <v>45</v>
      </c>
      <c r="N179" s="214">
        <f>IFERROR(__xludf.DUMMYFUNCTION("""COMPUTED_VALUE"""),0.1965)</f>
        <v>0.1965</v>
      </c>
      <c r="O179" s="213">
        <f>IFERROR(__xludf.DUMMYFUNCTION("""COMPUTED_VALUE"""),2.0)</f>
        <v>2</v>
      </c>
      <c r="P179" s="213">
        <f>IFERROR(__xludf.DUMMYFUNCTION("""COMPUTED_VALUE"""),0.0)</f>
        <v>0</v>
      </c>
      <c r="Q179" s="214">
        <f>IFERROR(__xludf.DUMMYFUNCTION("""COMPUTED_VALUE"""),0.0087)</f>
        <v>0.0087</v>
      </c>
      <c r="R179" s="214">
        <f>IFERROR(__xludf.DUMMYFUNCTION("""COMPUTED_VALUE"""),0.0)</f>
        <v>0</v>
      </c>
      <c r="S179" s="213">
        <f>IFERROR(__xludf.DUMMYFUNCTION("""COMPUTED_VALUE"""),0.0)</f>
        <v>0</v>
      </c>
      <c r="T179" s="213">
        <f>IFERROR(__xludf.DUMMYFUNCTION("""COMPUTED_VALUE"""),4.0)</f>
        <v>4</v>
      </c>
      <c r="U179" s="213">
        <f>IFERROR(__xludf.DUMMYFUNCTION("""COMPUTED_VALUE"""),0.0)</f>
        <v>0</v>
      </c>
      <c r="V179" s="213" t="str">
        <f>IFERROR(__xludf.DUMMYFUNCTION("""COMPUTED_VALUE"""),"online")</f>
        <v>online</v>
      </c>
      <c r="W179" s="213" t="str">
        <f>IFERROR(__xludf.DUMMYFUNCTION("""COMPUTED_VALUE"""),"rcs")</f>
        <v>rcs</v>
      </c>
      <c r="X179" s="213" t="str">
        <f>IFERROR(__xludf.DUMMYFUNCTION("""COMPUTED_VALUE"""),"View Item")</f>
        <v>View Item</v>
      </c>
      <c r="Y179" s="213" t="str">
        <f>IFERROR(__xludf.DUMMYFUNCTION("""COMPUTED_VALUE"""),"3rd May - 4th May 2026")</f>
        <v>3rd May - 4th May 2026</v>
      </c>
      <c r="Z179" s="213" t="str">
        <f>IFERROR(__xludf.DUMMYFUNCTION("""COMPUTED_VALUE"""),"69f59baf70957363644a7b95")</f>
        <v>69f59baf70957363644a7b95</v>
      </c>
      <c r="AA179" s="213"/>
      <c r="AB179" s="213"/>
      <c r="AC179" s="213"/>
      <c r="AD179" s="213"/>
      <c r="AE179" s="213"/>
      <c r="AF179" s="213"/>
      <c r="AG179" s="208"/>
      <c r="AH179" s="208"/>
      <c r="AI179" s="208"/>
      <c r="AJ179" s="208"/>
      <c r="AK179" s="208"/>
    </row>
    <row r="180">
      <c r="A180" s="209">
        <f>IFERROR(__xludf.DUMMYFUNCTION("""COMPUTED_VALUE"""),46145.0)</f>
        <v>46145</v>
      </c>
      <c r="B180" s="210">
        <f>IFERROR(__xludf.DUMMYFUNCTION("""COMPUTED_VALUE"""),0.4166666666678793)</f>
        <v>0.4166666667</v>
      </c>
      <c r="C180" s="211" t="str">
        <f>IFERROR(__xludf.DUMMYFUNCTION("""COMPUTED_VALUE"""),"Rcs")</f>
        <v>Rcs</v>
      </c>
      <c r="D180" s="211" t="str">
        <f>IFERROR(__xludf.DUMMYFUNCTION("""COMPUTED_VALUE"""),"Fallback campaign")</f>
        <v>Fallback campaign</v>
      </c>
      <c r="E180" s="211" t="str">
        <f>IFERROR(__xludf.DUMMYFUNCTION("""COMPUTED_VALUE"""),"Aldo")</f>
        <v>Aldo</v>
      </c>
      <c r="F180" s="211" t="str">
        <f>IFERROR(__xludf.DUMMYFUNCTION("""COMPUTED_VALUE"""),"MAY BOGO 2026 1-3 MAY - B1G1")</f>
        <v>MAY BOGO 2026 1-3 MAY - B1G1</v>
      </c>
      <c r="G180" s="211" t="str">
        <f>IFERROR(__xludf.DUMMYFUNCTION("""COMPUTED_VALUE"""),"3rd May 2026_AL_ON_SignUp_Form")</f>
        <v>3rd May 2026_AL_ON_SignUp_Form</v>
      </c>
      <c r="H180" s="212" t="str">
        <f>IFERROR(__xludf.DUMMYFUNCTION("""COMPUTED_VALUE"""),"AL_ON_SignUp_Form")</f>
        <v>AL_ON_SignUp_Form</v>
      </c>
      <c r="I180" s="212" t="str">
        <f>IFERROR(__xludf.DUMMYFUNCTION("""COMPUTED_VALUE"""),"WA Undelivered")</f>
        <v>WA Undelivered</v>
      </c>
      <c r="J180" s="213">
        <f>IFERROR(__xludf.DUMMYFUNCTION("""COMPUTED_VALUE"""),647.0)</f>
        <v>647</v>
      </c>
      <c r="K180" s="213">
        <f>IFERROR(__xludf.DUMMYFUNCTION("""COMPUTED_VALUE"""),129.0)</f>
        <v>129</v>
      </c>
      <c r="L180" s="214">
        <f>IFERROR(__xludf.DUMMYFUNCTION("""COMPUTED_VALUE"""),0.199381761978362)</f>
        <v>0.199381762</v>
      </c>
      <c r="M180" s="213">
        <f>IFERROR(__xludf.DUMMYFUNCTION("""COMPUTED_VALUE"""),21.0)</f>
        <v>21</v>
      </c>
      <c r="N180" s="214">
        <f>IFERROR(__xludf.DUMMYFUNCTION("""COMPUTED_VALUE"""),0.1628)</f>
        <v>0.1628</v>
      </c>
      <c r="O180" s="213">
        <f>IFERROR(__xludf.DUMMYFUNCTION("""COMPUTED_VALUE"""),0.0)</f>
        <v>0</v>
      </c>
      <c r="P180" s="213">
        <f>IFERROR(__xludf.DUMMYFUNCTION("""COMPUTED_VALUE"""),0.0)</f>
        <v>0</v>
      </c>
      <c r="Q180" s="214">
        <f>IFERROR(__xludf.DUMMYFUNCTION("""COMPUTED_VALUE"""),0.0)</f>
        <v>0</v>
      </c>
      <c r="R180" s="214">
        <f>IFERROR(__xludf.DUMMYFUNCTION("""COMPUTED_VALUE"""),0.0)</f>
        <v>0</v>
      </c>
      <c r="S180" s="213">
        <f>IFERROR(__xludf.DUMMYFUNCTION("""COMPUTED_VALUE"""),0.0)</f>
        <v>0</v>
      </c>
      <c r="T180" s="213">
        <f>IFERROR(__xludf.DUMMYFUNCTION("""COMPUTED_VALUE"""),1.0)</f>
        <v>1</v>
      </c>
      <c r="U180" s="213">
        <f>IFERROR(__xludf.DUMMYFUNCTION("""COMPUTED_VALUE"""),0.0)</f>
        <v>0</v>
      </c>
      <c r="V180" s="213" t="str">
        <f>IFERROR(__xludf.DUMMYFUNCTION("""COMPUTED_VALUE"""),"online")</f>
        <v>online</v>
      </c>
      <c r="W180" s="213" t="str">
        <f>IFERROR(__xludf.DUMMYFUNCTION("""COMPUTED_VALUE"""),"rcs")</f>
        <v>rcs</v>
      </c>
      <c r="X180" s="213" t="str">
        <f>IFERROR(__xludf.DUMMYFUNCTION("""COMPUTED_VALUE"""),"Sign Up Form")</f>
        <v>Sign Up Form</v>
      </c>
      <c r="Y180" s="213" t="str">
        <f>IFERROR(__xludf.DUMMYFUNCTION("""COMPUTED_VALUE"""),"3rd May - 4th May 2026")</f>
        <v>3rd May - 4th May 2026</v>
      </c>
      <c r="Z180" s="213" t="str">
        <f>IFERROR(__xludf.DUMMYFUNCTION("""COMPUTED_VALUE"""),"69f59bd82994acd357b16a75")</f>
        <v>69f59bd82994acd357b16a75</v>
      </c>
      <c r="AA180" s="213"/>
      <c r="AB180" s="213"/>
      <c r="AC180" s="213"/>
      <c r="AD180" s="213"/>
      <c r="AE180" s="213"/>
      <c r="AF180" s="213"/>
      <c r="AG180" s="208"/>
      <c r="AH180" s="208"/>
      <c r="AI180" s="208"/>
      <c r="AJ180" s="208"/>
      <c r="AK180" s="208"/>
    </row>
    <row r="181">
      <c r="A181" s="209">
        <f>IFERROR(__xludf.DUMMYFUNCTION("""COMPUTED_VALUE"""),46145.0)</f>
        <v>46145</v>
      </c>
      <c r="B181" s="210">
        <f>IFERROR(__xludf.DUMMYFUNCTION("""COMPUTED_VALUE"""),0.4166666666678793)</f>
        <v>0.4166666667</v>
      </c>
      <c r="C181" s="211" t="str">
        <f>IFERROR(__xludf.DUMMYFUNCTION("""COMPUTED_VALUE"""),"Rcs")</f>
        <v>Rcs</v>
      </c>
      <c r="D181" s="211" t="str">
        <f>IFERROR(__xludf.DUMMYFUNCTION("""COMPUTED_VALUE"""),"Fallback campaign")</f>
        <v>Fallback campaign</v>
      </c>
      <c r="E181" s="211" t="str">
        <f>IFERROR(__xludf.DUMMYFUNCTION("""COMPUTED_VALUE"""),"Aldo")</f>
        <v>Aldo</v>
      </c>
      <c r="F181" s="211" t="str">
        <f>IFERROR(__xludf.DUMMYFUNCTION("""COMPUTED_VALUE"""),"MAY BOGO 2026 1-3 MAY - B1G1")</f>
        <v>MAY BOGO 2026 1-3 MAY - B1G1</v>
      </c>
      <c r="G181" s="211" t="str">
        <f>IFERROR(__xludf.DUMMYFUNCTION("""COMPUTED_VALUE"""),"3rd May 2026_AL_ON_Cart_Exit_Intent")</f>
        <v>3rd May 2026_AL_ON_Cart_Exit_Intent</v>
      </c>
      <c r="H181" s="212" t="str">
        <f>IFERROR(__xludf.DUMMYFUNCTION("""COMPUTED_VALUE"""),"AL_ON_Cart_Exit_Intent")</f>
        <v>AL_ON_Cart_Exit_Intent</v>
      </c>
      <c r="I181" s="212" t="str">
        <f>IFERROR(__xludf.DUMMYFUNCTION("""COMPUTED_VALUE"""),"WA Undelivered")</f>
        <v>WA Undelivered</v>
      </c>
      <c r="J181" s="213">
        <f>IFERROR(__xludf.DUMMYFUNCTION("""COMPUTED_VALUE"""),10048.0)</f>
        <v>10048</v>
      </c>
      <c r="K181" s="213">
        <f>IFERROR(__xludf.DUMMYFUNCTION("""COMPUTED_VALUE"""),1969.0)</f>
        <v>1969</v>
      </c>
      <c r="L181" s="214">
        <f>IFERROR(__xludf.DUMMYFUNCTION("""COMPUTED_VALUE"""),0.195959394904459)</f>
        <v>0.1959593949</v>
      </c>
      <c r="M181" s="213">
        <f>IFERROR(__xludf.DUMMYFUNCTION("""COMPUTED_VALUE"""),296.0)</f>
        <v>296</v>
      </c>
      <c r="N181" s="214">
        <f>IFERROR(__xludf.DUMMYFUNCTION("""COMPUTED_VALUE"""),0.1503)</f>
        <v>0.1503</v>
      </c>
      <c r="O181" s="213">
        <f>IFERROR(__xludf.DUMMYFUNCTION("""COMPUTED_VALUE"""),22.0)</f>
        <v>22</v>
      </c>
      <c r="P181" s="213">
        <f>IFERROR(__xludf.DUMMYFUNCTION("""COMPUTED_VALUE"""),0.0)</f>
        <v>0</v>
      </c>
      <c r="Q181" s="214">
        <f>IFERROR(__xludf.DUMMYFUNCTION("""COMPUTED_VALUE"""),0.0132)</f>
        <v>0.0132</v>
      </c>
      <c r="R181" s="214">
        <f>IFERROR(__xludf.DUMMYFUNCTION("""COMPUTED_VALUE"""),0.0)</f>
        <v>0</v>
      </c>
      <c r="S181" s="213">
        <f>IFERROR(__xludf.DUMMYFUNCTION("""COMPUTED_VALUE"""),1.0)</f>
        <v>1</v>
      </c>
      <c r="T181" s="213">
        <f>IFERROR(__xludf.DUMMYFUNCTION("""COMPUTED_VALUE"""),12.0)</f>
        <v>12</v>
      </c>
      <c r="U181" s="213">
        <f>IFERROR(__xludf.DUMMYFUNCTION("""COMPUTED_VALUE"""),14999.0)</f>
        <v>14999</v>
      </c>
      <c r="V181" s="213" t="str">
        <f>IFERROR(__xludf.DUMMYFUNCTION("""COMPUTED_VALUE"""),"online")</f>
        <v>online</v>
      </c>
      <c r="W181" s="213" t="str">
        <f>IFERROR(__xludf.DUMMYFUNCTION("""COMPUTED_VALUE"""),"rcs")</f>
        <v>rcs</v>
      </c>
      <c r="X181" s="213" t="str">
        <f>IFERROR(__xludf.DUMMYFUNCTION("""COMPUTED_VALUE"""),"Exit Intent Form")</f>
        <v>Exit Intent Form</v>
      </c>
      <c r="Y181" s="213" t="str">
        <f>IFERROR(__xludf.DUMMYFUNCTION("""COMPUTED_VALUE"""),"3rd May - 4th May 2026")</f>
        <v>3rd May - 4th May 2026</v>
      </c>
      <c r="Z181" s="213" t="str">
        <f>IFERROR(__xludf.DUMMYFUNCTION("""COMPUTED_VALUE"""),"69f59c0e251723f46aaf2b27")</f>
        <v>69f59c0e251723f46aaf2b27</v>
      </c>
      <c r="AA181" s="213"/>
      <c r="AB181" s="213"/>
      <c r="AC181" s="213"/>
      <c r="AD181" s="213"/>
      <c r="AE181" s="213"/>
      <c r="AF181" s="213"/>
      <c r="AG181" s="208"/>
      <c r="AH181" s="208"/>
      <c r="AI181" s="208"/>
      <c r="AJ181" s="208"/>
      <c r="AK181" s="208"/>
    </row>
    <row r="182">
      <c r="A182" s="209">
        <f>IFERROR(__xludf.DUMMYFUNCTION("""COMPUTED_VALUE"""),46145.0)</f>
        <v>46145</v>
      </c>
      <c r="B182" s="210">
        <f>IFERROR(__xludf.DUMMYFUNCTION("""COMPUTED_VALUE"""),0.4166666666678793)</f>
        <v>0.4166666667</v>
      </c>
      <c r="C182" s="211" t="str">
        <f>IFERROR(__xludf.DUMMYFUNCTION("""COMPUTED_VALUE"""),"Rcs")</f>
        <v>Rcs</v>
      </c>
      <c r="D182" s="211" t="str">
        <f>IFERROR(__xludf.DUMMYFUNCTION("""COMPUTED_VALUE"""),"Fallback campaign")</f>
        <v>Fallback campaign</v>
      </c>
      <c r="E182" s="211" t="str">
        <f>IFERROR(__xludf.DUMMYFUNCTION("""COMPUTED_VALUE"""),"Aldo")</f>
        <v>Aldo</v>
      </c>
      <c r="F182" s="211" t="str">
        <f>IFERROR(__xludf.DUMMYFUNCTION("""COMPUTED_VALUE"""),"MAY BOGO 2026 1-3 MAY - B1G1")</f>
        <v>MAY BOGO 2026 1-3 MAY - B1G1</v>
      </c>
      <c r="G182" s="211" t="str">
        <f>IFERROR(__xludf.DUMMYFUNCTION("""COMPUTED_VALUE"""),"3rd May 2026_AL_ON_OFF_Event_Buyers_BOGO")</f>
        <v>3rd May 2026_AL_ON_OFF_Event_Buyers_BOGO</v>
      </c>
      <c r="H182" s="212" t="str">
        <f>IFERROR(__xludf.DUMMYFUNCTION("""COMPUTED_VALUE"""),"AL_ON_OFF_Event_Buyers_BOGO")</f>
        <v>AL_ON_OFF_Event_Buyers_BOGO</v>
      </c>
      <c r="I182" s="212" t="str">
        <f>IFERROR(__xludf.DUMMYFUNCTION("""COMPUTED_VALUE"""),"WA Undelivered")</f>
        <v>WA Undelivered</v>
      </c>
      <c r="J182" s="213">
        <f>IFERROR(__xludf.DUMMYFUNCTION("""COMPUTED_VALUE"""),3955.0)</f>
        <v>3955</v>
      </c>
      <c r="K182" s="213">
        <f>IFERROR(__xludf.DUMMYFUNCTION("""COMPUTED_VALUE"""),665.0)</f>
        <v>665</v>
      </c>
      <c r="L182" s="214">
        <f>IFERROR(__xludf.DUMMYFUNCTION("""COMPUTED_VALUE"""),0.168141592920354)</f>
        <v>0.1681415929</v>
      </c>
      <c r="M182" s="213">
        <f>IFERROR(__xludf.DUMMYFUNCTION("""COMPUTED_VALUE"""),103.0)</f>
        <v>103</v>
      </c>
      <c r="N182" s="214">
        <f>IFERROR(__xludf.DUMMYFUNCTION("""COMPUTED_VALUE"""),0.1549)</f>
        <v>0.1549</v>
      </c>
      <c r="O182" s="213">
        <f>IFERROR(__xludf.DUMMYFUNCTION("""COMPUTED_VALUE"""),3.0)</f>
        <v>3</v>
      </c>
      <c r="P182" s="213">
        <f>IFERROR(__xludf.DUMMYFUNCTION("""COMPUTED_VALUE"""),0.0)</f>
        <v>0</v>
      </c>
      <c r="Q182" s="214">
        <f>IFERROR(__xludf.DUMMYFUNCTION("""COMPUTED_VALUE"""),0.0045)</f>
        <v>0.0045</v>
      </c>
      <c r="R182" s="214">
        <f>IFERROR(__xludf.DUMMYFUNCTION("""COMPUTED_VALUE"""),0.0)</f>
        <v>0</v>
      </c>
      <c r="S182" s="213">
        <f>IFERROR(__xludf.DUMMYFUNCTION("""COMPUTED_VALUE"""),0.0)</f>
        <v>0</v>
      </c>
      <c r="T182" s="213">
        <f>IFERROR(__xludf.DUMMYFUNCTION("""COMPUTED_VALUE"""),0.0)</f>
        <v>0</v>
      </c>
      <c r="U182" s="213">
        <f>IFERROR(__xludf.DUMMYFUNCTION("""COMPUTED_VALUE"""),0.0)</f>
        <v>0</v>
      </c>
      <c r="V182" s="213" t="str">
        <f>IFERROR(__xludf.DUMMYFUNCTION("""COMPUTED_VALUE"""),"overall")</f>
        <v>overall</v>
      </c>
      <c r="W182" s="213" t="str">
        <f>IFERROR(__xludf.DUMMYFUNCTION("""COMPUTED_VALUE"""),"rcs")</f>
        <v>rcs</v>
      </c>
      <c r="X182" s="213" t="str">
        <f>IFERROR(__xludf.DUMMYFUNCTION("""COMPUTED_VALUE"""),"Event Buyers")</f>
        <v>Event Buyers</v>
      </c>
      <c r="Y182" s="213" t="str">
        <f>IFERROR(__xludf.DUMMYFUNCTION("""COMPUTED_VALUE"""),"3rd May - 4th May 2026")</f>
        <v>3rd May - 4th May 2026</v>
      </c>
      <c r="Z182" s="213" t="str">
        <f>IFERROR(__xludf.DUMMYFUNCTION("""COMPUTED_VALUE"""),"69f59c47925e675910f2fff4")</f>
        <v>69f59c47925e675910f2fff4</v>
      </c>
      <c r="AA182" s="213"/>
      <c r="AB182" s="213"/>
      <c r="AC182" s="213"/>
      <c r="AD182" s="213"/>
      <c r="AE182" s="213"/>
      <c r="AF182" s="213"/>
      <c r="AG182" s="208"/>
      <c r="AH182" s="208"/>
      <c r="AI182" s="208"/>
      <c r="AJ182" s="208"/>
      <c r="AK182" s="208"/>
    </row>
    <row r="183">
      <c r="A183" s="209">
        <f>IFERROR(__xludf.DUMMYFUNCTION("""COMPUTED_VALUE"""),46145.0)</f>
        <v>46145</v>
      </c>
      <c r="B183" s="210">
        <f>IFERROR(__xludf.DUMMYFUNCTION("""COMPUTED_VALUE"""),0.4166666666678793)</f>
        <v>0.4166666667</v>
      </c>
      <c r="C183" s="211" t="str">
        <f>IFERROR(__xludf.DUMMYFUNCTION("""COMPUTED_VALUE"""),"Rcs")</f>
        <v>Rcs</v>
      </c>
      <c r="D183" s="211" t="str">
        <f>IFERROR(__xludf.DUMMYFUNCTION("""COMPUTED_VALUE"""),"Fallback campaign")</f>
        <v>Fallback campaign</v>
      </c>
      <c r="E183" s="211" t="str">
        <f>IFERROR(__xludf.DUMMYFUNCTION("""COMPUTED_VALUE"""),"Aldo")</f>
        <v>Aldo</v>
      </c>
      <c r="F183" s="211" t="str">
        <f>IFERROR(__xludf.DUMMYFUNCTION("""COMPUTED_VALUE"""),"MAY BOGO 2026 1-3 MAY - B1G1")</f>
        <v>MAY BOGO 2026 1-3 MAY - B1G1</v>
      </c>
      <c r="G183" s="211" t="str">
        <f>IFERROR(__xludf.DUMMYFUNCTION("""COMPUTED_VALUE"""),"3rd May 2026_AL_ON_OFF_Repeat_1Year")</f>
        <v>3rd May 2026_AL_ON_OFF_Repeat_1Year</v>
      </c>
      <c r="H183" s="212" t="str">
        <f>IFERROR(__xludf.DUMMYFUNCTION("""COMPUTED_VALUE"""),"AL_ON_OFF_Repeat_1Year")</f>
        <v>AL_ON_OFF_Repeat_1Year</v>
      </c>
      <c r="I183" s="212" t="str">
        <f>IFERROR(__xludf.DUMMYFUNCTION("""COMPUTED_VALUE"""),"WA Undelivered")</f>
        <v>WA Undelivered</v>
      </c>
      <c r="J183" s="213">
        <f>IFERROR(__xludf.DUMMYFUNCTION("""COMPUTED_VALUE"""),20592.0)</f>
        <v>20592</v>
      </c>
      <c r="K183" s="213">
        <f>IFERROR(__xludf.DUMMYFUNCTION("""COMPUTED_VALUE"""),3904.0)</f>
        <v>3904</v>
      </c>
      <c r="L183" s="214">
        <f>IFERROR(__xludf.DUMMYFUNCTION("""COMPUTED_VALUE"""),0.18958818958819)</f>
        <v>0.1895881896</v>
      </c>
      <c r="M183" s="213">
        <f>IFERROR(__xludf.DUMMYFUNCTION("""COMPUTED_VALUE"""),741.0)</f>
        <v>741</v>
      </c>
      <c r="N183" s="214">
        <f>IFERROR(__xludf.DUMMYFUNCTION("""COMPUTED_VALUE"""),0.1903)</f>
        <v>0.1903</v>
      </c>
      <c r="O183" s="213">
        <f>IFERROR(__xludf.DUMMYFUNCTION("""COMPUTED_VALUE"""),28.0)</f>
        <v>28</v>
      </c>
      <c r="P183" s="213">
        <f>IFERROR(__xludf.DUMMYFUNCTION("""COMPUTED_VALUE"""),0.0)</f>
        <v>0</v>
      </c>
      <c r="Q183" s="214">
        <f>IFERROR(__xludf.DUMMYFUNCTION("""COMPUTED_VALUE"""),0.0072)</f>
        <v>0.0072</v>
      </c>
      <c r="R183" s="214">
        <f>IFERROR(__xludf.DUMMYFUNCTION("""COMPUTED_VALUE"""),0.0)</f>
        <v>0</v>
      </c>
      <c r="S183" s="213">
        <f>IFERROR(__xludf.DUMMYFUNCTION("""COMPUTED_VALUE"""),0.0)</f>
        <v>0</v>
      </c>
      <c r="T183" s="213">
        <f>IFERROR(__xludf.DUMMYFUNCTION("""COMPUTED_VALUE"""),5.0)</f>
        <v>5</v>
      </c>
      <c r="U183" s="213">
        <f>IFERROR(__xludf.DUMMYFUNCTION("""COMPUTED_VALUE"""),0.0)</f>
        <v>0</v>
      </c>
      <c r="V183" s="213" t="str">
        <f>IFERROR(__xludf.DUMMYFUNCTION("""COMPUTED_VALUE"""),"overall")</f>
        <v>overall</v>
      </c>
      <c r="W183" s="213" t="str">
        <f>IFERROR(__xludf.DUMMYFUNCTION("""COMPUTED_VALUE"""),"rcs")</f>
        <v>rcs</v>
      </c>
      <c r="X183" s="213" t="str">
        <f>IFERROR(__xludf.DUMMYFUNCTION("""COMPUTED_VALUE"""),"Repeat")</f>
        <v>Repeat</v>
      </c>
      <c r="Y183" s="213" t="str">
        <f>IFERROR(__xludf.DUMMYFUNCTION("""COMPUTED_VALUE"""),"3rd May - 4th May 2026")</f>
        <v>3rd May - 4th May 2026</v>
      </c>
      <c r="Z183" s="213" t="str">
        <f>IFERROR(__xludf.DUMMYFUNCTION("""COMPUTED_VALUE"""),"69f59c69e7c12692c06c48db")</f>
        <v>69f59c69e7c12692c06c48db</v>
      </c>
      <c r="AA183" s="213"/>
      <c r="AB183" s="213"/>
      <c r="AC183" s="213"/>
      <c r="AD183" s="213"/>
      <c r="AE183" s="213"/>
      <c r="AF183" s="213"/>
      <c r="AG183" s="208"/>
      <c r="AH183" s="208"/>
      <c r="AI183" s="208"/>
      <c r="AJ183" s="208"/>
      <c r="AK183" s="208"/>
    </row>
    <row r="184">
      <c r="A184" s="209">
        <f>IFERROR(__xludf.DUMMYFUNCTION("""COMPUTED_VALUE"""),46145.0)</f>
        <v>46145</v>
      </c>
      <c r="B184" s="210">
        <f>IFERROR(__xludf.DUMMYFUNCTION("""COMPUTED_VALUE"""),0.4166666666678793)</f>
        <v>0.4166666667</v>
      </c>
      <c r="C184" s="211" t="str">
        <f>IFERROR(__xludf.DUMMYFUNCTION("""COMPUTED_VALUE"""),"Rcs")</f>
        <v>Rcs</v>
      </c>
      <c r="D184" s="211" t="str">
        <f>IFERROR(__xludf.DUMMYFUNCTION("""COMPUTED_VALUE"""),"Fallback campaign")</f>
        <v>Fallback campaign</v>
      </c>
      <c r="E184" s="211" t="str">
        <f>IFERROR(__xludf.DUMMYFUNCTION("""COMPUTED_VALUE"""),"Aldo")</f>
        <v>Aldo</v>
      </c>
      <c r="F184" s="211" t="str">
        <f>IFERROR(__xludf.DUMMYFUNCTION("""COMPUTED_VALUE"""),"MAY BOGO 2026 1-3 MAY - B1G1")</f>
        <v>MAY BOGO 2026 1-3 MAY - B1G1</v>
      </c>
      <c r="G184" s="211" t="str">
        <f>IFERROR(__xludf.DUMMYFUNCTION("""COMPUTED_VALUE"""),"3rd May 2026_AL_ON_OFF_Recent")</f>
        <v>3rd May 2026_AL_ON_OFF_Recent</v>
      </c>
      <c r="H184" s="212" t="str">
        <f>IFERROR(__xludf.DUMMYFUNCTION("""COMPUTED_VALUE"""),"AL_ON_OFF_Recent")</f>
        <v>AL_ON_OFF_Recent</v>
      </c>
      <c r="I184" s="212" t="str">
        <f>IFERROR(__xludf.DUMMYFUNCTION("""COMPUTED_VALUE"""),"WA Undelivered")</f>
        <v>WA Undelivered</v>
      </c>
      <c r="J184" s="213">
        <f>IFERROR(__xludf.DUMMYFUNCTION("""COMPUTED_VALUE"""),14183.0)</f>
        <v>14183</v>
      </c>
      <c r="K184" s="213">
        <f>IFERROR(__xludf.DUMMYFUNCTION("""COMPUTED_VALUE"""),3020.0)</f>
        <v>3020</v>
      </c>
      <c r="L184" s="214">
        <f>IFERROR(__xludf.DUMMYFUNCTION("""COMPUTED_VALUE"""),0.21293097370091)</f>
        <v>0.2129309737</v>
      </c>
      <c r="M184" s="213">
        <f>IFERROR(__xludf.DUMMYFUNCTION("""COMPUTED_VALUE"""),575.0)</f>
        <v>575</v>
      </c>
      <c r="N184" s="214">
        <f>IFERROR(__xludf.DUMMYFUNCTION("""COMPUTED_VALUE"""),0.1904)</f>
        <v>0.1904</v>
      </c>
      <c r="O184" s="213">
        <f>IFERROR(__xludf.DUMMYFUNCTION("""COMPUTED_VALUE"""),14.0)</f>
        <v>14</v>
      </c>
      <c r="P184" s="213">
        <f>IFERROR(__xludf.DUMMYFUNCTION("""COMPUTED_VALUE"""),0.0)</f>
        <v>0</v>
      </c>
      <c r="Q184" s="214">
        <f>IFERROR(__xludf.DUMMYFUNCTION("""COMPUTED_VALUE"""),0.0053)</f>
        <v>0.0053</v>
      </c>
      <c r="R184" s="214">
        <f>IFERROR(__xludf.DUMMYFUNCTION("""COMPUTED_VALUE"""),0.0)</f>
        <v>0</v>
      </c>
      <c r="S184" s="213">
        <f>IFERROR(__xludf.DUMMYFUNCTION("""COMPUTED_VALUE"""),0.0)</f>
        <v>0</v>
      </c>
      <c r="T184" s="213">
        <f>IFERROR(__xludf.DUMMYFUNCTION("""COMPUTED_VALUE"""),2.0)</f>
        <v>2</v>
      </c>
      <c r="U184" s="213">
        <f>IFERROR(__xludf.DUMMYFUNCTION("""COMPUTED_VALUE"""),0.0)</f>
        <v>0</v>
      </c>
      <c r="V184" s="213" t="str">
        <f>IFERROR(__xludf.DUMMYFUNCTION("""COMPUTED_VALUE"""),"overall")</f>
        <v>overall</v>
      </c>
      <c r="W184" s="213" t="str">
        <f>IFERROR(__xludf.DUMMYFUNCTION("""COMPUTED_VALUE"""),"rcs")</f>
        <v>rcs</v>
      </c>
      <c r="X184" s="213" t="str">
        <f>IFERROR(__xludf.DUMMYFUNCTION("""COMPUTED_VALUE"""),"Recent")</f>
        <v>Recent</v>
      </c>
      <c r="Y184" s="213" t="str">
        <f>IFERROR(__xludf.DUMMYFUNCTION("""COMPUTED_VALUE"""),"3rd May - 4th May 2026")</f>
        <v>3rd May - 4th May 2026</v>
      </c>
      <c r="Z184" s="213" t="str">
        <f>IFERROR(__xludf.DUMMYFUNCTION("""COMPUTED_VALUE"""),"69f59c98faa9f5a3eace4baa")</f>
        <v>69f59c98faa9f5a3eace4baa</v>
      </c>
      <c r="AA184" s="213"/>
      <c r="AB184" s="213"/>
      <c r="AC184" s="213"/>
      <c r="AD184" s="213"/>
      <c r="AE184" s="213"/>
      <c r="AF184" s="213"/>
      <c r="AG184" s="208"/>
      <c r="AH184" s="208"/>
      <c r="AI184" s="208"/>
      <c r="AJ184" s="208"/>
      <c r="AK184" s="208"/>
    </row>
    <row r="185">
      <c r="A185" s="209">
        <f>IFERROR(__xludf.DUMMYFUNCTION("""COMPUTED_VALUE"""),46145.0)</f>
        <v>46145</v>
      </c>
      <c r="B185" s="210">
        <f>IFERROR(__xludf.DUMMYFUNCTION("""COMPUTED_VALUE"""),0.4166666666678793)</f>
        <v>0.4166666667</v>
      </c>
      <c r="C185" s="211" t="str">
        <f>IFERROR(__xludf.DUMMYFUNCTION("""COMPUTED_VALUE"""),"Rcs")</f>
        <v>Rcs</v>
      </c>
      <c r="D185" s="211" t="str">
        <f>IFERROR(__xludf.DUMMYFUNCTION("""COMPUTED_VALUE"""),"Fallback campaign")</f>
        <v>Fallback campaign</v>
      </c>
      <c r="E185" s="211" t="str">
        <f>IFERROR(__xludf.DUMMYFUNCTION("""COMPUTED_VALUE"""),"Aldo")</f>
        <v>Aldo</v>
      </c>
      <c r="F185" s="211" t="str">
        <f>IFERROR(__xludf.DUMMYFUNCTION("""COMPUTED_VALUE"""),"MAY BOGO 2026 1-3 MAY - B1G1")</f>
        <v>MAY BOGO 2026 1-3 MAY - B1G1</v>
      </c>
      <c r="G185" s="211" t="str">
        <f>IFERROR(__xludf.DUMMYFUNCTION("""COMPUTED_VALUE"""),"3rd May 2026_AL_ON_OFF_Disc_Buyers_50_perc")</f>
        <v>3rd May 2026_AL_ON_OFF_Disc_Buyers_50_perc</v>
      </c>
      <c r="H185" s="212" t="str">
        <f>IFERROR(__xludf.DUMMYFUNCTION("""COMPUTED_VALUE"""),"AL_ON_OFF_Disc_Buyers_50_perc")</f>
        <v>AL_ON_OFF_Disc_Buyers_50_perc</v>
      </c>
      <c r="I185" s="212" t="str">
        <f>IFERROR(__xludf.DUMMYFUNCTION("""COMPUTED_VALUE"""),"WA Undelivered")</f>
        <v>WA Undelivered</v>
      </c>
      <c r="J185" s="213">
        <f>IFERROR(__xludf.DUMMYFUNCTION("""COMPUTED_VALUE"""),20213.0)</f>
        <v>20213</v>
      </c>
      <c r="K185" s="213">
        <f>IFERROR(__xludf.DUMMYFUNCTION("""COMPUTED_VALUE"""),3847.0)</f>
        <v>3847</v>
      </c>
      <c r="L185" s="214">
        <f>IFERROR(__xludf.DUMMYFUNCTION("""COMPUTED_VALUE"""),0.190323059417207)</f>
        <v>0.1903230594</v>
      </c>
      <c r="M185" s="213">
        <f>IFERROR(__xludf.DUMMYFUNCTION("""COMPUTED_VALUE"""),625.0)</f>
        <v>625</v>
      </c>
      <c r="N185" s="214">
        <f>IFERROR(__xludf.DUMMYFUNCTION("""COMPUTED_VALUE"""),0.1625)</f>
        <v>0.1625</v>
      </c>
      <c r="O185" s="213">
        <f>IFERROR(__xludf.DUMMYFUNCTION("""COMPUTED_VALUE"""),19.0)</f>
        <v>19</v>
      </c>
      <c r="P185" s="213">
        <f>IFERROR(__xludf.DUMMYFUNCTION("""COMPUTED_VALUE"""),0.0)</f>
        <v>0</v>
      </c>
      <c r="Q185" s="214">
        <f>IFERROR(__xludf.DUMMYFUNCTION("""COMPUTED_VALUE"""),0.0052)</f>
        <v>0.0052</v>
      </c>
      <c r="R185" s="214">
        <f>IFERROR(__xludf.DUMMYFUNCTION("""COMPUTED_VALUE"""),0.0)</f>
        <v>0</v>
      </c>
      <c r="S185" s="213">
        <f>IFERROR(__xludf.DUMMYFUNCTION("""COMPUTED_VALUE"""),0.0)</f>
        <v>0</v>
      </c>
      <c r="T185" s="213">
        <f>IFERROR(__xludf.DUMMYFUNCTION("""COMPUTED_VALUE"""),0.0)</f>
        <v>0</v>
      </c>
      <c r="U185" s="213">
        <f>IFERROR(__xludf.DUMMYFUNCTION("""COMPUTED_VALUE"""),0.0)</f>
        <v>0</v>
      </c>
      <c r="V185" s="213" t="str">
        <f>IFERROR(__xludf.DUMMYFUNCTION("""COMPUTED_VALUE"""),"overall")</f>
        <v>overall</v>
      </c>
      <c r="W185" s="213" t="str">
        <f>IFERROR(__xludf.DUMMYFUNCTION("""COMPUTED_VALUE"""),"rcs")</f>
        <v>rcs</v>
      </c>
      <c r="X185" s="213" t="str">
        <f>IFERROR(__xludf.DUMMYFUNCTION("""COMPUTED_VALUE"""),"Discount Shoppers")</f>
        <v>Discount Shoppers</v>
      </c>
      <c r="Y185" s="213" t="str">
        <f>IFERROR(__xludf.DUMMYFUNCTION("""COMPUTED_VALUE"""),"3rd May - 4th May 2026")</f>
        <v>3rd May - 4th May 2026</v>
      </c>
      <c r="Z185" s="213" t="str">
        <f>IFERROR(__xludf.DUMMYFUNCTION("""COMPUTED_VALUE"""),"69f59cde9d9ef9074d45a507")</f>
        <v>69f59cde9d9ef9074d45a507</v>
      </c>
      <c r="AA185" s="213"/>
      <c r="AB185" s="213"/>
      <c r="AC185" s="213"/>
      <c r="AD185" s="213"/>
      <c r="AE185" s="213"/>
      <c r="AF185" s="213"/>
      <c r="AG185" s="208"/>
      <c r="AH185" s="208"/>
      <c r="AI185" s="208"/>
      <c r="AJ185" s="208"/>
      <c r="AK185" s="208"/>
    </row>
    <row r="186">
      <c r="A186" s="209">
        <f>IFERROR(__xludf.DUMMYFUNCTION("""COMPUTED_VALUE"""),46145.0)</f>
        <v>46145</v>
      </c>
      <c r="B186" s="210">
        <f>IFERROR(__xludf.DUMMYFUNCTION("""COMPUTED_VALUE"""),0.4166666666678793)</f>
        <v>0.4166666667</v>
      </c>
      <c r="C186" s="211" t="str">
        <f>IFERROR(__xludf.DUMMYFUNCTION("""COMPUTED_VALUE"""),"Rcs")</f>
        <v>Rcs</v>
      </c>
      <c r="D186" s="211" t="str">
        <f>IFERROR(__xludf.DUMMYFUNCTION("""COMPUTED_VALUE"""),"Fallback campaign")</f>
        <v>Fallback campaign</v>
      </c>
      <c r="E186" s="211" t="str">
        <f>IFERROR(__xludf.DUMMYFUNCTION("""COMPUTED_VALUE"""),"Aldo")</f>
        <v>Aldo</v>
      </c>
      <c r="F186" s="211" t="str">
        <f>IFERROR(__xludf.DUMMYFUNCTION("""COMPUTED_VALUE"""),"MAY BOGO 2026 1-3 MAY - B1G1")</f>
        <v>MAY BOGO 2026 1-3 MAY - B1G1</v>
      </c>
      <c r="G186" s="211" t="str">
        <f>IFERROR(__xludf.DUMMYFUNCTION("""COMPUTED_VALUE"""),"3rd May 2026_AL_ON_OFF_UPT_Min_2")</f>
        <v>3rd May 2026_AL_ON_OFF_UPT_Min_2</v>
      </c>
      <c r="H186" s="212" t="str">
        <f>IFERROR(__xludf.DUMMYFUNCTION("""COMPUTED_VALUE"""),"AL_ON_OFF_UPT_Min_2")</f>
        <v>AL_ON_OFF_UPT_Min_2</v>
      </c>
      <c r="I186" s="212" t="str">
        <f>IFERROR(__xludf.DUMMYFUNCTION("""COMPUTED_VALUE"""),"WA Undelivered")</f>
        <v>WA Undelivered</v>
      </c>
      <c r="J186" s="213">
        <f>IFERROR(__xludf.DUMMYFUNCTION("""COMPUTED_VALUE"""),159092.0)</f>
        <v>159092</v>
      </c>
      <c r="K186" s="213">
        <f>IFERROR(__xludf.DUMMYFUNCTION("""COMPUTED_VALUE"""),30378.0)</f>
        <v>30378</v>
      </c>
      <c r="L186" s="214">
        <f>IFERROR(__xludf.DUMMYFUNCTION("""COMPUTED_VALUE"""),0.190946119226611)</f>
        <v>0.1909461192</v>
      </c>
      <c r="M186" s="213">
        <f>IFERROR(__xludf.DUMMYFUNCTION("""COMPUTED_VALUE"""),5564.0)</f>
        <v>5564</v>
      </c>
      <c r="N186" s="214">
        <f>IFERROR(__xludf.DUMMYFUNCTION("""COMPUTED_VALUE"""),0.1833)</f>
        <v>0.1833</v>
      </c>
      <c r="O186" s="213">
        <f>IFERROR(__xludf.DUMMYFUNCTION("""COMPUTED_VALUE"""),98.0)</f>
        <v>98</v>
      </c>
      <c r="P186" s="213">
        <f>IFERROR(__xludf.DUMMYFUNCTION("""COMPUTED_VALUE"""),0.0)</f>
        <v>0</v>
      </c>
      <c r="Q186" s="214">
        <f>IFERROR(__xludf.DUMMYFUNCTION("""COMPUTED_VALUE"""),0.0035)</f>
        <v>0.0035</v>
      </c>
      <c r="R186" s="214">
        <f>IFERROR(__xludf.DUMMYFUNCTION("""COMPUTED_VALUE"""),0.0)</f>
        <v>0</v>
      </c>
      <c r="S186" s="213">
        <f>IFERROR(__xludf.DUMMYFUNCTION("""COMPUTED_VALUE"""),1.0)</f>
        <v>1</v>
      </c>
      <c r="T186" s="213">
        <f>IFERROR(__xludf.DUMMYFUNCTION("""COMPUTED_VALUE"""),2.0)</f>
        <v>2</v>
      </c>
      <c r="U186" s="213">
        <f>IFERROR(__xludf.DUMMYFUNCTION("""COMPUTED_VALUE"""),11999.0)</f>
        <v>11999</v>
      </c>
      <c r="V186" s="213" t="str">
        <f>IFERROR(__xludf.DUMMYFUNCTION("""COMPUTED_VALUE"""),"overall")</f>
        <v>overall</v>
      </c>
      <c r="W186" s="213" t="str">
        <f>IFERROR(__xludf.DUMMYFUNCTION("""COMPUTED_VALUE"""),"rcs")</f>
        <v>rcs</v>
      </c>
      <c r="X186" s="213" t="str">
        <f>IFERROR(__xludf.DUMMYFUNCTION("""COMPUTED_VALUE"""),"UPT atleast 2")</f>
        <v>UPT atleast 2</v>
      </c>
      <c r="Y186" s="213" t="str">
        <f>IFERROR(__xludf.DUMMYFUNCTION("""COMPUTED_VALUE"""),"3rd May - 4th May 2026")</f>
        <v>3rd May - 4th May 2026</v>
      </c>
      <c r="Z186" s="213" t="str">
        <f>IFERROR(__xludf.DUMMYFUNCTION("""COMPUTED_VALUE"""),"69f59cfd925e675910f3002d")</f>
        <v>69f59cfd925e675910f3002d</v>
      </c>
      <c r="AA186" s="213"/>
      <c r="AB186" s="213"/>
      <c r="AC186" s="213"/>
      <c r="AD186" s="213"/>
      <c r="AE186" s="213"/>
      <c r="AF186" s="213"/>
      <c r="AG186" s="208"/>
      <c r="AH186" s="208"/>
      <c r="AI186" s="208"/>
      <c r="AJ186" s="208"/>
      <c r="AK186" s="208"/>
    </row>
    <row r="187">
      <c r="A187" s="209">
        <f>IFERROR(__xludf.DUMMYFUNCTION("""COMPUTED_VALUE"""),46150.0)</f>
        <v>46150</v>
      </c>
      <c r="B187" s="210">
        <f>IFERROR(__xludf.DUMMYFUNCTION("""COMPUTED_VALUE"""),46150.625)</f>
        <v>46150.625</v>
      </c>
      <c r="C187" s="211" t="str">
        <f>IFERROR(__xludf.DUMMYFUNCTION("""COMPUTED_VALUE"""),"Whatsapp")</f>
        <v>Whatsapp</v>
      </c>
      <c r="D187" s="211" t="str">
        <f>IFERROR(__xludf.DUMMYFUNCTION("""COMPUTED_VALUE"""),"Promtional")</f>
        <v>Promtional</v>
      </c>
      <c r="E187" s="211" t="str">
        <f>IFERROR(__xludf.DUMMYFUNCTION("""COMPUTED_VALUE"""),"Aldo")</f>
        <v>Aldo</v>
      </c>
      <c r="F187" s="211" t="str">
        <f>IFERROR(__xludf.DUMMYFUNCTION("""COMPUTED_VALUE"""),"Failed_Orders_BOGO_May_2026")</f>
        <v>Failed_Orders_BOGO_May_2026</v>
      </c>
      <c r="G187" s="211" t="str">
        <f>IFERROR(__xludf.DUMMYFUNCTION("""COMPUTED_VALUE"""),"Failed_Orders_BOGO_May_2026_V2")</f>
        <v>Failed_Orders_BOGO_May_2026_V2</v>
      </c>
      <c r="H187" s="212" t="str">
        <f>IFERROR(__xludf.DUMMYFUNCTION("""COMPUTED_VALUE"""),"FailedOrders_30Apr_4thMay_26")</f>
        <v>FailedOrders_30Apr_4thMay_26</v>
      </c>
      <c r="I187" s="212" t="str">
        <f>IFERROR(__xludf.DUMMYFUNCTION("""COMPUTED_VALUE"""),"No Brief")</f>
        <v>No Brief</v>
      </c>
      <c r="J187" s="213">
        <f>IFERROR(__xludf.DUMMYFUNCTION("""COMPUTED_VALUE"""),310.0)</f>
        <v>310</v>
      </c>
      <c r="K187" s="213">
        <f>IFERROR(__xludf.DUMMYFUNCTION("""COMPUTED_VALUE"""),161.0)</f>
        <v>161</v>
      </c>
      <c r="L187" s="214">
        <f>IFERROR(__xludf.DUMMYFUNCTION("""COMPUTED_VALUE"""),0.5194)</f>
        <v>0.5194</v>
      </c>
      <c r="M187" s="213">
        <f>IFERROR(__xludf.DUMMYFUNCTION("""COMPUTED_VALUE"""),84.0)</f>
        <v>84</v>
      </c>
      <c r="N187" s="214">
        <f>IFERROR(__xludf.DUMMYFUNCTION("""COMPUTED_VALUE"""),0.5217)</f>
        <v>0.5217</v>
      </c>
      <c r="O187" s="213">
        <f>IFERROR(__xludf.DUMMYFUNCTION("""COMPUTED_VALUE"""),43.0)</f>
        <v>43</v>
      </c>
      <c r="P187" s="213">
        <f>IFERROR(__xludf.DUMMYFUNCTION("""COMPUTED_VALUE"""),29.0)</f>
        <v>29</v>
      </c>
      <c r="Q187" s="214">
        <f>IFERROR(__xludf.DUMMYFUNCTION("""COMPUTED_VALUE"""),0.1801)</f>
        <v>0.1801</v>
      </c>
      <c r="R187" s="214">
        <f>IFERROR(__xludf.DUMMYFUNCTION("""COMPUTED_VALUE"""),0.3452)</f>
        <v>0.3452</v>
      </c>
      <c r="S187" s="213">
        <f>IFERROR(__xludf.DUMMYFUNCTION("""COMPUTED_VALUE"""),0.0)</f>
        <v>0</v>
      </c>
      <c r="T187" s="213">
        <f>IFERROR(__xludf.DUMMYFUNCTION("""COMPUTED_VALUE"""),1.0)</f>
        <v>1</v>
      </c>
      <c r="U187" s="213">
        <f>IFERROR(__xludf.DUMMYFUNCTION("""COMPUTED_VALUE"""),0.0)</f>
        <v>0</v>
      </c>
      <c r="V187" s="213"/>
      <c r="W187" s="213" t="str">
        <f>IFERROR(__xludf.DUMMYFUNCTION("""COMPUTED_VALUE"""),"simple")</f>
        <v>simple</v>
      </c>
      <c r="X187" s="213" t="str">
        <f>IFERROR(__xludf.DUMMYFUNCTION("""COMPUTED_VALUE"""),"No Brief")</f>
        <v>No Brief</v>
      </c>
      <c r="Y187" s="213" t="str">
        <f>IFERROR(__xludf.DUMMYFUNCTION("""COMPUTED_VALUE"""),"8th - 12th May 2026 ")</f>
        <v>8th - 12th May 2026 </v>
      </c>
      <c r="Z187" s="213" t="str">
        <f>IFERROR(__xludf.DUMMYFUNCTION("""COMPUTED_VALUE"""),"69fdaaea6a50cb26defd3ee9")</f>
        <v>69fdaaea6a50cb26defd3ee9</v>
      </c>
      <c r="AA187" s="213"/>
      <c r="AB187" s="213"/>
      <c r="AC187" s="213"/>
      <c r="AD187" s="213"/>
      <c r="AE187" s="213"/>
      <c r="AF187" s="213"/>
      <c r="AG187" s="208"/>
      <c r="AH187" s="208"/>
      <c r="AI187" s="208"/>
      <c r="AJ187" s="208"/>
      <c r="AK187" s="208"/>
    </row>
    <row r="188">
      <c r="A188" s="209">
        <f>IFERROR(__xludf.DUMMYFUNCTION("""COMPUTED_VALUE"""),46150.0)</f>
        <v>46150</v>
      </c>
      <c r="B188" s="210">
        <f>IFERROR(__xludf.DUMMYFUNCTION("""COMPUTED_VALUE"""),46150.75)</f>
        <v>46150.75</v>
      </c>
      <c r="C188" s="211" t="str">
        <f>IFERROR(__xludf.DUMMYFUNCTION("""COMPUTED_VALUE"""),"Whatsapp")</f>
        <v>Whatsapp</v>
      </c>
      <c r="D188" s="211" t="str">
        <f>IFERROR(__xludf.DUMMYFUNCTION("""COMPUTED_VALUE"""),"Promtional")</f>
        <v>Promtional</v>
      </c>
      <c r="E188" s="211" t="str">
        <f>IFERROR(__xludf.DUMMYFUNCTION("""COMPUTED_VALUE"""),"Aldo")</f>
        <v>Aldo</v>
      </c>
      <c r="F188" s="211" t="str">
        <f>IFERROR(__xludf.DUMMYFUNCTION("""COMPUTED_VALUE"""),"abandoned_cart_bogo - B1G1")</f>
        <v>abandoned_cart_bogo - B1G1</v>
      </c>
      <c r="G188" s="211" t="str">
        <f>IFERROR(__xludf.DUMMYFUNCTION("""COMPUTED_VALUE"""),"abandoned_cart_bogo")</f>
        <v>abandoned_cart_bogo</v>
      </c>
      <c r="H188" s="212"/>
      <c r="I188" s="212" t="str">
        <f>IFERROR(__xludf.DUMMYFUNCTION("""COMPUTED_VALUE"""),"Has executed add_to_cart atleast 1 time in-between Apr 30, 2026 and May 04, 2026  AND Has not executed Sale_Array in-between Apr 30, 2026 and May 04, 2026")</f>
        <v>Has executed add_to_cart atleast 1 time in-between Apr 30, 2026 and May 04, 2026  AND Has not executed Sale_Array in-between Apr 30, 2026 and May 04, 2026</v>
      </c>
      <c r="J188" s="213">
        <f>IFERROR(__xludf.DUMMYFUNCTION("""COMPUTED_VALUE"""),2836.0)</f>
        <v>2836</v>
      </c>
      <c r="K188" s="213">
        <f>IFERROR(__xludf.DUMMYFUNCTION("""COMPUTED_VALUE"""),1265.0)</f>
        <v>1265</v>
      </c>
      <c r="L188" s="214">
        <f>IFERROR(__xludf.DUMMYFUNCTION("""COMPUTED_VALUE"""),0.4457)</f>
        <v>0.4457</v>
      </c>
      <c r="M188" s="213">
        <f>IFERROR(__xludf.DUMMYFUNCTION("""COMPUTED_VALUE"""),607.0)</f>
        <v>607</v>
      </c>
      <c r="N188" s="214">
        <f>IFERROR(__xludf.DUMMYFUNCTION("""COMPUTED_VALUE"""),0.4794)</f>
        <v>0.4794</v>
      </c>
      <c r="O188" s="213">
        <f>IFERROR(__xludf.DUMMYFUNCTION("""COMPUTED_VALUE"""),179.0)</f>
        <v>179</v>
      </c>
      <c r="P188" s="213">
        <f>IFERROR(__xludf.DUMMYFUNCTION("""COMPUTED_VALUE"""),136.0)</f>
        <v>136</v>
      </c>
      <c r="Q188" s="214">
        <f>IFERROR(__xludf.DUMMYFUNCTION("""COMPUTED_VALUE"""),0.1076)</f>
        <v>0.1076</v>
      </c>
      <c r="R188" s="214">
        <f>IFERROR(__xludf.DUMMYFUNCTION("""COMPUTED_VALUE"""),0.22440000000000002)</f>
        <v>0.2244</v>
      </c>
      <c r="S188" s="213">
        <f>IFERROR(__xludf.DUMMYFUNCTION("""COMPUTED_VALUE"""),5.0)</f>
        <v>5</v>
      </c>
      <c r="T188" s="213">
        <f>IFERROR(__xludf.DUMMYFUNCTION("""COMPUTED_VALUE"""),53.0)</f>
        <v>53</v>
      </c>
      <c r="U188" s="213">
        <f>IFERROR(__xludf.DUMMYFUNCTION("""COMPUTED_VALUE"""),47380.0)</f>
        <v>47380</v>
      </c>
      <c r="V188" s="213" t="str">
        <f>IFERROR(__xludf.DUMMYFUNCTION("""COMPUTED_VALUE"""),"overall")</f>
        <v>overall</v>
      </c>
      <c r="W188" s="213" t="str">
        <f>IFERROR(__xludf.DUMMYFUNCTION("""COMPUTED_VALUE"""),"simple")</f>
        <v>simple</v>
      </c>
      <c r="X188" s="213" t="str">
        <f>IFERROR(__xludf.DUMMYFUNCTION("""COMPUTED_VALUE"""),"No Brief")</f>
        <v>No Brief</v>
      </c>
      <c r="Y188" s="213" t="str">
        <f>IFERROR(__xludf.DUMMYFUNCTION("""COMPUTED_VALUE"""),"8th - 12th May 2026 ")</f>
        <v>8th - 12th May 2026 </v>
      </c>
      <c r="Z188" s="213" t="str">
        <f>IFERROR(__xludf.DUMMYFUNCTION("""COMPUTED_VALUE"""),"69fdd475568c1283be471b68")</f>
        <v>69fdd475568c1283be471b68</v>
      </c>
      <c r="AA188" s="213"/>
      <c r="AB188" s="213"/>
      <c r="AC188" s="213"/>
      <c r="AD188" s="213"/>
      <c r="AE188" s="213"/>
      <c r="AF188" s="213"/>
      <c r="AG188" s="208"/>
      <c r="AH188" s="208"/>
      <c r="AI188" s="208"/>
      <c r="AJ188" s="208"/>
      <c r="AK188" s="208"/>
    </row>
    <row r="189">
      <c r="A189" s="209">
        <f>IFERROR(__xludf.DUMMYFUNCTION("""COMPUTED_VALUE"""),46151.0)</f>
        <v>46151</v>
      </c>
      <c r="B189" s="210">
        <f>IFERROR(__xludf.DUMMYFUNCTION("""COMPUTED_VALUE"""),46151.5)</f>
        <v>46151.5</v>
      </c>
      <c r="C189" s="211" t="str">
        <f>IFERROR(__xludf.DUMMYFUNCTION("""COMPUTED_VALUE"""),"Sms")</f>
        <v>Sms</v>
      </c>
      <c r="D189" s="211" t="str">
        <f>IFERROR(__xludf.DUMMYFUNCTION("""COMPUTED_VALUE"""),"Fallback campaign")</f>
        <v>Fallback campaign</v>
      </c>
      <c r="E189" s="211" t="str">
        <f>IFERROR(__xludf.DUMMYFUNCTION("""COMPUTED_VALUE"""),"Aldo")</f>
        <v>Aldo</v>
      </c>
      <c r="F189" s="211" t="str">
        <f>IFERROR(__xludf.DUMMYFUNCTION("""COMPUTED_VALUE"""),"Failed_Orders_BOGO_May_2026 - coupon redemption failed orders")</f>
        <v>Failed_Orders_BOGO_May_2026 - coupon redemption failed orders</v>
      </c>
      <c r="G189" s="211" t="str">
        <f>IFERROR(__xludf.DUMMYFUNCTION("""COMPUTED_VALUE"""),"NewFailedOrders_FallBKSMS")</f>
        <v>NewFailedOrders_FallBKSMS</v>
      </c>
      <c r="H189" s="212" t="str">
        <f>IFERROR(__xludf.DUMMYFUNCTION("""COMPUTED_VALUE"""),"FailedOrders_30Apr_4thMay_26")</f>
        <v>FailedOrders_30Apr_4thMay_26</v>
      </c>
      <c r="I189" s="212" t="str">
        <f>IFERROR(__xludf.DUMMYFUNCTION("""COMPUTED_VALUE"""),"WA Undelivered")</f>
        <v>WA Undelivered</v>
      </c>
      <c r="J189" s="213">
        <f>IFERROR(__xludf.DUMMYFUNCTION("""COMPUTED_VALUE"""),147.0)</f>
        <v>147</v>
      </c>
      <c r="K189" s="213">
        <f>IFERROR(__xludf.DUMMYFUNCTION("""COMPUTED_VALUE"""),101.0)</f>
        <v>101</v>
      </c>
      <c r="L189" s="214">
        <f>IFERROR(__xludf.DUMMYFUNCTION("""COMPUTED_VALUE"""),0.6870748299319728)</f>
        <v>0.6870748299</v>
      </c>
      <c r="M189" s="213">
        <f>IFERROR(__xludf.DUMMYFUNCTION("""COMPUTED_VALUE"""),0.0)</f>
        <v>0</v>
      </c>
      <c r="N189" s="214">
        <f>IFERROR(__xludf.DUMMYFUNCTION("""COMPUTED_VALUE"""),0.0)</f>
        <v>0</v>
      </c>
      <c r="O189" s="213">
        <f>IFERROR(__xludf.DUMMYFUNCTION("""COMPUTED_VALUE"""),6.0)</f>
        <v>6</v>
      </c>
      <c r="P189" s="213">
        <f>IFERROR(__xludf.DUMMYFUNCTION("""COMPUTED_VALUE"""),0.0)</f>
        <v>0</v>
      </c>
      <c r="Q189" s="214">
        <f>IFERROR(__xludf.DUMMYFUNCTION("""COMPUTED_VALUE"""),0.0594)</f>
        <v>0.0594</v>
      </c>
      <c r="R189" s="214">
        <f>IFERROR(__xludf.DUMMYFUNCTION("""COMPUTED_VALUE"""),0.0)</f>
        <v>0</v>
      </c>
      <c r="S189" s="213">
        <f>IFERROR(__xludf.DUMMYFUNCTION("""COMPUTED_VALUE"""),0.0)</f>
        <v>0</v>
      </c>
      <c r="T189" s="213">
        <f>IFERROR(__xludf.DUMMYFUNCTION("""COMPUTED_VALUE"""),2.0)</f>
        <v>2</v>
      </c>
      <c r="U189" s="213">
        <f>IFERROR(__xludf.DUMMYFUNCTION("""COMPUTED_VALUE"""),0.0)</f>
        <v>0</v>
      </c>
      <c r="V189" s="213" t="str">
        <f>IFERROR(__xludf.DUMMYFUNCTION("""COMPUTED_VALUE"""),"overall")</f>
        <v>overall</v>
      </c>
      <c r="W189" s="213" t="str">
        <f>IFERROR(__xludf.DUMMYFUNCTION("""COMPUTED_VALUE"""),"sms")</f>
        <v>sms</v>
      </c>
      <c r="X189" s="213" t="str">
        <f>IFERROR(__xludf.DUMMYFUNCTION("""COMPUTED_VALUE"""),"No Brief")</f>
        <v>No Brief</v>
      </c>
      <c r="Y189" s="213" t="str">
        <f>IFERROR(__xludf.DUMMYFUNCTION("""COMPUTED_VALUE"""),"7th - 9th May 2026 ")</f>
        <v>7th - 9th May 2026 </v>
      </c>
      <c r="Z189" s="213" t="str">
        <f>IFERROR(__xludf.DUMMYFUNCTION("""COMPUTED_VALUE"""),"69fed1ba244da7bf5ad8d158")</f>
        <v>69fed1ba244da7bf5ad8d158</v>
      </c>
      <c r="AA189" s="213">
        <f>IFERROR(__xludf.DUMMYFUNCTION("""COMPUTED_VALUE"""),2.0)</f>
        <v>2</v>
      </c>
      <c r="AB189" s="213">
        <f>IFERROR(__xludf.DUMMYFUNCTION("""COMPUTED_VALUE"""),2.0)</f>
        <v>2</v>
      </c>
      <c r="AC189" s="213">
        <f>IFERROR(__xludf.DUMMYFUNCTION("""COMPUTED_VALUE"""),0.0)</f>
        <v>0</v>
      </c>
      <c r="AD189" s="213">
        <f>IFERROR(__xludf.DUMMYFUNCTION("""COMPUTED_VALUE"""),22195.0)</f>
        <v>22195</v>
      </c>
      <c r="AE189" s="213">
        <f>IFERROR(__xludf.DUMMYFUNCTION("""COMPUTED_VALUE"""),22195.0)</f>
        <v>22195</v>
      </c>
      <c r="AF189" s="213">
        <f>IFERROR(__xludf.DUMMYFUNCTION("""COMPUTED_VALUE"""),0.0)</f>
        <v>0</v>
      </c>
      <c r="AG189" s="208"/>
      <c r="AH189" s="208"/>
      <c r="AI189" s="208"/>
      <c r="AJ189" s="208"/>
      <c r="AK189" s="208"/>
    </row>
    <row r="190">
      <c r="A190" s="209">
        <f>IFERROR(__xludf.DUMMYFUNCTION("""COMPUTED_VALUE"""),46151.0)</f>
        <v>46151</v>
      </c>
      <c r="B190" s="210">
        <f>IFERROR(__xludf.DUMMYFUNCTION("""COMPUTED_VALUE"""),46151.52083333333)</f>
        <v>46151.52083</v>
      </c>
      <c r="C190" s="211" t="str">
        <f>IFERROR(__xludf.DUMMYFUNCTION("""COMPUTED_VALUE"""),"Sms")</f>
        <v>Sms</v>
      </c>
      <c r="D190" s="211" t="str">
        <f>IFERROR(__xludf.DUMMYFUNCTION("""COMPUTED_VALUE"""),"Fallback campaign")</f>
        <v>Fallback campaign</v>
      </c>
      <c r="E190" s="211" t="str">
        <f>IFERROR(__xludf.DUMMYFUNCTION("""COMPUTED_VALUE"""),"Aldo")</f>
        <v>Aldo</v>
      </c>
      <c r="F190" s="211" t="str">
        <f>IFERROR(__xludf.DUMMYFUNCTION("""COMPUTED_VALUE"""),"aldo_abandoned_cart_bogo_may_2026 - coupon redemption _cartabvandonment")</f>
        <v>aldo_abandoned_cart_bogo_may_2026 - coupon redemption _cartabvandonment</v>
      </c>
      <c r="G190" s="211" t="str">
        <f>IFERROR(__xludf.DUMMYFUNCTION("""COMPUTED_VALUE"""),"aldo_abandoned_cart_bogo")</f>
        <v>aldo_abandoned_cart_bogo</v>
      </c>
      <c r="H190" s="212" t="str">
        <f>IFERROR(__xludf.DUMMYFUNCTION("""COMPUTED_VALUE"""),"Has executed add_to_cart atleast 1 time in-between Apr 30, 2026 and May 04, 2026  AND Has not executed Sale_Array in-between Apr 30, 2026 and May 04, 2026")</f>
        <v>Has executed add_to_cart atleast 1 time in-between Apr 30, 2026 and May 04, 2026  AND Has not executed Sale_Array in-between Apr 30, 2026 and May 04, 2026</v>
      </c>
      <c r="I190" s="212" t="str">
        <f>IFERROR(__xludf.DUMMYFUNCTION("""COMPUTED_VALUE"""),"WA Undelivered")</f>
        <v>WA Undelivered</v>
      </c>
      <c r="J190" s="213">
        <f>IFERROR(__xludf.DUMMYFUNCTION("""COMPUTED_VALUE"""),1560.0)</f>
        <v>1560</v>
      </c>
      <c r="K190" s="213">
        <f>IFERROR(__xludf.DUMMYFUNCTION("""COMPUTED_VALUE"""),1037.0)</f>
        <v>1037</v>
      </c>
      <c r="L190" s="214">
        <f>IFERROR(__xludf.DUMMYFUNCTION("""COMPUTED_VALUE"""),0.6647435897435897)</f>
        <v>0.6647435897</v>
      </c>
      <c r="M190" s="213">
        <f>IFERROR(__xludf.DUMMYFUNCTION("""COMPUTED_VALUE"""),0.0)</f>
        <v>0</v>
      </c>
      <c r="N190" s="214">
        <f>IFERROR(__xludf.DUMMYFUNCTION("""COMPUTED_VALUE"""),0.0)</f>
        <v>0</v>
      </c>
      <c r="O190" s="213">
        <f>IFERROR(__xludf.DUMMYFUNCTION("""COMPUTED_VALUE"""),45.0)</f>
        <v>45</v>
      </c>
      <c r="P190" s="213">
        <f>IFERROR(__xludf.DUMMYFUNCTION("""COMPUTED_VALUE"""),0.0)</f>
        <v>0</v>
      </c>
      <c r="Q190" s="214">
        <f>IFERROR(__xludf.DUMMYFUNCTION("""COMPUTED_VALUE"""),0.0434)</f>
        <v>0.0434</v>
      </c>
      <c r="R190" s="214">
        <f>IFERROR(__xludf.DUMMYFUNCTION("""COMPUTED_VALUE"""),0.0)</f>
        <v>0</v>
      </c>
      <c r="S190" s="213">
        <f>IFERROR(__xludf.DUMMYFUNCTION("""COMPUTED_VALUE"""),5.0)</f>
        <v>5</v>
      </c>
      <c r="T190" s="213">
        <f>IFERROR(__xludf.DUMMYFUNCTION("""COMPUTED_VALUE"""),42.0)</f>
        <v>42</v>
      </c>
      <c r="U190" s="213">
        <f>IFERROR(__xludf.DUMMYFUNCTION("""COMPUTED_VALUE"""),34196.0)</f>
        <v>34196</v>
      </c>
      <c r="V190" s="213" t="str">
        <f>IFERROR(__xludf.DUMMYFUNCTION("""COMPUTED_VALUE"""),"overall")</f>
        <v>overall</v>
      </c>
      <c r="W190" s="213" t="str">
        <f>IFERROR(__xludf.DUMMYFUNCTION("""COMPUTED_VALUE"""),"sms")</f>
        <v>sms</v>
      </c>
      <c r="X190" s="213" t="str">
        <f>IFERROR(__xludf.DUMMYFUNCTION("""COMPUTED_VALUE"""),"No Brief")</f>
        <v>No Brief</v>
      </c>
      <c r="Y190" s="213" t="str">
        <f>IFERROR(__xludf.DUMMYFUNCTION("""COMPUTED_VALUE"""),"8th - 10th May 2026 ")</f>
        <v>8th - 10th May 2026 </v>
      </c>
      <c r="Z190" s="213" t="str">
        <f>IFERROR(__xludf.DUMMYFUNCTION("""COMPUTED_VALUE"""),"69fed1d8440f850a6d59e608")</f>
        <v>69fed1d8440f850a6d59e608</v>
      </c>
      <c r="AA190" s="213">
        <f>IFERROR(__xludf.DUMMYFUNCTION("""COMPUTED_VALUE"""),14.0)</f>
        <v>14</v>
      </c>
      <c r="AB190" s="213">
        <f>IFERROR(__xludf.DUMMYFUNCTION("""COMPUTED_VALUE"""),14.0)</f>
        <v>14</v>
      </c>
      <c r="AC190" s="213">
        <f>IFERROR(__xludf.DUMMYFUNCTION("""COMPUTED_VALUE"""),0.0)</f>
        <v>0</v>
      </c>
      <c r="AD190" s="213">
        <f>IFERROR(__xludf.DUMMYFUNCTION("""COMPUTED_VALUE"""),102101.0)</f>
        <v>102101</v>
      </c>
      <c r="AE190" s="213">
        <f>IFERROR(__xludf.DUMMYFUNCTION("""COMPUTED_VALUE"""),102101.0)</f>
        <v>102101</v>
      </c>
      <c r="AF190" s="213">
        <f>IFERROR(__xludf.DUMMYFUNCTION("""COMPUTED_VALUE"""),0.0)</f>
        <v>0</v>
      </c>
      <c r="AG190" s="208"/>
      <c r="AH190" s="208"/>
      <c r="AI190" s="208"/>
      <c r="AJ190" s="208"/>
      <c r="AK190" s="208"/>
    </row>
    <row r="191">
      <c r="A191" s="209">
        <f>IFERROR(__xludf.DUMMYFUNCTION("""COMPUTED_VALUE"""),46185.0)</f>
        <v>46185</v>
      </c>
      <c r="B191" s="210">
        <f>IFERROR(__xludf.DUMMYFUNCTION("""COMPUTED_VALUE"""),0.375)</f>
        <v>0.375</v>
      </c>
      <c r="C191" s="211" t="str">
        <f>IFERROR(__xludf.DUMMYFUNCTION("""COMPUTED_VALUE"""),"Whatsapp")</f>
        <v>Whatsapp</v>
      </c>
      <c r="D191" s="211" t="str">
        <f>IFERROR(__xludf.DUMMYFUNCTION("""COMPUTED_VALUE"""),"Promotional")</f>
        <v>Promotional</v>
      </c>
      <c r="E191" s="211" t="str">
        <f>IFERROR(__xludf.DUMMYFUNCTION("""COMPUTED_VALUE"""),"Aldo")</f>
        <v>Aldo</v>
      </c>
      <c r="F191" s="211" t="str">
        <f>IFERROR(__xludf.DUMMYFUNCTION("""COMPUTED_VALUE"""),"ALDO_EOSS_JUNE-JULY 2026 - EOSS June &amp; July - Offer 30")</f>
        <v>ALDO_EOSS_JUNE-JULY 2026 - EOSS June &amp; July - Offer 30</v>
      </c>
      <c r="G191" s="211" t="str">
        <f>IFERROR(__xludf.DUMMYFUNCTION("""COMPUTED_VALUE"""),"Comm1_EOSS_12June2026")</f>
        <v>Comm1_EOSS_12June2026</v>
      </c>
      <c r="H191" s="212" t="str">
        <f>IFERROR(__xludf.DUMMYFUNCTION("""COMPUTED_VALUE"""),"AL_ON_ATC_90D")</f>
        <v>AL_ON_ATC_90D</v>
      </c>
      <c r="I191" s="212" t="str">
        <f>IFERROR(__xludf.DUMMYFUNCTION("""COMPUTED_VALUE"""),"Customers who have added to cart at least 2 times in the last 90 days")</f>
        <v>Customers who have added to cart at least 2 times in the last 90 days</v>
      </c>
      <c r="J191" s="213">
        <f>IFERROR(__xludf.DUMMYFUNCTION("""COMPUTED_VALUE"""),3402.0)</f>
        <v>3402</v>
      </c>
      <c r="K191" s="213">
        <f>IFERROR(__xludf.DUMMYFUNCTION("""COMPUTED_VALUE"""),1621.0)</f>
        <v>1621</v>
      </c>
      <c r="L191" s="214">
        <f>IFERROR(__xludf.DUMMYFUNCTION("""COMPUTED_VALUE"""),0.4762)</f>
        <v>0.4762</v>
      </c>
      <c r="M191" s="213">
        <f>IFERROR(__xludf.DUMMYFUNCTION("""COMPUTED_VALUE"""),805.0)</f>
        <v>805</v>
      </c>
      <c r="N191" s="214">
        <f>IFERROR(__xludf.DUMMYFUNCTION("""COMPUTED_VALUE"""),0.4951)</f>
        <v>0.4951</v>
      </c>
      <c r="O191" s="213">
        <f>IFERROR(__xludf.DUMMYFUNCTION("""COMPUTED_VALUE"""),132.0)</f>
        <v>132</v>
      </c>
      <c r="P191" s="213">
        <f>IFERROR(__xludf.DUMMYFUNCTION("""COMPUTED_VALUE"""),130.0)</f>
        <v>130</v>
      </c>
      <c r="Q191" s="214">
        <f>IFERROR(__xludf.DUMMYFUNCTION("""COMPUTED_VALUE"""),0.0802)</f>
        <v>0.0802</v>
      </c>
      <c r="R191" s="214">
        <f>IFERROR(__xludf.DUMMYFUNCTION("""COMPUTED_VALUE"""),0.1621)</f>
        <v>0.1621</v>
      </c>
      <c r="S191" s="213">
        <f>IFERROR(__xludf.DUMMYFUNCTION("""COMPUTED_VALUE"""),2.0)</f>
        <v>2</v>
      </c>
      <c r="T191" s="213">
        <f>IFERROR(__xludf.DUMMYFUNCTION("""COMPUTED_VALUE"""),0.0)</f>
        <v>0</v>
      </c>
      <c r="U191" s="213">
        <f>IFERROR(__xludf.DUMMYFUNCTION("""COMPUTED_VALUE"""),12498.0)</f>
        <v>12498</v>
      </c>
      <c r="V191" s="213" t="str">
        <f>IFERROR(__xludf.DUMMYFUNCTION("""COMPUTED_VALUE"""),"online")</f>
        <v>online</v>
      </c>
      <c r="W191" s="213" t="str">
        <f>IFERROR(__xludf.DUMMYFUNCTION("""COMPUTED_VALUE"""),"simple")</f>
        <v>simple</v>
      </c>
      <c r="X191" s="213" t="str">
        <f>IFERROR(__xludf.DUMMYFUNCTION("""COMPUTED_VALUE"""),"Add to Cart")</f>
        <v>Add to Cart</v>
      </c>
      <c r="Y191" s="213" t="str">
        <f>IFERROR(__xludf.DUMMYFUNCTION("""COMPUTED_VALUE"""),"14th June 2026, Sunday")</f>
        <v>14th June 2026, Sunday</v>
      </c>
      <c r="Z191" s="213" t="str">
        <f>IFERROR(__xludf.DUMMYFUNCTION("""COMPUTED_VALUE"""),"6a2ab1accddbecd12368f943")</f>
        <v>6a2ab1accddbecd12368f943</v>
      </c>
      <c r="AA191" s="213">
        <f>IFERROR(__xludf.DUMMYFUNCTION("""COMPUTED_VALUE"""),1.0)</f>
        <v>1</v>
      </c>
      <c r="AB191" s="213">
        <f>IFERROR(__xludf.DUMMYFUNCTION("""COMPUTED_VALUE"""),1.0)</f>
        <v>1</v>
      </c>
      <c r="AC191" s="213"/>
      <c r="AD191" s="213">
        <f>IFERROR(__xludf.DUMMYFUNCTION("""COMPUTED_VALUE"""),3959.0)</f>
        <v>3959</v>
      </c>
      <c r="AE191" s="213">
        <f>IFERROR(__xludf.DUMMYFUNCTION("""COMPUTED_VALUE"""),3959.0)</f>
        <v>3959</v>
      </c>
      <c r="AF191" s="213"/>
      <c r="AG191" s="208"/>
      <c r="AH191" s="208"/>
      <c r="AI191" s="208"/>
      <c r="AJ191" s="208"/>
      <c r="AK191" s="208"/>
    </row>
    <row r="192">
      <c r="A192" s="209">
        <f>IFERROR(__xludf.DUMMYFUNCTION("""COMPUTED_VALUE"""),46185.0)</f>
        <v>46185</v>
      </c>
      <c r="B192" s="210">
        <f>IFERROR(__xludf.DUMMYFUNCTION("""COMPUTED_VALUE"""),0.37847222222262644)</f>
        <v>0.3784722222</v>
      </c>
      <c r="C192" s="211" t="str">
        <f>IFERROR(__xludf.DUMMYFUNCTION("""COMPUTED_VALUE"""),"Whatsapp")</f>
        <v>Whatsapp</v>
      </c>
      <c r="D192" s="211" t="str">
        <f>IFERROR(__xludf.DUMMYFUNCTION("""COMPUTED_VALUE"""),"Promotional")</f>
        <v>Promotional</v>
      </c>
      <c r="E192" s="211" t="str">
        <f>IFERROR(__xludf.DUMMYFUNCTION("""COMPUTED_VALUE"""),"Aldo")</f>
        <v>Aldo</v>
      </c>
      <c r="F192" s="211" t="str">
        <f>IFERROR(__xludf.DUMMYFUNCTION("""COMPUTED_VALUE"""),"ALDO_EOSS_JUNE-JULY 2026 - EOSS June &amp; July - Offer 30")</f>
        <v>ALDO_EOSS_JUNE-JULY 2026 - EOSS June &amp; July - Offer 30</v>
      </c>
      <c r="G192" s="211" t="str">
        <f>IFERROR(__xludf.DUMMYFUNCTION("""COMPUTED_VALUE"""),"Comm2_EOSS_WA_12June2026")</f>
        <v>Comm2_EOSS_WA_12June2026</v>
      </c>
      <c r="H192" s="212" t="str">
        <f>IFERROR(__xludf.DUMMYFUNCTION("""COMPUTED_VALUE"""),"AL_ON_View_Item")</f>
        <v>AL_ON_View_Item</v>
      </c>
      <c r="I192" s="212" t="str">
        <f>IFERROR(__xludf.DUMMYFUNCTION("""COMPUTED_VALUE"""),"Customers who have added to wishlist at least 1 time OR viewed_item at least 3 times in the last 90 days")</f>
        <v>Customers who have added to wishlist at least 1 time OR viewed_item at least 3 times in the last 90 days</v>
      </c>
      <c r="J192" s="213">
        <f>IFERROR(__xludf.DUMMYFUNCTION("""COMPUTED_VALUE"""),417.0)</f>
        <v>417</v>
      </c>
      <c r="K192" s="213">
        <f>IFERROR(__xludf.DUMMYFUNCTION("""COMPUTED_VALUE"""),242.0)</f>
        <v>242</v>
      </c>
      <c r="L192" s="214">
        <f>IFERROR(__xludf.DUMMYFUNCTION("""COMPUTED_VALUE"""),0.5803)</f>
        <v>0.5803</v>
      </c>
      <c r="M192" s="213">
        <f>IFERROR(__xludf.DUMMYFUNCTION("""COMPUTED_VALUE"""),119.0)</f>
        <v>119</v>
      </c>
      <c r="N192" s="214">
        <f>IFERROR(__xludf.DUMMYFUNCTION("""COMPUTED_VALUE"""),0.4917)</f>
        <v>0.4917</v>
      </c>
      <c r="O192" s="213">
        <f>IFERROR(__xludf.DUMMYFUNCTION("""COMPUTED_VALUE"""),21.0)</f>
        <v>21</v>
      </c>
      <c r="P192" s="213">
        <f>IFERROR(__xludf.DUMMYFUNCTION("""COMPUTED_VALUE"""),19.0)</f>
        <v>19</v>
      </c>
      <c r="Q192" s="214">
        <f>IFERROR(__xludf.DUMMYFUNCTION("""COMPUTED_VALUE"""),0.0785)</f>
        <v>0.0785</v>
      </c>
      <c r="R192" s="214">
        <f>IFERROR(__xludf.DUMMYFUNCTION("""COMPUTED_VALUE"""),0.1597)</f>
        <v>0.1597</v>
      </c>
      <c r="S192" s="213">
        <f>IFERROR(__xludf.DUMMYFUNCTION("""COMPUTED_VALUE"""),0.0)</f>
        <v>0</v>
      </c>
      <c r="T192" s="213">
        <f>IFERROR(__xludf.DUMMYFUNCTION("""COMPUTED_VALUE"""),0.0)</f>
        <v>0</v>
      </c>
      <c r="U192" s="213">
        <f>IFERROR(__xludf.DUMMYFUNCTION("""COMPUTED_VALUE"""),0.0)</f>
        <v>0</v>
      </c>
      <c r="V192" s="213" t="str">
        <f>IFERROR(__xludf.DUMMYFUNCTION("""COMPUTED_VALUE"""),"online")</f>
        <v>online</v>
      </c>
      <c r="W192" s="213" t="str">
        <f>IFERROR(__xludf.DUMMYFUNCTION("""COMPUTED_VALUE"""),"simple")</f>
        <v>simple</v>
      </c>
      <c r="X192" s="213" t="str">
        <f>IFERROR(__xludf.DUMMYFUNCTION("""COMPUTED_VALUE"""),"View Item")</f>
        <v>View Item</v>
      </c>
      <c r="Y192" s="213" t="str">
        <f>IFERROR(__xludf.DUMMYFUNCTION("""COMPUTED_VALUE"""),"14th June 2026, Sunday")</f>
        <v>14th June 2026, Sunday</v>
      </c>
      <c r="Z192" s="213" t="str">
        <f>IFERROR(__xludf.DUMMYFUNCTION("""COMPUTED_VALUE"""),"6a2ab5352541169c12117241")</f>
        <v>6a2ab5352541169c12117241</v>
      </c>
      <c r="AA192" s="213">
        <f>IFERROR(__xludf.DUMMYFUNCTION("""COMPUTED_VALUE"""),0.0)</f>
        <v>0</v>
      </c>
      <c r="AB192" s="213">
        <f>IFERROR(__xludf.DUMMYFUNCTION("""COMPUTED_VALUE"""),0.0)</f>
        <v>0</v>
      </c>
      <c r="AC192" s="213"/>
      <c r="AD192" s="213">
        <f>IFERROR(__xludf.DUMMYFUNCTION("""COMPUTED_VALUE"""),0.0)</f>
        <v>0</v>
      </c>
      <c r="AE192" s="213">
        <f>IFERROR(__xludf.DUMMYFUNCTION("""COMPUTED_VALUE"""),0.0)</f>
        <v>0</v>
      </c>
      <c r="AF192" s="213"/>
      <c r="AG192" s="208"/>
      <c r="AH192" s="208"/>
      <c r="AI192" s="208"/>
      <c r="AJ192" s="208"/>
      <c r="AK192" s="208"/>
    </row>
    <row r="193">
      <c r="A193" s="209">
        <f>IFERROR(__xludf.DUMMYFUNCTION("""COMPUTED_VALUE"""),46185.0)</f>
        <v>46185</v>
      </c>
      <c r="B193" s="210">
        <f>IFERROR(__xludf.DUMMYFUNCTION("""COMPUTED_VALUE"""),0.3819444444452529)</f>
        <v>0.3819444444</v>
      </c>
      <c r="C193" s="211" t="str">
        <f>IFERROR(__xludf.DUMMYFUNCTION("""COMPUTED_VALUE"""),"Whatsapp")</f>
        <v>Whatsapp</v>
      </c>
      <c r="D193" s="211" t="str">
        <f>IFERROR(__xludf.DUMMYFUNCTION("""COMPUTED_VALUE"""),"Promotional")</f>
        <v>Promotional</v>
      </c>
      <c r="E193" s="211" t="str">
        <f>IFERROR(__xludf.DUMMYFUNCTION("""COMPUTED_VALUE"""),"Aldo")</f>
        <v>Aldo</v>
      </c>
      <c r="F193" s="211" t="str">
        <f>IFERROR(__xludf.DUMMYFUNCTION("""COMPUTED_VALUE"""),"ALDO_EOSS_JUNE-JULY 2026 - EOSS June &amp; July - Offer 30")</f>
        <v>ALDO_EOSS_JUNE-JULY 2026 - EOSS June &amp; July - Offer 30</v>
      </c>
      <c r="G193" s="211" t="str">
        <f>IFERROR(__xludf.DUMMYFUNCTION("""COMPUTED_VALUE"""),"Comm3_EOSS_WA_12thJune2026")</f>
        <v>Comm3_EOSS_WA_12thJune2026</v>
      </c>
      <c r="H193" s="212" t="str">
        <f>IFERROR(__xludf.DUMMYFUNCTION("""COMPUTED_VALUE"""),"AL_ON_OFF_Event_Buyers_EOSS")</f>
        <v>AL_ON_OFF_Event_Buyers_EOSS</v>
      </c>
      <c r="I193" s="212" t="str">
        <f>IFERROR(__xludf.DUMMYFUNCTION("""COMPUTED_VALUE"""),"Customers who have purchased at least 1 time during the periods 30 April–4 May 2025, 20–29 June 2025, 19–22 July 2025, 25 November–5 December 2025, 12–19 December 2025, 25 December 2025–5 January 2026, or 30 April–4 May 2026. (EOSS, BOGO, Last year BF)")</f>
        <v>Customers who have purchased at least 1 time during the periods 30 April–4 May 2025, 20–29 June 2025, 19–22 July 2025, 25 November–5 December 2025, 12–19 December 2025, 25 December 2025–5 January 2026, or 30 April–4 May 2026. (EOSS, BOGO, Last year BF)</v>
      </c>
      <c r="J193" s="213">
        <f>IFERROR(__xludf.DUMMYFUNCTION("""COMPUTED_VALUE"""),61153.0)</f>
        <v>61153</v>
      </c>
      <c r="K193" s="213">
        <f>IFERROR(__xludf.DUMMYFUNCTION("""COMPUTED_VALUE"""),32154.0)</f>
        <v>32154</v>
      </c>
      <c r="L193" s="214">
        <f>IFERROR(__xludf.DUMMYFUNCTION("""COMPUTED_VALUE"""),0.5255)</f>
        <v>0.5255</v>
      </c>
      <c r="M193" s="213">
        <f>IFERROR(__xludf.DUMMYFUNCTION("""COMPUTED_VALUE"""),13348.0)</f>
        <v>13348</v>
      </c>
      <c r="N193" s="214">
        <f>IFERROR(__xludf.DUMMYFUNCTION("""COMPUTED_VALUE"""),0.414)</f>
        <v>0.414</v>
      </c>
      <c r="O193" s="213">
        <f>IFERROR(__xludf.DUMMYFUNCTION("""COMPUTED_VALUE"""),2455.0)</f>
        <v>2455</v>
      </c>
      <c r="P193" s="213">
        <f>IFERROR(__xludf.DUMMYFUNCTION("""COMPUTED_VALUE"""),2279.0)</f>
        <v>2279</v>
      </c>
      <c r="Q193" s="214">
        <f>IFERROR(__xludf.DUMMYFUNCTION("""COMPUTED_VALUE"""),0.0709)</f>
        <v>0.0709</v>
      </c>
      <c r="R193" s="214">
        <f>IFERROR(__xludf.DUMMYFUNCTION("""COMPUTED_VALUE"""),0.1713)</f>
        <v>0.1713</v>
      </c>
      <c r="S193" s="213">
        <f>IFERROR(__xludf.DUMMYFUNCTION("""COMPUTED_VALUE"""),9.0)</f>
        <v>9</v>
      </c>
      <c r="T193" s="213">
        <f>IFERROR(__xludf.DUMMYFUNCTION("""COMPUTED_VALUE"""),0.0)</f>
        <v>0</v>
      </c>
      <c r="U193" s="213">
        <f>IFERROR(__xludf.DUMMYFUNCTION("""COMPUTED_VALUE"""),50728.0)</f>
        <v>50728</v>
      </c>
      <c r="V193" s="213" t="str">
        <f>IFERROR(__xludf.DUMMYFUNCTION("""COMPUTED_VALUE"""),"overall")</f>
        <v>overall</v>
      </c>
      <c r="W193" s="213" t="str">
        <f>IFERROR(__xludf.DUMMYFUNCTION("""COMPUTED_VALUE"""),"simple")</f>
        <v>simple</v>
      </c>
      <c r="X193" s="213" t="str">
        <f>IFERROR(__xludf.DUMMYFUNCTION("""COMPUTED_VALUE"""),"Event Buyers")</f>
        <v>Event Buyers</v>
      </c>
      <c r="Y193" s="213" t="str">
        <f>IFERROR(__xludf.DUMMYFUNCTION("""COMPUTED_VALUE"""),"14th June 2026, Sunday")</f>
        <v>14th June 2026, Sunday</v>
      </c>
      <c r="Z193" s="213" t="str">
        <f>IFERROR(__xludf.DUMMYFUNCTION("""COMPUTED_VALUE"""),"6a2ab60f8505025763393105")</f>
        <v>6a2ab60f8505025763393105</v>
      </c>
      <c r="AA193" s="213">
        <f>IFERROR(__xludf.DUMMYFUNCTION("""COMPUTED_VALUE"""),29.0)</f>
        <v>29</v>
      </c>
      <c r="AB193" s="213">
        <f>IFERROR(__xludf.DUMMYFUNCTION("""COMPUTED_VALUE"""),3.0)</f>
        <v>3</v>
      </c>
      <c r="AC193" s="213">
        <f>IFERROR(__xludf.DUMMYFUNCTION("""COMPUTED_VALUE"""),26.0)</f>
        <v>26</v>
      </c>
      <c r="AD193" s="213">
        <f>IFERROR(__xludf.DUMMYFUNCTION("""COMPUTED_VALUE"""),309920.0)</f>
        <v>309920</v>
      </c>
      <c r="AE193" s="213">
        <f>IFERROR(__xludf.DUMMYFUNCTION("""COMPUTED_VALUE"""),15048.0)</f>
        <v>15048</v>
      </c>
      <c r="AF193" s="213">
        <f>IFERROR(__xludf.DUMMYFUNCTION("""COMPUTED_VALUE"""),294872.0)</f>
        <v>294872</v>
      </c>
      <c r="AG193" s="208"/>
      <c r="AH193" s="208"/>
      <c r="AI193" s="208"/>
      <c r="AJ193" s="208"/>
      <c r="AK193" s="208"/>
    </row>
    <row r="194">
      <c r="A194" s="209">
        <f>IFERROR(__xludf.DUMMYFUNCTION("""COMPUTED_VALUE"""),46185.0)</f>
        <v>46185</v>
      </c>
      <c r="B194" s="210">
        <f>IFERROR(__xludf.DUMMYFUNCTION("""COMPUTED_VALUE"""),0.3854166666678793)</f>
        <v>0.3854166667</v>
      </c>
      <c r="C194" s="211" t="str">
        <f>IFERROR(__xludf.DUMMYFUNCTION("""COMPUTED_VALUE"""),"Whatsapp")</f>
        <v>Whatsapp</v>
      </c>
      <c r="D194" s="211" t="str">
        <f>IFERROR(__xludf.DUMMYFUNCTION("""COMPUTED_VALUE"""),"Promotional")</f>
        <v>Promotional</v>
      </c>
      <c r="E194" s="211" t="str">
        <f>IFERROR(__xludf.DUMMYFUNCTION("""COMPUTED_VALUE"""),"Aldo")</f>
        <v>Aldo</v>
      </c>
      <c r="F194" s="211" t="str">
        <f>IFERROR(__xludf.DUMMYFUNCTION("""COMPUTED_VALUE"""),"ALDO_EOSS_JUNE-JULY 2026 - EOSS June &amp; July - Offer 30")</f>
        <v>ALDO_EOSS_JUNE-JULY 2026 - EOSS June &amp; July - Offer 30</v>
      </c>
      <c r="G194" s="211" t="str">
        <f>IFERROR(__xludf.DUMMYFUNCTION("""COMPUTED_VALUE"""),"Comm4_EOSS_WA_12thJune2026")</f>
        <v>Comm4_EOSS_WA_12thJune2026</v>
      </c>
      <c r="H194" s="212" t="str">
        <f>IFERROR(__xludf.DUMMYFUNCTION("""COMPUTED_VALUE"""),"AL_ON_OFF_DISC_PERC_30+")</f>
        <v>AL_ON_OFF_DISC_PERC_30+</v>
      </c>
      <c r="I194" s="212" t="str">
        <f>IFERROR(__xludf.DUMMYFUNCTION("""COMPUTED_VALUE"""),"Customers who have purchased at least 1 time with discount percentage exceeding 30% in the last 365 days")</f>
        <v>Customers who have purchased at least 1 time with discount percentage exceeding 30% in the last 365 days</v>
      </c>
      <c r="J194" s="213">
        <f>IFERROR(__xludf.DUMMYFUNCTION("""COMPUTED_VALUE"""),12552.0)</f>
        <v>12552</v>
      </c>
      <c r="K194" s="213">
        <f>IFERROR(__xludf.DUMMYFUNCTION("""COMPUTED_VALUE"""),6482.0)</f>
        <v>6482</v>
      </c>
      <c r="L194" s="214">
        <f>IFERROR(__xludf.DUMMYFUNCTION("""COMPUTED_VALUE"""),0.5161)</f>
        <v>0.5161</v>
      </c>
      <c r="M194" s="213">
        <f>IFERROR(__xludf.DUMMYFUNCTION("""COMPUTED_VALUE"""),2555.0)</f>
        <v>2555</v>
      </c>
      <c r="N194" s="214">
        <f>IFERROR(__xludf.DUMMYFUNCTION("""COMPUTED_VALUE"""),0.3923)</f>
        <v>0.3923</v>
      </c>
      <c r="O194" s="213">
        <f>IFERROR(__xludf.DUMMYFUNCTION("""COMPUTED_VALUE"""),592.0)</f>
        <v>592</v>
      </c>
      <c r="P194" s="213">
        <f>IFERROR(__xludf.DUMMYFUNCTION("""COMPUTED_VALUE"""),554.0)</f>
        <v>554</v>
      </c>
      <c r="Q194" s="214">
        <f>IFERROR(__xludf.DUMMYFUNCTION("""COMPUTED_VALUE"""),0.0855)</f>
        <v>0.0855</v>
      </c>
      <c r="R194" s="214">
        <f>IFERROR(__xludf.DUMMYFUNCTION("""COMPUTED_VALUE"""),0.218)</f>
        <v>0.218</v>
      </c>
      <c r="S194" s="213">
        <f>IFERROR(__xludf.DUMMYFUNCTION("""COMPUTED_VALUE"""),11.0)</f>
        <v>11</v>
      </c>
      <c r="T194" s="213">
        <f>IFERROR(__xludf.DUMMYFUNCTION("""COMPUTED_VALUE"""),0.0)</f>
        <v>0</v>
      </c>
      <c r="U194" s="213">
        <f>IFERROR(__xludf.DUMMYFUNCTION("""COMPUTED_VALUE"""),68196.0)</f>
        <v>68196</v>
      </c>
      <c r="V194" s="213" t="str">
        <f>IFERROR(__xludf.DUMMYFUNCTION("""COMPUTED_VALUE"""),"overall")</f>
        <v>overall</v>
      </c>
      <c r="W194" s="213" t="str">
        <f>IFERROR(__xludf.DUMMYFUNCTION("""COMPUTED_VALUE"""),"simple")</f>
        <v>simple</v>
      </c>
      <c r="X194" s="213" t="str">
        <f>IFERROR(__xludf.DUMMYFUNCTION("""COMPUTED_VALUE"""),"Discount Buyers - 30% above")</f>
        <v>Discount Buyers - 30% above</v>
      </c>
      <c r="Y194" s="213" t="str">
        <f>IFERROR(__xludf.DUMMYFUNCTION("""COMPUTED_VALUE"""),"14th June 2026, Sunday")</f>
        <v>14th June 2026, Sunday</v>
      </c>
      <c r="Z194" s="213" t="str">
        <f>IFERROR(__xludf.DUMMYFUNCTION("""COMPUTED_VALUE"""),"6a2ab6e43b9b8778499ff622")</f>
        <v>6a2ab6e43b9b8778499ff622</v>
      </c>
      <c r="AA194" s="213">
        <f>IFERROR(__xludf.DUMMYFUNCTION("""COMPUTED_VALUE"""),6.0)</f>
        <v>6</v>
      </c>
      <c r="AB194" s="213">
        <f>IFERROR(__xludf.DUMMYFUNCTION("""COMPUTED_VALUE"""),4.0)</f>
        <v>4</v>
      </c>
      <c r="AC194" s="213">
        <f>IFERROR(__xludf.DUMMYFUNCTION("""COMPUTED_VALUE"""),2.0)</f>
        <v>2</v>
      </c>
      <c r="AD194" s="213">
        <f>IFERROR(__xludf.DUMMYFUNCTION("""COMPUTED_VALUE"""),52510.0)</f>
        <v>52510</v>
      </c>
      <c r="AE194" s="213">
        <f>IFERROR(__xludf.DUMMYFUNCTION("""COMPUTED_VALUE"""),39930.0)</f>
        <v>39930</v>
      </c>
      <c r="AF194" s="213">
        <f>IFERROR(__xludf.DUMMYFUNCTION("""COMPUTED_VALUE"""),12580.0)</f>
        <v>12580</v>
      </c>
      <c r="AG194" s="208"/>
      <c r="AH194" s="208"/>
      <c r="AI194" s="208"/>
      <c r="AJ194" s="208"/>
      <c r="AK194" s="208"/>
    </row>
    <row r="195">
      <c r="A195" s="209">
        <f>IFERROR(__xludf.DUMMYFUNCTION("""COMPUTED_VALUE"""),46185.0)</f>
        <v>46185</v>
      </c>
      <c r="B195" s="210">
        <f>IFERROR(__xludf.DUMMYFUNCTION("""COMPUTED_VALUE"""),0.38888888889050577)</f>
        <v>0.3888888889</v>
      </c>
      <c r="C195" s="211" t="str">
        <f>IFERROR(__xludf.DUMMYFUNCTION("""COMPUTED_VALUE"""),"Whatsapp")</f>
        <v>Whatsapp</v>
      </c>
      <c r="D195" s="211" t="str">
        <f>IFERROR(__xludf.DUMMYFUNCTION("""COMPUTED_VALUE"""),"Promotional")</f>
        <v>Promotional</v>
      </c>
      <c r="E195" s="211" t="str">
        <f>IFERROR(__xludf.DUMMYFUNCTION("""COMPUTED_VALUE"""),"Aldo")</f>
        <v>Aldo</v>
      </c>
      <c r="F195" s="211" t="str">
        <f>IFERROR(__xludf.DUMMYFUNCTION("""COMPUTED_VALUE"""),"ALDO_EOSS_JUNE-JULY 2026 - EOSS June &amp; July - Offer 30")</f>
        <v>ALDO_EOSS_JUNE-JULY 2026 - EOSS June &amp; July - Offer 30</v>
      </c>
      <c r="G195" s="211" t="str">
        <f>IFERROR(__xludf.DUMMYFUNCTION("""COMPUTED_VALUE"""),"DIC_RPT_Comm4_EOSS_WA_12thJune2026")</f>
        <v>DIC_RPT_Comm4_EOSS_WA_12thJune2026</v>
      </c>
      <c r="H195" s="212" t="str">
        <f>IFERROR(__xludf.DUMMYFUNCTION("""COMPUTED_VALUE"""),"AL_ON_OFF_DISC_RPT")</f>
        <v>AL_ON_OFF_DISC_RPT</v>
      </c>
      <c r="I195" s="212" t="str">
        <f>IFERROR(__xludf.DUMMYFUNCTION("""COMPUTED_VALUE"""),"Customers who have purchased at least 2 times with discount in the last 365 days")</f>
        <v>Customers who have purchased at least 2 times with discount in the last 365 days</v>
      </c>
      <c r="J195" s="213">
        <f>IFERROR(__xludf.DUMMYFUNCTION("""COMPUTED_VALUE"""),8121.0)</f>
        <v>8121</v>
      </c>
      <c r="K195" s="213">
        <f>IFERROR(__xludf.DUMMYFUNCTION("""COMPUTED_VALUE"""),4078.0)</f>
        <v>4078</v>
      </c>
      <c r="L195" s="214">
        <f>IFERROR(__xludf.DUMMYFUNCTION("""COMPUTED_VALUE"""),0.5018)</f>
        <v>0.5018</v>
      </c>
      <c r="M195" s="213">
        <f>IFERROR(__xludf.DUMMYFUNCTION("""COMPUTED_VALUE"""),1709.0)</f>
        <v>1709</v>
      </c>
      <c r="N195" s="214">
        <f>IFERROR(__xludf.DUMMYFUNCTION("""COMPUTED_VALUE"""),0.4182)</f>
        <v>0.4182</v>
      </c>
      <c r="O195" s="213">
        <f>IFERROR(__xludf.DUMMYFUNCTION("""COMPUTED_VALUE"""),313.0)</f>
        <v>313</v>
      </c>
      <c r="P195" s="213">
        <f>IFERROR(__xludf.DUMMYFUNCTION("""COMPUTED_VALUE"""),292.0)</f>
        <v>292</v>
      </c>
      <c r="Q195" s="214">
        <f>IFERROR(__xludf.DUMMYFUNCTION("""COMPUTED_VALUE"""),0.0717)</f>
        <v>0.0717</v>
      </c>
      <c r="R195" s="214">
        <f>IFERROR(__xludf.DUMMYFUNCTION("""COMPUTED_VALUE"""),0.1714)</f>
        <v>0.1714</v>
      </c>
      <c r="S195" s="213">
        <f>IFERROR(__xludf.DUMMYFUNCTION("""COMPUTED_VALUE"""),1.0)</f>
        <v>1</v>
      </c>
      <c r="T195" s="213">
        <f>IFERROR(__xludf.DUMMYFUNCTION("""COMPUTED_VALUE"""),0.0)</f>
        <v>0</v>
      </c>
      <c r="U195" s="213">
        <f>IFERROR(__xludf.DUMMYFUNCTION("""COMPUTED_VALUE"""),33097.0)</f>
        <v>33097</v>
      </c>
      <c r="V195" s="213" t="str">
        <f>IFERROR(__xludf.DUMMYFUNCTION("""COMPUTED_VALUE"""),"overall")</f>
        <v>overall</v>
      </c>
      <c r="W195" s="213" t="str">
        <f>IFERROR(__xludf.DUMMYFUNCTION("""COMPUTED_VALUE"""),"simple")</f>
        <v>simple</v>
      </c>
      <c r="X195" s="213" t="str">
        <f>IFERROR(__xludf.DUMMYFUNCTION("""COMPUTED_VALUE"""),"Discount Repeat Buyers")</f>
        <v>Discount Repeat Buyers</v>
      </c>
      <c r="Y195" s="213" t="str">
        <f>IFERROR(__xludf.DUMMYFUNCTION("""COMPUTED_VALUE"""),"14th June 2026, Sunday")</f>
        <v>14th June 2026, Sunday</v>
      </c>
      <c r="Z195" s="213" t="str">
        <f>IFERROR(__xludf.DUMMYFUNCTION("""COMPUTED_VALUE"""),"6a2ab7c0537b85be484b37fe")</f>
        <v>6a2ab7c0537b85be484b37fe</v>
      </c>
      <c r="AA195" s="213">
        <f>IFERROR(__xludf.DUMMYFUNCTION("""COMPUTED_VALUE"""),9.0)</f>
        <v>9</v>
      </c>
      <c r="AB195" s="213">
        <f>IFERROR(__xludf.DUMMYFUNCTION("""COMPUTED_VALUE"""),0.0)</f>
        <v>0</v>
      </c>
      <c r="AC195" s="213">
        <f>IFERROR(__xludf.DUMMYFUNCTION("""COMPUTED_VALUE"""),9.0)</f>
        <v>9</v>
      </c>
      <c r="AD195" s="213">
        <f>IFERROR(__xludf.DUMMYFUNCTION("""COMPUTED_VALUE"""),128299.0)</f>
        <v>128299</v>
      </c>
      <c r="AE195" s="213">
        <f>IFERROR(__xludf.DUMMYFUNCTION("""COMPUTED_VALUE"""),0.0)</f>
        <v>0</v>
      </c>
      <c r="AF195" s="213">
        <f>IFERROR(__xludf.DUMMYFUNCTION("""COMPUTED_VALUE"""),128299.0)</f>
        <v>128299</v>
      </c>
      <c r="AG195" s="208"/>
      <c r="AH195" s="208"/>
      <c r="AI195" s="208"/>
      <c r="AJ195" s="208"/>
      <c r="AK195" s="208"/>
    </row>
    <row r="196">
      <c r="A196" s="209">
        <f>IFERROR(__xludf.DUMMYFUNCTION("""COMPUTED_VALUE"""),46185.0)</f>
        <v>46185</v>
      </c>
      <c r="B196" s="210">
        <f>IFERROR(__xludf.DUMMYFUNCTION("""COMPUTED_VALUE"""),0.39236111110949423)</f>
        <v>0.3923611111</v>
      </c>
      <c r="C196" s="211" t="str">
        <f>IFERROR(__xludf.DUMMYFUNCTION("""COMPUTED_VALUE"""),"Whatsapp")</f>
        <v>Whatsapp</v>
      </c>
      <c r="D196" s="211" t="str">
        <f>IFERROR(__xludf.DUMMYFUNCTION("""COMPUTED_VALUE"""),"Promotional")</f>
        <v>Promotional</v>
      </c>
      <c r="E196" s="211" t="str">
        <f>IFERROR(__xludf.DUMMYFUNCTION("""COMPUTED_VALUE"""),"Aldo")</f>
        <v>Aldo</v>
      </c>
      <c r="F196" s="211" t="str">
        <f>IFERROR(__xludf.DUMMYFUNCTION("""COMPUTED_VALUE"""),"ALDO_EOSS_JUNE-JULY 2026 - EOSS June &amp; July - Offer 30")</f>
        <v>ALDO_EOSS_JUNE-JULY 2026 - EOSS June &amp; July - Offer 30</v>
      </c>
      <c r="G196" s="211" t="str">
        <f>IFERROR(__xludf.DUMMYFUNCTION("""COMPUTED_VALUE"""),"AL_Repeat_Comm4_EOSS_WA_12thJune2026")</f>
        <v>AL_Repeat_Comm4_EOSS_WA_12thJune2026</v>
      </c>
      <c r="H196" s="212" t="str">
        <f>IFERROR(__xludf.DUMMYFUNCTION("""COMPUTED_VALUE"""),"AL_ON_OFF_Repeat_1Year")</f>
        <v>AL_ON_OFF_Repeat_1Year</v>
      </c>
      <c r="I196" s="212" t="str">
        <f>IFERROR(__xludf.DUMMYFUNCTION("""COMPUTED_VALUE"""),"Customers who have purchased at least 2 times in the last 365 days")</f>
        <v>Customers who have purchased at least 2 times in the last 365 days</v>
      </c>
      <c r="J196" s="213">
        <f>IFERROR(__xludf.DUMMYFUNCTION("""COMPUTED_VALUE"""),4619.0)</f>
        <v>4619</v>
      </c>
      <c r="K196" s="213">
        <f>IFERROR(__xludf.DUMMYFUNCTION("""COMPUTED_VALUE"""),2327.0)</f>
        <v>2327</v>
      </c>
      <c r="L196" s="214">
        <f>IFERROR(__xludf.DUMMYFUNCTION("""COMPUTED_VALUE"""),0.5028)</f>
        <v>0.5028</v>
      </c>
      <c r="M196" s="213">
        <f>IFERROR(__xludf.DUMMYFUNCTION("""COMPUTED_VALUE"""),949.0)</f>
        <v>949</v>
      </c>
      <c r="N196" s="214">
        <f>IFERROR(__xludf.DUMMYFUNCTION("""COMPUTED_VALUE"""),0.4065)</f>
        <v>0.4065</v>
      </c>
      <c r="O196" s="213">
        <f>IFERROR(__xludf.DUMMYFUNCTION("""COMPUTED_VALUE"""),141.0)</f>
        <v>141</v>
      </c>
      <c r="P196" s="213">
        <f>IFERROR(__xludf.DUMMYFUNCTION("""COMPUTED_VALUE"""),132.0)</f>
        <v>132</v>
      </c>
      <c r="Q196" s="214">
        <f>IFERROR(__xludf.DUMMYFUNCTION("""COMPUTED_VALUE"""),0.0568)</f>
        <v>0.0568</v>
      </c>
      <c r="R196" s="214">
        <f>IFERROR(__xludf.DUMMYFUNCTION("""COMPUTED_VALUE"""),0.1398)</f>
        <v>0.1398</v>
      </c>
      <c r="S196" s="213">
        <f>IFERROR(__xludf.DUMMYFUNCTION("""COMPUTED_VALUE"""),0.0)</f>
        <v>0</v>
      </c>
      <c r="T196" s="213">
        <f>IFERROR(__xludf.DUMMYFUNCTION("""COMPUTED_VALUE"""),0.0)</f>
        <v>0</v>
      </c>
      <c r="U196" s="213">
        <f>IFERROR(__xludf.DUMMYFUNCTION("""COMPUTED_VALUE"""),0.0)</f>
        <v>0</v>
      </c>
      <c r="V196" s="213" t="str">
        <f>IFERROR(__xludf.DUMMYFUNCTION("""COMPUTED_VALUE"""),"overall")</f>
        <v>overall</v>
      </c>
      <c r="W196" s="213" t="str">
        <f>IFERROR(__xludf.DUMMYFUNCTION("""COMPUTED_VALUE"""),"simple")</f>
        <v>simple</v>
      </c>
      <c r="X196" s="213" t="str">
        <f>IFERROR(__xludf.DUMMYFUNCTION("""COMPUTED_VALUE"""),"Repeat")</f>
        <v>Repeat</v>
      </c>
      <c r="Y196" s="213" t="str">
        <f>IFERROR(__xludf.DUMMYFUNCTION("""COMPUTED_VALUE"""),"14th June 2026, Sunday")</f>
        <v>14th June 2026, Sunday</v>
      </c>
      <c r="Z196" s="213" t="str">
        <f>IFERROR(__xludf.DUMMYFUNCTION("""COMPUTED_VALUE"""),"6a2ab8078505025763393131")</f>
        <v>6a2ab8078505025763393131</v>
      </c>
      <c r="AA196" s="213">
        <f>IFERROR(__xludf.DUMMYFUNCTION("""COMPUTED_VALUE"""),1.0)</f>
        <v>1</v>
      </c>
      <c r="AB196" s="213">
        <f>IFERROR(__xludf.DUMMYFUNCTION("""COMPUTED_VALUE"""),0.0)</f>
        <v>0</v>
      </c>
      <c r="AC196" s="213">
        <f>IFERROR(__xludf.DUMMYFUNCTION("""COMPUTED_VALUE"""),1.0)</f>
        <v>1</v>
      </c>
      <c r="AD196" s="213">
        <f>IFERROR(__xludf.DUMMYFUNCTION("""COMPUTED_VALUE"""),21999.0)</f>
        <v>21999</v>
      </c>
      <c r="AE196" s="213">
        <f>IFERROR(__xludf.DUMMYFUNCTION("""COMPUTED_VALUE"""),0.0)</f>
        <v>0</v>
      </c>
      <c r="AF196" s="213">
        <f>IFERROR(__xludf.DUMMYFUNCTION("""COMPUTED_VALUE"""),21999.0)</f>
        <v>21999</v>
      </c>
      <c r="AG196" s="208"/>
      <c r="AH196" s="208"/>
      <c r="AI196" s="208"/>
      <c r="AJ196" s="208"/>
      <c r="AK196" s="208"/>
    </row>
    <row r="197">
      <c r="A197" s="209">
        <f>IFERROR(__xludf.DUMMYFUNCTION("""COMPUTED_VALUE"""),46185.0)</f>
        <v>46185</v>
      </c>
      <c r="B197" s="210">
        <f>IFERROR(__xludf.DUMMYFUNCTION("""COMPUTED_VALUE"""),0.3958333333321207)</f>
        <v>0.3958333333</v>
      </c>
      <c r="C197" s="211" t="str">
        <f>IFERROR(__xludf.DUMMYFUNCTION("""COMPUTED_VALUE"""),"Whatsapp")</f>
        <v>Whatsapp</v>
      </c>
      <c r="D197" s="211" t="str">
        <f>IFERROR(__xludf.DUMMYFUNCTION("""COMPUTED_VALUE"""),"Promotional")</f>
        <v>Promotional</v>
      </c>
      <c r="E197" s="211" t="str">
        <f>IFERROR(__xludf.DUMMYFUNCTION("""COMPUTED_VALUE"""),"Aldo")</f>
        <v>Aldo</v>
      </c>
      <c r="F197" s="211" t="str">
        <f>IFERROR(__xludf.DUMMYFUNCTION("""COMPUTED_VALUE"""),"ALDO_EOSS_JUNE-JULY 2026 - EOSS June &amp; July - Offer 30")</f>
        <v>ALDO_EOSS_JUNE-JULY 2026 - EOSS June &amp; July - Offer 30</v>
      </c>
      <c r="G197" s="211" t="str">
        <f>IFERROR(__xludf.DUMMYFUNCTION("""COMPUTED_VALUE"""),"Dormant_Comm5_EOSS_WA12June2026")</f>
        <v>Dormant_Comm5_EOSS_WA12June2026</v>
      </c>
      <c r="H197" s="212" t="str">
        <f>IFERROR(__xludf.DUMMYFUNCTION("""COMPUTED_VALUE"""),"AL_ON_OFF_Dormant_EOSS")</f>
        <v>AL_ON_OFF_Dormant_EOSS</v>
      </c>
      <c r="I197" s="212" t="str">
        <f>IFERROR(__xludf.DUMMYFUNCTION("""COMPUTED_VALUE"""),"Customers who have purchased at least 1 time in the last 365 days")</f>
        <v>Customers who have purchased at least 1 time in the last 365 days</v>
      </c>
      <c r="J197" s="213">
        <f>IFERROR(__xludf.DUMMYFUNCTION("""COMPUTED_VALUE"""),51476.0)</f>
        <v>51476</v>
      </c>
      <c r="K197" s="213">
        <f>IFERROR(__xludf.DUMMYFUNCTION("""COMPUTED_VALUE"""),27333.0)</f>
        <v>27333</v>
      </c>
      <c r="L197" s="214">
        <f>IFERROR(__xludf.DUMMYFUNCTION("""COMPUTED_VALUE"""),0.5306)</f>
        <v>0.5306</v>
      </c>
      <c r="M197" s="213">
        <f>IFERROR(__xludf.DUMMYFUNCTION("""COMPUTED_VALUE"""),11209.0)</f>
        <v>11209</v>
      </c>
      <c r="N197" s="214">
        <f>IFERROR(__xludf.DUMMYFUNCTION("""COMPUTED_VALUE"""),0.409)</f>
        <v>0.409</v>
      </c>
      <c r="O197" s="213">
        <f>IFERROR(__xludf.DUMMYFUNCTION("""COMPUTED_VALUE"""),1609.0)</f>
        <v>1609</v>
      </c>
      <c r="P197" s="213">
        <f>IFERROR(__xludf.DUMMYFUNCTION("""COMPUTED_VALUE"""),1501.0)</f>
        <v>1501</v>
      </c>
      <c r="Q197" s="214">
        <f>IFERROR(__xludf.DUMMYFUNCTION("""COMPUTED_VALUE"""),0.055)</f>
        <v>0.055</v>
      </c>
      <c r="R197" s="214">
        <f>IFERROR(__xludf.DUMMYFUNCTION("""COMPUTED_VALUE"""),0.1344)</f>
        <v>0.1344</v>
      </c>
      <c r="S197" s="213">
        <f>IFERROR(__xludf.DUMMYFUNCTION("""COMPUTED_VALUE"""),30.0)</f>
        <v>30</v>
      </c>
      <c r="T197" s="213">
        <f>IFERROR(__xludf.DUMMYFUNCTION("""COMPUTED_VALUE"""),0.0)</f>
        <v>0</v>
      </c>
      <c r="U197" s="213">
        <f>IFERROR(__xludf.DUMMYFUNCTION("""COMPUTED_VALUE"""),333718.0)</f>
        <v>333718</v>
      </c>
      <c r="V197" s="213" t="str">
        <f>IFERROR(__xludf.DUMMYFUNCTION("""COMPUTED_VALUE"""),"overall")</f>
        <v>overall</v>
      </c>
      <c r="W197" s="213" t="str">
        <f>IFERROR(__xludf.DUMMYFUNCTION("""COMPUTED_VALUE"""),"simple")</f>
        <v>simple</v>
      </c>
      <c r="X197" s="213" t="str">
        <f>IFERROR(__xludf.DUMMYFUNCTION("""COMPUTED_VALUE"""),"Dormant")</f>
        <v>Dormant</v>
      </c>
      <c r="Y197" s="213" t="str">
        <f>IFERROR(__xludf.DUMMYFUNCTION("""COMPUTED_VALUE"""),"14th June 2026, Sunday")</f>
        <v>14th June 2026, Sunday</v>
      </c>
      <c r="Z197" s="213" t="str">
        <f>IFERROR(__xludf.DUMMYFUNCTION("""COMPUTED_VALUE"""),"6a2ab860c889bd1a3445edd1")</f>
        <v>6a2ab860c889bd1a3445edd1</v>
      </c>
      <c r="AA197" s="213">
        <f>IFERROR(__xludf.DUMMYFUNCTION("""COMPUTED_VALUE"""),14.0)</f>
        <v>14</v>
      </c>
      <c r="AB197" s="213">
        <f>IFERROR(__xludf.DUMMYFUNCTION("""COMPUTED_VALUE"""),1.0)</f>
        <v>1</v>
      </c>
      <c r="AC197" s="213">
        <f>IFERROR(__xludf.DUMMYFUNCTION("""COMPUTED_VALUE"""),13.0)</f>
        <v>13</v>
      </c>
      <c r="AD197" s="213">
        <f>IFERROR(__xludf.DUMMYFUNCTION("""COMPUTED_VALUE"""),147848.0)</f>
        <v>147848</v>
      </c>
      <c r="AE197" s="213">
        <f>IFERROR(__xludf.DUMMYFUNCTION("""COMPUTED_VALUE"""),1200.0)</f>
        <v>1200</v>
      </c>
      <c r="AF197" s="213">
        <f>IFERROR(__xludf.DUMMYFUNCTION("""COMPUTED_VALUE"""),146648.0)</f>
        <v>146648</v>
      </c>
      <c r="AG197" s="208"/>
      <c r="AH197" s="208"/>
      <c r="AI197" s="208"/>
      <c r="AJ197" s="208"/>
      <c r="AK197" s="208"/>
    </row>
    <row r="198">
      <c r="A198" s="209">
        <f>IFERROR(__xludf.DUMMYFUNCTION("""COMPUTED_VALUE"""),46185.0)</f>
        <v>46185</v>
      </c>
      <c r="B198" s="210">
        <f>IFERROR(__xludf.DUMMYFUNCTION("""COMPUTED_VALUE"""),0.3993055555547471)</f>
        <v>0.3993055556</v>
      </c>
      <c r="C198" s="211" t="str">
        <f>IFERROR(__xludf.DUMMYFUNCTION("""COMPUTED_VALUE"""),"Whatsapp")</f>
        <v>Whatsapp</v>
      </c>
      <c r="D198" s="211" t="str">
        <f>IFERROR(__xludf.DUMMYFUNCTION("""COMPUTED_VALUE"""),"Promotional")</f>
        <v>Promotional</v>
      </c>
      <c r="E198" s="211" t="str">
        <f>IFERROR(__xludf.DUMMYFUNCTION("""COMPUTED_VALUE"""),"Aldo")</f>
        <v>Aldo</v>
      </c>
      <c r="F198" s="211" t="str">
        <f>IFERROR(__xludf.DUMMYFUNCTION("""COMPUTED_VALUE"""),"ALDO_EOSS_JUNE-JULY 2026 - EOSS June &amp; July - Offer 30")</f>
        <v>ALDO_EOSS_JUNE-JULY 2026 - EOSS June &amp; July - Offer 30</v>
      </c>
      <c r="G198" s="211" t="str">
        <f>IFERROR(__xludf.DUMMYFUNCTION("""COMPUTED_VALUE"""),"Churned_Comm5_EOSS_WA12June2026")</f>
        <v>Churned_Comm5_EOSS_WA12June2026</v>
      </c>
      <c r="H198" s="212" t="str">
        <f>IFERROR(__xludf.DUMMYFUNCTION("""COMPUTED_VALUE"""),"AL_ON_OFF_Churned_Rpt_EOSS")</f>
        <v>AL_ON_OFF_Churned_Rpt_EOSS</v>
      </c>
      <c r="I198" s="212" t="str">
        <f>IFERROR(__xludf.DUMMYFUNCTION("""COMPUTED_VALUE"""),"Customers who have purchased at least 2 times in the last 1095 days")</f>
        <v>Customers who have purchased at least 2 times in the last 1095 days</v>
      </c>
      <c r="J198" s="213">
        <f>IFERROR(__xludf.DUMMYFUNCTION("""COMPUTED_VALUE"""),32797.0)</f>
        <v>32797</v>
      </c>
      <c r="K198" s="213">
        <f>IFERROR(__xludf.DUMMYFUNCTION("""COMPUTED_VALUE"""),15449.0)</f>
        <v>15449</v>
      </c>
      <c r="L198" s="214">
        <f>IFERROR(__xludf.DUMMYFUNCTION("""COMPUTED_VALUE"""),0.4708)</f>
        <v>0.4708</v>
      </c>
      <c r="M198" s="213">
        <f>IFERROR(__xludf.DUMMYFUNCTION("""COMPUTED_VALUE"""),5707.0)</f>
        <v>5707</v>
      </c>
      <c r="N198" s="214">
        <f>IFERROR(__xludf.DUMMYFUNCTION("""COMPUTED_VALUE"""),0.3669)</f>
        <v>0.3669</v>
      </c>
      <c r="O198" s="213">
        <f>IFERROR(__xludf.DUMMYFUNCTION("""COMPUTED_VALUE"""),876.0)</f>
        <v>876</v>
      </c>
      <c r="P198" s="213">
        <f>IFERROR(__xludf.DUMMYFUNCTION("""COMPUTED_VALUE"""),822.0)</f>
        <v>822</v>
      </c>
      <c r="Q198" s="214">
        <f>IFERROR(__xludf.DUMMYFUNCTION("""COMPUTED_VALUE"""),0.0532)</f>
        <v>0.0532</v>
      </c>
      <c r="R198" s="214">
        <f>IFERROR(__xludf.DUMMYFUNCTION("""COMPUTED_VALUE"""),0.1451)</f>
        <v>0.1451</v>
      </c>
      <c r="S198" s="213">
        <f>IFERROR(__xludf.DUMMYFUNCTION("""COMPUTED_VALUE"""),11.0)</f>
        <v>11</v>
      </c>
      <c r="T198" s="213">
        <f>IFERROR(__xludf.DUMMYFUNCTION("""COMPUTED_VALUE"""),0.0)</f>
        <v>0</v>
      </c>
      <c r="U198" s="213">
        <f>IFERROR(__xludf.DUMMYFUNCTION("""COMPUTED_VALUE"""),77499.0)</f>
        <v>77499</v>
      </c>
      <c r="V198" s="213" t="str">
        <f>IFERROR(__xludf.DUMMYFUNCTION("""COMPUTED_VALUE"""),"overall")</f>
        <v>overall</v>
      </c>
      <c r="W198" s="213" t="str">
        <f>IFERROR(__xludf.DUMMYFUNCTION("""COMPUTED_VALUE"""),"simple")</f>
        <v>simple</v>
      </c>
      <c r="X198" s="213" t="str">
        <f>IFERROR(__xludf.DUMMYFUNCTION("""COMPUTED_VALUE"""),"Churned Repeat")</f>
        <v>Churned Repeat</v>
      </c>
      <c r="Y198" s="213" t="str">
        <f>IFERROR(__xludf.DUMMYFUNCTION("""COMPUTED_VALUE"""),"14th June 2026, Sunday")</f>
        <v>14th June 2026, Sunday</v>
      </c>
      <c r="Z198" s="213" t="str">
        <f>IFERROR(__xludf.DUMMYFUNCTION("""COMPUTED_VALUE"""),"6a2ab8dc4f732049db4234ae")</f>
        <v>6a2ab8dc4f732049db4234ae</v>
      </c>
      <c r="AA198" s="213">
        <f>IFERROR(__xludf.DUMMYFUNCTION("""COMPUTED_VALUE"""),13.0)</f>
        <v>13</v>
      </c>
      <c r="AB198" s="213">
        <f>IFERROR(__xludf.DUMMYFUNCTION("""COMPUTED_VALUE"""),2.0)</f>
        <v>2</v>
      </c>
      <c r="AC198" s="213">
        <f>IFERROR(__xludf.DUMMYFUNCTION("""COMPUTED_VALUE"""),11.0)</f>
        <v>11</v>
      </c>
      <c r="AD198" s="213">
        <f>IFERROR(__xludf.DUMMYFUNCTION("""COMPUTED_VALUE"""),122559.0)</f>
        <v>122559</v>
      </c>
      <c r="AE198" s="213">
        <f>IFERROR(__xludf.DUMMYFUNCTION("""COMPUTED_VALUE"""),8499.0)</f>
        <v>8499</v>
      </c>
      <c r="AF198" s="213">
        <f>IFERROR(__xludf.DUMMYFUNCTION("""COMPUTED_VALUE"""),114060.0)</f>
        <v>114060</v>
      </c>
      <c r="AG198" s="208"/>
      <c r="AH198" s="208"/>
      <c r="AI198" s="208"/>
      <c r="AJ198" s="208"/>
      <c r="AK198" s="208"/>
    </row>
    <row r="199">
      <c r="A199" s="209">
        <f>IFERROR(__xludf.DUMMYFUNCTION("""COMPUTED_VALUE"""),46185.0)</f>
        <v>46185</v>
      </c>
      <c r="B199" s="210">
        <f>IFERROR(__xludf.DUMMYFUNCTION("""COMPUTED_VALUE"""),0.40277777777737356)</f>
        <v>0.4027777778</v>
      </c>
      <c r="C199" s="211" t="str">
        <f>IFERROR(__xludf.DUMMYFUNCTION("""COMPUTED_VALUE"""),"Whatsapp")</f>
        <v>Whatsapp</v>
      </c>
      <c r="D199" s="211" t="str">
        <f>IFERROR(__xludf.DUMMYFUNCTION("""COMPUTED_VALUE"""),"Promotional")</f>
        <v>Promotional</v>
      </c>
      <c r="E199" s="211" t="str">
        <f>IFERROR(__xludf.DUMMYFUNCTION("""COMPUTED_VALUE"""),"Aldo")</f>
        <v>Aldo</v>
      </c>
      <c r="F199" s="211" t="str">
        <f>IFERROR(__xludf.DUMMYFUNCTION("""COMPUTED_VALUE"""),"ALDO_EOSS_JUNE-JULY 2026 - EOSS June &amp; July - Offer 30")</f>
        <v>ALDO_EOSS_JUNE-JULY 2026 - EOSS June &amp; July - Offer 30</v>
      </c>
      <c r="G199" s="211" t="str">
        <f>IFERROR(__xludf.DUMMYFUNCTION("""COMPUTED_VALUE"""),"On_OFF_Churned_Comm5_EOSS_WA12June2026")</f>
        <v>On_OFF_Churned_Comm5_EOSS_WA12June2026</v>
      </c>
      <c r="H199" s="212" t="str">
        <f>IFERROR(__xludf.DUMMYFUNCTION("""COMPUTED_VALUE"""),"AL_ON_OFF_Churned_366_730_EOSS")</f>
        <v>AL_ON_OFF_Churned_366_730_EOSS</v>
      </c>
      <c r="I199" s="212" t="str">
        <f>IFERROR(__xludf.DUMMYFUNCTION("""COMPUTED_VALUE"""),"Customers who have purchased at least 1 time in between 366 to 730 days ago")</f>
        <v>Customers who have purchased at least 1 time in between 366 to 730 days ago</v>
      </c>
      <c r="J199" s="213">
        <f>IFERROR(__xludf.DUMMYFUNCTION("""COMPUTED_VALUE"""),111322.0)</f>
        <v>111322</v>
      </c>
      <c r="K199" s="213">
        <f>IFERROR(__xludf.DUMMYFUNCTION("""COMPUTED_VALUE"""),56262.0)</f>
        <v>56262</v>
      </c>
      <c r="L199" s="214">
        <f>IFERROR(__xludf.DUMMYFUNCTION("""COMPUTED_VALUE"""),0.5049)</f>
        <v>0.5049</v>
      </c>
      <c r="M199" s="213">
        <f>IFERROR(__xludf.DUMMYFUNCTION("""COMPUTED_VALUE"""),20704.0)</f>
        <v>20704</v>
      </c>
      <c r="N199" s="214">
        <f>IFERROR(__xludf.DUMMYFUNCTION("""COMPUTED_VALUE"""),0.3664)</f>
        <v>0.3664</v>
      </c>
      <c r="O199" s="213">
        <f>IFERROR(__xludf.DUMMYFUNCTION("""COMPUTED_VALUE"""),2567.0)</f>
        <v>2567</v>
      </c>
      <c r="P199" s="213">
        <f>IFERROR(__xludf.DUMMYFUNCTION("""COMPUTED_VALUE"""),2414.0)</f>
        <v>2414</v>
      </c>
      <c r="Q199" s="214">
        <f>IFERROR(__xludf.DUMMYFUNCTION("""COMPUTED_VALUE"""),0.043)</f>
        <v>0.043</v>
      </c>
      <c r="R199" s="214">
        <f>IFERROR(__xludf.DUMMYFUNCTION("""COMPUTED_VALUE"""),0.1172)</f>
        <v>0.1172</v>
      </c>
      <c r="S199" s="213">
        <f>IFERROR(__xludf.DUMMYFUNCTION("""COMPUTED_VALUE"""),7.0)</f>
        <v>7</v>
      </c>
      <c r="T199" s="213">
        <f>IFERROR(__xludf.DUMMYFUNCTION("""COMPUTED_VALUE"""),0.0)</f>
        <v>0</v>
      </c>
      <c r="U199" s="213">
        <f>IFERROR(__xludf.DUMMYFUNCTION("""COMPUTED_VALUE"""),41673.0)</f>
        <v>41673</v>
      </c>
      <c r="V199" s="213" t="str">
        <f>IFERROR(__xludf.DUMMYFUNCTION("""COMPUTED_VALUE"""),"overall")</f>
        <v>overall</v>
      </c>
      <c r="W199" s="213" t="str">
        <f>IFERROR(__xludf.DUMMYFUNCTION("""COMPUTED_VALUE"""),"simple")</f>
        <v>simple</v>
      </c>
      <c r="X199" s="213" t="str">
        <f>IFERROR(__xludf.DUMMYFUNCTION("""COMPUTED_VALUE"""),"Churned")</f>
        <v>Churned</v>
      </c>
      <c r="Y199" s="213" t="str">
        <f>IFERROR(__xludf.DUMMYFUNCTION("""COMPUTED_VALUE"""),"14th June 2026, Sunday")</f>
        <v>14th June 2026, Sunday</v>
      </c>
      <c r="Z199" s="213" t="str">
        <f>IFERROR(__xludf.DUMMYFUNCTION("""COMPUTED_VALUE"""),"6a2ab931288697142cbf7e9f")</f>
        <v>6a2ab931288697142cbf7e9f</v>
      </c>
      <c r="AA199" s="213">
        <f>IFERROR(__xludf.DUMMYFUNCTION("""COMPUTED_VALUE"""),22.0)</f>
        <v>22</v>
      </c>
      <c r="AB199" s="213">
        <f>IFERROR(__xludf.DUMMYFUNCTION("""COMPUTED_VALUE"""),3.0)</f>
        <v>3</v>
      </c>
      <c r="AC199" s="213">
        <f>IFERROR(__xludf.DUMMYFUNCTION("""COMPUTED_VALUE"""),19.0)</f>
        <v>19</v>
      </c>
      <c r="AD199" s="213">
        <f>IFERROR(__xludf.DUMMYFUNCTION("""COMPUTED_VALUE"""),240053.0)</f>
        <v>240053</v>
      </c>
      <c r="AE199" s="213">
        <f>IFERROR(__xludf.DUMMYFUNCTION("""COMPUTED_VALUE"""),23748.0)</f>
        <v>23748</v>
      </c>
      <c r="AF199" s="213">
        <f>IFERROR(__xludf.DUMMYFUNCTION("""COMPUTED_VALUE"""),216305.0)</f>
        <v>216305</v>
      </c>
      <c r="AG199" s="208"/>
      <c r="AH199" s="208"/>
      <c r="AI199" s="208"/>
      <c r="AJ199" s="208"/>
      <c r="AK199" s="208"/>
    </row>
    <row r="200">
      <c r="A200" s="209">
        <f>IFERROR(__xludf.DUMMYFUNCTION("""COMPUTED_VALUE"""),46185.0)</f>
        <v>46185</v>
      </c>
      <c r="B200" s="210">
        <f>IFERROR(__xludf.DUMMYFUNCTION("""COMPUTED_VALUE"""),0.40625)</f>
        <v>0.40625</v>
      </c>
      <c r="C200" s="211" t="str">
        <f>IFERROR(__xludf.DUMMYFUNCTION("""COMPUTED_VALUE"""),"Whatsapp")</f>
        <v>Whatsapp</v>
      </c>
      <c r="D200" s="211" t="str">
        <f>IFERROR(__xludf.DUMMYFUNCTION("""COMPUTED_VALUE"""),"Promotional")</f>
        <v>Promotional</v>
      </c>
      <c r="E200" s="211" t="str">
        <f>IFERROR(__xludf.DUMMYFUNCTION("""COMPUTED_VALUE"""),"Aldo")</f>
        <v>Aldo</v>
      </c>
      <c r="F200" s="211" t="str">
        <f>IFERROR(__xludf.DUMMYFUNCTION("""COMPUTED_VALUE"""),"ALDO_EOSS_JUNE-JULY 2026 - EOSS June &amp; July - Offer 30")</f>
        <v>ALDO_EOSS_JUNE-JULY 2026 - EOSS June &amp; July - Offer 30</v>
      </c>
      <c r="G200" s="211" t="str">
        <f>IFERROR(__xludf.DUMMYFUNCTION("""COMPUTED_VALUE"""),"Churned_2_Comm5_EOSS_WA12June2026")</f>
        <v>Churned_2_Comm5_EOSS_WA12June2026</v>
      </c>
      <c r="H200" s="212" t="str">
        <f>IFERROR(__xludf.DUMMYFUNCTION("""COMPUTED_VALUE"""),"AL_ON_OFF_Churned_731_1095_EOSS")</f>
        <v>AL_ON_OFF_Churned_731_1095_EOSS</v>
      </c>
      <c r="I200" s="212" t="str">
        <f>IFERROR(__xludf.DUMMYFUNCTION("""COMPUTED_VALUE"""),"Customers who have purchased at least 1 time in between 731 to 1095 days ago")</f>
        <v>Customers who have purchased at least 1 time in between 731 to 1095 days ago</v>
      </c>
      <c r="J200" s="213">
        <f>IFERROR(__xludf.DUMMYFUNCTION("""COMPUTED_VALUE"""),47109.0)</f>
        <v>47109</v>
      </c>
      <c r="K200" s="213">
        <f>IFERROR(__xludf.DUMMYFUNCTION("""COMPUTED_VALUE"""),22820.0)</f>
        <v>22820</v>
      </c>
      <c r="L200" s="214">
        <f>IFERROR(__xludf.DUMMYFUNCTION("""COMPUTED_VALUE"""),0.4834)</f>
        <v>0.4834</v>
      </c>
      <c r="M200" s="213">
        <f>IFERROR(__xludf.DUMMYFUNCTION("""COMPUTED_VALUE"""),7961.0)</f>
        <v>7961</v>
      </c>
      <c r="N200" s="214">
        <f>IFERROR(__xludf.DUMMYFUNCTION("""COMPUTED_VALUE"""),0.3473)</f>
        <v>0.3473</v>
      </c>
      <c r="O200" s="213">
        <f>IFERROR(__xludf.DUMMYFUNCTION("""COMPUTED_VALUE"""),833.0)</f>
        <v>833</v>
      </c>
      <c r="P200" s="213">
        <f>IFERROR(__xludf.DUMMYFUNCTION("""COMPUTED_VALUE"""),792.0)</f>
        <v>792</v>
      </c>
      <c r="Q200" s="214">
        <f>IFERROR(__xludf.DUMMYFUNCTION("""COMPUTED_VALUE"""),0.0348)</f>
        <v>0.0348</v>
      </c>
      <c r="R200" s="214">
        <f>IFERROR(__xludf.DUMMYFUNCTION("""COMPUTED_VALUE"""),0.1002)</f>
        <v>0.1002</v>
      </c>
      <c r="S200" s="213">
        <f>IFERROR(__xludf.DUMMYFUNCTION("""COMPUTED_VALUE"""),4.0)</f>
        <v>4</v>
      </c>
      <c r="T200" s="213">
        <f>IFERROR(__xludf.DUMMYFUNCTION("""COMPUTED_VALUE"""),0.0)</f>
        <v>0</v>
      </c>
      <c r="U200" s="213">
        <f>IFERROR(__xludf.DUMMYFUNCTION("""COMPUTED_VALUE"""),38196.0)</f>
        <v>38196</v>
      </c>
      <c r="V200" s="213" t="str">
        <f>IFERROR(__xludf.DUMMYFUNCTION("""COMPUTED_VALUE"""),"overall")</f>
        <v>overall</v>
      </c>
      <c r="W200" s="213" t="str">
        <f>IFERROR(__xludf.DUMMYFUNCTION("""COMPUTED_VALUE"""),"simple")</f>
        <v>simple</v>
      </c>
      <c r="X200" s="213" t="str">
        <f>IFERROR(__xludf.DUMMYFUNCTION("""COMPUTED_VALUE"""),"Churned")</f>
        <v>Churned</v>
      </c>
      <c r="Y200" s="213" t="str">
        <f>IFERROR(__xludf.DUMMYFUNCTION("""COMPUTED_VALUE"""),"14th June 2026, Sunday")</f>
        <v>14th June 2026, Sunday</v>
      </c>
      <c r="Z200" s="213" t="str">
        <f>IFERROR(__xludf.DUMMYFUNCTION("""COMPUTED_VALUE"""),"6a2ab96c13de254966db0573")</f>
        <v>6a2ab96c13de254966db0573</v>
      </c>
      <c r="AA200" s="213">
        <f>IFERROR(__xludf.DUMMYFUNCTION("""COMPUTED_VALUE"""),8.0)</f>
        <v>8</v>
      </c>
      <c r="AB200" s="213">
        <f>IFERROR(__xludf.DUMMYFUNCTION("""COMPUTED_VALUE"""),0.0)</f>
        <v>0</v>
      </c>
      <c r="AC200" s="213">
        <f>IFERROR(__xludf.DUMMYFUNCTION("""COMPUTED_VALUE"""),8.0)</f>
        <v>8</v>
      </c>
      <c r="AD200" s="213">
        <f>IFERROR(__xludf.DUMMYFUNCTION("""COMPUTED_VALUE"""),67210.0)</f>
        <v>67210</v>
      </c>
      <c r="AE200" s="213">
        <f>IFERROR(__xludf.DUMMYFUNCTION("""COMPUTED_VALUE"""),0.0)</f>
        <v>0</v>
      </c>
      <c r="AF200" s="213">
        <f>IFERROR(__xludf.DUMMYFUNCTION("""COMPUTED_VALUE"""),67210.0)</f>
        <v>67210</v>
      </c>
      <c r="AG200" s="208"/>
      <c r="AH200" s="208"/>
      <c r="AI200" s="208"/>
      <c r="AJ200" s="208"/>
      <c r="AK200" s="208"/>
    </row>
    <row r="201">
      <c r="A201" s="209">
        <f>IFERROR(__xludf.DUMMYFUNCTION("""COMPUTED_VALUE"""),46185.0)</f>
        <v>46185</v>
      </c>
      <c r="B201" s="210">
        <f>IFERROR(__xludf.DUMMYFUNCTION("""COMPUTED_VALUE"""),0.40972222222262644)</f>
        <v>0.4097222222</v>
      </c>
      <c r="C201" s="211" t="str">
        <f>IFERROR(__xludf.DUMMYFUNCTION("""COMPUTED_VALUE"""),"Whatsapp")</f>
        <v>Whatsapp</v>
      </c>
      <c r="D201" s="211" t="str">
        <f>IFERROR(__xludf.DUMMYFUNCTION("""COMPUTED_VALUE"""),"Promotional")</f>
        <v>Promotional</v>
      </c>
      <c r="E201" s="211" t="str">
        <f>IFERROR(__xludf.DUMMYFUNCTION("""COMPUTED_VALUE"""),"Aldo")</f>
        <v>Aldo</v>
      </c>
      <c r="F201" s="211" t="str">
        <f>IFERROR(__xludf.DUMMYFUNCTION("""COMPUTED_VALUE"""),"ALDO_EOSS_JUNE-JULY 2026 - EOSS June &amp; July - Offer 30")</f>
        <v>ALDO_EOSS_JUNE-JULY 2026 - EOSS June &amp; July - Offer 30</v>
      </c>
      <c r="G201" s="211" t="str">
        <f>IFERROR(__xludf.DUMMYFUNCTION("""COMPUTED_VALUE"""),"Active_Comm6_EOSS_WA_12June2026")</f>
        <v>Active_Comm6_EOSS_WA_12June2026</v>
      </c>
      <c r="H201" s="212" t="str">
        <f>IFERROR(__xludf.DUMMYFUNCTION("""COMPUTED_VALUE"""),"AL_ON_OFF_Active_EOSS")</f>
        <v>AL_ON_OFF_Active_EOSS</v>
      </c>
      <c r="I201" s="212" t="str">
        <f>IFERROR(__xludf.DUMMYFUNCTION("""COMPUTED_VALUE"""),"Customers who have purchased at least 1 time in the last 77 days")</f>
        <v>Customers who have purchased at least 1 time in the last 77 days</v>
      </c>
      <c r="J201" s="213">
        <f>IFERROR(__xludf.DUMMYFUNCTION("""COMPUTED_VALUE"""),15308.0)</f>
        <v>15308</v>
      </c>
      <c r="K201" s="213">
        <f>IFERROR(__xludf.DUMMYFUNCTION("""COMPUTED_VALUE"""),8460.0)</f>
        <v>8460</v>
      </c>
      <c r="L201" s="214">
        <f>IFERROR(__xludf.DUMMYFUNCTION("""COMPUTED_VALUE"""),0.5513)</f>
        <v>0.5513</v>
      </c>
      <c r="M201" s="213">
        <f>IFERROR(__xludf.DUMMYFUNCTION("""COMPUTED_VALUE"""),3866.0)</f>
        <v>3866</v>
      </c>
      <c r="N201" s="214">
        <f>IFERROR(__xludf.DUMMYFUNCTION("""COMPUTED_VALUE"""),0.4544)</f>
        <v>0.4544</v>
      </c>
      <c r="O201" s="213">
        <f>IFERROR(__xludf.DUMMYFUNCTION("""COMPUTED_VALUE"""),776.0)</f>
        <v>776</v>
      </c>
      <c r="P201" s="213">
        <f>IFERROR(__xludf.DUMMYFUNCTION("""COMPUTED_VALUE"""),721.0)</f>
        <v>721</v>
      </c>
      <c r="Q201" s="214">
        <f>IFERROR(__xludf.DUMMYFUNCTION("""COMPUTED_VALUE"""),0.0854)</f>
        <v>0.0854</v>
      </c>
      <c r="R201" s="214">
        <f>IFERROR(__xludf.DUMMYFUNCTION("""COMPUTED_VALUE"""),0.188)</f>
        <v>0.188</v>
      </c>
      <c r="S201" s="213">
        <f>IFERROR(__xludf.DUMMYFUNCTION("""COMPUTED_VALUE"""),3.0)</f>
        <v>3</v>
      </c>
      <c r="T201" s="213">
        <f>IFERROR(__xludf.DUMMYFUNCTION("""COMPUTED_VALUE"""),0.0)</f>
        <v>0</v>
      </c>
      <c r="U201" s="213">
        <f>IFERROR(__xludf.DUMMYFUNCTION("""COMPUTED_VALUE"""),22478.0)</f>
        <v>22478</v>
      </c>
      <c r="V201" s="213" t="str">
        <f>IFERROR(__xludf.DUMMYFUNCTION("""COMPUTED_VALUE"""),"overall")</f>
        <v>overall</v>
      </c>
      <c r="W201" s="213" t="str">
        <f>IFERROR(__xludf.DUMMYFUNCTION("""COMPUTED_VALUE"""),"simple")</f>
        <v>simple</v>
      </c>
      <c r="X201" s="213" t="str">
        <f>IFERROR(__xludf.DUMMYFUNCTION("""COMPUTED_VALUE"""),"Active")</f>
        <v>Active</v>
      </c>
      <c r="Y201" s="213" t="str">
        <f>IFERROR(__xludf.DUMMYFUNCTION("""COMPUTED_VALUE"""),"14th June 2026, Sunday")</f>
        <v>14th June 2026, Sunday</v>
      </c>
      <c r="Z201" s="213" t="str">
        <f>IFERROR(__xludf.DUMMYFUNCTION("""COMPUTED_VALUE"""),"6a2aba49778e4442a9a56b33")</f>
        <v>6a2aba49778e4442a9a56b33</v>
      </c>
      <c r="AA201" s="213">
        <f>IFERROR(__xludf.DUMMYFUNCTION("""COMPUTED_VALUE"""),22.0)</f>
        <v>22</v>
      </c>
      <c r="AB201" s="213">
        <f>IFERROR(__xludf.DUMMYFUNCTION("""COMPUTED_VALUE"""),2.0)</f>
        <v>2</v>
      </c>
      <c r="AC201" s="213">
        <f>IFERROR(__xludf.DUMMYFUNCTION("""COMPUTED_VALUE"""),20.0)</f>
        <v>20</v>
      </c>
      <c r="AD201" s="213">
        <f>IFERROR(__xludf.DUMMYFUNCTION("""COMPUTED_VALUE"""),211358.0)</f>
        <v>211358</v>
      </c>
      <c r="AE201" s="213">
        <f>IFERROR(__xludf.DUMMYFUNCTION("""COMPUTED_VALUE"""),18538.0)</f>
        <v>18538</v>
      </c>
      <c r="AF201" s="213">
        <f>IFERROR(__xludf.DUMMYFUNCTION("""COMPUTED_VALUE"""),192820.0)</f>
        <v>192820</v>
      </c>
      <c r="AG201" s="208"/>
      <c r="AH201" s="208"/>
      <c r="AI201" s="208"/>
      <c r="AJ201" s="208"/>
      <c r="AK201" s="208"/>
    </row>
    <row r="202">
      <c r="A202" s="209">
        <f>IFERROR(__xludf.DUMMYFUNCTION("""COMPUTED_VALUE"""),46185.0)</f>
        <v>46185</v>
      </c>
      <c r="B202" s="210">
        <f>IFERROR(__xludf.DUMMYFUNCTION("""COMPUTED_VALUE"""),0.42013888889050577)</f>
        <v>0.4201388889</v>
      </c>
      <c r="C202" s="211" t="str">
        <f>IFERROR(__xludf.DUMMYFUNCTION("""COMPUTED_VALUE"""),"Whatsapp")</f>
        <v>Whatsapp</v>
      </c>
      <c r="D202" s="211" t="str">
        <f>IFERROR(__xludf.DUMMYFUNCTION("""COMPUTED_VALUE"""),"Promotional")</f>
        <v>Promotional</v>
      </c>
      <c r="E202" s="211" t="str">
        <f>IFERROR(__xludf.DUMMYFUNCTION("""COMPUTED_VALUE"""),"Aldo")</f>
        <v>Aldo</v>
      </c>
      <c r="F202" s="211" t="str">
        <f>IFERROR(__xludf.DUMMYFUNCTION("""COMPUTED_VALUE"""),"ALDO_EOSS_JUNE-JULY 2026 - EOSS June &amp; July - Offer 30")</f>
        <v>ALDO_EOSS_JUNE-JULY 2026 - EOSS June &amp; July - Offer 30</v>
      </c>
      <c r="G202" s="211" t="str">
        <f>IFERROR(__xludf.DUMMYFUNCTION("""COMPUTED_VALUE"""),"Non_Txt_Comm7_WA_EOSSJune2026")</f>
        <v>Non_Txt_Comm7_WA_EOSSJune2026</v>
      </c>
      <c r="H202" s="212" t="str">
        <f>IFERROR(__xludf.DUMMYFUNCTION("""COMPUTED_VALUE"""),"AL_Non-Txn_Base")</f>
        <v>AL_Non-Txn_Base</v>
      </c>
      <c r="I202" s="212" t="str">
        <f>IFERROR(__xludf.DUMMYFUNCTION("""COMPUTED_VALUE"""),"Non- Txn Base")</f>
        <v>Non- Txn Base</v>
      </c>
      <c r="J202" s="213">
        <f>IFERROR(__xludf.DUMMYFUNCTION("""COMPUTED_VALUE"""),103797.0)</f>
        <v>103797</v>
      </c>
      <c r="K202" s="213">
        <f>IFERROR(__xludf.DUMMYFUNCTION("""COMPUTED_VALUE"""),51094.0)</f>
        <v>51094</v>
      </c>
      <c r="L202" s="214">
        <f>IFERROR(__xludf.DUMMYFUNCTION("""COMPUTED_VALUE"""),0.4922)</f>
        <v>0.4922</v>
      </c>
      <c r="M202" s="213">
        <f>IFERROR(__xludf.DUMMYFUNCTION("""COMPUTED_VALUE"""),19404.0)</f>
        <v>19404</v>
      </c>
      <c r="N202" s="214">
        <f>IFERROR(__xludf.DUMMYFUNCTION("""COMPUTED_VALUE"""),0.3798)</f>
        <v>0.3798</v>
      </c>
      <c r="O202" s="213">
        <f>IFERROR(__xludf.DUMMYFUNCTION("""COMPUTED_VALUE"""),3169.0)</f>
        <v>3169</v>
      </c>
      <c r="P202" s="213">
        <f>IFERROR(__xludf.DUMMYFUNCTION("""COMPUTED_VALUE"""),3004.0)</f>
        <v>3004</v>
      </c>
      <c r="Q202" s="214">
        <f>IFERROR(__xludf.DUMMYFUNCTION("""COMPUTED_VALUE"""),0.0588)</f>
        <v>0.0588</v>
      </c>
      <c r="R202" s="214">
        <f>IFERROR(__xludf.DUMMYFUNCTION("""COMPUTED_VALUE"""),0.1548)</f>
        <v>0.1548</v>
      </c>
      <c r="S202" s="213">
        <f>IFERROR(__xludf.DUMMYFUNCTION("""COMPUTED_VALUE"""),6.0)</f>
        <v>6</v>
      </c>
      <c r="T202" s="213">
        <f>IFERROR(__xludf.DUMMYFUNCTION("""COMPUTED_VALUE"""),0.0)</f>
        <v>0</v>
      </c>
      <c r="U202" s="213">
        <f>IFERROR(__xludf.DUMMYFUNCTION("""COMPUTED_VALUE"""),39165.0)</f>
        <v>39165</v>
      </c>
      <c r="V202" s="213" t="str">
        <f>IFERROR(__xludf.DUMMYFUNCTION("""COMPUTED_VALUE"""),"overall")</f>
        <v>overall</v>
      </c>
      <c r="W202" s="213" t="str">
        <f>IFERROR(__xludf.DUMMYFUNCTION("""COMPUTED_VALUE"""),"simple")</f>
        <v>simple</v>
      </c>
      <c r="X202" s="213" t="str">
        <f>IFERROR(__xludf.DUMMYFUNCTION("""COMPUTED_VALUE"""),"Non - Txn Base")</f>
        <v>Non - Txn Base</v>
      </c>
      <c r="Y202" s="213" t="str">
        <f>IFERROR(__xludf.DUMMYFUNCTION("""COMPUTED_VALUE"""),"14th June 2026, Sunday")</f>
        <v>14th June 2026, Sunday</v>
      </c>
      <c r="Z202" s="213" t="str">
        <f>IFERROR(__xludf.DUMMYFUNCTION("""COMPUTED_VALUE"""),"6a2b8b68503e911911487beb")</f>
        <v>6a2b8b68503e911911487beb</v>
      </c>
      <c r="AA202" s="213">
        <f>IFERROR(__xludf.DUMMYFUNCTION("""COMPUTED_VALUE"""),14.0)</f>
        <v>14</v>
      </c>
      <c r="AB202" s="213">
        <f>IFERROR(__xludf.DUMMYFUNCTION("""COMPUTED_VALUE"""),4.0)</f>
        <v>4</v>
      </c>
      <c r="AC202" s="213">
        <f>IFERROR(__xludf.DUMMYFUNCTION("""COMPUTED_VALUE"""),10.0)</f>
        <v>10</v>
      </c>
      <c r="AD202" s="213">
        <f>IFERROR(__xludf.DUMMYFUNCTION("""COMPUTED_VALUE"""),127020.0)</f>
        <v>127020</v>
      </c>
      <c r="AE202" s="213">
        <f>IFERROR(__xludf.DUMMYFUNCTION("""COMPUTED_VALUE"""),31931.0)</f>
        <v>31931</v>
      </c>
      <c r="AF202" s="213">
        <f>IFERROR(__xludf.DUMMYFUNCTION("""COMPUTED_VALUE"""),95089.0)</f>
        <v>95089</v>
      </c>
      <c r="AG202" s="208"/>
      <c r="AH202" s="208"/>
      <c r="AI202" s="208"/>
      <c r="AJ202" s="208"/>
      <c r="AK202" s="208"/>
    </row>
    <row r="203">
      <c r="A203" s="209">
        <f>IFERROR(__xludf.DUMMYFUNCTION("""COMPUTED_VALUE"""),46185.0)</f>
        <v>46185</v>
      </c>
      <c r="B203" s="210">
        <f>IFERROR(__xludf.DUMMYFUNCTION("""COMPUTED_VALUE"""),0.5625)</f>
        <v>0.5625</v>
      </c>
      <c r="C203" s="211" t="str">
        <f>IFERROR(__xludf.DUMMYFUNCTION("""COMPUTED_VALUE"""),"Sms")</f>
        <v>Sms</v>
      </c>
      <c r="D203" s="211" t="str">
        <f>IFERROR(__xludf.DUMMYFUNCTION("""COMPUTED_VALUE"""),"Fallback campaign")</f>
        <v>Fallback campaign</v>
      </c>
      <c r="E203" s="211" t="str">
        <f>IFERROR(__xludf.DUMMYFUNCTION("""COMPUTED_VALUE"""),"Aldo")</f>
        <v>Aldo</v>
      </c>
      <c r="F203" s="211" t="str">
        <f>IFERROR(__xludf.DUMMYFUNCTION("""COMPUTED_VALUE"""),"ALDO_EOSS_JUNE-JULY 2026 - EOSS 30-60 Off Week 1")</f>
        <v>ALDO_EOSS_JUNE-JULY 2026 - EOSS 30-60 Off Week 1</v>
      </c>
      <c r="G203" s="211" t="str">
        <f>IFERROR(__xludf.DUMMYFUNCTION("""COMPUTED_VALUE"""),"SMS_EOSS_NewJuneFB_ATC")</f>
        <v>SMS_EOSS_NewJuneFB_ATC</v>
      </c>
      <c r="H203" s="212" t="str">
        <f>IFERROR(__xludf.DUMMYFUNCTION("""COMPUTED_VALUE"""),"AL_ON_ATC_90D")</f>
        <v>AL_ON_ATC_90D</v>
      </c>
      <c r="I203" s="212" t="str">
        <f>IFERROR(__xludf.DUMMYFUNCTION("""COMPUTED_VALUE"""),"RCS Undelivered")</f>
        <v>RCS Undelivered</v>
      </c>
      <c r="J203" s="213">
        <f>IFERROR(__xludf.DUMMYFUNCTION("""COMPUTED_VALUE"""),1536.0)</f>
        <v>1536</v>
      </c>
      <c r="K203" s="213">
        <f>IFERROR(__xludf.DUMMYFUNCTION("""COMPUTED_VALUE"""),979.0)</f>
        <v>979</v>
      </c>
      <c r="L203" s="214">
        <f>IFERROR(__xludf.DUMMYFUNCTION("""COMPUTED_VALUE"""),0.6374)</f>
        <v>0.6374</v>
      </c>
      <c r="M203" s="213">
        <f>IFERROR(__xludf.DUMMYFUNCTION("""COMPUTED_VALUE"""),0.0)</f>
        <v>0</v>
      </c>
      <c r="N203" s="214">
        <f>IFERROR(__xludf.DUMMYFUNCTION("""COMPUTED_VALUE"""),0.0)</f>
        <v>0</v>
      </c>
      <c r="O203" s="213">
        <f>IFERROR(__xludf.DUMMYFUNCTION("""COMPUTED_VALUE"""),10.0)</f>
        <v>10</v>
      </c>
      <c r="P203" s="213">
        <f>IFERROR(__xludf.DUMMYFUNCTION("""COMPUTED_VALUE"""),0.0)</f>
        <v>0</v>
      </c>
      <c r="Q203" s="214">
        <f>IFERROR(__xludf.DUMMYFUNCTION("""COMPUTED_VALUE"""),0.0102)</f>
        <v>0.0102</v>
      </c>
      <c r="R203" s="214">
        <f>IFERROR(__xludf.DUMMYFUNCTION("""COMPUTED_VALUE"""),0.0)</f>
        <v>0</v>
      </c>
      <c r="S203" s="213">
        <f>IFERROR(__xludf.DUMMYFUNCTION("""COMPUTED_VALUE"""),2.0)</f>
        <v>2</v>
      </c>
      <c r="T203" s="213">
        <f>IFERROR(__xludf.DUMMYFUNCTION("""COMPUTED_VALUE"""),0.0)</f>
        <v>0</v>
      </c>
      <c r="U203" s="213">
        <f>IFERROR(__xludf.DUMMYFUNCTION("""COMPUTED_VALUE"""),10147.0)</f>
        <v>10147</v>
      </c>
      <c r="V203" s="213" t="str">
        <f>IFERROR(__xludf.DUMMYFUNCTION("""COMPUTED_VALUE"""),"online")</f>
        <v>online</v>
      </c>
      <c r="W203" s="213" t="str">
        <f>IFERROR(__xludf.DUMMYFUNCTION("""COMPUTED_VALUE"""),"Sms")</f>
        <v>Sms</v>
      </c>
      <c r="X203" s="213" t="str">
        <f>IFERROR(__xludf.DUMMYFUNCTION("""COMPUTED_VALUE"""),"Add to Cart")</f>
        <v>Add to Cart</v>
      </c>
      <c r="Y203" s="213" t="str">
        <f>IFERROR(__xludf.DUMMYFUNCTION("""COMPUTED_VALUE"""),"14th June 2026, Sunday")</f>
        <v>14th June 2026, Sunday</v>
      </c>
      <c r="Z203" s="213" t="str">
        <f>IFERROR(__xludf.DUMMYFUNCTION("""COMPUTED_VALUE"""),"6a2bb07c71aa284f371f9910")</f>
        <v>6a2bb07c71aa284f371f9910</v>
      </c>
      <c r="AA203" s="213">
        <f>IFERROR(__xludf.DUMMYFUNCTION("""COMPUTED_VALUE"""),0.0)</f>
        <v>0</v>
      </c>
      <c r="AB203" s="213">
        <f>IFERROR(__xludf.DUMMYFUNCTION("""COMPUTED_VALUE"""),0.0)</f>
        <v>0</v>
      </c>
      <c r="AC203" s="213"/>
      <c r="AD203" s="213">
        <f>IFERROR(__xludf.DUMMYFUNCTION("""COMPUTED_VALUE"""),0.0)</f>
        <v>0</v>
      </c>
      <c r="AE203" s="213">
        <f>IFERROR(__xludf.DUMMYFUNCTION("""COMPUTED_VALUE"""),0.0)</f>
        <v>0</v>
      </c>
      <c r="AF203" s="213"/>
      <c r="AG203" s="208"/>
      <c r="AH203" s="208"/>
      <c r="AI203" s="208"/>
      <c r="AJ203" s="208"/>
      <c r="AK203" s="208"/>
    </row>
    <row r="204">
      <c r="A204" s="209">
        <f>IFERROR(__xludf.DUMMYFUNCTION("""COMPUTED_VALUE"""),46185.0)</f>
        <v>46185</v>
      </c>
      <c r="B204" s="210">
        <f>IFERROR(__xludf.DUMMYFUNCTION("""COMPUTED_VALUE"""),0.5659722222226264)</f>
        <v>0.5659722222</v>
      </c>
      <c r="C204" s="211" t="str">
        <f>IFERROR(__xludf.DUMMYFUNCTION("""COMPUTED_VALUE"""),"Sms")</f>
        <v>Sms</v>
      </c>
      <c r="D204" s="211" t="str">
        <f>IFERROR(__xludf.DUMMYFUNCTION("""COMPUTED_VALUE"""),"Fallback campaign")</f>
        <v>Fallback campaign</v>
      </c>
      <c r="E204" s="211" t="str">
        <f>IFERROR(__xludf.DUMMYFUNCTION("""COMPUTED_VALUE"""),"Aldo")</f>
        <v>Aldo</v>
      </c>
      <c r="F204" s="211" t="str">
        <f>IFERROR(__xludf.DUMMYFUNCTION("""COMPUTED_VALUE"""),"ALDO_EOSS_JUNE-JULY 2026 - EOSS 30-60 Off Week 1")</f>
        <v>ALDO_EOSS_JUNE-JULY 2026 - EOSS 30-60 Off Week 1</v>
      </c>
      <c r="G204" s="211" t="str">
        <f>IFERROR(__xludf.DUMMYFUNCTION("""COMPUTED_VALUE"""),"ViewItem_EOSS_SMSFB")</f>
        <v>ViewItem_EOSS_SMSFB</v>
      </c>
      <c r="H204" s="212" t="str">
        <f>IFERROR(__xludf.DUMMYFUNCTION("""COMPUTED_VALUE"""),"AL_ON_View_Item")</f>
        <v>AL_ON_View_Item</v>
      </c>
      <c r="I204" s="212" t="str">
        <f>IFERROR(__xludf.DUMMYFUNCTION("""COMPUTED_VALUE"""),"RCS Undelivered")</f>
        <v>RCS Undelivered</v>
      </c>
      <c r="J204" s="213">
        <f>IFERROR(__xludf.DUMMYFUNCTION("""COMPUTED_VALUE"""),143.0)</f>
        <v>143</v>
      </c>
      <c r="K204" s="213">
        <f>IFERROR(__xludf.DUMMYFUNCTION("""COMPUTED_VALUE"""),91.0)</f>
        <v>91</v>
      </c>
      <c r="L204" s="214">
        <f>IFERROR(__xludf.DUMMYFUNCTION("""COMPUTED_VALUE"""),0.6364)</f>
        <v>0.6364</v>
      </c>
      <c r="M204" s="213">
        <f>IFERROR(__xludf.DUMMYFUNCTION("""COMPUTED_VALUE"""),0.0)</f>
        <v>0</v>
      </c>
      <c r="N204" s="214">
        <f>IFERROR(__xludf.DUMMYFUNCTION("""COMPUTED_VALUE"""),0.0)</f>
        <v>0</v>
      </c>
      <c r="O204" s="213">
        <f>IFERROR(__xludf.DUMMYFUNCTION("""COMPUTED_VALUE"""),0.0)</f>
        <v>0</v>
      </c>
      <c r="P204" s="213">
        <f>IFERROR(__xludf.DUMMYFUNCTION("""COMPUTED_VALUE"""),0.0)</f>
        <v>0</v>
      </c>
      <c r="Q204" s="214">
        <f>IFERROR(__xludf.DUMMYFUNCTION("""COMPUTED_VALUE"""),0.0)</f>
        <v>0</v>
      </c>
      <c r="R204" s="214">
        <f>IFERROR(__xludf.DUMMYFUNCTION("""COMPUTED_VALUE"""),0.0)</f>
        <v>0</v>
      </c>
      <c r="S204" s="213">
        <f>IFERROR(__xludf.DUMMYFUNCTION("""COMPUTED_VALUE"""),0.0)</f>
        <v>0</v>
      </c>
      <c r="T204" s="213">
        <f>IFERROR(__xludf.DUMMYFUNCTION("""COMPUTED_VALUE"""),0.0)</f>
        <v>0</v>
      </c>
      <c r="U204" s="213">
        <f>IFERROR(__xludf.DUMMYFUNCTION("""COMPUTED_VALUE"""),0.0)</f>
        <v>0</v>
      </c>
      <c r="V204" s="213" t="str">
        <f>IFERROR(__xludf.DUMMYFUNCTION("""COMPUTED_VALUE"""),"online")</f>
        <v>online</v>
      </c>
      <c r="W204" s="213" t="str">
        <f>IFERROR(__xludf.DUMMYFUNCTION("""COMPUTED_VALUE"""),"Sms")</f>
        <v>Sms</v>
      </c>
      <c r="X204" s="213" t="str">
        <f>IFERROR(__xludf.DUMMYFUNCTION("""COMPUTED_VALUE"""),"View Item")</f>
        <v>View Item</v>
      </c>
      <c r="Y204" s="213" t="str">
        <f>IFERROR(__xludf.DUMMYFUNCTION("""COMPUTED_VALUE"""),"14th June 2026, Sunday")</f>
        <v>14th June 2026, Sunday</v>
      </c>
      <c r="Z204" s="213" t="str">
        <f>IFERROR(__xludf.DUMMYFUNCTION("""COMPUTED_VALUE"""),"6a2bb0f5afe76dc0319366a1")</f>
        <v>6a2bb0f5afe76dc0319366a1</v>
      </c>
      <c r="AA204" s="213">
        <f>IFERROR(__xludf.DUMMYFUNCTION("""COMPUTED_VALUE"""),0.0)</f>
        <v>0</v>
      </c>
      <c r="AB204" s="213">
        <f>IFERROR(__xludf.DUMMYFUNCTION("""COMPUTED_VALUE"""),0.0)</f>
        <v>0</v>
      </c>
      <c r="AC204" s="213"/>
      <c r="AD204" s="213">
        <f>IFERROR(__xludf.DUMMYFUNCTION("""COMPUTED_VALUE"""),0.0)</f>
        <v>0</v>
      </c>
      <c r="AE204" s="213">
        <f>IFERROR(__xludf.DUMMYFUNCTION("""COMPUTED_VALUE"""),0.0)</f>
        <v>0</v>
      </c>
      <c r="AF204" s="213"/>
      <c r="AG204" s="208"/>
      <c r="AH204" s="208"/>
      <c r="AI204" s="208"/>
      <c r="AJ204" s="208"/>
      <c r="AK204" s="208"/>
    </row>
    <row r="205">
      <c r="A205" s="209">
        <f>IFERROR(__xludf.DUMMYFUNCTION("""COMPUTED_VALUE"""),46185.0)</f>
        <v>46185</v>
      </c>
      <c r="B205" s="210">
        <f>IFERROR(__xludf.DUMMYFUNCTION("""COMPUTED_VALUE"""),0.5694444444452529)</f>
        <v>0.5694444444</v>
      </c>
      <c r="C205" s="211" t="str">
        <f>IFERROR(__xludf.DUMMYFUNCTION("""COMPUTED_VALUE"""),"Sms")</f>
        <v>Sms</v>
      </c>
      <c r="D205" s="211" t="str">
        <f>IFERROR(__xludf.DUMMYFUNCTION("""COMPUTED_VALUE"""),"Fallback campaign")</f>
        <v>Fallback campaign</v>
      </c>
      <c r="E205" s="211" t="str">
        <f>IFERROR(__xludf.DUMMYFUNCTION("""COMPUTED_VALUE"""),"Aldo")</f>
        <v>Aldo</v>
      </c>
      <c r="F205" s="211" t="str">
        <f>IFERROR(__xludf.DUMMYFUNCTION("""COMPUTED_VALUE"""),"ALDO_EOSS_JUNE-JULY 2026 - EOSS 30-60 Off Week 1")</f>
        <v>ALDO_EOSS_JUNE-JULY 2026 - EOSS 30-60 Off Week 1</v>
      </c>
      <c r="G205" s="211" t="str">
        <f>IFERROR(__xludf.DUMMYFUNCTION("""COMPUTED_VALUE"""),"EOSS_SMS_FB_ETBY")</f>
        <v>EOSS_SMS_FB_ETBY</v>
      </c>
      <c r="H205" s="212" t="str">
        <f>IFERROR(__xludf.DUMMYFUNCTION("""COMPUTED_VALUE"""),"AL_ON_OFF_Event_Buyers_EOSS")</f>
        <v>AL_ON_OFF_Event_Buyers_EOSS</v>
      </c>
      <c r="I205" s="212" t="str">
        <f>IFERROR(__xludf.DUMMYFUNCTION("""COMPUTED_VALUE"""),"RCS Undelivered")</f>
        <v>RCS Undelivered</v>
      </c>
      <c r="J205" s="213">
        <f>IFERROR(__xludf.DUMMYFUNCTION("""COMPUTED_VALUE"""),23479.0)</f>
        <v>23479</v>
      </c>
      <c r="K205" s="213">
        <f>IFERROR(__xludf.DUMMYFUNCTION("""COMPUTED_VALUE"""),13176.0)</f>
        <v>13176</v>
      </c>
      <c r="L205" s="214">
        <f>IFERROR(__xludf.DUMMYFUNCTION("""COMPUTED_VALUE"""),0.5612)</f>
        <v>0.5612</v>
      </c>
      <c r="M205" s="213">
        <f>IFERROR(__xludf.DUMMYFUNCTION("""COMPUTED_VALUE"""),0.0)</f>
        <v>0</v>
      </c>
      <c r="N205" s="214">
        <f>IFERROR(__xludf.DUMMYFUNCTION("""COMPUTED_VALUE"""),0.0)</f>
        <v>0</v>
      </c>
      <c r="O205" s="213">
        <f>IFERROR(__xludf.DUMMYFUNCTION("""COMPUTED_VALUE"""),46.0)</f>
        <v>46</v>
      </c>
      <c r="P205" s="213">
        <f>IFERROR(__xludf.DUMMYFUNCTION("""COMPUTED_VALUE"""),0.0)</f>
        <v>0</v>
      </c>
      <c r="Q205" s="214">
        <f>IFERROR(__xludf.DUMMYFUNCTION("""COMPUTED_VALUE"""),0.0035)</f>
        <v>0.0035</v>
      </c>
      <c r="R205" s="214">
        <f>IFERROR(__xludf.DUMMYFUNCTION("""COMPUTED_VALUE"""),0.0)</f>
        <v>0</v>
      </c>
      <c r="S205" s="213">
        <f>IFERROR(__xludf.DUMMYFUNCTION("""COMPUTED_VALUE"""),3.0)</f>
        <v>3</v>
      </c>
      <c r="T205" s="213">
        <f>IFERROR(__xludf.DUMMYFUNCTION("""COMPUTED_VALUE"""),0.0)</f>
        <v>0</v>
      </c>
      <c r="U205" s="213">
        <f>IFERROR(__xludf.DUMMYFUNCTION("""COMPUTED_VALUE"""),41793.0)</f>
        <v>41793</v>
      </c>
      <c r="V205" s="213" t="str">
        <f>IFERROR(__xludf.DUMMYFUNCTION("""COMPUTED_VALUE"""),"overall")</f>
        <v>overall</v>
      </c>
      <c r="W205" s="213" t="str">
        <f>IFERROR(__xludf.DUMMYFUNCTION("""COMPUTED_VALUE"""),"Sms")</f>
        <v>Sms</v>
      </c>
      <c r="X205" s="213" t="str">
        <f>IFERROR(__xludf.DUMMYFUNCTION("""COMPUTED_VALUE"""),"Event Buyers")</f>
        <v>Event Buyers</v>
      </c>
      <c r="Y205" s="213" t="str">
        <f>IFERROR(__xludf.DUMMYFUNCTION("""COMPUTED_VALUE"""),"14th June 2026, Sunday")</f>
        <v>14th June 2026, Sunday</v>
      </c>
      <c r="Z205" s="213" t="str">
        <f>IFERROR(__xludf.DUMMYFUNCTION("""COMPUTED_VALUE"""),"6a2bb128afe76dc0319366ab")</f>
        <v>6a2bb128afe76dc0319366ab</v>
      </c>
      <c r="AA205" s="213">
        <f>IFERROR(__xludf.DUMMYFUNCTION("""COMPUTED_VALUE"""),19.0)</f>
        <v>19</v>
      </c>
      <c r="AB205" s="213">
        <f>IFERROR(__xludf.DUMMYFUNCTION("""COMPUTED_VALUE"""),4.0)</f>
        <v>4</v>
      </c>
      <c r="AC205" s="213">
        <f>IFERROR(__xludf.DUMMYFUNCTION("""COMPUTED_VALUE"""),15.0)</f>
        <v>15</v>
      </c>
      <c r="AD205" s="213">
        <f>IFERROR(__xludf.DUMMYFUNCTION("""COMPUTED_VALUE"""),238861.0)</f>
        <v>238861</v>
      </c>
      <c r="AE205" s="213">
        <f>IFERROR(__xludf.DUMMYFUNCTION("""COMPUTED_VALUE"""),16447.0)</f>
        <v>16447</v>
      </c>
      <c r="AF205" s="213">
        <f>IFERROR(__xludf.DUMMYFUNCTION("""COMPUTED_VALUE"""),222414.0)</f>
        <v>222414</v>
      </c>
      <c r="AG205" s="208"/>
      <c r="AH205" s="208"/>
      <c r="AI205" s="208"/>
      <c r="AJ205" s="208"/>
      <c r="AK205" s="208"/>
    </row>
    <row r="206">
      <c r="A206" s="209">
        <f>IFERROR(__xludf.DUMMYFUNCTION("""COMPUTED_VALUE"""),46185.0)</f>
        <v>46185</v>
      </c>
      <c r="B206" s="210">
        <f>IFERROR(__xludf.DUMMYFUNCTION("""COMPUTED_VALUE"""),0.5729166666678793)</f>
        <v>0.5729166667</v>
      </c>
      <c r="C206" s="211" t="str">
        <f>IFERROR(__xludf.DUMMYFUNCTION("""COMPUTED_VALUE"""),"Sms")</f>
        <v>Sms</v>
      </c>
      <c r="D206" s="211" t="str">
        <f>IFERROR(__xludf.DUMMYFUNCTION("""COMPUTED_VALUE"""),"Fallback campaign")</f>
        <v>Fallback campaign</v>
      </c>
      <c r="E206" s="211" t="str">
        <f>IFERROR(__xludf.DUMMYFUNCTION("""COMPUTED_VALUE"""),"Aldo")</f>
        <v>Aldo</v>
      </c>
      <c r="F206" s="211" t="str">
        <f>IFERROR(__xludf.DUMMYFUNCTION("""COMPUTED_VALUE"""),"ALDO_EOSS_JUNE-JULY 2026 - EOSS 30-60 Off Week 1")</f>
        <v>ALDO_EOSS_JUNE-JULY 2026 - EOSS 30-60 Off Week 1</v>
      </c>
      <c r="G206" s="211" t="str">
        <f>IFERROR(__xludf.DUMMYFUNCTION("""COMPUTED_VALUE"""),"SMS_FB_DISC_PERC")</f>
        <v>SMS_FB_DISC_PERC</v>
      </c>
      <c r="H206" s="212" t="str">
        <f>IFERROR(__xludf.DUMMYFUNCTION("""COMPUTED_VALUE"""),"AL_ON_OFF_DISC_PERC_30+")</f>
        <v>AL_ON_OFF_DISC_PERC_30+</v>
      </c>
      <c r="I206" s="212" t="str">
        <f>IFERROR(__xludf.DUMMYFUNCTION("""COMPUTED_VALUE"""),"RCS Undelivered")</f>
        <v>RCS Undelivered</v>
      </c>
      <c r="J206" s="213">
        <f>IFERROR(__xludf.DUMMYFUNCTION("""COMPUTED_VALUE"""),4935.0)</f>
        <v>4935</v>
      </c>
      <c r="K206" s="213">
        <f>IFERROR(__xludf.DUMMYFUNCTION("""COMPUTED_VALUE"""),2698.0)</f>
        <v>2698</v>
      </c>
      <c r="L206" s="214">
        <f>IFERROR(__xludf.DUMMYFUNCTION("""COMPUTED_VALUE"""),0.5467)</f>
        <v>0.5467</v>
      </c>
      <c r="M206" s="213">
        <f>IFERROR(__xludf.DUMMYFUNCTION("""COMPUTED_VALUE"""),0.0)</f>
        <v>0</v>
      </c>
      <c r="N206" s="214">
        <f>IFERROR(__xludf.DUMMYFUNCTION("""COMPUTED_VALUE"""),0.0)</f>
        <v>0</v>
      </c>
      <c r="O206" s="213">
        <f>IFERROR(__xludf.DUMMYFUNCTION("""COMPUTED_VALUE"""),20.0)</f>
        <v>20</v>
      </c>
      <c r="P206" s="213">
        <f>IFERROR(__xludf.DUMMYFUNCTION("""COMPUTED_VALUE"""),0.0)</f>
        <v>0</v>
      </c>
      <c r="Q206" s="214">
        <f>IFERROR(__xludf.DUMMYFUNCTION("""COMPUTED_VALUE"""),0.0074)</f>
        <v>0.0074</v>
      </c>
      <c r="R206" s="214">
        <f>IFERROR(__xludf.DUMMYFUNCTION("""COMPUTED_VALUE"""),0.0)</f>
        <v>0</v>
      </c>
      <c r="S206" s="213">
        <f>IFERROR(__xludf.DUMMYFUNCTION("""COMPUTED_VALUE"""),6.0)</f>
        <v>6</v>
      </c>
      <c r="T206" s="213">
        <f>IFERROR(__xludf.DUMMYFUNCTION("""COMPUTED_VALUE"""),0.0)</f>
        <v>0</v>
      </c>
      <c r="U206" s="213">
        <f>IFERROR(__xludf.DUMMYFUNCTION("""COMPUTED_VALUE"""),31695.0)</f>
        <v>31695</v>
      </c>
      <c r="V206" s="213" t="str">
        <f>IFERROR(__xludf.DUMMYFUNCTION("""COMPUTED_VALUE"""),"overall")</f>
        <v>overall</v>
      </c>
      <c r="W206" s="213" t="str">
        <f>IFERROR(__xludf.DUMMYFUNCTION("""COMPUTED_VALUE"""),"Sms")</f>
        <v>Sms</v>
      </c>
      <c r="X206" s="213" t="str">
        <f>IFERROR(__xludf.DUMMYFUNCTION("""COMPUTED_VALUE"""),"Discount Buyers - 30% above")</f>
        <v>Discount Buyers - 30% above</v>
      </c>
      <c r="Y206" s="213" t="str">
        <f>IFERROR(__xludf.DUMMYFUNCTION("""COMPUTED_VALUE"""),"14th June 2026, Sunday")</f>
        <v>14th June 2026, Sunday</v>
      </c>
      <c r="Z206" s="213" t="str">
        <f>IFERROR(__xludf.DUMMYFUNCTION("""COMPUTED_VALUE"""),"6a2bb195370f072b33042d17")</f>
        <v>6a2bb195370f072b33042d17</v>
      </c>
      <c r="AA206" s="213">
        <f>IFERROR(__xludf.DUMMYFUNCTION("""COMPUTED_VALUE"""),2.0)</f>
        <v>2</v>
      </c>
      <c r="AB206" s="213">
        <f>IFERROR(__xludf.DUMMYFUNCTION("""COMPUTED_VALUE"""),2.0)</f>
        <v>2</v>
      </c>
      <c r="AC206" s="213">
        <f>IFERROR(__xludf.DUMMYFUNCTION("""COMPUTED_VALUE"""),0.0)</f>
        <v>0</v>
      </c>
      <c r="AD206" s="213">
        <f>IFERROR(__xludf.DUMMYFUNCTION("""COMPUTED_VALUE"""),18598.0)</f>
        <v>18598</v>
      </c>
      <c r="AE206" s="213">
        <f>IFERROR(__xludf.DUMMYFUNCTION("""COMPUTED_VALUE"""),18598.0)</f>
        <v>18598</v>
      </c>
      <c r="AF206" s="213">
        <f>IFERROR(__xludf.DUMMYFUNCTION("""COMPUTED_VALUE"""),0.0)</f>
        <v>0</v>
      </c>
      <c r="AG206" s="208"/>
      <c r="AH206" s="208"/>
      <c r="AI206" s="208"/>
      <c r="AJ206" s="208"/>
      <c r="AK206" s="208"/>
    </row>
    <row r="207">
      <c r="A207" s="209">
        <f>IFERROR(__xludf.DUMMYFUNCTION("""COMPUTED_VALUE"""),46185.0)</f>
        <v>46185</v>
      </c>
      <c r="B207" s="210">
        <f>IFERROR(__xludf.DUMMYFUNCTION("""COMPUTED_VALUE"""),0.5763888888905058)</f>
        <v>0.5763888889</v>
      </c>
      <c r="C207" s="211" t="str">
        <f>IFERROR(__xludf.DUMMYFUNCTION("""COMPUTED_VALUE"""),"Sms")</f>
        <v>Sms</v>
      </c>
      <c r="D207" s="211" t="str">
        <f>IFERROR(__xludf.DUMMYFUNCTION("""COMPUTED_VALUE"""),"Fallback campaign")</f>
        <v>Fallback campaign</v>
      </c>
      <c r="E207" s="211" t="str">
        <f>IFERROR(__xludf.DUMMYFUNCTION("""COMPUTED_VALUE"""),"Aldo")</f>
        <v>Aldo</v>
      </c>
      <c r="F207" s="211" t="str">
        <f>IFERROR(__xludf.DUMMYFUNCTION("""COMPUTED_VALUE"""),"ALDO_EOSS_JUNE-JULY 2026 - EOSS 30-60 Off Week 1")</f>
        <v>ALDO_EOSS_JUNE-JULY 2026 - EOSS 30-60 Off Week 1</v>
      </c>
      <c r="G207" s="211" t="str">
        <f>IFERROR(__xludf.DUMMYFUNCTION("""COMPUTED_VALUE"""),"SMS_FB_Repeat_1Year")</f>
        <v>SMS_FB_Repeat_1Year</v>
      </c>
      <c r="H207" s="212" t="str">
        <f>IFERROR(__xludf.DUMMYFUNCTION("""COMPUTED_VALUE"""),"AL_ON_OFF_Repeat_1Year")</f>
        <v>AL_ON_OFF_Repeat_1Year</v>
      </c>
      <c r="I207" s="212" t="str">
        <f>IFERROR(__xludf.DUMMYFUNCTION("""COMPUTED_VALUE"""),"RCS Undelivered")</f>
        <v>RCS Undelivered</v>
      </c>
      <c r="J207" s="213">
        <f>IFERROR(__xludf.DUMMYFUNCTION("""COMPUTED_VALUE"""),1844.0)</f>
        <v>1844</v>
      </c>
      <c r="K207" s="213">
        <f>IFERROR(__xludf.DUMMYFUNCTION("""COMPUTED_VALUE"""),1029.0)</f>
        <v>1029</v>
      </c>
      <c r="L207" s="214">
        <f>IFERROR(__xludf.DUMMYFUNCTION("""COMPUTED_VALUE"""),0.558)</f>
        <v>0.558</v>
      </c>
      <c r="M207" s="213">
        <f>IFERROR(__xludf.DUMMYFUNCTION("""COMPUTED_VALUE"""),0.0)</f>
        <v>0</v>
      </c>
      <c r="N207" s="214">
        <f>IFERROR(__xludf.DUMMYFUNCTION("""COMPUTED_VALUE"""),0.0)</f>
        <v>0</v>
      </c>
      <c r="O207" s="213">
        <f>IFERROR(__xludf.DUMMYFUNCTION("""COMPUTED_VALUE"""),4.0)</f>
        <v>4</v>
      </c>
      <c r="P207" s="213">
        <f>IFERROR(__xludf.DUMMYFUNCTION("""COMPUTED_VALUE"""),0.0)</f>
        <v>0</v>
      </c>
      <c r="Q207" s="214">
        <f>IFERROR(__xludf.DUMMYFUNCTION("""COMPUTED_VALUE"""),0.0039)</f>
        <v>0.0039</v>
      </c>
      <c r="R207" s="214">
        <f>IFERROR(__xludf.DUMMYFUNCTION("""COMPUTED_VALUE"""),0.0)</f>
        <v>0</v>
      </c>
      <c r="S207" s="213">
        <f>IFERROR(__xludf.DUMMYFUNCTION("""COMPUTED_VALUE"""),0.0)</f>
        <v>0</v>
      </c>
      <c r="T207" s="213">
        <f>IFERROR(__xludf.DUMMYFUNCTION("""COMPUTED_VALUE"""),0.0)</f>
        <v>0</v>
      </c>
      <c r="U207" s="213">
        <f>IFERROR(__xludf.DUMMYFUNCTION("""COMPUTED_VALUE"""),0.0)</f>
        <v>0</v>
      </c>
      <c r="V207" s="213" t="str">
        <f>IFERROR(__xludf.DUMMYFUNCTION("""COMPUTED_VALUE"""),"overall")</f>
        <v>overall</v>
      </c>
      <c r="W207" s="213" t="str">
        <f>IFERROR(__xludf.DUMMYFUNCTION("""COMPUTED_VALUE"""),"Sms")</f>
        <v>Sms</v>
      </c>
      <c r="X207" s="213" t="str">
        <f>IFERROR(__xludf.DUMMYFUNCTION("""COMPUTED_VALUE"""),"Repeat")</f>
        <v>Repeat</v>
      </c>
      <c r="Y207" s="213" t="str">
        <f>IFERROR(__xludf.DUMMYFUNCTION("""COMPUTED_VALUE"""),"14th June 2026, Sunday")</f>
        <v>14th June 2026, Sunday</v>
      </c>
      <c r="Z207" s="213" t="str">
        <f>IFERROR(__xludf.DUMMYFUNCTION("""COMPUTED_VALUE"""),"6a2bb1c67a28cf364597a481")</f>
        <v>6a2bb1c67a28cf364597a481</v>
      </c>
      <c r="AA207" s="213">
        <f>IFERROR(__xludf.DUMMYFUNCTION("""COMPUTED_VALUE"""),1.0)</f>
        <v>1</v>
      </c>
      <c r="AB207" s="213">
        <f>IFERROR(__xludf.DUMMYFUNCTION("""COMPUTED_VALUE"""),0.0)</f>
        <v>0</v>
      </c>
      <c r="AC207" s="213">
        <f>IFERROR(__xludf.DUMMYFUNCTION("""COMPUTED_VALUE"""),1.0)</f>
        <v>1</v>
      </c>
      <c r="AD207" s="213">
        <f>IFERROR(__xludf.DUMMYFUNCTION("""COMPUTED_VALUE"""),9590.0)</f>
        <v>9590</v>
      </c>
      <c r="AE207" s="213">
        <f>IFERROR(__xludf.DUMMYFUNCTION("""COMPUTED_VALUE"""),0.0)</f>
        <v>0</v>
      </c>
      <c r="AF207" s="213">
        <f>IFERROR(__xludf.DUMMYFUNCTION("""COMPUTED_VALUE"""),9590.0)</f>
        <v>9590</v>
      </c>
      <c r="AG207" s="208"/>
      <c r="AH207" s="208"/>
      <c r="AI207" s="208"/>
      <c r="AJ207" s="208"/>
      <c r="AK207" s="208"/>
    </row>
    <row r="208">
      <c r="A208" s="209">
        <f>IFERROR(__xludf.DUMMYFUNCTION("""COMPUTED_VALUE"""),46185.0)</f>
        <v>46185</v>
      </c>
      <c r="B208" s="210">
        <f>IFERROR(__xludf.DUMMYFUNCTION("""COMPUTED_VALUE"""),0.5798611111094942)</f>
        <v>0.5798611111</v>
      </c>
      <c r="C208" s="211" t="str">
        <f>IFERROR(__xludf.DUMMYFUNCTION("""COMPUTED_VALUE"""),"Sms")</f>
        <v>Sms</v>
      </c>
      <c r="D208" s="211" t="str">
        <f>IFERROR(__xludf.DUMMYFUNCTION("""COMPUTED_VALUE"""),"Fallback campaign")</f>
        <v>Fallback campaign</v>
      </c>
      <c r="E208" s="211" t="str">
        <f>IFERROR(__xludf.DUMMYFUNCTION("""COMPUTED_VALUE"""),"Aldo")</f>
        <v>Aldo</v>
      </c>
      <c r="F208" s="211" t="str">
        <f>IFERROR(__xludf.DUMMYFUNCTION("""COMPUTED_VALUE"""),"ALDO_EOSS_JUNE-JULY 2026 - EOSS 30-60 Off Week 1")</f>
        <v>ALDO_EOSS_JUNE-JULY 2026 - EOSS 30-60 Off Week 1</v>
      </c>
      <c r="G208" s="211" t="str">
        <f>IFERROR(__xludf.DUMMYFUNCTION("""COMPUTED_VALUE"""),"EOSS_Comm4_SMS_FB")</f>
        <v>EOSS_Comm4_SMS_FB</v>
      </c>
      <c r="H208" s="212" t="str">
        <f>IFERROR(__xludf.DUMMYFUNCTION("""COMPUTED_VALUE"""),"AL_ON_OFF_DISC_RPT")</f>
        <v>AL_ON_OFF_DISC_RPT</v>
      </c>
      <c r="I208" s="212" t="str">
        <f>IFERROR(__xludf.DUMMYFUNCTION("""COMPUTED_VALUE"""),"RCS Undelivered")</f>
        <v>RCS Undelivered</v>
      </c>
      <c r="J208" s="213">
        <f>IFERROR(__xludf.DUMMYFUNCTION("""COMPUTED_VALUE"""),3265.0)</f>
        <v>3265</v>
      </c>
      <c r="K208" s="213">
        <f>IFERROR(__xludf.DUMMYFUNCTION("""COMPUTED_VALUE"""),1840.0)</f>
        <v>1840</v>
      </c>
      <c r="L208" s="214">
        <f>IFERROR(__xludf.DUMMYFUNCTION("""COMPUTED_VALUE"""),0.5636)</f>
        <v>0.5636</v>
      </c>
      <c r="M208" s="213">
        <f>IFERROR(__xludf.DUMMYFUNCTION("""COMPUTED_VALUE"""),0.0)</f>
        <v>0</v>
      </c>
      <c r="N208" s="214">
        <f>IFERROR(__xludf.DUMMYFUNCTION("""COMPUTED_VALUE"""),0.0)</f>
        <v>0</v>
      </c>
      <c r="O208" s="213">
        <f>IFERROR(__xludf.DUMMYFUNCTION("""COMPUTED_VALUE"""),4.0)</f>
        <v>4</v>
      </c>
      <c r="P208" s="213">
        <f>IFERROR(__xludf.DUMMYFUNCTION("""COMPUTED_VALUE"""),0.0)</f>
        <v>0</v>
      </c>
      <c r="Q208" s="214">
        <f>IFERROR(__xludf.DUMMYFUNCTION("""COMPUTED_VALUE"""),0.0022)</f>
        <v>0.0022</v>
      </c>
      <c r="R208" s="214">
        <f>IFERROR(__xludf.DUMMYFUNCTION("""COMPUTED_VALUE"""),0.0)</f>
        <v>0</v>
      </c>
      <c r="S208" s="213">
        <f>IFERROR(__xludf.DUMMYFUNCTION("""COMPUTED_VALUE"""),0.0)</f>
        <v>0</v>
      </c>
      <c r="T208" s="213">
        <f>IFERROR(__xludf.DUMMYFUNCTION("""COMPUTED_VALUE"""),0.0)</f>
        <v>0</v>
      </c>
      <c r="U208" s="213">
        <f>IFERROR(__xludf.DUMMYFUNCTION("""COMPUTED_VALUE"""),0.0)</f>
        <v>0</v>
      </c>
      <c r="V208" s="213" t="str">
        <f>IFERROR(__xludf.DUMMYFUNCTION("""COMPUTED_VALUE"""),"overall")</f>
        <v>overall</v>
      </c>
      <c r="W208" s="213" t="str">
        <f>IFERROR(__xludf.DUMMYFUNCTION("""COMPUTED_VALUE"""),"Sms")</f>
        <v>Sms</v>
      </c>
      <c r="X208" s="213" t="str">
        <f>IFERROR(__xludf.DUMMYFUNCTION("""COMPUTED_VALUE"""),"Discount Repeat Buyers")</f>
        <v>Discount Repeat Buyers</v>
      </c>
      <c r="Y208" s="213" t="str">
        <f>IFERROR(__xludf.DUMMYFUNCTION("""COMPUTED_VALUE"""),"14th June 2026, Sunday")</f>
        <v>14th June 2026, Sunday</v>
      </c>
      <c r="Z208" s="213" t="str">
        <f>IFERROR(__xludf.DUMMYFUNCTION("""COMPUTED_VALUE"""),"6a2bb2041446dbae6f3728bd")</f>
        <v>6a2bb2041446dbae6f3728bd</v>
      </c>
      <c r="AA208" s="213">
        <f>IFERROR(__xludf.DUMMYFUNCTION("""COMPUTED_VALUE"""),5.0)</f>
        <v>5</v>
      </c>
      <c r="AB208" s="213">
        <f>IFERROR(__xludf.DUMMYFUNCTION("""COMPUTED_VALUE"""),0.0)</f>
        <v>0</v>
      </c>
      <c r="AC208" s="213">
        <f>IFERROR(__xludf.DUMMYFUNCTION("""COMPUTED_VALUE"""),5.0)</f>
        <v>5</v>
      </c>
      <c r="AD208" s="213">
        <f>IFERROR(__xludf.DUMMYFUNCTION("""COMPUTED_VALUE"""),45730.0)</f>
        <v>45730</v>
      </c>
      <c r="AE208" s="213">
        <f>IFERROR(__xludf.DUMMYFUNCTION("""COMPUTED_VALUE"""),0.0)</f>
        <v>0</v>
      </c>
      <c r="AF208" s="213">
        <f>IFERROR(__xludf.DUMMYFUNCTION("""COMPUTED_VALUE"""),45730.0)</f>
        <v>45730</v>
      </c>
      <c r="AG208" s="208"/>
      <c r="AH208" s="208"/>
      <c r="AI208" s="208"/>
      <c r="AJ208" s="208"/>
      <c r="AK208" s="208"/>
    </row>
    <row r="209">
      <c r="A209" s="209">
        <f>IFERROR(__xludf.DUMMYFUNCTION("""COMPUTED_VALUE"""),46185.0)</f>
        <v>46185</v>
      </c>
      <c r="B209" s="210">
        <f>IFERROR(__xludf.DUMMYFUNCTION("""COMPUTED_VALUE"""),0.5833333333321207)</f>
        <v>0.5833333333</v>
      </c>
      <c r="C209" s="211" t="str">
        <f>IFERROR(__xludf.DUMMYFUNCTION("""COMPUTED_VALUE"""),"Sms")</f>
        <v>Sms</v>
      </c>
      <c r="D209" s="211" t="str">
        <f>IFERROR(__xludf.DUMMYFUNCTION("""COMPUTED_VALUE"""),"Fallback campaign")</f>
        <v>Fallback campaign</v>
      </c>
      <c r="E209" s="211" t="str">
        <f>IFERROR(__xludf.DUMMYFUNCTION("""COMPUTED_VALUE"""),"Aldo")</f>
        <v>Aldo</v>
      </c>
      <c r="F209" s="211" t="str">
        <f>IFERROR(__xludf.DUMMYFUNCTION("""COMPUTED_VALUE"""),"ALDO_EOSS_JUNE-JULY 2026 - EOSS 30-60 Off Week 1")</f>
        <v>ALDO_EOSS_JUNE-JULY 2026 - EOSS 30-60 Off Week 1</v>
      </c>
      <c r="G209" s="211" t="str">
        <f>IFERROR(__xludf.DUMMYFUNCTION("""COMPUTED_VALUE"""),"SMS_Comm5_June_FB")</f>
        <v>SMS_Comm5_June_FB</v>
      </c>
      <c r="H209" s="212" t="str">
        <f>IFERROR(__xludf.DUMMYFUNCTION("""COMPUTED_VALUE"""),"AL_ON_OFF_Dormant_EOSS")</f>
        <v>AL_ON_OFF_Dormant_EOSS</v>
      </c>
      <c r="I209" s="212" t="str">
        <f>IFERROR(__xludf.DUMMYFUNCTION("""COMPUTED_VALUE"""),"RCS Undelivered")</f>
        <v>RCS Undelivered</v>
      </c>
      <c r="J209" s="213">
        <f>IFERROR(__xludf.DUMMYFUNCTION("""COMPUTED_VALUE"""),19410.0)</f>
        <v>19410</v>
      </c>
      <c r="K209" s="213">
        <f>IFERROR(__xludf.DUMMYFUNCTION("""COMPUTED_VALUE"""),11096.0)</f>
        <v>11096</v>
      </c>
      <c r="L209" s="214">
        <f>IFERROR(__xludf.DUMMYFUNCTION("""COMPUTED_VALUE"""),0.5717)</f>
        <v>0.5717</v>
      </c>
      <c r="M209" s="213">
        <f>IFERROR(__xludf.DUMMYFUNCTION("""COMPUTED_VALUE"""),0.0)</f>
        <v>0</v>
      </c>
      <c r="N209" s="214">
        <f>IFERROR(__xludf.DUMMYFUNCTION("""COMPUTED_VALUE"""),0.0)</f>
        <v>0</v>
      </c>
      <c r="O209" s="213">
        <f>IFERROR(__xludf.DUMMYFUNCTION("""COMPUTED_VALUE"""),27.0)</f>
        <v>27</v>
      </c>
      <c r="P209" s="213">
        <f>IFERROR(__xludf.DUMMYFUNCTION("""COMPUTED_VALUE"""),0.0)</f>
        <v>0</v>
      </c>
      <c r="Q209" s="214">
        <f>IFERROR(__xludf.DUMMYFUNCTION("""COMPUTED_VALUE"""),0.0024)</f>
        <v>0.0024</v>
      </c>
      <c r="R209" s="214">
        <f>IFERROR(__xludf.DUMMYFUNCTION("""COMPUTED_VALUE"""),0.0)</f>
        <v>0</v>
      </c>
      <c r="S209" s="213">
        <f>IFERROR(__xludf.DUMMYFUNCTION("""COMPUTED_VALUE"""),0.0)</f>
        <v>0</v>
      </c>
      <c r="T209" s="213">
        <f>IFERROR(__xludf.DUMMYFUNCTION("""COMPUTED_VALUE"""),0.0)</f>
        <v>0</v>
      </c>
      <c r="U209" s="213">
        <f>IFERROR(__xludf.DUMMYFUNCTION("""COMPUTED_VALUE"""),0.0)</f>
        <v>0</v>
      </c>
      <c r="V209" s="213" t="str">
        <f>IFERROR(__xludf.DUMMYFUNCTION("""COMPUTED_VALUE"""),"overall")</f>
        <v>overall</v>
      </c>
      <c r="W209" s="213" t="str">
        <f>IFERROR(__xludf.DUMMYFUNCTION("""COMPUTED_VALUE"""),"Sms")</f>
        <v>Sms</v>
      </c>
      <c r="X209" s="213" t="str">
        <f>IFERROR(__xludf.DUMMYFUNCTION("""COMPUTED_VALUE"""),"Dormant")</f>
        <v>Dormant</v>
      </c>
      <c r="Y209" s="213" t="str">
        <f>IFERROR(__xludf.DUMMYFUNCTION("""COMPUTED_VALUE"""),"14th June 2026, Sunday")</f>
        <v>14th June 2026, Sunday</v>
      </c>
      <c r="Z209" s="213" t="str">
        <f>IFERROR(__xludf.DUMMYFUNCTION("""COMPUTED_VALUE"""),"6a2bb243d45b13e59fcfcf21")</f>
        <v>6a2bb243d45b13e59fcfcf21</v>
      </c>
      <c r="AA209" s="213">
        <f>IFERROR(__xludf.DUMMYFUNCTION("""COMPUTED_VALUE"""),10.0)</f>
        <v>10</v>
      </c>
      <c r="AB209" s="213">
        <f>IFERROR(__xludf.DUMMYFUNCTION("""COMPUTED_VALUE"""),1.0)</f>
        <v>1</v>
      </c>
      <c r="AC209" s="213">
        <f>IFERROR(__xludf.DUMMYFUNCTION("""COMPUTED_VALUE"""),9.0)</f>
        <v>9</v>
      </c>
      <c r="AD209" s="213">
        <f>IFERROR(__xludf.DUMMYFUNCTION("""COMPUTED_VALUE"""),77697.0)</f>
        <v>77697</v>
      </c>
      <c r="AE209" s="213">
        <f>IFERROR(__xludf.DUMMYFUNCTION("""COMPUTED_VALUE"""),7699.0)</f>
        <v>7699</v>
      </c>
      <c r="AF209" s="213">
        <f>IFERROR(__xludf.DUMMYFUNCTION("""COMPUTED_VALUE"""),69998.0)</f>
        <v>69998</v>
      </c>
      <c r="AG209" s="208"/>
      <c r="AH209" s="208"/>
      <c r="AI209" s="208"/>
      <c r="AJ209" s="208"/>
      <c r="AK209" s="208"/>
    </row>
    <row r="210">
      <c r="A210" s="209">
        <f>IFERROR(__xludf.DUMMYFUNCTION("""COMPUTED_VALUE"""),46185.0)</f>
        <v>46185</v>
      </c>
      <c r="B210" s="210">
        <f>IFERROR(__xludf.DUMMYFUNCTION("""COMPUTED_VALUE"""),0.5868055555547471)</f>
        <v>0.5868055556</v>
      </c>
      <c r="C210" s="211" t="str">
        <f>IFERROR(__xludf.DUMMYFUNCTION("""COMPUTED_VALUE"""),"Sms")</f>
        <v>Sms</v>
      </c>
      <c r="D210" s="211" t="str">
        <f>IFERROR(__xludf.DUMMYFUNCTION("""COMPUTED_VALUE"""),"Fallback campaign")</f>
        <v>Fallback campaign</v>
      </c>
      <c r="E210" s="211" t="str">
        <f>IFERROR(__xludf.DUMMYFUNCTION("""COMPUTED_VALUE"""),"Aldo")</f>
        <v>Aldo</v>
      </c>
      <c r="F210" s="211" t="str">
        <f>IFERROR(__xludf.DUMMYFUNCTION("""COMPUTED_VALUE"""),"ALDO_EOSS_JUNE-JULY 2026 - EOSS 30-60 Off Week 1")</f>
        <v>ALDO_EOSS_JUNE-JULY 2026 - EOSS 30-60 Off Week 1</v>
      </c>
      <c r="G210" s="211" t="str">
        <f>IFERROR(__xludf.DUMMYFUNCTION("""COMPUTED_VALUE"""),"SMS_FB_Comm5")</f>
        <v>SMS_FB_Comm5</v>
      </c>
      <c r="H210" s="212" t="str">
        <f>IFERROR(__xludf.DUMMYFUNCTION("""COMPUTED_VALUE"""),"AL_ON_OFF_Churned_Rpt_EOSS")</f>
        <v>AL_ON_OFF_Churned_Rpt_EOSS</v>
      </c>
      <c r="I210" s="212" t="str">
        <f>IFERROR(__xludf.DUMMYFUNCTION("""COMPUTED_VALUE"""),"RCS Undelivered")</f>
        <v>RCS Undelivered</v>
      </c>
      <c r="J210" s="213">
        <f>IFERROR(__xludf.DUMMYFUNCTION("""COMPUTED_VALUE"""),13937.0)</f>
        <v>13937</v>
      </c>
      <c r="K210" s="213">
        <f>IFERROR(__xludf.DUMMYFUNCTION("""COMPUTED_VALUE"""),7572.0)</f>
        <v>7572</v>
      </c>
      <c r="L210" s="214">
        <f>IFERROR(__xludf.DUMMYFUNCTION("""COMPUTED_VALUE"""),0.5433)</f>
        <v>0.5433</v>
      </c>
      <c r="M210" s="213">
        <f>IFERROR(__xludf.DUMMYFUNCTION("""COMPUTED_VALUE"""),0.0)</f>
        <v>0</v>
      </c>
      <c r="N210" s="214">
        <f>IFERROR(__xludf.DUMMYFUNCTION("""COMPUTED_VALUE"""),0.0)</f>
        <v>0</v>
      </c>
      <c r="O210" s="213">
        <f>IFERROR(__xludf.DUMMYFUNCTION("""COMPUTED_VALUE"""),23.0)</f>
        <v>23</v>
      </c>
      <c r="P210" s="213">
        <f>IFERROR(__xludf.DUMMYFUNCTION("""COMPUTED_VALUE"""),0.0)</f>
        <v>0</v>
      </c>
      <c r="Q210" s="214">
        <f>IFERROR(__xludf.DUMMYFUNCTION("""COMPUTED_VALUE"""),0.003)</f>
        <v>0.003</v>
      </c>
      <c r="R210" s="214">
        <f>IFERROR(__xludf.DUMMYFUNCTION("""COMPUTED_VALUE"""),0.0)</f>
        <v>0</v>
      </c>
      <c r="S210" s="213">
        <f>IFERROR(__xludf.DUMMYFUNCTION("""COMPUTED_VALUE"""),1.0)</f>
        <v>1</v>
      </c>
      <c r="T210" s="213">
        <f>IFERROR(__xludf.DUMMYFUNCTION("""COMPUTED_VALUE"""),0.0)</f>
        <v>0</v>
      </c>
      <c r="U210" s="213">
        <f>IFERROR(__xludf.DUMMYFUNCTION("""COMPUTED_VALUE"""),3499.0)</f>
        <v>3499</v>
      </c>
      <c r="V210" s="213" t="str">
        <f>IFERROR(__xludf.DUMMYFUNCTION("""COMPUTED_VALUE"""),"overall")</f>
        <v>overall</v>
      </c>
      <c r="W210" s="213" t="str">
        <f>IFERROR(__xludf.DUMMYFUNCTION("""COMPUTED_VALUE"""),"Sms")</f>
        <v>Sms</v>
      </c>
      <c r="X210" s="213" t="str">
        <f>IFERROR(__xludf.DUMMYFUNCTION("""COMPUTED_VALUE"""),"Churned Repeat")</f>
        <v>Churned Repeat</v>
      </c>
      <c r="Y210" s="213" t="str">
        <f>IFERROR(__xludf.DUMMYFUNCTION("""COMPUTED_VALUE"""),"14th June 2026, Sunday")</f>
        <v>14th June 2026, Sunday</v>
      </c>
      <c r="Z210" s="213" t="str">
        <f>IFERROR(__xludf.DUMMYFUNCTION("""COMPUTED_VALUE"""),"6a2bb2b19d9bc6adc2d5801c")</f>
        <v>6a2bb2b19d9bc6adc2d5801c</v>
      </c>
      <c r="AA210" s="213">
        <f>IFERROR(__xludf.DUMMYFUNCTION("""COMPUTED_VALUE"""),5.0)</f>
        <v>5</v>
      </c>
      <c r="AB210" s="213">
        <f>IFERROR(__xludf.DUMMYFUNCTION("""COMPUTED_VALUE"""),2.0)</f>
        <v>2</v>
      </c>
      <c r="AC210" s="213">
        <f>IFERROR(__xludf.DUMMYFUNCTION("""COMPUTED_VALUE"""),3.0)</f>
        <v>3</v>
      </c>
      <c r="AD210" s="213">
        <f>IFERROR(__xludf.DUMMYFUNCTION("""COMPUTED_VALUE"""),52067.0)</f>
        <v>52067</v>
      </c>
      <c r="AE210" s="213">
        <f>IFERROR(__xludf.DUMMYFUNCTION("""COMPUTED_VALUE"""),14898.0)</f>
        <v>14898</v>
      </c>
      <c r="AF210" s="213">
        <f>IFERROR(__xludf.DUMMYFUNCTION("""COMPUTED_VALUE"""),37169.0)</f>
        <v>37169</v>
      </c>
      <c r="AG210" s="208"/>
      <c r="AH210" s="208"/>
      <c r="AI210" s="208"/>
      <c r="AJ210" s="208"/>
      <c r="AK210" s="208"/>
    </row>
    <row r="211">
      <c r="A211" s="209">
        <f>IFERROR(__xludf.DUMMYFUNCTION("""COMPUTED_VALUE"""),46185.0)</f>
        <v>46185</v>
      </c>
      <c r="B211" s="210">
        <f>IFERROR(__xludf.DUMMYFUNCTION("""COMPUTED_VALUE"""),0.5902777777773736)</f>
        <v>0.5902777778</v>
      </c>
      <c r="C211" s="211" t="str">
        <f>IFERROR(__xludf.DUMMYFUNCTION("""COMPUTED_VALUE"""),"Sms")</f>
        <v>Sms</v>
      </c>
      <c r="D211" s="211" t="str">
        <f>IFERROR(__xludf.DUMMYFUNCTION("""COMPUTED_VALUE"""),"Fallback campaign")</f>
        <v>Fallback campaign</v>
      </c>
      <c r="E211" s="211" t="str">
        <f>IFERROR(__xludf.DUMMYFUNCTION("""COMPUTED_VALUE"""),"Aldo")</f>
        <v>Aldo</v>
      </c>
      <c r="F211" s="211" t="str">
        <f>IFERROR(__xludf.DUMMYFUNCTION("""COMPUTED_VALUE"""),"ALDO_EOSS_JUNE-JULY 2026 - EOSS 30-60 Off Week 1")</f>
        <v>ALDO_EOSS_JUNE-JULY 2026 - EOSS 30-60 Off Week 1</v>
      </c>
      <c r="G211" s="211" t="str">
        <f>IFERROR(__xludf.DUMMYFUNCTION("""COMPUTED_VALUE"""),"SMS_FB_EOSS")</f>
        <v>SMS_FB_EOSS</v>
      </c>
      <c r="H211" s="212" t="str">
        <f>IFERROR(__xludf.DUMMYFUNCTION("""COMPUTED_VALUE"""),"AL_ON_OFF_Churned_366_730_EOSS")</f>
        <v>AL_ON_OFF_Churned_366_730_EOSS</v>
      </c>
      <c r="I211" s="212" t="str">
        <f>IFERROR(__xludf.DUMMYFUNCTION("""COMPUTED_VALUE"""),"RCS Undelivered")</f>
        <v>RCS Undelivered</v>
      </c>
      <c r="J211" s="213">
        <f>IFERROR(__xludf.DUMMYFUNCTION("""COMPUTED_VALUE"""),43232.0)</f>
        <v>43232</v>
      </c>
      <c r="K211" s="213">
        <f>IFERROR(__xludf.DUMMYFUNCTION("""COMPUTED_VALUE"""),23659.0)</f>
        <v>23659</v>
      </c>
      <c r="L211" s="214">
        <f>IFERROR(__xludf.DUMMYFUNCTION("""COMPUTED_VALUE"""),0.5473)</f>
        <v>0.5473</v>
      </c>
      <c r="M211" s="213">
        <f>IFERROR(__xludf.DUMMYFUNCTION("""COMPUTED_VALUE"""),0.0)</f>
        <v>0</v>
      </c>
      <c r="N211" s="214">
        <f>IFERROR(__xludf.DUMMYFUNCTION("""COMPUTED_VALUE"""),0.0)</f>
        <v>0</v>
      </c>
      <c r="O211" s="213">
        <f>IFERROR(__xludf.DUMMYFUNCTION("""COMPUTED_VALUE"""),75.0)</f>
        <v>75</v>
      </c>
      <c r="P211" s="213">
        <f>IFERROR(__xludf.DUMMYFUNCTION("""COMPUTED_VALUE"""),0.0)</f>
        <v>0</v>
      </c>
      <c r="Q211" s="214">
        <f>IFERROR(__xludf.DUMMYFUNCTION("""COMPUTED_VALUE"""),0.0032)</f>
        <v>0.0032</v>
      </c>
      <c r="R211" s="214">
        <f>IFERROR(__xludf.DUMMYFUNCTION("""COMPUTED_VALUE"""),0.0)</f>
        <v>0</v>
      </c>
      <c r="S211" s="213">
        <f>IFERROR(__xludf.DUMMYFUNCTION("""COMPUTED_VALUE"""),0.0)</f>
        <v>0</v>
      </c>
      <c r="T211" s="213">
        <f>IFERROR(__xludf.DUMMYFUNCTION("""COMPUTED_VALUE"""),0.0)</f>
        <v>0</v>
      </c>
      <c r="U211" s="213">
        <f>IFERROR(__xludf.DUMMYFUNCTION("""COMPUTED_VALUE"""),0.0)</f>
        <v>0</v>
      </c>
      <c r="V211" s="213" t="str">
        <f>IFERROR(__xludf.DUMMYFUNCTION("""COMPUTED_VALUE"""),"overall")</f>
        <v>overall</v>
      </c>
      <c r="W211" s="213" t="str">
        <f>IFERROR(__xludf.DUMMYFUNCTION("""COMPUTED_VALUE"""),"Sms")</f>
        <v>Sms</v>
      </c>
      <c r="X211" s="213" t="str">
        <f>IFERROR(__xludf.DUMMYFUNCTION("""COMPUTED_VALUE"""),"Churned")</f>
        <v>Churned</v>
      </c>
      <c r="Y211" s="213" t="str">
        <f>IFERROR(__xludf.DUMMYFUNCTION("""COMPUTED_VALUE"""),"14th June 2026, Sunday")</f>
        <v>14th June 2026, Sunday</v>
      </c>
      <c r="Z211" s="213" t="str">
        <f>IFERROR(__xludf.DUMMYFUNCTION("""COMPUTED_VALUE"""),"6a2bb2fe71aa284f371f9986")</f>
        <v>6a2bb2fe71aa284f371f9986</v>
      </c>
      <c r="AA211" s="213">
        <f>IFERROR(__xludf.DUMMYFUNCTION("""COMPUTED_VALUE"""),13.0)</f>
        <v>13</v>
      </c>
      <c r="AB211" s="213">
        <f>IFERROR(__xludf.DUMMYFUNCTION("""COMPUTED_VALUE"""),0.0)</f>
        <v>0</v>
      </c>
      <c r="AC211" s="213">
        <f>IFERROR(__xludf.DUMMYFUNCTION("""COMPUTED_VALUE"""),13.0)</f>
        <v>13</v>
      </c>
      <c r="AD211" s="213">
        <f>IFERROR(__xludf.DUMMYFUNCTION("""COMPUTED_VALUE"""),125794.0)</f>
        <v>125794</v>
      </c>
      <c r="AE211" s="213">
        <f>IFERROR(__xludf.DUMMYFUNCTION("""COMPUTED_VALUE"""),0.0)</f>
        <v>0</v>
      </c>
      <c r="AF211" s="213">
        <f>IFERROR(__xludf.DUMMYFUNCTION("""COMPUTED_VALUE"""),125794.0)</f>
        <v>125794</v>
      </c>
      <c r="AG211" s="208"/>
      <c r="AH211" s="208"/>
      <c r="AI211" s="208"/>
      <c r="AJ211" s="208"/>
      <c r="AK211" s="208"/>
    </row>
    <row r="212">
      <c r="A212" s="209">
        <f>IFERROR(__xludf.DUMMYFUNCTION("""COMPUTED_VALUE"""),46185.0)</f>
        <v>46185</v>
      </c>
      <c r="B212" s="210">
        <f>IFERROR(__xludf.DUMMYFUNCTION("""COMPUTED_VALUE"""),0.59375)</f>
        <v>0.59375</v>
      </c>
      <c r="C212" s="211" t="str">
        <f>IFERROR(__xludf.DUMMYFUNCTION("""COMPUTED_VALUE"""),"Sms")</f>
        <v>Sms</v>
      </c>
      <c r="D212" s="211" t="str">
        <f>IFERROR(__xludf.DUMMYFUNCTION("""COMPUTED_VALUE"""),"Fallback campaign")</f>
        <v>Fallback campaign</v>
      </c>
      <c r="E212" s="211" t="str">
        <f>IFERROR(__xludf.DUMMYFUNCTION("""COMPUTED_VALUE"""),"Aldo")</f>
        <v>Aldo</v>
      </c>
      <c r="F212" s="211" t="str">
        <f>IFERROR(__xludf.DUMMYFUNCTION("""COMPUTED_VALUE"""),"ALDO_EOSS_JUNE-JULY 2026 - EOSS 30-60 Off Week 1")</f>
        <v>ALDO_EOSS_JUNE-JULY 2026 - EOSS 30-60 Off Week 1</v>
      </c>
      <c r="G212" s="211" t="str">
        <f>IFERROR(__xludf.DUMMYFUNCTION("""COMPUTED_VALUE"""),"SMS_FB_EOSS_Churn")</f>
        <v>SMS_FB_EOSS_Churn</v>
      </c>
      <c r="H212" s="212" t="str">
        <f>IFERROR(__xludf.DUMMYFUNCTION("""COMPUTED_VALUE"""),"AL_ON_OFF_Churned_731_1095_EOSS")</f>
        <v>AL_ON_OFF_Churned_731_1095_EOSS</v>
      </c>
      <c r="I212" s="212" t="str">
        <f>IFERROR(__xludf.DUMMYFUNCTION("""COMPUTED_VALUE"""),"RCS Undelivered")</f>
        <v>RCS Undelivered</v>
      </c>
      <c r="J212" s="213">
        <f>IFERROR(__xludf.DUMMYFUNCTION("""COMPUTED_VALUE"""),19077.0)</f>
        <v>19077</v>
      </c>
      <c r="K212" s="213">
        <f>IFERROR(__xludf.DUMMYFUNCTION("""COMPUTED_VALUE"""),10194.0)</f>
        <v>10194</v>
      </c>
      <c r="L212" s="214">
        <f>IFERROR(__xludf.DUMMYFUNCTION("""COMPUTED_VALUE"""),0.5344)</f>
        <v>0.5344</v>
      </c>
      <c r="M212" s="213">
        <f>IFERROR(__xludf.DUMMYFUNCTION("""COMPUTED_VALUE"""),0.0)</f>
        <v>0</v>
      </c>
      <c r="N212" s="214">
        <f>IFERROR(__xludf.DUMMYFUNCTION("""COMPUTED_VALUE"""),0.0)</f>
        <v>0</v>
      </c>
      <c r="O212" s="213">
        <f>IFERROR(__xludf.DUMMYFUNCTION("""COMPUTED_VALUE"""),33.0)</f>
        <v>33</v>
      </c>
      <c r="P212" s="213">
        <f>IFERROR(__xludf.DUMMYFUNCTION("""COMPUTED_VALUE"""),0.0)</f>
        <v>0</v>
      </c>
      <c r="Q212" s="214">
        <f>IFERROR(__xludf.DUMMYFUNCTION("""COMPUTED_VALUE"""),0.0032)</f>
        <v>0.0032</v>
      </c>
      <c r="R212" s="214">
        <f>IFERROR(__xludf.DUMMYFUNCTION("""COMPUTED_VALUE"""),0.0)</f>
        <v>0</v>
      </c>
      <c r="S212" s="213">
        <f>IFERROR(__xludf.DUMMYFUNCTION("""COMPUTED_VALUE"""),0.0)</f>
        <v>0</v>
      </c>
      <c r="T212" s="213">
        <f>IFERROR(__xludf.DUMMYFUNCTION("""COMPUTED_VALUE"""),0.0)</f>
        <v>0</v>
      </c>
      <c r="U212" s="213">
        <f>IFERROR(__xludf.DUMMYFUNCTION("""COMPUTED_VALUE"""),0.0)</f>
        <v>0</v>
      </c>
      <c r="V212" s="213" t="str">
        <f>IFERROR(__xludf.DUMMYFUNCTION("""COMPUTED_VALUE"""),"overall")</f>
        <v>overall</v>
      </c>
      <c r="W212" s="213" t="str">
        <f>IFERROR(__xludf.DUMMYFUNCTION("""COMPUTED_VALUE"""),"Sms")</f>
        <v>Sms</v>
      </c>
      <c r="X212" s="213" t="str">
        <f>IFERROR(__xludf.DUMMYFUNCTION("""COMPUTED_VALUE"""),"Churned")</f>
        <v>Churned</v>
      </c>
      <c r="Y212" s="213" t="str">
        <f>IFERROR(__xludf.DUMMYFUNCTION("""COMPUTED_VALUE"""),"14th June 2026, Sunday")</f>
        <v>14th June 2026, Sunday</v>
      </c>
      <c r="Z212" s="213" t="str">
        <f>IFERROR(__xludf.DUMMYFUNCTION("""COMPUTED_VALUE"""),"6a2bb332003fa5e18b95963f")</f>
        <v>6a2bb332003fa5e18b95963f</v>
      </c>
      <c r="AA212" s="213">
        <f>IFERROR(__xludf.DUMMYFUNCTION("""COMPUTED_VALUE"""),2.0)</f>
        <v>2</v>
      </c>
      <c r="AB212" s="213">
        <f>IFERROR(__xludf.DUMMYFUNCTION("""COMPUTED_VALUE"""),1.0)</f>
        <v>1</v>
      </c>
      <c r="AC212" s="213">
        <f>IFERROR(__xludf.DUMMYFUNCTION("""COMPUTED_VALUE"""),1.0)</f>
        <v>1</v>
      </c>
      <c r="AD212" s="213">
        <f>IFERROR(__xludf.DUMMYFUNCTION("""COMPUTED_VALUE"""),15134.0)</f>
        <v>15134</v>
      </c>
      <c r="AE212" s="213">
        <f>IFERROR(__xludf.DUMMYFUNCTION("""COMPUTED_VALUE"""),3135.0)</f>
        <v>3135</v>
      </c>
      <c r="AF212" s="213">
        <f>IFERROR(__xludf.DUMMYFUNCTION("""COMPUTED_VALUE"""),11999.0)</f>
        <v>11999</v>
      </c>
      <c r="AG212" s="208"/>
      <c r="AH212" s="208"/>
      <c r="AI212" s="208"/>
      <c r="AJ212" s="208"/>
      <c r="AK212" s="208"/>
    </row>
    <row r="213">
      <c r="A213" s="209">
        <f>IFERROR(__xludf.DUMMYFUNCTION("""COMPUTED_VALUE"""),46185.0)</f>
        <v>46185</v>
      </c>
      <c r="B213" s="210">
        <f>IFERROR(__xludf.DUMMYFUNCTION("""COMPUTED_VALUE"""),0.5972222222226264)</f>
        <v>0.5972222222</v>
      </c>
      <c r="C213" s="211" t="str">
        <f>IFERROR(__xludf.DUMMYFUNCTION("""COMPUTED_VALUE"""),"Sms")</f>
        <v>Sms</v>
      </c>
      <c r="D213" s="211" t="str">
        <f>IFERROR(__xludf.DUMMYFUNCTION("""COMPUTED_VALUE"""),"Fallback campaign")</f>
        <v>Fallback campaign</v>
      </c>
      <c r="E213" s="211" t="str">
        <f>IFERROR(__xludf.DUMMYFUNCTION("""COMPUTED_VALUE"""),"Aldo")</f>
        <v>Aldo</v>
      </c>
      <c r="F213" s="211" t="str">
        <f>IFERROR(__xludf.DUMMYFUNCTION("""COMPUTED_VALUE"""),"ALDO_EOSS_JUNE-JULY 2026 - EOSS 30-60 Off Week 1")</f>
        <v>ALDO_EOSS_JUNE-JULY 2026 - EOSS 30-60 Off Week 1</v>
      </c>
      <c r="G213" s="211" t="str">
        <f>IFERROR(__xludf.DUMMYFUNCTION("""COMPUTED_VALUE"""),"SMS_Comm6_June_FB")</f>
        <v>SMS_Comm6_June_FB</v>
      </c>
      <c r="H213" s="212" t="str">
        <f>IFERROR(__xludf.DUMMYFUNCTION("""COMPUTED_VALUE"""),"AL_ON_OFF_Active_EOSS")</f>
        <v>AL_ON_OFF_Active_EOSS</v>
      </c>
      <c r="I213" s="212" t="str">
        <f>IFERROR(__xludf.DUMMYFUNCTION("""COMPUTED_VALUE"""),"RCS Undelivered")</f>
        <v>RCS Undelivered</v>
      </c>
      <c r="J213" s="213">
        <f>IFERROR(__xludf.DUMMYFUNCTION("""COMPUTED_VALUE"""),5512.0)</f>
        <v>5512</v>
      </c>
      <c r="K213" s="213">
        <f>IFERROR(__xludf.DUMMYFUNCTION("""COMPUTED_VALUE"""),3080.0)</f>
        <v>3080</v>
      </c>
      <c r="L213" s="214">
        <f>IFERROR(__xludf.DUMMYFUNCTION("""COMPUTED_VALUE"""),0.5588)</f>
        <v>0.5588</v>
      </c>
      <c r="M213" s="213">
        <f>IFERROR(__xludf.DUMMYFUNCTION("""COMPUTED_VALUE"""),0.0)</f>
        <v>0</v>
      </c>
      <c r="N213" s="214">
        <f>IFERROR(__xludf.DUMMYFUNCTION("""COMPUTED_VALUE"""),0.0)</f>
        <v>0</v>
      </c>
      <c r="O213" s="213">
        <f>IFERROR(__xludf.DUMMYFUNCTION("""COMPUTED_VALUE"""),16.0)</f>
        <v>16</v>
      </c>
      <c r="P213" s="213">
        <f>IFERROR(__xludf.DUMMYFUNCTION("""COMPUTED_VALUE"""),0.0)</f>
        <v>0</v>
      </c>
      <c r="Q213" s="214">
        <f>IFERROR(__xludf.DUMMYFUNCTION("""COMPUTED_VALUE"""),0.0052)</f>
        <v>0.0052</v>
      </c>
      <c r="R213" s="214">
        <f>IFERROR(__xludf.DUMMYFUNCTION("""COMPUTED_VALUE"""),0.0)</f>
        <v>0</v>
      </c>
      <c r="S213" s="213">
        <f>IFERROR(__xludf.DUMMYFUNCTION("""COMPUTED_VALUE"""),0.0)</f>
        <v>0</v>
      </c>
      <c r="T213" s="213">
        <f>IFERROR(__xludf.DUMMYFUNCTION("""COMPUTED_VALUE"""),0.0)</f>
        <v>0</v>
      </c>
      <c r="U213" s="213">
        <f>IFERROR(__xludf.DUMMYFUNCTION("""COMPUTED_VALUE"""),0.0)</f>
        <v>0</v>
      </c>
      <c r="V213" s="213" t="str">
        <f>IFERROR(__xludf.DUMMYFUNCTION("""COMPUTED_VALUE"""),"overall")</f>
        <v>overall</v>
      </c>
      <c r="W213" s="213" t="str">
        <f>IFERROR(__xludf.DUMMYFUNCTION("""COMPUTED_VALUE"""),"Sms")</f>
        <v>Sms</v>
      </c>
      <c r="X213" s="213" t="str">
        <f>IFERROR(__xludf.DUMMYFUNCTION("""COMPUTED_VALUE"""),"Active")</f>
        <v>Active</v>
      </c>
      <c r="Y213" s="213" t="str">
        <f>IFERROR(__xludf.DUMMYFUNCTION("""COMPUTED_VALUE"""),"14th June 2026, Sunday")</f>
        <v>14th June 2026, Sunday</v>
      </c>
      <c r="Z213" s="213" t="str">
        <f>IFERROR(__xludf.DUMMYFUNCTION("""COMPUTED_VALUE"""),"6a2bb39dc819f75e8e53f5f3")</f>
        <v>6a2bb39dc819f75e8e53f5f3</v>
      </c>
      <c r="AA213" s="213">
        <f>IFERROR(__xludf.DUMMYFUNCTION("""COMPUTED_VALUE"""),1.0)</f>
        <v>1</v>
      </c>
      <c r="AB213" s="213">
        <f>IFERROR(__xludf.DUMMYFUNCTION("""COMPUTED_VALUE"""),0.0)</f>
        <v>0</v>
      </c>
      <c r="AC213" s="213">
        <f>IFERROR(__xludf.DUMMYFUNCTION("""COMPUTED_VALUE"""),1.0)</f>
        <v>1</v>
      </c>
      <c r="AD213" s="213">
        <f>IFERROR(__xludf.DUMMYFUNCTION("""COMPUTED_VALUE"""),9090.0)</f>
        <v>9090</v>
      </c>
      <c r="AE213" s="213">
        <f>IFERROR(__xludf.DUMMYFUNCTION("""COMPUTED_VALUE"""),0.0)</f>
        <v>0</v>
      </c>
      <c r="AF213" s="213">
        <f>IFERROR(__xludf.DUMMYFUNCTION("""COMPUTED_VALUE"""),9090.0)</f>
        <v>9090</v>
      </c>
      <c r="AG213" s="208"/>
      <c r="AH213" s="208"/>
      <c r="AI213" s="208"/>
      <c r="AJ213" s="208"/>
      <c r="AK213" s="208"/>
    </row>
    <row r="214">
      <c r="A214" s="209">
        <f>IFERROR(__xludf.DUMMYFUNCTION("""COMPUTED_VALUE"""),46185.0)</f>
        <v>46185</v>
      </c>
      <c r="B214" s="210">
        <f>IFERROR(__xludf.DUMMYFUNCTION("""COMPUTED_VALUE"""),0.6006944444452529)</f>
        <v>0.6006944444</v>
      </c>
      <c r="C214" s="211" t="str">
        <f>IFERROR(__xludf.DUMMYFUNCTION("""COMPUTED_VALUE"""),"Sms")</f>
        <v>Sms</v>
      </c>
      <c r="D214" s="211" t="str">
        <f>IFERROR(__xludf.DUMMYFUNCTION("""COMPUTED_VALUE"""),"Fallback campaign")</f>
        <v>Fallback campaign</v>
      </c>
      <c r="E214" s="211" t="str">
        <f>IFERROR(__xludf.DUMMYFUNCTION("""COMPUTED_VALUE"""),"Aldo")</f>
        <v>Aldo</v>
      </c>
      <c r="F214" s="211" t="str">
        <f>IFERROR(__xludf.DUMMYFUNCTION("""COMPUTED_VALUE"""),"ALDO_EOSS_JUNE-JULY 2026 - EOSS 30-60 Off Week 1")</f>
        <v>ALDO_EOSS_JUNE-JULY 2026 - EOSS 30-60 Off Week 1</v>
      </c>
      <c r="G214" s="211" t="str">
        <f>IFERROR(__xludf.DUMMYFUNCTION("""COMPUTED_VALUE"""),"SMS_Comm7_June_FB")</f>
        <v>SMS_Comm7_June_FB</v>
      </c>
      <c r="H214" s="212" t="str">
        <f>IFERROR(__xludf.DUMMYFUNCTION("""COMPUTED_VALUE"""),"AL_Non-Txn_Base")</f>
        <v>AL_Non-Txn_Base</v>
      </c>
      <c r="I214" s="212" t="str">
        <f>IFERROR(__xludf.DUMMYFUNCTION("""COMPUTED_VALUE"""),"RCS Undelivered")</f>
        <v>RCS Undelivered</v>
      </c>
      <c r="J214" s="213">
        <f>IFERROR(__xludf.DUMMYFUNCTION("""COMPUTED_VALUE"""),41241.0)</f>
        <v>41241</v>
      </c>
      <c r="K214" s="213">
        <f>IFERROR(__xludf.DUMMYFUNCTION("""COMPUTED_VALUE"""),23404.0)</f>
        <v>23404</v>
      </c>
      <c r="L214" s="214">
        <f>IFERROR(__xludf.DUMMYFUNCTION("""COMPUTED_VALUE"""),0.5675)</f>
        <v>0.5675</v>
      </c>
      <c r="M214" s="213">
        <f>IFERROR(__xludf.DUMMYFUNCTION("""COMPUTED_VALUE"""),0.0)</f>
        <v>0</v>
      </c>
      <c r="N214" s="214">
        <f>IFERROR(__xludf.DUMMYFUNCTION("""COMPUTED_VALUE"""),0.0)</f>
        <v>0</v>
      </c>
      <c r="O214" s="213">
        <f>IFERROR(__xludf.DUMMYFUNCTION("""COMPUTED_VALUE"""),80.0)</f>
        <v>80</v>
      </c>
      <c r="P214" s="213">
        <f>IFERROR(__xludf.DUMMYFUNCTION("""COMPUTED_VALUE"""),0.0)</f>
        <v>0</v>
      </c>
      <c r="Q214" s="214">
        <f>IFERROR(__xludf.DUMMYFUNCTION("""COMPUTED_VALUE"""),0.0034)</f>
        <v>0.0034</v>
      </c>
      <c r="R214" s="214">
        <f>IFERROR(__xludf.DUMMYFUNCTION("""COMPUTED_VALUE"""),0.0)</f>
        <v>0</v>
      </c>
      <c r="S214" s="213">
        <f>IFERROR(__xludf.DUMMYFUNCTION("""COMPUTED_VALUE"""),0.0)</f>
        <v>0</v>
      </c>
      <c r="T214" s="213">
        <f>IFERROR(__xludf.DUMMYFUNCTION("""COMPUTED_VALUE"""),0.0)</f>
        <v>0</v>
      </c>
      <c r="U214" s="213">
        <f>IFERROR(__xludf.DUMMYFUNCTION("""COMPUTED_VALUE"""),0.0)</f>
        <v>0</v>
      </c>
      <c r="V214" s="213" t="str">
        <f>IFERROR(__xludf.DUMMYFUNCTION("""COMPUTED_VALUE"""),"overall")</f>
        <v>overall</v>
      </c>
      <c r="W214" s="213" t="str">
        <f>IFERROR(__xludf.DUMMYFUNCTION("""COMPUTED_VALUE"""),"Sms")</f>
        <v>Sms</v>
      </c>
      <c r="X214" s="213" t="str">
        <f>IFERROR(__xludf.DUMMYFUNCTION("""COMPUTED_VALUE"""),"Non - Txn Base")</f>
        <v>Non - Txn Base</v>
      </c>
      <c r="Y214" s="213" t="str">
        <f>IFERROR(__xludf.DUMMYFUNCTION("""COMPUTED_VALUE"""),"14th June 2026, Sunday")</f>
        <v>14th June 2026, Sunday</v>
      </c>
      <c r="Z214" s="213" t="str">
        <f>IFERROR(__xludf.DUMMYFUNCTION("""COMPUTED_VALUE"""),"6a2bb414e8ce3399a1b7f793")</f>
        <v>6a2bb414e8ce3399a1b7f793</v>
      </c>
      <c r="AA214" s="213">
        <f>IFERROR(__xludf.DUMMYFUNCTION("""COMPUTED_VALUE"""),5.0)</f>
        <v>5</v>
      </c>
      <c r="AB214" s="213">
        <f>IFERROR(__xludf.DUMMYFUNCTION("""COMPUTED_VALUE"""),1.0)</f>
        <v>1</v>
      </c>
      <c r="AC214" s="213">
        <f>IFERROR(__xludf.DUMMYFUNCTION("""COMPUTED_VALUE"""),4.0)</f>
        <v>4</v>
      </c>
      <c r="AD214" s="213">
        <f>IFERROR(__xludf.DUMMYFUNCTION("""COMPUTED_VALUE"""),37058.0)</f>
        <v>37058</v>
      </c>
      <c r="AE214" s="213">
        <f>IFERROR(__xludf.DUMMYFUNCTION("""COMPUTED_VALUE"""),3599.0)</f>
        <v>3599</v>
      </c>
      <c r="AF214" s="213">
        <f>IFERROR(__xludf.DUMMYFUNCTION("""COMPUTED_VALUE"""),33459.0)</f>
        <v>33459</v>
      </c>
      <c r="AG214" s="208"/>
      <c r="AH214" s="208"/>
      <c r="AI214" s="208"/>
      <c r="AJ214" s="208"/>
      <c r="AK214" s="208"/>
    </row>
    <row r="215">
      <c r="A215" s="209">
        <f>IFERROR(__xludf.DUMMYFUNCTION("""COMPUTED_VALUE"""),46185.0)</f>
        <v>46185</v>
      </c>
      <c r="B215" s="210">
        <f>IFERROR(__xludf.DUMMYFUNCTION("""COMPUTED_VALUE"""),0.4791666666678793)</f>
        <v>0.4791666667</v>
      </c>
      <c r="C215" s="211" t="str">
        <f>IFERROR(__xludf.DUMMYFUNCTION("""COMPUTED_VALUE"""),"Rcs")</f>
        <v>Rcs</v>
      </c>
      <c r="D215" s="211" t="str">
        <f>IFERROR(__xludf.DUMMYFUNCTION("""COMPUTED_VALUE"""),"Fallback campaign")</f>
        <v>Fallback campaign</v>
      </c>
      <c r="E215" s="211" t="str">
        <f>IFERROR(__xludf.DUMMYFUNCTION("""COMPUTED_VALUE"""),"Aldo")</f>
        <v>Aldo</v>
      </c>
      <c r="F215" s="211" t="str">
        <f>IFERROR(__xludf.DUMMYFUNCTION("""COMPUTED_VALUE"""),"ALDO_EOSS_JUNE-JULY 2026 - EOSS 30-60 Off Week 1")</f>
        <v>ALDO_EOSS_JUNE-JULY 2026 - EOSS 30-60 Off Week 1</v>
      </c>
      <c r="G215" s="211" t="str">
        <f>IFERROR(__xludf.DUMMYFUNCTION("""COMPUTED_VALUE"""),"RCS_Comm1_EOSS_12June2026")</f>
        <v>RCS_Comm1_EOSS_12June2026</v>
      </c>
      <c r="H215" s="212" t="str">
        <f>IFERROR(__xludf.DUMMYFUNCTION("""COMPUTED_VALUE"""),"AL_ON_ATC_90D")</f>
        <v>AL_ON_ATC_90D</v>
      </c>
      <c r="I215" s="212" t="str">
        <f>IFERROR(__xludf.DUMMYFUNCTION("""COMPUTED_VALUE"""),"WA Undelivered")</f>
        <v>WA Undelivered</v>
      </c>
      <c r="J215" s="213">
        <f>IFERROR(__xludf.DUMMYFUNCTION("""COMPUTED_VALUE"""),1878.0)</f>
        <v>1878</v>
      </c>
      <c r="K215" s="213">
        <f>IFERROR(__xludf.DUMMYFUNCTION("""COMPUTED_VALUE"""),348.0)</f>
        <v>348</v>
      </c>
      <c r="L215" s="214">
        <f>IFERROR(__xludf.DUMMYFUNCTION("""COMPUTED_VALUE"""),0.1853)</f>
        <v>0.1853</v>
      </c>
      <c r="M215" s="213">
        <f>IFERROR(__xludf.DUMMYFUNCTION("""COMPUTED_VALUE"""),75.0)</f>
        <v>75</v>
      </c>
      <c r="N215" s="214">
        <f>IFERROR(__xludf.DUMMYFUNCTION("""COMPUTED_VALUE"""),0.2155)</f>
        <v>0.2155</v>
      </c>
      <c r="O215" s="213">
        <f>IFERROR(__xludf.DUMMYFUNCTION("""COMPUTED_VALUE"""),6.0)</f>
        <v>6</v>
      </c>
      <c r="P215" s="213">
        <f>IFERROR(__xludf.DUMMYFUNCTION("""COMPUTED_VALUE"""),0.0)</f>
        <v>0</v>
      </c>
      <c r="Q215" s="214">
        <f>IFERROR(__xludf.DUMMYFUNCTION("""COMPUTED_VALUE"""),0.023)</f>
        <v>0.023</v>
      </c>
      <c r="R215" s="214">
        <f>IFERROR(__xludf.DUMMYFUNCTION("""COMPUTED_VALUE"""),0.0)</f>
        <v>0</v>
      </c>
      <c r="S215" s="213">
        <f>IFERROR(__xludf.DUMMYFUNCTION("""COMPUTED_VALUE"""),0.0)</f>
        <v>0</v>
      </c>
      <c r="T215" s="213">
        <f>IFERROR(__xludf.DUMMYFUNCTION("""COMPUTED_VALUE"""),0.0)</f>
        <v>0</v>
      </c>
      <c r="U215" s="213">
        <f>IFERROR(__xludf.DUMMYFUNCTION("""COMPUTED_VALUE"""),0.0)</f>
        <v>0</v>
      </c>
      <c r="V215" s="213" t="str">
        <f>IFERROR(__xludf.DUMMYFUNCTION("""COMPUTED_VALUE"""),"online")</f>
        <v>online</v>
      </c>
      <c r="W215" s="213" t="str">
        <f>IFERROR(__xludf.DUMMYFUNCTION("""COMPUTED_VALUE"""),"Rcs")</f>
        <v>Rcs</v>
      </c>
      <c r="X215" s="213" t="str">
        <f>IFERROR(__xludf.DUMMYFUNCTION("""COMPUTED_VALUE"""),"Add to Cart")</f>
        <v>Add to Cart</v>
      </c>
      <c r="Y215" s="213" t="str">
        <f>IFERROR(__xludf.DUMMYFUNCTION("""COMPUTED_VALUE"""),"14th June 2026, Sunday")</f>
        <v>14th June 2026, Sunday</v>
      </c>
      <c r="Z215" s="213" t="str">
        <f>IFERROR(__xludf.DUMMYFUNCTION("""COMPUTED_VALUE"""),"6a2b9bdbf5949eb598816a94")</f>
        <v>6a2b9bdbf5949eb598816a94</v>
      </c>
      <c r="AA215" s="213">
        <f>IFERROR(__xludf.DUMMYFUNCTION("""COMPUTED_VALUE"""),0.0)</f>
        <v>0</v>
      </c>
      <c r="AB215" s="213">
        <f>IFERROR(__xludf.DUMMYFUNCTION("""COMPUTED_VALUE"""),0.0)</f>
        <v>0</v>
      </c>
      <c r="AC215" s="213"/>
      <c r="AD215" s="213">
        <f>IFERROR(__xludf.DUMMYFUNCTION("""COMPUTED_VALUE"""),0.0)</f>
        <v>0</v>
      </c>
      <c r="AE215" s="213">
        <f>IFERROR(__xludf.DUMMYFUNCTION("""COMPUTED_VALUE"""),0.0)</f>
        <v>0</v>
      </c>
      <c r="AF215" s="213"/>
      <c r="AG215" s="208"/>
      <c r="AH215" s="208"/>
      <c r="AI215" s="208"/>
      <c r="AJ215" s="208"/>
      <c r="AK215" s="208"/>
    </row>
    <row r="216">
      <c r="A216" s="209">
        <f>IFERROR(__xludf.DUMMYFUNCTION("""COMPUTED_VALUE"""),46185.0)</f>
        <v>46185</v>
      </c>
      <c r="B216" s="210">
        <f>IFERROR(__xludf.DUMMYFUNCTION("""COMPUTED_VALUE"""),0.48263888889050577)</f>
        <v>0.4826388889</v>
      </c>
      <c r="C216" s="211" t="str">
        <f>IFERROR(__xludf.DUMMYFUNCTION("""COMPUTED_VALUE"""),"Rcs")</f>
        <v>Rcs</v>
      </c>
      <c r="D216" s="211" t="str">
        <f>IFERROR(__xludf.DUMMYFUNCTION("""COMPUTED_VALUE"""),"Fallback campaign")</f>
        <v>Fallback campaign</v>
      </c>
      <c r="E216" s="211" t="str">
        <f>IFERROR(__xludf.DUMMYFUNCTION("""COMPUTED_VALUE"""),"Aldo")</f>
        <v>Aldo</v>
      </c>
      <c r="F216" s="211" t="str">
        <f>IFERROR(__xludf.DUMMYFUNCTION("""COMPUTED_VALUE"""),"ALDO_EOSS_JUNE-JULY 2026 - EOSS 30-60 Off Week 1")</f>
        <v>ALDO_EOSS_JUNE-JULY 2026 - EOSS 30-60 Off Week 1</v>
      </c>
      <c r="G216" s="211" t="str">
        <f>IFERROR(__xludf.DUMMYFUNCTION("""COMPUTED_VALUE"""),"RCS_Comm2_EOSS_12June2026")</f>
        <v>RCS_Comm2_EOSS_12June2026</v>
      </c>
      <c r="H216" s="212" t="str">
        <f>IFERROR(__xludf.DUMMYFUNCTION("""COMPUTED_VALUE"""),"AL_ON_View_Item")</f>
        <v>AL_ON_View_Item</v>
      </c>
      <c r="I216" s="212" t="str">
        <f>IFERROR(__xludf.DUMMYFUNCTION("""COMPUTED_VALUE"""),"WA Undelivered")</f>
        <v>WA Undelivered</v>
      </c>
      <c r="J216" s="213">
        <f>IFERROR(__xludf.DUMMYFUNCTION("""COMPUTED_VALUE"""),172.0)</f>
        <v>172</v>
      </c>
      <c r="K216" s="213">
        <f>IFERROR(__xludf.DUMMYFUNCTION("""COMPUTED_VALUE"""),30.0)</f>
        <v>30</v>
      </c>
      <c r="L216" s="214">
        <f>IFERROR(__xludf.DUMMYFUNCTION("""COMPUTED_VALUE"""),0.1744)</f>
        <v>0.1744</v>
      </c>
      <c r="M216" s="213">
        <f>IFERROR(__xludf.DUMMYFUNCTION("""COMPUTED_VALUE"""),3.0)</f>
        <v>3</v>
      </c>
      <c r="N216" s="214">
        <f>IFERROR(__xludf.DUMMYFUNCTION("""COMPUTED_VALUE"""),0.1)</f>
        <v>0.1</v>
      </c>
      <c r="O216" s="213">
        <f>IFERROR(__xludf.DUMMYFUNCTION("""COMPUTED_VALUE"""),0.0)</f>
        <v>0</v>
      </c>
      <c r="P216" s="213">
        <f>IFERROR(__xludf.DUMMYFUNCTION("""COMPUTED_VALUE"""),0.0)</f>
        <v>0</v>
      </c>
      <c r="Q216" s="214">
        <f>IFERROR(__xludf.DUMMYFUNCTION("""COMPUTED_VALUE"""),0.0)</f>
        <v>0</v>
      </c>
      <c r="R216" s="214">
        <f>IFERROR(__xludf.DUMMYFUNCTION("""COMPUTED_VALUE"""),0.0)</f>
        <v>0</v>
      </c>
      <c r="S216" s="213">
        <f>IFERROR(__xludf.DUMMYFUNCTION("""COMPUTED_VALUE"""),0.0)</f>
        <v>0</v>
      </c>
      <c r="T216" s="213">
        <f>IFERROR(__xludf.DUMMYFUNCTION("""COMPUTED_VALUE"""),0.0)</f>
        <v>0</v>
      </c>
      <c r="U216" s="213">
        <f>IFERROR(__xludf.DUMMYFUNCTION("""COMPUTED_VALUE"""),0.0)</f>
        <v>0</v>
      </c>
      <c r="V216" s="213" t="str">
        <f>IFERROR(__xludf.DUMMYFUNCTION("""COMPUTED_VALUE"""),"online")</f>
        <v>online</v>
      </c>
      <c r="W216" s="213" t="str">
        <f>IFERROR(__xludf.DUMMYFUNCTION("""COMPUTED_VALUE"""),"Rcs")</f>
        <v>Rcs</v>
      </c>
      <c r="X216" s="213" t="str">
        <f>IFERROR(__xludf.DUMMYFUNCTION("""COMPUTED_VALUE"""),"View Item")</f>
        <v>View Item</v>
      </c>
      <c r="Y216" s="213" t="str">
        <f>IFERROR(__xludf.DUMMYFUNCTION("""COMPUTED_VALUE"""),"14th June 2026, Sunday")</f>
        <v>14th June 2026, Sunday</v>
      </c>
      <c r="Z216" s="213" t="str">
        <f>IFERROR(__xludf.DUMMYFUNCTION("""COMPUTED_VALUE"""),"6a2b9c16b6170b13d88b8834")</f>
        <v>6a2b9c16b6170b13d88b8834</v>
      </c>
      <c r="AA216" s="213">
        <f>IFERROR(__xludf.DUMMYFUNCTION("""COMPUTED_VALUE"""),0.0)</f>
        <v>0</v>
      </c>
      <c r="AB216" s="213">
        <f>IFERROR(__xludf.DUMMYFUNCTION("""COMPUTED_VALUE"""),0.0)</f>
        <v>0</v>
      </c>
      <c r="AC216" s="213"/>
      <c r="AD216" s="213">
        <f>IFERROR(__xludf.DUMMYFUNCTION("""COMPUTED_VALUE"""),0.0)</f>
        <v>0</v>
      </c>
      <c r="AE216" s="213">
        <f>IFERROR(__xludf.DUMMYFUNCTION("""COMPUTED_VALUE"""),0.0)</f>
        <v>0</v>
      </c>
      <c r="AF216" s="213"/>
      <c r="AG216" s="208"/>
      <c r="AH216" s="208"/>
      <c r="AI216" s="208"/>
      <c r="AJ216" s="208"/>
      <c r="AK216" s="208"/>
    </row>
    <row r="217">
      <c r="A217" s="209">
        <f>IFERROR(__xludf.DUMMYFUNCTION("""COMPUTED_VALUE"""),46185.0)</f>
        <v>46185</v>
      </c>
      <c r="B217" s="210">
        <f>IFERROR(__xludf.DUMMYFUNCTION("""COMPUTED_VALUE"""),0.48611111110949423)</f>
        <v>0.4861111111</v>
      </c>
      <c r="C217" s="211" t="str">
        <f>IFERROR(__xludf.DUMMYFUNCTION("""COMPUTED_VALUE"""),"Rcs")</f>
        <v>Rcs</v>
      </c>
      <c r="D217" s="211" t="str">
        <f>IFERROR(__xludf.DUMMYFUNCTION("""COMPUTED_VALUE"""),"Fallback campaign")</f>
        <v>Fallback campaign</v>
      </c>
      <c r="E217" s="211" t="str">
        <f>IFERROR(__xludf.DUMMYFUNCTION("""COMPUTED_VALUE"""),"Aldo")</f>
        <v>Aldo</v>
      </c>
      <c r="F217" s="211" t="str">
        <f>IFERROR(__xludf.DUMMYFUNCTION("""COMPUTED_VALUE"""),"ALDO_EOSS_JUNE-JULY 2026 - EOSS 30-60 Off Week 1")</f>
        <v>ALDO_EOSS_JUNE-JULY 2026 - EOSS 30-60 Off Week 1</v>
      </c>
      <c r="G217" s="211" t="str">
        <f>IFERROR(__xludf.DUMMYFUNCTION("""COMPUTED_VALUE"""),"RCS_Comm3_EOSS_12thJune2026")</f>
        <v>RCS_Comm3_EOSS_12thJune2026</v>
      </c>
      <c r="H217" s="212" t="str">
        <f>IFERROR(__xludf.DUMMYFUNCTION("""COMPUTED_VALUE"""),"AL_ON_OFF_Event_Buyers_EOSS")</f>
        <v>AL_ON_OFF_Event_Buyers_EOSS</v>
      </c>
      <c r="I217" s="212" t="str">
        <f>IFERROR(__xludf.DUMMYFUNCTION("""COMPUTED_VALUE"""),"WA Undelivered")</f>
        <v>WA Undelivered</v>
      </c>
      <c r="J217" s="213">
        <f>IFERROR(__xludf.DUMMYFUNCTION("""COMPUTED_VALUE"""),28269.0)</f>
        <v>28269</v>
      </c>
      <c r="K217" s="213">
        <f>IFERROR(__xludf.DUMMYFUNCTION("""COMPUTED_VALUE"""),4821.0)</f>
        <v>4821</v>
      </c>
      <c r="L217" s="214">
        <f>IFERROR(__xludf.DUMMYFUNCTION("""COMPUTED_VALUE"""),0.1705)</f>
        <v>0.1705</v>
      </c>
      <c r="M217" s="213">
        <f>IFERROR(__xludf.DUMMYFUNCTION("""COMPUTED_VALUE"""),950.0)</f>
        <v>950</v>
      </c>
      <c r="N217" s="214">
        <f>IFERROR(__xludf.DUMMYFUNCTION("""COMPUTED_VALUE"""),0.1971)</f>
        <v>0.1971</v>
      </c>
      <c r="O217" s="213">
        <f>IFERROR(__xludf.DUMMYFUNCTION("""COMPUTED_VALUE"""),52.0)</f>
        <v>52</v>
      </c>
      <c r="P217" s="213">
        <f>IFERROR(__xludf.DUMMYFUNCTION("""COMPUTED_VALUE"""),0.0)</f>
        <v>0</v>
      </c>
      <c r="Q217" s="214">
        <f>IFERROR(__xludf.DUMMYFUNCTION("""COMPUTED_VALUE"""),0.0122)</f>
        <v>0.0122</v>
      </c>
      <c r="R217" s="214">
        <f>IFERROR(__xludf.DUMMYFUNCTION("""COMPUTED_VALUE"""),0.0)</f>
        <v>0</v>
      </c>
      <c r="S217" s="213">
        <f>IFERROR(__xludf.DUMMYFUNCTION("""COMPUTED_VALUE"""),2.0)</f>
        <v>2</v>
      </c>
      <c r="T217" s="213">
        <f>IFERROR(__xludf.DUMMYFUNCTION("""COMPUTED_VALUE"""),0.0)</f>
        <v>0</v>
      </c>
      <c r="U217" s="213">
        <f>IFERROR(__xludf.DUMMYFUNCTION("""COMPUTED_VALUE"""),11898.0)</f>
        <v>11898</v>
      </c>
      <c r="V217" s="213" t="str">
        <f>IFERROR(__xludf.DUMMYFUNCTION("""COMPUTED_VALUE"""),"overall")</f>
        <v>overall</v>
      </c>
      <c r="W217" s="213" t="str">
        <f>IFERROR(__xludf.DUMMYFUNCTION("""COMPUTED_VALUE"""),"Rcs")</f>
        <v>Rcs</v>
      </c>
      <c r="X217" s="213" t="str">
        <f>IFERROR(__xludf.DUMMYFUNCTION("""COMPUTED_VALUE"""),"Event Buyers")</f>
        <v>Event Buyers</v>
      </c>
      <c r="Y217" s="213" t="str">
        <f>IFERROR(__xludf.DUMMYFUNCTION("""COMPUTED_VALUE"""),"14th June 2026, Sunday")</f>
        <v>14th June 2026, Sunday</v>
      </c>
      <c r="Z217" s="213" t="str">
        <f>IFERROR(__xludf.DUMMYFUNCTION("""COMPUTED_VALUE"""),"6a2b9cadeebffb14998bbd94")</f>
        <v>6a2b9cadeebffb14998bbd94</v>
      </c>
      <c r="AA217" s="213">
        <f>IFERROR(__xludf.DUMMYFUNCTION("""COMPUTED_VALUE"""),5.0)</f>
        <v>5</v>
      </c>
      <c r="AB217" s="213">
        <f>IFERROR(__xludf.DUMMYFUNCTION("""COMPUTED_VALUE"""),2.0)</f>
        <v>2</v>
      </c>
      <c r="AC217" s="213">
        <f>IFERROR(__xludf.DUMMYFUNCTION("""COMPUTED_VALUE"""),3.0)</f>
        <v>3</v>
      </c>
      <c r="AD217" s="213">
        <f>IFERROR(__xludf.DUMMYFUNCTION("""COMPUTED_VALUE"""),30868.0)</f>
        <v>30868</v>
      </c>
      <c r="AE217" s="213">
        <f>IFERROR(__xludf.DUMMYFUNCTION("""COMPUTED_VALUE"""),6998.0)</f>
        <v>6998</v>
      </c>
      <c r="AF217" s="213">
        <f>IFERROR(__xludf.DUMMYFUNCTION("""COMPUTED_VALUE"""),23870.0)</f>
        <v>23870</v>
      </c>
      <c r="AG217" s="208"/>
      <c r="AH217" s="208"/>
      <c r="AI217" s="208"/>
      <c r="AJ217" s="208"/>
      <c r="AK217" s="208"/>
    </row>
    <row r="218">
      <c r="A218" s="209">
        <f>IFERROR(__xludf.DUMMYFUNCTION("""COMPUTED_VALUE"""),46185.0)</f>
        <v>46185</v>
      </c>
      <c r="B218" s="210">
        <f>IFERROR(__xludf.DUMMYFUNCTION("""COMPUTED_VALUE"""),0.4895833333321207)</f>
        <v>0.4895833333</v>
      </c>
      <c r="C218" s="211" t="str">
        <f>IFERROR(__xludf.DUMMYFUNCTION("""COMPUTED_VALUE"""),"Rcs")</f>
        <v>Rcs</v>
      </c>
      <c r="D218" s="211" t="str">
        <f>IFERROR(__xludf.DUMMYFUNCTION("""COMPUTED_VALUE"""),"Fallback campaign")</f>
        <v>Fallback campaign</v>
      </c>
      <c r="E218" s="211" t="str">
        <f>IFERROR(__xludf.DUMMYFUNCTION("""COMPUTED_VALUE"""),"Aldo")</f>
        <v>Aldo</v>
      </c>
      <c r="F218" s="211" t="str">
        <f>IFERROR(__xludf.DUMMYFUNCTION("""COMPUTED_VALUE"""),"ALDO_EOSS_JUNE-JULY 2026 - EOSS 30-60 Off Week 1")</f>
        <v>ALDO_EOSS_JUNE-JULY 2026 - EOSS 30-60 Off Week 1</v>
      </c>
      <c r="G218" s="211" t="str">
        <f>IFERROR(__xludf.DUMMYFUNCTION("""COMPUTED_VALUE"""),"ON_OFF_DIC_Comm4_EOSS_RCS")</f>
        <v>ON_OFF_DIC_Comm4_EOSS_RCS</v>
      </c>
      <c r="H218" s="212" t="str">
        <f>IFERROR(__xludf.DUMMYFUNCTION("""COMPUTED_VALUE"""),"AL_ON_OFF_DISC_PERC_30+")</f>
        <v>AL_ON_OFF_DISC_PERC_30+</v>
      </c>
      <c r="I218" s="212" t="str">
        <f>IFERROR(__xludf.DUMMYFUNCTION("""COMPUTED_VALUE"""),"WA Undelivered")</f>
        <v>WA Undelivered</v>
      </c>
      <c r="J218" s="213">
        <f>IFERROR(__xludf.DUMMYFUNCTION("""COMPUTED_VALUE"""),5915.0)</f>
        <v>5915</v>
      </c>
      <c r="K218" s="213">
        <f>IFERROR(__xludf.DUMMYFUNCTION("""COMPUTED_VALUE"""),991.0)</f>
        <v>991</v>
      </c>
      <c r="L218" s="214">
        <f>IFERROR(__xludf.DUMMYFUNCTION("""COMPUTED_VALUE"""),0.1675)</f>
        <v>0.1675</v>
      </c>
      <c r="M218" s="213">
        <f>IFERROR(__xludf.DUMMYFUNCTION("""COMPUTED_VALUE"""),189.0)</f>
        <v>189</v>
      </c>
      <c r="N218" s="214">
        <f>IFERROR(__xludf.DUMMYFUNCTION("""COMPUTED_VALUE"""),0.1907)</f>
        <v>0.1907</v>
      </c>
      <c r="O218" s="213">
        <f>IFERROR(__xludf.DUMMYFUNCTION("""COMPUTED_VALUE"""),10.0)</f>
        <v>10</v>
      </c>
      <c r="P218" s="213">
        <f>IFERROR(__xludf.DUMMYFUNCTION("""COMPUTED_VALUE"""),0.0)</f>
        <v>0</v>
      </c>
      <c r="Q218" s="214">
        <f>IFERROR(__xludf.DUMMYFUNCTION("""COMPUTED_VALUE"""),0.0101)</f>
        <v>0.0101</v>
      </c>
      <c r="R218" s="214">
        <f>IFERROR(__xludf.DUMMYFUNCTION("""COMPUTED_VALUE"""),0.0)</f>
        <v>0</v>
      </c>
      <c r="S218" s="213">
        <f>IFERROR(__xludf.DUMMYFUNCTION("""COMPUTED_VALUE"""),1.0)</f>
        <v>1</v>
      </c>
      <c r="T218" s="213">
        <f>IFERROR(__xludf.DUMMYFUNCTION("""COMPUTED_VALUE"""),0.0)</f>
        <v>0</v>
      </c>
      <c r="U218" s="213">
        <f>IFERROR(__xludf.DUMMYFUNCTION("""COMPUTED_VALUE"""),3499.0)</f>
        <v>3499</v>
      </c>
      <c r="V218" s="213" t="str">
        <f>IFERROR(__xludf.DUMMYFUNCTION("""COMPUTED_VALUE"""),"overall")</f>
        <v>overall</v>
      </c>
      <c r="W218" s="213" t="str">
        <f>IFERROR(__xludf.DUMMYFUNCTION("""COMPUTED_VALUE"""),"Rcs")</f>
        <v>Rcs</v>
      </c>
      <c r="X218" s="213" t="str">
        <f>IFERROR(__xludf.DUMMYFUNCTION("""COMPUTED_VALUE"""),"Discount Buyers - 30% above")</f>
        <v>Discount Buyers - 30% above</v>
      </c>
      <c r="Y218" s="213" t="str">
        <f>IFERROR(__xludf.DUMMYFUNCTION("""COMPUTED_VALUE"""),"14th June 2026, Sunday")</f>
        <v>14th June 2026, Sunday</v>
      </c>
      <c r="Z218" s="213" t="str">
        <f>IFERROR(__xludf.DUMMYFUNCTION("""COMPUTED_VALUE"""),"6a2b9d0c1446dbae6f3721cd")</f>
        <v>6a2b9d0c1446dbae6f3721cd</v>
      </c>
      <c r="AA218" s="213">
        <f>IFERROR(__xludf.DUMMYFUNCTION("""COMPUTED_VALUE"""),2.0)</f>
        <v>2</v>
      </c>
      <c r="AB218" s="213">
        <f>IFERROR(__xludf.DUMMYFUNCTION("""COMPUTED_VALUE"""),2.0)</f>
        <v>2</v>
      </c>
      <c r="AC218" s="213">
        <f>IFERROR(__xludf.DUMMYFUNCTION("""COMPUTED_VALUE"""),0.0)</f>
        <v>0</v>
      </c>
      <c r="AD218" s="213">
        <f>IFERROR(__xludf.DUMMYFUNCTION("""COMPUTED_VALUE"""),7498.0)</f>
        <v>7498</v>
      </c>
      <c r="AE218" s="213">
        <f>IFERROR(__xludf.DUMMYFUNCTION("""COMPUTED_VALUE"""),7498.0)</f>
        <v>7498</v>
      </c>
      <c r="AF218" s="213">
        <f>IFERROR(__xludf.DUMMYFUNCTION("""COMPUTED_VALUE"""),0.0)</f>
        <v>0</v>
      </c>
      <c r="AG218" s="208"/>
      <c r="AH218" s="208"/>
      <c r="AI218" s="208"/>
      <c r="AJ218" s="208"/>
      <c r="AK218" s="208"/>
    </row>
    <row r="219">
      <c r="A219" s="209">
        <f>IFERROR(__xludf.DUMMYFUNCTION("""COMPUTED_VALUE"""),46185.0)</f>
        <v>46185</v>
      </c>
      <c r="B219" s="210">
        <f>IFERROR(__xludf.DUMMYFUNCTION("""COMPUTED_VALUE"""),0.4930555555547471)</f>
        <v>0.4930555556</v>
      </c>
      <c r="C219" s="211" t="str">
        <f>IFERROR(__xludf.DUMMYFUNCTION("""COMPUTED_VALUE"""),"Rcs")</f>
        <v>Rcs</v>
      </c>
      <c r="D219" s="211" t="str">
        <f>IFERROR(__xludf.DUMMYFUNCTION("""COMPUTED_VALUE"""),"Fallback campaign")</f>
        <v>Fallback campaign</v>
      </c>
      <c r="E219" s="211" t="str">
        <f>IFERROR(__xludf.DUMMYFUNCTION("""COMPUTED_VALUE"""),"Aldo")</f>
        <v>Aldo</v>
      </c>
      <c r="F219" s="211" t="str">
        <f>IFERROR(__xludf.DUMMYFUNCTION("""COMPUTED_VALUE"""),"ALDO_EOSS_JUNE-JULY 2026 - EOSS 30-60 Off Week 1")</f>
        <v>ALDO_EOSS_JUNE-JULY 2026 - EOSS 30-60 Off Week 1</v>
      </c>
      <c r="G219" s="211" t="str">
        <f>IFERROR(__xludf.DUMMYFUNCTION("""COMPUTED_VALUE"""),"DISC_RPT_Comm4_EOSS_RCS")</f>
        <v>DISC_RPT_Comm4_EOSS_RCS</v>
      </c>
      <c r="H219" s="212" t="str">
        <f>IFERROR(__xludf.DUMMYFUNCTION("""COMPUTED_VALUE"""),"AL_ON_OFF_DISC_RPT")</f>
        <v>AL_ON_OFF_DISC_RPT</v>
      </c>
      <c r="I219" s="212" t="str">
        <f>IFERROR(__xludf.DUMMYFUNCTION("""COMPUTED_VALUE"""),"WA Undelivered")</f>
        <v>WA Undelivered</v>
      </c>
      <c r="J219" s="213">
        <f>IFERROR(__xludf.DUMMYFUNCTION("""COMPUTED_VALUE"""),3967.0)</f>
        <v>3967</v>
      </c>
      <c r="K219" s="213">
        <f>IFERROR(__xludf.DUMMYFUNCTION("""COMPUTED_VALUE"""),700.0)</f>
        <v>700</v>
      </c>
      <c r="L219" s="214">
        <f>IFERROR(__xludf.DUMMYFUNCTION("""COMPUTED_VALUE"""),0.1765)</f>
        <v>0.1765</v>
      </c>
      <c r="M219" s="213">
        <f>IFERROR(__xludf.DUMMYFUNCTION("""COMPUTED_VALUE"""),145.0)</f>
        <v>145</v>
      </c>
      <c r="N219" s="214">
        <f>IFERROR(__xludf.DUMMYFUNCTION("""COMPUTED_VALUE"""),0.2071)</f>
        <v>0.2071</v>
      </c>
      <c r="O219" s="213">
        <f>IFERROR(__xludf.DUMMYFUNCTION("""COMPUTED_VALUE"""),7.0)</f>
        <v>7</v>
      </c>
      <c r="P219" s="213">
        <f>IFERROR(__xludf.DUMMYFUNCTION("""COMPUTED_VALUE"""),0.0)</f>
        <v>0</v>
      </c>
      <c r="Q219" s="214">
        <f>IFERROR(__xludf.DUMMYFUNCTION("""COMPUTED_VALUE"""),0.01)</f>
        <v>0.01</v>
      </c>
      <c r="R219" s="214">
        <f>IFERROR(__xludf.DUMMYFUNCTION("""COMPUTED_VALUE"""),0.0)</f>
        <v>0</v>
      </c>
      <c r="S219" s="213">
        <f>IFERROR(__xludf.DUMMYFUNCTION("""COMPUTED_VALUE"""),0.0)</f>
        <v>0</v>
      </c>
      <c r="T219" s="213">
        <f>IFERROR(__xludf.DUMMYFUNCTION("""COMPUTED_VALUE"""),0.0)</f>
        <v>0</v>
      </c>
      <c r="U219" s="213">
        <f>IFERROR(__xludf.DUMMYFUNCTION("""COMPUTED_VALUE"""),0.0)</f>
        <v>0</v>
      </c>
      <c r="V219" s="213" t="str">
        <f>IFERROR(__xludf.DUMMYFUNCTION("""COMPUTED_VALUE"""),"overall")</f>
        <v>overall</v>
      </c>
      <c r="W219" s="213" t="str">
        <f>IFERROR(__xludf.DUMMYFUNCTION("""COMPUTED_VALUE"""),"Rcs")</f>
        <v>Rcs</v>
      </c>
      <c r="X219" s="213" t="str">
        <f>IFERROR(__xludf.DUMMYFUNCTION("""COMPUTED_VALUE"""),"Discount Repeat Buyers")</f>
        <v>Discount Repeat Buyers</v>
      </c>
      <c r="Y219" s="213" t="str">
        <f>IFERROR(__xludf.DUMMYFUNCTION("""COMPUTED_VALUE"""),"14th June 2026, Sunday")</f>
        <v>14th June 2026, Sunday</v>
      </c>
      <c r="Z219" s="213" t="str">
        <f>IFERROR(__xludf.DUMMYFUNCTION("""COMPUTED_VALUE"""),"6a2b9d4f0b3864b6c0c711a6")</f>
        <v>6a2b9d4f0b3864b6c0c711a6</v>
      </c>
      <c r="AA219" s="213">
        <f>IFERROR(__xludf.DUMMYFUNCTION("""COMPUTED_VALUE"""),3.0)</f>
        <v>3</v>
      </c>
      <c r="AB219" s="213">
        <f>IFERROR(__xludf.DUMMYFUNCTION("""COMPUTED_VALUE"""),0.0)</f>
        <v>0</v>
      </c>
      <c r="AC219" s="213">
        <f>IFERROR(__xludf.DUMMYFUNCTION("""COMPUTED_VALUE"""),3.0)</f>
        <v>3</v>
      </c>
      <c r="AD219" s="213">
        <f>IFERROR(__xludf.DUMMYFUNCTION("""COMPUTED_VALUE"""),24869.0)</f>
        <v>24869</v>
      </c>
      <c r="AE219" s="213">
        <f>IFERROR(__xludf.DUMMYFUNCTION("""COMPUTED_VALUE"""),0.0)</f>
        <v>0</v>
      </c>
      <c r="AF219" s="213">
        <f>IFERROR(__xludf.DUMMYFUNCTION("""COMPUTED_VALUE"""),24869.0)</f>
        <v>24869</v>
      </c>
      <c r="AG219" s="208"/>
      <c r="AH219" s="208"/>
      <c r="AI219" s="208"/>
      <c r="AJ219" s="208"/>
      <c r="AK219" s="208"/>
    </row>
    <row r="220">
      <c r="A220" s="209">
        <f>IFERROR(__xludf.DUMMYFUNCTION("""COMPUTED_VALUE"""),46185.0)</f>
        <v>46185</v>
      </c>
      <c r="B220" s="210">
        <f>IFERROR(__xludf.DUMMYFUNCTION("""COMPUTED_VALUE"""),0.49652777777737356)</f>
        <v>0.4965277778</v>
      </c>
      <c r="C220" s="211" t="str">
        <f>IFERROR(__xludf.DUMMYFUNCTION("""COMPUTED_VALUE"""),"Rcs")</f>
        <v>Rcs</v>
      </c>
      <c r="D220" s="211" t="str">
        <f>IFERROR(__xludf.DUMMYFUNCTION("""COMPUTED_VALUE"""),"Fallback campaign")</f>
        <v>Fallback campaign</v>
      </c>
      <c r="E220" s="211" t="str">
        <f>IFERROR(__xludf.DUMMYFUNCTION("""COMPUTED_VALUE"""),"Aldo")</f>
        <v>Aldo</v>
      </c>
      <c r="F220" s="211" t="str">
        <f>IFERROR(__xludf.DUMMYFUNCTION("""COMPUTED_VALUE"""),"ALDO_EOSS_JUNE-JULY 2026 - EOSS 30-60 Off Week 1")</f>
        <v>ALDO_EOSS_JUNE-JULY 2026 - EOSS 30-60 Off Week 1</v>
      </c>
      <c r="G220" s="211" t="str">
        <f>IFERROR(__xludf.DUMMYFUNCTION("""COMPUTED_VALUE"""),"Comm4_RCS_EOSS_12thJune2026")</f>
        <v>Comm4_RCS_EOSS_12thJune2026</v>
      </c>
      <c r="H220" s="212" t="str">
        <f>IFERROR(__xludf.DUMMYFUNCTION("""COMPUTED_VALUE"""),"AL_ON_OFF_Repeat_1Year")</f>
        <v>AL_ON_OFF_Repeat_1Year</v>
      </c>
      <c r="I220" s="212" t="str">
        <f>IFERROR(__xludf.DUMMYFUNCTION("""COMPUTED_VALUE"""),"WA Undelivered")</f>
        <v>WA Undelivered</v>
      </c>
      <c r="J220" s="213">
        <f>IFERROR(__xludf.DUMMYFUNCTION("""COMPUTED_VALUE"""),2234.0)</f>
        <v>2234</v>
      </c>
      <c r="K220" s="213">
        <f>IFERROR(__xludf.DUMMYFUNCTION("""COMPUTED_VALUE"""),386.0)</f>
        <v>386</v>
      </c>
      <c r="L220" s="214">
        <f>IFERROR(__xludf.DUMMYFUNCTION("""COMPUTED_VALUE"""),0.1728)</f>
        <v>0.1728</v>
      </c>
      <c r="M220" s="213">
        <f>IFERROR(__xludf.DUMMYFUNCTION("""COMPUTED_VALUE"""),88.0)</f>
        <v>88</v>
      </c>
      <c r="N220" s="214">
        <f>IFERROR(__xludf.DUMMYFUNCTION("""COMPUTED_VALUE"""),0.228)</f>
        <v>0.228</v>
      </c>
      <c r="O220" s="213">
        <f>IFERROR(__xludf.DUMMYFUNCTION("""COMPUTED_VALUE"""),5.0)</f>
        <v>5</v>
      </c>
      <c r="P220" s="213">
        <f>IFERROR(__xludf.DUMMYFUNCTION("""COMPUTED_VALUE"""),0.0)</f>
        <v>0</v>
      </c>
      <c r="Q220" s="214">
        <f>IFERROR(__xludf.DUMMYFUNCTION("""COMPUTED_VALUE"""),0.013)</f>
        <v>0.013</v>
      </c>
      <c r="R220" s="214">
        <f>IFERROR(__xludf.DUMMYFUNCTION("""COMPUTED_VALUE"""),0.0)</f>
        <v>0</v>
      </c>
      <c r="S220" s="213">
        <f>IFERROR(__xludf.DUMMYFUNCTION("""COMPUTED_VALUE"""),0.0)</f>
        <v>0</v>
      </c>
      <c r="T220" s="213">
        <f>IFERROR(__xludf.DUMMYFUNCTION("""COMPUTED_VALUE"""),0.0)</f>
        <v>0</v>
      </c>
      <c r="U220" s="213">
        <f>IFERROR(__xludf.DUMMYFUNCTION("""COMPUTED_VALUE"""),0.0)</f>
        <v>0</v>
      </c>
      <c r="V220" s="213" t="str">
        <f>IFERROR(__xludf.DUMMYFUNCTION("""COMPUTED_VALUE"""),"overall")</f>
        <v>overall</v>
      </c>
      <c r="W220" s="213" t="str">
        <f>IFERROR(__xludf.DUMMYFUNCTION("""COMPUTED_VALUE"""),"Rcs")</f>
        <v>Rcs</v>
      </c>
      <c r="X220" s="213" t="str">
        <f>IFERROR(__xludf.DUMMYFUNCTION("""COMPUTED_VALUE"""),"Repeat")</f>
        <v>Repeat</v>
      </c>
      <c r="Y220" s="213" t="str">
        <f>IFERROR(__xludf.DUMMYFUNCTION("""COMPUTED_VALUE"""),"14th June 2026, Sunday")</f>
        <v>14th June 2026, Sunday</v>
      </c>
      <c r="Z220" s="213" t="str">
        <f>IFERROR(__xludf.DUMMYFUNCTION("""COMPUTED_VALUE"""),"6a2b9da11e5f2d0bdee20515")</f>
        <v>6a2b9da11e5f2d0bdee20515</v>
      </c>
      <c r="AA220" s="213">
        <f>IFERROR(__xludf.DUMMYFUNCTION("""COMPUTED_VALUE"""),0.0)</f>
        <v>0</v>
      </c>
      <c r="AB220" s="213">
        <f>IFERROR(__xludf.DUMMYFUNCTION("""COMPUTED_VALUE"""),0.0)</f>
        <v>0</v>
      </c>
      <c r="AC220" s="213">
        <f>IFERROR(__xludf.DUMMYFUNCTION("""COMPUTED_VALUE"""),0.0)</f>
        <v>0</v>
      </c>
      <c r="AD220" s="213">
        <f>IFERROR(__xludf.DUMMYFUNCTION("""COMPUTED_VALUE"""),0.0)</f>
        <v>0</v>
      </c>
      <c r="AE220" s="213">
        <f>IFERROR(__xludf.DUMMYFUNCTION("""COMPUTED_VALUE"""),0.0)</f>
        <v>0</v>
      </c>
      <c r="AF220" s="213">
        <f>IFERROR(__xludf.DUMMYFUNCTION("""COMPUTED_VALUE"""),0.0)</f>
        <v>0</v>
      </c>
      <c r="AG220" s="208"/>
      <c r="AH220" s="208"/>
      <c r="AI220" s="208"/>
      <c r="AJ220" s="208"/>
      <c r="AK220" s="208"/>
    </row>
    <row r="221">
      <c r="A221" s="209">
        <f>IFERROR(__xludf.DUMMYFUNCTION("""COMPUTED_VALUE"""),46185.0)</f>
        <v>46185</v>
      </c>
      <c r="B221" s="210">
        <f>IFERROR(__xludf.DUMMYFUNCTION("""COMPUTED_VALUE"""),0.5)</f>
        <v>0.5</v>
      </c>
      <c r="C221" s="211" t="str">
        <f>IFERROR(__xludf.DUMMYFUNCTION("""COMPUTED_VALUE"""),"Rcs")</f>
        <v>Rcs</v>
      </c>
      <c r="D221" s="211" t="str">
        <f>IFERROR(__xludf.DUMMYFUNCTION("""COMPUTED_VALUE"""),"Fallback campaign")</f>
        <v>Fallback campaign</v>
      </c>
      <c r="E221" s="211" t="str">
        <f>IFERROR(__xludf.DUMMYFUNCTION("""COMPUTED_VALUE"""),"Aldo")</f>
        <v>Aldo</v>
      </c>
      <c r="F221" s="211" t="str">
        <f>IFERROR(__xludf.DUMMYFUNCTION("""COMPUTED_VALUE"""),"ALDO_EOSS_JUNE-JULY 2026 - EOSS 30-60 Off Week 1")</f>
        <v>ALDO_EOSS_JUNE-JULY 2026 - EOSS 30-60 Off Week 1</v>
      </c>
      <c r="G221" s="211" t="str">
        <f>IFERROR(__xludf.DUMMYFUNCTION("""COMPUTED_VALUE"""),"RCS_DMT_EOSS_Comm5")</f>
        <v>RCS_DMT_EOSS_Comm5</v>
      </c>
      <c r="H221" s="212" t="str">
        <f>IFERROR(__xludf.DUMMYFUNCTION("""COMPUTED_VALUE"""),"AL_ON_OFF_Dormant_EOSS")</f>
        <v>AL_ON_OFF_Dormant_EOSS</v>
      </c>
      <c r="I221" s="212" t="str">
        <f>IFERROR(__xludf.DUMMYFUNCTION("""COMPUTED_VALUE"""),"WA Undelivered")</f>
        <v>WA Undelivered</v>
      </c>
      <c r="J221" s="213">
        <f>IFERROR(__xludf.DUMMYFUNCTION("""COMPUTED_VALUE"""),23453.0)</f>
        <v>23453</v>
      </c>
      <c r="K221" s="213">
        <f>IFERROR(__xludf.DUMMYFUNCTION("""COMPUTED_VALUE"""),3985.0)</f>
        <v>3985</v>
      </c>
      <c r="L221" s="214">
        <f>IFERROR(__xludf.DUMMYFUNCTION("""COMPUTED_VALUE"""),0.1699)</f>
        <v>0.1699</v>
      </c>
      <c r="M221" s="213">
        <f>IFERROR(__xludf.DUMMYFUNCTION("""COMPUTED_VALUE"""),752.0)</f>
        <v>752</v>
      </c>
      <c r="N221" s="214">
        <f>IFERROR(__xludf.DUMMYFUNCTION("""COMPUTED_VALUE"""),0.1887)</f>
        <v>0.1887</v>
      </c>
      <c r="O221" s="213">
        <f>IFERROR(__xludf.DUMMYFUNCTION("""COMPUTED_VALUE"""),22.0)</f>
        <v>22</v>
      </c>
      <c r="P221" s="213">
        <f>IFERROR(__xludf.DUMMYFUNCTION("""COMPUTED_VALUE"""),0.0)</f>
        <v>0</v>
      </c>
      <c r="Q221" s="214">
        <f>IFERROR(__xludf.DUMMYFUNCTION("""COMPUTED_VALUE"""),0.006)</f>
        <v>0.006</v>
      </c>
      <c r="R221" s="214">
        <f>IFERROR(__xludf.DUMMYFUNCTION("""COMPUTED_VALUE"""),0.0)</f>
        <v>0</v>
      </c>
      <c r="S221" s="213">
        <f>IFERROR(__xludf.DUMMYFUNCTION("""COMPUTED_VALUE"""),0.0)</f>
        <v>0</v>
      </c>
      <c r="T221" s="213">
        <f>IFERROR(__xludf.DUMMYFUNCTION("""COMPUTED_VALUE"""),0.0)</f>
        <v>0</v>
      </c>
      <c r="U221" s="213">
        <f>IFERROR(__xludf.DUMMYFUNCTION("""COMPUTED_VALUE"""),0.0)</f>
        <v>0</v>
      </c>
      <c r="V221" s="213" t="str">
        <f>IFERROR(__xludf.DUMMYFUNCTION("""COMPUTED_VALUE"""),"overall")</f>
        <v>overall</v>
      </c>
      <c r="W221" s="213" t="str">
        <f>IFERROR(__xludf.DUMMYFUNCTION("""COMPUTED_VALUE"""),"Rcs")</f>
        <v>Rcs</v>
      </c>
      <c r="X221" s="213" t="str">
        <f>IFERROR(__xludf.DUMMYFUNCTION("""COMPUTED_VALUE"""),"Dormant")</f>
        <v>Dormant</v>
      </c>
      <c r="Y221" s="213" t="str">
        <f>IFERROR(__xludf.DUMMYFUNCTION("""COMPUTED_VALUE"""),"14th June 2026, Sunday")</f>
        <v>14th June 2026, Sunday</v>
      </c>
      <c r="Z221" s="213" t="str">
        <f>IFERROR(__xludf.DUMMYFUNCTION("""COMPUTED_VALUE"""),"6a2b9dd5c3876dae12b667e9")</f>
        <v>6a2b9dd5c3876dae12b667e9</v>
      </c>
      <c r="AA221" s="213">
        <f>IFERROR(__xludf.DUMMYFUNCTION("""COMPUTED_VALUE"""),2.0)</f>
        <v>2</v>
      </c>
      <c r="AB221" s="213">
        <f>IFERROR(__xludf.DUMMYFUNCTION("""COMPUTED_VALUE"""),0.0)</f>
        <v>0</v>
      </c>
      <c r="AC221" s="213">
        <f>IFERROR(__xludf.DUMMYFUNCTION("""COMPUTED_VALUE"""),2.0)</f>
        <v>2</v>
      </c>
      <c r="AD221" s="213">
        <f>IFERROR(__xludf.DUMMYFUNCTION("""COMPUTED_VALUE"""),33469.0)</f>
        <v>33469</v>
      </c>
      <c r="AE221" s="213">
        <f>IFERROR(__xludf.DUMMYFUNCTION("""COMPUTED_VALUE"""),0.0)</f>
        <v>0</v>
      </c>
      <c r="AF221" s="213">
        <f>IFERROR(__xludf.DUMMYFUNCTION("""COMPUTED_VALUE"""),33469.0)</f>
        <v>33469</v>
      </c>
      <c r="AG221" s="208"/>
      <c r="AH221" s="208"/>
      <c r="AI221" s="208"/>
      <c r="AJ221" s="208"/>
      <c r="AK221" s="208"/>
    </row>
    <row r="222">
      <c r="A222" s="209">
        <f>IFERROR(__xludf.DUMMYFUNCTION("""COMPUTED_VALUE"""),46185.0)</f>
        <v>46185</v>
      </c>
      <c r="B222" s="210">
        <f>IFERROR(__xludf.DUMMYFUNCTION("""COMPUTED_VALUE"""),0.5034722222226264)</f>
        <v>0.5034722222</v>
      </c>
      <c r="C222" s="211" t="str">
        <f>IFERROR(__xludf.DUMMYFUNCTION("""COMPUTED_VALUE"""),"Rcs")</f>
        <v>Rcs</v>
      </c>
      <c r="D222" s="211" t="str">
        <f>IFERROR(__xludf.DUMMYFUNCTION("""COMPUTED_VALUE"""),"Fallback campaign")</f>
        <v>Fallback campaign</v>
      </c>
      <c r="E222" s="211" t="str">
        <f>IFERROR(__xludf.DUMMYFUNCTION("""COMPUTED_VALUE"""),"Aldo")</f>
        <v>Aldo</v>
      </c>
      <c r="F222" s="211" t="str">
        <f>IFERROR(__xludf.DUMMYFUNCTION("""COMPUTED_VALUE"""),"ALDO_EOSS_JUNE-JULY 2026 - EOSS 30-60 Off Week 1")</f>
        <v>ALDO_EOSS_JUNE-JULY 2026 - EOSS 30-60 Off Week 1</v>
      </c>
      <c r="G222" s="211" t="str">
        <f>IFERROR(__xludf.DUMMYFUNCTION("""COMPUTED_VALUE"""),"RCS_Churned1Rpt_EOSS_Comm5")</f>
        <v>RCS_Churned1Rpt_EOSS_Comm5</v>
      </c>
      <c r="H222" s="212" t="str">
        <f>IFERROR(__xludf.DUMMYFUNCTION("""COMPUTED_VALUE"""),"AL_ON_OFF_Churned_Rpt_EOSS")</f>
        <v>AL_ON_OFF_Churned_Rpt_EOSS</v>
      </c>
      <c r="I222" s="212" t="str">
        <f>IFERROR(__xludf.DUMMYFUNCTION("""COMPUTED_VALUE"""),"WA Undelivered")</f>
        <v>WA Undelivered</v>
      </c>
      <c r="J222" s="213">
        <f>IFERROR(__xludf.DUMMYFUNCTION("""COMPUTED_VALUE"""),16588.0)</f>
        <v>16588</v>
      </c>
      <c r="K222" s="213">
        <f>IFERROR(__xludf.DUMMYFUNCTION("""COMPUTED_VALUE"""),2504.0)</f>
        <v>2504</v>
      </c>
      <c r="L222" s="214">
        <f>IFERROR(__xludf.DUMMYFUNCTION("""COMPUTED_VALUE"""),0.151)</f>
        <v>0.151</v>
      </c>
      <c r="M222" s="213">
        <f>IFERROR(__xludf.DUMMYFUNCTION("""COMPUTED_VALUE"""),491.0)</f>
        <v>491</v>
      </c>
      <c r="N222" s="214">
        <f>IFERROR(__xludf.DUMMYFUNCTION("""COMPUTED_VALUE"""),0.1961)</f>
        <v>0.1961</v>
      </c>
      <c r="O222" s="213">
        <f>IFERROR(__xludf.DUMMYFUNCTION("""COMPUTED_VALUE"""),14.0)</f>
        <v>14</v>
      </c>
      <c r="P222" s="213">
        <f>IFERROR(__xludf.DUMMYFUNCTION("""COMPUTED_VALUE"""),0.0)</f>
        <v>0</v>
      </c>
      <c r="Q222" s="214">
        <f>IFERROR(__xludf.DUMMYFUNCTION("""COMPUTED_VALUE"""),0.0064)</f>
        <v>0.0064</v>
      </c>
      <c r="R222" s="214">
        <f>IFERROR(__xludf.DUMMYFUNCTION("""COMPUTED_VALUE"""),0.0)</f>
        <v>0</v>
      </c>
      <c r="S222" s="213">
        <f>IFERROR(__xludf.DUMMYFUNCTION("""COMPUTED_VALUE"""),0.0)</f>
        <v>0</v>
      </c>
      <c r="T222" s="213">
        <f>IFERROR(__xludf.DUMMYFUNCTION("""COMPUTED_VALUE"""),0.0)</f>
        <v>0</v>
      </c>
      <c r="U222" s="213">
        <f>IFERROR(__xludf.DUMMYFUNCTION("""COMPUTED_VALUE"""),0.0)</f>
        <v>0</v>
      </c>
      <c r="V222" s="213" t="str">
        <f>IFERROR(__xludf.DUMMYFUNCTION("""COMPUTED_VALUE"""),"overall")</f>
        <v>overall</v>
      </c>
      <c r="W222" s="213" t="str">
        <f>IFERROR(__xludf.DUMMYFUNCTION("""COMPUTED_VALUE"""),"Rcs")</f>
        <v>Rcs</v>
      </c>
      <c r="X222" s="213" t="str">
        <f>IFERROR(__xludf.DUMMYFUNCTION("""COMPUTED_VALUE"""),"Churned Repeat")</f>
        <v>Churned Repeat</v>
      </c>
      <c r="Y222" s="213" t="str">
        <f>IFERROR(__xludf.DUMMYFUNCTION("""COMPUTED_VALUE"""),"14th June 2026, Sunday")</f>
        <v>14th June 2026, Sunday</v>
      </c>
      <c r="Z222" s="213" t="str">
        <f>IFERROR(__xludf.DUMMYFUNCTION("""COMPUTED_VALUE"""),"6a2b9e134f4fe703f74dc85c")</f>
        <v>6a2b9e134f4fe703f74dc85c</v>
      </c>
      <c r="AA222" s="213">
        <f>IFERROR(__xludf.DUMMYFUNCTION("""COMPUTED_VALUE"""),0.0)</f>
        <v>0</v>
      </c>
      <c r="AB222" s="213">
        <f>IFERROR(__xludf.DUMMYFUNCTION("""COMPUTED_VALUE"""),0.0)</f>
        <v>0</v>
      </c>
      <c r="AC222" s="213">
        <f>IFERROR(__xludf.DUMMYFUNCTION("""COMPUTED_VALUE"""),0.0)</f>
        <v>0</v>
      </c>
      <c r="AD222" s="213">
        <f>IFERROR(__xludf.DUMMYFUNCTION("""COMPUTED_VALUE"""),0.0)</f>
        <v>0</v>
      </c>
      <c r="AE222" s="213">
        <f>IFERROR(__xludf.DUMMYFUNCTION("""COMPUTED_VALUE"""),0.0)</f>
        <v>0</v>
      </c>
      <c r="AF222" s="213">
        <f>IFERROR(__xludf.DUMMYFUNCTION("""COMPUTED_VALUE"""),0.0)</f>
        <v>0</v>
      </c>
      <c r="AG222" s="208"/>
      <c r="AH222" s="208"/>
      <c r="AI222" s="208"/>
      <c r="AJ222" s="208"/>
      <c r="AK222" s="208"/>
    </row>
    <row r="223">
      <c r="A223" s="209">
        <f>IFERROR(__xludf.DUMMYFUNCTION("""COMPUTED_VALUE"""),46185.0)</f>
        <v>46185</v>
      </c>
      <c r="B223" s="210">
        <f>IFERROR(__xludf.DUMMYFUNCTION("""COMPUTED_VALUE"""),0.5069444444452529)</f>
        <v>0.5069444444</v>
      </c>
      <c r="C223" s="211" t="str">
        <f>IFERROR(__xludf.DUMMYFUNCTION("""COMPUTED_VALUE"""),"Rcs")</f>
        <v>Rcs</v>
      </c>
      <c r="D223" s="211" t="str">
        <f>IFERROR(__xludf.DUMMYFUNCTION("""COMPUTED_VALUE"""),"Fallback campaign")</f>
        <v>Fallback campaign</v>
      </c>
      <c r="E223" s="211" t="str">
        <f>IFERROR(__xludf.DUMMYFUNCTION("""COMPUTED_VALUE"""),"Aldo")</f>
        <v>Aldo</v>
      </c>
      <c r="F223" s="211" t="str">
        <f>IFERROR(__xludf.DUMMYFUNCTION("""COMPUTED_VALUE"""),"ALDO_EOSS_JUNE-JULY 2026 - EOSS 30-60 Off Week 1")</f>
        <v>ALDO_EOSS_JUNE-JULY 2026 - EOSS 30-60 Off Week 1</v>
      </c>
      <c r="G223" s="211" t="str">
        <f>IFERROR(__xludf.DUMMYFUNCTION("""COMPUTED_VALUE"""),"RCS_Churned2_Eoss_Comm5")</f>
        <v>RCS_Churned2_Eoss_Comm5</v>
      </c>
      <c r="H223" s="212" t="str">
        <f>IFERROR(__xludf.DUMMYFUNCTION("""COMPUTED_VALUE"""),"AL_ON_OFF_Churned_366_730_EOSS")</f>
        <v>AL_ON_OFF_Churned_366_730_EOSS</v>
      </c>
      <c r="I223" s="212" t="str">
        <f>IFERROR(__xludf.DUMMYFUNCTION("""COMPUTED_VALUE"""),"WA Undelivered")</f>
        <v>WA Undelivered</v>
      </c>
      <c r="J223" s="213">
        <f>IFERROR(__xludf.DUMMYFUNCTION("""COMPUTED_VALUE"""),52379.0)</f>
        <v>52379</v>
      </c>
      <c r="K223" s="213">
        <f>IFERROR(__xludf.DUMMYFUNCTION("""COMPUTED_VALUE"""),8684.0)</f>
        <v>8684</v>
      </c>
      <c r="L223" s="214">
        <f>IFERROR(__xludf.DUMMYFUNCTION("""COMPUTED_VALUE"""),0.1658)</f>
        <v>0.1658</v>
      </c>
      <c r="M223" s="213">
        <f>IFERROR(__xludf.DUMMYFUNCTION("""COMPUTED_VALUE"""),1587.0)</f>
        <v>1587</v>
      </c>
      <c r="N223" s="214">
        <f>IFERROR(__xludf.DUMMYFUNCTION("""COMPUTED_VALUE"""),0.1827)</f>
        <v>0.1827</v>
      </c>
      <c r="O223" s="213">
        <f>IFERROR(__xludf.DUMMYFUNCTION("""COMPUTED_VALUE"""),41.0)</f>
        <v>41</v>
      </c>
      <c r="P223" s="213">
        <f>IFERROR(__xludf.DUMMYFUNCTION("""COMPUTED_VALUE"""),0.0)</f>
        <v>0</v>
      </c>
      <c r="Q223" s="214">
        <f>IFERROR(__xludf.DUMMYFUNCTION("""COMPUTED_VALUE"""),0.0052)</f>
        <v>0.0052</v>
      </c>
      <c r="R223" s="214">
        <f>IFERROR(__xludf.DUMMYFUNCTION("""COMPUTED_VALUE"""),0.0)</f>
        <v>0</v>
      </c>
      <c r="S223" s="213">
        <f>IFERROR(__xludf.DUMMYFUNCTION("""COMPUTED_VALUE"""),0.0)</f>
        <v>0</v>
      </c>
      <c r="T223" s="213">
        <f>IFERROR(__xludf.DUMMYFUNCTION("""COMPUTED_VALUE"""),0.0)</f>
        <v>0</v>
      </c>
      <c r="U223" s="213">
        <f>IFERROR(__xludf.DUMMYFUNCTION("""COMPUTED_VALUE"""),0.0)</f>
        <v>0</v>
      </c>
      <c r="V223" s="213" t="str">
        <f>IFERROR(__xludf.DUMMYFUNCTION("""COMPUTED_VALUE"""),"overall")</f>
        <v>overall</v>
      </c>
      <c r="W223" s="213" t="str">
        <f>IFERROR(__xludf.DUMMYFUNCTION("""COMPUTED_VALUE"""),"Rcs")</f>
        <v>Rcs</v>
      </c>
      <c r="X223" s="213" t="str">
        <f>IFERROR(__xludf.DUMMYFUNCTION("""COMPUTED_VALUE"""),"Churned")</f>
        <v>Churned</v>
      </c>
      <c r="Y223" s="213" t="str">
        <f>IFERROR(__xludf.DUMMYFUNCTION("""COMPUTED_VALUE"""),"14th June 2026, Sunday")</f>
        <v>14th June 2026, Sunday</v>
      </c>
      <c r="Z223" s="213" t="str">
        <f>IFERROR(__xludf.DUMMYFUNCTION("""COMPUTED_VALUE"""),"6a2b9e781573114d70eeaad8")</f>
        <v>6a2b9e781573114d70eeaad8</v>
      </c>
      <c r="AA223" s="213">
        <f>IFERROR(__xludf.DUMMYFUNCTION("""COMPUTED_VALUE"""),4.0)</f>
        <v>4</v>
      </c>
      <c r="AB223" s="213">
        <f>IFERROR(__xludf.DUMMYFUNCTION("""COMPUTED_VALUE"""),0.0)</f>
        <v>0</v>
      </c>
      <c r="AC223" s="213">
        <f>IFERROR(__xludf.DUMMYFUNCTION("""COMPUTED_VALUE"""),4.0)</f>
        <v>4</v>
      </c>
      <c r="AD223" s="213">
        <f>IFERROR(__xludf.DUMMYFUNCTION("""COMPUTED_VALUE"""),41430.0)</f>
        <v>41430</v>
      </c>
      <c r="AE223" s="213">
        <f>IFERROR(__xludf.DUMMYFUNCTION("""COMPUTED_VALUE"""),0.0)</f>
        <v>0</v>
      </c>
      <c r="AF223" s="213">
        <f>IFERROR(__xludf.DUMMYFUNCTION("""COMPUTED_VALUE"""),41430.0)</f>
        <v>41430</v>
      </c>
      <c r="AG223" s="208"/>
      <c r="AH223" s="208"/>
      <c r="AI223" s="208"/>
      <c r="AJ223" s="208"/>
      <c r="AK223" s="208"/>
    </row>
    <row r="224">
      <c r="A224" s="209">
        <f>IFERROR(__xludf.DUMMYFUNCTION("""COMPUTED_VALUE"""),46185.0)</f>
        <v>46185</v>
      </c>
      <c r="B224" s="210">
        <f>IFERROR(__xludf.DUMMYFUNCTION("""COMPUTED_VALUE"""),0.5104166666678793)</f>
        <v>0.5104166667</v>
      </c>
      <c r="C224" s="211" t="str">
        <f>IFERROR(__xludf.DUMMYFUNCTION("""COMPUTED_VALUE"""),"Rcs")</f>
        <v>Rcs</v>
      </c>
      <c r="D224" s="211" t="str">
        <f>IFERROR(__xludf.DUMMYFUNCTION("""COMPUTED_VALUE"""),"Fallback campaign")</f>
        <v>Fallback campaign</v>
      </c>
      <c r="E224" s="211" t="str">
        <f>IFERROR(__xludf.DUMMYFUNCTION("""COMPUTED_VALUE"""),"Aldo")</f>
        <v>Aldo</v>
      </c>
      <c r="F224" s="211" t="str">
        <f>IFERROR(__xludf.DUMMYFUNCTION("""COMPUTED_VALUE"""),"ALDO_EOSS_JUNE-JULY 2026 - EOSS 30-60 Off Week 1")</f>
        <v>ALDO_EOSS_JUNE-JULY 2026 - EOSS 30-60 Off Week 1</v>
      </c>
      <c r="G224" s="211" t="str">
        <f>IFERROR(__xludf.DUMMYFUNCTION("""COMPUTED_VALUE"""),"Comm5_EOSS_RCS_12June2026")</f>
        <v>Comm5_EOSS_RCS_12June2026</v>
      </c>
      <c r="H224" s="212" t="str">
        <f>IFERROR(__xludf.DUMMYFUNCTION("""COMPUTED_VALUE"""),"AL_ON_OFF_Churned_731_1095_EOSS")</f>
        <v>AL_ON_OFF_Churned_731_1095_EOSS</v>
      </c>
      <c r="I224" s="212" t="str">
        <f>IFERROR(__xludf.DUMMYFUNCTION("""COMPUTED_VALUE"""),"WA Undelivered")</f>
        <v>WA Undelivered</v>
      </c>
      <c r="J224" s="213">
        <f>IFERROR(__xludf.DUMMYFUNCTION("""COMPUTED_VALUE"""),22863.0)</f>
        <v>22863</v>
      </c>
      <c r="K224" s="213">
        <f>IFERROR(__xludf.DUMMYFUNCTION("""COMPUTED_VALUE"""),3565.0)</f>
        <v>3565</v>
      </c>
      <c r="L224" s="214">
        <f>IFERROR(__xludf.DUMMYFUNCTION("""COMPUTED_VALUE"""),0.1559)</f>
        <v>0.1559</v>
      </c>
      <c r="M224" s="213">
        <f>IFERROR(__xludf.DUMMYFUNCTION("""COMPUTED_VALUE"""),632.0)</f>
        <v>632</v>
      </c>
      <c r="N224" s="214">
        <f>IFERROR(__xludf.DUMMYFUNCTION("""COMPUTED_VALUE"""),0.1773)</f>
        <v>0.1773</v>
      </c>
      <c r="O224" s="213">
        <f>IFERROR(__xludf.DUMMYFUNCTION("""COMPUTED_VALUE"""),21.0)</f>
        <v>21</v>
      </c>
      <c r="P224" s="213">
        <f>IFERROR(__xludf.DUMMYFUNCTION("""COMPUTED_VALUE"""),0.0)</f>
        <v>0</v>
      </c>
      <c r="Q224" s="214">
        <f>IFERROR(__xludf.DUMMYFUNCTION("""COMPUTED_VALUE"""),0.0062)</f>
        <v>0.0062</v>
      </c>
      <c r="R224" s="214">
        <f>IFERROR(__xludf.DUMMYFUNCTION("""COMPUTED_VALUE"""),0.0)</f>
        <v>0</v>
      </c>
      <c r="S224" s="213">
        <f>IFERROR(__xludf.DUMMYFUNCTION("""COMPUTED_VALUE"""),1.0)</f>
        <v>1</v>
      </c>
      <c r="T224" s="213">
        <f>IFERROR(__xludf.DUMMYFUNCTION("""COMPUTED_VALUE"""),0.0)</f>
        <v>0</v>
      </c>
      <c r="U224" s="213">
        <f>IFERROR(__xludf.DUMMYFUNCTION("""COMPUTED_VALUE"""),324.0)</f>
        <v>324</v>
      </c>
      <c r="V224" s="213" t="str">
        <f>IFERROR(__xludf.DUMMYFUNCTION("""COMPUTED_VALUE"""),"overall")</f>
        <v>overall</v>
      </c>
      <c r="W224" s="213" t="str">
        <f>IFERROR(__xludf.DUMMYFUNCTION("""COMPUTED_VALUE"""),"Rcs")</f>
        <v>Rcs</v>
      </c>
      <c r="X224" s="213" t="str">
        <f>IFERROR(__xludf.DUMMYFUNCTION("""COMPUTED_VALUE"""),"Churned")</f>
        <v>Churned</v>
      </c>
      <c r="Y224" s="213" t="str">
        <f>IFERROR(__xludf.DUMMYFUNCTION("""COMPUTED_VALUE"""),"14th June 2026, Sunday")</f>
        <v>14th June 2026, Sunday</v>
      </c>
      <c r="Z224" s="213" t="str">
        <f>IFERROR(__xludf.DUMMYFUNCTION("""COMPUTED_VALUE"""),"6a2b9eaac3876dae12b66807")</f>
        <v>6a2b9eaac3876dae12b66807</v>
      </c>
      <c r="AA224" s="213">
        <f>IFERROR(__xludf.DUMMYFUNCTION("""COMPUTED_VALUE"""),0.0)</f>
        <v>0</v>
      </c>
      <c r="AB224" s="213">
        <f>IFERROR(__xludf.DUMMYFUNCTION("""COMPUTED_VALUE"""),0.0)</f>
        <v>0</v>
      </c>
      <c r="AC224" s="213">
        <f>IFERROR(__xludf.DUMMYFUNCTION("""COMPUTED_VALUE"""),0.0)</f>
        <v>0</v>
      </c>
      <c r="AD224" s="213">
        <f>IFERROR(__xludf.DUMMYFUNCTION("""COMPUTED_VALUE"""),0.0)</f>
        <v>0</v>
      </c>
      <c r="AE224" s="213">
        <f>IFERROR(__xludf.DUMMYFUNCTION("""COMPUTED_VALUE"""),0.0)</f>
        <v>0</v>
      </c>
      <c r="AF224" s="213">
        <f>IFERROR(__xludf.DUMMYFUNCTION("""COMPUTED_VALUE"""),0.0)</f>
        <v>0</v>
      </c>
      <c r="AG224" s="208"/>
      <c r="AH224" s="208"/>
      <c r="AI224" s="208"/>
      <c r="AJ224" s="208"/>
      <c r="AK224" s="208"/>
    </row>
    <row r="225">
      <c r="A225" s="209">
        <f>IFERROR(__xludf.DUMMYFUNCTION("""COMPUTED_VALUE"""),46185.0)</f>
        <v>46185</v>
      </c>
      <c r="B225" s="210">
        <f>IFERROR(__xludf.DUMMYFUNCTION("""COMPUTED_VALUE"""),0.5138888888905058)</f>
        <v>0.5138888889</v>
      </c>
      <c r="C225" s="211" t="str">
        <f>IFERROR(__xludf.DUMMYFUNCTION("""COMPUTED_VALUE"""),"Rcs")</f>
        <v>Rcs</v>
      </c>
      <c r="D225" s="211" t="str">
        <f>IFERROR(__xludf.DUMMYFUNCTION("""COMPUTED_VALUE"""),"Fallback campaign")</f>
        <v>Fallback campaign</v>
      </c>
      <c r="E225" s="211" t="str">
        <f>IFERROR(__xludf.DUMMYFUNCTION("""COMPUTED_VALUE"""),"Aldo")</f>
        <v>Aldo</v>
      </c>
      <c r="F225" s="211" t="str">
        <f>IFERROR(__xludf.DUMMYFUNCTION("""COMPUTED_VALUE"""),"ALDO_EOSS_JUNE-JULY 2026 - EOSS 30-60 Off Week 1")</f>
        <v>ALDO_EOSS_JUNE-JULY 2026 - EOSS 30-60 Off Week 1</v>
      </c>
      <c r="G225" s="211" t="str">
        <f>IFERROR(__xludf.DUMMYFUNCTION("""COMPUTED_VALUE"""),"Comm6_EOSS_RCS_12June2026")</f>
        <v>Comm6_EOSS_RCS_12June2026</v>
      </c>
      <c r="H225" s="212" t="str">
        <f>IFERROR(__xludf.DUMMYFUNCTION("""COMPUTED_VALUE"""),"AL_ON_OFF_Active_EOSS")</f>
        <v>AL_ON_OFF_Active_EOSS</v>
      </c>
      <c r="I225" s="212" t="str">
        <f>IFERROR(__xludf.DUMMYFUNCTION("""COMPUTED_VALUE"""),"WA Undelivered")</f>
        <v>WA Undelivered</v>
      </c>
      <c r="J225" s="213">
        <f>IFERROR(__xludf.DUMMYFUNCTION("""COMPUTED_VALUE"""),6749.0)</f>
        <v>6749</v>
      </c>
      <c r="K225" s="213">
        <f>IFERROR(__xludf.DUMMYFUNCTION("""COMPUTED_VALUE"""),1189.0)</f>
        <v>1189</v>
      </c>
      <c r="L225" s="214">
        <f>IFERROR(__xludf.DUMMYFUNCTION("""COMPUTED_VALUE"""),0.1762)</f>
        <v>0.1762</v>
      </c>
      <c r="M225" s="213">
        <f>IFERROR(__xludf.DUMMYFUNCTION("""COMPUTED_VALUE"""),230.0)</f>
        <v>230</v>
      </c>
      <c r="N225" s="214">
        <f>IFERROR(__xludf.DUMMYFUNCTION("""COMPUTED_VALUE"""),0.1943)</f>
        <v>0.1943</v>
      </c>
      <c r="O225" s="213">
        <f>IFERROR(__xludf.DUMMYFUNCTION("""COMPUTED_VALUE"""),14.0)</f>
        <v>14</v>
      </c>
      <c r="P225" s="213">
        <f>IFERROR(__xludf.DUMMYFUNCTION("""COMPUTED_VALUE"""),0.0)</f>
        <v>0</v>
      </c>
      <c r="Q225" s="214">
        <f>IFERROR(__xludf.DUMMYFUNCTION("""COMPUTED_VALUE"""),0.0126)</f>
        <v>0.0126</v>
      </c>
      <c r="R225" s="214">
        <f>IFERROR(__xludf.DUMMYFUNCTION("""COMPUTED_VALUE"""),0.0)</f>
        <v>0</v>
      </c>
      <c r="S225" s="213">
        <f>IFERROR(__xludf.DUMMYFUNCTION("""COMPUTED_VALUE"""),0.0)</f>
        <v>0</v>
      </c>
      <c r="T225" s="213">
        <f>IFERROR(__xludf.DUMMYFUNCTION("""COMPUTED_VALUE"""),0.0)</f>
        <v>0</v>
      </c>
      <c r="U225" s="213">
        <f>IFERROR(__xludf.DUMMYFUNCTION("""COMPUTED_VALUE"""),0.0)</f>
        <v>0</v>
      </c>
      <c r="V225" s="213" t="str">
        <f>IFERROR(__xludf.DUMMYFUNCTION("""COMPUTED_VALUE"""),"overall")</f>
        <v>overall</v>
      </c>
      <c r="W225" s="213" t="str">
        <f>IFERROR(__xludf.DUMMYFUNCTION("""COMPUTED_VALUE"""),"Rcs")</f>
        <v>Rcs</v>
      </c>
      <c r="X225" s="213" t="str">
        <f>IFERROR(__xludf.DUMMYFUNCTION("""COMPUTED_VALUE"""),"Active")</f>
        <v>Active</v>
      </c>
      <c r="Y225" s="213" t="str">
        <f>IFERROR(__xludf.DUMMYFUNCTION("""COMPUTED_VALUE"""),"14th June 2026, Sunday")</f>
        <v>14th June 2026, Sunday</v>
      </c>
      <c r="Z225" s="213" t="str">
        <f>IFERROR(__xludf.DUMMYFUNCTION("""COMPUTED_VALUE"""),"6a2b9f479f679f9237eddf7f")</f>
        <v>6a2b9f479f679f9237eddf7f</v>
      </c>
      <c r="AA225" s="213">
        <f>IFERROR(__xludf.DUMMYFUNCTION("""COMPUTED_VALUE"""),2.0)</f>
        <v>2</v>
      </c>
      <c r="AB225" s="213">
        <f>IFERROR(__xludf.DUMMYFUNCTION("""COMPUTED_VALUE"""),0.0)</f>
        <v>0</v>
      </c>
      <c r="AC225" s="213">
        <f>IFERROR(__xludf.DUMMYFUNCTION("""COMPUTED_VALUE"""),2.0)</f>
        <v>2</v>
      </c>
      <c r="AD225" s="213">
        <f>IFERROR(__xludf.DUMMYFUNCTION("""COMPUTED_VALUE"""),19579.0)</f>
        <v>19579</v>
      </c>
      <c r="AE225" s="213">
        <f>IFERROR(__xludf.DUMMYFUNCTION("""COMPUTED_VALUE"""),0.0)</f>
        <v>0</v>
      </c>
      <c r="AF225" s="213">
        <f>IFERROR(__xludf.DUMMYFUNCTION("""COMPUTED_VALUE"""),19579.0)</f>
        <v>19579</v>
      </c>
      <c r="AG225" s="208"/>
      <c r="AH225" s="208"/>
      <c r="AI225" s="208"/>
      <c r="AJ225" s="208"/>
      <c r="AK225" s="208"/>
    </row>
    <row r="226">
      <c r="A226" s="209">
        <f>IFERROR(__xludf.DUMMYFUNCTION("""COMPUTED_VALUE"""),46185.0)</f>
        <v>46185</v>
      </c>
      <c r="B226" s="210">
        <f>IFERROR(__xludf.DUMMYFUNCTION("""COMPUTED_VALUE"""),0.5173611111094942)</f>
        <v>0.5173611111</v>
      </c>
      <c r="C226" s="211" t="str">
        <f>IFERROR(__xludf.DUMMYFUNCTION("""COMPUTED_VALUE"""),"Rcs")</f>
        <v>Rcs</v>
      </c>
      <c r="D226" s="211" t="str">
        <f>IFERROR(__xludf.DUMMYFUNCTION("""COMPUTED_VALUE"""),"Fallback campaign")</f>
        <v>Fallback campaign</v>
      </c>
      <c r="E226" s="211" t="str">
        <f>IFERROR(__xludf.DUMMYFUNCTION("""COMPUTED_VALUE"""),"Aldo")</f>
        <v>Aldo</v>
      </c>
      <c r="F226" s="211" t="str">
        <f>IFERROR(__xludf.DUMMYFUNCTION("""COMPUTED_VALUE"""),"ALDO_EOSS_JUNE-JULY 2026 - EOSS 30-60 Off Week 1")</f>
        <v>ALDO_EOSS_JUNE-JULY 2026 - EOSS 30-60 Off Week 1</v>
      </c>
      <c r="G226" s="211" t="str">
        <f>IFERROR(__xludf.DUMMYFUNCTION("""COMPUTED_VALUE"""),"Comm7_RCS_EOSSJune2026")</f>
        <v>Comm7_RCS_EOSSJune2026</v>
      </c>
      <c r="H226" s="212" t="str">
        <f>IFERROR(__xludf.DUMMYFUNCTION("""COMPUTED_VALUE"""),"AL_Non-Txn_Base")</f>
        <v>AL_Non-Txn_Base</v>
      </c>
      <c r="I226" s="212" t="str">
        <f>IFERROR(__xludf.DUMMYFUNCTION("""COMPUTED_VALUE"""),"WA Undelivered")</f>
        <v>WA Undelivered</v>
      </c>
      <c r="J226" s="213">
        <f>IFERROR(__xludf.DUMMYFUNCTION("""COMPUTED_VALUE"""),51046.0)</f>
        <v>51046</v>
      </c>
      <c r="K226" s="213">
        <f>IFERROR(__xludf.DUMMYFUNCTION("""COMPUTED_VALUE"""),8850.0)</f>
        <v>8850</v>
      </c>
      <c r="L226" s="214">
        <f>IFERROR(__xludf.DUMMYFUNCTION("""COMPUTED_VALUE"""),0.1734)</f>
        <v>0.1734</v>
      </c>
      <c r="M226" s="213">
        <f>IFERROR(__xludf.DUMMYFUNCTION("""COMPUTED_VALUE"""),1647.0)</f>
        <v>1647</v>
      </c>
      <c r="N226" s="214">
        <f>IFERROR(__xludf.DUMMYFUNCTION("""COMPUTED_VALUE"""),0.1861)</f>
        <v>0.1861</v>
      </c>
      <c r="O226" s="213">
        <f>IFERROR(__xludf.DUMMYFUNCTION("""COMPUTED_VALUE"""),69.0)</f>
        <v>69</v>
      </c>
      <c r="P226" s="213">
        <f>IFERROR(__xludf.DUMMYFUNCTION("""COMPUTED_VALUE"""),0.0)</f>
        <v>0</v>
      </c>
      <c r="Q226" s="214">
        <f>IFERROR(__xludf.DUMMYFUNCTION("""COMPUTED_VALUE"""),0.0089)</f>
        <v>0.0089</v>
      </c>
      <c r="R226" s="214">
        <f>IFERROR(__xludf.DUMMYFUNCTION("""COMPUTED_VALUE"""),0.0)</f>
        <v>0</v>
      </c>
      <c r="S226" s="213">
        <f>IFERROR(__xludf.DUMMYFUNCTION("""COMPUTED_VALUE"""),1.0)</f>
        <v>1</v>
      </c>
      <c r="T226" s="213">
        <f>IFERROR(__xludf.DUMMYFUNCTION("""COMPUTED_VALUE"""),0.0)</f>
        <v>0</v>
      </c>
      <c r="U226" s="213">
        <f>IFERROR(__xludf.DUMMYFUNCTION("""COMPUTED_VALUE"""),6998.0)</f>
        <v>6998</v>
      </c>
      <c r="V226" s="213" t="str">
        <f>IFERROR(__xludf.DUMMYFUNCTION("""COMPUTED_VALUE"""),"overall")</f>
        <v>overall</v>
      </c>
      <c r="W226" s="213" t="str">
        <f>IFERROR(__xludf.DUMMYFUNCTION("""COMPUTED_VALUE"""),"Rcs")</f>
        <v>Rcs</v>
      </c>
      <c r="X226" s="213" t="str">
        <f>IFERROR(__xludf.DUMMYFUNCTION("""COMPUTED_VALUE"""),"Non - Txn Base")</f>
        <v>Non - Txn Base</v>
      </c>
      <c r="Y226" s="213" t="str">
        <f>IFERROR(__xludf.DUMMYFUNCTION("""COMPUTED_VALUE"""),"14th June 2026, Sunday")</f>
        <v>14th June 2026, Sunday</v>
      </c>
      <c r="Z226" s="213" t="str">
        <f>IFERROR(__xludf.DUMMYFUNCTION("""COMPUTED_VALUE"""),"6a2b9fcad3a15a0abb7e0a3e")</f>
        <v>6a2b9fcad3a15a0abb7e0a3e</v>
      </c>
      <c r="AA226" s="213">
        <f>IFERROR(__xludf.DUMMYFUNCTION("""COMPUTED_VALUE"""),0.0)</f>
        <v>0</v>
      </c>
      <c r="AB226" s="213">
        <f>IFERROR(__xludf.DUMMYFUNCTION("""COMPUTED_VALUE"""),0.0)</f>
        <v>0</v>
      </c>
      <c r="AC226" s="213">
        <f>IFERROR(__xludf.DUMMYFUNCTION("""COMPUTED_VALUE"""),0.0)</f>
        <v>0</v>
      </c>
      <c r="AD226" s="213">
        <f>IFERROR(__xludf.DUMMYFUNCTION("""COMPUTED_VALUE"""),0.0)</f>
        <v>0</v>
      </c>
      <c r="AE226" s="213">
        <f>IFERROR(__xludf.DUMMYFUNCTION("""COMPUTED_VALUE"""),0.0)</f>
        <v>0</v>
      </c>
      <c r="AF226" s="213">
        <f>IFERROR(__xludf.DUMMYFUNCTION("""COMPUTED_VALUE"""),0.0)</f>
        <v>0</v>
      </c>
      <c r="AG226" s="208"/>
      <c r="AH226" s="208"/>
      <c r="AI226" s="208"/>
      <c r="AJ226" s="208"/>
      <c r="AK226" s="208"/>
    </row>
    <row r="227">
      <c r="A227" s="209">
        <f>IFERROR(__xludf.DUMMYFUNCTION("""COMPUTED_VALUE"""),46191.0)</f>
        <v>46191</v>
      </c>
      <c r="B227" s="210">
        <f>IFERROR(__xludf.DUMMYFUNCTION("""COMPUTED_VALUE"""),0.375)</f>
        <v>0.375</v>
      </c>
      <c r="C227" s="211" t="str">
        <f>IFERROR(__xludf.DUMMYFUNCTION("""COMPUTED_VALUE"""),"Whatsapp")</f>
        <v>Whatsapp</v>
      </c>
      <c r="D227" s="211" t="str">
        <f>IFERROR(__xludf.DUMMYFUNCTION("""COMPUTED_VALUE"""),"Promotional")</f>
        <v>Promotional</v>
      </c>
      <c r="E227" s="211" t="str">
        <f>IFERROR(__xludf.DUMMYFUNCTION("""COMPUTED_VALUE"""),"Aldo")</f>
        <v>Aldo</v>
      </c>
      <c r="F227" s="211" t="str">
        <f>IFERROR(__xludf.DUMMYFUNCTION("""COMPUTED_VALUE"""),"HandbagCategory - No Offer - Category promotion HB")</f>
        <v>HandbagCategory - No Offer - Category promotion HB</v>
      </c>
      <c r="G227" s="211" t="str">
        <f>IFERROR(__xludf.DUMMYFUNCTION("""COMPUTED_VALUE"""),"Handbag_Totes")</f>
        <v>Handbag_Totes</v>
      </c>
      <c r="H227" s="212" t="str">
        <f>IFERROR(__xludf.DUMMYFUNCTION("""COMPUTED_VALUE"""),"AL_Map_Tote_L3")</f>
        <v>AL_Map_Tote_L3</v>
      </c>
      <c r="I227" s="212" t="str">
        <f>IFERROR(__xludf.DUMMYFUNCTION("""COMPUTED_VALUE"""),"Customers purchasing Tote in the last 36 months")</f>
        <v>Customers purchasing Tote in the last 36 months</v>
      </c>
      <c r="J227" s="213">
        <f>IFERROR(__xludf.DUMMYFUNCTION("""COMPUTED_VALUE"""),23928.0)</f>
        <v>23928</v>
      </c>
      <c r="K227" s="213">
        <f>IFERROR(__xludf.DUMMYFUNCTION("""COMPUTED_VALUE"""),12364.0)</f>
        <v>12364</v>
      </c>
      <c r="L227" s="214">
        <f>IFERROR(__xludf.DUMMYFUNCTION("""COMPUTED_VALUE"""),0.414)</f>
        <v>0.414</v>
      </c>
      <c r="M227" s="213">
        <f>IFERROR(__xludf.DUMMYFUNCTION("""COMPUTED_VALUE"""),4644.0)</f>
        <v>4644</v>
      </c>
      <c r="N227" s="214">
        <f>IFERROR(__xludf.DUMMYFUNCTION("""COMPUTED_VALUE"""),0.4597)</f>
        <v>0.4597</v>
      </c>
      <c r="O227" s="213">
        <f>IFERROR(__xludf.DUMMYFUNCTION("""COMPUTED_VALUE"""),440.0)</f>
        <v>440</v>
      </c>
      <c r="P227" s="213">
        <f>IFERROR(__xludf.DUMMYFUNCTION("""COMPUTED_VALUE"""),391.0)</f>
        <v>391</v>
      </c>
      <c r="Q227" s="214">
        <f>IFERROR(__xludf.DUMMYFUNCTION("""COMPUTED_VALUE"""),0.0395)</f>
        <v>0.0395</v>
      </c>
      <c r="R227" s="214">
        <f>IFERROR(__xludf.DUMMYFUNCTION("""COMPUTED_VALUE"""),0.0859)</f>
        <v>0.0859</v>
      </c>
      <c r="S227" s="213">
        <f>IFERROR(__xludf.DUMMYFUNCTION("""COMPUTED_VALUE"""),9.0)</f>
        <v>9</v>
      </c>
      <c r="T227" s="213">
        <f>IFERROR(__xludf.DUMMYFUNCTION("""COMPUTED_VALUE"""),0.0)</f>
        <v>0</v>
      </c>
      <c r="U227" s="213">
        <f>IFERROR(__xludf.DUMMYFUNCTION("""COMPUTED_VALUE"""),45042.0)</f>
        <v>45042</v>
      </c>
      <c r="V227" s="213" t="str">
        <f>IFERROR(__xludf.DUMMYFUNCTION("""COMPUTED_VALUE"""),"overall")</f>
        <v>overall</v>
      </c>
      <c r="W227" s="213" t="str">
        <f>IFERROR(__xludf.DUMMYFUNCTION("""COMPUTED_VALUE"""),"simple")</f>
        <v>simple</v>
      </c>
      <c r="X227" s="213" t="str">
        <f>IFERROR(__xludf.DUMMYFUNCTION("""COMPUTED_VALUE"""),"Category Specific :- Tote")</f>
        <v>Category Specific :- Tote</v>
      </c>
      <c r="Y227" s="213" t="str">
        <f>IFERROR(__xludf.DUMMYFUNCTION("""COMPUTED_VALUE"""),"21st June 2026")</f>
        <v>21st June 2026</v>
      </c>
      <c r="Z227" s="213" t="str">
        <f>IFERROR(__xludf.DUMMYFUNCTION("""COMPUTED_VALUE"""),"6a329dba9b2f98317fef2bd2")</f>
        <v>6a329dba9b2f98317fef2bd2</v>
      </c>
      <c r="AA227" s="213">
        <f>IFERROR(__xludf.DUMMYFUNCTION("""COMPUTED_VALUE"""),29.0)</f>
        <v>29</v>
      </c>
      <c r="AB227" s="213">
        <f>IFERROR(__xludf.DUMMYFUNCTION("""COMPUTED_VALUE"""),6.0)</f>
        <v>6</v>
      </c>
      <c r="AC227" s="213">
        <f>IFERROR(__xludf.DUMMYFUNCTION("""COMPUTED_VALUE"""),23.0)</f>
        <v>23</v>
      </c>
      <c r="AD227" s="213">
        <f>IFERROR(__xludf.DUMMYFUNCTION("""COMPUTED_VALUE"""),226244.0)</f>
        <v>226244</v>
      </c>
      <c r="AE227" s="213">
        <f>IFERROR(__xludf.DUMMYFUNCTION("""COMPUTED_VALUE"""),39394.0)</f>
        <v>39394</v>
      </c>
      <c r="AF227" s="213">
        <f>IFERROR(__xludf.DUMMYFUNCTION("""COMPUTED_VALUE"""),186850.0)</f>
        <v>186850</v>
      </c>
      <c r="AG227" s="208"/>
      <c r="AH227" s="208"/>
      <c r="AI227" s="208"/>
      <c r="AJ227" s="208"/>
      <c r="AK227" s="208"/>
    </row>
    <row r="228">
      <c r="A228" s="209">
        <f>IFERROR(__xludf.DUMMYFUNCTION("""COMPUTED_VALUE"""),46191.0)</f>
        <v>46191</v>
      </c>
      <c r="B228" s="210">
        <f>IFERROR(__xludf.DUMMYFUNCTION("""COMPUTED_VALUE"""),0.375)</f>
        <v>0.375</v>
      </c>
      <c r="C228" s="211" t="str">
        <f>IFERROR(__xludf.DUMMYFUNCTION("""COMPUTED_VALUE"""),"Whatsapp")</f>
        <v>Whatsapp</v>
      </c>
      <c r="D228" s="211" t="str">
        <f>IFERROR(__xludf.DUMMYFUNCTION("""COMPUTED_VALUE"""),"Promotional")</f>
        <v>Promotional</v>
      </c>
      <c r="E228" s="211" t="str">
        <f>IFERROR(__xludf.DUMMYFUNCTION("""COMPUTED_VALUE"""),"Aldo")</f>
        <v>Aldo</v>
      </c>
      <c r="F228" s="211" t="str">
        <f>IFERROR(__xludf.DUMMYFUNCTION("""COMPUTED_VALUE"""),"HandbagCategory - No Offer - Category promotion HB")</f>
        <v>HandbagCategory - No Offer - Category promotion HB</v>
      </c>
      <c r="G228" s="211" t="str">
        <f>IFERROR(__xludf.DUMMYFUNCTION("""COMPUTED_VALUE"""),"Handbag_Satchel")</f>
        <v>Handbag_Satchel</v>
      </c>
      <c r="H228" s="212" t="str">
        <f>IFERROR(__xludf.DUMMYFUNCTION("""COMPUTED_VALUE"""),"AL_Map_Satchel_L3")</f>
        <v>AL_Map_Satchel_L3</v>
      </c>
      <c r="I228" s="212" t="str">
        <f>IFERROR(__xludf.DUMMYFUNCTION("""COMPUTED_VALUE"""),"Customers purchasing Satchel in the last 36 months")</f>
        <v>Customers purchasing Satchel in the last 36 months</v>
      </c>
      <c r="J228" s="213">
        <f>IFERROR(__xludf.DUMMYFUNCTION("""COMPUTED_VALUE"""),52447.0)</f>
        <v>52447</v>
      </c>
      <c r="K228" s="213">
        <f>IFERROR(__xludf.DUMMYFUNCTION("""COMPUTED_VALUE"""),27295.0)</f>
        <v>27295</v>
      </c>
      <c r="L228" s="214">
        <f>IFERROR(__xludf.DUMMYFUNCTION("""COMPUTED_VALUE"""),0.4408)</f>
        <v>0.4408</v>
      </c>
      <c r="M228" s="213">
        <f>IFERROR(__xludf.DUMMYFUNCTION("""COMPUTED_VALUE"""),10931.0)</f>
        <v>10931</v>
      </c>
      <c r="N228" s="214">
        <f>IFERROR(__xludf.DUMMYFUNCTION("""COMPUTED_VALUE"""),0.4655)</f>
        <v>0.4655</v>
      </c>
      <c r="O228" s="213">
        <f>IFERROR(__xludf.DUMMYFUNCTION("""COMPUTED_VALUE"""),870.0)</f>
        <v>870</v>
      </c>
      <c r="P228" s="213">
        <f>IFERROR(__xludf.DUMMYFUNCTION("""COMPUTED_VALUE"""),826.0)</f>
        <v>826</v>
      </c>
      <c r="Q228" s="214">
        <f>IFERROR(__xludf.DUMMYFUNCTION("""COMPUTED_VALUE"""),0.0357)</f>
        <v>0.0357</v>
      </c>
      <c r="R228" s="214">
        <f>IFERROR(__xludf.DUMMYFUNCTION("""COMPUTED_VALUE"""),0.0768)</f>
        <v>0.0768</v>
      </c>
      <c r="S228" s="213">
        <f>IFERROR(__xludf.DUMMYFUNCTION("""COMPUTED_VALUE"""),19.0)</f>
        <v>19</v>
      </c>
      <c r="T228" s="213">
        <f>IFERROR(__xludf.DUMMYFUNCTION("""COMPUTED_VALUE"""),0.0)</f>
        <v>0</v>
      </c>
      <c r="U228" s="213">
        <f>IFERROR(__xludf.DUMMYFUNCTION("""COMPUTED_VALUE"""),145056.0)</f>
        <v>145056</v>
      </c>
      <c r="V228" s="213" t="str">
        <f>IFERROR(__xludf.DUMMYFUNCTION("""COMPUTED_VALUE"""),"overall")</f>
        <v>overall</v>
      </c>
      <c r="W228" s="213" t="str">
        <f>IFERROR(__xludf.DUMMYFUNCTION("""COMPUTED_VALUE"""),"simple")</f>
        <v>simple</v>
      </c>
      <c r="X228" s="213" t="str">
        <f>IFERROR(__xludf.DUMMYFUNCTION("""COMPUTED_VALUE"""),"Category Specific :- Satchel")</f>
        <v>Category Specific :- Satchel</v>
      </c>
      <c r="Y228" s="213" t="str">
        <f>IFERROR(__xludf.DUMMYFUNCTION("""COMPUTED_VALUE"""),"21st June 2026")</f>
        <v>21st June 2026</v>
      </c>
      <c r="Z228" s="213" t="str">
        <f>IFERROR(__xludf.DUMMYFUNCTION("""COMPUTED_VALUE"""),"6a329e1376efad947f34f81c")</f>
        <v>6a329e1376efad947f34f81c</v>
      </c>
      <c r="AA228" s="213">
        <f>IFERROR(__xludf.DUMMYFUNCTION("""COMPUTED_VALUE"""),39.0)</f>
        <v>39</v>
      </c>
      <c r="AB228" s="213">
        <f>IFERROR(__xludf.DUMMYFUNCTION("""COMPUTED_VALUE"""),8.0)</f>
        <v>8</v>
      </c>
      <c r="AC228" s="213">
        <f>IFERROR(__xludf.DUMMYFUNCTION("""COMPUTED_VALUE"""),31.0)</f>
        <v>31</v>
      </c>
      <c r="AD228" s="213">
        <f>IFERROR(__xludf.DUMMYFUNCTION("""COMPUTED_VALUE"""),387106.0)</f>
        <v>387106</v>
      </c>
      <c r="AE228" s="213">
        <f>IFERROR(__xludf.DUMMYFUNCTION("""COMPUTED_VALUE"""),72089.0)</f>
        <v>72089</v>
      </c>
      <c r="AF228" s="213">
        <f>IFERROR(__xludf.DUMMYFUNCTION("""COMPUTED_VALUE"""),315017.0)</f>
        <v>315017</v>
      </c>
      <c r="AG228" s="208"/>
      <c r="AH228" s="208"/>
      <c r="AI228" s="208"/>
      <c r="AJ228" s="208"/>
      <c r="AK228" s="208"/>
    </row>
    <row r="229">
      <c r="A229" s="209">
        <f>IFERROR(__xludf.DUMMYFUNCTION("""COMPUTED_VALUE"""),46191.0)</f>
        <v>46191</v>
      </c>
      <c r="B229" s="210">
        <f>IFERROR(__xludf.DUMMYFUNCTION("""COMPUTED_VALUE"""),0.375)</f>
        <v>0.375</v>
      </c>
      <c r="C229" s="211" t="str">
        <f>IFERROR(__xludf.DUMMYFUNCTION("""COMPUTED_VALUE"""),"Whatsapp")</f>
        <v>Whatsapp</v>
      </c>
      <c r="D229" s="211" t="str">
        <f>IFERROR(__xludf.DUMMYFUNCTION("""COMPUTED_VALUE"""),"Promotional")</f>
        <v>Promotional</v>
      </c>
      <c r="E229" s="211" t="str">
        <f>IFERROR(__xludf.DUMMYFUNCTION("""COMPUTED_VALUE"""),"Aldo")</f>
        <v>Aldo</v>
      </c>
      <c r="F229" s="211" t="str">
        <f>IFERROR(__xludf.DUMMYFUNCTION("""COMPUTED_VALUE"""),"HandbagCategory - No Offer - Category promotion HB")</f>
        <v>HandbagCategory - No Offer - Category promotion HB</v>
      </c>
      <c r="G229" s="211" t="str">
        <f>IFERROR(__xludf.DUMMYFUNCTION("""COMPUTED_VALUE"""),"Handbag_shoulder")</f>
        <v>Handbag_shoulder</v>
      </c>
      <c r="H229" s="212" t="str">
        <f>IFERROR(__xludf.DUMMYFUNCTION("""COMPUTED_VALUE"""),"AL_Map_ShoulderBags_L3")</f>
        <v>AL_Map_ShoulderBags_L3</v>
      </c>
      <c r="I229" s="212" t="str">
        <f>IFERROR(__xludf.DUMMYFUNCTION("""COMPUTED_VALUE"""),"Customers purchasing Shoulder Bags in the last 36 months")</f>
        <v>Customers purchasing Shoulder Bags in the last 36 months</v>
      </c>
      <c r="J229" s="213">
        <f>IFERROR(__xludf.DUMMYFUNCTION("""COMPUTED_VALUE"""),19378.0)</f>
        <v>19378</v>
      </c>
      <c r="K229" s="213">
        <f>IFERROR(__xludf.DUMMYFUNCTION("""COMPUTED_VALUE"""),9499.0)</f>
        <v>9499</v>
      </c>
      <c r="L229" s="214">
        <f>IFERROR(__xludf.DUMMYFUNCTION("""COMPUTED_VALUE"""),0.4786)</f>
        <v>0.4786</v>
      </c>
      <c r="M229" s="213">
        <f>IFERROR(__xludf.DUMMYFUNCTION("""COMPUTED_VALUE"""),3410.0)</f>
        <v>3410</v>
      </c>
      <c r="N229" s="214">
        <f>IFERROR(__xludf.DUMMYFUNCTION("""COMPUTED_VALUE"""),0.3687)</f>
        <v>0.3687</v>
      </c>
      <c r="O229" s="213">
        <f>IFERROR(__xludf.DUMMYFUNCTION("""COMPUTED_VALUE"""),292.0)</f>
        <v>292</v>
      </c>
      <c r="P229" s="213">
        <f>IFERROR(__xludf.DUMMYFUNCTION("""COMPUTED_VALUE"""),276.0)</f>
        <v>276</v>
      </c>
      <c r="Q229" s="214">
        <f>IFERROR(__xludf.DUMMYFUNCTION("""COMPUTED_VALUE"""),0.0299)</f>
        <v>0.0299</v>
      </c>
      <c r="R229" s="214">
        <f>IFERROR(__xludf.DUMMYFUNCTION("""COMPUTED_VALUE"""),0.0811)</f>
        <v>0.0811</v>
      </c>
      <c r="S229" s="213">
        <f>IFERROR(__xludf.DUMMYFUNCTION("""COMPUTED_VALUE"""),13.0)</f>
        <v>13</v>
      </c>
      <c r="T229" s="213">
        <f>IFERROR(__xludf.DUMMYFUNCTION("""COMPUTED_VALUE"""),0.0)</f>
        <v>0</v>
      </c>
      <c r="U229" s="213">
        <f>IFERROR(__xludf.DUMMYFUNCTION("""COMPUTED_VALUE"""),106061.0)</f>
        <v>106061</v>
      </c>
      <c r="V229" s="213" t="str">
        <f>IFERROR(__xludf.DUMMYFUNCTION("""COMPUTED_VALUE"""),"overall")</f>
        <v>overall</v>
      </c>
      <c r="W229" s="213" t="str">
        <f>IFERROR(__xludf.DUMMYFUNCTION("""COMPUTED_VALUE"""),"simple")</f>
        <v>simple</v>
      </c>
      <c r="X229" s="213" t="str">
        <f>IFERROR(__xludf.DUMMYFUNCTION("""COMPUTED_VALUE"""),"Category Specific :- Shoulder Bags")</f>
        <v>Category Specific :- Shoulder Bags</v>
      </c>
      <c r="Y229" s="213" t="str">
        <f>IFERROR(__xludf.DUMMYFUNCTION("""COMPUTED_VALUE"""),"21st June 2026")</f>
        <v>21st June 2026</v>
      </c>
      <c r="Z229" s="213" t="str">
        <f>IFERROR(__xludf.DUMMYFUNCTION("""COMPUTED_VALUE"""),"6a329f5aad96f891dbebe7f9")</f>
        <v>6a329f5aad96f891dbebe7f9</v>
      </c>
      <c r="AA229" s="213">
        <f>IFERROR(__xludf.DUMMYFUNCTION("""COMPUTED_VALUE"""),12.0)</f>
        <v>12</v>
      </c>
      <c r="AB229" s="213">
        <f>IFERROR(__xludf.DUMMYFUNCTION("""COMPUTED_VALUE"""),2.0)</f>
        <v>2</v>
      </c>
      <c r="AC229" s="213">
        <f>IFERROR(__xludf.DUMMYFUNCTION("""COMPUTED_VALUE"""),10.0)</f>
        <v>10</v>
      </c>
      <c r="AD229" s="213">
        <f>IFERROR(__xludf.DUMMYFUNCTION("""COMPUTED_VALUE"""),100237.0)</f>
        <v>100237</v>
      </c>
      <c r="AE229" s="213">
        <f>IFERROR(__xludf.DUMMYFUNCTION("""COMPUTED_VALUE"""),12998.0)</f>
        <v>12998</v>
      </c>
      <c r="AF229" s="213">
        <f>IFERROR(__xludf.DUMMYFUNCTION("""COMPUTED_VALUE"""),87239.0)</f>
        <v>87239</v>
      </c>
      <c r="AG229" s="208"/>
      <c r="AH229" s="208"/>
      <c r="AI229" s="208"/>
      <c r="AJ229" s="208"/>
      <c r="AK229" s="208"/>
    </row>
    <row r="230">
      <c r="A230" s="209">
        <f>IFERROR(__xludf.DUMMYFUNCTION("""COMPUTED_VALUE"""),46191.0)</f>
        <v>46191</v>
      </c>
      <c r="B230" s="210">
        <f>IFERROR(__xludf.DUMMYFUNCTION("""COMPUTED_VALUE"""),0.375)</f>
        <v>0.375</v>
      </c>
      <c r="C230" s="211" t="str">
        <f>IFERROR(__xludf.DUMMYFUNCTION("""COMPUTED_VALUE"""),"Whatsapp")</f>
        <v>Whatsapp</v>
      </c>
      <c r="D230" s="211" t="str">
        <f>IFERROR(__xludf.DUMMYFUNCTION("""COMPUTED_VALUE"""),"Promotional")</f>
        <v>Promotional</v>
      </c>
      <c r="E230" s="211" t="str">
        <f>IFERROR(__xludf.DUMMYFUNCTION("""COMPUTED_VALUE"""),"Aldo")</f>
        <v>Aldo</v>
      </c>
      <c r="F230" s="211" t="str">
        <f>IFERROR(__xludf.DUMMYFUNCTION("""COMPUTED_VALUE"""),"HandbagCategory - No Offer - Category promotion HB")</f>
        <v>HandbagCategory - No Offer - Category promotion HB</v>
      </c>
      <c r="G230" s="211" t="str">
        <f>IFERROR(__xludf.DUMMYFUNCTION("""COMPUTED_VALUE"""),"Handbag_Crossbody")</f>
        <v>Handbag_Crossbody</v>
      </c>
      <c r="H230" s="212" t="str">
        <f>IFERROR(__xludf.DUMMYFUNCTION("""COMPUTED_VALUE"""),"AL_Map_Crossbody_L3")</f>
        <v>AL_Map_Crossbody_L3</v>
      </c>
      <c r="I230" s="212" t="str">
        <f>IFERROR(__xludf.DUMMYFUNCTION("""COMPUTED_VALUE"""),"Customers purchasing Crossbody in the last 36 months")</f>
        <v>Customers purchasing Crossbody in the last 36 months</v>
      </c>
      <c r="J230" s="213">
        <f>IFERROR(__xludf.DUMMYFUNCTION("""COMPUTED_VALUE"""),41448.0)</f>
        <v>41448</v>
      </c>
      <c r="K230" s="213">
        <f>IFERROR(__xludf.DUMMYFUNCTION("""COMPUTED_VALUE"""),21727.0)</f>
        <v>21727</v>
      </c>
      <c r="L230" s="214">
        <f>IFERROR(__xludf.DUMMYFUNCTION("""COMPUTED_VALUE"""),0.4209)</f>
        <v>0.4209</v>
      </c>
      <c r="M230" s="213">
        <f>IFERROR(__xludf.DUMMYFUNCTION("""COMPUTED_VALUE"""),8193.0)</f>
        <v>8193</v>
      </c>
      <c r="N230" s="214">
        <f>IFERROR(__xludf.DUMMYFUNCTION("""COMPUTED_VALUE"""),0.4558)</f>
        <v>0.4558</v>
      </c>
      <c r="O230" s="213">
        <f>IFERROR(__xludf.DUMMYFUNCTION("""COMPUTED_VALUE"""),765.0)</f>
        <v>765</v>
      </c>
      <c r="P230" s="213">
        <f>IFERROR(__xludf.DUMMYFUNCTION("""COMPUTED_VALUE"""),717.0)</f>
        <v>717</v>
      </c>
      <c r="Q230" s="214">
        <f>IFERROR(__xludf.DUMMYFUNCTION("""COMPUTED_VALUE"""),0.0411)</f>
        <v>0.0411</v>
      </c>
      <c r="R230" s="214">
        <f>IFERROR(__xludf.DUMMYFUNCTION("""COMPUTED_VALUE"""),0.0902)</f>
        <v>0.0902</v>
      </c>
      <c r="S230" s="213">
        <f>IFERROR(__xludf.DUMMYFUNCTION("""COMPUTED_VALUE"""),24.0)</f>
        <v>24</v>
      </c>
      <c r="T230" s="213">
        <f>IFERROR(__xludf.DUMMYFUNCTION("""COMPUTED_VALUE"""),0.0)</f>
        <v>0</v>
      </c>
      <c r="U230" s="213">
        <f>IFERROR(__xludf.DUMMYFUNCTION("""COMPUTED_VALUE"""),182500.0)</f>
        <v>182500</v>
      </c>
      <c r="V230" s="213" t="str">
        <f>IFERROR(__xludf.DUMMYFUNCTION("""COMPUTED_VALUE"""),"overall")</f>
        <v>overall</v>
      </c>
      <c r="W230" s="213" t="str">
        <f>IFERROR(__xludf.DUMMYFUNCTION("""COMPUTED_VALUE"""),"simple")</f>
        <v>simple</v>
      </c>
      <c r="X230" s="213" t="str">
        <f>IFERROR(__xludf.DUMMYFUNCTION("""COMPUTED_VALUE"""),"Category Specific :- Crossbody")</f>
        <v>Category Specific :- Crossbody</v>
      </c>
      <c r="Y230" s="213" t="str">
        <f>IFERROR(__xludf.DUMMYFUNCTION("""COMPUTED_VALUE"""),"21st June 2026")</f>
        <v>21st June 2026</v>
      </c>
      <c r="Z230" s="213" t="str">
        <f>IFERROR(__xludf.DUMMYFUNCTION("""COMPUTED_VALUE"""),"6a329f848448ac75ef2af3f5")</f>
        <v>6a329f848448ac75ef2af3f5</v>
      </c>
      <c r="AA230" s="213">
        <f>IFERROR(__xludf.DUMMYFUNCTION("""COMPUTED_VALUE"""),47.0)</f>
        <v>47</v>
      </c>
      <c r="AB230" s="213">
        <f>IFERROR(__xludf.DUMMYFUNCTION("""COMPUTED_VALUE"""),18.0)</f>
        <v>18</v>
      </c>
      <c r="AC230" s="213">
        <f>IFERROR(__xludf.DUMMYFUNCTION("""COMPUTED_VALUE"""),29.0)</f>
        <v>29</v>
      </c>
      <c r="AD230" s="213">
        <f>IFERROR(__xludf.DUMMYFUNCTION("""COMPUTED_VALUE"""),355229.0)</f>
        <v>355229</v>
      </c>
      <c r="AE230" s="213">
        <f>IFERROR(__xludf.DUMMYFUNCTION("""COMPUTED_VALUE"""),131780.0)</f>
        <v>131780</v>
      </c>
      <c r="AF230" s="213">
        <f>IFERROR(__xludf.DUMMYFUNCTION("""COMPUTED_VALUE"""),223449.0)</f>
        <v>223449</v>
      </c>
      <c r="AG230" s="208"/>
      <c r="AH230" s="208"/>
      <c r="AI230" s="208"/>
      <c r="AJ230" s="208"/>
      <c r="AK230" s="208"/>
    </row>
    <row r="231">
      <c r="A231" s="209">
        <f>IFERROR(__xludf.DUMMYFUNCTION("""COMPUTED_VALUE"""),46193.0)</f>
        <v>46193</v>
      </c>
      <c r="B231" s="210">
        <f>IFERROR(__xludf.DUMMYFUNCTION("""COMPUTED_VALUE"""),0.5)</f>
        <v>0.5</v>
      </c>
      <c r="C231" s="211" t="str">
        <f>IFERROR(__xludf.DUMMYFUNCTION("""COMPUTED_VALUE"""),"Sms")</f>
        <v>Sms</v>
      </c>
      <c r="D231" s="211" t="str">
        <f>IFERROR(__xludf.DUMMYFUNCTION("""COMPUTED_VALUE"""),"Fallback campaign")</f>
        <v>Fallback campaign</v>
      </c>
      <c r="E231" s="211" t="str">
        <f>IFERROR(__xludf.DUMMYFUNCTION("""COMPUTED_VALUE"""),"Aldo")</f>
        <v>Aldo</v>
      </c>
      <c r="F231" s="211" t="str">
        <f>IFERROR(__xludf.DUMMYFUNCTION("""COMPUTED_VALUE"""),"EOSS:2ndWeek50% Off - Offer 50% Off")</f>
        <v>EOSS:2ndWeek50% Off - Offer 50% Off</v>
      </c>
      <c r="G231" s="211" t="str">
        <f>IFERROR(__xludf.DUMMYFUNCTION("""COMPUTED_VALUE"""),"FB_SMS_OFFDISC_RPT")</f>
        <v>FB_SMS_OFFDISC_RPT</v>
      </c>
      <c r="H231" s="212" t="str">
        <f>IFERROR(__xludf.DUMMYFUNCTION("""COMPUTED_VALUE"""),"AL_ON_OFF_DISC_RPT")</f>
        <v>AL_ON_OFF_DISC_RPT</v>
      </c>
      <c r="I231" s="212" t="str">
        <f>IFERROR(__xludf.DUMMYFUNCTION("""COMPUTED_VALUE"""),"RCS Undelivered")</f>
        <v>RCS Undelivered</v>
      </c>
      <c r="J231" s="213">
        <f>IFERROR(__xludf.DUMMYFUNCTION("""COMPUTED_VALUE"""),8341.0)</f>
        <v>8341</v>
      </c>
      <c r="K231" s="213">
        <f>IFERROR(__xludf.DUMMYFUNCTION("""COMPUTED_VALUE"""),3323.0)</f>
        <v>3323</v>
      </c>
      <c r="L231" s="214">
        <f>IFERROR(__xludf.DUMMYFUNCTION("""COMPUTED_VALUE"""),0.3984)</f>
        <v>0.3984</v>
      </c>
      <c r="M231" s="213">
        <f>IFERROR(__xludf.DUMMYFUNCTION("""COMPUTED_VALUE"""),0.0)</f>
        <v>0</v>
      </c>
      <c r="N231" s="214">
        <f>IFERROR(__xludf.DUMMYFUNCTION("""COMPUTED_VALUE"""),0.0)</f>
        <v>0</v>
      </c>
      <c r="O231" s="213">
        <f>IFERROR(__xludf.DUMMYFUNCTION("""COMPUTED_VALUE"""),8.0)</f>
        <v>8</v>
      </c>
      <c r="P231" s="213">
        <f>IFERROR(__xludf.DUMMYFUNCTION("""COMPUTED_VALUE"""),0.0)</f>
        <v>0</v>
      </c>
      <c r="Q231" s="214">
        <f>IFERROR(__xludf.DUMMYFUNCTION("""COMPUTED_VALUE"""),0.0024)</f>
        <v>0.0024</v>
      </c>
      <c r="R231" s="214">
        <f>IFERROR(__xludf.DUMMYFUNCTION("""COMPUTED_VALUE"""),0.0)</f>
        <v>0</v>
      </c>
      <c r="S231" s="213">
        <f>IFERROR(__xludf.DUMMYFUNCTION("""COMPUTED_VALUE"""),1.0)</f>
        <v>1</v>
      </c>
      <c r="T231" s="213">
        <f>IFERROR(__xludf.DUMMYFUNCTION("""COMPUTED_VALUE"""),0.0)</f>
        <v>0</v>
      </c>
      <c r="U231" s="213">
        <f>IFERROR(__xludf.DUMMYFUNCTION("""COMPUTED_VALUE"""),12999.0)</f>
        <v>12999</v>
      </c>
      <c r="V231" s="213" t="str">
        <f>IFERROR(__xludf.DUMMYFUNCTION("""COMPUTED_VALUE"""),"overall")</f>
        <v>overall</v>
      </c>
      <c r="W231" s="213" t="str">
        <f>IFERROR(__xludf.DUMMYFUNCTION("""COMPUTED_VALUE"""),"Sms")</f>
        <v>Sms</v>
      </c>
      <c r="X231" s="213" t="str">
        <f>IFERROR(__xludf.DUMMYFUNCTION("""COMPUTED_VALUE"""),"Discount Repeat Buyers")</f>
        <v>Discount Repeat Buyers</v>
      </c>
      <c r="Y231" s="213" t="str">
        <f>IFERROR(__xludf.DUMMYFUNCTION("""COMPUTED_VALUE"""),"20th Sat - Sunday 21st June 2026")</f>
        <v>20th Sat - Sunday 21st June 2026</v>
      </c>
      <c r="Z231" s="213" t="str">
        <f>IFERROR(__xludf.DUMMYFUNCTION("""COMPUTED_VALUE"""),"6a35574e659b3345c83e3140")</f>
        <v>6a35574e659b3345c83e3140</v>
      </c>
      <c r="AA231" s="213">
        <f>IFERROR(__xludf.DUMMYFUNCTION("""COMPUTED_VALUE"""),18.0)</f>
        <v>18</v>
      </c>
      <c r="AB231" s="213">
        <f>IFERROR(__xludf.DUMMYFUNCTION("""COMPUTED_VALUE"""),2.0)</f>
        <v>2</v>
      </c>
      <c r="AC231" s="213">
        <f>IFERROR(__xludf.DUMMYFUNCTION("""COMPUTED_VALUE"""),16.0)</f>
        <v>16</v>
      </c>
      <c r="AD231" s="213">
        <f>IFERROR(__xludf.DUMMYFUNCTION("""COMPUTED_VALUE"""),219124.0)</f>
        <v>219124</v>
      </c>
      <c r="AE231" s="213">
        <f>IFERROR(__xludf.DUMMYFUNCTION("""COMPUTED_VALUE"""),21998.0)</f>
        <v>21998</v>
      </c>
      <c r="AF231" s="213">
        <f>IFERROR(__xludf.DUMMYFUNCTION("""COMPUTED_VALUE"""),197126.0)</f>
        <v>197126</v>
      </c>
      <c r="AG231" s="208"/>
      <c r="AH231" s="208"/>
      <c r="AI231" s="208"/>
      <c r="AJ231" s="208"/>
      <c r="AK231" s="208"/>
    </row>
    <row r="232">
      <c r="A232" s="209">
        <f>IFERROR(__xludf.DUMMYFUNCTION("""COMPUTED_VALUE"""),46193.0)</f>
        <v>46193</v>
      </c>
      <c r="B232" s="210">
        <f>IFERROR(__xludf.DUMMYFUNCTION("""COMPUTED_VALUE"""),0.5)</f>
        <v>0.5</v>
      </c>
      <c r="C232" s="211" t="str">
        <f>IFERROR(__xludf.DUMMYFUNCTION("""COMPUTED_VALUE"""),"Sms")</f>
        <v>Sms</v>
      </c>
      <c r="D232" s="211" t="str">
        <f>IFERROR(__xludf.DUMMYFUNCTION("""COMPUTED_VALUE"""),"Fallback campaign")</f>
        <v>Fallback campaign</v>
      </c>
      <c r="E232" s="211" t="str">
        <f>IFERROR(__xludf.DUMMYFUNCTION("""COMPUTED_VALUE"""),"Aldo")</f>
        <v>Aldo</v>
      </c>
      <c r="F232" s="211" t="str">
        <f>IFERROR(__xludf.DUMMYFUNCTION("""COMPUTED_VALUE"""),"EOSS:2ndWeek50% Off - Offer 50% Off")</f>
        <v>EOSS:2ndWeek50% Off - Offer 50% Off</v>
      </c>
      <c r="G232" s="211" t="str">
        <f>IFERROR(__xludf.DUMMYFUNCTION("""COMPUTED_VALUE"""),"SMSFB_ATC90D")</f>
        <v>SMSFB_ATC90D</v>
      </c>
      <c r="H232" s="212" t="str">
        <f>IFERROR(__xludf.DUMMYFUNCTION("""COMPUTED_VALUE"""),"AL_ON_ATC_90D")</f>
        <v>AL_ON_ATC_90D</v>
      </c>
      <c r="I232" s="212" t="str">
        <f>IFERROR(__xludf.DUMMYFUNCTION("""COMPUTED_VALUE"""),"RCS Undelivered")</f>
        <v>RCS Undelivered</v>
      </c>
      <c r="J232" s="213">
        <f>IFERROR(__xludf.DUMMYFUNCTION("""COMPUTED_VALUE"""),2874.0)</f>
        <v>2874</v>
      </c>
      <c r="K232" s="213">
        <f>IFERROR(__xludf.DUMMYFUNCTION("""COMPUTED_VALUE"""),1857.0)</f>
        <v>1857</v>
      </c>
      <c r="L232" s="214">
        <f>IFERROR(__xludf.DUMMYFUNCTION("""COMPUTED_VALUE"""),0.6461)</f>
        <v>0.6461</v>
      </c>
      <c r="M232" s="213">
        <f>IFERROR(__xludf.DUMMYFUNCTION("""COMPUTED_VALUE"""),0.0)</f>
        <v>0</v>
      </c>
      <c r="N232" s="214">
        <f>IFERROR(__xludf.DUMMYFUNCTION("""COMPUTED_VALUE"""),0.0)</f>
        <v>0</v>
      </c>
      <c r="O232" s="213">
        <f>IFERROR(__xludf.DUMMYFUNCTION("""COMPUTED_VALUE"""),5.0)</f>
        <v>5</v>
      </c>
      <c r="P232" s="213">
        <f>IFERROR(__xludf.DUMMYFUNCTION("""COMPUTED_VALUE"""),0.0)</f>
        <v>0</v>
      </c>
      <c r="Q232" s="214">
        <f>IFERROR(__xludf.DUMMYFUNCTION("""COMPUTED_VALUE"""),0.0027)</f>
        <v>0.0027</v>
      </c>
      <c r="R232" s="214">
        <f>IFERROR(__xludf.DUMMYFUNCTION("""COMPUTED_VALUE"""),0.0)</f>
        <v>0</v>
      </c>
      <c r="S232" s="213">
        <f>IFERROR(__xludf.DUMMYFUNCTION("""COMPUTED_VALUE"""),3.0)</f>
        <v>3</v>
      </c>
      <c r="T232" s="213">
        <f>IFERROR(__xludf.DUMMYFUNCTION("""COMPUTED_VALUE"""),0.0)</f>
        <v>0</v>
      </c>
      <c r="U232" s="213">
        <f>IFERROR(__xludf.DUMMYFUNCTION("""COMPUTED_VALUE"""),12747.0)</f>
        <v>12747</v>
      </c>
      <c r="V232" s="213" t="str">
        <f>IFERROR(__xludf.DUMMYFUNCTION("""COMPUTED_VALUE"""),"online")</f>
        <v>online</v>
      </c>
      <c r="W232" s="213" t="str">
        <f>IFERROR(__xludf.DUMMYFUNCTION("""COMPUTED_VALUE"""),"Sms")</f>
        <v>Sms</v>
      </c>
      <c r="X232" s="213" t="str">
        <f>IFERROR(__xludf.DUMMYFUNCTION("""COMPUTED_VALUE"""),"Add to Cart")</f>
        <v>Add to Cart</v>
      </c>
      <c r="Y232" s="213" t="str">
        <f>IFERROR(__xludf.DUMMYFUNCTION("""COMPUTED_VALUE"""),"20th Sat - Sunday 21st June 2026")</f>
        <v>20th Sat - Sunday 21st June 2026</v>
      </c>
      <c r="Z232" s="213" t="str">
        <f>IFERROR(__xludf.DUMMYFUNCTION("""COMPUTED_VALUE"""),"6a3559c1f2f67ea79ba35cf9")</f>
        <v>6a3559c1f2f67ea79ba35cf9</v>
      </c>
      <c r="AA232" s="213">
        <f>IFERROR(__xludf.DUMMYFUNCTION("""COMPUTED_VALUE"""),12.0)</f>
        <v>12</v>
      </c>
      <c r="AB232" s="213">
        <f>IFERROR(__xludf.DUMMYFUNCTION("""COMPUTED_VALUE"""),12.0)</f>
        <v>12</v>
      </c>
      <c r="AC232" s="213"/>
      <c r="AD232" s="213">
        <f>IFERROR(__xludf.DUMMYFUNCTION("""COMPUTED_VALUE"""),88436.0)</f>
        <v>88436</v>
      </c>
      <c r="AE232" s="213">
        <f>IFERROR(__xludf.DUMMYFUNCTION("""COMPUTED_VALUE"""),88436.0)</f>
        <v>88436</v>
      </c>
      <c r="AF232" s="213"/>
      <c r="AG232" s="208"/>
      <c r="AH232" s="208"/>
      <c r="AI232" s="208"/>
      <c r="AJ232" s="208"/>
      <c r="AK232" s="208"/>
    </row>
    <row r="233">
      <c r="A233" s="209">
        <f>IFERROR(__xludf.DUMMYFUNCTION("""COMPUTED_VALUE"""),46193.0)</f>
        <v>46193</v>
      </c>
      <c r="B233" s="210">
        <f>IFERROR(__xludf.DUMMYFUNCTION("""COMPUTED_VALUE"""),0.5)</f>
        <v>0.5</v>
      </c>
      <c r="C233" s="211" t="str">
        <f>IFERROR(__xludf.DUMMYFUNCTION("""COMPUTED_VALUE"""),"Sms")</f>
        <v>Sms</v>
      </c>
      <c r="D233" s="211" t="str">
        <f>IFERROR(__xludf.DUMMYFUNCTION("""COMPUTED_VALUE"""),"Fallback campaign")</f>
        <v>Fallback campaign</v>
      </c>
      <c r="E233" s="211" t="str">
        <f>IFERROR(__xludf.DUMMYFUNCTION("""COMPUTED_VALUE"""),"Aldo")</f>
        <v>Aldo</v>
      </c>
      <c r="F233" s="211" t="str">
        <f>IFERROR(__xludf.DUMMYFUNCTION("""COMPUTED_VALUE"""),"EOSS:2ndWeek50% Off - Offer 50% Off")</f>
        <v>EOSS:2ndWeek50% Off - Offer 50% Off</v>
      </c>
      <c r="G233" s="211" t="str">
        <f>IFERROR(__xludf.DUMMYFUNCTION("""COMPUTED_VALUE"""),"SMSFB_NonTxt")</f>
        <v>SMSFB_NonTxt</v>
      </c>
      <c r="H233" s="212" t="str">
        <f>IFERROR(__xludf.DUMMYFUNCTION("""COMPUTED_VALUE"""),"AL_Non-Txn_Base")</f>
        <v>AL_Non-Txn_Base</v>
      </c>
      <c r="I233" s="212" t="str">
        <f>IFERROR(__xludf.DUMMYFUNCTION("""COMPUTED_VALUE"""),"RCS Undelivered")</f>
        <v>RCS Undelivered</v>
      </c>
      <c r="J233" s="213">
        <f>IFERROR(__xludf.DUMMYFUNCTION("""COMPUTED_VALUE"""),83651.0)</f>
        <v>83651</v>
      </c>
      <c r="K233" s="213">
        <f>IFERROR(__xludf.DUMMYFUNCTION("""COMPUTED_VALUE"""),47563.0)</f>
        <v>47563</v>
      </c>
      <c r="L233" s="214">
        <f>IFERROR(__xludf.DUMMYFUNCTION("""COMPUTED_VALUE"""),0.5686)</f>
        <v>0.5686</v>
      </c>
      <c r="M233" s="213">
        <f>IFERROR(__xludf.DUMMYFUNCTION("""COMPUTED_VALUE"""),0.0)</f>
        <v>0</v>
      </c>
      <c r="N233" s="214">
        <f>IFERROR(__xludf.DUMMYFUNCTION("""COMPUTED_VALUE"""),0.0)</f>
        <v>0</v>
      </c>
      <c r="O233" s="213">
        <f>IFERROR(__xludf.DUMMYFUNCTION("""COMPUTED_VALUE"""),98.0)</f>
        <v>98</v>
      </c>
      <c r="P233" s="213">
        <f>IFERROR(__xludf.DUMMYFUNCTION("""COMPUTED_VALUE"""),0.0)</f>
        <v>0</v>
      </c>
      <c r="Q233" s="214">
        <f>IFERROR(__xludf.DUMMYFUNCTION("""COMPUTED_VALUE"""),0.0021)</f>
        <v>0.0021</v>
      </c>
      <c r="R233" s="214">
        <f>IFERROR(__xludf.DUMMYFUNCTION("""COMPUTED_VALUE"""),0.0)</f>
        <v>0</v>
      </c>
      <c r="S233" s="213">
        <f>IFERROR(__xludf.DUMMYFUNCTION("""COMPUTED_VALUE"""),7.0)</f>
        <v>7</v>
      </c>
      <c r="T233" s="213">
        <f>IFERROR(__xludf.DUMMYFUNCTION("""COMPUTED_VALUE"""),0.0)</f>
        <v>0</v>
      </c>
      <c r="U233" s="213">
        <f>IFERROR(__xludf.DUMMYFUNCTION("""COMPUTED_VALUE"""),50892.0)</f>
        <v>50892</v>
      </c>
      <c r="V233" s="213" t="str">
        <f>IFERROR(__xludf.DUMMYFUNCTION("""COMPUTED_VALUE"""),"overall")</f>
        <v>overall</v>
      </c>
      <c r="W233" s="213" t="str">
        <f>IFERROR(__xludf.DUMMYFUNCTION("""COMPUTED_VALUE"""),"Sms")</f>
        <v>Sms</v>
      </c>
      <c r="X233" s="213" t="str">
        <f>IFERROR(__xludf.DUMMYFUNCTION("""COMPUTED_VALUE"""),"Non - Txn Base")</f>
        <v>Non - Txn Base</v>
      </c>
      <c r="Y233" s="213" t="str">
        <f>IFERROR(__xludf.DUMMYFUNCTION("""COMPUTED_VALUE"""),"20th Sat - Sunday 21st June 2026")</f>
        <v>20th Sat - Sunday 21st June 2026</v>
      </c>
      <c r="Z233" s="213" t="str">
        <f>IFERROR(__xludf.DUMMYFUNCTION("""COMPUTED_VALUE"""),"6a355b71486e5b30883dd99a")</f>
        <v>6a355b71486e5b30883dd99a</v>
      </c>
      <c r="AA233" s="213">
        <f>IFERROR(__xludf.DUMMYFUNCTION("""COMPUTED_VALUE"""),48.0)</f>
        <v>48</v>
      </c>
      <c r="AB233" s="213">
        <f>IFERROR(__xludf.DUMMYFUNCTION("""COMPUTED_VALUE"""),22.0)</f>
        <v>22</v>
      </c>
      <c r="AC233" s="213">
        <f>IFERROR(__xludf.DUMMYFUNCTION("""COMPUTED_VALUE"""),26.0)</f>
        <v>26</v>
      </c>
      <c r="AD233" s="213">
        <f>IFERROR(__xludf.DUMMYFUNCTION("""COMPUTED_VALUE"""),389701.0)</f>
        <v>389701</v>
      </c>
      <c r="AE233" s="213">
        <f>IFERROR(__xludf.DUMMYFUNCTION("""COMPUTED_VALUE"""),147677.0)</f>
        <v>147677</v>
      </c>
      <c r="AF233" s="213">
        <f>IFERROR(__xludf.DUMMYFUNCTION("""COMPUTED_VALUE"""),242024.0)</f>
        <v>242024</v>
      </c>
      <c r="AG233" s="208"/>
      <c r="AH233" s="208"/>
      <c r="AI233" s="208"/>
      <c r="AJ233" s="208"/>
      <c r="AK233" s="208"/>
    </row>
    <row r="234">
      <c r="A234" s="209">
        <f>IFERROR(__xludf.DUMMYFUNCTION("""COMPUTED_VALUE"""),46193.0)</f>
        <v>46193</v>
      </c>
      <c r="B234" s="210">
        <f>IFERROR(__xludf.DUMMYFUNCTION("""COMPUTED_VALUE"""),0.5)</f>
        <v>0.5</v>
      </c>
      <c r="C234" s="211" t="str">
        <f>IFERROR(__xludf.DUMMYFUNCTION("""COMPUTED_VALUE"""),"Sms")</f>
        <v>Sms</v>
      </c>
      <c r="D234" s="211" t="str">
        <f>IFERROR(__xludf.DUMMYFUNCTION("""COMPUTED_VALUE"""),"Fallback campaign")</f>
        <v>Fallback campaign</v>
      </c>
      <c r="E234" s="211" t="str">
        <f>IFERROR(__xludf.DUMMYFUNCTION("""COMPUTED_VALUE"""),"Aldo")</f>
        <v>Aldo</v>
      </c>
      <c r="F234" s="211" t="str">
        <f>IFERROR(__xludf.DUMMYFUNCTION("""COMPUTED_VALUE"""),"EOSS:2ndWeek50% Off - Offer 50% Off")</f>
        <v>EOSS:2ndWeek50% Off - Offer 50% Off</v>
      </c>
      <c r="G234" s="211" t="str">
        <f>IFERROR(__xludf.DUMMYFUNCTION("""COMPUTED_VALUE"""),"FBSMS_ONView_Item")</f>
        <v>FBSMS_ONView_Item</v>
      </c>
      <c r="H234" s="212" t="str">
        <f>IFERROR(__xludf.DUMMYFUNCTION("""COMPUTED_VALUE"""),"AL_ON_View_Item")</f>
        <v>AL_ON_View_Item</v>
      </c>
      <c r="I234" s="212" t="str">
        <f>IFERROR(__xludf.DUMMYFUNCTION("""COMPUTED_VALUE"""),"RCS Undelivered")</f>
        <v>RCS Undelivered</v>
      </c>
      <c r="J234" s="213">
        <f>IFERROR(__xludf.DUMMYFUNCTION("""COMPUTED_VALUE"""),366.0)</f>
        <v>366</v>
      </c>
      <c r="K234" s="213">
        <f>IFERROR(__xludf.DUMMYFUNCTION("""COMPUTED_VALUE"""),242.0)</f>
        <v>242</v>
      </c>
      <c r="L234" s="214">
        <f>IFERROR(__xludf.DUMMYFUNCTION("""COMPUTED_VALUE"""),0.6612)</f>
        <v>0.6612</v>
      </c>
      <c r="M234" s="213">
        <f>IFERROR(__xludf.DUMMYFUNCTION("""COMPUTED_VALUE"""),0.0)</f>
        <v>0</v>
      </c>
      <c r="N234" s="214">
        <f>IFERROR(__xludf.DUMMYFUNCTION("""COMPUTED_VALUE"""),0.0)</f>
        <v>0</v>
      </c>
      <c r="O234" s="213">
        <f>IFERROR(__xludf.DUMMYFUNCTION("""COMPUTED_VALUE"""),0.0)</f>
        <v>0</v>
      </c>
      <c r="P234" s="213">
        <f>IFERROR(__xludf.DUMMYFUNCTION("""COMPUTED_VALUE"""),0.0)</f>
        <v>0</v>
      </c>
      <c r="Q234" s="214">
        <f>IFERROR(__xludf.DUMMYFUNCTION("""COMPUTED_VALUE"""),0.0)</f>
        <v>0</v>
      </c>
      <c r="R234" s="214">
        <f>IFERROR(__xludf.DUMMYFUNCTION("""COMPUTED_VALUE"""),0.0)</f>
        <v>0</v>
      </c>
      <c r="S234" s="213">
        <f>IFERROR(__xludf.DUMMYFUNCTION("""COMPUTED_VALUE"""),0.0)</f>
        <v>0</v>
      </c>
      <c r="T234" s="213">
        <f>IFERROR(__xludf.DUMMYFUNCTION("""COMPUTED_VALUE"""),0.0)</f>
        <v>0</v>
      </c>
      <c r="U234" s="213">
        <f>IFERROR(__xludf.DUMMYFUNCTION("""COMPUTED_VALUE"""),0.0)</f>
        <v>0</v>
      </c>
      <c r="V234" s="213" t="str">
        <f>IFERROR(__xludf.DUMMYFUNCTION("""COMPUTED_VALUE"""),"online")</f>
        <v>online</v>
      </c>
      <c r="W234" s="213" t="str">
        <f>IFERROR(__xludf.DUMMYFUNCTION("""COMPUTED_VALUE"""),"Sms")</f>
        <v>Sms</v>
      </c>
      <c r="X234" s="213" t="str">
        <f>IFERROR(__xludf.DUMMYFUNCTION("""COMPUTED_VALUE"""),"View Item")</f>
        <v>View Item</v>
      </c>
      <c r="Y234" s="213" t="str">
        <f>IFERROR(__xludf.DUMMYFUNCTION("""COMPUTED_VALUE"""),"20th Sat - Sunday 21st June 2026")</f>
        <v>20th Sat - Sunday 21st June 2026</v>
      </c>
      <c r="Z234" s="213" t="str">
        <f>IFERROR(__xludf.DUMMYFUNCTION("""COMPUTED_VALUE"""),"6a355baf86955c6220e4141d")</f>
        <v>6a355baf86955c6220e4141d</v>
      </c>
      <c r="AA234" s="213">
        <f>IFERROR(__xludf.DUMMYFUNCTION("""COMPUTED_VALUE"""),1.0)</f>
        <v>1</v>
      </c>
      <c r="AB234" s="213">
        <f>IFERROR(__xludf.DUMMYFUNCTION("""COMPUTED_VALUE"""),1.0)</f>
        <v>1</v>
      </c>
      <c r="AC234" s="213"/>
      <c r="AD234" s="213">
        <f>IFERROR(__xludf.DUMMYFUNCTION("""COMPUTED_VALUE"""),12999.0)</f>
        <v>12999</v>
      </c>
      <c r="AE234" s="213">
        <f>IFERROR(__xludf.DUMMYFUNCTION("""COMPUTED_VALUE"""),12999.0)</f>
        <v>12999</v>
      </c>
      <c r="AF234" s="213"/>
      <c r="AG234" s="208"/>
      <c r="AH234" s="208"/>
      <c r="AI234" s="208"/>
      <c r="AJ234" s="208"/>
      <c r="AK234" s="208"/>
    </row>
    <row r="235">
      <c r="A235" s="209">
        <f>IFERROR(__xludf.DUMMYFUNCTION("""COMPUTED_VALUE"""),46193.0)</f>
        <v>46193</v>
      </c>
      <c r="B235" s="210">
        <f>IFERROR(__xludf.DUMMYFUNCTION("""COMPUTED_VALUE"""),0.5)</f>
        <v>0.5</v>
      </c>
      <c r="C235" s="211" t="str">
        <f>IFERROR(__xludf.DUMMYFUNCTION("""COMPUTED_VALUE"""),"Sms")</f>
        <v>Sms</v>
      </c>
      <c r="D235" s="211" t="str">
        <f>IFERROR(__xludf.DUMMYFUNCTION("""COMPUTED_VALUE"""),"Fallback campaign")</f>
        <v>Fallback campaign</v>
      </c>
      <c r="E235" s="211" t="str">
        <f>IFERROR(__xludf.DUMMYFUNCTION("""COMPUTED_VALUE"""),"Aldo")</f>
        <v>Aldo</v>
      </c>
      <c r="F235" s="211" t="str">
        <f>IFERROR(__xludf.DUMMYFUNCTION("""COMPUTED_VALUE"""),"EOSS:2ndWeek50% Off - Offer 50% Off")</f>
        <v>EOSS:2ndWeek50% Off - Offer 50% Off</v>
      </c>
      <c r="G235" s="211" t="str">
        <f>IFERROR(__xludf.DUMMYFUNCTION("""COMPUTED_VALUE"""),"FBMS_OFFEventBuyers")</f>
        <v>FBMS_OFFEventBuyers</v>
      </c>
      <c r="H235" s="212" t="str">
        <f>IFERROR(__xludf.DUMMYFUNCTION("""COMPUTED_VALUE"""),"AL_ON_OFF_Event_Buyers_EOSS")</f>
        <v>AL_ON_OFF_Event_Buyers_EOSS</v>
      </c>
      <c r="I235" s="212" t="str">
        <f>IFERROR(__xludf.DUMMYFUNCTION("""COMPUTED_VALUE"""),"RCS Undelivered")</f>
        <v>RCS Undelivered</v>
      </c>
      <c r="J235" s="213">
        <f>IFERROR(__xludf.DUMMYFUNCTION("""COMPUTED_VALUE"""),66263.0)</f>
        <v>66263</v>
      </c>
      <c r="K235" s="213">
        <f>IFERROR(__xludf.DUMMYFUNCTION("""COMPUTED_VALUE"""),27311.0)</f>
        <v>27311</v>
      </c>
      <c r="L235" s="214">
        <f>IFERROR(__xludf.DUMMYFUNCTION("""COMPUTED_VALUE"""),0.4122)</f>
        <v>0.4122</v>
      </c>
      <c r="M235" s="213">
        <f>IFERROR(__xludf.DUMMYFUNCTION("""COMPUTED_VALUE"""),0.0)</f>
        <v>0</v>
      </c>
      <c r="N235" s="214">
        <f>IFERROR(__xludf.DUMMYFUNCTION("""COMPUTED_VALUE"""),0.0)</f>
        <v>0</v>
      </c>
      <c r="O235" s="213">
        <f>IFERROR(__xludf.DUMMYFUNCTION("""COMPUTED_VALUE"""),66.0)</f>
        <v>66</v>
      </c>
      <c r="P235" s="213">
        <f>IFERROR(__xludf.DUMMYFUNCTION("""COMPUTED_VALUE"""),0.0)</f>
        <v>0</v>
      </c>
      <c r="Q235" s="214">
        <f>IFERROR(__xludf.DUMMYFUNCTION("""COMPUTED_VALUE"""),0.0024)</f>
        <v>0.0024</v>
      </c>
      <c r="R235" s="214">
        <f>IFERROR(__xludf.DUMMYFUNCTION("""COMPUTED_VALUE"""),0.0)</f>
        <v>0</v>
      </c>
      <c r="S235" s="213">
        <f>IFERROR(__xludf.DUMMYFUNCTION("""COMPUTED_VALUE"""),15.0)</f>
        <v>15</v>
      </c>
      <c r="T235" s="213">
        <f>IFERROR(__xludf.DUMMYFUNCTION("""COMPUTED_VALUE"""),0.0)</f>
        <v>0</v>
      </c>
      <c r="U235" s="213">
        <f>IFERROR(__xludf.DUMMYFUNCTION("""COMPUTED_VALUE"""),145631.0)</f>
        <v>145631</v>
      </c>
      <c r="V235" s="213" t="str">
        <f>IFERROR(__xludf.DUMMYFUNCTION("""COMPUTED_VALUE"""),"overall")</f>
        <v>overall</v>
      </c>
      <c r="W235" s="213" t="str">
        <f>IFERROR(__xludf.DUMMYFUNCTION("""COMPUTED_VALUE"""),"Sms")</f>
        <v>Sms</v>
      </c>
      <c r="X235" s="213" t="str">
        <f>IFERROR(__xludf.DUMMYFUNCTION("""COMPUTED_VALUE"""),"Event Buyers")</f>
        <v>Event Buyers</v>
      </c>
      <c r="Y235" s="213" t="str">
        <f>IFERROR(__xludf.DUMMYFUNCTION("""COMPUTED_VALUE"""),"20th Sat - Sunday 21st June 2026")</f>
        <v>20th Sat - Sunday 21st June 2026</v>
      </c>
      <c r="Z235" s="213" t="str">
        <f>IFERROR(__xludf.DUMMYFUNCTION("""COMPUTED_VALUE"""),"6a355c09f2f67ea79ba35d29")</f>
        <v>6a355c09f2f67ea79ba35d29</v>
      </c>
      <c r="AA235" s="213">
        <f>IFERROR(__xludf.DUMMYFUNCTION("""COMPUTED_VALUE"""),112.0)</f>
        <v>112</v>
      </c>
      <c r="AB235" s="213">
        <f>IFERROR(__xludf.DUMMYFUNCTION("""COMPUTED_VALUE"""),29.0)</f>
        <v>29</v>
      </c>
      <c r="AC235" s="213">
        <f>IFERROR(__xludf.DUMMYFUNCTION("""COMPUTED_VALUE"""),83.0)</f>
        <v>83</v>
      </c>
      <c r="AD235" s="213">
        <f>IFERROR(__xludf.DUMMYFUNCTION("""COMPUTED_VALUE"""),1053312.0)</f>
        <v>1053312</v>
      </c>
      <c r="AE235" s="213">
        <f>IFERROR(__xludf.DUMMYFUNCTION("""COMPUTED_VALUE"""),291488.0)</f>
        <v>291488</v>
      </c>
      <c r="AF235" s="213">
        <f>IFERROR(__xludf.DUMMYFUNCTION("""COMPUTED_VALUE"""),761824.0)</f>
        <v>761824</v>
      </c>
      <c r="AG235" s="208"/>
      <c r="AH235" s="208"/>
      <c r="AI235" s="208"/>
      <c r="AJ235" s="208"/>
      <c r="AK235" s="208"/>
    </row>
    <row r="236">
      <c r="A236" s="209">
        <f>IFERROR(__xludf.DUMMYFUNCTION("""COMPUTED_VALUE"""),46193.0)</f>
        <v>46193</v>
      </c>
      <c r="B236" s="210">
        <f>IFERROR(__xludf.DUMMYFUNCTION("""COMPUTED_VALUE"""),0.5)</f>
        <v>0.5</v>
      </c>
      <c r="C236" s="211" t="str">
        <f>IFERROR(__xludf.DUMMYFUNCTION("""COMPUTED_VALUE"""),"Sms")</f>
        <v>Sms</v>
      </c>
      <c r="D236" s="211" t="str">
        <f>IFERROR(__xludf.DUMMYFUNCTION("""COMPUTED_VALUE"""),"Fallback campaign")</f>
        <v>Fallback campaign</v>
      </c>
      <c r="E236" s="211" t="str">
        <f>IFERROR(__xludf.DUMMYFUNCTION("""COMPUTED_VALUE"""),"Aldo")</f>
        <v>Aldo</v>
      </c>
      <c r="F236" s="211" t="str">
        <f>IFERROR(__xludf.DUMMYFUNCTION("""COMPUTED_VALUE"""),"EOSS:2ndWeek50% Off - Offer 50% Off")</f>
        <v>EOSS:2ndWeek50% Off - Offer 50% Off</v>
      </c>
      <c r="G236" s="211" t="str">
        <f>IFERROR(__xludf.DUMMYFUNCTION("""COMPUTED_VALUE"""),"SMSFB_Active_Eoss")</f>
        <v>SMSFB_Active_Eoss</v>
      </c>
      <c r="H236" s="212" t="str">
        <f>IFERROR(__xludf.DUMMYFUNCTION("""COMPUTED_VALUE"""),"AL_ON_OFF_Active_EOSS")</f>
        <v>AL_ON_OFF_Active_EOSS</v>
      </c>
      <c r="I236" s="212" t="str">
        <f>IFERROR(__xludf.DUMMYFUNCTION("""COMPUTED_VALUE"""),"RCS Undelivered")</f>
        <v>RCS Undelivered</v>
      </c>
      <c r="J236" s="213">
        <f>IFERROR(__xludf.DUMMYFUNCTION("""COMPUTED_VALUE"""),11533.0)</f>
        <v>11533</v>
      </c>
      <c r="K236" s="213">
        <f>IFERROR(__xludf.DUMMYFUNCTION("""COMPUTED_VALUE"""),6391.0)</f>
        <v>6391</v>
      </c>
      <c r="L236" s="214">
        <f>IFERROR(__xludf.DUMMYFUNCTION("""COMPUTED_VALUE"""),0.5541)</f>
        <v>0.5541</v>
      </c>
      <c r="M236" s="213">
        <f>IFERROR(__xludf.DUMMYFUNCTION("""COMPUTED_VALUE"""),0.0)</f>
        <v>0</v>
      </c>
      <c r="N236" s="214">
        <f>IFERROR(__xludf.DUMMYFUNCTION("""COMPUTED_VALUE"""),0.0)</f>
        <v>0</v>
      </c>
      <c r="O236" s="213">
        <f>IFERROR(__xludf.DUMMYFUNCTION("""COMPUTED_VALUE"""),10.0)</f>
        <v>10</v>
      </c>
      <c r="P236" s="213">
        <f>IFERROR(__xludf.DUMMYFUNCTION("""COMPUTED_VALUE"""),0.0)</f>
        <v>0</v>
      </c>
      <c r="Q236" s="214">
        <f>IFERROR(__xludf.DUMMYFUNCTION("""COMPUTED_VALUE"""),0.0016)</f>
        <v>0.0016</v>
      </c>
      <c r="R236" s="214">
        <f>IFERROR(__xludf.DUMMYFUNCTION("""COMPUTED_VALUE"""),0.0)</f>
        <v>0</v>
      </c>
      <c r="S236" s="213">
        <f>IFERROR(__xludf.DUMMYFUNCTION("""COMPUTED_VALUE"""),1.0)</f>
        <v>1</v>
      </c>
      <c r="T236" s="213">
        <f>IFERROR(__xludf.DUMMYFUNCTION("""COMPUTED_VALUE"""),0.0)</f>
        <v>0</v>
      </c>
      <c r="U236" s="213">
        <f>IFERROR(__xludf.DUMMYFUNCTION("""COMPUTED_VALUE"""),2999.0)</f>
        <v>2999</v>
      </c>
      <c r="V236" s="213" t="str">
        <f>IFERROR(__xludf.DUMMYFUNCTION("""COMPUTED_VALUE"""),"overall")</f>
        <v>overall</v>
      </c>
      <c r="W236" s="213" t="str">
        <f>IFERROR(__xludf.DUMMYFUNCTION("""COMPUTED_VALUE"""),"Sms")</f>
        <v>Sms</v>
      </c>
      <c r="X236" s="213" t="str">
        <f>IFERROR(__xludf.DUMMYFUNCTION("""COMPUTED_VALUE"""),"Active")</f>
        <v>Active</v>
      </c>
      <c r="Y236" s="213" t="str">
        <f>IFERROR(__xludf.DUMMYFUNCTION("""COMPUTED_VALUE"""),"20th Sat - Sunday 21st June 2026")</f>
        <v>20th Sat - Sunday 21st June 2026</v>
      </c>
      <c r="Z236" s="213" t="str">
        <f>IFERROR(__xludf.DUMMYFUNCTION("""COMPUTED_VALUE"""),"6a355c0d3e891e4ceb35d17d")</f>
        <v>6a355c0d3e891e4ceb35d17d</v>
      </c>
      <c r="AA236" s="213">
        <f>IFERROR(__xludf.DUMMYFUNCTION("""COMPUTED_VALUE"""),31.0)</f>
        <v>31</v>
      </c>
      <c r="AB236" s="213">
        <f>IFERROR(__xludf.DUMMYFUNCTION("""COMPUTED_VALUE"""),4.0)</f>
        <v>4</v>
      </c>
      <c r="AC236" s="213">
        <f>IFERROR(__xludf.DUMMYFUNCTION("""COMPUTED_VALUE"""),27.0)</f>
        <v>27</v>
      </c>
      <c r="AD236" s="213">
        <f>IFERROR(__xludf.DUMMYFUNCTION("""COMPUTED_VALUE"""),281849.0)</f>
        <v>281849</v>
      </c>
      <c r="AE236" s="213">
        <f>IFERROR(__xludf.DUMMYFUNCTION("""COMPUTED_VALUE"""),24620.0)</f>
        <v>24620</v>
      </c>
      <c r="AF236" s="213">
        <f>IFERROR(__xludf.DUMMYFUNCTION("""COMPUTED_VALUE"""),257229.0)</f>
        <v>257229</v>
      </c>
      <c r="AG236" s="208"/>
      <c r="AH236" s="208"/>
      <c r="AI236" s="208"/>
      <c r="AJ236" s="208"/>
      <c r="AK236" s="208"/>
    </row>
    <row r="237">
      <c r="A237" s="209">
        <f>IFERROR(__xludf.DUMMYFUNCTION("""COMPUTED_VALUE"""),46193.0)</f>
        <v>46193</v>
      </c>
      <c r="B237" s="210">
        <f>IFERROR(__xludf.DUMMYFUNCTION("""COMPUTED_VALUE"""),0.5)</f>
        <v>0.5</v>
      </c>
      <c r="C237" s="211" t="str">
        <f>IFERROR(__xludf.DUMMYFUNCTION("""COMPUTED_VALUE"""),"Sms")</f>
        <v>Sms</v>
      </c>
      <c r="D237" s="211" t="str">
        <f>IFERROR(__xludf.DUMMYFUNCTION("""COMPUTED_VALUE"""),"Fallback campaign")</f>
        <v>Fallback campaign</v>
      </c>
      <c r="E237" s="211" t="str">
        <f>IFERROR(__xludf.DUMMYFUNCTION("""COMPUTED_VALUE"""),"Aldo")</f>
        <v>Aldo</v>
      </c>
      <c r="F237" s="211" t="str">
        <f>IFERROR(__xludf.DUMMYFUNCTION("""COMPUTED_VALUE"""),"EOSS:2ndWeek50% Off - Offer 50% Off")</f>
        <v>EOSS:2ndWeek50% Off - Offer 50% Off</v>
      </c>
      <c r="G237" s="211" t="str">
        <f>IFERROR(__xludf.DUMMYFUNCTION("""COMPUTED_VALUE"""),"SMSFB_DISCPerc_30")</f>
        <v>SMSFB_DISCPerc_30</v>
      </c>
      <c r="H237" s="212" t="str">
        <f>IFERROR(__xludf.DUMMYFUNCTION("""COMPUTED_VALUE"""),"AL_ON_OFF_DISC_PERC_30+")</f>
        <v>AL_ON_OFF_DISC_PERC_30+</v>
      </c>
      <c r="I237" s="212" t="str">
        <f>IFERROR(__xludf.DUMMYFUNCTION("""COMPUTED_VALUE"""),"RCS Undelivered")</f>
        <v>RCS Undelivered</v>
      </c>
      <c r="J237" s="213">
        <f>IFERROR(__xludf.DUMMYFUNCTION("""COMPUTED_VALUE"""),15827.0)</f>
        <v>15827</v>
      </c>
      <c r="K237" s="213">
        <f>IFERROR(__xludf.DUMMYFUNCTION("""COMPUTED_VALUE"""),5390.0)</f>
        <v>5390</v>
      </c>
      <c r="L237" s="214">
        <f>IFERROR(__xludf.DUMMYFUNCTION("""COMPUTED_VALUE"""),0.3406)</f>
        <v>0.3406</v>
      </c>
      <c r="M237" s="213">
        <f>IFERROR(__xludf.DUMMYFUNCTION("""COMPUTED_VALUE"""),0.0)</f>
        <v>0</v>
      </c>
      <c r="N237" s="214">
        <f>IFERROR(__xludf.DUMMYFUNCTION("""COMPUTED_VALUE"""),0.0)</f>
        <v>0</v>
      </c>
      <c r="O237" s="213">
        <f>IFERROR(__xludf.DUMMYFUNCTION("""COMPUTED_VALUE"""),15.0)</f>
        <v>15</v>
      </c>
      <c r="P237" s="213">
        <f>IFERROR(__xludf.DUMMYFUNCTION("""COMPUTED_VALUE"""),0.0)</f>
        <v>0</v>
      </c>
      <c r="Q237" s="214">
        <f>IFERROR(__xludf.DUMMYFUNCTION("""COMPUTED_VALUE"""),0.0028)</f>
        <v>0.0028</v>
      </c>
      <c r="R237" s="214">
        <f>IFERROR(__xludf.DUMMYFUNCTION("""COMPUTED_VALUE"""),0.0)</f>
        <v>0</v>
      </c>
      <c r="S237" s="213">
        <f>IFERROR(__xludf.DUMMYFUNCTION("""COMPUTED_VALUE"""),4.0)</f>
        <v>4</v>
      </c>
      <c r="T237" s="213">
        <f>IFERROR(__xludf.DUMMYFUNCTION("""COMPUTED_VALUE"""),0.0)</f>
        <v>0</v>
      </c>
      <c r="U237" s="213">
        <f>IFERROR(__xludf.DUMMYFUNCTION("""COMPUTED_VALUE"""),37996.0)</f>
        <v>37996</v>
      </c>
      <c r="V237" s="213" t="str">
        <f>IFERROR(__xludf.DUMMYFUNCTION("""COMPUTED_VALUE"""),"overall")</f>
        <v>overall</v>
      </c>
      <c r="W237" s="213" t="str">
        <f>IFERROR(__xludf.DUMMYFUNCTION("""COMPUTED_VALUE"""),"Sms")</f>
        <v>Sms</v>
      </c>
      <c r="X237" s="213" t="str">
        <f>IFERROR(__xludf.DUMMYFUNCTION("""COMPUTED_VALUE"""),"Discount Buyers - 30% above")</f>
        <v>Discount Buyers - 30% above</v>
      </c>
      <c r="Y237" s="213" t="str">
        <f>IFERROR(__xludf.DUMMYFUNCTION("""COMPUTED_VALUE"""),"20th Sat - Sunday 21st June 2026")</f>
        <v>20th Sat - Sunday 21st June 2026</v>
      </c>
      <c r="Z237" s="213" t="str">
        <f>IFERROR(__xludf.DUMMYFUNCTION("""COMPUTED_VALUE"""),"6a355c699b535e07c47407cd")</f>
        <v>6a355c699b535e07c47407cd</v>
      </c>
      <c r="AA237" s="213">
        <f>IFERROR(__xludf.DUMMYFUNCTION("""COMPUTED_VALUE"""),21.0)</f>
        <v>21</v>
      </c>
      <c r="AB237" s="213">
        <f>IFERROR(__xludf.DUMMYFUNCTION("""COMPUTED_VALUE"""),12.0)</f>
        <v>12</v>
      </c>
      <c r="AC237" s="213">
        <f>IFERROR(__xludf.DUMMYFUNCTION("""COMPUTED_VALUE"""),9.0)</f>
        <v>9</v>
      </c>
      <c r="AD237" s="213">
        <f>IFERROR(__xludf.DUMMYFUNCTION("""COMPUTED_VALUE"""),169404.0)</f>
        <v>169404</v>
      </c>
      <c r="AE237" s="213">
        <f>IFERROR(__xludf.DUMMYFUNCTION("""COMPUTED_VALUE"""),93163.0)</f>
        <v>93163</v>
      </c>
      <c r="AF237" s="213">
        <f>IFERROR(__xludf.DUMMYFUNCTION("""COMPUTED_VALUE"""),76241.0)</f>
        <v>76241</v>
      </c>
      <c r="AG237" s="208"/>
      <c r="AH237" s="208"/>
      <c r="AI237" s="208"/>
      <c r="AJ237" s="208"/>
      <c r="AK237" s="208"/>
    </row>
    <row r="238">
      <c r="A238" s="209">
        <f>IFERROR(__xludf.DUMMYFUNCTION("""COMPUTED_VALUE"""),46193.0)</f>
        <v>46193</v>
      </c>
      <c r="B238" s="210">
        <f>IFERROR(__xludf.DUMMYFUNCTION("""COMPUTED_VALUE"""),0.5)</f>
        <v>0.5</v>
      </c>
      <c r="C238" s="211" t="str">
        <f>IFERROR(__xludf.DUMMYFUNCTION("""COMPUTED_VALUE"""),"Sms")</f>
        <v>Sms</v>
      </c>
      <c r="D238" s="211" t="str">
        <f>IFERROR(__xludf.DUMMYFUNCTION("""COMPUTED_VALUE"""),"Fallback campaign")</f>
        <v>Fallback campaign</v>
      </c>
      <c r="E238" s="211" t="str">
        <f>IFERROR(__xludf.DUMMYFUNCTION("""COMPUTED_VALUE"""),"Aldo")</f>
        <v>Aldo</v>
      </c>
      <c r="F238" s="211" t="str">
        <f>IFERROR(__xludf.DUMMYFUNCTION("""COMPUTED_VALUE"""),"EOSS:2ndWeek50% Off - Offer 50% Off")</f>
        <v>EOSS:2ndWeek50% Off - Offer 50% Off</v>
      </c>
      <c r="G238" s="211" t="str">
        <f>IFERROR(__xludf.DUMMYFUNCTION("""COMPUTED_VALUE"""),"SMSFB_CH731")</f>
        <v>SMSFB_CH731</v>
      </c>
      <c r="H238" s="212" t="str">
        <f>IFERROR(__xludf.DUMMYFUNCTION("""COMPUTED_VALUE"""),"AL_ON_OFF_Churned_731_1095_EOSS")</f>
        <v>AL_ON_OFF_Churned_731_1095_EOSS</v>
      </c>
      <c r="I238" s="212" t="str">
        <f>IFERROR(__xludf.DUMMYFUNCTION("""COMPUTED_VALUE"""),"RCS Undelivered")</f>
        <v>RCS Undelivered</v>
      </c>
      <c r="J238" s="213">
        <f>IFERROR(__xludf.DUMMYFUNCTION("""COMPUTED_VALUE"""),52221.0)</f>
        <v>52221</v>
      </c>
      <c r="K238" s="213">
        <f>IFERROR(__xludf.DUMMYFUNCTION("""COMPUTED_VALUE"""),21170.0)</f>
        <v>21170</v>
      </c>
      <c r="L238" s="214">
        <f>IFERROR(__xludf.DUMMYFUNCTION("""COMPUTED_VALUE"""),0.4054)</f>
        <v>0.4054</v>
      </c>
      <c r="M238" s="213">
        <f>IFERROR(__xludf.DUMMYFUNCTION("""COMPUTED_VALUE"""),0.0)</f>
        <v>0</v>
      </c>
      <c r="N238" s="214">
        <f>IFERROR(__xludf.DUMMYFUNCTION("""COMPUTED_VALUE"""),0.0)</f>
        <v>0</v>
      </c>
      <c r="O238" s="213">
        <f>IFERROR(__xludf.DUMMYFUNCTION("""COMPUTED_VALUE"""),31.0)</f>
        <v>31</v>
      </c>
      <c r="P238" s="213">
        <f>IFERROR(__xludf.DUMMYFUNCTION("""COMPUTED_VALUE"""),0.0)</f>
        <v>0</v>
      </c>
      <c r="Q238" s="214">
        <f>IFERROR(__xludf.DUMMYFUNCTION("""COMPUTED_VALUE"""),0.0015)</f>
        <v>0.0015</v>
      </c>
      <c r="R238" s="214">
        <f>IFERROR(__xludf.DUMMYFUNCTION("""COMPUTED_VALUE"""),0.0)</f>
        <v>0</v>
      </c>
      <c r="S238" s="213">
        <f>IFERROR(__xludf.DUMMYFUNCTION("""COMPUTED_VALUE"""),3.0)</f>
        <v>3</v>
      </c>
      <c r="T238" s="213">
        <f>IFERROR(__xludf.DUMMYFUNCTION("""COMPUTED_VALUE"""),0.0)</f>
        <v>0</v>
      </c>
      <c r="U238" s="213">
        <f>IFERROR(__xludf.DUMMYFUNCTION("""COMPUTED_VALUE"""),22497.0)</f>
        <v>22497</v>
      </c>
      <c r="V238" s="213" t="str">
        <f>IFERROR(__xludf.DUMMYFUNCTION("""COMPUTED_VALUE"""),"overall")</f>
        <v>overall</v>
      </c>
      <c r="W238" s="213" t="str">
        <f>IFERROR(__xludf.DUMMYFUNCTION("""COMPUTED_VALUE"""),"Sms")</f>
        <v>Sms</v>
      </c>
      <c r="X238" s="213" t="str">
        <f>IFERROR(__xludf.DUMMYFUNCTION("""COMPUTED_VALUE"""),"Churned")</f>
        <v>Churned</v>
      </c>
      <c r="Y238" s="213" t="str">
        <f>IFERROR(__xludf.DUMMYFUNCTION("""COMPUTED_VALUE"""),"20th Sat - Sunday 21st June 2026")</f>
        <v>20th Sat - Sunday 21st June 2026</v>
      </c>
      <c r="Z238" s="213" t="str">
        <f>IFERROR(__xludf.DUMMYFUNCTION("""COMPUTED_VALUE"""),"6a355c8c6448632cb040644c")</f>
        <v>6a355c8c6448632cb040644c</v>
      </c>
      <c r="AA238" s="213">
        <f>IFERROR(__xludf.DUMMYFUNCTION("""COMPUTED_VALUE"""),31.0)</f>
        <v>31</v>
      </c>
      <c r="AB238" s="213">
        <f>IFERROR(__xludf.DUMMYFUNCTION("""COMPUTED_VALUE"""),10.0)</f>
        <v>10</v>
      </c>
      <c r="AC238" s="213">
        <f>IFERROR(__xludf.DUMMYFUNCTION("""COMPUTED_VALUE"""),21.0)</f>
        <v>21</v>
      </c>
      <c r="AD238" s="213">
        <f>IFERROR(__xludf.DUMMYFUNCTION("""COMPUTED_VALUE"""),235219.0)</f>
        <v>235219</v>
      </c>
      <c r="AE238" s="213">
        <f>IFERROR(__xludf.DUMMYFUNCTION("""COMPUTED_VALUE"""),80489.0)</f>
        <v>80489</v>
      </c>
      <c r="AF238" s="213">
        <f>IFERROR(__xludf.DUMMYFUNCTION("""COMPUTED_VALUE"""),154730.0)</f>
        <v>154730</v>
      </c>
      <c r="AG238" s="208"/>
      <c r="AH238" s="208"/>
      <c r="AI238" s="208"/>
      <c r="AJ238" s="208"/>
      <c r="AK238" s="208"/>
    </row>
    <row r="239">
      <c r="A239" s="209">
        <f>IFERROR(__xludf.DUMMYFUNCTION("""COMPUTED_VALUE"""),46193.0)</f>
        <v>46193</v>
      </c>
      <c r="B239" s="210">
        <f>IFERROR(__xludf.DUMMYFUNCTION("""COMPUTED_VALUE"""),0.5)</f>
        <v>0.5</v>
      </c>
      <c r="C239" s="211" t="str">
        <f>IFERROR(__xludf.DUMMYFUNCTION("""COMPUTED_VALUE"""),"Sms")</f>
        <v>Sms</v>
      </c>
      <c r="D239" s="211" t="str">
        <f>IFERROR(__xludf.DUMMYFUNCTION("""COMPUTED_VALUE"""),"Fallback campaign")</f>
        <v>Fallback campaign</v>
      </c>
      <c r="E239" s="211" t="str">
        <f>IFERROR(__xludf.DUMMYFUNCTION("""COMPUTED_VALUE"""),"Aldo")</f>
        <v>Aldo</v>
      </c>
      <c r="F239" s="211" t="str">
        <f>IFERROR(__xludf.DUMMYFUNCTION("""COMPUTED_VALUE"""),"EOSS:2ndWeek50% Off - Offer 50% Off")</f>
        <v>EOSS:2ndWeek50% Off - Offer 50% Off</v>
      </c>
      <c r="G239" s="211" t="str">
        <f>IFERROR(__xludf.DUMMYFUNCTION("""COMPUTED_VALUE"""),"FBSMS_Repeat_1YR")</f>
        <v>FBSMS_Repeat_1YR</v>
      </c>
      <c r="H239" s="212" t="str">
        <f>IFERROR(__xludf.DUMMYFUNCTION("""COMPUTED_VALUE"""),"AL_ON_OFF_Repeat_1Year")</f>
        <v>AL_ON_OFF_Repeat_1Year</v>
      </c>
      <c r="I239" s="212" t="str">
        <f>IFERROR(__xludf.DUMMYFUNCTION("""COMPUTED_VALUE"""),"RCS Undelivered")</f>
        <v>RCS Undelivered</v>
      </c>
      <c r="J239" s="213">
        <f>IFERROR(__xludf.DUMMYFUNCTION("""COMPUTED_VALUE"""),5482.0)</f>
        <v>5482</v>
      </c>
      <c r="K239" s="213">
        <f>IFERROR(__xludf.DUMMYFUNCTION("""COMPUTED_VALUE"""),1955.0)</f>
        <v>1955</v>
      </c>
      <c r="L239" s="214">
        <f>IFERROR(__xludf.DUMMYFUNCTION("""COMPUTED_VALUE"""),0.3566)</f>
        <v>0.3566</v>
      </c>
      <c r="M239" s="213">
        <f>IFERROR(__xludf.DUMMYFUNCTION("""COMPUTED_VALUE"""),0.0)</f>
        <v>0</v>
      </c>
      <c r="N239" s="214">
        <f>IFERROR(__xludf.DUMMYFUNCTION("""COMPUTED_VALUE"""),0.0)</f>
        <v>0</v>
      </c>
      <c r="O239" s="213">
        <f>IFERROR(__xludf.DUMMYFUNCTION("""COMPUTED_VALUE"""),0.0)</f>
        <v>0</v>
      </c>
      <c r="P239" s="213">
        <f>IFERROR(__xludf.DUMMYFUNCTION("""COMPUTED_VALUE"""),0.0)</f>
        <v>0</v>
      </c>
      <c r="Q239" s="214">
        <f>IFERROR(__xludf.DUMMYFUNCTION("""COMPUTED_VALUE"""),0.0)</f>
        <v>0</v>
      </c>
      <c r="R239" s="214">
        <f>IFERROR(__xludf.DUMMYFUNCTION("""COMPUTED_VALUE"""),0.0)</f>
        <v>0</v>
      </c>
      <c r="S239" s="213">
        <f>IFERROR(__xludf.DUMMYFUNCTION("""COMPUTED_VALUE"""),0.0)</f>
        <v>0</v>
      </c>
      <c r="T239" s="213">
        <f>IFERROR(__xludf.DUMMYFUNCTION("""COMPUTED_VALUE"""),0.0)</f>
        <v>0</v>
      </c>
      <c r="U239" s="213">
        <f>IFERROR(__xludf.DUMMYFUNCTION("""COMPUTED_VALUE"""),0.0)</f>
        <v>0</v>
      </c>
      <c r="V239" s="213" t="str">
        <f>IFERROR(__xludf.DUMMYFUNCTION("""COMPUTED_VALUE"""),"overall")</f>
        <v>overall</v>
      </c>
      <c r="W239" s="213" t="str">
        <f>IFERROR(__xludf.DUMMYFUNCTION("""COMPUTED_VALUE"""),"Sms")</f>
        <v>Sms</v>
      </c>
      <c r="X239" s="213" t="str">
        <f>IFERROR(__xludf.DUMMYFUNCTION("""COMPUTED_VALUE"""),"Repeat")</f>
        <v>Repeat</v>
      </c>
      <c r="Y239" s="213" t="str">
        <f>IFERROR(__xludf.DUMMYFUNCTION("""COMPUTED_VALUE"""),"20th Sat - Sunday 21st June 2026")</f>
        <v>20th Sat - Sunday 21st June 2026</v>
      </c>
      <c r="Z239" s="213" t="str">
        <f>IFERROR(__xludf.DUMMYFUNCTION("""COMPUTED_VALUE"""),"6a355c99872912509e7d6d1d")</f>
        <v>6a355c99872912509e7d6d1d</v>
      </c>
      <c r="AA239" s="213">
        <f>IFERROR(__xludf.DUMMYFUNCTION("""COMPUTED_VALUE"""),5.0)</f>
        <v>5</v>
      </c>
      <c r="AB239" s="213">
        <f>IFERROR(__xludf.DUMMYFUNCTION("""COMPUTED_VALUE"""),0.0)</f>
        <v>0</v>
      </c>
      <c r="AC239" s="213">
        <f>IFERROR(__xludf.DUMMYFUNCTION("""COMPUTED_VALUE"""),5.0)</f>
        <v>5</v>
      </c>
      <c r="AD239" s="213">
        <f>IFERROR(__xludf.DUMMYFUNCTION("""COMPUTED_VALUE"""),52400.0)</f>
        <v>52400</v>
      </c>
      <c r="AE239" s="213">
        <f>IFERROR(__xludf.DUMMYFUNCTION("""COMPUTED_VALUE"""),0.0)</f>
        <v>0</v>
      </c>
      <c r="AF239" s="213">
        <f>IFERROR(__xludf.DUMMYFUNCTION("""COMPUTED_VALUE"""),52400.0)</f>
        <v>52400</v>
      </c>
      <c r="AG239" s="208"/>
      <c r="AH239" s="208"/>
      <c r="AI239" s="208"/>
      <c r="AJ239" s="208"/>
      <c r="AK239" s="208"/>
    </row>
    <row r="240">
      <c r="A240" s="209">
        <f>IFERROR(__xludf.DUMMYFUNCTION("""COMPUTED_VALUE"""),46193.0)</f>
        <v>46193</v>
      </c>
      <c r="B240" s="210">
        <f>IFERROR(__xludf.DUMMYFUNCTION("""COMPUTED_VALUE"""),0.5)</f>
        <v>0.5</v>
      </c>
      <c r="C240" s="211" t="str">
        <f>IFERROR(__xludf.DUMMYFUNCTION("""COMPUTED_VALUE"""),"Sms")</f>
        <v>Sms</v>
      </c>
      <c r="D240" s="211" t="str">
        <f>IFERROR(__xludf.DUMMYFUNCTION("""COMPUTED_VALUE"""),"Fallback campaign")</f>
        <v>Fallback campaign</v>
      </c>
      <c r="E240" s="211" t="str">
        <f>IFERROR(__xludf.DUMMYFUNCTION("""COMPUTED_VALUE"""),"Aldo")</f>
        <v>Aldo</v>
      </c>
      <c r="F240" s="211" t="str">
        <f>IFERROR(__xludf.DUMMYFUNCTION("""COMPUTED_VALUE"""),"EOSS:2ndWeek50% Off - Offer 50% Off")</f>
        <v>EOSS:2ndWeek50% Off - Offer 50% Off</v>
      </c>
      <c r="G240" s="211" t="str">
        <f>IFERROR(__xludf.DUMMYFUNCTION("""COMPUTED_VALUE"""),"FBSMS_Churned366")</f>
        <v>FBSMS_Churned366</v>
      </c>
      <c r="H240" s="212" t="str">
        <f>IFERROR(__xludf.DUMMYFUNCTION("""COMPUTED_VALUE"""),"AL_ON_OFF_Churned_366_730_EOSS")</f>
        <v>AL_ON_OFF_Churned_366_730_EOSS</v>
      </c>
      <c r="I240" s="212" t="str">
        <f>IFERROR(__xludf.DUMMYFUNCTION("""COMPUTED_VALUE"""),"RCS Undelivered")</f>
        <v>RCS Undelivered</v>
      </c>
      <c r="J240" s="213">
        <f>IFERROR(__xludf.DUMMYFUNCTION("""COMPUTED_VALUE"""),88867.0)</f>
        <v>88867</v>
      </c>
      <c r="K240" s="213">
        <f>IFERROR(__xludf.DUMMYFUNCTION("""COMPUTED_VALUE"""),48275.0)</f>
        <v>48275</v>
      </c>
      <c r="L240" s="214">
        <f>IFERROR(__xludf.DUMMYFUNCTION("""COMPUTED_VALUE"""),0.5432)</f>
        <v>0.5432</v>
      </c>
      <c r="M240" s="213">
        <f>IFERROR(__xludf.DUMMYFUNCTION("""COMPUTED_VALUE"""),0.0)</f>
        <v>0</v>
      </c>
      <c r="N240" s="214">
        <f>IFERROR(__xludf.DUMMYFUNCTION("""COMPUTED_VALUE"""),0.0)</f>
        <v>0</v>
      </c>
      <c r="O240" s="213">
        <f>IFERROR(__xludf.DUMMYFUNCTION("""COMPUTED_VALUE"""),58.0)</f>
        <v>58</v>
      </c>
      <c r="P240" s="213">
        <f>IFERROR(__xludf.DUMMYFUNCTION("""COMPUTED_VALUE"""),0.0)</f>
        <v>0</v>
      </c>
      <c r="Q240" s="214">
        <f>IFERROR(__xludf.DUMMYFUNCTION("""COMPUTED_VALUE"""),0.0012)</f>
        <v>0.0012</v>
      </c>
      <c r="R240" s="214">
        <f>IFERROR(__xludf.DUMMYFUNCTION("""COMPUTED_VALUE"""),0.0)</f>
        <v>0</v>
      </c>
      <c r="S240" s="213">
        <f>IFERROR(__xludf.DUMMYFUNCTION("""COMPUTED_VALUE"""),4.0)</f>
        <v>4</v>
      </c>
      <c r="T240" s="213">
        <f>IFERROR(__xludf.DUMMYFUNCTION("""COMPUTED_VALUE"""),0.0)</f>
        <v>0</v>
      </c>
      <c r="U240" s="213">
        <f>IFERROR(__xludf.DUMMYFUNCTION("""COMPUTED_VALUE"""),32846.0)</f>
        <v>32846</v>
      </c>
      <c r="V240" s="213" t="str">
        <f>IFERROR(__xludf.DUMMYFUNCTION("""COMPUTED_VALUE"""),"overall")</f>
        <v>overall</v>
      </c>
      <c r="W240" s="213" t="str">
        <f>IFERROR(__xludf.DUMMYFUNCTION("""COMPUTED_VALUE"""),"Sms")</f>
        <v>Sms</v>
      </c>
      <c r="X240" s="213" t="str">
        <f>IFERROR(__xludf.DUMMYFUNCTION("""COMPUTED_VALUE"""),"Churned")</f>
        <v>Churned</v>
      </c>
      <c r="Y240" s="213" t="str">
        <f>IFERROR(__xludf.DUMMYFUNCTION("""COMPUTED_VALUE"""),"20th Sat - Sunday 21st June 2026")</f>
        <v>20th Sat - Sunday 21st June 2026</v>
      </c>
      <c r="Z240" s="213" t="str">
        <f>IFERROR(__xludf.DUMMYFUNCTION("""COMPUTED_VALUE"""),"6a355d09f2f67ea79ba35d37")</f>
        <v>6a355d09f2f67ea79ba35d37</v>
      </c>
      <c r="AA240" s="213">
        <f>IFERROR(__xludf.DUMMYFUNCTION("""COMPUTED_VALUE"""),76.0)</f>
        <v>76</v>
      </c>
      <c r="AB240" s="213">
        <f>IFERROR(__xludf.DUMMYFUNCTION("""COMPUTED_VALUE"""),20.0)</f>
        <v>20</v>
      </c>
      <c r="AC240" s="213">
        <f>IFERROR(__xludf.DUMMYFUNCTION("""COMPUTED_VALUE"""),56.0)</f>
        <v>56</v>
      </c>
      <c r="AD240" s="213">
        <f>IFERROR(__xludf.DUMMYFUNCTION("""COMPUTED_VALUE"""),623583.0)</f>
        <v>623583</v>
      </c>
      <c r="AE240" s="213">
        <f>IFERROR(__xludf.DUMMYFUNCTION("""COMPUTED_VALUE"""),137354.0)</f>
        <v>137354</v>
      </c>
      <c r="AF240" s="213">
        <f>IFERROR(__xludf.DUMMYFUNCTION("""COMPUTED_VALUE"""),486229.0)</f>
        <v>486229</v>
      </c>
      <c r="AG240" s="208"/>
      <c r="AH240" s="208"/>
      <c r="AI240" s="208"/>
      <c r="AJ240" s="208"/>
      <c r="AK240" s="208"/>
    </row>
    <row r="241">
      <c r="A241" s="209">
        <f>IFERROR(__xludf.DUMMYFUNCTION("""COMPUTED_VALUE"""),46193.0)</f>
        <v>46193</v>
      </c>
      <c r="B241" s="210">
        <f>IFERROR(__xludf.DUMMYFUNCTION("""COMPUTED_VALUE"""),0.5)</f>
        <v>0.5</v>
      </c>
      <c r="C241" s="211" t="str">
        <f>IFERROR(__xludf.DUMMYFUNCTION("""COMPUTED_VALUE"""),"Sms")</f>
        <v>Sms</v>
      </c>
      <c r="D241" s="211" t="str">
        <f>IFERROR(__xludf.DUMMYFUNCTION("""COMPUTED_VALUE"""),"Fallback campaign")</f>
        <v>Fallback campaign</v>
      </c>
      <c r="E241" s="211" t="str">
        <f>IFERROR(__xludf.DUMMYFUNCTION("""COMPUTED_VALUE"""),"Aldo")</f>
        <v>Aldo</v>
      </c>
      <c r="F241" s="211" t="str">
        <f>IFERROR(__xludf.DUMMYFUNCTION("""COMPUTED_VALUE"""),"EOSS:2ndWeek50% Off - Offer 50% Off")</f>
        <v>EOSS:2ndWeek50% Off - Offer 50% Off</v>
      </c>
      <c r="G241" s="211" t="str">
        <f>IFERROR(__xludf.DUMMYFUNCTION("""COMPUTED_VALUE"""),"FBSMS_Dormant")</f>
        <v>FBSMS_Dormant</v>
      </c>
      <c r="H241" s="212" t="str">
        <f>IFERROR(__xludf.DUMMYFUNCTION("""COMPUTED_VALUE"""),"AL_ON_OFF_Dormant_EOSS")</f>
        <v>AL_ON_OFF_Dormant_EOSS</v>
      </c>
      <c r="I241" s="212" t="str">
        <f>IFERROR(__xludf.DUMMYFUNCTION("""COMPUTED_VALUE"""),"RCS Undelivered")</f>
        <v>RCS Undelivered</v>
      </c>
      <c r="J241" s="213">
        <f>IFERROR(__xludf.DUMMYFUNCTION("""COMPUTED_VALUE"""),53520.0)</f>
        <v>53520</v>
      </c>
      <c r="K241" s="213">
        <f>IFERROR(__xludf.DUMMYFUNCTION("""COMPUTED_VALUE"""),23021.0)</f>
        <v>23021</v>
      </c>
      <c r="L241" s="214">
        <f>IFERROR(__xludf.DUMMYFUNCTION("""COMPUTED_VALUE"""),0.4301)</f>
        <v>0.4301</v>
      </c>
      <c r="M241" s="213">
        <f>IFERROR(__xludf.DUMMYFUNCTION("""COMPUTED_VALUE"""),0.0)</f>
        <v>0</v>
      </c>
      <c r="N241" s="214">
        <f>IFERROR(__xludf.DUMMYFUNCTION("""COMPUTED_VALUE"""),0.0)</f>
        <v>0</v>
      </c>
      <c r="O241" s="213">
        <f>IFERROR(__xludf.DUMMYFUNCTION("""COMPUTED_VALUE"""),41.0)</f>
        <v>41</v>
      </c>
      <c r="P241" s="213">
        <f>IFERROR(__xludf.DUMMYFUNCTION("""COMPUTED_VALUE"""),0.0)</f>
        <v>0</v>
      </c>
      <c r="Q241" s="214">
        <f>IFERROR(__xludf.DUMMYFUNCTION("""COMPUTED_VALUE"""),0.0018)</f>
        <v>0.0018</v>
      </c>
      <c r="R241" s="214">
        <f>IFERROR(__xludf.DUMMYFUNCTION("""COMPUTED_VALUE"""),0.0)</f>
        <v>0</v>
      </c>
      <c r="S241" s="213">
        <f>IFERROR(__xludf.DUMMYFUNCTION("""COMPUTED_VALUE"""),1.0)</f>
        <v>1</v>
      </c>
      <c r="T241" s="213">
        <f>IFERROR(__xludf.DUMMYFUNCTION("""COMPUTED_VALUE"""),0.0)</f>
        <v>0</v>
      </c>
      <c r="U241" s="213">
        <f>IFERROR(__xludf.DUMMYFUNCTION("""COMPUTED_VALUE"""),5499.0)</f>
        <v>5499</v>
      </c>
      <c r="V241" s="213" t="str">
        <f>IFERROR(__xludf.DUMMYFUNCTION("""COMPUTED_VALUE"""),"overall")</f>
        <v>overall</v>
      </c>
      <c r="W241" s="213" t="str">
        <f>IFERROR(__xludf.DUMMYFUNCTION("""COMPUTED_VALUE"""),"Sms")</f>
        <v>Sms</v>
      </c>
      <c r="X241" s="213" t="str">
        <f>IFERROR(__xludf.DUMMYFUNCTION("""COMPUTED_VALUE"""),"Dormant")</f>
        <v>Dormant</v>
      </c>
      <c r="Y241" s="213" t="str">
        <f>IFERROR(__xludf.DUMMYFUNCTION("""COMPUTED_VALUE"""),"20th Sat - Sunday 21st June 2026")</f>
        <v>20th Sat - Sunday 21st June 2026</v>
      </c>
      <c r="Z241" s="213" t="str">
        <f>IFERROR(__xludf.DUMMYFUNCTION("""COMPUTED_VALUE"""),"6a355e276721b31008c7dbb1")</f>
        <v>6a355e276721b31008c7dbb1</v>
      </c>
      <c r="AA241" s="213">
        <f>IFERROR(__xludf.DUMMYFUNCTION("""COMPUTED_VALUE"""),65.0)</f>
        <v>65</v>
      </c>
      <c r="AB241" s="213">
        <f>IFERROR(__xludf.DUMMYFUNCTION("""COMPUTED_VALUE"""),5.0)</f>
        <v>5</v>
      </c>
      <c r="AC241" s="213">
        <f>IFERROR(__xludf.DUMMYFUNCTION("""COMPUTED_VALUE"""),60.0)</f>
        <v>60</v>
      </c>
      <c r="AD241" s="213">
        <f>IFERROR(__xludf.DUMMYFUNCTION("""COMPUTED_VALUE"""),661732.0)</f>
        <v>661732</v>
      </c>
      <c r="AE241" s="213">
        <f>IFERROR(__xludf.DUMMYFUNCTION("""COMPUTED_VALUE"""),35695.0)</f>
        <v>35695</v>
      </c>
      <c r="AF241" s="213">
        <f>IFERROR(__xludf.DUMMYFUNCTION("""COMPUTED_VALUE"""),626037.0)</f>
        <v>626037</v>
      </c>
      <c r="AG241" s="208"/>
      <c r="AH241" s="208"/>
      <c r="AI241" s="208"/>
      <c r="AJ241" s="208"/>
      <c r="AK241" s="208"/>
    </row>
    <row r="242">
      <c r="A242" s="209">
        <f>IFERROR(__xludf.DUMMYFUNCTION("""COMPUTED_VALUE"""),46193.0)</f>
        <v>46193</v>
      </c>
      <c r="B242" s="210">
        <f>IFERROR(__xludf.DUMMYFUNCTION("""COMPUTED_VALUE"""),0.5)</f>
        <v>0.5</v>
      </c>
      <c r="C242" s="211" t="str">
        <f>IFERROR(__xludf.DUMMYFUNCTION("""COMPUTED_VALUE"""),"Sms")</f>
        <v>Sms</v>
      </c>
      <c r="D242" s="211" t="str">
        <f>IFERROR(__xludf.DUMMYFUNCTION("""COMPUTED_VALUE"""),"Fallback campaign")</f>
        <v>Fallback campaign</v>
      </c>
      <c r="E242" s="211" t="str">
        <f>IFERROR(__xludf.DUMMYFUNCTION("""COMPUTED_VALUE"""),"Aldo")</f>
        <v>Aldo</v>
      </c>
      <c r="F242" s="211" t="str">
        <f>IFERROR(__xludf.DUMMYFUNCTION("""COMPUTED_VALUE"""),"EOSS:2ndWeek50% Off - Offer 50% Off")</f>
        <v>EOSS:2ndWeek50% Off - Offer 50% Off</v>
      </c>
      <c r="G242" s="211" t="str">
        <f>IFERROR(__xludf.DUMMYFUNCTION("""COMPUTED_VALUE"""),"FBSMS_Churned")</f>
        <v>FBSMS_Churned</v>
      </c>
      <c r="H242" s="212" t="str">
        <f>IFERROR(__xludf.DUMMYFUNCTION("""COMPUTED_VALUE"""),"AL_ON_OFF_Churned_Rpt_EOSS")</f>
        <v>AL_ON_OFF_Churned_Rpt_EOSS</v>
      </c>
      <c r="I242" s="212" t="str">
        <f>IFERROR(__xludf.DUMMYFUNCTION("""COMPUTED_VALUE"""),"RCS Undelivered")</f>
        <v>RCS Undelivered</v>
      </c>
      <c r="J242" s="213">
        <f>IFERROR(__xludf.DUMMYFUNCTION("""COMPUTED_VALUE"""),36836.0)</f>
        <v>36836</v>
      </c>
      <c r="K242" s="213">
        <f>IFERROR(__xludf.DUMMYFUNCTION("""COMPUTED_VALUE"""),14884.0)</f>
        <v>14884</v>
      </c>
      <c r="L242" s="214">
        <f>IFERROR(__xludf.DUMMYFUNCTION("""COMPUTED_VALUE"""),0.4041)</f>
        <v>0.4041</v>
      </c>
      <c r="M242" s="213">
        <f>IFERROR(__xludf.DUMMYFUNCTION("""COMPUTED_VALUE"""),0.0)</f>
        <v>0</v>
      </c>
      <c r="N242" s="214">
        <f>IFERROR(__xludf.DUMMYFUNCTION("""COMPUTED_VALUE"""),0.0)</f>
        <v>0</v>
      </c>
      <c r="O242" s="213">
        <f>IFERROR(__xludf.DUMMYFUNCTION("""COMPUTED_VALUE"""),21.0)</f>
        <v>21</v>
      </c>
      <c r="P242" s="213">
        <f>IFERROR(__xludf.DUMMYFUNCTION("""COMPUTED_VALUE"""),0.0)</f>
        <v>0</v>
      </c>
      <c r="Q242" s="214">
        <f>IFERROR(__xludf.DUMMYFUNCTION("""COMPUTED_VALUE"""),0.0014)</f>
        <v>0.0014</v>
      </c>
      <c r="R242" s="214">
        <f>IFERROR(__xludf.DUMMYFUNCTION("""COMPUTED_VALUE"""),0.0)</f>
        <v>0</v>
      </c>
      <c r="S242" s="213">
        <f>IFERROR(__xludf.DUMMYFUNCTION("""COMPUTED_VALUE"""),3.0)</f>
        <v>3</v>
      </c>
      <c r="T242" s="213">
        <f>IFERROR(__xludf.DUMMYFUNCTION("""COMPUTED_VALUE"""),0.0)</f>
        <v>0</v>
      </c>
      <c r="U242" s="213">
        <f>IFERROR(__xludf.DUMMYFUNCTION("""COMPUTED_VALUE"""),24997.0)</f>
        <v>24997</v>
      </c>
      <c r="V242" s="213" t="str">
        <f>IFERROR(__xludf.DUMMYFUNCTION("""COMPUTED_VALUE"""),"overall")</f>
        <v>overall</v>
      </c>
      <c r="W242" s="213" t="str">
        <f>IFERROR(__xludf.DUMMYFUNCTION("""COMPUTED_VALUE"""),"Sms")</f>
        <v>Sms</v>
      </c>
      <c r="X242" s="213" t="str">
        <f>IFERROR(__xludf.DUMMYFUNCTION("""COMPUTED_VALUE"""),"Churned Repeat")</f>
        <v>Churned Repeat</v>
      </c>
      <c r="Y242" s="213" t="str">
        <f>IFERROR(__xludf.DUMMYFUNCTION("""COMPUTED_VALUE"""),"20th Sat - Sunday 21st June 2026")</f>
        <v>20th Sat - Sunday 21st June 2026</v>
      </c>
      <c r="Z242" s="213" t="str">
        <f>IFERROR(__xludf.DUMMYFUNCTION("""COMPUTED_VALUE"""),"6a355e7092c8f2996a71c349")</f>
        <v>6a355e7092c8f2996a71c349</v>
      </c>
      <c r="AA242" s="213">
        <f>IFERROR(__xludf.DUMMYFUNCTION("""COMPUTED_VALUE"""),50.0)</f>
        <v>50</v>
      </c>
      <c r="AB242" s="213">
        <f>IFERROR(__xludf.DUMMYFUNCTION("""COMPUTED_VALUE"""),10.0)</f>
        <v>10</v>
      </c>
      <c r="AC242" s="213">
        <f>IFERROR(__xludf.DUMMYFUNCTION("""COMPUTED_VALUE"""),40.0)</f>
        <v>40</v>
      </c>
      <c r="AD242" s="213">
        <f>IFERROR(__xludf.DUMMYFUNCTION("""COMPUTED_VALUE"""),515601.0)</f>
        <v>515601</v>
      </c>
      <c r="AE242" s="213">
        <f>IFERROR(__xludf.DUMMYFUNCTION("""COMPUTED_VALUE"""),74740.0)</f>
        <v>74740</v>
      </c>
      <c r="AF242" s="213">
        <f>IFERROR(__xludf.DUMMYFUNCTION("""COMPUTED_VALUE"""),440861.0)</f>
        <v>440861</v>
      </c>
      <c r="AG242" s="208"/>
      <c r="AH242" s="208"/>
      <c r="AI242" s="208"/>
      <c r="AJ242" s="208"/>
      <c r="AK242" s="208"/>
    </row>
    <row r="243">
      <c r="A243" s="209">
        <f>IFERROR(__xludf.DUMMYFUNCTION("""COMPUTED_VALUE"""),46191.0)</f>
        <v>46191</v>
      </c>
      <c r="B243" s="210">
        <f>IFERROR(__xludf.DUMMYFUNCTION("""COMPUTED_VALUE"""),0.5)</f>
        <v>0.5</v>
      </c>
      <c r="C243" s="211" t="str">
        <f>IFERROR(__xludf.DUMMYFUNCTION("""COMPUTED_VALUE"""),"Rcs")</f>
        <v>Rcs</v>
      </c>
      <c r="D243" s="211" t="str">
        <f>IFERROR(__xludf.DUMMYFUNCTION("""COMPUTED_VALUE"""),"Fallback campaign")</f>
        <v>Fallback campaign</v>
      </c>
      <c r="E243" s="211" t="str">
        <f>IFERROR(__xludf.DUMMYFUNCTION("""COMPUTED_VALUE"""),"Aldo")</f>
        <v>Aldo</v>
      </c>
      <c r="F243" s="211" t="str">
        <f>IFERROR(__xludf.DUMMYFUNCTION("""COMPUTED_VALUE"""),"HandbagCategory - No Offer - Category promotion HB")</f>
        <v>HandbagCategory - No Offer - Category promotion HB</v>
      </c>
      <c r="G243" s="211" t="str">
        <f>IFERROR(__xludf.DUMMYFUNCTION("""COMPUTED_VALUE"""),"Handbag_Totes_RCS")</f>
        <v>Handbag_Totes_RCS</v>
      </c>
      <c r="H243" s="212" t="str">
        <f>IFERROR(__xludf.DUMMYFUNCTION("""COMPUTED_VALUE"""),"AL_Map_Tote_L3")</f>
        <v>AL_Map_Tote_L3</v>
      </c>
      <c r="I243" s="212" t="str">
        <f>IFERROR(__xludf.DUMMYFUNCTION("""COMPUTED_VALUE"""),"WA Undelivered")</f>
        <v>WA Undelivered</v>
      </c>
      <c r="J243" s="213">
        <f>IFERROR(__xludf.DUMMYFUNCTION("""COMPUTED_VALUE"""),11210.0)</f>
        <v>11210</v>
      </c>
      <c r="K243" s="213">
        <f>IFERROR(__xludf.DUMMYFUNCTION("""COMPUTED_VALUE"""),1924.0)</f>
        <v>1924</v>
      </c>
      <c r="L243" s="214">
        <f>IFERROR(__xludf.DUMMYFUNCTION("""COMPUTED_VALUE"""),0.1716)</f>
        <v>0.1716</v>
      </c>
      <c r="M243" s="213">
        <f>IFERROR(__xludf.DUMMYFUNCTION("""COMPUTED_VALUE"""),404.0)</f>
        <v>404</v>
      </c>
      <c r="N243" s="214">
        <f>IFERROR(__xludf.DUMMYFUNCTION("""COMPUTED_VALUE"""),0.2105)</f>
        <v>0.2105</v>
      </c>
      <c r="O243" s="213">
        <f>IFERROR(__xludf.DUMMYFUNCTION("""COMPUTED_VALUE"""),7.0)</f>
        <v>7</v>
      </c>
      <c r="P243" s="213">
        <f>IFERROR(__xludf.DUMMYFUNCTION("""COMPUTED_VALUE"""),0.0)</f>
        <v>0</v>
      </c>
      <c r="Q243" s="214">
        <f>IFERROR(__xludf.DUMMYFUNCTION("""COMPUTED_VALUE"""),0.0036)</f>
        <v>0.0036</v>
      </c>
      <c r="R243" s="214">
        <f>IFERROR(__xludf.DUMMYFUNCTION("""COMPUTED_VALUE"""),0.0)</f>
        <v>0</v>
      </c>
      <c r="S243" s="213">
        <f>IFERROR(__xludf.DUMMYFUNCTION("""COMPUTED_VALUE"""),2.0)</f>
        <v>2</v>
      </c>
      <c r="T243" s="213">
        <f>IFERROR(__xludf.DUMMYFUNCTION("""COMPUTED_VALUE"""),0.0)</f>
        <v>0</v>
      </c>
      <c r="U243" s="213">
        <f>IFERROR(__xludf.DUMMYFUNCTION("""COMPUTED_VALUE"""),18398.0)</f>
        <v>18398</v>
      </c>
      <c r="V243" s="213" t="str">
        <f>IFERROR(__xludf.DUMMYFUNCTION("""COMPUTED_VALUE"""),"overall")</f>
        <v>overall</v>
      </c>
      <c r="W243" s="213" t="str">
        <f>IFERROR(__xludf.DUMMYFUNCTION("""COMPUTED_VALUE"""),"Rcs")</f>
        <v>Rcs</v>
      </c>
      <c r="X243" s="213" t="str">
        <f>IFERROR(__xludf.DUMMYFUNCTION("""COMPUTED_VALUE"""),"Category Specific :- Tote")</f>
        <v>Category Specific :- Tote</v>
      </c>
      <c r="Y243" s="213" t="str">
        <f>IFERROR(__xludf.DUMMYFUNCTION("""COMPUTED_VALUE"""),"21st June 2026")</f>
        <v>21st June 2026</v>
      </c>
      <c r="Z243" s="213" t="str">
        <f>IFERROR(__xludf.DUMMYFUNCTION("""COMPUTED_VALUE"""),"6a338bbb2835b21c37ac49ca")</f>
        <v>6a338bbb2835b21c37ac49ca</v>
      </c>
      <c r="AA243" s="213">
        <f>IFERROR(__xludf.DUMMYFUNCTION("""COMPUTED_VALUE"""),6.0)</f>
        <v>6</v>
      </c>
      <c r="AB243" s="213">
        <f>IFERROR(__xludf.DUMMYFUNCTION("""COMPUTED_VALUE"""),2.0)</f>
        <v>2</v>
      </c>
      <c r="AC243" s="213">
        <f>IFERROR(__xludf.DUMMYFUNCTION("""COMPUTED_VALUE"""),4.0)</f>
        <v>4</v>
      </c>
      <c r="AD243" s="213">
        <f>IFERROR(__xludf.DUMMYFUNCTION("""COMPUTED_VALUE"""),67497.0)</f>
        <v>67497</v>
      </c>
      <c r="AE243" s="213">
        <f>IFERROR(__xludf.DUMMYFUNCTION("""COMPUTED_VALUE"""),21048.0)</f>
        <v>21048</v>
      </c>
      <c r="AF243" s="213">
        <f>IFERROR(__xludf.DUMMYFUNCTION("""COMPUTED_VALUE"""),46449.0)</f>
        <v>46449</v>
      </c>
      <c r="AG243" s="208"/>
      <c r="AH243" s="208"/>
      <c r="AI243" s="208"/>
      <c r="AJ243" s="208"/>
      <c r="AK243" s="208"/>
    </row>
    <row r="244">
      <c r="A244" s="209">
        <f>IFERROR(__xludf.DUMMYFUNCTION("""COMPUTED_VALUE"""),46191.0)</f>
        <v>46191</v>
      </c>
      <c r="B244" s="210">
        <f>IFERROR(__xludf.DUMMYFUNCTION("""COMPUTED_VALUE"""),0.5)</f>
        <v>0.5</v>
      </c>
      <c r="C244" s="211" t="str">
        <f>IFERROR(__xludf.DUMMYFUNCTION("""COMPUTED_VALUE"""),"Rcs")</f>
        <v>Rcs</v>
      </c>
      <c r="D244" s="211" t="str">
        <f>IFERROR(__xludf.DUMMYFUNCTION("""COMPUTED_VALUE"""),"Fallback campaign")</f>
        <v>Fallback campaign</v>
      </c>
      <c r="E244" s="211" t="str">
        <f>IFERROR(__xludf.DUMMYFUNCTION("""COMPUTED_VALUE"""),"Aldo")</f>
        <v>Aldo</v>
      </c>
      <c r="F244" s="211" t="str">
        <f>IFERROR(__xludf.DUMMYFUNCTION("""COMPUTED_VALUE"""),"HandbagCategory - No Offer - Category promotion HB")</f>
        <v>HandbagCategory - No Offer - Category promotion HB</v>
      </c>
      <c r="G244" s="211" t="str">
        <f>IFERROR(__xludf.DUMMYFUNCTION("""COMPUTED_VALUE"""),"Handbag_Satchel_RCS")</f>
        <v>Handbag_Satchel_RCS</v>
      </c>
      <c r="H244" s="212" t="str">
        <f>IFERROR(__xludf.DUMMYFUNCTION("""COMPUTED_VALUE"""),"AL_Map_Satchel_L3")</f>
        <v>AL_Map_Satchel_L3</v>
      </c>
      <c r="I244" s="212" t="str">
        <f>IFERROR(__xludf.DUMMYFUNCTION("""COMPUTED_VALUE"""),"WA Undelivered")</f>
        <v>WA Undelivered</v>
      </c>
      <c r="J244" s="213">
        <f>IFERROR(__xludf.DUMMYFUNCTION("""COMPUTED_VALUE"""),24403.0)</f>
        <v>24403</v>
      </c>
      <c r="K244" s="213">
        <f>IFERROR(__xludf.DUMMYFUNCTION("""COMPUTED_VALUE"""),4392.0)</f>
        <v>4392</v>
      </c>
      <c r="L244" s="214">
        <f>IFERROR(__xludf.DUMMYFUNCTION("""COMPUTED_VALUE"""),0.18)</f>
        <v>0.18</v>
      </c>
      <c r="M244" s="213">
        <f>IFERROR(__xludf.DUMMYFUNCTION("""COMPUTED_VALUE"""),974.0)</f>
        <v>974</v>
      </c>
      <c r="N244" s="214">
        <f>IFERROR(__xludf.DUMMYFUNCTION("""COMPUTED_VALUE"""),0.2227)</f>
        <v>0.2227</v>
      </c>
      <c r="O244" s="213">
        <f>IFERROR(__xludf.DUMMYFUNCTION("""COMPUTED_VALUE"""),19.0)</f>
        <v>19</v>
      </c>
      <c r="P244" s="213">
        <f>IFERROR(__xludf.DUMMYFUNCTION("""COMPUTED_VALUE"""),0.0)</f>
        <v>0</v>
      </c>
      <c r="Q244" s="214">
        <f>IFERROR(__xludf.DUMMYFUNCTION("""COMPUTED_VALUE"""),0.0046)</f>
        <v>0.0046</v>
      </c>
      <c r="R244" s="214">
        <f>IFERROR(__xludf.DUMMYFUNCTION("""COMPUTED_VALUE"""),0.0)</f>
        <v>0</v>
      </c>
      <c r="S244" s="213">
        <f>IFERROR(__xludf.DUMMYFUNCTION("""COMPUTED_VALUE"""),2.0)</f>
        <v>2</v>
      </c>
      <c r="T244" s="213">
        <f>IFERROR(__xludf.DUMMYFUNCTION("""COMPUTED_VALUE"""),0.0)</f>
        <v>0</v>
      </c>
      <c r="U244" s="213">
        <f>IFERROR(__xludf.DUMMYFUNCTION("""COMPUTED_VALUE"""),13998.0)</f>
        <v>13998</v>
      </c>
      <c r="V244" s="213" t="str">
        <f>IFERROR(__xludf.DUMMYFUNCTION("""COMPUTED_VALUE"""),"overall")</f>
        <v>overall</v>
      </c>
      <c r="W244" s="213" t="str">
        <f>IFERROR(__xludf.DUMMYFUNCTION("""COMPUTED_VALUE"""),"Rcs")</f>
        <v>Rcs</v>
      </c>
      <c r="X244" s="213" t="str">
        <f>IFERROR(__xludf.DUMMYFUNCTION("""COMPUTED_VALUE"""),"Category Specific :- Satchel")</f>
        <v>Category Specific :- Satchel</v>
      </c>
      <c r="Y244" s="213" t="str">
        <f>IFERROR(__xludf.DUMMYFUNCTION("""COMPUTED_VALUE"""),"21st June 2026")</f>
        <v>21st June 2026</v>
      </c>
      <c r="Z244" s="213" t="str">
        <f>IFERROR(__xludf.DUMMYFUNCTION("""COMPUTED_VALUE"""),"6a338c38351e985f1a5dd463")</f>
        <v>6a338c38351e985f1a5dd463</v>
      </c>
      <c r="AA244" s="213">
        <f>IFERROR(__xludf.DUMMYFUNCTION("""COMPUTED_VALUE"""),8.0)</f>
        <v>8</v>
      </c>
      <c r="AB244" s="213">
        <f>IFERROR(__xludf.DUMMYFUNCTION("""COMPUTED_VALUE"""),2.0)</f>
        <v>2</v>
      </c>
      <c r="AC244" s="213">
        <f>IFERROR(__xludf.DUMMYFUNCTION("""COMPUTED_VALUE"""),6.0)</f>
        <v>6</v>
      </c>
      <c r="AD244" s="213">
        <f>IFERROR(__xludf.DUMMYFUNCTION("""COMPUTED_VALUE"""),84926.0)</f>
        <v>84926</v>
      </c>
      <c r="AE244" s="213">
        <f>IFERROR(__xludf.DUMMYFUNCTION("""COMPUTED_VALUE"""),26997.0)</f>
        <v>26997</v>
      </c>
      <c r="AF244" s="213">
        <f>IFERROR(__xludf.DUMMYFUNCTION("""COMPUTED_VALUE"""),57929.0)</f>
        <v>57929</v>
      </c>
      <c r="AG244" s="208"/>
      <c r="AH244" s="208"/>
      <c r="AI244" s="208"/>
      <c r="AJ244" s="208"/>
      <c r="AK244" s="208"/>
    </row>
    <row r="245">
      <c r="A245" s="209">
        <f>IFERROR(__xludf.DUMMYFUNCTION("""COMPUTED_VALUE"""),46191.0)</f>
        <v>46191</v>
      </c>
      <c r="B245" s="210">
        <f>IFERROR(__xludf.DUMMYFUNCTION("""COMPUTED_VALUE"""),0.5)</f>
        <v>0.5</v>
      </c>
      <c r="C245" s="211" t="str">
        <f>IFERROR(__xludf.DUMMYFUNCTION("""COMPUTED_VALUE"""),"Rcs")</f>
        <v>Rcs</v>
      </c>
      <c r="D245" s="211" t="str">
        <f>IFERROR(__xludf.DUMMYFUNCTION("""COMPUTED_VALUE"""),"Fallback campaign")</f>
        <v>Fallback campaign</v>
      </c>
      <c r="E245" s="211" t="str">
        <f>IFERROR(__xludf.DUMMYFUNCTION("""COMPUTED_VALUE"""),"Aldo")</f>
        <v>Aldo</v>
      </c>
      <c r="F245" s="211" t="str">
        <f>IFERROR(__xludf.DUMMYFUNCTION("""COMPUTED_VALUE"""),"HandbagCategory - No Offer - Category promotion HB")</f>
        <v>HandbagCategory - No Offer - Category promotion HB</v>
      </c>
      <c r="G245" s="211" t="str">
        <f>IFERROR(__xludf.DUMMYFUNCTION("""COMPUTED_VALUE"""),"Handbag_Crossbody_RCS")</f>
        <v>Handbag_Crossbody_RCS</v>
      </c>
      <c r="H245" s="212" t="str">
        <f>IFERROR(__xludf.DUMMYFUNCTION("""COMPUTED_VALUE"""),"AL_Map_Crossbody_L3")</f>
        <v>AL_Map_Crossbody_L3</v>
      </c>
      <c r="I245" s="212" t="str">
        <f>IFERROR(__xludf.DUMMYFUNCTION("""COMPUTED_VALUE"""),"WA Undelivered")</f>
        <v>WA Undelivered</v>
      </c>
      <c r="J245" s="213">
        <f>IFERROR(__xludf.DUMMYFUNCTION("""COMPUTED_VALUE"""),19104.0)</f>
        <v>19104</v>
      </c>
      <c r="K245" s="213">
        <f>IFERROR(__xludf.DUMMYFUNCTION("""COMPUTED_VALUE"""),3122.0)</f>
        <v>3122</v>
      </c>
      <c r="L245" s="214">
        <f>IFERROR(__xludf.DUMMYFUNCTION("""COMPUTED_VALUE"""),0.1634)</f>
        <v>0.1634</v>
      </c>
      <c r="M245" s="213">
        <f>IFERROR(__xludf.DUMMYFUNCTION("""COMPUTED_VALUE"""),632.0)</f>
        <v>632</v>
      </c>
      <c r="N245" s="214">
        <f>IFERROR(__xludf.DUMMYFUNCTION("""COMPUTED_VALUE"""),0.2028)</f>
        <v>0.2028</v>
      </c>
      <c r="O245" s="213">
        <f>IFERROR(__xludf.DUMMYFUNCTION("""COMPUTED_VALUE"""),14.0)</f>
        <v>14</v>
      </c>
      <c r="P245" s="213">
        <f>IFERROR(__xludf.DUMMYFUNCTION("""COMPUTED_VALUE"""),0.0)</f>
        <v>0</v>
      </c>
      <c r="Q245" s="214">
        <f>IFERROR(__xludf.DUMMYFUNCTION("""COMPUTED_VALUE"""),0.0048)</f>
        <v>0.0048</v>
      </c>
      <c r="R245" s="214">
        <f>IFERROR(__xludf.DUMMYFUNCTION("""COMPUTED_VALUE"""),0.0)</f>
        <v>0</v>
      </c>
      <c r="S245" s="213">
        <f>IFERROR(__xludf.DUMMYFUNCTION("""COMPUTED_VALUE"""),2.0)</f>
        <v>2</v>
      </c>
      <c r="T245" s="213">
        <f>IFERROR(__xludf.DUMMYFUNCTION("""COMPUTED_VALUE"""),0.0)</f>
        <v>0</v>
      </c>
      <c r="U245" s="213">
        <f>IFERROR(__xludf.DUMMYFUNCTION("""COMPUTED_VALUE"""),25398.0)</f>
        <v>25398</v>
      </c>
      <c r="V245" s="213" t="str">
        <f>IFERROR(__xludf.DUMMYFUNCTION("""COMPUTED_VALUE"""),"overall")</f>
        <v>overall</v>
      </c>
      <c r="W245" s="213" t="str">
        <f>IFERROR(__xludf.DUMMYFUNCTION("""COMPUTED_VALUE"""),"Rcs")</f>
        <v>Rcs</v>
      </c>
      <c r="X245" s="213" t="str">
        <f>IFERROR(__xludf.DUMMYFUNCTION("""COMPUTED_VALUE"""),"Category Specific :- Crossbody")</f>
        <v>Category Specific :- Crossbody</v>
      </c>
      <c r="Y245" s="213" t="str">
        <f>IFERROR(__xludf.DUMMYFUNCTION("""COMPUTED_VALUE"""),"21st June 2026")</f>
        <v>21st June 2026</v>
      </c>
      <c r="Z245" s="213" t="str">
        <f>IFERROR(__xludf.DUMMYFUNCTION("""COMPUTED_VALUE"""),"6a338c996bea4d136d6445f9")</f>
        <v>6a338c996bea4d136d6445f9</v>
      </c>
      <c r="AA245" s="213">
        <f>IFERROR(__xludf.DUMMYFUNCTION("""COMPUTED_VALUE"""),5.0)</f>
        <v>5</v>
      </c>
      <c r="AB245" s="213">
        <f>IFERROR(__xludf.DUMMYFUNCTION("""COMPUTED_VALUE"""),1.0)</f>
        <v>1</v>
      </c>
      <c r="AC245" s="213">
        <f>IFERROR(__xludf.DUMMYFUNCTION("""COMPUTED_VALUE"""),4.0)</f>
        <v>4</v>
      </c>
      <c r="AD245" s="213">
        <f>IFERROR(__xludf.DUMMYFUNCTION("""COMPUTED_VALUE"""),42448.0)</f>
        <v>42448</v>
      </c>
      <c r="AE245" s="213">
        <f>IFERROR(__xludf.DUMMYFUNCTION("""COMPUTED_VALUE"""),13498.0)</f>
        <v>13498</v>
      </c>
      <c r="AF245" s="213">
        <f>IFERROR(__xludf.DUMMYFUNCTION("""COMPUTED_VALUE"""),28950.0)</f>
        <v>28950</v>
      </c>
      <c r="AG245" s="208"/>
      <c r="AH245" s="208"/>
      <c r="AI245" s="208"/>
      <c r="AJ245" s="208"/>
      <c r="AK245" s="208"/>
    </row>
    <row r="246">
      <c r="A246" s="209">
        <f>IFERROR(__xludf.DUMMYFUNCTION("""COMPUTED_VALUE"""),46191.0)</f>
        <v>46191</v>
      </c>
      <c r="B246" s="210">
        <f>IFERROR(__xludf.DUMMYFUNCTION("""COMPUTED_VALUE"""),0.5)</f>
        <v>0.5</v>
      </c>
      <c r="C246" s="211" t="str">
        <f>IFERROR(__xludf.DUMMYFUNCTION("""COMPUTED_VALUE"""),"Rcs")</f>
        <v>Rcs</v>
      </c>
      <c r="D246" s="211" t="str">
        <f>IFERROR(__xludf.DUMMYFUNCTION("""COMPUTED_VALUE"""),"Fallback campaign")</f>
        <v>Fallback campaign</v>
      </c>
      <c r="E246" s="211" t="str">
        <f>IFERROR(__xludf.DUMMYFUNCTION("""COMPUTED_VALUE"""),"Aldo")</f>
        <v>Aldo</v>
      </c>
      <c r="F246" s="211" t="str">
        <f>IFERROR(__xludf.DUMMYFUNCTION("""COMPUTED_VALUE"""),"HandbagCategory - No Offer - Category promotion HB")</f>
        <v>HandbagCategory - No Offer - Category promotion HB</v>
      </c>
      <c r="G246" s="211" t="str">
        <f>IFERROR(__xludf.DUMMYFUNCTION("""COMPUTED_VALUE"""),"Handbag_shoulder_RCS")</f>
        <v>Handbag_shoulder_RCS</v>
      </c>
      <c r="H246" s="212" t="str">
        <f>IFERROR(__xludf.DUMMYFUNCTION("""COMPUTED_VALUE"""),"AL_Map_ShoulderBags_L3")</f>
        <v>AL_Map_ShoulderBags_L3</v>
      </c>
      <c r="I246" s="212" t="str">
        <f>IFERROR(__xludf.DUMMYFUNCTION("""COMPUTED_VALUE"""),"WA Undelivered")</f>
        <v>WA Undelivered</v>
      </c>
      <c r="J246" s="213">
        <f>IFERROR(__xludf.DUMMYFUNCTION("""COMPUTED_VALUE"""),9636.0)</f>
        <v>9636</v>
      </c>
      <c r="K246" s="213">
        <f>IFERROR(__xludf.DUMMYFUNCTION("""COMPUTED_VALUE"""),1450.0)</f>
        <v>1450</v>
      </c>
      <c r="L246" s="214">
        <f>IFERROR(__xludf.DUMMYFUNCTION("""COMPUTED_VALUE"""),0.1505)</f>
        <v>0.1505</v>
      </c>
      <c r="M246" s="213">
        <f>IFERROR(__xludf.DUMMYFUNCTION("""COMPUTED_VALUE"""),285.0)</f>
        <v>285</v>
      </c>
      <c r="N246" s="214">
        <f>IFERROR(__xludf.DUMMYFUNCTION("""COMPUTED_VALUE"""),0.1972)</f>
        <v>0.1972</v>
      </c>
      <c r="O246" s="213">
        <f>IFERROR(__xludf.DUMMYFUNCTION("""COMPUTED_VALUE"""),7.0)</f>
        <v>7</v>
      </c>
      <c r="P246" s="213">
        <f>IFERROR(__xludf.DUMMYFUNCTION("""COMPUTED_VALUE"""),0.0)</f>
        <v>0</v>
      </c>
      <c r="Q246" s="214">
        <f>IFERROR(__xludf.DUMMYFUNCTION("""COMPUTED_VALUE"""),0.0048)</f>
        <v>0.0048</v>
      </c>
      <c r="R246" s="214">
        <f>IFERROR(__xludf.DUMMYFUNCTION("""COMPUTED_VALUE"""),0.0)</f>
        <v>0</v>
      </c>
      <c r="S246" s="213">
        <f>IFERROR(__xludf.DUMMYFUNCTION("""COMPUTED_VALUE"""),2.0)</f>
        <v>2</v>
      </c>
      <c r="T246" s="213">
        <f>IFERROR(__xludf.DUMMYFUNCTION("""COMPUTED_VALUE"""),0.0)</f>
        <v>0</v>
      </c>
      <c r="U246" s="213">
        <f>IFERROR(__xludf.DUMMYFUNCTION("""COMPUTED_VALUE"""),11849.0)</f>
        <v>11849</v>
      </c>
      <c r="V246" s="213" t="str">
        <f>IFERROR(__xludf.DUMMYFUNCTION("""COMPUTED_VALUE"""),"overall")</f>
        <v>overall</v>
      </c>
      <c r="W246" s="213" t="str">
        <f>IFERROR(__xludf.DUMMYFUNCTION("""COMPUTED_VALUE"""),"Rcs")</f>
        <v>Rcs</v>
      </c>
      <c r="X246" s="213" t="str">
        <f>IFERROR(__xludf.DUMMYFUNCTION("""COMPUTED_VALUE"""),"Category Specific :- Shoulder Bags")</f>
        <v>Category Specific :- Shoulder Bags</v>
      </c>
      <c r="Y246" s="213" t="str">
        <f>IFERROR(__xludf.DUMMYFUNCTION("""COMPUTED_VALUE"""),"21st June 2026")</f>
        <v>21st June 2026</v>
      </c>
      <c r="Z246" s="213" t="str">
        <f>IFERROR(__xludf.DUMMYFUNCTION("""COMPUTED_VALUE"""),"6a338dbb362954adc0439009")</f>
        <v>6a338dbb362954adc0439009</v>
      </c>
      <c r="AA246" s="213">
        <f>IFERROR(__xludf.DUMMYFUNCTION("""COMPUTED_VALUE"""),4.0)</f>
        <v>4</v>
      </c>
      <c r="AB246" s="213">
        <f>IFERROR(__xludf.DUMMYFUNCTION("""COMPUTED_VALUE"""),3.0)</f>
        <v>3</v>
      </c>
      <c r="AC246" s="213">
        <f>IFERROR(__xludf.DUMMYFUNCTION("""COMPUTED_VALUE"""),1.0)</f>
        <v>1</v>
      </c>
      <c r="AD246" s="213">
        <f>IFERROR(__xludf.DUMMYFUNCTION("""COMPUTED_VALUE"""),35486.0)</f>
        <v>35486</v>
      </c>
      <c r="AE246" s="213">
        <f>IFERROR(__xludf.DUMMYFUNCTION("""COMPUTED_VALUE"""),28496.0)</f>
        <v>28496</v>
      </c>
      <c r="AF246" s="213">
        <f>IFERROR(__xludf.DUMMYFUNCTION("""COMPUTED_VALUE"""),6990.0)</f>
        <v>6990</v>
      </c>
      <c r="AG246" s="208"/>
      <c r="AH246" s="208"/>
      <c r="AI246" s="208"/>
      <c r="AJ246" s="208"/>
      <c r="AK246" s="208"/>
    </row>
    <row r="247">
      <c r="A247" s="209">
        <f>IFERROR(__xludf.DUMMYFUNCTION("""COMPUTED_VALUE"""),46193.0)</f>
        <v>46193</v>
      </c>
      <c r="B247" s="210">
        <f>IFERROR(__xludf.DUMMYFUNCTION("""COMPUTED_VALUE"""),0.375)</f>
        <v>0.375</v>
      </c>
      <c r="C247" s="211" t="str">
        <f>IFERROR(__xludf.DUMMYFUNCTION("""COMPUTED_VALUE"""),"Rcs")</f>
        <v>Rcs</v>
      </c>
      <c r="D247" s="211" t="str">
        <f>IFERROR(__xludf.DUMMYFUNCTION("""COMPUTED_VALUE"""),"Promotional")</f>
        <v>Promotional</v>
      </c>
      <c r="E247" s="211" t="str">
        <f>IFERROR(__xludf.DUMMYFUNCTION("""COMPUTED_VALUE"""),"Aldo")</f>
        <v>Aldo</v>
      </c>
      <c r="F247" s="211" t="str">
        <f>IFERROR(__xludf.DUMMYFUNCTION("""COMPUTED_VALUE"""),"EOSS_June 3rd Week Flat 50% OFF - No Brief")</f>
        <v>EOSS_June 3rd Week Flat 50% OFF - No Brief</v>
      </c>
      <c r="G247" s="211" t="str">
        <f>IFERROR(__xludf.DUMMYFUNCTION("""COMPUTED_VALUE"""),"RCS_20_June_ATC90D")</f>
        <v>RCS_20_June_ATC90D</v>
      </c>
      <c r="H247" s="212" t="str">
        <f>IFERROR(__xludf.DUMMYFUNCTION("""COMPUTED_VALUE"""),"AL_ON_ATC_90D")</f>
        <v>AL_ON_ATC_90D</v>
      </c>
      <c r="I247" s="212" t="str">
        <f>IFERROR(__xludf.DUMMYFUNCTION("""COMPUTED_VALUE"""),"Customers who have added to cart at least 2 times in the last 90 days")</f>
        <v>Customers who have added to cart at least 2 times in the last 90 days</v>
      </c>
      <c r="J247" s="213">
        <f>IFERROR(__xludf.DUMMYFUNCTION("""COMPUTED_VALUE"""),3527.0)</f>
        <v>3527</v>
      </c>
      <c r="K247" s="213">
        <f>IFERROR(__xludf.DUMMYFUNCTION("""COMPUTED_VALUE"""),661.0)</f>
        <v>661</v>
      </c>
      <c r="L247" s="214">
        <f>IFERROR(__xludf.DUMMYFUNCTION("""COMPUTED_VALUE"""),0.1874)</f>
        <v>0.1874</v>
      </c>
      <c r="M247" s="213">
        <f>IFERROR(__xludf.DUMMYFUNCTION("""COMPUTED_VALUE"""),121.0)</f>
        <v>121</v>
      </c>
      <c r="N247" s="214">
        <f>IFERROR(__xludf.DUMMYFUNCTION("""COMPUTED_VALUE"""),0.1891)</f>
        <v>0.1891</v>
      </c>
      <c r="O247" s="213">
        <f>IFERROR(__xludf.DUMMYFUNCTION("""COMPUTED_VALUE"""),2.0)</f>
        <v>2</v>
      </c>
      <c r="P247" s="213">
        <f>IFERROR(__xludf.DUMMYFUNCTION("""COMPUTED_VALUE"""),0.0)</f>
        <v>0</v>
      </c>
      <c r="Q247" s="214">
        <f>IFERROR(__xludf.DUMMYFUNCTION("""COMPUTED_VALUE"""),0.003)</f>
        <v>0.003</v>
      </c>
      <c r="R247" s="214">
        <f>IFERROR(__xludf.DUMMYFUNCTION("""COMPUTED_VALUE"""),0.0)</f>
        <v>0</v>
      </c>
      <c r="S247" s="213">
        <f>IFERROR(__xludf.DUMMYFUNCTION("""COMPUTED_VALUE"""),1.0)</f>
        <v>1</v>
      </c>
      <c r="T247" s="213">
        <f>IFERROR(__xludf.DUMMYFUNCTION("""COMPUTED_VALUE"""),0.0)</f>
        <v>0</v>
      </c>
      <c r="U247" s="213">
        <f>IFERROR(__xludf.DUMMYFUNCTION("""COMPUTED_VALUE"""),3748.0)</f>
        <v>3748</v>
      </c>
      <c r="V247" s="213" t="str">
        <f>IFERROR(__xludf.DUMMYFUNCTION("""COMPUTED_VALUE"""),"online")</f>
        <v>online</v>
      </c>
      <c r="W247" s="213" t="str">
        <f>IFERROR(__xludf.DUMMYFUNCTION("""COMPUTED_VALUE"""),"Rcs")</f>
        <v>Rcs</v>
      </c>
      <c r="X247" s="213" t="str">
        <f>IFERROR(__xludf.DUMMYFUNCTION("""COMPUTED_VALUE"""),"Add to Cart")</f>
        <v>Add to Cart</v>
      </c>
      <c r="Y247" s="213" t="str">
        <f>IFERROR(__xludf.DUMMYFUNCTION("""COMPUTED_VALUE"""),"20th Sat - Sunday 21st June 2026")</f>
        <v>20th Sat - Sunday 21st June 2026</v>
      </c>
      <c r="Z247" s="213" t="str">
        <f>IFERROR(__xludf.DUMMYFUNCTION("""COMPUTED_VALUE"""),"6a3539ed479ded36e5b61cc1")</f>
        <v>6a3539ed479ded36e5b61cc1</v>
      </c>
      <c r="AA247" s="213">
        <f>IFERROR(__xludf.DUMMYFUNCTION("""COMPUTED_VALUE"""),3.0)</f>
        <v>3</v>
      </c>
      <c r="AB247" s="213">
        <f>IFERROR(__xludf.DUMMYFUNCTION("""COMPUTED_VALUE"""),3.0)</f>
        <v>3</v>
      </c>
      <c r="AC247" s="213"/>
      <c r="AD247" s="213">
        <f>IFERROR(__xludf.DUMMYFUNCTION("""COMPUTED_VALUE"""),16746.0)</f>
        <v>16746</v>
      </c>
      <c r="AE247" s="213">
        <f>IFERROR(__xludf.DUMMYFUNCTION("""COMPUTED_VALUE"""),16746.0)</f>
        <v>16746</v>
      </c>
      <c r="AF247" s="213"/>
      <c r="AG247" s="208"/>
      <c r="AH247" s="208"/>
      <c r="AI247" s="208"/>
      <c r="AJ247" s="208"/>
      <c r="AK247" s="208"/>
    </row>
    <row r="248">
      <c r="A248" s="209">
        <f>IFERROR(__xludf.DUMMYFUNCTION("""COMPUTED_VALUE"""),46193.0)</f>
        <v>46193</v>
      </c>
      <c r="B248" s="210">
        <f>IFERROR(__xludf.DUMMYFUNCTION("""COMPUTED_VALUE"""),0.375)</f>
        <v>0.375</v>
      </c>
      <c r="C248" s="211" t="str">
        <f>IFERROR(__xludf.DUMMYFUNCTION("""COMPUTED_VALUE"""),"Rcs")</f>
        <v>Rcs</v>
      </c>
      <c r="D248" s="211" t="str">
        <f>IFERROR(__xludf.DUMMYFUNCTION("""COMPUTED_VALUE"""),"Promotional")</f>
        <v>Promotional</v>
      </c>
      <c r="E248" s="211" t="str">
        <f>IFERROR(__xludf.DUMMYFUNCTION("""COMPUTED_VALUE"""),"Aldo")</f>
        <v>Aldo</v>
      </c>
      <c r="F248" s="211" t="str">
        <f>IFERROR(__xludf.DUMMYFUNCTION("""COMPUTED_VALUE"""),"EOSS_June 3rd Week Flat 50% OFF - No Brief")</f>
        <v>EOSS_June 3rd Week Flat 50% OFF - No Brief</v>
      </c>
      <c r="G248" s="211" t="str">
        <f>IFERROR(__xludf.DUMMYFUNCTION("""COMPUTED_VALUE"""),"RCS_20_June_ONView_Item")</f>
        <v>RCS_20_June_ONView_Item</v>
      </c>
      <c r="H248" s="212" t="str">
        <f>IFERROR(__xludf.DUMMYFUNCTION("""COMPUTED_VALUE"""),"AL_ON_View_Item")</f>
        <v>AL_ON_View_Item</v>
      </c>
      <c r="I248" s="212" t="str">
        <f>IFERROR(__xludf.DUMMYFUNCTION("""COMPUTED_VALUE"""),"Customers who have added to wishlist at least 1 time OR viewed_item at least 3 times in the last 90 days")</f>
        <v>Customers who have added to wishlist at least 1 time OR viewed_item at least 3 times in the last 90 days</v>
      </c>
      <c r="J248" s="213">
        <f>IFERROR(__xludf.DUMMYFUNCTION("""COMPUTED_VALUE"""),434.0)</f>
        <v>434</v>
      </c>
      <c r="K248" s="213">
        <f>IFERROR(__xludf.DUMMYFUNCTION("""COMPUTED_VALUE"""),68.0)</f>
        <v>68</v>
      </c>
      <c r="L248" s="214">
        <f>IFERROR(__xludf.DUMMYFUNCTION("""COMPUTED_VALUE"""),0.1567)</f>
        <v>0.1567</v>
      </c>
      <c r="M248" s="213">
        <f>IFERROR(__xludf.DUMMYFUNCTION("""COMPUTED_VALUE"""),14.0)</f>
        <v>14</v>
      </c>
      <c r="N248" s="214">
        <f>IFERROR(__xludf.DUMMYFUNCTION("""COMPUTED_VALUE"""),0.2059)</f>
        <v>0.2059</v>
      </c>
      <c r="O248" s="213">
        <f>IFERROR(__xludf.DUMMYFUNCTION("""COMPUTED_VALUE"""),0.0)</f>
        <v>0</v>
      </c>
      <c r="P248" s="213">
        <f>IFERROR(__xludf.DUMMYFUNCTION("""COMPUTED_VALUE"""),0.0)</f>
        <v>0</v>
      </c>
      <c r="Q248" s="214">
        <f>IFERROR(__xludf.DUMMYFUNCTION("""COMPUTED_VALUE"""),0.0)</f>
        <v>0</v>
      </c>
      <c r="R248" s="214">
        <f>IFERROR(__xludf.DUMMYFUNCTION("""COMPUTED_VALUE"""),0.0)</f>
        <v>0</v>
      </c>
      <c r="S248" s="213">
        <f>IFERROR(__xludf.DUMMYFUNCTION("""COMPUTED_VALUE"""),0.0)</f>
        <v>0</v>
      </c>
      <c r="T248" s="213">
        <f>IFERROR(__xludf.DUMMYFUNCTION("""COMPUTED_VALUE"""),0.0)</f>
        <v>0</v>
      </c>
      <c r="U248" s="213">
        <f>IFERROR(__xludf.DUMMYFUNCTION("""COMPUTED_VALUE"""),0.0)</f>
        <v>0</v>
      </c>
      <c r="V248" s="213" t="str">
        <f>IFERROR(__xludf.DUMMYFUNCTION("""COMPUTED_VALUE"""),"online")</f>
        <v>online</v>
      </c>
      <c r="W248" s="213" t="str">
        <f>IFERROR(__xludf.DUMMYFUNCTION("""COMPUTED_VALUE"""),"Rcs")</f>
        <v>Rcs</v>
      </c>
      <c r="X248" s="213" t="str">
        <f>IFERROR(__xludf.DUMMYFUNCTION("""COMPUTED_VALUE"""),"View Item")</f>
        <v>View Item</v>
      </c>
      <c r="Y248" s="213" t="str">
        <f>IFERROR(__xludf.DUMMYFUNCTION("""COMPUTED_VALUE"""),"20th Sat - Sunday 21st June 2026")</f>
        <v>20th Sat - Sunday 21st June 2026</v>
      </c>
      <c r="Z248" s="213" t="str">
        <f>IFERROR(__xludf.DUMMYFUNCTION("""COMPUTED_VALUE"""),"6a353a3e674f574cf55861bf")</f>
        <v>6a353a3e674f574cf55861bf</v>
      </c>
      <c r="AA248" s="213">
        <f>IFERROR(__xludf.DUMMYFUNCTION("""COMPUTED_VALUE"""),0.0)</f>
        <v>0</v>
      </c>
      <c r="AB248" s="213">
        <f>IFERROR(__xludf.DUMMYFUNCTION("""COMPUTED_VALUE"""),0.0)</f>
        <v>0</v>
      </c>
      <c r="AC248" s="213"/>
      <c r="AD248" s="213">
        <f>IFERROR(__xludf.DUMMYFUNCTION("""COMPUTED_VALUE"""),0.0)</f>
        <v>0</v>
      </c>
      <c r="AE248" s="213">
        <f>IFERROR(__xludf.DUMMYFUNCTION("""COMPUTED_VALUE"""),0.0)</f>
        <v>0</v>
      </c>
      <c r="AF248" s="213"/>
      <c r="AG248" s="208"/>
      <c r="AH248" s="208"/>
      <c r="AI248" s="208"/>
      <c r="AJ248" s="208"/>
      <c r="AK248" s="208"/>
    </row>
    <row r="249">
      <c r="A249" s="209">
        <f>IFERROR(__xludf.DUMMYFUNCTION("""COMPUTED_VALUE"""),46193.0)</f>
        <v>46193</v>
      </c>
      <c r="B249" s="210">
        <f>IFERROR(__xludf.DUMMYFUNCTION("""COMPUTED_VALUE"""),0.375)</f>
        <v>0.375</v>
      </c>
      <c r="C249" s="211" t="str">
        <f>IFERROR(__xludf.DUMMYFUNCTION("""COMPUTED_VALUE"""),"Rcs")</f>
        <v>Rcs</v>
      </c>
      <c r="D249" s="211" t="str">
        <f>IFERROR(__xludf.DUMMYFUNCTION("""COMPUTED_VALUE"""),"Promotional")</f>
        <v>Promotional</v>
      </c>
      <c r="E249" s="211" t="str">
        <f>IFERROR(__xludf.DUMMYFUNCTION("""COMPUTED_VALUE"""),"Aldo")</f>
        <v>Aldo</v>
      </c>
      <c r="F249" s="211" t="str">
        <f>IFERROR(__xludf.DUMMYFUNCTION("""COMPUTED_VALUE"""),"EOSS_June 3rd Week Flat 50% OFF - No Brief")</f>
        <v>EOSS_June 3rd Week Flat 50% OFF - No Brief</v>
      </c>
      <c r="G249" s="211" t="str">
        <f>IFERROR(__xludf.DUMMYFUNCTION("""COMPUTED_VALUE"""),"RCS_20_June_OFFEventBuyers")</f>
        <v>RCS_20_June_OFFEventBuyers</v>
      </c>
      <c r="H249" s="212" t="str">
        <f>IFERROR(__xludf.DUMMYFUNCTION("""COMPUTED_VALUE"""),"AL_ON_OFF_Event_Buyers_EOSS")</f>
        <v>AL_ON_OFF_Event_Buyers_EOSS</v>
      </c>
      <c r="I249" s="212" t="str">
        <f>IFERROR(__xludf.DUMMYFUNCTION("""COMPUTED_VALUE"""),"Customers who have purchased at least 1 time during the periods 30 April–4 May 2025, 20–29 June 2025, 19–22 July 2025, 25 November–5 December 2025, 12–19 December 2025, 25 December 2025–5 January 2026, or 30 April–4 May 2026. (EOSS, BOGO, Last year BF)")</f>
        <v>Customers who have purchased at least 1 time during the periods 30 April–4 May 2025, 20–29 June 2025, 19–22 July 2025, 25 November–5 December 2025, 12–19 December 2025, 25 December 2025–5 January 2026, or 30 April–4 May 2026. (EOSS, BOGO, Last year BF)</v>
      </c>
      <c r="J249" s="213">
        <f>IFERROR(__xludf.DUMMYFUNCTION("""COMPUTED_VALUE"""),60715.0)</f>
        <v>60715</v>
      </c>
      <c r="K249" s="213">
        <f>IFERROR(__xludf.DUMMYFUNCTION("""COMPUTED_VALUE"""),11685.0)</f>
        <v>11685</v>
      </c>
      <c r="L249" s="214">
        <f>IFERROR(__xludf.DUMMYFUNCTION("""COMPUTED_VALUE"""),0.1925)</f>
        <v>0.1925</v>
      </c>
      <c r="M249" s="213">
        <f>IFERROR(__xludf.DUMMYFUNCTION("""COMPUTED_VALUE"""),2335.0)</f>
        <v>2335</v>
      </c>
      <c r="N249" s="214">
        <f>IFERROR(__xludf.DUMMYFUNCTION("""COMPUTED_VALUE"""),0.2024)</f>
        <v>0.2024</v>
      </c>
      <c r="O249" s="213">
        <f>IFERROR(__xludf.DUMMYFUNCTION("""COMPUTED_VALUE"""),81.0)</f>
        <v>81</v>
      </c>
      <c r="P249" s="213">
        <f>IFERROR(__xludf.DUMMYFUNCTION("""COMPUTED_VALUE"""),0.0)</f>
        <v>0</v>
      </c>
      <c r="Q249" s="214">
        <f>IFERROR(__xludf.DUMMYFUNCTION("""COMPUTED_VALUE"""),0.0073)</f>
        <v>0.0073</v>
      </c>
      <c r="R249" s="214">
        <f>IFERROR(__xludf.DUMMYFUNCTION("""COMPUTED_VALUE"""),0.0)</f>
        <v>0</v>
      </c>
      <c r="S249" s="213">
        <f>IFERROR(__xludf.DUMMYFUNCTION("""COMPUTED_VALUE"""),2.0)</f>
        <v>2</v>
      </c>
      <c r="T249" s="213">
        <f>IFERROR(__xludf.DUMMYFUNCTION("""COMPUTED_VALUE"""),0.0)</f>
        <v>0</v>
      </c>
      <c r="U249" s="213">
        <f>IFERROR(__xludf.DUMMYFUNCTION("""COMPUTED_VALUE"""),12998.0)</f>
        <v>12998</v>
      </c>
      <c r="V249" s="213" t="str">
        <f>IFERROR(__xludf.DUMMYFUNCTION("""COMPUTED_VALUE"""),"overall")</f>
        <v>overall</v>
      </c>
      <c r="W249" s="213" t="str">
        <f>IFERROR(__xludf.DUMMYFUNCTION("""COMPUTED_VALUE"""),"Rcs")</f>
        <v>Rcs</v>
      </c>
      <c r="X249" s="213" t="str">
        <f>IFERROR(__xludf.DUMMYFUNCTION("""COMPUTED_VALUE"""),"Event Buyers")</f>
        <v>Event Buyers</v>
      </c>
      <c r="Y249" s="213" t="str">
        <f>IFERROR(__xludf.DUMMYFUNCTION("""COMPUTED_VALUE"""),"20th Sat - Sunday 21st June 2026")</f>
        <v>20th Sat - Sunday 21st June 2026</v>
      </c>
      <c r="Z249" s="213" t="str">
        <f>IFERROR(__xludf.DUMMYFUNCTION("""COMPUTED_VALUE"""),"6a353a9e4480f99ab82c6898")</f>
        <v>6a353a9e4480f99ab82c6898</v>
      </c>
      <c r="AA249" s="213">
        <f>IFERROR(__xludf.DUMMYFUNCTION("""COMPUTED_VALUE"""),37.0)</f>
        <v>37</v>
      </c>
      <c r="AB249" s="213">
        <f>IFERROR(__xludf.DUMMYFUNCTION("""COMPUTED_VALUE"""),6.0)</f>
        <v>6</v>
      </c>
      <c r="AC249" s="213">
        <f>IFERROR(__xludf.DUMMYFUNCTION("""COMPUTED_VALUE"""),31.0)</f>
        <v>31</v>
      </c>
      <c r="AD249" s="213">
        <f>IFERROR(__xludf.DUMMYFUNCTION("""COMPUTED_VALUE"""),342321.0)</f>
        <v>342321</v>
      </c>
      <c r="AE249" s="213">
        <f>IFERROR(__xludf.DUMMYFUNCTION("""COMPUTED_VALUE"""),38994.0)</f>
        <v>38994</v>
      </c>
      <c r="AF249" s="213">
        <f>IFERROR(__xludf.DUMMYFUNCTION("""COMPUTED_VALUE"""),303327.0)</f>
        <v>303327</v>
      </c>
      <c r="AG249" s="208"/>
      <c r="AH249" s="208"/>
      <c r="AI249" s="208"/>
      <c r="AJ249" s="208"/>
      <c r="AK249" s="208"/>
    </row>
    <row r="250">
      <c r="A250" s="209">
        <f>IFERROR(__xludf.DUMMYFUNCTION("""COMPUTED_VALUE"""),46193.0)</f>
        <v>46193</v>
      </c>
      <c r="B250" s="210">
        <f>IFERROR(__xludf.DUMMYFUNCTION("""COMPUTED_VALUE"""),0.375)</f>
        <v>0.375</v>
      </c>
      <c r="C250" s="211" t="str">
        <f>IFERROR(__xludf.DUMMYFUNCTION("""COMPUTED_VALUE"""),"Rcs")</f>
        <v>Rcs</v>
      </c>
      <c r="D250" s="211" t="str">
        <f>IFERROR(__xludf.DUMMYFUNCTION("""COMPUTED_VALUE"""),"Promotional")</f>
        <v>Promotional</v>
      </c>
      <c r="E250" s="211" t="str">
        <f>IFERROR(__xludf.DUMMYFUNCTION("""COMPUTED_VALUE"""),"Aldo")</f>
        <v>Aldo</v>
      </c>
      <c r="F250" s="211" t="str">
        <f>IFERROR(__xludf.DUMMYFUNCTION("""COMPUTED_VALUE"""),"EOSS_June 3rd Week Flat 50% OFF - No Brief")</f>
        <v>EOSS_June 3rd Week Flat 50% OFF - No Brief</v>
      </c>
      <c r="G250" s="211" t="str">
        <f>IFERROR(__xludf.DUMMYFUNCTION("""COMPUTED_VALUE"""),"RCS_20_June_DISCPerc_30")</f>
        <v>RCS_20_June_DISCPerc_30</v>
      </c>
      <c r="H250" s="212" t="str">
        <f>IFERROR(__xludf.DUMMYFUNCTION("""COMPUTED_VALUE"""),"AL_ON_OFF_DISC_PERC_30+")</f>
        <v>AL_ON_OFF_DISC_PERC_30+</v>
      </c>
      <c r="I250" s="212" t="str">
        <f>IFERROR(__xludf.DUMMYFUNCTION("""COMPUTED_VALUE"""),"Customers who have purchased at least 1 time with discount percentage exceeding 30% in the last 365 days")</f>
        <v>Customers who have purchased at least 1 time with discount percentage exceeding 30% in the last 365 days</v>
      </c>
      <c r="J250" s="213">
        <f>IFERROR(__xludf.DUMMYFUNCTION("""COMPUTED_VALUE"""),12133.0)</f>
        <v>12133</v>
      </c>
      <c r="K250" s="213">
        <f>IFERROR(__xludf.DUMMYFUNCTION("""COMPUTED_VALUE"""),2311.0)</f>
        <v>2311</v>
      </c>
      <c r="L250" s="214">
        <f>IFERROR(__xludf.DUMMYFUNCTION("""COMPUTED_VALUE"""),0.1905)</f>
        <v>0.1905</v>
      </c>
      <c r="M250" s="213">
        <f>IFERROR(__xludf.DUMMYFUNCTION("""COMPUTED_VALUE"""),415.0)</f>
        <v>415</v>
      </c>
      <c r="N250" s="214">
        <f>IFERROR(__xludf.DUMMYFUNCTION("""COMPUTED_VALUE"""),0.1848)</f>
        <v>0.1848</v>
      </c>
      <c r="O250" s="213">
        <f>IFERROR(__xludf.DUMMYFUNCTION("""COMPUTED_VALUE"""),22.0)</f>
        <v>22</v>
      </c>
      <c r="P250" s="213">
        <f>IFERROR(__xludf.DUMMYFUNCTION("""COMPUTED_VALUE"""),0.0)</f>
        <v>0</v>
      </c>
      <c r="Q250" s="214">
        <f>IFERROR(__xludf.DUMMYFUNCTION("""COMPUTED_VALUE"""),0.01)</f>
        <v>0.01</v>
      </c>
      <c r="R250" s="214">
        <f>IFERROR(__xludf.DUMMYFUNCTION("""COMPUTED_VALUE"""),0.0)</f>
        <v>0</v>
      </c>
      <c r="S250" s="213">
        <f>IFERROR(__xludf.DUMMYFUNCTION("""COMPUTED_VALUE"""),0.0)</f>
        <v>0</v>
      </c>
      <c r="T250" s="213">
        <f>IFERROR(__xludf.DUMMYFUNCTION("""COMPUTED_VALUE"""),0.0)</f>
        <v>0</v>
      </c>
      <c r="U250" s="213">
        <f>IFERROR(__xludf.DUMMYFUNCTION("""COMPUTED_VALUE"""),0.0)</f>
        <v>0</v>
      </c>
      <c r="V250" s="213" t="str">
        <f>IFERROR(__xludf.DUMMYFUNCTION("""COMPUTED_VALUE"""),"overall")</f>
        <v>overall</v>
      </c>
      <c r="W250" s="213" t="str">
        <f>IFERROR(__xludf.DUMMYFUNCTION("""COMPUTED_VALUE"""),"Rcs")</f>
        <v>Rcs</v>
      </c>
      <c r="X250" s="213" t="str">
        <f>IFERROR(__xludf.DUMMYFUNCTION("""COMPUTED_VALUE"""),"Discount Buyers - 30% above")</f>
        <v>Discount Buyers - 30% above</v>
      </c>
      <c r="Y250" s="213" t="str">
        <f>IFERROR(__xludf.DUMMYFUNCTION("""COMPUTED_VALUE"""),"20th Sat - Sunday 21st June 2026")</f>
        <v>20th Sat - Sunday 21st June 2026</v>
      </c>
      <c r="Z250" s="213" t="str">
        <f>IFERROR(__xludf.DUMMYFUNCTION("""COMPUTED_VALUE"""),"6a353ae1e62aa0fd4554f386")</f>
        <v>6a353ae1e62aa0fd4554f386</v>
      </c>
      <c r="AA250" s="213">
        <f>IFERROR(__xludf.DUMMYFUNCTION("""COMPUTED_VALUE"""),5.0)</f>
        <v>5</v>
      </c>
      <c r="AB250" s="213">
        <f>IFERROR(__xludf.DUMMYFUNCTION("""COMPUTED_VALUE"""),2.0)</f>
        <v>2</v>
      </c>
      <c r="AC250" s="213">
        <f>IFERROR(__xludf.DUMMYFUNCTION("""COMPUTED_VALUE"""),3.0)</f>
        <v>3</v>
      </c>
      <c r="AD250" s="213">
        <f>IFERROR(__xludf.DUMMYFUNCTION("""COMPUTED_VALUE"""),35968.0)</f>
        <v>35968</v>
      </c>
      <c r="AE250" s="213">
        <f>IFERROR(__xludf.DUMMYFUNCTION("""COMPUTED_VALUE"""),21498.0)</f>
        <v>21498</v>
      </c>
      <c r="AF250" s="213">
        <f>IFERROR(__xludf.DUMMYFUNCTION("""COMPUTED_VALUE"""),14470.0)</f>
        <v>14470</v>
      </c>
      <c r="AG250" s="208"/>
      <c r="AH250" s="208"/>
      <c r="AI250" s="208"/>
      <c r="AJ250" s="208"/>
      <c r="AK250" s="208"/>
    </row>
    <row r="251">
      <c r="A251" s="209">
        <f>IFERROR(__xludf.DUMMYFUNCTION("""COMPUTED_VALUE"""),46193.0)</f>
        <v>46193</v>
      </c>
      <c r="B251" s="210">
        <f>IFERROR(__xludf.DUMMYFUNCTION("""COMPUTED_VALUE"""),0.375)</f>
        <v>0.375</v>
      </c>
      <c r="C251" s="211" t="str">
        <f>IFERROR(__xludf.DUMMYFUNCTION("""COMPUTED_VALUE"""),"Rcs")</f>
        <v>Rcs</v>
      </c>
      <c r="D251" s="211" t="str">
        <f>IFERROR(__xludf.DUMMYFUNCTION("""COMPUTED_VALUE"""),"Promotional")</f>
        <v>Promotional</v>
      </c>
      <c r="E251" s="211" t="str">
        <f>IFERROR(__xludf.DUMMYFUNCTION("""COMPUTED_VALUE"""),"Aldo")</f>
        <v>Aldo</v>
      </c>
      <c r="F251" s="211" t="str">
        <f>IFERROR(__xludf.DUMMYFUNCTION("""COMPUTED_VALUE"""),"EOSS_June 3rd Week Flat 50% OFF - No Brief")</f>
        <v>EOSS_June 3rd Week Flat 50% OFF - No Brief</v>
      </c>
      <c r="G251" s="211" t="str">
        <f>IFERROR(__xludf.DUMMYFUNCTION("""COMPUTED_VALUE"""),"RCS_20_June_Repeat_1YR")</f>
        <v>RCS_20_June_Repeat_1YR</v>
      </c>
      <c r="H251" s="212" t="str">
        <f>IFERROR(__xludf.DUMMYFUNCTION("""COMPUTED_VALUE"""),"AL_ON_OFF_Repeat_1Year")</f>
        <v>AL_ON_OFF_Repeat_1Year</v>
      </c>
      <c r="I251" s="212" t="str">
        <f>IFERROR(__xludf.DUMMYFUNCTION("""COMPUTED_VALUE"""),"Customers who have purchased at least 2 times in the last 365 days")</f>
        <v>Customers who have purchased at least 2 times in the last 365 days</v>
      </c>
      <c r="J251" s="213">
        <f>IFERROR(__xludf.DUMMYFUNCTION("""COMPUTED_VALUE"""),4426.0)</f>
        <v>4426</v>
      </c>
      <c r="K251" s="213">
        <f>IFERROR(__xludf.DUMMYFUNCTION("""COMPUTED_VALUE"""),849.0)</f>
        <v>849</v>
      </c>
      <c r="L251" s="214">
        <f>IFERROR(__xludf.DUMMYFUNCTION("""COMPUTED_VALUE"""),0.1918)</f>
        <v>0.1918</v>
      </c>
      <c r="M251" s="213">
        <f>IFERROR(__xludf.DUMMYFUNCTION("""COMPUTED_VALUE"""),169.0)</f>
        <v>169</v>
      </c>
      <c r="N251" s="214">
        <f>IFERROR(__xludf.DUMMYFUNCTION("""COMPUTED_VALUE"""),0.2014)</f>
        <v>0.2014</v>
      </c>
      <c r="O251" s="213">
        <f>IFERROR(__xludf.DUMMYFUNCTION("""COMPUTED_VALUE"""),5.0)</f>
        <v>5</v>
      </c>
      <c r="P251" s="213">
        <f>IFERROR(__xludf.DUMMYFUNCTION("""COMPUTED_VALUE"""),0.0)</f>
        <v>0</v>
      </c>
      <c r="Q251" s="214">
        <f>IFERROR(__xludf.DUMMYFUNCTION("""COMPUTED_VALUE"""),0.0071)</f>
        <v>0.0071</v>
      </c>
      <c r="R251" s="214">
        <f>IFERROR(__xludf.DUMMYFUNCTION("""COMPUTED_VALUE"""),0.0)</f>
        <v>0</v>
      </c>
      <c r="S251" s="213">
        <f>IFERROR(__xludf.DUMMYFUNCTION("""COMPUTED_VALUE"""),0.0)</f>
        <v>0</v>
      </c>
      <c r="T251" s="213">
        <f>IFERROR(__xludf.DUMMYFUNCTION("""COMPUTED_VALUE"""),0.0)</f>
        <v>0</v>
      </c>
      <c r="U251" s="213">
        <f>IFERROR(__xludf.DUMMYFUNCTION("""COMPUTED_VALUE"""),0.0)</f>
        <v>0</v>
      </c>
      <c r="V251" s="213" t="str">
        <f>IFERROR(__xludf.DUMMYFUNCTION("""COMPUTED_VALUE"""),"overall")</f>
        <v>overall</v>
      </c>
      <c r="W251" s="213" t="str">
        <f>IFERROR(__xludf.DUMMYFUNCTION("""COMPUTED_VALUE"""),"Rcs")</f>
        <v>Rcs</v>
      </c>
      <c r="X251" s="213" t="str">
        <f>IFERROR(__xludf.DUMMYFUNCTION("""COMPUTED_VALUE"""),"Repeat")</f>
        <v>Repeat</v>
      </c>
      <c r="Y251" s="213" t="str">
        <f>IFERROR(__xludf.DUMMYFUNCTION("""COMPUTED_VALUE"""),"20th Sat - Sunday 21st June 2026")</f>
        <v>20th Sat - Sunday 21st June 2026</v>
      </c>
      <c r="Z251" s="213" t="str">
        <f>IFERROR(__xludf.DUMMYFUNCTION("""COMPUTED_VALUE"""),"6a353b44674f574cf5586215")</f>
        <v>6a353b44674f574cf5586215</v>
      </c>
      <c r="AA251" s="213">
        <f>IFERROR(__xludf.DUMMYFUNCTION("""COMPUTED_VALUE"""),3.0)</f>
        <v>3</v>
      </c>
      <c r="AB251" s="213">
        <f>IFERROR(__xludf.DUMMYFUNCTION("""COMPUTED_VALUE"""),0.0)</f>
        <v>0</v>
      </c>
      <c r="AC251" s="213">
        <f>IFERROR(__xludf.DUMMYFUNCTION("""COMPUTED_VALUE"""),3.0)</f>
        <v>3</v>
      </c>
      <c r="AD251" s="213">
        <f>IFERROR(__xludf.DUMMYFUNCTION("""COMPUTED_VALUE"""),17160.0)</f>
        <v>17160</v>
      </c>
      <c r="AE251" s="213">
        <f>IFERROR(__xludf.DUMMYFUNCTION("""COMPUTED_VALUE"""),0.0)</f>
        <v>0</v>
      </c>
      <c r="AF251" s="213">
        <f>IFERROR(__xludf.DUMMYFUNCTION("""COMPUTED_VALUE"""),17160.0)</f>
        <v>17160</v>
      </c>
      <c r="AG251" s="208"/>
      <c r="AH251" s="208"/>
      <c r="AI251" s="208"/>
      <c r="AJ251" s="208"/>
      <c r="AK251" s="208"/>
    </row>
    <row r="252">
      <c r="A252" s="209">
        <f>IFERROR(__xludf.DUMMYFUNCTION("""COMPUTED_VALUE"""),46193.0)</f>
        <v>46193</v>
      </c>
      <c r="B252" s="210">
        <f>IFERROR(__xludf.DUMMYFUNCTION("""COMPUTED_VALUE"""),0.375)</f>
        <v>0.375</v>
      </c>
      <c r="C252" s="211" t="str">
        <f>IFERROR(__xludf.DUMMYFUNCTION("""COMPUTED_VALUE"""),"Rcs")</f>
        <v>Rcs</v>
      </c>
      <c r="D252" s="211" t="str">
        <f>IFERROR(__xludf.DUMMYFUNCTION("""COMPUTED_VALUE"""),"Promotional")</f>
        <v>Promotional</v>
      </c>
      <c r="E252" s="211" t="str">
        <f>IFERROR(__xludf.DUMMYFUNCTION("""COMPUTED_VALUE"""),"Aldo")</f>
        <v>Aldo</v>
      </c>
      <c r="F252" s="211" t="str">
        <f>IFERROR(__xludf.DUMMYFUNCTION("""COMPUTED_VALUE"""),"EOSS_June 3rd Week Flat 50% OFF - No Brief")</f>
        <v>EOSS_June 3rd Week Flat 50% OFF - No Brief</v>
      </c>
      <c r="G252" s="211" t="str">
        <f>IFERROR(__xludf.DUMMYFUNCTION("""COMPUTED_VALUE"""),"RCS_20_June_OFFDISC_RPT")</f>
        <v>RCS_20_June_OFFDISC_RPT</v>
      </c>
      <c r="H252" s="212" t="str">
        <f>IFERROR(__xludf.DUMMYFUNCTION("""COMPUTED_VALUE"""),"AL_ON_OFF_DISC_RPT")</f>
        <v>AL_ON_OFF_DISC_RPT</v>
      </c>
      <c r="I252" s="212" t="str">
        <f>IFERROR(__xludf.DUMMYFUNCTION("""COMPUTED_VALUE"""),"Customers who have purchased at least 2 times with discount in the last 365 days")</f>
        <v>Customers who have purchased at least 2 times with discount in the last 365 days</v>
      </c>
      <c r="J252" s="213">
        <f>IFERROR(__xludf.DUMMYFUNCTION("""COMPUTED_VALUE"""),7247.0)</f>
        <v>7247</v>
      </c>
      <c r="K252" s="213">
        <f>IFERROR(__xludf.DUMMYFUNCTION("""COMPUTED_VALUE"""),1404.0)</f>
        <v>1404</v>
      </c>
      <c r="L252" s="214">
        <f>IFERROR(__xludf.DUMMYFUNCTION("""COMPUTED_VALUE"""),0.1937)</f>
        <v>0.1937</v>
      </c>
      <c r="M252" s="213">
        <f>IFERROR(__xludf.DUMMYFUNCTION("""COMPUTED_VALUE"""),304.0)</f>
        <v>304</v>
      </c>
      <c r="N252" s="214">
        <f>IFERROR(__xludf.DUMMYFUNCTION("""COMPUTED_VALUE"""),0.2187)</f>
        <v>0.2187</v>
      </c>
      <c r="O252" s="213">
        <f>IFERROR(__xludf.DUMMYFUNCTION("""COMPUTED_VALUE"""),3.0)</f>
        <v>3</v>
      </c>
      <c r="P252" s="213">
        <f>IFERROR(__xludf.DUMMYFUNCTION("""COMPUTED_VALUE"""),0.0)</f>
        <v>0</v>
      </c>
      <c r="Q252" s="214">
        <f>IFERROR(__xludf.DUMMYFUNCTION("""COMPUTED_VALUE"""),0.0021)</f>
        <v>0.0021</v>
      </c>
      <c r="R252" s="214">
        <f>IFERROR(__xludf.DUMMYFUNCTION("""COMPUTED_VALUE"""),0.0)</f>
        <v>0</v>
      </c>
      <c r="S252" s="213">
        <f>IFERROR(__xludf.DUMMYFUNCTION("""COMPUTED_VALUE"""),0.0)</f>
        <v>0</v>
      </c>
      <c r="T252" s="213">
        <f>IFERROR(__xludf.DUMMYFUNCTION("""COMPUTED_VALUE"""),0.0)</f>
        <v>0</v>
      </c>
      <c r="U252" s="213">
        <f>IFERROR(__xludf.DUMMYFUNCTION("""COMPUTED_VALUE"""),0.0)</f>
        <v>0</v>
      </c>
      <c r="V252" s="213" t="str">
        <f>IFERROR(__xludf.DUMMYFUNCTION("""COMPUTED_VALUE"""),"overall")</f>
        <v>overall</v>
      </c>
      <c r="W252" s="213" t="str">
        <f>IFERROR(__xludf.DUMMYFUNCTION("""COMPUTED_VALUE"""),"Rcs")</f>
        <v>Rcs</v>
      </c>
      <c r="X252" s="213" t="str">
        <f>IFERROR(__xludf.DUMMYFUNCTION("""COMPUTED_VALUE"""),"Discount Repeat Buyers")</f>
        <v>Discount Repeat Buyers</v>
      </c>
      <c r="Y252" s="213" t="str">
        <f>IFERROR(__xludf.DUMMYFUNCTION("""COMPUTED_VALUE"""),"20th Sat - Sunday 21st June 2026")</f>
        <v>20th Sat - Sunday 21st June 2026</v>
      </c>
      <c r="Z252" s="213" t="str">
        <f>IFERROR(__xludf.DUMMYFUNCTION("""COMPUTED_VALUE"""),"6a353e22d5a966de55caced2")</f>
        <v>6a353e22d5a966de55caced2</v>
      </c>
      <c r="AA252" s="213">
        <f>IFERROR(__xludf.DUMMYFUNCTION("""COMPUTED_VALUE"""),7.0)</f>
        <v>7</v>
      </c>
      <c r="AB252" s="213">
        <f>IFERROR(__xludf.DUMMYFUNCTION("""COMPUTED_VALUE"""),1.0)</f>
        <v>1</v>
      </c>
      <c r="AC252" s="213">
        <f>IFERROR(__xludf.DUMMYFUNCTION("""COMPUTED_VALUE"""),6.0)</f>
        <v>6</v>
      </c>
      <c r="AD252" s="213">
        <f>IFERROR(__xludf.DUMMYFUNCTION("""COMPUTED_VALUE"""),46438.0)</f>
        <v>46438</v>
      </c>
      <c r="AE252" s="213">
        <f>IFERROR(__xludf.DUMMYFUNCTION("""COMPUTED_VALUE"""),12998.0)</f>
        <v>12998</v>
      </c>
      <c r="AF252" s="213">
        <f>IFERROR(__xludf.DUMMYFUNCTION("""COMPUTED_VALUE"""),33440.0)</f>
        <v>33440</v>
      </c>
      <c r="AG252" s="208"/>
      <c r="AH252" s="208"/>
      <c r="AI252" s="208"/>
      <c r="AJ252" s="208"/>
      <c r="AK252" s="208"/>
    </row>
    <row r="253">
      <c r="A253" s="209">
        <f>IFERROR(__xludf.DUMMYFUNCTION("""COMPUTED_VALUE"""),46193.0)</f>
        <v>46193</v>
      </c>
      <c r="B253" s="210">
        <f>IFERROR(__xludf.DUMMYFUNCTION("""COMPUTED_VALUE"""),0.375)</f>
        <v>0.375</v>
      </c>
      <c r="C253" s="211" t="str">
        <f>IFERROR(__xludf.DUMMYFUNCTION("""COMPUTED_VALUE"""),"Rcs")</f>
        <v>Rcs</v>
      </c>
      <c r="D253" s="211" t="str">
        <f>IFERROR(__xludf.DUMMYFUNCTION("""COMPUTED_VALUE"""),"Promotional")</f>
        <v>Promotional</v>
      </c>
      <c r="E253" s="211" t="str">
        <f>IFERROR(__xludf.DUMMYFUNCTION("""COMPUTED_VALUE"""),"Aldo")</f>
        <v>Aldo</v>
      </c>
      <c r="F253" s="211" t="str">
        <f>IFERROR(__xludf.DUMMYFUNCTION("""COMPUTED_VALUE"""),"EOSS_June 3rd Week Flat 50% OFF - No Brief")</f>
        <v>EOSS_June 3rd Week Flat 50% OFF - No Brief</v>
      </c>
      <c r="G253" s="211" t="str">
        <f>IFERROR(__xludf.DUMMYFUNCTION("""COMPUTED_VALUE"""),"RCS_20_June_Dormant")</f>
        <v>RCS_20_June_Dormant</v>
      </c>
      <c r="H253" s="212" t="str">
        <f>IFERROR(__xludf.DUMMYFUNCTION("""COMPUTED_VALUE"""),"AL_ON_OFF_Dormant_EOSS")</f>
        <v>AL_ON_OFF_Dormant_EOSS</v>
      </c>
      <c r="I253" s="212" t="str">
        <f>IFERROR(__xludf.DUMMYFUNCTION("""COMPUTED_VALUE"""),"Customers who have purchased at least 1 time in the last 365 days")</f>
        <v>Customers who have purchased at least 1 time in the last 365 days</v>
      </c>
      <c r="J253" s="213">
        <f>IFERROR(__xludf.DUMMYFUNCTION("""COMPUTED_VALUE"""),50730.0)</f>
        <v>50730</v>
      </c>
      <c r="K253" s="213">
        <f>IFERROR(__xludf.DUMMYFUNCTION("""COMPUTED_VALUE"""),9937.0)</f>
        <v>9937</v>
      </c>
      <c r="L253" s="214">
        <f>IFERROR(__xludf.DUMMYFUNCTION("""COMPUTED_VALUE"""),0.1959)</f>
        <v>0.1959</v>
      </c>
      <c r="M253" s="213">
        <f>IFERROR(__xludf.DUMMYFUNCTION("""COMPUTED_VALUE"""),2030.0)</f>
        <v>2030</v>
      </c>
      <c r="N253" s="214">
        <f>IFERROR(__xludf.DUMMYFUNCTION("""COMPUTED_VALUE"""),0.2069)</f>
        <v>0.2069</v>
      </c>
      <c r="O253" s="213">
        <f>IFERROR(__xludf.DUMMYFUNCTION("""COMPUTED_VALUE"""),54.0)</f>
        <v>54</v>
      </c>
      <c r="P253" s="213">
        <f>IFERROR(__xludf.DUMMYFUNCTION("""COMPUTED_VALUE"""),0.0)</f>
        <v>0</v>
      </c>
      <c r="Q253" s="214">
        <f>IFERROR(__xludf.DUMMYFUNCTION("""COMPUTED_VALUE"""),0.0058)</f>
        <v>0.0058</v>
      </c>
      <c r="R253" s="214">
        <f>IFERROR(__xludf.DUMMYFUNCTION("""COMPUTED_VALUE"""),0.0)</f>
        <v>0</v>
      </c>
      <c r="S253" s="213">
        <f>IFERROR(__xludf.DUMMYFUNCTION("""COMPUTED_VALUE"""),0.0)</f>
        <v>0</v>
      </c>
      <c r="T253" s="213">
        <f>IFERROR(__xludf.DUMMYFUNCTION("""COMPUTED_VALUE"""),0.0)</f>
        <v>0</v>
      </c>
      <c r="U253" s="213">
        <f>IFERROR(__xludf.DUMMYFUNCTION("""COMPUTED_VALUE"""),0.0)</f>
        <v>0</v>
      </c>
      <c r="V253" s="213" t="str">
        <f>IFERROR(__xludf.DUMMYFUNCTION("""COMPUTED_VALUE"""),"overall")</f>
        <v>overall</v>
      </c>
      <c r="W253" s="213" t="str">
        <f>IFERROR(__xludf.DUMMYFUNCTION("""COMPUTED_VALUE"""),"Rcs")</f>
        <v>Rcs</v>
      </c>
      <c r="X253" s="213" t="str">
        <f>IFERROR(__xludf.DUMMYFUNCTION("""COMPUTED_VALUE"""),"Dormant")</f>
        <v>Dormant</v>
      </c>
      <c r="Y253" s="213" t="str">
        <f>IFERROR(__xludf.DUMMYFUNCTION("""COMPUTED_VALUE"""),"20th Sat - Sunday 21st June 2026")</f>
        <v>20th Sat - Sunday 21st June 2026</v>
      </c>
      <c r="Z253" s="213" t="str">
        <f>IFERROR(__xludf.DUMMYFUNCTION("""COMPUTED_VALUE"""),"6a353e6c76c400b6f44aa32e")</f>
        <v>6a353e6c76c400b6f44aa32e</v>
      </c>
      <c r="AA253" s="213">
        <f>IFERROR(__xludf.DUMMYFUNCTION("""COMPUTED_VALUE"""),10.0)</f>
        <v>10</v>
      </c>
      <c r="AB253" s="213">
        <f>IFERROR(__xludf.DUMMYFUNCTION("""COMPUTED_VALUE"""),0.0)</f>
        <v>0</v>
      </c>
      <c r="AC253" s="213">
        <f>IFERROR(__xludf.DUMMYFUNCTION("""COMPUTED_VALUE"""),10.0)</f>
        <v>10</v>
      </c>
      <c r="AD253" s="213">
        <f>IFERROR(__xludf.DUMMYFUNCTION("""COMPUTED_VALUE"""),88869.0)</f>
        <v>88869</v>
      </c>
      <c r="AE253" s="213">
        <f>IFERROR(__xludf.DUMMYFUNCTION("""COMPUTED_VALUE"""),0.0)</f>
        <v>0</v>
      </c>
      <c r="AF253" s="213">
        <f>IFERROR(__xludf.DUMMYFUNCTION("""COMPUTED_VALUE"""),88869.0)</f>
        <v>88869</v>
      </c>
      <c r="AG253" s="208"/>
      <c r="AH253" s="208"/>
      <c r="AI253" s="208"/>
      <c r="AJ253" s="208"/>
      <c r="AK253" s="208"/>
    </row>
    <row r="254">
      <c r="A254" s="209">
        <f>IFERROR(__xludf.DUMMYFUNCTION("""COMPUTED_VALUE"""),46193.0)</f>
        <v>46193</v>
      </c>
      <c r="B254" s="210">
        <f>IFERROR(__xludf.DUMMYFUNCTION("""COMPUTED_VALUE"""),0.375)</f>
        <v>0.375</v>
      </c>
      <c r="C254" s="211" t="str">
        <f>IFERROR(__xludf.DUMMYFUNCTION("""COMPUTED_VALUE"""),"Rcs")</f>
        <v>Rcs</v>
      </c>
      <c r="D254" s="211" t="str">
        <f>IFERROR(__xludf.DUMMYFUNCTION("""COMPUTED_VALUE"""),"Promotional")</f>
        <v>Promotional</v>
      </c>
      <c r="E254" s="211" t="str">
        <f>IFERROR(__xludf.DUMMYFUNCTION("""COMPUTED_VALUE"""),"Aldo")</f>
        <v>Aldo</v>
      </c>
      <c r="F254" s="211" t="str">
        <f>IFERROR(__xludf.DUMMYFUNCTION("""COMPUTED_VALUE"""),"EOSS_June 3rd Week Flat 50% OFF - No Brief")</f>
        <v>EOSS_June 3rd Week Flat 50% OFF - No Brief</v>
      </c>
      <c r="G254" s="211" t="str">
        <f>IFERROR(__xludf.DUMMYFUNCTION("""COMPUTED_VALUE"""),"RCS_20_June_Churned")</f>
        <v>RCS_20_June_Churned</v>
      </c>
      <c r="H254" s="212" t="str">
        <f>IFERROR(__xludf.DUMMYFUNCTION("""COMPUTED_VALUE"""),"AL_ON_OFF_Churned_Rpt_EOSS")</f>
        <v>AL_ON_OFF_Churned_Rpt_EOSS</v>
      </c>
      <c r="I254" s="212" t="str">
        <f>IFERROR(__xludf.DUMMYFUNCTION("""COMPUTED_VALUE"""),"Customers who have purchased at least 2 times in the last 1095 days")</f>
        <v>Customers who have purchased at least 2 times in the last 1095 days</v>
      </c>
      <c r="J254" s="213">
        <f>IFERROR(__xludf.DUMMYFUNCTION("""COMPUTED_VALUE"""),33517.0)</f>
        <v>33517</v>
      </c>
      <c r="K254" s="213">
        <f>IFERROR(__xludf.DUMMYFUNCTION("""COMPUTED_VALUE"""),5623.0)</f>
        <v>5623</v>
      </c>
      <c r="L254" s="214">
        <f>IFERROR(__xludf.DUMMYFUNCTION("""COMPUTED_VALUE"""),0.1678)</f>
        <v>0.1678</v>
      </c>
      <c r="M254" s="213">
        <f>IFERROR(__xludf.DUMMYFUNCTION("""COMPUTED_VALUE"""),1116.0)</f>
        <v>1116</v>
      </c>
      <c r="N254" s="214">
        <f>IFERROR(__xludf.DUMMYFUNCTION("""COMPUTED_VALUE"""),0.2018)</f>
        <v>0.2018</v>
      </c>
      <c r="O254" s="213">
        <f>IFERROR(__xludf.DUMMYFUNCTION("""COMPUTED_VALUE"""),29.0)</f>
        <v>29</v>
      </c>
      <c r="P254" s="213">
        <f>IFERROR(__xludf.DUMMYFUNCTION("""COMPUTED_VALUE"""),0.0)</f>
        <v>0</v>
      </c>
      <c r="Q254" s="214">
        <f>IFERROR(__xludf.DUMMYFUNCTION("""COMPUTED_VALUE"""),0.006)</f>
        <v>0.006</v>
      </c>
      <c r="R254" s="214">
        <f>IFERROR(__xludf.DUMMYFUNCTION("""COMPUTED_VALUE"""),0.0)</f>
        <v>0</v>
      </c>
      <c r="S254" s="213">
        <f>IFERROR(__xludf.DUMMYFUNCTION("""COMPUTED_VALUE"""),3.0)</f>
        <v>3</v>
      </c>
      <c r="T254" s="213">
        <f>IFERROR(__xludf.DUMMYFUNCTION("""COMPUTED_VALUE"""),0.0)</f>
        <v>0</v>
      </c>
      <c r="U254" s="213">
        <f>IFERROR(__xludf.DUMMYFUNCTION("""COMPUTED_VALUE"""),30747.0)</f>
        <v>30747</v>
      </c>
      <c r="V254" s="213" t="str">
        <f>IFERROR(__xludf.DUMMYFUNCTION("""COMPUTED_VALUE"""),"overall")</f>
        <v>overall</v>
      </c>
      <c r="W254" s="213" t="str">
        <f>IFERROR(__xludf.DUMMYFUNCTION("""COMPUTED_VALUE"""),"Rcs")</f>
        <v>Rcs</v>
      </c>
      <c r="X254" s="213" t="str">
        <f>IFERROR(__xludf.DUMMYFUNCTION("""COMPUTED_VALUE"""),"Churned Repeat")</f>
        <v>Churned Repeat</v>
      </c>
      <c r="Y254" s="213" t="str">
        <f>IFERROR(__xludf.DUMMYFUNCTION("""COMPUTED_VALUE"""),"20th Sat - Sunday 21st June 2026")</f>
        <v>20th Sat - Sunday 21st June 2026</v>
      </c>
      <c r="Z254" s="213" t="str">
        <f>IFERROR(__xludf.DUMMYFUNCTION("""COMPUTED_VALUE"""),"6a353ec0659b3345c83e2dd4")</f>
        <v>6a353ec0659b3345c83e2dd4</v>
      </c>
      <c r="AA254" s="213">
        <f>IFERROR(__xludf.DUMMYFUNCTION("""COMPUTED_VALUE"""),23.0)</f>
        <v>23</v>
      </c>
      <c r="AB254" s="213">
        <f>IFERROR(__xludf.DUMMYFUNCTION("""COMPUTED_VALUE"""),7.0)</f>
        <v>7</v>
      </c>
      <c r="AC254" s="213">
        <f>IFERROR(__xludf.DUMMYFUNCTION("""COMPUTED_VALUE"""),16.0)</f>
        <v>16</v>
      </c>
      <c r="AD254" s="213">
        <f>IFERROR(__xludf.DUMMYFUNCTION("""COMPUTED_VALUE"""),220042.0)</f>
        <v>220042</v>
      </c>
      <c r="AE254" s="213">
        <f>IFERROR(__xludf.DUMMYFUNCTION("""COMPUTED_VALUE"""),77240.0)</f>
        <v>77240</v>
      </c>
      <c r="AF254" s="213">
        <f>IFERROR(__xludf.DUMMYFUNCTION("""COMPUTED_VALUE"""),142802.0)</f>
        <v>142802</v>
      </c>
      <c r="AG254" s="208"/>
      <c r="AH254" s="208"/>
      <c r="AI254" s="208"/>
      <c r="AJ254" s="208"/>
      <c r="AK254" s="208"/>
    </row>
    <row r="255">
      <c r="A255" s="209">
        <f>IFERROR(__xludf.DUMMYFUNCTION("""COMPUTED_VALUE"""),46193.0)</f>
        <v>46193</v>
      </c>
      <c r="B255" s="210">
        <f>IFERROR(__xludf.DUMMYFUNCTION("""COMPUTED_VALUE"""),0.375)</f>
        <v>0.375</v>
      </c>
      <c r="C255" s="211" t="str">
        <f>IFERROR(__xludf.DUMMYFUNCTION("""COMPUTED_VALUE"""),"Rcs")</f>
        <v>Rcs</v>
      </c>
      <c r="D255" s="211" t="str">
        <f>IFERROR(__xludf.DUMMYFUNCTION("""COMPUTED_VALUE"""),"Promotional")</f>
        <v>Promotional</v>
      </c>
      <c r="E255" s="211" t="str">
        <f>IFERROR(__xludf.DUMMYFUNCTION("""COMPUTED_VALUE"""),"Aldo")</f>
        <v>Aldo</v>
      </c>
      <c r="F255" s="211" t="str">
        <f>IFERROR(__xludf.DUMMYFUNCTION("""COMPUTED_VALUE"""),"EOSS_June 3rd Week Flat 50% OFF - No Brief")</f>
        <v>EOSS_June 3rd Week Flat 50% OFF - No Brief</v>
      </c>
      <c r="G255" s="211" t="str">
        <f>IFERROR(__xludf.DUMMYFUNCTION("""COMPUTED_VALUE"""),"RCS_20_June_Churned366")</f>
        <v>RCS_20_June_Churned366</v>
      </c>
      <c r="H255" s="212" t="str">
        <f>IFERROR(__xludf.DUMMYFUNCTION("""COMPUTED_VALUE"""),"AL_ON_OFF_Churned_366_730_EOSS")</f>
        <v>AL_ON_OFF_Churned_366_730_EOSS</v>
      </c>
      <c r="I255" s="212" t="str">
        <f>IFERROR(__xludf.DUMMYFUNCTION("""COMPUTED_VALUE"""),"Customers who have purchased at least 1 time in between 366 to 730 days ago")</f>
        <v>Customers who have purchased at least 1 time in between 366 to 730 days ago</v>
      </c>
      <c r="J255" s="213">
        <f>IFERROR(__xludf.DUMMYFUNCTION("""COMPUTED_VALUE"""),109827.0)</f>
        <v>109827</v>
      </c>
      <c r="K255" s="213">
        <f>IFERROR(__xludf.DUMMYFUNCTION("""COMPUTED_VALUE"""),21256.0)</f>
        <v>21256</v>
      </c>
      <c r="L255" s="214">
        <f>IFERROR(__xludf.DUMMYFUNCTION("""COMPUTED_VALUE"""),0.1935)</f>
        <v>0.1935</v>
      </c>
      <c r="M255" s="213">
        <f>IFERROR(__xludf.DUMMYFUNCTION("""COMPUTED_VALUE"""),4157.0)</f>
        <v>4157</v>
      </c>
      <c r="N255" s="214">
        <f>IFERROR(__xludf.DUMMYFUNCTION("""COMPUTED_VALUE"""),0.1984)</f>
        <v>0.1984</v>
      </c>
      <c r="O255" s="213">
        <f>IFERROR(__xludf.DUMMYFUNCTION("""COMPUTED_VALUE"""),98.0)</f>
        <v>98</v>
      </c>
      <c r="P255" s="213">
        <f>IFERROR(__xludf.DUMMYFUNCTION("""COMPUTED_VALUE"""),0.0)</f>
        <v>0</v>
      </c>
      <c r="Q255" s="214">
        <f>IFERROR(__xludf.DUMMYFUNCTION("""COMPUTED_VALUE"""),0.0052)</f>
        <v>0.0052</v>
      </c>
      <c r="R255" s="214">
        <f>IFERROR(__xludf.DUMMYFUNCTION("""COMPUTED_VALUE"""),0.0)</f>
        <v>0</v>
      </c>
      <c r="S255" s="213">
        <f>IFERROR(__xludf.DUMMYFUNCTION("""COMPUTED_VALUE"""),1.0)</f>
        <v>1</v>
      </c>
      <c r="T255" s="213">
        <f>IFERROR(__xludf.DUMMYFUNCTION("""COMPUTED_VALUE"""),0.0)</f>
        <v>0</v>
      </c>
      <c r="U255" s="213">
        <f>IFERROR(__xludf.DUMMYFUNCTION("""COMPUTED_VALUE"""),9999.0)</f>
        <v>9999</v>
      </c>
      <c r="V255" s="213" t="str">
        <f>IFERROR(__xludf.DUMMYFUNCTION("""COMPUTED_VALUE"""),"overall")</f>
        <v>overall</v>
      </c>
      <c r="W255" s="213" t="str">
        <f>IFERROR(__xludf.DUMMYFUNCTION("""COMPUTED_VALUE"""),"Rcs")</f>
        <v>Rcs</v>
      </c>
      <c r="X255" s="213" t="str">
        <f>IFERROR(__xludf.DUMMYFUNCTION("""COMPUTED_VALUE"""),"Churned")</f>
        <v>Churned</v>
      </c>
      <c r="Y255" s="213" t="str">
        <f>IFERROR(__xludf.DUMMYFUNCTION("""COMPUTED_VALUE"""),"20th Sat - Sunday 21st June 2026")</f>
        <v>20th Sat - Sunday 21st June 2026</v>
      </c>
      <c r="Z255" s="213" t="str">
        <f>IFERROR(__xludf.DUMMYFUNCTION("""COMPUTED_VALUE"""),"6a35400d3836d0cb601ce95c")</f>
        <v>6a35400d3836d0cb601ce95c</v>
      </c>
      <c r="AA255" s="213">
        <f>IFERROR(__xludf.DUMMYFUNCTION("""COMPUTED_VALUE"""),29.0)</f>
        <v>29</v>
      </c>
      <c r="AB255" s="213">
        <f>IFERROR(__xludf.DUMMYFUNCTION("""COMPUTED_VALUE"""),6.0)</f>
        <v>6</v>
      </c>
      <c r="AC255" s="213">
        <f>IFERROR(__xludf.DUMMYFUNCTION("""COMPUTED_VALUE"""),23.0)</f>
        <v>23</v>
      </c>
      <c r="AD255" s="213">
        <f>IFERROR(__xludf.DUMMYFUNCTION("""COMPUTED_VALUE"""),292877.0)</f>
        <v>292877</v>
      </c>
      <c r="AE255" s="213">
        <f>IFERROR(__xludf.DUMMYFUNCTION("""COMPUTED_VALUE"""),55493.0)</f>
        <v>55493</v>
      </c>
      <c r="AF255" s="213">
        <f>IFERROR(__xludf.DUMMYFUNCTION("""COMPUTED_VALUE"""),237384.0)</f>
        <v>237384</v>
      </c>
      <c r="AG255" s="208"/>
      <c r="AH255" s="208"/>
      <c r="AI255" s="208"/>
      <c r="AJ255" s="208"/>
      <c r="AK255" s="208"/>
    </row>
    <row r="256">
      <c r="A256" s="209">
        <f>IFERROR(__xludf.DUMMYFUNCTION("""COMPUTED_VALUE"""),46193.0)</f>
        <v>46193</v>
      </c>
      <c r="B256" s="210">
        <f>IFERROR(__xludf.DUMMYFUNCTION("""COMPUTED_VALUE"""),0.375)</f>
        <v>0.375</v>
      </c>
      <c r="C256" s="211" t="str">
        <f>IFERROR(__xludf.DUMMYFUNCTION("""COMPUTED_VALUE"""),"Rcs")</f>
        <v>Rcs</v>
      </c>
      <c r="D256" s="211" t="str">
        <f>IFERROR(__xludf.DUMMYFUNCTION("""COMPUTED_VALUE"""),"Promotional")</f>
        <v>Promotional</v>
      </c>
      <c r="E256" s="211" t="str">
        <f>IFERROR(__xludf.DUMMYFUNCTION("""COMPUTED_VALUE"""),"Aldo")</f>
        <v>Aldo</v>
      </c>
      <c r="F256" s="211" t="str">
        <f>IFERROR(__xludf.DUMMYFUNCTION("""COMPUTED_VALUE"""),"EOSS_June 3rd Week Flat 50% OFF - No Brief")</f>
        <v>EOSS_June 3rd Week Flat 50% OFF - No Brief</v>
      </c>
      <c r="G256" s="211" t="str">
        <f>IFERROR(__xludf.DUMMYFUNCTION("""COMPUTED_VALUE"""),"RCS_20_June_CH731")</f>
        <v>RCS_20_June_CH731</v>
      </c>
      <c r="H256" s="212" t="str">
        <f>IFERROR(__xludf.DUMMYFUNCTION("""COMPUTED_VALUE"""),"AL_ON_OFF_Churned_731_1095_EOSS")</f>
        <v>AL_ON_OFF_Churned_731_1095_EOSS</v>
      </c>
      <c r="I256" s="212" t="str">
        <f>IFERROR(__xludf.DUMMYFUNCTION("""COMPUTED_VALUE"""),"Customers who have purchased at least 1 time in between 731 to 1095 days ago")</f>
        <v>Customers who have purchased at least 1 time in between 731 to 1095 days ago</v>
      </c>
      <c r="J256" s="213">
        <f>IFERROR(__xludf.DUMMYFUNCTION("""COMPUTED_VALUE"""),48900.0)</f>
        <v>48900</v>
      </c>
      <c r="K256" s="213">
        <f>IFERROR(__xludf.DUMMYFUNCTION("""COMPUTED_VALUE"""),8736.0)</f>
        <v>8736</v>
      </c>
      <c r="L256" s="214">
        <f>IFERROR(__xludf.DUMMYFUNCTION("""COMPUTED_VALUE"""),0.1787)</f>
        <v>0.1787</v>
      </c>
      <c r="M256" s="213">
        <f>IFERROR(__xludf.DUMMYFUNCTION("""COMPUTED_VALUE"""),1634.0)</f>
        <v>1634</v>
      </c>
      <c r="N256" s="214">
        <f>IFERROR(__xludf.DUMMYFUNCTION("""COMPUTED_VALUE"""),0.1915)</f>
        <v>0.1915</v>
      </c>
      <c r="O256" s="213">
        <f>IFERROR(__xludf.DUMMYFUNCTION("""COMPUTED_VALUE"""),31.0)</f>
        <v>31</v>
      </c>
      <c r="P256" s="213">
        <f>IFERROR(__xludf.DUMMYFUNCTION("""COMPUTED_VALUE"""),0.0)</f>
        <v>0</v>
      </c>
      <c r="Q256" s="214">
        <f>IFERROR(__xludf.DUMMYFUNCTION("""COMPUTED_VALUE"""),0.0038)</f>
        <v>0.0038</v>
      </c>
      <c r="R256" s="214">
        <f>IFERROR(__xludf.DUMMYFUNCTION("""COMPUTED_VALUE"""),0.0)</f>
        <v>0</v>
      </c>
      <c r="S256" s="213">
        <f>IFERROR(__xludf.DUMMYFUNCTION("""COMPUTED_VALUE"""),1.0)</f>
        <v>1</v>
      </c>
      <c r="T256" s="213">
        <f>IFERROR(__xludf.DUMMYFUNCTION("""COMPUTED_VALUE"""),0.0)</f>
        <v>0</v>
      </c>
      <c r="U256" s="213">
        <f>IFERROR(__xludf.DUMMYFUNCTION("""COMPUTED_VALUE"""),7499.0)</f>
        <v>7499</v>
      </c>
      <c r="V256" s="213" t="str">
        <f>IFERROR(__xludf.DUMMYFUNCTION("""COMPUTED_VALUE"""),"overall")</f>
        <v>overall</v>
      </c>
      <c r="W256" s="213" t="str">
        <f>IFERROR(__xludf.DUMMYFUNCTION("""COMPUTED_VALUE"""),"Rcs")</f>
        <v>Rcs</v>
      </c>
      <c r="X256" s="213" t="str">
        <f>IFERROR(__xludf.DUMMYFUNCTION("""COMPUTED_VALUE"""),"Churned")</f>
        <v>Churned</v>
      </c>
      <c r="Y256" s="213" t="str">
        <f>IFERROR(__xludf.DUMMYFUNCTION("""COMPUTED_VALUE"""),"20th Sat - Sunday 21st June 2026")</f>
        <v>20th Sat - Sunday 21st June 2026</v>
      </c>
      <c r="Z256" s="213" t="str">
        <f>IFERROR(__xludf.DUMMYFUNCTION("""COMPUTED_VALUE"""),"6a35407656cf970719e1d82c")</f>
        <v>6a35407656cf970719e1d82c</v>
      </c>
      <c r="AA256" s="213">
        <f>IFERROR(__xludf.DUMMYFUNCTION("""COMPUTED_VALUE"""),11.0)</f>
        <v>11</v>
      </c>
      <c r="AB256" s="213">
        <f>IFERROR(__xludf.DUMMYFUNCTION("""COMPUTED_VALUE"""),1.0)</f>
        <v>1</v>
      </c>
      <c r="AC256" s="213">
        <f>IFERROR(__xludf.DUMMYFUNCTION("""COMPUTED_VALUE"""),10.0)</f>
        <v>10</v>
      </c>
      <c r="AD256" s="213">
        <f>IFERROR(__xludf.DUMMYFUNCTION("""COMPUTED_VALUE"""),91848.0)</f>
        <v>91848</v>
      </c>
      <c r="AE256" s="213">
        <f>IFERROR(__xludf.DUMMYFUNCTION("""COMPUTED_VALUE"""),7499.0)</f>
        <v>7499</v>
      </c>
      <c r="AF256" s="213">
        <f>IFERROR(__xludf.DUMMYFUNCTION("""COMPUTED_VALUE"""),84349.0)</f>
        <v>84349</v>
      </c>
      <c r="AG256" s="208"/>
      <c r="AH256" s="208"/>
      <c r="AI256" s="208"/>
      <c r="AJ256" s="208"/>
      <c r="AK256" s="208"/>
    </row>
    <row r="257">
      <c r="A257" s="209">
        <f>IFERROR(__xludf.DUMMYFUNCTION("""COMPUTED_VALUE"""),46193.0)</f>
        <v>46193</v>
      </c>
      <c r="B257" s="210">
        <f>IFERROR(__xludf.DUMMYFUNCTION("""COMPUTED_VALUE"""),0.375)</f>
        <v>0.375</v>
      </c>
      <c r="C257" s="211" t="str">
        <f>IFERROR(__xludf.DUMMYFUNCTION("""COMPUTED_VALUE"""),"Rcs")</f>
        <v>Rcs</v>
      </c>
      <c r="D257" s="211" t="str">
        <f>IFERROR(__xludf.DUMMYFUNCTION("""COMPUTED_VALUE"""),"Promotional")</f>
        <v>Promotional</v>
      </c>
      <c r="E257" s="211" t="str">
        <f>IFERROR(__xludf.DUMMYFUNCTION("""COMPUTED_VALUE"""),"Aldo")</f>
        <v>Aldo</v>
      </c>
      <c r="F257" s="211" t="str">
        <f>IFERROR(__xludf.DUMMYFUNCTION("""COMPUTED_VALUE"""),"EOSS_June 3rd Week Flat 50% OFF - No Brief")</f>
        <v>EOSS_June 3rd Week Flat 50% OFF - No Brief</v>
      </c>
      <c r="G257" s="211" t="str">
        <f>IFERROR(__xludf.DUMMYFUNCTION("""COMPUTED_VALUE"""),"RCS_20_June_Active_Eoss")</f>
        <v>RCS_20_June_Active_Eoss</v>
      </c>
      <c r="H257" s="212" t="str">
        <f>IFERROR(__xludf.DUMMYFUNCTION("""COMPUTED_VALUE"""),"AL_ON_OFF_Active_EOSS")</f>
        <v>AL_ON_OFF_Active_EOSS</v>
      </c>
      <c r="I257" s="212" t="str">
        <f>IFERROR(__xludf.DUMMYFUNCTION("""COMPUTED_VALUE"""),"Customers who have purchased at least 1 time in the last 77 days")</f>
        <v>Customers who have purchased at least 1 time in the last 77 days</v>
      </c>
      <c r="J257" s="213">
        <f>IFERROR(__xludf.DUMMYFUNCTION("""COMPUTED_VALUE"""),14428.0)</f>
        <v>14428</v>
      </c>
      <c r="K257" s="213">
        <f>IFERROR(__xludf.DUMMYFUNCTION("""COMPUTED_VALUE"""),2915.0)</f>
        <v>2915</v>
      </c>
      <c r="L257" s="214">
        <f>IFERROR(__xludf.DUMMYFUNCTION("""COMPUTED_VALUE"""),0.202)</f>
        <v>0.202</v>
      </c>
      <c r="M257" s="213">
        <f>IFERROR(__xludf.DUMMYFUNCTION("""COMPUTED_VALUE"""),577.0)</f>
        <v>577</v>
      </c>
      <c r="N257" s="214">
        <f>IFERROR(__xludf.DUMMYFUNCTION("""COMPUTED_VALUE"""),0.201)</f>
        <v>0.201</v>
      </c>
      <c r="O257" s="213">
        <f>IFERROR(__xludf.DUMMYFUNCTION("""COMPUTED_VALUE"""),27.0)</f>
        <v>27</v>
      </c>
      <c r="P257" s="213">
        <f>IFERROR(__xludf.DUMMYFUNCTION("""COMPUTED_VALUE"""),0.0)</f>
        <v>0</v>
      </c>
      <c r="Q257" s="214">
        <f>IFERROR(__xludf.DUMMYFUNCTION("""COMPUTED_VALUE"""),0.0099)</f>
        <v>0.0099</v>
      </c>
      <c r="R257" s="214">
        <f>IFERROR(__xludf.DUMMYFUNCTION("""COMPUTED_VALUE"""),0.0)</f>
        <v>0</v>
      </c>
      <c r="S257" s="213">
        <f>IFERROR(__xludf.DUMMYFUNCTION("""COMPUTED_VALUE"""),0.0)</f>
        <v>0</v>
      </c>
      <c r="T257" s="213">
        <f>IFERROR(__xludf.DUMMYFUNCTION("""COMPUTED_VALUE"""),0.0)</f>
        <v>0</v>
      </c>
      <c r="U257" s="213">
        <f>IFERROR(__xludf.DUMMYFUNCTION("""COMPUTED_VALUE"""),0.0)</f>
        <v>0</v>
      </c>
      <c r="V257" s="213" t="str">
        <f>IFERROR(__xludf.DUMMYFUNCTION("""COMPUTED_VALUE"""),"overall")</f>
        <v>overall</v>
      </c>
      <c r="W257" s="213" t="str">
        <f>IFERROR(__xludf.DUMMYFUNCTION("""COMPUTED_VALUE"""),"Rcs")</f>
        <v>Rcs</v>
      </c>
      <c r="X257" s="213" t="str">
        <f>IFERROR(__xludf.DUMMYFUNCTION("""COMPUTED_VALUE"""),"Active")</f>
        <v>Active</v>
      </c>
      <c r="Y257" s="213" t="str">
        <f>IFERROR(__xludf.DUMMYFUNCTION("""COMPUTED_VALUE"""),"20th Sat - Sunday 21st June 2026")</f>
        <v>20th Sat - Sunday 21st June 2026</v>
      </c>
      <c r="Z257" s="213" t="str">
        <f>IFERROR(__xludf.DUMMYFUNCTION("""COMPUTED_VALUE"""),"6a3540b8f2f67ea79ba35abd")</f>
        <v>6a3540b8f2f67ea79ba35abd</v>
      </c>
      <c r="AA257" s="213">
        <f>IFERROR(__xludf.DUMMYFUNCTION("""COMPUTED_VALUE"""),10.0)</f>
        <v>10</v>
      </c>
      <c r="AB257" s="213">
        <f>IFERROR(__xludf.DUMMYFUNCTION("""COMPUTED_VALUE"""),1.0)</f>
        <v>1</v>
      </c>
      <c r="AC257" s="213">
        <f>IFERROR(__xludf.DUMMYFUNCTION("""COMPUTED_VALUE"""),9.0)</f>
        <v>9</v>
      </c>
      <c r="AD257" s="213">
        <f>IFERROR(__xludf.DUMMYFUNCTION("""COMPUTED_VALUE"""),81551.0)</f>
        <v>81551</v>
      </c>
      <c r="AE257" s="213">
        <f>IFERROR(__xludf.DUMMYFUNCTION("""COMPUTED_VALUE"""),7599.0)</f>
        <v>7599</v>
      </c>
      <c r="AF257" s="213">
        <f>IFERROR(__xludf.DUMMYFUNCTION("""COMPUTED_VALUE"""),73952.0)</f>
        <v>73952</v>
      </c>
      <c r="AG257" s="208"/>
      <c r="AH257" s="208"/>
      <c r="AI257" s="208"/>
      <c r="AJ257" s="208"/>
      <c r="AK257" s="208"/>
    </row>
    <row r="258">
      <c r="A258" s="209">
        <f>IFERROR(__xludf.DUMMYFUNCTION("""COMPUTED_VALUE"""),46193.0)</f>
        <v>46193</v>
      </c>
      <c r="B258" s="210">
        <f>IFERROR(__xludf.DUMMYFUNCTION("""COMPUTED_VALUE"""),0.375)</f>
        <v>0.375</v>
      </c>
      <c r="C258" s="211" t="str">
        <f>IFERROR(__xludf.DUMMYFUNCTION("""COMPUTED_VALUE"""),"Rcs")</f>
        <v>Rcs</v>
      </c>
      <c r="D258" s="211" t="str">
        <f>IFERROR(__xludf.DUMMYFUNCTION("""COMPUTED_VALUE"""),"Promotional")</f>
        <v>Promotional</v>
      </c>
      <c r="E258" s="211" t="str">
        <f>IFERROR(__xludf.DUMMYFUNCTION("""COMPUTED_VALUE"""),"Aldo")</f>
        <v>Aldo</v>
      </c>
      <c r="F258" s="211" t="str">
        <f>IFERROR(__xludf.DUMMYFUNCTION("""COMPUTED_VALUE"""),"EOSS_June 3rd Week Flat 50% OFF - No Brief")</f>
        <v>EOSS_June 3rd Week Flat 50% OFF - No Brief</v>
      </c>
      <c r="G258" s="211" t="str">
        <f>IFERROR(__xludf.DUMMYFUNCTION("""COMPUTED_VALUE"""),"RCS_20_June_NonTxt")</f>
        <v>RCS_20_June_NonTxt</v>
      </c>
      <c r="H258" s="212" t="str">
        <f>IFERROR(__xludf.DUMMYFUNCTION("""COMPUTED_VALUE"""),"AL_Non-Txn_Base")</f>
        <v>AL_Non-Txn_Base</v>
      </c>
      <c r="I258" s="212" t="str">
        <f>IFERROR(__xludf.DUMMYFUNCTION("""COMPUTED_VALUE"""),"Non- Txn Base")</f>
        <v>Non- Txn Base</v>
      </c>
      <c r="J258" s="213">
        <f>IFERROR(__xludf.DUMMYFUNCTION("""COMPUTED_VALUE"""),104068.0)</f>
        <v>104068</v>
      </c>
      <c r="K258" s="213">
        <f>IFERROR(__xludf.DUMMYFUNCTION("""COMPUTED_VALUE"""),20616.0)</f>
        <v>20616</v>
      </c>
      <c r="L258" s="214">
        <f>IFERROR(__xludf.DUMMYFUNCTION("""COMPUTED_VALUE"""),0.1981)</f>
        <v>0.1981</v>
      </c>
      <c r="M258" s="213">
        <f>IFERROR(__xludf.DUMMYFUNCTION("""COMPUTED_VALUE"""),3903.0)</f>
        <v>3903</v>
      </c>
      <c r="N258" s="214">
        <f>IFERROR(__xludf.DUMMYFUNCTION("""COMPUTED_VALUE"""),0.1926)</f>
        <v>0.1926</v>
      </c>
      <c r="O258" s="213">
        <f>IFERROR(__xludf.DUMMYFUNCTION("""COMPUTED_VALUE"""),221.0)</f>
        <v>221</v>
      </c>
      <c r="P258" s="213">
        <f>IFERROR(__xludf.DUMMYFUNCTION("""COMPUTED_VALUE"""),0.0)</f>
        <v>0</v>
      </c>
      <c r="Q258" s="214">
        <f>IFERROR(__xludf.DUMMYFUNCTION("""COMPUTED_VALUE"""),0.0118)</f>
        <v>0.0118</v>
      </c>
      <c r="R258" s="214">
        <f>IFERROR(__xludf.DUMMYFUNCTION("""COMPUTED_VALUE"""),0.0)</f>
        <v>0</v>
      </c>
      <c r="S258" s="213">
        <f>IFERROR(__xludf.DUMMYFUNCTION("""COMPUTED_VALUE"""),7.0)</f>
        <v>7</v>
      </c>
      <c r="T258" s="213">
        <f>IFERROR(__xludf.DUMMYFUNCTION("""COMPUTED_VALUE"""),0.0)</f>
        <v>0</v>
      </c>
      <c r="U258" s="213">
        <f>IFERROR(__xludf.DUMMYFUNCTION("""COMPUTED_VALUE"""),46992.0)</f>
        <v>46992</v>
      </c>
      <c r="V258" s="213" t="str">
        <f>IFERROR(__xludf.DUMMYFUNCTION("""COMPUTED_VALUE"""),"overall")</f>
        <v>overall</v>
      </c>
      <c r="W258" s="213" t="str">
        <f>IFERROR(__xludf.DUMMYFUNCTION("""COMPUTED_VALUE"""),"Rcs")</f>
        <v>Rcs</v>
      </c>
      <c r="X258" s="213" t="str">
        <f>IFERROR(__xludf.DUMMYFUNCTION("""COMPUTED_VALUE"""),"Non - Txn Base")</f>
        <v>Non - Txn Base</v>
      </c>
      <c r="Y258" s="213" t="str">
        <f>IFERROR(__xludf.DUMMYFUNCTION("""COMPUTED_VALUE"""),"20th Sat - Sunday 21st June 2026")</f>
        <v>20th Sat - Sunday 21st June 2026</v>
      </c>
      <c r="Z258" s="213" t="str">
        <f>IFERROR(__xludf.DUMMYFUNCTION("""COMPUTED_VALUE"""),"6a354101771804f4e03a402a")</f>
        <v>6a354101771804f4e03a402a</v>
      </c>
      <c r="AA258" s="213">
        <f>IFERROR(__xludf.DUMMYFUNCTION("""COMPUTED_VALUE"""),19.0)</f>
        <v>19</v>
      </c>
      <c r="AB258" s="213">
        <f>IFERROR(__xludf.DUMMYFUNCTION("""COMPUTED_VALUE"""),10.0)</f>
        <v>10</v>
      </c>
      <c r="AC258" s="213">
        <f>IFERROR(__xludf.DUMMYFUNCTION("""COMPUTED_VALUE"""),9.0)</f>
        <v>9</v>
      </c>
      <c r="AD258" s="213">
        <f>IFERROR(__xludf.DUMMYFUNCTION("""COMPUTED_VALUE"""),148609.0)</f>
        <v>148609</v>
      </c>
      <c r="AE258" s="213">
        <f>IFERROR(__xludf.DUMMYFUNCTION("""COMPUTED_VALUE"""),68989.0)</f>
        <v>68989</v>
      </c>
      <c r="AF258" s="213">
        <f>IFERROR(__xludf.DUMMYFUNCTION("""COMPUTED_VALUE"""),79620.0)</f>
        <v>79620</v>
      </c>
      <c r="AG258" s="208"/>
      <c r="AH258" s="208"/>
      <c r="AI258" s="208"/>
      <c r="AJ258" s="208"/>
      <c r="AK258" s="208"/>
    </row>
    <row r="259">
      <c r="A259" s="209">
        <f>IFERROR(__xludf.DUMMYFUNCTION("""COMPUTED_VALUE"""),46200.0)</f>
        <v>46200</v>
      </c>
      <c r="B259" s="210">
        <f>IFERROR(__xludf.DUMMYFUNCTION("""COMPUTED_VALUE"""),0.4166666666678793)</f>
        <v>0.4166666667</v>
      </c>
      <c r="C259" s="211" t="str">
        <f>IFERROR(__xludf.DUMMYFUNCTION("""COMPUTED_VALUE"""),"Sms")</f>
        <v>Sms</v>
      </c>
      <c r="D259" s="211" t="str">
        <f>IFERROR(__xludf.DUMMYFUNCTION("""COMPUTED_VALUE"""),"Promotional")</f>
        <v>Promotional</v>
      </c>
      <c r="E259" s="211" t="str">
        <f>IFERROR(__xludf.DUMMYFUNCTION("""COMPUTED_VALUE"""),"Aldo")</f>
        <v>Aldo</v>
      </c>
      <c r="F259" s="211" t="str">
        <f>IFERROR(__xludf.DUMMYFUNCTION("""COMPUTED_VALUE"""),"EOSS_JUNE-JULY 2026 - Offer 30% - 60% Off")</f>
        <v>EOSS_JUNE-JULY 2026 - Offer 30% - 60% Off</v>
      </c>
      <c r="G259" s="211" t="str">
        <f>IFERROR(__xludf.DUMMYFUNCTION("""COMPUTED_VALUE"""),"SMS on ATC 90 day")</f>
        <v>SMS on ATC 90 day</v>
      </c>
      <c r="H259" s="212" t="str">
        <f>IFERROR(__xludf.DUMMYFUNCTION("""COMPUTED_VALUE"""),"AL_ON_ATC_90D")</f>
        <v>AL_ON_ATC_90D</v>
      </c>
      <c r="I259" s="212" t="str">
        <f>IFERROR(__xludf.DUMMYFUNCTION("""COMPUTED_VALUE"""),"Customers who have added to cart at least 2 times in the last 90 days")</f>
        <v>Customers who have added to cart at least 2 times in the last 90 days</v>
      </c>
      <c r="J259" s="213">
        <f>IFERROR(__xludf.DUMMYFUNCTION("""COMPUTED_VALUE"""),3652.0)</f>
        <v>3652</v>
      </c>
      <c r="K259" s="213">
        <f>IFERROR(__xludf.DUMMYFUNCTION("""COMPUTED_VALUE"""),2424.0)</f>
        <v>2424</v>
      </c>
      <c r="L259" s="214">
        <f>IFERROR(__xludf.DUMMYFUNCTION("""COMPUTED_VALUE"""),0.6637)</f>
        <v>0.6637</v>
      </c>
      <c r="M259" s="213">
        <f>IFERROR(__xludf.DUMMYFUNCTION("""COMPUTED_VALUE"""),0.0)</f>
        <v>0</v>
      </c>
      <c r="N259" s="214">
        <f>IFERROR(__xludf.DUMMYFUNCTION("""COMPUTED_VALUE"""),0.0)</f>
        <v>0</v>
      </c>
      <c r="O259" s="213">
        <f>IFERROR(__xludf.DUMMYFUNCTION("""COMPUTED_VALUE"""),7.0)</f>
        <v>7</v>
      </c>
      <c r="P259" s="213">
        <f>IFERROR(__xludf.DUMMYFUNCTION("""COMPUTED_VALUE"""),0.0)</f>
        <v>0</v>
      </c>
      <c r="Q259" s="214">
        <f>IFERROR(__xludf.DUMMYFUNCTION("""COMPUTED_VALUE"""),0.0029)</f>
        <v>0.0029</v>
      </c>
      <c r="R259" s="214">
        <f>IFERROR(__xludf.DUMMYFUNCTION("""COMPUTED_VALUE"""),0.0)</f>
        <v>0</v>
      </c>
      <c r="S259" s="213">
        <f>IFERROR(__xludf.DUMMYFUNCTION("""COMPUTED_VALUE"""),4.0)</f>
        <v>4</v>
      </c>
      <c r="T259" s="213">
        <f>IFERROR(__xludf.DUMMYFUNCTION("""COMPUTED_VALUE"""),0.0)</f>
        <v>0</v>
      </c>
      <c r="U259" s="213">
        <f>IFERROR(__xludf.DUMMYFUNCTION("""COMPUTED_VALUE"""),24450.0)</f>
        <v>24450</v>
      </c>
      <c r="V259" s="213" t="str">
        <f>IFERROR(__xludf.DUMMYFUNCTION("""COMPUTED_VALUE"""),"online")</f>
        <v>online</v>
      </c>
      <c r="W259" s="213" t="str">
        <f>IFERROR(__xludf.DUMMYFUNCTION("""COMPUTED_VALUE"""),"Sms")</f>
        <v>Sms</v>
      </c>
      <c r="X259" s="213" t="str">
        <f>IFERROR(__xludf.DUMMYFUNCTION("""COMPUTED_VALUE"""),"Add to Cart")</f>
        <v>Add to Cart</v>
      </c>
      <c r="Y259" s="213" t="str">
        <f>IFERROR(__xludf.DUMMYFUNCTION("""COMPUTED_VALUE"""),"26th Sat - sunday 27th june 2026")</f>
        <v>26th Sat - sunday 27th june 2026</v>
      </c>
      <c r="Z259" s="213" t="str">
        <f>IFERROR(__xludf.DUMMYFUNCTION("""COMPUTED_VALUE"""),"6a3e6ac4e864227e18d7819c")</f>
        <v>6a3e6ac4e864227e18d7819c</v>
      </c>
      <c r="AA259" s="213">
        <f>IFERROR(__xludf.DUMMYFUNCTION("""COMPUTED_VALUE"""),15.0)</f>
        <v>15</v>
      </c>
      <c r="AB259" s="213">
        <f>IFERROR(__xludf.DUMMYFUNCTION("""COMPUTED_VALUE"""),15.0)</f>
        <v>15</v>
      </c>
      <c r="AC259" s="213"/>
      <c r="AD259" s="213">
        <f>IFERROR(__xludf.DUMMYFUNCTION("""COMPUTED_VALUE"""),86073.0)</f>
        <v>86073</v>
      </c>
      <c r="AE259" s="213">
        <f>IFERROR(__xludf.DUMMYFUNCTION("""COMPUTED_VALUE"""),86073.0)</f>
        <v>86073</v>
      </c>
      <c r="AF259" s="213"/>
      <c r="AG259" s="208"/>
      <c r="AH259" s="208"/>
      <c r="AI259" s="208"/>
      <c r="AJ259" s="208"/>
      <c r="AK259" s="208"/>
    </row>
    <row r="260">
      <c r="A260" s="209">
        <f>IFERROR(__xludf.DUMMYFUNCTION("""COMPUTED_VALUE"""),46200.0)</f>
        <v>46200</v>
      </c>
      <c r="B260" s="210">
        <f>IFERROR(__xludf.DUMMYFUNCTION("""COMPUTED_VALUE"""),0.4166666666678793)</f>
        <v>0.4166666667</v>
      </c>
      <c r="C260" s="211" t="str">
        <f>IFERROR(__xludf.DUMMYFUNCTION("""COMPUTED_VALUE"""),"Sms")</f>
        <v>Sms</v>
      </c>
      <c r="D260" s="211" t="str">
        <f>IFERROR(__xludf.DUMMYFUNCTION("""COMPUTED_VALUE"""),"Promotional")</f>
        <v>Promotional</v>
      </c>
      <c r="E260" s="211" t="str">
        <f>IFERROR(__xludf.DUMMYFUNCTION("""COMPUTED_VALUE"""),"Aldo")</f>
        <v>Aldo</v>
      </c>
      <c r="F260" s="211" t="str">
        <f>IFERROR(__xludf.DUMMYFUNCTION("""COMPUTED_VALUE"""),"EOSS_JUNE-JULY 2026 - Offer 30% - 60% Off ")</f>
        <v>EOSS_JUNE-JULY 2026 - Offer 30% - 60% Off </v>
      </c>
      <c r="G260" s="211" t="str">
        <f>IFERROR(__xludf.DUMMYFUNCTION("""COMPUTED_VALUE"""),"SMS on view item")</f>
        <v>SMS on view item</v>
      </c>
      <c r="H260" s="212" t="str">
        <f>IFERROR(__xludf.DUMMYFUNCTION("""COMPUTED_VALUE"""),"AL_ON_View_Item")</f>
        <v>AL_ON_View_Item</v>
      </c>
      <c r="I260" s="212" t="str">
        <f>IFERROR(__xludf.DUMMYFUNCTION("""COMPUTED_VALUE"""),"Customers who have added to wishlist at least 1 time OR viewed_item at least 3 times in the last 90 days")</f>
        <v>Customers who have added to wishlist at least 1 time OR viewed_item at least 3 times in the last 90 days</v>
      </c>
      <c r="J260" s="213">
        <f>IFERROR(__xludf.DUMMYFUNCTION("""COMPUTED_VALUE"""),444.0)</f>
        <v>444</v>
      </c>
      <c r="K260" s="213">
        <f>IFERROR(__xludf.DUMMYFUNCTION("""COMPUTED_VALUE"""),302.0)</f>
        <v>302</v>
      </c>
      <c r="L260" s="214">
        <f>IFERROR(__xludf.DUMMYFUNCTION("""COMPUTED_VALUE"""),0.6802)</f>
        <v>0.6802</v>
      </c>
      <c r="M260" s="213">
        <f>IFERROR(__xludf.DUMMYFUNCTION("""COMPUTED_VALUE"""),0.0)</f>
        <v>0</v>
      </c>
      <c r="N260" s="214">
        <f>IFERROR(__xludf.DUMMYFUNCTION("""COMPUTED_VALUE"""),0.0)</f>
        <v>0</v>
      </c>
      <c r="O260" s="213">
        <f>IFERROR(__xludf.DUMMYFUNCTION("""COMPUTED_VALUE"""),0.0)</f>
        <v>0</v>
      </c>
      <c r="P260" s="213">
        <f>IFERROR(__xludf.DUMMYFUNCTION("""COMPUTED_VALUE"""),0.0)</f>
        <v>0</v>
      </c>
      <c r="Q260" s="214">
        <f>IFERROR(__xludf.DUMMYFUNCTION("""COMPUTED_VALUE"""),0.0)</f>
        <v>0</v>
      </c>
      <c r="R260" s="214">
        <f>IFERROR(__xludf.DUMMYFUNCTION("""COMPUTED_VALUE"""),0.0)</f>
        <v>0</v>
      </c>
      <c r="S260" s="213">
        <f>IFERROR(__xludf.DUMMYFUNCTION("""COMPUTED_VALUE"""),0.0)</f>
        <v>0</v>
      </c>
      <c r="T260" s="213">
        <f>IFERROR(__xludf.DUMMYFUNCTION("""COMPUTED_VALUE"""),0.0)</f>
        <v>0</v>
      </c>
      <c r="U260" s="213">
        <f>IFERROR(__xludf.DUMMYFUNCTION("""COMPUTED_VALUE"""),0.0)</f>
        <v>0</v>
      </c>
      <c r="V260" s="213" t="str">
        <f>IFERROR(__xludf.DUMMYFUNCTION("""COMPUTED_VALUE"""),"online")</f>
        <v>online</v>
      </c>
      <c r="W260" s="213" t="str">
        <f>IFERROR(__xludf.DUMMYFUNCTION("""COMPUTED_VALUE"""),"Sms")</f>
        <v>Sms</v>
      </c>
      <c r="X260" s="213" t="str">
        <f>IFERROR(__xludf.DUMMYFUNCTION("""COMPUTED_VALUE"""),"View Item")</f>
        <v>View Item</v>
      </c>
      <c r="Y260" s="213" t="str">
        <f>IFERROR(__xludf.DUMMYFUNCTION("""COMPUTED_VALUE"""),"26th Sat - sunday 27th june 2026")</f>
        <v>26th Sat - sunday 27th june 2026</v>
      </c>
      <c r="Z260" s="213" t="str">
        <f>IFERROR(__xludf.DUMMYFUNCTION("""COMPUTED_VALUE"""),"6a3e6b09fbf76e957897d9d9")</f>
        <v>6a3e6b09fbf76e957897d9d9</v>
      </c>
      <c r="AA260" s="213">
        <f>IFERROR(__xludf.DUMMYFUNCTION("""COMPUTED_VALUE"""),0.0)</f>
        <v>0</v>
      </c>
      <c r="AB260" s="213">
        <f>IFERROR(__xludf.DUMMYFUNCTION("""COMPUTED_VALUE"""),0.0)</f>
        <v>0</v>
      </c>
      <c r="AC260" s="213"/>
      <c r="AD260" s="213">
        <f>IFERROR(__xludf.DUMMYFUNCTION("""COMPUTED_VALUE"""),0.0)</f>
        <v>0</v>
      </c>
      <c r="AE260" s="213">
        <f>IFERROR(__xludf.DUMMYFUNCTION("""COMPUTED_VALUE"""),0.0)</f>
        <v>0</v>
      </c>
      <c r="AF260" s="213"/>
      <c r="AG260" s="208"/>
      <c r="AH260" s="208"/>
      <c r="AI260" s="208"/>
      <c r="AJ260" s="208"/>
      <c r="AK260" s="208"/>
    </row>
    <row r="261">
      <c r="A261" s="209">
        <f>IFERROR(__xludf.DUMMYFUNCTION("""COMPUTED_VALUE"""),46200.0)</f>
        <v>46200</v>
      </c>
      <c r="B261" s="210">
        <f>IFERROR(__xludf.DUMMYFUNCTION("""COMPUTED_VALUE"""),0.4166666666678793)</f>
        <v>0.4166666667</v>
      </c>
      <c r="C261" s="211" t="str">
        <f>IFERROR(__xludf.DUMMYFUNCTION("""COMPUTED_VALUE"""),"Sms")</f>
        <v>Sms</v>
      </c>
      <c r="D261" s="211" t="str">
        <f>IFERROR(__xludf.DUMMYFUNCTION("""COMPUTED_VALUE"""),"Promotional")</f>
        <v>Promotional</v>
      </c>
      <c r="E261" s="211" t="str">
        <f>IFERROR(__xludf.DUMMYFUNCTION("""COMPUTED_VALUE"""),"Aldo")</f>
        <v>Aldo</v>
      </c>
      <c r="F261" s="211" t="str">
        <f>IFERROR(__xludf.DUMMYFUNCTION("""COMPUTED_VALUE"""),"EOSS_JUNE-JULY 2026 - Offer 30% - 60% Off ")</f>
        <v>EOSS_JUNE-JULY 2026 - Offer 30% - 60% Off </v>
      </c>
      <c r="G261" s="211" t="str">
        <f>IFERROR(__xludf.DUMMYFUNCTION("""COMPUTED_VALUE"""),"SMS ON OFF EVENT BUYERS")</f>
        <v>SMS ON OFF EVENT BUYERS</v>
      </c>
      <c r="H261" s="212" t="str">
        <f>IFERROR(__xludf.DUMMYFUNCTION("""COMPUTED_VALUE"""),"AL_ON_OFF_Event_Buyers_EOSS")</f>
        <v>AL_ON_OFF_Event_Buyers_EOSS</v>
      </c>
      <c r="I261" s="212" t="str">
        <f>IFERROR(__xludf.DUMMYFUNCTION("""COMPUTED_VALUE"""),"Customers who have purchased at least 1 time during the periods 30 April–4 May 2025, 20–29 June 2025, 19–22 July 2025, 25 November–5 December 2025, 12–19 December 2025, 25 December 2025–5 January 2026, or 30 April–4 May 2026. (EOSS, BOGO, Last year BF)")</f>
        <v>Customers who have purchased at least 1 time during the periods 30 April–4 May 2025, 20–29 June 2025, 19–22 July 2025, 25 November–5 December 2025, 12–19 December 2025, 25 December 2025–5 January 2026, or 30 April–4 May 2026. (EOSS, BOGO, Last year BF)</v>
      </c>
      <c r="J261" s="213">
        <f>IFERROR(__xludf.DUMMYFUNCTION("""COMPUTED_VALUE"""),60703.0)</f>
        <v>60703</v>
      </c>
      <c r="K261" s="213">
        <f>IFERROR(__xludf.DUMMYFUNCTION("""COMPUTED_VALUE"""),35565.0)</f>
        <v>35565</v>
      </c>
      <c r="L261" s="214">
        <f>IFERROR(__xludf.DUMMYFUNCTION("""COMPUTED_VALUE"""),0.5859)</f>
        <v>0.5859</v>
      </c>
      <c r="M261" s="213">
        <f>IFERROR(__xludf.DUMMYFUNCTION("""COMPUTED_VALUE"""),0.0)</f>
        <v>0</v>
      </c>
      <c r="N261" s="214">
        <f>IFERROR(__xludf.DUMMYFUNCTION("""COMPUTED_VALUE"""),0.0)</f>
        <v>0</v>
      </c>
      <c r="O261" s="213">
        <f>IFERROR(__xludf.DUMMYFUNCTION("""COMPUTED_VALUE"""),39.0)</f>
        <v>39</v>
      </c>
      <c r="P261" s="213">
        <f>IFERROR(__xludf.DUMMYFUNCTION("""COMPUTED_VALUE"""),0.0)</f>
        <v>0</v>
      </c>
      <c r="Q261" s="214">
        <f>IFERROR(__xludf.DUMMYFUNCTION("""COMPUTED_VALUE"""),0.0011)</f>
        <v>0.0011</v>
      </c>
      <c r="R261" s="214">
        <f>IFERROR(__xludf.DUMMYFUNCTION("""COMPUTED_VALUE"""),0.0)</f>
        <v>0</v>
      </c>
      <c r="S261" s="213">
        <f>IFERROR(__xludf.DUMMYFUNCTION("""COMPUTED_VALUE"""),4.0)</f>
        <v>4</v>
      </c>
      <c r="T261" s="213">
        <f>IFERROR(__xludf.DUMMYFUNCTION("""COMPUTED_VALUE"""),0.0)</f>
        <v>0</v>
      </c>
      <c r="U261" s="213">
        <f>IFERROR(__xludf.DUMMYFUNCTION("""COMPUTED_VALUE"""),35096.0)</f>
        <v>35096</v>
      </c>
      <c r="V261" s="213" t="str">
        <f>IFERROR(__xludf.DUMMYFUNCTION("""COMPUTED_VALUE"""),"overall")</f>
        <v>overall</v>
      </c>
      <c r="W261" s="213" t="str">
        <f>IFERROR(__xludf.DUMMYFUNCTION("""COMPUTED_VALUE"""),"Sms")</f>
        <v>Sms</v>
      </c>
      <c r="X261" s="213" t="str">
        <f>IFERROR(__xludf.DUMMYFUNCTION("""COMPUTED_VALUE"""),"Event Buyers")</f>
        <v>Event Buyers</v>
      </c>
      <c r="Y261" s="213" t="str">
        <f>IFERROR(__xludf.DUMMYFUNCTION("""COMPUTED_VALUE"""),"26th Sat - sunday 27th june 2026")</f>
        <v>26th Sat - sunday 27th june 2026</v>
      </c>
      <c r="Z261" s="213" t="str">
        <f>IFERROR(__xludf.DUMMYFUNCTION("""COMPUTED_VALUE"""),"6a3e6b702cd407952b24e1d0")</f>
        <v>6a3e6b702cd407952b24e1d0</v>
      </c>
      <c r="AA261" s="213">
        <f>IFERROR(__xludf.DUMMYFUNCTION("""COMPUTED_VALUE"""),64.0)</f>
        <v>64</v>
      </c>
      <c r="AB261" s="213">
        <f>IFERROR(__xludf.DUMMYFUNCTION("""COMPUTED_VALUE"""),13.0)</f>
        <v>13</v>
      </c>
      <c r="AC261" s="213">
        <f>IFERROR(__xludf.DUMMYFUNCTION("""COMPUTED_VALUE"""),51.0)</f>
        <v>51</v>
      </c>
      <c r="AD261" s="213">
        <f>IFERROR(__xludf.DUMMYFUNCTION("""COMPUTED_VALUE"""),555076.0)</f>
        <v>555076</v>
      </c>
      <c r="AE261" s="213">
        <f>IFERROR(__xludf.DUMMYFUNCTION("""COMPUTED_VALUE"""),103562.0)</f>
        <v>103562</v>
      </c>
      <c r="AF261" s="213">
        <f>IFERROR(__xludf.DUMMYFUNCTION("""COMPUTED_VALUE"""),451514.0)</f>
        <v>451514</v>
      </c>
      <c r="AG261" s="208"/>
      <c r="AH261" s="208"/>
      <c r="AI261" s="208"/>
      <c r="AJ261" s="208"/>
      <c r="AK261" s="208"/>
    </row>
    <row r="262">
      <c r="A262" s="209">
        <f>IFERROR(__xludf.DUMMYFUNCTION("""COMPUTED_VALUE"""),46200.0)</f>
        <v>46200</v>
      </c>
      <c r="B262" s="210">
        <f>IFERROR(__xludf.DUMMYFUNCTION("""COMPUTED_VALUE"""),0.4166666666678793)</f>
        <v>0.4166666667</v>
      </c>
      <c r="C262" s="211" t="str">
        <f>IFERROR(__xludf.DUMMYFUNCTION("""COMPUTED_VALUE"""),"Sms")</f>
        <v>Sms</v>
      </c>
      <c r="D262" s="211" t="str">
        <f>IFERROR(__xludf.DUMMYFUNCTION("""COMPUTED_VALUE"""),"Promotional")</f>
        <v>Promotional</v>
      </c>
      <c r="E262" s="211" t="str">
        <f>IFERROR(__xludf.DUMMYFUNCTION("""COMPUTED_VALUE"""),"Aldo")</f>
        <v>Aldo</v>
      </c>
      <c r="F262" s="211" t="str">
        <f>IFERROR(__xludf.DUMMYFUNCTION("""COMPUTED_VALUE"""),"EOSS_JUNE-JULY 2026 - Offer 30% - 60% Off")</f>
        <v>EOSS_JUNE-JULY 2026 - Offer 30% - 60% Off</v>
      </c>
      <c r="G262" s="211" t="str">
        <f>IFERROR(__xludf.DUMMYFUNCTION("""COMPUTED_VALUE"""),"SMS JUNE DISC PERC")</f>
        <v>SMS JUNE DISC PERC</v>
      </c>
      <c r="H262" s="212" t="str">
        <f>IFERROR(__xludf.DUMMYFUNCTION("""COMPUTED_VALUE"""),"AL_ON_OFF_DISC_PERC_30+")</f>
        <v>AL_ON_OFF_DISC_PERC_30+</v>
      </c>
      <c r="I262" s="212" t="str">
        <f>IFERROR(__xludf.DUMMYFUNCTION("""COMPUTED_VALUE"""),"Customers who have purchased at least 1 time with discount percentage exceeding 30% in the last 365 days")</f>
        <v>Customers who have purchased at least 1 time with discount percentage exceeding 30% in the last 365 days</v>
      </c>
      <c r="J262" s="213">
        <f>IFERROR(__xludf.DUMMYFUNCTION("""COMPUTED_VALUE"""),12461.0)</f>
        <v>12461</v>
      </c>
      <c r="K262" s="213">
        <f>IFERROR(__xludf.DUMMYFUNCTION("""COMPUTED_VALUE"""),7199.0)</f>
        <v>7199</v>
      </c>
      <c r="L262" s="214">
        <f>IFERROR(__xludf.DUMMYFUNCTION("""COMPUTED_VALUE"""),0.5777)</f>
        <v>0.5777</v>
      </c>
      <c r="M262" s="213">
        <f>IFERROR(__xludf.DUMMYFUNCTION("""COMPUTED_VALUE"""),0.0)</f>
        <v>0</v>
      </c>
      <c r="N262" s="214">
        <f>IFERROR(__xludf.DUMMYFUNCTION("""COMPUTED_VALUE"""),0.0)</f>
        <v>0</v>
      </c>
      <c r="O262" s="213">
        <f>IFERROR(__xludf.DUMMYFUNCTION("""COMPUTED_VALUE"""),15.0)</f>
        <v>15</v>
      </c>
      <c r="P262" s="213">
        <f>IFERROR(__xludf.DUMMYFUNCTION("""COMPUTED_VALUE"""),0.0)</f>
        <v>0</v>
      </c>
      <c r="Q262" s="214">
        <f>IFERROR(__xludf.DUMMYFUNCTION("""COMPUTED_VALUE"""),0.0021)</f>
        <v>0.0021</v>
      </c>
      <c r="R262" s="214">
        <f>IFERROR(__xludf.DUMMYFUNCTION("""COMPUTED_VALUE"""),0.0)</f>
        <v>0</v>
      </c>
      <c r="S262" s="213">
        <f>IFERROR(__xludf.DUMMYFUNCTION("""COMPUTED_VALUE"""),6.0)</f>
        <v>6</v>
      </c>
      <c r="T262" s="213">
        <f>IFERROR(__xludf.DUMMYFUNCTION("""COMPUTED_VALUE"""),0.0)</f>
        <v>0</v>
      </c>
      <c r="U262" s="213">
        <f>IFERROR(__xludf.DUMMYFUNCTION("""COMPUTED_VALUE"""),38247.0)</f>
        <v>38247</v>
      </c>
      <c r="V262" s="213" t="str">
        <f>IFERROR(__xludf.DUMMYFUNCTION("""COMPUTED_VALUE"""),"overall")</f>
        <v>overall</v>
      </c>
      <c r="W262" s="213" t="str">
        <f>IFERROR(__xludf.DUMMYFUNCTION("""COMPUTED_VALUE"""),"Sms")</f>
        <v>Sms</v>
      </c>
      <c r="X262" s="213" t="str">
        <f>IFERROR(__xludf.DUMMYFUNCTION("""COMPUTED_VALUE"""),"Discount Buyers - 30% above")</f>
        <v>Discount Buyers - 30% above</v>
      </c>
      <c r="Y262" s="213" t="str">
        <f>IFERROR(__xludf.DUMMYFUNCTION("""COMPUTED_VALUE"""),"26th Sat - sunday 27th june 2026")</f>
        <v>26th Sat - sunday 27th june 2026</v>
      </c>
      <c r="Z262" s="213" t="str">
        <f>IFERROR(__xludf.DUMMYFUNCTION("""COMPUTED_VALUE"""),"6a3e6ba6b97288c303a2dd07")</f>
        <v>6a3e6ba6b97288c303a2dd07</v>
      </c>
      <c r="AA262" s="213">
        <f>IFERROR(__xludf.DUMMYFUNCTION("""COMPUTED_VALUE"""),15.0)</f>
        <v>15</v>
      </c>
      <c r="AB262" s="213">
        <f>IFERROR(__xludf.DUMMYFUNCTION("""COMPUTED_VALUE"""),11.0)</f>
        <v>11</v>
      </c>
      <c r="AC262" s="213">
        <f>IFERROR(__xludf.DUMMYFUNCTION("""COMPUTED_VALUE"""),4.0)</f>
        <v>4</v>
      </c>
      <c r="AD262" s="213">
        <f>IFERROR(__xludf.DUMMYFUNCTION("""COMPUTED_VALUE"""),113406.0)</f>
        <v>113406</v>
      </c>
      <c r="AE262" s="213">
        <f>IFERROR(__xludf.DUMMYFUNCTION("""COMPUTED_VALUE"""),74656.0)</f>
        <v>74656</v>
      </c>
      <c r="AF262" s="213">
        <f>IFERROR(__xludf.DUMMYFUNCTION("""COMPUTED_VALUE"""),38750.0)</f>
        <v>38750</v>
      </c>
      <c r="AG262" s="208"/>
      <c r="AH262" s="208"/>
      <c r="AI262" s="208"/>
      <c r="AJ262" s="208"/>
      <c r="AK262" s="208"/>
    </row>
    <row r="263">
      <c r="A263" s="209">
        <f>IFERROR(__xludf.DUMMYFUNCTION("""COMPUTED_VALUE"""),46200.0)</f>
        <v>46200</v>
      </c>
      <c r="B263" s="210">
        <f>IFERROR(__xludf.DUMMYFUNCTION("""COMPUTED_VALUE"""),0.4166666666678793)</f>
        <v>0.4166666667</v>
      </c>
      <c r="C263" s="211" t="str">
        <f>IFERROR(__xludf.DUMMYFUNCTION("""COMPUTED_VALUE"""),"Sms")</f>
        <v>Sms</v>
      </c>
      <c r="D263" s="211" t="str">
        <f>IFERROR(__xludf.DUMMYFUNCTION("""COMPUTED_VALUE"""),"Promotional")</f>
        <v>Promotional</v>
      </c>
      <c r="E263" s="211" t="str">
        <f>IFERROR(__xludf.DUMMYFUNCTION("""COMPUTED_VALUE"""),"Aldo")</f>
        <v>Aldo</v>
      </c>
      <c r="F263" s="211" t="str">
        <f>IFERROR(__xludf.DUMMYFUNCTION("""COMPUTED_VALUE"""),"EOSS_JUNE-JULY 2026 - 30% - 60% Off ")</f>
        <v>EOSS_JUNE-JULY 2026 - 30% - 60% Off </v>
      </c>
      <c r="G263" s="211" t="str">
        <f>IFERROR(__xludf.DUMMYFUNCTION("""COMPUTED_VALUE"""),"SMS ON OFF REPEAT")</f>
        <v>SMS ON OFF REPEAT</v>
      </c>
      <c r="H263" s="212" t="str">
        <f>IFERROR(__xludf.DUMMYFUNCTION("""COMPUTED_VALUE"""),"AL_ON_OFF_Repeat_1Year")</f>
        <v>AL_ON_OFF_Repeat_1Year</v>
      </c>
      <c r="I263" s="212" t="str">
        <f>IFERROR(__xludf.DUMMYFUNCTION("""COMPUTED_VALUE"""),"Customers who have purchased at least 2 times in the last 365 days")</f>
        <v>Customers who have purchased at least 2 times in the last 365 days</v>
      </c>
      <c r="J263" s="213">
        <f>IFERROR(__xludf.DUMMYFUNCTION("""COMPUTED_VALUE"""),4529.0)</f>
        <v>4529</v>
      </c>
      <c r="K263" s="213">
        <f>IFERROR(__xludf.DUMMYFUNCTION("""COMPUTED_VALUE"""),2640.0)</f>
        <v>2640</v>
      </c>
      <c r="L263" s="214">
        <f>IFERROR(__xludf.DUMMYFUNCTION("""COMPUTED_VALUE"""),0.5829)</f>
        <v>0.5829</v>
      </c>
      <c r="M263" s="213">
        <f>IFERROR(__xludf.DUMMYFUNCTION("""COMPUTED_VALUE"""),0.0)</f>
        <v>0</v>
      </c>
      <c r="N263" s="214">
        <f>IFERROR(__xludf.DUMMYFUNCTION("""COMPUTED_VALUE"""),0.0)</f>
        <v>0</v>
      </c>
      <c r="O263" s="213">
        <f>IFERROR(__xludf.DUMMYFUNCTION("""COMPUTED_VALUE"""),5.0)</f>
        <v>5</v>
      </c>
      <c r="P263" s="213">
        <f>IFERROR(__xludf.DUMMYFUNCTION("""COMPUTED_VALUE"""),0.0)</f>
        <v>0</v>
      </c>
      <c r="Q263" s="214">
        <f>IFERROR(__xludf.DUMMYFUNCTION("""COMPUTED_VALUE"""),0.0019)</f>
        <v>0.0019</v>
      </c>
      <c r="R263" s="214">
        <f>IFERROR(__xludf.DUMMYFUNCTION("""COMPUTED_VALUE"""),0.0)</f>
        <v>0</v>
      </c>
      <c r="S263" s="213">
        <f>IFERROR(__xludf.DUMMYFUNCTION("""COMPUTED_VALUE"""),0.0)</f>
        <v>0</v>
      </c>
      <c r="T263" s="213">
        <f>IFERROR(__xludf.DUMMYFUNCTION("""COMPUTED_VALUE"""),0.0)</f>
        <v>0</v>
      </c>
      <c r="U263" s="213">
        <f>IFERROR(__xludf.DUMMYFUNCTION("""COMPUTED_VALUE"""),0.0)</f>
        <v>0</v>
      </c>
      <c r="V263" s="213" t="str">
        <f>IFERROR(__xludf.DUMMYFUNCTION("""COMPUTED_VALUE"""),"overall")</f>
        <v>overall</v>
      </c>
      <c r="W263" s="213" t="str">
        <f>IFERROR(__xludf.DUMMYFUNCTION("""COMPUTED_VALUE"""),"Sms")</f>
        <v>Sms</v>
      </c>
      <c r="X263" s="213" t="str">
        <f>IFERROR(__xludf.DUMMYFUNCTION("""COMPUTED_VALUE"""),"Repeat")</f>
        <v>Repeat</v>
      </c>
      <c r="Y263" s="213" t="str">
        <f>IFERROR(__xludf.DUMMYFUNCTION("""COMPUTED_VALUE"""),"26th Sat - sunday 27th june 2026")</f>
        <v>26th Sat - sunday 27th june 2026</v>
      </c>
      <c r="Z263" s="213" t="str">
        <f>IFERROR(__xludf.DUMMYFUNCTION("""COMPUTED_VALUE"""),"6a3e6bf5fdf43d5adeab6c6b")</f>
        <v>6a3e6bf5fdf43d5adeab6c6b</v>
      </c>
      <c r="AA263" s="213">
        <f>IFERROR(__xludf.DUMMYFUNCTION("""COMPUTED_VALUE"""),6.0)</f>
        <v>6</v>
      </c>
      <c r="AB263" s="213">
        <f>IFERROR(__xludf.DUMMYFUNCTION("""COMPUTED_VALUE"""),1.0)</f>
        <v>1</v>
      </c>
      <c r="AC263" s="213">
        <f>IFERROR(__xludf.DUMMYFUNCTION("""COMPUTED_VALUE"""),5.0)</f>
        <v>5</v>
      </c>
      <c r="AD263" s="213">
        <f>IFERROR(__xludf.DUMMYFUNCTION("""COMPUTED_VALUE"""),57028.0)</f>
        <v>57028</v>
      </c>
      <c r="AE263" s="213">
        <f>IFERROR(__xludf.DUMMYFUNCTION("""COMPUTED_VALUE"""),5600.0)</f>
        <v>5600</v>
      </c>
      <c r="AF263" s="213">
        <f>IFERROR(__xludf.DUMMYFUNCTION("""COMPUTED_VALUE"""),51428.0)</f>
        <v>51428</v>
      </c>
      <c r="AG263" s="208"/>
      <c r="AH263" s="208"/>
      <c r="AI263" s="208"/>
      <c r="AJ263" s="208"/>
      <c r="AK263" s="208"/>
    </row>
    <row r="264">
      <c r="A264" s="209">
        <f>IFERROR(__xludf.DUMMYFUNCTION("""COMPUTED_VALUE"""),46200.0)</f>
        <v>46200</v>
      </c>
      <c r="B264" s="210">
        <f>IFERROR(__xludf.DUMMYFUNCTION("""COMPUTED_VALUE"""),0.4166666666678793)</f>
        <v>0.4166666667</v>
      </c>
      <c r="C264" s="211" t="str">
        <f>IFERROR(__xludf.DUMMYFUNCTION("""COMPUTED_VALUE"""),"Sms")</f>
        <v>Sms</v>
      </c>
      <c r="D264" s="211" t="str">
        <f>IFERROR(__xludf.DUMMYFUNCTION("""COMPUTED_VALUE"""),"Promotional")</f>
        <v>Promotional</v>
      </c>
      <c r="E264" s="211" t="str">
        <f>IFERROR(__xludf.DUMMYFUNCTION("""COMPUTED_VALUE"""),"Aldo")</f>
        <v>Aldo</v>
      </c>
      <c r="F264" s="211" t="str">
        <f>IFERROR(__xludf.DUMMYFUNCTION("""COMPUTED_VALUE"""),"EOSS_JUNE-JULY 2026 - 30% - 60% Off")</f>
        <v>EOSS_JUNE-JULY 2026 - 30% - 60% Off</v>
      </c>
      <c r="G264" s="211" t="str">
        <f>IFERROR(__xludf.DUMMYFUNCTION("""COMPUTED_VALUE"""),"SMS ON OFF DIC")</f>
        <v>SMS ON OFF DIC</v>
      </c>
      <c r="H264" s="212" t="str">
        <f>IFERROR(__xludf.DUMMYFUNCTION("""COMPUTED_VALUE"""),"AL_ON_OFF_DISC_RPT")</f>
        <v>AL_ON_OFF_DISC_RPT</v>
      </c>
      <c r="I264" s="212" t="str">
        <f>IFERROR(__xludf.DUMMYFUNCTION("""COMPUTED_VALUE"""),"Customers who have purchased at least 2 times with discount in the last 365 days")</f>
        <v>Customers who have purchased at least 2 times with discount in the last 365 days</v>
      </c>
      <c r="J264" s="213">
        <f>IFERROR(__xludf.DUMMYFUNCTION("""COMPUTED_VALUE"""),7498.0)</f>
        <v>7498</v>
      </c>
      <c r="K264" s="213">
        <f>IFERROR(__xludf.DUMMYFUNCTION("""COMPUTED_VALUE"""),4474.0)</f>
        <v>4474</v>
      </c>
      <c r="L264" s="214">
        <f>IFERROR(__xludf.DUMMYFUNCTION("""COMPUTED_VALUE"""),0.5967)</f>
        <v>0.5967</v>
      </c>
      <c r="M264" s="213">
        <f>IFERROR(__xludf.DUMMYFUNCTION("""COMPUTED_VALUE"""),0.0)</f>
        <v>0</v>
      </c>
      <c r="N264" s="214">
        <f>IFERROR(__xludf.DUMMYFUNCTION("""COMPUTED_VALUE"""),0.0)</f>
        <v>0</v>
      </c>
      <c r="O264" s="213">
        <f>IFERROR(__xludf.DUMMYFUNCTION("""COMPUTED_VALUE"""),6.0)</f>
        <v>6</v>
      </c>
      <c r="P264" s="213">
        <f>IFERROR(__xludf.DUMMYFUNCTION("""COMPUTED_VALUE"""),0.0)</f>
        <v>0</v>
      </c>
      <c r="Q264" s="214">
        <f>IFERROR(__xludf.DUMMYFUNCTION("""COMPUTED_VALUE"""),0.0013)</f>
        <v>0.0013</v>
      </c>
      <c r="R264" s="214">
        <f>IFERROR(__xludf.DUMMYFUNCTION("""COMPUTED_VALUE"""),0.0)</f>
        <v>0</v>
      </c>
      <c r="S264" s="213">
        <f>IFERROR(__xludf.DUMMYFUNCTION("""COMPUTED_VALUE"""),0.0)</f>
        <v>0</v>
      </c>
      <c r="T264" s="213">
        <f>IFERROR(__xludf.DUMMYFUNCTION("""COMPUTED_VALUE"""),0.0)</f>
        <v>0</v>
      </c>
      <c r="U264" s="213">
        <f>IFERROR(__xludf.DUMMYFUNCTION("""COMPUTED_VALUE"""),0.0)</f>
        <v>0</v>
      </c>
      <c r="V264" s="213" t="str">
        <f>IFERROR(__xludf.DUMMYFUNCTION("""COMPUTED_VALUE"""),"overall")</f>
        <v>overall</v>
      </c>
      <c r="W264" s="213" t="str">
        <f>IFERROR(__xludf.DUMMYFUNCTION("""COMPUTED_VALUE"""),"Sms")</f>
        <v>Sms</v>
      </c>
      <c r="X264" s="213" t="str">
        <f>IFERROR(__xludf.DUMMYFUNCTION("""COMPUTED_VALUE"""),"Discount Repeat Buyers")</f>
        <v>Discount Repeat Buyers</v>
      </c>
      <c r="Y264" s="213" t="str">
        <f>IFERROR(__xludf.DUMMYFUNCTION("""COMPUTED_VALUE"""),"26th Sat - sunday 27th june 2026")</f>
        <v>26th Sat - sunday 27th june 2026</v>
      </c>
      <c r="Z264" s="213" t="str">
        <f>IFERROR(__xludf.DUMMYFUNCTION("""COMPUTED_VALUE"""),"6a3e6c5284a03a7ebb253f58")</f>
        <v>6a3e6c5284a03a7ebb253f58</v>
      </c>
      <c r="AA264" s="213">
        <f>IFERROR(__xludf.DUMMYFUNCTION("""COMPUTED_VALUE"""),16.0)</f>
        <v>16</v>
      </c>
      <c r="AB264" s="213">
        <f>IFERROR(__xludf.DUMMYFUNCTION("""COMPUTED_VALUE"""),0.0)</f>
        <v>0</v>
      </c>
      <c r="AC264" s="213">
        <f>IFERROR(__xludf.DUMMYFUNCTION("""COMPUTED_VALUE"""),16.0)</f>
        <v>16</v>
      </c>
      <c r="AD264" s="213">
        <f>IFERROR(__xludf.DUMMYFUNCTION("""COMPUTED_VALUE"""),170105.0)</f>
        <v>170105</v>
      </c>
      <c r="AE264" s="213">
        <f>IFERROR(__xludf.DUMMYFUNCTION("""COMPUTED_VALUE"""),0.0)</f>
        <v>0</v>
      </c>
      <c r="AF264" s="213">
        <f>IFERROR(__xludf.DUMMYFUNCTION("""COMPUTED_VALUE"""),170105.0)</f>
        <v>170105</v>
      </c>
      <c r="AG264" s="208"/>
      <c r="AH264" s="208"/>
      <c r="AI264" s="208"/>
      <c r="AJ264" s="208"/>
      <c r="AK264" s="208"/>
    </row>
    <row r="265">
      <c r="A265" s="209">
        <f>IFERROR(__xludf.DUMMYFUNCTION("""COMPUTED_VALUE"""),46200.0)</f>
        <v>46200</v>
      </c>
      <c r="B265" s="210">
        <f>IFERROR(__xludf.DUMMYFUNCTION("""COMPUTED_VALUE"""),0.4166666666678793)</f>
        <v>0.4166666667</v>
      </c>
      <c r="C265" s="211" t="str">
        <f>IFERROR(__xludf.DUMMYFUNCTION("""COMPUTED_VALUE"""),"Sms")</f>
        <v>Sms</v>
      </c>
      <c r="D265" s="211" t="str">
        <f>IFERROR(__xludf.DUMMYFUNCTION("""COMPUTED_VALUE"""),"Promotional")</f>
        <v>Promotional</v>
      </c>
      <c r="E265" s="211" t="str">
        <f>IFERROR(__xludf.DUMMYFUNCTION("""COMPUTED_VALUE"""),"Aldo")</f>
        <v>Aldo</v>
      </c>
      <c r="F265" s="211" t="str">
        <f>IFERROR(__xludf.DUMMYFUNCTION("""COMPUTED_VALUE"""),"EOSS_JUNE-JULY 2026 - 30% - 60% Off")</f>
        <v>EOSS_JUNE-JULY 2026 - 30% - 60% Off</v>
      </c>
      <c r="G265" s="211" t="str">
        <f>IFERROR(__xludf.DUMMYFUNCTION("""COMPUTED_VALUE"""),"ON OFF DORMANT SMS")</f>
        <v>ON OFF DORMANT SMS</v>
      </c>
      <c r="H265" s="212" t="str">
        <f>IFERROR(__xludf.DUMMYFUNCTION("""COMPUTED_VALUE"""),"AL_ON_OFF_Dormant_EOSS")</f>
        <v>AL_ON_OFF_Dormant_EOSS</v>
      </c>
      <c r="I265" s="212" t="str">
        <f>IFERROR(__xludf.DUMMYFUNCTION("""COMPUTED_VALUE"""),"Customers who have purchased at least 1 time in the last 365 days")</f>
        <v>Customers who have purchased at least 1 time in the last 365 days</v>
      </c>
      <c r="J265" s="213">
        <f>IFERROR(__xludf.DUMMYFUNCTION("""COMPUTED_VALUE"""),52090.0)</f>
        <v>52090</v>
      </c>
      <c r="K265" s="213">
        <f>IFERROR(__xludf.DUMMYFUNCTION("""COMPUTED_VALUE"""),30873.0)</f>
        <v>30873</v>
      </c>
      <c r="L265" s="214">
        <f>IFERROR(__xludf.DUMMYFUNCTION("""COMPUTED_VALUE"""),0.5927)</f>
        <v>0.5927</v>
      </c>
      <c r="M265" s="213">
        <f>IFERROR(__xludf.DUMMYFUNCTION("""COMPUTED_VALUE"""),0.0)</f>
        <v>0</v>
      </c>
      <c r="N265" s="214">
        <f>IFERROR(__xludf.DUMMYFUNCTION("""COMPUTED_VALUE"""),0.0)</f>
        <v>0</v>
      </c>
      <c r="O265" s="213">
        <f>IFERROR(__xludf.DUMMYFUNCTION("""COMPUTED_VALUE"""),25.0)</f>
        <v>25</v>
      </c>
      <c r="P265" s="213">
        <f>IFERROR(__xludf.DUMMYFUNCTION("""COMPUTED_VALUE"""),0.0)</f>
        <v>0</v>
      </c>
      <c r="Q265" s="214">
        <f>IFERROR(__xludf.DUMMYFUNCTION("""COMPUTED_VALUE"""),8.0E-4)</f>
        <v>0.0008</v>
      </c>
      <c r="R265" s="214">
        <f>IFERROR(__xludf.DUMMYFUNCTION("""COMPUTED_VALUE"""),0.0)</f>
        <v>0</v>
      </c>
      <c r="S265" s="213">
        <f>IFERROR(__xludf.DUMMYFUNCTION("""COMPUTED_VALUE"""),0.0)</f>
        <v>0</v>
      </c>
      <c r="T265" s="213">
        <f>IFERROR(__xludf.DUMMYFUNCTION("""COMPUTED_VALUE"""),0.0)</f>
        <v>0</v>
      </c>
      <c r="U265" s="213">
        <f>IFERROR(__xludf.DUMMYFUNCTION("""COMPUTED_VALUE"""),0.0)</f>
        <v>0</v>
      </c>
      <c r="V265" s="213" t="str">
        <f>IFERROR(__xludf.DUMMYFUNCTION("""COMPUTED_VALUE"""),"overall")</f>
        <v>overall</v>
      </c>
      <c r="W265" s="213" t="str">
        <f>IFERROR(__xludf.DUMMYFUNCTION("""COMPUTED_VALUE"""),"Sms")</f>
        <v>Sms</v>
      </c>
      <c r="X265" s="213" t="str">
        <f>IFERROR(__xludf.DUMMYFUNCTION("""COMPUTED_VALUE"""),"Dormant")</f>
        <v>Dormant</v>
      </c>
      <c r="Y265" s="213" t="str">
        <f>IFERROR(__xludf.DUMMYFUNCTION("""COMPUTED_VALUE"""),"26th Sat - sunday 27th june 2026")</f>
        <v>26th Sat - sunday 27th june 2026</v>
      </c>
      <c r="Z265" s="213" t="str">
        <f>IFERROR(__xludf.DUMMYFUNCTION("""COMPUTED_VALUE"""),"6a3e6d252cd407952b24e1fa")</f>
        <v>6a3e6d252cd407952b24e1fa</v>
      </c>
      <c r="AA265" s="213">
        <f>IFERROR(__xludf.DUMMYFUNCTION("""COMPUTED_VALUE"""),46.0)</f>
        <v>46</v>
      </c>
      <c r="AB265" s="213">
        <f>IFERROR(__xludf.DUMMYFUNCTION("""COMPUTED_VALUE"""),2.0)</f>
        <v>2</v>
      </c>
      <c r="AC265" s="213">
        <f>IFERROR(__xludf.DUMMYFUNCTION("""COMPUTED_VALUE"""),44.0)</f>
        <v>44</v>
      </c>
      <c r="AD265" s="213">
        <f>IFERROR(__xludf.DUMMYFUNCTION("""COMPUTED_VALUE"""),420409.0)</f>
        <v>420409</v>
      </c>
      <c r="AE265" s="213">
        <f>IFERROR(__xludf.DUMMYFUNCTION("""COMPUTED_VALUE"""),12983.0)</f>
        <v>12983</v>
      </c>
      <c r="AF265" s="213">
        <f>IFERROR(__xludf.DUMMYFUNCTION("""COMPUTED_VALUE"""),407426.0)</f>
        <v>407426</v>
      </c>
      <c r="AG265" s="208"/>
      <c r="AH265" s="208"/>
      <c r="AI265" s="208"/>
      <c r="AJ265" s="208"/>
      <c r="AK265" s="208"/>
    </row>
    <row r="266">
      <c r="A266" s="209">
        <f>IFERROR(__xludf.DUMMYFUNCTION("""COMPUTED_VALUE"""),46200.0)</f>
        <v>46200</v>
      </c>
      <c r="B266" s="210">
        <f>IFERROR(__xludf.DUMMYFUNCTION("""COMPUTED_VALUE"""),0.4166666666678793)</f>
        <v>0.4166666667</v>
      </c>
      <c r="C266" s="211" t="str">
        <f>IFERROR(__xludf.DUMMYFUNCTION("""COMPUTED_VALUE"""),"Sms")</f>
        <v>Sms</v>
      </c>
      <c r="D266" s="211" t="str">
        <f>IFERROR(__xludf.DUMMYFUNCTION("""COMPUTED_VALUE"""),"Promotional")</f>
        <v>Promotional</v>
      </c>
      <c r="E266" s="211" t="str">
        <f>IFERROR(__xludf.DUMMYFUNCTION("""COMPUTED_VALUE"""),"Aldo")</f>
        <v>Aldo</v>
      </c>
      <c r="F266" s="211" t="str">
        <f>IFERROR(__xludf.DUMMYFUNCTION("""COMPUTED_VALUE"""),"EOSS_JUNE-JULY 2026 - 30% - 60% Off")</f>
        <v>EOSS_JUNE-JULY 2026 - 30% - 60% Off</v>
      </c>
      <c r="G266" s="211" t="str">
        <f>IFERROR(__xludf.DUMMYFUNCTION("""COMPUTED_VALUE"""),"CHURNED RPT SMS")</f>
        <v>CHURNED RPT SMS</v>
      </c>
      <c r="H266" s="212" t="str">
        <f>IFERROR(__xludf.DUMMYFUNCTION("""COMPUTED_VALUE"""),"AL_ON_OFF_Churned_Rpt_EOSS")</f>
        <v>AL_ON_OFF_Churned_Rpt_EOSS</v>
      </c>
      <c r="I266" s="212" t="str">
        <f>IFERROR(__xludf.DUMMYFUNCTION("""COMPUTED_VALUE"""),"Customers who have purchased at least 2 times in the last 1095 days")</f>
        <v>Customers who have purchased at least 2 times in the last 1095 days</v>
      </c>
      <c r="J266" s="213">
        <f>IFERROR(__xludf.DUMMYFUNCTION("""COMPUTED_VALUE"""),33093.0)</f>
        <v>33093</v>
      </c>
      <c r="K266" s="213">
        <f>IFERROR(__xludf.DUMMYFUNCTION("""COMPUTED_VALUE"""),18446.0)</f>
        <v>18446</v>
      </c>
      <c r="L266" s="214">
        <f>IFERROR(__xludf.DUMMYFUNCTION("""COMPUTED_VALUE"""),0.5574)</f>
        <v>0.5574</v>
      </c>
      <c r="M266" s="213">
        <f>IFERROR(__xludf.DUMMYFUNCTION("""COMPUTED_VALUE"""),0.0)</f>
        <v>0</v>
      </c>
      <c r="N266" s="214">
        <f>IFERROR(__xludf.DUMMYFUNCTION("""COMPUTED_VALUE"""),0.0)</f>
        <v>0</v>
      </c>
      <c r="O266" s="213">
        <f>IFERROR(__xludf.DUMMYFUNCTION("""COMPUTED_VALUE"""),26.0)</f>
        <v>26</v>
      </c>
      <c r="P266" s="213">
        <f>IFERROR(__xludf.DUMMYFUNCTION("""COMPUTED_VALUE"""),0.0)</f>
        <v>0</v>
      </c>
      <c r="Q266" s="214">
        <f>IFERROR(__xludf.DUMMYFUNCTION("""COMPUTED_VALUE"""),0.0014)</f>
        <v>0.0014</v>
      </c>
      <c r="R266" s="214">
        <f>IFERROR(__xludf.DUMMYFUNCTION("""COMPUTED_VALUE"""),0.0)</f>
        <v>0</v>
      </c>
      <c r="S266" s="213">
        <f>IFERROR(__xludf.DUMMYFUNCTION("""COMPUTED_VALUE"""),0.0)</f>
        <v>0</v>
      </c>
      <c r="T266" s="213">
        <f>IFERROR(__xludf.DUMMYFUNCTION("""COMPUTED_VALUE"""),0.0)</f>
        <v>0</v>
      </c>
      <c r="U266" s="213">
        <f>IFERROR(__xludf.DUMMYFUNCTION("""COMPUTED_VALUE"""),0.0)</f>
        <v>0</v>
      </c>
      <c r="V266" s="213" t="str">
        <f>IFERROR(__xludf.DUMMYFUNCTION("""COMPUTED_VALUE"""),"overall")</f>
        <v>overall</v>
      </c>
      <c r="W266" s="213" t="str">
        <f>IFERROR(__xludf.DUMMYFUNCTION("""COMPUTED_VALUE"""),"Sms")</f>
        <v>Sms</v>
      </c>
      <c r="X266" s="213" t="str">
        <f>IFERROR(__xludf.DUMMYFUNCTION("""COMPUTED_VALUE"""),"Churned Repeat")</f>
        <v>Churned Repeat</v>
      </c>
      <c r="Y266" s="213" t="str">
        <f>IFERROR(__xludf.DUMMYFUNCTION("""COMPUTED_VALUE"""),"26th Sat - sunday 27th june 2026")</f>
        <v>26th Sat - sunday 27th june 2026</v>
      </c>
      <c r="Z266" s="213" t="str">
        <f>IFERROR(__xludf.DUMMYFUNCTION("""COMPUTED_VALUE"""),"6a3e6d6590f8a39d9454fea9")</f>
        <v>6a3e6d6590f8a39d9454fea9</v>
      </c>
      <c r="AA266" s="213">
        <f>IFERROR(__xludf.DUMMYFUNCTION("""COMPUTED_VALUE"""),22.0)</f>
        <v>22</v>
      </c>
      <c r="AB266" s="213">
        <f>IFERROR(__xludf.DUMMYFUNCTION("""COMPUTED_VALUE"""),1.0)</f>
        <v>1</v>
      </c>
      <c r="AC266" s="213">
        <f>IFERROR(__xludf.DUMMYFUNCTION("""COMPUTED_VALUE"""),21.0)</f>
        <v>21</v>
      </c>
      <c r="AD266" s="213">
        <f>IFERROR(__xludf.DUMMYFUNCTION("""COMPUTED_VALUE"""),208298.0)</f>
        <v>208298</v>
      </c>
      <c r="AE266" s="213">
        <f>IFERROR(__xludf.DUMMYFUNCTION("""COMPUTED_VALUE"""),6999.0)</f>
        <v>6999</v>
      </c>
      <c r="AF266" s="213">
        <f>IFERROR(__xludf.DUMMYFUNCTION("""COMPUTED_VALUE"""),201299.0)</f>
        <v>201299</v>
      </c>
      <c r="AG266" s="208"/>
      <c r="AH266" s="208"/>
      <c r="AI266" s="208"/>
      <c r="AJ266" s="208"/>
      <c r="AK266" s="208"/>
    </row>
    <row r="267">
      <c r="A267" s="209">
        <f>IFERROR(__xludf.DUMMYFUNCTION("""COMPUTED_VALUE"""),46200.0)</f>
        <v>46200</v>
      </c>
      <c r="B267" s="210">
        <f>IFERROR(__xludf.DUMMYFUNCTION("""COMPUTED_VALUE"""),0.4166666666678793)</f>
        <v>0.4166666667</v>
      </c>
      <c r="C267" s="211" t="str">
        <f>IFERROR(__xludf.DUMMYFUNCTION("""COMPUTED_VALUE"""),"Sms")</f>
        <v>Sms</v>
      </c>
      <c r="D267" s="211" t="str">
        <f>IFERROR(__xludf.DUMMYFUNCTION("""COMPUTED_VALUE"""),"Promotional")</f>
        <v>Promotional</v>
      </c>
      <c r="E267" s="211" t="str">
        <f>IFERROR(__xludf.DUMMYFUNCTION("""COMPUTED_VALUE"""),"Aldo")</f>
        <v>Aldo</v>
      </c>
      <c r="F267" s="211" t="str">
        <f>IFERROR(__xludf.DUMMYFUNCTION("""COMPUTED_VALUE"""),"EOSS_JUNE-JULY 2026 - 30% - 60% Off")</f>
        <v>EOSS_JUNE-JULY 2026 - 30% - 60% Off</v>
      </c>
      <c r="G267" s="211" t="str">
        <f>IFERROR(__xludf.DUMMYFUNCTION("""COMPUTED_VALUE"""),"Churned 366 SMS June")</f>
        <v>Churned 366 SMS June</v>
      </c>
      <c r="H267" s="212" t="str">
        <f>IFERROR(__xludf.DUMMYFUNCTION("""COMPUTED_VALUE"""),"AL_ON_OFF_Churned_366_730_EOSS")</f>
        <v>AL_ON_OFF_Churned_366_730_EOSS</v>
      </c>
      <c r="I267" s="212" t="str">
        <f>IFERROR(__xludf.DUMMYFUNCTION("""COMPUTED_VALUE"""),"Customers who have purchased at least 1 time in between 366 to 730 days ago")</f>
        <v>Customers who have purchased at least 1 time in between 366 to 730 days ago</v>
      </c>
      <c r="J267" s="213">
        <f>IFERROR(__xludf.DUMMYFUNCTION("""COMPUTED_VALUE"""),107963.0)</f>
        <v>107963</v>
      </c>
      <c r="K267" s="213">
        <f>IFERROR(__xludf.DUMMYFUNCTION("""COMPUTED_VALUE"""),61898.0)</f>
        <v>61898</v>
      </c>
      <c r="L267" s="214">
        <f>IFERROR(__xludf.DUMMYFUNCTION("""COMPUTED_VALUE"""),0.5733)</f>
        <v>0.5733</v>
      </c>
      <c r="M267" s="213">
        <f>IFERROR(__xludf.DUMMYFUNCTION("""COMPUTED_VALUE"""),0.0)</f>
        <v>0</v>
      </c>
      <c r="N267" s="214">
        <f>IFERROR(__xludf.DUMMYFUNCTION("""COMPUTED_VALUE"""),0.0)</f>
        <v>0</v>
      </c>
      <c r="O267" s="213">
        <f>IFERROR(__xludf.DUMMYFUNCTION("""COMPUTED_VALUE"""),65.0)</f>
        <v>65</v>
      </c>
      <c r="P267" s="213">
        <f>IFERROR(__xludf.DUMMYFUNCTION("""COMPUTED_VALUE"""),0.0)</f>
        <v>0</v>
      </c>
      <c r="Q267" s="214">
        <f>IFERROR(__xludf.DUMMYFUNCTION("""COMPUTED_VALUE"""),0.0011)</f>
        <v>0.0011</v>
      </c>
      <c r="R267" s="214">
        <f>IFERROR(__xludf.DUMMYFUNCTION("""COMPUTED_VALUE"""),0.0)</f>
        <v>0</v>
      </c>
      <c r="S267" s="213">
        <f>IFERROR(__xludf.DUMMYFUNCTION("""COMPUTED_VALUE"""),0.0)</f>
        <v>0</v>
      </c>
      <c r="T267" s="213">
        <f>IFERROR(__xludf.DUMMYFUNCTION("""COMPUTED_VALUE"""),0.0)</f>
        <v>0</v>
      </c>
      <c r="U267" s="213">
        <f>IFERROR(__xludf.DUMMYFUNCTION("""COMPUTED_VALUE"""),0.0)</f>
        <v>0</v>
      </c>
      <c r="V267" s="213" t="str">
        <f>IFERROR(__xludf.DUMMYFUNCTION("""COMPUTED_VALUE"""),"overall")</f>
        <v>overall</v>
      </c>
      <c r="W267" s="213" t="str">
        <f>IFERROR(__xludf.DUMMYFUNCTION("""COMPUTED_VALUE"""),"Sms")</f>
        <v>Sms</v>
      </c>
      <c r="X267" s="213" t="str">
        <f>IFERROR(__xludf.DUMMYFUNCTION("""COMPUTED_VALUE"""),"Churned")</f>
        <v>Churned</v>
      </c>
      <c r="Y267" s="213" t="str">
        <f>IFERROR(__xludf.DUMMYFUNCTION("""COMPUTED_VALUE"""),"26th Sat - sunday 27th june 2026")</f>
        <v>26th Sat - sunday 27th june 2026</v>
      </c>
      <c r="Z267" s="213" t="str">
        <f>IFERROR(__xludf.DUMMYFUNCTION("""COMPUTED_VALUE"""),"6a3e6d9b769b33a4630241e0")</f>
        <v>6a3e6d9b769b33a4630241e0</v>
      </c>
      <c r="AA267" s="213">
        <f>IFERROR(__xludf.DUMMYFUNCTION("""COMPUTED_VALUE"""),37.0)</f>
        <v>37</v>
      </c>
      <c r="AB267" s="213">
        <f>IFERROR(__xludf.DUMMYFUNCTION("""COMPUTED_VALUE"""),2.0)</f>
        <v>2</v>
      </c>
      <c r="AC267" s="213">
        <f>IFERROR(__xludf.DUMMYFUNCTION("""COMPUTED_VALUE"""),35.0)</f>
        <v>35</v>
      </c>
      <c r="AD267" s="213">
        <f>IFERROR(__xludf.DUMMYFUNCTION("""COMPUTED_VALUE"""),351236.0)</f>
        <v>351236</v>
      </c>
      <c r="AE267" s="213">
        <f>IFERROR(__xludf.DUMMYFUNCTION("""COMPUTED_VALUE"""),26121.0)</f>
        <v>26121</v>
      </c>
      <c r="AF267" s="213">
        <f>IFERROR(__xludf.DUMMYFUNCTION("""COMPUTED_VALUE"""),325115.0)</f>
        <v>325115</v>
      </c>
      <c r="AG267" s="208"/>
      <c r="AH267" s="208"/>
      <c r="AI267" s="208"/>
      <c r="AJ267" s="208"/>
      <c r="AK267" s="208"/>
    </row>
    <row r="268">
      <c r="A268" s="209">
        <f>IFERROR(__xludf.DUMMYFUNCTION("""COMPUTED_VALUE"""),46200.0)</f>
        <v>46200</v>
      </c>
      <c r="B268" s="210">
        <f>IFERROR(__xludf.DUMMYFUNCTION("""COMPUTED_VALUE"""),0.4166666666678793)</f>
        <v>0.4166666667</v>
      </c>
      <c r="C268" s="211" t="str">
        <f>IFERROR(__xludf.DUMMYFUNCTION("""COMPUTED_VALUE"""),"Sms")</f>
        <v>Sms</v>
      </c>
      <c r="D268" s="211" t="str">
        <f>IFERROR(__xludf.DUMMYFUNCTION("""COMPUTED_VALUE"""),"Promotional")</f>
        <v>Promotional</v>
      </c>
      <c r="E268" s="211" t="str">
        <f>IFERROR(__xludf.DUMMYFUNCTION("""COMPUTED_VALUE"""),"Aldo")</f>
        <v>Aldo</v>
      </c>
      <c r="F268" s="211" t="str">
        <f>IFERROR(__xludf.DUMMYFUNCTION("""COMPUTED_VALUE"""),"EOSS_JUNE-JULY 2026 - 30% - 60% Off")</f>
        <v>EOSS_JUNE-JULY 2026 - 30% - 60% Off</v>
      </c>
      <c r="G268" s="211" t="str">
        <f>IFERROR(__xludf.DUMMYFUNCTION("""COMPUTED_VALUE"""),"Churned EOSS June SMS")</f>
        <v>Churned EOSS June SMS</v>
      </c>
      <c r="H268" s="212" t="str">
        <f>IFERROR(__xludf.DUMMYFUNCTION("""COMPUTED_VALUE"""),"AL_ON_OFF_Churned_731_1095_EOSS")</f>
        <v>AL_ON_OFF_Churned_731_1095_EOSS</v>
      </c>
      <c r="I268" s="212" t="str">
        <f>IFERROR(__xludf.DUMMYFUNCTION("""COMPUTED_VALUE"""),"Customers who have purchased at least 1 time in between 731 to 1095 days ago")</f>
        <v>Customers who have purchased at least 1 time in between 731 to 1095 days ago</v>
      </c>
      <c r="J268" s="213">
        <f>IFERROR(__xludf.DUMMYFUNCTION("""COMPUTED_VALUE"""),50002.0)</f>
        <v>50002</v>
      </c>
      <c r="K268" s="213">
        <f>IFERROR(__xludf.DUMMYFUNCTION("""COMPUTED_VALUE"""),27811.0)</f>
        <v>27811</v>
      </c>
      <c r="L268" s="214">
        <f>IFERROR(__xludf.DUMMYFUNCTION("""COMPUTED_VALUE"""),0.5562)</f>
        <v>0.5562</v>
      </c>
      <c r="M268" s="213">
        <f>IFERROR(__xludf.DUMMYFUNCTION("""COMPUTED_VALUE"""),0.0)</f>
        <v>0</v>
      </c>
      <c r="N268" s="214">
        <f>IFERROR(__xludf.DUMMYFUNCTION("""COMPUTED_VALUE"""),0.0)</f>
        <v>0</v>
      </c>
      <c r="O268" s="213">
        <f>IFERROR(__xludf.DUMMYFUNCTION("""COMPUTED_VALUE"""),21.0)</f>
        <v>21</v>
      </c>
      <c r="P268" s="213">
        <f>IFERROR(__xludf.DUMMYFUNCTION("""COMPUTED_VALUE"""),0.0)</f>
        <v>0</v>
      </c>
      <c r="Q268" s="214">
        <f>IFERROR(__xludf.DUMMYFUNCTION("""COMPUTED_VALUE"""),8.0E-4)</f>
        <v>0.0008</v>
      </c>
      <c r="R268" s="214">
        <f>IFERROR(__xludf.DUMMYFUNCTION("""COMPUTED_VALUE"""),0.0)</f>
        <v>0</v>
      </c>
      <c r="S268" s="213">
        <f>IFERROR(__xludf.DUMMYFUNCTION("""COMPUTED_VALUE"""),2.0)</f>
        <v>2</v>
      </c>
      <c r="T268" s="213">
        <f>IFERROR(__xludf.DUMMYFUNCTION("""COMPUTED_VALUE"""),0.0)</f>
        <v>0</v>
      </c>
      <c r="U268" s="213">
        <f>IFERROR(__xludf.DUMMYFUNCTION("""COMPUTED_VALUE"""),30597.0)</f>
        <v>30597</v>
      </c>
      <c r="V268" s="213" t="str">
        <f>IFERROR(__xludf.DUMMYFUNCTION("""COMPUTED_VALUE"""),"overall")</f>
        <v>overall</v>
      </c>
      <c r="W268" s="213" t="str">
        <f>IFERROR(__xludf.DUMMYFUNCTION("""COMPUTED_VALUE"""),"Sms")</f>
        <v>Sms</v>
      </c>
      <c r="X268" s="213" t="str">
        <f>IFERROR(__xludf.DUMMYFUNCTION("""COMPUTED_VALUE"""),"Churned")</f>
        <v>Churned</v>
      </c>
      <c r="Y268" s="213" t="str">
        <f>IFERROR(__xludf.DUMMYFUNCTION("""COMPUTED_VALUE"""),"26th Sat - sunday 27th june 2026")</f>
        <v>26th Sat - sunday 27th june 2026</v>
      </c>
      <c r="Z268" s="213" t="str">
        <f>IFERROR(__xludf.DUMMYFUNCTION("""COMPUTED_VALUE"""),"6a3e6dcf2cd407952b24e245")</f>
        <v>6a3e6dcf2cd407952b24e245</v>
      </c>
      <c r="AA268" s="213">
        <f>IFERROR(__xludf.DUMMYFUNCTION("""COMPUTED_VALUE"""),15.0)</f>
        <v>15</v>
      </c>
      <c r="AB268" s="213">
        <f>IFERROR(__xludf.DUMMYFUNCTION("""COMPUTED_VALUE"""),4.0)</f>
        <v>4</v>
      </c>
      <c r="AC268" s="213">
        <f>IFERROR(__xludf.DUMMYFUNCTION("""COMPUTED_VALUE"""),11.0)</f>
        <v>11</v>
      </c>
      <c r="AD268" s="213">
        <f>IFERROR(__xludf.DUMMYFUNCTION("""COMPUTED_VALUE"""),133660.0)</f>
        <v>133660</v>
      </c>
      <c r="AE268" s="213">
        <f>IFERROR(__xludf.DUMMYFUNCTION("""COMPUTED_VALUE"""),43795.0)</f>
        <v>43795</v>
      </c>
      <c r="AF268" s="213">
        <f>IFERROR(__xludf.DUMMYFUNCTION("""COMPUTED_VALUE"""),89865.0)</f>
        <v>89865</v>
      </c>
      <c r="AG268" s="208"/>
      <c r="AH268" s="208"/>
      <c r="AI268" s="208"/>
      <c r="AJ268" s="208"/>
      <c r="AK268" s="208"/>
    </row>
    <row r="269">
      <c r="A269" s="209">
        <f>IFERROR(__xludf.DUMMYFUNCTION("""COMPUTED_VALUE"""),46200.0)</f>
        <v>46200</v>
      </c>
      <c r="B269" s="210">
        <f>IFERROR(__xludf.DUMMYFUNCTION("""COMPUTED_VALUE"""),0.4166666666678793)</f>
        <v>0.4166666667</v>
      </c>
      <c r="C269" s="211" t="str">
        <f>IFERROR(__xludf.DUMMYFUNCTION("""COMPUTED_VALUE"""),"Sms")</f>
        <v>Sms</v>
      </c>
      <c r="D269" s="211" t="str">
        <f>IFERROR(__xludf.DUMMYFUNCTION("""COMPUTED_VALUE"""),"Promotional")</f>
        <v>Promotional</v>
      </c>
      <c r="E269" s="211" t="str">
        <f>IFERROR(__xludf.DUMMYFUNCTION("""COMPUTED_VALUE"""),"Aldo")</f>
        <v>Aldo</v>
      </c>
      <c r="F269" s="211" t="str">
        <f>IFERROR(__xludf.DUMMYFUNCTION("""COMPUTED_VALUE"""),"EOSS_JUNE-JULY 2026 - 30% - 60% Off")</f>
        <v>EOSS_JUNE-JULY 2026 - 30% - 60% Off</v>
      </c>
      <c r="G269" s="211" t="str">
        <f>IFERROR(__xludf.DUMMYFUNCTION("""COMPUTED_VALUE"""),"Active_Eoss_SMS")</f>
        <v>Active_Eoss_SMS</v>
      </c>
      <c r="H269" s="212" t="str">
        <f>IFERROR(__xludf.DUMMYFUNCTION("""COMPUTED_VALUE"""),"AL_ON_OFF_Active_EOSS")</f>
        <v>AL_ON_OFF_Active_EOSS</v>
      </c>
      <c r="I269" s="212" t="str">
        <f>IFERROR(__xludf.DUMMYFUNCTION("""COMPUTED_VALUE"""),"Customers who have purchased at least 1 time in the last 77 days")</f>
        <v>Customers who have purchased at least 1 time in the last 77 days</v>
      </c>
      <c r="J269" s="213">
        <f>IFERROR(__xludf.DUMMYFUNCTION("""COMPUTED_VALUE"""),15725.0)</f>
        <v>15725</v>
      </c>
      <c r="K269" s="213">
        <f>IFERROR(__xludf.DUMMYFUNCTION("""COMPUTED_VALUE"""),9319.0)</f>
        <v>9319</v>
      </c>
      <c r="L269" s="214">
        <f>IFERROR(__xludf.DUMMYFUNCTION("""COMPUTED_VALUE"""),0.5926)</f>
        <v>0.5926</v>
      </c>
      <c r="M269" s="213">
        <f>IFERROR(__xludf.DUMMYFUNCTION("""COMPUTED_VALUE"""),0.0)</f>
        <v>0</v>
      </c>
      <c r="N269" s="214">
        <f>IFERROR(__xludf.DUMMYFUNCTION("""COMPUTED_VALUE"""),0.0)</f>
        <v>0</v>
      </c>
      <c r="O269" s="213">
        <f>IFERROR(__xludf.DUMMYFUNCTION("""COMPUTED_VALUE"""),11.0)</f>
        <v>11</v>
      </c>
      <c r="P269" s="213">
        <f>IFERROR(__xludf.DUMMYFUNCTION("""COMPUTED_VALUE"""),0.0)</f>
        <v>0</v>
      </c>
      <c r="Q269" s="214">
        <f>IFERROR(__xludf.DUMMYFUNCTION("""COMPUTED_VALUE"""),0.0012)</f>
        <v>0.0012</v>
      </c>
      <c r="R269" s="214">
        <f>IFERROR(__xludf.DUMMYFUNCTION("""COMPUTED_VALUE"""),0.0)</f>
        <v>0</v>
      </c>
      <c r="S269" s="213">
        <f>IFERROR(__xludf.DUMMYFUNCTION("""COMPUTED_VALUE"""),0.0)</f>
        <v>0</v>
      </c>
      <c r="T269" s="213">
        <f>IFERROR(__xludf.DUMMYFUNCTION("""COMPUTED_VALUE"""),0.0)</f>
        <v>0</v>
      </c>
      <c r="U269" s="213">
        <f>IFERROR(__xludf.DUMMYFUNCTION("""COMPUTED_VALUE"""),0.0)</f>
        <v>0</v>
      </c>
      <c r="V269" s="213" t="str">
        <f>IFERROR(__xludf.DUMMYFUNCTION("""COMPUTED_VALUE"""),"overall")</f>
        <v>overall</v>
      </c>
      <c r="W269" s="213" t="str">
        <f>IFERROR(__xludf.DUMMYFUNCTION("""COMPUTED_VALUE"""),"Sms")</f>
        <v>Sms</v>
      </c>
      <c r="X269" s="213" t="str">
        <f>IFERROR(__xludf.DUMMYFUNCTION("""COMPUTED_VALUE"""),"Active")</f>
        <v>Active</v>
      </c>
      <c r="Y269" s="213" t="str">
        <f>IFERROR(__xludf.DUMMYFUNCTION("""COMPUTED_VALUE"""),"26th Sat - sunday 27th june 2026")</f>
        <v>26th Sat - sunday 27th june 2026</v>
      </c>
      <c r="Z269" s="213" t="str">
        <f>IFERROR(__xludf.DUMMYFUNCTION("""COMPUTED_VALUE"""),"6a3e6e0612609a7daf372507")</f>
        <v>6a3e6e0612609a7daf372507</v>
      </c>
      <c r="AA269" s="213">
        <f>IFERROR(__xludf.DUMMYFUNCTION("""COMPUTED_VALUE"""),12.0)</f>
        <v>12</v>
      </c>
      <c r="AB269" s="213">
        <f>IFERROR(__xludf.DUMMYFUNCTION("""COMPUTED_VALUE"""),1.0)</f>
        <v>1</v>
      </c>
      <c r="AC269" s="213">
        <f>IFERROR(__xludf.DUMMYFUNCTION("""COMPUTED_VALUE"""),11.0)</f>
        <v>11</v>
      </c>
      <c r="AD269" s="213">
        <f>IFERROR(__xludf.DUMMYFUNCTION("""COMPUTED_VALUE"""),67197.0)</f>
        <v>67197</v>
      </c>
      <c r="AE269" s="213">
        <f>IFERROR(__xludf.DUMMYFUNCTION("""COMPUTED_VALUE"""),4999.0)</f>
        <v>4999</v>
      </c>
      <c r="AF269" s="213">
        <f>IFERROR(__xludf.DUMMYFUNCTION("""COMPUTED_VALUE"""),62198.0)</f>
        <v>62198</v>
      </c>
      <c r="AG269" s="208"/>
      <c r="AH269" s="208"/>
      <c r="AI269" s="208"/>
      <c r="AJ269" s="208"/>
      <c r="AK269" s="208"/>
    </row>
    <row r="270">
      <c r="A270" s="209">
        <f>IFERROR(__xludf.DUMMYFUNCTION("""COMPUTED_VALUE"""),46200.0)</f>
        <v>46200</v>
      </c>
      <c r="B270" s="210">
        <f>IFERROR(__xludf.DUMMYFUNCTION("""COMPUTED_VALUE"""),0.4166666666678793)</f>
        <v>0.4166666667</v>
      </c>
      <c r="C270" s="211" t="str">
        <f>IFERROR(__xludf.DUMMYFUNCTION("""COMPUTED_VALUE"""),"Sms")</f>
        <v>Sms</v>
      </c>
      <c r="D270" s="211" t="str">
        <f>IFERROR(__xludf.DUMMYFUNCTION("""COMPUTED_VALUE"""),"Promotional")</f>
        <v>Promotional</v>
      </c>
      <c r="E270" s="211" t="str">
        <f>IFERROR(__xludf.DUMMYFUNCTION("""COMPUTED_VALUE"""),"Aldo")</f>
        <v>Aldo</v>
      </c>
      <c r="F270" s="211" t="str">
        <f>IFERROR(__xludf.DUMMYFUNCTION("""COMPUTED_VALUE"""),"EOSS_JUNE-JULY 2026 - 30% - 60% Off")</f>
        <v>EOSS_JUNE-JULY 2026 - 30% - 60% Off</v>
      </c>
      <c r="G270" s="211" t="str">
        <f>IFERROR(__xludf.DUMMYFUNCTION("""COMPUTED_VALUE"""),"SMS_June_Non-TxtBase")</f>
        <v>SMS_June_Non-TxtBase</v>
      </c>
      <c r="H270" s="212" t="str">
        <f>IFERROR(__xludf.DUMMYFUNCTION("""COMPUTED_VALUE"""),"AL_Non-Txn_Base")</f>
        <v>AL_Non-Txn_Base</v>
      </c>
      <c r="I270" s="212" t="str">
        <f>IFERROR(__xludf.DUMMYFUNCTION("""COMPUTED_VALUE"""),"Non- Txn Base")</f>
        <v>Non- Txn Base</v>
      </c>
      <c r="J270" s="213">
        <f>IFERROR(__xludf.DUMMYFUNCTION("""COMPUTED_VALUE"""),105025.0)</f>
        <v>105025</v>
      </c>
      <c r="K270" s="213">
        <f>IFERROR(__xludf.DUMMYFUNCTION("""COMPUTED_VALUE"""),62825.0)</f>
        <v>62825</v>
      </c>
      <c r="L270" s="214">
        <f>IFERROR(__xludf.DUMMYFUNCTION("""COMPUTED_VALUE"""),0.5982)</f>
        <v>0.5982</v>
      </c>
      <c r="M270" s="213">
        <f>IFERROR(__xludf.DUMMYFUNCTION("""COMPUTED_VALUE"""),0.0)</f>
        <v>0</v>
      </c>
      <c r="N270" s="214">
        <f>IFERROR(__xludf.DUMMYFUNCTION("""COMPUTED_VALUE"""),0.0)</f>
        <v>0</v>
      </c>
      <c r="O270" s="213">
        <f>IFERROR(__xludf.DUMMYFUNCTION("""COMPUTED_VALUE"""),94.0)</f>
        <v>94</v>
      </c>
      <c r="P270" s="213">
        <f>IFERROR(__xludf.DUMMYFUNCTION("""COMPUTED_VALUE"""),0.0)</f>
        <v>0</v>
      </c>
      <c r="Q270" s="214">
        <f>IFERROR(__xludf.DUMMYFUNCTION("""COMPUTED_VALUE"""),0.0015)</f>
        <v>0.0015</v>
      </c>
      <c r="R270" s="214">
        <f>IFERROR(__xludf.DUMMYFUNCTION("""COMPUTED_VALUE"""),0.0)</f>
        <v>0</v>
      </c>
      <c r="S270" s="213">
        <f>IFERROR(__xludf.DUMMYFUNCTION("""COMPUTED_VALUE"""),5.0)</f>
        <v>5</v>
      </c>
      <c r="T270" s="213">
        <f>IFERROR(__xludf.DUMMYFUNCTION("""COMPUTED_VALUE"""),0.0)</f>
        <v>0</v>
      </c>
      <c r="U270" s="213">
        <f>IFERROR(__xludf.DUMMYFUNCTION("""COMPUTED_VALUE"""),38056.0)</f>
        <v>38056</v>
      </c>
      <c r="V270" s="213" t="str">
        <f>IFERROR(__xludf.DUMMYFUNCTION("""COMPUTED_VALUE"""),"overall")</f>
        <v>overall</v>
      </c>
      <c r="W270" s="213" t="str">
        <f>IFERROR(__xludf.DUMMYFUNCTION("""COMPUTED_VALUE"""),"Sms")</f>
        <v>Sms</v>
      </c>
      <c r="X270" s="213" t="str">
        <f>IFERROR(__xludf.DUMMYFUNCTION("""COMPUTED_VALUE"""),"Non - Txn Base")</f>
        <v>Non - Txn Base</v>
      </c>
      <c r="Y270" s="213" t="str">
        <f>IFERROR(__xludf.DUMMYFUNCTION("""COMPUTED_VALUE"""),"26th Sat - sunday 27th june 2026")</f>
        <v>26th Sat - sunday 27th june 2026</v>
      </c>
      <c r="Z270" s="213" t="str">
        <f>IFERROR(__xludf.DUMMYFUNCTION("""COMPUTED_VALUE"""),"6a3e6e3984a03a7ebb253fa7")</f>
        <v>6a3e6e3984a03a7ebb253fa7</v>
      </c>
      <c r="AA270" s="213">
        <f>IFERROR(__xludf.DUMMYFUNCTION("""COMPUTED_VALUE"""),30.0)</f>
        <v>30</v>
      </c>
      <c r="AB270" s="213">
        <f>IFERROR(__xludf.DUMMYFUNCTION("""COMPUTED_VALUE"""),12.0)</f>
        <v>12</v>
      </c>
      <c r="AC270" s="213">
        <f>IFERROR(__xludf.DUMMYFUNCTION("""COMPUTED_VALUE"""),18.0)</f>
        <v>18</v>
      </c>
      <c r="AD270" s="213">
        <f>IFERROR(__xludf.DUMMYFUNCTION("""COMPUTED_VALUE"""),311539.0)</f>
        <v>311539</v>
      </c>
      <c r="AE270" s="213">
        <f>IFERROR(__xludf.DUMMYFUNCTION("""COMPUTED_VALUE"""),172232.0)</f>
        <v>172232</v>
      </c>
      <c r="AF270" s="213">
        <f>IFERROR(__xludf.DUMMYFUNCTION("""COMPUTED_VALUE"""),139307.0)</f>
        <v>139307</v>
      </c>
      <c r="AG270" s="208"/>
      <c r="AH270" s="208"/>
      <c r="AI270" s="208"/>
      <c r="AJ270" s="208"/>
      <c r="AK270" s="208"/>
    </row>
    <row r="271">
      <c r="A271" s="209">
        <f>IFERROR(__xludf.DUMMYFUNCTION("""COMPUTED_VALUE"""),46207.0)</f>
        <v>46207</v>
      </c>
      <c r="B271" s="210">
        <f>IFERROR(__xludf.DUMMYFUNCTION("""COMPUTED_VALUE"""),0.5)</f>
        <v>0.5</v>
      </c>
      <c r="C271" s="211" t="str">
        <f>IFERROR(__xludf.DUMMYFUNCTION("""COMPUTED_VALUE"""),"Sms")</f>
        <v>Sms</v>
      </c>
      <c r="D271" s="211" t="str">
        <f>IFERROR(__xludf.DUMMYFUNCTION("""COMPUTED_VALUE"""),"Fallback campaign")</f>
        <v>Fallback campaign</v>
      </c>
      <c r="E271" s="211" t="str">
        <f>IFERROR(__xludf.DUMMYFUNCTION("""COMPUTED_VALUE"""),"Aldo")</f>
        <v>Aldo</v>
      </c>
      <c r="F271" s="211" t="str">
        <f>IFERROR(__xludf.DUMMYFUNCTION("""COMPUTED_VALUE"""),"40%-70% OFF - End of season sale")</f>
        <v>40%-70% OFF - End of season sale</v>
      </c>
      <c r="G271" s="211" t="str">
        <f>IFERROR(__xludf.DUMMYFUNCTION("""COMPUTED_VALUE"""),"AL_July_ON_ATC_90D_Fallback")</f>
        <v>AL_July_ON_ATC_90D_Fallback</v>
      </c>
      <c r="H271" s="212" t="str">
        <f>IFERROR(__xludf.DUMMYFUNCTION("""COMPUTED_VALUE"""),"AL_ON_ATC_90D")</f>
        <v>AL_ON_ATC_90D</v>
      </c>
      <c r="I271" s="212" t="str">
        <f>IFERROR(__xludf.DUMMYFUNCTION("""COMPUTED_VALUE"""),"RCS Undelivered")</f>
        <v>RCS Undelivered</v>
      </c>
      <c r="J271" s="213">
        <f>IFERROR(__xludf.DUMMYFUNCTION("""COMPUTED_VALUE"""),3168.0)</f>
        <v>3168</v>
      </c>
      <c r="K271" s="213">
        <f>IFERROR(__xludf.DUMMYFUNCTION("""COMPUTED_VALUE"""),2093.0)</f>
        <v>2093</v>
      </c>
      <c r="L271" s="214">
        <f>IFERROR(__xludf.DUMMYFUNCTION("""COMPUTED_VALUE"""),0.6607)</f>
        <v>0.6607</v>
      </c>
      <c r="M271" s="213">
        <f>IFERROR(__xludf.DUMMYFUNCTION("""COMPUTED_VALUE"""),0.0)</f>
        <v>0</v>
      </c>
      <c r="N271" s="214">
        <f>IFERROR(__xludf.DUMMYFUNCTION("""COMPUTED_VALUE"""),0.0)</f>
        <v>0</v>
      </c>
      <c r="O271" s="213">
        <f>IFERROR(__xludf.DUMMYFUNCTION("""COMPUTED_VALUE"""),14.0)</f>
        <v>14</v>
      </c>
      <c r="P271" s="213">
        <f>IFERROR(__xludf.DUMMYFUNCTION("""COMPUTED_VALUE"""),0.0)</f>
        <v>0</v>
      </c>
      <c r="Q271" s="214">
        <f>IFERROR(__xludf.DUMMYFUNCTION("""COMPUTED_VALUE"""),0.0067)</f>
        <v>0.0067</v>
      </c>
      <c r="R271" s="214">
        <f>IFERROR(__xludf.DUMMYFUNCTION("""COMPUTED_VALUE"""),0.0)</f>
        <v>0</v>
      </c>
      <c r="S271" s="213">
        <f>IFERROR(__xludf.DUMMYFUNCTION("""COMPUTED_VALUE"""),3.0)</f>
        <v>3</v>
      </c>
      <c r="T271" s="213">
        <f>IFERROR(__xludf.DUMMYFUNCTION("""COMPUTED_VALUE"""),38.0)</f>
        <v>38</v>
      </c>
      <c r="U271" s="213">
        <f>IFERROR(__xludf.DUMMYFUNCTION("""COMPUTED_VALUE"""),17982.0)</f>
        <v>17982</v>
      </c>
      <c r="V271" s="213" t="str">
        <f>IFERROR(__xludf.DUMMYFUNCTION("""COMPUTED_VALUE"""),"online")</f>
        <v>online</v>
      </c>
      <c r="W271" s="213" t="str">
        <f>IFERROR(__xludf.DUMMYFUNCTION("""COMPUTED_VALUE"""),"SMS")</f>
        <v>SMS</v>
      </c>
      <c r="X271" s="213" t="str">
        <f>IFERROR(__xludf.DUMMYFUNCTION("""COMPUTED_VALUE"""),"ATC/View")</f>
        <v>ATC/View</v>
      </c>
      <c r="Y271" s="213" t="str">
        <f>IFERROR(__xludf.DUMMYFUNCTION("""COMPUTED_VALUE"""),"04th Sat - 05th Sunday July 2026")</f>
        <v>04th Sat - 05th Sunday July 2026</v>
      </c>
      <c r="Z271" s="213" t="str">
        <f>IFERROR(__xludf.DUMMYFUNCTION("""COMPUTED_VALUE"""),"6a47a8d67f3b65b3e38387b6")</f>
        <v>6a47a8d67f3b65b3e38387b6</v>
      </c>
      <c r="AA271" s="213">
        <f>IFERROR(__xludf.DUMMYFUNCTION("""COMPUTED_VALUE"""),13.0)</f>
        <v>13</v>
      </c>
      <c r="AB271" s="213">
        <f>IFERROR(__xludf.DUMMYFUNCTION("""COMPUTED_VALUE"""),13.0)</f>
        <v>13</v>
      </c>
      <c r="AC271" s="213"/>
      <c r="AD271" s="213">
        <f>IFERROR(__xludf.DUMMYFUNCTION("""COMPUTED_VALUE"""),72938.0)</f>
        <v>72938</v>
      </c>
      <c r="AE271" s="213">
        <f>IFERROR(__xludf.DUMMYFUNCTION("""COMPUTED_VALUE"""),72938.0)</f>
        <v>72938</v>
      </c>
      <c r="AF271" s="213"/>
      <c r="AG271" s="208"/>
      <c r="AH271" s="208"/>
      <c r="AI271" s="208"/>
      <c r="AJ271" s="208"/>
      <c r="AK271" s="208"/>
    </row>
    <row r="272">
      <c r="A272" s="209">
        <f>IFERROR(__xludf.DUMMYFUNCTION("""COMPUTED_VALUE"""),46207.0)</f>
        <v>46207</v>
      </c>
      <c r="B272" s="210">
        <f>IFERROR(__xludf.DUMMYFUNCTION("""COMPUTED_VALUE"""),0.5)</f>
        <v>0.5</v>
      </c>
      <c r="C272" s="211" t="str">
        <f>IFERROR(__xludf.DUMMYFUNCTION("""COMPUTED_VALUE"""),"Sms")</f>
        <v>Sms</v>
      </c>
      <c r="D272" s="211" t="str">
        <f>IFERROR(__xludf.DUMMYFUNCTION("""COMPUTED_VALUE"""),"Fallback campaign")</f>
        <v>Fallback campaign</v>
      </c>
      <c r="E272" s="211" t="str">
        <f>IFERROR(__xludf.DUMMYFUNCTION("""COMPUTED_VALUE"""),"Aldo")</f>
        <v>Aldo</v>
      </c>
      <c r="F272" s="211" t="str">
        <f>IFERROR(__xludf.DUMMYFUNCTION("""COMPUTED_VALUE"""),"40%-70% OFF - End of season sale")</f>
        <v>40%-70% OFF - End of season sale</v>
      </c>
      <c r="G272" s="211" t="str">
        <f>IFERROR(__xludf.DUMMYFUNCTION("""COMPUTED_VALUE"""),"AL_July_ON_View_Item_Fallback")</f>
        <v>AL_July_ON_View_Item_Fallback</v>
      </c>
      <c r="H272" s="212" t="str">
        <f>IFERROR(__xludf.DUMMYFUNCTION("""COMPUTED_VALUE"""),"AL_ON_View_Item")</f>
        <v>AL_ON_View_Item</v>
      </c>
      <c r="I272" s="212" t="str">
        <f>IFERROR(__xludf.DUMMYFUNCTION("""COMPUTED_VALUE"""),"RCS Undelivered")</f>
        <v>RCS Undelivered</v>
      </c>
      <c r="J272" s="213">
        <f>IFERROR(__xludf.DUMMYFUNCTION("""COMPUTED_VALUE"""),407.0)</f>
        <v>407</v>
      </c>
      <c r="K272" s="213">
        <f>IFERROR(__xludf.DUMMYFUNCTION("""COMPUTED_VALUE"""),278.0)</f>
        <v>278</v>
      </c>
      <c r="L272" s="214">
        <f>IFERROR(__xludf.DUMMYFUNCTION("""COMPUTED_VALUE"""),0.683)</f>
        <v>0.683</v>
      </c>
      <c r="M272" s="213">
        <f>IFERROR(__xludf.DUMMYFUNCTION("""COMPUTED_VALUE"""),0.0)</f>
        <v>0</v>
      </c>
      <c r="N272" s="214">
        <f>IFERROR(__xludf.DUMMYFUNCTION("""COMPUTED_VALUE"""),0.0)</f>
        <v>0</v>
      </c>
      <c r="O272" s="213">
        <f>IFERROR(__xludf.DUMMYFUNCTION("""COMPUTED_VALUE"""),2.0)</f>
        <v>2</v>
      </c>
      <c r="P272" s="213">
        <f>IFERROR(__xludf.DUMMYFUNCTION("""COMPUTED_VALUE"""),0.0)</f>
        <v>0</v>
      </c>
      <c r="Q272" s="214">
        <f>IFERROR(__xludf.DUMMYFUNCTION("""COMPUTED_VALUE"""),0.0072)</f>
        <v>0.0072</v>
      </c>
      <c r="R272" s="214">
        <f>IFERROR(__xludf.DUMMYFUNCTION("""COMPUTED_VALUE"""),0.0)</f>
        <v>0</v>
      </c>
      <c r="S272" s="213">
        <f>IFERROR(__xludf.DUMMYFUNCTION("""COMPUTED_VALUE"""),1.0)</f>
        <v>1</v>
      </c>
      <c r="T272" s="213">
        <f>IFERROR(__xludf.DUMMYFUNCTION("""COMPUTED_VALUE"""),3.0)</f>
        <v>3</v>
      </c>
      <c r="U272" s="213">
        <f>IFERROR(__xludf.DUMMYFUNCTION("""COMPUTED_VALUE"""),5499.0)</f>
        <v>5499</v>
      </c>
      <c r="V272" s="213" t="str">
        <f>IFERROR(__xludf.DUMMYFUNCTION("""COMPUTED_VALUE"""),"online")</f>
        <v>online</v>
      </c>
      <c r="W272" s="213" t="str">
        <f>IFERROR(__xludf.DUMMYFUNCTION("""COMPUTED_VALUE"""),"SMS")</f>
        <v>SMS</v>
      </c>
      <c r="X272" s="213" t="str">
        <f>IFERROR(__xludf.DUMMYFUNCTION("""COMPUTED_VALUE"""),"ATC/View")</f>
        <v>ATC/View</v>
      </c>
      <c r="Y272" s="213" t="str">
        <f>IFERROR(__xludf.DUMMYFUNCTION("""COMPUTED_VALUE"""),"04th Sat - 05th Sunday July 2026")</f>
        <v>04th Sat - 05th Sunday July 2026</v>
      </c>
      <c r="Z272" s="213" t="str">
        <f>IFERROR(__xludf.DUMMYFUNCTION("""COMPUTED_VALUE"""),"6a47a983bc9767b45adcaf49")</f>
        <v>6a47a983bc9767b45adcaf49</v>
      </c>
      <c r="AA272" s="213">
        <f>IFERROR(__xludf.DUMMYFUNCTION("""COMPUTED_VALUE"""),0.0)</f>
        <v>0</v>
      </c>
      <c r="AB272" s="213">
        <f>IFERROR(__xludf.DUMMYFUNCTION("""COMPUTED_VALUE"""),0.0)</f>
        <v>0</v>
      </c>
      <c r="AC272" s="213"/>
      <c r="AD272" s="213">
        <f>IFERROR(__xludf.DUMMYFUNCTION("""COMPUTED_VALUE"""),0.0)</f>
        <v>0</v>
      </c>
      <c r="AE272" s="213">
        <f>IFERROR(__xludf.DUMMYFUNCTION("""COMPUTED_VALUE"""),0.0)</f>
        <v>0</v>
      </c>
      <c r="AF272" s="213"/>
      <c r="AG272" s="208"/>
      <c r="AH272" s="208"/>
      <c r="AI272" s="208"/>
      <c r="AJ272" s="208"/>
      <c r="AK272" s="208"/>
    </row>
    <row r="273">
      <c r="A273" s="209">
        <f>IFERROR(__xludf.DUMMYFUNCTION("""COMPUTED_VALUE"""),46207.0)</f>
        <v>46207</v>
      </c>
      <c r="B273" s="210">
        <f>IFERROR(__xludf.DUMMYFUNCTION("""COMPUTED_VALUE"""),0.5)</f>
        <v>0.5</v>
      </c>
      <c r="C273" s="211" t="str">
        <f>IFERROR(__xludf.DUMMYFUNCTION("""COMPUTED_VALUE"""),"Sms")</f>
        <v>Sms</v>
      </c>
      <c r="D273" s="211" t="str">
        <f>IFERROR(__xludf.DUMMYFUNCTION("""COMPUTED_VALUE"""),"Fallback campaign")</f>
        <v>Fallback campaign</v>
      </c>
      <c r="E273" s="211" t="str">
        <f>IFERROR(__xludf.DUMMYFUNCTION("""COMPUTED_VALUE"""),"Aldo")</f>
        <v>Aldo</v>
      </c>
      <c r="F273" s="211" t="str">
        <f>IFERROR(__xludf.DUMMYFUNCTION("""COMPUTED_VALUE"""),"40%-70% OFF - End of season sale")</f>
        <v>40%-70% OFF - End of season sale</v>
      </c>
      <c r="G273" s="211" t="str">
        <f>IFERROR(__xludf.DUMMYFUNCTION("""COMPUTED_VALUE"""),"AL_July_ON_OFF_Event_Buyers_EOSS_Fallback")</f>
        <v>AL_July_ON_OFF_Event_Buyers_EOSS_Fallback</v>
      </c>
      <c r="H273" s="212" t="str">
        <f>IFERROR(__xludf.DUMMYFUNCTION("""COMPUTED_VALUE"""),"AL_ON_OFF_Event_Buyers_EOSS")</f>
        <v>AL_ON_OFF_Event_Buyers_EOSS</v>
      </c>
      <c r="I273" s="212" t="str">
        <f>IFERROR(__xludf.DUMMYFUNCTION("""COMPUTED_VALUE"""),"RCS Undelivered")</f>
        <v>RCS Undelivered</v>
      </c>
      <c r="J273" s="213">
        <f>IFERROR(__xludf.DUMMYFUNCTION("""COMPUTED_VALUE"""),49433.0)</f>
        <v>49433</v>
      </c>
      <c r="K273" s="213">
        <f>IFERROR(__xludf.DUMMYFUNCTION("""COMPUTED_VALUE"""),27471.0)</f>
        <v>27471</v>
      </c>
      <c r="L273" s="214">
        <f>IFERROR(__xludf.DUMMYFUNCTION("""COMPUTED_VALUE"""),0.5557)</f>
        <v>0.5557</v>
      </c>
      <c r="M273" s="213">
        <f>IFERROR(__xludf.DUMMYFUNCTION("""COMPUTED_VALUE"""),0.0)</f>
        <v>0</v>
      </c>
      <c r="N273" s="214">
        <f>IFERROR(__xludf.DUMMYFUNCTION("""COMPUTED_VALUE"""),0.0)</f>
        <v>0</v>
      </c>
      <c r="O273" s="213">
        <f>IFERROR(__xludf.DUMMYFUNCTION("""COMPUTED_VALUE"""),58.0)</f>
        <v>58</v>
      </c>
      <c r="P273" s="213">
        <f>IFERROR(__xludf.DUMMYFUNCTION("""COMPUTED_VALUE"""),0.0)</f>
        <v>0</v>
      </c>
      <c r="Q273" s="214">
        <f>IFERROR(__xludf.DUMMYFUNCTION("""COMPUTED_VALUE"""),0.0021)</f>
        <v>0.0021</v>
      </c>
      <c r="R273" s="214">
        <f>IFERROR(__xludf.DUMMYFUNCTION("""COMPUTED_VALUE"""),0.0)</f>
        <v>0</v>
      </c>
      <c r="S273" s="213">
        <f>IFERROR(__xludf.DUMMYFUNCTION("""COMPUTED_VALUE"""),0.0)</f>
        <v>0</v>
      </c>
      <c r="T273" s="213">
        <f>IFERROR(__xludf.DUMMYFUNCTION("""COMPUTED_VALUE"""),1.0)</f>
        <v>1</v>
      </c>
      <c r="U273" s="213">
        <f>IFERROR(__xludf.DUMMYFUNCTION("""COMPUTED_VALUE"""),0.0)</f>
        <v>0</v>
      </c>
      <c r="V273" s="213" t="str">
        <f>IFERROR(__xludf.DUMMYFUNCTION("""COMPUTED_VALUE"""),"overall")</f>
        <v>overall</v>
      </c>
      <c r="W273" s="213" t="str">
        <f>IFERROR(__xludf.DUMMYFUNCTION("""COMPUTED_VALUE"""),"SMS")</f>
        <v>SMS</v>
      </c>
      <c r="X273" s="213" t="str">
        <f>IFERROR(__xludf.DUMMYFUNCTION("""COMPUTED_VALUE"""),"Event Buyers")</f>
        <v>Event Buyers</v>
      </c>
      <c r="Y273" s="213" t="str">
        <f>IFERROR(__xludf.DUMMYFUNCTION("""COMPUTED_VALUE"""),"04th Sat - 05th Sunday July 2026")</f>
        <v>04th Sat - 05th Sunday July 2026</v>
      </c>
      <c r="Z273" s="213" t="str">
        <f>IFERROR(__xludf.DUMMYFUNCTION("""COMPUTED_VALUE"""),"6a47aa7418f85ba1c3d6f7fe")</f>
        <v>6a47aa7418f85ba1c3d6f7fe</v>
      </c>
      <c r="AA273" s="213">
        <f>IFERROR(__xludf.DUMMYFUNCTION("""COMPUTED_VALUE"""),60.0)</f>
        <v>60</v>
      </c>
      <c r="AB273" s="213">
        <f>IFERROR(__xludf.DUMMYFUNCTION("""COMPUTED_VALUE"""),9.0)</f>
        <v>9</v>
      </c>
      <c r="AC273" s="213">
        <f>IFERROR(__xludf.DUMMYFUNCTION("""COMPUTED_VALUE"""),51.0)</f>
        <v>51</v>
      </c>
      <c r="AD273" s="213">
        <f>IFERROR(__xludf.DUMMYFUNCTION("""COMPUTED_VALUE"""),570494.0)</f>
        <v>570494</v>
      </c>
      <c r="AE273" s="213">
        <f>IFERROR(__xludf.DUMMYFUNCTION("""COMPUTED_VALUE"""),104815.0)</f>
        <v>104815</v>
      </c>
      <c r="AF273" s="213">
        <f>IFERROR(__xludf.DUMMYFUNCTION("""COMPUTED_VALUE"""),465679.0)</f>
        <v>465679</v>
      </c>
      <c r="AG273" s="208"/>
      <c r="AH273" s="208"/>
      <c r="AI273" s="208"/>
      <c r="AJ273" s="208"/>
      <c r="AK273" s="208"/>
    </row>
    <row r="274">
      <c r="A274" s="209">
        <f>IFERROR(__xludf.DUMMYFUNCTION("""COMPUTED_VALUE"""),46207.0)</f>
        <v>46207</v>
      </c>
      <c r="B274" s="210">
        <f>IFERROR(__xludf.DUMMYFUNCTION("""COMPUTED_VALUE"""),0.5)</f>
        <v>0.5</v>
      </c>
      <c r="C274" s="211" t="str">
        <f>IFERROR(__xludf.DUMMYFUNCTION("""COMPUTED_VALUE"""),"Sms")</f>
        <v>Sms</v>
      </c>
      <c r="D274" s="211" t="str">
        <f>IFERROR(__xludf.DUMMYFUNCTION("""COMPUTED_VALUE"""),"Fallback campaign")</f>
        <v>Fallback campaign</v>
      </c>
      <c r="E274" s="211" t="str">
        <f>IFERROR(__xludf.DUMMYFUNCTION("""COMPUTED_VALUE"""),"Aldo")</f>
        <v>Aldo</v>
      </c>
      <c r="F274" s="211" t="str">
        <f>IFERROR(__xludf.DUMMYFUNCTION("""COMPUTED_VALUE"""),"40%-70% OFF - End of season sale")</f>
        <v>40%-70% OFF - End of season sale</v>
      </c>
      <c r="G274" s="211" t="str">
        <f>IFERROR(__xludf.DUMMYFUNCTION("""COMPUTED_VALUE"""),"AL_July_ON_OFF_Repeat_3Year_Fallback")</f>
        <v>AL_July_ON_OFF_Repeat_3Year_Fallback</v>
      </c>
      <c r="H274" s="212" t="str">
        <f>IFERROR(__xludf.DUMMYFUNCTION("""COMPUTED_VALUE"""),"AL_ON_OFF_Repeat_3Year")</f>
        <v>AL_ON_OFF_Repeat_3Year</v>
      </c>
      <c r="I274" s="212" t="str">
        <f>IFERROR(__xludf.DUMMYFUNCTION("""COMPUTED_VALUE"""),"RCS Undelivered")</f>
        <v>RCS Undelivered</v>
      </c>
      <c r="J274" s="213">
        <f>IFERROR(__xludf.DUMMYFUNCTION("""COMPUTED_VALUE"""),49048.0)</f>
        <v>49048</v>
      </c>
      <c r="K274" s="213">
        <f>IFERROR(__xludf.DUMMYFUNCTION("""COMPUTED_VALUE"""),26345.0)</f>
        <v>26345</v>
      </c>
      <c r="L274" s="214">
        <f>IFERROR(__xludf.DUMMYFUNCTION("""COMPUTED_VALUE"""),0.5371)</f>
        <v>0.5371</v>
      </c>
      <c r="M274" s="213">
        <f>IFERROR(__xludf.DUMMYFUNCTION("""COMPUTED_VALUE"""),0.0)</f>
        <v>0</v>
      </c>
      <c r="N274" s="214">
        <f>IFERROR(__xludf.DUMMYFUNCTION("""COMPUTED_VALUE"""),0.0)</f>
        <v>0</v>
      </c>
      <c r="O274" s="213">
        <f>IFERROR(__xludf.DUMMYFUNCTION("""COMPUTED_VALUE"""),56.0)</f>
        <v>56</v>
      </c>
      <c r="P274" s="213">
        <f>IFERROR(__xludf.DUMMYFUNCTION("""COMPUTED_VALUE"""),0.0)</f>
        <v>0</v>
      </c>
      <c r="Q274" s="214">
        <f>IFERROR(__xludf.DUMMYFUNCTION("""COMPUTED_VALUE"""),0.0021)</f>
        <v>0.0021</v>
      </c>
      <c r="R274" s="214">
        <f>IFERROR(__xludf.DUMMYFUNCTION("""COMPUTED_VALUE"""),0.0)</f>
        <v>0</v>
      </c>
      <c r="S274" s="213">
        <f>IFERROR(__xludf.DUMMYFUNCTION("""COMPUTED_VALUE"""),2.0)</f>
        <v>2</v>
      </c>
      <c r="T274" s="213">
        <f>IFERROR(__xludf.DUMMYFUNCTION("""COMPUTED_VALUE"""),1.0)</f>
        <v>1</v>
      </c>
      <c r="U274" s="213">
        <f>IFERROR(__xludf.DUMMYFUNCTION("""COMPUTED_VALUE"""),13701.0)</f>
        <v>13701</v>
      </c>
      <c r="V274" s="213" t="str">
        <f>IFERROR(__xludf.DUMMYFUNCTION("""COMPUTED_VALUE"""),"overall")</f>
        <v>overall</v>
      </c>
      <c r="W274" s="213" t="str">
        <f>IFERROR(__xludf.DUMMYFUNCTION("""COMPUTED_VALUE"""),"SMS")</f>
        <v>SMS</v>
      </c>
      <c r="X274" s="213" t="str">
        <f>IFERROR(__xludf.DUMMYFUNCTION("""COMPUTED_VALUE"""),"Repeat")</f>
        <v>Repeat</v>
      </c>
      <c r="Y274" s="213" t="str">
        <f>IFERROR(__xludf.DUMMYFUNCTION("""COMPUTED_VALUE"""),"04th Sat - 05th Sunday July 2026")</f>
        <v>04th Sat - 05th Sunday July 2026</v>
      </c>
      <c r="Z274" s="213" t="str">
        <f>IFERROR(__xludf.DUMMYFUNCTION("""COMPUTED_VALUE"""),"6a47aeac390852cfdfb15ffe")</f>
        <v>6a47aeac390852cfdfb15ffe</v>
      </c>
      <c r="AA274" s="213">
        <f>IFERROR(__xludf.DUMMYFUNCTION("""COMPUTED_VALUE"""),54.0)</f>
        <v>54</v>
      </c>
      <c r="AB274" s="213">
        <f>IFERROR(__xludf.DUMMYFUNCTION("""COMPUTED_VALUE"""),8.0)</f>
        <v>8</v>
      </c>
      <c r="AC274" s="213">
        <f>IFERROR(__xludf.DUMMYFUNCTION("""COMPUTED_VALUE"""),46.0)</f>
        <v>46</v>
      </c>
      <c r="AD274" s="213">
        <f>IFERROR(__xludf.DUMMYFUNCTION("""COMPUTED_VALUE"""),537807.0)</f>
        <v>537807</v>
      </c>
      <c r="AE274" s="213">
        <f>IFERROR(__xludf.DUMMYFUNCTION("""COMPUTED_VALUE"""),93621.0)</f>
        <v>93621</v>
      </c>
      <c r="AF274" s="213">
        <f>IFERROR(__xludf.DUMMYFUNCTION("""COMPUTED_VALUE"""),444186.0)</f>
        <v>444186</v>
      </c>
      <c r="AG274" s="208"/>
      <c r="AH274" s="208"/>
      <c r="AI274" s="208"/>
      <c r="AJ274" s="208"/>
      <c r="AK274" s="208"/>
    </row>
    <row r="275">
      <c r="A275" s="209">
        <f>IFERROR(__xludf.DUMMYFUNCTION("""COMPUTED_VALUE"""),46207.0)</f>
        <v>46207</v>
      </c>
      <c r="B275" s="210">
        <f>IFERROR(__xludf.DUMMYFUNCTION("""COMPUTED_VALUE"""),0.5)</f>
        <v>0.5</v>
      </c>
      <c r="C275" s="211" t="str">
        <f>IFERROR(__xludf.DUMMYFUNCTION("""COMPUTED_VALUE"""),"Sms")</f>
        <v>Sms</v>
      </c>
      <c r="D275" s="211" t="str">
        <f>IFERROR(__xludf.DUMMYFUNCTION("""COMPUTED_VALUE"""),"Fallback campaign")</f>
        <v>Fallback campaign</v>
      </c>
      <c r="E275" s="211" t="str">
        <f>IFERROR(__xludf.DUMMYFUNCTION("""COMPUTED_VALUE"""),"Aldo")</f>
        <v>Aldo</v>
      </c>
      <c r="F275" s="211" t="str">
        <f>IFERROR(__xludf.DUMMYFUNCTION("""COMPUTED_VALUE"""),"40%-70% OFF - End of season sale")</f>
        <v>40%-70% OFF - End of season sale</v>
      </c>
      <c r="G275" s="211" t="str">
        <f>IFERROR(__xludf.DUMMYFUNCTION("""COMPUTED_VALUE"""),"AL_July_ON_OFF_600D_Buyers_Fallback")</f>
        <v>AL_July_ON_OFF_600D_Buyers_Fallback</v>
      </c>
      <c r="H275" s="212" t="str">
        <f>IFERROR(__xludf.DUMMYFUNCTION("""COMPUTED_VALUE"""),"AL_ON_OFF_600D_Buyers")</f>
        <v>AL_ON_OFF_600D_Buyers</v>
      </c>
      <c r="I275" s="212" t="str">
        <f>IFERROR(__xludf.DUMMYFUNCTION("""COMPUTED_VALUE"""),"RCS Undelivered")</f>
        <v>RCS Undelivered</v>
      </c>
      <c r="J275" s="213">
        <f>IFERROR(__xludf.DUMMYFUNCTION("""COMPUTED_VALUE"""),110886.0)</f>
        <v>110886</v>
      </c>
      <c r="K275" s="213">
        <f>IFERROR(__xludf.DUMMYFUNCTION("""COMPUTED_VALUE"""),61793.0)</f>
        <v>61793</v>
      </c>
      <c r="L275" s="214">
        <f>IFERROR(__xludf.DUMMYFUNCTION("""COMPUTED_VALUE"""),0.5573)</f>
        <v>0.5573</v>
      </c>
      <c r="M275" s="213">
        <f>IFERROR(__xludf.DUMMYFUNCTION("""COMPUTED_VALUE"""),0.0)</f>
        <v>0</v>
      </c>
      <c r="N275" s="214">
        <f>IFERROR(__xludf.DUMMYFUNCTION("""COMPUTED_VALUE"""),0.0)</f>
        <v>0</v>
      </c>
      <c r="O275" s="213">
        <f>IFERROR(__xludf.DUMMYFUNCTION("""COMPUTED_VALUE"""),98.0)</f>
        <v>98</v>
      </c>
      <c r="P275" s="213">
        <f>IFERROR(__xludf.DUMMYFUNCTION("""COMPUTED_VALUE"""),0.0)</f>
        <v>0</v>
      </c>
      <c r="Q275" s="214">
        <f>IFERROR(__xludf.DUMMYFUNCTION("""COMPUTED_VALUE"""),0.0016)</f>
        <v>0.0016</v>
      </c>
      <c r="R275" s="214">
        <f>IFERROR(__xludf.DUMMYFUNCTION("""COMPUTED_VALUE"""),0.0)</f>
        <v>0</v>
      </c>
      <c r="S275" s="213">
        <f>IFERROR(__xludf.DUMMYFUNCTION("""COMPUTED_VALUE"""),2.0)</f>
        <v>2</v>
      </c>
      <c r="T275" s="213">
        <f>IFERROR(__xludf.DUMMYFUNCTION("""COMPUTED_VALUE"""),3.0)</f>
        <v>3</v>
      </c>
      <c r="U275" s="213">
        <f>IFERROR(__xludf.DUMMYFUNCTION("""COMPUTED_VALUE"""),12898.0)</f>
        <v>12898</v>
      </c>
      <c r="V275" s="213" t="str">
        <f>IFERROR(__xludf.DUMMYFUNCTION("""COMPUTED_VALUE"""),"overall")</f>
        <v>overall</v>
      </c>
      <c r="W275" s="213" t="str">
        <f>IFERROR(__xludf.DUMMYFUNCTION("""COMPUTED_VALUE"""),"SMS")</f>
        <v>SMS</v>
      </c>
      <c r="X275" s="213" t="str">
        <f>IFERROR(__xludf.DUMMYFUNCTION("""COMPUTED_VALUE"""),"New")</f>
        <v>New</v>
      </c>
      <c r="Y275" s="213" t="str">
        <f>IFERROR(__xludf.DUMMYFUNCTION("""COMPUTED_VALUE"""),"04th Sat - 05th Sunday July 2026")</f>
        <v>04th Sat - 05th Sunday July 2026</v>
      </c>
      <c r="Z275" s="213" t="str">
        <f>IFERROR(__xludf.DUMMYFUNCTION("""COMPUTED_VALUE"""),"6a47b232a482346c16d30511")</f>
        <v>6a47b232a482346c16d30511</v>
      </c>
      <c r="AA275" s="213">
        <f>IFERROR(__xludf.DUMMYFUNCTION("""COMPUTED_VALUE"""),70.0)</f>
        <v>70</v>
      </c>
      <c r="AB275" s="213">
        <f>IFERROR(__xludf.DUMMYFUNCTION("""COMPUTED_VALUE"""),9.0)</f>
        <v>9</v>
      </c>
      <c r="AC275" s="213">
        <f>IFERROR(__xludf.DUMMYFUNCTION("""COMPUTED_VALUE"""),61.0)</f>
        <v>61</v>
      </c>
      <c r="AD275" s="213">
        <f>IFERROR(__xludf.DUMMYFUNCTION("""COMPUTED_VALUE"""),579266.0)</f>
        <v>579266</v>
      </c>
      <c r="AE275" s="213">
        <f>IFERROR(__xludf.DUMMYFUNCTION("""COMPUTED_VALUE"""),53817.0)</f>
        <v>53817</v>
      </c>
      <c r="AF275" s="213">
        <f>IFERROR(__xludf.DUMMYFUNCTION("""COMPUTED_VALUE"""),525449.0)</f>
        <v>525449</v>
      </c>
      <c r="AG275" s="208"/>
      <c r="AH275" s="208"/>
      <c r="AI275" s="208"/>
      <c r="AJ275" s="208"/>
      <c r="AK275" s="208"/>
    </row>
    <row r="276">
      <c r="A276" s="209">
        <f>IFERROR(__xludf.DUMMYFUNCTION("""COMPUTED_VALUE"""),46207.0)</f>
        <v>46207</v>
      </c>
      <c r="B276" s="210">
        <f>IFERROR(__xludf.DUMMYFUNCTION("""COMPUTED_VALUE"""),0.5)</f>
        <v>0.5</v>
      </c>
      <c r="C276" s="211" t="str">
        <f>IFERROR(__xludf.DUMMYFUNCTION("""COMPUTED_VALUE"""),"Sms")</f>
        <v>Sms</v>
      </c>
      <c r="D276" s="211" t="str">
        <f>IFERROR(__xludf.DUMMYFUNCTION("""COMPUTED_VALUE"""),"Fallback campaign")</f>
        <v>Fallback campaign</v>
      </c>
      <c r="E276" s="211" t="str">
        <f>IFERROR(__xludf.DUMMYFUNCTION("""COMPUTED_VALUE"""),"Aldo")</f>
        <v>Aldo</v>
      </c>
      <c r="F276" s="211" t="str">
        <f>IFERROR(__xludf.DUMMYFUNCTION("""COMPUTED_VALUE"""),"40%-70% OFF - End of season sale")</f>
        <v>40%-70% OFF - End of season sale</v>
      </c>
      <c r="G276" s="211" t="str">
        <f>IFERROR(__xludf.DUMMYFUNCTION("""COMPUTED_VALUE"""),"AL_July_ON_OFF_601D_1095D_Buyers_Fallback")</f>
        <v>AL_July_ON_OFF_601D_1095D_Buyers_Fallback</v>
      </c>
      <c r="H276" s="212" t="str">
        <f>IFERROR(__xludf.DUMMYFUNCTION("""COMPUTED_VALUE"""),"AL_ON_OFF_601D_1095D_Buyers")</f>
        <v>AL_ON_OFF_601D_1095D_Buyers</v>
      </c>
      <c r="I276" s="212" t="str">
        <f>IFERROR(__xludf.DUMMYFUNCTION("""COMPUTED_VALUE"""),"RCS Undelivered")</f>
        <v>RCS Undelivered</v>
      </c>
      <c r="J276" s="213">
        <f>IFERROR(__xludf.DUMMYFUNCTION("""COMPUTED_VALUE"""),73535.0)</f>
        <v>73535</v>
      </c>
      <c r="K276" s="213">
        <f>IFERROR(__xludf.DUMMYFUNCTION("""COMPUTED_VALUE"""),38921.0)</f>
        <v>38921</v>
      </c>
      <c r="L276" s="214">
        <f>IFERROR(__xludf.DUMMYFUNCTION("""COMPUTED_VALUE"""),0.5293)</f>
        <v>0.5293</v>
      </c>
      <c r="M276" s="213">
        <f>IFERROR(__xludf.DUMMYFUNCTION("""COMPUTED_VALUE"""),0.0)</f>
        <v>0</v>
      </c>
      <c r="N276" s="214">
        <f>IFERROR(__xludf.DUMMYFUNCTION("""COMPUTED_VALUE"""),0.0)</f>
        <v>0</v>
      </c>
      <c r="O276" s="213">
        <f>IFERROR(__xludf.DUMMYFUNCTION("""COMPUTED_VALUE"""),60.0)</f>
        <v>60</v>
      </c>
      <c r="P276" s="213">
        <f>IFERROR(__xludf.DUMMYFUNCTION("""COMPUTED_VALUE"""),0.0)</f>
        <v>0</v>
      </c>
      <c r="Q276" s="214">
        <f>IFERROR(__xludf.DUMMYFUNCTION("""COMPUTED_VALUE"""),0.0015)</f>
        <v>0.0015</v>
      </c>
      <c r="R276" s="214">
        <f>IFERROR(__xludf.DUMMYFUNCTION("""COMPUTED_VALUE"""),0.0)</f>
        <v>0</v>
      </c>
      <c r="S276" s="213">
        <f>IFERROR(__xludf.DUMMYFUNCTION("""COMPUTED_VALUE"""),0.0)</f>
        <v>0</v>
      </c>
      <c r="T276" s="213">
        <f>IFERROR(__xludf.DUMMYFUNCTION("""COMPUTED_VALUE"""),2.0)</f>
        <v>2</v>
      </c>
      <c r="U276" s="213">
        <f>IFERROR(__xludf.DUMMYFUNCTION("""COMPUTED_VALUE"""),0.0)</f>
        <v>0</v>
      </c>
      <c r="V276" s="213" t="str">
        <f>IFERROR(__xludf.DUMMYFUNCTION("""COMPUTED_VALUE"""),"overall")</f>
        <v>overall</v>
      </c>
      <c r="W276" s="213" t="str">
        <f>IFERROR(__xludf.DUMMYFUNCTION("""COMPUTED_VALUE"""),"SMS")</f>
        <v>SMS</v>
      </c>
      <c r="X276" s="213" t="str">
        <f>IFERROR(__xludf.DUMMYFUNCTION("""COMPUTED_VALUE"""),"New")</f>
        <v>New</v>
      </c>
      <c r="Y276" s="213" t="str">
        <f>IFERROR(__xludf.DUMMYFUNCTION("""COMPUTED_VALUE"""),"04th Sat - 05th Sunday July 2026")</f>
        <v>04th Sat - 05th Sunday July 2026</v>
      </c>
      <c r="Z276" s="213" t="str">
        <f>IFERROR(__xludf.DUMMYFUNCTION("""COMPUTED_VALUE"""),"6a47b2b24ee2bda70054fcea")</f>
        <v>6a47b2b24ee2bda70054fcea</v>
      </c>
      <c r="AA276" s="213">
        <f>IFERROR(__xludf.DUMMYFUNCTION("""COMPUTED_VALUE"""),27.0)</f>
        <v>27</v>
      </c>
      <c r="AB276" s="213">
        <f>IFERROR(__xludf.DUMMYFUNCTION("""COMPUTED_VALUE"""),3.0)</f>
        <v>3</v>
      </c>
      <c r="AC276" s="213">
        <f>IFERROR(__xludf.DUMMYFUNCTION("""COMPUTED_VALUE"""),24.0)</f>
        <v>24</v>
      </c>
      <c r="AD276" s="213">
        <f>IFERROR(__xludf.DUMMYFUNCTION("""COMPUTED_VALUE"""),234125.0)</f>
        <v>234125</v>
      </c>
      <c r="AE276" s="213">
        <f>IFERROR(__xludf.DUMMYFUNCTION("""COMPUTED_VALUE"""),24897.0)</f>
        <v>24897</v>
      </c>
      <c r="AF276" s="213">
        <f>IFERROR(__xludf.DUMMYFUNCTION("""COMPUTED_VALUE"""),209228.0)</f>
        <v>209228</v>
      </c>
      <c r="AG276" s="208"/>
      <c r="AH276" s="208"/>
      <c r="AI276" s="208"/>
      <c r="AJ276" s="208"/>
      <c r="AK276" s="208"/>
    </row>
    <row r="277">
      <c r="A277" s="209">
        <f>IFERROR(__xludf.DUMMYFUNCTION("""COMPUTED_VALUE"""),46207.0)</f>
        <v>46207</v>
      </c>
      <c r="B277" s="210">
        <f>IFERROR(__xludf.DUMMYFUNCTION("""COMPUTED_VALUE"""),0.375)</f>
        <v>0.375</v>
      </c>
      <c r="C277" s="211" t="str">
        <f>IFERROR(__xludf.DUMMYFUNCTION("""COMPUTED_VALUE"""),"Rcs")</f>
        <v>Rcs</v>
      </c>
      <c r="D277" s="211" t="str">
        <f>IFERROR(__xludf.DUMMYFUNCTION("""COMPUTED_VALUE"""),"Promotional")</f>
        <v>Promotional</v>
      </c>
      <c r="E277" s="211" t="str">
        <f>IFERROR(__xludf.DUMMYFUNCTION("""COMPUTED_VALUE"""),"Aldo")</f>
        <v>Aldo</v>
      </c>
      <c r="F277" s="211" t="str">
        <f>IFERROR(__xludf.DUMMYFUNCTION("""COMPUTED_VALUE"""),"40%-70% OFF - End of season sale")</f>
        <v>40%-70% OFF - End of season sale</v>
      </c>
      <c r="G277" s="211" t="str">
        <f>IFERROR(__xludf.DUMMYFUNCTION("""COMPUTED_VALUE"""),"AL_July_ON_ATC_90D")</f>
        <v>AL_July_ON_ATC_90D</v>
      </c>
      <c r="H277" s="212" t="str">
        <f>IFERROR(__xludf.DUMMYFUNCTION("""COMPUTED_VALUE"""),"AL_ON_ATC_90D")</f>
        <v>AL_ON_ATC_90D</v>
      </c>
      <c r="I277" s="212" t="str">
        <f>IFERROR(__xludf.DUMMYFUNCTION("""COMPUTED_VALUE"""),"Customers who have added to cart at least 2 times in the last 90 days")</f>
        <v>Customers who have added to cart at least 2 times in the last 90 days</v>
      </c>
      <c r="J277" s="213">
        <f>IFERROR(__xludf.DUMMYFUNCTION("""COMPUTED_VALUE"""),3634.0)</f>
        <v>3634</v>
      </c>
      <c r="K277" s="213">
        <f>IFERROR(__xludf.DUMMYFUNCTION("""COMPUTED_VALUE"""),494.0)</f>
        <v>494</v>
      </c>
      <c r="L277" s="214">
        <f>IFERROR(__xludf.DUMMYFUNCTION("""COMPUTED_VALUE"""),0.1359)</f>
        <v>0.1359</v>
      </c>
      <c r="M277" s="213">
        <f>IFERROR(__xludf.DUMMYFUNCTION("""COMPUTED_VALUE"""),100.0)</f>
        <v>100</v>
      </c>
      <c r="N277" s="214">
        <f>IFERROR(__xludf.DUMMYFUNCTION("""COMPUTED_VALUE"""),0.2024)</f>
        <v>0.2024</v>
      </c>
      <c r="O277" s="213">
        <f>IFERROR(__xludf.DUMMYFUNCTION("""COMPUTED_VALUE"""),12.0)</f>
        <v>12</v>
      </c>
      <c r="P277" s="213">
        <f>IFERROR(__xludf.DUMMYFUNCTION("""COMPUTED_VALUE"""),0.0)</f>
        <v>0</v>
      </c>
      <c r="Q277" s="214">
        <f>IFERROR(__xludf.DUMMYFUNCTION("""COMPUTED_VALUE"""),0.0304)</f>
        <v>0.0304</v>
      </c>
      <c r="R277" s="214">
        <f>IFERROR(__xludf.DUMMYFUNCTION("""COMPUTED_VALUE"""),0.0)</f>
        <v>0</v>
      </c>
      <c r="S277" s="213">
        <f>IFERROR(__xludf.DUMMYFUNCTION("""COMPUTED_VALUE"""),0.0)</f>
        <v>0</v>
      </c>
      <c r="T277" s="213">
        <f>IFERROR(__xludf.DUMMYFUNCTION("""COMPUTED_VALUE"""),2.0)</f>
        <v>2</v>
      </c>
      <c r="U277" s="213">
        <f>IFERROR(__xludf.DUMMYFUNCTION("""COMPUTED_VALUE"""),0.0)</f>
        <v>0</v>
      </c>
      <c r="V277" s="213" t="str">
        <f>IFERROR(__xludf.DUMMYFUNCTION("""COMPUTED_VALUE"""),"online")</f>
        <v>online</v>
      </c>
      <c r="W277" s="213" t="str">
        <f>IFERROR(__xludf.DUMMYFUNCTION("""COMPUTED_VALUE"""),"simple")</f>
        <v>simple</v>
      </c>
      <c r="X277" s="213" t="str">
        <f>IFERROR(__xludf.DUMMYFUNCTION("""COMPUTED_VALUE"""),"ATC/View")</f>
        <v>ATC/View</v>
      </c>
      <c r="Y277" s="213" t="str">
        <f>IFERROR(__xludf.DUMMYFUNCTION("""COMPUTED_VALUE"""),"04th Sat - 05th Sunday July 2026")</f>
        <v>04th Sat - 05th Sunday July 2026</v>
      </c>
      <c r="Z277" s="213" t="str">
        <f>IFERROR(__xludf.DUMMYFUNCTION("""COMPUTED_VALUE"""),"6a47a78b335d4078250df939")</f>
        <v>6a47a78b335d4078250df939</v>
      </c>
      <c r="AA277" s="213">
        <f>IFERROR(__xludf.DUMMYFUNCTION("""COMPUTED_VALUE"""),1.0)</f>
        <v>1</v>
      </c>
      <c r="AB277" s="213">
        <f>IFERROR(__xludf.DUMMYFUNCTION("""COMPUTED_VALUE"""),1.0)</f>
        <v>1</v>
      </c>
      <c r="AC277" s="213"/>
      <c r="AD277" s="213">
        <f>IFERROR(__xludf.DUMMYFUNCTION("""COMPUTED_VALUE"""),10800.0)</f>
        <v>10800</v>
      </c>
      <c r="AE277" s="213">
        <f>IFERROR(__xludf.DUMMYFUNCTION("""COMPUTED_VALUE"""),10800.0)</f>
        <v>10800</v>
      </c>
      <c r="AF277" s="213"/>
      <c r="AG277" s="208"/>
      <c r="AH277" s="208"/>
      <c r="AI277" s="208"/>
      <c r="AJ277" s="208"/>
      <c r="AK277" s="208"/>
    </row>
    <row r="278">
      <c r="A278" s="209">
        <f>IFERROR(__xludf.DUMMYFUNCTION("""COMPUTED_VALUE"""),46207.0)</f>
        <v>46207</v>
      </c>
      <c r="B278" s="210">
        <f>IFERROR(__xludf.DUMMYFUNCTION("""COMPUTED_VALUE"""),0.375)</f>
        <v>0.375</v>
      </c>
      <c r="C278" s="211" t="str">
        <f>IFERROR(__xludf.DUMMYFUNCTION("""COMPUTED_VALUE"""),"Rcs")</f>
        <v>Rcs</v>
      </c>
      <c r="D278" s="211" t="str">
        <f>IFERROR(__xludf.DUMMYFUNCTION("""COMPUTED_VALUE"""),"Promotional")</f>
        <v>Promotional</v>
      </c>
      <c r="E278" s="211" t="str">
        <f>IFERROR(__xludf.DUMMYFUNCTION("""COMPUTED_VALUE"""),"Aldo")</f>
        <v>Aldo</v>
      </c>
      <c r="F278" s="211" t="str">
        <f>IFERROR(__xludf.DUMMYFUNCTION("""COMPUTED_VALUE"""),"40%-70% OFF - End of season sale")</f>
        <v>40%-70% OFF - End of season sale</v>
      </c>
      <c r="G278" s="211" t="str">
        <f>IFERROR(__xludf.DUMMYFUNCTION("""COMPUTED_VALUE"""),"AL_July_ON_View_Item")</f>
        <v>AL_July_ON_View_Item</v>
      </c>
      <c r="H278" s="212" t="str">
        <f>IFERROR(__xludf.DUMMYFUNCTION("""COMPUTED_VALUE"""),"AL_ON_View_Item")</f>
        <v>AL_ON_View_Item</v>
      </c>
      <c r="I278" s="212" t="str">
        <f>IFERROR(__xludf.DUMMYFUNCTION("""COMPUTED_VALUE"""),"Customers who have added to wishlist at least 1 time OR viewed_item at least 3 times in the last 90 days")</f>
        <v>Customers who have added to wishlist at least 1 time OR viewed_item at least 3 times in the last 90 days</v>
      </c>
      <c r="J278" s="213">
        <f>IFERROR(__xludf.DUMMYFUNCTION("""COMPUTED_VALUE"""),457.0)</f>
        <v>457</v>
      </c>
      <c r="K278" s="213">
        <f>IFERROR(__xludf.DUMMYFUNCTION("""COMPUTED_VALUE"""),51.0)</f>
        <v>51</v>
      </c>
      <c r="L278" s="214">
        <f>IFERROR(__xludf.DUMMYFUNCTION("""COMPUTED_VALUE"""),0.1116)</f>
        <v>0.1116</v>
      </c>
      <c r="M278" s="213">
        <f>IFERROR(__xludf.DUMMYFUNCTION("""COMPUTED_VALUE"""),9.0)</f>
        <v>9</v>
      </c>
      <c r="N278" s="214">
        <f>IFERROR(__xludf.DUMMYFUNCTION("""COMPUTED_VALUE"""),0.1765)</f>
        <v>0.1765</v>
      </c>
      <c r="O278" s="213">
        <f>IFERROR(__xludf.DUMMYFUNCTION("""COMPUTED_VALUE"""),0.0)</f>
        <v>0</v>
      </c>
      <c r="P278" s="213">
        <f>IFERROR(__xludf.DUMMYFUNCTION("""COMPUTED_VALUE"""),0.0)</f>
        <v>0</v>
      </c>
      <c r="Q278" s="214">
        <f>IFERROR(__xludf.DUMMYFUNCTION("""COMPUTED_VALUE"""),0.0)</f>
        <v>0</v>
      </c>
      <c r="R278" s="214">
        <f>IFERROR(__xludf.DUMMYFUNCTION("""COMPUTED_VALUE"""),0.0)</f>
        <v>0</v>
      </c>
      <c r="S278" s="213">
        <f>IFERROR(__xludf.DUMMYFUNCTION("""COMPUTED_VALUE"""),0.0)</f>
        <v>0</v>
      </c>
      <c r="T278" s="213">
        <f>IFERROR(__xludf.DUMMYFUNCTION("""COMPUTED_VALUE"""),0.0)</f>
        <v>0</v>
      </c>
      <c r="U278" s="213">
        <f>IFERROR(__xludf.DUMMYFUNCTION("""COMPUTED_VALUE"""),0.0)</f>
        <v>0</v>
      </c>
      <c r="V278" s="213" t="str">
        <f>IFERROR(__xludf.DUMMYFUNCTION("""COMPUTED_VALUE"""),"online")</f>
        <v>online</v>
      </c>
      <c r="W278" s="213" t="str">
        <f>IFERROR(__xludf.DUMMYFUNCTION("""COMPUTED_VALUE"""),"simple")</f>
        <v>simple</v>
      </c>
      <c r="X278" s="213" t="str">
        <f>IFERROR(__xludf.DUMMYFUNCTION("""COMPUTED_VALUE"""),"ATC/View")</f>
        <v>ATC/View</v>
      </c>
      <c r="Y278" s="213" t="str">
        <f>IFERROR(__xludf.DUMMYFUNCTION("""COMPUTED_VALUE"""),"04th Sat - 05th Sunday July 2026")</f>
        <v>04th Sat - 05th Sunday July 2026</v>
      </c>
      <c r="Z278" s="213" t="str">
        <f>IFERROR(__xludf.DUMMYFUNCTION("""COMPUTED_VALUE"""),"6a47a9466687e966614b2820")</f>
        <v>6a47a9466687e966614b2820</v>
      </c>
      <c r="AA278" s="213">
        <f>IFERROR(__xludf.DUMMYFUNCTION("""COMPUTED_VALUE"""),0.0)</f>
        <v>0</v>
      </c>
      <c r="AB278" s="213">
        <f>IFERROR(__xludf.DUMMYFUNCTION("""COMPUTED_VALUE"""),0.0)</f>
        <v>0</v>
      </c>
      <c r="AC278" s="213"/>
      <c r="AD278" s="213">
        <f>IFERROR(__xludf.DUMMYFUNCTION("""COMPUTED_VALUE"""),0.0)</f>
        <v>0</v>
      </c>
      <c r="AE278" s="213">
        <f>IFERROR(__xludf.DUMMYFUNCTION("""COMPUTED_VALUE"""),0.0)</f>
        <v>0</v>
      </c>
      <c r="AF278" s="213"/>
      <c r="AG278" s="208"/>
      <c r="AH278" s="208"/>
      <c r="AI278" s="208"/>
      <c r="AJ278" s="208"/>
      <c r="AK278" s="208"/>
    </row>
    <row r="279">
      <c r="A279" s="209">
        <f>IFERROR(__xludf.DUMMYFUNCTION("""COMPUTED_VALUE"""),46207.0)</f>
        <v>46207</v>
      </c>
      <c r="B279" s="210">
        <f>IFERROR(__xludf.DUMMYFUNCTION("""COMPUTED_VALUE"""),0.375)</f>
        <v>0.375</v>
      </c>
      <c r="C279" s="211" t="str">
        <f>IFERROR(__xludf.DUMMYFUNCTION("""COMPUTED_VALUE"""),"Rcs")</f>
        <v>Rcs</v>
      </c>
      <c r="D279" s="211" t="str">
        <f>IFERROR(__xludf.DUMMYFUNCTION("""COMPUTED_VALUE"""),"Promotional")</f>
        <v>Promotional</v>
      </c>
      <c r="E279" s="211" t="str">
        <f>IFERROR(__xludf.DUMMYFUNCTION("""COMPUTED_VALUE"""),"Aldo")</f>
        <v>Aldo</v>
      </c>
      <c r="F279" s="211" t="str">
        <f>IFERROR(__xludf.DUMMYFUNCTION("""COMPUTED_VALUE"""),"40%-70% OFF - End of season sale")</f>
        <v>40%-70% OFF - End of season sale</v>
      </c>
      <c r="G279" s="211" t="str">
        <f>IFERROR(__xludf.DUMMYFUNCTION("""COMPUTED_VALUE"""),"AL_July_ON_OFF_Event_Buyers_EOSS")</f>
        <v>AL_July_ON_OFF_Event_Buyers_EOSS</v>
      </c>
      <c r="H279" s="212" t="str">
        <f>IFERROR(__xludf.DUMMYFUNCTION("""COMPUTED_VALUE"""),"AL_ON_OFF_Event_Buyers_EOSS")</f>
        <v>AL_ON_OFF_Event_Buyers_EOSS</v>
      </c>
      <c r="I279" s="212" t="str">
        <f>IFERROR(__xludf.DUMMYFUNCTION("""COMPUTED_VALUE"""),"Customers who have purchased at least 1 time during the periods 30 April–4 May 2025, 20–29 June 2025, 19–22 July 2025, 25 November–5 December 2025, 12–19 December 2025, 25 December 2025–5 January 2026, or 30 April–4 May 2026.")</f>
        <v>Customers who have purchased at least 1 time during the periods 30 April–4 May 2025, 20–29 June 2025, 19–22 July 2025, 25 November–5 December 2025, 12–19 December 2025, 25 December 2025–5 January 2026, or 30 April–4 May 2026.</v>
      </c>
      <c r="J279" s="213">
        <f>IFERROR(__xludf.DUMMYFUNCTION("""COMPUTED_VALUE"""),60687.0)</f>
        <v>60687</v>
      </c>
      <c r="K279" s="213">
        <f>IFERROR(__xludf.DUMMYFUNCTION("""COMPUTED_VALUE"""),11467.0)</f>
        <v>11467</v>
      </c>
      <c r="L279" s="214">
        <f>IFERROR(__xludf.DUMMYFUNCTION("""COMPUTED_VALUE"""),0.189)</f>
        <v>0.189</v>
      </c>
      <c r="M279" s="213">
        <f>IFERROR(__xludf.DUMMYFUNCTION("""COMPUTED_VALUE"""),2322.0)</f>
        <v>2322</v>
      </c>
      <c r="N279" s="214">
        <f>IFERROR(__xludf.DUMMYFUNCTION("""COMPUTED_VALUE"""),0.2025)</f>
        <v>0.2025</v>
      </c>
      <c r="O279" s="213">
        <f>IFERROR(__xludf.DUMMYFUNCTION("""COMPUTED_VALUE"""),82.0)</f>
        <v>82</v>
      </c>
      <c r="P279" s="213">
        <f>IFERROR(__xludf.DUMMYFUNCTION("""COMPUTED_VALUE"""),0.0)</f>
        <v>0</v>
      </c>
      <c r="Q279" s="214">
        <f>IFERROR(__xludf.DUMMYFUNCTION("""COMPUTED_VALUE"""),0.0083)</f>
        <v>0.0083</v>
      </c>
      <c r="R279" s="214">
        <f>IFERROR(__xludf.DUMMYFUNCTION("""COMPUTED_VALUE"""),0.0)</f>
        <v>0</v>
      </c>
      <c r="S279" s="213">
        <f>IFERROR(__xludf.DUMMYFUNCTION("""COMPUTED_VALUE"""),0.0)</f>
        <v>0</v>
      </c>
      <c r="T279" s="213">
        <f>IFERROR(__xludf.DUMMYFUNCTION("""COMPUTED_VALUE"""),0.0)</f>
        <v>0</v>
      </c>
      <c r="U279" s="213">
        <f>IFERROR(__xludf.DUMMYFUNCTION("""COMPUTED_VALUE"""),0.0)</f>
        <v>0</v>
      </c>
      <c r="V279" s="213" t="str">
        <f>IFERROR(__xludf.DUMMYFUNCTION("""COMPUTED_VALUE"""),"overall")</f>
        <v>overall</v>
      </c>
      <c r="W279" s="213" t="str">
        <f>IFERROR(__xludf.DUMMYFUNCTION("""COMPUTED_VALUE"""),"simple")</f>
        <v>simple</v>
      </c>
      <c r="X279" s="213" t="str">
        <f>IFERROR(__xludf.DUMMYFUNCTION("""COMPUTED_VALUE"""),"Event Buyers")</f>
        <v>Event Buyers</v>
      </c>
      <c r="Y279" s="213" t="str">
        <f>IFERROR(__xludf.DUMMYFUNCTION("""COMPUTED_VALUE"""),"04th Sat - 05th Sunday July 2026")</f>
        <v>04th Sat - 05th Sunday July 2026</v>
      </c>
      <c r="Z279" s="213" t="str">
        <f>IFERROR(__xludf.DUMMYFUNCTION("""COMPUTED_VALUE"""),"6a47aa161a391522c4f4bd72")</f>
        <v>6a47aa161a391522c4f4bd72</v>
      </c>
      <c r="AA279" s="213">
        <f>IFERROR(__xludf.DUMMYFUNCTION("""COMPUTED_VALUE"""),19.0)</f>
        <v>19</v>
      </c>
      <c r="AB279" s="213">
        <f>IFERROR(__xludf.DUMMYFUNCTION("""COMPUTED_VALUE"""),2.0)</f>
        <v>2</v>
      </c>
      <c r="AC279" s="213">
        <f>IFERROR(__xludf.DUMMYFUNCTION("""COMPUTED_VALUE"""),17.0)</f>
        <v>17</v>
      </c>
      <c r="AD279" s="213">
        <f>IFERROR(__xludf.DUMMYFUNCTION("""COMPUTED_VALUE"""),184177.0)</f>
        <v>184177</v>
      </c>
      <c r="AE279" s="213">
        <f>IFERROR(__xludf.DUMMYFUNCTION("""COMPUTED_VALUE"""),18498.0)</f>
        <v>18498</v>
      </c>
      <c r="AF279" s="213">
        <f>IFERROR(__xludf.DUMMYFUNCTION("""COMPUTED_VALUE"""),165679.0)</f>
        <v>165679</v>
      </c>
      <c r="AG279" s="208"/>
      <c r="AH279" s="208"/>
      <c r="AI279" s="208"/>
      <c r="AJ279" s="208"/>
      <c r="AK279" s="208"/>
    </row>
    <row r="280">
      <c r="A280" s="209">
        <f>IFERROR(__xludf.DUMMYFUNCTION("""COMPUTED_VALUE"""),46207.0)</f>
        <v>46207</v>
      </c>
      <c r="B280" s="210">
        <f>IFERROR(__xludf.DUMMYFUNCTION("""COMPUTED_VALUE"""),0.375)</f>
        <v>0.375</v>
      </c>
      <c r="C280" s="211" t="str">
        <f>IFERROR(__xludf.DUMMYFUNCTION("""COMPUTED_VALUE"""),"Rcs")</f>
        <v>Rcs</v>
      </c>
      <c r="D280" s="211" t="str">
        <f>IFERROR(__xludf.DUMMYFUNCTION("""COMPUTED_VALUE"""),"Promotional")</f>
        <v>Promotional</v>
      </c>
      <c r="E280" s="211" t="str">
        <f>IFERROR(__xludf.DUMMYFUNCTION("""COMPUTED_VALUE"""),"Aldo")</f>
        <v>Aldo</v>
      </c>
      <c r="F280" s="211" t="str">
        <f>IFERROR(__xludf.DUMMYFUNCTION("""COMPUTED_VALUE"""),"40%-70% OFF - End of season sale")</f>
        <v>40%-70% OFF - End of season sale</v>
      </c>
      <c r="G280" s="211" t="str">
        <f>IFERROR(__xludf.DUMMYFUNCTION("""COMPUTED_VALUE"""),"AL_July_ON_OFF_Repeat_3Year")</f>
        <v>AL_July_ON_OFF_Repeat_3Year</v>
      </c>
      <c r="H280" s="212" t="str">
        <f>IFERROR(__xludf.DUMMYFUNCTION("""COMPUTED_VALUE"""),"AL_ON_OFF_Repeat_3Year")</f>
        <v>AL_ON_OFF_Repeat_3Year</v>
      </c>
      <c r="I280" s="212" t="str">
        <f>IFERROR(__xludf.DUMMYFUNCTION("""COMPUTED_VALUE"""),"Customers who have purchased at least 2 times in the last 1095 days")</f>
        <v>Customers who have purchased at least 2 times in the last 1095 days</v>
      </c>
      <c r="J280" s="213">
        <f>IFERROR(__xludf.DUMMYFUNCTION("""COMPUTED_VALUE"""),58745.0)</f>
        <v>58745</v>
      </c>
      <c r="K280" s="213">
        <f>IFERROR(__xludf.DUMMYFUNCTION("""COMPUTED_VALUE"""),9914.0)</f>
        <v>9914</v>
      </c>
      <c r="L280" s="214">
        <f>IFERROR(__xludf.DUMMYFUNCTION("""COMPUTED_VALUE"""),0.1688)</f>
        <v>0.1688</v>
      </c>
      <c r="M280" s="213">
        <f>IFERROR(__xludf.DUMMYFUNCTION("""COMPUTED_VALUE"""),2087.0)</f>
        <v>2087</v>
      </c>
      <c r="N280" s="214">
        <f>IFERROR(__xludf.DUMMYFUNCTION("""COMPUTED_VALUE"""),0.2107)</f>
        <v>0.2107</v>
      </c>
      <c r="O280" s="213">
        <f>IFERROR(__xludf.DUMMYFUNCTION("""COMPUTED_VALUE"""),62.0)</f>
        <v>62</v>
      </c>
      <c r="P280" s="213">
        <f>IFERROR(__xludf.DUMMYFUNCTION("""COMPUTED_VALUE"""),0.0)</f>
        <v>0</v>
      </c>
      <c r="Q280" s="214">
        <f>IFERROR(__xludf.DUMMYFUNCTION("""COMPUTED_VALUE"""),0.0069)</f>
        <v>0.0069</v>
      </c>
      <c r="R280" s="214">
        <f>IFERROR(__xludf.DUMMYFUNCTION("""COMPUTED_VALUE"""),0.0)</f>
        <v>0</v>
      </c>
      <c r="S280" s="213">
        <f>IFERROR(__xludf.DUMMYFUNCTION("""COMPUTED_VALUE"""),0.0)</f>
        <v>0</v>
      </c>
      <c r="T280" s="213">
        <f>IFERROR(__xludf.DUMMYFUNCTION("""COMPUTED_VALUE"""),1.0)</f>
        <v>1</v>
      </c>
      <c r="U280" s="213">
        <f>IFERROR(__xludf.DUMMYFUNCTION("""COMPUTED_VALUE"""),0.0)</f>
        <v>0</v>
      </c>
      <c r="V280" s="213" t="str">
        <f>IFERROR(__xludf.DUMMYFUNCTION("""COMPUTED_VALUE"""),"overall")</f>
        <v>overall</v>
      </c>
      <c r="W280" s="213" t="str">
        <f>IFERROR(__xludf.DUMMYFUNCTION("""COMPUTED_VALUE"""),"simple")</f>
        <v>simple</v>
      </c>
      <c r="X280" s="213" t="str">
        <f>IFERROR(__xludf.DUMMYFUNCTION("""COMPUTED_VALUE"""),"Repeat")</f>
        <v>Repeat</v>
      </c>
      <c r="Y280" s="213" t="str">
        <f>IFERROR(__xludf.DUMMYFUNCTION("""COMPUTED_VALUE"""),"04th Sat - 05th Sunday July 2026")</f>
        <v>04th Sat - 05th Sunday July 2026</v>
      </c>
      <c r="Z280" s="213" t="str">
        <f>IFERROR(__xludf.DUMMYFUNCTION("""COMPUTED_VALUE"""),"6a47adff5e2a8468233cdfd0")</f>
        <v>6a47adff5e2a8468233cdfd0</v>
      </c>
      <c r="AA280" s="213">
        <f>IFERROR(__xludf.DUMMYFUNCTION("""COMPUTED_VALUE"""),29.0)</f>
        <v>29</v>
      </c>
      <c r="AB280" s="213">
        <f>IFERROR(__xludf.DUMMYFUNCTION("""COMPUTED_VALUE"""),7.0)</f>
        <v>7</v>
      </c>
      <c r="AC280" s="213">
        <f>IFERROR(__xludf.DUMMYFUNCTION("""COMPUTED_VALUE"""),22.0)</f>
        <v>22</v>
      </c>
      <c r="AD280" s="213">
        <f>IFERROR(__xludf.DUMMYFUNCTION("""COMPUTED_VALUE"""),237923.0)</f>
        <v>237923</v>
      </c>
      <c r="AE280" s="213">
        <f>IFERROR(__xludf.DUMMYFUNCTION("""COMPUTED_VALUE"""),45415.0)</f>
        <v>45415</v>
      </c>
      <c r="AF280" s="213">
        <f>IFERROR(__xludf.DUMMYFUNCTION("""COMPUTED_VALUE"""),192508.0)</f>
        <v>192508</v>
      </c>
      <c r="AG280" s="208"/>
      <c r="AH280" s="208"/>
      <c r="AI280" s="208"/>
      <c r="AJ280" s="208"/>
      <c r="AK280" s="208"/>
    </row>
    <row r="281">
      <c r="A281" s="209">
        <f>IFERROR(__xludf.DUMMYFUNCTION("""COMPUTED_VALUE"""),46207.0)</f>
        <v>46207</v>
      </c>
      <c r="B281" s="210">
        <f>IFERROR(__xludf.DUMMYFUNCTION("""COMPUTED_VALUE"""),0.375)</f>
        <v>0.375</v>
      </c>
      <c r="C281" s="211" t="str">
        <f>IFERROR(__xludf.DUMMYFUNCTION("""COMPUTED_VALUE"""),"Rcs")</f>
        <v>Rcs</v>
      </c>
      <c r="D281" s="211" t="str">
        <f>IFERROR(__xludf.DUMMYFUNCTION("""COMPUTED_VALUE"""),"Promotional")</f>
        <v>Promotional</v>
      </c>
      <c r="E281" s="211" t="str">
        <f>IFERROR(__xludf.DUMMYFUNCTION("""COMPUTED_VALUE"""),"Aldo")</f>
        <v>Aldo</v>
      </c>
      <c r="F281" s="211" t="str">
        <f>IFERROR(__xludf.DUMMYFUNCTION("""COMPUTED_VALUE"""),"40%-70% OFF - End of season sale")</f>
        <v>40%-70% OFF - End of season sale</v>
      </c>
      <c r="G281" s="211" t="str">
        <f>IFERROR(__xludf.DUMMYFUNCTION("""COMPUTED_VALUE"""),"AL_July_ON_OFF_600D_Buyers")</f>
        <v>AL_July_ON_OFF_600D_Buyers</v>
      </c>
      <c r="H281" s="212" t="str">
        <f>IFERROR(__xludf.DUMMYFUNCTION("""COMPUTED_VALUE"""),"AL_ON_OFF_600D_Buyers")</f>
        <v>AL_ON_OFF_600D_Buyers</v>
      </c>
      <c r="I281" s="212" t="str">
        <f>IFERROR(__xludf.DUMMYFUNCTION("""COMPUTED_VALUE"""),"Customers who have purchased exactly 1 time in the last 600 days")</f>
        <v>Customers who have purchased exactly 1 time in the last 600 days</v>
      </c>
      <c r="J281" s="213">
        <f>IFERROR(__xludf.DUMMYFUNCTION("""COMPUTED_VALUE"""),137894.0)</f>
        <v>137894</v>
      </c>
      <c r="K281" s="213">
        <f>IFERROR(__xludf.DUMMYFUNCTION("""COMPUTED_VALUE"""),27216.0)</f>
        <v>27216</v>
      </c>
      <c r="L281" s="214">
        <f>IFERROR(__xludf.DUMMYFUNCTION("""COMPUTED_VALUE"""),0.1974)</f>
        <v>0.1974</v>
      </c>
      <c r="M281" s="213">
        <f>IFERROR(__xludf.DUMMYFUNCTION("""COMPUTED_VALUE"""),5463.0)</f>
        <v>5463</v>
      </c>
      <c r="N281" s="214">
        <f>IFERROR(__xludf.DUMMYFUNCTION("""COMPUTED_VALUE"""),0.2008)</f>
        <v>0.2008</v>
      </c>
      <c r="O281" s="213">
        <f>IFERROR(__xludf.DUMMYFUNCTION("""COMPUTED_VALUE"""),177.0)</f>
        <v>177</v>
      </c>
      <c r="P281" s="213">
        <f>IFERROR(__xludf.DUMMYFUNCTION("""COMPUTED_VALUE"""),0.0)</f>
        <v>0</v>
      </c>
      <c r="Q281" s="214">
        <f>IFERROR(__xludf.DUMMYFUNCTION("""COMPUTED_VALUE"""),0.0074)</f>
        <v>0.0074</v>
      </c>
      <c r="R281" s="214">
        <f>IFERROR(__xludf.DUMMYFUNCTION("""COMPUTED_VALUE"""),0.0)</f>
        <v>0</v>
      </c>
      <c r="S281" s="213">
        <f>IFERROR(__xludf.DUMMYFUNCTION("""COMPUTED_VALUE"""),1.0)</f>
        <v>1</v>
      </c>
      <c r="T281" s="213">
        <f>IFERROR(__xludf.DUMMYFUNCTION("""COMPUTED_VALUE"""),1.0)</f>
        <v>1</v>
      </c>
      <c r="U281" s="213">
        <f>IFERROR(__xludf.DUMMYFUNCTION("""COMPUTED_VALUE"""),5999.0)</f>
        <v>5999</v>
      </c>
      <c r="V281" s="213" t="str">
        <f>IFERROR(__xludf.DUMMYFUNCTION("""COMPUTED_VALUE"""),"overall")</f>
        <v>overall</v>
      </c>
      <c r="W281" s="213" t="str">
        <f>IFERROR(__xludf.DUMMYFUNCTION("""COMPUTED_VALUE"""),"simple")</f>
        <v>simple</v>
      </c>
      <c r="X281" s="213" t="str">
        <f>IFERROR(__xludf.DUMMYFUNCTION("""COMPUTED_VALUE"""),"New")</f>
        <v>New</v>
      </c>
      <c r="Y281" s="213" t="str">
        <f>IFERROR(__xludf.DUMMYFUNCTION("""COMPUTED_VALUE"""),"04th Sat - 05th Sunday July 2026")</f>
        <v>04th Sat - 05th Sunday July 2026</v>
      </c>
      <c r="Z281" s="213" t="str">
        <f>IFERROR(__xludf.DUMMYFUNCTION("""COMPUTED_VALUE"""),"6a47b200bc9767b45adcb178")</f>
        <v>6a47b200bc9767b45adcb178</v>
      </c>
      <c r="AA281" s="213">
        <f>IFERROR(__xludf.DUMMYFUNCTION("""COMPUTED_VALUE"""),31.0)</f>
        <v>31</v>
      </c>
      <c r="AB281" s="213">
        <f>IFERROR(__xludf.DUMMYFUNCTION("""COMPUTED_VALUE"""),4.0)</f>
        <v>4</v>
      </c>
      <c r="AC281" s="213">
        <f>IFERROR(__xludf.DUMMYFUNCTION("""COMPUTED_VALUE"""),27.0)</f>
        <v>27</v>
      </c>
      <c r="AD281" s="213">
        <f>IFERROR(__xludf.DUMMYFUNCTION("""COMPUTED_VALUE"""),344630.0)</f>
        <v>344630</v>
      </c>
      <c r="AE281" s="213">
        <f>IFERROR(__xludf.DUMMYFUNCTION("""COMPUTED_VALUE"""),52704.0)</f>
        <v>52704</v>
      </c>
      <c r="AF281" s="213">
        <f>IFERROR(__xludf.DUMMYFUNCTION("""COMPUTED_VALUE"""),291926.0)</f>
        <v>291926</v>
      </c>
      <c r="AG281" s="208"/>
      <c r="AH281" s="208"/>
      <c r="AI281" s="208"/>
      <c r="AJ281" s="208"/>
      <c r="AK281" s="208"/>
    </row>
    <row r="282">
      <c r="A282" s="209">
        <f>IFERROR(__xludf.DUMMYFUNCTION("""COMPUTED_VALUE"""),46207.0)</f>
        <v>46207</v>
      </c>
      <c r="B282" s="210">
        <f>IFERROR(__xludf.DUMMYFUNCTION("""COMPUTED_VALUE"""),0.375)</f>
        <v>0.375</v>
      </c>
      <c r="C282" s="211" t="str">
        <f>IFERROR(__xludf.DUMMYFUNCTION("""COMPUTED_VALUE"""),"Rcs")</f>
        <v>Rcs</v>
      </c>
      <c r="D282" s="211" t="str">
        <f>IFERROR(__xludf.DUMMYFUNCTION("""COMPUTED_VALUE"""),"Promotional")</f>
        <v>Promotional</v>
      </c>
      <c r="E282" s="211" t="str">
        <f>IFERROR(__xludf.DUMMYFUNCTION("""COMPUTED_VALUE"""),"Aldo")</f>
        <v>Aldo</v>
      </c>
      <c r="F282" s="211" t="str">
        <f>IFERROR(__xludf.DUMMYFUNCTION("""COMPUTED_VALUE"""),"40%-70% OFF - End of season sale")</f>
        <v>40%-70% OFF - End of season sale</v>
      </c>
      <c r="G282" s="211" t="str">
        <f>IFERROR(__xludf.DUMMYFUNCTION("""COMPUTED_VALUE"""),"AL_July_ON_OFF_601D_1095D_Buyers")</f>
        <v>AL_July_ON_OFF_601D_1095D_Buyers</v>
      </c>
      <c r="H282" s="212" t="str">
        <f>IFERROR(__xludf.DUMMYFUNCTION("""COMPUTED_VALUE"""),"AL_ON_OFF_601D_1095D_Buyers")</f>
        <v>AL_ON_OFF_601D_1095D_Buyers</v>
      </c>
      <c r="I282" s="212" t="str">
        <f>IFERROR(__xludf.DUMMYFUNCTION("""COMPUTED_VALUE"""),"Customers who have purchased exactly 1 time in the between 601 days ago and 1095 days ago")</f>
        <v>Customers who have purchased exactly 1 time in the between 601 days ago and 1095 days ago</v>
      </c>
      <c r="J282" s="213">
        <f>IFERROR(__xludf.DUMMYFUNCTION("""COMPUTED_VALUE"""),90094.0)</f>
        <v>90094</v>
      </c>
      <c r="K282" s="213">
        <f>IFERROR(__xludf.DUMMYFUNCTION("""COMPUTED_VALUE"""),15778.0)</f>
        <v>15778</v>
      </c>
      <c r="L282" s="214">
        <f>IFERROR(__xludf.DUMMYFUNCTION("""COMPUTED_VALUE"""),0.1751)</f>
        <v>0.1751</v>
      </c>
      <c r="M282" s="213">
        <f>IFERROR(__xludf.DUMMYFUNCTION("""COMPUTED_VALUE"""),3279.0)</f>
        <v>3279</v>
      </c>
      <c r="N282" s="214">
        <f>IFERROR(__xludf.DUMMYFUNCTION("""COMPUTED_VALUE"""),0.2078)</f>
        <v>0.2078</v>
      </c>
      <c r="O282" s="213">
        <f>IFERROR(__xludf.DUMMYFUNCTION("""COMPUTED_VALUE"""),64.0)</f>
        <v>64</v>
      </c>
      <c r="P282" s="213">
        <f>IFERROR(__xludf.DUMMYFUNCTION("""COMPUTED_VALUE"""),0.0)</f>
        <v>0</v>
      </c>
      <c r="Q282" s="214">
        <f>IFERROR(__xludf.DUMMYFUNCTION("""COMPUTED_VALUE"""),0.0046)</f>
        <v>0.0046</v>
      </c>
      <c r="R282" s="214">
        <f>IFERROR(__xludf.DUMMYFUNCTION("""COMPUTED_VALUE"""),0.0)</f>
        <v>0</v>
      </c>
      <c r="S282" s="213">
        <f>IFERROR(__xludf.DUMMYFUNCTION("""COMPUTED_VALUE"""),0.0)</f>
        <v>0</v>
      </c>
      <c r="T282" s="213">
        <f>IFERROR(__xludf.DUMMYFUNCTION("""COMPUTED_VALUE"""),0.0)</f>
        <v>0</v>
      </c>
      <c r="U282" s="213">
        <f>IFERROR(__xludf.DUMMYFUNCTION("""COMPUTED_VALUE"""),0.0)</f>
        <v>0</v>
      </c>
      <c r="V282" s="213" t="str">
        <f>IFERROR(__xludf.DUMMYFUNCTION("""COMPUTED_VALUE"""),"overall")</f>
        <v>overall</v>
      </c>
      <c r="W282" s="213" t="str">
        <f>IFERROR(__xludf.DUMMYFUNCTION("""COMPUTED_VALUE"""),"simple")</f>
        <v>simple</v>
      </c>
      <c r="X282" s="213" t="str">
        <f>IFERROR(__xludf.DUMMYFUNCTION("""COMPUTED_VALUE"""),"New")</f>
        <v>New</v>
      </c>
      <c r="Y282" s="213" t="str">
        <f>IFERROR(__xludf.DUMMYFUNCTION("""COMPUTED_VALUE"""),"04th Sat - 05th Sunday July 2026")</f>
        <v>04th Sat - 05th Sunday July 2026</v>
      </c>
      <c r="Z282" s="213" t="str">
        <f>IFERROR(__xludf.DUMMYFUNCTION("""COMPUTED_VALUE"""),"6a47b271679aac413fd3d3f5")</f>
        <v>6a47b271679aac413fd3d3f5</v>
      </c>
      <c r="AA282" s="213">
        <f>IFERROR(__xludf.DUMMYFUNCTION("""COMPUTED_VALUE"""),7.0)</f>
        <v>7</v>
      </c>
      <c r="AB282" s="213">
        <f>IFERROR(__xludf.DUMMYFUNCTION("""COMPUTED_VALUE"""),0.0)</f>
        <v>0</v>
      </c>
      <c r="AC282" s="213">
        <f>IFERROR(__xludf.DUMMYFUNCTION("""COMPUTED_VALUE"""),7.0)</f>
        <v>7</v>
      </c>
      <c r="AD282" s="213">
        <f>IFERROR(__xludf.DUMMYFUNCTION("""COMPUTED_VALUE"""),60809.0)</f>
        <v>60809</v>
      </c>
      <c r="AE282" s="213">
        <f>IFERROR(__xludf.DUMMYFUNCTION("""COMPUTED_VALUE"""),0.0)</f>
        <v>0</v>
      </c>
      <c r="AF282" s="213">
        <f>IFERROR(__xludf.DUMMYFUNCTION("""COMPUTED_VALUE"""),60809.0)</f>
        <v>60809</v>
      </c>
      <c r="AG282" s="208"/>
      <c r="AH282" s="208"/>
      <c r="AI282" s="208"/>
      <c r="AJ282" s="208"/>
      <c r="AK282" s="208"/>
    </row>
    <row r="283">
      <c r="A283" s="209">
        <f>IFERROR(__xludf.DUMMYFUNCTION("""COMPUTED_VALUE"""),46214.0)</f>
        <v>46214</v>
      </c>
      <c r="B283" s="210">
        <f>IFERROR(__xludf.DUMMYFUNCTION("""COMPUTED_VALUE"""),0.5)</f>
        <v>0.5</v>
      </c>
      <c r="C283" s="211" t="str">
        <f>IFERROR(__xludf.DUMMYFUNCTION("""COMPUTED_VALUE"""),"Sms")</f>
        <v>Sms</v>
      </c>
      <c r="D283" s="211" t="str">
        <f>IFERROR(__xludf.DUMMYFUNCTION("""COMPUTED_VALUE"""),"Fallback campaign")</f>
        <v>Fallback campaign</v>
      </c>
      <c r="E283" s="211" t="str">
        <f>IFERROR(__xludf.DUMMYFUNCTION("""COMPUTED_VALUE"""),"Aldo")</f>
        <v>Aldo</v>
      </c>
      <c r="F283" s="211" t="str">
        <f>IFERROR(__xludf.DUMMYFUNCTION("""COMPUTED_VALUE"""),"EOSS_40-70 PERCENT OFF - End of Season Sale _ July")</f>
        <v>EOSS_40-70 PERCENT OFF - End of Season Sale _ July</v>
      </c>
      <c r="G283" s="211" t="str">
        <f>IFERROR(__xludf.DUMMYFUNCTION("""COMPUTED_VALUE"""),"SMS_FB_ATC_90D")</f>
        <v>SMS_FB_ATC_90D</v>
      </c>
      <c r="H283" s="212" t="str">
        <f>IFERROR(__xludf.DUMMYFUNCTION("""COMPUTED_VALUE"""),"AL_ON_ATC_90D")</f>
        <v>AL_ON_ATC_90D</v>
      </c>
      <c r="I283" s="212" t="str">
        <f>IFERROR(__xludf.DUMMYFUNCTION("""COMPUTED_VALUE"""),"RCS Undelivered")</f>
        <v>RCS Undelivered</v>
      </c>
      <c r="J283" s="213">
        <f>IFERROR(__xludf.DUMMYFUNCTION("""COMPUTED_VALUE"""),2955.0)</f>
        <v>2955</v>
      </c>
      <c r="K283" s="213">
        <f>IFERROR(__xludf.DUMMYFUNCTION("""COMPUTED_VALUE"""),1940.0)</f>
        <v>1940</v>
      </c>
      <c r="L283" s="214">
        <f>IFERROR(__xludf.DUMMYFUNCTION("""COMPUTED_VALUE"""),0.6565)</f>
        <v>0.6565</v>
      </c>
      <c r="M283" s="213">
        <f>IFERROR(__xludf.DUMMYFUNCTION("""COMPUTED_VALUE"""),0.0)</f>
        <v>0</v>
      </c>
      <c r="N283" s="214">
        <f>IFERROR(__xludf.DUMMYFUNCTION("""COMPUTED_VALUE"""),0.0)</f>
        <v>0</v>
      </c>
      <c r="O283" s="213">
        <f>IFERROR(__xludf.DUMMYFUNCTION("""COMPUTED_VALUE"""),11.0)</f>
        <v>11</v>
      </c>
      <c r="P283" s="213">
        <f>IFERROR(__xludf.DUMMYFUNCTION("""COMPUTED_VALUE"""),0.0)</f>
        <v>0</v>
      </c>
      <c r="Q283" s="214">
        <f>IFERROR(__xludf.DUMMYFUNCTION("""COMPUTED_VALUE"""),0.0057)</f>
        <v>0.0057</v>
      </c>
      <c r="R283" s="214">
        <f>IFERROR(__xludf.DUMMYFUNCTION("""COMPUTED_VALUE"""),0.0)</f>
        <v>0</v>
      </c>
      <c r="S283" s="213">
        <f>IFERROR(__xludf.DUMMYFUNCTION("""COMPUTED_VALUE"""),1.0)</f>
        <v>1</v>
      </c>
      <c r="T283" s="213">
        <f>IFERROR(__xludf.DUMMYFUNCTION("""COMPUTED_VALUE"""),16.0)</f>
        <v>16</v>
      </c>
      <c r="U283" s="213">
        <f>IFERROR(__xludf.DUMMYFUNCTION("""COMPUTED_VALUE"""),9449.0)</f>
        <v>9449</v>
      </c>
      <c r="V283" s="213" t="str">
        <f>IFERROR(__xludf.DUMMYFUNCTION("""COMPUTED_VALUE"""),"online")</f>
        <v>online</v>
      </c>
      <c r="W283" s="213" t="str">
        <f>IFERROR(__xludf.DUMMYFUNCTION("""COMPUTED_VALUE"""),"Sms")</f>
        <v>Sms</v>
      </c>
      <c r="X283" s="213" t="str">
        <f>IFERROR(__xludf.DUMMYFUNCTION("""COMPUTED_VALUE"""),"ATC/View")</f>
        <v>ATC/View</v>
      </c>
      <c r="Y283" s="213" t="str">
        <f>IFERROR(__xludf.DUMMYFUNCTION("""COMPUTED_VALUE"""),"11th July Sat  - 12th July Sunday")</f>
        <v>11th July Sat  - 12th July Sunday</v>
      </c>
      <c r="Z283" s="213" t="str">
        <f>IFERROR(__xludf.DUMMYFUNCTION("""COMPUTED_VALUE"""),"6a5096cbc4328759d07a9796")</f>
        <v>6a5096cbc4328759d07a9796</v>
      </c>
      <c r="AA283" s="213"/>
      <c r="AB283" s="213"/>
      <c r="AC283" s="213"/>
      <c r="AD283" s="213"/>
      <c r="AE283" s="213"/>
      <c r="AF283" s="213"/>
      <c r="AG283" s="208"/>
      <c r="AH283" s="208"/>
      <c r="AI283" s="208"/>
      <c r="AJ283" s="208"/>
      <c r="AK283" s="208"/>
    </row>
    <row r="284">
      <c r="A284" s="209">
        <f>IFERROR(__xludf.DUMMYFUNCTION("""COMPUTED_VALUE"""),46214.0)</f>
        <v>46214</v>
      </c>
      <c r="B284" s="210">
        <f>IFERROR(__xludf.DUMMYFUNCTION("""COMPUTED_VALUE"""),0.5)</f>
        <v>0.5</v>
      </c>
      <c r="C284" s="211" t="str">
        <f>IFERROR(__xludf.DUMMYFUNCTION("""COMPUTED_VALUE"""),"Sms")</f>
        <v>Sms</v>
      </c>
      <c r="D284" s="211" t="str">
        <f>IFERROR(__xludf.DUMMYFUNCTION("""COMPUTED_VALUE"""),"Fallback campaign")</f>
        <v>Fallback campaign</v>
      </c>
      <c r="E284" s="211" t="str">
        <f>IFERROR(__xludf.DUMMYFUNCTION("""COMPUTED_VALUE"""),"Aldo")</f>
        <v>Aldo</v>
      </c>
      <c r="F284" s="211" t="str">
        <f>IFERROR(__xludf.DUMMYFUNCTION("""COMPUTED_VALUE"""),"EOSS_40-70 PERCENT OFF - End of Season Sale _ July")</f>
        <v>EOSS_40-70 PERCENT OFF - End of Season Sale _ July</v>
      </c>
      <c r="G284" s="211" t="str">
        <f>IFERROR(__xludf.DUMMYFUNCTION("""COMPUTED_VALUE"""),"FB_SMS_View Iteam")</f>
        <v>FB_SMS_View Iteam</v>
      </c>
      <c r="H284" s="212" t="str">
        <f>IFERROR(__xludf.DUMMYFUNCTION("""COMPUTED_VALUE"""),"AL_ON_View_Item")</f>
        <v>AL_ON_View_Item</v>
      </c>
      <c r="I284" s="212" t="str">
        <f>IFERROR(__xludf.DUMMYFUNCTION("""COMPUTED_VALUE"""),"RCS Undelivered")</f>
        <v>RCS Undelivered</v>
      </c>
      <c r="J284" s="213">
        <f>IFERROR(__xludf.DUMMYFUNCTION("""COMPUTED_VALUE"""),395.0)</f>
        <v>395</v>
      </c>
      <c r="K284" s="213">
        <f>IFERROR(__xludf.DUMMYFUNCTION("""COMPUTED_VALUE"""),266.0)</f>
        <v>266</v>
      </c>
      <c r="L284" s="214">
        <f>IFERROR(__xludf.DUMMYFUNCTION("""COMPUTED_VALUE"""),0.6734)</f>
        <v>0.6734</v>
      </c>
      <c r="M284" s="213">
        <f>IFERROR(__xludf.DUMMYFUNCTION("""COMPUTED_VALUE"""),0.0)</f>
        <v>0</v>
      </c>
      <c r="N284" s="214">
        <f>IFERROR(__xludf.DUMMYFUNCTION("""COMPUTED_VALUE"""),0.0)</f>
        <v>0</v>
      </c>
      <c r="O284" s="213">
        <f>IFERROR(__xludf.DUMMYFUNCTION("""COMPUTED_VALUE"""),2.0)</f>
        <v>2</v>
      </c>
      <c r="P284" s="213">
        <f>IFERROR(__xludf.DUMMYFUNCTION("""COMPUTED_VALUE"""),0.0)</f>
        <v>0</v>
      </c>
      <c r="Q284" s="214">
        <f>IFERROR(__xludf.DUMMYFUNCTION("""COMPUTED_VALUE"""),0.0075)</f>
        <v>0.0075</v>
      </c>
      <c r="R284" s="214">
        <f>IFERROR(__xludf.DUMMYFUNCTION("""COMPUTED_VALUE"""),0.0)</f>
        <v>0</v>
      </c>
      <c r="S284" s="213">
        <f>IFERROR(__xludf.DUMMYFUNCTION("""COMPUTED_VALUE"""),0.0)</f>
        <v>0</v>
      </c>
      <c r="T284" s="213">
        <f>IFERROR(__xludf.DUMMYFUNCTION("""COMPUTED_VALUE"""),0.0)</f>
        <v>0</v>
      </c>
      <c r="U284" s="213">
        <f>IFERROR(__xludf.DUMMYFUNCTION("""COMPUTED_VALUE"""),0.0)</f>
        <v>0</v>
      </c>
      <c r="V284" s="213" t="str">
        <f>IFERROR(__xludf.DUMMYFUNCTION("""COMPUTED_VALUE"""),"online")</f>
        <v>online</v>
      </c>
      <c r="W284" s="213" t="str">
        <f>IFERROR(__xludf.DUMMYFUNCTION("""COMPUTED_VALUE"""),"Sms")</f>
        <v>Sms</v>
      </c>
      <c r="X284" s="213" t="str">
        <f>IFERROR(__xludf.DUMMYFUNCTION("""COMPUTED_VALUE"""),"ATC/View")</f>
        <v>ATC/View</v>
      </c>
      <c r="Y284" s="213" t="str">
        <f>IFERROR(__xludf.DUMMYFUNCTION("""COMPUTED_VALUE"""),"11th July Sat  - 12th July Sunday")</f>
        <v>11th July Sat  - 12th July Sunday</v>
      </c>
      <c r="Z284" s="213" t="str">
        <f>IFERROR(__xludf.DUMMYFUNCTION("""COMPUTED_VALUE"""),"6a5097b69a0a78ae77916c5e")</f>
        <v>6a5097b69a0a78ae77916c5e</v>
      </c>
      <c r="AA284" s="213"/>
      <c r="AB284" s="213"/>
      <c r="AC284" s="213"/>
      <c r="AD284" s="213"/>
      <c r="AE284" s="213"/>
      <c r="AF284" s="213"/>
      <c r="AG284" s="208"/>
      <c r="AH284" s="208"/>
      <c r="AI284" s="208"/>
      <c r="AJ284" s="208"/>
      <c r="AK284" s="208"/>
    </row>
    <row r="285">
      <c r="A285" s="209">
        <f>IFERROR(__xludf.DUMMYFUNCTION("""COMPUTED_VALUE"""),46214.0)</f>
        <v>46214</v>
      </c>
      <c r="B285" s="210">
        <f>IFERROR(__xludf.DUMMYFUNCTION("""COMPUTED_VALUE"""),0.5)</f>
        <v>0.5</v>
      </c>
      <c r="C285" s="211" t="str">
        <f>IFERROR(__xludf.DUMMYFUNCTION("""COMPUTED_VALUE"""),"Sms")</f>
        <v>Sms</v>
      </c>
      <c r="D285" s="211" t="str">
        <f>IFERROR(__xludf.DUMMYFUNCTION("""COMPUTED_VALUE"""),"Fallback campaign")</f>
        <v>Fallback campaign</v>
      </c>
      <c r="E285" s="211" t="str">
        <f>IFERROR(__xludf.DUMMYFUNCTION("""COMPUTED_VALUE"""),"Aldo")</f>
        <v>Aldo</v>
      </c>
      <c r="F285" s="211" t="str">
        <f>IFERROR(__xludf.DUMMYFUNCTION("""COMPUTED_VALUE"""),"EOSS_40-70 PERCENT OFF - End of Season Sale _ July")</f>
        <v>EOSS_40-70 PERCENT OFF - End of Season Sale _ July</v>
      </c>
      <c r="G285" s="211" t="str">
        <f>IFERROR(__xludf.DUMMYFUNCTION("""COMPUTED_VALUE"""),"Event_Buyers_SMS FB")</f>
        <v>Event_Buyers_SMS FB</v>
      </c>
      <c r="H285" s="212" t="str">
        <f>IFERROR(__xludf.DUMMYFUNCTION("""COMPUTED_VALUE"""),"AL_ON_OFF_Event_Buyers_EOSS")</f>
        <v>AL_ON_OFF_Event_Buyers_EOSS</v>
      </c>
      <c r="I285" s="212" t="str">
        <f>IFERROR(__xludf.DUMMYFUNCTION("""COMPUTED_VALUE"""),"RCS Undelivered")</f>
        <v>RCS Undelivered</v>
      </c>
      <c r="J285" s="213">
        <f>IFERROR(__xludf.DUMMYFUNCTION("""COMPUTED_VALUE"""),49355.0)</f>
        <v>49355</v>
      </c>
      <c r="K285" s="213">
        <f>IFERROR(__xludf.DUMMYFUNCTION("""COMPUTED_VALUE"""),27549.0)</f>
        <v>27549</v>
      </c>
      <c r="L285" s="214">
        <f>IFERROR(__xludf.DUMMYFUNCTION("""COMPUTED_VALUE"""),0.5582)</f>
        <v>0.5582</v>
      </c>
      <c r="M285" s="213">
        <f>IFERROR(__xludf.DUMMYFUNCTION("""COMPUTED_VALUE"""),0.0)</f>
        <v>0</v>
      </c>
      <c r="N285" s="214">
        <f>IFERROR(__xludf.DUMMYFUNCTION("""COMPUTED_VALUE"""),0.0)</f>
        <v>0</v>
      </c>
      <c r="O285" s="213">
        <f>IFERROR(__xludf.DUMMYFUNCTION("""COMPUTED_VALUE"""),63.0)</f>
        <v>63</v>
      </c>
      <c r="P285" s="213">
        <f>IFERROR(__xludf.DUMMYFUNCTION("""COMPUTED_VALUE"""),0.0)</f>
        <v>0</v>
      </c>
      <c r="Q285" s="214">
        <f>IFERROR(__xludf.DUMMYFUNCTION("""COMPUTED_VALUE"""),0.0023)</f>
        <v>0.0023</v>
      </c>
      <c r="R285" s="214">
        <f>IFERROR(__xludf.DUMMYFUNCTION("""COMPUTED_VALUE"""),0.0)</f>
        <v>0</v>
      </c>
      <c r="S285" s="213">
        <f>IFERROR(__xludf.DUMMYFUNCTION("""COMPUTED_VALUE"""),2.0)</f>
        <v>2</v>
      </c>
      <c r="T285" s="213">
        <f>IFERROR(__xludf.DUMMYFUNCTION("""COMPUTED_VALUE"""),2.0)</f>
        <v>2</v>
      </c>
      <c r="U285" s="213">
        <f>IFERROR(__xludf.DUMMYFUNCTION("""COMPUTED_VALUE"""),10599.0)</f>
        <v>10599</v>
      </c>
      <c r="V285" s="213" t="str">
        <f>IFERROR(__xludf.DUMMYFUNCTION("""COMPUTED_VALUE"""),"overall")</f>
        <v>overall</v>
      </c>
      <c r="W285" s="213" t="str">
        <f>IFERROR(__xludf.DUMMYFUNCTION("""COMPUTED_VALUE"""),"Sms")</f>
        <v>Sms</v>
      </c>
      <c r="X285" s="213" t="str">
        <f>IFERROR(__xludf.DUMMYFUNCTION("""COMPUTED_VALUE"""),"Event Buyers")</f>
        <v>Event Buyers</v>
      </c>
      <c r="Y285" s="213" t="str">
        <f>IFERROR(__xludf.DUMMYFUNCTION("""COMPUTED_VALUE"""),"11th July Sat  - 12th July Sunday")</f>
        <v>11th July Sat  - 12th July Sunday</v>
      </c>
      <c r="Z285" s="213" t="str">
        <f>IFERROR(__xludf.DUMMYFUNCTION("""COMPUTED_VALUE"""),"6a5098420ba7b14c8b81389b")</f>
        <v>6a5098420ba7b14c8b81389b</v>
      </c>
      <c r="AA285" s="213"/>
      <c r="AB285" s="213"/>
      <c r="AC285" s="213"/>
      <c r="AD285" s="213"/>
      <c r="AE285" s="213"/>
      <c r="AF285" s="213"/>
      <c r="AG285" s="208"/>
      <c r="AH285" s="208"/>
      <c r="AI285" s="208"/>
      <c r="AJ285" s="208"/>
      <c r="AK285" s="208"/>
    </row>
    <row r="286">
      <c r="A286" s="209">
        <f>IFERROR(__xludf.DUMMYFUNCTION("""COMPUTED_VALUE"""),46214.0)</f>
        <v>46214</v>
      </c>
      <c r="B286" s="210">
        <f>IFERROR(__xludf.DUMMYFUNCTION("""COMPUTED_VALUE"""),0.5)</f>
        <v>0.5</v>
      </c>
      <c r="C286" s="211" t="str">
        <f>IFERROR(__xludf.DUMMYFUNCTION("""COMPUTED_VALUE"""),"Sms")</f>
        <v>Sms</v>
      </c>
      <c r="D286" s="211" t="str">
        <f>IFERROR(__xludf.DUMMYFUNCTION("""COMPUTED_VALUE"""),"Fallback campaign")</f>
        <v>Fallback campaign</v>
      </c>
      <c r="E286" s="211" t="str">
        <f>IFERROR(__xludf.DUMMYFUNCTION("""COMPUTED_VALUE"""),"Aldo")</f>
        <v>Aldo</v>
      </c>
      <c r="F286" s="211" t="str">
        <f>IFERROR(__xludf.DUMMYFUNCTION("""COMPUTED_VALUE"""),"EOSS_40-70 PERCENT OFF - End of Season Sale _ July")</f>
        <v>EOSS_40-70 PERCENT OFF - End of Season Sale _ July</v>
      </c>
      <c r="G286" s="211" t="str">
        <f>IFERROR(__xludf.DUMMYFUNCTION("""COMPUTED_VALUE"""),"SMS_Repeat_FB")</f>
        <v>SMS_Repeat_FB</v>
      </c>
      <c r="H286" s="212" t="str">
        <f>IFERROR(__xludf.DUMMYFUNCTION("""COMPUTED_VALUE"""),"AL_ON_OFF_Repeat_3Year")</f>
        <v>AL_ON_OFF_Repeat_3Year</v>
      </c>
      <c r="I286" s="212" t="str">
        <f>IFERROR(__xludf.DUMMYFUNCTION("""COMPUTED_VALUE"""),"RCS Undelivered")</f>
        <v>RCS Undelivered</v>
      </c>
      <c r="J286" s="213">
        <f>IFERROR(__xludf.DUMMYFUNCTION("""COMPUTED_VALUE"""),49175.0)</f>
        <v>49175</v>
      </c>
      <c r="K286" s="213">
        <f>IFERROR(__xludf.DUMMYFUNCTION("""COMPUTED_VALUE"""),26481.0)</f>
        <v>26481</v>
      </c>
      <c r="L286" s="214">
        <f>IFERROR(__xludf.DUMMYFUNCTION("""COMPUTED_VALUE"""),0.5385)</f>
        <v>0.5385</v>
      </c>
      <c r="M286" s="213">
        <f>IFERROR(__xludf.DUMMYFUNCTION("""COMPUTED_VALUE"""),0.0)</f>
        <v>0</v>
      </c>
      <c r="N286" s="214">
        <f>IFERROR(__xludf.DUMMYFUNCTION("""COMPUTED_VALUE"""),0.0)</f>
        <v>0</v>
      </c>
      <c r="O286" s="213">
        <f>IFERROR(__xludf.DUMMYFUNCTION("""COMPUTED_VALUE"""),69.0)</f>
        <v>69</v>
      </c>
      <c r="P286" s="213">
        <f>IFERROR(__xludf.DUMMYFUNCTION("""COMPUTED_VALUE"""),0.0)</f>
        <v>0</v>
      </c>
      <c r="Q286" s="214">
        <f>IFERROR(__xludf.DUMMYFUNCTION("""COMPUTED_VALUE"""),0.0026)</f>
        <v>0.0026</v>
      </c>
      <c r="R286" s="214">
        <f>IFERROR(__xludf.DUMMYFUNCTION("""COMPUTED_VALUE"""),0.0)</f>
        <v>0</v>
      </c>
      <c r="S286" s="213">
        <f>IFERROR(__xludf.DUMMYFUNCTION("""COMPUTED_VALUE"""),3.0)</f>
        <v>3</v>
      </c>
      <c r="T286" s="213">
        <f>IFERROR(__xludf.DUMMYFUNCTION("""COMPUTED_VALUE"""),2.0)</f>
        <v>2</v>
      </c>
      <c r="U286" s="213">
        <f>IFERROR(__xludf.DUMMYFUNCTION("""COMPUTED_VALUE"""),13033.0)</f>
        <v>13033</v>
      </c>
      <c r="V286" s="213" t="str">
        <f>IFERROR(__xludf.DUMMYFUNCTION("""COMPUTED_VALUE"""),"overall")</f>
        <v>overall</v>
      </c>
      <c r="W286" s="213" t="str">
        <f>IFERROR(__xludf.DUMMYFUNCTION("""COMPUTED_VALUE"""),"Sms")</f>
        <v>Sms</v>
      </c>
      <c r="X286" s="213" t="str">
        <f>IFERROR(__xludf.DUMMYFUNCTION("""COMPUTED_VALUE"""),"Repeat")</f>
        <v>Repeat</v>
      </c>
      <c r="Y286" s="213" t="str">
        <f>IFERROR(__xludf.DUMMYFUNCTION("""COMPUTED_VALUE"""),"11th July Sat  - 12th July Sunday")</f>
        <v>11th July Sat  - 12th July Sunday</v>
      </c>
      <c r="Z286" s="213" t="str">
        <f>IFERROR(__xludf.DUMMYFUNCTION("""COMPUTED_VALUE"""),"6a5098d7c8c62834dd2b1d6c")</f>
        <v>6a5098d7c8c62834dd2b1d6c</v>
      </c>
      <c r="AA286" s="213"/>
      <c r="AB286" s="213"/>
      <c r="AC286" s="213"/>
      <c r="AD286" s="213"/>
      <c r="AE286" s="213"/>
      <c r="AF286" s="213"/>
      <c r="AG286" s="208"/>
      <c r="AH286" s="208"/>
      <c r="AI286" s="208"/>
      <c r="AJ286" s="208"/>
      <c r="AK286" s="208"/>
    </row>
    <row r="287">
      <c r="A287" s="209">
        <f>IFERROR(__xludf.DUMMYFUNCTION("""COMPUTED_VALUE"""),46214.0)</f>
        <v>46214</v>
      </c>
      <c r="B287" s="210">
        <f>IFERROR(__xludf.DUMMYFUNCTION("""COMPUTED_VALUE"""),0.5)</f>
        <v>0.5</v>
      </c>
      <c r="C287" s="211" t="str">
        <f>IFERROR(__xludf.DUMMYFUNCTION("""COMPUTED_VALUE"""),"Sms")</f>
        <v>Sms</v>
      </c>
      <c r="D287" s="211" t="str">
        <f>IFERROR(__xludf.DUMMYFUNCTION("""COMPUTED_VALUE"""),"Fallback campaign")</f>
        <v>Fallback campaign</v>
      </c>
      <c r="E287" s="211" t="str">
        <f>IFERROR(__xludf.DUMMYFUNCTION("""COMPUTED_VALUE"""),"Aldo")</f>
        <v>Aldo</v>
      </c>
      <c r="F287" s="211" t="str">
        <f>IFERROR(__xludf.DUMMYFUNCTION("""COMPUTED_VALUE"""),"EOSS_40-70 PERCENT OFF - End of Season Sale _ July")</f>
        <v>EOSS_40-70 PERCENT OFF - End of Season Sale _ July</v>
      </c>
      <c r="G287" s="211" t="str">
        <f>IFERROR(__xludf.DUMMYFUNCTION("""COMPUTED_VALUE"""),"SMS_July_60D_Buyers")</f>
        <v>SMS_July_60D_Buyers</v>
      </c>
      <c r="H287" s="212" t="str">
        <f>IFERROR(__xludf.DUMMYFUNCTION("""COMPUTED_VALUE"""),"AL_ON_OFF_600D_Buyers")</f>
        <v>AL_ON_OFF_600D_Buyers</v>
      </c>
      <c r="I287" s="212" t="str">
        <f>IFERROR(__xludf.DUMMYFUNCTION("""COMPUTED_VALUE"""),"RCS Undelivered")</f>
        <v>RCS Undelivered</v>
      </c>
      <c r="J287" s="213">
        <f>IFERROR(__xludf.DUMMYFUNCTION("""COMPUTED_VALUE"""),111201.0)</f>
        <v>111201</v>
      </c>
      <c r="K287" s="213">
        <f>IFERROR(__xludf.DUMMYFUNCTION("""COMPUTED_VALUE"""),62305.0)</f>
        <v>62305</v>
      </c>
      <c r="L287" s="214">
        <f>IFERROR(__xludf.DUMMYFUNCTION("""COMPUTED_VALUE"""),0.5603)</f>
        <v>0.5603</v>
      </c>
      <c r="M287" s="213">
        <f>IFERROR(__xludf.DUMMYFUNCTION("""COMPUTED_VALUE"""),0.0)</f>
        <v>0</v>
      </c>
      <c r="N287" s="214">
        <f>IFERROR(__xludf.DUMMYFUNCTION("""COMPUTED_VALUE"""),0.0)</f>
        <v>0</v>
      </c>
      <c r="O287" s="213">
        <f>IFERROR(__xludf.DUMMYFUNCTION("""COMPUTED_VALUE"""),96.0)</f>
        <v>96</v>
      </c>
      <c r="P287" s="213">
        <f>IFERROR(__xludf.DUMMYFUNCTION("""COMPUTED_VALUE"""),0.0)</f>
        <v>0</v>
      </c>
      <c r="Q287" s="214">
        <f>IFERROR(__xludf.DUMMYFUNCTION("""COMPUTED_VALUE"""),0.0015)</f>
        <v>0.0015</v>
      </c>
      <c r="R287" s="214">
        <f>IFERROR(__xludf.DUMMYFUNCTION("""COMPUTED_VALUE"""),0.0)</f>
        <v>0</v>
      </c>
      <c r="S287" s="213">
        <f>IFERROR(__xludf.DUMMYFUNCTION("""COMPUTED_VALUE"""),0.0)</f>
        <v>0</v>
      </c>
      <c r="T287" s="213">
        <f>IFERROR(__xludf.DUMMYFUNCTION("""COMPUTED_VALUE"""),0.0)</f>
        <v>0</v>
      </c>
      <c r="U287" s="213">
        <f>IFERROR(__xludf.DUMMYFUNCTION("""COMPUTED_VALUE"""),0.0)</f>
        <v>0</v>
      </c>
      <c r="V287" s="213" t="str">
        <f>IFERROR(__xludf.DUMMYFUNCTION("""COMPUTED_VALUE"""),"overall")</f>
        <v>overall</v>
      </c>
      <c r="W287" s="213" t="str">
        <f>IFERROR(__xludf.DUMMYFUNCTION("""COMPUTED_VALUE"""),"Sms")</f>
        <v>Sms</v>
      </c>
      <c r="X287" s="213" t="str">
        <f>IFERROR(__xludf.DUMMYFUNCTION("""COMPUTED_VALUE"""),"New")</f>
        <v>New</v>
      </c>
      <c r="Y287" s="213" t="str">
        <f>IFERROR(__xludf.DUMMYFUNCTION("""COMPUTED_VALUE"""),"11th July Sat  - 12th July Sunday")</f>
        <v>11th July Sat  - 12th July Sunday</v>
      </c>
      <c r="Z287" s="213" t="str">
        <f>IFERROR(__xludf.DUMMYFUNCTION("""COMPUTED_VALUE"""),"6a50992bffc7986ff14f32be")</f>
        <v>6a50992bffc7986ff14f32be</v>
      </c>
      <c r="AA287" s="213"/>
      <c r="AB287" s="213"/>
      <c r="AC287" s="213"/>
      <c r="AD287" s="213"/>
      <c r="AE287" s="213"/>
      <c r="AF287" s="213"/>
      <c r="AG287" s="208"/>
      <c r="AH287" s="208"/>
      <c r="AI287" s="208"/>
      <c r="AJ287" s="208"/>
      <c r="AK287" s="208"/>
    </row>
    <row r="288">
      <c r="A288" s="209">
        <f>IFERROR(__xludf.DUMMYFUNCTION("""COMPUTED_VALUE"""),46214.0)</f>
        <v>46214</v>
      </c>
      <c r="B288" s="210">
        <f>IFERROR(__xludf.DUMMYFUNCTION("""COMPUTED_VALUE"""),0.5)</f>
        <v>0.5</v>
      </c>
      <c r="C288" s="211" t="str">
        <f>IFERROR(__xludf.DUMMYFUNCTION("""COMPUTED_VALUE"""),"Sms")</f>
        <v>Sms</v>
      </c>
      <c r="D288" s="211" t="str">
        <f>IFERROR(__xludf.DUMMYFUNCTION("""COMPUTED_VALUE"""),"Fallback campaign")</f>
        <v>Fallback campaign</v>
      </c>
      <c r="E288" s="211" t="str">
        <f>IFERROR(__xludf.DUMMYFUNCTION("""COMPUTED_VALUE"""),"Aldo")</f>
        <v>Aldo</v>
      </c>
      <c r="F288" s="211" t="str">
        <f>IFERROR(__xludf.DUMMYFUNCTION("""COMPUTED_VALUE"""),"EOSS_40-70 PERCENT OFF - End of Season Sale _ July")</f>
        <v>EOSS_40-70 PERCENT OFF - End of Season Sale _ July</v>
      </c>
      <c r="G288" s="211" t="str">
        <f>IFERROR(__xludf.DUMMYFUNCTION("""COMPUTED_VALUE"""),"SMS_FB_July_1095D_Buyers")</f>
        <v>SMS_FB_July_1095D_Buyers</v>
      </c>
      <c r="H288" s="212" t="str">
        <f>IFERROR(__xludf.DUMMYFUNCTION("""COMPUTED_VALUE"""),"AL_ON_OFF_601D_1095D_Buyers")</f>
        <v>AL_ON_OFF_601D_1095D_Buyers</v>
      </c>
      <c r="I288" s="212" t="str">
        <f>IFERROR(__xludf.DUMMYFUNCTION("""COMPUTED_VALUE"""),"RCS Undelivered")</f>
        <v>RCS Undelivered</v>
      </c>
      <c r="J288" s="213">
        <f>IFERROR(__xludf.DUMMYFUNCTION("""COMPUTED_VALUE"""),74644.0)</f>
        <v>74644</v>
      </c>
      <c r="K288" s="213">
        <f>IFERROR(__xludf.DUMMYFUNCTION("""COMPUTED_VALUE"""),39882.0)</f>
        <v>39882</v>
      </c>
      <c r="L288" s="214">
        <f>IFERROR(__xludf.DUMMYFUNCTION("""COMPUTED_VALUE"""),0.5343)</f>
        <v>0.5343</v>
      </c>
      <c r="M288" s="213">
        <f>IFERROR(__xludf.DUMMYFUNCTION("""COMPUTED_VALUE"""),0.0)</f>
        <v>0</v>
      </c>
      <c r="N288" s="214">
        <f>IFERROR(__xludf.DUMMYFUNCTION("""COMPUTED_VALUE"""),0.0)</f>
        <v>0</v>
      </c>
      <c r="O288" s="213">
        <f>IFERROR(__xludf.DUMMYFUNCTION("""COMPUTED_VALUE"""),61.0)</f>
        <v>61</v>
      </c>
      <c r="P288" s="213">
        <f>IFERROR(__xludf.DUMMYFUNCTION("""COMPUTED_VALUE"""),0.0)</f>
        <v>0</v>
      </c>
      <c r="Q288" s="214">
        <f>IFERROR(__xludf.DUMMYFUNCTION("""COMPUTED_VALUE"""),0.0015)</f>
        <v>0.0015</v>
      </c>
      <c r="R288" s="214">
        <f>IFERROR(__xludf.DUMMYFUNCTION("""COMPUTED_VALUE"""),0.0)</f>
        <v>0</v>
      </c>
      <c r="S288" s="213">
        <f>IFERROR(__xludf.DUMMYFUNCTION("""COMPUTED_VALUE"""),0.0)</f>
        <v>0</v>
      </c>
      <c r="T288" s="213">
        <f>IFERROR(__xludf.DUMMYFUNCTION("""COMPUTED_VALUE"""),0.0)</f>
        <v>0</v>
      </c>
      <c r="U288" s="213">
        <f>IFERROR(__xludf.DUMMYFUNCTION("""COMPUTED_VALUE"""),0.0)</f>
        <v>0</v>
      </c>
      <c r="V288" s="213" t="str">
        <f>IFERROR(__xludf.DUMMYFUNCTION("""COMPUTED_VALUE"""),"overall")</f>
        <v>overall</v>
      </c>
      <c r="W288" s="213" t="str">
        <f>IFERROR(__xludf.DUMMYFUNCTION("""COMPUTED_VALUE"""),"Sms")</f>
        <v>Sms</v>
      </c>
      <c r="X288" s="213" t="str">
        <f>IFERROR(__xludf.DUMMYFUNCTION("""COMPUTED_VALUE"""),"New")</f>
        <v>New</v>
      </c>
      <c r="Y288" s="213" t="str">
        <f>IFERROR(__xludf.DUMMYFUNCTION("""COMPUTED_VALUE"""),"11th July Sat  - 12th July Sunday")</f>
        <v>11th July Sat  - 12th July Sunday</v>
      </c>
      <c r="Z288" s="213" t="str">
        <f>IFERROR(__xludf.DUMMYFUNCTION("""COMPUTED_VALUE"""),"6a50998d36b01343217c8293")</f>
        <v>6a50998d36b01343217c8293</v>
      </c>
      <c r="AA288" s="213"/>
      <c r="AB288" s="213"/>
      <c r="AC288" s="213"/>
      <c r="AD288" s="213"/>
      <c r="AE288" s="213"/>
      <c r="AF288" s="213"/>
      <c r="AG288" s="208"/>
      <c r="AH288" s="208"/>
      <c r="AI288" s="208"/>
      <c r="AJ288" s="208"/>
      <c r="AK288" s="208"/>
    </row>
    <row r="289">
      <c r="A289" s="209">
        <f>IFERROR(__xludf.DUMMYFUNCTION("""COMPUTED_VALUE"""),46214.0)</f>
        <v>46214</v>
      </c>
      <c r="B289" s="210">
        <f>IFERROR(__xludf.DUMMYFUNCTION("""COMPUTED_VALUE"""),0.375)</f>
        <v>0.375</v>
      </c>
      <c r="C289" s="211" t="str">
        <f>IFERROR(__xludf.DUMMYFUNCTION("""COMPUTED_VALUE"""),"Rcs")</f>
        <v>Rcs</v>
      </c>
      <c r="D289" s="211" t="str">
        <f>IFERROR(__xludf.DUMMYFUNCTION("""COMPUTED_VALUE"""),"Promotional")</f>
        <v>Promotional</v>
      </c>
      <c r="E289" s="211" t="str">
        <f>IFERROR(__xludf.DUMMYFUNCTION("""COMPUTED_VALUE"""),"Aldo")</f>
        <v>Aldo</v>
      </c>
      <c r="F289" s="211" t="str">
        <f>IFERROR(__xludf.DUMMYFUNCTION("""COMPUTED_VALUE"""),"EOSS_40%-70% OFF - Season Sale EOSS")</f>
        <v>EOSS_40%-70% OFF - Season Sale EOSS</v>
      </c>
      <c r="G289" s="211" t="str">
        <f>IFERROR(__xludf.DUMMYFUNCTION("""COMPUTED_VALUE"""),"JulyWk2_ATC_90D_RCS")</f>
        <v>JulyWk2_ATC_90D_RCS</v>
      </c>
      <c r="H289" s="212" t="str">
        <f>IFERROR(__xludf.DUMMYFUNCTION("""COMPUTED_VALUE"""),"AL_ON_ATC_90D")</f>
        <v>AL_ON_ATC_90D</v>
      </c>
      <c r="I289" s="212" t="str">
        <f>IFERROR(__xludf.DUMMYFUNCTION("""COMPUTED_VALUE"""),"Customers who have added to cart at least 2 times in the last 90 days")</f>
        <v>Customers who have added to cart at least 2 times in the last 90 days</v>
      </c>
      <c r="J289" s="213">
        <f>IFERROR(__xludf.DUMMYFUNCTION("""COMPUTED_VALUE"""),3622.0)</f>
        <v>3622</v>
      </c>
      <c r="K289" s="213">
        <f>IFERROR(__xludf.DUMMYFUNCTION("""COMPUTED_VALUE"""),654.0)</f>
        <v>654</v>
      </c>
      <c r="L289" s="214">
        <f>IFERROR(__xludf.DUMMYFUNCTION("""COMPUTED_VALUE"""),0.1806)</f>
        <v>0.1806</v>
      </c>
      <c r="M289" s="213">
        <f>IFERROR(__xludf.DUMMYFUNCTION("""COMPUTED_VALUE"""),132.0)</f>
        <v>132</v>
      </c>
      <c r="N289" s="214">
        <f>IFERROR(__xludf.DUMMYFUNCTION("""COMPUTED_VALUE"""),0.2018)</f>
        <v>0.2018</v>
      </c>
      <c r="O289" s="213">
        <f>IFERROR(__xludf.DUMMYFUNCTION("""COMPUTED_VALUE"""),16.0)</f>
        <v>16</v>
      </c>
      <c r="P289" s="213">
        <f>IFERROR(__xludf.DUMMYFUNCTION("""COMPUTED_VALUE"""),0.0)</f>
        <v>0</v>
      </c>
      <c r="Q289" s="214">
        <f>IFERROR(__xludf.DUMMYFUNCTION("""COMPUTED_VALUE"""),0.0275)</f>
        <v>0.0275</v>
      </c>
      <c r="R289" s="214">
        <f>IFERROR(__xludf.DUMMYFUNCTION("""COMPUTED_VALUE"""),0.0)</f>
        <v>0</v>
      </c>
      <c r="S289" s="213">
        <f>IFERROR(__xludf.DUMMYFUNCTION("""COMPUTED_VALUE"""),0.0)</f>
        <v>0</v>
      </c>
      <c r="T289" s="213">
        <f>IFERROR(__xludf.DUMMYFUNCTION("""COMPUTED_VALUE"""),3.0)</f>
        <v>3</v>
      </c>
      <c r="U289" s="213">
        <f>IFERROR(__xludf.DUMMYFUNCTION("""COMPUTED_VALUE"""),0.0)</f>
        <v>0</v>
      </c>
      <c r="V289" s="213" t="str">
        <f>IFERROR(__xludf.DUMMYFUNCTION("""COMPUTED_VALUE"""),"online")</f>
        <v>online</v>
      </c>
      <c r="W289" s="213" t="str">
        <f>IFERROR(__xludf.DUMMYFUNCTION("""COMPUTED_VALUE"""),"RCS")</f>
        <v>RCS</v>
      </c>
      <c r="X289" s="213" t="str">
        <f>IFERROR(__xludf.DUMMYFUNCTION("""COMPUTED_VALUE"""),"ATC/View")</f>
        <v>ATC/View</v>
      </c>
      <c r="Y289" s="213" t="str">
        <f>IFERROR(__xludf.DUMMYFUNCTION("""COMPUTED_VALUE"""),"11th July Sat  - 12th July Sunday")</f>
        <v>11th July Sat  - 12th July Sunday</v>
      </c>
      <c r="Z289" s="213" t="str">
        <f>IFERROR(__xludf.DUMMYFUNCTION("""COMPUTED_VALUE"""),"6a5091d6f09f749bc0a6210e")</f>
        <v>6a5091d6f09f749bc0a6210e</v>
      </c>
      <c r="AA289" s="213">
        <f>IFERROR(__xludf.DUMMYFUNCTION("""COMPUTED_VALUE"""),0.0)</f>
        <v>0</v>
      </c>
      <c r="AB289" s="213">
        <f>IFERROR(__xludf.DUMMYFUNCTION("""COMPUTED_VALUE"""),0.0)</f>
        <v>0</v>
      </c>
      <c r="AC289" s="213"/>
      <c r="AD289" s="213">
        <f>IFERROR(__xludf.DUMMYFUNCTION("""COMPUTED_VALUE"""),0.0)</f>
        <v>0</v>
      </c>
      <c r="AE289" s="213">
        <f>IFERROR(__xludf.DUMMYFUNCTION("""COMPUTED_VALUE"""),0.0)</f>
        <v>0</v>
      </c>
      <c r="AF289" s="213"/>
      <c r="AG289" s="208"/>
      <c r="AH289" s="208"/>
      <c r="AI289" s="208"/>
      <c r="AJ289" s="208"/>
      <c r="AK289" s="208"/>
    </row>
    <row r="290">
      <c r="A290" s="209">
        <f>IFERROR(__xludf.DUMMYFUNCTION("""COMPUTED_VALUE"""),46214.0)</f>
        <v>46214</v>
      </c>
      <c r="B290" s="210">
        <f>IFERROR(__xludf.DUMMYFUNCTION("""COMPUTED_VALUE"""),0.375)</f>
        <v>0.375</v>
      </c>
      <c r="C290" s="211" t="str">
        <f>IFERROR(__xludf.DUMMYFUNCTION("""COMPUTED_VALUE"""),"Rcs")</f>
        <v>Rcs</v>
      </c>
      <c r="D290" s="211" t="str">
        <f>IFERROR(__xludf.DUMMYFUNCTION("""COMPUTED_VALUE"""),"Promotional")</f>
        <v>Promotional</v>
      </c>
      <c r="E290" s="211" t="str">
        <f>IFERROR(__xludf.DUMMYFUNCTION("""COMPUTED_VALUE"""),"Aldo")</f>
        <v>Aldo</v>
      </c>
      <c r="F290" s="211" t="str">
        <f>IFERROR(__xludf.DUMMYFUNCTION("""COMPUTED_VALUE"""),"EOSS_40%-70% OFF - Season Sale EOSS")</f>
        <v>EOSS_40%-70% OFF - Season Sale EOSS</v>
      </c>
      <c r="G290" s="211" t="str">
        <f>IFERROR(__xludf.DUMMYFUNCTION("""COMPUTED_VALUE"""),"Wk2_July_View Iteam_RCS")</f>
        <v>Wk2_July_View Iteam_RCS</v>
      </c>
      <c r="H290" s="212" t="str">
        <f>IFERROR(__xludf.DUMMYFUNCTION("""COMPUTED_VALUE"""),"AL_ON_View_Item")</f>
        <v>AL_ON_View_Item</v>
      </c>
      <c r="I290" s="212" t="str">
        <f>IFERROR(__xludf.DUMMYFUNCTION("""COMPUTED_VALUE"""),"Customers who have added to wishlist at least 1 time OR viewed_item at least 3 times in the last 90 days")</f>
        <v>Customers who have added to wishlist at least 1 time OR viewed_item at least 3 times in the last 90 days</v>
      </c>
      <c r="J290" s="213">
        <f>IFERROR(__xludf.DUMMYFUNCTION("""COMPUTED_VALUE"""),458.0)</f>
        <v>458</v>
      </c>
      <c r="K290" s="213">
        <f>IFERROR(__xludf.DUMMYFUNCTION("""COMPUTED_VALUE"""),65.0)</f>
        <v>65</v>
      </c>
      <c r="L290" s="214">
        <f>IFERROR(__xludf.DUMMYFUNCTION("""COMPUTED_VALUE"""),0.1419)</f>
        <v>0.1419</v>
      </c>
      <c r="M290" s="213">
        <f>IFERROR(__xludf.DUMMYFUNCTION("""COMPUTED_VALUE"""),10.0)</f>
        <v>10</v>
      </c>
      <c r="N290" s="214">
        <f>IFERROR(__xludf.DUMMYFUNCTION("""COMPUTED_VALUE"""),0.1538)</f>
        <v>0.1538</v>
      </c>
      <c r="O290" s="213">
        <f>IFERROR(__xludf.DUMMYFUNCTION("""COMPUTED_VALUE"""),0.0)</f>
        <v>0</v>
      </c>
      <c r="P290" s="213">
        <f>IFERROR(__xludf.DUMMYFUNCTION("""COMPUTED_VALUE"""),0.0)</f>
        <v>0</v>
      </c>
      <c r="Q290" s="214">
        <f>IFERROR(__xludf.DUMMYFUNCTION("""COMPUTED_VALUE"""),0.0)</f>
        <v>0</v>
      </c>
      <c r="R290" s="214">
        <f>IFERROR(__xludf.DUMMYFUNCTION("""COMPUTED_VALUE"""),0.0)</f>
        <v>0</v>
      </c>
      <c r="S290" s="213">
        <f>IFERROR(__xludf.DUMMYFUNCTION("""COMPUTED_VALUE"""),0.0)</f>
        <v>0</v>
      </c>
      <c r="T290" s="213">
        <f>IFERROR(__xludf.DUMMYFUNCTION("""COMPUTED_VALUE"""),0.0)</f>
        <v>0</v>
      </c>
      <c r="U290" s="213">
        <f>IFERROR(__xludf.DUMMYFUNCTION("""COMPUTED_VALUE"""),0.0)</f>
        <v>0</v>
      </c>
      <c r="V290" s="213" t="str">
        <f>IFERROR(__xludf.DUMMYFUNCTION("""COMPUTED_VALUE"""),"online")</f>
        <v>online</v>
      </c>
      <c r="W290" s="213" t="str">
        <f>IFERROR(__xludf.DUMMYFUNCTION("""COMPUTED_VALUE"""),"RCS")</f>
        <v>RCS</v>
      </c>
      <c r="X290" s="213" t="str">
        <f>IFERROR(__xludf.DUMMYFUNCTION("""COMPUTED_VALUE"""),"ATC/View")</f>
        <v>ATC/View</v>
      </c>
      <c r="Y290" s="213" t="str">
        <f>IFERROR(__xludf.DUMMYFUNCTION("""COMPUTED_VALUE"""),"11th July Sat  - 12th July Sunday")</f>
        <v>11th July Sat  - 12th July Sunday</v>
      </c>
      <c r="Z290" s="213" t="str">
        <f>IFERROR(__xludf.DUMMYFUNCTION("""COMPUTED_VALUE"""),"6a5092840ba7b14c8b813685")</f>
        <v>6a5092840ba7b14c8b813685</v>
      </c>
      <c r="AA290" s="213">
        <f>IFERROR(__xludf.DUMMYFUNCTION("""COMPUTED_VALUE"""),0.0)</f>
        <v>0</v>
      </c>
      <c r="AB290" s="213">
        <f>IFERROR(__xludf.DUMMYFUNCTION("""COMPUTED_VALUE"""),0.0)</f>
        <v>0</v>
      </c>
      <c r="AC290" s="213"/>
      <c r="AD290" s="213">
        <f>IFERROR(__xludf.DUMMYFUNCTION("""COMPUTED_VALUE"""),0.0)</f>
        <v>0</v>
      </c>
      <c r="AE290" s="213">
        <f>IFERROR(__xludf.DUMMYFUNCTION("""COMPUTED_VALUE"""),0.0)</f>
        <v>0</v>
      </c>
      <c r="AF290" s="213"/>
      <c r="AG290" s="208"/>
      <c r="AH290" s="208"/>
      <c r="AI290" s="208"/>
      <c r="AJ290" s="208"/>
      <c r="AK290" s="208"/>
    </row>
    <row r="291">
      <c r="A291" s="209">
        <f>IFERROR(__xludf.DUMMYFUNCTION("""COMPUTED_VALUE"""),46214.0)</f>
        <v>46214</v>
      </c>
      <c r="B291" s="210">
        <f>IFERROR(__xludf.DUMMYFUNCTION("""COMPUTED_VALUE"""),0.375)</f>
        <v>0.375</v>
      </c>
      <c r="C291" s="211" t="str">
        <f>IFERROR(__xludf.DUMMYFUNCTION("""COMPUTED_VALUE"""),"Rcs")</f>
        <v>Rcs</v>
      </c>
      <c r="D291" s="211" t="str">
        <f>IFERROR(__xludf.DUMMYFUNCTION("""COMPUTED_VALUE"""),"Promotional")</f>
        <v>Promotional</v>
      </c>
      <c r="E291" s="211" t="str">
        <f>IFERROR(__xludf.DUMMYFUNCTION("""COMPUTED_VALUE"""),"Aldo")</f>
        <v>Aldo</v>
      </c>
      <c r="F291" s="211" t="str">
        <f>IFERROR(__xludf.DUMMYFUNCTION("""COMPUTED_VALUE"""),"EOSS_40%-70% OFF - Season Sale EOSS")</f>
        <v>EOSS_40%-70% OFF - Season Sale EOSS</v>
      </c>
      <c r="G291" s="211" t="str">
        <f>IFERROR(__xludf.DUMMYFUNCTION("""COMPUTED_VALUE"""),"July_Wk2_Event_Buyers_RCS")</f>
        <v>July_Wk2_Event_Buyers_RCS</v>
      </c>
      <c r="H291" s="212" t="str">
        <f>IFERROR(__xludf.DUMMYFUNCTION("""COMPUTED_VALUE"""),"AL_ON_OFF_Event_Buyers_EOSS")</f>
        <v>AL_ON_OFF_Event_Buyers_EOSS</v>
      </c>
      <c r="I291" s="212" t="str">
        <f>IFERROR(__xludf.DUMMYFUNCTION("""COMPUTED_VALUE"""),"Customers who have purchased at least 1 time during the periods 30 April–4 May 2025, 20–29 June 2025, 19–22 July 2025, 25 November–5 December 2025, 12–19 December 2025, 25 December 2025–5 January 2026, or 30 April–4 May 2026.")</f>
        <v>Customers who have purchased at least 1 time during the periods 30 April–4 May 2025, 20–29 June 2025, 19–22 July 2025, 25 November–5 December 2025, 12–19 December 2025, 25 December 2025–5 January 2026, or 30 April–4 May 2026.</v>
      </c>
      <c r="J291" s="213">
        <f>IFERROR(__xludf.DUMMYFUNCTION("""COMPUTED_VALUE"""),60621.0)</f>
        <v>60621</v>
      </c>
      <c r="K291" s="213">
        <f>IFERROR(__xludf.DUMMYFUNCTION("""COMPUTED_VALUE"""),11453.0)</f>
        <v>11453</v>
      </c>
      <c r="L291" s="214">
        <f>IFERROR(__xludf.DUMMYFUNCTION("""COMPUTED_VALUE"""),0.1889)</f>
        <v>0.1889</v>
      </c>
      <c r="M291" s="213">
        <f>IFERROR(__xludf.DUMMYFUNCTION("""COMPUTED_VALUE"""),2310.0)</f>
        <v>2310</v>
      </c>
      <c r="N291" s="214">
        <f>IFERROR(__xludf.DUMMYFUNCTION("""COMPUTED_VALUE"""),0.2018)</f>
        <v>0.2018</v>
      </c>
      <c r="O291" s="213">
        <f>IFERROR(__xludf.DUMMYFUNCTION("""COMPUTED_VALUE"""),58.0)</f>
        <v>58</v>
      </c>
      <c r="P291" s="213">
        <f>IFERROR(__xludf.DUMMYFUNCTION("""COMPUTED_VALUE"""),0.0)</f>
        <v>0</v>
      </c>
      <c r="Q291" s="214">
        <f>IFERROR(__xludf.DUMMYFUNCTION("""COMPUTED_VALUE"""),0.0059)</f>
        <v>0.0059</v>
      </c>
      <c r="R291" s="214">
        <f>IFERROR(__xludf.DUMMYFUNCTION("""COMPUTED_VALUE"""),0.0)</f>
        <v>0</v>
      </c>
      <c r="S291" s="213">
        <f>IFERROR(__xludf.DUMMYFUNCTION("""COMPUTED_VALUE"""),1.0)</f>
        <v>1</v>
      </c>
      <c r="T291" s="213">
        <f>IFERROR(__xludf.DUMMYFUNCTION("""COMPUTED_VALUE"""),0.0)</f>
        <v>0</v>
      </c>
      <c r="U291" s="213">
        <f>IFERROR(__xludf.DUMMYFUNCTION("""COMPUTED_VALUE"""),8598.0)</f>
        <v>8598</v>
      </c>
      <c r="V291" s="213" t="str">
        <f>IFERROR(__xludf.DUMMYFUNCTION("""COMPUTED_VALUE"""),"overall")</f>
        <v>overall</v>
      </c>
      <c r="W291" s="213" t="str">
        <f>IFERROR(__xludf.DUMMYFUNCTION("""COMPUTED_VALUE"""),"RCS")</f>
        <v>RCS</v>
      </c>
      <c r="X291" s="213" t="str">
        <f>IFERROR(__xludf.DUMMYFUNCTION("""COMPUTED_VALUE"""),"Event Buyers")</f>
        <v>Event Buyers</v>
      </c>
      <c r="Y291" s="213" t="str">
        <f>IFERROR(__xludf.DUMMYFUNCTION("""COMPUTED_VALUE"""),"11th July Sat  - 12th July Sunday")</f>
        <v>11th July Sat  - 12th July Sunday</v>
      </c>
      <c r="Z291" s="213" t="str">
        <f>IFERROR(__xludf.DUMMYFUNCTION("""COMPUTED_VALUE"""),"6a50931220222c3c39f6545b")</f>
        <v>6a50931220222c3c39f6545b</v>
      </c>
      <c r="AA291" s="213">
        <f>IFERROR(__xludf.DUMMYFUNCTION("""COMPUTED_VALUE"""),18.0)</f>
        <v>18</v>
      </c>
      <c r="AB291" s="213">
        <f>IFERROR(__xludf.DUMMYFUNCTION("""COMPUTED_VALUE"""),2.0)</f>
        <v>2</v>
      </c>
      <c r="AC291" s="213">
        <f>IFERROR(__xludf.DUMMYFUNCTION("""COMPUTED_VALUE"""),16.0)</f>
        <v>16</v>
      </c>
      <c r="AD291" s="213">
        <f>IFERROR(__xludf.DUMMYFUNCTION("""COMPUTED_VALUE"""),192009.0)</f>
        <v>192009</v>
      </c>
      <c r="AE291" s="213">
        <f>IFERROR(__xludf.DUMMYFUNCTION("""COMPUTED_VALUE"""),12498.0)</f>
        <v>12498</v>
      </c>
      <c r="AF291" s="213">
        <f>IFERROR(__xludf.DUMMYFUNCTION("""COMPUTED_VALUE"""),179511.0)</f>
        <v>179511</v>
      </c>
      <c r="AG291" s="208"/>
      <c r="AH291" s="208"/>
      <c r="AI291" s="208"/>
      <c r="AJ291" s="208"/>
      <c r="AK291" s="208"/>
    </row>
    <row r="292">
      <c r="A292" s="209">
        <f>IFERROR(__xludf.DUMMYFUNCTION("""COMPUTED_VALUE"""),46214.0)</f>
        <v>46214</v>
      </c>
      <c r="B292" s="210">
        <f>IFERROR(__xludf.DUMMYFUNCTION("""COMPUTED_VALUE"""),0.375)</f>
        <v>0.375</v>
      </c>
      <c r="C292" s="211" t="str">
        <f>IFERROR(__xludf.DUMMYFUNCTION("""COMPUTED_VALUE"""),"Rcs")</f>
        <v>Rcs</v>
      </c>
      <c r="D292" s="211" t="str">
        <f>IFERROR(__xludf.DUMMYFUNCTION("""COMPUTED_VALUE"""),"Promotional")</f>
        <v>Promotional</v>
      </c>
      <c r="E292" s="211" t="str">
        <f>IFERROR(__xludf.DUMMYFUNCTION("""COMPUTED_VALUE"""),"Aldo")</f>
        <v>Aldo</v>
      </c>
      <c r="F292" s="211" t="str">
        <f>IFERROR(__xludf.DUMMYFUNCTION("""COMPUTED_VALUE"""),"EOSS_40%-70% OFF - Season Sale EOSS")</f>
        <v>EOSS_40%-70% OFF - Season Sale EOSS</v>
      </c>
      <c r="G292" s="211" t="str">
        <f>IFERROR(__xludf.DUMMYFUNCTION("""COMPUTED_VALUE"""),"JUWK2_Repeat_RCS")</f>
        <v>JUWK2_Repeat_RCS</v>
      </c>
      <c r="H292" s="212" t="str">
        <f>IFERROR(__xludf.DUMMYFUNCTION("""COMPUTED_VALUE"""),"AL_ON_OFF_Repeat_3Year")</f>
        <v>AL_ON_OFF_Repeat_3Year</v>
      </c>
      <c r="I292" s="212" t="str">
        <f>IFERROR(__xludf.DUMMYFUNCTION("""COMPUTED_VALUE"""),"Customers who have purchased at least 2 times in the last 1095 days")</f>
        <v>Customers who have purchased at least 2 times in the last 1095 days</v>
      </c>
      <c r="J292" s="213">
        <f>IFERROR(__xludf.DUMMYFUNCTION("""COMPUTED_VALUE"""),59032.0)</f>
        <v>59032</v>
      </c>
      <c r="K292" s="213">
        <f>IFERROR(__xludf.DUMMYFUNCTION("""COMPUTED_VALUE"""),9953.0)</f>
        <v>9953</v>
      </c>
      <c r="L292" s="214">
        <f>IFERROR(__xludf.DUMMYFUNCTION("""COMPUTED_VALUE"""),0.1686)</f>
        <v>0.1686</v>
      </c>
      <c r="M292" s="213">
        <f>IFERROR(__xludf.DUMMYFUNCTION("""COMPUTED_VALUE"""),2068.0)</f>
        <v>2068</v>
      </c>
      <c r="N292" s="214">
        <f>IFERROR(__xludf.DUMMYFUNCTION("""COMPUTED_VALUE"""),0.208)</f>
        <v>0.208</v>
      </c>
      <c r="O292" s="213">
        <f>IFERROR(__xludf.DUMMYFUNCTION("""COMPUTED_VALUE"""),58.0)</f>
        <v>58</v>
      </c>
      <c r="P292" s="213">
        <f>IFERROR(__xludf.DUMMYFUNCTION("""COMPUTED_VALUE"""),0.0)</f>
        <v>0</v>
      </c>
      <c r="Q292" s="214">
        <f>IFERROR(__xludf.DUMMYFUNCTION("""COMPUTED_VALUE"""),0.0062)</f>
        <v>0.0062</v>
      </c>
      <c r="R292" s="214">
        <f>IFERROR(__xludf.DUMMYFUNCTION("""COMPUTED_VALUE"""),0.0)</f>
        <v>0</v>
      </c>
      <c r="S292" s="213">
        <f>IFERROR(__xludf.DUMMYFUNCTION("""COMPUTED_VALUE"""),0.0)</f>
        <v>0</v>
      </c>
      <c r="T292" s="213">
        <f>IFERROR(__xludf.DUMMYFUNCTION("""COMPUTED_VALUE"""),0.0)</f>
        <v>0</v>
      </c>
      <c r="U292" s="213">
        <f>IFERROR(__xludf.DUMMYFUNCTION("""COMPUTED_VALUE"""),0.0)</f>
        <v>0</v>
      </c>
      <c r="V292" s="213" t="str">
        <f>IFERROR(__xludf.DUMMYFUNCTION("""COMPUTED_VALUE"""),"overall")</f>
        <v>overall</v>
      </c>
      <c r="W292" s="213" t="str">
        <f>IFERROR(__xludf.DUMMYFUNCTION("""COMPUTED_VALUE"""),"RCS")</f>
        <v>RCS</v>
      </c>
      <c r="X292" s="213" t="str">
        <f>IFERROR(__xludf.DUMMYFUNCTION("""COMPUTED_VALUE"""),"Repeat")</f>
        <v>Repeat</v>
      </c>
      <c r="Y292" s="213" t="str">
        <f>IFERROR(__xludf.DUMMYFUNCTION("""COMPUTED_VALUE"""),"11th July Sat  - 12th July Sunday")</f>
        <v>11th July Sat  - 12th July Sunday</v>
      </c>
      <c r="Z292" s="213" t="str">
        <f>IFERROR(__xludf.DUMMYFUNCTION("""COMPUTED_VALUE"""),"6a50935846e310cff6c60cfd")</f>
        <v>6a50935846e310cff6c60cfd</v>
      </c>
      <c r="AA292" s="213">
        <f>IFERROR(__xludf.DUMMYFUNCTION("""COMPUTED_VALUE"""),23.0)</f>
        <v>23</v>
      </c>
      <c r="AB292" s="213">
        <f>IFERROR(__xludf.DUMMYFUNCTION("""COMPUTED_VALUE"""),3.0)</f>
        <v>3</v>
      </c>
      <c r="AC292" s="213">
        <f>IFERROR(__xludf.DUMMYFUNCTION("""COMPUTED_VALUE"""),20.0)</f>
        <v>20</v>
      </c>
      <c r="AD292" s="213">
        <f>IFERROR(__xludf.DUMMYFUNCTION("""COMPUTED_VALUE"""),104673.0)</f>
        <v>104673</v>
      </c>
      <c r="AE292" s="213">
        <f>IFERROR(__xludf.DUMMYFUNCTION("""COMPUTED_VALUE"""),18298.0)</f>
        <v>18298</v>
      </c>
      <c r="AF292" s="213">
        <f>IFERROR(__xludf.DUMMYFUNCTION("""COMPUTED_VALUE"""),191048.0)</f>
        <v>191048</v>
      </c>
      <c r="AG292" s="208"/>
      <c r="AH292" s="208"/>
      <c r="AI292" s="208"/>
      <c r="AJ292" s="208"/>
      <c r="AK292" s="208"/>
    </row>
    <row r="293">
      <c r="A293" s="209">
        <f>IFERROR(__xludf.DUMMYFUNCTION("""COMPUTED_VALUE"""),46214.0)</f>
        <v>46214</v>
      </c>
      <c r="B293" s="210">
        <f>IFERROR(__xludf.DUMMYFUNCTION("""COMPUTED_VALUE"""),0.375)</f>
        <v>0.375</v>
      </c>
      <c r="C293" s="211" t="str">
        <f>IFERROR(__xludf.DUMMYFUNCTION("""COMPUTED_VALUE"""),"Rcs")</f>
        <v>Rcs</v>
      </c>
      <c r="D293" s="211" t="str">
        <f>IFERROR(__xludf.DUMMYFUNCTION("""COMPUTED_VALUE"""),"Promotional")</f>
        <v>Promotional</v>
      </c>
      <c r="E293" s="211" t="str">
        <f>IFERROR(__xludf.DUMMYFUNCTION("""COMPUTED_VALUE"""),"Aldo")</f>
        <v>Aldo</v>
      </c>
      <c r="F293" s="211" t="str">
        <f>IFERROR(__xludf.DUMMYFUNCTION("""COMPUTED_VALUE"""),"EOSS_40%-70% OFF - Season Sale EOSS")</f>
        <v>EOSS_40%-70% OFF - Season Sale EOSS</v>
      </c>
      <c r="G293" s="211" t="str">
        <f>IFERROR(__xludf.DUMMYFUNCTION("""COMPUTED_VALUE"""),"WK2_RCS_July_60D_Buyers")</f>
        <v>WK2_RCS_July_60D_Buyers</v>
      </c>
      <c r="H293" s="212" t="str">
        <f>IFERROR(__xludf.DUMMYFUNCTION("""COMPUTED_VALUE"""),"AL_ON_OFF_600D_Buyers")</f>
        <v>AL_ON_OFF_600D_Buyers</v>
      </c>
      <c r="I293" s="212" t="str">
        <f>IFERROR(__xludf.DUMMYFUNCTION("""COMPUTED_VALUE"""),"Customers who have purchased exactly 1 time in the last 600 days")</f>
        <v>Customers who have purchased exactly 1 time in the last 600 days</v>
      </c>
      <c r="J293" s="213">
        <f>IFERROR(__xludf.DUMMYFUNCTION("""COMPUTED_VALUE"""),138304.0)</f>
        <v>138304</v>
      </c>
      <c r="K293" s="213">
        <f>IFERROR(__xludf.DUMMYFUNCTION("""COMPUTED_VALUE"""),27690.0)</f>
        <v>27690</v>
      </c>
      <c r="L293" s="214">
        <f>IFERROR(__xludf.DUMMYFUNCTION("""COMPUTED_VALUE"""),0.2002)</f>
        <v>0.2002</v>
      </c>
      <c r="M293" s="213">
        <f>IFERROR(__xludf.DUMMYFUNCTION("""COMPUTED_VALUE"""),5406.0)</f>
        <v>5406</v>
      </c>
      <c r="N293" s="214">
        <f>IFERROR(__xludf.DUMMYFUNCTION("""COMPUTED_VALUE"""),0.1954)</f>
        <v>0.1954</v>
      </c>
      <c r="O293" s="213">
        <f>IFERROR(__xludf.DUMMYFUNCTION("""COMPUTED_VALUE"""),194.0)</f>
        <v>194</v>
      </c>
      <c r="P293" s="213">
        <f>IFERROR(__xludf.DUMMYFUNCTION("""COMPUTED_VALUE"""),0.0)</f>
        <v>0</v>
      </c>
      <c r="Q293" s="214">
        <f>IFERROR(__xludf.DUMMYFUNCTION("""COMPUTED_VALUE"""),0.0078)</f>
        <v>0.0078</v>
      </c>
      <c r="R293" s="214">
        <f>IFERROR(__xludf.DUMMYFUNCTION("""COMPUTED_VALUE"""),0.0)</f>
        <v>0</v>
      </c>
      <c r="S293" s="213">
        <f>IFERROR(__xludf.DUMMYFUNCTION("""COMPUTED_VALUE"""),0.0)</f>
        <v>0</v>
      </c>
      <c r="T293" s="213">
        <f>IFERROR(__xludf.DUMMYFUNCTION("""COMPUTED_VALUE"""),0.0)</f>
        <v>0</v>
      </c>
      <c r="U293" s="213">
        <f>IFERROR(__xludf.DUMMYFUNCTION("""COMPUTED_VALUE"""),0.0)</f>
        <v>0</v>
      </c>
      <c r="V293" s="213" t="str">
        <f>IFERROR(__xludf.DUMMYFUNCTION("""COMPUTED_VALUE"""),"overall")</f>
        <v>overall</v>
      </c>
      <c r="W293" s="213" t="str">
        <f>IFERROR(__xludf.DUMMYFUNCTION("""COMPUTED_VALUE"""),"RCS")</f>
        <v>RCS</v>
      </c>
      <c r="X293" s="213" t="str">
        <f>IFERROR(__xludf.DUMMYFUNCTION("""COMPUTED_VALUE"""),"New")</f>
        <v>New</v>
      </c>
      <c r="Y293" s="213" t="str">
        <f>IFERROR(__xludf.DUMMYFUNCTION("""COMPUTED_VALUE"""),"11th July Sat  - 12th July Sunday")</f>
        <v>11th July Sat  - 12th July Sunday</v>
      </c>
      <c r="Z293" s="213" t="str">
        <f>IFERROR(__xludf.DUMMYFUNCTION("""COMPUTED_VALUE"""),"6a5094c69a0a78ae77916bb4")</f>
        <v>6a5094c69a0a78ae77916bb4</v>
      </c>
      <c r="AA293" s="213">
        <f>IFERROR(__xludf.DUMMYFUNCTION("""COMPUTED_VALUE"""),33.0)</f>
        <v>33</v>
      </c>
      <c r="AB293" s="213">
        <f>IFERROR(__xludf.DUMMYFUNCTION("""COMPUTED_VALUE"""),3.0)</f>
        <v>3</v>
      </c>
      <c r="AC293" s="213">
        <f>IFERROR(__xludf.DUMMYFUNCTION("""COMPUTED_VALUE"""),30.0)</f>
        <v>30</v>
      </c>
      <c r="AD293" s="213">
        <f>IFERROR(__xludf.DUMMYFUNCTION("""COMPUTED_VALUE"""),331957.0)</f>
        <v>331957</v>
      </c>
      <c r="AE293" s="213">
        <f>IFERROR(__xludf.DUMMYFUNCTION("""COMPUTED_VALUE"""),24597.0)</f>
        <v>24597</v>
      </c>
      <c r="AF293" s="213">
        <f>IFERROR(__xludf.DUMMYFUNCTION("""COMPUTED_VALUE"""),307360.0)</f>
        <v>307360</v>
      </c>
      <c r="AG293" s="208"/>
      <c r="AH293" s="208"/>
      <c r="AI293" s="208"/>
      <c r="AJ293" s="208"/>
      <c r="AK293" s="208"/>
    </row>
    <row r="294">
      <c r="A294" s="209">
        <f>IFERROR(__xludf.DUMMYFUNCTION("""COMPUTED_VALUE"""),46214.0)</f>
        <v>46214</v>
      </c>
      <c r="B294" s="210">
        <f>IFERROR(__xludf.DUMMYFUNCTION("""COMPUTED_VALUE"""),0.375)</f>
        <v>0.375</v>
      </c>
      <c r="C294" s="211" t="str">
        <f>IFERROR(__xludf.DUMMYFUNCTION("""COMPUTED_VALUE"""),"Rcs")</f>
        <v>Rcs</v>
      </c>
      <c r="D294" s="211" t="str">
        <f>IFERROR(__xludf.DUMMYFUNCTION("""COMPUTED_VALUE"""),"Promotional")</f>
        <v>Promotional</v>
      </c>
      <c r="E294" s="211" t="str">
        <f>IFERROR(__xludf.DUMMYFUNCTION("""COMPUTED_VALUE"""),"Aldo")</f>
        <v>Aldo</v>
      </c>
      <c r="F294" s="211" t="str">
        <f>IFERROR(__xludf.DUMMYFUNCTION("""COMPUTED_VALUE"""),"EOSS_40%-70% OFF - Season Sale EOSS")</f>
        <v>EOSS_40%-70% OFF - Season Sale EOSS</v>
      </c>
      <c r="G294" s="211" t="str">
        <f>IFERROR(__xludf.DUMMYFUNCTION("""COMPUTED_VALUE"""),"RCS_July_1095D_Buyers")</f>
        <v>RCS_July_1095D_Buyers</v>
      </c>
      <c r="H294" s="212" t="str">
        <f>IFERROR(__xludf.DUMMYFUNCTION("""COMPUTED_VALUE"""),"AL_ON_OFF_601D_1095D_Buyers")</f>
        <v>AL_ON_OFF_601D_1095D_Buyers</v>
      </c>
      <c r="I294" s="212" t="str">
        <f>IFERROR(__xludf.DUMMYFUNCTION("""COMPUTED_VALUE"""),"Customers who have purchased exactly 1 time in the between 601 days ago and 1095 days ago")</f>
        <v>Customers who have purchased exactly 1 time in the between 601 days ago and 1095 days ago</v>
      </c>
      <c r="J294" s="213">
        <f>IFERROR(__xludf.DUMMYFUNCTION("""COMPUTED_VALUE"""),91369.0)</f>
        <v>91369</v>
      </c>
      <c r="K294" s="213">
        <f>IFERROR(__xludf.DUMMYFUNCTION("""COMPUTED_VALUE"""),16897.0)</f>
        <v>16897</v>
      </c>
      <c r="L294" s="214">
        <f>IFERROR(__xludf.DUMMYFUNCTION("""COMPUTED_VALUE"""),0.1849)</f>
        <v>0.1849</v>
      </c>
      <c r="M294" s="213">
        <f>IFERROR(__xludf.DUMMYFUNCTION("""COMPUTED_VALUE"""),3236.0)</f>
        <v>3236</v>
      </c>
      <c r="N294" s="214">
        <f>IFERROR(__xludf.DUMMYFUNCTION("""COMPUTED_VALUE"""),0.1916)</f>
        <v>0.1916</v>
      </c>
      <c r="O294" s="213">
        <f>IFERROR(__xludf.DUMMYFUNCTION("""COMPUTED_VALUE"""),80.0)</f>
        <v>80</v>
      </c>
      <c r="P294" s="213">
        <f>IFERROR(__xludf.DUMMYFUNCTION("""COMPUTED_VALUE"""),0.0)</f>
        <v>0</v>
      </c>
      <c r="Q294" s="214">
        <f>IFERROR(__xludf.DUMMYFUNCTION("""COMPUTED_VALUE"""),0.0056)</f>
        <v>0.0056</v>
      </c>
      <c r="R294" s="214">
        <f>IFERROR(__xludf.DUMMYFUNCTION("""COMPUTED_VALUE"""),0.0)</f>
        <v>0</v>
      </c>
      <c r="S294" s="213">
        <f>IFERROR(__xludf.DUMMYFUNCTION("""COMPUTED_VALUE"""),0.0)</f>
        <v>0</v>
      </c>
      <c r="T294" s="213">
        <f>IFERROR(__xludf.DUMMYFUNCTION("""COMPUTED_VALUE"""),0.0)</f>
        <v>0</v>
      </c>
      <c r="U294" s="213">
        <f>IFERROR(__xludf.DUMMYFUNCTION("""COMPUTED_VALUE"""),0.0)</f>
        <v>0</v>
      </c>
      <c r="V294" s="213" t="str">
        <f>IFERROR(__xludf.DUMMYFUNCTION("""COMPUTED_VALUE"""),"overall")</f>
        <v>overall</v>
      </c>
      <c r="W294" s="213" t="str">
        <f>IFERROR(__xludf.DUMMYFUNCTION("""COMPUTED_VALUE"""),"RCS")</f>
        <v>RCS</v>
      </c>
      <c r="X294" s="213" t="str">
        <f>IFERROR(__xludf.DUMMYFUNCTION("""COMPUTED_VALUE"""),"New")</f>
        <v>New</v>
      </c>
      <c r="Y294" s="213" t="str">
        <f>IFERROR(__xludf.DUMMYFUNCTION("""COMPUTED_VALUE"""),"11th July Sat  - 12th July Sunday")</f>
        <v>11th July Sat  - 12th July Sunday</v>
      </c>
      <c r="Z294" s="213" t="str">
        <f>IFERROR(__xludf.DUMMYFUNCTION("""COMPUTED_VALUE"""),"6a5095378b5271a5d16ff437")</f>
        <v>6a5095378b5271a5d16ff437</v>
      </c>
      <c r="AA294" s="213">
        <f>IFERROR(__xludf.DUMMYFUNCTION("""COMPUTED_VALUE"""),5.0)</f>
        <v>5</v>
      </c>
      <c r="AB294" s="213">
        <f>IFERROR(__xludf.DUMMYFUNCTION("""COMPUTED_VALUE"""),0.0)</f>
        <v>0</v>
      </c>
      <c r="AC294" s="213">
        <f>IFERROR(__xludf.DUMMYFUNCTION("""COMPUTED_VALUE"""),5.0)</f>
        <v>5</v>
      </c>
      <c r="AD294" s="213">
        <f>IFERROR(__xludf.DUMMYFUNCTION("""COMPUTED_VALUE"""),36840.0)</f>
        <v>36840</v>
      </c>
      <c r="AE294" s="213">
        <f>IFERROR(__xludf.DUMMYFUNCTION("""COMPUTED_VALUE"""),0.0)</f>
        <v>0</v>
      </c>
      <c r="AF294" s="213">
        <f>IFERROR(__xludf.DUMMYFUNCTION("""COMPUTED_VALUE"""),36840.0)</f>
        <v>36840</v>
      </c>
      <c r="AG294" s="208"/>
      <c r="AH294" s="208"/>
      <c r="AI294" s="208"/>
      <c r="AJ294" s="208"/>
      <c r="AK294" s="208"/>
    </row>
    <row r="295">
      <c r="A295" s="209"/>
      <c r="B295" s="210"/>
      <c r="C295" s="211"/>
      <c r="D295" s="211"/>
      <c r="E295" s="211"/>
      <c r="F295" s="211"/>
      <c r="G295" s="211"/>
      <c r="H295" s="212"/>
      <c r="I295" s="212"/>
      <c r="J295" s="213"/>
      <c r="K295" s="213"/>
      <c r="L295" s="214"/>
      <c r="M295" s="213"/>
      <c r="N295" s="214"/>
      <c r="O295" s="213"/>
      <c r="P295" s="213"/>
      <c r="Q295" s="214"/>
      <c r="R295" s="214"/>
      <c r="S295" s="213"/>
      <c r="T295" s="213"/>
      <c r="U295" s="213"/>
      <c r="V295" s="213"/>
      <c r="W295" s="213"/>
      <c r="X295" s="213"/>
      <c r="Y295" s="213"/>
      <c r="Z295" s="213"/>
      <c r="AA295" s="213"/>
      <c r="AB295" s="213"/>
      <c r="AC295" s="213"/>
      <c r="AD295" s="213"/>
      <c r="AE295" s="213"/>
      <c r="AF295" s="213"/>
      <c r="AG295" s="208"/>
      <c r="AH295" s="208"/>
      <c r="AI295" s="208"/>
      <c r="AJ295" s="208"/>
      <c r="AK295" s="208"/>
    </row>
    <row r="296">
      <c r="A296" s="209"/>
      <c r="B296" s="210"/>
      <c r="C296" s="211"/>
      <c r="D296" s="211"/>
      <c r="E296" s="211"/>
      <c r="F296" s="211"/>
      <c r="G296" s="211"/>
      <c r="H296" s="212"/>
      <c r="I296" s="212"/>
      <c r="J296" s="213"/>
      <c r="K296" s="213"/>
      <c r="L296" s="214"/>
      <c r="M296" s="213"/>
      <c r="N296" s="214"/>
      <c r="O296" s="213"/>
      <c r="P296" s="213"/>
      <c r="Q296" s="214"/>
      <c r="R296" s="214"/>
      <c r="S296" s="213"/>
      <c r="T296" s="213"/>
      <c r="U296" s="213"/>
      <c r="V296" s="213"/>
      <c r="W296" s="213"/>
      <c r="X296" s="213"/>
      <c r="Y296" s="213"/>
      <c r="Z296" s="213"/>
      <c r="AA296" s="213"/>
      <c r="AB296" s="213"/>
      <c r="AC296" s="213"/>
      <c r="AD296" s="213"/>
      <c r="AE296" s="213"/>
      <c r="AF296" s="213"/>
      <c r="AG296" s="208"/>
      <c r="AH296" s="208"/>
      <c r="AI296" s="208"/>
      <c r="AJ296" s="208"/>
      <c r="AK296" s="208"/>
    </row>
    <row r="297">
      <c r="A297" s="209"/>
      <c r="B297" s="210"/>
      <c r="C297" s="211"/>
      <c r="D297" s="211"/>
      <c r="E297" s="211"/>
      <c r="F297" s="211"/>
      <c r="G297" s="211"/>
      <c r="H297" s="212"/>
      <c r="I297" s="212"/>
      <c r="J297" s="213"/>
      <c r="K297" s="213"/>
      <c r="L297" s="214"/>
      <c r="M297" s="213"/>
      <c r="N297" s="214"/>
      <c r="O297" s="213"/>
      <c r="P297" s="213"/>
      <c r="Q297" s="214"/>
      <c r="R297" s="214"/>
      <c r="S297" s="213"/>
      <c r="T297" s="213"/>
      <c r="U297" s="213"/>
      <c r="V297" s="213"/>
      <c r="W297" s="213"/>
      <c r="X297" s="213"/>
      <c r="Y297" s="213"/>
      <c r="Z297" s="213"/>
      <c r="AA297" s="213"/>
      <c r="AB297" s="213"/>
      <c r="AC297" s="213"/>
      <c r="AD297" s="213"/>
      <c r="AE297" s="213"/>
      <c r="AF297" s="213"/>
      <c r="AG297" s="208"/>
      <c r="AH297" s="208"/>
      <c r="AI297" s="208"/>
      <c r="AJ297" s="208"/>
      <c r="AK297" s="208"/>
    </row>
    <row r="298">
      <c r="A298" s="209"/>
      <c r="B298" s="210"/>
      <c r="C298" s="211"/>
      <c r="D298" s="211"/>
      <c r="E298" s="211"/>
      <c r="F298" s="211"/>
      <c r="G298" s="211"/>
      <c r="H298" s="212"/>
      <c r="I298" s="212"/>
      <c r="J298" s="213"/>
      <c r="K298" s="213"/>
      <c r="L298" s="214"/>
      <c r="M298" s="213"/>
      <c r="N298" s="214"/>
      <c r="O298" s="213"/>
      <c r="P298" s="213"/>
      <c r="Q298" s="214"/>
      <c r="R298" s="214"/>
      <c r="S298" s="213"/>
      <c r="T298" s="213"/>
      <c r="U298" s="213"/>
      <c r="V298" s="213"/>
      <c r="W298" s="213"/>
      <c r="X298" s="213"/>
      <c r="Y298" s="213"/>
      <c r="Z298" s="213"/>
      <c r="AA298" s="213"/>
      <c r="AB298" s="213"/>
      <c r="AC298" s="213"/>
      <c r="AD298" s="213"/>
      <c r="AE298" s="213"/>
      <c r="AF298" s="213"/>
      <c r="AG298" s="208"/>
      <c r="AH298" s="208"/>
      <c r="AI298" s="208"/>
      <c r="AJ298" s="208"/>
      <c r="AK298" s="208"/>
    </row>
    <row r="299">
      <c r="A299" s="209"/>
      <c r="B299" s="210"/>
      <c r="C299" s="211"/>
      <c r="D299" s="211"/>
      <c r="E299" s="211"/>
      <c r="F299" s="211"/>
      <c r="G299" s="211"/>
      <c r="H299" s="212"/>
      <c r="I299" s="212"/>
      <c r="J299" s="213"/>
      <c r="K299" s="213"/>
      <c r="L299" s="214"/>
      <c r="M299" s="213"/>
      <c r="N299" s="214"/>
      <c r="O299" s="213"/>
      <c r="P299" s="213"/>
      <c r="Q299" s="214"/>
      <c r="R299" s="214"/>
      <c r="S299" s="213"/>
      <c r="T299" s="213"/>
      <c r="U299" s="213"/>
      <c r="V299" s="213"/>
      <c r="W299" s="213"/>
      <c r="X299" s="213"/>
      <c r="Y299" s="213"/>
      <c r="Z299" s="213"/>
      <c r="AA299" s="213"/>
      <c r="AB299" s="213"/>
      <c r="AC299" s="213"/>
      <c r="AD299" s="213"/>
      <c r="AE299" s="213"/>
      <c r="AF299" s="213"/>
      <c r="AG299" s="208"/>
      <c r="AH299" s="208"/>
      <c r="AI299" s="208"/>
      <c r="AJ299" s="208"/>
      <c r="AK299" s="208"/>
    </row>
    <row r="300">
      <c r="A300" s="209"/>
      <c r="B300" s="210"/>
      <c r="C300" s="211"/>
      <c r="D300" s="211"/>
      <c r="E300" s="211"/>
      <c r="F300" s="211"/>
      <c r="G300" s="211"/>
      <c r="H300" s="212"/>
      <c r="I300" s="212"/>
      <c r="J300" s="213"/>
      <c r="K300" s="213"/>
      <c r="L300" s="214"/>
      <c r="M300" s="213"/>
      <c r="N300" s="214"/>
      <c r="O300" s="213"/>
      <c r="P300" s="213"/>
      <c r="Q300" s="214"/>
      <c r="R300" s="214"/>
      <c r="S300" s="213"/>
      <c r="T300" s="213"/>
      <c r="U300" s="213"/>
      <c r="V300" s="213"/>
      <c r="W300" s="213"/>
      <c r="X300" s="213"/>
      <c r="Y300" s="213"/>
      <c r="Z300" s="213"/>
      <c r="AA300" s="213"/>
      <c r="AB300" s="213"/>
      <c r="AC300" s="213"/>
      <c r="AD300" s="213"/>
      <c r="AE300" s="213"/>
      <c r="AF300" s="213"/>
      <c r="AG300" s="208"/>
      <c r="AH300" s="208"/>
      <c r="AI300" s="208"/>
      <c r="AJ300" s="208"/>
      <c r="AK300" s="208"/>
    </row>
    <row r="301">
      <c r="A301" s="209"/>
      <c r="B301" s="210"/>
      <c r="C301" s="211"/>
      <c r="D301" s="211"/>
      <c r="E301" s="211"/>
      <c r="F301" s="211"/>
      <c r="G301" s="211"/>
      <c r="H301" s="212"/>
      <c r="I301" s="212"/>
      <c r="J301" s="213"/>
      <c r="K301" s="213"/>
      <c r="L301" s="214"/>
      <c r="M301" s="213"/>
      <c r="N301" s="214"/>
      <c r="O301" s="213"/>
      <c r="P301" s="213"/>
      <c r="Q301" s="214"/>
      <c r="R301" s="214"/>
      <c r="S301" s="213"/>
      <c r="T301" s="213"/>
      <c r="U301" s="213"/>
      <c r="V301" s="213"/>
      <c r="W301" s="213"/>
      <c r="X301" s="213"/>
      <c r="Y301" s="213"/>
      <c r="Z301" s="213"/>
      <c r="AA301" s="213"/>
      <c r="AB301" s="213"/>
      <c r="AC301" s="213"/>
      <c r="AD301" s="213"/>
      <c r="AE301" s="213"/>
      <c r="AF301" s="213"/>
      <c r="AG301" s="208"/>
      <c r="AH301" s="208"/>
      <c r="AI301" s="208"/>
      <c r="AJ301" s="208"/>
      <c r="AK301" s="208"/>
    </row>
    <row r="302">
      <c r="A302" s="209"/>
      <c r="B302" s="210"/>
      <c r="C302" s="211"/>
      <c r="D302" s="211"/>
      <c r="E302" s="211"/>
      <c r="F302" s="211"/>
      <c r="G302" s="211"/>
      <c r="H302" s="212"/>
      <c r="I302" s="212"/>
      <c r="J302" s="213"/>
      <c r="K302" s="213"/>
      <c r="L302" s="214"/>
      <c r="M302" s="213"/>
      <c r="N302" s="214"/>
      <c r="O302" s="213"/>
      <c r="P302" s="213"/>
      <c r="Q302" s="214"/>
      <c r="R302" s="214"/>
      <c r="S302" s="213"/>
      <c r="T302" s="213"/>
      <c r="U302" s="213"/>
      <c r="V302" s="213"/>
      <c r="W302" s="213"/>
      <c r="X302" s="213"/>
      <c r="Y302" s="213"/>
      <c r="Z302" s="213"/>
      <c r="AA302" s="213"/>
      <c r="AB302" s="213"/>
      <c r="AC302" s="213"/>
      <c r="AD302" s="213"/>
      <c r="AE302" s="213"/>
      <c r="AF302" s="213"/>
      <c r="AG302" s="208"/>
      <c r="AH302" s="208"/>
      <c r="AI302" s="208"/>
      <c r="AJ302" s="208"/>
      <c r="AK302" s="208"/>
    </row>
    <row r="303">
      <c r="A303" s="209"/>
      <c r="B303" s="210"/>
      <c r="C303" s="211"/>
      <c r="D303" s="211"/>
      <c r="E303" s="211"/>
      <c r="F303" s="211"/>
      <c r="G303" s="211"/>
      <c r="H303" s="212"/>
      <c r="I303" s="212"/>
      <c r="J303" s="213"/>
      <c r="K303" s="213"/>
      <c r="L303" s="214"/>
      <c r="M303" s="213"/>
      <c r="N303" s="214"/>
      <c r="O303" s="213"/>
      <c r="P303" s="213"/>
      <c r="Q303" s="214"/>
      <c r="R303" s="214"/>
      <c r="S303" s="213"/>
      <c r="T303" s="213"/>
      <c r="U303" s="213"/>
      <c r="V303" s="213"/>
      <c r="W303" s="213"/>
      <c r="X303" s="213"/>
      <c r="Y303" s="213"/>
      <c r="Z303" s="213"/>
      <c r="AA303" s="213"/>
      <c r="AB303" s="213"/>
      <c r="AC303" s="213"/>
      <c r="AD303" s="213"/>
      <c r="AE303" s="213"/>
      <c r="AF303" s="213"/>
      <c r="AG303" s="208"/>
      <c r="AH303" s="208"/>
      <c r="AI303" s="208"/>
      <c r="AJ303" s="208"/>
      <c r="AK303" s="208"/>
    </row>
    <row r="304">
      <c r="A304" s="209"/>
      <c r="B304" s="210"/>
      <c r="C304" s="211"/>
      <c r="D304" s="211"/>
      <c r="E304" s="211"/>
      <c r="F304" s="211"/>
      <c r="G304" s="211"/>
      <c r="H304" s="212"/>
      <c r="I304" s="212"/>
      <c r="J304" s="213"/>
      <c r="K304" s="213"/>
      <c r="L304" s="214"/>
      <c r="M304" s="213"/>
      <c r="N304" s="214"/>
      <c r="O304" s="213"/>
      <c r="P304" s="213"/>
      <c r="Q304" s="214"/>
      <c r="R304" s="214"/>
      <c r="S304" s="213"/>
      <c r="T304" s="213"/>
      <c r="U304" s="213"/>
      <c r="V304" s="213"/>
      <c r="W304" s="213"/>
      <c r="X304" s="213"/>
      <c r="Y304" s="213"/>
      <c r="Z304" s="213"/>
      <c r="AA304" s="213"/>
      <c r="AB304" s="213"/>
      <c r="AC304" s="213"/>
      <c r="AD304" s="213"/>
      <c r="AE304" s="213"/>
      <c r="AF304" s="213"/>
      <c r="AG304" s="208"/>
      <c r="AH304" s="208"/>
      <c r="AI304" s="208"/>
      <c r="AJ304" s="208"/>
      <c r="AK304" s="208"/>
    </row>
    <row r="305">
      <c r="A305" s="209"/>
      <c r="B305" s="210"/>
      <c r="C305" s="211"/>
      <c r="D305" s="211"/>
      <c r="E305" s="211"/>
      <c r="F305" s="211"/>
      <c r="G305" s="211"/>
      <c r="H305" s="212"/>
      <c r="I305" s="212"/>
      <c r="J305" s="213"/>
      <c r="K305" s="213"/>
      <c r="L305" s="214"/>
      <c r="M305" s="213"/>
      <c r="N305" s="214"/>
      <c r="O305" s="213"/>
      <c r="P305" s="213"/>
      <c r="Q305" s="214"/>
      <c r="R305" s="214"/>
      <c r="S305" s="213"/>
      <c r="T305" s="213"/>
      <c r="U305" s="213"/>
      <c r="V305" s="213"/>
      <c r="W305" s="213"/>
      <c r="X305" s="213"/>
      <c r="Y305" s="213"/>
      <c r="Z305" s="213"/>
      <c r="AA305" s="213"/>
      <c r="AB305" s="213"/>
      <c r="AC305" s="213"/>
      <c r="AD305" s="213"/>
      <c r="AE305" s="213"/>
      <c r="AF305" s="213"/>
      <c r="AG305" s="208"/>
      <c r="AH305" s="208"/>
      <c r="AI305" s="208"/>
      <c r="AJ305" s="208"/>
      <c r="AK305" s="208"/>
    </row>
    <row r="306">
      <c r="A306" s="209"/>
      <c r="B306" s="210"/>
      <c r="C306" s="211"/>
      <c r="D306" s="211"/>
      <c r="E306" s="211"/>
      <c r="F306" s="211"/>
      <c r="G306" s="211"/>
      <c r="H306" s="212"/>
      <c r="I306" s="212"/>
      <c r="J306" s="213"/>
      <c r="K306" s="213"/>
      <c r="L306" s="214"/>
      <c r="M306" s="213"/>
      <c r="N306" s="214"/>
      <c r="O306" s="213"/>
      <c r="P306" s="213"/>
      <c r="Q306" s="214"/>
      <c r="R306" s="214"/>
      <c r="S306" s="213"/>
      <c r="T306" s="213"/>
      <c r="U306" s="213"/>
      <c r="V306" s="213"/>
      <c r="W306" s="213"/>
      <c r="X306" s="213"/>
      <c r="Y306" s="213"/>
      <c r="Z306" s="213"/>
      <c r="AA306" s="213"/>
      <c r="AB306" s="213"/>
      <c r="AC306" s="213"/>
      <c r="AD306" s="213"/>
      <c r="AE306" s="213"/>
      <c r="AF306" s="213"/>
      <c r="AG306" s="208"/>
      <c r="AH306" s="208"/>
      <c r="AI306" s="208"/>
      <c r="AJ306" s="208"/>
      <c r="AK306" s="208"/>
    </row>
    <row r="307">
      <c r="A307" s="209"/>
      <c r="B307" s="210"/>
      <c r="C307" s="211"/>
      <c r="D307" s="211"/>
      <c r="E307" s="211"/>
      <c r="F307" s="211"/>
      <c r="G307" s="211"/>
      <c r="H307" s="212"/>
      <c r="I307" s="212"/>
      <c r="J307" s="213"/>
      <c r="K307" s="213"/>
      <c r="L307" s="214"/>
      <c r="M307" s="213"/>
      <c r="N307" s="214"/>
      <c r="O307" s="213"/>
      <c r="P307" s="213"/>
      <c r="Q307" s="214"/>
      <c r="R307" s="214"/>
      <c r="S307" s="213"/>
      <c r="T307" s="213"/>
      <c r="U307" s="213"/>
      <c r="V307" s="213"/>
      <c r="W307" s="213"/>
      <c r="X307" s="213"/>
      <c r="Y307" s="213"/>
      <c r="Z307" s="213"/>
      <c r="AA307" s="213"/>
      <c r="AB307" s="213"/>
      <c r="AC307" s="213"/>
      <c r="AD307" s="213"/>
      <c r="AE307" s="213"/>
      <c r="AF307" s="213"/>
      <c r="AG307" s="208"/>
      <c r="AH307" s="208"/>
      <c r="AI307" s="208"/>
      <c r="AJ307" s="208"/>
      <c r="AK307" s="208"/>
    </row>
    <row r="308">
      <c r="A308" s="209"/>
      <c r="B308" s="210"/>
      <c r="C308" s="211"/>
      <c r="D308" s="211"/>
      <c r="E308" s="211"/>
      <c r="F308" s="211"/>
      <c r="G308" s="211"/>
      <c r="H308" s="212"/>
      <c r="I308" s="212"/>
      <c r="J308" s="213"/>
      <c r="K308" s="213"/>
      <c r="L308" s="214"/>
      <c r="M308" s="213"/>
      <c r="N308" s="214"/>
      <c r="O308" s="213"/>
      <c r="P308" s="213"/>
      <c r="Q308" s="214"/>
      <c r="R308" s="214"/>
      <c r="S308" s="213"/>
      <c r="T308" s="213"/>
      <c r="U308" s="213"/>
      <c r="V308" s="213"/>
      <c r="W308" s="213"/>
      <c r="X308" s="213"/>
      <c r="Y308" s="213"/>
      <c r="Z308" s="213"/>
      <c r="AA308" s="213"/>
      <c r="AB308" s="213"/>
      <c r="AC308" s="213"/>
      <c r="AD308" s="213"/>
      <c r="AE308" s="213"/>
      <c r="AF308" s="213"/>
      <c r="AG308" s="208"/>
      <c r="AH308" s="208"/>
      <c r="AI308" s="208"/>
      <c r="AJ308" s="208"/>
      <c r="AK308" s="208"/>
    </row>
    <row r="309">
      <c r="A309" s="209"/>
      <c r="B309" s="210"/>
      <c r="C309" s="211"/>
      <c r="D309" s="211"/>
      <c r="E309" s="211"/>
      <c r="F309" s="211"/>
      <c r="G309" s="211"/>
      <c r="H309" s="212"/>
      <c r="I309" s="212"/>
      <c r="J309" s="213"/>
      <c r="K309" s="213"/>
      <c r="L309" s="214"/>
      <c r="M309" s="213"/>
      <c r="N309" s="214"/>
      <c r="O309" s="213"/>
      <c r="P309" s="213"/>
      <c r="Q309" s="214"/>
      <c r="R309" s="214"/>
      <c r="S309" s="213"/>
      <c r="T309" s="213"/>
      <c r="U309" s="213"/>
      <c r="V309" s="213"/>
      <c r="W309" s="213"/>
      <c r="X309" s="213"/>
      <c r="Y309" s="213"/>
      <c r="Z309" s="213"/>
      <c r="AA309" s="213"/>
      <c r="AB309" s="213"/>
      <c r="AC309" s="213"/>
      <c r="AD309" s="213"/>
      <c r="AE309" s="213"/>
      <c r="AF309" s="213"/>
      <c r="AG309" s="208"/>
      <c r="AH309" s="208"/>
      <c r="AI309" s="208"/>
      <c r="AJ309" s="208"/>
      <c r="AK309" s="208"/>
    </row>
    <row r="310">
      <c r="A310" s="209"/>
      <c r="B310" s="210"/>
      <c r="C310" s="211"/>
      <c r="D310" s="211"/>
      <c r="E310" s="211"/>
      <c r="F310" s="211"/>
      <c r="G310" s="211"/>
      <c r="H310" s="212"/>
      <c r="I310" s="212"/>
      <c r="J310" s="213"/>
      <c r="K310" s="213"/>
      <c r="L310" s="214"/>
      <c r="M310" s="213"/>
      <c r="N310" s="214"/>
      <c r="O310" s="213"/>
      <c r="P310" s="213"/>
      <c r="Q310" s="214"/>
      <c r="R310" s="214"/>
      <c r="S310" s="213"/>
      <c r="T310" s="213"/>
      <c r="U310" s="213"/>
      <c r="V310" s="213"/>
      <c r="W310" s="213"/>
      <c r="X310" s="213"/>
      <c r="Y310" s="213"/>
      <c r="Z310" s="213"/>
      <c r="AA310" s="213"/>
      <c r="AB310" s="213"/>
      <c r="AC310" s="213"/>
      <c r="AD310" s="213"/>
      <c r="AE310" s="213"/>
      <c r="AF310" s="213"/>
      <c r="AG310" s="208"/>
      <c r="AH310" s="208"/>
      <c r="AI310" s="208"/>
      <c r="AJ310" s="208"/>
      <c r="AK310" s="208"/>
    </row>
    <row r="311">
      <c r="A311" s="209"/>
      <c r="B311" s="210"/>
      <c r="C311" s="211"/>
      <c r="D311" s="211"/>
      <c r="E311" s="211"/>
      <c r="F311" s="211"/>
      <c r="G311" s="211"/>
      <c r="H311" s="212"/>
      <c r="I311" s="212"/>
      <c r="J311" s="213"/>
      <c r="K311" s="213"/>
      <c r="L311" s="214"/>
      <c r="M311" s="213"/>
      <c r="N311" s="214"/>
      <c r="O311" s="213"/>
      <c r="P311" s="213"/>
      <c r="Q311" s="214"/>
      <c r="R311" s="214"/>
      <c r="S311" s="213"/>
      <c r="T311" s="213"/>
      <c r="U311" s="213"/>
      <c r="V311" s="213"/>
      <c r="W311" s="213"/>
      <c r="X311" s="213"/>
      <c r="Y311" s="213"/>
      <c r="Z311" s="213"/>
      <c r="AA311" s="213"/>
      <c r="AB311" s="213"/>
      <c r="AC311" s="213"/>
      <c r="AD311" s="213"/>
      <c r="AE311" s="213"/>
      <c r="AF311" s="213"/>
      <c r="AG311" s="208"/>
      <c r="AH311" s="208"/>
      <c r="AI311" s="208"/>
      <c r="AJ311" s="208"/>
      <c r="AK311" s="208"/>
    </row>
    <row r="312">
      <c r="A312" s="209"/>
      <c r="B312" s="210"/>
      <c r="C312" s="211"/>
      <c r="D312" s="211"/>
      <c r="E312" s="211"/>
      <c r="F312" s="211"/>
      <c r="G312" s="211"/>
      <c r="H312" s="212"/>
      <c r="I312" s="212"/>
      <c r="J312" s="213"/>
      <c r="K312" s="213"/>
      <c r="L312" s="214"/>
      <c r="M312" s="213"/>
      <c r="N312" s="214"/>
      <c r="O312" s="213"/>
      <c r="P312" s="213"/>
      <c r="Q312" s="214"/>
      <c r="R312" s="214"/>
      <c r="S312" s="213"/>
      <c r="T312" s="213"/>
      <c r="U312" s="213"/>
      <c r="V312" s="213"/>
      <c r="W312" s="213"/>
      <c r="X312" s="213"/>
      <c r="Y312" s="213"/>
      <c r="Z312" s="213"/>
      <c r="AA312" s="213"/>
      <c r="AB312" s="213"/>
      <c r="AC312" s="213"/>
      <c r="AD312" s="213"/>
      <c r="AE312" s="213"/>
      <c r="AF312" s="213"/>
      <c r="AG312" s="208"/>
      <c r="AH312" s="208"/>
      <c r="AI312" s="208"/>
      <c r="AJ312" s="208"/>
      <c r="AK312" s="208"/>
    </row>
    <row r="313">
      <c r="A313" s="209"/>
      <c r="B313" s="210"/>
      <c r="C313" s="211"/>
      <c r="D313" s="211"/>
      <c r="E313" s="211"/>
      <c r="F313" s="211"/>
      <c r="G313" s="211"/>
      <c r="H313" s="212"/>
      <c r="I313" s="212"/>
      <c r="J313" s="213"/>
      <c r="K313" s="213"/>
      <c r="L313" s="214"/>
      <c r="M313" s="213"/>
      <c r="N313" s="214"/>
      <c r="O313" s="213"/>
      <c r="P313" s="213"/>
      <c r="Q313" s="214"/>
      <c r="R313" s="214"/>
      <c r="S313" s="213"/>
      <c r="T313" s="213"/>
      <c r="U313" s="213"/>
      <c r="V313" s="213"/>
      <c r="W313" s="213"/>
      <c r="X313" s="213"/>
      <c r="Y313" s="213"/>
      <c r="Z313" s="213"/>
      <c r="AA313" s="213"/>
      <c r="AB313" s="213"/>
      <c r="AC313" s="213"/>
      <c r="AD313" s="213"/>
      <c r="AE313" s="213"/>
      <c r="AF313" s="213"/>
      <c r="AG313" s="208"/>
      <c r="AH313" s="208"/>
      <c r="AI313" s="208"/>
      <c r="AJ313" s="208"/>
      <c r="AK313" s="208"/>
    </row>
    <row r="314">
      <c r="A314" s="209"/>
      <c r="B314" s="210"/>
      <c r="C314" s="211"/>
      <c r="D314" s="211"/>
      <c r="E314" s="211"/>
      <c r="F314" s="211"/>
      <c r="G314" s="211"/>
      <c r="H314" s="212"/>
      <c r="I314" s="212"/>
      <c r="J314" s="213"/>
      <c r="K314" s="213"/>
      <c r="L314" s="214"/>
      <c r="M314" s="213"/>
      <c r="N314" s="214"/>
      <c r="O314" s="213"/>
      <c r="P314" s="213"/>
      <c r="Q314" s="214"/>
      <c r="R314" s="214"/>
      <c r="S314" s="213"/>
      <c r="T314" s="213"/>
      <c r="U314" s="213"/>
      <c r="V314" s="213"/>
      <c r="W314" s="213"/>
      <c r="X314" s="213"/>
      <c r="Y314" s="213"/>
      <c r="Z314" s="213"/>
      <c r="AA314" s="213"/>
      <c r="AB314" s="213"/>
      <c r="AC314" s="213"/>
      <c r="AD314" s="213"/>
      <c r="AE314" s="213"/>
      <c r="AF314" s="213"/>
      <c r="AG314" s="208"/>
      <c r="AH314" s="208"/>
      <c r="AI314" s="208"/>
      <c r="AJ314" s="208"/>
      <c r="AK314" s="208"/>
    </row>
    <row r="315">
      <c r="A315" s="209"/>
      <c r="B315" s="210"/>
      <c r="C315" s="211"/>
      <c r="D315" s="211"/>
      <c r="E315" s="211"/>
      <c r="F315" s="211"/>
      <c r="G315" s="211"/>
      <c r="H315" s="212"/>
      <c r="I315" s="212"/>
      <c r="J315" s="213"/>
      <c r="K315" s="213"/>
      <c r="L315" s="214"/>
      <c r="M315" s="213"/>
      <c r="N315" s="214"/>
      <c r="O315" s="213"/>
      <c r="P315" s="213"/>
      <c r="Q315" s="214"/>
      <c r="R315" s="214"/>
      <c r="S315" s="213"/>
      <c r="T315" s="213"/>
      <c r="U315" s="213"/>
      <c r="V315" s="213"/>
      <c r="W315" s="213"/>
      <c r="X315" s="213"/>
      <c r="Y315" s="213"/>
      <c r="Z315" s="213"/>
      <c r="AA315" s="213"/>
      <c r="AB315" s="213"/>
      <c r="AC315" s="213"/>
      <c r="AD315" s="213"/>
      <c r="AE315" s="213"/>
      <c r="AF315" s="213"/>
      <c r="AG315" s="208"/>
      <c r="AH315" s="208"/>
      <c r="AI315" s="208"/>
      <c r="AJ315" s="208"/>
      <c r="AK315" s="208"/>
    </row>
    <row r="316">
      <c r="A316" s="209"/>
      <c r="B316" s="210"/>
      <c r="C316" s="211"/>
      <c r="D316" s="211"/>
      <c r="E316" s="211"/>
      <c r="F316" s="211"/>
      <c r="G316" s="211"/>
      <c r="H316" s="212"/>
      <c r="I316" s="212"/>
      <c r="J316" s="213"/>
      <c r="K316" s="213"/>
      <c r="L316" s="214"/>
      <c r="M316" s="213"/>
      <c r="N316" s="214"/>
      <c r="O316" s="213"/>
      <c r="P316" s="213"/>
      <c r="Q316" s="214"/>
      <c r="R316" s="214"/>
      <c r="S316" s="213"/>
      <c r="T316" s="213"/>
      <c r="U316" s="213"/>
      <c r="V316" s="213"/>
      <c r="W316" s="213"/>
      <c r="X316" s="213"/>
      <c r="Y316" s="213"/>
      <c r="Z316" s="213"/>
      <c r="AA316" s="213"/>
      <c r="AB316" s="213"/>
      <c r="AC316" s="213"/>
      <c r="AD316" s="213"/>
      <c r="AE316" s="213"/>
      <c r="AF316" s="213"/>
      <c r="AG316" s="208"/>
      <c r="AH316" s="208"/>
      <c r="AI316" s="208"/>
      <c r="AJ316" s="208"/>
      <c r="AK316" s="208"/>
    </row>
    <row r="317">
      <c r="A317" s="209"/>
      <c r="B317" s="210"/>
      <c r="C317" s="211"/>
      <c r="D317" s="211"/>
      <c r="E317" s="211"/>
      <c r="F317" s="211"/>
      <c r="G317" s="211"/>
      <c r="H317" s="212"/>
      <c r="I317" s="212"/>
      <c r="J317" s="213"/>
      <c r="K317" s="213"/>
      <c r="L317" s="214"/>
      <c r="M317" s="213"/>
      <c r="N317" s="214"/>
      <c r="O317" s="213"/>
      <c r="P317" s="213"/>
      <c r="Q317" s="214"/>
      <c r="R317" s="214"/>
      <c r="S317" s="213"/>
      <c r="T317" s="213"/>
      <c r="U317" s="213"/>
      <c r="V317" s="213"/>
      <c r="W317" s="213"/>
      <c r="X317" s="213"/>
      <c r="Y317" s="213"/>
      <c r="Z317" s="213"/>
      <c r="AA317" s="213"/>
      <c r="AB317" s="213"/>
      <c r="AC317" s="213"/>
      <c r="AD317" s="213"/>
      <c r="AE317" s="213"/>
      <c r="AF317" s="213"/>
      <c r="AG317" s="208"/>
      <c r="AH317" s="208"/>
      <c r="AI317" s="208"/>
      <c r="AJ317" s="208"/>
      <c r="AK317" s="208"/>
    </row>
    <row r="318">
      <c r="A318" s="209"/>
      <c r="B318" s="210"/>
      <c r="C318" s="211"/>
      <c r="D318" s="211"/>
      <c r="E318" s="211"/>
      <c r="F318" s="211"/>
      <c r="G318" s="211"/>
      <c r="H318" s="212"/>
      <c r="I318" s="212"/>
      <c r="J318" s="213"/>
      <c r="K318" s="213"/>
      <c r="L318" s="214"/>
      <c r="M318" s="213"/>
      <c r="N318" s="214"/>
      <c r="O318" s="213"/>
      <c r="P318" s="213"/>
      <c r="Q318" s="214"/>
      <c r="R318" s="214"/>
      <c r="S318" s="213"/>
      <c r="T318" s="213"/>
      <c r="U318" s="213"/>
      <c r="V318" s="213"/>
      <c r="W318" s="213"/>
      <c r="X318" s="213"/>
      <c r="Y318" s="213"/>
      <c r="Z318" s="213"/>
      <c r="AA318" s="213"/>
      <c r="AB318" s="213"/>
      <c r="AC318" s="213"/>
      <c r="AD318" s="213"/>
      <c r="AE318" s="213"/>
      <c r="AF318" s="213"/>
      <c r="AG318" s="208"/>
      <c r="AH318" s="208"/>
      <c r="AI318" s="208"/>
      <c r="AJ318" s="208"/>
      <c r="AK318" s="208"/>
    </row>
    <row r="319">
      <c r="A319" s="209"/>
      <c r="B319" s="210"/>
      <c r="C319" s="211"/>
      <c r="D319" s="211"/>
      <c r="E319" s="211"/>
      <c r="F319" s="211"/>
      <c r="G319" s="211"/>
      <c r="H319" s="212"/>
      <c r="I319" s="212"/>
      <c r="J319" s="213"/>
      <c r="K319" s="213"/>
      <c r="L319" s="214"/>
      <c r="M319" s="213"/>
      <c r="N319" s="214"/>
      <c r="O319" s="213"/>
      <c r="P319" s="213"/>
      <c r="Q319" s="214"/>
      <c r="R319" s="214"/>
      <c r="S319" s="213"/>
      <c r="T319" s="213"/>
      <c r="U319" s="213"/>
      <c r="V319" s="213"/>
      <c r="W319" s="213"/>
      <c r="X319" s="213"/>
      <c r="Y319" s="213"/>
      <c r="Z319" s="213"/>
      <c r="AA319" s="213"/>
      <c r="AB319" s="213"/>
      <c r="AC319" s="213"/>
      <c r="AD319" s="213"/>
      <c r="AE319" s="213"/>
      <c r="AF319" s="213"/>
      <c r="AG319" s="208"/>
      <c r="AH319" s="208"/>
      <c r="AI319" s="208"/>
      <c r="AJ319" s="208"/>
      <c r="AK319" s="208"/>
    </row>
    <row r="320">
      <c r="A320" s="209"/>
      <c r="B320" s="210"/>
      <c r="C320" s="211"/>
      <c r="D320" s="211"/>
      <c r="E320" s="211"/>
      <c r="F320" s="211"/>
      <c r="G320" s="211"/>
      <c r="H320" s="212"/>
      <c r="I320" s="212"/>
      <c r="J320" s="213"/>
      <c r="K320" s="213"/>
      <c r="L320" s="214"/>
      <c r="M320" s="213"/>
      <c r="N320" s="214"/>
      <c r="O320" s="213"/>
      <c r="P320" s="213"/>
      <c r="Q320" s="214"/>
      <c r="R320" s="214"/>
      <c r="S320" s="213"/>
      <c r="T320" s="213"/>
      <c r="U320" s="213"/>
      <c r="V320" s="213"/>
      <c r="W320" s="213"/>
      <c r="X320" s="213"/>
      <c r="Y320" s="213"/>
      <c r="Z320" s="213"/>
      <c r="AA320" s="213"/>
      <c r="AB320" s="213"/>
      <c r="AC320" s="213"/>
      <c r="AD320" s="213"/>
      <c r="AE320" s="213"/>
      <c r="AF320" s="213"/>
      <c r="AG320" s="208"/>
      <c r="AH320" s="208"/>
      <c r="AI320" s="208"/>
      <c r="AJ320" s="208"/>
      <c r="AK320" s="208"/>
    </row>
    <row r="321">
      <c r="A321" s="209"/>
      <c r="B321" s="210"/>
      <c r="C321" s="211"/>
      <c r="D321" s="211"/>
      <c r="E321" s="211"/>
      <c r="F321" s="211"/>
      <c r="G321" s="211"/>
      <c r="H321" s="212"/>
      <c r="I321" s="212"/>
      <c r="J321" s="213"/>
      <c r="K321" s="213"/>
      <c r="L321" s="214"/>
      <c r="M321" s="213"/>
      <c r="N321" s="214"/>
      <c r="O321" s="213"/>
      <c r="P321" s="213"/>
      <c r="Q321" s="214"/>
      <c r="R321" s="214"/>
      <c r="S321" s="213"/>
      <c r="T321" s="213"/>
      <c r="U321" s="213"/>
      <c r="V321" s="213"/>
      <c r="W321" s="213"/>
      <c r="X321" s="213"/>
      <c r="Y321" s="213"/>
      <c r="Z321" s="213"/>
      <c r="AA321" s="213"/>
      <c r="AB321" s="213"/>
      <c r="AC321" s="213"/>
      <c r="AD321" s="213"/>
      <c r="AE321" s="213"/>
      <c r="AF321" s="213"/>
      <c r="AG321" s="208"/>
      <c r="AH321" s="208"/>
      <c r="AI321" s="208"/>
      <c r="AJ321" s="208"/>
      <c r="AK321" s="208"/>
    </row>
    <row r="322">
      <c r="A322" s="209"/>
      <c r="B322" s="210"/>
      <c r="C322" s="211"/>
      <c r="D322" s="211"/>
      <c r="E322" s="211"/>
      <c r="F322" s="211"/>
      <c r="G322" s="211"/>
      <c r="H322" s="212"/>
      <c r="I322" s="212"/>
      <c r="J322" s="213"/>
      <c r="K322" s="213"/>
      <c r="L322" s="214"/>
      <c r="M322" s="213"/>
      <c r="N322" s="214"/>
      <c r="O322" s="213"/>
      <c r="P322" s="213"/>
      <c r="Q322" s="214"/>
      <c r="R322" s="214"/>
      <c r="S322" s="213"/>
      <c r="T322" s="213"/>
      <c r="U322" s="213"/>
      <c r="V322" s="213"/>
      <c r="W322" s="213"/>
      <c r="X322" s="213"/>
      <c r="Y322" s="213"/>
      <c r="Z322" s="213"/>
      <c r="AA322" s="213"/>
      <c r="AB322" s="213"/>
      <c r="AC322" s="213"/>
      <c r="AD322" s="213"/>
      <c r="AE322" s="213"/>
      <c r="AF322" s="213"/>
      <c r="AG322" s="208"/>
      <c r="AH322" s="208"/>
      <c r="AI322" s="208"/>
      <c r="AJ322" s="208"/>
      <c r="AK322" s="208"/>
    </row>
    <row r="323">
      <c r="A323" s="209"/>
      <c r="B323" s="210"/>
      <c r="C323" s="211"/>
      <c r="D323" s="211"/>
      <c r="E323" s="211"/>
      <c r="F323" s="211"/>
      <c r="G323" s="211"/>
      <c r="H323" s="212"/>
      <c r="I323" s="212"/>
      <c r="J323" s="213"/>
      <c r="K323" s="213"/>
      <c r="L323" s="214"/>
      <c r="M323" s="213"/>
      <c r="N323" s="214"/>
      <c r="O323" s="213"/>
      <c r="P323" s="213"/>
      <c r="Q323" s="214"/>
      <c r="R323" s="214"/>
      <c r="S323" s="213"/>
      <c r="T323" s="213"/>
      <c r="U323" s="213"/>
      <c r="V323" s="213"/>
      <c r="W323" s="213"/>
      <c r="X323" s="213"/>
      <c r="Y323" s="213"/>
      <c r="Z323" s="213"/>
      <c r="AA323" s="213"/>
      <c r="AB323" s="213"/>
      <c r="AC323" s="213"/>
      <c r="AD323" s="213"/>
      <c r="AE323" s="213"/>
      <c r="AF323" s="213"/>
      <c r="AG323" s="208"/>
      <c r="AH323" s="208"/>
      <c r="AI323" s="208"/>
      <c r="AJ323" s="208"/>
      <c r="AK323" s="208"/>
    </row>
    <row r="324">
      <c r="A324" s="209"/>
      <c r="B324" s="210"/>
      <c r="C324" s="211"/>
      <c r="D324" s="211"/>
      <c r="E324" s="211"/>
      <c r="F324" s="211"/>
      <c r="G324" s="211"/>
      <c r="H324" s="212"/>
      <c r="I324" s="212"/>
      <c r="J324" s="213"/>
      <c r="K324" s="213"/>
      <c r="L324" s="214"/>
      <c r="M324" s="213"/>
      <c r="N324" s="214"/>
      <c r="O324" s="213"/>
      <c r="P324" s="213"/>
      <c r="Q324" s="214"/>
      <c r="R324" s="214"/>
      <c r="S324" s="213"/>
      <c r="T324" s="213"/>
      <c r="U324" s="213"/>
      <c r="V324" s="213"/>
      <c r="W324" s="213"/>
      <c r="X324" s="213"/>
      <c r="Y324" s="213"/>
      <c r="Z324" s="213"/>
      <c r="AA324" s="213"/>
      <c r="AB324" s="213"/>
      <c r="AC324" s="213"/>
      <c r="AD324" s="213"/>
      <c r="AE324" s="213"/>
      <c r="AF324" s="213"/>
      <c r="AG324" s="208"/>
      <c r="AH324" s="208"/>
      <c r="AI324" s="208"/>
      <c r="AJ324" s="208"/>
      <c r="AK324" s="208"/>
    </row>
    <row r="325">
      <c r="A325" s="209"/>
      <c r="B325" s="210"/>
      <c r="C325" s="211"/>
      <c r="D325" s="211"/>
      <c r="E325" s="211"/>
      <c r="F325" s="211"/>
      <c r="G325" s="211"/>
      <c r="H325" s="212"/>
      <c r="I325" s="212"/>
      <c r="J325" s="213"/>
      <c r="K325" s="213"/>
      <c r="L325" s="214"/>
      <c r="M325" s="213"/>
      <c r="N325" s="214"/>
      <c r="O325" s="213"/>
      <c r="P325" s="213"/>
      <c r="Q325" s="214"/>
      <c r="R325" s="214"/>
      <c r="S325" s="213"/>
      <c r="T325" s="213"/>
      <c r="U325" s="213"/>
      <c r="V325" s="213"/>
      <c r="W325" s="213"/>
      <c r="X325" s="213"/>
      <c r="Y325" s="213"/>
      <c r="Z325" s="213"/>
      <c r="AA325" s="213"/>
      <c r="AB325" s="213"/>
      <c r="AC325" s="213"/>
      <c r="AD325" s="213"/>
      <c r="AE325" s="213"/>
      <c r="AF325" s="213"/>
      <c r="AG325" s="208"/>
      <c r="AH325" s="208"/>
      <c r="AI325" s="208"/>
      <c r="AJ325" s="208"/>
      <c r="AK325" s="208"/>
    </row>
    <row r="326">
      <c r="A326" s="209"/>
      <c r="B326" s="210"/>
      <c r="C326" s="211"/>
      <c r="D326" s="211"/>
      <c r="E326" s="211"/>
      <c r="F326" s="211"/>
      <c r="G326" s="211"/>
      <c r="H326" s="212"/>
      <c r="I326" s="212"/>
      <c r="J326" s="213"/>
      <c r="K326" s="213"/>
      <c r="L326" s="214"/>
      <c r="M326" s="213"/>
      <c r="N326" s="214"/>
      <c r="O326" s="213"/>
      <c r="P326" s="213"/>
      <c r="Q326" s="214"/>
      <c r="R326" s="214"/>
      <c r="S326" s="213"/>
      <c r="T326" s="213"/>
      <c r="U326" s="213"/>
      <c r="V326" s="213"/>
      <c r="W326" s="213"/>
      <c r="X326" s="213"/>
      <c r="Y326" s="213"/>
      <c r="Z326" s="213"/>
      <c r="AA326" s="213"/>
      <c r="AB326" s="213"/>
      <c r="AC326" s="213"/>
      <c r="AD326" s="213"/>
      <c r="AE326" s="213"/>
      <c r="AF326" s="213"/>
      <c r="AG326" s="208"/>
      <c r="AH326" s="208"/>
      <c r="AI326" s="208"/>
      <c r="AJ326" s="208"/>
      <c r="AK326" s="208"/>
    </row>
    <row r="327">
      <c r="A327" s="209"/>
      <c r="B327" s="210"/>
      <c r="C327" s="211"/>
      <c r="D327" s="211"/>
      <c r="E327" s="211"/>
      <c r="F327" s="211"/>
      <c r="G327" s="211"/>
      <c r="H327" s="212"/>
      <c r="I327" s="212"/>
      <c r="J327" s="213"/>
      <c r="K327" s="213"/>
      <c r="L327" s="214"/>
      <c r="M327" s="213"/>
      <c r="N327" s="214"/>
      <c r="O327" s="213"/>
      <c r="P327" s="213"/>
      <c r="Q327" s="214"/>
      <c r="R327" s="214"/>
      <c r="S327" s="213"/>
      <c r="T327" s="213"/>
      <c r="U327" s="213"/>
      <c r="V327" s="213"/>
      <c r="W327" s="213"/>
      <c r="X327" s="213"/>
      <c r="Y327" s="213"/>
      <c r="Z327" s="213"/>
      <c r="AA327" s="213"/>
      <c r="AB327" s="213"/>
      <c r="AC327" s="213"/>
      <c r="AD327" s="213"/>
      <c r="AE327" s="213"/>
      <c r="AF327" s="213"/>
      <c r="AG327" s="208"/>
      <c r="AH327" s="208"/>
      <c r="AI327" s="208"/>
      <c r="AJ327" s="208"/>
      <c r="AK327" s="208"/>
    </row>
    <row r="328">
      <c r="A328" s="209"/>
      <c r="B328" s="210"/>
      <c r="C328" s="211"/>
      <c r="D328" s="211"/>
      <c r="E328" s="211"/>
      <c r="F328" s="211"/>
      <c r="G328" s="211"/>
      <c r="H328" s="212"/>
      <c r="I328" s="212"/>
      <c r="J328" s="213"/>
      <c r="K328" s="213"/>
      <c r="L328" s="214"/>
      <c r="M328" s="213"/>
      <c r="N328" s="214"/>
      <c r="O328" s="213"/>
      <c r="P328" s="213"/>
      <c r="Q328" s="214"/>
      <c r="R328" s="214"/>
      <c r="S328" s="213"/>
      <c r="T328" s="213"/>
      <c r="U328" s="213"/>
      <c r="V328" s="213"/>
      <c r="W328" s="213"/>
      <c r="X328" s="213"/>
      <c r="Y328" s="213"/>
      <c r="Z328" s="213"/>
      <c r="AA328" s="213"/>
      <c r="AB328" s="213"/>
      <c r="AC328" s="213"/>
      <c r="AD328" s="213"/>
      <c r="AE328" s="213"/>
      <c r="AF328" s="213"/>
      <c r="AG328" s="208"/>
      <c r="AH328" s="208"/>
      <c r="AI328" s="208"/>
      <c r="AJ328" s="208"/>
      <c r="AK328" s="208"/>
    </row>
    <row r="329">
      <c r="A329" s="209"/>
      <c r="B329" s="210"/>
      <c r="C329" s="211"/>
      <c r="D329" s="211"/>
      <c r="E329" s="211"/>
      <c r="F329" s="211"/>
      <c r="G329" s="211"/>
      <c r="H329" s="212"/>
      <c r="I329" s="212"/>
      <c r="J329" s="213"/>
      <c r="K329" s="213"/>
      <c r="L329" s="214"/>
      <c r="M329" s="213"/>
      <c r="N329" s="214"/>
      <c r="O329" s="213"/>
      <c r="P329" s="213"/>
      <c r="Q329" s="214"/>
      <c r="R329" s="214"/>
      <c r="S329" s="213"/>
      <c r="T329" s="213"/>
      <c r="U329" s="213"/>
      <c r="V329" s="213"/>
      <c r="W329" s="213"/>
      <c r="X329" s="213"/>
      <c r="Y329" s="213"/>
      <c r="Z329" s="213"/>
      <c r="AA329" s="213"/>
      <c r="AB329" s="213"/>
      <c r="AC329" s="213"/>
      <c r="AD329" s="213"/>
      <c r="AE329" s="213"/>
      <c r="AF329" s="213"/>
      <c r="AG329" s="208"/>
      <c r="AH329" s="208"/>
      <c r="AI329" s="208"/>
      <c r="AJ329" s="208"/>
      <c r="AK329" s="208"/>
    </row>
    <row r="330">
      <c r="A330" s="209"/>
      <c r="B330" s="210"/>
      <c r="C330" s="211"/>
      <c r="D330" s="211"/>
      <c r="E330" s="211"/>
      <c r="F330" s="211"/>
      <c r="G330" s="211"/>
      <c r="H330" s="212"/>
      <c r="I330" s="212"/>
      <c r="J330" s="213"/>
      <c r="K330" s="213"/>
      <c r="L330" s="214"/>
      <c r="M330" s="213"/>
      <c r="N330" s="214"/>
      <c r="O330" s="213"/>
      <c r="P330" s="213"/>
      <c r="Q330" s="214"/>
      <c r="R330" s="214"/>
      <c r="S330" s="213"/>
      <c r="T330" s="213"/>
      <c r="U330" s="213"/>
      <c r="V330" s="213"/>
      <c r="W330" s="213"/>
      <c r="X330" s="213"/>
      <c r="Y330" s="213"/>
      <c r="Z330" s="213"/>
      <c r="AA330" s="213"/>
      <c r="AB330" s="213"/>
      <c r="AC330" s="213"/>
      <c r="AD330" s="213"/>
      <c r="AE330" s="213"/>
      <c r="AF330" s="213"/>
      <c r="AG330" s="208"/>
      <c r="AH330" s="208"/>
      <c r="AI330" s="208"/>
      <c r="AJ330" s="208"/>
      <c r="AK330" s="208"/>
    </row>
    <row r="331">
      <c r="A331" s="209"/>
      <c r="B331" s="210"/>
      <c r="C331" s="211"/>
      <c r="D331" s="211"/>
      <c r="E331" s="211"/>
      <c r="F331" s="211"/>
      <c r="G331" s="211"/>
      <c r="H331" s="212"/>
      <c r="I331" s="212"/>
      <c r="J331" s="213"/>
      <c r="K331" s="213"/>
      <c r="L331" s="214"/>
      <c r="M331" s="213"/>
      <c r="N331" s="214"/>
      <c r="O331" s="213"/>
      <c r="P331" s="213"/>
      <c r="Q331" s="214"/>
      <c r="R331" s="214"/>
      <c r="S331" s="213"/>
      <c r="T331" s="213"/>
      <c r="U331" s="213"/>
      <c r="V331" s="213"/>
      <c r="W331" s="213"/>
      <c r="X331" s="213"/>
      <c r="Y331" s="213"/>
      <c r="Z331" s="213"/>
      <c r="AA331" s="213"/>
      <c r="AB331" s="213"/>
      <c r="AC331" s="213"/>
      <c r="AD331" s="213"/>
      <c r="AE331" s="213"/>
      <c r="AF331" s="213"/>
      <c r="AG331" s="208"/>
      <c r="AH331" s="208"/>
      <c r="AI331" s="208"/>
      <c r="AJ331" s="208"/>
      <c r="AK331" s="208"/>
    </row>
    <row r="332">
      <c r="A332" s="209"/>
      <c r="B332" s="210"/>
      <c r="C332" s="211"/>
      <c r="D332" s="211"/>
      <c r="E332" s="211"/>
      <c r="F332" s="211"/>
      <c r="G332" s="211"/>
      <c r="H332" s="212"/>
      <c r="I332" s="212"/>
      <c r="J332" s="213"/>
      <c r="K332" s="213"/>
      <c r="L332" s="214"/>
      <c r="M332" s="213"/>
      <c r="N332" s="214"/>
      <c r="O332" s="213"/>
      <c r="P332" s="213"/>
      <c r="Q332" s="214"/>
      <c r="R332" s="214"/>
      <c r="S332" s="213"/>
      <c r="T332" s="213"/>
      <c r="U332" s="213"/>
      <c r="V332" s="213"/>
      <c r="W332" s="213"/>
      <c r="X332" s="213"/>
      <c r="Y332" s="213"/>
      <c r="Z332" s="213"/>
      <c r="AA332" s="213"/>
      <c r="AB332" s="213"/>
      <c r="AC332" s="213"/>
      <c r="AD332" s="213"/>
      <c r="AE332" s="213"/>
      <c r="AF332" s="213"/>
      <c r="AG332" s="208"/>
      <c r="AH332" s="208"/>
      <c r="AI332" s="208"/>
      <c r="AJ332" s="208"/>
      <c r="AK332" s="208"/>
    </row>
    <row r="333">
      <c r="A333" s="209"/>
      <c r="B333" s="210"/>
      <c r="C333" s="211"/>
      <c r="D333" s="211"/>
      <c r="E333" s="211"/>
      <c r="F333" s="211"/>
      <c r="G333" s="211"/>
      <c r="H333" s="212"/>
      <c r="I333" s="212"/>
      <c r="J333" s="213"/>
      <c r="K333" s="213"/>
      <c r="L333" s="214"/>
      <c r="M333" s="213"/>
      <c r="N333" s="214"/>
      <c r="O333" s="213"/>
      <c r="P333" s="213"/>
      <c r="Q333" s="214"/>
      <c r="R333" s="214"/>
      <c r="S333" s="213"/>
      <c r="T333" s="213"/>
      <c r="U333" s="213"/>
      <c r="V333" s="213"/>
      <c r="W333" s="213"/>
      <c r="X333" s="213"/>
      <c r="Y333" s="213"/>
      <c r="Z333" s="213"/>
      <c r="AA333" s="213"/>
      <c r="AB333" s="213"/>
      <c r="AC333" s="213"/>
      <c r="AD333" s="213"/>
      <c r="AE333" s="213"/>
      <c r="AF333" s="213"/>
      <c r="AG333" s="208"/>
      <c r="AH333" s="208"/>
      <c r="AI333" s="208"/>
      <c r="AJ333" s="208"/>
      <c r="AK333" s="208"/>
    </row>
    <row r="334">
      <c r="A334" s="209"/>
      <c r="B334" s="210"/>
      <c r="C334" s="211"/>
      <c r="D334" s="211"/>
      <c r="E334" s="211"/>
      <c r="F334" s="211"/>
      <c r="G334" s="211"/>
      <c r="H334" s="212"/>
      <c r="I334" s="212"/>
      <c r="J334" s="213"/>
      <c r="K334" s="213"/>
      <c r="L334" s="214"/>
      <c r="M334" s="213"/>
      <c r="N334" s="214"/>
      <c r="O334" s="213"/>
      <c r="P334" s="213"/>
      <c r="Q334" s="214"/>
      <c r="R334" s="214"/>
      <c r="S334" s="213"/>
      <c r="T334" s="213"/>
      <c r="U334" s="213"/>
      <c r="V334" s="213"/>
      <c r="W334" s="213"/>
      <c r="X334" s="213"/>
      <c r="Y334" s="213"/>
      <c r="Z334" s="213"/>
      <c r="AA334" s="213"/>
      <c r="AB334" s="213"/>
      <c r="AC334" s="213"/>
      <c r="AD334" s="213"/>
      <c r="AE334" s="213"/>
      <c r="AF334" s="213"/>
      <c r="AG334" s="208"/>
      <c r="AH334" s="208"/>
      <c r="AI334" s="208"/>
      <c r="AJ334" s="208"/>
      <c r="AK334" s="208"/>
    </row>
    <row r="335">
      <c r="A335" s="209"/>
      <c r="B335" s="210"/>
      <c r="C335" s="211"/>
      <c r="D335" s="211"/>
      <c r="E335" s="211"/>
      <c r="F335" s="211"/>
      <c r="G335" s="211"/>
      <c r="H335" s="212"/>
      <c r="I335" s="212"/>
      <c r="J335" s="213"/>
      <c r="K335" s="213"/>
      <c r="L335" s="214"/>
      <c r="M335" s="213"/>
      <c r="N335" s="214"/>
      <c r="O335" s="213"/>
      <c r="P335" s="213"/>
      <c r="Q335" s="214"/>
      <c r="R335" s="214"/>
      <c r="S335" s="213"/>
      <c r="T335" s="213"/>
      <c r="U335" s="213"/>
      <c r="V335" s="213"/>
      <c r="W335" s="213"/>
      <c r="X335" s="213"/>
      <c r="Y335" s="213"/>
      <c r="Z335" s="213"/>
      <c r="AA335" s="213"/>
      <c r="AB335" s="213"/>
      <c r="AC335" s="213"/>
      <c r="AD335" s="213"/>
      <c r="AE335" s="213"/>
      <c r="AF335" s="213"/>
      <c r="AG335" s="208"/>
      <c r="AH335" s="208"/>
      <c r="AI335" s="208"/>
      <c r="AJ335" s="208"/>
      <c r="AK335" s="208"/>
    </row>
    <row r="336">
      <c r="A336" s="209"/>
      <c r="B336" s="210"/>
      <c r="C336" s="211"/>
      <c r="D336" s="211"/>
      <c r="E336" s="211"/>
      <c r="F336" s="211"/>
      <c r="G336" s="211"/>
      <c r="H336" s="212"/>
      <c r="I336" s="212"/>
      <c r="J336" s="213"/>
      <c r="K336" s="213"/>
      <c r="L336" s="214"/>
      <c r="M336" s="213"/>
      <c r="N336" s="214"/>
      <c r="O336" s="213"/>
      <c r="P336" s="213"/>
      <c r="Q336" s="214"/>
      <c r="R336" s="214"/>
      <c r="S336" s="213"/>
      <c r="T336" s="213"/>
      <c r="U336" s="213"/>
      <c r="V336" s="213"/>
      <c r="W336" s="213"/>
      <c r="X336" s="213"/>
      <c r="Y336" s="213"/>
      <c r="Z336" s="213"/>
      <c r="AA336" s="213"/>
      <c r="AB336" s="213"/>
      <c r="AC336" s="213"/>
      <c r="AD336" s="213"/>
      <c r="AE336" s="213"/>
      <c r="AF336" s="213"/>
      <c r="AG336" s="208"/>
      <c r="AH336" s="208"/>
      <c r="AI336" s="208"/>
      <c r="AJ336" s="208"/>
      <c r="AK336" s="208"/>
    </row>
    <row r="337">
      <c r="A337" s="209"/>
      <c r="B337" s="210"/>
      <c r="C337" s="211"/>
      <c r="D337" s="211"/>
      <c r="E337" s="211"/>
      <c r="F337" s="211"/>
      <c r="G337" s="211"/>
      <c r="H337" s="212"/>
      <c r="I337" s="212"/>
      <c r="J337" s="213"/>
      <c r="K337" s="213"/>
      <c r="L337" s="214"/>
      <c r="M337" s="213"/>
      <c r="N337" s="214"/>
      <c r="O337" s="213"/>
      <c r="P337" s="213"/>
      <c r="Q337" s="214"/>
      <c r="R337" s="214"/>
      <c r="S337" s="213"/>
      <c r="T337" s="213"/>
      <c r="U337" s="213"/>
      <c r="V337" s="213"/>
      <c r="W337" s="213"/>
      <c r="X337" s="213"/>
      <c r="Y337" s="213"/>
      <c r="Z337" s="213"/>
      <c r="AA337" s="213"/>
      <c r="AB337" s="213"/>
      <c r="AC337" s="213"/>
      <c r="AD337" s="213"/>
      <c r="AE337" s="213"/>
      <c r="AF337" s="213"/>
      <c r="AG337" s="208"/>
      <c r="AH337" s="208"/>
      <c r="AI337" s="208"/>
      <c r="AJ337" s="208"/>
      <c r="AK337" s="208"/>
    </row>
    <row r="338">
      <c r="A338" s="209"/>
      <c r="B338" s="210"/>
      <c r="C338" s="211"/>
      <c r="D338" s="211"/>
      <c r="E338" s="211"/>
      <c r="F338" s="211"/>
      <c r="G338" s="211"/>
      <c r="H338" s="212"/>
      <c r="I338" s="212"/>
      <c r="J338" s="213"/>
      <c r="K338" s="213"/>
      <c r="L338" s="214"/>
      <c r="M338" s="213"/>
      <c r="N338" s="214"/>
      <c r="O338" s="213"/>
      <c r="P338" s="213"/>
      <c r="Q338" s="214"/>
      <c r="R338" s="214"/>
      <c r="S338" s="213"/>
      <c r="T338" s="213"/>
      <c r="U338" s="213"/>
      <c r="V338" s="213"/>
      <c r="W338" s="213"/>
      <c r="X338" s="213"/>
      <c r="Y338" s="213"/>
      <c r="Z338" s="213"/>
      <c r="AA338" s="213"/>
      <c r="AB338" s="213"/>
      <c r="AC338" s="213"/>
      <c r="AD338" s="213"/>
      <c r="AE338" s="213"/>
      <c r="AF338" s="213"/>
      <c r="AG338" s="208"/>
      <c r="AH338" s="208"/>
      <c r="AI338" s="208"/>
      <c r="AJ338" s="208"/>
      <c r="AK338" s="208"/>
    </row>
    <row r="339">
      <c r="A339" s="209"/>
      <c r="B339" s="210"/>
      <c r="C339" s="211"/>
      <c r="D339" s="211"/>
      <c r="E339" s="211"/>
      <c r="F339" s="211"/>
      <c r="G339" s="211"/>
      <c r="H339" s="212"/>
      <c r="I339" s="212"/>
      <c r="J339" s="213"/>
      <c r="K339" s="213"/>
      <c r="L339" s="214"/>
      <c r="M339" s="213"/>
      <c r="N339" s="214"/>
      <c r="O339" s="213"/>
      <c r="P339" s="213"/>
      <c r="Q339" s="214"/>
      <c r="R339" s="214"/>
      <c r="S339" s="213"/>
      <c r="T339" s="213"/>
      <c r="U339" s="213"/>
      <c r="V339" s="213"/>
      <c r="W339" s="213"/>
      <c r="X339" s="213"/>
      <c r="Y339" s="213"/>
      <c r="Z339" s="213"/>
      <c r="AA339" s="213"/>
      <c r="AB339" s="213"/>
      <c r="AC339" s="213"/>
      <c r="AD339" s="213"/>
      <c r="AE339" s="213"/>
      <c r="AF339" s="213"/>
      <c r="AG339" s="208"/>
      <c r="AH339" s="208"/>
      <c r="AI339" s="208"/>
      <c r="AJ339" s="208"/>
      <c r="AK339" s="208"/>
    </row>
    <row r="340">
      <c r="A340" s="209"/>
      <c r="B340" s="210"/>
      <c r="C340" s="211"/>
      <c r="D340" s="211"/>
      <c r="E340" s="211"/>
      <c r="F340" s="211"/>
      <c r="G340" s="211"/>
      <c r="H340" s="212"/>
      <c r="I340" s="212"/>
      <c r="J340" s="213"/>
      <c r="K340" s="213"/>
      <c r="L340" s="214"/>
      <c r="M340" s="213"/>
      <c r="N340" s="214"/>
      <c r="O340" s="213"/>
      <c r="P340" s="213"/>
      <c r="Q340" s="214"/>
      <c r="R340" s="214"/>
      <c r="S340" s="213"/>
      <c r="T340" s="213"/>
      <c r="U340" s="213"/>
      <c r="V340" s="213"/>
      <c r="W340" s="213"/>
      <c r="X340" s="213"/>
      <c r="Y340" s="213"/>
      <c r="Z340" s="213"/>
      <c r="AA340" s="213"/>
      <c r="AB340" s="213"/>
      <c r="AC340" s="213"/>
      <c r="AD340" s="213"/>
      <c r="AE340" s="213"/>
      <c r="AF340" s="213"/>
      <c r="AG340" s="208"/>
      <c r="AH340" s="208"/>
      <c r="AI340" s="208"/>
      <c r="AJ340" s="208"/>
      <c r="AK340" s="208"/>
    </row>
    <row r="341">
      <c r="A341" s="209"/>
      <c r="B341" s="210"/>
      <c r="C341" s="211"/>
      <c r="D341" s="211"/>
      <c r="E341" s="211"/>
      <c r="F341" s="211"/>
      <c r="G341" s="211"/>
      <c r="H341" s="212"/>
      <c r="I341" s="212"/>
      <c r="J341" s="213"/>
      <c r="K341" s="213"/>
      <c r="L341" s="214"/>
      <c r="M341" s="213"/>
      <c r="N341" s="214"/>
      <c r="O341" s="213"/>
      <c r="P341" s="213"/>
      <c r="Q341" s="214"/>
      <c r="R341" s="214"/>
      <c r="S341" s="213"/>
      <c r="T341" s="213"/>
      <c r="U341" s="213"/>
      <c r="V341" s="213"/>
      <c r="W341" s="213"/>
      <c r="X341" s="213"/>
      <c r="Y341" s="213"/>
      <c r="Z341" s="213"/>
      <c r="AA341" s="213"/>
      <c r="AB341" s="213"/>
      <c r="AC341" s="213"/>
      <c r="AD341" s="213"/>
      <c r="AE341" s="213"/>
      <c r="AF341" s="213"/>
      <c r="AG341" s="208"/>
      <c r="AH341" s="208"/>
      <c r="AI341" s="208"/>
      <c r="AJ341" s="208"/>
      <c r="AK341" s="208"/>
    </row>
    <row r="342">
      <c r="A342" s="209"/>
      <c r="B342" s="210"/>
      <c r="C342" s="211"/>
      <c r="D342" s="211"/>
      <c r="E342" s="211"/>
      <c r="F342" s="211"/>
      <c r="G342" s="211"/>
      <c r="H342" s="212"/>
      <c r="I342" s="212"/>
      <c r="J342" s="213"/>
      <c r="K342" s="213"/>
      <c r="L342" s="214"/>
      <c r="M342" s="213"/>
      <c r="N342" s="214"/>
      <c r="O342" s="213"/>
      <c r="P342" s="213"/>
      <c r="Q342" s="214"/>
      <c r="R342" s="214"/>
      <c r="S342" s="213"/>
      <c r="T342" s="213"/>
      <c r="U342" s="213"/>
      <c r="V342" s="213"/>
      <c r="W342" s="213"/>
      <c r="X342" s="213"/>
      <c r="Y342" s="213"/>
      <c r="Z342" s="213"/>
      <c r="AA342" s="213"/>
      <c r="AB342" s="213"/>
      <c r="AC342" s="213"/>
      <c r="AD342" s="213"/>
      <c r="AE342" s="213"/>
      <c r="AF342" s="213"/>
      <c r="AG342" s="208"/>
      <c r="AH342" s="208"/>
      <c r="AI342" s="208"/>
      <c r="AJ342" s="208"/>
      <c r="AK342" s="208"/>
    </row>
    <row r="343">
      <c r="A343" s="208"/>
      <c r="B343" s="208"/>
      <c r="C343" s="208"/>
      <c r="D343" s="208"/>
      <c r="E343" s="208"/>
      <c r="F343" s="208"/>
      <c r="G343" s="208"/>
      <c r="H343" s="233"/>
      <c r="I343" s="234"/>
      <c r="J343" s="208"/>
      <c r="K343" s="208"/>
      <c r="L343" s="208"/>
      <c r="M343" s="208"/>
      <c r="N343" s="208"/>
      <c r="O343" s="208"/>
      <c r="P343" s="208"/>
      <c r="Q343" s="208"/>
      <c r="R343" s="208"/>
      <c r="S343" s="208"/>
      <c r="T343" s="208"/>
      <c r="U343" s="208"/>
      <c r="V343" s="208"/>
      <c r="W343" s="208"/>
      <c r="X343" s="208"/>
      <c r="Y343" s="208"/>
      <c r="Z343" s="208"/>
      <c r="AA343" s="208"/>
      <c r="AB343" s="208"/>
      <c r="AC343" s="208"/>
      <c r="AD343" s="208"/>
      <c r="AE343" s="208"/>
      <c r="AF343" s="208"/>
      <c r="AG343" s="208"/>
      <c r="AH343" s="208"/>
      <c r="AI343" s="208"/>
      <c r="AJ343" s="208"/>
      <c r="AK343" s="208"/>
    </row>
    <row r="344">
      <c r="A344" s="208"/>
      <c r="B344" s="208"/>
      <c r="C344" s="208"/>
      <c r="D344" s="208"/>
      <c r="E344" s="208"/>
      <c r="F344" s="208"/>
      <c r="G344" s="208"/>
      <c r="H344" s="233"/>
      <c r="I344" s="234"/>
      <c r="J344" s="208"/>
      <c r="K344" s="208"/>
      <c r="L344" s="208"/>
      <c r="M344" s="208"/>
      <c r="N344" s="208"/>
      <c r="O344" s="208"/>
      <c r="P344" s="208"/>
      <c r="Q344" s="208"/>
      <c r="R344" s="208"/>
      <c r="S344" s="208"/>
      <c r="T344" s="208"/>
      <c r="U344" s="208"/>
      <c r="V344" s="208"/>
      <c r="W344" s="208"/>
      <c r="X344" s="208"/>
      <c r="Y344" s="208"/>
      <c r="Z344" s="208"/>
      <c r="AA344" s="208"/>
      <c r="AB344" s="208"/>
      <c r="AC344" s="208"/>
      <c r="AD344" s="208"/>
      <c r="AE344" s="208"/>
      <c r="AF344" s="208"/>
      <c r="AG344" s="208"/>
      <c r="AH344" s="208"/>
      <c r="AI344" s="208"/>
      <c r="AJ344" s="208"/>
      <c r="AK344" s="208"/>
    </row>
    <row r="345">
      <c r="A345" s="208"/>
      <c r="B345" s="208"/>
      <c r="C345" s="208"/>
      <c r="D345" s="208"/>
      <c r="E345" s="208"/>
      <c r="F345" s="208"/>
      <c r="G345" s="208"/>
      <c r="H345" s="233"/>
      <c r="I345" s="234"/>
      <c r="J345" s="208"/>
      <c r="K345" s="208"/>
      <c r="L345" s="208"/>
      <c r="M345" s="208"/>
      <c r="N345" s="208"/>
      <c r="O345" s="208"/>
      <c r="P345" s="208"/>
      <c r="Q345" s="208"/>
      <c r="R345" s="208"/>
      <c r="S345" s="208"/>
      <c r="T345" s="208"/>
      <c r="U345" s="208"/>
      <c r="V345" s="208"/>
      <c r="W345" s="208"/>
      <c r="X345" s="208"/>
      <c r="Y345" s="208"/>
      <c r="Z345" s="208"/>
      <c r="AA345" s="208"/>
      <c r="AB345" s="208"/>
      <c r="AC345" s="208"/>
      <c r="AD345" s="208"/>
      <c r="AE345" s="208"/>
      <c r="AF345" s="208"/>
      <c r="AG345" s="208"/>
      <c r="AH345" s="208"/>
      <c r="AI345" s="208"/>
      <c r="AJ345" s="208"/>
      <c r="AK345" s="208"/>
    </row>
    <row r="346">
      <c r="A346" s="208"/>
      <c r="B346" s="208"/>
      <c r="C346" s="208"/>
      <c r="D346" s="208"/>
      <c r="E346" s="208"/>
      <c r="F346" s="208"/>
      <c r="G346" s="208"/>
      <c r="H346" s="233"/>
      <c r="I346" s="234"/>
      <c r="J346" s="208"/>
      <c r="K346" s="208"/>
      <c r="L346" s="208"/>
      <c r="M346" s="208"/>
      <c r="N346" s="208"/>
      <c r="O346" s="208"/>
      <c r="P346" s="208"/>
      <c r="Q346" s="208"/>
      <c r="R346" s="208"/>
      <c r="S346" s="208"/>
      <c r="T346" s="208"/>
      <c r="U346" s="208"/>
      <c r="V346" s="208"/>
      <c r="W346" s="208"/>
      <c r="X346" s="208"/>
      <c r="Y346" s="208"/>
      <c r="Z346" s="208"/>
      <c r="AA346" s="208"/>
      <c r="AB346" s="208"/>
      <c r="AC346" s="208"/>
      <c r="AD346" s="208"/>
      <c r="AE346" s="208"/>
      <c r="AF346" s="208"/>
      <c r="AG346" s="208"/>
      <c r="AH346" s="208"/>
      <c r="AI346" s="208"/>
      <c r="AJ346" s="208"/>
      <c r="AK346" s="208"/>
    </row>
    <row r="347">
      <c r="A347" s="208"/>
      <c r="B347" s="208"/>
      <c r="C347" s="208"/>
      <c r="D347" s="208"/>
      <c r="E347" s="208"/>
      <c r="F347" s="208"/>
      <c r="G347" s="208"/>
      <c r="H347" s="233"/>
      <c r="I347" s="234"/>
      <c r="J347" s="208"/>
      <c r="K347" s="208"/>
      <c r="L347" s="208"/>
      <c r="M347" s="208"/>
      <c r="N347" s="208"/>
      <c r="O347" s="208"/>
      <c r="P347" s="208"/>
      <c r="Q347" s="208"/>
      <c r="R347" s="208"/>
      <c r="S347" s="208"/>
      <c r="T347" s="208"/>
      <c r="U347" s="208"/>
      <c r="V347" s="208"/>
      <c r="W347" s="208"/>
      <c r="X347" s="208"/>
      <c r="Y347" s="208"/>
      <c r="Z347" s="208"/>
      <c r="AA347" s="208"/>
      <c r="AB347" s="208"/>
      <c r="AC347" s="208"/>
      <c r="AD347" s="208"/>
      <c r="AE347" s="208"/>
      <c r="AF347" s="208"/>
      <c r="AG347" s="208"/>
      <c r="AH347" s="208"/>
      <c r="AI347" s="208"/>
      <c r="AJ347" s="208"/>
      <c r="AK347" s="208"/>
    </row>
    <row r="348">
      <c r="A348" s="208"/>
      <c r="B348" s="208"/>
      <c r="C348" s="208"/>
      <c r="D348" s="208"/>
      <c r="E348" s="208"/>
      <c r="F348" s="208"/>
      <c r="G348" s="208"/>
      <c r="H348" s="233"/>
      <c r="I348" s="234"/>
      <c r="J348" s="208"/>
      <c r="K348" s="208"/>
      <c r="L348" s="208"/>
      <c r="M348" s="208"/>
      <c r="N348" s="208"/>
      <c r="O348" s="208"/>
      <c r="P348" s="208"/>
      <c r="Q348" s="208"/>
      <c r="R348" s="208"/>
      <c r="S348" s="208"/>
      <c r="T348" s="208"/>
      <c r="U348" s="208"/>
      <c r="V348" s="208"/>
      <c r="W348" s="208"/>
      <c r="X348" s="208"/>
      <c r="Y348" s="208"/>
      <c r="Z348" s="208"/>
      <c r="AA348" s="208"/>
      <c r="AB348" s="208"/>
      <c r="AC348" s="208"/>
      <c r="AD348" s="208"/>
      <c r="AE348" s="208"/>
      <c r="AF348" s="208"/>
      <c r="AG348" s="208"/>
      <c r="AH348" s="208"/>
      <c r="AI348" s="208"/>
      <c r="AJ348" s="208"/>
      <c r="AK348" s="208"/>
    </row>
    <row r="349">
      <c r="A349" s="208"/>
      <c r="B349" s="208"/>
      <c r="C349" s="208"/>
      <c r="D349" s="208"/>
      <c r="E349" s="208"/>
      <c r="F349" s="208"/>
      <c r="G349" s="208"/>
      <c r="H349" s="233"/>
      <c r="I349" s="234"/>
      <c r="J349" s="208"/>
      <c r="K349" s="208"/>
      <c r="L349" s="208"/>
      <c r="M349" s="208"/>
      <c r="N349" s="208"/>
      <c r="O349" s="208"/>
      <c r="P349" s="208"/>
      <c r="Q349" s="208"/>
      <c r="R349" s="208"/>
      <c r="S349" s="208"/>
      <c r="T349" s="208"/>
      <c r="U349" s="208"/>
      <c r="V349" s="208"/>
      <c r="W349" s="208"/>
      <c r="X349" s="208"/>
      <c r="Y349" s="208"/>
      <c r="Z349" s="208"/>
      <c r="AA349" s="208"/>
      <c r="AB349" s="208"/>
      <c r="AC349" s="208"/>
      <c r="AD349" s="208"/>
      <c r="AE349" s="208"/>
      <c r="AF349" s="208"/>
      <c r="AG349" s="208"/>
      <c r="AH349" s="208"/>
      <c r="AI349" s="208"/>
      <c r="AJ349" s="208"/>
      <c r="AK349" s="208"/>
    </row>
    <row r="350">
      <c r="A350" s="208"/>
      <c r="B350" s="208"/>
      <c r="C350" s="208"/>
      <c r="D350" s="208"/>
      <c r="E350" s="208"/>
      <c r="F350" s="208"/>
      <c r="G350" s="208"/>
      <c r="H350" s="233"/>
      <c r="I350" s="234"/>
      <c r="J350" s="208"/>
      <c r="K350" s="208"/>
      <c r="L350" s="208"/>
      <c r="M350" s="208"/>
      <c r="N350" s="208"/>
      <c r="O350" s="208"/>
      <c r="P350" s="208"/>
      <c r="Q350" s="208"/>
      <c r="R350" s="208"/>
      <c r="S350" s="208"/>
      <c r="T350" s="208"/>
      <c r="U350" s="208"/>
      <c r="V350" s="208"/>
      <c r="W350" s="208"/>
      <c r="X350" s="208"/>
      <c r="Y350" s="208"/>
      <c r="Z350" s="208"/>
      <c r="AA350" s="208"/>
      <c r="AB350" s="208"/>
      <c r="AC350" s="208"/>
      <c r="AD350" s="208"/>
      <c r="AE350" s="208"/>
      <c r="AF350" s="208"/>
      <c r="AG350" s="208"/>
      <c r="AH350" s="208"/>
      <c r="AI350" s="208"/>
      <c r="AJ350" s="208"/>
      <c r="AK350" s="208"/>
    </row>
    <row r="351">
      <c r="A351" s="208"/>
      <c r="B351" s="208"/>
      <c r="C351" s="208"/>
      <c r="D351" s="208"/>
      <c r="E351" s="208"/>
      <c r="F351" s="208"/>
      <c r="G351" s="208"/>
      <c r="H351" s="233"/>
      <c r="I351" s="234"/>
      <c r="J351" s="208"/>
      <c r="K351" s="208"/>
      <c r="L351" s="208"/>
      <c r="M351" s="208"/>
      <c r="N351" s="208"/>
      <c r="O351" s="208"/>
      <c r="P351" s="208"/>
      <c r="Q351" s="208"/>
      <c r="R351" s="208"/>
      <c r="S351" s="208"/>
      <c r="T351" s="208"/>
      <c r="U351" s="208"/>
      <c r="V351" s="208"/>
      <c r="W351" s="208"/>
      <c r="X351" s="208"/>
      <c r="Y351" s="208"/>
      <c r="Z351" s="208"/>
      <c r="AA351" s="208"/>
      <c r="AB351" s="208"/>
      <c r="AC351" s="208"/>
      <c r="AD351" s="208"/>
      <c r="AE351" s="208"/>
      <c r="AF351" s="208"/>
      <c r="AG351" s="208"/>
      <c r="AH351" s="208"/>
      <c r="AI351" s="208"/>
      <c r="AJ351" s="208"/>
      <c r="AK351" s="208"/>
    </row>
    <row r="352">
      <c r="A352" s="208"/>
      <c r="B352" s="208"/>
      <c r="C352" s="208"/>
      <c r="D352" s="208"/>
      <c r="E352" s="208"/>
      <c r="F352" s="208"/>
      <c r="G352" s="208"/>
      <c r="H352" s="233"/>
      <c r="I352" s="234"/>
      <c r="J352" s="208"/>
      <c r="K352" s="208"/>
      <c r="L352" s="208"/>
      <c r="M352" s="208"/>
      <c r="N352" s="208"/>
      <c r="O352" s="208"/>
      <c r="P352" s="208"/>
      <c r="Q352" s="208"/>
      <c r="R352" s="208"/>
      <c r="S352" s="208"/>
      <c r="T352" s="208"/>
      <c r="U352" s="208"/>
      <c r="V352" s="208"/>
      <c r="W352" s="208"/>
      <c r="X352" s="208"/>
      <c r="Y352" s="208"/>
      <c r="Z352" s="208"/>
      <c r="AA352" s="208"/>
      <c r="AB352" s="208"/>
      <c r="AC352" s="208"/>
      <c r="AD352" s="208"/>
      <c r="AE352" s="208"/>
      <c r="AF352" s="208"/>
      <c r="AG352" s="208"/>
      <c r="AH352" s="208"/>
      <c r="AI352" s="208"/>
      <c r="AJ352" s="208"/>
      <c r="AK352" s="208"/>
    </row>
    <row r="353">
      <c r="A353" s="208"/>
      <c r="B353" s="208"/>
      <c r="C353" s="208"/>
      <c r="D353" s="208"/>
      <c r="E353" s="208"/>
      <c r="F353" s="208"/>
      <c r="G353" s="208"/>
      <c r="H353" s="233"/>
      <c r="I353" s="234"/>
      <c r="J353" s="208"/>
      <c r="K353" s="208"/>
      <c r="L353" s="208"/>
      <c r="M353" s="208"/>
      <c r="N353" s="208"/>
      <c r="O353" s="208"/>
      <c r="P353" s="208"/>
      <c r="Q353" s="208"/>
      <c r="R353" s="208"/>
      <c r="S353" s="208"/>
      <c r="T353" s="208"/>
      <c r="U353" s="208"/>
      <c r="V353" s="208"/>
      <c r="W353" s="208"/>
      <c r="X353" s="208"/>
      <c r="Y353" s="208"/>
      <c r="Z353" s="208"/>
      <c r="AA353" s="208"/>
      <c r="AB353" s="208"/>
      <c r="AC353" s="208"/>
      <c r="AD353" s="208"/>
      <c r="AE353" s="208"/>
      <c r="AF353" s="208"/>
      <c r="AG353" s="208"/>
      <c r="AH353" s="208"/>
      <c r="AI353" s="208"/>
      <c r="AJ353" s="208"/>
      <c r="AK353" s="208"/>
    </row>
    <row r="354">
      <c r="A354" s="208"/>
      <c r="B354" s="208"/>
      <c r="C354" s="208"/>
      <c r="D354" s="208"/>
      <c r="E354" s="208"/>
      <c r="F354" s="208"/>
      <c r="G354" s="208"/>
      <c r="H354" s="233"/>
      <c r="I354" s="234"/>
      <c r="J354" s="208"/>
      <c r="K354" s="208"/>
      <c r="L354" s="208"/>
      <c r="M354" s="208"/>
      <c r="N354" s="208"/>
      <c r="O354" s="208"/>
      <c r="P354" s="208"/>
      <c r="Q354" s="208"/>
      <c r="R354" s="208"/>
      <c r="S354" s="208"/>
      <c r="T354" s="208"/>
      <c r="U354" s="208"/>
      <c r="V354" s="208"/>
      <c r="W354" s="208"/>
      <c r="X354" s="208"/>
      <c r="Y354" s="208"/>
      <c r="Z354" s="208"/>
      <c r="AA354" s="208"/>
      <c r="AB354" s="208"/>
      <c r="AC354" s="208"/>
      <c r="AD354" s="208"/>
      <c r="AE354" s="208"/>
      <c r="AF354" s="208"/>
      <c r="AG354" s="208"/>
      <c r="AH354" s="208"/>
      <c r="AI354" s="208"/>
      <c r="AJ354" s="208"/>
      <c r="AK354" s="208"/>
    </row>
    <row r="355">
      <c r="A355" s="208"/>
      <c r="B355" s="208"/>
      <c r="C355" s="208"/>
      <c r="D355" s="208"/>
      <c r="E355" s="208"/>
      <c r="F355" s="208"/>
      <c r="G355" s="208"/>
      <c r="H355" s="233"/>
      <c r="I355" s="234"/>
      <c r="J355" s="208"/>
      <c r="K355" s="208"/>
      <c r="L355" s="208"/>
      <c r="M355" s="208"/>
      <c r="N355" s="208"/>
      <c r="O355" s="208"/>
      <c r="P355" s="208"/>
      <c r="Q355" s="208"/>
      <c r="R355" s="208"/>
      <c r="S355" s="208"/>
      <c r="T355" s="208"/>
      <c r="U355" s="208"/>
      <c r="V355" s="208"/>
      <c r="W355" s="208"/>
      <c r="X355" s="208"/>
      <c r="Y355" s="208"/>
      <c r="Z355" s="208"/>
      <c r="AA355" s="208"/>
      <c r="AB355" s="208"/>
      <c r="AC355" s="208"/>
      <c r="AD355" s="208"/>
      <c r="AE355" s="208"/>
      <c r="AF355" s="208"/>
      <c r="AG355" s="208"/>
      <c r="AH355" s="208"/>
      <c r="AI355" s="208"/>
      <c r="AJ355" s="208"/>
      <c r="AK355" s="208"/>
    </row>
    <row r="356">
      <c r="A356" s="208"/>
      <c r="B356" s="208"/>
      <c r="C356" s="208"/>
      <c r="D356" s="208"/>
      <c r="E356" s="208"/>
      <c r="F356" s="208"/>
      <c r="G356" s="208"/>
      <c r="H356" s="233"/>
      <c r="I356" s="234"/>
      <c r="J356" s="208"/>
      <c r="K356" s="208"/>
      <c r="L356" s="208"/>
      <c r="M356" s="208"/>
      <c r="N356" s="208"/>
      <c r="O356" s="208"/>
      <c r="P356" s="208"/>
      <c r="Q356" s="208"/>
      <c r="R356" s="208"/>
      <c r="S356" s="208"/>
      <c r="T356" s="208"/>
      <c r="U356" s="208"/>
      <c r="V356" s="208"/>
      <c r="W356" s="208"/>
      <c r="X356" s="208"/>
      <c r="Y356" s="208"/>
      <c r="Z356" s="208"/>
      <c r="AA356" s="208"/>
      <c r="AB356" s="208"/>
      <c r="AC356" s="208"/>
      <c r="AD356" s="208"/>
      <c r="AE356" s="208"/>
      <c r="AF356" s="208"/>
      <c r="AG356" s="208"/>
      <c r="AH356" s="208"/>
      <c r="AI356" s="208"/>
      <c r="AJ356" s="208"/>
      <c r="AK356" s="208"/>
    </row>
    <row r="357">
      <c r="A357" s="208"/>
      <c r="B357" s="208"/>
      <c r="C357" s="208"/>
      <c r="D357" s="208"/>
      <c r="E357" s="208"/>
      <c r="F357" s="208"/>
      <c r="G357" s="208"/>
      <c r="H357" s="233"/>
      <c r="I357" s="234"/>
      <c r="J357" s="208"/>
      <c r="K357" s="208"/>
      <c r="L357" s="208"/>
      <c r="M357" s="208"/>
      <c r="N357" s="208"/>
      <c r="O357" s="208"/>
      <c r="P357" s="208"/>
      <c r="Q357" s="208"/>
      <c r="R357" s="208"/>
      <c r="S357" s="208"/>
      <c r="T357" s="208"/>
      <c r="U357" s="208"/>
      <c r="V357" s="208"/>
      <c r="W357" s="208"/>
      <c r="X357" s="208"/>
      <c r="Y357" s="208"/>
      <c r="Z357" s="208"/>
      <c r="AA357" s="208"/>
      <c r="AB357" s="208"/>
      <c r="AC357" s="208"/>
      <c r="AD357" s="208"/>
      <c r="AE357" s="208"/>
      <c r="AF357" s="208"/>
      <c r="AG357" s="208"/>
      <c r="AH357" s="208"/>
      <c r="AI357" s="208"/>
      <c r="AJ357" s="208"/>
      <c r="AK357" s="208"/>
    </row>
    <row r="358">
      <c r="A358" s="208"/>
      <c r="B358" s="208"/>
      <c r="C358" s="208"/>
      <c r="D358" s="208"/>
      <c r="E358" s="208"/>
      <c r="F358" s="208"/>
      <c r="G358" s="208"/>
      <c r="H358" s="233"/>
      <c r="I358" s="234"/>
      <c r="J358" s="208"/>
      <c r="K358" s="208"/>
      <c r="L358" s="208"/>
      <c r="M358" s="208"/>
      <c r="N358" s="208"/>
      <c r="O358" s="208"/>
      <c r="P358" s="208"/>
      <c r="Q358" s="208"/>
      <c r="R358" s="208"/>
      <c r="S358" s="208"/>
      <c r="T358" s="208"/>
      <c r="U358" s="208"/>
      <c r="V358" s="208"/>
      <c r="W358" s="208"/>
      <c r="X358" s="208"/>
      <c r="Y358" s="208"/>
      <c r="Z358" s="208"/>
      <c r="AA358" s="208"/>
      <c r="AB358" s="208"/>
      <c r="AC358" s="208"/>
      <c r="AD358" s="208"/>
      <c r="AE358" s="208"/>
      <c r="AF358" s="208"/>
      <c r="AG358" s="208"/>
      <c r="AH358" s="208"/>
      <c r="AI358" s="208"/>
      <c r="AJ358" s="208"/>
      <c r="AK358" s="208"/>
    </row>
    <row r="359">
      <c r="A359" s="208"/>
      <c r="B359" s="208"/>
      <c r="C359" s="208"/>
      <c r="D359" s="208"/>
      <c r="E359" s="208"/>
      <c r="F359" s="208"/>
      <c r="G359" s="208"/>
      <c r="H359" s="233"/>
      <c r="I359" s="234"/>
      <c r="J359" s="208"/>
      <c r="K359" s="208"/>
      <c r="L359" s="208"/>
      <c r="M359" s="208"/>
      <c r="N359" s="208"/>
      <c r="O359" s="208"/>
      <c r="P359" s="208"/>
      <c r="Q359" s="208"/>
      <c r="R359" s="208"/>
      <c r="S359" s="208"/>
      <c r="T359" s="208"/>
      <c r="U359" s="208"/>
      <c r="V359" s="208"/>
      <c r="W359" s="208"/>
      <c r="X359" s="208"/>
      <c r="Y359" s="208"/>
      <c r="Z359" s="208"/>
      <c r="AA359" s="208"/>
      <c r="AB359" s="208"/>
      <c r="AC359" s="208"/>
      <c r="AD359" s="208"/>
      <c r="AE359" s="208"/>
      <c r="AF359" s="208"/>
      <c r="AG359" s="208"/>
      <c r="AH359" s="208"/>
      <c r="AI359" s="208"/>
      <c r="AJ359" s="208"/>
      <c r="AK359" s="208"/>
    </row>
    <row r="360">
      <c r="A360" s="208"/>
      <c r="B360" s="208"/>
      <c r="C360" s="208"/>
      <c r="D360" s="208"/>
      <c r="E360" s="208"/>
      <c r="F360" s="208"/>
      <c r="G360" s="208"/>
      <c r="H360" s="233"/>
      <c r="I360" s="234"/>
      <c r="J360" s="208"/>
      <c r="K360" s="208"/>
      <c r="L360" s="208"/>
      <c r="M360" s="208"/>
      <c r="N360" s="208"/>
      <c r="O360" s="208"/>
      <c r="P360" s="208"/>
      <c r="Q360" s="208"/>
      <c r="R360" s="208"/>
      <c r="S360" s="208"/>
      <c r="T360" s="208"/>
      <c r="U360" s="208"/>
      <c r="V360" s="208"/>
      <c r="W360" s="208"/>
      <c r="X360" s="208"/>
      <c r="Y360" s="208"/>
      <c r="Z360" s="208"/>
      <c r="AA360" s="208"/>
      <c r="AB360" s="208"/>
      <c r="AC360" s="208"/>
      <c r="AD360" s="208"/>
      <c r="AE360" s="208"/>
      <c r="AF360" s="208"/>
      <c r="AG360" s="208"/>
      <c r="AH360" s="208"/>
      <c r="AI360" s="208"/>
      <c r="AJ360" s="208"/>
      <c r="AK360" s="208"/>
    </row>
    <row r="361">
      <c r="A361" s="208"/>
      <c r="B361" s="208"/>
      <c r="C361" s="208"/>
      <c r="D361" s="208"/>
      <c r="E361" s="208"/>
      <c r="F361" s="208"/>
      <c r="G361" s="208"/>
      <c r="H361" s="233"/>
      <c r="I361" s="234"/>
      <c r="J361" s="208"/>
      <c r="K361" s="208"/>
      <c r="L361" s="208"/>
      <c r="M361" s="208"/>
      <c r="N361" s="208"/>
      <c r="O361" s="208"/>
      <c r="P361" s="208"/>
      <c r="Q361" s="208"/>
      <c r="R361" s="208"/>
      <c r="S361" s="208"/>
      <c r="T361" s="208"/>
      <c r="U361" s="208"/>
      <c r="V361" s="208"/>
      <c r="W361" s="208"/>
      <c r="X361" s="208"/>
      <c r="Y361" s="208"/>
      <c r="Z361" s="208"/>
      <c r="AA361" s="208"/>
      <c r="AB361" s="208"/>
      <c r="AC361" s="208"/>
      <c r="AD361" s="208"/>
      <c r="AE361" s="208"/>
      <c r="AF361" s="208"/>
      <c r="AG361" s="208"/>
      <c r="AH361" s="208"/>
      <c r="AI361" s="208"/>
      <c r="AJ361" s="208"/>
      <c r="AK361" s="208"/>
    </row>
    <row r="362">
      <c r="A362" s="208"/>
      <c r="B362" s="208"/>
      <c r="C362" s="208"/>
      <c r="D362" s="208"/>
      <c r="E362" s="208"/>
      <c r="F362" s="208"/>
      <c r="G362" s="208"/>
      <c r="H362" s="233"/>
      <c r="I362" s="234"/>
      <c r="J362" s="208"/>
      <c r="K362" s="208"/>
      <c r="L362" s="208"/>
      <c r="M362" s="208"/>
      <c r="N362" s="208"/>
      <c r="O362" s="208"/>
      <c r="P362" s="208"/>
      <c r="Q362" s="208"/>
      <c r="R362" s="208"/>
      <c r="S362" s="208"/>
      <c r="T362" s="208"/>
      <c r="U362" s="208"/>
      <c r="V362" s="208"/>
      <c r="W362" s="208"/>
      <c r="X362" s="208"/>
      <c r="Y362" s="208"/>
      <c r="Z362" s="208"/>
      <c r="AA362" s="208"/>
      <c r="AB362" s="208"/>
      <c r="AC362" s="208"/>
      <c r="AD362" s="208"/>
      <c r="AE362" s="208"/>
      <c r="AF362" s="208"/>
      <c r="AG362" s="208"/>
      <c r="AH362" s="208"/>
      <c r="AI362" s="208"/>
      <c r="AJ362" s="208"/>
      <c r="AK362" s="208"/>
    </row>
    <row r="363">
      <c r="A363" s="208"/>
      <c r="B363" s="208"/>
      <c r="C363" s="208"/>
      <c r="D363" s="208"/>
      <c r="E363" s="208"/>
      <c r="F363" s="208"/>
      <c r="G363" s="208"/>
      <c r="H363" s="233"/>
      <c r="I363" s="234"/>
      <c r="J363" s="208"/>
      <c r="K363" s="208"/>
      <c r="L363" s="208"/>
      <c r="M363" s="208"/>
      <c r="N363" s="208"/>
      <c r="O363" s="208"/>
      <c r="P363" s="208"/>
      <c r="Q363" s="208"/>
      <c r="R363" s="208"/>
      <c r="S363" s="208"/>
      <c r="T363" s="208"/>
      <c r="U363" s="208"/>
      <c r="V363" s="208"/>
      <c r="W363" s="208"/>
      <c r="X363" s="208"/>
      <c r="Y363" s="208"/>
      <c r="Z363" s="208"/>
      <c r="AA363" s="208"/>
      <c r="AB363" s="208"/>
      <c r="AC363" s="208"/>
      <c r="AD363" s="208"/>
      <c r="AE363" s="208"/>
      <c r="AF363" s="208"/>
      <c r="AG363" s="208"/>
      <c r="AH363" s="208"/>
      <c r="AI363" s="208"/>
      <c r="AJ363" s="208"/>
      <c r="AK363" s="208"/>
    </row>
    <row r="364">
      <c r="A364" s="208"/>
      <c r="B364" s="208"/>
      <c r="C364" s="208"/>
      <c r="D364" s="208"/>
      <c r="E364" s="208"/>
      <c r="F364" s="208"/>
      <c r="G364" s="208"/>
      <c r="H364" s="233"/>
      <c r="I364" s="234"/>
      <c r="J364" s="208"/>
      <c r="K364" s="208"/>
      <c r="L364" s="208"/>
      <c r="M364" s="208"/>
      <c r="N364" s="208"/>
      <c r="O364" s="208"/>
      <c r="P364" s="208"/>
      <c r="Q364" s="208"/>
      <c r="R364" s="208"/>
      <c r="S364" s="208"/>
      <c r="T364" s="208"/>
      <c r="U364" s="208"/>
      <c r="V364" s="208"/>
      <c r="W364" s="208"/>
      <c r="X364" s="208"/>
      <c r="Y364" s="208"/>
      <c r="Z364" s="208"/>
      <c r="AA364" s="208"/>
      <c r="AB364" s="208"/>
      <c r="AC364" s="208"/>
      <c r="AD364" s="208"/>
      <c r="AE364" s="208"/>
      <c r="AF364" s="208"/>
      <c r="AG364" s="208"/>
      <c r="AH364" s="208"/>
      <c r="AI364" s="208"/>
      <c r="AJ364" s="208"/>
      <c r="AK364" s="208"/>
    </row>
    <row r="365">
      <c r="A365" s="208"/>
      <c r="B365" s="208"/>
      <c r="C365" s="208"/>
      <c r="D365" s="208"/>
      <c r="E365" s="208"/>
      <c r="F365" s="208"/>
      <c r="G365" s="208"/>
      <c r="H365" s="233"/>
      <c r="I365" s="234"/>
      <c r="J365" s="208"/>
      <c r="K365" s="208"/>
      <c r="L365" s="208"/>
      <c r="M365" s="208"/>
      <c r="N365" s="208"/>
      <c r="O365" s="208"/>
      <c r="P365" s="208"/>
      <c r="Q365" s="208"/>
      <c r="R365" s="208"/>
      <c r="S365" s="208"/>
      <c r="T365" s="208"/>
      <c r="U365" s="208"/>
      <c r="V365" s="208"/>
      <c r="W365" s="208"/>
      <c r="X365" s="208"/>
      <c r="Y365" s="208"/>
      <c r="Z365" s="208"/>
      <c r="AA365" s="208"/>
      <c r="AB365" s="208"/>
      <c r="AC365" s="208"/>
      <c r="AD365" s="208"/>
      <c r="AE365" s="208"/>
      <c r="AF365" s="208"/>
      <c r="AG365" s="208"/>
      <c r="AH365" s="208"/>
      <c r="AI365" s="208"/>
      <c r="AJ365" s="208"/>
      <c r="AK365" s="208"/>
    </row>
    <row r="366">
      <c r="A366" s="208"/>
      <c r="B366" s="208"/>
      <c r="C366" s="208"/>
      <c r="D366" s="208"/>
      <c r="E366" s="208"/>
      <c r="F366" s="208"/>
      <c r="G366" s="208"/>
      <c r="H366" s="233"/>
      <c r="I366" s="234"/>
      <c r="J366" s="208"/>
      <c r="K366" s="208"/>
      <c r="L366" s="208"/>
      <c r="M366" s="208"/>
      <c r="N366" s="208"/>
      <c r="O366" s="208"/>
      <c r="P366" s="208"/>
      <c r="Q366" s="208"/>
      <c r="R366" s="208"/>
      <c r="S366" s="208"/>
      <c r="T366" s="208"/>
      <c r="U366" s="208"/>
      <c r="V366" s="208"/>
      <c r="W366" s="208"/>
      <c r="X366" s="208"/>
      <c r="Y366" s="208"/>
      <c r="Z366" s="208"/>
      <c r="AA366" s="208"/>
      <c r="AB366" s="208"/>
      <c r="AC366" s="208"/>
      <c r="AD366" s="208"/>
      <c r="AE366" s="208"/>
      <c r="AF366" s="208"/>
      <c r="AG366" s="208"/>
      <c r="AH366" s="208"/>
      <c r="AI366" s="208"/>
      <c r="AJ366" s="208"/>
      <c r="AK366" s="208"/>
    </row>
    <row r="367">
      <c r="A367" s="208"/>
      <c r="B367" s="208"/>
      <c r="C367" s="208"/>
      <c r="D367" s="208"/>
      <c r="E367" s="208"/>
      <c r="F367" s="208"/>
      <c r="G367" s="208"/>
      <c r="H367" s="233"/>
      <c r="I367" s="234"/>
      <c r="J367" s="208"/>
      <c r="K367" s="208"/>
      <c r="L367" s="208"/>
      <c r="M367" s="208"/>
      <c r="N367" s="208"/>
      <c r="O367" s="208"/>
      <c r="P367" s="208"/>
      <c r="Q367" s="208"/>
      <c r="R367" s="208"/>
      <c r="S367" s="208"/>
      <c r="T367" s="208"/>
      <c r="U367" s="208"/>
      <c r="V367" s="208"/>
      <c r="W367" s="208"/>
      <c r="X367" s="208"/>
      <c r="Y367" s="208"/>
      <c r="Z367" s="208"/>
      <c r="AA367" s="208"/>
      <c r="AB367" s="208"/>
      <c r="AC367" s="208"/>
      <c r="AD367" s="208"/>
      <c r="AE367" s="208"/>
      <c r="AF367" s="208"/>
      <c r="AG367" s="208"/>
      <c r="AH367" s="208"/>
      <c r="AI367" s="208"/>
      <c r="AJ367" s="208"/>
      <c r="AK367" s="208"/>
    </row>
    <row r="368">
      <c r="A368" s="208"/>
      <c r="B368" s="208"/>
      <c r="C368" s="208"/>
      <c r="D368" s="208"/>
      <c r="E368" s="208"/>
      <c r="F368" s="208"/>
      <c r="G368" s="208"/>
      <c r="H368" s="233"/>
      <c r="I368" s="234"/>
      <c r="J368" s="208"/>
      <c r="K368" s="208"/>
      <c r="L368" s="208"/>
      <c r="M368" s="208"/>
      <c r="N368" s="208"/>
      <c r="O368" s="208"/>
      <c r="P368" s="208"/>
      <c r="Q368" s="208"/>
      <c r="R368" s="208"/>
      <c r="S368" s="208"/>
      <c r="T368" s="208"/>
      <c r="U368" s="208"/>
      <c r="V368" s="208"/>
      <c r="W368" s="208"/>
      <c r="X368" s="208"/>
      <c r="Y368" s="208"/>
      <c r="Z368" s="208"/>
      <c r="AA368" s="208"/>
      <c r="AB368" s="208"/>
      <c r="AC368" s="208"/>
      <c r="AD368" s="208"/>
      <c r="AE368" s="208"/>
      <c r="AF368" s="208"/>
      <c r="AG368" s="208"/>
      <c r="AH368" s="208"/>
      <c r="AI368" s="208"/>
      <c r="AJ368" s="208"/>
      <c r="AK368" s="208"/>
    </row>
    <row r="369">
      <c r="A369" s="208"/>
      <c r="B369" s="208"/>
      <c r="C369" s="208"/>
      <c r="D369" s="208"/>
      <c r="E369" s="208"/>
      <c r="F369" s="208"/>
      <c r="G369" s="208"/>
      <c r="H369" s="233"/>
      <c r="I369" s="234"/>
      <c r="J369" s="208"/>
      <c r="K369" s="208"/>
      <c r="L369" s="208"/>
      <c r="M369" s="208"/>
      <c r="N369" s="208"/>
      <c r="O369" s="208"/>
      <c r="P369" s="208"/>
      <c r="Q369" s="208"/>
      <c r="R369" s="208"/>
      <c r="S369" s="208"/>
      <c r="T369" s="208"/>
      <c r="U369" s="208"/>
      <c r="V369" s="208"/>
      <c r="W369" s="208"/>
      <c r="X369" s="208"/>
      <c r="Y369" s="208"/>
      <c r="Z369" s="208"/>
      <c r="AA369" s="208"/>
      <c r="AB369" s="208"/>
      <c r="AC369" s="208"/>
      <c r="AD369" s="208"/>
      <c r="AE369" s="208"/>
      <c r="AF369" s="208"/>
      <c r="AG369" s="208"/>
      <c r="AH369" s="208"/>
      <c r="AI369" s="208"/>
      <c r="AJ369" s="208"/>
      <c r="AK369" s="208"/>
    </row>
    <row r="370">
      <c r="A370" s="208"/>
      <c r="B370" s="208"/>
      <c r="C370" s="208"/>
      <c r="D370" s="208"/>
      <c r="E370" s="208"/>
      <c r="F370" s="208"/>
      <c r="G370" s="208"/>
      <c r="H370" s="233"/>
      <c r="I370" s="234"/>
      <c r="J370" s="208"/>
      <c r="K370" s="208"/>
      <c r="L370" s="208"/>
      <c r="M370" s="208"/>
      <c r="N370" s="208"/>
      <c r="O370" s="208"/>
      <c r="P370" s="208"/>
      <c r="Q370" s="208"/>
      <c r="R370" s="208"/>
      <c r="S370" s="208"/>
      <c r="T370" s="208"/>
      <c r="U370" s="208"/>
      <c r="V370" s="208"/>
      <c r="W370" s="208"/>
      <c r="X370" s="208"/>
      <c r="Y370" s="208"/>
      <c r="Z370" s="208"/>
      <c r="AA370" s="208"/>
      <c r="AB370" s="208"/>
      <c r="AC370" s="208"/>
      <c r="AD370" s="208"/>
      <c r="AE370" s="208"/>
      <c r="AF370" s="208"/>
      <c r="AG370" s="208"/>
      <c r="AH370" s="208"/>
      <c r="AI370" s="208"/>
      <c r="AJ370" s="208"/>
      <c r="AK370" s="208"/>
    </row>
    <row r="371">
      <c r="A371" s="208"/>
      <c r="B371" s="208"/>
      <c r="C371" s="208"/>
      <c r="D371" s="208"/>
      <c r="E371" s="208"/>
      <c r="F371" s="208"/>
      <c r="G371" s="208"/>
      <c r="H371" s="233"/>
      <c r="I371" s="234"/>
      <c r="J371" s="208"/>
      <c r="K371" s="208"/>
      <c r="L371" s="208"/>
      <c r="M371" s="208"/>
      <c r="N371" s="208"/>
      <c r="O371" s="208"/>
      <c r="P371" s="208"/>
      <c r="Q371" s="208"/>
      <c r="R371" s="208"/>
      <c r="S371" s="208"/>
      <c r="T371" s="208"/>
      <c r="U371" s="208"/>
      <c r="V371" s="208"/>
      <c r="W371" s="208"/>
      <c r="X371" s="208"/>
      <c r="Y371" s="208"/>
      <c r="Z371" s="208"/>
      <c r="AA371" s="208"/>
      <c r="AB371" s="208"/>
      <c r="AC371" s="208"/>
      <c r="AD371" s="208"/>
      <c r="AE371" s="208"/>
      <c r="AF371" s="208"/>
      <c r="AG371" s="208"/>
      <c r="AH371" s="208"/>
      <c r="AI371" s="208"/>
      <c r="AJ371" s="208"/>
      <c r="AK371" s="208"/>
    </row>
    <row r="372">
      <c r="A372" s="208"/>
      <c r="B372" s="208"/>
      <c r="C372" s="208"/>
      <c r="D372" s="208"/>
      <c r="E372" s="208"/>
      <c r="F372" s="208"/>
      <c r="G372" s="208"/>
      <c r="H372" s="233"/>
      <c r="I372" s="234"/>
      <c r="J372" s="208"/>
      <c r="K372" s="208"/>
      <c r="L372" s="208"/>
      <c r="M372" s="208"/>
      <c r="N372" s="208"/>
      <c r="O372" s="208"/>
      <c r="P372" s="208"/>
      <c r="Q372" s="208"/>
      <c r="R372" s="208"/>
      <c r="S372" s="208"/>
      <c r="T372" s="208"/>
      <c r="U372" s="208"/>
      <c r="V372" s="208"/>
      <c r="W372" s="208"/>
      <c r="X372" s="208"/>
      <c r="Y372" s="208"/>
      <c r="Z372" s="208"/>
      <c r="AA372" s="208"/>
      <c r="AB372" s="208"/>
      <c r="AC372" s="208"/>
      <c r="AD372" s="208"/>
      <c r="AE372" s="208"/>
      <c r="AF372" s="208"/>
      <c r="AG372" s="208"/>
      <c r="AH372" s="208"/>
      <c r="AI372" s="208"/>
      <c r="AJ372" s="208"/>
      <c r="AK372" s="208"/>
    </row>
    <row r="373">
      <c r="A373" s="208"/>
      <c r="B373" s="208"/>
      <c r="C373" s="208"/>
      <c r="D373" s="208"/>
      <c r="E373" s="208"/>
      <c r="F373" s="208"/>
      <c r="G373" s="208"/>
      <c r="H373" s="233"/>
      <c r="I373" s="234"/>
      <c r="J373" s="208"/>
      <c r="K373" s="208"/>
      <c r="L373" s="208"/>
      <c r="M373" s="208"/>
      <c r="N373" s="208"/>
      <c r="O373" s="208"/>
      <c r="P373" s="208"/>
      <c r="Q373" s="208"/>
      <c r="R373" s="208"/>
      <c r="S373" s="208"/>
      <c r="T373" s="208"/>
      <c r="U373" s="208"/>
      <c r="V373" s="208"/>
      <c r="W373" s="208"/>
      <c r="X373" s="208"/>
      <c r="Y373" s="208"/>
      <c r="Z373" s="208"/>
      <c r="AA373" s="208"/>
      <c r="AB373" s="208"/>
      <c r="AC373" s="208"/>
      <c r="AD373" s="208"/>
      <c r="AE373" s="208"/>
      <c r="AF373" s="208"/>
      <c r="AG373" s="208"/>
      <c r="AH373" s="208"/>
      <c r="AI373" s="208"/>
      <c r="AJ373" s="208"/>
      <c r="AK373" s="208"/>
    </row>
    <row r="374">
      <c r="A374" s="208"/>
      <c r="B374" s="208"/>
      <c r="C374" s="208"/>
      <c r="D374" s="208"/>
      <c r="E374" s="208"/>
      <c r="F374" s="208"/>
      <c r="G374" s="208"/>
      <c r="H374" s="233"/>
      <c r="I374" s="234"/>
      <c r="J374" s="208"/>
      <c r="K374" s="208"/>
      <c r="L374" s="208"/>
      <c r="M374" s="208"/>
      <c r="N374" s="208"/>
      <c r="O374" s="208"/>
      <c r="P374" s="208"/>
      <c r="Q374" s="208"/>
      <c r="R374" s="208"/>
      <c r="S374" s="208"/>
      <c r="T374" s="208"/>
      <c r="U374" s="208"/>
      <c r="V374" s="208"/>
      <c r="W374" s="208"/>
      <c r="X374" s="208"/>
      <c r="Y374" s="208"/>
      <c r="Z374" s="208"/>
      <c r="AA374" s="208"/>
      <c r="AB374" s="208"/>
      <c r="AC374" s="208"/>
      <c r="AD374" s="208"/>
      <c r="AE374" s="208"/>
      <c r="AF374" s="208"/>
      <c r="AG374" s="208"/>
      <c r="AH374" s="208"/>
      <c r="AI374" s="208"/>
      <c r="AJ374" s="208"/>
      <c r="AK374" s="208"/>
    </row>
    <row r="375">
      <c r="A375" s="208"/>
      <c r="B375" s="208"/>
      <c r="C375" s="208"/>
      <c r="D375" s="208"/>
      <c r="E375" s="208"/>
      <c r="F375" s="208"/>
      <c r="G375" s="208"/>
      <c r="H375" s="233"/>
      <c r="I375" s="234"/>
      <c r="J375" s="208"/>
      <c r="K375" s="208"/>
      <c r="L375" s="208"/>
      <c r="M375" s="208"/>
      <c r="N375" s="208"/>
      <c r="O375" s="208"/>
      <c r="P375" s="208"/>
      <c r="Q375" s="208"/>
      <c r="R375" s="208"/>
      <c r="S375" s="208"/>
      <c r="T375" s="208"/>
      <c r="U375" s="208"/>
      <c r="V375" s="208"/>
      <c r="W375" s="208"/>
      <c r="X375" s="208"/>
      <c r="Y375" s="208"/>
      <c r="Z375" s="208"/>
      <c r="AA375" s="208"/>
      <c r="AB375" s="208"/>
      <c r="AC375" s="208"/>
      <c r="AD375" s="208"/>
      <c r="AE375" s="208"/>
      <c r="AF375" s="208"/>
      <c r="AG375" s="208"/>
      <c r="AH375" s="208"/>
      <c r="AI375" s="208"/>
      <c r="AJ375" s="208"/>
      <c r="AK375" s="208"/>
    </row>
    <row r="376">
      <c r="A376" s="208"/>
      <c r="B376" s="208"/>
      <c r="C376" s="208"/>
      <c r="D376" s="208"/>
      <c r="E376" s="208"/>
      <c r="F376" s="208"/>
      <c r="G376" s="208"/>
      <c r="H376" s="233"/>
      <c r="I376" s="234"/>
      <c r="J376" s="208"/>
      <c r="K376" s="208"/>
      <c r="L376" s="208"/>
      <c r="M376" s="208"/>
      <c r="N376" s="208"/>
      <c r="O376" s="208"/>
      <c r="P376" s="208"/>
      <c r="Q376" s="208"/>
      <c r="R376" s="208"/>
      <c r="S376" s="208"/>
      <c r="T376" s="208"/>
      <c r="U376" s="208"/>
      <c r="V376" s="208"/>
      <c r="W376" s="208"/>
      <c r="X376" s="208"/>
      <c r="Y376" s="208"/>
      <c r="Z376" s="208"/>
      <c r="AA376" s="208"/>
      <c r="AB376" s="208"/>
      <c r="AC376" s="208"/>
      <c r="AD376" s="208"/>
      <c r="AE376" s="208"/>
      <c r="AF376" s="208"/>
      <c r="AG376" s="208"/>
      <c r="AH376" s="208"/>
      <c r="AI376" s="208"/>
      <c r="AJ376" s="208"/>
      <c r="AK376" s="208"/>
    </row>
    <row r="377">
      <c r="A377" s="208"/>
      <c r="B377" s="208"/>
      <c r="C377" s="208"/>
      <c r="D377" s="208"/>
      <c r="E377" s="208"/>
      <c r="F377" s="208"/>
      <c r="G377" s="208"/>
      <c r="H377" s="233"/>
      <c r="I377" s="234"/>
      <c r="J377" s="208"/>
      <c r="K377" s="208"/>
      <c r="L377" s="208"/>
      <c r="M377" s="208"/>
      <c r="N377" s="208"/>
      <c r="O377" s="208"/>
      <c r="P377" s="208"/>
      <c r="Q377" s="208"/>
      <c r="R377" s="208"/>
      <c r="S377" s="208"/>
      <c r="T377" s="208"/>
      <c r="U377" s="208"/>
      <c r="V377" s="208"/>
      <c r="W377" s="208"/>
      <c r="X377" s="208"/>
      <c r="Y377" s="208"/>
      <c r="Z377" s="208"/>
      <c r="AA377" s="208"/>
      <c r="AB377" s="208"/>
      <c r="AC377" s="208"/>
      <c r="AD377" s="208"/>
      <c r="AE377" s="208"/>
      <c r="AF377" s="208"/>
      <c r="AG377" s="208"/>
      <c r="AH377" s="208"/>
      <c r="AI377" s="208"/>
      <c r="AJ377" s="208"/>
      <c r="AK377" s="208"/>
    </row>
    <row r="378">
      <c r="A378" s="208"/>
      <c r="B378" s="208"/>
      <c r="C378" s="208"/>
      <c r="D378" s="208"/>
      <c r="E378" s="208"/>
      <c r="F378" s="208"/>
      <c r="G378" s="208"/>
      <c r="H378" s="233"/>
      <c r="I378" s="234"/>
      <c r="J378" s="208"/>
      <c r="K378" s="208"/>
      <c r="L378" s="208"/>
      <c r="M378" s="208"/>
      <c r="N378" s="208"/>
      <c r="O378" s="208"/>
      <c r="P378" s="208"/>
      <c r="Q378" s="208"/>
      <c r="R378" s="208"/>
      <c r="S378" s="208"/>
      <c r="T378" s="208"/>
      <c r="U378" s="208"/>
      <c r="V378" s="208"/>
      <c r="W378" s="208"/>
      <c r="X378" s="208"/>
      <c r="Y378" s="208"/>
      <c r="Z378" s="208"/>
      <c r="AA378" s="208"/>
      <c r="AB378" s="208"/>
      <c r="AC378" s="208"/>
      <c r="AD378" s="208"/>
      <c r="AE378" s="208"/>
      <c r="AF378" s="208"/>
      <c r="AG378" s="208"/>
      <c r="AH378" s="208"/>
      <c r="AI378" s="208"/>
      <c r="AJ378" s="208"/>
      <c r="AK378" s="208"/>
    </row>
    <row r="379">
      <c r="A379" s="208"/>
      <c r="B379" s="208"/>
      <c r="C379" s="208"/>
      <c r="D379" s="208"/>
      <c r="E379" s="208"/>
      <c r="F379" s="208"/>
      <c r="G379" s="208"/>
      <c r="H379" s="233"/>
      <c r="I379" s="234"/>
      <c r="J379" s="208"/>
      <c r="K379" s="208"/>
      <c r="L379" s="208"/>
      <c r="M379" s="208"/>
      <c r="N379" s="208"/>
      <c r="O379" s="208"/>
      <c r="P379" s="208"/>
      <c r="Q379" s="208"/>
      <c r="R379" s="208"/>
      <c r="S379" s="208"/>
      <c r="T379" s="208"/>
      <c r="U379" s="208"/>
      <c r="V379" s="208"/>
      <c r="W379" s="208"/>
      <c r="X379" s="208"/>
      <c r="Y379" s="208"/>
      <c r="Z379" s="208"/>
      <c r="AA379" s="208"/>
      <c r="AB379" s="208"/>
      <c r="AC379" s="208"/>
      <c r="AD379" s="208"/>
      <c r="AE379" s="208"/>
      <c r="AF379" s="208"/>
      <c r="AG379" s="208"/>
      <c r="AH379" s="208"/>
      <c r="AI379" s="208"/>
      <c r="AJ379" s="208"/>
      <c r="AK379" s="208"/>
    </row>
    <row r="380">
      <c r="A380" s="208"/>
      <c r="B380" s="208"/>
      <c r="C380" s="208"/>
      <c r="D380" s="208"/>
      <c r="E380" s="208"/>
      <c r="F380" s="208"/>
      <c r="G380" s="208"/>
      <c r="H380" s="233"/>
      <c r="I380" s="234"/>
      <c r="J380" s="208"/>
      <c r="K380" s="208"/>
      <c r="L380" s="208"/>
      <c r="M380" s="208"/>
      <c r="N380" s="208"/>
      <c r="O380" s="208"/>
      <c r="P380" s="208"/>
      <c r="Q380" s="208"/>
      <c r="R380" s="208"/>
      <c r="S380" s="208"/>
      <c r="T380" s="208"/>
      <c r="U380" s="208"/>
      <c r="V380" s="208"/>
      <c r="W380" s="208"/>
      <c r="X380" s="208"/>
      <c r="Y380" s="208"/>
      <c r="Z380" s="208"/>
      <c r="AA380" s="208"/>
      <c r="AB380" s="208"/>
      <c r="AC380" s="208"/>
      <c r="AD380" s="208"/>
      <c r="AE380" s="208"/>
      <c r="AF380" s="208"/>
      <c r="AG380" s="208"/>
      <c r="AH380" s="208"/>
      <c r="AI380" s="208"/>
      <c r="AJ380" s="208"/>
      <c r="AK380" s="208"/>
    </row>
    <row r="381">
      <c r="A381" s="208"/>
      <c r="B381" s="208"/>
      <c r="C381" s="208"/>
      <c r="D381" s="208"/>
      <c r="E381" s="208"/>
      <c r="F381" s="208"/>
      <c r="G381" s="208"/>
      <c r="H381" s="233"/>
      <c r="I381" s="234"/>
      <c r="J381" s="208"/>
      <c r="K381" s="208"/>
      <c r="L381" s="208"/>
      <c r="M381" s="208"/>
      <c r="N381" s="208"/>
      <c r="O381" s="208"/>
      <c r="P381" s="208"/>
      <c r="Q381" s="208"/>
      <c r="R381" s="208"/>
      <c r="S381" s="208"/>
      <c r="T381" s="208"/>
      <c r="U381" s="208"/>
      <c r="V381" s="208"/>
      <c r="W381" s="208"/>
      <c r="X381" s="208"/>
      <c r="Y381" s="208"/>
      <c r="Z381" s="208"/>
      <c r="AA381" s="208"/>
      <c r="AB381" s="208"/>
      <c r="AC381" s="208"/>
      <c r="AD381" s="208"/>
      <c r="AE381" s="208"/>
      <c r="AF381" s="208"/>
      <c r="AG381" s="208"/>
      <c r="AH381" s="208"/>
      <c r="AI381" s="208"/>
      <c r="AJ381" s="208"/>
      <c r="AK381" s="208"/>
    </row>
    <row r="382">
      <c r="A382" s="208"/>
      <c r="B382" s="208"/>
      <c r="C382" s="208"/>
      <c r="D382" s="208"/>
      <c r="E382" s="208"/>
      <c r="F382" s="208"/>
      <c r="G382" s="208"/>
      <c r="H382" s="233"/>
      <c r="I382" s="234"/>
      <c r="J382" s="208"/>
      <c r="K382" s="208"/>
      <c r="L382" s="208"/>
      <c r="M382" s="208"/>
      <c r="N382" s="208"/>
      <c r="O382" s="208"/>
      <c r="P382" s="208"/>
      <c r="Q382" s="208"/>
      <c r="R382" s="208"/>
      <c r="S382" s="208"/>
      <c r="T382" s="208"/>
      <c r="U382" s="208"/>
      <c r="V382" s="208"/>
      <c r="W382" s="208"/>
      <c r="X382" s="208"/>
      <c r="Y382" s="208"/>
      <c r="Z382" s="208"/>
      <c r="AA382" s="208"/>
      <c r="AB382" s="208"/>
      <c r="AC382" s="208"/>
      <c r="AD382" s="208"/>
      <c r="AE382" s="208"/>
      <c r="AF382" s="208"/>
      <c r="AG382" s="208"/>
      <c r="AH382" s="208"/>
      <c r="AI382" s="208"/>
      <c r="AJ382" s="208"/>
      <c r="AK382" s="208"/>
    </row>
    <row r="383">
      <c r="A383" s="208"/>
      <c r="B383" s="208"/>
      <c r="C383" s="208"/>
      <c r="D383" s="208"/>
      <c r="E383" s="208"/>
      <c r="F383" s="208"/>
      <c r="G383" s="208"/>
      <c r="H383" s="233"/>
      <c r="I383" s="234"/>
      <c r="J383" s="208"/>
      <c r="K383" s="208"/>
      <c r="L383" s="208"/>
      <c r="M383" s="208"/>
      <c r="N383" s="208"/>
      <c r="O383" s="208"/>
      <c r="P383" s="208"/>
      <c r="Q383" s="208"/>
      <c r="R383" s="208"/>
      <c r="S383" s="208"/>
      <c r="T383" s="208"/>
      <c r="U383" s="208"/>
      <c r="V383" s="208"/>
      <c r="W383" s="208"/>
      <c r="X383" s="208"/>
      <c r="Y383" s="208"/>
      <c r="Z383" s="208"/>
      <c r="AA383" s="208"/>
      <c r="AB383" s="208"/>
      <c r="AC383" s="208"/>
      <c r="AD383" s="208"/>
      <c r="AE383" s="208"/>
      <c r="AF383" s="208"/>
      <c r="AG383" s="208"/>
      <c r="AH383" s="208"/>
      <c r="AI383" s="208"/>
      <c r="AJ383" s="208"/>
      <c r="AK383" s="208"/>
    </row>
    <row r="384">
      <c r="A384" s="208"/>
      <c r="B384" s="208"/>
      <c r="C384" s="208"/>
      <c r="D384" s="208"/>
      <c r="E384" s="208"/>
      <c r="F384" s="208"/>
      <c r="G384" s="208"/>
      <c r="H384" s="233"/>
      <c r="I384" s="234"/>
      <c r="J384" s="208"/>
      <c r="K384" s="208"/>
      <c r="L384" s="208"/>
      <c r="M384" s="208"/>
      <c r="N384" s="208"/>
      <c r="O384" s="208"/>
      <c r="P384" s="208"/>
      <c r="Q384" s="208"/>
      <c r="R384" s="208"/>
      <c r="S384" s="208"/>
      <c r="T384" s="208"/>
      <c r="U384" s="208"/>
      <c r="V384" s="208"/>
      <c r="W384" s="208"/>
      <c r="X384" s="208"/>
      <c r="Y384" s="208"/>
      <c r="Z384" s="208"/>
      <c r="AA384" s="208"/>
      <c r="AB384" s="208"/>
      <c r="AC384" s="208"/>
      <c r="AD384" s="208"/>
      <c r="AE384" s="208"/>
      <c r="AF384" s="208"/>
      <c r="AG384" s="208"/>
      <c r="AH384" s="208"/>
      <c r="AI384" s="208"/>
      <c r="AJ384" s="208"/>
      <c r="AK384" s="208"/>
    </row>
    <row r="385">
      <c r="A385" s="208"/>
      <c r="B385" s="208"/>
      <c r="C385" s="208"/>
      <c r="D385" s="208"/>
      <c r="E385" s="208"/>
      <c r="F385" s="208"/>
      <c r="G385" s="208"/>
      <c r="H385" s="233"/>
      <c r="I385" s="234"/>
      <c r="J385" s="208"/>
      <c r="K385" s="208"/>
      <c r="L385" s="208"/>
      <c r="M385" s="208"/>
      <c r="N385" s="208"/>
      <c r="O385" s="208"/>
      <c r="P385" s="208"/>
      <c r="Q385" s="208"/>
      <c r="R385" s="208"/>
      <c r="S385" s="208"/>
      <c r="T385" s="208"/>
      <c r="U385" s="208"/>
      <c r="V385" s="208"/>
      <c r="W385" s="208"/>
      <c r="X385" s="208"/>
      <c r="Y385" s="208"/>
      <c r="Z385" s="208"/>
      <c r="AA385" s="208"/>
      <c r="AB385" s="208"/>
      <c r="AC385" s="208"/>
      <c r="AD385" s="208"/>
      <c r="AE385" s="208"/>
      <c r="AF385" s="208"/>
      <c r="AG385" s="208"/>
      <c r="AH385" s="208"/>
      <c r="AI385" s="208"/>
      <c r="AJ385" s="208"/>
      <c r="AK385" s="208"/>
    </row>
    <row r="386">
      <c r="A386" s="208"/>
      <c r="B386" s="208"/>
      <c r="C386" s="208"/>
      <c r="D386" s="208"/>
      <c r="E386" s="208"/>
      <c r="F386" s="208"/>
      <c r="G386" s="208"/>
      <c r="H386" s="233"/>
      <c r="I386" s="234"/>
      <c r="J386" s="208"/>
      <c r="K386" s="208"/>
      <c r="L386" s="208"/>
      <c r="M386" s="208"/>
      <c r="N386" s="208"/>
      <c r="O386" s="208"/>
      <c r="P386" s="208"/>
      <c r="Q386" s="208"/>
      <c r="R386" s="208"/>
      <c r="S386" s="208"/>
      <c r="T386" s="208"/>
      <c r="U386" s="208"/>
      <c r="V386" s="208"/>
      <c r="W386" s="208"/>
      <c r="X386" s="208"/>
      <c r="Y386" s="208"/>
      <c r="Z386" s="208"/>
      <c r="AA386" s="208"/>
      <c r="AB386" s="208"/>
      <c r="AC386" s="208"/>
      <c r="AD386" s="208"/>
      <c r="AE386" s="208"/>
      <c r="AF386" s="208"/>
      <c r="AG386" s="208"/>
      <c r="AH386" s="208"/>
      <c r="AI386" s="208"/>
      <c r="AJ386" s="208"/>
      <c r="AK386" s="208"/>
    </row>
    <row r="387">
      <c r="A387" s="208"/>
      <c r="B387" s="208"/>
      <c r="C387" s="208"/>
      <c r="D387" s="208"/>
      <c r="E387" s="208"/>
      <c r="F387" s="208"/>
      <c r="G387" s="208"/>
      <c r="H387" s="233"/>
      <c r="I387" s="234"/>
      <c r="J387" s="208"/>
      <c r="K387" s="208"/>
      <c r="L387" s="208"/>
      <c r="M387" s="208"/>
      <c r="N387" s="208"/>
      <c r="O387" s="208"/>
      <c r="P387" s="208"/>
      <c r="Q387" s="208"/>
      <c r="R387" s="208"/>
      <c r="S387" s="208"/>
      <c r="T387" s="208"/>
      <c r="U387" s="208"/>
      <c r="V387" s="208"/>
      <c r="W387" s="208"/>
      <c r="X387" s="208"/>
      <c r="Y387" s="208"/>
      <c r="Z387" s="208"/>
      <c r="AA387" s="208"/>
      <c r="AB387" s="208"/>
      <c r="AC387" s="208"/>
      <c r="AD387" s="208"/>
      <c r="AE387" s="208"/>
      <c r="AF387" s="208"/>
      <c r="AG387" s="208"/>
      <c r="AH387" s="208"/>
      <c r="AI387" s="208"/>
      <c r="AJ387" s="208"/>
      <c r="AK387" s="208"/>
    </row>
    <row r="388">
      <c r="A388" s="208"/>
      <c r="B388" s="208"/>
      <c r="C388" s="208"/>
      <c r="D388" s="208"/>
      <c r="E388" s="208"/>
      <c r="F388" s="208"/>
      <c r="G388" s="208"/>
      <c r="H388" s="233"/>
      <c r="I388" s="234"/>
      <c r="J388" s="208"/>
      <c r="K388" s="208"/>
      <c r="L388" s="208"/>
      <c r="M388" s="208"/>
      <c r="N388" s="208"/>
      <c r="O388" s="208"/>
      <c r="P388" s="208"/>
      <c r="Q388" s="208"/>
      <c r="R388" s="208"/>
      <c r="S388" s="208"/>
      <c r="T388" s="208"/>
      <c r="U388" s="208"/>
      <c r="V388" s="208"/>
      <c r="W388" s="208"/>
      <c r="X388" s="208"/>
      <c r="Y388" s="208"/>
      <c r="Z388" s="208"/>
      <c r="AA388" s="208"/>
      <c r="AB388" s="208"/>
      <c r="AC388" s="208"/>
      <c r="AD388" s="208"/>
      <c r="AE388" s="208"/>
      <c r="AF388" s="208"/>
      <c r="AG388" s="208"/>
      <c r="AH388" s="208"/>
      <c r="AI388" s="208"/>
      <c r="AJ388" s="208"/>
      <c r="AK388" s="208"/>
    </row>
    <row r="389">
      <c r="A389" s="208"/>
      <c r="B389" s="208"/>
      <c r="C389" s="208"/>
      <c r="D389" s="208"/>
      <c r="E389" s="208"/>
      <c r="F389" s="208"/>
      <c r="G389" s="208"/>
      <c r="H389" s="233"/>
      <c r="I389" s="234"/>
      <c r="J389" s="208"/>
      <c r="K389" s="208"/>
      <c r="L389" s="208"/>
      <c r="M389" s="208"/>
      <c r="N389" s="208"/>
      <c r="O389" s="208"/>
      <c r="P389" s="208"/>
      <c r="Q389" s="208"/>
      <c r="R389" s="208"/>
      <c r="S389" s="208"/>
      <c r="T389" s="208"/>
      <c r="U389" s="208"/>
      <c r="V389" s="208"/>
      <c r="W389" s="208"/>
      <c r="X389" s="208"/>
      <c r="Y389" s="208"/>
      <c r="Z389" s="208"/>
      <c r="AA389" s="208"/>
      <c r="AB389" s="208"/>
      <c r="AC389" s="208"/>
      <c r="AD389" s="208"/>
      <c r="AE389" s="208"/>
      <c r="AF389" s="208"/>
      <c r="AG389" s="208"/>
      <c r="AH389" s="208"/>
      <c r="AI389" s="208"/>
      <c r="AJ389" s="208"/>
      <c r="AK389" s="208"/>
    </row>
    <row r="390">
      <c r="A390" s="208"/>
      <c r="B390" s="208"/>
      <c r="C390" s="208"/>
      <c r="D390" s="208"/>
      <c r="E390" s="208"/>
      <c r="F390" s="208"/>
      <c r="G390" s="208"/>
      <c r="H390" s="233"/>
      <c r="I390" s="234"/>
      <c r="J390" s="208"/>
      <c r="K390" s="208"/>
      <c r="L390" s="208"/>
      <c r="M390" s="208"/>
      <c r="N390" s="208"/>
      <c r="O390" s="208"/>
      <c r="P390" s="208"/>
      <c r="Q390" s="208"/>
      <c r="R390" s="208"/>
      <c r="S390" s="208"/>
      <c r="T390" s="208"/>
      <c r="U390" s="208"/>
      <c r="V390" s="208"/>
      <c r="W390" s="208"/>
      <c r="X390" s="208"/>
      <c r="Y390" s="208"/>
      <c r="Z390" s="208"/>
      <c r="AA390" s="208"/>
      <c r="AB390" s="208"/>
      <c r="AC390" s="208"/>
      <c r="AD390" s="208"/>
      <c r="AE390" s="208"/>
      <c r="AF390" s="208"/>
      <c r="AG390" s="208"/>
      <c r="AH390" s="208"/>
      <c r="AI390" s="208"/>
      <c r="AJ390" s="208"/>
      <c r="AK390" s="208"/>
    </row>
    <row r="391">
      <c r="A391" s="208"/>
      <c r="B391" s="208"/>
      <c r="C391" s="208"/>
      <c r="D391" s="208"/>
      <c r="E391" s="208"/>
      <c r="F391" s="208"/>
      <c r="G391" s="208"/>
      <c r="H391" s="233"/>
      <c r="I391" s="234"/>
      <c r="J391" s="208"/>
      <c r="K391" s="208"/>
      <c r="L391" s="208"/>
      <c r="M391" s="208"/>
      <c r="N391" s="208"/>
      <c r="O391" s="208"/>
      <c r="P391" s="208"/>
      <c r="Q391" s="208"/>
      <c r="R391" s="208"/>
      <c r="S391" s="208"/>
      <c r="T391" s="208"/>
      <c r="U391" s="208"/>
      <c r="V391" s="208"/>
      <c r="W391" s="208"/>
      <c r="X391" s="208"/>
      <c r="Y391" s="208"/>
      <c r="Z391" s="208"/>
      <c r="AA391" s="208"/>
      <c r="AB391" s="208"/>
      <c r="AC391" s="208"/>
      <c r="AD391" s="208"/>
      <c r="AE391" s="208"/>
      <c r="AF391" s="208"/>
      <c r="AG391" s="208"/>
      <c r="AH391" s="208"/>
      <c r="AI391" s="208"/>
      <c r="AJ391" s="208"/>
      <c r="AK391" s="208"/>
    </row>
    <row r="392">
      <c r="A392" s="208"/>
      <c r="B392" s="208"/>
      <c r="C392" s="208"/>
      <c r="D392" s="208"/>
      <c r="E392" s="208"/>
      <c r="F392" s="208"/>
      <c r="G392" s="208"/>
      <c r="H392" s="233"/>
      <c r="I392" s="234"/>
      <c r="J392" s="208"/>
      <c r="K392" s="208"/>
      <c r="L392" s="208"/>
      <c r="M392" s="208"/>
      <c r="N392" s="208"/>
      <c r="O392" s="208"/>
      <c r="P392" s="208"/>
      <c r="Q392" s="208"/>
      <c r="R392" s="208"/>
      <c r="S392" s="208"/>
      <c r="T392" s="208"/>
      <c r="U392" s="208"/>
      <c r="V392" s="208"/>
      <c r="W392" s="208"/>
      <c r="X392" s="208"/>
      <c r="Y392" s="208"/>
      <c r="Z392" s="208"/>
      <c r="AA392" s="208"/>
      <c r="AB392" s="208"/>
      <c r="AC392" s="208"/>
      <c r="AD392" s="208"/>
      <c r="AE392" s="208"/>
      <c r="AF392" s="208"/>
      <c r="AG392" s="208"/>
      <c r="AH392" s="208"/>
      <c r="AI392" s="208"/>
      <c r="AJ392" s="208"/>
      <c r="AK392" s="208"/>
    </row>
    <row r="393">
      <c r="A393" s="208"/>
      <c r="B393" s="208"/>
      <c r="C393" s="208"/>
      <c r="D393" s="208"/>
      <c r="E393" s="208"/>
      <c r="F393" s="208"/>
      <c r="G393" s="208"/>
      <c r="H393" s="233"/>
      <c r="I393" s="234"/>
      <c r="J393" s="208"/>
      <c r="K393" s="208"/>
      <c r="L393" s="208"/>
      <c r="M393" s="208"/>
      <c r="N393" s="208"/>
      <c r="O393" s="208"/>
      <c r="P393" s="208"/>
      <c r="Q393" s="208"/>
      <c r="R393" s="208"/>
      <c r="S393" s="208"/>
      <c r="T393" s="208"/>
      <c r="U393" s="208"/>
      <c r="V393" s="208"/>
      <c r="W393" s="208"/>
      <c r="X393" s="208"/>
      <c r="Y393" s="208"/>
      <c r="Z393" s="208"/>
      <c r="AA393" s="208"/>
      <c r="AB393" s="208"/>
      <c r="AC393" s="208"/>
      <c r="AD393" s="208"/>
      <c r="AE393" s="208"/>
      <c r="AF393" s="208"/>
      <c r="AG393" s="208"/>
      <c r="AH393" s="208"/>
      <c r="AI393" s="208"/>
      <c r="AJ393" s="208"/>
      <c r="AK393" s="208"/>
    </row>
    <row r="394">
      <c r="A394" s="208"/>
      <c r="B394" s="208"/>
      <c r="C394" s="208"/>
      <c r="D394" s="208"/>
      <c r="E394" s="208"/>
      <c r="F394" s="208"/>
      <c r="G394" s="208"/>
      <c r="H394" s="233"/>
      <c r="I394" s="234"/>
      <c r="J394" s="208"/>
      <c r="K394" s="208"/>
      <c r="L394" s="208"/>
      <c r="M394" s="208"/>
      <c r="N394" s="208"/>
      <c r="O394" s="208"/>
      <c r="P394" s="208"/>
      <c r="Q394" s="208"/>
      <c r="R394" s="208"/>
      <c r="S394" s="208"/>
      <c r="T394" s="208"/>
      <c r="U394" s="208"/>
      <c r="V394" s="208"/>
      <c r="W394" s="208"/>
      <c r="X394" s="208"/>
      <c r="Y394" s="208"/>
      <c r="Z394" s="208"/>
      <c r="AA394" s="208"/>
      <c r="AB394" s="208"/>
      <c r="AC394" s="208"/>
      <c r="AD394" s="208"/>
      <c r="AE394" s="208"/>
      <c r="AF394" s="208"/>
      <c r="AG394" s="208"/>
      <c r="AH394" s="208"/>
      <c r="AI394" s="208"/>
      <c r="AJ394" s="208"/>
      <c r="AK394" s="208"/>
    </row>
    <row r="395">
      <c r="A395" s="208"/>
      <c r="B395" s="208"/>
      <c r="C395" s="208"/>
      <c r="D395" s="208"/>
      <c r="E395" s="208"/>
      <c r="F395" s="208"/>
      <c r="G395" s="208"/>
      <c r="H395" s="233"/>
      <c r="I395" s="234"/>
      <c r="J395" s="208"/>
      <c r="K395" s="208"/>
      <c r="L395" s="208"/>
      <c r="M395" s="208"/>
      <c r="N395" s="208"/>
      <c r="O395" s="208"/>
      <c r="P395" s="208"/>
      <c r="Q395" s="208"/>
      <c r="R395" s="208"/>
      <c r="S395" s="208"/>
      <c r="T395" s="208"/>
      <c r="U395" s="208"/>
      <c r="V395" s="208"/>
      <c r="W395" s="208"/>
      <c r="X395" s="208"/>
      <c r="Y395" s="208"/>
      <c r="Z395" s="208"/>
      <c r="AA395" s="208"/>
      <c r="AB395" s="208"/>
      <c r="AC395" s="208"/>
      <c r="AD395" s="208"/>
      <c r="AE395" s="208"/>
      <c r="AF395" s="208"/>
      <c r="AG395" s="208"/>
      <c r="AH395" s="208"/>
      <c r="AI395" s="208"/>
      <c r="AJ395" s="208"/>
      <c r="AK395" s="208"/>
    </row>
    <row r="396">
      <c r="A396" s="208"/>
      <c r="B396" s="208"/>
      <c r="C396" s="208"/>
      <c r="D396" s="208"/>
      <c r="E396" s="208"/>
      <c r="F396" s="208"/>
      <c r="G396" s="208"/>
      <c r="H396" s="233"/>
      <c r="I396" s="234"/>
      <c r="J396" s="208"/>
      <c r="K396" s="208"/>
      <c r="L396" s="208"/>
      <c r="M396" s="208"/>
      <c r="N396" s="208"/>
      <c r="O396" s="208"/>
      <c r="P396" s="208"/>
      <c r="Q396" s="208"/>
      <c r="R396" s="208"/>
      <c r="S396" s="208"/>
      <c r="T396" s="208"/>
      <c r="U396" s="208"/>
      <c r="V396" s="208"/>
      <c r="W396" s="208"/>
      <c r="X396" s="208"/>
      <c r="Y396" s="208"/>
      <c r="Z396" s="208"/>
      <c r="AA396" s="208"/>
      <c r="AB396" s="208"/>
      <c r="AC396" s="208"/>
      <c r="AD396" s="208"/>
      <c r="AE396" s="208"/>
      <c r="AF396" s="208"/>
      <c r="AG396" s="208"/>
      <c r="AH396" s="208"/>
      <c r="AI396" s="208"/>
      <c r="AJ396" s="208"/>
      <c r="AK396" s="208"/>
    </row>
    <row r="397">
      <c r="A397" s="208"/>
      <c r="B397" s="208"/>
      <c r="C397" s="208"/>
      <c r="D397" s="208"/>
      <c r="E397" s="208"/>
      <c r="F397" s="208"/>
      <c r="G397" s="208"/>
      <c r="H397" s="233"/>
      <c r="I397" s="234"/>
      <c r="J397" s="208"/>
      <c r="K397" s="208"/>
      <c r="L397" s="208"/>
      <c r="M397" s="208"/>
      <c r="N397" s="208"/>
      <c r="O397" s="208"/>
      <c r="P397" s="208"/>
      <c r="Q397" s="208"/>
      <c r="R397" s="208"/>
      <c r="S397" s="208"/>
      <c r="T397" s="208"/>
      <c r="U397" s="208"/>
      <c r="V397" s="208"/>
      <c r="W397" s="208"/>
      <c r="X397" s="208"/>
      <c r="Y397" s="208"/>
      <c r="Z397" s="208"/>
      <c r="AA397" s="208"/>
      <c r="AB397" s="208"/>
      <c r="AC397" s="208"/>
      <c r="AD397" s="208"/>
      <c r="AE397" s="208"/>
      <c r="AF397" s="208"/>
      <c r="AG397" s="208"/>
      <c r="AH397" s="208"/>
      <c r="AI397" s="208"/>
      <c r="AJ397" s="208"/>
      <c r="AK397" s="208"/>
    </row>
    <row r="398">
      <c r="A398" s="208"/>
      <c r="B398" s="208"/>
      <c r="C398" s="208"/>
      <c r="D398" s="208"/>
      <c r="E398" s="208"/>
      <c r="F398" s="208"/>
      <c r="G398" s="208"/>
      <c r="H398" s="233"/>
      <c r="I398" s="234"/>
      <c r="J398" s="208"/>
      <c r="K398" s="208"/>
      <c r="L398" s="208"/>
      <c r="M398" s="208"/>
      <c r="N398" s="208"/>
      <c r="O398" s="208"/>
      <c r="P398" s="208"/>
      <c r="Q398" s="208"/>
      <c r="R398" s="208"/>
      <c r="S398" s="208"/>
      <c r="T398" s="208"/>
      <c r="U398" s="208"/>
      <c r="V398" s="208"/>
      <c r="W398" s="208"/>
      <c r="X398" s="208"/>
      <c r="Y398" s="208"/>
      <c r="Z398" s="208"/>
      <c r="AA398" s="208"/>
      <c r="AB398" s="208"/>
      <c r="AC398" s="208"/>
      <c r="AD398" s="208"/>
      <c r="AE398" s="208"/>
      <c r="AF398" s="208"/>
      <c r="AG398" s="208"/>
      <c r="AH398" s="208"/>
      <c r="AI398" s="208"/>
      <c r="AJ398" s="208"/>
      <c r="AK398" s="208"/>
    </row>
    <row r="399">
      <c r="A399" s="208"/>
      <c r="B399" s="208"/>
      <c r="C399" s="208"/>
      <c r="D399" s="208"/>
      <c r="E399" s="208"/>
      <c r="F399" s="208"/>
      <c r="G399" s="208"/>
      <c r="H399" s="233"/>
      <c r="I399" s="234"/>
      <c r="J399" s="208"/>
      <c r="K399" s="208"/>
      <c r="L399" s="208"/>
      <c r="M399" s="208"/>
      <c r="N399" s="208"/>
      <c r="O399" s="208"/>
      <c r="P399" s="208"/>
      <c r="Q399" s="208"/>
      <c r="R399" s="208"/>
      <c r="S399" s="208"/>
      <c r="T399" s="208"/>
      <c r="U399" s="208"/>
      <c r="V399" s="208"/>
      <c r="W399" s="208"/>
      <c r="X399" s="208"/>
      <c r="Y399" s="208"/>
      <c r="Z399" s="208"/>
      <c r="AA399" s="208"/>
      <c r="AB399" s="208"/>
      <c r="AC399" s="208"/>
      <c r="AD399" s="208"/>
      <c r="AE399" s="208"/>
      <c r="AF399" s="208"/>
      <c r="AG399" s="208"/>
      <c r="AH399" s="208"/>
      <c r="AI399" s="208"/>
      <c r="AJ399" s="208"/>
      <c r="AK399" s="208"/>
    </row>
    <row r="400">
      <c r="A400" s="208"/>
      <c r="B400" s="208"/>
      <c r="C400" s="208"/>
      <c r="D400" s="208"/>
      <c r="E400" s="208"/>
      <c r="F400" s="208"/>
      <c r="G400" s="208"/>
      <c r="H400" s="233"/>
      <c r="I400" s="234"/>
      <c r="J400" s="208"/>
      <c r="K400" s="208"/>
      <c r="L400" s="208"/>
      <c r="M400" s="208"/>
      <c r="N400" s="208"/>
      <c r="O400" s="208"/>
      <c r="P400" s="208"/>
      <c r="Q400" s="208"/>
      <c r="R400" s="208"/>
      <c r="S400" s="208"/>
      <c r="T400" s="208"/>
      <c r="U400" s="208"/>
      <c r="V400" s="208"/>
      <c r="W400" s="208"/>
      <c r="X400" s="208"/>
      <c r="Y400" s="208"/>
      <c r="Z400" s="208"/>
      <c r="AA400" s="208"/>
      <c r="AB400" s="208"/>
      <c r="AC400" s="208"/>
      <c r="AD400" s="208"/>
      <c r="AE400" s="208"/>
      <c r="AF400" s="208"/>
      <c r="AG400" s="208"/>
      <c r="AH400" s="208"/>
      <c r="AI400" s="208"/>
      <c r="AJ400" s="208"/>
      <c r="AK400" s="208"/>
    </row>
    <row r="401">
      <c r="A401" s="208"/>
      <c r="B401" s="208"/>
      <c r="C401" s="208"/>
      <c r="D401" s="208"/>
      <c r="E401" s="208"/>
      <c r="F401" s="208"/>
      <c r="G401" s="208"/>
      <c r="H401" s="233"/>
      <c r="I401" s="234"/>
      <c r="J401" s="208"/>
      <c r="K401" s="208"/>
      <c r="L401" s="208"/>
      <c r="M401" s="208"/>
      <c r="N401" s="208"/>
      <c r="O401" s="208"/>
      <c r="P401" s="208"/>
      <c r="Q401" s="208"/>
      <c r="R401" s="208"/>
      <c r="S401" s="208"/>
      <c r="T401" s="208"/>
      <c r="U401" s="208"/>
      <c r="V401" s="208"/>
      <c r="W401" s="208"/>
      <c r="X401" s="208"/>
      <c r="Y401" s="208"/>
      <c r="Z401" s="208"/>
      <c r="AA401" s="208"/>
      <c r="AB401" s="208"/>
      <c r="AC401" s="208"/>
      <c r="AD401" s="208"/>
      <c r="AE401" s="208"/>
      <c r="AF401" s="208"/>
      <c r="AG401" s="208"/>
      <c r="AH401" s="208"/>
      <c r="AI401" s="208"/>
      <c r="AJ401" s="208"/>
      <c r="AK401" s="208"/>
    </row>
    <row r="402">
      <c r="A402" s="208"/>
      <c r="B402" s="208"/>
      <c r="C402" s="208"/>
      <c r="D402" s="208"/>
      <c r="E402" s="208"/>
      <c r="F402" s="208"/>
      <c r="G402" s="208"/>
      <c r="H402" s="233"/>
      <c r="I402" s="234"/>
      <c r="J402" s="208"/>
      <c r="K402" s="208"/>
      <c r="L402" s="208"/>
      <c r="M402" s="208"/>
      <c r="N402" s="208"/>
      <c r="O402" s="208"/>
      <c r="P402" s="208"/>
      <c r="Q402" s="208"/>
      <c r="R402" s="208"/>
      <c r="S402" s="208"/>
      <c r="T402" s="208"/>
      <c r="U402" s="208"/>
      <c r="V402" s="208"/>
      <c r="W402" s="208"/>
      <c r="X402" s="208"/>
      <c r="Y402" s="208"/>
      <c r="Z402" s="208"/>
      <c r="AA402" s="208"/>
      <c r="AB402" s="208"/>
      <c r="AC402" s="208"/>
      <c r="AD402" s="208"/>
      <c r="AE402" s="208"/>
      <c r="AF402" s="208"/>
      <c r="AG402" s="208"/>
      <c r="AH402" s="208"/>
      <c r="AI402" s="208"/>
      <c r="AJ402" s="208"/>
      <c r="AK402" s="208"/>
    </row>
    <row r="403">
      <c r="A403" s="208"/>
      <c r="B403" s="208"/>
      <c r="C403" s="208"/>
      <c r="D403" s="208"/>
      <c r="E403" s="208"/>
      <c r="F403" s="208"/>
      <c r="G403" s="208"/>
      <c r="H403" s="233"/>
      <c r="I403" s="234"/>
      <c r="J403" s="208"/>
      <c r="K403" s="208"/>
      <c r="L403" s="208"/>
      <c r="M403" s="208"/>
      <c r="N403" s="208"/>
      <c r="O403" s="208"/>
      <c r="P403" s="208"/>
      <c r="Q403" s="208"/>
      <c r="R403" s="208"/>
      <c r="S403" s="208"/>
      <c r="T403" s="208"/>
      <c r="U403" s="208"/>
      <c r="V403" s="208"/>
      <c r="W403" s="208"/>
      <c r="X403" s="208"/>
      <c r="Y403" s="208"/>
      <c r="Z403" s="208"/>
      <c r="AA403" s="208"/>
      <c r="AB403" s="208"/>
      <c r="AC403" s="208"/>
      <c r="AD403" s="208"/>
      <c r="AE403" s="208"/>
      <c r="AF403" s="208"/>
      <c r="AG403" s="208"/>
      <c r="AH403" s="208"/>
      <c r="AI403" s="208"/>
      <c r="AJ403" s="208"/>
      <c r="AK403" s="208"/>
    </row>
    <row r="404">
      <c r="A404" s="208"/>
      <c r="B404" s="208"/>
      <c r="C404" s="208"/>
      <c r="D404" s="208"/>
      <c r="E404" s="208"/>
      <c r="F404" s="208"/>
      <c r="G404" s="208"/>
      <c r="H404" s="233"/>
      <c r="I404" s="234"/>
      <c r="J404" s="208"/>
      <c r="K404" s="208"/>
      <c r="L404" s="208"/>
      <c r="M404" s="208"/>
      <c r="N404" s="208"/>
      <c r="O404" s="208"/>
      <c r="P404" s="208"/>
      <c r="Q404" s="208"/>
      <c r="R404" s="208"/>
      <c r="S404" s="208"/>
      <c r="T404" s="208"/>
      <c r="U404" s="208"/>
      <c r="V404" s="208"/>
      <c r="W404" s="208"/>
      <c r="X404" s="208"/>
      <c r="Y404" s="208"/>
      <c r="Z404" s="208"/>
      <c r="AA404" s="208"/>
      <c r="AB404" s="208"/>
      <c r="AC404" s="208"/>
      <c r="AD404" s="208"/>
      <c r="AE404" s="208"/>
      <c r="AF404" s="208"/>
      <c r="AG404" s="208"/>
      <c r="AH404" s="208"/>
      <c r="AI404" s="208"/>
      <c r="AJ404" s="208"/>
      <c r="AK404" s="208"/>
    </row>
    <row r="405">
      <c r="A405" s="208"/>
      <c r="B405" s="208"/>
      <c r="C405" s="208"/>
      <c r="D405" s="208"/>
      <c r="E405" s="208"/>
      <c r="F405" s="208"/>
      <c r="G405" s="208"/>
      <c r="H405" s="233"/>
      <c r="I405" s="234"/>
      <c r="J405" s="208"/>
      <c r="K405" s="208"/>
      <c r="L405" s="208"/>
      <c r="M405" s="208"/>
      <c r="N405" s="208"/>
      <c r="O405" s="208"/>
      <c r="P405" s="208"/>
      <c r="Q405" s="208"/>
      <c r="R405" s="208"/>
      <c r="S405" s="208"/>
      <c r="T405" s="208"/>
      <c r="U405" s="208"/>
      <c r="V405" s="208"/>
      <c r="W405" s="208"/>
      <c r="X405" s="208"/>
      <c r="Y405" s="208"/>
      <c r="Z405" s="208"/>
      <c r="AA405" s="208"/>
      <c r="AB405" s="208"/>
      <c r="AC405" s="208"/>
      <c r="AD405" s="208"/>
      <c r="AE405" s="208"/>
      <c r="AF405" s="208"/>
      <c r="AG405" s="208"/>
      <c r="AH405" s="208"/>
      <c r="AI405" s="208"/>
      <c r="AJ405" s="208"/>
      <c r="AK405" s="208"/>
    </row>
    <row r="406">
      <c r="A406" s="208"/>
      <c r="B406" s="208"/>
      <c r="C406" s="208"/>
      <c r="D406" s="208"/>
      <c r="E406" s="208"/>
      <c r="F406" s="208"/>
      <c r="G406" s="208"/>
      <c r="H406" s="233"/>
      <c r="I406" s="234"/>
      <c r="J406" s="208"/>
      <c r="K406" s="208"/>
      <c r="L406" s="208"/>
      <c r="M406" s="208"/>
      <c r="N406" s="208"/>
      <c r="O406" s="208"/>
      <c r="P406" s="208"/>
      <c r="Q406" s="208"/>
      <c r="R406" s="208"/>
      <c r="S406" s="208"/>
      <c r="T406" s="208"/>
      <c r="U406" s="208"/>
      <c r="V406" s="208"/>
      <c r="W406" s="208"/>
      <c r="X406" s="208"/>
      <c r="Y406" s="208"/>
      <c r="Z406" s="208"/>
      <c r="AA406" s="208"/>
      <c r="AB406" s="208"/>
      <c r="AC406" s="208"/>
      <c r="AD406" s="208"/>
      <c r="AE406" s="208"/>
      <c r="AF406" s="208"/>
      <c r="AG406" s="208"/>
      <c r="AH406" s="208"/>
      <c r="AI406" s="208"/>
      <c r="AJ406" s="208"/>
      <c r="AK406" s="208"/>
    </row>
    <row r="407">
      <c r="A407" s="208"/>
      <c r="B407" s="208"/>
      <c r="C407" s="208"/>
      <c r="D407" s="208"/>
      <c r="E407" s="208"/>
      <c r="F407" s="208"/>
      <c r="G407" s="208"/>
      <c r="H407" s="233"/>
      <c r="I407" s="234"/>
      <c r="J407" s="208"/>
      <c r="K407" s="208"/>
      <c r="L407" s="208"/>
      <c r="M407" s="208"/>
      <c r="N407" s="208"/>
      <c r="O407" s="208"/>
      <c r="P407" s="208"/>
      <c r="Q407" s="208"/>
      <c r="R407" s="208"/>
      <c r="S407" s="208"/>
      <c r="T407" s="208"/>
      <c r="U407" s="208"/>
      <c r="V407" s="208"/>
      <c r="W407" s="208"/>
      <c r="X407" s="208"/>
      <c r="Y407" s="208"/>
      <c r="Z407" s="208"/>
      <c r="AA407" s="208"/>
      <c r="AB407" s="208"/>
      <c r="AC407" s="208"/>
      <c r="AD407" s="208"/>
      <c r="AE407" s="208"/>
      <c r="AF407" s="208"/>
      <c r="AG407" s="208"/>
      <c r="AH407" s="208"/>
      <c r="AI407" s="208"/>
      <c r="AJ407" s="208"/>
      <c r="AK407" s="208"/>
    </row>
    <row r="408">
      <c r="A408" s="208"/>
      <c r="B408" s="208"/>
      <c r="C408" s="208"/>
      <c r="D408" s="208"/>
      <c r="E408" s="208"/>
      <c r="F408" s="208"/>
      <c r="G408" s="208"/>
      <c r="H408" s="233"/>
      <c r="I408" s="234"/>
      <c r="J408" s="208"/>
      <c r="K408" s="208"/>
      <c r="L408" s="208"/>
      <c r="M408" s="208"/>
      <c r="N408" s="208"/>
      <c r="O408" s="208"/>
      <c r="P408" s="208"/>
      <c r="Q408" s="208"/>
      <c r="R408" s="208"/>
      <c r="S408" s="208"/>
      <c r="T408" s="208"/>
      <c r="U408" s="208"/>
      <c r="V408" s="208"/>
      <c r="W408" s="208"/>
      <c r="X408" s="208"/>
      <c r="Y408" s="208"/>
      <c r="Z408" s="208"/>
      <c r="AA408" s="208"/>
      <c r="AB408" s="208"/>
      <c r="AC408" s="208"/>
      <c r="AD408" s="208"/>
      <c r="AE408" s="208"/>
      <c r="AF408" s="208"/>
      <c r="AG408" s="208"/>
      <c r="AH408" s="208"/>
      <c r="AI408" s="208"/>
      <c r="AJ408" s="208"/>
      <c r="AK408" s="208"/>
    </row>
    <row r="409">
      <c r="A409" s="208"/>
      <c r="B409" s="208"/>
      <c r="C409" s="208"/>
      <c r="D409" s="208"/>
      <c r="E409" s="208"/>
      <c r="F409" s="208"/>
      <c r="G409" s="208"/>
      <c r="H409" s="233"/>
      <c r="I409" s="234"/>
      <c r="J409" s="208"/>
      <c r="K409" s="208"/>
      <c r="L409" s="208"/>
      <c r="M409" s="208"/>
      <c r="N409" s="208"/>
      <c r="O409" s="208"/>
      <c r="P409" s="208"/>
      <c r="Q409" s="208"/>
      <c r="R409" s="208"/>
      <c r="S409" s="208"/>
      <c r="T409" s="208"/>
      <c r="U409" s="208"/>
      <c r="V409" s="208"/>
      <c r="W409" s="208"/>
      <c r="X409" s="208"/>
      <c r="Y409" s="208"/>
      <c r="Z409" s="208"/>
      <c r="AA409" s="208"/>
      <c r="AB409" s="208"/>
      <c r="AC409" s="208"/>
      <c r="AD409" s="208"/>
      <c r="AE409" s="208"/>
      <c r="AF409" s="208"/>
      <c r="AG409" s="208"/>
      <c r="AH409" s="208"/>
      <c r="AI409" s="208"/>
      <c r="AJ409" s="208"/>
      <c r="AK409" s="208"/>
    </row>
    <row r="410">
      <c r="A410" s="208"/>
      <c r="B410" s="208"/>
      <c r="C410" s="208"/>
      <c r="D410" s="208"/>
      <c r="E410" s="208"/>
      <c r="F410" s="208"/>
      <c r="G410" s="208"/>
      <c r="H410" s="233"/>
      <c r="I410" s="234"/>
      <c r="J410" s="208"/>
      <c r="K410" s="208"/>
      <c r="L410" s="208"/>
      <c r="M410" s="208"/>
      <c r="N410" s="208"/>
      <c r="O410" s="208"/>
      <c r="P410" s="208"/>
      <c r="Q410" s="208"/>
      <c r="R410" s="208"/>
      <c r="S410" s="208"/>
      <c r="T410" s="208"/>
      <c r="U410" s="208"/>
      <c r="V410" s="208"/>
      <c r="W410" s="208"/>
      <c r="X410" s="208"/>
      <c r="Y410" s="208"/>
      <c r="Z410" s="208"/>
      <c r="AA410" s="208"/>
      <c r="AB410" s="208"/>
      <c r="AC410" s="208"/>
      <c r="AD410" s="208"/>
      <c r="AE410" s="208"/>
      <c r="AF410" s="208"/>
      <c r="AG410" s="208"/>
      <c r="AH410" s="208"/>
      <c r="AI410" s="208"/>
      <c r="AJ410" s="208"/>
      <c r="AK410" s="208"/>
    </row>
    <row r="411">
      <c r="A411" s="208"/>
      <c r="B411" s="208"/>
      <c r="C411" s="208"/>
      <c r="D411" s="208"/>
      <c r="E411" s="208"/>
      <c r="F411" s="208"/>
      <c r="G411" s="208"/>
      <c r="H411" s="233"/>
      <c r="I411" s="234"/>
      <c r="J411" s="208"/>
      <c r="K411" s="208"/>
      <c r="L411" s="208"/>
      <c r="M411" s="208"/>
      <c r="N411" s="208"/>
      <c r="O411" s="208"/>
      <c r="P411" s="208"/>
      <c r="Q411" s="208"/>
      <c r="R411" s="208"/>
      <c r="S411" s="208"/>
      <c r="T411" s="208"/>
      <c r="U411" s="208"/>
      <c r="V411" s="208"/>
      <c r="W411" s="208"/>
      <c r="X411" s="208"/>
      <c r="Y411" s="208"/>
      <c r="Z411" s="208"/>
      <c r="AA411" s="208"/>
      <c r="AB411" s="208"/>
      <c r="AC411" s="208"/>
      <c r="AD411" s="208"/>
      <c r="AE411" s="208"/>
      <c r="AF411" s="208"/>
      <c r="AG411" s="208"/>
      <c r="AH411" s="208"/>
      <c r="AI411" s="208"/>
      <c r="AJ411" s="208"/>
      <c r="AK411" s="208"/>
    </row>
    <row r="412">
      <c r="A412" s="208"/>
      <c r="B412" s="208"/>
      <c r="C412" s="208"/>
      <c r="D412" s="208"/>
      <c r="E412" s="208"/>
      <c r="F412" s="208"/>
      <c r="G412" s="208"/>
      <c r="H412" s="233"/>
      <c r="I412" s="234"/>
      <c r="J412" s="208"/>
      <c r="K412" s="208"/>
      <c r="L412" s="208"/>
      <c r="M412" s="208"/>
      <c r="N412" s="208"/>
      <c r="O412" s="208"/>
      <c r="P412" s="208"/>
      <c r="Q412" s="208"/>
      <c r="R412" s="208"/>
      <c r="S412" s="208"/>
      <c r="T412" s="208"/>
      <c r="U412" s="208"/>
      <c r="V412" s="208"/>
      <c r="W412" s="208"/>
      <c r="X412" s="208"/>
      <c r="Y412" s="208"/>
      <c r="Z412" s="208"/>
      <c r="AA412" s="208"/>
      <c r="AB412" s="208"/>
      <c r="AC412" s="208"/>
      <c r="AD412" s="208"/>
      <c r="AE412" s="208"/>
      <c r="AF412" s="208"/>
      <c r="AG412" s="208"/>
      <c r="AH412" s="208"/>
      <c r="AI412" s="208"/>
      <c r="AJ412" s="208"/>
      <c r="AK412" s="208"/>
    </row>
    <row r="413">
      <c r="A413" s="208"/>
      <c r="B413" s="208"/>
      <c r="C413" s="208"/>
      <c r="D413" s="208"/>
      <c r="E413" s="208"/>
      <c r="F413" s="208"/>
      <c r="G413" s="208"/>
      <c r="H413" s="233"/>
      <c r="I413" s="234"/>
      <c r="J413" s="208"/>
      <c r="K413" s="208"/>
      <c r="L413" s="208"/>
      <c r="M413" s="208"/>
      <c r="N413" s="208"/>
      <c r="O413" s="208"/>
      <c r="P413" s="208"/>
      <c r="Q413" s="208"/>
      <c r="R413" s="208"/>
      <c r="S413" s="208"/>
      <c r="T413" s="208"/>
      <c r="U413" s="208"/>
      <c r="V413" s="208"/>
      <c r="W413" s="208"/>
      <c r="X413" s="208"/>
      <c r="Y413" s="208"/>
      <c r="Z413" s="208"/>
      <c r="AA413" s="208"/>
      <c r="AB413" s="208"/>
      <c r="AC413" s="208"/>
      <c r="AD413" s="208"/>
      <c r="AE413" s="208"/>
      <c r="AF413" s="208"/>
      <c r="AG413" s="208"/>
      <c r="AH413" s="208"/>
      <c r="AI413" s="208"/>
      <c r="AJ413" s="208"/>
      <c r="AK413" s="208"/>
    </row>
    <row r="414">
      <c r="A414" s="208"/>
      <c r="B414" s="208"/>
      <c r="C414" s="208"/>
      <c r="D414" s="208"/>
      <c r="E414" s="208"/>
      <c r="F414" s="208"/>
      <c r="G414" s="208"/>
      <c r="H414" s="233"/>
      <c r="I414" s="234"/>
      <c r="J414" s="208"/>
      <c r="K414" s="208"/>
      <c r="L414" s="208"/>
      <c r="M414" s="208"/>
      <c r="N414" s="208"/>
      <c r="O414" s="208"/>
      <c r="P414" s="208"/>
      <c r="Q414" s="208"/>
      <c r="R414" s="208"/>
      <c r="S414" s="208"/>
      <c r="T414" s="208"/>
      <c r="U414" s="208"/>
      <c r="V414" s="208"/>
      <c r="W414" s="208"/>
      <c r="X414" s="208"/>
      <c r="Y414" s="208"/>
      <c r="Z414" s="208"/>
      <c r="AA414" s="208"/>
      <c r="AB414" s="208"/>
      <c r="AC414" s="208"/>
      <c r="AD414" s="208"/>
      <c r="AE414" s="208"/>
      <c r="AF414" s="208"/>
      <c r="AG414" s="208"/>
      <c r="AH414" s="208"/>
      <c r="AI414" s="208"/>
      <c r="AJ414" s="208"/>
      <c r="AK414" s="208"/>
    </row>
    <row r="415">
      <c r="A415" s="208"/>
      <c r="B415" s="208"/>
      <c r="C415" s="208"/>
      <c r="D415" s="208"/>
      <c r="E415" s="208"/>
      <c r="F415" s="208"/>
      <c r="G415" s="208"/>
      <c r="H415" s="233"/>
      <c r="I415" s="234"/>
      <c r="J415" s="208"/>
      <c r="K415" s="208"/>
      <c r="L415" s="208"/>
      <c r="M415" s="208"/>
      <c r="N415" s="208"/>
      <c r="O415" s="208"/>
      <c r="P415" s="208"/>
      <c r="Q415" s="208"/>
      <c r="R415" s="208"/>
      <c r="S415" s="208"/>
      <c r="T415" s="208"/>
      <c r="U415" s="208"/>
      <c r="V415" s="208"/>
      <c r="W415" s="208"/>
      <c r="X415" s="208"/>
      <c r="Y415" s="208"/>
      <c r="Z415" s="208"/>
      <c r="AA415" s="208"/>
      <c r="AB415" s="208"/>
      <c r="AC415" s="208"/>
      <c r="AD415" s="208"/>
      <c r="AE415" s="208"/>
      <c r="AF415" s="208"/>
      <c r="AG415" s="208"/>
      <c r="AH415" s="208"/>
      <c r="AI415" s="208"/>
      <c r="AJ415" s="208"/>
      <c r="AK415" s="208"/>
    </row>
    <row r="416">
      <c r="A416" s="208"/>
      <c r="B416" s="208"/>
      <c r="C416" s="208"/>
      <c r="D416" s="208"/>
      <c r="E416" s="208"/>
      <c r="F416" s="208"/>
      <c r="G416" s="208"/>
      <c r="H416" s="233"/>
      <c r="I416" s="234"/>
      <c r="J416" s="208"/>
      <c r="K416" s="208"/>
      <c r="L416" s="208"/>
      <c r="M416" s="208"/>
      <c r="N416" s="208"/>
      <c r="O416" s="208"/>
      <c r="P416" s="208"/>
      <c r="Q416" s="208"/>
      <c r="R416" s="208"/>
      <c r="S416" s="208"/>
      <c r="T416" s="208"/>
      <c r="U416" s="208"/>
      <c r="V416" s="208"/>
      <c r="W416" s="208"/>
      <c r="X416" s="208"/>
      <c r="Y416" s="208"/>
      <c r="Z416" s="208"/>
      <c r="AA416" s="208"/>
      <c r="AB416" s="208"/>
      <c r="AC416" s="208"/>
      <c r="AD416" s="208"/>
      <c r="AE416" s="208"/>
      <c r="AF416" s="208"/>
      <c r="AG416" s="208"/>
      <c r="AH416" s="208"/>
      <c r="AI416" s="208"/>
      <c r="AJ416" s="208"/>
      <c r="AK416" s="208"/>
    </row>
    <row r="417">
      <c r="A417" s="208"/>
      <c r="B417" s="208"/>
      <c r="C417" s="208"/>
      <c r="D417" s="208"/>
      <c r="E417" s="208"/>
      <c r="F417" s="208"/>
      <c r="G417" s="208"/>
      <c r="H417" s="233"/>
      <c r="I417" s="234"/>
      <c r="J417" s="208"/>
      <c r="K417" s="208"/>
      <c r="L417" s="208"/>
      <c r="M417" s="208"/>
      <c r="N417" s="208"/>
      <c r="O417" s="208"/>
      <c r="P417" s="208"/>
      <c r="Q417" s="208"/>
      <c r="R417" s="208"/>
      <c r="S417" s="208"/>
      <c r="T417" s="208"/>
      <c r="U417" s="208"/>
      <c r="V417" s="208"/>
      <c r="W417" s="208"/>
      <c r="X417" s="208"/>
      <c r="Y417" s="208"/>
      <c r="Z417" s="208"/>
      <c r="AA417" s="208"/>
      <c r="AB417" s="208"/>
      <c r="AC417" s="208"/>
      <c r="AD417" s="208"/>
      <c r="AE417" s="208"/>
      <c r="AF417" s="208"/>
      <c r="AG417" s="208"/>
      <c r="AH417" s="208"/>
      <c r="AI417" s="208"/>
      <c r="AJ417" s="208"/>
      <c r="AK417" s="208"/>
    </row>
    <row r="418">
      <c r="A418" s="208"/>
      <c r="B418" s="208"/>
      <c r="C418" s="208"/>
      <c r="D418" s="208"/>
      <c r="E418" s="208"/>
      <c r="F418" s="208"/>
      <c r="G418" s="208"/>
      <c r="H418" s="233"/>
      <c r="I418" s="234"/>
      <c r="J418" s="208"/>
      <c r="K418" s="208"/>
      <c r="L418" s="208"/>
      <c r="M418" s="208"/>
      <c r="N418" s="208"/>
      <c r="O418" s="208"/>
      <c r="P418" s="208"/>
      <c r="Q418" s="208"/>
      <c r="R418" s="208"/>
      <c r="S418" s="208"/>
      <c r="T418" s="208"/>
      <c r="U418" s="208"/>
      <c r="V418" s="208"/>
      <c r="W418" s="208"/>
      <c r="X418" s="208"/>
      <c r="Y418" s="208"/>
      <c r="Z418" s="208"/>
      <c r="AA418" s="208"/>
      <c r="AB418" s="208"/>
      <c r="AC418" s="208"/>
      <c r="AD418" s="208"/>
      <c r="AE418" s="208"/>
      <c r="AF418" s="208"/>
      <c r="AG418" s="208"/>
      <c r="AH418" s="208"/>
      <c r="AI418" s="208"/>
      <c r="AJ418" s="208"/>
      <c r="AK418" s="208"/>
    </row>
    <row r="419">
      <c r="A419" s="208"/>
      <c r="B419" s="208"/>
      <c r="C419" s="208"/>
      <c r="D419" s="208"/>
      <c r="E419" s="208"/>
      <c r="F419" s="208"/>
      <c r="G419" s="208"/>
      <c r="H419" s="233"/>
      <c r="I419" s="234"/>
      <c r="J419" s="208"/>
      <c r="K419" s="208"/>
      <c r="L419" s="208"/>
      <c r="M419" s="208"/>
      <c r="N419" s="208"/>
      <c r="O419" s="208"/>
      <c r="P419" s="208"/>
      <c r="Q419" s="208"/>
      <c r="R419" s="208"/>
      <c r="S419" s="208"/>
      <c r="T419" s="208"/>
      <c r="U419" s="208"/>
      <c r="V419" s="208"/>
      <c r="W419" s="208"/>
      <c r="X419" s="208"/>
      <c r="Y419" s="208"/>
      <c r="Z419" s="208"/>
      <c r="AA419" s="208"/>
      <c r="AB419" s="208"/>
      <c r="AC419" s="208"/>
      <c r="AD419" s="208"/>
      <c r="AE419" s="208"/>
      <c r="AF419" s="208"/>
      <c r="AG419" s="208"/>
      <c r="AH419" s="208"/>
      <c r="AI419" s="208"/>
      <c r="AJ419" s="208"/>
      <c r="AK419" s="208"/>
    </row>
    <row r="420">
      <c r="A420" s="208"/>
      <c r="B420" s="208"/>
      <c r="C420" s="208"/>
      <c r="D420" s="208"/>
      <c r="E420" s="208"/>
      <c r="F420" s="208"/>
      <c r="G420" s="208"/>
      <c r="H420" s="233"/>
      <c r="I420" s="234"/>
      <c r="J420" s="208"/>
      <c r="K420" s="208"/>
      <c r="L420" s="208"/>
      <c r="M420" s="208"/>
      <c r="N420" s="208"/>
      <c r="O420" s="208"/>
      <c r="P420" s="208"/>
      <c r="Q420" s="208"/>
      <c r="R420" s="208"/>
      <c r="S420" s="208"/>
      <c r="T420" s="208"/>
      <c r="U420" s="208"/>
      <c r="V420" s="208"/>
      <c r="W420" s="208"/>
      <c r="X420" s="208"/>
      <c r="Y420" s="208"/>
      <c r="Z420" s="208"/>
      <c r="AA420" s="208"/>
      <c r="AB420" s="208"/>
      <c r="AC420" s="208"/>
      <c r="AD420" s="208"/>
      <c r="AE420" s="208"/>
      <c r="AF420" s="208"/>
      <c r="AG420" s="208"/>
      <c r="AH420" s="208"/>
      <c r="AI420" s="208"/>
      <c r="AJ420" s="208"/>
      <c r="AK420" s="208"/>
    </row>
    <row r="421">
      <c r="A421" s="208"/>
      <c r="B421" s="208"/>
      <c r="C421" s="208"/>
      <c r="D421" s="208"/>
      <c r="E421" s="208"/>
      <c r="F421" s="208"/>
      <c r="G421" s="208"/>
      <c r="H421" s="233"/>
      <c r="I421" s="234"/>
      <c r="J421" s="208"/>
      <c r="K421" s="208"/>
      <c r="L421" s="208"/>
      <c r="M421" s="208"/>
      <c r="N421" s="208"/>
      <c r="O421" s="208"/>
      <c r="P421" s="208"/>
      <c r="Q421" s="208"/>
      <c r="R421" s="208"/>
      <c r="S421" s="208"/>
      <c r="T421" s="208"/>
      <c r="U421" s="208"/>
      <c r="V421" s="208"/>
      <c r="W421" s="208"/>
      <c r="X421" s="208"/>
      <c r="Y421" s="208"/>
      <c r="Z421" s="208"/>
      <c r="AA421" s="208"/>
      <c r="AB421" s="208"/>
      <c r="AC421" s="208"/>
      <c r="AD421" s="208"/>
      <c r="AE421" s="208"/>
      <c r="AF421" s="208"/>
      <c r="AG421" s="208"/>
      <c r="AH421" s="208"/>
      <c r="AI421" s="208"/>
      <c r="AJ421" s="208"/>
      <c r="AK421" s="208"/>
    </row>
    <row r="422">
      <c r="A422" s="208"/>
      <c r="B422" s="208"/>
      <c r="C422" s="208"/>
      <c r="D422" s="208"/>
      <c r="E422" s="208"/>
      <c r="F422" s="208"/>
      <c r="G422" s="208"/>
      <c r="H422" s="233"/>
      <c r="I422" s="234"/>
      <c r="J422" s="208"/>
      <c r="K422" s="208"/>
      <c r="L422" s="208"/>
      <c r="M422" s="208"/>
      <c r="N422" s="208"/>
      <c r="O422" s="208"/>
      <c r="P422" s="208"/>
      <c r="Q422" s="208"/>
      <c r="R422" s="208"/>
      <c r="S422" s="208"/>
      <c r="T422" s="208"/>
      <c r="U422" s="208"/>
      <c r="V422" s="208"/>
      <c r="W422" s="208"/>
      <c r="X422" s="208"/>
      <c r="Y422" s="208"/>
      <c r="Z422" s="208"/>
      <c r="AA422" s="208"/>
      <c r="AB422" s="208"/>
      <c r="AC422" s="208"/>
      <c r="AD422" s="208"/>
      <c r="AE422" s="208"/>
      <c r="AF422" s="208"/>
      <c r="AG422" s="208"/>
      <c r="AH422" s="208"/>
      <c r="AI422" s="208"/>
      <c r="AJ422" s="208"/>
      <c r="AK422" s="208"/>
    </row>
    <row r="423">
      <c r="A423" s="208"/>
      <c r="B423" s="208"/>
      <c r="C423" s="208"/>
      <c r="D423" s="208"/>
      <c r="E423" s="208"/>
      <c r="F423" s="208"/>
      <c r="G423" s="208"/>
      <c r="H423" s="233"/>
      <c r="I423" s="234"/>
      <c r="J423" s="208"/>
      <c r="K423" s="208"/>
      <c r="L423" s="208"/>
      <c r="M423" s="208"/>
      <c r="N423" s="208"/>
      <c r="O423" s="208"/>
      <c r="P423" s="208"/>
      <c r="Q423" s="208"/>
      <c r="R423" s="208"/>
      <c r="S423" s="208"/>
      <c r="T423" s="208"/>
      <c r="U423" s="208"/>
      <c r="V423" s="208"/>
      <c r="W423" s="208"/>
      <c r="X423" s="208"/>
      <c r="Y423" s="208"/>
      <c r="Z423" s="208"/>
      <c r="AA423" s="208"/>
      <c r="AB423" s="208"/>
      <c r="AC423" s="208"/>
      <c r="AD423" s="208"/>
      <c r="AE423" s="208"/>
      <c r="AF423" s="208"/>
      <c r="AG423" s="208"/>
      <c r="AH423" s="208"/>
      <c r="AI423" s="208"/>
      <c r="AJ423" s="208"/>
      <c r="AK423" s="208"/>
    </row>
    <row r="424">
      <c r="A424" s="208"/>
      <c r="B424" s="208"/>
      <c r="C424" s="208"/>
      <c r="D424" s="208"/>
      <c r="E424" s="208"/>
      <c r="F424" s="208"/>
      <c r="G424" s="208"/>
      <c r="H424" s="233"/>
      <c r="I424" s="234"/>
      <c r="J424" s="208"/>
      <c r="K424" s="208"/>
      <c r="L424" s="208"/>
      <c r="M424" s="208"/>
      <c r="N424" s="208"/>
      <c r="O424" s="208"/>
      <c r="P424" s="208"/>
      <c r="Q424" s="208"/>
      <c r="R424" s="208"/>
      <c r="S424" s="208"/>
      <c r="T424" s="208"/>
      <c r="U424" s="208"/>
      <c r="V424" s="208"/>
      <c r="W424" s="208"/>
      <c r="X424" s="208"/>
      <c r="Y424" s="208"/>
      <c r="Z424" s="208"/>
      <c r="AA424" s="208"/>
      <c r="AB424" s="208"/>
      <c r="AC424" s="208"/>
      <c r="AD424" s="208"/>
      <c r="AE424" s="208"/>
      <c r="AF424" s="208"/>
      <c r="AG424" s="208"/>
      <c r="AH424" s="208"/>
      <c r="AI424" s="208"/>
      <c r="AJ424" s="208"/>
      <c r="AK424" s="208"/>
    </row>
    <row r="425">
      <c r="A425" s="208"/>
      <c r="B425" s="208"/>
      <c r="C425" s="208"/>
      <c r="D425" s="208"/>
      <c r="E425" s="208"/>
      <c r="F425" s="208"/>
      <c r="G425" s="208"/>
      <c r="H425" s="233"/>
      <c r="I425" s="234"/>
      <c r="J425" s="208"/>
      <c r="K425" s="208"/>
      <c r="L425" s="208"/>
      <c r="M425" s="208"/>
      <c r="N425" s="208"/>
      <c r="O425" s="208"/>
      <c r="P425" s="208"/>
      <c r="Q425" s="208"/>
      <c r="R425" s="208"/>
      <c r="S425" s="208"/>
      <c r="T425" s="208"/>
      <c r="U425" s="208"/>
      <c r="V425" s="208"/>
      <c r="W425" s="208"/>
      <c r="X425" s="208"/>
      <c r="Y425" s="208"/>
      <c r="Z425" s="208"/>
      <c r="AA425" s="208"/>
      <c r="AB425" s="208"/>
      <c r="AC425" s="208"/>
      <c r="AD425" s="208"/>
      <c r="AE425" s="208"/>
      <c r="AF425" s="208"/>
      <c r="AG425" s="208"/>
      <c r="AH425" s="208"/>
      <c r="AI425" s="208"/>
      <c r="AJ425" s="208"/>
      <c r="AK425" s="208"/>
    </row>
    <row r="426">
      <c r="A426" s="208"/>
      <c r="B426" s="208"/>
      <c r="C426" s="208"/>
      <c r="D426" s="208"/>
      <c r="E426" s="208"/>
      <c r="F426" s="208"/>
      <c r="G426" s="208"/>
      <c r="H426" s="233"/>
      <c r="I426" s="234"/>
      <c r="J426" s="208"/>
      <c r="K426" s="208"/>
      <c r="L426" s="208"/>
      <c r="M426" s="208"/>
      <c r="N426" s="208"/>
      <c r="O426" s="208"/>
      <c r="P426" s="208"/>
      <c r="Q426" s="208"/>
      <c r="R426" s="208"/>
      <c r="S426" s="208"/>
      <c r="T426" s="208"/>
      <c r="U426" s="208"/>
      <c r="V426" s="208"/>
      <c r="W426" s="208"/>
      <c r="X426" s="208"/>
      <c r="Y426" s="208"/>
      <c r="Z426" s="208"/>
      <c r="AA426" s="208"/>
      <c r="AB426" s="208"/>
      <c r="AC426" s="208"/>
      <c r="AD426" s="208"/>
      <c r="AE426" s="208"/>
      <c r="AF426" s="208"/>
      <c r="AG426" s="208"/>
      <c r="AH426" s="208"/>
      <c r="AI426" s="208"/>
      <c r="AJ426" s="208"/>
      <c r="AK426" s="208"/>
    </row>
    <row r="427">
      <c r="A427" s="208"/>
      <c r="B427" s="208"/>
      <c r="C427" s="208"/>
      <c r="D427" s="208"/>
      <c r="E427" s="208"/>
      <c r="F427" s="208"/>
      <c r="G427" s="208"/>
      <c r="H427" s="233"/>
      <c r="I427" s="234"/>
      <c r="J427" s="208"/>
      <c r="K427" s="208"/>
      <c r="L427" s="208"/>
      <c r="M427" s="208"/>
      <c r="N427" s="208"/>
      <c r="O427" s="208"/>
      <c r="P427" s="208"/>
      <c r="Q427" s="208"/>
      <c r="R427" s="208"/>
      <c r="S427" s="208"/>
      <c r="T427" s="208"/>
      <c r="U427" s="208"/>
      <c r="V427" s="208"/>
      <c r="W427" s="208"/>
      <c r="X427" s="208"/>
      <c r="Y427" s="208"/>
      <c r="Z427" s="208"/>
      <c r="AA427" s="208"/>
      <c r="AB427" s="208"/>
      <c r="AC427" s="208"/>
      <c r="AD427" s="208"/>
      <c r="AE427" s="208"/>
      <c r="AF427" s="208"/>
      <c r="AG427" s="208"/>
      <c r="AH427" s="208"/>
      <c r="AI427" s="208"/>
      <c r="AJ427" s="208"/>
      <c r="AK427" s="208"/>
    </row>
    <row r="428">
      <c r="A428" s="208"/>
      <c r="B428" s="208"/>
      <c r="C428" s="208"/>
      <c r="D428" s="208"/>
      <c r="E428" s="208"/>
      <c r="F428" s="208"/>
      <c r="G428" s="208"/>
      <c r="H428" s="233"/>
      <c r="I428" s="234"/>
      <c r="J428" s="208"/>
      <c r="K428" s="208"/>
      <c r="L428" s="208"/>
      <c r="M428" s="208"/>
      <c r="N428" s="208"/>
      <c r="O428" s="208"/>
      <c r="P428" s="208"/>
      <c r="Q428" s="208"/>
      <c r="R428" s="208"/>
      <c r="S428" s="208"/>
      <c r="T428" s="208"/>
      <c r="U428" s="208"/>
      <c r="V428" s="208"/>
      <c r="W428" s="208"/>
      <c r="X428" s="208"/>
      <c r="Y428" s="208"/>
      <c r="Z428" s="208"/>
      <c r="AA428" s="208"/>
      <c r="AB428" s="208"/>
      <c r="AC428" s="208"/>
      <c r="AD428" s="208"/>
      <c r="AE428" s="208"/>
      <c r="AF428" s="208"/>
      <c r="AG428" s="208"/>
      <c r="AH428" s="208"/>
      <c r="AI428" s="208"/>
      <c r="AJ428" s="208"/>
      <c r="AK428" s="208"/>
    </row>
    <row r="429">
      <c r="A429" s="208"/>
      <c r="B429" s="208"/>
      <c r="C429" s="208"/>
      <c r="D429" s="208"/>
      <c r="E429" s="208"/>
      <c r="F429" s="208"/>
      <c r="G429" s="208"/>
      <c r="H429" s="233"/>
      <c r="I429" s="234"/>
      <c r="J429" s="208"/>
      <c r="K429" s="208"/>
      <c r="L429" s="208"/>
      <c r="M429" s="208"/>
      <c r="N429" s="208"/>
      <c r="O429" s="208"/>
      <c r="P429" s="208"/>
      <c r="Q429" s="208"/>
      <c r="R429" s="208"/>
      <c r="S429" s="208"/>
      <c r="T429" s="208"/>
      <c r="U429" s="208"/>
      <c r="V429" s="208"/>
      <c r="W429" s="208"/>
      <c r="X429" s="208"/>
      <c r="Y429" s="208"/>
      <c r="Z429" s="208"/>
      <c r="AA429" s="208"/>
      <c r="AB429" s="208"/>
      <c r="AC429" s="208"/>
      <c r="AD429" s="208"/>
      <c r="AE429" s="208"/>
      <c r="AF429" s="208"/>
      <c r="AG429" s="208"/>
      <c r="AH429" s="208"/>
      <c r="AI429" s="208"/>
      <c r="AJ429" s="208"/>
      <c r="AK429" s="208"/>
    </row>
    <row r="430">
      <c r="A430" s="208"/>
      <c r="B430" s="208"/>
      <c r="C430" s="208"/>
      <c r="D430" s="208"/>
      <c r="E430" s="208"/>
      <c r="F430" s="208"/>
      <c r="G430" s="208"/>
      <c r="H430" s="233"/>
      <c r="I430" s="234"/>
      <c r="J430" s="208"/>
      <c r="K430" s="208"/>
      <c r="L430" s="208"/>
      <c r="M430" s="208"/>
      <c r="N430" s="208"/>
      <c r="O430" s="208"/>
      <c r="P430" s="208"/>
      <c r="Q430" s="208"/>
      <c r="R430" s="208"/>
      <c r="S430" s="208"/>
      <c r="T430" s="208"/>
      <c r="U430" s="208"/>
      <c r="V430" s="208"/>
      <c r="W430" s="208"/>
      <c r="X430" s="208"/>
      <c r="Y430" s="208"/>
      <c r="Z430" s="208"/>
      <c r="AA430" s="208"/>
      <c r="AB430" s="208"/>
      <c r="AC430" s="208"/>
      <c r="AD430" s="208"/>
      <c r="AE430" s="208"/>
      <c r="AF430" s="208"/>
      <c r="AG430" s="208"/>
      <c r="AH430" s="208"/>
      <c r="AI430" s="208"/>
      <c r="AJ430" s="208"/>
      <c r="AK430" s="208"/>
    </row>
    <row r="431">
      <c r="A431" s="208"/>
      <c r="B431" s="208"/>
      <c r="C431" s="208"/>
      <c r="D431" s="208"/>
      <c r="E431" s="208"/>
      <c r="F431" s="208"/>
      <c r="G431" s="208"/>
      <c r="H431" s="233"/>
      <c r="I431" s="234"/>
      <c r="J431" s="208"/>
      <c r="K431" s="208"/>
      <c r="L431" s="208"/>
      <c r="M431" s="208"/>
      <c r="N431" s="208"/>
      <c r="O431" s="208"/>
      <c r="P431" s="208"/>
      <c r="Q431" s="208"/>
      <c r="R431" s="208"/>
      <c r="S431" s="208"/>
      <c r="T431" s="208"/>
      <c r="U431" s="208"/>
      <c r="V431" s="208"/>
      <c r="W431" s="208"/>
      <c r="X431" s="208"/>
      <c r="Y431" s="208"/>
      <c r="Z431" s="208"/>
      <c r="AA431" s="208"/>
      <c r="AB431" s="208"/>
      <c r="AC431" s="208"/>
      <c r="AD431" s="208"/>
      <c r="AE431" s="208"/>
      <c r="AF431" s="208"/>
      <c r="AG431" s="208"/>
      <c r="AH431" s="208"/>
      <c r="AI431" s="208"/>
      <c r="AJ431" s="208"/>
      <c r="AK431" s="208"/>
    </row>
    <row r="432">
      <c r="A432" s="208"/>
      <c r="B432" s="208"/>
      <c r="C432" s="208"/>
      <c r="D432" s="208"/>
      <c r="E432" s="208"/>
      <c r="F432" s="208"/>
      <c r="G432" s="208"/>
      <c r="H432" s="233"/>
      <c r="I432" s="234"/>
      <c r="J432" s="208"/>
      <c r="K432" s="208"/>
      <c r="L432" s="208"/>
      <c r="M432" s="208"/>
      <c r="N432" s="208"/>
      <c r="O432" s="208"/>
      <c r="P432" s="208"/>
      <c r="Q432" s="208"/>
      <c r="R432" s="208"/>
      <c r="S432" s="208"/>
      <c r="T432" s="208"/>
      <c r="U432" s="208"/>
      <c r="V432" s="208"/>
      <c r="W432" s="208"/>
      <c r="X432" s="208"/>
      <c r="Y432" s="208"/>
      <c r="Z432" s="208"/>
      <c r="AA432" s="208"/>
      <c r="AB432" s="208"/>
      <c r="AC432" s="208"/>
      <c r="AD432" s="208"/>
      <c r="AE432" s="208"/>
      <c r="AF432" s="208"/>
      <c r="AG432" s="208"/>
      <c r="AH432" s="208"/>
      <c r="AI432" s="208"/>
      <c r="AJ432" s="208"/>
      <c r="AK432" s="208"/>
    </row>
    <row r="433">
      <c r="A433" s="208"/>
      <c r="B433" s="208"/>
      <c r="C433" s="208"/>
      <c r="D433" s="208"/>
      <c r="E433" s="208"/>
      <c r="F433" s="208"/>
      <c r="G433" s="208"/>
      <c r="H433" s="233"/>
      <c r="I433" s="234"/>
      <c r="J433" s="208"/>
      <c r="K433" s="208"/>
      <c r="L433" s="208"/>
      <c r="M433" s="208"/>
      <c r="N433" s="208"/>
      <c r="O433" s="208"/>
      <c r="P433" s="208"/>
      <c r="Q433" s="208"/>
      <c r="R433" s="208"/>
      <c r="S433" s="208"/>
      <c r="T433" s="208"/>
      <c r="U433" s="208"/>
      <c r="V433" s="208"/>
      <c r="W433" s="208"/>
      <c r="X433" s="208"/>
      <c r="Y433" s="208"/>
      <c r="Z433" s="208"/>
      <c r="AA433" s="208"/>
      <c r="AB433" s="208"/>
      <c r="AC433" s="208"/>
      <c r="AD433" s="208"/>
      <c r="AE433" s="208"/>
      <c r="AF433" s="208"/>
      <c r="AG433" s="208"/>
      <c r="AH433" s="208"/>
      <c r="AI433" s="208"/>
      <c r="AJ433" s="208"/>
      <c r="AK433" s="208"/>
    </row>
    <row r="434">
      <c r="A434" s="208"/>
      <c r="B434" s="208"/>
      <c r="C434" s="208"/>
      <c r="D434" s="208"/>
      <c r="E434" s="208"/>
      <c r="F434" s="208"/>
      <c r="G434" s="208"/>
      <c r="H434" s="233"/>
      <c r="I434" s="234"/>
      <c r="J434" s="208"/>
      <c r="K434" s="208"/>
      <c r="L434" s="208"/>
      <c r="M434" s="208"/>
      <c r="N434" s="208"/>
      <c r="O434" s="208"/>
      <c r="P434" s="208"/>
      <c r="Q434" s="208"/>
      <c r="R434" s="208"/>
      <c r="S434" s="208"/>
      <c r="T434" s="208"/>
      <c r="U434" s="208"/>
      <c r="V434" s="208"/>
      <c r="W434" s="208"/>
      <c r="X434" s="208"/>
      <c r="Y434" s="208"/>
      <c r="Z434" s="208"/>
      <c r="AA434" s="208"/>
      <c r="AB434" s="208"/>
      <c r="AC434" s="208"/>
      <c r="AD434" s="208"/>
      <c r="AE434" s="208"/>
      <c r="AF434" s="208"/>
      <c r="AG434" s="208"/>
      <c r="AH434" s="208"/>
      <c r="AI434" s="208"/>
      <c r="AJ434" s="208"/>
      <c r="AK434" s="208"/>
    </row>
    <row r="435">
      <c r="A435" s="208"/>
      <c r="B435" s="208"/>
      <c r="C435" s="208"/>
      <c r="D435" s="208"/>
      <c r="E435" s="208"/>
      <c r="F435" s="208"/>
      <c r="G435" s="208"/>
      <c r="H435" s="233"/>
      <c r="I435" s="234"/>
      <c r="J435" s="208"/>
      <c r="K435" s="208"/>
      <c r="L435" s="208"/>
      <c r="M435" s="208"/>
      <c r="N435" s="208"/>
      <c r="O435" s="208"/>
      <c r="P435" s="208"/>
      <c r="Q435" s="208"/>
      <c r="R435" s="208"/>
      <c r="S435" s="208"/>
      <c r="T435" s="208"/>
      <c r="U435" s="208"/>
      <c r="V435" s="208"/>
      <c r="W435" s="208"/>
      <c r="X435" s="208"/>
      <c r="Y435" s="208"/>
      <c r="Z435" s="208"/>
      <c r="AA435" s="208"/>
      <c r="AB435" s="208"/>
      <c r="AC435" s="208"/>
      <c r="AD435" s="208"/>
      <c r="AE435" s="208"/>
      <c r="AF435" s="208"/>
      <c r="AG435" s="208"/>
      <c r="AH435" s="208"/>
      <c r="AI435" s="208"/>
      <c r="AJ435" s="208"/>
      <c r="AK435" s="208"/>
    </row>
    <row r="436">
      <c r="A436" s="208"/>
      <c r="B436" s="208"/>
      <c r="C436" s="208"/>
      <c r="D436" s="208"/>
      <c r="E436" s="208"/>
      <c r="F436" s="208"/>
      <c r="G436" s="208"/>
      <c r="H436" s="233"/>
      <c r="I436" s="234"/>
      <c r="J436" s="208"/>
      <c r="K436" s="208"/>
      <c r="L436" s="208"/>
      <c r="M436" s="208"/>
      <c r="N436" s="208"/>
      <c r="O436" s="208"/>
      <c r="P436" s="208"/>
      <c r="Q436" s="208"/>
      <c r="R436" s="208"/>
      <c r="S436" s="208"/>
      <c r="T436" s="208"/>
      <c r="U436" s="208"/>
      <c r="V436" s="208"/>
      <c r="W436" s="208"/>
      <c r="X436" s="208"/>
      <c r="Y436" s="208"/>
      <c r="Z436" s="208"/>
      <c r="AA436" s="208"/>
      <c r="AB436" s="208"/>
      <c r="AC436" s="208"/>
      <c r="AD436" s="208"/>
      <c r="AE436" s="208"/>
      <c r="AF436" s="208"/>
      <c r="AG436" s="208"/>
      <c r="AH436" s="208"/>
      <c r="AI436" s="208"/>
      <c r="AJ436" s="208"/>
      <c r="AK436" s="208"/>
    </row>
    <row r="437">
      <c r="A437" s="208"/>
      <c r="B437" s="208"/>
      <c r="C437" s="208"/>
      <c r="D437" s="208"/>
      <c r="E437" s="208"/>
      <c r="F437" s="208"/>
      <c r="G437" s="208"/>
      <c r="H437" s="233"/>
      <c r="I437" s="234"/>
      <c r="J437" s="208"/>
      <c r="K437" s="208"/>
      <c r="L437" s="208"/>
      <c r="M437" s="208"/>
      <c r="N437" s="208"/>
      <c r="O437" s="208"/>
      <c r="P437" s="208"/>
      <c r="Q437" s="208"/>
      <c r="R437" s="208"/>
      <c r="S437" s="208"/>
      <c r="T437" s="208"/>
      <c r="U437" s="208"/>
      <c r="V437" s="208"/>
      <c r="W437" s="208"/>
      <c r="X437" s="208"/>
      <c r="Y437" s="208"/>
      <c r="Z437" s="208"/>
      <c r="AA437" s="208"/>
      <c r="AB437" s="208"/>
      <c r="AC437" s="208"/>
      <c r="AD437" s="208"/>
      <c r="AE437" s="208"/>
      <c r="AF437" s="208"/>
      <c r="AG437" s="208"/>
      <c r="AH437" s="208"/>
      <c r="AI437" s="208"/>
      <c r="AJ437" s="208"/>
      <c r="AK437" s="208"/>
    </row>
    <row r="438">
      <c r="A438" s="208"/>
      <c r="B438" s="208"/>
      <c r="C438" s="208"/>
      <c r="D438" s="208"/>
      <c r="E438" s="208"/>
      <c r="F438" s="208"/>
      <c r="G438" s="208"/>
      <c r="H438" s="233"/>
      <c r="I438" s="234"/>
      <c r="J438" s="208"/>
      <c r="K438" s="208"/>
      <c r="L438" s="208"/>
      <c r="M438" s="208"/>
      <c r="N438" s="208"/>
      <c r="O438" s="208"/>
      <c r="P438" s="208"/>
      <c r="Q438" s="208"/>
      <c r="R438" s="208"/>
      <c r="S438" s="208"/>
      <c r="T438" s="208"/>
      <c r="U438" s="208"/>
      <c r="V438" s="208"/>
      <c r="W438" s="208"/>
      <c r="X438" s="208"/>
      <c r="Y438" s="208"/>
      <c r="Z438" s="208"/>
      <c r="AA438" s="208"/>
      <c r="AB438" s="208"/>
      <c r="AC438" s="208"/>
      <c r="AD438" s="208"/>
      <c r="AE438" s="208"/>
      <c r="AF438" s="208"/>
      <c r="AG438" s="208"/>
      <c r="AH438" s="208"/>
      <c r="AI438" s="208"/>
      <c r="AJ438" s="208"/>
      <c r="AK438" s="208"/>
    </row>
    <row r="439">
      <c r="A439" s="208"/>
      <c r="B439" s="208"/>
      <c r="C439" s="208"/>
      <c r="D439" s="208"/>
      <c r="E439" s="208"/>
      <c r="F439" s="208"/>
      <c r="G439" s="208"/>
      <c r="H439" s="233"/>
      <c r="I439" s="234"/>
      <c r="J439" s="208"/>
      <c r="K439" s="208"/>
      <c r="L439" s="208"/>
      <c r="M439" s="208"/>
      <c r="N439" s="208"/>
      <c r="O439" s="208"/>
      <c r="P439" s="208"/>
      <c r="Q439" s="208"/>
      <c r="R439" s="208"/>
      <c r="S439" s="208"/>
      <c r="T439" s="208"/>
      <c r="U439" s="208"/>
      <c r="V439" s="208"/>
      <c r="W439" s="208"/>
      <c r="X439" s="208"/>
      <c r="Y439" s="208"/>
      <c r="Z439" s="208"/>
      <c r="AA439" s="208"/>
      <c r="AB439" s="208"/>
      <c r="AC439" s="208"/>
      <c r="AD439" s="208"/>
      <c r="AE439" s="208"/>
      <c r="AF439" s="208"/>
      <c r="AG439" s="208"/>
      <c r="AH439" s="208"/>
      <c r="AI439" s="208"/>
      <c r="AJ439" s="208"/>
      <c r="AK439" s="208"/>
    </row>
    <row r="440">
      <c r="A440" s="208"/>
      <c r="B440" s="208"/>
      <c r="C440" s="208"/>
      <c r="D440" s="208"/>
      <c r="E440" s="208"/>
      <c r="F440" s="208"/>
      <c r="G440" s="208"/>
      <c r="H440" s="233"/>
      <c r="I440" s="234"/>
      <c r="J440" s="208"/>
      <c r="K440" s="208"/>
      <c r="L440" s="208"/>
      <c r="M440" s="208"/>
      <c r="N440" s="208"/>
      <c r="O440" s="208"/>
      <c r="P440" s="208"/>
      <c r="Q440" s="208"/>
      <c r="R440" s="208"/>
      <c r="S440" s="208"/>
      <c r="T440" s="208"/>
      <c r="U440" s="208"/>
      <c r="V440" s="208"/>
      <c r="W440" s="208"/>
      <c r="X440" s="208"/>
      <c r="Y440" s="208"/>
      <c r="Z440" s="208"/>
      <c r="AA440" s="208"/>
      <c r="AB440" s="208"/>
      <c r="AC440" s="208"/>
      <c r="AD440" s="208"/>
      <c r="AE440" s="208"/>
      <c r="AF440" s="208"/>
      <c r="AG440" s="208"/>
      <c r="AH440" s="208"/>
      <c r="AI440" s="208"/>
      <c r="AJ440" s="208"/>
      <c r="AK440" s="208"/>
    </row>
    <row r="441">
      <c r="A441" s="208"/>
      <c r="B441" s="208"/>
      <c r="C441" s="208"/>
      <c r="D441" s="208"/>
      <c r="E441" s="208"/>
      <c r="F441" s="208"/>
      <c r="G441" s="208"/>
      <c r="H441" s="233"/>
      <c r="I441" s="234"/>
      <c r="J441" s="208"/>
      <c r="K441" s="208"/>
      <c r="L441" s="208"/>
      <c r="M441" s="208"/>
      <c r="N441" s="208"/>
      <c r="O441" s="208"/>
      <c r="P441" s="208"/>
      <c r="Q441" s="208"/>
      <c r="R441" s="208"/>
      <c r="S441" s="208"/>
      <c r="T441" s="208"/>
      <c r="U441" s="208"/>
      <c r="V441" s="208"/>
      <c r="W441" s="208"/>
      <c r="X441" s="208"/>
      <c r="Y441" s="208"/>
      <c r="Z441" s="208"/>
      <c r="AA441" s="208"/>
      <c r="AB441" s="208"/>
      <c r="AC441" s="208"/>
      <c r="AD441" s="208"/>
      <c r="AE441" s="208"/>
      <c r="AF441" s="208"/>
      <c r="AG441" s="208"/>
      <c r="AH441" s="208"/>
      <c r="AI441" s="208"/>
      <c r="AJ441" s="208"/>
      <c r="AK441" s="208"/>
    </row>
    <row r="442">
      <c r="A442" s="208"/>
      <c r="B442" s="208"/>
      <c r="C442" s="208"/>
      <c r="D442" s="208"/>
      <c r="E442" s="208"/>
      <c r="F442" s="208"/>
      <c r="G442" s="208"/>
      <c r="H442" s="233"/>
      <c r="I442" s="234"/>
      <c r="J442" s="208"/>
      <c r="K442" s="208"/>
      <c r="L442" s="208"/>
      <c r="M442" s="208"/>
      <c r="N442" s="208"/>
      <c r="O442" s="208"/>
      <c r="P442" s="208"/>
      <c r="Q442" s="208"/>
      <c r="R442" s="208"/>
      <c r="S442" s="208"/>
      <c r="T442" s="208"/>
      <c r="U442" s="208"/>
      <c r="V442" s="208"/>
      <c r="W442" s="208"/>
      <c r="X442" s="208"/>
      <c r="Y442" s="208"/>
      <c r="Z442" s="208"/>
      <c r="AA442" s="208"/>
      <c r="AB442" s="208"/>
      <c r="AC442" s="208"/>
      <c r="AD442" s="208"/>
      <c r="AE442" s="208"/>
      <c r="AF442" s="208"/>
      <c r="AG442" s="208"/>
      <c r="AH442" s="208"/>
      <c r="AI442" s="208"/>
      <c r="AJ442" s="208"/>
      <c r="AK442" s="208"/>
    </row>
    <row r="443">
      <c r="A443" s="208"/>
      <c r="B443" s="208"/>
      <c r="C443" s="208"/>
      <c r="D443" s="208"/>
      <c r="E443" s="208"/>
      <c r="F443" s="208"/>
      <c r="G443" s="208"/>
      <c r="H443" s="233"/>
      <c r="I443" s="234"/>
      <c r="J443" s="208"/>
      <c r="K443" s="208"/>
      <c r="L443" s="208"/>
      <c r="M443" s="208"/>
      <c r="N443" s="208"/>
      <c r="O443" s="208"/>
      <c r="P443" s="208"/>
      <c r="Q443" s="208"/>
      <c r="R443" s="208"/>
      <c r="S443" s="208"/>
      <c r="T443" s="208"/>
      <c r="U443" s="208"/>
      <c r="V443" s="208"/>
      <c r="W443" s="208"/>
      <c r="X443" s="208"/>
      <c r="Y443" s="208"/>
      <c r="Z443" s="208"/>
      <c r="AA443" s="208"/>
      <c r="AB443" s="208"/>
      <c r="AC443" s="208"/>
      <c r="AD443" s="208"/>
      <c r="AE443" s="208"/>
      <c r="AF443" s="208"/>
      <c r="AG443" s="208"/>
      <c r="AH443" s="208"/>
      <c r="AI443" s="208"/>
      <c r="AJ443" s="208"/>
      <c r="AK443" s="208"/>
    </row>
    <row r="444">
      <c r="A444" s="208"/>
      <c r="B444" s="208"/>
      <c r="C444" s="208"/>
      <c r="D444" s="208"/>
      <c r="E444" s="208"/>
      <c r="F444" s="208"/>
      <c r="G444" s="208"/>
      <c r="H444" s="233"/>
      <c r="I444" s="234"/>
      <c r="J444" s="208"/>
      <c r="K444" s="208"/>
      <c r="L444" s="208"/>
      <c r="M444" s="208"/>
      <c r="N444" s="208"/>
      <c r="O444" s="208"/>
      <c r="P444" s="208"/>
      <c r="Q444" s="208"/>
      <c r="R444" s="208"/>
      <c r="S444" s="208"/>
      <c r="T444" s="208"/>
      <c r="U444" s="208"/>
      <c r="V444" s="208"/>
      <c r="W444" s="208"/>
      <c r="X444" s="208"/>
      <c r="Y444" s="208"/>
      <c r="Z444" s="208"/>
      <c r="AA444" s="208"/>
      <c r="AB444" s="208"/>
      <c r="AC444" s="208"/>
      <c r="AD444" s="208"/>
      <c r="AE444" s="208"/>
      <c r="AF444" s="208"/>
      <c r="AG444" s="208"/>
      <c r="AH444" s="208"/>
      <c r="AI444" s="208"/>
      <c r="AJ444" s="208"/>
      <c r="AK444" s="208"/>
    </row>
    <row r="445">
      <c r="A445" s="208"/>
      <c r="B445" s="208"/>
      <c r="C445" s="208"/>
      <c r="D445" s="208"/>
      <c r="E445" s="208"/>
      <c r="F445" s="208"/>
      <c r="G445" s="208"/>
      <c r="H445" s="233"/>
      <c r="I445" s="234"/>
      <c r="J445" s="208"/>
      <c r="K445" s="208"/>
      <c r="L445" s="208"/>
      <c r="M445" s="208"/>
      <c r="N445" s="208"/>
      <c r="O445" s="208"/>
      <c r="P445" s="208"/>
      <c r="Q445" s="208"/>
      <c r="R445" s="208"/>
      <c r="S445" s="208"/>
      <c r="T445" s="208"/>
      <c r="U445" s="208"/>
      <c r="V445" s="208"/>
      <c r="W445" s="208"/>
      <c r="X445" s="208"/>
      <c r="Y445" s="208"/>
      <c r="Z445" s="208"/>
      <c r="AA445" s="208"/>
      <c r="AB445" s="208"/>
      <c r="AC445" s="208"/>
      <c r="AD445" s="208"/>
      <c r="AE445" s="208"/>
      <c r="AF445" s="208"/>
      <c r="AG445" s="208"/>
      <c r="AH445" s="208"/>
      <c r="AI445" s="208"/>
      <c r="AJ445" s="208"/>
      <c r="AK445" s="208"/>
    </row>
    <row r="446">
      <c r="A446" s="208"/>
      <c r="B446" s="208"/>
      <c r="C446" s="208"/>
      <c r="D446" s="208"/>
      <c r="E446" s="208"/>
      <c r="F446" s="208"/>
      <c r="G446" s="208"/>
      <c r="H446" s="233"/>
      <c r="I446" s="234"/>
      <c r="J446" s="208"/>
      <c r="K446" s="208"/>
      <c r="L446" s="208"/>
      <c r="M446" s="208"/>
      <c r="N446" s="208"/>
      <c r="O446" s="208"/>
      <c r="P446" s="208"/>
      <c r="Q446" s="208"/>
      <c r="R446" s="208"/>
      <c r="S446" s="208"/>
      <c r="T446" s="208"/>
      <c r="U446" s="208"/>
      <c r="V446" s="208"/>
      <c r="W446" s="208"/>
      <c r="X446" s="208"/>
      <c r="Y446" s="208"/>
      <c r="Z446" s="208"/>
      <c r="AA446" s="208"/>
      <c r="AB446" s="208"/>
      <c r="AC446" s="208"/>
      <c r="AD446" s="208"/>
      <c r="AE446" s="208"/>
      <c r="AF446" s="208"/>
      <c r="AG446" s="208"/>
      <c r="AH446" s="208"/>
      <c r="AI446" s="208"/>
      <c r="AJ446" s="208"/>
      <c r="AK446" s="208"/>
    </row>
    <row r="447">
      <c r="A447" s="208"/>
      <c r="B447" s="208"/>
      <c r="C447" s="208"/>
      <c r="D447" s="208"/>
      <c r="E447" s="208"/>
      <c r="F447" s="208"/>
      <c r="G447" s="208"/>
      <c r="H447" s="233"/>
      <c r="I447" s="234"/>
      <c r="J447" s="208"/>
      <c r="K447" s="208"/>
      <c r="L447" s="208"/>
      <c r="M447" s="208"/>
      <c r="N447" s="208"/>
      <c r="O447" s="208"/>
      <c r="P447" s="208"/>
      <c r="Q447" s="208"/>
      <c r="R447" s="208"/>
      <c r="S447" s="208"/>
      <c r="T447" s="208"/>
      <c r="U447" s="208"/>
      <c r="V447" s="208"/>
      <c r="W447" s="208"/>
      <c r="X447" s="208"/>
      <c r="Y447" s="208"/>
      <c r="Z447" s="208"/>
      <c r="AA447" s="208"/>
      <c r="AB447" s="208"/>
      <c r="AC447" s="208"/>
      <c r="AD447" s="208"/>
      <c r="AE447" s="208"/>
      <c r="AF447" s="208"/>
      <c r="AG447" s="208"/>
      <c r="AH447" s="208"/>
      <c r="AI447" s="208"/>
      <c r="AJ447" s="208"/>
      <c r="AK447" s="208"/>
    </row>
    <row r="448">
      <c r="A448" s="208"/>
      <c r="B448" s="208"/>
      <c r="C448" s="208"/>
      <c r="D448" s="208"/>
      <c r="E448" s="208"/>
      <c r="F448" s="208"/>
      <c r="G448" s="208"/>
      <c r="H448" s="233"/>
      <c r="I448" s="234"/>
      <c r="J448" s="208"/>
      <c r="K448" s="208"/>
      <c r="L448" s="208"/>
      <c r="M448" s="208"/>
      <c r="N448" s="208"/>
      <c r="O448" s="208"/>
      <c r="P448" s="208"/>
      <c r="Q448" s="208"/>
      <c r="R448" s="208"/>
      <c r="S448" s="208"/>
      <c r="T448" s="208"/>
      <c r="U448" s="208"/>
      <c r="V448" s="208"/>
      <c r="W448" s="208"/>
      <c r="X448" s="208"/>
      <c r="Y448" s="208"/>
      <c r="Z448" s="208"/>
      <c r="AA448" s="208"/>
      <c r="AB448" s="208"/>
      <c r="AC448" s="208"/>
      <c r="AD448" s="208"/>
      <c r="AE448" s="208"/>
      <c r="AF448" s="208"/>
      <c r="AG448" s="208"/>
      <c r="AH448" s="208"/>
      <c r="AI448" s="208"/>
      <c r="AJ448" s="208"/>
      <c r="AK448" s="208"/>
    </row>
    <row r="449">
      <c r="A449" s="208"/>
      <c r="B449" s="208"/>
      <c r="C449" s="208"/>
      <c r="D449" s="208"/>
      <c r="E449" s="208"/>
      <c r="F449" s="208"/>
      <c r="G449" s="208"/>
      <c r="H449" s="233"/>
      <c r="I449" s="234"/>
      <c r="J449" s="208"/>
      <c r="K449" s="208"/>
      <c r="L449" s="208"/>
      <c r="M449" s="208"/>
      <c r="N449" s="208"/>
      <c r="O449" s="208"/>
      <c r="P449" s="208"/>
      <c r="Q449" s="208"/>
      <c r="R449" s="208"/>
      <c r="S449" s="208"/>
      <c r="T449" s="208"/>
      <c r="U449" s="208"/>
      <c r="V449" s="208"/>
      <c r="W449" s="208"/>
      <c r="X449" s="208"/>
      <c r="Y449" s="208"/>
      <c r="Z449" s="208"/>
      <c r="AA449" s="208"/>
      <c r="AB449" s="208"/>
      <c r="AC449" s="208"/>
      <c r="AD449" s="208"/>
      <c r="AE449" s="208"/>
      <c r="AF449" s="208"/>
      <c r="AG449" s="208"/>
      <c r="AH449" s="208"/>
      <c r="AI449" s="208"/>
      <c r="AJ449" s="208"/>
      <c r="AK449" s="208"/>
    </row>
    <row r="450">
      <c r="A450" s="208"/>
      <c r="B450" s="208"/>
      <c r="C450" s="208"/>
      <c r="D450" s="208"/>
      <c r="E450" s="208"/>
      <c r="F450" s="208"/>
      <c r="G450" s="208"/>
      <c r="H450" s="233"/>
      <c r="I450" s="234"/>
      <c r="J450" s="208"/>
      <c r="K450" s="208"/>
      <c r="L450" s="208"/>
      <c r="M450" s="208"/>
      <c r="N450" s="208"/>
      <c r="O450" s="208"/>
      <c r="P450" s="208"/>
      <c r="Q450" s="208"/>
      <c r="R450" s="208"/>
      <c r="S450" s="208"/>
      <c r="T450" s="208"/>
      <c r="U450" s="208"/>
      <c r="V450" s="208"/>
      <c r="W450" s="208"/>
      <c r="X450" s="208"/>
      <c r="Y450" s="208"/>
      <c r="Z450" s="208"/>
      <c r="AA450" s="208"/>
      <c r="AB450" s="208"/>
      <c r="AC450" s="208"/>
      <c r="AD450" s="208"/>
      <c r="AE450" s="208"/>
      <c r="AF450" s="208"/>
      <c r="AG450" s="208"/>
      <c r="AH450" s="208"/>
      <c r="AI450" s="208"/>
      <c r="AJ450" s="208"/>
      <c r="AK450" s="208"/>
    </row>
    <row r="451">
      <c r="A451" s="208"/>
      <c r="B451" s="208"/>
      <c r="C451" s="208"/>
      <c r="D451" s="208"/>
      <c r="E451" s="208"/>
      <c r="F451" s="208"/>
      <c r="G451" s="208"/>
      <c r="H451" s="233"/>
      <c r="I451" s="234"/>
      <c r="J451" s="208"/>
      <c r="K451" s="208"/>
      <c r="L451" s="208"/>
      <c r="M451" s="208"/>
      <c r="N451" s="208"/>
      <c r="O451" s="208"/>
      <c r="P451" s="208"/>
      <c r="Q451" s="208"/>
      <c r="R451" s="208"/>
      <c r="S451" s="208"/>
      <c r="T451" s="208"/>
      <c r="U451" s="208"/>
      <c r="V451" s="208"/>
      <c r="W451" s="208"/>
      <c r="X451" s="208"/>
      <c r="Y451" s="208"/>
      <c r="Z451" s="208"/>
      <c r="AA451" s="208"/>
      <c r="AB451" s="208"/>
      <c r="AC451" s="208"/>
      <c r="AD451" s="208"/>
      <c r="AE451" s="208"/>
      <c r="AF451" s="208"/>
      <c r="AG451" s="208"/>
      <c r="AH451" s="208"/>
      <c r="AI451" s="208"/>
      <c r="AJ451" s="208"/>
      <c r="AK451" s="208"/>
    </row>
    <row r="452">
      <c r="A452" s="208"/>
      <c r="B452" s="208"/>
      <c r="C452" s="208"/>
      <c r="D452" s="208"/>
      <c r="E452" s="208"/>
      <c r="F452" s="208"/>
      <c r="G452" s="208"/>
      <c r="H452" s="233"/>
      <c r="I452" s="234"/>
      <c r="J452" s="208"/>
      <c r="K452" s="208"/>
      <c r="L452" s="208"/>
      <c r="M452" s="208"/>
      <c r="N452" s="208"/>
      <c r="O452" s="208"/>
      <c r="P452" s="208"/>
      <c r="Q452" s="208"/>
      <c r="R452" s="208"/>
      <c r="S452" s="208"/>
      <c r="T452" s="208"/>
      <c r="U452" s="208"/>
      <c r="V452" s="208"/>
      <c r="W452" s="208"/>
      <c r="X452" s="208"/>
      <c r="Y452" s="208"/>
      <c r="Z452" s="208"/>
      <c r="AA452" s="208"/>
      <c r="AB452" s="208"/>
      <c r="AC452" s="208"/>
      <c r="AD452" s="208"/>
      <c r="AE452" s="208"/>
      <c r="AF452" s="208"/>
      <c r="AG452" s="208"/>
      <c r="AH452" s="208"/>
      <c r="AI452" s="208"/>
      <c r="AJ452" s="208"/>
      <c r="AK452" s="208"/>
    </row>
    <row r="453">
      <c r="A453" s="208"/>
      <c r="B453" s="208"/>
      <c r="C453" s="208"/>
      <c r="D453" s="208"/>
      <c r="E453" s="208"/>
      <c r="F453" s="208"/>
      <c r="G453" s="208"/>
      <c r="H453" s="233"/>
      <c r="I453" s="234"/>
      <c r="J453" s="208"/>
      <c r="K453" s="208"/>
      <c r="L453" s="208"/>
      <c r="M453" s="208"/>
      <c r="N453" s="208"/>
      <c r="O453" s="208"/>
      <c r="P453" s="208"/>
      <c r="Q453" s="208"/>
      <c r="R453" s="208"/>
      <c r="S453" s="208"/>
      <c r="T453" s="208"/>
      <c r="U453" s="208"/>
      <c r="V453" s="208"/>
      <c r="W453" s="208"/>
      <c r="X453" s="208"/>
      <c r="Y453" s="208"/>
      <c r="Z453" s="208"/>
      <c r="AA453" s="208"/>
      <c r="AB453" s="208"/>
      <c r="AC453" s="208"/>
      <c r="AD453" s="208"/>
      <c r="AE453" s="208"/>
      <c r="AF453" s="208"/>
      <c r="AG453" s="208"/>
      <c r="AH453" s="208"/>
      <c r="AI453" s="208"/>
      <c r="AJ453" s="208"/>
      <c r="AK453" s="208"/>
    </row>
    <row r="454">
      <c r="A454" s="208"/>
      <c r="B454" s="208"/>
      <c r="C454" s="208"/>
      <c r="D454" s="208"/>
      <c r="E454" s="208"/>
      <c r="F454" s="208"/>
      <c r="G454" s="208"/>
      <c r="H454" s="233"/>
      <c r="I454" s="234"/>
      <c r="J454" s="208"/>
      <c r="K454" s="208"/>
      <c r="L454" s="208"/>
      <c r="M454" s="208"/>
      <c r="N454" s="208"/>
      <c r="O454" s="208"/>
      <c r="P454" s="208"/>
      <c r="Q454" s="208"/>
      <c r="R454" s="208"/>
      <c r="S454" s="208"/>
      <c r="T454" s="208"/>
      <c r="U454" s="208"/>
      <c r="V454" s="208"/>
      <c r="W454" s="208"/>
      <c r="X454" s="208"/>
      <c r="Y454" s="208"/>
      <c r="Z454" s="208"/>
      <c r="AA454" s="208"/>
      <c r="AB454" s="208"/>
      <c r="AC454" s="208"/>
      <c r="AD454" s="208"/>
      <c r="AE454" s="208"/>
      <c r="AF454" s="208"/>
      <c r="AG454" s="208"/>
      <c r="AH454" s="208"/>
      <c r="AI454" s="208"/>
      <c r="AJ454" s="208"/>
      <c r="AK454" s="208"/>
    </row>
    <row r="455">
      <c r="A455" s="208"/>
      <c r="B455" s="208"/>
      <c r="C455" s="208"/>
      <c r="D455" s="208"/>
      <c r="E455" s="208"/>
      <c r="F455" s="208"/>
      <c r="G455" s="208"/>
      <c r="H455" s="233"/>
      <c r="I455" s="234"/>
      <c r="J455" s="208"/>
      <c r="K455" s="208"/>
      <c r="L455" s="208"/>
      <c r="M455" s="208"/>
      <c r="N455" s="208"/>
      <c r="O455" s="208"/>
      <c r="P455" s="208"/>
      <c r="Q455" s="208"/>
      <c r="R455" s="208"/>
      <c r="S455" s="208"/>
      <c r="T455" s="208"/>
      <c r="U455" s="208"/>
      <c r="V455" s="208"/>
      <c r="W455" s="208"/>
      <c r="X455" s="208"/>
      <c r="Y455" s="208"/>
      <c r="Z455" s="208"/>
      <c r="AA455" s="208"/>
      <c r="AB455" s="208"/>
      <c r="AC455" s="208"/>
      <c r="AD455" s="208"/>
      <c r="AE455" s="208"/>
      <c r="AF455" s="208"/>
      <c r="AG455" s="208"/>
      <c r="AH455" s="208"/>
      <c r="AI455" s="208"/>
      <c r="AJ455" s="208"/>
      <c r="AK455" s="208"/>
    </row>
    <row r="456">
      <c r="A456" s="208"/>
      <c r="B456" s="208"/>
      <c r="C456" s="208"/>
      <c r="D456" s="208"/>
      <c r="E456" s="208"/>
      <c r="F456" s="208"/>
      <c r="G456" s="208"/>
      <c r="H456" s="233"/>
      <c r="I456" s="234"/>
      <c r="J456" s="208"/>
      <c r="K456" s="208"/>
      <c r="L456" s="208"/>
      <c r="M456" s="208"/>
      <c r="N456" s="208"/>
      <c r="O456" s="208"/>
      <c r="P456" s="208"/>
      <c r="Q456" s="208"/>
      <c r="R456" s="208"/>
      <c r="S456" s="208"/>
      <c r="T456" s="208"/>
      <c r="U456" s="208"/>
      <c r="V456" s="208"/>
      <c r="W456" s="208"/>
      <c r="X456" s="208"/>
      <c r="Y456" s="208"/>
      <c r="Z456" s="208"/>
      <c r="AA456" s="208"/>
      <c r="AB456" s="208"/>
      <c r="AC456" s="208"/>
      <c r="AD456" s="208"/>
      <c r="AE456" s="208"/>
      <c r="AF456" s="208"/>
      <c r="AG456" s="208"/>
      <c r="AH456" s="208"/>
      <c r="AI456" s="208"/>
      <c r="AJ456" s="208"/>
      <c r="AK456" s="208"/>
    </row>
    <row r="457">
      <c r="A457" s="208"/>
      <c r="B457" s="208"/>
      <c r="C457" s="208"/>
      <c r="D457" s="208"/>
      <c r="E457" s="208"/>
      <c r="F457" s="208"/>
      <c r="G457" s="208"/>
      <c r="H457" s="233"/>
      <c r="I457" s="234"/>
      <c r="J457" s="208"/>
      <c r="K457" s="208"/>
      <c r="L457" s="208"/>
      <c r="M457" s="208"/>
      <c r="N457" s="208"/>
      <c r="O457" s="208"/>
      <c r="P457" s="208"/>
      <c r="Q457" s="208"/>
      <c r="R457" s="208"/>
      <c r="S457" s="208"/>
      <c r="T457" s="208"/>
      <c r="U457" s="208"/>
      <c r="V457" s="208"/>
      <c r="W457" s="208"/>
      <c r="X457" s="208"/>
      <c r="Y457" s="208"/>
      <c r="Z457" s="208"/>
      <c r="AA457" s="208"/>
      <c r="AB457" s="208"/>
      <c r="AC457" s="208"/>
      <c r="AD457" s="208"/>
      <c r="AE457" s="208"/>
      <c r="AF457" s="208"/>
      <c r="AG457" s="208"/>
      <c r="AH457" s="208"/>
      <c r="AI457" s="208"/>
      <c r="AJ457" s="208"/>
      <c r="AK457" s="208"/>
    </row>
    <row r="458">
      <c r="A458" s="208"/>
      <c r="B458" s="208"/>
      <c r="C458" s="208"/>
      <c r="D458" s="208"/>
      <c r="E458" s="208"/>
      <c r="F458" s="208"/>
      <c r="G458" s="208"/>
      <c r="H458" s="233"/>
      <c r="I458" s="234"/>
      <c r="J458" s="208"/>
      <c r="K458" s="208"/>
      <c r="L458" s="208"/>
      <c r="M458" s="208"/>
      <c r="N458" s="208"/>
      <c r="O458" s="208"/>
      <c r="P458" s="208"/>
      <c r="Q458" s="208"/>
      <c r="R458" s="208"/>
      <c r="S458" s="208"/>
      <c r="T458" s="208"/>
      <c r="U458" s="208"/>
      <c r="V458" s="208"/>
      <c r="W458" s="208"/>
      <c r="X458" s="208"/>
      <c r="Y458" s="208"/>
      <c r="Z458" s="208"/>
      <c r="AA458" s="208"/>
      <c r="AB458" s="208"/>
      <c r="AC458" s="208"/>
      <c r="AD458" s="208"/>
      <c r="AE458" s="208"/>
      <c r="AF458" s="208"/>
      <c r="AG458" s="208"/>
      <c r="AH458" s="208"/>
      <c r="AI458" s="208"/>
      <c r="AJ458" s="208"/>
      <c r="AK458" s="208"/>
    </row>
    <row r="459">
      <c r="A459" s="208"/>
      <c r="B459" s="208"/>
      <c r="C459" s="208"/>
      <c r="D459" s="208"/>
      <c r="E459" s="208"/>
      <c r="F459" s="208"/>
      <c r="G459" s="208"/>
      <c r="H459" s="233"/>
      <c r="I459" s="234"/>
      <c r="J459" s="208"/>
      <c r="K459" s="208"/>
      <c r="L459" s="208"/>
      <c r="M459" s="208"/>
      <c r="N459" s="208"/>
      <c r="O459" s="208"/>
      <c r="P459" s="208"/>
      <c r="Q459" s="208"/>
      <c r="R459" s="208"/>
      <c r="S459" s="208"/>
      <c r="T459" s="208"/>
      <c r="U459" s="208"/>
      <c r="V459" s="208"/>
      <c r="W459" s="208"/>
      <c r="X459" s="208"/>
      <c r="Y459" s="208"/>
      <c r="Z459" s="208"/>
      <c r="AA459" s="208"/>
      <c r="AB459" s="208"/>
      <c r="AC459" s="208"/>
      <c r="AD459" s="208"/>
      <c r="AE459" s="208"/>
      <c r="AF459" s="208"/>
      <c r="AG459" s="208"/>
      <c r="AH459" s="208"/>
      <c r="AI459" s="208"/>
      <c r="AJ459" s="208"/>
      <c r="AK459" s="208"/>
    </row>
    <row r="460">
      <c r="A460" s="208"/>
      <c r="B460" s="208"/>
      <c r="C460" s="208"/>
      <c r="D460" s="208"/>
      <c r="E460" s="208"/>
      <c r="F460" s="208"/>
      <c r="G460" s="208"/>
      <c r="H460" s="233"/>
      <c r="I460" s="234"/>
      <c r="J460" s="208"/>
      <c r="K460" s="208"/>
      <c r="L460" s="208"/>
      <c r="M460" s="208"/>
      <c r="N460" s="208"/>
      <c r="O460" s="208"/>
      <c r="P460" s="208"/>
      <c r="Q460" s="208"/>
      <c r="R460" s="208"/>
      <c r="S460" s="208"/>
      <c r="T460" s="208"/>
      <c r="U460" s="208"/>
      <c r="V460" s="208"/>
      <c r="W460" s="208"/>
      <c r="X460" s="208"/>
      <c r="Y460" s="208"/>
      <c r="Z460" s="208"/>
      <c r="AA460" s="208"/>
      <c r="AB460" s="208"/>
      <c r="AC460" s="208"/>
      <c r="AD460" s="208"/>
      <c r="AE460" s="208"/>
      <c r="AF460" s="208"/>
      <c r="AG460" s="208"/>
      <c r="AH460" s="208"/>
      <c r="AI460" s="208"/>
      <c r="AJ460" s="208"/>
      <c r="AK460" s="208"/>
    </row>
    <row r="461">
      <c r="A461" s="208"/>
      <c r="B461" s="208"/>
      <c r="C461" s="208"/>
      <c r="D461" s="208"/>
      <c r="E461" s="208"/>
      <c r="F461" s="208"/>
      <c r="G461" s="208"/>
      <c r="H461" s="233"/>
      <c r="I461" s="234"/>
      <c r="J461" s="208"/>
      <c r="K461" s="208"/>
      <c r="L461" s="208"/>
      <c r="M461" s="208"/>
      <c r="N461" s="208"/>
      <c r="O461" s="208"/>
      <c r="P461" s="208"/>
      <c r="Q461" s="208"/>
      <c r="R461" s="208"/>
      <c r="S461" s="208"/>
      <c r="T461" s="208"/>
      <c r="U461" s="208"/>
      <c r="V461" s="208"/>
      <c r="W461" s="208"/>
      <c r="X461" s="208"/>
      <c r="Y461" s="208"/>
      <c r="Z461" s="208"/>
      <c r="AA461" s="208"/>
      <c r="AB461" s="208"/>
      <c r="AC461" s="208"/>
      <c r="AD461" s="208"/>
      <c r="AE461" s="208"/>
      <c r="AF461" s="208"/>
      <c r="AG461" s="208"/>
      <c r="AH461" s="208"/>
      <c r="AI461" s="208"/>
      <c r="AJ461" s="208"/>
      <c r="AK461" s="208"/>
    </row>
    <row r="462">
      <c r="A462" s="208"/>
      <c r="B462" s="208"/>
      <c r="C462" s="208"/>
      <c r="D462" s="208"/>
      <c r="E462" s="208"/>
      <c r="F462" s="208"/>
      <c r="G462" s="208"/>
      <c r="H462" s="233"/>
      <c r="I462" s="234"/>
      <c r="J462" s="208"/>
      <c r="K462" s="208"/>
      <c r="L462" s="208"/>
      <c r="M462" s="208"/>
      <c r="N462" s="208"/>
      <c r="O462" s="208"/>
      <c r="P462" s="208"/>
      <c r="Q462" s="208"/>
      <c r="R462" s="208"/>
      <c r="S462" s="208"/>
      <c r="T462" s="208"/>
      <c r="U462" s="208"/>
      <c r="V462" s="208"/>
      <c r="W462" s="208"/>
      <c r="X462" s="208"/>
      <c r="Y462" s="208"/>
      <c r="Z462" s="208"/>
      <c r="AA462" s="208"/>
      <c r="AB462" s="208"/>
      <c r="AC462" s="208"/>
      <c r="AD462" s="208"/>
      <c r="AE462" s="208"/>
      <c r="AF462" s="208"/>
      <c r="AG462" s="208"/>
      <c r="AH462" s="208"/>
      <c r="AI462" s="208"/>
      <c r="AJ462" s="208"/>
      <c r="AK462" s="208"/>
    </row>
    <row r="463">
      <c r="A463" s="208"/>
      <c r="B463" s="208"/>
      <c r="C463" s="208"/>
      <c r="D463" s="208"/>
      <c r="E463" s="208"/>
      <c r="F463" s="208"/>
      <c r="G463" s="208"/>
      <c r="H463" s="233"/>
      <c r="I463" s="234"/>
      <c r="J463" s="208"/>
      <c r="K463" s="208"/>
      <c r="L463" s="208"/>
      <c r="M463" s="208"/>
      <c r="N463" s="208"/>
      <c r="O463" s="208"/>
      <c r="P463" s="208"/>
      <c r="Q463" s="208"/>
      <c r="R463" s="208"/>
      <c r="S463" s="208"/>
      <c r="T463" s="208"/>
      <c r="U463" s="208"/>
      <c r="V463" s="208"/>
      <c r="W463" s="208"/>
      <c r="X463" s="208"/>
      <c r="Y463" s="208"/>
      <c r="Z463" s="208"/>
      <c r="AA463" s="208"/>
      <c r="AB463" s="208"/>
      <c r="AC463" s="208"/>
      <c r="AD463" s="208"/>
      <c r="AE463" s="208"/>
      <c r="AF463" s="208"/>
      <c r="AG463" s="208"/>
      <c r="AH463" s="208"/>
      <c r="AI463" s="208"/>
      <c r="AJ463" s="208"/>
      <c r="AK463" s="208"/>
    </row>
    <row r="464">
      <c r="A464" s="208"/>
      <c r="B464" s="208"/>
      <c r="C464" s="208"/>
      <c r="D464" s="208"/>
      <c r="E464" s="208"/>
      <c r="F464" s="208"/>
      <c r="G464" s="208"/>
      <c r="H464" s="233"/>
      <c r="I464" s="234"/>
      <c r="J464" s="208"/>
      <c r="K464" s="208"/>
      <c r="L464" s="208"/>
      <c r="M464" s="208"/>
      <c r="N464" s="208"/>
      <c r="O464" s="208"/>
      <c r="P464" s="208"/>
      <c r="Q464" s="208"/>
      <c r="R464" s="208"/>
      <c r="S464" s="208"/>
      <c r="T464" s="208"/>
      <c r="U464" s="208"/>
      <c r="V464" s="208"/>
      <c r="W464" s="208"/>
      <c r="X464" s="208"/>
      <c r="Y464" s="208"/>
      <c r="Z464" s="208"/>
      <c r="AA464" s="208"/>
      <c r="AB464" s="208"/>
      <c r="AC464" s="208"/>
      <c r="AD464" s="208"/>
      <c r="AE464" s="208"/>
      <c r="AF464" s="208"/>
      <c r="AG464" s="208"/>
      <c r="AH464" s="208"/>
      <c r="AI464" s="208"/>
      <c r="AJ464" s="208"/>
      <c r="AK464" s="208"/>
    </row>
    <row r="465">
      <c r="A465" s="208"/>
      <c r="B465" s="208"/>
      <c r="C465" s="208"/>
      <c r="D465" s="208"/>
      <c r="E465" s="208"/>
      <c r="F465" s="208"/>
      <c r="G465" s="208"/>
      <c r="H465" s="233"/>
      <c r="I465" s="234"/>
      <c r="J465" s="208"/>
      <c r="K465" s="208"/>
      <c r="L465" s="208"/>
      <c r="M465" s="208"/>
      <c r="N465" s="208"/>
      <c r="O465" s="208"/>
      <c r="P465" s="208"/>
      <c r="Q465" s="208"/>
      <c r="R465" s="208"/>
      <c r="S465" s="208"/>
      <c r="T465" s="208"/>
      <c r="U465" s="208"/>
      <c r="V465" s="208"/>
      <c r="W465" s="208"/>
      <c r="X465" s="208"/>
      <c r="Y465" s="208"/>
      <c r="Z465" s="208"/>
      <c r="AA465" s="208"/>
      <c r="AB465" s="208"/>
      <c r="AC465" s="208"/>
      <c r="AD465" s="208"/>
      <c r="AE465" s="208"/>
      <c r="AF465" s="208"/>
      <c r="AG465" s="208"/>
      <c r="AH465" s="208"/>
      <c r="AI465" s="208"/>
      <c r="AJ465" s="208"/>
      <c r="AK465" s="208"/>
    </row>
    <row r="466">
      <c r="A466" s="208"/>
      <c r="B466" s="208"/>
      <c r="C466" s="208"/>
      <c r="D466" s="208"/>
      <c r="E466" s="208"/>
      <c r="F466" s="208"/>
      <c r="G466" s="208"/>
      <c r="H466" s="233"/>
      <c r="I466" s="234"/>
      <c r="J466" s="208"/>
      <c r="K466" s="208"/>
      <c r="L466" s="208"/>
      <c r="M466" s="208"/>
      <c r="N466" s="208"/>
      <c r="O466" s="208"/>
      <c r="P466" s="208"/>
      <c r="Q466" s="208"/>
      <c r="R466" s="208"/>
      <c r="S466" s="208"/>
      <c r="T466" s="208"/>
      <c r="U466" s="208"/>
      <c r="V466" s="208"/>
      <c r="W466" s="208"/>
      <c r="X466" s="208"/>
      <c r="Y466" s="208"/>
      <c r="Z466" s="208"/>
      <c r="AA466" s="208"/>
      <c r="AB466" s="208"/>
      <c r="AC466" s="208"/>
      <c r="AD466" s="208"/>
      <c r="AE466" s="208"/>
      <c r="AF466" s="208"/>
      <c r="AG466" s="208"/>
      <c r="AH466" s="208"/>
      <c r="AI466" s="208"/>
      <c r="AJ466" s="208"/>
      <c r="AK466" s="208"/>
    </row>
    <row r="467">
      <c r="A467" s="208"/>
      <c r="B467" s="208"/>
      <c r="C467" s="208"/>
      <c r="D467" s="208"/>
      <c r="E467" s="208"/>
      <c r="F467" s="208"/>
      <c r="G467" s="208"/>
      <c r="H467" s="233"/>
      <c r="I467" s="234"/>
      <c r="J467" s="208"/>
      <c r="K467" s="208"/>
      <c r="L467" s="208"/>
      <c r="M467" s="208"/>
      <c r="N467" s="208"/>
      <c r="O467" s="208"/>
      <c r="P467" s="208"/>
      <c r="Q467" s="208"/>
      <c r="R467" s="208"/>
      <c r="S467" s="208"/>
      <c r="T467" s="208"/>
      <c r="U467" s="208"/>
      <c r="V467" s="208"/>
      <c r="W467" s="208"/>
      <c r="X467" s="208"/>
      <c r="Y467" s="208"/>
      <c r="Z467" s="208"/>
      <c r="AA467" s="208"/>
      <c r="AB467" s="208"/>
      <c r="AC467" s="208"/>
      <c r="AD467" s="208"/>
      <c r="AE467" s="208"/>
      <c r="AF467" s="208"/>
      <c r="AG467" s="208"/>
      <c r="AH467" s="208"/>
      <c r="AI467" s="208"/>
      <c r="AJ467" s="208"/>
      <c r="AK467" s="208"/>
    </row>
    <row r="468">
      <c r="A468" s="208"/>
      <c r="B468" s="208"/>
      <c r="C468" s="208"/>
      <c r="D468" s="208"/>
      <c r="E468" s="208"/>
      <c r="F468" s="208"/>
      <c r="G468" s="208"/>
      <c r="H468" s="233"/>
      <c r="I468" s="234"/>
      <c r="J468" s="208"/>
      <c r="K468" s="208"/>
      <c r="L468" s="208"/>
      <c r="M468" s="208"/>
      <c r="N468" s="208"/>
      <c r="O468" s="208"/>
      <c r="P468" s="208"/>
      <c r="Q468" s="208"/>
      <c r="R468" s="208"/>
      <c r="S468" s="208"/>
      <c r="T468" s="208"/>
      <c r="U468" s="208"/>
      <c r="V468" s="208"/>
      <c r="W468" s="208"/>
      <c r="X468" s="208"/>
      <c r="Y468" s="208"/>
      <c r="Z468" s="208"/>
      <c r="AA468" s="208"/>
      <c r="AB468" s="208"/>
      <c r="AC468" s="208"/>
      <c r="AD468" s="208"/>
      <c r="AE468" s="208"/>
      <c r="AF468" s="208"/>
      <c r="AG468" s="208"/>
      <c r="AH468" s="208"/>
      <c r="AI468" s="208"/>
      <c r="AJ468" s="208"/>
      <c r="AK468" s="208"/>
    </row>
    <row r="469">
      <c r="A469" s="208"/>
      <c r="B469" s="208"/>
      <c r="C469" s="208"/>
      <c r="D469" s="208"/>
      <c r="E469" s="208"/>
      <c r="F469" s="208"/>
      <c r="G469" s="208"/>
      <c r="H469" s="233"/>
      <c r="I469" s="234"/>
      <c r="J469" s="208"/>
      <c r="K469" s="208"/>
      <c r="L469" s="208"/>
      <c r="M469" s="208"/>
      <c r="N469" s="208"/>
      <c r="O469" s="208"/>
      <c r="P469" s="208"/>
      <c r="Q469" s="208"/>
      <c r="R469" s="208"/>
      <c r="S469" s="208"/>
      <c r="T469" s="208"/>
      <c r="U469" s="208"/>
      <c r="V469" s="208"/>
      <c r="W469" s="208"/>
      <c r="X469" s="208"/>
      <c r="Y469" s="208"/>
      <c r="Z469" s="208"/>
      <c r="AA469" s="208"/>
      <c r="AB469" s="208"/>
      <c r="AC469" s="208"/>
      <c r="AD469" s="208"/>
      <c r="AE469" s="208"/>
      <c r="AF469" s="208"/>
      <c r="AG469" s="208"/>
      <c r="AH469" s="208"/>
      <c r="AI469" s="208"/>
      <c r="AJ469" s="208"/>
      <c r="AK469" s="208"/>
    </row>
    <row r="470">
      <c r="A470" s="208"/>
      <c r="B470" s="208"/>
      <c r="C470" s="208"/>
      <c r="D470" s="208"/>
      <c r="E470" s="208"/>
      <c r="F470" s="208"/>
      <c r="G470" s="208"/>
      <c r="H470" s="233"/>
      <c r="I470" s="234"/>
      <c r="J470" s="208"/>
      <c r="K470" s="208"/>
      <c r="L470" s="208"/>
      <c r="M470" s="208"/>
      <c r="N470" s="208"/>
      <c r="O470" s="208"/>
      <c r="P470" s="208"/>
      <c r="Q470" s="208"/>
      <c r="R470" s="208"/>
      <c r="S470" s="208"/>
      <c r="T470" s="208"/>
      <c r="U470" s="208"/>
      <c r="V470" s="208"/>
      <c r="W470" s="208"/>
      <c r="X470" s="208"/>
      <c r="Y470" s="208"/>
      <c r="Z470" s="208"/>
      <c r="AA470" s="208"/>
      <c r="AB470" s="208"/>
      <c r="AC470" s="208"/>
      <c r="AD470" s="208"/>
      <c r="AE470" s="208"/>
      <c r="AF470" s="208"/>
      <c r="AG470" s="208"/>
      <c r="AH470" s="208"/>
      <c r="AI470" s="208"/>
      <c r="AJ470" s="208"/>
      <c r="AK470" s="208"/>
    </row>
    <row r="471">
      <c r="A471" s="208"/>
      <c r="B471" s="208"/>
      <c r="C471" s="208"/>
      <c r="D471" s="208"/>
      <c r="E471" s="208"/>
      <c r="F471" s="208"/>
      <c r="G471" s="208"/>
      <c r="H471" s="233"/>
      <c r="I471" s="234"/>
      <c r="J471" s="208"/>
      <c r="K471" s="208"/>
      <c r="L471" s="208"/>
      <c r="M471" s="208"/>
      <c r="N471" s="208"/>
      <c r="O471" s="208"/>
      <c r="P471" s="208"/>
      <c r="Q471" s="208"/>
      <c r="R471" s="208"/>
      <c r="S471" s="208"/>
      <c r="T471" s="208"/>
      <c r="U471" s="208"/>
      <c r="V471" s="208"/>
      <c r="W471" s="208"/>
      <c r="X471" s="208"/>
      <c r="Y471" s="208"/>
      <c r="Z471" s="208"/>
      <c r="AA471" s="208"/>
      <c r="AB471" s="208"/>
      <c r="AC471" s="208"/>
      <c r="AD471" s="208"/>
      <c r="AE471" s="208"/>
      <c r="AF471" s="208"/>
      <c r="AG471" s="208"/>
      <c r="AH471" s="208"/>
      <c r="AI471" s="208"/>
      <c r="AJ471" s="208"/>
      <c r="AK471" s="208"/>
    </row>
    <row r="472">
      <c r="A472" s="208"/>
      <c r="B472" s="208"/>
      <c r="C472" s="208"/>
      <c r="D472" s="208"/>
      <c r="E472" s="208"/>
      <c r="F472" s="208"/>
      <c r="G472" s="208"/>
      <c r="H472" s="233"/>
      <c r="I472" s="234"/>
      <c r="J472" s="208"/>
      <c r="K472" s="208"/>
      <c r="L472" s="208"/>
      <c r="M472" s="208"/>
      <c r="N472" s="208"/>
      <c r="O472" s="208"/>
      <c r="P472" s="208"/>
      <c r="Q472" s="208"/>
      <c r="R472" s="208"/>
      <c r="S472" s="208"/>
      <c r="T472" s="208"/>
      <c r="U472" s="208"/>
      <c r="V472" s="208"/>
      <c r="W472" s="208"/>
      <c r="X472" s="208"/>
      <c r="Y472" s="208"/>
      <c r="Z472" s="208"/>
      <c r="AA472" s="208"/>
      <c r="AB472" s="208"/>
      <c r="AC472" s="208"/>
      <c r="AD472" s="208"/>
      <c r="AE472" s="208"/>
      <c r="AF472" s="208"/>
      <c r="AG472" s="208"/>
      <c r="AH472" s="208"/>
      <c r="AI472" s="208"/>
      <c r="AJ472" s="208"/>
      <c r="AK472" s="208"/>
    </row>
    <row r="473">
      <c r="A473" s="208"/>
      <c r="B473" s="208"/>
      <c r="C473" s="208"/>
      <c r="D473" s="208"/>
      <c r="E473" s="208"/>
      <c r="F473" s="208"/>
      <c r="G473" s="208"/>
      <c r="H473" s="233"/>
      <c r="I473" s="234"/>
      <c r="J473" s="208"/>
      <c r="K473" s="208"/>
      <c r="L473" s="208"/>
      <c r="M473" s="208"/>
      <c r="N473" s="208"/>
      <c r="O473" s="208"/>
      <c r="P473" s="208"/>
      <c r="Q473" s="208"/>
      <c r="R473" s="208"/>
      <c r="S473" s="208"/>
      <c r="T473" s="208"/>
      <c r="U473" s="208"/>
      <c r="V473" s="208"/>
      <c r="W473" s="208"/>
      <c r="X473" s="208"/>
      <c r="Y473" s="208"/>
      <c r="Z473" s="208"/>
      <c r="AA473" s="208"/>
      <c r="AB473" s="208"/>
      <c r="AC473" s="208"/>
      <c r="AD473" s="208"/>
      <c r="AE473" s="208"/>
      <c r="AF473" s="208"/>
      <c r="AG473" s="208"/>
      <c r="AH473" s="208"/>
      <c r="AI473" s="208"/>
      <c r="AJ473" s="208"/>
      <c r="AK473" s="208"/>
    </row>
    <row r="474">
      <c r="A474" s="208"/>
      <c r="B474" s="208"/>
      <c r="C474" s="208"/>
      <c r="D474" s="208"/>
      <c r="E474" s="208"/>
      <c r="F474" s="208"/>
      <c r="G474" s="208"/>
      <c r="H474" s="233"/>
      <c r="I474" s="234"/>
      <c r="J474" s="208"/>
      <c r="K474" s="208"/>
      <c r="L474" s="208"/>
      <c r="M474" s="208"/>
      <c r="N474" s="208"/>
      <c r="O474" s="208"/>
      <c r="P474" s="208"/>
      <c r="Q474" s="208"/>
      <c r="R474" s="208"/>
      <c r="S474" s="208"/>
      <c r="T474" s="208"/>
      <c r="U474" s="208"/>
      <c r="V474" s="208"/>
      <c r="W474" s="208"/>
      <c r="X474" s="208"/>
      <c r="Y474" s="208"/>
      <c r="Z474" s="208"/>
      <c r="AA474" s="208"/>
      <c r="AB474" s="208"/>
      <c r="AC474" s="208"/>
      <c r="AD474" s="208"/>
      <c r="AE474" s="208"/>
      <c r="AF474" s="208"/>
      <c r="AG474" s="208"/>
      <c r="AH474" s="208"/>
      <c r="AI474" s="208"/>
      <c r="AJ474" s="208"/>
      <c r="AK474" s="208"/>
    </row>
    <row r="475">
      <c r="A475" s="208"/>
      <c r="B475" s="208"/>
      <c r="C475" s="208"/>
      <c r="D475" s="208"/>
      <c r="E475" s="208"/>
      <c r="F475" s="208"/>
      <c r="G475" s="208"/>
      <c r="H475" s="233"/>
      <c r="I475" s="234"/>
      <c r="J475" s="208"/>
      <c r="K475" s="208"/>
      <c r="L475" s="208"/>
      <c r="M475" s="208"/>
      <c r="N475" s="208"/>
      <c r="O475" s="208"/>
      <c r="P475" s="208"/>
      <c r="Q475" s="208"/>
      <c r="R475" s="208"/>
      <c r="S475" s="208"/>
      <c r="T475" s="208"/>
      <c r="U475" s="208"/>
      <c r="V475" s="208"/>
      <c r="W475" s="208"/>
      <c r="X475" s="208"/>
      <c r="Y475" s="208"/>
      <c r="Z475" s="208"/>
      <c r="AA475" s="208"/>
      <c r="AB475" s="208"/>
      <c r="AC475" s="208"/>
      <c r="AD475" s="208"/>
      <c r="AE475" s="208"/>
      <c r="AF475" s="208"/>
      <c r="AG475" s="208"/>
      <c r="AH475" s="208"/>
      <c r="AI475" s="208"/>
      <c r="AJ475" s="208"/>
      <c r="AK475" s="208"/>
    </row>
    <row r="476">
      <c r="A476" s="208"/>
      <c r="B476" s="208"/>
      <c r="C476" s="208"/>
      <c r="D476" s="208"/>
      <c r="E476" s="208"/>
      <c r="F476" s="208"/>
      <c r="G476" s="208"/>
      <c r="H476" s="233"/>
      <c r="I476" s="234"/>
      <c r="J476" s="208"/>
      <c r="K476" s="208"/>
      <c r="L476" s="208"/>
      <c r="M476" s="208"/>
      <c r="N476" s="208"/>
      <c r="O476" s="208"/>
      <c r="P476" s="208"/>
      <c r="Q476" s="208"/>
      <c r="R476" s="208"/>
      <c r="S476" s="208"/>
      <c r="T476" s="208"/>
      <c r="U476" s="208"/>
      <c r="V476" s="208"/>
      <c r="W476" s="208"/>
      <c r="X476" s="208"/>
      <c r="Y476" s="208"/>
      <c r="Z476" s="208"/>
      <c r="AA476" s="208"/>
      <c r="AB476" s="208"/>
      <c r="AC476" s="208"/>
      <c r="AD476" s="208"/>
      <c r="AE476" s="208"/>
      <c r="AF476" s="208"/>
      <c r="AG476" s="208"/>
      <c r="AH476" s="208"/>
      <c r="AI476" s="208"/>
      <c r="AJ476" s="208"/>
      <c r="AK476" s="208"/>
    </row>
    <row r="477">
      <c r="A477" s="208"/>
      <c r="B477" s="208"/>
      <c r="C477" s="208"/>
      <c r="D477" s="208"/>
      <c r="E477" s="208"/>
      <c r="F477" s="208"/>
      <c r="G477" s="208"/>
      <c r="H477" s="233"/>
      <c r="I477" s="234"/>
      <c r="J477" s="208"/>
      <c r="K477" s="208"/>
      <c r="L477" s="208"/>
      <c r="M477" s="208"/>
      <c r="N477" s="208"/>
      <c r="O477" s="208"/>
      <c r="P477" s="208"/>
      <c r="Q477" s="208"/>
      <c r="R477" s="208"/>
      <c r="S477" s="208"/>
      <c r="T477" s="208"/>
      <c r="U477" s="208"/>
      <c r="V477" s="208"/>
      <c r="W477" s="208"/>
      <c r="X477" s="208"/>
      <c r="Y477" s="208"/>
      <c r="Z477" s="208"/>
      <c r="AA477" s="208"/>
      <c r="AB477" s="208"/>
      <c r="AC477" s="208"/>
      <c r="AD477" s="208"/>
      <c r="AE477" s="208"/>
      <c r="AF477" s="208"/>
      <c r="AG477" s="208"/>
      <c r="AH477" s="208"/>
      <c r="AI477" s="208"/>
      <c r="AJ477" s="208"/>
      <c r="AK477" s="208"/>
    </row>
    <row r="478">
      <c r="A478" s="208"/>
      <c r="B478" s="208"/>
      <c r="C478" s="208"/>
      <c r="D478" s="208"/>
      <c r="E478" s="208"/>
      <c r="F478" s="208"/>
      <c r="G478" s="208"/>
      <c r="H478" s="233"/>
      <c r="I478" s="234"/>
      <c r="J478" s="208"/>
      <c r="K478" s="208"/>
      <c r="L478" s="208"/>
      <c r="M478" s="208"/>
      <c r="N478" s="208"/>
      <c r="O478" s="208"/>
      <c r="P478" s="208"/>
      <c r="Q478" s="208"/>
      <c r="R478" s="208"/>
      <c r="S478" s="208"/>
      <c r="T478" s="208"/>
      <c r="U478" s="208"/>
      <c r="V478" s="208"/>
      <c r="W478" s="208"/>
      <c r="X478" s="208"/>
      <c r="Y478" s="208"/>
      <c r="Z478" s="208"/>
      <c r="AA478" s="208"/>
      <c r="AB478" s="208"/>
      <c r="AC478" s="208"/>
      <c r="AD478" s="208"/>
      <c r="AE478" s="208"/>
      <c r="AF478" s="208"/>
      <c r="AG478" s="208"/>
      <c r="AH478" s="208"/>
      <c r="AI478" s="208"/>
      <c r="AJ478" s="208"/>
      <c r="AK478" s="208"/>
    </row>
    <row r="479">
      <c r="A479" s="208"/>
      <c r="B479" s="208"/>
      <c r="C479" s="208"/>
      <c r="D479" s="208"/>
      <c r="E479" s="208"/>
      <c r="F479" s="208"/>
      <c r="G479" s="208"/>
      <c r="H479" s="233"/>
      <c r="I479" s="234"/>
      <c r="J479" s="208"/>
      <c r="K479" s="208"/>
      <c r="L479" s="208"/>
      <c r="M479" s="208"/>
      <c r="N479" s="208"/>
      <c r="O479" s="208"/>
      <c r="P479" s="208"/>
      <c r="Q479" s="208"/>
      <c r="R479" s="208"/>
      <c r="S479" s="208"/>
      <c r="T479" s="208"/>
      <c r="U479" s="208"/>
      <c r="V479" s="208"/>
      <c r="W479" s="208"/>
      <c r="X479" s="208"/>
      <c r="Y479" s="208"/>
      <c r="Z479" s="208"/>
      <c r="AA479" s="208"/>
      <c r="AB479" s="208"/>
      <c r="AC479" s="208"/>
      <c r="AD479" s="208"/>
      <c r="AE479" s="208"/>
      <c r="AF479" s="208"/>
      <c r="AG479" s="208"/>
      <c r="AH479" s="208"/>
      <c r="AI479" s="208"/>
      <c r="AJ479" s="208"/>
      <c r="AK479" s="208"/>
    </row>
    <row r="480">
      <c r="A480" s="208"/>
      <c r="B480" s="208"/>
      <c r="C480" s="208"/>
      <c r="D480" s="208"/>
      <c r="E480" s="208"/>
      <c r="F480" s="208"/>
      <c r="G480" s="208"/>
      <c r="H480" s="233"/>
      <c r="I480" s="234"/>
      <c r="J480" s="208"/>
      <c r="K480" s="208"/>
      <c r="L480" s="208"/>
      <c r="M480" s="208"/>
      <c r="N480" s="208"/>
      <c r="O480" s="208"/>
      <c r="P480" s="208"/>
      <c r="Q480" s="208"/>
      <c r="R480" s="208"/>
      <c r="S480" s="208"/>
      <c r="T480" s="208"/>
      <c r="U480" s="208"/>
      <c r="V480" s="208"/>
      <c r="W480" s="208"/>
      <c r="X480" s="208"/>
      <c r="Y480" s="208"/>
      <c r="Z480" s="208"/>
      <c r="AA480" s="208"/>
      <c r="AB480" s="208"/>
      <c r="AC480" s="208"/>
      <c r="AD480" s="208"/>
      <c r="AE480" s="208"/>
      <c r="AF480" s="208"/>
      <c r="AG480" s="208"/>
      <c r="AH480" s="208"/>
      <c r="AI480" s="208"/>
      <c r="AJ480" s="208"/>
      <c r="AK480" s="208"/>
    </row>
    <row r="481">
      <c r="A481" s="208"/>
      <c r="B481" s="208"/>
      <c r="C481" s="208"/>
      <c r="D481" s="208"/>
      <c r="E481" s="208"/>
      <c r="F481" s="208"/>
      <c r="G481" s="208"/>
      <c r="H481" s="233"/>
      <c r="I481" s="234"/>
      <c r="J481" s="208"/>
      <c r="K481" s="208"/>
      <c r="L481" s="208"/>
      <c r="M481" s="208"/>
      <c r="N481" s="208"/>
      <c r="O481" s="208"/>
      <c r="P481" s="208"/>
      <c r="Q481" s="208"/>
      <c r="R481" s="208"/>
      <c r="S481" s="208"/>
      <c r="T481" s="208"/>
      <c r="U481" s="208"/>
      <c r="V481" s="208"/>
      <c r="W481" s="208"/>
      <c r="X481" s="208"/>
      <c r="Y481" s="208"/>
      <c r="Z481" s="208"/>
      <c r="AA481" s="208"/>
      <c r="AB481" s="208"/>
      <c r="AC481" s="208"/>
      <c r="AD481" s="208"/>
      <c r="AE481" s="208"/>
      <c r="AF481" s="208"/>
      <c r="AG481" s="208"/>
      <c r="AH481" s="208"/>
      <c r="AI481" s="208"/>
      <c r="AJ481" s="208"/>
      <c r="AK481" s="208"/>
    </row>
    <row r="482">
      <c r="A482" s="208"/>
      <c r="B482" s="208"/>
      <c r="C482" s="208"/>
      <c r="D482" s="208"/>
      <c r="E482" s="208"/>
      <c r="F482" s="208"/>
      <c r="G482" s="208"/>
      <c r="H482" s="233"/>
      <c r="I482" s="234"/>
      <c r="J482" s="208"/>
      <c r="K482" s="208"/>
      <c r="L482" s="208"/>
      <c r="M482" s="208"/>
      <c r="N482" s="208"/>
      <c r="O482" s="208"/>
      <c r="P482" s="208"/>
      <c r="Q482" s="208"/>
      <c r="R482" s="208"/>
      <c r="S482" s="208"/>
      <c r="T482" s="208"/>
      <c r="U482" s="208"/>
      <c r="V482" s="208"/>
      <c r="W482" s="208"/>
      <c r="X482" s="208"/>
      <c r="Y482" s="208"/>
      <c r="Z482" s="208"/>
      <c r="AA482" s="208"/>
      <c r="AB482" s="208"/>
      <c r="AC482" s="208"/>
      <c r="AD482" s="208"/>
      <c r="AE482" s="208"/>
      <c r="AF482" s="208"/>
      <c r="AG482" s="208"/>
      <c r="AH482" s="208"/>
      <c r="AI482" s="208"/>
      <c r="AJ482" s="208"/>
      <c r="AK482" s="208"/>
    </row>
    <row r="483">
      <c r="A483" s="208"/>
      <c r="B483" s="208"/>
      <c r="C483" s="208"/>
      <c r="D483" s="208"/>
      <c r="E483" s="208"/>
      <c r="F483" s="208"/>
      <c r="G483" s="208"/>
      <c r="H483" s="233"/>
      <c r="I483" s="234"/>
      <c r="J483" s="208"/>
      <c r="K483" s="208"/>
      <c r="L483" s="208"/>
      <c r="M483" s="208"/>
      <c r="N483" s="208"/>
      <c r="O483" s="208"/>
      <c r="P483" s="208"/>
      <c r="Q483" s="208"/>
      <c r="R483" s="208"/>
      <c r="S483" s="208"/>
      <c r="T483" s="208"/>
      <c r="U483" s="208"/>
      <c r="V483" s="208"/>
      <c r="W483" s="208"/>
      <c r="X483" s="208"/>
      <c r="Y483" s="208"/>
      <c r="Z483" s="208"/>
      <c r="AA483" s="208"/>
      <c r="AB483" s="208"/>
      <c r="AC483" s="208"/>
      <c r="AD483" s="208"/>
      <c r="AE483" s="208"/>
      <c r="AF483" s="208"/>
      <c r="AG483" s="208"/>
      <c r="AH483" s="208"/>
      <c r="AI483" s="208"/>
      <c r="AJ483" s="208"/>
      <c r="AK483" s="208"/>
    </row>
    <row r="484">
      <c r="A484" s="208"/>
      <c r="B484" s="208"/>
      <c r="C484" s="208"/>
      <c r="D484" s="208"/>
      <c r="E484" s="208"/>
      <c r="F484" s="208"/>
      <c r="G484" s="208"/>
      <c r="H484" s="233"/>
      <c r="I484" s="234"/>
      <c r="J484" s="208"/>
      <c r="K484" s="208"/>
      <c r="L484" s="208"/>
      <c r="M484" s="208"/>
      <c r="N484" s="208"/>
      <c r="O484" s="208"/>
      <c r="P484" s="208"/>
      <c r="Q484" s="208"/>
      <c r="R484" s="208"/>
      <c r="S484" s="208"/>
      <c r="T484" s="208"/>
      <c r="U484" s="208"/>
      <c r="V484" s="208"/>
      <c r="W484" s="208"/>
      <c r="X484" s="208"/>
      <c r="Y484" s="208"/>
      <c r="Z484" s="208"/>
      <c r="AA484" s="208"/>
      <c r="AB484" s="208"/>
      <c r="AC484" s="208"/>
      <c r="AD484" s="208"/>
      <c r="AE484" s="208"/>
      <c r="AF484" s="208"/>
      <c r="AG484" s="208"/>
      <c r="AH484" s="208"/>
      <c r="AI484" s="208"/>
      <c r="AJ484" s="208"/>
      <c r="AK484" s="208"/>
    </row>
    <row r="485">
      <c r="A485" s="208"/>
      <c r="B485" s="208"/>
      <c r="C485" s="208"/>
      <c r="D485" s="208"/>
      <c r="E485" s="208"/>
      <c r="F485" s="208"/>
      <c r="G485" s="208"/>
      <c r="H485" s="233"/>
      <c r="I485" s="234"/>
      <c r="J485" s="208"/>
      <c r="K485" s="208"/>
      <c r="L485" s="208"/>
      <c r="M485" s="208"/>
      <c r="N485" s="208"/>
      <c r="O485" s="208"/>
      <c r="P485" s="208"/>
      <c r="Q485" s="208"/>
      <c r="R485" s="208"/>
      <c r="S485" s="208"/>
      <c r="T485" s="208"/>
      <c r="U485" s="208"/>
      <c r="V485" s="208"/>
      <c r="W485" s="208"/>
      <c r="X485" s="208"/>
      <c r="Y485" s="208"/>
      <c r="Z485" s="208"/>
      <c r="AA485" s="208"/>
      <c r="AB485" s="208"/>
      <c r="AC485" s="208"/>
      <c r="AD485" s="208"/>
      <c r="AE485" s="208"/>
      <c r="AF485" s="208"/>
      <c r="AG485" s="208"/>
      <c r="AH485" s="208"/>
      <c r="AI485" s="208"/>
      <c r="AJ485" s="208"/>
      <c r="AK485" s="208"/>
    </row>
    <row r="486">
      <c r="A486" s="208"/>
      <c r="B486" s="208"/>
      <c r="C486" s="208"/>
      <c r="D486" s="208"/>
      <c r="E486" s="208"/>
      <c r="F486" s="208"/>
      <c r="G486" s="208"/>
      <c r="H486" s="233"/>
      <c r="I486" s="234"/>
      <c r="J486" s="208"/>
      <c r="K486" s="208"/>
      <c r="L486" s="208"/>
      <c r="M486" s="208"/>
      <c r="N486" s="208"/>
      <c r="O486" s="208"/>
      <c r="P486" s="208"/>
      <c r="Q486" s="208"/>
      <c r="R486" s="208"/>
      <c r="S486" s="208"/>
      <c r="T486" s="208"/>
      <c r="U486" s="208"/>
      <c r="V486" s="208"/>
      <c r="W486" s="208"/>
      <c r="X486" s="208"/>
      <c r="Y486" s="208"/>
      <c r="Z486" s="208"/>
      <c r="AA486" s="208"/>
      <c r="AB486" s="208"/>
      <c r="AC486" s="208"/>
      <c r="AD486" s="208"/>
      <c r="AE486" s="208"/>
      <c r="AF486" s="208"/>
      <c r="AG486" s="208"/>
      <c r="AH486" s="208"/>
      <c r="AI486" s="208"/>
      <c r="AJ486" s="208"/>
      <c r="AK486" s="208"/>
    </row>
    <row r="487">
      <c r="A487" s="208"/>
      <c r="B487" s="208"/>
      <c r="C487" s="208"/>
      <c r="D487" s="208"/>
      <c r="E487" s="208"/>
      <c r="F487" s="208"/>
      <c r="G487" s="208"/>
      <c r="H487" s="233"/>
      <c r="I487" s="234"/>
      <c r="J487" s="208"/>
      <c r="K487" s="208"/>
      <c r="L487" s="208"/>
      <c r="M487" s="208"/>
      <c r="N487" s="208"/>
      <c r="O487" s="208"/>
      <c r="P487" s="208"/>
      <c r="Q487" s="208"/>
      <c r="R487" s="208"/>
      <c r="S487" s="208"/>
      <c r="T487" s="208"/>
      <c r="U487" s="208"/>
      <c r="V487" s="208"/>
      <c r="W487" s="208"/>
      <c r="X487" s="208"/>
      <c r="Y487" s="208"/>
      <c r="Z487" s="208"/>
      <c r="AA487" s="208"/>
      <c r="AB487" s="208"/>
      <c r="AC487" s="208"/>
      <c r="AD487" s="208"/>
      <c r="AE487" s="208"/>
      <c r="AF487" s="208"/>
      <c r="AG487" s="208"/>
      <c r="AH487" s="208"/>
      <c r="AI487" s="208"/>
      <c r="AJ487" s="208"/>
      <c r="AK487" s="208"/>
    </row>
    <row r="488">
      <c r="A488" s="208"/>
      <c r="B488" s="208"/>
      <c r="C488" s="208"/>
      <c r="D488" s="208"/>
      <c r="E488" s="208"/>
      <c r="F488" s="208"/>
      <c r="G488" s="208"/>
      <c r="H488" s="233"/>
      <c r="I488" s="234"/>
      <c r="J488" s="208"/>
      <c r="K488" s="208"/>
      <c r="L488" s="208"/>
      <c r="M488" s="208"/>
      <c r="N488" s="208"/>
      <c r="O488" s="208"/>
      <c r="P488" s="208"/>
      <c r="Q488" s="208"/>
      <c r="R488" s="208"/>
      <c r="S488" s="208"/>
      <c r="T488" s="208"/>
      <c r="U488" s="208"/>
      <c r="V488" s="208"/>
      <c r="W488" s="208"/>
      <c r="X488" s="208"/>
      <c r="Y488" s="208"/>
      <c r="Z488" s="208"/>
      <c r="AA488" s="208"/>
      <c r="AB488" s="208"/>
      <c r="AC488" s="208"/>
      <c r="AD488" s="208"/>
      <c r="AE488" s="208"/>
      <c r="AF488" s="208"/>
      <c r="AG488" s="208"/>
      <c r="AH488" s="208"/>
      <c r="AI488" s="208"/>
      <c r="AJ488" s="208"/>
      <c r="AK488" s="208"/>
    </row>
    <row r="489">
      <c r="A489" s="208"/>
      <c r="B489" s="208"/>
      <c r="C489" s="208"/>
      <c r="D489" s="208"/>
      <c r="E489" s="208"/>
      <c r="F489" s="208"/>
      <c r="G489" s="208"/>
      <c r="H489" s="233"/>
      <c r="I489" s="234"/>
      <c r="J489" s="208"/>
      <c r="K489" s="208"/>
      <c r="L489" s="208"/>
      <c r="M489" s="208"/>
      <c r="N489" s="208"/>
      <c r="O489" s="208"/>
      <c r="P489" s="208"/>
      <c r="Q489" s="208"/>
      <c r="R489" s="208"/>
      <c r="S489" s="208"/>
      <c r="T489" s="208"/>
      <c r="U489" s="208"/>
      <c r="V489" s="208"/>
      <c r="W489" s="208"/>
      <c r="X489" s="208"/>
      <c r="Y489" s="208"/>
      <c r="Z489" s="208"/>
      <c r="AA489" s="208"/>
      <c r="AB489" s="208"/>
      <c r="AC489" s="208"/>
      <c r="AD489" s="208"/>
      <c r="AE489" s="208"/>
      <c r="AF489" s="208"/>
      <c r="AG489" s="208"/>
      <c r="AH489" s="208"/>
      <c r="AI489" s="208"/>
      <c r="AJ489" s="208"/>
      <c r="AK489" s="208"/>
    </row>
    <row r="490">
      <c r="A490" s="208"/>
      <c r="B490" s="208"/>
      <c r="C490" s="208"/>
      <c r="D490" s="208"/>
      <c r="E490" s="208"/>
      <c r="F490" s="208"/>
      <c r="G490" s="208"/>
      <c r="H490" s="233"/>
      <c r="I490" s="234"/>
      <c r="J490" s="208"/>
      <c r="K490" s="208"/>
      <c r="L490" s="208"/>
      <c r="M490" s="208"/>
      <c r="N490" s="208"/>
      <c r="O490" s="208"/>
      <c r="P490" s="208"/>
      <c r="Q490" s="208"/>
      <c r="R490" s="208"/>
      <c r="S490" s="208"/>
      <c r="T490" s="208"/>
      <c r="U490" s="208"/>
      <c r="V490" s="208"/>
      <c r="W490" s="208"/>
      <c r="X490" s="208"/>
      <c r="Y490" s="208"/>
      <c r="Z490" s="208"/>
      <c r="AA490" s="208"/>
      <c r="AB490" s="208"/>
      <c r="AC490" s="208"/>
      <c r="AD490" s="208"/>
      <c r="AE490" s="208"/>
      <c r="AF490" s="208"/>
      <c r="AG490" s="208"/>
      <c r="AH490" s="208"/>
      <c r="AI490" s="208"/>
      <c r="AJ490" s="208"/>
      <c r="AK490" s="208"/>
    </row>
    <row r="491">
      <c r="A491" s="208"/>
      <c r="B491" s="208"/>
      <c r="C491" s="208"/>
      <c r="D491" s="208"/>
      <c r="E491" s="208"/>
      <c r="F491" s="208"/>
      <c r="G491" s="208"/>
      <c r="H491" s="233"/>
      <c r="I491" s="234"/>
      <c r="J491" s="208"/>
      <c r="K491" s="208"/>
      <c r="L491" s="208"/>
      <c r="M491" s="208"/>
      <c r="N491" s="208"/>
      <c r="O491" s="208"/>
      <c r="P491" s="208"/>
      <c r="Q491" s="208"/>
      <c r="R491" s="208"/>
      <c r="S491" s="208"/>
      <c r="T491" s="208"/>
      <c r="U491" s="208"/>
      <c r="V491" s="208"/>
      <c r="W491" s="208"/>
      <c r="X491" s="208"/>
      <c r="Y491" s="208"/>
      <c r="Z491" s="208"/>
      <c r="AA491" s="208"/>
      <c r="AB491" s="208"/>
      <c r="AC491" s="208"/>
      <c r="AD491" s="208"/>
      <c r="AE491" s="208"/>
      <c r="AF491" s="208"/>
      <c r="AG491" s="208"/>
      <c r="AH491" s="208"/>
      <c r="AI491" s="208"/>
      <c r="AJ491" s="208"/>
      <c r="AK491" s="208"/>
    </row>
    <row r="492">
      <c r="A492" s="208"/>
      <c r="B492" s="208"/>
      <c r="C492" s="208"/>
      <c r="D492" s="208"/>
      <c r="E492" s="208"/>
      <c r="F492" s="208"/>
      <c r="G492" s="208"/>
      <c r="H492" s="233"/>
      <c r="I492" s="234"/>
      <c r="J492" s="208"/>
      <c r="K492" s="208"/>
      <c r="L492" s="208"/>
      <c r="M492" s="208"/>
      <c r="N492" s="208"/>
      <c r="O492" s="208"/>
      <c r="P492" s="208"/>
      <c r="Q492" s="208"/>
      <c r="R492" s="208"/>
      <c r="S492" s="208"/>
      <c r="T492" s="208"/>
      <c r="U492" s="208"/>
      <c r="V492" s="208"/>
      <c r="W492" s="208"/>
      <c r="X492" s="208"/>
      <c r="Y492" s="208"/>
      <c r="Z492" s="208"/>
      <c r="AA492" s="208"/>
      <c r="AB492" s="208"/>
      <c r="AC492" s="208"/>
      <c r="AD492" s="208"/>
      <c r="AE492" s="208"/>
      <c r="AF492" s="208"/>
      <c r="AG492" s="208"/>
      <c r="AH492" s="208"/>
      <c r="AI492" s="208"/>
      <c r="AJ492" s="208"/>
      <c r="AK492" s="208"/>
    </row>
    <row r="493">
      <c r="A493" s="208"/>
      <c r="B493" s="208"/>
      <c r="C493" s="208"/>
      <c r="D493" s="208"/>
      <c r="E493" s="208"/>
      <c r="F493" s="208"/>
      <c r="G493" s="208"/>
      <c r="H493" s="233"/>
      <c r="I493" s="234"/>
      <c r="J493" s="208"/>
      <c r="K493" s="208"/>
      <c r="L493" s="208"/>
      <c r="M493" s="208"/>
      <c r="N493" s="208"/>
      <c r="O493" s="208"/>
      <c r="P493" s="208"/>
      <c r="Q493" s="208"/>
      <c r="R493" s="208"/>
      <c r="S493" s="208"/>
      <c r="T493" s="208"/>
      <c r="U493" s="208"/>
      <c r="V493" s="208"/>
      <c r="W493" s="208"/>
      <c r="X493" s="208"/>
      <c r="Y493" s="208"/>
      <c r="Z493" s="208"/>
      <c r="AA493" s="208"/>
      <c r="AB493" s="208"/>
      <c r="AC493" s="208"/>
      <c r="AD493" s="208"/>
      <c r="AE493" s="208"/>
      <c r="AF493" s="208"/>
      <c r="AG493" s="208"/>
      <c r="AH493" s="208"/>
      <c r="AI493" s="208"/>
      <c r="AJ493" s="208"/>
      <c r="AK493" s="208"/>
    </row>
    <row r="494">
      <c r="A494" s="208"/>
      <c r="B494" s="208"/>
      <c r="C494" s="208"/>
      <c r="D494" s="208"/>
      <c r="E494" s="208"/>
      <c r="F494" s="208"/>
      <c r="G494" s="208"/>
      <c r="H494" s="233"/>
      <c r="I494" s="234"/>
      <c r="J494" s="208"/>
      <c r="K494" s="208"/>
      <c r="L494" s="208"/>
      <c r="M494" s="208"/>
      <c r="N494" s="208"/>
      <c r="O494" s="208"/>
      <c r="P494" s="208"/>
      <c r="Q494" s="208"/>
      <c r="R494" s="208"/>
      <c r="S494" s="208"/>
      <c r="T494" s="208"/>
      <c r="U494" s="208"/>
      <c r="V494" s="208"/>
      <c r="W494" s="208"/>
      <c r="X494" s="208"/>
      <c r="Y494" s="208"/>
      <c r="Z494" s="208"/>
      <c r="AA494" s="208"/>
      <c r="AB494" s="208"/>
      <c r="AC494" s="208"/>
      <c r="AD494" s="208"/>
      <c r="AE494" s="208"/>
      <c r="AF494" s="208"/>
      <c r="AG494" s="208"/>
      <c r="AH494" s="208"/>
      <c r="AI494" s="208"/>
      <c r="AJ494" s="208"/>
      <c r="AK494" s="208"/>
    </row>
    <row r="495">
      <c r="A495" s="208"/>
      <c r="B495" s="208"/>
      <c r="C495" s="208"/>
      <c r="D495" s="208"/>
      <c r="E495" s="208"/>
      <c r="F495" s="208"/>
      <c r="G495" s="208"/>
      <c r="H495" s="233"/>
      <c r="I495" s="234"/>
      <c r="J495" s="208"/>
      <c r="K495" s="208"/>
      <c r="L495" s="208"/>
      <c r="M495" s="208"/>
      <c r="N495" s="208"/>
      <c r="O495" s="208"/>
      <c r="P495" s="208"/>
      <c r="Q495" s="208"/>
      <c r="R495" s="208"/>
      <c r="S495" s="208"/>
      <c r="T495" s="208"/>
      <c r="U495" s="208"/>
      <c r="V495" s="208"/>
      <c r="W495" s="208"/>
      <c r="X495" s="208"/>
      <c r="Y495" s="208"/>
      <c r="Z495" s="208"/>
      <c r="AA495" s="208"/>
      <c r="AB495" s="208"/>
      <c r="AC495" s="208"/>
      <c r="AD495" s="208"/>
      <c r="AE495" s="208"/>
      <c r="AF495" s="208"/>
      <c r="AG495" s="208"/>
      <c r="AH495" s="208"/>
      <c r="AI495" s="208"/>
      <c r="AJ495" s="208"/>
      <c r="AK495" s="208"/>
    </row>
    <row r="496">
      <c r="A496" s="208"/>
      <c r="B496" s="208"/>
      <c r="C496" s="208"/>
      <c r="D496" s="208"/>
      <c r="E496" s="208"/>
      <c r="F496" s="208"/>
      <c r="G496" s="208"/>
      <c r="H496" s="233"/>
      <c r="I496" s="234"/>
      <c r="J496" s="208"/>
      <c r="K496" s="208"/>
      <c r="L496" s="208"/>
      <c r="M496" s="208"/>
      <c r="N496" s="208"/>
      <c r="O496" s="208"/>
      <c r="P496" s="208"/>
      <c r="Q496" s="208"/>
      <c r="R496" s="208"/>
      <c r="S496" s="208"/>
      <c r="T496" s="208"/>
      <c r="U496" s="208"/>
      <c r="V496" s="208"/>
      <c r="W496" s="208"/>
      <c r="X496" s="208"/>
      <c r="Y496" s="208"/>
      <c r="Z496" s="208"/>
      <c r="AA496" s="208"/>
      <c r="AB496" s="208"/>
      <c r="AC496" s="208"/>
      <c r="AD496" s="208"/>
      <c r="AE496" s="208"/>
      <c r="AF496" s="208"/>
      <c r="AG496" s="208"/>
      <c r="AH496" s="208"/>
      <c r="AI496" s="208"/>
      <c r="AJ496" s="208"/>
      <c r="AK496" s="208"/>
    </row>
    <row r="497">
      <c r="A497" s="208"/>
      <c r="B497" s="208"/>
      <c r="C497" s="208"/>
      <c r="D497" s="208"/>
      <c r="E497" s="208"/>
      <c r="F497" s="208"/>
      <c r="G497" s="208"/>
      <c r="H497" s="233"/>
      <c r="I497" s="234"/>
      <c r="J497" s="208"/>
      <c r="K497" s="208"/>
      <c r="L497" s="208"/>
      <c r="M497" s="208"/>
      <c r="N497" s="208"/>
      <c r="O497" s="208"/>
      <c r="P497" s="208"/>
      <c r="Q497" s="208"/>
      <c r="R497" s="208"/>
      <c r="S497" s="208"/>
      <c r="T497" s="208"/>
      <c r="U497" s="208"/>
      <c r="V497" s="208"/>
      <c r="W497" s="208"/>
      <c r="X497" s="208"/>
      <c r="Y497" s="208"/>
      <c r="Z497" s="208"/>
      <c r="AA497" s="208"/>
      <c r="AB497" s="208"/>
      <c r="AC497" s="208"/>
      <c r="AD497" s="208"/>
      <c r="AE497" s="208"/>
      <c r="AF497" s="208"/>
      <c r="AG497" s="208"/>
      <c r="AH497" s="208"/>
      <c r="AI497" s="208"/>
      <c r="AJ497" s="208"/>
      <c r="AK497" s="208"/>
    </row>
    <row r="498">
      <c r="A498" s="208"/>
      <c r="B498" s="208"/>
      <c r="C498" s="208"/>
      <c r="D498" s="208"/>
      <c r="E498" s="208"/>
      <c r="F498" s="208"/>
      <c r="G498" s="208"/>
      <c r="H498" s="233"/>
      <c r="I498" s="234"/>
      <c r="J498" s="208"/>
      <c r="K498" s="208"/>
      <c r="L498" s="208"/>
      <c r="M498" s="208"/>
      <c r="N498" s="208"/>
      <c r="O498" s="208"/>
      <c r="P498" s="208"/>
      <c r="Q498" s="208"/>
      <c r="R498" s="208"/>
      <c r="S498" s="208"/>
      <c r="T498" s="208"/>
      <c r="U498" s="208"/>
      <c r="V498" s="208"/>
      <c r="W498" s="208"/>
      <c r="X498" s="208"/>
      <c r="Y498" s="208"/>
      <c r="Z498" s="208"/>
      <c r="AA498" s="208"/>
      <c r="AB498" s="208"/>
      <c r="AC498" s="208"/>
      <c r="AD498" s="208"/>
      <c r="AE498" s="208"/>
      <c r="AF498" s="208"/>
      <c r="AG498" s="208"/>
      <c r="AH498" s="208"/>
      <c r="AI498" s="208"/>
      <c r="AJ498" s="208"/>
      <c r="AK498" s="208"/>
    </row>
    <row r="499">
      <c r="A499" s="208"/>
      <c r="B499" s="208"/>
      <c r="C499" s="208"/>
      <c r="D499" s="208"/>
      <c r="E499" s="208"/>
      <c r="F499" s="208"/>
      <c r="G499" s="208"/>
      <c r="H499" s="233"/>
      <c r="I499" s="234"/>
      <c r="J499" s="208"/>
      <c r="K499" s="208"/>
      <c r="L499" s="208"/>
      <c r="M499" s="208"/>
      <c r="N499" s="208"/>
      <c r="O499" s="208"/>
      <c r="P499" s="208"/>
      <c r="Q499" s="208"/>
      <c r="R499" s="208"/>
      <c r="S499" s="208"/>
      <c r="T499" s="208"/>
      <c r="U499" s="208"/>
      <c r="V499" s="208"/>
      <c r="W499" s="208"/>
      <c r="X499" s="208"/>
      <c r="Y499" s="208"/>
      <c r="Z499" s="208"/>
      <c r="AA499" s="208"/>
      <c r="AB499" s="208"/>
      <c r="AC499" s="208"/>
      <c r="AD499" s="208"/>
      <c r="AE499" s="208"/>
      <c r="AF499" s="208"/>
      <c r="AG499" s="208"/>
      <c r="AH499" s="208"/>
      <c r="AI499" s="208"/>
      <c r="AJ499" s="208"/>
      <c r="AK499" s="208"/>
    </row>
    <row r="500">
      <c r="A500" s="208"/>
      <c r="B500" s="208"/>
      <c r="C500" s="208"/>
      <c r="D500" s="208"/>
      <c r="E500" s="208"/>
      <c r="F500" s="208"/>
      <c r="G500" s="208"/>
      <c r="H500" s="233"/>
      <c r="I500" s="234"/>
      <c r="J500" s="208"/>
      <c r="K500" s="208"/>
      <c r="L500" s="208"/>
      <c r="M500" s="208"/>
      <c r="N500" s="208"/>
      <c r="O500" s="208"/>
      <c r="P500" s="208"/>
      <c r="Q500" s="208"/>
      <c r="R500" s="208"/>
      <c r="S500" s="208"/>
      <c r="T500" s="208"/>
      <c r="U500" s="208"/>
      <c r="V500" s="208"/>
      <c r="W500" s="208"/>
      <c r="X500" s="208"/>
      <c r="Y500" s="208"/>
      <c r="Z500" s="208"/>
      <c r="AA500" s="208"/>
      <c r="AB500" s="208"/>
      <c r="AC500" s="208"/>
      <c r="AD500" s="208"/>
      <c r="AE500" s="208"/>
      <c r="AF500" s="208"/>
      <c r="AG500" s="208"/>
      <c r="AH500" s="208"/>
      <c r="AI500" s="208"/>
      <c r="AJ500" s="208"/>
      <c r="AK500" s="208"/>
    </row>
    <row r="501">
      <c r="A501" s="208"/>
      <c r="B501" s="208"/>
      <c r="C501" s="208"/>
      <c r="D501" s="208"/>
      <c r="E501" s="208"/>
      <c r="F501" s="208"/>
      <c r="G501" s="208"/>
      <c r="H501" s="233"/>
      <c r="I501" s="234"/>
      <c r="J501" s="208"/>
      <c r="K501" s="208"/>
      <c r="L501" s="208"/>
      <c r="M501" s="208"/>
      <c r="N501" s="208"/>
      <c r="O501" s="208"/>
      <c r="P501" s="208"/>
      <c r="Q501" s="208"/>
      <c r="R501" s="208"/>
      <c r="S501" s="208"/>
      <c r="T501" s="208"/>
      <c r="U501" s="208"/>
      <c r="V501" s="208"/>
      <c r="W501" s="208"/>
      <c r="X501" s="208"/>
      <c r="Y501" s="208"/>
      <c r="Z501" s="208"/>
      <c r="AA501" s="208"/>
      <c r="AB501" s="208"/>
      <c r="AC501" s="208"/>
      <c r="AD501" s="208"/>
      <c r="AE501" s="208"/>
      <c r="AF501" s="208"/>
      <c r="AG501" s="208"/>
      <c r="AH501" s="208"/>
      <c r="AI501" s="208"/>
      <c r="AJ501" s="208"/>
      <c r="AK501" s="208"/>
    </row>
    <row r="502">
      <c r="A502" s="208"/>
      <c r="B502" s="208"/>
      <c r="C502" s="208"/>
      <c r="D502" s="208"/>
      <c r="E502" s="208"/>
      <c r="F502" s="208"/>
      <c r="G502" s="208"/>
      <c r="H502" s="233"/>
      <c r="I502" s="234"/>
      <c r="J502" s="208"/>
      <c r="K502" s="208"/>
      <c r="L502" s="208"/>
      <c r="M502" s="208"/>
      <c r="N502" s="208"/>
      <c r="O502" s="208"/>
      <c r="P502" s="208"/>
      <c r="Q502" s="208"/>
      <c r="R502" s="208"/>
      <c r="S502" s="208"/>
      <c r="T502" s="208"/>
      <c r="U502" s="208"/>
      <c r="V502" s="208"/>
      <c r="W502" s="208"/>
      <c r="X502" s="208"/>
      <c r="Y502" s="208"/>
      <c r="Z502" s="208"/>
      <c r="AA502" s="208"/>
      <c r="AB502" s="208"/>
      <c r="AC502" s="208"/>
      <c r="AD502" s="208"/>
      <c r="AE502" s="208"/>
      <c r="AF502" s="208"/>
      <c r="AG502" s="208"/>
      <c r="AH502" s="208"/>
      <c r="AI502" s="208"/>
      <c r="AJ502" s="208"/>
      <c r="AK502" s="208"/>
    </row>
    <row r="503">
      <c r="A503" s="208"/>
      <c r="B503" s="208"/>
      <c r="C503" s="208"/>
      <c r="D503" s="208"/>
      <c r="E503" s="208"/>
      <c r="F503" s="208"/>
      <c r="G503" s="208"/>
      <c r="H503" s="233"/>
      <c r="I503" s="234"/>
      <c r="J503" s="208"/>
      <c r="K503" s="208"/>
      <c r="L503" s="208"/>
      <c r="M503" s="208"/>
      <c r="N503" s="208"/>
      <c r="O503" s="208"/>
      <c r="P503" s="208"/>
      <c r="Q503" s="208"/>
      <c r="R503" s="208"/>
      <c r="S503" s="208"/>
      <c r="T503" s="208"/>
      <c r="U503" s="208"/>
      <c r="V503" s="208"/>
      <c r="W503" s="208"/>
      <c r="X503" s="208"/>
      <c r="Y503" s="208"/>
      <c r="Z503" s="208"/>
      <c r="AA503" s="208"/>
      <c r="AB503" s="208"/>
      <c r="AC503" s="208"/>
      <c r="AD503" s="208"/>
      <c r="AE503" s="208"/>
      <c r="AF503" s="208"/>
      <c r="AG503" s="208"/>
      <c r="AH503" s="208"/>
      <c r="AI503" s="208"/>
      <c r="AJ503" s="208"/>
      <c r="AK503" s="208"/>
    </row>
    <row r="504">
      <c r="A504" s="208"/>
      <c r="B504" s="208"/>
      <c r="C504" s="208"/>
      <c r="D504" s="208"/>
      <c r="E504" s="208"/>
      <c r="F504" s="208"/>
      <c r="G504" s="208"/>
      <c r="H504" s="233"/>
      <c r="I504" s="234"/>
      <c r="J504" s="208"/>
      <c r="K504" s="208"/>
      <c r="L504" s="208"/>
      <c r="M504" s="208"/>
      <c r="N504" s="208"/>
      <c r="O504" s="208"/>
      <c r="P504" s="208"/>
      <c r="Q504" s="208"/>
      <c r="R504" s="208"/>
      <c r="S504" s="208"/>
      <c r="T504" s="208"/>
      <c r="U504" s="208"/>
      <c r="V504" s="208"/>
      <c r="W504" s="208"/>
      <c r="X504" s="208"/>
      <c r="Y504" s="208"/>
      <c r="Z504" s="208"/>
      <c r="AA504" s="208"/>
      <c r="AB504" s="208"/>
      <c r="AC504" s="208"/>
      <c r="AD504" s="208"/>
      <c r="AE504" s="208"/>
      <c r="AF504" s="208"/>
      <c r="AG504" s="208"/>
      <c r="AH504" s="208"/>
      <c r="AI504" s="208"/>
      <c r="AJ504" s="208"/>
      <c r="AK504" s="208"/>
    </row>
    <row r="505">
      <c r="A505" s="208"/>
      <c r="B505" s="208"/>
      <c r="C505" s="208"/>
      <c r="D505" s="208"/>
      <c r="E505" s="208"/>
      <c r="F505" s="208"/>
      <c r="G505" s="208"/>
      <c r="H505" s="233"/>
      <c r="I505" s="234"/>
      <c r="J505" s="208"/>
      <c r="K505" s="208"/>
      <c r="L505" s="208"/>
      <c r="M505" s="208"/>
      <c r="N505" s="208"/>
      <c r="O505" s="208"/>
      <c r="P505" s="208"/>
      <c r="Q505" s="208"/>
      <c r="R505" s="208"/>
      <c r="S505" s="208"/>
      <c r="T505" s="208"/>
      <c r="U505" s="208"/>
      <c r="V505" s="208"/>
      <c r="W505" s="208"/>
      <c r="X505" s="208"/>
      <c r="Y505" s="208"/>
      <c r="Z505" s="208"/>
      <c r="AA505" s="208"/>
      <c r="AB505" s="208"/>
      <c r="AC505" s="208"/>
      <c r="AD505" s="208"/>
      <c r="AE505" s="208"/>
      <c r="AF505" s="208"/>
      <c r="AG505" s="208"/>
      <c r="AH505" s="208"/>
      <c r="AI505" s="208"/>
      <c r="AJ505" s="208"/>
      <c r="AK505" s="208"/>
    </row>
    <row r="506">
      <c r="A506" s="208"/>
      <c r="B506" s="208"/>
      <c r="C506" s="208"/>
      <c r="D506" s="208"/>
      <c r="E506" s="208"/>
      <c r="F506" s="208"/>
      <c r="G506" s="208"/>
      <c r="H506" s="233"/>
      <c r="I506" s="234"/>
      <c r="J506" s="208"/>
      <c r="K506" s="208"/>
      <c r="L506" s="208"/>
      <c r="M506" s="208"/>
      <c r="N506" s="208"/>
      <c r="O506" s="208"/>
      <c r="P506" s="208"/>
      <c r="Q506" s="208"/>
      <c r="R506" s="208"/>
      <c r="S506" s="208"/>
      <c r="T506" s="208"/>
      <c r="U506" s="208"/>
      <c r="V506" s="208"/>
      <c r="W506" s="208"/>
      <c r="X506" s="208"/>
      <c r="Y506" s="208"/>
      <c r="Z506" s="208"/>
      <c r="AA506" s="208"/>
      <c r="AB506" s="208"/>
      <c r="AC506" s="208"/>
      <c r="AD506" s="208"/>
      <c r="AE506" s="208"/>
      <c r="AF506" s="208"/>
      <c r="AG506" s="208"/>
      <c r="AH506" s="208"/>
      <c r="AI506" s="208"/>
      <c r="AJ506" s="208"/>
      <c r="AK506" s="208"/>
    </row>
    <row r="507">
      <c r="A507" s="208"/>
      <c r="B507" s="208"/>
      <c r="C507" s="208"/>
      <c r="D507" s="208"/>
      <c r="E507" s="208"/>
      <c r="F507" s="208"/>
      <c r="G507" s="208"/>
      <c r="H507" s="233"/>
      <c r="I507" s="234"/>
      <c r="J507" s="208"/>
      <c r="K507" s="208"/>
      <c r="L507" s="208"/>
      <c r="M507" s="208"/>
      <c r="N507" s="208"/>
      <c r="O507" s="208"/>
      <c r="P507" s="208"/>
      <c r="Q507" s="208"/>
      <c r="R507" s="208"/>
      <c r="S507" s="208"/>
      <c r="T507" s="208"/>
      <c r="U507" s="208"/>
      <c r="V507" s="208"/>
      <c r="W507" s="208"/>
      <c r="X507" s="208"/>
      <c r="Y507" s="208"/>
      <c r="Z507" s="208"/>
      <c r="AA507" s="208"/>
      <c r="AB507" s="208"/>
      <c r="AC507" s="208"/>
      <c r="AD507" s="208"/>
      <c r="AE507" s="208"/>
      <c r="AF507" s="208"/>
      <c r="AG507" s="208"/>
      <c r="AH507" s="208"/>
      <c r="AI507" s="208"/>
      <c r="AJ507" s="208"/>
      <c r="AK507" s="208"/>
    </row>
    <row r="508">
      <c r="A508" s="208"/>
      <c r="B508" s="208"/>
      <c r="C508" s="208"/>
      <c r="D508" s="208"/>
      <c r="E508" s="208"/>
      <c r="F508" s="208"/>
      <c r="G508" s="208"/>
      <c r="H508" s="233"/>
      <c r="I508" s="234"/>
      <c r="J508" s="208"/>
      <c r="K508" s="208"/>
      <c r="L508" s="208"/>
      <c r="M508" s="208"/>
      <c r="N508" s="208"/>
      <c r="O508" s="208"/>
      <c r="P508" s="208"/>
      <c r="Q508" s="208"/>
      <c r="R508" s="208"/>
      <c r="S508" s="208"/>
      <c r="T508" s="208"/>
      <c r="U508" s="208"/>
      <c r="V508" s="208"/>
      <c r="W508" s="208"/>
      <c r="X508" s="208"/>
      <c r="Y508" s="208"/>
      <c r="Z508" s="208"/>
      <c r="AA508" s="208"/>
      <c r="AB508" s="208"/>
      <c r="AC508" s="208"/>
      <c r="AD508" s="208"/>
      <c r="AE508" s="208"/>
      <c r="AF508" s="208"/>
      <c r="AG508" s="208"/>
      <c r="AH508" s="208"/>
      <c r="AI508" s="208"/>
      <c r="AJ508" s="208"/>
      <c r="AK508" s="208"/>
    </row>
    <row r="509">
      <c r="A509" s="208"/>
      <c r="B509" s="208"/>
      <c r="C509" s="208"/>
      <c r="D509" s="208"/>
      <c r="E509" s="208"/>
      <c r="F509" s="208"/>
      <c r="G509" s="208"/>
      <c r="H509" s="233"/>
      <c r="I509" s="234"/>
      <c r="J509" s="208"/>
      <c r="K509" s="208"/>
      <c r="L509" s="208"/>
      <c r="M509" s="208"/>
      <c r="N509" s="208"/>
      <c r="O509" s="208"/>
      <c r="P509" s="208"/>
      <c r="Q509" s="208"/>
      <c r="R509" s="208"/>
      <c r="S509" s="208"/>
      <c r="T509" s="208"/>
      <c r="U509" s="208"/>
      <c r="V509" s="208"/>
      <c r="W509" s="208"/>
      <c r="X509" s="208"/>
      <c r="Y509" s="208"/>
      <c r="Z509" s="208"/>
      <c r="AA509" s="208"/>
      <c r="AB509" s="208"/>
      <c r="AC509" s="208"/>
      <c r="AD509" s="208"/>
      <c r="AE509" s="208"/>
      <c r="AF509" s="208"/>
      <c r="AG509" s="208"/>
      <c r="AH509" s="208"/>
      <c r="AI509" s="208"/>
      <c r="AJ509" s="208"/>
      <c r="AK509" s="208"/>
    </row>
    <row r="510">
      <c r="A510" s="208"/>
      <c r="B510" s="208"/>
      <c r="C510" s="208"/>
      <c r="D510" s="208"/>
      <c r="E510" s="208"/>
      <c r="F510" s="208"/>
      <c r="G510" s="208"/>
      <c r="H510" s="233"/>
      <c r="I510" s="234"/>
      <c r="J510" s="208"/>
      <c r="K510" s="208"/>
      <c r="L510" s="208"/>
      <c r="M510" s="208"/>
      <c r="N510" s="208"/>
      <c r="O510" s="208"/>
      <c r="P510" s="208"/>
      <c r="Q510" s="208"/>
      <c r="R510" s="208"/>
      <c r="S510" s="208"/>
      <c r="T510" s="208"/>
      <c r="U510" s="208"/>
      <c r="V510" s="208"/>
      <c r="W510" s="208"/>
      <c r="X510" s="208"/>
      <c r="Y510" s="208"/>
      <c r="Z510" s="208"/>
      <c r="AA510" s="208"/>
      <c r="AB510" s="208"/>
      <c r="AC510" s="208"/>
      <c r="AD510" s="208"/>
      <c r="AE510" s="208"/>
      <c r="AF510" s="208"/>
      <c r="AG510" s="208"/>
      <c r="AH510" s="208"/>
      <c r="AI510" s="208"/>
      <c r="AJ510" s="208"/>
      <c r="AK510" s="208"/>
    </row>
    <row r="511">
      <c r="A511" s="208"/>
      <c r="B511" s="208"/>
      <c r="C511" s="208"/>
      <c r="D511" s="208"/>
      <c r="E511" s="208"/>
      <c r="F511" s="208"/>
      <c r="G511" s="208"/>
      <c r="H511" s="233"/>
      <c r="I511" s="234"/>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c r="AI511" s="208"/>
      <c r="AJ511" s="208"/>
      <c r="AK511" s="208"/>
    </row>
    <row r="512">
      <c r="A512" s="208"/>
      <c r="B512" s="208"/>
      <c r="C512" s="208"/>
      <c r="D512" s="208"/>
      <c r="E512" s="208"/>
      <c r="F512" s="208"/>
      <c r="G512" s="208"/>
      <c r="H512" s="233"/>
      <c r="I512" s="234"/>
      <c r="J512" s="208"/>
      <c r="K512" s="208"/>
      <c r="L512" s="208"/>
      <c r="M512" s="208"/>
      <c r="N512" s="208"/>
      <c r="O512" s="208"/>
      <c r="P512" s="208"/>
      <c r="Q512" s="208"/>
      <c r="R512" s="208"/>
      <c r="S512" s="208"/>
      <c r="T512" s="208"/>
      <c r="U512" s="208"/>
      <c r="V512" s="208"/>
      <c r="W512" s="208"/>
      <c r="X512" s="208"/>
      <c r="Y512" s="208"/>
      <c r="Z512" s="208"/>
      <c r="AA512" s="208"/>
      <c r="AB512" s="208"/>
      <c r="AC512" s="208"/>
      <c r="AD512" s="208"/>
      <c r="AE512" s="208"/>
      <c r="AF512" s="208"/>
      <c r="AG512" s="208"/>
      <c r="AH512" s="208"/>
      <c r="AI512" s="208"/>
      <c r="AJ512" s="208"/>
      <c r="AK512" s="208"/>
    </row>
    <row r="513">
      <c r="A513" s="208"/>
      <c r="B513" s="208"/>
      <c r="C513" s="208"/>
      <c r="D513" s="208"/>
      <c r="E513" s="208"/>
      <c r="F513" s="208"/>
      <c r="G513" s="208"/>
      <c r="H513" s="233"/>
      <c r="I513" s="234"/>
      <c r="J513" s="208"/>
      <c r="K513" s="208"/>
      <c r="L513" s="208"/>
      <c r="M513" s="208"/>
      <c r="N513" s="208"/>
      <c r="O513" s="208"/>
      <c r="P513" s="208"/>
      <c r="Q513" s="208"/>
      <c r="R513" s="208"/>
      <c r="S513" s="208"/>
      <c r="T513" s="208"/>
      <c r="U513" s="208"/>
      <c r="V513" s="208"/>
      <c r="W513" s="208"/>
      <c r="X513" s="208"/>
      <c r="Y513" s="208"/>
      <c r="Z513" s="208"/>
      <c r="AA513" s="208"/>
      <c r="AB513" s="208"/>
      <c r="AC513" s="208"/>
      <c r="AD513" s="208"/>
      <c r="AE513" s="208"/>
      <c r="AF513" s="208"/>
      <c r="AG513" s="208"/>
      <c r="AH513" s="208"/>
      <c r="AI513" s="208"/>
      <c r="AJ513" s="208"/>
      <c r="AK513" s="208"/>
    </row>
    <row r="514">
      <c r="A514" s="208"/>
      <c r="B514" s="208"/>
      <c r="C514" s="208"/>
      <c r="D514" s="208"/>
      <c r="E514" s="208"/>
      <c r="F514" s="208"/>
      <c r="G514" s="208"/>
      <c r="H514" s="233"/>
      <c r="I514" s="234"/>
      <c r="J514" s="208"/>
      <c r="K514" s="208"/>
      <c r="L514" s="208"/>
      <c r="M514" s="208"/>
      <c r="N514" s="208"/>
      <c r="O514" s="208"/>
      <c r="P514" s="208"/>
      <c r="Q514" s="208"/>
      <c r="R514" s="208"/>
      <c r="S514" s="208"/>
      <c r="T514" s="208"/>
      <c r="U514" s="208"/>
      <c r="V514" s="208"/>
      <c r="W514" s="208"/>
      <c r="X514" s="208"/>
      <c r="Y514" s="208"/>
      <c r="Z514" s="208"/>
      <c r="AA514" s="208"/>
      <c r="AB514" s="208"/>
      <c r="AC514" s="208"/>
      <c r="AD514" s="208"/>
      <c r="AE514" s="208"/>
      <c r="AF514" s="208"/>
      <c r="AG514" s="208"/>
      <c r="AH514" s="208"/>
      <c r="AI514" s="208"/>
      <c r="AJ514" s="208"/>
      <c r="AK514" s="208"/>
    </row>
    <row r="515">
      <c r="A515" s="208"/>
      <c r="B515" s="208"/>
      <c r="C515" s="208"/>
      <c r="D515" s="208"/>
      <c r="E515" s="208"/>
      <c r="F515" s="208"/>
      <c r="G515" s="208"/>
      <c r="H515" s="233"/>
      <c r="I515" s="234"/>
      <c r="J515" s="208"/>
      <c r="K515" s="208"/>
      <c r="L515" s="208"/>
      <c r="M515" s="208"/>
      <c r="N515" s="208"/>
      <c r="O515" s="208"/>
      <c r="P515" s="208"/>
      <c r="Q515" s="208"/>
      <c r="R515" s="208"/>
      <c r="S515" s="208"/>
      <c r="T515" s="208"/>
      <c r="U515" s="208"/>
      <c r="V515" s="208"/>
      <c r="W515" s="208"/>
      <c r="X515" s="208"/>
      <c r="Y515" s="208"/>
      <c r="Z515" s="208"/>
      <c r="AA515" s="208"/>
      <c r="AB515" s="208"/>
      <c r="AC515" s="208"/>
      <c r="AD515" s="208"/>
      <c r="AE515" s="208"/>
      <c r="AF515" s="208"/>
      <c r="AG515" s="208"/>
      <c r="AH515" s="208"/>
      <c r="AI515" s="208"/>
      <c r="AJ515" s="208"/>
      <c r="AK515" s="208"/>
    </row>
    <row r="516">
      <c r="A516" s="208"/>
      <c r="B516" s="208"/>
      <c r="C516" s="208"/>
      <c r="D516" s="208"/>
      <c r="E516" s="208"/>
      <c r="F516" s="208"/>
      <c r="G516" s="208"/>
      <c r="H516" s="233"/>
      <c r="I516" s="234"/>
      <c r="J516" s="208"/>
      <c r="K516" s="208"/>
      <c r="L516" s="208"/>
      <c r="M516" s="208"/>
      <c r="N516" s="208"/>
      <c r="O516" s="208"/>
      <c r="P516" s="208"/>
      <c r="Q516" s="208"/>
      <c r="R516" s="208"/>
      <c r="S516" s="208"/>
      <c r="T516" s="208"/>
      <c r="U516" s="208"/>
      <c r="V516" s="208"/>
      <c r="W516" s="208"/>
      <c r="X516" s="208"/>
      <c r="Y516" s="208"/>
      <c r="Z516" s="208"/>
      <c r="AA516" s="208"/>
      <c r="AB516" s="208"/>
      <c r="AC516" s="208"/>
      <c r="AD516" s="208"/>
      <c r="AE516" s="208"/>
      <c r="AF516" s="208"/>
      <c r="AG516" s="208"/>
      <c r="AH516" s="208"/>
      <c r="AI516" s="208"/>
      <c r="AJ516" s="208"/>
      <c r="AK516" s="208"/>
    </row>
    <row r="517">
      <c r="A517" s="208"/>
      <c r="B517" s="208"/>
      <c r="C517" s="208"/>
      <c r="D517" s="208"/>
      <c r="E517" s="208"/>
      <c r="F517" s="208"/>
      <c r="G517" s="208"/>
      <c r="H517" s="233"/>
      <c r="I517" s="234"/>
      <c r="J517" s="208"/>
      <c r="K517" s="208"/>
      <c r="L517" s="208"/>
      <c r="M517" s="208"/>
      <c r="N517" s="208"/>
      <c r="O517" s="208"/>
      <c r="P517" s="208"/>
      <c r="Q517" s="208"/>
      <c r="R517" s="208"/>
      <c r="S517" s="208"/>
      <c r="T517" s="208"/>
      <c r="U517" s="208"/>
      <c r="V517" s="208"/>
      <c r="W517" s="208"/>
      <c r="X517" s="208"/>
      <c r="Y517" s="208"/>
      <c r="Z517" s="208"/>
      <c r="AA517" s="208"/>
      <c r="AB517" s="208"/>
      <c r="AC517" s="208"/>
      <c r="AD517" s="208"/>
      <c r="AE517" s="208"/>
      <c r="AF517" s="208"/>
      <c r="AG517" s="208"/>
      <c r="AH517" s="208"/>
      <c r="AI517" s="208"/>
      <c r="AJ517" s="208"/>
      <c r="AK517" s="208"/>
    </row>
    <row r="518">
      <c r="A518" s="208"/>
      <c r="B518" s="208"/>
      <c r="C518" s="208"/>
      <c r="D518" s="208"/>
      <c r="E518" s="208"/>
      <c r="F518" s="208"/>
      <c r="G518" s="208"/>
      <c r="H518" s="233"/>
      <c r="I518" s="234"/>
      <c r="J518" s="208"/>
      <c r="K518" s="208"/>
      <c r="L518" s="208"/>
      <c r="M518" s="208"/>
      <c r="N518" s="208"/>
      <c r="O518" s="208"/>
      <c r="P518" s="208"/>
      <c r="Q518" s="208"/>
      <c r="R518" s="208"/>
      <c r="S518" s="208"/>
      <c r="T518" s="208"/>
      <c r="U518" s="208"/>
      <c r="V518" s="208"/>
      <c r="W518" s="208"/>
      <c r="X518" s="208"/>
      <c r="Y518" s="208"/>
      <c r="Z518" s="208"/>
      <c r="AA518" s="208"/>
      <c r="AB518" s="208"/>
      <c r="AC518" s="208"/>
      <c r="AD518" s="208"/>
      <c r="AE518" s="208"/>
      <c r="AF518" s="208"/>
      <c r="AG518" s="208"/>
      <c r="AH518" s="208"/>
      <c r="AI518" s="208"/>
      <c r="AJ518" s="208"/>
      <c r="AK518" s="208"/>
    </row>
    <row r="519">
      <c r="A519" s="208"/>
      <c r="B519" s="208"/>
      <c r="C519" s="208"/>
      <c r="D519" s="208"/>
      <c r="E519" s="208"/>
      <c r="F519" s="208"/>
      <c r="G519" s="208"/>
      <c r="H519" s="233"/>
      <c r="I519" s="234"/>
      <c r="J519" s="208"/>
      <c r="K519" s="208"/>
      <c r="L519" s="208"/>
      <c r="M519" s="208"/>
      <c r="N519" s="208"/>
      <c r="O519" s="208"/>
      <c r="P519" s="208"/>
      <c r="Q519" s="208"/>
      <c r="R519" s="208"/>
      <c r="S519" s="208"/>
      <c r="T519" s="208"/>
      <c r="U519" s="208"/>
      <c r="V519" s="208"/>
      <c r="W519" s="208"/>
      <c r="X519" s="208"/>
      <c r="Y519" s="208"/>
      <c r="Z519" s="208"/>
      <c r="AA519" s="208"/>
      <c r="AB519" s="208"/>
      <c r="AC519" s="208"/>
      <c r="AD519" s="208"/>
      <c r="AE519" s="208"/>
      <c r="AF519" s="208"/>
      <c r="AG519" s="208"/>
      <c r="AH519" s="208"/>
      <c r="AI519" s="208"/>
      <c r="AJ519" s="208"/>
      <c r="AK519" s="208"/>
    </row>
    <row r="520">
      <c r="A520" s="208"/>
      <c r="B520" s="208"/>
      <c r="C520" s="208"/>
      <c r="D520" s="208"/>
      <c r="E520" s="208"/>
      <c r="F520" s="208"/>
      <c r="G520" s="208"/>
      <c r="H520" s="233"/>
      <c r="I520" s="234"/>
      <c r="J520" s="208"/>
      <c r="K520" s="208"/>
      <c r="L520" s="208"/>
      <c r="M520" s="208"/>
      <c r="N520" s="208"/>
      <c r="O520" s="208"/>
      <c r="P520" s="208"/>
      <c r="Q520" s="208"/>
      <c r="R520" s="208"/>
      <c r="S520" s="208"/>
      <c r="T520" s="208"/>
      <c r="U520" s="208"/>
      <c r="V520" s="208"/>
      <c r="W520" s="208"/>
      <c r="X520" s="208"/>
      <c r="Y520" s="208"/>
      <c r="Z520" s="208"/>
      <c r="AA520" s="208"/>
      <c r="AB520" s="208"/>
      <c r="AC520" s="208"/>
      <c r="AD520" s="208"/>
      <c r="AE520" s="208"/>
      <c r="AF520" s="208"/>
      <c r="AG520" s="208"/>
      <c r="AH520" s="208"/>
      <c r="AI520" s="208"/>
      <c r="AJ520" s="208"/>
      <c r="AK520" s="208"/>
    </row>
    <row r="521">
      <c r="A521" s="208"/>
      <c r="B521" s="208"/>
      <c r="C521" s="208"/>
      <c r="D521" s="208"/>
      <c r="E521" s="208"/>
      <c r="F521" s="208"/>
      <c r="G521" s="208"/>
      <c r="H521" s="233"/>
      <c r="I521" s="234"/>
      <c r="J521" s="208"/>
      <c r="K521" s="208"/>
      <c r="L521" s="208"/>
      <c r="M521" s="208"/>
      <c r="N521" s="208"/>
      <c r="O521" s="208"/>
      <c r="P521" s="208"/>
      <c r="Q521" s="208"/>
      <c r="R521" s="208"/>
      <c r="S521" s="208"/>
      <c r="T521" s="208"/>
      <c r="U521" s="208"/>
      <c r="V521" s="208"/>
      <c r="W521" s="208"/>
      <c r="X521" s="208"/>
      <c r="Y521" s="208"/>
      <c r="Z521" s="208"/>
      <c r="AA521" s="208"/>
      <c r="AB521" s="208"/>
      <c r="AC521" s="208"/>
      <c r="AD521" s="208"/>
      <c r="AE521" s="208"/>
      <c r="AF521" s="208"/>
      <c r="AG521" s="208"/>
      <c r="AH521" s="208"/>
      <c r="AI521" s="208"/>
      <c r="AJ521" s="208"/>
      <c r="AK521" s="208"/>
    </row>
    <row r="522">
      <c r="A522" s="208"/>
      <c r="B522" s="208"/>
      <c r="C522" s="208"/>
      <c r="D522" s="208"/>
      <c r="E522" s="208"/>
      <c r="F522" s="208"/>
      <c r="G522" s="208"/>
      <c r="H522" s="233"/>
      <c r="I522" s="234"/>
      <c r="J522" s="208"/>
      <c r="K522" s="208"/>
      <c r="L522" s="208"/>
      <c r="M522" s="208"/>
      <c r="N522" s="208"/>
      <c r="O522" s="208"/>
      <c r="P522" s="208"/>
      <c r="Q522" s="208"/>
      <c r="R522" s="208"/>
      <c r="S522" s="208"/>
      <c r="T522" s="208"/>
      <c r="U522" s="208"/>
      <c r="V522" s="208"/>
      <c r="W522" s="208"/>
      <c r="X522" s="208"/>
      <c r="Y522" s="208"/>
      <c r="Z522" s="208"/>
      <c r="AA522" s="208"/>
      <c r="AB522" s="208"/>
      <c r="AC522" s="208"/>
      <c r="AD522" s="208"/>
      <c r="AE522" s="208"/>
      <c r="AF522" s="208"/>
      <c r="AG522" s="208"/>
      <c r="AH522" s="208"/>
      <c r="AI522" s="208"/>
      <c r="AJ522" s="208"/>
      <c r="AK522" s="208"/>
    </row>
    <row r="523">
      <c r="A523" s="208"/>
      <c r="B523" s="208"/>
      <c r="C523" s="208"/>
      <c r="D523" s="208"/>
      <c r="E523" s="208"/>
      <c r="F523" s="208"/>
      <c r="G523" s="208"/>
      <c r="H523" s="233"/>
      <c r="I523" s="234"/>
      <c r="J523" s="208"/>
      <c r="K523" s="208"/>
      <c r="L523" s="208"/>
      <c r="M523" s="208"/>
      <c r="N523" s="208"/>
      <c r="O523" s="208"/>
      <c r="P523" s="208"/>
      <c r="Q523" s="208"/>
      <c r="R523" s="208"/>
      <c r="S523" s="208"/>
      <c r="T523" s="208"/>
      <c r="U523" s="208"/>
      <c r="V523" s="208"/>
      <c r="W523" s="208"/>
      <c r="X523" s="208"/>
      <c r="Y523" s="208"/>
      <c r="Z523" s="208"/>
      <c r="AA523" s="208"/>
      <c r="AB523" s="208"/>
      <c r="AC523" s="208"/>
      <c r="AD523" s="208"/>
      <c r="AE523" s="208"/>
      <c r="AF523" s="208"/>
      <c r="AG523" s="208"/>
      <c r="AH523" s="208"/>
      <c r="AI523" s="208"/>
      <c r="AJ523" s="208"/>
      <c r="AK523" s="208"/>
    </row>
    <row r="524">
      <c r="A524" s="208"/>
      <c r="B524" s="208"/>
      <c r="C524" s="208"/>
      <c r="D524" s="208"/>
      <c r="E524" s="208"/>
      <c r="F524" s="208"/>
      <c r="G524" s="208"/>
      <c r="H524" s="233"/>
      <c r="I524" s="234"/>
      <c r="J524" s="208"/>
      <c r="K524" s="208"/>
      <c r="L524" s="208"/>
      <c r="M524" s="208"/>
      <c r="N524" s="208"/>
      <c r="O524" s="208"/>
      <c r="P524" s="208"/>
      <c r="Q524" s="208"/>
      <c r="R524" s="208"/>
      <c r="S524" s="208"/>
      <c r="T524" s="208"/>
      <c r="U524" s="208"/>
      <c r="V524" s="208"/>
      <c r="W524" s="208"/>
      <c r="X524" s="208"/>
      <c r="Y524" s="208"/>
      <c r="Z524" s="208"/>
      <c r="AA524" s="208"/>
      <c r="AB524" s="208"/>
      <c r="AC524" s="208"/>
      <c r="AD524" s="208"/>
      <c r="AE524" s="208"/>
      <c r="AF524" s="208"/>
      <c r="AG524" s="208"/>
      <c r="AH524" s="208"/>
      <c r="AI524" s="208"/>
      <c r="AJ524" s="208"/>
      <c r="AK524" s="208"/>
    </row>
    <row r="525">
      <c r="A525" s="208"/>
      <c r="B525" s="208"/>
      <c r="C525" s="208"/>
      <c r="D525" s="208"/>
      <c r="E525" s="208"/>
      <c r="F525" s="208"/>
      <c r="G525" s="208"/>
      <c r="H525" s="233"/>
      <c r="I525" s="234"/>
      <c r="J525" s="208"/>
      <c r="K525" s="208"/>
      <c r="L525" s="208"/>
      <c r="M525" s="208"/>
      <c r="N525" s="208"/>
      <c r="O525" s="208"/>
      <c r="P525" s="208"/>
      <c r="Q525" s="208"/>
      <c r="R525" s="208"/>
      <c r="S525" s="208"/>
      <c r="T525" s="208"/>
      <c r="U525" s="208"/>
      <c r="V525" s="208"/>
      <c r="W525" s="208"/>
      <c r="X525" s="208"/>
      <c r="Y525" s="208"/>
      <c r="Z525" s="208"/>
      <c r="AA525" s="208"/>
      <c r="AB525" s="208"/>
      <c r="AC525" s="208"/>
      <c r="AD525" s="208"/>
      <c r="AE525" s="208"/>
      <c r="AF525" s="208"/>
      <c r="AG525" s="208"/>
      <c r="AH525" s="208"/>
      <c r="AI525" s="208"/>
      <c r="AJ525" s="208"/>
      <c r="AK525" s="208"/>
    </row>
    <row r="526">
      <c r="A526" s="208"/>
      <c r="B526" s="208"/>
      <c r="C526" s="208"/>
      <c r="D526" s="208"/>
      <c r="E526" s="208"/>
      <c r="F526" s="208"/>
      <c r="G526" s="208"/>
      <c r="H526" s="233"/>
      <c r="I526" s="234"/>
      <c r="J526" s="208"/>
      <c r="K526" s="208"/>
      <c r="L526" s="208"/>
      <c r="M526" s="208"/>
      <c r="N526" s="208"/>
      <c r="O526" s="208"/>
      <c r="P526" s="208"/>
      <c r="Q526" s="208"/>
      <c r="R526" s="208"/>
      <c r="S526" s="208"/>
      <c r="T526" s="208"/>
      <c r="U526" s="208"/>
      <c r="V526" s="208"/>
      <c r="W526" s="208"/>
      <c r="X526" s="208"/>
      <c r="Y526" s="208"/>
      <c r="Z526" s="208"/>
      <c r="AA526" s="208"/>
      <c r="AB526" s="208"/>
      <c r="AC526" s="208"/>
      <c r="AD526" s="208"/>
      <c r="AE526" s="208"/>
      <c r="AF526" s="208"/>
      <c r="AG526" s="208"/>
      <c r="AH526" s="208"/>
      <c r="AI526" s="208"/>
      <c r="AJ526" s="208"/>
      <c r="AK526" s="208"/>
    </row>
    <row r="527">
      <c r="A527" s="208"/>
      <c r="B527" s="208"/>
      <c r="C527" s="208"/>
      <c r="D527" s="208"/>
      <c r="E527" s="208"/>
      <c r="F527" s="208"/>
      <c r="G527" s="208"/>
      <c r="H527" s="233"/>
      <c r="I527" s="234"/>
      <c r="J527" s="208"/>
      <c r="K527" s="208"/>
      <c r="L527" s="208"/>
      <c r="M527" s="208"/>
      <c r="N527" s="208"/>
      <c r="O527" s="208"/>
      <c r="P527" s="208"/>
      <c r="Q527" s="208"/>
      <c r="R527" s="208"/>
      <c r="S527" s="208"/>
      <c r="T527" s="208"/>
      <c r="U527" s="208"/>
      <c r="V527" s="208"/>
      <c r="W527" s="208"/>
      <c r="X527" s="208"/>
      <c r="Y527" s="208"/>
      <c r="Z527" s="208"/>
      <c r="AA527" s="208"/>
      <c r="AB527" s="208"/>
      <c r="AC527" s="208"/>
      <c r="AD527" s="208"/>
      <c r="AE527" s="208"/>
      <c r="AF527" s="208"/>
      <c r="AG527" s="208"/>
      <c r="AH527" s="208"/>
      <c r="AI527" s="208"/>
      <c r="AJ527" s="208"/>
      <c r="AK527" s="208"/>
    </row>
    <row r="528">
      <c r="A528" s="208"/>
      <c r="B528" s="208"/>
      <c r="C528" s="208"/>
      <c r="D528" s="208"/>
      <c r="E528" s="208"/>
      <c r="F528" s="208"/>
      <c r="G528" s="208"/>
      <c r="H528" s="233"/>
      <c r="I528" s="234"/>
      <c r="J528" s="208"/>
      <c r="K528" s="208"/>
      <c r="L528" s="208"/>
      <c r="M528" s="208"/>
      <c r="N528" s="208"/>
      <c r="O528" s="208"/>
      <c r="P528" s="208"/>
      <c r="Q528" s="208"/>
      <c r="R528" s="208"/>
      <c r="S528" s="208"/>
      <c r="T528" s="208"/>
      <c r="U528" s="208"/>
      <c r="V528" s="208"/>
      <c r="W528" s="208"/>
      <c r="X528" s="208"/>
      <c r="Y528" s="208"/>
      <c r="Z528" s="208"/>
      <c r="AA528" s="208"/>
      <c r="AB528" s="208"/>
      <c r="AC528" s="208"/>
      <c r="AD528" s="208"/>
      <c r="AE528" s="208"/>
      <c r="AF528" s="208"/>
      <c r="AG528" s="208"/>
      <c r="AH528" s="208"/>
      <c r="AI528" s="208"/>
      <c r="AJ528" s="208"/>
      <c r="AK528" s="208"/>
    </row>
    <row r="529">
      <c r="A529" s="208"/>
      <c r="B529" s="208"/>
      <c r="C529" s="208"/>
      <c r="D529" s="208"/>
      <c r="E529" s="208"/>
      <c r="F529" s="208"/>
      <c r="G529" s="208"/>
      <c r="H529" s="233"/>
      <c r="I529" s="234"/>
      <c r="J529" s="208"/>
      <c r="K529" s="208"/>
      <c r="L529" s="208"/>
      <c r="M529" s="208"/>
      <c r="N529" s="208"/>
      <c r="O529" s="208"/>
      <c r="P529" s="208"/>
      <c r="Q529" s="208"/>
      <c r="R529" s="208"/>
      <c r="S529" s="208"/>
      <c r="T529" s="208"/>
      <c r="U529" s="208"/>
      <c r="V529" s="208"/>
      <c r="W529" s="208"/>
      <c r="X529" s="208"/>
      <c r="Y529" s="208"/>
      <c r="Z529" s="208"/>
      <c r="AA529" s="208"/>
      <c r="AB529" s="208"/>
      <c r="AC529" s="208"/>
      <c r="AD529" s="208"/>
      <c r="AE529" s="208"/>
      <c r="AF529" s="208"/>
      <c r="AG529" s="208"/>
      <c r="AH529" s="208"/>
      <c r="AI529" s="208"/>
      <c r="AJ529" s="208"/>
      <c r="AK529" s="208"/>
    </row>
    <row r="530">
      <c r="A530" s="208"/>
      <c r="B530" s="208"/>
      <c r="C530" s="208"/>
      <c r="D530" s="208"/>
      <c r="E530" s="208"/>
      <c r="F530" s="208"/>
      <c r="G530" s="208"/>
      <c r="H530" s="233"/>
      <c r="I530" s="234"/>
      <c r="J530" s="208"/>
      <c r="K530" s="208"/>
      <c r="L530" s="208"/>
      <c r="M530" s="208"/>
      <c r="N530" s="208"/>
      <c r="O530" s="208"/>
      <c r="P530" s="208"/>
      <c r="Q530" s="208"/>
      <c r="R530" s="208"/>
      <c r="S530" s="208"/>
      <c r="T530" s="208"/>
      <c r="U530" s="208"/>
      <c r="V530" s="208"/>
      <c r="W530" s="208"/>
      <c r="X530" s="208"/>
      <c r="Y530" s="208"/>
      <c r="Z530" s="208"/>
      <c r="AA530" s="208"/>
      <c r="AB530" s="208"/>
      <c r="AC530" s="208"/>
      <c r="AD530" s="208"/>
      <c r="AE530" s="208"/>
      <c r="AF530" s="208"/>
      <c r="AG530" s="208"/>
      <c r="AH530" s="208"/>
      <c r="AI530" s="208"/>
      <c r="AJ530" s="208"/>
      <c r="AK530" s="208"/>
    </row>
    <row r="531">
      <c r="A531" s="208"/>
      <c r="B531" s="208"/>
      <c r="C531" s="208"/>
      <c r="D531" s="208"/>
      <c r="E531" s="208"/>
      <c r="F531" s="208"/>
      <c r="G531" s="208"/>
      <c r="H531" s="233"/>
      <c r="I531" s="234"/>
      <c r="J531" s="208"/>
      <c r="K531" s="208"/>
      <c r="L531" s="208"/>
      <c r="M531" s="208"/>
      <c r="N531" s="208"/>
      <c r="O531" s="208"/>
      <c r="P531" s="208"/>
      <c r="Q531" s="208"/>
      <c r="R531" s="208"/>
      <c r="S531" s="208"/>
      <c r="T531" s="208"/>
      <c r="U531" s="208"/>
      <c r="V531" s="208"/>
      <c r="W531" s="208"/>
      <c r="X531" s="208"/>
      <c r="Y531" s="208"/>
      <c r="Z531" s="208"/>
      <c r="AA531" s="208"/>
      <c r="AB531" s="208"/>
      <c r="AC531" s="208"/>
      <c r="AD531" s="208"/>
      <c r="AE531" s="208"/>
      <c r="AF531" s="208"/>
      <c r="AG531" s="208"/>
      <c r="AH531" s="208"/>
      <c r="AI531" s="208"/>
      <c r="AJ531" s="208"/>
      <c r="AK531" s="208"/>
    </row>
    <row r="532">
      <c r="A532" s="208"/>
      <c r="B532" s="208"/>
      <c r="C532" s="208"/>
      <c r="D532" s="208"/>
      <c r="E532" s="208"/>
      <c r="F532" s="208"/>
      <c r="G532" s="208"/>
      <c r="H532" s="233"/>
      <c r="I532" s="234"/>
      <c r="J532" s="208"/>
      <c r="K532" s="208"/>
      <c r="L532" s="208"/>
      <c r="M532" s="208"/>
      <c r="N532" s="208"/>
      <c r="O532" s="208"/>
      <c r="P532" s="208"/>
      <c r="Q532" s="208"/>
      <c r="R532" s="208"/>
      <c r="S532" s="208"/>
      <c r="T532" s="208"/>
      <c r="U532" s="208"/>
      <c r="V532" s="208"/>
      <c r="W532" s="208"/>
      <c r="X532" s="208"/>
      <c r="Y532" s="208"/>
      <c r="Z532" s="208"/>
      <c r="AA532" s="208"/>
      <c r="AB532" s="208"/>
      <c r="AC532" s="208"/>
      <c r="AD532" s="208"/>
      <c r="AE532" s="208"/>
      <c r="AF532" s="208"/>
      <c r="AG532" s="208"/>
      <c r="AH532" s="208"/>
      <c r="AI532" s="208"/>
      <c r="AJ532" s="208"/>
      <c r="AK532" s="208"/>
    </row>
    <row r="533">
      <c r="A533" s="208"/>
      <c r="B533" s="208"/>
      <c r="C533" s="208"/>
      <c r="D533" s="208"/>
      <c r="E533" s="208"/>
      <c r="F533" s="208"/>
      <c r="G533" s="208"/>
      <c r="H533" s="233"/>
      <c r="I533" s="234"/>
      <c r="J533" s="208"/>
      <c r="K533" s="208"/>
      <c r="L533" s="208"/>
      <c r="M533" s="208"/>
      <c r="N533" s="208"/>
      <c r="O533" s="208"/>
      <c r="P533" s="208"/>
      <c r="Q533" s="208"/>
      <c r="R533" s="208"/>
      <c r="S533" s="208"/>
      <c r="T533" s="208"/>
      <c r="U533" s="208"/>
      <c r="V533" s="208"/>
      <c r="W533" s="208"/>
      <c r="X533" s="208"/>
      <c r="Y533" s="208"/>
      <c r="Z533" s="208"/>
      <c r="AA533" s="208"/>
      <c r="AB533" s="208"/>
      <c r="AC533" s="208"/>
      <c r="AD533" s="208"/>
      <c r="AE533" s="208"/>
      <c r="AF533" s="208"/>
      <c r="AG533" s="208"/>
      <c r="AH533" s="208"/>
      <c r="AI533" s="208"/>
      <c r="AJ533" s="208"/>
      <c r="AK533" s="208"/>
    </row>
    <row r="534">
      <c r="A534" s="208"/>
      <c r="B534" s="208"/>
      <c r="C534" s="208"/>
      <c r="D534" s="208"/>
      <c r="E534" s="208"/>
      <c r="F534" s="208"/>
      <c r="G534" s="208"/>
      <c r="H534" s="233"/>
      <c r="I534" s="234"/>
      <c r="J534" s="208"/>
      <c r="K534" s="208"/>
      <c r="L534" s="208"/>
      <c r="M534" s="208"/>
      <c r="N534" s="208"/>
      <c r="O534" s="208"/>
      <c r="P534" s="208"/>
      <c r="Q534" s="208"/>
      <c r="R534" s="208"/>
      <c r="S534" s="208"/>
      <c r="T534" s="208"/>
      <c r="U534" s="208"/>
      <c r="V534" s="208"/>
      <c r="W534" s="208"/>
      <c r="X534" s="208"/>
      <c r="Y534" s="208"/>
      <c r="Z534" s="208"/>
      <c r="AA534" s="208"/>
      <c r="AB534" s="208"/>
      <c r="AC534" s="208"/>
      <c r="AD534" s="208"/>
      <c r="AE534" s="208"/>
      <c r="AF534" s="208"/>
      <c r="AG534" s="208"/>
      <c r="AH534" s="208"/>
      <c r="AI534" s="208"/>
      <c r="AJ534" s="208"/>
      <c r="AK534" s="208"/>
    </row>
    <row r="535">
      <c r="A535" s="208"/>
      <c r="B535" s="208"/>
      <c r="C535" s="208"/>
      <c r="D535" s="208"/>
      <c r="E535" s="208"/>
      <c r="F535" s="208"/>
      <c r="G535" s="208"/>
      <c r="H535" s="233"/>
      <c r="I535" s="234"/>
      <c r="J535" s="208"/>
      <c r="K535" s="208"/>
      <c r="L535" s="208"/>
      <c r="M535" s="208"/>
      <c r="N535" s="208"/>
      <c r="O535" s="208"/>
      <c r="P535" s="208"/>
      <c r="Q535" s="208"/>
      <c r="R535" s="208"/>
      <c r="S535" s="208"/>
      <c r="T535" s="208"/>
      <c r="U535" s="208"/>
      <c r="V535" s="208"/>
      <c r="W535" s="208"/>
      <c r="X535" s="208"/>
      <c r="Y535" s="208"/>
      <c r="Z535" s="208"/>
      <c r="AA535" s="208"/>
      <c r="AB535" s="208"/>
      <c r="AC535" s="208"/>
      <c r="AD535" s="208"/>
      <c r="AE535" s="208"/>
      <c r="AF535" s="208"/>
      <c r="AG535" s="208"/>
      <c r="AH535" s="208"/>
      <c r="AI535" s="208"/>
      <c r="AJ535" s="208"/>
      <c r="AK535" s="208"/>
    </row>
    <row r="536">
      <c r="A536" s="208"/>
      <c r="B536" s="208"/>
      <c r="C536" s="208"/>
      <c r="D536" s="208"/>
      <c r="E536" s="208"/>
      <c r="F536" s="208"/>
      <c r="G536" s="208"/>
      <c r="H536" s="233"/>
      <c r="I536" s="234"/>
      <c r="J536" s="208"/>
      <c r="K536" s="208"/>
      <c r="L536" s="208"/>
      <c r="M536" s="208"/>
      <c r="N536" s="208"/>
      <c r="O536" s="208"/>
      <c r="P536" s="208"/>
      <c r="Q536" s="208"/>
      <c r="R536" s="208"/>
      <c r="S536" s="208"/>
      <c r="T536" s="208"/>
      <c r="U536" s="208"/>
      <c r="V536" s="208"/>
      <c r="W536" s="208"/>
      <c r="X536" s="208"/>
      <c r="Y536" s="208"/>
      <c r="Z536" s="208"/>
      <c r="AA536" s="208"/>
      <c r="AB536" s="208"/>
      <c r="AC536" s="208"/>
      <c r="AD536" s="208"/>
      <c r="AE536" s="208"/>
      <c r="AF536" s="208"/>
      <c r="AG536" s="208"/>
      <c r="AH536" s="208"/>
      <c r="AI536" s="208"/>
      <c r="AJ536" s="208"/>
      <c r="AK536" s="208"/>
    </row>
    <row r="537">
      <c r="A537" s="208"/>
      <c r="B537" s="208"/>
      <c r="C537" s="208"/>
      <c r="D537" s="208"/>
      <c r="E537" s="208"/>
      <c r="F537" s="208"/>
      <c r="G537" s="208"/>
      <c r="H537" s="233"/>
      <c r="I537" s="234"/>
      <c r="J537" s="208"/>
      <c r="K537" s="208"/>
      <c r="L537" s="208"/>
      <c r="M537" s="208"/>
      <c r="N537" s="208"/>
      <c r="O537" s="208"/>
      <c r="P537" s="208"/>
      <c r="Q537" s="208"/>
      <c r="R537" s="208"/>
      <c r="S537" s="208"/>
      <c r="T537" s="208"/>
      <c r="U537" s="208"/>
      <c r="V537" s="208"/>
      <c r="W537" s="208"/>
      <c r="X537" s="208"/>
      <c r="Y537" s="208"/>
      <c r="Z537" s="208"/>
      <c r="AA537" s="208"/>
      <c r="AB537" s="208"/>
      <c r="AC537" s="208"/>
      <c r="AD537" s="208"/>
      <c r="AE537" s="208"/>
      <c r="AF537" s="208"/>
      <c r="AG537" s="208"/>
      <c r="AH537" s="208"/>
      <c r="AI537" s="208"/>
      <c r="AJ537" s="208"/>
      <c r="AK537" s="208"/>
    </row>
    <row r="538">
      <c r="A538" s="208"/>
      <c r="B538" s="208"/>
      <c r="C538" s="208"/>
      <c r="D538" s="208"/>
      <c r="E538" s="208"/>
      <c r="F538" s="208"/>
      <c r="G538" s="208"/>
      <c r="H538" s="233"/>
      <c r="I538" s="234"/>
      <c r="J538" s="208"/>
      <c r="K538" s="208"/>
      <c r="L538" s="208"/>
      <c r="M538" s="208"/>
      <c r="N538" s="208"/>
      <c r="O538" s="208"/>
      <c r="P538" s="208"/>
      <c r="Q538" s="208"/>
      <c r="R538" s="208"/>
      <c r="S538" s="208"/>
      <c r="T538" s="208"/>
      <c r="U538" s="208"/>
      <c r="V538" s="208"/>
      <c r="W538" s="208"/>
      <c r="X538" s="208"/>
      <c r="Y538" s="208"/>
      <c r="Z538" s="208"/>
      <c r="AA538" s="208"/>
      <c r="AB538" s="208"/>
      <c r="AC538" s="208"/>
      <c r="AD538" s="208"/>
      <c r="AE538" s="208"/>
      <c r="AF538" s="208"/>
      <c r="AG538" s="208"/>
      <c r="AH538" s="208"/>
      <c r="AI538" s="208"/>
      <c r="AJ538" s="208"/>
      <c r="AK538" s="208"/>
    </row>
    <row r="539">
      <c r="A539" s="208"/>
      <c r="B539" s="208"/>
      <c r="C539" s="208"/>
      <c r="D539" s="208"/>
      <c r="E539" s="208"/>
      <c r="F539" s="208"/>
      <c r="G539" s="208"/>
      <c r="H539" s="233"/>
      <c r="I539" s="234"/>
      <c r="J539" s="208"/>
      <c r="K539" s="208"/>
      <c r="L539" s="208"/>
      <c r="M539" s="208"/>
      <c r="N539" s="208"/>
      <c r="O539" s="208"/>
      <c r="P539" s="208"/>
      <c r="Q539" s="208"/>
      <c r="R539" s="208"/>
      <c r="S539" s="208"/>
      <c r="T539" s="208"/>
      <c r="U539" s="208"/>
      <c r="V539" s="208"/>
      <c r="W539" s="208"/>
      <c r="X539" s="208"/>
      <c r="Y539" s="208"/>
      <c r="Z539" s="208"/>
      <c r="AA539" s="208"/>
      <c r="AB539" s="208"/>
      <c r="AC539" s="208"/>
      <c r="AD539" s="208"/>
      <c r="AE539" s="208"/>
      <c r="AF539" s="208"/>
      <c r="AG539" s="208"/>
      <c r="AH539" s="208"/>
      <c r="AI539" s="208"/>
      <c r="AJ539" s="208"/>
      <c r="AK539" s="208"/>
    </row>
    <row r="540">
      <c r="A540" s="208"/>
      <c r="B540" s="208"/>
      <c r="C540" s="208"/>
      <c r="D540" s="208"/>
      <c r="E540" s="208"/>
      <c r="F540" s="208"/>
      <c r="G540" s="208"/>
      <c r="H540" s="233"/>
      <c r="I540" s="234"/>
      <c r="J540" s="208"/>
      <c r="K540" s="208"/>
      <c r="L540" s="208"/>
      <c r="M540" s="208"/>
      <c r="N540" s="208"/>
      <c r="O540" s="208"/>
      <c r="P540" s="208"/>
      <c r="Q540" s="208"/>
      <c r="R540" s="208"/>
      <c r="S540" s="208"/>
      <c r="T540" s="208"/>
      <c r="U540" s="208"/>
      <c r="V540" s="208"/>
      <c r="W540" s="208"/>
      <c r="X540" s="208"/>
      <c r="Y540" s="208"/>
      <c r="Z540" s="208"/>
      <c r="AA540" s="208"/>
      <c r="AB540" s="208"/>
      <c r="AC540" s="208"/>
      <c r="AD540" s="208"/>
      <c r="AE540" s="208"/>
      <c r="AF540" s="208"/>
      <c r="AG540" s="208"/>
      <c r="AH540" s="208"/>
      <c r="AI540" s="208"/>
      <c r="AJ540" s="208"/>
      <c r="AK540" s="208"/>
    </row>
    <row r="541">
      <c r="A541" s="208"/>
      <c r="B541" s="208"/>
      <c r="C541" s="208"/>
      <c r="D541" s="208"/>
      <c r="E541" s="208"/>
      <c r="F541" s="208"/>
      <c r="G541" s="208"/>
      <c r="H541" s="233"/>
      <c r="I541" s="234"/>
      <c r="J541" s="208"/>
      <c r="K541" s="208"/>
      <c r="L541" s="208"/>
      <c r="M541" s="208"/>
      <c r="N541" s="208"/>
      <c r="O541" s="208"/>
      <c r="P541" s="208"/>
      <c r="Q541" s="208"/>
      <c r="R541" s="208"/>
      <c r="S541" s="208"/>
      <c r="T541" s="208"/>
      <c r="U541" s="208"/>
      <c r="V541" s="208"/>
      <c r="W541" s="208"/>
      <c r="X541" s="208"/>
      <c r="Y541" s="208"/>
      <c r="Z541" s="208"/>
      <c r="AA541" s="208"/>
      <c r="AB541" s="208"/>
      <c r="AC541" s="208"/>
      <c r="AD541" s="208"/>
      <c r="AE541" s="208"/>
      <c r="AF541" s="208"/>
      <c r="AG541" s="208"/>
      <c r="AH541" s="208"/>
      <c r="AI541" s="208"/>
      <c r="AJ541" s="208"/>
      <c r="AK541" s="208"/>
    </row>
    <row r="542">
      <c r="A542" s="208"/>
      <c r="B542" s="208"/>
      <c r="C542" s="208"/>
      <c r="D542" s="208"/>
      <c r="E542" s="208"/>
      <c r="F542" s="208"/>
      <c r="G542" s="208"/>
      <c r="H542" s="233"/>
      <c r="I542" s="234"/>
      <c r="J542" s="208"/>
      <c r="K542" s="208"/>
      <c r="L542" s="208"/>
      <c r="M542" s="208"/>
      <c r="N542" s="208"/>
      <c r="O542" s="208"/>
      <c r="P542" s="208"/>
      <c r="Q542" s="208"/>
      <c r="R542" s="208"/>
      <c r="S542" s="208"/>
      <c r="T542" s="208"/>
      <c r="U542" s="208"/>
      <c r="V542" s="208"/>
      <c r="W542" s="208"/>
      <c r="X542" s="208"/>
      <c r="Y542" s="208"/>
      <c r="Z542" s="208"/>
      <c r="AA542" s="208"/>
      <c r="AB542" s="208"/>
      <c r="AC542" s="208"/>
      <c r="AD542" s="208"/>
      <c r="AE542" s="208"/>
      <c r="AF542" s="208"/>
      <c r="AG542" s="208"/>
      <c r="AH542" s="208"/>
      <c r="AI542" s="208"/>
      <c r="AJ542" s="208"/>
      <c r="AK542" s="208"/>
    </row>
    <row r="543">
      <c r="A543" s="208"/>
      <c r="B543" s="208"/>
      <c r="C543" s="208"/>
      <c r="D543" s="208"/>
      <c r="E543" s="208"/>
      <c r="F543" s="208"/>
      <c r="G543" s="208"/>
      <c r="H543" s="233"/>
      <c r="I543" s="234"/>
      <c r="J543" s="208"/>
      <c r="K543" s="208"/>
      <c r="L543" s="208"/>
      <c r="M543" s="208"/>
      <c r="N543" s="208"/>
      <c r="O543" s="208"/>
      <c r="P543" s="208"/>
      <c r="Q543" s="208"/>
      <c r="R543" s="208"/>
      <c r="S543" s="208"/>
      <c r="T543" s="208"/>
      <c r="U543" s="208"/>
      <c r="V543" s="208"/>
      <c r="W543" s="208"/>
      <c r="X543" s="208"/>
      <c r="Y543" s="208"/>
      <c r="Z543" s="208"/>
      <c r="AA543" s="208"/>
      <c r="AB543" s="208"/>
      <c r="AC543" s="208"/>
      <c r="AD543" s="208"/>
      <c r="AE543" s="208"/>
      <c r="AF543" s="208"/>
      <c r="AG543" s="208"/>
      <c r="AH543" s="208"/>
      <c r="AI543" s="208"/>
      <c r="AJ543" s="208"/>
      <c r="AK543" s="208"/>
    </row>
    <row r="544">
      <c r="A544" s="208"/>
      <c r="B544" s="208"/>
      <c r="C544" s="208"/>
      <c r="D544" s="208"/>
      <c r="E544" s="208"/>
      <c r="F544" s="208"/>
      <c r="G544" s="208"/>
      <c r="H544" s="233"/>
      <c r="I544" s="234"/>
      <c r="J544" s="208"/>
      <c r="K544" s="208"/>
      <c r="L544" s="208"/>
      <c r="M544" s="208"/>
      <c r="N544" s="208"/>
      <c r="O544" s="208"/>
      <c r="P544" s="208"/>
      <c r="Q544" s="208"/>
      <c r="R544" s="208"/>
      <c r="S544" s="208"/>
      <c r="T544" s="208"/>
      <c r="U544" s="208"/>
      <c r="V544" s="208"/>
      <c r="W544" s="208"/>
      <c r="X544" s="208"/>
      <c r="Y544" s="208"/>
      <c r="Z544" s="208"/>
      <c r="AA544" s="208"/>
      <c r="AB544" s="208"/>
      <c r="AC544" s="208"/>
      <c r="AD544" s="208"/>
      <c r="AE544" s="208"/>
      <c r="AF544" s="208"/>
      <c r="AG544" s="208"/>
      <c r="AH544" s="208"/>
      <c r="AI544" s="208"/>
      <c r="AJ544" s="208"/>
      <c r="AK544" s="208"/>
    </row>
    <row r="545">
      <c r="A545" s="208"/>
      <c r="B545" s="208"/>
      <c r="C545" s="208"/>
      <c r="D545" s="208"/>
      <c r="E545" s="208"/>
      <c r="F545" s="208"/>
      <c r="G545" s="208"/>
      <c r="H545" s="233"/>
      <c r="I545" s="234"/>
      <c r="J545" s="208"/>
      <c r="K545" s="208"/>
      <c r="L545" s="208"/>
      <c r="M545" s="208"/>
      <c r="N545" s="208"/>
      <c r="O545" s="208"/>
      <c r="P545" s="208"/>
      <c r="Q545" s="208"/>
      <c r="R545" s="208"/>
      <c r="S545" s="208"/>
      <c r="T545" s="208"/>
      <c r="U545" s="208"/>
      <c r="V545" s="208"/>
      <c r="W545" s="208"/>
      <c r="X545" s="208"/>
      <c r="Y545" s="208"/>
      <c r="Z545" s="208"/>
      <c r="AA545" s="208"/>
      <c r="AB545" s="208"/>
      <c r="AC545" s="208"/>
      <c r="AD545" s="208"/>
      <c r="AE545" s="208"/>
      <c r="AF545" s="208"/>
      <c r="AG545" s="208"/>
      <c r="AH545" s="208"/>
      <c r="AI545" s="208"/>
      <c r="AJ545" s="208"/>
      <c r="AK545" s="208"/>
    </row>
    <row r="546">
      <c r="A546" s="208"/>
      <c r="B546" s="208"/>
      <c r="C546" s="208"/>
      <c r="D546" s="208"/>
      <c r="E546" s="208"/>
      <c r="F546" s="208"/>
      <c r="G546" s="208"/>
      <c r="H546" s="233"/>
      <c r="I546" s="234"/>
      <c r="J546" s="208"/>
      <c r="K546" s="208"/>
      <c r="L546" s="208"/>
      <c r="M546" s="208"/>
      <c r="N546" s="208"/>
      <c r="O546" s="208"/>
      <c r="P546" s="208"/>
      <c r="Q546" s="208"/>
      <c r="R546" s="208"/>
      <c r="S546" s="208"/>
      <c r="T546" s="208"/>
      <c r="U546" s="208"/>
      <c r="V546" s="208"/>
      <c r="W546" s="208"/>
      <c r="X546" s="208"/>
      <c r="Y546" s="208"/>
      <c r="Z546" s="208"/>
      <c r="AA546" s="208"/>
      <c r="AB546" s="208"/>
      <c r="AC546" s="208"/>
      <c r="AD546" s="208"/>
      <c r="AE546" s="208"/>
      <c r="AF546" s="208"/>
      <c r="AG546" s="208"/>
      <c r="AH546" s="208"/>
      <c r="AI546" s="208"/>
      <c r="AJ546" s="208"/>
      <c r="AK546" s="208"/>
    </row>
    <row r="547">
      <c r="A547" s="208"/>
      <c r="B547" s="208"/>
      <c r="C547" s="208"/>
      <c r="D547" s="208"/>
      <c r="E547" s="208"/>
      <c r="F547" s="208"/>
      <c r="G547" s="208"/>
      <c r="H547" s="233"/>
      <c r="I547" s="234"/>
      <c r="J547" s="208"/>
      <c r="K547" s="208"/>
      <c r="L547" s="208"/>
      <c r="M547" s="208"/>
      <c r="N547" s="208"/>
      <c r="O547" s="208"/>
      <c r="P547" s="208"/>
      <c r="Q547" s="208"/>
      <c r="R547" s="208"/>
      <c r="S547" s="208"/>
      <c r="T547" s="208"/>
      <c r="U547" s="208"/>
      <c r="V547" s="208"/>
      <c r="W547" s="208"/>
      <c r="X547" s="208"/>
      <c r="Y547" s="208"/>
      <c r="Z547" s="208"/>
      <c r="AA547" s="208"/>
      <c r="AB547" s="208"/>
      <c r="AC547" s="208"/>
      <c r="AD547" s="208"/>
      <c r="AE547" s="208"/>
      <c r="AF547" s="208"/>
      <c r="AG547" s="208"/>
      <c r="AH547" s="208"/>
      <c r="AI547" s="208"/>
      <c r="AJ547" s="208"/>
      <c r="AK547" s="208"/>
    </row>
    <row r="548">
      <c r="A548" s="208"/>
      <c r="B548" s="208"/>
      <c r="C548" s="208"/>
      <c r="D548" s="208"/>
      <c r="E548" s="208"/>
      <c r="F548" s="208"/>
      <c r="G548" s="208"/>
      <c r="H548" s="233"/>
      <c r="I548" s="234"/>
      <c r="J548" s="208"/>
      <c r="K548" s="208"/>
      <c r="L548" s="208"/>
      <c r="M548" s="208"/>
      <c r="N548" s="208"/>
      <c r="O548" s="208"/>
      <c r="P548" s="208"/>
      <c r="Q548" s="208"/>
      <c r="R548" s="208"/>
      <c r="S548" s="208"/>
      <c r="T548" s="208"/>
      <c r="U548" s="208"/>
      <c r="V548" s="208"/>
      <c r="W548" s="208"/>
      <c r="X548" s="208"/>
      <c r="Y548" s="208"/>
      <c r="Z548" s="208"/>
      <c r="AA548" s="208"/>
      <c r="AB548" s="208"/>
      <c r="AC548" s="208"/>
      <c r="AD548" s="208"/>
      <c r="AE548" s="208"/>
      <c r="AF548" s="208"/>
      <c r="AG548" s="208"/>
      <c r="AH548" s="208"/>
      <c r="AI548" s="208"/>
      <c r="AJ548" s="208"/>
      <c r="AK548" s="208"/>
    </row>
    <row r="549">
      <c r="A549" s="208"/>
      <c r="B549" s="208"/>
      <c r="C549" s="208"/>
      <c r="D549" s="208"/>
      <c r="E549" s="208"/>
      <c r="F549" s="208"/>
      <c r="G549" s="208"/>
      <c r="H549" s="233"/>
      <c r="I549" s="234"/>
      <c r="J549" s="208"/>
      <c r="K549" s="208"/>
      <c r="L549" s="208"/>
      <c r="M549" s="208"/>
      <c r="N549" s="208"/>
      <c r="O549" s="208"/>
      <c r="P549" s="208"/>
      <c r="Q549" s="208"/>
      <c r="R549" s="208"/>
      <c r="S549" s="208"/>
      <c r="T549" s="208"/>
      <c r="U549" s="208"/>
      <c r="V549" s="208"/>
      <c r="W549" s="208"/>
      <c r="X549" s="208"/>
      <c r="Y549" s="208"/>
      <c r="Z549" s="208"/>
      <c r="AA549" s="208"/>
      <c r="AB549" s="208"/>
      <c r="AC549" s="208"/>
      <c r="AD549" s="208"/>
      <c r="AE549" s="208"/>
      <c r="AF549" s="208"/>
      <c r="AG549" s="208"/>
      <c r="AH549" s="208"/>
      <c r="AI549" s="208"/>
      <c r="AJ549" s="208"/>
      <c r="AK549" s="208"/>
    </row>
    <row r="550">
      <c r="A550" s="208"/>
      <c r="B550" s="208"/>
      <c r="C550" s="208"/>
      <c r="D550" s="208"/>
      <c r="E550" s="208"/>
      <c r="F550" s="208"/>
      <c r="G550" s="208"/>
      <c r="H550" s="233"/>
      <c r="I550" s="234"/>
      <c r="J550" s="208"/>
      <c r="K550" s="208"/>
      <c r="L550" s="208"/>
      <c r="M550" s="208"/>
      <c r="N550" s="208"/>
      <c r="O550" s="208"/>
      <c r="P550" s="208"/>
      <c r="Q550" s="208"/>
      <c r="R550" s="208"/>
      <c r="S550" s="208"/>
      <c r="T550" s="208"/>
      <c r="U550" s="208"/>
      <c r="V550" s="208"/>
      <c r="W550" s="208"/>
      <c r="X550" s="208"/>
      <c r="Y550" s="208"/>
      <c r="Z550" s="208"/>
      <c r="AA550" s="208"/>
      <c r="AB550" s="208"/>
      <c r="AC550" s="208"/>
      <c r="AD550" s="208"/>
      <c r="AE550" s="208"/>
      <c r="AF550" s="208"/>
      <c r="AG550" s="208"/>
      <c r="AH550" s="208"/>
      <c r="AI550" s="208"/>
      <c r="AJ550" s="208"/>
      <c r="AK550" s="208"/>
    </row>
    <row r="551">
      <c r="A551" s="208"/>
      <c r="B551" s="208"/>
      <c r="C551" s="208"/>
      <c r="D551" s="208"/>
      <c r="E551" s="208"/>
      <c r="F551" s="208"/>
      <c r="G551" s="208"/>
      <c r="H551" s="233"/>
      <c r="I551" s="234"/>
      <c r="J551" s="208"/>
      <c r="K551" s="208"/>
      <c r="L551" s="208"/>
      <c r="M551" s="208"/>
      <c r="N551" s="208"/>
      <c r="O551" s="208"/>
      <c r="P551" s="208"/>
      <c r="Q551" s="208"/>
      <c r="R551" s="208"/>
      <c r="S551" s="208"/>
      <c r="T551" s="208"/>
      <c r="U551" s="208"/>
      <c r="V551" s="208"/>
      <c r="W551" s="208"/>
      <c r="X551" s="208"/>
      <c r="Y551" s="208"/>
      <c r="Z551" s="208"/>
      <c r="AA551" s="208"/>
      <c r="AB551" s="208"/>
      <c r="AC551" s="208"/>
      <c r="AD551" s="208"/>
      <c r="AE551" s="208"/>
      <c r="AF551" s="208"/>
      <c r="AG551" s="208"/>
      <c r="AH551" s="208"/>
      <c r="AI551" s="208"/>
      <c r="AJ551" s="208"/>
      <c r="AK551" s="208"/>
    </row>
    <row r="552">
      <c r="A552" s="208"/>
      <c r="B552" s="208"/>
      <c r="C552" s="208"/>
      <c r="D552" s="208"/>
      <c r="E552" s="208"/>
      <c r="F552" s="208"/>
      <c r="G552" s="208"/>
      <c r="H552" s="233"/>
      <c r="I552" s="234"/>
      <c r="J552" s="208"/>
      <c r="K552" s="208"/>
      <c r="L552" s="208"/>
      <c r="M552" s="208"/>
      <c r="N552" s="208"/>
      <c r="O552" s="208"/>
      <c r="P552" s="208"/>
      <c r="Q552" s="208"/>
      <c r="R552" s="208"/>
      <c r="S552" s="208"/>
      <c r="T552" s="208"/>
      <c r="U552" s="208"/>
      <c r="V552" s="208"/>
      <c r="W552" s="208"/>
      <c r="X552" s="208"/>
      <c r="Y552" s="208"/>
      <c r="Z552" s="208"/>
      <c r="AA552" s="208"/>
      <c r="AB552" s="208"/>
      <c r="AC552" s="208"/>
      <c r="AD552" s="208"/>
      <c r="AE552" s="208"/>
      <c r="AF552" s="208"/>
      <c r="AG552" s="208"/>
      <c r="AH552" s="208"/>
      <c r="AI552" s="208"/>
      <c r="AJ552" s="208"/>
      <c r="AK552" s="208"/>
    </row>
    <row r="553">
      <c r="A553" s="208"/>
      <c r="B553" s="208"/>
      <c r="C553" s="208"/>
      <c r="D553" s="208"/>
      <c r="E553" s="208"/>
      <c r="F553" s="208"/>
      <c r="G553" s="208"/>
      <c r="H553" s="233"/>
      <c r="I553" s="234"/>
      <c r="J553" s="208"/>
      <c r="K553" s="208"/>
      <c r="L553" s="208"/>
      <c r="M553" s="208"/>
      <c r="N553" s="208"/>
      <c r="O553" s="208"/>
      <c r="P553" s="208"/>
      <c r="Q553" s="208"/>
      <c r="R553" s="208"/>
      <c r="S553" s="208"/>
      <c r="T553" s="208"/>
      <c r="U553" s="208"/>
      <c r="V553" s="208"/>
      <c r="W553" s="208"/>
      <c r="X553" s="208"/>
      <c r="Y553" s="208"/>
      <c r="Z553" s="208"/>
      <c r="AA553" s="208"/>
      <c r="AB553" s="208"/>
      <c r="AC553" s="208"/>
      <c r="AD553" s="208"/>
      <c r="AE553" s="208"/>
      <c r="AF553" s="208"/>
      <c r="AG553" s="208"/>
      <c r="AH553" s="208"/>
      <c r="AI553" s="208"/>
      <c r="AJ553" s="208"/>
      <c r="AK553" s="208"/>
    </row>
    <row r="554">
      <c r="A554" s="208"/>
      <c r="B554" s="208"/>
      <c r="C554" s="208"/>
      <c r="D554" s="208"/>
      <c r="E554" s="208"/>
      <c r="F554" s="208"/>
      <c r="G554" s="208"/>
      <c r="H554" s="233"/>
      <c r="I554" s="234"/>
      <c r="J554" s="208"/>
      <c r="K554" s="208"/>
      <c r="L554" s="208"/>
      <c r="M554" s="208"/>
      <c r="N554" s="208"/>
      <c r="O554" s="208"/>
      <c r="P554" s="208"/>
      <c r="Q554" s="208"/>
      <c r="R554" s="208"/>
      <c r="S554" s="208"/>
      <c r="T554" s="208"/>
      <c r="U554" s="208"/>
      <c r="V554" s="208"/>
      <c r="W554" s="208"/>
      <c r="X554" s="208"/>
      <c r="Y554" s="208"/>
      <c r="Z554" s="208"/>
      <c r="AA554" s="208"/>
      <c r="AB554" s="208"/>
      <c r="AC554" s="208"/>
      <c r="AD554" s="208"/>
      <c r="AE554" s="208"/>
      <c r="AF554" s="208"/>
      <c r="AG554" s="208"/>
      <c r="AH554" s="208"/>
      <c r="AI554" s="208"/>
      <c r="AJ554" s="208"/>
      <c r="AK554" s="208"/>
    </row>
    <row r="555">
      <c r="A555" s="208"/>
      <c r="B555" s="208"/>
      <c r="C555" s="208"/>
      <c r="D555" s="208"/>
      <c r="E555" s="208"/>
      <c r="F555" s="208"/>
      <c r="G555" s="208"/>
      <c r="H555" s="233"/>
      <c r="I555" s="234"/>
      <c r="J555" s="208"/>
      <c r="K555" s="208"/>
      <c r="L555" s="208"/>
      <c r="M555" s="208"/>
      <c r="N555" s="208"/>
      <c r="O555" s="208"/>
      <c r="P555" s="208"/>
      <c r="Q555" s="208"/>
      <c r="R555" s="208"/>
      <c r="S555" s="208"/>
      <c r="T555" s="208"/>
      <c r="U555" s="208"/>
      <c r="V555" s="208"/>
      <c r="W555" s="208"/>
      <c r="X555" s="208"/>
      <c r="Y555" s="208"/>
      <c r="Z555" s="208"/>
      <c r="AA555" s="208"/>
      <c r="AB555" s="208"/>
      <c r="AC555" s="208"/>
      <c r="AD555" s="208"/>
      <c r="AE555" s="208"/>
      <c r="AF555" s="208"/>
      <c r="AG555" s="208"/>
      <c r="AH555" s="208"/>
      <c r="AI555" s="208"/>
      <c r="AJ555" s="208"/>
      <c r="AK555" s="208"/>
    </row>
    <row r="556">
      <c r="A556" s="208"/>
      <c r="B556" s="208"/>
      <c r="C556" s="208"/>
      <c r="D556" s="208"/>
      <c r="E556" s="208"/>
      <c r="F556" s="208"/>
      <c r="G556" s="208"/>
      <c r="H556" s="233"/>
      <c r="I556" s="234"/>
      <c r="J556" s="208"/>
      <c r="K556" s="208"/>
      <c r="L556" s="208"/>
      <c r="M556" s="208"/>
      <c r="N556" s="208"/>
      <c r="O556" s="208"/>
      <c r="P556" s="208"/>
      <c r="Q556" s="208"/>
      <c r="R556" s="208"/>
      <c r="S556" s="208"/>
      <c r="T556" s="208"/>
      <c r="U556" s="208"/>
      <c r="V556" s="208"/>
      <c r="W556" s="208"/>
      <c r="X556" s="208"/>
      <c r="Y556" s="208"/>
      <c r="Z556" s="208"/>
      <c r="AA556" s="208"/>
      <c r="AB556" s="208"/>
      <c r="AC556" s="208"/>
      <c r="AD556" s="208"/>
      <c r="AE556" s="208"/>
      <c r="AF556" s="208"/>
      <c r="AG556" s="208"/>
      <c r="AH556" s="208"/>
      <c r="AI556" s="208"/>
      <c r="AJ556" s="208"/>
      <c r="AK556" s="208"/>
    </row>
    <row r="557">
      <c r="A557" s="208"/>
      <c r="B557" s="208"/>
      <c r="C557" s="208"/>
      <c r="D557" s="208"/>
      <c r="E557" s="208"/>
      <c r="F557" s="208"/>
      <c r="G557" s="208"/>
      <c r="H557" s="233"/>
      <c r="I557" s="234"/>
      <c r="J557" s="208"/>
      <c r="K557" s="208"/>
      <c r="L557" s="208"/>
      <c r="M557" s="208"/>
      <c r="N557" s="208"/>
      <c r="O557" s="208"/>
      <c r="P557" s="208"/>
      <c r="Q557" s="208"/>
      <c r="R557" s="208"/>
      <c r="S557" s="208"/>
      <c r="T557" s="208"/>
      <c r="U557" s="208"/>
      <c r="V557" s="208"/>
      <c r="W557" s="208"/>
      <c r="X557" s="208"/>
      <c r="Y557" s="208"/>
      <c r="Z557" s="208"/>
      <c r="AA557" s="208"/>
      <c r="AB557" s="208"/>
      <c r="AC557" s="208"/>
      <c r="AD557" s="208"/>
      <c r="AE557" s="208"/>
      <c r="AF557" s="208"/>
      <c r="AG557" s="208"/>
      <c r="AH557" s="208"/>
      <c r="AI557" s="208"/>
      <c r="AJ557" s="208"/>
      <c r="AK557" s="208"/>
    </row>
    <row r="558">
      <c r="A558" s="208"/>
      <c r="B558" s="208"/>
      <c r="C558" s="208"/>
      <c r="D558" s="208"/>
      <c r="E558" s="208"/>
      <c r="F558" s="208"/>
      <c r="G558" s="208"/>
      <c r="H558" s="233"/>
      <c r="I558" s="234"/>
      <c r="J558" s="208"/>
      <c r="K558" s="208"/>
      <c r="L558" s="208"/>
      <c r="M558" s="208"/>
      <c r="N558" s="208"/>
      <c r="O558" s="208"/>
      <c r="P558" s="208"/>
      <c r="Q558" s="208"/>
      <c r="R558" s="208"/>
      <c r="S558" s="208"/>
      <c r="T558" s="208"/>
      <c r="U558" s="208"/>
      <c r="V558" s="208"/>
      <c r="W558" s="208"/>
      <c r="X558" s="208"/>
      <c r="Y558" s="208"/>
      <c r="Z558" s="208"/>
      <c r="AA558" s="208"/>
      <c r="AB558" s="208"/>
      <c r="AC558" s="208"/>
      <c r="AD558" s="208"/>
      <c r="AE558" s="208"/>
      <c r="AF558" s="208"/>
      <c r="AG558" s="208"/>
      <c r="AH558" s="208"/>
      <c r="AI558" s="208"/>
      <c r="AJ558" s="208"/>
      <c r="AK558" s="208"/>
    </row>
    <row r="559">
      <c r="A559" s="208"/>
      <c r="B559" s="208"/>
      <c r="C559" s="208"/>
      <c r="D559" s="208"/>
      <c r="E559" s="208"/>
      <c r="F559" s="208"/>
      <c r="G559" s="208"/>
      <c r="H559" s="233"/>
      <c r="I559" s="234"/>
      <c r="J559" s="208"/>
      <c r="K559" s="208"/>
      <c r="L559" s="208"/>
      <c r="M559" s="208"/>
      <c r="N559" s="208"/>
      <c r="O559" s="208"/>
      <c r="P559" s="208"/>
      <c r="Q559" s="208"/>
      <c r="R559" s="208"/>
      <c r="S559" s="208"/>
      <c r="T559" s="208"/>
      <c r="U559" s="208"/>
      <c r="V559" s="208"/>
      <c r="W559" s="208"/>
      <c r="X559" s="208"/>
      <c r="Y559" s="208"/>
      <c r="Z559" s="208"/>
      <c r="AA559" s="208"/>
      <c r="AB559" s="208"/>
      <c r="AC559" s="208"/>
      <c r="AD559" s="208"/>
      <c r="AE559" s="208"/>
      <c r="AF559" s="208"/>
      <c r="AG559" s="208"/>
      <c r="AH559" s="208"/>
      <c r="AI559" s="208"/>
      <c r="AJ559" s="208"/>
      <c r="AK559" s="208"/>
    </row>
    <row r="560">
      <c r="A560" s="208"/>
      <c r="B560" s="208"/>
      <c r="C560" s="208"/>
      <c r="D560" s="208"/>
      <c r="E560" s="208"/>
      <c r="F560" s="208"/>
      <c r="G560" s="208"/>
      <c r="H560" s="233"/>
      <c r="I560" s="234"/>
      <c r="J560" s="208"/>
      <c r="K560" s="208"/>
      <c r="L560" s="208"/>
      <c r="M560" s="208"/>
      <c r="N560" s="208"/>
      <c r="O560" s="208"/>
      <c r="P560" s="208"/>
      <c r="Q560" s="208"/>
      <c r="R560" s="208"/>
      <c r="S560" s="208"/>
      <c r="T560" s="208"/>
      <c r="U560" s="208"/>
      <c r="V560" s="208"/>
      <c r="W560" s="208"/>
      <c r="X560" s="208"/>
      <c r="Y560" s="208"/>
      <c r="Z560" s="208"/>
      <c r="AA560" s="208"/>
      <c r="AB560" s="208"/>
      <c r="AC560" s="208"/>
      <c r="AD560" s="208"/>
      <c r="AE560" s="208"/>
      <c r="AF560" s="208"/>
      <c r="AG560" s="208"/>
      <c r="AH560" s="208"/>
      <c r="AI560" s="208"/>
      <c r="AJ560" s="208"/>
      <c r="AK560" s="208"/>
    </row>
    <row r="561">
      <c r="A561" s="208"/>
      <c r="B561" s="208"/>
      <c r="C561" s="208"/>
      <c r="D561" s="208"/>
      <c r="E561" s="208"/>
      <c r="F561" s="208"/>
      <c r="G561" s="208"/>
      <c r="H561" s="233"/>
      <c r="I561" s="234"/>
      <c r="J561" s="208"/>
      <c r="K561" s="208"/>
      <c r="L561" s="208"/>
      <c r="M561" s="208"/>
      <c r="N561" s="208"/>
      <c r="O561" s="208"/>
      <c r="P561" s="208"/>
      <c r="Q561" s="208"/>
      <c r="R561" s="208"/>
      <c r="S561" s="208"/>
      <c r="T561" s="208"/>
      <c r="U561" s="208"/>
      <c r="V561" s="208"/>
      <c r="W561" s="208"/>
      <c r="X561" s="208"/>
      <c r="Y561" s="208"/>
      <c r="Z561" s="208"/>
      <c r="AA561" s="208"/>
      <c r="AB561" s="208"/>
      <c r="AC561" s="208"/>
      <c r="AD561" s="208"/>
      <c r="AE561" s="208"/>
      <c r="AF561" s="208"/>
      <c r="AG561" s="208"/>
      <c r="AH561" s="208"/>
      <c r="AI561" s="208"/>
      <c r="AJ561" s="208"/>
      <c r="AK561" s="208"/>
    </row>
    <row r="562">
      <c r="A562" s="208"/>
      <c r="B562" s="208"/>
      <c r="C562" s="208"/>
      <c r="D562" s="208"/>
      <c r="E562" s="208"/>
      <c r="F562" s="208"/>
      <c r="G562" s="208"/>
      <c r="H562" s="233"/>
      <c r="I562" s="234"/>
      <c r="J562" s="208"/>
      <c r="K562" s="208"/>
      <c r="L562" s="208"/>
      <c r="M562" s="208"/>
      <c r="N562" s="208"/>
      <c r="O562" s="208"/>
      <c r="P562" s="208"/>
      <c r="Q562" s="208"/>
      <c r="R562" s="208"/>
      <c r="S562" s="208"/>
      <c r="T562" s="208"/>
      <c r="U562" s="208"/>
      <c r="V562" s="208"/>
      <c r="W562" s="208"/>
      <c r="X562" s="208"/>
      <c r="Y562" s="208"/>
      <c r="Z562" s="208"/>
      <c r="AA562" s="208"/>
      <c r="AB562" s="208"/>
      <c r="AC562" s="208"/>
      <c r="AD562" s="208"/>
      <c r="AE562" s="208"/>
      <c r="AF562" s="208"/>
      <c r="AG562" s="208"/>
      <c r="AH562" s="208"/>
      <c r="AI562" s="208"/>
      <c r="AJ562" s="208"/>
      <c r="AK562" s="208"/>
    </row>
    <row r="563">
      <c r="A563" s="208"/>
      <c r="B563" s="208"/>
      <c r="C563" s="208"/>
      <c r="D563" s="208"/>
      <c r="E563" s="208"/>
      <c r="F563" s="208"/>
      <c r="G563" s="208"/>
      <c r="H563" s="233"/>
      <c r="I563" s="234"/>
      <c r="J563" s="208"/>
      <c r="K563" s="208"/>
      <c r="L563" s="208"/>
      <c r="M563" s="208"/>
      <c r="N563" s="208"/>
      <c r="O563" s="208"/>
      <c r="P563" s="208"/>
      <c r="Q563" s="208"/>
      <c r="R563" s="208"/>
      <c r="S563" s="208"/>
      <c r="T563" s="208"/>
      <c r="U563" s="208"/>
      <c r="V563" s="208"/>
      <c r="W563" s="208"/>
      <c r="X563" s="208"/>
      <c r="Y563" s="208"/>
      <c r="Z563" s="208"/>
      <c r="AA563" s="208"/>
      <c r="AB563" s="208"/>
      <c r="AC563" s="208"/>
      <c r="AD563" s="208"/>
      <c r="AE563" s="208"/>
      <c r="AF563" s="208"/>
      <c r="AG563" s="208"/>
      <c r="AH563" s="208"/>
      <c r="AI563" s="208"/>
      <c r="AJ563" s="208"/>
      <c r="AK563" s="208"/>
    </row>
    <row r="564">
      <c r="A564" s="208"/>
      <c r="B564" s="208"/>
      <c r="C564" s="208"/>
      <c r="D564" s="208"/>
      <c r="E564" s="208"/>
      <c r="F564" s="208"/>
      <c r="G564" s="208"/>
      <c r="H564" s="233"/>
      <c r="I564" s="234"/>
      <c r="J564" s="208"/>
      <c r="K564" s="208"/>
      <c r="L564" s="208"/>
      <c r="M564" s="208"/>
      <c r="N564" s="208"/>
      <c r="O564" s="208"/>
      <c r="P564" s="208"/>
      <c r="Q564" s="208"/>
      <c r="R564" s="208"/>
      <c r="S564" s="208"/>
      <c r="T564" s="208"/>
      <c r="U564" s="208"/>
      <c r="V564" s="208"/>
      <c r="W564" s="208"/>
      <c r="X564" s="208"/>
      <c r="Y564" s="208"/>
      <c r="Z564" s="208"/>
      <c r="AA564" s="208"/>
      <c r="AB564" s="208"/>
      <c r="AC564" s="208"/>
      <c r="AD564" s="208"/>
      <c r="AE564" s="208"/>
      <c r="AF564" s="208"/>
      <c r="AG564" s="208"/>
      <c r="AH564" s="208"/>
      <c r="AI564" s="208"/>
      <c r="AJ564" s="208"/>
      <c r="AK564" s="208"/>
    </row>
    <row r="565">
      <c r="A565" s="208"/>
      <c r="B565" s="208"/>
      <c r="C565" s="208"/>
      <c r="D565" s="208"/>
      <c r="E565" s="208"/>
      <c r="F565" s="208"/>
      <c r="G565" s="208"/>
      <c r="H565" s="233"/>
      <c r="I565" s="234"/>
      <c r="J565" s="208"/>
      <c r="K565" s="208"/>
      <c r="L565" s="208"/>
      <c r="M565" s="208"/>
      <c r="N565" s="208"/>
      <c r="O565" s="208"/>
      <c r="P565" s="208"/>
      <c r="Q565" s="208"/>
      <c r="R565" s="208"/>
      <c r="S565" s="208"/>
      <c r="T565" s="208"/>
      <c r="U565" s="208"/>
      <c r="V565" s="208"/>
      <c r="W565" s="208"/>
      <c r="X565" s="208"/>
      <c r="Y565" s="208"/>
      <c r="Z565" s="208"/>
      <c r="AA565" s="208"/>
      <c r="AB565" s="208"/>
      <c r="AC565" s="208"/>
      <c r="AD565" s="208"/>
      <c r="AE565" s="208"/>
      <c r="AF565" s="208"/>
      <c r="AG565" s="208"/>
      <c r="AH565" s="208"/>
      <c r="AI565" s="208"/>
      <c r="AJ565" s="208"/>
      <c r="AK565" s="208"/>
    </row>
    <row r="566">
      <c r="A566" s="208"/>
      <c r="B566" s="208"/>
      <c r="C566" s="208"/>
      <c r="D566" s="208"/>
      <c r="E566" s="208"/>
      <c r="F566" s="208"/>
      <c r="G566" s="208"/>
      <c r="H566" s="233"/>
      <c r="I566" s="234"/>
      <c r="J566" s="208"/>
      <c r="K566" s="208"/>
      <c r="L566" s="208"/>
      <c r="M566" s="208"/>
      <c r="N566" s="208"/>
      <c r="O566" s="208"/>
      <c r="P566" s="208"/>
      <c r="Q566" s="208"/>
      <c r="R566" s="208"/>
      <c r="S566" s="208"/>
      <c r="T566" s="208"/>
      <c r="U566" s="208"/>
      <c r="V566" s="208"/>
      <c r="W566" s="208"/>
      <c r="X566" s="208"/>
      <c r="Y566" s="208"/>
      <c r="Z566" s="208"/>
      <c r="AA566" s="208"/>
      <c r="AB566" s="208"/>
      <c r="AC566" s="208"/>
      <c r="AD566" s="208"/>
      <c r="AE566" s="208"/>
      <c r="AF566" s="208"/>
      <c r="AG566" s="208"/>
      <c r="AH566" s="208"/>
      <c r="AI566" s="208"/>
      <c r="AJ566" s="208"/>
      <c r="AK566" s="208"/>
    </row>
    <row r="567">
      <c r="A567" s="208"/>
      <c r="B567" s="208"/>
      <c r="C567" s="208"/>
      <c r="D567" s="208"/>
      <c r="E567" s="208"/>
      <c r="F567" s="208"/>
      <c r="G567" s="208"/>
      <c r="H567" s="233"/>
      <c r="I567" s="234"/>
      <c r="J567" s="208"/>
      <c r="K567" s="208"/>
      <c r="L567" s="208"/>
      <c r="M567" s="208"/>
      <c r="N567" s="208"/>
      <c r="O567" s="208"/>
      <c r="P567" s="208"/>
      <c r="Q567" s="208"/>
      <c r="R567" s="208"/>
      <c r="S567" s="208"/>
      <c r="T567" s="208"/>
      <c r="U567" s="208"/>
      <c r="V567" s="208"/>
      <c r="W567" s="208"/>
      <c r="X567" s="208"/>
      <c r="Y567" s="208"/>
      <c r="Z567" s="208"/>
      <c r="AA567" s="208"/>
      <c r="AB567" s="208"/>
      <c r="AC567" s="208"/>
      <c r="AD567" s="208"/>
      <c r="AE567" s="208"/>
      <c r="AF567" s="208"/>
      <c r="AG567" s="208"/>
      <c r="AH567" s="208"/>
      <c r="AI567" s="208"/>
      <c r="AJ567" s="208"/>
      <c r="AK567" s="208"/>
    </row>
    <row r="568">
      <c r="A568" s="208"/>
      <c r="B568" s="208"/>
      <c r="C568" s="208"/>
      <c r="D568" s="208"/>
      <c r="E568" s="208"/>
      <c r="F568" s="208"/>
      <c r="G568" s="208"/>
      <c r="H568" s="233"/>
      <c r="I568" s="234"/>
      <c r="J568" s="208"/>
      <c r="K568" s="208"/>
      <c r="L568" s="208"/>
      <c r="M568" s="208"/>
      <c r="N568" s="208"/>
      <c r="O568" s="208"/>
      <c r="P568" s="208"/>
      <c r="Q568" s="208"/>
      <c r="R568" s="208"/>
      <c r="S568" s="208"/>
      <c r="T568" s="208"/>
      <c r="U568" s="208"/>
      <c r="V568" s="208"/>
      <c r="W568" s="208"/>
      <c r="X568" s="208"/>
      <c r="Y568" s="208"/>
      <c r="Z568" s="208"/>
      <c r="AA568" s="208"/>
      <c r="AB568" s="208"/>
      <c r="AC568" s="208"/>
      <c r="AD568" s="208"/>
      <c r="AE568" s="208"/>
      <c r="AF568" s="208"/>
      <c r="AG568" s="208"/>
      <c r="AH568" s="208"/>
      <c r="AI568" s="208"/>
      <c r="AJ568" s="208"/>
      <c r="AK568" s="208"/>
    </row>
    <row r="569">
      <c r="A569" s="208"/>
      <c r="B569" s="208"/>
      <c r="C569" s="208"/>
      <c r="D569" s="208"/>
      <c r="E569" s="208"/>
      <c r="F569" s="208"/>
      <c r="G569" s="208"/>
      <c r="H569" s="233"/>
      <c r="I569" s="234"/>
      <c r="J569" s="208"/>
      <c r="K569" s="208"/>
      <c r="L569" s="208"/>
      <c r="M569" s="208"/>
      <c r="N569" s="208"/>
      <c r="O569" s="208"/>
      <c r="P569" s="208"/>
      <c r="Q569" s="208"/>
      <c r="R569" s="208"/>
      <c r="S569" s="208"/>
      <c r="T569" s="208"/>
      <c r="U569" s="208"/>
      <c r="V569" s="208"/>
      <c r="W569" s="208"/>
      <c r="X569" s="208"/>
      <c r="Y569" s="208"/>
      <c r="Z569" s="208"/>
      <c r="AA569" s="208"/>
      <c r="AB569" s="208"/>
      <c r="AC569" s="208"/>
      <c r="AD569" s="208"/>
      <c r="AE569" s="208"/>
      <c r="AF569" s="208"/>
      <c r="AG569" s="208"/>
      <c r="AH569" s="208"/>
      <c r="AI569" s="208"/>
      <c r="AJ569" s="208"/>
      <c r="AK569" s="208"/>
    </row>
    <row r="570">
      <c r="A570" s="208"/>
      <c r="B570" s="208"/>
      <c r="C570" s="208"/>
      <c r="D570" s="208"/>
      <c r="E570" s="208"/>
      <c r="F570" s="208"/>
      <c r="G570" s="208"/>
      <c r="H570" s="233"/>
      <c r="I570" s="234"/>
      <c r="J570" s="208"/>
      <c r="K570" s="208"/>
      <c r="L570" s="208"/>
      <c r="M570" s="208"/>
      <c r="N570" s="208"/>
      <c r="O570" s="208"/>
      <c r="P570" s="208"/>
      <c r="Q570" s="208"/>
      <c r="R570" s="208"/>
      <c r="S570" s="208"/>
      <c r="T570" s="208"/>
      <c r="U570" s="208"/>
      <c r="V570" s="208"/>
      <c r="W570" s="208"/>
      <c r="X570" s="208"/>
      <c r="Y570" s="208"/>
      <c r="Z570" s="208"/>
      <c r="AA570" s="208"/>
      <c r="AB570" s="208"/>
      <c r="AC570" s="208"/>
      <c r="AD570" s="208"/>
      <c r="AE570" s="208"/>
      <c r="AF570" s="208"/>
      <c r="AG570" s="208"/>
      <c r="AH570" s="208"/>
      <c r="AI570" s="208"/>
      <c r="AJ570" s="208"/>
      <c r="AK570" s="208"/>
    </row>
    <row r="571">
      <c r="A571" s="208"/>
      <c r="B571" s="208"/>
      <c r="C571" s="208"/>
      <c r="D571" s="208"/>
      <c r="E571" s="208"/>
      <c r="F571" s="208"/>
      <c r="G571" s="208"/>
      <c r="H571" s="233"/>
      <c r="I571" s="234"/>
      <c r="J571" s="208"/>
      <c r="K571" s="208"/>
      <c r="L571" s="208"/>
      <c r="M571" s="208"/>
      <c r="N571" s="208"/>
      <c r="O571" s="208"/>
      <c r="P571" s="208"/>
      <c r="Q571" s="208"/>
      <c r="R571" s="208"/>
      <c r="S571" s="208"/>
      <c r="T571" s="208"/>
      <c r="U571" s="208"/>
      <c r="V571" s="208"/>
      <c r="W571" s="208"/>
      <c r="X571" s="208"/>
      <c r="Y571" s="208"/>
      <c r="Z571" s="208"/>
      <c r="AA571" s="208"/>
      <c r="AB571" s="208"/>
      <c r="AC571" s="208"/>
      <c r="AD571" s="208"/>
      <c r="AE571" s="208"/>
      <c r="AF571" s="208"/>
      <c r="AG571" s="208"/>
      <c r="AH571" s="208"/>
      <c r="AI571" s="208"/>
      <c r="AJ571" s="208"/>
      <c r="AK571" s="208"/>
    </row>
    <row r="572">
      <c r="A572" s="208"/>
      <c r="B572" s="208"/>
      <c r="C572" s="208"/>
      <c r="D572" s="208"/>
      <c r="E572" s="208"/>
      <c r="F572" s="208"/>
      <c r="G572" s="208"/>
      <c r="H572" s="233"/>
      <c r="I572" s="234"/>
      <c r="J572" s="208"/>
      <c r="K572" s="208"/>
      <c r="L572" s="208"/>
      <c r="M572" s="208"/>
      <c r="N572" s="208"/>
      <c r="O572" s="208"/>
      <c r="P572" s="208"/>
      <c r="Q572" s="208"/>
      <c r="R572" s="208"/>
      <c r="S572" s="208"/>
      <c r="T572" s="208"/>
      <c r="U572" s="208"/>
      <c r="V572" s="208"/>
      <c r="W572" s="208"/>
      <c r="X572" s="208"/>
      <c r="Y572" s="208"/>
      <c r="Z572" s="208"/>
      <c r="AA572" s="208"/>
      <c r="AB572" s="208"/>
      <c r="AC572" s="208"/>
      <c r="AD572" s="208"/>
      <c r="AE572" s="208"/>
      <c r="AF572" s="208"/>
      <c r="AG572" s="208"/>
      <c r="AH572" s="208"/>
      <c r="AI572" s="208"/>
      <c r="AJ572" s="208"/>
      <c r="AK572" s="208"/>
    </row>
    <row r="573">
      <c r="A573" s="208"/>
      <c r="B573" s="208"/>
      <c r="C573" s="208"/>
      <c r="D573" s="208"/>
      <c r="E573" s="208"/>
      <c r="F573" s="208"/>
      <c r="G573" s="208"/>
      <c r="H573" s="233"/>
      <c r="I573" s="234"/>
      <c r="J573" s="208"/>
      <c r="K573" s="208"/>
      <c r="L573" s="208"/>
      <c r="M573" s="208"/>
      <c r="N573" s="208"/>
      <c r="O573" s="208"/>
      <c r="P573" s="208"/>
      <c r="Q573" s="208"/>
      <c r="R573" s="208"/>
      <c r="S573" s="208"/>
      <c r="T573" s="208"/>
      <c r="U573" s="208"/>
      <c r="V573" s="208"/>
      <c r="W573" s="208"/>
      <c r="X573" s="208"/>
      <c r="Y573" s="208"/>
      <c r="Z573" s="208"/>
      <c r="AA573" s="208"/>
      <c r="AB573" s="208"/>
      <c r="AC573" s="208"/>
      <c r="AD573" s="208"/>
      <c r="AE573" s="208"/>
      <c r="AF573" s="208"/>
      <c r="AG573" s="208"/>
      <c r="AH573" s="208"/>
      <c r="AI573" s="208"/>
      <c r="AJ573" s="208"/>
      <c r="AK573" s="208"/>
    </row>
    <row r="574">
      <c r="A574" s="208"/>
      <c r="B574" s="208"/>
      <c r="C574" s="208"/>
      <c r="D574" s="208"/>
      <c r="E574" s="208"/>
      <c r="F574" s="208"/>
      <c r="G574" s="208"/>
      <c r="H574" s="233"/>
      <c r="I574" s="234"/>
      <c r="J574" s="208"/>
      <c r="K574" s="208"/>
      <c r="L574" s="208"/>
      <c r="M574" s="208"/>
      <c r="N574" s="208"/>
      <c r="O574" s="208"/>
      <c r="P574" s="208"/>
      <c r="Q574" s="208"/>
      <c r="R574" s="208"/>
      <c r="S574" s="208"/>
      <c r="T574" s="208"/>
      <c r="U574" s="208"/>
      <c r="V574" s="208"/>
      <c r="W574" s="208"/>
      <c r="X574" s="208"/>
      <c r="Y574" s="208"/>
      <c r="Z574" s="208"/>
      <c r="AA574" s="208"/>
      <c r="AB574" s="208"/>
      <c r="AC574" s="208"/>
      <c r="AD574" s="208"/>
      <c r="AE574" s="208"/>
      <c r="AF574" s="208"/>
      <c r="AG574" s="208"/>
      <c r="AH574" s="208"/>
      <c r="AI574" s="208"/>
      <c r="AJ574" s="208"/>
      <c r="AK574" s="208"/>
    </row>
    <row r="575">
      <c r="A575" s="208"/>
      <c r="B575" s="208"/>
      <c r="C575" s="208"/>
      <c r="D575" s="208"/>
      <c r="E575" s="208"/>
      <c r="F575" s="208"/>
      <c r="G575" s="208"/>
      <c r="H575" s="233"/>
      <c r="I575" s="234"/>
      <c r="J575" s="208"/>
      <c r="K575" s="208"/>
      <c r="L575" s="208"/>
      <c r="M575" s="208"/>
      <c r="N575" s="208"/>
      <c r="O575" s="208"/>
      <c r="P575" s="208"/>
      <c r="Q575" s="208"/>
      <c r="R575" s="208"/>
      <c r="S575" s="208"/>
      <c r="T575" s="208"/>
      <c r="U575" s="208"/>
      <c r="V575" s="208"/>
      <c r="W575" s="208"/>
      <c r="X575" s="208"/>
      <c r="Y575" s="208"/>
      <c r="Z575" s="208"/>
      <c r="AA575" s="208"/>
      <c r="AB575" s="208"/>
      <c r="AC575" s="208"/>
      <c r="AD575" s="208"/>
      <c r="AE575" s="208"/>
      <c r="AF575" s="208"/>
      <c r="AG575" s="208"/>
      <c r="AH575" s="208"/>
      <c r="AI575" s="208"/>
      <c r="AJ575" s="208"/>
      <c r="AK575" s="208"/>
    </row>
    <row r="576">
      <c r="A576" s="208"/>
      <c r="B576" s="208"/>
      <c r="C576" s="208"/>
      <c r="D576" s="208"/>
      <c r="E576" s="208"/>
      <c r="F576" s="208"/>
      <c r="G576" s="208"/>
      <c r="H576" s="233"/>
      <c r="I576" s="234"/>
      <c r="J576" s="208"/>
      <c r="K576" s="208"/>
      <c r="L576" s="208"/>
      <c r="M576" s="208"/>
      <c r="N576" s="208"/>
      <c r="O576" s="208"/>
      <c r="P576" s="208"/>
      <c r="Q576" s="208"/>
      <c r="R576" s="208"/>
      <c r="S576" s="208"/>
      <c r="T576" s="208"/>
      <c r="U576" s="208"/>
      <c r="V576" s="208"/>
      <c r="W576" s="208"/>
      <c r="X576" s="208"/>
      <c r="Y576" s="208"/>
      <c r="Z576" s="208"/>
      <c r="AA576" s="208"/>
      <c r="AB576" s="208"/>
      <c r="AC576" s="208"/>
      <c r="AD576" s="208"/>
      <c r="AE576" s="208"/>
      <c r="AF576" s="208"/>
      <c r="AG576" s="208"/>
      <c r="AH576" s="208"/>
      <c r="AI576" s="208"/>
      <c r="AJ576" s="208"/>
      <c r="AK576" s="208"/>
    </row>
    <row r="577">
      <c r="A577" s="208"/>
      <c r="B577" s="208"/>
      <c r="C577" s="208"/>
      <c r="D577" s="208"/>
      <c r="E577" s="208"/>
      <c r="F577" s="208"/>
      <c r="G577" s="208"/>
      <c r="H577" s="233"/>
      <c r="I577" s="234"/>
      <c r="J577" s="208"/>
      <c r="K577" s="208"/>
      <c r="L577" s="208"/>
      <c r="M577" s="208"/>
      <c r="N577" s="208"/>
      <c r="O577" s="208"/>
      <c r="P577" s="208"/>
      <c r="Q577" s="208"/>
      <c r="R577" s="208"/>
      <c r="S577" s="208"/>
      <c r="T577" s="208"/>
      <c r="U577" s="208"/>
      <c r="V577" s="208"/>
      <c r="W577" s="208"/>
      <c r="X577" s="208"/>
      <c r="Y577" s="208"/>
      <c r="Z577" s="208"/>
      <c r="AA577" s="208"/>
      <c r="AB577" s="208"/>
      <c r="AC577" s="208"/>
      <c r="AD577" s="208"/>
      <c r="AE577" s="208"/>
      <c r="AF577" s="208"/>
      <c r="AG577" s="208"/>
      <c r="AH577" s="208"/>
      <c r="AI577" s="208"/>
      <c r="AJ577" s="208"/>
      <c r="AK577" s="208"/>
    </row>
    <row r="578">
      <c r="A578" s="208"/>
      <c r="B578" s="208"/>
      <c r="C578" s="208"/>
      <c r="D578" s="208"/>
      <c r="E578" s="208"/>
      <c r="F578" s="208"/>
      <c r="G578" s="208"/>
      <c r="H578" s="233"/>
      <c r="I578" s="234"/>
      <c r="J578" s="208"/>
      <c r="K578" s="208"/>
      <c r="L578" s="208"/>
      <c r="M578" s="208"/>
      <c r="N578" s="208"/>
      <c r="O578" s="208"/>
      <c r="P578" s="208"/>
      <c r="Q578" s="208"/>
      <c r="R578" s="208"/>
      <c r="S578" s="208"/>
      <c r="T578" s="208"/>
      <c r="U578" s="208"/>
      <c r="V578" s="208"/>
      <c r="W578" s="208"/>
      <c r="X578" s="208"/>
      <c r="Y578" s="208"/>
      <c r="Z578" s="208"/>
      <c r="AA578" s="208"/>
      <c r="AB578" s="208"/>
      <c r="AC578" s="208"/>
      <c r="AD578" s="208"/>
      <c r="AE578" s="208"/>
      <c r="AF578" s="208"/>
      <c r="AG578" s="208"/>
      <c r="AH578" s="208"/>
      <c r="AI578" s="208"/>
      <c r="AJ578" s="208"/>
      <c r="AK578" s="208"/>
    </row>
    <row r="579">
      <c r="A579" s="208"/>
      <c r="B579" s="208"/>
      <c r="C579" s="208"/>
      <c r="D579" s="208"/>
      <c r="E579" s="208"/>
      <c r="F579" s="208"/>
      <c r="G579" s="208"/>
      <c r="H579" s="233"/>
      <c r="I579" s="234"/>
      <c r="J579" s="208"/>
      <c r="K579" s="208"/>
      <c r="L579" s="208"/>
      <c r="M579" s="208"/>
      <c r="N579" s="208"/>
      <c r="O579" s="208"/>
      <c r="P579" s="208"/>
      <c r="Q579" s="208"/>
      <c r="R579" s="208"/>
      <c r="S579" s="208"/>
      <c r="T579" s="208"/>
      <c r="U579" s="208"/>
      <c r="V579" s="208"/>
      <c r="W579" s="208"/>
      <c r="X579" s="208"/>
      <c r="Y579" s="208"/>
      <c r="Z579" s="208"/>
      <c r="AA579" s="208"/>
      <c r="AB579" s="208"/>
      <c r="AC579" s="208"/>
      <c r="AD579" s="208"/>
      <c r="AE579" s="208"/>
      <c r="AF579" s="208"/>
      <c r="AG579" s="208"/>
      <c r="AH579" s="208"/>
      <c r="AI579" s="208"/>
      <c r="AJ579" s="208"/>
      <c r="AK579" s="208"/>
    </row>
    <row r="580">
      <c r="A580" s="208"/>
      <c r="B580" s="208"/>
      <c r="C580" s="208"/>
      <c r="D580" s="208"/>
      <c r="E580" s="208"/>
      <c r="F580" s="208"/>
      <c r="G580" s="208"/>
      <c r="H580" s="233"/>
      <c r="I580" s="234"/>
      <c r="J580" s="208"/>
      <c r="K580" s="208"/>
      <c r="L580" s="208"/>
      <c r="M580" s="208"/>
      <c r="N580" s="208"/>
      <c r="O580" s="208"/>
      <c r="P580" s="208"/>
      <c r="Q580" s="208"/>
      <c r="R580" s="208"/>
      <c r="S580" s="208"/>
      <c r="T580" s="208"/>
      <c r="U580" s="208"/>
      <c r="V580" s="208"/>
      <c r="W580" s="208"/>
      <c r="X580" s="208"/>
      <c r="Y580" s="208"/>
      <c r="Z580" s="208"/>
      <c r="AA580" s="208"/>
      <c r="AB580" s="208"/>
      <c r="AC580" s="208"/>
      <c r="AD580" s="208"/>
      <c r="AE580" s="208"/>
      <c r="AF580" s="208"/>
      <c r="AG580" s="208"/>
      <c r="AH580" s="208"/>
      <c r="AI580" s="208"/>
      <c r="AJ580" s="208"/>
      <c r="AK580" s="208"/>
    </row>
    <row r="581">
      <c r="A581" s="208"/>
      <c r="B581" s="208"/>
      <c r="C581" s="208"/>
      <c r="D581" s="208"/>
      <c r="E581" s="208"/>
      <c r="F581" s="208"/>
      <c r="G581" s="208"/>
      <c r="H581" s="233"/>
      <c r="I581" s="234"/>
      <c r="J581" s="208"/>
      <c r="K581" s="208"/>
      <c r="L581" s="208"/>
      <c r="M581" s="208"/>
      <c r="N581" s="208"/>
      <c r="O581" s="208"/>
      <c r="P581" s="208"/>
      <c r="Q581" s="208"/>
      <c r="R581" s="208"/>
      <c r="S581" s="208"/>
      <c r="T581" s="208"/>
      <c r="U581" s="208"/>
      <c r="V581" s="208"/>
      <c r="W581" s="208"/>
      <c r="X581" s="208"/>
      <c r="Y581" s="208"/>
      <c r="Z581" s="208"/>
      <c r="AA581" s="208"/>
      <c r="AB581" s="208"/>
      <c r="AC581" s="208"/>
      <c r="AD581" s="208"/>
      <c r="AE581" s="208"/>
      <c r="AF581" s="208"/>
      <c r="AG581" s="208"/>
      <c r="AH581" s="208"/>
      <c r="AI581" s="208"/>
      <c r="AJ581" s="208"/>
      <c r="AK581" s="208"/>
    </row>
    <row r="582">
      <c r="A582" s="208"/>
      <c r="B582" s="208"/>
      <c r="C582" s="208"/>
      <c r="D582" s="208"/>
      <c r="E582" s="208"/>
      <c r="F582" s="208"/>
      <c r="G582" s="208"/>
      <c r="H582" s="233"/>
      <c r="I582" s="234"/>
      <c r="J582" s="208"/>
      <c r="K582" s="208"/>
      <c r="L582" s="208"/>
      <c r="M582" s="208"/>
      <c r="N582" s="208"/>
      <c r="O582" s="208"/>
      <c r="P582" s="208"/>
      <c r="Q582" s="208"/>
      <c r="R582" s="208"/>
      <c r="S582" s="208"/>
      <c r="T582" s="208"/>
      <c r="U582" s="208"/>
      <c r="V582" s="208"/>
      <c r="W582" s="208"/>
      <c r="X582" s="208"/>
      <c r="Y582" s="208"/>
      <c r="Z582" s="208"/>
      <c r="AA582" s="208"/>
      <c r="AB582" s="208"/>
      <c r="AC582" s="208"/>
      <c r="AD582" s="208"/>
      <c r="AE582" s="208"/>
      <c r="AF582" s="208"/>
      <c r="AG582" s="208"/>
      <c r="AH582" s="208"/>
      <c r="AI582" s="208"/>
      <c r="AJ582" s="208"/>
      <c r="AK582" s="208"/>
    </row>
    <row r="583">
      <c r="A583" s="208"/>
      <c r="B583" s="208"/>
      <c r="C583" s="208"/>
      <c r="D583" s="208"/>
      <c r="E583" s="208"/>
      <c r="F583" s="208"/>
      <c r="G583" s="208"/>
      <c r="H583" s="233"/>
      <c r="I583" s="234"/>
      <c r="J583" s="208"/>
      <c r="K583" s="208"/>
      <c r="L583" s="208"/>
      <c r="M583" s="208"/>
      <c r="N583" s="208"/>
      <c r="O583" s="208"/>
      <c r="P583" s="208"/>
      <c r="Q583" s="208"/>
      <c r="R583" s="208"/>
      <c r="S583" s="208"/>
      <c r="T583" s="208"/>
      <c r="U583" s="208"/>
      <c r="V583" s="208"/>
      <c r="W583" s="208"/>
      <c r="X583" s="208"/>
      <c r="Y583" s="208"/>
      <c r="Z583" s="208"/>
      <c r="AA583" s="208"/>
      <c r="AB583" s="208"/>
      <c r="AC583" s="208"/>
      <c r="AD583" s="208"/>
      <c r="AE583" s="208"/>
      <c r="AF583" s="208"/>
      <c r="AG583" s="208"/>
      <c r="AH583" s="208"/>
      <c r="AI583" s="208"/>
      <c r="AJ583" s="208"/>
      <c r="AK583" s="208"/>
    </row>
    <row r="584">
      <c r="A584" s="208"/>
      <c r="B584" s="208"/>
      <c r="C584" s="208"/>
      <c r="D584" s="208"/>
      <c r="E584" s="208"/>
      <c r="F584" s="208"/>
      <c r="G584" s="208"/>
      <c r="H584" s="233"/>
      <c r="I584" s="234"/>
      <c r="J584" s="208"/>
      <c r="K584" s="208"/>
      <c r="L584" s="208"/>
      <c r="M584" s="208"/>
      <c r="N584" s="208"/>
      <c r="O584" s="208"/>
      <c r="P584" s="208"/>
      <c r="Q584" s="208"/>
      <c r="R584" s="208"/>
      <c r="S584" s="208"/>
      <c r="T584" s="208"/>
      <c r="U584" s="208"/>
      <c r="V584" s="208"/>
      <c r="W584" s="208"/>
      <c r="X584" s="208"/>
      <c r="Y584" s="208"/>
      <c r="Z584" s="208"/>
      <c r="AA584" s="208"/>
      <c r="AB584" s="208"/>
      <c r="AC584" s="208"/>
      <c r="AD584" s="208"/>
      <c r="AE584" s="208"/>
      <c r="AF584" s="208"/>
      <c r="AG584" s="208"/>
      <c r="AH584" s="208"/>
      <c r="AI584" s="208"/>
      <c r="AJ584" s="208"/>
      <c r="AK584" s="208"/>
    </row>
    <row r="585">
      <c r="A585" s="208"/>
      <c r="B585" s="208"/>
      <c r="C585" s="208"/>
      <c r="D585" s="208"/>
      <c r="E585" s="208"/>
      <c r="F585" s="208"/>
      <c r="G585" s="208"/>
      <c r="H585" s="233"/>
      <c r="I585" s="234"/>
      <c r="J585" s="208"/>
      <c r="K585" s="208"/>
      <c r="L585" s="208"/>
      <c r="M585" s="208"/>
      <c r="N585" s="208"/>
      <c r="O585" s="208"/>
      <c r="P585" s="208"/>
      <c r="Q585" s="208"/>
      <c r="R585" s="208"/>
      <c r="S585" s="208"/>
      <c r="T585" s="208"/>
      <c r="U585" s="208"/>
      <c r="V585" s="208"/>
      <c r="W585" s="208"/>
      <c r="X585" s="208"/>
      <c r="Y585" s="208"/>
      <c r="Z585" s="208"/>
      <c r="AA585" s="208"/>
      <c r="AB585" s="208"/>
      <c r="AC585" s="208"/>
      <c r="AD585" s="208"/>
      <c r="AE585" s="208"/>
      <c r="AF585" s="208"/>
      <c r="AG585" s="208"/>
      <c r="AH585" s="208"/>
      <c r="AI585" s="208"/>
      <c r="AJ585" s="208"/>
      <c r="AK585" s="208"/>
    </row>
    <row r="586">
      <c r="A586" s="208"/>
      <c r="B586" s="208"/>
      <c r="C586" s="208"/>
      <c r="D586" s="208"/>
      <c r="E586" s="208"/>
      <c r="F586" s="208"/>
      <c r="G586" s="208"/>
      <c r="H586" s="233"/>
      <c r="I586" s="234"/>
      <c r="J586" s="208"/>
      <c r="K586" s="208"/>
      <c r="L586" s="208"/>
      <c r="M586" s="208"/>
      <c r="N586" s="208"/>
      <c r="O586" s="208"/>
      <c r="P586" s="208"/>
      <c r="Q586" s="208"/>
      <c r="R586" s="208"/>
      <c r="S586" s="208"/>
      <c r="T586" s="208"/>
      <c r="U586" s="208"/>
      <c r="V586" s="208"/>
      <c r="W586" s="208"/>
      <c r="X586" s="208"/>
      <c r="Y586" s="208"/>
      <c r="Z586" s="208"/>
      <c r="AA586" s="208"/>
      <c r="AB586" s="208"/>
      <c r="AC586" s="208"/>
      <c r="AD586" s="208"/>
      <c r="AE586" s="208"/>
      <c r="AF586" s="208"/>
      <c r="AG586" s="208"/>
      <c r="AH586" s="208"/>
      <c r="AI586" s="208"/>
      <c r="AJ586" s="208"/>
      <c r="AK586" s="208"/>
    </row>
    <row r="587">
      <c r="A587" s="208"/>
      <c r="B587" s="208"/>
      <c r="C587" s="208"/>
      <c r="D587" s="208"/>
      <c r="E587" s="208"/>
      <c r="F587" s="208"/>
      <c r="G587" s="208"/>
      <c r="H587" s="233"/>
      <c r="I587" s="234"/>
      <c r="J587" s="208"/>
      <c r="K587" s="208"/>
      <c r="L587" s="208"/>
      <c r="M587" s="208"/>
      <c r="N587" s="208"/>
      <c r="O587" s="208"/>
      <c r="P587" s="208"/>
      <c r="Q587" s="208"/>
      <c r="R587" s="208"/>
      <c r="S587" s="208"/>
      <c r="T587" s="208"/>
      <c r="U587" s="208"/>
      <c r="V587" s="208"/>
      <c r="W587" s="208"/>
      <c r="X587" s="208"/>
      <c r="Y587" s="208"/>
      <c r="Z587" s="208"/>
      <c r="AA587" s="208"/>
      <c r="AB587" s="208"/>
      <c r="AC587" s="208"/>
      <c r="AD587" s="208"/>
      <c r="AE587" s="208"/>
      <c r="AF587" s="208"/>
      <c r="AG587" s="208"/>
      <c r="AH587" s="208"/>
      <c r="AI587" s="208"/>
      <c r="AJ587" s="208"/>
      <c r="AK587" s="208"/>
    </row>
    <row r="588">
      <c r="A588" s="208"/>
      <c r="B588" s="208"/>
      <c r="C588" s="208"/>
      <c r="D588" s="208"/>
      <c r="E588" s="208"/>
      <c r="F588" s="208"/>
      <c r="G588" s="208"/>
      <c r="H588" s="233"/>
      <c r="I588" s="234"/>
      <c r="J588" s="208"/>
      <c r="K588" s="208"/>
      <c r="L588" s="208"/>
      <c r="M588" s="208"/>
      <c r="N588" s="208"/>
      <c r="O588" s="208"/>
      <c r="P588" s="208"/>
      <c r="Q588" s="208"/>
      <c r="R588" s="208"/>
      <c r="S588" s="208"/>
      <c r="T588" s="208"/>
      <c r="U588" s="208"/>
      <c r="V588" s="208"/>
      <c r="W588" s="208"/>
      <c r="X588" s="208"/>
      <c r="Y588" s="208"/>
      <c r="Z588" s="208"/>
      <c r="AA588" s="208"/>
      <c r="AB588" s="208"/>
      <c r="AC588" s="208"/>
      <c r="AD588" s="208"/>
      <c r="AE588" s="208"/>
      <c r="AF588" s="208"/>
      <c r="AG588" s="208"/>
      <c r="AH588" s="208"/>
      <c r="AI588" s="208"/>
      <c r="AJ588" s="208"/>
      <c r="AK588" s="208"/>
    </row>
    <row r="589">
      <c r="A589" s="208"/>
      <c r="B589" s="208"/>
      <c r="C589" s="208"/>
      <c r="D589" s="208"/>
      <c r="E589" s="208"/>
      <c r="F589" s="208"/>
      <c r="G589" s="208"/>
      <c r="H589" s="233"/>
      <c r="I589" s="234"/>
      <c r="J589" s="208"/>
      <c r="K589" s="208"/>
      <c r="L589" s="208"/>
      <c r="M589" s="208"/>
      <c r="N589" s="208"/>
      <c r="O589" s="208"/>
      <c r="P589" s="208"/>
      <c r="Q589" s="208"/>
      <c r="R589" s="208"/>
      <c r="S589" s="208"/>
      <c r="T589" s="208"/>
      <c r="U589" s="208"/>
      <c r="V589" s="208"/>
      <c r="W589" s="208"/>
      <c r="X589" s="208"/>
      <c r="Y589" s="208"/>
      <c r="Z589" s="208"/>
      <c r="AA589" s="208"/>
      <c r="AB589" s="208"/>
      <c r="AC589" s="208"/>
      <c r="AD589" s="208"/>
      <c r="AE589" s="208"/>
      <c r="AF589" s="208"/>
      <c r="AG589" s="208"/>
      <c r="AH589" s="208"/>
      <c r="AI589" s="208"/>
      <c r="AJ589" s="208"/>
      <c r="AK589" s="208"/>
    </row>
    <row r="590">
      <c r="A590" s="208"/>
      <c r="B590" s="208"/>
      <c r="C590" s="208"/>
      <c r="D590" s="208"/>
      <c r="E590" s="208"/>
      <c r="F590" s="208"/>
      <c r="G590" s="208"/>
      <c r="H590" s="233"/>
      <c r="I590" s="234"/>
      <c r="J590" s="208"/>
      <c r="K590" s="208"/>
      <c r="L590" s="208"/>
      <c r="M590" s="208"/>
      <c r="N590" s="208"/>
      <c r="O590" s="208"/>
      <c r="P590" s="208"/>
      <c r="Q590" s="208"/>
      <c r="R590" s="208"/>
      <c r="S590" s="208"/>
      <c r="T590" s="208"/>
      <c r="U590" s="208"/>
      <c r="V590" s="208"/>
      <c r="W590" s="208"/>
      <c r="X590" s="208"/>
      <c r="Y590" s="208"/>
      <c r="Z590" s="208"/>
      <c r="AA590" s="208"/>
      <c r="AB590" s="208"/>
      <c r="AC590" s="208"/>
      <c r="AD590" s="208"/>
      <c r="AE590" s="208"/>
      <c r="AF590" s="208"/>
      <c r="AG590" s="208"/>
      <c r="AH590" s="208"/>
      <c r="AI590" s="208"/>
      <c r="AJ590" s="208"/>
      <c r="AK590" s="208"/>
    </row>
    <row r="591">
      <c r="A591" s="208"/>
      <c r="B591" s="208"/>
      <c r="C591" s="208"/>
      <c r="D591" s="208"/>
      <c r="E591" s="208"/>
      <c r="F591" s="208"/>
      <c r="G591" s="208"/>
      <c r="H591" s="233"/>
      <c r="I591" s="234"/>
      <c r="J591" s="208"/>
      <c r="K591" s="208"/>
      <c r="L591" s="208"/>
      <c r="M591" s="208"/>
      <c r="N591" s="208"/>
      <c r="O591" s="208"/>
      <c r="P591" s="208"/>
      <c r="Q591" s="208"/>
      <c r="R591" s="208"/>
      <c r="S591" s="208"/>
      <c r="T591" s="208"/>
      <c r="U591" s="208"/>
      <c r="V591" s="208"/>
      <c r="W591" s="208"/>
      <c r="X591" s="208"/>
      <c r="Y591" s="208"/>
      <c r="Z591" s="208"/>
      <c r="AA591" s="208"/>
      <c r="AB591" s="208"/>
      <c r="AC591" s="208"/>
      <c r="AD591" s="208"/>
      <c r="AE591" s="208"/>
      <c r="AF591" s="208"/>
      <c r="AG591" s="208"/>
      <c r="AH591" s="208"/>
      <c r="AI591" s="208"/>
      <c r="AJ591" s="208"/>
      <c r="AK591" s="208"/>
    </row>
    <row r="592">
      <c r="A592" s="208"/>
      <c r="B592" s="208"/>
      <c r="C592" s="208"/>
      <c r="D592" s="208"/>
      <c r="E592" s="208"/>
      <c r="F592" s="208"/>
      <c r="G592" s="208"/>
      <c r="H592" s="233"/>
      <c r="I592" s="234"/>
      <c r="J592" s="208"/>
      <c r="K592" s="208"/>
      <c r="L592" s="208"/>
      <c r="M592" s="208"/>
      <c r="N592" s="208"/>
      <c r="O592" s="208"/>
      <c r="P592" s="208"/>
      <c r="Q592" s="208"/>
      <c r="R592" s="208"/>
      <c r="S592" s="208"/>
      <c r="T592" s="208"/>
      <c r="U592" s="208"/>
      <c r="V592" s="208"/>
      <c r="W592" s="208"/>
      <c r="X592" s="208"/>
      <c r="Y592" s="208"/>
      <c r="Z592" s="208"/>
      <c r="AA592" s="208"/>
      <c r="AB592" s="208"/>
      <c r="AC592" s="208"/>
      <c r="AD592" s="208"/>
      <c r="AE592" s="208"/>
      <c r="AF592" s="208"/>
      <c r="AG592" s="208"/>
      <c r="AH592" s="208"/>
      <c r="AI592" s="208"/>
      <c r="AJ592" s="208"/>
      <c r="AK592" s="208"/>
    </row>
    <row r="593">
      <c r="A593" s="208"/>
      <c r="B593" s="208"/>
      <c r="C593" s="208"/>
      <c r="D593" s="208"/>
      <c r="E593" s="208"/>
      <c r="F593" s="208"/>
      <c r="G593" s="208"/>
      <c r="H593" s="233"/>
      <c r="I593" s="234"/>
      <c r="J593" s="208"/>
      <c r="K593" s="208"/>
      <c r="L593" s="208"/>
      <c r="M593" s="208"/>
      <c r="N593" s="208"/>
      <c r="O593" s="208"/>
      <c r="P593" s="208"/>
      <c r="Q593" s="208"/>
      <c r="R593" s="208"/>
      <c r="S593" s="208"/>
      <c r="T593" s="208"/>
      <c r="U593" s="208"/>
      <c r="V593" s="208"/>
      <c r="W593" s="208"/>
      <c r="X593" s="208"/>
      <c r="Y593" s="208"/>
      <c r="Z593" s="208"/>
      <c r="AA593" s="208"/>
      <c r="AB593" s="208"/>
      <c r="AC593" s="208"/>
      <c r="AD593" s="208"/>
      <c r="AE593" s="208"/>
      <c r="AF593" s="208"/>
      <c r="AG593" s="208"/>
      <c r="AH593" s="208"/>
      <c r="AI593" s="208"/>
      <c r="AJ593" s="208"/>
      <c r="AK593" s="208"/>
    </row>
    <row r="594">
      <c r="A594" s="208"/>
      <c r="B594" s="208"/>
      <c r="C594" s="208"/>
      <c r="D594" s="208"/>
      <c r="E594" s="208"/>
      <c r="F594" s="208"/>
      <c r="G594" s="208"/>
      <c r="H594" s="233"/>
      <c r="I594" s="234"/>
      <c r="J594" s="208"/>
      <c r="K594" s="208"/>
      <c r="L594" s="208"/>
      <c r="M594" s="208"/>
      <c r="N594" s="208"/>
      <c r="O594" s="208"/>
      <c r="P594" s="208"/>
      <c r="Q594" s="208"/>
      <c r="R594" s="208"/>
      <c r="S594" s="208"/>
      <c r="T594" s="208"/>
      <c r="U594" s="208"/>
      <c r="V594" s="208"/>
      <c r="W594" s="208"/>
      <c r="X594" s="208"/>
      <c r="Y594" s="208"/>
      <c r="Z594" s="208"/>
      <c r="AA594" s="208"/>
      <c r="AB594" s="208"/>
      <c r="AC594" s="208"/>
      <c r="AD594" s="208"/>
      <c r="AE594" s="208"/>
      <c r="AF594" s="208"/>
      <c r="AG594" s="208"/>
      <c r="AH594" s="208"/>
      <c r="AI594" s="208"/>
      <c r="AJ594" s="208"/>
      <c r="AK594" s="208"/>
    </row>
    <row r="595">
      <c r="A595" s="208"/>
      <c r="B595" s="208"/>
      <c r="C595" s="208"/>
      <c r="D595" s="208"/>
      <c r="E595" s="208"/>
      <c r="F595" s="208"/>
      <c r="G595" s="208"/>
      <c r="H595" s="233"/>
      <c r="I595" s="234"/>
      <c r="J595" s="208"/>
      <c r="K595" s="208"/>
      <c r="L595" s="208"/>
      <c r="M595" s="208"/>
      <c r="N595" s="208"/>
      <c r="O595" s="208"/>
      <c r="P595" s="208"/>
      <c r="Q595" s="208"/>
      <c r="R595" s="208"/>
      <c r="S595" s="208"/>
      <c r="T595" s="208"/>
      <c r="U595" s="208"/>
      <c r="V595" s="208"/>
      <c r="W595" s="208"/>
      <c r="X595" s="208"/>
      <c r="Y595" s="208"/>
      <c r="Z595" s="208"/>
      <c r="AA595" s="208"/>
      <c r="AB595" s="208"/>
      <c r="AC595" s="208"/>
      <c r="AD595" s="208"/>
      <c r="AE595" s="208"/>
      <c r="AF595" s="208"/>
      <c r="AG595" s="208"/>
      <c r="AH595" s="208"/>
      <c r="AI595" s="208"/>
      <c r="AJ595" s="208"/>
      <c r="AK595" s="208"/>
    </row>
    <row r="596">
      <c r="A596" s="208"/>
      <c r="B596" s="208"/>
      <c r="C596" s="208"/>
      <c r="D596" s="208"/>
      <c r="E596" s="208"/>
      <c r="F596" s="208"/>
      <c r="G596" s="208"/>
      <c r="H596" s="233"/>
      <c r="I596" s="234"/>
      <c r="J596" s="208"/>
      <c r="K596" s="208"/>
      <c r="L596" s="208"/>
      <c r="M596" s="208"/>
      <c r="N596" s="208"/>
      <c r="O596" s="208"/>
      <c r="P596" s="208"/>
      <c r="Q596" s="208"/>
      <c r="R596" s="208"/>
      <c r="S596" s="208"/>
      <c r="T596" s="208"/>
      <c r="U596" s="208"/>
      <c r="V596" s="208"/>
      <c r="W596" s="208"/>
      <c r="X596" s="208"/>
      <c r="Y596" s="208"/>
      <c r="Z596" s="208"/>
      <c r="AA596" s="208"/>
      <c r="AB596" s="208"/>
      <c r="AC596" s="208"/>
      <c r="AD596" s="208"/>
      <c r="AE596" s="208"/>
      <c r="AF596" s="208"/>
      <c r="AG596" s="208"/>
      <c r="AH596" s="208"/>
      <c r="AI596" s="208"/>
      <c r="AJ596" s="208"/>
      <c r="AK596" s="208"/>
    </row>
    <row r="597">
      <c r="A597" s="208"/>
      <c r="B597" s="208"/>
      <c r="C597" s="208"/>
      <c r="D597" s="208"/>
      <c r="E597" s="208"/>
      <c r="F597" s="208"/>
      <c r="G597" s="208"/>
      <c r="H597" s="233"/>
      <c r="I597" s="234"/>
      <c r="J597" s="208"/>
      <c r="K597" s="208"/>
      <c r="L597" s="208"/>
      <c r="M597" s="208"/>
      <c r="N597" s="208"/>
      <c r="O597" s="208"/>
      <c r="P597" s="208"/>
      <c r="Q597" s="208"/>
      <c r="R597" s="208"/>
      <c r="S597" s="208"/>
      <c r="T597" s="208"/>
      <c r="U597" s="208"/>
      <c r="V597" s="208"/>
      <c r="W597" s="208"/>
      <c r="X597" s="208"/>
      <c r="Y597" s="208"/>
      <c r="Z597" s="208"/>
      <c r="AA597" s="208"/>
      <c r="AB597" s="208"/>
      <c r="AC597" s="208"/>
      <c r="AD597" s="208"/>
      <c r="AE597" s="208"/>
      <c r="AF597" s="208"/>
      <c r="AG597" s="208"/>
      <c r="AH597" s="208"/>
      <c r="AI597" s="208"/>
      <c r="AJ597" s="208"/>
      <c r="AK597" s="208"/>
    </row>
    <row r="598">
      <c r="A598" s="208"/>
      <c r="B598" s="208"/>
      <c r="C598" s="208"/>
      <c r="D598" s="208"/>
      <c r="E598" s="208"/>
      <c r="F598" s="208"/>
      <c r="G598" s="208"/>
      <c r="H598" s="233"/>
      <c r="I598" s="234"/>
      <c r="J598" s="208"/>
      <c r="K598" s="208"/>
      <c r="L598" s="208"/>
      <c r="M598" s="208"/>
      <c r="N598" s="208"/>
      <c r="O598" s="208"/>
      <c r="P598" s="208"/>
      <c r="Q598" s="208"/>
      <c r="R598" s="208"/>
      <c r="S598" s="208"/>
      <c r="T598" s="208"/>
      <c r="U598" s="208"/>
      <c r="V598" s="208"/>
      <c r="W598" s="208"/>
      <c r="X598" s="208"/>
      <c r="Y598" s="208"/>
      <c r="Z598" s="208"/>
      <c r="AA598" s="208"/>
      <c r="AB598" s="208"/>
      <c r="AC598" s="208"/>
      <c r="AD598" s="208"/>
      <c r="AE598" s="208"/>
      <c r="AF598" s="208"/>
      <c r="AG598" s="208"/>
      <c r="AH598" s="208"/>
      <c r="AI598" s="208"/>
      <c r="AJ598" s="208"/>
      <c r="AK598" s="208"/>
    </row>
    <row r="599">
      <c r="A599" s="208"/>
      <c r="B599" s="208"/>
      <c r="C599" s="208"/>
      <c r="D599" s="208"/>
      <c r="E599" s="208"/>
      <c r="F599" s="208"/>
      <c r="G599" s="208"/>
      <c r="H599" s="233"/>
      <c r="I599" s="234"/>
      <c r="J599" s="208"/>
      <c r="K599" s="208"/>
      <c r="L599" s="208"/>
      <c r="M599" s="208"/>
      <c r="N599" s="208"/>
      <c r="O599" s="208"/>
      <c r="P599" s="208"/>
      <c r="Q599" s="208"/>
      <c r="R599" s="208"/>
      <c r="S599" s="208"/>
      <c r="T599" s="208"/>
      <c r="U599" s="208"/>
      <c r="V599" s="208"/>
      <c r="W599" s="208"/>
      <c r="X599" s="208"/>
      <c r="Y599" s="208"/>
      <c r="Z599" s="208"/>
      <c r="AA599" s="208"/>
      <c r="AB599" s="208"/>
      <c r="AC599" s="208"/>
      <c r="AD599" s="208"/>
      <c r="AE599" s="208"/>
      <c r="AF599" s="208"/>
      <c r="AG599" s="208"/>
      <c r="AH599" s="208"/>
      <c r="AI599" s="208"/>
      <c r="AJ599" s="208"/>
      <c r="AK599" s="208"/>
    </row>
    <row r="600">
      <c r="A600" s="208"/>
      <c r="B600" s="208"/>
      <c r="C600" s="208"/>
      <c r="D600" s="208"/>
      <c r="E600" s="208"/>
      <c r="F600" s="208"/>
      <c r="G600" s="208"/>
      <c r="H600" s="233"/>
      <c r="I600" s="234"/>
      <c r="J600" s="208"/>
      <c r="K600" s="208"/>
      <c r="L600" s="208"/>
      <c r="M600" s="208"/>
      <c r="N600" s="208"/>
      <c r="O600" s="208"/>
      <c r="P600" s="208"/>
      <c r="Q600" s="208"/>
      <c r="R600" s="208"/>
      <c r="S600" s="208"/>
      <c r="T600" s="208"/>
      <c r="U600" s="208"/>
      <c r="V600" s="208"/>
      <c r="W600" s="208"/>
      <c r="X600" s="208"/>
      <c r="Y600" s="208"/>
      <c r="Z600" s="208"/>
      <c r="AA600" s="208"/>
      <c r="AB600" s="208"/>
      <c r="AC600" s="208"/>
      <c r="AD600" s="208"/>
      <c r="AE600" s="208"/>
      <c r="AF600" s="208"/>
      <c r="AG600" s="208"/>
      <c r="AH600" s="208"/>
      <c r="AI600" s="208"/>
      <c r="AJ600" s="208"/>
      <c r="AK600" s="208"/>
    </row>
    <row r="601">
      <c r="A601" s="208"/>
      <c r="B601" s="208"/>
      <c r="C601" s="208"/>
      <c r="D601" s="208"/>
      <c r="E601" s="208"/>
      <c r="F601" s="208"/>
      <c r="G601" s="208"/>
      <c r="H601" s="233"/>
      <c r="I601" s="234"/>
      <c r="J601" s="208"/>
      <c r="K601" s="208"/>
      <c r="L601" s="208"/>
      <c r="M601" s="208"/>
      <c r="N601" s="208"/>
      <c r="O601" s="208"/>
      <c r="P601" s="208"/>
      <c r="Q601" s="208"/>
      <c r="R601" s="208"/>
      <c r="S601" s="208"/>
      <c r="T601" s="208"/>
      <c r="U601" s="208"/>
      <c r="V601" s="208"/>
      <c r="W601" s="208"/>
      <c r="X601" s="208"/>
      <c r="Y601" s="208"/>
      <c r="Z601" s="208"/>
      <c r="AA601" s="208"/>
      <c r="AB601" s="208"/>
      <c r="AC601" s="208"/>
      <c r="AD601" s="208"/>
      <c r="AE601" s="208"/>
      <c r="AF601" s="208"/>
      <c r="AG601" s="208"/>
      <c r="AH601" s="208"/>
      <c r="AI601" s="208"/>
      <c r="AJ601" s="208"/>
      <c r="AK601" s="208"/>
    </row>
    <row r="602">
      <c r="A602" s="208"/>
      <c r="B602" s="208"/>
      <c r="C602" s="208"/>
      <c r="D602" s="208"/>
      <c r="E602" s="208"/>
      <c r="F602" s="208"/>
      <c r="G602" s="208"/>
      <c r="H602" s="233"/>
      <c r="I602" s="234"/>
      <c r="J602" s="208"/>
      <c r="K602" s="208"/>
      <c r="L602" s="208"/>
      <c r="M602" s="208"/>
      <c r="N602" s="208"/>
      <c r="O602" s="208"/>
      <c r="P602" s="208"/>
      <c r="Q602" s="208"/>
      <c r="R602" s="208"/>
      <c r="S602" s="208"/>
      <c r="T602" s="208"/>
      <c r="U602" s="208"/>
      <c r="V602" s="208"/>
      <c r="W602" s="208"/>
      <c r="X602" s="208"/>
      <c r="Y602" s="208"/>
      <c r="Z602" s="208"/>
      <c r="AA602" s="208"/>
      <c r="AB602" s="208"/>
      <c r="AC602" s="208"/>
      <c r="AD602" s="208"/>
      <c r="AE602" s="208"/>
      <c r="AF602" s="208"/>
      <c r="AG602" s="208"/>
      <c r="AH602" s="208"/>
      <c r="AI602" s="208"/>
      <c r="AJ602" s="208"/>
      <c r="AK602" s="208"/>
    </row>
    <row r="603">
      <c r="A603" s="208"/>
      <c r="B603" s="208"/>
      <c r="C603" s="208"/>
      <c r="D603" s="208"/>
      <c r="E603" s="208"/>
      <c r="F603" s="208"/>
      <c r="G603" s="208"/>
      <c r="H603" s="233"/>
      <c r="I603" s="234"/>
      <c r="J603" s="208"/>
      <c r="K603" s="208"/>
      <c r="L603" s="208"/>
      <c r="M603" s="208"/>
      <c r="N603" s="208"/>
      <c r="O603" s="208"/>
      <c r="P603" s="208"/>
      <c r="Q603" s="208"/>
      <c r="R603" s="208"/>
      <c r="S603" s="208"/>
      <c r="T603" s="208"/>
      <c r="U603" s="208"/>
      <c r="V603" s="208"/>
      <c r="W603" s="208"/>
      <c r="X603" s="208"/>
      <c r="Y603" s="208"/>
      <c r="Z603" s="208"/>
      <c r="AA603" s="208"/>
      <c r="AB603" s="208"/>
      <c r="AC603" s="208"/>
      <c r="AD603" s="208"/>
      <c r="AE603" s="208"/>
      <c r="AF603" s="208"/>
      <c r="AG603" s="208"/>
      <c r="AH603" s="208"/>
      <c r="AI603" s="208"/>
      <c r="AJ603" s="208"/>
      <c r="AK603" s="208"/>
    </row>
    <row r="604">
      <c r="A604" s="208"/>
      <c r="B604" s="208"/>
      <c r="C604" s="208"/>
      <c r="D604" s="208"/>
      <c r="E604" s="208"/>
      <c r="F604" s="208"/>
      <c r="G604" s="208"/>
      <c r="H604" s="233"/>
      <c r="I604" s="234"/>
      <c r="J604" s="208"/>
      <c r="K604" s="208"/>
      <c r="L604" s="208"/>
      <c r="M604" s="208"/>
      <c r="N604" s="208"/>
      <c r="O604" s="208"/>
      <c r="P604" s="208"/>
      <c r="Q604" s="208"/>
      <c r="R604" s="208"/>
      <c r="S604" s="208"/>
      <c r="T604" s="208"/>
      <c r="U604" s="208"/>
      <c r="V604" s="208"/>
      <c r="W604" s="208"/>
      <c r="X604" s="208"/>
      <c r="Y604" s="208"/>
      <c r="Z604" s="208"/>
      <c r="AA604" s="208"/>
      <c r="AB604" s="208"/>
      <c r="AC604" s="208"/>
      <c r="AD604" s="208"/>
      <c r="AE604" s="208"/>
      <c r="AF604" s="208"/>
      <c r="AG604" s="208"/>
      <c r="AH604" s="208"/>
      <c r="AI604" s="208"/>
      <c r="AJ604" s="208"/>
      <c r="AK604" s="208"/>
    </row>
    <row r="605">
      <c r="A605" s="208"/>
      <c r="B605" s="208"/>
      <c r="C605" s="208"/>
      <c r="D605" s="208"/>
      <c r="E605" s="208"/>
      <c r="F605" s="208"/>
      <c r="G605" s="208"/>
      <c r="H605" s="233"/>
      <c r="I605" s="234"/>
      <c r="J605" s="208"/>
      <c r="K605" s="208"/>
      <c r="L605" s="208"/>
      <c r="M605" s="208"/>
      <c r="N605" s="208"/>
      <c r="O605" s="208"/>
      <c r="P605" s="208"/>
      <c r="Q605" s="208"/>
      <c r="R605" s="208"/>
      <c r="S605" s="208"/>
      <c r="T605" s="208"/>
      <c r="U605" s="208"/>
      <c r="V605" s="208"/>
      <c r="W605" s="208"/>
      <c r="X605" s="208"/>
      <c r="Y605" s="208"/>
      <c r="Z605" s="208"/>
      <c r="AA605" s="208"/>
      <c r="AB605" s="208"/>
      <c r="AC605" s="208"/>
      <c r="AD605" s="208"/>
      <c r="AE605" s="208"/>
      <c r="AF605" s="208"/>
      <c r="AG605" s="208"/>
      <c r="AH605" s="208"/>
      <c r="AI605" s="208"/>
      <c r="AJ605" s="208"/>
      <c r="AK605" s="208"/>
    </row>
    <row r="606">
      <c r="A606" s="208"/>
      <c r="B606" s="208"/>
      <c r="C606" s="208"/>
      <c r="D606" s="208"/>
      <c r="E606" s="208"/>
      <c r="F606" s="208"/>
      <c r="G606" s="208"/>
      <c r="H606" s="233"/>
      <c r="I606" s="234"/>
      <c r="J606" s="208"/>
      <c r="K606" s="208"/>
      <c r="L606" s="208"/>
      <c r="M606" s="208"/>
      <c r="N606" s="208"/>
      <c r="O606" s="208"/>
      <c r="P606" s="208"/>
      <c r="Q606" s="208"/>
      <c r="R606" s="208"/>
      <c r="S606" s="208"/>
      <c r="T606" s="208"/>
      <c r="U606" s="208"/>
      <c r="V606" s="208"/>
      <c r="W606" s="208"/>
      <c r="X606" s="208"/>
      <c r="Y606" s="208"/>
      <c r="Z606" s="208"/>
      <c r="AA606" s="208"/>
      <c r="AB606" s="208"/>
      <c r="AC606" s="208"/>
      <c r="AD606" s="208"/>
      <c r="AE606" s="208"/>
      <c r="AF606" s="208"/>
      <c r="AG606" s="208"/>
      <c r="AH606" s="208"/>
      <c r="AI606" s="208"/>
      <c r="AJ606" s="208"/>
      <c r="AK606" s="208"/>
    </row>
    <row r="607">
      <c r="A607" s="208"/>
      <c r="B607" s="208"/>
      <c r="C607" s="208"/>
      <c r="D607" s="208"/>
      <c r="E607" s="208"/>
      <c r="F607" s="208"/>
      <c r="G607" s="208"/>
      <c r="H607" s="233"/>
      <c r="I607" s="234"/>
      <c r="J607" s="208"/>
      <c r="K607" s="208"/>
      <c r="L607" s="208"/>
      <c r="M607" s="208"/>
      <c r="N607" s="208"/>
      <c r="O607" s="208"/>
      <c r="P607" s="208"/>
      <c r="Q607" s="208"/>
      <c r="R607" s="208"/>
      <c r="S607" s="208"/>
      <c r="T607" s="208"/>
      <c r="U607" s="208"/>
      <c r="V607" s="208"/>
      <c r="W607" s="208"/>
      <c r="X607" s="208"/>
      <c r="Y607" s="208"/>
      <c r="Z607" s="208"/>
      <c r="AA607" s="208"/>
      <c r="AB607" s="208"/>
      <c r="AC607" s="208"/>
      <c r="AD607" s="208"/>
      <c r="AE607" s="208"/>
      <c r="AF607" s="208"/>
      <c r="AG607" s="208"/>
      <c r="AH607" s="208"/>
      <c r="AI607" s="208"/>
      <c r="AJ607" s="208"/>
      <c r="AK607" s="208"/>
    </row>
    <row r="608">
      <c r="A608" s="208"/>
      <c r="B608" s="208"/>
      <c r="C608" s="208"/>
      <c r="D608" s="208"/>
      <c r="E608" s="208"/>
      <c r="F608" s="208"/>
      <c r="G608" s="208"/>
      <c r="H608" s="233"/>
      <c r="I608" s="234"/>
      <c r="J608" s="208"/>
      <c r="K608" s="208"/>
      <c r="L608" s="208"/>
      <c r="M608" s="208"/>
      <c r="N608" s="208"/>
      <c r="O608" s="208"/>
      <c r="P608" s="208"/>
      <c r="Q608" s="208"/>
      <c r="R608" s="208"/>
      <c r="S608" s="208"/>
      <c r="T608" s="208"/>
      <c r="U608" s="208"/>
      <c r="V608" s="208"/>
      <c r="W608" s="208"/>
      <c r="X608" s="208"/>
      <c r="Y608" s="208"/>
      <c r="Z608" s="208"/>
      <c r="AA608" s="208"/>
      <c r="AB608" s="208"/>
      <c r="AC608" s="208"/>
      <c r="AD608" s="208"/>
      <c r="AE608" s="208"/>
      <c r="AF608" s="208"/>
      <c r="AG608" s="208"/>
      <c r="AH608" s="208"/>
      <c r="AI608" s="208"/>
      <c r="AJ608" s="208"/>
      <c r="AK608" s="208"/>
    </row>
    <row r="609">
      <c r="A609" s="208"/>
      <c r="B609" s="208"/>
      <c r="C609" s="208"/>
      <c r="D609" s="208"/>
      <c r="E609" s="208"/>
      <c r="F609" s="208"/>
      <c r="G609" s="208"/>
      <c r="H609" s="233"/>
      <c r="I609" s="234"/>
      <c r="J609" s="208"/>
      <c r="K609" s="208"/>
      <c r="L609" s="208"/>
      <c r="M609" s="208"/>
      <c r="N609" s="208"/>
      <c r="O609" s="208"/>
      <c r="P609" s="208"/>
      <c r="Q609" s="208"/>
      <c r="R609" s="208"/>
      <c r="S609" s="208"/>
      <c r="T609" s="208"/>
      <c r="U609" s="208"/>
      <c r="V609" s="208"/>
      <c r="W609" s="208"/>
      <c r="X609" s="208"/>
      <c r="Y609" s="208"/>
      <c r="Z609" s="208"/>
      <c r="AA609" s="208"/>
      <c r="AB609" s="208"/>
      <c r="AC609" s="208"/>
      <c r="AD609" s="208"/>
      <c r="AE609" s="208"/>
      <c r="AF609" s="208"/>
      <c r="AG609" s="208"/>
      <c r="AH609" s="208"/>
      <c r="AI609" s="208"/>
      <c r="AJ609" s="208"/>
      <c r="AK609" s="208"/>
    </row>
    <row r="610">
      <c r="A610" s="208"/>
      <c r="B610" s="208"/>
      <c r="C610" s="208"/>
      <c r="D610" s="208"/>
      <c r="E610" s="208"/>
      <c r="F610" s="208"/>
      <c r="G610" s="208"/>
      <c r="H610" s="233"/>
      <c r="I610" s="234"/>
      <c r="J610" s="208"/>
      <c r="K610" s="208"/>
      <c r="L610" s="208"/>
      <c r="M610" s="208"/>
      <c r="N610" s="208"/>
      <c r="O610" s="208"/>
      <c r="P610" s="208"/>
      <c r="Q610" s="208"/>
      <c r="R610" s="208"/>
      <c r="S610" s="208"/>
      <c r="T610" s="208"/>
      <c r="U610" s="208"/>
      <c r="V610" s="208"/>
      <c r="W610" s="208"/>
      <c r="X610" s="208"/>
      <c r="Y610" s="208"/>
      <c r="Z610" s="208"/>
      <c r="AA610" s="208"/>
      <c r="AB610" s="208"/>
      <c r="AC610" s="208"/>
      <c r="AD610" s="208"/>
      <c r="AE610" s="208"/>
      <c r="AF610" s="208"/>
      <c r="AG610" s="208"/>
      <c r="AH610" s="208"/>
      <c r="AI610" s="208"/>
      <c r="AJ610" s="208"/>
      <c r="AK610" s="208"/>
    </row>
    <row r="611">
      <c r="A611" s="208"/>
      <c r="B611" s="208"/>
      <c r="C611" s="208"/>
      <c r="D611" s="208"/>
      <c r="E611" s="208"/>
      <c r="F611" s="208"/>
      <c r="G611" s="208"/>
      <c r="H611" s="233"/>
      <c r="I611" s="234"/>
      <c r="J611" s="208"/>
      <c r="K611" s="208"/>
      <c r="L611" s="208"/>
      <c r="M611" s="208"/>
      <c r="N611" s="208"/>
      <c r="O611" s="208"/>
      <c r="P611" s="208"/>
      <c r="Q611" s="208"/>
      <c r="R611" s="208"/>
      <c r="S611" s="208"/>
      <c r="T611" s="208"/>
      <c r="U611" s="208"/>
      <c r="V611" s="208"/>
      <c r="W611" s="208"/>
      <c r="X611" s="208"/>
      <c r="Y611" s="208"/>
      <c r="Z611" s="208"/>
      <c r="AA611" s="208"/>
      <c r="AB611" s="208"/>
      <c r="AC611" s="208"/>
      <c r="AD611" s="208"/>
      <c r="AE611" s="208"/>
      <c r="AF611" s="208"/>
      <c r="AG611" s="208"/>
      <c r="AH611" s="208"/>
      <c r="AI611" s="208"/>
      <c r="AJ611" s="208"/>
      <c r="AK611" s="208"/>
    </row>
    <row r="612">
      <c r="A612" s="208"/>
      <c r="B612" s="208"/>
      <c r="C612" s="208"/>
      <c r="D612" s="208"/>
      <c r="E612" s="208"/>
      <c r="F612" s="208"/>
      <c r="G612" s="208"/>
      <c r="H612" s="233"/>
      <c r="I612" s="234"/>
      <c r="J612" s="208"/>
      <c r="K612" s="208"/>
      <c r="L612" s="208"/>
      <c r="M612" s="208"/>
      <c r="N612" s="208"/>
      <c r="O612" s="208"/>
      <c r="P612" s="208"/>
      <c r="Q612" s="208"/>
      <c r="R612" s="208"/>
      <c r="S612" s="208"/>
      <c r="T612" s="208"/>
      <c r="U612" s="208"/>
      <c r="V612" s="208"/>
      <c r="W612" s="208"/>
      <c r="X612" s="208"/>
      <c r="Y612" s="208"/>
      <c r="Z612" s="208"/>
      <c r="AA612" s="208"/>
      <c r="AB612" s="208"/>
      <c r="AC612" s="208"/>
      <c r="AD612" s="208"/>
      <c r="AE612" s="208"/>
      <c r="AF612" s="208"/>
      <c r="AG612" s="208"/>
      <c r="AH612" s="208"/>
      <c r="AI612" s="208"/>
      <c r="AJ612" s="208"/>
      <c r="AK612" s="208"/>
    </row>
    <row r="613">
      <c r="A613" s="208"/>
      <c r="B613" s="208"/>
      <c r="C613" s="208"/>
      <c r="D613" s="208"/>
      <c r="E613" s="208"/>
      <c r="F613" s="208"/>
      <c r="G613" s="208"/>
      <c r="H613" s="233"/>
      <c r="I613" s="234"/>
      <c r="J613" s="208"/>
      <c r="K613" s="208"/>
      <c r="L613" s="208"/>
      <c r="M613" s="208"/>
      <c r="N613" s="208"/>
      <c r="O613" s="208"/>
      <c r="P613" s="208"/>
      <c r="Q613" s="208"/>
      <c r="R613" s="208"/>
      <c r="S613" s="208"/>
      <c r="T613" s="208"/>
      <c r="U613" s="208"/>
      <c r="V613" s="208"/>
      <c r="W613" s="208"/>
      <c r="X613" s="208"/>
      <c r="Y613" s="208"/>
      <c r="Z613" s="208"/>
      <c r="AA613" s="208"/>
      <c r="AB613" s="208"/>
      <c r="AC613" s="208"/>
      <c r="AD613" s="208"/>
      <c r="AE613" s="208"/>
      <c r="AF613" s="208"/>
      <c r="AG613" s="208"/>
      <c r="AH613" s="208"/>
      <c r="AI613" s="208"/>
      <c r="AJ613" s="208"/>
      <c r="AK613" s="208"/>
    </row>
    <row r="614">
      <c r="A614" s="208"/>
      <c r="B614" s="208"/>
      <c r="C614" s="208"/>
      <c r="D614" s="208"/>
      <c r="E614" s="208"/>
      <c r="F614" s="208"/>
      <c r="G614" s="208"/>
      <c r="H614" s="233"/>
      <c r="I614" s="234"/>
      <c r="J614" s="208"/>
      <c r="K614" s="208"/>
      <c r="L614" s="208"/>
      <c r="M614" s="208"/>
      <c r="N614" s="208"/>
      <c r="O614" s="208"/>
      <c r="P614" s="208"/>
      <c r="Q614" s="208"/>
      <c r="R614" s="208"/>
      <c r="S614" s="208"/>
      <c r="T614" s="208"/>
      <c r="U614" s="208"/>
      <c r="V614" s="208"/>
      <c r="W614" s="208"/>
      <c r="X614" s="208"/>
      <c r="Y614" s="208"/>
      <c r="Z614" s="208"/>
      <c r="AA614" s="208"/>
      <c r="AB614" s="208"/>
      <c r="AC614" s="208"/>
      <c r="AD614" s="208"/>
      <c r="AE614" s="208"/>
      <c r="AF614" s="208"/>
      <c r="AG614" s="208"/>
      <c r="AH614" s="208"/>
      <c r="AI614" s="208"/>
      <c r="AJ614" s="208"/>
      <c r="AK614" s="208"/>
    </row>
    <row r="615">
      <c r="A615" s="208"/>
      <c r="B615" s="208"/>
      <c r="C615" s="208"/>
      <c r="D615" s="208"/>
      <c r="E615" s="208"/>
      <c r="F615" s="208"/>
      <c r="G615" s="208"/>
      <c r="H615" s="233"/>
      <c r="I615" s="234"/>
      <c r="J615" s="208"/>
      <c r="K615" s="208"/>
      <c r="L615" s="208"/>
      <c r="M615" s="208"/>
      <c r="N615" s="208"/>
      <c r="O615" s="208"/>
      <c r="P615" s="208"/>
      <c r="Q615" s="208"/>
      <c r="R615" s="208"/>
      <c r="S615" s="208"/>
      <c r="T615" s="208"/>
      <c r="U615" s="208"/>
      <c r="V615" s="208"/>
      <c r="W615" s="208"/>
      <c r="X615" s="208"/>
      <c r="Y615" s="208"/>
      <c r="Z615" s="208"/>
      <c r="AA615" s="208"/>
      <c r="AB615" s="208"/>
      <c r="AC615" s="208"/>
      <c r="AD615" s="208"/>
      <c r="AE615" s="208"/>
      <c r="AF615" s="208"/>
      <c r="AG615" s="208"/>
      <c r="AH615" s="208"/>
      <c r="AI615" s="208"/>
      <c r="AJ615" s="208"/>
      <c r="AK615" s="208"/>
    </row>
    <row r="616">
      <c r="A616" s="208"/>
      <c r="B616" s="208"/>
      <c r="C616" s="208"/>
      <c r="D616" s="208"/>
      <c r="E616" s="208"/>
      <c r="F616" s="208"/>
      <c r="G616" s="208"/>
      <c r="H616" s="233"/>
      <c r="I616" s="234"/>
      <c r="J616" s="208"/>
      <c r="K616" s="208"/>
      <c r="L616" s="208"/>
      <c r="M616" s="208"/>
      <c r="N616" s="208"/>
      <c r="O616" s="208"/>
      <c r="P616" s="208"/>
      <c r="Q616" s="208"/>
      <c r="R616" s="208"/>
      <c r="S616" s="208"/>
      <c r="T616" s="208"/>
      <c r="U616" s="208"/>
      <c r="V616" s="208"/>
      <c r="W616" s="208"/>
      <c r="X616" s="208"/>
      <c r="Y616" s="208"/>
      <c r="Z616" s="208"/>
      <c r="AA616" s="208"/>
      <c r="AB616" s="208"/>
      <c r="AC616" s="208"/>
      <c r="AD616" s="208"/>
      <c r="AE616" s="208"/>
      <c r="AF616" s="208"/>
      <c r="AG616" s="208"/>
      <c r="AH616" s="208"/>
      <c r="AI616" s="208"/>
      <c r="AJ616" s="208"/>
      <c r="AK616" s="208"/>
    </row>
    <row r="617">
      <c r="A617" s="208"/>
      <c r="B617" s="208"/>
      <c r="C617" s="208"/>
      <c r="D617" s="208"/>
      <c r="E617" s="208"/>
      <c r="F617" s="208"/>
      <c r="G617" s="208"/>
      <c r="H617" s="233"/>
      <c r="I617" s="234"/>
      <c r="J617" s="208"/>
      <c r="K617" s="208"/>
      <c r="L617" s="208"/>
      <c r="M617" s="208"/>
      <c r="N617" s="208"/>
      <c r="O617" s="208"/>
      <c r="P617" s="208"/>
      <c r="Q617" s="208"/>
      <c r="R617" s="208"/>
      <c r="S617" s="208"/>
      <c r="T617" s="208"/>
      <c r="U617" s="208"/>
      <c r="V617" s="208"/>
      <c r="W617" s="208"/>
      <c r="X617" s="208"/>
      <c r="Y617" s="208"/>
      <c r="Z617" s="208"/>
      <c r="AA617" s="208"/>
      <c r="AB617" s="208"/>
      <c r="AC617" s="208"/>
      <c r="AD617" s="208"/>
      <c r="AE617" s="208"/>
      <c r="AF617" s="208"/>
      <c r="AG617" s="208"/>
      <c r="AH617" s="208"/>
      <c r="AI617" s="208"/>
      <c r="AJ617" s="208"/>
      <c r="AK617" s="208"/>
    </row>
    <row r="618">
      <c r="A618" s="208"/>
      <c r="B618" s="208"/>
      <c r="C618" s="208"/>
      <c r="D618" s="208"/>
      <c r="E618" s="208"/>
      <c r="F618" s="208"/>
      <c r="G618" s="208"/>
      <c r="H618" s="233"/>
      <c r="I618" s="234"/>
      <c r="J618" s="208"/>
      <c r="K618" s="208"/>
      <c r="L618" s="208"/>
      <c r="M618" s="208"/>
      <c r="N618" s="208"/>
      <c r="O618" s="208"/>
      <c r="P618" s="208"/>
      <c r="Q618" s="208"/>
      <c r="R618" s="208"/>
      <c r="S618" s="208"/>
      <c r="T618" s="208"/>
      <c r="U618" s="208"/>
      <c r="V618" s="208"/>
      <c r="W618" s="208"/>
      <c r="X618" s="208"/>
      <c r="Y618" s="208"/>
      <c r="Z618" s="208"/>
      <c r="AA618" s="208"/>
      <c r="AB618" s="208"/>
      <c r="AC618" s="208"/>
      <c r="AD618" s="208"/>
      <c r="AE618" s="208"/>
      <c r="AF618" s="208"/>
      <c r="AG618" s="208"/>
      <c r="AH618" s="208"/>
      <c r="AI618" s="208"/>
      <c r="AJ618" s="208"/>
      <c r="AK618" s="208"/>
    </row>
    <row r="619">
      <c r="A619" s="208"/>
      <c r="B619" s="208"/>
      <c r="C619" s="208"/>
      <c r="D619" s="208"/>
      <c r="E619" s="208"/>
      <c r="F619" s="208"/>
      <c r="G619" s="208"/>
      <c r="H619" s="233"/>
      <c r="I619" s="234"/>
      <c r="J619" s="208"/>
      <c r="K619" s="208"/>
      <c r="L619" s="208"/>
      <c r="M619" s="208"/>
      <c r="N619" s="208"/>
      <c r="O619" s="208"/>
      <c r="P619" s="208"/>
      <c r="Q619" s="208"/>
      <c r="R619" s="208"/>
      <c r="S619" s="208"/>
      <c r="T619" s="208"/>
      <c r="U619" s="208"/>
      <c r="V619" s="208"/>
      <c r="W619" s="208"/>
      <c r="X619" s="208"/>
      <c r="Y619" s="208"/>
      <c r="Z619" s="208"/>
      <c r="AA619" s="208"/>
      <c r="AB619" s="208"/>
      <c r="AC619" s="208"/>
      <c r="AD619" s="208"/>
      <c r="AE619" s="208"/>
      <c r="AF619" s="208"/>
      <c r="AG619" s="208"/>
      <c r="AH619" s="208"/>
      <c r="AI619" s="208"/>
      <c r="AJ619" s="208"/>
      <c r="AK619" s="208"/>
    </row>
    <row r="620">
      <c r="A620" s="208"/>
      <c r="B620" s="208"/>
      <c r="C620" s="208"/>
      <c r="D620" s="208"/>
      <c r="E620" s="208"/>
      <c r="F620" s="208"/>
      <c r="G620" s="208"/>
      <c r="H620" s="233"/>
      <c r="I620" s="234"/>
      <c r="J620" s="208"/>
      <c r="K620" s="208"/>
      <c r="L620" s="208"/>
      <c r="M620" s="208"/>
      <c r="N620" s="208"/>
      <c r="O620" s="208"/>
      <c r="P620" s="208"/>
      <c r="Q620" s="208"/>
      <c r="R620" s="208"/>
      <c r="S620" s="208"/>
      <c r="T620" s="208"/>
      <c r="U620" s="208"/>
      <c r="V620" s="208"/>
      <c r="W620" s="208"/>
      <c r="X620" s="208"/>
      <c r="Y620" s="208"/>
      <c r="Z620" s="208"/>
      <c r="AA620" s="208"/>
      <c r="AB620" s="208"/>
      <c r="AC620" s="208"/>
      <c r="AD620" s="208"/>
      <c r="AE620" s="208"/>
      <c r="AF620" s="208"/>
      <c r="AG620" s="208"/>
      <c r="AH620" s="208"/>
      <c r="AI620" s="208"/>
      <c r="AJ620" s="208"/>
      <c r="AK620" s="208"/>
    </row>
    <row r="621">
      <c r="A621" s="208"/>
      <c r="B621" s="208"/>
      <c r="C621" s="208"/>
      <c r="D621" s="208"/>
      <c r="E621" s="208"/>
      <c r="F621" s="208"/>
      <c r="G621" s="208"/>
      <c r="H621" s="233"/>
      <c r="I621" s="234"/>
      <c r="J621" s="208"/>
      <c r="K621" s="208"/>
      <c r="L621" s="208"/>
      <c r="M621" s="208"/>
      <c r="N621" s="208"/>
      <c r="O621" s="208"/>
      <c r="P621" s="208"/>
      <c r="Q621" s="208"/>
      <c r="R621" s="208"/>
      <c r="S621" s="208"/>
      <c r="T621" s="208"/>
      <c r="U621" s="208"/>
      <c r="V621" s="208"/>
      <c r="W621" s="208"/>
      <c r="X621" s="208"/>
      <c r="Y621" s="208"/>
      <c r="Z621" s="208"/>
      <c r="AA621" s="208"/>
      <c r="AB621" s="208"/>
      <c r="AC621" s="208"/>
      <c r="AD621" s="208"/>
      <c r="AE621" s="208"/>
      <c r="AF621" s="208"/>
      <c r="AG621" s="208"/>
      <c r="AH621" s="208"/>
      <c r="AI621" s="208"/>
      <c r="AJ621" s="208"/>
      <c r="AK621" s="208"/>
    </row>
    <row r="622">
      <c r="A622" s="208"/>
      <c r="B622" s="208"/>
      <c r="C622" s="208"/>
      <c r="D622" s="208"/>
      <c r="E622" s="208"/>
      <c r="F622" s="208"/>
      <c r="G622" s="208"/>
      <c r="H622" s="233"/>
      <c r="I622" s="234"/>
      <c r="J622" s="208"/>
      <c r="K622" s="208"/>
      <c r="L622" s="208"/>
      <c r="M622" s="208"/>
      <c r="N622" s="208"/>
      <c r="O622" s="208"/>
      <c r="P622" s="208"/>
      <c r="Q622" s="208"/>
      <c r="R622" s="208"/>
      <c r="S622" s="208"/>
      <c r="T622" s="208"/>
      <c r="U622" s="208"/>
      <c r="V622" s="208"/>
      <c r="W622" s="208"/>
      <c r="X622" s="208"/>
      <c r="Y622" s="208"/>
      <c r="Z622" s="208"/>
      <c r="AA622" s="208"/>
      <c r="AB622" s="208"/>
      <c r="AC622" s="208"/>
      <c r="AD622" s="208"/>
      <c r="AE622" s="208"/>
      <c r="AF622" s="208"/>
      <c r="AG622" s="208"/>
      <c r="AH622" s="208"/>
      <c r="AI622" s="208"/>
      <c r="AJ622" s="208"/>
      <c r="AK622" s="208"/>
    </row>
    <row r="623">
      <c r="A623" s="208"/>
      <c r="B623" s="208"/>
      <c r="C623" s="208"/>
      <c r="D623" s="208"/>
      <c r="E623" s="208"/>
      <c r="F623" s="208"/>
      <c r="G623" s="208"/>
      <c r="H623" s="233"/>
      <c r="I623" s="234"/>
      <c r="J623" s="208"/>
      <c r="K623" s="208"/>
      <c r="L623" s="208"/>
      <c r="M623" s="208"/>
      <c r="N623" s="208"/>
      <c r="O623" s="208"/>
      <c r="P623" s="208"/>
      <c r="Q623" s="208"/>
      <c r="R623" s="208"/>
      <c r="S623" s="208"/>
      <c r="T623" s="208"/>
      <c r="U623" s="208"/>
      <c r="V623" s="208"/>
      <c r="W623" s="208"/>
      <c r="X623" s="208"/>
      <c r="Y623" s="208"/>
      <c r="Z623" s="208"/>
      <c r="AA623" s="208"/>
      <c r="AB623" s="208"/>
      <c r="AC623" s="208"/>
      <c r="AD623" s="208"/>
      <c r="AE623" s="208"/>
      <c r="AF623" s="208"/>
      <c r="AG623" s="208"/>
      <c r="AH623" s="208"/>
      <c r="AI623" s="208"/>
      <c r="AJ623" s="208"/>
      <c r="AK623" s="208"/>
    </row>
    <row r="624">
      <c r="A624" s="208"/>
      <c r="B624" s="208"/>
      <c r="C624" s="208"/>
      <c r="D624" s="208"/>
      <c r="E624" s="208"/>
      <c r="F624" s="208"/>
      <c r="G624" s="208"/>
      <c r="H624" s="233"/>
      <c r="I624" s="234"/>
      <c r="J624" s="208"/>
      <c r="K624" s="208"/>
      <c r="L624" s="208"/>
      <c r="M624" s="208"/>
      <c r="N624" s="208"/>
      <c r="O624" s="208"/>
      <c r="P624" s="208"/>
      <c r="Q624" s="208"/>
      <c r="R624" s="208"/>
      <c r="S624" s="208"/>
      <c r="T624" s="208"/>
      <c r="U624" s="208"/>
      <c r="V624" s="208"/>
      <c r="W624" s="208"/>
      <c r="X624" s="208"/>
      <c r="Y624" s="208"/>
      <c r="Z624" s="208"/>
      <c r="AA624" s="208"/>
      <c r="AB624" s="208"/>
      <c r="AC624" s="208"/>
      <c r="AD624" s="208"/>
      <c r="AE624" s="208"/>
      <c r="AF624" s="208"/>
      <c r="AG624" s="208"/>
      <c r="AH624" s="208"/>
      <c r="AI624" s="208"/>
      <c r="AJ624" s="208"/>
      <c r="AK624" s="208"/>
    </row>
    <row r="625">
      <c r="A625" s="208"/>
      <c r="B625" s="208"/>
      <c r="C625" s="208"/>
      <c r="D625" s="208"/>
      <c r="E625" s="208"/>
      <c r="F625" s="208"/>
      <c r="G625" s="208"/>
      <c r="H625" s="233"/>
      <c r="I625" s="234"/>
      <c r="J625" s="208"/>
      <c r="K625" s="208"/>
      <c r="L625" s="208"/>
      <c r="M625" s="208"/>
      <c r="N625" s="208"/>
      <c r="O625" s="208"/>
      <c r="P625" s="208"/>
      <c r="Q625" s="208"/>
      <c r="R625" s="208"/>
      <c r="S625" s="208"/>
      <c r="T625" s="208"/>
      <c r="U625" s="208"/>
      <c r="V625" s="208"/>
      <c r="W625" s="208"/>
      <c r="X625" s="208"/>
      <c r="Y625" s="208"/>
      <c r="Z625" s="208"/>
      <c r="AA625" s="208"/>
      <c r="AB625" s="208"/>
      <c r="AC625" s="208"/>
      <c r="AD625" s="208"/>
      <c r="AE625" s="208"/>
      <c r="AF625" s="208"/>
      <c r="AG625" s="208"/>
      <c r="AH625" s="208"/>
      <c r="AI625" s="208"/>
      <c r="AJ625" s="208"/>
      <c r="AK625" s="208"/>
    </row>
    <row r="626">
      <c r="A626" s="208"/>
      <c r="B626" s="208"/>
      <c r="C626" s="208"/>
      <c r="D626" s="208"/>
      <c r="E626" s="208"/>
      <c r="F626" s="208"/>
      <c r="G626" s="208"/>
      <c r="H626" s="233"/>
      <c r="I626" s="234"/>
      <c r="J626" s="208"/>
      <c r="K626" s="208"/>
      <c r="L626" s="208"/>
      <c r="M626" s="208"/>
      <c r="N626" s="208"/>
      <c r="O626" s="208"/>
      <c r="P626" s="208"/>
      <c r="Q626" s="208"/>
      <c r="R626" s="208"/>
      <c r="S626" s="208"/>
      <c r="T626" s="208"/>
      <c r="U626" s="208"/>
      <c r="V626" s="208"/>
      <c r="W626" s="208"/>
      <c r="X626" s="208"/>
      <c r="Y626" s="208"/>
      <c r="Z626" s="208"/>
      <c r="AA626" s="208"/>
      <c r="AB626" s="208"/>
      <c r="AC626" s="208"/>
      <c r="AD626" s="208"/>
      <c r="AE626" s="208"/>
      <c r="AF626" s="208"/>
      <c r="AG626" s="208"/>
      <c r="AH626" s="208"/>
      <c r="AI626" s="208"/>
      <c r="AJ626" s="208"/>
      <c r="AK626" s="208"/>
    </row>
    <row r="627">
      <c r="A627" s="208"/>
      <c r="B627" s="208"/>
      <c r="C627" s="208"/>
      <c r="D627" s="208"/>
      <c r="E627" s="208"/>
      <c r="F627" s="208"/>
      <c r="G627" s="208"/>
      <c r="H627" s="233"/>
      <c r="I627" s="234"/>
      <c r="J627" s="208"/>
      <c r="K627" s="208"/>
      <c r="L627" s="208"/>
      <c r="M627" s="208"/>
      <c r="N627" s="208"/>
      <c r="O627" s="208"/>
      <c r="P627" s="208"/>
      <c r="Q627" s="208"/>
      <c r="R627" s="208"/>
      <c r="S627" s="208"/>
      <c r="T627" s="208"/>
      <c r="U627" s="208"/>
      <c r="V627" s="208"/>
      <c r="W627" s="208"/>
      <c r="X627" s="208"/>
      <c r="Y627" s="208"/>
      <c r="Z627" s="208"/>
      <c r="AA627" s="208"/>
      <c r="AB627" s="208"/>
      <c r="AC627" s="208"/>
      <c r="AD627" s="208"/>
      <c r="AE627" s="208"/>
      <c r="AF627" s="208"/>
      <c r="AG627" s="208"/>
      <c r="AH627" s="208"/>
      <c r="AI627" s="208"/>
      <c r="AJ627" s="208"/>
      <c r="AK627" s="208"/>
    </row>
    <row r="628">
      <c r="A628" s="208"/>
      <c r="B628" s="208"/>
      <c r="C628" s="208"/>
      <c r="D628" s="208"/>
      <c r="E628" s="208"/>
      <c r="F628" s="208"/>
      <c r="G628" s="208"/>
      <c r="H628" s="233"/>
      <c r="I628" s="234"/>
      <c r="J628" s="208"/>
      <c r="K628" s="208"/>
      <c r="L628" s="208"/>
      <c r="M628" s="208"/>
      <c r="N628" s="208"/>
      <c r="O628" s="208"/>
      <c r="P628" s="208"/>
      <c r="Q628" s="208"/>
      <c r="R628" s="208"/>
      <c r="S628" s="208"/>
      <c r="T628" s="208"/>
      <c r="U628" s="208"/>
      <c r="V628" s="208"/>
      <c r="W628" s="208"/>
      <c r="X628" s="208"/>
      <c r="Y628" s="208"/>
      <c r="Z628" s="208"/>
      <c r="AA628" s="208"/>
      <c r="AB628" s="208"/>
      <c r="AC628" s="208"/>
      <c r="AD628" s="208"/>
      <c r="AE628" s="208"/>
      <c r="AF628" s="208"/>
      <c r="AG628" s="208"/>
      <c r="AH628" s="208"/>
      <c r="AI628" s="208"/>
      <c r="AJ628" s="208"/>
      <c r="AK628" s="208"/>
    </row>
    <row r="629">
      <c r="A629" s="208"/>
      <c r="B629" s="208"/>
      <c r="C629" s="208"/>
      <c r="D629" s="208"/>
      <c r="E629" s="208"/>
      <c r="F629" s="208"/>
      <c r="G629" s="208"/>
      <c r="H629" s="233"/>
      <c r="I629" s="234"/>
      <c r="J629" s="208"/>
      <c r="K629" s="208"/>
      <c r="L629" s="208"/>
      <c r="M629" s="208"/>
      <c r="N629" s="208"/>
      <c r="O629" s="208"/>
      <c r="P629" s="208"/>
      <c r="Q629" s="208"/>
      <c r="R629" s="208"/>
      <c r="S629" s="208"/>
      <c r="T629" s="208"/>
      <c r="U629" s="208"/>
      <c r="V629" s="208"/>
      <c r="W629" s="208"/>
      <c r="X629" s="208"/>
      <c r="Y629" s="208"/>
      <c r="Z629" s="208"/>
      <c r="AA629" s="208"/>
      <c r="AB629" s="208"/>
      <c r="AC629" s="208"/>
      <c r="AD629" s="208"/>
      <c r="AE629" s="208"/>
      <c r="AF629" s="208"/>
      <c r="AG629" s="208"/>
      <c r="AH629" s="208"/>
      <c r="AI629" s="208"/>
      <c r="AJ629" s="208"/>
      <c r="AK629" s="208"/>
    </row>
    <row r="630">
      <c r="A630" s="208"/>
      <c r="B630" s="208"/>
      <c r="C630" s="208"/>
      <c r="D630" s="208"/>
      <c r="E630" s="208"/>
      <c r="F630" s="208"/>
      <c r="G630" s="208"/>
      <c r="H630" s="233"/>
      <c r="I630" s="234"/>
      <c r="J630" s="208"/>
      <c r="K630" s="208"/>
      <c r="L630" s="208"/>
      <c r="M630" s="208"/>
      <c r="N630" s="208"/>
      <c r="O630" s="208"/>
      <c r="P630" s="208"/>
      <c r="Q630" s="208"/>
      <c r="R630" s="208"/>
      <c r="S630" s="208"/>
      <c r="T630" s="208"/>
      <c r="U630" s="208"/>
      <c r="V630" s="208"/>
      <c r="W630" s="208"/>
      <c r="X630" s="208"/>
      <c r="Y630" s="208"/>
      <c r="Z630" s="208"/>
      <c r="AA630" s="208"/>
      <c r="AB630" s="208"/>
      <c r="AC630" s="208"/>
      <c r="AD630" s="208"/>
      <c r="AE630" s="208"/>
      <c r="AF630" s="208"/>
      <c r="AG630" s="208"/>
      <c r="AH630" s="208"/>
      <c r="AI630" s="208"/>
      <c r="AJ630" s="208"/>
      <c r="AK630" s="208"/>
    </row>
    <row r="631">
      <c r="A631" s="208"/>
      <c r="B631" s="208"/>
      <c r="C631" s="208"/>
      <c r="D631" s="208"/>
      <c r="E631" s="208"/>
      <c r="F631" s="208"/>
      <c r="G631" s="208"/>
      <c r="H631" s="233"/>
      <c r="I631" s="234"/>
      <c r="J631" s="208"/>
      <c r="K631" s="208"/>
      <c r="L631" s="208"/>
      <c r="M631" s="208"/>
      <c r="N631" s="208"/>
      <c r="O631" s="208"/>
      <c r="P631" s="208"/>
      <c r="Q631" s="208"/>
      <c r="R631" s="208"/>
      <c r="S631" s="208"/>
      <c r="T631" s="208"/>
      <c r="U631" s="208"/>
      <c r="V631" s="208"/>
      <c r="W631" s="208"/>
      <c r="X631" s="208"/>
      <c r="Y631" s="208"/>
      <c r="Z631" s="208"/>
      <c r="AA631" s="208"/>
      <c r="AB631" s="208"/>
      <c r="AC631" s="208"/>
      <c r="AD631" s="208"/>
      <c r="AE631" s="208"/>
      <c r="AF631" s="208"/>
      <c r="AG631" s="208"/>
      <c r="AH631" s="208"/>
      <c r="AI631" s="208"/>
      <c r="AJ631" s="208"/>
      <c r="AK631" s="208"/>
    </row>
    <row r="632">
      <c r="A632" s="208"/>
      <c r="B632" s="208"/>
      <c r="C632" s="208"/>
      <c r="D632" s="208"/>
      <c r="E632" s="208"/>
      <c r="F632" s="208"/>
      <c r="G632" s="208"/>
      <c r="H632" s="233"/>
      <c r="I632" s="234"/>
      <c r="J632" s="208"/>
      <c r="K632" s="208"/>
      <c r="L632" s="208"/>
      <c r="M632" s="208"/>
      <c r="N632" s="208"/>
      <c r="O632" s="208"/>
      <c r="P632" s="208"/>
      <c r="Q632" s="208"/>
      <c r="R632" s="208"/>
      <c r="S632" s="208"/>
      <c r="T632" s="208"/>
      <c r="U632" s="208"/>
      <c r="V632" s="208"/>
      <c r="W632" s="208"/>
      <c r="X632" s="208"/>
      <c r="Y632" s="208"/>
      <c r="Z632" s="208"/>
      <c r="AA632" s="208"/>
      <c r="AB632" s="208"/>
      <c r="AC632" s="208"/>
      <c r="AD632" s="208"/>
      <c r="AE632" s="208"/>
      <c r="AF632" s="208"/>
      <c r="AG632" s="208"/>
      <c r="AH632" s="208"/>
      <c r="AI632" s="208"/>
      <c r="AJ632" s="208"/>
      <c r="AK632" s="208"/>
    </row>
    <row r="633">
      <c r="A633" s="208"/>
      <c r="B633" s="208"/>
      <c r="C633" s="208"/>
      <c r="D633" s="208"/>
      <c r="E633" s="208"/>
      <c r="F633" s="208"/>
      <c r="G633" s="208"/>
      <c r="H633" s="233"/>
      <c r="I633" s="234"/>
      <c r="J633" s="208"/>
      <c r="K633" s="208"/>
      <c r="L633" s="208"/>
      <c r="M633" s="208"/>
      <c r="N633" s="208"/>
      <c r="O633" s="208"/>
      <c r="P633" s="208"/>
      <c r="Q633" s="208"/>
      <c r="R633" s="208"/>
      <c r="S633" s="208"/>
      <c r="T633" s="208"/>
      <c r="U633" s="208"/>
      <c r="V633" s="208"/>
      <c r="W633" s="208"/>
      <c r="X633" s="208"/>
      <c r="Y633" s="208"/>
      <c r="Z633" s="208"/>
      <c r="AA633" s="208"/>
      <c r="AB633" s="208"/>
      <c r="AC633" s="208"/>
      <c r="AD633" s="208"/>
      <c r="AE633" s="208"/>
      <c r="AF633" s="208"/>
      <c r="AG633" s="208"/>
      <c r="AH633" s="208"/>
      <c r="AI633" s="208"/>
      <c r="AJ633" s="208"/>
      <c r="AK633" s="208"/>
    </row>
    <row r="634">
      <c r="A634" s="208"/>
      <c r="B634" s="208"/>
      <c r="C634" s="208"/>
      <c r="D634" s="208"/>
      <c r="E634" s="208"/>
      <c r="F634" s="208"/>
      <c r="G634" s="208"/>
      <c r="H634" s="233"/>
      <c r="I634" s="234"/>
      <c r="J634" s="208"/>
      <c r="K634" s="208"/>
      <c r="L634" s="208"/>
      <c r="M634" s="208"/>
      <c r="N634" s="208"/>
      <c r="O634" s="208"/>
      <c r="P634" s="208"/>
      <c r="Q634" s="208"/>
      <c r="R634" s="208"/>
      <c r="S634" s="208"/>
      <c r="T634" s="208"/>
      <c r="U634" s="208"/>
      <c r="V634" s="208"/>
      <c r="W634" s="208"/>
      <c r="X634" s="208"/>
      <c r="Y634" s="208"/>
      <c r="Z634" s="208"/>
      <c r="AA634" s="208"/>
      <c r="AB634" s="208"/>
      <c r="AC634" s="208"/>
      <c r="AD634" s="208"/>
      <c r="AE634" s="208"/>
      <c r="AF634" s="208"/>
      <c r="AG634" s="208"/>
      <c r="AH634" s="208"/>
      <c r="AI634" s="208"/>
      <c r="AJ634" s="208"/>
      <c r="AK634" s="208"/>
    </row>
    <row r="635">
      <c r="A635" s="208"/>
      <c r="B635" s="208"/>
      <c r="C635" s="208"/>
      <c r="D635" s="208"/>
      <c r="E635" s="208"/>
      <c r="F635" s="208"/>
      <c r="G635" s="208"/>
      <c r="H635" s="233"/>
      <c r="I635" s="234"/>
      <c r="J635" s="208"/>
      <c r="K635" s="208"/>
      <c r="L635" s="208"/>
      <c r="M635" s="208"/>
      <c r="N635" s="208"/>
      <c r="O635" s="208"/>
      <c r="P635" s="208"/>
      <c r="Q635" s="208"/>
      <c r="R635" s="208"/>
      <c r="S635" s="208"/>
      <c r="T635" s="208"/>
      <c r="U635" s="208"/>
      <c r="V635" s="208"/>
      <c r="W635" s="208"/>
      <c r="X635" s="208"/>
      <c r="Y635" s="208"/>
      <c r="Z635" s="208"/>
      <c r="AA635" s="208"/>
      <c r="AB635" s="208"/>
      <c r="AC635" s="208"/>
      <c r="AD635" s="208"/>
      <c r="AE635" s="208"/>
      <c r="AF635" s="208"/>
      <c r="AG635" s="208"/>
      <c r="AH635" s="208"/>
      <c r="AI635" s="208"/>
      <c r="AJ635" s="208"/>
      <c r="AK635" s="208"/>
    </row>
    <row r="636">
      <c r="A636" s="208"/>
      <c r="B636" s="208"/>
      <c r="C636" s="208"/>
      <c r="D636" s="208"/>
      <c r="E636" s="208"/>
      <c r="F636" s="208"/>
      <c r="G636" s="208"/>
      <c r="H636" s="233"/>
      <c r="I636" s="234"/>
      <c r="J636" s="208"/>
      <c r="K636" s="208"/>
      <c r="L636" s="208"/>
      <c r="M636" s="208"/>
      <c r="N636" s="208"/>
      <c r="O636" s="208"/>
      <c r="P636" s="208"/>
      <c r="Q636" s="208"/>
      <c r="R636" s="208"/>
      <c r="S636" s="208"/>
      <c r="T636" s="208"/>
      <c r="U636" s="208"/>
      <c r="V636" s="208"/>
      <c r="W636" s="208"/>
      <c r="X636" s="208"/>
      <c r="Y636" s="208"/>
      <c r="Z636" s="208"/>
      <c r="AA636" s="208"/>
      <c r="AB636" s="208"/>
      <c r="AC636" s="208"/>
      <c r="AD636" s="208"/>
      <c r="AE636" s="208"/>
      <c r="AF636" s="208"/>
      <c r="AG636" s="208"/>
      <c r="AH636" s="208"/>
      <c r="AI636" s="208"/>
      <c r="AJ636" s="208"/>
      <c r="AK636" s="208"/>
    </row>
    <row r="637">
      <c r="A637" s="208"/>
      <c r="B637" s="208"/>
      <c r="C637" s="208"/>
      <c r="D637" s="208"/>
      <c r="E637" s="208"/>
      <c r="F637" s="208"/>
      <c r="G637" s="208"/>
      <c r="H637" s="233"/>
      <c r="I637" s="234"/>
      <c r="J637" s="208"/>
      <c r="K637" s="208"/>
      <c r="L637" s="208"/>
      <c r="M637" s="208"/>
      <c r="N637" s="208"/>
      <c r="O637" s="208"/>
      <c r="P637" s="208"/>
      <c r="Q637" s="208"/>
      <c r="R637" s="208"/>
      <c r="S637" s="208"/>
      <c r="T637" s="208"/>
      <c r="U637" s="208"/>
      <c r="V637" s="208"/>
      <c r="W637" s="208"/>
      <c r="X637" s="208"/>
      <c r="Y637" s="208"/>
      <c r="Z637" s="208"/>
      <c r="AA637" s="208"/>
      <c r="AB637" s="208"/>
      <c r="AC637" s="208"/>
      <c r="AD637" s="208"/>
      <c r="AE637" s="208"/>
      <c r="AF637" s="208"/>
      <c r="AG637" s="208"/>
      <c r="AH637" s="208"/>
      <c r="AI637" s="208"/>
      <c r="AJ637" s="208"/>
      <c r="AK637" s="208"/>
    </row>
    <row r="638">
      <c r="A638" s="208"/>
      <c r="B638" s="208"/>
      <c r="C638" s="208"/>
      <c r="D638" s="208"/>
      <c r="E638" s="208"/>
      <c r="F638" s="208"/>
      <c r="G638" s="208"/>
      <c r="H638" s="233"/>
      <c r="I638" s="234"/>
      <c r="J638" s="208"/>
      <c r="K638" s="208"/>
      <c r="L638" s="208"/>
      <c r="M638" s="208"/>
      <c r="N638" s="208"/>
      <c r="O638" s="208"/>
      <c r="P638" s="208"/>
      <c r="Q638" s="208"/>
      <c r="R638" s="208"/>
      <c r="S638" s="208"/>
      <c r="T638" s="208"/>
      <c r="U638" s="208"/>
      <c r="V638" s="208"/>
      <c r="W638" s="208"/>
      <c r="X638" s="208"/>
      <c r="Y638" s="208"/>
      <c r="Z638" s="208"/>
      <c r="AA638" s="208"/>
      <c r="AB638" s="208"/>
      <c r="AC638" s="208"/>
      <c r="AD638" s="208"/>
      <c r="AE638" s="208"/>
      <c r="AF638" s="208"/>
      <c r="AG638" s="208"/>
      <c r="AH638" s="208"/>
      <c r="AI638" s="208"/>
      <c r="AJ638" s="208"/>
      <c r="AK638" s="208"/>
    </row>
    <row r="639">
      <c r="A639" s="208"/>
      <c r="B639" s="208"/>
      <c r="C639" s="208"/>
      <c r="D639" s="208"/>
      <c r="E639" s="208"/>
      <c r="F639" s="208"/>
      <c r="G639" s="208"/>
      <c r="H639" s="233"/>
      <c r="I639" s="234"/>
      <c r="J639" s="208"/>
      <c r="K639" s="208"/>
      <c r="L639" s="208"/>
      <c r="M639" s="208"/>
      <c r="N639" s="208"/>
      <c r="O639" s="208"/>
      <c r="P639" s="208"/>
      <c r="Q639" s="208"/>
      <c r="R639" s="208"/>
      <c r="S639" s="208"/>
      <c r="T639" s="208"/>
      <c r="U639" s="208"/>
      <c r="V639" s="208"/>
      <c r="W639" s="208"/>
      <c r="X639" s="208"/>
      <c r="Y639" s="208"/>
      <c r="Z639" s="208"/>
      <c r="AA639" s="208"/>
      <c r="AB639" s="208"/>
      <c r="AC639" s="208"/>
      <c r="AD639" s="208"/>
      <c r="AE639" s="208"/>
      <c r="AF639" s="208"/>
      <c r="AG639" s="208"/>
      <c r="AH639" s="208"/>
      <c r="AI639" s="208"/>
      <c r="AJ639" s="208"/>
      <c r="AK639" s="208"/>
    </row>
    <row r="640">
      <c r="A640" s="208"/>
      <c r="B640" s="208"/>
      <c r="C640" s="208"/>
      <c r="D640" s="208"/>
      <c r="E640" s="208"/>
      <c r="F640" s="208"/>
      <c r="G640" s="208"/>
      <c r="H640" s="233"/>
      <c r="I640" s="234"/>
      <c r="J640" s="208"/>
      <c r="K640" s="208"/>
      <c r="L640" s="208"/>
      <c r="M640" s="208"/>
      <c r="N640" s="208"/>
      <c r="O640" s="208"/>
      <c r="P640" s="208"/>
      <c r="Q640" s="208"/>
      <c r="R640" s="208"/>
      <c r="S640" s="208"/>
      <c r="T640" s="208"/>
      <c r="U640" s="208"/>
      <c r="V640" s="208"/>
      <c r="W640" s="208"/>
      <c r="X640" s="208"/>
      <c r="Y640" s="208"/>
      <c r="Z640" s="208"/>
      <c r="AA640" s="208"/>
      <c r="AB640" s="208"/>
      <c r="AC640" s="208"/>
      <c r="AD640" s="208"/>
      <c r="AE640" s="208"/>
      <c r="AF640" s="208"/>
      <c r="AG640" s="208"/>
      <c r="AH640" s="208"/>
      <c r="AI640" s="208"/>
      <c r="AJ640" s="208"/>
      <c r="AK640" s="208"/>
    </row>
    <row r="641">
      <c r="A641" s="208"/>
      <c r="B641" s="208"/>
      <c r="C641" s="208"/>
      <c r="D641" s="208"/>
      <c r="E641" s="208"/>
      <c r="F641" s="208"/>
      <c r="G641" s="208"/>
      <c r="H641" s="233"/>
      <c r="I641" s="234"/>
      <c r="J641" s="208"/>
      <c r="K641" s="208"/>
      <c r="L641" s="208"/>
      <c r="M641" s="208"/>
      <c r="N641" s="208"/>
      <c r="O641" s="208"/>
      <c r="P641" s="208"/>
      <c r="Q641" s="208"/>
      <c r="R641" s="208"/>
      <c r="S641" s="208"/>
      <c r="T641" s="208"/>
      <c r="U641" s="208"/>
      <c r="V641" s="208"/>
      <c r="W641" s="208"/>
      <c r="X641" s="208"/>
      <c r="Y641" s="208"/>
      <c r="Z641" s="208"/>
      <c r="AA641" s="208"/>
      <c r="AB641" s="208"/>
      <c r="AC641" s="208"/>
      <c r="AD641" s="208"/>
      <c r="AE641" s="208"/>
      <c r="AF641" s="208"/>
      <c r="AG641" s="208"/>
      <c r="AH641" s="208"/>
      <c r="AI641" s="208"/>
      <c r="AJ641" s="208"/>
      <c r="AK641" s="208"/>
    </row>
    <row r="642">
      <c r="A642" s="208"/>
      <c r="B642" s="208"/>
      <c r="C642" s="208"/>
      <c r="D642" s="208"/>
      <c r="E642" s="208"/>
      <c r="F642" s="208"/>
      <c r="G642" s="208"/>
      <c r="H642" s="233"/>
      <c r="I642" s="234"/>
      <c r="J642" s="208"/>
      <c r="K642" s="208"/>
      <c r="L642" s="208"/>
      <c r="M642" s="208"/>
      <c r="N642" s="208"/>
      <c r="O642" s="208"/>
      <c r="P642" s="208"/>
      <c r="Q642" s="208"/>
      <c r="R642" s="208"/>
      <c r="S642" s="208"/>
      <c r="T642" s="208"/>
      <c r="U642" s="208"/>
      <c r="V642" s="208"/>
      <c r="W642" s="208"/>
      <c r="X642" s="208"/>
      <c r="Y642" s="208"/>
      <c r="Z642" s="208"/>
      <c r="AA642" s="208"/>
      <c r="AB642" s="208"/>
      <c r="AC642" s="208"/>
      <c r="AD642" s="208"/>
      <c r="AE642" s="208"/>
      <c r="AF642" s="208"/>
      <c r="AG642" s="208"/>
      <c r="AH642" s="208"/>
      <c r="AI642" s="208"/>
      <c r="AJ642" s="208"/>
      <c r="AK642" s="208"/>
    </row>
    <row r="643">
      <c r="A643" s="208"/>
      <c r="B643" s="208"/>
      <c r="C643" s="208"/>
      <c r="D643" s="208"/>
      <c r="E643" s="208"/>
      <c r="F643" s="208"/>
      <c r="G643" s="208"/>
      <c r="H643" s="233"/>
      <c r="I643" s="234"/>
      <c r="J643" s="208"/>
      <c r="K643" s="208"/>
      <c r="L643" s="208"/>
      <c r="M643" s="208"/>
      <c r="N643" s="208"/>
      <c r="O643" s="208"/>
      <c r="P643" s="208"/>
      <c r="Q643" s="208"/>
      <c r="R643" s="208"/>
      <c r="S643" s="208"/>
      <c r="T643" s="208"/>
      <c r="U643" s="208"/>
      <c r="V643" s="208"/>
      <c r="W643" s="208"/>
      <c r="X643" s="208"/>
      <c r="Y643" s="208"/>
      <c r="Z643" s="208"/>
      <c r="AA643" s="208"/>
      <c r="AB643" s="208"/>
      <c r="AC643" s="208"/>
      <c r="AD643" s="208"/>
      <c r="AE643" s="208"/>
      <c r="AF643" s="208"/>
      <c r="AG643" s="208"/>
      <c r="AH643" s="208"/>
      <c r="AI643" s="208"/>
      <c r="AJ643" s="208"/>
      <c r="AK643" s="208"/>
    </row>
    <row r="644">
      <c r="A644" s="208"/>
      <c r="B644" s="208"/>
      <c r="C644" s="208"/>
      <c r="D644" s="208"/>
      <c r="E644" s="208"/>
      <c r="F644" s="208"/>
      <c r="G644" s="208"/>
      <c r="H644" s="233"/>
      <c r="I644" s="234"/>
      <c r="J644" s="208"/>
      <c r="K644" s="208"/>
      <c r="L644" s="208"/>
      <c r="M644" s="208"/>
      <c r="N644" s="208"/>
      <c r="O644" s="208"/>
      <c r="P644" s="208"/>
      <c r="Q644" s="208"/>
      <c r="R644" s="208"/>
      <c r="S644" s="208"/>
      <c r="T644" s="208"/>
      <c r="U644" s="208"/>
      <c r="V644" s="208"/>
      <c r="W644" s="208"/>
      <c r="X644" s="208"/>
      <c r="Y644" s="208"/>
      <c r="Z644" s="208"/>
      <c r="AA644" s="208"/>
      <c r="AB644" s="208"/>
      <c r="AC644" s="208"/>
      <c r="AD644" s="208"/>
      <c r="AE644" s="208"/>
      <c r="AF644" s="208"/>
      <c r="AG644" s="208"/>
      <c r="AH644" s="208"/>
      <c r="AI644" s="208"/>
      <c r="AJ644" s="208"/>
      <c r="AK644" s="208"/>
    </row>
    <row r="645">
      <c r="A645" s="208"/>
      <c r="B645" s="208"/>
      <c r="C645" s="208"/>
      <c r="D645" s="208"/>
      <c r="E645" s="208"/>
      <c r="F645" s="208"/>
      <c r="G645" s="208"/>
      <c r="H645" s="233"/>
      <c r="I645" s="234"/>
      <c r="J645" s="208"/>
      <c r="K645" s="208"/>
      <c r="L645" s="208"/>
      <c r="M645" s="208"/>
      <c r="N645" s="208"/>
      <c r="O645" s="208"/>
      <c r="P645" s="208"/>
      <c r="Q645" s="208"/>
      <c r="R645" s="208"/>
      <c r="S645" s="208"/>
      <c r="T645" s="208"/>
      <c r="U645" s="208"/>
      <c r="V645" s="208"/>
      <c r="W645" s="208"/>
      <c r="X645" s="208"/>
      <c r="Y645" s="208"/>
      <c r="Z645" s="208"/>
      <c r="AA645" s="208"/>
      <c r="AB645" s="208"/>
      <c r="AC645" s="208"/>
      <c r="AD645" s="208"/>
      <c r="AE645" s="208"/>
      <c r="AF645" s="208"/>
      <c r="AG645" s="208"/>
      <c r="AH645" s="208"/>
      <c r="AI645" s="208"/>
      <c r="AJ645" s="208"/>
      <c r="AK645" s="208"/>
    </row>
    <row r="646">
      <c r="A646" s="208"/>
      <c r="B646" s="208"/>
      <c r="C646" s="208"/>
      <c r="D646" s="208"/>
      <c r="E646" s="208"/>
      <c r="F646" s="208"/>
      <c r="G646" s="208"/>
      <c r="H646" s="233"/>
      <c r="I646" s="234"/>
      <c r="J646" s="208"/>
      <c r="K646" s="208"/>
      <c r="L646" s="208"/>
      <c r="M646" s="208"/>
      <c r="N646" s="208"/>
      <c r="O646" s="208"/>
      <c r="P646" s="208"/>
      <c r="Q646" s="208"/>
      <c r="R646" s="208"/>
      <c r="S646" s="208"/>
      <c r="T646" s="208"/>
      <c r="U646" s="208"/>
      <c r="V646" s="208"/>
      <c r="W646" s="208"/>
      <c r="X646" s="208"/>
      <c r="Y646" s="208"/>
      <c r="Z646" s="208"/>
      <c r="AA646" s="208"/>
      <c r="AB646" s="208"/>
      <c r="AC646" s="208"/>
      <c r="AD646" s="208"/>
      <c r="AE646" s="208"/>
      <c r="AF646" s="208"/>
      <c r="AG646" s="208"/>
      <c r="AH646" s="208"/>
      <c r="AI646" s="208"/>
      <c r="AJ646" s="208"/>
      <c r="AK646" s="208"/>
    </row>
    <row r="647">
      <c r="A647" s="208"/>
      <c r="B647" s="208"/>
      <c r="C647" s="208"/>
      <c r="D647" s="208"/>
      <c r="E647" s="208"/>
      <c r="F647" s="208"/>
      <c r="G647" s="208"/>
      <c r="H647" s="233"/>
      <c r="I647" s="234"/>
      <c r="J647" s="208"/>
      <c r="K647" s="208"/>
      <c r="L647" s="208"/>
      <c r="M647" s="208"/>
      <c r="N647" s="208"/>
      <c r="O647" s="208"/>
      <c r="P647" s="208"/>
      <c r="Q647" s="208"/>
      <c r="R647" s="208"/>
      <c r="S647" s="208"/>
      <c r="T647" s="208"/>
      <c r="U647" s="208"/>
      <c r="V647" s="208"/>
      <c r="W647" s="208"/>
      <c r="X647" s="208"/>
      <c r="Y647" s="208"/>
      <c r="Z647" s="208"/>
      <c r="AA647" s="208"/>
      <c r="AB647" s="208"/>
      <c r="AC647" s="208"/>
      <c r="AD647" s="208"/>
      <c r="AE647" s="208"/>
      <c r="AF647" s="208"/>
      <c r="AG647" s="208"/>
      <c r="AH647" s="208"/>
      <c r="AI647" s="208"/>
      <c r="AJ647" s="208"/>
      <c r="AK647" s="208"/>
    </row>
    <row r="648">
      <c r="A648" s="208"/>
      <c r="B648" s="208"/>
      <c r="C648" s="208"/>
      <c r="D648" s="208"/>
      <c r="E648" s="208"/>
      <c r="F648" s="208"/>
      <c r="G648" s="208"/>
      <c r="H648" s="233"/>
      <c r="I648" s="234"/>
      <c r="J648" s="208"/>
      <c r="K648" s="208"/>
      <c r="L648" s="208"/>
      <c r="M648" s="208"/>
      <c r="N648" s="208"/>
      <c r="O648" s="208"/>
      <c r="P648" s="208"/>
      <c r="Q648" s="208"/>
      <c r="R648" s="208"/>
      <c r="S648" s="208"/>
      <c r="T648" s="208"/>
      <c r="U648" s="208"/>
      <c r="V648" s="208"/>
      <c r="W648" s="208"/>
      <c r="X648" s="208"/>
      <c r="Y648" s="208"/>
      <c r="Z648" s="208"/>
      <c r="AA648" s="208"/>
      <c r="AB648" s="208"/>
      <c r="AC648" s="208"/>
      <c r="AD648" s="208"/>
      <c r="AE648" s="208"/>
      <c r="AF648" s="208"/>
      <c r="AG648" s="208"/>
      <c r="AH648" s="208"/>
      <c r="AI648" s="208"/>
      <c r="AJ648" s="208"/>
      <c r="AK648" s="208"/>
    </row>
    <row r="649">
      <c r="A649" s="208"/>
      <c r="B649" s="208"/>
      <c r="C649" s="208"/>
      <c r="D649" s="208"/>
      <c r="E649" s="208"/>
      <c r="F649" s="208"/>
      <c r="G649" s="208"/>
      <c r="H649" s="233"/>
      <c r="I649" s="234"/>
      <c r="J649" s="208"/>
      <c r="K649" s="208"/>
      <c r="L649" s="208"/>
      <c r="M649" s="208"/>
      <c r="N649" s="208"/>
      <c r="O649" s="208"/>
      <c r="P649" s="208"/>
      <c r="Q649" s="208"/>
      <c r="R649" s="208"/>
      <c r="S649" s="208"/>
      <c r="T649" s="208"/>
      <c r="U649" s="208"/>
      <c r="V649" s="208"/>
      <c r="W649" s="208"/>
      <c r="X649" s="208"/>
      <c r="Y649" s="208"/>
      <c r="Z649" s="208"/>
      <c r="AA649" s="208"/>
      <c r="AB649" s="208"/>
      <c r="AC649" s="208"/>
      <c r="AD649" s="208"/>
      <c r="AE649" s="208"/>
      <c r="AF649" s="208"/>
      <c r="AG649" s="208"/>
      <c r="AH649" s="208"/>
      <c r="AI649" s="208"/>
      <c r="AJ649" s="208"/>
      <c r="AK649" s="208"/>
    </row>
    <row r="650">
      <c r="A650" s="208"/>
      <c r="B650" s="208"/>
      <c r="C650" s="208"/>
      <c r="D650" s="208"/>
      <c r="E650" s="208"/>
      <c r="F650" s="208"/>
      <c r="G650" s="208"/>
      <c r="H650" s="233"/>
      <c r="I650" s="234"/>
      <c r="J650" s="208"/>
      <c r="K650" s="208"/>
      <c r="L650" s="208"/>
      <c r="M650" s="208"/>
      <c r="N650" s="208"/>
      <c r="O650" s="208"/>
      <c r="P650" s="208"/>
      <c r="Q650" s="208"/>
      <c r="R650" s="208"/>
      <c r="S650" s="208"/>
      <c r="T650" s="208"/>
      <c r="U650" s="208"/>
      <c r="V650" s="208"/>
      <c r="W650" s="208"/>
      <c r="X650" s="208"/>
      <c r="Y650" s="208"/>
      <c r="Z650" s="208"/>
      <c r="AA650" s="208"/>
      <c r="AB650" s="208"/>
      <c r="AC650" s="208"/>
      <c r="AD650" s="208"/>
      <c r="AE650" s="208"/>
      <c r="AF650" s="208"/>
      <c r="AG650" s="208"/>
      <c r="AH650" s="208"/>
      <c r="AI650" s="208"/>
      <c r="AJ650" s="208"/>
      <c r="AK650" s="208"/>
    </row>
    <row r="651">
      <c r="A651" s="208"/>
      <c r="B651" s="208"/>
      <c r="C651" s="208"/>
      <c r="D651" s="208"/>
      <c r="E651" s="208"/>
      <c r="F651" s="208"/>
      <c r="G651" s="208"/>
      <c r="H651" s="233"/>
      <c r="I651" s="234"/>
      <c r="J651" s="208"/>
      <c r="K651" s="208"/>
      <c r="L651" s="208"/>
      <c r="M651" s="208"/>
      <c r="N651" s="208"/>
      <c r="O651" s="208"/>
      <c r="P651" s="208"/>
      <c r="Q651" s="208"/>
      <c r="R651" s="208"/>
      <c r="S651" s="208"/>
      <c r="T651" s="208"/>
      <c r="U651" s="208"/>
      <c r="V651" s="208"/>
      <c r="W651" s="208"/>
      <c r="X651" s="208"/>
      <c r="Y651" s="208"/>
      <c r="Z651" s="208"/>
      <c r="AA651" s="208"/>
      <c r="AB651" s="208"/>
      <c r="AC651" s="208"/>
      <c r="AD651" s="208"/>
      <c r="AE651" s="208"/>
      <c r="AF651" s="208"/>
      <c r="AG651" s="208"/>
      <c r="AH651" s="208"/>
      <c r="AI651" s="208"/>
      <c r="AJ651" s="208"/>
      <c r="AK651" s="208"/>
    </row>
    <row r="652">
      <c r="A652" s="208"/>
      <c r="B652" s="208"/>
      <c r="C652" s="208"/>
      <c r="D652" s="208"/>
      <c r="E652" s="208"/>
      <c r="F652" s="208"/>
      <c r="G652" s="208"/>
      <c r="H652" s="233"/>
      <c r="I652" s="234"/>
      <c r="J652" s="208"/>
      <c r="K652" s="208"/>
      <c r="L652" s="208"/>
      <c r="M652" s="208"/>
      <c r="N652" s="208"/>
      <c r="O652" s="208"/>
      <c r="P652" s="208"/>
      <c r="Q652" s="208"/>
      <c r="R652" s="208"/>
      <c r="S652" s="208"/>
      <c r="T652" s="208"/>
      <c r="U652" s="208"/>
      <c r="V652" s="208"/>
      <c r="W652" s="208"/>
      <c r="X652" s="208"/>
      <c r="Y652" s="208"/>
      <c r="Z652" s="208"/>
      <c r="AA652" s="208"/>
      <c r="AB652" s="208"/>
      <c r="AC652" s="208"/>
      <c r="AD652" s="208"/>
      <c r="AE652" s="208"/>
      <c r="AF652" s="208"/>
      <c r="AG652" s="208"/>
      <c r="AH652" s="208"/>
      <c r="AI652" s="208"/>
      <c r="AJ652" s="208"/>
      <c r="AK652" s="208"/>
    </row>
    <row r="653">
      <c r="A653" s="208"/>
      <c r="B653" s="208"/>
      <c r="C653" s="208"/>
      <c r="D653" s="208"/>
      <c r="E653" s="208"/>
      <c r="F653" s="208"/>
      <c r="G653" s="208"/>
      <c r="H653" s="233"/>
      <c r="I653" s="234"/>
      <c r="J653" s="208"/>
      <c r="K653" s="208"/>
      <c r="L653" s="208"/>
      <c r="M653" s="208"/>
      <c r="N653" s="208"/>
      <c r="O653" s="208"/>
      <c r="P653" s="208"/>
      <c r="Q653" s="208"/>
      <c r="R653" s="208"/>
      <c r="S653" s="208"/>
      <c r="T653" s="208"/>
      <c r="U653" s="208"/>
      <c r="V653" s="208"/>
      <c r="W653" s="208"/>
      <c r="X653" s="208"/>
      <c r="Y653" s="208"/>
      <c r="Z653" s="208"/>
      <c r="AA653" s="208"/>
      <c r="AB653" s="208"/>
      <c r="AC653" s="208"/>
      <c r="AD653" s="208"/>
      <c r="AE653" s="208"/>
      <c r="AF653" s="208"/>
      <c r="AG653" s="208"/>
      <c r="AH653" s="208"/>
      <c r="AI653" s="208"/>
      <c r="AJ653" s="208"/>
      <c r="AK653" s="208"/>
    </row>
    <row r="654">
      <c r="A654" s="208"/>
      <c r="B654" s="208"/>
      <c r="C654" s="208"/>
      <c r="D654" s="208"/>
      <c r="E654" s="208"/>
      <c r="F654" s="208"/>
      <c r="G654" s="208"/>
      <c r="H654" s="233"/>
      <c r="I654" s="234"/>
      <c r="J654" s="208"/>
      <c r="K654" s="208"/>
      <c r="L654" s="208"/>
      <c r="M654" s="208"/>
      <c r="N654" s="208"/>
      <c r="O654" s="208"/>
      <c r="P654" s="208"/>
      <c r="Q654" s="208"/>
      <c r="R654" s="208"/>
      <c r="S654" s="208"/>
      <c r="T654" s="208"/>
      <c r="U654" s="208"/>
      <c r="V654" s="208"/>
      <c r="W654" s="208"/>
      <c r="X654" s="208"/>
      <c r="Y654" s="208"/>
      <c r="Z654" s="208"/>
      <c r="AA654" s="208"/>
      <c r="AB654" s="208"/>
      <c r="AC654" s="208"/>
      <c r="AD654" s="208"/>
      <c r="AE654" s="208"/>
      <c r="AF654" s="208"/>
      <c r="AG654" s="208"/>
      <c r="AH654" s="208"/>
      <c r="AI654" s="208"/>
      <c r="AJ654" s="208"/>
      <c r="AK654" s="208"/>
    </row>
    <row r="655">
      <c r="A655" s="208"/>
      <c r="B655" s="208"/>
      <c r="C655" s="208"/>
      <c r="D655" s="208"/>
      <c r="E655" s="208"/>
      <c r="F655" s="208"/>
      <c r="G655" s="208"/>
      <c r="H655" s="233"/>
      <c r="I655" s="234"/>
      <c r="J655" s="208"/>
      <c r="K655" s="208"/>
      <c r="L655" s="208"/>
      <c r="M655" s="208"/>
      <c r="N655" s="208"/>
      <c r="O655" s="208"/>
      <c r="P655" s="208"/>
      <c r="Q655" s="208"/>
      <c r="R655" s="208"/>
      <c r="S655" s="208"/>
      <c r="T655" s="208"/>
      <c r="U655" s="208"/>
      <c r="V655" s="208"/>
      <c r="W655" s="208"/>
      <c r="X655" s="208"/>
      <c r="Y655" s="208"/>
      <c r="Z655" s="208"/>
      <c r="AA655" s="208"/>
      <c r="AB655" s="208"/>
      <c r="AC655" s="208"/>
      <c r="AD655" s="208"/>
      <c r="AE655" s="208"/>
      <c r="AF655" s="208"/>
      <c r="AG655" s="208"/>
      <c r="AH655" s="208"/>
      <c r="AI655" s="208"/>
      <c r="AJ655" s="208"/>
      <c r="AK655" s="208"/>
    </row>
    <row r="656">
      <c r="A656" s="208"/>
      <c r="B656" s="208"/>
      <c r="C656" s="208"/>
      <c r="D656" s="208"/>
      <c r="E656" s="208"/>
      <c r="F656" s="208"/>
      <c r="G656" s="208"/>
      <c r="H656" s="233"/>
      <c r="I656" s="234"/>
      <c r="J656" s="208"/>
      <c r="K656" s="208"/>
      <c r="L656" s="208"/>
      <c r="M656" s="208"/>
      <c r="N656" s="208"/>
      <c r="O656" s="208"/>
      <c r="P656" s="208"/>
      <c r="Q656" s="208"/>
      <c r="R656" s="208"/>
      <c r="S656" s="208"/>
      <c r="T656" s="208"/>
      <c r="U656" s="208"/>
      <c r="V656" s="208"/>
      <c r="W656" s="208"/>
      <c r="X656" s="208"/>
      <c r="Y656" s="208"/>
      <c r="Z656" s="208"/>
      <c r="AA656" s="208"/>
      <c r="AB656" s="208"/>
      <c r="AC656" s="208"/>
      <c r="AD656" s="208"/>
      <c r="AE656" s="208"/>
      <c r="AF656" s="208"/>
      <c r="AG656" s="208"/>
      <c r="AH656" s="208"/>
      <c r="AI656" s="208"/>
      <c r="AJ656" s="208"/>
      <c r="AK656" s="208"/>
    </row>
    <row r="657">
      <c r="A657" s="208"/>
      <c r="B657" s="208"/>
      <c r="C657" s="208"/>
      <c r="D657" s="208"/>
      <c r="E657" s="208"/>
      <c r="F657" s="208"/>
      <c r="G657" s="208"/>
      <c r="H657" s="233"/>
      <c r="I657" s="234"/>
      <c r="J657" s="208"/>
      <c r="K657" s="208"/>
      <c r="L657" s="208"/>
      <c r="M657" s="208"/>
      <c r="N657" s="208"/>
      <c r="O657" s="208"/>
      <c r="P657" s="208"/>
      <c r="Q657" s="208"/>
      <c r="R657" s="208"/>
      <c r="S657" s="208"/>
      <c r="T657" s="208"/>
      <c r="U657" s="208"/>
      <c r="V657" s="208"/>
      <c r="W657" s="208"/>
      <c r="X657" s="208"/>
      <c r="Y657" s="208"/>
      <c r="Z657" s="208"/>
      <c r="AA657" s="208"/>
      <c r="AB657" s="208"/>
      <c r="AC657" s="208"/>
      <c r="AD657" s="208"/>
      <c r="AE657" s="208"/>
      <c r="AF657" s="208"/>
      <c r="AG657" s="208"/>
      <c r="AH657" s="208"/>
      <c r="AI657" s="208"/>
      <c r="AJ657" s="208"/>
      <c r="AK657" s="208"/>
    </row>
    <row r="658">
      <c r="A658" s="208"/>
      <c r="B658" s="208"/>
      <c r="C658" s="208"/>
      <c r="D658" s="208"/>
      <c r="E658" s="208"/>
      <c r="F658" s="208"/>
      <c r="G658" s="208"/>
      <c r="H658" s="233"/>
      <c r="I658" s="234"/>
      <c r="J658" s="208"/>
      <c r="K658" s="208"/>
      <c r="L658" s="208"/>
      <c r="M658" s="208"/>
      <c r="N658" s="208"/>
      <c r="O658" s="208"/>
      <c r="P658" s="208"/>
      <c r="Q658" s="208"/>
      <c r="R658" s="208"/>
      <c r="S658" s="208"/>
      <c r="T658" s="208"/>
      <c r="U658" s="208"/>
      <c r="V658" s="208"/>
      <c r="W658" s="208"/>
      <c r="X658" s="208"/>
      <c r="Y658" s="208"/>
      <c r="Z658" s="208"/>
      <c r="AA658" s="208"/>
      <c r="AB658" s="208"/>
      <c r="AC658" s="208"/>
      <c r="AD658" s="208"/>
      <c r="AE658" s="208"/>
      <c r="AF658" s="208"/>
      <c r="AG658" s="208"/>
      <c r="AH658" s="208"/>
      <c r="AI658" s="208"/>
      <c r="AJ658" s="208"/>
      <c r="AK658" s="208"/>
    </row>
    <row r="659">
      <c r="A659" s="208"/>
      <c r="B659" s="208"/>
      <c r="C659" s="208"/>
      <c r="D659" s="208"/>
      <c r="E659" s="208"/>
      <c r="F659" s="208"/>
      <c r="G659" s="208"/>
      <c r="H659" s="233"/>
      <c r="I659" s="234"/>
      <c r="J659" s="208"/>
      <c r="K659" s="208"/>
      <c r="L659" s="208"/>
      <c r="M659" s="208"/>
      <c r="N659" s="208"/>
      <c r="O659" s="208"/>
      <c r="P659" s="208"/>
      <c r="Q659" s="208"/>
      <c r="R659" s="208"/>
      <c r="S659" s="208"/>
      <c r="T659" s="208"/>
      <c r="U659" s="208"/>
      <c r="V659" s="208"/>
      <c r="W659" s="208"/>
      <c r="X659" s="208"/>
      <c r="Y659" s="208"/>
      <c r="Z659" s="208"/>
      <c r="AA659" s="208"/>
      <c r="AB659" s="208"/>
      <c r="AC659" s="208"/>
      <c r="AD659" s="208"/>
      <c r="AE659" s="208"/>
      <c r="AF659" s="208"/>
      <c r="AG659" s="208"/>
      <c r="AH659" s="208"/>
      <c r="AI659" s="208"/>
      <c r="AJ659" s="208"/>
      <c r="AK659" s="208"/>
    </row>
    <row r="660">
      <c r="A660" s="208"/>
      <c r="B660" s="208"/>
      <c r="C660" s="208"/>
      <c r="D660" s="208"/>
      <c r="E660" s="208"/>
      <c r="F660" s="208"/>
      <c r="G660" s="208"/>
      <c r="H660" s="233"/>
      <c r="I660" s="234"/>
      <c r="J660" s="208"/>
      <c r="K660" s="208"/>
      <c r="L660" s="208"/>
      <c r="M660" s="208"/>
      <c r="N660" s="208"/>
      <c r="O660" s="208"/>
      <c r="P660" s="208"/>
      <c r="Q660" s="208"/>
      <c r="R660" s="208"/>
      <c r="S660" s="208"/>
      <c r="T660" s="208"/>
      <c r="U660" s="208"/>
      <c r="V660" s="208"/>
      <c r="W660" s="208"/>
      <c r="X660" s="208"/>
      <c r="Y660" s="208"/>
      <c r="Z660" s="208"/>
      <c r="AA660" s="208"/>
      <c r="AB660" s="208"/>
      <c r="AC660" s="208"/>
      <c r="AD660" s="208"/>
      <c r="AE660" s="208"/>
      <c r="AF660" s="208"/>
      <c r="AG660" s="208"/>
      <c r="AH660" s="208"/>
      <c r="AI660" s="208"/>
      <c r="AJ660" s="208"/>
      <c r="AK660" s="208"/>
    </row>
    <row r="661">
      <c r="A661" s="208"/>
      <c r="B661" s="208"/>
      <c r="C661" s="208"/>
      <c r="D661" s="208"/>
      <c r="E661" s="208"/>
      <c r="F661" s="208"/>
      <c r="G661" s="208"/>
      <c r="H661" s="233"/>
      <c r="I661" s="234"/>
      <c r="J661" s="208"/>
      <c r="K661" s="208"/>
      <c r="L661" s="208"/>
      <c r="M661" s="208"/>
      <c r="N661" s="208"/>
      <c r="O661" s="208"/>
      <c r="P661" s="208"/>
      <c r="Q661" s="208"/>
      <c r="R661" s="208"/>
      <c r="S661" s="208"/>
      <c r="T661" s="208"/>
      <c r="U661" s="208"/>
      <c r="V661" s="208"/>
      <c r="W661" s="208"/>
      <c r="X661" s="208"/>
      <c r="Y661" s="208"/>
      <c r="Z661" s="208"/>
      <c r="AA661" s="208"/>
      <c r="AB661" s="208"/>
      <c r="AC661" s="208"/>
      <c r="AD661" s="208"/>
      <c r="AE661" s="208"/>
      <c r="AF661" s="208"/>
      <c r="AG661" s="208"/>
      <c r="AH661" s="208"/>
      <c r="AI661" s="208"/>
      <c r="AJ661" s="208"/>
      <c r="AK661" s="208"/>
    </row>
    <row r="662">
      <c r="A662" s="208"/>
      <c r="B662" s="208"/>
      <c r="C662" s="208"/>
      <c r="D662" s="208"/>
      <c r="E662" s="208"/>
      <c r="F662" s="208"/>
      <c r="G662" s="208"/>
      <c r="H662" s="233"/>
      <c r="I662" s="234"/>
      <c r="J662" s="208"/>
      <c r="K662" s="208"/>
      <c r="L662" s="208"/>
      <c r="M662" s="208"/>
      <c r="N662" s="208"/>
      <c r="O662" s="208"/>
      <c r="P662" s="208"/>
      <c r="Q662" s="208"/>
      <c r="R662" s="208"/>
      <c r="S662" s="208"/>
      <c r="T662" s="208"/>
      <c r="U662" s="208"/>
      <c r="V662" s="208"/>
      <c r="W662" s="208"/>
      <c r="X662" s="208"/>
      <c r="Y662" s="208"/>
      <c r="Z662" s="208"/>
      <c r="AA662" s="208"/>
      <c r="AB662" s="208"/>
      <c r="AC662" s="208"/>
      <c r="AD662" s="208"/>
      <c r="AE662" s="208"/>
      <c r="AF662" s="208"/>
      <c r="AG662" s="208"/>
      <c r="AH662" s="208"/>
      <c r="AI662" s="208"/>
      <c r="AJ662" s="208"/>
      <c r="AK662" s="208"/>
    </row>
    <row r="663">
      <c r="A663" s="208"/>
      <c r="B663" s="208"/>
      <c r="C663" s="208"/>
      <c r="D663" s="208"/>
      <c r="E663" s="208"/>
      <c r="F663" s="208"/>
      <c r="G663" s="208"/>
      <c r="H663" s="233"/>
      <c r="I663" s="234"/>
      <c r="J663" s="208"/>
      <c r="K663" s="208"/>
      <c r="L663" s="208"/>
      <c r="M663" s="208"/>
      <c r="N663" s="208"/>
      <c r="O663" s="208"/>
      <c r="P663" s="208"/>
      <c r="Q663" s="208"/>
      <c r="R663" s="208"/>
      <c r="S663" s="208"/>
      <c r="T663" s="208"/>
      <c r="U663" s="208"/>
      <c r="V663" s="208"/>
      <c r="W663" s="208"/>
      <c r="X663" s="208"/>
      <c r="Y663" s="208"/>
      <c r="Z663" s="208"/>
      <c r="AA663" s="208"/>
      <c r="AB663" s="208"/>
      <c r="AC663" s="208"/>
      <c r="AD663" s="208"/>
      <c r="AE663" s="208"/>
      <c r="AF663" s="208"/>
      <c r="AG663" s="208"/>
      <c r="AH663" s="208"/>
      <c r="AI663" s="208"/>
      <c r="AJ663" s="208"/>
      <c r="AK663" s="208"/>
    </row>
    <row r="664">
      <c r="A664" s="208"/>
      <c r="B664" s="208"/>
      <c r="C664" s="208"/>
      <c r="D664" s="208"/>
      <c r="E664" s="208"/>
      <c r="F664" s="208"/>
      <c r="G664" s="208"/>
      <c r="H664" s="233"/>
      <c r="I664" s="234"/>
      <c r="J664" s="208"/>
      <c r="K664" s="208"/>
      <c r="L664" s="208"/>
      <c r="M664" s="208"/>
      <c r="N664" s="208"/>
      <c r="O664" s="208"/>
      <c r="P664" s="208"/>
      <c r="Q664" s="208"/>
      <c r="R664" s="208"/>
      <c r="S664" s="208"/>
      <c r="T664" s="208"/>
      <c r="U664" s="208"/>
      <c r="V664" s="208"/>
      <c r="W664" s="208"/>
      <c r="X664" s="208"/>
      <c r="Y664" s="208"/>
      <c r="Z664" s="208"/>
      <c r="AA664" s="208"/>
      <c r="AB664" s="208"/>
      <c r="AC664" s="208"/>
      <c r="AD664" s="208"/>
      <c r="AE664" s="208"/>
      <c r="AF664" s="208"/>
      <c r="AG664" s="208"/>
      <c r="AH664" s="208"/>
      <c r="AI664" s="208"/>
      <c r="AJ664" s="208"/>
      <c r="AK664" s="208"/>
    </row>
    <row r="665">
      <c r="A665" s="208"/>
      <c r="B665" s="208"/>
      <c r="C665" s="208"/>
      <c r="D665" s="208"/>
      <c r="E665" s="208"/>
      <c r="F665" s="208"/>
      <c r="G665" s="208"/>
      <c r="H665" s="233"/>
      <c r="I665" s="234"/>
      <c r="J665" s="208"/>
      <c r="K665" s="208"/>
      <c r="L665" s="208"/>
      <c r="M665" s="208"/>
      <c r="N665" s="208"/>
      <c r="O665" s="208"/>
      <c r="P665" s="208"/>
      <c r="Q665" s="208"/>
      <c r="R665" s="208"/>
      <c r="S665" s="208"/>
      <c r="T665" s="208"/>
      <c r="U665" s="208"/>
      <c r="V665" s="208"/>
      <c r="W665" s="208"/>
      <c r="X665" s="208"/>
      <c r="Y665" s="208"/>
      <c r="Z665" s="208"/>
      <c r="AA665" s="208"/>
      <c r="AB665" s="208"/>
      <c r="AC665" s="208"/>
      <c r="AD665" s="208"/>
      <c r="AE665" s="208"/>
      <c r="AF665" s="208"/>
      <c r="AG665" s="208"/>
      <c r="AH665" s="208"/>
      <c r="AI665" s="208"/>
      <c r="AJ665" s="208"/>
      <c r="AK665" s="208"/>
    </row>
    <row r="666">
      <c r="A666" s="208"/>
      <c r="B666" s="208"/>
      <c r="C666" s="208"/>
      <c r="D666" s="208"/>
      <c r="E666" s="208"/>
      <c r="F666" s="208"/>
      <c r="G666" s="208"/>
      <c r="H666" s="233"/>
      <c r="I666" s="234"/>
      <c r="J666" s="208"/>
      <c r="K666" s="208"/>
      <c r="L666" s="208"/>
      <c r="M666" s="208"/>
      <c r="N666" s="208"/>
      <c r="O666" s="208"/>
      <c r="P666" s="208"/>
      <c r="Q666" s="208"/>
      <c r="R666" s="208"/>
      <c r="S666" s="208"/>
      <c r="T666" s="208"/>
      <c r="U666" s="208"/>
      <c r="V666" s="208"/>
      <c r="W666" s="208"/>
      <c r="X666" s="208"/>
      <c r="Y666" s="208"/>
      <c r="Z666" s="208"/>
      <c r="AA666" s="208"/>
      <c r="AB666" s="208"/>
      <c r="AC666" s="208"/>
      <c r="AD666" s="208"/>
      <c r="AE666" s="208"/>
      <c r="AF666" s="208"/>
      <c r="AG666" s="208"/>
      <c r="AH666" s="208"/>
      <c r="AI666" s="208"/>
      <c r="AJ666" s="208"/>
      <c r="AK666" s="208"/>
    </row>
    <row r="667">
      <c r="A667" s="208"/>
      <c r="B667" s="208"/>
      <c r="C667" s="208"/>
      <c r="D667" s="208"/>
      <c r="E667" s="208"/>
      <c r="F667" s="208"/>
      <c r="G667" s="208"/>
      <c r="H667" s="233"/>
      <c r="I667" s="234"/>
      <c r="J667" s="208"/>
      <c r="K667" s="208"/>
      <c r="L667" s="208"/>
      <c r="M667" s="208"/>
      <c r="N667" s="208"/>
      <c r="O667" s="208"/>
      <c r="P667" s="208"/>
      <c r="Q667" s="208"/>
      <c r="R667" s="208"/>
      <c r="S667" s="208"/>
      <c r="T667" s="208"/>
      <c r="U667" s="208"/>
      <c r="V667" s="208"/>
      <c r="W667" s="208"/>
      <c r="X667" s="208"/>
      <c r="Y667" s="208"/>
      <c r="Z667" s="208"/>
      <c r="AA667" s="208"/>
      <c r="AB667" s="208"/>
      <c r="AC667" s="208"/>
      <c r="AD667" s="208"/>
      <c r="AE667" s="208"/>
      <c r="AF667" s="208"/>
      <c r="AG667" s="208"/>
      <c r="AH667" s="208"/>
      <c r="AI667" s="208"/>
      <c r="AJ667" s="208"/>
      <c r="AK667" s="208"/>
    </row>
    <row r="668">
      <c r="A668" s="208"/>
      <c r="B668" s="208"/>
      <c r="C668" s="208"/>
      <c r="D668" s="208"/>
      <c r="E668" s="208"/>
      <c r="F668" s="208"/>
      <c r="G668" s="208"/>
      <c r="H668" s="233"/>
      <c r="I668" s="234"/>
      <c r="J668" s="208"/>
      <c r="K668" s="208"/>
      <c r="L668" s="208"/>
      <c r="M668" s="208"/>
      <c r="N668" s="208"/>
      <c r="O668" s="208"/>
      <c r="P668" s="208"/>
      <c r="Q668" s="208"/>
      <c r="R668" s="208"/>
      <c r="S668" s="208"/>
      <c r="T668" s="208"/>
      <c r="U668" s="208"/>
      <c r="V668" s="208"/>
      <c r="W668" s="208"/>
      <c r="X668" s="208"/>
      <c r="Y668" s="208"/>
      <c r="Z668" s="208"/>
      <c r="AA668" s="208"/>
      <c r="AB668" s="208"/>
      <c r="AC668" s="208"/>
      <c r="AD668" s="208"/>
      <c r="AE668" s="208"/>
      <c r="AF668" s="208"/>
      <c r="AG668" s="208"/>
      <c r="AH668" s="208"/>
      <c r="AI668" s="208"/>
      <c r="AJ668" s="208"/>
      <c r="AK668" s="208"/>
    </row>
    <row r="669">
      <c r="A669" s="208"/>
      <c r="B669" s="208"/>
      <c r="C669" s="208"/>
      <c r="D669" s="208"/>
      <c r="E669" s="208"/>
      <c r="F669" s="208"/>
      <c r="G669" s="208"/>
      <c r="H669" s="233"/>
      <c r="I669" s="234"/>
      <c r="J669" s="208"/>
      <c r="K669" s="208"/>
      <c r="L669" s="208"/>
      <c r="M669" s="208"/>
      <c r="N669" s="208"/>
      <c r="O669" s="208"/>
      <c r="P669" s="208"/>
      <c r="Q669" s="208"/>
      <c r="R669" s="208"/>
      <c r="S669" s="208"/>
      <c r="T669" s="208"/>
      <c r="U669" s="208"/>
      <c r="V669" s="208"/>
      <c r="W669" s="208"/>
      <c r="X669" s="208"/>
      <c r="Y669" s="208"/>
      <c r="Z669" s="208"/>
      <c r="AA669" s="208"/>
      <c r="AB669" s="208"/>
      <c r="AC669" s="208"/>
      <c r="AD669" s="208"/>
      <c r="AE669" s="208"/>
      <c r="AF669" s="208"/>
      <c r="AG669" s="208"/>
      <c r="AH669" s="208"/>
      <c r="AI669" s="208"/>
      <c r="AJ669" s="208"/>
      <c r="AK669" s="208"/>
    </row>
    <row r="670">
      <c r="A670" s="208"/>
      <c r="B670" s="208"/>
      <c r="C670" s="208"/>
      <c r="D670" s="208"/>
      <c r="E670" s="208"/>
      <c r="F670" s="208"/>
      <c r="G670" s="208"/>
      <c r="H670" s="233"/>
      <c r="I670" s="234"/>
      <c r="J670" s="208"/>
      <c r="K670" s="208"/>
      <c r="L670" s="208"/>
      <c r="M670" s="208"/>
      <c r="N670" s="208"/>
      <c r="O670" s="208"/>
      <c r="P670" s="208"/>
      <c r="Q670" s="208"/>
      <c r="R670" s="208"/>
      <c r="S670" s="208"/>
      <c r="T670" s="208"/>
      <c r="U670" s="208"/>
      <c r="V670" s="208"/>
      <c r="W670" s="208"/>
      <c r="X670" s="208"/>
      <c r="Y670" s="208"/>
      <c r="Z670" s="208"/>
      <c r="AA670" s="208"/>
      <c r="AB670" s="208"/>
      <c r="AC670" s="208"/>
      <c r="AD670" s="208"/>
      <c r="AE670" s="208"/>
      <c r="AF670" s="208"/>
      <c r="AG670" s="208"/>
      <c r="AH670" s="208"/>
      <c r="AI670" s="208"/>
      <c r="AJ670" s="208"/>
      <c r="AK670" s="208"/>
    </row>
    <row r="671">
      <c r="A671" s="208"/>
      <c r="B671" s="208"/>
      <c r="C671" s="208"/>
      <c r="D671" s="208"/>
      <c r="E671" s="208"/>
      <c r="F671" s="208"/>
      <c r="G671" s="208"/>
      <c r="H671" s="233"/>
      <c r="I671" s="234"/>
      <c r="J671" s="208"/>
      <c r="K671" s="208"/>
      <c r="L671" s="208"/>
      <c r="M671" s="208"/>
      <c r="N671" s="208"/>
      <c r="O671" s="208"/>
      <c r="P671" s="208"/>
      <c r="Q671" s="208"/>
      <c r="R671" s="208"/>
      <c r="S671" s="208"/>
      <c r="T671" s="208"/>
      <c r="U671" s="208"/>
      <c r="V671" s="208"/>
      <c r="W671" s="208"/>
      <c r="X671" s="208"/>
      <c r="Y671" s="208"/>
      <c r="Z671" s="208"/>
      <c r="AA671" s="208"/>
      <c r="AB671" s="208"/>
      <c r="AC671" s="208"/>
      <c r="AD671" s="208"/>
      <c r="AE671" s="208"/>
      <c r="AF671" s="208"/>
      <c r="AG671" s="208"/>
      <c r="AH671" s="208"/>
      <c r="AI671" s="208"/>
      <c r="AJ671" s="208"/>
      <c r="AK671" s="208"/>
    </row>
    <row r="672">
      <c r="A672" s="208"/>
      <c r="B672" s="208"/>
      <c r="C672" s="208"/>
      <c r="D672" s="208"/>
      <c r="E672" s="208"/>
      <c r="F672" s="208"/>
      <c r="G672" s="208"/>
      <c r="H672" s="233"/>
      <c r="I672" s="234"/>
      <c r="J672" s="208"/>
      <c r="K672" s="208"/>
      <c r="L672" s="208"/>
      <c r="M672" s="208"/>
      <c r="N672" s="208"/>
      <c r="O672" s="208"/>
      <c r="P672" s="208"/>
      <c r="Q672" s="208"/>
      <c r="R672" s="208"/>
      <c r="S672" s="208"/>
      <c r="T672" s="208"/>
      <c r="U672" s="208"/>
      <c r="V672" s="208"/>
      <c r="W672" s="208"/>
      <c r="X672" s="208"/>
      <c r="Y672" s="208"/>
      <c r="Z672" s="208"/>
      <c r="AA672" s="208"/>
      <c r="AB672" s="208"/>
      <c r="AC672" s="208"/>
      <c r="AD672" s="208"/>
      <c r="AE672" s="208"/>
      <c r="AF672" s="208"/>
      <c r="AG672" s="208"/>
      <c r="AH672" s="208"/>
      <c r="AI672" s="208"/>
      <c r="AJ672" s="208"/>
      <c r="AK672" s="208"/>
    </row>
    <row r="673">
      <c r="A673" s="208"/>
      <c r="B673" s="208"/>
      <c r="C673" s="208"/>
      <c r="D673" s="208"/>
      <c r="E673" s="208"/>
      <c r="F673" s="208"/>
      <c r="G673" s="208"/>
      <c r="H673" s="233"/>
      <c r="I673" s="234"/>
      <c r="J673" s="208"/>
      <c r="K673" s="208"/>
      <c r="L673" s="208"/>
      <c r="M673" s="208"/>
      <c r="N673" s="208"/>
      <c r="O673" s="208"/>
      <c r="P673" s="208"/>
      <c r="Q673" s="208"/>
      <c r="R673" s="208"/>
      <c r="S673" s="208"/>
      <c r="T673" s="208"/>
      <c r="U673" s="208"/>
      <c r="V673" s="208"/>
      <c r="W673" s="208"/>
      <c r="X673" s="208"/>
      <c r="Y673" s="208"/>
      <c r="Z673" s="208"/>
      <c r="AA673" s="208"/>
      <c r="AB673" s="208"/>
      <c r="AC673" s="208"/>
      <c r="AD673" s="208"/>
      <c r="AE673" s="208"/>
      <c r="AF673" s="208"/>
      <c r="AG673" s="208"/>
      <c r="AH673" s="208"/>
      <c r="AI673" s="208"/>
      <c r="AJ673" s="208"/>
      <c r="AK673" s="208"/>
    </row>
    <row r="674">
      <c r="A674" s="208"/>
      <c r="B674" s="208"/>
      <c r="C674" s="208"/>
      <c r="D674" s="208"/>
      <c r="E674" s="208"/>
      <c r="F674" s="208"/>
      <c r="G674" s="208"/>
      <c r="H674" s="233"/>
      <c r="I674" s="234"/>
      <c r="J674" s="208"/>
      <c r="K674" s="208"/>
      <c r="L674" s="208"/>
      <c r="M674" s="208"/>
      <c r="N674" s="208"/>
      <c r="O674" s="208"/>
      <c r="P674" s="208"/>
      <c r="Q674" s="208"/>
      <c r="R674" s="208"/>
      <c r="S674" s="208"/>
      <c r="T674" s="208"/>
      <c r="U674" s="208"/>
      <c r="V674" s="208"/>
      <c r="W674" s="208"/>
      <c r="X674" s="208"/>
      <c r="Y674" s="208"/>
      <c r="Z674" s="208"/>
      <c r="AA674" s="208"/>
      <c r="AB674" s="208"/>
      <c r="AC674" s="208"/>
      <c r="AD674" s="208"/>
      <c r="AE674" s="208"/>
      <c r="AF674" s="208"/>
      <c r="AG674" s="208"/>
      <c r="AH674" s="208"/>
      <c r="AI674" s="208"/>
      <c r="AJ674" s="208"/>
      <c r="AK674" s="208"/>
    </row>
    <row r="675">
      <c r="A675" s="208"/>
      <c r="B675" s="208"/>
      <c r="C675" s="208"/>
      <c r="D675" s="208"/>
      <c r="E675" s="208"/>
      <c r="F675" s="208"/>
      <c r="G675" s="208"/>
      <c r="H675" s="233"/>
      <c r="I675" s="234"/>
      <c r="J675" s="208"/>
      <c r="K675" s="208"/>
      <c r="L675" s="208"/>
      <c r="M675" s="208"/>
      <c r="N675" s="208"/>
      <c r="O675" s="208"/>
      <c r="P675" s="208"/>
      <c r="Q675" s="208"/>
      <c r="R675" s="208"/>
      <c r="S675" s="208"/>
      <c r="T675" s="208"/>
      <c r="U675" s="208"/>
      <c r="V675" s="208"/>
      <c r="W675" s="208"/>
      <c r="X675" s="208"/>
      <c r="Y675" s="208"/>
      <c r="Z675" s="208"/>
      <c r="AA675" s="208"/>
      <c r="AB675" s="208"/>
      <c r="AC675" s="208"/>
      <c r="AD675" s="208"/>
      <c r="AE675" s="208"/>
      <c r="AF675" s="208"/>
      <c r="AG675" s="208"/>
      <c r="AH675" s="208"/>
      <c r="AI675" s="208"/>
      <c r="AJ675" s="208"/>
      <c r="AK675" s="208"/>
    </row>
    <row r="676">
      <c r="A676" s="208"/>
      <c r="B676" s="208"/>
      <c r="C676" s="208"/>
      <c r="D676" s="208"/>
      <c r="E676" s="208"/>
      <c r="F676" s="208"/>
      <c r="G676" s="208"/>
      <c r="H676" s="233"/>
      <c r="I676" s="234"/>
      <c r="J676" s="208"/>
      <c r="K676" s="208"/>
      <c r="L676" s="208"/>
      <c r="M676" s="208"/>
      <c r="N676" s="208"/>
      <c r="O676" s="208"/>
      <c r="P676" s="208"/>
      <c r="Q676" s="208"/>
      <c r="R676" s="208"/>
      <c r="S676" s="208"/>
      <c r="T676" s="208"/>
      <c r="U676" s="208"/>
      <c r="V676" s="208"/>
      <c r="W676" s="208"/>
      <c r="X676" s="208"/>
      <c r="Y676" s="208"/>
      <c r="Z676" s="208"/>
      <c r="AA676" s="208"/>
      <c r="AB676" s="208"/>
      <c r="AC676" s="208"/>
      <c r="AD676" s="208"/>
      <c r="AE676" s="208"/>
      <c r="AF676" s="208"/>
      <c r="AG676" s="208"/>
      <c r="AH676" s="208"/>
      <c r="AI676" s="208"/>
      <c r="AJ676" s="208"/>
      <c r="AK676" s="208"/>
    </row>
    <row r="677">
      <c r="A677" s="208"/>
      <c r="B677" s="208"/>
      <c r="C677" s="208"/>
      <c r="D677" s="208"/>
      <c r="E677" s="208"/>
      <c r="F677" s="208"/>
      <c r="G677" s="208"/>
      <c r="H677" s="233"/>
      <c r="I677" s="234"/>
      <c r="J677" s="208"/>
      <c r="K677" s="208"/>
      <c r="L677" s="208"/>
      <c r="M677" s="208"/>
      <c r="N677" s="208"/>
      <c r="O677" s="208"/>
      <c r="P677" s="208"/>
      <c r="Q677" s="208"/>
      <c r="R677" s="208"/>
      <c r="S677" s="208"/>
      <c r="T677" s="208"/>
      <c r="U677" s="208"/>
      <c r="V677" s="208"/>
      <c r="W677" s="208"/>
      <c r="X677" s="208"/>
      <c r="Y677" s="208"/>
      <c r="Z677" s="208"/>
      <c r="AA677" s="208"/>
      <c r="AB677" s="208"/>
      <c r="AC677" s="208"/>
      <c r="AD677" s="208"/>
      <c r="AE677" s="208"/>
      <c r="AF677" s="208"/>
      <c r="AG677" s="208"/>
      <c r="AH677" s="208"/>
      <c r="AI677" s="208"/>
      <c r="AJ677" s="208"/>
      <c r="AK677" s="208"/>
    </row>
    <row r="678">
      <c r="A678" s="208"/>
      <c r="B678" s="208"/>
      <c r="C678" s="208"/>
      <c r="D678" s="208"/>
      <c r="E678" s="208"/>
      <c r="F678" s="208"/>
      <c r="G678" s="208"/>
      <c r="H678" s="233"/>
      <c r="I678" s="234"/>
      <c r="J678" s="208"/>
      <c r="K678" s="208"/>
      <c r="L678" s="208"/>
      <c r="M678" s="208"/>
      <c r="N678" s="208"/>
      <c r="O678" s="208"/>
      <c r="P678" s="208"/>
      <c r="Q678" s="208"/>
      <c r="R678" s="208"/>
      <c r="S678" s="208"/>
      <c r="T678" s="208"/>
      <c r="U678" s="208"/>
      <c r="V678" s="208"/>
      <c r="W678" s="208"/>
      <c r="X678" s="208"/>
      <c r="Y678" s="208"/>
      <c r="Z678" s="208"/>
      <c r="AA678" s="208"/>
      <c r="AB678" s="208"/>
      <c r="AC678" s="208"/>
      <c r="AD678" s="208"/>
      <c r="AE678" s="208"/>
      <c r="AF678" s="208"/>
      <c r="AG678" s="208"/>
      <c r="AH678" s="208"/>
      <c r="AI678" s="208"/>
      <c r="AJ678" s="208"/>
      <c r="AK678" s="208"/>
    </row>
    <row r="679">
      <c r="A679" s="208"/>
      <c r="B679" s="208"/>
      <c r="C679" s="208"/>
      <c r="D679" s="208"/>
      <c r="E679" s="208"/>
      <c r="F679" s="208"/>
      <c r="G679" s="208"/>
      <c r="H679" s="233"/>
      <c r="I679" s="234"/>
      <c r="J679" s="208"/>
      <c r="K679" s="208"/>
      <c r="L679" s="208"/>
      <c r="M679" s="208"/>
      <c r="N679" s="208"/>
      <c r="O679" s="208"/>
      <c r="P679" s="208"/>
      <c r="Q679" s="208"/>
      <c r="R679" s="208"/>
      <c r="S679" s="208"/>
      <c r="T679" s="208"/>
      <c r="U679" s="208"/>
      <c r="V679" s="208"/>
      <c r="W679" s="208"/>
      <c r="X679" s="208"/>
      <c r="Y679" s="208"/>
      <c r="Z679" s="208"/>
      <c r="AA679" s="208"/>
      <c r="AB679" s="208"/>
      <c r="AC679" s="208"/>
      <c r="AD679" s="208"/>
      <c r="AE679" s="208"/>
      <c r="AF679" s="208"/>
      <c r="AG679" s="208"/>
      <c r="AH679" s="208"/>
      <c r="AI679" s="208"/>
      <c r="AJ679" s="208"/>
      <c r="AK679" s="208"/>
    </row>
    <row r="680">
      <c r="A680" s="208"/>
      <c r="B680" s="208"/>
      <c r="C680" s="208"/>
      <c r="D680" s="208"/>
      <c r="E680" s="208"/>
      <c r="F680" s="208"/>
      <c r="G680" s="208"/>
      <c r="H680" s="233"/>
      <c r="I680" s="234"/>
      <c r="J680" s="208"/>
      <c r="K680" s="208"/>
      <c r="L680" s="208"/>
      <c r="M680" s="208"/>
      <c r="N680" s="208"/>
      <c r="O680" s="208"/>
      <c r="P680" s="208"/>
      <c r="Q680" s="208"/>
      <c r="R680" s="208"/>
      <c r="S680" s="208"/>
      <c r="T680" s="208"/>
      <c r="U680" s="208"/>
      <c r="V680" s="208"/>
      <c r="W680" s="208"/>
      <c r="X680" s="208"/>
      <c r="Y680" s="208"/>
      <c r="Z680" s="208"/>
      <c r="AA680" s="208"/>
      <c r="AB680" s="208"/>
      <c r="AC680" s="208"/>
      <c r="AD680" s="208"/>
      <c r="AE680" s="208"/>
      <c r="AF680" s="208"/>
      <c r="AG680" s="208"/>
      <c r="AH680" s="208"/>
      <c r="AI680" s="208"/>
      <c r="AJ680" s="208"/>
      <c r="AK680" s="208"/>
    </row>
    <row r="681">
      <c r="A681" s="208"/>
      <c r="B681" s="208"/>
      <c r="C681" s="208"/>
      <c r="D681" s="208"/>
      <c r="E681" s="208"/>
      <c r="F681" s="208"/>
      <c r="G681" s="208"/>
      <c r="H681" s="233"/>
      <c r="I681" s="234"/>
      <c r="J681" s="208"/>
      <c r="K681" s="208"/>
      <c r="L681" s="208"/>
      <c r="M681" s="208"/>
      <c r="N681" s="208"/>
      <c r="O681" s="208"/>
      <c r="P681" s="208"/>
      <c r="Q681" s="208"/>
      <c r="R681" s="208"/>
      <c r="S681" s="208"/>
      <c r="T681" s="208"/>
      <c r="U681" s="208"/>
      <c r="V681" s="208"/>
      <c r="W681" s="208"/>
      <c r="X681" s="208"/>
      <c r="Y681" s="208"/>
      <c r="Z681" s="208"/>
      <c r="AA681" s="208"/>
      <c r="AB681" s="208"/>
      <c r="AC681" s="208"/>
      <c r="AD681" s="208"/>
      <c r="AE681" s="208"/>
      <c r="AF681" s="208"/>
      <c r="AG681" s="208"/>
      <c r="AH681" s="208"/>
      <c r="AI681" s="208"/>
      <c r="AJ681" s="208"/>
      <c r="AK681" s="208"/>
    </row>
    <row r="682">
      <c r="A682" s="208"/>
      <c r="B682" s="208"/>
      <c r="C682" s="208"/>
      <c r="D682" s="208"/>
      <c r="E682" s="208"/>
      <c r="F682" s="208"/>
      <c r="G682" s="208"/>
      <c r="H682" s="233"/>
      <c r="I682" s="234"/>
      <c r="J682" s="208"/>
      <c r="K682" s="208"/>
      <c r="L682" s="208"/>
      <c r="M682" s="208"/>
      <c r="N682" s="208"/>
      <c r="O682" s="208"/>
      <c r="P682" s="208"/>
      <c r="Q682" s="208"/>
      <c r="R682" s="208"/>
      <c r="S682" s="208"/>
      <c r="T682" s="208"/>
      <c r="U682" s="208"/>
      <c r="V682" s="208"/>
      <c r="W682" s="208"/>
      <c r="X682" s="208"/>
      <c r="Y682" s="208"/>
      <c r="Z682" s="208"/>
      <c r="AA682" s="208"/>
      <c r="AB682" s="208"/>
      <c r="AC682" s="208"/>
      <c r="AD682" s="208"/>
      <c r="AE682" s="208"/>
      <c r="AF682" s="208"/>
      <c r="AG682" s="208"/>
      <c r="AH682" s="208"/>
      <c r="AI682" s="208"/>
      <c r="AJ682" s="208"/>
      <c r="AK682" s="208"/>
    </row>
    <row r="683">
      <c r="A683" s="208"/>
      <c r="B683" s="208"/>
      <c r="C683" s="208"/>
      <c r="D683" s="208"/>
      <c r="E683" s="208"/>
      <c r="F683" s="208"/>
      <c r="G683" s="208"/>
      <c r="H683" s="233"/>
      <c r="I683" s="234"/>
      <c r="J683" s="208"/>
      <c r="K683" s="208"/>
      <c r="L683" s="208"/>
      <c r="M683" s="208"/>
      <c r="N683" s="208"/>
      <c r="O683" s="208"/>
      <c r="P683" s="208"/>
      <c r="Q683" s="208"/>
      <c r="R683" s="208"/>
      <c r="S683" s="208"/>
      <c r="T683" s="208"/>
      <c r="U683" s="208"/>
      <c r="V683" s="208"/>
      <c r="W683" s="208"/>
      <c r="X683" s="208"/>
      <c r="Y683" s="208"/>
      <c r="Z683" s="208"/>
      <c r="AA683" s="208"/>
      <c r="AB683" s="208"/>
      <c r="AC683" s="208"/>
      <c r="AD683" s="208"/>
      <c r="AE683" s="208"/>
      <c r="AF683" s="208"/>
      <c r="AG683" s="208"/>
      <c r="AH683" s="208"/>
      <c r="AI683" s="208"/>
      <c r="AJ683" s="208"/>
      <c r="AK683" s="208"/>
    </row>
    <row r="684">
      <c r="A684" s="208"/>
      <c r="B684" s="208"/>
      <c r="C684" s="208"/>
      <c r="D684" s="208"/>
      <c r="E684" s="208"/>
      <c r="F684" s="208"/>
      <c r="G684" s="208"/>
      <c r="H684" s="233"/>
      <c r="I684" s="234"/>
      <c r="J684" s="208"/>
      <c r="K684" s="208"/>
      <c r="L684" s="208"/>
      <c r="M684" s="208"/>
      <c r="N684" s="208"/>
      <c r="O684" s="208"/>
      <c r="P684" s="208"/>
      <c r="Q684" s="208"/>
      <c r="R684" s="208"/>
      <c r="S684" s="208"/>
      <c r="T684" s="208"/>
      <c r="U684" s="208"/>
      <c r="V684" s="208"/>
      <c r="W684" s="208"/>
      <c r="X684" s="208"/>
      <c r="Y684" s="208"/>
      <c r="Z684" s="208"/>
      <c r="AA684" s="208"/>
      <c r="AB684" s="208"/>
      <c r="AC684" s="208"/>
      <c r="AD684" s="208"/>
      <c r="AE684" s="208"/>
      <c r="AF684" s="208"/>
      <c r="AG684" s="208"/>
      <c r="AH684" s="208"/>
      <c r="AI684" s="208"/>
      <c r="AJ684" s="208"/>
      <c r="AK684" s="208"/>
    </row>
    <row r="685">
      <c r="A685" s="208"/>
      <c r="B685" s="208"/>
      <c r="C685" s="208"/>
      <c r="D685" s="208"/>
      <c r="E685" s="208"/>
      <c r="F685" s="208"/>
      <c r="G685" s="208"/>
      <c r="H685" s="233"/>
      <c r="I685" s="234"/>
      <c r="J685" s="208"/>
      <c r="K685" s="208"/>
      <c r="L685" s="208"/>
      <c r="M685" s="208"/>
      <c r="N685" s="208"/>
      <c r="O685" s="208"/>
      <c r="P685" s="208"/>
      <c r="Q685" s="208"/>
      <c r="R685" s="208"/>
      <c r="S685" s="208"/>
      <c r="T685" s="208"/>
      <c r="U685" s="208"/>
      <c r="V685" s="208"/>
      <c r="W685" s="208"/>
      <c r="X685" s="208"/>
      <c r="Y685" s="208"/>
      <c r="Z685" s="208"/>
      <c r="AA685" s="208"/>
      <c r="AB685" s="208"/>
      <c r="AC685" s="208"/>
      <c r="AD685" s="208"/>
      <c r="AE685" s="208"/>
      <c r="AF685" s="208"/>
      <c r="AG685" s="208"/>
      <c r="AH685" s="208"/>
      <c r="AI685" s="208"/>
      <c r="AJ685" s="208"/>
      <c r="AK685" s="208"/>
    </row>
    <row r="686">
      <c r="A686" s="208"/>
      <c r="B686" s="208"/>
      <c r="C686" s="208"/>
      <c r="D686" s="208"/>
      <c r="E686" s="208"/>
      <c r="F686" s="208"/>
      <c r="G686" s="208"/>
      <c r="H686" s="233"/>
      <c r="I686" s="234"/>
      <c r="J686" s="208"/>
      <c r="K686" s="208"/>
      <c r="L686" s="208"/>
      <c r="M686" s="208"/>
      <c r="N686" s="208"/>
      <c r="O686" s="208"/>
      <c r="P686" s="208"/>
      <c r="Q686" s="208"/>
      <c r="R686" s="208"/>
      <c r="S686" s="208"/>
      <c r="T686" s="208"/>
      <c r="U686" s="208"/>
      <c r="V686" s="208"/>
      <c r="W686" s="208"/>
      <c r="X686" s="208"/>
      <c r="Y686" s="208"/>
      <c r="Z686" s="208"/>
      <c r="AA686" s="208"/>
      <c r="AB686" s="208"/>
      <c r="AC686" s="208"/>
      <c r="AD686" s="208"/>
      <c r="AE686" s="208"/>
      <c r="AF686" s="208"/>
      <c r="AG686" s="208"/>
      <c r="AH686" s="208"/>
      <c r="AI686" s="208"/>
      <c r="AJ686" s="208"/>
      <c r="AK686" s="208"/>
    </row>
    <row r="687">
      <c r="A687" s="208"/>
      <c r="B687" s="208"/>
      <c r="C687" s="208"/>
      <c r="D687" s="208"/>
      <c r="E687" s="208"/>
      <c r="F687" s="208"/>
      <c r="G687" s="208"/>
      <c r="H687" s="233"/>
      <c r="I687" s="234"/>
      <c r="J687" s="208"/>
      <c r="K687" s="208"/>
      <c r="L687" s="208"/>
      <c r="M687" s="208"/>
      <c r="N687" s="208"/>
      <c r="O687" s="208"/>
      <c r="P687" s="208"/>
      <c r="Q687" s="208"/>
      <c r="R687" s="208"/>
      <c r="S687" s="208"/>
      <c r="T687" s="208"/>
      <c r="U687" s="208"/>
      <c r="V687" s="208"/>
      <c r="W687" s="208"/>
      <c r="X687" s="208"/>
      <c r="Y687" s="208"/>
      <c r="Z687" s="208"/>
      <c r="AA687" s="208"/>
      <c r="AB687" s="208"/>
      <c r="AC687" s="208"/>
      <c r="AD687" s="208"/>
      <c r="AE687" s="208"/>
      <c r="AF687" s="208"/>
      <c r="AG687" s="208"/>
      <c r="AH687" s="208"/>
      <c r="AI687" s="208"/>
      <c r="AJ687" s="208"/>
      <c r="AK687" s="208"/>
    </row>
    <row r="688">
      <c r="A688" s="208"/>
      <c r="B688" s="208"/>
      <c r="C688" s="208"/>
      <c r="D688" s="208"/>
      <c r="E688" s="208"/>
      <c r="F688" s="208"/>
      <c r="G688" s="208"/>
      <c r="H688" s="233"/>
      <c r="I688" s="234"/>
      <c r="J688" s="208"/>
      <c r="K688" s="208"/>
      <c r="L688" s="208"/>
      <c r="M688" s="208"/>
      <c r="N688" s="208"/>
      <c r="O688" s="208"/>
      <c r="P688" s="208"/>
      <c r="Q688" s="208"/>
      <c r="R688" s="208"/>
      <c r="S688" s="208"/>
      <c r="T688" s="208"/>
      <c r="U688" s="208"/>
      <c r="V688" s="208"/>
      <c r="W688" s="208"/>
      <c r="X688" s="208"/>
      <c r="Y688" s="208"/>
      <c r="Z688" s="208"/>
      <c r="AA688" s="208"/>
      <c r="AB688" s="208"/>
      <c r="AC688" s="208"/>
      <c r="AD688" s="208"/>
      <c r="AE688" s="208"/>
      <c r="AF688" s="208"/>
      <c r="AG688" s="208"/>
      <c r="AH688" s="208"/>
      <c r="AI688" s="208"/>
      <c r="AJ688" s="208"/>
      <c r="AK688" s="208"/>
    </row>
    <row r="689">
      <c r="A689" s="208"/>
      <c r="B689" s="208"/>
      <c r="C689" s="208"/>
      <c r="D689" s="208"/>
      <c r="E689" s="208"/>
      <c r="F689" s="208"/>
      <c r="G689" s="208"/>
      <c r="H689" s="233"/>
      <c r="I689" s="234"/>
      <c r="J689" s="208"/>
      <c r="K689" s="208"/>
      <c r="L689" s="208"/>
      <c r="M689" s="208"/>
      <c r="N689" s="208"/>
      <c r="O689" s="208"/>
      <c r="P689" s="208"/>
      <c r="Q689" s="208"/>
      <c r="R689" s="208"/>
      <c r="S689" s="208"/>
      <c r="T689" s="208"/>
      <c r="U689" s="208"/>
      <c r="V689" s="208"/>
      <c r="W689" s="208"/>
      <c r="X689" s="208"/>
      <c r="Y689" s="208"/>
      <c r="Z689" s="208"/>
      <c r="AA689" s="208"/>
      <c r="AB689" s="208"/>
      <c r="AC689" s="208"/>
      <c r="AD689" s="208"/>
      <c r="AE689" s="208"/>
      <c r="AF689" s="208"/>
      <c r="AG689" s="208"/>
      <c r="AH689" s="208"/>
      <c r="AI689" s="208"/>
      <c r="AJ689" s="208"/>
      <c r="AK689" s="208"/>
    </row>
    <row r="690">
      <c r="A690" s="208"/>
      <c r="B690" s="208"/>
      <c r="C690" s="208"/>
      <c r="D690" s="208"/>
      <c r="E690" s="208"/>
      <c r="F690" s="208"/>
      <c r="G690" s="208"/>
      <c r="H690" s="233"/>
      <c r="I690" s="234"/>
      <c r="J690" s="208"/>
      <c r="K690" s="208"/>
      <c r="L690" s="208"/>
      <c r="M690" s="208"/>
      <c r="N690" s="208"/>
      <c r="O690" s="208"/>
      <c r="P690" s="208"/>
      <c r="Q690" s="208"/>
      <c r="R690" s="208"/>
      <c r="S690" s="208"/>
      <c r="T690" s="208"/>
      <c r="U690" s="208"/>
      <c r="V690" s="208"/>
      <c r="W690" s="208"/>
      <c r="X690" s="208"/>
      <c r="Y690" s="208"/>
      <c r="Z690" s="208"/>
      <c r="AA690" s="208"/>
      <c r="AB690" s="208"/>
      <c r="AC690" s="208"/>
      <c r="AD690" s="208"/>
      <c r="AE690" s="208"/>
      <c r="AF690" s="208"/>
      <c r="AG690" s="208"/>
      <c r="AH690" s="208"/>
      <c r="AI690" s="208"/>
      <c r="AJ690" s="208"/>
      <c r="AK690" s="208"/>
    </row>
    <row r="691">
      <c r="A691" s="208"/>
      <c r="B691" s="208"/>
      <c r="C691" s="208"/>
      <c r="D691" s="208"/>
      <c r="E691" s="208"/>
      <c r="F691" s="208"/>
      <c r="G691" s="208"/>
      <c r="H691" s="233"/>
      <c r="I691" s="234"/>
      <c r="J691" s="208"/>
      <c r="K691" s="208"/>
      <c r="L691" s="208"/>
      <c r="M691" s="208"/>
      <c r="N691" s="208"/>
      <c r="O691" s="208"/>
      <c r="P691" s="208"/>
      <c r="Q691" s="208"/>
      <c r="R691" s="208"/>
      <c r="S691" s="208"/>
      <c r="T691" s="208"/>
      <c r="U691" s="208"/>
      <c r="V691" s="208"/>
      <c r="W691" s="208"/>
      <c r="X691" s="208"/>
      <c r="Y691" s="208"/>
      <c r="Z691" s="208"/>
      <c r="AA691" s="208"/>
      <c r="AB691" s="208"/>
      <c r="AC691" s="208"/>
      <c r="AD691" s="208"/>
      <c r="AE691" s="208"/>
      <c r="AF691" s="208"/>
      <c r="AG691" s="208"/>
      <c r="AH691" s="208"/>
      <c r="AI691" s="208"/>
      <c r="AJ691" s="208"/>
      <c r="AK691" s="208"/>
    </row>
    <row r="692">
      <c r="A692" s="208"/>
      <c r="B692" s="208"/>
      <c r="C692" s="208"/>
      <c r="D692" s="208"/>
      <c r="E692" s="208"/>
      <c r="F692" s="208"/>
      <c r="G692" s="208"/>
      <c r="H692" s="233"/>
      <c r="I692" s="234"/>
      <c r="J692" s="208"/>
      <c r="K692" s="208"/>
      <c r="L692" s="208"/>
      <c r="M692" s="208"/>
      <c r="N692" s="208"/>
      <c r="O692" s="208"/>
      <c r="P692" s="208"/>
      <c r="Q692" s="208"/>
      <c r="R692" s="208"/>
      <c r="S692" s="208"/>
      <c r="T692" s="208"/>
      <c r="U692" s="208"/>
      <c r="V692" s="208"/>
      <c r="W692" s="208"/>
      <c r="X692" s="208"/>
      <c r="Y692" s="208"/>
      <c r="Z692" s="208"/>
      <c r="AA692" s="208"/>
      <c r="AB692" s="208"/>
      <c r="AC692" s="208"/>
      <c r="AD692" s="208"/>
      <c r="AE692" s="208"/>
      <c r="AF692" s="208"/>
      <c r="AG692" s="208"/>
      <c r="AH692" s="208"/>
      <c r="AI692" s="208"/>
      <c r="AJ692" s="208"/>
      <c r="AK692" s="208"/>
    </row>
    <row r="693">
      <c r="A693" s="208"/>
      <c r="B693" s="208"/>
      <c r="C693" s="208"/>
      <c r="D693" s="208"/>
      <c r="E693" s="208"/>
      <c r="F693" s="208"/>
      <c r="G693" s="208"/>
      <c r="H693" s="233"/>
      <c r="I693" s="234"/>
      <c r="J693" s="208"/>
      <c r="K693" s="208"/>
      <c r="L693" s="208"/>
      <c r="M693" s="208"/>
      <c r="N693" s="208"/>
      <c r="O693" s="208"/>
      <c r="P693" s="208"/>
      <c r="Q693" s="208"/>
      <c r="R693" s="208"/>
      <c r="S693" s="208"/>
      <c r="T693" s="208"/>
      <c r="U693" s="208"/>
      <c r="V693" s="208"/>
      <c r="W693" s="208"/>
      <c r="X693" s="208"/>
      <c r="Y693" s="208"/>
      <c r="Z693" s="208"/>
      <c r="AA693" s="208"/>
      <c r="AB693" s="208"/>
      <c r="AC693" s="208"/>
      <c r="AD693" s="208"/>
      <c r="AE693" s="208"/>
      <c r="AF693" s="208"/>
      <c r="AG693" s="208"/>
      <c r="AH693" s="208"/>
      <c r="AI693" s="208"/>
      <c r="AJ693" s="208"/>
      <c r="AK693" s="208"/>
    </row>
    <row r="694">
      <c r="A694" s="208"/>
      <c r="B694" s="208"/>
      <c r="C694" s="208"/>
      <c r="D694" s="208"/>
      <c r="E694" s="208"/>
      <c r="F694" s="208"/>
      <c r="G694" s="208"/>
      <c r="H694" s="233"/>
      <c r="I694" s="234"/>
      <c r="J694" s="208"/>
      <c r="K694" s="208"/>
      <c r="L694" s="208"/>
      <c r="M694" s="208"/>
      <c r="N694" s="208"/>
      <c r="O694" s="208"/>
      <c r="P694" s="208"/>
      <c r="Q694" s="208"/>
      <c r="R694" s="208"/>
      <c r="S694" s="208"/>
      <c r="T694" s="208"/>
      <c r="U694" s="208"/>
      <c r="V694" s="208"/>
      <c r="W694" s="208"/>
      <c r="X694" s="208"/>
      <c r="Y694" s="208"/>
      <c r="Z694" s="208"/>
      <c r="AA694" s="208"/>
      <c r="AB694" s="208"/>
      <c r="AC694" s="208"/>
      <c r="AD694" s="208"/>
      <c r="AE694" s="208"/>
      <c r="AF694" s="208"/>
      <c r="AG694" s="208"/>
      <c r="AH694" s="208"/>
      <c r="AI694" s="208"/>
      <c r="AJ694" s="208"/>
      <c r="AK694" s="208"/>
    </row>
    <row r="695">
      <c r="A695" s="208"/>
      <c r="B695" s="208"/>
      <c r="C695" s="208"/>
      <c r="D695" s="208"/>
      <c r="E695" s="208"/>
      <c r="F695" s="208"/>
      <c r="G695" s="208"/>
      <c r="H695" s="233"/>
      <c r="I695" s="234"/>
      <c r="J695" s="208"/>
      <c r="K695" s="208"/>
      <c r="L695" s="208"/>
      <c r="M695" s="208"/>
      <c r="N695" s="208"/>
      <c r="O695" s="208"/>
      <c r="P695" s="208"/>
      <c r="Q695" s="208"/>
      <c r="R695" s="208"/>
      <c r="S695" s="208"/>
      <c r="T695" s="208"/>
      <c r="U695" s="208"/>
      <c r="V695" s="208"/>
      <c r="W695" s="208"/>
      <c r="X695" s="208"/>
      <c r="Y695" s="208"/>
      <c r="Z695" s="208"/>
      <c r="AA695" s="208"/>
      <c r="AB695" s="208"/>
      <c r="AC695" s="208"/>
      <c r="AD695" s="208"/>
      <c r="AE695" s="208"/>
      <c r="AF695" s="208"/>
      <c r="AG695" s="208"/>
      <c r="AH695" s="208"/>
      <c r="AI695" s="208"/>
      <c r="AJ695" s="208"/>
      <c r="AK695" s="208"/>
    </row>
    <row r="696">
      <c r="A696" s="208"/>
      <c r="B696" s="208"/>
      <c r="C696" s="208"/>
      <c r="D696" s="208"/>
      <c r="E696" s="208"/>
      <c r="F696" s="208"/>
      <c r="G696" s="208"/>
      <c r="H696" s="233"/>
      <c r="I696" s="234"/>
      <c r="J696" s="208"/>
      <c r="K696" s="208"/>
      <c r="L696" s="208"/>
      <c r="M696" s="208"/>
      <c r="N696" s="208"/>
      <c r="O696" s="208"/>
      <c r="P696" s="208"/>
      <c r="Q696" s="208"/>
      <c r="R696" s="208"/>
      <c r="S696" s="208"/>
      <c r="T696" s="208"/>
      <c r="U696" s="208"/>
      <c r="V696" s="208"/>
      <c r="W696" s="208"/>
      <c r="X696" s="208"/>
      <c r="Y696" s="208"/>
      <c r="Z696" s="208"/>
      <c r="AA696" s="208"/>
      <c r="AB696" s="208"/>
      <c r="AC696" s="208"/>
      <c r="AD696" s="208"/>
      <c r="AE696" s="208"/>
      <c r="AF696" s="208"/>
      <c r="AG696" s="208"/>
      <c r="AH696" s="208"/>
      <c r="AI696" s="208"/>
      <c r="AJ696" s="208"/>
      <c r="AK696" s="208"/>
    </row>
    <row r="697">
      <c r="A697" s="208"/>
      <c r="B697" s="208"/>
      <c r="C697" s="208"/>
      <c r="D697" s="208"/>
      <c r="E697" s="208"/>
      <c r="F697" s="208"/>
      <c r="G697" s="208"/>
      <c r="H697" s="233"/>
      <c r="I697" s="234"/>
      <c r="J697" s="208"/>
      <c r="K697" s="208"/>
      <c r="L697" s="208"/>
      <c r="M697" s="208"/>
      <c r="N697" s="208"/>
      <c r="O697" s="208"/>
      <c r="P697" s="208"/>
      <c r="Q697" s="208"/>
      <c r="R697" s="208"/>
      <c r="S697" s="208"/>
      <c r="T697" s="208"/>
      <c r="U697" s="208"/>
      <c r="V697" s="208"/>
      <c r="W697" s="208"/>
      <c r="X697" s="208"/>
      <c r="Y697" s="208"/>
      <c r="Z697" s="208"/>
      <c r="AA697" s="208"/>
      <c r="AB697" s="208"/>
      <c r="AC697" s="208"/>
      <c r="AD697" s="208"/>
      <c r="AE697" s="208"/>
      <c r="AF697" s="208"/>
      <c r="AG697" s="208"/>
      <c r="AH697" s="208"/>
      <c r="AI697" s="208"/>
      <c r="AJ697" s="208"/>
      <c r="AK697" s="208"/>
    </row>
    <row r="698">
      <c r="A698" s="208"/>
      <c r="B698" s="208"/>
      <c r="C698" s="208"/>
      <c r="D698" s="208"/>
      <c r="E698" s="208"/>
      <c r="F698" s="208"/>
      <c r="G698" s="208"/>
      <c r="H698" s="233"/>
      <c r="I698" s="234"/>
      <c r="J698" s="208"/>
      <c r="K698" s="208"/>
      <c r="L698" s="208"/>
      <c r="M698" s="208"/>
      <c r="N698" s="208"/>
      <c r="O698" s="208"/>
      <c r="P698" s="208"/>
      <c r="Q698" s="208"/>
      <c r="R698" s="208"/>
      <c r="S698" s="208"/>
      <c r="T698" s="208"/>
      <c r="U698" s="208"/>
      <c r="V698" s="208"/>
      <c r="W698" s="208"/>
      <c r="X698" s="208"/>
      <c r="Y698" s="208"/>
      <c r="Z698" s="208"/>
      <c r="AA698" s="208"/>
      <c r="AB698" s="208"/>
      <c r="AC698" s="208"/>
      <c r="AD698" s="208"/>
      <c r="AE698" s="208"/>
      <c r="AF698" s="208"/>
      <c r="AG698" s="208"/>
      <c r="AH698" s="208"/>
      <c r="AI698" s="208"/>
      <c r="AJ698" s="208"/>
      <c r="AK698" s="208"/>
    </row>
    <row r="699">
      <c r="A699" s="208"/>
      <c r="B699" s="208"/>
      <c r="C699" s="208"/>
      <c r="D699" s="208"/>
      <c r="E699" s="208"/>
      <c r="F699" s="208"/>
      <c r="G699" s="208"/>
      <c r="H699" s="233"/>
      <c r="I699" s="234"/>
      <c r="J699" s="208"/>
      <c r="K699" s="208"/>
      <c r="L699" s="208"/>
      <c r="M699" s="208"/>
      <c r="N699" s="208"/>
      <c r="O699" s="208"/>
      <c r="P699" s="208"/>
      <c r="Q699" s="208"/>
      <c r="R699" s="208"/>
      <c r="S699" s="208"/>
      <c r="T699" s="208"/>
      <c r="U699" s="208"/>
      <c r="V699" s="208"/>
      <c r="W699" s="208"/>
      <c r="X699" s="208"/>
      <c r="Y699" s="208"/>
      <c r="Z699" s="208"/>
      <c r="AA699" s="208"/>
      <c r="AB699" s="208"/>
      <c r="AC699" s="208"/>
      <c r="AD699" s="208"/>
      <c r="AE699" s="208"/>
      <c r="AF699" s="208"/>
      <c r="AG699" s="208"/>
      <c r="AH699" s="208"/>
      <c r="AI699" s="208"/>
      <c r="AJ699" s="208"/>
      <c r="AK699" s="208"/>
    </row>
    <row r="700">
      <c r="A700" s="208"/>
      <c r="B700" s="208"/>
      <c r="C700" s="208"/>
      <c r="D700" s="208"/>
      <c r="E700" s="208"/>
      <c r="F700" s="208"/>
      <c r="G700" s="208"/>
      <c r="H700" s="233"/>
      <c r="I700" s="234"/>
      <c r="J700" s="208"/>
      <c r="K700" s="208"/>
      <c r="L700" s="208"/>
      <c r="M700" s="208"/>
      <c r="N700" s="208"/>
      <c r="O700" s="208"/>
      <c r="P700" s="208"/>
      <c r="Q700" s="208"/>
      <c r="R700" s="208"/>
      <c r="S700" s="208"/>
      <c r="T700" s="208"/>
      <c r="U700" s="208"/>
      <c r="V700" s="208"/>
      <c r="W700" s="208"/>
      <c r="X700" s="208"/>
      <c r="Y700" s="208"/>
      <c r="Z700" s="208"/>
      <c r="AA700" s="208"/>
      <c r="AB700" s="208"/>
      <c r="AC700" s="208"/>
      <c r="AD700" s="208"/>
      <c r="AE700" s="208"/>
      <c r="AF700" s="208"/>
      <c r="AG700" s="208"/>
      <c r="AH700" s="208"/>
      <c r="AI700" s="208"/>
      <c r="AJ700" s="208"/>
      <c r="AK700" s="208"/>
    </row>
    <row r="701">
      <c r="A701" s="208"/>
      <c r="B701" s="208"/>
      <c r="C701" s="208"/>
      <c r="D701" s="208"/>
      <c r="E701" s="208"/>
      <c r="F701" s="208"/>
      <c r="G701" s="208"/>
      <c r="H701" s="233"/>
      <c r="I701" s="234"/>
      <c r="J701" s="208"/>
      <c r="K701" s="208"/>
      <c r="L701" s="208"/>
      <c r="M701" s="208"/>
      <c r="N701" s="208"/>
      <c r="O701" s="208"/>
      <c r="P701" s="208"/>
      <c r="Q701" s="208"/>
      <c r="R701" s="208"/>
      <c r="S701" s="208"/>
      <c r="T701" s="208"/>
      <c r="U701" s="208"/>
      <c r="V701" s="208"/>
      <c r="W701" s="208"/>
      <c r="X701" s="208"/>
      <c r="Y701" s="208"/>
      <c r="Z701" s="208"/>
      <c r="AA701" s="208"/>
      <c r="AB701" s="208"/>
      <c r="AC701" s="208"/>
      <c r="AD701" s="208"/>
      <c r="AE701" s="208"/>
      <c r="AF701" s="208"/>
      <c r="AG701" s="208"/>
      <c r="AH701" s="208"/>
      <c r="AI701" s="208"/>
      <c r="AJ701" s="208"/>
      <c r="AK701" s="208"/>
    </row>
    <row r="702">
      <c r="A702" s="208"/>
      <c r="B702" s="208"/>
      <c r="C702" s="208"/>
      <c r="D702" s="208"/>
      <c r="E702" s="208"/>
      <c r="F702" s="208"/>
      <c r="G702" s="208"/>
      <c r="H702" s="233"/>
      <c r="I702" s="234"/>
      <c r="J702" s="208"/>
      <c r="K702" s="208"/>
      <c r="L702" s="208"/>
      <c r="M702" s="208"/>
      <c r="N702" s="208"/>
      <c r="O702" s="208"/>
      <c r="P702" s="208"/>
      <c r="Q702" s="208"/>
      <c r="R702" s="208"/>
      <c r="S702" s="208"/>
      <c r="T702" s="208"/>
      <c r="U702" s="208"/>
      <c r="V702" s="208"/>
      <c r="W702" s="208"/>
      <c r="X702" s="208"/>
      <c r="Y702" s="208"/>
      <c r="Z702" s="208"/>
      <c r="AA702" s="208"/>
      <c r="AB702" s="208"/>
      <c r="AC702" s="208"/>
      <c r="AD702" s="208"/>
      <c r="AE702" s="208"/>
      <c r="AF702" s="208"/>
      <c r="AG702" s="208"/>
      <c r="AH702" s="208"/>
      <c r="AI702" s="208"/>
      <c r="AJ702" s="208"/>
      <c r="AK702" s="208"/>
    </row>
    <row r="703">
      <c r="A703" s="208"/>
      <c r="B703" s="208"/>
      <c r="C703" s="208"/>
      <c r="D703" s="208"/>
      <c r="E703" s="208"/>
      <c r="F703" s="208"/>
      <c r="G703" s="208"/>
      <c r="H703" s="233"/>
      <c r="I703" s="234"/>
      <c r="J703" s="208"/>
      <c r="K703" s="208"/>
      <c r="L703" s="208"/>
      <c r="M703" s="208"/>
      <c r="N703" s="208"/>
      <c r="O703" s="208"/>
      <c r="P703" s="208"/>
      <c r="Q703" s="208"/>
      <c r="R703" s="208"/>
      <c r="S703" s="208"/>
      <c r="T703" s="208"/>
      <c r="U703" s="208"/>
      <c r="V703" s="208"/>
      <c r="W703" s="208"/>
      <c r="X703" s="208"/>
      <c r="Y703" s="208"/>
      <c r="Z703" s="208"/>
      <c r="AA703" s="208"/>
      <c r="AB703" s="208"/>
      <c r="AC703" s="208"/>
      <c r="AD703" s="208"/>
      <c r="AE703" s="208"/>
      <c r="AF703" s="208"/>
      <c r="AG703" s="208"/>
      <c r="AH703" s="208"/>
      <c r="AI703" s="208"/>
      <c r="AJ703" s="208"/>
      <c r="AK703" s="208"/>
    </row>
    <row r="704">
      <c r="A704" s="208"/>
      <c r="B704" s="208"/>
      <c r="C704" s="208"/>
      <c r="D704" s="208"/>
      <c r="E704" s="208"/>
      <c r="F704" s="208"/>
      <c r="G704" s="208"/>
      <c r="H704" s="233"/>
      <c r="I704" s="234"/>
      <c r="J704" s="208"/>
      <c r="K704" s="208"/>
      <c r="L704" s="208"/>
      <c r="M704" s="208"/>
      <c r="N704" s="208"/>
      <c r="O704" s="208"/>
      <c r="P704" s="208"/>
      <c r="Q704" s="208"/>
      <c r="R704" s="208"/>
      <c r="S704" s="208"/>
      <c r="T704" s="208"/>
      <c r="U704" s="208"/>
      <c r="V704" s="208"/>
      <c r="W704" s="208"/>
      <c r="X704" s="208"/>
      <c r="Y704" s="208"/>
      <c r="Z704" s="208"/>
      <c r="AA704" s="208"/>
      <c r="AB704" s="208"/>
      <c r="AC704" s="208"/>
      <c r="AD704" s="208"/>
      <c r="AE704" s="208"/>
      <c r="AF704" s="208"/>
      <c r="AG704" s="208"/>
      <c r="AH704" s="208"/>
      <c r="AI704" s="208"/>
      <c r="AJ704" s="208"/>
      <c r="AK704" s="208"/>
    </row>
    <row r="705">
      <c r="A705" s="208"/>
      <c r="B705" s="208"/>
      <c r="C705" s="208"/>
      <c r="D705" s="208"/>
      <c r="E705" s="208"/>
      <c r="F705" s="208"/>
      <c r="G705" s="208"/>
      <c r="H705" s="233"/>
      <c r="I705" s="234"/>
      <c r="J705" s="208"/>
      <c r="K705" s="208"/>
      <c r="L705" s="208"/>
      <c r="M705" s="208"/>
      <c r="N705" s="208"/>
      <c r="O705" s="208"/>
      <c r="P705" s="208"/>
      <c r="Q705" s="208"/>
      <c r="R705" s="208"/>
      <c r="S705" s="208"/>
      <c r="T705" s="208"/>
      <c r="U705" s="208"/>
      <c r="V705" s="208"/>
      <c r="W705" s="208"/>
      <c r="X705" s="208"/>
      <c r="Y705" s="208"/>
      <c r="Z705" s="208"/>
      <c r="AA705" s="208"/>
      <c r="AB705" s="208"/>
      <c r="AC705" s="208"/>
      <c r="AD705" s="208"/>
      <c r="AE705" s="208"/>
      <c r="AF705" s="208"/>
      <c r="AG705" s="208"/>
      <c r="AH705" s="208"/>
      <c r="AI705" s="208"/>
      <c r="AJ705" s="208"/>
      <c r="AK705" s="208"/>
    </row>
    <row r="706">
      <c r="A706" s="208"/>
      <c r="B706" s="208"/>
      <c r="C706" s="208"/>
      <c r="D706" s="208"/>
      <c r="E706" s="208"/>
      <c r="F706" s="208"/>
      <c r="G706" s="208"/>
      <c r="H706" s="233"/>
      <c r="I706" s="234"/>
      <c r="J706" s="208"/>
      <c r="K706" s="208"/>
      <c r="L706" s="208"/>
      <c r="M706" s="208"/>
      <c r="N706" s="208"/>
      <c r="O706" s="208"/>
      <c r="P706" s="208"/>
      <c r="Q706" s="208"/>
      <c r="R706" s="208"/>
      <c r="S706" s="208"/>
      <c r="T706" s="208"/>
      <c r="U706" s="208"/>
      <c r="V706" s="208"/>
      <c r="W706" s="208"/>
      <c r="X706" s="208"/>
      <c r="Y706" s="208"/>
      <c r="Z706" s="208"/>
      <c r="AA706" s="208"/>
      <c r="AB706" s="208"/>
      <c r="AC706" s="208"/>
      <c r="AD706" s="208"/>
      <c r="AE706" s="208"/>
      <c r="AF706" s="208"/>
      <c r="AG706" s="208"/>
      <c r="AH706" s="208"/>
      <c r="AI706" s="208"/>
      <c r="AJ706" s="208"/>
      <c r="AK706" s="208"/>
    </row>
    <row r="707">
      <c r="A707" s="208"/>
      <c r="B707" s="208"/>
      <c r="C707" s="208"/>
      <c r="D707" s="208"/>
      <c r="E707" s="208"/>
      <c r="F707" s="208"/>
      <c r="G707" s="208"/>
      <c r="H707" s="233"/>
      <c r="I707" s="234"/>
      <c r="J707" s="208"/>
      <c r="K707" s="208"/>
      <c r="L707" s="208"/>
      <c r="M707" s="208"/>
      <c r="N707" s="208"/>
      <c r="O707" s="208"/>
      <c r="P707" s="208"/>
      <c r="Q707" s="208"/>
      <c r="R707" s="208"/>
      <c r="S707" s="208"/>
      <c r="T707" s="208"/>
      <c r="U707" s="208"/>
      <c r="V707" s="208"/>
      <c r="W707" s="208"/>
      <c r="X707" s="208"/>
      <c r="Y707" s="208"/>
      <c r="Z707" s="208"/>
      <c r="AA707" s="208"/>
      <c r="AB707" s="208"/>
      <c r="AC707" s="208"/>
      <c r="AD707" s="208"/>
      <c r="AE707" s="208"/>
      <c r="AF707" s="208"/>
      <c r="AG707" s="208"/>
      <c r="AH707" s="208"/>
      <c r="AI707" s="208"/>
      <c r="AJ707" s="208"/>
      <c r="AK707" s="208"/>
    </row>
    <row r="708">
      <c r="A708" s="208"/>
      <c r="B708" s="208"/>
      <c r="C708" s="208"/>
      <c r="D708" s="208"/>
      <c r="E708" s="208"/>
      <c r="F708" s="208"/>
      <c r="G708" s="208"/>
      <c r="H708" s="233"/>
      <c r="I708" s="234"/>
      <c r="J708" s="208"/>
      <c r="K708" s="208"/>
      <c r="L708" s="208"/>
      <c r="M708" s="208"/>
      <c r="N708" s="208"/>
      <c r="O708" s="208"/>
      <c r="P708" s="208"/>
      <c r="Q708" s="208"/>
      <c r="R708" s="208"/>
      <c r="S708" s="208"/>
      <c r="T708" s="208"/>
      <c r="U708" s="208"/>
      <c r="V708" s="208"/>
      <c r="W708" s="208"/>
      <c r="X708" s="208"/>
      <c r="Y708" s="208"/>
      <c r="Z708" s="208"/>
      <c r="AA708" s="208"/>
      <c r="AB708" s="208"/>
      <c r="AC708" s="208"/>
      <c r="AD708" s="208"/>
      <c r="AE708" s="208"/>
      <c r="AF708" s="208"/>
      <c r="AG708" s="208"/>
      <c r="AH708" s="208"/>
      <c r="AI708" s="208"/>
      <c r="AJ708" s="208"/>
      <c r="AK708" s="208"/>
    </row>
    <row r="709">
      <c r="A709" s="208"/>
      <c r="B709" s="208"/>
      <c r="C709" s="208"/>
      <c r="D709" s="208"/>
      <c r="E709" s="208"/>
      <c r="F709" s="208"/>
      <c r="G709" s="208"/>
      <c r="H709" s="233"/>
      <c r="I709" s="234"/>
      <c r="J709" s="208"/>
      <c r="K709" s="208"/>
      <c r="L709" s="208"/>
      <c r="M709" s="208"/>
      <c r="N709" s="208"/>
      <c r="O709" s="208"/>
      <c r="P709" s="208"/>
      <c r="Q709" s="208"/>
      <c r="R709" s="208"/>
      <c r="S709" s="208"/>
      <c r="T709" s="208"/>
      <c r="U709" s="208"/>
      <c r="V709" s="208"/>
      <c r="W709" s="208"/>
      <c r="X709" s="208"/>
      <c r="Y709" s="208"/>
      <c r="Z709" s="208"/>
      <c r="AA709" s="208"/>
      <c r="AB709" s="208"/>
      <c r="AC709" s="208"/>
      <c r="AD709" s="208"/>
      <c r="AE709" s="208"/>
      <c r="AF709" s="208"/>
      <c r="AG709" s="208"/>
      <c r="AH709" s="208"/>
      <c r="AI709" s="208"/>
      <c r="AJ709" s="208"/>
      <c r="AK709" s="208"/>
    </row>
    <row r="710">
      <c r="A710" s="208"/>
      <c r="B710" s="208"/>
      <c r="C710" s="208"/>
      <c r="D710" s="208"/>
      <c r="E710" s="208"/>
      <c r="F710" s="208"/>
      <c r="G710" s="208"/>
      <c r="H710" s="233"/>
      <c r="I710" s="234"/>
      <c r="J710" s="208"/>
      <c r="K710" s="208"/>
      <c r="L710" s="208"/>
      <c r="M710" s="208"/>
      <c r="N710" s="208"/>
      <c r="O710" s="208"/>
      <c r="P710" s="208"/>
      <c r="Q710" s="208"/>
      <c r="R710" s="208"/>
      <c r="S710" s="208"/>
      <c r="T710" s="208"/>
      <c r="U710" s="208"/>
      <c r="V710" s="208"/>
      <c r="W710" s="208"/>
      <c r="X710" s="208"/>
      <c r="Y710" s="208"/>
      <c r="Z710" s="208"/>
      <c r="AA710" s="208"/>
      <c r="AB710" s="208"/>
      <c r="AC710" s="208"/>
      <c r="AD710" s="208"/>
      <c r="AE710" s="208"/>
      <c r="AF710" s="208"/>
      <c r="AG710" s="208"/>
      <c r="AH710" s="208"/>
      <c r="AI710" s="208"/>
      <c r="AJ710" s="208"/>
      <c r="AK710" s="208"/>
    </row>
    <row r="711">
      <c r="A711" s="208"/>
      <c r="B711" s="208"/>
      <c r="C711" s="208"/>
      <c r="D711" s="208"/>
      <c r="E711" s="208"/>
      <c r="F711" s="208"/>
      <c r="G711" s="208"/>
      <c r="H711" s="233"/>
      <c r="I711" s="234"/>
      <c r="J711" s="208"/>
      <c r="K711" s="208"/>
      <c r="L711" s="208"/>
      <c r="M711" s="208"/>
      <c r="N711" s="208"/>
      <c r="O711" s="208"/>
      <c r="P711" s="208"/>
      <c r="Q711" s="208"/>
      <c r="R711" s="208"/>
      <c r="S711" s="208"/>
      <c r="T711" s="208"/>
      <c r="U711" s="208"/>
      <c r="V711" s="208"/>
      <c r="W711" s="208"/>
      <c r="X711" s="208"/>
      <c r="Y711" s="208"/>
      <c r="Z711" s="208"/>
      <c r="AA711" s="208"/>
      <c r="AB711" s="208"/>
      <c r="AC711" s="208"/>
      <c r="AD711" s="208"/>
      <c r="AE711" s="208"/>
      <c r="AF711" s="208"/>
      <c r="AG711" s="208"/>
      <c r="AH711" s="208"/>
      <c r="AI711" s="208"/>
      <c r="AJ711" s="208"/>
      <c r="AK711" s="208"/>
    </row>
    <row r="712">
      <c r="A712" s="208"/>
      <c r="B712" s="208"/>
      <c r="C712" s="208"/>
      <c r="D712" s="208"/>
      <c r="E712" s="208"/>
      <c r="F712" s="208"/>
      <c r="G712" s="208"/>
      <c r="H712" s="233"/>
      <c r="I712" s="234"/>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c r="AI712" s="208"/>
      <c r="AJ712" s="208"/>
      <c r="AK712" s="208"/>
    </row>
    <row r="713">
      <c r="A713" s="208"/>
      <c r="B713" s="208"/>
      <c r="C713" s="208"/>
      <c r="D713" s="208"/>
      <c r="E713" s="208"/>
      <c r="F713" s="208"/>
      <c r="G713" s="208"/>
      <c r="H713" s="233"/>
      <c r="I713" s="234"/>
      <c r="J713" s="208"/>
      <c r="K713" s="208"/>
      <c r="L713" s="208"/>
      <c r="M713" s="208"/>
      <c r="N713" s="208"/>
      <c r="O713" s="208"/>
      <c r="P713" s="208"/>
      <c r="Q713" s="208"/>
      <c r="R713" s="208"/>
      <c r="S713" s="208"/>
      <c r="T713" s="208"/>
      <c r="U713" s="208"/>
      <c r="V713" s="208"/>
      <c r="W713" s="208"/>
      <c r="X713" s="208"/>
      <c r="Y713" s="208"/>
      <c r="Z713" s="208"/>
      <c r="AA713" s="208"/>
      <c r="AB713" s="208"/>
      <c r="AC713" s="208"/>
      <c r="AD713" s="208"/>
      <c r="AE713" s="208"/>
      <c r="AF713" s="208"/>
      <c r="AG713" s="208"/>
      <c r="AH713" s="208"/>
      <c r="AI713" s="208"/>
      <c r="AJ713" s="208"/>
      <c r="AK713" s="208"/>
    </row>
    <row r="714">
      <c r="A714" s="208"/>
      <c r="B714" s="208"/>
      <c r="C714" s="208"/>
      <c r="D714" s="208"/>
      <c r="E714" s="208"/>
      <c r="F714" s="208"/>
      <c r="G714" s="208"/>
      <c r="H714" s="233"/>
      <c r="I714" s="234"/>
      <c r="J714" s="208"/>
      <c r="K714" s="208"/>
      <c r="L714" s="208"/>
      <c r="M714" s="208"/>
      <c r="N714" s="208"/>
      <c r="O714" s="208"/>
      <c r="P714" s="208"/>
      <c r="Q714" s="208"/>
      <c r="R714" s="208"/>
      <c r="S714" s="208"/>
      <c r="T714" s="208"/>
      <c r="U714" s="208"/>
      <c r="V714" s="208"/>
      <c r="W714" s="208"/>
      <c r="X714" s="208"/>
      <c r="Y714" s="208"/>
      <c r="Z714" s="208"/>
      <c r="AA714" s="208"/>
      <c r="AB714" s="208"/>
      <c r="AC714" s="208"/>
      <c r="AD714" s="208"/>
      <c r="AE714" s="208"/>
      <c r="AF714" s="208"/>
      <c r="AG714" s="208"/>
      <c r="AH714" s="208"/>
      <c r="AI714" s="208"/>
      <c r="AJ714" s="208"/>
      <c r="AK714" s="208"/>
    </row>
    <row r="715">
      <c r="A715" s="208"/>
      <c r="B715" s="208"/>
      <c r="C715" s="208"/>
      <c r="D715" s="208"/>
      <c r="E715" s="208"/>
      <c r="F715" s="208"/>
      <c r="G715" s="208"/>
      <c r="H715" s="233"/>
      <c r="I715" s="234"/>
      <c r="J715" s="208"/>
      <c r="K715" s="208"/>
      <c r="L715" s="208"/>
      <c r="M715" s="208"/>
      <c r="N715" s="208"/>
      <c r="O715" s="208"/>
      <c r="P715" s="208"/>
      <c r="Q715" s="208"/>
      <c r="R715" s="208"/>
      <c r="S715" s="208"/>
      <c r="T715" s="208"/>
      <c r="U715" s="208"/>
      <c r="V715" s="208"/>
      <c r="W715" s="208"/>
      <c r="X715" s="208"/>
      <c r="Y715" s="208"/>
      <c r="Z715" s="208"/>
      <c r="AA715" s="208"/>
      <c r="AB715" s="208"/>
      <c r="AC715" s="208"/>
      <c r="AD715" s="208"/>
      <c r="AE715" s="208"/>
      <c r="AF715" s="208"/>
      <c r="AG715" s="208"/>
      <c r="AH715" s="208"/>
      <c r="AI715" s="208"/>
      <c r="AJ715" s="208"/>
      <c r="AK715" s="208"/>
    </row>
    <row r="716">
      <c r="A716" s="208"/>
      <c r="B716" s="208"/>
      <c r="C716" s="208"/>
      <c r="D716" s="208"/>
      <c r="E716" s="208"/>
      <c r="F716" s="208"/>
      <c r="G716" s="208"/>
      <c r="H716" s="233"/>
      <c r="I716" s="234"/>
      <c r="J716" s="208"/>
      <c r="K716" s="208"/>
      <c r="L716" s="208"/>
      <c r="M716" s="208"/>
      <c r="N716" s="208"/>
      <c r="O716" s="208"/>
      <c r="P716" s="208"/>
      <c r="Q716" s="208"/>
      <c r="R716" s="208"/>
      <c r="S716" s="208"/>
      <c r="T716" s="208"/>
      <c r="U716" s="208"/>
      <c r="V716" s="208"/>
      <c r="W716" s="208"/>
      <c r="X716" s="208"/>
      <c r="Y716" s="208"/>
      <c r="Z716" s="208"/>
      <c r="AA716" s="208"/>
      <c r="AB716" s="208"/>
      <c r="AC716" s="208"/>
      <c r="AD716" s="208"/>
      <c r="AE716" s="208"/>
      <c r="AF716" s="208"/>
      <c r="AG716" s="208"/>
      <c r="AH716" s="208"/>
      <c r="AI716" s="208"/>
      <c r="AJ716" s="208"/>
      <c r="AK716" s="208"/>
    </row>
    <row r="717">
      <c r="A717" s="208"/>
      <c r="B717" s="208"/>
      <c r="C717" s="208"/>
      <c r="D717" s="208"/>
      <c r="E717" s="208"/>
      <c r="F717" s="208"/>
      <c r="G717" s="208"/>
      <c r="H717" s="233"/>
      <c r="I717" s="234"/>
      <c r="J717" s="208"/>
      <c r="K717" s="208"/>
      <c r="L717" s="208"/>
      <c r="M717" s="208"/>
      <c r="N717" s="208"/>
      <c r="O717" s="208"/>
      <c r="P717" s="208"/>
      <c r="Q717" s="208"/>
      <c r="R717" s="208"/>
      <c r="S717" s="208"/>
      <c r="T717" s="208"/>
      <c r="U717" s="208"/>
      <c r="V717" s="208"/>
      <c r="W717" s="208"/>
      <c r="X717" s="208"/>
      <c r="Y717" s="208"/>
      <c r="Z717" s="208"/>
      <c r="AA717" s="208"/>
      <c r="AB717" s="208"/>
      <c r="AC717" s="208"/>
      <c r="AD717" s="208"/>
      <c r="AE717" s="208"/>
      <c r="AF717" s="208"/>
      <c r="AG717" s="208"/>
      <c r="AH717" s="208"/>
      <c r="AI717" s="208"/>
      <c r="AJ717" s="208"/>
      <c r="AK717" s="208"/>
    </row>
    <row r="718">
      <c r="A718" s="208"/>
      <c r="B718" s="208"/>
      <c r="C718" s="208"/>
      <c r="D718" s="208"/>
      <c r="E718" s="208"/>
      <c r="F718" s="208"/>
      <c r="G718" s="208"/>
      <c r="H718" s="233"/>
      <c r="I718" s="234"/>
      <c r="J718" s="208"/>
      <c r="K718" s="208"/>
      <c r="L718" s="208"/>
      <c r="M718" s="208"/>
      <c r="N718" s="208"/>
      <c r="O718" s="208"/>
      <c r="P718" s="208"/>
      <c r="Q718" s="208"/>
      <c r="R718" s="208"/>
      <c r="S718" s="208"/>
      <c r="T718" s="208"/>
      <c r="U718" s="208"/>
      <c r="V718" s="208"/>
      <c r="W718" s="208"/>
      <c r="X718" s="208"/>
      <c r="Y718" s="208"/>
      <c r="Z718" s="208"/>
      <c r="AA718" s="208"/>
      <c r="AB718" s="208"/>
      <c r="AC718" s="208"/>
      <c r="AD718" s="208"/>
      <c r="AE718" s="208"/>
      <c r="AF718" s="208"/>
      <c r="AG718" s="208"/>
      <c r="AH718" s="208"/>
      <c r="AI718" s="208"/>
      <c r="AJ718" s="208"/>
      <c r="AK718" s="208"/>
    </row>
    <row r="719">
      <c r="A719" s="208"/>
      <c r="B719" s="208"/>
      <c r="C719" s="208"/>
      <c r="D719" s="208"/>
      <c r="E719" s="208"/>
      <c r="F719" s="208"/>
      <c r="G719" s="208"/>
      <c r="H719" s="233"/>
      <c r="I719" s="234"/>
      <c r="J719" s="208"/>
      <c r="K719" s="208"/>
      <c r="L719" s="208"/>
      <c r="M719" s="208"/>
      <c r="N719" s="208"/>
      <c r="O719" s="208"/>
      <c r="P719" s="208"/>
      <c r="Q719" s="208"/>
      <c r="R719" s="208"/>
      <c r="S719" s="208"/>
      <c r="T719" s="208"/>
      <c r="U719" s="208"/>
      <c r="V719" s="208"/>
      <c r="W719" s="208"/>
      <c r="X719" s="208"/>
      <c r="Y719" s="208"/>
      <c r="Z719" s="208"/>
      <c r="AA719" s="208"/>
      <c r="AB719" s="208"/>
      <c r="AC719" s="208"/>
      <c r="AD719" s="208"/>
      <c r="AE719" s="208"/>
      <c r="AF719" s="208"/>
      <c r="AG719" s="208"/>
      <c r="AH719" s="208"/>
      <c r="AI719" s="208"/>
      <c r="AJ719" s="208"/>
      <c r="AK719" s="208"/>
    </row>
    <row r="720">
      <c r="A720" s="208"/>
      <c r="B720" s="208"/>
      <c r="C720" s="208"/>
      <c r="D720" s="208"/>
      <c r="E720" s="208"/>
      <c r="F720" s="208"/>
      <c r="G720" s="208"/>
      <c r="H720" s="233"/>
      <c r="I720" s="234"/>
      <c r="J720" s="208"/>
      <c r="K720" s="208"/>
      <c r="L720" s="208"/>
      <c r="M720" s="208"/>
      <c r="N720" s="208"/>
      <c r="O720" s="208"/>
      <c r="P720" s="208"/>
      <c r="Q720" s="208"/>
      <c r="R720" s="208"/>
      <c r="S720" s="208"/>
      <c r="T720" s="208"/>
      <c r="U720" s="208"/>
      <c r="V720" s="208"/>
      <c r="W720" s="208"/>
      <c r="X720" s="208"/>
      <c r="Y720" s="208"/>
      <c r="Z720" s="208"/>
      <c r="AA720" s="208"/>
      <c r="AB720" s="208"/>
      <c r="AC720" s="208"/>
      <c r="AD720" s="208"/>
      <c r="AE720" s="208"/>
      <c r="AF720" s="208"/>
      <c r="AG720" s="208"/>
      <c r="AH720" s="208"/>
      <c r="AI720" s="208"/>
      <c r="AJ720" s="208"/>
      <c r="AK720" s="208"/>
    </row>
    <row r="721">
      <c r="A721" s="208"/>
      <c r="B721" s="208"/>
      <c r="C721" s="208"/>
      <c r="D721" s="208"/>
      <c r="E721" s="208"/>
      <c r="F721" s="208"/>
      <c r="G721" s="208"/>
      <c r="H721" s="233"/>
      <c r="I721" s="234"/>
      <c r="J721" s="208"/>
      <c r="K721" s="208"/>
      <c r="L721" s="208"/>
      <c r="M721" s="208"/>
      <c r="N721" s="208"/>
      <c r="O721" s="208"/>
      <c r="P721" s="208"/>
      <c r="Q721" s="208"/>
      <c r="R721" s="208"/>
      <c r="S721" s="208"/>
      <c r="T721" s="208"/>
      <c r="U721" s="208"/>
      <c r="V721" s="208"/>
      <c r="W721" s="208"/>
      <c r="X721" s="208"/>
      <c r="Y721" s="208"/>
      <c r="Z721" s="208"/>
      <c r="AA721" s="208"/>
      <c r="AB721" s="208"/>
      <c r="AC721" s="208"/>
      <c r="AD721" s="208"/>
      <c r="AE721" s="208"/>
      <c r="AF721" s="208"/>
      <c r="AG721" s="208"/>
      <c r="AH721" s="208"/>
      <c r="AI721" s="208"/>
      <c r="AJ721" s="208"/>
      <c r="AK721" s="208"/>
    </row>
    <row r="722">
      <c r="A722" s="208"/>
      <c r="B722" s="208"/>
      <c r="C722" s="208"/>
      <c r="D722" s="208"/>
      <c r="E722" s="208"/>
      <c r="F722" s="208"/>
      <c r="G722" s="208"/>
      <c r="H722" s="233"/>
      <c r="I722" s="234"/>
      <c r="J722" s="208"/>
      <c r="K722" s="208"/>
      <c r="L722" s="208"/>
      <c r="M722" s="208"/>
      <c r="N722" s="208"/>
      <c r="O722" s="208"/>
      <c r="P722" s="208"/>
      <c r="Q722" s="208"/>
      <c r="R722" s="208"/>
      <c r="S722" s="208"/>
      <c r="T722" s="208"/>
      <c r="U722" s="208"/>
      <c r="V722" s="208"/>
      <c r="W722" s="208"/>
      <c r="X722" s="208"/>
      <c r="Y722" s="208"/>
      <c r="Z722" s="208"/>
      <c r="AA722" s="208"/>
      <c r="AB722" s="208"/>
      <c r="AC722" s="208"/>
      <c r="AD722" s="208"/>
      <c r="AE722" s="208"/>
      <c r="AF722" s="208"/>
      <c r="AG722" s="208"/>
      <c r="AH722" s="208"/>
      <c r="AI722" s="208"/>
      <c r="AJ722" s="208"/>
      <c r="AK722" s="208"/>
    </row>
    <row r="723">
      <c r="A723" s="208"/>
      <c r="B723" s="208"/>
      <c r="C723" s="208"/>
      <c r="D723" s="208"/>
      <c r="E723" s="208"/>
      <c r="F723" s="208"/>
      <c r="G723" s="208"/>
      <c r="H723" s="233"/>
      <c r="I723" s="234"/>
      <c r="J723" s="208"/>
      <c r="K723" s="208"/>
      <c r="L723" s="208"/>
      <c r="M723" s="208"/>
      <c r="N723" s="208"/>
      <c r="O723" s="208"/>
      <c r="P723" s="208"/>
      <c r="Q723" s="208"/>
      <c r="R723" s="208"/>
      <c r="S723" s="208"/>
      <c r="T723" s="208"/>
      <c r="U723" s="208"/>
      <c r="V723" s="208"/>
      <c r="W723" s="208"/>
      <c r="X723" s="208"/>
      <c r="Y723" s="208"/>
      <c r="Z723" s="208"/>
      <c r="AA723" s="208"/>
      <c r="AB723" s="208"/>
      <c r="AC723" s="208"/>
      <c r="AD723" s="208"/>
      <c r="AE723" s="208"/>
      <c r="AF723" s="208"/>
      <c r="AG723" s="208"/>
      <c r="AH723" s="208"/>
      <c r="AI723" s="208"/>
      <c r="AJ723" s="208"/>
      <c r="AK723" s="208"/>
    </row>
    <row r="724">
      <c r="A724" s="208"/>
      <c r="B724" s="208"/>
      <c r="C724" s="208"/>
      <c r="D724" s="208"/>
      <c r="E724" s="208"/>
      <c r="F724" s="208"/>
      <c r="G724" s="208"/>
      <c r="H724" s="233"/>
      <c r="I724" s="234"/>
      <c r="J724" s="208"/>
      <c r="K724" s="208"/>
      <c r="L724" s="208"/>
      <c r="M724" s="208"/>
      <c r="N724" s="208"/>
      <c r="O724" s="208"/>
      <c r="P724" s="208"/>
      <c r="Q724" s="208"/>
      <c r="R724" s="208"/>
      <c r="S724" s="208"/>
      <c r="T724" s="208"/>
      <c r="U724" s="208"/>
      <c r="V724" s="208"/>
      <c r="W724" s="208"/>
      <c r="X724" s="208"/>
      <c r="Y724" s="208"/>
      <c r="Z724" s="208"/>
      <c r="AA724" s="208"/>
      <c r="AB724" s="208"/>
      <c r="AC724" s="208"/>
      <c r="AD724" s="208"/>
      <c r="AE724" s="208"/>
      <c r="AF724" s="208"/>
      <c r="AG724" s="208"/>
      <c r="AH724" s="208"/>
      <c r="AI724" s="208"/>
      <c r="AJ724" s="208"/>
      <c r="AK724" s="208"/>
    </row>
    <row r="725">
      <c r="A725" s="208"/>
      <c r="B725" s="208"/>
      <c r="C725" s="208"/>
      <c r="D725" s="208"/>
      <c r="E725" s="208"/>
      <c r="F725" s="208"/>
      <c r="G725" s="208"/>
      <c r="H725" s="233"/>
      <c r="I725" s="234"/>
      <c r="J725" s="208"/>
      <c r="K725" s="208"/>
      <c r="L725" s="208"/>
      <c r="M725" s="208"/>
      <c r="N725" s="208"/>
      <c r="O725" s="208"/>
      <c r="P725" s="208"/>
      <c r="Q725" s="208"/>
      <c r="R725" s="208"/>
      <c r="S725" s="208"/>
      <c r="T725" s="208"/>
      <c r="U725" s="208"/>
      <c r="V725" s="208"/>
      <c r="W725" s="208"/>
      <c r="X725" s="208"/>
      <c r="Y725" s="208"/>
      <c r="Z725" s="208"/>
      <c r="AA725" s="208"/>
      <c r="AB725" s="208"/>
      <c r="AC725" s="208"/>
      <c r="AD725" s="208"/>
      <c r="AE725" s="208"/>
      <c r="AF725" s="208"/>
      <c r="AG725" s="208"/>
      <c r="AH725" s="208"/>
      <c r="AI725" s="208"/>
      <c r="AJ725" s="208"/>
      <c r="AK725" s="208"/>
    </row>
    <row r="726">
      <c r="A726" s="208"/>
      <c r="B726" s="208"/>
      <c r="C726" s="208"/>
      <c r="D726" s="208"/>
      <c r="E726" s="208"/>
      <c r="F726" s="208"/>
      <c r="G726" s="208"/>
      <c r="H726" s="233"/>
      <c r="I726" s="234"/>
      <c r="J726" s="208"/>
      <c r="K726" s="208"/>
      <c r="L726" s="208"/>
      <c r="M726" s="208"/>
      <c r="N726" s="208"/>
      <c r="O726" s="208"/>
      <c r="P726" s="208"/>
      <c r="Q726" s="208"/>
      <c r="R726" s="208"/>
      <c r="S726" s="208"/>
      <c r="T726" s="208"/>
      <c r="U726" s="208"/>
      <c r="V726" s="208"/>
      <c r="W726" s="208"/>
      <c r="X726" s="208"/>
      <c r="Y726" s="208"/>
      <c r="Z726" s="208"/>
      <c r="AA726" s="208"/>
      <c r="AB726" s="208"/>
      <c r="AC726" s="208"/>
      <c r="AD726" s="208"/>
      <c r="AE726" s="208"/>
      <c r="AF726" s="208"/>
      <c r="AG726" s="208"/>
      <c r="AH726" s="208"/>
      <c r="AI726" s="208"/>
      <c r="AJ726" s="208"/>
      <c r="AK726" s="208"/>
    </row>
    <row r="727">
      <c r="A727" s="208"/>
      <c r="B727" s="208"/>
      <c r="C727" s="208"/>
      <c r="D727" s="208"/>
      <c r="E727" s="208"/>
      <c r="F727" s="208"/>
      <c r="G727" s="208"/>
      <c r="H727" s="233"/>
      <c r="I727" s="234"/>
      <c r="J727" s="208"/>
      <c r="K727" s="208"/>
      <c r="L727" s="208"/>
      <c r="M727" s="208"/>
      <c r="N727" s="208"/>
      <c r="O727" s="208"/>
      <c r="P727" s="208"/>
      <c r="Q727" s="208"/>
      <c r="R727" s="208"/>
      <c r="S727" s="208"/>
      <c r="T727" s="208"/>
      <c r="U727" s="208"/>
      <c r="V727" s="208"/>
      <c r="W727" s="208"/>
      <c r="X727" s="208"/>
      <c r="Y727" s="208"/>
      <c r="Z727" s="208"/>
      <c r="AA727" s="208"/>
      <c r="AB727" s="208"/>
      <c r="AC727" s="208"/>
      <c r="AD727" s="208"/>
      <c r="AE727" s="208"/>
      <c r="AF727" s="208"/>
      <c r="AG727" s="208"/>
      <c r="AH727" s="208"/>
      <c r="AI727" s="208"/>
      <c r="AJ727" s="208"/>
      <c r="AK727" s="208"/>
    </row>
    <row r="728">
      <c r="A728" s="208"/>
      <c r="B728" s="208"/>
      <c r="C728" s="208"/>
      <c r="D728" s="208"/>
      <c r="E728" s="208"/>
      <c r="F728" s="208"/>
      <c r="G728" s="208"/>
      <c r="H728" s="233"/>
      <c r="I728" s="234"/>
      <c r="J728" s="208"/>
      <c r="K728" s="208"/>
      <c r="L728" s="208"/>
      <c r="M728" s="208"/>
      <c r="N728" s="208"/>
      <c r="O728" s="208"/>
      <c r="P728" s="208"/>
      <c r="Q728" s="208"/>
      <c r="R728" s="208"/>
      <c r="S728" s="208"/>
      <c r="T728" s="208"/>
      <c r="U728" s="208"/>
      <c r="V728" s="208"/>
      <c r="W728" s="208"/>
      <c r="X728" s="208"/>
      <c r="Y728" s="208"/>
      <c r="Z728" s="208"/>
      <c r="AA728" s="208"/>
      <c r="AB728" s="208"/>
      <c r="AC728" s="208"/>
      <c r="AD728" s="208"/>
      <c r="AE728" s="208"/>
      <c r="AF728" s="208"/>
      <c r="AG728" s="208"/>
      <c r="AH728" s="208"/>
      <c r="AI728" s="208"/>
      <c r="AJ728" s="208"/>
      <c r="AK728" s="208"/>
    </row>
    <row r="729">
      <c r="A729" s="208"/>
      <c r="B729" s="208"/>
      <c r="C729" s="208"/>
      <c r="D729" s="208"/>
      <c r="E729" s="208"/>
      <c r="F729" s="208"/>
      <c r="G729" s="208"/>
      <c r="H729" s="233"/>
      <c r="I729" s="234"/>
      <c r="J729" s="208"/>
      <c r="K729" s="208"/>
      <c r="L729" s="208"/>
      <c r="M729" s="208"/>
      <c r="N729" s="208"/>
      <c r="O729" s="208"/>
      <c r="P729" s="208"/>
      <c r="Q729" s="208"/>
      <c r="R729" s="208"/>
      <c r="S729" s="208"/>
      <c r="T729" s="208"/>
      <c r="U729" s="208"/>
      <c r="V729" s="208"/>
      <c r="W729" s="208"/>
      <c r="X729" s="208"/>
      <c r="Y729" s="208"/>
      <c r="Z729" s="208"/>
      <c r="AA729" s="208"/>
      <c r="AB729" s="208"/>
      <c r="AC729" s="208"/>
      <c r="AD729" s="208"/>
      <c r="AE729" s="208"/>
      <c r="AF729" s="208"/>
      <c r="AG729" s="208"/>
      <c r="AH729" s="208"/>
      <c r="AI729" s="208"/>
      <c r="AJ729" s="208"/>
      <c r="AK729" s="208"/>
    </row>
    <row r="730">
      <c r="A730" s="208"/>
      <c r="B730" s="208"/>
      <c r="C730" s="208"/>
      <c r="D730" s="208"/>
      <c r="E730" s="208"/>
      <c r="F730" s="208"/>
      <c r="G730" s="208"/>
      <c r="H730" s="233"/>
      <c r="I730" s="234"/>
      <c r="J730" s="208"/>
      <c r="K730" s="208"/>
      <c r="L730" s="208"/>
      <c r="M730" s="208"/>
      <c r="N730" s="208"/>
      <c r="O730" s="208"/>
      <c r="P730" s="208"/>
      <c r="Q730" s="208"/>
      <c r="R730" s="208"/>
      <c r="S730" s="208"/>
      <c r="T730" s="208"/>
      <c r="U730" s="208"/>
      <c r="V730" s="208"/>
      <c r="W730" s="208"/>
      <c r="X730" s="208"/>
      <c r="Y730" s="208"/>
      <c r="Z730" s="208"/>
      <c r="AA730" s="208"/>
      <c r="AB730" s="208"/>
      <c r="AC730" s="208"/>
      <c r="AD730" s="208"/>
      <c r="AE730" s="208"/>
      <c r="AF730" s="208"/>
      <c r="AG730" s="208"/>
      <c r="AH730" s="208"/>
      <c r="AI730" s="208"/>
      <c r="AJ730" s="208"/>
      <c r="AK730" s="208"/>
    </row>
    <row r="731">
      <c r="A731" s="208"/>
      <c r="B731" s="208"/>
      <c r="C731" s="208"/>
      <c r="D731" s="208"/>
      <c r="E731" s="208"/>
      <c r="F731" s="208"/>
      <c r="G731" s="208"/>
      <c r="H731" s="233"/>
      <c r="I731" s="234"/>
      <c r="J731" s="208"/>
      <c r="K731" s="208"/>
      <c r="L731" s="208"/>
      <c r="M731" s="208"/>
      <c r="N731" s="208"/>
      <c r="O731" s="208"/>
      <c r="P731" s="208"/>
      <c r="Q731" s="208"/>
      <c r="R731" s="208"/>
      <c r="S731" s="208"/>
      <c r="T731" s="208"/>
      <c r="U731" s="208"/>
      <c r="V731" s="208"/>
      <c r="W731" s="208"/>
      <c r="X731" s="208"/>
      <c r="Y731" s="208"/>
      <c r="Z731" s="208"/>
      <c r="AA731" s="208"/>
      <c r="AB731" s="208"/>
      <c r="AC731" s="208"/>
      <c r="AD731" s="208"/>
      <c r="AE731" s="208"/>
      <c r="AF731" s="208"/>
      <c r="AG731" s="208"/>
      <c r="AH731" s="208"/>
      <c r="AI731" s="208"/>
      <c r="AJ731" s="208"/>
      <c r="AK731" s="208"/>
    </row>
    <row r="732">
      <c r="A732" s="208"/>
      <c r="B732" s="208"/>
      <c r="C732" s="208"/>
      <c r="D732" s="208"/>
      <c r="E732" s="208"/>
      <c r="F732" s="208"/>
      <c r="G732" s="208"/>
      <c r="H732" s="233"/>
      <c r="I732" s="234"/>
      <c r="J732" s="208"/>
      <c r="K732" s="208"/>
      <c r="L732" s="208"/>
      <c r="M732" s="208"/>
      <c r="N732" s="208"/>
      <c r="O732" s="208"/>
      <c r="P732" s="208"/>
      <c r="Q732" s="208"/>
      <c r="R732" s="208"/>
      <c r="S732" s="208"/>
      <c r="T732" s="208"/>
      <c r="U732" s="208"/>
      <c r="V732" s="208"/>
      <c r="W732" s="208"/>
      <c r="X732" s="208"/>
      <c r="Y732" s="208"/>
      <c r="Z732" s="208"/>
      <c r="AA732" s="208"/>
      <c r="AB732" s="208"/>
      <c r="AC732" s="208"/>
      <c r="AD732" s="208"/>
      <c r="AE732" s="208"/>
      <c r="AF732" s="208"/>
      <c r="AG732" s="208"/>
      <c r="AH732" s="208"/>
      <c r="AI732" s="208"/>
      <c r="AJ732" s="208"/>
      <c r="AK732" s="208"/>
    </row>
    <row r="733">
      <c r="A733" s="208"/>
      <c r="B733" s="208"/>
      <c r="C733" s="208"/>
      <c r="D733" s="208"/>
      <c r="E733" s="208"/>
      <c r="F733" s="208"/>
      <c r="G733" s="208"/>
      <c r="H733" s="233"/>
      <c r="I733" s="234"/>
      <c r="J733" s="208"/>
      <c r="K733" s="208"/>
      <c r="L733" s="208"/>
      <c r="M733" s="208"/>
      <c r="N733" s="208"/>
      <c r="O733" s="208"/>
      <c r="P733" s="208"/>
      <c r="Q733" s="208"/>
      <c r="R733" s="208"/>
      <c r="S733" s="208"/>
      <c r="T733" s="208"/>
      <c r="U733" s="208"/>
      <c r="V733" s="208"/>
      <c r="W733" s="208"/>
      <c r="X733" s="208"/>
      <c r="Y733" s="208"/>
      <c r="Z733" s="208"/>
      <c r="AA733" s="208"/>
      <c r="AB733" s="208"/>
      <c r="AC733" s="208"/>
      <c r="AD733" s="208"/>
      <c r="AE733" s="208"/>
      <c r="AF733" s="208"/>
      <c r="AG733" s="208"/>
      <c r="AH733" s="208"/>
      <c r="AI733" s="208"/>
      <c r="AJ733" s="208"/>
      <c r="AK733" s="208"/>
    </row>
    <row r="734">
      <c r="A734" s="208"/>
      <c r="B734" s="208"/>
      <c r="C734" s="208"/>
      <c r="D734" s="208"/>
      <c r="E734" s="208"/>
      <c r="F734" s="208"/>
      <c r="G734" s="208"/>
      <c r="H734" s="233"/>
      <c r="I734" s="234"/>
      <c r="J734" s="208"/>
      <c r="K734" s="208"/>
      <c r="L734" s="208"/>
      <c r="M734" s="208"/>
      <c r="N734" s="208"/>
      <c r="O734" s="208"/>
      <c r="P734" s="208"/>
      <c r="Q734" s="208"/>
      <c r="R734" s="208"/>
      <c r="S734" s="208"/>
      <c r="T734" s="208"/>
      <c r="U734" s="208"/>
      <c r="V734" s="208"/>
      <c r="W734" s="208"/>
      <c r="X734" s="208"/>
      <c r="Y734" s="208"/>
      <c r="Z734" s="208"/>
      <c r="AA734" s="208"/>
      <c r="AB734" s="208"/>
      <c r="AC734" s="208"/>
      <c r="AD734" s="208"/>
      <c r="AE734" s="208"/>
      <c r="AF734" s="208"/>
      <c r="AG734" s="208"/>
      <c r="AH734" s="208"/>
      <c r="AI734" s="208"/>
      <c r="AJ734" s="208"/>
      <c r="AK734" s="208"/>
    </row>
    <row r="735">
      <c r="A735" s="208"/>
      <c r="B735" s="208"/>
      <c r="C735" s="208"/>
      <c r="D735" s="208"/>
      <c r="E735" s="208"/>
      <c r="F735" s="208"/>
      <c r="G735" s="208"/>
      <c r="H735" s="233"/>
      <c r="I735" s="234"/>
      <c r="J735" s="208"/>
      <c r="K735" s="208"/>
      <c r="L735" s="208"/>
      <c r="M735" s="208"/>
      <c r="N735" s="208"/>
      <c r="O735" s="208"/>
      <c r="P735" s="208"/>
      <c r="Q735" s="208"/>
      <c r="R735" s="208"/>
      <c r="S735" s="208"/>
      <c r="T735" s="208"/>
      <c r="U735" s="208"/>
      <c r="V735" s="208"/>
      <c r="W735" s="208"/>
      <c r="X735" s="208"/>
      <c r="Y735" s="208"/>
      <c r="Z735" s="208"/>
      <c r="AA735" s="208"/>
      <c r="AB735" s="208"/>
      <c r="AC735" s="208"/>
      <c r="AD735" s="208"/>
      <c r="AE735" s="208"/>
      <c r="AF735" s="208"/>
      <c r="AG735" s="208"/>
      <c r="AH735" s="208"/>
      <c r="AI735" s="208"/>
      <c r="AJ735" s="208"/>
      <c r="AK735" s="208"/>
    </row>
    <row r="736">
      <c r="A736" s="208"/>
      <c r="B736" s="208"/>
      <c r="C736" s="208"/>
      <c r="D736" s="208"/>
      <c r="E736" s="208"/>
      <c r="F736" s="208"/>
      <c r="G736" s="208"/>
      <c r="H736" s="233"/>
      <c r="I736" s="234"/>
      <c r="J736" s="208"/>
      <c r="K736" s="208"/>
      <c r="L736" s="208"/>
      <c r="M736" s="208"/>
      <c r="N736" s="208"/>
      <c r="O736" s="208"/>
      <c r="P736" s="208"/>
      <c r="Q736" s="208"/>
      <c r="R736" s="208"/>
      <c r="S736" s="208"/>
      <c r="T736" s="208"/>
      <c r="U736" s="208"/>
      <c r="V736" s="208"/>
      <c r="W736" s="208"/>
      <c r="X736" s="208"/>
      <c r="Y736" s="208"/>
      <c r="Z736" s="208"/>
      <c r="AA736" s="208"/>
      <c r="AB736" s="208"/>
      <c r="AC736" s="208"/>
      <c r="AD736" s="208"/>
      <c r="AE736" s="208"/>
      <c r="AF736" s="208"/>
      <c r="AG736" s="208"/>
      <c r="AH736" s="208"/>
      <c r="AI736" s="208"/>
      <c r="AJ736" s="208"/>
      <c r="AK736" s="208"/>
    </row>
    <row r="737">
      <c r="A737" s="208"/>
      <c r="B737" s="208"/>
      <c r="C737" s="208"/>
      <c r="D737" s="208"/>
      <c r="E737" s="208"/>
      <c r="F737" s="208"/>
      <c r="G737" s="208"/>
      <c r="H737" s="233"/>
      <c r="I737" s="234"/>
      <c r="J737" s="208"/>
      <c r="K737" s="208"/>
      <c r="L737" s="208"/>
      <c r="M737" s="208"/>
      <c r="N737" s="208"/>
      <c r="O737" s="208"/>
      <c r="P737" s="208"/>
      <c r="Q737" s="208"/>
      <c r="R737" s="208"/>
      <c r="S737" s="208"/>
      <c r="T737" s="208"/>
      <c r="U737" s="208"/>
      <c r="V737" s="208"/>
      <c r="W737" s="208"/>
      <c r="X737" s="208"/>
      <c r="Y737" s="208"/>
      <c r="Z737" s="208"/>
      <c r="AA737" s="208"/>
      <c r="AB737" s="208"/>
      <c r="AC737" s="208"/>
      <c r="AD737" s="208"/>
      <c r="AE737" s="208"/>
      <c r="AF737" s="208"/>
      <c r="AG737" s="208"/>
      <c r="AH737" s="208"/>
      <c r="AI737" s="208"/>
      <c r="AJ737" s="208"/>
      <c r="AK737" s="208"/>
    </row>
    <row r="738">
      <c r="A738" s="208"/>
      <c r="B738" s="208"/>
      <c r="C738" s="208"/>
      <c r="D738" s="208"/>
      <c r="E738" s="208"/>
      <c r="F738" s="208"/>
      <c r="G738" s="208"/>
      <c r="H738" s="233"/>
      <c r="I738" s="234"/>
      <c r="J738" s="208"/>
      <c r="K738" s="208"/>
      <c r="L738" s="208"/>
      <c r="M738" s="208"/>
      <c r="N738" s="208"/>
      <c r="O738" s="208"/>
      <c r="P738" s="208"/>
      <c r="Q738" s="208"/>
      <c r="R738" s="208"/>
      <c r="S738" s="208"/>
      <c r="T738" s="208"/>
      <c r="U738" s="208"/>
      <c r="V738" s="208"/>
      <c r="W738" s="208"/>
      <c r="X738" s="208"/>
      <c r="Y738" s="208"/>
      <c r="Z738" s="208"/>
      <c r="AA738" s="208"/>
      <c r="AB738" s="208"/>
      <c r="AC738" s="208"/>
      <c r="AD738" s="208"/>
      <c r="AE738" s="208"/>
      <c r="AF738" s="208"/>
      <c r="AG738" s="208"/>
      <c r="AH738" s="208"/>
      <c r="AI738" s="208"/>
      <c r="AJ738" s="208"/>
      <c r="AK738" s="208"/>
    </row>
    <row r="739">
      <c r="A739" s="208"/>
      <c r="B739" s="208"/>
      <c r="C739" s="208"/>
      <c r="D739" s="208"/>
      <c r="E739" s="208"/>
      <c r="F739" s="208"/>
      <c r="G739" s="208"/>
      <c r="H739" s="233"/>
      <c r="I739" s="234"/>
      <c r="J739" s="208"/>
      <c r="K739" s="208"/>
      <c r="L739" s="208"/>
      <c r="M739" s="208"/>
      <c r="N739" s="208"/>
      <c r="O739" s="208"/>
      <c r="P739" s="208"/>
      <c r="Q739" s="208"/>
      <c r="R739" s="208"/>
      <c r="S739" s="208"/>
      <c r="T739" s="208"/>
      <c r="U739" s="208"/>
      <c r="V739" s="208"/>
      <c r="W739" s="208"/>
      <c r="X739" s="208"/>
      <c r="Y739" s="208"/>
      <c r="Z739" s="208"/>
      <c r="AA739" s="208"/>
      <c r="AB739" s="208"/>
      <c r="AC739" s="208"/>
      <c r="AD739" s="208"/>
      <c r="AE739" s="208"/>
      <c r="AF739" s="208"/>
      <c r="AG739" s="208"/>
      <c r="AH739" s="208"/>
      <c r="AI739" s="208"/>
      <c r="AJ739" s="208"/>
      <c r="AK739" s="208"/>
    </row>
    <row r="740">
      <c r="A740" s="208"/>
      <c r="B740" s="208"/>
      <c r="C740" s="208"/>
      <c r="D740" s="208"/>
      <c r="E740" s="208"/>
      <c r="F740" s="208"/>
      <c r="G740" s="208"/>
      <c r="H740" s="233"/>
      <c r="I740" s="234"/>
      <c r="J740" s="208"/>
      <c r="K740" s="208"/>
      <c r="L740" s="208"/>
      <c r="M740" s="208"/>
      <c r="N740" s="208"/>
      <c r="O740" s="208"/>
      <c r="P740" s="208"/>
      <c r="Q740" s="208"/>
      <c r="R740" s="208"/>
      <c r="S740" s="208"/>
      <c r="T740" s="208"/>
      <c r="U740" s="208"/>
      <c r="V740" s="208"/>
      <c r="W740" s="208"/>
      <c r="X740" s="208"/>
      <c r="Y740" s="208"/>
      <c r="Z740" s="208"/>
      <c r="AA740" s="208"/>
      <c r="AB740" s="208"/>
      <c r="AC740" s="208"/>
      <c r="AD740" s="208"/>
      <c r="AE740" s="208"/>
      <c r="AF740" s="208"/>
      <c r="AG740" s="208"/>
      <c r="AH740" s="208"/>
      <c r="AI740" s="208"/>
      <c r="AJ740" s="208"/>
      <c r="AK740" s="208"/>
    </row>
    <row r="741">
      <c r="A741" s="208"/>
      <c r="B741" s="208"/>
      <c r="C741" s="208"/>
      <c r="D741" s="208"/>
      <c r="E741" s="208"/>
      <c r="F741" s="208"/>
      <c r="G741" s="208"/>
      <c r="H741" s="233"/>
      <c r="I741" s="234"/>
      <c r="J741" s="208"/>
      <c r="K741" s="208"/>
      <c r="L741" s="208"/>
      <c r="M741" s="208"/>
      <c r="N741" s="208"/>
      <c r="O741" s="208"/>
      <c r="P741" s="208"/>
      <c r="Q741" s="208"/>
      <c r="R741" s="208"/>
      <c r="S741" s="208"/>
      <c r="T741" s="208"/>
      <c r="U741" s="208"/>
      <c r="V741" s="208"/>
      <c r="W741" s="208"/>
      <c r="X741" s="208"/>
      <c r="Y741" s="208"/>
      <c r="Z741" s="208"/>
      <c r="AA741" s="208"/>
      <c r="AB741" s="208"/>
      <c r="AC741" s="208"/>
      <c r="AD741" s="208"/>
      <c r="AE741" s="208"/>
      <c r="AF741" s="208"/>
      <c r="AG741" s="208"/>
      <c r="AH741" s="208"/>
      <c r="AI741" s="208"/>
      <c r="AJ741" s="208"/>
      <c r="AK741" s="208"/>
    </row>
    <row r="742">
      <c r="A742" s="208"/>
      <c r="B742" s="208"/>
      <c r="C742" s="208"/>
      <c r="D742" s="208"/>
      <c r="E742" s="208"/>
      <c r="F742" s="208"/>
      <c r="G742" s="208"/>
      <c r="H742" s="233"/>
      <c r="I742" s="234"/>
      <c r="J742" s="208"/>
      <c r="K742" s="208"/>
      <c r="L742" s="208"/>
      <c r="M742" s="208"/>
      <c r="N742" s="208"/>
      <c r="O742" s="208"/>
      <c r="P742" s="208"/>
      <c r="Q742" s="208"/>
      <c r="R742" s="208"/>
      <c r="S742" s="208"/>
      <c r="T742" s="208"/>
      <c r="U742" s="208"/>
      <c r="V742" s="208"/>
      <c r="W742" s="208"/>
      <c r="X742" s="208"/>
      <c r="Y742" s="208"/>
      <c r="Z742" s="208"/>
      <c r="AA742" s="208"/>
      <c r="AB742" s="208"/>
      <c r="AC742" s="208"/>
      <c r="AD742" s="208"/>
      <c r="AE742" s="208"/>
      <c r="AF742" s="208"/>
      <c r="AG742" s="208"/>
      <c r="AH742" s="208"/>
      <c r="AI742" s="208"/>
      <c r="AJ742" s="208"/>
      <c r="AK742" s="208"/>
    </row>
    <row r="743">
      <c r="A743" s="208"/>
      <c r="B743" s="208"/>
      <c r="C743" s="208"/>
      <c r="D743" s="208"/>
      <c r="E743" s="208"/>
      <c r="F743" s="208"/>
      <c r="G743" s="208"/>
      <c r="H743" s="233"/>
      <c r="I743" s="234"/>
      <c r="J743" s="208"/>
      <c r="K743" s="208"/>
      <c r="L743" s="208"/>
      <c r="M743" s="208"/>
      <c r="N743" s="208"/>
      <c r="O743" s="208"/>
      <c r="P743" s="208"/>
      <c r="Q743" s="208"/>
      <c r="R743" s="208"/>
      <c r="S743" s="208"/>
      <c r="T743" s="208"/>
      <c r="U743" s="208"/>
      <c r="V743" s="208"/>
      <c r="W743" s="208"/>
      <c r="X743" s="208"/>
      <c r="Y743" s="208"/>
      <c r="Z743" s="208"/>
      <c r="AA743" s="208"/>
      <c r="AB743" s="208"/>
      <c r="AC743" s="208"/>
      <c r="AD743" s="208"/>
      <c r="AE743" s="208"/>
      <c r="AF743" s="208"/>
      <c r="AG743" s="208"/>
      <c r="AH743" s="208"/>
      <c r="AI743" s="208"/>
      <c r="AJ743" s="208"/>
      <c r="AK743" s="208"/>
    </row>
    <row r="744">
      <c r="A744" s="208"/>
      <c r="B744" s="208"/>
      <c r="C744" s="208"/>
      <c r="D744" s="208"/>
      <c r="E744" s="208"/>
      <c r="F744" s="208"/>
      <c r="G744" s="208"/>
      <c r="H744" s="233"/>
      <c r="I744" s="234"/>
      <c r="J744" s="208"/>
      <c r="K744" s="208"/>
      <c r="L744" s="208"/>
      <c r="M744" s="208"/>
      <c r="N744" s="208"/>
      <c r="O744" s="208"/>
      <c r="P744" s="208"/>
      <c r="Q744" s="208"/>
      <c r="R744" s="208"/>
      <c r="S744" s="208"/>
      <c r="T744" s="208"/>
      <c r="U744" s="208"/>
      <c r="V744" s="208"/>
      <c r="W744" s="208"/>
      <c r="X744" s="208"/>
      <c r="Y744" s="208"/>
      <c r="Z744" s="208"/>
      <c r="AA744" s="208"/>
      <c r="AB744" s="208"/>
      <c r="AC744" s="208"/>
      <c r="AD744" s="208"/>
      <c r="AE744" s="208"/>
      <c r="AF744" s="208"/>
      <c r="AG744" s="208"/>
      <c r="AH744" s="208"/>
      <c r="AI744" s="208"/>
      <c r="AJ744" s="208"/>
      <c r="AK744" s="208"/>
    </row>
    <row r="745">
      <c r="A745" s="208"/>
      <c r="B745" s="208"/>
      <c r="C745" s="208"/>
      <c r="D745" s="208"/>
      <c r="E745" s="208"/>
      <c r="F745" s="208"/>
      <c r="G745" s="208"/>
      <c r="H745" s="233"/>
      <c r="I745" s="234"/>
      <c r="J745" s="208"/>
      <c r="K745" s="208"/>
      <c r="L745" s="208"/>
      <c r="M745" s="208"/>
      <c r="N745" s="208"/>
      <c r="O745" s="208"/>
      <c r="P745" s="208"/>
      <c r="Q745" s="208"/>
      <c r="R745" s="208"/>
      <c r="S745" s="208"/>
      <c r="T745" s="208"/>
      <c r="U745" s="208"/>
      <c r="V745" s="208"/>
      <c r="W745" s="208"/>
      <c r="X745" s="208"/>
      <c r="Y745" s="208"/>
      <c r="Z745" s="208"/>
      <c r="AA745" s="208"/>
      <c r="AB745" s="208"/>
      <c r="AC745" s="208"/>
      <c r="AD745" s="208"/>
      <c r="AE745" s="208"/>
      <c r="AF745" s="208"/>
      <c r="AG745" s="208"/>
      <c r="AH745" s="208"/>
      <c r="AI745" s="208"/>
      <c r="AJ745" s="208"/>
      <c r="AK745" s="208"/>
    </row>
    <row r="746">
      <c r="A746" s="208"/>
      <c r="B746" s="208"/>
      <c r="C746" s="208"/>
      <c r="D746" s="208"/>
      <c r="E746" s="208"/>
      <c r="F746" s="208"/>
      <c r="G746" s="208"/>
      <c r="H746" s="233"/>
      <c r="I746" s="234"/>
      <c r="J746" s="208"/>
      <c r="K746" s="208"/>
      <c r="L746" s="208"/>
      <c r="M746" s="208"/>
      <c r="N746" s="208"/>
      <c r="O746" s="208"/>
      <c r="P746" s="208"/>
      <c r="Q746" s="208"/>
      <c r="R746" s="208"/>
      <c r="S746" s="208"/>
      <c r="T746" s="208"/>
      <c r="U746" s="208"/>
      <c r="V746" s="208"/>
      <c r="W746" s="208"/>
      <c r="X746" s="208"/>
      <c r="Y746" s="208"/>
      <c r="Z746" s="208"/>
      <c r="AA746" s="208"/>
      <c r="AB746" s="208"/>
      <c r="AC746" s="208"/>
      <c r="AD746" s="208"/>
      <c r="AE746" s="208"/>
      <c r="AF746" s="208"/>
      <c r="AG746" s="208"/>
      <c r="AH746" s="208"/>
      <c r="AI746" s="208"/>
      <c r="AJ746" s="208"/>
      <c r="AK746" s="208"/>
    </row>
    <row r="747">
      <c r="A747" s="208"/>
      <c r="B747" s="208"/>
      <c r="C747" s="208"/>
      <c r="D747" s="208"/>
      <c r="E747" s="208"/>
      <c r="F747" s="208"/>
      <c r="G747" s="208"/>
      <c r="H747" s="233"/>
      <c r="I747" s="234"/>
      <c r="J747" s="208"/>
      <c r="K747" s="208"/>
      <c r="L747" s="208"/>
      <c r="M747" s="208"/>
      <c r="N747" s="208"/>
      <c r="O747" s="208"/>
      <c r="P747" s="208"/>
      <c r="Q747" s="208"/>
      <c r="R747" s="208"/>
      <c r="S747" s="208"/>
      <c r="T747" s="208"/>
      <c r="U747" s="208"/>
      <c r="V747" s="208"/>
      <c r="W747" s="208"/>
      <c r="X747" s="208"/>
      <c r="Y747" s="208"/>
      <c r="Z747" s="208"/>
      <c r="AA747" s="208"/>
      <c r="AB747" s="208"/>
      <c r="AC747" s="208"/>
      <c r="AD747" s="208"/>
      <c r="AE747" s="208"/>
      <c r="AF747" s="208"/>
      <c r="AG747" s="208"/>
      <c r="AH747" s="208"/>
      <c r="AI747" s="208"/>
      <c r="AJ747" s="208"/>
      <c r="AK747" s="208"/>
    </row>
    <row r="748">
      <c r="A748" s="208"/>
      <c r="B748" s="208"/>
      <c r="C748" s="208"/>
      <c r="D748" s="208"/>
      <c r="E748" s="208"/>
      <c r="F748" s="208"/>
      <c r="G748" s="208"/>
      <c r="H748" s="233"/>
      <c r="I748" s="234"/>
      <c r="J748" s="208"/>
      <c r="K748" s="208"/>
      <c r="L748" s="208"/>
      <c r="M748" s="208"/>
      <c r="N748" s="208"/>
      <c r="O748" s="208"/>
      <c r="P748" s="208"/>
      <c r="Q748" s="208"/>
      <c r="R748" s="208"/>
      <c r="S748" s="208"/>
      <c r="T748" s="208"/>
      <c r="U748" s="208"/>
      <c r="V748" s="208"/>
      <c r="W748" s="208"/>
      <c r="X748" s="208"/>
      <c r="Y748" s="208"/>
      <c r="Z748" s="208"/>
      <c r="AA748" s="208"/>
      <c r="AB748" s="208"/>
      <c r="AC748" s="208"/>
      <c r="AD748" s="208"/>
      <c r="AE748" s="208"/>
      <c r="AF748" s="208"/>
      <c r="AG748" s="208"/>
      <c r="AH748" s="208"/>
      <c r="AI748" s="208"/>
      <c r="AJ748" s="208"/>
      <c r="AK748" s="208"/>
    </row>
    <row r="749">
      <c r="A749" s="208"/>
      <c r="B749" s="208"/>
      <c r="C749" s="208"/>
      <c r="D749" s="208"/>
      <c r="E749" s="208"/>
      <c r="F749" s="208"/>
      <c r="G749" s="208"/>
      <c r="H749" s="233"/>
      <c r="I749" s="234"/>
      <c r="J749" s="208"/>
      <c r="K749" s="208"/>
      <c r="L749" s="208"/>
      <c r="M749" s="208"/>
      <c r="N749" s="208"/>
      <c r="O749" s="208"/>
      <c r="P749" s="208"/>
      <c r="Q749" s="208"/>
      <c r="R749" s="208"/>
      <c r="S749" s="208"/>
      <c r="T749" s="208"/>
      <c r="U749" s="208"/>
      <c r="V749" s="208"/>
      <c r="W749" s="208"/>
      <c r="X749" s="208"/>
      <c r="Y749" s="208"/>
      <c r="Z749" s="208"/>
      <c r="AA749" s="208"/>
      <c r="AB749" s="208"/>
      <c r="AC749" s="208"/>
      <c r="AD749" s="208"/>
      <c r="AE749" s="208"/>
      <c r="AF749" s="208"/>
      <c r="AG749" s="208"/>
      <c r="AH749" s="208"/>
      <c r="AI749" s="208"/>
      <c r="AJ749" s="208"/>
      <c r="AK749" s="208"/>
    </row>
    <row r="750">
      <c r="A750" s="208"/>
      <c r="B750" s="208"/>
      <c r="C750" s="208"/>
      <c r="D750" s="208"/>
      <c r="E750" s="208"/>
      <c r="F750" s="208"/>
      <c r="G750" s="208"/>
      <c r="H750" s="233"/>
      <c r="I750" s="234"/>
      <c r="J750" s="208"/>
      <c r="K750" s="208"/>
      <c r="L750" s="208"/>
      <c r="M750" s="208"/>
      <c r="N750" s="208"/>
      <c r="O750" s="208"/>
      <c r="P750" s="208"/>
      <c r="Q750" s="208"/>
      <c r="R750" s="208"/>
      <c r="S750" s="208"/>
      <c r="T750" s="208"/>
      <c r="U750" s="208"/>
      <c r="V750" s="208"/>
      <c r="W750" s="208"/>
      <c r="X750" s="208"/>
      <c r="Y750" s="208"/>
      <c r="Z750" s="208"/>
      <c r="AA750" s="208"/>
      <c r="AB750" s="208"/>
      <c r="AC750" s="208"/>
      <c r="AD750" s="208"/>
      <c r="AE750" s="208"/>
      <c r="AF750" s="208"/>
      <c r="AG750" s="208"/>
      <c r="AH750" s="208"/>
      <c r="AI750" s="208"/>
      <c r="AJ750" s="208"/>
      <c r="AK750" s="208"/>
    </row>
    <row r="751">
      <c r="A751" s="208"/>
      <c r="B751" s="208"/>
      <c r="C751" s="208"/>
      <c r="D751" s="208"/>
      <c r="E751" s="208"/>
      <c r="F751" s="208"/>
      <c r="G751" s="208"/>
      <c r="H751" s="233"/>
      <c r="I751" s="234"/>
      <c r="J751" s="208"/>
      <c r="K751" s="208"/>
      <c r="L751" s="208"/>
      <c r="M751" s="208"/>
      <c r="N751" s="208"/>
      <c r="O751" s="208"/>
      <c r="P751" s="208"/>
      <c r="Q751" s="208"/>
      <c r="R751" s="208"/>
      <c r="S751" s="208"/>
      <c r="T751" s="208"/>
      <c r="U751" s="208"/>
      <c r="V751" s="208"/>
      <c r="W751" s="208"/>
      <c r="X751" s="208"/>
      <c r="Y751" s="208"/>
      <c r="Z751" s="208"/>
      <c r="AA751" s="208"/>
      <c r="AB751" s="208"/>
      <c r="AC751" s="208"/>
      <c r="AD751" s="208"/>
      <c r="AE751" s="208"/>
      <c r="AF751" s="208"/>
      <c r="AG751" s="208"/>
      <c r="AH751" s="208"/>
      <c r="AI751" s="208"/>
      <c r="AJ751" s="208"/>
      <c r="AK751" s="208"/>
    </row>
    <row r="752">
      <c r="A752" s="208"/>
      <c r="B752" s="208"/>
      <c r="C752" s="208"/>
      <c r="D752" s="208"/>
      <c r="E752" s="208"/>
      <c r="F752" s="208"/>
      <c r="G752" s="208"/>
      <c r="H752" s="233"/>
      <c r="I752" s="234"/>
      <c r="J752" s="208"/>
      <c r="K752" s="208"/>
      <c r="L752" s="208"/>
      <c r="M752" s="208"/>
      <c r="N752" s="208"/>
      <c r="O752" s="208"/>
      <c r="P752" s="208"/>
      <c r="Q752" s="208"/>
      <c r="R752" s="208"/>
      <c r="S752" s="208"/>
      <c r="T752" s="208"/>
      <c r="U752" s="208"/>
      <c r="V752" s="208"/>
      <c r="W752" s="208"/>
      <c r="X752" s="208"/>
      <c r="Y752" s="208"/>
      <c r="Z752" s="208"/>
      <c r="AA752" s="208"/>
      <c r="AB752" s="208"/>
      <c r="AC752" s="208"/>
      <c r="AD752" s="208"/>
      <c r="AE752" s="208"/>
      <c r="AF752" s="208"/>
      <c r="AG752" s="208"/>
      <c r="AH752" s="208"/>
      <c r="AI752" s="208"/>
      <c r="AJ752" s="208"/>
      <c r="AK752" s="208"/>
    </row>
    <row r="753">
      <c r="A753" s="208"/>
      <c r="B753" s="208"/>
      <c r="C753" s="208"/>
      <c r="D753" s="208"/>
      <c r="E753" s="208"/>
      <c r="F753" s="208"/>
      <c r="G753" s="208"/>
      <c r="H753" s="233"/>
      <c r="I753" s="234"/>
      <c r="J753" s="208"/>
      <c r="K753" s="208"/>
      <c r="L753" s="208"/>
      <c r="M753" s="208"/>
      <c r="N753" s="208"/>
      <c r="O753" s="208"/>
      <c r="P753" s="208"/>
      <c r="Q753" s="208"/>
      <c r="R753" s="208"/>
      <c r="S753" s="208"/>
      <c r="T753" s="208"/>
      <c r="U753" s="208"/>
      <c r="V753" s="208"/>
      <c r="W753" s="208"/>
      <c r="X753" s="208"/>
      <c r="Y753" s="208"/>
      <c r="Z753" s="208"/>
      <c r="AA753" s="208"/>
      <c r="AB753" s="208"/>
      <c r="AC753" s="208"/>
      <c r="AD753" s="208"/>
      <c r="AE753" s="208"/>
      <c r="AF753" s="208"/>
      <c r="AG753" s="208"/>
      <c r="AH753" s="208"/>
      <c r="AI753" s="208"/>
      <c r="AJ753" s="208"/>
      <c r="AK753" s="208"/>
    </row>
    <row r="754">
      <c r="A754" s="208"/>
      <c r="B754" s="208"/>
      <c r="C754" s="208"/>
      <c r="D754" s="208"/>
      <c r="E754" s="208"/>
      <c r="F754" s="208"/>
      <c r="G754" s="208"/>
      <c r="H754" s="233"/>
      <c r="I754" s="234"/>
      <c r="J754" s="208"/>
      <c r="K754" s="208"/>
      <c r="L754" s="208"/>
      <c r="M754" s="208"/>
      <c r="N754" s="208"/>
      <c r="O754" s="208"/>
      <c r="P754" s="208"/>
      <c r="Q754" s="208"/>
      <c r="R754" s="208"/>
      <c r="S754" s="208"/>
      <c r="T754" s="208"/>
      <c r="U754" s="208"/>
      <c r="V754" s="208"/>
      <c r="W754" s="208"/>
      <c r="X754" s="208"/>
      <c r="Y754" s="208"/>
      <c r="Z754" s="208"/>
      <c r="AA754" s="208"/>
      <c r="AB754" s="208"/>
      <c r="AC754" s="208"/>
      <c r="AD754" s="208"/>
      <c r="AE754" s="208"/>
      <c r="AF754" s="208"/>
      <c r="AG754" s="208"/>
      <c r="AH754" s="208"/>
      <c r="AI754" s="208"/>
      <c r="AJ754" s="208"/>
      <c r="AK754" s="208"/>
    </row>
    <row r="755">
      <c r="A755" s="208"/>
      <c r="B755" s="208"/>
      <c r="C755" s="208"/>
      <c r="D755" s="208"/>
      <c r="E755" s="208"/>
      <c r="F755" s="208"/>
      <c r="G755" s="208"/>
      <c r="H755" s="233"/>
      <c r="I755" s="234"/>
      <c r="J755" s="208"/>
      <c r="K755" s="208"/>
      <c r="L755" s="208"/>
      <c r="M755" s="208"/>
      <c r="N755" s="208"/>
      <c r="O755" s="208"/>
      <c r="P755" s="208"/>
      <c r="Q755" s="208"/>
      <c r="R755" s="208"/>
      <c r="S755" s="208"/>
      <c r="T755" s="208"/>
      <c r="U755" s="208"/>
      <c r="V755" s="208"/>
      <c r="W755" s="208"/>
      <c r="X755" s="208"/>
      <c r="Y755" s="208"/>
      <c r="Z755" s="208"/>
      <c r="AA755" s="208"/>
      <c r="AB755" s="208"/>
      <c r="AC755" s="208"/>
      <c r="AD755" s="208"/>
      <c r="AE755" s="208"/>
      <c r="AF755" s="208"/>
      <c r="AG755" s="208"/>
      <c r="AH755" s="208"/>
      <c r="AI755" s="208"/>
      <c r="AJ755" s="208"/>
      <c r="AK755" s="208"/>
    </row>
    <row r="756">
      <c r="A756" s="208"/>
      <c r="B756" s="208"/>
      <c r="C756" s="208"/>
      <c r="D756" s="208"/>
      <c r="E756" s="208"/>
      <c r="F756" s="208"/>
      <c r="G756" s="208"/>
      <c r="H756" s="233"/>
      <c r="I756" s="234"/>
      <c r="J756" s="208"/>
      <c r="K756" s="208"/>
      <c r="L756" s="208"/>
      <c r="M756" s="208"/>
      <c r="N756" s="208"/>
      <c r="O756" s="208"/>
      <c r="P756" s="208"/>
      <c r="Q756" s="208"/>
      <c r="R756" s="208"/>
      <c r="S756" s="208"/>
      <c r="T756" s="208"/>
      <c r="U756" s="208"/>
      <c r="V756" s="208"/>
      <c r="W756" s="208"/>
      <c r="X756" s="208"/>
      <c r="Y756" s="208"/>
      <c r="Z756" s="208"/>
      <c r="AA756" s="208"/>
      <c r="AB756" s="208"/>
      <c r="AC756" s="208"/>
      <c r="AD756" s="208"/>
      <c r="AE756" s="208"/>
      <c r="AF756" s="208"/>
      <c r="AG756" s="208"/>
      <c r="AH756" s="208"/>
      <c r="AI756" s="208"/>
      <c r="AJ756" s="208"/>
      <c r="AK756" s="208"/>
    </row>
    <row r="757">
      <c r="A757" s="208"/>
      <c r="B757" s="208"/>
      <c r="C757" s="208"/>
      <c r="D757" s="208"/>
      <c r="E757" s="208"/>
      <c r="F757" s="208"/>
      <c r="G757" s="208"/>
      <c r="H757" s="233"/>
      <c r="I757" s="234"/>
      <c r="J757" s="208"/>
      <c r="K757" s="208"/>
      <c r="L757" s="208"/>
      <c r="M757" s="208"/>
      <c r="N757" s="208"/>
      <c r="O757" s="208"/>
      <c r="P757" s="208"/>
      <c r="Q757" s="208"/>
      <c r="R757" s="208"/>
      <c r="S757" s="208"/>
      <c r="T757" s="208"/>
      <c r="U757" s="208"/>
      <c r="V757" s="208"/>
      <c r="W757" s="208"/>
      <c r="X757" s="208"/>
      <c r="Y757" s="208"/>
      <c r="Z757" s="208"/>
      <c r="AA757" s="208"/>
      <c r="AB757" s="208"/>
      <c r="AC757" s="208"/>
      <c r="AD757" s="208"/>
      <c r="AE757" s="208"/>
      <c r="AF757" s="208"/>
      <c r="AG757" s="208"/>
      <c r="AH757" s="208"/>
      <c r="AI757" s="208"/>
      <c r="AJ757" s="208"/>
      <c r="AK757" s="208"/>
    </row>
    <row r="758">
      <c r="A758" s="208"/>
      <c r="B758" s="208"/>
      <c r="C758" s="208"/>
      <c r="D758" s="208"/>
      <c r="E758" s="208"/>
      <c r="F758" s="208"/>
      <c r="G758" s="208"/>
      <c r="H758" s="233"/>
      <c r="I758" s="234"/>
      <c r="J758" s="208"/>
      <c r="K758" s="208"/>
      <c r="L758" s="208"/>
      <c r="M758" s="208"/>
      <c r="N758" s="208"/>
      <c r="O758" s="208"/>
      <c r="P758" s="208"/>
      <c r="Q758" s="208"/>
      <c r="R758" s="208"/>
      <c r="S758" s="208"/>
      <c r="T758" s="208"/>
      <c r="U758" s="208"/>
      <c r="V758" s="208"/>
      <c r="W758" s="208"/>
      <c r="X758" s="208"/>
      <c r="Y758" s="208"/>
      <c r="Z758" s="208"/>
      <c r="AA758" s="208"/>
      <c r="AB758" s="208"/>
      <c r="AC758" s="208"/>
      <c r="AD758" s="208"/>
      <c r="AE758" s="208"/>
      <c r="AF758" s="208"/>
      <c r="AG758" s="208"/>
      <c r="AH758" s="208"/>
      <c r="AI758" s="208"/>
      <c r="AJ758" s="208"/>
      <c r="AK758" s="208"/>
    </row>
    <row r="759">
      <c r="A759" s="208"/>
      <c r="B759" s="208"/>
      <c r="C759" s="208"/>
      <c r="D759" s="208"/>
      <c r="E759" s="208"/>
      <c r="F759" s="208"/>
      <c r="G759" s="208"/>
      <c r="H759" s="233"/>
      <c r="I759" s="234"/>
      <c r="J759" s="208"/>
      <c r="K759" s="208"/>
      <c r="L759" s="208"/>
      <c r="M759" s="208"/>
      <c r="N759" s="208"/>
      <c r="O759" s="208"/>
      <c r="P759" s="208"/>
      <c r="Q759" s="208"/>
      <c r="R759" s="208"/>
      <c r="S759" s="208"/>
      <c r="T759" s="208"/>
      <c r="U759" s="208"/>
      <c r="V759" s="208"/>
      <c r="W759" s="208"/>
      <c r="X759" s="208"/>
      <c r="Y759" s="208"/>
      <c r="Z759" s="208"/>
      <c r="AA759" s="208"/>
      <c r="AB759" s="208"/>
      <c r="AC759" s="208"/>
      <c r="AD759" s="208"/>
      <c r="AE759" s="208"/>
      <c r="AF759" s="208"/>
      <c r="AG759" s="208"/>
      <c r="AH759" s="208"/>
      <c r="AI759" s="208"/>
      <c r="AJ759" s="208"/>
      <c r="AK759" s="208"/>
    </row>
    <row r="760">
      <c r="A760" s="208"/>
      <c r="B760" s="208"/>
      <c r="C760" s="208"/>
      <c r="D760" s="208"/>
      <c r="E760" s="208"/>
      <c r="F760" s="208"/>
      <c r="G760" s="208"/>
      <c r="H760" s="233"/>
      <c r="I760" s="234"/>
      <c r="J760" s="208"/>
      <c r="K760" s="208"/>
      <c r="L760" s="208"/>
      <c r="M760" s="208"/>
      <c r="N760" s="208"/>
      <c r="O760" s="208"/>
      <c r="P760" s="208"/>
      <c r="Q760" s="208"/>
      <c r="R760" s="208"/>
      <c r="S760" s="208"/>
      <c r="T760" s="208"/>
      <c r="U760" s="208"/>
      <c r="V760" s="208"/>
      <c r="W760" s="208"/>
      <c r="X760" s="208"/>
      <c r="Y760" s="208"/>
      <c r="Z760" s="208"/>
      <c r="AA760" s="208"/>
      <c r="AB760" s="208"/>
      <c r="AC760" s="208"/>
      <c r="AD760" s="208"/>
      <c r="AE760" s="208"/>
      <c r="AF760" s="208"/>
      <c r="AG760" s="208"/>
      <c r="AH760" s="208"/>
      <c r="AI760" s="208"/>
      <c r="AJ760" s="208"/>
      <c r="AK760" s="208"/>
    </row>
    <row r="761">
      <c r="A761" s="208"/>
      <c r="B761" s="208"/>
      <c r="C761" s="208"/>
      <c r="D761" s="208"/>
      <c r="E761" s="208"/>
      <c r="F761" s="208"/>
      <c r="G761" s="208"/>
      <c r="H761" s="233"/>
      <c r="I761" s="234"/>
      <c r="J761" s="208"/>
      <c r="K761" s="208"/>
      <c r="L761" s="208"/>
      <c r="M761" s="208"/>
      <c r="N761" s="208"/>
      <c r="O761" s="208"/>
      <c r="P761" s="208"/>
      <c r="Q761" s="208"/>
      <c r="R761" s="208"/>
      <c r="S761" s="208"/>
      <c r="T761" s="208"/>
      <c r="U761" s="208"/>
      <c r="V761" s="208"/>
      <c r="W761" s="208"/>
      <c r="X761" s="208"/>
      <c r="Y761" s="208"/>
      <c r="Z761" s="208"/>
      <c r="AA761" s="208"/>
      <c r="AB761" s="208"/>
      <c r="AC761" s="208"/>
      <c r="AD761" s="208"/>
      <c r="AE761" s="208"/>
      <c r="AF761" s="208"/>
      <c r="AG761" s="208"/>
      <c r="AH761" s="208"/>
      <c r="AI761" s="208"/>
      <c r="AJ761" s="208"/>
      <c r="AK761" s="208"/>
    </row>
    <row r="762">
      <c r="A762" s="208"/>
      <c r="B762" s="208"/>
      <c r="C762" s="208"/>
      <c r="D762" s="208"/>
      <c r="E762" s="208"/>
      <c r="F762" s="208"/>
      <c r="G762" s="208"/>
      <c r="H762" s="233"/>
      <c r="I762" s="234"/>
      <c r="J762" s="208"/>
      <c r="K762" s="208"/>
      <c r="L762" s="208"/>
      <c r="M762" s="208"/>
      <c r="N762" s="208"/>
      <c r="O762" s="208"/>
      <c r="P762" s="208"/>
      <c r="Q762" s="208"/>
      <c r="R762" s="208"/>
      <c r="S762" s="208"/>
      <c r="T762" s="208"/>
      <c r="U762" s="208"/>
      <c r="V762" s="208"/>
      <c r="W762" s="208"/>
      <c r="X762" s="208"/>
      <c r="Y762" s="208"/>
      <c r="Z762" s="208"/>
      <c r="AA762" s="208"/>
      <c r="AB762" s="208"/>
      <c r="AC762" s="208"/>
      <c r="AD762" s="208"/>
      <c r="AE762" s="208"/>
      <c r="AF762" s="208"/>
      <c r="AG762" s="208"/>
      <c r="AH762" s="208"/>
      <c r="AI762" s="208"/>
      <c r="AJ762" s="208"/>
      <c r="AK762" s="208"/>
    </row>
    <row r="763">
      <c r="A763" s="208"/>
      <c r="B763" s="208"/>
      <c r="C763" s="208"/>
      <c r="D763" s="208"/>
      <c r="E763" s="208"/>
      <c r="F763" s="208"/>
      <c r="G763" s="208"/>
      <c r="H763" s="233"/>
      <c r="I763" s="234"/>
      <c r="J763" s="208"/>
      <c r="K763" s="208"/>
      <c r="L763" s="208"/>
      <c r="M763" s="208"/>
      <c r="N763" s="208"/>
      <c r="O763" s="208"/>
      <c r="P763" s="208"/>
      <c r="Q763" s="208"/>
      <c r="R763" s="208"/>
      <c r="S763" s="208"/>
      <c r="T763" s="208"/>
      <c r="U763" s="208"/>
      <c r="V763" s="208"/>
      <c r="W763" s="208"/>
      <c r="X763" s="208"/>
      <c r="Y763" s="208"/>
      <c r="Z763" s="208"/>
      <c r="AA763" s="208"/>
      <c r="AB763" s="208"/>
      <c r="AC763" s="208"/>
      <c r="AD763" s="208"/>
      <c r="AE763" s="208"/>
      <c r="AF763" s="208"/>
      <c r="AG763" s="208"/>
      <c r="AH763" s="208"/>
      <c r="AI763" s="208"/>
      <c r="AJ763" s="208"/>
      <c r="AK763" s="208"/>
    </row>
    <row r="764">
      <c r="A764" s="208"/>
      <c r="B764" s="208"/>
      <c r="C764" s="208"/>
      <c r="D764" s="208"/>
      <c r="E764" s="208"/>
      <c r="F764" s="208"/>
      <c r="G764" s="208"/>
      <c r="H764" s="233"/>
      <c r="I764" s="234"/>
      <c r="J764" s="208"/>
      <c r="K764" s="208"/>
      <c r="L764" s="208"/>
      <c r="M764" s="208"/>
      <c r="N764" s="208"/>
      <c r="O764" s="208"/>
      <c r="P764" s="208"/>
      <c r="Q764" s="208"/>
      <c r="R764" s="208"/>
      <c r="S764" s="208"/>
      <c r="T764" s="208"/>
      <c r="U764" s="208"/>
      <c r="V764" s="208"/>
      <c r="W764" s="208"/>
      <c r="X764" s="208"/>
      <c r="Y764" s="208"/>
      <c r="Z764" s="208"/>
      <c r="AA764" s="208"/>
      <c r="AB764" s="208"/>
      <c r="AC764" s="208"/>
      <c r="AD764" s="208"/>
      <c r="AE764" s="208"/>
      <c r="AF764" s="208"/>
      <c r="AG764" s="208"/>
      <c r="AH764" s="208"/>
      <c r="AI764" s="208"/>
      <c r="AJ764" s="208"/>
      <c r="AK764" s="208"/>
    </row>
    <row r="765">
      <c r="A765" s="208"/>
      <c r="B765" s="208"/>
      <c r="C765" s="208"/>
      <c r="D765" s="208"/>
      <c r="E765" s="208"/>
      <c r="F765" s="208"/>
      <c r="G765" s="208"/>
      <c r="H765" s="233"/>
      <c r="I765" s="234"/>
      <c r="J765" s="208"/>
      <c r="K765" s="208"/>
      <c r="L765" s="208"/>
      <c r="M765" s="208"/>
      <c r="N765" s="208"/>
      <c r="O765" s="208"/>
      <c r="P765" s="208"/>
      <c r="Q765" s="208"/>
      <c r="R765" s="208"/>
      <c r="S765" s="208"/>
      <c r="T765" s="208"/>
      <c r="U765" s="208"/>
      <c r="V765" s="208"/>
      <c r="W765" s="208"/>
      <c r="X765" s="208"/>
      <c r="Y765" s="208"/>
      <c r="Z765" s="208"/>
      <c r="AA765" s="208"/>
      <c r="AB765" s="208"/>
      <c r="AC765" s="208"/>
      <c r="AD765" s="208"/>
      <c r="AE765" s="208"/>
      <c r="AF765" s="208"/>
      <c r="AG765" s="208"/>
      <c r="AH765" s="208"/>
      <c r="AI765" s="208"/>
      <c r="AJ765" s="208"/>
      <c r="AK765" s="208"/>
    </row>
    <row r="766">
      <c r="A766" s="208"/>
      <c r="B766" s="208"/>
      <c r="C766" s="208"/>
      <c r="D766" s="208"/>
      <c r="E766" s="208"/>
      <c r="F766" s="208"/>
      <c r="G766" s="208"/>
      <c r="H766" s="233"/>
      <c r="I766" s="234"/>
      <c r="J766" s="208"/>
      <c r="K766" s="208"/>
      <c r="L766" s="208"/>
      <c r="M766" s="208"/>
      <c r="N766" s="208"/>
      <c r="O766" s="208"/>
      <c r="P766" s="208"/>
      <c r="Q766" s="208"/>
      <c r="R766" s="208"/>
      <c r="S766" s="208"/>
      <c r="T766" s="208"/>
      <c r="U766" s="208"/>
      <c r="V766" s="208"/>
      <c r="W766" s="208"/>
      <c r="X766" s="208"/>
      <c r="Y766" s="208"/>
      <c r="Z766" s="208"/>
      <c r="AA766" s="208"/>
      <c r="AB766" s="208"/>
      <c r="AC766" s="208"/>
      <c r="AD766" s="208"/>
      <c r="AE766" s="208"/>
      <c r="AF766" s="208"/>
      <c r="AG766" s="208"/>
      <c r="AH766" s="208"/>
      <c r="AI766" s="208"/>
      <c r="AJ766" s="208"/>
      <c r="AK766" s="208"/>
    </row>
    <row r="767">
      <c r="A767" s="208"/>
      <c r="B767" s="208"/>
      <c r="C767" s="208"/>
      <c r="D767" s="208"/>
      <c r="E767" s="208"/>
      <c r="F767" s="208"/>
      <c r="G767" s="208"/>
      <c r="H767" s="233"/>
      <c r="I767" s="234"/>
      <c r="J767" s="208"/>
      <c r="K767" s="208"/>
      <c r="L767" s="208"/>
      <c r="M767" s="208"/>
      <c r="N767" s="208"/>
      <c r="O767" s="208"/>
      <c r="P767" s="208"/>
      <c r="Q767" s="208"/>
      <c r="R767" s="208"/>
      <c r="S767" s="208"/>
      <c r="T767" s="208"/>
      <c r="U767" s="208"/>
      <c r="V767" s="208"/>
      <c r="W767" s="208"/>
      <c r="X767" s="208"/>
      <c r="Y767" s="208"/>
      <c r="Z767" s="208"/>
      <c r="AA767" s="208"/>
      <c r="AB767" s="208"/>
      <c r="AC767" s="208"/>
      <c r="AD767" s="208"/>
      <c r="AE767" s="208"/>
      <c r="AF767" s="208"/>
      <c r="AG767" s="208"/>
      <c r="AH767" s="208"/>
      <c r="AI767" s="208"/>
      <c r="AJ767" s="208"/>
      <c r="AK767" s="208"/>
    </row>
    <row r="768">
      <c r="A768" s="208"/>
      <c r="B768" s="208"/>
      <c r="C768" s="208"/>
      <c r="D768" s="208"/>
      <c r="E768" s="208"/>
      <c r="F768" s="208"/>
      <c r="G768" s="208"/>
      <c r="H768" s="233"/>
      <c r="I768" s="234"/>
      <c r="J768" s="208"/>
      <c r="K768" s="208"/>
      <c r="L768" s="208"/>
      <c r="M768" s="208"/>
      <c r="N768" s="208"/>
      <c r="O768" s="208"/>
      <c r="P768" s="208"/>
      <c r="Q768" s="208"/>
      <c r="R768" s="208"/>
      <c r="S768" s="208"/>
      <c r="T768" s="208"/>
      <c r="U768" s="208"/>
      <c r="V768" s="208"/>
      <c r="W768" s="208"/>
      <c r="X768" s="208"/>
      <c r="Y768" s="208"/>
      <c r="Z768" s="208"/>
      <c r="AA768" s="208"/>
      <c r="AB768" s="208"/>
      <c r="AC768" s="208"/>
      <c r="AD768" s="208"/>
      <c r="AE768" s="208"/>
      <c r="AF768" s="208"/>
      <c r="AG768" s="208"/>
      <c r="AH768" s="208"/>
      <c r="AI768" s="208"/>
      <c r="AJ768" s="208"/>
      <c r="AK768" s="208"/>
    </row>
    <row r="769">
      <c r="A769" s="208"/>
      <c r="B769" s="208"/>
      <c r="C769" s="208"/>
      <c r="D769" s="208"/>
      <c r="E769" s="208"/>
      <c r="F769" s="208"/>
      <c r="G769" s="208"/>
      <c r="H769" s="233"/>
      <c r="I769" s="234"/>
      <c r="J769" s="208"/>
      <c r="K769" s="208"/>
      <c r="L769" s="208"/>
      <c r="M769" s="208"/>
      <c r="N769" s="208"/>
      <c r="O769" s="208"/>
      <c r="P769" s="208"/>
      <c r="Q769" s="208"/>
      <c r="R769" s="208"/>
      <c r="S769" s="208"/>
      <c r="T769" s="208"/>
      <c r="U769" s="208"/>
      <c r="V769" s="208"/>
      <c r="W769" s="208"/>
      <c r="X769" s="208"/>
      <c r="Y769" s="208"/>
      <c r="Z769" s="208"/>
      <c r="AA769" s="208"/>
      <c r="AB769" s="208"/>
      <c r="AC769" s="208"/>
      <c r="AD769" s="208"/>
      <c r="AE769" s="208"/>
      <c r="AF769" s="208"/>
      <c r="AG769" s="208"/>
      <c r="AH769" s="208"/>
      <c r="AI769" s="208"/>
      <c r="AJ769" s="208"/>
      <c r="AK769" s="208"/>
    </row>
    <row r="770">
      <c r="A770" s="208"/>
      <c r="B770" s="208"/>
      <c r="C770" s="208"/>
      <c r="D770" s="208"/>
      <c r="E770" s="208"/>
      <c r="F770" s="208"/>
      <c r="G770" s="208"/>
      <c r="H770" s="233"/>
      <c r="I770" s="234"/>
      <c r="J770" s="208"/>
      <c r="K770" s="208"/>
      <c r="L770" s="208"/>
      <c r="M770" s="208"/>
      <c r="N770" s="208"/>
      <c r="O770" s="208"/>
      <c r="P770" s="208"/>
      <c r="Q770" s="208"/>
      <c r="R770" s="208"/>
      <c r="S770" s="208"/>
      <c r="T770" s="208"/>
      <c r="U770" s="208"/>
      <c r="V770" s="208"/>
      <c r="W770" s="208"/>
      <c r="X770" s="208"/>
      <c r="Y770" s="208"/>
      <c r="Z770" s="208"/>
      <c r="AA770" s="208"/>
      <c r="AB770" s="208"/>
      <c r="AC770" s="208"/>
      <c r="AD770" s="208"/>
      <c r="AE770" s="208"/>
      <c r="AF770" s="208"/>
      <c r="AG770" s="208"/>
      <c r="AH770" s="208"/>
      <c r="AI770" s="208"/>
      <c r="AJ770" s="208"/>
      <c r="AK770" s="208"/>
    </row>
    <row r="771">
      <c r="A771" s="208"/>
      <c r="B771" s="208"/>
      <c r="C771" s="208"/>
      <c r="D771" s="208"/>
      <c r="E771" s="208"/>
      <c r="F771" s="208"/>
      <c r="G771" s="208"/>
      <c r="H771" s="233"/>
      <c r="I771" s="234"/>
      <c r="J771" s="208"/>
      <c r="K771" s="208"/>
      <c r="L771" s="208"/>
      <c r="M771" s="208"/>
      <c r="N771" s="208"/>
      <c r="O771" s="208"/>
      <c r="P771" s="208"/>
      <c r="Q771" s="208"/>
      <c r="R771" s="208"/>
      <c r="S771" s="208"/>
      <c r="T771" s="208"/>
      <c r="U771" s="208"/>
      <c r="V771" s="208"/>
      <c r="W771" s="208"/>
      <c r="X771" s="208"/>
      <c r="Y771" s="208"/>
      <c r="Z771" s="208"/>
      <c r="AA771" s="208"/>
      <c r="AB771" s="208"/>
      <c r="AC771" s="208"/>
      <c r="AD771" s="208"/>
      <c r="AE771" s="208"/>
      <c r="AF771" s="208"/>
      <c r="AG771" s="208"/>
      <c r="AH771" s="208"/>
      <c r="AI771" s="208"/>
      <c r="AJ771" s="208"/>
      <c r="AK771" s="208"/>
    </row>
    <row r="772">
      <c r="A772" s="208"/>
      <c r="B772" s="208"/>
      <c r="C772" s="208"/>
      <c r="D772" s="208"/>
      <c r="E772" s="208"/>
      <c r="F772" s="208"/>
      <c r="G772" s="208"/>
      <c r="H772" s="233"/>
      <c r="I772" s="234"/>
      <c r="J772" s="208"/>
      <c r="K772" s="208"/>
      <c r="L772" s="208"/>
      <c r="M772" s="208"/>
      <c r="N772" s="208"/>
      <c r="O772" s="208"/>
      <c r="P772" s="208"/>
      <c r="Q772" s="208"/>
      <c r="R772" s="208"/>
      <c r="S772" s="208"/>
      <c r="T772" s="208"/>
      <c r="U772" s="208"/>
      <c r="V772" s="208"/>
      <c r="W772" s="208"/>
      <c r="X772" s="208"/>
      <c r="Y772" s="208"/>
      <c r="Z772" s="208"/>
      <c r="AA772" s="208"/>
      <c r="AB772" s="208"/>
      <c r="AC772" s="208"/>
      <c r="AD772" s="208"/>
      <c r="AE772" s="208"/>
      <c r="AF772" s="208"/>
      <c r="AG772" s="208"/>
      <c r="AH772" s="208"/>
      <c r="AI772" s="208"/>
      <c r="AJ772" s="208"/>
      <c r="AK772" s="208"/>
    </row>
    <row r="773">
      <c r="A773" s="208"/>
      <c r="B773" s="208"/>
      <c r="C773" s="208"/>
      <c r="D773" s="208"/>
      <c r="E773" s="208"/>
      <c r="F773" s="208"/>
      <c r="G773" s="208"/>
      <c r="H773" s="233"/>
      <c r="I773" s="234"/>
      <c r="J773" s="208"/>
      <c r="K773" s="208"/>
      <c r="L773" s="208"/>
      <c r="M773" s="208"/>
      <c r="N773" s="208"/>
      <c r="O773" s="208"/>
      <c r="P773" s="208"/>
      <c r="Q773" s="208"/>
      <c r="R773" s="208"/>
      <c r="S773" s="208"/>
      <c r="T773" s="208"/>
      <c r="U773" s="208"/>
      <c r="V773" s="208"/>
      <c r="W773" s="208"/>
      <c r="X773" s="208"/>
      <c r="Y773" s="208"/>
      <c r="Z773" s="208"/>
      <c r="AA773" s="208"/>
      <c r="AB773" s="208"/>
      <c r="AC773" s="208"/>
      <c r="AD773" s="208"/>
      <c r="AE773" s="208"/>
      <c r="AF773" s="208"/>
      <c r="AG773" s="208"/>
      <c r="AH773" s="208"/>
      <c r="AI773" s="208"/>
      <c r="AJ773" s="208"/>
      <c r="AK773" s="208"/>
    </row>
    <row r="774">
      <c r="A774" s="208"/>
      <c r="B774" s="208"/>
      <c r="C774" s="208"/>
      <c r="D774" s="208"/>
      <c r="E774" s="208"/>
      <c r="F774" s="208"/>
      <c r="G774" s="208"/>
      <c r="H774" s="233"/>
      <c r="I774" s="234"/>
      <c r="J774" s="208"/>
      <c r="K774" s="208"/>
      <c r="L774" s="208"/>
      <c r="M774" s="208"/>
      <c r="N774" s="208"/>
      <c r="O774" s="208"/>
      <c r="P774" s="208"/>
      <c r="Q774" s="208"/>
      <c r="R774" s="208"/>
      <c r="S774" s="208"/>
      <c r="T774" s="208"/>
      <c r="U774" s="208"/>
      <c r="V774" s="208"/>
      <c r="W774" s="208"/>
      <c r="X774" s="208"/>
      <c r="Y774" s="208"/>
      <c r="Z774" s="208"/>
      <c r="AA774" s="208"/>
      <c r="AB774" s="208"/>
      <c r="AC774" s="208"/>
      <c r="AD774" s="208"/>
      <c r="AE774" s="208"/>
      <c r="AF774" s="208"/>
      <c r="AG774" s="208"/>
      <c r="AH774" s="208"/>
      <c r="AI774" s="208"/>
      <c r="AJ774" s="208"/>
      <c r="AK774" s="208"/>
    </row>
    <row r="775">
      <c r="A775" s="208"/>
      <c r="B775" s="208"/>
      <c r="C775" s="208"/>
      <c r="D775" s="208"/>
      <c r="E775" s="208"/>
      <c r="F775" s="208"/>
      <c r="G775" s="208"/>
      <c r="H775" s="233"/>
      <c r="I775" s="234"/>
      <c r="J775" s="208"/>
      <c r="K775" s="208"/>
      <c r="L775" s="208"/>
      <c r="M775" s="208"/>
      <c r="N775" s="208"/>
      <c r="O775" s="208"/>
      <c r="P775" s="208"/>
      <c r="Q775" s="208"/>
      <c r="R775" s="208"/>
      <c r="S775" s="208"/>
      <c r="T775" s="208"/>
      <c r="U775" s="208"/>
      <c r="V775" s="208"/>
      <c r="W775" s="208"/>
      <c r="X775" s="208"/>
      <c r="Y775" s="208"/>
      <c r="Z775" s="208"/>
      <c r="AA775" s="208"/>
      <c r="AB775" s="208"/>
      <c r="AC775" s="208"/>
      <c r="AD775" s="208"/>
      <c r="AE775" s="208"/>
      <c r="AF775" s="208"/>
      <c r="AG775" s="208"/>
      <c r="AH775" s="208"/>
      <c r="AI775" s="208"/>
      <c r="AJ775" s="208"/>
      <c r="AK775" s="208"/>
    </row>
    <row r="776">
      <c r="A776" s="208"/>
      <c r="B776" s="208"/>
      <c r="C776" s="208"/>
      <c r="D776" s="208"/>
      <c r="E776" s="208"/>
      <c r="F776" s="208"/>
      <c r="G776" s="208"/>
      <c r="H776" s="233"/>
      <c r="I776" s="234"/>
      <c r="J776" s="208"/>
      <c r="K776" s="208"/>
      <c r="L776" s="208"/>
      <c r="M776" s="208"/>
      <c r="N776" s="208"/>
      <c r="O776" s="208"/>
      <c r="P776" s="208"/>
      <c r="Q776" s="208"/>
      <c r="R776" s="208"/>
      <c r="S776" s="208"/>
      <c r="T776" s="208"/>
      <c r="U776" s="208"/>
      <c r="V776" s="208"/>
      <c r="W776" s="208"/>
      <c r="X776" s="208"/>
      <c r="Y776" s="208"/>
      <c r="Z776" s="208"/>
      <c r="AA776" s="208"/>
      <c r="AB776" s="208"/>
      <c r="AC776" s="208"/>
      <c r="AD776" s="208"/>
      <c r="AE776" s="208"/>
      <c r="AF776" s="208"/>
      <c r="AG776" s="208"/>
      <c r="AH776" s="208"/>
      <c r="AI776" s="208"/>
      <c r="AJ776" s="208"/>
      <c r="AK776" s="208"/>
    </row>
    <row r="777">
      <c r="A777" s="208"/>
      <c r="B777" s="208"/>
      <c r="C777" s="208"/>
      <c r="D777" s="208"/>
      <c r="E777" s="208"/>
      <c r="F777" s="208"/>
      <c r="G777" s="208"/>
      <c r="H777" s="233"/>
      <c r="I777" s="234"/>
      <c r="J777" s="208"/>
      <c r="K777" s="208"/>
      <c r="L777" s="208"/>
      <c r="M777" s="208"/>
      <c r="N777" s="208"/>
      <c r="O777" s="208"/>
      <c r="P777" s="208"/>
      <c r="Q777" s="208"/>
      <c r="R777" s="208"/>
      <c r="S777" s="208"/>
      <c r="T777" s="208"/>
      <c r="U777" s="208"/>
      <c r="V777" s="208"/>
      <c r="W777" s="208"/>
      <c r="X777" s="208"/>
      <c r="Y777" s="208"/>
      <c r="Z777" s="208"/>
      <c r="AA777" s="208"/>
      <c r="AB777" s="208"/>
      <c r="AC777" s="208"/>
      <c r="AD777" s="208"/>
      <c r="AE777" s="208"/>
      <c r="AF777" s="208"/>
      <c r="AG777" s="208"/>
      <c r="AH777" s="208"/>
      <c r="AI777" s="208"/>
      <c r="AJ777" s="208"/>
      <c r="AK777" s="208"/>
    </row>
    <row r="778">
      <c r="A778" s="208"/>
      <c r="B778" s="208"/>
      <c r="C778" s="208"/>
      <c r="D778" s="208"/>
      <c r="E778" s="208"/>
      <c r="F778" s="208"/>
      <c r="G778" s="208"/>
      <c r="H778" s="233"/>
      <c r="I778" s="234"/>
      <c r="J778" s="208"/>
      <c r="K778" s="208"/>
      <c r="L778" s="208"/>
      <c r="M778" s="208"/>
      <c r="N778" s="208"/>
      <c r="O778" s="208"/>
      <c r="P778" s="208"/>
      <c r="Q778" s="208"/>
      <c r="R778" s="208"/>
      <c r="S778" s="208"/>
      <c r="T778" s="208"/>
      <c r="U778" s="208"/>
      <c r="V778" s="208"/>
      <c r="W778" s="208"/>
      <c r="X778" s="208"/>
      <c r="Y778" s="208"/>
      <c r="Z778" s="208"/>
      <c r="AA778" s="208"/>
      <c r="AB778" s="208"/>
      <c r="AC778" s="208"/>
      <c r="AD778" s="208"/>
      <c r="AE778" s="208"/>
      <c r="AF778" s="208"/>
      <c r="AG778" s="208"/>
      <c r="AH778" s="208"/>
      <c r="AI778" s="208"/>
      <c r="AJ778" s="208"/>
      <c r="AK778" s="208"/>
    </row>
    <row r="779">
      <c r="A779" s="208"/>
      <c r="B779" s="208"/>
      <c r="C779" s="208"/>
      <c r="D779" s="208"/>
      <c r="E779" s="208"/>
      <c r="F779" s="208"/>
      <c r="G779" s="208"/>
      <c r="H779" s="233"/>
      <c r="I779" s="234"/>
      <c r="J779" s="208"/>
      <c r="K779" s="208"/>
      <c r="L779" s="208"/>
      <c r="M779" s="208"/>
      <c r="N779" s="208"/>
      <c r="O779" s="208"/>
      <c r="P779" s="208"/>
      <c r="Q779" s="208"/>
      <c r="R779" s="208"/>
      <c r="S779" s="208"/>
      <c r="T779" s="208"/>
      <c r="U779" s="208"/>
      <c r="V779" s="208"/>
      <c r="W779" s="208"/>
      <c r="X779" s="208"/>
      <c r="Y779" s="208"/>
      <c r="Z779" s="208"/>
      <c r="AA779" s="208"/>
      <c r="AB779" s="208"/>
      <c r="AC779" s="208"/>
      <c r="AD779" s="208"/>
      <c r="AE779" s="208"/>
      <c r="AF779" s="208"/>
      <c r="AG779" s="208"/>
      <c r="AH779" s="208"/>
      <c r="AI779" s="208"/>
      <c r="AJ779" s="208"/>
      <c r="AK779" s="208"/>
    </row>
    <row r="780">
      <c r="A780" s="208"/>
      <c r="B780" s="208"/>
      <c r="C780" s="208"/>
      <c r="D780" s="208"/>
      <c r="E780" s="208"/>
      <c r="F780" s="208"/>
      <c r="G780" s="208"/>
      <c r="H780" s="233"/>
      <c r="I780" s="234"/>
      <c r="J780" s="208"/>
      <c r="K780" s="208"/>
      <c r="L780" s="208"/>
      <c r="M780" s="208"/>
      <c r="N780" s="208"/>
      <c r="O780" s="208"/>
      <c r="P780" s="208"/>
      <c r="Q780" s="208"/>
      <c r="R780" s="208"/>
      <c r="S780" s="208"/>
      <c r="T780" s="208"/>
      <c r="U780" s="208"/>
      <c r="V780" s="208"/>
      <c r="W780" s="208"/>
      <c r="X780" s="208"/>
      <c r="Y780" s="208"/>
      <c r="Z780" s="208"/>
      <c r="AA780" s="208"/>
      <c r="AB780" s="208"/>
      <c r="AC780" s="208"/>
      <c r="AD780" s="208"/>
      <c r="AE780" s="208"/>
      <c r="AF780" s="208"/>
      <c r="AG780" s="208"/>
      <c r="AH780" s="208"/>
      <c r="AI780" s="208"/>
      <c r="AJ780" s="208"/>
      <c r="AK780" s="208"/>
    </row>
    <row r="781">
      <c r="A781" s="208"/>
      <c r="B781" s="208"/>
      <c r="C781" s="208"/>
      <c r="D781" s="208"/>
      <c r="E781" s="208"/>
      <c r="F781" s="208"/>
      <c r="G781" s="208"/>
      <c r="H781" s="233"/>
      <c r="I781" s="234"/>
      <c r="J781" s="208"/>
      <c r="K781" s="208"/>
      <c r="L781" s="208"/>
      <c r="M781" s="208"/>
      <c r="N781" s="208"/>
      <c r="O781" s="208"/>
      <c r="P781" s="208"/>
      <c r="Q781" s="208"/>
      <c r="R781" s="208"/>
      <c r="S781" s="208"/>
      <c r="T781" s="208"/>
      <c r="U781" s="208"/>
      <c r="V781" s="208"/>
      <c r="W781" s="208"/>
      <c r="X781" s="208"/>
      <c r="Y781" s="208"/>
      <c r="Z781" s="208"/>
      <c r="AA781" s="208"/>
      <c r="AB781" s="208"/>
      <c r="AC781" s="208"/>
      <c r="AD781" s="208"/>
      <c r="AE781" s="208"/>
      <c r="AF781" s="208"/>
      <c r="AG781" s="208"/>
      <c r="AH781" s="208"/>
      <c r="AI781" s="208"/>
      <c r="AJ781" s="208"/>
      <c r="AK781" s="208"/>
    </row>
    <row r="782">
      <c r="A782" s="208"/>
      <c r="B782" s="208"/>
      <c r="C782" s="208"/>
      <c r="D782" s="208"/>
      <c r="E782" s="208"/>
      <c r="F782" s="208"/>
      <c r="G782" s="208"/>
      <c r="H782" s="233"/>
      <c r="I782" s="234"/>
      <c r="J782" s="208"/>
      <c r="K782" s="208"/>
      <c r="L782" s="208"/>
      <c r="M782" s="208"/>
      <c r="N782" s="208"/>
      <c r="O782" s="208"/>
      <c r="P782" s="208"/>
      <c r="Q782" s="208"/>
      <c r="R782" s="208"/>
      <c r="S782" s="208"/>
      <c r="T782" s="208"/>
      <c r="U782" s="208"/>
      <c r="V782" s="208"/>
      <c r="W782" s="208"/>
      <c r="X782" s="208"/>
      <c r="Y782" s="208"/>
      <c r="Z782" s="208"/>
      <c r="AA782" s="208"/>
      <c r="AB782" s="208"/>
      <c r="AC782" s="208"/>
      <c r="AD782" s="208"/>
      <c r="AE782" s="208"/>
      <c r="AF782" s="208"/>
      <c r="AG782" s="208"/>
      <c r="AH782" s="208"/>
      <c r="AI782" s="208"/>
      <c r="AJ782" s="208"/>
      <c r="AK782" s="208"/>
    </row>
    <row r="783">
      <c r="A783" s="208"/>
      <c r="B783" s="208"/>
      <c r="C783" s="208"/>
      <c r="D783" s="208"/>
      <c r="E783" s="208"/>
      <c r="F783" s="208"/>
      <c r="G783" s="208"/>
      <c r="H783" s="233"/>
      <c r="I783" s="234"/>
      <c r="J783" s="208"/>
      <c r="K783" s="208"/>
      <c r="L783" s="208"/>
      <c r="M783" s="208"/>
      <c r="N783" s="208"/>
      <c r="O783" s="208"/>
      <c r="P783" s="208"/>
      <c r="Q783" s="208"/>
      <c r="R783" s="208"/>
      <c r="S783" s="208"/>
      <c r="T783" s="208"/>
      <c r="U783" s="208"/>
      <c r="V783" s="208"/>
      <c r="W783" s="208"/>
      <c r="X783" s="208"/>
      <c r="Y783" s="208"/>
      <c r="Z783" s="208"/>
      <c r="AA783" s="208"/>
      <c r="AB783" s="208"/>
      <c r="AC783" s="208"/>
      <c r="AD783" s="208"/>
      <c r="AE783" s="208"/>
      <c r="AF783" s="208"/>
      <c r="AG783" s="208"/>
      <c r="AH783" s="208"/>
      <c r="AI783" s="208"/>
      <c r="AJ783" s="208"/>
      <c r="AK783" s="208"/>
    </row>
    <row r="784">
      <c r="A784" s="208"/>
      <c r="B784" s="208"/>
      <c r="C784" s="208"/>
      <c r="D784" s="208"/>
      <c r="E784" s="208"/>
      <c r="F784" s="208"/>
      <c r="G784" s="208"/>
      <c r="H784" s="233"/>
      <c r="I784" s="234"/>
      <c r="J784" s="208"/>
      <c r="K784" s="208"/>
      <c r="L784" s="208"/>
      <c r="M784" s="208"/>
      <c r="N784" s="208"/>
      <c r="O784" s="208"/>
      <c r="P784" s="208"/>
      <c r="Q784" s="208"/>
      <c r="R784" s="208"/>
      <c r="S784" s="208"/>
      <c r="T784" s="208"/>
      <c r="U784" s="208"/>
      <c r="V784" s="208"/>
      <c r="W784" s="208"/>
      <c r="X784" s="208"/>
      <c r="Y784" s="208"/>
      <c r="Z784" s="208"/>
      <c r="AA784" s="208"/>
      <c r="AB784" s="208"/>
      <c r="AC784" s="208"/>
      <c r="AD784" s="208"/>
      <c r="AE784" s="208"/>
      <c r="AF784" s="208"/>
      <c r="AG784" s="208"/>
      <c r="AH784" s="208"/>
      <c r="AI784" s="208"/>
      <c r="AJ784" s="208"/>
      <c r="AK784" s="208"/>
    </row>
    <row r="785">
      <c r="A785" s="208"/>
      <c r="B785" s="208"/>
      <c r="C785" s="208"/>
      <c r="D785" s="208"/>
      <c r="E785" s="208"/>
      <c r="F785" s="208"/>
      <c r="G785" s="208"/>
      <c r="H785" s="233"/>
      <c r="I785" s="234"/>
      <c r="J785" s="208"/>
      <c r="K785" s="208"/>
      <c r="L785" s="208"/>
      <c r="M785" s="208"/>
      <c r="N785" s="208"/>
      <c r="O785" s="208"/>
      <c r="P785" s="208"/>
      <c r="Q785" s="208"/>
      <c r="R785" s="208"/>
      <c r="S785" s="208"/>
      <c r="T785" s="208"/>
      <c r="U785" s="208"/>
      <c r="V785" s="208"/>
      <c r="W785" s="208"/>
      <c r="X785" s="208"/>
      <c r="Y785" s="208"/>
      <c r="Z785" s="208"/>
      <c r="AA785" s="208"/>
      <c r="AB785" s="208"/>
      <c r="AC785" s="208"/>
      <c r="AD785" s="208"/>
      <c r="AE785" s="208"/>
      <c r="AF785" s="208"/>
      <c r="AG785" s="208"/>
      <c r="AH785" s="208"/>
      <c r="AI785" s="208"/>
      <c r="AJ785" s="208"/>
      <c r="AK785" s="208"/>
    </row>
    <row r="786">
      <c r="A786" s="208"/>
      <c r="B786" s="208"/>
      <c r="C786" s="208"/>
      <c r="D786" s="208"/>
      <c r="E786" s="208"/>
      <c r="F786" s="208"/>
      <c r="G786" s="208"/>
      <c r="H786" s="233"/>
      <c r="I786" s="234"/>
      <c r="J786" s="208"/>
      <c r="K786" s="208"/>
      <c r="L786" s="208"/>
      <c r="M786" s="208"/>
      <c r="N786" s="208"/>
      <c r="O786" s="208"/>
      <c r="P786" s="208"/>
      <c r="Q786" s="208"/>
      <c r="R786" s="208"/>
      <c r="S786" s="208"/>
      <c r="T786" s="208"/>
      <c r="U786" s="208"/>
      <c r="V786" s="208"/>
      <c r="W786" s="208"/>
      <c r="X786" s="208"/>
      <c r="Y786" s="208"/>
      <c r="Z786" s="208"/>
      <c r="AA786" s="208"/>
      <c r="AB786" s="208"/>
      <c r="AC786" s="208"/>
      <c r="AD786" s="208"/>
      <c r="AE786" s="208"/>
      <c r="AF786" s="208"/>
      <c r="AG786" s="208"/>
      <c r="AH786" s="208"/>
      <c r="AI786" s="208"/>
      <c r="AJ786" s="208"/>
      <c r="AK786" s="208"/>
    </row>
    <row r="787">
      <c r="A787" s="208"/>
      <c r="B787" s="208"/>
      <c r="C787" s="208"/>
      <c r="D787" s="208"/>
      <c r="E787" s="208"/>
      <c r="F787" s="208"/>
      <c r="G787" s="208"/>
      <c r="H787" s="233"/>
      <c r="I787" s="234"/>
      <c r="J787" s="208"/>
      <c r="K787" s="208"/>
      <c r="L787" s="208"/>
      <c r="M787" s="208"/>
      <c r="N787" s="208"/>
      <c r="O787" s="208"/>
      <c r="P787" s="208"/>
      <c r="Q787" s="208"/>
      <c r="R787" s="208"/>
      <c r="S787" s="208"/>
      <c r="T787" s="208"/>
      <c r="U787" s="208"/>
      <c r="V787" s="208"/>
      <c r="W787" s="208"/>
      <c r="X787" s="208"/>
      <c r="Y787" s="208"/>
      <c r="Z787" s="208"/>
      <c r="AA787" s="208"/>
      <c r="AB787" s="208"/>
      <c r="AC787" s="208"/>
      <c r="AD787" s="208"/>
      <c r="AE787" s="208"/>
      <c r="AF787" s="208"/>
      <c r="AG787" s="208"/>
      <c r="AH787" s="208"/>
      <c r="AI787" s="208"/>
      <c r="AJ787" s="208"/>
      <c r="AK787" s="208"/>
    </row>
    <row r="788">
      <c r="A788" s="208"/>
      <c r="B788" s="208"/>
      <c r="C788" s="208"/>
      <c r="D788" s="208"/>
      <c r="E788" s="208"/>
      <c r="F788" s="208"/>
      <c r="G788" s="208"/>
      <c r="H788" s="233"/>
      <c r="I788" s="234"/>
      <c r="J788" s="208"/>
      <c r="K788" s="208"/>
      <c r="L788" s="208"/>
      <c r="M788" s="208"/>
      <c r="N788" s="208"/>
      <c r="O788" s="208"/>
      <c r="P788" s="208"/>
      <c r="Q788" s="208"/>
      <c r="R788" s="208"/>
      <c r="S788" s="208"/>
      <c r="T788" s="208"/>
      <c r="U788" s="208"/>
      <c r="V788" s="208"/>
      <c r="W788" s="208"/>
      <c r="X788" s="208"/>
      <c r="Y788" s="208"/>
      <c r="Z788" s="208"/>
      <c r="AA788" s="208"/>
      <c r="AB788" s="208"/>
      <c r="AC788" s="208"/>
      <c r="AD788" s="208"/>
      <c r="AE788" s="208"/>
      <c r="AF788" s="208"/>
      <c r="AG788" s="208"/>
      <c r="AH788" s="208"/>
      <c r="AI788" s="208"/>
      <c r="AJ788" s="208"/>
      <c r="AK788" s="208"/>
    </row>
    <row r="789">
      <c r="A789" s="208"/>
      <c r="B789" s="208"/>
      <c r="C789" s="208"/>
      <c r="D789" s="208"/>
      <c r="E789" s="208"/>
      <c r="F789" s="208"/>
      <c r="G789" s="208"/>
      <c r="H789" s="233"/>
      <c r="I789" s="234"/>
      <c r="J789" s="208"/>
      <c r="K789" s="208"/>
      <c r="L789" s="208"/>
      <c r="M789" s="208"/>
      <c r="N789" s="208"/>
      <c r="O789" s="208"/>
      <c r="P789" s="208"/>
      <c r="Q789" s="208"/>
      <c r="R789" s="208"/>
      <c r="S789" s="208"/>
      <c r="T789" s="208"/>
      <c r="U789" s="208"/>
      <c r="V789" s="208"/>
      <c r="W789" s="208"/>
      <c r="X789" s="208"/>
      <c r="Y789" s="208"/>
      <c r="Z789" s="208"/>
      <c r="AA789" s="208"/>
      <c r="AB789" s="208"/>
      <c r="AC789" s="208"/>
      <c r="AD789" s="208"/>
      <c r="AE789" s="208"/>
      <c r="AF789" s="208"/>
      <c r="AG789" s="208"/>
      <c r="AH789" s="208"/>
      <c r="AI789" s="208"/>
      <c r="AJ789" s="208"/>
      <c r="AK789" s="208"/>
    </row>
    <row r="790">
      <c r="A790" s="208"/>
      <c r="B790" s="208"/>
      <c r="C790" s="208"/>
      <c r="D790" s="208"/>
      <c r="E790" s="208"/>
      <c r="F790" s="208"/>
      <c r="G790" s="208"/>
      <c r="H790" s="233"/>
      <c r="I790" s="234"/>
      <c r="J790" s="208"/>
      <c r="K790" s="208"/>
      <c r="L790" s="208"/>
      <c r="M790" s="208"/>
      <c r="N790" s="208"/>
      <c r="O790" s="208"/>
      <c r="P790" s="208"/>
      <c r="Q790" s="208"/>
      <c r="R790" s="208"/>
      <c r="S790" s="208"/>
      <c r="T790" s="208"/>
      <c r="U790" s="208"/>
      <c r="V790" s="208"/>
      <c r="W790" s="208"/>
      <c r="X790" s="208"/>
      <c r="Y790" s="208"/>
      <c r="Z790" s="208"/>
      <c r="AA790" s="208"/>
      <c r="AB790" s="208"/>
      <c r="AC790" s="208"/>
      <c r="AD790" s="208"/>
      <c r="AE790" s="208"/>
      <c r="AF790" s="208"/>
      <c r="AG790" s="208"/>
      <c r="AH790" s="208"/>
      <c r="AI790" s="208"/>
      <c r="AJ790" s="208"/>
      <c r="AK790" s="208"/>
    </row>
    <row r="791">
      <c r="A791" s="208"/>
      <c r="B791" s="208"/>
      <c r="C791" s="208"/>
      <c r="D791" s="208"/>
      <c r="E791" s="208"/>
      <c r="F791" s="208"/>
      <c r="G791" s="208"/>
      <c r="H791" s="233"/>
      <c r="I791" s="234"/>
      <c r="J791" s="208"/>
      <c r="K791" s="208"/>
      <c r="L791" s="208"/>
      <c r="M791" s="208"/>
      <c r="N791" s="208"/>
      <c r="O791" s="208"/>
      <c r="P791" s="208"/>
      <c r="Q791" s="208"/>
      <c r="R791" s="208"/>
      <c r="S791" s="208"/>
      <c r="T791" s="208"/>
      <c r="U791" s="208"/>
      <c r="V791" s="208"/>
      <c r="W791" s="208"/>
      <c r="X791" s="208"/>
      <c r="Y791" s="208"/>
      <c r="Z791" s="208"/>
      <c r="AA791" s="208"/>
      <c r="AB791" s="208"/>
      <c r="AC791" s="208"/>
      <c r="AD791" s="208"/>
      <c r="AE791" s="208"/>
      <c r="AF791" s="208"/>
      <c r="AG791" s="208"/>
      <c r="AH791" s="208"/>
      <c r="AI791" s="208"/>
      <c r="AJ791" s="208"/>
      <c r="AK791" s="208"/>
    </row>
    <row r="792">
      <c r="A792" s="208"/>
      <c r="B792" s="208"/>
      <c r="C792" s="208"/>
      <c r="D792" s="208"/>
      <c r="E792" s="208"/>
      <c r="F792" s="208"/>
      <c r="G792" s="208"/>
      <c r="H792" s="233"/>
      <c r="I792" s="234"/>
      <c r="J792" s="208"/>
      <c r="K792" s="208"/>
      <c r="L792" s="208"/>
      <c r="M792" s="208"/>
      <c r="N792" s="208"/>
      <c r="O792" s="208"/>
      <c r="P792" s="208"/>
      <c r="Q792" s="208"/>
      <c r="R792" s="208"/>
      <c r="S792" s="208"/>
      <c r="T792" s="208"/>
      <c r="U792" s="208"/>
      <c r="V792" s="208"/>
      <c r="W792" s="208"/>
      <c r="X792" s="208"/>
      <c r="Y792" s="208"/>
      <c r="Z792" s="208"/>
      <c r="AA792" s="208"/>
      <c r="AB792" s="208"/>
      <c r="AC792" s="208"/>
      <c r="AD792" s="208"/>
      <c r="AE792" s="208"/>
      <c r="AF792" s="208"/>
      <c r="AG792" s="208"/>
      <c r="AH792" s="208"/>
      <c r="AI792" s="208"/>
      <c r="AJ792" s="208"/>
      <c r="AK792" s="208"/>
    </row>
    <row r="793">
      <c r="A793" s="208"/>
      <c r="B793" s="208"/>
      <c r="C793" s="208"/>
      <c r="D793" s="208"/>
      <c r="E793" s="208"/>
      <c r="F793" s="208"/>
      <c r="G793" s="208"/>
      <c r="H793" s="233"/>
      <c r="I793" s="234"/>
      <c r="J793" s="208"/>
      <c r="K793" s="208"/>
      <c r="L793" s="208"/>
      <c r="M793" s="208"/>
      <c r="N793" s="208"/>
      <c r="O793" s="208"/>
      <c r="P793" s="208"/>
      <c r="Q793" s="208"/>
      <c r="R793" s="208"/>
      <c r="S793" s="208"/>
      <c r="T793" s="208"/>
      <c r="U793" s="208"/>
      <c r="V793" s="208"/>
      <c r="W793" s="208"/>
      <c r="X793" s="208"/>
      <c r="Y793" s="208"/>
      <c r="Z793" s="208"/>
      <c r="AA793" s="208"/>
      <c r="AB793" s="208"/>
      <c r="AC793" s="208"/>
      <c r="AD793" s="208"/>
      <c r="AE793" s="208"/>
      <c r="AF793" s="208"/>
      <c r="AG793" s="208"/>
      <c r="AH793" s="208"/>
      <c r="AI793" s="208"/>
      <c r="AJ793" s="208"/>
      <c r="AK793" s="208"/>
    </row>
    <row r="794">
      <c r="A794" s="208"/>
      <c r="B794" s="208"/>
      <c r="C794" s="208"/>
      <c r="D794" s="208"/>
      <c r="E794" s="208"/>
      <c r="F794" s="208"/>
      <c r="G794" s="208"/>
      <c r="H794" s="233"/>
      <c r="I794" s="234"/>
      <c r="J794" s="208"/>
      <c r="K794" s="208"/>
      <c r="L794" s="208"/>
      <c r="M794" s="208"/>
      <c r="N794" s="208"/>
      <c r="O794" s="208"/>
      <c r="P794" s="208"/>
      <c r="Q794" s="208"/>
      <c r="R794" s="208"/>
      <c r="S794" s="208"/>
      <c r="T794" s="208"/>
      <c r="U794" s="208"/>
      <c r="V794" s="208"/>
      <c r="W794" s="208"/>
      <c r="X794" s="208"/>
      <c r="Y794" s="208"/>
      <c r="Z794" s="208"/>
      <c r="AA794" s="208"/>
      <c r="AB794" s="208"/>
      <c r="AC794" s="208"/>
      <c r="AD794" s="208"/>
      <c r="AE794" s="208"/>
      <c r="AF794" s="208"/>
      <c r="AG794" s="208"/>
      <c r="AH794" s="208"/>
      <c r="AI794" s="208"/>
      <c r="AJ794" s="208"/>
      <c r="AK794" s="208"/>
    </row>
    <row r="795">
      <c r="A795" s="208"/>
      <c r="B795" s="208"/>
      <c r="C795" s="208"/>
      <c r="D795" s="208"/>
      <c r="E795" s="208"/>
      <c r="F795" s="208"/>
      <c r="G795" s="208"/>
      <c r="H795" s="233"/>
      <c r="I795" s="234"/>
      <c r="J795" s="208"/>
      <c r="K795" s="208"/>
      <c r="L795" s="208"/>
      <c r="M795" s="208"/>
      <c r="N795" s="208"/>
      <c r="O795" s="208"/>
      <c r="P795" s="208"/>
      <c r="Q795" s="208"/>
      <c r="R795" s="208"/>
      <c r="S795" s="208"/>
      <c r="T795" s="208"/>
      <c r="U795" s="208"/>
      <c r="V795" s="208"/>
      <c r="W795" s="208"/>
      <c r="X795" s="208"/>
      <c r="Y795" s="208"/>
      <c r="Z795" s="208"/>
      <c r="AA795" s="208"/>
      <c r="AB795" s="208"/>
      <c r="AC795" s="208"/>
      <c r="AD795" s="208"/>
      <c r="AE795" s="208"/>
      <c r="AF795" s="208"/>
      <c r="AG795" s="208"/>
      <c r="AH795" s="208"/>
      <c r="AI795" s="208"/>
      <c r="AJ795" s="208"/>
      <c r="AK795" s="208"/>
    </row>
    <row r="796">
      <c r="A796" s="208"/>
      <c r="B796" s="208"/>
      <c r="C796" s="208"/>
      <c r="D796" s="208"/>
      <c r="E796" s="208"/>
      <c r="F796" s="208"/>
      <c r="G796" s="208"/>
      <c r="H796" s="233"/>
      <c r="I796" s="234"/>
      <c r="J796" s="208"/>
      <c r="K796" s="208"/>
      <c r="L796" s="208"/>
      <c r="M796" s="208"/>
      <c r="N796" s="208"/>
      <c r="O796" s="208"/>
      <c r="P796" s="208"/>
      <c r="Q796" s="208"/>
      <c r="R796" s="208"/>
      <c r="S796" s="208"/>
      <c r="T796" s="208"/>
      <c r="U796" s="208"/>
      <c r="V796" s="208"/>
      <c r="W796" s="208"/>
      <c r="X796" s="208"/>
      <c r="Y796" s="208"/>
      <c r="Z796" s="208"/>
      <c r="AA796" s="208"/>
      <c r="AB796" s="208"/>
      <c r="AC796" s="208"/>
      <c r="AD796" s="208"/>
      <c r="AE796" s="208"/>
      <c r="AF796" s="208"/>
      <c r="AG796" s="208"/>
      <c r="AH796" s="208"/>
      <c r="AI796" s="208"/>
      <c r="AJ796" s="208"/>
      <c r="AK796" s="208"/>
    </row>
    <row r="797">
      <c r="A797" s="208"/>
      <c r="B797" s="208"/>
      <c r="C797" s="208"/>
      <c r="D797" s="208"/>
      <c r="E797" s="208"/>
      <c r="F797" s="208"/>
      <c r="G797" s="208"/>
      <c r="H797" s="233"/>
      <c r="I797" s="234"/>
      <c r="J797" s="208"/>
      <c r="K797" s="208"/>
      <c r="L797" s="208"/>
      <c r="M797" s="208"/>
      <c r="N797" s="208"/>
      <c r="O797" s="208"/>
      <c r="P797" s="208"/>
      <c r="Q797" s="208"/>
      <c r="R797" s="208"/>
      <c r="S797" s="208"/>
      <c r="T797" s="208"/>
      <c r="U797" s="208"/>
      <c r="V797" s="208"/>
      <c r="W797" s="208"/>
      <c r="X797" s="208"/>
      <c r="Y797" s="208"/>
      <c r="Z797" s="208"/>
      <c r="AA797" s="208"/>
      <c r="AB797" s="208"/>
      <c r="AC797" s="208"/>
      <c r="AD797" s="208"/>
      <c r="AE797" s="208"/>
      <c r="AF797" s="208"/>
      <c r="AG797" s="208"/>
      <c r="AH797" s="208"/>
      <c r="AI797" s="208"/>
      <c r="AJ797" s="208"/>
      <c r="AK797" s="208"/>
    </row>
    <row r="798">
      <c r="A798" s="208"/>
      <c r="B798" s="208"/>
      <c r="C798" s="208"/>
      <c r="D798" s="208"/>
      <c r="E798" s="208"/>
      <c r="F798" s="208"/>
      <c r="G798" s="208"/>
      <c r="H798" s="233"/>
      <c r="I798" s="234"/>
      <c r="J798" s="208"/>
      <c r="K798" s="208"/>
      <c r="L798" s="208"/>
      <c r="M798" s="208"/>
      <c r="N798" s="208"/>
      <c r="O798" s="208"/>
      <c r="P798" s="208"/>
      <c r="Q798" s="208"/>
      <c r="R798" s="208"/>
      <c r="S798" s="208"/>
      <c r="T798" s="208"/>
      <c r="U798" s="208"/>
      <c r="V798" s="208"/>
      <c r="W798" s="208"/>
      <c r="X798" s="208"/>
      <c r="Y798" s="208"/>
      <c r="Z798" s="208"/>
      <c r="AA798" s="208"/>
      <c r="AB798" s="208"/>
      <c r="AC798" s="208"/>
      <c r="AD798" s="208"/>
      <c r="AE798" s="208"/>
      <c r="AF798" s="208"/>
      <c r="AG798" s="208"/>
      <c r="AH798" s="208"/>
      <c r="AI798" s="208"/>
      <c r="AJ798" s="208"/>
      <c r="AK798" s="208"/>
    </row>
    <row r="799">
      <c r="A799" s="208"/>
      <c r="B799" s="208"/>
      <c r="C799" s="208"/>
      <c r="D799" s="208"/>
      <c r="E799" s="208"/>
      <c r="F799" s="208"/>
      <c r="G799" s="208"/>
      <c r="H799" s="233"/>
      <c r="I799" s="234"/>
      <c r="J799" s="208"/>
      <c r="K799" s="208"/>
      <c r="L799" s="208"/>
      <c r="M799" s="208"/>
      <c r="N799" s="208"/>
      <c r="O799" s="208"/>
      <c r="P799" s="208"/>
      <c r="Q799" s="208"/>
      <c r="R799" s="208"/>
      <c r="S799" s="208"/>
      <c r="T799" s="208"/>
      <c r="U799" s="208"/>
      <c r="V799" s="208"/>
      <c r="W799" s="208"/>
      <c r="X799" s="208"/>
      <c r="Y799" s="208"/>
      <c r="Z799" s="208"/>
      <c r="AA799" s="208"/>
      <c r="AB799" s="208"/>
      <c r="AC799" s="208"/>
      <c r="AD799" s="208"/>
      <c r="AE799" s="208"/>
      <c r="AF799" s="208"/>
      <c r="AG799" s="208"/>
      <c r="AH799" s="208"/>
      <c r="AI799" s="208"/>
      <c r="AJ799" s="208"/>
      <c r="AK799" s="208"/>
    </row>
    <row r="800">
      <c r="A800" s="208"/>
      <c r="B800" s="208"/>
      <c r="C800" s="208"/>
      <c r="D800" s="208"/>
      <c r="E800" s="208"/>
      <c r="F800" s="208"/>
      <c r="G800" s="208"/>
      <c r="H800" s="233"/>
      <c r="I800" s="234"/>
      <c r="J800" s="208"/>
      <c r="K800" s="208"/>
      <c r="L800" s="208"/>
      <c r="M800" s="208"/>
      <c r="N800" s="208"/>
      <c r="O800" s="208"/>
      <c r="P800" s="208"/>
      <c r="Q800" s="208"/>
      <c r="R800" s="208"/>
      <c r="S800" s="208"/>
      <c r="T800" s="208"/>
      <c r="U800" s="208"/>
      <c r="V800" s="208"/>
      <c r="W800" s="208"/>
      <c r="X800" s="208"/>
      <c r="Y800" s="208"/>
      <c r="Z800" s="208"/>
      <c r="AA800" s="208"/>
      <c r="AB800" s="208"/>
      <c r="AC800" s="208"/>
      <c r="AD800" s="208"/>
      <c r="AE800" s="208"/>
      <c r="AF800" s="208"/>
      <c r="AG800" s="208"/>
      <c r="AH800" s="208"/>
      <c r="AI800" s="208"/>
      <c r="AJ800" s="208"/>
      <c r="AK800" s="208"/>
    </row>
    <row r="801">
      <c r="A801" s="208"/>
      <c r="B801" s="208"/>
      <c r="C801" s="208"/>
      <c r="D801" s="208"/>
      <c r="E801" s="208"/>
      <c r="F801" s="208"/>
      <c r="G801" s="208"/>
      <c r="H801" s="233"/>
      <c r="I801" s="234"/>
      <c r="J801" s="208"/>
      <c r="K801" s="208"/>
      <c r="L801" s="208"/>
      <c r="M801" s="208"/>
      <c r="N801" s="208"/>
      <c r="O801" s="208"/>
      <c r="P801" s="208"/>
      <c r="Q801" s="208"/>
      <c r="R801" s="208"/>
      <c r="S801" s="208"/>
      <c r="T801" s="208"/>
      <c r="U801" s="208"/>
      <c r="V801" s="208"/>
      <c r="W801" s="208"/>
      <c r="X801" s="208"/>
      <c r="Y801" s="208"/>
      <c r="Z801" s="208"/>
      <c r="AA801" s="208"/>
      <c r="AB801" s="208"/>
      <c r="AC801" s="208"/>
      <c r="AD801" s="208"/>
      <c r="AE801" s="208"/>
      <c r="AF801" s="208"/>
      <c r="AG801" s="208"/>
      <c r="AH801" s="208"/>
      <c r="AI801" s="208"/>
      <c r="AJ801" s="208"/>
      <c r="AK801" s="208"/>
    </row>
    <row r="802">
      <c r="A802" s="208"/>
      <c r="B802" s="208"/>
      <c r="C802" s="208"/>
      <c r="D802" s="208"/>
      <c r="E802" s="208"/>
      <c r="F802" s="208"/>
      <c r="G802" s="208"/>
      <c r="H802" s="233"/>
      <c r="I802" s="234"/>
      <c r="J802" s="208"/>
      <c r="K802" s="208"/>
      <c r="L802" s="208"/>
      <c r="M802" s="208"/>
      <c r="N802" s="208"/>
      <c r="O802" s="208"/>
      <c r="P802" s="208"/>
      <c r="Q802" s="208"/>
      <c r="R802" s="208"/>
      <c r="S802" s="208"/>
      <c r="T802" s="208"/>
      <c r="U802" s="208"/>
      <c r="V802" s="208"/>
      <c r="W802" s="208"/>
      <c r="X802" s="208"/>
      <c r="Y802" s="208"/>
      <c r="Z802" s="208"/>
      <c r="AA802" s="208"/>
      <c r="AB802" s="208"/>
      <c r="AC802" s="208"/>
      <c r="AD802" s="208"/>
      <c r="AE802" s="208"/>
      <c r="AF802" s="208"/>
      <c r="AG802" s="208"/>
      <c r="AH802" s="208"/>
      <c r="AI802" s="208"/>
      <c r="AJ802" s="208"/>
      <c r="AK802" s="208"/>
    </row>
    <row r="803">
      <c r="A803" s="208"/>
      <c r="B803" s="208"/>
      <c r="C803" s="208"/>
      <c r="D803" s="208"/>
      <c r="E803" s="208"/>
      <c r="F803" s="208"/>
      <c r="G803" s="208"/>
      <c r="H803" s="233"/>
      <c r="I803" s="234"/>
      <c r="J803" s="208"/>
      <c r="K803" s="208"/>
      <c r="L803" s="208"/>
      <c r="M803" s="208"/>
      <c r="N803" s="208"/>
      <c r="O803" s="208"/>
      <c r="P803" s="208"/>
      <c r="Q803" s="208"/>
      <c r="R803" s="208"/>
      <c r="S803" s="208"/>
      <c r="T803" s="208"/>
      <c r="U803" s="208"/>
      <c r="V803" s="208"/>
      <c r="W803" s="208"/>
      <c r="X803" s="208"/>
      <c r="Y803" s="208"/>
      <c r="Z803" s="208"/>
      <c r="AA803" s="208"/>
      <c r="AB803" s="208"/>
      <c r="AC803" s="208"/>
      <c r="AD803" s="208"/>
      <c r="AE803" s="208"/>
      <c r="AF803" s="208"/>
      <c r="AG803" s="208"/>
      <c r="AH803" s="208"/>
      <c r="AI803" s="208"/>
      <c r="AJ803" s="208"/>
      <c r="AK803" s="208"/>
    </row>
    <row r="804">
      <c r="A804" s="208"/>
      <c r="B804" s="208"/>
      <c r="C804" s="208"/>
      <c r="D804" s="208"/>
      <c r="E804" s="208"/>
      <c r="F804" s="208"/>
      <c r="G804" s="208"/>
      <c r="H804" s="233"/>
      <c r="I804" s="234"/>
      <c r="J804" s="208"/>
      <c r="K804" s="208"/>
      <c r="L804" s="208"/>
      <c r="M804" s="208"/>
      <c r="N804" s="208"/>
      <c r="O804" s="208"/>
      <c r="P804" s="208"/>
      <c r="Q804" s="208"/>
      <c r="R804" s="208"/>
      <c r="S804" s="208"/>
      <c r="T804" s="208"/>
      <c r="U804" s="208"/>
      <c r="V804" s="208"/>
      <c r="W804" s="208"/>
      <c r="X804" s="208"/>
      <c r="Y804" s="208"/>
      <c r="Z804" s="208"/>
      <c r="AA804" s="208"/>
      <c r="AB804" s="208"/>
      <c r="AC804" s="208"/>
      <c r="AD804" s="208"/>
      <c r="AE804" s="208"/>
      <c r="AF804" s="208"/>
      <c r="AG804" s="208"/>
      <c r="AH804" s="208"/>
      <c r="AI804" s="208"/>
      <c r="AJ804" s="208"/>
      <c r="AK804" s="208"/>
    </row>
    <row r="805">
      <c r="A805" s="208"/>
      <c r="B805" s="208"/>
      <c r="C805" s="208"/>
      <c r="D805" s="208"/>
      <c r="E805" s="208"/>
      <c r="F805" s="208"/>
      <c r="G805" s="208"/>
      <c r="H805" s="233"/>
      <c r="I805" s="234"/>
      <c r="J805" s="208"/>
      <c r="K805" s="208"/>
      <c r="L805" s="208"/>
      <c r="M805" s="208"/>
      <c r="N805" s="208"/>
      <c r="O805" s="208"/>
      <c r="P805" s="208"/>
      <c r="Q805" s="208"/>
      <c r="R805" s="208"/>
      <c r="S805" s="208"/>
      <c r="T805" s="208"/>
      <c r="U805" s="208"/>
      <c r="V805" s="208"/>
      <c r="W805" s="208"/>
      <c r="X805" s="208"/>
      <c r="Y805" s="208"/>
      <c r="Z805" s="208"/>
      <c r="AA805" s="208"/>
      <c r="AB805" s="208"/>
      <c r="AC805" s="208"/>
      <c r="AD805" s="208"/>
      <c r="AE805" s="208"/>
      <c r="AF805" s="208"/>
      <c r="AG805" s="208"/>
      <c r="AH805" s="208"/>
      <c r="AI805" s="208"/>
      <c r="AJ805" s="208"/>
      <c r="AK805" s="208"/>
    </row>
    <row r="806">
      <c r="A806" s="208"/>
      <c r="B806" s="208"/>
      <c r="C806" s="208"/>
      <c r="D806" s="208"/>
      <c r="E806" s="208"/>
      <c r="F806" s="208"/>
      <c r="G806" s="208"/>
      <c r="H806" s="233"/>
      <c r="I806" s="234"/>
      <c r="J806" s="208"/>
      <c r="K806" s="208"/>
      <c r="L806" s="208"/>
      <c r="M806" s="208"/>
      <c r="N806" s="208"/>
      <c r="O806" s="208"/>
      <c r="P806" s="208"/>
      <c r="Q806" s="208"/>
      <c r="R806" s="208"/>
      <c r="S806" s="208"/>
      <c r="T806" s="208"/>
      <c r="U806" s="208"/>
      <c r="V806" s="208"/>
      <c r="W806" s="208"/>
      <c r="X806" s="208"/>
      <c r="Y806" s="208"/>
      <c r="Z806" s="208"/>
      <c r="AA806" s="208"/>
      <c r="AB806" s="208"/>
      <c r="AC806" s="208"/>
      <c r="AD806" s="208"/>
      <c r="AE806" s="208"/>
      <c r="AF806" s="208"/>
      <c r="AG806" s="208"/>
      <c r="AH806" s="208"/>
      <c r="AI806" s="208"/>
      <c r="AJ806" s="208"/>
      <c r="AK806" s="208"/>
    </row>
    <row r="807">
      <c r="A807" s="208"/>
      <c r="B807" s="208"/>
      <c r="C807" s="208"/>
      <c r="D807" s="208"/>
      <c r="E807" s="208"/>
      <c r="F807" s="208"/>
      <c r="G807" s="208"/>
      <c r="H807" s="233"/>
      <c r="I807" s="234"/>
      <c r="J807" s="208"/>
      <c r="K807" s="208"/>
      <c r="L807" s="208"/>
      <c r="M807" s="208"/>
      <c r="N807" s="208"/>
      <c r="O807" s="208"/>
      <c r="P807" s="208"/>
      <c r="Q807" s="208"/>
      <c r="R807" s="208"/>
      <c r="S807" s="208"/>
      <c r="T807" s="208"/>
      <c r="U807" s="208"/>
      <c r="V807" s="208"/>
      <c r="W807" s="208"/>
      <c r="X807" s="208"/>
      <c r="Y807" s="208"/>
      <c r="Z807" s="208"/>
      <c r="AA807" s="208"/>
      <c r="AB807" s="208"/>
      <c r="AC807" s="208"/>
      <c r="AD807" s="208"/>
      <c r="AE807" s="208"/>
      <c r="AF807" s="208"/>
      <c r="AG807" s="208"/>
      <c r="AH807" s="208"/>
      <c r="AI807" s="208"/>
      <c r="AJ807" s="208"/>
      <c r="AK807" s="208"/>
    </row>
    <row r="808">
      <c r="A808" s="208"/>
      <c r="B808" s="208"/>
      <c r="C808" s="208"/>
      <c r="D808" s="208"/>
      <c r="E808" s="208"/>
      <c r="F808" s="208"/>
      <c r="G808" s="208"/>
      <c r="H808" s="233"/>
      <c r="I808" s="234"/>
      <c r="J808" s="208"/>
      <c r="K808" s="208"/>
      <c r="L808" s="208"/>
      <c r="M808" s="208"/>
      <c r="N808" s="208"/>
      <c r="O808" s="208"/>
      <c r="P808" s="208"/>
      <c r="Q808" s="208"/>
      <c r="R808" s="208"/>
      <c r="S808" s="208"/>
      <c r="T808" s="208"/>
      <c r="U808" s="208"/>
      <c r="V808" s="208"/>
      <c r="W808" s="208"/>
      <c r="X808" s="208"/>
      <c r="Y808" s="208"/>
      <c r="Z808" s="208"/>
      <c r="AA808" s="208"/>
      <c r="AB808" s="208"/>
      <c r="AC808" s="208"/>
      <c r="AD808" s="208"/>
      <c r="AE808" s="208"/>
      <c r="AF808" s="208"/>
      <c r="AG808" s="208"/>
      <c r="AH808" s="208"/>
      <c r="AI808" s="208"/>
      <c r="AJ808" s="208"/>
      <c r="AK808" s="208"/>
    </row>
    <row r="809">
      <c r="A809" s="208"/>
      <c r="B809" s="208"/>
      <c r="C809" s="208"/>
      <c r="D809" s="208"/>
      <c r="E809" s="208"/>
      <c r="F809" s="208"/>
      <c r="G809" s="208"/>
      <c r="H809" s="233"/>
      <c r="I809" s="234"/>
      <c r="J809" s="208"/>
      <c r="K809" s="208"/>
      <c r="L809" s="208"/>
      <c r="M809" s="208"/>
      <c r="N809" s="208"/>
      <c r="O809" s="208"/>
      <c r="P809" s="208"/>
      <c r="Q809" s="208"/>
      <c r="R809" s="208"/>
      <c r="S809" s="208"/>
      <c r="T809" s="208"/>
      <c r="U809" s="208"/>
      <c r="V809" s="208"/>
      <c r="W809" s="208"/>
      <c r="X809" s="208"/>
      <c r="Y809" s="208"/>
      <c r="Z809" s="208"/>
      <c r="AA809" s="208"/>
      <c r="AB809" s="208"/>
      <c r="AC809" s="208"/>
      <c r="AD809" s="208"/>
      <c r="AE809" s="208"/>
      <c r="AF809" s="208"/>
      <c r="AG809" s="208"/>
      <c r="AH809" s="208"/>
      <c r="AI809" s="208"/>
      <c r="AJ809" s="208"/>
      <c r="AK809" s="208"/>
    </row>
    <row r="810">
      <c r="A810" s="208"/>
      <c r="B810" s="208"/>
      <c r="C810" s="208"/>
      <c r="D810" s="208"/>
      <c r="E810" s="208"/>
      <c r="F810" s="208"/>
      <c r="G810" s="208"/>
      <c r="H810" s="233"/>
      <c r="I810" s="234"/>
      <c r="J810" s="208"/>
      <c r="K810" s="208"/>
      <c r="L810" s="208"/>
      <c r="M810" s="208"/>
      <c r="N810" s="208"/>
      <c r="O810" s="208"/>
      <c r="P810" s="208"/>
      <c r="Q810" s="208"/>
      <c r="R810" s="208"/>
      <c r="S810" s="208"/>
      <c r="T810" s="208"/>
      <c r="U810" s="208"/>
      <c r="V810" s="208"/>
      <c r="W810" s="208"/>
      <c r="X810" s="208"/>
      <c r="Y810" s="208"/>
      <c r="Z810" s="208"/>
      <c r="AA810" s="208"/>
      <c r="AB810" s="208"/>
      <c r="AC810" s="208"/>
      <c r="AD810" s="208"/>
      <c r="AE810" s="208"/>
      <c r="AF810" s="208"/>
      <c r="AG810" s="208"/>
      <c r="AH810" s="208"/>
      <c r="AI810" s="208"/>
      <c r="AJ810" s="208"/>
      <c r="AK810" s="208"/>
    </row>
    <row r="811">
      <c r="A811" s="208"/>
      <c r="B811" s="208"/>
      <c r="C811" s="208"/>
      <c r="D811" s="208"/>
      <c r="E811" s="208"/>
      <c r="F811" s="208"/>
      <c r="G811" s="208"/>
      <c r="H811" s="233"/>
      <c r="I811" s="234"/>
      <c r="J811" s="208"/>
      <c r="K811" s="208"/>
      <c r="L811" s="208"/>
      <c r="M811" s="208"/>
      <c r="N811" s="208"/>
      <c r="O811" s="208"/>
      <c r="P811" s="208"/>
      <c r="Q811" s="208"/>
      <c r="R811" s="208"/>
      <c r="S811" s="208"/>
      <c r="T811" s="208"/>
      <c r="U811" s="208"/>
      <c r="V811" s="208"/>
      <c r="W811" s="208"/>
      <c r="X811" s="208"/>
      <c r="Y811" s="208"/>
      <c r="Z811" s="208"/>
      <c r="AA811" s="208"/>
      <c r="AB811" s="208"/>
      <c r="AC811" s="208"/>
      <c r="AD811" s="208"/>
      <c r="AE811" s="208"/>
      <c r="AF811" s="208"/>
      <c r="AG811" s="208"/>
      <c r="AH811" s="208"/>
      <c r="AI811" s="208"/>
      <c r="AJ811" s="208"/>
      <c r="AK811" s="208"/>
    </row>
    <row r="812">
      <c r="A812" s="208"/>
      <c r="B812" s="208"/>
      <c r="C812" s="208"/>
      <c r="D812" s="208"/>
      <c r="E812" s="208"/>
      <c r="F812" s="208"/>
      <c r="G812" s="208"/>
      <c r="H812" s="233"/>
      <c r="I812" s="234"/>
      <c r="J812" s="208"/>
      <c r="K812" s="208"/>
      <c r="L812" s="208"/>
      <c r="M812" s="208"/>
      <c r="N812" s="208"/>
      <c r="O812" s="208"/>
      <c r="P812" s="208"/>
      <c r="Q812" s="208"/>
      <c r="R812" s="208"/>
      <c r="S812" s="208"/>
      <c r="T812" s="208"/>
      <c r="U812" s="208"/>
      <c r="V812" s="208"/>
      <c r="W812" s="208"/>
      <c r="X812" s="208"/>
      <c r="Y812" s="208"/>
      <c r="Z812" s="208"/>
      <c r="AA812" s="208"/>
      <c r="AB812" s="208"/>
      <c r="AC812" s="208"/>
      <c r="AD812" s="208"/>
      <c r="AE812" s="208"/>
      <c r="AF812" s="208"/>
      <c r="AG812" s="208"/>
      <c r="AH812" s="208"/>
      <c r="AI812" s="208"/>
      <c r="AJ812" s="208"/>
      <c r="AK812" s="208"/>
    </row>
    <row r="813">
      <c r="A813" s="208"/>
      <c r="B813" s="208"/>
      <c r="C813" s="208"/>
      <c r="D813" s="208"/>
      <c r="E813" s="208"/>
      <c r="F813" s="208"/>
      <c r="G813" s="208"/>
      <c r="H813" s="233"/>
      <c r="I813" s="234"/>
      <c r="J813" s="208"/>
      <c r="K813" s="208"/>
      <c r="L813" s="208"/>
      <c r="M813" s="208"/>
      <c r="N813" s="208"/>
      <c r="O813" s="208"/>
      <c r="P813" s="208"/>
      <c r="Q813" s="208"/>
      <c r="R813" s="208"/>
      <c r="S813" s="208"/>
      <c r="T813" s="208"/>
      <c r="U813" s="208"/>
      <c r="V813" s="208"/>
      <c r="W813" s="208"/>
      <c r="X813" s="208"/>
      <c r="Y813" s="208"/>
      <c r="Z813" s="208"/>
      <c r="AA813" s="208"/>
      <c r="AB813" s="208"/>
      <c r="AC813" s="208"/>
      <c r="AD813" s="208"/>
      <c r="AE813" s="208"/>
      <c r="AF813" s="208"/>
      <c r="AG813" s="208"/>
      <c r="AH813" s="208"/>
      <c r="AI813" s="208"/>
      <c r="AJ813" s="208"/>
      <c r="AK813" s="208"/>
    </row>
    <row r="814">
      <c r="A814" s="208"/>
      <c r="B814" s="208"/>
      <c r="C814" s="208"/>
      <c r="D814" s="208"/>
      <c r="E814" s="208"/>
      <c r="F814" s="208"/>
      <c r="G814" s="208"/>
      <c r="H814" s="233"/>
      <c r="I814" s="234"/>
      <c r="J814" s="208"/>
      <c r="K814" s="208"/>
      <c r="L814" s="208"/>
      <c r="M814" s="208"/>
      <c r="N814" s="208"/>
      <c r="O814" s="208"/>
      <c r="P814" s="208"/>
      <c r="Q814" s="208"/>
      <c r="R814" s="208"/>
      <c r="S814" s="208"/>
      <c r="T814" s="208"/>
      <c r="U814" s="208"/>
      <c r="V814" s="208"/>
      <c r="W814" s="208"/>
      <c r="X814" s="208"/>
      <c r="Y814" s="208"/>
      <c r="Z814" s="208"/>
      <c r="AA814" s="208"/>
      <c r="AB814" s="208"/>
      <c r="AC814" s="208"/>
      <c r="AD814" s="208"/>
      <c r="AE814" s="208"/>
      <c r="AF814" s="208"/>
      <c r="AG814" s="208"/>
      <c r="AH814" s="208"/>
      <c r="AI814" s="208"/>
      <c r="AJ814" s="208"/>
      <c r="AK814" s="208"/>
    </row>
    <row r="815">
      <c r="A815" s="208"/>
      <c r="B815" s="208"/>
      <c r="C815" s="208"/>
      <c r="D815" s="208"/>
      <c r="E815" s="208"/>
      <c r="F815" s="208"/>
      <c r="G815" s="208"/>
      <c r="H815" s="233"/>
      <c r="I815" s="234"/>
      <c r="J815" s="208"/>
      <c r="K815" s="208"/>
      <c r="L815" s="208"/>
      <c r="M815" s="208"/>
      <c r="N815" s="208"/>
      <c r="O815" s="208"/>
      <c r="P815" s="208"/>
      <c r="Q815" s="208"/>
      <c r="R815" s="208"/>
      <c r="S815" s="208"/>
      <c r="T815" s="208"/>
      <c r="U815" s="208"/>
      <c r="V815" s="208"/>
      <c r="W815" s="208"/>
      <c r="X815" s="208"/>
      <c r="Y815" s="208"/>
      <c r="Z815" s="208"/>
      <c r="AA815" s="208"/>
      <c r="AB815" s="208"/>
      <c r="AC815" s="208"/>
      <c r="AD815" s="208"/>
      <c r="AE815" s="208"/>
      <c r="AF815" s="208"/>
      <c r="AG815" s="208"/>
      <c r="AH815" s="208"/>
      <c r="AI815" s="208"/>
      <c r="AJ815" s="208"/>
      <c r="AK815" s="208"/>
    </row>
    <row r="816">
      <c r="A816" s="208"/>
      <c r="B816" s="208"/>
      <c r="C816" s="208"/>
      <c r="D816" s="208"/>
      <c r="E816" s="208"/>
      <c r="F816" s="208"/>
      <c r="G816" s="208"/>
      <c r="H816" s="233"/>
      <c r="I816" s="234"/>
      <c r="J816" s="208"/>
      <c r="K816" s="208"/>
      <c r="L816" s="208"/>
      <c r="M816" s="208"/>
      <c r="N816" s="208"/>
      <c r="O816" s="208"/>
      <c r="P816" s="208"/>
      <c r="Q816" s="208"/>
      <c r="R816" s="208"/>
      <c r="S816" s="208"/>
      <c r="T816" s="208"/>
      <c r="U816" s="208"/>
      <c r="V816" s="208"/>
      <c r="W816" s="208"/>
      <c r="X816" s="208"/>
      <c r="Y816" s="208"/>
      <c r="Z816" s="208"/>
      <c r="AA816" s="208"/>
      <c r="AB816" s="208"/>
      <c r="AC816" s="208"/>
      <c r="AD816" s="208"/>
      <c r="AE816" s="208"/>
      <c r="AF816" s="208"/>
      <c r="AG816" s="208"/>
      <c r="AH816" s="208"/>
      <c r="AI816" s="208"/>
      <c r="AJ816" s="208"/>
      <c r="AK816" s="208"/>
    </row>
    <row r="817">
      <c r="A817" s="208"/>
      <c r="B817" s="208"/>
      <c r="C817" s="208"/>
      <c r="D817" s="208"/>
      <c r="E817" s="208"/>
      <c r="F817" s="208"/>
      <c r="G817" s="208"/>
      <c r="H817" s="233"/>
      <c r="I817" s="234"/>
      <c r="J817" s="208"/>
      <c r="K817" s="208"/>
      <c r="L817" s="208"/>
      <c r="M817" s="208"/>
      <c r="N817" s="208"/>
      <c r="O817" s="208"/>
      <c r="P817" s="208"/>
      <c r="Q817" s="208"/>
      <c r="R817" s="208"/>
      <c r="S817" s="208"/>
      <c r="T817" s="208"/>
      <c r="U817" s="208"/>
      <c r="V817" s="208"/>
      <c r="W817" s="208"/>
      <c r="X817" s="208"/>
      <c r="Y817" s="208"/>
      <c r="Z817" s="208"/>
      <c r="AA817" s="208"/>
      <c r="AB817" s="208"/>
      <c r="AC817" s="208"/>
      <c r="AD817" s="208"/>
      <c r="AE817" s="208"/>
      <c r="AF817" s="208"/>
      <c r="AG817" s="208"/>
      <c r="AH817" s="208"/>
      <c r="AI817" s="208"/>
      <c r="AJ817" s="208"/>
      <c r="AK817" s="208"/>
    </row>
    <row r="818">
      <c r="A818" s="208"/>
      <c r="B818" s="208"/>
      <c r="C818" s="208"/>
      <c r="D818" s="208"/>
      <c r="E818" s="208"/>
      <c r="F818" s="208"/>
      <c r="G818" s="208"/>
      <c r="H818" s="233"/>
      <c r="I818" s="234"/>
      <c r="J818" s="208"/>
      <c r="K818" s="208"/>
      <c r="L818" s="208"/>
      <c r="M818" s="208"/>
      <c r="N818" s="208"/>
      <c r="O818" s="208"/>
      <c r="P818" s="208"/>
      <c r="Q818" s="208"/>
      <c r="R818" s="208"/>
      <c r="S818" s="208"/>
      <c r="T818" s="208"/>
      <c r="U818" s="208"/>
      <c r="V818" s="208"/>
      <c r="W818" s="208"/>
      <c r="X818" s="208"/>
      <c r="Y818" s="208"/>
      <c r="Z818" s="208"/>
      <c r="AA818" s="208"/>
      <c r="AB818" s="208"/>
      <c r="AC818" s="208"/>
      <c r="AD818" s="208"/>
      <c r="AE818" s="208"/>
      <c r="AF818" s="208"/>
      <c r="AG818" s="208"/>
      <c r="AH818" s="208"/>
      <c r="AI818" s="208"/>
      <c r="AJ818" s="208"/>
      <c r="AK818" s="208"/>
    </row>
    <row r="819">
      <c r="A819" s="208"/>
      <c r="B819" s="208"/>
      <c r="C819" s="208"/>
      <c r="D819" s="208"/>
      <c r="E819" s="208"/>
      <c r="F819" s="208"/>
      <c r="G819" s="208"/>
      <c r="H819" s="233"/>
      <c r="I819" s="234"/>
      <c r="J819" s="208"/>
      <c r="K819" s="208"/>
      <c r="L819" s="208"/>
      <c r="M819" s="208"/>
      <c r="N819" s="208"/>
      <c r="O819" s="208"/>
      <c r="P819" s="208"/>
      <c r="Q819" s="208"/>
      <c r="R819" s="208"/>
      <c r="S819" s="208"/>
      <c r="T819" s="208"/>
      <c r="U819" s="208"/>
      <c r="V819" s="208"/>
      <c r="W819" s="208"/>
      <c r="X819" s="208"/>
      <c r="Y819" s="208"/>
      <c r="Z819" s="208"/>
      <c r="AA819" s="208"/>
      <c r="AB819" s="208"/>
      <c r="AC819" s="208"/>
      <c r="AD819" s="208"/>
      <c r="AE819" s="208"/>
      <c r="AF819" s="208"/>
      <c r="AG819" s="208"/>
      <c r="AH819" s="208"/>
      <c r="AI819" s="208"/>
      <c r="AJ819" s="208"/>
      <c r="AK819" s="208"/>
    </row>
    <row r="820">
      <c r="A820" s="208"/>
      <c r="B820" s="208"/>
      <c r="C820" s="208"/>
      <c r="D820" s="208"/>
      <c r="E820" s="208"/>
      <c r="F820" s="208"/>
      <c r="G820" s="208"/>
      <c r="H820" s="233"/>
      <c r="I820" s="234"/>
      <c r="J820" s="208"/>
      <c r="K820" s="208"/>
      <c r="L820" s="208"/>
      <c r="M820" s="208"/>
      <c r="N820" s="208"/>
      <c r="O820" s="208"/>
      <c r="P820" s="208"/>
      <c r="Q820" s="208"/>
      <c r="R820" s="208"/>
      <c r="S820" s="208"/>
      <c r="T820" s="208"/>
      <c r="U820" s="208"/>
      <c r="V820" s="208"/>
      <c r="W820" s="208"/>
      <c r="X820" s="208"/>
      <c r="Y820" s="208"/>
      <c r="Z820" s="208"/>
      <c r="AA820" s="208"/>
      <c r="AB820" s="208"/>
      <c r="AC820" s="208"/>
      <c r="AD820" s="208"/>
      <c r="AE820" s="208"/>
      <c r="AF820" s="208"/>
      <c r="AG820" s="208"/>
      <c r="AH820" s="208"/>
      <c r="AI820" s="208"/>
      <c r="AJ820" s="208"/>
      <c r="AK820" s="208"/>
    </row>
    <row r="821">
      <c r="A821" s="208"/>
      <c r="B821" s="208"/>
      <c r="C821" s="208"/>
      <c r="D821" s="208"/>
      <c r="E821" s="208"/>
      <c r="F821" s="208"/>
      <c r="G821" s="208"/>
      <c r="H821" s="233"/>
      <c r="I821" s="234"/>
      <c r="J821" s="208"/>
      <c r="K821" s="208"/>
      <c r="L821" s="208"/>
      <c r="M821" s="208"/>
      <c r="N821" s="208"/>
      <c r="O821" s="208"/>
      <c r="P821" s="208"/>
      <c r="Q821" s="208"/>
      <c r="R821" s="208"/>
      <c r="S821" s="208"/>
      <c r="T821" s="208"/>
      <c r="U821" s="208"/>
      <c r="V821" s="208"/>
      <c r="W821" s="208"/>
      <c r="X821" s="208"/>
      <c r="Y821" s="208"/>
      <c r="Z821" s="208"/>
      <c r="AA821" s="208"/>
      <c r="AB821" s="208"/>
      <c r="AC821" s="208"/>
      <c r="AD821" s="208"/>
      <c r="AE821" s="208"/>
      <c r="AF821" s="208"/>
      <c r="AG821" s="208"/>
      <c r="AH821" s="208"/>
      <c r="AI821" s="208"/>
      <c r="AJ821" s="208"/>
      <c r="AK821" s="208"/>
    </row>
    <row r="822">
      <c r="A822" s="208"/>
      <c r="B822" s="208"/>
      <c r="C822" s="208"/>
      <c r="D822" s="208"/>
      <c r="E822" s="208"/>
      <c r="F822" s="208"/>
      <c r="G822" s="208"/>
      <c r="H822" s="233"/>
      <c r="I822" s="234"/>
      <c r="J822" s="208"/>
      <c r="K822" s="208"/>
      <c r="L822" s="208"/>
      <c r="M822" s="208"/>
      <c r="N822" s="208"/>
      <c r="O822" s="208"/>
      <c r="P822" s="208"/>
      <c r="Q822" s="208"/>
      <c r="R822" s="208"/>
      <c r="S822" s="208"/>
      <c r="T822" s="208"/>
      <c r="U822" s="208"/>
      <c r="V822" s="208"/>
      <c r="W822" s="208"/>
      <c r="X822" s="208"/>
      <c r="Y822" s="208"/>
      <c r="Z822" s="208"/>
      <c r="AA822" s="208"/>
      <c r="AB822" s="208"/>
      <c r="AC822" s="208"/>
      <c r="AD822" s="208"/>
      <c r="AE822" s="208"/>
      <c r="AF822" s="208"/>
      <c r="AG822" s="208"/>
      <c r="AH822" s="208"/>
      <c r="AI822" s="208"/>
      <c r="AJ822" s="208"/>
      <c r="AK822" s="208"/>
    </row>
    <row r="823">
      <c r="A823" s="208"/>
      <c r="B823" s="208"/>
      <c r="C823" s="208"/>
      <c r="D823" s="208"/>
      <c r="E823" s="208"/>
      <c r="F823" s="208"/>
      <c r="G823" s="208"/>
      <c r="H823" s="233"/>
      <c r="I823" s="234"/>
      <c r="J823" s="208"/>
      <c r="K823" s="208"/>
      <c r="L823" s="208"/>
      <c r="M823" s="208"/>
      <c r="N823" s="208"/>
      <c r="O823" s="208"/>
      <c r="P823" s="208"/>
      <c r="Q823" s="208"/>
      <c r="R823" s="208"/>
      <c r="S823" s="208"/>
      <c r="T823" s="208"/>
      <c r="U823" s="208"/>
      <c r="V823" s="208"/>
      <c r="W823" s="208"/>
      <c r="X823" s="208"/>
      <c r="Y823" s="208"/>
      <c r="Z823" s="208"/>
      <c r="AA823" s="208"/>
      <c r="AB823" s="208"/>
      <c r="AC823" s="208"/>
      <c r="AD823" s="208"/>
      <c r="AE823" s="208"/>
      <c r="AF823" s="208"/>
      <c r="AG823" s="208"/>
      <c r="AH823" s="208"/>
      <c r="AI823" s="208"/>
      <c r="AJ823" s="208"/>
      <c r="AK823" s="208"/>
    </row>
    <row r="824">
      <c r="A824" s="208"/>
      <c r="B824" s="208"/>
      <c r="C824" s="208"/>
      <c r="D824" s="208"/>
      <c r="E824" s="208"/>
      <c r="F824" s="208"/>
      <c r="G824" s="208"/>
      <c r="H824" s="233"/>
      <c r="I824" s="234"/>
      <c r="J824" s="208"/>
      <c r="K824" s="208"/>
      <c r="L824" s="208"/>
      <c r="M824" s="208"/>
      <c r="N824" s="208"/>
      <c r="O824" s="208"/>
      <c r="P824" s="208"/>
      <c r="Q824" s="208"/>
      <c r="R824" s="208"/>
      <c r="S824" s="208"/>
      <c r="T824" s="208"/>
      <c r="U824" s="208"/>
      <c r="V824" s="208"/>
      <c r="W824" s="208"/>
      <c r="X824" s="208"/>
      <c r="Y824" s="208"/>
      <c r="Z824" s="208"/>
      <c r="AA824" s="208"/>
      <c r="AB824" s="208"/>
      <c r="AC824" s="208"/>
      <c r="AD824" s="208"/>
      <c r="AE824" s="208"/>
      <c r="AF824" s="208"/>
      <c r="AG824" s="208"/>
      <c r="AH824" s="208"/>
      <c r="AI824" s="208"/>
      <c r="AJ824" s="208"/>
      <c r="AK824" s="208"/>
    </row>
    <row r="825">
      <c r="A825" s="208"/>
      <c r="B825" s="208"/>
      <c r="C825" s="208"/>
      <c r="D825" s="208"/>
      <c r="E825" s="208"/>
      <c r="F825" s="208"/>
      <c r="G825" s="208"/>
      <c r="H825" s="233"/>
      <c r="I825" s="234"/>
      <c r="J825" s="208"/>
      <c r="K825" s="208"/>
      <c r="L825" s="208"/>
      <c r="M825" s="208"/>
      <c r="N825" s="208"/>
      <c r="O825" s="208"/>
      <c r="P825" s="208"/>
      <c r="Q825" s="208"/>
      <c r="R825" s="208"/>
      <c r="S825" s="208"/>
      <c r="T825" s="208"/>
      <c r="U825" s="208"/>
      <c r="V825" s="208"/>
      <c r="W825" s="208"/>
      <c r="X825" s="208"/>
      <c r="Y825" s="208"/>
      <c r="Z825" s="208"/>
      <c r="AA825" s="208"/>
      <c r="AB825" s="208"/>
      <c r="AC825" s="208"/>
      <c r="AD825" s="208"/>
      <c r="AE825" s="208"/>
      <c r="AF825" s="208"/>
      <c r="AG825" s="208"/>
      <c r="AH825" s="208"/>
      <c r="AI825" s="208"/>
      <c r="AJ825" s="208"/>
      <c r="AK825" s="208"/>
    </row>
    <row r="826">
      <c r="A826" s="208"/>
      <c r="B826" s="208"/>
      <c r="C826" s="208"/>
      <c r="D826" s="208"/>
      <c r="E826" s="208"/>
      <c r="F826" s="208"/>
      <c r="G826" s="208"/>
      <c r="H826" s="233"/>
      <c r="I826" s="234"/>
      <c r="J826" s="208"/>
      <c r="K826" s="208"/>
      <c r="L826" s="208"/>
      <c r="M826" s="208"/>
      <c r="N826" s="208"/>
      <c r="O826" s="208"/>
      <c r="P826" s="208"/>
      <c r="Q826" s="208"/>
      <c r="R826" s="208"/>
      <c r="S826" s="208"/>
      <c r="T826" s="208"/>
      <c r="U826" s="208"/>
      <c r="V826" s="208"/>
      <c r="W826" s="208"/>
      <c r="X826" s="208"/>
      <c r="Y826" s="208"/>
      <c r="Z826" s="208"/>
      <c r="AA826" s="208"/>
      <c r="AB826" s="208"/>
      <c r="AC826" s="208"/>
      <c r="AD826" s="208"/>
      <c r="AE826" s="208"/>
      <c r="AF826" s="208"/>
      <c r="AG826" s="208"/>
      <c r="AH826" s="208"/>
      <c r="AI826" s="208"/>
      <c r="AJ826" s="208"/>
      <c r="AK826" s="208"/>
    </row>
    <row r="827">
      <c r="A827" s="208"/>
      <c r="B827" s="208"/>
      <c r="C827" s="208"/>
      <c r="D827" s="208"/>
      <c r="E827" s="208"/>
      <c r="F827" s="208"/>
      <c r="G827" s="208"/>
      <c r="H827" s="233"/>
      <c r="I827" s="234"/>
      <c r="J827" s="208"/>
      <c r="K827" s="208"/>
      <c r="L827" s="208"/>
      <c r="M827" s="208"/>
      <c r="N827" s="208"/>
      <c r="O827" s="208"/>
      <c r="P827" s="208"/>
      <c r="Q827" s="208"/>
      <c r="R827" s="208"/>
      <c r="S827" s="208"/>
      <c r="T827" s="208"/>
      <c r="U827" s="208"/>
      <c r="V827" s="208"/>
      <c r="W827" s="208"/>
      <c r="X827" s="208"/>
      <c r="Y827" s="208"/>
      <c r="Z827" s="208"/>
      <c r="AA827" s="208"/>
      <c r="AB827" s="208"/>
      <c r="AC827" s="208"/>
      <c r="AD827" s="208"/>
      <c r="AE827" s="208"/>
      <c r="AF827" s="208"/>
      <c r="AG827" s="208"/>
      <c r="AH827" s="208"/>
      <c r="AI827" s="208"/>
      <c r="AJ827" s="208"/>
      <c r="AK827" s="208"/>
    </row>
    <row r="828">
      <c r="A828" s="208"/>
      <c r="B828" s="208"/>
      <c r="C828" s="208"/>
      <c r="D828" s="208"/>
      <c r="E828" s="208"/>
      <c r="F828" s="208"/>
      <c r="G828" s="208"/>
      <c r="H828" s="233"/>
      <c r="I828" s="234"/>
      <c r="J828" s="208"/>
      <c r="K828" s="208"/>
      <c r="L828" s="208"/>
      <c r="M828" s="208"/>
      <c r="N828" s="208"/>
      <c r="O828" s="208"/>
      <c r="P828" s="208"/>
      <c r="Q828" s="208"/>
      <c r="R828" s="208"/>
      <c r="S828" s="208"/>
      <c r="T828" s="208"/>
      <c r="U828" s="208"/>
      <c r="V828" s="208"/>
      <c r="W828" s="208"/>
      <c r="X828" s="208"/>
      <c r="Y828" s="208"/>
      <c r="Z828" s="208"/>
      <c r="AA828" s="208"/>
      <c r="AB828" s="208"/>
      <c r="AC828" s="208"/>
      <c r="AD828" s="208"/>
      <c r="AE828" s="208"/>
      <c r="AF828" s="208"/>
      <c r="AG828" s="208"/>
      <c r="AH828" s="208"/>
      <c r="AI828" s="208"/>
      <c r="AJ828" s="208"/>
      <c r="AK828" s="208"/>
    </row>
    <row r="829">
      <c r="A829" s="208"/>
      <c r="B829" s="208"/>
      <c r="C829" s="208"/>
      <c r="D829" s="208"/>
      <c r="E829" s="208"/>
      <c r="F829" s="208"/>
      <c r="G829" s="208"/>
      <c r="H829" s="233"/>
      <c r="I829" s="234"/>
      <c r="J829" s="208"/>
      <c r="K829" s="208"/>
      <c r="L829" s="208"/>
      <c r="M829" s="208"/>
      <c r="N829" s="208"/>
      <c r="O829" s="208"/>
      <c r="P829" s="208"/>
      <c r="Q829" s="208"/>
      <c r="R829" s="208"/>
      <c r="S829" s="208"/>
      <c r="T829" s="208"/>
      <c r="U829" s="208"/>
      <c r="V829" s="208"/>
      <c r="W829" s="208"/>
      <c r="X829" s="208"/>
      <c r="Y829" s="208"/>
      <c r="Z829" s="208"/>
      <c r="AA829" s="208"/>
      <c r="AB829" s="208"/>
      <c r="AC829" s="208"/>
      <c r="AD829" s="208"/>
      <c r="AE829" s="208"/>
      <c r="AF829" s="208"/>
      <c r="AG829" s="208"/>
      <c r="AH829" s="208"/>
      <c r="AI829" s="208"/>
      <c r="AJ829" s="208"/>
      <c r="AK829" s="208"/>
    </row>
    <row r="830">
      <c r="A830" s="208"/>
      <c r="B830" s="208"/>
      <c r="C830" s="208"/>
      <c r="D830" s="208"/>
      <c r="E830" s="208"/>
      <c r="F830" s="208"/>
      <c r="G830" s="208"/>
      <c r="H830" s="233"/>
      <c r="I830" s="234"/>
      <c r="J830" s="208"/>
      <c r="K830" s="208"/>
      <c r="L830" s="208"/>
      <c r="M830" s="208"/>
      <c r="N830" s="208"/>
      <c r="O830" s="208"/>
      <c r="P830" s="208"/>
      <c r="Q830" s="208"/>
      <c r="R830" s="208"/>
      <c r="S830" s="208"/>
      <c r="T830" s="208"/>
      <c r="U830" s="208"/>
      <c r="V830" s="208"/>
      <c r="W830" s="208"/>
      <c r="X830" s="208"/>
      <c r="Y830" s="208"/>
      <c r="Z830" s="208"/>
      <c r="AA830" s="208"/>
      <c r="AB830" s="208"/>
      <c r="AC830" s="208"/>
      <c r="AD830" s="208"/>
      <c r="AE830" s="208"/>
      <c r="AF830" s="208"/>
      <c r="AG830" s="208"/>
      <c r="AH830" s="208"/>
      <c r="AI830" s="208"/>
      <c r="AJ830" s="208"/>
      <c r="AK830" s="208"/>
    </row>
    <row r="831">
      <c r="A831" s="208"/>
      <c r="B831" s="208"/>
      <c r="C831" s="208"/>
      <c r="D831" s="208"/>
      <c r="E831" s="208"/>
      <c r="F831" s="208"/>
      <c r="G831" s="208"/>
      <c r="H831" s="233"/>
      <c r="I831" s="234"/>
      <c r="J831" s="208"/>
      <c r="K831" s="208"/>
      <c r="L831" s="208"/>
      <c r="M831" s="208"/>
      <c r="N831" s="208"/>
      <c r="O831" s="208"/>
      <c r="P831" s="208"/>
      <c r="Q831" s="208"/>
      <c r="R831" s="208"/>
      <c r="S831" s="208"/>
      <c r="T831" s="208"/>
      <c r="U831" s="208"/>
      <c r="V831" s="208"/>
      <c r="W831" s="208"/>
      <c r="X831" s="208"/>
      <c r="Y831" s="208"/>
      <c r="Z831" s="208"/>
      <c r="AA831" s="208"/>
      <c r="AB831" s="208"/>
      <c r="AC831" s="208"/>
      <c r="AD831" s="208"/>
      <c r="AE831" s="208"/>
      <c r="AF831" s="208"/>
      <c r="AG831" s="208"/>
      <c r="AH831" s="208"/>
      <c r="AI831" s="208"/>
      <c r="AJ831" s="208"/>
      <c r="AK831" s="208"/>
    </row>
    <row r="832">
      <c r="A832" s="208"/>
      <c r="B832" s="208"/>
      <c r="C832" s="208"/>
      <c r="D832" s="208"/>
      <c r="E832" s="208"/>
      <c r="F832" s="208"/>
      <c r="G832" s="208"/>
      <c r="H832" s="233"/>
      <c r="I832" s="234"/>
      <c r="J832" s="208"/>
      <c r="K832" s="208"/>
      <c r="L832" s="208"/>
      <c r="M832" s="208"/>
      <c r="N832" s="208"/>
      <c r="O832" s="208"/>
      <c r="P832" s="208"/>
      <c r="Q832" s="208"/>
      <c r="R832" s="208"/>
      <c r="S832" s="208"/>
      <c r="T832" s="208"/>
      <c r="U832" s="208"/>
      <c r="V832" s="208"/>
      <c r="W832" s="208"/>
      <c r="X832" s="208"/>
      <c r="Y832" s="208"/>
      <c r="Z832" s="208"/>
      <c r="AA832" s="208"/>
      <c r="AB832" s="208"/>
      <c r="AC832" s="208"/>
      <c r="AD832" s="208"/>
      <c r="AE832" s="208"/>
      <c r="AF832" s="208"/>
      <c r="AG832" s="208"/>
      <c r="AH832" s="208"/>
      <c r="AI832" s="208"/>
      <c r="AJ832" s="208"/>
      <c r="AK832" s="208"/>
    </row>
    <row r="833">
      <c r="A833" s="208"/>
      <c r="B833" s="208"/>
      <c r="C833" s="208"/>
      <c r="D833" s="208"/>
      <c r="E833" s="208"/>
      <c r="F833" s="208"/>
      <c r="G833" s="208"/>
      <c r="H833" s="233"/>
      <c r="I833" s="234"/>
      <c r="J833" s="208"/>
      <c r="K833" s="208"/>
      <c r="L833" s="208"/>
      <c r="M833" s="208"/>
      <c r="N833" s="208"/>
      <c r="O833" s="208"/>
      <c r="P833" s="208"/>
      <c r="Q833" s="208"/>
      <c r="R833" s="208"/>
      <c r="S833" s="208"/>
      <c r="T833" s="208"/>
      <c r="U833" s="208"/>
      <c r="V833" s="208"/>
      <c r="W833" s="208"/>
      <c r="X833" s="208"/>
      <c r="Y833" s="208"/>
      <c r="Z833" s="208"/>
      <c r="AA833" s="208"/>
      <c r="AB833" s="208"/>
      <c r="AC833" s="208"/>
      <c r="AD833" s="208"/>
      <c r="AE833" s="208"/>
      <c r="AF833" s="208"/>
      <c r="AG833" s="208"/>
      <c r="AH833" s="208"/>
      <c r="AI833" s="208"/>
      <c r="AJ833" s="208"/>
      <c r="AK833" s="208"/>
    </row>
    <row r="834">
      <c r="A834" s="208"/>
      <c r="B834" s="208"/>
      <c r="C834" s="208"/>
      <c r="D834" s="208"/>
      <c r="E834" s="208"/>
      <c r="F834" s="208"/>
      <c r="G834" s="208"/>
      <c r="H834" s="233"/>
      <c r="I834" s="234"/>
      <c r="J834" s="208"/>
      <c r="K834" s="208"/>
      <c r="L834" s="208"/>
      <c r="M834" s="208"/>
      <c r="N834" s="208"/>
      <c r="O834" s="208"/>
      <c r="P834" s="208"/>
      <c r="Q834" s="208"/>
      <c r="R834" s="208"/>
      <c r="S834" s="208"/>
      <c r="T834" s="208"/>
      <c r="U834" s="208"/>
      <c r="V834" s="208"/>
      <c r="W834" s="208"/>
      <c r="X834" s="208"/>
      <c r="Y834" s="208"/>
      <c r="Z834" s="208"/>
      <c r="AA834" s="208"/>
      <c r="AB834" s="208"/>
      <c r="AC834" s="208"/>
      <c r="AD834" s="208"/>
      <c r="AE834" s="208"/>
      <c r="AF834" s="208"/>
      <c r="AG834" s="208"/>
      <c r="AH834" s="208"/>
      <c r="AI834" s="208"/>
      <c r="AJ834" s="208"/>
      <c r="AK834" s="208"/>
    </row>
    <row r="835">
      <c r="A835" s="208"/>
      <c r="B835" s="208"/>
      <c r="C835" s="208"/>
      <c r="D835" s="208"/>
      <c r="E835" s="208"/>
      <c r="F835" s="208"/>
      <c r="G835" s="208"/>
      <c r="H835" s="233"/>
      <c r="I835" s="234"/>
      <c r="J835" s="208"/>
      <c r="K835" s="208"/>
      <c r="L835" s="208"/>
      <c r="M835" s="208"/>
      <c r="N835" s="208"/>
      <c r="O835" s="208"/>
      <c r="P835" s="208"/>
      <c r="Q835" s="208"/>
      <c r="R835" s="208"/>
      <c r="S835" s="208"/>
      <c r="T835" s="208"/>
      <c r="U835" s="208"/>
      <c r="V835" s="208"/>
      <c r="W835" s="208"/>
      <c r="X835" s="208"/>
      <c r="Y835" s="208"/>
      <c r="Z835" s="208"/>
      <c r="AA835" s="208"/>
      <c r="AB835" s="208"/>
      <c r="AC835" s="208"/>
      <c r="AD835" s="208"/>
      <c r="AE835" s="208"/>
      <c r="AF835" s="208"/>
      <c r="AG835" s="208"/>
      <c r="AH835" s="208"/>
      <c r="AI835" s="208"/>
      <c r="AJ835" s="208"/>
      <c r="AK835" s="208"/>
    </row>
    <row r="836">
      <c r="A836" s="208"/>
      <c r="B836" s="208"/>
      <c r="C836" s="208"/>
      <c r="D836" s="208"/>
      <c r="E836" s="208"/>
      <c r="F836" s="208"/>
      <c r="G836" s="208"/>
      <c r="H836" s="233"/>
      <c r="I836" s="234"/>
      <c r="J836" s="208"/>
      <c r="K836" s="208"/>
      <c r="L836" s="208"/>
      <c r="M836" s="208"/>
      <c r="N836" s="208"/>
      <c r="O836" s="208"/>
      <c r="P836" s="208"/>
      <c r="Q836" s="208"/>
      <c r="R836" s="208"/>
      <c r="S836" s="208"/>
      <c r="T836" s="208"/>
      <c r="U836" s="208"/>
      <c r="V836" s="208"/>
      <c r="W836" s="208"/>
      <c r="X836" s="208"/>
      <c r="Y836" s="208"/>
      <c r="Z836" s="208"/>
      <c r="AA836" s="208"/>
      <c r="AB836" s="208"/>
      <c r="AC836" s="208"/>
      <c r="AD836" s="208"/>
      <c r="AE836" s="208"/>
      <c r="AF836" s="208"/>
      <c r="AG836" s="208"/>
      <c r="AH836" s="208"/>
      <c r="AI836" s="208"/>
      <c r="AJ836" s="208"/>
      <c r="AK836" s="208"/>
    </row>
    <row r="837">
      <c r="A837" s="208"/>
      <c r="B837" s="208"/>
      <c r="C837" s="208"/>
      <c r="D837" s="208"/>
      <c r="E837" s="208"/>
      <c r="F837" s="208"/>
      <c r="G837" s="208"/>
      <c r="H837" s="233"/>
      <c r="I837" s="234"/>
      <c r="J837" s="208"/>
      <c r="K837" s="208"/>
      <c r="L837" s="208"/>
      <c r="M837" s="208"/>
      <c r="N837" s="208"/>
      <c r="O837" s="208"/>
      <c r="P837" s="208"/>
      <c r="Q837" s="208"/>
      <c r="R837" s="208"/>
      <c r="S837" s="208"/>
      <c r="T837" s="208"/>
      <c r="U837" s="208"/>
      <c r="V837" s="208"/>
      <c r="W837" s="208"/>
      <c r="X837" s="208"/>
      <c r="Y837" s="208"/>
      <c r="Z837" s="208"/>
      <c r="AA837" s="208"/>
      <c r="AB837" s="208"/>
      <c r="AC837" s="208"/>
      <c r="AD837" s="208"/>
      <c r="AE837" s="208"/>
      <c r="AF837" s="208"/>
      <c r="AG837" s="208"/>
      <c r="AH837" s="208"/>
      <c r="AI837" s="208"/>
      <c r="AJ837" s="208"/>
      <c r="AK837" s="208"/>
    </row>
    <row r="838">
      <c r="A838" s="208"/>
      <c r="B838" s="208"/>
      <c r="C838" s="208"/>
      <c r="D838" s="208"/>
      <c r="E838" s="208"/>
      <c r="F838" s="208"/>
      <c r="G838" s="208"/>
      <c r="H838" s="233"/>
      <c r="I838" s="234"/>
      <c r="J838" s="208"/>
      <c r="K838" s="208"/>
      <c r="L838" s="208"/>
      <c r="M838" s="208"/>
      <c r="N838" s="208"/>
      <c r="O838" s="208"/>
      <c r="P838" s="208"/>
      <c r="Q838" s="208"/>
      <c r="R838" s="208"/>
      <c r="S838" s="208"/>
      <c r="T838" s="208"/>
      <c r="U838" s="208"/>
      <c r="V838" s="208"/>
      <c r="W838" s="208"/>
      <c r="X838" s="208"/>
      <c r="Y838" s="208"/>
      <c r="Z838" s="208"/>
      <c r="AA838" s="208"/>
      <c r="AB838" s="208"/>
      <c r="AC838" s="208"/>
      <c r="AD838" s="208"/>
      <c r="AE838" s="208"/>
      <c r="AF838" s="208"/>
      <c r="AG838" s="208"/>
      <c r="AH838" s="208"/>
      <c r="AI838" s="208"/>
      <c r="AJ838" s="208"/>
      <c r="AK838" s="208"/>
    </row>
    <row r="839">
      <c r="A839" s="208"/>
      <c r="B839" s="208"/>
      <c r="C839" s="208"/>
      <c r="D839" s="208"/>
      <c r="E839" s="208"/>
      <c r="F839" s="208"/>
      <c r="G839" s="208"/>
      <c r="H839" s="233"/>
      <c r="I839" s="234"/>
      <c r="J839" s="208"/>
      <c r="K839" s="208"/>
      <c r="L839" s="208"/>
      <c r="M839" s="208"/>
      <c r="N839" s="208"/>
      <c r="O839" s="208"/>
      <c r="P839" s="208"/>
      <c r="Q839" s="208"/>
      <c r="R839" s="208"/>
      <c r="S839" s="208"/>
      <c r="T839" s="208"/>
      <c r="U839" s="208"/>
      <c r="V839" s="208"/>
      <c r="W839" s="208"/>
      <c r="X839" s="208"/>
      <c r="Y839" s="208"/>
      <c r="Z839" s="208"/>
      <c r="AA839" s="208"/>
      <c r="AB839" s="208"/>
      <c r="AC839" s="208"/>
      <c r="AD839" s="208"/>
      <c r="AE839" s="208"/>
      <c r="AF839" s="208"/>
      <c r="AG839" s="208"/>
      <c r="AH839" s="208"/>
      <c r="AI839" s="208"/>
      <c r="AJ839" s="208"/>
      <c r="AK839" s="208"/>
    </row>
    <row r="840">
      <c r="A840" s="208"/>
      <c r="B840" s="208"/>
      <c r="C840" s="208"/>
      <c r="D840" s="208"/>
      <c r="E840" s="208"/>
      <c r="F840" s="208"/>
      <c r="G840" s="208"/>
      <c r="H840" s="233"/>
      <c r="I840" s="234"/>
      <c r="J840" s="208"/>
      <c r="K840" s="208"/>
      <c r="L840" s="208"/>
      <c r="M840" s="208"/>
      <c r="N840" s="208"/>
      <c r="O840" s="208"/>
      <c r="P840" s="208"/>
      <c r="Q840" s="208"/>
      <c r="R840" s="208"/>
      <c r="S840" s="208"/>
      <c r="T840" s="208"/>
      <c r="U840" s="208"/>
      <c r="V840" s="208"/>
      <c r="W840" s="208"/>
      <c r="X840" s="208"/>
      <c r="Y840" s="208"/>
      <c r="Z840" s="208"/>
      <c r="AA840" s="208"/>
      <c r="AB840" s="208"/>
      <c r="AC840" s="208"/>
      <c r="AD840" s="208"/>
      <c r="AE840" s="208"/>
      <c r="AF840" s="208"/>
      <c r="AG840" s="208"/>
      <c r="AH840" s="208"/>
      <c r="AI840" s="208"/>
      <c r="AJ840" s="208"/>
      <c r="AK840" s="208"/>
    </row>
    <row r="841">
      <c r="A841" s="208"/>
      <c r="B841" s="208"/>
      <c r="C841" s="208"/>
      <c r="D841" s="208"/>
      <c r="E841" s="208"/>
      <c r="F841" s="208"/>
      <c r="G841" s="208"/>
      <c r="H841" s="233"/>
      <c r="I841" s="234"/>
      <c r="J841" s="208"/>
      <c r="K841" s="208"/>
      <c r="L841" s="208"/>
      <c r="M841" s="208"/>
      <c r="N841" s="208"/>
      <c r="O841" s="208"/>
      <c r="P841" s="208"/>
      <c r="Q841" s="208"/>
      <c r="R841" s="208"/>
      <c r="S841" s="208"/>
      <c r="T841" s="208"/>
      <c r="U841" s="208"/>
      <c r="V841" s="208"/>
      <c r="W841" s="208"/>
      <c r="X841" s="208"/>
      <c r="Y841" s="208"/>
      <c r="Z841" s="208"/>
      <c r="AA841" s="208"/>
      <c r="AB841" s="208"/>
      <c r="AC841" s="208"/>
      <c r="AD841" s="208"/>
      <c r="AE841" s="208"/>
      <c r="AF841" s="208"/>
      <c r="AG841" s="208"/>
      <c r="AH841" s="208"/>
      <c r="AI841" s="208"/>
      <c r="AJ841" s="208"/>
      <c r="AK841" s="208"/>
    </row>
    <row r="842">
      <c r="A842" s="208"/>
      <c r="B842" s="208"/>
      <c r="C842" s="208"/>
      <c r="D842" s="208"/>
      <c r="E842" s="208"/>
      <c r="F842" s="208"/>
      <c r="G842" s="208"/>
      <c r="H842" s="233"/>
      <c r="I842" s="234"/>
      <c r="J842" s="208"/>
      <c r="K842" s="208"/>
      <c r="L842" s="208"/>
      <c r="M842" s="208"/>
      <c r="N842" s="208"/>
      <c r="O842" s="208"/>
      <c r="P842" s="208"/>
      <c r="Q842" s="208"/>
      <c r="R842" s="208"/>
      <c r="S842" s="208"/>
      <c r="T842" s="208"/>
      <c r="U842" s="208"/>
      <c r="V842" s="208"/>
      <c r="W842" s="208"/>
      <c r="X842" s="208"/>
      <c r="Y842" s="208"/>
      <c r="Z842" s="208"/>
      <c r="AA842" s="208"/>
      <c r="AB842" s="208"/>
      <c r="AC842" s="208"/>
      <c r="AD842" s="208"/>
      <c r="AE842" s="208"/>
      <c r="AF842" s="208"/>
      <c r="AG842" s="208"/>
      <c r="AH842" s="208"/>
      <c r="AI842" s="208"/>
      <c r="AJ842" s="208"/>
      <c r="AK842" s="208"/>
    </row>
    <row r="843">
      <c r="A843" s="208"/>
      <c r="B843" s="208"/>
      <c r="C843" s="208"/>
      <c r="D843" s="208"/>
      <c r="E843" s="208"/>
      <c r="F843" s="208"/>
      <c r="G843" s="208"/>
      <c r="H843" s="233"/>
      <c r="I843" s="234"/>
      <c r="J843" s="208"/>
      <c r="K843" s="208"/>
      <c r="L843" s="208"/>
      <c r="M843" s="208"/>
      <c r="N843" s="208"/>
      <c r="O843" s="208"/>
      <c r="P843" s="208"/>
      <c r="Q843" s="208"/>
      <c r="R843" s="208"/>
      <c r="S843" s="208"/>
      <c r="T843" s="208"/>
      <c r="U843" s="208"/>
      <c r="V843" s="208"/>
      <c r="W843" s="208"/>
      <c r="X843" s="208"/>
      <c r="Y843" s="208"/>
      <c r="Z843" s="208"/>
      <c r="AA843" s="208"/>
      <c r="AB843" s="208"/>
      <c r="AC843" s="208"/>
      <c r="AD843" s="208"/>
      <c r="AE843" s="208"/>
      <c r="AF843" s="208"/>
      <c r="AG843" s="208"/>
      <c r="AH843" s="208"/>
      <c r="AI843" s="208"/>
      <c r="AJ843" s="208"/>
      <c r="AK843" s="208"/>
    </row>
    <row r="844">
      <c r="A844" s="208"/>
      <c r="B844" s="208"/>
      <c r="C844" s="208"/>
      <c r="D844" s="208"/>
      <c r="E844" s="208"/>
      <c r="F844" s="208"/>
      <c r="G844" s="208"/>
      <c r="H844" s="233"/>
      <c r="I844" s="234"/>
      <c r="J844" s="208"/>
      <c r="K844" s="208"/>
      <c r="L844" s="208"/>
      <c r="M844" s="208"/>
      <c r="N844" s="208"/>
      <c r="O844" s="208"/>
      <c r="P844" s="208"/>
      <c r="Q844" s="208"/>
      <c r="R844" s="208"/>
      <c r="S844" s="208"/>
      <c r="T844" s="208"/>
      <c r="U844" s="208"/>
      <c r="V844" s="208"/>
      <c r="W844" s="208"/>
      <c r="X844" s="208"/>
      <c r="Y844" s="208"/>
      <c r="Z844" s="208"/>
      <c r="AA844" s="208"/>
      <c r="AB844" s="208"/>
      <c r="AC844" s="208"/>
      <c r="AD844" s="208"/>
      <c r="AE844" s="208"/>
      <c r="AF844" s="208"/>
      <c r="AG844" s="208"/>
      <c r="AH844" s="208"/>
      <c r="AI844" s="208"/>
      <c r="AJ844" s="208"/>
      <c r="AK844" s="208"/>
    </row>
    <row r="845">
      <c r="A845" s="208"/>
      <c r="B845" s="208"/>
      <c r="C845" s="208"/>
      <c r="D845" s="208"/>
      <c r="E845" s="208"/>
      <c r="F845" s="208"/>
      <c r="G845" s="208"/>
      <c r="H845" s="233"/>
      <c r="I845" s="234"/>
      <c r="J845" s="208"/>
      <c r="K845" s="208"/>
      <c r="L845" s="208"/>
      <c r="M845" s="208"/>
      <c r="N845" s="208"/>
      <c r="O845" s="208"/>
      <c r="P845" s="208"/>
      <c r="Q845" s="208"/>
      <c r="R845" s="208"/>
      <c r="S845" s="208"/>
      <c r="T845" s="208"/>
      <c r="U845" s="208"/>
      <c r="V845" s="208"/>
      <c r="W845" s="208"/>
      <c r="X845" s="208"/>
      <c r="Y845" s="208"/>
      <c r="Z845" s="208"/>
      <c r="AA845" s="208"/>
      <c r="AB845" s="208"/>
      <c r="AC845" s="208"/>
      <c r="AD845" s="208"/>
      <c r="AE845" s="208"/>
      <c r="AF845" s="208"/>
      <c r="AG845" s="208"/>
      <c r="AH845" s="208"/>
      <c r="AI845" s="208"/>
      <c r="AJ845" s="208"/>
      <c r="AK845" s="208"/>
    </row>
    <row r="846">
      <c r="A846" s="208"/>
      <c r="B846" s="208"/>
      <c r="C846" s="208"/>
      <c r="D846" s="208"/>
      <c r="E846" s="208"/>
      <c r="F846" s="208"/>
      <c r="G846" s="208"/>
      <c r="H846" s="233"/>
      <c r="I846" s="234"/>
      <c r="J846" s="208"/>
      <c r="K846" s="208"/>
      <c r="L846" s="208"/>
      <c r="M846" s="208"/>
      <c r="N846" s="208"/>
      <c r="O846" s="208"/>
      <c r="P846" s="208"/>
      <c r="Q846" s="208"/>
      <c r="R846" s="208"/>
      <c r="S846" s="208"/>
      <c r="T846" s="208"/>
      <c r="U846" s="208"/>
      <c r="V846" s="208"/>
      <c r="W846" s="208"/>
      <c r="X846" s="208"/>
      <c r="Y846" s="208"/>
      <c r="Z846" s="208"/>
      <c r="AA846" s="208"/>
      <c r="AB846" s="208"/>
      <c r="AC846" s="208"/>
      <c r="AD846" s="208"/>
      <c r="AE846" s="208"/>
      <c r="AF846" s="208"/>
      <c r="AG846" s="208"/>
      <c r="AH846" s="208"/>
      <c r="AI846" s="208"/>
      <c r="AJ846" s="208"/>
      <c r="AK846" s="208"/>
    </row>
    <row r="847">
      <c r="A847" s="208"/>
      <c r="B847" s="208"/>
      <c r="C847" s="208"/>
      <c r="D847" s="208"/>
      <c r="E847" s="208"/>
      <c r="F847" s="208"/>
      <c r="G847" s="208"/>
      <c r="H847" s="233"/>
      <c r="I847" s="234"/>
      <c r="J847" s="208"/>
      <c r="K847" s="208"/>
      <c r="L847" s="208"/>
      <c r="M847" s="208"/>
      <c r="N847" s="208"/>
      <c r="O847" s="208"/>
      <c r="P847" s="208"/>
      <c r="Q847" s="208"/>
      <c r="R847" s="208"/>
      <c r="S847" s="208"/>
      <c r="T847" s="208"/>
      <c r="U847" s="208"/>
      <c r="V847" s="208"/>
      <c r="W847" s="208"/>
      <c r="X847" s="208"/>
      <c r="Y847" s="208"/>
      <c r="Z847" s="208"/>
      <c r="AA847" s="208"/>
      <c r="AB847" s="208"/>
      <c r="AC847" s="208"/>
      <c r="AD847" s="208"/>
      <c r="AE847" s="208"/>
      <c r="AF847" s="208"/>
      <c r="AG847" s="208"/>
      <c r="AH847" s="208"/>
      <c r="AI847" s="208"/>
      <c r="AJ847" s="208"/>
      <c r="AK847" s="208"/>
    </row>
    <row r="848">
      <c r="A848" s="208"/>
      <c r="B848" s="208"/>
      <c r="C848" s="208"/>
      <c r="D848" s="208"/>
      <c r="E848" s="208"/>
      <c r="F848" s="208"/>
      <c r="G848" s="208"/>
      <c r="H848" s="233"/>
      <c r="I848" s="234"/>
      <c r="J848" s="208"/>
      <c r="K848" s="208"/>
      <c r="L848" s="208"/>
      <c r="M848" s="208"/>
      <c r="N848" s="208"/>
      <c r="O848" s="208"/>
      <c r="P848" s="208"/>
      <c r="Q848" s="208"/>
      <c r="R848" s="208"/>
      <c r="S848" s="208"/>
      <c r="T848" s="208"/>
      <c r="U848" s="208"/>
      <c r="V848" s="208"/>
      <c r="W848" s="208"/>
      <c r="X848" s="208"/>
      <c r="Y848" s="208"/>
      <c r="Z848" s="208"/>
      <c r="AA848" s="208"/>
      <c r="AB848" s="208"/>
      <c r="AC848" s="208"/>
      <c r="AD848" s="208"/>
      <c r="AE848" s="208"/>
      <c r="AF848" s="208"/>
      <c r="AG848" s="208"/>
      <c r="AH848" s="208"/>
      <c r="AI848" s="208"/>
      <c r="AJ848" s="208"/>
      <c r="AK848" s="208"/>
    </row>
    <row r="849">
      <c r="A849" s="208"/>
      <c r="B849" s="208"/>
      <c r="C849" s="208"/>
      <c r="D849" s="208"/>
      <c r="E849" s="208"/>
      <c r="F849" s="208"/>
      <c r="G849" s="208"/>
      <c r="H849" s="233"/>
      <c r="I849" s="234"/>
      <c r="J849" s="208"/>
      <c r="K849" s="208"/>
      <c r="L849" s="208"/>
      <c r="M849" s="208"/>
      <c r="N849" s="208"/>
      <c r="O849" s="208"/>
      <c r="P849" s="208"/>
      <c r="Q849" s="208"/>
      <c r="R849" s="208"/>
      <c r="S849" s="208"/>
      <c r="T849" s="208"/>
      <c r="U849" s="208"/>
      <c r="V849" s="208"/>
      <c r="W849" s="208"/>
      <c r="X849" s="208"/>
      <c r="Y849" s="208"/>
      <c r="Z849" s="208"/>
      <c r="AA849" s="208"/>
      <c r="AB849" s="208"/>
      <c r="AC849" s="208"/>
      <c r="AD849" s="208"/>
      <c r="AE849" s="208"/>
      <c r="AF849" s="208"/>
      <c r="AG849" s="208"/>
      <c r="AH849" s="208"/>
      <c r="AI849" s="208"/>
      <c r="AJ849" s="208"/>
      <c r="AK849" s="208"/>
    </row>
    <row r="850">
      <c r="A850" s="208"/>
      <c r="B850" s="208"/>
      <c r="C850" s="208"/>
      <c r="D850" s="208"/>
      <c r="E850" s="208"/>
      <c r="F850" s="208"/>
      <c r="G850" s="208"/>
      <c r="H850" s="233"/>
      <c r="I850" s="234"/>
      <c r="J850" s="208"/>
      <c r="K850" s="208"/>
      <c r="L850" s="208"/>
      <c r="M850" s="208"/>
      <c r="N850" s="208"/>
      <c r="O850" s="208"/>
      <c r="P850" s="208"/>
      <c r="Q850" s="208"/>
      <c r="R850" s="208"/>
      <c r="S850" s="208"/>
      <c r="T850" s="208"/>
      <c r="U850" s="208"/>
      <c r="V850" s="208"/>
      <c r="W850" s="208"/>
      <c r="X850" s="208"/>
      <c r="Y850" s="208"/>
      <c r="Z850" s="208"/>
      <c r="AA850" s="208"/>
      <c r="AB850" s="208"/>
      <c r="AC850" s="208"/>
      <c r="AD850" s="208"/>
      <c r="AE850" s="208"/>
      <c r="AF850" s="208"/>
      <c r="AG850" s="208"/>
      <c r="AH850" s="208"/>
      <c r="AI850" s="208"/>
      <c r="AJ850" s="208"/>
      <c r="AK850" s="208"/>
    </row>
    <row r="851">
      <c r="A851" s="208"/>
      <c r="B851" s="208"/>
      <c r="C851" s="208"/>
      <c r="D851" s="208"/>
      <c r="E851" s="208"/>
      <c r="F851" s="208"/>
      <c r="G851" s="208"/>
      <c r="H851" s="233"/>
      <c r="I851" s="234"/>
      <c r="J851" s="208"/>
      <c r="K851" s="208"/>
      <c r="L851" s="208"/>
      <c r="M851" s="208"/>
      <c r="N851" s="208"/>
      <c r="O851" s="208"/>
      <c r="P851" s="208"/>
      <c r="Q851" s="208"/>
      <c r="R851" s="208"/>
      <c r="S851" s="208"/>
      <c r="T851" s="208"/>
      <c r="U851" s="208"/>
      <c r="V851" s="208"/>
      <c r="W851" s="208"/>
      <c r="X851" s="208"/>
      <c r="Y851" s="208"/>
      <c r="Z851" s="208"/>
      <c r="AA851" s="208"/>
      <c r="AB851" s="208"/>
      <c r="AC851" s="208"/>
      <c r="AD851" s="208"/>
      <c r="AE851" s="208"/>
      <c r="AF851" s="208"/>
      <c r="AG851" s="208"/>
      <c r="AH851" s="208"/>
      <c r="AI851" s="208"/>
      <c r="AJ851" s="208"/>
      <c r="AK851" s="208"/>
    </row>
    <row r="852">
      <c r="A852" s="208"/>
      <c r="B852" s="208"/>
      <c r="C852" s="208"/>
      <c r="D852" s="208"/>
      <c r="E852" s="208"/>
      <c r="F852" s="208"/>
      <c r="G852" s="208"/>
      <c r="H852" s="233"/>
      <c r="I852" s="234"/>
      <c r="J852" s="208"/>
      <c r="K852" s="208"/>
      <c r="L852" s="208"/>
      <c r="M852" s="208"/>
      <c r="N852" s="208"/>
      <c r="O852" s="208"/>
      <c r="P852" s="208"/>
      <c r="Q852" s="208"/>
      <c r="R852" s="208"/>
      <c r="S852" s="208"/>
      <c r="T852" s="208"/>
      <c r="U852" s="208"/>
      <c r="V852" s="208"/>
      <c r="W852" s="208"/>
      <c r="X852" s="208"/>
      <c r="Y852" s="208"/>
      <c r="Z852" s="208"/>
      <c r="AA852" s="208"/>
      <c r="AB852" s="208"/>
      <c r="AC852" s="208"/>
      <c r="AD852" s="208"/>
      <c r="AE852" s="208"/>
      <c r="AF852" s="208"/>
      <c r="AG852" s="208"/>
      <c r="AH852" s="208"/>
      <c r="AI852" s="208"/>
      <c r="AJ852" s="208"/>
      <c r="AK852" s="208"/>
    </row>
    <row r="853">
      <c r="A853" s="208"/>
      <c r="B853" s="208"/>
      <c r="C853" s="208"/>
      <c r="D853" s="208"/>
      <c r="E853" s="208"/>
      <c r="F853" s="208"/>
      <c r="G853" s="208"/>
      <c r="H853" s="233"/>
      <c r="I853" s="234"/>
      <c r="J853" s="208"/>
      <c r="K853" s="208"/>
      <c r="L853" s="208"/>
      <c r="M853" s="208"/>
      <c r="N853" s="208"/>
      <c r="O853" s="208"/>
      <c r="P853" s="208"/>
      <c r="Q853" s="208"/>
      <c r="R853" s="208"/>
      <c r="S853" s="208"/>
      <c r="T853" s="208"/>
      <c r="U853" s="208"/>
      <c r="V853" s="208"/>
      <c r="W853" s="208"/>
      <c r="X853" s="208"/>
      <c r="Y853" s="208"/>
      <c r="Z853" s="208"/>
      <c r="AA853" s="208"/>
      <c r="AB853" s="208"/>
      <c r="AC853" s="208"/>
      <c r="AD853" s="208"/>
      <c r="AE853" s="208"/>
      <c r="AF853" s="208"/>
      <c r="AG853" s="208"/>
      <c r="AH853" s="208"/>
      <c r="AI853" s="208"/>
      <c r="AJ853" s="208"/>
      <c r="AK853" s="208"/>
    </row>
    <row r="854">
      <c r="A854" s="208"/>
      <c r="B854" s="208"/>
      <c r="C854" s="208"/>
      <c r="D854" s="208"/>
      <c r="E854" s="208"/>
      <c r="F854" s="208"/>
      <c r="G854" s="208"/>
      <c r="H854" s="233"/>
      <c r="I854" s="234"/>
      <c r="J854" s="208"/>
      <c r="K854" s="208"/>
      <c r="L854" s="208"/>
      <c r="M854" s="208"/>
      <c r="N854" s="208"/>
      <c r="O854" s="208"/>
      <c r="P854" s="208"/>
      <c r="Q854" s="208"/>
      <c r="R854" s="208"/>
      <c r="S854" s="208"/>
      <c r="T854" s="208"/>
      <c r="U854" s="208"/>
      <c r="V854" s="208"/>
      <c r="W854" s="208"/>
      <c r="X854" s="208"/>
      <c r="Y854" s="208"/>
      <c r="Z854" s="208"/>
      <c r="AA854" s="208"/>
      <c r="AB854" s="208"/>
      <c r="AC854" s="208"/>
      <c r="AD854" s="208"/>
      <c r="AE854" s="208"/>
      <c r="AF854" s="208"/>
      <c r="AG854" s="208"/>
      <c r="AH854" s="208"/>
      <c r="AI854" s="208"/>
      <c r="AJ854" s="208"/>
      <c r="AK854" s="208"/>
    </row>
    <row r="855">
      <c r="A855" s="208"/>
      <c r="B855" s="208"/>
      <c r="C855" s="208"/>
      <c r="D855" s="208"/>
      <c r="E855" s="208"/>
      <c r="F855" s="208"/>
      <c r="G855" s="208"/>
      <c r="H855" s="233"/>
      <c r="I855" s="234"/>
      <c r="J855" s="208"/>
      <c r="K855" s="208"/>
      <c r="L855" s="208"/>
      <c r="M855" s="208"/>
      <c r="N855" s="208"/>
      <c r="O855" s="208"/>
      <c r="P855" s="208"/>
      <c r="Q855" s="208"/>
      <c r="R855" s="208"/>
      <c r="S855" s="208"/>
      <c r="T855" s="208"/>
      <c r="U855" s="208"/>
      <c r="V855" s="208"/>
      <c r="W855" s="208"/>
      <c r="X855" s="208"/>
      <c r="Y855" s="208"/>
      <c r="Z855" s="208"/>
      <c r="AA855" s="208"/>
      <c r="AB855" s="208"/>
      <c r="AC855" s="208"/>
      <c r="AD855" s="208"/>
      <c r="AE855" s="208"/>
      <c r="AF855" s="208"/>
      <c r="AG855" s="208"/>
      <c r="AH855" s="208"/>
      <c r="AI855" s="208"/>
      <c r="AJ855" s="208"/>
      <c r="AK855" s="208"/>
    </row>
    <row r="856">
      <c r="A856" s="208"/>
      <c r="B856" s="208"/>
      <c r="C856" s="208"/>
      <c r="D856" s="208"/>
      <c r="E856" s="208"/>
      <c r="F856" s="208"/>
      <c r="G856" s="208"/>
      <c r="H856" s="233"/>
      <c r="I856" s="234"/>
      <c r="J856" s="208"/>
      <c r="K856" s="208"/>
      <c r="L856" s="208"/>
      <c r="M856" s="208"/>
      <c r="N856" s="208"/>
      <c r="O856" s="208"/>
      <c r="P856" s="208"/>
      <c r="Q856" s="208"/>
      <c r="R856" s="208"/>
      <c r="S856" s="208"/>
      <c r="T856" s="208"/>
      <c r="U856" s="208"/>
      <c r="V856" s="208"/>
      <c r="W856" s="208"/>
      <c r="X856" s="208"/>
      <c r="Y856" s="208"/>
      <c r="Z856" s="208"/>
      <c r="AA856" s="208"/>
      <c r="AB856" s="208"/>
      <c r="AC856" s="208"/>
      <c r="AD856" s="208"/>
      <c r="AE856" s="208"/>
      <c r="AF856" s="208"/>
      <c r="AG856" s="208"/>
      <c r="AH856" s="208"/>
      <c r="AI856" s="208"/>
      <c r="AJ856" s="208"/>
      <c r="AK856" s="208"/>
    </row>
    <row r="857">
      <c r="A857" s="208"/>
      <c r="B857" s="208"/>
      <c r="C857" s="208"/>
      <c r="D857" s="208"/>
      <c r="E857" s="208"/>
      <c r="F857" s="208"/>
      <c r="G857" s="208"/>
      <c r="H857" s="233"/>
      <c r="I857" s="234"/>
      <c r="J857" s="208"/>
      <c r="K857" s="208"/>
      <c r="L857" s="208"/>
      <c r="M857" s="208"/>
      <c r="N857" s="208"/>
      <c r="O857" s="208"/>
      <c r="P857" s="208"/>
      <c r="Q857" s="208"/>
      <c r="R857" s="208"/>
      <c r="S857" s="208"/>
      <c r="T857" s="208"/>
      <c r="U857" s="208"/>
      <c r="V857" s="208"/>
      <c r="W857" s="208"/>
      <c r="X857" s="208"/>
      <c r="Y857" s="208"/>
      <c r="Z857" s="208"/>
      <c r="AA857" s="208"/>
      <c r="AB857" s="208"/>
      <c r="AC857" s="208"/>
      <c r="AD857" s="208"/>
      <c r="AE857" s="208"/>
      <c r="AF857" s="208"/>
      <c r="AG857" s="208"/>
      <c r="AH857" s="208"/>
      <c r="AI857" s="208"/>
      <c r="AJ857" s="208"/>
      <c r="AK857" s="208"/>
    </row>
    <row r="858">
      <c r="A858" s="208"/>
      <c r="B858" s="208"/>
      <c r="C858" s="208"/>
      <c r="D858" s="208"/>
      <c r="E858" s="208"/>
      <c r="F858" s="208"/>
      <c r="G858" s="208"/>
      <c r="H858" s="233"/>
      <c r="I858" s="234"/>
      <c r="J858" s="208"/>
      <c r="K858" s="208"/>
      <c r="L858" s="208"/>
      <c r="M858" s="208"/>
      <c r="N858" s="208"/>
      <c r="O858" s="208"/>
      <c r="P858" s="208"/>
      <c r="Q858" s="208"/>
      <c r="R858" s="208"/>
      <c r="S858" s="208"/>
      <c r="T858" s="208"/>
      <c r="U858" s="208"/>
      <c r="V858" s="208"/>
      <c r="W858" s="208"/>
      <c r="X858" s="208"/>
      <c r="Y858" s="208"/>
      <c r="Z858" s="208"/>
      <c r="AA858" s="208"/>
      <c r="AB858" s="208"/>
      <c r="AC858" s="208"/>
      <c r="AD858" s="208"/>
      <c r="AE858" s="208"/>
      <c r="AF858" s="208"/>
      <c r="AG858" s="208"/>
      <c r="AH858" s="208"/>
      <c r="AI858" s="208"/>
      <c r="AJ858" s="208"/>
      <c r="AK858" s="208"/>
    </row>
    <row r="859">
      <c r="A859" s="208"/>
      <c r="B859" s="208"/>
      <c r="C859" s="208"/>
      <c r="D859" s="208"/>
      <c r="E859" s="208"/>
      <c r="F859" s="208"/>
      <c r="G859" s="208"/>
      <c r="H859" s="233"/>
      <c r="I859" s="234"/>
      <c r="J859" s="208"/>
      <c r="K859" s="208"/>
      <c r="L859" s="208"/>
      <c r="M859" s="208"/>
      <c r="N859" s="208"/>
      <c r="O859" s="208"/>
      <c r="P859" s="208"/>
      <c r="Q859" s="208"/>
      <c r="R859" s="208"/>
      <c r="S859" s="208"/>
      <c r="T859" s="208"/>
      <c r="U859" s="208"/>
      <c r="V859" s="208"/>
      <c r="W859" s="208"/>
      <c r="X859" s="208"/>
      <c r="Y859" s="208"/>
      <c r="Z859" s="208"/>
      <c r="AA859" s="208"/>
      <c r="AB859" s="208"/>
      <c r="AC859" s="208"/>
      <c r="AD859" s="208"/>
      <c r="AE859" s="208"/>
      <c r="AF859" s="208"/>
      <c r="AG859" s="208"/>
      <c r="AH859" s="208"/>
      <c r="AI859" s="208"/>
      <c r="AJ859" s="208"/>
      <c r="AK859" s="208"/>
    </row>
    <row r="860">
      <c r="A860" s="208"/>
      <c r="B860" s="208"/>
      <c r="C860" s="208"/>
      <c r="D860" s="208"/>
      <c r="E860" s="208"/>
      <c r="F860" s="208"/>
      <c r="G860" s="208"/>
      <c r="H860" s="233"/>
      <c r="I860" s="234"/>
      <c r="J860" s="208"/>
      <c r="K860" s="208"/>
      <c r="L860" s="208"/>
      <c r="M860" s="208"/>
      <c r="N860" s="208"/>
      <c r="O860" s="208"/>
      <c r="P860" s="208"/>
      <c r="Q860" s="208"/>
      <c r="R860" s="208"/>
      <c r="S860" s="208"/>
      <c r="T860" s="208"/>
      <c r="U860" s="208"/>
      <c r="V860" s="208"/>
      <c r="W860" s="208"/>
      <c r="X860" s="208"/>
      <c r="Y860" s="208"/>
      <c r="Z860" s="208"/>
      <c r="AA860" s="208"/>
      <c r="AB860" s="208"/>
      <c r="AC860" s="208"/>
      <c r="AD860" s="208"/>
      <c r="AE860" s="208"/>
      <c r="AF860" s="208"/>
      <c r="AG860" s="208"/>
      <c r="AH860" s="208"/>
      <c r="AI860" s="208"/>
      <c r="AJ860" s="208"/>
      <c r="AK860" s="208"/>
    </row>
    <row r="861">
      <c r="A861" s="208"/>
      <c r="B861" s="208"/>
      <c r="C861" s="208"/>
      <c r="D861" s="208"/>
      <c r="E861" s="208"/>
      <c r="F861" s="208"/>
      <c r="G861" s="208"/>
      <c r="H861" s="233"/>
      <c r="I861" s="234"/>
      <c r="J861" s="208"/>
      <c r="K861" s="208"/>
      <c r="L861" s="208"/>
      <c r="M861" s="208"/>
      <c r="N861" s="208"/>
      <c r="O861" s="208"/>
      <c r="P861" s="208"/>
      <c r="Q861" s="208"/>
      <c r="R861" s="208"/>
      <c r="S861" s="208"/>
      <c r="T861" s="208"/>
      <c r="U861" s="208"/>
      <c r="V861" s="208"/>
      <c r="W861" s="208"/>
      <c r="X861" s="208"/>
      <c r="Y861" s="208"/>
      <c r="Z861" s="208"/>
      <c r="AA861" s="208"/>
      <c r="AB861" s="208"/>
      <c r="AC861" s="208"/>
      <c r="AD861" s="208"/>
      <c r="AE861" s="208"/>
      <c r="AF861" s="208"/>
      <c r="AG861" s="208"/>
      <c r="AH861" s="208"/>
      <c r="AI861" s="208"/>
      <c r="AJ861" s="208"/>
      <c r="AK861" s="208"/>
    </row>
    <row r="862">
      <c r="A862" s="208"/>
      <c r="B862" s="208"/>
      <c r="C862" s="208"/>
      <c r="D862" s="208"/>
      <c r="E862" s="208"/>
      <c r="F862" s="208"/>
      <c r="G862" s="208"/>
      <c r="H862" s="233"/>
      <c r="I862" s="234"/>
      <c r="J862" s="208"/>
      <c r="K862" s="208"/>
      <c r="L862" s="208"/>
      <c r="M862" s="208"/>
      <c r="N862" s="208"/>
      <c r="O862" s="208"/>
      <c r="P862" s="208"/>
      <c r="Q862" s="208"/>
      <c r="R862" s="208"/>
      <c r="S862" s="208"/>
      <c r="T862" s="208"/>
      <c r="U862" s="208"/>
      <c r="V862" s="208"/>
      <c r="W862" s="208"/>
      <c r="X862" s="208"/>
      <c r="Y862" s="208"/>
      <c r="Z862" s="208"/>
      <c r="AA862" s="208"/>
      <c r="AB862" s="208"/>
      <c r="AC862" s="208"/>
      <c r="AD862" s="208"/>
      <c r="AE862" s="208"/>
      <c r="AF862" s="208"/>
      <c r="AG862" s="208"/>
      <c r="AH862" s="208"/>
      <c r="AI862" s="208"/>
      <c r="AJ862" s="208"/>
      <c r="AK862" s="208"/>
    </row>
    <row r="863">
      <c r="A863" s="208"/>
      <c r="B863" s="208"/>
      <c r="C863" s="208"/>
      <c r="D863" s="208"/>
      <c r="E863" s="208"/>
      <c r="F863" s="208"/>
      <c r="G863" s="208"/>
      <c r="H863" s="233"/>
      <c r="I863" s="234"/>
      <c r="J863" s="208"/>
      <c r="K863" s="208"/>
      <c r="L863" s="208"/>
      <c r="M863" s="208"/>
      <c r="N863" s="208"/>
      <c r="O863" s="208"/>
      <c r="P863" s="208"/>
      <c r="Q863" s="208"/>
      <c r="R863" s="208"/>
      <c r="S863" s="208"/>
      <c r="T863" s="208"/>
      <c r="U863" s="208"/>
      <c r="V863" s="208"/>
      <c r="W863" s="208"/>
      <c r="X863" s="208"/>
      <c r="Y863" s="208"/>
      <c r="Z863" s="208"/>
      <c r="AA863" s="208"/>
      <c r="AB863" s="208"/>
      <c r="AC863" s="208"/>
      <c r="AD863" s="208"/>
      <c r="AE863" s="208"/>
      <c r="AF863" s="208"/>
      <c r="AG863" s="208"/>
      <c r="AH863" s="208"/>
      <c r="AI863" s="208"/>
      <c r="AJ863" s="208"/>
      <c r="AK863" s="208"/>
    </row>
    <row r="864">
      <c r="A864" s="208"/>
      <c r="B864" s="208"/>
      <c r="C864" s="208"/>
      <c r="D864" s="208"/>
      <c r="E864" s="208"/>
      <c r="F864" s="208"/>
      <c r="G864" s="208"/>
      <c r="H864" s="233"/>
      <c r="I864" s="234"/>
      <c r="J864" s="208"/>
      <c r="K864" s="208"/>
      <c r="L864" s="208"/>
      <c r="M864" s="208"/>
      <c r="N864" s="208"/>
      <c r="O864" s="208"/>
      <c r="P864" s="208"/>
      <c r="Q864" s="208"/>
      <c r="R864" s="208"/>
      <c r="S864" s="208"/>
      <c r="T864" s="208"/>
      <c r="U864" s="208"/>
      <c r="V864" s="208"/>
      <c r="W864" s="208"/>
      <c r="X864" s="208"/>
      <c r="Y864" s="208"/>
      <c r="Z864" s="208"/>
      <c r="AA864" s="208"/>
      <c r="AB864" s="208"/>
      <c r="AC864" s="208"/>
      <c r="AD864" s="208"/>
      <c r="AE864" s="208"/>
      <c r="AF864" s="208"/>
      <c r="AG864" s="208"/>
      <c r="AH864" s="208"/>
      <c r="AI864" s="208"/>
      <c r="AJ864" s="208"/>
      <c r="AK864" s="208"/>
    </row>
    <row r="865">
      <c r="A865" s="208"/>
      <c r="B865" s="208"/>
      <c r="C865" s="208"/>
      <c r="D865" s="208"/>
      <c r="E865" s="208"/>
      <c r="F865" s="208"/>
      <c r="G865" s="208"/>
      <c r="H865" s="233"/>
      <c r="I865" s="234"/>
      <c r="J865" s="208"/>
      <c r="K865" s="208"/>
      <c r="L865" s="208"/>
      <c r="M865" s="208"/>
      <c r="N865" s="208"/>
      <c r="O865" s="208"/>
      <c r="P865" s="208"/>
      <c r="Q865" s="208"/>
      <c r="R865" s="208"/>
      <c r="S865" s="208"/>
      <c r="T865" s="208"/>
      <c r="U865" s="208"/>
      <c r="V865" s="208"/>
      <c r="W865" s="208"/>
      <c r="X865" s="208"/>
      <c r="Y865" s="208"/>
      <c r="Z865" s="208"/>
      <c r="AA865" s="208"/>
      <c r="AB865" s="208"/>
      <c r="AC865" s="208"/>
      <c r="AD865" s="208"/>
      <c r="AE865" s="208"/>
      <c r="AF865" s="208"/>
      <c r="AG865" s="208"/>
      <c r="AH865" s="208"/>
      <c r="AI865" s="208"/>
      <c r="AJ865" s="208"/>
      <c r="AK865" s="208"/>
    </row>
    <row r="866">
      <c r="A866" s="208"/>
      <c r="B866" s="208"/>
      <c r="C866" s="208"/>
      <c r="D866" s="208"/>
      <c r="E866" s="208"/>
      <c r="F866" s="208"/>
      <c r="G866" s="208"/>
      <c r="H866" s="233"/>
      <c r="I866" s="234"/>
      <c r="J866" s="208"/>
      <c r="K866" s="208"/>
      <c r="L866" s="208"/>
      <c r="M866" s="208"/>
      <c r="N866" s="208"/>
      <c r="O866" s="208"/>
      <c r="P866" s="208"/>
      <c r="Q866" s="208"/>
      <c r="R866" s="208"/>
      <c r="S866" s="208"/>
      <c r="T866" s="208"/>
      <c r="U866" s="208"/>
      <c r="V866" s="208"/>
      <c r="W866" s="208"/>
      <c r="X866" s="208"/>
      <c r="Y866" s="208"/>
      <c r="Z866" s="208"/>
      <c r="AA866" s="208"/>
      <c r="AB866" s="208"/>
      <c r="AC866" s="208"/>
      <c r="AD866" s="208"/>
      <c r="AE866" s="208"/>
      <c r="AF866" s="208"/>
      <c r="AG866" s="208"/>
      <c r="AH866" s="208"/>
      <c r="AI866" s="208"/>
      <c r="AJ866" s="208"/>
      <c r="AK866" s="208"/>
    </row>
    <row r="867">
      <c r="A867" s="208"/>
      <c r="B867" s="208"/>
      <c r="C867" s="208"/>
      <c r="D867" s="208"/>
      <c r="E867" s="208"/>
      <c r="F867" s="208"/>
      <c r="G867" s="208"/>
      <c r="H867" s="233"/>
      <c r="I867" s="234"/>
      <c r="J867" s="208"/>
      <c r="K867" s="208"/>
      <c r="L867" s="208"/>
      <c r="M867" s="208"/>
      <c r="N867" s="208"/>
      <c r="O867" s="208"/>
      <c r="P867" s="208"/>
      <c r="Q867" s="208"/>
      <c r="R867" s="208"/>
      <c r="S867" s="208"/>
      <c r="T867" s="208"/>
      <c r="U867" s="208"/>
      <c r="V867" s="208"/>
      <c r="W867" s="208"/>
      <c r="X867" s="208"/>
      <c r="Y867" s="208"/>
      <c r="Z867" s="208"/>
      <c r="AA867" s="208"/>
      <c r="AB867" s="208"/>
      <c r="AC867" s="208"/>
      <c r="AD867" s="208"/>
      <c r="AE867" s="208"/>
      <c r="AF867" s="208"/>
      <c r="AG867" s="208"/>
      <c r="AH867" s="208"/>
      <c r="AI867" s="208"/>
      <c r="AJ867" s="208"/>
      <c r="AK867" s="208"/>
    </row>
    <row r="868">
      <c r="A868" s="208"/>
      <c r="B868" s="208"/>
      <c r="C868" s="208"/>
      <c r="D868" s="208"/>
      <c r="E868" s="208"/>
      <c r="F868" s="208"/>
      <c r="G868" s="208"/>
      <c r="H868" s="233"/>
      <c r="I868" s="234"/>
      <c r="J868" s="208"/>
      <c r="K868" s="208"/>
      <c r="L868" s="208"/>
      <c r="M868" s="208"/>
      <c r="N868" s="208"/>
      <c r="O868" s="208"/>
      <c r="P868" s="208"/>
      <c r="Q868" s="208"/>
      <c r="R868" s="208"/>
      <c r="S868" s="208"/>
      <c r="T868" s="208"/>
      <c r="U868" s="208"/>
      <c r="V868" s="208"/>
      <c r="W868" s="208"/>
      <c r="X868" s="208"/>
      <c r="Y868" s="208"/>
      <c r="Z868" s="208"/>
      <c r="AA868" s="208"/>
      <c r="AB868" s="208"/>
      <c r="AC868" s="208"/>
      <c r="AD868" s="208"/>
      <c r="AE868" s="208"/>
      <c r="AF868" s="208"/>
      <c r="AG868" s="208"/>
      <c r="AH868" s="208"/>
      <c r="AI868" s="208"/>
      <c r="AJ868" s="208"/>
      <c r="AK868" s="208"/>
    </row>
    <row r="869">
      <c r="A869" s="208"/>
      <c r="B869" s="208"/>
      <c r="C869" s="208"/>
      <c r="D869" s="208"/>
      <c r="E869" s="208"/>
      <c r="F869" s="208"/>
      <c r="G869" s="208"/>
      <c r="H869" s="233"/>
      <c r="I869" s="234"/>
      <c r="J869" s="208"/>
      <c r="K869" s="208"/>
      <c r="L869" s="208"/>
      <c r="M869" s="208"/>
      <c r="N869" s="208"/>
      <c r="O869" s="208"/>
      <c r="P869" s="208"/>
      <c r="Q869" s="208"/>
      <c r="R869" s="208"/>
      <c r="S869" s="208"/>
      <c r="T869" s="208"/>
      <c r="U869" s="208"/>
      <c r="V869" s="208"/>
      <c r="W869" s="208"/>
      <c r="X869" s="208"/>
      <c r="Y869" s="208"/>
      <c r="Z869" s="208"/>
      <c r="AA869" s="208"/>
      <c r="AB869" s="208"/>
      <c r="AC869" s="208"/>
      <c r="AD869" s="208"/>
      <c r="AE869" s="208"/>
      <c r="AF869" s="208"/>
      <c r="AG869" s="208"/>
      <c r="AH869" s="208"/>
      <c r="AI869" s="208"/>
      <c r="AJ869" s="208"/>
      <c r="AK869" s="208"/>
    </row>
    <row r="870">
      <c r="A870" s="208"/>
      <c r="B870" s="208"/>
      <c r="C870" s="208"/>
      <c r="D870" s="208"/>
      <c r="E870" s="208"/>
      <c r="F870" s="208"/>
      <c r="G870" s="208"/>
      <c r="H870" s="233"/>
      <c r="I870" s="234"/>
      <c r="J870" s="208"/>
      <c r="K870" s="208"/>
      <c r="L870" s="208"/>
      <c r="M870" s="208"/>
      <c r="N870" s="208"/>
      <c r="O870" s="208"/>
      <c r="P870" s="208"/>
      <c r="Q870" s="208"/>
      <c r="R870" s="208"/>
      <c r="S870" s="208"/>
      <c r="T870" s="208"/>
      <c r="U870" s="208"/>
      <c r="V870" s="208"/>
      <c r="W870" s="208"/>
      <c r="X870" s="208"/>
      <c r="Y870" s="208"/>
      <c r="Z870" s="208"/>
      <c r="AA870" s="208"/>
      <c r="AB870" s="208"/>
      <c r="AC870" s="208"/>
      <c r="AD870" s="208"/>
      <c r="AE870" s="208"/>
      <c r="AF870" s="208"/>
      <c r="AG870" s="208"/>
      <c r="AH870" s="208"/>
      <c r="AI870" s="208"/>
      <c r="AJ870" s="208"/>
      <c r="AK870" s="208"/>
    </row>
    <row r="871">
      <c r="A871" s="208"/>
      <c r="B871" s="208"/>
      <c r="C871" s="208"/>
      <c r="D871" s="208"/>
      <c r="E871" s="208"/>
      <c r="F871" s="208"/>
      <c r="G871" s="208"/>
      <c r="H871" s="233"/>
      <c r="I871" s="234"/>
      <c r="J871" s="208"/>
      <c r="K871" s="208"/>
      <c r="L871" s="208"/>
      <c r="M871" s="208"/>
      <c r="N871" s="208"/>
      <c r="O871" s="208"/>
      <c r="P871" s="208"/>
      <c r="Q871" s="208"/>
      <c r="R871" s="208"/>
      <c r="S871" s="208"/>
      <c r="T871" s="208"/>
      <c r="U871" s="208"/>
      <c r="V871" s="208"/>
      <c r="W871" s="208"/>
      <c r="X871" s="208"/>
      <c r="Y871" s="208"/>
      <c r="Z871" s="208"/>
      <c r="AA871" s="208"/>
      <c r="AB871" s="208"/>
      <c r="AC871" s="208"/>
      <c r="AD871" s="208"/>
      <c r="AE871" s="208"/>
      <c r="AF871" s="208"/>
      <c r="AG871" s="208"/>
      <c r="AH871" s="208"/>
      <c r="AI871" s="208"/>
      <c r="AJ871" s="208"/>
      <c r="AK871" s="208"/>
    </row>
    <row r="872">
      <c r="A872" s="208"/>
      <c r="B872" s="208"/>
      <c r="C872" s="208"/>
      <c r="D872" s="208"/>
      <c r="E872" s="208"/>
      <c r="F872" s="208"/>
      <c r="G872" s="208"/>
      <c r="H872" s="233"/>
      <c r="I872" s="234"/>
      <c r="J872" s="208"/>
      <c r="K872" s="208"/>
      <c r="L872" s="208"/>
      <c r="M872" s="208"/>
      <c r="N872" s="208"/>
      <c r="O872" s="208"/>
      <c r="P872" s="208"/>
      <c r="Q872" s="208"/>
      <c r="R872" s="208"/>
      <c r="S872" s="208"/>
      <c r="T872" s="208"/>
      <c r="U872" s="208"/>
      <c r="V872" s="208"/>
      <c r="W872" s="208"/>
      <c r="X872" s="208"/>
      <c r="Y872" s="208"/>
      <c r="Z872" s="208"/>
      <c r="AA872" s="208"/>
      <c r="AB872" s="208"/>
      <c r="AC872" s="208"/>
      <c r="AD872" s="208"/>
      <c r="AE872" s="208"/>
      <c r="AF872" s="208"/>
      <c r="AG872" s="208"/>
      <c r="AH872" s="208"/>
      <c r="AI872" s="208"/>
      <c r="AJ872" s="208"/>
      <c r="AK872" s="208"/>
    </row>
    <row r="873">
      <c r="A873" s="208"/>
      <c r="B873" s="208"/>
      <c r="C873" s="208"/>
      <c r="D873" s="208"/>
      <c r="E873" s="208"/>
      <c r="F873" s="208"/>
      <c r="G873" s="208"/>
      <c r="H873" s="233"/>
      <c r="I873" s="234"/>
      <c r="J873" s="208"/>
      <c r="K873" s="208"/>
      <c r="L873" s="208"/>
      <c r="M873" s="208"/>
      <c r="N873" s="208"/>
      <c r="O873" s="208"/>
      <c r="P873" s="208"/>
      <c r="Q873" s="208"/>
      <c r="R873" s="208"/>
      <c r="S873" s="208"/>
      <c r="T873" s="208"/>
      <c r="U873" s="208"/>
      <c r="V873" s="208"/>
      <c r="W873" s="208"/>
      <c r="X873" s="208"/>
      <c r="Y873" s="208"/>
      <c r="Z873" s="208"/>
      <c r="AA873" s="208"/>
      <c r="AB873" s="208"/>
      <c r="AC873" s="208"/>
      <c r="AD873" s="208"/>
      <c r="AE873" s="208"/>
      <c r="AF873" s="208"/>
      <c r="AG873" s="208"/>
      <c r="AH873" s="208"/>
      <c r="AI873" s="208"/>
      <c r="AJ873" s="208"/>
      <c r="AK873" s="208"/>
    </row>
    <row r="874">
      <c r="A874" s="208"/>
      <c r="B874" s="208"/>
      <c r="C874" s="208"/>
      <c r="D874" s="208"/>
      <c r="E874" s="208"/>
      <c r="F874" s="208"/>
      <c r="G874" s="208"/>
      <c r="H874" s="233"/>
      <c r="I874" s="234"/>
      <c r="J874" s="208"/>
      <c r="K874" s="208"/>
      <c r="L874" s="208"/>
      <c r="M874" s="208"/>
      <c r="N874" s="208"/>
      <c r="O874" s="208"/>
      <c r="P874" s="208"/>
      <c r="Q874" s="208"/>
      <c r="R874" s="208"/>
      <c r="S874" s="208"/>
      <c r="T874" s="208"/>
      <c r="U874" s="208"/>
      <c r="V874" s="208"/>
      <c r="W874" s="208"/>
      <c r="X874" s="208"/>
      <c r="Y874" s="208"/>
      <c r="Z874" s="208"/>
      <c r="AA874" s="208"/>
      <c r="AB874" s="208"/>
      <c r="AC874" s="208"/>
      <c r="AD874" s="208"/>
      <c r="AE874" s="208"/>
      <c r="AF874" s="208"/>
      <c r="AG874" s="208"/>
      <c r="AH874" s="208"/>
      <c r="AI874" s="208"/>
      <c r="AJ874" s="208"/>
      <c r="AK874" s="208"/>
    </row>
    <row r="875">
      <c r="A875" s="208"/>
      <c r="B875" s="208"/>
      <c r="C875" s="208"/>
      <c r="D875" s="208"/>
      <c r="E875" s="208"/>
      <c r="F875" s="208"/>
      <c r="G875" s="208"/>
      <c r="H875" s="233"/>
      <c r="I875" s="234"/>
      <c r="J875" s="208"/>
      <c r="K875" s="208"/>
      <c r="L875" s="208"/>
      <c r="M875" s="208"/>
      <c r="N875" s="208"/>
      <c r="O875" s="208"/>
      <c r="P875" s="208"/>
      <c r="Q875" s="208"/>
      <c r="R875" s="208"/>
      <c r="S875" s="208"/>
      <c r="T875" s="208"/>
      <c r="U875" s="208"/>
      <c r="V875" s="208"/>
      <c r="W875" s="208"/>
      <c r="X875" s="208"/>
      <c r="Y875" s="208"/>
      <c r="Z875" s="208"/>
      <c r="AA875" s="208"/>
      <c r="AB875" s="208"/>
      <c r="AC875" s="208"/>
      <c r="AD875" s="208"/>
      <c r="AE875" s="208"/>
      <c r="AF875" s="208"/>
      <c r="AG875" s="208"/>
      <c r="AH875" s="208"/>
      <c r="AI875" s="208"/>
      <c r="AJ875" s="208"/>
      <c r="AK875" s="208"/>
    </row>
    <row r="876">
      <c r="A876" s="208"/>
      <c r="B876" s="208"/>
      <c r="C876" s="208"/>
      <c r="D876" s="208"/>
      <c r="E876" s="208"/>
      <c r="F876" s="208"/>
      <c r="G876" s="208"/>
      <c r="H876" s="233"/>
      <c r="I876" s="234"/>
      <c r="J876" s="208"/>
      <c r="K876" s="208"/>
      <c r="L876" s="208"/>
      <c r="M876" s="208"/>
      <c r="N876" s="208"/>
      <c r="O876" s="208"/>
      <c r="P876" s="208"/>
      <c r="Q876" s="208"/>
      <c r="R876" s="208"/>
      <c r="S876" s="208"/>
      <c r="T876" s="208"/>
      <c r="U876" s="208"/>
      <c r="V876" s="208"/>
      <c r="W876" s="208"/>
      <c r="X876" s="208"/>
      <c r="Y876" s="208"/>
      <c r="Z876" s="208"/>
      <c r="AA876" s="208"/>
      <c r="AB876" s="208"/>
      <c r="AC876" s="208"/>
      <c r="AD876" s="208"/>
      <c r="AE876" s="208"/>
      <c r="AF876" s="208"/>
      <c r="AG876" s="208"/>
      <c r="AH876" s="208"/>
      <c r="AI876" s="208"/>
      <c r="AJ876" s="208"/>
      <c r="AK876" s="208"/>
    </row>
    <row r="877">
      <c r="A877" s="208"/>
      <c r="B877" s="208"/>
      <c r="C877" s="208"/>
      <c r="D877" s="208"/>
      <c r="E877" s="208"/>
      <c r="F877" s="208"/>
      <c r="G877" s="208"/>
      <c r="H877" s="233"/>
      <c r="I877" s="234"/>
      <c r="J877" s="208"/>
      <c r="K877" s="208"/>
      <c r="L877" s="208"/>
      <c r="M877" s="208"/>
      <c r="N877" s="208"/>
      <c r="O877" s="208"/>
      <c r="P877" s="208"/>
      <c r="Q877" s="208"/>
      <c r="R877" s="208"/>
      <c r="S877" s="208"/>
      <c r="T877" s="208"/>
      <c r="U877" s="208"/>
      <c r="V877" s="208"/>
      <c r="W877" s="208"/>
      <c r="X877" s="208"/>
      <c r="Y877" s="208"/>
      <c r="Z877" s="208"/>
      <c r="AA877" s="208"/>
      <c r="AB877" s="208"/>
      <c r="AC877" s="208"/>
      <c r="AD877" s="208"/>
      <c r="AE877" s="208"/>
      <c r="AF877" s="208"/>
      <c r="AG877" s="208"/>
      <c r="AH877" s="208"/>
      <c r="AI877" s="208"/>
      <c r="AJ877" s="208"/>
      <c r="AK877" s="208"/>
    </row>
    <row r="878">
      <c r="A878" s="208"/>
      <c r="B878" s="208"/>
      <c r="C878" s="208"/>
      <c r="D878" s="208"/>
      <c r="E878" s="208"/>
      <c r="F878" s="208"/>
      <c r="G878" s="208"/>
      <c r="H878" s="233"/>
      <c r="I878" s="234"/>
      <c r="J878" s="208"/>
      <c r="K878" s="208"/>
      <c r="L878" s="208"/>
      <c r="M878" s="208"/>
      <c r="N878" s="208"/>
      <c r="O878" s="208"/>
      <c r="P878" s="208"/>
      <c r="Q878" s="208"/>
      <c r="R878" s="208"/>
      <c r="S878" s="208"/>
      <c r="T878" s="208"/>
      <c r="U878" s="208"/>
      <c r="V878" s="208"/>
      <c r="W878" s="208"/>
      <c r="X878" s="208"/>
      <c r="Y878" s="208"/>
      <c r="Z878" s="208"/>
      <c r="AA878" s="208"/>
      <c r="AB878" s="208"/>
      <c r="AC878" s="208"/>
      <c r="AD878" s="208"/>
      <c r="AE878" s="208"/>
      <c r="AF878" s="208"/>
      <c r="AG878" s="208"/>
      <c r="AH878" s="208"/>
      <c r="AI878" s="208"/>
      <c r="AJ878" s="208"/>
      <c r="AK878" s="208"/>
    </row>
    <row r="879">
      <c r="A879" s="208"/>
      <c r="B879" s="208"/>
      <c r="C879" s="208"/>
      <c r="D879" s="208"/>
      <c r="E879" s="208"/>
      <c r="F879" s="208"/>
      <c r="G879" s="208"/>
      <c r="H879" s="233"/>
      <c r="I879" s="234"/>
      <c r="J879" s="208"/>
      <c r="K879" s="208"/>
      <c r="L879" s="208"/>
      <c r="M879" s="208"/>
      <c r="N879" s="208"/>
      <c r="O879" s="208"/>
      <c r="P879" s="208"/>
      <c r="Q879" s="208"/>
      <c r="R879" s="208"/>
      <c r="S879" s="208"/>
      <c r="T879" s="208"/>
      <c r="U879" s="208"/>
      <c r="V879" s="208"/>
      <c r="W879" s="208"/>
      <c r="X879" s="208"/>
      <c r="Y879" s="208"/>
      <c r="Z879" s="208"/>
      <c r="AA879" s="208"/>
      <c r="AB879" s="208"/>
      <c r="AC879" s="208"/>
      <c r="AD879" s="208"/>
      <c r="AE879" s="208"/>
      <c r="AF879" s="208"/>
      <c r="AG879" s="208"/>
      <c r="AH879" s="208"/>
      <c r="AI879" s="208"/>
      <c r="AJ879" s="208"/>
      <c r="AK879" s="208"/>
    </row>
    <row r="880">
      <c r="A880" s="208"/>
      <c r="B880" s="208"/>
      <c r="C880" s="208"/>
      <c r="D880" s="208"/>
      <c r="E880" s="208"/>
      <c r="F880" s="208"/>
      <c r="G880" s="208"/>
      <c r="H880" s="233"/>
      <c r="I880" s="234"/>
      <c r="J880" s="208"/>
      <c r="K880" s="208"/>
      <c r="L880" s="208"/>
      <c r="M880" s="208"/>
      <c r="N880" s="208"/>
      <c r="O880" s="208"/>
      <c r="P880" s="208"/>
      <c r="Q880" s="208"/>
      <c r="R880" s="208"/>
      <c r="S880" s="208"/>
      <c r="T880" s="208"/>
      <c r="U880" s="208"/>
      <c r="V880" s="208"/>
      <c r="W880" s="208"/>
      <c r="X880" s="208"/>
      <c r="Y880" s="208"/>
      <c r="Z880" s="208"/>
      <c r="AA880" s="208"/>
      <c r="AB880" s="208"/>
      <c r="AC880" s="208"/>
      <c r="AD880" s="208"/>
      <c r="AE880" s="208"/>
      <c r="AF880" s="208"/>
      <c r="AG880" s="208"/>
      <c r="AH880" s="208"/>
      <c r="AI880" s="208"/>
      <c r="AJ880" s="208"/>
      <c r="AK880" s="208"/>
    </row>
    <row r="881">
      <c r="A881" s="208"/>
      <c r="B881" s="208"/>
      <c r="C881" s="208"/>
      <c r="D881" s="208"/>
      <c r="E881" s="208"/>
      <c r="F881" s="208"/>
      <c r="G881" s="208"/>
      <c r="H881" s="233"/>
      <c r="I881" s="234"/>
      <c r="J881" s="208"/>
      <c r="K881" s="208"/>
      <c r="L881" s="208"/>
      <c r="M881" s="208"/>
      <c r="N881" s="208"/>
      <c r="O881" s="208"/>
      <c r="P881" s="208"/>
      <c r="Q881" s="208"/>
      <c r="R881" s="208"/>
      <c r="S881" s="208"/>
      <c r="T881" s="208"/>
      <c r="U881" s="208"/>
      <c r="V881" s="208"/>
      <c r="W881" s="208"/>
      <c r="X881" s="208"/>
      <c r="Y881" s="208"/>
      <c r="Z881" s="208"/>
      <c r="AA881" s="208"/>
      <c r="AB881" s="208"/>
      <c r="AC881" s="208"/>
      <c r="AD881" s="208"/>
      <c r="AE881" s="208"/>
      <c r="AF881" s="208"/>
      <c r="AG881" s="208"/>
      <c r="AH881" s="208"/>
      <c r="AI881" s="208"/>
      <c r="AJ881" s="208"/>
      <c r="AK881" s="208"/>
    </row>
    <row r="882">
      <c r="A882" s="208"/>
      <c r="B882" s="208"/>
      <c r="C882" s="208"/>
      <c r="D882" s="208"/>
      <c r="E882" s="208"/>
      <c r="F882" s="208"/>
      <c r="G882" s="208"/>
      <c r="H882" s="233"/>
      <c r="I882" s="234"/>
      <c r="J882" s="208"/>
      <c r="K882" s="208"/>
      <c r="L882" s="208"/>
      <c r="M882" s="208"/>
      <c r="N882" s="208"/>
      <c r="O882" s="208"/>
      <c r="P882" s="208"/>
      <c r="Q882" s="208"/>
      <c r="R882" s="208"/>
      <c r="S882" s="208"/>
      <c r="T882" s="208"/>
      <c r="U882" s="208"/>
      <c r="V882" s="208"/>
      <c r="W882" s="208"/>
      <c r="X882" s="208"/>
      <c r="Y882" s="208"/>
      <c r="Z882" s="208"/>
      <c r="AA882" s="208"/>
      <c r="AB882" s="208"/>
      <c r="AC882" s="208"/>
      <c r="AD882" s="208"/>
      <c r="AE882" s="208"/>
      <c r="AF882" s="208"/>
      <c r="AG882" s="208"/>
      <c r="AH882" s="208"/>
      <c r="AI882" s="208"/>
      <c r="AJ882" s="208"/>
      <c r="AK882" s="208"/>
    </row>
    <row r="883">
      <c r="A883" s="208"/>
      <c r="B883" s="208"/>
      <c r="C883" s="208"/>
      <c r="D883" s="208"/>
      <c r="E883" s="208"/>
      <c r="F883" s="208"/>
      <c r="G883" s="208"/>
      <c r="H883" s="233"/>
      <c r="I883" s="234"/>
      <c r="J883" s="208"/>
      <c r="K883" s="208"/>
      <c r="L883" s="208"/>
      <c r="M883" s="208"/>
      <c r="N883" s="208"/>
      <c r="O883" s="208"/>
      <c r="P883" s="208"/>
      <c r="Q883" s="208"/>
      <c r="R883" s="208"/>
      <c r="S883" s="208"/>
      <c r="T883" s="208"/>
      <c r="U883" s="208"/>
      <c r="V883" s="208"/>
      <c r="W883" s="208"/>
      <c r="X883" s="208"/>
      <c r="Y883" s="208"/>
      <c r="Z883" s="208"/>
      <c r="AA883" s="208"/>
      <c r="AB883" s="208"/>
      <c r="AC883" s="208"/>
      <c r="AD883" s="208"/>
      <c r="AE883" s="208"/>
      <c r="AF883" s="208"/>
      <c r="AG883" s="208"/>
      <c r="AH883" s="208"/>
      <c r="AI883" s="208"/>
      <c r="AJ883" s="208"/>
      <c r="AK883" s="208"/>
    </row>
    <row r="884">
      <c r="A884" s="208"/>
      <c r="B884" s="208"/>
      <c r="C884" s="208"/>
      <c r="D884" s="208"/>
      <c r="E884" s="208"/>
      <c r="F884" s="208"/>
      <c r="G884" s="208"/>
      <c r="H884" s="233"/>
      <c r="I884" s="234"/>
      <c r="J884" s="208"/>
      <c r="K884" s="208"/>
      <c r="L884" s="208"/>
      <c r="M884" s="208"/>
      <c r="N884" s="208"/>
      <c r="O884" s="208"/>
      <c r="P884" s="208"/>
      <c r="Q884" s="208"/>
      <c r="R884" s="208"/>
      <c r="S884" s="208"/>
      <c r="T884" s="208"/>
      <c r="U884" s="208"/>
      <c r="V884" s="208"/>
      <c r="W884" s="208"/>
      <c r="X884" s="208"/>
      <c r="Y884" s="208"/>
      <c r="Z884" s="208"/>
      <c r="AA884" s="208"/>
      <c r="AB884" s="208"/>
      <c r="AC884" s="208"/>
      <c r="AD884" s="208"/>
      <c r="AE884" s="208"/>
      <c r="AF884" s="208"/>
      <c r="AG884" s="208"/>
      <c r="AH884" s="208"/>
      <c r="AI884" s="208"/>
      <c r="AJ884" s="208"/>
      <c r="AK884" s="208"/>
    </row>
    <row r="885">
      <c r="A885" s="208"/>
      <c r="B885" s="208"/>
      <c r="C885" s="208"/>
      <c r="D885" s="208"/>
      <c r="E885" s="208"/>
      <c r="F885" s="208"/>
      <c r="G885" s="208"/>
      <c r="H885" s="233"/>
      <c r="I885" s="234"/>
      <c r="J885" s="208"/>
      <c r="K885" s="208"/>
      <c r="L885" s="208"/>
      <c r="M885" s="208"/>
      <c r="N885" s="208"/>
      <c r="O885" s="208"/>
      <c r="P885" s="208"/>
      <c r="Q885" s="208"/>
      <c r="R885" s="208"/>
      <c r="S885" s="208"/>
      <c r="T885" s="208"/>
      <c r="U885" s="208"/>
      <c r="V885" s="208"/>
      <c r="W885" s="208"/>
      <c r="X885" s="208"/>
      <c r="Y885" s="208"/>
      <c r="Z885" s="208"/>
      <c r="AA885" s="208"/>
      <c r="AB885" s="208"/>
      <c r="AC885" s="208"/>
      <c r="AD885" s="208"/>
      <c r="AE885" s="208"/>
      <c r="AF885" s="208"/>
      <c r="AG885" s="208"/>
      <c r="AH885" s="208"/>
      <c r="AI885" s="208"/>
      <c r="AJ885" s="208"/>
      <c r="AK885" s="208"/>
    </row>
    <row r="886">
      <c r="A886" s="208"/>
      <c r="B886" s="208"/>
      <c r="C886" s="208"/>
      <c r="D886" s="208"/>
      <c r="E886" s="208"/>
      <c r="F886" s="208"/>
      <c r="G886" s="208"/>
      <c r="H886" s="233"/>
      <c r="I886" s="234"/>
      <c r="J886" s="208"/>
      <c r="K886" s="208"/>
      <c r="L886" s="208"/>
      <c r="M886" s="208"/>
      <c r="N886" s="208"/>
      <c r="O886" s="208"/>
      <c r="P886" s="208"/>
      <c r="Q886" s="208"/>
      <c r="R886" s="208"/>
      <c r="S886" s="208"/>
      <c r="T886" s="208"/>
      <c r="U886" s="208"/>
      <c r="V886" s="208"/>
      <c r="W886" s="208"/>
      <c r="X886" s="208"/>
      <c r="Y886" s="208"/>
      <c r="Z886" s="208"/>
      <c r="AA886" s="208"/>
      <c r="AB886" s="208"/>
      <c r="AC886" s="208"/>
      <c r="AD886" s="208"/>
      <c r="AE886" s="208"/>
      <c r="AF886" s="208"/>
      <c r="AG886" s="208"/>
      <c r="AH886" s="208"/>
      <c r="AI886" s="208"/>
      <c r="AJ886" s="208"/>
      <c r="AK886" s="208"/>
    </row>
    <row r="887">
      <c r="A887" s="208"/>
      <c r="B887" s="208"/>
      <c r="C887" s="208"/>
      <c r="D887" s="208"/>
      <c r="E887" s="208"/>
      <c r="F887" s="208"/>
      <c r="G887" s="208"/>
      <c r="H887" s="233"/>
      <c r="I887" s="234"/>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c r="AI887" s="208"/>
      <c r="AJ887" s="208"/>
      <c r="AK887" s="208"/>
    </row>
    <row r="888">
      <c r="A888" s="208"/>
      <c r="B888" s="208"/>
      <c r="C888" s="208"/>
      <c r="D888" s="208"/>
      <c r="E888" s="208"/>
      <c r="F888" s="208"/>
      <c r="G888" s="208"/>
      <c r="H888" s="233"/>
      <c r="I888" s="234"/>
      <c r="J888" s="208"/>
      <c r="K888" s="208"/>
      <c r="L888" s="208"/>
      <c r="M888" s="208"/>
      <c r="N888" s="208"/>
      <c r="O888" s="208"/>
      <c r="P888" s="208"/>
      <c r="Q888" s="208"/>
      <c r="R888" s="208"/>
      <c r="S888" s="208"/>
      <c r="T888" s="208"/>
      <c r="U888" s="208"/>
      <c r="V888" s="208"/>
      <c r="W888" s="208"/>
      <c r="X888" s="208"/>
      <c r="Y888" s="208"/>
      <c r="Z888" s="208"/>
      <c r="AA888" s="208"/>
      <c r="AB888" s="208"/>
      <c r="AC888" s="208"/>
      <c r="AD888" s="208"/>
      <c r="AE888" s="208"/>
      <c r="AF888" s="208"/>
      <c r="AG888" s="208"/>
      <c r="AH888" s="208"/>
      <c r="AI888" s="208"/>
      <c r="AJ888" s="208"/>
      <c r="AK888" s="208"/>
    </row>
    <row r="889">
      <c r="A889" s="208"/>
      <c r="B889" s="208"/>
      <c r="C889" s="208"/>
      <c r="D889" s="208"/>
      <c r="E889" s="208"/>
      <c r="F889" s="208"/>
      <c r="G889" s="208"/>
      <c r="H889" s="233"/>
      <c r="I889" s="234"/>
      <c r="J889" s="208"/>
      <c r="K889" s="208"/>
      <c r="L889" s="208"/>
      <c r="M889" s="208"/>
      <c r="N889" s="208"/>
      <c r="O889" s="208"/>
      <c r="P889" s="208"/>
      <c r="Q889" s="208"/>
      <c r="R889" s="208"/>
      <c r="S889" s="208"/>
      <c r="T889" s="208"/>
      <c r="U889" s="208"/>
      <c r="V889" s="208"/>
      <c r="W889" s="208"/>
      <c r="X889" s="208"/>
      <c r="Y889" s="208"/>
      <c r="Z889" s="208"/>
      <c r="AA889" s="208"/>
      <c r="AB889" s="208"/>
      <c r="AC889" s="208"/>
      <c r="AD889" s="208"/>
      <c r="AE889" s="208"/>
      <c r="AF889" s="208"/>
      <c r="AG889" s="208"/>
      <c r="AH889" s="208"/>
      <c r="AI889" s="208"/>
      <c r="AJ889" s="208"/>
      <c r="AK889" s="208"/>
    </row>
    <row r="890">
      <c r="A890" s="208"/>
      <c r="B890" s="208"/>
      <c r="C890" s="208"/>
      <c r="D890" s="208"/>
      <c r="E890" s="208"/>
      <c r="F890" s="208"/>
      <c r="G890" s="208"/>
      <c r="H890" s="233"/>
      <c r="I890" s="234"/>
      <c r="J890" s="208"/>
      <c r="K890" s="208"/>
      <c r="L890" s="208"/>
      <c r="M890" s="208"/>
      <c r="N890" s="208"/>
      <c r="O890" s="208"/>
      <c r="P890" s="208"/>
      <c r="Q890" s="208"/>
      <c r="R890" s="208"/>
      <c r="S890" s="208"/>
      <c r="T890" s="208"/>
      <c r="U890" s="208"/>
      <c r="V890" s="208"/>
      <c r="W890" s="208"/>
      <c r="X890" s="208"/>
      <c r="Y890" s="208"/>
      <c r="Z890" s="208"/>
      <c r="AA890" s="208"/>
      <c r="AB890" s="208"/>
      <c r="AC890" s="208"/>
      <c r="AD890" s="208"/>
      <c r="AE890" s="208"/>
      <c r="AF890" s="208"/>
      <c r="AG890" s="208"/>
      <c r="AH890" s="208"/>
      <c r="AI890" s="208"/>
      <c r="AJ890" s="208"/>
      <c r="AK890" s="208"/>
    </row>
    <row r="891">
      <c r="A891" s="208"/>
      <c r="B891" s="208"/>
      <c r="C891" s="208"/>
      <c r="D891" s="208"/>
      <c r="E891" s="208"/>
      <c r="F891" s="208"/>
      <c r="G891" s="208"/>
      <c r="H891" s="233"/>
      <c r="I891" s="234"/>
      <c r="J891" s="208"/>
      <c r="K891" s="208"/>
      <c r="L891" s="208"/>
      <c r="M891" s="208"/>
      <c r="N891" s="208"/>
      <c r="O891" s="208"/>
      <c r="P891" s="208"/>
      <c r="Q891" s="208"/>
      <c r="R891" s="208"/>
      <c r="S891" s="208"/>
      <c r="T891" s="208"/>
      <c r="U891" s="208"/>
      <c r="V891" s="208"/>
      <c r="W891" s="208"/>
      <c r="X891" s="208"/>
      <c r="Y891" s="208"/>
      <c r="Z891" s="208"/>
      <c r="AA891" s="208"/>
      <c r="AB891" s="208"/>
      <c r="AC891" s="208"/>
      <c r="AD891" s="208"/>
      <c r="AE891" s="208"/>
      <c r="AF891" s="208"/>
      <c r="AG891" s="208"/>
      <c r="AH891" s="208"/>
      <c r="AI891" s="208"/>
      <c r="AJ891" s="208"/>
      <c r="AK891" s="208"/>
    </row>
    <row r="892">
      <c r="A892" s="208"/>
      <c r="B892" s="208"/>
      <c r="C892" s="208"/>
      <c r="D892" s="208"/>
      <c r="E892" s="208"/>
      <c r="F892" s="208"/>
      <c r="G892" s="208"/>
      <c r="H892" s="233"/>
      <c r="I892" s="234"/>
      <c r="J892" s="208"/>
      <c r="K892" s="208"/>
      <c r="L892" s="208"/>
      <c r="M892" s="208"/>
      <c r="N892" s="208"/>
      <c r="O892" s="208"/>
      <c r="P892" s="208"/>
      <c r="Q892" s="208"/>
      <c r="R892" s="208"/>
      <c r="S892" s="208"/>
      <c r="T892" s="208"/>
      <c r="U892" s="208"/>
      <c r="V892" s="208"/>
      <c r="W892" s="208"/>
      <c r="X892" s="208"/>
      <c r="Y892" s="208"/>
      <c r="Z892" s="208"/>
      <c r="AA892" s="208"/>
      <c r="AB892" s="208"/>
      <c r="AC892" s="208"/>
      <c r="AD892" s="208"/>
      <c r="AE892" s="208"/>
      <c r="AF892" s="208"/>
      <c r="AG892" s="208"/>
      <c r="AH892" s="208"/>
      <c r="AI892" s="208"/>
      <c r="AJ892" s="208"/>
      <c r="AK892" s="208"/>
    </row>
    <row r="893">
      <c r="A893" s="208"/>
      <c r="B893" s="208"/>
      <c r="C893" s="208"/>
      <c r="D893" s="208"/>
      <c r="E893" s="208"/>
      <c r="F893" s="208"/>
      <c r="G893" s="208"/>
      <c r="H893" s="233"/>
      <c r="I893" s="234"/>
      <c r="J893" s="208"/>
      <c r="K893" s="208"/>
      <c r="L893" s="208"/>
      <c r="M893" s="208"/>
      <c r="N893" s="208"/>
      <c r="O893" s="208"/>
      <c r="P893" s="208"/>
      <c r="Q893" s="208"/>
      <c r="R893" s="208"/>
      <c r="S893" s="208"/>
      <c r="T893" s="208"/>
      <c r="U893" s="208"/>
      <c r="V893" s="208"/>
      <c r="W893" s="208"/>
      <c r="X893" s="208"/>
      <c r="Y893" s="208"/>
      <c r="Z893" s="208"/>
      <c r="AA893" s="208"/>
      <c r="AB893" s="208"/>
      <c r="AC893" s="208"/>
      <c r="AD893" s="208"/>
      <c r="AE893" s="208"/>
      <c r="AF893" s="208"/>
      <c r="AG893" s="208"/>
      <c r="AH893" s="208"/>
      <c r="AI893" s="208"/>
      <c r="AJ893" s="208"/>
      <c r="AK893" s="208"/>
    </row>
    <row r="894">
      <c r="A894" s="208"/>
      <c r="B894" s="208"/>
      <c r="C894" s="208"/>
      <c r="D894" s="208"/>
      <c r="E894" s="208"/>
      <c r="F894" s="208"/>
      <c r="G894" s="208"/>
      <c r="H894" s="233"/>
      <c r="I894" s="234"/>
      <c r="J894" s="208"/>
      <c r="K894" s="208"/>
      <c r="L894" s="208"/>
      <c r="M894" s="208"/>
      <c r="N894" s="208"/>
      <c r="O894" s="208"/>
      <c r="P894" s="208"/>
      <c r="Q894" s="208"/>
      <c r="R894" s="208"/>
      <c r="S894" s="208"/>
      <c r="T894" s="208"/>
      <c r="U894" s="208"/>
      <c r="V894" s="208"/>
      <c r="W894" s="208"/>
      <c r="X894" s="208"/>
      <c r="Y894" s="208"/>
      <c r="Z894" s="208"/>
      <c r="AA894" s="208"/>
      <c r="AB894" s="208"/>
      <c r="AC894" s="208"/>
      <c r="AD894" s="208"/>
      <c r="AE894" s="208"/>
      <c r="AF894" s="208"/>
      <c r="AG894" s="208"/>
      <c r="AH894" s="208"/>
      <c r="AI894" s="208"/>
      <c r="AJ894" s="208"/>
      <c r="AK894" s="208"/>
    </row>
    <row r="895">
      <c r="A895" s="208"/>
      <c r="B895" s="208"/>
      <c r="C895" s="208"/>
      <c r="D895" s="208"/>
      <c r="E895" s="208"/>
      <c r="F895" s="208"/>
      <c r="G895" s="208"/>
      <c r="H895" s="233"/>
      <c r="I895" s="234"/>
      <c r="J895" s="208"/>
      <c r="K895" s="208"/>
      <c r="L895" s="208"/>
      <c r="M895" s="208"/>
      <c r="N895" s="208"/>
      <c r="O895" s="208"/>
      <c r="P895" s="208"/>
      <c r="Q895" s="208"/>
      <c r="R895" s="208"/>
      <c r="S895" s="208"/>
      <c r="T895" s="208"/>
      <c r="U895" s="208"/>
      <c r="V895" s="208"/>
      <c r="W895" s="208"/>
      <c r="X895" s="208"/>
      <c r="Y895" s="208"/>
      <c r="Z895" s="208"/>
      <c r="AA895" s="208"/>
      <c r="AB895" s="208"/>
      <c r="AC895" s="208"/>
      <c r="AD895" s="208"/>
      <c r="AE895" s="208"/>
      <c r="AF895" s="208"/>
      <c r="AG895" s="208"/>
      <c r="AH895" s="208"/>
      <c r="AI895" s="208"/>
      <c r="AJ895" s="208"/>
      <c r="AK895" s="208"/>
    </row>
    <row r="896">
      <c r="A896" s="208"/>
      <c r="B896" s="208"/>
      <c r="C896" s="208"/>
      <c r="D896" s="208"/>
      <c r="E896" s="208"/>
      <c r="F896" s="208"/>
      <c r="G896" s="208"/>
      <c r="H896" s="233"/>
      <c r="I896" s="234"/>
      <c r="J896" s="208"/>
      <c r="K896" s="208"/>
      <c r="L896" s="208"/>
      <c r="M896" s="208"/>
      <c r="N896" s="208"/>
      <c r="O896" s="208"/>
      <c r="P896" s="208"/>
      <c r="Q896" s="208"/>
      <c r="R896" s="208"/>
      <c r="S896" s="208"/>
      <c r="T896" s="208"/>
      <c r="U896" s="208"/>
      <c r="V896" s="208"/>
      <c r="W896" s="208"/>
      <c r="X896" s="208"/>
      <c r="Y896" s="208"/>
      <c r="Z896" s="208"/>
      <c r="AA896" s="208"/>
      <c r="AB896" s="208"/>
      <c r="AC896" s="208"/>
      <c r="AD896" s="208"/>
      <c r="AE896" s="208"/>
      <c r="AF896" s="208"/>
      <c r="AG896" s="208"/>
      <c r="AH896" s="208"/>
      <c r="AI896" s="208"/>
      <c r="AJ896" s="208"/>
      <c r="AK896" s="208"/>
    </row>
    <row r="897">
      <c r="A897" s="208"/>
      <c r="B897" s="208"/>
      <c r="C897" s="208"/>
      <c r="D897" s="208"/>
      <c r="E897" s="208"/>
      <c r="F897" s="208"/>
      <c r="G897" s="208"/>
      <c r="H897" s="233"/>
      <c r="I897" s="234"/>
      <c r="J897" s="208"/>
      <c r="K897" s="208"/>
      <c r="L897" s="208"/>
      <c r="M897" s="208"/>
      <c r="N897" s="208"/>
      <c r="O897" s="208"/>
      <c r="P897" s="208"/>
      <c r="Q897" s="208"/>
      <c r="R897" s="208"/>
      <c r="S897" s="208"/>
      <c r="T897" s="208"/>
      <c r="U897" s="208"/>
      <c r="V897" s="208"/>
      <c r="W897" s="208"/>
      <c r="X897" s="208"/>
      <c r="Y897" s="208"/>
      <c r="Z897" s="208"/>
      <c r="AA897" s="208"/>
      <c r="AB897" s="208"/>
      <c r="AC897" s="208"/>
      <c r="AD897" s="208"/>
      <c r="AE897" s="208"/>
      <c r="AF897" s="208"/>
      <c r="AG897" s="208"/>
      <c r="AH897" s="208"/>
      <c r="AI897" s="208"/>
      <c r="AJ897" s="208"/>
      <c r="AK897" s="208"/>
    </row>
    <row r="898">
      <c r="A898" s="208"/>
      <c r="B898" s="208"/>
      <c r="C898" s="208"/>
      <c r="D898" s="208"/>
      <c r="E898" s="208"/>
      <c r="F898" s="208"/>
      <c r="G898" s="208"/>
      <c r="H898" s="233"/>
      <c r="I898" s="234"/>
      <c r="J898" s="208"/>
      <c r="K898" s="208"/>
      <c r="L898" s="208"/>
      <c r="M898" s="208"/>
      <c r="N898" s="208"/>
      <c r="O898" s="208"/>
      <c r="P898" s="208"/>
      <c r="Q898" s="208"/>
      <c r="R898" s="208"/>
      <c r="S898" s="208"/>
      <c r="T898" s="208"/>
      <c r="U898" s="208"/>
      <c r="V898" s="208"/>
      <c r="W898" s="208"/>
      <c r="X898" s="208"/>
      <c r="Y898" s="208"/>
      <c r="Z898" s="208"/>
      <c r="AA898" s="208"/>
      <c r="AB898" s="208"/>
      <c r="AC898" s="208"/>
      <c r="AD898" s="208"/>
      <c r="AE898" s="208"/>
      <c r="AF898" s="208"/>
      <c r="AG898" s="208"/>
      <c r="AH898" s="208"/>
      <c r="AI898" s="208"/>
      <c r="AJ898" s="208"/>
      <c r="AK898" s="208"/>
    </row>
    <row r="899">
      <c r="A899" s="208"/>
      <c r="B899" s="208"/>
      <c r="C899" s="208"/>
      <c r="D899" s="208"/>
      <c r="E899" s="208"/>
      <c r="F899" s="208"/>
      <c r="G899" s="208"/>
      <c r="H899" s="233"/>
      <c r="I899" s="234"/>
      <c r="J899" s="208"/>
      <c r="K899" s="208"/>
      <c r="L899" s="208"/>
      <c r="M899" s="208"/>
      <c r="N899" s="208"/>
      <c r="O899" s="208"/>
      <c r="P899" s="208"/>
      <c r="Q899" s="208"/>
      <c r="R899" s="208"/>
      <c r="S899" s="208"/>
      <c r="T899" s="208"/>
      <c r="U899" s="208"/>
      <c r="V899" s="208"/>
      <c r="W899" s="208"/>
      <c r="X899" s="208"/>
      <c r="Y899" s="208"/>
      <c r="Z899" s="208"/>
      <c r="AA899" s="208"/>
      <c r="AB899" s="208"/>
      <c r="AC899" s="208"/>
      <c r="AD899" s="208"/>
      <c r="AE899" s="208"/>
      <c r="AF899" s="208"/>
      <c r="AG899" s="208"/>
      <c r="AH899" s="208"/>
      <c r="AI899" s="208"/>
      <c r="AJ899" s="208"/>
      <c r="AK899" s="208"/>
    </row>
    <row r="900">
      <c r="A900" s="208"/>
      <c r="B900" s="208"/>
      <c r="C900" s="208"/>
      <c r="D900" s="208"/>
      <c r="E900" s="208"/>
      <c r="F900" s="208"/>
      <c r="G900" s="208"/>
      <c r="H900" s="233"/>
      <c r="I900" s="234"/>
      <c r="J900" s="208"/>
      <c r="K900" s="208"/>
      <c r="L900" s="208"/>
      <c r="M900" s="208"/>
      <c r="N900" s="208"/>
      <c r="O900" s="208"/>
      <c r="P900" s="208"/>
      <c r="Q900" s="208"/>
      <c r="R900" s="208"/>
      <c r="S900" s="208"/>
      <c r="T900" s="208"/>
      <c r="U900" s="208"/>
      <c r="V900" s="208"/>
      <c r="W900" s="208"/>
      <c r="X900" s="208"/>
      <c r="Y900" s="208"/>
      <c r="Z900" s="208"/>
      <c r="AA900" s="208"/>
      <c r="AB900" s="208"/>
      <c r="AC900" s="208"/>
      <c r="AD900" s="208"/>
      <c r="AE900" s="208"/>
      <c r="AF900" s="208"/>
      <c r="AG900" s="208"/>
      <c r="AH900" s="208"/>
      <c r="AI900" s="208"/>
      <c r="AJ900" s="208"/>
      <c r="AK900" s="208"/>
    </row>
    <row r="901">
      <c r="A901" s="208"/>
      <c r="B901" s="208"/>
      <c r="C901" s="208"/>
      <c r="D901" s="208"/>
      <c r="E901" s="208"/>
      <c r="F901" s="208"/>
      <c r="G901" s="208"/>
      <c r="H901" s="233"/>
      <c r="I901" s="234"/>
      <c r="J901" s="208"/>
      <c r="K901" s="208"/>
      <c r="L901" s="208"/>
      <c r="M901" s="208"/>
      <c r="N901" s="208"/>
      <c r="O901" s="208"/>
      <c r="P901" s="208"/>
      <c r="Q901" s="208"/>
      <c r="R901" s="208"/>
      <c r="S901" s="208"/>
      <c r="T901" s="208"/>
      <c r="U901" s="208"/>
      <c r="V901" s="208"/>
      <c r="W901" s="208"/>
      <c r="X901" s="208"/>
      <c r="Y901" s="208"/>
      <c r="Z901" s="208"/>
      <c r="AA901" s="208"/>
      <c r="AB901" s="208"/>
      <c r="AC901" s="208"/>
      <c r="AD901" s="208"/>
      <c r="AE901" s="208"/>
      <c r="AF901" s="208"/>
      <c r="AG901" s="208"/>
      <c r="AH901" s="208"/>
      <c r="AI901" s="208"/>
      <c r="AJ901" s="208"/>
      <c r="AK901" s="208"/>
    </row>
    <row r="902">
      <c r="A902" s="208"/>
      <c r="B902" s="208"/>
      <c r="C902" s="208"/>
      <c r="D902" s="208"/>
      <c r="E902" s="208"/>
      <c r="F902" s="208"/>
      <c r="G902" s="208"/>
      <c r="H902" s="233"/>
      <c r="I902" s="234"/>
      <c r="J902" s="208"/>
      <c r="K902" s="208"/>
      <c r="L902" s="208"/>
      <c r="M902" s="208"/>
      <c r="N902" s="208"/>
      <c r="O902" s="208"/>
      <c r="P902" s="208"/>
      <c r="Q902" s="208"/>
      <c r="R902" s="208"/>
      <c r="S902" s="208"/>
      <c r="T902" s="208"/>
      <c r="U902" s="208"/>
      <c r="V902" s="208"/>
      <c r="W902" s="208"/>
      <c r="X902" s="208"/>
      <c r="Y902" s="208"/>
      <c r="Z902" s="208"/>
      <c r="AA902" s="208"/>
      <c r="AB902" s="208"/>
      <c r="AC902" s="208"/>
      <c r="AD902" s="208"/>
      <c r="AE902" s="208"/>
      <c r="AF902" s="208"/>
      <c r="AG902" s="208"/>
      <c r="AH902" s="208"/>
      <c r="AI902" s="208"/>
      <c r="AJ902" s="208"/>
      <c r="AK902" s="208"/>
    </row>
    <row r="903">
      <c r="A903" s="208"/>
      <c r="B903" s="208"/>
      <c r="C903" s="208"/>
      <c r="D903" s="208"/>
      <c r="E903" s="208"/>
      <c r="F903" s="208"/>
      <c r="G903" s="208"/>
      <c r="H903" s="233"/>
      <c r="I903" s="234"/>
      <c r="J903" s="208"/>
      <c r="K903" s="208"/>
      <c r="L903" s="208"/>
      <c r="M903" s="208"/>
      <c r="N903" s="208"/>
      <c r="O903" s="208"/>
      <c r="P903" s="208"/>
      <c r="Q903" s="208"/>
      <c r="R903" s="208"/>
      <c r="S903" s="208"/>
      <c r="T903" s="208"/>
      <c r="U903" s="208"/>
      <c r="V903" s="208"/>
      <c r="W903" s="208"/>
      <c r="X903" s="208"/>
      <c r="Y903" s="208"/>
      <c r="Z903" s="208"/>
      <c r="AA903" s="208"/>
      <c r="AB903" s="208"/>
      <c r="AC903" s="208"/>
      <c r="AD903" s="208"/>
      <c r="AE903" s="208"/>
      <c r="AF903" s="208"/>
      <c r="AG903" s="208"/>
      <c r="AH903" s="208"/>
      <c r="AI903" s="208"/>
      <c r="AJ903" s="208"/>
      <c r="AK903" s="208"/>
    </row>
    <row r="904">
      <c r="A904" s="208"/>
      <c r="B904" s="208"/>
      <c r="C904" s="208"/>
      <c r="D904" s="208"/>
      <c r="E904" s="208"/>
      <c r="F904" s="208"/>
      <c r="G904" s="208"/>
      <c r="H904" s="233"/>
      <c r="I904" s="234"/>
      <c r="J904" s="208"/>
      <c r="K904" s="208"/>
      <c r="L904" s="208"/>
      <c r="M904" s="208"/>
      <c r="N904" s="208"/>
      <c r="O904" s="208"/>
      <c r="P904" s="208"/>
      <c r="Q904" s="208"/>
      <c r="R904" s="208"/>
      <c r="S904" s="208"/>
      <c r="T904" s="208"/>
      <c r="U904" s="208"/>
      <c r="V904" s="208"/>
      <c r="W904" s="208"/>
      <c r="X904" s="208"/>
      <c r="Y904" s="208"/>
      <c r="Z904" s="208"/>
      <c r="AA904" s="208"/>
      <c r="AB904" s="208"/>
      <c r="AC904" s="208"/>
      <c r="AD904" s="208"/>
      <c r="AE904" s="208"/>
      <c r="AF904" s="208"/>
      <c r="AG904" s="208"/>
      <c r="AH904" s="208"/>
      <c r="AI904" s="208"/>
      <c r="AJ904" s="208"/>
      <c r="AK904" s="208"/>
    </row>
    <row r="905">
      <c r="A905" s="208"/>
      <c r="B905" s="208"/>
      <c r="C905" s="208"/>
      <c r="D905" s="208"/>
      <c r="E905" s="208"/>
      <c r="F905" s="208"/>
      <c r="G905" s="208"/>
      <c r="H905" s="233"/>
      <c r="I905" s="234"/>
      <c r="J905" s="208"/>
      <c r="K905" s="208"/>
      <c r="L905" s="208"/>
      <c r="M905" s="208"/>
      <c r="N905" s="208"/>
      <c r="O905" s="208"/>
      <c r="P905" s="208"/>
      <c r="Q905" s="208"/>
      <c r="R905" s="208"/>
      <c r="S905" s="208"/>
      <c r="T905" s="208"/>
      <c r="U905" s="208"/>
      <c r="V905" s="208"/>
      <c r="W905" s="208"/>
      <c r="X905" s="208"/>
      <c r="Y905" s="208"/>
      <c r="Z905" s="208"/>
      <c r="AA905" s="208"/>
      <c r="AB905" s="208"/>
      <c r="AC905" s="208"/>
      <c r="AD905" s="208"/>
      <c r="AE905" s="208"/>
      <c r="AF905" s="208"/>
      <c r="AG905" s="208"/>
      <c r="AH905" s="208"/>
      <c r="AI905" s="208"/>
      <c r="AJ905" s="208"/>
      <c r="AK905" s="208"/>
    </row>
    <row r="906">
      <c r="A906" s="208"/>
      <c r="B906" s="208"/>
      <c r="C906" s="208"/>
      <c r="D906" s="208"/>
      <c r="E906" s="208"/>
      <c r="F906" s="208"/>
      <c r="G906" s="208"/>
      <c r="H906" s="233"/>
      <c r="I906" s="234"/>
      <c r="J906" s="208"/>
      <c r="K906" s="208"/>
      <c r="L906" s="208"/>
      <c r="M906" s="208"/>
      <c r="N906" s="208"/>
      <c r="O906" s="208"/>
      <c r="P906" s="208"/>
      <c r="Q906" s="208"/>
      <c r="R906" s="208"/>
      <c r="S906" s="208"/>
      <c r="T906" s="208"/>
      <c r="U906" s="208"/>
      <c r="V906" s="208"/>
      <c r="W906" s="208"/>
      <c r="X906" s="208"/>
      <c r="Y906" s="208"/>
      <c r="Z906" s="208"/>
      <c r="AA906" s="208"/>
      <c r="AB906" s="208"/>
      <c r="AC906" s="208"/>
      <c r="AD906" s="208"/>
      <c r="AE906" s="208"/>
      <c r="AF906" s="208"/>
      <c r="AG906" s="208"/>
      <c r="AH906" s="208"/>
      <c r="AI906" s="208"/>
      <c r="AJ906" s="208"/>
      <c r="AK906" s="208"/>
    </row>
    <row r="907">
      <c r="A907" s="208"/>
      <c r="B907" s="208"/>
      <c r="C907" s="208"/>
      <c r="D907" s="208"/>
      <c r="E907" s="208"/>
      <c r="F907" s="208"/>
      <c r="G907" s="208"/>
      <c r="H907" s="233"/>
      <c r="I907" s="234"/>
      <c r="J907" s="208"/>
      <c r="K907" s="208"/>
      <c r="L907" s="208"/>
      <c r="M907" s="208"/>
      <c r="N907" s="208"/>
      <c r="O907" s="208"/>
      <c r="P907" s="208"/>
      <c r="Q907" s="208"/>
      <c r="R907" s="208"/>
      <c r="S907" s="208"/>
      <c r="T907" s="208"/>
      <c r="U907" s="208"/>
      <c r="V907" s="208"/>
      <c r="W907" s="208"/>
      <c r="X907" s="208"/>
      <c r="Y907" s="208"/>
      <c r="Z907" s="208"/>
      <c r="AA907" s="208"/>
      <c r="AB907" s="208"/>
      <c r="AC907" s="208"/>
      <c r="AD907" s="208"/>
      <c r="AE907" s="208"/>
      <c r="AF907" s="208"/>
      <c r="AG907" s="208"/>
      <c r="AH907" s="208"/>
      <c r="AI907" s="208"/>
      <c r="AJ907" s="208"/>
      <c r="AK907" s="208"/>
    </row>
    <row r="908">
      <c r="A908" s="208"/>
      <c r="B908" s="208"/>
      <c r="C908" s="208"/>
      <c r="D908" s="208"/>
      <c r="E908" s="208"/>
      <c r="F908" s="208"/>
      <c r="G908" s="208"/>
      <c r="H908" s="233"/>
      <c r="I908" s="234"/>
      <c r="J908" s="208"/>
      <c r="K908" s="208"/>
      <c r="L908" s="208"/>
      <c r="M908" s="208"/>
      <c r="N908" s="208"/>
      <c r="O908" s="208"/>
      <c r="P908" s="208"/>
      <c r="Q908" s="208"/>
      <c r="R908" s="208"/>
      <c r="S908" s="208"/>
      <c r="T908" s="208"/>
      <c r="U908" s="208"/>
      <c r="V908" s="208"/>
      <c r="W908" s="208"/>
      <c r="X908" s="208"/>
      <c r="Y908" s="208"/>
      <c r="Z908" s="208"/>
      <c r="AA908" s="208"/>
      <c r="AB908" s="208"/>
      <c r="AC908" s="208"/>
      <c r="AD908" s="208"/>
      <c r="AE908" s="208"/>
      <c r="AF908" s="208"/>
      <c r="AG908" s="208"/>
      <c r="AH908" s="208"/>
      <c r="AI908" s="208"/>
      <c r="AJ908" s="208"/>
      <c r="AK908" s="208"/>
    </row>
    <row r="909">
      <c r="A909" s="208"/>
      <c r="B909" s="208"/>
      <c r="C909" s="208"/>
      <c r="D909" s="208"/>
      <c r="E909" s="208"/>
      <c r="F909" s="208"/>
      <c r="G909" s="208"/>
      <c r="H909" s="233"/>
      <c r="I909" s="234"/>
      <c r="J909" s="208"/>
      <c r="K909" s="208"/>
      <c r="L909" s="208"/>
      <c r="M909" s="208"/>
      <c r="N909" s="208"/>
      <c r="O909" s="208"/>
      <c r="P909" s="208"/>
      <c r="Q909" s="208"/>
      <c r="R909" s="208"/>
      <c r="S909" s="208"/>
      <c r="T909" s="208"/>
      <c r="U909" s="208"/>
      <c r="V909" s="208"/>
      <c r="W909" s="208"/>
      <c r="X909" s="208"/>
      <c r="Y909" s="208"/>
      <c r="Z909" s="208"/>
      <c r="AA909" s="208"/>
      <c r="AB909" s="208"/>
      <c r="AC909" s="208"/>
      <c r="AD909" s="208"/>
      <c r="AE909" s="208"/>
      <c r="AF909" s="208"/>
      <c r="AG909" s="208"/>
      <c r="AH909" s="208"/>
      <c r="AI909" s="208"/>
      <c r="AJ909" s="208"/>
      <c r="AK909" s="208"/>
    </row>
    <row r="910">
      <c r="A910" s="208"/>
      <c r="B910" s="208"/>
      <c r="C910" s="208"/>
      <c r="D910" s="208"/>
      <c r="E910" s="208"/>
      <c r="F910" s="208"/>
      <c r="G910" s="208"/>
      <c r="H910" s="233"/>
      <c r="I910" s="234"/>
      <c r="J910" s="208"/>
      <c r="K910" s="208"/>
      <c r="L910" s="208"/>
      <c r="M910" s="208"/>
      <c r="N910" s="208"/>
      <c r="O910" s="208"/>
      <c r="P910" s="208"/>
      <c r="Q910" s="208"/>
      <c r="R910" s="208"/>
      <c r="S910" s="208"/>
      <c r="T910" s="208"/>
      <c r="U910" s="208"/>
      <c r="V910" s="208"/>
      <c r="W910" s="208"/>
      <c r="X910" s="208"/>
      <c r="Y910" s="208"/>
      <c r="Z910" s="208"/>
      <c r="AA910" s="208"/>
      <c r="AB910" s="208"/>
      <c r="AC910" s="208"/>
      <c r="AD910" s="208"/>
      <c r="AE910" s="208"/>
      <c r="AF910" s="208"/>
      <c r="AG910" s="208"/>
      <c r="AH910" s="208"/>
      <c r="AI910" s="208"/>
      <c r="AJ910" s="208"/>
      <c r="AK910" s="208"/>
    </row>
    <row r="911">
      <c r="A911" s="208"/>
      <c r="B911" s="208"/>
      <c r="C911" s="208"/>
      <c r="D911" s="208"/>
      <c r="E911" s="208"/>
      <c r="F911" s="208"/>
      <c r="G911" s="208"/>
      <c r="H911" s="233"/>
      <c r="I911" s="234"/>
      <c r="J911" s="208"/>
      <c r="K911" s="208"/>
      <c r="L911" s="208"/>
      <c r="M911" s="208"/>
      <c r="N911" s="208"/>
      <c r="O911" s="208"/>
      <c r="P911" s="208"/>
      <c r="Q911" s="208"/>
      <c r="R911" s="208"/>
      <c r="S911" s="208"/>
      <c r="T911" s="208"/>
      <c r="U911" s="208"/>
      <c r="V911" s="208"/>
      <c r="W911" s="208"/>
      <c r="X911" s="208"/>
      <c r="Y911" s="208"/>
      <c r="Z911" s="208"/>
      <c r="AA911" s="208"/>
      <c r="AB911" s="208"/>
      <c r="AC911" s="208"/>
      <c r="AD911" s="208"/>
      <c r="AE911" s="208"/>
      <c r="AF911" s="208"/>
      <c r="AG911" s="208"/>
      <c r="AH911" s="208"/>
      <c r="AI911" s="208"/>
      <c r="AJ911" s="208"/>
      <c r="AK911" s="208"/>
    </row>
    <row r="912">
      <c r="A912" s="208"/>
      <c r="B912" s="208"/>
      <c r="C912" s="208"/>
      <c r="D912" s="208"/>
      <c r="E912" s="208"/>
      <c r="F912" s="208"/>
      <c r="G912" s="208"/>
      <c r="H912" s="233"/>
      <c r="I912" s="234"/>
      <c r="J912" s="208"/>
      <c r="K912" s="208"/>
      <c r="L912" s="208"/>
      <c r="M912" s="208"/>
      <c r="N912" s="208"/>
      <c r="O912" s="208"/>
      <c r="P912" s="208"/>
      <c r="Q912" s="208"/>
      <c r="R912" s="208"/>
      <c r="S912" s="208"/>
      <c r="T912" s="208"/>
      <c r="U912" s="208"/>
      <c r="V912" s="208"/>
      <c r="W912" s="208"/>
      <c r="X912" s="208"/>
      <c r="Y912" s="208"/>
      <c r="Z912" s="208"/>
      <c r="AA912" s="208"/>
      <c r="AB912" s="208"/>
      <c r="AC912" s="208"/>
      <c r="AD912" s="208"/>
      <c r="AE912" s="208"/>
      <c r="AF912" s="208"/>
      <c r="AG912" s="208"/>
      <c r="AH912" s="208"/>
      <c r="AI912" s="208"/>
      <c r="AJ912" s="208"/>
      <c r="AK912" s="208"/>
    </row>
    <row r="913">
      <c r="A913" s="208"/>
      <c r="B913" s="208"/>
      <c r="C913" s="208"/>
      <c r="D913" s="208"/>
      <c r="E913" s="208"/>
      <c r="F913" s="208"/>
      <c r="G913" s="208"/>
      <c r="H913" s="233"/>
      <c r="I913" s="234"/>
      <c r="J913" s="208"/>
      <c r="K913" s="208"/>
      <c r="L913" s="208"/>
      <c r="M913" s="208"/>
      <c r="N913" s="208"/>
      <c r="O913" s="208"/>
      <c r="P913" s="208"/>
      <c r="Q913" s="208"/>
      <c r="R913" s="208"/>
      <c r="S913" s="208"/>
      <c r="T913" s="208"/>
      <c r="U913" s="208"/>
      <c r="V913" s="208"/>
      <c r="W913" s="208"/>
      <c r="X913" s="208"/>
      <c r="Y913" s="208"/>
      <c r="Z913" s="208"/>
      <c r="AA913" s="208"/>
      <c r="AB913" s="208"/>
      <c r="AC913" s="208"/>
      <c r="AD913" s="208"/>
      <c r="AE913" s="208"/>
      <c r="AF913" s="208"/>
      <c r="AG913" s="208"/>
      <c r="AH913" s="208"/>
      <c r="AI913" s="208"/>
      <c r="AJ913" s="208"/>
      <c r="AK913" s="208"/>
    </row>
    <row r="914">
      <c r="A914" s="208"/>
      <c r="B914" s="208"/>
      <c r="C914" s="208"/>
      <c r="D914" s="208"/>
      <c r="E914" s="208"/>
      <c r="F914" s="208"/>
      <c r="G914" s="208"/>
      <c r="H914" s="233"/>
      <c r="I914" s="234"/>
      <c r="J914" s="208"/>
      <c r="K914" s="208"/>
      <c r="L914" s="208"/>
      <c r="M914" s="208"/>
      <c r="N914" s="208"/>
      <c r="O914" s="208"/>
      <c r="P914" s="208"/>
      <c r="Q914" s="208"/>
      <c r="R914" s="208"/>
      <c r="S914" s="208"/>
      <c r="T914" s="208"/>
      <c r="U914" s="208"/>
      <c r="V914" s="208"/>
      <c r="W914" s="208"/>
      <c r="X914" s="208"/>
      <c r="Y914" s="208"/>
      <c r="Z914" s="208"/>
      <c r="AA914" s="208"/>
      <c r="AB914" s="208"/>
      <c r="AC914" s="208"/>
      <c r="AD914" s="208"/>
      <c r="AE914" s="208"/>
      <c r="AF914" s="208"/>
      <c r="AG914" s="208"/>
      <c r="AH914" s="208"/>
      <c r="AI914" s="208"/>
      <c r="AJ914" s="208"/>
      <c r="AK914" s="208"/>
    </row>
    <row r="915">
      <c r="A915" s="208"/>
      <c r="B915" s="208"/>
      <c r="C915" s="208"/>
      <c r="D915" s="208"/>
      <c r="E915" s="208"/>
      <c r="F915" s="208"/>
      <c r="G915" s="208"/>
      <c r="H915" s="233"/>
      <c r="I915" s="234"/>
      <c r="J915" s="208"/>
      <c r="K915" s="208"/>
      <c r="L915" s="208"/>
      <c r="M915" s="208"/>
      <c r="N915" s="208"/>
      <c r="O915" s="208"/>
      <c r="P915" s="208"/>
      <c r="Q915" s="208"/>
      <c r="R915" s="208"/>
      <c r="S915" s="208"/>
      <c r="T915" s="208"/>
      <c r="U915" s="208"/>
      <c r="V915" s="208"/>
      <c r="W915" s="208"/>
      <c r="X915" s="208"/>
      <c r="Y915" s="208"/>
      <c r="Z915" s="208"/>
      <c r="AA915" s="208"/>
      <c r="AB915" s="208"/>
      <c r="AC915" s="208"/>
      <c r="AD915" s="208"/>
      <c r="AE915" s="208"/>
      <c r="AF915" s="208"/>
      <c r="AG915" s="208"/>
      <c r="AH915" s="208"/>
      <c r="AI915" s="208"/>
      <c r="AJ915" s="208"/>
      <c r="AK915" s="208"/>
    </row>
    <row r="916">
      <c r="A916" s="208"/>
      <c r="B916" s="208"/>
      <c r="C916" s="208"/>
      <c r="D916" s="208"/>
      <c r="E916" s="208"/>
      <c r="F916" s="208"/>
      <c r="G916" s="208"/>
      <c r="H916" s="233"/>
      <c r="I916" s="234"/>
      <c r="J916" s="208"/>
      <c r="K916" s="208"/>
      <c r="L916" s="208"/>
      <c r="M916" s="208"/>
      <c r="N916" s="208"/>
      <c r="O916" s="208"/>
      <c r="P916" s="208"/>
      <c r="Q916" s="208"/>
      <c r="R916" s="208"/>
      <c r="S916" s="208"/>
      <c r="T916" s="208"/>
      <c r="U916" s="208"/>
      <c r="V916" s="208"/>
      <c r="W916" s="208"/>
      <c r="X916" s="208"/>
      <c r="Y916" s="208"/>
      <c r="Z916" s="208"/>
      <c r="AA916" s="208"/>
      <c r="AB916" s="208"/>
      <c r="AC916" s="208"/>
      <c r="AD916" s="208"/>
      <c r="AE916" s="208"/>
      <c r="AF916" s="208"/>
      <c r="AG916" s="208"/>
      <c r="AH916" s="208"/>
      <c r="AI916" s="208"/>
      <c r="AJ916" s="208"/>
      <c r="AK916" s="208"/>
    </row>
    <row r="917">
      <c r="A917" s="208"/>
      <c r="B917" s="208"/>
      <c r="C917" s="208"/>
      <c r="D917" s="208"/>
      <c r="E917" s="208"/>
      <c r="F917" s="208"/>
      <c r="G917" s="208"/>
      <c r="H917" s="233"/>
      <c r="I917" s="234"/>
      <c r="J917" s="208"/>
      <c r="K917" s="208"/>
      <c r="L917" s="208"/>
      <c r="M917" s="208"/>
      <c r="N917" s="208"/>
      <c r="O917" s="208"/>
      <c r="P917" s="208"/>
      <c r="Q917" s="208"/>
      <c r="R917" s="208"/>
      <c r="S917" s="208"/>
      <c r="T917" s="208"/>
      <c r="U917" s="208"/>
      <c r="V917" s="208"/>
      <c r="W917" s="208"/>
      <c r="X917" s="208"/>
      <c r="Y917" s="208"/>
      <c r="Z917" s="208"/>
      <c r="AA917" s="208"/>
      <c r="AB917" s="208"/>
      <c r="AC917" s="208"/>
      <c r="AD917" s="208"/>
      <c r="AE917" s="208"/>
      <c r="AF917" s="208"/>
      <c r="AG917" s="208"/>
      <c r="AH917" s="208"/>
      <c r="AI917" s="208"/>
      <c r="AJ917" s="208"/>
      <c r="AK917" s="208"/>
    </row>
    <row r="918">
      <c r="A918" s="208"/>
      <c r="B918" s="208"/>
      <c r="C918" s="208"/>
      <c r="D918" s="208"/>
      <c r="E918" s="208"/>
      <c r="F918" s="208"/>
      <c r="G918" s="208"/>
      <c r="H918" s="233"/>
      <c r="I918" s="234"/>
      <c r="J918" s="208"/>
      <c r="K918" s="208"/>
      <c r="L918" s="208"/>
      <c r="M918" s="208"/>
      <c r="N918" s="208"/>
      <c r="O918" s="208"/>
      <c r="P918" s="208"/>
      <c r="Q918" s="208"/>
      <c r="R918" s="208"/>
      <c r="S918" s="208"/>
      <c r="T918" s="208"/>
      <c r="U918" s="208"/>
      <c r="V918" s="208"/>
      <c r="W918" s="208"/>
      <c r="X918" s="208"/>
      <c r="Y918" s="208"/>
      <c r="Z918" s="208"/>
      <c r="AA918" s="208"/>
      <c r="AB918" s="208"/>
      <c r="AC918" s="208"/>
      <c r="AD918" s="208"/>
      <c r="AE918" s="208"/>
      <c r="AF918" s="208"/>
      <c r="AG918" s="208"/>
      <c r="AH918" s="208"/>
      <c r="AI918" s="208"/>
      <c r="AJ918" s="208"/>
      <c r="AK918" s="208"/>
    </row>
    <row r="919">
      <c r="A919" s="208"/>
      <c r="B919" s="208"/>
      <c r="C919" s="208"/>
      <c r="D919" s="208"/>
      <c r="E919" s="208"/>
      <c r="F919" s="208"/>
      <c r="G919" s="208"/>
      <c r="H919" s="233"/>
      <c r="I919" s="234"/>
      <c r="J919" s="208"/>
      <c r="K919" s="208"/>
      <c r="L919" s="208"/>
      <c r="M919" s="208"/>
      <c r="N919" s="208"/>
      <c r="O919" s="208"/>
      <c r="P919" s="208"/>
      <c r="Q919" s="208"/>
      <c r="R919" s="208"/>
      <c r="S919" s="208"/>
      <c r="T919" s="208"/>
      <c r="U919" s="208"/>
      <c r="V919" s="208"/>
      <c r="W919" s="208"/>
      <c r="X919" s="208"/>
      <c r="Y919" s="208"/>
      <c r="Z919" s="208"/>
      <c r="AA919" s="208"/>
      <c r="AB919" s="208"/>
      <c r="AC919" s="208"/>
      <c r="AD919" s="208"/>
      <c r="AE919" s="208"/>
      <c r="AF919" s="208"/>
      <c r="AG919" s="208"/>
      <c r="AH919" s="208"/>
      <c r="AI919" s="208"/>
      <c r="AJ919" s="208"/>
      <c r="AK919" s="208"/>
    </row>
    <row r="920">
      <c r="A920" s="208"/>
      <c r="B920" s="208"/>
      <c r="C920" s="208"/>
      <c r="D920" s="208"/>
      <c r="E920" s="208"/>
      <c r="F920" s="208"/>
      <c r="G920" s="208"/>
      <c r="H920" s="233"/>
      <c r="I920" s="234"/>
      <c r="J920" s="208"/>
      <c r="K920" s="208"/>
      <c r="L920" s="208"/>
      <c r="M920" s="208"/>
      <c r="N920" s="208"/>
      <c r="O920" s="208"/>
      <c r="P920" s="208"/>
      <c r="Q920" s="208"/>
      <c r="R920" s="208"/>
      <c r="S920" s="208"/>
      <c r="T920" s="208"/>
      <c r="U920" s="208"/>
      <c r="V920" s="208"/>
      <c r="W920" s="208"/>
      <c r="X920" s="208"/>
      <c r="Y920" s="208"/>
      <c r="Z920" s="208"/>
      <c r="AA920" s="208"/>
      <c r="AB920" s="208"/>
      <c r="AC920" s="208"/>
      <c r="AD920" s="208"/>
      <c r="AE920" s="208"/>
      <c r="AF920" s="208"/>
      <c r="AG920" s="208"/>
      <c r="AH920" s="208"/>
      <c r="AI920" s="208"/>
      <c r="AJ920" s="208"/>
      <c r="AK920" s="208"/>
    </row>
    <row r="921">
      <c r="A921" s="208"/>
      <c r="B921" s="208"/>
      <c r="C921" s="208"/>
      <c r="D921" s="208"/>
      <c r="E921" s="208"/>
      <c r="F921" s="208"/>
      <c r="G921" s="208"/>
      <c r="H921" s="233"/>
      <c r="I921" s="234"/>
      <c r="J921" s="208"/>
      <c r="K921" s="208"/>
      <c r="L921" s="208"/>
      <c r="M921" s="208"/>
      <c r="N921" s="208"/>
      <c r="O921" s="208"/>
      <c r="P921" s="208"/>
      <c r="Q921" s="208"/>
      <c r="R921" s="208"/>
      <c r="S921" s="208"/>
      <c r="T921" s="208"/>
      <c r="U921" s="208"/>
      <c r="V921" s="208"/>
      <c r="W921" s="208"/>
      <c r="X921" s="208"/>
      <c r="Y921" s="208"/>
      <c r="Z921" s="208"/>
      <c r="AA921" s="208"/>
      <c r="AB921" s="208"/>
      <c r="AC921" s="208"/>
      <c r="AD921" s="208"/>
      <c r="AE921" s="208"/>
      <c r="AF921" s="208"/>
      <c r="AG921" s="208"/>
      <c r="AH921" s="208"/>
      <c r="AI921" s="208"/>
      <c r="AJ921" s="208"/>
      <c r="AK921" s="208"/>
    </row>
    <row r="922">
      <c r="A922" s="208"/>
      <c r="B922" s="208"/>
      <c r="C922" s="208"/>
      <c r="D922" s="208"/>
      <c r="E922" s="208"/>
      <c r="F922" s="208"/>
      <c r="G922" s="208"/>
      <c r="H922" s="233"/>
      <c r="I922" s="234"/>
      <c r="J922" s="208"/>
      <c r="K922" s="208"/>
      <c r="L922" s="208"/>
      <c r="M922" s="208"/>
      <c r="N922" s="208"/>
      <c r="O922" s="208"/>
      <c r="P922" s="208"/>
      <c r="Q922" s="208"/>
      <c r="R922" s="208"/>
      <c r="S922" s="208"/>
      <c r="T922" s="208"/>
      <c r="U922" s="208"/>
      <c r="V922" s="208"/>
      <c r="W922" s="208"/>
      <c r="X922" s="208"/>
      <c r="Y922" s="208"/>
      <c r="Z922" s="208"/>
      <c r="AA922" s="208"/>
      <c r="AB922" s="208"/>
      <c r="AC922" s="208"/>
      <c r="AD922" s="208"/>
      <c r="AE922" s="208"/>
      <c r="AF922" s="208"/>
      <c r="AG922" s="208"/>
      <c r="AH922" s="208"/>
      <c r="AI922" s="208"/>
      <c r="AJ922" s="208"/>
      <c r="AK922" s="208"/>
    </row>
    <row r="923">
      <c r="A923" s="208"/>
      <c r="B923" s="208"/>
      <c r="C923" s="208"/>
      <c r="D923" s="208"/>
      <c r="E923" s="208"/>
      <c r="F923" s="208"/>
      <c r="G923" s="208"/>
      <c r="H923" s="233"/>
      <c r="I923" s="234"/>
      <c r="J923" s="208"/>
      <c r="K923" s="208"/>
      <c r="L923" s="208"/>
      <c r="M923" s="208"/>
      <c r="N923" s="208"/>
      <c r="O923" s="208"/>
      <c r="P923" s="208"/>
      <c r="Q923" s="208"/>
      <c r="R923" s="208"/>
      <c r="S923" s="208"/>
      <c r="T923" s="208"/>
      <c r="U923" s="208"/>
      <c r="V923" s="208"/>
      <c r="W923" s="208"/>
      <c r="X923" s="208"/>
      <c r="Y923" s="208"/>
      <c r="Z923" s="208"/>
      <c r="AA923" s="208"/>
      <c r="AB923" s="208"/>
      <c r="AC923" s="208"/>
      <c r="AD923" s="208"/>
      <c r="AE923" s="208"/>
      <c r="AF923" s="208"/>
      <c r="AG923" s="208"/>
      <c r="AH923" s="208"/>
      <c r="AI923" s="208"/>
      <c r="AJ923" s="208"/>
      <c r="AK923" s="208"/>
    </row>
    <row r="924">
      <c r="A924" s="208"/>
      <c r="B924" s="208"/>
      <c r="C924" s="208"/>
      <c r="D924" s="208"/>
      <c r="E924" s="208"/>
      <c r="F924" s="208"/>
      <c r="G924" s="208"/>
      <c r="H924" s="233"/>
      <c r="I924" s="234"/>
      <c r="J924" s="208"/>
      <c r="K924" s="208"/>
      <c r="L924" s="208"/>
      <c r="M924" s="208"/>
      <c r="N924" s="208"/>
      <c r="O924" s="208"/>
      <c r="P924" s="208"/>
      <c r="Q924" s="208"/>
      <c r="R924" s="208"/>
      <c r="S924" s="208"/>
      <c r="T924" s="208"/>
      <c r="U924" s="208"/>
      <c r="V924" s="208"/>
      <c r="W924" s="208"/>
      <c r="X924" s="208"/>
      <c r="Y924" s="208"/>
      <c r="Z924" s="208"/>
      <c r="AA924" s="208"/>
      <c r="AB924" s="208"/>
      <c r="AC924" s="208"/>
      <c r="AD924" s="208"/>
      <c r="AE924" s="208"/>
      <c r="AF924" s="208"/>
      <c r="AG924" s="208"/>
      <c r="AH924" s="208"/>
      <c r="AI924" s="208"/>
      <c r="AJ924" s="208"/>
      <c r="AK924" s="208"/>
    </row>
    <row r="925">
      <c r="A925" s="208"/>
      <c r="B925" s="208"/>
      <c r="C925" s="208"/>
      <c r="D925" s="208"/>
      <c r="E925" s="208"/>
      <c r="F925" s="208"/>
      <c r="G925" s="208"/>
      <c r="H925" s="233"/>
      <c r="I925" s="234"/>
      <c r="J925" s="208"/>
      <c r="K925" s="208"/>
      <c r="L925" s="208"/>
      <c r="M925" s="208"/>
      <c r="N925" s="208"/>
      <c r="O925" s="208"/>
      <c r="P925" s="208"/>
      <c r="Q925" s="208"/>
      <c r="R925" s="208"/>
      <c r="S925" s="208"/>
      <c r="T925" s="208"/>
      <c r="U925" s="208"/>
      <c r="V925" s="208"/>
      <c r="W925" s="208"/>
      <c r="X925" s="208"/>
      <c r="Y925" s="208"/>
      <c r="Z925" s="208"/>
      <c r="AA925" s="208"/>
      <c r="AB925" s="208"/>
      <c r="AC925" s="208"/>
      <c r="AD925" s="208"/>
      <c r="AE925" s="208"/>
      <c r="AF925" s="208"/>
      <c r="AG925" s="208"/>
      <c r="AH925" s="208"/>
      <c r="AI925" s="208"/>
      <c r="AJ925" s="208"/>
      <c r="AK925" s="208"/>
    </row>
    <row r="926">
      <c r="A926" s="208"/>
      <c r="B926" s="208"/>
      <c r="C926" s="208"/>
      <c r="D926" s="208"/>
      <c r="E926" s="208"/>
      <c r="F926" s="208"/>
      <c r="G926" s="208"/>
      <c r="H926" s="233"/>
      <c r="I926" s="234"/>
      <c r="J926" s="208"/>
      <c r="K926" s="208"/>
      <c r="L926" s="208"/>
      <c r="M926" s="208"/>
      <c r="N926" s="208"/>
      <c r="O926" s="208"/>
      <c r="P926" s="208"/>
      <c r="Q926" s="208"/>
      <c r="R926" s="208"/>
      <c r="S926" s="208"/>
      <c r="T926" s="208"/>
      <c r="U926" s="208"/>
      <c r="V926" s="208"/>
      <c r="W926" s="208"/>
      <c r="X926" s="208"/>
      <c r="Y926" s="208"/>
      <c r="Z926" s="208"/>
      <c r="AA926" s="208"/>
      <c r="AB926" s="208"/>
      <c r="AC926" s="208"/>
      <c r="AD926" s="208"/>
      <c r="AE926" s="208"/>
      <c r="AF926" s="208"/>
      <c r="AG926" s="208"/>
      <c r="AH926" s="208"/>
      <c r="AI926" s="208"/>
      <c r="AJ926" s="208"/>
      <c r="AK926" s="208"/>
    </row>
    <row r="927">
      <c r="A927" s="208"/>
      <c r="B927" s="208"/>
      <c r="C927" s="208"/>
      <c r="D927" s="208"/>
      <c r="E927" s="208"/>
      <c r="F927" s="208"/>
      <c r="G927" s="208"/>
      <c r="H927" s="233"/>
      <c r="I927" s="234"/>
      <c r="J927" s="208"/>
      <c r="K927" s="208"/>
      <c r="L927" s="208"/>
      <c r="M927" s="208"/>
      <c r="N927" s="208"/>
      <c r="O927" s="208"/>
      <c r="P927" s="208"/>
      <c r="Q927" s="208"/>
      <c r="R927" s="208"/>
      <c r="S927" s="208"/>
      <c r="T927" s="208"/>
      <c r="U927" s="208"/>
      <c r="V927" s="208"/>
      <c r="W927" s="208"/>
      <c r="X927" s="208"/>
      <c r="Y927" s="208"/>
      <c r="Z927" s="208"/>
      <c r="AA927" s="208"/>
      <c r="AB927" s="208"/>
      <c r="AC927" s="208"/>
      <c r="AD927" s="208"/>
      <c r="AE927" s="208"/>
      <c r="AF927" s="208"/>
      <c r="AG927" s="208"/>
      <c r="AH927" s="208"/>
      <c r="AI927" s="208"/>
      <c r="AJ927" s="208"/>
      <c r="AK927" s="208"/>
    </row>
    <row r="928">
      <c r="A928" s="208"/>
      <c r="B928" s="208"/>
      <c r="C928" s="208"/>
      <c r="D928" s="208"/>
      <c r="E928" s="208"/>
      <c r="F928" s="208"/>
      <c r="G928" s="208"/>
      <c r="H928" s="233"/>
      <c r="I928" s="234"/>
      <c r="J928" s="208"/>
      <c r="K928" s="208"/>
      <c r="L928" s="208"/>
      <c r="M928" s="208"/>
      <c r="N928" s="208"/>
      <c r="O928" s="208"/>
      <c r="P928" s="208"/>
      <c r="Q928" s="208"/>
      <c r="R928" s="208"/>
      <c r="S928" s="208"/>
      <c r="T928" s="208"/>
      <c r="U928" s="208"/>
      <c r="V928" s="208"/>
      <c r="W928" s="208"/>
      <c r="X928" s="208"/>
      <c r="Y928" s="208"/>
      <c r="Z928" s="208"/>
      <c r="AA928" s="208"/>
      <c r="AB928" s="208"/>
      <c r="AC928" s="208"/>
      <c r="AD928" s="208"/>
      <c r="AE928" s="208"/>
      <c r="AF928" s="208"/>
      <c r="AG928" s="208"/>
      <c r="AH928" s="208"/>
      <c r="AI928" s="208"/>
      <c r="AJ928" s="208"/>
      <c r="AK928" s="208"/>
    </row>
    <row r="929">
      <c r="A929" s="208"/>
      <c r="B929" s="208"/>
      <c r="C929" s="208"/>
      <c r="D929" s="208"/>
      <c r="E929" s="208"/>
      <c r="F929" s="208"/>
      <c r="G929" s="208"/>
      <c r="H929" s="233"/>
      <c r="I929" s="234"/>
      <c r="J929" s="208"/>
      <c r="K929" s="208"/>
      <c r="L929" s="208"/>
      <c r="M929" s="208"/>
      <c r="N929" s="208"/>
      <c r="O929" s="208"/>
      <c r="P929" s="208"/>
      <c r="Q929" s="208"/>
      <c r="R929" s="208"/>
      <c r="S929" s="208"/>
      <c r="T929" s="208"/>
      <c r="U929" s="208"/>
      <c r="V929" s="208"/>
      <c r="W929" s="208"/>
      <c r="X929" s="208"/>
      <c r="Y929" s="208"/>
      <c r="Z929" s="208"/>
      <c r="AA929" s="208"/>
      <c r="AB929" s="208"/>
      <c r="AC929" s="208"/>
      <c r="AD929" s="208"/>
      <c r="AE929" s="208"/>
      <c r="AF929" s="208"/>
      <c r="AG929" s="208"/>
      <c r="AH929" s="208"/>
      <c r="AI929" s="208"/>
      <c r="AJ929" s="208"/>
      <c r="AK929" s="208"/>
    </row>
    <row r="930">
      <c r="A930" s="208"/>
      <c r="B930" s="208"/>
      <c r="C930" s="208"/>
      <c r="D930" s="208"/>
      <c r="E930" s="208"/>
      <c r="F930" s="208"/>
      <c r="G930" s="208"/>
      <c r="H930" s="233"/>
      <c r="I930" s="234"/>
      <c r="J930" s="208"/>
      <c r="K930" s="208"/>
      <c r="L930" s="208"/>
      <c r="M930" s="208"/>
      <c r="N930" s="208"/>
      <c r="O930" s="208"/>
      <c r="P930" s="208"/>
      <c r="Q930" s="208"/>
      <c r="R930" s="208"/>
      <c r="S930" s="208"/>
      <c r="T930" s="208"/>
      <c r="U930" s="208"/>
      <c r="V930" s="208"/>
      <c r="W930" s="208"/>
      <c r="X930" s="208"/>
      <c r="Y930" s="208"/>
      <c r="Z930" s="208"/>
      <c r="AA930" s="208"/>
      <c r="AB930" s="208"/>
      <c r="AC930" s="208"/>
      <c r="AD930" s="208"/>
      <c r="AE930" s="208"/>
      <c r="AF930" s="208"/>
      <c r="AG930" s="208"/>
      <c r="AH930" s="208"/>
      <c r="AI930" s="208"/>
      <c r="AJ930" s="208"/>
      <c r="AK930" s="208"/>
    </row>
    <row r="931">
      <c r="A931" s="208"/>
      <c r="B931" s="208"/>
      <c r="C931" s="208"/>
      <c r="D931" s="208"/>
      <c r="E931" s="208"/>
      <c r="F931" s="208"/>
      <c r="G931" s="208"/>
      <c r="H931" s="233"/>
      <c r="I931" s="234"/>
      <c r="J931" s="208"/>
      <c r="K931" s="208"/>
      <c r="L931" s="208"/>
      <c r="M931" s="208"/>
      <c r="N931" s="208"/>
      <c r="O931" s="208"/>
      <c r="P931" s="208"/>
      <c r="Q931" s="208"/>
      <c r="R931" s="208"/>
      <c r="S931" s="208"/>
      <c r="T931" s="208"/>
      <c r="U931" s="208"/>
      <c r="V931" s="208"/>
      <c r="W931" s="208"/>
      <c r="X931" s="208"/>
      <c r="Y931" s="208"/>
      <c r="Z931" s="208"/>
      <c r="AA931" s="208"/>
      <c r="AB931" s="208"/>
      <c r="AC931" s="208"/>
      <c r="AD931" s="208"/>
      <c r="AE931" s="208"/>
      <c r="AF931" s="208"/>
      <c r="AG931" s="208"/>
      <c r="AH931" s="208"/>
      <c r="AI931" s="208"/>
      <c r="AJ931" s="208"/>
      <c r="AK931" s="208"/>
    </row>
    <row r="932">
      <c r="A932" s="208"/>
      <c r="B932" s="208"/>
      <c r="C932" s="208"/>
      <c r="D932" s="208"/>
      <c r="E932" s="208"/>
      <c r="F932" s="208"/>
      <c r="G932" s="208"/>
      <c r="H932" s="233"/>
      <c r="I932" s="234"/>
      <c r="J932" s="208"/>
      <c r="K932" s="208"/>
      <c r="L932" s="208"/>
      <c r="M932" s="208"/>
      <c r="N932" s="208"/>
      <c r="O932" s="208"/>
      <c r="P932" s="208"/>
      <c r="Q932" s="208"/>
      <c r="R932" s="208"/>
      <c r="S932" s="208"/>
      <c r="T932" s="208"/>
      <c r="U932" s="208"/>
      <c r="V932" s="208"/>
      <c r="W932" s="208"/>
      <c r="X932" s="208"/>
      <c r="Y932" s="208"/>
      <c r="Z932" s="208"/>
      <c r="AA932" s="208"/>
      <c r="AB932" s="208"/>
      <c r="AC932" s="208"/>
      <c r="AD932" s="208"/>
      <c r="AE932" s="208"/>
      <c r="AF932" s="208"/>
      <c r="AG932" s="208"/>
      <c r="AH932" s="208"/>
      <c r="AI932" s="208"/>
      <c r="AJ932" s="208"/>
      <c r="AK932" s="208"/>
    </row>
    <row r="933">
      <c r="A933" s="208"/>
      <c r="B933" s="208"/>
      <c r="C933" s="208"/>
      <c r="D933" s="208"/>
      <c r="E933" s="208"/>
      <c r="F933" s="208"/>
      <c r="G933" s="208"/>
      <c r="H933" s="233"/>
      <c r="I933" s="234"/>
      <c r="J933" s="208"/>
      <c r="K933" s="208"/>
      <c r="L933" s="208"/>
      <c r="M933" s="208"/>
      <c r="N933" s="208"/>
      <c r="O933" s="208"/>
      <c r="P933" s="208"/>
      <c r="Q933" s="208"/>
      <c r="R933" s="208"/>
      <c r="S933" s="208"/>
      <c r="T933" s="208"/>
      <c r="U933" s="208"/>
      <c r="V933" s="208"/>
      <c r="W933" s="208"/>
      <c r="X933" s="208"/>
      <c r="Y933" s="208"/>
      <c r="Z933" s="208"/>
      <c r="AA933" s="208"/>
      <c r="AB933" s="208"/>
      <c r="AC933" s="208"/>
      <c r="AD933" s="208"/>
      <c r="AE933" s="208"/>
      <c r="AF933" s="208"/>
      <c r="AG933" s="208"/>
      <c r="AH933" s="208"/>
      <c r="AI933" s="208"/>
      <c r="AJ933" s="208"/>
      <c r="AK933" s="208"/>
    </row>
    <row r="934">
      <c r="A934" s="208"/>
      <c r="B934" s="208"/>
      <c r="C934" s="208"/>
      <c r="D934" s="208"/>
      <c r="E934" s="208"/>
      <c r="F934" s="208"/>
      <c r="G934" s="208"/>
      <c r="H934" s="233"/>
      <c r="I934" s="234"/>
      <c r="J934" s="208"/>
      <c r="K934" s="208"/>
      <c r="L934" s="208"/>
      <c r="M934" s="208"/>
      <c r="N934" s="208"/>
      <c r="O934" s="208"/>
      <c r="P934" s="208"/>
      <c r="Q934" s="208"/>
      <c r="R934" s="208"/>
      <c r="S934" s="208"/>
      <c r="T934" s="208"/>
      <c r="U934" s="208"/>
      <c r="V934" s="208"/>
      <c r="W934" s="208"/>
      <c r="X934" s="208"/>
      <c r="Y934" s="208"/>
      <c r="Z934" s="208"/>
      <c r="AA934" s="208"/>
      <c r="AB934" s="208"/>
      <c r="AC934" s="208"/>
      <c r="AD934" s="208"/>
      <c r="AE934" s="208"/>
      <c r="AF934" s="208"/>
      <c r="AG934" s="208"/>
      <c r="AH934" s="208"/>
      <c r="AI934" s="208"/>
      <c r="AJ934" s="208"/>
      <c r="AK934" s="208"/>
    </row>
    <row r="935">
      <c r="A935" s="208"/>
      <c r="B935" s="208"/>
      <c r="C935" s="208"/>
      <c r="D935" s="208"/>
      <c r="E935" s="208"/>
      <c r="F935" s="208"/>
      <c r="G935" s="208"/>
      <c r="H935" s="233"/>
      <c r="I935" s="234"/>
      <c r="J935" s="208"/>
      <c r="K935" s="208"/>
      <c r="L935" s="208"/>
      <c r="M935" s="208"/>
      <c r="N935" s="208"/>
      <c r="O935" s="208"/>
      <c r="P935" s="208"/>
      <c r="Q935" s="208"/>
      <c r="R935" s="208"/>
      <c r="S935" s="208"/>
      <c r="T935" s="208"/>
      <c r="U935" s="208"/>
      <c r="V935" s="208"/>
      <c r="W935" s="208"/>
      <c r="X935" s="208"/>
      <c r="Y935" s="208"/>
      <c r="Z935" s="208"/>
      <c r="AA935" s="208"/>
      <c r="AB935" s="208"/>
      <c r="AC935" s="208"/>
      <c r="AD935" s="208"/>
      <c r="AE935" s="208"/>
      <c r="AF935" s="208"/>
      <c r="AG935" s="208"/>
      <c r="AH935" s="208"/>
      <c r="AI935" s="208"/>
      <c r="AJ935" s="208"/>
      <c r="AK935" s="208"/>
    </row>
    <row r="936">
      <c r="A936" s="208"/>
      <c r="B936" s="208"/>
      <c r="C936" s="208"/>
      <c r="D936" s="208"/>
      <c r="E936" s="208"/>
      <c r="F936" s="208"/>
      <c r="G936" s="208"/>
      <c r="H936" s="233"/>
      <c r="I936" s="234"/>
      <c r="J936" s="208"/>
      <c r="K936" s="208"/>
      <c r="L936" s="208"/>
      <c r="M936" s="208"/>
      <c r="N936" s="208"/>
      <c r="O936" s="208"/>
      <c r="P936" s="208"/>
      <c r="Q936" s="208"/>
      <c r="R936" s="208"/>
      <c r="S936" s="208"/>
      <c r="T936" s="208"/>
      <c r="U936" s="208"/>
      <c r="V936" s="208"/>
      <c r="W936" s="208"/>
      <c r="X936" s="208"/>
      <c r="Y936" s="208"/>
      <c r="Z936" s="208"/>
      <c r="AA936" s="208"/>
      <c r="AB936" s="208"/>
      <c r="AC936" s="208"/>
      <c r="AD936" s="208"/>
      <c r="AE936" s="208"/>
      <c r="AF936" s="208"/>
      <c r="AG936" s="208"/>
      <c r="AH936" s="208"/>
      <c r="AI936" s="208"/>
      <c r="AJ936" s="208"/>
      <c r="AK936" s="208"/>
    </row>
    <row r="937">
      <c r="A937" s="208"/>
      <c r="B937" s="208"/>
      <c r="C937" s="208"/>
      <c r="D937" s="208"/>
      <c r="E937" s="208"/>
      <c r="F937" s="208"/>
      <c r="G937" s="208"/>
      <c r="H937" s="233"/>
      <c r="I937" s="234"/>
      <c r="J937" s="208"/>
      <c r="K937" s="208"/>
      <c r="L937" s="208"/>
      <c r="M937" s="208"/>
      <c r="N937" s="208"/>
      <c r="O937" s="208"/>
      <c r="P937" s="208"/>
      <c r="Q937" s="208"/>
      <c r="R937" s="208"/>
      <c r="S937" s="208"/>
      <c r="T937" s="208"/>
      <c r="U937" s="208"/>
      <c r="V937" s="208"/>
      <c r="W937" s="208"/>
      <c r="X937" s="208"/>
      <c r="Y937" s="208"/>
      <c r="Z937" s="208"/>
      <c r="AA937" s="208"/>
      <c r="AB937" s="208"/>
      <c r="AC937" s="208"/>
      <c r="AD937" s="208"/>
      <c r="AE937" s="208"/>
      <c r="AF937" s="208"/>
      <c r="AG937" s="208"/>
      <c r="AH937" s="208"/>
      <c r="AI937" s="208"/>
      <c r="AJ937" s="208"/>
      <c r="AK937" s="208"/>
    </row>
    <row r="938">
      <c r="A938" s="208"/>
      <c r="B938" s="208"/>
      <c r="C938" s="208"/>
      <c r="D938" s="208"/>
      <c r="E938" s="208"/>
      <c r="F938" s="208"/>
      <c r="G938" s="208"/>
      <c r="H938" s="233"/>
      <c r="I938" s="234"/>
      <c r="J938" s="208"/>
      <c r="K938" s="208"/>
      <c r="L938" s="208"/>
      <c r="M938" s="208"/>
      <c r="N938" s="208"/>
      <c r="O938" s="208"/>
      <c r="P938" s="208"/>
      <c r="Q938" s="208"/>
      <c r="R938" s="208"/>
      <c r="S938" s="208"/>
      <c r="T938" s="208"/>
      <c r="U938" s="208"/>
      <c r="V938" s="208"/>
      <c r="W938" s="208"/>
      <c r="X938" s="208"/>
      <c r="Y938" s="208"/>
      <c r="Z938" s="208"/>
      <c r="AA938" s="208"/>
      <c r="AB938" s="208"/>
      <c r="AC938" s="208"/>
      <c r="AD938" s="208"/>
      <c r="AE938" s="208"/>
      <c r="AF938" s="208"/>
      <c r="AG938" s="208"/>
      <c r="AH938" s="208"/>
      <c r="AI938" s="208"/>
      <c r="AJ938" s="208"/>
      <c r="AK938" s="208"/>
    </row>
    <row r="939">
      <c r="A939" s="208"/>
      <c r="B939" s="208"/>
      <c r="C939" s="208"/>
      <c r="D939" s="208"/>
      <c r="E939" s="208"/>
      <c r="F939" s="208"/>
      <c r="G939" s="208"/>
      <c r="H939" s="233"/>
      <c r="I939" s="234"/>
      <c r="J939" s="208"/>
      <c r="K939" s="208"/>
      <c r="L939" s="208"/>
      <c r="M939" s="208"/>
      <c r="N939" s="208"/>
      <c r="O939" s="208"/>
      <c r="P939" s="208"/>
      <c r="Q939" s="208"/>
      <c r="R939" s="208"/>
      <c r="S939" s="208"/>
      <c r="T939" s="208"/>
      <c r="U939" s="208"/>
      <c r="V939" s="208"/>
      <c r="W939" s="208"/>
      <c r="X939" s="208"/>
      <c r="Y939" s="208"/>
      <c r="Z939" s="208"/>
      <c r="AA939" s="208"/>
      <c r="AB939" s="208"/>
      <c r="AC939" s="208"/>
      <c r="AD939" s="208"/>
      <c r="AE939" s="208"/>
      <c r="AF939" s="208"/>
      <c r="AG939" s="208"/>
      <c r="AH939" s="208"/>
      <c r="AI939" s="208"/>
      <c r="AJ939" s="208"/>
      <c r="AK939" s="208"/>
    </row>
    <row r="940">
      <c r="A940" s="208"/>
      <c r="B940" s="208"/>
      <c r="C940" s="208"/>
      <c r="D940" s="208"/>
      <c r="E940" s="208"/>
      <c r="F940" s="208"/>
      <c r="G940" s="208"/>
      <c r="H940" s="233"/>
      <c r="I940" s="234"/>
      <c r="J940" s="208"/>
      <c r="K940" s="208"/>
      <c r="L940" s="208"/>
      <c r="M940" s="208"/>
      <c r="N940" s="208"/>
      <c r="O940" s="208"/>
      <c r="P940" s="208"/>
      <c r="Q940" s="208"/>
      <c r="R940" s="208"/>
      <c r="S940" s="208"/>
      <c r="T940" s="208"/>
      <c r="U940" s="208"/>
      <c r="V940" s="208"/>
      <c r="W940" s="208"/>
      <c r="X940" s="208"/>
      <c r="Y940" s="208"/>
      <c r="Z940" s="208"/>
      <c r="AA940" s="208"/>
      <c r="AB940" s="208"/>
      <c r="AC940" s="208"/>
      <c r="AD940" s="208"/>
      <c r="AE940" s="208"/>
      <c r="AF940" s="208"/>
      <c r="AG940" s="208"/>
      <c r="AH940" s="208"/>
      <c r="AI940" s="208"/>
      <c r="AJ940" s="208"/>
      <c r="AK940" s="208"/>
    </row>
    <row r="941">
      <c r="A941" s="208"/>
      <c r="B941" s="208"/>
      <c r="C941" s="208"/>
      <c r="D941" s="208"/>
      <c r="E941" s="208"/>
      <c r="F941" s="208"/>
      <c r="G941" s="208"/>
      <c r="H941" s="233"/>
      <c r="I941" s="234"/>
      <c r="J941" s="208"/>
      <c r="K941" s="208"/>
      <c r="L941" s="208"/>
      <c r="M941" s="208"/>
      <c r="N941" s="208"/>
      <c r="O941" s="208"/>
      <c r="P941" s="208"/>
      <c r="Q941" s="208"/>
      <c r="R941" s="208"/>
      <c r="S941" s="208"/>
      <c r="T941" s="208"/>
      <c r="U941" s="208"/>
      <c r="V941" s="208"/>
      <c r="W941" s="208"/>
      <c r="X941" s="208"/>
      <c r="Y941" s="208"/>
      <c r="Z941" s="208"/>
      <c r="AA941" s="208"/>
      <c r="AB941" s="208"/>
      <c r="AC941" s="208"/>
      <c r="AD941" s="208"/>
      <c r="AE941" s="208"/>
      <c r="AF941" s="208"/>
      <c r="AG941" s="208"/>
      <c r="AH941" s="208"/>
      <c r="AI941" s="208"/>
      <c r="AJ941" s="208"/>
      <c r="AK941" s="208"/>
    </row>
    <row r="942">
      <c r="A942" s="208"/>
      <c r="B942" s="208"/>
      <c r="C942" s="208"/>
      <c r="D942" s="208"/>
      <c r="E942" s="208"/>
      <c r="F942" s="208"/>
      <c r="G942" s="208"/>
      <c r="H942" s="233"/>
      <c r="I942" s="234"/>
      <c r="J942" s="208"/>
      <c r="K942" s="208"/>
      <c r="L942" s="208"/>
      <c r="M942" s="208"/>
      <c r="N942" s="208"/>
      <c r="O942" s="208"/>
      <c r="P942" s="208"/>
      <c r="Q942" s="208"/>
      <c r="R942" s="208"/>
      <c r="S942" s="208"/>
      <c r="T942" s="208"/>
      <c r="U942" s="208"/>
      <c r="V942" s="208"/>
      <c r="W942" s="208"/>
      <c r="X942" s="208"/>
      <c r="Y942" s="208"/>
      <c r="Z942" s="208"/>
      <c r="AA942" s="208"/>
      <c r="AB942" s="208"/>
      <c r="AC942" s="208"/>
      <c r="AD942" s="208"/>
      <c r="AE942" s="208"/>
      <c r="AF942" s="208"/>
      <c r="AG942" s="208"/>
      <c r="AH942" s="208"/>
      <c r="AI942" s="208"/>
      <c r="AJ942" s="208"/>
      <c r="AK942" s="208"/>
    </row>
    <row r="943">
      <c r="A943" s="208"/>
      <c r="B943" s="208"/>
      <c r="C943" s="208"/>
      <c r="D943" s="208"/>
      <c r="E943" s="208"/>
      <c r="F943" s="208"/>
      <c r="G943" s="208"/>
      <c r="H943" s="233"/>
      <c r="I943" s="234"/>
      <c r="J943" s="208"/>
      <c r="K943" s="208"/>
      <c r="L943" s="208"/>
      <c r="M943" s="208"/>
      <c r="N943" s="208"/>
      <c r="O943" s="208"/>
      <c r="P943" s="208"/>
      <c r="Q943" s="208"/>
      <c r="R943" s="208"/>
      <c r="S943" s="208"/>
      <c r="T943" s="208"/>
      <c r="U943" s="208"/>
      <c r="V943" s="208"/>
      <c r="W943" s="208"/>
      <c r="X943" s="208"/>
      <c r="Y943" s="208"/>
      <c r="Z943" s="208"/>
      <c r="AA943" s="208"/>
      <c r="AB943" s="208"/>
      <c r="AC943" s="208"/>
      <c r="AD943" s="208"/>
      <c r="AE943" s="208"/>
      <c r="AF943" s="208"/>
      <c r="AG943" s="208"/>
      <c r="AH943" s="208"/>
      <c r="AI943" s="208"/>
      <c r="AJ943" s="208"/>
      <c r="AK943" s="208"/>
    </row>
    <row r="944">
      <c r="A944" s="208"/>
      <c r="B944" s="208"/>
      <c r="C944" s="208"/>
      <c r="D944" s="208"/>
      <c r="E944" s="208"/>
      <c r="F944" s="208"/>
      <c r="G944" s="208"/>
      <c r="H944" s="233"/>
      <c r="I944" s="234"/>
      <c r="J944" s="208"/>
      <c r="K944" s="208"/>
      <c r="L944" s="208"/>
      <c r="M944" s="208"/>
      <c r="N944" s="208"/>
      <c r="O944" s="208"/>
      <c r="P944" s="208"/>
      <c r="Q944" s="208"/>
      <c r="R944" s="208"/>
      <c r="S944" s="208"/>
      <c r="T944" s="208"/>
      <c r="U944" s="208"/>
      <c r="V944" s="208"/>
      <c r="W944" s="208"/>
      <c r="X944" s="208"/>
      <c r="Y944" s="208"/>
      <c r="Z944" s="208"/>
      <c r="AA944" s="208"/>
      <c r="AB944" s="208"/>
      <c r="AC944" s="208"/>
      <c r="AD944" s="208"/>
      <c r="AE944" s="208"/>
      <c r="AF944" s="208"/>
      <c r="AG944" s="208"/>
      <c r="AH944" s="208"/>
      <c r="AI944" s="208"/>
      <c r="AJ944" s="208"/>
      <c r="AK944" s="208"/>
    </row>
    <row r="945">
      <c r="A945" s="208"/>
      <c r="B945" s="208"/>
      <c r="C945" s="208"/>
      <c r="D945" s="208"/>
      <c r="E945" s="208"/>
      <c r="F945" s="208"/>
      <c r="G945" s="208"/>
      <c r="H945" s="233"/>
      <c r="I945" s="234"/>
      <c r="J945" s="208"/>
      <c r="K945" s="208"/>
      <c r="L945" s="208"/>
      <c r="M945" s="208"/>
      <c r="N945" s="208"/>
      <c r="O945" s="208"/>
      <c r="P945" s="208"/>
      <c r="Q945" s="208"/>
      <c r="R945" s="208"/>
      <c r="S945" s="208"/>
      <c r="T945" s="208"/>
      <c r="U945" s="208"/>
      <c r="V945" s="208"/>
      <c r="W945" s="208"/>
      <c r="X945" s="208"/>
      <c r="Y945" s="208"/>
      <c r="Z945" s="208"/>
      <c r="AA945" s="208"/>
      <c r="AB945" s="208"/>
      <c r="AC945" s="208"/>
      <c r="AD945" s="208"/>
      <c r="AE945" s="208"/>
      <c r="AF945" s="208"/>
      <c r="AG945" s="208"/>
      <c r="AH945" s="208"/>
      <c r="AI945" s="208"/>
      <c r="AJ945" s="208"/>
      <c r="AK945" s="208"/>
    </row>
    <row r="946">
      <c r="A946" s="208"/>
      <c r="B946" s="208"/>
      <c r="C946" s="208"/>
      <c r="D946" s="208"/>
      <c r="E946" s="208"/>
      <c r="F946" s="208"/>
      <c r="G946" s="208"/>
      <c r="H946" s="233"/>
      <c r="I946" s="234"/>
      <c r="J946" s="208"/>
      <c r="K946" s="208"/>
      <c r="L946" s="208"/>
      <c r="M946" s="208"/>
      <c r="N946" s="208"/>
      <c r="O946" s="208"/>
      <c r="P946" s="208"/>
      <c r="Q946" s="208"/>
      <c r="R946" s="208"/>
      <c r="S946" s="208"/>
      <c r="T946" s="208"/>
      <c r="U946" s="208"/>
      <c r="V946" s="208"/>
      <c r="W946" s="208"/>
      <c r="X946" s="208"/>
      <c r="Y946" s="208"/>
      <c r="Z946" s="208"/>
      <c r="AA946" s="208"/>
      <c r="AB946" s="208"/>
      <c r="AC946" s="208"/>
      <c r="AD946" s="208"/>
      <c r="AE946" s="208"/>
      <c r="AF946" s="208"/>
      <c r="AG946" s="208"/>
      <c r="AH946" s="208"/>
      <c r="AI946" s="208"/>
      <c r="AJ946" s="208"/>
      <c r="AK946" s="208"/>
    </row>
    <row r="947">
      <c r="A947" s="208"/>
      <c r="B947" s="208"/>
      <c r="C947" s="208"/>
      <c r="D947" s="208"/>
      <c r="E947" s="208"/>
      <c r="F947" s="208"/>
      <c r="G947" s="208"/>
      <c r="H947" s="233"/>
      <c r="I947" s="234"/>
      <c r="J947" s="208"/>
      <c r="K947" s="208"/>
      <c r="L947" s="208"/>
      <c r="M947" s="208"/>
      <c r="N947" s="208"/>
      <c r="O947" s="208"/>
      <c r="P947" s="208"/>
      <c r="Q947" s="208"/>
      <c r="R947" s="208"/>
      <c r="S947" s="208"/>
      <c r="T947" s="208"/>
      <c r="U947" s="208"/>
      <c r="V947" s="208"/>
      <c r="W947" s="208"/>
      <c r="X947" s="208"/>
      <c r="Y947" s="208"/>
      <c r="Z947" s="208"/>
      <c r="AA947" s="208"/>
      <c r="AB947" s="208"/>
      <c r="AC947" s="208"/>
      <c r="AD947" s="208"/>
      <c r="AE947" s="208"/>
      <c r="AF947" s="208"/>
      <c r="AG947" s="208"/>
      <c r="AH947" s="208"/>
      <c r="AI947" s="208"/>
      <c r="AJ947" s="208"/>
      <c r="AK947" s="208"/>
    </row>
    <row r="948">
      <c r="A948" s="208"/>
      <c r="B948" s="208"/>
      <c r="C948" s="208"/>
      <c r="D948" s="208"/>
      <c r="E948" s="208"/>
      <c r="F948" s="208"/>
      <c r="G948" s="208"/>
      <c r="H948" s="233"/>
      <c r="I948" s="234"/>
      <c r="J948" s="208"/>
      <c r="K948" s="208"/>
      <c r="L948" s="208"/>
      <c r="M948" s="208"/>
      <c r="N948" s="208"/>
      <c r="O948" s="208"/>
      <c r="P948" s="208"/>
      <c r="Q948" s="208"/>
      <c r="R948" s="208"/>
      <c r="S948" s="208"/>
      <c r="T948" s="208"/>
      <c r="U948" s="208"/>
      <c r="V948" s="208"/>
      <c r="W948" s="208"/>
      <c r="X948" s="208"/>
      <c r="Y948" s="208"/>
      <c r="Z948" s="208"/>
      <c r="AA948" s="208"/>
      <c r="AB948" s="208"/>
      <c r="AC948" s="208"/>
      <c r="AD948" s="208"/>
      <c r="AE948" s="208"/>
      <c r="AF948" s="208"/>
      <c r="AG948" s="208"/>
      <c r="AH948" s="208"/>
      <c r="AI948" s="208"/>
      <c r="AJ948" s="208"/>
      <c r="AK948" s="208"/>
    </row>
    <row r="949">
      <c r="A949" s="208"/>
      <c r="B949" s="208"/>
      <c r="C949" s="208"/>
      <c r="D949" s="208"/>
      <c r="E949" s="208"/>
      <c r="F949" s="208"/>
      <c r="G949" s="208"/>
      <c r="H949" s="233"/>
      <c r="I949" s="234"/>
      <c r="J949" s="208"/>
      <c r="K949" s="208"/>
      <c r="L949" s="208"/>
      <c r="M949" s="208"/>
      <c r="N949" s="208"/>
      <c r="O949" s="208"/>
      <c r="P949" s="208"/>
      <c r="Q949" s="208"/>
      <c r="R949" s="208"/>
      <c r="S949" s="208"/>
      <c r="T949" s="208"/>
      <c r="U949" s="208"/>
      <c r="V949" s="208"/>
      <c r="W949" s="208"/>
      <c r="X949" s="208"/>
      <c r="Y949" s="208"/>
      <c r="Z949" s="208"/>
      <c r="AA949" s="208"/>
      <c r="AB949" s="208"/>
      <c r="AC949" s="208"/>
      <c r="AD949" s="208"/>
      <c r="AE949" s="208"/>
      <c r="AF949" s="208"/>
      <c r="AG949" s="208"/>
      <c r="AH949" s="208"/>
      <c r="AI949" s="208"/>
      <c r="AJ949" s="208"/>
      <c r="AK949" s="208"/>
    </row>
    <row r="950">
      <c r="A950" s="208"/>
      <c r="B950" s="208"/>
      <c r="C950" s="208"/>
      <c r="D950" s="208"/>
      <c r="E950" s="208"/>
      <c r="F950" s="208"/>
      <c r="G950" s="208"/>
      <c r="H950" s="233"/>
      <c r="I950" s="234"/>
      <c r="J950" s="208"/>
      <c r="K950" s="208"/>
      <c r="L950" s="208"/>
      <c r="M950" s="208"/>
      <c r="N950" s="208"/>
      <c r="O950" s="208"/>
      <c r="P950" s="208"/>
      <c r="Q950" s="208"/>
      <c r="R950" s="208"/>
      <c r="S950" s="208"/>
      <c r="T950" s="208"/>
      <c r="U950" s="208"/>
      <c r="V950" s="208"/>
      <c r="W950" s="208"/>
      <c r="X950" s="208"/>
      <c r="Y950" s="208"/>
      <c r="Z950" s="208"/>
      <c r="AA950" s="208"/>
      <c r="AB950" s="208"/>
      <c r="AC950" s="208"/>
      <c r="AD950" s="208"/>
      <c r="AE950" s="208"/>
      <c r="AF950" s="208"/>
      <c r="AG950" s="208"/>
      <c r="AH950" s="208"/>
      <c r="AI950" s="208"/>
      <c r="AJ950" s="208"/>
      <c r="AK950" s="208"/>
    </row>
    <row r="951">
      <c r="A951" s="208"/>
      <c r="B951" s="208"/>
      <c r="C951" s="208"/>
      <c r="D951" s="208"/>
      <c r="E951" s="208"/>
      <c r="F951" s="208"/>
      <c r="G951" s="208"/>
      <c r="H951" s="233"/>
      <c r="I951" s="234"/>
      <c r="J951" s="208"/>
      <c r="K951" s="208"/>
      <c r="L951" s="208"/>
      <c r="M951" s="208"/>
      <c r="N951" s="208"/>
      <c r="O951" s="208"/>
      <c r="P951" s="208"/>
      <c r="Q951" s="208"/>
      <c r="R951" s="208"/>
      <c r="S951" s="208"/>
      <c r="T951" s="208"/>
      <c r="U951" s="208"/>
      <c r="V951" s="208"/>
      <c r="W951" s="208"/>
      <c r="X951" s="208"/>
      <c r="Y951" s="208"/>
      <c r="Z951" s="208"/>
      <c r="AA951" s="208"/>
      <c r="AB951" s="208"/>
      <c r="AC951" s="208"/>
      <c r="AD951" s="208"/>
      <c r="AE951" s="208"/>
      <c r="AF951" s="208"/>
      <c r="AG951" s="208"/>
      <c r="AH951" s="208"/>
      <c r="AI951" s="208"/>
      <c r="AJ951" s="208"/>
      <c r="AK951" s="208"/>
    </row>
    <row r="952">
      <c r="A952" s="208"/>
      <c r="B952" s="208"/>
      <c r="C952" s="208"/>
      <c r="D952" s="208"/>
      <c r="E952" s="208"/>
      <c r="F952" s="208"/>
      <c r="G952" s="208"/>
      <c r="H952" s="233"/>
      <c r="I952" s="234"/>
      <c r="J952" s="208"/>
      <c r="K952" s="208"/>
      <c r="L952" s="208"/>
      <c r="M952" s="208"/>
      <c r="N952" s="208"/>
      <c r="O952" s="208"/>
      <c r="P952" s="208"/>
      <c r="Q952" s="208"/>
      <c r="R952" s="208"/>
      <c r="S952" s="208"/>
      <c r="T952" s="208"/>
      <c r="U952" s="208"/>
      <c r="V952" s="208"/>
      <c r="W952" s="208"/>
      <c r="X952" s="208"/>
      <c r="Y952" s="208"/>
      <c r="Z952" s="208"/>
      <c r="AA952" s="208"/>
      <c r="AB952" s="208"/>
      <c r="AC952" s="208"/>
      <c r="AD952" s="208"/>
      <c r="AE952" s="208"/>
      <c r="AF952" s="208"/>
      <c r="AG952" s="208"/>
      <c r="AH952" s="208"/>
      <c r="AI952" s="208"/>
      <c r="AJ952" s="208"/>
      <c r="AK952" s="208"/>
    </row>
    <row r="953">
      <c r="A953" s="208"/>
      <c r="B953" s="208"/>
      <c r="C953" s="208"/>
      <c r="D953" s="208"/>
      <c r="E953" s="208"/>
      <c r="F953" s="208"/>
      <c r="G953" s="208"/>
      <c r="H953" s="233"/>
      <c r="I953" s="234"/>
      <c r="J953" s="208"/>
      <c r="K953" s="208"/>
      <c r="L953" s="208"/>
      <c r="M953" s="208"/>
      <c r="N953" s="208"/>
      <c r="O953" s="208"/>
      <c r="P953" s="208"/>
      <c r="Q953" s="208"/>
      <c r="R953" s="208"/>
      <c r="S953" s="208"/>
      <c r="T953" s="208"/>
      <c r="U953" s="208"/>
      <c r="V953" s="208"/>
      <c r="W953" s="208"/>
      <c r="X953" s="208"/>
      <c r="Y953" s="208"/>
      <c r="Z953" s="208"/>
      <c r="AA953" s="208"/>
      <c r="AB953" s="208"/>
      <c r="AC953" s="208"/>
      <c r="AD953" s="208"/>
      <c r="AE953" s="208"/>
      <c r="AF953" s="208"/>
      <c r="AG953" s="208"/>
      <c r="AH953" s="208"/>
      <c r="AI953" s="208"/>
      <c r="AJ953" s="208"/>
      <c r="AK953" s="208"/>
    </row>
    <row r="954">
      <c r="A954" s="208"/>
      <c r="B954" s="208"/>
      <c r="C954" s="208"/>
      <c r="D954" s="208"/>
      <c r="E954" s="208"/>
      <c r="F954" s="208"/>
      <c r="G954" s="208"/>
      <c r="H954" s="233"/>
      <c r="I954" s="234"/>
      <c r="J954" s="208"/>
      <c r="K954" s="208"/>
      <c r="L954" s="208"/>
      <c r="M954" s="208"/>
      <c r="N954" s="208"/>
      <c r="O954" s="208"/>
      <c r="P954" s="208"/>
      <c r="Q954" s="208"/>
      <c r="R954" s="208"/>
      <c r="S954" s="208"/>
      <c r="T954" s="208"/>
      <c r="U954" s="208"/>
      <c r="V954" s="208"/>
      <c r="W954" s="208"/>
      <c r="X954" s="208"/>
      <c r="Y954" s="208"/>
      <c r="Z954" s="208"/>
      <c r="AA954" s="208"/>
      <c r="AB954" s="208"/>
      <c r="AC954" s="208"/>
      <c r="AD954" s="208"/>
      <c r="AE954" s="208"/>
      <c r="AF954" s="208"/>
      <c r="AG954" s="208"/>
      <c r="AH954" s="208"/>
      <c r="AI954" s="208"/>
      <c r="AJ954" s="208"/>
      <c r="AK954" s="208"/>
    </row>
    <row r="955">
      <c r="A955" s="208"/>
      <c r="B955" s="208"/>
      <c r="C955" s="208"/>
      <c r="D955" s="208"/>
      <c r="E955" s="208"/>
      <c r="F955" s="208"/>
      <c r="G955" s="208"/>
      <c r="H955" s="233"/>
      <c r="I955" s="234"/>
      <c r="J955" s="208"/>
      <c r="K955" s="208"/>
      <c r="L955" s="208"/>
      <c r="M955" s="208"/>
      <c r="N955" s="208"/>
      <c r="O955" s="208"/>
      <c r="P955" s="208"/>
      <c r="Q955" s="208"/>
      <c r="R955" s="208"/>
      <c r="S955" s="208"/>
      <c r="T955" s="208"/>
      <c r="U955" s="208"/>
      <c r="V955" s="208"/>
      <c r="W955" s="208"/>
      <c r="X955" s="208"/>
      <c r="Y955" s="208"/>
      <c r="Z955" s="208"/>
      <c r="AA955" s="208"/>
      <c r="AB955" s="208"/>
      <c r="AC955" s="208"/>
      <c r="AD955" s="208"/>
      <c r="AE955" s="208"/>
      <c r="AF955" s="208"/>
      <c r="AG955" s="208"/>
      <c r="AH955" s="208"/>
      <c r="AI955" s="208"/>
      <c r="AJ955" s="208"/>
      <c r="AK955" s="208"/>
    </row>
    <row r="956">
      <c r="A956" s="208"/>
      <c r="B956" s="208"/>
      <c r="C956" s="208"/>
      <c r="D956" s="208"/>
      <c r="E956" s="208"/>
      <c r="F956" s="208"/>
      <c r="G956" s="208"/>
      <c r="H956" s="233"/>
      <c r="I956" s="234"/>
      <c r="J956" s="208"/>
      <c r="K956" s="208"/>
      <c r="L956" s="208"/>
      <c r="M956" s="208"/>
      <c r="N956" s="208"/>
      <c r="O956" s="208"/>
      <c r="P956" s="208"/>
      <c r="Q956" s="208"/>
      <c r="R956" s="208"/>
      <c r="S956" s="208"/>
      <c r="T956" s="208"/>
      <c r="U956" s="208"/>
      <c r="V956" s="208"/>
      <c r="W956" s="208"/>
      <c r="X956" s="208"/>
      <c r="Y956" s="208"/>
      <c r="Z956" s="208"/>
      <c r="AA956" s="208"/>
      <c r="AB956" s="208"/>
      <c r="AC956" s="208"/>
      <c r="AD956" s="208"/>
      <c r="AE956" s="208"/>
      <c r="AF956" s="208"/>
      <c r="AG956" s="208"/>
      <c r="AH956" s="208"/>
      <c r="AI956" s="208"/>
      <c r="AJ956" s="208"/>
      <c r="AK956" s="208"/>
    </row>
    <row r="957">
      <c r="A957" s="208"/>
      <c r="B957" s="208"/>
      <c r="C957" s="208"/>
      <c r="D957" s="208"/>
      <c r="E957" s="208"/>
      <c r="F957" s="208"/>
      <c r="G957" s="208"/>
      <c r="H957" s="233"/>
      <c r="I957" s="234"/>
      <c r="J957" s="208"/>
      <c r="K957" s="208"/>
      <c r="L957" s="208"/>
      <c r="M957" s="208"/>
      <c r="N957" s="208"/>
      <c r="O957" s="208"/>
      <c r="P957" s="208"/>
      <c r="Q957" s="208"/>
      <c r="R957" s="208"/>
      <c r="S957" s="208"/>
      <c r="T957" s="208"/>
      <c r="U957" s="208"/>
      <c r="V957" s="208"/>
      <c r="W957" s="208"/>
      <c r="X957" s="208"/>
      <c r="Y957" s="208"/>
      <c r="Z957" s="208"/>
      <c r="AA957" s="208"/>
      <c r="AB957" s="208"/>
      <c r="AC957" s="208"/>
      <c r="AD957" s="208"/>
      <c r="AE957" s="208"/>
      <c r="AF957" s="208"/>
      <c r="AG957" s="208"/>
      <c r="AH957" s="208"/>
      <c r="AI957" s="208"/>
      <c r="AJ957" s="208"/>
      <c r="AK957" s="208"/>
    </row>
    <row r="958">
      <c r="A958" s="208"/>
      <c r="B958" s="208"/>
      <c r="C958" s="208"/>
      <c r="D958" s="208"/>
      <c r="E958" s="208"/>
      <c r="F958" s="208"/>
      <c r="G958" s="208"/>
      <c r="H958" s="233"/>
      <c r="I958" s="234"/>
      <c r="J958" s="208"/>
      <c r="K958" s="208"/>
      <c r="L958" s="208"/>
      <c r="M958" s="208"/>
      <c r="N958" s="208"/>
      <c r="O958" s="208"/>
      <c r="P958" s="208"/>
      <c r="Q958" s="208"/>
      <c r="R958" s="208"/>
      <c r="S958" s="208"/>
      <c r="T958" s="208"/>
      <c r="U958" s="208"/>
      <c r="V958" s="208"/>
      <c r="W958" s="208"/>
      <c r="X958" s="208"/>
      <c r="Y958" s="208"/>
      <c r="Z958" s="208"/>
      <c r="AA958" s="208"/>
      <c r="AB958" s="208"/>
      <c r="AC958" s="208"/>
      <c r="AD958" s="208"/>
      <c r="AE958" s="208"/>
      <c r="AF958" s="208"/>
      <c r="AG958" s="208"/>
      <c r="AH958" s="208"/>
      <c r="AI958" s="208"/>
      <c r="AJ958" s="208"/>
      <c r="AK958" s="208"/>
    </row>
    <row r="959">
      <c r="A959" s="208"/>
      <c r="B959" s="208"/>
      <c r="C959" s="208"/>
      <c r="D959" s="208"/>
      <c r="E959" s="208"/>
      <c r="F959" s="208"/>
      <c r="G959" s="208"/>
      <c r="H959" s="233"/>
      <c r="I959" s="234"/>
      <c r="J959" s="208"/>
      <c r="K959" s="208"/>
      <c r="L959" s="208"/>
      <c r="M959" s="208"/>
      <c r="N959" s="208"/>
      <c r="O959" s="208"/>
      <c r="P959" s="208"/>
      <c r="Q959" s="208"/>
      <c r="R959" s="208"/>
      <c r="S959" s="208"/>
      <c r="T959" s="208"/>
      <c r="U959" s="208"/>
      <c r="V959" s="208"/>
      <c r="W959" s="208"/>
      <c r="X959" s="208"/>
      <c r="Y959" s="208"/>
      <c r="Z959" s="208"/>
      <c r="AA959" s="208"/>
      <c r="AB959" s="208"/>
      <c r="AC959" s="208"/>
      <c r="AD959" s="208"/>
      <c r="AE959" s="208"/>
      <c r="AF959" s="208"/>
      <c r="AG959" s="208"/>
      <c r="AH959" s="208"/>
      <c r="AI959" s="208"/>
      <c r="AJ959" s="208"/>
      <c r="AK959" s="208"/>
    </row>
    <row r="960">
      <c r="A960" s="208"/>
      <c r="B960" s="208"/>
      <c r="C960" s="208"/>
      <c r="D960" s="208"/>
      <c r="E960" s="208"/>
      <c r="F960" s="208"/>
      <c r="G960" s="208"/>
      <c r="H960" s="233"/>
      <c r="I960" s="234"/>
      <c r="J960" s="208"/>
      <c r="K960" s="208"/>
      <c r="L960" s="208"/>
      <c r="M960" s="208"/>
      <c r="N960" s="208"/>
      <c r="O960" s="208"/>
      <c r="P960" s="208"/>
      <c r="Q960" s="208"/>
      <c r="R960" s="208"/>
      <c r="S960" s="208"/>
      <c r="T960" s="208"/>
      <c r="U960" s="208"/>
      <c r="V960" s="208"/>
      <c r="W960" s="208"/>
      <c r="X960" s="208"/>
      <c r="Y960" s="208"/>
      <c r="Z960" s="208"/>
      <c r="AA960" s="208"/>
      <c r="AB960" s="208"/>
      <c r="AC960" s="208"/>
      <c r="AD960" s="208"/>
      <c r="AE960" s="208"/>
      <c r="AF960" s="208"/>
      <c r="AG960" s="208"/>
      <c r="AH960" s="208"/>
      <c r="AI960" s="208"/>
      <c r="AJ960" s="208"/>
      <c r="AK960" s="208"/>
    </row>
    <row r="961">
      <c r="A961" s="208"/>
      <c r="B961" s="208"/>
      <c r="C961" s="208"/>
      <c r="D961" s="208"/>
      <c r="E961" s="208"/>
      <c r="F961" s="208"/>
      <c r="G961" s="208"/>
      <c r="H961" s="233"/>
      <c r="I961" s="234"/>
      <c r="J961" s="208"/>
      <c r="K961" s="208"/>
      <c r="L961" s="208"/>
      <c r="M961" s="208"/>
      <c r="N961" s="208"/>
      <c r="O961" s="208"/>
      <c r="P961" s="208"/>
      <c r="Q961" s="208"/>
      <c r="R961" s="208"/>
      <c r="S961" s="208"/>
      <c r="T961" s="208"/>
      <c r="U961" s="208"/>
      <c r="V961" s="208"/>
      <c r="W961" s="208"/>
      <c r="X961" s="208"/>
      <c r="Y961" s="208"/>
      <c r="Z961" s="208"/>
      <c r="AA961" s="208"/>
      <c r="AB961" s="208"/>
      <c r="AC961" s="208"/>
      <c r="AD961" s="208"/>
      <c r="AE961" s="208"/>
      <c r="AF961" s="208"/>
      <c r="AG961" s="208"/>
      <c r="AH961" s="208"/>
      <c r="AI961" s="208"/>
      <c r="AJ961" s="208"/>
      <c r="AK961" s="208"/>
    </row>
    <row r="962">
      <c r="A962" s="208"/>
      <c r="B962" s="208"/>
      <c r="C962" s="208"/>
      <c r="D962" s="208"/>
      <c r="E962" s="208"/>
      <c r="F962" s="208"/>
      <c r="G962" s="208"/>
      <c r="H962" s="233"/>
      <c r="I962" s="234"/>
      <c r="J962" s="208"/>
      <c r="K962" s="208"/>
      <c r="L962" s="208"/>
      <c r="M962" s="208"/>
      <c r="N962" s="208"/>
      <c r="O962" s="208"/>
      <c r="P962" s="208"/>
      <c r="Q962" s="208"/>
      <c r="R962" s="208"/>
      <c r="S962" s="208"/>
      <c r="T962" s="208"/>
      <c r="U962" s="208"/>
      <c r="V962" s="208"/>
      <c r="W962" s="208"/>
      <c r="X962" s="208"/>
      <c r="Y962" s="208"/>
      <c r="Z962" s="208"/>
      <c r="AA962" s="208"/>
      <c r="AB962" s="208"/>
      <c r="AC962" s="208"/>
      <c r="AD962" s="208"/>
      <c r="AE962" s="208"/>
      <c r="AF962" s="208"/>
      <c r="AG962" s="208"/>
      <c r="AH962" s="208"/>
      <c r="AI962" s="208"/>
      <c r="AJ962" s="208"/>
      <c r="AK962" s="208"/>
    </row>
    <row r="963">
      <c r="A963" s="208"/>
      <c r="B963" s="208"/>
      <c r="C963" s="208"/>
      <c r="D963" s="208"/>
      <c r="E963" s="208"/>
      <c r="F963" s="208"/>
      <c r="G963" s="208"/>
      <c r="H963" s="233"/>
      <c r="I963" s="234"/>
      <c r="J963" s="208"/>
      <c r="K963" s="208"/>
      <c r="L963" s="208"/>
      <c r="M963" s="208"/>
      <c r="N963" s="208"/>
      <c r="O963" s="208"/>
      <c r="P963" s="208"/>
      <c r="Q963" s="208"/>
      <c r="R963" s="208"/>
      <c r="S963" s="208"/>
      <c r="T963" s="208"/>
      <c r="U963" s="208"/>
      <c r="V963" s="208"/>
      <c r="W963" s="208"/>
      <c r="X963" s="208"/>
      <c r="Y963" s="208"/>
      <c r="Z963" s="208"/>
      <c r="AA963" s="208"/>
      <c r="AB963" s="208"/>
      <c r="AC963" s="208"/>
      <c r="AD963" s="208"/>
      <c r="AE963" s="208"/>
      <c r="AF963" s="208"/>
      <c r="AG963" s="208"/>
      <c r="AH963" s="208"/>
      <c r="AI963" s="208"/>
      <c r="AJ963" s="208"/>
      <c r="AK963" s="208"/>
    </row>
    <row r="964">
      <c r="A964" s="208"/>
      <c r="B964" s="208"/>
      <c r="C964" s="208"/>
      <c r="D964" s="208"/>
      <c r="E964" s="208"/>
      <c r="F964" s="208"/>
      <c r="G964" s="208"/>
      <c r="H964" s="233"/>
      <c r="I964" s="234"/>
      <c r="J964" s="208"/>
      <c r="K964" s="208"/>
      <c r="L964" s="208"/>
      <c r="M964" s="208"/>
      <c r="N964" s="208"/>
      <c r="O964" s="208"/>
      <c r="P964" s="208"/>
      <c r="Q964" s="208"/>
      <c r="R964" s="208"/>
      <c r="S964" s="208"/>
      <c r="T964" s="208"/>
      <c r="U964" s="208"/>
      <c r="V964" s="208"/>
      <c r="W964" s="208"/>
      <c r="X964" s="208"/>
      <c r="Y964" s="208"/>
      <c r="Z964" s="208"/>
      <c r="AA964" s="208"/>
      <c r="AB964" s="208"/>
      <c r="AC964" s="208"/>
      <c r="AD964" s="208"/>
      <c r="AE964" s="208"/>
      <c r="AF964" s="208"/>
      <c r="AG964" s="208"/>
      <c r="AH964" s="208"/>
      <c r="AI964" s="208"/>
      <c r="AJ964" s="208"/>
      <c r="AK964" s="208"/>
    </row>
    <row r="965">
      <c r="A965" s="208"/>
      <c r="B965" s="208"/>
      <c r="C965" s="208"/>
      <c r="D965" s="208"/>
      <c r="E965" s="208"/>
      <c r="F965" s="208"/>
      <c r="G965" s="208"/>
      <c r="H965" s="233"/>
      <c r="I965" s="234"/>
      <c r="J965" s="208"/>
      <c r="K965" s="208"/>
      <c r="L965" s="208"/>
      <c r="M965" s="208"/>
      <c r="N965" s="208"/>
      <c r="O965" s="208"/>
      <c r="P965" s="208"/>
      <c r="Q965" s="208"/>
      <c r="R965" s="208"/>
      <c r="S965" s="208"/>
      <c r="T965" s="208"/>
      <c r="U965" s="208"/>
      <c r="V965" s="208"/>
      <c r="W965" s="208"/>
      <c r="X965" s="208"/>
      <c r="Y965" s="208"/>
      <c r="Z965" s="208"/>
      <c r="AA965" s="208"/>
      <c r="AB965" s="208"/>
      <c r="AC965" s="208"/>
      <c r="AD965" s="208"/>
      <c r="AE965" s="208"/>
      <c r="AF965" s="208"/>
      <c r="AG965" s="208"/>
      <c r="AH965" s="208"/>
      <c r="AI965" s="208"/>
      <c r="AJ965" s="208"/>
      <c r="AK965" s="208"/>
    </row>
    <row r="966">
      <c r="A966" s="208"/>
      <c r="B966" s="208"/>
      <c r="C966" s="208"/>
      <c r="D966" s="208"/>
      <c r="E966" s="208"/>
      <c r="F966" s="208"/>
      <c r="G966" s="208"/>
      <c r="H966" s="233"/>
      <c r="I966" s="234"/>
      <c r="J966" s="208"/>
      <c r="K966" s="208"/>
      <c r="L966" s="208"/>
      <c r="M966" s="208"/>
      <c r="N966" s="208"/>
      <c r="O966" s="208"/>
      <c r="P966" s="208"/>
      <c r="Q966" s="208"/>
      <c r="R966" s="208"/>
      <c r="S966" s="208"/>
      <c r="T966" s="208"/>
      <c r="U966" s="208"/>
      <c r="V966" s="208"/>
      <c r="W966" s="208"/>
      <c r="X966" s="208"/>
      <c r="Y966" s="208"/>
      <c r="Z966" s="208"/>
      <c r="AA966" s="208"/>
      <c r="AB966" s="208"/>
      <c r="AC966" s="208"/>
      <c r="AD966" s="208"/>
      <c r="AE966" s="208"/>
      <c r="AF966" s="208"/>
      <c r="AG966" s="208"/>
      <c r="AH966" s="208"/>
      <c r="AI966" s="208"/>
      <c r="AJ966" s="208"/>
      <c r="AK966" s="208"/>
    </row>
    <row r="967">
      <c r="A967" s="208"/>
      <c r="B967" s="208"/>
      <c r="C967" s="208"/>
      <c r="D967" s="208"/>
      <c r="E967" s="208"/>
      <c r="F967" s="208"/>
      <c r="G967" s="208"/>
      <c r="H967" s="233"/>
      <c r="I967" s="234"/>
      <c r="J967" s="208"/>
      <c r="K967" s="208"/>
      <c r="L967" s="208"/>
      <c r="M967" s="208"/>
      <c r="N967" s="208"/>
      <c r="O967" s="208"/>
      <c r="P967" s="208"/>
      <c r="Q967" s="208"/>
      <c r="R967" s="208"/>
      <c r="S967" s="208"/>
      <c r="T967" s="208"/>
      <c r="U967" s="208"/>
      <c r="V967" s="208"/>
      <c r="W967" s="208"/>
      <c r="X967" s="208"/>
      <c r="Y967" s="208"/>
      <c r="Z967" s="208"/>
      <c r="AA967" s="208"/>
      <c r="AB967" s="208"/>
      <c r="AC967" s="208"/>
      <c r="AD967" s="208"/>
      <c r="AE967" s="208"/>
      <c r="AF967" s="208"/>
      <c r="AG967" s="208"/>
      <c r="AH967" s="208"/>
      <c r="AI967" s="208"/>
      <c r="AJ967" s="208"/>
      <c r="AK967" s="208"/>
    </row>
    <row r="968">
      <c r="A968" s="208"/>
      <c r="B968" s="208"/>
      <c r="C968" s="208"/>
      <c r="D968" s="208"/>
      <c r="E968" s="208"/>
      <c r="F968" s="208"/>
      <c r="G968" s="208"/>
      <c r="H968" s="233"/>
      <c r="I968" s="234"/>
      <c r="J968" s="208"/>
      <c r="K968" s="208"/>
      <c r="L968" s="208"/>
      <c r="M968" s="208"/>
      <c r="N968" s="208"/>
      <c r="O968" s="208"/>
      <c r="P968" s="208"/>
      <c r="Q968" s="208"/>
      <c r="R968" s="208"/>
      <c r="S968" s="208"/>
      <c r="T968" s="208"/>
      <c r="U968" s="208"/>
      <c r="V968" s="208"/>
      <c r="W968" s="208"/>
      <c r="X968" s="208"/>
      <c r="Y968" s="208"/>
      <c r="Z968" s="208"/>
      <c r="AA968" s="208"/>
      <c r="AB968" s="208"/>
      <c r="AC968" s="208"/>
      <c r="AD968" s="208"/>
      <c r="AE968" s="208"/>
      <c r="AF968" s="208"/>
      <c r="AG968" s="208"/>
      <c r="AH968" s="208"/>
      <c r="AI968" s="208"/>
      <c r="AJ968" s="208"/>
      <c r="AK968" s="208"/>
    </row>
    <row r="969">
      <c r="A969" s="208"/>
      <c r="B969" s="208"/>
      <c r="C969" s="208"/>
      <c r="D969" s="208"/>
      <c r="E969" s="208"/>
      <c r="F969" s="208"/>
      <c r="G969" s="208"/>
      <c r="H969" s="233"/>
      <c r="I969" s="234"/>
      <c r="J969" s="208"/>
      <c r="K969" s="208"/>
      <c r="L969" s="208"/>
      <c r="M969" s="208"/>
      <c r="N969" s="208"/>
      <c r="O969" s="208"/>
      <c r="P969" s="208"/>
      <c r="Q969" s="208"/>
      <c r="R969" s="208"/>
      <c r="S969" s="208"/>
      <c r="T969" s="208"/>
      <c r="U969" s="208"/>
      <c r="V969" s="208"/>
      <c r="W969" s="208"/>
      <c r="X969" s="208"/>
      <c r="Y969" s="208"/>
      <c r="Z969" s="208"/>
      <c r="AA969" s="208"/>
      <c r="AB969" s="208"/>
      <c r="AC969" s="208"/>
      <c r="AD969" s="208"/>
      <c r="AE969" s="208"/>
      <c r="AF969" s="208"/>
      <c r="AG969" s="208"/>
      <c r="AH969" s="208"/>
      <c r="AI969" s="208"/>
      <c r="AJ969" s="208"/>
      <c r="AK969" s="208"/>
    </row>
    <row r="970">
      <c r="A970" s="208"/>
      <c r="B970" s="208"/>
      <c r="C970" s="208"/>
      <c r="D970" s="208"/>
      <c r="E970" s="208"/>
      <c r="F970" s="208"/>
      <c r="G970" s="208"/>
      <c r="H970" s="233"/>
      <c r="I970" s="234"/>
      <c r="J970" s="208"/>
      <c r="K970" s="208"/>
      <c r="L970" s="208"/>
      <c r="M970" s="208"/>
      <c r="N970" s="208"/>
      <c r="O970" s="208"/>
      <c r="P970" s="208"/>
      <c r="Q970" s="208"/>
      <c r="R970" s="208"/>
      <c r="S970" s="208"/>
      <c r="T970" s="208"/>
      <c r="U970" s="208"/>
      <c r="V970" s="208"/>
      <c r="W970" s="208"/>
      <c r="X970" s="208"/>
      <c r="Y970" s="208"/>
      <c r="Z970" s="208"/>
      <c r="AA970" s="208"/>
      <c r="AB970" s="208"/>
      <c r="AC970" s="208"/>
      <c r="AD970" s="208"/>
      <c r="AE970" s="208"/>
      <c r="AF970" s="208"/>
      <c r="AG970" s="208"/>
      <c r="AH970" s="208"/>
      <c r="AI970" s="208"/>
      <c r="AJ970" s="208"/>
      <c r="AK970" s="208"/>
    </row>
    <row r="971">
      <c r="A971" s="208"/>
      <c r="B971" s="208"/>
      <c r="C971" s="208"/>
      <c r="D971" s="208"/>
      <c r="E971" s="208"/>
      <c r="F971" s="208"/>
      <c r="G971" s="208"/>
      <c r="H971" s="233"/>
      <c r="I971" s="234"/>
      <c r="J971" s="208"/>
      <c r="K971" s="208"/>
      <c r="L971" s="208"/>
      <c r="M971" s="208"/>
      <c r="N971" s="208"/>
      <c r="O971" s="208"/>
      <c r="P971" s="208"/>
      <c r="Q971" s="208"/>
      <c r="R971" s="208"/>
      <c r="S971" s="208"/>
      <c r="T971" s="208"/>
      <c r="U971" s="208"/>
      <c r="V971" s="208"/>
      <c r="W971" s="208"/>
      <c r="X971" s="208"/>
      <c r="Y971" s="208"/>
      <c r="Z971" s="208"/>
      <c r="AA971" s="208"/>
      <c r="AB971" s="208"/>
      <c r="AC971" s="208"/>
      <c r="AD971" s="208"/>
      <c r="AE971" s="208"/>
      <c r="AF971" s="208"/>
      <c r="AG971" s="208"/>
      <c r="AH971" s="208"/>
      <c r="AI971" s="208"/>
      <c r="AJ971" s="208"/>
      <c r="AK971" s="208"/>
    </row>
    <row r="972">
      <c r="A972" s="208"/>
      <c r="B972" s="208"/>
      <c r="C972" s="208"/>
      <c r="D972" s="208"/>
      <c r="E972" s="208"/>
      <c r="F972" s="208"/>
      <c r="G972" s="208"/>
      <c r="H972" s="233"/>
      <c r="I972" s="234"/>
      <c r="J972" s="208"/>
      <c r="K972" s="208"/>
      <c r="L972" s="208"/>
      <c r="M972" s="208"/>
      <c r="N972" s="208"/>
      <c r="O972" s="208"/>
      <c r="P972" s="208"/>
      <c r="Q972" s="208"/>
      <c r="R972" s="208"/>
      <c r="S972" s="208"/>
      <c r="T972" s="208"/>
      <c r="U972" s="208"/>
      <c r="V972" s="208"/>
      <c r="W972" s="208"/>
      <c r="X972" s="208"/>
      <c r="Y972" s="208"/>
      <c r="Z972" s="208"/>
      <c r="AA972" s="208"/>
      <c r="AB972" s="208"/>
      <c r="AC972" s="208"/>
      <c r="AD972" s="208"/>
      <c r="AE972" s="208"/>
      <c r="AF972" s="208"/>
      <c r="AG972" s="208"/>
      <c r="AH972" s="208"/>
      <c r="AI972" s="208"/>
      <c r="AJ972" s="208"/>
      <c r="AK972" s="208"/>
    </row>
    <row r="973">
      <c r="A973" s="208"/>
      <c r="B973" s="208"/>
      <c r="C973" s="208"/>
      <c r="D973" s="208"/>
      <c r="E973" s="208"/>
      <c r="F973" s="208"/>
      <c r="G973" s="208"/>
      <c r="H973" s="233"/>
      <c r="I973" s="234"/>
      <c r="J973" s="208"/>
      <c r="K973" s="208"/>
      <c r="L973" s="208"/>
      <c r="M973" s="208"/>
      <c r="N973" s="208"/>
      <c r="O973" s="208"/>
      <c r="P973" s="208"/>
      <c r="Q973" s="208"/>
      <c r="R973" s="208"/>
      <c r="S973" s="208"/>
      <c r="T973" s="208"/>
      <c r="U973" s="208"/>
      <c r="V973" s="208"/>
      <c r="W973" s="208"/>
      <c r="X973" s="208"/>
      <c r="Y973" s="208"/>
      <c r="Z973" s="208"/>
      <c r="AA973" s="208"/>
      <c r="AB973" s="208"/>
      <c r="AC973" s="208"/>
      <c r="AD973" s="208"/>
      <c r="AE973" s="208"/>
      <c r="AF973" s="208"/>
      <c r="AG973" s="208"/>
      <c r="AH973" s="208"/>
      <c r="AI973" s="208"/>
      <c r="AJ973" s="208"/>
      <c r="AK973" s="208"/>
    </row>
    <row r="974">
      <c r="A974" s="208"/>
      <c r="B974" s="208"/>
      <c r="C974" s="208"/>
      <c r="D974" s="208"/>
      <c r="E974" s="208"/>
      <c r="F974" s="208"/>
      <c r="G974" s="208"/>
      <c r="H974" s="233"/>
      <c r="I974" s="234"/>
      <c r="J974" s="208"/>
      <c r="K974" s="208"/>
      <c r="L974" s="208"/>
      <c r="M974" s="208"/>
      <c r="N974" s="208"/>
      <c r="O974" s="208"/>
      <c r="P974" s="208"/>
      <c r="Q974" s="208"/>
      <c r="R974" s="208"/>
      <c r="S974" s="208"/>
      <c r="T974" s="208"/>
      <c r="U974" s="208"/>
      <c r="V974" s="208"/>
      <c r="W974" s="208"/>
      <c r="X974" s="208"/>
      <c r="Y974" s="208"/>
      <c r="Z974" s="208"/>
      <c r="AA974" s="208"/>
      <c r="AB974" s="208"/>
      <c r="AC974" s="208"/>
      <c r="AD974" s="208"/>
      <c r="AE974" s="208"/>
      <c r="AF974" s="208"/>
      <c r="AG974" s="208"/>
      <c r="AH974" s="208"/>
      <c r="AI974" s="208"/>
      <c r="AJ974" s="208"/>
      <c r="AK974" s="208"/>
    </row>
    <row r="975">
      <c r="A975" s="208"/>
      <c r="B975" s="208"/>
      <c r="C975" s="208"/>
      <c r="D975" s="208"/>
      <c r="E975" s="208"/>
      <c r="F975" s="208"/>
      <c r="G975" s="208"/>
      <c r="H975" s="233"/>
      <c r="I975" s="234"/>
      <c r="J975" s="208"/>
      <c r="K975" s="208"/>
      <c r="L975" s="208"/>
      <c r="M975" s="208"/>
      <c r="N975" s="208"/>
      <c r="O975" s="208"/>
      <c r="P975" s="208"/>
      <c r="Q975" s="208"/>
      <c r="R975" s="208"/>
      <c r="S975" s="208"/>
      <c r="T975" s="208"/>
      <c r="U975" s="208"/>
      <c r="V975" s="208"/>
      <c r="W975" s="208"/>
      <c r="X975" s="208"/>
      <c r="Y975" s="208"/>
      <c r="Z975" s="208"/>
      <c r="AA975" s="208"/>
      <c r="AB975" s="208"/>
      <c r="AC975" s="208"/>
      <c r="AD975" s="208"/>
      <c r="AE975" s="208"/>
      <c r="AF975" s="208"/>
      <c r="AG975" s="208"/>
      <c r="AH975" s="208"/>
      <c r="AI975" s="208"/>
      <c r="AJ975" s="208"/>
      <c r="AK975" s="208"/>
    </row>
    <row r="976">
      <c r="A976" s="208"/>
      <c r="B976" s="208"/>
      <c r="C976" s="208"/>
      <c r="D976" s="208"/>
      <c r="E976" s="208"/>
      <c r="F976" s="208"/>
      <c r="G976" s="208"/>
      <c r="H976" s="233"/>
      <c r="I976" s="234"/>
      <c r="J976" s="208"/>
      <c r="K976" s="208"/>
      <c r="L976" s="208"/>
      <c r="M976" s="208"/>
      <c r="N976" s="208"/>
      <c r="O976" s="208"/>
      <c r="P976" s="208"/>
      <c r="Q976" s="208"/>
      <c r="R976" s="208"/>
      <c r="S976" s="208"/>
      <c r="T976" s="208"/>
      <c r="U976" s="208"/>
      <c r="V976" s="208"/>
      <c r="W976" s="208"/>
      <c r="X976" s="208"/>
      <c r="Y976" s="208"/>
      <c r="Z976" s="208"/>
      <c r="AA976" s="208"/>
      <c r="AB976" s="208"/>
      <c r="AC976" s="208"/>
      <c r="AD976" s="208"/>
      <c r="AE976" s="208"/>
      <c r="AF976" s="208"/>
      <c r="AG976" s="208"/>
      <c r="AH976" s="208"/>
      <c r="AI976" s="208"/>
      <c r="AJ976" s="208"/>
      <c r="AK976" s="208"/>
    </row>
    <row r="977">
      <c r="A977" s="208"/>
      <c r="B977" s="208"/>
      <c r="C977" s="208"/>
      <c r="D977" s="208"/>
      <c r="E977" s="208"/>
      <c r="F977" s="208"/>
      <c r="G977" s="208"/>
      <c r="H977" s="233"/>
      <c r="I977" s="234"/>
      <c r="J977" s="208"/>
      <c r="K977" s="208"/>
      <c r="L977" s="208"/>
      <c r="M977" s="208"/>
      <c r="N977" s="208"/>
      <c r="O977" s="208"/>
      <c r="P977" s="208"/>
      <c r="Q977" s="208"/>
      <c r="R977" s="208"/>
      <c r="S977" s="208"/>
      <c r="T977" s="208"/>
      <c r="U977" s="208"/>
      <c r="V977" s="208"/>
      <c r="W977" s="208"/>
      <c r="X977" s="208"/>
      <c r="Y977" s="208"/>
      <c r="Z977" s="208"/>
      <c r="AA977" s="208"/>
      <c r="AB977" s="208"/>
      <c r="AC977" s="208"/>
      <c r="AD977" s="208"/>
      <c r="AE977" s="208"/>
      <c r="AF977" s="208"/>
      <c r="AG977" s="208"/>
      <c r="AH977" s="208"/>
      <c r="AI977" s="208"/>
      <c r="AJ977" s="208"/>
      <c r="AK977" s="208"/>
    </row>
    <row r="978">
      <c r="A978" s="208"/>
      <c r="B978" s="208"/>
      <c r="C978" s="208"/>
      <c r="D978" s="208"/>
      <c r="E978" s="208"/>
      <c r="F978" s="208"/>
      <c r="G978" s="208"/>
      <c r="H978" s="233"/>
      <c r="I978" s="234"/>
      <c r="J978" s="208"/>
      <c r="K978" s="208"/>
      <c r="L978" s="208"/>
      <c r="M978" s="208"/>
      <c r="N978" s="208"/>
      <c r="O978" s="208"/>
      <c r="P978" s="208"/>
      <c r="Q978" s="208"/>
      <c r="R978" s="208"/>
      <c r="S978" s="208"/>
      <c r="T978" s="208"/>
      <c r="U978" s="208"/>
      <c r="V978" s="208"/>
      <c r="W978" s="208"/>
      <c r="X978" s="208"/>
      <c r="Y978" s="208"/>
      <c r="Z978" s="208"/>
      <c r="AA978" s="208"/>
      <c r="AB978" s="208"/>
      <c r="AC978" s="208"/>
      <c r="AD978" s="208"/>
      <c r="AE978" s="208"/>
      <c r="AF978" s="208"/>
      <c r="AG978" s="208"/>
      <c r="AH978" s="208"/>
      <c r="AI978" s="208"/>
      <c r="AJ978" s="208"/>
      <c r="AK978" s="208"/>
    </row>
    <row r="979">
      <c r="A979" s="208"/>
      <c r="B979" s="208"/>
      <c r="C979" s="208"/>
      <c r="D979" s="208"/>
      <c r="E979" s="208"/>
      <c r="F979" s="208"/>
      <c r="G979" s="208"/>
      <c r="H979" s="233"/>
      <c r="I979" s="234"/>
      <c r="J979" s="208"/>
      <c r="K979" s="208"/>
      <c r="L979" s="208"/>
      <c r="M979" s="208"/>
      <c r="N979" s="208"/>
      <c r="O979" s="208"/>
      <c r="P979" s="208"/>
      <c r="Q979" s="208"/>
      <c r="R979" s="208"/>
      <c r="S979" s="208"/>
      <c r="T979" s="208"/>
      <c r="U979" s="208"/>
      <c r="V979" s="208"/>
      <c r="W979" s="208"/>
      <c r="X979" s="208"/>
      <c r="Y979" s="208"/>
      <c r="Z979" s="208"/>
      <c r="AA979" s="208"/>
      <c r="AB979" s="208"/>
      <c r="AC979" s="208"/>
      <c r="AD979" s="208"/>
      <c r="AE979" s="208"/>
      <c r="AF979" s="208"/>
      <c r="AG979" s="208"/>
      <c r="AH979" s="208"/>
      <c r="AI979" s="208"/>
      <c r="AJ979" s="208"/>
      <c r="AK979" s="208"/>
    </row>
    <row r="980">
      <c r="A980" s="208"/>
      <c r="B980" s="208"/>
      <c r="C980" s="208"/>
      <c r="D980" s="208"/>
      <c r="E980" s="208"/>
      <c r="F980" s="208"/>
      <c r="G980" s="208"/>
      <c r="H980" s="233"/>
      <c r="I980" s="234"/>
      <c r="J980" s="208"/>
      <c r="K980" s="208"/>
      <c r="L980" s="208"/>
      <c r="M980" s="208"/>
      <c r="N980" s="208"/>
      <c r="O980" s="208"/>
      <c r="P980" s="208"/>
      <c r="Q980" s="208"/>
      <c r="R980" s="208"/>
      <c r="S980" s="208"/>
      <c r="T980" s="208"/>
      <c r="U980" s="208"/>
      <c r="V980" s="208"/>
      <c r="W980" s="208"/>
      <c r="X980" s="208"/>
      <c r="Y980" s="208"/>
      <c r="Z980" s="208"/>
      <c r="AA980" s="208"/>
      <c r="AB980" s="208"/>
      <c r="AC980" s="208"/>
      <c r="AD980" s="208"/>
      <c r="AE980" s="208"/>
      <c r="AF980" s="208"/>
      <c r="AG980" s="208"/>
      <c r="AH980" s="208"/>
      <c r="AI980" s="208"/>
      <c r="AJ980" s="208"/>
      <c r="AK980" s="208"/>
    </row>
    <row r="981">
      <c r="A981" s="208"/>
      <c r="B981" s="208"/>
      <c r="C981" s="208"/>
      <c r="D981" s="208"/>
      <c r="E981" s="208"/>
      <c r="F981" s="208"/>
      <c r="G981" s="208"/>
      <c r="H981" s="233"/>
      <c r="I981" s="234"/>
      <c r="J981" s="208"/>
      <c r="K981" s="208"/>
      <c r="L981" s="208"/>
      <c r="M981" s="208"/>
      <c r="N981" s="208"/>
      <c r="O981" s="208"/>
      <c r="P981" s="208"/>
      <c r="Q981" s="208"/>
      <c r="R981" s="208"/>
      <c r="S981" s="208"/>
      <c r="T981" s="208"/>
      <c r="U981" s="208"/>
      <c r="V981" s="208"/>
      <c r="W981" s="208"/>
      <c r="X981" s="208"/>
      <c r="Y981" s="208"/>
      <c r="Z981" s="208"/>
      <c r="AA981" s="208"/>
      <c r="AB981" s="208"/>
      <c r="AC981" s="208"/>
      <c r="AD981" s="208"/>
      <c r="AE981" s="208"/>
      <c r="AF981" s="208"/>
      <c r="AG981" s="208"/>
      <c r="AH981" s="208"/>
      <c r="AI981" s="208"/>
      <c r="AJ981" s="208"/>
      <c r="AK981" s="208"/>
    </row>
    <row r="982">
      <c r="A982" s="208"/>
      <c r="B982" s="208"/>
      <c r="C982" s="208"/>
      <c r="D982" s="208"/>
      <c r="E982" s="208"/>
      <c r="F982" s="208"/>
      <c r="G982" s="208"/>
      <c r="H982" s="233"/>
      <c r="I982" s="234"/>
      <c r="J982" s="208"/>
      <c r="K982" s="208"/>
      <c r="L982" s="208"/>
      <c r="M982" s="208"/>
      <c r="N982" s="208"/>
      <c r="O982" s="208"/>
      <c r="P982" s="208"/>
      <c r="Q982" s="208"/>
      <c r="R982" s="208"/>
      <c r="S982" s="208"/>
      <c r="T982" s="208"/>
      <c r="U982" s="208"/>
      <c r="V982" s="208"/>
      <c r="W982" s="208"/>
      <c r="X982" s="208"/>
      <c r="Y982" s="208"/>
      <c r="Z982" s="208"/>
      <c r="AA982" s="208"/>
      <c r="AB982" s="208"/>
      <c r="AC982" s="208"/>
      <c r="AD982" s="208"/>
      <c r="AE982" s="208"/>
      <c r="AF982" s="208"/>
      <c r="AG982" s="208"/>
      <c r="AH982" s="208"/>
      <c r="AI982" s="208"/>
      <c r="AJ982" s="208"/>
      <c r="AK982" s="208"/>
    </row>
    <row r="983">
      <c r="A983" s="208"/>
      <c r="B983" s="208"/>
      <c r="C983" s="208"/>
      <c r="D983" s="208"/>
      <c r="E983" s="208"/>
      <c r="F983" s="208"/>
      <c r="G983" s="208"/>
      <c r="H983" s="233"/>
      <c r="I983" s="234"/>
      <c r="J983" s="208"/>
      <c r="K983" s="208"/>
      <c r="L983" s="208"/>
      <c r="M983" s="208"/>
      <c r="N983" s="208"/>
      <c r="O983" s="208"/>
      <c r="P983" s="208"/>
      <c r="Q983" s="208"/>
      <c r="R983" s="208"/>
      <c r="S983" s="208"/>
      <c r="T983" s="208"/>
      <c r="U983" s="208"/>
      <c r="V983" s="208"/>
      <c r="W983" s="208"/>
      <c r="X983" s="208"/>
      <c r="Y983" s="208"/>
      <c r="Z983" s="208"/>
      <c r="AA983" s="208"/>
      <c r="AB983" s="208"/>
      <c r="AC983" s="208"/>
      <c r="AD983" s="208"/>
      <c r="AE983" s="208"/>
      <c r="AF983" s="208"/>
      <c r="AG983" s="208"/>
      <c r="AH983" s="208"/>
      <c r="AI983" s="208"/>
      <c r="AJ983" s="208"/>
      <c r="AK983" s="208"/>
    </row>
    <row r="984">
      <c r="A984" s="208"/>
      <c r="B984" s="208"/>
      <c r="C984" s="208"/>
      <c r="D984" s="208"/>
      <c r="E984" s="208"/>
      <c r="F984" s="208"/>
      <c r="G984" s="208"/>
      <c r="H984" s="233"/>
      <c r="I984" s="234"/>
      <c r="J984" s="208"/>
      <c r="K984" s="208"/>
      <c r="L984" s="208"/>
      <c r="M984" s="208"/>
      <c r="N984" s="208"/>
      <c r="O984" s="208"/>
      <c r="P984" s="208"/>
      <c r="Q984" s="208"/>
      <c r="R984" s="208"/>
      <c r="S984" s="208"/>
      <c r="T984" s="208"/>
      <c r="U984" s="208"/>
      <c r="V984" s="208"/>
      <c r="W984" s="208"/>
      <c r="X984" s="208"/>
      <c r="Y984" s="208"/>
      <c r="Z984" s="208"/>
      <c r="AA984" s="208"/>
      <c r="AB984" s="208"/>
      <c r="AC984" s="208"/>
      <c r="AD984" s="208"/>
      <c r="AE984" s="208"/>
      <c r="AF984" s="208"/>
      <c r="AG984" s="208"/>
      <c r="AH984" s="208"/>
      <c r="AI984" s="208"/>
      <c r="AJ984" s="208"/>
      <c r="AK984" s="208"/>
    </row>
    <row r="985">
      <c r="A985" s="208"/>
      <c r="B985" s="208"/>
      <c r="C985" s="208"/>
      <c r="D985" s="208"/>
      <c r="E985" s="208"/>
      <c r="F985" s="208"/>
      <c r="G985" s="208"/>
      <c r="H985" s="233"/>
      <c r="I985" s="234"/>
      <c r="J985" s="208"/>
      <c r="K985" s="208"/>
      <c r="L985" s="208"/>
      <c r="M985" s="208"/>
      <c r="N985" s="208"/>
      <c r="O985" s="208"/>
      <c r="P985" s="208"/>
      <c r="Q985" s="208"/>
      <c r="R985" s="208"/>
      <c r="S985" s="208"/>
      <c r="T985" s="208"/>
      <c r="U985" s="208"/>
      <c r="V985" s="208"/>
      <c r="W985" s="208"/>
      <c r="X985" s="208"/>
      <c r="Y985" s="208"/>
      <c r="Z985" s="208"/>
      <c r="AA985" s="208"/>
      <c r="AB985" s="208"/>
      <c r="AC985" s="208"/>
      <c r="AD985" s="208"/>
      <c r="AE985" s="208"/>
      <c r="AF985" s="208"/>
      <c r="AG985" s="208"/>
      <c r="AH985" s="208"/>
      <c r="AI985" s="208"/>
      <c r="AJ985" s="208"/>
      <c r="AK985" s="208"/>
    </row>
    <row r="986">
      <c r="A986" s="208"/>
      <c r="B986" s="208"/>
      <c r="C986" s="208"/>
      <c r="D986" s="208"/>
      <c r="E986" s="208"/>
      <c r="F986" s="208"/>
      <c r="G986" s="208"/>
      <c r="H986" s="233"/>
      <c r="I986" s="234"/>
      <c r="J986" s="208"/>
      <c r="K986" s="208"/>
      <c r="L986" s="208"/>
      <c r="M986" s="208"/>
      <c r="N986" s="208"/>
      <c r="O986" s="208"/>
      <c r="P986" s="208"/>
      <c r="Q986" s="208"/>
      <c r="R986" s="208"/>
      <c r="S986" s="208"/>
      <c r="T986" s="208"/>
      <c r="U986" s="208"/>
      <c r="V986" s="208"/>
      <c r="W986" s="208"/>
      <c r="X986" s="208"/>
      <c r="Y986" s="208"/>
      <c r="Z986" s="208"/>
      <c r="AA986" s="208"/>
      <c r="AB986" s="208"/>
      <c r="AC986" s="208"/>
      <c r="AD986" s="208"/>
      <c r="AE986" s="208"/>
      <c r="AF986" s="208"/>
      <c r="AG986" s="208"/>
      <c r="AH986" s="208"/>
      <c r="AI986" s="208"/>
      <c r="AJ986" s="208"/>
      <c r="AK986" s="208"/>
    </row>
    <row r="987">
      <c r="A987" s="208"/>
      <c r="B987" s="208"/>
      <c r="C987" s="208"/>
      <c r="D987" s="208"/>
      <c r="E987" s="208"/>
      <c r="F987" s="208"/>
      <c r="G987" s="208"/>
      <c r="H987" s="233"/>
      <c r="I987" s="234"/>
      <c r="J987" s="208"/>
      <c r="K987" s="208"/>
      <c r="L987" s="208"/>
      <c r="M987" s="208"/>
      <c r="N987" s="208"/>
      <c r="O987" s="208"/>
      <c r="P987" s="208"/>
      <c r="Q987" s="208"/>
      <c r="R987" s="208"/>
      <c r="S987" s="208"/>
      <c r="T987" s="208"/>
      <c r="U987" s="208"/>
      <c r="V987" s="208"/>
      <c r="W987" s="208"/>
      <c r="X987" s="208"/>
      <c r="Y987" s="208"/>
      <c r="Z987" s="208"/>
      <c r="AA987" s="208"/>
      <c r="AB987" s="208"/>
      <c r="AC987" s="208"/>
      <c r="AD987" s="208"/>
      <c r="AE987" s="208"/>
      <c r="AF987" s="208"/>
      <c r="AG987" s="208"/>
      <c r="AH987" s="208"/>
      <c r="AI987" s="208"/>
      <c r="AJ987" s="208"/>
      <c r="AK987" s="208"/>
    </row>
    <row r="988">
      <c r="A988" s="208"/>
      <c r="B988" s="208"/>
      <c r="C988" s="208"/>
      <c r="D988" s="208"/>
      <c r="E988" s="208"/>
      <c r="F988" s="208"/>
      <c r="G988" s="208"/>
      <c r="H988" s="233"/>
      <c r="I988" s="234"/>
      <c r="J988" s="208"/>
      <c r="K988" s="208"/>
      <c r="L988" s="208"/>
      <c r="M988" s="208"/>
      <c r="N988" s="208"/>
      <c r="O988" s="208"/>
      <c r="P988" s="208"/>
      <c r="Q988" s="208"/>
      <c r="R988" s="208"/>
      <c r="S988" s="208"/>
      <c r="T988" s="208"/>
      <c r="U988" s="208"/>
      <c r="V988" s="208"/>
      <c r="W988" s="208"/>
      <c r="X988" s="208"/>
      <c r="Y988" s="208"/>
      <c r="Z988" s="208"/>
      <c r="AA988" s="208"/>
      <c r="AB988" s="208"/>
      <c r="AC988" s="208"/>
      <c r="AD988" s="208"/>
      <c r="AE988" s="208"/>
      <c r="AF988" s="208"/>
      <c r="AG988" s="208"/>
      <c r="AH988" s="208"/>
      <c r="AI988" s="208"/>
      <c r="AJ988" s="208"/>
      <c r="AK988" s="208"/>
    </row>
    <row r="989">
      <c r="A989" s="208"/>
      <c r="B989" s="208"/>
      <c r="C989" s="208"/>
      <c r="D989" s="208"/>
      <c r="E989" s="208"/>
      <c r="F989" s="208"/>
      <c r="G989" s="208"/>
      <c r="H989" s="233"/>
      <c r="I989" s="234"/>
      <c r="J989" s="208"/>
      <c r="K989" s="208"/>
      <c r="L989" s="208"/>
      <c r="M989" s="208"/>
      <c r="N989" s="208"/>
      <c r="O989" s="208"/>
      <c r="P989" s="208"/>
      <c r="Q989" s="208"/>
      <c r="R989" s="208"/>
      <c r="S989" s="208"/>
      <c r="T989" s="208"/>
      <c r="U989" s="208"/>
      <c r="V989" s="208"/>
      <c r="W989" s="208"/>
      <c r="X989" s="208"/>
      <c r="Y989" s="208"/>
      <c r="Z989" s="208"/>
      <c r="AA989" s="208"/>
      <c r="AB989" s="208"/>
      <c r="AC989" s="208"/>
      <c r="AD989" s="208"/>
      <c r="AE989" s="208"/>
      <c r="AF989" s="208"/>
      <c r="AG989" s="208"/>
      <c r="AH989" s="208"/>
      <c r="AI989" s="208"/>
      <c r="AJ989" s="208"/>
      <c r="AK989" s="208"/>
    </row>
    <row r="990">
      <c r="A990" s="208"/>
      <c r="B990" s="208"/>
      <c r="C990" s="208"/>
      <c r="D990" s="208"/>
      <c r="E990" s="208"/>
      <c r="F990" s="208"/>
      <c r="G990" s="208"/>
      <c r="H990" s="233"/>
      <c r="I990" s="234"/>
      <c r="J990" s="208"/>
      <c r="K990" s="208"/>
      <c r="L990" s="208"/>
      <c r="M990" s="208"/>
      <c r="N990" s="208"/>
      <c r="O990" s="208"/>
      <c r="P990" s="208"/>
      <c r="Q990" s="208"/>
      <c r="R990" s="208"/>
      <c r="S990" s="208"/>
      <c r="T990" s="208"/>
      <c r="U990" s="208"/>
      <c r="V990" s="208"/>
      <c r="W990" s="208"/>
      <c r="X990" s="208"/>
      <c r="Y990" s="208"/>
      <c r="Z990" s="208"/>
      <c r="AA990" s="208"/>
      <c r="AB990" s="208"/>
      <c r="AC990" s="208"/>
      <c r="AD990" s="208"/>
      <c r="AE990" s="208"/>
      <c r="AF990" s="208"/>
      <c r="AG990" s="208"/>
      <c r="AH990" s="208"/>
      <c r="AI990" s="208"/>
      <c r="AJ990" s="208"/>
      <c r="AK990" s="208"/>
    </row>
    <row r="991">
      <c r="A991" s="208"/>
      <c r="B991" s="208"/>
      <c r="C991" s="208"/>
      <c r="D991" s="208"/>
      <c r="E991" s="208"/>
      <c r="F991" s="208"/>
      <c r="G991" s="208"/>
      <c r="H991" s="233"/>
      <c r="I991" s="234"/>
      <c r="J991" s="208"/>
      <c r="K991" s="208"/>
      <c r="L991" s="208"/>
      <c r="M991" s="208"/>
      <c r="N991" s="208"/>
      <c r="O991" s="208"/>
      <c r="P991" s="208"/>
      <c r="Q991" s="208"/>
      <c r="R991" s="208"/>
      <c r="S991" s="208"/>
      <c r="T991" s="208"/>
      <c r="U991" s="208"/>
      <c r="V991" s="208"/>
      <c r="W991" s="208"/>
      <c r="X991" s="208"/>
      <c r="Y991" s="208"/>
      <c r="Z991" s="208"/>
      <c r="AA991" s="208"/>
      <c r="AB991" s="208"/>
      <c r="AC991" s="208"/>
      <c r="AD991" s="208"/>
      <c r="AE991" s="208"/>
      <c r="AF991" s="208"/>
      <c r="AG991" s="208"/>
      <c r="AH991" s="208"/>
      <c r="AI991" s="208"/>
      <c r="AJ991" s="208"/>
      <c r="AK991" s="208"/>
    </row>
    <row r="992">
      <c r="A992" s="208"/>
      <c r="B992" s="208"/>
      <c r="C992" s="208"/>
      <c r="D992" s="208"/>
      <c r="E992" s="208"/>
      <c r="F992" s="208"/>
      <c r="G992" s="208"/>
      <c r="H992" s="233"/>
      <c r="I992" s="234"/>
      <c r="J992" s="208"/>
      <c r="K992" s="208"/>
      <c r="L992" s="208"/>
      <c r="M992" s="208"/>
      <c r="N992" s="208"/>
      <c r="O992" s="208"/>
      <c r="P992" s="208"/>
      <c r="Q992" s="208"/>
      <c r="R992" s="208"/>
      <c r="S992" s="208"/>
      <c r="T992" s="208"/>
      <c r="U992" s="208"/>
      <c r="V992" s="208"/>
      <c r="W992" s="208"/>
      <c r="X992" s="208"/>
      <c r="Y992" s="208"/>
      <c r="Z992" s="208"/>
      <c r="AA992" s="208"/>
      <c r="AB992" s="208"/>
      <c r="AC992" s="208"/>
      <c r="AD992" s="208"/>
      <c r="AE992" s="208"/>
      <c r="AF992" s="208"/>
      <c r="AG992" s="208"/>
      <c r="AH992" s="208"/>
      <c r="AI992" s="208"/>
      <c r="AJ992" s="208"/>
      <c r="AK992" s="208"/>
    </row>
    <row r="993">
      <c r="A993" s="208"/>
      <c r="B993" s="208"/>
      <c r="C993" s="208"/>
      <c r="D993" s="208"/>
      <c r="E993" s="208"/>
      <c r="F993" s="208"/>
      <c r="G993" s="208"/>
      <c r="H993" s="233"/>
      <c r="I993" s="234"/>
      <c r="J993" s="208"/>
      <c r="K993" s="208"/>
      <c r="L993" s="208"/>
      <c r="M993" s="208"/>
      <c r="N993" s="208"/>
      <c r="O993" s="208"/>
      <c r="P993" s="208"/>
      <c r="Q993" s="208"/>
      <c r="R993" s="208"/>
      <c r="S993" s="208"/>
      <c r="T993" s="208"/>
      <c r="U993" s="208"/>
      <c r="V993" s="208"/>
      <c r="W993" s="208"/>
      <c r="X993" s="208"/>
      <c r="Y993" s="208"/>
      <c r="Z993" s="208"/>
      <c r="AA993" s="208"/>
      <c r="AB993" s="208"/>
      <c r="AC993" s="208"/>
      <c r="AD993" s="208"/>
      <c r="AE993" s="208"/>
      <c r="AF993" s="208"/>
      <c r="AG993" s="208"/>
      <c r="AH993" s="208"/>
      <c r="AI993" s="208"/>
      <c r="AJ993" s="208"/>
      <c r="AK993" s="208"/>
    </row>
    <row r="994">
      <c r="A994" s="208"/>
      <c r="B994" s="208"/>
      <c r="C994" s="208"/>
      <c r="D994" s="208"/>
      <c r="E994" s="208"/>
      <c r="F994" s="208"/>
      <c r="G994" s="208"/>
      <c r="H994" s="233"/>
      <c r="I994" s="234"/>
      <c r="J994" s="208"/>
      <c r="K994" s="208"/>
      <c r="L994" s="208"/>
      <c r="M994" s="208"/>
      <c r="N994" s="208"/>
      <c r="O994" s="208"/>
      <c r="P994" s="208"/>
      <c r="Q994" s="208"/>
      <c r="R994" s="208"/>
      <c r="S994" s="208"/>
      <c r="T994" s="208"/>
      <c r="U994" s="208"/>
      <c r="V994" s="208"/>
      <c r="W994" s="208"/>
      <c r="X994" s="208"/>
      <c r="Y994" s="208"/>
      <c r="Z994" s="208"/>
      <c r="AA994" s="208"/>
      <c r="AB994" s="208"/>
      <c r="AC994" s="208"/>
      <c r="AD994" s="208"/>
      <c r="AE994" s="208"/>
      <c r="AF994" s="208"/>
      <c r="AG994" s="208"/>
      <c r="AH994" s="208"/>
      <c r="AI994" s="208"/>
      <c r="AJ994" s="208"/>
      <c r="AK994" s="208"/>
    </row>
    <row r="995">
      <c r="A995" s="208"/>
      <c r="B995" s="208"/>
      <c r="C995" s="208"/>
      <c r="D995" s="208"/>
      <c r="E995" s="208"/>
      <c r="F995" s="208"/>
      <c r="G995" s="208"/>
      <c r="H995" s="233"/>
      <c r="I995" s="234"/>
      <c r="J995" s="208"/>
      <c r="K995" s="208"/>
      <c r="L995" s="208"/>
      <c r="M995" s="208"/>
      <c r="N995" s="208"/>
      <c r="O995" s="208"/>
      <c r="P995" s="208"/>
      <c r="Q995" s="208"/>
      <c r="R995" s="208"/>
      <c r="S995" s="208"/>
      <c r="T995" s="208"/>
      <c r="U995" s="208"/>
      <c r="V995" s="208"/>
      <c r="W995" s="208"/>
      <c r="X995" s="208"/>
      <c r="Y995" s="208"/>
      <c r="Z995" s="208"/>
      <c r="AA995" s="208"/>
      <c r="AB995" s="208"/>
      <c r="AC995" s="208"/>
      <c r="AD995" s="208"/>
      <c r="AE995" s="208"/>
      <c r="AF995" s="208"/>
      <c r="AG995" s="208"/>
      <c r="AH995" s="208"/>
      <c r="AI995" s="208"/>
      <c r="AJ995" s="208"/>
      <c r="AK995" s="208"/>
    </row>
    <row r="996">
      <c r="A996" s="208"/>
      <c r="B996" s="208"/>
      <c r="C996" s="208"/>
      <c r="D996" s="208"/>
      <c r="E996" s="208"/>
      <c r="F996" s="208"/>
      <c r="G996" s="208"/>
      <c r="H996" s="233"/>
      <c r="I996" s="234"/>
      <c r="J996" s="208"/>
      <c r="K996" s="208"/>
      <c r="L996" s="208"/>
      <c r="M996" s="208"/>
      <c r="N996" s="208"/>
      <c r="O996" s="208"/>
      <c r="P996" s="208"/>
      <c r="Q996" s="208"/>
      <c r="R996" s="208"/>
      <c r="S996" s="208"/>
      <c r="T996" s="208"/>
      <c r="U996" s="208"/>
      <c r="V996" s="208"/>
      <c r="W996" s="208"/>
      <c r="X996" s="208"/>
      <c r="Y996" s="208"/>
      <c r="Z996" s="208"/>
      <c r="AA996" s="208"/>
      <c r="AB996" s="208"/>
      <c r="AC996" s="208"/>
      <c r="AD996" s="208"/>
      <c r="AE996" s="208"/>
      <c r="AF996" s="208"/>
      <c r="AG996" s="208"/>
      <c r="AH996" s="208"/>
      <c r="AI996" s="208"/>
      <c r="AJ996" s="208"/>
      <c r="AK996" s="208"/>
    </row>
    <row r="997">
      <c r="A997" s="208"/>
      <c r="B997" s="208"/>
      <c r="C997" s="208"/>
      <c r="D997" s="208"/>
      <c r="E997" s="208"/>
      <c r="F997" s="208"/>
      <c r="G997" s="208"/>
      <c r="H997" s="233"/>
      <c r="I997" s="234"/>
      <c r="J997" s="208"/>
      <c r="K997" s="208"/>
      <c r="L997" s="208"/>
      <c r="M997" s="208"/>
      <c r="N997" s="208"/>
      <c r="O997" s="208"/>
      <c r="P997" s="208"/>
      <c r="Q997" s="208"/>
      <c r="R997" s="208"/>
      <c r="S997" s="208"/>
      <c r="T997" s="208"/>
      <c r="U997" s="208"/>
      <c r="V997" s="208"/>
      <c r="W997" s="208"/>
      <c r="X997" s="208"/>
      <c r="Y997" s="208"/>
      <c r="Z997" s="208"/>
      <c r="AA997" s="208"/>
      <c r="AB997" s="208"/>
      <c r="AC997" s="208"/>
      <c r="AD997" s="208"/>
      <c r="AE997" s="208"/>
      <c r="AF997" s="208"/>
      <c r="AG997" s="208"/>
      <c r="AH997" s="208"/>
      <c r="AI997" s="208"/>
      <c r="AJ997" s="208"/>
      <c r="AK997" s="208"/>
    </row>
    <row r="998">
      <c r="A998" s="208"/>
      <c r="B998" s="208"/>
      <c r="C998" s="208"/>
      <c r="D998" s="208"/>
      <c r="E998" s="208"/>
      <c r="F998" s="208"/>
      <c r="G998" s="208"/>
      <c r="H998" s="233"/>
      <c r="I998" s="234"/>
      <c r="J998" s="208"/>
      <c r="K998" s="208"/>
      <c r="L998" s="208"/>
      <c r="M998" s="208"/>
      <c r="N998" s="208"/>
      <c r="O998" s="208"/>
      <c r="P998" s="208"/>
      <c r="Q998" s="208"/>
      <c r="R998" s="208"/>
      <c r="S998" s="208"/>
      <c r="T998" s="208"/>
      <c r="U998" s="208"/>
      <c r="V998" s="208"/>
      <c r="W998" s="208"/>
      <c r="X998" s="208"/>
      <c r="Y998" s="208"/>
      <c r="Z998" s="208"/>
      <c r="AA998" s="208"/>
      <c r="AB998" s="208"/>
      <c r="AC998" s="208"/>
      <c r="AD998" s="208"/>
      <c r="AE998" s="208"/>
      <c r="AF998" s="208"/>
      <c r="AG998" s="208"/>
      <c r="AH998" s="208"/>
      <c r="AI998" s="208"/>
      <c r="AJ998" s="208"/>
      <c r="AK998" s="208"/>
    </row>
    <row r="999">
      <c r="A999" s="208"/>
      <c r="B999" s="208"/>
      <c r="C999" s="208"/>
      <c r="D999" s="208"/>
      <c r="E999" s="208"/>
      <c r="F999" s="208"/>
      <c r="G999" s="208"/>
      <c r="H999" s="233"/>
      <c r="I999" s="234"/>
      <c r="J999" s="208"/>
      <c r="K999" s="208"/>
      <c r="L999" s="208"/>
      <c r="M999" s="208"/>
      <c r="N999" s="208"/>
      <c r="O999" s="208"/>
      <c r="P999" s="208"/>
      <c r="Q999" s="208"/>
      <c r="R999" s="208"/>
      <c r="S999" s="208"/>
      <c r="T999" s="208"/>
      <c r="U999" s="208"/>
      <c r="V999" s="208"/>
      <c r="W999" s="208"/>
      <c r="X999" s="208"/>
      <c r="Y999" s="208"/>
      <c r="Z999" s="208"/>
      <c r="AA999" s="208"/>
      <c r="AB999" s="208"/>
      <c r="AC999" s="208"/>
      <c r="AD999" s="208"/>
      <c r="AE999" s="208"/>
      <c r="AF999" s="208"/>
      <c r="AG999" s="208"/>
      <c r="AH999" s="208"/>
      <c r="AI999" s="208"/>
      <c r="AJ999" s="208"/>
      <c r="AK999" s="208"/>
    </row>
    <row r="1000">
      <c r="A1000" s="208"/>
      <c r="B1000" s="208"/>
      <c r="C1000" s="208"/>
      <c r="D1000" s="208"/>
      <c r="E1000" s="208"/>
      <c r="F1000" s="208"/>
      <c r="G1000" s="208"/>
      <c r="H1000" s="233"/>
      <c r="I1000" s="234"/>
      <c r="J1000" s="208"/>
      <c r="K1000" s="208"/>
      <c r="L1000" s="208"/>
      <c r="M1000" s="208"/>
      <c r="N1000" s="208"/>
      <c r="O1000" s="208"/>
      <c r="P1000" s="208"/>
      <c r="Q1000" s="208"/>
      <c r="R1000" s="208"/>
      <c r="S1000" s="208"/>
      <c r="T1000" s="208"/>
      <c r="U1000" s="208"/>
      <c r="V1000" s="208"/>
      <c r="W1000" s="208"/>
      <c r="X1000" s="208"/>
      <c r="Y1000" s="208"/>
      <c r="Z1000" s="208"/>
      <c r="AA1000" s="208"/>
      <c r="AB1000" s="208"/>
      <c r="AC1000" s="208"/>
      <c r="AD1000" s="208"/>
      <c r="AE1000" s="208"/>
      <c r="AF1000" s="208"/>
      <c r="AG1000" s="208"/>
      <c r="AH1000" s="208"/>
      <c r="AI1000" s="208"/>
      <c r="AJ1000" s="208"/>
      <c r="AK1000" s="20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7.75"/>
    <col customWidth="1" min="3" max="3" width="17.13"/>
    <col customWidth="1" min="4" max="4" width="23.75"/>
    <col customWidth="1" min="5" max="5" width="22.63"/>
    <col customWidth="1" min="6" max="6" width="38.25"/>
    <col customWidth="1" min="7" max="7" width="45.0"/>
    <col customWidth="1" min="8" max="8" width="37.88"/>
    <col customWidth="1" min="9" max="9" width="74.75"/>
    <col customWidth="1" min="21" max="32" width="14.0"/>
  </cols>
  <sheetData>
    <row r="1">
      <c r="A1" s="235" t="str">
        <f>IFERROR(__xludf.DUMMYFUNCTION("QUERY(Mastersheet!A1:AF1000, ""SELECT * WHERE E = 'VS'"",1)
"),"Date")</f>
        <v>Date</v>
      </c>
      <c r="B1" s="207" t="str">
        <f>IFERROR(__xludf.DUMMYFUNCTION("""COMPUTED_VALUE"""),"Send Time")</f>
        <v>Send Time</v>
      </c>
      <c r="C1" s="207" t="str">
        <f>IFERROR(__xludf.DUMMYFUNCTION("""COMPUTED_VALUE"""),"Channel")</f>
        <v>Channel</v>
      </c>
      <c r="D1" s="207" t="str">
        <f>IFERROR(__xludf.DUMMYFUNCTION("""COMPUTED_VALUE"""),"Campaign Type")</f>
        <v>Campaign Type</v>
      </c>
      <c r="E1" s="207" t="str">
        <f>IFERROR(__xludf.DUMMYFUNCTION("""COMPUTED_VALUE"""),"Brand")</f>
        <v>Brand</v>
      </c>
      <c r="F1" s="207" t="str">
        <f>IFERROR(__xludf.DUMMYFUNCTION("""COMPUTED_VALUE"""),"Master Campaign / Offer Category")</f>
        <v>Master Campaign / Offer Category</v>
      </c>
      <c r="G1" s="207" t="str">
        <f>IFERROR(__xludf.DUMMYFUNCTION("""COMPUTED_VALUE"""),"Campaign Name")</f>
        <v>Campaign Name</v>
      </c>
      <c r="H1" s="207" t="str">
        <f>IFERROR(__xludf.DUMMYFUNCTION("""COMPUTED_VALUE"""),"Segment Name")</f>
        <v>Segment Name</v>
      </c>
      <c r="I1" s="207" t="str">
        <f>IFERROR(__xludf.DUMMYFUNCTION("""COMPUTED_VALUE"""),"Segment Logic")</f>
        <v>Segment Logic</v>
      </c>
      <c r="J1" s="207" t="str">
        <f>IFERROR(__xludf.DUMMYFUNCTION("""COMPUTED_VALUE"""),"Total Sent")</f>
        <v>Total Sent</v>
      </c>
      <c r="K1" s="207" t="str">
        <f>IFERROR(__xludf.DUMMYFUNCTION("""COMPUTED_VALUE"""),"Total Delivered")</f>
        <v>Total Delivered</v>
      </c>
      <c r="L1" s="207" t="str">
        <f>IFERROR(__xludf.DUMMYFUNCTION("""COMPUTED_VALUE"""),"Delivery Rate")</f>
        <v>Delivery Rate</v>
      </c>
      <c r="M1" s="207" t="str">
        <f>IFERROR(__xludf.DUMMYFUNCTION("""COMPUTED_VALUE"""),"Total Read")</f>
        <v>Total Read</v>
      </c>
      <c r="N1" s="207" t="str">
        <f>IFERROR(__xludf.DUMMYFUNCTION("""COMPUTED_VALUE"""),"Read Rate")</f>
        <v>Read Rate</v>
      </c>
      <c r="O1" s="207" t="str">
        <f>IFERROR(__xludf.DUMMYFUNCTION("""COMPUTED_VALUE"""),"Total Clicks")</f>
        <v>Total Clicks</v>
      </c>
      <c r="P1" s="207" t="str">
        <f>IFERROR(__xludf.DUMMYFUNCTION("""COMPUTED_VALUE"""),"Unique Clicks")</f>
        <v>Unique Clicks</v>
      </c>
      <c r="Q1" s="207" t="str">
        <f>IFERROR(__xludf.DUMMYFUNCTION("""COMPUTED_VALUE"""),"CTR")</f>
        <v>CTR</v>
      </c>
      <c r="R1" s="207" t="str">
        <f>IFERROR(__xludf.DUMMYFUNCTION("""COMPUTED_VALUE"""),"Click to Open Rate")</f>
        <v>Click to Open Rate</v>
      </c>
      <c r="S1" s="207" t="str">
        <f>IFERROR(__xludf.DUMMYFUNCTION("""COMPUTED_VALUE"""),"Goal 1 Conversions")</f>
        <v>Goal 1 Conversions</v>
      </c>
      <c r="T1" s="207" t="str">
        <f>IFERROR(__xludf.DUMMYFUNCTION("""COMPUTED_VALUE"""),"Goal 2 Add to Cart")</f>
        <v>Goal 2 Add to Cart</v>
      </c>
      <c r="U1" s="207" t="str">
        <f>IFERROR(__xludf.DUMMYFUNCTION("""COMPUTED_VALUE"""),"Total Campaign Revenue INR")</f>
        <v>Total Campaign Revenue INR</v>
      </c>
      <c r="V1" s="207" t="str">
        <f>IFERROR(__xludf.DUMMYFUNCTION("""COMPUTED_VALUE"""),"Campaign Channel Type")</f>
        <v>Campaign Channel Type</v>
      </c>
      <c r="W1" s="207" t="str">
        <f>IFERROR(__xludf.DUMMYFUNCTION("""COMPUTED_VALUE"""),"Template Type")</f>
        <v>Template Type</v>
      </c>
      <c r="X1" s="207" t="str">
        <f>IFERROR(__xludf.DUMMYFUNCTION("""COMPUTED_VALUE"""),"Segment Customer Base Type")</f>
        <v>Segment Customer Base Type</v>
      </c>
      <c r="Y1" s="207" t="str">
        <f>IFERROR(__xludf.DUMMYFUNCTION("""COMPUTED_VALUE"""),"Track Goals for")</f>
        <v>Track Goals for</v>
      </c>
      <c r="Z1" s="207" t="str">
        <f>IFERROR(__xludf.DUMMYFUNCTION("""COMPUTED_VALUE"""),"Campaign ID")</f>
        <v>Campaign ID</v>
      </c>
      <c r="AA1" s="207" t="str">
        <f>IFERROR(__xludf.DUMMYFUNCTION("""COMPUTED_VALUE"""),"Campaign Purchased Customers")</f>
        <v>Campaign Purchased Customers</v>
      </c>
      <c r="AB1" s="207" t="str">
        <f>IFERROR(__xludf.DUMMYFUNCTION("""COMPUTED_VALUE"""),"Campaign Purchased Customers - Online")</f>
        <v>Campaign Purchased Customers - Online</v>
      </c>
      <c r="AC1" s="207" t="str">
        <f>IFERROR(__xludf.DUMMYFUNCTION("""COMPUTED_VALUE"""),"Campaign Purchased Customers - Offline")</f>
        <v>Campaign Purchased Customers - Offline</v>
      </c>
      <c r="AD1" s="207" t="str">
        <f>IFERROR(__xludf.DUMMYFUNCTION("""COMPUTED_VALUE"""),"Influenced Revenue")</f>
        <v>Influenced Revenue</v>
      </c>
      <c r="AE1" s="207" t="str">
        <f>IFERROR(__xludf.DUMMYFUNCTION("""COMPUTED_VALUE"""),"Influenced Revenue - Online")</f>
        <v>Influenced Revenue - Online</v>
      </c>
      <c r="AF1" s="207" t="str">
        <f>IFERROR(__xludf.DUMMYFUNCTION("""COMPUTED_VALUE"""),"Influenced Revenue - Offline")</f>
        <v>Influenced Revenue - Offline</v>
      </c>
      <c r="AG1" s="236"/>
      <c r="AH1" s="236"/>
      <c r="AI1" s="236"/>
      <c r="AJ1" s="236"/>
      <c r="AK1" s="236"/>
    </row>
    <row r="2">
      <c r="A2" s="237">
        <f>IFERROR(__xludf.DUMMYFUNCTION("""COMPUTED_VALUE"""),46031.0)</f>
        <v>46031</v>
      </c>
      <c r="B2" s="238">
        <f>IFERROR(__xludf.DUMMYFUNCTION("""COMPUTED_VALUE"""),0.7083333333321207)</f>
        <v>0.7083333333</v>
      </c>
      <c r="C2" s="96" t="str">
        <f>IFERROR(__xludf.DUMMYFUNCTION("""COMPUTED_VALUE"""),"Whatsapp")</f>
        <v>Whatsapp</v>
      </c>
      <c r="D2" s="212" t="str">
        <f>IFERROR(__xludf.DUMMYFUNCTION("""COMPUTED_VALUE"""),"Fallback Campaign")</f>
        <v>Fallback Campaign</v>
      </c>
      <c r="E2" s="96" t="str">
        <f>IFERROR(__xludf.DUMMYFUNCTION("""COMPUTED_VALUE"""),"VS")</f>
        <v>VS</v>
      </c>
      <c r="F2" s="212" t="str">
        <f>IFERROR(__xludf.DUMMYFUNCTION("""COMPUTED_VALUE"""),"SAS 50% OFF")</f>
        <v>SAS 50% OFF</v>
      </c>
      <c r="G2" s="212" t="str">
        <f>IFERROR(__xludf.DUMMYFUNCTION("""COMPUTED_VALUE"""),"SAS Jan - 50% OFF - Discount Shoppers Fallback")</f>
        <v>SAS Jan - 50% OFF - Discount Shoppers Fallback</v>
      </c>
      <c r="H2" s="28" t="str">
        <f>IFERROR(__xludf.DUMMYFUNCTION("""COMPUTED_VALUE"""),"DiscountShoppers_Flat50%_Jan2026")</f>
        <v>DiscountShoppers_Flat50%_Jan2026</v>
      </c>
      <c r="I2" s="28" t="str">
        <f>IFERROR(__xludf.DUMMYFUNCTION("""COMPUTED_VALUE"""),"RCS Undelivered ")</f>
        <v>RCS Undelivered </v>
      </c>
      <c r="J2" s="239">
        <f>IFERROR(__xludf.DUMMYFUNCTION("""COMPUTED_VALUE"""),10411.0)</f>
        <v>10411</v>
      </c>
      <c r="K2" s="240">
        <f>IFERROR(__xludf.DUMMYFUNCTION("""COMPUTED_VALUE"""),5127.0)</f>
        <v>5127</v>
      </c>
      <c r="L2" s="241">
        <f>IFERROR(__xludf.DUMMYFUNCTION("""COMPUTED_VALUE"""),0.4925)</f>
        <v>0.4925</v>
      </c>
      <c r="M2" s="240">
        <f>IFERROR(__xludf.DUMMYFUNCTION("""COMPUTED_VALUE"""),1106.0)</f>
        <v>1106</v>
      </c>
      <c r="N2" s="136">
        <f>IFERROR(__xludf.DUMMYFUNCTION("""COMPUTED_VALUE"""),0.2157)</f>
        <v>0.2157</v>
      </c>
      <c r="O2" s="73">
        <f>IFERROR(__xludf.DUMMYFUNCTION("""COMPUTED_VALUE"""),278.0)</f>
        <v>278</v>
      </c>
      <c r="P2" s="73">
        <f>IFERROR(__xludf.DUMMYFUNCTION("""COMPUTED_VALUE"""),260.0)</f>
        <v>260</v>
      </c>
      <c r="Q2" s="214">
        <f>IFERROR(__xludf.DUMMYFUNCTION("""COMPUTED_VALUE"""),0.0507)</f>
        <v>0.0507</v>
      </c>
      <c r="R2" s="214">
        <f>IFERROR(__xludf.DUMMYFUNCTION("""COMPUTED_VALUE"""),0.2351)</f>
        <v>0.2351</v>
      </c>
      <c r="S2" s="101">
        <f>IFERROR(__xludf.DUMMYFUNCTION("""COMPUTED_VALUE"""),12.0)</f>
        <v>12</v>
      </c>
      <c r="T2" s="222">
        <f>IFERROR(__xludf.DUMMYFUNCTION("""COMPUTED_VALUE"""),28.0)</f>
        <v>28</v>
      </c>
      <c r="U2" s="242">
        <f>IFERROR(__xludf.DUMMYFUNCTION("""COMPUTED_VALUE"""),67716.0)</f>
        <v>67716</v>
      </c>
      <c r="V2" s="242" t="str">
        <f>IFERROR(__xludf.DUMMYFUNCTION("""COMPUTED_VALUE"""),"overall")</f>
        <v>overall</v>
      </c>
      <c r="W2" s="243" t="str">
        <f>IFERROR(__xludf.DUMMYFUNCTION("""COMPUTED_VALUE"""),"simple")</f>
        <v>simple</v>
      </c>
      <c r="X2" s="243" t="str">
        <f>IFERROR(__xludf.DUMMYFUNCTION("""COMPUTED_VALUE"""),"Discount Shopper")</f>
        <v>Discount Shopper</v>
      </c>
      <c r="Y2" s="243" t="str">
        <f>IFERROR(__xludf.DUMMYFUNCTION("""COMPUTED_VALUE"""),"09th - 22nd Jan")</f>
        <v>09th - 22nd Jan</v>
      </c>
      <c r="Z2" s="243" t="str">
        <f>IFERROR(__xludf.DUMMYFUNCTION("""COMPUTED_VALUE"""),"6960cd6268356eaee0abfede")</f>
        <v>6960cd6268356eaee0abfede</v>
      </c>
      <c r="AA2" s="243">
        <f>IFERROR(__xludf.DUMMYFUNCTION("""COMPUTED_VALUE"""),223.0)</f>
        <v>223</v>
      </c>
      <c r="AB2" s="243">
        <f>IFERROR(__xludf.DUMMYFUNCTION("""COMPUTED_VALUE"""),194.0)</f>
        <v>194</v>
      </c>
      <c r="AC2" s="243">
        <f>IFERROR(__xludf.DUMMYFUNCTION("""COMPUTED_VALUE"""),29.0)</f>
        <v>29</v>
      </c>
      <c r="AD2" s="243">
        <f>IFERROR(__xludf.DUMMYFUNCTION("""COMPUTED_VALUE"""),1131428.0)</f>
        <v>1131428</v>
      </c>
      <c r="AE2" s="243">
        <f>IFERROR(__xludf.DUMMYFUNCTION("""COMPUTED_VALUE"""),909086.0)</f>
        <v>909086</v>
      </c>
      <c r="AF2" s="243">
        <f>IFERROR(__xludf.DUMMYFUNCTION("""COMPUTED_VALUE"""),222342.0)</f>
        <v>222342</v>
      </c>
      <c r="AG2" s="208"/>
      <c r="AH2" s="208"/>
      <c r="AI2" s="208"/>
      <c r="AJ2" s="208"/>
      <c r="AK2" s="208"/>
    </row>
    <row r="3">
      <c r="A3" s="237">
        <f>IFERROR(__xludf.DUMMYFUNCTION("""COMPUTED_VALUE"""),46031.0)</f>
        <v>46031</v>
      </c>
      <c r="B3" s="238">
        <f>IFERROR(__xludf.DUMMYFUNCTION("""COMPUTED_VALUE"""),0.71875)</f>
        <v>0.71875</v>
      </c>
      <c r="C3" s="96" t="str">
        <f>IFERROR(__xludf.DUMMYFUNCTION("""COMPUTED_VALUE"""),"Whatsapp")</f>
        <v>Whatsapp</v>
      </c>
      <c r="D3" s="212" t="str">
        <f>IFERROR(__xludf.DUMMYFUNCTION("""COMPUTED_VALUE"""),"Fallback Campaign")</f>
        <v>Fallback Campaign</v>
      </c>
      <c r="E3" s="96" t="str">
        <f>IFERROR(__xludf.DUMMYFUNCTION("""COMPUTED_VALUE"""),"VS")</f>
        <v>VS</v>
      </c>
      <c r="F3" s="212" t="str">
        <f>IFERROR(__xludf.DUMMYFUNCTION("""COMPUTED_VALUE"""),"SAS 50% OFF")</f>
        <v>SAS 50% OFF</v>
      </c>
      <c r="G3" s="212" t="str">
        <f>IFERROR(__xludf.DUMMYFUNCTION("""COMPUTED_VALUE"""),"SAS Jan - 50% OFF - Generic CX - Fallback")</f>
        <v>SAS Jan - 50% OFF - Generic CX - Fallback</v>
      </c>
      <c r="H3" s="28" t="str">
        <f>IFERROR(__xludf.DUMMYFUNCTION("""COMPUTED_VALUE"""),"GenericApparel_Jan2026")</f>
        <v>GenericApparel_Jan2026</v>
      </c>
      <c r="I3" s="28" t="str">
        <f>IFERROR(__xludf.DUMMYFUNCTION("""COMPUTED_VALUE"""),"RCS Undelivered ")</f>
        <v>RCS Undelivered </v>
      </c>
      <c r="J3" s="239">
        <f>IFERROR(__xludf.DUMMYFUNCTION("""COMPUTED_VALUE"""),38077.0)</f>
        <v>38077</v>
      </c>
      <c r="K3" s="240">
        <f>IFERROR(__xludf.DUMMYFUNCTION("""COMPUTED_VALUE"""),19630.0)</f>
        <v>19630</v>
      </c>
      <c r="L3" s="241">
        <f>IFERROR(__xludf.DUMMYFUNCTION("""COMPUTED_VALUE"""),0.5155)</f>
        <v>0.5155</v>
      </c>
      <c r="M3" s="240">
        <f>IFERROR(__xludf.DUMMYFUNCTION("""COMPUTED_VALUE"""),3856.0)</f>
        <v>3856</v>
      </c>
      <c r="N3" s="136">
        <f>IFERROR(__xludf.DUMMYFUNCTION("""COMPUTED_VALUE"""),0.1964)</f>
        <v>0.1964</v>
      </c>
      <c r="O3" s="73">
        <f>IFERROR(__xludf.DUMMYFUNCTION("""COMPUTED_VALUE"""),758.0)</f>
        <v>758</v>
      </c>
      <c r="P3" s="73">
        <f>IFERROR(__xludf.DUMMYFUNCTION("""COMPUTED_VALUE"""),698.0)</f>
        <v>698</v>
      </c>
      <c r="Q3" s="214">
        <f>IFERROR(__xludf.DUMMYFUNCTION("""COMPUTED_VALUE"""),0.0356)</f>
        <v>0.0356</v>
      </c>
      <c r="R3" s="214">
        <f>IFERROR(__xludf.DUMMYFUNCTION("""COMPUTED_VALUE"""),0.181)</f>
        <v>0.181</v>
      </c>
      <c r="S3" s="101">
        <f>IFERROR(__xludf.DUMMYFUNCTION("""COMPUTED_VALUE"""),8.0)</f>
        <v>8</v>
      </c>
      <c r="T3" s="222">
        <f>IFERROR(__xludf.DUMMYFUNCTION("""COMPUTED_VALUE"""),11.0)</f>
        <v>11</v>
      </c>
      <c r="U3" s="242">
        <f>IFERROR(__xludf.DUMMYFUNCTION("""COMPUTED_VALUE"""),108997.0)</f>
        <v>108997</v>
      </c>
      <c r="V3" s="242" t="str">
        <f>IFERROR(__xludf.DUMMYFUNCTION("""COMPUTED_VALUE"""),"overall")</f>
        <v>overall</v>
      </c>
      <c r="W3" s="243" t="str">
        <f>IFERROR(__xludf.DUMMYFUNCTION("""COMPUTED_VALUE"""),"simple")</f>
        <v>simple</v>
      </c>
      <c r="X3" s="243" t="str">
        <f>IFERROR(__xludf.DUMMYFUNCTION("""COMPUTED_VALUE"""),"Generic")</f>
        <v>Generic</v>
      </c>
      <c r="Y3" s="243" t="str">
        <f>IFERROR(__xludf.DUMMYFUNCTION("""COMPUTED_VALUE"""),"09th - 22nd Jan")</f>
        <v>09th - 22nd Jan</v>
      </c>
      <c r="Z3" s="243" t="str">
        <f>IFERROR(__xludf.DUMMYFUNCTION("""COMPUTED_VALUE"""),"6960cfc0a3510138c86f6610")</f>
        <v>6960cfc0a3510138c86f6610</v>
      </c>
      <c r="AA3" s="243">
        <f>IFERROR(__xludf.DUMMYFUNCTION("""COMPUTED_VALUE"""),305.0)</f>
        <v>305</v>
      </c>
      <c r="AB3" s="243">
        <f>IFERROR(__xludf.DUMMYFUNCTION("""COMPUTED_VALUE"""),157.0)</f>
        <v>157</v>
      </c>
      <c r="AC3" s="243">
        <f>IFERROR(__xludf.DUMMYFUNCTION("""COMPUTED_VALUE"""),148.0)</f>
        <v>148</v>
      </c>
      <c r="AD3" s="243">
        <f>IFERROR(__xludf.DUMMYFUNCTION("""COMPUTED_VALUE"""),2223973.0)</f>
        <v>2223973</v>
      </c>
      <c r="AE3" s="243">
        <f>IFERROR(__xludf.DUMMYFUNCTION("""COMPUTED_VALUE"""),821283.0)</f>
        <v>821283</v>
      </c>
      <c r="AF3" s="243">
        <f>IFERROR(__xludf.DUMMYFUNCTION("""COMPUTED_VALUE"""),1402690.0)</f>
        <v>1402690</v>
      </c>
      <c r="AG3" s="208"/>
      <c r="AH3" s="208"/>
      <c r="AI3" s="208"/>
      <c r="AJ3" s="208"/>
      <c r="AK3" s="208"/>
    </row>
    <row r="4">
      <c r="A4" s="237">
        <f>IFERROR(__xludf.DUMMYFUNCTION("""COMPUTED_VALUE"""),46031.0)</f>
        <v>46031</v>
      </c>
      <c r="B4" s="238">
        <f>IFERROR(__xludf.DUMMYFUNCTION("""COMPUTED_VALUE"""),0.7118055555547471)</f>
        <v>0.7118055556</v>
      </c>
      <c r="C4" s="96" t="str">
        <f>IFERROR(__xludf.DUMMYFUNCTION("""COMPUTED_VALUE"""),"Whatsapp")</f>
        <v>Whatsapp</v>
      </c>
      <c r="D4" s="212" t="str">
        <f>IFERROR(__xludf.DUMMYFUNCTION("""COMPUTED_VALUE"""),"Fallback Campaign")</f>
        <v>Fallback Campaign</v>
      </c>
      <c r="E4" s="96" t="str">
        <f>IFERROR(__xludf.DUMMYFUNCTION("""COMPUTED_VALUE"""),"VS")</f>
        <v>VS</v>
      </c>
      <c r="F4" s="212" t="str">
        <f>IFERROR(__xludf.DUMMYFUNCTION("""COMPUTED_VALUE"""),"SAS 50% OFF")</f>
        <v>SAS 50% OFF</v>
      </c>
      <c r="G4" s="212" t="str">
        <f>IFERROR(__xludf.DUMMYFUNCTION("""COMPUTED_VALUE"""),"SAS Jan - 50% OFF - Active Recent - Fallback")</f>
        <v>SAS Jan - 50% OFF - Active Recent - Fallback</v>
      </c>
      <c r="H4" s="28" t="str">
        <f>IFERROR(__xludf.DUMMYFUNCTION("""COMPUTED_VALUE"""),"Predom_RecentApparel_Jan2026")</f>
        <v>Predom_RecentApparel_Jan2026</v>
      </c>
      <c r="I4" s="28" t="str">
        <f>IFERROR(__xludf.DUMMYFUNCTION("""COMPUTED_VALUE"""),"RCS Undelivered ")</f>
        <v>RCS Undelivered </v>
      </c>
      <c r="J4" s="239">
        <f>IFERROR(__xludf.DUMMYFUNCTION("""COMPUTED_VALUE"""),19800.0)</f>
        <v>19800</v>
      </c>
      <c r="K4" s="240">
        <f>IFERROR(__xludf.DUMMYFUNCTION("""COMPUTED_VALUE"""),9296.0)</f>
        <v>9296</v>
      </c>
      <c r="L4" s="241">
        <f>IFERROR(__xludf.DUMMYFUNCTION("""COMPUTED_VALUE"""),0.4695)</f>
        <v>0.4695</v>
      </c>
      <c r="M4" s="240">
        <f>IFERROR(__xludf.DUMMYFUNCTION("""COMPUTED_VALUE"""),2016.0)</f>
        <v>2016</v>
      </c>
      <c r="N4" s="136">
        <f>IFERROR(__xludf.DUMMYFUNCTION("""COMPUTED_VALUE"""),0.2169)</f>
        <v>0.2169</v>
      </c>
      <c r="O4" s="73">
        <f>IFERROR(__xludf.DUMMYFUNCTION("""COMPUTED_VALUE"""),608.0)</f>
        <v>608</v>
      </c>
      <c r="P4" s="73">
        <f>IFERROR(__xludf.DUMMYFUNCTION("""COMPUTED_VALUE"""),557.0)</f>
        <v>557</v>
      </c>
      <c r="Q4" s="214">
        <f>IFERROR(__xludf.DUMMYFUNCTION("""COMPUTED_VALUE"""),0.0599)</f>
        <v>0.0599</v>
      </c>
      <c r="R4" s="214">
        <f>IFERROR(__xludf.DUMMYFUNCTION("""COMPUTED_VALUE"""),0.2763)</f>
        <v>0.2763</v>
      </c>
      <c r="S4" s="101">
        <f>IFERROR(__xludf.DUMMYFUNCTION("""COMPUTED_VALUE"""),18.0)</f>
        <v>18</v>
      </c>
      <c r="T4" s="222">
        <f>IFERROR(__xludf.DUMMYFUNCTION("""COMPUTED_VALUE"""),45.0)</f>
        <v>45</v>
      </c>
      <c r="U4" s="242">
        <f>IFERROR(__xludf.DUMMYFUNCTION("""COMPUTED_VALUE"""),114776.0)</f>
        <v>114776</v>
      </c>
      <c r="V4" s="242" t="str">
        <f>IFERROR(__xludf.DUMMYFUNCTION("""COMPUTED_VALUE"""),"overall")</f>
        <v>overall</v>
      </c>
      <c r="W4" s="243" t="str">
        <f>IFERROR(__xludf.DUMMYFUNCTION("""COMPUTED_VALUE"""),"simple")</f>
        <v>simple</v>
      </c>
      <c r="X4" s="243" t="str">
        <f>IFERROR(__xludf.DUMMYFUNCTION("""COMPUTED_VALUE"""),"Recent")</f>
        <v>Recent</v>
      </c>
      <c r="Y4" s="243" t="str">
        <f>IFERROR(__xludf.DUMMYFUNCTION("""COMPUTED_VALUE"""),"09th - 22nd Jan")</f>
        <v>09th - 22nd Jan</v>
      </c>
      <c r="Z4" s="243" t="str">
        <f>IFERROR(__xludf.DUMMYFUNCTION("""COMPUTED_VALUE"""),"6960cfccf490a7e254d07ef2")</f>
        <v>6960cfccf490a7e254d07ef2</v>
      </c>
      <c r="AA4" s="243">
        <f>IFERROR(__xludf.DUMMYFUNCTION("""COMPUTED_VALUE"""),479.0)</f>
        <v>479</v>
      </c>
      <c r="AB4" s="243">
        <f>IFERROR(__xludf.DUMMYFUNCTION("""COMPUTED_VALUE"""),247.0)</f>
        <v>247</v>
      </c>
      <c r="AC4" s="243">
        <f>IFERROR(__xludf.DUMMYFUNCTION("""COMPUTED_VALUE"""),232.0)</f>
        <v>232</v>
      </c>
      <c r="AD4" s="243">
        <f>IFERROR(__xludf.DUMMYFUNCTION("""COMPUTED_VALUE"""),3893922.0)</f>
        <v>3893922</v>
      </c>
      <c r="AE4" s="243">
        <f>IFERROR(__xludf.DUMMYFUNCTION("""COMPUTED_VALUE"""),1488135.0)</f>
        <v>1488135</v>
      </c>
      <c r="AF4" s="243">
        <f>IFERROR(__xludf.DUMMYFUNCTION("""COMPUTED_VALUE"""),2405787.0)</f>
        <v>2405787</v>
      </c>
      <c r="AG4" s="208"/>
      <c r="AH4" s="208"/>
      <c r="AI4" s="208"/>
      <c r="AJ4" s="208"/>
      <c r="AK4" s="208"/>
    </row>
    <row r="5">
      <c r="A5" s="237">
        <f>IFERROR(__xludf.DUMMYFUNCTION("""COMPUTED_VALUE"""),46031.0)</f>
        <v>46031</v>
      </c>
      <c r="B5" s="238">
        <f>IFERROR(__xludf.DUMMYFUNCTION("""COMPUTED_VALUE"""),0.7152777777773736)</f>
        <v>0.7152777778</v>
      </c>
      <c r="C5" s="96" t="str">
        <f>IFERROR(__xludf.DUMMYFUNCTION("""COMPUTED_VALUE"""),"Whatsapp")</f>
        <v>Whatsapp</v>
      </c>
      <c r="D5" s="212" t="str">
        <f>IFERROR(__xludf.DUMMYFUNCTION("""COMPUTED_VALUE"""),"Fallback Campaign")</f>
        <v>Fallback Campaign</v>
      </c>
      <c r="E5" s="96" t="str">
        <f>IFERROR(__xludf.DUMMYFUNCTION("""COMPUTED_VALUE"""),"VS")</f>
        <v>VS</v>
      </c>
      <c r="F5" s="212" t="str">
        <f>IFERROR(__xludf.DUMMYFUNCTION("""COMPUTED_VALUE"""),"SAS 50% OFF")</f>
        <v>SAS 50% OFF</v>
      </c>
      <c r="G5" s="212" t="str">
        <f>IFERROR(__xludf.DUMMYFUNCTION("""COMPUTED_VALUE"""),"SAS Jan - 50% OFF - Repeat Fallback")</f>
        <v>SAS Jan - 50% OFF - Repeat Fallback</v>
      </c>
      <c r="H5" s="28" t="str">
        <f>IFERROR(__xludf.DUMMYFUNCTION("""COMPUTED_VALUE"""),"RepeatApparel_Jan2026")</f>
        <v>RepeatApparel_Jan2026</v>
      </c>
      <c r="I5" s="28" t="str">
        <f>IFERROR(__xludf.DUMMYFUNCTION("""COMPUTED_VALUE"""),"RCS Undelivered ")</f>
        <v>RCS Undelivered </v>
      </c>
      <c r="J5" s="239">
        <f>IFERROR(__xludf.DUMMYFUNCTION("""COMPUTED_VALUE"""),19867.0)</f>
        <v>19867</v>
      </c>
      <c r="K5" s="240">
        <f>IFERROR(__xludf.DUMMYFUNCTION("""COMPUTED_VALUE"""),8522.0)</f>
        <v>8522</v>
      </c>
      <c r="L5" s="241">
        <f>IFERROR(__xludf.DUMMYFUNCTION("""COMPUTED_VALUE"""),0.429)</f>
        <v>0.429</v>
      </c>
      <c r="M5" s="240">
        <f>IFERROR(__xludf.DUMMYFUNCTION("""COMPUTED_VALUE"""),1390.0)</f>
        <v>1390</v>
      </c>
      <c r="N5" s="136">
        <f>IFERROR(__xludf.DUMMYFUNCTION("""COMPUTED_VALUE"""),0.1631)</f>
        <v>0.1631</v>
      </c>
      <c r="O5" s="73">
        <f>IFERROR(__xludf.DUMMYFUNCTION("""COMPUTED_VALUE"""),317.0)</f>
        <v>317</v>
      </c>
      <c r="P5" s="73">
        <f>IFERROR(__xludf.DUMMYFUNCTION("""COMPUTED_VALUE"""),281.0)</f>
        <v>281</v>
      </c>
      <c r="Q5" s="214">
        <f>IFERROR(__xludf.DUMMYFUNCTION("""COMPUTED_VALUE"""),0.033)</f>
        <v>0.033</v>
      </c>
      <c r="R5" s="214">
        <f>IFERROR(__xludf.DUMMYFUNCTION("""COMPUTED_VALUE"""),0.2022)</f>
        <v>0.2022</v>
      </c>
      <c r="S5" s="101">
        <f>IFERROR(__xludf.DUMMYFUNCTION("""COMPUTED_VALUE"""),7.0)</f>
        <v>7</v>
      </c>
      <c r="T5" s="222">
        <f>IFERROR(__xludf.DUMMYFUNCTION("""COMPUTED_VALUE"""),0.0)</f>
        <v>0</v>
      </c>
      <c r="U5" s="242">
        <f>IFERROR(__xludf.DUMMYFUNCTION("""COMPUTED_VALUE"""),30304.0)</f>
        <v>30304</v>
      </c>
      <c r="V5" s="242" t="str">
        <f>IFERROR(__xludf.DUMMYFUNCTION("""COMPUTED_VALUE"""),"overall")</f>
        <v>overall</v>
      </c>
      <c r="W5" s="243" t="str">
        <f>IFERROR(__xludf.DUMMYFUNCTION("""COMPUTED_VALUE"""),"simple")</f>
        <v>simple</v>
      </c>
      <c r="X5" s="243" t="str">
        <f>IFERROR(__xludf.DUMMYFUNCTION("""COMPUTED_VALUE"""),"Repeat")</f>
        <v>Repeat</v>
      </c>
      <c r="Y5" s="243" t="str">
        <f>IFERROR(__xludf.DUMMYFUNCTION("""COMPUTED_VALUE"""),"09th - 22nd Jan")</f>
        <v>09th - 22nd Jan</v>
      </c>
      <c r="Z5" s="243" t="str">
        <f>IFERROR(__xludf.DUMMYFUNCTION("""COMPUTED_VALUE"""),"6960d00354ac0d16e902986e")</f>
        <v>6960d00354ac0d16e902986e</v>
      </c>
      <c r="AA5" s="243">
        <f>IFERROR(__xludf.DUMMYFUNCTION("""COMPUTED_VALUE"""),376.0)</f>
        <v>376</v>
      </c>
      <c r="AB5" s="243">
        <f>IFERROR(__xludf.DUMMYFUNCTION("""COMPUTED_VALUE"""),195.0)</f>
        <v>195</v>
      </c>
      <c r="AC5" s="243">
        <f>IFERROR(__xludf.DUMMYFUNCTION("""COMPUTED_VALUE"""),181.0)</f>
        <v>181</v>
      </c>
      <c r="AD5" s="243">
        <f>IFERROR(__xludf.DUMMYFUNCTION("""COMPUTED_VALUE"""),3108337.0)</f>
        <v>3108337</v>
      </c>
      <c r="AE5" s="243">
        <f>IFERROR(__xludf.DUMMYFUNCTION("""COMPUTED_VALUE"""),1083434.0)</f>
        <v>1083434</v>
      </c>
      <c r="AF5" s="243">
        <f>IFERROR(__xludf.DUMMYFUNCTION("""COMPUTED_VALUE"""),2024903.0)</f>
        <v>2024903</v>
      </c>
      <c r="AG5" s="208"/>
      <c r="AH5" s="208"/>
      <c r="AI5" s="208"/>
      <c r="AJ5" s="208"/>
      <c r="AK5" s="208"/>
    </row>
    <row r="6">
      <c r="A6" s="237">
        <f>IFERROR(__xludf.DUMMYFUNCTION("""COMPUTED_VALUE"""),46031.0)</f>
        <v>46031</v>
      </c>
      <c r="B6" s="238">
        <f>IFERROR(__xludf.DUMMYFUNCTION("""COMPUTED_VALUE"""),0.625)</f>
        <v>0.625</v>
      </c>
      <c r="C6" s="96" t="str">
        <f>IFERROR(__xludf.DUMMYFUNCTION("""COMPUTED_VALUE"""),"Rcs")</f>
        <v>Rcs</v>
      </c>
      <c r="D6" s="212" t="str">
        <f>IFERROR(__xludf.DUMMYFUNCTION("""COMPUTED_VALUE"""),"Promotional")</f>
        <v>Promotional</v>
      </c>
      <c r="E6" s="96" t="str">
        <f>IFERROR(__xludf.DUMMYFUNCTION("""COMPUTED_VALUE"""),"VS")</f>
        <v>VS</v>
      </c>
      <c r="F6" s="212" t="str">
        <f>IFERROR(__xludf.DUMMYFUNCTION("""COMPUTED_VALUE"""),"SAS 50% OFF")</f>
        <v>SAS 50% OFF</v>
      </c>
      <c r="G6" s="212" t="str">
        <f>IFERROR(__xludf.DUMMYFUNCTION("""COMPUTED_VALUE"""),"SAS Jan - 50% OFF - Discount Shoppers")</f>
        <v>SAS Jan - 50% OFF - Discount Shoppers</v>
      </c>
      <c r="H6" s="28" t="str">
        <f>IFERROR(__xludf.DUMMYFUNCTION("""COMPUTED_VALUE"""),"DiscountShoppers_Flat50%_Jan2026")</f>
        <v>DiscountShoppers_Flat50%_Jan2026</v>
      </c>
      <c r="I6" s="28" t="str">
        <f>IFERROR(__xludf.DUMMYFUNCTION("""COMPUTED_VALUE"""),"Customers who have purchased in greater then 50% Off and excluding personal care, accessories , cosmetics")</f>
        <v>Customers who have purchased in greater then 50% Off and excluding personal care, accessories , cosmetics</v>
      </c>
      <c r="J6" s="239">
        <f>IFERROR(__xludf.DUMMYFUNCTION("""COMPUTED_VALUE"""),12807.0)</f>
        <v>12807</v>
      </c>
      <c r="K6" s="240">
        <f>IFERROR(__xludf.DUMMYFUNCTION("""COMPUTED_VALUE"""),2215.0)</f>
        <v>2215</v>
      </c>
      <c r="L6" s="241">
        <f>IFERROR(__xludf.DUMMYFUNCTION("""COMPUTED_VALUE"""),0.173)</f>
        <v>0.173</v>
      </c>
      <c r="M6" s="240">
        <f>IFERROR(__xludf.DUMMYFUNCTION("""COMPUTED_VALUE"""),389.0)</f>
        <v>389</v>
      </c>
      <c r="N6" s="136">
        <f>IFERROR(__xludf.DUMMYFUNCTION("""COMPUTED_VALUE"""),0.176)</f>
        <v>0.176</v>
      </c>
      <c r="O6" s="73">
        <f>IFERROR(__xludf.DUMMYFUNCTION("""COMPUTED_VALUE"""),55.0)</f>
        <v>55</v>
      </c>
      <c r="P6" s="73"/>
      <c r="Q6" s="214">
        <f>IFERROR(__xludf.DUMMYFUNCTION("""COMPUTED_VALUE"""),0.0248)</f>
        <v>0.0248</v>
      </c>
      <c r="R6" s="214"/>
      <c r="S6" s="101">
        <f>IFERROR(__xludf.DUMMYFUNCTION("""COMPUTED_VALUE"""),4.0)</f>
        <v>4</v>
      </c>
      <c r="T6" s="222">
        <f>IFERROR(__xludf.DUMMYFUNCTION("""COMPUTED_VALUE"""),15.0)</f>
        <v>15</v>
      </c>
      <c r="U6" s="242">
        <f>IFERROR(__xludf.DUMMYFUNCTION("""COMPUTED_VALUE"""),9589.0)</f>
        <v>9589</v>
      </c>
      <c r="V6" s="242" t="str">
        <f>IFERROR(__xludf.DUMMYFUNCTION("""COMPUTED_VALUE"""),"overall")</f>
        <v>overall</v>
      </c>
      <c r="W6" s="243" t="str">
        <f>IFERROR(__xludf.DUMMYFUNCTION("""COMPUTED_VALUE"""),"RCS")</f>
        <v>RCS</v>
      </c>
      <c r="X6" s="243" t="str">
        <f>IFERROR(__xludf.DUMMYFUNCTION("""COMPUTED_VALUE"""),"Discount Shopper")</f>
        <v>Discount Shopper</v>
      </c>
      <c r="Y6" s="243" t="str">
        <f>IFERROR(__xludf.DUMMYFUNCTION("""COMPUTED_VALUE"""),"09th - 22nd Jan")</f>
        <v>09th - 22nd Jan</v>
      </c>
      <c r="Z6" s="243" t="str">
        <f>IFERROR(__xludf.DUMMYFUNCTION("""COMPUTED_VALUE"""),"6960c7964713953d91855c5f")</f>
        <v>6960c7964713953d91855c5f</v>
      </c>
      <c r="AA6" s="243">
        <f>IFERROR(__xludf.DUMMYFUNCTION("""COMPUTED_VALUE"""),85.0)</f>
        <v>85</v>
      </c>
      <c r="AB6" s="243">
        <f>IFERROR(__xludf.DUMMYFUNCTION("""COMPUTED_VALUE"""),78.0)</f>
        <v>78</v>
      </c>
      <c r="AC6" s="243">
        <f>IFERROR(__xludf.DUMMYFUNCTION("""COMPUTED_VALUE"""),7.0)</f>
        <v>7</v>
      </c>
      <c r="AD6" s="243">
        <f>IFERROR(__xludf.DUMMYFUNCTION("""COMPUTED_VALUE"""),474118.0)</f>
        <v>474118</v>
      </c>
      <c r="AE6" s="243">
        <f>IFERROR(__xludf.DUMMYFUNCTION("""COMPUTED_VALUE"""),380849.0)</f>
        <v>380849</v>
      </c>
      <c r="AF6" s="243">
        <f>IFERROR(__xludf.DUMMYFUNCTION("""COMPUTED_VALUE"""),93269.0)</f>
        <v>93269</v>
      </c>
      <c r="AG6" s="208"/>
      <c r="AH6" s="208"/>
      <c r="AI6" s="208"/>
      <c r="AJ6" s="208"/>
      <c r="AK6" s="208"/>
    </row>
    <row r="7">
      <c r="A7" s="237">
        <f>IFERROR(__xludf.DUMMYFUNCTION("""COMPUTED_VALUE"""),46031.0)</f>
        <v>46031</v>
      </c>
      <c r="B7" s="238">
        <f>IFERROR(__xludf.DUMMYFUNCTION("""COMPUTED_VALUE"""),0.6319444444452529)</f>
        <v>0.6319444444</v>
      </c>
      <c r="C7" s="96" t="str">
        <f>IFERROR(__xludf.DUMMYFUNCTION("""COMPUTED_VALUE"""),"Rcs")</f>
        <v>Rcs</v>
      </c>
      <c r="D7" s="212" t="str">
        <f>IFERROR(__xludf.DUMMYFUNCTION("""COMPUTED_VALUE"""),"Promotional")</f>
        <v>Promotional</v>
      </c>
      <c r="E7" s="96" t="str">
        <f>IFERROR(__xludf.DUMMYFUNCTION("""COMPUTED_VALUE"""),"VS")</f>
        <v>VS</v>
      </c>
      <c r="F7" s="212" t="str">
        <f>IFERROR(__xludf.DUMMYFUNCTION("""COMPUTED_VALUE"""),"SAS 50% OFF")</f>
        <v>SAS 50% OFF</v>
      </c>
      <c r="G7" s="212" t="str">
        <f>IFERROR(__xludf.DUMMYFUNCTION("""COMPUTED_VALUE"""),"SAS Jan - 50% OFF - Repeat")</f>
        <v>SAS Jan - 50% OFF - Repeat</v>
      </c>
      <c r="H7" s="28" t="str">
        <f>IFERROR(__xludf.DUMMYFUNCTION("""COMPUTED_VALUE"""),"RepeatApparel_Jan2026")</f>
        <v>RepeatApparel_Jan2026</v>
      </c>
      <c r="I7" s="28" t="str">
        <f>IFERROR(__xludf.DUMMYFUNCTION("""COMPUTED_VALUE"""),"Predominantely Purchasing Apparel in the last 90 days")</f>
        <v>Predominantely Purchasing Apparel in the last 90 days</v>
      </c>
      <c r="J7" s="239">
        <f>IFERROR(__xludf.DUMMYFUNCTION("""COMPUTED_VALUE"""),22777.0)</f>
        <v>22777</v>
      </c>
      <c r="K7" s="240">
        <f>IFERROR(__xludf.DUMMYFUNCTION("""COMPUTED_VALUE"""),2768.0)</f>
        <v>2768</v>
      </c>
      <c r="L7" s="241">
        <f>IFERROR(__xludf.DUMMYFUNCTION("""COMPUTED_VALUE"""),0.1215)</f>
        <v>0.1215</v>
      </c>
      <c r="M7" s="240">
        <f>IFERROR(__xludf.DUMMYFUNCTION("""COMPUTED_VALUE"""),444.0)</f>
        <v>444</v>
      </c>
      <c r="N7" s="136">
        <f>IFERROR(__xludf.DUMMYFUNCTION("""COMPUTED_VALUE"""),0.16)</f>
        <v>0.16</v>
      </c>
      <c r="O7" s="73">
        <f>IFERROR(__xludf.DUMMYFUNCTION("""COMPUTED_VALUE"""),55.0)</f>
        <v>55</v>
      </c>
      <c r="P7" s="73"/>
      <c r="Q7" s="214">
        <f>IFERROR(__xludf.DUMMYFUNCTION("""COMPUTED_VALUE"""),0.0199)</f>
        <v>0.0199</v>
      </c>
      <c r="R7" s="214"/>
      <c r="S7" s="101">
        <f>IFERROR(__xludf.DUMMYFUNCTION("""COMPUTED_VALUE"""),0.0)</f>
        <v>0</v>
      </c>
      <c r="T7" s="222">
        <f>IFERROR(__xludf.DUMMYFUNCTION("""COMPUTED_VALUE"""),4.0)</f>
        <v>4</v>
      </c>
      <c r="U7" s="242">
        <f>IFERROR(__xludf.DUMMYFUNCTION("""COMPUTED_VALUE"""),0.0)</f>
        <v>0</v>
      </c>
      <c r="V7" s="242" t="str">
        <f>IFERROR(__xludf.DUMMYFUNCTION("""COMPUTED_VALUE"""),"overall")</f>
        <v>overall</v>
      </c>
      <c r="W7" s="243" t="str">
        <f>IFERROR(__xludf.DUMMYFUNCTION("""COMPUTED_VALUE"""),"RCS")</f>
        <v>RCS</v>
      </c>
      <c r="X7" s="243" t="str">
        <f>IFERROR(__xludf.DUMMYFUNCTION("""COMPUTED_VALUE"""),"Repeat")</f>
        <v>Repeat</v>
      </c>
      <c r="Y7" s="243" t="str">
        <f>IFERROR(__xludf.DUMMYFUNCTION("""COMPUTED_VALUE"""),"09th - 22nd Jan")</f>
        <v>09th - 22nd Jan</v>
      </c>
      <c r="Z7" s="243" t="str">
        <f>IFERROR(__xludf.DUMMYFUNCTION("""COMPUTED_VALUE"""),"6960c852f490a7e254d07c49")</f>
        <v>6960c852f490a7e254d07c49</v>
      </c>
      <c r="AA7" s="243">
        <f>IFERROR(__xludf.DUMMYFUNCTION("""COMPUTED_VALUE"""),95.0)</f>
        <v>95</v>
      </c>
      <c r="AB7" s="243">
        <f>IFERROR(__xludf.DUMMYFUNCTION("""COMPUTED_VALUE"""),46.0)</f>
        <v>46</v>
      </c>
      <c r="AC7" s="243">
        <f>IFERROR(__xludf.DUMMYFUNCTION("""COMPUTED_VALUE"""),49.0)</f>
        <v>49</v>
      </c>
      <c r="AD7" s="243">
        <f>IFERROR(__xludf.DUMMYFUNCTION("""COMPUTED_VALUE"""),972262.0)</f>
        <v>972262</v>
      </c>
      <c r="AE7" s="243">
        <f>IFERROR(__xludf.DUMMYFUNCTION("""COMPUTED_VALUE"""),256822.0)</f>
        <v>256822</v>
      </c>
      <c r="AF7" s="243">
        <f>IFERROR(__xludf.DUMMYFUNCTION("""COMPUTED_VALUE"""),715440.0)</f>
        <v>715440</v>
      </c>
      <c r="AG7" s="208"/>
      <c r="AH7" s="208"/>
      <c r="AI7" s="208"/>
      <c r="AJ7" s="208"/>
      <c r="AK7" s="208"/>
    </row>
    <row r="8">
      <c r="A8" s="237">
        <f>IFERROR(__xludf.DUMMYFUNCTION("""COMPUTED_VALUE"""),46031.0)</f>
        <v>46031</v>
      </c>
      <c r="B8" s="238">
        <f>IFERROR(__xludf.DUMMYFUNCTION("""COMPUTED_VALUE"""),0.6284722222226264)</f>
        <v>0.6284722222</v>
      </c>
      <c r="C8" s="96" t="str">
        <f>IFERROR(__xludf.DUMMYFUNCTION("""COMPUTED_VALUE"""),"Rcs")</f>
        <v>Rcs</v>
      </c>
      <c r="D8" s="212" t="str">
        <f>IFERROR(__xludf.DUMMYFUNCTION("""COMPUTED_VALUE"""),"Promotional")</f>
        <v>Promotional</v>
      </c>
      <c r="E8" s="96" t="str">
        <f>IFERROR(__xludf.DUMMYFUNCTION("""COMPUTED_VALUE"""),"VS")</f>
        <v>VS</v>
      </c>
      <c r="F8" s="212" t="str">
        <f>IFERROR(__xludf.DUMMYFUNCTION("""COMPUTED_VALUE"""),"SAS 50% OFF")</f>
        <v>SAS 50% OFF</v>
      </c>
      <c r="G8" s="212" t="str">
        <f>IFERROR(__xludf.DUMMYFUNCTION("""COMPUTED_VALUE"""),"SAS Jan - 50% OFF - Active Recent")</f>
        <v>SAS Jan - 50% OFF - Active Recent</v>
      </c>
      <c r="H8" s="28" t="str">
        <f>IFERROR(__xludf.DUMMYFUNCTION("""COMPUTED_VALUE"""),"Predom_RecentApparel_Jan2026")</f>
        <v>Predom_RecentApparel_Jan2026</v>
      </c>
      <c r="I8" s="28" t="str">
        <f>IFERROR(__xludf.DUMMYFUNCTION("""COMPUTED_VALUE"""),"Customers who have purchased atleast 2 times Apparel")</f>
        <v>Customers who have purchased atleast 2 times Apparel</v>
      </c>
      <c r="J8" s="239">
        <f>IFERROR(__xludf.DUMMYFUNCTION("""COMPUTED_VALUE"""),23072.0)</f>
        <v>23072</v>
      </c>
      <c r="K8" s="240">
        <f>IFERROR(__xludf.DUMMYFUNCTION("""COMPUTED_VALUE"""),3150.0)</f>
        <v>3150</v>
      </c>
      <c r="L8" s="241">
        <f>IFERROR(__xludf.DUMMYFUNCTION("""COMPUTED_VALUE"""),0.1365)</f>
        <v>0.1365</v>
      </c>
      <c r="M8" s="240">
        <f>IFERROR(__xludf.DUMMYFUNCTION("""COMPUTED_VALUE"""),594.0)</f>
        <v>594</v>
      </c>
      <c r="N8" s="136">
        <f>IFERROR(__xludf.DUMMYFUNCTION("""COMPUTED_VALUE"""),0.189)</f>
        <v>0.189</v>
      </c>
      <c r="O8" s="73">
        <f>IFERROR(__xludf.DUMMYFUNCTION("""COMPUTED_VALUE"""),80.0)</f>
        <v>80</v>
      </c>
      <c r="P8" s="73"/>
      <c r="Q8" s="214">
        <f>IFERROR(__xludf.DUMMYFUNCTION("""COMPUTED_VALUE"""),0.0254)</f>
        <v>0.0254</v>
      </c>
      <c r="R8" s="214"/>
      <c r="S8" s="101">
        <f>IFERROR(__xludf.DUMMYFUNCTION("""COMPUTED_VALUE"""),2.0)</f>
        <v>2</v>
      </c>
      <c r="T8" s="222">
        <f>IFERROR(__xludf.DUMMYFUNCTION("""COMPUTED_VALUE"""),15.0)</f>
        <v>15</v>
      </c>
      <c r="U8" s="242">
        <f>IFERROR(__xludf.DUMMYFUNCTION("""COMPUTED_VALUE"""),29350.0)</f>
        <v>29350</v>
      </c>
      <c r="V8" s="242" t="str">
        <f>IFERROR(__xludf.DUMMYFUNCTION("""COMPUTED_VALUE"""),"overall")</f>
        <v>overall</v>
      </c>
      <c r="W8" s="243" t="str">
        <f>IFERROR(__xludf.DUMMYFUNCTION("""COMPUTED_VALUE"""),"RCS")</f>
        <v>RCS</v>
      </c>
      <c r="X8" s="243" t="str">
        <f>IFERROR(__xludf.DUMMYFUNCTION("""COMPUTED_VALUE"""),"Recent")</f>
        <v>Recent</v>
      </c>
      <c r="Y8" s="243" t="str">
        <f>IFERROR(__xludf.DUMMYFUNCTION("""COMPUTED_VALUE"""),"09th - 22nd Jan")</f>
        <v>09th - 22nd Jan</v>
      </c>
      <c r="Z8" s="243" t="str">
        <f>IFERROR(__xludf.DUMMYFUNCTION("""COMPUTED_VALUE"""),"6960c958b4ac937ad9ffed7b")</f>
        <v>6960c958b4ac937ad9ffed7b</v>
      </c>
      <c r="AA8" s="243">
        <f>IFERROR(__xludf.DUMMYFUNCTION("""COMPUTED_VALUE"""),126.0)</f>
        <v>126</v>
      </c>
      <c r="AB8" s="243">
        <f>IFERROR(__xludf.DUMMYFUNCTION("""COMPUTED_VALUE"""),72.0)</f>
        <v>72</v>
      </c>
      <c r="AC8" s="243">
        <f>IFERROR(__xludf.DUMMYFUNCTION("""COMPUTED_VALUE"""),54.0)</f>
        <v>54</v>
      </c>
      <c r="AD8" s="243">
        <f>IFERROR(__xludf.DUMMYFUNCTION("""COMPUTED_VALUE"""),1021367.0)</f>
        <v>1021367</v>
      </c>
      <c r="AE8" s="243">
        <f>IFERROR(__xludf.DUMMYFUNCTION("""COMPUTED_VALUE"""),433952.0)</f>
        <v>433952</v>
      </c>
      <c r="AF8" s="243">
        <f>IFERROR(__xludf.DUMMYFUNCTION("""COMPUTED_VALUE"""),587415.0)</f>
        <v>587415</v>
      </c>
      <c r="AG8" s="208"/>
      <c r="AH8" s="208"/>
      <c r="AI8" s="208"/>
      <c r="AJ8" s="208"/>
      <c r="AK8" s="208"/>
    </row>
    <row r="9">
      <c r="A9" s="237">
        <f>IFERROR(__xludf.DUMMYFUNCTION("""COMPUTED_VALUE"""),46031.0)</f>
        <v>46031</v>
      </c>
      <c r="B9" s="238">
        <f>IFERROR(__xludf.DUMMYFUNCTION("""COMPUTED_VALUE"""),0.6354166666678793)</f>
        <v>0.6354166667</v>
      </c>
      <c r="C9" s="96" t="str">
        <f>IFERROR(__xludf.DUMMYFUNCTION("""COMPUTED_VALUE"""),"Rcs")</f>
        <v>Rcs</v>
      </c>
      <c r="D9" s="212" t="str">
        <f>IFERROR(__xludf.DUMMYFUNCTION("""COMPUTED_VALUE"""),"Promotional")</f>
        <v>Promotional</v>
      </c>
      <c r="E9" s="96" t="str">
        <f>IFERROR(__xludf.DUMMYFUNCTION("""COMPUTED_VALUE"""),"VS")</f>
        <v>VS</v>
      </c>
      <c r="F9" s="212" t="str">
        <f>IFERROR(__xludf.DUMMYFUNCTION("""COMPUTED_VALUE"""),"SAS 50% OFF")</f>
        <v>SAS 50% OFF</v>
      </c>
      <c r="G9" s="212" t="str">
        <f>IFERROR(__xludf.DUMMYFUNCTION("""COMPUTED_VALUE"""),"SAS Jan - 50% OFF - Generic")</f>
        <v>SAS Jan - 50% OFF - Generic</v>
      </c>
      <c r="H9" s="28" t="str">
        <f>IFERROR(__xludf.DUMMYFUNCTION("""COMPUTED_VALUE"""),"GenericApparel_Jan2026")</f>
        <v>GenericApparel_Jan2026</v>
      </c>
      <c r="I9" s="28" t="str">
        <f>IFERROR(__xludf.DUMMYFUNCTION("""COMPUTED_VALUE"""),"Customers who have purchased apparel atleast once")</f>
        <v>Customers who have purchased apparel atleast once</v>
      </c>
      <c r="J9" s="239">
        <f>IFERROR(__xludf.DUMMYFUNCTION("""COMPUTED_VALUE"""),46038.0)</f>
        <v>46038</v>
      </c>
      <c r="K9" s="240">
        <f>IFERROR(__xludf.DUMMYFUNCTION("""COMPUTED_VALUE"""),7608.0)</f>
        <v>7608</v>
      </c>
      <c r="L9" s="241">
        <f>IFERROR(__xludf.DUMMYFUNCTION("""COMPUTED_VALUE"""),0.1653)</f>
        <v>0.1653</v>
      </c>
      <c r="M9" s="240">
        <f>IFERROR(__xludf.DUMMYFUNCTION("""COMPUTED_VALUE"""),1066.0)</f>
        <v>1066</v>
      </c>
      <c r="N9" s="136">
        <f>IFERROR(__xludf.DUMMYFUNCTION("""COMPUTED_VALUE"""),0.14)</f>
        <v>0.14</v>
      </c>
      <c r="O9" s="73">
        <f>IFERROR(__xludf.DUMMYFUNCTION("""COMPUTED_VALUE"""),105.0)</f>
        <v>105</v>
      </c>
      <c r="P9" s="73"/>
      <c r="Q9" s="214">
        <f>IFERROR(__xludf.DUMMYFUNCTION("""COMPUTED_VALUE"""),0.0138)</f>
        <v>0.0138</v>
      </c>
      <c r="R9" s="214"/>
      <c r="S9" s="101">
        <f>IFERROR(__xludf.DUMMYFUNCTION("""COMPUTED_VALUE"""),0.0)</f>
        <v>0</v>
      </c>
      <c r="T9" s="222">
        <f>IFERROR(__xludf.DUMMYFUNCTION("""COMPUTED_VALUE"""),4.0)</f>
        <v>4</v>
      </c>
      <c r="U9" s="242">
        <f>IFERROR(__xludf.DUMMYFUNCTION("""COMPUTED_VALUE"""),0.0)</f>
        <v>0</v>
      </c>
      <c r="V9" s="242" t="str">
        <f>IFERROR(__xludf.DUMMYFUNCTION("""COMPUTED_VALUE"""),"overall")</f>
        <v>overall</v>
      </c>
      <c r="W9" s="243" t="str">
        <f>IFERROR(__xludf.DUMMYFUNCTION("""COMPUTED_VALUE"""),"RCS")</f>
        <v>RCS</v>
      </c>
      <c r="X9" s="243" t="str">
        <f>IFERROR(__xludf.DUMMYFUNCTION("""COMPUTED_VALUE"""),"Generic")</f>
        <v>Generic</v>
      </c>
      <c r="Y9" s="243" t="str">
        <f>IFERROR(__xludf.DUMMYFUNCTION("""COMPUTED_VALUE"""),"09th - 22nd Jan")</f>
        <v>09th - 22nd Jan</v>
      </c>
      <c r="Z9" s="243" t="str">
        <f>IFERROR(__xludf.DUMMYFUNCTION("""COMPUTED_VALUE"""),"6960c9a6d46b854253ecf1a4")</f>
        <v>6960c9a6d46b854253ecf1a4</v>
      </c>
      <c r="AA9" s="243">
        <f>IFERROR(__xludf.DUMMYFUNCTION("""COMPUTED_VALUE"""),50.0)</f>
        <v>50</v>
      </c>
      <c r="AB9" s="243">
        <f>IFERROR(__xludf.DUMMYFUNCTION("""COMPUTED_VALUE"""),26.0)</f>
        <v>26</v>
      </c>
      <c r="AC9" s="243">
        <f>IFERROR(__xludf.DUMMYFUNCTION("""COMPUTED_VALUE"""),24.0)</f>
        <v>24</v>
      </c>
      <c r="AD9" s="243">
        <f>IFERROR(__xludf.DUMMYFUNCTION("""COMPUTED_VALUE"""),334671.0)</f>
        <v>334671</v>
      </c>
      <c r="AE9" s="243">
        <f>IFERROR(__xludf.DUMMYFUNCTION("""COMPUTED_VALUE"""),111883.0)</f>
        <v>111883</v>
      </c>
      <c r="AF9" s="243">
        <f>IFERROR(__xludf.DUMMYFUNCTION("""COMPUTED_VALUE"""),222788.0)</f>
        <v>222788</v>
      </c>
      <c r="AG9" s="208"/>
      <c r="AH9" s="208"/>
      <c r="AI9" s="208"/>
      <c r="AJ9" s="208"/>
      <c r="AK9" s="208"/>
    </row>
    <row r="10">
      <c r="A10" s="237">
        <f>IFERROR(__xludf.DUMMYFUNCTION("""COMPUTED_VALUE"""),46031.0)</f>
        <v>46031</v>
      </c>
      <c r="B10" s="238">
        <f>IFERROR(__xludf.DUMMYFUNCTION("""COMPUTED_VALUE"""),0.7708333333321207)</f>
        <v>0.7708333333</v>
      </c>
      <c r="C10" s="96" t="str">
        <f>IFERROR(__xludf.DUMMYFUNCTION("""COMPUTED_VALUE"""),"Sms")</f>
        <v>Sms</v>
      </c>
      <c r="D10" s="212" t="str">
        <f>IFERROR(__xludf.DUMMYFUNCTION("""COMPUTED_VALUE"""),"Fallback Campaign")</f>
        <v>Fallback Campaign</v>
      </c>
      <c r="E10" s="96" t="str">
        <f>IFERROR(__xludf.DUMMYFUNCTION("""COMPUTED_VALUE"""),"VS")</f>
        <v>VS</v>
      </c>
      <c r="F10" s="212" t="str">
        <f>IFERROR(__xludf.DUMMYFUNCTION("""COMPUTED_VALUE"""),"SAS 50% OFF")</f>
        <v>SAS 50% OFF</v>
      </c>
      <c r="G10" s="212" t="str">
        <f>IFERROR(__xludf.DUMMYFUNCTION("""COMPUTED_VALUE"""),"SAS Jan - 50% OFF - Discount Shoppers - WA Fallback")</f>
        <v>SAS Jan - 50% OFF - Discount Shoppers - WA Fallback</v>
      </c>
      <c r="H10" s="28" t="str">
        <f>IFERROR(__xludf.DUMMYFUNCTION("""COMPUTED_VALUE"""),"DiscountShoppers_Flat50%_Jan2026")</f>
        <v>DiscountShoppers_Flat50%_Jan2026</v>
      </c>
      <c r="I10" s="28" t="str">
        <f>IFERROR(__xludf.DUMMYFUNCTION("""COMPUTED_VALUE"""),"WA Undelivered")</f>
        <v>WA Undelivered</v>
      </c>
      <c r="J10" s="239">
        <f>IFERROR(__xludf.DUMMYFUNCTION("""COMPUTED_VALUE"""),4833.0)</f>
        <v>4833</v>
      </c>
      <c r="K10" s="240">
        <f>IFERROR(__xludf.DUMMYFUNCTION("""COMPUTED_VALUE"""),2967.0)</f>
        <v>2967</v>
      </c>
      <c r="L10" s="241">
        <f>IFERROR(__xludf.DUMMYFUNCTION("""COMPUTED_VALUE"""),0.6139)</f>
        <v>0.6139</v>
      </c>
      <c r="M10" s="240"/>
      <c r="N10" s="136"/>
      <c r="O10" s="73">
        <f>IFERROR(__xludf.DUMMYFUNCTION("""COMPUTED_VALUE"""),17.0)</f>
        <v>17</v>
      </c>
      <c r="P10" s="73"/>
      <c r="Q10" s="214">
        <f>IFERROR(__xludf.DUMMYFUNCTION("""COMPUTED_VALUE"""),0.0057)</f>
        <v>0.0057</v>
      </c>
      <c r="R10" s="214"/>
      <c r="S10" s="101">
        <f>IFERROR(__xludf.DUMMYFUNCTION("""COMPUTED_VALUE"""),3.0)</f>
        <v>3</v>
      </c>
      <c r="T10" s="222">
        <f>IFERROR(__xludf.DUMMYFUNCTION("""COMPUTED_VALUE"""),14.0)</f>
        <v>14</v>
      </c>
      <c r="U10" s="242">
        <f>IFERROR(__xludf.DUMMYFUNCTION("""COMPUTED_VALUE"""),19683.0)</f>
        <v>19683</v>
      </c>
      <c r="V10" s="242" t="str">
        <f>IFERROR(__xludf.DUMMYFUNCTION("""COMPUTED_VALUE"""),"overall")</f>
        <v>overall</v>
      </c>
      <c r="W10" s="243" t="str">
        <f>IFERROR(__xludf.DUMMYFUNCTION("""COMPUTED_VALUE"""),"SMS")</f>
        <v>SMS</v>
      </c>
      <c r="X10" s="243" t="str">
        <f>IFERROR(__xludf.DUMMYFUNCTION("""COMPUTED_VALUE"""),"Discount Shopper")</f>
        <v>Discount Shopper</v>
      </c>
      <c r="Y10" s="243" t="str">
        <f>IFERROR(__xludf.DUMMYFUNCTION("""COMPUTED_VALUE"""),"09th - 22nd Jan")</f>
        <v>09th - 22nd Jan</v>
      </c>
      <c r="Z10" s="243" t="str">
        <f>IFERROR(__xludf.DUMMYFUNCTION("""COMPUTED_VALUE"""),"6960d2e0c59e088391e43945")</f>
        <v>6960d2e0c59e088391e43945</v>
      </c>
      <c r="AA10" s="243">
        <f>IFERROR(__xludf.DUMMYFUNCTION("""COMPUTED_VALUE"""),135.0)</f>
        <v>135</v>
      </c>
      <c r="AB10" s="243">
        <f>IFERROR(__xludf.DUMMYFUNCTION("""COMPUTED_VALUE"""),121.0)</f>
        <v>121</v>
      </c>
      <c r="AC10" s="243">
        <f>IFERROR(__xludf.DUMMYFUNCTION("""COMPUTED_VALUE"""),14.0)</f>
        <v>14</v>
      </c>
      <c r="AD10" s="243">
        <f>IFERROR(__xludf.DUMMYFUNCTION("""COMPUTED_VALUE"""),698863.0)</f>
        <v>698863</v>
      </c>
      <c r="AE10" s="243">
        <f>IFERROR(__xludf.DUMMYFUNCTION("""COMPUTED_VALUE"""),625131.0)</f>
        <v>625131</v>
      </c>
      <c r="AF10" s="243">
        <f>IFERROR(__xludf.DUMMYFUNCTION("""COMPUTED_VALUE"""),73732.0)</f>
        <v>73732</v>
      </c>
      <c r="AG10" s="208"/>
      <c r="AH10" s="208"/>
      <c r="AI10" s="208"/>
      <c r="AJ10" s="208"/>
      <c r="AK10" s="208"/>
    </row>
    <row r="11">
      <c r="A11" s="237">
        <f>IFERROR(__xludf.DUMMYFUNCTION("""COMPUTED_VALUE"""),46031.0)</f>
        <v>46031</v>
      </c>
      <c r="B11" s="238">
        <f>IFERROR(__xludf.DUMMYFUNCTION("""COMPUTED_VALUE"""),0.7708333333321207)</f>
        <v>0.7708333333</v>
      </c>
      <c r="C11" s="96" t="str">
        <f>IFERROR(__xludf.DUMMYFUNCTION("""COMPUTED_VALUE"""),"Sms")</f>
        <v>Sms</v>
      </c>
      <c r="D11" s="212" t="str">
        <f>IFERROR(__xludf.DUMMYFUNCTION("""COMPUTED_VALUE"""),"Fallback Campaign")</f>
        <v>Fallback Campaign</v>
      </c>
      <c r="E11" s="96" t="str">
        <f>IFERROR(__xludf.DUMMYFUNCTION("""COMPUTED_VALUE"""),"VS")</f>
        <v>VS</v>
      </c>
      <c r="F11" s="212" t="str">
        <f>IFERROR(__xludf.DUMMYFUNCTION("""COMPUTED_VALUE"""),"SAS 50% OFF")</f>
        <v>SAS 50% OFF</v>
      </c>
      <c r="G11" s="212" t="str">
        <f>IFERROR(__xludf.DUMMYFUNCTION("""COMPUTED_VALUE"""),"SAS Jan - 50% OFF - Active Recent - WA Fallback")</f>
        <v>SAS Jan - 50% OFF - Active Recent - WA Fallback</v>
      </c>
      <c r="H11" s="28" t="str">
        <f>IFERROR(__xludf.DUMMYFUNCTION("""COMPUTED_VALUE"""),"Predom_RecentApparel_Jan2026")</f>
        <v>Predom_RecentApparel_Jan2026</v>
      </c>
      <c r="I11" s="28" t="str">
        <f>IFERROR(__xludf.DUMMYFUNCTION("""COMPUTED_VALUE"""),"WA Undelivered")</f>
        <v>WA Undelivered</v>
      </c>
      <c r="J11" s="239">
        <f>IFERROR(__xludf.DUMMYFUNCTION("""COMPUTED_VALUE"""),9581.0)</f>
        <v>9581</v>
      </c>
      <c r="K11" s="240">
        <f>IFERROR(__xludf.DUMMYFUNCTION("""COMPUTED_VALUE"""),5580.0)</f>
        <v>5580</v>
      </c>
      <c r="L11" s="241">
        <f>IFERROR(__xludf.DUMMYFUNCTION("""COMPUTED_VALUE"""),0.5824)</f>
        <v>0.5824</v>
      </c>
      <c r="M11" s="240"/>
      <c r="N11" s="136"/>
      <c r="O11" s="73">
        <f>IFERROR(__xludf.DUMMYFUNCTION("""COMPUTED_VALUE"""),32.0)</f>
        <v>32</v>
      </c>
      <c r="P11" s="73"/>
      <c r="Q11" s="214">
        <f>IFERROR(__xludf.DUMMYFUNCTION("""COMPUTED_VALUE"""),0.0057)</f>
        <v>0.0057</v>
      </c>
      <c r="R11" s="214"/>
      <c r="S11" s="101">
        <f>IFERROR(__xludf.DUMMYFUNCTION("""COMPUTED_VALUE"""),11.0)</f>
        <v>11</v>
      </c>
      <c r="T11" s="222">
        <f>IFERROR(__xludf.DUMMYFUNCTION("""COMPUTED_VALUE"""),24.0)</f>
        <v>24</v>
      </c>
      <c r="U11" s="242">
        <f>IFERROR(__xludf.DUMMYFUNCTION("""COMPUTED_VALUE"""),75740.0)</f>
        <v>75740</v>
      </c>
      <c r="V11" s="242" t="str">
        <f>IFERROR(__xludf.DUMMYFUNCTION("""COMPUTED_VALUE"""),"overall")</f>
        <v>overall</v>
      </c>
      <c r="W11" s="243" t="str">
        <f>IFERROR(__xludf.DUMMYFUNCTION("""COMPUTED_VALUE"""),"SMS")</f>
        <v>SMS</v>
      </c>
      <c r="X11" s="243" t="str">
        <f>IFERROR(__xludf.DUMMYFUNCTION("""COMPUTED_VALUE"""),"Recent")</f>
        <v>Recent</v>
      </c>
      <c r="Y11" s="243" t="str">
        <f>IFERROR(__xludf.DUMMYFUNCTION("""COMPUTED_VALUE"""),"09th - 22nd Jan")</f>
        <v>09th - 22nd Jan</v>
      </c>
      <c r="Z11" s="243" t="str">
        <f>IFERROR(__xludf.DUMMYFUNCTION("""COMPUTED_VALUE"""),"6960d8064495d77418246d73")</f>
        <v>6960d8064495d77418246d73</v>
      </c>
      <c r="AA11" s="243">
        <f>IFERROR(__xludf.DUMMYFUNCTION("""COMPUTED_VALUE"""),309.0)</f>
        <v>309</v>
      </c>
      <c r="AB11" s="243">
        <f>IFERROR(__xludf.DUMMYFUNCTION("""COMPUTED_VALUE"""),147.0)</f>
        <v>147</v>
      </c>
      <c r="AC11" s="243">
        <f>IFERROR(__xludf.DUMMYFUNCTION("""COMPUTED_VALUE"""),162.0)</f>
        <v>162</v>
      </c>
      <c r="AD11" s="243">
        <f>IFERROR(__xludf.DUMMYFUNCTION("""COMPUTED_VALUE"""),3216047.0)</f>
        <v>3216047</v>
      </c>
      <c r="AE11" s="243">
        <f>IFERROR(__xludf.DUMMYFUNCTION("""COMPUTED_VALUE"""),1064200.0)</f>
        <v>1064200</v>
      </c>
      <c r="AF11" s="243">
        <f>IFERROR(__xludf.DUMMYFUNCTION("""COMPUTED_VALUE"""),2151847.0)</f>
        <v>2151847</v>
      </c>
      <c r="AG11" s="208"/>
      <c r="AH11" s="208"/>
      <c r="AI11" s="208"/>
      <c r="AJ11" s="208"/>
      <c r="AK11" s="208"/>
    </row>
    <row r="12">
      <c r="A12" s="237">
        <f>IFERROR(__xludf.DUMMYFUNCTION("""COMPUTED_VALUE"""),46031.0)</f>
        <v>46031</v>
      </c>
      <c r="B12" s="238">
        <f>IFERROR(__xludf.DUMMYFUNCTION("""COMPUTED_VALUE"""),0.7708333333321207)</f>
        <v>0.7708333333</v>
      </c>
      <c r="C12" s="96" t="str">
        <f>IFERROR(__xludf.DUMMYFUNCTION("""COMPUTED_VALUE"""),"Sms")</f>
        <v>Sms</v>
      </c>
      <c r="D12" s="212" t="str">
        <f>IFERROR(__xludf.DUMMYFUNCTION("""COMPUTED_VALUE"""),"Fallback Campaign")</f>
        <v>Fallback Campaign</v>
      </c>
      <c r="E12" s="96" t="str">
        <f>IFERROR(__xludf.DUMMYFUNCTION("""COMPUTED_VALUE"""),"VS")</f>
        <v>VS</v>
      </c>
      <c r="F12" s="212" t="str">
        <f>IFERROR(__xludf.DUMMYFUNCTION("""COMPUTED_VALUE"""),"SAS 50% OFF")</f>
        <v>SAS 50% OFF</v>
      </c>
      <c r="G12" s="212" t="str">
        <f>IFERROR(__xludf.DUMMYFUNCTION("""COMPUTED_VALUE"""),"SAS Jan - 50% OFF - Repeat CX - WA Fallback")</f>
        <v>SAS Jan - 50% OFF - Repeat CX - WA Fallback</v>
      </c>
      <c r="H12" s="28" t="str">
        <f>IFERROR(__xludf.DUMMYFUNCTION("""COMPUTED_VALUE"""),"RepeatApparel_Jan2026")</f>
        <v>RepeatApparel_Jan2026</v>
      </c>
      <c r="I12" s="28" t="str">
        <f>IFERROR(__xludf.DUMMYFUNCTION("""COMPUTED_VALUE"""),"WA Undelivered")</f>
        <v>WA Undelivered</v>
      </c>
      <c r="J12" s="239">
        <f>IFERROR(__xludf.DUMMYFUNCTION("""COMPUTED_VALUE"""),9928.0)</f>
        <v>9928</v>
      </c>
      <c r="K12" s="240">
        <f>IFERROR(__xludf.DUMMYFUNCTION("""COMPUTED_VALUE"""),5299.0)</f>
        <v>5299</v>
      </c>
      <c r="L12" s="241">
        <f>IFERROR(__xludf.DUMMYFUNCTION("""COMPUTED_VALUE"""),0.5337)</f>
        <v>0.5337</v>
      </c>
      <c r="M12" s="240"/>
      <c r="N12" s="136"/>
      <c r="O12" s="73">
        <f>IFERROR(__xludf.DUMMYFUNCTION("""COMPUTED_VALUE"""),22.0)</f>
        <v>22</v>
      </c>
      <c r="P12" s="73"/>
      <c r="Q12" s="214">
        <f>IFERROR(__xludf.DUMMYFUNCTION("""COMPUTED_VALUE"""),0.0042)</f>
        <v>0.0042</v>
      </c>
      <c r="R12" s="214"/>
      <c r="S12" s="101">
        <f>IFERROR(__xludf.DUMMYFUNCTION("""COMPUTED_VALUE"""),7.0)</f>
        <v>7</v>
      </c>
      <c r="T12" s="222">
        <f>IFERROR(__xludf.DUMMYFUNCTION("""COMPUTED_VALUE"""),7.0)</f>
        <v>7</v>
      </c>
      <c r="U12" s="242">
        <f>IFERROR(__xludf.DUMMYFUNCTION("""COMPUTED_VALUE"""),28707.0)</f>
        <v>28707</v>
      </c>
      <c r="V12" s="242" t="str">
        <f>IFERROR(__xludf.DUMMYFUNCTION("""COMPUTED_VALUE"""),"overall")</f>
        <v>overall</v>
      </c>
      <c r="W12" s="243" t="str">
        <f>IFERROR(__xludf.DUMMYFUNCTION("""COMPUTED_VALUE"""),"SMS")</f>
        <v>SMS</v>
      </c>
      <c r="X12" s="243" t="str">
        <f>IFERROR(__xludf.DUMMYFUNCTION("""COMPUTED_VALUE"""),"Repeat")</f>
        <v>Repeat</v>
      </c>
      <c r="Y12" s="243" t="str">
        <f>IFERROR(__xludf.DUMMYFUNCTION("""COMPUTED_VALUE"""),"09th - 22nd Jan")</f>
        <v>09th - 22nd Jan</v>
      </c>
      <c r="Z12" s="243" t="str">
        <f>IFERROR(__xludf.DUMMYFUNCTION("""COMPUTED_VALUE"""),"6960d851cb9fb05f6736a50b")</f>
        <v>6960d851cb9fb05f6736a50b</v>
      </c>
      <c r="AA12" s="243">
        <f>IFERROR(__xludf.DUMMYFUNCTION("""COMPUTED_VALUE"""),221.0)</f>
        <v>221</v>
      </c>
      <c r="AB12" s="243">
        <f>IFERROR(__xludf.DUMMYFUNCTION("""COMPUTED_VALUE"""),110.0)</f>
        <v>110</v>
      </c>
      <c r="AC12" s="243">
        <f>IFERROR(__xludf.DUMMYFUNCTION("""COMPUTED_VALUE"""),111.0)</f>
        <v>111</v>
      </c>
      <c r="AD12" s="243">
        <f>IFERROR(__xludf.DUMMYFUNCTION("""COMPUTED_VALUE"""),1968869.0)</f>
        <v>1968869</v>
      </c>
      <c r="AE12" s="243">
        <f>IFERROR(__xludf.DUMMYFUNCTION("""COMPUTED_VALUE"""),595595.0)</f>
        <v>595595</v>
      </c>
      <c r="AF12" s="243">
        <f>IFERROR(__xludf.DUMMYFUNCTION("""COMPUTED_VALUE"""),1373274.0)</f>
        <v>1373274</v>
      </c>
      <c r="AG12" s="208"/>
      <c r="AH12" s="208"/>
      <c r="AI12" s="208"/>
      <c r="AJ12" s="208"/>
      <c r="AK12" s="208"/>
    </row>
    <row r="13">
      <c r="A13" s="237">
        <f>IFERROR(__xludf.DUMMYFUNCTION("""COMPUTED_VALUE"""),46031.0)</f>
        <v>46031</v>
      </c>
      <c r="B13" s="238">
        <f>IFERROR(__xludf.DUMMYFUNCTION("""COMPUTED_VALUE"""),0.7708333333321207)</f>
        <v>0.7708333333</v>
      </c>
      <c r="C13" s="96" t="str">
        <f>IFERROR(__xludf.DUMMYFUNCTION("""COMPUTED_VALUE"""),"Sms")</f>
        <v>Sms</v>
      </c>
      <c r="D13" s="212" t="str">
        <f>IFERROR(__xludf.DUMMYFUNCTION("""COMPUTED_VALUE"""),"Fallback Campaign")</f>
        <v>Fallback Campaign</v>
      </c>
      <c r="E13" s="96" t="str">
        <f>IFERROR(__xludf.DUMMYFUNCTION("""COMPUTED_VALUE"""),"VS")</f>
        <v>VS</v>
      </c>
      <c r="F13" s="212" t="str">
        <f>IFERROR(__xludf.DUMMYFUNCTION("""COMPUTED_VALUE"""),"SAS 50% OFF")</f>
        <v>SAS 50% OFF</v>
      </c>
      <c r="G13" s="212" t="str">
        <f>IFERROR(__xludf.DUMMYFUNCTION("""COMPUTED_VALUE"""),"SAS Jan - 50% OFF - Generic CX - WA Fallback")</f>
        <v>SAS Jan - 50% OFF - Generic CX - WA Fallback</v>
      </c>
      <c r="H13" s="28" t="str">
        <f>IFERROR(__xludf.DUMMYFUNCTION("""COMPUTED_VALUE"""),"GenericApparel_Jan2026")</f>
        <v>GenericApparel_Jan2026</v>
      </c>
      <c r="I13" s="28" t="str">
        <f>IFERROR(__xludf.DUMMYFUNCTION("""COMPUTED_VALUE"""),"WA Undelivered")</f>
        <v>WA Undelivered</v>
      </c>
      <c r="J13" s="239">
        <f>IFERROR(__xludf.DUMMYFUNCTION("""COMPUTED_VALUE"""),16128.0)</f>
        <v>16128</v>
      </c>
      <c r="K13" s="240">
        <f>IFERROR(__xludf.DUMMYFUNCTION("""COMPUTED_VALUE"""),8717.0)</f>
        <v>8717</v>
      </c>
      <c r="L13" s="241">
        <f>IFERROR(__xludf.DUMMYFUNCTION("""COMPUTED_VALUE"""),0.5405)</f>
        <v>0.5405</v>
      </c>
      <c r="M13" s="240"/>
      <c r="N13" s="136"/>
      <c r="O13" s="73">
        <f>IFERROR(__xludf.DUMMYFUNCTION("""COMPUTED_VALUE"""),25.0)</f>
        <v>25</v>
      </c>
      <c r="P13" s="73"/>
      <c r="Q13" s="214">
        <f>IFERROR(__xludf.DUMMYFUNCTION("""COMPUTED_VALUE"""),0.0029)</f>
        <v>0.0029</v>
      </c>
      <c r="R13" s="214"/>
      <c r="S13" s="101">
        <f>IFERROR(__xludf.DUMMYFUNCTION("""COMPUTED_VALUE"""),3.0)</f>
        <v>3</v>
      </c>
      <c r="T13" s="222">
        <f>IFERROR(__xludf.DUMMYFUNCTION("""COMPUTED_VALUE"""),7.0)</f>
        <v>7</v>
      </c>
      <c r="U13" s="242">
        <f>IFERROR(__xludf.DUMMYFUNCTION("""COMPUTED_VALUE"""),14753.0)</f>
        <v>14753</v>
      </c>
      <c r="V13" s="242" t="str">
        <f>IFERROR(__xludf.DUMMYFUNCTION("""COMPUTED_VALUE"""),"overall")</f>
        <v>overall</v>
      </c>
      <c r="W13" s="243" t="str">
        <f>IFERROR(__xludf.DUMMYFUNCTION("""COMPUTED_VALUE"""),"SMS")</f>
        <v>SMS</v>
      </c>
      <c r="X13" s="243" t="str">
        <f>IFERROR(__xludf.DUMMYFUNCTION("""COMPUTED_VALUE"""),"Generic")</f>
        <v>Generic</v>
      </c>
      <c r="Y13" s="243" t="str">
        <f>IFERROR(__xludf.DUMMYFUNCTION("""COMPUTED_VALUE"""),"09th - 22nd Jan")</f>
        <v>09th - 22nd Jan</v>
      </c>
      <c r="Z13" s="243" t="str">
        <f>IFERROR(__xludf.DUMMYFUNCTION("""COMPUTED_VALUE"""),"6960d8deaa47ef27384786d2")</f>
        <v>6960d8deaa47ef27384786d2</v>
      </c>
      <c r="AA13" s="243">
        <f>IFERROR(__xludf.DUMMYFUNCTION("""COMPUTED_VALUE"""),118.0)</f>
        <v>118</v>
      </c>
      <c r="AB13" s="243">
        <f>IFERROR(__xludf.DUMMYFUNCTION("""COMPUTED_VALUE"""),64.0)</f>
        <v>64</v>
      </c>
      <c r="AC13" s="243">
        <f>IFERROR(__xludf.DUMMYFUNCTION("""COMPUTED_VALUE"""),54.0)</f>
        <v>54</v>
      </c>
      <c r="AD13" s="243">
        <f>IFERROR(__xludf.DUMMYFUNCTION("""COMPUTED_VALUE"""),965614.0)</f>
        <v>965614</v>
      </c>
      <c r="AE13" s="243">
        <f>IFERROR(__xludf.DUMMYFUNCTION("""COMPUTED_VALUE"""),380649.0)</f>
        <v>380649</v>
      </c>
      <c r="AF13" s="243">
        <f>IFERROR(__xludf.DUMMYFUNCTION("""COMPUTED_VALUE"""),584965.0)</f>
        <v>584965</v>
      </c>
      <c r="AG13" s="208"/>
      <c r="AH13" s="208"/>
      <c r="AI13" s="208"/>
      <c r="AJ13" s="208"/>
      <c r="AK13" s="208"/>
    </row>
    <row r="14">
      <c r="A14" s="219">
        <f>IFERROR(__xludf.DUMMYFUNCTION("""COMPUTED_VALUE"""),46045.0)</f>
        <v>46045</v>
      </c>
      <c r="B14" s="220">
        <f>IFERROR(__xludf.DUMMYFUNCTION("""COMPUTED_VALUE"""),0.4791666666678793)</f>
        <v>0.4791666667</v>
      </c>
      <c r="C14" s="222" t="str">
        <f>IFERROR(__xludf.DUMMYFUNCTION("""COMPUTED_VALUE"""),"Sms")</f>
        <v>Sms</v>
      </c>
      <c r="D14" s="222" t="str">
        <f>IFERROR(__xludf.DUMMYFUNCTION("""COMPUTED_VALUE"""),"Fallback Campaign")</f>
        <v>Fallback Campaign</v>
      </c>
      <c r="E14" s="222" t="str">
        <f>IFERROR(__xludf.DUMMYFUNCTION("""COMPUTED_VALUE"""),"VS")</f>
        <v>VS</v>
      </c>
      <c r="F14" s="222" t="str">
        <f>IFERROR(__xludf.DUMMYFUNCTION("""COMPUTED_VALUE"""),"Republics Day campaign")</f>
        <v>Republics Day campaign</v>
      </c>
      <c r="G14" s="221" t="str">
        <f>IFERROR(__xludf.DUMMYFUNCTION("""COMPUTED_VALUE"""),"Republic Weekend Sale - 50% All Cat - Rest Nontxn - Fallback")</f>
        <v>Republic Weekend Sale - 50% All Cat - Rest Nontxn - Fallback</v>
      </c>
      <c r="H14" s="223" t="str">
        <f>IFERROR(__xludf.DUMMYFUNCTION("""COMPUTED_VALUE"""),"Rest_Notxn")</f>
        <v>Rest_Notxn</v>
      </c>
      <c r="I14" s="223" t="str">
        <f>IFERROR(__xludf.DUMMYFUNCTION("""COMPUTED_VALUE"""),"WA Undelivered")</f>
        <v>WA Undelivered</v>
      </c>
      <c r="J14" s="224">
        <f>IFERROR(__xludf.DUMMYFUNCTION("""COMPUTED_VALUE"""),25877.0)</f>
        <v>25877</v>
      </c>
      <c r="K14" s="224">
        <f>IFERROR(__xludf.DUMMYFUNCTION("""COMPUTED_VALUE"""),17455.0)</f>
        <v>17455</v>
      </c>
      <c r="L14" s="225">
        <f>IFERROR(__xludf.DUMMYFUNCTION("""COMPUTED_VALUE"""),0.6745)</f>
        <v>0.6745</v>
      </c>
      <c r="M14" s="224"/>
      <c r="N14" s="225"/>
      <c r="O14" s="226">
        <f>IFERROR(__xludf.DUMMYFUNCTION("""COMPUTED_VALUE"""),45.0)</f>
        <v>45</v>
      </c>
      <c r="P14" s="226"/>
      <c r="Q14" s="225">
        <f>IFERROR(__xludf.DUMMYFUNCTION("""COMPUTED_VALUE"""),0.0026)</f>
        <v>0.0026</v>
      </c>
      <c r="R14" s="225"/>
      <c r="S14" s="226">
        <f>IFERROR(__xludf.DUMMYFUNCTION("""COMPUTED_VALUE"""),12.0)</f>
        <v>12</v>
      </c>
      <c r="T14" s="226">
        <f>IFERROR(__xludf.DUMMYFUNCTION("""COMPUTED_VALUE"""),38.0)</f>
        <v>38</v>
      </c>
      <c r="U14" s="224">
        <f>IFERROR(__xludf.DUMMYFUNCTION("""COMPUTED_VALUE"""),34852.0)</f>
        <v>34852</v>
      </c>
      <c r="V14" s="224" t="str">
        <f>IFERROR(__xludf.DUMMYFUNCTION("""COMPUTED_VALUE"""),"overall")</f>
        <v>overall</v>
      </c>
      <c r="W14" s="229" t="str">
        <f>IFERROR(__xludf.DUMMYFUNCTION("""COMPUTED_VALUE"""),"SMS")</f>
        <v>SMS</v>
      </c>
      <c r="X14" s="229" t="str">
        <f>IFERROR(__xludf.DUMMYFUNCTION("""COMPUTED_VALUE"""),"Generic")</f>
        <v>Generic</v>
      </c>
      <c r="Y14" s="229" t="str">
        <f>IFERROR(__xludf.DUMMYFUNCTION("""COMPUTED_VALUE"""),"23rd - 27th Jan")</f>
        <v>23rd - 27th Jan</v>
      </c>
      <c r="Z14" s="229" t="str">
        <f>IFERROR(__xludf.DUMMYFUNCTION("""COMPUTED_VALUE"""),"6972fc872c27eef707ba286f")</f>
        <v>6972fc872c27eef707ba286f</v>
      </c>
      <c r="AA14" s="229">
        <f>IFERROR(__xludf.DUMMYFUNCTION("""COMPUTED_VALUE"""),31.0)</f>
        <v>31</v>
      </c>
      <c r="AB14" s="229">
        <f>IFERROR(__xludf.DUMMYFUNCTION("""COMPUTED_VALUE"""),22.0)</f>
        <v>22</v>
      </c>
      <c r="AC14" s="229">
        <f>IFERROR(__xludf.DUMMYFUNCTION("""COMPUTED_VALUE"""),9.0)</f>
        <v>9</v>
      </c>
      <c r="AD14" s="229">
        <f>IFERROR(__xludf.DUMMYFUNCTION("""COMPUTED_VALUE"""),117428.0)</f>
        <v>117428</v>
      </c>
      <c r="AE14" s="229">
        <f>IFERROR(__xludf.DUMMYFUNCTION("""COMPUTED_VALUE"""),67343.0)</f>
        <v>67343</v>
      </c>
      <c r="AF14" s="229">
        <f>IFERROR(__xludf.DUMMYFUNCTION("""COMPUTED_VALUE"""),50085.0)</f>
        <v>50085</v>
      </c>
      <c r="AG14" s="208"/>
      <c r="AH14" s="208"/>
      <c r="AI14" s="208"/>
      <c r="AJ14" s="208"/>
      <c r="AK14" s="208"/>
    </row>
    <row r="15">
      <c r="A15" s="219">
        <f>IFERROR(__xludf.DUMMYFUNCTION("""COMPUTED_VALUE"""),46045.0)</f>
        <v>46045</v>
      </c>
      <c r="B15" s="244">
        <f>IFERROR(__xludf.DUMMYFUNCTION("""COMPUTED_VALUE"""),0.4791666666678793)</f>
        <v>0.4791666667</v>
      </c>
      <c r="C15" s="222" t="str">
        <f>IFERROR(__xludf.DUMMYFUNCTION("""COMPUTED_VALUE"""),"Sms")</f>
        <v>Sms</v>
      </c>
      <c r="D15" s="222" t="str">
        <f>IFERROR(__xludf.DUMMYFUNCTION("""COMPUTED_VALUE"""),"Fallback Campaign")</f>
        <v>Fallback Campaign</v>
      </c>
      <c r="E15" s="222" t="str">
        <f>IFERROR(__xludf.DUMMYFUNCTION("""COMPUTED_VALUE"""),"VS")</f>
        <v>VS</v>
      </c>
      <c r="F15" s="222" t="str">
        <f>IFERROR(__xludf.DUMMYFUNCTION("""COMPUTED_VALUE"""),"Republics Day campaign")</f>
        <v>Republics Day campaign</v>
      </c>
      <c r="G15" s="221" t="str">
        <f>IFERROR(__xludf.DUMMYFUNCTION("""COMPUTED_VALUE"""),"Republic Weekend Sale - 50% All Cat - Dormant - Fallback")</f>
        <v>Republic Weekend Sale - 50% All Cat - Dormant - Fallback</v>
      </c>
      <c r="H15" s="223" t="str">
        <f>IFERROR(__xludf.DUMMYFUNCTION("""COMPUTED_VALUE"""),"Dormant_Discount50%_ONOFF")</f>
        <v>Dormant_Discount50%_ONOFF</v>
      </c>
      <c r="I15" s="221" t="str">
        <f>IFERROR(__xludf.DUMMYFUNCTION("""COMPUTED_VALUE"""),"WA Undelivered")</f>
        <v>WA Undelivered</v>
      </c>
      <c r="J15" s="224">
        <f>IFERROR(__xludf.DUMMYFUNCTION("""COMPUTED_VALUE"""),23592.0)</f>
        <v>23592</v>
      </c>
      <c r="K15" s="224">
        <f>IFERROR(__xludf.DUMMYFUNCTION("""COMPUTED_VALUE"""),16133.0)</f>
        <v>16133</v>
      </c>
      <c r="L15" s="225">
        <f>IFERROR(__xludf.DUMMYFUNCTION("""COMPUTED_VALUE"""),0.6838)</f>
        <v>0.6838</v>
      </c>
      <c r="M15" s="224"/>
      <c r="N15" s="225"/>
      <c r="O15" s="226">
        <f>IFERROR(__xludf.DUMMYFUNCTION("""COMPUTED_VALUE"""),60.0)</f>
        <v>60</v>
      </c>
      <c r="P15" s="226"/>
      <c r="Q15" s="225">
        <f>IFERROR(__xludf.DUMMYFUNCTION("""COMPUTED_VALUE"""),0.0037)</f>
        <v>0.0037</v>
      </c>
      <c r="R15" s="225"/>
      <c r="S15" s="226">
        <f>IFERROR(__xludf.DUMMYFUNCTION("""COMPUTED_VALUE"""),19.0)</f>
        <v>19</v>
      </c>
      <c r="T15" s="226">
        <f>IFERROR(__xludf.DUMMYFUNCTION("""COMPUTED_VALUE"""),29.0)</f>
        <v>29</v>
      </c>
      <c r="U15" s="224">
        <f>IFERROR(__xludf.DUMMYFUNCTION("""COMPUTED_VALUE"""),74839.0)</f>
        <v>74839</v>
      </c>
      <c r="V15" s="224" t="str">
        <f>IFERROR(__xludf.DUMMYFUNCTION("""COMPUTED_VALUE"""),"overall")</f>
        <v>overall</v>
      </c>
      <c r="W15" s="229" t="str">
        <f>IFERROR(__xludf.DUMMYFUNCTION("""COMPUTED_VALUE"""),"SMS")</f>
        <v>SMS</v>
      </c>
      <c r="X15" s="229" t="str">
        <f>IFERROR(__xludf.DUMMYFUNCTION("""COMPUTED_VALUE"""),"Discount Shopper")</f>
        <v>Discount Shopper</v>
      </c>
      <c r="Y15" s="229" t="str">
        <f>IFERROR(__xludf.DUMMYFUNCTION("""COMPUTED_VALUE"""),"23rd - 27th Jan")</f>
        <v>23rd - 27th Jan</v>
      </c>
      <c r="Z15" s="229" t="str">
        <f>IFERROR(__xludf.DUMMYFUNCTION("""COMPUTED_VALUE"""),"6972fcc9aad7afa7ce254cdc")</f>
        <v>6972fcc9aad7afa7ce254cdc</v>
      </c>
      <c r="AA15" s="229">
        <f>IFERROR(__xludf.DUMMYFUNCTION("""COMPUTED_VALUE"""),100.0)</f>
        <v>100</v>
      </c>
      <c r="AB15" s="229">
        <f>IFERROR(__xludf.DUMMYFUNCTION("""COMPUTED_VALUE"""),75.0)</f>
        <v>75</v>
      </c>
      <c r="AC15" s="229">
        <f>IFERROR(__xludf.DUMMYFUNCTION("""COMPUTED_VALUE"""),25.0)</f>
        <v>25</v>
      </c>
      <c r="AD15" s="229">
        <f>IFERROR(__xludf.DUMMYFUNCTION("""COMPUTED_VALUE"""),459270.0)</f>
        <v>459270</v>
      </c>
      <c r="AE15" s="229">
        <f>IFERROR(__xludf.DUMMYFUNCTION("""COMPUTED_VALUE"""),328979.0)</f>
        <v>328979</v>
      </c>
      <c r="AF15" s="229">
        <f>IFERROR(__xludf.DUMMYFUNCTION("""COMPUTED_VALUE"""),130291.0)</f>
        <v>130291</v>
      </c>
      <c r="AG15" s="208"/>
      <c r="AH15" s="208"/>
      <c r="AI15" s="208"/>
      <c r="AJ15" s="208"/>
      <c r="AK15" s="208"/>
    </row>
    <row r="16">
      <c r="A16" s="215">
        <f>IFERROR(__xludf.DUMMYFUNCTION("""COMPUTED_VALUE"""),46045.0)</f>
        <v>46045</v>
      </c>
      <c r="B16" s="210">
        <f>IFERROR(__xludf.DUMMYFUNCTION("""COMPUTED_VALUE"""),0.4791666666678793)</f>
        <v>0.4791666667</v>
      </c>
      <c r="C16" s="211" t="str">
        <f>IFERROR(__xludf.DUMMYFUNCTION("""COMPUTED_VALUE"""),"Sms")</f>
        <v>Sms</v>
      </c>
      <c r="D16" s="211" t="str">
        <f>IFERROR(__xludf.DUMMYFUNCTION("""COMPUTED_VALUE"""),"Fallback Campaign")</f>
        <v>Fallback Campaign</v>
      </c>
      <c r="E16" s="211" t="str">
        <f>IFERROR(__xludf.DUMMYFUNCTION("""COMPUTED_VALUE"""),"VS")</f>
        <v>VS</v>
      </c>
      <c r="F16" s="211" t="str">
        <f>IFERROR(__xludf.DUMMYFUNCTION("""COMPUTED_VALUE"""),"Republics Day campaign")</f>
        <v>Republics Day campaign</v>
      </c>
      <c r="G16" s="218" t="str">
        <f>IFERROR(__xludf.DUMMYFUNCTION("""COMPUTED_VALUE"""),"Republic Weekend Sale - 50% All Cat - Active - Fallback")</f>
        <v>Republic Weekend Sale - 50% All Cat - Active - Fallback</v>
      </c>
      <c r="H16" s="218" t="str">
        <f>IFERROR(__xludf.DUMMYFUNCTION("""COMPUTED_VALUE"""),"Active_Discount50%_ONOFF OR AGIPL_Internal")</f>
        <v>Active_Discount50%_ONOFF OR AGIPL_Internal</v>
      </c>
      <c r="I16" s="212" t="str">
        <f>IFERROR(__xludf.DUMMYFUNCTION("""COMPUTED_VALUE"""),"WA Undelivered")</f>
        <v>WA Undelivered</v>
      </c>
      <c r="J16" s="213">
        <f>IFERROR(__xludf.DUMMYFUNCTION("""COMPUTED_VALUE"""),14041.0)</f>
        <v>14041</v>
      </c>
      <c r="K16" s="213">
        <f>IFERROR(__xludf.DUMMYFUNCTION("""COMPUTED_VALUE"""),8800.0)</f>
        <v>8800</v>
      </c>
      <c r="L16" s="214">
        <f>IFERROR(__xludf.DUMMYFUNCTION("""COMPUTED_VALUE"""),0.6267)</f>
        <v>0.6267</v>
      </c>
      <c r="M16" s="213"/>
      <c r="N16" s="214"/>
      <c r="O16" s="101">
        <f>IFERROR(__xludf.DUMMYFUNCTION("""COMPUTED_VALUE"""),29.0)</f>
        <v>29</v>
      </c>
      <c r="P16" s="101"/>
      <c r="Q16" s="214">
        <f>IFERROR(__xludf.DUMMYFUNCTION("""COMPUTED_VALUE"""),0.0033)</f>
        <v>0.0033</v>
      </c>
      <c r="R16" s="214"/>
      <c r="S16" s="101">
        <f>IFERROR(__xludf.DUMMYFUNCTION("""COMPUTED_VALUE"""),18.0)</f>
        <v>18</v>
      </c>
      <c r="T16" s="101">
        <f>IFERROR(__xludf.DUMMYFUNCTION("""COMPUTED_VALUE"""),60.0)</f>
        <v>60</v>
      </c>
      <c r="U16" s="213">
        <f>IFERROR(__xludf.DUMMYFUNCTION("""COMPUTED_VALUE"""),76294.0)</f>
        <v>76294</v>
      </c>
      <c r="V16" s="213" t="str">
        <f>IFERROR(__xludf.DUMMYFUNCTION("""COMPUTED_VALUE"""),"overall")</f>
        <v>overall</v>
      </c>
      <c r="W16" s="98" t="str">
        <f>IFERROR(__xludf.DUMMYFUNCTION("""COMPUTED_VALUE"""),"SMS")</f>
        <v>SMS</v>
      </c>
      <c r="X16" s="98" t="str">
        <f>IFERROR(__xludf.DUMMYFUNCTION("""COMPUTED_VALUE"""),"Discount Shopper")</f>
        <v>Discount Shopper</v>
      </c>
      <c r="Y16" s="98" t="str">
        <f>IFERROR(__xludf.DUMMYFUNCTION("""COMPUTED_VALUE"""),"23rd - 27th Jan")</f>
        <v>23rd - 27th Jan</v>
      </c>
      <c r="Z16" s="98" t="str">
        <f>IFERROR(__xludf.DUMMYFUNCTION("""COMPUTED_VALUE"""),"6972fd02648879a943115b51")</f>
        <v>6972fd02648879a943115b51</v>
      </c>
      <c r="AA16" s="98">
        <f>IFERROR(__xludf.DUMMYFUNCTION("""COMPUTED_VALUE"""),118.0)</f>
        <v>118</v>
      </c>
      <c r="AB16" s="98">
        <f>IFERROR(__xludf.DUMMYFUNCTION("""COMPUTED_VALUE"""),78.0)</f>
        <v>78</v>
      </c>
      <c r="AC16" s="98">
        <f>IFERROR(__xludf.DUMMYFUNCTION("""COMPUTED_VALUE"""),40.0)</f>
        <v>40</v>
      </c>
      <c r="AD16" s="98">
        <f>IFERROR(__xludf.DUMMYFUNCTION("""COMPUTED_VALUE"""),830529.0)</f>
        <v>830529</v>
      </c>
      <c r="AE16" s="98">
        <f>IFERROR(__xludf.DUMMYFUNCTION("""COMPUTED_VALUE"""),362167.0)</f>
        <v>362167</v>
      </c>
      <c r="AF16" s="98">
        <f>IFERROR(__xludf.DUMMYFUNCTION("""COMPUTED_VALUE"""),468362.0)</f>
        <v>468362</v>
      </c>
      <c r="AG16" s="208"/>
      <c r="AH16" s="208"/>
      <c r="AI16" s="208"/>
      <c r="AJ16" s="208"/>
      <c r="AK16" s="208"/>
    </row>
    <row r="17">
      <c r="A17" s="215">
        <f>IFERROR(__xludf.DUMMYFUNCTION("""COMPUTED_VALUE"""),46045.0)</f>
        <v>46045</v>
      </c>
      <c r="B17" s="210">
        <f>IFERROR(__xludf.DUMMYFUNCTION("""COMPUTED_VALUE"""),0.4791666666678793)</f>
        <v>0.4791666667</v>
      </c>
      <c r="C17" s="211" t="str">
        <f>IFERROR(__xludf.DUMMYFUNCTION("""COMPUTED_VALUE"""),"Sms")</f>
        <v>Sms</v>
      </c>
      <c r="D17" s="211" t="str">
        <f>IFERROR(__xludf.DUMMYFUNCTION("""COMPUTED_VALUE"""),"Fallback Campaign")</f>
        <v>Fallback Campaign</v>
      </c>
      <c r="E17" s="211" t="str">
        <f>IFERROR(__xludf.DUMMYFUNCTION("""COMPUTED_VALUE"""),"VS")</f>
        <v>VS</v>
      </c>
      <c r="F17" s="211" t="str">
        <f>IFERROR(__xludf.DUMMYFUNCTION("""COMPUTED_VALUE"""),"Republics Day campaign")</f>
        <v>Republics Day campaign</v>
      </c>
      <c r="G17" s="218" t="str">
        <f>IFERROR(__xludf.DUMMYFUNCTION("""COMPUTED_VALUE"""),"Republic Weekend Sale - 50% All Cat - BTY CX - Fallback")</f>
        <v>Republic Weekend Sale - 50% All Cat - BTY CX - Fallback</v>
      </c>
      <c r="H17" s="218" t="str">
        <f>IFERROR(__xludf.DUMMYFUNCTION("""COMPUTED_VALUE"""),"BeautyLess5999_NotPurLin_ExRest&amp;2500")</f>
        <v>BeautyLess5999_NotPurLin_ExRest&amp;2500</v>
      </c>
      <c r="I17" s="212" t="str">
        <f>IFERROR(__xludf.DUMMYFUNCTION("""COMPUTED_VALUE"""),"WA Undelivered")</f>
        <v>WA Undelivered</v>
      </c>
      <c r="J17" s="213">
        <f>IFERROR(__xludf.DUMMYFUNCTION("""COMPUTED_VALUE"""),38135.0)</f>
        <v>38135</v>
      </c>
      <c r="K17" s="213">
        <f>IFERROR(__xludf.DUMMYFUNCTION("""COMPUTED_VALUE"""),25813.0)</f>
        <v>25813</v>
      </c>
      <c r="L17" s="214">
        <f>IFERROR(__xludf.DUMMYFUNCTION("""COMPUTED_VALUE"""),0.6769)</f>
        <v>0.6769</v>
      </c>
      <c r="M17" s="213"/>
      <c r="N17" s="214"/>
      <c r="O17" s="101">
        <f>IFERROR(__xludf.DUMMYFUNCTION("""COMPUTED_VALUE"""),66.0)</f>
        <v>66</v>
      </c>
      <c r="P17" s="101"/>
      <c r="Q17" s="214">
        <f>IFERROR(__xludf.DUMMYFUNCTION("""COMPUTED_VALUE"""),0.0026)</f>
        <v>0.0026</v>
      </c>
      <c r="R17" s="214"/>
      <c r="S17" s="101">
        <f>IFERROR(__xludf.DUMMYFUNCTION("""COMPUTED_VALUE"""),3.0)</f>
        <v>3</v>
      </c>
      <c r="T17" s="101">
        <f>IFERROR(__xludf.DUMMYFUNCTION("""COMPUTED_VALUE"""),11.0)</f>
        <v>11</v>
      </c>
      <c r="U17" s="213">
        <f>IFERROR(__xludf.DUMMYFUNCTION("""COMPUTED_VALUE"""),9071.0)</f>
        <v>9071</v>
      </c>
      <c r="V17" s="213" t="str">
        <f>IFERROR(__xludf.DUMMYFUNCTION("""COMPUTED_VALUE"""),"overall")</f>
        <v>overall</v>
      </c>
      <c r="W17" s="98" t="str">
        <f>IFERROR(__xludf.DUMMYFUNCTION("""COMPUTED_VALUE"""),"SMS")</f>
        <v>SMS</v>
      </c>
      <c r="X17" s="98" t="str">
        <f>IFERROR(__xludf.DUMMYFUNCTION("""COMPUTED_VALUE"""),"Generic")</f>
        <v>Generic</v>
      </c>
      <c r="Y17" s="98" t="str">
        <f>IFERROR(__xludf.DUMMYFUNCTION("""COMPUTED_VALUE"""),"23rd - 27th Jan")</f>
        <v>23rd - 27th Jan</v>
      </c>
      <c r="Z17" s="98" t="str">
        <f>IFERROR(__xludf.DUMMYFUNCTION("""COMPUTED_VALUE"""),"697309532c27eef707ba2c20")</f>
        <v>697309532c27eef707ba2c20</v>
      </c>
      <c r="AA17" s="98">
        <f>IFERROR(__xludf.DUMMYFUNCTION("""COMPUTED_VALUE"""),89.0)</f>
        <v>89</v>
      </c>
      <c r="AB17" s="98">
        <f>IFERROR(__xludf.DUMMYFUNCTION("""COMPUTED_VALUE"""),17.0)</f>
        <v>17</v>
      </c>
      <c r="AC17" s="98">
        <f>IFERROR(__xludf.DUMMYFUNCTION("""COMPUTED_VALUE"""),72.0)</f>
        <v>72</v>
      </c>
      <c r="AD17" s="98">
        <f>IFERROR(__xludf.DUMMYFUNCTION("""COMPUTED_VALUE"""),324397.0)</f>
        <v>324397</v>
      </c>
      <c r="AE17" s="98">
        <f>IFERROR(__xludf.DUMMYFUNCTION("""COMPUTED_VALUE"""),80198.0)</f>
        <v>80198</v>
      </c>
      <c r="AF17" s="98">
        <f>IFERROR(__xludf.DUMMYFUNCTION("""COMPUTED_VALUE"""),244199.0)</f>
        <v>244199</v>
      </c>
      <c r="AG17" s="208"/>
      <c r="AH17" s="208"/>
      <c r="AI17" s="208"/>
      <c r="AJ17" s="208"/>
      <c r="AK17" s="208"/>
    </row>
    <row r="18">
      <c r="A18" s="215">
        <f>IFERROR(__xludf.DUMMYFUNCTION("""COMPUTED_VALUE"""),46045.0)</f>
        <v>46045</v>
      </c>
      <c r="B18" s="210">
        <f>IFERROR(__xludf.DUMMYFUNCTION("""COMPUTED_VALUE"""),0.4791666666678793)</f>
        <v>0.4791666667</v>
      </c>
      <c r="C18" s="211" t="str">
        <f>IFERROR(__xludf.DUMMYFUNCTION("""COMPUTED_VALUE"""),"Sms")</f>
        <v>Sms</v>
      </c>
      <c r="D18" s="211" t="str">
        <f>IFERROR(__xludf.DUMMYFUNCTION("""COMPUTED_VALUE"""),"Fallback Campaign")</f>
        <v>Fallback Campaign</v>
      </c>
      <c r="E18" s="211" t="str">
        <f>IFERROR(__xludf.DUMMYFUNCTION("""COMPUTED_VALUE"""),"VS")</f>
        <v>VS</v>
      </c>
      <c r="F18" s="211" t="str">
        <f>IFERROR(__xludf.DUMMYFUNCTION("""COMPUTED_VALUE"""),"Republics Day campaign")</f>
        <v>Republics Day campaign</v>
      </c>
      <c r="G18" s="218" t="str">
        <f>IFERROR(__xludf.DUMMYFUNCTION("""COMPUTED_VALUE"""),"Republic Weekend Sale - 50% All Cat - panty_cx - Fallback")</f>
        <v>Republic Weekend Sale - 50% All Cat - panty_cx - Fallback</v>
      </c>
      <c r="H18" s="218" t="str">
        <f>IFERROR(__xludf.DUMMYFUNCTION("""COMPUTED_VALUE"""),"Panty_NotPurBra_ONOFF")</f>
        <v>Panty_NotPurBra_ONOFF</v>
      </c>
      <c r="I18" s="212" t="str">
        <f>IFERROR(__xludf.DUMMYFUNCTION("""COMPUTED_VALUE"""),"WA Undelivered")</f>
        <v>WA Undelivered</v>
      </c>
      <c r="J18" s="213">
        <f>IFERROR(__xludf.DUMMYFUNCTION("""COMPUTED_VALUE"""),11896.0)</f>
        <v>11896</v>
      </c>
      <c r="K18" s="213">
        <f>IFERROR(__xludf.DUMMYFUNCTION("""COMPUTED_VALUE"""),7022.0)</f>
        <v>7022</v>
      </c>
      <c r="L18" s="214">
        <f>IFERROR(__xludf.DUMMYFUNCTION("""COMPUTED_VALUE"""),0.5903)</f>
        <v>0.5903</v>
      </c>
      <c r="M18" s="213"/>
      <c r="N18" s="214"/>
      <c r="O18" s="101">
        <f>IFERROR(__xludf.DUMMYFUNCTION("""COMPUTED_VALUE"""),19.0)</f>
        <v>19</v>
      </c>
      <c r="P18" s="101"/>
      <c r="Q18" s="214">
        <f>IFERROR(__xludf.DUMMYFUNCTION("""COMPUTED_VALUE"""),0.0027)</f>
        <v>0.0027</v>
      </c>
      <c r="R18" s="214"/>
      <c r="S18" s="101">
        <f>IFERROR(__xludf.DUMMYFUNCTION("""COMPUTED_VALUE"""),6.0)</f>
        <v>6</v>
      </c>
      <c r="T18" s="101">
        <f>IFERROR(__xludf.DUMMYFUNCTION("""COMPUTED_VALUE"""),9.0)</f>
        <v>9</v>
      </c>
      <c r="U18" s="213">
        <f>IFERROR(__xludf.DUMMYFUNCTION("""COMPUTED_VALUE"""),22007.0)</f>
        <v>22007</v>
      </c>
      <c r="V18" s="213" t="str">
        <f>IFERROR(__xludf.DUMMYFUNCTION("""COMPUTED_VALUE"""),"overall")</f>
        <v>overall</v>
      </c>
      <c r="W18" s="98" t="str">
        <f>IFERROR(__xludf.DUMMYFUNCTION("""COMPUTED_VALUE"""),"SMS")</f>
        <v>SMS</v>
      </c>
      <c r="X18" s="98" t="str">
        <f>IFERROR(__xludf.DUMMYFUNCTION("""COMPUTED_VALUE"""),"Sub-Category Movers")</f>
        <v>Sub-Category Movers</v>
      </c>
      <c r="Y18" s="98" t="str">
        <f>IFERROR(__xludf.DUMMYFUNCTION("""COMPUTED_VALUE"""),"23rd - 27th Jan")</f>
        <v>23rd - 27th Jan</v>
      </c>
      <c r="Z18" s="98" t="str">
        <f>IFERROR(__xludf.DUMMYFUNCTION("""COMPUTED_VALUE"""),"6973095ea05c59f882c87990")</f>
        <v>6973095ea05c59f882c87990</v>
      </c>
      <c r="AA18" s="98">
        <f>IFERROR(__xludf.DUMMYFUNCTION("""COMPUTED_VALUE"""),48.0)</f>
        <v>48</v>
      </c>
      <c r="AB18" s="98">
        <f>IFERROR(__xludf.DUMMYFUNCTION("""COMPUTED_VALUE"""),24.0)</f>
        <v>24</v>
      </c>
      <c r="AC18" s="98">
        <f>IFERROR(__xludf.DUMMYFUNCTION("""COMPUTED_VALUE"""),24.0)</f>
        <v>24</v>
      </c>
      <c r="AD18" s="98">
        <f>IFERROR(__xludf.DUMMYFUNCTION("""COMPUTED_VALUE"""),173632.0)</f>
        <v>173632</v>
      </c>
      <c r="AE18" s="98">
        <f>IFERROR(__xludf.DUMMYFUNCTION("""COMPUTED_VALUE"""),77276.0)</f>
        <v>77276</v>
      </c>
      <c r="AF18" s="98">
        <f>IFERROR(__xludf.DUMMYFUNCTION("""COMPUTED_VALUE"""),96356.0)</f>
        <v>96356</v>
      </c>
      <c r="AG18" s="208"/>
      <c r="AH18" s="208"/>
      <c r="AI18" s="208"/>
      <c r="AJ18" s="208"/>
      <c r="AK18" s="208"/>
    </row>
    <row r="19">
      <c r="A19" s="215">
        <f>IFERROR(__xludf.DUMMYFUNCTION("""COMPUTED_VALUE"""),46045.0)</f>
        <v>46045</v>
      </c>
      <c r="B19" s="210">
        <f>IFERROR(__xludf.DUMMYFUNCTION("""COMPUTED_VALUE"""),0.4791666666678793)</f>
        <v>0.4791666667</v>
      </c>
      <c r="C19" s="211" t="str">
        <f>IFERROR(__xludf.DUMMYFUNCTION("""COMPUTED_VALUE"""),"Sms")</f>
        <v>Sms</v>
      </c>
      <c r="D19" s="211" t="str">
        <f>IFERROR(__xludf.DUMMYFUNCTION("""COMPUTED_VALUE"""),"Fallback Campaign")</f>
        <v>Fallback Campaign</v>
      </c>
      <c r="E19" s="211" t="str">
        <f>IFERROR(__xludf.DUMMYFUNCTION("""COMPUTED_VALUE"""),"VS")</f>
        <v>VS</v>
      </c>
      <c r="F19" s="211" t="str">
        <f>IFERROR(__xludf.DUMMYFUNCTION("""COMPUTED_VALUE"""),"Republics Day campaign")</f>
        <v>Republics Day campaign</v>
      </c>
      <c r="G19" s="218" t="str">
        <f>IFERROR(__xludf.DUMMYFUNCTION("""COMPUTED_VALUE"""),"Republic Weekend Sale - 50% All Cat - Bra CX - Fallback")</f>
        <v>Republic Weekend Sale - 50% All Cat - Bra CX - Fallback</v>
      </c>
      <c r="H19" s="218" t="str">
        <f>IFERROR(__xludf.DUMMYFUNCTION("""COMPUTED_VALUE"""),"BRA_NotPurPanty_ONOFF")</f>
        <v>BRA_NotPurPanty_ONOFF</v>
      </c>
      <c r="I19" s="212" t="str">
        <f>IFERROR(__xludf.DUMMYFUNCTION("""COMPUTED_VALUE"""),"WA Undelivered")</f>
        <v>WA Undelivered</v>
      </c>
      <c r="J19" s="213">
        <f>IFERROR(__xludf.DUMMYFUNCTION("""COMPUTED_VALUE"""),12596.0)</f>
        <v>12596</v>
      </c>
      <c r="K19" s="213">
        <f>IFERROR(__xludf.DUMMYFUNCTION("""COMPUTED_VALUE"""),6823.0)</f>
        <v>6823</v>
      </c>
      <c r="L19" s="214">
        <f>IFERROR(__xludf.DUMMYFUNCTION("""COMPUTED_VALUE"""),0.5417)</f>
        <v>0.5417</v>
      </c>
      <c r="M19" s="213"/>
      <c r="N19" s="214"/>
      <c r="O19" s="101">
        <f>IFERROR(__xludf.DUMMYFUNCTION("""COMPUTED_VALUE"""),20.0)</f>
        <v>20</v>
      </c>
      <c r="P19" s="101"/>
      <c r="Q19" s="214">
        <f>IFERROR(__xludf.DUMMYFUNCTION("""COMPUTED_VALUE"""),0.0029)</f>
        <v>0.0029</v>
      </c>
      <c r="R19" s="214"/>
      <c r="S19" s="101">
        <f>IFERROR(__xludf.DUMMYFUNCTION("""COMPUTED_VALUE"""),4.0)</f>
        <v>4</v>
      </c>
      <c r="T19" s="101">
        <f>IFERROR(__xludf.DUMMYFUNCTION("""COMPUTED_VALUE"""),9.0)</f>
        <v>9</v>
      </c>
      <c r="U19" s="213">
        <f>IFERROR(__xludf.DUMMYFUNCTION("""COMPUTED_VALUE"""),12448.0)</f>
        <v>12448</v>
      </c>
      <c r="V19" s="213" t="str">
        <f>IFERROR(__xludf.DUMMYFUNCTION("""COMPUTED_VALUE"""),"overall")</f>
        <v>overall</v>
      </c>
      <c r="W19" s="98" t="str">
        <f>IFERROR(__xludf.DUMMYFUNCTION("""COMPUTED_VALUE"""),"SMS")</f>
        <v>SMS</v>
      </c>
      <c r="X19" s="98" t="str">
        <f>IFERROR(__xludf.DUMMYFUNCTION("""COMPUTED_VALUE"""),"Sub-Category Movers")</f>
        <v>Sub-Category Movers</v>
      </c>
      <c r="Y19" s="98" t="str">
        <f>IFERROR(__xludf.DUMMYFUNCTION("""COMPUTED_VALUE"""),"23rd - 27th Jan")</f>
        <v>23rd - 27th Jan</v>
      </c>
      <c r="Z19" s="98" t="str">
        <f>IFERROR(__xludf.DUMMYFUNCTION("""COMPUTED_VALUE"""),"69730967a7a5b625df3a44cc")</f>
        <v>69730967a7a5b625df3a44cc</v>
      </c>
      <c r="AA19" s="98">
        <f>IFERROR(__xludf.DUMMYFUNCTION("""COMPUTED_VALUE"""),56.0)</f>
        <v>56</v>
      </c>
      <c r="AB19" s="98">
        <f>IFERROR(__xludf.DUMMYFUNCTION("""COMPUTED_VALUE"""),14.0)</f>
        <v>14</v>
      </c>
      <c r="AC19" s="98">
        <f>IFERROR(__xludf.DUMMYFUNCTION("""COMPUTED_VALUE"""),42.0)</f>
        <v>42</v>
      </c>
      <c r="AD19" s="98">
        <f>IFERROR(__xludf.DUMMYFUNCTION("""COMPUTED_VALUE"""),312087.0)</f>
        <v>312087</v>
      </c>
      <c r="AE19" s="98">
        <f>IFERROR(__xludf.DUMMYFUNCTION("""COMPUTED_VALUE"""),32518.0)</f>
        <v>32518</v>
      </c>
      <c r="AF19" s="98">
        <f>IFERROR(__xludf.DUMMYFUNCTION("""COMPUTED_VALUE"""),279569.0)</f>
        <v>279569</v>
      </c>
      <c r="AG19" s="208"/>
      <c r="AH19" s="208"/>
      <c r="AI19" s="208"/>
      <c r="AJ19" s="208"/>
      <c r="AK19" s="208"/>
    </row>
    <row r="20">
      <c r="A20" s="215">
        <f>IFERROR(__xludf.DUMMYFUNCTION("""COMPUTED_VALUE"""),46045.0)</f>
        <v>46045</v>
      </c>
      <c r="B20" s="210">
        <f>IFERROR(__xludf.DUMMYFUNCTION("""COMPUTED_VALUE"""),0.4166666666678793)</f>
        <v>0.4166666667</v>
      </c>
      <c r="C20" s="211" t="str">
        <f>IFERROR(__xludf.DUMMYFUNCTION("""COMPUTED_VALUE"""),"Whatsapp")</f>
        <v>Whatsapp</v>
      </c>
      <c r="D20" s="211" t="str">
        <f>IFERROR(__xludf.DUMMYFUNCTION("""COMPUTED_VALUE"""),"Promotional")</f>
        <v>Promotional</v>
      </c>
      <c r="E20" s="211" t="str">
        <f>IFERROR(__xludf.DUMMYFUNCTION("""COMPUTED_VALUE"""),"VS")</f>
        <v>VS</v>
      </c>
      <c r="F20" s="211" t="str">
        <f>IFERROR(__xludf.DUMMYFUNCTION("""COMPUTED_VALUE"""),"Republics Day campaign")</f>
        <v>Republics Day campaign</v>
      </c>
      <c r="G20" s="218" t="str">
        <f>IFERROR(__xludf.DUMMYFUNCTION("""COMPUTED_VALUE"""),"Republic Weekend Sale - 50% All Cat - Active")</f>
        <v>Republic Weekend Sale - 50% All Cat - Active</v>
      </c>
      <c r="H20" s="218" t="str">
        <f>IFERROR(__xludf.DUMMYFUNCTION("""COMPUTED_VALUE"""),"Active_Discount50%_ONOFF OR AGIPL_Internal")</f>
        <v>Active_Discount50%_ONOFF OR AGIPL_Internal</v>
      </c>
      <c r="I20" s="212" t="str">
        <f>IFERROR(__xludf.DUMMYFUNCTION("""COMPUTED_VALUE"""),"Customer who have purchased in last 90 days with 50% discount")</f>
        <v>Customer who have purchased in last 90 days with 50% discount</v>
      </c>
      <c r="J20" s="213">
        <f>IFERROR(__xludf.DUMMYFUNCTION("""COMPUTED_VALUE"""),30897.0)</f>
        <v>30897</v>
      </c>
      <c r="K20" s="213">
        <f>IFERROR(__xludf.DUMMYFUNCTION("""COMPUTED_VALUE"""),15457.0)</f>
        <v>15457</v>
      </c>
      <c r="L20" s="214">
        <f>IFERROR(__xludf.DUMMYFUNCTION("""COMPUTED_VALUE"""),0.5003)</f>
        <v>0.5003</v>
      </c>
      <c r="M20" s="213">
        <f>IFERROR(__xludf.DUMMYFUNCTION("""COMPUTED_VALUE"""),4032.0)</f>
        <v>4032</v>
      </c>
      <c r="N20" s="214">
        <f>IFERROR(__xludf.DUMMYFUNCTION("""COMPUTED_VALUE"""),0.2608)</f>
        <v>0.2608</v>
      </c>
      <c r="O20" s="101">
        <f>IFERROR(__xludf.DUMMYFUNCTION("""COMPUTED_VALUE"""),584.0)</f>
        <v>584</v>
      </c>
      <c r="P20" s="101">
        <f>IFERROR(__xludf.DUMMYFUNCTION("""COMPUTED_VALUE"""),539.0)</f>
        <v>539</v>
      </c>
      <c r="Q20" s="214">
        <f>IFERROR(__xludf.DUMMYFUNCTION("""COMPUTED_VALUE"""),0.0349)</f>
        <v>0.0349</v>
      </c>
      <c r="R20" s="214">
        <f>IFERROR(__xludf.DUMMYFUNCTION("""COMPUTED_VALUE"""),0.1337)</f>
        <v>0.1337</v>
      </c>
      <c r="S20" s="101">
        <f>IFERROR(__xludf.DUMMYFUNCTION("""COMPUTED_VALUE"""),50.0)</f>
        <v>50</v>
      </c>
      <c r="T20" s="101">
        <f>IFERROR(__xludf.DUMMYFUNCTION("""COMPUTED_VALUE"""),130.0)</f>
        <v>130</v>
      </c>
      <c r="U20" s="213">
        <f>IFERROR(__xludf.DUMMYFUNCTION("""COMPUTED_VALUE"""),210894.0)</f>
        <v>210894</v>
      </c>
      <c r="V20" s="213" t="str">
        <f>IFERROR(__xludf.DUMMYFUNCTION("""COMPUTED_VALUE"""),"overall")</f>
        <v>overall</v>
      </c>
      <c r="W20" s="98" t="str">
        <f>IFERROR(__xludf.DUMMYFUNCTION("""COMPUTED_VALUE"""),"simple")</f>
        <v>simple</v>
      </c>
      <c r="X20" s="98" t="str">
        <f>IFERROR(__xludf.DUMMYFUNCTION("""COMPUTED_VALUE"""),"Discount Shopper")</f>
        <v>Discount Shopper</v>
      </c>
      <c r="Y20" s="98" t="str">
        <f>IFERROR(__xludf.DUMMYFUNCTION("""COMPUTED_VALUE"""),"23rd - 27th Jan")</f>
        <v>23rd - 27th Jan</v>
      </c>
      <c r="Z20" s="98" t="str">
        <f>IFERROR(__xludf.DUMMYFUNCTION("""COMPUTED_VALUE"""),"6972f6e4b9a3a3c64af41edf")</f>
        <v>6972f6e4b9a3a3c64af41edf</v>
      </c>
      <c r="AA20" s="98">
        <f>IFERROR(__xludf.DUMMYFUNCTION("""COMPUTED_VALUE"""),260.0)</f>
        <v>260</v>
      </c>
      <c r="AB20" s="98">
        <f>IFERROR(__xludf.DUMMYFUNCTION("""COMPUTED_VALUE"""),161.0)</f>
        <v>161</v>
      </c>
      <c r="AC20" s="98">
        <f>IFERROR(__xludf.DUMMYFUNCTION("""COMPUTED_VALUE"""),99.0)</f>
        <v>99</v>
      </c>
      <c r="AD20" s="98">
        <f>IFERROR(__xludf.DUMMYFUNCTION("""COMPUTED_VALUE"""),1875282.0)</f>
        <v>1875282</v>
      </c>
      <c r="AE20" s="98">
        <f>IFERROR(__xludf.DUMMYFUNCTION("""COMPUTED_VALUE"""),769463.0)</f>
        <v>769463</v>
      </c>
      <c r="AF20" s="98">
        <f>IFERROR(__xludf.DUMMYFUNCTION("""COMPUTED_VALUE"""),1105819.0)</f>
        <v>1105819</v>
      </c>
      <c r="AG20" s="208"/>
      <c r="AH20" s="208"/>
      <c r="AI20" s="208"/>
      <c r="AJ20" s="208"/>
      <c r="AK20" s="208"/>
    </row>
    <row r="21">
      <c r="A21" s="215">
        <f>IFERROR(__xludf.DUMMYFUNCTION("""COMPUTED_VALUE"""),46045.0)</f>
        <v>46045</v>
      </c>
      <c r="B21" s="210">
        <f>IFERROR(__xludf.DUMMYFUNCTION("""COMPUTED_VALUE"""),0.42013888889050577)</f>
        <v>0.4201388889</v>
      </c>
      <c r="C21" s="211" t="str">
        <f>IFERROR(__xludf.DUMMYFUNCTION("""COMPUTED_VALUE"""),"Whatsapp")</f>
        <v>Whatsapp</v>
      </c>
      <c r="D21" s="211" t="str">
        <f>IFERROR(__xludf.DUMMYFUNCTION("""COMPUTED_VALUE"""),"Promotional")</f>
        <v>Promotional</v>
      </c>
      <c r="E21" s="211" t="str">
        <f>IFERROR(__xludf.DUMMYFUNCTION("""COMPUTED_VALUE"""),"VS")</f>
        <v>VS</v>
      </c>
      <c r="F21" s="211" t="str">
        <f>IFERROR(__xludf.DUMMYFUNCTION("""COMPUTED_VALUE"""),"Republics Day campaign")</f>
        <v>Republics Day campaign</v>
      </c>
      <c r="G21" s="218" t="str">
        <f>IFERROR(__xludf.DUMMYFUNCTION("""COMPUTED_VALUE"""),"Republic Weekend Sale - 50% All Cat - Dormant")</f>
        <v>Republic Weekend Sale - 50% All Cat - Dormant</v>
      </c>
      <c r="H21" s="218" t="str">
        <f>IFERROR(__xludf.DUMMYFUNCTION("""COMPUTED_VALUE"""),"Dormant_Discount50%_ONOFF")</f>
        <v>Dormant_Discount50%_ONOFF</v>
      </c>
      <c r="I21" s="212" t="str">
        <f>IFERROR(__xludf.DUMMYFUNCTION("""COMPUTED_VALUE"""),"Customer who have not purchased in last 90 days And have purchased from Jan 2025 to Jan 2026 with 50% discount")</f>
        <v>Customer who have not purchased in last 90 days And have purchased from Jan 2025 to Jan 2026 with 50% discount</v>
      </c>
      <c r="J21" s="213">
        <f>IFERROR(__xludf.DUMMYFUNCTION("""COMPUTED_VALUE"""),54245.0)</f>
        <v>54245</v>
      </c>
      <c r="K21" s="213">
        <f>IFERROR(__xludf.DUMMYFUNCTION("""COMPUTED_VALUE"""),28858.0)</f>
        <v>28858</v>
      </c>
      <c r="L21" s="214">
        <f>IFERROR(__xludf.DUMMYFUNCTION("""COMPUTED_VALUE"""),0.532)</f>
        <v>0.532</v>
      </c>
      <c r="M21" s="213">
        <f>IFERROR(__xludf.DUMMYFUNCTION("""COMPUTED_VALUE"""),7851.0)</f>
        <v>7851</v>
      </c>
      <c r="N21" s="214">
        <f>IFERROR(__xludf.DUMMYFUNCTION("""COMPUTED_VALUE"""),0.272)</f>
        <v>0.272</v>
      </c>
      <c r="O21" s="101">
        <f>IFERROR(__xludf.DUMMYFUNCTION("""COMPUTED_VALUE"""),975.0)</f>
        <v>975</v>
      </c>
      <c r="P21" s="101">
        <f>IFERROR(__xludf.DUMMYFUNCTION("""COMPUTED_VALUE"""),909.0)</f>
        <v>909</v>
      </c>
      <c r="Q21" s="214">
        <f>IFERROR(__xludf.DUMMYFUNCTION("""COMPUTED_VALUE"""),0.0315)</f>
        <v>0.0315</v>
      </c>
      <c r="R21" s="214">
        <f>IFERROR(__xludf.DUMMYFUNCTION("""COMPUTED_VALUE"""),0.1158)</f>
        <v>0.1158</v>
      </c>
      <c r="S21" s="101">
        <f>IFERROR(__xludf.DUMMYFUNCTION("""COMPUTED_VALUE"""),40.0)</f>
        <v>40</v>
      </c>
      <c r="T21" s="101">
        <f>IFERROR(__xludf.DUMMYFUNCTION("""COMPUTED_VALUE"""),77.0)</f>
        <v>77</v>
      </c>
      <c r="U21" s="213">
        <f>IFERROR(__xludf.DUMMYFUNCTION("""COMPUTED_VALUE"""),170741.0)</f>
        <v>170741</v>
      </c>
      <c r="V21" s="213" t="str">
        <f>IFERROR(__xludf.DUMMYFUNCTION("""COMPUTED_VALUE"""),"overall")</f>
        <v>overall</v>
      </c>
      <c r="W21" s="98" t="str">
        <f>IFERROR(__xludf.DUMMYFUNCTION("""COMPUTED_VALUE"""),"simple")</f>
        <v>simple</v>
      </c>
      <c r="X21" s="98" t="str">
        <f>IFERROR(__xludf.DUMMYFUNCTION("""COMPUTED_VALUE"""),"Discount Shopper")</f>
        <v>Discount Shopper</v>
      </c>
      <c r="Y21" s="98" t="str">
        <f>IFERROR(__xludf.DUMMYFUNCTION("""COMPUTED_VALUE"""),"23rd - 27th Jan")</f>
        <v>23rd - 27th Jan</v>
      </c>
      <c r="Z21" s="98" t="str">
        <f>IFERROR(__xludf.DUMMYFUNCTION("""COMPUTED_VALUE"""),"6972f71c4eaaa00638edc23a")</f>
        <v>6972f71c4eaaa00638edc23a</v>
      </c>
      <c r="AA21" s="98">
        <f>IFERROR(__xludf.DUMMYFUNCTION("""COMPUTED_VALUE"""),179.0)</f>
        <v>179</v>
      </c>
      <c r="AB21" s="98">
        <f>IFERROR(__xludf.DUMMYFUNCTION("""COMPUTED_VALUE"""),124.0)</f>
        <v>124</v>
      </c>
      <c r="AC21" s="98">
        <f>IFERROR(__xludf.DUMMYFUNCTION("""COMPUTED_VALUE"""),55.0)</f>
        <v>55</v>
      </c>
      <c r="AD21" s="98">
        <f>IFERROR(__xludf.DUMMYFUNCTION("""COMPUTED_VALUE"""),851011.0)</f>
        <v>851011</v>
      </c>
      <c r="AE21" s="98">
        <f>IFERROR(__xludf.DUMMYFUNCTION("""COMPUTED_VALUE"""),551932.0)</f>
        <v>551932</v>
      </c>
      <c r="AF21" s="98">
        <f>IFERROR(__xludf.DUMMYFUNCTION("""COMPUTED_VALUE"""),299079.0)</f>
        <v>299079</v>
      </c>
      <c r="AG21" s="208"/>
      <c r="AH21" s="208"/>
      <c r="AI21" s="208"/>
      <c r="AJ21" s="208"/>
      <c r="AK21" s="208"/>
    </row>
    <row r="22">
      <c r="A22" s="215">
        <f>IFERROR(__xludf.DUMMYFUNCTION("""COMPUTED_VALUE"""),46045.0)</f>
        <v>46045</v>
      </c>
      <c r="B22" s="210">
        <f>IFERROR(__xludf.DUMMYFUNCTION("""COMPUTED_VALUE"""),0.42361111110949423)</f>
        <v>0.4236111111</v>
      </c>
      <c r="C22" s="211" t="str">
        <f>IFERROR(__xludf.DUMMYFUNCTION("""COMPUTED_VALUE"""),"Whatsapp")</f>
        <v>Whatsapp</v>
      </c>
      <c r="D22" s="211" t="str">
        <f>IFERROR(__xludf.DUMMYFUNCTION("""COMPUTED_VALUE"""),"Promotional")</f>
        <v>Promotional</v>
      </c>
      <c r="E22" s="211" t="str">
        <f>IFERROR(__xludf.DUMMYFUNCTION("""COMPUTED_VALUE"""),"VS")</f>
        <v>VS</v>
      </c>
      <c r="F22" s="211" t="str">
        <f>IFERROR(__xludf.DUMMYFUNCTION("""COMPUTED_VALUE"""),"Republics Day campaign")</f>
        <v>Republics Day campaign</v>
      </c>
      <c r="G22" s="218" t="str">
        <f>IFERROR(__xludf.DUMMYFUNCTION("""COMPUTED_VALUE"""),"Republic Weekend Sale - 50% All Cat - panty_cx")</f>
        <v>Republic Weekend Sale - 50% All Cat - panty_cx</v>
      </c>
      <c r="H22" s="218" t="str">
        <f>IFERROR(__xludf.DUMMYFUNCTION("""COMPUTED_VALUE"""),"Panty_NotPurBra_ONOFF")</f>
        <v>Panty_NotPurBra_ONOFF</v>
      </c>
      <c r="I22" s="212" t="str">
        <f>IFERROR(__xludf.DUMMYFUNCTION("""COMPUTED_VALUE"""),"Customers who have purchased Panty but have not purchased BRA")</f>
        <v>Customers who have purchased Panty but have not purchased BRA</v>
      </c>
      <c r="J22" s="213">
        <f>IFERROR(__xludf.DUMMYFUNCTION("""COMPUTED_VALUE"""),25891.0)</f>
        <v>25891</v>
      </c>
      <c r="K22" s="213">
        <f>IFERROR(__xludf.DUMMYFUNCTION("""COMPUTED_VALUE"""),12647.0)</f>
        <v>12647</v>
      </c>
      <c r="L22" s="214">
        <f>IFERROR(__xludf.DUMMYFUNCTION("""COMPUTED_VALUE"""),0.4885)</f>
        <v>0.4885</v>
      </c>
      <c r="M22" s="213">
        <f>IFERROR(__xludf.DUMMYFUNCTION("""COMPUTED_VALUE"""),2909.0)</f>
        <v>2909</v>
      </c>
      <c r="N22" s="214">
        <f>IFERROR(__xludf.DUMMYFUNCTION("""COMPUTED_VALUE"""),0.23)</f>
        <v>0.23</v>
      </c>
      <c r="O22" s="101">
        <f>IFERROR(__xludf.DUMMYFUNCTION("""COMPUTED_VALUE"""),418.0)</f>
        <v>418</v>
      </c>
      <c r="P22" s="101">
        <f>IFERROR(__xludf.DUMMYFUNCTION("""COMPUTED_VALUE"""),381.0)</f>
        <v>381</v>
      </c>
      <c r="Q22" s="214">
        <f>IFERROR(__xludf.DUMMYFUNCTION("""COMPUTED_VALUE"""),0.0301)</f>
        <v>0.0301</v>
      </c>
      <c r="R22" s="214">
        <f>IFERROR(__xludf.DUMMYFUNCTION("""COMPUTED_VALUE"""),0.131)</f>
        <v>0.131</v>
      </c>
      <c r="S22" s="101">
        <f>IFERROR(__xludf.DUMMYFUNCTION("""COMPUTED_VALUE"""),5.0)</f>
        <v>5</v>
      </c>
      <c r="T22" s="101">
        <f>IFERROR(__xludf.DUMMYFUNCTION("""COMPUTED_VALUE"""),21.0)</f>
        <v>21</v>
      </c>
      <c r="U22" s="213">
        <f>IFERROR(__xludf.DUMMYFUNCTION("""COMPUTED_VALUE"""),15987.0)</f>
        <v>15987</v>
      </c>
      <c r="V22" s="213" t="str">
        <f>IFERROR(__xludf.DUMMYFUNCTION("""COMPUTED_VALUE"""),"overall")</f>
        <v>overall</v>
      </c>
      <c r="W22" s="98" t="str">
        <f>IFERROR(__xludf.DUMMYFUNCTION("""COMPUTED_VALUE"""),"simple")</f>
        <v>simple</v>
      </c>
      <c r="X22" s="98" t="str">
        <f>IFERROR(__xludf.DUMMYFUNCTION("""COMPUTED_VALUE"""),"Sub-Category Movers")</f>
        <v>Sub-Category Movers</v>
      </c>
      <c r="Y22" s="98" t="str">
        <f>IFERROR(__xludf.DUMMYFUNCTION("""COMPUTED_VALUE"""),"23rd - 27th Jan")</f>
        <v>23rd - 27th Jan</v>
      </c>
      <c r="Z22" s="98" t="str">
        <f>IFERROR(__xludf.DUMMYFUNCTION("""COMPUTED_VALUE"""),"6972f76893e6b87406412f17")</f>
        <v>6972f76893e6b87406412f17</v>
      </c>
      <c r="AA22" s="98">
        <f>IFERROR(__xludf.DUMMYFUNCTION("""COMPUTED_VALUE"""),101.0)</f>
        <v>101</v>
      </c>
      <c r="AB22" s="98">
        <f>IFERROR(__xludf.DUMMYFUNCTION("""COMPUTED_VALUE"""),43.0)</f>
        <v>43</v>
      </c>
      <c r="AC22" s="98">
        <f>IFERROR(__xludf.DUMMYFUNCTION("""COMPUTED_VALUE"""),58.0)</f>
        <v>58</v>
      </c>
      <c r="AD22" s="98">
        <f>IFERROR(__xludf.DUMMYFUNCTION("""COMPUTED_VALUE"""),465450.0)</f>
        <v>465450</v>
      </c>
      <c r="AE22" s="98">
        <f>IFERROR(__xludf.DUMMYFUNCTION("""COMPUTED_VALUE"""),133273.0)</f>
        <v>133273</v>
      </c>
      <c r="AF22" s="98">
        <f>IFERROR(__xludf.DUMMYFUNCTION("""COMPUTED_VALUE"""),332177.0)</f>
        <v>332177</v>
      </c>
      <c r="AG22" s="208"/>
      <c r="AH22" s="208"/>
      <c r="AI22" s="208"/>
      <c r="AJ22" s="208"/>
      <c r="AK22" s="208"/>
    </row>
    <row r="23">
      <c r="A23" s="237">
        <f>IFERROR(__xludf.DUMMYFUNCTION("""COMPUTED_VALUE"""),46045.0)</f>
        <v>46045</v>
      </c>
      <c r="B23" s="238">
        <f>IFERROR(__xludf.DUMMYFUNCTION("""COMPUTED_VALUE"""),0.4270833333321207)</f>
        <v>0.4270833333</v>
      </c>
      <c r="C23" s="96" t="str">
        <f>IFERROR(__xludf.DUMMYFUNCTION("""COMPUTED_VALUE"""),"Whatsapp")</f>
        <v>Whatsapp</v>
      </c>
      <c r="D23" s="212" t="str">
        <f>IFERROR(__xludf.DUMMYFUNCTION("""COMPUTED_VALUE"""),"Promotional")</f>
        <v>Promotional</v>
      </c>
      <c r="E23" s="96" t="str">
        <f>IFERROR(__xludf.DUMMYFUNCTION("""COMPUTED_VALUE"""),"VS")</f>
        <v>VS</v>
      </c>
      <c r="F23" s="212" t="str">
        <f>IFERROR(__xludf.DUMMYFUNCTION("""COMPUTED_VALUE"""),"Republics Day campaign")</f>
        <v>Republics Day campaign</v>
      </c>
      <c r="G23" s="212" t="str">
        <f>IFERROR(__xludf.DUMMYFUNCTION("""COMPUTED_VALUE"""),"Republic Weekend Sale - 50% All Cat - Bra CX")</f>
        <v>Republic Weekend Sale - 50% All Cat - Bra CX</v>
      </c>
      <c r="H23" s="28" t="str">
        <f>IFERROR(__xludf.DUMMYFUNCTION("""COMPUTED_VALUE"""),"BRA_NotPurPanty_ONOFF")</f>
        <v>BRA_NotPurPanty_ONOFF</v>
      </c>
      <c r="I23" s="28" t="str">
        <f>IFERROR(__xludf.DUMMYFUNCTION("""COMPUTED_VALUE"""),"Customers who have purchased Bra but have not purchased Panty")</f>
        <v>Customers who have purchased Bra but have not purchased Panty</v>
      </c>
      <c r="J23" s="239">
        <f>IFERROR(__xludf.DUMMYFUNCTION("""COMPUTED_VALUE"""),26099.0)</f>
        <v>26099</v>
      </c>
      <c r="K23" s="240">
        <f>IFERROR(__xludf.DUMMYFUNCTION("""COMPUTED_VALUE"""),11934.0)</f>
        <v>11934</v>
      </c>
      <c r="L23" s="241">
        <f>IFERROR(__xludf.DUMMYFUNCTION("""COMPUTED_VALUE"""),0.4573)</f>
        <v>0.4573</v>
      </c>
      <c r="M23" s="240">
        <f>IFERROR(__xludf.DUMMYFUNCTION("""COMPUTED_VALUE"""),2542.0)</f>
        <v>2542</v>
      </c>
      <c r="N23" s="136">
        <f>IFERROR(__xludf.DUMMYFUNCTION("""COMPUTED_VALUE"""),0.2129)</f>
        <v>0.2129</v>
      </c>
      <c r="O23" s="73">
        <f>IFERROR(__xludf.DUMMYFUNCTION("""COMPUTED_VALUE"""),374.0)</f>
        <v>374</v>
      </c>
      <c r="P23" s="73">
        <f>IFERROR(__xludf.DUMMYFUNCTION("""COMPUTED_VALUE"""),339.0)</f>
        <v>339</v>
      </c>
      <c r="Q23" s="214">
        <f>IFERROR(__xludf.DUMMYFUNCTION("""COMPUTED_VALUE"""),0.0284)</f>
        <v>0.0284</v>
      </c>
      <c r="R23" s="214">
        <f>IFERROR(__xludf.DUMMYFUNCTION("""COMPUTED_VALUE"""),0.1334)</f>
        <v>0.1334</v>
      </c>
      <c r="S23" s="101">
        <f>IFERROR(__xludf.DUMMYFUNCTION("""COMPUTED_VALUE"""),10.0)</f>
        <v>10</v>
      </c>
      <c r="T23" s="222">
        <f>IFERROR(__xludf.DUMMYFUNCTION("""COMPUTED_VALUE"""),15.0)</f>
        <v>15</v>
      </c>
      <c r="U23" s="242">
        <f>IFERROR(__xludf.DUMMYFUNCTION("""COMPUTED_VALUE"""),25135.0)</f>
        <v>25135</v>
      </c>
      <c r="V23" s="242" t="str">
        <f>IFERROR(__xludf.DUMMYFUNCTION("""COMPUTED_VALUE"""),"overall")</f>
        <v>overall</v>
      </c>
      <c r="W23" s="243" t="str">
        <f>IFERROR(__xludf.DUMMYFUNCTION("""COMPUTED_VALUE"""),"simple")</f>
        <v>simple</v>
      </c>
      <c r="X23" s="243" t="str">
        <f>IFERROR(__xludf.DUMMYFUNCTION("""COMPUTED_VALUE"""),"Sub-Category Movers")</f>
        <v>Sub-Category Movers</v>
      </c>
      <c r="Y23" s="243" t="str">
        <f>IFERROR(__xludf.DUMMYFUNCTION("""COMPUTED_VALUE"""),"23rd - 27th Jan")</f>
        <v>23rd - 27th Jan</v>
      </c>
      <c r="Z23" s="243" t="str">
        <f>IFERROR(__xludf.DUMMYFUNCTION("""COMPUTED_VALUE"""),"6972f7930f185824fecac758")</f>
        <v>6972f7930f185824fecac758</v>
      </c>
      <c r="AA23" s="243">
        <f>IFERROR(__xludf.DUMMYFUNCTION("""COMPUTED_VALUE"""),94.0)</f>
        <v>94</v>
      </c>
      <c r="AB23" s="243">
        <f>IFERROR(__xludf.DUMMYFUNCTION("""COMPUTED_VALUE"""),40.0)</f>
        <v>40</v>
      </c>
      <c r="AC23" s="243">
        <f>IFERROR(__xludf.DUMMYFUNCTION("""COMPUTED_VALUE"""),54.0)</f>
        <v>54</v>
      </c>
      <c r="AD23" s="243">
        <f>IFERROR(__xludf.DUMMYFUNCTION("""COMPUTED_VALUE"""),526375.0)</f>
        <v>526375</v>
      </c>
      <c r="AE23" s="243">
        <f>IFERROR(__xludf.DUMMYFUNCTION("""COMPUTED_VALUE"""),123693.0)</f>
        <v>123693</v>
      </c>
      <c r="AF23" s="243">
        <f>IFERROR(__xludf.DUMMYFUNCTION("""COMPUTED_VALUE"""),402682.0)</f>
        <v>402682</v>
      </c>
      <c r="AG23" s="208"/>
      <c r="AH23" s="208"/>
      <c r="AI23" s="208"/>
      <c r="AJ23" s="208"/>
      <c r="AK23" s="208"/>
    </row>
    <row r="24">
      <c r="A24" s="237">
        <f>IFERROR(__xludf.DUMMYFUNCTION("""COMPUTED_VALUE"""),46045.0)</f>
        <v>46045</v>
      </c>
      <c r="B24" s="238">
        <f>IFERROR(__xludf.DUMMYFUNCTION("""COMPUTED_VALUE"""),0.4305555555547471)</f>
        <v>0.4305555556</v>
      </c>
      <c r="C24" s="96" t="str">
        <f>IFERROR(__xludf.DUMMYFUNCTION("""COMPUTED_VALUE"""),"Whatsapp")</f>
        <v>Whatsapp</v>
      </c>
      <c r="D24" s="212" t="str">
        <f>IFERROR(__xludf.DUMMYFUNCTION("""COMPUTED_VALUE"""),"Promotional")</f>
        <v>Promotional</v>
      </c>
      <c r="E24" s="96" t="str">
        <f>IFERROR(__xludf.DUMMYFUNCTION("""COMPUTED_VALUE"""),"VS")</f>
        <v>VS</v>
      </c>
      <c r="F24" s="212" t="str">
        <f>IFERROR(__xludf.DUMMYFUNCTION("""COMPUTED_VALUE"""),"Republics Day campaign")</f>
        <v>Republics Day campaign</v>
      </c>
      <c r="G24" s="212" t="str">
        <f>IFERROR(__xludf.DUMMYFUNCTION("""COMPUTED_VALUE"""),"Republic Weekend Sale - 50% All Cat - BTY CX")</f>
        <v>Republic Weekend Sale - 50% All Cat - BTY CX</v>
      </c>
      <c r="H24" s="28" t="str">
        <f>IFERROR(__xludf.DUMMYFUNCTION("""COMPUTED_VALUE"""),"BeautyLess5999_NotPurLin_ONOFF")</f>
        <v>BeautyLess5999_NotPurLin_ONOFF</v>
      </c>
      <c r="I24" s="28" t="str">
        <f>IFERROR(__xludf.DUMMYFUNCTION("""COMPUTED_VALUE"""),"Customers who have purchased Beauty but not Lingerie")</f>
        <v>Customers who have purchased Beauty but not Lingerie</v>
      </c>
      <c r="J24" s="239">
        <f>IFERROR(__xludf.DUMMYFUNCTION("""COMPUTED_VALUE"""),98271.0)</f>
        <v>98271</v>
      </c>
      <c r="K24" s="240">
        <f>IFERROR(__xludf.DUMMYFUNCTION("""COMPUTED_VALUE"""),55568.0)</f>
        <v>55568</v>
      </c>
      <c r="L24" s="241">
        <f>IFERROR(__xludf.DUMMYFUNCTION("""COMPUTED_VALUE"""),0.5655)</f>
        <v>0.5655</v>
      </c>
      <c r="M24" s="240">
        <f>IFERROR(__xludf.DUMMYFUNCTION("""COMPUTED_VALUE"""),15728.0)</f>
        <v>15728</v>
      </c>
      <c r="N24" s="136">
        <f>IFERROR(__xludf.DUMMYFUNCTION("""COMPUTED_VALUE"""),0.283)</f>
        <v>0.283</v>
      </c>
      <c r="O24" s="73">
        <f>IFERROR(__xludf.DUMMYFUNCTION("""COMPUTED_VALUE"""),1760.0)</f>
        <v>1760</v>
      </c>
      <c r="P24" s="73">
        <f>IFERROR(__xludf.DUMMYFUNCTION("""COMPUTED_VALUE"""),1633.0)</f>
        <v>1633</v>
      </c>
      <c r="Q24" s="214">
        <f>IFERROR(__xludf.DUMMYFUNCTION("""COMPUTED_VALUE"""),0.0294)</f>
        <v>0.0294</v>
      </c>
      <c r="R24" s="214">
        <f>IFERROR(__xludf.DUMMYFUNCTION("""COMPUTED_VALUE"""),0.1038)</f>
        <v>0.1038</v>
      </c>
      <c r="S24" s="101">
        <f>IFERROR(__xludf.DUMMYFUNCTION("""COMPUTED_VALUE"""),11.0)</f>
        <v>11</v>
      </c>
      <c r="T24" s="222">
        <f>IFERROR(__xludf.DUMMYFUNCTION("""COMPUTED_VALUE"""),36.0)</f>
        <v>36</v>
      </c>
      <c r="U24" s="242">
        <f>IFERROR(__xludf.DUMMYFUNCTION("""COMPUTED_VALUE"""),26627.0)</f>
        <v>26627</v>
      </c>
      <c r="V24" s="242" t="str">
        <f>IFERROR(__xludf.DUMMYFUNCTION("""COMPUTED_VALUE"""),"overall")</f>
        <v>overall</v>
      </c>
      <c r="W24" s="243" t="str">
        <f>IFERROR(__xludf.DUMMYFUNCTION("""COMPUTED_VALUE"""),"simple")</f>
        <v>simple</v>
      </c>
      <c r="X24" s="243" t="str">
        <f>IFERROR(__xludf.DUMMYFUNCTION("""COMPUTED_VALUE"""),"Generic")</f>
        <v>Generic</v>
      </c>
      <c r="Y24" s="243" t="str">
        <f>IFERROR(__xludf.DUMMYFUNCTION("""COMPUTED_VALUE"""),"23rd - 27th Jan")</f>
        <v>23rd - 27th Jan</v>
      </c>
      <c r="Z24" s="243" t="str">
        <f>IFERROR(__xludf.DUMMYFUNCTION("""COMPUTED_VALUE"""),"6972f7b3da903752fe9630af")</f>
        <v>6972f7b3da903752fe9630af</v>
      </c>
      <c r="AA24" s="243">
        <f>IFERROR(__xludf.DUMMYFUNCTION("""COMPUTED_VALUE"""),197.0)</f>
        <v>197</v>
      </c>
      <c r="AB24" s="243">
        <f>IFERROR(__xludf.DUMMYFUNCTION("""COMPUTED_VALUE"""),49.0)</f>
        <v>49</v>
      </c>
      <c r="AC24" s="243">
        <f>IFERROR(__xludf.DUMMYFUNCTION("""COMPUTED_VALUE"""),148.0)</f>
        <v>148</v>
      </c>
      <c r="AD24" s="243">
        <f>IFERROR(__xludf.DUMMYFUNCTION("""COMPUTED_VALUE"""),693411.0)</f>
        <v>693411</v>
      </c>
      <c r="AE24" s="243">
        <f>IFERROR(__xludf.DUMMYFUNCTION("""COMPUTED_VALUE"""),117697.0)</f>
        <v>117697</v>
      </c>
      <c r="AF24" s="243">
        <f>IFERROR(__xludf.DUMMYFUNCTION("""COMPUTED_VALUE"""),575714.0)</f>
        <v>575714</v>
      </c>
      <c r="AG24" s="208"/>
      <c r="AH24" s="208"/>
      <c r="AI24" s="208"/>
      <c r="AJ24" s="208"/>
      <c r="AK24" s="208"/>
    </row>
    <row r="25">
      <c r="A25" s="237">
        <f>IFERROR(__xludf.DUMMYFUNCTION("""COMPUTED_VALUE"""),46045.0)</f>
        <v>46045</v>
      </c>
      <c r="B25" s="238">
        <f>IFERROR(__xludf.DUMMYFUNCTION("""COMPUTED_VALUE"""),0.4305555555547471)</f>
        <v>0.4305555556</v>
      </c>
      <c r="C25" s="96" t="str">
        <f>IFERROR(__xludf.DUMMYFUNCTION("""COMPUTED_VALUE"""),"Whatsapp")</f>
        <v>Whatsapp</v>
      </c>
      <c r="D25" s="212" t="str">
        <f>IFERROR(__xludf.DUMMYFUNCTION("""COMPUTED_VALUE"""),"Promotional")</f>
        <v>Promotional</v>
      </c>
      <c r="E25" s="96" t="str">
        <f>IFERROR(__xludf.DUMMYFUNCTION("""COMPUTED_VALUE"""),"VS")</f>
        <v>VS</v>
      </c>
      <c r="F25" s="212" t="str">
        <f>IFERROR(__xludf.DUMMYFUNCTION("""COMPUTED_VALUE"""),"Republics Day campaign")</f>
        <v>Republics Day campaign</v>
      </c>
      <c r="G25" s="212" t="str">
        <f>IFERROR(__xludf.DUMMYFUNCTION("""COMPUTED_VALUE"""),"Republic Weekend Sale - 50% All Cat - Rest Nontxn")</f>
        <v>Republic Weekend Sale - 50% All Cat - Rest Nontxn</v>
      </c>
      <c r="H25" s="28" t="str">
        <f>IFERROR(__xludf.DUMMYFUNCTION("""COMPUTED_VALUE"""),"Rest_Notxn")</f>
        <v>Rest_Notxn</v>
      </c>
      <c r="I25" s="28" t="str">
        <f>IFERROR(__xludf.DUMMYFUNCTION("""COMPUTED_VALUE"""),"Users who have registered but have not yet transacted")</f>
        <v>Users who have registered but have not yet transacted</v>
      </c>
      <c r="J25" s="239">
        <f>IFERROR(__xludf.DUMMYFUNCTION("""COMPUTED_VALUE"""),70478.0)</f>
        <v>70478</v>
      </c>
      <c r="K25" s="240">
        <f>IFERROR(__xludf.DUMMYFUNCTION("""COMPUTED_VALUE"""),41484.0)</f>
        <v>41484</v>
      </c>
      <c r="L25" s="241">
        <f>IFERROR(__xludf.DUMMYFUNCTION("""COMPUTED_VALUE"""),0.5886)</f>
        <v>0.5886</v>
      </c>
      <c r="M25" s="240">
        <f>IFERROR(__xludf.DUMMYFUNCTION("""COMPUTED_VALUE"""),12086.0)</f>
        <v>12086</v>
      </c>
      <c r="N25" s="136">
        <f>IFERROR(__xludf.DUMMYFUNCTION("""COMPUTED_VALUE"""),0.2913)</f>
        <v>0.2913</v>
      </c>
      <c r="O25" s="73">
        <f>IFERROR(__xludf.DUMMYFUNCTION("""COMPUTED_VALUE"""),2218.0)</f>
        <v>2218</v>
      </c>
      <c r="P25" s="73">
        <f>IFERROR(__xludf.DUMMYFUNCTION("""COMPUTED_VALUE"""),2031.0)</f>
        <v>2031</v>
      </c>
      <c r="Q25" s="214">
        <f>IFERROR(__xludf.DUMMYFUNCTION("""COMPUTED_VALUE"""),0.049)</f>
        <v>0.049</v>
      </c>
      <c r="R25" s="214">
        <f>IFERROR(__xludf.DUMMYFUNCTION("""COMPUTED_VALUE"""),0.1681)</f>
        <v>0.1681</v>
      </c>
      <c r="S25" s="101">
        <f>IFERROR(__xludf.DUMMYFUNCTION("""COMPUTED_VALUE"""),42.0)</f>
        <v>42</v>
      </c>
      <c r="T25" s="222">
        <f>IFERROR(__xludf.DUMMYFUNCTION("""COMPUTED_VALUE"""),117.0)</f>
        <v>117</v>
      </c>
      <c r="U25" s="242">
        <f>IFERROR(__xludf.DUMMYFUNCTION("""COMPUTED_VALUE"""),214732.0)</f>
        <v>214732</v>
      </c>
      <c r="V25" s="242" t="str">
        <f>IFERROR(__xludf.DUMMYFUNCTION("""COMPUTED_VALUE"""),"overall")</f>
        <v>overall</v>
      </c>
      <c r="W25" s="243" t="str">
        <f>IFERROR(__xludf.DUMMYFUNCTION("""COMPUTED_VALUE"""),"simple")</f>
        <v>simple</v>
      </c>
      <c r="X25" s="243" t="str">
        <f>IFERROR(__xludf.DUMMYFUNCTION("""COMPUTED_VALUE"""),"Generic")</f>
        <v>Generic</v>
      </c>
      <c r="Y25" s="243" t="str">
        <f>IFERROR(__xludf.DUMMYFUNCTION("""COMPUTED_VALUE"""),"23rd - 27th Jan")</f>
        <v>23rd - 27th Jan</v>
      </c>
      <c r="Z25" s="243" t="str">
        <f>IFERROR(__xludf.DUMMYFUNCTION("""COMPUTED_VALUE"""),"6972f7c38752e3419e1793e3")</f>
        <v>6972f7c38752e3419e1793e3</v>
      </c>
      <c r="AA25" s="243">
        <f>IFERROR(__xludf.DUMMYFUNCTION("""COMPUTED_VALUE"""),121.0)</f>
        <v>121</v>
      </c>
      <c r="AB25" s="243">
        <f>IFERROR(__xludf.DUMMYFUNCTION("""COMPUTED_VALUE"""),86.0)</f>
        <v>86</v>
      </c>
      <c r="AC25" s="243">
        <f>IFERROR(__xludf.DUMMYFUNCTION("""COMPUTED_VALUE"""),35.0)</f>
        <v>35</v>
      </c>
      <c r="AD25" s="243">
        <f>IFERROR(__xludf.DUMMYFUNCTION("""COMPUTED_VALUE"""),517738.0)</f>
        <v>517738</v>
      </c>
      <c r="AE25" s="243">
        <f>IFERROR(__xludf.DUMMYFUNCTION("""COMPUTED_VALUE"""),392203.0)</f>
        <v>392203</v>
      </c>
      <c r="AF25" s="243">
        <f>IFERROR(__xludf.DUMMYFUNCTION("""COMPUTED_VALUE"""),125535.0)</f>
        <v>125535</v>
      </c>
      <c r="AG25" s="208"/>
      <c r="AH25" s="208"/>
      <c r="AI25" s="208"/>
      <c r="AJ25" s="208"/>
      <c r="AK25" s="208"/>
    </row>
    <row r="26">
      <c r="A26" s="237">
        <f>IFERROR(__xludf.DUMMYFUNCTION("""COMPUTED_VALUE"""),46047.0)</f>
        <v>46047</v>
      </c>
      <c r="B26" s="238">
        <f>IFERROR(__xludf.DUMMYFUNCTION("""COMPUTED_VALUE"""),0.4583333333321207)</f>
        <v>0.4583333333</v>
      </c>
      <c r="C26" s="96" t="str">
        <f>IFERROR(__xludf.DUMMYFUNCTION("""COMPUTED_VALUE"""),"Sms")</f>
        <v>Sms</v>
      </c>
      <c r="D26" s="212" t="str">
        <f>IFERROR(__xludf.DUMMYFUNCTION("""COMPUTED_VALUE"""),"Promotional")</f>
        <v>Promotional</v>
      </c>
      <c r="E26" s="96" t="str">
        <f>IFERROR(__xludf.DUMMYFUNCTION("""COMPUTED_VALUE"""),"VS")</f>
        <v>VS</v>
      </c>
      <c r="F26" s="212" t="str">
        <f>IFERROR(__xludf.DUMMYFUNCTION("""COMPUTED_VALUE"""),"Republics Day campaign")</f>
        <v>Republics Day campaign</v>
      </c>
      <c r="G26" s="212" t="str">
        <f>IFERROR(__xludf.DUMMYFUNCTION("""COMPUTED_VALUE"""),"Republic Weekend Sale - 50% All Cat - Rest Nontxn Sun")</f>
        <v>Republic Weekend Sale - 50% All Cat - Rest Nontxn Sun</v>
      </c>
      <c r="H26" s="28" t="str">
        <f>IFERROR(__xludf.DUMMYFUNCTION("""COMPUTED_VALUE"""),"Rest_Notxn")</f>
        <v>Rest_Notxn</v>
      </c>
      <c r="I26" s="28" t="str">
        <f>IFERROR(__xludf.DUMMYFUNCTION("""COMPUTED_VALUE"""),"Users who have registered but have not yet transacted")</f>
        <v>Users who have registered but have not yet transacted</v>
      </c>
      <c r="J26" s="239">
        <f>IFERROR(__xludf.DUMMYFUNCTION("""COMPUTED_VALUE"""),71026.0)</f>
        <v>71026</v>
      </c>
      <c r="K26" s="240">
        <f>IFERROR(__xludf.DUMMYFUNCTION("""COMPUTED_VALUE"""),49735.0)</f>
        <v>49735</v>
      </c>
      <c r="L26" s="241">
        <f>IFERROR(__xludf.DUMMYFUNCTION("""COMPUTED_VALUE"""),0.7002)</f>
        <v>0.7002</v>
      </c>
      <c r="M26" s="240"/>
      <c r="N26" s="136"/>
      <c r="O26" s="73">
        <f>IFERROR(__xludf.DUMMYFUNCTION("""COMPUTED_VALUE"""),133.0)</f>
        <v>133</v>
      </c>
      <c r="P26" s="73"/>
      <c r="Q26" s="214">
        <f>IFERROR(__xludf.DUMMYFUNCTION("""COMPUTED_VALUE"""),0.0027)</f>
        <v>0.0027</v>
      </c>
      <c r="R26" s="214"/>
      <c r="S26" s="101">
        <f>IFERROR(__xludf.DUMMYFUNCTION("""COMPUTED_VALUE"""),24.0)</f>
        <v>24</v>
      </c>
      <c r="T26" s="222">
        <f>IFERROR(__xludf.DUMMYFUNCTION("""COMPUTED_VALUE"""),82.0)</f>
        <v>82</v>
      </c>
      <c r="U26" s="242">
        <f>IFERROR(__xludf.DUMMYFUNCTION("""COMPUTED_VALUE"""),132614.0)</f>
        <v>132614</v>
      </c>
      <c r="V26" s="242" t="str">
        <f>IFERROR(__xludf.DUMMYFUNCTION("""COMPUTED_VALUE"""),"overall")</f>
        <v>overall</v>
      </c>
      <c r="W26" s="243" t="str">
        <f>IFERROR(__xludf.DUMMYFUNCTION("""COMPUTED_VALUE"""),"SMS")</f>
        <v>SMS</v>
      </c>
      <c r="X26" s="243" t="str">
        <f>IFERROR(__xludf.DUMMYFUNCTION("""COMPUTED_VALUE"""),"Generic")</f>
        <v>Generic</v>
      </c>
      <c r="Y26" s="243" t="str">
        <f>IFERROR(__xludf.DUMMYFUNCTION("""COMPUTED_VALUE"""),"25th - 27th Jan")</f>
        <v>25th - 27th Jan</v>
      </c>
      <c r="Z26" s="243" t="str">
        <f>IFERROR(__xludf.DUMMYFUNCTION("""COMPUTED_VALUE"""),"69735dcc1b2592862d22de38")</f>
        <v>69735dcc1b2592862d22de38</v>
      </c>
      <c r="AA26" s="243">
        <f>IFERROR(__xludf.DUMMYFUNCTION("""COMPUTED_VALUE"""),76.0)</f>
        <v>76</v>
      </c>
      <c r="AB26" s="243">
        <f>IFERROR(__xludf.DUMMYFUNCTION("""COMPUTED_VALUE"""),53.0)</f>
        <v>53</v>
      </c>
      <c r="AC26" s="243">
        <f>IFERROR(__xludf.DUMMYFUNCTION("""COMPUTED_VALUE"""),23.0)</f>
        <v>23</v>
      </c>
      <c r="AD26" s="243">
        <f>IFERROR(__xludf.DUMMYFUNCTION("""COMPUTED_VALUE"""),297818.0)</f>
        <v>297818</v>
      </c>
      <c r="AE26" s="243">
        <f>IFERROR(__xludf.DUMMYFUNCTION("""COMPUTED_VALUE"""),202637.0)</f>
        <v>202637</v>
      </c>
      <c r="AF26" s="243">
        <f>IFERROR(__xludf.DUMMYFUNCTION("""COMPUTED_VALUE"""),95181.0)</f>
        <v>95181</v>
      </c>
      <c r="AG26" s="208"/>
      <c r="AH26" s="208"/>
      <c r="AI26" s="208"/>
      <c r="AJ26" s="208"/>
      <c r="AK26" s="208"/>
    </row>
    <row r="27">
      <c r="A27" s="237">
        <f>IFERROR(__xludf.DUMMYFUNCTION("""COMPUTED_VALUE"""),46047.0)</f>
        <v>46047</v>
      </c>
      <c r="B27" s="238">
        <f>IFERROR(__xludf.DUMMYFUNCTION("""COMPUTED_VALUE"""),0.4583333333321207)</f>
        <v>0.4583333333</v>
      </c>
      <c r="C27" s="96" t="str">
        <f>IFERROR(__xludf.DUMMYFUNCTION("""COMPUTED_VALUE"""),"Sms")</f>
        <v>Sms</v>
      </c>
      <c r="D27" s="212" t="str">
        <f>IFERROR(__xludf.DUMMYFUNCTION("""COMPUTED_VALUE"""),"Fallback Campaign")</f>
        <v>Fallback Campaign</v>
      </c>
      <c r="E27" s="96" t="str">
        <f>IFERROR(__xludf.DUMMYFUNCTION("""COMPUTED_VALUE"""),"VS")</f>
        <v>VS</v>
      </c>
      <c r="F27" s="212" t="str">
        <f>IFERROR(__xludf.DUMMYFUNCTION("""COMPUTED_VALUE"""),"Republics Day campaign")</f>
        <v>Republics Day campaign</v>
      </c>
      <c r="G27" s="212" t="str">
        <f>IFERROR(__xludf.DUMMYFUNCTION("""COMPUTED_VALUE"""),"Republic Weekend Sale - 50% All Cat - Active - Fallback - Sun")</f>
        <v>Republic Weekend Sale - 50% All Cat - Active - Fallback - Sun</v>
      </c>
      <c r="H27" s="28" t="str">
        <f>IFERROR(__xludf.DUMMYFUNCTION("""COMPUTED_VALUE"""),"Active_Discount30%_ONOFF")</f>
        <v>Active_Discount30%_ONOFF</v>
      </c>
      <c r="I27" s="28" t="str">
        <f>IFERROR(__xludf.DUMMYFUNCTION("""COMPUTED_VALUE"""),"WA Undelivered")</f>
        <v>WA Undelivered</v>
      </c>
      <c r="J27" s="239">
        <f>IFERROR(__xludf.DUMMYFUNCTION("""COMPUTED_VALUE"""),19052.0)</f>
        <v>19052</v>
      </c>
      <c r="K27" s="240">
        <f>IFERROR(__xludf.DUMMYFUNCTION("""COMPUTED_VALUE"""),11754.0)</f>
        <v>11754</v>
      </c>
      <c r="L27" s="241">
        <f>IFERROR(__xludf.DUMMYFUNCTION("""COMPUTED_VALUE"""),0.6169)</f>
        <v>0.6169</v>
      </c>
      <c r="M27" s="240"/>
      <c r="N27" s="136"/>
      <c r="O27" s="73">
        <f>IFERROR(__xludf.DUMMYFUNCTION("""COMPUTED_VALUE"""),42.0)</f>
        <v>42</v>
      </c>
      <c r="P27" s="73"/>
      <c r="Q27" s="214">
        <f>IFERROR(__xludf.DUMMYFUNCTION("""COMPUTED_VALUE"""),0.0036)</f>
        <v>0.0036</v>
      </c>
      <c r="R27" s="214"/>
      <c r="S27" s="101">
        <f>IFERROR(__xludf.DUMMYFUNCTION("""COMPUTED_VALUE"""),15.0)</f>
        <v>15</v>
      </c>
      <c r="T27" s="222">
        <f>IFERROR(__xludf.DUMMYFUNCTION("""COMPUTED_VALUE"""),59.0)</f>
        <v>59</v>
      </c>
      <c r="U27" s="242">
        <f>IFERROR(__xludf.DUMMYFUNCTION("""COMPUTED_VALUE"""),76335.0)</f>
        <v>76335</v>
      </c>
      <c r="V27" s="242" t="str">
        <f>IFERROR(__xludf.DUMMYFUNCTION("""COMPUTED_VALUE"""),"overall")</f>
        <v>overall</v>
      </c>
      <c r="W27" s="243" t="str">
        <f>IFERROR(__xludf.DUMMYFUNCTION("""COMPUTED_VALUE"""),"SMS")</f>
        <v>SMS</v>
      </c>
      <c r="X27" s="243" t="str">
        <f>IFERROR(__xludf.DUMMYFUNCTION("""COMPUTED_VALUE"""),"Discount Shopper")</f>
        <v>Discount Shopper</v>
      </c>
      <c r="Y27" s="243" t="str">
        <f>IFERROR(__xludf.DUMMYFUNCTION("""COMPUTED_VALUE"""),"25th - 27th Jan")</f>
        <v>25th - 27th Jan</v>
      </c>
      <c r="Z27" s="243" t="str">
        <f>IFERROR(__xludf.DUMMYFUNCTION("""COMPUTED_VALUE"""),"69735e42ec4b88d38c4de0ea")</f>
        <v>69735e42ec4b88d38c4de0ea</v>
      </c>
      <c r="AA27" s="243">
        <f>IFERROR(__xludf.DUMMYFUNCTION("""COMPUTED_VALUE"""),111.0)</f>
        <v>111</v>
      </c>
      <c r="AB27" s="243">
        <f>IFERROR(__xludf.DUMMYFUNCTION("""COMPUTED_VALUE"""),75.0)</f>
        <v>75</v>
      </c>
      <c r="AC27" s="243">
        <f>IFERROR(__xludf.DUMMYFUNCTION("""COMPUTED_VALUE"""),36.0)</f>
        <v>36</v>
      </c>
      <c r="AD27" s="243">
        <f>IFERROR(__xludf.DUMMYFUNCTION("""COMPUTED_VALUE"""),973101.0)</f>
        <v>973101</v>
      </c>
      <c r="AE27" s="243">
        <f>IFERROR(__xludf.DUMMYFUNCTION("""COMPUTED_VALUE"""),358892.0)</f>
        <v>358892</v>
      </c>
      <c r="AF27" s="243">
        <f>IFERROR(__xludf.DUMMYFUNCTION("""COMPUTED_VALUE"""),614209.0)</f>
        <v>614209</v>
      </c>
      <c r="AG27" s="208"/>
      <c r="AH27" s="208"/>
      <c r="AI27" s="208"/>
      <c r="AJ27" s="208"/>
      <c r="AK27" s="208"/>
    </row>
    <row r="28">
      <c r="A28" s="237">
        <f>IFERROR(__xludf.DUMMYFUNCTION("""COMPUTED_VALUE"""),46047.0)</f>
        <v>46047</v>
      </c>
      <c r="B28" s="238">
        <f>IFERROR(__xludf.DUMMYFUNCTION("""COMPUTED_VALUE"""),0.4583333333321207)</f>
        <v>0.4583333333</v>
      </c>
      <c r="C28" s="96" t="str">
        <f>IFERROR(__xludf.DUMMYFUNCTION("""COMPUTED_VALUE"""),"Sms")</f>
        <v>Sms</v>
      </c>
      <c r="D28" s="212" t="str">
        <f>IFERROR(__xludf.DUMMYFUNCTION("""COMPUTED_VALUE"""),"Fallback Campaign")</f>
        <v>Fallback Campaign</v>
      </c>
      <c r="E28" s="96" t="str">
        <f>IFERROR(__xludf.DUMMYFUNCTION("""COMPUTED_VALUE"""),"VS")</f>
        <v>VS</v>
      </c>
      <c r="F28" s="212" t="str">
        <f>IFERROR(__xludf.DUMMYFUNCTION("""COMPUTED_VALUE"""),"Republics Day campaign")</f>
        <v>Republics Day campaign</v>
      </c>
      <c r="G28" s="212" t="str">
        <f>IFERROR(__xludf.DUMMYFUNCTION("""COMPUTED_VALUE"""),"Republic Weekend Sale - 50% All Cat - Dormant - Fallback - Sun")</f>
        <v>Republic Weekend Sale - 50% All Cat - Dormant - Fallback - Sun</v>
      </c>
      <c r="H28" s="28" t="str">
        <f>IFERROR(__xludf.DUMMYFUNCTION("""COMPUTED_VALUE"""),"Dormant_Discount50%_ONOFF")</f>
        <v>Dormant_Discount50%_ONOFF</v>
      </c>
      <c r="I28" s="28" t="str">
        <f>IFERROR(__xludf.DUMMYFUNCTION("""COMPUTED_VALUE"""),"WA Undelivered")</f>
        <v>WA Undelivered</v>
      </c>
      <c r="J28" s="239">
        <f>IFERROR(__xludf.DUMMYFUNCTION("""COMPUTED_VALUE"""),22635.0)</f>
        <v>22635</v>
      </c>
      <c r="K28" s="240">
        <f>IFERROR(__xludf.DUMMYFUNCTION("""COMPUTED_VALUE"""),15311.0)</f>
        <v>15311</v>
      </c>
      <c r="L28" s="241">
        <f>IFERROR(__xludf.DUMMYFUNCTION("""COMPUTED_VALUE"""),0.6764)</f>
        <v>0.6764</v>
      </c>
      <c r="M28" s="240"/>
      <c r="N28" s="136"/>
      <c r="O28" s="73">
        <f>IFERROR(__xludf.DUMMYFUNCTION("""COMPUTED_VALUE"""),53.0)</f>
        <v>53</v>
      </c>
      <c r="P28" s="73"/>
      <c r="Q28" s="214">
        <f>IFERROR(__xludf.DUMMYFUNCTION("""COMPUTED_VALUE"""),0.0035)</f>
        <v>0.0035</v>
      </c>
      <c r="R28" s="214"/>
      <c r="S28" s="101">
        <f>IFERROR(__xludf.DUMMYFUNCTION("""COMPUTED_VALUE"""),9.0)</f>
        <v>9</v>
      </c>
      <c r="T28" s="222">
        <f>IFERROR(__xludf.DUMMYFUNCTION("""COMPUTED_VALUE"""),19.0)</f>
        <v>19</v>
      </c>
      <c r="U28" s="242">
        <f>IFERROR(__xludf.DUMMYFUNCTION("""COMPUTED_VALUE"""),31851.0)</f>
        <v>31851</v>
      </c>
      <c r="V28" s="242" t="str">
        <f>IFERROR(__xludf.DUMMYFUNCTION("""COMPUTED_VALUE"""),"overall")</f>
        <v>overall</v>
      </c>
      <c r="W28" s="243" t="str">
        <f>IFERROR(__xludf.DUMMYFUNCTION("""COMPUTED_VALUE"""),"SMS")</f>
        <v>SMS</v>
      </c>
      <c r="X28" s="243" t="str">
        <f>IFERROR(__xludf.DUMMYFUNCTION("""COMPUTED_VALUE"""),"Discount Shopper")</f>
        <v>Discount Shopper</v>
      </c>
      <c r="Y28" s="243" t="str">
        <f>IFERROR(__xludf.DUMMYFUNCTION("""COMPUTED_VALUE"""),"25th - 27th Jan")</f>
        <v>25th - 27th Jan</v>
      </c>
      <c r="Z28" s="243" t="str">
        <f>IFERROR(__xludf.DUMMYFUNCTION("""COMPUTED_VALUE"""),"69735e9ba4cece596f932f6f")</f>
        <v>69735e9ba4cece596f932f6f</v>
      </c>
      <c r="AA28" s="243">
        <f>IFERROR(__xludf.DUMMYFUNCTION("""COMPUTED_VALUE"""),56.0)</f>
        <v>56</v>
      </c>
      <c r="AB28" s="243">
        <f>IFERROR(__xludf.DUMMYFUNCTION("""COMPUTED_VALUE"""),43.0)</f>
        <v>43</v>
      </c>
      <c r="AC28" s="243">
        <f>IFERROR(__xludf.DUMMYFUNCTION("""COMPUTED_VALUE"""),13.0)</f>
        <v>13</v>
      </c>
      <c r="AD28" s="243">
        <f>IFERROR(__xludf.DUMMYFUNCTION("""COMPUTED_VALUE"""),243748.0)</f>
        <v>243748</v>
      </c>
      <c r="AE28" s="243">
        <f>IFERROR(__xludf.DUMMYFUNCTION("""COMPUTED_VALUE"""),190320.0)</f>
        <v>190320</v>
      </c>
      <c r="AF28" s="243">
        <f>IFERROR(__xludf.DUMMYFUNCTION("""COMPUTED_VALUE"""),53428.0)</f>
        <v>53428</v>
      </c>
      <c r="AG28" s="208"/>
      <c r="AH28" s="208"/>
      <c r="AI28" s="208"/>
      <c r="AJ28" s="208"/>
      <c r="AK28" s="208"/>
    </row>
    <row r="29">
      <c r="A29" s="237">
        <f>IFERROR(__xludf.DUMMYFUNCTION("""COMPUTED_VALUE"""),46047.0)</f>
        <v>46047</v>
      </c>
      <c r="B29" s="238">
        <f>IFERROR(__xludf.DUMMYFUNCTION("""COMPUTED_VALUE"""),0.4583333333321207)</f>
        <v>0.4583333333</v>
      </c>
      <c r="C29" s="96" t="str">
        <f>IFERROR(__xludf.DUMMYFUNCTION("""COMPUTED_VALUE"""),"Sms")</f>
        <v>Sms</v>
      </c>
      <c r="D29" s="212" t="str">
        <f>IFERROR(__xludf.DUMMYFUNCTION("""COMPUTED_VALUE"""),"Fallback Campaign")</f>
        <v>Fallback Campaign</v>
      </c>
      <c r="E29" s="96" t="str">
        <f>IFERROR(__xludf.DUMMYFUNCTION("""COMPUTED_VALUE"""),"VS")</f>
        <v>VS</v>
      </c>
      <c r="F29" s="212" t="str">
        <f>IFERROR(__xludf.DUMMYFUNCTION("""COMPUTED_VALUE"""),"Republics Day campaign")</f>
        <v>Republics Day campaign</v>
      </c>
      <c r="G29" s="212" t="str">
        <f>IFERROR(__xludf.DUMMYFUNCTION("""COMPUTED_VALUE"""),"Republic Weekend Sale - 50% All Cat - panty_cx - Fallback - Sun")</f>
        <v>Republic Weekend Sale - 50% All Cat - panty_cx - Fallback - Sun</v>
      </c>
      <c r="H29" s="28" t="str">
        <f>IFERROR(__xludf.DUMMYFUNCTION("""COMPUTED_VALUE"""),"Panty_NotPurBra_ONOFF_Sunday")</f>
        <v>Panty_NotPurBra_ONOFF_Sunday</v>
      </c>
      <c r="I29" s="28" t="str">
        <f>IFERROR(__xludf.DUMMYFUNCTION("""COMPUTED_VALUE"""),"WA Undelivered")</f>
        <v>WA Undelivered</v>
      </c>
      <c r="J29" s="239">
        <f>IFERROR(__xludf.DUMMYFUNCTION("""COMPUTED_VALUE"""),11528.0)</f>
        <v>11528</v>
      </c>
      <c r="K29" s="240">
        <f>IFERROR(__xludf.DUMMYFUNCTION("""COMPUTED_VALUE"""),6748.0)</f>
        <v>6748</v>
      </c>
      <c r="L29" s="241">
        <f>IFERROR(__xludf.DUMMYFUNCTION("""COMPUTED_VALUE"""),0.5854)</f>
        <v>0.5854</v>
      </c>
      <c r="M29" s="240"/>
      <c r="N29" s="136"/>
      <c r="O29" s="73">
        <f>IFERROR(__xludf.DUMMYFUNCTION("""COMPUTED_VALUE"""),10.0)</f>
        <v>10</v>
      </c>
      <c r="P29" s="73"/>
      <c r="Q29" s="214">
        <f>IFERROR(__xludf.DUMMYFUNCTION("""COMPUTED_VALUE"""),0.0015)</f>
        <v>0.0015</v>
      </c>
      <c r="R29" s="214"/>
      <c r="S29" s="101">
        <f>IFERROR(__xludf.DUMMYFUNCTION("""COMPUTED_VALUE"""),0.0)</f>
        <v>0</v>
      </c>
      <c r="T29" s="222">
        <f>IFERROR(__xludf.DUMMYFUNCTION("""COMPUTED_VALUE"""),3.0)</f>
        <v>3</v>
      </c>
      <c r="U29" s="242">
        <f>IFERROR(__xludf.DUMMYFUNCTION("""COMPUTED_VALUE"""),0.0)</f>
        <v>0</v>
      </c>
      <c r="V29" s="242" t="str">
        <f>IFERROR(__xludf.DUMMYFUNCTION("""COMPUTED_VALUE"""),"overall")</f>
        <v>overall</v>
      </c>
      <c r="W29" s="243" t="str">
        <f>IFERROR(__xludf.DUMMYFUNCTION("""COMPUTED_VALUE"""),"SMS")</f>
        <v>SMS</v>
      </c>
      <c r="X29" s="243" t="str">
        <f>IFERROR(__xludf.DUMMYFUNCTION("""COMPUTED_VALUE"""),"Sub-Category Movers")</f>
        <v>Sub-Category Movers</v>
      </c>
      <c r="Y29" s="243" t="str">
        <f>IFERROR(__xludf.DUMMYFUNCTION("""COMPUTED_VALUE"""),"25th - 27th Jan")</f>
        <v>25th - 27th Jan</v>
      </c>
      <c r="Z29" s="243" t="str">
        <f>IFERROR(__xludf.DUMMYFUNCTION("""COMPUTED_VALUE"""),"69735ef9b016e6a750b271fa")</f>
        <v>69735ef9b016e6a750b271fa</v>
      </c>
      <c r="AA29" s="243">
        <f>IFERROR(__xludf.DUMMYFUNCTION("""COMPUTED_VALUE"""),27.0)</f>
        <v>27</v>
      </c>
      <c r="AB29" s="243">
        <f>IFERROR(__xludf.DUMMYFUNCTION("""COMPUTED_VALUE"""),6.0)</f>
        <v>6</v>
      </c>
      <c r="AC29" s="243">
        <f>IFERROR(__xludf.DUMMYFUNCTION("""COMPUTED_VALUE"""),21.0)</f>
        <v>21</v>
      </c>
      <c r="AD29" s="243">
        <f>IFERROR(__xludf.DUMMYFUNCTION("""COMPUTED_VALUE"""),130931.0)</f>
        <v>130931</v>
      </c>
      <c r="AE29" s="243">
        <f>IFERROR(__xludf.DUMMYFUNCTION("""COMPUTED_VALUE"""),15876.0)</f>
        <v>15876</v>
      </c>
      <c r="AF29" s="243">
        <f>IFERROR(__xludf.DUMMYFUNCTION("""COMPUTED_VALUE"""),115055.0)</f>
        <v>115055</v>
      </c>
      <c r="AG29" s="208"/>
      <c r="AH29" s="208"/>
      <c r="AI29" s="208"/>
      <c r="AJ29" s="208"/>
      <c r="AK29" s="208"/>
    </row>
    <row r="30">
      <c r="A30" s="237">
        <f>IFERROR(__xludf.DUMMYFUNCTION("""COMPUTED_VALUE"""),46047.0)</f>
        <v>46047</v>
      </c>
      <c r="B30" s="238">
        <f>IFERROR(__xludf.DUMMYFUNCTION("""COMPUTED_VALUE"""),0.4583333333321207)</f>
        <v>0.4583333333</v>
      </c>
      <c r="C30" s="96" t="str">
        <f>IFERROR(__xludf.DUMMYFUNCTION("""COMPUTED_VALUE"""),"Sms")</f>
        <v>Sms</v>
      </c>
      <c r="D30" s="212" t="str">
        <f>IFERROR(__xludf.DUMMYFUNCTION("""COMPUTED_VALUE"""),"Fallback Campaign")</f>
        <v>Fallback Campaign</v>
      </c>
      <c r="E30" s="96" t="str">
        <f>IFERROR(__xludf.DUMMYFUNCTION("""COMPUTED_VALUE"""),"VS")</f>
        <v>VS</v>
      </c>
      <c r="F30" s="212" t="str">
        <f>IFERROR(__xludf.DUMMYFUNCTION("""COMPUTED_VALUE"""),"Republics Day campaign")</f>
        <v>Republics Day campaign</v>
      </c>
      <c r="G30" s="212" t="str">
        <f>IFERROR(__xludf.DUMMYFUNCTION("""COMPUTED_VALUE"""),"Republic Weekend Sale - 50% All Cat - Bra CX - Fallback - Sun")</f>
        <v>Republic Weekend Sale - 50% All Cat - Bra CX - Fallback - Sun</v>
      </c>
      <c r="H30" s="28" t="str">
        <f>IFERROR(__xludf.DUMMYFUNCTION("""COMPUTED_VALUE"""),"BRA_NotPurPanty_ONOFF_Sun")</f>
        <v>BRA_NotPurPanty_ONOFF_Sun</v>
      </c>
      <c r="I30" s="28" t="str">
        <f>IFERROR(__xludf.DUMMYFUNCTION("""COMPUTED_VALUE"""),"WA Undelivered")</f>
        <v>WA Undelivered</v>
      </c>
      <c r="J30" s="239">
        <f>IFERROR(__xludf.DUMMYFUNCTION("""COMPUTED_VALUE"""),11761.0)</f>
        <v>11761</v>
      </c>
      <c r="K30" s="240">
        <f>IFERROR(__xludf.DUMMYFUNCTION("""COMPUTED_VALUE"""),6302.0)</f>
        <v>6302</v>
      </c>
      <c r="L30" s="241">
        <f>IFERROR(__xludf.DUMMYFUNCTION("""COMPUTED_VALUE"""),0.5358)</f>
        <v>0.5358</v>
      </c>
      <c r="M30" s="240"/>
      <c r="N30" s="136"/>
      <c r="O30" s="73">
        <f>IFERROR(__xludf.DUMMYFUNCTION("""COMPUTED_VALUE"""),16.0)</f>
        <v>16</v>
      </c>
      <c r="P30" s="73"/>
      <c r="Q30" s="214">
        <f>IFERROR(__xludf.DUMMYFUNCTION("""COMPUTED_VALUE"""),0.0025)</f>
        <v>0.0025</v>
      </c>
      <c r="R30" s="214"/>
      <c r="S30" s="101">
        <f>IFERROR(__xludf.DUMMYFUNCTION("""COMPUTED_VALUE"""),0.0)</f>
        <v>0</v>
      </c>
      <c r="T30" s="222">
        <f>IFERROR(__xludf.DUMMYFUNCTION("""COMPUTED_VALUE"""),1.0)</f>
        <v>1</v>
      </c>
      <c r="U30" s="242">
        <f>IFERROR(__xludf.DUMMYFUNCTION("""COMPUTED_VALUE"""),0.0)</f>
        <v>0</v>
      </c>
      <c r="V30" s="242" t="str">
        <f>IFERROR(__xludf.DUMMYFUNCTION("""COMPUTED_VALUE"""),"overall")</f>
        <v>overall</v>
      </c>
      <c r="W30" s="243" t="str">
        <f>IFERROR(__xludf.DUMMYFUNCTION("""COMPUTED_VALUE"""),"SMS")</f>
        <v>SMS</v>
      </c>
      <c r="X30" s="243" t="str">
        <f>IFERROR(__xludf.DUMMYFUNCTION("""COMPUTED_VALUE"""),"Sub-Category Movers")</f>
        <v>Sub-Category Movers</v>
      </c>
      <c r="Y30" s="243" t="str">
        <f>IFERROR(__xludf.DUMMYFUNCTION("""COMPUTED_VALUE"""),"25th - 27th Jan")</f>
        <v>25th - 27th Jan</v>
      </c>
      <c r="Z30" s="243" t="str">
        <f>IFERROR(__xludf.DUMMYFUNCTION("""COMPUTED_VALUE"""),"69735f4f32395cb32365d611")</f>
        <v>69735f4f32395cb32365d611</v>
      </c>
      <c r="AA30" s="243">
        <f>IFERROR(__xludf.DUMMYFUNCTION("""COMPUTED_VALUE"""),35.0)</f>
        <v>35</v>
      </c>
      <c r="AB30" s="243">
        <f>IFERROR(__xludf.DUMMYFUNCTION("""COMPUTED_VALUE"""),6.0)</f>
        <v>6</v>
      </c>
      <c r="AC30" s="243">
        <f>IFERROR(__xludf.DUMMYFUNCTION("""COMPUTED_VALUE"""),29.0)</f>
        <v>29</v>
      </c>
      <c r="AD30" s="243">
        <f>IFERROR(__xludf.DUMMYFUNCTION("""COMPUTED_VALUE"""),242673.0)</f>
        <v>242673</v>
      </c>
      <c r="AE30" s="243">
        <f>IFERROR(__xludf.DUMMYFUNCTION("""COMPUTED_VALUE"""),8507.0)</f>
        <v>8507</v>
      </c>
      <c r="AF30" s="243">
        <f>IFERROR(__xludf.DUMMYFUNCTION("""COMPUTED_VALUE"""),234166.0)</f>
        <v>234166</v>
      </c>
      <c r="AG30" s="208"/>
      <c r="AH30" s="208"/>
      <c r="AI30" s="208"/>
      <c r="AJ30" s="208"/>
      <c r="AK30" s="208"/>
    </row>
    <row r="31">
      <c r="A31" s="237">
        <f>IFERROR(__xludf.DUMMYFUNCTION("""COMPUTED_VALUE"""),46047.0)</f>
        <v>46047</v>
      </c>
      <c r="B31" s="238">
        <f>IFERROR(__xludf.DUMMYFUNCTION("""COMPUTED_VALUE"""),0.4583333333321207)</f>
        <v>0.4583333333</v>
      </c>
      <c r="C31" s="96" t="str">
        <f>IFERROR(__xludf.DUMMYFUNCTION("""COMPUTED_VALUE"""),"Sms")</f>
        <v>Sms</v>
      </c>
      <c r="D31" s="212" t="str">
        <f>IFERROR(__xludf.DUMMYFUNCTION("""COMPUTED_VALUE"""),"Fallback Campaign")</f>
        <v>Fallback Campaign</v>
      </c>
      <c r="E31" s="96" t="str">
        <f>IFERROR(__xludf.DUMMYFUNCTION("""COMPUTED_VALUE"""),"VS")</f>
        <v>VS</v>
      </c>
      <c r="F31" s="212" t="str">
        <f>IFERROR(__xludf.DUMMYFUNCTION("""COMPUTED_VALUE"""),"Republics Day campaign")</f>
        <v>Republics Day campaign</v>
      </c>
      <c r="G31" s="212" t="str">
        <f>IFERROR(__xludf.DUMMYFUNCTION("""COMPUTED_VALUE"""),"Republic Weekend Sale - 50% All Cat - BTY CX - Fallback - Sun")</f>
        <v>Republic Weekend Sale - 50% All Cat - BTY CX - Fallback - Sun</v>
      </c>
      <c r="H31" s="28" t="str">
        <f>IFERROR(__xludf.DUMMYFUNCTION("""COMPUTED_VALUE"""),"BeautyLess5999_NotPurLin_ExRest&amp;2500")</f>
        <v>BeautyLess5999_NotPurLin_ExRest&amp;2500</v>
      </c>
      <c r="I31" s="28" t="str">
        <f>IFERROR(__xludf.DUMMYFUNCTION("""COMPUTED_VALUE"""),"WA Undelivered")</f>
        <v>WA Undelivered</v>
      </c>
      <c r="J31" s="239">
        <f>IFERROR(__xludf.DUMMYFUNCTION("""COMPUTED_VALUE"""),11654.0)</f>
        <v>11654</v>
      </c>
      <c r="K31" s="240">
        <f>IFERROR(__xludf.DUMMYFUNCTION("""COMPUTED_VALUE"""),7423.0)</f>
        <v>7423</v>
      </c>
      <c r="L31" s="241">
        <f>IFERROR(__xludf.DUMMYFUNCTION("""COMPUTED_VALUE"""),0.6369)</f>
        <v>0.6369</v>
      </c>
      <c r="M31" s="240"/>
      <c r="N31" s="136"/>
      <c r="O31" s="73">
        <f>IFERROR(__xludf.DUMMYFUNCTION("""COMPUTED_VALUE"""),16.0)</f>
        <v>16</v>
      </c>
      <c r="P31" s="73"/>
      <c r="Q31" s="214">
        <f>IFERROR(__xludf.DUMMYFUNCTION("""COMPUTED_VALUE"""),0.0022)</f>
        <v>0.0022</v>
      </c>
      <c r="R31" s="214"/>
      <c r="S31" s="101">
        <f>IFERROR(__xludf.DUMMYFUNCTION("""COMPUTED_VALUE"""),0.0)</f>
        <v>0</v>
      </c>
      <c r="T31" s="222">
        <f>IFERROR(__xludf.DUMMYFUNCTION("""COMPUTED_VALUE"""),4.0)</f>
        <v>4</v>
      </c>
      <c r="U31" s="242">
        <f>IFERROR(__xludf.DUMMYFUNCTION("""COMPUTED_VALUE"""),0.0)</f>
        <v>0</v>
      </c>
      <c r="V31" s="242" t="str">
        <f>IFERROR(__xludf.DUMMYFUNCTION("""COMPUTED_VALUE"""),"overall")</f>
        <v>overall</v>
      </c>
      <c r="W31" s="243" t="str">
        <f>IFERROR(__xludf.DUMMYFUNCTION("""COMPUTED_VALUE"""),"SMS")</f>
        <v>SMS</v>
      </c>
      <c r="X31" s="243" t="str">
        <f>IFERROR(__xludf.DUMMYFUNCTION("""COMPUTED_VALUE"""),"Generic")</f>
        <v>Generic</v>
      </c>
      <c r="Y31" s="243" t="str">
        <f>IFERROR(__xludf.DUMMYFUNCTION("""COMPUTED_VALUE"""),"25th - 27th Jan")</f>
        <v>25th - 27th Jan</v>
      </c>
      <c r="Z31" s="243" t="str">
        <f>IFERROR(__xludf.DUMMYFUNCTION("""COMPUTED_VALUE"""),"69735faadac529353c90332b")</f>
        <v>69735faadac529353c90332b</v>
      </c>
      <c r="AA31" s="243">
        <f>IFERROR(__xludf.DUMMYFUNCTION("""COMPUTED_VALUE"""),23.0)</f>
        <v>23</v>
      </c>
      <c r="AB31" s="243">
        <f>IFERROR(__xludf.DUMMYFUNCTION("""COMPUTED_VALUE"""),5.0)</f>
        <v>5</v>
      </c>
      <c r="AC31" s="243">
        <f>IFERROR(__xludf.DUMMYFUNCTION("""COMPUTED_VALUE"""),18.0)</f>
        <v>18</v>
      </c>
      <c r="AD31" s="243">
        <f>IFERROR(__xludf.DUMMYFUNCTION("""COMPUTED_VALUE"""),105880.0)</f>
        <v>105880</v>
      </c>
      <c r="AE31" s="243">
        <f>IFERROR(__xludf.DUMMYFUNCTION("""COMPUTED_VALUE"""),11341.0)</f>
        <v>11341</v>
      </c>
      <c r="AF31" s="243">
        <f>IFERROR(__xludf.DUMMYFUNCTION("""COMPUTED_VALUE"""),94539.0)</f>
        <v>94539</v>
      </c>
      <c r="AG31" s="208"/>
      <c r="AH31" s="208"/>
      <c r="AI31" s="208"/>
      <c r="AJ31" s="208"/>
      <c r="AK31" s="208"/>
    </row>
    <row r="32">
      <c r="A32" s="237">
        <f>IFERROR(__xludf.DUMMYFUNCTION("""COMPUTED_VALUE"""),46047.0)</f>
        <v>46047</v>
      </c>
      <c r="B32" s="238">
        <f>IFERROR(__xludf.DUMMYFUNCTION("""COMPUTED_VALUE"""),0.375)</f>
        <v>0.375</v>
      </c>
      <c r="C32" s="96" t="str">
        <f>IFERROR(__xludf.DUMMYFUNCTION("""COMPUTED_VALUE"""),"Whatsapp")</f>
        <v>Whatsapp</v>
      </c>
      <c r="D32" s="212" t="str">
        <f>IFERROR(__xludf.DUMMYFUNCTION("""COMPUTED_VALUE"""),"Promotional")</f>
        <v>Promotional</v>
      </c>
      <c r="E32" s="96" t="str">
        <f>IFERROR(__xludf.DUMMYFUNCTION("""COMPUTED_VALUE"""),"VS")</f>
        <v>VS</v>
      </c>
      <c r="F32" s="212" t="str">
        <f>IFERROR(__xludf.DUMMYFUNCTION("""COMPUTED_VALUE"""),"Republics Day campaign")</f>
        <v>Republics Day campaign</v>
      </c>
      <c r="G32" s="212" t="str">
        <f>IFERROR(__xludf.DUMMYFUNCTION("""COMPUTED_VALUE"""),"Republic Weekend Sale - 50% All Cat - Active - Sun")</f>
        <v>Republic Weekend Sale - 50% All Cat - Active - Sun</v>
      </c>
      <c r="H32" s="28" t="str">
        <f>IFERROR(__xludf.DUMMYFUNCTION("""COMPUTED_VALUE"""),"Active_Discount30%_ONOFF")</f>
        <v>Active_Discount30%_ONOFF</v>
      </c>
      <c r="I32" s="28" t="str">
        <f>IFERROR(__xludf.DUMMYFUNCTION("""COMPUTED_VALUE"""),"Customer who have purchased in last 90 days with 30% discount")</f>
        <v>Customer who have purchased in last 90 days with 30% discount</v>
      </c>
      <c r="J32" s="239">
        <f>IFERROR(__xludf.DUMMYFUNCTION("""COMPUTED_VALUE"""),40978.0)</f>
        <v>40978</v>
      </c>
      <c r="K32" s="240">
        <f>IFERROR(__xludf.DUMMYFUNCTION("""COMPUTED_VALUE"""),20175.0)</f>
        <v>20175</v>
      </c>
      <c r="L32" s="241">
        <f>IFERROR(__xludf.DUMMYFUNCTION("""COMPUTED_VALUE"""),0.4923)</f>
        <v>0.4923</v>
      </c>
      <c r="M32" s="240">
        <f>IFERROR(__xludf.DUMMYFUNCTION("""COMPUTED_VALUE"""),4800.0)</f>
        <v>4800</v>
      </c>
      <c r="N32" s="136">
        <f>IFERROR(__xludf.DUMMYFUNCTION("""COMPUTED_VALUE"""),0.2379)</f>
        <v>0.2379</v>
      </c>
      <c r="O32" s="73">
        <f>IFERROR(__xludf.DUMMYFUNCTION("""COMPUTED_VALUE"""),682.0)</f>
        <v>682</v>
      </c>
      <c r="P32" s="73">
        <f>IFERROR(__xludf.DUMMYFUNCTION("""COMPUTED_VALUE"""),633.0)</f>
        <v>633</v>
      </c>
      <c r="Q32" s="214">
        <f>IFERROR(__xludf.DUMMYFUNCTION("""COMPUTED_VALUE"""),0.0314)</f>
        <v>0.0314</v>
      </c>
      <c r="R32" s="214">
        <f>IFERROR(__xludf.DUMMYFUNCTION("""COMPUTED_VALUE"""),0.1319)</f>
        <v>0.1319</v>
      </c>
      <c r="S32" s="101">
        <f>IFERROR(__xludf.DUMMYFUNCTION("""COMPUTED_VALUE"""),40.0)</f>
        <v>40</v>
      </c>
      <c r="T32" s="222">
        <f>IFERROR(__xludf.DUMMYFUNCTION("""COMPUTED_VALUE"""),101.0)</f>
        <v>101</v>
      </c>
      <c r="U32" s="242">
        <f>IFERROR(__xludf.DUMMYFUNCTION("""COMPUTED_VALUE"""),211519.0)</f>
        <v>211519</v>
      </c>
      <c r="V32" s="242" t="str">
        <f>IFERROR(__xludf.DUMMYFUNCTION("""COMPUTED_VALUE"""),"overall")</f>
        <v>overall</v>
      </c>
      <c r="W32" s="243" t="str">
        <f>IFERROR(__xludf.DUMMYFUNCTION("""COMPUTED_VALUE"""),"simple")</f>
        <v>simple</v>
      </c>
      <c r="X32" s="243" t="str">
        <f>IFERROR(__xludf.DUMMYFUNCTION("""COMPUTED_VALUE"""),"Discount Shopper")</f>
        <v>Discount Shopper</v>
      </c>
      <c r="Y32" s="243" t="str">
        <f>IFERROR(__xludf.DUMMYFUNCTION("""COMPUTED_VALUE"""),"25th - 27th Jan")</f>
        <v>25th - 27th Jan</v>
      </c>
      <c r="Z32" s="243" t="str">
        <f>IFERROR(__xludf.DUMMYFUNCTION("""COMPUTED_VALUE"""),"69734899f47f8a96c524c6c0")</f>
        <v>69734899f47f8a96c524c6c0</v>
      </c>
      <c r="AA32" s="243">
        <f>IFERROR(__xludf.DUMMYFUNCTION("""COMPUTED_VALUE"""),199.0)</f>
        <v>199</v>
      </c>
      <c r="AB32" s="243">
        <f>IFERROR(__xludf.DUMMYFUNCTION("""COMPUTED_VALUE"""),131.0)</f>
        <v>131</v>
      </c>
      <c r="AC32" s="243">
        <f>IFERROR(__xludf.DUMMYFUNCTION("""COMPUTED_VALUE"""),68.0)</f>
        <v>68</v>
      </c>
      <c r="AD32" s="243">
        <f>IFERROR(__xludf.DUMMYFUNCTION("""COMPUTED_VALUE"""),1170460.0)</f>
        <v>1170460</v>
      </c>
      <c r="AE32" s="243">
        <f>IFERROR(__xludf.DUMMYFUNCTION("""COMPUTED_VALUE"""),800457.0)</f>
        <v>800457</v>
      </c>
      <c r="AF32" s="243">
        <f>IFERROR(__xludf.DUMMYFUNCTION("""COMPUTED_VALUE"""),370003.0)</f>
        <v>370003</v>
      </c>
      <c r="AG32" s="208"/>
      <c r="AH32" s="208"/>
      <c r="AI32" s="208"/>
      <c r="AJ32" s="208"/>
      <c r="AK32" s="208"/>
    </row>
    <row r="33">
      <c r="A33" s="245">
        <f>IFERROR(__xludf.DUMMYFUNCTION("""COMPUTED_VALUE"""),46047.0)</f>
        <v>46047</v>
      </c>
      <c r="B33" s="246">
        <f>IFERROR(__xludf.DUMMYFUNCTION("""COMPUTED_VALUE"""),0.37847222222262644)</f>
        <v>0.3784722222</v>
      </c>
      <c r="C33" s="222" t="str">
        <f>IFERROR(__xludf.DUMMYFUNCTION("""COMPUTED_VALUE"""),"Whatsapp")</f>
        <v>Whatsapp</v>
      </c>
      <c r="D33" s="222" t="str">
        <f>IFERROR(__xludf.DUMMYFUNCTION("""COMPUTED_VALUE"""),"Promotional")</f>
        <v>Promotional</v>
      </c>
      <c r="E33" s="222" t="str">
        <f>IFERROR(__xludf.DUMMYFUNCTION("""COMPUTED_VALUE"""),"VS")</f>
        <v>VS</v>
      </c>
      <c r="F33" s="222" t="str">
        <f>IFERROR(__xludf.DUMMYFUNCTION("""COMPUTED_VALUE"""),"Republics Day campaign")</f>
        <v>Republics Day campaign</v>
      </c>
      <c r="G33" s="221" t="str">
        <f>IFERROR(__xludf.DUMMYFUNCTION("""COMPUTED_VALUE"""),"Republic Weekend Sale - 50% All Cat - Dormant - Sun")</f>
        <v>Republic Weekend Sale - 50% All Cat - Dormant - Sun</v>
      </c>
      <c r="H33" s="223" t="str">
        <f>IFERROR(__xludf.DUMMYFUNCTION("""COMPUTED_VALUE"""),"Dormant_Discount50%_ONOFF")</f>
        <v>Dormant_Discount50%_ONOFF</v>
      </c>
      <c r="I33" s="223" t="str">
        <f>IFERROR(__xludf.DUMMYFUNCTION("""COMPUTED_VALUE"""),"Customer who have not purchased in last 90 days And have purchased from Jan 2025 to Jan 2026 with 50% discount")</f>
        <v>Customer who have not purchased in last 90 days And have purchased from Jan 2025 to Jan 2026 with 50% discount</v>
      </c>
      <c r="J33" s="224">
        <f>IFERROR(__xludf.DUMMYFUNCTION("""COMPUTED_VALUE"""),54184.0)</f>
        <v>54184</v>
      </c>
      <c r="K33" s="224">
        <f>IFERROR(__xludf.DUMMYFUNCTION("""COMPUTED_VALUE"""),29804.0)</f>
        <v>29804</v>
      </c>
      <c r="L33" s="225">
        <f>IFERROR(__xludf.DUMMYFUNCTION("""COMPUTED_VALUE"""),0.5501)</f>
        <v>0.5501</v>
      </c>
      <c r="M33" s="224">
        <f>IFERROR(__xludf.DUMMYFUNCTION("""COMPUTED_VALUE"""),7322.0)</f>
        <v>7322</v>
      </c>
      <c r="N33" s="225">
        <f>IFERROR(__xludf.DUMMYFUNCTION("""COMPUTED_VALUE"""),0.2457)</f>
        <v>0.2457</v>
      </c>
      <c r="O33" s="224">
        <f>IFERROR(__xludf.DUMMYFUNCTION("""COMPUTED_VALUE"""),770.0)</f>
        <v>770</v>
      </c>
      <c r="P33" s="224">
        <f>IFERROR(__xludf.DUMMYFUNCTION("""COMPUTED_VALUE"""),728.0)</f>
        <v>728</v>
      </c>
      <c r="Q33" s="225">
        <f>IFERROR(__xludf.DUMMYFUNCTION("""COMPUTED_VALUE"""),0.0244)</f>
        <v>0.0244</v>
      </c>
      <c r="R33" s="225">
        <f>IFERROR(__xludf.DUMMYFUNCTION("""COMPUTED_VALUE"""),0.0994)</f>
        <v>0.0994</v>
      </c>
      <c r="S33" s="226">
        <f>IFERROR(__xludf.DUMMYFUNCTION("""COMPUTED_VALUE"""),30.0)</f>
        <v>30</v>
      </c>
      <c r="T33" s="226">
        <f>IFERROR(__xludf.DUMMYFUNCTION("""COMPUTED_VALUE"""),46.0)</f>
        <v>46</v>
      </c>
      <c r="U33" s="224">
        <f>IFERROR(__xludf.DUMMYFUNCTION("""COMPUTED_VALUE"""),120587.0)</f>
        <v>120587</v>
      </c>
      <c r="V33" s="224" t="str">
        <f>IFERROR(__xludf.DUMMYFUNCTION("""COMPUTED_VALUE"""),"overall")</f>
        <v>overall</v>
      </c>
      <c r="W33" s="229" t="str">
        <f>IFERROR(__xludf.DUMMYFUNCTION("""COMPUTED_VALUE"""),"simple")</f>
        <v>simple</v>
      </c>
      <c r="X33" s="229" t="str">
        <f>IFERROR(__xludf.DUMMYFUNCTION("""COMPUTED_VALUE"""),"Discount Shopper")</f>
        <v>Discount Shopper</v>
      </c>
      <c r="Y33" s="229" t="str">
        <f>IFERROR(__xludf.DUMMYFUNCTION("""COMPUTED_VALUE"""),"25th - 27th Jan")</f>
        <v>25th - 27th Jan</v>
      </c>
      <c r="Z33" s="229" t="str">
        <f>IFERROR(__xludf.DUMMYFUNCTION("""COMPUTED_VALUE"""),"69734a83ee8b97da4312ef18")</f>
        <v>69734a83ee8b97da4312ef18</v>
      </c>
      <c r="AA33" s="229">
        <f>IFERROR(__xludf.DUMMYFUNCTION("""COMPUTED_VALUE"""),122.0)</f>
        <v>122</v>
      </c>
      <c r="AB33" s="229">
        <f>IFERROR(__xludf.DUMMYFUNCTION("""COMPUTED_VALUE"""),94.0)</f>
        <v>94</v>
      </c>
      <c r="AC33" s="229">
        <f>IFERROR(__xludf.DUMMYFUNCTION("""COMPUTED_VALUE"""),28.0)</f>
        <v>28</v>
      </c>
      <c r="AD33" s="229">
        <f>IFERROR(__xludf.DUMMYFUNCTION("""COMPUTED_VALUE"""),669299.0)</f>
        <v>669299</v>
      </c>
      <c r="AE33" s="229">
        <f>IFERROR(__xludf.DUMMYFUNCTION("""COMPUTED_VALUE"""),542315.0)</f>
        <v>542315</v>
      </c>
      <c r="AF33" s="229">
        <f>IFERROR(__xludf.DUMMYFUNCTION("""COMPUTED_VALUE"""),126984.0)</f>
        <v>126984</v>
      </c>
      <c r="AG33" s="208"/>
      <c r="AH33" s="208"/>
      <c r="AI33" s="208"/>
      <c r="AJ33" s="208"/>
      <c r="AK33" s="208"/>
    </row>
    <row r="34">
      <c r="A34" s="215">
        <f>IFERROR(__xludf.DUMMYFUNCTION("""COMPUTED_VALUE"""),46047.0)</f>
        <v>46047</v>
      </c>
      <c r="B34" s="210">
        <f>IFERROR(__xludf.DUMMYFUNCTION("""COMPUTED_VALUE"""),0.3819444444452529)</f>
        <v>0.3819444444</v>
      </c>
      <c r="C34" s="218" t="str">
        <f>IFERROR(__xludf.DUMMYFUNCTION("""COMPUTED_VALUE"""),"Whatsapp")</f>
        <v>Whatsapp</v>
      </c>
      <c r="D34" s="218" t="str">
        <f>IFERROR(__xludf.DUMMYFUNCTION("""COMPUTED_VALUE"""),"Promotional")</f>
        <v>Promotional</v>
      </c>
      <c r="E34" s="218" t="str">
        <f>IFERROR(__xludf.DUMMYFUNCTION("""COMPUTED_VALUE"""),"VS")</f>
        <v>VS</v>
      </c>
      <c r="F34" s="218" t="str">
        <f>IFERROR(__xludf.DUMMYFUNCTION("""COMPUTED_VALUE"""),"Republics Day campaign")</f>
        <v>Republics Day campaign</v>
      </c>
      <c r="G34" s="212" t="str">
        <f>IFERROR(__xludf.DUMMYFUNCTION("""COMPUTED_VALUE"""),"Republic Weekend Sale - 50% All Cat - panty_cx - Sun")</f>
        <v>Republic Weekend Sale - 50% All Cat - panty_cx - Sun</v>
      </c>
      <c r="H34" s="212" t="str">
        <f>IFERROR(__xludf.DUMMYFUNCTION("""COMPUTED_VALUE"""),"Panty_NotPurBra_ONOFF_Sunday")</f>
        <v>Panty_NotPurBra_ONOFF_Sunday</v>
      </c>
      <c r="I34" s="212" t="str">
        <f>IFERROR(__xludf.DUMMYFUNCTION("""COMPUTED_VALUE"""),"Customers who have purchased Panty but have not purchased BRA")</f>
        <v>Customers who have purchased Panty but have not purchased BRA</v>
      </c>
      <c r="J34" s="213">
        <f>IFERROR(__xludf.DUMMYFUNCTION("""COMPUTED_VALUE"""),25012.0)</f>
        <v>25012</v>
      </c>
      <c r="K34" s="213">
        <f>IFERROR(__xludf.DUMMYFUNCTION("""COMPUTED_VALUE"""),12231.0)</f>
        <v>12231</v>
      </c>
      <c r="L34" s="214">
        <f>IFERROR(__xludf.DUMMYFUNCTION("""COMPUTED_VALUE"""),0.489)</f>
        <v>0.489</v>
      </c>
      <c r="M34" s="213">
        <f>IFERROR(__xludf.DUMMYFUNCTION("""COMPUTED_VALUE"""),2487.0)</f>
        <v>2487</v>
      </c>
      <c r="N34" s="214">
        <f>IFERROR(__xludf.DUMMYFUNCTION("""COMPUTED_VALUE"""),0.2033)</f>
        <v>0.2033</v>
      </c>
      <c r="O34" s="101">
        <f>IFERROR(__xludf.DUMMYFUNCTION("""COMPUTED_VALUE"""),312.0)</f>
        <v>312</v>
      </c>
      <c r="P34" s="101">
        <f>IFERROR(__xludf.DUMMYFUNCTION("""COMPUTED_VALUE"""),288.0)</f>
        <v>288</v>
      </c>
      <c r="Q34" s="214">
        <f>IFERROR(__xludf.DUMMYFUNCTION("""COMPUTED_VALUE"""),0.0235)</f>
        <v>0.0235</v>
      </c>
      <c r="R34" s="214">
        <f>IFERROR(__xludf.DUMMYFUNCTION("""COMPUTED_VALUE"""),0.1158)</f>
        <v>0.1158</v>
      </c>
      <c r="S34" s="101">
        <f>IFERROR(__xludf.DUMMYFUNCTION("""COMPUTED_VALUE"""),4.0)</f>
        <v>4</v>
      </c>
      <c r="T34" s="226">
        <f>IFERROR(__xludf.DUMMYFUNCTION("""COMPUTED_VALUE"""),16.0)</f>
        <v>16</v>
      </c>
      <c r="U34" s="224">
        <f>IFERROR(__xludf.DUMMYFUNCTION("""COMPUTED_VALUE"""),19970.0)</f>
        <v>19970</v>
      </c>
      <c r="V34" s="224" t="str">
        <f>IFERROR(__xludf.DUMMYFUNCTION("""COMPUTED_VALUE"""),"overall")</f>
        <v>overall</v>
      </c>
      <c r="W34" s="229" t="str">
        <f>IFERROR(__xludf.DUMMYFUNCTION("""COMPUTED_VALUE"""),"simple")</f>
        <v>simple</v>
      </c>
      <c r="X34" s="229" t="str">
        <f>IFERROR(__xludf.DUMMYFUNCTION("""COMPUTED_VALUE"""),"Sub-Category Movers")</f>
        <v>Sub-Category Movers</v>
      </c>
      <c r="Y34" s="229" t="str">
        <f>IFERROR(__xludf.DUMMYFUNCTION("""COMPUTED_VALUE"""),"25th - 27th Jan")</f>
        <v>25th - 27th Jan</v>
      </c>
      <c r="Z34" s="229" t="str">
        <f>IFERROR(__xludf.DUMMYFUNCTION("""COMPUTED_VALUE"""),"69734b530c6b8ff686f6cdd6")</f>
        <v>69734b530c6b8ff686f6cdd6</v>
      </c>
      <c r="AA34" s="229">
        <f>IFERROR(__xludf.DUMMYFUNCTION("""COMPUTED_VALUE"""),57.0)</f>
        <v>57</v>
      </c>
      <c r="AB34" s="229">
        <f>IFERROR(__xludf.DUMMYFUNCTION("""COMPUTED_VALUE"""),27.0)</f>
        <v>27</v>
      </c>
      <c r="AC34" s="229">
        <f>IFERROR(__xludf.DUMMYFUNCTION("""COMPUTED_VALUE"""),30.0)</f>
        <v>30</v>
      </c>
      <c r="AD34" s="229">
        <f>IFERROR(__xludf.DUMMYFUNCTION("""COMPUTED_VALUE"""),229632.0)</f>
        <v>229632</v>
      </c>
      <c r="AE34" s="229">
        <f>IFERROR(__xludf.DUMMYFUNCTION("""COMPUTED_VALUE"""),96641.0)</f>
        <v>96641</v>
      </c>
      <c r="AF34" s="229">
        <f>IFERROR(__xludf.DUMMYFUNCTION("""COMPUTED_VALUE"""),132991.0)</f>
        <v>132991</v>
      </c>
      <c r="AG34" s="208"/>
      <c r="AH34" s="208"/>
      <c r="AI34" s="208"/>
      <c r="AJ34" s="208"/>
      <c r="AK34" s="208"/>
    </row>
    <row r="35">
      <c r="A35" s="215">
        <f>IFERROR(__xludf.DUMMYFUNCTION("""COMPUTED_VALUE"""),46047.0)</f>
        <v>46047</v>
      </c>
      <c r="B35" s="210">
        <f>IFERROR(__xludf.DUMMYFUNCTION("""COMPUTED_VALUE"""),0.3854166666678793)</f>
        <v>0.3854166667</v>
      </c>
      <c r="C35" s="218" t="str">
        <f>IFERROR(__xludf.DUMMYFUNCTION("""COMPUTED_VALUE"""),"Whatsapp")</f>
        <v>Whatsapp</v>
      </c>
      <c r="D35" s="218" t="str">
        <f>IFERROR(__xludf.DUMMYFUNCTION("""COMPUTED_VALUE"""),"Promotional")</f>
        <v>Promotional</v>
      </c>
      <c r="E35" s="218" t="str">
        <f>IFERROR(__xludf.DUMMYFUNCTION("""COMPUTED_VALUE"""),"VS")</f>
        <v>VS</v>
      </c>
      <c r="F35" s="218" t="str">
        <f>IFERROR(__xludf.DUMMYFUNCTION("""COMPUTED_VALUE"""),"Republics Day campaign")</f>
        <v>Republics Day campaign</v>
      </c>
      <c r="G35" s="212" t="str">
        <f>IFERROR(__xludf.DUMMYFUNCTION("""COMPUTED_VALUE"""),"Republic Weekend Sale - 50% All Cat - Bra CX - Sun")</f>
        <v>Republic Weekend Sale - 50% All Cat - Bra CX - Sun</v>
      </c>
      <c r="H35" s="212" t="str">
        <f>IFERROR(__xludf.DUMMYFUNCTION("""COMPUTED_VALUE"""),"BRA_NotPurPanty_ONOFF_Sun")</f>
        <v>BRA_NotPurPanty_ONOFF_Sun</v>
      </c>
      <c r="I35" s="212" t="str">
        <f>IFERROR(__xludf.DUMMYFUNCTION("""COMPUTED_VALUE"""),"Customers who have purchased Bra but have not purchased Panty")</f>
        <v>Customers who have purchased Bra but have not purchased Panty</v>
      </c>
      <c r="J35" s="213">
        <f>IFERROR(__xludf.DUMMYFUNCTION("""COMPUTED_VALUE"""),24631.0)</f>
        <v>24631</v>
      </c>
      <c r="K35" s="213">
        <f>IFERROR(__xludf.DUMMYFUNCTION("""COMPUTED_VALUE"""),11459.0)</f>
        <v>11459</v>
      </c>
      <c r="L35" s="214">
        <f>IFERROR(__xludf.DUMMYFUNCTION("""COMPUTED_VALUE"""),0.4652)</f>
        <v>0.4652</v>
      </c>
      <c r="M35" s="213">
        <f>IFERROR(__xludf.DUMMYFUNCTION("""COMPUTED_VALUE"""),2124.0)</f>
        <v>2124</v>
      </c>
      <c r="N35" s="214">
        <f>IFERROR(__xludf.DUMMYFUNCTION("""COMPUTED_VALUE"""),0.1854)</f>
        <v>0.1854</v>
      </c>
      <c r="O35" s="101">
        <f>IFERROR(__xludf.DUMMYFUNCTION("""COMPUTED_VALUE"""),313.0)</f>
        <v>313</v>
      </c>
      <c r="P35" s="101">
        <f>IFERROR(__xludf.DUMMYFUNCTION("""COMPUTED_VALUE"""),289.0)</f>
        <v>289</v>
      </c>
      <c r="Q35" s="214">
        <f>IFERROR(__xludf.DUMMYFUNCTION("""COMPUTED_VALUE"""),0.0252)</f>
        <v>0.0252</v>
      </c>
      <c r="R35" s="214">
        <f>IFERROR(__xludf.DUMMYFUNCTION("""COMPUTED_VALUE"""),0.1361)</f>
        <v>0.1361</v>
      </c>
      <c r="S35" s="101">
        <f>IFERROR(__xludf.DUMMYFUNCTION("""COMPUTED_VALUE"""),11.0)</f>
        <v>11</v>
      </c>
      <c r="T35" s="226">
        <f>IFERROR(__xludf.DUMMYFUNCTION("""COMPUTED_VALUE"""),11.0)</f>
        <v>11</v>
      </c>
      <c r="U35" s="224">
        <f>IFERROR(__xludf.DUMMYFUNCTION("""COMPUTED_VALUE"""),41564.0)</f>
        <v>41564</v>
      </c>
      <c r="V35" s="224" t="str">
        <f>IFERROR(__xludf.DUMMYFUNCTION("""COMPUTED_VALUE"""),"overall")</f>
        <v>overall</v>
      </c>
      <c r="W35" s="229" t="str">
        <f>IFERROR(__xludf.DUMMYFUNCTION("""COMPUTED_VALUE"""),"simple")</f>
        <v>simple</v>
      </c>
      <c r="X35" s="229" t="str">
        <f>IFERROR(__xludf.DUMMYFUNCTION("""COMPUTED_VALUE"""),"Sub-Category Movers")</f>
        <v>Sub-Category Movers</v>
      </c>
      <c r="Y35" s="229" t="str">
        <f>IFERROR(__xludf.DUMMYFUNCTION("""COMPUTED_VALUE"""),"25th - 27th Jan")</f>
        <v>25th - 27th Jan</v>
      </c>
      <c r="Z35" s="229" t="str">
        <f>IFERROR(__xludf.DUMMYFUNCTION("""COMPUTED_VALUE"""),"69734bac29062daa8e323fc4")</f>
        <v>69734bac29062daa8e323fc4</v>
      </c>
      <c r="AA35" s="229">
        <f>IFERROR(__xludf.DUMMYFUNCTION("""COMPUTED_VALUE"""),60.0)</f>
        <v>60</v>
      </c>
      <c r="AB35" s="229">
        <f>IFERROR(__xludf.DUMMYFUNCTION("""COMPUTED_VALUE"""),24.0)</f>
        <v>24</v>
      </c>
      <c r="AC35" s="229">
        <f>IFERROR(__xludf.DUMMYFUNCTION("""COMPUTED_VALUE"""),36.0)</f>
        <v>36</v>
      </c>
      <c r="AD35" s="229">
        <f>IFERROR(__xludf.DUMMYFUNCTION("""COMPUTED_VALUE"""),363131.0)</f>
        <v>363131</v>
      </c>
      <c r="AE35" s="229">
        <f>IFERROR(__xludf.DUMMYFUNCTION("""COMPUTED_VALUE"""),97388.0)</f>
        <v>97388</v>
      </c>
      <c r="AF35" s="229">
        <f>IFERROR(__xludf.DUMMYFUNCTION("""COMPUTED_VALUE"""),265743.0)</f>
        <v>265743</v>
      </c>
      <c r="AG35" s="208"/>
      <c r="AH35" s="208"/>
      <c r="AI35" s="208"/>
      <c r="AJ35" s="208"/>
      <c r="AK35" s="208"/>
    </row>
    <row r="36">
      <c r="A36" s="215">
        <f>IFERROR(__xludf.DUMMYFUNCTION("""COMPUTED_VALUE"""),46047.0)</f>
        <v>46047</v>
      </c>
      <c r="B36" s="210">
        <f>IFERROR(__xludf.DUMMYFUNCTION("""COMPUTED_VALUE"""),0.38888888889050577)</f>
        <v>0.3888888889</v>
      </c>
      <c r="C36" s="218" t="str">
        <f>IFERROR(__xludf.DUMMYFUNCTION("""COMPUTED_VALUE"""),"Whatsapp")</f>
        <v>Whatsapp</v>
      </c>
      <c r="D36" s="218" t="str">
        <f>IFERROR(__xludf.DUMMYFUNCTION("""COMPUTED_VALUE"""),"Promotional")</f>
        <v>Promotional</v>
      </c>
      <c r="E36" s="218" t="str">
        <f>IFERROR(__xludf.DUMMYFUNCTION("""COMPUTED_VALUE"""),"VS")</f>
        <v>VS</v>
      </c>
      <c r="F36" s="218" t="str">
        <f>IFERROR(__xludf.DUMMYFUNCTION("""COMPUTED_VALUE"""),"Republics Day campaign")</f>
        <v>Republics Day campaign</v>
      </c>
      <c r="G36" s="212" t="str">
        <f>IFERROR(__xludf.DUMMYFUNCTION("""COMPUTED_VALUE"""),"Republic Weekend Sale - 50% All Cat - BTY CX - Sun")</f>
        <v>Republic Weekend Sale - 50% All Cat - BTY CX - Sun</v>
      </c>
      <c r="H36" s="212" t="str">
        <f>IFERROR(__xludf.DUMMYFUNCTION("""COMPUTED_VALUE"""),"BeautyLess5999_NotPurLin_ExRest&amp;2500")</f>
        <v>BeautyLess5999_NotPurLin_ExRest&amp;2500</v>
      </c>
      <c r="I36" s="212" t="str">
        <f>IFERROR(__xludf.DUMMYFUNCTION("""COMPUTED_VALUE"""),"Customers who have purchased Beauty but not Lingerie")</f>
        <v>Customers who have purchased Beauty but not Lingerie</v>
      </c>
      <c r="J36" s="213">
        <f>IFERROR(__xludf.DUMMYFUNCTION("""COMPUTED_VALUE"""),25966.0)</f>
        <v>25966</v>
      </c>
      <c r="K36" s="213">
        <f>IFERROR(__xludf.DUMMYFUNCTION("""COMPUTED_VALUE"""),13501.0)</f>
        <v>13501</v>
      </c>
      <c r="L36" s="214">
        <f>IFERROR(__xludf.DUMMYFUNCTION("""COMPUTED_VALUE"""),0.5199)</f>
        <v>0.5199</v>
      </c>
      <c r="M36" s="213">
        <f>IFERROR(__xludf.DUMMYFUNCTION("""COMPUTED_VALUE"""),3511.0)</f>
        <v>3511</v>
      </c>
      <c r="N36" s="214">
        <f>IFERROR(__xludf.DUMMYFUNCTION("""COMPUTED_VALUE"""),0.2601)</f>
        <v>0.2601</v>
      </c>
      <c r="O36" s="101">
        <f>IFERROR(__xludf.DUMMYFUNCTION("""COMPUTED_VALUE"""),304.0)</f>
        <v>304</v>
      </c>
      <c r="P36" s="101">
        <f>IFERROR(__xludf.DUMMYFUNCTION("""COMPUTED_VALUE"""),288.0)</f>
        <v>288</v>
      </c>
      <c r="Q36" s="214">
        <f>IFERROR(__xludf.DUMMYFUNCTION("""COMPUTED_VALUE"""),0.0213)</f>
        <v>0.0213</v>
      </c>
      <c r="R36" s="214">
        <f>IFERROR(__xludf.DUMMYFUNCTION("""COMPUTED_VALUE"""),0.082)</f>
        <v>0.082</v>
      </c>
      <c r="S36" s="101">
        <f>IFERROR(__xludf.DUMMYFUNCTION("""COMPUTED_VALUE"""),5.0)</f>
        <v>5</v>
      </c>
      <c r="T36" s="226">
        <f>IFERROR(__xludf.DUMMYFUNCTION("""COMPUTED_VALUE"""),4.0)</f>
        <v>4</v>
      </c>
      <c r="U36" s="224">
        <f>IFERROR(__xludf.DUMMYFUNCTION("""COMPUTED_VALUE"""),13244.0)</f>
        <v>13244</v>
      </c>
      <c r="V36" s="224" t="str">
        <f>IFERROR(__xludf.DUMMYFUNCTION("""COMPUTED_VALUE"""),"overall")</f>
        <v>overall</v>
      </c>
      <c r="W36" s="229" t="str">
        <f>IFERROR(__xludf.DUMMYFUNCTION("""COMPUTED_VALUE"""),"simple")</f>
        <v>simple</v>
      </c>
      <c r="X36" s="229" t="str">
        <f>IFERROR(__xludf.DUMMYFUNCTION("""COMPUTED_VALUE"""),"Generic")</f>
        <v>Generic</v>
      </c>
      <c r="Y36" s="229" t="str">
        <f>IFERROR(__xludf.DUMMYFUNCTION("""COMPUTED_VALUE"""),"25th - 27th Jan")</f>
        <v>25th - 27th Jan</v>
      </c>
      <c r="Z36" s="229" t="str">
        <f>IFERROR(__xludf.DUMMYFUNCTION("""COMPUTED_VALUE"""),"69734d000f185824fecae6c7")</f>
        <v>69734d000f185824fecae6c7</v>
      </c>
      <c r="AA36" s="229">
        <f>IFERROR(__xludf.DUMMYFUNCTION("""COMPUTED_VALUE"""),49.0)</f>
        <v>49</v>
      </c>
      <c r="AB36" s="229">
        <f>IFERROR(__xludf.DUMMYFUNCTION("""COMPUTED_VALUE"""),14.0)</f>
        <v>14</v>
      </c>
      <c r="AC36" s="229">
        <f>IFERROR(__xludf.DUMMYFUNCTION("""COMPUTED_VALUE"""),35.0)</f>
        <v>35</v>
      </c>
      <c r="AD36" s="229">
        <f>IFERROR(__xludf.DUMMYFUNCTION("""COMPUTED_VALUE"""),164005.0)</f>
        <v>164005</v>
      </c>
      <c r="AE36" s="229">
        <f>IFERROR(__xludf.DUMMYFUNCTION("""COMPUTED_VALUE"""),40139.0)</f>
        <v>40139</v>
      </c>
      <c r="AF36" s="229">
        <f>IFERROR(__xludf.DUMMYFUNCTION("""COMPUTED_VALUE"""),123866.0)</f>
        <v>123866</v>
      </c>
      <c r="AG36" s="208"/>
      <c r="AH36" s="208"/>
      <c r="AI36" s="208"/>
      <c r="AJ36" s="208"/>
      <c r="AK36" s="208"/>
    </row>
    <row r="37">
      <c r="A37" s="215">
        <f>IFERROR(__xludf.DUMMYFUNCTION("""COMPUTED_VALUE"""),46057.0)</f>
        <v>46057</v>
      </c>
      <c r="B37" s="210">
        <f>IFERROR(__xludf.DUMMYFUNCTION("""COMPUTED_VALUE"""),0.8333333333321207)</f>
        <v>0.8333333333</v>
      </c>
      <c r="C37" s="218" t="str">
        <f>IFERROR(__xludf.DUMMYFUNCTION("""COMPUTED_VALUE"""),"Whatsapp")</f>
        <v>Whatsapp</v>
      </c>
      <c r="D37" s="218" t="str">
        <f>IFERROR(__xludf.DUMMYFUNCTION("""COMPUTED_VALUE"""),"Promotional")</f>
        <v>Promotional</v>
      </c>
      <c r="E37" s="218" t="str">
        <f>IFERROR(__xludf.DUMMYFUNCTION("""COMPUTED_VALUE"""),"VS")</f>
        <v>VS</v>
      </c>
      <c r="F37" s="218" t="str">
        <f>IFERROR(__xludf.DUMMYFUNCTION("""COMPUTED_VALUE"""),"Scent Event")</f>
        <v>Scent Event</v>
      </c>
      <c r="G37" s="212" t="str">
        <f>IFERROR(__xludf.DUMMYFUNCTION("""COMPUTED_VALUE"""),"Scent Event - Event-CX - 4_Feb On")</f>
        <v>Scent Event - Event-CX - 4_Feb On</v>
      </c>
      <c r="H37" s="212" t="str">
        <f>IFERROR(__xludf.DUMMYFUNCTION("""COMPUTED_VALUE"""),"Scent_Event_Purchasers_On")</f>
        <v>Scent_Event_Purchasers_On</v>
      </c>
      <c r="I37" s="212" t="str">
        <f>IFERROR(__xludf.DUMMYFUNCTION("""COMPUTED_VALUE"""),"Online customers who have purchased from 4th Sept 25 to 7th Sept 25, 29th Oct 25 to 2nd Nov 25, 21st Oct 24 to 27th Oct 24, 30th Oct 24 to 1st Nov 24, 16th April 25 to 20th April 25")</f>
        <v>Online customers who have purchased from 4th Sept 25 to 7th Sept 25, 29th Oct 25 to 2nd Nov 25, 21st Oct 24 to 27th Oct 24, 30th Oct 24 to 1st Nov 24, 16th April 25 to 20th April 25</v>
      </c>
      <c r="J37" s="213">
        <f>IFERROR(__xludf.DUMMYFUNCTION("""COMPUTED_VALUE"""),12186.0)</f>
        <v>12186</v>
      </c>
      <c r="K37" s="213">
        <f>IFERROR(__xludf.DUMMYFUNCTION("""COMPUTED_VALUE"""),5579.0)</f>
        <v>5579</v>
      </c>
      <c r="L37" s="214">
        <f>IFERROR(__xludf.DUMMYFUNCTION("""COMPUTED_VALUE"""),0.4578)</f>
        <v>0.4578</v>
      </c>
      <c r="M37" s="213">
        <f>IFERROR(__xludf.DUMMYFUNCTION("""COMPUTED_VALUE"""),1226.0)</f>
        <v>1226</v>
      </c>
      <c r="N37" s="214">
        <f>IFERROR(__xludf.DUMMYFUNCTION("""COMPUTED_VALUE"""),0.2198)</f>
        <v>0.2198</v>
      </c>
      <c r="O37" s="101">
        <f>IFERROR(__xludf.DUMMYFUNCTION("""COMPUTED_VALUE"""),170.0)</f>
        <v>170</v>
      </c>
      <c r="P37" s="101">
        <f>IFERROR(__xludf.DUMMYFUNCTION("""COMPUTED_VALUE"""),156.0)</f>
        <v>156</v>
      </c>
      <c r="Q37" s="214">
        <f>IFERROR(__xludf.DUMMYFUNCTION("""COMPUTED_VALUE"""),0.028)</f>
        <v>0.028</v>
      </c>
      <c r="R37" s="214">
        <f>IFERROR(__xludf.DUMMYFUNCTION("""COMPUTED_VALUE"""),0.1272)</f>
        <v>0.1272</v>
      </c>
      <c r="S37" s="101">
        <f>IFERROR(__xludf.DUMMYFUNCTION("""COMPUTED_VALUE"""),5.0)</f>
        <v>5</v>
      </c>
      <c r="T37" s="226">
        <f>IFERROR(__xludf.DUMMYFUNCTION("""COMPUTED_VALUE"""),16.0)</f>
        <v>16</v>
      </c>
      <c r="U37" s="224">
        <f>IFERROR(__xludf.DUMMYFUNCTION("""COMPUTED_VALUE"""),16912.0)</f>
        <v>16912</v>
      </c>
      <c r="V37" s="224" t="str">
        <f>IFERROR(__xludf.DUMMYFUNCTION("""COMPUTED_VALUE"""),"online")</f>
        <v>online</v>
      </c>
      <c r="W37" s="229" t="str">
        <f>IFERROR(__xludf.DUMMYFUNCTION("""COMPUTED_VALUE"""),"simple")</f>
        <v>simple</v>
      </c>
      <c r="X37" s="229" t="str">
        <f>IFERROR(__xludf.DUMMYFUNCTION("""COMPUTED_VALUE"""),"Event Buyers")</f>
        <v>Event Buyers</v>
      </c>
      <c r="Y37" s="229" t="str">
        <f>IFERROR(__xludf.DUMMYFUNCTION("""COMPUTED_VALUE"""),"4th - 8th Feb")</f>
        <v>4th - 8th Feb</v>
      </c>
      <c r="Z37" s="229" t="str">
        <f>IFERROR(__xludf.DUMMYFUNCTION("""COMPUTED_VALUE"""),"6982e8ad5da829c096673fea")</f>
        <v>6982e8ad5da829c096673fea</v>
      </c>
      <c r="AA37" s="229">
        <f>IFERROR(__xludf.DUMMYFUNCTION("""COMPUTED_VALUE"""),30.0)</f>
        <v>30</v>
      </c>
      <c r="AB37" s="229">
        <f>IFERROR(__xludf.DUMMYFUNCTION("""COMPUTED_VALUE"""),30.0)</f>
        <v>30</v>
      </c>
      <c r="AC37" s="229"/>
      <c r="AD37" s="229">
        <f>IFERROR(__xludf.DUMMYFUNCTION("""COMPUTED_VALUE"""),133367.0)</f>
        <v>133367</v>
      </c>
      <c r="AE37" s="229">
        <f>IFERROR(__xludf.DUMMYFUNCTION("""COMPUTED_VALUE"""),133367.0)</f>
        <v>133367</v>
      </c>
      <c r="AF37" s="229"/>
      <c r="AG37" s="208"/>
      <c r="AH37" s="208"/>
      <c r="AI37" s="208"/>
      <c r="AJ37" s="208"/>
      <c r="AK37" s="208"/>
    </row>
    <row r="38">
      <c r="A38" s="215">
        <f>IFERROR(__xludf.DUMMYFUNCTION("""COMPUTED_VALUE"""),46057.0)</f>
        <v>46057</v>
      </c>
      <c r="B38" s="210">
        <f>IFERROR(__xludf.DUMMYFUNCTION("""COMPUTED_VALUE"""),0.8402777777773736)</f>
        <v>0.8402777778</v>
      </c>
      <c r="C38" s="218" t="str">
        <f>IFERROR(__xludf.DUMMYFUNCTION("""COMPUTED_VALUE"""),"Whatsapp")</f>
        <v>Whatsapp</v>
      </c>
      <c r="D38" s="218" t="str">
        <f>IFERROR(__xludf.DUMMYFUNCTION("""COMPUTED_VALUE"""),"Promotional")</f>
        <v>Promotional</v>
      </c>
      <c r="E38" s="218" t="str">
        <f>IFERROR(__xludf.DUMMYFUNCTION("""COMPUTED_VALUE"""),"VS")</f>
        <v>VS</v>
      </c>
      <c r="F38" s="218" t="str">
        <f>IFERROR(__xludf.DUMMYFUNCTION("""COMPUTED_VALUE"""),"Scent Event")</f>
        <v>Scent Event</v>
      </c>
      <c r="G38" s="212" t="str">
        <f>IFERROR(__xludf.DUMMYFUNCTION("""COMPUTED_VALUE"""),"Scent Event - Loyal-CX - 4_Feb On")</f>
        <v>Scent Event - Loyal-CX - 4_Feb On</v>
      </c>
      <c r="H38" s="212" t="str">
        <f>IFERROR(__xludf.DUMMYFUNCTION("""COMPUTED_VALUE"""),"vs_on_pr_frag_loyal_2ndFeb")</f>
        <v>vs_on_pr_frag_loyal_2ndFeb</v>
      </c>
      <c r="I38" s="212" t="str">
        <f>IFERROR(__xludf.DUMMYFUNCTION("""COMPUTED_VALUE"""),"Online Customers who have purchased atleast 2 times in entire date range with L2 Cat as Fragrances AND Exclude Custom Segment :- Scent_Event_Purchasers_On")</f>
        <v>Online Customers who have purchased atleast 2 times in entire date range with L2 Cat as Fragrances AND Exclude Custom Segment :- Scent_Event_Purchasers_On</v>
      </c>
      <c r="J38" s="213">
        <f>IFERROR(__xludf.DUMMYFUNCTION("""COMPUTED_VALUE"""),3811.0)</f>
        <v>3811</v>
      </c>
      <c r="K38" s="213">
        <f>IFERROR(__xludf.DUMMYFUNCTION("""COMPUTED_VALUE"""),1831.0)</f>
        <v>1831</v>
      </c>
      <c r="L38" s="214">
        <f>IFERROR(__xludf.DUMMYFUNCTION("""COMPUTED_VALUE"""),0.4805)</f>
        <v>0.4805</v>
      </c>
      <c r="M38" s="213">
        <f>IFERROR(__xludf.DUMMYFUNCTION("""COMPUTED_VALUE"""),437.0)</f>
        <v>437</v>
      </c>
      <c r="N38" s="214">
        <f>IFERROR(__xludf.DUMMYFUNCTION("""COMPUTED_VALUE"""),0.2387)</f>
        <v>0.2387</v>
      </c>
      <c r="O38" s="101">
        <f>IFERROR(__xludf.DUMMYFUNCTION("""COMPUTED_VALUE"""),47.0)</f>
        <v>47</v>
      </c>
      <c r="P38" s="101">
        <f>IFERROR(__xludf.DUMMYFUNCTION("""COMPUTED_VALUE"""),44.0)</f>
        <v>44</v>
      </c>
      <c r="Q38" s="214">
        <f>IFERROR(__xludf.DUMMYFUNCTION("""COMPUTED_VALUE"""),0.024)</f>
        <v>0.024</v>
      </c>
      <c r="R38" s="214">
        <f>IFERROR(__xludf.DUMMYFUNCTION("""COMPUTED_VALUE"""),0.1007)</f>
        <v>0.1007</v>
      </c>
      <c r="S38" s="101">
        <f>IFERROR(__xludf.DUMMYFUNCTION("""COMPUTED_VALUE"""),7.0)</f>
        <v>7</v>
      </c>
      <c r="T38" s="226">
        <f>IFERROR(__xludf.DUMMYFUNCTION("""COMPUTED_VALUE"""),9.0)</f>
        <v>9</v>
      </c>
      <c r="U38" s="224">
        <f>IFERROR(__xludf.DUMMYFUNCTION("""COMPUTED_VALUE"""),57885.0)</f>
        <v>57885</v>
      </c>
      <c r="V38" s="224" t="str">
        <f>IFERROR(__xludf.DUMMYFUNCTION("""COMPUTED_VALUE"""),"online")</f>
        <v>online</v>
      </c>
      <c r="W38" s="229" t="str">
        <f>IFERROR(__xludf.DUMMYFUNCTION("""COMPUTED_VALUE"""),"simple")</f>
        <v>simple</v>
      </c>
      <c r="X38" s="229" t="str">
        <f>IFERROR(__xludf.DUMMYFUNCTION("""COMPUTED_VALUE"""),"Loyal")</f>
        <v>Loyal</v>
      </c>
      <c r="Y38" s="229" t="str">
        <f>IFERROR(__xludf.DUMMYFUNCTION("""COMPUTED_VALUE"""),"4th - 8th Feb")</f>
        <v>4th - 8th Feb</v>
      </c>
      <c r="Z38" s="229" t="str">
        <f>IFERROR(__xludf.DUMMYFUNCTION("""COMPUTED_VALUE"""),"6982e9444a5617b836b203da")</f>
        <v>6982e9444a5617b836b203da</v>
      </c>
      <c r="AA38" s="229">
        <f>IFERROR(__xludf.DUMMYFUNCTION("""COMPUTED_VALUE"""),10.0)</f>
        <v>10</v>
      </c>
      <c r="AB38" s="229">
        <f>IFERROR(__xludf.DUMMYFUNCTION("""COMPUTED_VALUE"""),10.0)</f>
        <v>10</v>
      </c>
      <c r="AC38" s="229"/>
      <c r="AD38" s="229">
        <f>IFERROR(__xludf.DUMMYFUNCTION("""COMPUTED_VALUE"""),86337.0)</f>
        <v>86337</v>
      </c>
      <c r="AE38" s="229">
        <f>IFERROR(__xludf.DUMMYFUNCTION("""COMPUTED_VALUE"""),86337.0)</f>
        <v>86337</v>
      </c>
      <c r="AF38" s="229"/>
      <c r="AG38" s="208"/>
      <c r="AH38" s="208"/>
      <c r="AI38" s="208"/>
      <c r="AJ38" s="208"/>
      <c r="AK38" s="208"/>
    </row>
    <row r="39">
      <c r="A39" s="215">
        <f>IFERROR(__xludf.DUMMYFUNCTION("""COMPUTED_VALUE"""),46057.0)</f>
        <v>46057</v>
      </c>
      <c r="B39" s="210">
        <f>IFERROR(__xludf.DUMMYFUNCTION("""COMPUTED_VALUE"""),0.8368055555547471)</f>
        <v>0.8368055556</v>
      </c>
      <c r="C39" s="218" t="str">
        <f>IFERROR(__xludf.DUMMYFUNCTION("""COMPUTED_VALUE"""),"Whatsapp")</f>
        <v>Whatsapp</v>
      </c>
      <c r="D39" s="218" t="str">
        <f>IFERROR(__xludf.DUMMYFUNCTION("""COMPUTED_VALUE"""),"Promotional")</f>
        <v>Promotional</v>
      </c>
      <c r="E39" s="218" t="str">
        <f>IFERROR(__xludf.DUMMYFUNCTION("""COMPUTED_VALUE"""),"VS")</f>
        <v>VS</v>
      </c>
      <c r="F39" s="218" t="str">
        <f>IFERROR(__xludf.DUMMYFUNCTION("""COMPUTED_VALUE"""),"Scent Event")</f>
        <v>Scent Event</v>
      </c>
      <c r="G39" s="212" t="str">
        <f>IFERROR(__xludf.DUMMYFUNCTION("""COMPUTED_VALUE"""),"Scent Event - Recent-CX - 4_Feb On")</f>
        <v>Scent Event - Recent-CX - 4_Feb On</v>
      </c>
      <c r="H39" s="212" t="str">
        <f>IFERROR(__xludf.DUMMYFUNCTION("""COMPUTED_VALUE"""),"vs_on_pr_frag_recent_2ndFeb OR AGIPL_Internal")</f>
        <v>vs_on_pr_frag_recent_2ndFeb OR AGIPL_Internal</v>
      </c>
      <c r="I39" s="212" t="str">
        <f>IFERROR(__xludf.DUMMYFUNCTION("""COMPUTED_VALUE"""),"Online customers who have purchased in the last 84 days with Cat L2 Fragrances AND Exclude Custom Segment :- Scent_Event_Purchasers_On OR Loyal")</f>
        <v>Online customers who have purchased in the last 84 days with Cat L2 Fragrances AND Exclude Custom Segment :- Scent_Event_Purchasers_On OR Loyal</v>
      </c>
      <c r="J39" s="213">
        <f>IFERROR(__xludf.DUMMYFUNCTION("""COMPUTED_VALUE"""),7273.0)</f>
        <v>7273</v>
      </c>
      <c r="K39" s="213">
        <f>IFERROR(__xludf.DUMMYFUNCTION("""COMPUTED_VALUE"""),3742.0)</f>
        <v>3742</v>
      </c>
      <c r="L39" s="214">
        <f>IFERROR(__xludf.DUMMYFUNCTION("""COMPUTED_VALUE"""),0.5145)</f>
        <v>0.5145</v>
      </c>
      <c r="M39" s="213">
        <f>IFERROR(__xludf.DUMMYFUNCTION("""COMPUTED_VALUE"""),1008.0)</f>
        <v>1008</v>
      </c>
      <c r="N39" s="214">
        <f>IFERROR(__xludf.DUMMYFUNCTION("""COMPUTED_VALUE"""),0.2694)</f>
        <v>0.2694</v>
      </c>
      <c r="O39" s="101">
        <f>IFERROR(__xludf.DUMMYFUNCTION("""COMPUTED_VALUE"""),108.0)</f>
        <v>108</v>
      </c>
      <c r="P39" s="101">
        <f>IFERROR(__xludf.DUMMYFUNCTION("""COMPUTED_VALUE"""),96.0)</f>
        <v>96</v>
      </c>
      <c r="Q39" s="214">
        <f>IFERROR(__xludf.DUMMYFUNCTION("""COMPUTED_VALUE"""),0.0257)</f>
        <v>0.0257</v>
      </c>
      <c r="R39" s="214">
        <f>IFERROR(__xludf.DUMMYFUNCTION("""COMPUTED_VALUE"""),0.0952)</f>
        <v>0.0952</v>
      </c>
      <c r="S39" s="101">
        <f>IFERROR(__xludf.DUMMYFUNCTION("""COMPUTED_VALUE"""),5.0)</f>
        <v>5</v>
      </c>
      <c r="T39" s="226">
        <f>IFERROR(__xludf.DUMMYFUNCTION("""COMPUTED_VALUE"""),13.0)</f>
        <v>13</v>
      </c>
      <c r="U39" s="224">
        <f>IFERROR(__xludf.DUMMYFUNCTION("""COMPUTED_VALUE"""),19400.0)</f>
        <v>19400</v>
      </c>
      <c r="V39" s="224" t="str">
        <f>IFERROR(__xludf.DUMMYFUNCTION("""COMPUTED_VALUE"""),"online")</f>
        <v>online</v>
      </c>
      <c r="W39" s="229" t="str">
        <f>IFERROR(__xludf.DUMMYFUNCTION("""COMPUTED_VALUE"""),"simple")</f>
        <v>simple</v>
      </c>
      <c r="X39" s="229" t="str">
        <f>IFERROR(__xludf.DUMMYFUNCTION("""COMPUTED_VALUE"""),"Recent")</f>
        <v>Recent</v>
      </c>
      <c r="Y39" s="229" t="str">
        <f>IFERROR(__xludf.DUMMYFUNCTION("""COMPUTED_VALUE"""),"4th - 8th Feb")</f>
        <v>4th - 8th Feb</v>
      </c>
      <c r="Z39" s="229" t="str">
        <f>IFERROR(__xludf.DUMMYFUNCTION("""COMPUTED_VALUE"""),"6982e9b78c256677e1c44bb8")</f>
        <v>6982e9b78c256677e1c44bb8</v>
      </c>
      <c r="AA39" s="229">
        <f>IFERROR(__xludf.DUMMYFUNCTION("""COMPUTED_VALUE"""),14.0)</f>
        <v>14</v>
      </c>
      <c r="AB39" s="229">
        <f>IFERROR(__xludf.DUMMYFUNCTION("""COMPUTED_VALUE"""),14.0)</f>
        <v>14</v>
      </c>
      <c r="AC39" s="229"/>
      <c r="AD39" s="229">
        <f>IFERROR(__xludf.DUMMYFUNCTION("""COMPUTED_VALUE"""),50873.0)</f>
        <v>50873</v>
      </c>
      <c r="AE39" s="229">
        <f>IFERROR(__xludf.DUMMYFUNCTION("""COMPUTED_VALUE"""),50873.0)</f>
        <v>50873</v>
      </c>
      <c r="AF39" s="229"/>
      <c r="AG39" s="208"/>
      <c r="AH39" s="208"/>
      <c r="AI39" s="208"/>
      <c r="AJ39" s="208"/>
      <c r="AK39" s="208"/>
    </row>
    <row r="40">
      <c r="A40" s="215">
        <f>IFERROR(__xludf.DUMMYFUNCTION("""COMPUTED_VALUE"""),46057.0)</f>
        <v>46057</v>
      </c>
      <c r="B40" s="210">
        <f>IFERROR(__xludf.DUMMYFUNCTION("""COMPUTED_VALUE"""),0.84375)</f>
        <v>0.84375</v>
      </c>
      <c r="C40" s="218" t="str">
        <f>IFERROR(__xludf.DUMMYFUNCTION("""COMPUTED_VALUE"""),"Whatsapp")</f>
        <v>Whatsapp</v>
      </c>
      <c r="D40" s="218" t="str">
        <f>IFERROR(__xludf.DUMMYFUNCTION("""COMPUTED_VALUE"""),"Promotional")</f>
        <v>Promotional</v>
      </c>
      <c r="E40" s="218" t="str">
        <f>IFERROR(__xludf.DUMMYFUNCTION("""COMPUTED_VALUE"""),"VS")</f>
        <v>VS</v>
      </c>
      <c r="F40" s="218" t="str">
        <f>IFERROR(__xludf.DUMMYFUNCTION("""COMPUTED_VALUE"""),"Scent Event")</f>
        <v>Scent Event</v>
      </c>
      <c r="G40" s="212" t="str">
        <f>IFERROR(__xludf.DUMMYFUNCTION("""COMPUTED_VALUE"""),"Scent Event - Lingerie-CX - 4_Feb On")</f>
        <v>Scent Event - Lingerie-CX - 4_Feb On</v>
      </c>
      <c r="H40" s="212" t="str">
        <f>IFERROR(__xludf.DUMMYFUNCTION("""COMPUTED_VALUE"""),"vs_on_subcatmov_2ndFeb")</f>
        <v>vs_on_subcatmov_2ndFeb</v>
      </c>
      <c r="I40" s="212" t="str">
        <f>IFERROR(__xludf.DUMMYFUNCTION("""COMPUTED_VALUE"""),"Online customers who have purchased Lingerie more than 3999 AND Exclude Custom Segment :- Scent_Event_Purchasers_On OR Loyal, Recent")</f>
        <v>Online customers who have purchased Lingerie more than 3999 AND Exclude Custom Segment :- Scent_Event_Purchasers_On OR Loyal, Recent</v>
      </c>
      <c r="J40" s="213">
        <f>IFERROR(__xludf.DUMMYFUNCTION("""COMPUTED_VALUE"""),23040.0)</f>
        <v>23040</v>
      </c>
      <c r="K40" s="213">
        <f>IFERROR(__xludf.DUMMYFUNCTION("""COMPUTED_VALUE"""),9397.0)</f>
        <v>9397</v>
      </c>
      <c r="L40" s="214">
        <f>IFERROR(__xludf.DUMMYFUNCTION("""COMPUTED_VALUE"""),0.4079)</f>
        <v>0.4079</v>
      </c>
      <c r="M40" s="213">
        <f>IFERROR(__xludf.DUMMYFUNCTION("""COMPUTED_VALUE"""),1654.0)</f>
        <v>1654</v>
      </c>
      <c r="N40" s="214">
        <f>IFERROR(__xludf.DUMMYFUNCTION("""COMPUTED_VALUE"""),0.176)</f>
        <v>0.176</v>
      </c>
      <c r="O40" s="101">
        <f>IFERROR(__xludf.DUMMYFUNCTION("""COMPUTED_VALUE"""),137.0)</f>
        <v>137</v>
      </c>
      <c r="P40" s="101">
        <f>IFERROR(__xludf.DUMMYFUNCTION("""COMPUTED_VALUE"""),129.0)</f>
        <v>129</v>
      </c>
      <c r="Q40" s="214">
        <f>IFERROR(__xludf.DUMMYFUNCTION("""COMPUTED_VALUE"""),0.0137)</f>
        <v>0.0137</v>
      </c>
      <c r="R40" s="214">
        <f>IFERROR(__xludf.DUMMYFUNCTION("""COMPUTED_VALUE"""),0.078)</f>
        <v>0.078</v>
      </c>
      <c r="S40" s="101">
        <f>IFERROR(__xludf.DUMMYFUNCTION("""COMPUTED_VALUE"""),13.0)</f>
        <v>13</v>
      </c>
      <c r="T40" s="226">
        <f>IFERROR(__xludf.DUMMYFUNCTION("""COMPUTED_VALUE"""),37.0)</f>
        <v>37</v>
      </c>
      <c r="U40" s="224">
        <f>IFERROR(__xludf.DUMMYFUNCTION("""COMPUTED_VALUE"""),108409.0)</f>
        <v>108409</v>
      </c>
      <c r="V40" s="224" t="str">
        <f>IFERROR(__xludf.DUMMYFUNCTION("""COMPUTED_VALUE"""),"online")</f>
        <v>online</v>
      </c>
      <c r="W40" s="229" t="str">
        <f>IFERROR(__xludf.DUMMYFUNCTION("""COMPUTED_VALUE"""),"simple")</f>
        <v>simple</v>
      </c>
      <c r="X40" s="229" t="str">
        <f>IFERROR(__xludf.DUMMYFUNCTION("""COMPUTED_VALUE"""),"Sub-Category Movers")</f>
        <v>Sub-Category Movers</v>
      </c>
      <c r="Y40" s="229" t="str">
        <f>IFERROR(__xludf.DUMMYFUNCTION("""COMPUTED_VALUE"""),"4th - 8th Feb")</f>
        <v>4th - 8th Feb</v>
      </c>
      <c r="Z40" s="229" t="str">
        <f>IFERROR(__xludf.DUMMYFUNCTION("""COMPUTED_VALUE"""),"6982ead621406e9565066fb8")</f>
        <v>6982ead621406e9565066fb8</v>
      </c>
      <c r="AA40" s="229">
        <f>IFERROR(__xludf.DUMMYFUNCTION("""COMPUTED_VALUE"""),36.0)</f>
        <v>36</v>
      </c>
      <c r="AB40" s="229">
        <f>IFERROR(__xludf.DUMMYFUNCTION("""COMPUTED_VALUE"""),36.0)</f>
        <v>36</v>
      </c>
      <c r="AC40" s="229"/>
      <c r="AD40" s="229">
        <f>IFERROR(__xludf.DUMMYFUNCTION("""COMPUTED_VALUE"""),379803.0)</f>
        <v>379803</v>
      </c>
      <c r="AE40" s="229">
        <f>IFERROR(__xludf.DUMMYFUNCTION("""COMPUTED_VALUE"""),379803.0)</f>
        <v>379803</v>
      </c>
      <c r="AF40" s="229"/>
      <c r="AG40" s="208"/>
      <c r="AH40" s="208"/>
      <c r="AI40" s="208"/>
      <c r="AJ40" s="208"/>
      <c r="AK40" s="208"/>
    </row>
    <row r="41">
      <c r="A41" s="215">
        <f>IFERROR(__xludf.DUMMYFUNCTION("""COMPUTED_VALUE"""),46057.0)</f>
        <v>46057</v>
      </c>
      <c r="B41" s="210">
        <f>IFERROR(__xludf.DUMMYFUNCTION("""COMPUTED_VALUE"""),0.8472222222226264)</f>
        <v>0.8472222222</v>
      </c>
      <c r="C41" s="218" t="str">
        <f>IFERROR(__xludf.DUMMYFUNCTION("""COMPUTED_VALUE"""),"Whatsapp")</f>
        <v>Whatsapp</v>
      </c>
      <c r="D41" s="218" t="str">
        <f>IFERROR(__xludf.DUMMYFUNCTION("""COMPUTED_VALUE"""),"Promotional")</f>
        <v>Promotional</v>
      </c>
      <c r="E41" s="218" t="str">
        <f>IFERROR(__xludf.DUMMYFUNCTION("""COMPUTED_VALUE"""),"VS")</f>
        <v>VS</v>
      </c>
      <c r="F41" s="218" t="str">
        <f>IFERROR(__xludf.DUMMYFUNCTION("""COMPUTED_VALUE"""),"Scent Event")</f>
        <v>Scent Event</v>
      </c>
      <c r="G41" s="212" t="str">
        <f>IFERROR(__xludf.DUMMYFUNCTION("""COMPUTED_VALUE"""),"Scent Event - BTY-CX - 4_Feb On")</f>
        <v>Scent Event - BTY-CX - 4_Feb On</v>
      </c>
      <c r="H41" s="212" t="str">
        <f>IFERROR(__xludf.DUMMYFUNCTION("""COMPUTED_VALUE"""),"vs_on_pr_catmov_2ndFeb")</f>
        <v>vs_on_pr_catmov_2ndFeb</v>
      </c>
      <c r="I41" s="212" t="str">
        <f>IFERROR(__xludf.DUMMYFUNCTION("""COMPUTED_VALUE"""),"Online customers who have purchased Personal Care whose LTV greater than 3000 AND Exclude Custom Segment :- Scent_Event_Purchasers_On OR Loyal, Recent, Sub- Category Movers")</f>
        <v>Online customers who have purchased Personal Care whose LTV greater than 3000 AND Exclude Custom Segment :- Scent_Event_Purchasers_On OR Loyal, Recent, Sub- Category Movers</v>
      </c>
      <c r="J41" s="213">
        <f>IFERROR(__xludf.DUMMYFUNCTION("""COMPUTED_VALUE"""),32517.0)</f>
        <v>32517</v>
      </c>
      <c r="K41" s="213">
        <f>IFERROR(__xludf.DUMMYFUNCTION("""COMPUTED_VALUE"""),14044.0)</f>
        <v>14044</v>
      </c>
      <c r="L41" s="214">
        <f>IFERROR(__xludf.DUMMYFUNCTION("""COMPUTED_VALUE"""),0.4319)</f>
        <v>0.4319</v>
      </c>
      <c r="M41" s="213">
        <f>IFERROR(__xludf.DUMMYFUNCTION("""COMPUTED_VALUE"""),3027.0)</f>
        <v>3027</v>
      </c>
      <c r="N41" s="214">
        <f>IFERROR(__xludf.DUMMYFUNCTION("""COMPUTED_VALUE"""),0.2156)</f>
        <v>0.2156</v>
      </c>
      <c r="O41" s="101">
        <f>IFERROR(__xludf.DUMMYFUNCTION("""COMPUTED_VALUE"""),286.0)</f>
        <v>286</v>
      </c>
      <c r="P41" s="101">
        <f>IFERROR(__xludf.DUMMYFUNCTION("""COMPUTED_VALUE"""),275.0)</f>
        <v>275</v>
      </c>
      <c r="Q41" s="214">
        <f>IFERROR(__xludf.DUMMYFUNCTION("""COMPUTED_VALUE"""),0.0196)</f>
        <v>0.0196</v>
      </c>
      <c r="R41" s="214">
        <f>IFERROR(__xludf.DUMMYFUNCTION("""COMPUTED_VALUE"""),0.0908)</f>
        <v>0.0908</v>
      </c>
      <c r="S41" s="101">
        <f>IFERROR(__xludf.DUMMYFUNCTION("""COMPUTED_VALUE"""),7.0)</f>
        <v>7</v>
      </c>
      <c r="T41" s="226">
        <f>IFERROR(__xludf.DUMMYFUNCTION("""COMPUTED_VALUE"""),17.0)</f>
        <v>17</v>
      </c>
      <c r="U41" s="224">
        <f>IFERROR(__xludf.DUMMYFUNCTION("""COMPUTED_VALUE"""),30059.0)</f>
        <v>30059</v>
      </c>
      <c r="V41" s="224" t="str">
        <f>IFERROR(__xludf.DUMMYFUNCTION("""COMPUTED_VALUE"""),"online")</f>
        <v>online</v>
      </c>
      <c r="W41" s="229" t="str">
        <f>IFERROR(__xludf.DUMMYFUNCTION("""COMPUTED_VALUE"""),"simple")</f>
        <v>simple</v>
      </c>
      <c r="X41" s="229" t="str">
        <f>IFERROR(__xludf.DUMMYFUNCTION("""COMPUTED_VALUE"""),"Category Movers")</f>
        <v>Category Movers</v>
      </c>
      <c r="Y41" s="229" t="str">
        <f>IFERROR(__xludf.DUMMYFUNCTION("""COMPUTED_VALUE"""),"4th - 8th Feb")</f>
        <v>4th - 8th Feb</v>
      </c>
      <c r="Z41" s="229" t="str">
        <f>IFERROR(__xludf.DUMMYFUNCTION("""COMPUTED_VALUE"""),"6982eb283786ae03d6c1784d")</f>
        <v>6982eb283786ae03d6c1784d</v>
      </c>
      <c r="AA41" s="229">
        <f>IFERROR(__xludf.DUMMYFUNCTION("""COMPUTED_VALUE"""),45.0)</f>
        <v>45</v>
      </c>
      <c r="AB41" s="229">
        <f>IFERROR(__xludf.DUMMYFUNCTION("""COMPUTED_VALUE"""),45.0)</f>
        <v>45</v>
      </c>
      <c r="AC41" s="229"/>
      <c r="AD41" s="229">
        <f>IFERROR(__xludf.DUMMYFUNCTION("""COMPUTED_VALUE"""),197010.0)</f>
        <v>197010</v>
      </c>
      <c r="AE41" s="229">
        <f>IFERROR(__xludf.DUMMYFUNCTION("""COMPUTED_VALUE"""),197010.0)</f>
        <v>197010</v>
      </c>
      <c r="AF41" s="229"/>
      <c r="AG41" s="208"/>
      <c r="AH41" s="208"/>
      <c r="AI41" s="208"/>
      <c r="AJ41" s="208"/>
      <c r="AK41" s="208"/>
    </row>
    <row r="42">
      <c r="A42" s="215">
        <f>IFERROR(__xludf.DUMMYFUNCTION("""COMPUTED_VALUE"""),46057.0)</f>
        <v>46057</v>
      </c>
      <c r="B42" s="247">
        <f>IFERROR(__xludf.DUMMYFUNCTION("""COMPUTED_VALUE"""),0.8506944444452529)</f>
        <v>0.8506944444</v>
      </c>
      <c r="C42" s="218" t="str">
        <f>IFERROR(__xludf.DUMMYFUNCTION("""COMPUTED_VALUE"""),"Whatsapp")</f>
        <v>Whatsapp</v>
      </c>
      <c r="D42" s="218" t="str">
        <f>IFERROR(__xludf.DUMMYFUNCTION("""COMPUTED_VALUE"""),"Promotional")</f>
        <v>Promotional</v>
      </c>
      <c r="E42" s="218" t="str">
        <f>IFERROR(__xludf.DUMMYFUNCTION("""COMPUTED_VALUE"""),"VS")</f>
        <v>VS</v>
      </c>
      <c r="F42" s="218" t="str">
        <f>IFERROR(__xludf.DUMMYFUNCTION("""COMPUTED_VALUE"""),"Scent Event")</f>
        <v>Scent Event</v>
      </c>
      <c r="G42" s="212" t="str">
        <f>IFERROR(__xludf.DUMMYFUNCTION("""COMPUTED_VALUE"""),"Scent Event - Generic-CX - 4_Feb On")</f>
        <v>Scent Event - Generic-CX - 4_Feb On</v>
      </c>
      <c r="H42" s="212" t="str">
        <f>IFERROR(__xludf.DUMMYFUNCTION("""COMPUTED_VALUE"""),"vs_on_pr_gen_2ndFeb")</f>
        <v>vs_on_pr_gen_2ndFeb</v>
      </c>
      <c r="I42" s="211" t="str">
        <f>IFERROR(__xludf.DUMMYFUNCTION("""COMPUTED_VALUE"""),"Online customers who have purchased in entire date range AND Exclude Custom Segment :- Scent_Event_Purchasers_On OR Loyal, Recent, Sub- Category Moversm Category Movers")</f>
        <v>Online customers who have purchased in entire date range AND Exclude Custom Segment :- Scent_Event_Purchasers_On OR Loyal, Recent, Sub- Category Moversm Category Movers</v>
      </c>
      <c r="J42" s="213">
        <f>IFERROR(__xludf.DUMMYFUNCTION("""COMPUTED_VALUE"""),136328.0)</f>
        <v>136328</v>
      </c>
      <c r="K42" s="213">
        <f>IFERROR(__xludf.DUMMYFUNCTION("""COMPUTED_VALUE"""),67364.0)</f>
        <v>67364</v>
      </c>
      <c r="L42" s="214">
        <f>IFERROR(__xludf.DUMMYFUNCTION("""COMPUTED_VALUE"""),0.4941)</f>
        <v>0.4941</v>
      </c>
      <c r="M42" s="213">
        <f>IFERROR(__xludf.DUMMYFUNCTION("""COMPUTED_VALUE"""),15845.0)</f>
        <v>15845</v>
      </c>
      <c r="N42" s="214">
        <f>IFERROR(__xludf.DUMMYFUNCTION("""COMPUTED_VALUE"""),0.2352)</f>
        <v>0.2352</v>
      </c>
      <c r="O42" s="101">
        <f>IFERROR(__xludf.DUMMYFUNCTION("""COMPUTED_VALUE"""),1095.0)</f>
        <v>1095</v>
      </c>
      <c r="P42" s="101">
        <f>IFERROR(__xludf.DUMMYFUNCTION("""COMPUTED_VALUE"""),1034.0)</f>
        <v>1034</v>
      </c>
      <c r="Q42" s="214">
        <f>IFERROR(__xludf.DUMMYFUNCTION("""COMPUTED_VALUE"""),0.0153)</f>
        <v>0.0153</v>
      </c>
      <c r="R42" s="214">
        <f>IFERROR(__xludf.DUMMYFUNCTION("""COMPUTED_VALUE"""),0.0653)</f>
        <v>0.0653</v>
      </c>
      <c r="S42" s="101">
        <f>IFERROR(__xludf.DUMMYFUNCTION("""COMPUTED_VALUE"""),20.0)</f>
        <v>20</v>
      </c>
      <c r="T42" s="226">
        <f>IFERROR(__xludf.DUMMYFUNCTION("""COMPUTED_VALUE"""),56.0)</f>
        <v>56</v>
      </c>
      <c r="U42" s="224">
        <f>IFERROR(__xludf.DUMMYFUNCTION("""COMPUTED_VALUE"""),77126.0)</f>
        <v>77126</v>
      </c>
      <c r="V42" s="224" t="str">
        <f>IFERROR(__xludf.DUMMYFUNCTION("""COMPUTED_VALUE"""),"online")</f>
        <v>online</v>
      </c>
      <c r="W42" s="229" t="str">
        <f>IFERROR(__xludf.DUMMYFUNCTION("""COMPUTED_VALUE"""),"simple")</f>
        <v>simple</v>
      </c>
      <c r="X42" s="229" t="str">
        <f>IFERROR(__xludf.DUMMYFUNCTION("""COMPUTED_VALUE"""),"Generic")</f>
        <v>Generic</v>
      </c>
      <c r="Y42" s="229" t="str">
        <f>IFERROR(__xludf.DUMMYFUNCTION("""COMPUTED_VALUE"""),"4th - 8th Feb")</f>
        <v>4th - 8th Feb</v>
      </c>
      <c r="Z42" s="229" t="str">
        <f>IFERROR(__xludf.DUMMYFUNCTION("""COMPUTED_VALUE"""),"6982ec463786ae03d6c1787b")</f>
        <v>6982ec463786ae03d6c1787b</v>
      </c>
      <c r="AA42" s="229">
        <f>IFERROR(__xludf.DUMMYFUNCTION("""COMPUTED_VALUE"""),90.0)</f>
        <v>90</v>
      </c>
      <c r="AB42" s="229">
        <f>IFERROR(__xludf.DUMMYFUNCTION("""COMPUTED_VALUE"""),90.0)</f>
        <v>90</v>
      </c>
      <c r="AC42" s="229"/>
      <c r="AD42" s="229">
        <f>IFERROR(__xludf.DUMMYFUNCTION("""COMPUTED_VALUE"""),329304.0)</f>
        <v>329304</v>
      </c>
      <c r="AE42" s="229">
        <f>IFERROR(__xludf.DUMMYFUNCTION("""COMPUTED_VALUE"""),329304.0)</f>
        <v>329304</v>
      </c>
      <c r="AF42" s="229"/>
      <c r="AG42" s="208"/>
      <c r="AH42" s="208"/>
      <c r="AI42" s="208"/>
      <c r="AJ42" s="208"/>
      <c r="AK42" s="208"/>
    </row>
    <row r="43">
      <c r="A43" s="215">
        <f>IFERROR(__xludf.DUMMYFUNCTION("""COMPUTED_VALUE"""),46058.0)</f>
        <v>46058</v>
      </c>
      <c r="B43" s="247">
        <f>IFERROR(__xludf.DUMMYFUNCTION("""COMPUTED_VALUE"""),0.4375)</f>
        <v>0.4375</v>
      </c>
      <c r="C43" s="218" t="str">
        <f>IFERROR(__xludf.DUMMYFUNCTION("""COMPUTED_VALUE"""),"Whatsapp")</f>
        <v>Whatsapp</v>
      </c>
      <c r="D43" s="218" t="str">
        <f>IFERROR(__xludf.DUMMYFUNCTION("""COMPUTED_VALUE"""),"Fallback Campaign")</f>
        <v>Fallback Campaign</v>
      </c>
      <c r="E43" s="218" t="str">
        <f>IFERROR(__xludf.DUMMYFUNCTION("""COMPUTED_VALUE"""),"VS")</f>
        <v>VS</v>
      </c>
      <c r="F43" s="218" t="str">
        <f>IFERROR(__xludf.DUMMYFUNCTION("""COMPUTED_VALUE"""),"Scent Event")</f>
        <v>Scent Event</v>
      </c>
      <c r="G43" s="212" t="str">
        <f>IFERROR(__xludf.DUMMYFUNCTION("""COMPUTED_VALUE"""),"Scent Event - Event-CX - 5_Feb Off - FB")</f>
        <v>Scent Event - Event-CX - 5_Feb Off - FB</v>
      </c>
      <c r="H43" s="212" t="str">
        <f>IFERROR(__xludf.DUMMYFUNCTION("""COMPUTED_VALUE"""),"Scent_Event_Purchasers_Off")</f>
        <v>Scent_Event_Purchasers_Off</v>
      </c>
      <c r="I43" s="211" t="str">
        <f>IFERROR(__xludf.DUMMYFUNCTION("""COMPUTED_VALUE"""),"RCS Delivery Failed")</f>
        <v>RCS Delivery Failed</v>
      </c>
      <c r="J43" s="213">
        <f>IFERROR(__xludf.DUMMYFUNCTION("""COMPUTED_VALUE"""),6416.0)</f>
        <v>6416</v>
      </c>
      <c r="K43" s="213">
        <f>IFERROR(__xludf.DUMMYFUNCTION("""COMPUTED_VALUE"""),3014.0)</f>
        <v>3014</v>
      </c>
      <c r="L43" s="214">
        <f>IFERROR(__xludf.DUMMYFUNCTION("""COMPUTED_VALUE"""),0.4698)</f>
        <v>0.4698</v>
      </c>
      <c r="M43" s="213">
        <f>IFERROR(__xludf.DUMMYFUNCTION("""COMPUTED_VALUE"""),622.0)</f>
        <v>622</v>
      </c>
      <c r="N43" s="214">
        <f>IFERROR(__xludf.DUMMYFUNCTION("""COMPUTED_VALUE"""),0.2064)</f>
        <v>0.2064</v>
      </c>
      <c r="O43" s="101">
        <f>IFERROR(__xludf.DUMMYFUNCTION("""COMPUTED_VALUE"""),54.0)</f>
        <v>54</v>
      </c>
      <c r="P43" s="101">
        <f>IFERROR(__xludf.DUMMYFUNCTION("""COMPUTED_VALUE"""),49.0)</f>
        <v>49</v>
      </c>
      <c r="Q43" s="214">
        <f>IFERROR(__xludf.DUMMYFUNCTION("""COMPUTED_VALUE"""),0.0163)</f>
        <v>0.0163</v>
      </c>
      <c r="R43" s="214">
        <f>IFERROR(__xludf.DUMMYFUNCTION("""COMPUTED_VALUE"""),0.0788)</f>
        <v>0.0788</v>
      </c>
      <c r="S43" s="101">
        <f>IFERROR(__xludf.DUMMYFUNCTION("""COMPUTED_VALUE"""),0.0)</f>
        <v>0</v>
      </c>
      <c r="T43" s="226">
        <f>IFERROR(__xludf.DUMMYFUNCTION("""COMPUTED_VALUE"""),6.0)</f>
        <v>6</v>
      </c>
      <c r="U43" s="224">
        <f>IFERROR(__xludf.DUMMYFUNCTION("""COMPUTED_VALUE"""),0.0)</f>
        <v>0</v>
      </c>
      <c r="V43" s="224" t="str">
        <f>IFERROR(__xludf.DUMMYFUNCTION("""COMPUTED_VALUE"""),"offline")</f>
        <v>offline</v>
      </c>
      <c r="W43" s="229" t="str">
        <f>IFERROR(__xludf.DUMMYFUNCTION("""COMPUTED_VALUE"""),"simple")</f>
        <v>simple</v>
      </c>
      <c r="X43" s="229" t="str">
        <f>IFERROR(__xludf.DUMMYFUNCTION("""COMPUTED_VALUE"""),"Event Buyers")</f>
        <v>Event Buyers</v>
      </c>
      <c r="Y43" s="229" t="str">
        <f>IFERROR(__xludf.DUMMYFUNCTION("""COMPUTED_VALUE"""),"5th - 8th Feb")</f>
        <v>5th - 8th Feb</v>
      </c>
      <c r="Z43" s="229" t="str">
        <f>IFERROR(__xludf.DUMMYFUNCTION("""COMPUTED_VALUE"""),"698329e17471a223ca33da39")</f>
        <v>698329e17471a223ca33da39</v>
      </c>
      <c r="AA43" s="229">
        <f>IFERROR(__xludf.DUMMYFUNCTION("""COMPUTED_VALUE"""),16.0)</f>
        <v>16</v>
      </c>
      <c r="AB43" s="229"/>
      <c r="AC43" s="229">
        <f>IFERROR(__xludf.DUMMYFUNCTION("""COMPUTED_VALUE"""),16.0)</f>
        <v>16</v>
      </c>
      <c r="AD43" s="229">
        <f>IFERROR(__xludf.DUMMYFUNCTION("""COMPUTED_VALUE"""),114822.0)</f>
        <v>114822</v>
      </c>
      <c r="AE43" s="229"/>
      <c r="AF43" s="229">
        <f>IFERROR(__xludf.DUMMYFUNCTION("""COMPUTED_VALUE"""),114822.0)</f>
        <v>114822</v>
      </c>
      <c r="AG43" s="208"/>
      <c r="AH43" s="208"/>
      <c r="AI43" s="208"/>
      <c r="AJ43" s="208"/>
      <c r="AK43" s="208"/>
    </row>
    <row r="44">
      <c r="A44" s="215">
        <f>IFERROR(__xludf.DUMMYFUNCTION("""COMPUTED_VALUE"""),46058.0)</f>
        <v>46058</v>
      </c>
      <c r="B44" s="247">
        <f>IFERROR(__xludf.DUMMYFUNCTION("""COMPUTED_VALUE"""),0.44097222222262644)</f>
        <v>0.4409722222</v>
      </c>
      <c r="C44" s="218" t="str">
        <f>IFERROR(__xludf.DUMMYFUNCTION("""COMPUTED_VALUE"""),"Whatsapp")</f>
        <v>Whatsapp</v>
      </c>
      <c r="D44" s="218" t="str">
        <f>IFERROR(__xludf.DUMMYFUNCTION("""COMPUTED_VALUE"""),"Fallback Campaign")</f>
        <v>Fallback Campaign</v>
      </c>
      <c r="E44" s="218" t="str">
        <f>IFERROR(__xludf.DUMMYFUNCTION("""COMPUTED_VALUE"""),"VS")</f>
        <v>VS</v>
      </c>
      <c r="F44" s="218" t="str">
        <f>IFERROR(__xludf.DUMMYFUNCTION("""COMPUTED_VALUE"""),"Scent Event")</f>
        <v>Scent Event</v>
      </c>
      <c r="G44" s="212" t="str">
        <f>IFERROR(__xludf.DUMMYFUNCTION("""COMPUTED_VALUE"""),"Scent Event - Recent-CX - 5_Feb Off - FB")</f>
        <v>Scent Event - Recent-CX - 5_Feb Off - FB</v>
      </c>
      <c r="H44" s="212" t="str">
        <f>IFERROR(__xludf.DUMMYFUNCTION("""COMPUTED_VALUE"""),"vs_off_pr_frag_recent_2ndFeb")</f>
        <v>vs_off_pr_frag_recent_2ndFeb</v>
      </c>
      <c r="I44" s="211" t="str">
        <f>IFERROR(__xludf.DUMMYFUNCTION("""COMPUTED_VALUE"""),"RCS Delivery Failed")</f>
        <v>RCS Delivery Failed</v>
      </c>
      <c r="J44" s="213">
        <f>IFERROR(__xludf.DUMMYFUNCTION("""COMPUTED_VALUE"""),15894.0)</f>
        <v>15894</v>
      </c>
      <c r="K44" s="213">
        <f>IFERROR(__xludf.DUMMYFUNCTION("""COMPUTED_VALUE"""),8274.0)</f>
        <v>8274</v>
      </c>
      <c r="L44" s="214">
        <f>IFERROR(__xludf.DUMMYFUNCTION("""COMPUTED_VALUE"""),0.5206)</f>
        <v>0.5206</v>
      </c>
      <c r="M44" s="213">
        <f>IFERROR(__xludf.DUMMYFUNCTION("""COMPUTED_VALUE"""),2185.0)</f>
        <v>2185</v>
      </c>
      <c r="N44" s="214">
        <f>IFERROR(__xludf.DUMMYFUNCTION("""COMPUTED_VALUE"""),0.2641)</f>
        <v>0.2641</v>
      </c>
      <c r="O44" s="101">
        <f>IFERROR(__xludf.DUMMYFUNCTION("""COMPUTED_VALUE"""),289.0)</f>
        <v>289</v>
      </c>
      <c r="P44" s="101">
        <f>IFERROR(__xludf.DUMMYFUNCTION("""COMPUTED_VALUE"""),266.0)</f>
        <v>266</v>
      </c>
      <c r="Q44" s="214">
        <f>IFERROR(__xludf.DUMMYFUNCTION("""COMPUTED_VALUE"""),0.0321)</f>
        <v>0.0321</v>
      </c>
      <c r="R44" s="214">
        <f>IFERROR(__xludf.DUMMYFUNCTION("""COMPUTED_VALUE"""),0.1217)</f>
        <v>0.1217</v>
      </c>
      <c r="S44" s="101">
        <f>IFERROR(__xludf.DUMMYFUNCTION("""COMPUTED_VALUE"""),1.0)</f>
        <v>1</v>
      </c>
      <c r="T44" s="226">
        <f>IFERROR(__xludf.DUMMYFUNCTION("""COMPUTED_VALUE"""),4.0)</f>
        <v>4</v>
      </c>
      <c r="U44" s="224">
        <f>IFERROR(__xludf.DUMMYFUNCTION("""COMPUTED_VALUE"""),5399.0)</f>
        <v>5399</v>
      </c>
      <c r="V44" s="224" t="str">
        <f>IFERROR(__xludf.DUMMYFUNCTION("""COMPUTED_VALUE"""),"offline")</f>
        <v>offline</v>
      </c>
      <c r="W44" s="229" t="str">
        <f>IFERROR(__xludf.DUMMYFUNCTION("""COMPUTED_VALUE"""),"simple")</f>
        <v>simple</v>
      </c>
      <c r="X44" s="229" t="str">
        <f>IFERROR(__xludf.DUMMYFUNCTION("""COMPUTED_VALUE"""),"Recent")</f>
        <v>Recent</v>
      </c>
      <c r="Y44" s="229" t="str">
        <f>IFERROR(__xludf.DUMMYFUNCTION("""COMPUTED_VALUE"""),"5th - 8th Feb")</f>
        <v>5th - 8th Feb</v>
      </c>
      <c r="Z44" s="229" t="str">
        <f>IFERROR(__xludf.DUMMYFUNCTION("""COMPUTED_VALUE"""),"69832ac9e2490516ae7970dd")</f>
        <v>69832ac9e2490516ae7970dd</v>
      </c>
      <c r="AA44" s="229">
        <f>IFERROR(__xludf.DUMMYFUNCTION("""COMPUTED_VALUE"""),25.0)</f>
        <v>25</v>
      </c>
      <c r="AB44" s="229"/>
      <c r="AC44" s="229">
        <f>IFERROR(__xludf.DUMMYFUNCTION("""COMPUTED_VALUE"""),25.0)</f>
        <v>25</v>
      </c>
      <c r="AD44" s="229">
        <f>IFERROR(__xludf.DUMMYFUNCTION("""COMPUTED_VALUE"""),161763.0)</f>
        <v>161763</v>
      </c>
      <c r="AE44" s="229"/>
      <c r="AF44" s="229">
        <f>IFERROR(__xludf.DUMMYFUNCTION("""COMPUTED_VALUE"""),161763.0)</f>
        <v>161763</v>
      </c>
      <c r="AG44" s="208"/>
      <c r="AH44" s="208"/>
      <c r="AI44" s="208"/>
      <c r="AJ44" s="208"/>
      <c r="AK44" s="208"/>
    </row>
    <row r="45">
      <c r="A45" s="237">
        <f>IFERROR(__xludf.DUMMYFUNCTION("""COMPUTED_VALUE"""),46058.0)</f>
        <v>46058</v>
      </c>
      <c r="B45" s="238">
        <f>IFERROR(__xludf.DUMMYFUNCTION("""COMPUTED_VALUE"""),0.4444444444452529)</f>
        <v>0.4444444444</v>
      </c>
      <c r="C45" s="96" t="str">
        <f>IFERROR(__xludf.DUMMYFUNCTION("""COMPUTED_VALUE"""),"Whatsapp")</f>
        <v>Whatsapp</v>
      </c>
      <c r="D45" s="96" t="str">
        <f>IFERROR(__xludf.DUMMYFUNCTION("""COMPUTED_VALUE"""),"Fallback Campaign")</f>
        <v>Fallback Campaign</v>
      </c>
      <c r="E45" s="96" t="str">
        <f>IFERROR(__xludf.DUMMYFUNCTION("""COMPUTED_VALUE"""),"VS")</f>
        <v>VS</v>
      </c>
      <c r="F45" s="212" t="str">
        <f>IFERROR(__xludf.DUMMYFUNCTION("""COMPUTED_VALUE"""),"Scent Event")</f>
        <v>Scent Event</v>
      </c>
      <c r="G45" s="212" t="str">
        <f>IFERROR(__xludf.DUMMYFUNCTION("""COMPUTED_VALUE"""),"Scent Event - Loyal-CX - 5_Feb Off - FB")</f>
        <v>Scent Event - Loyal-CX - 5_Feb Off - FB</v>
      </c>
      <c r="H45" s="248" t="str">
        <f>IFERROR(__xludf.DUMMYFUNCTION("""COMPUTED_VALUE"""),"vs_off_pr_frag_loyal_2ndFeb")</f>
        <v>vs_off_pr_frag_loyal_2ndFeb</v>
      </c>
      <c r="I45" s="248" t="str">
        <f>IFERROR(__xludf.DUMMYFUNCTION("""COMPUTED_VALUE"""),"RCS Delivery Failed")</f>
        <v>RCS Delivery Failed</v>
      </c>
      <c r="J45" s="249">
        <f>IFERROR(__xludf.DUMMYFUNCTION("""COMPUTED_VALUE"""),3740.0)</f>
        <v>3740</v>
      </c>
      <c r="K45" s="250">
        <f>IFERROR(__xludf.DUMMYFUNCTION("""COMPUTED_VALUE"""),1894.0)</f>
        <v>1894</v>
      </c>
      <c r="L45" s="251">
        <f>IFERROR(__xludf.DUMMYFUNCTION("""COMPUTED_VALUE"""),0.5064)</f>
        <v>0.5064</v>
      </c>
      <c r="M45" s="250">
        <f>IFERROR(__xludf.DUMMYFUNCTION("""COMPUTED_VALUE"""),446.0)</f>
        <v>446</v>
      </c>
      <c r="N45" s="252">
        <f>IFERROR(__xludf.DUMMYFUNCTION("""COMPUTED_VALUE"""),0.2355)</f>
        <v>0.2355</v>
      </c>
      <c r="O45" s="253">
        <f>IFERROR(__xludf.DUMMYFUNCTION("""COMPUTED_VALUE"""),71.0)</f>
        <v>71</v>
      </c>
      <c r="P45" s="253">
        <f>IFERROR(__xludf.DUMMYFUNCTION("""COMPUTED_VALUE"""),71.0)</f>
        <v>71</v>
      </c>
      <c r="Q45" s="214">
        <f>IFERROR(__xludf.DUMMYFUNCTION("""COMPUTED_VALUE"""),0.0375)</f>
        <v>0.0375</v>
      </c>
      <c r="R45" s="214">
        <f>IFERROR(__xludf.DUMMYFUNCTION("""COMPUTED_VALUE"""),0.1592)</f>
        <v>0.1592</v>
      </c>
      <c r="S45" s="101">
        <f>IFERROR(__xludf.DUMMYFUNCTION("""COMPUTED_VALUE"""),0.0)</f>
        <v>0</v>
      </c>
      <c r="T45" s="226">
        <f>IFERROR(__xludf.DUMMYFUNCTION("""COMPUTED_VALUE"""),1.0)</f>
        <v>1</v>
      </c>
      <c r="U45" s="224">
        <f>IFERROR(__xludf.DUMMYFUNCTION("""COMPUTED_VALUE"""),0.0)</f>
        <v>0</v>
      </c>
      <c r="V45" s="224" t="str">
        <f>IFERROR(__xludf.DUMMYFUNCTION("""COMPUTED_VALUE"""),"offline")</f>
        <v>offline</v>
      </c>
      <c r="W45" s="229" t="str">
        <f>IFERROR(__xludf.DUMMYFUNCTION("""COMPUTED_VALUE"""),"simple")</f>
        <v>simple</v>
      </c>
      <c r="X45" s="229" t="str">
        <f>IFERROR(__xludf.DUMMYFUNCTION("""COMPUTED_VALUE"""),"Loyal")</f>
        <v>Loyal</v>
      </c>
      <c r="Y45" s="229" t="str">
        <f>IFERROR(__xludf.DUMMYFUNCTION("""COMPUTED_VALUE"""),"5th - 8th Feb")</f>
        <v>5th - 8th Feb</v>
      </c>
      <c r="Z45" s="229" t="str">
        <f>IFERROR(__xludf.DUMMYFUNCTION("""COMPUTED_VALUE"""),"69832b18396ae7817b1c2527")</f>
        <v>69832b18396ae7817b1c2527</v>
      </c>
      <c r="AA45" s="229">
        <f>IFERROR(__xludf.DUMMYFUNCTION("""COMPUTED_VALUE"""),17.0)</f>
        <v>17</v>
      </c>
      <c r="AB45" s="229"/>
      <c r="AC45" s="229">
        <f>IFERROR(__xludf.DUMMYFUNCTION("""COMPUTED_VALUE"""),17.0)</f>
        <v>17</v>
      </c>
      <c r="AD45" s="229">
        <f>IFERROR(__xludf.DUMMYFUNCTION("""COMPUTED_VALUE"""),134553.0)</f>
        <v>134553</v>
      </c>
      <c r="AE45" s="229"/>
      <c r="AF45" s="229">
        <f>IFERROR(__xludf.DUMMYFUNCTION("""COMPUTED_VALUE"""),134553.0)</f>
        <v>134553</v>
      </c>
      <c r="AG45" s="208"/>
      <c r="AH45" s="208"/>
      <c r="AI45" s="208"/>
      <c r="AJ45" s="208"/>
      <c r="AK45" s="208"/>
    </row>
    <row r="46">
      <c r="A46" s="237">
        <f>IFERROR(__xludf.DUMMYFUNCTION("""COMPUTED_VALUE"""),46058.0)</f>
        <v>46058</v>
      </c>
      <c r="B46" s="238">
        <f>IFERROR(__xludf.DUMMYFUNCTION("""COMPUTED_VALUE"""),0.4479166666678793)</f>
        <v>0.4479166667</v>
      </c>
      <c r="C46" s="96" t="str">
        <f>IFERROR(__xludf.DUMMYFUNCTION("""COMPUTED_VALUE"""),"Whatsapp")</f>
        <v>Whatsapp</v>
      </c>
      <c r="D46" s="96" t="str">
        <f>IFERROR(__xludf.DUMMYFUNCTION("""COMPUTED_VALUE"""),"Fallback Campaign")</f>
        <v>Fallback Campaign</v>
      </c>
      <c r="E46" s="96" t="str">
        <f>IFERROR(__xludf.DUMMYFUNCTION("""COMPUTED_VALUE"""),"VS")</f>
        <v>VS</v>
      </c>
      <c r="F46" s="212" t="str">
        <f>IFERROR(__xludf.DUMMYFUNCTION("""COMPUTED_VALUE"""),"Scent Event")</f>
        <v>Scent Event</v>
      </c>
      <c r="G46" s="212" t="str">
        <f>IFERROR(__xludf.DUMMYFUNCTION("""COMPUTED_VALUE"""),"Scent Event - Lingerie-CX - 5_Feb Off - FB")</f>
        <v>Scent Event - Lingerie-CX - 5_Feb Off - FB</v>
      </c>
      <c r="H46" s="248" t="str">
        <f>IFERROR(__xludf.DUMMYFUNCTION("""COMPUTED_VALUE"""),"vs_off_subcatmov_2ndFeb")</f>
        <v>vs_off_subcatmov_2ndFeb</v>
      </c>
      <c r="I46" s="248" t="str">
        <f>IFERROR(__xludf.DUMMYFUNCTION("""COMPUTED_VALUE"""),"RCS Delivery Failed")</f>
        <v>RCS Delivery Failed</v>
      </c>
      <c r="J46" s="249">
        <f>IFERROR(__xludf.DUMMYFUNCTION("""COMPUTED_VALUE"""),39407.0)</f>
        <v>39407</v>
      </c>
      <c r="K46" s="250">
        <f>IFERROR(__xludf.DUMMYFUNCTION("""COMPUTED_VALUE"""),17950.0)</f>
        <v>17950</v>
      </c>
      <c r="L46" s="251">
        <f>IFERROR(__xludf.DUMMYFUNCTION("""COMPUTED_VALUE"""),0.4555)</f>
        <v>0.4555</v>
      </c>
      <c r="M46" s="250">
        <f>IFERROR(__xludf.DUMMYFUNCTION("""COMPUTED_VALUE"""),3418.0)</f>
        <v>3418</v>
      </c>
      <c r="N46" s="252">
        <f>IFERROR(__xludf.DUMMYFUNCTION("""COMPUTED_VALUE"""),0.1904)</f>
        <v>0.1904</v>
      </c>
      <c r="O46" s="253">
        <f>IFERROR(__xludf.DUMMYFUNCTION("""COMPUTED_VALUE"""),180.0)</f>
        <v>180</v>
      </c>
      <c r="P46" s="253">
        <f>IFERROR(__xludf.DUMMYFUNCTION("""COMPUTED_VALUE"""),177.0)</f>
        <v>177</v>
      </c>
      <c r="Q46" s="214">
        <f>IFERROR(__xludf.DUMMYFUNCTION("""COMPUTED_VALUE"""),0.0099)</f>
        <v>0.0099</v>
      </c>
      <c r="R46" s="214">
        <f>IFERROR(__xludf.DUMMYFUNCTION("""COMPUTED_VALUE"""),0.0518)</f>
        <v>0.0518</v>
      </c>
      <c r="S46" s="101">
        <f>IFERROR(__xludf.DUMMYFUNCTION("""COMPUTED_VALUE"""),3.0)</f>
        <v>3</v>
      </c>
      <c r="T46" s="226">
        <f>IFERROR(__xludf.DUMMYFUNCTION("""COMPUTED_VALUE"""),12.0)</f>
        <v>12</v>
      </c>
      <c r="U46" s="224">
        <f>IFERROR(__xludf.DUMMYFUNCTION("""COMPUTED_VALUE"""),32247.0)</f>
        <v>32247</v>
      </c>
      <c r="V46" s="224" t="str">
        <f>IFERROR(__xludf.DUMMYFUNCTION("""COMPUTED_VALUE"""),"online")</f>
        <v>online</v>
      </c>
      <c r="W46" s="229" t="str">
        <f>IFERROR(__xludf.DUMMYFUNCTION("""COMPUTED_VALUE"""),"simple")</f>
        <v>simple</v>
      </c>
      <c r="X46" s="229" t="str">
        <f>IFERROR(__xludf.DUMMYFUNCTION("""COMPUTED_VALUE"""),"Sub-Category Movers")</f>
        <v>Sub-Category Movers</v>
      </c>
      <c r="Y46" s="229" t="str">
        <f>IFERROR(__xludf.DUMMYFUNCTION("""COMPUTED_VALUE"""),"5th - 8th Feb")</f>
        <v>5th - 8th Feb</v>
      </c>
      <c r="Z46" s="229" t="str">
        <f>IFERROR(__xludf.DUMMYFUNCTION("""COMPUTED_VALUE"""),"69832b5bc201e676272daa12")</f>
        <v>69832b5bc201e676272daa12</v>
      </c>
      <c r="AA46" s="229">
        <f>IFERROR(__xludf.DUMMYFUNCTION("""COMPUTED_VALUE"""),73.0)</f>
        <v>73</v>
      </c>
      <c r="AB46" s="229">
        <f>IFERROR(__xludf.DUMMYFUNCTION("""COMPUTED_VALUE"""),73.0)</f>
        <v>73</v>
      </c>
      <c r="AC46" s="229"/>
      <c r="AD46" s="229">
        <f>IFERROR(__xludf.DUMMYFUNCTION("""COMPUTED_VALUE"""),972672.0)</f>
        <v>972672</v>
      </c>
      <c r="AE46" s="229">
        <f>IFERROR(__xludf.DUMMYFUNCTION("""COMPUTED_VALUE"""),972672.0)</f>
        <v>972672</v>
      </c>
      <c r="AF46" s="229"/>
      <c r="AG46" s="208"/>
      <c r="AH46" s="208"/>
      <c r="AI46" s="208"/>
      <c r="AJ46" s="208"/>
      <c r="AK46" s="208"/>
    </row>
    <row r="47">
      <c r="A47" s="237">
        <f>IFERROR(__xludf.DUMMYFUNCTION("""COMPUTED_VALUE"""),46058.0)</f>
        <v>46058</v>
      </c>
      <c r="B47" s="238">
        <f>IFERROR(__xludf.DUMMYFUNCTION("""COMPUTED_VALUE"""),0.45138888889050577)</f>
        <v>0.4513888889</v>
      </c>
      <c r="C47" s="96" t="str">
        <f>IFERROR(__xludf.DUMMYFUNCTION("""COMPUTED_VALUE"""),"Whatsapp")</f>
        <v>Whatsapp</v>
      </c>
      <c r="D47" s="96" t="str">
        <f>IFERROR(__xludf.DUMMYFUNCTION("""COMPUTED_VALUE"""),"Fallback Campaign")</f>
        <v>Fallback Campaign</v>
      </c>
      <c r="E47" s="96" t="str">
        <f>IFERROR(__xludf.DUMMYFUNCTION("""COMPUTED_VALUE"""),"VS")</f>
        <v>VS</v>
      </c>
      <c r="F47" s="212" t="str">
        <f>IFERROR(__xludf.DUMMYFUNCTION("""COMPUTED_VALUE"""),"Scent Event")</f>
        <v>Scent Event</v>
      </c>
      <c r="G47" s="212" t="str">
        <f>IFERROR(__xludf.DUMMYFUNCTION("""COMPUTED_VALUE"""),"Scent Event - BTY-CX - 5_Feb Off - FB")</f>
        <v>Scent Event - BTY-CX - 5_Feb Off - FB</v>
      </c>
      <c r="H47" s="248" t="str">
        <f>IFERROR(__xludf.DUMMYFUNCTION("""COMPUTED_VALUE"""),"vs_off_pr_catmov_2ndFeb")</f>
        <v>vs_off_pr_catmov_2ndFeb</v>
      </c>
      <c r="I47" s="248" t="str">
        <f>IFERROR(__xludf.DUMMYFUNCTION("""COMPUTED_VALUE"""),"RCS Delivery Failed")</f>
        <v>RCS Delivery Failed</v>
      </c>
      <c r="J47" s="249">
        <f>IFERROR(__xludf.DUMMYFUNCTION("""COMPUTED_VALUE"""),25406.0)</f>
        <v>25406</v>
      </c>
      <c r="K47" s="250">
        <f>IFERROR(__xludf.DUMMYFUNCTION("""COMPUTED_VALUE"""),14026.0)</f>
        <v>14026</v>
      </c>
      <c r="L47" s="251">
        <f>IFERROR(__xludf.DUMMYFUNCTION("""COMPUTED_VALUE"""),0.5521)</f>
        <v>0.5521</v>
      </c>
      <c r="M47" s="250">
        <f>IFERROR(__xludf.DUMMYFUNCTION("""COMPUTED_VALUE"""),3384.0)</f>
        <v>3384</v>
      </c>
      <c r="N47" s="252">
        <f>IFERROR(__xludf.DUMMYFUNCTION("""COMPUTED_VALUE"""),0.2413)</f>
        <v>0.2413</v>
      </c>
      <c r="O47" s="253">
        <f>IFERROR(__xludf.DUMMYFUNCTION("""COMPUTED_VALUE"""),325.0)</f>
        <v>325</v>
      </c>
      <c r="P47" s="253">
        <f>IFERROR(__xludf.DUMMYFUNCTION("""COMPUTED_VALUE"""),303.0)</f>
        <v>303</v>
      </c>
      <c r="Q47" s="214">
        <f>IFERROR(__xludf.DUMMYFUNCTION("""COMPUTED_VALUE"""),0.0216)</f>
        <v>0.0216</v>
      </c>
      <c r="R47" s="214">
        <f>IFERROR(__xludf.DUMMYFUNCTION("""COMPUTED_VALUE"""),0.0895)</f>
        <v>0.0895</v>
      </c>
      <c r="S47" s="101">
        <f>IFERROR(__xludf.DUMMYFUNCTION("""COMPUTED_VALUE"""),4.0)</f>
        <v>4</v>
      </c>
      <c r="T47" s="226">
        <f>IFERROR(__xludf.DUMMYFUNCTION("""COMPUTED_VALUE"""),6.0)</f>
        <v>6</v>
      </c>
      <c r="U47" s="224">
        <f>IFERROR(__xludf.DUMMYFUNCTION("""COMPUTED_VALUE"""),16833.0)</f>
        <v>16833</v>
      </c>
      <c r="V47" s="224" t="str">
        <f>IFERROR(__xludf.DUMMYFUNCTION("""COMPUTED_VALUE"""),"offline")</f>
        <v>offline</v>
      </c>
      <c r="W47" s="229" t="str">
        <f>IFERROR(__xludf.DUMMYFUNCTION("""COMPUTED_VALUE"""),"simple")</f>
        <v>simple</v>
      </c>
      <c r="X47" s="229" t="str">
        <f>IFERROR(__xludf.DUMMYFUNCTION("""COMPUTED_VALUE"""),"Category Movers")</f>
        <v>Category Movers</v>
      </c>
      <c r="Y47" s="229" t="str">
        <f>IFERROR(__xludf.DUMMYFUNCTION("""COMPUTED_VALUE"""),"5th - 8th Feb")</f>
        <v>5th - 8th Feb</v>
      </c>
      <c r="Z47" s="229" t="str">
        <f>IFERROR(__xludf.DUMMYFUNCTION("""COMPUTED_VALUE"""),"69832d4bd788b68d44a59e1d")</f>
        <v>69832d4bd788b68d44a59e1d</v>
      </c>
      <c r="AA47" s="229">
        <f>IFERROR(__xludf.DUMMYFUNCTION("""COMPUTED_VALUE"""),46.0)</f>
        <v>46</v>
      </c>
      <c r="AB47" s="229"/>
      <c r="AC47" s="229">
        <f>IFERROR(__xludf.DUMMYFUNCTION("""COMPUTED_VALUE"""),46.0)</f>
        <v>46</v>
      </c>
      <c r="AD47" s="229">
        <f>IFERROR(__xludf.DUMMYFUNCTION("""COMPUTED_VALUE"""),388613.0)</f>
        <v>388613</v>
      </c>
      <c r="AE47" s="229"/>
      <c r="AF47" s="229">
        <f>IFERROR(__xludf.DUMMYFUNCTION("""COMPUTED_VALUE"""),388613.0)</f>
        <v>388613</v>
      </c>
      <c r="AG47" s="208"/>
      <c r="AH47" s="208"/>
      <c r="AI47" s="208"/>
      <c r="AJ47" s="208"/>
      <c r="AK47" s="208"/>
    </row>
    <row r="48">
      <c r="A48" s="209">
        <f>IFERROR(__xludf.DUMMYFUNCTION("""COMPUTED_VALUE"""),46058.0)</f>
        <v>46058</v>
      </c>
      <c r="B48" s="238">
        <f>IFERROR(__xludf.DUMMYFUNCTION("""COMPUTED_VALUE"""),0.45486111110949423)</f>
        <v>0.4548611111</v>
      </c>
      <c r="C48" s="96" t="str">
        <f>IFERROR(__xludf.DUMMYFUNCTION("""COMPUTED_VALUE"""),"Whatsapp")</f>
        <v>Whatsapp</v>
      </c>
      <c r="D48" s="96" t="str">
        <f>IFERROR(__xludf.DUMMYFUNCTION("""COMPUTED_VALUE"""),"Fallback Campaign")</f>
        <v>Fallback Campaign</v>
      </c>
      <c r="E48" s="96" t="str">
        <f>IFERROR(__xludf.DUMMYFUNCTION("""COMPUTED_VALUE"""),"VS")</f>
        <v>VS</v>
      </c>
      <c r="F48" s="212" t="str">
        <f>IFERROR(__xludf.DUMMYFUNCTION("""COMPUTED_VALUE"""),"Scent Event")</f>
        <v>Scent Event</v>
      </c>
      <c r="G48" s="212" t="str">
        <f>IFERROR(__xludf.DUMMYFUNCTION("""COMPUTED_VALUE"""),"Scent Event - Generic-CX - 5_Feb Off - FB")</f>
        <v>Scent Event - Generic-CX - 5_Feb Off - FB</v>
      </c>
      <c r="H48" s="254" t="str">
        <f>IFERROR(__xludf.DUMMYFUNCTION("""COMPUTED_VALUE"""),"vs_off_pr_gen_2ndFeb")</f>
        <v>vs_off_pr_gen_2ndFeb</v>
      </c>
      <c r="I48" s="254" t="str">
        <f>IFERROR(__xludf.DUMMYFUNCTION("""COMPUTED_VALUE"""),"RCS Delivery Failed")</f>
        <v>RCS Delivery Failed</v>
      </c>
      <c r="J48" s="249">
        <f>IFERROR(__xludf.DUMMYFUNCTION("""COMPUTED_VALUE"""),59590.0)</f>
        <v>59590</v>
      </c>
      <c r="K48" s="255">
        <f>IFERROR(__xludf.DUMMYFUNCTION("""COMPUTED_VALUE"""),32570.0)</f>
        <v>32570</v>
      </c>
      <c r="L48" s="256">
        <f>IFERROR(__xludf.DUMMYFUNCTION("""COMPUTED_VALUE"""),0.5466)</f>
        <v>0.5466</v>
      </c>
      <c r="M48" s="255">
        <f>IFERROR(__xludf.DUMMYFUNCTION("""COMPUTED_VALUE"""),7421.0)</f>
        <v>7421</v>
      </c>
      <c r="N48" s="257">
        <f>IFERROR(__xludf.DUMMYFUNCTION("""COMPUTED_VALUE"""),0.2279)</f>
        <v>0.2279</v>
      </c>
      <c r="O48" s="253">
        <f>IFERROR(__xludf.DUMMYFUNCTION("""COMPUTED_VALUE"""),436.0)</f>
        <v>436</v>
      </c>
      <c r="P48" s="253">
        <f>IFERROR(__xludf.DUMMYFUNCTION("""COMPUTED_VALUE"""),428.0)</f>
        <v>428</v>
      </c>
      <c r="Q48" s="214">
        <f>IFERROR(__xludf.DUMMYFUNCTION("""COMPUTED_VALUE"""),0.0131)</f>
        <v>0.0131</v>
      </c>
      <c r="R48" s="214">
        <f>IFERROR(__xludf.DUMMYFUNCTION("""COMPUTED_VALUE"""),0.0577)</f>
        <v>0.0577</v>
      </c>
      <c r="S48" s="101">
        <f>IFERROR(__xludf.DUMMYFUNCTION("""COMPUTED_VALUE"""),4.0)</f>
        <v>4</v>
      </c>
      <c r="T48" s="226">
        <f>IFERROR(__xludf.DUMMYFUNCTION("""COMPUTED_VALUE"""),13.0)</f>
        <v>13</v>
      </c>
      <c r="U48" s="224">
        <f>IFERROR(__xludf.DUMMYFUNCTION("""COMPUTED_VALUE"""),12423.0)</f>
        <v>12423</v>
      </c>
      <c r="V48" s="224" t="str">
        <f>IFERROR(__xludf.DUMMYFUNCTION("""COMPUTED_VALUE"""),"offline")</f>
        <v>offline</v>
      </c>
      <c r="W48" s="229" t="str">
        <f>IFERROR(__xludf.DUMMYFUNCTION("""COMPUTED_VALUE"""),"simple")</f>
        <v>simple</v>
      </c>
      <c r="X48" s="229" t="str">
        <f>IFERROR(__xludf.DUMMYFUNCTION("""COMPUTED_VALUE"""),"Generic")</f>
        <v>Generic</v>
      </c>
      <c r="Y48" s="229" t="str">
        <f>IFERROR(__xludf.DUMMYFUNCTION("""COMPUTED_VALUE"""),"5th - 8th Feb")</f>
        <v>5th - 8th Feb</v>
      </c>
      <c r="Z48" s="229" t="str">
        <f>IFERROR(__xludf.DUMMYFUNCTION("""COMPUTED_VALUE"""),"69832d7f39150e40c439ca10")</f>
        <v>69832d7f39150e40c439ca10</v>
      </c>
      <c r="AA48" s="229">
        <f>IFERROR(__xludf.DUMMYFUNCTION("""COMPUTED_VALUE"""),76.0)</f>
        <v>76</v>
      </c>
      <c r="AB48" s="229"/>
      <c r="AC48" s="229">
        <f>IFERROR(__xludf.DUMMYFUNCTION("""COMPUTED_VALUE"""),76.0)</f>
        <v>76</v>
      </c>
      <c r="AD48" s="229">
        <f>IFERROR(__xludf.DUMMYFUNCTION("""COMPUTED_VALUE"""),448015.0)</f>
        <v>448015</v>
      </c>
      <c r="AE48" s="229"/>
      <c r="AF48" s="229">
        <f>IFERROR(__xludf.DUMMYFUNCTION("""COMPUTED_VALUE"""),448015.0)</f>
        <v>448015</v>
      </c>
      <c r="AG48" s="208"/>
      <c r="AH48" s="208"/>
      <c r="AI48" s="208"/>
      <c r="AJ48" s="208"/>
      <c r="AK48" s="208"/>
    </row>
    <row r="49">
      <c r="A49" s="209">
        <f>IFERROR(__xludf.DUMMYFUNCTION("""COMPUTED_VALUE"""),46058.0)</f>
        <v>46058</v>
      </c>
      <c r="B49" s="238">
        <f>IFERROR(__xludf.DUMMYFUNCTION("""COMPUTED_VALUE"""),0.39236111110949423)</f>
        <v>0.3923611111</v>
      </c>
      <c r="C49" s="96" t="str">
        <f>IFERROR(__xludf.DUMMYFUNCTION("""COMPUTED_VALUE"""),"Rcs")</f>
        <v>Rcs</v>
      </c>
      <c r="D49" s="96" t="str">
        <f>IFERROR(__xludf.DUMMYFUNCTION("""COMPUTED_VALUE"""),"Fallback Campaign")</f>
        <v>Fallback Campaign</v>
      </c>
      <c r="E49" s="96" t="str">
        <f>IFERROR(__xludf.DUMMYFUNCTION("""COMPUTED_VALUE"""),"VS")</f>
        <v>VS</v>
      </c>
      <c r="F49" s="212" t="str">
        <f>IFERROR(__xludf.DUMMYFUNCTION("""COMPUTED_VALUE"""),"Scent Event")</f>
        <v>Scent Event</v>
      </c>
      <c r="G49" s="212" t="str">
        <f>IFERROR(__xludf.DUMMYFUNCTION("""COMPUTED_VALUE"""),"Scent Event - On - Generic CX FB (5_Feb)")</f>
        <v>Scent Event - On - Generic CX FB (5_Feb)</v>
      </c>
      <c r="H49" s="258" t="str">
        <f>IFERROR(__xludf.DUMMYFUNCTION("""COMPUTED_VALUE"""),"vs_on_pr_gen_2ndFeb")</f>
        <v>vs_on_pr_gen_2ndFeb</v>
      </c>
      <c r="I49" s="254" t="str">
        <f>IFERROR(__xludf.DUMMYFUNCTION("""COMPUTED_VALUE"""),"WA Undelivered")</f>
        <v>WA Undelivered</v>
      </c>
      <c r="J49" s="249">
        <f>IFERROR(__xludf.DUMMYFUNCTION("""COMPUTED_VALUE"""),62597.0)</f>
        <v>62597</v>
      </c>
      <c r="K49" s="255">
        <f>IFERROR(__xludf.DUMMYFUNCTION("""COMPUTED_VALUE"""),12704.0)</f>
        <v>12704</v>
      </c>
      <c r="L49" s="256">
        <f>IFERROR(__xludf.DUMMYFUNCTION("""COMPUTED_VALUE"""),0.2029)</f>
        <v>0.2029</v>
      </c>
      <c r="M49" s="255">
        <f>IFERROR(__xludf.DUMMYFUNCTION("""COMPUTED_VALUE"""),1309.0)</f>
        <v>1309</v>
      </c>
      <c r="N49" s="257">
        <f>IFERROR(__xludf.DUMMYFUNCTION("""COMPUTED_VALUE"""),0.103)</f>
        <v>0.103</v>
      </c>
      <c r="O49" s="253">
        <f>IFERROR(__xludf.DUMMYFUNCTION("""COMPUTED_VALUE"""),68.0)</f>
        <v>68</v>
      </c>
      <c r="P49" s="253"/>
      <c r="Q49" s="214">
        <f>IFERROR(__xludf.DUMMYFUNCTION("""COMPUTED_VALUE"""),0.0054)</f>
        <v>0.0054</v>
      </c>
      <c r="R49" s="214"/>
      <c r="S49" s="101">
        <f>IFERROR(__xludf.DUMMYFUNCTION("""COMPUTED_VALUE"""),1.0)</f>
        <v>1</v>
      </c>
      <c r="T49" s="226">
        <f>IFERROR(__xludf.DUMMYFUNCTION("""COMPUTED_VALUE"""),8.0)</f>
        <v>8</v>
      </c>
      <c r="U49" s="224">
        <f>IFERROR(__xludf.DUMMYFUNCTION("""COMPUTED_VALUE"""),2348.0)</f>
        <v>2348</v>
      </c>
      <c r="V49" s="224" t="str">
        <f>IFERROR(__xludf.DUMMYFUNCTION("""COMPUTED_VALUE"""),"online")</f>
        <v>online</v>
      </c>
      <c r="W49" s="229" t="str">
        <f>IFERROR(__xludf.DUMMYFUNCTION("""COMPUTED_VALUE"""),"RCS")</f>
        <v>RCS</v>
      </c>
      <c r="X49" s="229" t="str">
        <f>IFERROR(__xludf.DUMMYFUNCTION("""COMPUTED_VALUE"""),"Generic")</f>
        <v>Generic</v>
      </c>
      <c r="Y49" s="229" t="str">
        <f>IFERROR(__xludf.DUMMYFUNCTION("""COMPUTED_VALUE"""),"5th - 8th Feb")</f>
        <v>5th - 8th Feb</v>
      </c>
      <c r="Z49" s="229" t="str">
        <f>IFERROR(__xludf.DUMMYFUNCTION("""COMPUTED_VALUE"""),"6982f29981dbacee875ae224")</f>
        <v>6982f29981dbacee875ae224</v>
      </c>
      <c r="AA49" s="229">
        <f>IFERROR(__xludf.DUMMYFUNCTION("""COMPUTED_VALUE"""),11.0)</f>
        <v>11</v>
      </c>
      <c r="AB49" s="229">
        <f>IFERROR(__xludf.DUMMYFUNCTION("""COMPUTED_VALUE"""),11.0)</f>
        <v>11</v>
      </c>
      <c r="AC49" s="229"/>
      <c r="AD49" s="229">
        <f>IFERROR(__xludf.DUMMYFUNCTION("""COMPUTED_VALUE"""),50682.0)</f>
        <v>50682</v>
      </c>
      <c r="AE49" s="229">
        <f>IFERROR(__xludf.DUMMYFUNCTION("""COMPUTED_VALUE"""),50682.0)</f>
        <v>50682</v>
      </c>
      <c r="AF49" s="229"/>
      <c r="AG49" s="208"/>
      <c r="AH49" s="208"/>
      <c r="AI49" s="208"/>
      <c r="AJ49" s="208"/>
      <c r="AK49" s="208"/>
    </row>
    <row r="50">
      <c r="A50" s="209">
        <f>IFERROR(__xludf.DUMMYFUNCTION("""COMPUTED_VALUE"""),46058.0)</f>
        <v>46058</v>
      </c>
      <c r="B50" s="259">
        <f>IFERROR(__xludf.DUMMYFUNCTION("""COMPUTED_VALUE"""),0.38888888889050577)</f>
        <v>0.3888888889</v>
      </c>
      <c r="C50" s="96" t="str">
        <f>IFERROR(__xludf.DUMMYFUNCTION("""COMPUTED_VALUE"""),"Rcs")</f>
        <v>Rcs</v>
      </c>
      <c r="D50" s="96" t="str">
        <f>IFERROR(__xludf.DUMMYFUNCTION("""COMPUTED_VALUE"""),"Fallback Campaign")</f>
        <v>Fallback Campaign</v>
      </c>
      <c r="E50" s="96" t="str">
        <f>IFERROR(__xludf.DUMMYFUNCTION("""COMPUTED_VALUE"""),"VS")</f>
        <v>VS</v>
      </c>
      <c r="F50" s="212" t="str">
        <f>IFERROR(__xludf.DUMMYFUNCTION("""COMPUTED_VALUE"""),"Scent Event")</f>
        <v>Scent Event</v>
      </c>
      <c r="G50" s="212" t="str">
        <f>IFERROR(__xludf.DUMMYFUNCTION("""COMPUTED_VALUE"""),"Scent Event - On - BTY CX FB (5_Feb)")</f>
        <v>Scent Event - On - BTY CX FB (5_Feb)</v>
      </c>
      <c r="H50" s="10" t="str">
        <f>IFERROR(__xludf.DUMMYFUNCTION("""COMPUTED_VALUE"""),"vs_on_pr_catmov_2ndFeb")</f>
        <v>vs_on_pr_catmov_2ndFeb</v>
      </c>
      <c r="I50" s="10" t="str">
        <f>IFERROR(__xludf.DUMMYFUNCTION("""COMPUTED_VALUE"""),"WA Undelivered")</f>
        <v>WA Undelivered</v>
      </c>
      <c r="J50" s="260">
        <f>IFERROR(__xludf.DUMMYFUNCTION("""COMPUTED_VALUE"""),16507.0)</f>
        <v>16507</v>
      </c>
      <c r="K50" s="261">
        <f>IFERROR(__xludf.DUMMYFUNCTION("""COMPUTED_VALUE"""),3194.0)</f>
        <v>3194</v>
      </c>
      <c r="L50" s="214">
        <f>IFERROR(__xludf.DUMMYFUNCTION("""COMPUTED_VALUE"""),0.1935)</f>
        <v>0.1935</v>
      </c>
      <c r="M50" s="262">
        <f>IFERROR(__xludf.DUMMYFUNCTION("""COMPUTED_VALUE"""),406.0)</f>
        <v>406</v>
      </c>
      <c r="N50" s="263">
        <f>IFERROR(__xludf.DUMMYFUNCTION("""COMPUTED_VALUE"""),0.127)</f>
        <v>0.127</v>
      </c>
      <c r="O50" s="264">
        <f>IFERROR(__xludf.DUMMYFUNCTION("""COMPUTED_VALUE"""),38.0)</f>
        <v>38</v>
      </c>
      <c r="P50" s="101"/>
      <c r="Q50" s="214">
        <f>IFERROR(__xludf.DUMMYFUNCTION("""COMPUTED_VALUE"""),0.0119)</f>
        <v>0.0119</v>
      </c>
      <c r="R50" s="214"/>
      <c r="S50" s="101">
        <f>IFERROR(__xludf.DUMMYFUNCTION("""COMPUTED_VALUE"""),0.0)</f>
        <v>0</v>
      </c>
      <c r="T50" s="226">
        <f>IFERROR(__xludf.DUMMYFUNCTION("""COMPUTED_VALUE"""),2.0)</f>
        <v>2</v>
      </c>
      <c r="U50" s="224">
        <f>IFERROR(__xludf.DUMMYFUNCTION("""COMPUTED_VALUE"""),0.0)</f>
        <v>0</v>
      </c>
      <c r="V50" s="224" t="str">
        <f>IFERROR(__xludf.DUMMYFUNCTION("""COMPUTED_VALUE"""),"online")</f>
        <v>online</v>
      </c>
      <c r="W50" s="229" t="str">
        <f>IFERROR(__xludf.DUMMYFUNCTION("""COMPUTED_VALUE"""),"RCS")</f>
        <v>RCS</v>
      </c>
      <c r="X50" s="229" t="str">
        <f>IFERROR(__xludf.DUMMYFUNCTION("""COMPUTED_VALUE"""),"Category Movers")</f>
        <v>Category Movers</v>
      </c>
      <c r="Y50" s="229" t="str">
        <f>IFERROR(__xludf.DUMMYFUNCTION("""COMPUTED_VALUE"""),"5th - 8th Feb")</f>
        <v>5th - 8th Feb</v>
      </c>
      <c r="Z50" s="229" t="str">
        <f>IFERROR(__xludf.DUMMYFUNCTION("""COMPUTED_VALUE"""),"6982f392a34634901bad6566")</f>
        <v>6982f392a34634901bad6566</v>
      </c>
      <c r="AA50" s="229">
        <f>IFERROR(__xludf.DUMMYFUNCTION("""COMPUTED_VALUE"""),11.0)</f>
        <v>11</v>
      </c>
      <c r="AB50" s="229">
        <f>IFERROR(__xludf.DUMMYFUNCTION("""COMPUTED_VALUE"""),11.0)</f>
        <v>11</v>
      </c>
      <c r="AC50" s="229"/>
      <c r="AD50" s="229">
        <f>IFERROR(__xludf.DUMMYFUNCTION("""COMPUTED_VALUE"""),53392.0)</f>
        <v>53392</v>
      </c>
      <c r="AE50" s="229">
        <f>IFERROR(__xludf.DUMMYFUNCTION("""COMPUTED_VALUE"""),53392.0)</f>
        <v>53392</v>
      </c>
      <c r="AF50" s="229"/>
      <c r="AG50" s="208"/>
      <c r="AH50" s="208"/>
      <c r="AI50" s="208"/>
      <c r="AJ50" s="208"/>
      <c r="AK50" s="208"/>
    </row>
    <row r="51">
      <c r="A51" s="209">
        <f>IFERROR(__xludf.DUMMYFUNCTION("""COMPUTED_VALUE"""),46058.0)</f>
        <v>46058</v>
      </c>
      <c r="B51" s="259">
        <f>IFERROR(__xludf.DUMMYFUNCTION("""COMPUTED_VALUE"""),0.3854166666678793)</f>
        <v>0.3854166667</v>
      </c>
      <c r="C51" s="96" t="str">
        <f>IFERROR(__xludf.DUMMYFUNCTION("""COMPUTED_VALUE"""),"Rcs")</f>
        <v>Rcs</v>
      </c>
      <c r="D51" s="96" t="str">
        <f>IFERROR(__xludf.DUMMYFUNCTION("""COMPUTED_VALUE"""),"Fallback Campaign")</f>
        <v>Fallback Campaign</v>
      </c>
      <c r="E51" s="28" t="str">
        <f>IFERROR(__xludf.DUMMYFUNCTION("""COMPUTED_VALUE"""),"VS")</f>
        <v>VS</v>
      </c>
      <c r="F51" s="212" t="str">
        <f>IFERROR(__xludf.DUMMYFUNCTION("""COMPUTED_VALUE"""),"Scent Event")</f>
        <v>Scent Event</v>
      </c>
      <c r="G51" s="212" t="str">
        <f>IFERROR(__xludf.DUMMYFUNCTION("""COMPUTED_VALUE"""),"Scent Event - On - Lingerie CX FB (5_Feb)")</f>
        <v>Scent Event - On - Lingerie CX FB (5_Feb)</v>
      </c>
      <c r="H51" s="258" t="str">
        <f>IFERROR(__xludf.DUMMYFUNCTION("""COMPUTED_VALUE"""),"vs_on_subcatmov_2ndFeb")</f>
        <v>vs_on_subcatmov_2ndFeb</v>
      </c>
      <c r="I51" s="265" t="str">
        <f>IFERROR(__xludf.DUMMYFUNCTION("""COMPUTED_VALUE"""),"WA Undelivered")</f>
        <v>WA Undelivered</v>
      </c>
      <c r="J51" s="266">
        <f>IFERROR(__xludf.DUMMYFUNCTION("""COMPUTED_VALUE"""),12370.0)</f>
        <v>12370</v>
      </c>
      <c r="K51" s="261">
        <f>IFERROR(__xludf.DUMMYFUNCTION("""COMPUTED_VALUE"""),1507.0)</f>
        <v>1507</v>
      </c>
      <c r="L51" s="214">
        <f>IFERROR(__xludf.DUMMYFUNCTION("""COMPUTED_VALUE"""),0.1218)</f>
        <v>0.1218</v>
      </c>
      <c r="M51" s="261">
        <f>IFERROR(__xludf.DUMMYFUNCTION("""COMPUTED_VALUE"""),189.0)</f>
        <v>189</v>
      </c>
      <c r="N51" s="263">
        <f>IFERROR(__xludf.DUMMYFUNCTION("""COMPUTED_VALUE"""),0.125)</f>
        <v>0.125</v>
      </c>
      <c r="O51" s="101">
        <f>IFERROR(__xludf.DUMMYFUNCTION("""COMPUTED_VALUE"""),6.0)</f>
        <v>6</v>
      </c>
      <c r="P51" s="101"/>
      <c r="Q51" s="214">
        <f>IFERROR(__xludf.DUMMYFUNCTION("""COMPUTED_VALUE"""),0.004)</f>
        <v>0.004</v>
      </c>
      <c r="R51" s="214"/>
      <c r="S51" s="101">
        <f>IFERROR(__xludf.DUMMYFUNCTION("""COMPUTED_VALUE"""),0.0)</f>
        <v>0</v>
      </c>
      <c r="T51" s="226">
        <f>IFERROR(__xludf.DUMMYFUNCTION("""COMPUTED_VALUE"""),0.0)</f>
        <v>0</v>
      </c>
      <c r="U51" s="224">
        <f>IFERROR(__xludf.DUMMYFUNCTION("""COMPUTED_VALUE"""),0.0)</f>
        <v>0</v>
      </c>
      <c r="V51" s="224" t="str">
        <f>IFERROR(__xludf.DUMMYFUNCTION("""COMPUTED_VALUE"""),"online")</f>
        <v>online</v>
      </c>
      <c r="W51" s="229" t="str">
        <f>IFERROR(__xludf.DUMMYFUNCTION("""COMPUTED_VALUE"""),"RCS")</f>
        <v>RCS</v>
      </c>
      <c r="X51" s="229" t="str">
        <f>IFERROR(__xludf.DUMMYFUNCTION("""COMPUTED_VALUE"""),"Sub-Category Movers")</f>
        <v>Sub-Category Movers</v>
      </c>
      <c r="Y51" s="229" t="str">
        <f>IFERROR(__xludf.DUMMYFUNCTION("""COMPUTED_VALUE"""),"5th - 8th Feb")</f>
        <v>5th - 8th Feb</v>
      </c>
      <c r="Z51" s="229" t="str">
        <f>IFERROR(__xludf.DUMMYFUNCTION("""COMPUTED_VALUE"""),"6982f4321a0aa1fb66a023d4")</f>
        <v>6982f4321a0aa1fb66a023d4</v>
      </c>
      <c r="AA51" s="229">
        <f>IFERROR(__xludf.DUMMYFUNCTION("""COMPUTED_VALUE"""),5.0)</f>
        <v>5</v>
      </c>
      <c r="AB51" s="229">
        <f>IFERROR(__xludf.DUMMYFUNCTION("""COMPUTED_VALUE"""),5.0)</f>
        <v>5</v>
      </c>
      <c r="AC51" s="229"/>
      <c r="AD51" s="229">
        <f>IFERROR(__xludf.DUMMYFUNCTION("""COMPUTED_VALUE"""),49542.0)</f>
        <v>49542</v>
      </c>
      <c r="AE51" s="229">
        <f>IFERROR(__xludf.DUMMYFUNCTION("""COMPUTED_VALUE"""),49542.0)</f>
        <v>49542</v>
      </c>
      <c r="AF51" s="229"/>
      <c r="AG51" s="208"/>
      <c r="AH51" s="208"/>
      <c r="AI51" s="208"/>
      <c r="AJ51" s="208"/>
      <c r="AK51" s="208"/>
    </row>
    <row r="52">
      <c r="A52" s="209">
        <f>IFERROR(__xludf.DUMMYFUNCTION("""COMPUTED_VALUE"""),46058.0)</f>
        <v>46058</v>
      </c>
      <c r="B52" s="238">
        <f>IFERROR(__xludf.DUMMYFUNCTION("""COMPUTED_VALUE"""),0.3819444444452529)</f>
        <v>0.3819444444</v>
      </c>
      <c r="C52" s="96" t="str">
        <f>IFERROR(__xludf.DUMMYFUNCTION("""COMPUTED_VALUE"""),"Rcs")</f>
        <v>Rcs</v>
      </c>
      <c r="D52" s="96" t="str">
        <f>IFERROR(__xludf.DUMMYFUNCTION("""COMPUTED_VALUE"""),"Fallback Campaign")</f>
        <v>Fallback Campaign</v>
      </c>
      <c r="E52" s="96" t="str">
        <f>IFERROR(__xludf.DUMMYFUNCTION("""COMPUTED_VALUE"""),"VS")</f>
        <v>VS</v>
      </c>
      <c r="F52" s="212" t="str">
        <f>IFERROR(__xludf.DUMMYFUNCTION("""COMPUTED_VALUE"""),"Scent Event")</f>
        <v>Scent Event</v>
      </c>
      <c r="G52" s="212" t="str">
        <f>IFERROR(__xludf.DUMMYFUNCTION("""COMPUTED_VALUE"""),"Scent Event - On - Loyal CX FB (5_Feb)")</f>
        <v>Scent Event - On - Loyal CX FB (5_Feb)</v>
      </c>
      <c r="H52" s="248" t="str">
        <f>IFERROR(__xludf.DUMMYFUNCTION("""COMPUTED_VALUE"""),"vs_on_pr_frag_loyal_2ndFeb")</f>
        <v>vs_on_pr_frag_loyal_2ndFeb</v>
      </c>
      <c r="I52" s="267" t="str">
        <f>IFERROR(__xludf.DUMMYFUNCTION("""COMPUTED_VALUE"""),"WA Undelivered")</f>
        <v>WA Undelivered</v>
      </c>
      <c r="J52" s="249">
        <f>IFERROR(__xludf.DUMMYFUNCTION("""COMPUTED_VALUE"""),1851.0)</f>
        <v>1851</v>
      </c>
      <c r="K52" s="250">
        <f>IFERROR(__xludf.DUMMYFUNCTION("""COMPUTED_VALUE"""),395.0)</f>
        <v>395</v>
      </c>
      <c r="L52" s="251">
        <f>IFERROR(__xludf.DUMMYFUNCTION("""COMPUTED_VALUE"""),0.2134)</f>
        <v>0.2134</v>
      </c>
      <c r="M52" s="250">
        <f>IFERROR(__xludf.DUMMYFUNCTION("""COMPUTED_VALUE"""),55.0)</f>
        <v>55</v>
      </c>
      <c r="N52" s="252">
        <f>IFERROR(__xludf.DUMMYFUNCTION("""COMPUTED_VALUE"""),0.139)</f>
        <v>0.139</v>
      </c>
      <c r="O52" s="253">
        <f>IFERROR(__xludf.DUMMYFUNCTION("""COMPUTED_VALUE"""),4.0)</f>
        <v>4</v>
      </c>
      <c r="P52" s="253"/>
      <c r="Q52" s="214">
        <f>IFERROR(__xludf.DUMMYFUNCTION("""COMPUTED_VALUE"""),0.0101)</f>
        <v>0.0101</v>
      </c>
      <c r="R52" s="214"/>
      <c r="S52" s="101">
        <f>IFERROR(__xludf.DUMMYFUNCTION("""COMPUTED_VALUE"""),1.0)</f>
        <v>1</v>
      </c>
      <c r="T52" s="226">
        <f>IFERROR(__xludf.DUMMYFUNCTION("""COMPUTED_VALUE"""),1.0)</f>
        <v>1</v>
      </c>
      <c r="U52" s="224">
        <f>IFERROR(__xludf.DUMMYFUNCTION("""COMPUTED_VALUE"""),1853.0)</f>
        <v>1853</v>
      </c>
      <c r="V52" s="224" t="str">
        <f>IFERROR(__xludf.DUMMYFUNCTION("""COMPUTED_VALUE"""),"online")</f>
        <v>online</v>
      </c>
      <c r="W52" s="229" t="str">
        <f>IFERROR(__xludf.DUMMYFUNCTION("""COMPUTED_VALUE"""),"RCS")</f>
        <v>RCS</v>
      </c>
      <c r="X52" s="229" t="str">
        <f>IFERROR(__xludf.DUMMYFUNCTION("""COMPUTED_VALUE"""),"Loyal")</f>
        <v>Loyal</v>
      </c>
      <c r="Y52" s="229" t="str">
        <f>IFERROR(__xludf.DUMMYFUNCTION("""COMPUTED_VALUE"""),"5th - 8th Feb")</f>
        <v>5th - 8th Feb</v>
      </c>
      <c r="Z52" s="229" t="str">
        <f>IFERROR(__xludf.DUMMYFUNCTION("""COMPUTED_VALUE"""),"6982f496742f2e24006685ec")</f>
        <v>6982f496742f2e24006685ec</v>
      </c>
      <c r="AA52" s="229">
        <f>IFERROR(__xludf.DUMMYFUNCTION("""COMPUTED_VALUE"""),3.0)</f>
        <v>3</v>
      </c>
      <c r="AB52" s="229">
        <f>IFERROR(__xludf.DUMMYFUNCTION("""COMPUTED_VALUE"""),3.0)</f>
        <v>3</v>
      </c>
      <c r="AC52" s="229"/>
      <c r="AD52" s="229">
        <f>IFERROR(__xludf.DUMMYFUNCTION("""COMPUTED_VALUE"""),10696.0)</f>
        <v>10696</v>
      </c>
      <c r="AE52" s="229">
        <f>IFERROR(__xludf.DUMMYFUNCTION("""COMPUTED_VALUE"""),10696.0)</f>
        <v>10696</v>
      </c>
      <c r="AF52" s="229"/>
      <c r="AG52" s="208"/>
      <c r="AH52" s="208"/>
      <c r="AI52" s="208"/>
      <c r="AJ52" s="208"/>
      <c r="AK52" s="208"/>
    </row>
    <row r="53">
      <c r="A53" s="209">
        <f>IFERROR(__xludf.DUMMYFUNCTION("""COMPUTED_VALUE"""),46058.0)</f>
        <v>46058</v>
      </c>
      <c r="B53" s="259">
        <f>IFERROR(__xludf.DUMMYFUNCTION("""COMPUTED_VALUE"""),0.37847222222262644)</f>
        <v>0.3784722222</v>
      </c>
      <c r="C53" s="96" t="str">
        <f>IFERROR(__xludf.DUMMYFUNCTION("""COMPUTED_VALUE"""),"Rcs")</f>
        <v>Rcs</v>
      </c>
      <c r="D53" s="96" t="str">
        <f>IFERROR(__xludf.DUMMYFUNCTION("""COMPUTED_VALUE"""),"Fallback Campaign")</f>
        <v>Fallback Campaign</v>
      </c>
      <c r="E53" s="28" t="str">
        <f>IFERROR(__xludf.DUMMYFUNCTION("""COMPUTED_VALUE"""),"VS")</f>
        <v>VS</v>
      </c>
      <c r="F53" s="212" t="str">
        <f>IFERROR(__xludf.DUMMYFUNCTION("""COMPUTED_VALUE"""),"Scent Event")</f>
        <v>Scent Event</v>
      </c>
      <c r="G53" s="212" t="str">
        <f>IFERROR(__xludf.DUMMYFUNCTION("""COMPUTED_VALUE"""),"Scent Event - On - Recent CX FB (5_Feb)")</f>
        <v>Scent Event - On - Recent CX FB (5_Feb)</v>
      </c>
      <c r="H53" s="258" t="str">
        <f>IFERROR(__xludf.DUMMYFUNCTION("""COMPUTED_VALUE"""),"vs_on_pr_frag_recent_2ndFeb OR AGIPL_Internal")</f>
        <v>vs_on_pr_frag_recent_2ndFeb OR AGIPL_Internal</v>
      </c>
      <c r="I53" s="265" t="str">
        <f>IFERROR(__xludf.DUMMYFUNCTION("""COMPUTED_VALUE"""),"WA Undelivered")</f>
        <v>WA Undelivered</v>
      </c>
      <c r="J53" s="266">
        <f>IFERROR(__xludf.DUMMYFUNCTION("""COMPUTED_VALUE"""),3350.0)</f>
        <v>3350</v>
      </c>
      <c r="K53" s="261">
        <f>IFERROR(__xludf.DUMMYFUNCTION("""COMPUTED_VALUE"""),713.0)</f>
        <v>713</v>
      </c>
      <c r="L53" s="214">
        <f>IFERROR(__xludf.DUMMYFUNCTION("""COMPUTED_VALUE"""),0.2128)</f>
        <v>0.2128</v>
      </c>
      <c r="M53" s="261">
        <f>IFERROR(__xludf.DUMMYFUNCTION("""COMPUTED_VALUE"""),103.0)</f>
        <v>103</v>
      </c>
      <c r="N53" s="263">
        <f>IFERROR(__xludf.DUMMYFUNCTION("""COMPUTED_VALUE"""),0.144)</f>
        <v>0.144</v>
      </c>
      <c r="O53" s="101">
        <f>IFERROR(__xludf.DUMMYFUNCTION("""COMPUTED_VALUE"""),7.0)</f>
        <v>7</v>
      </c>
      <c r="P53" s="101"/>
      <c r="Q53" s="214">
        <f>IFERROR(__xludf.DUMMYFUNCTION("""COMPUTED_VALUE"""),0.0098)</f>
        <v>0.0098</v>
      </c>
      <c r="R53" s="214"/>
      <c r="S53" s="101">
        <f>IFERROR(__xludf.DUMMYFUNCTION("""COMPUTED_VALUE"""),1.0)</f>
        <v>1</v>
      </c>
      <c r="T53" s="226">
        <f>IFERROR(__xludf.DUMMYFUNCTION("""COMPUTED_VALUE"""),1.0)</f>
        <v>1</v>
      </c>
      <c r="U53" s="224">
        <f>IFERROR(__xludf.DUMMYFUNCTION("""COMPUTED_VALUE"""),2519.0)</f>
        <v>2519</v>
      </c>
      <c r="V53" s="224" t="str">
        <f>IFERROR(__xludf.DUMMYFUNCTION("""COMPUTED_VALUE"""),"online")</f>
        <v>online</v>
      </c>
      <c r="W53" s="229" t="str">
        <f>IFERROR(__xludf.DUMMYFUNCTION("""COMPUTED_VALUE"""),"RCS")</f>
        <v>RCS</v>
      </c>
      <c r="X53" s="229" t="str">
        <f>IFERROR(__xludf.DUMMYFUNCTION("""COMPUTED_VALUE"""),"Recent")</f>
        <v>Recent</v>
      </c>
      <c r="Y53" s="229" t="str">
        <f>IFERROR(__xludf.DUMMYFUNCTION("""COMPUTED_VALUE"""),"5th - 8th Feb")</f>
        <v>5th - 8th Feb</v>
      </c>
      <c r="Z53" s="229" t="str">
        <f>IFERROR(__xludf.DUMMYFUNCTION("""COMPUTED_VALUE"""),"6982f4ecb426d844b0d1d548")</f>
        <v>6982f4ecb426d844b0d1d548</v>
      </c>
      <c r="AA53" s="229">
        <f>IFERROR(__xludf.DUMMYFUNCTION("""COMPUTED_VALUE"""),3.0)</f>
        <v>3</v>
      </c>
      <c r="AB53" s="229">
        <f>IFERROR(__xludf.DUMMYFUNCTION("""COMPUTED_VALUE"""),3.0)</f>
        <v>3</v>
      </c>
      <c r="AC53" s="229"/>
      <c r="AD53" s="229">
        <f>IFERROR(__xludf.DUMMYFUNCTION("""COMPUTED_VALUE"""),6686.0)</f>
        <v>6686</v>
      </c>
      <c r="AE53" s="229">
        <f>IFERROR(__xludf.DUMMYFUNCTION("""COMPUTED_VALUE"""),6686.0)</f>
        <v>6686</v>
      </c>
      <c r="AF53" s="229"/>
      <c r="AG53" s="208"/>
      <c r="AH53" s="208"/>
      <c r="AI53" s="208"/>
      <c r="AJ53" s="208"/>
      <c r="AK53" s="208"/>
    </row>
    <row r="54">
      <c r="A54" s="209">
        <f>IFERROR(__xludf.DUMMYFUNCTION("""COMPUTED_VALUE"""),46058.0)</f>
        <v>46058</v>
      </c>
      <c r="B54" s="259">
        <f>IFERROR(__xludf.DUMMYFUNCTION("""COMPUTED_VALUE"""),0.375)</f>
        <v>0.375</v>
      </c>
      <c r="C54" s="96" t="str">
        <f>IFERROR(__xludf.DUMMYFUNCTION("""COMPUTED_VALUE"""),"Rcs")</f>
        <v>Rcs</v>
      </c>
      <c r="D54" s="96" t="str">
        <f>IFERROR(__xludf.DUMMYFUNCTION("""COMPUTED_VALUE"""),"Fallback Campaign")</f>
        <v>Fallback Campaign</v>
      </c>
      <c r="E54" s="28" t="str">
        <f>IFERROR(__xludf.DUMMYFUNCTION("""COMPUTED_VALUE"""),"VS")</f>
        <v>VS</v>
      </c>
      <c r="F54" s="212" t="str">
        <f>IFERROR(__xludf.DUMMYFUNCTION("""COMPUTED_VALUE"""),"Scent Event")</f>
        <v>Scent Event</v>
      </c>
      <c r="G54" s="212" t="str">
        <f>IFERROR(__xludf.DUMMYFUNCTION("""COMPUTED_VALUE"""),"Scent Event - On - Event CX FB (5_Feb)")</f>
        <v>Scent Event - On - Event CX FB (5_Feb)</v>
      </c>
      <c r="H54" s="258" t="str">
        <f>IFERROR(__xludf.DUMMYFUNCTION("""COMPUTED_VALUE"""),"Scent_Event_Purchasers_On")</f>
        <v>Scent_Event_Purchasers_On</v>
      </c>
      <c r="I54" s="265" t="str">
        <f>IFERROR(__xludf.DUMMYFUNCTION("""COMPUTED_VALUE"""),"WA Undelivered")</f>
        <v>WA Undelivered</v>
      </c>
      <c r="J54" s="266">
        <f>IFERROR(__xludf.DUMMYFUNCTION("""COMPUTED_VALUE"""),6036.0)</f>
        <v>6036</v>
      </c>
      <c r="K54" s="261">
        <f>IFERROR(__xludf.DUMMYFUNCTION("""COMPUTED_VALUE"""),1053.0)</f>
        <v>1053</v>
      </c>
      <c r="L54" s="214">
        <f>IFERROR(__xludf.DUMMYFUNCTION("""COMPUTED_VALUE"""),0.1745)</f>
        <v>0.1745</v>
      </c>
      <c r="M54" s="261">
        <f>IFERROR(__xludf.DUMMYFUNCTION("""COMPUTED_VALUE"""),106.0)</f>
        <v>106</v>
      </c>
      <c r="N54" s="263">
        <f>IFERROR(__xludf.DUMMYFUNCTION("""COMPUTED_VALUE"""),0.101)</f>
        <v>0.101</v>
      </c>
      <c r="O54" s="101">
        <f>IFERROR(__xludf.DUMMYFUNCTION("""COMPUTED_VALUE"""),7.0)</f>
        <v>7</v>
      </c>
      <c r="P54" s="101"/>
      <c r="Q54" s="214">
        <f>IFERROR(__xludf.DUMMYFUNCTION("""COMPUTED_VALUE"""),0.0066)</f>
        <v>0.0066</v>
      </c>
      <c r="R54" s="214"/>
      <c r="S54" s="101">
        <f>IFERROR(__xludf.DUMMYFUNCTION("""COMPUTED_VALUE"""),0.0)</f>
        <v>0</v>
      </c>
      <c r="T54" s="226">
        <f>IFERROR(__xludf.DUMMYFUNCTION("""COMPUTED_VALUE"""),0.0)</f>
        <v>0</v>
      </c>
      <c r="U54" s="224">
        <f>IFERROR(__xludf.DUMMYFUNCTION("""COMPUTED_VALUE"""),0.0)</f>
        <v>0</v>
      </c>
      <c r="V54" s="224" t="str">
        <f>IFERROR(__xludf.DUMMYFUNCTION("""COMPUTED_VALUE"""),"online")</f>
        <v>online</v>
      </c>
      <c r="W54" s="229" t="str">
        <f>IFERROR(__xludf.DUMMYFUNCTION("""COMPUTED_VALUE"""),"RCS")</f>
        <v>RCS</v>
      </c>
      <c r="X54" s="229" t="str">
        <f>IFERROR(__xludf.DUMMYFUNCTION("""COMPUTED_VALUE"""),"Event Buyers")</f>
        <v>Event Buyers</v>
      </c>
      <c r="Y54" s="229" t="str">
        <f>IFERROR(__xludf.DUMMYFUNCTION("""COMPUTED_VALUE"""),"5th - 8th Feb")</f>
        <v>5th - 8th Feb</v>
      </c>
      <c r="Z54" s="229" t="str">
        <f>IFERROR(__xludf.DUMMYFUNCTION("""COMPUTED_VALUE"""),"6982f5791113a0fc699ebf37")</f>
        <v>6982f5791113a0fc699ebf37</v>
      </c>
      <c r="AA54" s="229">
        <f>IFERROR(__xludf.DUMMYFUNCTION("""COMPUTED_VALUE"""),4.0)</f>
        <v>4</v>
      </c>
      <c r="AB54" s="229">
        <f>IFERROR(__xludf.DUMMYFUNCTION("""COMPUTED_VALUE"""),4.0)</f>
        <v>4</v>
      </c>
      <c r="AC54" s="229"/>
      <c r="AD54" s="229">
        <f>IFERROR(__xludf.DUMMYFUNCTION("""COMPUTED_VALUE"""),17791.0)</f>
        <v>17791</v>
      </c>
      <c r="AE54" s="229">
        <f>IFERROR(__xludf.DUMMYFUNCTION("""COMPUTED_VALUE"""),17791.0)</f>
        <v>17791</v>
      </c>
      <c r="AF54" s="229"/>
      <c r="AG54" s="208"/>
      <c r="AH54" s="208"/>
      <c r="AI54" s="208"/>
      <c r="AJ54" s="208"/>
      <c r="AK54" s="208"/>
    </row>
    <row r="55">
      <c r="A55" s="209">
        <f>IFERROR(__xludf.DUMMYFUNCTION("""COMPUTED_VALUE"""),46058.0)</f>
        <v>46058</v>
      </c>
      <c r="B55" s="238">
        <f>IFERROR(__xludf.DUMMYFUNCTION("""COMPUTED_VALUE"""),0.375)</f>
        <v>0.375</v>
      </c>
      <c r="C55" s="96" t="str">
        <f>IFERROR(__xludf.DUMMYFUNCTION("""COMPUTED_VALUE"""),"Rcs")</f>
        <v>Rcs</v>
      </c>
      <c r="D55" s="96" t="str">
        <f>IFERROR(__xludf.DUMMYFUNCTION("""COMPUTED_VALUE"""),"Promotional")</f>
        <v>Promotional</v>
      </c>
      <c r="E55" s="96" t="str">
        <f>IFERROR(__xludf.DUMMYFUNCTION("""COMPUTED_VALUE"""),"VS")</f>
        <v>VS</v>
      </c>
      <c r="F55" s="212" t="str">
        <f>IFERROR(__xludf.DUMMYFUNCTION("""COMPUTED_VALUE"""),"Scent Event")</f>
        <v>Scent Event</v>
      </c>
      <c r="G55" s="212" t="str">
        <f>IFERROR(__xludf.DUMMYFUNCTION("""COMPUTED_VALUE"""),"Scent Event - Off - Event CX (5_Feb)")</f>
        <v>Scent Event - Off - Event CX (5_Feb)</v>
      </c>
      <c r="H55" s="258" t="str">
        <f>IFERROR(__xludf.DUMMYFUNCTION("""COMPUTED_VALUE"""),"Scent_Event_Purchasers_Off")</f>
        <v>Scent_Event_Purchasers_Off</v>
      </c>
      <c r="I55" s="265" t="str">
        <f>IFERROR(__xludf.DUMMYFUNCTION("""COMPUTED_VALUE"""),"Offline customers who have purchased from 4th Sept 25 to 7th Sept 25, 29th Oct 25 to 2nd Nov 25, 21st Oct 24 to 27th Oct 24, 30th Oct 24 to 1st Nov 24, 16th April 25 to 20th April 25")</f>
        <v>Offline customers who have purchased from 4th Sept 25 to 7th Sept 25, 29th Oct 25 to 2nd Nov 25, 21st Oct 24 to 27th Oct 24, 30th Oct 24 to 1st Nov 24, 16th April 25 to 20th April 25</v>
      </c>
      <c r="J55" s="213">
        <f>IFERROR(__xludf.DUMMYFUNCTION("""COMPUTED_VALUE"""),7924.0)</f>
        <v>7924</v>
      </c>
      <c r="K55" s="261">
        <f>IFERROR(__xludf.DUMMYFUNCTION("""COMPUTED_VALUE"""),1423.0)</f>
        <v>1423</v>
      </c>
      <c r="L55" s="214">
        <f>IFERROR(__xludf.DUMMYFUNCTION("""COMPUTED_VALUE"""),0.1796)</f>
        <v>0.1796</v>
      </c>
      <c r="M55" s="261">
        <f>IFERROR(__xludf.DUMMYFUNCTION("""COMPUTED_VALUE"""),166.0)</f>
        <v>166</v>
      </c>
      <c r="N55" s="263">
        <f>IFERROR(__xludf.DUMMYFUNCTION("""COMPUTED_VALUE"""),0.117)</f>
        <v>0.117</v>
      </c>
      <c r="O55" s="101">
        <f>IFERROR(__xludf.DUMMYFUNCTION("""COMPUTED_VALUE"""),2.0)</f>
        <v>2</v>
      </c>
      <c r="P55" s="101"/>
      <c r="Q55" s="214">
        <f>IFERROR(__xludf.DUMMYFUNCTION("""COMPUTED_VALUE"""),0.0014)</f>
        <v>0.0014</v>
      </c>
      <c r="R55" s="214"/>
      <c r="S55" s="101">
        <f>IFERROR(__xludf.DUMMYFUNCTION("""COMPUTED_VALUE"""),0.0)</f>
        <v>0</v>
      </c>
      <c r="T55" s="226">
        <f>IFERROR(__xludf.DUMMYFUNCTION("""COMPUTED_VALUE"""),0.0)</f>
        <v>0</v>
      </c>
      <c r="U55" s="224">
        <f>IFERROR(__xludf.DUMMYFUNCTION("""COMPUTED_VALUE"""),0.0)</f>
        <v>0</v>
      </c>
      <c r="V55" s="224" t="str">
        <f>IFERROR(__xludf.DUMMYFUNCTION("""COMPUTED_VALUE"""),"offline")</f>
        <v>offline</v>
      </c>
      <c r="W55" s="229" t="str">
        <f>IFERROR(__xludf.DUMMYFUNCTION("""COMPUTED_VALUE"""),"RCS")</f>
        <v>RCS</v>
      </c>
      <c r="X55" s="229" t="str">
        <f>IFERROR(__xludf.DUMMYFUNCTION("""COMPUTED_VALUE"""),"Event Buyers")</f>
        <v>Event Buyers</v>
      </c>
      <c r="Y55" s="229" t="str">
        <f>IFERROR(__xludf.DUMMYFUNCTION("""COMPUTED_VALUE"""),"5th - 8th Feb")</f>
        <v>5th - 8th Feb</v>
      </c>
      <c r="Z55" s="229" t="str">
        <f>IFERROR(__xludf.DUMMYFUNCTION("""COMPUTED_VALUE"""),"6982f9eb10e9cccd6ebbf1d7")</f>
        <v>6982f9eb10e9cccd6ebbf1d7</v>
      </c>
      <c r="AA55" s="229">
        <f>IFERROR(__xludf.DUMMYFUNCTION("""COMPUTED_VALUE"""),1.0)</f>
        <v>1</v>
      </c>
      <c r="AB55" s="229"/>
      <c r="AC55" s="229">
        <f>IFERROR(__xludf.DUMMYFUNCTION("""COMPUTED_VALUE"""),1.0)</f>
        <v>1</v>
      </c>
      <c r="AD55" s="229">
        <f>IFERROR(__xludf.DUMMYFUNCTION("""COMPUTED_VALUE"""),2598.0)</f>
        <v>2598</v>
      </c>
      <c r="AE55" s="229"/>
      <c r="AF55" s="229">
        <f>IFERROR(__xludf.DUMMYFUNCTION("""COMPUTED_VALUE"""),2598.0)</f>
        <v>2598</v>
      </c>
      <c r="AG55" s="208"/>
      <c r="AH55" s="208"/>
      <c r="AI55" s="208"/>
      <c r="AJ55" s="208"/>
      <c r="AK55" s="208"/>
    </row>
    <row r="56">
      <c r="A56" s="245">
        <f>IFERROR(__xludf.DUMMYFUNCTION("""COMPUTED_VALUE"""),46058.0)</f>
        <v>46058</v>
      </c>
      <c r="B56" s="246">
        <f>IFERROR(__xludf.DUMMYFUNCTION("""COMPUTED_VALUE"""),0.37847222222262644)</f>
        <v>0.3784722222</v>
      </c>
      <c r="C56" s="222" t="str">
        <f>IFERROR(__xludf.DUMMYFUNCTION("""COMPUTED_VALUE"""),"Rcs")</f>
        <v>Rcs</v>
      </c>
      <c r="D56" s="222" t="str">
        <f>IFERROR(__xludf.DUMMYFUNCTION("""COMPUTED_VALUE"""),"Promotional")</f>
        <v>Promotional</v>
      </c>
      <c r="E56" s="222" t="str">
        <f>IFERROR(__xludf.DUMMYFUNCTION("""COMPUTED_VALUE"""),"VS")</f>
        <v>VS</v>
      </c>
      <c r="F56" s="222" t="str">
        <f>IFERROR(__xludf.DUMMYFUNCTION("""COMPUTED_VALUE"""),"Scent Event")</f>
        <v>Scent Event</v>
      </c>
      <c r="G56" s="221" t="str">
        <f>IFERROR(__xludf.DUMMYFUNCTION("""COMPUTED_VALUE"""),"Scent Event - Off - Recent CX (5_Feb)")</f>
        <v>Scent Event - Off - Recent CX (5_Feb)</v>
      </c>
      <c r="H56" s="223" t="str">
        <f>IFERROR(__xludf.DUMMYFUNCTION("""COMPUTED_VALUE"""),"vs_off_pr_frag_recent_2ndFeb")</f>
        <v>vs_off_pr_frag_recent_2ndFeb</v>
      </c>
      <c r="I56" s="223" t="str">
        <f>IFERROR(__xludf.DUMMYFUNCTION("""COMPUTED_VALUE"""),"Offline customers who have purchased in the last 80 days with Cat L2 Fragrances AND Exclude Custom Segment :- Scent_Event_Purchasers_Off OR Loyal")</f>
        <v>Offline customers who have purchased in the last 80 days with Cat L2 Fragrances AND Exclude Custom Segment :- Scent_Event_Purchasers_Off OR Loyal</v>
      </c>
      <c r="J56" s="224">
        <f>IFERROR(__xludf.DUMMYFUNCTION("""COMPUTED_VALUE"""),20744.0)</f>
        <v>20744</v>
      </c>
      <c r="K56" s="224">
        <f>IFERROR(__xludf.DUMMYFUNCTION("""COMPUTED_VALUE"""),4739.0)</f>
        <v>4739</v>
      </c>
      <c r="L56" s="225">
        <f>IFERROR(__xludf.DUMMYFUNCTION("""COMPUTED_VALUE"""),0.2285)</f>
        <v>0.2285</v>
      </c>
      <c r="M56" s="224">
        <f>IFERROR(__xludf.DUMMYFUNCTION("""COMPUTED_VALUE"""),639.0)</f>
        <v>639</v>
      </c>
      <c r="N56" s="225">
        <f>IFERROR(__xludf.DUMMYFUNCTION("""COMPUTED_VALUE"""),0.135)</f>
        <v>0.135</v>
      </c>
      <c r="O56" s="224">
        <f>IFERROR(__xludf.DUMMYFUNCTION("""COMPUTED_VALUE"""),38.0)</f>
        <v>38</v>
      </c>
      <c r="P56" s="224"/>
      <c r="Q56" s="225">
        <f>IFERROR(__xludf.DUMMYFUNCTION("""COMPUTED_VALUE"""),0.008)</f>
        <v>0.008</v>
      </c>
      <c r="R56" s="225"/>
      <c r="S56" s="226">
        <f>IFERROR(__xludf.DUMMYFUNCTION("""COMPUTED_VALUE"""),1.0)</f>
        <v>1</v>
      </c>
      <c r="T56" s="226">
        <f>IFERROR(__xludf.DUMMYFUNCTION("""COMPUTED_VALUE"""),0.0)</f>
        <v>0</v>
      </c>
      <c r="U56" s="224">
        <f>IFERROR(__xludf.DUMMYFUNCTION("""COMPUTED_VALUE"""),5399.0)</f>
        <v>5399</v>
      </c>
      <c r="V56" s="224" t="str">
        <f>IFERROR(__xludf.DUMMYFUNCTION("""COMPUTED_VALUE"""),"offline")</f>
        <v>offline</v>
      </c>
      <c r="W56" s="229" t="str">
        <f>IFERROR(__xludf.DUMMYFUNCTION("""COMPUTED_VALUE"""),"RCS")</f>
        <v>RCS</v>
      </c>
      <c r="X56" s="229" t="str">
        <f>IFERROR(__xludf.DUMMYFUNCTION("""COMPUTED_VALUE"""),"Recent")</f>
        <v>Recent</v>
      </c>
      <c r="Y56" s="229" t="str">
        <f>IFERROR(__xludf.DUMMYFUNCTION("""COMPUTED_VALUE"""),"5th - 8th Feb")</f>
        <v>5th - 8th Feb</v>
      </c>
      <c r="Z56" s="229" t="str">
        <f>IFERROR(__xludf.DUMMYFUNCTION("""COMPUTED_VALUE"""),"6982fafd3055297caa57bad3")</f>
        <v>6982fafd3055297caa57bad3</v>
      </c>
      <c r="AA56" s="229">
        <f>IFERROR(__xludf.DUMMYFUNCTION("""COMPUTED_VALUE"""),4.0)</f>
        <v>4</v>
      </c>
      <c r="AB56" s="229"/>
      <c r="AC56" s="229">
        <f>IFERROR(__xludf.DUMMYFUNCTION("""COMPUTED_VALUE"""),4.0)</f>
        <v>4</v>
      </c>
      <c r="AD56" s="229">
        <f>IFERROR(__xludf.DUMMYFUNCTION("""COMPUTED_VALUE"""),16916.0)</f>
        <v>16916</v>
      </c>
      <c r="AE56" s="229"/>
      <c r="AF56" s="229">
        <f>IFERROR(__xludf.DUMMYFUNCTION("""COMPUTED_VALUE"""),16916.0)</f>
        <v>16916</v>
      </c>
      <c r="AG56" s="208"/>
      <c r="AH56" s="208"/>
      <c r="AI56" s="208"/>
      <c r="AJ56" s="208"/>
      <c r="AK56" s="208"/>
    </row>
    <row r="57">
      <c r="A57" s="209">
        <f>IFERROR(__xludf.DUMMYFUNCTION("""COMPUTED_VALUE"""),46058.0)</f>
        <v>46058</v>
      </c>
      <c r="B57" s="238">
        <f>IFERROR(__xludf.DUMMYFUNCTION("""COMPUTED_VALUE"""),0.3819444444452529)</f>
        <v>0.3819444444</v>
      </c>
      <c r="C57" s="96" t="str">
        <f>IFERROR(__xludf.DUMMYFUNCTION("""COMPUTED_VALUE"""),"Rcs")</f>
        <v>Rcs</v>
      </c>
      <c r="D57" s="212" t="str">
        <f>IFERROR(__xludf.DUMMYFUNCTION("""COMPUTED_VALUE"""),"Promotional")</f>
        <v>Promotional</v>
      </c>
      <c r="E57" s="96" t="str">
        <f>IFERROR(__xludf.DUMMYFUNCTION("""COMPUTED_VALUE"""),"VS")</f>
        <v>VS</v>
      </c>
      <c r="F57" s="212" t="str">
        <f>IFERROR(__xludf.DUMMYFUNCTION("""COMPUTED_VALUE"""),"Scent Event")</f>
        <v>Scent Event</v>
      </c>
      <c r="G57" s="212" t="str">
        <f>IFERROR(__xludf.DUMMYFUNCTION("""COMPUTED_VALUE"""),"Scent Event - Off - Loyal CX (5_Feb)")</f>
        <v>Scent Event - Off - Loyal CX (5_Feb)</v>
      </c>
      <c r="H57" s="28" t="str">
        <f>IFERROR(__xludf.DUMMYFUNCTION("""COMPUTED_VALUE"""),"vs_off_pr_frag_loyal_2ndFeb")</f>
        <v>vs_off_pr_frag_loyal_2ndFeb</v>
      </c>
      <c r="I57" s="28" t="str">
        <f>IFERROR(__xludf.DUMMYFUNCTION("""COMPUTED_VALUE"""),"Offline Customers who have purchased atleast 2 times in entire date range with L2 Cat as Fragrances AND Exclude Custom Segment :- Scent_Event_Purchasers_Off")</f>
        <v>Offline Customers who have purchased atleast 2 times in entire date range with L2 Cat as Fragrances AND Exclude Custom Segment :- Scent_Event_Purchasers_Off</v>
      </c>
      <c r="J57" s="239">
        <f>IFERROR(__xludf.DUMMYFUNCTION("""COMPUTED_VALUE"""),4651.0)</f>
        <v>4651</v>
      </c>
      <c r="K57" s="240">
        <f>IFERROR(__xludf.DUMMYFUNCTION("""COMPUTED_VALUE"""),888.0)</f>
        <v>888</v>
      </c>
      <c r="L57" s="241">
        <f>IFERROR(__xludf.DUMMYFUNCTION("""COMPUTED_VALUE"""),0.1909)</f>
        <v>0.1909</v>
      </c>
      <c r="M57" s="240">
        <f>IFERROR(__xludf.DUMMYFUNCTION("""COMPUTED_VALUE"""),139.0)</f>
        <v>139</v>
      </c>
      <c r="N57" s="136">
        <f>IFERROR(__xludf.DUMMYFUNCTION("""COMPUTED_VALUE"""),0.157)</f>
        <v>0.157</v>
      </c>
      <c r="O57" s="73">
        <f>IFERROR(__xludf.DUMMYFUNCTION("""COMPUTED_VALUE"""),5.0)</f>
        <v>5</v>
      </c>
      <c r="P57" s="73"/>
      <c r="Q57" s="214">
        <f>IFERROR(__xludf.DUMMYFUNCTION("""COMPUTED_VALUE"""),0.0056)</f>
        <v>0.0056</v>
      </c>
      <c r="R57" s="214"/>
      <c r="S57" s="101">
        <f>IFERROR(__xludf.DUMMYFUNCTION("""COMPUTED_VALUE"""),0.0)</f>
        <v>0</v>
      </c>
      <c r="T57" s="222">
        <f>IFERROR(__xludf.DUMMYFUNCTION("""COMPUTED_VALUE"""),2.0)</f>
        <v>2</v>
      </c>
      <c r="U57" s="242">
        <f>IFERROR(__xludf.DUMMYFUNCTION("""COMPUTED_VALUE"""),0.0)</f>
        <v>0</v>
      </c>
      <c r="V57" s="242" t="str">
        <f>IFERROR(__xludf.DUMMYFUNCTION("""COMPUTED_VALUE"""),"offline")</f>
        <v>offline</v>
      </c>
      <c r="W57" s="243" t="str">
        <f>IFERROR(__xludf.DUMMYFUNCTION("""COMPUTED_VALUE"""),"RCS")</f>
        <v>RCS</v>
      </c>
      <c r="X57" s="243" t="str">
        <f>IFERROR(__xludf.DUMMYFUNCTION("""COMPUTED_VALUE"""),"Loyal")</f>
        <v>Loyal</v>
      </c>
      <c r="Y57" s="243" t="str">
        <f>IFERROR(__xludf.DUMMYFUNCTION("""COMPUTED_VALUE"""),"5th - 8th Feb")</f>
        <v>5th - 8th Feb</v>
      </c>
      <c r="Z57" s="243" t="str">
        <f>IFERROR(__xludf.DUMMYFUNCTION("""COMPUTED_VALUE"""),"6982fb81afd5395c29be6b0d")</f>
        <v>6982fb81afd5395c29be6b0d</v>
      </c>
      <c r="AA57" s="243">
        <f>IFERROR(__xludf.DUMMYFUNCTION("""COMPUTED_VALUE"""),5.0)</f>
        <v>5</v>
      </c>
      <c r="AB57" s="243"/>
      <c r="AC57" s="243">
        <f>IFERROR(__xludf.DUMMYFUNCTION("""COMPUTED_VALUE"""),5.0)</f>
        <v>5</v>
      </c>
      <c r="AD57" s="243">
        <f>IFERROR(__xludf.DUMMYFUNCTION("""COMPUTED_VALUE"""),39189.0)</f>
        <v>39189</v>
      </c>
      <c r="AE57" s="243"/>
      <c r="AF57" s="243">
        <f>IFERROR(__xludf.DUMMYFUNCTION("""COMPUTED_VALUE"""),39189.0)</f>
        <v>39189</v>
      </c>
      <c r="AG57" s="208"/>
      <c r="AH57" s="208"/>
      <c r="AI57" s="208"/>
      <c r="AJ57" s="208"/>
      <c r="AK57" s="208"/>
    </row>
    <row r="58">
      <c r="A58" s="209">
        <f>IFERROR(__xludf.DUMMYFUNCTION("""COMPUTED_VALUE"""),46058.0)</f>
        <v>46058</v>
      </c>
      <c r="B58" s="238">
        <f>IFERROR(__xludf.DUMMYFUNCTION("""COMPUTED_VALUE"""),0.3854166666678793)</f>
        <v>0.3854166667</v>
      </c>
      <c r="C58" s="96" t="str">
        <f>IFERROR(__xludf.DUMMYFUNCTION("""COMPUTED_VALUE"""),"Rcs")</f>
        <v>Rcs</v>
      </c>
      <c r="D58" s="212" t="str">
        <f>IFERROR(__xludf.DUMMYFUNCTION("""COMPUTED_VALUE"""),"Promotional")</f>
        <v>Promotional</v>
      </c>
      <c r="E58" s="96" t="str">
        <f>IFERROR(__xludf.DUMMYFUNCTION("""COMPUTED_VALUE"""),"VS")</f>
        <v>VS</v>
      </c>
      <c r="F58" s="212" t="str">
        <f>IFERROR(__xludf.DUMMYFUNCTION("""COMPUTED_VALUE"""),"Scent Event")</f>
        <v>Scent Event</v>
      </c>
      <c r="G58" s="212" t="str">
        <f>IFERROR(__xludf.DUMMYFUNCTION("""COMPUTED_VALUE"""),"Scent Event - Off - Lingerie CX (5_Feb)")</f>
        <v>Scent Event - Off - Lingerie CX (5_Feb)</v>
      </c>
      <c r="H58" s="28" t="str">
        <f>IFERROR(__xludf.DUMMYFUNCTION("""COMPUTED_VALUE"""),"vs_off_subcatmov_2ndFeb")</f>
        <v>vs_off_subcatmov_2ndFeb</v>
      </c>
      <c r="I58" s="28" t="str">
        <f>IFERROR(__xludf.DUMMYFUNCTION("""COMPUTED_VALUE"""),"Offline customers who have purchased Lingerie more than 3999 AND Exclude Custom Segment :- Scent_Event_Purchasers_Off OR Loyal, Recent")</f>
        <v>Offline customers who have purchased Lingerie more than 3999 AND Exclude Custom Segment :- Scent_Event_Purchasers_Off OR Loyal, Recent</v>
      </c>
      <c r="J58" s="239">
        <f>IFERROR(__xludf.DUMMYFUNCTION("""COMPUTED_VALUE"""),45835.0)</f>
        <v>45835</v>
      </c>
      <c r="K58" s="240">
        <f>IFERROR(__xludf.DUMMYFUNCTION("""COMPUTED_VALUE"""),5967.0)</f>
        <v>5967</v>
      </c>
      <c r="L58" s="241">
        <f>IFERROR(__xludf.DUMMYFUNCTION("""COMPUTED_VALUE"""),0.1302)</f>
        <v>0.1302</v>
      </c>
      <c r="M58" s="240">
        <f>IFERROR(__xludf.DUMMYFUNCTION("""COMPUTED_VALUE"""),804.0)</f>
        <v>804</v>
      </c>
      <c r="N58" s="136">
        <f>IFERROR(__xludf.DUMMYFUNCTION("""COMPUTED_VALUE"""),0.135)</f>
        <v>0.135</v>
      </c>
      <c r="O58" s="73">
        <f>IFERROR(__xludf.DUMMYFUNCTION("""COMPUTED_VALUE"""),18.0)</f>
        <v>18</v>
      </c>
      <c r="P58" s="73"/>
      <c r="Q58" s="214">
        <f>IFERROR(__xludf.DUMMYFUNCTION("""COMPUTED_VALUE"""),0.003)</f>
        <v>0.003</v>
      </c>
      <c r="R58" s="214"/>
      <c r="S58" s="101">
        <f>IFERROR(__xludf.DUMMYFUNCTION("""COMPUTED_VALUE"""),1.0)</f>
        <v>1</v>
      </c>
      <c r="T58" s="222">
        <f>IFERROR(__xludf.DUMMYFUNCTION("""COMPUTED_VALUE"""),4.0)</f>
        <v>4</v>
      </c>
      <c r="U58" s="242">
        <f>IFERROR(__xludf.DUMMYFUNCTION("""COMPUTED_VALUE"""),8097.0)</f>
        <v>8097</v>
      </c>
      <c r="V58" s="242" t="str">
        <f>IFERROR(__xludf.DUMMYFUNCTION("""COMPUTED_VALUE"""),"offline")</f>
        <v>offline</v>
      </c>
      <c r="W58" s="243" t="str">
        <f>IFERROR(__xludf.DUMMYFUNCTION("""COMPUTED_VALUE"""),"RCS")</f>
        <v>RCS</v>
      </c>
      <c r="X58" s="243" t="str">
        <f>IFERROR(__xludf.DUMMYFUNCTION("""COMPUTED_VALUE"""),"Sub-Category Movers")</f>
        <v>Sub-Category Movers</v>
      </c>
      <c r="Y58" s="243" t="str">
        <f>IFERROR(__xludf.DUMMYFUNCTION("""COMPUTED_VALUE"""),"5th - 8th Feb")</f>
        <v>5th - 8th Feb</v>
      </c>
      <c r="Z58" s="243" t="str">
        <f>IFERROR(__xludf.DUMMYFUNCTION("""COMPUTED_VALUE"""),"6982fc24b774df758a318045")</f>
        <v>6982fc24b774df758a318045</v>
      </c>
      <c r="AA58" s="243">
        <f>IFERROR(__xludf.DUMMYFUNCTION("""COMPUTED_VALUE"""),20.0)</f>
        <v>20</v>
      </c>
      <c r="AB58" s="243"/>
      <c r="AC58" s="243">
        <f>IFERROR(__xludf.DUMMYFUNCTION("""COMPUTED_VALUE"""),20.0)</f>
        <v>20</v>
      </c>
      <c r="AD58" s="243">
        <f>IFERROR(__xludf.DUMMYFUNCTION("""COMPUTED_VALUE"""),241538.0)</f>
        <v>241538</v>
      </c>
      <c r="AE58" s="243"/>
      <c r="AF58" s="243">
        <f>IFERROR(__xludf.DUMMYFUNCTION("""COMPUTED_VALUE"""),241538.0)</f>
        <v>241538</v>
      </c>
      <c r="AG58" s="208"/>
      <c r="AH58" s="208"/>
      <c r="AI58" s="208"/>
      <c r="AJ58" s="208"/>
      <c r="AK58" s="208"/>
    </row>
    <row r="59">
      <c r="A59" s="245">
        <f>IFERROR(__xludf.DUMMYFUNCTION("""COMPUTED_VALUE"""),46058.0)</f>
        <v>46058</v>
      </c>
      <c r="B59" s="246">
        <f>IFERROR(__xludf.DUMMYFUNCTION("""COMPUTED_VALUE"""),0.38888888889050577)</f>
        <v>0.3888888889</v>
      </c>
      <c r="C59" s="222" t="str">
        <f>IFERROR(__xludf.DUMMYFUNCTION("""COMPUTED_VALUE"""),"Rcs")</f>
        <v>Rcs</v>
      </c>
      <c r="D59" s="222" t="str">
        <f>IFERROR(__xludf.DUMMYFUNCTION("""COMPUTED_VALUE"""),"Promotional")</f>
        <v>Promotional</v>
      </c>
      <c r="E59" s="222" t="str">
        <f>IFERROR(__xludf.DUMMYFUNCTION("""COMPUTED_VALUE"""),"VS")</f>
        <v>VS</v>
      </c>
      <c r="F59" s="222" t="str">
        <f>IFERROR(__xludf.DUMMYFUNCTION("""COMPUTED_VALUE"""),"Scent Event")</f>
        <v>Scent Event</v>
      </c>
      <c r="G59" s="221" t="str">
        <f>IFERROR(__xludf.DUMMYFUNCTION("""COMPUTED_VALUE"""),"Scent Event - Off - BTY CX (5_Feb)")</f>
        <v>Scent Event - Off - BTY CX (5_Feb)</v>
      </c>
      <c r="H59" s="223" t="str">
        <f>IFERROR(__xludf.DUMMYFUNCTION("""COMPUTED_VALUE"""),"vs_off_pr_catmov_2ndFeb")</f>
        <v>vs_off_pr_catmov_2ndFeb</v>
      </c>
      <c r="I59" s="223" t="str">
        <f>IFERROR(__xludf.DUMMYFUNCTION("""COMPUTED_VALUE"""),"Offline customers who have purchased Personal Care whose LTV greater than 3000 AND Exclude Custom Segment :- Scent_Event_Purchasers_Off OR Loyal, Recent, Sub- Category Movers")</f>
        <v>Offline customers who have purchased Personal Care whose LTV greater than 3000 AND Exclude Custom Segment :- Scent_Event_Purchasers_Off OR Loyal, Recent, Sub- Category Movers</v>
      </c>
      <c r="J59" s="224">
        <f>IFERROR(__xludf.DUMMYFUNCTION("""COMPUTED_VALUE"""),32407.0)</f>
        <v>32407</v>
      </c>
      <c r="K59" s="224">
        <f>IFERROR(__xludf.DUMMYFUNCTION("""COMPUTED_VALUE"""),6691.0)</f>
        <v>6691</v>
      </c>
      <c r="L59" s="225">
        <f>IFERROR(__xludf.DUMMYFUNCTION("""COMPUTED_VALUE"""),0.2065)</f>
        <v>0.2065</v>
      </c>
      <c r="M59" s="224">
        <f>IFERROR(__xludf.DUMMYFUNCTION("""COMPUTED_VALUE"""),847.0)</f>
        <v>847</v>
      </c>
      <c r="N59" s="225">
        <f>IFERROR(__xludf.DUMMYFUNCTION("""COMPUTED_VALUE"""),0.127)</f>
        <v>0.127</v>
      </c>
      <c r="O59" s="224">
        <f>IFERROR(__xludf.DUMMYFUNCTION("""COMPUTED_VALUE"""),33.0)</f>
        <v>33</v>
      </c>
      <c r="P59" s="224"/>
      <c r="Q59" s="225">
        <f>IFERROR(__xludf.DUMMYFUNCTION("""COMPUTED_VALUE"""),0.0049)</f>
        <v>0.0049</v>
      </c>
      <c r="R59" s="225"/>
      <c r="S59" s="226">
        <f>IFERROR(__xludf.DUMMYFUNCTION("""COMPUTED_VALUE"""),0.0)</f>
        <v>0</v>
      </c>
      <c r="T59" s="226">
        <f>IFERROR(__xludf.DUMMYFUNCTION("""COMPUTED_VALUE"""),1.0)</f>
        <v>1</v>
      </c>
      <c r="U59" s="224">
        <f>IFERROR(__xludf.DUMMYFUNCTION("""COMPUTED_VALUE"""),0.0)</f>
        <v>0</v>
      </c>
      <c r="V59" s="224" t="str">
        <f>IFERROR(__xludf.DUMMYFUNCTION("""COMPUTED_VALUE"""),"offline")</f>
        <v>offline</v>
      </c>
      <c r="W59" s="229" t="str">
        <f>IFERROR(__xludf.DUMMYFUNCTION("""COMPUTED_VALUE"""),"RCS")</f>
        <v>RCS</v>
      </c>
      <c r="X59" s="229" t="str">
        <f>IFERROR(__xludf.DUMMYFUNCTION("""COMPUTED_VALUE"""),"Category Movers")</f>
        <v>Category Movers</v>
      </c>
      <c r="Y59" s="229" t="str">
        <f>IFERROR(__xludf.DUMMYFUNCTION("""COMPUTED_VALUE"""),"5th - 8th Feb")</f>
        <v>5th - 8th Feb</v>
      </c>
      <c r="Z59" s="229" t="str">
        <f>IFERROR(__xludf.DUMMYFUNCTION("""COMPUTED_VALUE"""),"6982fc8fe8cbe4fb14bd2c6c")</f>
        <v>6982fc8fe8cbe4fb14bd2c6c</v>
      </c>
      <c r="AA59" s="229">
        <f>IFERROR(__xludf.DUMMYFUNCTION("""COMPUTED_VALUE"""),19.0)</f>
        <v>19</v>
      </c>
      <c r="AB59" s="229"/>
      <c r="AC59" s="229">
        <f>IFERROR(__xludf.DUMMYFUNCTION("""COMPUTED_VALUE"""),19.0)</f>
        <v>19</v>
      </c>
      <c r="AD59" s="229">
        <f>IFERROR(__xludf.DUMMYFUNCTION("""COMPUTED_VALUE"""),97170.0)</f>
        <v>97170</v>
      </c>
      <c r="AE59" s="229"/>
      <c r="AF59" s="229">
        <f>IFERROR(__xludf.DUMMYFUNCTION("""COMPUTED_VALUE"""),97170.0)</f>
        <v>97170</v>
      </c>
      <c r="AG59" s="208"/>
      <c r="AH59" s="208"/>
      <c r="AI59" s="208"/>
      <c r="AJ59" s="208"/>
      <c r="AK59" s="208"/>
    </row>
    <row r="60">
      <c r="A60" s="245">
        <f>IFERROR(__xludf.DUMMYFUNCTION("""COMPUTED_VALUE"""),46058.0)</f>
        <v>46058</v>
      </c>
      <c r="B60" s="246">
        <f>IFERROR(__xludf.DUMMYFUNCTION("""COMPUTED_VALUE"""),0.39236111110949423)</f>
        <v>0.3923611111</v>
      </c>
      <c r="C60" s="222" t="str">
        <f>IFERROR(__xludf.DUMMYFUNCTION("""COMPUTED_VALUE"""),"Rcs")</f>
        <v>Rcs</v>
      </c>
      <c r="D60" s="222" t="str">
        <f>IFERROR(__xludf.DUMMYFUNCTION("""COMPUTED_VALUE"""),"Promotional")</f>
        <v>Promotional</v>
      </c>
      <c r="E60" s="222" t="str">
        <f>IFERROR(__xludf.DUMMYFUNCTION("""COMPUTED_VALUE"""),"VS")</f>
        <v>VS</v>
      </c>
      <c r="F60" s="222" t="str">
        <f>IFERROR(__xludf.DUMMYFUNCTION("""COMPUTED_VALUE"""),"Scent Event")</f>
        <v>Scent Event</v>
      </c>
      <c r="G60" s="221" t="str">
        <f>IFERROR(__xludf.DUMMYFUNCTION("""COMPUTED_VALUE"""),"Scent Event - Off - Generic CX (5_Feb)")</f>
        <v>Scent Event - Off - Generic CX (5_Feb)</v>
      </c>
      <c r="H60" s="223" t="str">
        <f>IFERROR(__xludf.DUMMYFUNCTION("""COMPUTED_VALUE"""),"vs_off_pr_gen_2ndFeb")</f>
        <v>vs_off_pr_gen_2ndFeb</v>
      </c>
      <c r="I60" s="223" t="str">
        <f>IFERROR(__xludf.DUMMYFUNCTION("""COMPUTED_VALUE"""),"Offline customers who have purchased in entire date range AND Exclude Custom Segment :- Scent_Event_Purchasers_Off OR Loyal, Recent, Sub- Category Movers, Category Movers")</f>
        <v>Offline customers who have purchased in entire date range AND Exclude Custom Segment :- Scent_Event_Purchasers_Off OR Loyal, Recent, Sub- Category Movers, Category Movers</v>
      </c>
      <c r="J60" s="224">
        <f>IFERROR(__xludf.DUMMYFUNCTION("""COMPUTED_VALUE"""),75541.0)</f>
        <v>75541</v>
      </c>
      <c r="K60" s="224">
        <f>IFERROR(__xludf.DUMMYFUNCTION("""COMPUTED_VALUE"""),14880.0)</f>
        <v>14880</v>
      </c>
      <c r="L60" s="225">
        <f>IFERROR(__xludf.DUMMYFUNCTION("""COMPUTED_VALUE"""),0.197)</f>
        <v>0.197</v>
      </c>
      <c r="M60" s="224">
        <f>IFERROR(__xludf.DUMMYFUNCTION("""COMPUTED_VALUE"""),1754.0)</f>
        <v>1754</v>
      </c>
      <c r="N60" s="225">
        <f>IFERROR(__xludf.DUMMYFUNCTION("""COMPUTED_VALUE"""),0.118)</f>
        <v>0.118</v>
      </c>
      <c r="O60" s="224">
        <f>IFERROR(__xludf.DUMMYFUNCTION("""COMPUTED_VALUE"""),68.0)</f>
        <v>68</v>
      </c>
      <c r="P60" s="224"/>
      <c r="Q60" s="225">
        <f>IFERROR(__xludf.DUMMYFUNCTION("""COMPUTED_VALUE"""),0.0046)</f>
        <v>0.0046</v>
      </c>
      <c r="R60" s="225"/>
      <c r="S60" s="226">
        <f>IFERROR(__xludf.DUMMYFUNCTION("""COMPUTED_VALUE"""),2.0)</f>
        <v>2</v>
      </c>
      <c r="T60" s="226">
        <f>IFERROR(__xludf.DUMMYFUNCTION("""COMPUTED_VALUE"""),3.0)</f>
        <v>3</v>
      </c>
      <c r="U60" s="224">
        <f>IFERROR(__xludf.DUMMYFUNCTION("""COMPUTED_VALUE"""),5666.0)</f>
        <v>5666</v>
      </c>
      <c r="V60" s="224" t="str">
        <f>IFERROR(__xludf.DUMMYFUNCTION("""COMPUTED_VALUE"""),"offline")</f>
        <v>offline</v>
      </c>
      <c r="W60" s="229" t="str">
        <f>IFERROR(__xludf.DUMMYFUNCTION("""COMPUTED_VALUE"""),"RCS")</f>
        <v>RCS</v>
      </c>
      <c r="X60" s="229" t="str">
        <f>IFERROR(__xludf.DUMMYFUNCTION("""COMPUTED_VALUE"""),"Generic")</f>
        <v>Generic</v>
      </c>
      <c r="Y60" s="229" t="str">
        <f>IFERROR(__xludf.DUMMYFUNCTION("""COMPUTED_VALUE"""),"5th - 8th Feb")</f>
        <v>5th - 8th Feb</v>
      </c>
      <c r="Z60" s="229" t="str">
        <f>IFERROR(__xludf.DUMMYFUNCTION("""COMPUTED_VALUE"""),"698301496dc25a64e102859e")</f>
        <v>698301496dc25a64e102859e</v>
      </c>
      <c r="AA60" s="229">
        <f>IFERROR(__xludf.DUMMYFUNCTION("""COMPUTED_VALUE"""),25.0)</f>
        <v>25</v>
      </c>
      <c r="AB60" s="229"/>
      <c r="AC60" s="229">
        <f>IFERROR(__xludf.DUMMYFUNCTION("""COMPUTED_VALUE"""),25.0)</f>
        <v>25</v>
      </c>
      <c r="AD60" s="229">
        <f>IFERROR(__xludf.DUMMYFUNCTION("""COMPUTED_VALUE"""),126233.0)</f>
        <v>126233</v>
      </c>
      <c r="AE60" s="229"/>
      <c r="AF60" s="229">
        <f>IFERROR(__xludf.DUMMYFUNCTION("""COMPUTED_VALUE"""),126233.0)</f>
        <v>126233</v>
      </c>
      <c r="AG60" s="208"/>
      <c r="AH60" s="208"/>
      <c r="AI60" s="208"/>
      <c r="AJ60" s="208"/>
      <c r="AK60" s="208"/>
    </row>
    <row r="61">
      <c r="A61" s="215">
        <f>IFERROR(__xludf.DUMMYFUNCTION("""COMPUTED_VALUE"""),46058.0)</f>
        <v>46058</v>
      </c>
      <c r="B61" s="210">
        <f>IFERROR(__xludf.DUMMYFUNCTION("""COMPUTED_VALUE"""),0.4583333333321207)</f>
        <v>0.4583333333</v>
      </c>
      <c r="C61" s="218" t="str">
        <f>IFERROR(__xludf.DUMMYFUNCTION("""COMPUTED_VALUE"""),"Sms")</f>
        <v>Sms</v>
      </c>
      <c r="D61" s="218" t="str">
        <f>IFERROR(__xludf.DUMMYFUNCTION("""COMPUTED_VALUE"""),"Fallback Campaign")</f>
        <v>Fallback Campaign</v>
      </c>
      <c r="E61" s="218" t="str">
        <f>IFERROR(__xludf.DUMMYFUNCTION("""COMPUTED_VALUE"""),"VS")</f>
        <v>VS</v>
      </c>
      <c r="F61" s="218" t="str">
        <f>IFERROR(__xludf.DUMMYFUNCTION("""COMPUTED_VALUE"""),"Scent Event")</f>
        <v>Scent Event</v>
      </c>
      <c r="G61" s="211" t="str">
        <f>IFERROR(__xludf.DUMMYFUNCTION("""COMPUTED_VALUE"""),"Scent Event - Event-CX - 5_Feb On - FB (WA+RCS)")</f>
        <v>Scent Event - Event-CX - 5_Feb On - FB (WA+RCS)</v>
      </c>
      <c r="H61" s="212" t="str">
        <f>IFERROR(__xludf.DUMMYFUNCTION("""COMPUTED_VALUE"""),"Scent_Event_Purchasers_On")</f>
        <v>Scent_Event_Purchasers_On</v>
      </c>
      <c r="I61" s="212" t="str">
        <f>IFERROR(__xludf.DUMMYFUNCTION("""COMPUTED_VALUE"""),"RCS Delivery Failed")</f>
        <v>RCS Delivery Failed</v>
      </c>
      <c r="J61" s="213">
        <f>IFERROR(__xludf.DUMMYFUNCTION("""COMPUTED_VALUE"""),4956.0)</f>
        <v>4956</v>
      </c>
      <c r="K61" s="213">
        <f>IFERROR(__xludf.DUMMYFUNCTION("""COMPUTED_VALUE"""),3265.0)</f>
        <v>3265</v>
      </c>
      <c r="L61" s="214">
        <f>IFERROR(__xludf.DUMMYFUNCTION("""COMPUTED_VALUE"""),0.6588)</f>
        <v>0.6588</v>
      </c>
      <c r="M61" s="213"/>
      <c r="N61" s="214"/>
      <c r="O61" s="101">
        <f>IFERROR(__xludf.DUMMYFUNCTION("""COMPUTED_VALUE"""),8.0)</f>
        <v>8</v>
      </c>
      <c r="P61" s="101"/>
      <c r="Q61" s="214">
        <f>IFERROR(__xludf.DUMMYFUNCTION("""COMPUTED_VALUE"""),0.0025)</f>
        <v>0.0025</v>
      </c>
      <c r="R61" s="214"/>
      <c r="S61" s="101">
        <f>IFERROR(__xludf.DUMMYFUNCTION("""COMPUTED_VALUE"""),2.0)</f>
        <v>2</v>
      </c>
      <c r="T61" s="226">
        <f>IFERROR(__xludf.DUMMYFUNCTION("""COMPUTED_VALUE"""),5.0)</f>
        <v>5</v>
      </c>
      <c r="U61" s="224">
        <f>IFERROR(__xludf.DUMMYFUNCTION("""COMPUTED_VALUE"""),11527.0)</f>
        <v>11527</v>
      </c>
      <c r="V61" s="224" t="str">
        <f>IFERROR(__xludf.DUMMYFUNCTION("""COMPUTED_VALUE"""),"online")</f>
        <v>online</v>
      </c>
      <c r="W61" s="229" t="str">
        <f>IFERROR(__xludf.DUMMYFUNCTION("""COMPUTED_VALUE"""),"SMS")</f>
        <v>SMS</v>
      </c>
      <c r="X61" s="229" t="str">
        <f>IFERROR(__xludf.DUMMYFUNCTION("""COMPUTED_VALUE"""),"Event Buyers")</f>
        <v>Event Buyers</v>
      </c>
      <c r="Y61" s="229" t="str">
        <f>IFERROR(__xludf.DUMMYFUNCTION("""COMPUTED_VALUE"""),"5th - 8th Feb")</f>
        <v>5th - 8th Feb</v>
      </c>
      <c r="Z61" s="229" t="str">
        <f>IFERROR(__xludf.DUMMYFUNCTION("""COMPUTED_VALUE"""),"698324132d346a3fd683de21")</f>
        <v>698324132d346a3fd683de21</v>
      </c>
      <c r="AA61" s="229">
        <f>IFERROR(__xludf.DUMMYFUNCTION("""COMPUTED_VALUE"""),13.0)</f>
        <v>13</v>
      </c>
      <c r="AB61" s="229">
        <f>IFERROR(__xludf.DUMMYFUNCTION("""COMPUTED_VALUE"""),13.0)</f>
        <v>13</v>
      </c>
      <c r="AC61" s="229"/>
      <c r="AD61" s="229">
        <f>IFERROR(__xludf.DUMMYFUNCTION("""COMPUTED_VALUE"""),51467.0)</f>
        <v>51467</v>
      </c>
      <c r="AE61" s="229">
        <f>IFERROR(__xludf.DUMMYFUNCTION("""COMPUTED_VALUE"""),51467.0)</f>
        <v>51467</v>
      </c>
      <c r="AF61" s="229"/>
      <c r="AG61" s="208"/>
      <c r="AH61" s="208"/>
      <c r="AI61" s="208"/>
      <c r="AJ61" s="208"/>
      <c r="AK61" s="208"/>
    </row>
    <row r="62">
      <c r="A62" s="215">
        <f>IFERROR(__xludf.DUMMYFUNCTION("""COMPUTED_VALUE"""),46058.0)</f>
        <v>46058</v>
      </c>
      <c r="B62" s="247">
        <f>IFERROR(__xludf.DUMMYFUNCTION("""COMPUTED_VALUE"""),0.4583333333321207)</f>
        <v>0.4583333333</v>
      </c>
      <c r="C62" s="218" t="str">
        <f>IFERROR(__xludf.DUMMYFUNCTION("""COMPUTED_VALUE"""),"Sms")</f>
        <v>Sms</v>
      </c>
      <c r="D62" s="218" t="str">
        <f>IFERROR(__xludf.DUMMYFUNCTION("""COMPUTED_VALUE"""),"Fallback Campaign")</f>
        <v>Fallback Campaign</v>
      </c>
      <c r="E62" s="218" t="str">
        <f>IFERROR(__xludf.DUMMYFUNCTION("""COMPUTED_VALUE"""),"VS")</f>
        <v>VS</v>
      </c>
      <c r="F62" s="218" t="str">
        <f>IFERROR(__xludf.DUMMYFUNCTION("""COMPUTED_VALUE"""),"Scent Event")</f>
        <v>Scent Event</v>
      </c>
      <c r="G62" s="211" t="str">
        <f>IFERROR(__xludf.DUMMYFUNCTION("""COMPUTED_VALUE"""),"Scent Event - Recent-CX - 5_Feb On - FB (WA+RCS)")</f>
        <v>Scent Event - Recent-CX - 5_Feb On - FB (WA+RCS)</v>
      </c>
      <c r="H62" s="212" t="str">
        <f>IFERROR(__xludf.DUMMYFUNCTION("""COMPUTED_VALUE"""),"vs_on_pr_frag_recent_2ndFeb OR AGIPL_Internal")</f>
        <v>vs_on_pr_frag_recent_2ndFeb OR AGIPL_Internal</v>
      </c>
      <c r="I62" s="211" t="str">
        <f>IFERROR(__xludf.DUMMYFUNCTION("""COMPUTED_VALUE"""),"RCS Delivery Failed")</f>
        <v>RCS Delivery Failed</v>
      </c>
      <c r="J62" s="213">
        <f>IFERROR(__xludf.DUMMYFUNCTION("""COMPUTED_VALUE"""),2600.0)</f>
        <v>2600</v>
      </c>
      <c r="K62" s="213">
        <f>IFERROR(__xludf.DUMMYFUNCTION("""COMPUTED_VALUE"""),1778.0)</f>
        <v>1778</v>
      </c>
      <c r="L62" s="214">
        <f>IFERROR(__xludf.DUMMYFUNCTION("""COMPUTED_VALUE"""),0.6838)</f>
        <v>0.6838</v>
      </c>
      <c r="M62" s="213"/>
      <c r="N62" s="214"/>
      <c r="O62" s="101">
        <f>IFERROR(__xludf.DUMMYFUNCTION("""COMPUTED_VALUE"""),5.0)</f>
        <v>5</v>
      </c>
      <c r="P62" s="101"/>
      <c r="Q62" s="214">
        <f>IFERROR(__xludf.DUMMYFUNCTION("""COMPUTED_VALUE"""),0.0028)</f>
        <v>0.0028</v>
      </c>
      <c r="R62" s="214"/>
      <c r="S62" s="101">
        <f>IFERROR(__xludf.DUMMYFUNCTION("""COMPUTED_VALUE"""),2.0)</f>
        <v>2</v>
      </c>
      <c r="T62" s="226">
        <f>IFERROR(__xludf.DUMMYFUNCTION("""COMPUTED_VALUE"""),5.0)</f>
        <v>5</v>
      </c>
      <c r="U62" s="224">
        <f>IFERROR(__xludf.DUMMYFUNCTION("""COMPUTED_VALUE"""),4907.0)</f>
        <v>4907</v>
      </c>
      <c r="V62" s="224" t="str">
        <f>IFERROR(__xludf.DUMMYFUNCTION("""COMPUTED_VALUE"""),"online")</f>
        <v>online</v>
      </c>
      <c r="W62" s="229" t="str">
        <f>IFERROR(__xludf.DUMMYFUNCTION("""COMPUTED_VALUE"""),"SMS")</f>
        <v>SMS</v>
      </c>
      <c r="X62" s="229" t="str">
        <f>IFERROR(__xludf.DUMMYFUNCTION("""COMPUTED_VALUE"""),"Recent")</f>
        <v>Recent</v>
      </c>
      <c r="Y62" s="229" t="str">
        <f>IFERROR(__xludf.DUMMYFUNCTION("""COMPUTED_VALUE"""),"5th - 8th Feb")</f>
        <v>5th - 8th Feb</v>
      </c>
      <c r="Z62" s="229" t="str">
        <f>IFERROR(__xludf.DUMMYFUNCTION("""COMPUTED_VALUE"""),"698324c410e9cccd6ebc00c3")</f>
        <v>698324c410e9cccd6ebc00c3</v>
      </c>
      <c r="AA62" s="229">
        <f>IFERROR(__xludf.DUMMYFUNCTION("""COMPUTED_VALUE"""),8.0)</f>
        <v>8</v>
      </c>
      <c r="AB62" s="229">
        <f>IFERROR(__xludf.DUMMYFUNCTION("""COMPUTED_VALUE"""),8.0)</f>
        <v>8</v>
      </c>
      <c r="AC62" s="229"/>
      <c r="AD62" s="229">
        <f>IFERROR(__xludf.DUMMYFUNCTION("""COMPUTED_VALUE"""),27002.0)</f>
        <v>27002</v>
      </c>
      <c r="AE62" s="229">
        <f>IFERROR(__xludf.DUMMYFUNCTION("""COMPUTED_VALUE"""),27002.0)</f>
        <v>27002</v>
      </c>
      <c r="AF62" s="229"/>
      <c r="AG62" s="208"/>
      <c r="AH62" s="208"/>
      <c r="AI62" s="208"/>
      <c r="AJ62" s="208"/>
      <c r="AK62" s="208"/>
    </row>
    <row r="63">
      <c r="A63" s="215">
        <f>IFERROR(__xludf.DUMMYFUNCTION("""COMPUTED_VALUE"""),46058.0)</f>
        <v>46058</v>
      </c>
      <c r="B63" s="210">
        <f>IFERROR(__xludf.DUMMYFUNCTION("""COMPUTED_VALUE"""),0.4583333333321207)</f>
        <v>0.4583333333</v>
      </c>
      <c r="C63" s="218" t="str">
        <f>IFERROR(__xludf.DUMMYFUNCTION("""COMPUTED_VALUE"""),"Sms")</f>
        <v>Sms</v>
      </c>
      <c r="D63" s="218" t="str">
        <f>IFERROR(__xludf.DUMMYFUNCTION("""COMPUTED_VALUE"""),"Fallback Campaign")</f>
        <v>Fallback Campaign</v>
      </c>
      <c r="E63" s="218" t="str">
        <f>IFERROR(__xludf.DUMMYFUNCTION("""COMPUTED_VALUE"""),"VS")</f>
        <v>VS</v>
      </c>
      <c r="F63" s="218" t="str">
        <f>IFERROR(__xludf.DUMMYFUNCTION("""COMPUTED_VALUE"""),"Scent Event")</f>
        <v>Scent Event</v>
      </c>
      <c r="G63" s="212" t="str">
        <f>IFERROR(__xludf.DUMMYFUNCTION("""COMPUTED_VALUE"""),"Scent Event - Loyal-CX - 5_Feb On - FB (WA+RCS)")</f>
        <v>Scent Event - Loyal-CX - 5_Feb On - FB (WA+RCS)</v>
      </c>
      <c r="H63" s="212" t="str">
        <f>IFERROR(__xludf.DUMMYFUNCTION("""COMPUTED_VALUE"""),"vs_on_pr_frag_loyal_2ndFeb")</f>
        <v>vs_on_pr_frag_loyal_2ndFeb</v>
      </c>
      <c r="I63" s="212" t="str">
        <f>IFERROR(__xludf.DUMMYFUNCTION("""COMPUTED_VALUE"""),"RCS Delivery Failed")</f>
        <v>RCS Delivery Failed</v>
      </c>
      <c r="J63" s="213">
        <f>IFERROR(__xludf.DUMMYFUNCTION("""COMPUTED_VALUE"""),1453.0)</f>
        <v>1453</v>
      </c>
      <c r="K63" s="213">
        <f>IFERROR(__xludf.DUMMYFUNCTION("""COMPUTED_VALUE"""),952.0)</f>
        <v>952</v>
      </c>
      <c r="L63" s="214">
        <f>IFERROR(__xludf.DUMMYFUNCTION("""COMPUTED_VALUE"""),0.6552)</f>
        <v>0.6552</v>
      </c>
      <c r="M63" s="213"/>
      <c r="N63" s="214"/>
      <c r="O63" s="101">
        <f>IFERROR(__xludf.DUMMYFUNCTION("""COMPUTED_VALUE"""),3.0)</f>
        <v>3</v>
      </c>
      <c r="P63" s="101"/>
      <c r="Q63" s="214">
        <f>IFERROR(__xludf.DUMMYFUNCTION("""COMPUTED_VALUE"""),0.0032)</f>
        <v>0.0032</v>
      </c>
      <c r="R63" s="214"/>
      <c r="S63" s="101">
        <f>IFERROR(__xludf.DUMMYFUNCTION("""COMPUTED_VALUE"""),0.0)</f>
        <v>0</v>
      </c>
      <c r="T63" s="226">
        <f>IFERROR(__xludf.DUMMYFUNCTION("""COMPUTED_VALUE"""),3.0)</f>
        <v>3</v>
      </c>
      <c r="U63" s="224">
        <f>IFERROR(__xludf.DUMMYFUNCTION("""COMPUTED_VALUE"""),0.0)</f>
        <v>0</v>
      </c>
      <c r="V63" s="224" t="str">
        <f>IFERROR(__xludf.DUMMYFUNCTION("""COMPUTED_VALUE"""),"online")</f>
        <v>online</v>
      </c>
      <c r="W63" s="229" t="str">
        <f>IFERROR(__xludf.DUMMYFUNCTION("""COMPUTED_VALUE"""),"SMS")</f>
        <v>SMS</v>
      </c>
      <c r="X63" s="229" t="str">
        <f>IFERROR(__xludf.DUMMYFUNCTION("""COMPUTED_VALUE"""),"Loyal")</f>
        <v>Loyal</v>
      </c>
      <c r="Y63" s="229" t="str">
        <f>IFERROR(__xludf.DUMMYFUNCTION("""COMPUTED_VALUE"""),"5th - 8th Feb")</f>
        <v>5th - 8th Feb</v>
      </c>
      <c r="Z63" s="229" t="str">
        <f>IFERROR(__xludf.DUMMYFUNCTION("""COMPUTED_VALUE"""),"698325376a7cec4e02d4edba")</f>
        <v>698325376a7cec4e02d4edba</v>
      </c>
      <c r="AA63" s="229">
        <f>IFERROR(__xludf.DUMMYFUNCTION("""COMPUTED_VALUE"""),4.0)</f>
        <v>4</v>
      </c>
      <c r="AB63" s="229">
        <f>IFERROR(__xludf.DUMMYFUNCTION("""COMPUTED_VALUE"""),4.0)</f>
        <v>4</v>
      </c>
      <c r="AC63" s="229"/>
      <c r="AD63" s="229">
        <f>IFERROR(__xludf.DUMMYFUNCTION("""COMPUTED_VALUE"""),8040.0)</f>
        <v>8040</v>
      </c>
      <c r="AE63" s="229">
        <f>IFERROR(__xludf.DUMMYFUNCTION("""COMPUTED_VALUE"""),8040.0)</f>
        <v>8040</v>
      </c>
      <c r="AF63" s="229"/>
      <c r="AG63" s="208"/>
      <c r="AH63" s="208"/>
      <c r="AI63" s="208"/>
      <c r="AJ63" s="208"/>
      <c r="AK63" s="208"/>
    </row>
    <row r="64">
      <c r="A64" s="245">
        <f>IFERROR(__xludf.DUMMYFUNCTION("""COMPUTED_VALUE"""),46058.0)</f>
        <v>46058</v>
      </c>
      <c r="B64" s="246">
        <f>IFERROR(__xludf.DUMMYFUNCTION("""COMPUTED_VALUE"""),0.4583333333321207)</f>
        <v>0.4583333333</v>
      </c>
      <c r="C64" s="222" t="str">
        <f>IFERROR(__xludf.DUMMYFUNCTION("""COMPUTED_VALUE"""),"Sms")</f>
        <v>Sms</v>
      </c>
      <c r="D64" s="222" t="str">
        <f>IFERROR(__xludf.DUMMYFUNCTION("""COMPUTED_VALUE"""),"Fallback Campaign")</f>
        <v>Fallback Campaign</v>
      </c>
      <c r="E64" s="222" t="str">
        <f>IFERROR(__xludf.DUMMYFUNCTION("""COMPUTED_VALUE"""),"VS")</f>
        <v>VS</v>
      </c>
      <c r="F64" s="222" t="str">
        <f>IFERROR(__xludf.DUMMYFUNCTION("""COMPUTED_VALUE"""),"Scent Event")</f>
        <v>Scent Event</v>
      </c>
      <c r="G64" s="221" t="str">
        <f>IFERROR(__xludf.DUMMYFUNCTION("""COMPUTED_VALUE"""),"Scent Event - Lingerie-CX - 5_Feb On - FB (WA+RCS)")</f>
        <v>Scent Event - Lingerie-CX - 5_Feb On - FB (WA+RCS)</v>
      </c>
      <c r="H64" s="223" t="str">
        <f>IFERROR(__xludf.DUMMYFUNCTION("""COMPUTED_VALUE"""),"vs_on_subcatmov_2ndFeb")</f>
        <v>vs_on_subcatmov_2ndFeb</v>
      </c>
      <c r="I64" s="223" t="str">
        <f>IFERROR(__xludf.DUMMYFUNCTION("""COMPUTED_VALUE"""),"RCS Delivery Failed")</f>
        <v>RCS Delivery Failed</v>
      </c>
      <c r="J64" s="224">
        <f>IFERROR(__xludf.DUMMYFUNCTION("""COMPUTED_VALUE"""),10807.0)</f>
        <v>10807</v>
      </c>
      <c r="K64" s="224">
        <f>IFERROR(__xludf.DUMMYFUNCTION("""COMPUTED_VALUE"""),5811.0)</f>
        <v>5811</v>
      </c>
      <c r="L64" s="225">
        <f>IFERROR(__xludf.DUMMYFUNCTION("""COMPUTED_VALUE"""),0.5377)</f>
        <v>0.5377</v>
      </c>
      <c r="M64" s="224"/>
      <c r="N64" s="225"/>
      <c r="O64" s="224">
        <f>IFERROR(__xludf.DUMMYFUNCTION("""COMPUTED_VALUE"""),12.0)</f>
        <v>12</v>
      </c>
      <c r="P64" s="224"/>
      <c r="Q64" s="225">
        <f>IFERROR(__xludf.DUMMYFUNCTION("""COMPUTED_VALUE"""),0.0021)</f>
        <v>0.0021</v>
      </c>
      <c r="R64" s="225"/>
      <c r="S64" s="226">
        <f>IFERROR(__xludf.DUMMYFUNCTION("""COMPUTED_VALUE"""),5.0)</f>
        <v>5</v>
      </c>
      <c r="T64" s="226">
        <f>IFERROR(__xludf.DUMMYFUNCTION("""COMPUTED_VALUE"""),14.0)</f>
        <v>14</v>
      </c>
      <c r="U64" s="224">
        <f>IFERROR(__xludf.DUMMYFUNCTION("""COMPUTED_VALUE"""),49237.0)</f>
        <v>49237</v>
      </c>
      <c r="V64" s="224" t="str">
        <f>IFERROR(__xludf.DUMMYFUNCTION("""COMPUTED_VALUE"""),"online")</f>
        <v>online</v>
      </c>
      <c r="W64" s="229" t="str">
        <f>IFERROR(__xludf.DUMMYFUNCTION("""COMPUTED_VALUE"""),"SMS")</f>
        <v>SMS</v>
      </c>
      <c r="X64" s="229" t="str">
        <f>IFERROR(__xludf.DUMMYFUNCTION("""COMPUTED_VALUE"""),"Sub-Category Movers")</f>
        <v>Sub-Category Movers</v>
      </c>
      <c r="Y64" s="229" t="str">
        <f>IFERROR(__xludf.DUMMYFUNCTION("""COMPUTED_VALUE"""),"5th - 8th Feb")</f>
        <v>5th - 8th Feb</v>
      </c>
      <c r="Z64" s="229" t="str">
        <f>IFERROR(__xludf.DUMMYFUNCTION("""COMPUTED_VALUE"""),"698325eb49016a5c60258846")</f>
        <v>698325eb49016a5c60258846</v>
      </c>
      <c r="AA64" s="229">
        <f>IFERROR(__xludf.DUMMYFUNCTION("""COMPUTED_VALUE"""),13.0)</f>
        <v>13</v>
      </c>
      <c r="AB64" s="229">
        <f>IFERROR(__xludf.DUMMYFUNCTION("""COMPUTED_VALUE"""),13.0)</f>
        <v>13</v>
      </c>
      <c r="AC64" s="229"/>
      <c r="AD64" s="229">
        <f>IFERROR(__xludf.DUMMYFUNCTION("""COMPUTED_VALUE"""),96131.0)</f>
        <v>96131</v>
      </c>
      <c r="AE64" s="229">
        <f>IFERROR(__xludf.DUMMYFUNCTION("""COMPUTED_VALUE"""),96131.0)</f>
        <v>96131</v>
      </c>
      <c r="AF64" s="229"/>
      <c r="AG64" s="208"/>
      <c r="AH64" s="208"/>
      <c r="AI64" s="208"/>
      <c r="AJ64" s="208"/>
      <c r="AK64" s="208"/>
    </row>
    <row r="65">
      <c r="A65" s="245">
        <f>IFERROR(__xludf.DUMMYFUNCTION("""COMPUTED_VALUE"""),46058.0)</f>
        <v>46058</v>
      </c>
      <c r="B65" s="246">
        <f>IFERROR(__xludf.DUMMYFUNCTION("""COMPUTED_VALUE"""),0.4583333333321207)</f>
        <v>0.4583333333</v>
      </c>
      <c r="C65" s="222" t="str">
        <f>IFERROR(__xludf.DUMMYFUNCTION("""COMPUTED_VALUE"""),"Sms")</f>
        <v>Sms</v>
      </c>
      <c r="D65" s="222" t="str">
        <f>IFERROR(__xludf.DUMMYFUNCTION("""COMPUTED_VALUE"""),"Fallback Campaign")</f>
        <v>Fallback Campaign</v>
      </c>
      <c r="E65" s="222" t="str">
        <f>IFERROR(__xludf.DUMMYFUNCTION("""COMPUTED_VALUE"""),"VS")</f>
        <v>VS</v>
      </c>
      <c r="F65" s="222" t="str">
        <f>IFERROR(__xludf.DUMMYFUNCTION("""COMPUTED_VALUE"""),"Scent Event")</f>
        <v>Scent Event</v>
      </c>
      <c r="G65" s="221" t="str">
        <f>IFERROR(__xludf.DUMMYFUNCTION("""COMPUTED_VALUE"""),"Scent Event - BTY-CX - 5_Feb On - FB (WA+RCS)")</f>
        <v>Scent Event - BTY-CX - 5_Feb On - FB (WA+RCS)</v>
      </c>
      <c r="H65" s="223" t="str">
        <f>IFERROR(__xludf.DUMMYFUNCTION("""COMPUTED_VALUE"""),"vs_on_pr_catmov_2ndFeb")</f>
        <v>vs_on_pr_catmov_2ndFeb</v>
      </c>
      <c r="I65" s="221" t="str">
        <f>IFERROR(__xludf.DUMMYFUNCTION("""COMPUTED_VALUE"""),"RCS Delivery Failed")</f>
        <v>RCS Delivery Failed</v>
      </c>
      <c r="J65" s="224">
        <f>IFERROR(__xludf.DUMMYFUNCTION("""COMPUTED_VALUE"""),13239.0)</f>
        <v>13239</v>
      </c>
      <c r="K65" s="224">
        <f>IFERROR(__xludf.DUMMYFUNCTION("""COMPUTED_VALUE"""),8196.0)</f>
        <v>8196</v>
      </c>
      <c r="L65" s="225">
        <f>IFERROR(__xludf.DUMMYFUNCTION("""COMPUTED_VALUE"""),0.6191)</f>
        <v>0.6191</v>
      </c>
      <c r="M65" s="224"/>
      <c r="N65" s="225"/>
      <c r="O65" s="224">
        <f>IFERROR(__xludf.DUMMYFUNCTION("""COMPUTED_VALUE"""),9.0)</f>
        <v>9</v>
      </c>
      <c r="P65" s="224"/>
      <c r="Q65" s="225">
        <f>IFERROR(__xludf.DUMMYFUNCTION("""COMPUTED_VALUE"""),0.0011)</f>
        <v>0.0011</v>
      </c>
      <c r="R65" s="225"/>
      <c r="S65" s="226">
        <f>IFERROR(__xludf.DUMMYFUNCTION("""COMPUTED_VALUE"""),6.0)</f>
        <v>6</v>
      </c>
      <c r="T65" s="226">
        <f>IFERROR(__xludf.DUMMYFUNCTION("""COMPUTED_VALUE"""),1.0)</f>
        <v>1</v>
      </c>
      <c r="U65" s="224">
        <f>IFERROR(__xludf.DUMMYFUNCTION("""COMPUTED_VALUE"""),25036.0)</f>
        <v>25036</v>
      </c>
      <c r="V65" s="224" t="str">
        <f>IFERROR(__xludf.DUMMYFUNCTION("""COMPUTED_VALUE"""),"online")</f>
        <v>online</v>
      </c>
      <c r="W65" s="229" t="str">
        <f>IFERROR(__xludf.DUMMYFUNCTION("""COMPUTED_VALUE"""),"SMS")</f>
        <v>SMS</v>
      </c>
      <c r="X65" s="229" t="str">
        <f>IFERROR(__xludf.DUMMYFUNCTION("""COMPUTED_VALUE"""),"Category Movers")</f>
        <v>Category Movers</v>
      </c>
      <c r="Y65" s="229" t="str">
        <f>IFERROR(__xludf.DUMMYFUNCTION("""COMPUTED_VALUE"""),"5th - 8th Feb")</f>
        <v>5th - 8th Feb</v>
      </c>
      <c r="Z65" s="229" t="str">
        <f>IFERROR(__xludf.DUMMYFUNCTION("""COMPUTED_VALUE"""),"69832660696c86ffc0f475a9")</f>
        <v>69832660696c86ffc0f475a9</v>
      </c>
      <c r="AA65" s="229">
        <f>IFERROR(__xludf.DUMMYFUNCTION("""COMPUTED_VALUE"""),19.0)</f>
        <v>19</v>
      </c>
      <c r="AB65" s="229">
        <f>IFERROR(__xludf.DUMMYFUNCTION("""COMPUTED_VALUE"""),19.0)</f>
        <v>19</v>
      </c>
      <c r="AC65" s="229"/>
      <c r="AD65" s="229">
        <f>IFERROR(__xludf.DUMMYFUNCTION("""COMPUTED_VALUE"""),109889.0)</f>
        <v>109889</v>
      </c>
      <c r="AE65" s="229">
        <f>IFERROR(__xludf.DUMMYFUNCTION("""COMPUTED_VALUE"""),109889.0)</f>
        <v>109889</v>
      </c>
      <c r="AF65" s="229"/>
      <c r="AG65" s="208"/>
      <c r="AH65" s="208"/>
      <c r="AI65" s="208"/>
      <c r="AJ65" s="208"/>
      <c r="AK65" s="208"/>
    </row>
    <row r="66">
      <c r="A66" s="245">
        <f>IFERROR(__xludf.DUMMYFUNCTION("""COMPUTED_VALUE"""),46058.0)</f>
        <v>46058</v>
      </c>
      <c r="B66" s="246">
        <f>IFERROR(__xludf.DUMMYFUNCTION("""COMPUTED_VALUE"""),0.4583333333321207)</f>
        <v>0.4583333333</v>
      </c>
      <c r="C66" s="222" t="str">
        <f>IFERROR(__xludf.DUMMYFUNCTION("""COMPUTED_VALUE"""),"Sms")</f>
        <v>Sms</v>
      </c>
      <c r="D66" s="222" t="str">
        <f>IFERROR(__xludf.DUMMYFUNCTION("""COMPUTED_VALUE"""),"Fallback Campaign")</f>
        <v>Fallback Campaign</v>
      </c>
      <c r="E66" s="222" t="str">
        <f>IFERROR(__xludf.DUMMYFUNCTION("""COMPUTED_VALUE"""),"VS")</f>
        <v>VS</v>
      </c>
      <c r="F66" s="222" t="str">
        <f>IFERROR(__xludf.DUMMYFUNCTION("""COMPUTED_VALUE"""),"Scent Event")</f>
        <v>Scent Event</v>
      </c>
      <c r="G66" s="221" t="str">
        <f>IFERROR(__xludf.DUMMYFUNCTION("""COMPUTED_VALUE"""),"Scent Event - Generic- 5_Feb On - FB (WA+RCS)")</f>
        <v>Scent Event - Generic- 5_Feb On - FB (WA+RCS)</v>
      </c>
      <c r="H66" s="223" t="str">
        <f>IFERROR(__xludf.DUMMYFUNCTION("""COMPUTED_VALUE"""),"vs_on_pr_gen_2ndFeb")</f>
        <v>vs_on_pr_gen_2ndFeb</v>
      </c>
      <c r="I66" s="221" t="str">
        <f>IFERROR(__xludf.DUMMYFUNCTION("""COMPUTED_VALUE"""),"RCS Delivery Failed")</f>
        <v>RCS Delivery Failed</v>
      </c>
      <c r="J66" s="224">
        <f>IFERROR(__xludf.DUMMYFUNCTION("""COMPUTED_VALUE"""),49413.0)</f>
        <v>49413</v>
      </c>
      <c r="K66" s="224">
        <f>IFERROR(__xludf.DUMMYFUNCTION("""COMPUTED_VALUE"""),33145.0)</f>
        <v>33145</v>
      </c>
      <c r="L66" s="225">
        <f>IFERROR(__xludf.DUMMYFUNCTION("""COMPUTED_VALUE"""),0.6708)</f>
        <v>0.6708</v>
      </c>
      <c r="M66" s="224"/>
      <c r="N66" s="225"/>
      <c r="O66" s="224">
        <f>IFERROR(__xludf.DUMMYFUNCTION("""COMPUTED_VALUE"""),28.0)</f>
        <v>28</v>
      </c>
      <c r="P66" s="224"/>
      <c r="Q66" s="225">
        <f>IFERROR(__xludf.DUMMYFUNCTION("""COMPUTED_VALUE"""),8.0E-4)</f>
        <v>0.0008</v>
      </c>
      <c r="R66" s="225"/>
      <c r="S66" s="226">
        <f>IFERROR(__xludf.DUMMYFUNCTION("""COMPUTED_VALUE"""),6.0)</f>
        <v>6</v>
      </c>
      <c r="T66" s="226">
        <f>IFERROR(__xludf.DUMMYFUNCTION("""COMPUTED_VALUE"""),28.0)</f>
        <v>28</v>
      </c>
      <c r="U66" s="224">
        <f>IFERROR(__xludf.DUMMYFUNCTION("""COMPUTED_VALUE"""),22818.0)</f>
        <v>22818</v>
      </c>
      <c r="V66" s="224" t="str">
        <f>IFERROR(__xludf.DUMMYFUNCTION("""COMPUTED_VALUE"""),"online")</f>
        <v>online</v>
      </c>
      <c r="W66" s="229" t="str">
        <f>IFERROR(__xludf.DUMMYFUNCTION("""COMPUTED_VALUE"""),"SMS")</f>
        <v>SMS</v>
      </c>
      <c r="X66" s="229" t="str">
        <f>IFERROR(__xludf.DUMMYFUNCTION("""COMPUTED_VALUE"""),"Generic")</f>
        <v>Generic</v>
      </c>
      <c r="Y66" s="229" t="str">
        <f>IFERROR(__xludf.DUMMYFUNCTION("""COMPUTED_VALUE"""),"5th - 8th Feb")</f>
        <v>5th - 8th Feb</v>
      </c>
      <c r="Z66" s="229" t="str">
        <f>IFERROR(__xludf.DUMMYFUNCTION("""COMPUTED_VALUE"""),"698326c6b426d844b0d1e4c3")</f>
        <v>698326c6b426d844b0d1e4c3</v>
      </c>
      <c r="AA66" s="229">
        <f>IFERROR(__xludf.DUMMYFUNCTION("""COMPUTED_VALUE"""),29.0)</f>
        <v>29</v>
      </c>
      <c r="AB66" s="229">
        <f>IFERROR(__xludf.DUMMYFUNCTION("""COMPUTED_VALUE"""),29.0)</f>
        <v>29</v>
      </c>
      <c r="AC66" s="229"/>
      <c r="AD66" s="229">
        <f>IFERROR(__xludf.DUMMYFUNCTION("""COMPUTED_VALUE"""),99714.0)</f>
        <v>99714</v>
      </c>
      <c r="AE66" s="229">
        <f>IFERROR(__xludf.DUMMYFUNCTION("""COMPUTED_VALUE"""),99714.0)</f>
        <v>99714</v>
      </c>
      <c r="AF66" s="229"/>
      <c r="AG66" s="208"/>
      <c r="AH66" s="208"/>
      <c r="AI66" s="208"/>
      <c r="AJ66" s="208"/>
      <c r="AK66" s="208"/>
    </row>
    <row r="67">
      <c r="A67" s="245">
        <f>IFERROR(__xludf.DUMMYFUNCTION("""COMPUTED_VALUE"""),46058.0)</f>
        <v>46058</v>
      </c>
      <c r="B67" s="246">
        <f>IFERROR(__xludf.DUMMYFUNCTION("""COMPUTED_VALUE"""),0.5)</f>
        <v>0.5</v>
      </c>
      <c r="C67" s="222" t="str">
        <f>IFERROR(__xludf.DUMMYFUNCTION("""COMPUTED_VALUE"""),"Sms")</f>
        <v>Sms</v>
      </c>
      <c r="D67" s="222" t="str">
        <f>IFERROR(__xludf.DUMMYFUNCTION("""COMPUTED_VALUE"""),"Fallback Campaign")</f>
        <v>Fallback Campaign</v>
      </c>
      <c r="E67" s="222" t="str">
        <f>IFERROR(__xludf.DUMMYFUNCTION("""COMPUTED_VALUE"""),"VS")</f>
        <v>VS</v>
      </c>
      <c r="F67" s="222" t="str">
        <f>IFERROR(__xludf.DUMMYFUNCTION("""COMPUTED_VALUE"""),"Scent Event")</f>
        <v>Scent Event</v>
      </c>
      <c r="G67" s="221" t="str">
        <f>IFERROR(__xludf.DUMMYFUNCTION("""COMPUTED_VALUE"""),"Scent Event - Event-CX - 5_Feb Off - FB (RCS+WA)")</f>
        <v>Scent Event - Event-CX - 5_Feb Off - FB (RCS+WA)</v>
      </c>
      <c r="H67" s="223" t="str">
        <f>IFERROR(__xludf.DUMMYFUNCTION("""COMPUTED_VALUE"""),"Scent_Event_Purchasers_Off")</f>
        <v>Scent_Event_Purchasers_Off</v>
      </c>
      <c r="I67" s="221" t="str">
        <f>IFERROR(__xludf.DUMMYFUNCTION("""COMPUTED_VALUE"""),"WA Undelivered")</f>
        <v>WA Undelivered</v>
      </c>
      <c r="J67" s="224">
        <f>IFERROR(__xludf.DUMMYFUNCTION("""COMPUTED_VALUE"""),3083.0)</f>
        <v>3083</v>
      </c>
      <c r="K67" s="224">
        <f>IFERROR(__xludf.DUMMYFUNCTION("""COMPUTED_VALUE"""),1884.0)</f>
        <v>1884</v>
      </c>
      <c r="L67" s="225">
        <f>IFERROR(__xludf.DUMMYFUNCTION("""COMPUTED_VALUE"""),0.6111)</f>
        <v>0.6111</v>
      </c>
      <c r="M67" s="224"/>
      <c r="N67" s="225"/>
      <c r="O67" s="224">
        <f>IFERROR(__xludf.DUMMYFUNCTION("""COMPUTED_VALUE"""),1.0)</f>
        <v>1</v>
      </c>
      <c r="P67" s="224"/>
      <c r="Q67" s="225">
        <f>IFERROR(__xludf.DUMMYFUNCTION("""COMPUTED_VALUE"""),5.0E-4)</f>
        <v>0.0005</v>
      </c>
      <c r="R67" s="225"/>
      <c r="S67" s="226">
        <f>IFERROR(__xludf.DUMMYFUNCTION("""COMPUTED_VALUE"""),0.0)</f>
        <v>0</v>
      </c>
      <c r="T67" s="226">
        <f>IFERROR(__xludf.DUMMYFUNCTION("""COMPUTED_VALUE"""),1.0)</f>
        <v>1</v>
      </c>
      <c r="U67" s="224">
        <f>IFERROR(__xludf.DUMMYFUNCTION("""COMPUTED_VALUE"""),0.0)</f>
        <v>0</v>
      </c>
      <c r="V67" s="224" t="str">
        <f>IFERROR(__xludf.DUMMYFUNCTION("""COMPUTED_VALUE"""),"offline")</f>
        <v>offline</v>
      </c>
      <c r="W67" s="229" t="str">
        <f>IFERROR(__xludf.DUMMYFUNCTION("""COMPUTED_VALUE"""),"SMS")</f>
        <v>SMS</v>
      </c>
      <c r="X67" s="229" t="str">
        <f>IFERROR(__xludf.DUMMYFUNCTION("""COMPUTED_VALUE"""),"Event Buyers")</f>
        <v>Event Buyers</v>
      </c>
      <c r="Y67" s="229" t="str">
        <f>IFERROR(__xludf.DUMMYFUNCTION("""COMPUTED_VALUE"""),"5th - 8th Feb")</f>
        <v>5th - 8th Feb</v>
      </c>
      <c r="Z67" s="229" t="str">
        <f>IFERROR(__xludf.DUMMYFUNCTION("""COMPUTED_VALUE"""),"69832e217471a223ca33db27")</f>
        <v>69832e217471a223ca33db27</v>
      </c>
      <c r="AA67" s="229">
        <f>IFERROR(__xludf.DUMMYFUNCTION("""COMPUTED_VALUE"""),7.0)</f>
        <v>7</v>
      </c>
      <c r="AB67" s="229"/>
      <c r="AC67" s="229">
        <f>IFERROR(__xludf.DUMMYFUNCTION("""COMPUTED_VALUE"""),7.0)</f>
        <v>7</v>
      </c>
      <c r="AD67" s="229">
        <f>IFERROR(__xludf.DUMMYFUNCTION("""COMPUTED_VALUE"""),51870.0)</f>
        <v>51870</v>
      </c>
      <c r="AE67" s="229"/>
      <c r="AF67" s="229">
        <f>IFERROR(__xludf.DUMMYFUNCTION("""COMPUTED_VALUE"""),51870.0)</f>
        <v>51870</v>
      </c>
      <c r="AG67" s="208"/>
      <c r="AH67" s="208"/>
      <c r="AI67" s="208"/>
      <c r="AJ67" s="208"/>
      <c r="AK67" s="208"/>
    </row>
    <row r="68">
      <c r="A68" s="219">
        <f>IFERROR(__xludf.DUMMYFUNCTION("""COMPUTED_VALUE"""),46058.0)</f>
        <v>46058</v>
      </c>
      <c r="B68" s="220">
        <f>IFERROR(__xludf.DUMMYFUNCTION("""COMPUTED_VALUE"""),0.5)</f>
        <v>0.5</v>
      </c>
      <c r="C68" s="221" t="str">
        <f>IFERROR(__xludf.DUMMYFUNCTION("""COMPUTED_VALUE"""),"Sms")</f>
        <v>Sms</v>
      </c>
      <c r="D68" s="222" t="str">
        <f>IFERROR(__xludf.DUMMYFUNCTION("""COMPUTED_VALUE"""),"Fallback Campaign")</f>
        <v>Fallback Campaign</v>
      </c>
      <c r="E68" s="222" t="str">
        <f>IFERROR(__xludf.DUMMYFUNCTION("""COMPUTED_VALUE"""),"VS")</f>
        <v>VS</v>
      </c>
      <c r="F68" s="222" t="str">
        <f>IFERROR(__xludf.DUMMYFUNCTION("""COMPUTED_VALUE"""),"Scent Event")</f>
        <v>Scent Event</v>
      </c>
      <c r="G68" s="222" t="str">
        <f>IFERROR(__xludf.DUMMYFUNCTION("""COMPUTED_VALUE"""),"Scent Event - Recent-CX - 5_Feb Off - FB (RCS+WA)")</f>
        <v>Scent Event - Recent-CX - 5_Feb Off - FB (RCS+WA)</v>
      </c>
      <c r="H68" s="222" t="str">
        <f>IFERROR(__xludf.DUMMYFUNCTION("""COMPUTED_VALUE"""),"vs_off_pr_frag_recent_2ndFeb")</f>
        <v>vs_off_pr_frag_recent_2ndFeb</v>
      </c>
      <c r="I68" s="223" t="str">
        <f>IFERROR(__xludf.DUMMYFUNCTION("""COMPUTED_VALUE"""),"WA Undelivered")</f>
        <v>WA Undelivered</v>
      </c>
      <c r="J68" s="224">
        <f>IFERROR(__xludf.DUMMYFUNCTION("""COMPUTED_VALUE"""),7259.0)</f>
        <v>7259</v>
      </c>
      <c r="K68" s="224">
        <f>IFERROR(__xludf.DUMMYFUNCTION("""COMPUTED_VALUE"""),5029.0)</f>
        <v>5029</v>
      </c>
      <c r="L68" s="225">
        <f>IFERROR(__xludf.DUMMYFUNCTION("""COMPUTED_VALUE"""),0.6928)</f>
        <v>0.6928</v>
      </c>
      <c r="M68" s="224"/>
      <c r="N68" s="225"/>
      <c r="O68" s="226">
        <f>IFERROR(__xludf.DUMMYFUNCTION("""COMPUTED_VALUE"""),7.0)</f>
        <v>7</v>
      </c>
      <c r="P68" s="226"/>
      <c r="Q68" s="225">
        <f>IFERROR(__xludf.DUMMYFUNCTION("""COMPUTED_VALUE"""),0.0014)</f>
        <v>0.0014</v>
      </c>
      <c r="R68" s="225"/>
      <c r="S68" s="226">
        <f>IFERROR(__xludf.DUMMYFUNCTION("""COMPUTED_VALUE"""),0.0)</f>
        <v>0</v>
      </c>
      <c r="T68" s="226">
        <f>IFERROR(__xludf.DUMMYFUNCTION("""COMPUTED_VALUE"""),3.0)</f>
        <v>3</v>
      </c>
      <c r="U68" s="224">
        <f>IFERROR(__xludf.DUMMYFUNCTION("""COMPUTED_VALUE"""),0.0)</f>
        <v>0</v>
      </c>
      <c r="V68" s="224" t="str">
        <f>IFERROR(__xludf.DUMMYFUNCTION("""COMPUTED_VALUE"""),"offline")</f>
        <v>offline</v>
      </c>
      <c r="W68" s="229" t="str">
        <f>IFERROR(__xludf.DUMMYFUNCTION("""COMPUTED_VALUE"""),"SMS")</f>
        <v>SMS</v>
      </c>
      <c r="X68" s="229" t="str">
        <f>IFERROR(__xludf.DUMMYFUNCTION("""COMPUTED_VALUE"""),"Recent")</f>
        <v>Recent</v>
      </c>
      <c r="Y68" s="229" t="str">
        <f>IFERROR(__xludf.DUMMYFUNCTION("""COMPUTED_VALUE"""),"5th - 8th Feb")</f>
        <v>5th - 8th Feb</v>
      </c>
      <c r="Z68" s="229" t="str">
        <f>IFERROR(__xludf.DUMMYFUNCTION("""COMPUTED_VALUE"""),"69832eaa1fe9c0f2a46b5aca")</f>
        <v>69832eaa1fe9c0f2a46b5aca</v>
      </c>
      <c r="AA68" s="229">
        <f>IFERROR(__xludf.DUMMYFUNCTION("""COMPUTED_VALUE"""),18.0)</f>
        <v>18</v>
      </c>
      <c r="AB68" s="229"/>
      <c r="AC68" s="229">
        <f>IFERROR(__xludf.DUMMYFUNCTION("""COMPUTED_VALUE"""),18.0)</f>
        <v>18</v>
      </c>
      <c r="AD68" s="229">
        <f>IFERROR(__xludf.DUMMYFUNCTION("""COMPUTED_VALUE"""),60576.0)</f>
        <v>60576</v>
      </c>
      <c r="AE68" s="229"/>
      <c r="AF68" s="229">
        <f>IFERROR(__xludf.DUMMYFUNCTION("""COMPUTED_VALUE"""),60576.0)</f>
        <v>60576</v>
      </c>
      <c r="AG68" s="208"/>
      <c r="AH68" s="208"/>
      <c r="AI68" s="208"/>
      <c r="AJ68" s="208"/>
      <c r="AK68" s="208"/>
    </row>
    <row r="69">
      <c r="A69" s="219">
        <f>IFERROR(__xludf.DUMMYFUNCTION("""COMPUTED_VALUE"""),46058.0)</f>
        <v>46058</v>
      </c>
      <c r="B69" s="220">
        <f>IFERROR(__xludf.DUMMYFUNCTION("""COMPUTED_VALUE"""),0.5)</f>
        <v>0.5</v>
      </c>
      <c r="C69" s="221" t="str">
        <f>IFERROR(__xludf.DUMMYFUNCTION("""COMPUTED_VALUE"""),"Sms")</f>
        <v>Sms</v>
      </c>
      <c r="D69" s="222" t="str">
        <f>IFERROR(__xludf.DUMMYFUNCTION("""COMPUTED_VALUE"""),"Fallback Campaign")</f>
        <v>Fallback Campaign</v>
      </c>
      <c r="E69" s="222" t="str">
        <f>IFERROR(__xludf.DUMMYFUNCTION("""COMPUTED_VALUE"""),"VS")</f>
        <v>VS</v>
      </c>
      <c r="F69" s="222" t="str">
        <f>IFERROR(__xludf.DUMMYFUNCTION("""COMPUTED_VALUE"""),"Scent Event")</f>
        <v>Scent Event</v>
      </c>
      <c r="G69" s="222" t="str">
        <f>IFERROR(__xludf.DUMMYFUNCTION("""COMPUTED_VALUE"""),"Scent Event - Loyal-CX - 5_Feb Off - FB (WA+RCS)")</f>
        <v>Scent Event - Loyal-CX - 5_Feb Off - FB (WA+RCS)</v>
      </c>
      <c r="H69" s="222" t="str">
        <f>IFERROR(__xludf.DUMMYFUNCTION("""COMPUTED_VALUE"""),"vs_off_pr_frag_loyal_2ndFeb")</f>
        <v>vs_off_pr_frag_loyal_2ndFeb</v>
      </c>
      <c r="I69" s="223" t="str">
        <f>IFERROR(__xludf.DUMMYFUNCTION("""COMPUTED_VALUE"""),"WA Undelivered")</f>
        <v>WA Undelivered</v>
      </c>
      <c r="J69" s="224">
        <f>IFERROR(__xludf.DUMMYFUNCTION("""COMPUTED_VALUE"""),1719.0)</f>
        <v>1719</v>
      </c>
      <c r="K69" s="224">
        <f>IFERROR(__xludf.DUMMYFUNCTION("""COMPUTED_VALUE"""),1161.0)</f>
        <v>1161</v>
      </c>
      <c r="L69" s="225">
        <f>IFERROR(__xludf.DUMMYFUNCTION("""COMPUTED_VALUE"""),0.6754)</f>
        <v>0.6754</v>
      </c>
      <c r="M69" s="224"/>
      <c r="N69" s="225"/>
      <c r="O69" s="226">
        <f>IFERROR(__xludf.DUMMYFUNCTION("""COMPUTED_VALUE"""),4.0)</f>
        <v>4</v>
      </c>
      <c r="P69" s="226"/>
      <c r="Q69" s="225">
        <f>IFERROR(__xludf.DUMMYFUNCTION("""COMPUTED_VALUE"""),0.0034)</f>
        <v>0.0034</v>
      </c>
      <c r="R69" s="225"/>
      <c r="S69" s="226">
        <f>IFERROR(__xludf.DUMMYFUNCTION("""COMPUTED_VALUE"""),0.0)</f>
        <v>0</v>
      </c>
      <c r="T69" s="226">
        <f>IFERROR(__xludf.DUMMYFUNCTION("""COMPUTED_VALUE"""),2.0)</f>
        <v>2</v>
      </c>
      <c r="U69" s="224">
        <f>IFERROR(__xludf.DUMMYFUNCTION("""COMPUTED_VALUE"""),0.0)</f>
        <v>0</v>
      </c>
      <c r="V69" s="224" t="str">
        <f>IFERROR(__xludf.DUMMYFUNCTION("""COMPUTED_VALUE"""),"offline")</f>
        <v>offline</v>
      </c>
      <c r="W69" s="229" t="str">
        <f>IFERROR(__xludf.DUMMYFUNCTION("""COMPUTED_VALUE"""),"SMS")</f>
        <v>SMS</v>
      </c>
      <c r="X69" s="229" t="str">
        <f>IFERROR(__xludf.DUMMYFUNCTION("""COMPUTED_VALUE"""),"Loyal")</f>
        <v>Loyal</v>
      </c>
      <c r="Y69" s="229" t="str">
        <f>IFERROR(__xludf.DUMMYFUNCTION("""COMPUTED_VALUE"""),"5th - 8th Feb")</f>
        <v>5th - 8th Feb</v>
      </c>
      <c r="Z69" s="229" t="str">
        <f>IFERROR(__xludf.DUMMYFUNCTION("""COMPUTED_VALUE"""),"69832fdde8cbe4fb14bd3bcb")</f>
        <v>69832fdde8cbe4fb14bd3bcb</v>
      </c>
      <c r="AA69" s="229">
        <f>IFERROR(__xludf.DUMMYFUNCTION("""COMPUTED_VALUE"""),10.0)</f>
        <v>10</v>
      </c>
      <c r="AB69" s="229"/>
      <c r="AC69" s="229">
        <f>IFERROR(__xludf.DUMMYFUNCTION("""COMPUTED_VALUE"""),10.0)</f>
        <v>10</v>
      </c>
      <c r="AD69" s="229">
        <f>IFERROR(__xludf.DUMMYFUNCTION("""COMPUTED_VALUE"""),54183.0)</f>
        <v>54183</v>
      </c>
      <c r="AE69" s="229"/>
      <c r="AF69" s="229">
        <f>IFERROR(__xludf.DUMMYFUNCTION("""COMPUTED_VALUE"""),54183.0)</f>
        <v>54183</v>
      </c>
      <c r="AG69" s="208"/>
      <c r="AH69" s="208"/>
      <c r="AI69" s="208"/>
      <c r="AJ69" s="208"/>
      <c r="AK69" s="208"/>
    </row>
    <row r="70">
      <c r="A70" s="215">
        <f>IFERROR(__xludf.DUMMYFUNCTION("""COMPUTED_VALUE"""),46058.0)</f>
        <v>46058</v>
      </c>
      <c r="B70" s="210">
        <f>IFERROR(__xludf.DUMMYFUNCTION("""COMPUTED_VALUE"""),0.5)</f>
        <v>0.5</v>
      </c>
      <c r="C70" s="211" t="str">
        <f>IFERROR(__xludf.DUMMYFUNCTION("""COMPUTED_VALUE"""),"Sms")</f>
        <v>Sms</v>
      </c>
      <c r="D70" s="211" t="str">
        <f>IFERROR(__xludf.DUMMYFUNCTION("""COMPUTED_VALUE"""),"Fallback Campaign")</f>
        <v>Fallback Campaign</v>
      </c>
      <c r="E70" s="211" t="str">
        <f>IFERROR(__xludf.DUMMYFUNCTION("""COMPUTED_VALUE"""),"VS")</f>
        <v>VS</v>
      </c>
      <c r="F70" s="211" t="str">
        <f>IFERROR(__xludf.DUMMYFUNCTION("""COMPUTED_VALUE"""),"Scent Event")</f>
        <v>Scent Event</v>
      </c>
      <c r="G70" s="218" t="str">
        <f>IFERROR(__xludf.DUMMYFUNCTION("""COMPUTED_VALUE"""),"Scent Event - Lingerie-CX - 5_Feb Off - FB (WA+RCS)")</f>
        <v>Scent Event - Lingerie-CX - 5_Feb Off - FB (WA+RCS)</v>
      </c>
      <c r="H70" s="218" t="str">
        <f>IFERROR(__xludf.DUMMYFUNCTION("""COMPUTED_VALUE"""),"vs_off_subcatmov_2ndFeb")</f>
        <v>vs_off_subcatmov_2ndFeb</v>
      </c>
      <c r="I70" s="212" t="str">
        <f>IFERROR(__xludf.DUMMYFUNCTION("""COMPUTED_VALUE"""),"WA Undelivered")</f>
        <v>WA Undelivered</v>
      </c>
      <c r="J70" s="213">
        <f>IFERROR(__xludf.DUMMYFUNCTION("""COMPUTED_VALUE"""),19034.0)</f>
        <v>19034</v>
      </c>
      <c r="K70" s="213">
        <f>IFERROR(__xludf.DUMMYFUNCTION("""COMPUTED_VALUE"""),10248.0)</f>
        <v>10248</v>
      </c>
      <c r="L70" s="214">
        <f>IFERROR(__xludf.DUMMYFUNCTION("""COMPUTED_VALUE"""),0.5384)</f>
        <v>0.5384</v>
      </c>
      <c r="M70" s="213"/>
      <c r="N70" s="214"/>
      <c r="O70" s="101">
        <f>IFERROR(__xludf.DUMMYFUNCTION("""COMPUTED_VALUE"""),16.0)</f>
        <v>16</v>
      </c>
      <c r="P70" s="101"/>
      <c r="Q70" s="214">
        <f>IFERROR(__xludf.DUMMYFUNCTION("""COMPUTED_VALUE"""),0.0016)</f>
        <v>0.0016</v>
      </c>
      <c r="R70" s="214"/>
      <c r="S70" s="101">
        <f>IFERROR(__xludf.DUMMYFUNCTION("""COMPUTED_VALUE"""),3.0)</f>
        <v>3</v>
      </c>
      <c r="T70" s="101">
        <f>IFERROR(__xludf.DUMMYFUNCTION("""COMPUTED_VALUE"""),11.0)</f>
        <v>11</v>
      </c>
      <c r="U70" s="213">
        <f>IFERROR(__xludf.DUMMYFUNCTION("""COMPUTED_VALUE"""),67423.0)</f>
        <v>67423</v>
      </c>
      <c r="V70" s="213" t="str">
        <f>IFERROR(__xludf.DUMMYFUNCTION("""COMPUTED_VALUE"""),"offline")</f>
        <v>offline</v>
      </c>
      <c r="W70" s="98" t="str">
        <f>IFERROR(__xludf.DUMMYFUNCTION("""COMPUTED_VALUE"""),"SMS")</f>
        <v>SMS</v>
      </c>
      <c r="X70" s="98" t="str">
        <f>IFERROR(__xludf.DUMMYFUNCTION("""COMPUTED_VALUE"""),"Sub-Category Movers")</f>
        <v>Sub-Category Movers</v>
      </c>
      <c r="Y70" s="98" t="str">
        <f>IFERROR(__xludf.DUMMYFUNCTION("""COMPUTED_VALUE"""),"5th - 8th Feb")</f>
        <v>5th - 8th Feb</v>
      </c>
      <c r="Z70" s="98" t="str">
        <f>IFERROR(__xludf.DUMMYFUNCTION("""COMPUTED_VALUE"""),"698332cf6b8c8f395d8b9263")</f>
        <v>698332cf6b8c8f395d8b9263</v>
      </c>
      <c r="AA70" s="98">
        <f>IFERROR(__xludf.DUMMYFUNCTION("""COMPUTED_VALUE"""),40.0)</f>
        <v>40</v>
      </c>
      <c r="AB70" s="98"/>
      <c r="AC70" s="98">
        <f>IFERROR(__xludf.DUMMYFUNCTION("""COMPUTED_VALUE"""),40.0)</f>
        <v>40</v>
      </c>
      <c r="AD70" s="98">
        <f>IFERROR(__xludf.DUMMYFUNCTION("""COMPUTED_VALUE"""),508855.0)</f>
        <v>508855</v>
      </c>
      <c r="AE70" s="98"/>
      <c r="AF70" s="98">
        <f>IFERROR(__xludf.DUMMYFUNCTION("""COMPUTED_VALUE"""),508855.0)</f>
        <v>508855</v>
      </c>
      <c r="AG70" s="208"/>
      <c r="AH70" s="208"/>
      <c r="AI70" s="208"/>
      <c r="AJ70" s="208"/>
      <c r="AK70" s="208"/>
    </row>
    <row r="71">
      <c r="A71" s="215">
        <f>IFERROR(__xludf.DUMMYFUNCTION("""COMPUTED_VALUE"""),46058.0)</f>
        <v>46058</v>
      </c>
      <c r="B71" s="210">
        <f>IFERROR(__xludf.DUMMYFUNCTION("""COMPUTED_VALUE"""),0.5)</f>
        <v>0.5</v>
      </c>
      <c r="C71" s="211" t="str">
        <f>IFERROR(__xludf.DUMMYFUNCTION("""COMPUTED_VALUE"""),"Sms")</f>
        <v>Sms</v>
      </c>
      <c r="D71" s="211" t="str">
        <f>IFERROR(__xludf.DUMMYFUNCTION("""COMPUTED_VALUE"""),"Fallback Campaign")</f>
        <v>Fallback Campaign</v>
      </c>
      <c r="E71" s="211" t="str">
        <f>IFERROR(__xludf.DUMMYFUNCTION("""COMPUTED_VALUE"""),"VS")</f>
        <v>VS</v>
      </c>
      <c r="F71" s="211" t="str">
        <f>IFERROR(__xludf.DUMMYFUNCTION("""COMPUTED_VALUE"""),"Scent Event")</f>
        <v>Scent Event</v>
      </c>
      <c r="G71" s="218" t="str">
        <f>IFERROR(__xludf.DUMMYFUNCTION("""COMPUTED_VALUE"""),"Scent Event - BTY-CX - 5_Feb Off - FB (WA+RCS)")</f>
        <v>Scent Event - BTY-CX - 5_Feb Off - FB (WA+RCS)</v>
      </c>
      <c r="H71" s="218" t="str">
        <f>IFERROR(__xludf.DUMMYFUNCTION("""COMPUTED_VALUE"""),"vs_off_pr_catmov_2ndFeb")</f>
        <v>vs_off_pr_catmov_2ndFeb</v>
      </c>
      <c r="I71" s="212" t="str">
        <f>IFERROR(__xludf.DUMMYFUNCTION("""COMPUTED_VALUE"""),"WA Undelivered")</f>
        <v>WA Undelivered</v>
      </c>
      <c r="J71" s="213">
        <f>IFERROR(__xludf.DUMMYFUNCTION("""COMPUTED_VALUE"""),10251.0)</f>
        <v>10251</v>
      </c>
      <c r="K71" s="213">
        <f>IFERROR(__xludf.DUMMYFUNCTION("""COMPUTED_VALUE"""),6318.0)</f>
        <v>6318</v>
      </c>
      <c r="L71" s="214">
        <f>IFERROR(__xludf.DUMMYFUNCTION("""COMPUTED_VALUE"""),0.6163)</f>
        <v>0.6163</v>
      </c>
      <c r="M71" s="213"/>
      <c r="N71" s="214"/>
      <c r="O71" s="101">
        <f>IFERROR(__xludf.DUMMYFUNCTION("""COMPUTED_VALUE"""),12.0)</f>
        <v>12</v>
      </c>
      <c r="P71" s="101"/>
      <c r="Q71" s="214">
        <f>IFERROR(__xludf.DUMMYFUNCTION("""COMPUTED_VALUE"""),0.0019)</f>
        <v>0.0019</v>
      </c>
      <c r="R71" s="214"/>
      <c r="S71" s="101">
        <f>IFERROR(__xludf.DUMMYFUNCTION("""COMPUTED_VALUE"""),1.0)</f>
        <v>1</v>
      </c>
      <c r="T71" s="101">
        <f>IFERROR(__xludf.DUMMYFUNCTION("""COMPUTED_VALUE"""),0.0)</f>
        <v>0</v>
      </c>
      <c r="U71" s="213">
        <f>IFERROR(__xludf.DUMMYFUNCTION("""COMPUTED_VALUE"""),1898.0)</f>
        <v>1898</v>
      </c>
      <c r="V71" s="213" t="str">
        <f>IFERROR(__xludf.DUMMYFUNCTION("""COMPUTED_VALUE"""),"offline")</f>
        <v>offline</v>
      </c>
      <c r="W71" s="98" t="str">
        <f>IFERROR(__xludf.DUMMYFUNCTION("""COMPUTED_VALUE"""),"SMS")</f>
        <v>SMS</v>
      </c>
      <c r="X71" s="98" t="str">
        <f>IFERROR(__xludf.DUMMYFUNCTION("""COMPUTED_VALUE"""),"Category Movers")</f>
        <v>Category Movers</v>
      </c>
      <c r="Y71" s="98" t="str">
        <f>IFERROR(__xludf.DUMMYFUNCTION("""COMPUTED_VALUE"""),"5th - 8th Feb")</f>
        <v>5th - 8th Feb</v>
      </c>
      <c r="Z71" s="98" t="str">
        <f>IFERROR(__xludf.DUMMYFUNCTION("""COMPUTED_VALUE"""),"69833315efe083ca63ed1c27")</f>
        <v>69833315efe083ca63ed1c27</v>
      </c>
      <c r="AA71" s="98">
        <f>IFERROR(__xludf.DUMMYFUNCTION("""COMPUTED_VALUE"""),18.0)</f>
        <v>18</v>
      </c>
      <c r="AB71" s="98"/>
      <c r="AC71" s="98">
        <f>IFERROR(__xludf.DUMMYFUNCTION("""COMPUTED_VALUE"""),18.0)</f>
        <v>18</v>
      </c>
      <c r="AD71" s="98">
        <f>IFERROR(__xludf.DUMMYFUNCTION("""COMPUTED_VALUE"""),84887.0)</f>
        <v>84887</v>
      </c>
      <c r="AE71" s="98"/>
      <c r="AF71" s="98">
        <f>IFERROR(__xludf.DUMMYFUNCTION("""COMPUTED_VALUE"""),84887.0)</f>
        <v>84887</v>
      </c>
      <c r="AG71" s="208"/>
      <c r="AH71" s="208"/>
      <c r="AI71" s="208"/>
      <c r="AJ71" s="208"/>
      <c r="AK71" s="208"/>
    </row>
    <row r="72">
      <c r="A72" s="215">
        <f>IFERROR(__xludf.DUMMYFUNCTION("""COMPUTED_VALUE"""),46058.0)</f>
        <v>46058</v>
      </c>
      <c r="B72" s="210">
        <f>IFERROR(__xludf.DUMMYFUNCTION("""COMPUTED_VALUE"""),0.5)</f>
        <v>0.5</v>
      </c>
      <c r="C72" s="211" t="str">
        <f>IFERROR(__xludf.DUMMYFUNCTION("""COMPUTED_VALUE"""),"Sms")</f>
        <v>Sms</v>
      </c>
      <c r="D72" s="211" t="str">
        <f>IFERROR(__xludf.DUMMYFUNCTION("""COMPUTED_VALUE"""),"Fallback Campaign")</f>
        <v>Fallback Campaign</v>
      </c>
      <c r="E72" s="211" t="str">
        <f>IFERROR(__xludf.DUMMYFUNCTION("""COMPUTED_VALUE"""),"VS")</f>
        <v>VS</v>
      </c>
      <c r="F72" s="211" t="str">
        <f>IFERROR(__xludf.DUMMYFUNCTION("""COMPUTED_VALUE"""),"Scent Event")</f>
        <v>Scent Event</v>
      </c>
      <c r="G72" s="218" t="str">
        <f>IFERROR(__xludf.DUMMYFUNCTION("""COMPUTED_VALUE"""),"Scent Event - Genric - 5_Feb Off - FB (WA+RCS)")</f>
        <v>Scent Event - Genric - 5_Feb Off - FB (WA+RCS)</v>
      </c>
      <c r="H72" s="218" t="str">
        <f>IFERROR(__xludf.DUMMYFUNCTION("""COMPUTED_VALUE"""),"vs_off_pr_gen_2ndFeb")</f>
        <v>vs_off_pr_gen_2ndFeb</v>
      </c>
      <c r="I72" s="212" t="str">
        <f>IFERROR(__xludf.DUMMYFUNCTION("""COMPUTED_VALUE"""),"WA Undelivered")</f>
        <v>WA Undelivered</v>
      </c>
      <c r="J72" s="213">
        <f>IFERROR(__xludf.DUMMYFUNCTION("""COMPUTED_VALUE"""),24471.0)</f>
        <v>24471</v>
      </c>
      <c r="K72" s="213">
        <f>IFERROR(__xludf.DUMMYFUNCTION("""COMPUTED_VALUE"""),15546.0)</f>
        <v>15546</v>
      </c>
      <c r="L72" s="214">
        <f>IFERROR(__xludf.DUMMYFUNCTION("""COMPUTED_VALUE"""),0.6353)</f>
        <v>0.6353</v>
      </c>
      <c r="M72" s="213"/>
      <c r="N72" s="214"/>
      <c r="O72" s="101">
        <f>IFERROR(__xludf.DUMMYFUNCTION("""COMPUTED_VALUE"""),20.0)</f>
        <v>20</v>
      </c>
      <c r="P72" s="101"/>
      <c r="Q72" s="214">
        <f>IFERROR(__xludf.DUMMYFUNCTION("""COMPUTED_VALUE"""),0.0013)</f>
        <v>0.0013</v>
      </c>
      <c r="R72" s="214"/>
      <c r="S72" s="101">
        <f>IFERROR(__xludf.DUMMYFUNCTION("""COMPUTED_VALUE"""),1.0)</f>
        <v>1</v>
      </c>
      <c r="T72" s="101">
        <f>IFERROR(__xludf.DUMMYFUNCTION("""COMPUTED_VALUE"""),3.0)</f>
        <v>3</v>
      </c>
      <c r="U72" s="213">
        <f>IFERROR(__xludf.DUMMYFUNCTION("""COMPUTED_VALUE"""),5173.0)</f>
        <v>5173</v>
      </c>
      <c r="V72" s="213" t="str">
        <f>IFERROR(__xludf.DUMMYFUNCTION("""COMPUTED_VALUE"""),"offline")</f>
        <v>offline</v>
      </c>
      <c r="W72" s="98" t="str">
        <f>IFERROR(__xludf.DUMMYFUNCTION("""COMPUTED_VALUE"""),"SMS")</f>
        <v>SMS</v>
      </c>
      <c r="X72" s="98" t="str">
        <f>IFERROR(__xludf.DUMMYFUNCTION("""COMPUTED_VALUE"""),"Generic")</f>
        <v>Generic</v>
      </c>
      <c r="Y72" s="98" t="str">
        <f>IFERROR(__xludf.DUMMYFUNCTION("""COMPUTED_VALUE"""),"5th - 8th Feb")</f>
        <v>5th - 8th Feb</v>
      </c>
      <c r="Z72" s="98" t="str">
        <f>IFERROR(__xludf.DUMMYFUNCTION("""COMPUTED_VALUE"""),"6983334092fa9ffbdab36eb2")</f>
        <v>6983334092fa9ffbdab36eb2</v>
      </c>
      <c r="AA72" s="98">
        <f>IFERROR(__xludf.DUMMYFUNCTION("""COMPUTED_VALUE"""),22.0)</f>
        <v>22</v>
      </c>
      <c r="AB72" s="98"/>
      <c r="AC72" s="98">
        <f>IFERROR(__xludf.DUMMYFUNCTION("""COMPUTED_VALUE"""),22.0)</f>
        <v>22</v>
      </c>
      <c r="AD72" s="98">
        <f>IFERROR(__xludf.DUMMYFUNCTION("""COMPUTED_VALUE"""),98331.0)</f>
        <v>98331</v>
      </c>
      <c r="AE72" s="98"/>
      <c r="AF72" s="98">
        <f>IFERROR(__xludf.DUMMYFUNCTION("""COMPUTED_VALUE"""),98331.0)</f>
        <v>98331</v>
      </c>
      <c r="AG72" s="208"/>
      <c r="AH72" s="208"/>
      <c r="AI72" s="208"/>
      <c r="AJ72" s="208"/>
      <c r="AK72" s="208"/>
    </row>
    <row r="73">
      <c r="A73" s="215">
        <f>IFERROR(__xludf.DUMMYFUNCTION("""COMPUTED_VALUE"""),46060.0)</f>
        <v>46060</v>
      </c>
      <c r="B73" s="210">
        <f>IFERROR(__xludf.DUMMYFUNCTION("""COMPUTED_VALUE"""),0.4375)</f>
        <v>0.4375</v>
      </c>
      <c r="C73" s="211" t="str">
        <f>IFERROR(__xludf.DUMMYFUNCTION("""COMPUTED_VALUE"""),"Whatsapp")</f>
        <v>Whatsapp</v>
      </c>
      <c r="D73" s="211" t="str">
        <f>IFERROR(__xludf.DUMMYFUNCTION("""COMPUTED_VALUE"""),"Fallback Campaign")</f>
        <v>Fallback Campaign</v>
      </c>
      <c r="E73" s="211" t="str">
        <f>IFERROR(__xludf.DUMMYFUNCTION("""COMPUTED_VALUE"""),"VS")</f>
        <v>VS</v>
      </c>
      <c r="F73" s="211" t="str">
        <f>IFERROR(__xludf.DUMMYFUNCTION("""COMPUTED_VALUE"""),"Scent Event")</f>
        <v>Scent Event</v>
      </c>
      <c r="G73" s="218" t="str">
        <f>IFERROR(__xludf.DUMMYFUNCTION("""COMPUTED_VALUE"""),"Scent Event - Event-CX - 7_Feb On+Off - FB")</f>
        <v>Scent Event - Event-CX - 7_Feb On+Off - FB</v>
      </c>
      <c r="H73" s="218" t="str">
        <f>IFERROR(__xludf.DUMMYFUNCTION("""COMPUTED_VALUE"""),"Scent_Event_Purchasers_OnOff")</f>
        <v>Scent_Event_Purchasers_OnOff</v>
      </c>
      <c r="I73" s="212" t="str">
        <f>IFERROR(__xludf.DUMMYFUNCTION("""COMPUTED_VALUE"""),"RCS Delivery Failed")</f>
        <v>RCS Delivery Failed</v>
      </c>
      <c r="J73" s="213">
        <f>IFERROR(__xludf.DUMMYFUNCTION("""COMPUTED_VALUE"""),17223.0)</f>
        <v>17223</v>
      </c>
      <c r="K73" s="213">
        <f>IFERROR(__xludf.DUMMYFUNCTION("""COMPUTED_VALUE"""),7652.0)</f>
        <v>7652</v>
      </c>
      <c r="L73" s="214">
        <f>IFERROR(__xludf.DUMMYFUNCTION("""COMPUTED_VALUE"""),0.4443)</f>
        <v>0.4443</v>
      </c>
      <c r="M73" s="213">
        <f>IFERROR(__xludf.DUMMYFUNCTION("""COMPUTED_VALUE"""),1413.0)</f>
        <v>1413</v>
      </c>
      <c r="N73" s="214">
        <f>IFERROR(__xludf.DUMMYFUNCTION("""COMPUTED_VALUE"""),0.1847)</f>
        <v>0.1847</v>
      </c>
      <c r="O73" s="101">
        <f>IFERROR(__xludf.DUMMYFUNCTION("""COMPUTED_VALUE"""),100.0)</f>
        <v>100</v>
      </c>
      <c r="P73" s="101">
        <f>IFERROR(__xludf.DUMMYFUNCTION("""COMPUTED_VALUE"""),92.0)</f>
        <v>92</v>
      </c>
      <c r="Q73" s="214">
        <f>IFERROR(__xludf.DUMMYFUNCTION("""COMPUTED_VALUE"""),0.012)</f>
        <v>0.012</v>
      </c>
      <c r="R73" s="214">
        <f>IFERROR(__xludf.DUMMYFUNCTION("""COMPUTED_VALUE"""),0.0651)</f>
        <v>0.0651</v>
      </c>
      <c r="S73" s="101">
        <f>IFERROR(__xludf.DUMMYFUNCTION("""COMPUTED_VALUE"""),0.0)</f>
        <v>0</v>
      </c>
      <c r="T73" s="101">
        <f>IFERROR(__xludf.DUMMYFUNCTION("""COMPUTED_VALUE"""),6.0)</f>
        <v>6</v>
      </c>
      <c r="U73" s="213">
        <f>IFERROR(__xludf.DUMMYFUNCTION("""COMPUTED_VALUE"""),0.0)</f>
        <v>0</v>
      </c>
      <c r="V73" s="213" t="str">
        <f>IFERROR(__xludf.DUMMYFUNCTION("""COMPUTED_VALUE"""),"overall")</f>
        <v>overall</v>
      </c>
      <c r="W73" s="98" t="str">
        <f>IFERROR(__xludf.DUMMYFUNCTION("""COMPUTED_VALUE"""),"simple")</f>
        <v>simple</v>
      </c>
      <c r="X73" s="98" t="str">
        <f>IFERROR(__xludf.DUMMYFUNCTION("""COMPUTED_VALUE"""),"Event Buyers")</f>
        <v>Event Buyers</v>
      </c>
      <c r="Y73" s="98" t="str">
        <f>IFERROR(__xludf.DUMMYFUNCTION("""COMPUTED_VALUE"""),"07th - 08th Feb")</f>
        <v>07th - 08th Feb</v>
      </c>
      <c r="Z73" s="98" t="str">
        <f>IFERROR(__xludf.DUMMYFUNCTION("""COMPUTED_VALUE"""),"69847bd73a42a186689edb2c")</f>
        <v>69847bd73a42a186689edb2c</v>
      </c>
      <c r="AA73" s="98">
        <f>IFERROR(__xludf.DUMMYFUNCTION("""COMPUTED_VALUE"""),14.0)</f>
        <v>14</v>
      </c>
      <c r="AB73" s="98">
        <f>IFERROR(__xludf.DUMMYFUNCTION("""COMPUTED_VALUE"""),8.0)</f>
        <v>8</v>
      </c>
      <c r="AC73" s="98">
        <f>IFERROR(__xludf.DUMMYFUNCTION("""COMPUTED_VALUE"""),6.0)</f>
        <v>6</v>
      </c>
      <c r="AD73" s="98">
        <f>IFERROR(__xludf.DUMMYFUNCTION("""COMPUTED_VALUE"""),121961.0)</f>
        <v>121961</v>
      </c>
      <c r="AE73" s="98">
        <f>IFERROR(__xludf.DUMMYFUNCTION("""COMPUTED_VALUE"""),26617.0)</f>
        <v>26617</v>
      </c>
      <c r="AF73" s="98">
        <f>IFERROR(__xludf.DUMMYFUNCTION("""COMPUTED_VALUE"""),95344.0)</f>
        <v>95344</v>
      </c>
      <c r="AG73" s="208"/>
      <c r="AH73" s="208"/>
      <c r="AI73" s="208"/>
      <c r="AJ73" s="208"/>
      <c r="AK73" s="208"/>
    </row>
    <row r="74">
      <c r="A74" s="215">
        <f>IFERROR(__xludf.DUMMYFUNCTION("""COMPUTED_VALUE"""),46060.0)</f>
        <v>46060</v>
      </c>
      <c r="B74" s="210">
        <f>IFERROR(__xludf.DUMMYFUNCTION("""COMPUTED_VALUE"""),0.44097222222262644)</f>
        <v>0.4409722222</v>
      </c>
      <c r="C74" s="211" t="str">
        <f>IFERROR(__xludf.DUMMYFUNCTION("""COMPUTED_VALUE"""),"Whatsapp")</f>
        <v>Whatsapp</v>
      </c>
      <c r="D74" s="211" t="str">
        <f>IFERROR(__xludf.DUMMYFUNCTION("""COMPUTED_VALUE"""),"Fallback Campaign")</f>
        <v>Fallback Campaign</v>
      </c>
      <c r="E74" s="211" t="str">
        <f>IFERROR(__xludf.DUMMYFUNCTION("""COMPUTED_VALUE"""),"VS")</f>
        <v>VS</v>
      </c>
      <c r="F74" s="211" t="str">
        <f>IFERROR(__xludf.DUMMYFUNCTION("""COMPUTED_VALUE"""),"Scent Event")</f>
        <v>Scent Event</v>
      </c>
      <c r="G74" s="218" t="str">
        <f>IFERROR(__xludf.DUMMYFUNCTION("""COMPUTED_VALUE"""),"Scent Event - Recent-CX - 5_Feb Off - FB")</f>
        <v>Scent Event - Recent-CX - 5_Feb Off - FB</v>
      </c>
      <c r="H74" s="218" t="str">
        <f>IFERROR(__xludf.DUMMYFUNCTION("""COMPUTED_VALUE"""),"vs_off_pr_frag_recent_2ndFeb")</f>
        <v>vs_off_pr_frag_recent_2ndFeb</v>
      </c>
      <c r="I74" s="212" t="str">
        <f>IFERROR(__xludf.DUMMYFUNCTION("""COMPUTED_VALUE"""),"RCS Delivery Failed")</f>
        <v>RCS Delivery Failed</v>
      </c>
      <c r="J74" s="213">
        <f>IFERROR(__xludf.DUMMYFUNCTION("""COMPUTED_VALUE"""),21144.0)</f>
        <v>21144</v>
      </c>
      <c r="K74" s="213">
        <f>IFERROR(__xludf.DUMMYFUNCTION("""COMPUTED_VALUE"""),10298.0)</f>
        <v>10298</v>
      </c>
      <c r="L74" s="214">
        <f>IFERROR(__xludf.DUMMYFUNCTION("""COMPUTED_VALUE"""),0.487)</f>
        <v>0.487</v>
      </c>
      <c r="M74" s="213">
        <f>IFERROR(__xludf.DUMMYFUNCTION("""COMPUTED_VALUE"""),2250.0)</f>
        <v>2250</v>
      </c>
      <c r="N74" s="214">
        <f>IFERROR(__xludf.DUMMYFUNCTION("""COMPUTED_VALUE"""),0.2185)</f>
        <v>0.2185</v>
      </c>
      <c r="O74" s="101">
        <f>IFERROR(__xludf.DUMMYFUNCTION("""COMPUTED_VALUE"""),157.0)</f>
        <v>157</v>
      </c>
      <c r="P74" s="101">
        <f>IFERROR(__xludf.DUMMYFUNCTION("""COMPUTED_VALUE"""),148.0)</f>
        <v>148</v>
      </c>
      <c r="Q74" s="214">
        <f>IFERROR(__xludf.DUMMYFUNCTION("""COMPUTED_VALUE"""),0.0144)</f>
        <v>0.0144</v>
      </c>
      <c r="R74" s="214">
        <f>IFERROR(__xludf.DUMMYFUNCTION("""COMPUTED_VALUE"""),0.0658)</f>
        <v>0.0658</v>
      </c>
      <c r="S74" s="101">
        <f>IFERROR(__xludf.DUMMYFUNCTION("""COMPUTED_VALUE"""),1.0)</f>
        <v>1</v>
      </c>
      <c r="T74" s="101">
        <f>IFERROR(__xludf.DUMMYFUNCTION("""COMPUTED_VALUE"""),5.0)</f>
        <v>5</v>
      </c>
      <c r="U74" s="213">
        <f>IFERROR(__xludf.DUMMYFUNCTION("""COMPUTED_VALUE"""),2518.0)</f>
        <v>2518</v>
      </c>
      <c r="V74" s="213" t="str">
        <f>IFERROR(__xludf.DUMMYFUNCTION("""COMPUTED_VALUE"""),"overall")</f>
        <v>overall</v>
      </c>
      <c r="W74" s="98" t="str">
        <f>IFERROR(__xludf.DUMMYFUNCTION("""COMPUTED_VALUE"""),"simple")</f>
        <v>simple</v>
      </c>
      <c r="X74" s="98" t="str">
        <f>IFERROR(__xludf.DUMMYFUNCTION("""COMPUTED_VALUE"""),"Recent")</f>
        <v>Recent</v>
      </c>
      <c r="Y74" s="98" t="str">
        <f>IFERROR(__xludf.DUMMYFUNCTION("""COMPUTED_VALUE"""),"07th - 08th Feb")</f>
        <v>07th - 08th Feb</v>
      </c>
      <c r="Z74" s="98" t="str">
        <f>IFERROR(__xludf.DUMMYFUNCTION("""COMPUTED_VALUE"""),"69847c899a30dc7ea6c9924b")</f>
        <v>69847c899a30dc7ea6c9924b</v>
      </c>
      <c r="AA74" s="98">
        <f>IFERROR(__xludf.DUMMYFUNCTION("""COMPUTED_VALUE"""),11.0)</f>
        <v>11</v>
      </c>
      <c r="AB74" s="98">
        <f>IFERROR(__xludf.DUMMYFUNCTION("""COMPUTED_VALUE"""),4.0)</f>
        <v>4</v>
      </c>
      <c r="AC74" s="98">
        <f>IFERROR(__xludf.DUMMYFUNCTION("""COMPUTED_VALUE"""),7.0)</f>
        <v>7</v>
      </c>
      <c r="AD74" s="98">
        <f>IFERROR(__xludf.DUMMYFUNCTION("""COMPUTED_VALUE"""),38804.0)</f>
        <v>38804</v>
      </c>
      <c r="AE74" s="98">
        <f>IFERROR(__xludf.DUMMYFUNCTION("""COMPUTED_VALUE"""),13012.0)</f>
        <v>13012</v>
      </c>
      <c r="AF74" s="98">
        <f>IFERROR(__xludf.DUMMYFUNCTION("""COMPUTED_VALUE"""),25792.0)</f>
        <v>25792</v>
      </c>
      <c r="AG74" s="208"/>
      <c r="AH74" s="208"/>
      <c r="AI74" s="208"/>
      <c r="AJ74" s="208"/>
      <c r="AK74" s="208"/>
    </row>
    <row r="75">
      <c r="A75" s="215">
        <f>IFERROR(__xludf.DUMMYFUNCTION("""COMPUTED_VALUE"""),46060.0)</f>
        <v>46060</v>
      </c>
      <c r="B75" s="210">
        <f>IFERROR(__xludf.DUMMYFUNCTION("""COMPUTED_VALUE"""),0.4444444444452529)</f>
        <v>0.4444444444</v>
      </c>
      <c r="C75" s="211" t="str">
        <f>IFERROR(__xludf.DUMMYFUNCTION("""COMPUTED_VALUE"""),"Whatsapp")</f>
        <v>Whatsapp</v>
      </c>
      <c r="D75" s="211" t="str">
        <f>IFERROR(__xludf.DUMMYFUNCTION("""COMPUTED_VALUE"""),"Fallback Campaign")</f>
        <v>Fallback Campaign</v>
      </c>
      <c r="E75" s="211" t="str">
        <f>IFERROR(__xludf.DUMMYFUNCTION("""COMPUTED_VALUE"""),"VS")</f>
        <v>VS</v>
      </c>
      <c r="F75" s="211" t="str">
        <f>IFERROR(__xludf.DUMMYFUNCTION("""COMPUTED_VALUE"""),"Scent Event")</f>
        <v>Scent Event</v>
      </c>
      <c r="G75" s="218" t="str">
        <f>IFERROR(__xludf.DUMMYFUNCTION("""COMPUTED_VALUE"""),"Scent Event - Loyal-CX - 5_Feb Off - FB")</f>
        <v>Scent Event - Loyal-CX - 5_Feb Off - FB</v>
      </c>
      <c r="H75" s="218" t="str">
        <f>IFERROR(__xludf.DUMMYFUNCTION("""COMPUTED_VALUE"""),"vs_off_pr_frag_loyal_2ndFeb")</f>
        <v>vs_off_pr_frag_loyal_2ndFeb</v>
      </c>
      <c r="I75" s="212" t="str">
        <f>IFERROR(__xludf.DUMMYFUNCTION("""COMPUTED_VALUE"""),"RCS Delivery Failed")</f>
        <v>RCS Delivery Failed</v>
      </c>
      <c r="J75" s="213">
        <f>IFERROR(__xludf.DUMMYFUNCTION("""COMPUTED_VALUE"""),7523.0)</f>
        <v>7523</v>
      </c>
      <c r="K75" s="213">
        <f>IFERROR(__xludf.DUMMYFUNCTION("""COMPUTED_VALUE"""),3933.0)</f>
        <v>3933</v>
      </c>
      <c r="L75" s="214">
        <f>IFERROR(__xludf.DUMMYFUNCTION("""COMPUTED_VALUE"""),0.5228)</f>
        <v>0.5228</v>
      </c>
      <c r="M75" s="213">
        <f>IFERROR(__xludf.DUMMYFUNCTION("""COMPUTED_VALUE"""),814.0)</f>
        <v>814</v>
      </c>
      <c r="N75" s="214">
        <f>IFERROR(__xludf.DUMMYFUNCTION("""COMPUTED_VALUE"""),0.207)</f>
        <v>0.207</v>
      </c>
      <c r="O75" s="101">
        <f>IFERROR(__xludf.DUMMYFUNCTION("""COMPUTED_VALUE"""),84.0)</f>
        <v>84</v>
      </c>
      <c r="P75" s="101">
        <f>IFERROR(__xludf.DUMMYFUNCTION("""COMPUTED_VALUE"""),79.0)</f>
        <v>79</v>
      </c>
      <c r="Q75" s="214">
        <f>IFERROR(__xludf.DUMMYFUNCTION("""COMPUTED_VALUE"""),0.0201)</f>
        <v>0.0201</v>
      </c>
      <c r="R75" s="214">
        <f>IFERROR(__xludf.DUMMYFUNCTION("""COMPUTED_VALUE"""),0.0971)</f>
        <v>0.0971</v>
      </c>
      <c r="S75" s="101">
        <f>IFERROR(__xludf.DUMMYFUNCTION("""COMPUTED_VALUE"""),1.0)</f>
        <v>1</v>
      </c>
      <c r="T75" s="101">
        <f>IFERROR(__xludf.DUMMYFUNCTION("""COMPUTED_VALUE"""),6.0)</f>
        <v>6</v>
      </c>
      <c r="U75" s="213">
        <f>IFERROR(__xludf.DUMMYFUNCTION("""COMPUTED_VALUE"""),5845.0)</f>
        <v>5845</v>
      </c>
      <c r="V75" s="213" t="str">
        <f>IFERROR(__xludf.DUMMYFUNCTION("""COMPUTED_VALUE"""),"overall")</f>
        <v>overall</v>
      </c>
      <c r="W75" s="98" t="str">
        <f>IFERROR(__xludf.DUMMYFUNCTION("""COMPUTED_VALUE"""),"simple")</f>
        <v>simple</v>
      </c>
      <c r="X75" s="98" t="str">
        <f>IFERROR(__xludf.DUMMYFUNCTION("""COMPUTED_VALUE"""),"Loyal")</f>
        <v>Loyal</v>
      </c>
      <c r="Y75" s="98" t="str">
        <f>IFERROR(__xludf.DUMMYFUNCTION("""COMPUTED_VALUE"""),"07th - 08th Feb")</f>
        <v>07th - 08th Feb</v>
      </c>
      <c r="Z75" s="98" t="str">
        <f>IFERROR(__xludf.DUMMYFUNCTION("""COMPUTED_VALUE"""),"69847cfb2139c2c78311eadb")</f>
        <v>69847cfb2139c2c78311eadb</v>
      </c>
      <c r="AA75" s="98">
        <f>IFERROR(__xludf.DUMMYFUNCTION("""COMPUTED_VALUE"""),7.0)</f>
        <v>7</v>
      </c>
      <c r="AB75" s="98">
        <f>IFERROR(__xludf.DUMMYFUNCTION("""COMPUTED_VALUE"""),4.0)</f>
        <v>4</v>
      </c>
      <c r="AC75" s="98">
        <f>IFERROR(__xludf.DUMMYFUNCTION("""COMPUTED_VALUE"""),3.0)</f>
        <v>3</v>
      </c>
      <c r="AD75" s="98">
        <f>IFERROR(__xludf.DUMMYFUNCTION("""COMPUTED_VALUE"""),28697.0)</f>
        <v>28697</v>
      </c>
      <c r="AE75" s="98">
        <f>IFERROR(__xludf.DUMMYFUNCTION("""COMPUTED_VALUE"""),11301.0)</f>
        <v>11301</v>
      </c>
      <c r="AF75" s="98">
        <f>IFERROR(__xludf.DUMMYFUNCTION("""COMPUTED_VALUE"""),17396.0)</f>
        <v>17396</v>
      </c>
      <c r="AG75" s="208"/>
      <c r="AH75" s="208"/>
      <c r="AI75" s="208"/>
      <c r="AJ75" s="208"/>
      <c r="AK75" s="208"/>
    </row>
    <row r="76">
      <c r="A76" s="215">
        <f>IFERROR(__xludf.DUMMYFUNCTION("""COMPUTED_VALUE"""),46060.0)</f>
        <v>46060</v>
      </c>
      <c r="B76" s="210">
        <f>IFERROR(__xludf.DUMMYFUNCTION("""COMPUTED_VALUE"""),0.4479166666678793)</f>
        <v>0.4479166667</v>
      </c>
      <c r="C76" s="211" t="str">
        <f>IFERROR(__xludf.DUMMYFUNCTION("""COMPUTED_VALUE"""),"Whatsapp")</f>
        <v>Whatsapp</v>
      </c>
      <c r="D76" s="211" t="str">
        <f>IFERROR(__xludf.DUMMYFUNCTION("""COMPUTED_VALUE"""),"Fallback Campaign")</f>
        <v>Fallback Campaign</v>
      </c>
      <c r="E76" s="211" t="str">
        <f>IFERROR(__xludf.DUMMYFUNCTION("""COMPUTED_VALUE"""),"VS")</f>
        <v>VS</v>
      </c>
      <c r="F76" s="211" t="str">
        <f>IFERROR(__xludf.DUMMYFUNCTION("""COMPUTED_VALUE"""),"Scent Event")</f>
        <v>Scent Event</v>
      </c>
      <c r="G76" s="218" t="str">
        <f>IFERROR(__xludf.DUMMYFUNCTION("""COMPUTED_VALUE"""),"Scent Event - Lingerie-CX - 5_Feb Off - FB")</f>
        <v>Scent Event - Lingerie-CX - 5_Feb Off - FB</v>
      </c>
      <c r="H76" s="218" t="str">
        <f>IFERROR(__xludf.DUMMYFUNCTION("""COMPUTED_VALUE"""),"vs_off_subcatmov_2ndFeb")</f>
        <v>vs_off_subcatmov_2ndFeb</v>
      </c>
      <c r="I76" s="212" t="str">
        <f>IFERROR(__xludf.DUMMYFUNCTION("""COMPUTED_VALUE"""),"RCS Delivery Failed")</f>
        <v>RCS Delivery Failed</v>
      </c>
      <c r="J76" s="213">
        <f>IFERROR(__xludf.DUMMYFUNCTION("""COMPUTED_VALUE"""),54573.0)</f>
        <v>54573</v>
      </c>
      <c r="K76" s="213">
        <f>IFERROR(__xludf.DUMMYFUNCTION("""COMPUTED_VALUE"""),21436.0)</f>
        <v>21436</v>
      </c>
      <c r="L76" s="214">
        <f>IFERROR(__xludf.DUMMYFUNCTION("""COMPUTED_VALUE"""),0.3928)</f>
        <v>0.3928</v>
      </c>
      <c r="M76" s="213">
        <f>IFERROR(__xludf.DUMMYFUNCTION("""COMPUTED_VALUE"""),2968.0)</f>
        <v>2968</v>
      </c>
      <c r="N76" s="214">
        <f>IFERROR(__xludf.DUMMYFUNCTION("""COMPUTED_VALUE"""),0.1385)</f>
        <v>0.1385</v>
      </c>
      <c r="O76" s="101">
        <f>IFERROR(__xludf.DUMMYFUNCTION("""COMPUTED_VALUE"""),126.0)</f>
        <v>126</v>
      </c>
      <c r="P76" s="101">
        <f>IFERROR(__xludf.DUMMYFUNCTION("""COMPUTED_VALUE"""),118.0)</f>
        <v>118</v>
      </c>
      <c r="Q76" s="214">
        <f>IFERROR(__xludf.DUMMYFUNCTION("""COMPUTED_VALUE"""),0.0055)</f>
        <v>0.0055</v>
      </c>
      <c r="R76" s="214">
        <f>IFERROR(__xludf.DUMMYFUNCTION("""COMPUTED_VALUE"""),0.0398)</f>
        <v>0.0398</v>
      </c>
      <c r="S76" s="101">
        <f>IFERROR(__xludf.DUMMYFUNCTION("""COMPUTED_VALUE"""),4.0)</f>
        <v>4</v>
      </c>
      <c r="T76" s="101">
        <f>IFERROR(__xludf.DUMMYFUNCTION("""COMPUTED_VALUE"""),16.0)</f>
        <v>16</v>
      </c>
      <c r="U76" s="213">
        <f>IFERROR(__xludf.DUMMYFUNCTION("""COMPUTED_VALUE"""),26826.0)</f>
        <v>26826</v>
      </c>
      <c r="V76" s="213" t="str">
        <f>IFERROR(__xludf.DUMMYFUNCTION("""COMPUTED_VALUE"""),"overall")</f>
        <v>overall</v>
      </c>
      <c r="W76" s="98" t="str">
        <f>IFERROR(__xludf.DUMMYFUNCTION("""COMPUTED_VALUE"""),"simple")</f>
        <v>simple</v>
      </c>
      <c r="X76" s="98" t="str">
        <f>IFERROR(__xludf.DUMMYFUNCTION("""COMPUTED_VALUE"""),"Sub-Category Movers")</f>
        <v>Sub-Category Movers</v>
      </c>
      <c r="Y76" s="98" t="str">
        <f>IFERROR(__xludf.DUMMYFUNCTION("""COMPUTED_VALUE"""),"07th - 08th Feb")</f>
        <v>07th - 08th Feb</v>
      </c>
      <c r="Z76" s="98" t="str">
        <f>IFERROR(__xludf.DUMMYFUNCTION("""COMPUTED_VALUE"""),"69847d872139c2c78311eb6a")</f>
        <v>69847d872139c2c78311eb6a</v>
      </c>
      <c r="AA76" s="98">
        <f>IFERROR(__xludf.DUMMYFUNCTION("""COMPUTED_VALUE"""),21.0)</f>
        <v>21</v>
      </c>
      <c r="AB76" s="98">
        <f>IFERROR(__xludf.DUMMYFUNCTION("""COMPUTED_VALUE"""),9.0)</f>
        <v>9</v>
      </c>
      <c r="AC76" s="98">
        <f>IFERROR(__xludf.DUMMYFUNCTION("""COMPUTED_VALUE"""),12.0)</f>
        <v>12</v>
      </c>
      <c r="AD76" s="98">
        <f>IFERROR(__xludf.DUMMYFUNCTION("""COMPUTED_VALUE"""),238074.0)</f>
        <v>238074</v>
      </c>
      <c r="AE76" s="98">
        <f>IFERROR(__xludf.DUMMYFUNCTION("""COMPUTED_VALUE"""),71782.0)</f>
        <v>71782</v>
      </c>
      <c r="AF76" s="98">
        <f>IFERROR(__xludf.DUMMYFUNCTION("""COMPUTED_VALUE"""),166292.0)</f>
        <v>166292</v>
      </c>
      <c r="AG76" s="208"/>
      <c r="AH76" s="208"/>
      <c r="AI76" s="208"/>
      <c r="AJ76" s="208"/>
      <c r="AK76" s="208"/>
    </row>
    <row r="77">
      <c r="A77" s="215">
        <f>IFERROR(__xludf.DUMMYFUNCTION("""COMPUTED_VALUE"""),46060.0)</f>
        <v>46060</v>
      </c>
      <c r="B77" s="210">
        <f>IFERROR(__xludf.DUMMYFUNCTION("""COMPUTED_VALUE"""),0.45138888889050577)</f>
        <v>0.4513888889</v>
      </c>
      <c r="C77" s="211" t="str">
        <f>IFERROR(__xludf.DUMMYFUNCTION("""COMPUTED_VALUE"""),"Whatsapp")</f>
        <v>Whatsapp</v>
      </c>
      <c r="D77" s="211" t="str">
        <f>IFERROR(__xludf.DUMMYFUNCTION("""COMPUTED_VALUE"""),"Fallback Campaign")</f>
        <v>Fallback Campaign</v>
      </c>
      <c r="E77" s="211" t="str">
        <f>IFERROR(__xludf.DUMMYFUNCTION("""COMPUTED_VALUE"""),"VS")</f>
        <v>VS</v>
      </c>
      <c r="F77" s="211" t="str">
        <f>IFERROR(__xludf.DUMMYFUNCTION("""COMPUTED_VALUE"""),"Scent Event")</f>
        <v>Scent Event</v>
      </c>
      <c r="G77" s="218" t="str">
        <f>IFERROR(__xludf.DUMMYFUNCTION("""COMPUTED_VALUE"""),"Scent Event - BTY-CX - 5_Feb Off - FB")</f>
        <v>Scent Event - BTY-CX - 5_Feb Off - FB</v>
      </c>
      <c r="H77" s="218" t="str">
        <f>IFERROR(__xludf.DUMMYFUNCTION("""COMPUTED_VALUE"""),"vs_off_pr_catmov_2ndFeb")</f>
        <v>vs_off_pr_catmov_2ndFeb</v>
      </c>
      <c r="I77" s="212" t="str">
        <f>IFERROR(__xludf.DUMMYFUNCTION("""COMPUTED_VALUE"""),"RCS Delivery Failed")</f>
        <v>RCS Delivery Failed</v>
      </c>
      <c r="J77" s="213">
        <f>IFERROR(__xludf.DUMMYFUNCTION("""COMPUTED_VALUE"""),49080.0)</f>
        <v>49080</v>
      </c>
      <c r="K77" s="213">
        <f>IFERROR(__xludf.DUMMYFUNCTION("""COMPUTED_VALUE"""),24642.0)</f>
        <v>24642</v>
      </c>
      <c r="L77" s="214">
        <f>IFERROR(__xludf.DUMMYFUNCTION("""COMPUTED_VALUE"""),0.5021)</f>
        <v>0.5021</v>
      </c>
      <c r="M77" s="213">
        <f>IFERROR(__xludf.DUMMYFUNCTION("""COMPUTED_VALUE"""),4830.0)</f>
        <v>4830</v>
      </c>
      <c r="N77" s="214">
        <f>IFERROR(__xludf.DUMMYFUNCTION("""COMPUTED_VALUE"""),0.196)</f>
        <v>0.196</v>
      </c>
      <c r="O77" s="101">
        <f>IFERROR(__xludf.DUMMYFUNCTION("""COMPUTED_VALUE"""),301.0)</f>
        <v>301</v>
      </c>
      <c r="P77" s="101">
        <f>IFERROR(__xludf.DUMMYFUNCTION("""COMPUTED_VALUE"""),287.0)</f>
        <v>287</v>
      </c>
      <c r="Q77" s="214">
        <f>IFERROR(__xludf.DUMMYFUNCTION("""COMPUTED_VALUE"""),0.0116)</f>
        <v>0.0116</v>
      </c>
      <c r="R77" s="214">
        <f>IFERROR(__xludf.DUMMYFUNCTION("""COMPUTED_VALUE"""),0.0594)</f>
        <v>0.0594</v>
      </c>
      <c r="S77" s="101">
        <f>IFERROR(__xludf.DUMMYFUNCTION("""COMPUTED_VALUE"""),2.0)</f>
        <v>2</v>
      </c>
      <c r="T77" s="101">
        <f>IFERROR(__xludf.DUMMYFUNCTION("""COMPUTED_VALUE"""),3.0)</f>
        <v>3</v>
      </c>
      <c r="U77" s="213">
        <f>IFERROR(__xludf.DUMMYFUNCTION("""COMPUTED_VALUE"""),14680.0)</f>
        <v>14680</v>
      </c>
      <c r="V77" s="213" t="str">
        <f>IFERROR(__xludf.DUMMYFUNCTION("""COMPUTED_VALUE"""),"overall")</f>
        <v>overall</v>
      </c>
      <c r="W77" s="98" t="str">
        <f>IFERROR(__xludf.DUMMYFUNCTION("""COMPUTED_VALUE"""),"simple")</f>
        <v>simple</v>
      </c>
      <c r="X77" s="98" t="str">
        <f>IFERROR(__xludf.DUMMYFUNCTION("""COMPUTED_VALUE"""),"Category Movers")</f>
        <v>Category Movers</v>
      </c>
      <c r="Y77" s="98" t="str">
        <f>IFERROR(__xludf.DUMMYFUNCTION("""COMPUTED_VALUE"""),"07th - 08th Feb")</f>
        <v>07th - 08th Feb</v>
      </c>
      <c r="Z77" s="98" t="str">
        <f>IFERROR(__xludf.DUMMYFUNCTION("""COMPUTED_VALUE"""),"69847e2c8f61b38da4941d58")</f>
        <v>69847e2c8f61b38da4941d58</v>
      </c>
      <c r="AA77" s="98">
        <f>IFERROR(__xludf.DUMMYFUNCTION("""COMPUTED_VALUE"""),52.0)</f>
        <v>52</v>
      </c>
      <c r="AB77" s="98">
        <f>IFERROR(__xludf.DUMMYFUNCTION("""COMPUTED_VALUE"""),18.0)</f>
        <v>18</v>
      </c>
      <c r="AC77" s="98">
        <f>IFERROR(__xludf.DUMMYFUNCTION("""COMPUTED_VALUE"""),34.0)</f>
        <v>34</v>
      </c>
      <c r="AD77" s="98">
        <f>IFERROR(__xludf.DUMMYFUNCTION("""COMPUTED_VALUE"""),344962.0)</f>
        <v>344962</v>
      </c>
      <c r="AE77" s="98">
        <f>IFERROR(__xludf.DUMMYFUNCTION("""COMPUTED_VALUE"""),112249.0)</f>
        <v>112249</v>
      </c>
      <c r="AF77" s="98">
        <f>IFERROR(__xludf.DUMMYFUNCTION("""COMPUTED_VALUE"""),232713.0)</f>
        <v>232713</v>
      </c>
      <c r="AG77" s="208"/>
      <c r="AH77" s="208"/>
      <c r="AI77" s="208"/>
      <c r="AJ77" s="208"/>
      <c r="AK77" s="208"/>
    </row>
    <row r="78">
      <c r="A78" s="215">
        <f>IFERROR(__xludf.DUMMYFUNCTION("""COMPUTED_VALUE"""),46060.0)</f>
        <v>46060</v>
      </c>
      <c r="B78" s="210">
        <f>IFERROR(__xludf.DUMMYFUNCTION("""COMPUTED_VALUE"""),0.45486111110949423)</f>
        <v>0.4548611111</v>
      </c>
      <c r="C78" s="211" t="str">
        <f>IFERROR(__xludf.DUMMYFUNCTION("""COMPUTED_VALUE"""),"Whatsapp")</f>
        <v>Whatsapp</v>
      </c>
      <c r="D78" s="211" t="str">
        <f>IFERROR(__xludf.DUMMYFUNCTION("""COMPUTED_VALUE"""),"Fallback Campaign")</f>
        <v>Fallback Campaign</v>
      </c>
      <c r="E78" s="211" t="str">
        <f>IFERROR(__xludf.DUMMYFUNCTION("""COMPUTED_VALUE"""),"VS")</f>
        <v>VS</v>
      </c>
      <c r="F78" s="211" t="str">
        <f>IFERROR(__xludf.DUMMYFUNCTION("""COMPUTED_VALUE"""),"Scent Event")</f>
        <v>Scent Event</v>
      </c>
      <c r="G78" s="218" t="str">
        <f>IFERROR(__xludf.DUMMYFUNCTION("""COMPUTED_VALUE"""),"Scent Event - Generic-CX - 5_Feb Off - FB")</f>
        <v>Scent Event - Generic-CX - 5_Feb Off - FB</v>
      </c>
      <c r="H78" s="218" t="str">
        <f>IFERROR(__xludf.DUMMYFUNCTION("""COMPUTED_VALUE"""),"vs_onoff_pr_gen_2ndFeb")</f>
        <v>vs_onoff_pr_gen_2ndFeb</v>
      </c>
      <c r="I78" s="212" t="str">
        <f>IFERROR(__xludf.DUMMYFUNCTION("""COMPUTED_VALUE"""),"RCS Delivery Failed")</f>
        <v>RCS Delivery Failed</v>
      </c>
      <c r="J78" s="213">
        <f>IFERROR(__xludf.DUMMYFUNCTION("""COMPUTED_VALUE"""),147962.0)</f>
        <v>147962</v>
      </c>
      <c r="K78" s="213">
        <f>IFERROR(__xludf.DUMMYFUNCTION("""COMPUTED_VALUE"""),74514.0)</f>
        <v>74514</v>
      </c>
      <c r="L78" s="214">
        <f>IFERROR(__xludf.DUMMYFUNCTION("""COMPUTED_VALUE"""),0.5036)</f>
        <v>0.5036</v>
      </c>
      <c r="M78" s="213">
        <f>IFERROR(__xludf.DUMMYFUNCTION("""COMPUTED_VALUE"""),14198.0)</f>
        <v>14198</v>
      </c>
      <c r="N78" s="214">
        <f>IFERROR(__xludf.DUMMYFUNCTION("""COMPUTED_VALUE"""),0.1905)</f>
        <v>0.1905</v>
      </c>
      <c r="O78" s="101">
        <f>IFERROR(__xludf.DUMMYFUNCTION("""COMPUTED_VALUE"""),632.0)</f>
        <v>632</v>
      </c>
      <c r="P78" s="101">
        <f>IFERROR(__xludf.DUMMYFUNCTION("""COMPUTED_VALUE"""),600.0)</f>
        <v>600</v>
      </c>
      <c r="Q78" s="214">
        <f>IFERROR(__xludf.DUMMYFUNCTION("""COMPUTED_VALUE"""),0.0081)</f>
        <v>0.0081</v>
      </c>
      <c r="R78" s="214">
        <f>IFERROR(__xludf.DUMMYFUNCTION("""COMPUTED_VALUE"""),0.0423)</f>
        <v>0.0423</v>
      </c>
      <c r="S78" s="101">
        <f>IFERROR(__xludf.DUMMYFUNCTION("""COMPUTED_VALUE"""),8.0)</f>
        <v>8</v>
      </c>
      <c r="T78" s="101">
        <f>IFERROR(__xludf.DUMMYFUNCTION("""COMPUTED_VALUE"""),17.0)</f>
        <v>17</v>
      </c>
      <c r="U78" s="213">
        <f>IFERROR(__xludf.DUMMYFUNCTION("""COMPUTED_VALUE"""),27379.0)</f>
        <v>27379</v>
      </c>
      <c r="V78" s="213" t="str">
        <f>IFERROR(__xludf.DUMMYFUNCTION("""COMPUTED_VALUE"""),"overall")</f>
        <v>overall</v>
      </c>
      <c r="W78" s="98" t="str">
        <f>IFERROR(__xludf.DUMMYFUNCTION("""COMPUTED_VALUE"""),"simple")</f>
        <v>simple</v>
      </c>
      <c r="X78" s="98" t="str">
        <f>IFERROR(__xludf.DUMMYFUNCTION("""COMPUTED_VALUE"""),"Generic")</f>
        <v>Generic</v>
      </c>
      <c r="Y78" s="98" t="str">
        <f>IFERROR(__xludf.DUMMYFUNCTION("""COMPUTED_VALUE"""),"07th - 08th Feb")</f>
        <v>07th - 08th Feb</v>
      </c>
      <c r="Z78" s="98" t="str">
        <f>IFERROR(__xludf.DUMMYFUNCTION("""COMPUTED_VALUE"""),"69847ea5a852b93558c2dd19")</f>
        <v>69847ea5a852b93558c2dd19</v>
      </c>
      <c r="AA78" s="98">
        <f>IFERROR(__xludf.DUMMYFUNCTION("""COMPUTED_VALUE"""),17.0)</f>
        <v>17</v>
      </c>
      <c r="AB78" s="98">
        <f>IFERROR(__xludf.DUMMYFUNCTION("""COMPUTED_VALUE"""),7.0)</f>
        <v>7</v>
      </c>
      <c r="AC78" s="98">
        <f>IFERROR(__xludf.DUMMYFUNCTION("""COMPUTED_VALUE"""),10.0)</f>
        <v>10</v>
      </c>
      <c r="AD78" s="98">
        <f>IFERROR(__xludf.DUMMYFUNCTION("""COMPUTED_VALUE"""),70455.0)</f>
        <v>70455</v>
      </c>
      <c r="AE78" s="98">
        <f>IFERROR(__xludf.DUMMYFUNCTION("""COMPUTED_VALUE"""),21771.0)</f>
        <v>21771</v>
      </c>
      <c r="AF78" s="98">
        <f>IFERROR(__xludf.DUMMYFUNCTION("""COMPUTED_VALUE"""),48684.0)</f>
        <v>48684</v>
      </c>
      <c r="AG78" s="208"/>
      <c r="AH78" s="208"/>
      <c r="AI78" s="208"/>
      <c r="AJ78" s="208"/>
      <c r="AK78" s="208"/>
    </row>
    <row r="79">
      <c r="A79" s="215">
        <f>IFERROR(__xludf.DUMMYFUNCTION("""COMPUTED_VALUE"""),46060.0)</f>
        <v>46060</v>
      </c>
      <c r="B79" s="210">
        <f>IFERROR(__xludf.DUMMYFUNCTION("""COMPUTED_VALUE"""),0.375)</f>
        <v>0.375</v>
      </c>
      <c r="C79" s="211" t="str">
        <f>IFERROR(__xludf.DUMMYFUNCTION("""COMPUTED_VALUE"""),"Rcs")</f>
        <v>Rcs</v>
      </c>
      <c r="D79" s="211" t="str">
        <f>IFERROR(__xludf.DUMMYFUNCTION("""COMPUTED_VALUE"""),"Promotional")</f>
        <v>Promotional</v>
      </c>
      <c r="E79" s="211" t="str">
        <f>IFERROR(__xludf.DUMMYFUNCTION("""COMPUTED_VALUE"""),"VS")</f>
        <v>VS</v>
      </c>
      <c r="F79" s="211" t="str">
        <f>IFERROR(__xludf.DUMMYFUNCTION("""COMPUTED_VALUE"""),"Scent Event")</f>
        <v>Scent Event</v>
      </c>
      <c r="G79" s="218" t="str">
        <f>IFERROR(__xludf.DUMMYFUNCTION("""COMPUTED_VALUE"""),"Scent Event - Event CX - 7_Jan (On+Off)")</f>
        <v>Scent Event - Event CX - 7_Jan (On+Off)</v>
      </c>
      <c r="H79" s="218" t="str">
        <f>IFERROR(__xludf.DUMMYFUNCTION("""COMPUTED_VALUE"""),"Scent_Event_Purchasers_OnOff")</f>
        <v>Scent_Event_Purchasers_OnOff</v>
      </c>
      <c r="I79" s="212" t="str">
        <f>IFERROR(__xludf.DUMMYFUNCTION("""COMPUTED_VALUE"""),"No Brief")</f>
        <v>No Brief</v>
      </c>
      <c r="J79" s="213">
        <f>IFERROR(__xludf.DUMMYFUNCTION("""COMPUTED_VALUE"""),20010.0)</f>
        <v>20010</v>
      </c>
      <c r="K79" s="213">
        <f>IFERROR(__xludf.DUMMYFUNCTION("""COMPUTED_VALUE"""),2616.0)</f>
        <v>2616</v>
      </c>
      <c r="L79" s="214">
        <f>IFERROR(__xludf.DUMMYFUNCTION("""COMPUTED_VALUE"""),0.1307)</f>
        <v>0.1307</v>
      </c>
      <c r="M79" s="213">
        <f>IFERROR(__xludf.DUMMYFUNCTION("""COMPUTED_VALUE"""),255.0)</f>
        <v>255</v>
      </c>
      <c r="N79" s="214">
        <f>IFERROR(__xludf.DUMMYFUNCTION("""COMPUTED_VALUE"""),0.098)</f>
        <v>0.098</v>
      </c>
      <c r="O79" s="101">
        <f>IFERROR(__xludf.DUMMYFUNCTION("""COMPUTED_VALUE"""),7.0)</f>
        <v>7</v>
      </c>
      <c r="P79" s="101"/>
      <c r="Q79" s="214">
        <f>IFERROR(__xludf.DUMMYFUNCTION("""COMPUTED_VALUE"""),0.0027)</f>
        <v>0.0027</v>
      </c>
      <c r="R79" s="214"/>
      <c r="S79" s="101">
        <f>IFERROR(__xludf.DUMMYFUNCTION("""COMPUTED_VALUE"""),0.0)</f>
        <v>0</v>
      </c>
      <c r="T79" s="101">
        <f>IFERROR(__xludf.DUMMYFUNCTION("""COMPUTED_VALUE"""),1.0)</f>
        <v>1</v>
      </c>
      <c r="U79" s="213">
        <f>IFERROR(__xludf.DUMMYFUNCTION("""COMPUTED_VALUE"""),0.0)</f>
        <v>0</v>
      </c>
      <c r="V79" s="213" t="str">
        <f>IFERROR(__xludf.DUMMYFUNCTION("""COMPUTED_VALUE"""),"overall")</f>
        <v>overall</v>
      </c>
      <c r="W79" s="98" t="str">
        <f>IFERROR(__xludf.DUMMYFUNCTION("""COMPUTED_VALUE"""),"RCS")</f>
        <v>RCS</v>
      </c>
      <c r="X79" s="98" t="str">
        <f>IFERROR(__xludf.DUMMYFUNCTION("""COMPUTED_VALUE"""),"Event Buyers")</f>
        <v>Event Buyers</v>
      </c>
      <c r="Y79" s="98" t="str">
        <f>IFERROR(__xludf.DUMMYFUNCTION("""COMPUTED_VALUE"""),"07th - 08th Feb")</f>
        <v>07th - 08th Feb</v>
      </c>
      <c r="Z79" s="98" t="str">
        <f>IFERROR(__xludf.DUMMYFUNCTION("""COMPUTED_VALUE"""),"69846e879a81de895c66b5fa")</f>
        <v>69846e879a81de895c66b5fa</v>
      </c>
      <c r="AA79" s="98">
        <f>IFERROR(__xludf.DUMMYFUNCTION("""COMPUTED_VALUE"""),2.0)</f>
        <v>2</v>
      </c>
      <c r="AB79" s="98">
        <f>IFERROR(__xludf.DUMMYFUNCTION("""COMPUTED_VALUE"""),2.0)</f>
        <v>2</v>
      </c>
      <c r="AC79" s="98">
        <f>IFERROR(__xludf.DUMMYFUNCTION("""COMPUTED_VALUE"""),0.0)</f>
        <v>0</v>
      </c>
      <c r="AD79" s="98">
        <f>IFERROR(__xludf.DUMMYFUNCTION("""COMPUTED_VALUE"""),14503.0)</f>
        <v>14503</v>
      </c>
      <c r="AE79" s="98">
        <f>IFERROR(__xludf.DUMMYFUNCTION("""COMPUTED_VALUE"""),14503.0)</f>
        <v>14503</v>
      </c>
      <c r="AF79" s="98">
        <f>IFERROR(__xludf.DUMMYFUNCTION("""COMPUTED_VALUE"""),0.0)</f>
        <v>0</v>
      </c>
      <c r="AG79" s="208"/>
      <c r="AH79" s="208"/>
      <c r="AI79" s="208"/>
      <c r="AJ79" s="208"/>
      <c r="AK79" s="208"/>
    </row>
    <row r="80">
      <c r="A80" s="215">
        <f>IFERROR(__xludf.DUMMYFUNCTION("""COMPUTED_VALUE"""),46060.0)</f>
        <v>46060</v>
      </c>
      <c r="B80" s="210">
        <f>IFERROR(__xludf.DUMMYFUNCTION("""COMPUTED_VALUE"""),0.375)</f>
        <v>0.375</v>
      </c>
      <c r="C80" s="211" t="str">
        <f>IFERROR(__xludf.DUMMYFUNCTION("""COMPUTED_VALUE"""),"Rcs")</f>
        <v>Rcs</v>
      </c>
      <c r="D80" s="211" t="str">
        <f>IFERROR(__xludf.DUMMYFUNCTION("""COMPUTED_VALUE"""),"Promotional")</f>
        <v>Promotional</v>
      </c>
      <c r="E80" s="211" t="str">
        <f>IFERROR(__xludf.DUMMYFUNCTION("""COMPUTED_VALUE"""),"VS")</f>
        <v>VS</v>
      </c>
      <c r="F80" s="211" t="str">
        <f>IFERROR(__xludf.DUMMYFUNCTION("""COMPUTED_VALUE"""),"Scent Event")</f>
        <v>Scent Event</v>
      </c>
      <c r="G80" s="218" t="str">
        <f>IFERROR(__xludf.DUMMYFUNCTION("""COMPUTED_VALUE"""),"Scent Event - Recent CX - 7_Jan (On+Off)")</f>
        <v>Scent Event - Recent CX - 7_Jan (On+Off)</v>
      </c>
      <c r="H80" s="218" t="str">
        <f>IFERROR(__xludf.DUMMYFUNCTION("""COMPUTED_VALUE"""),"vs_onoff_pr_frag_recent_2ndFeb")</f>
        <v>vs_onoff_pr_frag_recent_2ndFeb</v>
      </c>
      <c r="I80" s="212" t="str">
        <f>IFERROR(__xludf.DUMMYFUNCTION("""COMPUTED_VALUE"""),"No Brief")</f>
        <v>No Brief</v>
      </c>
      <c r="J80" s="213">
        <f>IFERROR(__xludf.DUMMYFUNCTION("""COMPUTED_VALUE"""),27604.0)</f>
        <v>27604</v>
      </c>
      <c r="K80" s="213">
        <f>IFERROR(__xludf.DUMMYFUNCTION("""COMPUTED_VALUE"""),6284.0)</f>
        <v>6284</v>
      </c>
      <c r="L80" s="214">
        <f>IFERROR(__xludf.DUMMYFUNCTION("""COMPUTED_VALUE"""),0.2276)</f>
        <v>0.2276</v>
      </c>
      <c r="M80" s="213">
        <f>IFERROR(__xludf.DUMMYFUNCTION("""COMPUTED_VALUE"""),636.0)</f>
        <v>636</v>
      </c>
      <c r="N80" s="214">
        <f>IFERROR(__xludf.DUMMYFUNCTION("""COMPUTED_VALUE"""),0.101)</f>
        <v>0.101</v>
      </c>
      <c r="O80" s="101">
        <f>IFERROR(__xludf.DUMMYFUNCTION("""COMPUTED_VALUE"""),22.0)</f>
        <v>22</v>
      </c>
      <c r="P80" s="101"/>
      <c r="Q80" s="214">
        <f>IFERROR(__xludf.DUMMYFUNCTION("""COMPUTED_VALUE"""),0.0035)</f>
        <v>0.0035</v>
      </c>
      <c r="R80" s="214"/>
      <c r="S80" s="101">
        <f>IFERROR(__xludf.DUMMYFUNCTION("""COMPUTED_VALUE"""),1.0)</f>
        <v>1</v>
      </c>
      <c r="T80" s="101">
        <f>IFERROR(__xludf.DUMMYFUNCTION("""COMPUTED_VALUE"""),4.0)</f>
        <v>4</v>
      </c>
      <c r="U80" s="213">
        <f>IFERROR(__xludf.DUMMYFUNCTION("""COMPUTED_VALUE"""),2519.0)</f>
        <v>2519</v>
      </c>
      <c r="V80" s="213" t="str">
        <f>IFERROR(__xludf.DUMMYFUNCTION("""COMPUTED_VALUE"""),"overall")</f>
        <v>overall</v>
      </c>
      <c r="W80" s="98" t="str">
        <f>IFERROR(__xludf.DUMMYFUNCTION("""COMPUTED_VALUE"""),"RCS")</f>
        <v>RCS</v>
      </c>
      <c r="X80" s="98" t="str">
        <f>IFERROR(__xludf.DUMMYFUNCTION("""COMPUTED_VALUE"""),"Recent")</f>
        <v>Recent</v>
      </c>
      <c r="Y80" s="98" t="str">
        <f>IFERROR(__xludf.DUMMYFUNCTION("""COMPUTED_VALUE"""),"07th - 08th Feb")</f>
        <v>07th - 08th Feb</v>
      </c>
      <c r="Z80" s="98" t="str">
        <f>IFERROR(__xludf.DUMMYFUNCTION("""COMPUTED_VALUE"""),"69846ef79d4e50d549cae590")</f>
        <v>69846ef79d4e50d549cae590</v>
      </c>
      <c r="AA80" s="98">
        <f>IFERROR(__xludf.DUMMYFUNCTION("""COMPUTED_VALUE"""),1.0)</f>
        <v>1</v>
      </c>
      <c r="AB80" s="98">
        <f>IFERROR(__xludf.DUMMYFUNCTION("""COMPUTED_VALUE"""),0.0)</f>
        <v>0</v>
      </c>
      <c r="AC80" s="98">
        <f>IFERROR(__xludf.DUMMYFUNCTION("""COMPUTED_VALUE"""),1.0)</f>
        <v>1</v>
      </c>
      <c r="AD80" s="98">
        <f>IFERROR(__xludf.DUMMYFUNCTION("""COMPUTED_VALUE"""),4697.0)</f>
        <v>4697</v>
      </c>
      <c r="AE80" s="98">
        <f>IFERROR(__xludf.DUMMYFUNCTION("""COMPUTED_VALUE"""),0.0)</f>
        <v>0</v>
      </c>
      <c r="AF80" s="98">
        <f>IFERROR(__xludf.DUMMYFUNCTION("""COMPUTED_VALUE"""),4697.0)</f>
        <v>4697</v>
      </c>
      <c r="AG80" s="208"/>
      <c r="AH80" s="208"/>
      <c r="AI80" s="208"/>
      <c r="AJ80" s="208"/>
      <c r="AK80" s="208"/>
    </row>
    <row r="81">
      <c r="A81" s="209">
        <f>IFERROR(__xludf.DUMMYFUNCTION("""COMPUTED_VALUE"""),46060.0)</f>
        <v>46060</v>
      </c>
      <c r="B81" s="238">
        <f>IFERROR(__xludf.DUMMYFUNCTION("""COMPUTED_VALUE"""),0.375)</f>
        <v>0.375</v>
      </c>
      <c r="C81" s="96" t="str">
        <f>IFERROR(__xludf.DUMMYFUNCTION("""COMPUTED_VALUE"""),"Rcs")</f>
        <v>Rcs</v>
      </c>
      <c r="D81" s="212" t="str">
        <f>IFERROR(__xludf.DUMMYFUNCTION("""COMPUTED_VALUE"""),"Promotional")</f>
        <v>Promotional</v>
      </c>
      <c r="E81" s="96" t="str">
        <f>IFERROR(__xludf.DUMMYFUNCTION("""COMPUTED_VALUE"""),"VS")</f>
        <v>VS</v>
      </c>
      <c r="F81" s="212" t="str">
        <f>IFERROR(__xludf.DUMMYFUNCTION("""COMPUTED_VALUE"""),"Scent Event")</f>
        <v>Scent Event</v>
      </c>
      <c r="G81" s="212" t="str">
        <f>IFERROR(__xludf.DUMMYFUNCTION("""COMPUTED_VALUE"""),"Scent Event - Loyal CX - 7_Jan (On+Off)")</f>
        <v>Scent Event - Loyal CX - 7_Jan (On+Off)</v>
      </c>
      <c r="H81" s="28" t="str">
        <f>IFERROR(__xludf.DUMMYFUNCTION("""COMPUTED_VALUE"""),"vs_onoff_pr_frag_loyal_2ndFeb")</f>
        <v>vs_onoff_pr_frag_loyal_2ndFeb</v>
      </c>
      <c r="I81" s="28" t="str">
        <f>IFERROR(__xludf.DUMMYFUNCTION("""COMPUTED_VALUE"""),"No Brief")</f>
        <v>No Brief</v>
      </c>
      <c r="J81" s="239">
        <f>IFERROR(__xludf.DUMMYFUNCTION("""COMPUTED_VALUE"""),9354.0)</f>
        <v>9354</v>
      </c>
      <c r="K81" s="240">
        <f>IFERROR(__xludf.DUMMYFUNCTION("""COMPUTED_VALUE"""),1753.0)</f>
        <v>1753</v>
      </c>
      <c r="L81" s="241">
        <f>IFERROR(__xludf.DUMMYFUNCTION("""COMPUTED_VALUE"""),0.1874)</f>
        <v>0.1874</v>
      </c>
      <c r="M81" s="240">
        <f>IFERROR(__xludf.DUMMYFUNCTION("""COMPUTED_VALUE"""),202.0)</f>
        <v>202</v>
      </c>
      <c r="N81" s="136">
        <f>IFERROR(__xludf.DUMMYFUNCTION("""COMPUTED_VALUE"""),0.115)</f>
        <v>0.115</v>
      </c>
      <c r="O81" s="73">
        <f>IFERROR(__xludf.DUMMYFUNCTION("""COMPUTED_VALUE"""),8.0)</f>
        <v>8</v>
      </c>
      <c r="P81" s="73"/>
      <c r="Q81" s="214">
        <f>IFERROR(__xludf.DUMMYFUNCTION("""COMPUTED_VALUE"""),0.0046)</f>
        <v>0.0046</v>
      </c>
      <c r="R81" s="214"/>
      <c r="S81" s="101">
        <f>IFERROR(__xludf.DUMMYFUNCTION("""COMPUTED_VALUE"""),2.0)</f>
        <v>2</v>
      </c>
      <c r="T81" s="222">
        <f>IFERROR(__xludf.DUMMYFUNCTION("""COMPUTED_VALUE"""),4.0)</f>
        <v>4</v>
      </c>
      <c r="U81" s="242">
        <f>IFERROR(__xludf.DUMMYFUNCTION("""COMPUTED_VALUE"""),7250.0)</f>
        <v>7250</v>
      </c>
      <c r="V81" s="242" t="str">
        <f>IFERROR(__xludf.DUMMYFUNCTION("""COMPUTED_VALUE"""),"overall")</f>
        <v>overall</v>
      </c>
      <c r="W81" s="243" t="str">
        <f>IFERROR(__xludf.DUMMYFUNCTION("""COMPUTED_VALUE"""),"RCS")</f>
        <v>RCS</v>
      </c>
      <c r="X81" s="243" t="str">
        <f>IFERROR(__xludf.DUMMYFUNCTION("""COMPUTED_VALUE"""),"Loyal")</f>
        <v>Loyal</v>
      </c>
      <c r="Y81" s="243" t="str">
        <f>IFERROR(__xludf.DUMMYFUNCTION("""COMPUTED_VALUE"""),"07th - 08th Feb")</f>
        <v>07th - 08th Feb</v>
      </c>
      <c r="Z81" s="243" t="str">
        <f>IFERROR(__xludf.DUMMYFUNCTION("""COMPUTED_VALUE"""),"698470508311aea3f5fa90b8")</f>
        <v>698470508311aea3f5fa90b8</v>
      </c>
      <c r="AA81" s="243">
        <f>IFERROR(__xludf.DUMMYFUNCTION("""COMPUTED_VALUE"""),1.0)</f>
        <v>1</v>
      </c>
      <c r="AB81" s="243">
        <f>IFERROR(__xludf.DUMMYFUNCTION("""COMPUTED_VALUE"""),0.0)</f>
        <v>0</v>
      </c>
      <c r="AC81" s="243">
        <f>IFERROR(__xludf.DUMMYFUNCTION("""COMPUTED_VALUE"""),1.0)</f>
        <v>1</v>
      </c>
      <c r="AD81" s="243">
        <f>IFERROR(__xludf.DUMMYFUNCTION("""COMPUTED_VALUE"""),1199.0)</f>
        <v>1199</v>
      </c>
      <c r="AE81" s="243">
        <f>IFERROR(__xludf.DUMMYFUNCTION("""COMPUTED_VALUE"""),0.0)</f>
        <v>0</v>
      </c>
      <c r="AF81" s="243">
        <f>IFERROR(__xludf.DUMMYFUNCTION("""COMPUTED_VALUE"""),1199.0)</f>
        <v>1199</v>
      </c>
      <c r="AG81" s="208"/>
      <c r="AH81" s="208"/>
      <c r="AI81" s="208"/>
      <c r="AJ81" s="208"/>
      <c r="AK81" s="208"/>
    </row>
    <row r="82">
      <c r="A82" s="219">
        <f>IFERROR(__xludf.DUMMYFUNCTION("""COMPUTED_VALUE"""),46060.0)</f>
        <v>46060</v>
      </c>
      <c r="B82" s="220">
        <f>IFERROR(__xludf.DUMMYFUNCTION("""COMPUTED_VALUE"""),0.375)</f>
        <v>0.375</v>
      </c>
      <c r="C82" s="222" t="str">
        <f>IFERROR(__xludf.DUMMYFUNCTION("""COMPUTED_VALUE"""),"Rcs")</f>
        <v>Rcs</v>
      </c>
      <c r="D82" s="222" t="str">
        <f>IFERROR(__xludf.DUMMYFUNCTION("""COMPUTED_VALUE"""),"Promotional")</f>
        <v>Promotional</v>
      </c>
      <c r="E82" s="222" t="str">
        <f>IFERROR(__xludf.DUMMYFUNCTION("""COMPUTED_VALUE"""),"VS")</f>
        <v>VS</v>
      </c>
      <c r="F82" s="222" t="str">
        <f>IFERROR(__xludf.DUMMYFUNCTION("""COMPUTED_VALUE"""),"Scent Event")</f>
        <v>Scent Event</v>
      </c>
      <c r="G82" s="221" t="str">
        <f>IFERROR(__xludf.DUMMYFUNCTION("""COMPUTED_VALUE"""),"Scent Event - Lingerie CX - 7_Jan (On+Off)")</f>
        <v>Scent Event - Lingerie CX - 7_Jan (On+Off)</v>
      </c>
      <c r="H82" s="223" t="str">
        <f>IFERROR(__xludf.DUMMYFUNCTION("""COMPUTED_VALUE"""),"vs_onoff_subcatmov_2ndFeb")</f>
        <v>vs_onoff_subcatmov_2ndFeb</v>
      </c>
      <c r="I82" s="223" t="str">
        <f>IFERROR(__xludf.DUMMYFUNCTION("""COMPUTED_VALUE"""),"No Brief")</f>
        <v>No Brief</v>
      </c>
      <c r="J82" s="224">
        <f>IFERROR(__xludf.DUMMYFUNCTION("""COMPUTED_VALUE"""),63777.0)</f>
        <v>63777</v>
      </c>
      <c r="K82" s="224">
        <f>IFERROR(__xludf.DUMMYFUNCTION("""COMPUTED_VALUE"""),8595.0)</f>
        <v>8595</v>
      </c>
      <c r="L82" s="225">
        <f>IFERROR(__xludf.DUMMYFUNCTION("""COMPUTED_VALUE"""),0.1348)</f>
        <v>0.1348</v>
      </c>
      <c r="M82" s="224">
        <f>IFERROR(__xludf.DUMMYFUNCTION("""COMPUTED_VALUE"""),1008.0)</f>
        <v>1008</v>
      </c>
      <c r="N82" s="225">
        <f>IFERROR(__xludf.DUMMYFUNCTION("""COMPUTED_VALUE"""),0.117)</f>
        <v>0.117</v>
      </c>
      <c r="O82" s="226">
        <f>IFERROR(__xludf.DUMMYFUNCTION("""COMPUTED_VALUE"""),26.0)</f>
        <v>26</v>
      </c>
      <c r="P82" s="226"/>
      <c r="Q82" s="225">
        <f>IFERROR(__xludf.DUMMYFUNCTION("""COMPUTED_VALUE"""),0.003)</f>
        <v>0.003</v>
      </c>
      <c r="R82" s="225"/>
      <c r="S82" s="226">
        <f>IFERROR(__xludf.DUMMYFUNCTION("""COMPUTED_VALUE"""),1.0)</f>
        <v>1</v>
      </c>
      <c r="T82" s="226">
        <f>IFERROR(__xludf.DUMMYFUNCTION("""COMPUTED_VALUE"""),5.0)</f>
        <v>5</v>
      </c>
      <c r="U82" s="224">
        <f>IFERROR(__xludf.DUMMYFUNCTION("""COMPUTED_VALUE"""),7919.0)</f>
        <v>7919</v>
      </c>
      <c r="V82" s="224" t="str">
        <f>IFERROR(__xludf.DUMMYFUNCTION("""COMPUTED_VALUE"""),"overall")</f>
        <v>overall</v>
      </c>
      <c r="W82" s="229" t="str">
        <f>IFERROR(__xludf.DUMMYFUNCTION("""COMPUTED_VALUE"""),"RCS")</f>
        <v>RCS</v>
      </c>
      <c r="X82" s="229" t="str">
        <f>IFERROR(__xludf.DUMMYFUNCTION("""COMPUTED_VALUE"""),"Sub-Category Movers")</f>
        <v>Sub-Category Movers</v>
      </c>
      <c r="Y82" s="229" t="str">
        <f>IFERROR(__xludf.DUMMYFUNCTION("""COMPUTED_VALUE"""),"07th - 08th Feb")</f>
        <v>07th - 08th Feb</v>
      </c>
      <c r="Z82" s="229" t="str">
        <f>IFERROR(__xludf.DUMMYFUNCTION("""COMPUTED_VALUE"""),"698470bcf314309edb57792e")</f>
        <v>698470bcf314309edb57792e</v>
      </c>
      <c r="AA82" s="229">
        <f>IFERROR(__xludf.DUMMYFUNCTION("""COMPUTED_VALUE"""),4.0)</f>
        <v>4</v>
      </c>
      <c r="AB82" s="229">
        <f>IFERROR(__xludf.DUMMYFUNCTION("""COMPUTED_VALUE"""),2.0)</f>
        <v>2</v>
      </c>
      <c r="AC82" s="229">
        <f>IFERROR(__xludf.DUMMYFUNCTION("""COMPUTED_VALUE"""),2.0)</f>
        <v>2</v>
      </c>
      <c r="AD82" s="229">
        <f>IFERROR(__xludf.DUMMYFUNCTION("""COMPUTED_VALUE"""),41841.0)</f>
        <v>41841</v>
      </c>
      <c r="AE82" s="229">
        <f>IFERROR(__xludf.DUMMYFUNCTION("""COMPUTED_VALUE"""),17595.0)</f>
        <v>17595</v>
      </c>
      <c r="AF82" s="229">
        <f>IFERROR(__xludf.DUMMYFUNCTION("""COMPUTED_VALUE"""),24246.0)</f>
        <v>24246</v>
      </c>
      <c r="AG82" s="208"/>
      <c r="AH82" s="208"/>
      <c r="AI82" s="208"/>
      <c r="AJ82" s="208"/>
      <c r="AK82" s="208"/>
    </row>
    <row r="83">
      <c r="A83" s="219">
        <f>IFERROR(__xludf.DUMMYFUNCTION("""COMPUTED_VALUE"""),46060.0)</f>
        <v>46060</v>
      </c>
      <c r="B83" s="244">
        <f>IFERROR(__xludf.DUMMYFUNCTION("""COMPUTED_VALUE"""),0.375)</f>
        <v>0.375</v>
      </c>
      <c r="C83" s="222" t="str">
        <f>IFERROR(__xludf.DUMMYFUNCTION("""COMPUTED_VALUE"""),"Rcs")</f>
        <v>Rcs</v>
      </c>
      <c r="D83" s="222" t="str">
        <f>IFERROR(__xludf.DUMMYFUNCTION("""COMPUTED_VALUE"""),"Promotional")</f>
        <v>Promotional</v>
      </c>
      <c r="E83" s="222" t="str">
        <f>IFERROR(__xludf.DUMMYFUNCTION("""COMPUTED_VALUE"""),"VS")</f>
        <v>VS</v>
      </c>
      <c r="F83" s="222" t="str">
        <f>IFERROR(__xludf.DUMMYFUNCTION("""COMPUTED_VALUE"""),"Scent Event")</f>
        <v>Scent Event</v>
      </c>
      <c r="G83" s="221" t="str">
        <f>IFERROR(__xludf.DUMMYFUNCTION("""COMPUTED_VALUE"""),"Scent Event - BTY CX - 7_Jan (On+Off)")</f>
        <v>Scent Event - BTY CX - 7_Jan (On+Off)</v>
      </c>
      <c r="H83" s="223" t="str">
        <f>IFERROR(__xludf.DUMMYFUNCTION("""COMPUTED_VALUE"""),"vs_onoff_pr_catmov_2ndFeb")</f>
        <v>vs_onoff_pr_catmov_2ndFeb</v>
      </c>
      <c r="I83" s="221" t="str">
        <f>IFERROR(__xludf.DUMMYFUNCTION("""COMPUTED_VALUE"""),"No Brief")</f>
        <v>No Brief</v>
      </c>
      <c r="J83" s="224">
        <f>IFERROR(__xludf.DUMMYFUNCTION("""COMPUTED_VALUE"""),62558.0)</f>
        <v>62558</v>
      </c>
      <c r="K83" s="224">
        <f>IFERROR(__xludf.DUMMYFUNCTION("""COMPUTED_VALUE"""),12764.0)</f>
        <v>12764</v>
      </c>
      <c r="L83" s="225">
        <f>IFERROR(__xludf.DUMMYFUNCTION("""COMPUTED_VALUE"""),0.204)</f>
        <v>0.204</v>
      </c>
      <c r="M83" s="224">
        <f>IFERROR(__xludf.DUMMYFUNCTION("""COMPUTED_VALUE"""),1326.0)</f>
        <v>1326</v>
      </c>
      <c r="N83" s="225">
        <f>IFERROR(__xludf.DUMMYFUNCTION("""COMPUTED_VALUE"""),0.104)</f>
        <v>0.104</v>
      </c>
      <c r="O83" s="226">
        <f>IFERROR(__xludf.DUMMYFUNCTION("""COMPUTED_VALUE"""),65.0)</f>
        <v>65</v>
      </c>
      <c r="P83" s="226"/>
      <c r="Q83" s="225">
        <f>IFERROR(__xludf.DUMMYFUNCTION("""COMPUTED_VALUE"""),0.0051)</f>
        <v>0.0051</v>
      </c>
      <c r="R83" s="225"/>
      <c r="S83" s="226">
        <f>IFERROR(__xludf.DUMMYFUNCTION("""COMPUTED_VALUE"""),1.0)</f>
        <v>1</v>
      </c>
      <c r="T83" s="226">
        <f>IFERROR(__xludf.DUMMYFUNCTION("""COMPUTED_VALUE"""),5.0)</f>
        <v>5</v>
      </c>
      <c r="U83" s="242">
        <f>IFERROR(__xludf.DUMMYFUNCTION("""COMPUTED_VALUE"""),5396.0)</f>
        <v>5396</v>
      </c>
      <c r="V83" s="242" t="str">
        <f>IFERROR(__xludf.DUMMYFUNCTION("""COMPUTED_VALUE"""),"overall")</f>
        <v>overall</v>
      </c>
      <c r="W83" s="243" t="str">
        <f>IFERROR(__xludf.DUMMYFUNCTION("""COMPUTED_VALUE"""),"RCS")</f>
        <v>RCS</v>
      </c>
      <c r="X83" s="243" t="str">
        <f>IFERROR(__xludf.DUMMYFUNCTION("""COMPUTED_VALUE"""),"Category Movers")</f>
        <v>Category Movers</v>
      </c>
      <c r="Y83" s="243" t="str">
        <f>IFERROR(__xludf.DUMMYFUNCTION("""COMPUTED_VALUE"""),"07th - 08th Feb")</f>
        <v>07th - 08th Feb</v>
      </c>
      <c r="Z83" s="243" t="str">
        <f>IFERROR(__xludf.DUMMYFUNCTION("""COMPUTED_VALUE"""),"698471359d4e50d549cae6b7")</f>
        <v>698471359d4e50d549cae6b7</v>
      </c>
      <c r="AA83" s="243">
        <f>IFERROR(__xludf.DUMMYFUNCTION("""COMPUTED_VALUE"""),15.0)</f>
        <v>15</v>
      </c>
      <c r="AB83" s="243">
        <f>IFERROR(__xludf.DUMMYFUNCTION("""COMPUTED_VALUE"""),10.0)</f>
        <v>10</v>
      </c>
      <c r="AC83" s="243">
        <f>IFERROR(__xludf.DUMMYFUNCTION("""COMPUTED_VALUE"""),14.0)</f>
        <v>14</v>
      </c>
      <c r="AD83" s="243">
        <f>IFERROR(__xludf.DUMMYFUNCTION("""COMPUTED_VALUE"""),126489.0)</f>
        <v>126489</v>
      </c>
      <c r="AE83" s="243">
        <f>IFERROR(__xludf.DUMMYFUNCTION("""COMPUTED_VALUE"""),40233.0)</f>
        <v>40233</v>
      </c>
      <c r="AF83" s="243">
        <f>IFERROR(__xludf.DUMMYFUNCTION("""COMPUTED_VALUE"""),86256.0)</f>
        <v>86256</v>
      </c>
      <c r="AG83" s="208"/>
      <c r="AH83" s="208"/>
      <c r="AI83" s="208"/>
      <c r="AJ83" s="208"/>
      <c r="AK83" s="208"/>
    </row>
    <row r="84">
      <c r="A84" s="215">
        <f>IFERROR(__xludf.DUMMYFUNCTION("""COMPUTED_VALUE"""),46060.0)</f>
        <v>46060</v>
      </c>
      <c r="B84" s="247">
        <f>IFERROR(__xludf.DUMMYFUNCTION("""COMPUTED_VALUE"""),0.375)</f>
        <v>0.375</v>
      </c>
      <c r="C84" s="218" t="str">
        <f>IFERROR(__xludf.DUMMYFUNCTION("""COMPUTED_VALUE"""),"Rcs")</f>
        <v>Rcs</v>
      </c>
      <c r="D84" s="218" t="str">
        <f>IFERROR(__xludf.DUMMYFUNCTION("""COMPUTED_VALUE"""),"Promotional")</f>
        <v>Promotional</v>
      </c>
      <c r="E84" s="218" t="str">
        <f>IFERROR(__xludf.DUMMYFUNCTION("""COMPUTED_VALUE"""),"VS")</f>
        <v>VS</v>
      </c>
      <c r="F84" s="218" t="str">
        <f>IFERROR(__xludf.DUMMYFUNCTION("""COMPUTED_VALUE"""),"Scent Event")</f>
        <v>Scent Event</v>
      </c>
      <c r="G84" s="211" t="str">
        <f>IFERROR(__xludf.DUMMYFUNCTION("""COMPUTED_VALUE"""),"Scent Event - Generic CX - 7_Jan (On+Off)")</f>
        <v>Scent Event - Generic CX - 7_Jan (On+Off)</v>
      </c>
      <c r="H84" s="212" t="str">
        <f>IFERROR(__xludf.DUMMYFUNCTION("""COMPUTED_VALUE"""),"vs_onoff_pr_gen_2ndFeb")</f>
        <v>vs_onoff_pr_gen_2ndFeb</v>
      </c>
      <c r="I84" s="211" t="str">
        <f>IFERROR(__xludf.DUMMYFUNCTION("""COMPUTED_VALUE"""),"No Brief")</f>
        <v>No Brief</v>
      </c>
      <c r="J84" s="213">
        <f>IFERROR(__xludf.DUMMYFUNCTION("""COMPUTED_VALUE"""),192894.0)</f>
        <v>192894</v>
      </c>
      <c r="K84" s="213">
        <f>IFERROR(__xludf.DUMMYFUNCTION("""COMPUTED_VALUE"""),42929.0)</f>
        <v>42929</v>
      </c>
      <c r="L84" s="214">
        <f>IFERROR(__xludf.DUMMYFUNCTION("""COMPUTED_VALUE"""),0.2226)</f>
        <v>0.2226</v>
      </c>
      <c r="M84" s="213">
        <f>IFERROR(__xludf.DUMMYFUNCTION("""COMPUTED_VALUE"""),3985.0)</f>
        <v>3985</v>
      </c>
      <c r="N84" s="214">
        <f>IFERROR(__xludf.DUMMYFUNCTION("""COMPUTED_VALUE"""),0.093)</f>
        <v>0.093</v>
      </c>
      <c r="O84" s="101">
        <f>IFERROR(__xludf.DUMMYFUNCTION("""COMPUTED_VALUE"""),115.0)</f>
        <v>115</v>
      </c>
      <c r="P84" s="101"/>
      <c r="Q84" s="214">
        <f>IFERROR(__xludf.DUMMYFUNCTION("""COMPUTED_VALUE"""),0.0027)</f>
        <v>0.0027</v>
      </c>
      <c r="R84" s="214"/>
      <c r="S84" s="101">
        <f>IFERROR(__xludf.DUMMYFUNCTION("""COMPUTED_VALUE"""),1.0)</f>
        <v>1</v>
      </c>
      <c r="T84" s="226">
        <f>IFERROR(__xludf.DUMMYFUNCTION("""COMPUTED_VALUE"""),9.0)</f>
        <v>9</v>
      </c>
      <c r="U84" s="224">
        <f>IFERROR(__xludf.DUMMYFUNCTION("""COMPUTED_VALUE"""),2519.0)</f>
        <v>2519</v>
      </c>
      <c r="V84" s="224" t="str">
        <f>IFERROR(__xludf.DUMMYFUNCTION("""COMPUTED_VALUE"""),"overall")</f>
        <v>overall</v>
      </c>
      <c r="W84" s="229" t="str">
        <f>IFERROR(__xludf.DUMMYFUNCTION("""COMPUTED_VALUE"""),"RCS")</f>
        <v>RCS</v>
      </c>
      <c r="X84" s="229" t="str">
        <f>IFERROR(__xludf.DUMMYFUNCTION("""COMPUTED_VALUE"""),"Generic")</f>
        <v>Generic</v>
      </c>
      <c r="Y84" s="229" t="str">
        <f>IFERROR(__xludf.DUMMYFUNCTION("""COMPUTED_VALUE"""),"07th - 08th Feb")</f>
        <v>07th - 08th Feb</v>
      </c>
      <c r="Z84" s="229" t="str">
        <f>IFERROR(__xludf.DUMMYFUNCTION("""COMPUTED_VALUE"""),"6984718f8ad2831dddba4a73")</f>
        <v>6984718f8ad2831dddba4a73</v>
      </c>
      <c r="AA84" s="229">
        <f>IFERROR(__xludf.DUMMYFUNCTION("""COMPUTED_VALUE"""),7.0)</f>
        <v>7</v>
      </c>
      <c r="AB84" s="229">
        <f>IFERROR(__xludf.DUMMYFUNCTION("""COMPUTED_VALUE"""),4.0)</f>
        <v>4</v>
      </c>
      <c r="AC84" s="229">
        <f>IFERROR(__xludf.DUMMYFUNCTION("""COMPUTED_VALUE"""),3.0)</f>
        <v>3</v>
      </c>
      <c r="AD84" s="229">
        <f>IFERROR(__xludf.DUMMYFUNCTION("""COMPUTED_VALUE"""),16629.0)</f>
        <v>16629</v>
      </c>
      <c r="AE84" s="229">
        <f>IFERROR(__xludf.DUMMYFUNCTION("""COMPUTED_VALUE"""),6734.0)</f>
        <v>6734</v>
      </c>
      <c r="AF84" s="229">
        <f>IFERROR(__xludf.DUMMYFUNCTION("""COMPUTED_VALUE"""),9895.0)</f>
        <v>9895</v>
      </c>
      <c r="AG84" s="208"/>
      <c r="AH84" s="208"/>
      <c r="AI84" s="208"/>
      <c r="AJ84" s="208"/>
      <c r="AK84" s="208"/>
    </row>
    <row r="85">
      <c r="A85" s="215">
        <f>IFERROR(__xludf.DUMMYFUNCTION("""COMPUTED_VALUE"""),46060.0)</f>
        <v>46060</v>
      </c>
      <c r="B85" s="247">
        <f>IFERROR(__xludf.DUMMYFUNCTION("""COMPUTED_VALUE"""),0.5)</f>
        <v>0.5</v>
      </c>
      <c r="C85" s="218" t="str">
        <f>IFERROR(__xludf.DUMMYFUNCTION("""COMPUTED_VALUE"""),"Sms")</f>
        <v>Sms</v>
      </c>
      <c r="D85" s="218" t="str">
        <f>IFERROR(__xludf.DUMMYFUNCTION("""COMPUTED_VALUE"""),"Fallback Campaign")</f>
        <v>Fallback Campaign</v>
      </c>
      <c r="E85" s="218" t="str">
        <f>IFERROR(__xludf.DUMMYFUNCTION("""COMPUTED_VALUE"""),"VS")</f>
        <v>VS</v>
      </c>
      <c r="F85" s="218" t="str">
        <f>IFERROR(__xludf.DUMMYFUNCTION("""COMPUTED_VALUE"""),"Scent Event")</f>
        <v>Scent Event</v>
      </c>
      <c r="G85" s="212" t="str">
        <f>IFERROR(__xludf.DUMMYFUNCTION("""COMPUTED_VALUE"""),"Scent Event - Event-CX - 7_Feb Off - FB (RCS+WA)")</f>
        <v>Scent Event - Event-CX - 7_Feb Off - FB (RCS+WA)</v>
      </c>
      <c r="H85" s="212" t="str">
        <f>IFERROR(__xludf.DUMMYFUNCTION("""COMPUTED_VALUE"""),"Scent_Event_Purchasers_Off")</f>
        <v>Scent_Event_Purchasers_Off</v>
      </c>
      <c r="I85" s="211" t="str">
        <f>IFERROR(__xludf.DUMMYFUNCTION("""COMPUTED_VALUE"""),"WA Undelivered")</f>
        <v>WA Undelivered</v>
      </c>
      <c r="J85" s="213">
        <f>IFERROR(__xludf.DUMMYFUNCTION("""COMPUTED_VALUE"""),8743.0)</f>
        <v>8743</v>
      </c>
      <c r="K85" s="213">
        <f>IFERROR(__xludf.DUMMYFUNCTION("""COMPUTED_VALUE"""),5572.0)</f>
        <v>5572</v>
      </c>
      <c r="L85" s="214">
        <f>IFERROR(__xludf.DUMMYFUNCTION("""COMPUTED_VALUE"""),0.6373)</f>
        <v>0.6373</v>
      </c>
      <c r="M85" s="213"/>
      <c r="N85" s="214"/>
      <c r="O85" s="101">
        <f>IFERROR(__xludf.DUMMYFUNCTION("""COMPUTED_VALUE"""),8.0)</f>
        <v>8</v>
      </c>
      <c r="P85" s="101"/>
      <c r="Q85" s="214">
        <f>IFERROR(__xludf.DUMMYFUNCTION("""COMPUTED_VALUE"""),0.0014)</f>
        <v>0.0014</v>
      </c>
      <c r="R85" s="214"/>
      <c r="S85" s="101">
        <f>IFERROR(__xludf.DUMMYFUNCTION("""COMPUTED_VALUE"""),1.0)</f>
        <v>1</v>
      </c>
      <c r="T85" s="226">
        <f>IFERROR(__xludf.DUMMYFUNCTION("""COMPUTED_VALUE"""),3.0)</f>
        <v>3</v>
      </c>
      <c r="U85" s="224">
        <f>IFERROR(__xludf.DUMMYFUNCTION("""COMPUTED_VALUE"""),2518.0)</f>
        <v>2518</v>
      </c>
      <c r="V85" s="224" t="str">
        <f>IFERROR(__xludf.DUMMYFUNCTION("""COMPUTED_VALUE"""),"overall")</f>
        <v>overall</v>
      </c>
      <c r="W85" s="229" t="str">
        <f>IFERROR(__xludf.DUMMYFUNCTION("""COMPUTED_VALUE"""),"SMS")</f>
        <v>SMS</v>
      </c>
      <c r="X85" s="229" t="str">
        <f>IFERROR(__xludf.DUMMYFUNCTION("""COMPUTED_VALUE"""),"Event Buyers")</f>
        <v>Event Buyers</v>
      </c>
      <c r="Y85" s="229" t="str">
        <f>IFERROR(__xludf.DUMMYFUNCTION("""COMPUTED_VALUE"""),"07th - 08th Feb")</f>
        <v>07th - 08th Feb</v>
      </c>
      <c r="Z85" s="229" t="str">
        <f>IFERROR(__xludf.DUMMYFUNCTION("""COMPUTED_VALUE"""),"69847c0907fce80f2156f884")</f>
        <v>69847c0907fce80f2156f884</v>
      </c>
      <c r="AA85" s="229">
        <f>IFERROR(__xludf.DUMMYFUNCTION("""COMPUTED_VALUE"""),10.0)</f>
        <v>10</v>
      </c>
      <c r="AB85" s="229">
        <f>IFERROR(__xludf.DUMMYFUNCTION("""COMPUTED_VALUE"""),4.0)</f>
        <v>4</v>
      </c>
      <c r="AC85" s="229">
        <f>IFERROR(__xludf.DUMMYFUNCTION("""COMPUTED_VALUE"""),6.0)</f>
        <v>6</v>
      </c>
      <c r="AD85" s="229">
        <f>IFERROR(__xludf.DUMMYFUNCTION("""COMPUTED_VALUE"""),49304.0)</f>
        <v>49304</v>
      </c>
      <c r="AE85" s="229">
        <f>IFERROR(__xludf.DUMMYFUNCTION("""COMPUTED_VALUE"""),12865.0)</f>
        <v>12865</v>
      </c>
      <c r="AF85" s="229">
        <f>IFERROR(__xludf.DUMMYFUNCTION("""COMPUTED_VALUE"""),36439.0)</f>
        <v>36439</v>
      </c>
      <c r="AG85" s="208"/>
      <c r="AH85" s="208"/>
      <c r="AI85" s="208"/>
      <c r="AJ85" s="208"/>
      <c r="AK85" s="208"/>
    </row>
    <row r="86">
      <c r="A86" s="215">
        <f>IFERROR(__xludf.DUMMYFUNCTION("""COMPUTED_VALUE"""),46060.0)</f>
        <v>46060</v>
      </c>
      <c r="B86" s="247">
        <f>IFERROR(__xludf.DUMMYFUNCTION("""COMPUTED_VALUE"""),0.5)</f>
        <v>0.5</v>
      </c>
      <c r="C86" s="218" t="str">
        <f>IFERROR(__xludf.DUMMYFUNCTION("""COMPUTED_VALUE"""),"Sms")</f>
        <v>Sms</v>
      </c>
      <c r="D86" s="218" t="str">
        <f>IFERROR(__xludf.DUMMYFUNCTION("""COMPUTED_VALUE"""),"Fallback Campaign")</f>
        <v>Fallback Campaign</v>
      </c>
      <c r="E86" s="218" t="str">
        <f>IFERROR(__xludf.DUMMYFUNCTION("""COMPUTED_VALUE"""),"VS")</f>
        <v>VS</v>
      </c>
      <c r="F86" s="218" t="str">
        <f>IFERROR(__xludf.DUMMYFUNCTION("""COMPUTED_VALUE"""),"Scent Event")</f>
        <v>Scent Event</v>
      </c>
      <c r="G86" s="212" t="str">
        <f>IFERROR(__xludf.DUMMYFUNCTION("""COMPUTED_VALUE"""),"Scent Event - Recent-CX - 7_Feb Off - FB (RCS+WA)")</f>
        <v>Scent Event - Recent-CX - 7_Feb Off - FB (RCS+WA)</v>
      </c>
      <c r="H86" s="212" t="str">
        <f>IFERROR(__xludf.DUMMYFUNCTION("""COMPUTED_VALUE"""),"vs_off_pr_frag_recent_2ndFeb")</f>
        <v>vs_off_pr_frag_recent_2ndFeb</v>
      </c>
      <c r="I86" s="211" t="str">
        <f>IFERROR(__xludf.DUMMYFUNCTION("""COMPUTED_VALUE"""),"WA Undelivered")</f>
        <v>WA Undelivered</v>
      </c>
      <c r="J86" s="213">
        <f>IFERROR(__xludf.DUMMYFUNCTION("""COMPUTED_VALUE"""),10396.0)</f>
        <v>10396</v>
      </c>
      <c r="K86" s="213">
        <f>IFERROR(__xludf.DUMMYFUNCTION("""COMPUTED_VALUE"""),7011.0)</f>
        <v>7011</v>
      </c>
      <c r="L86" s="214">
        <f>IFERROR(__xludf.DUMMYFUNCTION("""COMPUTED_VALUE"""),0.6744)</f>
        <v>0.6744</v>
      </c>
      <c r="M86" s="213"/>
      <c r="N86" s="214"/>
      <c r="O86" s="101">
        <f>IFERROR(__xludf.DUMMYFUNCTION("""COMPUTED_VALUE"""),7.0)</f>
        <v>7</v>
      </c>
      <c r="P86" s="101"/>
      <c r="Q86" s="214">
        <f>IFERROR(__xludf.DUMMYFUNCTION("""COMPUTED_VALUE"""),0.001)</f>
        <v>0.001</v>
      </c>
      <c r="R86" s="214"/>
      <c r="S86" s="101">
        <f>IFERROR(__xludf.DUMMYFUNCTION("""COMPUTED_VALUE"""),0.0)</f>
        <v>0</v>
      </c>
      <c r="T86" s="226">
        <f>IFERROR(__xludf.DUMMYFUNCTION("""COMPUTED_VALUE"""),3.0)</f>
        <v>3</v>
      </c>
      <c r="U86" s="224">
        <f>IFERROR(__xludf.DUMMYFUNCTION("""COMPUTED_VALUE"""),0.0)</f>
        <v>0</v>
      </c>
      <c r="V86" s="224" t="str">
        <f>IFERROR(__xludf.DUMMYFUNCTION("""COMPUTED_VALUE"""),"overall")</f>
        <v>overall</v>
      </c>
      <c r="W86" s="229" t="str">
        <f>IFERROR(__xludf.DUMMYFUNCTION("""COMPUTED_VALUE"""),"SMS")</f>
        <v>SMS</v>
      </c>
      <c r="X86" s="229" t="str">
        <f>IFERROR(__xludf.DUMMYFUNCTION("""COMPUTED_VALUE"""),"Recent")</f>
        <v>Recent</v>
      </c>
      <c r="Y86" s="229" t="str">
        <f>IFERROR(__xludf.DUMMYFUNCTION("""COMPUTED_VALUE"""),"07th - 08th Feb")</f>
        <v>07th - 08th Feb</v>
      </c>
      <c r="Z86" s="229" t="str">
        <f>IFERROR(__xludf.DUMMYFUNCTION("""COMPUTED_VALUE"""),"69847cac46e21bf6a8de4726")</f>
        <v>69847cac46e21bf6a8de4726</v>
      </c>
      <c r="AA86" s="229">
        <f>IFERROR(__xludf.DUMMYFUNCTION("""COMPUTED_VALUE"""),3.0)</f>
        <v>3</v>
      </c>
      <c r="AB86" s="229">
        <f>IFERROR(__xludf.DUMMYFUNCTION("""COMPUTED_VALUE"""),0.0)</f>
        <v>0</v>
      </c>
      <c r="AC86" s="229">
        <f>IFERROR(__xludf.DUMMYFUNCTION("""COMPUTED_VALUE"""),3.0)</f>
        <v>3</v>
      </c>
      <c r="AD86" s="229">
        <f>IFERROR(__xludf.DUMMYFUNCTION("""COMPUTED_VALUE"""),11693.0)</f>
        <v>11693</v>
      </c>
      <c r="AE86" s="229">
        <f>IFERROR(__xludf.DUMMYFUNCTION("""COMPUTED_VALUE"""),0.0)</f>
        <v>0</v>
      </c>
      <c r="AF86" s="229">
        <f>IFERROR(__xludf.DUMMYFUNCTION("""COMPUTED_VALUE"""),11693.0)</f>
        <v>11693</v>
      </c>
      <c r="AG86" s="208"/>
      <c r="AH86" s="208"/>
      <c r="AI86" s="208"/>
      <c r="AJ86" s="208"/>
      <c r="AK86" s="208"/>
    </row>
    <row r="87">
      <c r="A87" s="215">
        <f>IFERROR(__xludf.DUMMYFUNCTION("""COMPUTED_VALUE"""),46060.0)</f>
        <v>46060</v>
      </c>
      <c r="B87" s="247">
        <f>IFERROR(__xludf.DUMMYFUNCTION("""COMPUTED_VALUE"""),0.5)</f>
        <v>0.5</v>
      </c>
      <c r="C87" s="218" t="str">
        <f>IFERROR(__xludf.DUMMYFUNCTION("""COMPUTED_VALUE"""),"Sms")</f>
        <v>Sms</v>
      </c>
      <c r="D87" s="218" t="str">
        <f>IFERROR(__xludf.DUMMYFUNCTION("""COMPUTED_VALUE"""),"Fallback Campaign")</f>
        <v>Fallback Campaign</v>
      </c>
      <c r="E87" s="218" t="str">
        <f>IFERROR(__xludf.DUMMYFUNCTION("""COMPUTED_VALUE"""),"VS")</f>
        <v>VS</v>
      </c>
      <c r="F87" s="218" t="str">
        <f>IFERROR(__xludf.DUMMYFUNCTION("""COMPUTED_VALUE"""),"Scent Event")</f>
        <v>Scent Event</v>
      </c>
      <c r="G87" s="212" t="str">
        <f>IFERROR(__xludf.DUMMYFUNCTION("""COMPUTED_VALUE"""),"Scent Event - Loyal-CX - 7_Feb Off - FB (WA+RCS)")</f>
        <v>Scent Event - Loyal-CX - 7_Feb Off - FB (WA+RCS)</v>
      </c>
      <c r="H87" s="212" t="str">
        <f>IFERROR(__xludf.DUMMYFUNCTION("""COMPUTED_VALUE"""),"vs_off_pr_frag_loyal_2ndFeb")</f>
        <v>vs_off_pr_frag_loyal_2ndFeb</v>
      </c>
      <c r="I87" s="211" t="str">
        <f>IFERROR(__xludf.DUMMYFUNCTION("""COMPUTED_VALUE"""),"WA Undelivered")</f>
        <v>WA Undelivered</v>
      </c>
      <c r="J87" s="213">
        <f>IFERROR(__xludf.DUMMYFUNCTION("""COMPUTED_VALUE"""),3340.0)</f>
        <v>3340</v>
      </c>
      <c r="K87" s="213">
        <f>IFERROR(__xludf.DUMMYFUNCTION("""COMPUTED_VALUE"""),2198.0)</f>
        <v>2198</v>
      </c>
      <c r="L87" s="214">
        <f>IFERROR(__xludf.DUMMYFUNCTION("""COMPUTED_VALUE"""),0.6581)</f>
        <v>0.6581</v>
      </c>
      <c r="M87" s="213"/>
      <c r="N87" s="214"/>
      <c r="O87" s="101">
        <f>IFERROR(__xludf.DUMMYFUNCTION("""COMPUTED_VALUE"""),2.0)</f>
        <v>2</v>
      </c>
      <c r="P87" s="101"/>
      <c r="Q87" s="214">
        <f>IFERROR(__xludf.DUMMYFUNCTION("""COMPUTED_VALUE"""),9.0E-4)</f>
        <v>0.0009</v>
      </c>
      <c r="R87" s="214"/>
      <c r="S87" s="101">
        <f>IFERROR(__xludf.DUMMYFUNCTION("""COMPUTED_VALUE"""),1.0)</f>
        <v>1</v>
      </c>
      <c r="T87" s="226">
        <f>IFERROR(__xludf.DUMMYFUNCTION("""COMPUTED_VALUE"""),2.0)</f>
        <v>2</v>
      </c>
      <c r="U87" s="224">
        <f>IFERROR(__xludf.DUMMYFUNCTION("""COMPUTED_VALUE"""),2349.0)</f>
        <v>2349</v>
      </c>
      <c r="V87" s="224" t="str">
        <f>IFERROR(__xludf.DUMMYFUNCTION("""COMPUTED_VALUE"""),"overall")</f>
        <v>overall</v>
      </c>
      <c r="W87" s="229" t="str">
        <f>IFERROR(__xludf.DUMMYFUNCTION("""COMPUTED_VALUE"""),"SMS")</f>
        <v>SMS</v>
      </c>
      <c r="X87" s="229" t="str">
        <f>IFERROR(__xludf.DUMMYFUNCTION("""COMPUTED_VALUE"""),"Loyal")</f>
        <v>Loyal</v>
      </c>
      <c r="Y87" s="229" t="str">
        <f>IFERROR(__xludf.DUMMYFUNCTION("""COMPUTED_VALUE"""),"07th - 08th Feb")</f>
        <v>07th - 08th Feb</v>
      </c>
      <c r="Z87" s="229" t="str">
        <f>IFERROR(__xludf.DUMMYFUNCTION("""COMPUTED_VALUE"""),"69847d31817245fd0a261807")</f>
        <v>69847d31817245fd0a261807</v>
      </c>
      <c r="AA87" s="229">
        <f>IFERROR(__xludf.DUMMYFUNCTION("""COMPUTED_VALUE"""),5.0)</f>
        <v>5</v>
      </c>
      <c r="AB87" s="229">
        <f>IFERROR(__xludf.DUMMYFUNCTION("""COMPUTED_VALUE"""),2.0)</f>
        <v>2</v>
      </c>
      <c r="AC87" s="229">
        <f>IFERROR(__xludf.DUMMYFUNCTION("""COMPUTED_VALUE"""),3.0)</f>
        <v>3</v>
      </c>
      <c r="AD87" s="229">
        <f>IFERROR(__xludf.DUMMYFUNCTION("""COMPUTED_VALUE"""),15514.0)</f>
        <v>15514</v>
      </c>
      <c r="AE87" s="229">
        <f>IFERROR(__xludf.DUMMYFUNCTION("""COMPUTED_VALUE"""),3418.0)</f>
        <v>3418</v>
      </c>
      <c r="AF87" s="229">
        <f>IFERROR(__xludf.DUMMYFUNCTION("""COMPUTED_VALUE"""),12096.0)</f>
        <v>12096</v>
      </c>
      <c r="AG87" s="208"/>
      <c r="AH87" s="208"/>
      <c r="AI87" s="208"/>
      <c r="AJ87" s="208"/>
      <c r="AK87" s="208"/>
    </row>
    <row r="88">
      <c r="A88" s="215">
        <f>IFERROR(__xludf.DUMMYFUNCTION("""COMPUTED_VALUE"""),46060.0)</f>
        <v>46060</v>
      </c>
      <c r="B88" s="247">
        <f>IFERROR(__xludf.DUMMYFUNCTION("""COMPUTED_VALUE"""),0.5)</f>
        <v>0.5</v>
      </c>
      <c r="C88" s="218" t="str">
        <f>IFERROR(__xludf.DUMMYFUNCTION("""COMPUTED_VALUE"""),"Sms")</f>
        <v>Sms</v>
      </c>
      <c r="D88" s="218" t="str">
        <f>IFERROR(__xludf.DUMMYFUNCTION("""COMPUTED_VALUE"""),"Fallback Campaign")</f>
        <v>Fallback Campaign</v>
      </c>
      <c r="E88" s="218" t="str">
        <f>IFERROR(__xludf.DUMMYFUNCTION("""COMPUTED_VALUE"""),"VS")</f>
        <v>VS</v>
      </c>
      <c r="F88" s="218" t="str">
        <f>IFERROR(__xludf.DUMMYFUNCTION("""COMPUTED_VALUE"""),"Scent Event")</f>
        <v>Scent Event</v>
      </c>
      <c r="G88" s="212" t="str">
        <f>IFERROR(__xludf.DUMMYFUNCTION("""COMPUTED_VALUE"""),"Scent Event - Lingerie-CX - 7_Feb Off - FB (WA+RCS)")</f>
        <v>Scent Event - Lingerie-CX - 7_Feb Off - FB (WA+RCS)</v>
      </c>
      <c r="H88" s="212" t="str">
        <f>IFERROR(__xludf.DUMMYFUNCTION("""COMPUTED_VALUE"""),"vs_off_subcatmov_2ndFeb")</f>
        <v>vs_off_subcatmov_2ndFeb</v>
      </c>
      <c r="I88" s="211" t="str">
        <f>IFERROR(__xludf.DUMMYFUNCTION("""COMPUTED_VALUE"""),"WA Undelivered")</f>
        <v>WA Undelivered</v>
      </c>
      <c r="J88" s="213">
        <f>IFERROR(__xludf.DUMMYFUNCTION("""COMPUTED_VALUE"""),30181.0)</f>
        <v>30181</v>
      </c>
      <c r="K88" s="213">
        <f>IFERROR(__xludf.DUMMYFUNCTION("""COMPUTED_VALUE"""),15990.0)</f>
        <v>15990</v>
      </c>
      <c r="L88" s="214">
        <f>IFERROR(__xludf.DUMMYFUNCTION("""COMPUTED_VALUE"""),0.5298)</f>
        <v>0.5298</v>
      </c>
      <c r="M88" s="213"/>
      <c r="N88" s="214"/>
      <c r="O88" s="101">
        <f>IFERROR(__xludf.DUMMYFUNCTION("""COMPUTED_VALUE"""),15.0)</f>
        <v>15</v>
      </c>
      <c r="P88" s="101"/>
      <c r="Q88" s="214">
        <f>IFERROR(__xludf.DUMMYFUNCTION("""COMPUTED_VALUE"""),9.0E-4)</f>
        <v>0.0009</v>
      </c>
      <c r="R88" s="214"/>
      <c r="S88" s="101">
        <f>IFERROR(__xludf.DUMMYFUNCTION("""COMPUTED_VALUE"""),2.0)</f>
        <v>2</v>
      </c>
      <c r="T88" s="226">
        <f>IFERROR(__xludf.DUMMYFUNCTION("""COMPUTED_VALUE"""),9.0)</f>
        <v>9</v>
      </c>
      <c r="U88" s="224">
        <f>IFERROR(__xludf.DUMMYFUNCTION("""COMPUTED_VALUE"""),33758.0)</f>
        <v>33758</v>
      </c>
      <c r="V88" s="224" t="str">
        <f>IFERROR(__xludf.DUMMYFUNCTION("""COMPUTED_VALUE"""),"overall")</f>
        <v>overall</v>
      </c>
      <c r="W88" s="229" t="str">
        <f>IFERROR(__xludf.DUMMYFUNCTION("""COMPUTED_VALUE"""),"SMS")</f>
        <v>SMS</v>
      </c>
      <c r="X88" s="229" t="str">
        <f>IFERROR(__xludf.DUMMYFUNCTION("""COMPUTED_VALUE"""),"Sub-Category Movers")</f>
        <v>Sub-Category Movers</v>
      </c>
      <c r="Y88" s="229" t="str">
        <f>IFERROR(__xludf.DUMMYFUNCTION("""COMPUTED_VALUE"""),"07th - 08th Feb")</f>
        <v>07th - 08th Feb</v>
      </c>
      <c r="Z88" s="229" t="str">
        <f>IFERROR(__xludf.DUMMYFUNCTION("""COMPUTED_VALUE"""),"69847da746e21bf6a8de47ba")</f>
        <v>69847da746e21bf6a8de47ba</v>
      </c>
      <c r="AA88" s="229">
        <f>IFERROR(__xludf.DUMMYFUNCTION("""COMPUTED_VALUE"""),14.0)</f>
        <v>14</v>
      </c>
      <c r="AB88" s="229">
        <f>IFERROR(__xludf.DUMMYFUNCTION("""COMPUTED_VALUE"""),2.0)</f>
        <v>2</v>
      </c>
      <c r="AC88" s="229">
        <f>IFERROR(__xludf.DUMMYFUNCTION("""COMPUTED_VALUE"""),12.0)</f>
        <v>12</v>
      </c>
      <c r="AD88" s="229">
        <f>IFERROR(__xludf.DUMMYFUNCTION("""COMPUTED_VALUE"""),191988.0)</f>
        <v>191988</v>
      </c>
      <c r="AE88" s="229">
        <f>IFERROR(__xludf.DUMMYFUNCTION("""COMPUTED_VALUE"""),13055.0)</f>
        <v>13055</v>
      </c>
      <c r="AF88" s="229">
        <f>IFERROR(__xludf.DUMMYFUNCTION("""COMPUTED_VALUE"""),178933.0)</f>
        <v>178933</v>
      </c>
      <c r="AG88" s="208"/>
      <c r="AH88" s="208"/>
      <c r="AI88" s="208"/>
      <c r="AJ88" s="208"/>
      <c r="AK88" s="208"/>
    </row>
    <row r="89">
      <c r="A89" s="215">
        <f>IFERROR(__xludf.DUMMYFUNCTION("""COMPUTED_VALUE"""),46060.0)</f>
        <v>46060</v>
      </c>
      <c r="B89" s="247">
        <f>IFERROR(__xludf.DUMMYFUNCTION("""COMPUTED_VALUE"""),0.5)</f>
        <v>0.5</v>
      </c>
      <c r="C89" s="218" t="str">
        <f>IFERROR(__xludf.DUMMYFUNCTION("""COMPUTED_VALUE"""),"Sms")</f>
        <v>Sms</v>
      </c>
      <c r="D89" s="218" t="str">
        <f>IFERROR(__xludf.DUMMYFUNCTION("""COMPUTED_VALUE"""),"Fallback Campaign")</f>
        <v>Fallback Campaign</v>
      </c>
      <c r="E89" s="218" t="str">
        <f>IFERROR(__xludf.DUMMYFUNCTION("""COMPUTED_VALUE"""),"VS")</f>
        <v>VS</v>
      </c>
      <c r="F89" s="218" t="str">
        <f>IFERROR(__xludf.DUMMYFUNCTION("""COMPUTED_VALUE"""),"Scent Event")</f>
        <v>Scent Event</v>
      </c>
      <c r="G89" s="212" t="str">
        <f>IFERROR(__xludf.DUMMYFUNCTION("""COMPUTED_VALUE"""),"Scent Event - BTY-CX - 7_Feb Off - FB (WA+RCS)")</f>
        <v>Scent Event - BTY-CX - 7_Feb Off - FB (WA+RCS)</v>
      </c>
      <c r="H89" s="212" t="str">
        <f>IFERROR(__xludf.DUMMYFUNCTION("""COMPUTED_VALUE"""),"vs_off_pr_catmov_2ndFeb")</f>
        <v>vs_off_pr_catmov_2ndFeb</v>
      </c>
      <c r="I89" s="211" t="str">
        <f>IFERROR(__xludf.DUMMYFUNCTION("""COMPUTED_VALUE"""),"WA Undelivered")</f>
        <v>WA Undelivered</v>
      </c>
      <c r="J89" s="213">
        <f>IFERROR(__xludf.DUMMYFUNCTION("""COMPUTED_VALUE"""),21954.0)</f>
        <v>21954</v>
      </c>
      <c r="K89" s="213">
        <f>IFERROR(__xludf.DUMMYFUNCTION("""COMPUTED_VALUE"""),13386.0)</f>
        <v>13386</v>
      </c>
      <c r="L89" s="214">
        <f>IFERROR(__xludf.DUMMYFUNCTION("""COMPUTED_VALUE"""),0.6097)</f>
        <v>0.6097</v>
      </c>
      <c r="M89" s="213"/>
      <c r="N89" s="214"/>
      <c r="O89" s="101">
        <f>IFERROR(__xludf.DUMMYFUNCTION("""COMPUTED_VALUE"""),6.0)</f>
        <v>6</v>
      </c>
      <c r="P89" s="101"/>
      <c r="Q89" s="214">
        <f>IFERROR(__xludf.DUMMYFUNCTION("""COMPUTED_VALUE"""),4.0E-4)</f>
        <v>0.0004</v>
      </c>
      <c r="R89" s="214"/>
      <c r="S89" s="101">
        <f>IFERROR(__xludf.DUMMYFUNCTION("""COMPUTED_VALUE"""),4.0)</f>
        <v>4</v>
      </c>
      <c r="T89" s="226">
        <f>IFERROR(__xludf.DUMMYFUNCTION("""COMPUTED_VALUE"""),2.0)</f>
        <v>2</v>
      </c>
      <c r="U89" s="224">
        <f>IFERROR(__xludf.DUMMYFUNCTION("""COMPUTED_VALUE"""),17014.0)</f>
        <v>17014</v>
      </c>
      <c r="V89" s="224" t="str">
        <f>IFERROR(__xludf.DUMMYFUNCTION("""COMPUTED_VALUE"""),"overall")</f>
        <v>overall</v>
      </c>
      <c r="W89" s="229" t="str">
        <f>IFERROR(__xludf.DUMMYFUNCTION("""COMPUTED_VALUE"""),"SMS")</f>
        <v>SMS</v>
      </c>
      <c r="X89" s="229" t="str">
        <f>IFERROR(__xludf.DUMMYFUNCTION("""COMPUTED_VALUE"""),"Category Movers")</f>
        <v>Category Movers</v>
      </c>
      <c r="Y89" s="229" t="str">
        <f>IFERROR(__xludf.DUMMYFUNCTION("""COMPUTED_VALUE"""),"07th - 08th Feb")</f>
        <v>07th - 08th Feb</v>
      </c>
      <c r="Z89" s="229" t="str">
        <f>IFERROR(__xludf.DUMMYFUNCTION("""COMPUTED_VALUE"""),"69847e44482315bd7b475855")</f>
        <v>69847e44482315bd7b475855</v>
      </c>
      <c r="AA89" s="229">
        <f>IFERROR(__xludf.DUMMYFUNCTION("""COMPUTED_VALUE"""),15.0)</f>
        <v>15</v>
      </c>
      <c r="AB89" s="229">
        <f>IFERROR(__xludf.DUMMYFUNCTION("""COMPUTED_VALUE"""),2.0)</f>
        <v>2</v>
      </c>
      <c r="AC89" s="229">
        <f>IFERROR(__xludf.DUMMYFUNCTION("""COMPUTED_VALUE"""),13.0)</f>
        <v>13</v>
      </c>
      <c r="AD89" s="229">
        <f>IFERROR(__xludf.DUMMYFUNCTION("""COMPUTED_VALUE"""),86319.0)</f>
        <v>86319</v>
      </c>
      <c r="AE89" s="229">
        <f>IFERROR(__xludf.DUMMYFUNCTION("""COMPUTED_VALUE"""),7416.0)</f>
        <v>7416</v>
      </c>
      <c r="AF89" s="229">
        <f>IFERROR(__xludf.DUMMYFUNCTION("""COMPUTED_VALUE"""),78903.0)</f>
        <v>78903</v>
      </c>
      <c r="AG89" s="208"/>
      <c r="AH89" s="208"/>
      <c r="AI89" s="208"/>
      <c r="AJ89" s="208"/>
      <c r="AK89" s="208"/>
    </row>
    <row r="90">
      <c r="A90" s="215">
        <f>IFERROR(__xludf.DUMMYFUNCTION("""COMPUTED_VALUE"""),46060.0)</f>
        <v>46060</v>
      </c>
      <c r="B90" s="247">
        <f>IFERROR(__xludf.DUMMYFUNCTION("""COMPUTED_VALUE"""),0.5)</f>
        <v>0.5</v>
      </c>
      <c r="C90" s="218" t="str">
        <f>IFERROR(__xludf.DUMMYFUNCTION("""COMPUTED_VALUE"""),"Sms")</f>
        <v>Sms</v>
      </c>
      <c r="D90" s="218" t="str">
        <f>IFERROR(__xludf.DUMMYFUNCTION("""COMPUTED_VALUE"""),"Fallback Campaign")</f>
        <v>Fallback Campaign</v>
      </c>
      <c r="E90" s="218" t="str">
        <f>IFERROR(__xludf.DUMMYFUNCTION("""COMPUTED_VALUE"""),"VS")</f>
        <v>VS</v>
      </c>
      <c r="F90" s="218" t="str">
        <f>IFERROR(__xludf.DUMMYFUNCTION("""COMPUTED_VALUE"""),"Scent Event")</f>
        <v>Scent Event</v>
      </c>
      <c r="G90" s="212" t="str">
        <f>IFERROR(__xludf.DUMMYFUNCTION("""COMPUTED_VALUE"""),"Scent Event - Genric - 7_Feb Off - FB (WA+RCS)")</f>
        <v>Scent Event - Genric - 7_Feb Off - FB (WA+RCS)</v>
      </c>
      <c r="H90" s="212" t="str">
        <f>IFERROR(__xludf.DUMMYFUNCTION("""COMPUTED_VALUE"""),"vs_off_pr_gen_2ndFeb")</f>
        <v>vs_off_pr_gen_2ndFeb</v>
      </c>
      <c r="I90" s="211" t="str">
        <f>IFERROR(__xludf.DUMMYFUNCTION("""COMPUTED_VALUE"""),"WA Undelivered")</f>
        <v>WA Undelivered</v>
      </c>
      <c r="J90" s="213">
        <f>IFERROR(__xludf.DUMMYFUNCTION("""COMPUTED_VALUE"""),66646.0)</f>
        <v>66646</v>
      </c>
      <c r="K90" s="213">
        <f>IFERROR(__xludf.DUMMYFUNCTION("""COMPUTED_VALUE"""),43466.0)</f>
        <v>43466</v>
      </c>
      <c r="L90" s="214">
        <f>IFERROR(__xludf.DUMMYFUNCTION("""COMPUTED_VALUE"""),0.6522)</f>
        <v>0.6522</v>
      </c>
      <c r="M90" s="213"/>
      <c r="N90" s="214"/>
      <c r="O90" s="101">
        <f>IFERROR(__xludf.DUMMYFUNCTION("""COMPUTED_VALUE"""),21.0)</f>
        <v>21</v>
      </c>
      <c r="P90" s="101"/>
      <c r="Q90" s="214">
        <f>IFERROR(__xludf.DUMMYFUNCTION("""COMPUTED_VALUE"""),5.0E-4)</f>
        <v>0.0005</v>
      </c>
      <c r="R90" s="214"/>
      <c r="S90" s="101">
        <f>IFERROR(__xludf.DUMMYFUNCTION("""COMPUTED_VALUE"""),3.0)</f>
        <v>3</v>
      </c>
      <c r="T90" s="226">
        <f>IFERROR(__xludf.DUMMYFUNCTION("""COMPUTED_VALUE"""),13.0)</f>
        <v>13</v>
      </c>
      <c r="U90" s="224">
        <f>IFERROR(__xludf.DUMMYFUNCTION("""COMPUTED_VALUE"""),13053.0)</f>
        <v>13053</v>
      </c>
      <c r="V90" s="224" t="str">
        <f>IFERROR(__xludf.DUMMYFUNCTION("""COMPUTED_VALUE"""),"overall")</f>
        <v>overall</v>
      </c>
      <c r="W90" s="229" t="str">
        <f>IFERROR(__xludf.DUMMYFUNCTION("""COMPUTED_VALUE"""),"SMS")</f>
        <v>SMS</v>
      </c>
      <c r="X90" s="229" t="str">
        <f>IFERROR(__xludf.DUMMYFUNCTION("""COMPUTED_VALUE"""),"Generic")</f>
        <v>Generic</v>
      </c>
      <c r="Y90" s="229" t="str">
        <f>IFERROR(__xludf.DUMMYFUNCTION("""COMPUTED_VALUE"""),"07th - 08th Feb")</f>
        <v>07th - 08th Feb</v>
      </c>
      <c r="Z90" s="229" t="str">
        <f>IFERROR(__xludf.DUMMYFUNCTION("""COMPUTED_VALUE"""),"69847ebfecdc20fe30c514c5")</f>
        <v>69847ebfecdc20fe30c514c5</v>
      </c>
      <c r="AA90" s="229">
        <f>IFERROR(__xludf.DUMMYFUNCTION("""COMPUTED_VALUE"""),15.0)</f>
        <v>15</v>
      </c>
      <c r="AB90" s="229">
        <f>IFERROR(__xludf.DUMMYFUNCTION("""COMPUTED_VALUE"""),4.0)</f>
        <v>4</v>
      </c>
      <c r="AC90" s="229">
        <f>IFERROR(__xludf.DUMMYFUNCTION("""COMPUTED_VALUE"""),11.0)</f>
        <v>11</v>
      </c>
      <c r="AD90" s="229">
        <f>IFERROR(__xludf.DUMMYFUNCTION("""COMPUTED_VALUE"""),93277.0)</f>
        <v>93277</v>
      </c>
      <c r="AE90" s="229">
        <f>IFERROR(__xludf.DUMMYFUNCTION("""COMPUTED_VALUE"""),17173.0)</f>
        <v>17173</v>
      </c>
      <c r="AF90" s="229">
        <f>IFERROR(__xludf.DUMMYFUNCTION("""COMPUTED_VALUE"""),76104.0)</f>
        <v>76104</v>
      </c>
      <c r="AG90" s="208"/>
      <c r="AH90" s="208"/>
      <c r="AI90" s="208"/>
      <c r="AJ90" s="208"/>
      <c r="AK90" s="208"/>
    </row>
    <row r="91">
      <c r="A91" s="245">
        <f>IFERROR(__xludf.DUMMYFUNCTION("""COMPUTED_VALUE"""),46063.0)</f>
        <v>46063</v>
      </c>
      <c r="B91" s="246">
        <f>IFERROR(__xludf.DUMMYFUNCTION("""COMPUTED_VALUE"""),0.5208333333321207)</f>
        <v>0.5208333333</v>
      </c>
      <c r="C91" s="222" t="str">
        <f>IFERROR(__xludf.DUMMYFUNCTION("""COMPUTED_VALUE"""),"Whatsapp")</f>
        <v>Whatsapp</v>
      </c>
      <c r="D91" s="222" t="str">
        <f>IFERROR(__xludf.DUMMYFUNCTION("""COMPUTED_VALUE"""),"Promotional")</f>
        <v>Promotional</v>
      </c>
      <c r="E91" s="222" t="str">
        <f>IFERROR(__xludf.DUMMYFUNCTION("""COMPUTED_VALUE"""),"VS")</f>
        <v>VS</v>
      </c>
      <c r="F91" s="222" t="str">
        <f>IFERROR(__xludf.DUMMYFUNCTION("""COMPUTED_VALUE"""),"Valentine's Day")</f>
        <v>Valentine's Day</v>
      </c>
      <c r="G91" s="221" t="str">
        <f>IFERROR(__xludf.DUMMYFUNCTION("""COMPUTED_VALUE"""),"Valentines Day Campaign - V-Day CX")</f>
        <v>Valentines Day Campaign - V-Day CX</v>
      </c>
      <c r="H91" s="223" t="str">
        <f>IFERROR(__xludf.DUMMYFUNCTION("""COMPUTED_VALUE"""),"Valentine_Buyers_OnOff OR AGIPL_Internal")</f>
        <v>Valentine_Buyers_OnOff OR AGIPL_Internal</v>
      </c>
      <c r="I91" s="221" t="str">
        <f>IFERROR(__xludf.DUMMYFUNCTION("""COMPUTED_VALUE"""),"Customers who have purchased between Feb 10-14, 2023; Feb 6-14, 2024; Feb 6-14, 2025")</f>
        <v>Customers who have purchased between Feb 10-14, 2023; Feb 6-14, 2024; Feb 6-14, 2025</v>
      </c>
      <c r="J91" s="224">
        <f>IFERROR(__xludf.DUMMYFUNCTION("""COMPUTED_VALUE"""),7626.0)</f>
        <v>7626</v>
      </c>
      <c r="K91" s="224">
        <f>IFERROR(__xludf.DUMMYFUNCTION("""COMPUTED_VALUE"""),3441.0)</f>
        <v>3441</v>
      </c>
      <c r="L91" s="225">
        <f>IFERROR(__xludf.DUMMYFUNCTION("""COMPUTED_VALUE"""),0.4512)</f>
        <v>0.4512</v>
      </c>
      <c r="M91" s="224">
        <f>IFERROR(__xludf.DUMMYFUNCTION("""COMPUTED_VALUE"""),732.0)</f>
        <v>732</v>
      </c>
      <c r="N91" s="225">
        <f>IFERROR(__xludf.DUMMYFUNCTION("""COMPUTED_VALUE"""),0.2128)</f>
        <v>0.2128</v>
      </c>
      <c r="O91" s="224">
        <f>IFERROR(__xludf.DUMMYFUNCTION("""COMPUTED_VALUE"""),59.0)</f>
        <v>59</v>
      </c>
      <c r="P91" s="224">
        <f>IFERROR(__xludf.DUMMYFUNCTION("""COMPUTED_VALUE"""),44.0)</f>
        <v>44</v>
      </c>
      <c r="Q91" s="225">
        <f>IFERROR(__xludf.DUMMYFUNCTION("""COMPUTED_VALUE"""),0.0128)</f>
        <v>0.0128</v>
      </c>
      <c r="R91" s="225">
        <f>IFERROR(__xludf.DUMMYFUNCTION("""COMPUTED_VALUE"""),0.0601)</f>
        <v>0.0601</v>
      </c>
      <c r="S91" s="226">
        <f>IFERROR(__xludf.DUMMYFUNCTION("""COMPUTED_VALUE"""),1.0)</f>
        <v>1</v>
      </c>
      <c r="T91" s="226">
        <f>IFERROR(__xludf.DUMMYFUNCTION("""COMPUTED_VALUE"""),4.0)</f>
        <v>4</v>
      </c>
      <c r="U91" s="224">
        <f>IFERROR(__xludf.DUMMYFUNCTION("""COMPUTED_VALUE"""),2595.0)</f>
        <v>2595</v>
      </c>
      <c r="V91" s="224" t="str">
        <f>IFERROR(__xludf.DUMMYFUNCTION("""COMPUTED_VALUE"""),"overall")</f>
        <v>overall</v>
      </c>
      <c r="W91" s="229" t="str">
        <f>IFERROR(__xludf.DUMMYFUNCTION("""COMPUTED_VALUE"""),"carousel")</f>
        <v>carousel</v>
      </c>
      <c r="X91" s="229" t="str">
        <f>IFERROR(__xludf.DUMMYFUNCTION("""COMPUTED_VALUE"""),"Event Buyers")</f>
        <v>Event Buyers</v>
      </c>
      <c r="Y91" s="229" t="str">
        <f>IFERROR(__xludf.DUMMYFUNCTION("""COMPUTED_VALUE"""),"10th - 14th Feb")</f>
        <v>10th - 14th Feb</v>
      </c>
      <c r="Z91" s="229" t="str">
        <f>IFERROR(__xludf.DUMMYFUNCTION("""COMPUTED_VALUE"""),"698ad71f0fdc522aa7863245")</f>
        <v>698ad71f0fdc522aa7863245</v>
      </c>
      <c r="AA91" s="229">
        <f>IFERROR(__xludf.DUMMYFUNCTION("""COMPUTED_VALUE"""),16.0)</f>
        <v>16</v>
      </c>
      <c r="AB91" s="229">
        <f>IFERROR(__xludf.DUMMYFUNCTION("""COMPUTED_VALUE"""),7.0)</f>
        <v>7</v>
      </c>
      <c r="AC91" s="229">
        <f>IFERROR(__xludf.DUMMYFUNCTION("""COMPUTED_VALUE"""),9.0)</f>
        <v>9</v>
      </c>
      <c r="AD91" s="229">
        <f>IFERROR(__xludf.DUMMYFUNCTION("""COMPUTED_VALUE"""),99321.0)</f>
        <v>99321</v>
      </c>
      <c r="AE91" s="229">
        <f>IFERROR(__xludf.DUMMYFUNCTION("""COMPUTED_VALUE"""),63414.0)</f>
        <v>63414</v>
      </c>
      <c r="AF91" s="229">
        <f>IFERROR(__xludf.DUMMYFUNCTION("""COMPUTED_VALUE"""),35907.0)</f>
        <v>35907</v>
      </c>
      <c r="AG91" s="208"/>
      <c r="AH91" s="208"/>
      <c r="AI91" s="208"/>
      <c r="AJ91" s="208"/>
      <c r="AK91" s="208"/>
    </row>
    <row r="92">
      <c r="A92" s="245">
        <f>IFERROR(__xludf.DUMMYFUNCTION("""COMPUTED_VALUE"""),46063.0)</f>
        <v>46063</v>
      </c>
      <c r="B92" s="246">
        <f>IFERROR(__xludf.DUMMYFUNCTION("""COMPUTED_VALUE"""),0.5243055555547471)</f>
        <v>0.5243055556</v>
      </c>
      <c r="C92" s="222" t="str">
        <f>IFERROR(__xludf.DUMMYFUNCTION("""COMPUTED_VALUE"""),"Whatsapp")</f>
        <v>Whatsapp</v>
      </c>
      <c r="D92" s="222" t="str">
        <f>IFERROR(__xludf.DUMMYFUNCTION("""COMPUTED_VALUE"""),"Promotional")</f>
        <v>Promotional</v>
      </c>
      <c r="E92" s="222" t="str">
        <f>IFERROR(__xludf.DUMMYFUNCTION("""COMPUTED_VALUE"""),"VS")</f>
        <v>VS</v>
      </c>
      <c r="F92" s="222" t="str">
        <f>IFERROR(__xludf.DUMMYFUNCTION("""COMPUTED_VALUE"""),"Valentine's Day")</f>
        <v>Valentine's Day</v>
      </c>
      <c r="G92" s="221" t="str">
        <f>IFERROR(__xludf.DUMMYFUNCTION("""COMPUTED_VALUE"""),"Valentines Day Campaign - Full Price CX")</f>
        <v>Valentines Day Campaign - Full Price CX</v>
      </c>
      <c r="H92" s="223" t="str">
        <f>IFERROR(__xludf.DUMMYFUNCTION("""COMPUTED_VALUE"""),"VS_Map_FullPriceUsers")</f>
        <v>VS_Map_FullPriceUsers</v>
      </c>
      <c r="I92" s="221" t="str">
        <f>IFERROR(__xludf.DUMMYFUNCTION("""COMPUTED_VALUE"""),"Customer who have purchased at full price in last 36 months")</f>
        <v>Customer who have purchased at full price in last 36 months</v>
      </c>
      <c r="J92" s="224">
        <f>IFERROR(__xludf.DUMMYFUNCTION("""COMPUTED_VALUE"""),14542.0)</f>
        <v>14542</v>
      </c>
      <c r="K92" s="224">
        <f>IFERROR(__xludf.DUMMYFUNCTION("""COMPUTED_VALUE"""),6656.0)</f>
        <v>6656</v>
      </c>
      <c r="L92" s="225">
        <f>IFERROR(__xludf.DUMMYFUNCTION("""COMPUTED_VALUE"""),0.4577)</f>
        <v>0.4577</v>
      </c>
      <c r="M92" s="224">
        <f>IFERROR(__xludf.DUMMYFUNCTION("""COMPUTED_VALUE"""),1524.0)</f>
        <v>1524</v>
      </c>
      <c r="N92" s="225">
        <f>IFERROR(__xludf.DUMMYFUNCTION("""COMPUTED_VALUE"""),0.2287)</f>
        <v>0.2287</v>
      </c>
      <c r="O92" s="224">
        <f>IFERROR(__xludf.DUMMYFUNCTION("""COMPUTED_VALUE"""),97.0)</f>
        <v>97</v>
      </c>
      <c r="P92" s="224">
        <f>IFERROR(__xludf.DUMMYFUNCTION("""COMPUTED_VALUE"""),82.0)</f>
        <v>82</v>
      </c>
      <c r="Q92" s="225">
        <f>IFERROR(__xludf.DUMMYFUNCTION("""COMPUTED_VALUE"""),0.0123)</f>
        <v>0.0123</v>
      </c>
      <c r="R92" s="225">
        <f>IFERROR(__xludf.DUMMYFUNCTION("""COMPUTED_VALUE"""),0.0539)</f>
        <v>0.0539</v>
      </c>
      <c r="S92" s="226">
        <f>IFERROR(__xludf.DUMMYFUNCTION("""COMPUTED_VALUE"""),1.0)</f>
        <v>1</v>
      </c>
      <c r="T92" s="226">
        <f>IFERROR(__xludf.DUMMYFUNCTION("""COMPUTED_VALUE"""),2.0)</f>
        <v>2</v>
      </c>
      <c r="U92" s="224">
        <f>IFERROR(__xludf.DUMMYFUNCTION("""COMPUTED_VALUE"""),4814.0)</f>
        <v>4814</v>
      </c>
      <c r="V92" s="224" t="str">
        <f>IFERROR(__xludf.DUMMYFUNCTION("""COMPUTED_VALUE"""),"overall")</f>
        <v>overall</v>
      </c>
      <c r="W92" s="229" t="str">
        <f>IFERROR(__xludf.DUMMYFUNCTION("""COMPUTED_VALUE"""),"carousel")</f>
        <v>carousel</v>
      </c>
      <c r="X92" s="229" t="str">
        <f>IFERROR(__xludf.DUMMYFUNCTION("""COMPUTED_VALUE"""),"Full Price Shopper")</f>
        <v>Full Price Shopper</v>
      </c>
      <c r="Y92" s="229" t="str">
        <f>IFERROR(__xludf.DUMMYFUNCTION("""COMPUTED_VALUE"""),"10th - 14th Feb")</f>
        <v>10th - 14th Feb</v>
      </c>
      <c r="Z92" s="229" t="str">
        <f>IFERROR(__xludf.DUMMYFUNCTION("""COMPUTED_VALUE"""),"698ad79f7614b06d5400bab2")</f>
        <v>698ad79f7614b06d5400bab2</v>
      </c>
      <c r="AA92" s="229">
        <f>IFERROR(__xludf.DUMMYFUNCTION("""COMPUTED_VALUE"""),12.0)</f>
        <v>12</v>
      </c>
      <c r="AB92" s="229">
        <f>IFERROR(__xludf.DUMMYFUNCTION("""COMPUTED_VALUE"""),8.0)</f>
        <v>8</v>
      </c>
      <c r="AC92" s="229">
        <f>IFERROR(__xludf.DUMMYFUNCTION("""COMPUTED_VALUE"""),4.0)</f>
        <v>4</v>
      </c>
      <c r="AD92" s="229">
        <f>IFERROR(__xludf.DUMMYFUNCTION("""COMPUTED_VALUE"""),64142.0)</f>
        <v>64142</v>
      </c>
      <c r="AE92" s="229">
        <f>IFERROR(__xludf.DUMMYFUNCTION("""COMPUTED_VALUE"""),52262.0)</f>
        <v>52262</v>
      </c>
      <c r="AF92" s="229">
        <f>IFERROR(__xludf.DUMMYFUNCTION("""COMPUTED_VALUE"""),11880.0)</f>
        <v>11880</v>
      </c>
      <c r="AG92" s="208"/>
      <c r="AH92" s="208"/>
      <c r="AI92" s="208"/>
      <c r="AJ92" s="208"/>
      <c r="AK92" s="208"/>
    </row>
    <row r="93">
      <c r="A93" s="245">
        <f>IFERROR(__xludf.DUMMYFUNCTION("""COMPUTED_VALUE"""),46063.0)</f>
        <v>46063</v>
      </c>
      <c r="B93" s="246">
        <f>IFERROR(__xludf.DUMMYFUNCTION("""COMPUTED_VALUE"""),0.5277777777773736)</f>
        <v>0.5277777778</v>
      </c>
      <c r="C93" s="222" t="str">
        <f>IFERROR(__xludf.DUMMYFUNCTION("""COMPUTED_VALUE"""),"Whatsapp")</f>
        <v>Whatsapp</v>
      </c>
      <c r="D93" s="222" t="str">
        <f>IFERROR(__xludf.DUMMYFUNCTION("""COMPUTED_VALUE"""),"Promotional")</f>
        <v>Promotional</v>
      </c>
      <c r="E93" s="222" t="str">
        <f>IFERROR(__xludf.DUMMYFUNCTION("""COMPUTED_VALUE"""),"VS")</f>
        <v>VS</v>
      </c>
      <c r="F93" s="222" t="str">
        <f>IFERROR(__xludf.DUMMYFUNCTION("""COMPUTED_VALUE"""),"Valentine's Day")</f>
        <v>Valentine's Day</v>
      </c>
      <c r="G93" s="221" t="str">
        <f>IFERROR(__xludf.DUMMYFUNCTION("""COMPUTED_VALUE"""),"Valentines Day Campaign - Loyal CX")</f>
        <v>Valentines Day Campaign - Loyal CX</v>
      </c>
      <c r="H93" s="223" t="str">
        <f>IFERROR(__xludf.DUMMYFUNCTION("""COMPUTED_VALUE"""),"Loyal_9-Feb-26")</f>
        <v>Loyal_9-Feb-26</v>
      </c>
      <c r="I93" s="221" t="str">
        <f>IFERROR(__xludf.DUMMYFUNCTION("""COMPUTED_VALUE"""),"Customers who have purchased at least 3 times in the last 36 months")</f>
        <v>Customers who have purchased at least 3 times in the last 36 months</v>
      </c>
      <c r="J93" s="224">
        <f>IFERROR(__xludf.DUMMYFUNCTION("""COMPUTED_VALUE"""),39264.0)</f>
        <v>39264</v>
      </c>
      <c r="K93" s="224">
        <f>IFERROR(__xludf.DUMMYFUNCTION("""COMPUTED_VALUE"""),16065.0)</f>
        <v>16065</v>
      </c>
      <c r="L93" s="225">
        <f>IFERROR(__xludf.DUMMYFUNCTION("""COMPUTED_VALUE"""),0.4092)</f>
        <v>0.4092</v>
      </c>
      <c r="M93" s="224">
        <f>IFERROR(__xludf.DUMMYFUNCTION("""COMPUTED_VALUE"""),2937.0)</f>
        <v>2937</v>
      </c>
      <c r="N93" s="225">
        <f>IFERROR(__xludf.DUMMYFUNCTION("""COMPUTED_VALUE"""),0.1828)</f>
        <v>0.1828</v>
      </c>
      <c r="O93" s="224">
        <f>IFERROR(__xludf.DUMMYFUNCTION("""COMPUTED_VALUE"""),281.0)</f>
        <v>281</v>
      </c>
      <c r="P93" s="224">
        <f>IFERROR(__xludf.DUMMYFUNCTION("""COMPUTED_VALUE"""),248.0)</f>
        <v>248</v>
      </c>
      <c r="Q93" s="225">
        <f>IFERROR(__xludf.DUMMYFUNCTION("""COMPUTED_VALUE"""),0.0154)</f>
        <v>0.0154</v>
      </c>
      <c r="R93" s="225">
        <f>IFERROR(__xludf.DUMMYFUNCTION("""COMPUTED_VALUE"""),0.0844)</f>
        <v>0.0844</v>
      </c>
      <c r="S93" s="226">
        <f>IFERROR(__xludf.DUMMYFUNCTION("""COMPUTED_VALUE"""),29.0)</f>
        <v>29</v>
      </c>
      <c r="T93" s="226">
        <f>IFERROR(__xludf.DUMMYFUNCTION("""COMPUTED_VALUE"""),75.0)</f>
        <v>75</v>
      </c>
      <c r="U93" s="224">
        <f>IFERROR(__xludf.DUMMYFUNCTION("""COMPUTED_VALUE"""),132822.0)</f>
        <v>132822</v>
      </c>
      <c r="V93" s="224" t="str">
        <f>IFERROR(__xludf.DUMMYFUNCTION("""COMPUTED_VALUE"""),"overall")</f>
        <v>overall</v>
      </c>
      <c r="W93" s="229" t="str">
        <f>IFERROR(__xludf.DUMMYFUNCTION("""COMPUTED_VALUE"""),"carousel")</f>
        <v>carousel</v>
      </c>
      <c r="X93" s="229" t="str">
        <f>IFERROR(__xludf.DUMMYFUNCTION("""COMPUTED_VALUE"""),"Repeat")</f>
        <v>Repeat</v>
      </c>
      <c r="Y93" s="229" t="str">
        <f>IFERROR(__xludf.DUMMYFUNCTION("""COMPUTED_VALUE"""),"10th - 14th Feb")</f>
        <v>10th - 14th Feb</v>
      </c>
      <c r="Z93" s="229" t="str">
        <f>IFERROR(__xludf.DUMMYFUNCTION("""COMPUTED_VALUE"""),"698ad7e37bca44101928b278")</f>
        <v>698ad7e37bca44101928b278</v>
      </c>
      <c r="AA93" s="229">
        <f>IFERROR(__xludf.DUMMYFUNCTION("""COMPUTED_VALUE"""),153.0)</f>
        <v>153</v>
      </c>
      <c r="AB93" s="229">
        <f>IFERROR(__xludf.DUMMYFUNCTION("""COMPUTED_VALUE"""),70.0)</f>
        <v>70</v>
      </c>
      <c r="AC93" s="229">
        <f>IFERROR(__xludf.DUMMYFUNCTION("""COMPUTED_VALUE"""),83.0)</f>
        <v>83</v>
      </c>
      <c r="AD93" s="229">
        <f>IFERROR(__xludf.DUMMYFUNCTION("""COMPUTED_VALUE"""),1185836.0)</f>
        <v>1185836</v>
      </c>
      <c r="AE93" s="229">
        <f>IFERROR(__xludf.DUMMYFUNCTION("""COMPUTED_VALUE"""),639243.0)</f>
        <v>639243</v>
      </c>
      <c r="AF93" s="229">
        <f>IFERROR(__xludf.DUMMYFUNCTION("""COMPUTED_VALUE"""),546593.0)</f>
        <v>546593</v>
      </c>
      <c r="AG93" s="208"/>
      <c r="AH93" s="208"/>
      <c r="AI93" s="208"/>
      <c r="AJ93" s="208"/>
      <c r="AK93" s="208"/>
    </row>
    <row r="94">
      <c r="A94" s="245">
        <f>IFERROR(__xludf.DUMMYFUNCTION("""COMPUTED_VALUE"""),46063.0)</f>
        <v>46063</v>
      </c>
      <c r="B94" s="246">
        <f>IFERROR(__xludf.DUMMYFUNCTION("""COMPUTED_VALUE"""),0.53125)</f>
        <v>0.53125</v>
      </c>
      <c r="C94" s="222" t="str">
        <f>IFERROR(__xludf.DUMMYFUNCTION("""COMPUTED_VALUE"""),"Whatsapp")</f>
        <v>Whatsapp</v>
      </c>
      <c r="D94" s="222" t="str">
        <f>IFERROR(__xludf.DUMMYFUNCTION("""COMPUTED_VALUE"""),"Promotional")</f>
        <v>Promotional</v>
      </c>
      <c r="E94" s="222" t="str">
        <f>IFERROR(__xludf.DUMMYFUNCTION("""COMPUTED_VALUE"""),"VS")</f>
        <v>VS</v>
      </c>
      <c r="F94" s="222" t="str">
        <f>IFERROR(__xludf.DUMMYFUNCTION("""COMPUTED_VALUE"""),"Valentine's Day")</f>
        <v>Valentine's Day</v>
      </c>
      <c r="G94" s="221" t="str">
        <f>IFERROR(__xludf.DUMMYFUNCTION("""COMPUTED_VALUE"""),"Valentines Day Campaign - Active CX")</f>
        <v>Valentines Day Campaign - Active CX</v>
      </c>
      <c r="H94" s="223" t="str">
        <f>IFERROR(__xludf.DUMMYFUNCTION("""COMPUTED_VALUE"""),"Active_9-Feb-26")</f>
        <v>Active_9-Feb-26</v>
      </c>
      <c r="I94" s="223" t="str">
        <f>IFERROR(__xludf.DUMMYFUNCTION("""COMPUTED_VALUE"""),"Customers who have purchased once in TTR (86 days)")</f>
        <v>Customers who have purchased once in TTR (86 days)</v>
      </c>
      <c r="J94" s="224">
        <f>IFERROR(__xludf.DUMMYFUNCTION("""COMPUTED_VALUE"""),51071.0)</f>
        <v>51071</v>
      </c>
      <c r="K94" s="224">
        <f>IFERROR(__xludf.DUMMYFUNCTION("""COMPUTED_VALUE"""),25199.0)</f>
        <v>25199</v>
      </c>
      <c r="L94" s="225">
        <f>IFERROR(__xludf.DUMMYFUNCTION("""COMPUTED_VALUE"""),0.4934)</f>
        <v>0.4934</v>
      </c>
      <c r="M94" s="224">
        <f>IFERROR(__xludf.DUMMYFUNCTION("""COMPUTED_VALUE"""),6757.0)</f>
        <v>6757</v>
      </c>
      <c r="N94" s="225">
        <f>IFERROR(__xludf.DUMMYFUNCTION("""COMPUTED_VALUE"""),0.2681)</f>
        <v>0.2681</v>
      </c>
      <c r="O94" s="224">
        <f>IFERROR(__xludf.DUMMYFUNCTION("""COMPUTED_VALUE"""),538.0)</f>
        <v>538</v>
      </c>
      <c r="P94" s="224">
        <f>IFERROR(__xludf.DUMMYFUNCTION("""COMPUTED_VALUE"""),457.0)</f>
        <v>457</v>
      </c>
      <c r="Q94" s="225">
        <f>IFERROR(__xludf.DUMMYFUNCTION("""COMPUTED_VALUE"""),0.0181)</f>
        <v>0.0181</v>
      </c>
      <c r="R94" s="225">
        <f>IFERROR(__xludf.DUMMYFUNCTION("""COMPUTED_VALUE"""),0.0676)</f>
        <v>0.0676</v>
      </c>
      <c r="S94" s="226">
        <f>IFERROR(__xludf.DUMMYFUNCTION("""COMPUTED_VALUE"""),15.0)</f>
        <v>15</v>
      </c>
      <c r="T94" s="226">
        <f>IFERROR(__xludf.DUMMYFUNCTION("""COMPUTED_VALUE"""),65.0)</f>
        <v>65</v>
      </c>
      <c r="U94" s="224">
        <f>IFERROR(__xludf.DUMMYFUNCTION("""COMPUTED_VALUE"""),52297.0)</f>
        <v>52297</v>
      </c>
      <c r="V94" s="224" t="str">
        <f>IFERROR(__xludf.DUMMYFUNCTION("""COMPUTED_VALUE"""),"overall")</f>
        <v>overall</v>
      </c>
      <c r="W94" s="229" t="str">
        <f>IFERROR(__xludf.DUMMYFUNCTION("""COMPUTED_VALUE"""),"carousel")</f>
        <v>carousel</v>
      </c>
      <c r="X94" s="229" t="str">
        <f>IFERROR(__xludf.DUMMYFUNCTION("""COMPUTED_VALUE"""),"Recent")</f>
        <v>Recent</v>
      </c>
      <c r="Y94" s="229" t="str">
        <f>IFERROR(__xludf.DUMMYFUNCTION("""COMPUTED_VALUE"""),"10th - 14th Feb")</f>
        <v>10th - 14th Feb</v>
      </c>
      <c r="Z94" s="229" t="str">
        <f>IFERROR(__xludf.DUMMYFUNCTION("""COMPUTED_VALUE"""),"698ad8348bc5e08558b92ae6")</f>
        <v>698ad8348bc5e08558b92ae6</v>
      </c>
      <c r="AA94" s="229">
        <f>IFERROR(__xludf.DUMMYFUNCTION("""COMPUTED_VALUE"""),88.0)</f>
        <v>88</v>
      </c>
      <c r="AB94" s="229">
        <f>IFERROR(__xludf.DUMMYFUNCTION("""COMPUTED_VALUE"""),48.0)</f>
        <v>48</v>
      </c>
      <c r="AC94" s="229">
        <f>IFERROR(__xludf.DUMMYFUNCTION("""COMPUTED_VALUE"""),40.0)</f>
        <v>40</v>
      </c>
      <c r="AD94" s="229">
        <f>IFERROR(__xludf.DUMMYFUNCTION("""COMPUTED_VALUE"""),444917.0)</f>
        <v>444917</v>
      </c>
      <c r="AE94" s="229">
        <f>IFERROR(__xludf.DUMMYFUNCTION("""COMPUTED_VALUE"""),290339.0)</f>
        <v>290339</v>
      </c>
      <c r="AF94" s="229">
        <f>IFERROR(__xludf.DUMMYFUNCTION("""COMPUTED_VALUE"""),154578.0)</f>
        <v>154578</v>
      </c>
      <c r="AG94" s="208"/>
      <c r="AH94" s="208"/>
      <c r="AI94" s="208"/>
      <c r="AJ94" s="208"/>
      <c r="AK94" s="208"/>
    </row>
    <row r="95">
      <c r="A95" s="245">
        <f>IFERROR(__xludf.DUMMYFUNCTION("""COMPUTED_VALUE"""),46063.0)</f>
        <v>46063</v>
      </c>
      <c r="B95" s="246">
        <f>IFERROR(__xludf.DUMMYFUNCTION("""COMPUTED_VALUE"""),0.5625)</f>
        <v>0.5625</v>
      </c>
      <c r="C95" s="222" t="str">
        <f>IFERROR(__xludf.DUMMYFUNCTION("""COMPUTED_VALUE"""),"Sms")</f>
        <v>Sms</v>
      </c>
      <c r="D95" s="222" t="str">
        <f>IFERROR(__xludf.DUMMYFUNCTION("""COMPUTED_VALUE"""),"Fallback Campaign")</f>
        <v>Fallback Campaign</v>
      </c>
      <c r="E95" s="222" t="str">
        <f>IFERROR(__xludf.DUMMYFUNCTION("""COMPUTED_VALUE"""),"VS")</f>
        <v>VS</v>
      </c>
      <c r="F95" s="222" t="str">
        <f>IFERROR(__xludf.DUMMYFUNCTION("""COMPUTED_VALUE"""),"Valentine's Day")</f>
        <v>Valentine's Day</v>
      </c>
      <c r="G95" s="221" t="str">
        <f>IFERROR(__xludf.DUMMYFUNCTION("""COMPUTED_VALUE"""),"Valentines Day Campaign - V-Day CX FB")</f>
        <v>Valentines Day Campaign - V-Day CX FB</v>
      </c>
      <c r="H95" s="223" t="str">
        <f>IFERROR(__xludf.DUMMYFUNCTION("""COMPUTED_VALUE"""),"Valentine_Buyers_OnOff OR AGIPL_Internal")</f>
        <v>Valentine_Buyers_OnOff OR AGIPL_Internal</v>
      </c>
      <c r="I95" s="223" t="str">
        <f>IFERROR(__xludf.DUMMYFUNCTION("""COMPUTED_VALUE"""),"WA Undelivered")</f>
        <v>WA Undelivered</v>
      </c>
      <c r="J95" s="224">
        <f>IFERROR(__xludf.DUMMYFUNCTION("""COMPUTED_VALUE"""),3774.0)</f>
        <v>3774</v>
      </c>
      <c r="K95" s="224">
        <f>IFERROR(__xludf.DUMMYFUNCTION("""COMPUTED_VALUE"""),2304.0)</f>
        <v>2304</v>
      </c>
      <c r="L95" s="225">
        <f>IFERROR(__xludf.DUMMYFUNCTION("""COMPUTED_VALUE"""),0.6105)</f>
        <v>0.6105</v>
      </c>
      <c r="M95" s="224"/>
      <c r="N95" s="225"/>
      <c r="O95" s="224">
        <f>IFERROR(__xludf.DUMMYFUNCTION("""COMPUTED_VALUE"""),5.0)</f>
        <v>5</v>
      </c>
      <c r="P95" s="224"/>
      <c r="Q95" s="225">
        <f>IFERROR(__xludf.DUMMYFUNCTION("""COMPUTED_VALUE"""),0.0022)</f>
        <v>0.0022</v>
      </c>
      <c r="R95" s="225"/>
      <c r="S95" s="226">
        <f>IFERROR(__xludf.DUMMYFUNCTION("""COMPUTED_VALUE"""),5.0)</f>
        <v>5</v>
      </c>
      <c r="T95" s="226">
        <f>IFERROR(__xludf.DUMMYFUNCTION("""COMPUTED_VALUE"""),3.0)</f>
        <v>3</v>
      </c>
      <c r="U95" s="224">
        <f>IFERROR(__xludf.DUMMYFUNCTION("""COMPUTED_VALUE"""),48850.0)</f>
        <v>48850</v>
      </c>
      <c r="V95" s="224" t="str">
        <f>IFERROR(__xludf.DUMMYFUNCTION("""COMPUTED_VALUE"""),"overall")</f>
        <v>overall</v>
      </c>
      <c r="W95" s="229" t="str">
        <f>IFERROR(__xludf.DUMMYFUNCTION("""COMPUTED_VALUE"""),"SMS")</f>
        <v>SMS</v>
      </c>
      <c r="X95" s="229" t="str">
        <f>IFERROR(__xludf.DUMMYFUNCTION("""COMPUTED_VALUE"""),"Event Buyers")</f>
        <v>Event Buyers</v>
      </c>
      <c r="Y95" s="229" t="str">
        <f>IFERROR(__xludf.DUMMYFUNCTION("""COMPUTED_VALUE"""),"10th - 14th Feb")</f>
        <v>10th - 14th Feb</v>
      </c>
      <c r="Z95" s="229" t="str">
        <f>IFERROR(__xludf.DUMMYFUNCTION("""COMPUTED_VALUE"""),"698ad762b67c908536f3857e")</f>
        <v>698ad762b67c908536f3857e</v>
      </c>
      <c r="AA95" s="229">
        <f>IFERROR(__xludf.DUMMYFUNCTION("""COMPUTED_VALUE"""),9.0)</f>
        <v>9</v>
      </c>
      <c r="AB95" s="229">
        <f>IFERROR(__xludf.DUMMYFUNCTION("""COMPUTED_VALUE"""),7.0)</f>
        <v>7</v>
      </c>
      <c r="AC95" s="229">
        <f>IFERROR(__xludf.DUMMYFUNCTION("""COMPUTED_VALUE"""),2.0)</f>
        <v>2</v>
      </c>
      <c r="AD95" s="229">
        <f>IFERROR(__xludf.DUMMYFUNCTION("""COMPUTED_VALUE"""),44295.0)</f>
        <v>44295</v>
      </c>
      <c r="AE95" s="229">
        <f>IFERROR(__xludf.DUMMYFUNCTION("""COMPUTED_VALUE"""),38577.0)</f>
        <v>38577</v>
      </c>
      <c r="AF95" s="229">
        <f>IFERROR(__xludf.DUMMYFUNCTION("""COMPUTED_VALUE"""),5718.0)</f>
        <v>5718</v>
      </c>
      <c r="AG95" s="208"/>
      <c r="AH95" s="208"/>
      <c r="AI95" s="208"/>
      <c r="AJ95" s="208"/>
      <c r="AK95" s="208"/>
    </row>
    <row r="96">
      <c r="A96" s="219">
        <f>IFERROR(__xludf.DUMMYFUNCTION("""COMPUTED_VALUE"""),46063.0)</f>
        <v>46063</v>
      </c>
      <c r="B96" s="244">
        <f>IFERROR(__xludf.DUMMYFUNCTION("""COMPUTED_VALUE"""),0.5625)</f>
        <v>0.5625</v>
      </c>
      <c r="C96" s="222" t="str">
        <f>IFERROR(__xludf.DUMMYFUNCTION("""COMPUTED_VALUE"""),"Sms")</f>
        <v>Sms</v>
      </c>
      <c r="D96" s="222" t="str">
        <f>IFERROR(__xludf.DUMMYFUNCTION("""COMPUTED_VALUE"""),"Fallback Campaign")</f>
        <v>Fallback Campaign</v>
      </c>
      <c r="E96" s="222" t="str">
        <f>IFERROR(__xludf.DUMMYFUNCTION("""COMPUTED_VALUE"""),"VS")</f>
        <v>VS</v>
      </c>
      <c r="F96" s="222" t="str">
        <f>IFERROR(__xludf.DUMMYFUNCTION("""COMPUTED_VALUE"""),"Valentine's Day")</f>
        <v>Valentine's Day</v>
      </c>
      <c r="G96" s="222" t="str">
        <f>IFERROR(__xludf.DUMMYFUNCTION("""COMPUTED_VALUE"""),"Valentines Day Campaign - Full Price CX FB")</f>
        <v>Valentines Day Campaign - Full Price CX FB</v>
      </c>
      <c r="H96" s="222" t="str">
        <f>IFERROR(__xludf.DUMMYFUNCTION("""COMPUTED_VALUE"""),"VS_Map_FullPriceUsers")</f>
        <v>VS_Map_FullPriceUsers</v>
      </c>
      <c r="I96" s="223" t="str">
        <f>IFERROR(__xludf.DUMMYFUNCTION("""COMPUTED_VALUE"""),"WA Undelivered")</f>
        <v>WA Undelivered</v>
      </c>
      <c r="J96" s="242">
        <f>IFERROR(__xludf.DUMMYFUNCTION("""COMPUTED_VALUE"""),7164.0)</f>
        <v>7164</v>
      </c>
      <c r="K96" s="242">
        <f>IFERROR(__xludf.DUMMYFUNCTION("""COMPUTED_VALUE"""),4249.0)</f>
        <v>4249</v>
      </c>
      <c r="L96" s="268">
        <f>IFERROR(__xludf.DUMMYFUNCTION("""COMPUTED_VALUE"""),0.5931)</f>
        <v>0.5931</v>
      </c>
      <c r="M96" s="242"/>
      <c r="N96" s="268"/>
      <c r="O96" s="222">
        <f>IFERROR(__xludf.DUMMYFUNCTION("""COMPUTED_VALUE"""),7.0)</f>
        <v>7</v>
      </c>
      <c r="P96" s="222"/>
      <c r="Q96" s="268">
        <f>IFERROR(__xludf.DUMMYFUNCTION("""COMPUTED_VALUE"""),0.0016)</f>
        <v>0.0016</v>
      </c>
      <c r="R96" s="268"/>
      <c r="S96" s="222">
        <f>IFERROR(__xludf.DUMMYFUNCTION("""COMPUTED_VALUE"""),0.0)</f>
        <v>0</v>
      </c>
      <c r="T96" s="222">
        <f>IFERROR(__xludf.DUMMYFUNCTION("""COMPUTED_VALUE"""),2.0)</f>
        <v>2</v>
      </c>
      <c r="U96" s="242">
        <f>IFERROR(__xludf.DUMMYFUNCTION("""COMPUTED_VALUE"""),0.0)</f>
        <v>0</v>
      </c>
      <c r="V96" s="242" t="str">
        <f>IFERROR(__xludf.DUMMYFUNCTION("""COMPUTED_VALUE"""),"overall")</f>
        <v>overall</v>
      </c>
      <c r="W96" s="243" t="str">
        <f>IFERROR(__xludf.DUMMYFUNCTION("""COMPUTED_VALUE"""),"SMS")</f>
        <v>SMS</v>
      </c>
      <c r="X96" s="243" t="str">
        <f>IFERROR(__xludf.DUMMYFUNCTION("""COMPUTED_VALUE"""),"Full Price Shopper")</f>
        <v>Full Price Shopper</v>
      </c>
      <c r="Y96" s="243" t="str">
        <f>IFERROR(__xludf.DUMMYFUNCTION("""COMPUTED_VALUE"""),"10th - 14th Feb")</f>
        <v>10th - 14th Feb</v>
      </c>
      <c r="Z96" s="243" t="str">
        <f>IFERROR(__xludf.DUMMYFUNCTION("""COMPUTED_VALUE"""),"698ad7b967a5784e22fdf3cc")</f>
        <v>698ad7b967a5784e22fdf3cc</v>
      </c>
      <c r="AA96" s="243">
        <f>IFERROR(__xludf.DUMMYFUNCTION("""COMPUTED_VALUE"""),9.0)</f>
        <v>9</v>
      </c>
      <c r="AB96" s="243">
        <f>IFERROR(__xludf.DUMMYFUNCTION("""COMPUTED_VALUE"""),6.0)</f>
        <v>6</v>
      </c>
      <c r="AC96" s="243">
        <f>IFERROR(__xludf.DUMMYFUNCTION("""COMPUTED_VALUE"""),3.0)</f>
        <v>3</v>
      </c>
      <c r="AD96" s="243">
        <f>IFERROR(__xludf.DUMMYFUNCTION("""COMPUTED_VALUE"""),95604.0)</f>
        <v>95604</v>
      </c>
      <c r="AE96" s="243">
        <f>IFERROR(__xludf.DUMMYFUNCTION("""COMPUTED_VALUE"""),85549.0)</f>
        <v>85549</v>
      </c>
      <c r="AF96" s="243">
        <f>IFERROR(__xludf.DUMMYFUNCTION("""COMPUTED_VALUE"""),10055.0)</f>
        <v>10055</v>
      </c>
      <c r="AG96" s="208"/>
      <c r="AH96" s="208"/>
      <c r="AI96" s="208"/>
      <c r="AJ96" s="208"/>
      <c r="AK96" s="208"/>
    </row>
    <row r="97">
      <c r="A97" s="219">
        <f>IFERROR(__xludf.DUMMYFUNCTION("""COMPUTED_VALUE"""),46063.0)</f>
        <v>46063</v>
      </c>
      <c r="B97" s="244">
        <f>IFERROR(__xludf.DUMMYFUNCTION("""COMPUTED_VALUE"""),0.5625)</f>
        <v>0.5625</v>
      </c>
      <c r="C97" s="222" t="str">
        <f>IFERROR(__xludf.DUMMYFUNCTION("""COMPUTED_VALUE"""),"Sms")</f>
        <v>Sms</v>
      </c>
      <c r="D97" s="222" t="str">
        <f>IFERROR(__xludf.DUMMYFUNCTION("""COMPUTED_VALUE"""),"Fallback Campaign")</f>
        <v>Fallback Campaign</v>
      </c>
      <c r="E97" s="222" t="str">
        <f>IFERROR(__xludf.DUMMYFUNCTION("""COMPUTED_VALUE"""),"VS")</f>
        <v>VS</v>
      </c>
      <c r="F97" s="222" t="str">
        <f>IFERROR(__xludf.DUMMYFUNCTION("""COMPUTED_VALUE"""),"Valentine's Day")</f>
        <v>Valentine's Day</v>
      </c>
      <c r="G97" s="222" t="str">
        <f>IFERROR(__xludf.DUMMYFUNCTION("""COMPUTED_VALUE"""),"Valentines Day Campaign - Loyal CX FB")</f>
        <v>Valentines Day Campaign - Loyal CX FB</v>
      </c>
      <c r="H97" s="222" t="str">
        <f>IFERROR(__xludf.DUMMYFUNCTION("""COMPUTED_VALUE"""),"Loyal_9-Feb-26")</f>
        <v>Loyal_9-Feb-26</v>
      </c>
      <c r="I97" s="223" t="str">
        <f>IFERROR(__xludf.DUMMYFUNCTION("""COMPUTED_VALUE"""),"WA Undelivered")</f>
        <v>WA Undelivered</v>
      </c>
      <c r="J97" s="242">
        <f>IFERROR(__xludf.DUMMYFUNCTION("""COMPUTED_VALUE"""),20574.0)</f>
        <v>20574</v>
      </c>
      <c r="K97" s="242">
        <f>IFERROR(__xludf.DUMMYFUNCTION("""COMPUTED_VALUE"""),12215.0)</f>
        <v>12215</v>
      </c>
      <c r="L97" s="268">
        <f>IFERROR(__xludf.DUMMYFUNCTION("""COMPUTED_VALUE"""),0.5937)</f>
        <v>0.5937</v>
      </c>
      <c r="M97" s="242"/>
      <c r="N97" s="268"/>
      <c r="O97" s="222">
        <f>IFERROR(__xludf.DUMMYFUNCTION("""COMPUTED_VALUE"""),41.0)</f>
        <v>41</v>
      </c>
      <c r="P97" s="222"/>
      <c r="Q97" s="268">
        <f>IFERROR(__xludf.DUMMYFUNCTION("""COMPUTED_VALUE"""),0.0034)</f>
        <v>0.0034</v>
      </c>
      <c r="R97" s="268"/>
      <c r="S97" s="222">
        <f>IFERROR(__xludf.DUMMYFUNCTION("""COMPUTED_VALUE"""),28.0)</f>
        <v>28</v>
      </c>
      <c r="T97" s="222">
        <f>IFERROR(__xludf.DUMMYFUNCTION("""COMPUTED_VALUE"""),57.0)</f>
        <v>57</v>
      </c>
      <c r="U97" s="242">
        <f>IFERROR(__xludf.DUMMYFUNCTION("""COMPUTED_VALUE"""),166716.0)</f>
        <v>166716</v>
      </c>
      <c r="V97" s="242" t="str">
        <f>IFERROR(__xludf.DUMMYFUNCTION("""COMPUTED_VALUE"""),"overall")</f>
        <v>overall</v>
      </c>
      <c r="W97" s="243" t="str">
        <f>IFERROR(__xludf.DUMMYFUNCTION("""COMPUTED_VALUE"""),"SMS")</f>
        <v>SMS</v>
      </c>
      <c r="X97" s="243" t="str">
        <f>IFERROR(__xludf.DUMMYFUNCTION("""COMPUTED_VALUE"""),"Repeat")</f>
        <v>Repeat</v>
      </c>
      <c r="Y97" s="243" t="str">
        <f>IFERROR(__xludf.DUMMYFUNCTION("""COMPUTED_VALUE"""),"10th - 14th Feb")</f>
        <v>10th - 14th Feb</v>
      </c>
      <c r="Z97" s="243" t="str">
        <f>IFERROR(__xludf.DUMMYFUNCTION("""COMPUTED_VALUE"""),"698ad805b67c908536f385a8")</f>
        <v>698ad805b67c908536f385a8</v>
      </c>
      <c r="AA97" s="243">
        <f>IFERROR(__xludf.DUMMYFUNCTION("""COMPUTED_VALUE"""),133.0)</f>
        <v>133</v>
      </c>
      <c r="AB97" s="243">
        <f>IFERROR(__xludf.DUMMYFUNCTION("""COMPUTED_VALUE"""),63.0)</f>
        <v>63</v>
      </c>
      <c r="AC97" s="243">
        <f>IFERROR(__xludf.DUMMYFUNCTION("""COMPUTED_VALUE"""),70.0)</f>
        <v>70</v>
      </c>
      <c r="AD97" s="243">
        <f>IFERROR(__xludf.DUMMYFUNCTION("""COMPUTED_VALUE"""),2124929.0)</f>
        <v>2124929</v>
      </c>
      <c r="AE97" s="243">
        <f>IFERROR(__xludf.DUMMYFUNCTION("""COMPUTED_VALUE"""),398020.0)</f>
        <v>398020</v>
      </c>
      <c r="AF97" s="243">
        <f>IFERROR(__xludf.DUMMYFUNCTION("""COMPUTED_VALUE"""),1726909.0)</f>
        <v>1726909</v>
      </c>
      <c r="AG97" s="208"/>
      <c r="AH97" s="208"/>
      <c r="AI97" s="208"/>
      <c r="AJ97" s="208"/>
      <c r="AK97" s="208"/>
    </row>
    <row r="98">
      <c r="A98" s="219">
        <f>IFERROR(__xludf.DUMMYFUNCTION("""COMPUTED_VALUE"""),46063.0)</f>
        <v>46063</v>
      </c>
      <c r="B98" s="244">
        <f>IFERROR(__xludf.DUMMYFUNCTION("""COMPUTED_VALUE"""),0.5625)</f>
        <v>0.5625</v>
      </c>
      <c r="C98" s="222" t="str">
        <f>IFERROR(__xludf.DUMMYFUNCTION("""COMPUTED_VALUE"""),"Sms")</f>
        <v>Sms</v>
      </c>
      <c r="D98" s="222" t="str">
        <f>IFERROR(__xludf.DUMMYFUNCTION("""COMPUTED_VALUE"""),"Fallback Campaign")</f>
        <v>Fallback Campaign</v>
      </c>
      <c r="E98" s="222" t="str">
        <f>IFERROR(__xludf.DUMMYFUNCTION("""COMPUTED_VALUE"""),"VS")</f>
        <v>VS</v>
      </c>
      <c r="F98" s="222" t="str">
        <f>IFERROR(__xludf.DUMMYFUNCTION("""COMPUTED_VALUE"""),"Valentine's Day")</f>
        <v>Valentine's Day</v>
      </c>
      <c r="G98" s="222" t="str">
        <f>IFERROR(__xludf.DUMMYFUNCTION("""COMPUTED_VALUE"""),"Valentines Day Campaign - Active CX FB")</f>
        <v>Valentines Day Campaign - Active CX FB</v>
      </c>
      <c r="H98" s="222" t="str">
        <f>IFERROR(__xludf.DUMMYFUNCTION("""COMPUTED_VALUE"""),"Active_9-Feb-26")</f>
        <v>Active_9-Feb-26</v>
      </c>
      <c r="I98" s="223" t="str">
        <f>IFERROR(__xludf.DUMMYFUNCTION("""COMPUTED_VALUE"""),"WA Undelivered")</f>
        <v>WA Undelivered</v>
      </c>
      <c r="J98" s="242">
        <f>IFERROR(__xludf.DUMMYFUNCTION("""COMPUTED_VALUE"""),24730.0)</f>
        <v>24730</v>
      </c>
      <c r="K98" s="242">
        <f>IFERROR(__xludf.DUMMYFUNCTION("""COMPUTED_VALUE"""),16214.0)</f>
        <v>16214</v>
      </c>
      <c r="L98" s="268">
        <f>IFERROR(__xludf.DUMMYFUNCTION("""COMPUTED_VALUE"""),0.6556)</f>
        <v>0.6556</v>
      </c>
      <c r="M98" s="242"/>
      <c r="N98" s="268"/>
      <c r="O98" s="222">
        <f>IFERROR(__xludf.DUMMYFUNCTION("""COMPUTED_VALUE"""),44.0)</f>
        <v>44</v>
      </c>
      <c r="P98" s="222"/>
      <c r="Q98" s="268">
        <f>IFERROR(__xludf.DUMMYFUNCTION("""COMPUTED_VALUE"""),0.0027)</f>
        <v>0.0027</v>
      </c>
      <c r="R98" s="268"/>
      <c r="S98" s="222">
        <f>IFERROR(__xludf.DUMMYFUNCTION("""COMPUTED_VALUE"""),14.0)</f>
        <v>14</v>
      </c>
      <c r="T98" s="222">
        <f>IFERROR(__xludf.DUMMYFUNCTION("""COMPUTED_VALUE"""),47.0)</f>
        <v>47</v>
      </c>
      <c r="U98" s="242">
        <f>IFERROR(__xludf.DUMMYFUNCTION("""COMPUTED_VALUE"""),53072.0)</f>
        <v>53072</v>
      </c>
      <c r="V98" s="242" t="str">
        <f>IFERROR(__xludf.DUMMYFUNCTION("""COMPUTED_VALUE"""),"overall")</f>
        <v>overall</v>
      </c>
      <c r="W98" s="243" t="str">
        <f>IFERROR(__xludf.DUMMYFUNCTION("""COMPUTED_VALUE"""),"SMS")</f>
        <v>SMS</v>
      </c>
      <c r="X98" s="243" t="str">
        <f>IFERROR(__xludf.DUMMYFUNCTION("""COMPUTED_VALUE"""),"Recent")</f>
        <v>Recent</v>
      </c>
      <c r="Y98" s="243" t="str">
        <f>IFERROR(__xludf.DUMMYFUNCTION("""COMPUTED_VALUE"""),"10th - 14th Feb")</f>
        <v>10th - 14th Feb</v>
      </c>
      <c r="Z98" s="243" t="str">
        <f>IFERROR(__xludf.DUMMYFUNCTION("""COMPUTED_VALUE"""),"698ad858bf126346c6d40beb")</f>
        <v>698ad858bf126346c6d40beb</v>
      </c>
      <c r="AA98" s="243">
        <f>IFERROR(__xludf.DUMMYFUNCTION("""COMPUTED_VALUE"""),92.0)</f>
        <v>92</v>
      </c>
      <c r="AB98" s="243">
        <f>IFERROR(__xludf.DUMMYFUNCTION("""COMPUTED_VALUE"""),48.0)</f>
        <v>48</v>
      </c>
      <c r="AC98" s="243">
        <f>IFERROR(__xludf.DUMMYFUNCTION("""COMPUTED_VALUE"""),44.0)</f>
        <v>44</v>
      </c>
      <c r="AD98" s="243">
        <f>IFERROR(__xludf.DUMMYFUNCTION("""COMPUTED_VALUE"""),520704.0)</f>
        <v>520704</v>
      </c>
      <c r="AE98" s="243">
        <f>IFERROR(__xludf.DUMMYFUNCTION("""COMPUTED_VALUE"""),233383.0)</f>
        <v>233383</v>
      </c>
      <c r="AF98" s="243">
        <f>IFERROR(__xludf.DUMMYFUNCTION("""COMPUTED_VALUE"""),287321.0)</f>
        <v>287321</v>
      </c>
      <c r="AG98" s="208"/>
      <c r="AH98" s="208"/>
      <c r="AI98" s="208"/>
      <c r="AJ98" s="208"/>
      <c r="AK98" s="208"/>
    </row>
    <row r="99">
      <c r="A99" s="219">
        <f>IFERROR(__xludf.DUMMYFUNCTION("""COMPUTED_VALUE"""),46065.0)</f>
        <v>46065</v>
      </c>
      <c r="B99" s="244">
        <f>IFERROR(__xludf.DUMMYFUNCTION("""COMPUTED_VALUE"""),0.7916666666678793)</f>
        <v>0.7916666667</v>
      </c>
      <c r="C99" s="222" t="str">
        <f>IFERROR(__xludf.DUMMYFUNCTION("""COMPUTED_VALUE"""),"Whatsapp")</f>
        <v>Whatsapp</v>
      </c>
      <c r="D99" s="222" t="str">
        <f>IFERROR(__xludf.DUMMYFUNCTION("""COMPUTED_VALUE"""),"Promotional")</f>
        <v>Promotional</v>
      </c>
      <c r="E99" s="222" t="str">
        <f>IFERROR(__xludf.DUMMYFUNCTION("""COMPUTED_VALUE"""),"VS")</f>
        <v>VS</v>
      </c>
      <c r="F99" s="222" t="str">
        <f>IFERROR(__xludf.DUMMYFUNCTION("""COMPUTED_VALUE"""),"Flash Sale")</f>
        <v>Flash Sale</v>
      </c>
      <c r="G99" s="222" t="str">
        <f>IFERROR(__xludf.DUMMYFUNCTION("""COMPUTED_VALUE"""),"Flash Sale 12Feb - Discount CX")</f>
        <v>Flash Sale 12Feb - Discount CX</v>
      </c>
      <c r="H99" s="222" t="str">
        <f>IFERROR(__xludf.DUMMYFUNCTION("""COMPUTED_VALUE"""),"DiscountShoppers_Flat50%_Jan2026_On")</f>
        <v>DiscountShoppers_Flat50%_Jan2026_On</v>
      </c>
      <c r="I99" s="223" t="str">
        <f>IFERROR(__xludf.DUMMYFUNCTION("""COMPUTED_VALUE"""),"Online customers who have purchased greater then 50% Off")</f>
        <v>Online customers who have purchased greater then 50% Off</v>
      </c>
      <c r="J99" s="242">
        <f>IFERROR(__xludf.DUMMYFUNCTION("""COMPUTED_VALUE"""),62572.0)</f>
        <v>62572</v>
      </c>
      <c r="K99" s="242">
        <f>IFERROR(__xludf.DUMMYFUNCTION("""COMPUTED_VALUE"""),29730.0)</f>
        <v>29730</v>
      </c>
      <c r="L99" s="268">
        <f>IFERROR(__xludf.DUMMYFUNCTION("""COMPUTED_VALUE"""),0.4751)</f>
        <v>0.4751</v>
      </c>
      <c r="M99" s="242">
        <f>IFERROR(__xludf.DUMMYFUNCTION("""COMPUTED_VALUE"""),6612.0)</f>
        <v>6612</v>
      </c>
      <c r="N99" s="268">
        <f>IFERROR(__xludf.DUMMYFUNCTION("""COMPUTED_VALUE"""),0.2224)</f>
        <v>0.2224</v>
      </c>
      <c r="O99" s="222">
        <f>IFERROR(__xludf.DUMMYFUNCTION("""COMPUTED_VALUE"""),843.0)</f>
        <v>843</v>
      </c>
      <c r="P99" s="222">
        <f>IFERROR(__xludf.DUMMYFUNCTION("""COMPUTED_VALUE"""),749.0)</f>
        <v>749</v>
      </c>
      <c r="Q99" s="268">
        <f>IFERROR(__xludf.DUMMYFUNCTION("""COMPUTED_VALUE"""),0.0252)</f>
        <v>0.0252</v>
      </c>
      <c r="R99" s="268">
        <f>IFERROR(__xludf.DUMMYFUNCTION("""COMPUTED_VALUE"""),0.1133)</f>
        <v>0.1133</v>
      </c>
      <c r="S99" s="222">
        <f>IFERROR(__xludf.DUMMYFUNCTION("""COMPUTED_VALUE"""),44.0)</f>
        <v>44</v>
      </c>
      <c r="T99" s="222">
        <f>IFERROR(__xludf.DUMMYFUNCTION("""COMPUTED_VALUE"""),105.0)</f>
        <v>105</v>
      </c>
      <c r="U99" s="242">
        <f>IFERROR(__xludf.DUMMYFUNCTION("""COMPUTED_VALUE"""),250255.0)</f>
        <v>250255</v>
      </c>
      <c r="V99" s="242" t="str">
        <f>IFERROR(__xludf.DUMMYFUNCTION("""COMPUTED_VALUE"""),"online")</f>
        <v>online</v>
      </c>
      <c r="W99" s="243" t="str">
        <f>IFERROR(__xludf.DUMMYFUNCTION("""COMPUTED_VALUE"""),"simple")</f>
        <v>simple</v>
      </c>
      <c r="X99" s="243" t="str">
        <f>IFERROR(__xludf.DUMMYFUNCTION("""COMPUTED_VALUE"""),"Discount Shopper")</f>
        <v>Discount Shopper</v>
      </c>
      <c r="Y99" s="243" t="str">
        <f>IFERROR(__xludf.DUMMYFUNCTION("""COMPUTED_VALUE"""),"12th - 14th Feb")</f>
        <v>12th - 14th Feb</v>
      </c>
      <c r="Z99" s="243" t="str">
        <f>IFERROR(__xludf.DUMMYFUNCTION("""COMPUTED_VALUE"""),"698da3da19558c0dff4144f6")</f>
        <v>698da3da19558c0dff4144f6</v>
      </c>
      <c r="AA99" s="243">
        <f>IFERROR(__xludf.DUMMYFUNCTION("""COMPUTED_VALUE"""),98.0)</f>
        <v>98</v>
      </c>
      <c r="AB99" s="243">
        <f>IFERROR(__xludf.DUMMYFUNCTION("""COMPUTED_VALUE"""),98.0)</f>
        <v>98</v>
      </c>
      <c r="AC99" s="243"/>
      <c r="AD99" s="243">
        <f>IFERROR(__xludf.DUMMYFUNCTION("""COMPUTED_VALUE"""),500586.0)</f>
        <v>500586</v>
      </c>
      <c r="AE99" s="243">
        <f>IFERROR(__xludf.DUMMYFUNCTION("""COMPUTED_VALUE"""),500586.0)</f>
        <v>500586</v>
      </c>
      <c r="AF99" s="243"/>
      <c r="AG99" s="208"/>
      <c r="AH99" s="208"/>
      <c r="AI99" s="208"/>
      <c r="AJ99" s="208"/>
      <c r="AK99" s="208"/>
    </row>
    <row r="100">
      <c r="A100" s="219">
        <f>IFERROR(__xludf.DUMMYFUNCTION("""COMPUTED_VALUE"""),46065.0)</f>
        <v>46065</v>
      </c>
      <c r="B100" s="244">
        <f>IFERROR(__xludf.DUMMYFUNCTION("""COMPUTED_VALUE"""),0.7951388888905058)</f>
        <v>0.7951388889</v>
      </c>
      <c r="C100" s="222" t="str">
        <f>IFERROR(__xludf.DUMMYFUNCTION("""COMPUTED_VALUE"""),"Whatsapp")</f>
        <v>Whatsapp</v>
      </c>
      <c r="D100" s="222" t="str">
        <f>IFERROR(__xludf.DUMMYFUNCTION("""COMPUTED_VALUE"""),"Promotional")</f>
        <v>Promotional</v>
      </c>
      <c r="E100" s="222" t="str">
        <f>IFERROR(__xludf.DUMMYFUNCTION("""COMPUTED_VALUE"""),"VS")</f>
        <v>VS</v>
      </c>
      <c r="F100" s="222" t="str">
        <f>IFERROR(__xludf.DUMMYFUNCTION("""COMPUTED_VALUE"""),"Flash Sale")</f>
        <v>Flash Sale</v>
      </c>
      <c r="G100" s="222" t="str">
        <f>IFERROR(__xludf.DUMMYFUNCTION("""COMPUTED_VALUE"""),"Flash Sale 12Feb - Recent CX")</f>
        <v>Flash Sale 12Feb - Recent CX</v>
      </c>
      <c r="H100" s="222" t="str">
        <f>IFERROR(__xludf.DUMMYFUNCTION("""COMPUTED_VALUE"""),"Predom_RecentApparel_Jan2026_On")</f>
        <v>Predom_RecentApparel_Jan2026_On</v>
      </c>
      <c r="I100" s="223" t="str">
        <f>IFERROR(__xludf.DUMMYFUNCTION("""COMPUTED_VALUE"""),"Online customers predominantely Purchasing Apparel in the last 90 days")</f>
        <v>Online customers predominantely Purchasing Apparel in the last 90 days</v>
      </c>
      <c r="J100" s="242">
        <f>IFERROR(__xludf.DUMMYFUNCTION("""COMPUTED_VALUE"""),5033.0)</f>
        <v>5033</v>
      </c>
      <c r="K100" s="242">
        <f>IFERROR(__xludf.DUMMYFUNCTION("""COMPUTED_VALUE"""),2225.0)</f>
        <v>2225</v>
      </c>
      <c r="L100" s="268">
        <f>IFERROR(__xludf.DUMMYFUNCTION("""COMPUTED_VALUE"""),0.4421)</f>
        <v>0.4421</v>
      </c>
      <c r="M100" s="242">
        <f>IFERROR(__xludf.DUMMYFUNCTION("""COMPUTED_VALUE"""),444.0)</f>
        <v>444</v>
      </c>
      <c r="N100" s="268">
        <f>IFERROR(__xludf.DUMMYFUNCTION("""COMPUTED_VALUE"""),0.1996)</f>
        <v>0.1996</v>
      </c>
      <c r="O100" s="222">
        <f>IFERROR(__xludf.DUMMYFUNCTION("""COMPUTED_VALUE"""),118.0)</f>
        <v>118</v>
      </c>
      <c r="P100" s="222">
        <f>IFERROR(__xludf.DUMMYFUNCTION("""COMPUTED_VALUE"""),97.0)</f>
        <v>97</v>
      </c>
      <c r="Q100" s="268">
        <f>IFERROR(__xludf.DUMMYFUNCTION("""COMPUTED_VALUE"""),0.0436)</f>
        <v>0.0436</v>
      </c>
      <c r="R100" s="268">
        <f>IFERROR(__xludf.DUMMYFUNCTION("""COMPUTED_VALUE"""),0.2185)</f>
        <v>0.2185</v>
      </c>
      <c r="S100" s="222">
        <f>IFERROR(__xludf.DUMMYFUNCTION("""COMPUTED_VALUE"""),5.0)</f>
        <v>5</v>
      </c>
      <c r="T100" s="222">
        <f>IFERROR(__xludf.DUMMYFUNCTION("""COMPUTED_VALUE"""),9.0)</f>
        <v>9</v>
      </c>
      <c r="U100" s="242">
        <f>IFERROR(__xludf.DUMMYFUNCTION("""COMPUTED_VALUE"""),20497.0)</f>
        <v>20497</v>
      </c>
      <c r="V100" s="242" t="str">
        <f>IFERROR(__xludf.DUMMYFUNCTION("""COMPUTED_VALUE"""),"online")</f>
        <v>online</v>
      </c>
      <c r="W100" s="243" t="str">
        <f>IFERROR(__xludf.DUMMYFUNCTION("""COMPUTED_VALUE"""),"simple")</f>
        <v>simple</v>
      </c>
      <c r="X100" s="243" t="str">
        <f>IFERROR(__xludf.DUMMYFUNCTION("""COMPUTED_VALUE"""),"Recent")</f>
        <v>Recent</v>
      </c>
      <c r="Y100" s="243" t="str">
        <f>IFERROR(__xludf.DUMMYFUNCTION("""COMPUTED_VALUE"""),"12th - 14th Feb")</f>
        <v>12th - 14th Feb</v>
      </c>
      <c r="Z100" s="243" t="str">
        <f>IFERROR(__xludf.DUMMYFUNCTION("""COMPUTED_VALUE"""),"698da5161e7680b1312de33a")</f>
        <v>698da5161e7680b1312de33a</v>
      </c>
      <c r="AA100" s="243">
        <f>IFERROR(__xludf.DUMMYFUNCTION("""COMPUTED_VALUE"""),16.0)</f>
        <v>16</v>
      </c>
      <c r="AB100" s="243">
        <f>IFERROR(__xludf.DUMMYFUNCTION("""COMPUTED_VALUE"""),16.0)</f>
        <v>16</v>
      </c>
      <c r="AC100" s="243"/>
      <c r="AD100" s="243">
        <f>IFERROR(__xludf.DUMMYFUNCTION("""COMPUTED_VALUE"""),116299.0)</f>
        <v>116299</v>
      </c>
      <c r="AE100" s="243">
        <f>IFERROR(__xludf.DUMMYFUNCTION("""COMPUTED_VALUE"""),116299.0)</f>
        <v>116299</v>
      </c>
      <c r="AF100" s="243"/>
      <c r="AG100" s="208"/>
      <c r="AH100" s="208"/>
      <c r="AI100" s="208"/>
      <c r="AJ100" s="208"/>
      <c r="AK100" s="208"/>
    </row>
    <row r="101">
      <c r="A101" s="219">
        <f>IFERROR(__xludf.DUMMYFUNCTION("""COMPUTED_VALUE"""),46065.0)</f>
        <v>46065</v>
      </c>
      <c r="B101" s="244">
        <f>IFERROR(__xludf.DUMMYFUNCTION("""COMPUTED_VALUE"""),0.7986111111094942)</f>
        <v>0.7986111111</v>
      </c>
      <c r="C101" s="222" t="str">
        <f>IFERROR(__xludf.DUMMYFUNCTION("""COMPUTED_VALUE"""),"Whatsapp")</f>
        <v>Whatsapp</v>
      </c>
      <c r="D101" s="222" t="str">
        <f>IFERROR(__xludf.DUMMYFUNCTION("""COMPUTED_VALUE"""),"Promotional")</f>
        <v>Promotional</v>
      </c>
      <c r="E101" s="222" t="str">
        <f>IFERROR(__xludf.DUMMYFUNCTION("""COMPUTED_VALUE"""),"VS")</f>
        <v>VS</v>
      </c>
      <c r="F101" s="222" t="str">
        <f>IFERROR(__xludf.DUMMYFUNCTION("""COMPUTED_VALUE"""),"Flash Sale")</f>
        <v>Flash Sale</v>
      </c>
      <c r="G101" s="222" t="str">
        <f>IFERROR(__xludf.DUMMYFUNCTION("""COMPUTED_VALUE"""),"Flash Sale 12Feb - Repeat CX")</f>
        <v>Flash Sale 12Feb - Repeat CX</v>
      </c>
      <c r="H101" s="222" t="str">
        <f>IFERROR(__xludf.DUMMYFUNCTION("""COMPUTED_VALUE"""),"RepeatApparel_Jan2026_On")</f>
        <v>RepeatApparel_Jan2026_On</v>
      </c>
      <c r="I101" s="223" t="str">
        <f>IFERROR(__xludf.DUMMYFUNCTION("""COMPUTED_VALUE"""),"Online customers who have purchased atleast 2 times Apparel")</f>
        <v>Online customers who have purchased atleast 2 times Apparel</v>
      </c>
      <c r="J101" s="242">
        <f>IFERROR(__xludf.DUMMYFUNCTION("""COMPUTED_VALUE"""),7527.0)</f>
        <v>7527</v>
      </c>
      <c r="K101" s="242">
        <f>IFERROR(__xludf.DUMMYFUNCTION("""COMPUTED_VALUE"""),3134.0)</f>
        <v>3134</v>
      </c>
      <c r="L101" s="268">
        <f>IFERROR(__xludf.DUMMYFUNCTION("""COMPUTED_VALUE"""),0.4164)</f>
        <v>0.4164</v>
      </c>
      <c r="M101" s="242">
        <f>IFERROR(__xludf.DUMMYFUNCTION("""COMPUTED_VALUE"""),470.0)</f>
        <v>470</v>
      </c>
      <c r="N101" s="268">
        <f>IFERROR(__xludf.DUMMYFUNCTION("""COMPUTED_VALUE"""),0.15)</f>
        <v>0.15</v>
      </c>
      <c r="O101" s="222">
        <f>IFERROR(__xludf.DUMMYFUNCTION("""COMPUTED_VALUE"""),104.0)</f>
        <v>104</v>
      </c>
      <c r="P101" s="222">
        <f>IFERROR(__xludf.DUMMYFUNCTION("""COMPUTED_VALUE"""),92.0)</f>
        <v>92</v>
      </c>
      <c r="Q101" s="268">
        <f>IFERROR(__xludf.DUMMYFUNCTION("""COMPUTED_VALUE"""),0.0294)</f>
        <v>0.0294</v>
      </c>
      <c r="R101" s="268">
        <f>IFERROR(__xludf.DUMMYFUNCTION("""COMPUTED_VALUE"""),0.1957)</f>
        <v>0.1957</v>
      </c>
      <c r="S101" s="222">
        <f>IFERROR(__xludf.DUMMYFUNCTION("""COMPUTED_VALUE"""),3.0)</f>
        <v>3</v>
      </c>
      <c r="T101" s="222">
        <f>IFERROR(__xludf.DUMMYFUNCTION("""COMPUTED_VALUE"""),3.0)</f>
        <v>3</v>
      </c>
      <c r="U101" s="242">
        <f>IFERROR(__xludf.DUMMYFUNCTION("""COMPUTED_VALUE"""),9691.0)</f>
        <v>9691</v>
      </c>
      <c r="V101" s="242" t="str">
        <f>IFERROR(__xludf.DUMMYFUNCTION("""COMPUTED_VALUE"""),"online")</f>
        <v>online</v>
      </c>
      <c r="W101" s="243" t="str">
        <f>IFERROR(__xludf.DUMMYFUNCTION("""COMPUTED_VALUE"""),"simple")</f>
        <v>simple</v>
      </c>
      <c r="X101" s="243" t="str">
        <f>IFERROR(__xludf.DUMMYFUNCTION("""COMPUTED_VALUE"""),"Repeat")</f>
        <v>Repeat</v>
      </c>
      <c r="Y101" s="243" t="str">
        <f>IFERROR(__xludf.DUMMYFUNCTION("""COMPUTED_VALUE"""),"12th - 14th Feb")</f>
        <v>12th - 14th Feb</v>
      </c>
      <c r="Z101" s="243" t="str">
        <f>IFERROR(__xludf.DUMMYFUNCTION("""COMPUTED_VALUE"""),"698da569a8b1da1f41e7d815")</f>
        <v>698da569a8b1da1f41e7d815</v>
      </c>
      <c r="AA101" s="243">
        <f>IFERROR(__xludf.DUMMYFUNCTION("""COMPUTED_VALUE"""),9.0)</f>
        <v>9</v>
      </c>
      <c r="AB101" s="243">
        <f>IFERROR(__xludf.DUMMYFUNCTION("""COMPUTED_VALUE"""),9.0)</f>
        <v>9</v>
      </c>
      <c r="AC101" s="243"/>
      <c r="AD101" s="243">
        <f>IFERROR(__xludf.DUMMYFUNCTION("""COMPUTED_VALUE"""),36949.0)</f>
        <v>36949</v>
      </c>
      <c r="AE101" s="243">
        <f>IFERROR(__xludf.DUMMYFUNCTION("""COMPUTED_VALUE"""),36949.0)</f>
        <v>36949</v>
      </c>
      <c r="AF101" s="243"/>
      <c r="AG101" s="208"/>
      <c r="AH101" s="208"/>
      <c r="AI101" s="208"/>
      <c r="AJ101" s="208"/>
      <c r="AK101" s="208"/>
    </row>
    <row r="102">
      <c r="A102" s="219">
        <f>IFERROR(__xludf.DUMMYFUNCTION("""COMPUTED_VALUE"""),46065.0)</f>
        <v>46065</v>
      </c>
      <c r="B102" s="244">
        <f>IFERROR(__xludf.DUMMYFUNCTION("""COMPUTED_VALUE"""),0.8020833333321207)</f>
        <v>0.8020833333</v>
      </c>
      <c r="C102" s="222" t="str">
        <f>IFERROR(__xludf.DUMMYFUNCTION("""COMPUTED_VALUE"""),"Whatsapp")</f>
        <v>Whatsapp</v>
      </c>
      <c r="D102" s="222" t="str">
        <f>IFERROR(__xludf.DUMMYFUNCTION("""COMPUTED_VALUE"""),"Promotional")</f>
        <v>Promotional</v>
      </c>
      <c r="E102" s="222" t="str">
        <f>IFERROR(__xludf.DUMMYFUNCTION("""COMPUTED_VALUE"""),"VS")</f>
        <v>VS</v>
      </c>
      <c r="F102" s="222" t="str">
        <f>IFERROR(__xludf.DUMMYFUNCTION("""COMPUTED_VALUE"""),"Flash Sale")</f>
        <v>Flash Sale</v>
      </c>
      <c r="G102" s="222" t="str">
        <f>IFERROR(__xludf.DUMMYFUNCTION("""COMPUTED_VALUE"""),"Flash Sale 12Feb - Event BTY CX")</f>
        <v>Flash Sale 12Feb - Event BTY CX</v>
      </c>
      <c r="H102" s="222" t="str">
        <f>IFERROR(__xludf.DUMMYFUNCTION("""COMPUTED_VALUE"""),"Beauty_SaleDay_Buyers_NoPur_Ling_On")</f>
        <v>Beauty_SaleDay_Buyers_NoPur_Ling_On</v>
      </c>
      <c r="I102" s="223" t="str">
        <f>IFERROR(__xludf.DUMMYFUNCTION("""COMPUTED_VALUE"""),"Online Beauty Customers who have purchased on BFS and SAS days and has not purchased Lingerie Exlcuding above 4 segments")</f>
        <v>Online Beauty Customers who have purchased on BFS and SAS days and has not purchased Lingerie Exlcuding above 4 segments</v>
      </c>
      <c r="J102" s="242">
        <f>IFERROR(__xludf.DUMMYFUNCTION("""COMPUTED_VALUE"""),2911.0)</f>
        <v>2911</v>
      </c>
      <c r="K102" s="242">
        <f>IFERROR(__xludf.DUMMYFUNCTION("""COMPUTED_VALUE"""),1492.0)</f>
        <v>1492</v>
      </c>
      <c r="L102" s="268">
        <f>IFERROR(__xludf.DUMMYFUNCTION("""COMPUTED_VALUE"""),0.5125)</f>
        <v>0.5125</v>
      </c>
      <c r="M102" s="242">
        <f>IFERROR(__xludf.DUMMYFUNCTION("""COMPUTED_VALUE"""),383.0)</f>
        <v>383</v>
      </c>
      <c r="N102" s="268">
        <f>IFERROR(__xludf.DUMMYFUNCTION("""COMPUTED_VALUE"""),0.2567)</f>
        <v>0.2567</v>
      </c>
      <c r="O102" s="222">
        <f>IFERROR(__xludf.DUMMYFUNCTION("""COMPUTED_VALUE"""),36.0)</f>
        <v>36</v>
      </c>
      <c r="P102" s="222">
        <f>IFERROR(__xludf.DUMMYFUNCTION("""COMPUTED_VALUE"""),33.0)</f>
        <v>33</v>
      </c>
      <c r="Q102" s="268">
        <f>IFERROR(__xludf.DUMMYFUNCTION("""COMPUTED_VALUE"""),0.0221)</f>
        <v>0.0221</v>
      </c>
      <c r="R102" s="268">
        <f>IFERROR(__xludf.DUMMYFUNCTION("""COMPUTED_VALUE"""),0.0862)</f>
        <v>0.0862</v>
      </c>
      <c r="S102" s="222">
        <f>IFERROR(__xludf.DUMMYFUNCTION("""COMPUTED_VALUE"""),0.0)</f>
        <v>0</v>
      </c>
      <c r="T102" s="222">
        <f>IFERROR(__xludf.DUMMYFUNCTION("""COMPUTED_VALUE"""),2.0)</f>
        <v>2</v>
      </c>
      <c r="U102" s="242">
        <f>IFERROR(__xludf.DUMMYFUNCTION("""COMPUTED_VALUE"""),0.0)</f>
        <v>0</v>
      </c>
      <c r="V102" s="242" t="str">
        <f>IFERROR(__xludf.DUMMYFUNCTION("""COMPUTED_VALUE"""),"online")</f>
        <v>online</v>
      </c>
      <c r="W102" s="243" t="str">
        <f>IFERROR(__xludf.DUMMYFUNCTION("""COMPUTED_VALUE"""),"simple")</f>
        <v>simple</v>
      </c>
      <c r="X102" s="243" t="str">
        <f>IFERROR(__xludf.DUMMYFUNCTION("""COMPUTED_VALUE"""),"Event Buyers")</f>
        <v>Event Buyers</v>
      </c>
      <c r="Y102" s="243" t="str">
        <f>IFERROR(__xludf.DUMMYFUNCTION("""COMPUTED_VALUE"""),"12th - 14th Feb")</f>
        <v>12th - 14th Feb</v>
      </c>
      <c r="Z102" s="243" t="str">
        <f>IFERROR(__xludf.DUMMYFUNCTION("""COMPUTED_VALUE"""),"698da5b71e7680b1312de36f")</f>
        <v>698da5b71e7680b1312de36f</v>
      </c>
      <c r="AA102" s="243">
        <f>IFERROR(__xludf.DUMMYFUNCTION("""COMPUTED_VALUE"""),0.0)</f>
        <v>0</v>
      </c>
      <c r="AB102" s="243">
        <f>IFERROR(__xludf.DUMMYFUNCTION("""COMPUTED_VALUE"""),0.0)</f>
        <v>0</v>
      </c>
      <c r="AC102" s="243"/>
      <c r="AD102" s="243">
        <f>IFERROR(__xludf.DUMMYFUNCTION("""COMPUTED_VALUE"""),0.0)</f>
        <v>0</v>
      </c>
      <c r="AE102" s="243">
        <f>IFERROR(__xludf.DUMMYFUNCTION("""COMPUTED_VALUE"""),0.0)</f>
        <v>0</v>
      </c>
      <c r="AF102" s="243"/>
      <c r="AG102" s="208"/>
      <c r="AH102" s="208"/>
      <c r="AI102" s="208"/>
      <c r="AJ102" s="208"/>
      <c r="AK102" s="208"/>
    </row>
    <row r="103">
      <c r="A103" s="219">
        <f>IFERROR(__xludf.DUMMYFUNCTION("""COMPUTED_VALUE"""),46066.0)</f>
        <v>46066</v>
      </c>
      <c r="B103" s="244">
        <f>IFERROR(__xludf.DUMMYFUNCTION("""COMPUTED_VALUE"""),0.3541666666678793)</f>
        <v>0.3541666667</v>
      </c>
      <c r="C103" s="222" t="str">
        <f>IFERROR(__xludf.DUMMYFUNCTION("""COMPUTED_VALUE"""),"Whatsapp")</f>
        <v>Whatsapp</v>
      </c>
      <c r="D103" s="222" t="str">
        <f>IFERROR(__xludf.DUMMYFUNCTION("""COMPUTED_VALUE"""),"Fallback Campaign")</f>
        <v>Fallback Campaign</v>
      </c>
      <c r="E103" s="222" t="str">
        <f>IFERROR(__xludf.DUMMYFUNCTION("""COMPUTED_VALUE"""),"VS")</f>
        <v>VS</v>
      </c>
      <c r="F103" s="222" t="str">
        <f>IFERROR(__xludf.DUMMYFUNCTION("""COMPUTED_VALUE"""),"Flash Sale")</f>
        <v>Flash Sale</v>
      </c>
      <c r="G103" s="222" t="str">
        <f>IFERROR(__xludf.DUMMYFUNCTION("""COMPUTED_VALUE"""),"Flash Sale 12Feb - Discount CX - FB")</f>
        <v>Flash Sale 12Feb - Discount CX - FB</v>
      </c>
      <c r="H103" s="222" t="str">
        <f>IFERROR(__xludf.DUMMYFUNCTION("""COMPUTED_VALUE"""),"DiscountShoppers_Flat50%_Jan2026_On")</f>
        <v>DiscountShoppers_Flat50%_Jan2026_On</v>
      </c>
      <c r="I103" s="223" t="str">
        <f>IFERROR(__xludf.DUMMYFUNCTION("""COMPUTED_VALUE"""),"WA Undelivered")</f>
        <v>WA Undelivered</v>
      </c>
      <c r="J103" s="242">
        <f>IFERROR(__xludf.DUMMYFUNCTION("""COMPUTED_VALUE"""),30975.0)</f>
        <v>30975</v>
      </c>
      <c r="K103" s="242">
        <f>IFERROR(__xludf.DUMMYFUNCTION("""COMPUTED_VALUE"""),15051.0)</f>
        <v>15051</v>
      </c>
      <c r="L103" s="268">
        <f>IFERROR(__xludf.DUMMYFUNCTION("""COMPUTED_VALUE"""),0.4859)</f>
        <v>0.4859</v>
      </c>
      <c r="M103" s="242">
        <f>IFERROR(__xludf.DUMMYFUNCTION("""COMPUTED_VALUE"""),3058.0)</f>
        <v>3058</v>
      </c>
      <c r="N103" s="268">
        <f>IFERROR(__xludf.DUMMYFUNCTION("""COMPUTED_VALUE"""),0.2032)</f>
        <v>0.2032</v>
      </c>
      <c r="O103" s="222">
        <f>IFERROR(__xludf.DUMMYFUNCTION("""COMPUTED_VALUE"""),487.0)</f>
        <v>487</v>
      </c>
      <c r="P103" s="222">
        <f>IFERROR(__xludf.DUMMYFUNCTION("""COMPUTED_VALUE"""),433.0)</f>
        <v>433</v>
      </c>
      <c r="Q103" s="268">
        <f>IFERROR(__xludf.DUMMYFUNCTION("""COMPUTED_VALUE"""),0.0288)</f>
        <v>0.0288</v>
      </c>
      <c r="R103" s="268">
        <f>IFERROR(__xludf.DUMMYFUNCTION("""COMPUTED_VALUE"""),0.1416)</f>
        <v>0.1416</v>
      </c>
      <c r="S103" s="222">
        <f>IFERROR(__xludf.DUMMYFUNCTION("""COMPUTED_VALUE"""),11.0)</f>
        <v>11</v>
      </c>
      <c r="T103" s="222">
        <f>IFERROR(__xludf.DUMMYFUNCTION("""COMPUTED_VALUE"""),35.0)</f>
        <v>35</v>
      </c>
      <c r="U103" s="242">
        <f>IFERROR(__xludf.DUMMYFUNCTION("""COMPUTED_VALUE"""),53314.0)</f>
        <v>53314</v>
      </c>
      <c r="V103" s="242" t="str">
        <f>IFERROR(__xludf.DUMMYFUNCTION("""COMPUTED_VALUE"""),"online")</f>
        <v>online</v>
      </c>
      <c r="W103" s="243" t="str">
        <f>IFERROR(__xludf.DUMMYFUNCTION("""COMPUTED_VALUE"""),"simple")</f>
        <v>simple</v>
      </c>
      <c r="X103" s="243" t="str">
        <f>IFERROR(__xludf.DUMMYFUNCTION("""COMPUTED_VALUE"""),"Discount Shopper")</f>
        <v>Discount Shopper</v>
      </c>
      <c r="Y103" s="243" t="str">
        <f>IFERROR(__xludf.DUMMYFUNCTION("""COMPUTED_VALUE"""),"13th - 14th Feb")</f>
        <v>13th - 14th Feb</v>
      </c>
      <c r="Z103" s="243" t="str">
        <f>IFERROR(__xludf.DUMMYFUNCTION("""COMPUTED_VALUE"""),"698daa1c1e7680b1312de567")</f>
        <v>698daa1c1e7680b1312de567</v>
      </c>
      <c r="AA103" s="243">
        <f>IFERROR(__xludf.DUMMYFUNCTION("""COMPUTED_VALUE"""),37.0)</f>
        <v>37</v>
      </c>
      <c r="AB103" s="243">
        <f>IFERROR(__xludf.DUMMYFUNCTION("""COMPUTED_VALUE"""),37.0)</f>
        <v>37</v>
      </c>
      <c r="AC103" s="243"/>
      <c r="AD103" s="243">
        <f>IFERROR(__xludf.DUMMYFUNCTION("""COMPUTED_VALUE"""),138985.0)</f>
        <v>138985</v>
      </c>
      <c r="AE103" s="243">
        <f>IFERROR(__xludf.DUMMYFUNCTION("""COMPUTED_VALUE"""),138985.0)</f>
        <v>138985</v>
      </c>
      <c r="AF103" s="243"/>
      <c r="AG103" s="208"/>
      <c r="AH103" s="208"/>
      <c r="AI103" s="208"/>
      <c r="AJ103" s="208"/>
      <c r="AK103" s="208"/>
    </row>
    <row r="104">
      <c r="A104" s="219">
        <f>IFERROR(__xludf.DUMMYFUNCTION("""COMPUTED_VALUE"""),46066.0)</f>
        <v>46066</v>
      </c>
      <c r="B104" s="244">
        <f>IFERROR(__xludf.DUMMYFUNCTION("""COMPUTED_VALUE"""),0.35763888889050577)</f>
        <v>0.3576388889</v>
      </c>
      <c r="C104" s="222" t="str">
        <f>IFERROR(__xludf.DUMMYFUNCTION("""COMPUTED_VALUE"""),"Whatsapp")</f>
        <v>Whatsapp</v>
      </c>
      <c r="D104" s="222" t="str">
        <f>IFERROR(__xludf.DUMMYFUNCTION("""COMPUTED_VALUE"""),"Fallback Campaign")</f>
        <v>Fallback Campaign</v>
      </c>
      <c r="E104" s="222" t="str">
        <f>IFERROR(__xludf.DUMMYFUNCTION("""COMPUTED_VALUE"""),"VS")</f>
        <v>VS</v>
      </c>
      <c r="F104" s="222" t="str">
        <f>IFERROR(__xludf.DUMMYFUNCTION("""COMPUTED_VALUE"""),"Flash Sale")</f>
        <v>Flash Sale</v>
      </c>
      <c r="G104" s="222" t="str">
        <f>IFERROR(__xludf.DUMMYFUNCTION("""COMPUTED_VALUE"""),"Flash Sale 12Feb - Recent CX - FB")</f>
        <v>Flash Sale 12Feb - Recent CX - FB</v>
      </c>
      <c r="H104" s="222" t="str">
        <f>IFERROR(__xludf.DUMMYFUNCTION("""COMPUTED_VALUE"""),"Predom_RecentApparel_Jan2026_On")</f>
        <v>Predom_RecentApparel_Jan2026_On</v>
      </c>
      <c r="I104" s="223" t="str">
        <f>IFERROR(__xludf.DUMMYFUNCTION("""COMPUTED_VALUE"""),"WA Undelivered")</f>
        <v>WA Undelivered</v>
      </c>
      <c r="J104" s="242">
        <f>IFERROR(__xludf.DUMMYFUNCTION("""COMPUTED_VALUE"""),2608.0)</f>
        <v>2608</v>
      </c>
      <c r="K104" s="242">
        <f>IFERROR(__xludf.DUMMYFUNCTION("""COMPUTED_VALUE"""),1241.0)</f>
        <v>1241</v>
      </c>
      <c r="L104" s="268">
        <f>IFERROR(__xludf.DUMMYFUNCTION("""COMPUTED_VALUE"""),0.4758)</f>
        <v>0.4758</v>
      </c>
      <c r="M104" s="242">
        <f>IFERROR(__xludf.DUMMYFUNCTION("""COMPUTED_VALUE"""),244.0)</f>
        <v>244</v>
      </c>
      <c r="N104" s="268">
        <f>IFERROR(__xludf.DUMMYFUNCTION("""COMPUTED_VALUE"""),0.1966)</f>
        <v>0.1966</v>
      </c>
      <c r="O104" s="222">
        <f>IFERROR(__xludf.DUMMYFUNCTION("""COMPUTED_VALUE"""),57.0)</f>
        <v>57</v>
      </c>
      <c r="P104" s="222">
        <f>IFERROR(__xludf.DUMMYFUNCTION("""COMPUTED_VALUE"""),51.0)</f>
        <v>51</v>
      </c>
      <c r="Q104" s="268">
        <f>IFERROR(__xludf.DUMMYFUNCTION("""COMPUTED_VALUE"""),0.0411)</f>
        <v>0.0411</v>
      </c>
      <c r="R104" s="268">
        <f>IFERROR(__xludf.DUMMYFUNCTION("""COMPUTED_VALUE"""),0.209)</f>
        <v>0.209</v>
      </c>
      <c r="S104" s="222">
        <f>IFERROR(__xludf.DUMMYFUNCTION("""COMPUTED_VALUE"""),3.0)</f>
        <v>3</v>
      </c>
      <c r="T104" s="222">
        <f>IFERROR(__xludf.DUMMYFUNCTION("""COMPUTED_VALUE"""),5.0)</f>
        <v>5</v>
      </c>
      <c r="U104" s="242">
        <f>IFERROR(__xludf.DUMMYFUNCTION("""COMPUTED_VALUE"""),17128.0)</f>
        <v>17128</v>
      </c>
      <c r="V104" s="242" t="str">
        <f>IFERROR(__xludf.DUMMYFUNCTION("""COMPUTED_VALUE"""),"online")</f>
        <v>online</v>
      </c>
      <c r="W104" s="243" t="str">
        <f>IFERROR(__xludf.DUMMYFUNCTION("""COMPUTED_VALUE"""),"simple")</f>
        <v>simple</v>
      </c>
      <c r="X104" s="243" t="str">
        <f>IFERROR(__xludf.DUMMYFUNCTION("""COMPUTED_VALUE"""),"Recent")</f>
        <v>Recent</v>
      </c>
      <c r="Y104" s="243" t="str">
        <f>IFERROR(__xludf.DUMMYFUNCTION("""COMPUTED_VALUE"""),"13th - 14th Feb")</f>
        <v>13th - 14th Feb</v>
      </c>
      <c r="Z104" s="243" t="str">
        <f>IFERROR(__xludf.DUMMYFUNCTION("""COMPUTED_VALUE"""),"698daa7a2f48c4d75f0a0816")</f>
        <v>698daa7a2f48c4d75f0a0816</v>
      </c>
      <c r="AA104" s="243">
        <f>IFERROR(__xludf.DUMMYFUNCTION("""COMPUTED_VALUE"""),6.0)</f>
        <v>6</v>
      </c>
      <c r="AB104" s="243">
        <f>IFERROR(__xludf.DUMMYFUNCTION("""COMPUTED_VALUE"""),6.0)</f>
        <v>6</v>
      </c>
      <c r="AC104" s="243"/>
      <c r="AD104" s="243">
        <f>IFERROR(__xludf.DUMMYFUNCTION("""COMPUTED_VALUE"""),42781.0)</f>
        <v>42781</v>
      </c>
      <c r="AE104" s="243">
        <f>IFERROR(__xludf.DUMMYFUNCTION("""COMPUTED_VALUE"""),42781.0)</f>
        <v>42781</v>
      </c>
      <c r="AF104" s="243"/>
      <c r="AG104" s="208"/>
      <c r="AH104" s="208"/>
      <c r="AI104" s="208"/>
      <c r="AJ104" s="208"/>
      <c r="AK104" s="208"/>
    </row>
    <row r="105">
      <c r="A105" s="219">
        <f>IFERROR(__xludf.DUMMYFUNCTION("""COMPUTED_VALUE"""),46066.0)</f>
        <v>46066</v>
      </c>
      <c r="B105" s="244">
        <f>IFERROR(__xludf.DUMMYFUNCTION("""COMPUTED_VALUE"""),0.3645833333321207)</f>
        <v>0.3645833333</v>
      </c>
      <c r="C105" s="222" t="str">
        <f>IFERROR(__xludf.DUMMYFUNCTION("""COMPUTED_VALUE"""),"Whatsapp")</f>
        <v>Whatsapp</v>
      </c>
      <c r="D105" s="222" t="str">
        <f>IFERROR(__xludf.DUMMYFUNCTION("""COMPUTED_VALUE"""),"Fallback Campaign")</f>
        <v>Fallback Campaign</v>
      </c>
      <c r="E105" s="222" t="str">
        <f>IFERROR(__xludf.DUMMYFUNCTION("""COMPUTED_VALUE"""),"VS")</f>
        <v>VS</v>
      </c>
      <c r="F105" s="222" t="str">
        <f>IFERROR(__xludf.DUMMYFUNCTION("""COMPUTED_VALUE"""),"Flash Sale")</f>
        <v>Flash Sale</v>
      </c>
      <c r="G105" s="222" t="str">
        <f>IFERROR(__xludf.DUMMYFUNCTION("""COMPUTED_VALUE"""),"Flash Sale 12Feb - Event BTY CX - FB")</f>
        <v>Flash Sale 12Feb - Event BTY CX - FB</v>
      </c>
      <c r="H105" s="222" t="str">
        <f>IFERROR(__xludf.DUMMYFUNCTION("""COMPUTED_VALUE"""),"Beauty_SaleDay_Buyers_NoPur_Ling_On")</f>
        <v>Beauty_SaleDay_Buyers_NoPur_Ling_On</v>
      </c>
      <c r="I105" s="223" t="str">
        <f>IFERROR(__xludf.DUMMYFUNCTION("""COMPUTED_VALUE"""),"WA Undelivered")</f>
        <v>WA Undelivered</v>
      </c>
      <c r="J105" s="242">
        <f>IFERROR(__xludf.DUMMYFUNCTION("""COMPUTED_VALUE"""),1340.0)</f>
        <v>1340</v>
      </c>
      <c r="K105" s="242">
        <f>IFERROR(__xludf.DUMMYFUNCTION("""COMPUTED_VALUE"""),631.0)</f>
        <v>631</v>
      </c>
      <c r="L105" s="268">
        <f>IFERROR(__xludf.DUMMYFUNCTION("""COMPUTED_VALUE"""),0.4709)</f>
        <v>0.4709</v>
      </c>
      <c r="M105" s="242">
        <f>IFERROR(__xludf.DUMMYFUNCTION("""COMPUTED_VALUE"""),146.0)</f>
        <v>146</v>
      </c>
      <c r="N105" s="268">
        <f>IFERROR(__xludf.DUMMYFUNCTION("""COMPUTED_VALUE"""),0.2314)</f>
        <v>0.2314</v>
      </c>
      <c r="O105" s="222">
        <f>IFERROR(__xludf.DUMMYFUNCTION("""COMPUTED_VALUE"""),20.0)</f>
        <v>20</v>
      </c>
      <c r="P105" s="222">
        <f>IFERROR(__xludf.DUMMYFUNCTION("""COMPUTED_VALUE"""),19.0)</f>
        <v>19</v>
      </c>
      <c r="Q105" s="268">
        <f>IFERROR(__xludf.DUMMYFUNCTION("""COMPUTED_VALUE"""),0.0301)</f>
        <v>0.0301</v>
      </c>
      <c r="R105" s="268">
        <f>IFERROR(__xludf.DUMMYFUNCTION("""COMPUTED_VALUE"""),0.1301)</f>
        <v>0.1301</v>
      </c>
      <c r="S105" s="222">
        <f>IFERROR(__xludf.DUMMYFUNCTION("""COMPUTED_VALUE"""),0.0)</f>
        <v>0</v>
      </c>
      <c r="T105" s="222">
        <f>IFERROR(__xludf.DUMMYFUNCTION("""COMPUTED_VALUE"""),1.0)</f>
        <v>1</v>
      </c>
      <c r="U105" s="242">
        <f>IFERROR(__xludf.DUMMYFUNCTION("""COMPUTED_VALUE"""),0.0)</f>
        <v>0</v>
      </c>
      <c r="V105" s="242" t="str">
        <f>IFERROR(__xludf.DUMMYFUNCTION("""COMPUTED_VALUE"""),"online")</f>
        <v>online</v>
      </c>
      <c r="W105" s="243" t="str">
        <f>IFERROR(__xludf.DUMMYFUNCTION("""COMPUTED_VALUE"""),"simple")</f>
        <v>simple</v>
      </c>
      <c r="X105" s="243" t="str">
        <f>IFERROR(__xludf.DUMMYFUNCTION("""COMPUTED_VALUE"""),"Event Buyers")</f>
        <v>Event Buyers</v>
      </c>
      <c r="Y105" s="243" t="str">
        <f>IFERROR(__xludf.DUMMYFUNCTION("""COMPUTED_VALUE"""),"13th - 14th Feb")</f>
        <v>13th - 14th Feb</v>
      </c>
      <c r="Z105" s="243" t="str">
        <f>IFERROR(__xludf.DUMMYFUNCTION("""COMPUTED_VALUE"""),"698dad43f40687b35d2b5f1f")</f>
        <v>698dad43f40687b35d2b5f1f</v>
      </c>
      <c r="AA105" s="243">
        <f>IFERROR(__xludf.DUMMYFUNCTION("""COMPUTED_VALUE"""),1.0)</f>
        <v>1</v>
      </c>
      <c r="AB105" s="243">
        <f>IFERROR(__xludf.DUMMYFUNCTION("""COMPUTED_VALUE"""),1.0)</f>
        <v>1</v>
      </c>
      <c r="AC105" s="243"/>
      <c r="AD105" s="243">
        <f>IFERROR(__xludf.DUMMYFUNCTION("""COMPUTED_VALUE"""),1657.0)</f>
        <v>1657</v>
      </c>
      <c r="AE105" s="243">
        <f>IFERROR(__xludf.DUMMYFUNCTION("""COMPUTED_VALUE"""),1657.0)</f>
        <v>1657</v>
      </c>
      <c r="AF105" s="243"/>
      <c r="AG105" s="208"/>
      <c r="AH105" s="208"/>
      <c r="AI105" s="208"/>
      <c r="AJ105" s="208"/>
      <c r="AK105" s="208"/>
    </row>
    <row r="106">
      <c r="A106" s="219">
        <f>IFERROR(__xludf.DUMMYFUNCTION("""COMPUTED_VALUE"""),46066.0)</f>
        <v>46066</v>
      </c>
      <c r="B106" s="244">
        <f>IFERROR(__xludf.DUMMYFUNCTION("""COMPUTED_VALUE"""),0.36111111110949423)</f>
        <v>0.3611111111</v>
      </c>
      <c r="C106" s="222" t="str">
        <f>IFERROR(__xludf.DUMMYFUNCTION("""COMPUTED_VALUE"""),"Whatsapp")</f>
        <v>Whatsapp</v>
      </c>
      <c r="D106" s="222" t="str">
        <f>IFERROR(__xludf.DUMMYFUNCTION("""COMPUTED_VALUE"""),"Fallback Campaign")</f>
        <v>Fallback Campaign</v>
      </c>
      <c r="E106" s="222" t="str">
        <f>IFERROR(__xludf.DUMMYFUNCTION("""COMPUTED_VALUE"""),"VS")</f>
        <v>VS</v>
      </c>
      <c r="F106" s="222" t="str">
        <f>IFERROR(__xludf.DUMMYFUNCTION("""COMPUTED_VALUE"""),"Flash Sale")</f>
        <v>Flash Sale</v>
      </c>
      <c r="G106" s="222" t="str">
        <f>IFERROR(__xludf.DUMMYFUNCTION("""COMPUTED_VALUE"""),"Flash Sale 12Feb - Repeat CX -FB")</f>
        <v>Flash Sale 12Feb - Repeat CX -FB</v>
      </c>
      <c r="H106" s="222" t="str">
        <f>IFERROR(__xludf.DUMMYFUNCTION("""COMPUTED_VALUE"""),"RepeatApparel_Jan2026_On")</f>
        <v>RepeatApparel_Jan2026_On</v>
      </c>
      <c r="I106" s="223" t="str">
        <f>IFERROR(__xludf.DUMMYFUNCTION("""COMPUTED_VALUE"""),"WA Undelivered")</f>
        <v>WA Undelivered</v>
      </c>
      <c r="J106" s="242">
        <f>IFERROR(__xludf.DUMMYFUNCTION("""COMPUTED_VALUE"""),3910.0)</f>
        <v>3910</v>
      </c>
      <c r="K106" s="242">
        <f>IFERROR(__xludf.DUMMYFUNCTION("""COMPUTED_VALUE"""),1688.0)</f>
        <v>1688</v>
      </c>
      <c r="L106" s="268">
        <f>IFERROR(__xludf.DUMMYFUNCTION("""COMPUTED_VALUE"""),0.4317)</f>
        <v>0.4317</v>
      </c>
      <c r="M106" s="242">
        <f>IFERROR(__xludf.DUMMYFUNCTION("""COMPUTED_VALUE"""),268.0)</f>
        <v>268</v>
      </c>
      <c r="N106" s="268">
        <f>IFERROR(__xludf.DUMMYFUNCTION("""COMPUTED_VALUE"""),0.1588)</f>
        <v>0.1588</v>
      </c>
      <c r="O106" s="222">
        <f>IFERROR(__xludf.DUMMYFUNCTION("""COMPUTED_VALUE"""),51.0)</f>
        <v>51</v>
      </c>
      <c r="P106" s="222">
        <f>IFERROR(__xludf.DUMMYFUNCTION("""COMPUTED_VALUE"""),47.0)</f>
        <v>47</v>
      </c>
      <c r="Q106" s="268">
        <f>IFERROR(__xludf.DUMMYFUNCTION("""COMPUTED_VALUE"""),0.0278)</f>
        <v>0.0278</v>
      </c>
      <c r="R106" s="268">
        <f>IFERROR(__xludf.DUMMYFUNCTION("""COMPUTED_VALUE"""),0.1754)</f>
        <v>0.1754</v>
      </c>
      <c r="S106" s="222">
        <f>IFERROR(__xludf.DUMMYFUNCTION("""COMPUTED_VALUE"""),5.0)</f>
        <v>5</v>
      </c>
      <c r="T106" s="222">
        <f>IFERROR(__xludf.DUMMYFUNCTION("""COMPUTED_VALUE"""),7.0)</f>
        <v>7</v>
      </c>
      <c r="U106" s="242">
        <f>IFERROR(__xludf.DUMMYFUNCTION("""COMPUTED_VALUE"""),22751.0)</f>
        <v>22751</v>
      </c>
      <c r="V106" s="242" t="str">
        <f>IFERROR(__xludf.DUMMYFUNCTION("""COMPUTED_VALUE"""),"online")</f>
        <v>online</v>
      </c>
      <c r="W106" s="243" t="str">
        <f>IFERROR(__xludf.DUMMYFUNCTION("""COMPUTED_VALUE"""),"simple")</f>
        <v>simple</v>
      </c>
      <c r="X106" s="243" t="str">
        <f>IFERROR(__xludf.DUMMYFUNCTION("""COMPUTED_VALUE"""),"Repeat")</f>
        <v>Repeat</v>
      </c>
      <c r="Y106" s="243" t="str">
        <f>IFERROR(__xludf.DUMMYFUNCTION("""COMPUTED_VALUE"""),"13th - 14th Feb")</f>
        <v>13th - 14th Feb</v>
      </c>
      <c r="Z106" s="243" t="str">
        <f>IFERROR(__xludf.DUMMYFUNCTION("""COMPUTED_VALUE"""),"698daec5530dbea5637998bb")</f>
        <v>698daec5530dbea5637998bb</v>
      </c>
      <c r="AA106" s="243">
        <f>IFERROR(__xludf.DUMMYFUNCTION("""COMPUTED_VALUE"""),5.0)</f>
        <v>5</v>
      </c>
      <c r="AB106" s="243">
        <f>IFERROR(__xludf.DUMMYFUNCTION("""COMPUTED_VALUE"""),5.0)</f>
        <v>5</v>
      </c>
      <c r="AC106" s="243"/>
      <c r="AD106" s="243">
        <f>IFERROR(__xludf.DUMMYFUNCTION("""COMPUTED_VALUE"""),31745.0)</f>
        <v>31745</v>
      </c>
      <c r="AE106" s="243">
        <f>IFERROR(__xludf.DUMMYFUNCTION("""COMPUTED_VALUE"""),31745.0)</f>
        <v>31745</v>
      </c>
      <c r="AF106" s="243"/>
      <c r="AG106" s="208"/>
      <c r="AH106" s="208"/>
      <c r="AI106" s="208"/>
      <c r="AJ106" s="208"/>
      <c r="AK106" s="208"/>
    </row>
    <row r="107">
      <c r="A107" s="219">
        <f>IFERROR(__xludf.DUMMYFUNCTION("""COMPUTED_VALUE"""),46066.0)</f>
        <v>46066</v>
      </c>
      <c r="B107" s="244">
        <f>IFERROR(__xludf.DUMMYFUNCTION("""COMPUTED_VALUE"""),0.4166666666678793)</f>
        <v>0.4166666667</v>
      </c>
      <c r="C107" s="222" t="str">
        <f>IFERROR(__xludf.DUMMYFUNCTION("""COMPUTED_VALUE"""),"Sms")</f>
        <v>Sms</v>
      </c>
      <c r="D107" s="222" t="str">
        <f>IFERROR(__xludf.DUMMYFUNCTION("""COMPUTED_VALUE"""),"Fallback Campaign")</f>
        <v>Fallback Campaign</v>
      </c>
      <c r="E107" s="222" t="str">
        <f>IFERROR(__xludf.DUMMYFUNCTION("""COMPUTED_VALUE"""),"VS")</f>
        <v>VS</v>
      </c>
      <c r="F107" s="222" t="str">
        <f>IFERROR(__xludf.DUMMYFUNCTION("""COMPUTED_VALUE"""),"Flash Sale")</f>
        <v>Flash Sale</v>
      </c>
      <c r="G107" s="222" t="str">
        <f>IFERROR(__xludf.DUMMYFUNCTION("""COMPUTED_VALUE"""),"Flash Sale 12Feb - Discount CX SMS FB")</f>
        <v>Flash Sale 12Feb - Discount CX SMS FB</v>
      </c>
      <c r="H107" s="222" t="str">
        <f>IFERROR(__xludf.DUMMYFUNCTION("""COMPUTED_VALUE"""),"DiscountShoppers_Flat50%_Jan2026_On")</f>
        <v>DiscountShoppers_Flat50%_Jan2026_On</v>
      </c>
      <c r="I107" s="223" t="str">
        <f>IFERROR(__xludf.DUMMYFUNCTION("""COMPUTED_VALUE"""),"WA Undelivered")</f>
        <v>WA Undelivered</v>
      </c>
      <c r="J107" s="242">
        <f>IFERROR(__xludf.DUMMYFUNCTION("""COMPUTED_VALUE"""),15671.0)</f>
        <v>15671</v>
      </c>
      <c r="K107" s="242">
        <f>IFERROR(__xludf.DUMMYFUNCTION("""COMPUTED_VALUE"""),10708.0)</f>
        <v>10708</v>
      </c>
      <c r="L107" s="268">
        <f>IFERROR(__xludf.DUMMYFUNCTION("""COMPUTED_VALUE"""),0.6833)</f>
        <v>0.6833</v>
      </c>
      <c r="M107" s="242"/>
      <c r="N107" s="268"/>
      <c r="O107" s="222">
        <f>IFERROR(__xludf.DUMMYFUNCTION("""COMPUTED_VALUE"""),59.0)</f>
        <v>59</v>
      </c>
      <c r="P107" s="222"/>
      <c r="Q107" s="268">
        <f>IFERROR(__xludf.DUMMYFUNCTION("""COMPUTED_VALUE"""),0.0055)</f>
        <v>0.0055</v>
      </c>
      <c r="R107" s="268"/>
      <c r="S107" s="222">
        <f>IFERROR(__xludf.DUMMYFUNCTION("""COMPUTED_VALUE"""),3.0)</f>
        <v>3</v>
      </c>
      <c r="T107" s="222">
        <f>IFERROR(__xludf.DUMMYFUNCTION("""COMPUTED_VALUE"""),21.0)</f>
        <v>21</v>
      </c>
      <c r="U107" s="242">
        <f>IFERROR(__xludf.DUMMYFUNCTION("""COMPUTED_VALUE"""),13209.0)</f>
        <v>13209</v>
      </c>
      <c r="V107" s="242" t="str">
        <f>IFERROR(__xludf.DUMMYFUNCTION("""COMPUTED_VALUE"""),"online")</f>
        <v>online</v>
      </c>
      <c r="W107" s="243" t="str">
        <f>IFERROR(__xludf.DUMMYFUNCTION("""COMPUTED_VALUE"""),"SMS")</f>
        <v>SMS</v>
      </c>
      <c r="X107" s="243" t="str">
        <f>IFERROR(__xludf.DUMMYFUNCTION("""COMPUTED_VALUE"""),"Discount Shopper")</f>
        <v>Discount Shopper</v>
      </c>
      <c r="Y107" s="243" t="str">
        <f>IFERROR(__xludf.DUMMYFUNCTION("""COMPUTED_VALUE"""),"13th - 14th Feb")</f>
        <v>13th - 14th Feb</v>
      </c>
      <c r="Z107" s="243" t="str">
        <f>IFERROR(__xludf.DUMMYFUNCTION("""COMPUTED_VALUE"""),"698db57f19558c0dff414d7c")</f>
        <v>698db57f19558c0dff414d7c</v>
      </c>
      <c r="AA107" s="243">
        <f>IFERROR(__xludf.DUMMYFUNCTION("""COMPUTED_VALUE"""),27.0)</f>
        <v>27</v>
      </c>
      <c r="AB107" s="243">
        <f>IFERROR(__xludf.DUMMYFUNCTION("""COMPUTED_VALUE"""),27.0)</f>
        <v>27</v>
      </c>
      <c r="AC107" s="243"/>
      <c r="AD107" s="243">
        <f>IFERROR(__xludf.DUMMYFUNCTION("""COMPUTED_VALUE"""),123739.0)</f>
        <v>123739</v>
      </c>
      <c r="AE107" s="243">
        <f>IFERROR(__xludf.DUMMYFUNCTION("""COMPUTED_VALUE"""),123739.0)</f>
        <v>123739</v>
      </c>
      <c r="AF107" s="243"/>
      <c r="AG107" s="208"/>
      <c r="AH107" s="208"/>
      <c r="AI107" s="208"/>
      <c r="AJ107" s="208"/>
      <c r="AK107" s="208"/>
    </row>
    <row r="108">
      <c r="A108" s="219">
        <f>IFERROR(__xludf.DUMMYFUNCTION("""COMPUTED_VALUE"""),46066.0)</f>
        <v>46066</v>
      </c>
      <c r="B108" s="244">
        <f>IFERROR(__xludf.DUMMYFUNCTION("""COMPUTED_VALUE"""),0.4166666666678793)</f>
        <v>0.4166666667</v>
      </c>
      <c r="C108" s="222" t="str">
        <f>IFERROR(__xludf.DUMMYFUNCTION("""COMPUTED_VALUE"""),"Sms")</f>
        <v>Sms</v>
      </c>
      <c r="D108" s="222" t="str">
        <f>IFERROR(__xludf.DUMMYFUNCTION("""COMPUTED_VALUE"""),"Fallback Campaign")</f>
        <v>Fallback Campaign</v>
      </c>
      <c r="E108" s="222" t="str">
        <f>IFERROR(__xludf.DUMMYFUNCTION("""COMPUTED_VALUE"""),"VS")</f>
        <v>VS</v>
      </c>
      <c r="F108" s="222" t="str">
        <f>IFERROR(__xludf.DUMMYFUNCTION("""COMPUTED_VALUE"""),"Flash Sale")</f>
        <v>Flash Sale</v>
      </c>
      <c r="G108" s="222" t="str">
        <f>IFERROR(__xludf.DUMMYFUNCTION("""COMPUTED_VALUE"""),"Flash Sale 12Feb - Recent CX - SMS FB")</f>
        <v>Flash Sale 12Feb - Recent CX - SMS FB</v>
      </c>
      <c r="H108" s="222" t="str">
        <f>IFERROR(__xludf.DUMMYFUNCTION("""COMPUTED_VALUE"""),"Predom_RecentApparel_Jan2026_On")</f>
        <v>Predom_RecentApparel_Jan2026_On</v>
      </c>
      <c r="I108" s="223" t="str">
        <f>IFERROR(__xludf.DUMMYFUNCTION("""COMPUTED_VALUE"""),"WA Undelivered")</f>
        <v>WA Undelivered</v>
      </c>
      <c r="J108" s="242">
        <f>IFERROR(__xludf.DUMMYFUNCTION("""COMPUTED_VALUE"""),1348.0)</f>
        <v>1348</v>
      </c>
      <c r="K108" s="242">
        <f>IFERROR(__xludf.DUMMYFUNCTION("""COMPUTED_VALUE"""),739.0)</f>
        <v>739</v>
      </c>
      <c r="L108" s="268">
        <f>IFERROR(__xludf.DUMMYFUNCTION("""COMPUTED_VALUE"""),0.5482)</f>
        <v>0.5482</v>
      </c>
      <c r="M108" s="242"/>
      <c r="N108" s="268"/>
      <c r="O108" s="222">
        <f>IFERROR(__xludf.DUMMYFUNCTION("""COMPUTED_VALUE"""),3.0)</f>
        <v>3</v>
      </c>
      <c r="P108" s="222"/>
      <c r="Q108" s="268">
        <f>IFERROR(__xludf.DUMMYFUNCTION("""COMPUTED_VALUE"""),0.0041)</f>
        <v>0.0041</v>
      </c>
      <c r="R108" s="268"/>
      <c r="S108" s="222">
        <f>IFERROR(__xludf.DUMMYFUNCTION("""COMPUTED_VALUE"""),1.0)</f>
        <v>1</v>
      </c>
      <c r="T108" s="222">
        <f>IFERROR(__xludf.DUMMYFUNCTION("""COMPUTED_VALUE"""),2.0)</f>
        <v>2</v>
      </c>
      <c r="U108" s="242">
        <f>IFERROR(__xludf.DUMMYFUNCTION("""COMPUTED_VALUE"""),1317.0)</f>
        <v>1317</v>
      </c>
      <c r="V108" s="242" t="str">
        <f>IFERROR(__xludf.DUMMYFUNCTION("""COMPUTED_VALUE"""),"online")</f>
        <v>online</v>
      </c>
      <c r="W108" s="243" t="str">
        <f>IFERROR(__xludf.DUMMYFUNCTION("""COMPUTED_VALUE"""),"SMS")</f>
        <v>SMS</v>
      </c>
      <c r="X108" s="243" t="str">
        <f>IFERROR(__xludf.DUMMYFUNCTION("""COMPUTED_VALUE"""),"Recent")</f>
        <v>Recent</v>
      </c>
      <c r="Y108" s="243" t="str">
        <f>IFERROR(__xludf.DUMMYFUNCTION("""COMPUTED_VALUE"""),"13th - 14th Feb")</f>
        <v>13th - 14th Feb</v>
      </c>
      <c r="Z108" s="243" t="str">
        <f>IFERROR(__xludf.DUMMYFUNCTION("""COMPUTED_VALUE"""),"698db66ee8a61e6a16e87989")</f>
        <v>698db66ee8a61e6a16e87989</v>
      </c>
      <c r="AA108" s="243">
        <f>IFERROR(__xludf.DUMMYFUNCTION("""COMPUTED_VALUE"""),3.0)</f>
        <v>3</v>
      </c>
      <c r="AB108" s="243">
        <f>IFERROR(__xludf.DUMMYFUNCTION("""COMPUTED_VALUE"""),3.0)</f>
        <v>3</v>
      </c>
      <c r="AC108" s="243"/>
      <c r="AD108" s="243">
        <f>IFERROR(__xludf.DUMMYFUNCTION("""COMPUTED_VALUE"""),46737.0)</f>
        <v>46737</v>
      </c>
      <c r="AE108" s="243">
        <f>IFERROR(__xludf.DUMMYFUNCTION("""COMPUTED_VALUE"""),46737.0)</f>
        <v>46737</v>
      </c>
      <c r="AF108" s="243"/>
      <c r="AG108" s="208"/>
      <c r="AH108" s="208"/>
      <c r="AI108" s="208"/>
      <c r="AJ108" s="208"/>
      <c r="AK108" s="208"/>
    </row>
    <row r="109">
      <c r="A109" s="219">
        <f>IFERROR(__xludf.DUMMYFUNCTION("""COMPUTED_VALUE"""),46066.0)</f>
        <v>46066</v>
      </c>
      <c r="B109" s="244">
        <f>IFERROR(__xludf.DUMMYFUNCTION("""COMPUTED_VALUE"""),0.4166666666678793)</f>
        <v>0.4166666667</v>
      </c>
      <c r="C109" s="222" t="str">
        <f>IFERROR(__xludf.DUMMYFUNCTION("""COMPUTED_VALUE"""),"Sms")</f>
        <v>Sms</v>
      </c>
      <c r="D109" s="222" t="str">
        <f>IFERROR(__xludf.DUMMYFUNCTION("""COMPUTED_VALUE"""),"Fallback Campaign")</f>
        <v>Fallback Campaign</v>
      </c>
      <c r="E109" s="222" t="str">
        <f>IFERROR(__xludf.DUMMYFUNCTION("""COMPUTED_VALUE"""),"VS")</f>
        <v>VS</v>
      </c>
      <c r="F109" s="222" t="str">
        <f>IFERROR(__xludf.DUMMYFUNCTION("""COMPUTED_VALUE"""),"Flash Sale")</f>
        <v>Flash Sale</v>
      </c>
      <c r="G109" s="222" t="str">
        <f>IFERROR(__xludf.DUMMYFUNCTION("""COMPUTED_VALUE"""),"Flash Sale 12Feb - Event BTY CX - SMS FB")</f>
        <v>Flash Sale 12Feb - Event BTY CX - SMS FB</v>
      </c>
      <c r="H109" s="222" t="str">
        <f>IFERROR(__xludf.DUMMYFUNCTION("""COMPUTED_VALUE"""),"Beauty_SaleDay_Buyers_NoPur_Ling_On")</f>
        <v>Beauty_SaleDay_Buyers_NoPur_Ling_On</v>
      </c>
      <c r="I109" s="223" t="str">
        <f>IFERROR(__xludf.DUMMYFUNCTION("""COMPUTED_VALUE"""),"WA Undelivered")</f>
        <v>WA Undelivered</v>
      </c>
      <c r="J109" s="224">
        <f>IFERROR(__xludf.DUMMYFUNCTION("""COMPUTED_VALUE"""),691.0)</f>
        <v>691</v>
      </c>
      <c r="K109" s="224">
        <f>IFERROR(__xludf.DUMMYFUNCTION("""COMPUTED_VALUE"""),458.0)</f>
        <v>458</v>
      </c>
      <c r="L109" s="225">
        <f>IFERROR(__xludf.DUMMYFUNCTION("""COMPUTED_VALUE"""),0.6628)</f>
        <v>0.6628</v>
      </c>
      <c r="M109" s="224"/>
      <c r="N109" s="225"/>
      <c r="O109" s="226">
        <f>IFERROR(__xludf.DUMMYFUNCTION("""COMPUTED_VALUE"""),0.0)</f>
        <v>0</v>
      </c>
      <c r="P109" s="226"/>
      <c r="Q109" s="225">
        <f>IFERROR(__xludf.DUMMYFUNCTION("""COMPUTED_VALUE"""),0.0)</f>
        <v>0</v>
      </c>
      <c r="R109" s="225"/>
      <c r="S109" s="226">
        <f>IFERROR(__xludf.DUMMYFUNCTION("""COMPUTED_VALUE"""),0.0)</f>
        <v>0</v>
      </c>
      <c r="T109" s="226">
        <f>IFERROR(__xludf.DUMMYFUNCTION("""COMPUTED_VALUE"""),0.0)</f>
        <v>0</v>
      </c>
      <c r="U109" s="224">
        <f>IFERROR(__xludf.DUMMYFUNCTION("""COMPUTED_VALUE"""),0.0)</f>
        <v>0</v>
      </c>
      <c r="V109" s="224" t="str">
        <f>IFERROR(__xludf.DUMMYFUNCTION("""COMPUTED_VALUE"""),"online")</f>
        <v>online</v>
      </c>
      <c r="W109" s="229" t="str">
        <f>IFERROR(__xludf.DUMMYFUNCTION("""COMPUTED_VALUE"""),"SMS")</f>
        <v>SMS</v>
      </c>
      <c r="X109" s="229" t="str">
        <f>IFERROR(__xludf.DUMMYFUNCTION("""COMPUTED_VALUE"""),"Event Buyers")</f>
        <v>Event Buyers</v>
      </c>
      <c r="Y109" s="229" t="str">
        <f>IFERROR(__xludf.DUMMYFUNCTION("""COMPUTED_VALUE"""),"13th - 14th Feb")</f>
        <v>13th - 14th Feb</v>
      </c>
      <c r="Z109" s="229" t="str">
        <f>IFERROR(__xludf.DUMMYFUNCTION("""COMPUTED_VALUE"""),"698db6e929c2bd8123dea848")</f>
        <v>698db6e929c2bd8123dea848</v>
      </c>
      <c r="AA109" s="229">
        <f>IFERROR(__xludf.DUMMYFUNCTION("""COMPUTED_VALUE"""),0.0)</f>
        <v>0</v>
      </c>
      <c r="AB109" s="229">
        <f>IFERROR(__xludf.DUMMYFUNCTION("""COMPUTED_VALUE"""),0.0)</f>
        <v>0</v>
      </c>
      <c r="AC109" s="229"/>
      <c r="AD109" s="229">
        <f>IFERROR(__xludf.DUMMYFUNCTION("""COMPUTED_VALUE"""),0.0)</f>
        <v>0</v>
      </c>
      <c r="AE109" s="229">
        <f>IFERROR(__xludf.DUMMYFUNCTION("""COMPUTED_VALUE"""),0.0)</f>
        <v>0</v>
      </c>
      <c r="AF109" s="229"/>
      <c r="AG109" s="208"/>
      <c r="AH109" s="208"/>
      <c r="AI109" s="208"/>
      <c r="AJ109" s="208"/>
      <c r="AK109" s="208"/>
    </row>
    <row r="110">
      <c r="A110" s="219">
        <f>IFERROR(__xludf.DUMMYFUNCTION("""COMPUTED_VALUE"""),46066.0)</f>
        <v>46066</v>
      </c>
      <c r="B110" s="244">
        <f>IFERROR(__xludf.DUMMYFUNCTION("""COMPUTED_VALUE"""),0.4166666666678793)</f>
        <v>0.4166666667</v>
      </c>
      <c r="C110" s="222" t="str">
        <f>IFERROR(__xludf.DUMMYFUNCTION("""COMPUTED_VALUE"""),"Sms")</f>
        <v>Sms</v>
      </c>
      <c r="D110" s="222" t="str">
        <f>IFERROR(__xludf.DUMMYFUNCTION("""COMPUTED_VALUE"""),"Fallback Campaign")</f>
        <v>Fallback Campaign</v>
      </c>
      <c r="E110" s="222" t="str">
        <f>IFERROR(__xludf.DUMMYFUNCTION("""COMPUTED_VALUE"""),"VS")</f>
        <v>VS</v>
      </c>
      <c r="F110" s="222" t="str">
        <f>IFERROR(__xludf.DUMMYFUNCTION("""COMPUTED_VALUE"""),"Flash Sale")</f>
        <v>Flash Sale</v>
      </c>
      <c r="G110" s="222" t="str">
        <f>IFERROR(__xludf.DUMMYFUNCTION("""COMPUTED_VALUE"""),"Flash Sale 12Feb - Repeat CX - SMS FB")</f>
        <v>Flash Sale 12Feb - Repeat CX - SMS FB</v>
      </c>
      <c r="H110" s="222" t="str">
        <f>IFERROR(__xludf.DUMMYFUNCTION("""COMPUTED_VALUE"""),"RepeatApparel_Jan2026_On")</f>
        <v>RepeatApparel_Jan2026_On</v>
      </c>
      <c r="I110" s="223" t="str">
        <f>IFERROR(__xludf.DUMMYFUNCTION("""COMPUTED_VALUE"""),"WA Undelivered")</f>
        <v>WA Undelivered</v>
      </c>
      <c r="J110" s="224">
        <f>IFERROR(__xludf.DUMMYFUNCTION("""COMPUTED_VALUE"""),2161.0)</f>
        <v>2161</v>
      </c>
      <c r="K110" s="224">
        <f>IFERROR(__xludf.DUMMYFUNCTION("""COMPUTED_VALUE"""),1148.0)</f>
        <v>1148</v>
      </c>
      <c r="L110" s="225">
        <f>IFERROR(__xludf.DUMMYFUNCTION("""COMPUTED_VALUE"""),0.5312)</f>
        <v>0.5312</v>
      </c>
      <c r="M110" s="224"/>
      <c r="N110" s="225"/>
      <c r="O110" s="226">
        <f>IFERROR(__xludf.DUMMYFUNCTION("""COMPUTED_VALUE"""),9.0)</f>
        <v>9</v>
      </c>
      <c r="P110" s="226"/>
      <c r="Q110" s="225">
        <f>IFERROR(__xludf.DUMMYFUNCTION("""COMPUTED_VALUE"""),0.0078)</f>
        <v>0.0078</v>
      </c>
      <c r="R110" s="225"/>
      <c r="S110" s="226">
        <f>IFERROR(__xludf.DUMMYFUNCTION("""COMPUTED_VALUE"""),0.0)</f>
        <v>0</v>
      </c>
      <c r="T110" s="226">
        <f>IFERROR(__xludf.DUMMYFUNCTION("""COMPUTED_VALUE"""),2.0)</f>
        <v>2</v>
      </c>
      <c r="U110" s="224">
        <f>IFERROR(__xludf.DUMMYFUNCTION("""COMPUTED_VALUE"""),0.0)</f>
        <v>0</v>
      </c>
      <c r="V110" s="226" t="str">
        <f>IFERROR(__xludf.DUMMYFUNCTION("""COMPUTED_VALUE"""),"online")</f>
        <v>online</v>
      </c>
      <c r="W110" s="231" t="str">
        <f>IFERROR(__xludf.DUMMYFUNCTION("""COMPUTED_VALUE"""),"SMS")</f>
        <v>SMS</v>
      </c>
      <c r="X110" s="231" t="str">
        <f>IFERROR(__xludf.DUMMYFUNCTION("""COMPUTED_VALUE"""),"Repeat")</f>
        <v>Repeat</v>
      </c>
      <c r="Y110" s="231" t="str">
        <f>IFERROR(__xludf.DUMMYFUNCTION("""COMPUTED_VALUE"""),"13th - 14th Feb")</f>
        <v>13th - 14th Feb</v>
      </c>
      <c r="Z110" s="231" t="str">
        <f>IFERROR(__xludf.DUMMYFUNCTION("""COMPUTED_VALUE"""),"698db7ed8b2c3db3b5e6942b")</f>
        <v>698db7ed8b2c3db3b5e6942b</v>
      </c>
      <c r="AA110" s="229">
        <f>IFERROR(__xludf.DUMMYFUNCTION("""COMPUTED_VALUE"""),4.0)</f>
        <v>4</v>
      </c>
      <c r="AB110" s="229">
        <f>IFERROR(__xludf.DUMMYFUNCTION("""COMPUTED_VALUE"""),4.0)</f>
        <v>4</v>
      </c>
      <c r="AC110" s="229"/>
      <c r="AD110" s="229">
        <f>IFERROR(__xludf.DUMMYFUNCTION("""COMPUTED_VALUE"""),23372.0)</f>
        <v>23372</v>
      </c>
      <c r="AE110" s="229"/>
      <c r="AF110" s="229">
        <f>IFERROR(__xludf.DUMMYFUNCTION("""COMPUTED_VALUE"""),23372.0)</f>
        <v>23372</v>
      </c>
      <c r="AG110" s="208"/>
      <c r="AH110" s="208"/>
      <c r="AI110" s="208"/>
      <c r="AJ110" s="208"/>
      <c r="AK110" s="208"/>
    </row>
    <row r="111">
      <c r="A111" s="219">
        <f>IFERROR(__xludf.DUMMYFUNCTION("""COMPUTED_VALUE"""),46073.0)</f>
        <v>46073</v>
      </c>
      <c r="B111" s="244">
        <f>IFERROR(__xludf.DUMMYFUNCTION("""COMPUTED_VALUE"""),0.4375)</f>
        <v>0.4375</v>
      </c>
      <c r="C111" s="222" t="str">
        <f>IFERROR(__xludf.DUMMYFUNCTION("""COMPUTED_VALUE"""),"Sms")</f>
        <v>Sms</v>
      </c>
      <c r="D111" s="222" t="str">
        <f>IFERROR(__xludf.DUMMYFUNCTION("""COMPUTED_VALUE"""),"Fallback Campaign")</f>
        <v>Fallback Campaign</v>
      </c>
      <c r="E111" s="222" t="str">
        <f>IFERROR(__xludf.DUMMYFUNCTION("""COMPUTED_VALUE"""),"VS")</f>
        <v>VS</v>
      </c>
      <c r="F111" s="222" t="str">
        <f>IFERROR(__xludf.DUMMYFUNCTION("""COMPUTED_VALUE"""),"Store visit campaigns")</f>
        <v>Store visit campaigns</v>
      </c>
      <c r="G111" s="222" t="str">
        <f>IFERROR(__xludf.DUMMYFUNCTION("""COMPUTED_VALUE"""),"Store Visit_PMC_Kurla_FB")</f>
        <v>Store Visit_PMC_Kurla_FB</v>
      </c>
      <c r="H111" s="222" t="str">
        <f>IFERROR(__xludf.DUMMYFUNCTION("""COMPUTED_VALUE"""),"vs_off_txnstd_97009_feb2026")</f>
        <v>vs_off_txnstd_97009_feb2026</v>
      </c>
      <c r="I111" s="223" t="str">
        <f>IFERROR(__xludf.DUMMYFUNCTION("""COMPUTED_VALUE"""),"WA Undelivered")</f>
        <v>WA Undelivered</v>
      </c>
      <c r="J111" s="224">
        <f>IFERROR(__xludf.DUMMYFUNCTION("""COMPUTED_VALUE"""),3461.0)</f>
        <v>3461</v>
      </c>
      <c r="K111" s="224">
        <f>IFERROR(__xludf.DUMMYFUNCTION("""COMPUTED_VALUE"""),2216.0)</f>
        <v>2216</v>
      </c>
      <c r="L111" s="225">
        <f>IFERROR(__xludf.DUMMYFUNCTION("""COMPUTED_VALUE"""),0.6403)</f>
        <v>0.6403</v>
      </c>
      <c r="M111" s="224"/>
      <c r="N111" s="225"/>
      <c r="O111" s="226">
        <f>IFERROR(__xludf.DUMMYFUNCTION("""COMPUTED_VALUE"""),0.0)</f>
        <v>0</v>
      </c>
      <c r="P111" s="226"/>
      <c r="Q111" s="225">
        <f>IFERROR(__xludf.DUMMYFUNCTION("""COMPUTED_VALUE"""),0.0)</f>
        <v>0</v>
      </c>
      <c r="R111" s="225"/>
      <c r="S111" s="226">
        <f>IFERROR(__xludf.DUMMYFUNCTION("""COMPUTED_VALUE"""),0.0)</f>
        <v>0</v>
      </c>
      <c r="T111" s="226">
        <f>IFERROR(__xludf.DUMMYFUNCTION("""COMPUTED_VALUE"""),0.0)</f>
        <v>0</v>
      </c>
      <c r="U111" s="224">
        <f>IFERROR(__xludf.DUMMYFUNCTION("""COMPUTED_VALUE"""),0.0)</f>
        <v>0</v>
      </c>
      <c r="V111" s="226" t="str">
        <f>IFERROR(__xludf.DUMMYFUNCTION("""COMPUTED_VALUE"""),"offline")</f>
        <v>offline</v>
      </c>
      <c r="W111" s="231" t="str">
        <f>IFERROR(__xludf.DUMMYFUNCTION("""COMPUTED_VALUE"""),"SMS")</f>
        <v>SMS</v>
      </c>
      <c r="X111" s="231" t="str">
        <f>IFERROR(__xludf.DUMMYFUNCTION("""COMPUTED_VALUE"""),"Generic")</f>
        <v>Generic</v>
      </c>
      <c r="Y111" s="231" t="str">
        <f>IFERROR(__xludf.DUMMYFUNCTION("""COMPUTED_VALUE"""),"20th - 23rd Feb")</f>
        <v>20th - 23rd Feb</v>
      </c>
      <c r="Z111" s="231" t="str">
        <f>IFERROR(__xludf.DUMMYFUNCTION("""COMPUTED_VALUE"""),"69970a36a831b5238fb09c4a")</f>
        <v>69970a36a831b5238fb09c4a</v>
      </c>
      <c r="AA111" s="229">
        <f>IFERROR(__xludf.DUMMYFUNCTION("""COMPUTED_VALUE"""),2.0)</f>
        <v>2</v>
      </c>
      <c r="AB111" s="229"/>
      <c r="AC111" s="229">
        <f>IFERROR(__xludf.DUMMYFUNCTION("""COMPUTED_VALUE"""),2.0)</f>
        <v>2</v>
      </c>
      <c r="AD111" s="229">
        <f>IFERROR(__xludf.DUMMYFUNCTION("""COMPUTED_VALUE"""),39793.0)</f>
        <v>39793</v>
      </c>
      <c r="AE111" s="229"/>
      <c r="AF111" s="229">
        <f>IFERROR(__xludf.DUMMYFUNCTION("""COMPUTED_VALUE"""),39793.0)</f>
        <v>39793</v>
      </c>
      <c r="AG111" s="208"/>
      <c r="AH111" s="208"/>
      <c r="AI111" s="208"/>
      <c r="AJ111" s="208"/>
      <c r="AK111" s="208"/>
    </row>
    <row r="112">
      <c r="A112" s="219">
        <f>IFERROR(__xludf.DUMMYFUNCTION("""COMPUTED_VALUE"""),46073.0)</f>
        <v>46073</v>
      </c>
      <c r="B112" s="244">
        <f>IFERROR(__xludf.DUMMYFUNCTION("""COMPUTED_VALUE"""),0.4375)</f>
        <v>0.4375</v>
      </c>
      <c r="C112" s="222" t="str">
        <f>IFERROR(__xludf.DUMMYFUNCTION("""COMPUTED_VALUE"""),"Sms")</f>
        <v>Sms</v>
      </c>
      <c r="D112" s="222" t="str">
        <f>IFERROR(__xludf.DUMMYFUNCTION("""COMPUTED_VALUE"""),"Fallback Campaign")</f>
        <v>Fallback Campaign</v>
      </c>
      <c r="E112" s="222" t="str">
        <f>IFERROR(__xludf.DUMMYFUNCTION("""COMPUTED_VALUE"""),"VS")</f>
        <v>VS</v>
      </c>
      <c r="F112" s="222" t="str">
        <f>IFERROR(__xludf.DUMMYFUNCTION("""COMPUTED_VALUE"""),"Store visit campaigns")</f>
        <v>Store visit campaigns</v>
      </c>
      <c r="G112" s="222" t="str">
        <f>IFERROR(__xludf.DUMMYFUNCTION("""COMPUTED_VALUE"""),"Store_Visit_Inorbit_Malad_FB")</f>
        <v>Store_Visit_Inorbit_Malad_FB</v>
      </c>
      <c r="H112" s="222" t="str">
        <f>IFERROR(__xludf.DUMMYFUNCTION("""COMPUTED_VALUE"""),"vs_off_txnstd_97008_feb2026")</f>
        <v>vs_off_txnstd_97008_feb2026</v>
      </c>
      <c r="I112" s="223" t="str">
        <f>IFERROR(__xludf.DUMMYFUNCTION("""COMPUTED_VALUE"""),"WA Undelivered")</f>
        <v>WA Undelivered</v>
      </c>
      <c r="J112" s="224">
        <f>IFERROR(__xludf.DUMMYFUNCTION("""COMPUTED_VALUE"""),2763.0)</f>
        <v>2763</v>
      </c>
      <c r="K112" s="224">
        <f>IFERROR(__xludf.DUMMYFUNCTION("""COMPUTED_VALUE"""),1697.0)</f>
        <v>1697</v>
      </c>
      <c r="L112" s="225">
        <f>IFERROR(__xludf.DUMMYFUNCTION("""COMPUTED_VALUE"""),0.6142)</f>
        <v>0.6142</v>
      </c>
      <c r="M112" s="224"/>
      <c r="N112" s="225"/>
      <c r="O112" s="226">
        <f>IFERROR(__xludf.DUMMYFUNCTION("""COMPUTED_VALUE"""),0.0)</f>
        <v>0</v>
      </c>
      <c r="P112" s="226"/>
      <c r="Q112" s="225">
        <f>IFERROR(__xludf.DUMMYFUNCTION("""COMPUTED_VALUE"""),0.0)</f>
        <v>0</v>
      </c>
      <c r="R112" s="225"/>
      <c r="S112" s="226">
        <f>IFERROR(__xludf.DUMMYFUNCTION("""COMPUTED_VALUE"""),0.0)</f>
        <v>0</v>
      </c>
      <c r="T112" s="226">
        <f>IFERROR(__xludf.DUMMYFUNCTION("""COMPUTED_VALUE"""),1.0)</f>
        <v>1</v>
      </c>
      <c r="U112" s="224">
        <f>IFERROR(__xludf.DUMMYFUNCTION("""COMPUTED_VALUE"""),0.0)</f>
        <v>0</v>
      </c>
      <c r="V112" s="226" t="str">
        <f>IFERROR(__xludf.DUMMYFUNCTION("""COMPUTED_VALUE"""),"offline")</f>
        <v>offline</v>
      </c>
      <c r="W112" s="231" t="str">
        <f>IFERROR(__xludf.DUMMYFUNCTION("""COMPUTED_VALUE"""),"SMS")</f>
        <v>SMS</v>
      </c>
      <c r="X112" s="231" t="str">
        <f>IFERROR(__xludf.DUMMYFUNCTION("""COMPUTED_VALUE"""),"Generic")</f>
        <v>Generic</v>
      </c>
      <c r="Y112" s="231" t="str">
        <f>IFERROR(__xludf.DUMMYFUNCTION("""COMPUTED_VALUE"""),"20th - 23rd Feb")</f>
        <v>20th - 23rd Feb</v>
      </c>
      <c r="Z112" s="231" t="str">
        <f>IFERROR(__xludf.DUMMYFUNCTION("""COMPUTED_VALUE"""),"69970aa8344281aee8c391c6")</f>
        <v>69970aa8344281aee8c391c6</v>
      </c>
      <c r="AA112" s="229">
        <f>IFERROR(__xludf.DUMMYFUNCTION("""COMPUTED_VALUE"""),1.0)</f>
        <v>1</v>
      </c>
      <c r="AB112" s="229"/>
      <c r="AC112" s="229">
        <f>IFERROR(__xludf.DUMMYFUNCTION("""COMPUTED_VALUE"""),1.0)</f>
        <v>1</v>
      </c>
      <c r="AD112" s="229">
        <f>IFERROR(__xludf.DUMMYFUNCTION("""COMPUTED_VALUE"""),75834.0)</f>
        <v>75834</v>
      </c>
      <c r="AE112" s="229"/>
      <c r="AF112" s="229">
        <f>IFERROR(__xludf.DUMMYFUNCTION("""COMPUTED_VALUE"""),75834.0)</f>
        <v>75834</v>
      </c>
      <c r="AG112" s="208"/>
      <c r="AH112" s="208"/>
      <c r="AI112" s="208"/>
      <c r="AJ112" s="208"/>
      <c r="AK112" s="208"/>
    </row>
    <row r="113">
      <c r="A113" s="219">
        <f>IFERROR(__xludf.DUMMYFUNCTION("""COMPUTED_VALUE"""),46073.0)</f>
        <v>46073</v>
      </c>
      <c r="B113" s="244">
        <f>IFERROR(__xludf.DUMMYFUNCTION("""COMPUTED_VALUE"""),0.4375)</f>
        <v>0.4375</v>
      </c>
      <c r="C113" s="222" t="str">
        <f>IFERROR(__xludf.DUMMYFUNCTION("""COMPUTED_VALUE"""),"Sms")</f>
        <v>Sms</v>
      </c>
      <c r="D113" s="222" t="str">
        <f>IFERROR(__xludf.DUMMYFUNCTION("""COMPUTED_VALUE"""),"Fallback Campaign")</f>
        <v>Fallback Campaign</v>
      </c>
      <c r="E113" s="222" t="str">
        <f>IFERROR(__xludf.DUMMYFUNCTION("""COMPUTED_VALUE"""),"VS")</f>
        <v>VS</v>
      </c>
      <c r="F113" s="222" t="str">
        <f>IFERROR(__xludf.DUMMYFUNCTION("""COMPUTED_VALUE"""),"Store visit campaigns")</f>
        <v>Store visit campaigns</v>
      </c>
      <c r="G113" s="222" t="str">
        <f>IFERROR(__xludf.DUMMYFUNCTION("""COMPUTED_VALUE"""),"Store_Visit_KOPA_Pune_FB")</f>
        <v>Store_Visit_KOPA_Pune_FB</v>
      </c>
      <c r="H113" s="222" t="str">
        <f>IFERROR(__xludf.DUMMYFUNCTION("""COMPUTED_VALUE"""),"vs_off_txnstd_97007_feb2026")</f>
        <v>vs_off_txnstd_97007_feb2026</v>
      </c>
      <c r="I113" s="223" t="str">
        <f>IFERROR(__xludf.DUMMYFUNCTION("""COMPUTED_VALUE"""),"WA Undelivered")</f>
        <v>WA Undelivered</v>
      </c>
      <c r="J113" s="224">
        <f>IFERROR(__xludf.DUMMYFUNCTION("""COMPUTED_VALUE"""),2525.0)</f>
        <v>2525</v>
      </c>
      <c r="K113" s="224">
        <f>IFERROR(__xludf.DUMMYFUNCTION("""COMPUTED_VALUE"""),1562.0)</f>
        <v>1562</v>
      </c>
      <c r="L113" s="225">
        <f>IFERROR(__xludf.DUMMYFUNCTION("""COMPUTED_VALUE"""),0.6186)</f>
        <v>0.6186</v>
      </c>
      <c r="M113" s="224"/>
      <c r="N113" s="225"/>
      <c r="O113" s="226">
        <f>IFERROR(__xludf.DUMMYFUNCTION("""COMPUTED_VALUE"""),0.0)</f>
        <v>0</v>
      </c>
      <c r="P113" s="226"/>
      <c r="Q113" s="225">
        <f>IFERROR(__xludf.DUMMYFUNCTION("""COMPUTED_VALUE"""),0.0)</f>
        <v>0</v>
      </c>
      <c r="R113" s="225"/>
      <c r="S113" s="226">
        <f>IFERROR(__xludf.DUMMYFUNCTION("""COMPUTED_VALUE"""),0.0)</f>
        <v>0</v>
      </c>
      <c r="T113" s="226">
        <f>IFERROR(__xludf.DUMMYFUNCTION("""COMPUTED_VALUE"""),0.0)</f>
        <v>0</v>
      </c>
      <c r="U113" s="224">
        <f>IFERROR(__xludf.DUMMYFUNCTION("""COMPUTED_VALUE"""),0.0)</f>
        <v>0</v>
      </c>
      <c r="V113" s="226" t="str">
        <f>IFERROR(__xludf.DUMMYFUNCTION("""COMPUTED_VALUE"""),"offline")</f>
        <v>offline</v>
      </c>
      <c r="W113" s="231" t="str">
        <f>IFERROR(__xludf.DUMMYFUNCTION("""COMPUTED_VALUE"""),"SMS")</f>
        <v>SMS</v>
      </c>
      <c r="X113" s="231" t="str">
        <f>IFERROR(__xludf.DUMMYFUNCTION("""COMPUTED_VALUE"""),"Generic")</f>
        <v>Generic</v>
      </c>
      <c r="Y113" s="231" t="str">
        <f>IFERROR(__xludf.DUMMYFUNCTION("""COMPUTED_VALUE"""),"20th - 23rd Feb")</f>
        <v>20th - 23rd Feb</v>
      </c>
      <c r="Z113" s="231" t="str">
        <f>IFERROR(__xludf.DUMMYFUNCTION("""COMPUTED_VALUE"""),"69970b0ec16e2b203519d85d")</f>
        <v>69970b0ec16e2b203519d85d</v>
      </c>
      <c r="AA113" s="229">
        <f>IFERROR(__xludf.DUMMYFUNCTION("""COMPUTED_VALUE"""),2.0)</f>
        <v>2</v>
      </c>
      <c r="AB113" s="229"/>
      <c r="AC113" s="229">
        <f>IFERROR(__xludf.DUMMYFUNCTION("""COMPUTED_VALUE"""),2.0)</f>
        <v>2</v>
      </c>
      <c r="AD113" s="229">
        <f>IFERROR(__xludf.DUMMYFUNCTION("""COMPUTED_VALUE"""),36793.0)</f>
        <v>36793</v>
      </c>
      <c r="AE113" s="229"/>
      <c r="AF113" s="229">
        <f>IFERROR(__xludf.DUMMYFUNCTION("""COMPUTED_VALUE"""),36793.0)</f>
        <v>36793</v>
      </c>
      <c r="AG113" s="208"/>
      <c r="AH113" s="208"/>
      <c r="AI113" s="208"/>
      <c r="AJ113" s="208"/>
      <c r="AK113" s="208"/>
    </row>
    <row r="114">
      <c r="A114" s="219">
        <f>IFERROR(__xludf.DUMMYFUNCTION("""COMPUTED_VALUE"""),46073.0)</f>
        <v>46073</v>
      </c>
      <c r="B114" s="244">
        <f>IFERROR(__xludf.DUMMYFUNCTION("""COMPUTED_VALUE"""),0.4375)</f>
        <v>0.4375</v>
      </c>
      <c r="C114" s="222" t="str">
        <f>IFERROR(__xludf.DUMMYFUNCTION("""COMPUTED_VALUE"""),"Sms")</f>
        <v>Sms</v>
      </c>
      <c r="D114" s="222" t="str">
        <f>IFERROR(__xludf.DUMMYFUNCTION("""COMPUTED_VALUE"""),"Fallback Campaign")</f>
        <v>Fallback Campaign</v>
      </c>
      <c r="E114" s="222" t="str">
        <f>IFERROR(__xludf.DUMMYFUNCTION("""COMPUTED_VALUE"""),"VS")</f>
        <v>VS</v>
      </c>
      <c r="F114" s="222" t="str">
        <f>IFERROR(__xludf.DUMMYFUNCTION("""COMPUTED_VALUE"""),"Store visit campaigns")</f>
        <v>Store visit campaigns</v>
      </c>
      <c r="G114" s="222" t="str">
        <f>IFERROR(__xludf.DUMMYFUNCTION("""COMPUTED_VALUE"""),"Store_Visit_MOM_Pune_FB")</f>
        <v>Store_Visit_MOM_Pune_FB</v>
      </c>
      <c r="H114" s="222" t="str">
        <f>IFERROR(__xludf.DUMMYFUNCTION("""COMPUTED_VALUE"""),"vs_off_txnstd_97005_feb2026")</f>
        <v>vs_off_txnstd_97005_feb2026</v>
      </c>
      <c r="I114" s="223" t="str">
        <f>IFERROR(__xludf.DUMMYFUNCTION("""COMPUTED_VALUE"""),"WA Undelivered")</f>
        <v>WA Undelivered</v>
      </c>
      <c r="J114" s="224">
        <f>IFERROR(__xludf.DUMMYFUNCTION("""COMPUTED_VALUE"""),3931.0)</f>
        <v>3931</v>
      </c>
      <c r="K114" s="224">
        <f>IFERROR(__xludf.DUMMYFUNCTION("""COMPUTED_VALUE"""),2634.0)</f>
        <v>2634</v>
      </c>
      <c r="L114" s="225">
        <f>IFERROR(__xludf.DUMMYFUNCTION("""COMPUTED_VALUE"""),0.6701)</f>
        <v>0.6701</v>
      </c>
      <c r="M114" s="224"/>
      <c r="N114" s="225"/>
      <c r="O114" s="226">
        <f>IFERROR(__xludf.DUMMYFUNCTION("""COMPUTED_VALUE"""),0.0)</f>
        <v>0</v>
      </c>
      <c r="P114" s="226"/>
      <c r="Q114" s="225">
        <f>IFERROR(__xludf.DUMMYFUNCTION("""COMPUTED_VALUE"""),0.0)</f>
        <v>0</v>
      </c>
      <c r="R114" s="225"/>
      <c r="S114" s="226">
        <f>IFERROR(__xludf.DUMMYFUNCTION("""COMPUTED_VALUE"""),1.0)</f>
        <v>1</v>
      </c>
      <c r="T114" s="226">
        <f>IFERROR(__xludf.DUMMYFUNCTION("""COMPUTED_VALUE"""),2.0)</f>
        <v>2</v>
      </c>
      <c r="U114" s="224">
        <f>IFERROR(__xludf.DUMMYFUNCTION("""COMPUTED_VALUE"""),7577.0)</f>
        <v>7577</v>
      </c>
      <c r="V114" s="226" t="str">
        <f>IFERROR(__xludf.DUMMYFUNCTION("""COMPUTED_VALUE"""),"offline")</f>
        <v>offline</v>
      </c>
      <c r="W114" s="231" t="str">
        <f>IFERROR(__xludf.DUMMYFUNCTION("""COMPUTED_VALUE"""),"SMS")</f>
        <v>SMS</v>
      </c>
      <c r="X114" s="231" t="str">
        <f>IFERROR(__xludf.DUMMYFUNCTION("""COMPUTED_VALUE"""),"Generic")</f>
        <v>Generic</v>
      </c>
      <c r="Y114" s="231" t="str">
        <f>IFERROR(__xludf.DUMMYFUNCTION("""COMPUTED_VALUE"""),"20th - 23rd Feb")</f>
        <v>20th - 23rd Feb</v>
      </c>
      <c r="Z114" s="231" t="str">
        <f>IFERROR(__xludf.DUMMYFUNCTION("""COMPUTED_VALUE"""),"69970b62d4db5c25cfa5958a")</f>
        <v>69970b62d4db5c25cfa5958a</v>
      </c>
      <c r="AA114" s="229">
        <f>IFERROR(__xludf.DUMMYFUNCTION("""COMPUTED_VALUE"""),3.0)</f>
        <v>3</v>
      </c>
      <c r="AB114" s="229"/>
      <c r="AC114" s="229">
        <f>IFERROR(__xludf.DUMMYFUNCTION("""COMPUTED_VALUE"""),3.0)</f>
        <v>3</v>
      </c>
      <c r="AD114" s="229">
        <f>IFERROR(__xludf.DUMMYFUNCTION("""COMPUTED_VALUE"""),23395.0)</f>
        <v>23395</v>
      </c>
      <c r="AE114" s="229"/>
      <c r="AF114" s="229">
        <f>IFERROR(__xludf.DUMMYFUNCTION("""COMPUTED_VALUE"""),23395.0)</f>
        <v>23395</v>
      </c>
      <c r="AG114" s="208"/>
      <c r="AH114" s="208"/>
      <c r="AI114" s="208"/>
      <c r="AJ114" s="208"/>
      <c r="AK114" s="208"/>
    </row>
    <row r="115">
      <c r="A115" s="219">
        <f>IFERROR(__xludf.DUMMYFUNCTION("""COMPUTED_VALUE"""),46073.0)</f>
        <v>46073</v>
      </c>
      <c r="B115" s="244">
        <f>IFERROR(__xludf.DUMMYFUNCTION("""COMPUTED_VALUE"""),0.4375)</f>
        <v>0.4375</v>
      </c>
      <c r="C115" s="222" t="str">
        <f>IFERROR(__xludf.DUMMYFUNCTION("""COMPUTED_VALUE"""),"Sms")</f>
        <v>Sms</v>
      </c>
      <c r="D115" s="222" t="str">
        <f>IFERROR(__xludf.DUMMYFUNCTION("""COMPUTED_VALUE"""),"Fallback Campaign")</f>
        <v>Fallback Campaign</v>
      </c>
      <c r="E115" s="222" t="str">
        <f>IFERROR(__xludf.DUMMYFUNCTION("""COMPUTED_VALUE"""),"VS")</f>
        <v>VS</v>
      </c>
      <c r="F115" s="222" t="str">
        <f>IFERROR(__xludf.DUMMYFUNCTION("""COMPUTED_VALUE"""),"Store visit campaigns")</f>
        <v>Store visit campaigns</v>
      </c>
      <c r="G115" s="222" t="str">
        <f>IFERROR(__xludf.DUMMYFUNCTION("""COMPUTED_VALUE"""),"Store_Visit_Ambi_VK_FB")</f>
        <v>Store_Visit_Ambi_VK_FB</v>
      </c>
      <c r="H115" s="222" t="str">
        <f>IFERROR(__xludf.DUMMYFUNCTION("""COMPUTED_VALUE"""),"vs_off_txnstd_97002_feb2026")</f>
        <v>vs_off_txnstd_97002_feb2026</v>
      </c>
      <c r="I115" s="223" t="str">
        <f>IFERROR(__xludf.DUMMYFUNCTION("""COMPUTED_VALUE"""),"WA Undelivered")</f>
        <v>WA Undelivered</v>
      </c>
      <c r="J115" s="224">
        <f>IFERROR(__xludf.DUMMYFUNCTION("""COMPUTED_VALUE"""),13145.0)</f>
        <v>13145</v>
      </c>
      <c r="K115" s="224">
        <f>IFERROR(__xludf.DUMMYFUNCTION("""COMPUTED_VALUE"""),7371.0)</f>
        <v>7371</v>
      </c>
      <c r="L115" s="225">
        <f>IFERROR(__xludf.DUMMYFUNCTION("""COMPUTED_VALUE"""),0.5607)</f>
        <v>0.5607</v>
      </c>
      <c r="M115" s="224"/>
      <c r="N115" s="225"/>
      <c r="O115" s="226">
        <f>IFERROR(__xludf.DUMMYFUNCTION("""COMPUTED_VALUE"""),0.0)</f>
        <v>0</v>
      </c>
      <c r="P115" s="226"/>
      <c r="Q115" s="225">
        <f>IFERROR(__xludf.DUMMYFUNCTION("""COMPUTED_VALUE"""),0.0)</f>
        <v>0</v>
      </c>
      <c r="R115" s="225"/>
      <c r="S115" s="226">
        <f>IFERROR(__xludf.DUMMYFUNCTION("""COMPUTED_VALUE"""),2.0)</f>
        <v>2</v>
      </c>
      <c r="T115" s="226">
        <f>IFERROR(__xludf.DUMMYFUNCTION("""COMPUTED_VALUE"""),2.0)</f>
        <v>2</v>
      </c>
      <c r="U115" s="224">
        <f>IFERROR(__xludf.DUMMYFUNCTION("""COMPUTED_VALUE"""),36899.0)</f>
        <v>36899</v>
      </c>
      <c r="V115" s="226" t="str">
        <f>IFERROR(__xludf.DUMMYFUNCTION("""COMPUTED_VALUE"""),"offline")</f>
        <v>offline</v>
      </c>
      <c r="W115" s="231" t="str">
        <f>IFERROR(__xludf.DUMMYFUNCTION("""COMPUTED_VALUE"""),"SMS")</f>
        <v>SMS</v>
      </c>
      <c r="X115" s="231" t="str">
        <f>IFERROR(__xludf.DUMMYFUNCTION("""COMPUTED_VALUE"""),"Generic")</f>
        <v>Generic</v>
      </c>
      <c r="Y115" s="231" t="str">
        <f>IFERROR(__xludf.DUMMYFUNCTION("""COMPUTED_VALUE"""),"20th - 23rd Feb")</f>
        <v>20th - 23rd Feb</v>
      </c>
      <c r="Z115" s="231" t="str">
        <f>IFERROR(__xludf.DUMMYFUNCTION("""COMPUTED_VALUE"""),"69970bad7df731a522b2dbd6")</f>
        <v>69970bad7df731a522b2dbd6</v>
      </c>
      <c r="AA115" s="229">
        <f>IFERROR(__xludf.DUMMYFUNCTION("""COMPUTED_VALUE"""),22.0)</f>
        <v>22</v>
      </c>
      <c r="AB115" s="229"/>
      <c r="AC115" s="229">
        <f>IFERROR(__xludf.DUMMYFUNCTION("""COMPUTED_VALUE"""),22.0)</f>
        <v>22</v>
      </c>
      <c r="AD115" s="229">
        <f>IFERROR(__xludf.DUMMYFUNCTION("""COMPUTED_VALUE"""),335136.0)</f>
        <v>335136</v>
      </c>
      <c r="AE115" s="229"/>
      <c r="AF115" s="229">
        <f>IFERROR(__xludf.DUMMYFUNCTION("""COMPUTED_VALUE"""),335136.0)</f>
        <v>335136</v>
      </c>
      <c r="AG115" s="208"/>
      <c r="AH115" s="208"/>
      <c r="AI115" s="208"/>
      <c r="AJ115" s="208"/>
      <c r="AK115" s="208"/>
    </row>
    <row r="116">
      <c r="A116" s="219">
        <f>IFERROR(__xludf.DUMMYFUNCTION("""COMPUTED_VALUE"""),46073.0)</f>
        <v>46073</v>
      </c>
      <c r="B116" s="244">
        <f>IFERROR(__xludf.DUMMYFUNCTION("""COMPUTED_VALUE"""),0.4375)</f>
        <v>0.4375</v>
      </c>
      <c r="C116" s="222" t="str">
        <f>IFERROR(__xludf.DUMMYFUNCTION("""COMPUTED_VALUE"""),"Sms")</f>
        <v>Sms</v>
      </c>
      <c r="D116" s="222" t="str">
        <f>IFERROR(__xludf.DUMMYFUNCTION("""COMPUTED_VALUE"""),"Fallback Campaign")</f>
        <v>Fallback Campaign</v>
      </c>
      <c r="E116" s="222" t="str">
        <f>IFERROR(__xludf.DUMMYFUNCTION("""COMPUTED_VALUE"""),"VS")</f>
        <v>VS</v>
      </c>
      <c r="F116" s="222" t="str">
        <f>IFERROR(__xludf.DUMMYFUNCTION("""COMPUTED_VALUE"""),"Store visit campaigns")</f>
        <v>Store visit campaigns</v>
      </c>
      <c r="G116" s="222" t="str">
        <f>IFERROR(__xludf.DUMMYFUNCTION("""COMPUTED_VALUE"""),"Store_Visit_Orion_FB")</f>
        <v>Store_Visit_Orion_FB</v>
      </c>
      <c r="H116" s="222" t="str">
        <f>IFERROR(__xludf.DUMMYFUNCTION("""COMPUTED_VALUE"""),"vs_off_txnstd_1273_feb2026")</f>
        <v>vs_off_txnstd_1273_feb2026</v>
      </c>
      <c r="I116" s="223" t="str">
        <f>IFERROR(__xludf.DUMMYFUNCTION("""COMPUTED_VALUE"""),"WA Undelivered")</f>
        <v>WA Undelivered</v>
      </c>
      <c r="J116" s="224">
        <f>IFERROR(__xludf.DUMMYFUNCTION("""COMPUTED_VALUE"""),1982.0)</f>
        <v>1982</v>
      </c>
      <c r="K116" s="224">
        <f>IFERROR(__xludf.DUMMYFUNCTION("""COMPUTED_VALUE"""),1341.0)</f>
        <v>1341</v>
      </c>
      <c r="L116" s="225">
        <f>IFERROR(__xludf.DUMMYFUNCTION("""COMPUTED_VALUE"""),0.6766)</f>
        <v>0.6766</v>
      </c>
      <c r="M116" s="224"/>
      <c r="N116" s="225"/>
      <c r="O116" s="226">
        <f>IFERROR(__xludf.DUMMYFUNCTION("""COMPUTED_VALUE"""),0.0)</f>
        <v>0</v>
      </c>
      <c r="P116" s="226"/>
      <c r="Q116" s="225">
        <f>IFERROR(__xludf.DUMMYFUNCTION("""COMPUTED_VALUE"""),0.0)</f>
        <v>0</v>
      </c>
      <c r="R116" s="225"/>
      <c r="S116" s="226">
        <f>IFERROR(__xludf.DUMMYFUNCTION("""COMPUTED_VALUE"""),0.0)</f>
        <v>0</v>
      </c>
      <c r="T116" s="226">
        <f>IFERROR(__xludf.DUMMYFUNCTION("""COMPUTED_VALUE"""),0.0)</f>
        <v>0</v>
      </c>
      <c r="U116" s="224">
        <f>IFERROR(__xludf.DUMMYFUNCTION("""COMPUTED_VALUE"""),0.0)</f>
        <v>0</v>
      </c>
      <c r="V116" s="226" t="str">
        <f>IFERROR(__xludf.DUMMYFUNCTION("""COMPUTED_VALUE"""),"offline")</f>
        <v>offline</v>
      </c>
      <c r="W116" s="231" t="str">
        <f>IFERROR(__xludf.DUMMYFUNCTION("""COMPUTED_VALUE"""),"SMS")</f>
        <v>SMS</v>
      </c>
      <c r="X116" s="231" t="str">
        <f>IFERROR(__xludf.DUMMYFUNCTION("""COMPUTED_VALUE"""),"Generic")</f>
        <v>Generic</v>
      </c>
      <c r="Y116" s="231" t="str">
        <f>IFERROR(__xludf.DUMMYFUNCTION("""COMPUTED_VALUE"""),"20th - 23rd Feb")</f>
        <v>20th - 23rd Feb</v>
      </c>
      <c r="Z116" s="231" t="str">
        <f>IFERROR(__xludf.DUMMYFUNCTION("""COMPUTED_VALUE"""),"69970bff344281aee8c391f3")</f>
        <v>69970bff344281aee8c391f3</v>
      </c>
      <c r="AA116" s="229">
        <f>IFERROR(__xludf.DUMMYFUNCTION("""COMPUTED_VALUE"""),0.0)</f>
        <v>0</v>
      </c>
      <c r="AB116" s="229"/>
      <c r="AC116" s="229">
        <f>IFERROR(__xludf.DUMMYFUNCTION("""COMPUTED_VALUE"""),0.0)</f>
        <v>0</v>
      </c>
      <c r="AD116" s="229">
        <f>IFERROR(__xludf.DUMMYFUNCTION("""COMPUTED_VALUE"""),0.0)</f>
        <v>0</v>
      </c>
      <c r="AE116" s="229"/>
      <c r="AF116" s="229">
        <f>IFERROR(__xludf.DUMMYFUNCTION("""COMPUTED_VALUE"""),0.0)</f>
        <v>0</v>
      </c>
      <c r="AG116" s="208"/>
      <c r="AH116" s="208"/>
      <c r="AI116" s="208"/>
      <c r="AJ116" s="208"/>
      <c r="AK116" s="208"/>
    </row>
    <row r="117">
      <c r="A117" s="219">
        <f>IFERROR(__xludf.DUMMYFUNCTION("""COMPUTED_VALUE"""),46073.0)</f>
        <v>46073</v>
      </c>
      <c r="B117" s="244">
        <f>IFERROR(__xludf.DUMMYFUNCTION("""COMPUTED_VALUE"""),0.4375)</f>
        <v>0.4375</v>
      </c>
      <c r="C117" s="222" t="str">
        <f>IFERROR(__xludf.DUMMYFUNCTION("""COMPUTED_VALUE"""),"Sms")</f>
        <v>Sms</v>
      </c>
      <c r="D117" s="222" t="str">
        <f>IFERROR(__xludf.DUMMYFUNCTION("""COMPUTED_VALUE"""),"Fallback Campaign")</f>
        <v>Fallback Campaign</v>
      </c>
      <c r="E117" s="222" t="str">
        <f>IFERROR(__xludf.DUMMYFUNCTION("""COMPUTED_VALUE"""),"VS")</f>
        <v>VS</v>
      </c>
      <c r="F117" s="222" t="str">
        <f>IFERROR(__xludf.DUMMYFUNCTION("""COMPUTED_VALUE"""),"Store visit campaigns")</f>
        <v>Store visit campaigns</v>
      </c>
      <c r="G117" s="222" t="str">
        <f>IFERROR(__xludf.DUMMYFUNCTION("""COMPUTED_VALUE"""),"Store_Visit_Nexus_Kora_FB")</f>
        <v>Store_Visit_Nexus_Kora_FB</v>
      </c>
      <c r="H117" s="222" t="str">
        <f>IFERROR(__xludf.DUMMYFUNCTION("""COMPUTED_VALUE"""),"vs_off_txnstd_97012_feb2026")</f>
        <v>vs_off_txnstd_97012_feb2026</v>
      </c>
      <c r="I117" s="223" t="str">
        <f>IFERROR(__xludf.DUMMYFUNCTION("""COMPUTED_VALUE"""),"WA Undelivered")</f>
        <v>WA Undelivered</v>
      </c>
      <c r="J117" s="224">
        <f>IFERROR(__xludf.DUMMYFUNCTION("""COMPUTED_VALUE"""),2456.0)</f>
        <v>2456</v>
      </c>
      <c r="K117" s="224">
        <f>IFERROR(__xludf.DUMMYFUNCTION("""COMPUTED_VALUE"""),1668.0)</f>
        <v>1668</v>
      </c>
      <c r="L117" s="225">
        <f>IFERROR(__xludf.DUMMYFUNCTION("""COMPUTED_VALUE"""),0.6792)</f>
        <v>0.6792</v>
      </c>
      <c r="M117" s="224"/>
      <c r="N117" s="225"/>
      <c r="O117" s="226">
        <f>IFERROR(__xludf.DUMMYFUNCTION("""COMPUTED_VALUE"""),0.0)</f>
        <v>0</v>
      </c>
      <c r="P117" s="226"/>
      <c r="Q117" s="225">
        <f>IFERROR(__xludf.DUMMYFUNCTION("""COMPUTED_VALUE"""),0.0)</f>
        <v>0</v>
      </c>
      <c r="R117" s="225"/>
      <c r="S117" s="226">
        <f>IFERROR(__xludf.DUMMYFUNCTION("""COMPUTED_VALUE"""),0.0)</f>
        <v>0</v>
      </c>
      <c r="T117" s="226">
        <f>IFERROR(__xludf.DUMMYFUNCTION("""COMPUTED_VALUE"""),0.0)</f>
        <v>0</v>
      </c>
      <c r="U117" s="224">
        <f>IFERROR(__xludf.DUMMYFUNCTION("""COMPUTED_VALUE"""),0.0)</f>
        <v>0</v>
      </c>
      <c r="V117" s="226" t="str">
        <f>IFERROR(__xludf.DUMMYFUNCTION("""COMPUTED_VALUE"""),"offline")</f>
        <v>offline</v>
      </c>
      <c r="W117" s="231" t="str">
        <f>IFERROR(__xludf.DUMMYFUNCTION("""COMPUTED_VALUE"""),"SMS")</f>
        <v>SMS</v>
      </c>
      <c r="X117" s="231" t="str">
        <f>IFERROR(__xludf.DUMMYFUNCTION("""COMPUTED_VALUE"""),"Generic")</f>
        <v>Generic</v>
      </c>
      <c r="Y117" s="231" t="str">
        <f>IFERROR(__xludf.DUMMYFUNCTION("""COMPUTED_VALUE"""),"20th - 23rd Feb")</f>
        <v>20th - 23rd Feb</v>
      </c>
      <c r="Z117" s="231" t="str">
        <f>IFERROR(__xludf.DUMMYFUNCTION("""COMPUTED_VALUE"""),"69970c9e76b7fbf0af3e1e95")</f>
        <v>69970c9e76b7fbf0af3e1e95</v>
      </c>
      <c r="AA117" s="229">
        <f>IFERROR(__xludf.DUMMYFUNCTION("""COMPUTED_VALUE"""),0.0)</f>
        <v>0</v>
      </c>
      <c r="AB117" s="229"/>
      <c r="AC117" s="229">
        <f>IFERROR(__xludf.DUMMYFUNCTION("""COMPUTED_VALUE"""),0.0)</f>
        <v>0</v>
      </c>
      <c r="AD117" s="229">
        <f>IFERROR(__xludf.DUMMYFUNCTION("""COMPUTED_VALUE"""),0.0)</f>
        <v>0</v>
      </c>
      <c r="AE117" s="229"/>
      <c r="AF117" s="229">
        <f>IFERROR(__xludf.DUMMYFUNCTION("""COMPUTED_VALUE"""),0.0)</f>
        <v>0</v>
      </c>
      <c r="AG117" s="208"/>
      <c r="AH117" s="208"/>
      <c r="AI117" s="208"/>
      <c r="AJ117" s="208"/>
      <c r="AK117" s="208"/>
    </row>
    <row r="118">
      <c r="A118" s="219">
        <f>IFERROR(__xludf.DUMMYFUNCTION("""COMPUTED_VALUE"""),46073.0)</f>
        <v>46073</v>
      </c>
      <c r="B118" s="244">
        <f>IFERROR(__xludf.DUMMYFUNCTION("""COMPUTED_VALUE"""),0.4375)</f>
        <v>0.4375</v>
      </c>
      <c r="C118" s="222" t="str">
        <f>IFERROR(__xludf.DUMMYFUNCTION("""COMPUTED_VALUE"""),"Sms")</f>
        <v>Sms</v>
      </c>
      <c r="D118" s="222" t="str">
        <f>IFERROR(__xludf.DUMMYFUNCTION("""COMPUTED_VALUE"""),"Fallback Campaign")</f>
        <v>Fallback Campaign</v>
      </c>
      <c r="E118" s="222" t="str">
        <f>IFERROR(__xludf.DUMMYFUNCTION("""COMPUTED_VALUE"""),"VS")</f>
        <v>VS</v>
      </c>
      <c r="F118" s="222" t="str">
        <f>IFERROR(__xludf.DUMMYFUNCTION("""COMPUTED_VALUE"""),"Store visit campaigns")</f>
        <v>Store visit campaigns</v>
      </c>
      <c r="G118" s="222" t="str">
        <f>IFERROR(__xludf.DUMMYFUNCTION("""COMPUTED_VALUE"""),"Store_Visit_Inorbit_HYD_FB")</f>
        <v>Store_Visit_Inorbit_HYD_FB</v>
      </c>
      <c r="H118" s="222" t="str">
        <f>IFERROR(__xludf.DUMMYFUNCTION("""COMPUTED_VALUE"""),"vs_off_txnstd_97006_feb2026")</f>
        <v>vs_off_txnstd_97006_feb2026</v>
      </c>
      <c r="I118" s="223" t="str">
        <f>IFERROR(__xludf.DUMMYFUNCTION("""COMPUTED_VALUE"""),"WA Undelivered")</f>
        <v>WA Undelivered</v>
      </c>
      <c r="J118" s="224">
        <f>IFERROR(__xludf.DUMMYFUNCTION("""COMPUTED_VALUE"""),4090.0)</f>
        <v>4090</v>
      </c>
      <c r="K118" s="224">
        <f>IFERROR(__xludf.DUMMYFUNCTION("""COMPUTED_VALUE"""),2784.0)</f>
        <v>2784</v>
      </c>
      <c r="L118" s="225">
        <f>IFERROR(__xludf.DUMMYFUNCTION("""COMPUTED_VALUE"""),0.6807)</f>
        <v>0.6807</v>
      </c>
      <c r="M118" s="224"/>
      <c r="N118" s="225"/>
      <c r="O118" s="226">
        <f>IFERROR(__xludf.DUMMYFUNCTION("""COMPUTED_VALUE"""),0.0)</f>
        <v>0</v>
      </c>
      <c r="P118" s="226"/>
      <c r="Q118" s="225">
        <f>IFERROR(__xludf.DUMMYFUNCTION("""COMPUTED_VALUE"""),0.0)</f>
        <v>0</v>
      </c>
      <c r="R118" s="225"/>
      <c r="S118" s="226">
        <f>IFERROR(__xludf.DUMMYFUNCTION("""COMPUTED_VALUE"""),0.0)</f>
        <v>0</v>
      </c>
      <c r="T118" s="226">
        <f>IFERROR(__xludf.DUMMYFUNCTION("""COMPUTED_VALUE"""),0.0)</f>
        <v>0</v>
      </c>
      <c r="U118" s="224">
        <f>IFERROR(__xludf.DUMMYFUNCTION("""COMPUTED_VALUE"""),0.0)</f>
        <v>0</v>
      </c>
      <c r="V118" s="226" t="str">
        <f>IFERROR(__xludf.DUMMYFUNCTION("""COMPUTED_VALUE"""),"offline")</f>
        <v>offline</v>
      </c>
      <c r="W118" s="231" t="str">
        <f>IFERROR(__xludf.DUMMYFUNCTION("""COMPUTED_VALUE"""),"SMS")</f>
        <v>SMS</v>
      </c>
      <c r="X118" s="231" t="str">
        <f>IFERROR(__xludf.DUMMYFUNCTION("""COMPUTED_VALUE"""),"Generic")</f>
        <v>Generic</v>
      </c>
      <c r="Y118" s="231" t="str">
        <f>IFERROR(__xludf.DUMMYFUNCTION("""COMPUTED_VALUE"""),"20th - 23rd Feb")</f>
        <v>20th - 23rd Feb</v>
      </c>
      <c r="Z118" s="231" t="str">
        <f>IFERROR(__xludf.DUMMYFUNCTION("""COMPUTED_VALUE"""),"69970cf4473eb72747cdd2d3")</f>
        <v>69970cf4473eb72747cdd2d3</v>
      </c>
      <c r="AA118" s="229">
        <f>IFERROR(__xludf.DUMMYFUNCTION("""COMPUTED_VALUE"""),2.0)</f>
        <v>2</v>
      </c>
      <c r="AB118" s="229"/>
      <c r="AC118" s="229">
        <f>IFERROR(__xludf.DUMMYFUNCTION("""COMPUTED_VALUE"""),2.0)</f>
        <v>2</v>
      </c>
      <c r="AD118" s="229">
        <f>IFERROR(__xludf.DUMMYFUNCTION("""COMPUTED_VALUE"""),25593.0)</f>
        <v>25593</v>
      </c>
      <c r="AE118" s="229"/>
      <c r="AF118" s="229">
        <f>IFERROR(__xludf.DUMMYFUNCTION("""COMPUTED_VALUE"""),25593.0)</f>
        <v>25593</v>
      </c>
      <c r="AG118" s="208"/>
      <c r="AH118" s="208"/>
      <c r="AI118" s="208"/>
      <c r="AJ118" s="208"/>
      <c r="AK118" s="208"/>
    </row>
    <row r="119">
      <c r="A119" s="219">
        <f>IFERROR(__xludf.DUMMYFUNCTION("""COMPUTED_VALUE"""),46073.0)</f>
        <v>46073</v>
      </c>
      <c r="B119" s="244">
        <f>IFERROR(__xludf.DUMMYFUNCTION("""COMPUTED_VALUE"""),0.4375)</f>
        <v>0.4375</v>
      </c>
      <c r="C119" s="222" t="str">
        <f>IFERROR(__xludf.DUMMYFUNCTION("""COMPUTED_VALUE"""),"Sms")</f>
        <v>Sms</v>
      </c>
      <c r="D119" s="222" t="str">
        <f>IFERROR(__xludf.DUMMYFUNCTION("""COMPUTED_VALUE"""),"Fallback Campaign")</f>
        <v>Fallback Campaign</v>
      </c>
      <c r="E119" s="222" t="str">
        <f>IFERROR(__xludf.DUMMYFUNCTION("""COMPUTED_VALUE"""),"VS")</f>
        <v>VS</v>
      </c>
      <c r="F119" s="222" t="str">
        <f>IFERROR(__xludf.DUMMYFUNCTION("""COMPUTED_VALUE"""),"Store visit campaigns")</f>
        <v>Store visit campaigns</v>
      </c>
      <c r="G119" s="222" t="str">
        <f>IFERROR(__xludf.DUMMYFUNCTION("""COMPUTED_VALUE"""),"Store_Visit_Palassio_LKN_FB")</f>
        <v>Store_Visit_Palassio_LKN_FB</v>
      </c>
      <c r="H119" s="222" t="str">
        <f>IFERROR(__xludf.DUMMYFUNCTION("""COMPUTED_VALUE"""),"vs_off_txnstd_1225_feb2026")</f>
        <v>vs_off_txnstd_1225_feb2026</v>
      </c>
      <c r="I119" s="223" t="str">
        <f>IFERROR(__xludf.DUMMYFUNCTION("""COMPUTED_VALUE"""),"WA Undelivered")</f>
        <v>WA Undelivered</v>
      </c>
      <c r="J119" s="224">
        <f>IFERROR(__xludf.DUMMYFUNCTION("""COMPUTED_VALUE"""),618.0)</f>
        <v>618</v>
      </c>
      <c r="K119" s="224">
        <f>IFERROR(__xludf.DUMMYFUNCTION("""COMPUTED_VALUE"""),437.0)</f>
        <v>437</v>
      </c>
      <c r="L119" s="225">
        <f>IFERROR(__xludf.DUMMYFUNCTION("""COMPUTED_VALUE"""),0.7071)</f>
        <v>0.7071</v>
      </c>
      <c r="M119" s="224"/>
      <c r="N119" s="225"/>
      <c r="O119" s="226">
        <f>IFERROR(__xludf.DUMMYFUNCTION("""COMPUTED_VALUE"""),0.0)</f>
        <v>0</v>
      </c>
      <c r="P119" s="226"/>
      <c r="Q119" s="225">
        <f>IFERROR(__xludf.DUMMYFUNCTION("""COMPUTED_VALUE"""),0.0)</f>
        <v>0</v>
      </c>
      <c r="R119" s="225"/>
      <c r="S119" s="226">
        <f>IFERROR(__xludf.DUMMYFUNCTION("""COMPUTED_VALUE"""),0.0)</f>
        <v>0</v>
      </c>
      <c r="T119" s="226">
        <f>IFERROR(__xludf.DUMMYFUNCTION("""COMPUTED_VALUE"""),0.0)</f>
        <v>0</v>
      </c>
      <c r="U119" s="224">
        <f>IFERROR(__xludf.DUMMYFUNCTION("""COMPUTED_VALUE"""),0.0)</f>
        <v>0</v>
      </c>
      <c r="V119" s="226" t="str">
        <f>IFERROR(__xludf.DUMMYFUNCTION("""COMPUTED_VALUE"""),"offline")</f>
        <v>offline</v>
      </c>
      <c r="W119" s="231" t="str">
        <f>IFERROR(__xludf.DUMMYFUNCTION("""COMPUTED_VALUE"""),"SMS")</f>
        <v>SMS</v>
      </c>
      <c r="X119" s="231" t="str">
        <f>IFERROR(__xludf.DUMMYFUNCTION("""COMPUTED_VALUE"""),"Generic")</f>
        <v>Generic</v>
      </c>
      <c r="Y119" s="231" t="str">
        <f>IFERROR(__xludf.DUMMYFUNCTION("""COMPUTED_VALUE"""),"20th - 23rd Feb")</f>
        <v>20th - 23rd Feb</v>
      </c>
      <c r="Z119" s="231" t="str">
        <f>IFERROR(__xludf.DUMMYFUNCTION("""COMPUTED_VALUE"""),"69970d0596273c8ed71d0345")</f>
        <v>69970d0596273c8ed71d0345</v>
      </c>
      <c r="AA119" s="229">
        <f>IFERROR(__xludf.DUMMYFUNCTION("""COMPUTED_VALUE"""),2.0)</f>
        <v>2</v>
      </c>
      <c r="AB119" s="229"/>
      <c r="AC119" s="229">
        <f>IFERROR(__xludf.DUMMYFUNCTION("""COMPUTED_VALUE"""),2.0)</f>
        <v>2</v>
      </c>
      <c r="AD119" s="229">
        <f>IFERROR(__xludf.DUMMYFUNCTION("""COMPUTED_VALUE"""),41558.0)</f>
        <v>41558</v>
      </c>
      <c r="AE119" s="229"/>
      <c r="AF119" s="229">
        <f>IFERROR(__xludf.DUMMYFUNCTION("""COMPUTED_VALUE"""),41558.0)</f>
        <v>41558</v>
      </c>
      <c r="AG119" s="208"/>
      <c r="AH119" s="208"/>
      <c r="AI119" s="208"/>
      <c r="AJ119" s="208"/>
      <c r="AK119" s="208"/>
    </row>
    <row r="120">
      <c r="A120" s="219">
        <f>IFERROR(__xludf.DUMMYFUNCTION("""COMPUTED_VALUE"""),46073.0)</f>
        <v>46073</v>
      </c>
      <c r="B120" s="244">
        <f>IFERROR(__xludf.DUMMYFUNCTION("""COMPUTED_VALUE"""),0.4375)</f>
        <v>0.4375</v>
      </c>
      <c r="C120" s="222" t="str">
        <f>IFERROR(__xludf.DUMMYFUNCTION("""COMPUTED_VALUE"""),"Sms")</f>
        <v>Sms</v>
      </c>
      <c r="D120" s="222" t="str">
        <f>IFERROR(__xludf.DUMMYFUNCTION("""COMPUTED_VALUE"""),"Fallback Campaign")</f>
        <v>Fallback Campaign</v>
      </c>
      <c r="E120" s="222" t="str">
        <f>IFERROR(__xludf.DUMMYFUNCTION("""COMPUTED_VALUE"""),"VS")</f>
        <v>VS</v>
      </c>
      <c r="F120" s="222" t="str">
        <f>IFERROR(__xludf.DUMMYFUNCTION("""COMPUTED_VALUE"""),"Store visit campaigns")</f>
        <v>Store visit campaigns</v>
      </c>
      <c r="G120" s="222" t="str">
        <f>IFERROR(__xludf.DUMMYFUNCTION("""COMPUTED_VALUE"""),"Store_Visit_Nexus_Sujana_HYD_FB")</f>
        <v>Store_Visit_Nexus_Sujana_HYD_FB</v>
      </c>
      <c r="H120" s="222" t="str">
        <f>IFERROR(__xludf.DUMMYFUNCTION("""COMPUTED_VALUE"""),"vs_off_txnstd_97013_feb2026")</f>
        <v>vs_off_txnstd_97013_feb2026</v>
      </c>
      <c r="I120" s="223" t="str">
        <f>IFERROR(__xludf.DUMMYFUNCTION("""COMPUTED_VALUE"""),"WA Undelivered")</f>
        <v>WA Undelivered</v>
      </c>
      <c r="J120" s="224">
        <f>IFERROR(__xludf.DUMMYFUNCTION("""COMPUTED_VALUE"""),1062.0)</f>
        <v>1062</v>
      </c>
      <c r="K120" s="224">
        <f>IFERROR(__xludf.DUMMYFUNCTION("""COMPUTED_VALUE"""),758.0)</f>
        <v>758</v>
      </c>
      <c r="L120" s="225">
        <f>IFERROR(__xludf.DUMMYFUNCTION("""COMPUTED_VALUE"""),0.7137)</f>
        <v>0.7137</v>
      </c>
      <c r="M120" s="224"/>
      <c r="N120" s="225"/>
      <c r="O120" s="226">
        <f>IFERROR(__xludf.DUMMYFUNCTION("""COMPUTED_VALUE"""),0.0)</f>
        <v>0</v>
      </c>
      <c r="P120" s="226"/>
      <c r="Q120" s="225">
        <f>IFERROR(__xludf.DUMMYFUNCTION("""COMPUTED_VALUE"""),0.0)</f>
        <v>0</v>
      </c>
      <c r="R120" s="225"/>
      <c r="S120" s="226">
        <f>IFERROR(__xludf.DUMMYFUNCTION("""COMPUTED_VALUE"""),0.0)</f>
        <v>0</v>
      </c>
      <c r="T120" s="226">
        <f>IFERROR(__xludf.DUMMYFUNCTION("""COMPUTED_VALUE"""),0.0)</f>
        <v>0</v>
      </c>
      <c r="U120" s="224">
        <f>IFERROR(__xludf.DUMMYFUNCTION("""COMPUTED_VALUE"""),0.0)</f>
        <v>0</v>
      </c>
      <c r="V120" s="226" t="str">
        <f>IFERROR(__xludf.DUMMYFUNCTION("""COMPUTED_VALUE"""),"offline")</f>
        <v>offline</v>
      </c>
      <c r="W120" s="231" t="str">
        <f>IFERROR(__xludf.DUMMYFUNCTION("""COMPUTED_VALUE"""),"SMS")</f>
        <v>SMS</v>
      </c>
      <c r="X120" s="231" t="str">
        <f>IFERROR(__xludf.DUMMYFUNCTION("""COMPUTED_VALUE"""),"Generic")</f>
        <v>Generic</v>
      </c>
      <c r="Y120" s="231" t="str">
        <f>IFERROR(__xludf.DUMMYFUNCTION("""COMPUTED_VALUE"""),"20th - 23rd Feb")</f>
        <v>20th - 23rd Feb</v>
      </c>
      <c r="Z120" s="231" t="str">
        <f>IFERROR(__xludf.DUMMYFUNCTION("""COMPUTED_VALUE"""),"69970d42d14ad9974db416c1")</f>
        <v>69970d42d14ad9974db416c1</v>
      </c>
      <c r="AA120" s="229">
        <f>IFERROR(__xludf.DUMMYFUNCTION("""COMPUTED_VALUE"""),0.0)</f>
        <v>0</v>
      </c>
      <c r="AB120" s="229"/>
      <c r="AC120" s="229">
        <f>IFERROR(__xludf.DUMMYFUNCTION("""COMPUTED_VALUE"""),0.0)</f>
        <v>0</v>
      </c>
      <c r="AD120" s="229">
        <f>IFERROR(__xludf.DUMMYFUNCTION("""COMPUTED_VALUE"""),0.0)</f>
        <v>0</v>
      </c>
      <c r="AE120" s="229"/>
      <c r="AF120" s="229">
        <f>IFERROR(__xludf.DUMMYFUNCTION("""COMPUTED_VALUE"""),0.0)</f>
        <v>0</v>
      </c>
      <c r="AG120" s="208"/>
      <c r="AH120" s="208"/>
      <c r="AI120" s="208"/>
      <c r="AJ120" s="208"/>
      <c r="AK120" s="208"/>
    </row>
    <row r="121">
      <c r="A121" s="219">
        <f>IFERROR(__xludf.DUMMYFUNCTION("""COMPUTED_VALUE"""),46073.0)</f>
        <v>46073</v>
      </c>
      <c r="B121" s="244">
        <f>IFERROR(__xludf.DUMMYFUNCTION("""COMPUTED_VALUE"""),0.4375)</f>
        <v>0.4375</v>
      </c>
      <c r="C121" s="222" t="str">
        <f>IFERROR(__xludf.DUMMYFUNCTION("""COMPUTED_VALUE"""),"Sms")</f>
        <v>Sms</v>
      </c>
      <c r="D121" s="222" t="str">
        <f>IFERROR(__xludf.DUMMYFUNCTION("""COMPUTED_VALUE"""),"Fallback Campaign")</f>
        <v>Fallback Campaign</v>
      </c>
      <c r="E121" s="222" t="str">
        <f>IFERROR(__xludf.DUMMYFUNCTION("""COMPUTED_VALUE"""),"VS")</f>
        <v>VS</v>
      </c>
      <c r="F121" s="222" t="str">
        <f>IFERROR(__xludf.DUMMYFUNCTION("""COMPUTED_VALUE"""),"Store visit campaigns")</f>
        <v>Store visit campaigns</v>
      </c>
      <c r="G121" s="222" t="str">
        <f>IFERROR(__xludf.DUMMYFUNCTION("""COMPUTED_VALUE"""),"Store_Visit_Lulu_Kochi_FB")</f>
        <v>Store_Visit_Lulu_Kochi_FB</v>
      </c>
      <c r="H121" s="222" t="str">
        <f>IFERROR(__xludf.DUMMYFUNCTION("""COMPUTED_VALUE"""),"vs_off_txnstd_97011_feb2026")</f>
        <v>vs_off_txnstd_97011_feb2026</v>
      </c>
      <c r="I121" s="223" t="str">
        <f>IFERROR(__xludf.DUMMYFUNCTION("""COMPUTED_VALUE"""),"WA Undelivered")</f>
        <v>WA Undelivered</v>
      </c>
      <c r="J121" s="224">
        <f>IFERROR(__xludf.DUMMYFUNCTION("""COMPUTED_VALUE"""),1796.0)</f>
        <v>1796</v>
      </c>
      <c r="K121" s="224">
        <f>IFERROR(__xludf.DUMMYFUNCTION("""COMPUTED_VALUE"""),1242.0)</f>
        <v>1242</v>
      </c>
      <c r="L121" s="225">
        <f>IFERROR(__xludf.DUMMYFUNCTION("""COMPUTED_VALUE"""),0.6915)</f>
        <v>0.6915</v>
      </c>
      <c r="M121" s="224"/>
      <c r="N121" s="225"/>
      <c r="O121" s="226">
        <f>IFERROR(__xludf.DUMMYFUNCTION("""COMPUTED_VALUE"""),0.0)</f>
        <v>0</v>
      </c>
      <c r="P121" s="226"/>
      <c r="Q121" s="225">
        <f>IFERROR(__xludf.DUMMYFUNCTION("""COMPUTED_VALUE"""),0.0)</f>
        <v>0</v>
      </c>
      <c r="R121" s="225"/>
      <c r="S121" s="226">
        <f>IFERROR(__xludf.DUMMYFUNCTION("""COMPUTED_VALUE"""),0.0)</f>
        <v>0</v>
      </c>
      <c r="T121" s="226">
        <f>IFERROR(__xludf.DUMMYFUNCTION("""COMPUTED_VALUE"""),0.0)</f>
        <v>0</v>
      </c>
      <c r="U121" s="224">
        <f>IFERROR(__xludf.DUMMYFUNCTION("""COMPUTED_VALUE"""),0.0)</f>
        <v>0</v>
      </c>
      <c r="V121" s="226" t="str">
        <f>IFERROR(__xludf.DUMMYFUNCTION("""COMPUTED_VALUE"""),"offline")</f>
        <v>offline</v>
      </c>
      <c r="W121" s="231" t="str">
        <f>IFERROR(__xludf.DUMMYFUNCTION("""COMPUTED_VALUE"""),"SMS")</f>
        <v>SMS</v>
      </c>
      <c r="X121" s="231" t="str">
        <f>IFERROR(__xludf.DUMMYFUNCTION("""COMPUTED_VALUE"""),"Generic")</f>
        <v>Generic</v>
      </c>
      <c r="Y121" s="231" t="str">
        <f>IFERROR(__xludf.DUMMYFUNCTION("""COMPUTED_VALUE"""),"20th - 23rd Feb")</f>
        <v>20th - 23rd Feb</v>
      </c>
      <c r="Z121" s="231" t="str">
        <f>IFERROR(__xludf.DUMMYFUNCTION("""COMPUTED_VALUE"""),"69970d53e5eeeb427dc25580")</f>
        <v>69970d53e5eeeb427dc25580</v>
      </c>
      <c r="AA121" s="229">
        <f>IFERROR(__xludf.DUMMYFUNCTION("""COMPUTED_VALUE"""),1.0)</f>
        <v>1</v>
      </c>
      <c r="AB121" s="229"/>
      <c r="AC121" s="229">
        <f>IFERROR(__xludf.DUMMYFUNCTION("""COMPUTED_VALUE"""),1.0)</f>
        <v>1</v>
      </c>
      <c r="AD121" s="229">
        <f>IFERROR(__xludf.DUMMYFUNCTION("""COMPUTED_VALUE"""),18588.0)</f>
        <v>18588</v>
      </c>
      <c r="AE121" s="229"/>
      <c r="AF121" s="229">
        <f>IFERROR(__xludf.DUMMYFUNCTION("""COMPUTED_VALUE"""),18588.0)</f>
        <v>18588</v>
      </c>
      <c r="AG121" s="208"/>
      <c r="AH121" s="208"/>
      <c r="AI121" s="208"/>
      <c r="AJ121" s="208"/>
      <c r="AK121" s="208"/>
    </row>
    <row r="122">
      <c r="A122" s="219">
        <f>IFERROR(__xludf.DUMMYFUNCTION("""COMPUTED_VALUE"""),46073.0)</f>
        <v>46073</v>
      </c>
      <c r="B122" s="244">
        <f>IFERROR(__xludf.DUMMYFUNCTION("""COMPUTED_VALUE"""),0.4375)</f>
        <v>0.4375</v>
      </c>
      <c r="C122" s="222" t="str">
        <f>IFERROR(__xludf.DUMMYFUNCTION("""COMPUTED_VALUE"""),"Sms")</f>
        <v>Sms</v>
      </c>
      <c r="D122" s="222" t="str">
        <f>IFERROR(__xludf.DUMMYFUNCTION("""COMPUTED_VALUE"""),"Fallback Campaign")</f>
        <v>Fallback Campaign</v>
      </c>
      <c r="E122" s="222" t="str">
        <f>IFERROR(__xludf.DUMMYFUNCTION("""COMPUTED_VALUE"""),"VS")</f>
        <v>VS</v>
      </c>
      <c r="F122" s="222" t="str">
        <f>IFERROR(__xludf.DUMMYFUNCTION("""COMPUTED_VALUE"""),"Store visit campaigns")</f>
        <v>Store visit campaigns</v>
      </c>
      <c r="G122" s="222" t="str">
        <f>IFERROR(__xludf.DUMMYFUNCTION("""COMPUTED_VALUE"""),"Store_Visit_EA_Chennai_FB")</f>
        <v>Store_Visit_EA_Chennai_FB</v>
      </c>
      <c r="H122" s="222" t="str">
        <f>IFERROR(__xludf.DUMMYFUNCTION("""COMPUTED_VALUE"""),"vs_off_txnstd_1252_feb2026")</f>
        <v>vs_off_txnstd_1252_feb2026</v>
      </c>
      <c r="I122" s="223" t="str">
        <f>IFERROR(__xludf.DUMMYFUNCTION("""COMPUTED_VALUE"""),"WA Undelivered")</f>
        <v>WA Undelivered</v>
      </c>
      <c r="J122" s="224">
        <f>IFERROR(__xludf.DUMMYFUNCTION("""COMPUTED_VALUE"""),1109.0)</f>
        <v>1109</v>
      </c>
      <c r="K122" s="224">
        <f>IFERROR(__xludf.DUMMYFUNCTION("""COMPUTED_VALUE"""),755.0)</f>
        <v>755</v>
      </c>
      <c r="L122" s="225">
        <f>IFERROR(__xludf.DUMMYFUNCTION("""COMPUTED_VALUE"""),0.6808)</f>
        <v>0.6808</v>
      </c>
      <c r="M122" s="224"/>
      <c r="N122" s="225"/>
      <c r="O122" s="226">
        <f>IFERROR(__xludf.DUMMYFUNCTION("""COMPUTED_VALUE"""),0.0)</f>
        <v>0</v>
      </c>
      <c r="P122" s="226"/>
      <c r="Q122" s="225">
        <f>IFERROR(__xludf.DUMMYFUNCTION("""COMPUTED_VALUE"""),0.0)</f>
        <v>0</v>
      </c>
      <c r="R122" s="225"/>
      <c r="S122" s="226">
        <f>IFERROR(__xludf.DUMMYFUNCTION("""COMPUTED_VALUE"""),0.0)</f>
        <v>0</v>
      </c>
      <c r="T122" s="226">
        <f>IFERROR(__xludf.DUMMYFUNCTION("""COMPUTED_VALUE"""),1.0)</f>
        <v>1</v>
      </c>
      <c r="U122" s="224">
        <f>IFERROR(__xludf.DUMMYFUNCTION("""COMPUTED_VALUE"""),0.0)</f>
        <v>0</v>
      </c>
      <c r="V122" s="226" t="str">
        <f>IFERROR(__xludf.DUMMYFUNCTION("""COMPUTED_VALUE"""),"offline")</f>
        <v>offline</v>
      </c>
      <c r="W122" s="231" t="str">
        <f>IFERROR(__xludf.DUMMYFUNCTION("""COMPUTED_VALUE"""),"SMS")</f>
        <v>SMS</v>
      </c>
      <c r="X122" s="231" t="str">
        <f>IFERROR(__xludf.DUMMYFUNCTION("""COMPUTED_VALUE"""),"Generic")</f>
        <v>Generic</v>
      </c>
      <c r="Y122" s="231" t="str">
        <f>IFERROR(__xludf.DUMMYFUNCTION("""COMPUTED_VALUE"""),"20th - 23rd Feb")</f>
        <v>20th - 23rd Feb</v>
      </c>
      <c r="Z122" s="231" t="str">
        <f>IFERROR(__xludf.DUMMYFUNCTION("""COMPUTED_VALUE"""),"69970dacdf7d6408cfe9e623")</f>
        <v>69970dacdf7d6408cfe9e623</v>
      </c>
      <c r="AA122" s="229">
        <f>IFERROR(__xludf.DUMMYFUNCTION("""COMPUTED_VALUE"""),3.0)</f>
        <v>3</v>
      </c>
      <c r="AB122" s="229"/>
      <c r="AC122" s="229">
        <f>IFERROR(__xludf.DUMMYFUNCTION("""COMPUTED_VALUE"""),3.0)</f>
        <v>3</v>
      </c>
      <c r="AD122" s="229">
        <f>IFERROR(__xludf.DUMMYFUNCTION("""COMPUTED_VALUE"""),24388.0)</f>
        <v>24388</v>
      </c>
      <c r="AE122" s="229"/>
      <c r="AF122" s="229">
        <f>IFERROR(__xludf.DUMMYFUNCTION("""COMPUTED_VALUE"""),24388.0)</f>
        <v>24388</v>
      </c>
      <c r="AG122" s="208"/>
      <c r="AH122" s="208"/>
      <c r="AI122" s="208"/>
      <c r="AJ122" s="208"/>
      <c r="AK122" s="208"/>
    </row>
    <row r="123">
      <c r="A123" s="219">
        <f>IFERROR(__xludf.DUMMYFUNCTION("""COMPUTED_VALUE"""),46073.0)</f>
        <v>46073</v>
      </c>
      <c r="B123" s="244">
        <f>IFERROR(__xludf.DUMMYFUNCTION("""COMPUTED_VALUE"""),0.4375)</f>
        <v>0.4375</v>
      </c>
      <c r="C123" s="222" t="str">
        <f>IFERROR(__xludf.DUMMYFUNCTION("""COMPUTED_VALUE"""),"Sms")</f>
        <v>Sms</v>
      </c>
      <c r="D123" s="222" t="str">
        <f>IFERROR(__xludf.DUMMYFUNCTION("""COMPUTED_VALUE"""),"Fallback Campaign")</f>
        <v>Fallback Campaign</v>
      </c>
      <c r="E123" s="222" t="str">
        <f>IFERROR(__xludf.DUMMYFUNCTION("""COMPUTED_VALUE"""),"VS")</f>
        <v>VS</v>
      </c>
      <c r="F123" s="222" t="str">
        <f>IFERROR(__xludf.DUMMYFUNCTION("""COMPUTED_VALUE"""),"Store visit campaigns")</f>
        <v>Store visit campaigns</v>
      </c>
      <c r="G123" s="222" t="str">
        <f>IFERROR(__xludf.DUMMYFUNCTION("""COMPUTED_VALUE"""),"Store_Visit_Zora_Raipur_FB")</f>
        <v>Store_Visit_Zora_Raipur_FB</v>
      </c>
      <c r="H123" s="222" t="str">
        <f>IFERROR(__xludf.DUMMYFUNCTION("""COMPUTED_VALUE"""),"vs_off_txnstd_1271_feb2026")</f>
        <v>vs_off_txnstd_1271_feb2026</v>
      </c>
      <c r="I123" s="223" t="str">
        <f>IFERROR(__xludf.DUMMYFUNCTION("""COMPUTED_VALUE"""),"WA Undelivered")</f>
        <v>WA Undelivered</v>
      </c>
      <c r="J123" s="224">
        <f>IFERROR(__xludf.DUMMYFUNCTION("""COMPUTED_VALUE"""),460.0)</f>
        <v>460</v>
      </c>
      <c r="K123" s="224">
        <f>IFERROR(__xludf.DUMMYFUNCTION("""COMPUTED_VALUE"""),325.0)</f>
        <v>325</v>
      </c>
      <c r="L123" s="225">
        <f>IFERROR(__xludf.DUMMYFUNCTION("""COMPUTED_VALUE"""),0.7065)</f>
        <v>0.7065</v>
      </c>
      <c r="M123" s="224"/>
      <c r="N123" s="225"/>
      <c r="O123" s="226">
        <f>IFERROR(__xludf.DUMMYFUNCTION("""COMPUTED_VALUE"""),0.0)</f>
        <v>0</v>
      </c>
      <c r="P123" s="226"/>
      <c r="Q123" s="225">
        <f>IFERROR(__xludf.DUMMYFUNCTION("""COMPUTED_VALUE"""),0.0)</f>
        <v>0</v>
      </c>
      <c r="R123" s="225"/>
      <c r="S123" s="226">
        <f>IFERROR(__xludf.DUMMYFUNCTION("""COMPUTED_VALUE"""),0.0)</f>
        <v>0</v>
      </c>
      <c r="T123" s="226">
        <f>IFERROR(__xludf.DUMMYFUNCTION("""COMPUTED_VALUE"""),0.0)</f>
        <v>0</v>
      </c>
      <c r="U123" s="224">
        <f>IFERROR(__xludf.DUMMYFUNCTION("""COMPUTED_VALUE"""),0.0)</f>
        <v>0</v>
      </c>
      <c r="V123" s="226" t="str">
        <f>IFERROR(__xludf.DUMMYFUNCTION("""COMPUTED_VALUE"""),"offline")</f>
        <v>offline</v>
      </c>
      <c r="W123" s="231" t="str">
        <f>IFERROR(__xludf.DUMMYFUNCTION("""COMPUTED_VALUE"""),"SMS")</f>
        <v>SMS</v>
      </c>
      <c r="X123" s="231" t="str">
        <f>IFERROR(__xludf.DUMMYFUNCTION("""COMPUTED_VALUE"""),"Generic")</f>
        <v>Generic</v>
      </c>
      <c r="Y123" s="231" t="str">
        <f>IFERROR(__xludf.DUMMYFUNCTION("""COMPUTED_VALUE"""),"20th - 23rd Feb")</f>
        <v>20th - 23rd Feb</v>
      </c>
      <c r="Z123" s="231" t="str">
        <f>IFERROR(__xludf.DUMMYFUNCTION("""COMPUTED_VALUE"""),"69970ddd6be30f040aefefe2")</f>
        <v>69970ddd6be30f040aefefe2</v>
      </c>
      <c r="AA123" s="229">
        <f>IFERROR(__xludf.DUMMYFUNCTION("""COMPUTED_VALUE"""),2.0)</f>
        <v>2</v>
      </c>
      <c r="AB123" s="229"/>
      <c r="AC123" s="229">
        <f>IFERROR(__xludf.DUMMYFUNCTION("""COMPUTED_VALUE"""),2.0)</f>
        <v>2</v>
      </c>
      <c r="AD123" s="229">
        <f>IFERROR(__xludf.DUMMYFUNCTION("""COMPUTED_VALUE"""),47975.0)</f>
        <v>47975</v>
      </c>
      <c r="AE123" s="229"/>
      <c r="AF123" s="229">
        <f>IFERROR(__xludf.DUMMYFUNCTION("""COMPUTED_VALUE"""),47975.0)</f>
        <v>47975</v>
      </c>
      <c r="AG123" s="208"/>
      <c r="AH123" s="208"/>
      <c r="AI123" s="208"/>
      <c r="AJ123" s="208"/>
      <c r="AK123" s="208"/>
    </row>
    <row r="124">
      <c r="A124" s="219">
        <f>IFERROR(__xludf.DUMMYFUNCTION("""COMPUTED_VALUE"""),46073.0)</f>
        <v>46073</v>
      </c>
      <c r="B124" s="244">
        <f>IFERROR(__xludf.DUMMYFUNCTION("""COMPUTED_VALUE"""),0.4375)</f>
        <v>0.4375</v>
      </c>
      <c r="C124" s="222" t="str">
        <f>IFERROR(__xludf.DUMMYFUNCTION("""COMPUTED_VALUE"""),"Sms")</f>
        <v>Sms</v>
      </c>
      <c r="D124" s="222" t="str">
        <f>IFERROR(__xludf.DUMMYFUNCTION("""COMPUTED_VALUE"""),"Fallback Campaign")</f>
        <v>Fallback Campaign</v>
      </c>
      <c r="E124" s="222" t="str">
        <f>IFERROR(__xludf.DUMMYFUNCTION("""COMPUTED_VALUE"""),"VS")</f>
        <v>VS</v>
      </c>
      <c r="F124" s="222" t="str">
        <f>IFERROR(__xludf.DUMMYFUNCTION("""COMPUTED_VALUE"""),"Store visit campaigns")</f>
        <v>Store visit campaigns</v>
      </c>
      <c r="G124" s="222" t="str">
        <f>IFERROR(__xludf.DUMMYFUNCTION("""COMPUTED_VALUE"""),"Store_Visit_Lakeshore_HYD_FB")</f>
        <v>Store_Visit_Lakeshore_HYD_FB</v>
      </c>
      <c r="H124" s="222" t="str">
        <f>IFERROR(__xludf.DUMMYFUNCTION("""COMPUTED_VALUE"""),"vs_off_txnstd_1280_feb2026")</f>
        <v>vs_off_txnstd_1280_feb2026</v>
      </c>
      <c r="I124" s="223" t="str">
        <f>IFERROR(__xludf.DUMMYFUNCTION("""COMPUTED_VALUE"""),"WA Undelivered")</f>
        <v>WA Undelivered</v>
      </c>
      <c r="J124" s="224">
        <f>IFERROR(__xludf.DUMMYFUNCTION("""COMPUTED_VALUE"""),205.0)</f>
        <v>205</v>
      </c>
      <c r="K124" s="224">
        <f>IFERROR(__xludf.DUMMYFUNCTION("""COMPUTED_VALUE"""),148.0)</f>
        <v>148</v>
      </c>
      <c r="L124" s="225">
        <f>IFERROR(__xludf.DUMMYFUNCTION("""COMPUTED_VALUE"""),0.722)</f>
        <v>0.722</v>
      </c>
      <c r="M124" s="224"/>
      <c r="N124" s="225"/>
      <c r="O124" s="226">
        <f>IFERROR(__xludf.DUMMYFUNCTION("""COMPUTED_VALUE"""),0.0)</f>
        <v>0</v>
      </c>
      <c r="P124" s="226"/>
      <c r="Q124" s="225">
        <f>IFERROR(__xludf.DUMMYFUNCTION("""COMPUTED_VALUE"""),0.0)</f>
        <v>0</v>
      </c>
      <c r="R124" s="225"/>
      <c r="S124" s="226">
        <f>IFERROR(__xludf.DUMMYFUNCTION("""COMPUTED_VALUE"""),0.0)</f>
        <v>0</v>
      </c>
      <c r="T124" s="226">
        <f>IFERROR(__xludf.DUMMYFUNCTION("""COMPUTED_VALUE"""),0.0)</f>
        <v>0</v>
      </c>
      <c r="U124" s="224">
        <f>IFERROR(__xludf.DUMMYFUNCTION("""COMPUTED_VALUE"""),0.0)</f>
        <v>0</v>
      </c>
      <c r="V124" s="226" t="str">
        <f>IFERROR(__xludf.DUMMYFUNCTION("""COMPUTED_VALUE"""),"offline")</f>
        <v>offline</v>
      </c>
      <c r="W124" s="231" t="str">
        <f>IFERROR(__xludf.DUMMYFUNCTION("""COMPUTED_VALUE"""),"SMS")</f>
        <v>SMS</v>
      </c>
      <c r="X124" s="231" t="str">
        <f>IFERROR(__xludf.DUMMYFUNCTION("""COMPUTED_VALUE"""),"Generic")</f>
        <v>Generic</v>
      </c>
      <c r="Y124" s="231" t="str">
        <f>IFERROR(__xludf.DUMMYFUNCTION("""COMPUTED_VALUE"""),"20th - 23rd Feb")</f>
        <v>20th - 23rd Feb</v>
      </c>
      <c r="Z124" s="231" t="str">
        <f>IFERROR(__xludf.DUMMYFUNCTION("""COMPUTED_VALUE"""),"69970e05f970ee231cf3d5aa")</f>
        <v>69970e05f970ee231cf3d5aa</v>
      </c>
      <c r="AA124" s="229">
        <f>IFERROR(__xludf.DUMMYFUNCTION("""COMPUTED_VALUE"""),0.0)</f>
        <v>0</v>
      </c>
      <c r="AB124" s="229"/>
      <c r="AC124" s="229">
        <f>IFERROR(__xludf.DUMMYFUNCTION("""COMPUTED_VALUE"""),0.0)</f>
        <v>0</v>
      </c>
      <c r="AD124" s="229">
        <f>IFERROR(__xludf.DUMMYFUNCTION("""COMPUTED_VALUE"""),0.0)</f>
        <v>0</v>
      </c>
      <c r="AE124" s="229"/>
      <c r="AF124" s="229">
        <f>IFERROR(__xludf.DUMMYFUNCTION("""COMPUTED_VALUE"""),0.0)</f>
        <v>0</v>
      </c>
      <c r="AG124" s="208"/>
      <c r="AH124" s="208"/>
      <c r="AI124" s="208"/>
      <c r="AJ124" s="208"/>
      <c r="AK124" s="208"/>
    </row>
    <row r="125">
      <c r="A125" s="219">
        <f>IFERROR(__xludf.DUMMYFUNCTION("""COMPUTED_VALUE"""),46073.0)</f>
        <v>46073</v>
      </c>
      <c r="B125" s="244">
        <f>IFERROR(__xludf.DUMMYFUNCTION("""COMPUTED_VALUE"""),0.4375)</f>
        <v>0.4375</v>
      </c>
      <c r="C125" s="222" t="str">
        <f>IFERROR(__xludf.DUMMYFUNCTION("""COMPUTED_VALUE"""),"Sms")</f>
        <v>Sms</v>
      </c>
      <c r="D125" s="222" t="str">
        <f>IFERROR(__xludf.DUMMYFUNCTION("""COMPUTED_VALUE"""),"Fallback Campaign")</f>
        <v>Fallback Campaign</v>
      </c>
      <c r="E125" s="222" t="str">
        <f>IFERROR(__xludf.DUMMYFUNCTION("""COMPUTED_VALUE"""),"VS")</f>
        <v>VS</v>
      </c>
      <c r="F125" s="222" t="str">
        <f>IFERROR(__xludf.DUMMYFUNCTION("""COMPUTED_VALUE"""),"Store visit campaigns")</f>
        <v>Store visit campaigns</v>
      </c>
      <c r="G125" s="222" t="str">
        <f>IFERROR(__xludf.DUMMYFUNCTION("""COMPUTED_VALUE"""),"Store_Visit_Elegante_Delhi_FB")</f>
        <v>Store_Visit_Elegante_Delhi_FB</v>
      </c>
      <c r="H125" s="222" t="str">
        <f>IFERROR(__xludf.DUMMYFUNCTION("""COMPUTED_VALUE"""),"vs_off_txnstd_1251_feb2026")</f>
        <v>vs_off_txnstd_1251_feb2026</v>
      </c>
      <c r="I125" s="223" t="str">
        <f>IFERROR(__xludf.DUMMYFUNCTION("""COMPUTED_VALUE"""),"WA Undelivered")</f>
        <v>WA Undelivered</v>
      </c>
      <c r="J125" s="224">
        <f>IFERROR(__xludf.DUMMYFUNCTION("""COMPUTED_VALUE"""),899.0)</f>
        <v>899</v>
      </c>
      <c r="K125" s="224">
        <f>IFERROR(__xludf.DUMMYFUNCTION("""COMPUTED_VALUE"""),559.0)</f>
        <v>559</v>
      </c>
      <c r="L125" s="225">
        <f>IFERROR(__xludf.DUMMYFUNCTION("""COMPUTED_VALUE"""),0.6218)</f>
        <v>0.6218</v>
      </c>
      <c r="M125" s="224"/>
      <c r="N125" s="225"/>
      <c r="O125" s="226">
        <f>IFERROR(__xludf.DUMMYFUNCTION("""COMPUTED_VALUE"""),0.0)</f>
        <v>0</v>
      </c>
      <c r="P125" s="226"/>
      <c r="Q125" s="225">
        <f>IFERROR(__xludf.DUMMYFUNCTION("""COMPUTED_VALUE"""),0.0)</f>
        <v>0</v>
      </c>
      <c r="R125" s="225"/>
      <c r="S125" s="226">
        <f>IFERROR(__xludf.DUMMYFUNCTION("""COMPUTED_VALUE"""),0.0)</f>
        <v>0</v>
      </c>
      <c r="T125" s="226">
        <f>IFERROR(__xludf.DUMMYFUNCTION("""COMPUTED_VALUE"""),0.0)</f>
        <v>0</v>
      </c>
      <c r="U125" s="224">
        <f>IFERROR(__xludf.DUMMYFUNCTION("""COMPUTED_VALUE"""),0.0)</f>
        <v>0</v>
      </c>
      <c r="V125" s="226" t="str">
        <f>IFERROR(__xludf.DUMMYFUNCTION("""COMPUTED_VALUE"""),"offline")</f>
        <v>offline</v>
      </c>
      <c r="W125" s="231" t="str">
        <f>IFERROR(__xludf.DUMMYFUNCTION("""COMPUTED_VALUE"""),"SMS")</f>
        <v>SMS</v>
      </c>
      <c r="X125" s="231" t="str">
        <f>IFERROR(__xludf.DUMMYFUNCTION("""COMPUTED_VALUE"""),"Generic")</f>
        <v>Generic</v>
      </c>
      <c r="Y125" s="231" t="str">
        <f>IFERROR(__xludf.DUMMYFUNCTION("""COMPUTED_VALUE"""),"20th - 23rd Feb")</f>
        <v>20th - 23rd Feb</v>
      </c>
      <c r="Z125" s="231" t="str">
        <f>IFERROR(__xludf.DUMMYFUNCTION("""COMPUTED_VALUE"""),"69970e0a77a58f09c0ee4b85")</f>
        <v>69970e0a77a58f09c0ee4b85</v>
      </c>
      <c r="AA125" s="229">
        <f>IFERROR(__xludf.DUMMYFUNCTION("""COMPUTED_VALUE"""),1.0)</f>
        <v>1</v>
      </c>
      <c r="AB125" s="229"/>
      <c r="AC125" s="229">
        <f>IFERROR(__xludf.DUMMYFUNCTION("""COMPUTED_VALUE"""),1.0)</f>
        <v>1</v>
      </c>
      <c r="AD125" s="229">
        <f>IFERROR(__xludf.DUMMYFUNCTION("""COMPUTED_VALUE"""),10996.0)</f>
        <v>10996</v>
      </c>
      <c r="AE125" s="229"/>
      <c r="AF125" s="229">
        <f>IFERROR(__xludf.DUMMYFUNCTION("""COMPUTED_VALUE"""),10996.0)</f>
        <v>10996</v>
      </c>
      <c r="AG125" s="208"/>
      <c r="AH125" s="208"/>
      <c r="AI125" s="208"/>
      <c r="AJ125" s="208"/>
      <c r="AK125" s="208"/>
    </row>
    <row r="126">
      <c r="A126" s="219">
        <f>IFERROR(__xludf.DUMMYFUNCTION("""COMPUTED_VALUE"""),46073.0)</f>
        <v>46073</v>
      </c>
      <c r="B126" s="244">
        <f>IFERROR(__xludf.DUMMYFUNCTION("""COMPUTED_VALUE"""),0.4375)</f>
        <v>0.4375</v>
      </c>
      <c r="C126" s="222" t="str">
        <f>IFERROR(__xludf.DUMMYFUNCTION("""COMPUTED_VALUE"""),"Sms")</f>
        <v>Sms</v>
      </c>
      <c r="D126" s="222" t="str">
        <f>IFERROR(__xludf.DUMMYFUNCTION("""COMPUTED_VALUE"""),"Fallback Campaign")</f>
        <v>Fallback Campaign</v>
      </c>
      <c r="E126" s="222" t="str">
        <f>IFERROR(__xludf.DUMMYFUNCTION("""COMPUTED_VALUE"""),"VS")</f>
        <v>VS</v>
      </c>
      <c r="F126" s="222" t="str">
        <f>IFERROR(__xludf.DUMMYFUNCTION("""COMPUTED_VALUE"""),"Store visit campaigns")</f>
        <v>Store visit campaigns</v>
      </c>
      <c r="G126" s="222" t="str">
        <f>IFERROR(__xludf.DUMMYFUNCTION("""COMPUTED_VALUE"""),"Store Visit_Palladium_FB")</f>
        <v>Store Visit_Palladium_FB</v>
      </c>
      <c r="H126" s="222" t="str">
        <f>IFERROR(__xludf.DUMMYFUNCTION("""COMPUTED_VALUE"""),"vs_off_txnstd_97001_feb2026")</f>
        <v>vs_off_txnstd_97001_feb2026</v>
      </c>
      <c r="I126" s="223" t="str">
        <f>IFERROR(__xludf.DUMMYFUNCTION("""COMPUTED_VALUE"""),"WA Undelivered")</f>
        <v>WA Undelivered</v>
      </c>
      <c r="J126" s="224">
        <f>IFERROR(__xludf.DUMMYFUNCTION("""COMPUTED_VALUE"""),14453.0)</f>
        <v>14453</v>
      </c>
      <c r="K126" s="224">
        <f>IFERROR(__xludf.DUMMYFUNCTION("""COMPUTED_VALUE"""),8038.0)</f>
        <v>8038</v>
      </c>
      <c r="L126" s="225">
        <f>IFERROR(__xludf.DUMMYFUNCTION("""COMPUTED_VALUE"""),0.5561)</f>
        <v>0.5561</v>
      </c>
      <c r="M126" s="224"/>
      <c r="N126" s="225"/>
      <c r="O126" s="226">
        <f>IFERROR(__xludf.DUMMYFUNCTION("""COMPUTED_VALUE"""),0.0)</f>
        <v>0</v>
      </c>
      <c r="P126" s="226"/>
      <c r="Q126" s="225">
        <f>IFERROR(__xludf.DUMMYFUNCTION("""COMPUTED_VALUE"""),0.0)</f>
        <v>0</v>
      </c>
      <c r="R126" s="225"/>
      <c r="S126" s="226">
        <f>IFERROR(__xludf.DUMMYFUNCTION("""COMPUTED_VALUE"""),4.0)</f>
        <v>4</v>
      </c>
      <c r="T126" s="226">
        <f>IFERROR(__xludf.DUMMYFUNCTION("""COMPUTED_VALUE"""),4.0)</f>
        <v>4</v>
      </c>
      <c r="U126" s="224">
        <f>IFERROR(__xludf.DUMMYFUNCTION("""COMPUTED_VALUE"""),11787.0)</f>
        <v>11787</v>
      </c>
      <c r="V126" s="226" t="str">
        <f>IFERROR(__xludf.DUMMYFUNCTION("""COMPUTED_VALUE"""),"offline")</f>
        <v>offline</v>
      </c>
      <c r="W126" s="231" t="str">
        <f>IFERROR(__xludf.DUMMYFUNCTION("""COMPUTED_VALUE"""),"SMS")</f>
        <v>SMS</v>
      </c>
      <c r="X126" s="231" t="str">
        <f>IFERROR(__xludf.DUMMYFUNCTION("""COMPUTED_VALUE"""),"Generic")</f>
        <v>Generic</v>
      </c>
      <c r="Y126" s="231" t="str">
        <f>IFERROR(__xludf.DUMMYFUNCTION("""COMPUTED_VALUE"""),"20th - 23rd Feb")</f>
        <v>20th - 23rd Feb</v>
      </c>
      <c r="Z126" s="231" t="str">
        <f>IFERROR(__xludf.DUMMYFUNCTION("""COMPUTED_VALUE"""),"69970e8e35713dd133bb830d")</f>
        <v>69970e8e35713dd133bb830d</v>
      </c>
      <c r="AA126" s="229">
        <f>IFERROR(__xludf.DUMMYFUNCTION("""COMPUTED_VALUE"""),16.0)</f>
        <v>16</v>
      </c>
      <c r="AB126" s="229"/>
      <c r="AC126" s="229">
        <f>IFERROR(__xludf.DUMMYFUNCTION("""COMPUTED_VALUE"""),16.0)</f>
        <v>16</v>
      </c>
      <c r="AD126" s="229">
        <f>IFERROR(__xludf.DUMMYFUNCTION("""COMPUTED_VALUE"""),348598.0)</f>
        <v>348598</v>
      </c>
      <c r="AE126" s="229"/>
      <c r="AF126" s="229">
        <f>IFERROR(__xludf.DUMMYFUNCTION("""COMPUTED_VALUE"""),348598.0)</f>
        <v>348598</v>
      </c>
      <c r="AG126" s="208"/>
      <c r="AH126" s="208"/>
      <c r="AI126" s="208"/>
      <c r="AJ126" s="208"/>
      <c r="AK126" s="208"/>
    </row>
    <row r="127">
      <c r="A127" s="219">
        <f>IFERROR(__xludf.DUMMYFUNCTION("""COMPUTED_VALUE"""),46073.0)</f>
        <v>46073</v>
      </c>
      <c r="B127" s="244">
        <f>IFERROR(__xludf.DUMMYFUNCTION("""COMPUTED_VALUE"""),0.35763888889050577)</f>
        <v>0.3576388889</v>
      </c>
      <c r="C127" s="222" t="str">
        <f>IFERROR(__xludf.DUMMYFUNCTION("""COMPUTED_VALUE"""),"Whatsapp")</f>
        <v>Whatsapp</v>
      </c>
      <c r="D127" s="222" t="str">
        <f>IFERROR(__xludf.DUMMYFUNCTION("""COMPUTED_VALUE"""),"Promotional")</f>
        <v>Promotional</v>
      </c>
      <c r="E127" s="222" t="str">
        <f>IFERROR(__xludf.DUMMYFUNCTION("""COMPUTED_VALUE"""),"VS")</f>
        <v>VS</v>
      </c>
      <c r="F127" s="222" t="str">
        <f>IFERROR(__xludf.DUMMYFUNCTION("""COMPUTED_VALUE"""),"Store visit campaigns")</f>
        <v>Store visit campaigns</v>
      </c>
      <c r="G127" s="222" t="str">
        <f>IFERROR(__xludf.DUMMYFUNCTION("""COMPUTED_VALUE"""),"Store Visit_PMC_Kurla")</f>
        <v>Store Visit_PMC_Kurla</v>
      </c>
      <c r="H127" s="222" t="str">
        <f>IFERROR(__xludf.DUMMYFUNCTION("""COMPUTED_VALUE"""),"vs_off_txnstd_97009_feb2026")</f>
        <v>vs_off_txnstd_97009_feb2026</v>
      </c>
      <c r="I127" s="223" t="str">
        <f>IFERROR(__xludf.DUMMYFUNCTION("""COMPUTED_VALUE"""),"Customers who have shopped from Txn Store Code 97009 - VS MARKET CITY KURLA MALL in last 36 months")</f>
        <v>Customers who have shopped from Txn Store Code 97009 - VS MARKET CITY KURLA MALL in last 36 months</v>
      </c>
      <c r="J127" s="224">
        <f>IFERROR(__xludf.DUMMYFUNCTION("""COMPUTED_VALUE"""),8891.0)</f>
        <v>8891</v>
      </c>
      <c r="K127" s="224">
        <f>IFERROR(__xludf.DUMMYFUNCTION("""COMPUTED_VALUE"""),5087.0)</f>
        <v>5087</v>
      </c>
      <c r="L127" s="225">
        <f>IFERROR(__xludf.DUMMYFUNCTION("""COMPUTED_VALUE"""),0.5722)</f>
        <v>0.5722</v>
      </c>
      <c r="M127" s="224">
        <f>IFERROR(__xludf.DUMMYFUNCTION("""COMPUTED_VALUE"""),1482.0)</f>
        <v>1482</v>
      </c>
      <c r="N127" s="225">
        <f>IFERROR(__xludf.DUMMYFUNCTION("""COMPUTED_VALUE"""),0.2913)</f>
        <v>0.2913</v>
      </c>
      <c r="O127" s="226">
        <f>IFERROR(__xludf.DUMMYFUNCTION("""COMPUTED_VALUE"""),0.0)</f>
        <v>0</v>
      </c>
      <c r="P127" s="226">
        <f>IFERROR(__xludf.DUMMYFUNCTION("""COMPUTED_VALUE"""),0.0)</f>
        <v>0</v>
      </c>
      <c r="Q127" s="225">
        <f>IFERROR(__xludf.DUMMYFUNCTION("""COMPUTED_VALUE"""),0.0)</f>
        <v>0</v>
      </c>
      <c r="R127" s="225">
        <f>IFERROR(__xludf.DUMMYFUNCTION("""COMPUTED_VALUE"""),0.0)</f>
        <v>0</v>
      </c>
      <c r="S127" s="226">
        <f>IFERROR(__xludf.DUMMYFUNCTION("""COMPUTED_VALUE"""),2.0)</f>
        <v>2</v>
      </c>
      <c r="T127" s="226">
        <f>IFERROR(__xludf.DUMMYFUNCTION("""COMPUTED_VALUE"""),3.0)</f>
        <v>3</v>
      </c>
      <c r="U127" s="224">
        <f>IFERROR(__xludf.DUMMYFUNCTION("""COMPUTED_VALUE"""),2134.0)</f>
        <v>2134</v>
      </c>
      <c r="V127" s="226" t="str">
        <f>IFERROR(__xludf.DUMMYFUNCTION("""COMPUTED_VALUE"""),"offline")</f>
        <v>offline</v>
      </c>
      <c r="W127" s="231" t="str">
        <f>IFERROR(__xludf.DUMMYFUNCTION("""COMPUTED_VALUE"""),"simple")</f>
        <v>simple</v>
      </c>
      <c r="X127" s="231" t="str">
        <f>IFERROR(__xludf.DUMMYFUNCTION("""COMPUTED_VALUE"""),"Generic")</f>
        <v>Generic</v>
      </c>
      <c r="Y127" s="231" t="str">
        <f>IFERROR(__xludf.DUMMYFUNCTION("""COMPUTED_VALUE"""),"20th - 23rd Feb")</f>
        <v>20th - 23rd Feb</v>
      </c>
      <c r="Z127" s="231" t="str">
        <f>IFERROR(__xludf.DUMMYFUNCTION("""COMPUTED_VALUE"""),"6996ffc6ac6867deec720fa9")</f>
        <v>6996ffc6ac6867deec720fa9</v>
      </c>
      <c r="AA127" s="229">
        <f>IFERROR(__xludf.DUMMYFUNCTION("""COMPUTED_VALUE"""),6.0)</f>
        <v>6</v>
      </c>
      <c r="AB127" s="229"/>
      <c r="AC127" s="229">
        <f>IFERROR(__xludf.DUMMYFUNCTION("""COMPUTED_VALUE"""),6.0)</f>
        <v>6</v>
      </c>
      <c r="AD127" s="229">
        <f>IFERROR(__xludf.DUMMYFUNCTION("""COMPUTED_VALUE"""),43484.0)</f>
        <v>43484</v>
      </c>
      <c r="AE127" s="229"/>
      <c r="AF127" s="229">
        <f>IFERROR(__xludf.DUMMYFUNCTION("""COMPUTED_VALUE"""),43484.0)</f>
        <v>43484</v>
      </c>
      <c r="AG127" s="208"/>
      <c r="AH127" s="208"/>
      <c r="AI127" s="208"/>
      <c r="AJ127" s="208"/>
      <c r="AK127" s="208"/>
    </row>
    <row r="128">
      <c r="A128" s="219">
        <f>IFERROR(__xludf.DUMMYFUNCTION("""COMPUTED_VALUE"""),46073.0)</f>
        <v>46073</v>
      </c>
      <c r="B128" s="244">
        <f>IFERROR(__xludf.DUMMYFUNCTION("""COMPUTED_VALUE"""),0.36111111110949423)</f>
        <v>0.3611111111</v>
      </c>
      <c r="C128" s="222" t="str">
        <f>IFERROR(__xludf.DUMMYFUNCTION("""COMPUTED_VALUE"""),"Whatsapp")</f>
        <v>Whatsapp</v>
      </c>
      <c r="D128" s="222" t="str">
        <f>IFERROR(__xludf.DUMMYFUNCTION("""COMPUTED_VALUE"""),"Promotional")</f>
        <v>Promotional</v>
      </c>
      <c r="E128" s="222" t="str">
        <f>IFERROR(__xludf.DUMMYFUNCTION("""COMPUTED_VALUE"""),"VS")</f>
        <v>VS</v>
      </c>
      <c r="F128" s="222" t="str">
        <f>IFERROR(__xludf.DUMMYFUNCTION("""COMPUTED_VALUE"""),"Store visit campaigns")</f>
        <v>Store visit campaigns</v>
      </c>
      <c r="G128" s="222" t="str">
        <f>IFERROR(__xludf.DUMMYFUNCTION("""COMPUTED_VALUE"""),"Store_Visit_Inorbit_Malad")</f>
        <v>Store_Visit_Inorbit_Malad</v>
      </c>
      <c r="H128" s="222" t="str">
        <f>IFERROR(__xludf.DUMMYFUNCTION("""COMPUTED_VALUE"""),"vs_off_txnstd_97008_feb2026")</f>
        <v>vs_off_txnstd_97008_feb2026</v>
      </c>
      <c r="I128" s="223" t="str">
        <f>IFERROR(__xludf.DUMMYFUNCTION("""COMPUTED_VALUE"""),"Customers who have shopped from Txn Store Code 97008 - VS INORBIT MALL MALAD in last 36 months")</f>
        <v>Customers who have shopped from Txn Store Code 97008 - VS INORBIT MALL MALAD in last 36 months</v>
      </c>
      <c r="J128" s="224">
        <f>IFERROR(__xludf.DUMMYFUNCTION("""COMPUTED_VALUE"""),7388.0)</f>
        <v>7388</v>
      </c>
      <c r="K128" s="224">
        <f>IFERROR(__xludf.DUMMYFUNCTION("""COMPUTED_VALUE"""),4275.0)</f>
        <v>4275</v>
      </c>
      <c r="L128" s="225">
        <f>IFERROR(__xludf.DUMMYFUNCTION("""COMPUTED_VALUE"""),0.5786)</f>
        <v>0.5786</v>
      </c>
      <c r="M128" s="224">
        <f>IFERROR(__xludf.DUMMYFUNCTION("""COMPUTED_VALUE"""),1243.0)</f>
        <v>1243</v>
      </c>
      <c r="N128" s="225">
        <f>IFERROR(__xludf.DUMMYFUNCTION("""COMPUTED_VALUE"""),0.2908)</f>
        <v>0.2908</v>
      </c>
      <c r="O128" s="226">
        <f>IFERROR(__xludf.DUMMYFUNCTION("""COMPUTED_VALUE"""),0.0)</f>
        <v>0</v>
      </c>
      <c r="P128" s="226">
        <f>IFERROR(__xludf.DUMMYFUNCTION("""COMPUTED_VALUE"""),0.0)</f>
        <v>0</v>
      </c>
      <c r="Q128" s="225">
        <f>IFERROR(__xludf.DUMMYFUNCTION("""COMPUTED_VALUE"""),0.0)</f>
        <v>0</v>
      </c>
      <c r="R128" s="225">
        <f>IFERROR(__xludf.DUMMYFUNCTION("""COMPUTED_VALUE"""),0.0)</f>
        <v>0</v>
      </c>
      <c r="S128" s="226">
        <f>IFERROR(__xludf.DUMMYFUNCTION("""COMPUTED_VALUE"""),0.0)</f>
        <v>0</v>
      </c>
      <c r="T128" s="226">
        <f>IFERROR(__xludf.DUMMYFUNCTION("""COMPUTED_VALUE"""),1.0)</f>
        <v>1</v>
      </c>
      <c r="U128" s="224">
        <f>IFERROR(__xludf.DUMMYFUNCTION("""COMPUTED_VALUE"""),0.0)</f>
        <v>0</v>
      </c>
      <c r="V128" s="226" t="str">
        <f>IFERROR(__xludf.DUMMYFUNCTION("""COMPUTED_VALUE"""),"offline")</f>
        <v>offline</v>
      </c>
      <c r="W128" s="231" t="str">
        <f>IFERROR(__xludf.DUMMYFUNCTION("""COMPUTED_VALUE"""),"simple")</f>
        <v>simple</v>
      </c>
      <c r="X128" s="231" t="str">
        <f>IFERROR(__xludf.DUMMYFUNCTION("""COMPUTED_VALUE"""),"Generic")</f>
        <v>Generic</v>
      </c>
      <c r="Y128" s="231" t="str">
        <f>IFERROR(__xludf.DUMMYFUNCTION("""COMPUTED_VALUE"""),"20th - 23rd Feb")</f>
        <v>20th - 23rd Feb</v>
      </c>
      <c r="Z128" s="231" t="str">
        <f>IFERROR(__xludf.DUMMYFUNCTION("""COMPUTED_VALUE"""),"699700369ec42cd70ece752a")</f>
        <v>699700369ec42cd70ece752a</v>
      </c>
      <c r="AA128" s="229">
        <f>IFERROR(__xludf.DUMMYFUNCTION("""COMPUTED_VALUE"""),5.0)</f>
        <v>5</v>
      </c>
      <c r="AB128" s="229"/>
      <c r="AC128" s="229">
        <f>IFERROR(__xludf.DUMMYFUNCTION("""COMPUTED_VALUE"""),5.0)</f>
        <v>5</v>
      </c>
      <c r="AD128" s="229">
        <f>IFERROR(__xludf.DUMMYFUNCTION("""COMPUTED_VALUE"""),30092.0)</f>
        <v>30092</v>
      </c>
      <c r="AE128" s="229"/>
      <c r="AF128" s="229">
        <f>IFERROR(__xludf.DUMMYFUNCTION("""COMPUTED_VALUE"""),30092.0)</f>
        <v>30092</v>
      </c>
      <c r="AG128" s="208"/>
      <c r="AH128" s="208"/>
      <c r="AI128" s="208"/>
      <c r="AJ128" s="208"/>
      <c r="AK128" s="208"/>
    </row>
    <row r="129">
      <c r="A129" s="219">
        <f>IFERROR(__xludf.DUMMYFUNCTION("""COMPUTED_VALUE"""),46073.0)</f>
        <v>46073</v>
      </c>
      <c r="B129" s="244">
        <f>IFERROR(__xludf.DUMMYFUNCTION("""COMPUTED_VALUE"""),0.3645833333321207)</f>
        <v>0.3645833333</v>
      </c>
      <c r="C129" s="222" t="str">
        <f>IFERROR(__xludf.DUMMYFUNCTION("""COMPUTED_VALUE"""),"Whatsapp")</f>
        <v>Whatsapp</v>
      </c>
      <c r="D129" s="222" t="str">
        <f>IFERROR(__xludf.DUMMYFUNCTION("""COMPUTED_VALUE"""),"Promotional")</f>
        <v>Promotional</v>
      </c>
      <c r="E129" s="222" t="str">
        <f>IFERROR(__xludf.DUMMYFUNCTION("""COMPUTED_VALUE"""),"VS")</f>
        <v>VS</v>
      </c>
      <c r="F129" s="222" t="str">
        <f>IFERROR(__xludf.DUMMYFUNCTION("""COMPUTED_VALUE"""),"Store visit campaigns")</f>
        <v>Store visit campaigns</v>
      </c>
      <c r="G129" s="222" t="str">
        <f>IFERROR(__xludf.DUMMYFUNCTION("""COMPUTED_VALUE"""),"Store_Visit_KOPA_Pune")</f>
        <v>Store_Visit_KOPA_Pune</v>
      </c>
      <c r="H129" s="222" t="str">
        <f>IFERROR(__xludf.DUMMYFUNCTION("""COMPUTED_VALUE"""),"vs_off_txnstd_97007_feb2026")</f>
        <v>vs_off_txnstd_97007_feb2026</v>
      </c>
      <c r="I129" s="223" t="str">
        <f>IFERROR(__xludf.DUMMYFUNCTION("""COMPUTED_VALUE"""),"Customers who have shopped from Txn Store Code 97007 - VS KOPA MALL PUNE in last 36 months")</f>
        <v>Customers who have shopped from Txn Store Code 97007 - VS KOPA MALL PUNE in last 36 months</v>
      </c>
      <c r="J129" s="224">
        <f>IFERROR(__xludf.DUMMYFUNCTION("""COMPUTED_VALUE"""),6322.0)</f>
        <v>6322</v>
      </c>
      <c r="K129" s="224">
        <f>IFERROR(__xludf.DUMMYFUNCTION("""COMPUTED_VALUE"""),3531.0)</f>
        <v>3531</v>
      </c>
      <c r="L129" s="225">
        <f>IFERROR(__xludf.DUMMYFUNCTION("""COMPUTED_VALUE"""),0.5585)</f>
        <v>0.5585</v>
      </c>
      <c r="M129" s="224">
        <f>IFERROR(__xludf.DUMMYFUNCTION("""COMPUTED_VALUE"""),965.0)</f>
        <v>965</v>
      </c>
      <c r="N129" s="225">
        <f>IFERROR(__xludf.DUMMYFUNCTION("""COMPUTED_VALUE"""),0.2733)</f>
        <v>0.2733</v>
      </c>
      <c r="O129" s="226">
        <f>IFERROR(__xludf.DUMMYFUNCTION("""COMPUTED_VALUE"""),0.0)</f>
        <v>0</v>
      </c>
      <c r="P129" s="226">
        <f>IFERROR(__xludf.DUMMYFUNCTION("""COMPUTED_VALUE"""),0.0)</f>
        <v>0</v>
      </c>
      <c r="Q129" s="225">
        <f>IFERROR(__xludf.DUMMYFUNCTION("""COMPUTED_VALUE"""),0.0)</f>
        <v>0</v>
      </c>
      <c r="R129" s="225">
        <f>IFERROR(__xludf.DUMMYFUNCTION("""COMPUTED_VALUE"""),0.0)</f>
        <v>0</v>
      </c>
      <c r="S129" s="226">
        <f>IFERROR(__xludf.DUMMYFUNCTION("""COMPUTED_VALUE"""),0.0)</f>
        <v>0</v>
      </c>
      <c r="T129" s="226">
        <f>IFERROR(__xludf.DUMMYFUNCTION("""COMPUTED_VALUE"""),1.0)</f>
        <v>1</v>
      </c>
      <c r="U129" s="224">
        <f>IFERROR(__xludf.DUMMYFUNCTION("""COMPUTED_VALUE"""),0.0)</f>
        <v>0</v>
      </c>
      <c r="V129" s="226" t="str">
        <f>IFERROR(__xludf.DUMMYFUNCTION("""COMPUTED_VALUE"""),"offline")</f>
        <v>offline</v>
      </c>
      <c r="W129" s="231" t="str">
        <f>IFERROR(__xludf.DUMMYFUNCTION("""COMPUTED_VALUE"""),"simple")</f>
        <v>simple</v>
      </c>
      <c r="X129" s="231" t="str">
        <f>IFERROR(__xludf.DUMMYFUNCTION("""COMPUTED_VALUE"""),"Generic")</f>
        <v>Generic</v>
      </c>
      <c r="Y129" s="231" t="str">
        <f>IFERROR(__xludf.DUMMYFUNCTION("""COMPUTED_VALUE"""),"20th - 23rd Feb")</f>
        <v>20th - 23rd Feb</v>
      </c>
      <c r="Z129" s="231" t="str">
        <f>IFERROR(__xludf.DUMMYFUNCTION("""COMPUTED_VALUE"""),"699700ad189823939f124cb3")</f>
        <v>699700ad189823939f124cb3</v>
      </c>
      <c r="AA129" s="229">
        <f>IFERROR(__xludf.DUMMYFUNCTION("""COMPUTED_VALUE"""),5.0)</f>
        <v>5</v>
      </c>
      <c r="AB129" s="229"/>
      <c r="AC129" s="229">
        <f>IFERROR(__xludf.DUMMYFUNCTION("""COMPUTED_VALUE"""),5.0)</f>
        <v>5</v>
      </c>
      <c r="AD129" s="229">
        <f>IFERROR(__xludf.DUMMYFUNCTION("""COMPUTED_VALUE"""),29793.0)</f>
        <v>29793</v>
      </c>
      <c r="AE129" s="229"/>
      <c r="AF129" s="229">
        <f>IFERROR(__xludf.DUMMYFUNCTION("""COMPUTED_VALUE"""),29793.0)</f>
        <v>29793</v>
      </c>
      <c r="AG129" s="208"/>
      <c r="AH129" s="208"/>
      <c r="AI129" s="208"/>
      <c r="AJ129" s="208"/>
      <c r="AK129" s="208"/>
    </row>
    <row r="130">
      <c r="A130" s="219">
        <f>IFERROR(__xludf.DUMMYFUNCTION("""COMPUTED_VALUE"""),46073.0)</f>
        <v>46073</v>
      </c>
      <c r="B130" s="244">
        <f>IFERROR(__xludf.DUMMYFUNCTION("""COMPUTED_VALUE"""),0.3680555555547471)</f>
        <v>0.3680555556</v>
      </c>
      <c r="C130" s="222" t="str">
        <f>IFERROR(__xludf.DUMMYFUNCTION("""COMPUTED_VALUE"""),"Whatsapp")</f>
        <v>Whatsapp</v>
      </c>
      <c r="D130" s="222" t="str">
        <f>IFERROR(__xludf.DUMMYFUNCTION("""COMPUTED_VALUE"""),"Promotional")</f>
        <v>Promotional</v>
      </c>
      <c r="E130" s="222" t="str">
        <f>IFERROR(__xludf.DUMMYFUNCTION("""COMPUTED_VALUE"""),"VS")</f>
        <v>VS</v>
      </c>
      <c r="F130" s="222" t="str">
        <f>IFERROR(__xludf.DUMMYFUNCTION("""COMPUTED_VALUE"""),"Store visit campaigns")</f>
        <v>Store visit campaigns</v>
      </c>
      <c r="G130" s="222" t="str">
        <f>IFERROR(__xludf.DUMMYFUNCTION("""COMPUTED_VALUE"""),"Store_Visit_MOM_Pune")</f>
        <v>Store_Visit_MOM_Pune</v>
      </c>
      <c r="H130" s="222" t="str">
        <f>IFERROR(__xludf.DUMMYFUNCTION("""COMPUTED_VALUE"""),"vs_off_txnstd_97005_feb2026")</f>
        <v>vs_off_txnstd_97005_feb2026</v>
      </c>
      <c r="I130" s="223" t="str">
        <f>IFERROR(__xludf.DUMMYFUNCTION("""COMPUTED_VALUE"""),"Customers who have shopped from Txn Store Code 97005 - VS MALL OF MILLENNIUM in last 36 months")</f>
        <v>Customers who have shopped from Txn Store Code 97005 - VS MALL OF MILLENNIUM in last 36 months</v>
      </c>
      <c r="J130" s="224">
        <f>IFERROR(__xludf.DUMMYFUNCTION("""COMPUTED_VALUE"""),10287.0)</f>
        <v>10287</v>
      </c>
      <c r="K130" s="224">
        <f>IFERROR(__xludf.DUMMYFUNCTION("""COMPUTED_VALUE"""),5998.0)</f>
        <v>5998</v>
      </c>
      <c r="L130" s="225">
        <f>IFERROR(__xludf.DUMMYFUNCTION("""COMPUTED_VALUE"""),0.5831)</f>
        <v>0.5831</v>
      </c>
      <c r="M130" s="224">
        <f>IFERROR(__xludf.DUMMYFUNCTION("""COMPUTED_VALUE"""),1838.0)</f>
        <v>1838</v>
      </c>
      <c r="N130" s="225">
        <f>IFERROR(__xludf.DUMMYFUNCTION("""COMPUTED_VALUE"""),0.3065)</f>
        <v>0.3065</v>
      </c>
      <c r="O130" s="226">
        <f>IFERROR(__xludf.DUMMYFUNCTION("""COMPUTED_VALUE"""),0.0)</f>
        <v>0</v>
      </c>
      <c r="P130" s="226">
        <f>IFERROR(__xludf.DUMMYFUNCTION("""COMPUTED_VALUE"""),0.0)</f>
        <v>0</v>
      </c>
      <c r="Q130" s="225">
        <f>IFERROR(__xludf.DUMMYFUNCTION("""COMPUTED_VALUE"""),0.0)</f>
        <v>0</v>
      </c>
      <c r="R130" s="225">
        <f>IFERROR(__xludf.DUMMYFUNCTION("""COMPUTED_VALUE"""),0.0)</f>
        <v>0</v>
      </c>
      <c r="S130" s="226">
        <f>IFERROR(__xludf.DUMMYFUNCTION("""COMPUTED_VALUE"""),0.0)</f>
        <v>0</v>
      </c>
      <c r="T130" s="226">
        <f>IFERROR(__xludf.DUMMYFUNCTION("""COMPUTED_VALUE"""),1.0)</f>
        <v>1</v>
      </c>
      <c r="U130" s="224">
        <f>IFERROR(__xludf.DUMMYFUNCTION("""COMPUTED_VALUE"""),0.0)</f>
        <v>0</v>
      </c>
      <c r="V130" s="226" t="str">
        <f>IFERROR(__xludf.DUMMYFUNCTION("""COMPUTED_VALUE"""),"offline")</f>
        <v>offline</v>
      </c>
      <c r="W130" s="231" t="str">
        <f>IFERROR(__xludf.DUMMYFUNCTION("""COMPUTED_VALUE"""),"simple")</f>
        <v>simple</v>
      </c>
      <c r="X130" s="231" t="str">
        <f>IFERROR(__xludf.DUMMYFUNCTION("""COMPUTED_VALUE"""),"Generic")</f>
        <v>Generic</v>
      </c>
      <c r="Y130" s="231" t="str">
        <f>IFERROR(__xludf.DUMMYFUNCTION("""COMPUTED_VALUE"""),"20th - 23rd Feb")</f>
        <v>20th - 23rd Feb</v>
      </c>
      <c r="Z130" s="231" t="str">
        <f>IFERROR(__xludf.DUMMYFUNCTION("""COMPUTED_VALUE"""),"6997011d473eb72747cdce73")</f>
        <v>6997011d473eb72747cdce73</v>
      </c>
      <c r="AA130" s="229">
        <f>IFERROR(__xludf.DUMMYFUNCTION("""COMPUTED_VALUE"""),1.0)</f>
        <v>1</v>
      </c>
      <c r="AB130" s="229"/>
      <c r="AC130" s="229">
        <f>IFERROR(__xludf.DUMMYFUNCTION("""COMPUTED_VALUE"""),1.0)</f>
        <v>1</v>
      </c>
      <c r="AD130" s="229">
        <f>IFERROR(__xludf.DUMMYFUNCTION("""COMPUTED_VALUE"""),3899.0)</f>
        <v>3899</v>
      </c>
      <c r="AE130" s="229"/>
      <c r="AF130" s="229">
        <f>IFERROR(__xludf.DUMMYFUNCTION("""COMPUTED_VALUE"""),3899.0)</f>
        <v>3899</v>
      </c>
      <c r="AG130" s="208"/>
      <c r="AH130" s="208"/>
      <c r="AI130" s="208"/>
      <c r="AJ130" s="208"/>
      <c r="AK130" s="208"/>
    </row>
    <row r="131">
      <c r="A131" s="219">
        <f>IFERROR(__xludf.DUMMYFUNCTION("""COMPUTED_VALUE"""),46073.0)</f>
        <v>46073</v>
      </c>
      <c r="B131" s="244">
        <f>IFERROR(__xludf.DUMMYFUNCTION("""COMPUTED_VALUE"""),0.37152777777737356)</f>
        <v>0.3715277778</v>
      </c>
      <c r="C131" s="222" t="str">
        <f>IFERROR(__xludf.DUMMYFUNCTION("""COMPUTED_VALUE"""),"Whatsapp")</f>
        <v>Whatsapp</v>
      </c>
      <c r="D131" s="222" t="str">
        <f>IFERROR(__xludf.DUMMYFUNCTION("""COMPUTED_VALUE"""),"Promotional")</f>
        <v>Promotional</v>
      </c>
      <c r="E131" s="222" t="str">
        <f>IFERROR(__xludf.DUMMYFUNCTION("""COMPUTED_VALUE"""),"VS")</f>
        <v>VS</v>
      </c>
      <c r="F131" s="222" t="str">
        <f>IFERROR(__xludf.DUMMYFUNCTION("""COMPUTED_VALUE"""),"Store visit campaigns")</f>
        <v>Store visit campaigns</v>
      </c>
      <c r="G131" s="222" t="str">
        <f>IFERROR(__xludf.DUMMYFUNCTION("""COMPUTED_VALUE"""),"Store_Visit_Ambi_VK")</f>
        <v>Store_Visit_Ambi_VK</v>
      </c>
      <c r="H131" s="222" t="str">
        <f>IFERROR(__xludf.DUMMYFUNCTION("""COMPUTED_VALUE"""),"vs_off_txnstd_97002_feb2026")</f>
        <v>vs_off_txnstd_97002_feb2026</v>
      </c>
      <c r="I131" s="223" t="str">
        <f>IFERROR(__xludf.DUMMYFUNCTION("""COMPUTED_VALUE"""),"Customers who have shopped from Txn Store Code 97002 - VS AMBIENCE MALL in last 36 months")</f>
        <v>Customers who have shopped from Txn Store Code 97002 - VS AMBIENCE MALL in last 36 months</v>
      </c>
      <c r="J131" s="224">
        <f>IFERROR(__xludf.DUMMYFUNCTION("""COMPUTED_VALUE"""),31411.0)</f>
        <v>31411</v>
      </c>
      <c r="K131" s="224">
        <f>IFERROR(__xludf.DUMMYFUNCTION("""COMPUTED_VALUE"""),16218.0)</f>
        <v>16218</v>
      </c>
      <c r="L131" s="225">
        <f>IFERROR(__xludf.DUMMYFUNCTION("""COMPUTED_VALUE"""),0.5163)</f>
        <v>0.5163</v>
      </c>
      <c r="M131" s="224">
        <f>IFERROR(__xludf.DUMMYFUNCTION("""COMPUTED_VALUE"""),3677.0)</f>
        <v>3677</v>
      </c>
      <c r="N131" s="225">
        <f>IFERROR(__xludf.DUMMYFUNCTION("""COMPUTED_VALUE"""),0.2266)</f>
        <v>0.2266</v>
      </c>
      <c r="O131" s="226">
        <f>IFERROR(__xludf.DUMMYFUNCTION("""COMPUTED_VALUE"""),0.0)</f>
        <v>0</v>
      </c>
      <c r="P131" s="226">
        <f>IFERROR(__xludf.DUMMYFUNCTION("""COMPUTED_VALUE"""),0.0)</f>
        <v>0</v>
      </c>
      <c r="Q131" s="225">
        <f>IFERROR(__xludf.DUMMYFUNCTION("""COMPUTED_VALUE"""),0.0)</f>
        <v>0</v>
      </c>
      <c r="R131" s="225">
        <f>IFERROR(__xludf.DUMMYFUNCTION("""COMPUTED_VALUE"""),0.0)</f>
        <v>0</v>
      </c>
      <c r="S131" s="226">
        <f>IFERROR(__xludf.DUMMYFUNCTION("""COMPUTED_VALUE"""),2.0)</f>
        <v>2</v>
      </c>
      <c r="T131" s="226">
        <f>IFERROR(__xludf.DUMMYFUNCTION("""COMPUTED_VALUE"""),7.0)</f>
        <v>7</v>
      </c>
      <c r="U131" s="224">
        <f>IFERROR(__xludf.DUMMYFUNCTION("""COMPUTED_VALUE"""),0.0)</f>
        <v>0</v>
      </c>
      <c r="V131" s="226" t="str">
        <f>IFERROR(__xludf.DUMMYFUNCTION("""COMPUTED_VALUE"""),"offline")</f>
        <v>offline</v>
      </c>
      <c r="W131" s="231" t="str">
        <f>IFERROR(__xludf.DUMMYFUNCTION("""COMPUTED_VALUE"""),"simple")</f>
        <v>simple</v>
      </c>
      <c r="X131" s="231" t="str">
        <f>IFERROR(__xludf.DUMMYFUNCTION("""COMPUTED_VALUE"""),"Generic")</f>
        <v>Generic</v>
      </c>
      <c r="Y131" s="231" t="str">
        <f>IFERROR(__xludf.DUMMYFUNCTION("""COMPUTED_VALUE"""),"20th - 23rd Feb")</f>
        <v>20th - 23rd Feb</v>
      </c>
      <c r="Z131" s="231" t="str">
        <f>IFERROR(__xludf.DUMMYFUNCTION("""COMPUTED_VALUE"""),"6997017ea82d6b194d1fa8dc")</f>
        <v>6997017ea82d6b194d1fa8dc</v>
      </c>
      <c r="AA131" s="229">
        <f>IFERROR(__xludf.DUMMYFUNCTION("""COMPUTED_VALUE"""),27.0)</f>
        <v>27</v>
      </c>
      <c r="AB131" s="229"/>
      <c r="AC131" s="229">
        <f>IFERROR(__xludf.DUMMYFUNCTION("""COMPUTED_VALUE"""),27.0)</f>
        <v>27</v>
      </c>
      <c r="AD131" s="229">
        <f>IFERROR(__xludf.DUMMYFUNCTION("""COMPUTED_VALUE"""),494785.0)</f>
        <v>494785</v>
      </c>
      <c r="AE131" s="229"/>
      <c r="AF131" s="229">
        <f>IFERROR(__xludf.DUMMYFUNCTION("""COMPUTED_VALUE"""),494785.0)</f>
        <v>494785</v>
      </c>
      <c r="AG131" s="208"/>
      <c r="AH131" s="208"/>
      <c r="AI131" s="208"/>
      <c r="AJ131" s="208"/>
      <c r="AK131" s="208"/>
    </row>
    <row r="132">
      <c r="A132" s="245">
        <f>IFERROR(__xludf.DUMMYFUNCTION("""COMPUTED_VALUE"""),46073.0)</f>
        <v>46073</v>
      </c>
      <c r="B132" s="244">
        <f>IFERROR(__xludf.DUMMYFUNCTION("""COMPUTED_VALUE"""),0.37152777777737356)</f>
        <v>0.3715277778</v>
      </c>
      <c r="C132" s="222" t="str">
        <f>IFERROR(__xludf.DUMMYFUNCTION("""COMPUTED_VALUE"""),"Whatsapp")</f>
        <v>Whatsapp</v>
      </c>
      <c r="D132" s="222" t="str">
        <f>IFERROR(__xludf.DUMMYFUNCTION("""COMPUTED_VALUE"""),"Promotional")</f>
        <v>Promotional</v>
      </c>
      <c r="E132" s="222" t="str">
        <f>IFERROR(__xludf.DUMMYFUNCTION("""COMPUTED_VALUE"""),"VS")</f>
        <v>VS</v>
      </c>
      <c r="F132" s="222" t="str">
        <f>IFERROR(__xludf.DUMMYFUNCTION("""COMPUTED_VALUE"""),"Store visit campaigns")</f>
        <v>Store visit campaigns</v>
      </c>
      <c r="G132" s="222" t="str">
        <f>IFERROR(__xludf.DUMMYFUNCTION("""COMPUTED_VALUE"""),"Store_Visit_Orion")</f>
        <v>Store_Visit_Orion</v>
      </c>
      <c r="H132" s="222" t="str">
        <f>IFERROR(__xludf.DUMMYFUNCTION("""COMPUTED_VALUE"""),"vs_off_txnstd_1273_feb2026")</f>
        <v>vs_off_txnstd_1273_feb2026</v>
      </c>
      <c r="I132" s="223" t="str">
        <f>IFERROR(__xludf.DUMMYFUNCTION("""COMPUTED_VALUE"""),"Customers who have shopped from Txn Store Code 1273 - VS ORION BANGALORE in last 36 months")</f>
        <v>Customers who have shopped from Txn Store Code 1273 - VS ORION BANGALORE in last 36 months</v>
      </c>
      <c r="J132" s="224">
        <f>IFERROR(__xludf.DUMMYFUNCTION("""COMPUTED_VALUE"""),4717.0)</f>
        <v>4717</v>
      </c>
      <c r="K132" s="224">
        <f>IFERROR(__xludf.DUMMYFUNCTION("""COMPUTED_VALUE"""),2570.0)</f>
        <v>2570</v>
      </c>
      <c r="L132" s="225">
        <f>IFERROR(__xludf.DUMMYFUNCTION("""COMPUTED_VALUE"""),0.5448)</f>
        <v>0.5448</v>
      </c>
      <c r="M132" s="224">
        <f>IFERROR(__xludf.DUMMYFUNCTION("""COMPUTED_VALUE"""),720.0)</f>
        <v>720</v>
      </c>
      <c r="N132" s="225">
        <f>IFERROR(__xludf.DUMMYFUNCTION("""COMPUTED_VALUE"""),0.2802)</f>
        <v>0.2802</v>
      </c>
      <c r="O132" s="226">
        <f>IFERROR(__xludf.DUMMYFUNCTION("""COMPUTED_VALUE"""),0.0)</f>
        <v>0</v>
      </c>
      <c r="P132" s="226">
        <f>IFERROR(__xludf.DUMMYFUNCTION("""COMPUTED_VALUE"""),0.0)</f>
        <v>0</v>
      </c>
      <c r="Q132" s="225">
        <f>IFERROR(__xludf.DUMMYFUNCTION("""COMPUTED_VALUE"""),0.0)</f>
        <v>0</v>
      </c>
      <c r="R132" s="225">
        <f>IFERROR(__xludf.DUMMYFUNCTION("""COMPUTED_VALUE"""),0.0)</f>
        <v>0</v>
      </c>
      <c r="S132" s="226">
        <f>IFERROR(__xludf.DUMMYFUNCTION("""COMPUTED_VALUE"""),0.0)</f>
        <v>0</v>
      </c>
      <c r="T132" s="226">
        <f>IFERROR(__xludf.DUMMYFUNCTION("""COMPUTED_VALUE"""),0.0)</f>
        <v>0</v>
      </c>
      <c r="U132" s="224">
        <f>IFERROR(__xludf.DUMMYFUNCTION("""COMPUTED_VALUE"""),0.0)</f>
        <v>0</v>
      </c>
      <c r="V132" s="226" t="str">
        <f>IFERROR(__xludf.DUMMYFUNCTION("""COMPUTED_VALUE"""),"offline")</f>
        <v>offline</v>
      </c>
      <c r="W132" s="231" t="str">
        <f>IFERROR(__xludf.DUMMYFUNCTION("""COMPUTED_VALUE"""),"simple")</f>
        <v>simple</v>
      </c>
      <c r="X132" s="231" t="str">
        <f>IFERROR(__xludf.DUMMYFUNCTION("""COMPUTED_VALUE"""),"Generic")</f>
        <v>Generic</v>
      </c>
      <c r="Y132" s="231" t="str">
        <f>IFERROR(__xludf.DUMMYFUNCTION("""COMPUTED_VALUE"""),"20th - 23rd Feb")</f>
        <v>20th - 23rd Feb</v>
      </c>
      <c r="Z132" s="231" t="str">
        <f>IFERROR(__xludf.DUMMYFUNCTION("""COMPUTED_VALUE"""),"6997022dc16e2b203519d601")</f>
        <v>6997022dc16e2b203519d601</v>
      </c>
      <c r="AA132" s="229">
        <f>IFERROR(__xludf.DUMMYFUNCTION("""COMPUTED_VALUE"""),6.0)</f>
        <v>6</v>
      </c>
      <c r="AB132" s="229"/>
      <c r="AC132" s="229">
        <f>IFERROR(__xludf.DUMMYFUNCTION("""COMPUTED_VALUE"""),6.0)</f>
        <v>6</v>
      </c>
      <c r="AD132" s="229">
        <f>IFERROR(__xludf.DUMMYFUNCTION("""COMPUTED_VALUE"""),117513.0)</f>
        <v>117513</v>
      </c>
      <c r="AE132" s="229"/>
      <c r="AF132" s="229">
        <f>IFERROR(__xludf.DUMMYFUNCTION("""COMPUTED_VALUE"""),117513.0)</f>
        <v>117513</v>
      </c>
      <c r="AG132" s="208"/>
      <c r="AH132" s="208"/>
      <c r="AI132" s="208"/>
      <c r="AJ132" s="208"/>
      <c r="AK132" s="208"/>
    </row>
    <row r="133">
      <c r="A133" s="245">
        <f>IFERROR(__xludf.DUMMYFUNCTION("""COMPUTED_VALUE"""),46073.0)</f>
        <v>46073</v>
      </c>
      <c r="B133" s="244">
        <f>IFERROR(__xludf.DUMMYFUNCTION("""COMPUTED_VALUE"""),0.375)</f>
        <v>0.375</v>
      </c>
      <c r="C133" s="222" t="str">
        <f>IFERROR(__xludf.DUMMYFUNCTION("""COMPUTED_VALUE"""),"Whatsapp")</f>
        <v>Whatsapp</v>
      </c>
      <c r="D133" s="222" t="str">
        <f>IFERROR(__xludf.DUMMYFUNCTION("""COMPUTED_VALUE"""),"Promotional")</f>
        <v>Promotional</v>
      </c>
      <c r="E133" s="222" t="str">
        <f>IFERROR(__xludf.DUMMYFUNCTION("""COMPUTED_VALUE"""),"VS")</f>
        <v>VS</v>
      </c>
      <c r="F133" s="222" t="str">
        <f>IFERROR(__xludf.DUMMYFUNCTION("""COMPUTED_VALUE"""),"Store visit campaigns")</f>
        <v>Store visit campaigns</v>
      </c>
      <c r="G133" s="222" t="str">
        <f>IFERROR(__xludf.DUMMYFUNCTION("""COMPUTED_VALUE"""),"Store_Visit_Nexus_Kora")</f>
        <v>Store_Visit_Nexus_Kora</v>
      </c>
      <c r="H133" s="222" t="str">
        <f>IFERROR(__xludf.DUMMYFUNCTION("""COMPUTED_VALUE"""),"vs_off_txnstd_97012_feb2026")</f>
        <v>vs_off_txnstd_97012_feb2026</v>
      </c>
      <c r="I133" s="223" t="str">
        <f>IFERROR(__xludf.DUMMYFUNCTION("""COMPUTED_VALUE"""),"Customers who have shopped from Txn Store Code 97012 - VS NEXUS MALL  KORAMANGALA in last 36 months")</f>
        <v>Customers who have shopped from Txn Store Code 97012 - VS NEXUS MALL  KORAMANGALA in last 36 months</v>
      </c>
      <c r="J133" s="224">
        <f>IFERROR(__xludf.DUMMYFUNCTION("""COMPUTED_VALUE"""),7293.0)</f>
        <v>7293</v>
      </c>
      <c r="K133" s="224">
        <f>IFERROR(__xludf.DUMMYFUNCTION("""COMPUTED_VALUE"""),4623.0)</f>
        <v>4623</v>
      </c>
      <c r="L133" s="225">
        <f>IFERROR(__xludf.DUMMYFUNCTION("""COMPUTED_VALUE"""),0.6339)</f>
        <v>0.6339</v>
      </c>
      <c r="M133" s="224">
        <f>IFERROR(__xludf.DUMMYFUNCTION("""COMPUTED_VALUE"""),1165.0)</f>
        <v>1165</v>
      </c>
      <c r="N133" s="225">
        <f>IFERROR(__xludf.DUMMYFUNCTION("""COMPUTED_VALUE"""),0.2519)</f>
        <v>0.2519</v>
      </c>
      <c r="O133" s="226">
        <f>IFERROR(__xludf.DUMMYFUNCTION("""COMPUTED_VALUE"""),0.0)</f>
        <v>0</v>
      </c>
      <c r="P133" s="226">
        <f>IFERROR(__xludf.DUMMYFUNCTION("""COMPUTED_VALUE"""),0.0)</f>
        <v>0</v>
      </c>
      <c r="Q133" s="225">
        <f>IFERROR(__xludf.DUMMYFUNCTION("""COMPUTED_VALUE"""),0.0)</f>
        <v>0</v>
      </c>
      <c r="R133" s="225">
        <f>IFERROR(__xludf.DUMMYFUNCTION("""COMPUTED_VALUE"""),0.0)</f>
        <v>0</v>
      </c>
      <c r="S133" s="226">
        <f>IFERROR(__xludf.DUMMYFUNCTION("""COMPUTED_VALUE"""),0.0)</f>
        <v>0</v>
      </c>
      <c r="T133" s="226">
        <f>IFERROR(__xludf.DUMMYFUNCTION("""COMPUTED_VALUE"""),1.0)</f>
        <v>1</v>
      </c>
      <c r="U133" s="224">
        <f>IFERROR(__xludf.DUMMYFUNCTION("""COMPUTED_VALUE"""),0.0)</f>
        <v>0</v>
      </c>
      <c r="V133" s="226" t="str">
        <f>IFERROR(__xludf.DUMMYFUNCTION("""COMPUTED_VALUE"""),"offline")</f>
        <v>offline</v>
      </c>
      <c r="W133" s="231" t="str">
        <f>IFERROR(__xludf.DUMMYFUNCTION("""COMPUTED_VALUE"""),"simple")</f>
        <v>simple</v>
      </c>
      <c r="X133" s="231" t="str">
        <f>IFERROR(__xludf.DUMMYFUNCTION("""COMPUTED_VALUE"""),"Generic")</f>
        <v>Generic</v>
      </c>
      <c r="Y133" s="231" t="str">
        <f>IFERROR(__xludf.DUMMYFUNCTION("""COMPUTED_VALUE"""),"20th - 23rd Feb")</f>
        <v>20th - 23rd Feb</v>
      </c>
      <c r="Z133" s="231" t="str">
        <f>IFERROR(__xludf.DUMMYFUNCTION("""COMPUTED_VALUE"""),"6997028a1ecd9e2bc3c31699")</f>
        <v>6997028a1ecd9e2bc3c31699</v>
      </c>
      <c r="AA133" s="229">
        <f>IFERROR(__xludf.DUMMYFUNCTION("""COMPUTED_VALUE"""),3.0)</f>
        <v>3</v>
      </c>
      <c r="AB133" s="229"/>
      <c r="AC133" s="229">
        <f>IFERROR(__xludf.DUMMYFUNCTION("""COMPUTED_VALUE"""),3.0)</f>
        <v>3</v>
      </c>
      <c r="AD133" s="229">
        <f>IFERROR(__xludf.DUMMYFUNCTION("""COMPUTED_VALUE"""),15297.0)</f>
        <v>15297</v>
      </c>
      <c r="AE133" s="229"/>
      <c r="AF133" s="229">
        <f>IFERROR(__xludf.DUMMYFUNCTION("""COMPUTED_VALUE"""),15297.0)</f>
        <v>15297</v>
      </c>
      <c r="AG133" s="208"/>
      <c r="AH133" s="208"/>
      <c r="AI133" s="208"/>
      <c r="AJ133" s="208"/>
      <c r="AK133" s="208"/>
    </row>
    <row r="134">
      <c r="A134" s="245">
        <f>IFERROR(__xludf.DUMMYFUNCTION("""COMPUTED_VALUE"""),46073.0)</f>
        <v>46073</v>
      </c>
      <c r="B134" s="244">
        <f>IFERROR(__xludf.DUMMYFUNCTION("""COMPUTED_VALUE"""),0.37847222222262644)</f>
        <v>0.3784722222</v>
      </c>
      <c r="C134" s="222" t="str">
        <f>IFERROR(__xludf.DUMMYFUNCTION("""COMPUTED_VALUE"""),"Whatsapp")</f>
        <v>Whatsapp</v>
      </c>
      <c r="D134" s="222" t="str">
        <f>IFERROR(__xludf.DUMMYFUNCTION("""COMPUTED_VALUE"""),"Promotional")</f>
        <v>Promotional</v>
      </c>
      <c r="E134" s="222" t="str">
        <f>IFERROR(__xludf.DUMMYFUNCTION("""COMPUTED_VALUE"""),"VS")</f>
        <v>VS</v>
      </c>
      <c r="F134" s="222" t="str">
        <f>IFERROR(__xludf.DUMMYFUNCTION("""COMPUTED_VALUE"""),"Store visit campaigns")</f>
        <v>Store visit campaigns</v>
      </c>
      <c r="G134" s="222" t="str">
        <f>IFERROR(__xludf.DUMMYFUNCTION("""COMPUTED_VALUE"""),"Store_Visit_Inorbit_HYD")</f>
        <v>Store_Visit_Inorbit_HYD</v>
      </c>
      <c r="H134" s="222" t="str">
        <f>IFERROR(__xludf.DUMMYFUNCTION("""COMPUTED_VALUE"""),"vs_off_txnstd_97006_feb2026")</f>
        <v>vs_off_txnstd_97006_feb2026</v>
      </c>
      <c r="I134" s="223" t="str">
        <f>IFERROR(__xludf.DUMMYFUNCTION("""COMPUTED_VALUE"""),"Customers who have shopped from Txn Store Code 97006 - VS INORBIT HYDERABAD MALL in last 36 months")</f>
        <v>Customers who have shopped from Txn Store Code 97006 - VS INORBIT HYDERABAD MALL in last 36 months</v>
      </c>
      <c r="J134" s="224">
        <f>IFERROR(__xludf.DUMMYFUNCTION("""COMPUTED_VALUE"""),11706.0)</f>
        <v>11706</v>
      </c>
      <c r="K134" s="224">
        <f>IFERROR(__xludf.DUMMYFUNCTION("""COMPUTED_VALUE"""),7109.0)</f>
        <v>7109</v>
      </c>
      <c r="L134" s="225">
        <f>IFERROR(__xludf.DUMMYFUNCTION("""COMPUTED_VALUE"""),0.6073)</f>
        <v>0.6073</v>
      </c>
      <c r="M134" s="224">
        <f>IFERROR(__xludf.DUMMYFUNCTION("""COMPUTED_VALUE"""),1971.0)</f>
        <v>1971</v>
      </c>
      <c r="N134" s="225">
        <f>IFERROR(__xludf.DUMMYFUNCTION("""COMPUTED_VALUE"""),0.2773)</f>
        <v>0.2773</v>
      </c>
      <c r="O134" s="226">
        <f>IFERROR(__xludf.DUMMYFUNCTION("""COMPUTED_VALUE"""),0.0)</f>
        <v>0</v>
      </c>
      <c r="P134" s="226">
        <f>IFERROR(__xludf.DUMMYFUNCTION("""COMPUTED_VALUE"""),0.0)</f>
        <v>0</v>
      </c>
      <c r="Q134" s="225">
        <f>IFERROR(__xludf.DUMMYFUNCTION("""COMPUTED_VALUE"""),0.0)</f>
        <v>0</v>
      </c>
      <c r="R134" s="225">
        <f>IFERROR(__xludf.DUMMYFUNCTION("""COMPUTED_VALUE"""),0.0)</f>
        <v>0</v>
      </c>
      <c r="S134" s="226">
        <f>IFERROR(__xludf.DUMMYFUNCTION("""COMPUTED_VALUE"""),2.0)</f>
        <v>2</v>
      </c>
      <c r="T134" s="226">
        <f>IFERROR(__xludf.DUMMYFUNCTION("""COMPUTED_VALUE"""),5.0)</f>
        <v>5</v>
      </c>
      <c r="U134" s="224">
        <f>IFERROR(__xludf.DUMMYFUNCTION("""COMPUTED_VALUE"""),13572.0)</f>
        <v>13572</v>
      </c>
      <c r="V134" s="226" t="str">
        <f>IFERROR(__xludf.DUMMYFUNCTION("""COMPUTED_VALUE"""),"offline")</f>
        <v>offline</v>
      </c>
      <c r="W134" s="231" t="str">
        <f>IFERROR(__xludf.DUMMYFUNCTION("""COMPUTED_VALUE"""),"simple")</f>
        <v>simple</v>
      </c>
      <c r="X134" s="231" t="str">
        <f>IFERROR(__xludf.DUMMYFUNCTION("""COMPUTED_VALUE"""),"Generic")</f>
        <v>Generic</v>
      </c>
      <c r="Y134" s="231" t="str">
        <f>IFERROR(__xludf.DUMMYFUNCTION("""COMPUTED_VALUE"""),"20th - 23rd Feb")</f>
        <v>20th - 23rd Feb</v>
      </c>
      <c r="Z134" s="231" t="str">
        <f>IFERROR(__xludf.DUMMYFUNCTION("""COMPUTED_VALUE"""),"699702e45aa83bd7c85f3219")</f>
        <v>699702e45aa83bd7c85f3219</v>
      </c>
      <c r="AA134" s="229">
        <f>IFERROR(__xludf.DUMMYFUNCTION("""COMPUTED_VALUE"""),4.0)</f>
        <v>4</v>
      </c>
      <c r="AB134" s="229"/>
      <c r="AC134" s="229">
        <f>IFERROR(__xludf.DUMMYFUNCTION("""COMPUTED_VALUE"""),4.0)</f>
        <v>4</v>
      </c>
      <c r="AD134" s="229">
        <f>IFERROR(__xludf.DUMMYFUNCTION("""COMPUTED_VALUE"""),55688.0)</f>
        <v>55688</v>
      </c>
      <c r="AE134" s="229"/>
      <c r="AF134" s="229">
        <f>IFERROR(__xludf.DUMMYFUNCTION("""COMPUTED_VALUE"""),55688.0)</f>
        <v>55688</v>
      </c>
      <c r="AG134" s="208"/>
      <c r="AH134" s="208"/>
      <c r="AI134" s="208"/>
      <c r="AJ134" s="208"/>
      <c r="AK134" s="208"/>
    </row>
    <row r="135">
      <c r="A135" s="245">
        <f>IFERROR(__xludf.DUMMYFUNCTION("""COMPUTED_VALUE"""),46073.0)</f>
        <v>46073</v>
      </c>
      <c r="B135" s="244">
        <f>IFERROR(__xludf.DUMMYFUNCTION("""COMPUTED_VALUE"""),0.3993055555547471)</f>
        <v>0.3993055556</v>
      </c>
      <c r="C135" s="222" t="str">
        <f>IFERROR(__xludf.DUMMYFUNCTION("""COMPUTED_VALUE"""),"Whatsapp")</f>
        <v>Whatsapp</v>
      </c>
      <c r="D135" s="222" t="str">
        <f>IFERROR(__xludf.DUMMYFUNCTION("""COMPUTED_VALUE"""),"Promotional")</f>
        <v>Promotional</v>
      </c>
      <c r="E135" s="222" t="str">
        <f>IFERROR(__xludf.DUMMYFUNCTION("""COMPUTED_VALUE"""),"VS")</f>
        <v>VS</v>
      </c>
      <c r="F135" s="222" t="str">
        <f>IFERROR(__xludf.DUMMYFUNCTION("""COMPUTED_VALUE"""),"Store visit campaigns")</f>
        <v>Store visit campaigns</v>
      </c>
      <c r="G135" s="222" t="str">
        <f>IFERROR(__xludf.DUMMYFUNCTION("""COMPUTED_VALUE"""),"Store_Visit_Elegante_Delhi")</f>
        <v>Store_Visit_Elegante_Delhi</v>
      </c>
      <c r="H135" s="222" t="str">
        <f>IFERROR(__xludf.DUMMYFUNCTION("""COMPUTED_VALUE"""),"vs_off_txnstd_1251_feb2026")</f>
        <v>vs_off_txnstd_1251_feb2026</v>
      </c>
      <c r="I135" s="223" t="str">
        <f>IFERROR(__xludf.DUMMYFUNCTION("""COMPUTED_VALUE"""),"Customers who have shopped from Txn Store Code 1251 - VS ELEGANTE DELHI in last 36 months")</f>
        <v>Customers who have shopped from Txn Store Code 1251 - VS ELEGANTE DELHI in last 36 months</v>
      </c>
      <c r="J135" s="224">
        <f>IFERROR(__xludf.DUMMYFUNCTION("""COMPUTED_VALUE"""),2863.0)</f>
        <v>2863</v>
      </c>
      <c r="K135" s="224">
        <f>IFERROR(__xludf.DUMMYFUNCTION("""COMPUTED_VALUE"""),1890.0)</f>
        <v>1890</v>
      </c>
      <c r="L135" s="225">
        <f>IFERROR(__xludf.DUMMYFUNCTION("""COMPUTED_VALUE"""),0.6601)</f>
        <v>0.6601</v>
      </c>
      <c r="M135" s="224">
        <f>IFERROR(__xludf.DUMMYFUNCTION("""COMPUTED_VALUE"""),587.0)</f>
        <v>587</v>
      </c>
      <c r="N135" s="225">
        <f>IFERROR(__xludf.DUMMYFUNCTION("""COMPUTED_VALUE"""),0.3106)</f>
        <v>0.3106</v>
      </c>
      <c r="O135" s="226">
        <f>IFERROR(__xludf.DUMMYFUNCTION("""COMPUTED_VALUE"""),0.0)</f>
        <v>0</v>
      </c>
      <c r="P135" s="226">
        <f>IFERROR(__xludf.DUMMYFUNCTION("""COMPUTED_VALUE"""),0.0)</f>
        <v>0</v>
      </c>
      <c r="Q135" s="225">
        <f>IFERROR(__xludf.DUMMYFUNCTION("""COMPUTED_VALUE"""),0.0)</f>
        <v>0</v>
      </c>
      <c r="R135" s="225">
        <f>IFERROR(__xludf.DUMMYFUNCTION("""COMPUTED_VALUE"""),0.0)</f>
        <v>0</v>
      </c>
      <c r="S135" s="226">
        <f>IFERROR(__xludf.DUMMYFUNCTION("""COMPUTED_VALUE"""),0.0)</f>
        <v>0</v>
      </c>
      <c r="T135" s="226">
        <f>IFERROR(__xludf.DUMMYFUNCTION("""COMPUTED_VALUE"""),1.0)</f>
        <v>1</v>
      </c>
      <c r="U135" s="224">
        <f>IFERROR(__xludf.DUMMYFUNCTION("""COMPUTED_VALUE"""),0.0)</f>
        <v>0</v>
      </c>
      <c r="V135" s="226" t="str">
        <f>IFERROR(__xludf.DUMMYFUNCTION("""COMPUTED_VALUE"""),"offline")</f>
        <v>offline</v>
      </c>
      <c r="W135" s="231" t="str">
        <f>IFERROR(__xludf.DUMMYFUNCTION("""COMPUTED_VALUE"""),"simple")</f>
        <v>simple</v>
      </c>
      <c r="X135" s="231" t="str">
        <f>IFERROR(__xludf.DUMMYFUNCTION("""COMPUTED_VALUE"""),"Generic")</f>
        <v>Generic</v>
      </c>
      <c r="Y135" s="231" t="str">
        <f>IFERROR(__xludf.DUMMYFUNCTION("""COMPUTED_VALUE"""),"20th - 23rd Feb")</f>
        <v>20th - 23rd Feb</v>
      </c>
      <c r="Z135" s="231" t="str">
        <f>IFERROR(__xludf.DUMMYFUNCTION("""COMPUTED_VALUE"""),"6997037a9e558825bc5611c4")</f>
        <v>6997037a9e558825bc5611c4</v>
      </c>
      <c r="AA135" s="229">
        <f>IFERROR(__xludf.DUMMYFUNCTION("""COMPUTED_VALUE"""),0.0)</f>
        <v>0</v>
      </c>
      <c r="AB135" s="229"/>
      <c r="AC135" s="229">
        <f>IFERROR(__xludf.DUMMYFUNCTION("""COMPUTED_VALUE"""),0.0)</f>
        <v>0</v>
      </c>
      <c r="AD135" s="229">
        <f>IFERROR(__xludf.DUMMYFUNCTION("""COMPUTED_VALUE"""),0.0)</f>
        <v>0</v>
      </c>
      <c r="AE135" s="229"/>
      <c r="AF135" s="229">
        <f>IFERROR(__xludf.DUMMYFUNCTION("""COMPUTED_VALUE"""),0.0)</f>
        <v>0</v>
      </c>
      <c r="AG135" s="208"/>
      <c r="AH135" s="208"/>
      <c r="AI135" s="208"/>
      <c r="AJ135" s="208"/>
      <c r="AK135" s="208"/>
    </row>
    <row r="136">
      <c r="A136" s="245">
        <f>IFERROR(__xludf.DUMMYFUNCTION("""COMPUTED_VALUE"""),46073.0)</f>
        <v>46073</v>
      </c>
      <c r="B136" s="244">
        <f>IFERROR(__xludf.DUMMYFUNCTION("""COMPUTED_VALUE"""),0.3819444444452529)</f>
        <v>0.3819444444</v>
      </c>
      <c r="C136" s="222" t="str">
        <f>IFERROR(__xludf.DUMMYFUNCTION("""COMPUTED_VALUE"""),"Whatsapp")</f>
        <v>Whatsapp</v>
      </c>
      <c r="D136" s="222" t="str">
        <f>IFERROR(__xludf.DUMMYFUNCTION("""COMPUTED_VALUE"""),"Promotional")</f>
        <v>Promotional</v>
      </c>
      <c r="E136" s="222" t="str">
        <f>IFERROR(__xludf.DUMMYFUNCTION("""COMPUTED_VALUE"""),"VS")</f>
        <v>VS</v>
      </c>
      <c r="F136" s="222" t="str">
        <f>IFERROR(__xludf.DUMMYFUNCTION("""COMPUTED_VALUE"""),"Store visit campaigns")</f>
        <v>Store visit campaigns</v>
      </c>
      <c r="G136" s="222" t="str">
        <f>IFERROR(__xludf.DUMMYFUNCTION("""COMPUTED_VALUE"""),"Store_Visit_Nexus_Sujana_HYD")</f>
        <v>Store_Visit_Nexus_Sujana_HYD</v>
      </c>
      <c r="H136" s="222" t="str">
        <f>IFERROR(__xludf.DUMMYFUNCTION("""COMPUTED_VALUE"""),"vs_off_txnstd_97013_feb2026")</f>
        <v>vs_off_txnstd_97013_feb2026</v>
      </c>
      <c r="I136" s="223" t="str">
        <f>IFERROR(__xludf.DUMMYFUNCTION("""COMPUTED_VALUE"""),"Customers who have shopped from Txn Store Code 97013 - VS NEXUS MALL  SUJANA in last 36 months")</f>
        <v>Customers who have shopped from Txn Store Code 97013 - VS NEXUS MALL  SUJANA in last 36 months</v>
      </c>
      <c r="J136" s="224">
        <f>IFERROR(__xludf.DUMMYFUNCTION("""COMPUTED_VALUE"""),3297.0)</f>
        <v>3297</v>
      </c>
      <c r="K136" s="224">
        <f>IFERROR(__xludf.DUMMYFUNCTION("""COMPUTED_VALUE"""),2149.0)</f>
        <v>2149</v>
      </c>
      <c r="L136" s="225">
        <f>IFERROR(__xludf.DUMMYFUNCTION("""COMPUTED_VALUE"""),0.6518)</f>
        <v>0.6518</v>
      </c>
      <c r="M136" s="224">
        <f>IFERROR(__xludf.DUMMYFUNCTION("""COMPUTED_VALUE"""),685.0)</f>
        <v>685</v>
      </c>
      <c r="N136" s="225">
        <f>IFERROR(__xludf.DUMMYFUNCTION("""COMPUTED_VALUE"""),0.3186)</f>
        <v>0.3186</v>
      </c>
      <c r="O136" s="226">
        <f>IFERROR(__xludf.DUMMYFUNCTION("""COMPUTED_VALUE"""),0.0)</f>
        <v>0</v>
      </c>
      <c r="P136" s="226">
        <f>IFERROR(__xludf.DUMMYFUNCTION("""COMPUTED_VALUE"""),0.0)</f>
        <v>0</v>
      </c>
      <c r="Q136" s="225">
        <f>IFERROR(__xludf.DUMMYFUNCTION("""COMPUTED_VALUE"""),0.0)</f>
        <v>0</v>
      </c>
      <c r="R136" s="225">
        <f>IFERROR(__xludf.DUMMYFUNCTION("""COMPUTED_VALUE"""),0.0)</f>
        <v>0</v>
      </c>
      <c r="S136" s="226">
        <f>IFERROR(__xludf.DUMMYFUNCTION("""COMPUTED_VALUE"""),0.0)</f>
        <v>0</v>
      </c>
      <c r="T136" s="226">
        <f>IFERROR(__xludf.DUMMYFUNCTION("""COMPUTED_VALUE"""),0.0)</f>
        <v>0</v>
      </c>
      <c r="U136" s="224">
        <f>IFERROR(__xludf.DUMMYFUNCTION("""COMPUTED_VALUE"""),0.0)</f>
        <v>0</v>
      </c>
      <c r="V136" s="226" t="str">
        <f>IFERROR(__xludf.DUMMYFUNCTION("""COMPUTED_VALUE"""),"offline")</f>
        <v>offline</v>
      </c>
      <c r="W136" s="231" t="str">
        <f>IFERROR(__xludf.DUMMYFUNCTION("""COMPUTED_VALUE"""),"simple")</f>
        <v>simple</v>
      </c>
      <c r="X136" s="231" t="str">
        <f>IFERROR(__xludf.DUMMYFUNCTION("""COMPUTED_VALUE"""),"Generic")</f>
        <v>Generic</v>
      </c>
      <c r="Y136" s="231" t="str">
        <f>IFERROR(__xludf.DUMMYFUNCTION("""COMPUTED_VALUE"""),"20th - 23rd Feb")</f>
        <v>20th - 23rd Feb</v>
      </c>
      <c r="Z136" s="231" t="str">
        <f>IFERROR(__xludf.DUMMYFUNCTION("""COMPUTED_VALUE"""),"699703eded862856fcf0f2d8")</f>
        <v>699703eded862856fcf0f2d8</v>
      </c>
      <c r="AA136" s="229">
        <f>IFERROR(__xludf.DUMMYFUNCTION("""COMPUTED_VALUE"""),4.0)</f>
        <v>4</v>
      </c>
      <c r="AB136" s="229"/>
      <c r="AC136" s="229">
        <f>IFERROR(__xludf.DUMMYFUNCTION("""COMPUTED_VALUE"""),4.0)</f>
        <v>4</v>
      </c>
      <c r="AD136" s="229">
        <f>IFERROR(__xludf.DUMMYFUNCTION("""COMPUTED_VALUE"""),38989.0)</f>
        <v>38989</v>
      </c>
      <c r="AE136" s="229"/>
      <c r="AF136" s="229">
        <f>IFERROR(__xludf.DUMMYFUNCTION("""COMPUTED_VALUE"""),38989.0)</f>
        <v>38989</v>
      </c>
      <c r="AG136" s="208"/>
      <c r="AH136" s="208"/>
      <c r="AI136" s="208"/>
      <c r="AJ136" s="208"/>
      <c r="AK136" s="208"/>
    </row>
    <row r="137">
      <c r="A137" s="245">
        <f>IFERROR(__xludf.DUMMYFUNCTION("""COMPUTED_VALUE"""),46073.0)</f>
        <v>46073</v>
      </c>
      <c r="B137" s="244">
        <f>IFERROR(__xludf.DUMMYFUNCTION("""COMPUTED_VALUE"""),0.3854166666678793)</f>
        <v>0.3854166667</v>
      </c>
      <c r="C137" s="222" t="str">
        <f>IFERROR(__xludf.DUMMYFUNCTION("""COMPUTED_VALUE"""),"Whatsapp")</f>
        <v>Whatsapp</v>
      </c>
      <c r="D137" s="222" t="str">
        <f>IFERROR(__xludf.DUMMYFUNCTION("""COMPUTED_VALUE"""),"Promotional")</f>
        <v>Promotional</v>
      </c>
      <c r="E137" s="222" t="str">
        <f>IFERROR(__xludf.DUMMYFUNCTION("""COMPUTED_VALUE"""),"VS")</f>
        <v>VS</v>
      </c>
      <c r="F137" s="222" t="str">
        <f>IFERROR(__xludf.DUMMYFUNCTION("""COMPUTED_VALUE"""),"Store visit campaigns")</f>
        <v>Store visit campaigns</v>
      </c>
      <c r="G137" s="222" t="str">
        <f>IFERROR(__xludf.DUMMYFUNCTION("""COMPUTED_VALUE"""),"Store_Visit_Lakeshore_HYD")</f>
        <v>Store_Visit_Lakeshore_HYD</v>
      </c>
      <c r="H137" s="222" t="str">
        <f>IFERROR(__xludf.DUMMYFUNCTION("""COMPUTED_VALUE"""),"vs_off_txnstd_1280_feb2026")</f>
        <v>vs_off_txnstd_1280_feb2026</v>
      </c>
      <c r="I137" s="223" t="str">
        <f>IFERROR(__xludf.DUMMYFUNCTION("""COMPUTED_VALUE"""),"Customers who have shopped from Txn Store Code 1280 - VS LAKESHORE HYDERABAD in last 36 months")</f>
        <v>Customers who have shopped from Txn Store Code 1280 - VS LAKESHORE HYDERABAD in last 36 months</v>
      </c>
      <c r="J137" s="224">
        <f>IFERROR(__xludf.DUMMYFUNCTION("""COMPUTED_VALUE"""),746.0)</f>
        <v>746</v>
      </c>
      <c r="K137" s="224">
        <f>IFERROR(__xludf.DUMMYFUNCTION("""COMPUTED_VALUE"""),530.0)</f>
        <v>530</v>
      </c>
      <c r="L137" s="225">
        <f>IFERROR(__xludf.DUMMYFUNCTION("""COMPUTED_VALUE"""),0.7105)</f>
        <v>0.7105</v>
      </c>
      <c r="M137" s="224">
        <f>IFERROR(__xludf.DUMMYFUNCTION("""COMPUTED_VALUE"""),223.0)</f>
        <v>223</v>
      </c>
      <c r="N137" s="225">
        <f>IFERROR(__xludf.DUMMYFUNCTION("""COMPUTED_VALUE"""),0.4208)</f>
        <v>0.4208</v>
      </c>
      <c r="O137" s="226">
        <f>IFERROR(__xludf.DUMMYFUNCTION("""COMPUTED_VALUE"""),0.0)</f>
        <v>0</v>
      </c>
      <c r="P137" s="226">
        <f>IFERROR(__xludf.DUMMYFUNCTION("""COMPUTED_VALUE"""),0.0)</f>
        <v>0</v>
      </c>
      <c r="Q137" s="225">
        <f>IFERROR(__xludf.DUMMYFUNCTION("""COMPUTED_VALUE"""),0.0)</f>
        <v>0</v>
      </c>
      <c r="R137" s="225">
        <f>IFERROR(__xludf.DUMMYFUNCTION("""COMPUTED_VALUE"""),0.0)</f>
        <v>0</v>
      </c>
      <c r="S137" s="226">
        <f>IFERROR(__xludf.DUMMYFUNCTION("""COMPUTED_VALUE"""),0.0)</f>
        <v>0</v>
      </c>
      <c r="T137" s="226">
        <f>IFERROR(__xludf.DUMMYFUNCTION("""COMPUTED_VALUE"""),0.0)</f>
        <v>0</v>
      </c>
      <c r="U137" s="224">
        <f>IFERROR(__xludf.DUMMYFUNCTION("""COMPUTED_VALUE"""),0.0)</f>
        <v>0</v>
      </c>
      <c r="V137" s="226" t="str">
        <f>IFERROR(__xludf.DUMMYFUNCTION("""COMPUTED_VALUE"""),"offline")</f>
        <v>offline</v>
      </c>
      <c r="W137" s="231" t="str">
        <f>IFERROR(__xludf.DUMMYFUNCTION("""COMPUTED_VALUE"""),"simple")</f>
        <v>simple</v>
      </c>
      <c r="X137" s="231" t="str">
        <f>IFERROR(__xludf.DUMMYFUNCTION("""COMPUTED_VALUE"""),"Generic")</f>
        <v>Generic</v>
      </c>
      <c r="Y137" s="231" t="str">
        <f>IFERROR(__xludf.DUMMYFUNCTION("""COMPUTED_VALUE"""),"20th - 23rd Feb")</f>
        <v>20th - 23rd Feb</v>
      </c>
      <c r="Z137" s="231" t="str">
        <f>IFERROR(__xludf.DUMMYFUNCTION("""COMPUTED_VALUE"""),"699709f035043e11e995d832")</f>
        <v>699709f035043e11e995d832</v>
      </c>
      <c r="AA137" s="229">
        <f>IFERROR(__xludf.DUMMYFUNCTION("""COMPUTED_VALUE"""),0.0)</f>
        <v>0</v>
      </c>
      <c r="AB137" s="229"/>
      <c r="AC137" s="229">
        <f>IFERROR(__xludf.DUMMYFUNCTION("""COMPUTED_VALUE"""),0.0)</f>
        <v>0</v>
      </c>
      <c r="AD137" s="229">
        <f>IFERROR(__xludf.DUMMYFUNCTION("""COMPUTED_VALUE"""),0.0)</f>
        <v>0</v>
      </c>
      <c r="AE137" s="229"/>
      <c r="AF137" s="229">
        <f>IFERROR(__xludf.DUMMYFUNCTION("""COMPUTED_VALUE"""),0.0)</f>
        <v>0</v>
      </c>
      <c r="AG137" s="208"/>
      <c r="AH137" s="208"/>
      <c r="AI137" s="208"/>
      <c r="AJ137" s="208"/>
      <c r="AK137" s="208"/>
    </row>
    <row r="138">
      <c r="A138" s="245">
        <f>IFERROR(__xludf.DUMMYFUNCTION("""COMPUTED_VALUE"""),46073.0)</f>
        <v>46073</v>
      </c>
      <c r="B138" s="244">
        <f>IFERROR(__xludf.DUMMYFUNCTION("""COMPUTED_VALUE"""),0.38888888889050577)</f>
        <v>0.3888888889</v>
      </c>
      <c r="C138" s="222" t="str">
        <f>IFERROR(__xludf.DUMMYFUNCTION("""COMPUTED_VALUE"""),"Whatsapp")</f>
        <v>Whatsapp</v>
      </c>
      <c r="D138" s="222" t="str">
        <f>IFERROR(__xludf.DUMMYFUNCTION("""COMPUTED_VALUE"""),"Promotional")</f>
        <v>Promotional</v>
      </c>
      <c r="E138" s="222" t="str">
        <f>IFERROR(__xludf.DUMMYFUNCTION("""COMPUTED_VALUE"""),"VS")</f>
        <v>VS</v>
      </c>
      <c r="F138" s="222" t="str">
        <f>IFERROR(__xludf.DUMMYFUNCTION("""COMPUTED_VALUE"""),"Store visit campaigns")</f>
        <v>Store visit campaigns</v>
      </c>
      <c r="G138" s="222" t="str">
        <f>IFERROR(__xludf.DUMMYFUNCTION("""COMPUTED_VALUE"""),"Store_Visit_EA_Chennai")</f>
        <v>Store_Visit_EA_Chennai</v>
      </c>
      <c r="H138" s="222" t="str">
        <f>IFERROR(__xludf.DUMMYFUNCTION("""COMPUTED_VALUE"""),"vs_off_txnstd_1252_feb2026")</f>
        <v>vs_off_txnstd_1252_feb2026</v>
      </c>
      <c r="I138" s="223" t="str">
        <f>IFERROR(__xludf.DUMMYFUNCTION("""COMPUTED_VALUE"""),"Customers who have shopped from Txn Store Code 1252 - VS BA EXPRESS AVENUE CHENNAI in last 36 months")</f>
        <v>Customers who have shopped from Txn Store Code 1252 - VS BA EXPRESS AVENUE CHENNAI in last 36 months</v>
      </c>
      <c r="J138" s="224">
        <f>IFERROR(__xludf.DUMMYFUNCTION("""COMPUTED_VALUE"""),3509.0)</f>
        <v>3509</v>
      </c>
      <c r="K138" s="224">
        <f>IFERROR(__xludf.DUMMYFUNCTION("""COMPUTED_VALUE"""),2226.0)</f>
        <v>2226</v>
      </c>
      <c r="L138" s="225">
        <f>IFERROR(__xludf.DUMMYFUNCTION("""COMPUTED_VALUE"""),0.6344)</f>
        <v>0.6344</v>
      </c>
      <c r="M138" s="224">
        <f>IFERROR(__xludf.DUMMYFUNCTION("""COMPUTED_VALUE"""),649.0)</f>
        <v>649</v>
      </c>
      <c r="N138" s="225">
        <f>IFERROR(__xludf.DUMMYFUNCTION("""COMPUTED_VALUE"""),0.2916)</f>
        <v>0.2916</v>
      </c>
      <c r="O138" s="226">
        <f>IFERROR(__xludf.DUMMYFUNCTION("""COMPUTED_VALUE"""),0.0)</f>
        <v>0</v>
      </c>
      <c r="P138" s="226">
        <f>IFERROR(__xludf.DUMMYFUNCTION("""COMPUTED_VALUE"""),0.0)</f>
        <v>0</v>
      </c>
      <c r="Q138" s="225">
        <f>IFERROR(__xludf.DUMMYFUNCTION("""COMPUTED_VALUE"""),0.0)</f>
        <v>0</v>
      </c>
      <c r="R138" s="225">
        <f>IFERROR(__xludf.DUMMYFUNCTION("""COMPUTED_VALUE"""),0.0)</f>
        <v>0</v>
      </c>
      <c r="S138" s="226">
        <f>IFERROR(__xludf.DUMMYFUNCTION("""COMPUTED_VALUE"""),0.0)</f>
        <v>0</v>
      </c>
      <c r="T138" s="226">
        <f>IFERROR(__xludf.DUMMYFUNCTION("""COMPUTED_VALUE"""),0.0)</f>
        <v>0</v>
      </c>
      <c r="U138" s="224">
        <f>IFERROR(__xludf.DUMMYFUNCTION("""COMPUTED_VALUE"""),0.0)</f>
        <v>0</v>
      </c>
      <c r="V138" s="226" t="str">
        <f>IFERROR(__xludf.DUMMYFUNCTION("""COMPUTED_VALUE"""),"offline")</f>
        <v>offline</v>
      </c>
      <c r="W138" s="231" t="str">
        <f>IFERROR(__xludf.DUMMYFUNCTION("""COMPUTED_VALUE"""),"simple")</f>
        <v>simple</v>
      </c>
      <c r="X138" s="231" t="str">
        <f>IFERROR(__xludf.DUMMYFUNCTION("""COMPUTED_VALUE"""),"Generic")</f>
        <v>Generic</v>
      </c>
      <c r="Y138" s="231" t="str">
        <f>IFERROR(__xludf.DUMMYFUNCTION("""COMPUTED_VALUE"""),"20th - 23rd Feb")</f>
        <v>20th - 23rd Feb</v>
      </c>
      <c r="Z138" s="231" t="str">
        <f>IFERROR(__xludf.DUMMYFUNCTION("""COMPUTED_VALUE"""),"69970ad9a831b5238fb09c53")</f>
        <v>69970ad9a831b5238fb09c53</v>
      </c>
      <c r="AA138" s="229">
        <f>IFERROR(__xludf.DUMMYFUNCTION("""COMPUTED_VALUE"""),5.0)</f>
        <v>5</v>
      </c>
      <c r="AB138" s="229"/>
      <c r="AC138" s="229">
        <f>IFERROR(__xludf.DUMMYFUNCTION("""COMPUTED_VALUE"""),5.0)</f>
        <v>5</v>
      </c>
      <c r="AD138" s="229">
        <f>IFERROR(__xludf.DUMMYFUNCTION("""COMPUTED_VALUE"""),49888.0)</f>
        <v>49888</v>
      </c>
      <c r="AE138" s="229"/>
      <c r="AF138" s="229">
        <f>IFERROR(__xludf.DUMMYFUNCTION("""COMPUTED_VALUE"""),49888.0)</f>
        <v>49888</v>
      </c>
      <c r="AG138" s="208"/>
      <c r="AH138" s="208"/>
      <c r="AI138" s="208"/>
      <c r="AJ138" s="208"/>
      <c r="AK138" s="208"/>
    </row>
    <row r="139">
      <c r="A139" s="245">
        <f>IFERROR(__xludf.DUMMYFUNCTION("""COMPUTED_VALUE"""),46073.0)</f>
        <v>46073</v>
      </c>
      <c r="B139" s="244">
        <f>IFERROR(__xludf.DUMMYFUNCTION("""COMPUTED_VALUE"""),0.39236111110949423)</f>
        <v>0.3923611111</v>
      </c>
      <c r="C139" s="222" t="str">
        <f>IFERROR(__xludf.DUMMYFUNCTION("""COMPUTED_VALUE"""),"Whatsapp")</f>
        <v>Whatsapp</v>
      </c>
      <c r="D139" s="222" t="str">
        <f>IFERROR(__xludf.DUMMYFUNCTION("""COMPUTED_VALUE"""),"Promotional")</f>
        <v>Promotional</v>
      </c>
      <c r="E139" s="222" t="str">
        <f>IFERROR(__xludf.DUMMYFUNCTION("""COMPUTED_VALUE"""),"VS")</f>
        <v>VS</v>
      </c>
      <c r="F139" s="222" t="str">
        <f>IFERROR(__xludf.DUMMYFUNCTION("""COMPUTED_VALUE"""),"Store visit campaigns")</f>
        <v>Store visit campaigns</v>
      </c>
      <c r="G139" s="222" t="str">
        <f>IFERROR(__xludf.DUMMYFUNCTION("""COMPUTED_VALUE"""),"Store_Visit_Lulu_Kochi")</f>
        <v>Store_Visit_Lulu_Kochi</v>
      </c>
      <c r="H139" s="222" t="str">
        <f>IFERROR(__xludf.DUMMYFUNCTION("""COMPUTED_VALUE"""),"vs_off_txnstd_97011_feb2026")</f>
        <v>vs_off_txnstd_97011_feb2026</v>
      </c>
      <c r="I139" s="223" t="str">
        <f>IFERROR(__xludf.DUMMYFUNCTION("""COMPUTED_VALUE"""),"Customers who have shopped from Txn Store Code 97011 - VS LULU KOCHI in last 36 months")</f>
        <v>Customers who have shopped from Txn Store Code 97011 - VS LULU KOCHI in last 36 months</v>
      </c>
      <c r="J139" s="224">
        <f>IFERROR(__xludf.DUMMYFUNCTION("""COMPUTED_VALUE"""),5760.0)</f>
        <v>5760</v>
      </c>
      <c r="K139" s="224">
        <f>IFERROR(__xludf.DUMMYFUNCTION("""COMPUTED_VALUE"""),3750.0)</f>
        <v>3750</v>
      </c>
      <c r="L139" s="225">
        <f>IFERROR(__xludf.DUMMYFUNCTION("""COMPUTED_VALUE"""),0.651)</f>
        <v>0.651</v>
      </c>
      <c r="M139" s="224">
        <f>IFERROR(__xludf.DUMMYFUNCTION("""COMPUTED_VALUE"""),1206.0)</f>
        <v>1206</v>
      </c>
      <c r="N139" s="225">
        <f>IFERROR(__xludf.DUMMYFUNCTION("""COMPUTED_VALUE"""),0.3211)</f>
        <v>0.3211</v>
      </c>
      <c r="O139" s="226">
        <f>IFERROR(__xludf.DUMMYFUNCTION("""COMPUTED_VALUE"""),0.0)</f>
        <v>0</v>
      </c>
      <c r="P139" s="226">
        <f>IFERROR(__xludf.DUMMYFUNCTION("""COMPUTED_VALUE"""),0.0)</f>
        <v>0</v>
      </c>
      <c r="Q139" s="225">
        <f>IFERROR(__xludf.DUMMYFUNCTION("""COMPUTED_VALUE"""),0.0)</f>
        <v>0</v>
      </c>
      <c r="R139" s="225">
        <f>IFERROR(__xludf.DUMMYFUNCTION("""COMPUTED_VALUE"""),0.0)</f>
        <v>0</v>
      </c>
      <c r="S139" s="226">
        <f>IFERROR(__xludf.DUMMYFUNCTION("""COMPUTED_VALUE"""),1.0)</f>
        <v>1</v>
      </c>
      <c r="T139" s="226">
        <f>IFERROR(__xludf.DUMMYFUNCTION("""COMPUTED_VALUE"""),1.0)</f>
        <v>1</v>
      </c>
      <c r="U139" s="224">
        <f>IFERROR(__xludf.DUMMYFUNCTION("""COMPUTED_VALUE"""),13946.0)</f>
        <v>13946</v>
      </c>
      <c r="V139" s="226" t="str">
        <f>IFERROR(__xludf.DUMMYFUNCTION("""COMPUTED_VALUE"""),"offline")</f>
        <v>offline</v>
      </c>
      <c r="W139" s="231" t="str">
        <f>IFERROR(__xludf.DUMMYFUNCTION("""COMPUTED_VALUE"""),"simple")</f>
        <v>simple</v>
      </c>
      <c r="X139" s="231" t="str">
        <f>IFERROR(__xludf.DUMMYFUNCTION("""COMPUTED_VALUE"""),"Generic")</f>
        <v>Generic</v>
      </c>
      <c r="Y139" s="231" t="str">
        <f>IFERROR(__xludf.DUMMYFUNCTION("""COMPUTED_VALUE"""),"20th - 23rd Feb")</f>
        <v>20th - 23rd Feb</v>
      </c>
      <c r="Z139" s="231" t="str">
        <f>IFERROR(__xludf.DUMMYFUNCTION("""COMPUTED_VALUE"""),"69970b0f3f32cf4b127af20c")</f>
        <v>69970b0f3f32cf4b127af20c</v>
      </c>
      <c r="AA139" s="229">
        <f>IFERROR(__xludf.DUMMYFUNCTION("""COMPUTED_VALUE"""),3.0)</f>
        <v>3</v>
      </c>
      <c r="AB139" s="229"/>
      <c r="AC139" s="229">
        <f>IFERROR(__xludf.DUMMYFUNCTION("""COMPUTED_VALUE"""),3.0)</f>
        <v>3</v>
      </c>
      <c r="AD139" s="229">
        <f>IFERROR(__xludf.DUMMYFUNCTION("""COMPUTED_VALUE"""),18095.0)</f>
        <v>18095</v>
      </c>
      <c r="AE139" s="229"/>
      <c r="AF139" s="229">
        <f>IFERROR(__xludf.DUMMYFUNCTION("""COMPUTED_VALUE"""),18095.0)</f>
        <v>18095</v>
      </c>
      <c r="AG139" s="208"/>
      <c r="AH139" s="208"/>
      <c r="AI139" s="208"/>
      <c r="AJ139" s="208"/>
      <c r="AK139" s="208"/>
    </row>
    <row r="140">
      <c r="A140" s="219">
        <f>IFERROR(__xludf.DUMMYFUNCTION("""COMPUTED_VALUE"""),46073.0)</f>
        <v>46073</v>
      </c>
      <c r="B140" s="244">
        <f>IFERROR(__xludf.DUMMYFUNCTION("""COMPUTED_VALUE"""),0.3958333333321207)</f>
        <v>0.3958333333</v>
      </c>
      <c r="C140" s="222" t="str">
        <f>IFERROR(__xludf.DUMMYFUNCTION("""COMPUTED_VALUE"""),"Whatsapp")</f>
        <v>Whatsapp</v>
      </c>
      <c r="D140" s="222" t="str">
        <f>IFERROR(__xludf.DUMMYFUNCTION("""COMPUTED_VALUE"""),"Promotional")</f>
        <v>Promotional</v>
      </c>
      <c r="E140" s="222" t="str">
        <f>IFERROR(__xludf.DUMMYFUNCTION("""COMPUTED_VALUE"""),"VS")</f>
        <v>VS</v>
      </c>
      <c r="F140" s="222" t="str">
        <f>IFERROR(__xludf.DUMMYFUNCTION("""COMPUTED_VALUE"""),"Store visit campaigns")</f>
        <v>Store visit campaigns</v>
      </c>
      <c r="G140" s="222" t="str">
        <f>IFERROR(__xludf.DUMMYFUNCTION("""COMPUTED_VALUE"""),"Store_Visit_Palassio_LKN")</f>
        <v>Store_Visit_Palassio_LKN</v>
      </c>
      <c r="H140" s="222" t="str">
        <f>IFERROR(__xludf.DUMMYFUNCTION("""COMPUTED_VALUE"""),"vs_off_txnstd_1225_feb2026")</f>
        <v>vs_off_txnstd_1225_feb2026</v>
      </c>
      <c r="I140" s="223" t="str">
        <f>IFERROR(__xludf.DUMMYFUNCTION("""COMPUTED_VALUE"""),"Customers who have shopped from Txn Store Code 1225 - VS BA PALASSIO LUCKNOW in last 36 months")</f>
        <v>Customers who have shopped from Txn Store Code 1225 - VS BA PALASSIO LUCKNOW in last 36 months</v>
      </c>
      <c r="J140" s="242">
        <f>IFERROR(__xludf.DUMMYFUNCTION("""COMPUTED_VALUE"""),1840.0)</f>
        <v>1840</v>
      </c>
      <c r="K140" s="242">
        <f>IFERROR(__xludf.DUMMYFUNCTION("""COMPUTED_VALUE"""),1180.0)</f>
        <v>1180</v>
      </c>
      <c r="L140" s="268">
        <f>IFERROR(__xludf.DUMMYFUNCTION("""COMPUTED_VALUE"""),0.6413)</f>
        <v>0.6413</v>
      </c>
      <c r="M140" s="242">
        <f>IFERROR(__xludf.DUMMYFUNCTION("""COMPUTED_VALUE"""),354.0)</f>
        <v>354</v>
      </c>
      <c r="N140" s="268">
        <f>IFERROR(__xludf.DUMMYFUNCTION("""COMPUTED_VALUE"""),0.3)</f>
        <v>0.3</v>
      </c>
      <c r="O140" s="222">
        <f>IFERROR(__xludf.DUMMYFUNCTION("""COMPUTED_VALUE"""),0.0)</f>
        <v>0</v>
      </c>
      <c r="P140" s="222">
        <f>IFERROR(__xludf.DUMMYFUNCTION("""COMPUTED_VALUE"""),0.0)</f>
        <v>0</v>
      </c>
      <c r="Q140" s="268">
        <f>IFERROR(__xludf.DUMMYFUNCTION("""COMPUTED_VALUE"""),0.0)</f>
        <v>0</v>
      </c>
      <c r="R140" s="268">
        <f>IFERROR(__xludf.DUMMYFUNCTION("""COMPUTED_VALUE"""),0.0)</f>
        <v>0</v>
      </c>
      <c r="S140" s="222">
        <f>IFERROR(__xludf.DUMMYFUNCTION("""COMPUTED_VALUE"""),0.0)</f>
        <v>0</v>
      </c>
      <c r="T140" s="222">
        <f>IFERROR(__xludf.DUMMYFUNCTION("""COMPUTED_VALUE"""),0.0)</f>
        <v>0</v>
      </c>
      <c r="U140" s="242">
        <f>IFERROR(__xludf.DUMMYFUNCTION("""COMPUTED_VALUE"""),0.0)</f>
        <v>0</v>
      </c>
      <c r="V140" s="222" t="str">
        <f>IFERROR(__xludf.DUMMYFUNCTION("""COMPUTED_VALUE"""),"offline")</f>
        <v>offline</v>
      </c>
      <c r="W140" s="269" t="str">
        <f>IFERROR(__xludf.DUMMYFUNCTION("""COMPUTED_VALUE"""),"simple")</f>
        <v>simple</v>
      </c>
      <c r="X140" s="269" t="str">
        <f>IFERROR(__xludf.DUMMYFUNCTION("""COMPUTED_VALUE"""),"Generic")</f>
        <v>Generic</v>
      </c>
      <c r="Y140" s="269" t="str">
        <f>IFERROR(__xludf.DUMMYFUNCTION("""COMPUTED_VALUE"""),"20th - 23rd Feb")</f>
        <v>20th - 23rd Feb</v>
      </c>
      <c r="Z140" s="269" t="str">
        <f>IFERROR(__xludf.DUMMYFUNCTION("""COMPUTED_VALUE"""),"69970b38a82d6b194d1fab9e")</f>
        <v>69970b38a82d6b194d1fab9e</v>
      </c>
      <c r="AA140" s="243">
        <f>IFERROR(__xludf.DUMMYFUNCTION("""COMPUTED_VALUE"""),1.0)</f>
        <v>1</v>
      </c>
      <c r="AB140" s="243"/>
      <c r="AC140" s="243">
        <f>IFERROR(__xludf.DUMMYFUNCTION("""COMPUTED_VALUE"""),1.0)</f>
        <v>1</v>
      </c>
      <c r="AD140" s="243">
        <f>IFERROR(__xludf.DUMMYFUNCTION("""COMPUTED_VALUE"""),3499.0)</f>
        <v>3499</v>
      </c>
      <c r="AE140" s="243"/>
      <c r="AF140" s="243">
        <f>IFERROR(__xludf.DUMMYFUNCTION("""COMPUTED_VALUE"""),3499.0)</f>
        <v>3499</v>
      </c>
      <c r="AG140" s="208"/>
      <c r="AH140" s="208"/>
      <c r="AI140" s="208"/>
      <c r="AJ140" s="208"/>
      <c r="AK140" s="208"/>
    </row>
    <row r="141">
      <c r="A141" s="219">
        <f>IFERROR(__xludf.DUMMYFUNCTION("""COMPUTED_VALUE"""),46073.0)</f>
        <v>46073</v>
      </c>
      <c r="B141" s="244">
        <f>IFERROR(__xludf.DUMMYFUNCTION("""COMPUTED_VALUE"""),0.3993055555547471)</f>
        <v>0.3993055556</v>
      </c>
      <c r="C141" s="222" t="str">
        <f>IFERROR(__xludf.DUMMYFUNCTION("""COMPUTED_VALUE"""),"Whatsapp")</f>
        <v>Whatsapp</v>
      </c>
      <c r="D141" s="222" t="str">
        <f>IFERROR(__xludf.DUMMYFUNCTION("""COMPUTED_VALUE"""),"Promotional")</f>
        <v>Promotional</v>
      </c>
      <c r="E141" s="222" t="str">
        <f>IFERROR(__xludf.DUMMYFUNCTION("""COMPUTED_VALUE"""),"VS")</f>
        <v>VS</v>
      </c>
      <c r="F141" s="222" t="str">
        <f>IFERROR(__xludf.DUMMYFUNCTION("""COMPUTED_VALUE"""),"Store visit campaigns")</f>
        <v>Store visit campaigns</v>
      </c>
      <c r="G141" s="222" t="str">
        <f>IFERROR(__xludf.DUMMYFUNCTION("""COMPUTED_VALUE"""),"Store_Visit_Zora_Raipur")</f>
        <v>Store_Visit_Zora_Raipur</v>
      </c>
      <c r="H141" s="222" t="str">
        <f>IFERROR(__xludf.DUMMYFUNCTION("""COMPUTED_VALUE"""),"vs_off_txnstd_1271_feb2026")</f>
        <v>vs_off_txnstd_1271_feb2026</v>
      </c>
      <c r="I141" s="223" t="str">
        <f>IFERROR(__xludf.DUMMYFUNCTION("""COMPUTED_VALUE"""),"Customers who have shopped from Txn Store Code 1271 - VS BA ZORA RAIPUR in last 36 months")</f>
        <v>Customers who have shopped from Txn Store Code 1271 - VS BA ZORA RAIPUR in last 36 months</v>
      </c>
      <c r="J141" s="242">
        <f>IFERROR(__xludf.DUMMYFUNCTION("""COMPUTED_VALUE"""),1412.0)</f>
        <v>1412</v>
      </c>
      <c r="K141" s="242">
        <f>IFERROR(__xludf.DUMMYFUNCTION("""COMPUTED_VALUE"""),922.0)</f>
        <v>922</v>
      </c>
      <c r="L141" s="268">
        <f>IFERROR(__xludf.DUMMYFUNCTION("""COMPUTED_VALUE"""),0.653)</f>
        <v>0.653</v>
      </c>
      <c r="M141" s="242">
        <f>IFERROR(__xludf.DUMMYFUNCTION("""COMPUTED_VALUE"""),299.0)</f>
        <v>299</v>
      </c>
      <c r="N141" s="268">
        <f>IFERROR(__xludf.DUMMYFUNCTION("""COMPUTED_VALUE"""),0.3221)</f>
        <v>0.3221</v>
      </c>
      <c r="O141" s="222">
        <f>IFERROR(__xludf.DUMMYFUNCTION("""COMPUTED_VALUE"""),0.0)</f>
        <v>0</v>
      </c>
      <c r="P141" s="222">
        <f>IFERROR(__xludf.DUMMYFUNCTION("""COMPUTED_VALUE"""),0.0)</f>
        <v>0</v>
      </c>
      <c r="Q141" s="268">
        <f>IFERROR(__xludf.DUMMYFUNCTION("""COMPUTED_VALUE"""),0.0)</f>
        <v>0</v>
      </c>
      <c r="R141" s="268">
        <f>IFERROR(__xludf.DUMMYFUNCTION("""COMPUTED_VALUE"""),0.0)</f>
        <v>0</v>
      </c>
      <c r="S141" s="222">
        <f>IFERROR(__xludf.DUMMYFUNCTION("""COMPUTED_VALUE"""),0.0)</f>
        <v>0</v>
      </c>
      <c r="T141" s="222">
        <f>IFERROR(__xludf.DUMMYFUNCTION("""COMPUTED_VALUE"""),0.0)</f>
        <v>0</v>
      </c>
      <c r="U141" s="242">
        <f>IFERROR(__xludf.DUMMYFUNCTION("""COMPUTED_VALUE"""),0.0)</f>
        <v>0</v>
      </c>
      <c r="V141" s="222" t="str">
        <f>IFERROR(__xludf.DUMMYFUNCTION("""COMPUTED_VALUE"""),"offline")</f>
        <v>offline</v>
      </c>
      <c r="W141" s="269" t="str">
        <f>IFERROR(__xludf.DUMMYFUNCTION("""COMPUTED_VALUE"""),"simple")</f>
        <v>simple</v>
      </c>
      <c r="X141" s="269" t="str">
        <f>IFERROR(__xludf.DUMMYFUNCTION("""COMPUTED_VALUE"""),"Generic")</f>
        <v>Generic</v>
      </c>
      <c r="Y141" s="269" t="str">
        <f>IFERROR(__xludf.DUMMYFUNCTION("""COMPUTED_VALUE"""),"20th - 23rd Feb")</f>
        <v>20th - 23rd Feb</v>
      </c>
      <c r="Z141" s="269" t="str">
        <f>IFERROR(__xludf.DUMMYFUNCTION("""COMPUTED_VALUE"""),"69970b91a8edf249d12098c0")</f>
        <v>69970b91a8edf249d12098c0</v>
      </c>
      <c r="AA141" s="243">
        <f>IFERROR(__xludf.DUMMYFUNCTION("""COMPUTED_VALUE"""),1.0)</f>
        <v>1</v>
      </c>
      <c r="AB141" s="243"/>
      <c r="AC141" s="243">
        <f>IFERROR(__xludf.DUMMYFUNCTION("""COMPUTED_VALUE"""),1.0)</f>
        <v>1</v>
      </c>
      <c r="AD141" s="243">
        <f>IFERROR(__xludf.DUMMYFUNCTION("""COMPUTED_VALUE"""),13497.0)</f>
        <v>13497</v>
      </c>
      <c r="AE141" s="243"/>
      <c r="AF141" s="243">
        <f>IFERROR(__xludf.DUMMYFUNCTION("""COMPUTED_VALUE"""),13497.0)</f>
        <v>13497</v>
      </c>
      <c r="AG141" s="208"/>
      <c r="AH141" s="208"/>
      <c r="AI141" s="208"/>
      <c r="AJ141" s="208"/>
      <c r="AK141" s="208"/>
    </row>
    <row r="142">
      <c r="A142" s="219">
        <f>IFERROR(__xludf.DUMMYFUNCTION("""COMPUTED_VALUE"""),46073.0)</f>
        <v>46073</v>
      </c>
      <c r="B142" s="244">
        <f>IFERROR(__xludf.DUMMYFUNCTION("""COMPUTED_VALUE"""),0.3541666666678793)</f>
        <v>0.3541666667</v>
      </c>
      <c r="C142" s="222" t="str">
        <f>IFERROR(__xludf.DUMMYFUNCTION("""COMPUTED_VALUE"""),"Whatsapp")</f>
        <v>Whatsapp</v>
      </c>
      <c r="D142" s="222" t="str">
        <f>IFERROR(__xludf.DUMMYFUNCTION("""COMPUTED_VALUE"""),"Promotional")</f>
        <v>Promotional</v>
      </c>
      <c r="E142" s="222" t="str">
        <f>IFERROR(__xludf.DUMMYFUNCTION("""COMPUTED_VALUE"""),"VS")</f>
        <v>VS</v>
      </c>
      <c r="F142" s="222" t="str">
        <f>IFERROR(__xludf.DUMMYFUNCTION("""COMPUTED_VALUE"""),"Store visit campaigns")</f>
        <v>Store visit campaigns</v>
      </c>
      <c r="G142" s="222" t="str">
        <f>IFERROR(__xludf.DUMMYFUNCTION("""COMPUTED_VALUE"""),"Store Visit_Palladium")</f>
        <v>Store Visit_Palladium</v>
      </c>
      <c r="H142" s="222" t="str">
        <f>IFERROR(__xludf.DUMMYFUNCTION("""COMPUTED_VALUE"""),"vs_off_txnstd_97001_feb2026")</f>
        <v>vs_off_txnstd_97001_feb2026</v>
      </c>
      <c r="I142" s="223" t="str">
        <f>IFERROR(__xludf.DUMMYFUNCTION("""COMPUTED_VALUE"""),"Customers who have shopped from Txn Store Code 97001 - VS PHOENIX PALLADIUM MALL in last 36 months")</f>
        <v>Customers who have shopped from Txn Store Code 97001 - VS PHOENIX PALLADIUM MALL in last 36 months</v>
      </c>
      <c r="J142" s="242">
        <f>IFERROR(__xludf.DUMMYFUNCTION("""COMPUTED_VALUE"""),36812.0)</f>
        <v>36812</v>
      </c>
      <c r="K142" s="242">
        <f>IFERROR(__xludf.DUMMYFUNCTION("""COMPUTED_VALUE"""),19803.0)</f>
        <v>19803</v>
      </c>
      <c r="L142" s="268">
        <f>IFERROR(__xludf.DUMMYFUNCTION("""COMPUTED_VALUE"""),0.5379)</f>
        <v>0.5379</v>
      </c>
      <c r="M142" s="242">
        <f>IFERROR(__xludf.DUMMYFUNCTION("""COMPUTED_VALUE"""),4992.0)</f>
        <v>4992</v>
      </c>
      <c r="N142" s="268">
        <f>IFERROR(__xludf.DUMMYFUNCTION("""COMPUTED_VALUE"""),0.2521)</f>
        <v>0.2521</v>
      </c>
      <c r="O142" s="222">
        <f>IFERROR(__xludf.DUMMYFUNCTION("""COMPUTED_VALUE"""),124.0)</f>
        <v>124</v>
      </c>
      <c r="P142" s="222">
        <f>IFERROR(__xludf.DUMMYFUNCTION("""COMPUTED_VALUE"""),116.0)</f>
        <v>116</v>
      </c>
      <c r="Q142" s="268">
        <f>IFERROR(__xludf.DUMMYFUNCTION("""COMPUTED_VALUE"""),0.0059)</f>
        <v>0.0059</v>
      </c>
      <c r="R142" s="268">
        <f>IFERROR(__xludf.DUMMYFUNCTION("""COMPUTED_VALUE"""),0.0232)</f>
        <v>0.0232</v>
      </c>
      <c r="S142" s="222">
        <f>IFERROR(__xludf.DUMMYFUNCTION("""COMPUTED_VALUE"""),3.0)</f>
        <v>3</v>
      </c>
      <c r="T142" s="222">
        <f>IFERROR(__xludf.DUMMYFUNCTION("""COMPUTED_VALUE"""),6.0)</f>
        <v>6</v>
      </c>
      <c r="U142" s="242">
        <f>IFERROR(__xludf.DUMMYFUNCTION("""COMPUTED_VALUE"""),51574.0)</f>
        <v>51574</v>
      </c>
      <c r="V142" s="222" t="str">
        <f>IFERROR(__xludf.DUMMYFUNCTION("""COMPUTED_VALUE"""),"offline")</f>
        <v>offline</v>
      </c>
      <c r="W142" s="269" t="str">
        <f>IFERROR(__xludf.DUMMYFUNCTION("""COMPUTED_VALUE"""),"carousel")</f>
        <v>carousel</v>
      </c>
      <c r="X142" s="269" t="str">
        <f>IFERROR(__xludf.DUMMYFUNCTION("""COMPUTED_VALUE"""),"Generic")</f>
        <v>Generic</v>
      </c>
      <c r="Y142" s="269" t="str">
        <f>IFERROR(__xludf.DUMMYFUNCTION("""COMPUTED_VALUE"""),"20th - 23rd Feb")</f>
        <v>20th - 23rd Feb</v>
      </c>
      <c r="Z142" s="269" t="str">
        <f>IFERROR(__xludf.DUMMYFUNCTION("""COMPUTED_VALUE"""),"69970bf2e5eeeb427dc25525")</f>
        <v>69970bf2e5eeeb427dc25525</v>
      </c>
      <c r="AA142" s="243">
        <f>IFERROR(__xludf.DUMMYFUNCTION("""COMPUTED_VALUE"""),47.0)</f>
        <v>47</v>
      </c>
      <c r="AB142" s="243"/>
      <c r="AC142" s="243">
        <f>IFERROR(__xludf.DUMMYFUNCTION("""COMPUTED_VALUE"""),47.0)</f>
        <v>47</v>
      </c>
      <c r="AD142" s="243">
        <f>IFERROR(__xludf.DUMMYFUNCTION("""COMPUTED_VALUE"""),733395.0)</f>
        <v>733395</v>
      </c>
      <c r="AE142" s="243"/>
      <c r="AF142" s="243">
        <f>IFERROR(__xludf.DUMMYFUNCTION("""COMPUTED_VALUE"""),733395.0)</f>
        <v>733395</v>
      </c>
      <c r="AG142" s="208"/>
      <c r="AH142" s="208"/>
      <c r="AI142" s="208"/>
      <c r="AJ142" s="208"/>
      <c r="AK142" s="208"/>
    </row>
    <row r="143">
      <c r="A143" s="219">
        <f>IFERROR(__xludf.DUMMYFUNCTION("""COMPUTED_VALUE"""),46087.0)</f>
        <v>46087</v>
      </c>
      <c r="B143" s="244">
        <f>IFERROR(__xludf.DUMMYFUNCTION("""COMPUTED_VALUE"""),0.4166666666678793)</f>
        <v>0.4166666667</v>
      </c>
      <c r="C143" s="222" t="str">
        <f>IFERROR(__xludf.DUMMYFUNCTION("""COMPUTED_VALUE"""),"Whatsapp")</f>
        <v>Whatsapp</v>
      </c>
      <c r="D143" s="222" t="str">
        <f>IFERROR(__xludf.DUMMYFUNCTION("""COMPUTED_VALUE"""),"Fallback Campaign")</f>
        <v>Fallback Campaign</v>
      </c>
      <c r="E143" s="222" t="str">
        <f>IFERROR(__xludf.DUMMYFUNCTION("""COMPUTED_VALUE"""),"VS")</f>
        <v>VS</v>
      </c>
      <c r="F143" s="222" t="str">
        <f>IFERROR(__xludf.DUMMYFUNCTION("""COMPUTED_VALUE"""),"Women's Day")</f>
        <v>Women's Day</v>
      </c>
      <c r="G143" s="222" t="str">
        <f>IFERROR(__xludf.DUMMYFUNCTION("""COMPUTED_VALUE"""),"Women's Day Online EventCX - FB")</f>
        <v>Women's Day Online EventCX - FB</v>
      </c>
      <c r="H143" s="222" t="str">
        <f>IFERROR(__xludf.DUMMYFUNCTION("""COMPUTED_VALUE"""),"EventBuyers_WomensDay_ON")</f>
        <v>EventBuyers_WomensDay_ON</v>
      </c>
      <c r="I143" s="223" t="str">
        <f>IFERROR(__xludf.DUMMYFUNCTION("""COMPUTED_VALUE"""),"RCS Delivery Failed")</f>
        <v>RCS Delivery Failed</v>
      </c>
      <c r="J143" s="242">
        <f>IFERROR(__xludf.DUMMYFUNCTION("""COMPUTED_VALUE"""),831.0)</f>
        <v>831</v>
      </c>
      <c r="K143" s="242">
        <f>IFERROR(__xludf.DUMMYFUNCTION("""COMPUTED_VALUE"""),398.0)</f>
        <v>398</v>
      </c>
      <c r="L143" s="268">
        <f>IFERROR(__xludf.DUMMYFUNCTION("""COMPUTED_VALUE"""),0.4789)</f>
        <v>0.4789</v>
      </c>
      <c r="M143" s="242">
        <f>IFERROR(__xludf.DUMMYFUNCTION("""COMPUTED_VALUE"""),91.0)</f>
        <v>91</v>
      </c>
      <c r="N143" s="268">
        <f>IFERROR(__xludf.DUMMYFUNCTION("""COMPUTED_VALUE"""),0.2286)</f>
        <v>0.2286</v>
      </c>
      <c r="O143" s="222">
        <f>IFERROR(__xludf.DUMMYFUNCTION("""COMPUTED_VALUE"""),7.0)</f>
        <v>7</v>
      </c>
      <c r="P143" s="222">
        <f>IFERROR(__xludf.DUMMYFUNCTION("""COMPUTED_VALUE"""),6.0)</f>
        <v>6</v>
      </c>
      <c r="Q143" s="268">
        <f>IFERROR(__xludf.DUMMYFUNCTION("""COMPUTED_VALUE"""),0.0151)</f>
        <v>0.0151</v>
      </c>
      <c r="R143" s="268">
        <f>IFERROR(__xludf.DUMMYFUNCTION("""COMPUTED_VALUE"""),0.0659)</f>
        <v>0.0659</v>
      </c>
      <c r="S143" s="222">
        <f>IFERROR(__xludf.DUMMYFUNCTION("""COMPUTED_VALUE"""),1.0)</f>
        <v>1</v>
      </c>
      <c r="T143" s="222">
        <f>IFERROR(__xludf.DUMMYFUNCTION("""COMPUTED_VALUE"""),1.0)</f>
        <v>1</v>
      </c>
      <c r="U143" s="242">
        <f>IFERROR(__xludf.DUMMYFUNCTION("""COMPUTED_VALUE"""),4739.0)</f>
        <v>4739</v>
      </c>
      <c r="V143" s="222" t="str">
        <f>IFERROR(__xludf.DUMMYFUNCTION("""COMPUTED_VALUE"""),"online")</f>
        <v>online</v>
      </c>
      <c r="W143" s="269" t="str">
        <f>IFERROR(__xludf.DUMMYFUNCTION("""COMPUTED_VALUE"""),"carousel")</f>
        <v>carousel</v>
      </c>
      <c r="X143" s="269" t="str">
        <f>IFERROR(__xludf.DUMMYFUNCTION("""COMPUTED_VALUE"""),"No brief")</f>
        <v>No brief</v>
      </c>
      <c r="Y143" s="269" t="str">
        <f>IFERROR(__xludf.DUMMYFUNCTION("""COMPUTED_VALUE"""),"06th - 8th March 2026")</f>
        <v>06th - 8th March 2026</v>
      </c>
      <c r="Z143" s="269" t="str">
        <f>IFERROR(__xludf.DUMMYFUNCTION("""COMPUTED_VALUE"""),"69a97e4178407bfee21dc8e4")</f>
        <v>69a97e4178407bfee21dc8e4</v>
      </c>
      <c r="AA143" s="243">
        <f>IFERROR(__xludf.DUMMYFUNCTION("""COMPUTED_VALUE"""),8.0)</f>
        <v>8</v>
      </c>
      <c r="AB143" s="243">
        <f>IFERROR(__xludf.DUMMYFUNCTION("""COMPUTED_VALUE"""),8.0)</f>
        <v>8</v>
      </c>
      <c r="AC143" s="243"/>
      <c r="AD143" s="243">
        <f>IFERROR(__xludf.DUMMYFUNCTION("""COMPUTED_VALUE"""),62556.0)</f>
        <v>62556</v>
      </c>
      <c r="AE143" s="243">
        <f>IFERROR(__xludf.DUMMYFUNCTION("""COMPUTED_VALUE"""),62556.0)</f>
        <v>62556</v>
      </c>
      <c r="AF143" s="243"/>
      <c r="AG143" s="208"/>
      <c r="AH143" s="208"/>
      <c r="AI143" s="208"/>
      <c r="AJ143" s="208"/>
      <c r="AK143" s="208"/>
    </row>
    <row r="144">
      <c r="A144" s="219">
        <f>IFERROR(__xludf.DUMMYFUNCTION("""COMPUTED_VALUE"""),46087.0)</f>
        <v>46087</v>
      </c>
      <c r="B144" s="244">
        <f>IFERROR(__xludf.DUMMYFUNCTION("""COMPUTED_VALUE"""),0.42013888889050577)</f>
        <v>0.4201388889</v>
      </c>
      <c r="C144" s="222" t="str">
        <f>IFERROR(__xludf.DUMMYFUNCTION("""COMPUTED_VALUE"""),"Whatsapp")</f>
        <v>Whatsapp</v>
      </c>
      <c r="D144" s="222" t="str">
        <f>IFERROR(__xludf.DUMMYFUNCTION("""COMPUTED_VALUE"""),"Fallback Campaign")</f>
        <v>Fallback Campaign</v>
      </c>
      <c r="E144" s="222" t="str">
        <f>IFERROR(__xludf.DUMMYFUNCTION("""COMPUTED_VALUE"""),"VS")</f>
        <v>VS</v>
      </c>
      <c r="F144" s="222" t="str">
        <f>IFERROR(__xludf.DUMMYFUNCTION("""COMPUTED_VALUE"""),"Women's Day")</f>
        <v>Women's Day</v>
      </c>
      <c r="G144" s="222" t="str">
        <f>IFERROR(__xludf.DUMMYFUNCTION("""COMPUTED_VALUE"""),"Women's Day Online DiscountCX- FB")</f>
        <v>Women's Day Online DiscountCX- FB</v>
      </c>
      <c r="H144" s="222" t="str">
        <f>IFERROR(__xludf.DUMMYFUNCTION("""COMPUTED_VALUE"""),"Upto25%_MistLotion50%_ON")</f>
        <v>Upto25%_MistLotion50%_ON</v>
      </c>
      <c r="I144" s="223" t="str">
        <f>IFERROR(__xludf.DUMMYFUNCTION("""COMPUTED_VALUE"""),"RCS Delivery Failed")</f>
        <v>RCS Delivery Failed</v>
      </c>
      <c r="J144" s="242">
        <f>IFERROR(__xludf.DUMMYFUNCTION("""COMPUTED_VALUE"""),45153.0)</f>
        <v>45153</v>
      </c>
      <c r="K144" s="242">
        <f>IFERROR(__xludf.DUMMYFUNCTION("""COMPUTED_VALUE"""),23445.0)</f>
        <v>23445</v>
      </c>
      <c r="L144" s="268">
        <f>IFERROR(__xludf.DUMMYFUNCTION("""COMPUTED_VALUE"""),0.5192)</f>
        <v>0.5192</v>
      </c>
      <c r="M144" s="242">
        <f>IFERROR(__xludf.DUMMYFUNCTION("""COMPUTED_VALUE"""),5481.0)</f>
        <v>5481</v>
      </c>
      <c r="N144" s="268">
        <f>IFERROR(__xludf.DUMMYFUNCTION("""COMPUTED_VALUE"""),0.2337)</f>
        <v>0.2337</v>
      </c>
      <c r="O144" s="222">
        <f>IFERROR(__xludf.DUMMYFUNCTION("""COMPUTED_VALUE"""),662.0)</f>
        <v>662</v>
      </c>
      <c r="P144" s="222">
        <f>IFERROR(__xludf.DUMMYFUNCTION("""COMPUTED_VALUE"""),603.0)</f>
        <v>603</v>
      </c>
      <c r="Q144" s="268">
        <f>IFERROR(__xludf.DUMMYFUNCTION("""COMPUTED_VALUE"""),0.0257)</f>
        <v>0.0257</v>
      </c>
      <c r="R144" s="268">
        <f>IFERROR(__xludf.DUMMYFUNCTION("""COMPUTED_VALUE"""),0.1101)</f>
        <v>0.1101</v>
      </c>
      <c r="S144" s="222">
        <f>IFERROR(__xludf.DUMMYFUNCTION("""COMPUTED_VALUE"""),22.0)</f>
        <v>22</v>
      </c>
      <c r="T144" s="222">
        <f>IFERROR(__xludf.DUMMYFUNCTION("""COMPUTED_VALUE"""),56.0)</f>
        <v>56</v>
      </c>
      <c r="U144" s="242">
        <f>IFERROR(__xludf.DUMMYFUNCTION("""COMPUTED_VALUE"""),112923.0)</f>
        <v>112923</v>
      </c>
      <c r="V144" s="222" t="str">
        <f>IFERROR(__xludf.DUMMYFUNCTION("""COMPUTED_VALUE"""),"online")</f>
        <v>online</v>
      </c>
      <c r="W144" s="269" t="str">
        <f>IFERROR(__xludf.DUMMYFUNCTION("""COMPUTED_VALUE"""),"carousel")</f>
        <v>carousel</v>
      </c>
      <c r="X144" s="269" t="str">
        <f>IFERROR(__xludf.DUMMYFUNCTION("""COMPUTED_VALUE"""),"no brief")</f>
        <v>no brief</v>
      </c>
      <c r="Y144" s="269" t="str">
        <f>IFERROR(__xludf.DUMMYFUNCTION("""COMPUTED_VALUE"""),"06th - 8th March 2026")</f>
        <v>06th - 8th March 2026</v>
      </c>
      <c r="Z144" s="269" t="str">
        <f>IFERROR(__xludf.DUMMYFUNCTION("""COMPUTED_VALUE"""),"69a97f3bd6b3c52e87d6aa71")</f>
        <v>69a97f3bd6b3c52e87d6aa71</v>
      </c>
      <c r="AA144" s="243">
        <f>IFERROR(__xludf.DUMMYFUNCTION("""COMPUTED_VALUE"""),70.0)</f>
        <v>70</v>
      </c>
      <c r="AB144" s="243">
        <f>IFERROR(__xludf.DUMMYFUNCTION("""COMPUTED_VALUE"""),70.0)</f>
        <v>70</v>
      </c>
      <c r="AC144" s="243"/>
      <c r="AD144" s="243">
        <f>IFERROR(__xludf.DUMMYFUNCTION("""COMPUTED_VALUE"""),395667.0)</f>
        <v>395667</v>
      </c>
      <c r="AE144" s="243">
        <f>IFERROR(__xludf.DUMMYFUNCTION("""COMPUTED_VALUE"""),395667.0)</f>
        <v>395667</v>
      </c>
      <c r="AF144" s="243"/>
      <c r="AG144" s="208"/>
      <c r="AH144" s="208"/>
      <c r="AI144" s="208"/>
      <c r="AJ144" s="208"/>
      <c r="AK144" s="208"/>
    </row>
    <row r="145">
      <c r="A145" s="219">
        <f>IFERROR(__xludf.DUMMYFUNCTION("""COMPUTED_VALUE"""),46087.0)</f>
        <v>46087</v>
      </c>
      <c r="B145" s="244">
        <f>IFERROR(__xludf.DUMMYFUNCTION("""COMPUTED_VALUE"""),0.42361111110949423)</f>
        <v>0.4236111111</v>
      </c>
      <c r="C145" s="222" t="str">
        <f>IFERROR(__xludf.DUMMYFUNCTION("""COMPUTED_VALUE"""),"Whatsapp")</f>
        <v>Whatsapp</v>
      </c>
      <c r="D145" s="222" t="str">
        <f>IFERROR(__xludf.DUMMYFUNCTION("""COMPUTED_VALUE"""),"Fallback Campaign")</f>
        <v>Fallback Campaign</v>
      </c>
      <c r="E145" s="222" t="str">
        <f>IFERROR(__xludf.DUMMYFUNCTION("""COMPUTED_VALUE"""),"VS")</f>
        <v>VS</v>
      </c>
      <c r="F145" s="222" t="str">
        <f>IFERROR(__xludf.DUMMYFUNCTION("""COMPUTED_VALUE"""),"Women's Day")</f>
        <v>Women's Day</v>
      </c>
      <c r="G145" s="222" t="str">
        <f>IFERROR(__xludf.DUMMYFUNCTION("""COMPUTED_VALUE"""),"Women's Day Online ActiveCX- FB")</f>
        <v>Women's Day Online ActiveCX- FB</v>
      </c>
      <c r="H145" s="222" t="str">
        <f>IFERROR(__xludf.DUMMYFUNCTION("""COMPUTED_VALUE"""),"Active75_WomensDay_ON")</f>
        <v>Active75_WomensDay_ON</v>
      </c>
      <c r="I145" s="223" t="str">
        <f>IFERROR(__xludf.DUMMYFUNCTION("""COMPUTED_VALUE"""),"RCS Delivery Failed")</f>
        <v>RCS Delivery Failed</v>
      </c>
      <c r="J145" s="242">
        <f>IFERROR(__xludf.DUMMYFUNCTION("""COMPUTED_VALUE"""),7984.0)</f>
        <v>7984</v>
      </c>
      <c r="K145" s="242">
        <f>IFERROR(__xludf.DUMMYFUNCTION("""COMPUTED_VALUE"""),3961.0)</f>
        <v>3961</v>
      </c>
      <c r="L145" s="268">
        <f>IFERROR(__xludf.DUMMYFUNCTION("""COMPUTED_VALUE"""),0.4961)</f>
        <v>0.4961</v>
      </c>
      <c r="M145" s="242">
        <f>IFERROR(__xludf.DUMMYFUNCTION("""COMPUTED_VALUE"""),855.0)</f>
        <v>855</v>
      </c>
      <c r="N145" s="268">
        <f>IFERROR(__xludf.DUMMYFUNCTION("""COMPUTED_VALUE"""),0.2156)</f>
        <v>0.2156</v>
      </c>
      <c r="O145" s="222">
        <f>IFERROR(__xludf.DUMMYFUNCTION("""COMPUTED_VALUE"""),134.0)</f>
        <v>134</v>
      </c>
      <c r="P145" s="222">
        <f>IFERROR(__xludf.DUMMYFUNCTION("""COMPUTED_VALUE"""),131.0)</f>
        <v>131</v>
      </c>
      <c r="Q145" s="268">
        <f>IFERROR(__xludf.DUMMYFUNCTION("""COMPUTED_VALUE"""),0.0331)</f>
        <v>0.0331</v>
      </c>
      <c r="R145" s="268">
        <f>IFERROR(__xludf.DUMMYFUNCTION("""COMPUTED_VALUE"""),0.1534)</f>
        <v>0.1534</v>
      </c>
      <c r="S145" s="222">
        <f>IFERROR(__xludf.DUMMYFUNCTION("""COMPUTED_VALUE"""),9.0)</f>
        <v>9</v>
      </c>
      <c r="T145" s="222">
        <f>IFERROR(__xludf.DUMMYFUNCTION("""COMPUTED_VALUE"""),16.0)</f>
        <v>16</v>
      </c>
      <c r="U145" s="242">
        <f>IFERROR(__xludf.DUMMYFUNCTION("""COMPUTED_VALUE"""),40753.0)</f>
        <v>40753</v>
      </c>
      <c r="V145" s="222" t="str">
        <f>IFERROR(__xludf.DUMMYFUNCTION("""COMPUTED_VALUE"""),"online")</f>
        <v>online</v>
      </c>
      <c r="W145" s="269" t="str">
        <f>IFERROR(__xludf.DUMMYFUNCTION("""COMPUTED_VALUE"""),"carousel")</f>
        <v>carousel</v>
      </c>
      <c r="X145" s="269" t="str">
        <f>IFERROR(__xludf.DUMMYFUNCTION("""COMPUTED_VALUE"""),"no brief")</f>
        <v>no brief</v>
      </c>
      <c r="Y145" s="269" t="str">
        <f>IFERROR(__xludf.DUMMYFUNCTION("""COMPUTED_VALUE"""),"06th - 8th March 2026")</f>
        <v>06th - 8th March 2026</v>
      </c>
      <c r="Z145" s="269" t="str">
        <f>IFERROR(__xludf.DUMMYFUNCTION("""COMPUTED_VALUE"""),"69a97f900b62038521b6d571")</f>
        <v>69a97f900b62038521b6d571</v>
      </c>
      <c r="AA145" s="243">
        <f>IFERROR(__xludf.DUMMYFUNCTION("""COMPUTED_VALUE"""),23.0)</f>
        <v>23</v>
      </c>
      <c r="AB145" s="243">
        <f>IFERROR(__xludf.DUMMYFUNCTION("""COMPUTED_VALUE"""),23.0)</f>
        <v>23</v>
      </c>
      <c r="AC145" s="243"/>
      <c r="AD145" s="243">
        <f>IFERROR(__xludf.DUMMYFUNCTION("""COMPUTED_VALUE"""),102951.0)</f>
        <v>102951</v>
      </c>
      <c r="AE145" s="243">
        <f>IFERROR(__xludf.DUMMYFUNCTION("""COMPUTED_VALUE"""),102951.0)</f>
        <v>102951</v>
      </c>
      <c r="AF145" s="243"/>
      <c r="AG145" s="208"/>
      <c r="AH145" s="208"/>
      <c r="AI145" s="208"/>
      <c r="AJ145" s="208"/>
      <c r="AK145" s="208"/>
    </row>
    <row r="146">
      <c r="A146" s="219">
        <f>IFERROR(__xludf.DUMMYFUNCTION("""COMPUTED_VALUE"""),46087.0)</f>
        <v>46087</v>
      </c>
      <c r="B146" s="244">
        <f>IFERROR(__xludf.DUMMYFUNCTION("""COMPUTED_VALUE"""),0.4270833333321207)</f>
        <v>0.4270833333</v>
      </c>
      <c r="C146" s="222" t="str">
        <f>IFERROR(__xludf.DUMMYFUNCTION("""COMPUTED_VALUE"""),"Whatsapp")</f>
        <v>Whatsapp</v>
      </c>
      <c r="D146" s="222" t="str">
        <f>IFERROR(__xludf.DUMMYFUNCTION("""COMPUTED_VALUE"""),"Fallback Campaign")</f>
        <v>Fallback Campaign</v>
      </c>
      <c r="E146" s="222" t="str">
        <f>IFERROR(__xludf.DUMMYFUNCTION("""COMPUTED_VALUE"""),"VS")</f>
        <v>VS</v>
      </c>
      <c r="F146" s="222" t="str">
        <f>IFERROR(__xludf.DUMMYFUNCTION("""COMPUTED_VALUE"""),"Women's Day")</f>
        <v>Women's Day</v>
      </c>
      <c r="G146" s="222" t="str">
        <f>IFERROR(__xludf.DUMMYFUNCTION("""COMPUTED_VALUE"""),"Women's Day Online RepeatCX- FB")</f>
        <v>Women's Day Online RepeatCX- FB</v>
      </c>
      <c r="H146" s="222" t="str">
        <f>IFERROR(__xludf.DUMMYFUNCTION("""COMPUTED_VALUE"""),"Repeat_WomensDay_ON")</f>
        <v>Repeat_WomensDay_ON</v>
      </c>
      <c r="I146" s="223" t="str">
        <f>IFERROR(__xludf.DUMMYFUNCTION("""COMPUTED_VALUE"""),"RCS Delivery Failed")</f>
        <v>RCS Delivery Failed</v>
      </c>
      <c r="J146" s="242">
        <f>IFERROR(__xludf.DUMMYFUNCTION("""COMPUTED_VALUE"""),25706.0)</f>
        <v>25706</v>
      </c>
      <c r="K146" s="242">
        <f>IFERROR(__xludf.DUMMYFUNCTION("""COMPUTED_VALUE"""),11836.0)</f>
        <v>11836</v>
      </c>
      <c r="L146" s="268">
        <f>IFERROR(__xludf.DUMMYFUNCTION("""COMPUTED_VALUE"""),0.4604)</f>
        <v>0.4604</v>
      </c>
      <c r="M146" s="242">
        <f>IFERROR(__xludf.DUMMYFUNCTION("""COMPUTED_VALUE"""),2328.0)</f>
        <v>2328</v>
      </c>
      <c r="N146" s="268">
        <f>IFERROR(__xludf.DUMMYFUNCTION("""COMPUTED_VALUE"""),0.1967)</f>
        <v>0.1967</v>
      </c>
      <c r="O146" s="222">
        <f>IFERROR(__xludf.DUMMYFUNCTION("""COMPUTED_VALUE"""),222.0)</f>
        <v>222</v>
      </c>
      <c r="P146" s="222">
        <f>IFERROR(__xludf.DUMMYFUNCTION("""COMPUTED_VALUE"""),211.0)</f>
        <v>211</v>
      </c>
      <c r="Q146" s="268">
        <f>IFERROR(__xludf.DUMMYFUNCTION("""COMPUTED_VALUE"""),0.0178)</f>
        <v>0.0178</v>
      </c>
      <c r="R146" s="268">
        <f>IFERROR(__xludf.DUMMYFUNCTION("""COMPUTED_VALUE"""),0.0906)</f>
        <v>0.0906</v>
      </c>
      <c r="S146" s="222">
        <f>IFERROR(__xludf.DUMMYFUNCTION("""COMPUTED_VALUE"""),8.0)</f>
        <v>8</v>
      </c>
      <c r="T146" s="222">
        <f>IFERROR(__xludf.DUMMYFUNCTION("""COMPUTED_VALUE"""),13.0)</f>
        <v>13</v>
      </c>
      <c r="U146" s="242">
        <f>IFERROR(__xludf.DUMMYFUNCTION("""COMPUTED_VALUE"""),33143.0)</f>
        <v>33143</v>
      </c>
      <c r="V146" s="222" t="str">
        <f>IFERROR(__xludf.DUMMYFUNCTION("""COMPUTED_VALUE"""),"online")</f>
        <v>online</v>
      </c>
      <c r="W146" s="269" t="str">
        <f>IFERROR(__xludf.DUMMYFUNCTION("""COMPUTED_VALUE"""),"carousel")</f>
        <v>carousel</v>
      </c>
      <c r="X146" s="269" t="str">
        <f>IFERROR(__xludf.DUMMYFUNCTION("""COMPUTED_VALUE"""),"no brief")</f>
        <v>no brief</v>
      </c>
      <c r="Y146" s="269" t="str">
        <f>IFERROR(__xludf.DUMMYFUNCTION("""COMPUTED_VALUE"""),"06th - 8th March 2026")</f>
        <v>06th - 8th March 2026</v>
      </c>
      <c r="Z146" s="269" t="str">
        <f>IFERROR(__xludf.DUMMYFUNCTION("""COMPUTED_VALUE"""),"69a98013508545a76043b1c1")</f>
        <v>69a98013508545a76043b1c1</v>
      </c>
      <c r="AA146" s="243">
        <f>IFERROR(__xludf.DUMMYFUNCTION("""COMPUTED_VALUE"""),25.0)</f>
        <v>25</v>
      </c>
      <c r="AB146" s="243">
        <f>IFERROR(__xludf.DUMMYFUNCTION("""COMPUTED_VALUE"""),25.0)</f>
        <v>25</v>
      </c>
      <c r="AC146" s="243"/>
      <c r="AD146" s="243">
        <f>IFERROR(__xludf.DUMMYFUNCTION("""COMPUTED_VALUE"""),124869.0)</f>
        <v>124869</v>
      </c>
      <c r="AE146" s="243">
        <f>IFERROR(__xludf.DUMMYFUNCTION("""COMPUTED_VALUE"""),124869.0)</f>
        <v>124869</v>
      </c>
      <c r="AF146" s="243"/>
      <c r="AG146" s="208"/>
      <c r="AH146" s="208"/>
      <c r="AI146" s="208"/>
      <c r="AJ146" s="208"/>
      <c r="AK146" s="208"/>
    </row>
    <row r="147">
      <c r="A147" s="219">
        <f>IFERROR(__xludf.DUMMYFUNCTION("""COMPUTED_VALUE"""),46087.0)</f>
        <v>46087</v>
      </c>
      <c r="B147" s="244">
        <f>IFERROR(__xludf.DUMMYFUNCTION("""COMPUTED_VALUE"""),0.4305555555547471)</f>
        <v>0.4305555556</v>
      </c>
      <c r="C147" s="222" t="str">
        <f>IFERROR(__xludf.DUMMYFUNCTION("""COMPUTED_VALUE"""),"Whatsapp")</f>
        <v>Whatsapp</v>
      </c>
      <c r="D147" s="222" t="str">
        <f>IFERROR(__xludf.DUMMYFUNCTION("""COMPUTED_VALUE"""),"Fallback Campaign")</f>
        <v>Fallback Campaign</v>
      </c>
      <c r="E147" s="222" t="str">
        <f>IFERROR(__xludf.DUMMYFUNCTION("""COMPUTED_VALUE"""),"VS")</f>
        <v>VS</v>
      </c>
      <c r="F147" s="222" t="str">
        <f>IFERROR(__xludf.DUMMYFUNCTION("""COMPUTED_VALUE"""),"Women's Day")</f>
        <v>Women's Day</v>
      </c>
      <c r="G147" s="222" t="str">
        <f>IFERROR(__xludf.DUMMYFUNCTION("""COMPUTED_VALUE"""),"Women's Day Online NewCX- FB")</f>
        <v>Women's Day Online NewCX- FB</v>
      </c>
      <c r="H147" s="222" t="str">
        <f>IFERROR(__xludf.DUMMYFUNCTION("""COMPUTED_VALUE"""),"New2025_WomensDay_ON")</f>
        <v>New2025_WomensDay_ON</v>
      </c>
      <c r="I147" s="223" t="str">
        <f>IFERROR(__xludf.DUMMYFUNCTION("""COMPUTED_VALUE"""),"RCS Delivery Failed")</f>
        <v>RCS Delivery Failed</v>
      </c>
      <c r="J147" s="242">
        <f>IFERROR(__xludf.DUMMYFUNCTION("""COMPUTED_VALUE"""),16442.0)</f>
        <v>16442</v>
      </c>
      <c r="K147" s="242">
        <f>IFERROR(__xludf.DUMMYFUNCTION("""COMPUTED_VALUE"""),8232.0)</f>
        <v>8232</v>
      </c>
      <c r="L147" s="268">
        <f>IFERROR(__xludf.DUMMYFUNCTION("""COMPUTED_VALUE"""),0.5007)</f>
        <v>0.5007</v>
      </c>
      <c r="M147" s="242">
        <f>IFERROR(__xludf.DUMMYFUNCTION("""COMPUTED_VALUE"""),1768.0)</f>
        <v>1768</v>
      </c>
      <c r="N147" s="268">
        <f>IFERROR(__xludf.DUMMYFUNCTION("""COMPUTED_VALUE"""),0.2148)</f>
        <v>0.2148</v>
      </c>
      <c r="O147" s="222">
        <f>IFERROR(__xludf.DUMMYFUNCTION("""COMPUTED_VALUE"""),191.0)</f>
        <v>191</v>
      </c>
      <c r="P147" s="222">
        <f>IFERROR(__xludf.DUMMYFUNCTION("""COMPUTED_VALUE"""),172.0)</f>
        <v>172</v>
      </c>
      <c r="Q147" s="268">
        <f>IFERROR(__xludf.DUMMYFUNCTION("""COMPUTED_VALUE"""),0.0209)</f>
        <v>0.0209</v>
      </c>
      <c r="R147" s="268">
        <f>IFERROR(__xludf.DUMMYFUNCTION("""COMPUTED_VALUE"""),0.0973)</f>
        <v>0.0973</v>
      </c>
      <c r="S147" s="222">
        <f>IFERROR(__xludf.DUMMYFUNCTION("""COMPUTED_VALUE"""),10.0)</f>
        <v>10</v>
      </c>
      <c r="T147" s="222">
        <f>IFERROR(__xludf.DUMMYFUNCTION("""COMPUTED_VALUE"""),12.0)</f>
        <v>12</v>
      </c>
      <c r="U147" s="242">
        <f>IFERROR(__xludf.DUMMYFUNCTION("""COMPUTED_VALUE"""),37973.0)</f>
        <v>37973</v>
      </c>
      <c r="V147" s="222" t="str">
        <f>IFERROR(__xludf.DUMMYFUNCTION("""COMPUTED_VALUE"""),"online")</f>
        <v>online</v>
      </c>
      <c r="W147" s="269" t="str">
        <f>IFERROR(__xludf.DUMMYFUNCTION("""COMPUTED_VALUE"""),"carousel")</f>
        <v>carousel</v>
      </c>
      <c r="X147" s="269" t="str">
        <f>IFERROR(__xludf.DUMMYFUNCTION("""COMPUTED_VALUE"""),"no brief")</f>
        <v>no brief</v>
      </c>
      <c r="Y147" s="269" t="str">
        <f>IFERROR(__xludf.DUMMYFUNCTION("""COMPUTED_VALUE"""),"06th - 8th March 2026")</f>
        <v>06th - 8th March 2026</v>
      </c>
      <c r="Z147" s="269" t="str">
        <f>IFERROR(__xludf.DUMMYFUNCTION("""COMPUTED_VALUE"""),"69a9804fb81b8d35e2afb1e0")</f>
        <v>69a9804fb81b8d35e2afb1e0</v>
      </c>
      <c r="AA147" s="243">
        <f>IFERROR(__xludf.DUMMYFUNCTION("""COMPUTED_VALUE"""),15.0)</f>
        <v>15</v>
      </c>
      <c r="AB147" s="243">
        <f>IFERROR(__xludf.DUMMYFUNCTION("""COMPUTED_VALUE"""),15.0)</f>
        <v>15</v>
      </c>
      <c r="AC147" s="243"/>
      <c r="AD147" s="243">
        <f>IFERROR(__xludf.DUMMYFUNCTION("""COMPUTED_VALUE"""),49653.0)</f>
        <v>49653</v>
      </c>
      <c r="AE147" s="243">
        <f>IFERROR(__xludf.DUMMYFUNCTION("""COMPUTED_VALUE"""),49653.0)</f>
        <v>49653</v>
      </c>
      <c r="AF147" s="243"/>
      <c r="AG147" s="208"/>
      <c r="AH147" s="208"/>
      <c r="AI147" s="208"/>
      <c r="AJ147" s="208"/>
      <c r="AK147" s="208"/>
    </row>
    <row r="148">
      <c r="A148" s="219">
        <f>IFERROR(__xludf.DUMMYFUNCTION("""COMPUTED_VALUE"""),46087.0)</f>
        <v>46087</v>
      </c>
      <c r="B148" s="244">
        <f>IFERROR(__xludf.DUMMYFUNCTION("""COMPUTED_VALUE"""),0.3541666666678793)</f>
        <v>0.3541666667</v>
      </c>
      <c r="C148" s="222" t="str">
        <f>IFERROR(__xludf.DUMMYFUNCTION("""COMPUTED_VALUE"""),"Whatsapp")</f>
        <v>Whatsapp</v>
      </c>
      <c r="D148" s="222" t="str">
        <f>IFERROR(__xludf.DUMMYFUNCTION("""COMPUTED_VALUE"""),"Promotional")</f>
        <v>Promotional</v>
      </c>
      <c r="E148" s="222" t="str">
        <f>IFERROR(__xludf.DUMMYFUNCTION("""COMPUTED_VALUE"""),"VS")</f>
        <v>VS</v>
      </c>
      <c r="F148" s="222" t="str">
        <f>IFERROR(__xludf.DUMMYFUNCTION("""COMPUTED_VALUE"""),"Women's Day")</f>
        <v>Women's Day</v>
      </c>
      <c r="G148" s="222" t="str">
        <f>IFERROR(__xludf.DUMMYFUNCTION("""COMPUTED_VALUE"""),"Women's Day Offline BA - HYD")</f>
        <v>Women's Day Offline BA - HYD</v>
      </c>
      <c r="H148" s="222" t="str">
        <f>IFERROR(__xludf.DUMMYFUNCTION("""COMPUTED_VALUE"""),"HYD_Store_Off")</f>
        <v>HYD_Store_Off</v>
      </c>
      <c r="I148" s="223" t="str">
        <f>IFERROR(__xludf.DUMMYFUNCTION("""COMPUTED_VALUE"""),"Offline Customers who have purchased at lease 1 time in last 36 months from any store in Hyderabad (97006 - VS INORBIT HYDERABAD MALL, 97013 - VS NEXUS MALL  SUJANA, 1280 - VS LAKESHORE HYDERABAD)")</f>
        <v>Offline Customers who have purchased at lease 1 time in last 36 months from any store in Hyderabad (97006 - VS INORBIT HYDERABAD MALL, 97013 - VS NEXUS MALL  SUJANA, 1280 - VS LAKESHORE HYDERABAD)</v>
      </c>
      <c r="J148" s="242">
        <f>IFERROR(__xludf.DUMMYFUNCTION("""COMPUTED_VALUE"""),15396.0)</f>
        <v>15396</v>
      </c>
      <c r="K148" s="242">
        <f>IFERROR(__xludf.DUMMYFUNCTION("""COMPUTED_VALUE"""),8241.0)</f>
        <v>8241</v>
      </c>
      <c r="L148" s="268">
        <f>IFERROR(__xludf.DUMMYFUNCTION("""COMPUTED_VALUE"""),0.5353)</f>
        <v>0.5353</v>
      </c>
      <c r="M148" s="242">
        <f>IFERROR(__xludf.DUMMYFUNCTION("""COMPUTED_VALUE"""),2323.0)</f>
        <v>2323</v>
      </c>
      <c r="N148" s="268">
        <f>IFERROR(__xludf.DUMMYFUNCTION("""COMPUTED_VALUE"""),0.2818)</f>
        <v>0.2818</v>
      </c>
      <c r="O148" s="222">
        <f>IFERROR(__xludf.DUMMYFUNCTION("""COMPUTED_VALUE"""),0.0)</f>
        <v>0</v>
      </c>
      <c r="P148" s="222">
        <f>IFERROR(__xludf.DUMMYFUNCTION("""COMPUTED_VALUE"""),0.0)</f>
        <v>0</v>
      </c>
      <c r="Q148" s="268">
        <f>IFERROR(__xludf.DUMMYFUNCTION("""COMPUTED_VALUE"""),0.0)</f>
        <v>0</v>
      </c>
      <c r="R148" s="268">
        <f>IFERROR(__xludf.DUMMYFUNCTION("""COMPUTED_VALUE"""),0.0)</f>
        <v>0</v>
      </c>
      <c r="S148" s="222">
        <f>IFERROR(__xludf.DUMMYFUNCTION("""COMPUTED_VALUE"""),2.0)</f>
        <v>2</v>
      </c>
      <c r="T148" s="222">
        <f>IFERROR(__xludf.DUMMYFUNCTION("""COMPUTED_VALUE"""),5.0)</f>
        <v>5</v>
      </c>
      <c r="U148" s="242">
        <f>IFERROR(__xludf.DUMMYFUNCTION("""COMPUTED_VALUE"""),5398.0)</f>
        <v>5398</v>
      </c>
      <c r="V148" s="222" t="str">
        <f>IFERROR(__xludf.DUMMYFUNCTION("""COMPUTED_VALUE"""),"offline")</f>
        <v>offline</v>
      </c>
      <c r="W148" s="269" t="str">
        <f>IFERROR(__xludf.DUMMYFUNCTION("""COMPUTED_VALUE"""),"simple")</f>
        <v>simple</v>
      </c>
      <c r="X148" s="269" t="str">
        <f>IFERROR(__xludf.DUMMYFUNCTION("""COMPUTED_VALUE"""),"no brief")</f>
        <v>no brief</v>
      </c>
      <c r="Y148" s="269" t="str">
        <f>IFERROR(__xludf.DUMMYFUNCTION("""COMPUTED_VALUE"""),"06th - 8th March 2026")</f>
        <v>06th - 8th March 2026</v>
      </c>
      <c r="Z148" s="269" t="str">
        <f>IFERROR(__xludf.DUMMYFUNCTION("""COMPUTED_VALUE"""),"69a989bf4af66535d8894732")</f>
        <v>69a989bf4af66535d8894732</v>
      </c>
      <c r="AA148" s="243">
        <f>IFERROR(__xludf.DUMMYFUNCTION("""COMPUTED_VALUE"""),16.0)</f>
        <v>16</v>
      </c>
      <c r="AB148" s="243"/>
      <c r="AC148" s="243">
        <f>IFERROR(__xludf.DUMMYFUNCTION("""COMPUTED_VALUE"""),16.0)</f>
        <v>16</v>
      </c>
      <c r="AD148" s="243">
        <f>IFERROR(__xludf.DUMMYFUNCTION("""COMPUTED_VALUE"""),66116.0)</f>
        <v>66116</v>
      </c>
      <c r="AE148" s="243"/>
      <c r="AF148" s="243">
        <f>IFERROR(__xludf.DUMMYFUNCTION("""COMPUTED_VALUE"""),66116.0)</f>
        <v>66116</v>
      </c>
      <c r="AG148" s="208"/>
      <c r="AH148" s="208"/>
      <c r="AI148" s="208"/>
      <c r="AJ148" s="208"/>
      <c r="AK148" s="208"/>
    </row>
    <row r="149">
      <c r="A149" s="219">
        <f>IFERROR(__xludf.DUMMYFUNCTION("""COMPUTED_VALUE"""),46087.0)</f>
        <v>46087</v>
      </c>
      <c r="B149" s="244">
        <f>IFERROR(__xludf.DUMMYFUNCTION("""COMPUTED_VALUE"""),0.35763888889050577)</f>
        <v>0.3576388889</v>
      </c>
      <c r="C149" s="222" t="str">
        <f>IFERROR(__xludf.DUMMYFUNCTION("""COMPUTED_VALUE"""),"Whatsapp")</f>
        <v>Whatsapp</v>
      </c>
      <c r="D149" s="222" t="str">
        <f>IFERROR(__xludf.DUMMYFUNCTION("""COMPUTED_VALUE"""),"Promotional")</f>
        <v>Promotional</v>
      </c>
      <c r="E149" s="222" t="str">
        <f>IFERROR(__xludf.DUMMYFUNCTION("""COMPUTED_VALUE"""),"VS")</f>
        <v>VS</v>
      </c>
      <c r="F149" s="222" t="str">
        <f>IFERROR(__xludf.DUMMYFUNCTION("""COMPUTED_VALUE"""),"Women's Day")</f>
        <v>Women's Day</v>
      </c>
      <c r="G149" s="222" t="str">
        <f>IFERROR(__xludf.DUMMYFUNCTION("""COMPUTED_VALUE"""),"Women's Day Offline FA - DEL")</f>
        <v>Women's Day Offline FA - DEL</v>
      </c>
      <c r="H149" s="222" t="str">
        <f>IFERROR(__xludf.DUMMYFUNCTION("""COMPUTED_VALUE"""),"DEL_Store_Off")</f>
        <v>DEL_Store_Off</v>
      </c>
      <c r="I149" s="223" t="str">
        <f>IFERROR(__xludf.DUMMYFUNCTION("""COMPUTED_VALUE"""),"Offline Customers who have purchased at lease 1 time in last 36 months from any store in Delhi (97002 - VS AMBIENCE MALL, 1251 - VS ELEGANTE DELHI)")</f>
        <v>Offline Customers who have purchased at lease 1 time in last 36 months from any store in Delhi (97002 - VS AMBIENCE MALL, 1251 - VS ELEGANTE DELHI)</v>
      </c>
      <c r="J149" s="242">
        <f>IFERROR(__xludf.DUMMYFUNCTION("""COMPUTED_VALUE"""),34032.0)</f>
        <v>34032</v>
      </c>
      <c r="K149" s="242">
        <f>IFERROR(__xludf.DUMMYFUNCTION("""COMPUTED_VALUE"""),16411.0)</f>
        <v>16411</v>
      </c>
      <c r="L149" s="268">
        <f>IFERROR(__xludf.DUMMYFUNCTION("""COMPUTED_VALUE"""),0.4822)</f>
        <v>0.4822</v>
      </c>
      <c r="M149" s="242">
        <f>IFERROR(__xludf.DUMMYFUNCTION("""COMPUTED_VALUE"""),3582.0)</f>
        <v>3582</v>
      </c>
      <c r="N149" s="268">
        <f>IFERROR(__xludf.DUMMYFUNCTION("""COMPUTED_VALUE"""),0.2183)</f>
        <v>0.2183</v>
      </c>
      <c r="O149" s="222">
        <f>IFERROR(__xludf.DUMMYFUNCTION("""COMPUTED_VALUE"""),175.0)</f>
        <v>175</v>
      </c>
      <c r="P149" s="222">
        <f>IFERROR(__xludf.DUMMYFUNCTION("""COMPUTED_VALUE"""),167.0)</f>
        <v>167</v>
      </c>
      <c r="Q149" s="268">
        <f>IFERROR(__xludf.DUMMYFUNCTION("""COMPUTED_VALUE"""),0.0102)</f>
        <v>0.0102</v>
      </c>
      <c r="R149" s="268">
        <f>IFERROR(__xludf.DUMMYFUNCTION("""COMPUTED_VALUE"""),0.0466)</f>
        <v>0.0466</v>
      </c>
      <c r="S149" s="222">
        <f>IFERROR(__xludf.DUMMYFUNCTION("""COMPUTED_VALUE"""),10.0)</f>
        <v>10</v>
      </c>
      <c r="T149" s="222">
        <f>IFERROR(__xludf.DUMMYFUNCTION("""COMPUTED_VALUE"""),14.0)</f>
        <v>14</v>
      </c>
      <c r="U149" s="242">
        <f>IFERROR(__xludf.DUMMYFUNCTION("""COMPUTED_VALUE"""),63804.0)</f>
        <v>63804</v>
      </c>
      <c r="V149" s="222" t="str">
        <f>IFERROR(__xludf.DUMMYFUNCTION("""COMPUTED_VALUE"""),"offline")</f>
        <v>offline</v>
      </c>
      <c r="W149" s="269" t="str">
        <f>IFERROR(__xludf.DUMMYFUNCTION("""COMPUTED_VALUE"""),"simple")</f>
        <v>simple</v>
      </c>
      <c r="X149" s="269" t="str">
        <f>IFERROR(__xludf.DUMMYFUNCTION("""COMPUTED_VALUE"""),"no brief")</f>
        <v>no brief</v>
      </c>
      <c r="Y149" s="269" t="str">
        <f>IFERROR(__xludf.DUMMYFUNCTION("""COMPUTED_VALUE"""),"06th - 8th March 2026")</f>
        <v>06th - 8th March 2026</v>
      </c>
      <c r="Z149" s="269" t="str">
        <f>IFERROR(__xludf.DUMMYFUNCTION("""COMPUTED_VALUE"""),"69a989f1760ef5fe855d64e7")</f>
        <v>69a989f1760ef5fe855d64e7</v>
      </c>
      <c r="AA149" s="243">
        <f>IFERROR(__xludf.DUMMYFUNCTION("""COMPUTED_VALUE"""),61.0)</f>
        <v>61</v>
      </c>
      <c r="AB149" s="243"/>
      <c r="AC149" s="243">
        <f>IFERROR(__xludf.DUMMYFUNCTION("""COMPUTED_VALUE"""),61.0)</f>
        <v>61</v>
      </c>
      <c r="AD149" s="243">
        <f>IFERROR(__xludf.DUMMYFUNCTION("""COMPUTED_VALUE"""),549472.0)</f>
        <v>549472</v>
      </c>
      <c r="AE149" s="243"/>
      <c r="AF149" s="243">
        <f>IFERROR(__xludf.DUMMYFUNCTION("""COMPUTED_VALUE"""),549472.0)</f>
        <v>549472</v>
      </c>
      <c r="AG149" s="208"/>
      <c r="AH149" s="208"/>
      <c r="AI149" s="208"/>
      <c r="AJ149" s="208"/>
      <c r="AK149" s="208"/>
    </row>
    <row r="150">
      <c r="A150" s="219">
        <f>IFERROR(__xludf.DUMMYFUNCTION("""COMPUTED_VALUE"""),46087.0)</f>
        <v>46087</v>
      </c>
      <c r="B150" s="244">
        <f>IFERROR(__xludf.DUMMYFUNCTION("""COMPUTED_VALUE"""),0.375)</f>
        <v>0.375</v>
      </c>
      <c r="C150" s="222" t="str">
        <f>IFERROR(__xludf.DUMMYFUNCTION("""COMPUTED_VALUE"""),"Whatsapp")</f>
        <v>Whatsapp</v>
      </c>
      <c r="D150" s="222" t="str">
        <f>IFERROR(__xludf.DUMMYFUNCTION("""COMPUTED_VALUE"""),"Promotional")</f>
        <v>Promotional</v>
      </c>
      <c r="E150" s="222" t="str">
        <f>IFERROR(__xludf.DUMMYFUNCTION("""COMPUTED_VALUE"""),"VS")</f>
        <v>VS</v>
      </c>
      <c r="F150" s="222" t="str">
        <f>IFERROR(__xludf.DUMMYFUNCTION("""COMPUTED_VALUE"""),"Women's Day")</f>
        <v>Women's Day</v>
      </c>
      <c r="G150" s="222" t="str">
        <f>IFERROR(__xludf.DUMMYFUNCTION("""COMPUTED_VALUE"""),"Women's Day Offline BA - Kochi")</f>
        <v>Women's Day Offline BA - Kochi</v>
      </c>
      <c r="H150" s="222" t="str">
        <f>IFERROR(__xludf.DUMMYFUNCTION("""COMPUTED_VALUE"""),"vs_off_kochi_feb2026")</f>
        <v>vs_off_kochi_feb2026</v>
      </c>
      <c r="I150" s="223" t="str">
        <f>IFERROR(__xludf.DUMMYFUNCTION("""COMPUTED_VALUE"""),"Customers who have shopped exactly once in last 1 year")</f>
        <v>Customers who have shopped exactly once in last 1 year</v>
      </c>
      <c r="J150" s="242">
        <f>IFERROR(__xludf.DUMMYFUNCTION("""COMPUTED_VALUE"""),5803.0)</f>
        <v>5803</v>
      </c>
      <c r="K150" s="242">
        <f>IFERROR(__xludf.DUMMYFUNCTION("""COMPUTED_VALUE"""),3582.0)</f>
        <v>3582</v>
      </c>
      <c r="L150" s="268">
        <f>IFERROR(__xludf.DUMMYFUNCTION("""COMPUTED_VALUE"""),0.6173)</f>
        <v>0.6173</v>
      </c>
      <c r="M150" s="242">
        <f>IFERROR(__xludf.DUMMYFUNCTION("""COMPUTED_VALUE"""),1092.0)</f>
        <v>1092</v>
      </c>
      <c r="N150" s="268">
        <f>IFERROR(__xludf.DUMMYFUNCTION("""COMPUTED_VALUE"""),0.3049)</f>
        <v>0.3049</v>
      </c>
      <c r="O150" s="222">
        <f>IFERROR(__xludf.DUMMYFUNCTION("""COMPUTED_VALUE"""),0.0)</f>
        <v>0</v>
      </c>
      <c r="P150" s="222">
        <f>IFERROR(__xludf.DUMMYFUNCTION("""COMPUTED_VALUE"""),0.0)</f>
        <v>0</v>
      </c>
      <c r="Q150" s="268">
        <f>IFERROR(__xludf.DUMMYFUNCTION("""COMPUTED_VALUE"""),0.0)</f>
        <v>0</v>
      </c>
      <c r="R150" s="268">
        <f>IFERROR(__xludf.DUMMYFUNCTION("""COMPUTED_VALUE"""),0.0)</f>
        <v>0</v>
      </c>
      <c r="S150" s="222">
        <f>IFERROR(__xludf.DUMMYFUNCTION("""COMPUTED_VALUE"""),0.0)</f>
        <v>0</v>
      </c>
      <c r="T150" s="222">
        <f>IFERROR(__xludf.DUMMYFUNCTION("""COMPUTED_VALUE"""),1.0)</f>
        <v>1</v>
      </c>
      <c r="U150" s="242">
        <f>IFERROR(__xludf.DUMMYFUNCTION("""COMPUTED_VALUE"""),0.0)</f>
        <v>0</v>
      </c>
      <c r="V150" s="222" t="str">
        <f>IFERROR(__xludf.DUMMYFUNCTION("""COMPUTED_VALUE"""),"offline")</f>
        <v>offline</v>
      </c>
      <c r="W150" s="269" t="str">
        <f>IFERROR(__xludf.DUMMYFUNCTION("""COMPUTED_VALUE"""),"simple")</f>
        <v>simple</v>
      </c>
      <c r="X150" s="269" t="str">
        <f>IFERROR(__xludf.DUMMYFUNCTION("""COMPUTED_VALUE"""),"no brief")</f>
        <v>no brief</v>
      </c>
      <c r="Y150" s="269" t="str">
        <f>IFERROR(__xludf.DUMMYFUNCTION("""COMPUTED_VALUE"""),"06th - 8th March 2026")</f>
        <v>06th - 8th March 2026</v>
      </c>
      <c r="Z150" s="269" t="str">
        <f>IFERROR(__xludf.DUMMYFUNCTION("""COMPUTED_VALUE"""),"69a98a072cceba48cd21abb4")</f>
        <v>69a98a072cceba48cd21abb4</v>
      </c>
      <c r="AA150" s="243">
        <f>IFERROR(__xludf.DUMMYFUNCTION("""COMPUTED_VALUE"""),9.0)</f>
        <v>9</v>
      </c>
      <c r="AB150" s="243"/>
      <c r="AC150" s="243">
        <f>IFERROR(__xludf.DUMMYFUNCTION("""COMPUTED_VALUE"""),9.0)</f>
        <v>9</v>
      </c>
      <c r="AD150" s="243">
        <f>IFERROR(__xludf.DUMMYFUNCTION("""COMPUTED_VALUE"""),30686.0)</f>
        <v>30686</v>
      </c>
      <c r="AE150" s="243"/>
      <c r="AF150" s="243">
        <f>IFERROR(__xludf.DUMMYFUNCTION("""COMPUTED_VALUE"""),30686.0)</f>
        <v>30686</v>
      </c>
      <c r="AG150" s="208"/>
      <c r="AH150" s="208"/>
      <c r="AI150" s="208"/>
      <c r="AJ150" s="208"/>
      <c r="AK150" s="208"/>
    </row>
    <row r="151">
      <c r="A151" s="219">
        <f>IFERROR(__xludf.DUMMYFUNCTION("""COMPUTED_VALUE"""),46087.0)</f>
        <v>46087</v>
      </c>
      <c r="B151" s="244">
        <f>IFERROR(__xludf.DUMMYFUNCTION("""COMPUTED_VALUE"""),0.36111111110949423)</f>
        <v>0.3611111111</v>
      </c>
      <c r="C151" s="222" t="str">
        <f>IFERROR(__xludf.DUMMYFUNCTION("""COMPUTED_VALUE"""),"Whatsapp")</f>
        <v>Whatsapp</v>
      </c>
      <c r="D151" s="222" t="str">
        <f>IFERROR(__xludf.DUMMYFUNCTION("""COMPUTED_VALUE"""),"Promotional")</f>
        <v>Promotional</v>
      </c>
      <c r="E151" s="222" t="str">
        <f>IFERROR(__xludf.DUMMYFUNCTION("""COMPUTED_VALUE"""),"VS")</f>
        <v>VS</v>
      </c>
      <c r="F151" s="222" t="str">
        <f>IFERROR(__xludf.DUMMYFUNCTION("""COMPUTED_VALUE"""),"Women's Day")</f>
        <v>Women's Day</v>
      </c>
      <c r="G151" s="222" t="str">
        <f>IFERROR(__xludf.DUMMYFUNCTION("""COMPUTED_VALUE"""),"Women's Day Offline BA - Pune")</f>
        <v>Women's Day Offline BA - Pune</v>
      </c>
      <c r="H151" s="222" t="str">
        <f>IFERROR(__xludf.DUMMYFUNCTION("""COMPUTED_VALUE"""),"PUNE_Store_Off")</f>
        <v>PUNE_Store_Off</v>
      </c>
      <c r="I151" s="223" t="str">
        <f>IFERROR(__xludf.DUMMYFUNCTION("""COMPUTED_VALUE"""),"Offline Customers who have purchased at lease 1 time in last 36 months from any store in Pune (97005 - VS MALL OF MILLENNIUM, 97007 - VS KOPA MALL PUNE)")</f>
        <v>Offline Customers who have purchased at lease 1 time in last 36 months from any store in Pune (97005 - VS MALL OF MILLENNIUM, 97007 - VS KOPA MALL PUNE)</v>
      </c>
      <c r="J151" s="242">
        <f>IFERROR(__xludf.DUMMYFUNCTION("""COMPUTED_VALUE"""),16398.0)</f>
        <v>16398</v>
      </c>
      <c r="K151" s="242">
        <f>IFERROR(__xludf.DUMMYFUNCTION("""COMPUTED_VALUE"""),9257.0)</f>
        <v>9257</v>
      </c>
      <c r="L151" s="268">
        <f>IFERROR(__xludf.DUMMYFUNCTION("""COMPUTED_VALUE"""),0.5645)</f>
        <v>0.5645</v>
      </c>
      <c r="M151" s="242">
        <f>IFERROR(__xludf.DUMMYFUNCTION("""COMPUTED_VALUE"""),2747.0)</f>
        <v>2747</v>
      </c>
      <c r="N151" s="268">
        <f>IFERROR(__xludf.DUMMYFUNCTION("""COMPUTED_VALUE"""),0.2968)</f>
        <v>0.2968</v>
      </c>
      <c r="O151" s="222">
        <f>IFERROR(__xludf.DUMMYFUNCTION("""COMPUTED_VALUE"""),0.0)</f>
        <v>0</v>
      </c>
      <c r="P151" s="222">
        <f>IFERROR(__xludf.DUMMYFUNCTION("""COMPUTED_VALUE"""),0.0)</f>
        <v>0</v>
      </c>
      <c r="Q151" s="268">
        <f>IFERROR(__xludf.DUMMYFUNCTION("""COMPUTED_VALUE"""),0.0)</f>
        <v>0</v>
      </c>
      <c r="R151" s="268">
        <f>IFERROR(__xludf.DUMMYFUNCTION("""COMPUTED_VALUE"""),0.0)</f>
        <v>0</v>
      </c>
      <c r="S151" s="222">
        <f>IFERROR(__xludf.DUMMYFUNCTION("""COMPUTED_VALUE"""),1.0)</f>
        <v>1</v>
      </c>
      <c r="T151" s="222">
        <f>IFERROR(__xludf.DUMMYFUNCTION("""COMPUTED_VALUE"""),6.0)</f>
        <v>6</v>
      </c>
      <c r="U151" s="242">
        <f>IFERROR(__xludf.DUMMYFUNCTION("""COMPUTED_VALUE"""),2449.0)</f>
        <v>2449</v>
      </c>
      <c r="V151" s="222" t="str">
        <f>IFERROR(__xludf.DUMMYFUNCTION("""COMPUTED_VALUE"""),"offline")</f>
        <v>offline</v>
      </c>
      <c r="W151" s="269" t="str">
        <f>IFERROR(__xludf.DUMMYFUNCTION("""COMPUTED_VALUE"""),"simple")</f>
        <v>simple</v>
      </c>
      <c r="X151" s="269" t="str">
        <f>IFERROR(__xludf.DUMMYFUNCTION("""COMPUTED_VALUE"""),"no brief")</f>
        <v>no brief</v>
      </c>
      <c r="Y151" s="269" t="str">
        <f>IFERROR(__xludf.DUMMYFUNCTION("""COMPUTED_VALUE"""),"06th - 8th March 2026")</f>
        <v>06th - 8th March 2026</v>
      </c>
      <c r="Z151" s="269" t="str">
        <f>IFERROR(__xludf.DUMMYFUNCTION("""COMPUTED_VALUE"""),"69a98a2965947bd95c6855bd")</f>
        <v>69a98a2965947bd95c6855bd</v>
      </c>
      <c r="AA151" s="243">
        <f>IFERROR(__xludf.DUMMYFUNCTION("""COMPUTED_VALUE"""),22.0)</f>
        <v>22</v>
      </c>
      <c r="AB151" s="243"/>
      <c r="AC151" s="243">
        <f>IFERROR(__xludf.DUMMYFUNCTION("""COMPUTED_VALUE"""),22.0)</f>
        <v>22</v>
      </c>
      <c r="AD151" s="243">
        <f>IFERROR(__xludf.DUMMYFUNCTION("""COMPUTED_VALUE"""),93384.0)</f>
        <v>93384</v>
      </c>
      <c r="AE151" s="243"/>
      <c r="AF151" s="243">
        <f>IFERROR(__xludf.DUMMYFUNCTION("""COMPUTED_VALUE"""),93384.0)</f>
        <v>93384</v>
      </c>
      <c r="AG151" s="208"/>
      <c r="AH151" s="208"/>
      <c r="AI151" s="208"/>
      <c r="AJ151" s="208"/>
      <c r="AK151" s="208"/>
    </row>
    <row r="152">
      <c r="A152" s="219">
        <f>IFERROR(__xludf.DUMMYFUNCTION("""COMPUTED_VALUE"""),46087.0)</f>
        <v>46087</v>
      </c>
      <c r="B152" s="244">
        <f>IFERROR(__xludf.DUMMYFUNCTION("""COMPUTED_VALUE"""),0.39236111110949423)</f>
        <v>0.3923611111</v>
      </c>
      <c r="C152" s="222" t="str">
        <f>IFERROR(__xludf.DUMMYFUNCTION("""COMPUTED_VALUE"""),"Whatsapp")</f>
        <v>Whatsapp</v>
      </c>
      <c r="D152" s="222" t="str">
        <f>IFERROR(__xludf.DUMMYFUNCTION("""COMPUTED_VALUE"""),"Promotional")</f>
        <v>Promotional</v>
      </c>
      <c r="E152" s="222" t="str">
        <f>IFERROR(__xludf.DUMMYFUNCTION("""COMPUTED_VALUE"""),"VS")</f>
        <v>VS</v>
      </c>
      <c r="F152" s="222" t="str">
        <f>IFERROR(__xludf.DUMMYFUNCTION("""COMPUTED_VALUE"""),"Women's Day")</f>
        <v>Women's Day</v>
      </c>
      <c r="G152" s="222" t="str">
        <f>IFERROR(__xludf.DUMMYFUNCTION("""COMPUTED_VALUE"""),"Women's Day Offline BA - BLR Nexus")</f>
        <v>Women's Day Offline BA - BLR Nexus</v>
      </c>
      <c r="H152" s="222" t="str">
        <f>IFERROR(__xludf.DUMMYFUNCTION("""COMPUTED_VALUE"""),"vs_off_sc_BA_97012_5thfeb2026")</f>
        <v>vs_off_sc_BA_97012_5thfeb2026</v>
      </c>
      <c r="I152" s="223" t="str">
        <f>IFERROR(__xludf.DUMMYFUNCTION("""COMPUTED_VALUE"""),"Offline Customers who have purchased at lease 1 time in last 36 months from any store in Bangalore; 97012 - VS NEXUS MALL KORAMANGALA")</f>
        <v>Offline Customers who have purchased at lease 1 time in last 36 months from any store in Bangalore; 97012 - VS NEXUS MALL KORAMANGALA</v>
      </c>
      <c r="J152" s="242">
        <f>IFERROR(__xludf.DUMMYFUNCTION("""COMPUTED_VALUE"""),7373.0)</f>
        <v>7373</v>
      </c>
      <c r="K152" s="242">
        <f>IFERROR(__xludf.DUMMYFUNCTION("""COMPUTED_VALUE"""),4416.0)</f>
        <v>4416</v>
      </c>
      <c r="L152" s="268">
        <f>IFERROR(__xludf.DUMMYFUNCTION("""COMPUTED_VALUE"""),0.5989)</f>
        <v>0.5989</v>
      </c>
      <c r="M152" s="242">
        <f>IFERROR(__xludf.DUMMYFUNCTION("""COMPUTED_VALUE"""),1100.0)</f>
        <v>1100</v>
      </c>
      <c r="N152" s="268">
        <f>IFERROR(__xludf.DUMMYFUNCTION("""COMPUTED_VALUE"""),0.2491)</f>
        <v>0.2491</v>
      </c>
      <c r="O152" s="222">
        <f>IFERROR(__xludf.DUMMYFUNCTION("""COMPUTED_VALUE"""),0.0)</f>
        <v>0</v>
      </c>
      <c r="P152" s="222">
        <f>IFERROR(__xludf.DUMMYFUNCTION("""COMPUTED_VALUE"""),0.0)</f>
        <v>0</v>
      </c>
      <c r="Q152" s="268">
        <f>IFERROR(__xludf.DUMMYFUNCTION("""COMPUTED_VALUE"""),0.0)</f>
        <v>0</v>
      </c>
      <c r="R152" s="268">
        <f>IFERROR(__xludf.DUMMYFUNCTION("""COMPUTED_VALUE"""),0.0)</f>
        <v>0</v>
      </c>
      <c r="S152" s="222">
        <f>IFERROR(__xludf.DUMMYFUNCTION("""COMPUTED_VALUE"""),1.0)</f>
        <v>1</v>
      </c>
      <c r="T152" s="222">
        <f>IFERROR(__xludf.DUMMYFUNCTION("""COMPUTED_VALUE"""),1.0)</f>
        <v>1</v>
      </c>
      <c r="U152" s="242">
        <f>IFERROR(__xludf.DUMMYFUNCTION("""COMPUTED_VALUE"""),3599.0)</f>
        <v>3599</v>
      </c>
      <c r="V152" s="222" t="str">
        <f>IFERROR(__xludf.DUMMYFUNCTION("""COMPUTED_VALUE"""),"offline")</f>
        <v>offline</v>
      </c>
      <c r="W152" s="269" t="str">
        <f>IFERROR(__xludf.DUMMYFUNCTION("""COMPUTED_VALUE"""),"simple")</f>
        <v>simple</v>
      </c>
      <c r="X152" s="269" t="str">
        <f>IFERROR(__xludf.DUMMYFUNCTION("""COMPUTED_VALUE"""),"no brief")</f>
        <v>no brief</v>
      </c>
      <c r="Y152" s="269" t="str">
        <f>IFERROR(__xludf.DUMMYFUNCTION("""COMPUTED_VALUE"""),"06th - 8th March 2026")</f>
        <v>06th - 8th March 2026</v>
      </c>
      <c r="Z152" s="269" t="str">
        <f>IFERROR(__xludf.DUMMYFUNCTION("""COMPUTED_VALUE"""),"69a98a57873650fb53fc8ec7")</f>
        <v>69a98a57873650fb53fc8ec7</v>
      </c>
      <c r="AA152" s="243">
        <f>IFERROR(__xludf.DUMMYFUNCTION("""COMPUTED_VALUE"""),12.0)</f>
        <v>12</v>
      </c>
      <c r="AB152" s="243"/>
      <c r="AC152" s="243">
        <f>IFERROR(__xludf.DUMMYFUNCTION("""COMPUTED_VALUE"""),12.0)</f>
        <v>12</v>
      </c>
      <c r="AD152" s="243">
        <f>IFERROR(__xludf.DUMMYFUNCTION("""COMPUTED_VALUE"""),67037.0)</f>
        <v>67037</v>
      </c>
      <c r="AE152" s="243"/>
      <c r="AF152" s="243">
        <f>IFERROR(__xludf.DUMMYFUNCTION("""COMPUTED_VALUE"""),67037.0)</f>
        <v>67037</v>
      </c>
      <c r="AG152" s="208"/>
      <c r="AH152" s="208"/>
      <c r="AI152" s="208"/>
      <c r="AJ152" s="208"/>
      <c r="AK152" s="208"/>
    </row>
    <row r="153">
      <c r="A153" s="219">
        <f>IFERROR(__xludf.DUMMYFUNCTION("""COMPUTED_VALUE"""),46087.0)</f>
        <v>46087</v>
      </c>
      <c r="B153" s="244">
        <f>IFERROR(__xludf.DUMMYFUNCTION("""COMPUTED_VALUE"""),0.38888888889050577)</f>
        <v>0.3888888889</v>
      </c>
      <c r="C153" s="222" t="str">
        <f>IFERROR(__xludf.DUMMYFUNCTION("""COMPUTED_VALUE"""),"Whatsapp")</f>
        <v>Whatsapp</v>
      </c>
      <c r="D153" s="222" t="str">
        <f>IFERROR(__xludf.DUMMYFUNCTION("""COMPUTED_VALUE"""),"Promotional")</f>
        <v>Promotional</v>
      </c>
      <c r="E153" s="222" t="str">
        <f>IFERROR(__xludf.DUMMYFUNCTION("""COMPUTED_VALUE"""),"VS")</f>
        <v>VS</v>
      </c>
      <c r="F153" s="222" t="str">
        <f>IFERROR(__xludf.DUMMYFUNCTION("""COMPUTED_VALUE"""),"Women's Day")</f>
        <v>Women's Day</v>
      </c>
      <c r="G153" s="222" t="str">
        <f>IFERROR(__xludf.DUMMYFUNCTION("""COMPUTED_VALUE"""),"Women's Day Offline BA - Kurla+Malad")</f>
        <v>Women's Day Offline BA - Kurla+Malad</v>
      </c>
      <c r="H153" s="222" t="str">
        <f>IFERROR(__xludf.DUMMYFUNCTION("""COMPUTED_VALUE"""),"vs_off_sc_BA_97008_97009_5thfeb2026")</f>
        <v>vs_off_sc_BA_97008_97009_5thfeb2026</v>
      </c>
      <c r="I153" s="223" t="str">
        <f>IFERROR(__xludf.DUMMYFUNCTION("""COMPUTED_VALUE"""),"Offline Customers who have purchased at lease 1 time in last 36 months from any store in Mumbai (97008 - VS INORBIT MALL MALAD, 97009 - VS MARKET CITY KURLA MALL)")</f>
        <v>Offline Customers who have purchased at lease 1 time in last 36 months from any store in Mumbai (97008 - VS INORBIT MALL MALAD, 97009 - VS MARKET CITY KURLA MALL)</v>
      </c>
      <c r="J153" s="242">
        <f>IFERROR(__xludf.DUMMYFUNCTION("""COMPUTED_VALUE"""),16219.0)</f>
        <v>16219</v>
      </c>
      <c r="K153" s="242">
        <f>IFERROR(__xludf.DUMMYFUNCTION("""COMPUTED_VALUE"""),10172.0)</f>
        <v>10172</v>
      </c>
      <c r="L153" s="268">
        <f>IFERROR(__xludf.DUMMYFUNCTION("""COMPUTED_VALUE"""),0.6272)</f>
        <v>0.6272</v>
      </c>
      <c r="M153" s="242">
        <f>IFERROR(__xludf.DUMMYFUNCTION("""COMPUTED_VALUE"""),3033.0)</f>
        <v>3033</v>
      </c>
      <c r="N153" s="268">
        <f>IFERROR(__xludf.DUMMYFUNCTION("""COMPUTED_VALUE"""),0.2981)</f>
        <v>0.2981</v>
      </c>
      <c r="O153" s="222">
        <f>IFERROR(__xludf.DUMMYFUNCTION("""COMPUTED_VALUE"""),0.0)</f>
        <v>0</v>
      </c>
      <c r="P153" s="222">
        <f>IFERROR(__xludf.DUMMYFUNCTION("""COMPUTED_VALUE"""),0.0)</f>
        <v>0</v>
      </c>
      <c r="Q153" s="268">
        <f>IFERROR(__xludf.DUMMYFUNCTION("""COMPUTED_VALUE"""),0.0)</f>
        <v>0</v>
      </c>
      <c r="R153" s="268">
        <f>IFERROR(__xludf.DUMMYFUNCTION("""COMPUTED_VALUE"""),0.0)</f>
        <v>0</v>
      </c>
      <c r="S153" s="222">
        <f>IFERROR(__xludf.DUMMYFUNCTION("""COMPUTED_VALUE"""),0.0)</f>
        <v>0</v>
      </c>
      <c r="T153" s="222">
        <f>IFERROR(__xludf.DUMMYFUNCTION("""COMPUTED_VALUE"""),8.0)</f>
        <v>8</v>
      </c>
      <c r="U153" s="242">
        <f>IFERROR(__xludf.DUMMYFUNCTION("""COMPUTED_VALUE"""),0.0)</f>
        <v>0</v>
      </c>
      <c r="V153" s="222" t="str">
        <f>IFERROR(__xludf.DUMMYFUNCTION("""COMPUTED_VALUE"""),"offline")</f>
        <v>offline</v>
      </c>
      <c r="W153" s="269" t="str">
        <f>IFERROR(__xludf.DUMMYFUNCTION("""COMPUTED_VALUE"""),"simple")</f>
        <v>simple</v>
      </c>
      <c r="X153" s="269" t="str">
        <f>IFERROR(__xludf.DUMMYFUNCTION("""COMPUTED_VALUE"""),"no brief")</f>
        <v>no brief</v>
      </c>
      <c r="Y153" s="269" t="str">
        <f>IFERROR(__xludf.DUMMYFUNCTION("""COMPUTED_VALUE"""),"06th - 8th March 2026")</f>
        <v>06th - 8th March 2026</v>
      </c>
      <c r="Z153" s="269" t="str">
        <f>IFERROR(__xludf.DUMMYFUNCTION("""COMPUTED_VALUE"""),"69a98ad8873650fb53fc8ed0")</f>
        <v>69a98ad8873650fb53fc8ed0</v>
      </c>
      <c r="AA153" s="243">
        <f>IFERROR(__xludf.DUMMYFUNCTION("""COMPUTED_VALUE"""),25.0)</f>
        <v>25</v>
      </c>
      <c r="AB153" s="243"/>
      <c r="AC153" s="243">
        <f>IFERROR(__xludf.DUMMYFUNCTION("""COMPUTED_VALUE"""),25.0)</f>
        <v>25</v>
      </c>
      <c r="AD153" s="243">
        <f>IFERROR(__xludf.DUMMYFUNCTION("""COMPUTED_VALUE"""),169454.0)</f>
        <v>169454</v>
      </c>
      <c r="AE153" s="243"/>
      <c r="AF153" s="243">
        <f>IFERROR(__xludf.DUMMYFUNCTION("""COMPUTED_VALUE"""),169454.0)</f>
        <v>169454</v>
      </c>
      <c r="AG153" s="208"/>
      <c r="AH153" s="208"/>
      <c r="AI153" s="208"/>
      <c r="AJ153" s="208"/>
      <c r="AK153" s="208"/>
    </row>
    <row r="154">
      <c r="A154" s="219">
        <f>IFERROR(__xludf.DUMMYFUNCTION("""COMPUTED_VALUE"""),46087.0)</f>
        <v>46087</v>
      </c>
      <c r="B154" s="244">
        <f>IFERROR(__xludf.DUMMYFUNCTION("""COMPUTED_VALUE"""),0.3645833333321207)</f>
        <v>0.3645833333</v>
      </c>
      <c r="C154" s="222" t="str">
        <f>IFERROR(__xludf.DUMMYFUNCTION("""COMPUTED_VALUE"""),"Whatsapp")</f>
        <v>Whatsapp</v>
      </c>
      <c r="D154" s="222" t="str">
        <f>IFERROR(__xludf.DUMMYFUNCTION("""COMPUTED_VALUE"""),"Promotional")</f>
        <v>Promotional</v>
      </c>
      <c r="E154" s="222" t="str">
        <f>IFERROR(__xludf.DUMMYFUNCTION("""COMPUTED_VALUE"""),"VS")</f>
        <v>VS</v>
      </c>
      <c r="F154" s="222" t="str">
        <f>IFERROR(__xludf.DUMMYFUNCTION("""COMPUTED_VALUE"""),"Women's Day")</f>
        <v>Women's Day</v>
      </c>
      <c r="G154" s="222" t="str">
        <f>IFERROR(__xludf.DUMMYFUNCTION("""COMPUTED_VALUE"""),"Women's Day Offline FA - GGN")</f>
        <v>Women's Day Offline FA - GGN</v>
      </c>
      <c r="H154" s="222" t="str">
        <f>IFERROR(__xludf.DUMMYFUNCTION("""COMPUTED_VALUE"""),"GGN_Store_Off")</f>
        <v>GGN_Store_Off</v>
      </c>
      <c r="I154" s="223" t="str">
        <f>IFERROR(__xludf.DUMMYFUNCTION("""COMPUTED_VALUE"""),"Offline Customers who have purchased at lease 1 time in last 36 months from any store in Gurgaon (97003 - VS AMBIENCE GURGAON MALL)")</f>
        <v>Offline Customers who have purchased at lease 1 time in last 36 months from any store in Gurgaon (97003 - VS AMBIENCE GURGAON MALL)</v>
      </c>
      <c r="J154" s="242">
        <f>IFERROR(__xludf.DUMMYFUNCTION("""COMPUTED_VALUE"""),31485.0)</f>
        <v>31485</v>
      </c>
      <c r="K154" s="242">
        <f>IFERROR(__xludf.DUMMYFUNCTION("""COMPUTED_VALUE"""),16684.0)</f>
        <v>16684</v>
      </c>
      <c r="L154" s="268">
        <f>IFERROR(__xludf.DUMMYFUNCTION("""COMPUTED_VALUE"""),0.5299)</f>
        <v>0.5299</v>
      </c>
      <c r="M154" s="242">
        <f>IFERROR(__xludf.DUMMYFUNCTION("""COMPUTED_VALUE"""),4077.0)</f>
        <v>4077</v>
      </c>
      <c r="N154" s="268">
        <f>IFERROR(__xludf.DUMMYFUNCTION("""COMPUTED_VALUE"""),0.2442)</f>
        <v>0.2442</v>
      </c>
      <c r="O154" s="222">
        <f>IFERROR(__xludf.DUMMYFUNCTION("""COMPUTED_VALUE"""),241.0)</f>
        <v>241</v>
      </c>
      <c r="P154" s="222">
        <f>IFERROR(__xludf.DUMMYFUNCTION("""COMPUTED_VALUE"""),225.0)</f>
        <v>225</v>
      </c>
      <c r="Q154" s="268">
        <f>IFERROR(__xludf.DUMMYFUNCTION("""COMPUTED_VALUE"""),0.0135)</f>
        <v>0.0135</v>
      </c>
      <c r="R154" s="268">
        <f>IFERROR(__xludf.DUMMYFUNCTION("""COMPUTED_VALUE"""),0.0552)</f>
        <v>0.0552</v>
      </c>
      <c r="S154" s="222">
        <f>IFERROR(__xludf.DUMMYFUNCTION("""COMPUTED_VALUE"""),6.0)</f>
        <v>6</v>
      </c>
      <c r="T154" s="222">
        <f>IFERROR(__xludf.DUMMYFUNCTION("""COMPUTED_VALUE"""),17.0)</f>
        <v>17</v>
      </c>
      <c r="U154" s="242">
        <f>IFERROR(__xludf.DUMMYFUNCTION("""COMPUTED_VALUE"""),30634.0)</f>
        <v>30634</v>
      </c>
      <c r="V154" s="222" t="str">
        <f>IFERROR(__xludf.DUMMYFUNCTION("""COMPUTED_VALUE"""),"offline")</f>
        <v>offline</v>
      </c>
      <c r="W154" s="269" t="str">
        <f>IFERROR(__xludf.DUMMYFUNCTION("""COMPUTED_VALUE"""),"simple")</f>
        <v>simple</v>
      </c>
      <c r="X154" s="269" t="str">
        <f>IFERROR(__xludf.DUMMYFUNCTION("""COMPUTED_VALUE"""),"no brief")</f>
        <v>no brief</v>
      </c>
      <c r="Y154" s="269" t="str">
        <f>IFERROR(__xludf.DUMMYFUNCTION("""COMPUTED_VALUE"""),"06th - 8th March 2026")</f>
        <v>06th - 8th March 2026</v>
      </c>
      <c r="Z154" s="269" t="str">
        <f>IFERROR(__xludf.DUMMYFUNCTION("""COMPUTED_VALUE"""),"69a98afc2cceba48cd21abc4")</f>
        <v>69a98afc2cceba48cd21abc4</v>
      </c>
      <c r="AA154" s="243">
        <f>IFERROR(__xludf.DUMMYFUNCTION("""COMPUTED_VALUE"""),44.0)</f>
        <v>44</v>
      </c>
      <c r="AB154" s="243"/>
      <c r="AC154" s="243">
        <f>IFERROR(__xludf.DUMMYFUNCTION("""COMPUTED_VALUE"""),44.0)</f>
        <v>44</v>
      </c>
      <c r="AD154" s="243">
        <f>IFERROR(__xludf.DUMMYFUNCTION("""COMPUTED_VALUE"""),496637.0)</f>
        <v>496637</v>
      </c>
      <c r="AE154" s="243"/>
      <c r="AF154" s="243">
        <f>IFERROR(__xludf.DUMMYFUNCTION("""COMPUTED_VALUE"""),496637.0)</f>
        <v>496637</v>
      </c>
      <c r="AG154" s="208"/>
      <c r="AH154" s="208"/>
      <c r="AI154" s="208"/>
      <c r="AJ154" s="208"/>
      <c r="AK154" s="208"/>
    </row>
    <row r="155">
      <c r="A155" s="219">
        <f>IFERROR(__xludf.DUMMYFUNCTION("""COMPUTED_VALUE"""),46087.0)</f>
        <v>46087</v>
      </c>
      <c r="B155" s="244">
        <f>IFERROR(__xludf.DUMMYFUNCTION("""COMPUTED_VALUE"""),0.37152777777737356)</f>
        <v>0.3715277778</v>
      </c>
      <c r="C155" s="222" t="str">
        <f>IFERROR(__xludf.DUMMYFUNCTION("""COMPUTED_VALUE"""),"Whatsapp")</f>
        <v>Whatsapp</v>
      </c>
      <c r="D155" s="222" t="str">
        <f>IFERROR(__xludf.DUMMYFUNCTION("""COMPUTED_VALUE"""),"Promotional")</f>
        <v>Promotional</v>
      </c>
      <c r="E155" s="222" t="str">
        <f>IFERROR(__xludf.DUMMYFUNCTION("""COMPUTED_VALUE"""),"VS")</f>
        <v>VS</v>
      </c>
      <c r="F155" s="222" t="str">
        <f>IFERROR(__xludf.DUMMYFUNCTION("""COMPUTED_VALUE"""),"Women's Day")</f>
        <v>Women's Day</v>
      </c>
      <c r="G155" s="222" t="str">
        <f>IFERROR(__xludf.DUMMYFUNCTION("""COMPUTED_VALUE"""),"Women's Day Offline BA - Lucknow")</f>
        <v>Women's Day Offline BA - Lucknow</v>
      </c>
      <c r="H155" s="222" t="str">
        <f>IFERROR(__xludf.DUMMYFUNCTION("""COMPUTED_VALUE"""),"vs_off_lucknow_feb2026")</f>
        <v>vs_off_lucknow_feb2026</v>
      </c>
      <c r="I155" s="223" t="str">
        <f>IFERROR(__xludf.DUMMYFUNCTION("""COMPUTED_VALUE"""),"Offline Customers who have purchased at lease 1 time in last 36 months from any store in Lucknow (1225 - VS BA PALASSIO LUCKNOW)")</f>
        <v>Offline Customers who have purchased at lease 1 time in last 36 months from any store in Lucknow (1225 - VS BA PALASSIO LUCKNOW)</v>
      </c>
      <c r="J155" s="242">
        <f>IFERROR(__xludf.DUMMYFUNCTION("""COMPUTED_VALUE"""),1906.0)</f>
        <v>1906</v>
      </c>
      <c r="K155" s="242">
        <f>IFERROR(__xludf.DUMMYFUNCTION("""COMPUTED_VALUE"""),1147.0)</f>
        <v>1147</v>
      </c>
      <c r="L155" s="268">
        <f>IFERROR(__xludf.DUMMYFUNCTION("""COMPUTED_VALUE"""),0.6018)</f>
        <v>0.6018</v>
      </c>
      <c r="M155" s="242">
        <f>IFERROR(__xludf.DUMMYFUNCTION("""COMPUTED_VALUE"""),348.0)</f>
        <v>348</v>
      </c>
      <c r="N155" s="268">
        <f>IFERROR(__xludf.DUMMYFUNCTION("""COMPUTED_VALUE"""),0.3034)</f>
        <v>0.3034</v>
      </c>
      <c r="O155" s="222">
        <f>IFERROR(__xludf.DUMMYFUNCTION("""COMPUTED_VALUE"""),0.0)</f>
        <v>0</v>
      </c>
      <c r="P155" s="222">
        <f>IFERROR(__xludf.DUMMYFUNCTION("""COMPUTED_VALUE"""),0.0)</f>
        <v>0</v>
      </c>
      <c r="Q155" s="268">
        <f>IFERROR(__xludf.DUMMYFUNCTION("""COMPUTED_VALUE"""),0.0)</f>
        <v>0</v>
      </c>
      <c r="R155" s="268">
        <f>IFERROR(__xludf.DUMMYFUNCTION("""COMPUTED_VALUE"""),0.0)</f>
        <v>0</v>
      </c>
      <c r="S155" s="222">
        <f>IFERROR(__xludf.DUMMYFUNCTION("""COMPUTED_VALUE"""),0.0)</f>
        <v>0</v>
      </c>
      <c r="T155" s="222">
        <f>IFERROR(__xludf.DUMMYFUNCTION("""COMPUTED_VALUE"""),0.0)</f>
        <v>0</v>
      </c>
      <c r="U155" s="242">
        <f>IFERROR(__xludf.DUMMYFUNCTION("""COMPUTED_VALUE"""),0.0)</f>
        <v>0</v>
      </c>
      <c r="V155" s="222" t="str">
        <f>IFERROR(__xludf.DUMMYFUNCTION("""COMPUTED_VALUE"""),"offline")</f>
        <v>offline</v>
      </c>
      <c r="W155" s="269" t="str">
        <f>IFERROR(__xludf.DUMMYFUNCTION("""COMPUTED_VALUE"""),"simple")</f>
        <v>simple</v>
      </c>
      <c r="X155" s="269" t="str">
        <f>IFERROR(__xludf.DUMMYFUNCTION("""COMPUTED_VALUE"""),"no brief")</f>
        <v>no brief</v>
      </c>
      <c r="Y155" s="269" t="str">
        <f>IFERROR(__xludf.DUMMYFUNCTION("""COMPUTED_VALUE"""),"06th - 8th March 2026")</f>
        <v>06th - 8th March 2026</v>
      </c>
      <c r="Z155" s="269" t="str">
        <f>IFERROR(__xludf.DUMMYFUNCTION("""COMPUTED_VALUE"""),"69a98b220b62038521b6d7d1")</f>
        <v>69a98b220b62038521b6d7d1</v>
      </c>
      <c r="AA155" s="243">
        <f>IFERROR(__xludf.DUMMYFUNCTION("""COMPUTED_VALUE"""),2.0)</f>
        <v>2</v>
      </c>
      <c r="AB155" s="243"/>
      <c r="AC155" s="243">
        <f>IFERROR(__xludf.DUMMYFUNCTION("""COMPUTED_VALUE"""),2.0)</f>
        <v>2</v>
      </c>
      <c r="AD155" s="243">
        <f>IFERROR(__xludf.DUMMYFUNCTION("""COMPUTED_VALUE"""),9995.0)</f>
        <v>9995</v>
      </c>
      <c r="AE155" s="243"/>
      <c r="AF155" s="243">
        <f>IFERROR(__xludf.DUMMYFUNCTION("""COMPUTED_VALUE"""),9995.0)</f>
        <v>9995</v>
      </c>
      <c r="AG155" s="208"/>
      <c r="AH155" s="208"/>
      <c r="AI155" s="208"/>
      <c r="AJ155" s="208"/>
      <c r="AK155" s="208"/>
    </row>
    <row r="156">
      <c r="A156" s="219">
        <f>IFERROR(__xludf.DUMMYFUNCTION("""COMPUTED_VALUE"""),46087.0)</f>
        <v>46087</v>
      </c>
      <c r="B156" s="244">
        <f>IFERROR(__xludf.DUMMYFUNCTION("""COMPUTED_VALUE"""),0.3680555555547471)</f>
        <v>0.3680555556</v>
      </c>
      <c r="C156" s="222" t="str">
        <f>IFERROR(__xludf.DUMMYFUNCTION("""COMPUTED_VALUE"""),"Whatsapp")</f>
        <v>Whatsapp</v>
      </c>
      <c r="D156" s="222" t="str">
        <f>IFERROR(__xludf.DUMMYFUNCTION("""COMPUTED_VALUE"""),"Promotional")</f>
        <v>Promotional</v>
      </c>
      <c r="E156" s="222" t="str">
        <f>IFERROR(__xludf.DUMMYFUNCTION("""COMPUTED_VALUE"""),"VS")</f>
        <v>VS</v>
      </c>
      <c r="F156" s="222" t="str">
        <f>IFERROR(__xludf.DUMMYFUNCTION("""COMPUTED_VALUE"""),"Women's Day")</f>
        <v>Women's Day</v>
      </c>
      <c r="G156" s="222" t="str">
        <f>IFERROR(__xludf.DUMMYFUNCTION("""COMPUTED_VALUE"""),"Women's Day Offline BA - Raipur")</f>
        <v>Women's Day Offline BA - Raipur</v>
      </c>
      <c r="H156" s="222" t="str">
        <f>IFERROR(__xludf.DUMMYFUNCTION("""COMPUTED_VALUE"""),"vs_off_raipur_feb2026")</f>
        <v>vs_off_raipur_feb2026</v>
      </c>
      <c r="I156" s="223" t="str">
        <f>IFERROR(__xludf.DUMMYFUNCTION("""COMPUTED_VALUE"""),"Offline Customers who have purchased at lease 1 time in last 36 months from any store in Raipur (1271 - VS BA ZORA RAIPUR)")</f>
        <v>Offline Customers who have purchased at lease 1 time in last 36 months from any store in Raipur (1271 - VS BA ZORA RAIPUR)</v>
      </c>
      <c r="J156" s="242">
        <f>IFERROR(__xludf.DUMMYFUNCTION("""COMPUTED_VALUE"""),1450.0)</f>
        <v>1450</v>
      </c>
      <c r="K156" s="242">
        <f>IFERROR(__xludf.DUMMYFUNCTION("""COMPUTED_VALUE"""),813.0)</f>
        <v>813</v>
      </c>
      <c r="L156" s="268">
        <f>IFERROR(__xludf.DUMMYFUNCTION("""COMPUTED_VALUE"""),0.5607)</f>
        <v>0.5607</v>
      </c>
      <c r="M156" s="242">
        <f>IFERROR(__xludf.DUMMYFUNCTION("""COMPUTED_VALUE"""),262.0)</f>
        <v>262</v>
      </c>
      <c r="N156" s="268">
        <f>IFERROR(__xludf.DUMMYFUNCTION("""COMPUTED_VALUE"""),0.3223)</f>
        <v>0.3223</v>
      </c>
      <c r="O156" s="222">
        <f>IFERROR(__xludf.DUMMYFUNCTION("""COMPUTED_VALUE"""),0.0)</f>
        <v>0</v>
      </c>
      <c r="P156" s="222">
        <f>IFERROR(__xludf.DUMMYFUNCTION("""COMPUTED_VALUE"""),0.0)</f>
        <v>0</v>
      </c>
      <c r="Q156" s="268">
        <f>IFERROR(__xludf.DUMMYFUNCTION("""COMPUTED_VALUE"""),0.0)</f>
        <v>0</v>
      </c>
      <c r="R156" s="268">
        <f>IFERROR(__xludf.DUMMYFUNCTION("""COMPUTED_VALUE"""),0.0)</f>
        <v>0</v>
      </c>
      <c r="S156" s="222">
        <f>IFERROR(__xludf.DUMMYFUNCTION("""COMPUTED_VALUE"""),0.0)</f>
        <v>0</v>
      </c>
      <c r="T156" s="222">
        <f>IFERROR(__xludf.DUMMYFUNCTION("""COMPUTED_VALUE"""),1.0)</f>
        <v>1</v>
      </c>
      <c r="U156" s="242">
        <f>IFERROR(__xludf.DUMMYFUNCTION("""COMPUTED_VALUE"""),0.0)</f>
        <v>0</v>
      </c>
      <c r="V156" s="222" t="str">
        <f>IFERROR(__xludf.DUMMYFUNCTION("""COMPUTED_VALUE"""),"offline")</f>
        <v>offline</v>
      </c>
      <c r="W156" s="269" t="str">
        <f>IFERROR(__xludf.DUMMYFUNCTION("""COMPUTED_VALUE"""),"simple")</f>
        <v>simple</v>
      </c>
      <c r="X156" s="269" t="str">
        <f>IFERROR(__xludf.DUMMYFUNCTION("""COMPUTED_VALUE"""),"no brief")</f>
        <v>no brief</v>
      </c>
      <c r="Y156" s="269" t="str">
        <f>IFERROR(__xludf.DUMMYFUNCTION("""COMPUTED_VALUE"""),"06th - 8th March 2026")</f>
        <v>06th - 8th March 2026</v>
      </c>
      <c r="Z156" s="269" t="str">
        <f>IFERROR(__xludf.DUMMYFUNCTION("""COMPUTED_VALUE"""),"69a98b399c632fc4a903f1e5")</f>
        <v>69a98b399c632fc4a903f1e5</v>
      </c>
      <c r="AA156" s="243">
        <f>IFERROR(__xludf.DUMMYFUNCTION("""COMPUTED_VALUE"""),3.0)</f>
        <v>3</v>
      </c>
      <c r="AB156" s="243"/>
      <c r="AC156" s="243">
        <f>IFERROR(__xludf.DUMMYFUNCTION("""COMPUTED_VALUE"""),3.0)</f>
        <v>3</v>
      </c>
      <c r="AD156" s="243">
        <f>IFERROR(__xludf.DUMMYFUNCTION("""COMPUTED_VALUE"""),8297.0)</f>
        <v>8297</v>
      </c>
      <c r="AE156" s="243"/>
      <c r="AF156" s="243">
        <f>IFERROR(__xludf.DUMMYFUNCTION("""COMPUTED_VALUE"""),8297.0)</f>
        <v>8297</v>
      </c>
      <c r="AG156" s="208"/>
      <c r="AH156" s="208"/>
      <c r="AI156" s="208"/>
      <c r="AJ156" s="208"/>
      <c r="AK156" s="208"/>
    </row>
    <row r="157">
      <c r="A157" s="219">
        <f>IFERROR(__xludf.DUMMYFUNCTION("""COMPUTED_VALUE"""),46087.0)</f>
        <v>46087</v>
      </c>
      <c r="B157" s="244">
        <f>IFERROR(__xludf.DUMMYFUNCTION("""COMPUTED_VALUE"""),0.37847222222262644)</f>
        <v>0.3784722222</v>
      </c>
      <c r="C157" s="222" t="str">
        <f>IFERROR(__xludf.DUMMYFUNCTION("""COMPUTED_VALUE"""),"Whatsapp")</f>
        <v>Whatsapp</v>
      </c>
      <c r="D157" s="222" t="str">
        <f>IFERROR(__xludf.DUMMYFUNCTION("""COMPUTED_VALUE"""),"Promotional")</f>
        <v>Promotional</v>
      </c>
      <c r="E157" s="222" t="str">
        <f>IFERROR(__xludf.DUMMYFUNCTION("""COMPUTED_VALUE"""),"VS")</f>
        <v>VS</v>
      </c>
      <c r="F157" s="222" t="str">
        <f>IFERROR(__xludf.DUMMYFUNCTION("""COMPUTED_VALUE"""),"Women's Day")</f>
        <v>Women's Day</v>
      </c>
      <c r="G157" s="222" t="str">
        <f>IFERROR(__xludf.DUMMYFUNCTION("""COMPUTED_VALUE"""),"Women's Day Offline BA - Chennai")</f>
        <v>Women's Day Offline BA - Chennai</v>
      </c>
      <c r="H157" s="222" t="str">
        <f>IFERROR(__xludf.DUMMYFUNCTION("""COMPUTED_VALUE"""),"vs_off_chennai_feb2026")</f>
        <v>vs_off_chennai_feb2026</v>
      </c>
      <c r="I157" s="223" t="str">
        <f>IFERROR(__xludf.DUMMYFUNCTION("""COMPUTED_VALUE"""),"Offline Customers who have purchased at lease 1 time in last 36 months from any store in Chennai (1252 - VS BA EXPRESS AVENUE CHENNAI)")</f>
        <v>Offline Customers who have purchased at lease 1 time in last 36 months from any store in Chennai (1252 - VS BA EXPRESS AVENUE CHENNAI)</v>
      </c>
      <c r="J157" s="242">
        <f>IFERROR(__xludf.DUMMYFUNCTION("""COMPUTED_VALUE"""),3591.0)</f>
        <v>3591</v>
      </c>
      <c r="K157" s="242">
        <f>IFERROR(__xludf.DUMMYFUNCTION("""COMPUTED_VALUE"""),2203.0)</f>
        <v>2203</v>
      </c>
      <c r="L157" s="268">
        <f>IFERROR(__xludf.DUMMYFUNCTION("""COMPUTED_VALUE"""),0.6135)</f>
        <v>0.6135</v>
      </c>
      <c r="M157" s="242">
        <f>IFERROR(__xludf.DUMMYFUNCTION("""COMPUTED_VALUE"""),648.0)</f>
        <v>648</v>
      </c>
      <c r="N157" s="268">
        <f>IFERROR(__xludf.DUMMYFUNCTION("""COMPUTED_VALUE"""),0.2941)</f>
        <v>0.2941</v>
      </c>
      <c r="O157" s="222">
        <f>IFERROR(__xludf.DUMMYFUNCTION("""COMPUTED_VALUE"""),0.0)</f>
        <v>0</v>
      </c>
      <c r="P157" s="222">
        <f>IFERROR(__xludf.DUMMYFUNCTION("""COMPUTED_VALUE"""),0.0)</f>
        <v>0</v>
      </c>
      <c r="Q157" s="268">
        <f>IFERROR(__xludf.DUMMYFUNCTION("""COMPUTED_VALUE"""),0.0)</f>
        <v>0</v>
      </c>
      <c r="R157" s="268">
        <f>IFERROR(__xludf.DUMMYFUNCTION("""COMPUTED_VALUE"""),0.0)</f>
        <v>0</v>
      </c>
      <c r="S157" s="222">
        <f>IFERROR(__xludf.DUMMYFUNCTION("""COMPUTED_VALUE"""),1.0)</f>
        <v>1</v>
      </c>
      <c r="T157" s="222">
        <f>IFERROR(__xludf.DUMMYFUNCTION("""COMPUTED_VALUE"""),2.0)</f>
        <v>2</v>
      </c>
      <c r="U157" s="242">
        <f>IFERROR(__xludf.DUMMYFUNCTION("""COMPUTED_VALUE"""),4798.0)</f>
        <v>4798</v>
      </c>
      <c r="V157" s="222" t="str">
        <f>IFERROR(__xludf.DUMMYFUNCTION("""COMPUTED_VALUE"""),"offline")</f>
        <v>offline</v>
      </c>
      <c r="W157" s="269" t="str">
        <f>IFERROR(__xludf.DUMMYFUNCTION("""COMPUTED_VALUE"""),"simple")</f>
        <v>simple</v>
      </c>
      <c r="X157" s="269" t="str">
        <f>IFERROR(__xludf.DUMMYFUNCTION("""COMPUTED_VALUE"""),"no brief")</f>
        <v>no brief</v>
      </c>
      <c r="Y157" s="269" t="str">
        <f>IFERROR(__xludf.DUMMYFUNCTION("""COMPUTED_VALUE"""),"06th - 8th March 2026")</f>
        <v>06th - 8th March 2026</v>
      </c>
      <c r="Z157" s="269" t="str">
        <f>IFERROR(__xludf.DUMMYFUNCTION("""COMPUTED_VALUE"""),"69a98b6f78407bfee21dca7b")</f>
        <v>69a98b6f78407bfee21dca7b</v>
      </c>
      <c r="AA157" s="243">
        <f>IFERROR(__xludf.DUMMYFUNCTION("""COMPUTED_VALUE"""),6.0)</f>
        <v>6</v>
      </c>
      <c r="AB157" s="243"/>
      <c r="AC157" s="243">
        <f>IFERROR(__xludf.DUMMYFUNCTION("""COMPUTED_VALUE"""),6.0)</f>
        <v>6</v>
      </c>
      <c r="AD157" s="243">
        <f>IFERROR(__xludf.DUMMYFUNCTION("""COMPUTED_VALUE"""),20117.0)</f>
        <v>20117</v>
      </c>
      <c r="AE157" s="243"/>
      <c r="AF157" s="243">
        <f>IFERROR(__xludf.DUMMYFUNCTION("""COMPUTED_VALUE"""),20117.0)</f>
        <v>20117</v>
      </c>
      <c r="AG157" s="208"/>
      <c r="AH157" s="208"/>
      <c r="AI157" s="208"/>
      <c r="AJ157" s="208"/>
      <c r="AK157" s="208"/>
    </row>
    <row r="158">
      <c r="A158" s="219">
        <f>IFERROR(__xludf.DUMMYFUNCTION("""COMPUTED_VALUE"""),46087.0)</f>
        <v>46087</v>
      </c>
      <c r="B158" s="244">
        <f>IFERROR(__xludf.DUMMYFUNCTION("""COMPUTED_VALUE"""),0.6666666666678793)</f>
        <v>0.6666666667</v>
      </c>
      <c r="C158" s="222" t="str">
        <f>IFERROR(__xludf.DUMMYFUNCTION("""COMPUTED_VALUE"""),"Whatsapp")</f>
        <v>Whatsapp</v>
      </c>
      <c r="D158" s="222" t="str">
        <f>IFERROR(__xludf.DUMMYFUNCTION("""COMPUTED_VALUE"""),"Promotional")</f>
        <v>Promotional</v>
      </c>
      <c r="E158" s="222" t="str">
        <f>IFERROR(__xludf.DUMMYFUNCTION("""COMPUTED_VALUE"""),"VS")</f>
        <v>VS</v>
      </c>
      <c r="F158" s="222" t="str">
        <f>IFERROR(__xludf.DUMMYFUNCTION("""COMPUTED_VALUE"""),"Women's Day")</f>
        <v>Women's Day</v>
      </c>
      <c r="G158" s="222" t="str">
        <f>IFERROR(__xludf.DUMMYFUNCTION("""COMPUTED_VALUE"""),"Women's Day Offline FA - BLR (Revised)")</f>
        <v>Women's Day Offline FA - BLR (Revised)</v>
      </c>
      <c r="H158" s="222" t="str">
        <f>IFERROR(__xludf.DUMMYFUNCTION("""COMPUTED_VALUE"""),"vs_off_sc_FA_97004_1273_5thfeb2026")</f>
        <v>vs_off_sc_FA_97004_1273_5thfeb2026</v>
      </c>
      <c r="I158" s="223" t="str">
        <f>IFERROR(__xludf.DUMMYFUNCTION("""COMPUTED_VALUE"""),"Offline Customers who have purchased at lease 1 time in last 36 months from any store in Bangalore; (97004 - VS MALL OF ASIA, 1273 - VS ORION BANGALORE)")</f>
        <v>Offline Customers who have purchased at lease 1 time in last 36 months from any store in Bangalore; (97004 - VS MALL OF ASIA, 1273 - VS ORION BANGALORE)</v>
      </c>
      <c r="J158" s="242">
        <f>IFERROR(__xludf.DUMMYFUNCTION("""COMPUTED_VALUE"""),24152.0)</f>
        <v>24152</v>
      </c>
      <c r="K158" s="242">
        <f>IFERROR(__xludf.DUMMYFUNCTION("""COMPUTED_VALUE"""),11003.0)</f>
        <v>11003</v>
      </c>
      <c r="L158" s="268">
        <f>IFERROR(__xludf.DUMMYFUNCTION("""COMPUTED_VALUE"""),0.4556)</f>
        <v>0.4556</v>
      </c>
      <c r="M158" s="242">
        <f>IFERROR(__xludf.DUMMYFUNCTION("""COMPUTED_VALUE"""),2485.0)</f>
        <v>2485</v>
      </c>
      <c r="N158" s="268">
        <f>IFERROR(__xludf.DUMMYFUNCTION("""COMPUTED_VALUE"""),0.2259)</f>
        <v>0.2259</v>
      </c>
      <c r="O158" s="222">
        <f>IFERROR(__xludf.DUMMYFUNCTION("""COMPUTED_VALUE"""),0.0)</f>
        <v>0</v>
      </c>
      <c r="P158" s="222">
        <f>IFERROR(__xludf.DUMMYFUNCTION("""COMPUTED_VALUE"""),0.0)</f>
        <v>0</v>
      </c>
      <c r="Q158" s="268">
        <f>IFERROR(__xludf.DUMMYFUNCTION("""COMPUTED_VALUE"""),0.0)</f>
        <v>0</v>
      </c>
      <c r="R158" s="268">
        <f>IFERROR(__xludf.DUMMYFUNCTION("""COMPUTED_VALUE"""),0.0)</f>
        <v>0</v>
      </c>
      <c r="S158" s="222">
        <f>IFERROR(__xludf.DUMMYFUNCTION("""COMPUTED_VALUE"""),1.0)</f>
        <v>1</v>
      </c>
      <c r="T158" s="222">
        <f>IFERROR(__xludf.DUMMYFUNCTION("""COMPUTED_VALUE"""),7.0)</f>
        <v>7</v>
      </c>
      <c r="U158" s="242">
        <f>IFERROR(__xludf.DUMMYFUNCTION("""COMPUTED_VALUE"""),4100.0)</f>
        <v>4100</v>
      </c>
      <c r="V158" s="222" t="str">
        <f>IFERROR(__xludf.DUMMYFUNCTION("""COMPUTED_VALUE"""),"offline")</f>
        <v>offline</v>
      </c>
      <c r="W158" s="269" t="str">
        <f>IFERROR(__xludf.DUMMYFUNCTION("""COMPUTED_VALUE"""),"simple")</f>
        <v>simple</v>
      </c>
      <c r="X158" s="269" t="str">
        <f>IFERROR(__xludf.DUMMYFUNCTION("""COMPUTED_VALUE"""),"no brief")</f>
        <v>no brief</v>
      </c>
      <c r="Y158" s="269" t="str">
        <f>IFERROR(__xludf.DUMMYFUNCTION("""COMPUTED_VALUE"""),"06th - 8th March 2026")</f>
        <v>06th - 8th March 2026</v>
      </c>
      <c r="Z158" s="269" t="str">
        <f>IFERROR(__xludf.DUMMYFUNCTION("""COMPUTED_VALUE"""),"69aa9209809564481f83e27a")</f>
        <v>69aa9209809564481f83e27a</v>
      </c>
      <c r="AA158" s="243">
        <f>IFERROR(__xludf.DUMMYFUNCTION("""COMPUTED_VALUE"""),38.0)</f>
        <v>38</v>
      </c>
      <c r="AB158" s="243"/>
      <c r="AC158" s="243">
        <f>IFERROR(__xludf.DUMMYFUNCTION("""COMPUTED_VALUE"""),38.0)</f>
        <v>38</v>
      </c>
      <c r="AD158" s="243">
        <f>IFERROR(__xludf.DUMMYFUNCTION("""COMPUTED_VALUE"""),290264.0)</f>
        <v>290264</v>
      </c>
      <c r="AE158" s="243"/>
      <c r="AF158" s="243">
        <f>IFERROR(__xludf.DUMMYFUNCTION("""COMPUTED_VALUE"""),290264.0)</f>
        <v>290264</v>
      </c>
      <c r="AG158" s="208"/>
      <c r="AH158" s="208"/>
      <c r="AI158" s="208"/>
      <c r="AJ158" s="208"/>
      <c r="AK158" s="208"/>
    </row>
    <row r="159">
      <c r="A159" s="219">
        <f>IFERROR(__xludf.DUMMYFUNCTION("""COMPUTED_VALUE"""),46087.0)</f>
        <v>46087</v>
      </c>
      <c r="B159" s="244">
        <f>IFERROR(__xludf.DUMMYFUNCTION("""COMPUTED_VALUE"""),0.6666666666678793)</f>
        <v>0.6666666667</v>
      </c>
      <c r="C159" s="222" t="str">
        <f>IFERROR(__xludf.DUMMYFUNCTION("""COMPUTED_VALUE"""),"Whatsapp")</f>
        <v>Whatsapp</v>
      </c>
      <c r="D159" s="222" t="str">
        <f>IFERROR(__xludf.DUMMYFUNCTION("""COMPUTED_VALUE"""),"Promotional")</f>
        <v>Promotional</v>
      </c>
      <c r="E159" s="222" t="str">
        <f>IFERROR(__xludf.DUMMYFUNCTION("""COMPUTED_VALUE"""),"VS")</f>
        <v>VS</v>
      </c>
      <c r="F159" s="222" t="str">
        <f>IFERROR(__xludf.DUMMYFUNCTION("""COMPUTED_VALUE"""),"Women's Day")</f>
        <v>Women's Day</v>
      </c>
      <c r="G159" s="222" t="str">
        <f>IFERROR(__xludf.DUMMYFUNCTION("""COMPUTED_VALUE"""),"Women's Day Offline FA - MUM (Revised)")</f>
        <v>Women's Day Offline FA - MUM (Revised)</v>
      </c>
      <c r="H159" s="222" t="str">
        <f>IFERROR(__xludf.DUMMYFUNCTION("""COMPUTED_VALUE"""),"vs_off_sc_FA_97001_5thfeb2026")</f>
        <v>vs_off_sc_FA_97001_5thfeb2026</v>
      </c>
      <c r="I159" s="223" t="str">
        <f>IFERROR(__xludf.DUMMYFUNCTION("""COMPUTED_VALUE"""),"Offline Customers who have purchased at lease 1 time in last 36 months from any store in Mumbai :- 97001 - VS PHOENIX PALLADIUM MALL,")</f>
        <v>Offline Customers who have purchased at lease 1 time in last 36 months from any store in Mumbai :- 97001 - VS PHOENIX PALLADIUM MALL,</v>
      </c>
      <c r="J159" s="242">
        <f>IFERROR(__xludf.DUMMYFUNCTION("""COMPUTED_VALUE"""),36905.0)</f>
        <v>36905</v>
      </c>
      <c r="K159" s="242">
        <f>IFERROR(__xludf.DUMMYFUNCTION("""COMPUTED_VALUE"""),17074.0)</f>
        <v>17074</v>
      </c>
      <c r="L159" s="268">
        <f>IFERROR(__xludf.DUMMYFUNCTION("""COMPUTED_VALUE"""),0.4626)</f>
        <v>0.4626</v>
      </c>
      <c r="M159" s="242">
        <f>IFERROR(__xludf.DUMMYFUNCTION("""COMPUTED_VALUE"""),3749.0)</f>
        <v>3749</v>
      </c>
      <c r="N159" s="268">
        <f>IFERROR(__xludf.DUMMYFUNCTION("""COMPUTED_VALUE"""),0.2196)</f>
        <v>0.2196</v>
      </c>
      <c r="O159" s="222">
        <f>IFERROR(__xludf.DUMMYFUNCTION("""COMPUTED_VALUE"""),0.0)</f>
        <v>0</v>
      </c>
      <c r="P159" s="222">
        <f>IFERROR(__xludf.DUMMYFUNCTION("""COMPUTED_VALUE"""),0.0)</f>
        <v>0</v>
      </c>
      <c r="Q159" s="268">
        <f>IFERROR(__xludf.DUMMYFUNCTION("""COMPUTED_VALUE"""),0.0)</f>
        <v>0</v>
      </c>
      <c r="R159" s="268">
        <f>IFERROR(__xludf.DUMMYFUNCTION("""COMPUTED_VALUE"""),0.0)</f>
        <v>0</v>
      </c>
      <c r="S159" s="222">
        <f>IFERROR(__xludf.DUMMYFUNCTION("""COMPUTED_VALUE"""),3.0)</f>
        <v>3</v>
      </c>
      <c r="T159" s="222">
        <f>IFERROR(__xludf.DUMMYFUNCTION("""COMPUTED_VALUE"""),11.0)</f>
        <v>11</v>
      </c>
      <c r="U159" s="242">
        <f>IFERROR(__xludf.DUMMYFUNCTION("""COMPUTED_VALUE"""),16824.0)</f>
        <v>16824</v>
      </c>
      <c r="V159" s="222" t="str">
        <f>IFERROR(__xludf.DUMMYFUNCTION("""COMPUTED_VALUE"""),"offline")</f>
        <v>offline</v>
      </c>
      <c r="W159" s="269" t="str">
        <f>IFERROR(__xludf.DUMMYFUNCTION("""COMPUTED_VALUE"""),"simple")</f>
        <v>simple</v>
      </c>
      <c r="X159" s="269" t="str">
        <f>IFERROR(__xludf.DUMMYFUNCTION("""COMPUTED_VALUE"""),"no brief")</f>
        <v>no brief</v>
      </c>
      <c r="Y159" s="269" t="str">
        <f>IFERROR(__xludf.DUMMYFUNCTION("""COMPUTED_VALUE"""),"06th - 8th March 2026")</f>
        <v>06th - 8th March 2026</v>
      </c>
      <c r="Z159" s="269" t="str">
        <f>IFERROR(__xludf.DUMMYFUNCTION("""COMPUTED_VALUE"""),"69aa92336f83cc81ecbb06eb")</f>
        <v>69aa92336f83cc81ecbb06eb</v>
      </c>
      <c r="AA159" s="243">
        <f>IFERROR(__xludf.DUMMYFUNCTION("""COMPUTED_VALUE"""),49.0)</f>
        <v>49</v>
      </c>
      <c r="AB159" s="243"/>
      <c r="AC159" s="243">
        <f>IFERROR(__xludf.DUMMYFUNCTION("""COMPUTED_VALUE"""),49.0)</f>
        <v>49</v>
      </c>
      <c r="AD159" s="243">
        <f>IFERROR(__xludf.DUMMYFUNCTION("""COMPUTED_VALUE"""),630400.0)</f>
        <v>630400</v>
      </c>
      <c r="AE159" s="243"/>
      <c r="AF159" s="243">
        <f>IFERROR(__xludf.DUMMYFUNCTION("""COMPUTED_VALUE"""),630400.0)</f>
        <v>630400</v>
      </c>
      <c r="AG159" s="208"/>
      <c r="AH159" s="208"/>
      <c r="AI159" s="208"/>
      <c r="AJ159" s="208"/>
      <c r="AK159" s="208"/>
    </row>
    <row r="160">
      <c r="A160" s="209">
        <f>IFERROR(__xludf.DUMMYFUNCTION("""COMPUTED_VALUE"""),46087.0)</f>
        <v>46087</v>
      </c>
      <c r="B160" s="210">
        <f>IFERROR(__xludf.DUMMYFUNCTION("""COMPUTED_VALUE"""),0.3541666666678793)</f>
        <v>0.3541666667</v>
      </c>
      <c r="C160" s="211" t="str">
        <f>IFERROR(__xludf.DUMMYFUNCTION("""COMPUTED_VALUE"""),"Rcs")</f>
        <v>Rcs</v>
      </c>
      <c r="D160" s="211" t="str">
        <f>IFERROR(__xludf.DUMMYFUNCTION("""COMPUTED_VALUE"""),"Promotional")</f>
        <v>Promotional</v>
      </c>
      <c r="E160" s="211" t="str">
        <f>IFERROR(__xludf.DUMMYFUNCTION("""COMPUTED_VALUE"""),"VS")</f>
        <v>VS</v>
      </c>
      <c r="F160" s="211" t="str">
        <f>IFERROR(__xludf.DUMMYFUNCTION("""COMPUTED_VALUE"""),"Women's Day")</f>
        <v>Women's Day</v>
      </c>
      <c r="G160" s="212" t="str">
        <f>IFERROR(__xludf.DUMMYFUNCTION("""COMPUTED_VALUE"""),"Women's Day Online Campaign_EventCX")</f>
        <v>Women's Day Online Campaign_EventCX</v>
      </c>
      <c r="H160" s="212" t="str">
        <f>IFERROR(__xludf.DUMMYFUNCTION("""COMPUTED_VALUE"""),"EventBuyers_WomensDay_ON")</f>
        <v>EventBuyers_WomensDay_ON</v>
      </c>
      <c r="I160" s="212" t="str">
        <f>IFERROR(__xludf.DUMMYFUNCTION("""COMPUTED_VALUE"""),"Customers who have purchased in Last 3 years on Womens Day Campiagn window and online")</f>
        <v>Customers who have purchased in Last 3 years on Womens Day Campiagn window and online</v>
      </c>
      <c r="J160" s="213">
        <f>IFERROR(__xludf.DUMMYFUNCTION("""COMPUTED_VALUE"""),980.0)</f>
        <v>980</v>
      </c>
      <c r="K160" s="213">
        <f>IFERROR(__xludf.DUMMYFUNCTION("""COMPUTED_VALUE"""),138.0)</f>
        <v>138</v>
      </c>
      <c r="L160" s="214">
        <f>IFERROR(__xludf.DUMMYFUNCTION("""COMPUTED_VALUE"""),0.1408)</f>
        <v>0.1408</v>
      </c>
      <c r="M160" s="213"/>
      <c r="N160" s="214"/>
      <c r="O160" s="213">
        <f>IFERROR(__xludf.DUMMYFUNCTION("""COMPUTED_VALUE"""),0.0)</f>
        <v>0</v>
      </c>
      <c r="P160" s="213"/>
      <c r="Q160" s="214">
        <f>IFERROR(__xludf.DUMMYFUNCTION("""COMPUTED_VALUE"""),0.0)</f>
        <v>0</v>
      </c>
      <c r="R160" s="214"/>
      <c r="S160" s="213">
        <f>IFERROR(__xludf.DUMMYFUNCTION("""COMPUTED_VALUE"""),0.0)</f>
        <v>0</v>
      </c>
      <c r="T160" s="213">
        <f>IFERROR(__xludf.DUMMYFUNCTION("""COMPUTED_VALUE"""),0.0)</f>
        <v>0</v>
      </c>
      <c r="U160" s="270">
        <f>IFERROR(__xludf.DUMMYFUNCTION("""COMPUTED_VALUE"""),0.0)</f>
        <v>0</v>
      </c>
      <c r="V160" s="271" t="str">
        <f>IFERROR(__xludf.DUMMYFUNCTION("""COMPUTED_VALUE"""),"online")</f>
        <v>online</v>
      </c>
      <c r="W160" s="272" t="str">
        <f>IFERROR(__xludf.DUMMYFUNCTION("""COMPUTED_VALUE"""),"RCS")</f>
        <v>RCS</v>
      </c>
      <c r="X160" s="272" t="str">
        <f>IFERROR(__xludf.DUMMYFUNCTION("""COMPUTED_VALUE"""),"no brief")</f>
        <v>no brief</v>
      </c>
      <c r="Y160" s="272" t="str">
        <f>IFERROR(__xludf.DUMMYFUNCTION("""COMPUTED_VALUE"""),"06th - 8th March 2026")</f>
        <v>06th - 8th March 2026</v>
      </c>
      <c r="Z160" s="272" t="str">
        <f>IFERROR(__xludf.DUMMYFUNCTION("""COMPUTED_VALUE"""),"69a975a03816ba7b4f468654")</f>
        <v>69a975a03816ba7b4f468654</v>
      </c>
      <c r="AA160" s="272">
        <f>IFERROR(__xludf.DUMMYFUNCTION("""COMPUTED_VALUE"""),0.0)</f>
        <v>0</v>
      </c>
      <c r="AB160" s="272">
        <f>IFERROR(__xludf.DUMMYFUNCTION("""COMPUTED_VALUE"""),0.0)</f>
        <v>0</v>
      </c>
      <c r="AC160" s="272"/>
      <c r="AD160" s="272">
        <f>IFERROR(__xludf.DUMMYFUNCTION("""COMPUTED_VALUE"""),0.0)</f>
        <v>0</v>
      </c>
      <c r="AE160" s="272">
        <f>IFERROR(__xludf.DUMMYFUNCTION("""COMPUTED_VALUE"""),0.0)</f>
        <v>0</v>
      </c>
      <c r="AF160" s="272"/>
      <c r="AG160" s="208"/>
      <c r="AH160" s="208"/>
      <c r="AI160" s="208"/>
      <c r="AJ160" s="208"/>
      <c r="AK160" s="208"/>
    </row>
    <row r="161">
      <c r="A161" s="209">
        <f>IFERROR(__xludf.DUMMYFUNCTION("""COMPUTED_VALUE"""),46087.0)</f>
        <v>46087</v>
      </c>
      <c r="B161" s="210">
        <f>IFERROR(__xludf.DUMMYFUNCTION("""COMPUTED_VALUE"""),0.3541666666678793)</f>
        <v>0.3541666667</v>
      </c>
      <c r="C161" s="211" t="str">
        <f>IFERROR(__xludf.DUMMYFUNCTION("""COMPUTED_VALUE"""),"Rcs")</f>
        <v>Rcs</v>
      </c>
      <c r="D161" s="211" t="str">
        <f>IFERROR(__xludf.DUMMYFUNCTION("""COMPUTED_VALUE"""),"Promotional")</f>
        <v>Promotional</v>
      </c>
      <c r="E161" s="211" t="str">
        <f>IFERROR(__xludf.DUMMYFUNCTION("""COMPUTED_VALUE"""),"VS")</f>
        <v>VS</v>
      </c>
      <c r="F161" s="211" t="str">
        <f>IFERROR(__xludf.DUMMYFUNCTION("""COMPUTED_VALUE"""),"Women's Day")</f>
        <v>Women's Day</v>
      </c>
      <c r="G161" s="212" t="str">
        <f>IFERROR(__xludf.DUMMYFUNCTION("""COMPUTED_VALUE"""),"Women's Day Online Campaign_DiscountCX")</f>
        <v>Women's Day Online Campaign_DiscountCX</v>
      </c>
      <c r="H161" s="212" t="str">
        <f>IFERROR(__xludf.DUMMYFUNCTION("""COMPUTED_VALUE"""),"Upto25%_MistLotion50%_ON")</f>
        <v>Upto25%_MistLotion50%_ON</v>
      </c>
      <c r="I161" s="212" t="str">
        <f>IFERROR(__xludf.DUMMYFUNCTION("""COMPUTED_VALUE"""),"Customers who have purchased upto 25% Off Online OR Customers purchasing Mist and Lotion at 50% Off Online")</f>
        <v>Customers who have purchased upto 25% Off Online OR Customers purchasing Mist and Lotion at 50% Off Online</v>
      </c>
      <c r="J161" s="213">
        <f>IFERROR(__xludf.DUMMYFUNCTION("""COMPUTED_VALUE"""),58134.0)</f>
        <v>58134</v>
      </c>
      <c r="K161" s="213">
        <f>IFERROR(__xludf.DUMMYFUNCTION("""COMPUTED_VALUE"""),12399.0)</f>
        <v>12399</v>
      </c>
      <c r="L161" s="214">
        <f>IFERROR(__xludf.DUMMYFUNCTION("""COMPUTED_VALUE"""),0.2133)</f>
        <v>0.2133</v>
      </c>
      <c r="M161" s="213"/>
      <c r="N161" s="214"/>
      <c r="O161" s="213">
        <f>IFERROR(__xludf.DUMMYFUNCTION("""COMPUTED_VALUE"""),155.0)</f>
        <v>155</v>
      </c>
      <c r="P161" s="213"/>
      <c r="Q161" s="214">
        <f>IFERROR(__xludf.DUMMYFUNCTION("""COMPUTED_VALUE"""),0.0125)</f>
        <v>0.0125</v>
      </c>
      <c r="R161" s="214"/>
      <c r="S161" s="213">
        <f>IFERROR(__xludf.DUMMYFUNCTION("""COMPUTED_VALUE"""),9.0)</f>
        <v>9</v>
      </c>
      <c r="T161" s="213">
        <f>IFERROR(__xludf.DUMMYFUNCTION("""COMPUTED_VALUE"""),25.0)</f>
        <v>25</v>
      </c>
      <c r="U161" s="270">
        <f>IFERROR(__xludf.DUMMYFUNCTION("""COMPUTED_VALUE"""),52858.0)</f>
        <v>52858</v>
      </c>
      <c r="V161" s="271" t="str">
        <f>IFERROR(__xludf.DUMMYFUNCTION("""COMPUTED_VALUE"""),"online")</f>
        <v>online</v>
      </c>
      <c r="W161" s="272" t="str">
        <f>IFERROR(__xludf.DUMMYFUNCTION("""COMPUTED_VALUE"""),"RCS")</f>
        <v>RCS</v>
      </c>
      <c r="X161" s="272" t="str">
        <f>IFERROR(__xludf.DUMMYFUNCTION("""COMPUTED_VALUE"""),"no brief")</f>
        <v>no brief</v>
      </c>
      <c r="Y161" s="272" t="str">
        <f>IFERROR(__xludf.DUMMYFUNCTION("""COMPUTED_VALUE"""),"06th - 8th March 2026")</f>
        <v>06th - 8th March 2026</v>
      </c>
      <c r="Z161" s="272" t="str">
        <f>IFERROR(__xludf.DUMMYFUNCTION("""COMPUTED_VALUE"""),"69a975eb830b10f607562301")</f>
        <v>69a975eb830b10f607562301</v>
      </c>
      <c r="AA161" s="272">
        <f>IFERROR(__xludf.DUMMYFUNCTION("""COMPUTED_VALUE"""),32.0)</f>
        <v>32</v>
      </c>
      <c r="AB161" s="272">
        <f>IFERROR(__xludf.DUMMYFUNCTION("""COMPUTED_VALUE"""),32.0)</f>
        <v>32</v>
      </c>
      <c r="AC161" s="272"/>
      <c r="AD161" s="272">
        <f>IFERROR(__xludf.DUMMYFUNCTION("""COMPUTED_VALUE"""),163239.0)</f>
        <v>163239</v>
      </c>
      <c r="AE161" s="272">
        <f>IFERROR(__xludf.DUMMYFUNCTION("""COMPUTED_VALUE"""),163239.0)</f>
        <v>163239</v>
      </c>
      <c r="AF161" s="272"/>
      <c r="AG161" s="208"/>
      <c r="AH161" s="208"/>
      <c r="AI161" s="208"/>
      <c r="AJ161" s="208"/>
      <c r="AK161" s="208"/>
    </row>
    <row r="162">
      <c r="A162" s="209">
        <f>IFERROR(__xludf.DUMMYFUNCTION("""COMPUTED_VALUE"""),46087.0)</f>
        <v>46087</v>
      </c>
      <c r="B162" s="210">
        <f>IFERROR(__xludf.DUMMYFUNCTION("""COMPUTED_VALUE"""),0.3541666666678793)</f>
        <v>0.3541666667</v>
      </c>
      <c r="C162" s="211" t="str">
        <f>IFERROR(__xludf.DUMMYFUNCTION("""COMPUTED_VALUE"""),"Rcs")</f>
        <v>Rcs</v>
      </c>
      <c r="D162" s="211" t="str">
        <f>IFERROR(__xludf.DUMMYFUNCTION("""COMPUTED_VALUE"""),"Promotional")</f>
        <v>Promotional</v>
      </c>
      <c r="E162" s="211" t="str">
        <f>IFERROR(__xludf.DUMMYFUNCTION("""COMPUTED_VALUE"""),"VS")</f>
        <v>VS</v>
      </c>
      <c r="F162" s="211" t="str">
        <f>IFERROR(__xludf.DUMMYFUNCTION("""COMPUTED_VALUE"""),"Women's Day")</f>
        <v>Women's Day</v>
      </c>
      <c r="G162" s="212" t="str">
        <f>IFERROR(__xludf.DUMMYFUNCTION("""COMPUTED_VALUE"""),"Women's Day Online Campaign_Active")</f>
        <v>Women's Day Online Campaign_Active</v>
      </c>
      <c r="H162" s="212" t="str">
        <f>IFERROR(__xludf.DUMMYFUNCTION("""COMPUTED_VALUE"""),"Active75_WomensDay_ON")</f>
        <v>Active75_WomensDay_ON</v>
      </c>
      <c r="I162" s="212" t="str">
        <f>IFERROR(__xludf.DUMMYFUNCTION("""COMPUTED_VALUE"""),"Customers who have shopped in the last 75 days")</f>
        <v>Customers who have shopped in the last 75 days</v>
      </c>
      <c r="J162" s="213">
        <f>IFERROR(__xludf.DUMMYFUNCTION("""COMPUTED_VALUE"""),9447.0)</f>
        <v>9447</v>
      </c>
      <c r="K162" s="213">
        <f>IFERROR(__xludf.DUMMYFUNCTION("""COMPUTED_VALUE"""),1403.0)</f>
        <v>1403</v>
      </c>
      <c r="L162" s="214">
        <f>IFERROR(__xludf.DUMMYFUNCTION("""COMPUTED_VALUE"""),0.1485)</f>
        <v>0.1485</v>
      </c>
      <c r="M162" s="213"/>
      <c r="N162" s="214"/>
      <c r="O162" s="213">
        <f>IFERROR(__xludf.DUMMYFUNCTION("""COMPUTED_VALUE"""),25.0)</f>
        <v>25</v>
      </c>
      <c r="P162" s="213"/>
      <c r="Q162" s="214">
        <f>IFERROR(__xludf.DUMMYFUNCTION("""COMPUTED_VALUE"""),0.0178)</f>
        <v>0.0178</v>
      </c>
      <c r="R162" s="214"/>
      <c r="S162" s="213">
        <f>IFERROR(__xludf.DUMMYFUNCTION("""COMPUTED_VALUE"""),1.0)</f>
        <v>1</v>
      </c>
      <c r="T162" s="213">
        <f>IFERROR(__xludf.DUMMYFUNCTION("""COMPUTED_VALUE"""),5.0)</f>
        <v>5</v>
      </c>
      <c r="U162" s="270">
        <f>IFERROR(__xludf.DUMMYFUNCTION("""COMPUTED_VALUE"""),5518.0)</f>
        <v>5518</v>
      </c>
      <c r="V162" s="271" t="str">
        <f>IFERROR(__xludf.DUMMYFUNCTION("""COMPUTED_VALUE"""),"online")</f>
        <v>online</v>
      </c>
      <c r="W162" s="272" t="str">
        <f>IFERROR(__xludf.DUMMYFUNCTION("""COMPUTED_VALUE"""),"RCS")</f>
        <v>RCS</v>
      </c>
      <c r="X162" s="272" t="str">
        <f>IFERROR(__xludf.DUMMYFUNCTION("""COMPUTED_VALUE"""),"no brief")</f>
        <v>no brief</v>
      </c>
      <c r="Y162" s="272" t="str">
        <f>IFERROR(__xludf.DUMMYFUNCTION("""COMPUTED_VALUE"""),"06th - 8th March 2026")</f>
        <v>06th - 8th March 2026</v>
      </c>
      <c r="Z162" s="272" t="str">
        <f>IFERROR(__xludf.DUMMYFUNCTION("""COMPUTED_VALUE"""),"69a977bf50e003337e89ac5c")</f>
        <v>69a977bf50e003337e89ac5c</v>
      </c>
      <c r="AA162" s="272">
        <f>IFERROR(__xludf.DUMMYFUNCTION("""COMPUTED_VALUE"""),5.0)</f>
        <v>5</v>
      </c>
      <c r="AB162" s="272">
        <f>IFERROR(__xludf.DUMMYFUNCTION("""COMPUTED_VALUE"""),5.0)</f>
        <v>5</v>
      </c>
      <c r="AC162" s="272"/>
      <c r="AD162" s="272">
        <f>IFERROR(__xludf.DUMMYFUNCTION("""COMPUTED_VALUE"""),38171.0)</f>
        <v>38171</v>
      </c>
      <c r="AE162" s="272">
        <f>IFERROR(__xludf.DUMMYFUNCTION("""COMPUTED_VALUE"""),38171.0)</f>
        <v>38171</v>
      </c>
      <c r="AF162" s="272"/>
      <c r="AG162" s="208"/>
      <c r="AH162" s="208"/>
      <c r="AI162" s="208"/>
      <c r="AJ162" s="208"/>
      <c r="AK162" s="208"/>
    </row>
    <row r="163">
      <c r="A163" s="209">
        <f>IFERROR(__xludf.DUMMYFUNCTION("""COMPUTED_VALUE"""),46087.0)</f>
        <v>46087</v>
      </c>
      <c r="B163" s="210">
        <f>IFERROR(__xludf.DUMMYFUNCTION("""COMPUTED_VALUE"""),0.3541666666678793)</f>
        <v>0.3541666667</v>
      </c>
      <c r="C163" s="211" t="str">
        <f>IFERROR(__xludf.DUMMYFUNCTION("""COMPUTED_VALUE"""),"Rcs")</f>
        <v>Rcs</v>
      </c>
      <c r="D163" s="211" t="str">
        <f>IFERROR(__xludf.DUMMYFUNCTION("""COMPUTED_VALUE"""),"Promotional")</f>
        <v>Promotional</v>
      </c>
      <c r="E163" s="211" t="str">
        <f>IFERROR(__xludf.DUMMYFUNCTION("""COMPUTED_VALUE"""),"VS")</f>
        <v>VS</v>
      </c>
      <c r="F163" s="211" t="str">
        <f>IFERROR(__xludf.DUMMYFUNCTION("""COMPUTED_VALUE"""),"Women's Day")</f>
        <v>Women's Day</v>
      </c>
      <c r="G163" s="212" t="str">
        <f>IFERROR(__xludf.DUMMYFUNCTION("""COMPUTED_VALUE"""),"Women's Day Online Campaign_Repeat")</f>
        <v>Women's Day Online Campaign_Repeat</v>
      </c>
      <c r="H163" s="212" t="str">
        <f>IFERROR(__xludf.DUMMYFUNCTION("""COMPUTED_VALUE"""),"Repeat_WomensDay_ON")</f>
        <v>Repeat_WomensDay_ON</v>
      </c>
      <c r="I163" s="212" t="str">
        <f>IFERROR(__xludf.DUMMYFUNCTION("""COMPUTED_VALUE"""),"Customers who have purchased atleast 2 times online in entire duration")</f>
        <v>Customers who have purchased atleast 2 times online in entire duration</v>
      </c>
      <c r="J163" s="213">
        <f>IFERROR(__xludf.DUMMYFUNCTION("""COMPUTED_VALUE"""),30288.0)</f>
        <v>30288</v>
      </c>
      <c r="K163" s="213">
        <f>IFERROR(__xludf.DUMMYFUNCTION("""COMPUTED_VALUE"""),4278.0)</f>
        <v>4278</v>
      </c>
      <c r="L163" s="214">
        <f>IFERROR(__xludf.DUMMYFUNCTION("""COMPUTED_VALUE"""),0.1412)</f>
        <v>0.1412</v>
      </c>
      <c r="M163" s="213"/>
      <c r="N163" s="214"/>
      <c r="O163" s="213">
        <f>IFERROR(__xludf.DUMMYFUNCTION("""COMPUTED_VALUE"""),59.0)</f>
        <v>59</v>
      </c>
      <c r="P163" s="213"/>
      <c r="Q163" s="214">
        <f>IFERROR(__xludf.DUMMYFUNCTION("""COMPUTED_VALUE"""),0.0138)</f>
        <v>0.0138</v>
      </c>
      <c r="R163" s="214"/>
      <c r="S163" s="213">
        <f>IFERROR(__xludf.DUMMYFUNCTION("""COMPUTED_VALUE"""),8.0)</f>
        <v>8</v>
      </c>
      <c r="T163" s="213">
        <f>IFERROR(__xludf.DUMMYFUNCTION("""COMPUTED_VALUE"""),10.0)</f>
        <v>10</v>
      </c>
      <c r="U163" s="270">
        <f>IFERROR(__xludf.DUMMYFUNCTION("""COMPUTED_VALUE"""),47134.0)</f>
        <v>47134</v>
      </c>
      <c r="V163" s="271" t="str">
        <f>IFERROR(__xludf.DUMMYFUNCTION("""COMPUTED_VALUE"""),"online")</f>
        <v>online</v>
      </c>
      <c r="W163" s="272" t="str">
        <f>IFERROR(__xludf.DUMMYFUNCTION("""COMPUTED_VALUE"""),"RCS")</f>
        <v>RCS</v>
      </c>
      <c r="X163" s="272" t="str">
        <f>IFERROR(__xludf.DUMMYFUNCTION("""COMPUTED_VALUE"""),"no brief")</f>
        <v>no brief</v>
      </c>
      <c r="Y163" s="272" t="str">
        <f>IFERROR(__xludf.DUMMYFUNCTION("""COMPUTED_VALUE"""),"06th - 8th March 2026")</f>
        <v>06th - 8th March 2026</v>
      </c>
      <c r="Z163" s="272" t="str">
        <f>IFERROR(__xludf.DUMMYFUNCTION("""COMPUTED_VALUE"""),"69a97847943412a6acaa8fe1")</f>
        <v>69a97847943412a6acaa8fe1</v>
      </c>
      <c r="AA163" s="272">
        <f>IFERROR(__xludf.DUMMYFUNCTION("""COMPUTED_VALUE"""),9.0)</f>
        <v>9</v>
      </c>
      <c r="AB163" s="272">
        <f>IFERROR(__xludf.DUMMYFUNCTION("""COMPUTED_VALUE"""),9.0)</f>
        <v>9</v>
      </c>
      <c r="AC163" s="272"/>
      <c r="AD163" s="272">
        <f>IFERROR(__xludf.DUMMYFUNCTION("""COMPUTED_VALUE"""),41643.0)</f>
        <v>41643</v>
      </c>
      <c r="AE163" s="272">
        <f>IFERROR(__xludf.DUMMYFUNCTION("""COMPUTED_VALUE"""),41643.0)</f>
        <v>41643</v>
      </c>
      <c r="AF163" s="272"/>
      <c r="AG163" s="208"/>
      <c r="AH163" s="208"/>
      <c r="AI163" s="208"/>
      <c r="AJ163" s="208"/>
      <c r="AK163" s="208"/>
    </row>
    <row r="164">
      <c r="A164" s="209">
        <f>IFERROR(__xludf.DUMMYFUNCTION("""COMPUTED_VALUE"""),46087.0)</f>
        <v>46087</v>
      </c>
      <c r="B164" s="210">
        <f>IFERROR(__xludf.DUMMYFUNCTION("""COMPUTED_VALUE"""),0.3541666666678793)</f>
        <v>0.3541666667</v>
      </c>
      <c r="C164" s="211" t="str">
        <f>IFERROR(__xludf.DUMMYFUNCTION("""COMPUTED_VALUE"""),"Rcs")</f>
        <v>Rcs</v>
      </c>
      <c r="D164" s="211" t="str">
        <f>IFERROR(__xludf.DUMMYFUNCTION("""COMPUTED_VALUE"""),"Promotional")</f>
        <v>Promotional</v>
      </c>
      <c r="E164" s="211" t="str">
        <f>IFERROR(__xludf.DUMMYFUNCTION("""COMPUTED_VALUE"""),"VS")</f>
        <v>VS</v>
      </c>
      <c r="F164" s="211" t="str">
        <f>IFERROR(__xludf.DUMMYFUNCTION("""COMPUTED_VALUE"""),"Women's Day")</f>
        <v>Women's Day</v>
      </c>
      <c r="G164" s="212" t="str">
        <f>IFERROR(__xludf.DUMMYFUNCTION("""COMPUTED_VALUE"""),"Women's Day Online Campaign_New")</f>
        <v>Women's Day Online Campaign_New</v>
      </c>
      <c r="H164" s="212" t="str">
        <f>IFERROR(__xludf.DUMMYFUNCTION("""COMPUTED_VALUE"""),"New2025_WomensDay_ON")</f>
        <v>New2025_WomensDay_ON</v>
      </c>
      <c r="I164" s="212" t="str">
        <f>IFERROR(__xludf.DUMMYFUNCTION("""COMPUTED_VALUE"""),"Customers who have shopped exactly once in last 1 year")</f>
        <v>Customers who have shopped exactly once in last 1 year</v>
      </c>
      <c r="J164" s="213">
        <f>IFERROR(__xludf.DUMMYFUNCTION("""COMPUTED_VALUE"""),20243.0)</f>
        <v>20243</v>
      </c>
      <c r="K164" s="213">
        <f>IFERROR(__xludf.DUMMYFUNCTION("""COMPUTED_VALUE"""),3575.0)</f>
        <v>3575</v>
      </c>
      <c r="L164" s="214">
        <f>IFERROR(__xludf.DUMMYFUNCTION("""COMPUTED_VALUE"""),0.1766)</f>
        <v>0.1766</v>
      </c>
      <c r="M164" s="213"/>
      <c r="N164" s="214"/>
      <c r="O164" s="213">
        <f>IFERROR(__xludf.DUMMYFUNCTION("""COMPUTED_VALUE"""),35.0)</f>
        <v>35</v>
      </c>
      <c r="P164" s="213"/>
      <c r="Q164" s="214">
        <f>IFERROR(__xludf.DUMMYFUNCTION("""COMPUTED_VALUE"""),0.0098)</f>
        <v>0.0098</v>
      </c>
      <c r="R164" s="214"/>
      <c r="S164" s="213">
        <f>IFERROR(__xludf.DUMMYFUNCTION("""COMPUTED_VALUE"""),1.0)</f>
        <v>1</v>
      </c>
      <c r="T164" s="213">
        <f>IFERROR(__xludf.DUMMYFUNCTION("""COMPUTED_VALUE"""),3.0)</f>
        <v>3</v>
      </c>
      <c r="U164" s="270">
        <f>IFERROR(__xludf.DUMMYFUNCTION("""COMPUTED_VALUE"""),7499.0)</f>
        <v>7499</v>
      </c>
      <c r="V164" s="271" t="str">
        <f>IFERROR(__xludf.DUMMYFUNCTION("""COMPUTED_VALUE"""),"online")</f>
        <v>online</v>
      </c>
      <c r="W164" s="272" t="str">
        <f>IFERROR(__xludf.DUMMYFUNCTION("""COMPUTED_VALUE"""),"RCS")</f>
        <v>RCS</v>
      </c>
      <c r="X164" s="272" t="str">
        <f>IFERROR(__xludf.DUMMYFUNCTION("""COMPUTED_VALUE"""),"no brief")</f>
        <v>no brief</v>
      </c>
      <c r="Y164" s="272" t="str">
        <f>IFERROR(__xludf.DUMMYFUNCTION("""COMPUTED_VALUE"""),"06th - 8th March 2026")</f>
        <v>06th - 8th March 2026</v>
      </c>
      <c r="Z164" s="272" t="str">
        <f>IFERROR(__xludf.DUMMYFUNCTION("""COMPUTED_VALUE"""),"69a9787d22fd70da7420f49b")</f>
        <v>69a9787d22fd70da7420f49b</v>
      </c>
      <c r="AA164" s="272">
        <f>IFERROR(__xludf.DUMMYFUNCTION("""COMPUTED_VALUE"""),3.0)</f>
        <v>3</v>
      </c>
      <c r="AB164" s="272">
        <f>IFERROR(__xludf.DUMMYFUNCTION("""COMPUTED_VALUE"""),3.0)</f>
        <v>3</v>
      </c>
      <c r="AC164" s="272"/>
      <c r="AD164" s="272">
        <f>IFERROR(__xludf.DUMMYFUNCTION("""COMPUTED_VALUE"""),25350.0)</f>
        <v>25350</v>
      </c>
      <c r="AE164" s="272">
        <f>IFERROR(__xludf.DUMMYFUNCTION("""COMPUTED_VALUE"""),25350.0)</f>
        <v>25350</v>
      </c>
      <c r="AF164" s="272"/>
      <c r="AG164" s="208"/>
      <c r="AH164" s="208"/>
      <c r="AI164" s="208"/>
      <c r="AJ164" s="208"/>
      <c r="AK164" s="208"/>
    </row>
    <row r="165">
      <c r="A165" s="209">
        <f>IFERROR(__xludf.DUMMYFUNCTION("""COMPUTED_VALUE"""),46087.0)</f>
        <v>46087</v>
      </c>
      <c r="B165" s="210">
        <f>IFERROR(__xludf.DUMMYFUNCTION("""COMPUTED_VALUE"""),0.4791666666678793)</f>
        <v>0.4791666667</v>
      </c>
      <c r="C165" s="211" t="str">
        <f>IFERROR(__xludf.DUMMYFUNCTION("""COMPUTED_VALUE"""),"Sms")</f>
        <v>Sms</v>
      </c>
      <c r="D165" s="211" t="str">
        <f>IFERROR(__xludf.DUMMYFUNCTION("""COMPUTED_VALUE"""),"Fallback Campaign")</f>
        <v>Fallback Campaign</v>
      </c>
      <c r="E165" s="211" t="str">
        <f>IFERROR(__xludf.DUMMYFUNCTION("""COMPUTED_VALUE"""),"VS")</f>
        <v>VS</v>
      </c>
      <c r="F165" s="211" t="str">
        <f>IFERROR(__xludf.DUMMYFUNCTION("""COMPUTED_VALUE"""),"Women's Day")</f>
        <v>Women's Day</v>
      </c>
      <c r="G165" s="212" t="str">
        <f>IFERROR(__xludf.DUMMYFUNCTION("""COMPUTED_VALUE"""),"Women's Day Online Campaign_EventCX (FB On)")</f>
        <v>Women's Day Online Campaign_EventCX (FB On)</v>
      </c>
      <c r="H165" s="212" t="str">
        <f>IFERROR(__xludf.DUMMYFUNCTION("""COMPUTED_VALUE"""),"EventBuyers_WomensDay_ON")</f>
        <v>EventBuyers_WomensDay_ON</v>
      </c>
      <c r="I165" s="212" t="str">
        <f>IFERROR(__xludf.DUMMYFUNCTION("""COMPUTED_VALUE"""),"WA Undelivered")</f>
        <v>WA Undelivered</v>
      </c>
      <c r="J165" s="213">
        <f>IFERROR(__xludf.DUMMYFUNCTION("""COMPUTED_VALUE"""),374.0)</f>
        <v>374</v>
      </c>
      <c r="K165" s="213">
        <f>IFERROR(__xludf.DUMMYFUNCTION("""COMPUTED_VALUE"""),224.0)</f>
        <v>224</v>
      </c>
      <c r="L165" s="214">
        <f>IFERROR(__xludf.DUMMYFUNCTION("""COMPUTED_VALUE"""),0.5989)</f>
        <v>0.5989</v>
      </c>
      <c r="M165" s="213"/>
      <c r="N165" s="214"/>
      <c r="O165" s="213">
        <f>IFERROR(__xludf.DUMMYFUNCTION("""COMPUTED_VALUE"""),0.0)</f>
        <v>0</v>
      </c>
      <c r="P165" s="213"/>
      <c r="Q165" s="214">
        <f>IFERROR(__xludf.DUMMYFUNCTION("""COMPUTED_VALUE"""),0.0)</f>
        <v>0</v>
      </c>
      <c r="R165" s="214"/>
      <c r="S165" s="213">
        <f>IFERROR(__xludf.DUMMYFUNCTION("""COMPUTED_VALUE"""),0.0)</f>
        <v>0</v>
      </c>
      <c r="T165" s="213">
        <f>IFERROR(__xludf.DUMMYFUNCTION("""COMPUTED_VALUE"""),1.0)</f>
        <v>1</v>
      </c>
      <c r="U165" s="270">
        <f>IFERROR(__xludf.DUMMYFUNCTION("""COMPUTED_VALUE"""),0.0)</f>
        <v>0</v>
      </c>
      <c r="V165" s="271" t="str">
        <f>IFERROR(__xludf.DUMMYFUNCTION("""COMPUTED_VALUE"""),"online")</f>
        <v>online</v>
      </c>
      <c r="W165" s="272" t="str">
        <f>IFERROR(__xludf.DUMMYFUNCTION("""COMPUTED_VALUE"""),"SMS")</f>
        <v>SMS</v>
      </c>
      <c r="X165" s="272" t="str">
        <f>IFERROR(__xludf.DUMMYFUNCTION("""COMPUTED_VALUE"""),"no brief")</f>
        <v>no brief</v>
      </c>
      <c r="Y165" s="272" t="str">
        <f>IFERROR(__xludf.DUMMYFUNCTION("""COMPUTED_VALUE"""),"06th - 8th March 2026")</f>
        <v>06th - 8th March 2026</v>
      </c>
      <c r="Z165" s="272" t="str">
        <f>IFERROR(__xludf.DUMMYFUNCTION("""COMPUTED_VALUE"""),"69a981829a56127b40e208f4")</f>
        <v>69a981829a56127b40e208f4</v>
      </c>
      <c r="AA165" s="272">
        <f>IFERROR(__xludf.DUMMYFUNCTION("""COMPUTED_VALUE"""),0.0)</f>
        <v>0</v>
      </c>
      <c r="AB165" s="272">
        <f>IFERROR(__xludf.DUMMYFUNCTION("""COMPUTED_VALUE"""),0.0)</f>
        <v>0</v>
      </c>
      <c r="AC165" s="272"/>
      <c r="AD165" s="272">
        <f>IFERROR(__xludf.DUMMYFUNCTION("""COMPUTED_VALUE"""),0.0)</f>
        <v>0</v>
      </c>
      <c r="AE165" s="272">
        <f>IFERROR(__xludf.DUMMYFUNCTION("""COMPUTED_VALUE"""),0.0)</f>
        <v>0</v>
      </c>
      <c r="AF165" s="272"/>
      <c r="AG165" s="208"/>
      <c r="AH165" s="208"/>
      <c r="AI165" s="208"/>
      <c r="AJ165" s="208"/>
      <c r="AK165" s="208"/>
    </row>
    <row r="166">
      <c r="A166" s="209">
        <f>IFERROR(__xludf.DUMMYFUNCTION("""COMPUTED_VALUE"""),46087.0)</f>
        <v>46087</v>
      </c>
      <c r="B166" s="210">
        <f>IFERROR(__xludf.DUMMYFUNCTION("""COMPUTED_VALUE"""),0.4791666666678793)</f>
        <v>0.4791666667</v>
      </c>
      <c r="C166" s="211" t="str">
        <f>IFERROR(__xludf.DUMMYFUNCTION("""COMPUTED_VALUE"""),"Sms")</f>
        <v>Sms</v>
      </c>
      <c r="D166" s="211" t="str">
        <f>IFERROR(__xludf.DUMMYFUNCTION("""COMPUTED_VALUE"""),"Fallback Campaign")</f>
        <v>Fallback Campaign</v>
      </c>
      <c r="E166" s="211" t="str">
        <f>IFERROR(__xludf.DUMMYFUNCTION("""COMPUTED_VALUE"""),"VS")</f>
        <v>VS</v>
      </c>
      <c r="F166" s="211" t="str">
        <f>IFERROR(__xludf.DUMMYFUNCTION("""COMPUTED_VALUE"""),"Women's Day")</f>
        <v>Women's Day</v>
      </c>
      <c r="G166" s="212" t="str">
        <f>IFERROR(__xludf.DUMMYFUNCTION("""COMPUTED_VALUE"""),"Women's Day Online Campaign_DiscountCX (FB On)")</f>
        <v>Women's Day Online Campaign_DiscountCX (FB On)</v>
      </c>
      <c r="H166" s="212" t="str">
        <f>IFERROR(__xludf.DUMMYFUNCTION("""COMPUTED_VALUE"""),"Upto25%_MistLotion50%_ON")</f>
        <v>Upto25%_MistLotion50%_ON</v>
      </c>
      <c r="I166" s="212" t="str">
        <f>IFERROR(__xludf.DUMMYFUNCTION("""COMPUTED_VALUE"""),"WA Undelivered")</f>
        <v>WA Undelivered</v>
      </c>
      <c r="J166" s="213">
        <f>IFERROR(__xludf.DUMMYFUNCTION("""COMPUTED_VALUE"""),20244.0)</f>
        <v>20244</v>
      </c>
      <c r="K166" s="213">
        <f>IFERROR(__xludf.DUMMYFUNCTION("""COMPUTED_VALUE"""),13620.0)</f>
        <v>13620</v>
      </c>
      <c r="L166" s="214">
        <f>IFERROR(__xludf.DUMMYFUNCTION("""COMPUTED_VALUE"""),0.6728)</f>
        <v>0.6728</v>
      </c>
      <c r="M166" s="213"/>
      <c r="N166" s="214"/>
      <c r="O166" s="213">
        <f>IFERROR(__xludf.DUMMYFUNCTION("""COMPUTED_VALUE"""),24.0)</f>
        <v>24</v>
      </c>
      <c r="P166" s="213"/>
      <c r="Q166" s="214">
        <f>IFERROR(__xludf.DUMMYFUNCTION("""COMPUTED_VALUE"""),0.0018)</f>
        <v>0.0018</v>
      </c>
      <c r="R166" s="214"/>
      <c r="S166" s="213">
        <f>IFERROR(__xludf.DUMMYFUNCTION("""COMPUTED_VALUE"""),5.0)</f>
        <v>5</v>
      </c>
      <c r="T166" s="213">
        <f>IFERROR(__xludf.DUMMYFUNCTION("""COMPUTED_VALUE"""),18.0)</f>
        <v>18</v>
      </c>
      <c r="U166" s="270">
        <f>IFERROR(__xludf.DUMMYFUNCTION("""COMPUTED_VALUE"""),24762.0)</f>
        <v>24762</v>
      </c>
      <c r="V166" s="271" t="str">
        <f>IFERROR(__xludf.DUMMYFUNCTION("""COMPUTED_VALUE"""),"online")</f>
        <v>online</v>
      </c>
      <c r="W166" s="272" t="str">
        <f>IFERROR(__xludf.DUMMYFUNCTION("""COMPUTED_VALUE"""),"SMS")</f>
        <v>SMS</v>
      </c>
      <c r="X166" s="272" t="str">
        <f>IFERROR(__xludf.DUMMYFUNCTION("""COMPUTED_VALUE"""),"no brief")</f>
        <v>no brief</v>
      </c>
      <c r="Y166" s="272" t="str">
        <f>IFERROR(__xludf.DUMMYFUNCTION("""COMPUTED_VALUE"""),"06th - 8th March 2026")</f>
        <v>06th - 8th March 2026</v>
      </c>
      <c r="Z166" s="272" t="str">
        <f>IFERROR(__xludf.DUMMYFUNCTION("""COMPUTED_VALUE"""),"69a981ed508545a76043b242")</f>
        <v>69a981ed508545a76043b242</v>
      </c>
      <c r="AA166" s="272">
        <f>IFERROR(__xludf.DUMMYFUNCTION("""COMPUTED_VALUE"""),32.0)</f>
        <v>32</v>
      </c>
      <c r="AB166" s="272">
        <f>IFERROR(__xludf.DUMMYFUNCTION("""COMPUTED_VALUE"""),32.0)</f>
        <v>32</v>
      </c>
      <c r="AC166" s="272"/>
      <c r="AD166" s="272">
        <f>IFERROR(__xludf.DUMMYFUNCTION("""COMPUTED_VALUE"""),162349.0)</f>
        <v>162349</v>
      </c>
      <c r="AE166" s="272">
        <f>IFERROR(__xludf.DUMMYFUNCTION("""COMPUTED_VALUE"""),162349.0)</f>
        <v>162349</v>
      </c>
      <c r="AF166" s="272"/>
      <c r="AG166" s="208"/>
      <c r="AH166" s="208"/>
      <c r="AI166" s="208"/>
      <c r="AJ166" s="208"/>
      <c r="AK166" s="208"/>
    </row>
    <row r="167">
      <c r="A167" s="209">
        <f>IFERROR(__xludf.DUMMYFUNCTION("""COMPUTED_VALUE"""),46087.0)</f>
        <v>46087</v>
      </c>
      <c r="B167" s="210">
        <f>IFERROR(__xludf.DUMMYFUNCTION("""COMPUTED_VALUE"""),0.4791666666678793)</f>
        <v>0.4791666667</v>
      </c>
      <c r="C167" s="211" t="str">
        <f>IFERROR(__xludf.DUMMYFUNCTION("""COMPUTED_VALUE"""),"Sms")</f>
        <v>Sms</v>
      </c>
      <c r="D167" s="211" t="str">
        <f>IFERROR(__xludf.DUMMYFUNCTION("""COMPUTED_VALUE"""),"Fallback Campaign")</f>
        <v>Fallback Campaign</v>
      </c>
      <c r="E167" s="211" t="str">
        <f>IFERROR(__xludf.DUMMYFUNCTION("""COMPUTED_VALUE"""),"VS")</f>
        <v>VS</v>
      </c>
      <c r="F167" s="211" t="str">
        <f>IFERROR(__xludf.DUMMYFUNCTION("""COMPUTED_VALUE"""),"Women's Day")</f>
        <v>Women's Day</v>
      </c>
      <c r="G167" s="212" t="str">
        <f>IFERROR(__xludf.DUMMYFUNCTION("""COMPUTED_VALUE"""),"Women's Day Online Campaign_Active (FB On)")</f>
        <v>Women's Day Online Campaign_Active (FB On)</v>
      </c>
      <c r="H167" s="212" t="str">
        <f>IFERROR(__xludf.DUMMYFUNCTION("""COMPUTED_VALUE"""),"Active75_WomensDay_ON")</f>
        <v>Active75_WomensDay_ON</v>
      </c>
      <c r="I167" s="212" t="str">
        <f>IFERROR(__xludf.DUMMYFUNCTION("""COMPUTED_VALUE"""),"WA Undelivered")</f>
        <v>WA Undelivered</v>
      </c>
      <c r="J167" s="213">
        <f>IFERROR(__xludf.DUMMYFUNCTION("""COMPUTED_VALUE"""),3668.0)</f>
        <v>3668</v>
      </c>
      <c r="K167" s="213">
        <f>IFERROR(__xludf.DUMMYFUNCTION("""COMPUTED_VALUE"""),2220.0)</f>
        <v>2220</v>
      </c>
      <c r="L167" s="214">
        <f>IFERROR(__xludf.DUMMYFUNCTION("""COMPUTED_VALUE"""),0.6052)</f>
        <v>0.6052</v>
      </c>
      <c r="M167" s="213"/>
      <c r="N167" s="214"/>
      <c r="O167" s="213">
        <f>IFERROR(__xludf.DUMMYFUNCTION("""COMPUTED_VALUE"""),6.0)</f>
        <v>6</v>
      </c>
      <c r="P167" s="213"/>
      <c r="Q167" s="214">
        <f>IFERROR(__xludf.DUMMYFUNCTION("""COMPUTED_VALUE"""),0.0027)</f>
        <v>0.0027</v>
      </c>
      <c r="R167" s="214"/>
      <c r="S167" s="213">
        <f>IFERROR(__xludf.DUMMYFUNCTION("""COMPUTED_VALUE"""),3.0)</f>
        <v>3</v>
      </c>
      <c r="T167" s="213">
        <f>IFERROR(__xludf.DUMMYFUNCTION("""COMPUTED_VALUE"""),16.0)</f>
        <v>16</v>
      </c>
      <c r="U167" s="270">
        <f>IFERROR(__xludf.DUMMYFUNCTION("""COMPUTED_VALUE"""),12038.0)</f>
        <v>12038</v>
      </c>
      <c r="V167" s="271" t="str">
        <f>IFERROR(__xludf.DUMMYFUNCTION("""COMPUTED_VALUE"""),"online")</f>
        <v>online</v>
      </c>
      <c r="W167" s="272" t="str">
        <f>IFERROR(__xludf.DUMMYFUNCTION("""COMPUTED_VALUE"""),"SMS")</f>
        <v>SMS</v>
      </c>
      <c r="X167" s="272" t="str">
        <f>IFERROR(__xludf.DUMMYFUNCTION("""COMPUTED_VALUE"""),"no brief")</f>
        <v>no brief</v>
      </c>
      <c r="Y167" s="272" t="str">
        <f>IFERROR(__xludf.DUMMYFUNCTION("""COMPUTED_VALUE"""),"06th - 8th March 2026")</f>
        <v>06th - 8th March 2026</v>
      </c>
      <c r="Z167" s="272" t="str">
        <f>IFERROR(__xludf.DUMMYFUNCTION("""COMPUTED_VALUE"""),"69a9824d11a1fb0cfc784fe9")</f>
        <v>69a9824d11a1fb0cfc784fe9</v>
      </c>
      <c r="AA167" s="272">
        <f>IFERROR(__xludf.DUMMYFUNCTION("""COMPUTED_VALUE"""),8.0)</f>
        <v>8</v>
      </c>
      <c r="AB167" s="272">
        <f>IFERROR(__xludf.DUMMYFUNCTION("""COMPUTED_VALUE"""),8.0)</f>
        <v>8</v>
      </c>
      <c r="AC167" s="272"/>
      <c r="AD167" s="272">
        <f>IFERROR(__xludf.DUMMYFUNCTION("""COMPUTED_VALUE"""),71065.0)</f>
        <v>71065</v>
      </c>
      <c r="AE167" s="272">
        <f>IFERROR(__xludf.DUMMYFUNCTION("""COMPUTED_VALUE"""),71065.0)</f>
        <v>71065</v>
      </c>
      <c r="AF167" s="272"/>
      <c r="AG167" s="208"/>
      <c r="AH167" s="208"/>
      <c r="AI167" s="208"/>
      <c r="AJ167" s="208"/>
      <c r="AK167" s="208"/>
    </row>
    <row r="168">
      <c r="A168" s="209">
        <f>IFERROR(__xludf.DUMMYFUNCTION("""COMPUTED_VALUE"""),46087.0)</f>
        <v>46087</v>
      </c>
      <c r="B168" s="210">
        <f>IFERROR(__xludf.DUMMYFUNCTION("""COMPUTED_VALUE"""),0.4791666666678793)</f>
        <v>0.4791666667</v>
      </c>
      <c r="C168" s="211" t="str">
        <f>IFERROR(__xludf.DUMMYFUNCTION("""COMPUTED_VALUE"""),"Sms")</f>
        <v>Sms</v>
      </c>
      <c r="D168" s="211" t="str">
        <f>IFERROR(__xludf.DUMMYFUNCTION("""COMPUTED_VALUE"""),"Fallback Campaign")</f>
        <v>Fallback Campaign</v>
      </c>
      <c r="E168" s="211" t="str">
        <f>IFERROR(__xludf.DUMMYFUNCTION("""COMPUTED_VALUE"""),"VS")</f>
        <v>VS</v>
      </c>
      <c r="F168" s="211" t="str">
        <f>IFERROR(__xludf.DUMMYFUNCTION("""COMPUTED_VALUE"""),"Women's Day")</f>
        <v>Women's Day</v>
      </c>
      <c r="G168" s="212" t="str">
        <f>IFERROR(__xludf.DUMMYFUNCTION("""COMPUTED_VALUE"""),"Women's Day Online Campaign_Repeat (FB On)")</f>
        <v>Women's Day Online Campaign_Repeat (FB On)</v>
      </c>
      <c r="H168" s="212" t="str">
        <f>IFERROR(__xludf.DUMMYFUNCTION("""COMPUTED_VALUE"""),"Repeat_WomensDay_ON")</f>
        <v>Repeat_WomensDay_ON</v>
      </c>
      <c r="I168" s="212" t="str">
        <f>IFERROR(__xludf.DUMMYFUNCTION("""COMPUTED_VALUE"""),"WA Undelivered")</f>
        <v>WA Undelivered</v>
      </c>
      <c r="J168" s="213">
        <f>IFERROR(__xludf.DUMMYFUNCTION("""COMPUTED_VALUE"""),11988.0)</f>
        <v>11988</v>
      </c>
      <c r="K168" s="213">
        <f>IFERROR(__xludf.DUMMYFUNCTION("""COMPUTED_VALUE"""),7258.0)</f>
        <v>7258</v>
      </c>
      <c r="L168" s="214">
        <f>IFERROR(__xludf.DUMMYFUNCTION("""COMPUTED_VALUE"""),0.6054)</f>
        <v>0.6054</v>
      </c>
      <c r="M168" s="213"/>
      <c r="N168" s="214"/>
      <c r="O168" s="213">
        <f>IFERROR(__xludf.DUMMYFUNCTION("""COMPUTED_VALUE"""),7.0)</f>
        <v>7</v>
      </c>
      <c r="P168" s="213"/>
      <c r="Q168" s="214">
        <f>IFERROR(__xludf.DUMMYFUNCTION("""COMPUTED_VALUE"""),0.001)</f>
        <v>0.001</v>
      </c>
      <c r="R168" s="214"/>
      <c r="S168" s="213">
        <f>IFERROR(__xludf.DUMMYFUNCTION("""COMPUTED_VALUE"""),5.0)</f>
        <v>5</v>
      </c>
      <c r="T168" s="213">
        <f>IFERROR(__xludf.DUMMYFUNCTION("""COMPUTED_VALUE"""),6.0)</f>
        <v>6</v>
      </c>
      <c r="U168" s="270">
        <f>IFERROR(__xludf.DUMMYFUNCTION("""COMPUTED_VALUE"""),19541.0)</f>
        <v>19541</v>
      </c>
      <c r="V168" s="271" t="str">
        <f>IFERROR(__xludf.DUMMYFUNCTION("""COMPUTED_VALUE"""),"online")</f>
        <v>online</v>
      </c>
      <c r="W168" s="272" t="str">
        <f>IFERROR(__xludf.DUMMYFUNCTION("""COMPUTED_VALUE"""),"SMS")</f>
        <v>SMS</v>
      </c>
      <c r="X168" s="272" t="str">
        <f>IFERROR(__xludf.DUMMYFUNCTION("""COMPUTED_VALUE"""),"no brief")</f>
        <v>no brief</v>
      </c>
      <c r="Y168" s="272" t="str">
        <f>IFERROR(__xludf.DUMMYFUNCTION("""COMPUTED_VALUE"""),"06th - 8th March 2026")</f>
        <v>06th - 8th March 2026</v>
      </c>
      <c r="Z168" s="272" t="str">
        <f>IFERROR(__xludf.DUMMYFUNCTION("""COMPUTED_VALUE"""),"69a9829d760ef5fe855d63dd")</f>
        <v>69a9829d760ef5fe855d63dd</v>
      </c>
      <c r="AA168" s="272">
        <f>IFERROR(__xludf.DUMMYFUNCTION("""COMPUTED_VALUE"""),11.0)</f>
        <v>11</v>
      </c>
      <c r="AB168" s="272">
        <f>IFERROR(__xludf.DUMMYFUNCTION("""COMPUTED_VALUE"""),11.0)</f>
        <v>11</v>
      </c>
      <c r="AC168" s="272"/>
      <c r="AD168" s="272">
        <f>IFERROR(__xludf.DUMMYFUNCTION("""COMPUTED_VALUE"""),98780.0)</f>
        <v>98780</v>
      </c>
      <c r="AE168" s="272">
        <f>IFERROR(__xludf.DUMMYFUNCTION("""COMPUTED_VALUE"""),98780.0)</f>
        <v>98780</v>
      </c>
      <c r="AF168" s="272"/>
      <c r="AG168" s="208"/>
      <c r="AH168" s="208"/>
      <c r="AI168" s="208"/>
      <c r="AJ168" s="208"/>
      <c r="AK168" s="208"/>
    </row>
    <row r="169">
      <c r="A169" s="209">
        <f>IFERROR(__xludf.DUMMYFUNCTION("""COMPUTED_VALUE"""),46087.0)</f>
        <v>46087</v>
      </c>
      <c r="B169" s="210">
        <f>IFERROR(__xludf.DUMMYFUNCTION("""COMPUTED_VALUE"""),0.4791666666678793)</f>
        <v>0.4791666667</v>
      </c>
      <c r="C169" s="211" t="str">
        <f>IFERROR(__xludf.DUMMYFUNCTION("""COMPUTED_VALUE"""),"Sms")</f>
        <v>Sms</v>
      </c>
      <c r="D169" s="211" t="str">
        <f>IFERROR(__xludf.DUMMYFUNCTION("""COMPUTED_VALUE"""),"Fallback Campaign")</f>
        <v>Fallback Campaign</v>
      </c>
      <c r="E169" s="211" t="str">
        <f>IFERROR(__xludf.DUMMYFUNCTION("""COMPUTED_VALUE"""),"VS")</f>
        <v>VS</v>
      </c>
      <c r="F169" s="211" t="str">
        <f>IFERROR(__xludf.DUMMYFUNCTION("""COMPUTED_VALUE"""),"Women's Day")</f>
        <v>Women's Day</v>
      </c>
      <c r="G169" s="212" t="str">
        <f>IFERROR(__xludf.DUMMYFUNCTION("""COMPUTED_VALUE"""),"Women's Day Online Campaign_NewCx (FB On)")</f>
        <v>Women's Day Online Campaign_NewCx (FB On)</v>
      </c>
      <c r="H169" s="212" t="str">
        <f>IFERROR(__xludf.DUMMYFUNCTION("""COMPUTED_VALUE"""),"New2025_WomensDay_ON")</f>
        <v>New2025_WomensDay_ON</v>
      </c>
      <c r="I169" s="212" t="str">
        <f>IFERROR(__xludf.DUMMYFUNCTION("""COMPUTED_VALUE"""),"WA Undelivered")</f>
        <v>WA Undelivered</v>
      </c>
      <c r="J169" s="213">
        <f>IFERROR(__xludf.DUMMYFUNCTION("""COMPUTED_VALUE"""),7624.0)</f>
        <v>7624</v>
      </c>
      <c r="K169" s="213">
        <f>IFERROR(__xludf.DUMMYFUNCTION("""COMPUTED_VALUE"""),4831.0)</f>
        <v>4831</v>
      </c>
      <c r="L169" s="214">
        <f>IFERROR(__xludf.DUMMYFUNCTION("""COMPUTED_VALUE"""),0.6337)</f>
        <v>0.6337</v>
      </c>
      <c r="M169" s="213"/>
      <c r="N169" s="214"/>
      <c r="O169" s="213">
        <f>IFERROR(__xludf.DUMMYFUNCTION("""COMPUTED_VALUE"""),13.0)</f>
        <v>13</v>
      </c>
      <c r="P169" s="213"/>
      <c r="Q169" s="214">
        <f>IFERROR(__xludf.DUMMYFUNCTION("""COMPUTED_VALUE"""),0.0027)</f>
        <v>0.0027</v>
      </c>
      <c r="R169" s="214"/>
      <c r="S169" s="213">
        <f>IFERROR(__xludf.DUMMYFUNCTION("""COMPUTED_VALUE"""),2.0)</f>
        <v>2</v>
      </c>
      <c r="T169" s="213">
        <f>IFERROR(__xludf.DUMMYFUNCTION("""COMPUTED_VALUE"""),2.0)</f>
        <v>2</v>
      </c>
      <c r="U169" s="270">
        <f>IFERROR(__xludf.DUMMYFUNCTION("""COMPUTED_VALUE"""),10697.0)</f>
        <v>10697</v>
      </c>
      <c r="V169" s="271" t="str">
        <f>IFERROR(__xludf.DUMMYFUNCTION("""COMPUTED_VALUE"""),"online")</f>
        <v>online</v>
      </c>
      <c r="W169" s="272" t="str">
        <f>IFERROR(__xludf.DUMMYFUNCTION("""COMPUTED_VALUE"""),"SMS")</f>
        <v>SMS</v>
      </c>
      <c r="X169" s="272" t="str">
        <f>IFERROR(__xludf.DUMMYFUNCTION("""COMPUTED_VALUE"""),"no brief")</f>
        <v>no brief</v>
      </c>
      <c r="Y169" s="272" t="str">
        <f>IFERROR(__xludf.DUMMYFUNCTION("""COMPUTED_VALUE"""),"06th - 8th March 2026")</f>
        <v>06th - 8th March 2026</v>
      </c>
      <c r="Z169" s="272" t="str">
        <f>IFERROR(__xludf.DUMMYFUNCTION("""COMPUTED_VALUE"""),"69a984d2d2ff1a8eb1eaa939")</f>
        <v>69a984d2d2ff1a8eb1eaa939</v>
      </c>
      <c r="AA169" s="272">
        <f>IFERROR(__xludf.DUMMYFUNCTION("""COMPUTED_VALUE"""),5.0)</f>
        <v>5</v>
      </c>
      <c r="AB169" s="272">
        <f>IFERROR(__xludf.DUMMYFUNCTION("""COMPUTED_VALUE"""),5.0)</f>
        <v>5</v>
      </c>
      <c r="AC169" s="272"/>
      <c r="AD169" s="272">
        <f>IFERROR(__xludf.DUMMYFUNCTION("""COMPUTED_VALUE"""),23709.0)</f>
        <v>23709</v>
      </c>
      <c r="AE169" s="272">
        <f>IFERROR(__xludf.DUMMYFUNCTION("""COMPUTED_VALUE"""),23709.0)</f>
        <v>23709</v>
      </c>
      <c r="AF169" s="272"/>
      <c r="AG169" s="208"/>
      <c r="AH169" s="208"/>
      <c r="AI169" s="208"/>
      <c r="AJ169" s="208"/>
      <c r="AK169" s="208"/>
    </row>
    <row r="170">
      <c r="A170" s="209">
        <f>IFERROR(__xludf.DUMMYFUNCTION("""COMPUTED_VALUE"""),46087.0)</f>
        <v>46087</v>
      </c>
      <c r="B170" s="210">
        <f>IFERROR(__xludf.DUMMYFUNCTION("""COMPUTED_VALUE"""),0.4791666666678793)</f>
        <v>0.4791666667</v>
      </c>
      <c r="C170" s="211" t="str">
        <f>IFERROR(__xludf.DUMMYFUNCTION("""COMPUTED_VALUE"""),"Sms")</f>
        <v>Sms</v>
      </c>
      <c r="D170" s="211" t="str">
        <f>IFERROR(__xludf.DUMMYFUNCTION("""COMPUTED_VALUE"""),"Fallback Campaign")</f>
        <v>Fallback Campaign</v>
      </c>
      <c r="E170" s="211" t="str">
        <f>IFERROR(__xludf.DUMMYFUNCTION("""COMPUTED_VALUE"""),"VS")</f>
        <v>VS</v>
      </c>
      <c r="F170" s="211" t="str">
        <f>IFERROR(__xludf.DUMMYFUNCTION("""COMPUTED_VALUE"""),"Women's Day")</f>
        <v>Women's Day</v>
      </c>
      <c r="G170" s="212" t="str">
        <f>IFERROR(__xludf.DUMMYFUNCTION("""COMPUTED_VALUE"""),"Women's Day Offline BA - HYD (FB)")</f>
        <v>Women's Day Offline BA - HYD (FB)</v>
      </c>
      <c r="H170" s="212" t="str">
        <f>IFERROR(__xludf.DUMMYFUNCTION("""COMPUTED_VALUE"""),"HYD_Store_Off")</f>
        <v>HYD_Store_Off</v>
      </c>
      <c r="I170" s="212" t="str">
        <f>IFERROR(__xludf.DUMMYFUNCTION("""COMPUTED_VALUE"""),"WA Undelivered")</f>
        <v>WA Undelivered</v>
      </c>
      <c r="J170" s="213">
        <f>IFERROR(__xludf.DUMMYFUNCTION("""COMPUTED_VALUE"""),6574.0)</f>
        <v>6574</v>
      </c>
      <c r="K170" s="213">
        <f>IFERROR(__xludf.DUMMYFUNCTION("""COMPUTED_VALUE"""),4571.0)</f>
        <v>4571</v>
      </c>
      <c r="L170" s="214">
        <f>IFERROR(__xludf.DUMMYFUNCTION("""COMPUTED_VALUE"""),0.6953)</f>
        <v>0.6953</v>
      </c>
      <c r="M170" s="213"/>
      <c r="N170" s="214"/>
      <c r="O170" s="213">
        <f>IFERROR(__xludf.DUMMYFUNCTION("""COMPUTED_VALUE"""),0.0)</f>
        <v>0</v>
      </c>
      <c r="P170" s="213"/>
      <c r="Q170" s="214">
        <f>IFERROR(__xludf.DUMMYFUNCTION("""COMPUTED_VALUE"""),0.0)</f>
        <v>0</v>
      </c>
      <c r="R170" s="214"/>
      <c r="S170" s="213">
        <f>IFERROR(__xludf.DUMMYFUNCTION("""COMPUTED_VALUE"""),1.0)</f>
        <v>1</v>
      </c>
      <c r="T170" s="213">
        <f>IFERROR(__xludf.DUMMYFUNCTION("""COMPUTED_VALUE"""),1.0)</f>
        <v>1</v>
      </c>
      <c r="U170" s="270">
        <f>IFERROR(__xludf.DUMMYFUNCTION("""COMPUTED_VALUE"""),2349.0)</f>
        <v>2349</v>
      </c>
      <c r="V170" s="271" t="str">
        <f>IFERROR(__xludf.DUMMYFUNCTION("""COMPUTED_VALUE"""),"offline")</f>
        <v>offline</v>
      </c>
      <c r="W170" s="272" t="str">
        <f>IFERROR(__xludf.DUMMYFUNCTION("""COMPUTED_VALUE"""),"SMS")</f>
        <v>SMS</v>
      </c>
      <c r="X170" s="272" t="str">
        <f>IFERROR(__xludf.DUMMYFUNCTION("""COMPUTED_VALUE"""),"no brief")</f>
        <v>no brief</v>
      </c>
      <c r="Y170" s="272" t="str">
        <f>IFERROR(__xludf.DUMMYFUNCTION("""COMPUTED_VALUE"""),"06th - 8th March 2026")</f>
        <v>06th - 8th March 2026</v>
      </c>
      <c r="Z170" s="272" t="str">
        <f>IFERROR(__xludf.DUMMYFUNCTION("""COMPUTED_VALUE"""),"69aa6866b64da5f983ec36b2")</f>
        <v>69aa6866b64da5f983ec36b2</v>
      </c>
      <c r="AA170" s="272">
        <f>IFERROR(__xludf.DUMMYFUNCTION("""COMPUTED_VALUE"""),11.0)</f>
        <v>11</v>
      </c>
      <c r="AB170" s="272"/>
      <c r="AC170" s="272">
        <f>IFERROR(__xludf.DUMMYFUNCTION("""COMPUTED_VALUE"""),11.0)</f>
        <v>11</v>
      </c>
      <c r="AD170" s="272">
        <f>IFERROR(__xludf.DUMMYFUNCTION("""COMPUTED_VALUE"""),32386.0)</f>
        <v>32386</v>
      </c>
      <c r="AE170" s="272"/>
      <c r="AF170" s="272">
        <f>IFERROR(__xludf.DUMMYFUNCTION("""COMPUTED_VALUE"""),32386.0)</f>
        <v>32386</v>
      </c>
      <c r="AG170" s="208"/>
      <c r="AH170" s="208"/>
      <c r="AI170" s="208"/>
      <c r="AJ170" s="208"/>
      <c r="AK170" s="208"/>
    </row>
    <row r="171">
      <c r="A171" s="209">
        <f>IFERROR(__xludf.DUMMYFUNCTION("""COMPUTED_VALUE"""),46087.0)</f>
        <v>46087</v>
      </c>
      <c r="B171" s="210">
        <f>IFERROR(__xludf.DUMMYFUNCTION("""COMPUTED_VALUE"""),0.4791666666678793)</f>
        <v>0.4791666667</v>
      </c>
      <c r="C171" s="211" t="str">
        <f>IFERROR(__xludf.DUMMYFUNCTION("""COMPUTED_VALUE"""),"Sms")</f>
        <v>Sms</v>
      </c>
      <c r="D171" s="211" t="str">
        <f>IFERROR(__xludf.DUMMYFUNCTION("""COMPUTED_VALUE"""),"Fallback Campaign")</f>
        <v>Fallback Campaign</v>
      </c>
      <c r="E171" s="211" t="str">
        <f>IFERROR(__xludf.DUMMYFUNCTION("""COMPUTED_VALUE"""),"VS")</f>
        <v>VS</v>
      </c>
      <c r="F171" s="211" t="str">
        <f>IFERROR(__xludf.DUMMYFUNCTION("""COMPUTED_VALUE"""),"Women's Day")</f>
        <v>Women's Day</v>
      </c>
      <c r="G171" s="212" t="str">
        <f>IFERROR(__xludf.DUMMYFUNCTION("""COMPUTED_VALUE"""),"Women's Day Offline BA - Pune (FB)")</f>
        <v>Women's Day Offline BA - Pune (FB)</v>
      </c>
      <c r="H171" s="212" t="str">
        <f>IFERROR(__xludf.DUMMYFUNCTION("""COMPUTED_VALUE"""),"PUNE_Store_Off")</f>
        <v>PUNE_Store_Off</v>
      </c>
      <c r="I171" s="212" t="str">
        <f>IFERROR(__xludf.DUMMYFUNCTION("""COMPUTED_VALUE"""),"WA Undelivered")</f>
        <v>WA Undelivered</v>
      </c>
      <c r="J171" s="213">
        <f>IFERROR(__xludf.DUMMYFUNCTION("""COMPUTED_VALUE"""),6476.0)</f>
        <v>6476</v>
      </c>
      <c r="K171" s="213">
        <f>IFERROR(__xludf.DUMMYFUNCTION("""COMPUTED_VALUE"""),4152.0)</f>
        <v>4152</v>
      </c>
      <c r="L171" s="214">
        <f>IFERROR(__xludf.DUMMYFUNCTION("""COMPUTED_VALUE"""),0.6411)</f>
        <v>0.6411</v>
      </c>
      <c r="M171" s="213"/>
      <c r="N171" s="214"/>
      <c r="O171" s="213">
        <f>IFERROR(__xludf.DUMMYFUNCTION("""COMPUTED_VALUE"""),0.0)</f>
        <v>0</v>
      </c>
      <c r="P171" s="213"/>
      <c r="Q171" s="214">
        <f>IFERROR(__xludf.DUMMYFUNCTION("""COMPUTED_VALUE"""),0.0)</f>
        <v>0</v>
      </c>
      <c r="R171" s="214"/>
      <c r="S171" s="213">
        <f>IFERROR(__xludf.DUMMYFUNCTION("""COMPUTED_VALUE"""),0.0)</f>
        <v>0</v>
      </c>
      <c r="T171" s="213">
        <f>IFERROR(__xludf.DUMMYFUNCTION("""COMPUTED_VALUE"""),1.0)</f>
        <v>1</v>
      </c>
      <c r="U171" s="270">
        <f>IFERROR(__xludf.DUMMYFUNCTION("""COMPUTED_VALUE"""),0.0)</f>
        <v>0</v>
      </c>
      <c r="V171" s="271" t="str">
        <f>IFERROR(__xludf.DUMMYFUNCTION("""COMPUTED_VALUE"""),"offline")</f>
        <v>offline</v>
      </c>
      <c r="W171" s="272" t="str">
        <f>IFERROR(__xludf.DUMMYFUNCTION("""COMPUTED_VALUE"""),"SMS")</f>
        <v>SMS</v>
      </c>
      <c r="X171" s="272" t="str">
        <f>IFERROR(__xludf.DUMMYFUNCTION("""COMPUTED_VALUE"""),"no brief")</f>
        <v>no brief</v>
      </c>
      <c r="Y171" s="272" t="str">
        <f>IFERROR(__xludf.DUMMYFUNCTION("""COMPUTED_VALUE"""),"06th - 8th March 2026")</f>
        <v>06th - 8th March 2026</v>
      </c>
      <c r="Z171" s="272" t="str">
        <f>IFERROR(__xludf.DUMMYFUNCTION("""COMPUTED_VALUE"""),"69aa6912d4e586c0e773c40a")</f>
        <v>69aa6912d4e586c0e773c40a</v>
      </c>
      <c r="AA171" s="272">
        <f>IFERROR(__xludf.DUMMYFUNCTION("""COMPUTED_VALUE"""),7.0)</f>
        <v>7</v>
      </c>
      <c r="AB171" s="272"/>
      <c r="AC171" s="272">
        <f>IFERROR(__xludf.DUMMYFUNCTION("""COMPUTED_VALUE"""),7.0)</f>
        <v>7</v>
      </c>
      <c r="AD171" s="272">
        <f>IFERROR(__xludf.DUMMYFUNCTION("""COMPUTED_VALUE"""),26668.0)</f>
        <v>26668</v>
      </c>
      <c r="AE171" s="272"/>
      <c r="AF171" s="272">
        <f>IFERROR(__xludf.DUMMYFUNCTION("""COMPUTED_VALUE"""),26668.0)</f>
        <v>26668</v>
      </c>
      <c r="AG171" s="208"/>
      <c r="AH171" s="208"/>
      <c r="AI171" s="208"/>
      <c r="AJ171" s="208"/>
      <c r="AK171" s="208"/>
    </row>
    <row r="172">
      <c r="A172" s="209">
        <f>IFERROR(__xludf.DUMMYFUNCTION("""COMPUTED_VALUE"""),46087.0)</f>
        <v>46087</v>
      </c>
      <c r="B172" s="210">
        <f>IFERROR(__xludf.DUMMYFUNCTION("""COMPUTED_VALUE"""),0.4791666666678793)</f>
        <v>0.4791666667</v>
      </c>
      <c r="C172" s="211" t="str">
        <f>IFERROR(__xludf.DUMMYFUNCTION("""COMPUTED_VALUE"""),"Sms")</f>
        <v>Sms</v>
      </c>
      <c r="D172" s="211" t="str">
        <f>IFERROR(__xludf.DUMMYFUNCTION("""COMPUTED_VALUE"""),"Fallback Campaign")</f>
        <v>Fallback Campaign</v>
      </c>
      <c r="E172" s="211" t="str">
        <f>IFERROR(__xludf.DUMMYFUNCTION("""COMPUTED_VALUE"""),"VS")</f>
        <v>VS</v>
      </c>
      <c r="F172" s="211" t="str">
        <f>IFERROR(__xludf.DUMMYFUNCTION("""COMPUTED_VALUE"""),"Women's Day")</f>
        <v>Women's Day</v>
      </c>
      <c r="G172" s="212" t="str">
        <f>IFERROR(__xludf.DUMMYFUNCTION("""COMPUTED_VALUE"""),"Women's Day Offline FA - GGN (FB)")</f>
        <v>Women's Day Offline FA - GGN (FB)</v>
      </c>
      <c r="H172" s="212" t="str">
        <f>IFERROR(__xludf.DUMMYFUNCTION("""COMPUTED_VALUE"""),"GGN_Store_Off")</f>
        <v>GGN_Store_Off</v>
      </c>
      <c r="I172" s="212" t="str">
        <f>IFERROR(__xludf.DUMMYFUNCTION("""COMPUTED_VALUE"""),"WA Undelivered")</f>
        <v>WA Undelivered</v>
      </c>
      <c r="J172" s="213">
        <f>IFERROR(__xludf.DUMMYFUNCTION("""COMPUTED_VALUE"""),13324.0)</f>
        <v>13324</v>
      </c>
      <c r="K172" s="213">
        <f>IFERROR(__xludf.DUMMYFUNCTION("""COMPUTED_VALUE"""),7853.0)</f>
        <v>7853</v>
      </c>
      <c r="L172" s="214">
        <f>IFERROR(__xludf.DUMMYFUNCTION("""COMPUTED_VALUE"""),0.5894)</f>
        <v>0.5894</v>
      </c>
      <c r="M172" s="213"/>
      <c r="N172" s="214"/>
      <c r="O172" s="213">
        <f>IFERROR(__xludf.DUMMYFUNCTION("""COMPUTED_VALUE"""),0.0)</f>
        <v>0</v>
      </c>
      <c r="P172" s="213"/>
      <c r="Q172" s="214">
        <f>IFERROR(__xludf.DUMMYFUNCTION("""COMPUTED_VALUE"""),0.0)</f>
        <v>0</v>
      </c>
      <c r="R172" s="214"/>
      <c r="S172" s="213">
        <f>IFERROR(__xludf.DUMMYFUNCTION("""COMPUTED_VALUE"""),3.0)</f>
        <v>3</v>
      </c>
      <c r="T172" s="213">
        <f>IFERROR(__xludf.DUMMYFUNCTION("""COMPUTED_VALUE"""),3.0)</f>
        <v>3</v>
      </c>
      <c r="U172" s="270">
        <f>IFERROR(__xludf.DUMMYFUNCTION("""COMPUTED_VALUE"""),9394.0)</f>
        <v>9394</v>
      </c>
      <c r="V172" s="271" t="str">
        <f>IFERROR(__xludf.DUMMYFUNCTION("""COMPUTED_VALUE"""),"offline")</f>
        <v>offline</v>
      </c>
      <c r="W172" s="272" t="str">
        <f>IFERROR(__xludf.DUMMYFUNCTION("""COMPUTED_VALUE"""),"SMS")</f>
        <v>SMS</v>
      </c>
      <c r="X172" s="272" t="str">
        <f>IFERROR(__xludf.DUMMYFUNCTION("""COMPUTED_VALUE"""),"no brief")</f>
        <v>no brief</v>
      </c>
      <c r="Y172" s="272" t="str">
        <f>IFERROR(__xludf.DUMMYFUNCTION("""COMPUTED_VALUE"""),"06th - 8th March 2026")</f>
        <v>06th - 8th March 2026</v>
      </c>
      <c r="Z172" s="272" t="str">
        <f>IFERROR(__xludf.DUMMYFUNCTION("""COMPUTED_VALUE"""),"69aa69c0c63569bcb2f9eef8")</f>
        <v>69aa69c0c63569bcb2f9eef8</v>
      </c>
      <c r="AA172" s="272">
        <f>IFERROR(__xludf.DUMMYFUNCTION("""COMPUTED_VALUE"""),17.0)</f>
        <v>17</v>
      </c>
      <c r="AB172" s="272"/>
      <c r="AC172" s="272">
        <f>IFERROR(__xludf.DUMMYFUNCTION("""COMPUTED_VALUE"""),17.0)</f>
        <v>17</v>
      </c>
      <c r="AD172" s="272">
        <f>IFERROR(__xludf.DUMMYFUNCTION("""COMPUTED_VALUE"""),175311.0)</f>
        <v>175311</v>
      </c>
      <c r="AE172" s="272"/>
      <c r="AF172" s="272">
        <f>IFERROR(__xludf.DUMMYFUNCTION("""COMPUTED_VALUE"""),175311.0)</f>
        <v>175311</v>
      </c>
      <c r="AG172" s="208"/>
      <c r="AH172" s="208"/>
      <c r="AI172" s="208"/>
      <c r="AJ172" s="208"/>
      <c r="AK172" s="208"/>
    </row>
    <row r="173">
      <c r="A173" s="209">
        <f>IFERROR(__xludf.DUMMYFUNCTION("""COMPUTED_VALUE"""),46087.0)</f>
        <v>46087</v>
      </c>
      <c r="B173" s="210">
        <f>IFERROR(__xludf.DUMMYFUNCTION("""COMPUTED_VALUE"""),0.4791666666678793)</f>
        <v>0.4791666667</v>
      </c>
      <c r="C173" s="211" t="str">
        <f>IFERROR(__xludf.DUMMYFUNCTION("""COMPUTED_VALUE"""),"Sms")</f>
        <v>Sms</v>
      </c>
      <c r="D173" s="211" t="str">
        <f>IFERROR(__xludf.DUMMYFUNCTION("""COMPUTED_VALUE"""),"Fallback Campaign")</f>
        <v>Fallback Campaign</v>
      </c>
      <c r="E173" s="211" t="str">
        <f>IFERROR(__xludf.DUMMYFUNCTION("""COMPUTED_VALUE"""),"VS")</f>
        <v>VS</v>
      </c>
      <c r="F173" s="211" t="str">
        <f>IFERROR(__xludf.DUMMYFUNCTION("""COMPUTED_VALUE"""),"Women's Day")</f>
        <v>Women's Day</v>
      </c>
      <c r="G173" s="212" t="str">
        <f>IFERROR(__xludf.DUMMYFUNCTION("""COMPUTED_VALUE"""),"Women's Day Offline BA - Raipur (FB)")</f>
        <v>Women's Day Offline BA - Raipur (FB)</v>
      </c>
      <c r="H173" s="212" t="str">
        <f>IFERROR(__xludf.DUMMYFUNCTION("""COMPUTED_VALUE"""),"vs_off_raipur_feb2026")</f>
        <v>vs_off_raipur_feb2026</v>
      </c>
      <c r="I173" s="212" t="str">
        <f>IFERROR(__xludf.DUMMYFUNCTION("""COMPUTED_VALUE"""),"WA Undelivered")</f>
        <v>WA Undelivered</v>
      </c>
      <c r="J173" s="213">
        <f>IFERROR(__xludf.DUMMYFUNCTION("""COMPUTED_VALUE"""),609.0)</f>
        <v>609</v>
      </c>
      <c r="K173" s="213">
        <f>IFERROR(__xludf.DUMMYFUNCTION("""COMPUTED_VALUE"""),429.0)</f>
        <v>429</v>
      </c>
      <c r="L173" s="214">
        <f>IFERROR(__xludf.DUMMYFUNCTION("""COMPUTED_VALUE"""),0.7044)</f>
        <v>0.7044</v>
      </c>
      <c r="M173" s="213"/>
      <c r="N173" s="214"/>
      <c r="O173" s="213">
        <f>IFERROR(__xludf.DUMMYFUNCTION("""COMPUTED_VALUE"""),0.0)</f>
        <v>0</v>
      </c>
      <c r="P173" s="213"/>
      <c r="Q173" s="214">
        <f>IFERROR(__xludf.DUMMYFUNCTION("""COMPUTED_VALUE"""),0.0)</f>
        <v>0</v>
      </c>
      <c r="R173" s="214"/>
      <c r="S173" s="213">
        <f>IFERROR(__xludf.DUMMYFUNCTION("""COMPUTED_VALUE"""),0.0)</f>
        <v>0</v>
      </c>
      <c r="T173" s="213">
        <f>IFERROR(__xludf.DUMMYFUNCTION("""COMPUTED_VALUE"""),0.0)</f>
        <v>0</v>
      </c>
      <c r="U173" s="270">
        <f>IFERROR(__xludf.DUMMYFUNCTION("""COMPUTED_VALUE"""),0.0)</f>
        <v>0</v>
      </c>
      <c r="V173" s="271" t="str">
        <f>IFERROR(__xludf.DUMMYFUNCTION("""COMPUTED_VALUE"""),"offline")</f>
        <v>offline</v>
      </c>
      <c r="W173" s="272" t="str">
        <f>IFERROR(__xludf.DUMMYFUNCTION("""COMPUTED_VALUE"""),"SMS")</f>
        <v>SMS</v>
      </c>
      <c r="X173" s="272" t="str">
        <f>IFERROR(__xludf.DUMMYFUNCTION("""COMPUTED_VALUE"""),"no brief")</f>
        <v>no brief</v>
      </c>
      <c r="Y173" s="272" t="str">
        <f>IFERROR(__xludf.DUMMYFUNCTION("""COMPUTED_VALUE"""),"06th - 8th March 2026")</f>
        <v>06th - 8th March 2026</v>
      </c>
      <c r="Z173" s="272" t="str">
        <f>IFERROR(__xludf.DUMMYFUNCTION("""COMPUTED_VALUE"""),"69aa6a3a277f361f4dfc0c09")</f>
        <v>69aa6a3a277f361f4dfc0c09</v>
      </c>
      <c r="AA173" s="272">
        <f>IFERROR(__xludf.DUMMYFUNCTION("""COMPUTED_VALUE"""),2.0)</f>
        <v>2</v>
      </c>
      <c r="AB173" s="272"/>
      <c r="AC173" s="272">
        <f>IFERROR(__xludf.DUMMYFUNCTION("""COMPUTED_VALUE"""),2.0)</f>
        <v>2</v>
      </c>
      <c r="AD173" s="272">
        <f>IFERROR(__xludf.DUMMYFUNCTION("""COMPUTED_VALUE"""),6146.0)</f>
        <v>6146</v>
      </c>
      <c r="AE173" s="272"/>
      <c r="AF173" s="272">
        <f>IFERROR(__xludf.DUMMYFUNCTION("""COMPUTED_VALUE"""),6146.0)</f>
        <v>6146</v>
      </c>
      <c r="AG173" s="208"/>
      <c r="AH173" s="208"/>
      <c r="AI173" s="208"/>
      <c r="AJ173" s="208"/>
      <c r="AK173" s="208"/>
    </row>
    <row r="174">
      <c r="A174" s="209">
        <f>IFERROR(__xludf.DUMMYFUNCTION("""COMPUTED_VALUE"""),46087.0)</f>
        <v>46087</v>
      </c>
      <c r="B174" s="210">
        <f>IFERROR(__xludf.DUMMYFUNCTION("""COMPUTED_VALUE"""),0.4791666666678793)</f>
        <v>0.4791666667</v>
      </c>
      <c r="C174" s="211" t="str">
        <f>IFERROR(__xludf.DUMMYFUNCTION("""COMPUTED_VALUE"""),"Sms")</f>
        <v>Sms</v>
      </c>
      <c r="D174" s="211" t="str">
        <f>IFERROR(__xludf.DUMMYFUNCTION("""COMPUTED_VALUE"""),"Fallback Campaign")</f>
        <v>Fallback Campaign</v>
      </c>
      <c r="E174" s="211" t="str">
        <f>IFERROR(__xludf.DUMMYFUNCTION("""COMPUTED_VALUE"""),"VS")</f>
        <v>VS</v>
      </c>
      <c r="F174" s="211" t="str">
        <f>IFERROR(__xludf.DUMMYFUNCTION("""COMPUTED_VALUE"""),"Women's Day")</f>
        <v>Women's Day</v>
      </c>
      <c r="G174" s="212" t="str">
        <f>IFERROR(__xludf.DUMMYFUNCTION("""COMPUTED_VALUE"""),"Women's Day Offline BA - Lucknow (FB)")</f>
        <v>Women's Day Offline BA - Lucknow (FB)</v>
      </c>
      <c r="H174" s="212" t="str">
        <f>IFERROR(__xludf.DUMMYFUNCTION("""COMPUTED_VALUE"""),"vs_off_lucknow_feb2026")</f>
        <v>vs_off_lucknow_feb2026</v>
      </c>
      <c r="I174" s="212" t="str">
        <f>IFERROR(__xludf.DUMMYFUNCTION("""COMPUTED_VALUE"""),"WA Undelivered")</f>
        <v>WA Undelivered</v>
      </c>
      <c r="J174" s="213">
        <f>IFERROR(__xludf.DUMMYFUNCTION("""COMPUTED_VALUE"""),708.0)</f>
        <v>708</v>
      </c>
      <c r="K174" s="213">
        <f>IFERROR(__xludf.DUMMYFUNCTION("""COMPUTED_VALUE"""),513.0)</f>
        <v>513</v>
      </c>
      <c r="L174" s="214">
        <f>IFERROR(__xludf.DUMMYFUNCTION("""COMPUTED_VALUE"""),0.7246)</f>
        <v>0.7246</v>
      </c>
      <c r="M174" s="213"/>
      <c r="N174" s="214"/>
      <c r="O174" s="213">
        <f>IFERROR(__xludf.DUMMYFUNCTION("""COMPUTED_VALUE"""),0.0)</f>
        <v>0</v>
      </c>
      <c r="P174" s="213"/>
      <c r="Q174" s="214">
        <f>IFERROR(__xludf.DUMMYFUNCTION("""COMPUTED_VALUE"""),0.0)</f>
        <v>0</v>
      </c>
      <c r="R174" s="214"/>
      <c r="S174" s="213">
        <f>IFERROR(__xludf.DUMMYFUNCTION("""COMPUTED_VALUE"""),0.0)</f>
        <v>0</v>
      </c>
      <c r="T174" s="213">
        <f>IFERROR(__xludf.DUMMYFUNCTION("""COMPUTED_VALUE"""),0.0)</f>
        <v>0</v>
      </c>
      <c r="U174" s="270">
        <f>IFERROR(__xludf.DUMMYFUNCTION("""COMPUTED_VALUE"""),0.0)</f>
        <v>0</v>
      </c>
      <c r="V174" s="271" t="str">
        <f>IFERROR(__xludf.DUMMYFUNCTION("""COMPUTED_VALUE"""),"offline")</f>
        <v>offline</v>
      </c>
      <c r="W174" s="272" t="str">
        <f>IFERROR(__xludf.DUMMYFUNCTION("""COMPUTED_VALUE"""),"SMS")</f>
        <v>SMS</v>
      </c>
      <c r="X174" s="272" t="str">
        <f>IFERROR(__xludf.DUMMYFUNCTION("""COMPUTED_VALUE"""),"no brief")</f>
        <v>no brief</v>
      </c>
      <c r="Y174" s="272" t="str">
        <f>IFERROR(__xludf.DUMMYFUNCTION("""COMPUTED_VALUE"""),"06th - 8th March 2026")</f>
        <v>06th - 8th March 2026</v>
      </c>
      <c r="Z174" s="272" t="str">
        <f>IFERROR(__xludf.DUMMYFUNCTION("""COMPUTED_VALUE"""),"69aa6ac33e39e36673f3db9e")</f>
        <v>69aa6ac33e39e36673f3db9e</v>
      </c>
      <c r="AA174" s="272">
        <f>IFERROR(__xludf.DUMMYFUNCTION("""COMPUTED_VALUE"""),1.0)</f>
        <v>1</v>
      </c>
      <c r="AB174" s="272"/>
      <c r="AC174" s="272">
        <f>IFERROR(__xludf.DUMMYFUNCTION("""COMPUTED_VALUE"""),1.0)</f>
        <v>1</v>
      </c>
      <c r="AD174" s="272">
        <f>IFERROR(__xludf.DUMMYFUNCTION("""COMPUTED_VALUE"""),20463.0)</f>
        <v>20463</v>
      </c>
      <c r="AE174" s="272"/>
      <c r="AF174" s="272">
        <f>IFERROR(__xludf.DUMMYFUNCTION("""COMPUTED_VALUE"""),20463.0)</f>
        <v>20463</v>
      </c>
      <c r="AG174" s="208"/>
      <c r="AH174" s="208"/>
      <c r="AI174" s="208"/>
      <c r="AJ174" s="208"/>
      <c r="AK174" s="208"/>
    </row>
    <row r="175">
      <c r="A175" s="209">
        <f>IFERROR(__xludf.DUMMYFUNCTION("""COMPUTED_VALUE"""),46087.0)</f>
        <v>46087</v>
      </c>
      <c r="B175" s="210">
        <f>IFERROR(__xludf.DUMMYFUNCTION("""COMPUTED_VALUE"""),0.4791666666678793)</f>
        <v>0.4791666667</v>
      </c>
      <c r="C175" s="211" t="str">
        <f>IFERROR(__xludf.DUMMYFUNCTION("""COMPUTED_VALUE"""),"Sms")</f>
        <v>Sms</v>
      </c>
      <c r="D175" s="211" t="str">
        <f>IFERROR(__xludf.DUMMYFUNCTION("""COMPUTED_VALUE"""),"Fallback Campaign")</f>
        <v>Fallback Campaign</v>
      </c>
      <c r="E175" s="211" t="str">
        <f>IFERROR(__xludf.DUMMYFUNCTION("""COMPUTED_VALUE"""),"VS")</f>
        <v>VS</v>
      </c>
      <c r="F175" s="211" t="str">
        <f>IFERROR(__xludf.DUMMYFUNCTION("""COMPUTED_VALUE"""),"Women's Day")</f>
        <v>Women's Day</v>
      </c>
      <c r="G175" s="212" t="str">
        <f>IFERROR(__xludf.DUMMYFUNCTION("""COMPUTED_VALUE"""),"Women's Day Offline BA - Kochi (FB)")</f>
        <v>Women's Day Offline BA - Kochi (FB)</v>
      </c>
      <c r="H175" s="212" t="str">
        <f>IFERROR(__xludf.DUMMYFUNCTION("""COMPUTED_VALUE"""),"vs_off_kochi_feb2026")</f>
        <v>vs_off_kochi_feb2026</v>
      </c>
      <c r="I175" s="212" t="str">
        <f>IFERROR(__xludf.DUMMYFUNCTION("""COMPUTED_VALUE"""),"WA Undelivered")</f>
        <v>WA Undelivered</v>
      </c>
      <c r="J175" s="213">
        <f>IFERROR(__xludf.DUMMYFUNCTION("""COMPUTED_VALUE"""),2009.0)</f>
        <v>2009</v>
      </c>
      <c r="K175" s="213">
        <f>IFERROR(__xludf.DUMMYFUNCTION("""COMPUTED_VALUE"""),1386.0)</f>
        <v>1386</v>
      </c>
      <c r="L175" s="214">
        <f>IFERROR(__xludf.DUMMYFUNCTION("""COMPUTED_VALUE"""),0.6899)</f>
        <v>0.6899</v>
      </c>
      <c r="M175" s="213"/>
      <c r="N175" s="214"/>
      <c r="O175" s="213">
        <f>IFERROR(__xludf.DUMMYFUNCTION("""COMPUTED_VALUE"""),0.0)</f>
        <v>0</v>
      </c>
      <c r="P175" s="213"/>
      <c r="Q175" s="214">
        <f>IFERROR(__xludf.DUMMYFUNCTION("""COMPUTED_VALUE"""),0.0)</f>
        <v>0</v>
      </c>
      <c r="R175" s="214"/>
      <c r="S175" s="213">
        <f>IFERROR(__xludf.DUMMYFUNCTION("""COMPUTED_VALUE"""),0.0)</f>
        <v>0</v>
      </c>
      <c r="T175" s="213">
        <f>IFERROR(__xludf.DUMMYFUNCTION("""COMPUTED_VALUE"""),0.0)</f>
        <v>0</v>
      </c>
      <c r="U175" s="270">
        <f>IFERROR(__xludf.DUMMYFUNCTION("""COMPUTED_VALUE"""),0.0)</f>
        <v>0</v>
      </c>
      <c r="V175" s="271" t="str">
        <f>IFERROR(__xludf.DUMMYFUNCTION("""COMPUTED_VALUE"""),"offline")</f>
        <v>offline</v>
      </c>
      <c r="W175" s="272" t="str">
        <f>IFERROR(__xludf.DUMMYFUNCTION("""COMPUTED_VALUE"""),"SMS")</f>
        <v>SMS</v>
      </c>
      <c r="X175" s="272" t="str">
        <f>IFERROR(__xludf.DUMMYFUNCTION("""COMPUTED_VALUE"""),"no brief")</f>
        <v>no brief</v>
      </c>
      <c r="Y175" s="272" t="str">
        <f>IFERROR(__xludf.DUMMYFUNCTION("""COMPUTED_VALUE"""),"06th - 8th March 2026")</f>
        <v>06th - 8th March 2026</v>
      </c>
      <c r="Z175" s="272" t="str">
        <f>IFERROR(__xludf.DUMMYFUNCTION("""COMPUTED_VALUE"""),"69aa6baa76523e39e351c9fc")</f>
        <v>69aa6baa76523e39e351c9fc</v>
      </c>
      <c r="AA175" s="272">
        <f>IFERROR(__xludf.DUMMYFUNCTION("""COMPUTED_VALUE"""),0.0)</f>
        <v>0</v>
      </c>
      <c r="AB175" s="272"/>
      <c r="AC175" s="272">
        <f>IFERROR(__xludf.DUMMYFUNCTION("""COMPUTED_VALUE"""),0.0)</f>
        <v>0</v>
      </c>
      <c r="AD175" s="272">
        <f>IFERROR(__xludf.DUMMYFUNCTION("""COMPUTED_VALUE"""),0.0)</f>
        <v>0</v>
      </c>
      <c r="AE175" s="272"/>
      <c r="AF175" s="272">
        <f>IFERROR(__xludf.DUMMYFUNCTION("""COMPUTED_VALUE"""),0.0)</f>
        <v>0</v>
      </c>
      <c r="AG175" s="208"/>
      <c r="AH175" s="208"/>
      <c r="AI175" s="208"/>
      <c r="AJ175" s="208"/>
      <c r="AK175" s="208"/>
    </row>
    <row r="176">
      <c r="A176" s="209">
        <f>IFERROR(__xludf.DUMMYFUNCTION("""COMPUTED_VALUE"""),46087.0)</f>
        <v>46087</v>
      </c>
      <c r="B176" s="210">
        <f>IFERROR(__xludf.DUMMYFUNCTION("""COMPUTED_VALUE"""),0.4791666666678793)</f>
        <v>0.4791666667</v>
      </c>
      <c r="C176" s="211" t="str">
        <f>IFERROR(__xludf.DUMMYFUNCTION("""COMPUTED_VALUE"""),"Sms")</f>
        <v>Sms</v>
      </c>
      <c r="D176" s="211" t="str">
        <f>IFERROR(__xludf.DUMMYFUNCTION("""COMPUTED_VALUE"""),"Fallback Campaign")</f>
        <v>Fallback Campaign</v>
      </c>
      <c r="E176" s="211" t="str">
        <f>IFERROR(__xludf.DUMMYFUNCTION("""COMPUTED_VALUE"""),"VS")</f>
        <v>VS</v>
      </c>
      <c r="F176" s="211" t="str">
        <f>IFERROR(__xludf.DUMMYFUNCTION("""COMPUTED_VALUE"""),"Women's Day")</f>
        <v>Women's Day</v>
      </c>
      <c r="G176" s="212" t="str">
        <f>IFERROR(__xludf.DUMMYFUNCTION("""COMPUTED_VALUE"""),"Women's Day Offline BA - Chennai (FB)")</f>
        <v>Women's Day Offline BA - Chennai (FB)</v>
      </c>
      <c r="H176" s="212" t="str">
        <f>IFERROR(__xludf.DUMMYFUNCTION("""COMPUTED_VALUE"""),"vs_off_chennai_feb2026")</f>
        <v>vs_off_chennai_feb2026</v>
      </c>
      <c r="I176" s="212" t="str">
        <f>IFERROR(__xludf.DUMMYFUNCTION("""COMPUTED_VALUE"""),"WA Undelivered")</f>
        <v>WA Undelivered</v>
      </c>
      <c r="J176" s="213">
        <f>IFERROR(__xludf.DUMMYFUNCTION("""COMPUTED_VALUE"""),1231.0)</f>
        <v>1231</v>
      </c>
      <c r="K176" s="213">
        <f>IFERROR(__xludf.DUMMYFUNCTION("""COMPUTED_VALUE"""),841.0)</f>
        <v>841</v>
      </c>
      <c r="L176" s="214">
        <f>IFERROR(__xludf.DUMMYFUNCTION("""COMPUTED_VALUE"""),0.6832)</f>
        <v>0.6832</v>
      </c>
      <c r="M176" s="213"/>
      <c r="N176" s="214"/>
      <c r="O176" s="213">
        <f>IFERROR(__xludf.DUMMYFUNCTION("""COMPUTED_VALUE"""),0.0)</f>
        <v>0</v>
      </c>
      <c r="P176" s="213"/>
      <c r="Q176" s="214">
        <f>IFERROR(__xludf.DUMMYFUNCTION("""COMPUTED_VALUE"""),0.0)</f>
        <v>0</v>
      </c>
      <c r="R176" s="214"/>
      <c r="S176" s="213">
        <f>IFERROR(__xludf.DUMMYFUNCTION("""COMPUTED_VALUE"""),0.0)</f>
        <v>0</v>
      </c>
      <c r="T176" s="213">
        <f>IFERROR(__xludf.DUMMYFUNCTION("""COMPUTED_VALUE"""),0.0)</f>
        <v>0</v>
      </c>
      <c r="U176" s="270">
        <f>IFERROR(__xludf.DUMMYFUNCTION("""COMPUTED_VALUE"""),0.0)</f>
        <v>0</v>
      </c>
      <c r="V176" s="271" t="str">
        <f>IFERROR(__xludf.DUMMYFUNCTION("""COMPUTED_VALUE"""),"offline")</f>
        <v>offline</v>
      </c>
      <c r="W176" s="272" t="str">
        <f>IFERROR(__xludf.DUMMYFUNCTION("""COMPUTED_VALUE"""),"SMS")</f>
        <v>SMS</v>
      </c>
      <c r="X176" s="272" t="str">
        <f>IFERROR(__xludf.DUMMYFUNCTION("""COMPUTED_VALUE"""),"no brief")</f>
        <v>no brief</v>
      </c>
      <c r="Y176" s="272" t="str">
        <f>IFERROR(__xludf.DUMMYFUNCTION("""COMPUTED_VALUE"""),"06th - 8th March 2026")</f>
        <v>06th - 8th March 2026</v>
      </c>
      <c r="Z176" s="272" t="str">
        <f>IFERROR(__xludf.DUMMYFUNCTION("""COMPUTED_VALUE"""),"69aa6c0340cfa57a38c83ffc")</f>
        <v>69aa6c0340cfa57a38c83ffc</v>
      </c>
      <c r="AA176" s="272">
        <f>IFERROR(__xludf.DUMMYFUNCTION("""COMPUTED_VALUE"""),1.0)</f>
        <v>1</v>
      </c>
      <c r="AB176" s="272"/>
      <c r="AC176" s="272">
        <f>IFERROR(__xludf.DUMMYFUNCTION("""COMPUTED_VALUE"""),1.0)</f>
        <v>1</v>
      </c>
      <c r="AD176" s="272">
        <f>IFERROR(__xludf.DUMMYFUNCTION("""COMPUTED_VALUE"""),2099.0)</f>
        <v>2099</v>
      </c>
      <c r="AE176" s="272"/>
      <c r="AF176" s="272">
        <f>IFERROR(__xludf.DUMMYFUNCTION("""COMPUTED_VALUE"""),2099.0)</f>
        <v>2099</v>
      </c>
      <c r="AG176" s="208"/>
      <c r="AH176" s="208"/>
      <c r="AI176" s="208"/>
      <c r="AJ176" s="208"/>
      <c r="AK176" s="208"/>
    </row>
    <row r="177">
      <c r="A177" s="209">
        <f>IFERROR(__xludf.DUMMYFUNCTION("""COMPUTED_VALUE"""),46087.0)</f>
        <v>46087</v>
      </c>
      <c r="B177" s="210">
        <f>IFERROR(__xludf.DUMMYFUNCTION("""COMPUTED_VALUE"""),0.4791666666678793)</f>
        <v>0.4791666667</v>
      </c>
      <c r="C177" s="211" t="str">
        <f>IFERROR(__xludf.DUMMYFUNCTION("""COMPUTED_VALUE"""),"Sms")</f>
        <v>Sms</v>
      </c>
      <c r="D177" s="211" t="str">
        <f>IFERROR(__xludf.DUMMYFUNCTION("""COMPUTED_VALUE"""),"Fallback Campaign")</f>
        <v>Fallback Campaign</v>
      </c>
      <c r="E177" s="211" t="str">
        <f>IFERROR(__xludf.DUMMYFUNCTION("""COMPUTED_VALUE"""),"VS")</f>
        <v>VS</v>
      </c>
      <c r="F177" s="211" t="str">
        <f>IFERROR(__xludf.DUMMYFUNCTION("""COMPUTED_VALUE"""),"Women's Day")</f>
        <v>Women's Day</v>
      </c>
      <c r="G177" s="212" t="str">
        <f>IFERROR(__xludf.DUMMYFUNCTION("""COMPUTED_VALUE"""),"Women's Day Offline BA - MUM (FB)")</f>
        <v>Women's Day Offline BA - MUM (FB)</v>
      </c>
      <c r="H177" s="212" t="str">
        <f>IFERROR(__xludf.DUMMYFUNCTION("""COMPUTED_VALUE"""),"vs_off_sc_BA_97008_97009_5thfeb2026")</f>
        <v>vs_off_sc_BA_97008_97009_5thfeb2026</v>
      </c>
      <c r="I177" s="212" t="str">
        <f>IFERROR(__xludf.DUMMYFUNCTION("""COMPUTED_VALUE"""),"WA Undelivered")</f>
        <v>WA Undelivered</v>
      </c>
      <c r="J177" s="213">
        <f>IFERROR(__xludf.DUMMYFUNCTION("""COMPUTED_VALUE"""),5317.0)</f>
        <v>5317</v>
      </c>
      <c r="K177" s="213">
        <f>IFERROR(__xludf.DUMMYFUNCTION("""COMPUTED_VALUE"""),3342.0)</f>
        <v>3342</v>
      </c>
      <c r="L177" s="214">
        <f>IFERROR(__xludf.DUMMYFUNCTION("""COMPUTED_VALUE"""),0.6285)</f>
        <v>0.6285</v>
      </c>
      <c r="M177" s="213"/>
      <c r="N177" s="214"/>
      <c r="O177" s="213">
        <f>IFERROR(__xludf.DUMMYFUNCTION("""COMPUTED_VALUE"""),0.0)</f>
        <v>0</v>
      </c>
      <c r="P177" s="213"/>
      <c r="Q177" s="214">
        <f>IFERROR(__xludf.DUMMYFUNCTION("""COMPUTED_VALUE"""),0.0)</f>
        <v>0</v>
      </c>
      <c r="R177" s="214"/>
      <c r="S177" s="213">
        <f>IFERROR(__xludf.DUMMYFUNCTION("""COMPUTED_VALUE"""),1.0)</f>
        <v>1</v>
      </c>
      <c r="T177" s="213">
        <f>IFERROR(__xludf.DUMMYFUNCTION("""COMPUTED_VALUE"""),1.0)</f>
        <v>1</v>
      </c>
      <c r="U177" s="270">
        <f>IFERROR(__xludf.DUMMYFUNCTION("""COMPUTED_VALUE"""),3599.0)</f>
        <v>3599</v>
      </c>
      <c r="V177" s="271" t="str">
        <f>IFERROR(__xludf.DUMMYFUNCTION("""COMPUTED_VALUE"""),"offline")</f>
        <v>offline</v>
      </c>
      <c r="W177" s="272" t="str">
        <f>IFERROR(__xludf.DUMMYFUNCTION("""COMPUTED_VALUE"""),"SMS")</f>
        <v>SMS</v>
      </c>
      <c r="X177" s="272" t="str">
        <f>IFERROR(__xludf.DUMMYFUNCTION("""COMPUTED_VALUE"""),"no brief")</f>
        <v>no brief</v>
      </c>
      <c r="Y177" s="272" t="str">
        <f>IFERROR(__xludf.DUMMYFUNCTION("""COMPUTED_VALUE"""),"06th - 8th March 2026")</f>
        <v>06th - 8th March 2026</v>
      </c>
      <c r="Z177" s="272" t="str">
        <f>IFERROR(__xludf.DUMMYFUNCTION("""COMPUTED_VALUE"""),"69aa6c80eff21cbe43793826")</f>
        <v>69aa6c80eff21cbe43793826</v>
      </c>
      <c r="AA177" s="272">
        <f>IFERROR(__xludf.DUMMYFUNCTION("""COMPUTED_VALUE"""),12.0)</f>
        <v>12</v>
      </c>
      <c r="AB177" s="272"/>
      <c r="AC177" s="272">
        <f>IFERROR(__xludf.DUMMYFUNCTION("""COMPUTED_VALUE"""),12.0)</f>
        <v>12</v>
      </c>
      <c r="AD177" s="272">
        <f>IFERROR(__xludf.DUMMYFUNCTION("""COMPUTED_VALUE"""),112096.0)</f>
        <v>112096</v>
      </c>
      <c r="AE177" s="272"/>
      <c r="AF177" s="272">
        <f>IFERROR(__xludf.DUMMYFUNCTION("""COMPUTED_VALUE"""),112096.0)</f>
        <v>112096</v>
      </c>
      <c r="AG177" s="208"/>
      <c r="AH177" s="208"/>
      <c r="AI177" s="208"/>
      <c r="AJ177" s="208"/>
      <c r="AK177" s="208"/>
    </row>
    <row r="178">
      <c r="A178" s="209">
        <f>IFERROR(__xludf.DUMMYFUNCTION("""COMPUTED_VALUE"""),46087.0)</f>
        <v>46087</v>
      </c>
      <c r="B178" s="210">
        <f>IFERROR(__xludf.DUMMYFUNCTION("""COMPUTED_VALUE"""),0.4791666666678793)</f>
        <v>0.4791666667</v>
      </c>
      <c r="C178" s="211" t="str">
        <f>IFERROR(__xludf.DUMMYFUNCTION("""COMPUTED_VALUE"""),"Sms")</f>
        <v>Sms</v>
      </c>
      <c r="D178" s="211" t="str">
        <f>IFERROR(__xludf.DUMMYFUNCTION("""COMPUTED_VALUE"""),"Fallback Campaign")</f>
        <v>Fallback Campaign</v>
      </c>
      <c r="E178" s="211" t="str">
        <f>IFERROR(__xludf.DUMMYFUNCTION("""COMPUTED_VALUE"""),"VS")</f>
        <v>VS</v>
      </c>
      <c r="F178" s="211" t="str">
        <f>IFERROR(__xludf.DUMMYFUNCTION("""COMPUTED_VALUE"""),"Women's Day")</f>
        <v>Women's Day</v>
      </c>
      <c r="G178" s="212" t="str">
        <f>IFERROR(__xludf.DUMMYFUNCTION("""COMPUTED_VALUE"""),"Women's Day Offline BA - BLR Nexus (FB)")</f>
        <v>Women's Day Offline BA - BLR Nexus (FB)</v>
      </c>
      <c r="H178" s="212" t="str">
        <f>IFERROR(__xludf.DUMMYFUNCTION("""COMPUTED_VALUE"""),"vs_off_sc_BA_97012_5thfeb2026")</f>
        <v>vs_off_sc_BA_97012_5thfeb2026</v>
      </c>
      <c r="I178" s="212" t="str">
        <f>IFERROR(__xludf.DUMMYFUNCTION("""COMPUTED_VALUE"""),"WA Undelivered")</f>
        <v>WA Undelivered</v>
      </c>
      <c r="J178" s="213">
        <f>IFERROR(__xludf.DUMMYFUNCTION("""COMPUTED_VALUE"""),2739.0)</f>
        <v>2739</v>
      </c>
      <c r="K178" s="213">
        <f>IFERROR(__xludf.DUMMYFUNCTION("""COMPUTED_VALUE"""),1887.0)</f>
        <v>1887</v>
      </c>
      <c r="L178" s="214">
        <f>IFERROR(__xludf.DUMMYFUNCTION("""COMPUTED_VALUE"""),0.6889)</f>
        <v>0.6889</v>
      </c>
      <c r="M178" s="213"/>
      <c r="N178" s="214"/>
      <c r="O178" s="213">
        <f>IFERROR(__xludf.DUMMYFUNCTION("""COMPUTED_VALUE"""),0.0)</f>
        <v>0</v>
      </c>
      <c r="P178" s="213"/>
      <c r="Q178" s="214">
        <f>IFERROR(__xludf.DUMMYFUNCTION("""COMPUTED_VALUE"""),0.0)</f>
        <v>0</v>
      </c>
      <c r="R178" s="214"/>
      <c r="S178" s="213">
        <f>IFERROR(__xludf.DUMMYFUNCTION("""COMPUTED_VALUE"""),0.0)</f>
        <v>0</v>
      </c>
      <c r="T178" s="213">
        <f>IFERROR(__xludf.DUMMYFUNCTION("""COMPUTED_VALUE"""),1.0)</f>
        <v>1</v>
      </c>
      <c r="U178" s="270">
        <f>IFERROR(__xludf.DUMMYFUNCTION("""COMPUTED_VALUE"""),0.0)</f>
        <v>0</v>
      </c>
      <c r="V178" s="271" t="str">
        <f>IFERROR(__xludf.DUMMYFUNCTION("""COMPUTED_VALUE"""),"offline")</f>
        <v>offline</v>
      </c>
      <c r="W178" s="272" t="str">
        <f>IFERROR(__xludf.DUMMYFUNCTION("""COMPUTED_VALUE"""),"SMS")</f>
        <v>SMS</v>
      </c>
      <c r="X178" s="272" t="str">
        <f>IFERROR(__xludf.DUMMYFUNCTION("""COMPUTED_VALUE"""),"no brief")</f>
        <v>no brief</v>
      </c>
      <c r="Y178" s="272" t="str">
        <f>IFERROR(__xludf.DUMMYFUNCTION("""COMPUTED_VALUE"""),"06th - 8th March 2026")</f>
        <v>06th - 8th March 2026</v>
      </c>
      <c r="Z178" s="272" t="str">
        <f>IFERROR(__xludf.DUMMYFUNCTION("""COMPUTED_VALUE"""),"69aa6cc6fee5f7d17842c1a7")</f>
        <v>69aa6cc6fee5f7d17842c1a7</v>
      </c>
      <c r="AA178" s="272">
        <f>IFERROR(__xludf.DUMMYFUNCTION("""COMPUTED_VALUE"""),7.0)</f>
        <v>7</v>
      </c>
      <c r="AB178" s="272"/>
      <c r="AC178" s="272">
        <f>IFERROR(__xludf.DUMMYFUNCTION("""COMPUTED_VALUE"""),7.0)</f>
        <v>7</v>
      </c>
      <c r="AD178" s="272">
        <f>IFERROR(__xludf.DUMMYFUNCTION("""COMPUTED_VALUE"""),80633.0)</f>
        <v>80633</v>
      </c>
      <c r="AE178" s="272"/>
      <c r="AF178" s="272">
        <f>IFERROR(__xludf.DUMMYFUNCTION("""COMPUTED_VALUE"""),80633.0)</f>
        <v>80633</v>
      </c>
      <c r="AG178" s="208"/>
      <c r="AH178" s="208"/>
      <c r="AI178" s="208"/>
      <c r="AJ178" s="208"/>
      <c r="AK178" s="208"/>
    </row>
    <row r="179">
      <c r="A179" s="209">
        <f>IFERROR(__xludf.DUMMYFUNCTION("""COMPUTED_VALUE"""),46087.0)</f>
        <v>46087</v>
      </c>
      <c r="B179" s="210">
        <f>IFERROR(__xludf.DUMMYFUNCTION("""COMPUTED_VALUE"""),0.48263888889050577)</f>
        <v>0.4826388889</v>
      </c>
      <c r="C179" s="211" t="str">
        <f>IFERROR(__xludf.DUMMYFUNCTION("""COMPUTED_VALUE"""),"Sms")</f>
        <v>Sms</v>
      </c>
      <c r="D179" s="211" t="str">
        <f>IFERROR(__xludf.DUMMYFUNCTION("""COMPUTED_VALUE"""),"Fallback Campaign")</f>
        <v>Fallback Campaign</v>
      </c>
      <c r="E179" s="211" t="str">
        <f>IFERROR(__xludf.DUMMYFUNCTION("""COMPUTED_VALUE"""),"VS")</f>
        <v>VS</v>
      </c>
      <c r="F179" s="211" t="str">
        <f>IFERROR(__xludf.DUMMYFUNCTION("""COMPUTED_VALUE"""),"Women's Day")</f>
        <v>Women's Day</v>
      </c>
      <c r="G179" s="212" t="str">
        <f>IFERROR(__xludf.DUMMYFUNCTION("""COMPUTED_VALUE"""),"Women's Day Offline FA - DEL (FB)")</f>
        <v>Women's Day Offline FA - DEL (FB)</v>
      </c>
      <c r="H179" s="212" t="str">
        <f>IFERROR(__xludf.DUMMYFUNCTION("""COMPUTED_VALUE"""),"DEL_Store_Off")</f>
        <v>DEL_Store_Off</v>
      </c>
      <c r="I179" s="212" t="str">
        <f>IFERROR(__xludf.DUMMYFUNCTION("""COMPUTED_VALUE"""),"WA Undelivered")</f>
        <v>WA Undelivered</v>
      </c>
      <c r="J179" s="213">
        <f>IFERROR(__xludf.DUMMYFUNCTION("""COMPUTED_VALUE"""),15501.0)</f>
        <v>15501</v>
      </c>
      <c r="K179" s="213">
        <f>IFERROR(__xludf.DUMMYFUNCTION("""COMPUTED_VALUE"""),8813.0)</f>
        <v>8813</v>
      </c>
      <c r="L179" s="214">
        <f>IFERROR(__xludf.DUMMYFUNCTION("""COMPUTED_VALUE"""),0.5685)</f>
        <v>0.5685</v>
      </c>
      <c r="M179" s="213"/>
      <c r="N179" s="214"/>
      <c r="O179" s="213">
        <f>IFERROR(__xludf.DUMMYFUNCTION("""COMPUTED_VALUE"""),0.0)</f>
        <v>0</v>
      </c>
      <c r="P179" s="213"/>
      <c r="Q179" s="214">
        <f>IFERROR(__xludf.DUMMYFUNCTION("""COMPUTED_VALUE"""),0.0)</f>
        <v>0</v>
      </c>
      <c r="R179" s="214"/>
      <c r="S179" s="213">
        <f>IFERROR(__xludf.DUMMYFUNCTION("""COMPUTED_VALUE"""),5.0)</f>
        <v>5</v>
      </c>
      <c r="T179" s="213">
        <f>IFERROR(__xludf.DUMMYFUNCTION("""COMPUTED_VALUE"""),11.0)</f>
        <v>11</v>
      </c>
      <c r="U179" s="270">
        <f>IFERROR(__xludf.DUMMYFUNCTION("""COMPUTED_VALUE"""),21536.0)</f>
        <v>21536</v>
      </c>
      <c r="V179" s="271" t="str">
        <f>IFERROR(__xludf.DUMMYFUNCTION("""COMPUTED_VALUE"""),"offline")</f>
        <v>offline</v>
      </c>
      <c r="W179" s="272" t="str">
        <f>IFERROR(__xludf.DUMMYFUNCTION("""COMPUTED_VALUE"""),"SMS")</f>
        <v>SMS</v>
      </c>
      <c r="X179" s="272" t="str">
        <f>IFERROR(__xludf.DUMMYFUNCTION("""COMPUTED_VALUE"""),"no brief")</f>
        <v>no brief</v>
      </c>
      <c r="Y179" s="272" t="str">
        <f>IFERROR(__xludf.DUMMYFUNCTION("""COMPUTED_VALUE"""),"06th - 8th March 2026")</f>
        <v>06th - 8th March 2026</v>
      </c>
      <c r="Z179" s="272" t="str">
        <f>IFERROR(__xludf.DUMMYFUNCTION("""COMPUTED_VALUE"""),"69aa6d487724265417f7150f")</f>
        <v>69aa6d487724265417f7150f</v>
      </c>
      <c r="AA179" s="272">
        <f>IFERROR(__xludf.DUMMYFUNCTION("""COMPUTED_VALUE"""),22.0)</f>
        <v>22</v>
      </c>
      <c r="AB179" s="272"/>
      <c r="AC179" s="272">
        <f>IFERROR(__xludf.DUMMYFUNCTION("""COMPUTED_VALUE"""),22.0)</f>
        <v>22</v>
      </c>
      <c r="AD179" s="272">
        <f>IFERROR(__xludf.DUMMYFUNCTION("""COMPUTED_VALUE"""),257219.0)</f>
        <v>257219</v>
      </c>
      <c r="AE179" s="272"/>
      <c r="AF179" s="272">
        <f>IFERROR(__xludf.DUMMYFUNCTION("""COMPUTED_VALUE"""),257219.0)</f>
        <v>257219</v>
      </c>
      <c r="AG179" s="208"/>
      <c r="AH179" s="208"/>
      <c r="AI179" s="208"/>
      <c r="AJ179" s="208"/>
      <c r="AK179" s="208"/>
    </row>
    <row r="180">
      <c r="A180" s="209">
        <f>IFERROR(__xludf.DUMMYFUNCTION("""COMPUTED_VALUE"""),46087.0)</f>
        <v>46087</v>
      </c>
      <c r="B180" s="210">
        <f>IFERROR(__xludf.DUMMYFUNCTION("""COMPUTED_VALUE"""),0.7291666666678793)</f>
        <v>0.7291666667</v>
      </c>
      <c r="C180" s="211" t="str">
        <f>IFERROR(__xludf.DUMMYFUNCTION("""COMPUTED_VALUE"""),"Sms")</f>
        <v>Sms</v>
      </c>
      <c r="D180" s="211" t="str">
        <f>IFERROR(__xludf.DUMMYFUNCTION("""COMPUTED_VALUE"""),"Fallback Campaign")</f>
        <v>Fallback Campaign</v>
      </c>
      <c r="E180" s="211" t="str">
        <f>IFERROR(__xludf.DUMMYFUNCTION("""COMPUTED_VALUE"""),"VS")</f>
        <v>VS</v>
      </c>
      <c r="F180" s="211" t="str">
        <f>IFERROR(__xludf.DUMMYFUNCTION("""COMPUTED_VALUE"""),"Women's Day")</f>
        <v>Women's Day</v>
      </c>
      <c r="G180" s="212" t="str">
        <f>IFERROR(__xludf.DUMMYFUNCTION("""COMPUTED_VALUE"""),"Women's Day Offline FA - BLR (FB)")</f>
        <v>Women's Day Offline FA - BLR (FB)</v>
      </c>
      <c r="H180" s="212" t="str">
        <f>IFERROR(__xludf.DUMMYFUNCTION("""COMPUTED_VALUE"""),"vs_off_sc_FA_97004_1273_5thfeb2026")</f>
        <v>vs_off_sc_FA_97004_1273_5thfeb2026</v>
      </c>
      <c r="I180" s="212" t="str">
        <f>IFERROR(__xludf.DUMMYFUNCTION("""COMPUTED_VALUE"""),"WA Undelivered")</f>
        <v>WA Undelivered</v>
      </c>
      <c r="J180" s="213">
        <f>IFERROR(__xludf.DUMMYFUNCTION("""COMPUTED_VALUE"""),12198.0)</f>
        <v>12198</v>
      </c>
      <c r="K180" s="213">
        <f>IFERROR(__xludf.DUMMYFUNCTION("""COMPUTED_VALUE"""),7862.0)</f>
        <v>7862</v>
      </c>
      <c r="L180" s="214">
        <f>IFERROR(__xludf.DUMMYFUNCTION("""COMPUTED_VALUE"""),0.6445)</f>
        <v>0.6445</v>
      </c>
      <c r="M180" s="213"/>
      <c r="N180" s="214"/>
      <c r="O180" s="213">
        <f>IFERROR(__xludf.DUMMYFUNCTION("""COMPUTED_VALUE"""),0.0)</f>
        <v>0</v>
      </c>
      <c r="P180" s="213"/>
      <c r="Q180" s="214">
        <f>IFERROR(__xludf.DUMMYFUNCTION("""COMPUTED_VALUE"""),0.0)</f>
        <v>0</v>
      </c>
      <c r="R180" s="214"/>
      <c r="S180" s="213">
        <f>IFERROR(__xludf.DUMMYFUNCTION("""COMPUTED_VALUE"""),1.0)</f>
        <v>1</v>
      </c>
      <c r="T180" s="213">
        <f>IFERROR(__xludf.DUMMYFUNCTION("""COMPUTED_VALUE"""),3.0)</f>
        <v>3</v>
      </c>
      <c r="U180" s="270">
        <f>IFERROR(__xludf.DUMMYFUNCTION("""COMPUTED_VALUE"""),5946.0)</f>
        <v>5946</v>
      </c>
      <c r="V180" s="271" t="str">
        <f>IFERROR(__xludf.DUMMYFUNCTION("""COMPUTED_VALUE"""),"offline")</f>
        <v>offline</v>
      </c>
      <c r="W180" s="272" t="str">
        <f>IFERROR(__xludf.DUMMYFUNCTION("""COMPUTED_VALUE"""),"SMS")</f>
        <v>SMS</v>
      </c>
      <c r="X180" s="272" t="str">
        <f>IFERROR(__xludf.DUMMYFUNCTION("""COMPUTED_VALUE"""),"no brief")</f>
        <v>no brief</v>
      </c>
      <c r="Y180" s="272" t="str">
        <f>IFERROR(__xludf.DUMMYFUNCTION("""COMPUTED_VALUE"""),"06th - 8th March 2026")</f>
        <v>06th - 8th March 2026</v>
      </c>
      <c r="Z180" s="272" t="str">
        <f>IFERROR(__xludf.DUMMYFUNCTION("""COMPUTED_VALUE"""),"69aa9338ddae54ecb768a25c")</f>
        <v>69aa9338ddae54ecb768a25c</v>
      </c>
      <c r="AA180" s="272">
        <f>IFERROR(__xludf.DUMMYFUNCTION("""COMPUTED_VALUE"""),23.0)</f>
        <v>23</v>
      </c>
      <c r="AB180" s="272"/>
      <c r="AC180" s="272">
        <f>IFERROR(__xludf.DUMMYFUNCTION("""COMPUTED_VALUE"""),23.0)</f>
        <v>23</v>
      </c>
      <c r="AD180" s="272">
        <f>IFERROR(__xludf.DUMMYFUNCTION("""COMPUTED_VALUE"""),161429.0)</f>
        <v>161429</v>
      </c>
      <c r="AE180" s="272"/>
      <c r="AF180" s="272">
        <f>IFERROR(__xludf.DUMMYFUNCTION("""COMPUTED_VALUE"""),161429.0)</f>
        <v>161429</v>
      </c>
      <c r="AG180" s="208"/>
      <c r="AH180" s="208"/>
      <c r="AI180" s="208"/>
      <c r="AJ180" s="208"/>
      <c r="AK180" s="208"/>
    </row>
    <row r="181">
      <c r="A181" s="209">
        <f>IFERROR(__xludf.DUMMYFUNCTION("""COMPUTED_VALUE"""),46087.0)</f>
        <v>46087</v>
      </c>
      <c r="B181" s="210">
        <f>IFERROR(__xludf.DUMMYFUNCTION("""COMPUTED_VALUE"""),0.7291666666678793)</f>
        <v>0.7291666667</v>
      </c>
      <c r="C181" s="211" t="str">
        <f>IFERROR(__xludf.DUMMYFUNCTION("""COMPUTED_VALUE"""),"Sms")</f>
        <v>Sms</v>
      </c>
      <c r="D181" s="211" t="str">
        <f>IFERROR(__xludf.DUMMYFUNCTION("""COMPUTED_VALUE"""),"Fallback Campaign")</f>
        <v>Fallback Campaign</v>
      </c>
      <c r="E181" s="211" t="str">
        <f>IFERROR(__xludf.DUMMYFUNCTION("""COMPUTED_VALUE"""),"VS")</f>
        <v>VS</v>
      </c>
      <c r="F181" s="211" t="str">
        <f>IFERROR(__xludf.DUMMYFUNCTION("""COMPUTED_VALUE"""),"Women's Day")</f>
        <v>Women's Day</v>
      </c>
      <c r="G181" s="212" t="str">
        <f>IFERROR(__xludf.DUMMYFUNCTION("""COMPUTED_VALUE"""),"Women's Day Offline FA - MUM (FB)")</f>
        <v>Women's Day Offline FA - MUM (FB)</v>
      </c>
      <c r="H181" s="212" t="str">
        <f>IFERROR(__xludf.DUMMYFUNCTION("""COMPUTED_VALUE"""),"vs_off_sc_FA_97001_5thfeb2026")</f>
        <v>vs_off_sc_FA_97001_5thfeb2026</v>
      </c>
      <c r="I181" s="212" t="str">
        <f>IFERROR(__xludf.DUMMYFUNCTION("""COMPUTED_VALUE"""),"WA Undelivered")</f>
        <v>WA Undelivered</v>
      </c>
      <c r="J181" s="213">
        <f>IFERROR(__xludf.DUMMYFUNCTION("""COMPUTED_VALUE"""),17360.0)</f>
        <v>17360</v>
      </c>
      <c r="K181" s="213">
        <f>IFERROR(__xludf.DUMMYFUNCTION("""COMPUTED_VALUE"""),9551.0)</f>
        <v>9551</v>
      </c>
      <c r="L181" s="214">
        <f>IFERROR(__xludf.DUMMYFUNCTION("""COMPUTED_VALUE"""),0.5502)</f>
        <v>0.5502</v>
      </c>
      <c r="M181" s="213"/>
      <c r="N181" s="214"/>
      <c r="O181" s="213">
        <f>IFERROR(__xludf.DUMMYFUNCTION("""COMPUTED_VALUE"""),0.0)</f>
        <v>0</v>
      </c>
      <c r="P181" s="213"/>
      <c r="Q181" s="214">
        <f>IFERROR(__xludf.DUMMYFUNCTION("""COMPUTED_VALUE"""),0.0)</f>
        <v>0</v>
      </c>
      <c r="R181" s="214"/>
      <c r="S181" s="213">
        <f>IFERROR(__xludf.DUMMYFUNCTION("""COMPUTED_VALUE"""),0.0)</f>
        <v>0</v>
      </c>
      <c r="T181" s="213">
        <f>IFERROR(__xludf.DUMMYFUNCTION("""COMPUTED_VALUE"""),3.0)</f>
        <v>3</v>
      </c>
      <c r="U181" s="270">
        <f>IFERROR(__xludf.DUMMYFUNCTION("""COMPUTED_VALUE"""),0.0)</f>
        <v>0</v>
      </c>
      <c r="V181" s="271" t="str">
        <f>IFERROR(__xludf.DUMMYFUNCTION("""COMPUTED_VALUE"""),"offline")</f>
        <v>offline</v>
      </c>
      <c r="W181" s="272" t="str">
        <f>IFERROR(__xludf.DUMMYFUNCTION("""COMPUTED_VALUE"""),"SMS")</f>
        <v>SMS</v>
      </c>
      <c r="X181" s="272" t="str">
        <f>IFERROR(__xludf.DUMMYFUNCTION("""COMPUTED_VALUE"""),"no brief")</f>
        <v>no brief</v>
      </c>
      <c r="Y181" s="272" t="str">
        <f>IFERROR(__xludf.DUMMYFUNCTION("""COMPUTED_VALUE"""),"06th - 8th March 2026")</f>
        <v>06th - 8th March 2026</v>
      </c>
      <c r="Z181" s="272" t="str">
        <f>IFERROR(__xludf.DUMMYFUNCTION("""COMPUTED_VALUE"""),"69aa93d1f26f39dbbbedcb91")</f>
        <v>69aa93d1f26f39dbbbedcb91</v>
      </c>
      <c r="AA181" s="272">
        <f>IFERROR(__xludf.DUMMYFUNCTION("""COMPUTED_VALUE"""),31.0)</f>
        <v>31</v>
      </c>
      <c r="AB181" s="272"/>
      <c r="AC181" s="272">
        <f>IFERROR(__xludf.DUMMYFUNCTION("""COMPUTED_VALUE"""),31.0)</f>
        <v>31</v>
      </c>
      <c r="AD181" s="272">
        <f>IFERROR(__xludf.DUMMYFUNCTION("""COMPUTED_VALUE"""),581879.0)</f>
        <v>581879</v>
      </c>
      <c r="AE181" s="272"/>
      <c r="AF181" s="272">
        <f>IFERROR(__xludf.DUMMYFUNCTION("""COMPUTED_VALUE"""),581879.0)</f>
        <v>581879</v>
      </c>
      <c r="AG181" s="208"/>
      <c r="AH181" s="208"/>
      <c r="AI181" s="208"/>
      <c r="AJ181" s="208"/>
      <c r="AK181" s="208"/>
    </row>
    <row r="182">
      <c r="A182" s="209">
        <f>IFERROR(__xludf.DUMMYFUNCTION("""COMPUTED_VALUE"""),46100.0)</f>
        <v>46100</v>
      </c>
      <c r="B182" s="210">
        <f>IFERROR(__xludf.DUMMYFUNCTION("""COMPUTED_VALUE"""),0.8125)</f>
        <v>0.8125</v>
      </c>
      <c r="C182" s="211" t="str">
        <f>IFERROR(__xludf.DUMMYFUNCTION("""COMPUTED_VALUE"""),"Whatsapp")</f>
        <v>Whatsapp</v>
      </c>
      <c r="D182" s="211" t="str">
        <f>IFERROR(__xludf.DUMMYFUNCTION("""COMPUTED_VALUE"""),"Fallback Campaign")</f>
        <v>Fallback Campaign</v>
      </c>
      <c r="E182" s="211" t="str">
        <f>IFERROR(__xludf.DUMMYFUNCTION("""COMPUTED_VALUE"""),"VS")</f>
        <v>VS</v>
      </c>
      <c r="F182" s="211" t="str">
        <f>IFERROR(__xludf.DUMMYFUNCTION("""COMPUTED_VALUE"""),"International Fragrance Day")</f>
        <v>International Fragrance Day</v>
      </c>
      <c r="G182" s="212" t="str">
        <f>IFERROR(__xludf.DUMMYFUNCTION("""COMPUTED_VALUE"""),"IFD Online - ATC (FB 19th)")</f>
        <v>IFD Online - ATC (FB 19th)</v>
      </c>
      <c r="H182" s="212" t="str">
        <f>IFERROR(__xludf.DUMMYFUNCTION("""COMPUTED_VALUE"""),"IFD Online - ATC")</f>
        <v>IFD Online - ATC</v>
      </c>
      <c r="I182" s="212" t="str">
        <f>IFERROR(__xludf.DUMMYFUNCTION("""COMPUTED_VALUE"""),"RCS Delivery Failed")</f>
        <v>RCS Delivery Failed</v>
      </c>
      <c r="J182" s="213">
        <f>IFERROR(__xludf.DUMMYFUNCTION("""COMPUTED_VALUE"""),1708.0)</f>
        <v>1708</v>
      </c>
      <c r="K182" s="213">
        <f>IFERROR(__xludf.DUMMYFUNCTION("""COMPUTED_VALUE"""),886.0)</f>
        <v>886</v>
      </c>
      <c r="L182" s="214">
        <f>IFERROR(__xludf.DUMMYFUNCTION("""COMPUTED_VALUE"""),0.5187)</f>
        <v>0.5187</v>
      </c>
      <c r="M182" s="213">
        <f>IFERROR(__xludf.DUMMYFUNCTION("""COMPUTED_VALUE"""),245.0)</f>
        <v>245</v>
      </c>
      <c r="N182" s="214">
        <f>IFERROR(__xludf.DUMMYFUNCTION("""COMPUTED_VALUE"""),0.2765)</f>
        <v>0.2765</v>
      </c>
      <c r="O182" s="213">
        <f>IFERROR(__xludf.DUMMYFUNCTION("""COMPUTED_VALUE"""),44.0)</f>
        <v>44</v>
      </c>
      <c r="P182" s="213">
        <f>IFERROR(__xludf.DUMMYFUNCTION("""COMPUTED_VALUE"""),43.0)</f>
        <v>43</v>
      </c>
      <c r="Q182" s="214">
        <f>IFERROR(__xludf.DUMMYFUNCTION("""COMPUTED_VALUE"""),0.0485)</f>
        <v>0.0485</v>
      </c>
      <c r="R182" s="214">
        <f>IFERROR(__xludf.DUMMYFUNCTION("""COMPUTED_VALUE"""),0.1755)</f>
        <v>0.1755</v>
      </c>
      <c r="S182" s="213">
        <f>IFERROR(__xludf.DUMMYFUNCTION("""COMPUTED_VALUE"""),6.0)</f>
        <v>6</v>
      </c>
      <c r="T182" s="213">
        <f>IFERROR(__xludf.DUMMYFUNCTION("""COMPUTED_VALUE"""),34.0)</f>
        <v>34</v>
      </c>
      <c r="U182" s="270">
        <f>IFERROR(__xludf.DUMMYFUNCTION("""COMPUTED_VALUE"""),15282.0)</f>
        <v>15282</v>
      </c>
      <c r="V182" s="271" t="str">
        <f>IFERROR(__xludf.DUMMYFUNCTION("""COMPUTED_VALUE"""),"online")</f>
        <v>online</v>
      </c>
      <c r="W182" s="272" t="str">
        <f>IFERROR(__xludf.DUMMYFUNCTION("""COMPUTED_VALUE"""),"simple")</f>
        <v>simple</v>
      </c>
      <c r="X182" s="272" t="str">
        <f>IFERROR(__xludf.DUMMYFUNCTION("""COMPUTED_VALUE"""),"Add to Cart")</f>
        <v>Add to Cart</v>
      </c>
      <c r="Y182" s="272" t="str">
        <f>IFERROR(__xludf.DUMMYFUNCTION("""COMPUTED_VALUE"""),"19th - 22nd Mar")</f>
        <v>19th - 22nd Mar</v>
      </c>
      <c r="Z182" s="272" t="str">
        <f>IFERROR(__xludf.DUMMYFUNCTION("""COMPUTED_VALUE"""),"69ba3bcf781584b90d92246f")</f>
        <v>69ba3bcf781584b90d92246f</v>
      </c>
      <c r="AA182" s="272">
        <f>IFERROR(__xludf.DUMMYFUNCTION("""COMPUTED_VALUE"""),10.0)</f>
        <v>10</v>
      </c>
      <c r="AB182" s="272">
        <f>IFERROR(__xludf.DUMMYFUNCTION("""COMPUTED_VALUE"""),10.0)</f>
        <v>10</v>
      </c>
      <c r="AC182" s="272"/>
      <c r="AD182" s="272">
        <f>IFERROR(__xludf.DUMMYFUNCTION("""COMPUTED_VALUE"""),22308.0)</f>
        <v>22308</v>
      </c>
      <c r="AE182" s="272">
        <f>IFERROR(__xludf.DUMMYFUNCTION("""COMPUTED_VALUE"""),22308.0)</f>
        <v>22308</v>
      </c>
      <c r="AF182" s="272"/>
      <c r="AG182" s="208"/>
      <c r="AH182" s="208"/>
      <c r="AI182" s="208"/>
      <c r="AJ182" s="208"/>
      <c r="AK182" s="208"/>
    </row>
    <row r="183">
      <c r="A183" s="209">
        <f>IFERROR(__xludf.DUMMYFUNCTION("""COMPUTED_VALUE"""),46100.0)</f>
        <v>46100</v>
      </c>
      <c r="B183" s="210">
        <f>IFERROR(__xludf.DUMMYFUNCTION("""COMPUTED_VALUE"""),0.8159722222226264)</f>
        <v>0.8159722222</v>
      </c>
      <c r="C183" s="211" t="str">
        <f>IFERROR(__xludf.DUMMYFUNCTION("""COMPUTED_VALUE"""),"Whatsapp")</f>
        <v>Whatsapp</v>
      </c>
      <c r="D183" s="211" t="str">
        <f>IFERROR(__xludf.DUMMYFUNCTION("""COMPUTED_VALUE"""),"Fallback Campaign")</f>
        <v>Fallback Campaign</v>
      </c>
      <c r="E183" s="211" t="str">
        <f>IFERROR(__xludf.DUMMYFUNCTION("""COMPUTED_VALUE"""),"VS")</f>
        <v>VS</v>
      </c>
      <c r="F183" s="211" t="str">
        <f>IFERROR(__xludf.DUMMYFUNCTION("""COMPUTED_VALUE"""),"International Fragrance Day")</f>
        <v>International Fragrance Day</v>
      </c>
      <c r="G183" s="212" t="str">
        <f>IFERROR(__xludf.DUMMYFUNCTION("""COMPUTED_VALUE"""),"IFD Online - VI (FB 19th)")</f>
        <v>IFD Online - VI (FB 19th)</v>
      </c>
      <c r="H183" s="212" t="str">
        <f>IFERROR(__xludf.DUMMYFUNCTION("""COMPUTED_VALUE"""),"IFD Online - VI")</f>
        <v>IFD Online - VI</v>
      </c>
      <c r="I183" s="212" t="str">
        <f>IFERROR(__xludf.DUMMYFUNCTION("""COMPUTED_VALUE"""),"RCS Delivery Failed")</f>
        <v>RCS Delivery Failed</v>
      </c>
      <c r="J183" s="213">
        <f>IFERROR(__xludf.DUMMYFUNCTION("""COMPUTED_VALUE"""),149.0)</f>
        <v>149</v>
      </c>
      <c r="K183" s="213">
        <f>IFERROR(__xludf.DUMMYFUNCTION("""COMPUTED_VALUE"""),91.0)</f>
        <v>91</v>
      </c>
      <c r="L183" s="214">
        <f>IFERROR(__xludf.DUMMYFUNCTION("""COMPUTED_VALUE"""),0.6107)</f>
        <v>0.6107</v>
      </c>
      <c r="M183" s="213">
        <f>IFERROR(__xludf.DUMMYFUNCTION("""COMPUTED_VALUE"""),24.0)</f>
        <v>24</v>
      </c>
      <c r="N183" s="214">
        <f>IFERROR(__xludf.DUMMYFUNCTION("""COMPUTED_VALUE"""),0.2637)</f>
        <v>0.2637</v>
      </c>
      <c r="O183" s="213">
        <f>IFERROR(__xludf.DUMMYFUNCTION("""COMPUTED_VALUE"""),8.0)</f>
        <v>8</v>
      </c>
      <c r="P183" s="213">
        <f>IFERROR(__xludf.DUMMYFUNCTION("""COMPUTED_VALUE"""),7.0)</f>
        <v>7</v>
      </c>
      <c r="Q183" s="214">
        <f>IFERROR(__xludf.DUMMYFUNCTION("""COMPUTED_VALUE"""),0.0769)</f>
        <v>0.0769</v>
      </c>
      <c r="R183" s="214">
        <f>IFERROR(__xludf.DUMMYFUNCTION("""COMPUTED_VALUE"""),0.2917)</f>
        <v>0.2917</v>
      </c>
      <c r="S183" s="213">
        <f>IFERROR(__xludf.DUMMYFUNCTION("""COMPUTED_VALUE"""),3.0)</f>
        <v>3</v>
      </c>
      <c r="T183" s="213">
        <f>IFERROR(__xludf.DUMMYFUNCTION("""COMPUTED_VALUE"""),4.0)</f>
        <v>4</v>
      </c>
      <c r="U183" s="270">
        <f>IFERROR(__xludf.DUMMYFUNCTION("""COMPUTED_VALUE"""),9896.0)</f>
        <v>9896</v>
      </c>
      <c r="V183" s="271" t="str">
        <f>IFERROR(__xludf.DUMMYFUNCTION("""COMPUTED_VALUE"""),"online")</f>
        <v>online</v>
      </c>
      <c r="W183" s="272" t="str">
        <f>IFERROR(__xludf.DUMMYFUNCTION("""COMPUTED_VALUE"""),"simple")</f>
        <v>simple</v>
      </c>
      <c r="X183" s="272" t="str">
        <f>IFERROR(__xludf.DUMMYFUNCTION("""COMPUTED_VALUE"""),"View Item")</f>
        <v>View Item</v>
      </c>
      <c r="Y183" s="272" t="str">
        <f>IFERROR(__xludf.DUMMYFUNCTION("""COMPUTED_VALUE"""),"19th - 22nd Mar")</f>
        <v>19th - 22nd Mar</v>
      </c>
      <c r="Z183" s="272" t="str">
        <f>IFERROR(__xludf.DUMMYFUNCTION("""COMPUTED_VALUE"""),"69ba3c06a77e4b1b99803270")</f>
        <v>69ba3c06a77e4b1b99803270</v>
      </c>
      <c r="AA183" s="272">
        <f>IFERROR(__xludf.DUMMYFUNCTION("""COMPUTED_VALUE"""),2.0)</f>
        <v>2</v>
      </c>
      <c r="AB183" s="272">
        <f>IFERROR(__xludf.DUMMYFUNCTION("""COMPUTED_VALUE"""),2.0)</f>
        <v>2</v>
      </c>
      <c r="AC183" s="272"/>
      <c r="AD183" s="272">
        <f>IFERROR(__xludf.DUMMYFUNCTION("""COMPUTED_VALUE"""),9796.0)</f>
        <v>9796</v>
      </c>
      <c r="AE183" s="272">
        <f>IFERROR(__xludf.DUMMYFUNCTION("""COMPUTED_VALUE"""),9796.0)</f>
        <v>9796</v>
      </c>
      <c r="AF183" s="272"/>
      <c r="AG183" s="208"/>
      <c r="AH183" s="208"/>
      <c r="AI183" s="208"/>
      <c r="AJ183" s="208"/>
      <c r="AK183" s="208"/>
    </row>
    <row r="184">
      <c r="A184" s="209">
        <f>IFERROR(__xludf.DUMMYFUNCTION("""COMPUTED_VALUE"""),46100.0)</f>
        <v>46100</v>
      </c>
      <c r="B184" s="210">
        <f>IFERROR(__xludf.DUMMYFUNCTION("""COMPUTED_VALUE"""),0.8194444444452529)</f>
        <v>0.8194444444</v>
      </c>
      <c r="C184" s="211" t="str">
        <f>IFERROR(__xludf.DUMMYFUNCTION("""COMPUTED_VALUE"""),"Whatsapp")</f>
        <v>Whatsapp</v>
      </c>
      <c r="D184" s="211" t="str">
        <f>IFERROR(__xludf.DUMMYFUNCTION("""COMPUTED_VALUE"""),"Fallback Campaign")</f>
        <v>Fallback Campaign</v>
      </c>
      <c r="E184" s="211" t="str">
        <f>IFERROR(__xludf.DUMMYFUNCTION("""COMPUTED_VALUE"""),"VS")</f>
        <v>VS</v>
      </c>
      <c r="F184" s="211" t="str">
        <f>IFERROR(__xludf.DUMMYFUNCTION("""COMPUTED_VALUE"""),"International Fragrance Day")</f>
        <v>International Fragrance Day</v>
      </c>
      <c r="G184" s="212" t="str">
        <f>IFERROR(__xludf.DUMMYFUNCTION("""COMPUTED_VALUE"""),"IFD Online - Active (FB 19th)")</f>
        <v>IFD Online - Active (FB 19th)</v>
      </c>
      <c r="H184" s="212" t="str">
        <f>IFERROR(__xludf.DUMMYFUNCTION("""COMPUTED_VALUE"""),"IFD Online - Active")</f>
        <v>IFD Online - Active</v>
      </c>
      <c r="I184" s="212" t="str">
        <f>IFERROR(__xludf.DUMMYFUNCTION("""COMPUTED_VALUE"""),"RCS Delivery Failed")</f>
        <v>RCS Delivery Failed</v>
      </c>
      <c r="J184" s="213">
        <f>IFERROR(__xludf.DUMMYFUNCTION("""COMPUTED_VALUE"""),3928.0)</f>
        <v>3928</v>
      </c>
      <c r="K184" s="213">
        <f>IFERROR(__xludf.DUMMYFUNCTION("""COMPUTED_VALUE"""),1947.0)</f>
        <v>1947</v>
      </c>
      <c r="L184" s="214">
        <f>IFERROR(__xludf.DUMMYFUNCTION("""COMPUTED_VALUE"""),0.4957)</f>
        <v>0.4957</v>
      </c>
      <c r="M184" s="213">
        <f>IFERROR(__xludf.DUMMYFUNCTION("""COMPUTED_VALUE"""),495.0)</f>
        <v>495</v>
      </c>
      <c r="N184" s="214">
        <f>IFERROR(__xludf.DUMMYFUNCTION("""COMPUTED_VALUE"""),0.2542)</f>
        <v>0.2542</v>
      </c>
      <c r="O184" s="213">
        <f>IFERROR(__xludf.DUMMYFUNCTION("""COMPUTED_VALUE"""),87.0)</f>
        <v>87</v>
      </c>
      <c r="P184" s="213">
        <f>IFERROR(__xludf.DUMMYFUNCTION("""COMPUTED_VALUE"""),81.0)</f>
        <v>81</v>
      </c>
      <c r="Q184" s="214">
        <f>IFERROR(__xludf.DUMMYFUNCTION("""COMPUTED_VALUE"""),0.0416)</f>
        <v>0.0416</v>
      </c>
      <c r="R184" s="214">
        <f>IFERROR(__xludf.DUMMYFUNCTION("""COMPUTED_VALUE"""),0.1636)</f>
        <v>0.1636</v>
      </c>
      <c r="S184" s="213">
        <f>IFERROR(__xludf.DUMMYFUNCTION("""COMPUTED_VALUE"""),6.0)</f>
        <v>6</v>
      </c>
      <c r="T184" s="213">
        <f>IFERROR(__xludf.DUMMYFUNCTION("""COMPUTED_VALUE"""),15.0)</f>
        <v>15</v>
      </c>
      <c r="U184" s="270">
        <f>IFERROR(__xludf.DUMMYFUNCTION("""COMPUTED_VALUE"""),20261.0)</f>
        <v>20261</v>
      </c>
      <c r="V184" s="271" t="str">
        <f>IFERROR(__xludf.DUMMYFUNCTION("""COMPUTED_VALUE"""),"online")</f>
        <v>online</v>
      </c>
      <c r="W184" s="272" t="str">
        <f>IFERROR(__xludf.DUMMYFUNCTION("""COMPUTED_VALUE"""),"simple")</f>
        <v>simple</v>
      </c>
      <c r="X184" s="272" t="str">
        <f>IFERROR(__xludf.DUMMYFUNCTION("""COMPUTED_VALUE"""),"Active")</f>
        <v>Active</v>
      </c>
      <c r="Y184" s="272" t="str">
        <f>IFERROR(__xludf.DUMMYFUNCTION("""COMPUTED_VALUE"""),"19th - 22nd Mar")</f>
        <v>19th - 22nd Mar</v>
      </c>
      <c r="Z184" s="272" t="str">
        <f>IFERROR(__xludf.DUMMYFUNCTION("""COMPUTED_VALUE"""),"69ba3d4dd40f7dcd3c98f611")</f>
        <v>69ba3d4dd40f7dcd3c98f611</v>
      </c>
      <c r="AA184" s="272">
        <f>IFERROR(__xludf.DUMMYFUNCTION("""COMPUTED_VALUE"""),13.0)</f>
        <v>13</v>
      </c>
      <c r="AB184" s="272">
        <f>IFERROR(__xludf.DUMMYFUNCTION("""COMPUTED_VALUE"""),13.0)</f>
        <v>13</v>
      </c>
      <c r="AC184" s="272"/>
      <c r="AD184" s="272">
        <f>IFERROR(__xludf.DUMMYFUNCTION("""COMPUTED_VALUE"""),40937.0)</f>
        <v>40937</v>
      </c>
      <c r="AE184" s="272">
        <f>IFERROR(__xludf.DUMMYFUNCTION("""COMPUTED_VALUE"""),40937.0)</f>
        <v>40937</v>
      </c>
      <c r="AF184" s="272"/>
      <c r="AG184" s="208"/>
      <c r="AH184" s="208"/>
      <c r="AI184" s="208"/>
      <c r="AJ184" s="208"/>
      <c r="AK184" s="208"/>
    </row>
    <row r="185">
      <c r="A185" s="209">
        <f>IFERROR(__xludf.DUMMYFUNCTION("""COMPUTED_VALUE"""),46100.0)</f>
        <v>46100</v>
      </c>
      <c r="B185" s="210">
        <f>IFERROR(__xludf.DUMMYFUNCTION("""COMPUTED_VALUE"""),0.8229166666678793)</f>
        <v>0.8229166667</v>
      </c>
      <c r="C185" s="211" t="str">
        <f>IFERROR(__xludf.DUMMYFUNCTION("""COMPUTED_VALUE"""),"Whatsapp")</f>
        <v>Whatsapp</v>
      </c>
      <c r="D185" s="211" t="str">
        <f>IFERROR(__xludf.DUMMYFUNCTION("""COMPUTED_VALUE"""),"Fallback Campaign")</f>
        <v>Fallback Campaign</v>
      </c>
      <c r="E185" s="211" t="str">
        <f>IFERROR(__xludf.DUMMYFUNCTION("""COMPUTED_VALUE"""),"VS")</f>
        <v>VS</v>
      </c>
      <c r="F185" s="211" t="str">
        <f>IFERROR(__xludf.DUMMYFUNCTION("""COMPUTED_VALUE"""),"International Fragrance Day")</f>
        <v>International Fragrance Day</v>
      </c>
      <c r="G185" s="212" t="str">
        <f>IFERROR(__xludf.DUMMYFUNCTION("""COMPUTED_VALUE"""),"IFD Online - Dormant (FB 19th)")</f>
        <v>IFD Online - Dormant (FB 19th)</v>
      </c>
      <c r="H185" s="212" t="str">
        <f>IFERROR(__xludf.DUMMYFUNCTION("""COMPUTED_VALUE"""),"IFD Online - Dormant")</f>
        <v>IFD Online - Dormant</v>
      </c>
      <c r="I185" s="212" t="str">
        <f>IFERROR(__xludf.DUMMYFUNCTION("""COMPUTED_VALUE"""),"RCS Delivery Failed")</f>
        <v>RCS Delivery Failed</v>
      </c>
      <c r="J185" s="213">
        <f>IFERROR(__xludf.DUMMYFUNCTION("""COMPUTED_VALUE"""),2292.0)</f>
        <v>2292</v>
      </c>
      <c r="K185" s="213">
        <f>IFERROR(__xludf.DUMMYFUNCTION("""COMPUTED_VALUE"""),1610.0)</f>
        <v>1610</v>
      </c>
      <c r="L185" s="214">
        <f>IFERROR(__xludf.DUMMYFUNCTION("""COMPUTED_VALUE"""),0.7024)</f>
        <v>0.7024</v>
      </c>
      <c r="M185" s="213">
        <f>IFERROR(__xludf.DUMMYFUNCTION("""COMPUTED_VALUE"""),407.0)</f>
        <v>407</v>
      </c>
      <c r="N185" s="214">
        <f>IFERROR(__xludf.DUMMYFUNCTION("""COMPUTED_VALUE"""),0.2528)</f>
        <v>0.2528</v>
      </c>
      <c r="O185" s="213">
        <f>IFERROR(__xludf.DUMMYFUNCTION("""COMPUTED_VALUE"""),93.0)</f>
        <v>93</v>
      </c>
      <c r="P185" s="213">
        <f>IFERROR(__xludf.DUMMYFUNCTION("""COMPUTED_VALUE"""),86.0)</f>
        <v>86</v>
      </c>
      <c r="Q185" s="214">
        <f>IFERROR(__xludf.DUMMYFUNCTION("""COMPUTED_VALUE"""),0.0534)</f>
        <v>0.0534</v>
      </c>
      <c r="R185" s="214">
        <f>IFERROR(__xludf.DUMMYFUNCTION("""COMPUTED_VALUE"""),0.2113)</f>
        <v>0.2113</v>
      </c>
      <c r="S185" s="213">
        <f>IFERROR(__xludf.DUMMYFUNCTION("""COMPUTED_VALUE"""),3.0)</f>
        <v>3</v>
      </c>
      <c r="T185" s="213">
        <f>IFERROR(__xludf.DUMMYFUNCTION("""COMPUTED_VALUE"""),3.0)</f>
        <v>3</v>
      </c>
      <c r="U185" s="270">
        <f>IFERROR(__xludf.DUMMYFUNCTION("""COMPUTED_VALUE"""),7297.0)</f>
        <v>7297</v>
      </c>
      <c r="V185" s="271" t="str">
        <f>IFERROR(__xludf.DUMMYFUNCTION("""COMPUTED_VALUE"""),"online")</f>
        <v>online</v>
      </c>
      <c r="W185" s="272" t="str">
        <f>IFERROR(__xludf.DUMMYFUNCTION("""COMPUTED_VALUE"""),"simple")</f>
        <v>simple</v>
      </c>
      <c r="X185" s="272" t="str">
        <f>IFERROR(__xludf.DUMMYFUNCTION("""COMPUTED_VALUE"""),"Dormant Repeat")</f>
        <v>Dormant Repeat</v>
      </c>
      <c r="Y185" s="272" t="str">
        <f>IFERROR(__xludf.DUMMYFUNCTION("""COMPUTED_VALUE"""),"19th - 22nd Mar")</f>
        <v>19th - 22nd Mar</v>
      </c>
      <c r="Z185" s="272" t="str">
        <f>IFERROR(__xludf.DUMMYFUNCTION("""COMPUTED_VALUE"""),"69ba3d835f6dd1b7a4a59bd5")</f>
        <v>69ba3d835f6dd1b7a4a59bd5</v>
      </c>
      <c r="AA185" s="272">
        <f>IFERROR(__xludf.DUMMYFUNCTION("""COMPUTED_VALUE"""),14.0)</f>
        <v>14</v>
      </c>
      <c r="AB185" s="272">
        <f>IFERROR(__xludf.DUMMYFUNCTION("""COMPUTED_VALUE"""),14.0)</f>
        <v>14</v>
      </c>
      <c r="AC185" s="272"/>
      <c r="AD185" s="272">
        <f>IFERROR(__xludf.DUMMYFUNCTION("""COMPUTED_VALUE"""),36995.0)</f>
        <v>36995</v>
      </c>
      <c r="AE185" s="272">
        <f>IFERROR(__xludf.DUMMYFUNCTION("""COMPUTED_VALUE"""),36995.0)</f>
        <v>36995</v>
      </c>
      <c r="AF185" s="272"/>
      <c r="AG185" s="208"/>
      <c r="AH185" s="208"/>
      <c r="AI185" s="208"/>
      <c r="AJ185" s="208"/>
      <c r="AK185" s="208"/>
    </row>
    <row r="186">
      <c r="A186" s="209">
        <f>IFERROR(__xludf.DUMMYFUNCTION("""COMPUTED_VALUE"""),46100.0)</f>
        <v>46100</v>
      </c>
      <c r="B186" s="210">
        <f>IFERROR(__xludf.DUMMYFUNCTION("""COMPUTED_VALUE"""),0.8263888888905058)</f>
        <v>0.8263888889</v>
      </c>
      <c r="C186" s="211" t="str">
        <f>IFERROR(__xludf.DUMMYFUNCTION("""COMPUTED_VALUE"""),"Whatsapp")</f>
        <v>Whatsapp</v>
      </c>
      <c r="D186" s="211" t="str">
        <f>IFERROR(__xludf.DUMMYFUNCTION("""COMPUTED_VALUE"""),"Fallback Campaign")</f>
        <v>Fallback Campaign</v>
      </c>
      <c r="E186" s="211" t="str">
        <f>IFERROR(__xludf.DUMMYFUNCTION("""COMPUTED_VALUE"""),"VS")</f>
        <v>VS</v>
      </c>
      <c r="F186" s="211" t="str">
        <f>IFERROR(__xludf.DUMMYFUNCTION("""COMPUTED_VALUE"""),"International Fragrance Day")</f>
        <v>International Fragrance Day</v>
      </c>
      <c r="G186" s="212" t="str">
        <f>IFERROR(__xludf.DUMMYFUNCTION("""COMPUTED_VALUE"""),"IFD Online - Prodorm (FB 19th)")</f>
        <v>IFD Online - Prodorm (FB 19th)</v>
      </c>
      <c r="H186" s="212" t="str">
        <f>IFERROR(__xludf.DUMMYFUNCTION("""COMPUTED_VALUE"""),"IFD Online - Prodorm")</f>
        <v>IFD Online - Prodorm</v>
      </c>
      <c r="I186" s="212" t="str">
        <f>IFERROR(__xludf.DUMMYFUNCTION("""COMPUTED_VALUE"""),"RCS Delivery Failed")</f>
        <v>RCS Delivery Failed</v>
      </c>
      <c r="J186" s="213">
        <f>IFERROR(__xludf.DUMMYFUNCTION("""COMPUTED_VALUE"""),29043.0)</f>
        <v>29043</v>
      </c>
      <c r="K186" s="213">
        <f>IFERROR(__xludf.DUMMYFUNCTION("""COMPUTED_VALUE"""),18770.0)</f>
        <v>18770</v>
      </c>
      <c r="L186" s="214">
        <f>IFERROR(__xludf.DUMMYFUNCTION("""COMPUTED_VALUE"""),0.6463)</f>
        <v>0.6463</v>
      </c>
      <c r="M186" s="213">
        <f>IFERROR(__xludf.DUMMYFUNCTION("""COMPUTED_VALUE"""),4248.0)</f>
        <v>4248</v>
      </c>
      <c r="N186" s="214">
        <f>IFERROR(__xludf.DUMMYFUNCTION("""COMPUTED_VALUE"""),0.2264)</f>
        <v>0.2264</v>
      </c>
      <c r="O186" s="213">
        <f>IFERROR(__xludf.DUMMYFUNCTION("""COMPUTED_VALUE"""),713.0)</f>
        <v>713</v>
      </c>
      <c r="P186" s="213">
        <f>IFERROR(__xludf.DUMMYFUNCTION("""COMPUTED_VALUE"""),664.0)</f>
        <v>664</v>
      </c>
      <c r="Q186" s="214">
        <f>IFERROR(__xludf.DUMMYFUNCTION("""COMPUTED_VALUE"""),0.0354)</f>
        <v>0.0354</v>
      </c>
      <c r="R186" s="214">
        <f>IFERROR(__xludf.DUMMYFUNCTION("""COMPUTED_VALUE"""),0.1563)</f>
        <v>0.1563</v>
      </c>
      <c r="S186" s="213">
        <f>IFERROR(__xludf.DUMMYFUNCTION("""COMPUTED_VALUE"""),7.0)</f>
        <v>7</v>
      </c>
      <c r="T186" s="213">
        <f>IFERROR(__xludf.DUMMYFUNCTION("""COMPUTED_VALUE"""),13.0)</f>
        <v>13</v>
      </c>
      <c r="U186" s="270">
        <f>IFERROR(__xludf.DUMMYFUNCTION("""COMPUTED_VALUE"""),26371.0)</f>
        <v>26371</v>
      </c>
      <c r="V186" s="271" t="str">
        <f>IFERROR(__xludf.DUMMYFUNCTION("""COMPUTED_VALUE"""),"online")</f>
        <v>online</v>
      </c>
      <c r="W186" s="272" t="str">
        <f>IFERROR(__xludf.DUMMYFUNCTION("""COMPUTED_VALUE"""),"simple")</f>
        <v>simple</v>
      </c>
      <c r="X186" s="272" t="str">
        <f>IFERROR(__xludf.DUMMYFUNCTION("""COMPUTED_VALUE"""),"Predominance")</f>
        <v>Predominance</v>
      </c>
      <c r="Y186" s="272" t="str">
        <f>IFERROR(__xludf.DUMMYFUNCTION("""COMPUTED_VALUE"""),"19th - 22nd Mar")</f>
        <v>19th - 22nd Mar</v>
      </c>
      <c r="Z186" s="272" t="str">
        <f>IFERROR(__xludf.DUMMYFUNCTION("""COMPUTED_VALUE"""),"69ba3dc3c61c750ff19081af")</f>
        <v>69ba3dc3c61c750ff19081af</v>
      </c>
      <c r="AA186" s="272">
        <f>IFERROR(__xludf.DUMMYFUNCTION("""COMPUTED_VALUE"""),34.0)</f>
        <v>34</v>
      </c>
      <c r="AB186" s="272">
        <f>IFERROR(__xludf.DUMMYFUNCTION("""COMPUTED_VALUE"""),34.0)</f>
        <v>34</v>
      </c>
      <c r="AC186" s="272"/>
      <c r="AD186" s="272">
        <f>IFERROR(__xludf.DUMMYFUNCTION("""COMPUTED_VALUE"""),100917.0)</f>
        <v>100917</v>
      </c>
      <c r="AE186" s="272">
        <f>IFERROR(__xludf.DUMMYFUNCTION("""COMPUTED_VALUE"""),100917.0)</f>
        <v>100917</v>
      </c>
      <c r="AF186" s="272"/>
      <c r="AG186" s="208"/>
      <c r="AH186" s="208"/>
      <c r="AI186" s="208"/>
      <c r="AJ186" s="208"/>
      <c r="AK186" s="208"/>
    </row>
    <row r="187">
      <c r="A187" s="209">
        <f>IFERROR(__xludf.DUMMYFUNCTION("""COMPUTED_VALUE"""),46100.0)</f>
        <v>46100</v>
      </c>
      <c r="B187" s="210">
        <f>IFERROR(__xludf.DUMMYFUNCTION("""COMPUTED_VALUE"""),0.8298611111094942)</f>
        <v>0.8298611111</v>
      </c>
      <c r="C187" s="211" t="str">
        <f>IFERROR(__xludf.DUMMYFUNCTION("""COMPUTED_VALUE"""),"Whatsapp")</f>
        <v>Whatsapp</v>
      </c>
      <c r="D187" s="211" t="str">
        <f>IFERROR(__xludf.DUMMYFUNCTION("""COMPUTED_VALUE"""),"Fallback Campaign")</f>
        <v>Fallback Campaign</v>
      </c>
      <c r="E187" s="211" t="str">
        <f>IFERROR(__xludf.DUMMYFUNCTION("""COMPUTED_VALUE"""),"VS")</f>
        <v>VS</v>
      </c>
      <c r="F187" s="211" t="str">
        <f>IFERROR(__xludf.DUMMYFUNCTION("""COMPUTED_VALUE"""),"International Fragrance Day")</f>
        <v>International Fragrance Day</v>
      </c>
      <c r="G187" s="212" t="str">
        <f>IFERROR(__xludf.DUMMYFUNCTION("""COMPUTED_VALUE"""),"IFD Online - Mist (FB 19th)")</f>
        <v>IFD Online - Mist (FB 19th)</v>
      </c>
      <c r="H187" s="212" t="str">
        <f>IFERROR(__xludf.DUMMYFUNCTION("""COMPUTED_VALUE"""),"IFD Online - Mist")</f>
        <v>IFD Online - Mist</v>
      </c>
      <c r="I187" s="212" t="str">
        <f>IFERROR(__xludf.DUMMYFUNCTION("""COMPUTED_VALUE"""),"RCS Delivery Failed")</f>
        <v>RCS Delivery Failed</v>
      </c>
      <c r="J187" s="213">
        <f>IFERROR(__xludf.DUMMYFUNCTION("""COMPUTED_VALUE"""),6461.0)</f>
        <v>6461</v>
      </c>
      <c r="K187" s="213">
        <f>IFERROR(__xludf.DUMMYFUNCTION("""COMPUTED_VALUE"""),2859.0)</f>
        <v>2859</v>
      </c>
      <c r="L187" s="214">
        <f>IFERROR(__xludf.DUMMYFUNCTION("""COMPUTED_VALUE"""),0.4425)</f>
        <v>0.4425</v>
      </c>
      <c r="M187" s="213">
        <f>IFERROR(__xludf.DUMMYFUNCTION("""COMPUTED_VALUE"""),537.0)</f>
        <v>537</v>
      </c>
      <c r="N187" s="214">
        <f>IFERROR(__xludf.DUMMYFUNCTION("""COMPUTED_VALUE"""),0.1878)</f>
        <v>0.1878</v>
      </c>
      <c r="O187" s="213">
        <f>IFERROR(__xludf.DUMMYFUNCTION("""COMPUTED_VALUE"""),109.0)</f>
        <v>109</v>
      </c>
      <c r="P187" s="213">
        <f>IFERROR(__xludf.DUMMYFUNCTION("""COMPUTED_VALUE"""),101.0)</f>
        <v>101</v>
      </c>
      <c r="Q187" s="214">
        <f>IFERROR(__xludf.DUMMYFUNCTION("""COMPUTED_VALUE"""),0.0353)</f>
        <v>0.0353</v>
      </c>
      <c r="R187" s="214">
        <f>IFERROR(__xludf.DUMMYFUNCTION("""COMPUTED_VALUE"""),0.1881)</f>
        <v>0.1881</v>
      </c>
      <c r="S187" s="213">
        <f>IFERROR(__xludf.DUMMYFUNCTION("""COMPUTED_VALUE"""),5.0)</f>
        <v>5</v>
      </c>
      <c r="T187" s="213">
        <f>IFERROR(__xludf.DUMMYFUNCTION("""COMPUTED_VALUE"""),5.0)</f>
        <v>5</v>
      </c>
      <c r="U187" s="270">
        <f>IFERROR(__xludf.DUMMYFUNCTION("""COMPUTED_VALUE"""),29658.0)</f>
        <v>29658</v>
      </c>
      <c r="V187" s="271" t="str">
        <f>IFERROR(__xludf.DUMMYFUNCTION("""COMPUTED_VALUE"""),"online")</f>
        <v>online</v>
      </c>
      <c r="W187" s="272" t="str">
        <f>IFERROR(__xludf.DUMMYFUNCTION("""COMPUTED_VALUE"""),"simple")</f>
        <v>simple</v>
      </c>
      <c r="X187" s="272" t="str">
        <f>IFERROR(__xludf.DUMMYFUNCTION("""COMPUTED_VALUE"""),"Discount")</f>
        <v>Discount</v>
      </c>
      <c r="Y187" s="272" t="str">
        <f>IFERROR(__xludf.DUMMYFUNCTION("""COMPUTED_VALUE"""),"19th - 22nd Mar")</f>
        <v>19th - 22nd Mar</v>
      </c>
      <c r="Z187" s="272" t="str">
        <f>IFERROR(__xludf.DUMMYFUNCTION("""COMPUTED_VALUE"""),"69ba3dfc09c7239597da834f")</f>
        <v>69ba3dfc09c7239597da834f</v>
      </c>
      <c r="AA187" s="272">
        <f>IFERROR(__xludf.DUMMYFUNCTION("""COMPUTED_VALUE"""),21.0)</f>
        <v>21</v>
      </c>
      <c r="AB187" s="272">
        <f>IFERROR(__xludf.DUMMYFUNCTION("""COMPUTED_VALUE"""),21.0)</f>
        <v>21</v>
      </c>
      <c r="AC187" s="272"/>
      <c r="AD187" s="272">
        <f>IFERROR(__xludf.DUMMYFUNCTION("""COMPUTED_VALUE"""),99859.0)</f>
        <v>99859</v>
      </c>
      <c r="AE187" s="272">
        <f>IFERROR(__xludf.DUMMYFUNCTION("""COMPUTED_VALUE"""),99859.0)</f>
        <v>99859</v>
      </c>
      <c r="AF187" s="272"/>
      <c r="AG187" s="208"/>
      <c r="AH187" s="208"/>
      <c r="AI187" s="208"/>
      <c r="AJ187" s="208"/>
      <c r="AK187" s="208"/>
    </row>
    <row r="188">
      <c r="A188" s="209">
        <f>IFERROR(__xludf.DUMMYFUNCTION("""COMPUTED_VALUE"""),46100.0)</f>
        <v>46100</v>
      </c>
      <c r="B188" s="210">
        <f>IFERROR(__xludf.DUMMYFUNCTION("""COMPUTED_VALUE"""),0.8333333333321207)</f>
        <v>0.8333333333</v>
      </c>
      <c r="C188" s="211" t="str">
        <f>IFERROR(__xludf.DUMMYFUNCTION("""COMPUTED_VALUE"""),"Whatsapp")</f>
        <v>Whatsapp</v>
      </c>
      <c r="D188" s="211" t="str">
        <f>IFERROR(__xludf.DUMMYFUNCTION("""COMPUTED_VALUE"""),"Fallback Campaign")</f>
        <v>Fallback Campaign</v>
      </c>
      <c r="E188" s="211" t="str">
        <f>IFERROR(__xludf.DUMMYFUNCTION("""COMPUTED_VALUE"""),"VS")</f>
        <v>VS</v>
      </c>
      <c r="F188" s="211" t="str">
        <f>IFERROR(__xludf.DUMMYFUNCTION("""COMPUTED_VALUE"""),"International Fragrance Day")</f>
        <v>International Fragrance Day</v>
      </c>
      <c r="G188" s="212" t="str">
        <f>IFERROR(__xludf.DUMMYFUNCTION("""COMPUTED_VALUE"""),"IFD Online - Cross-Cat (FB 19th)")</f>
        <v>IFD Online - Cross-Cat (FB 19th)</v>
      </c>
      <c r="H188" s="212" t="str">
        <f>IFERROR(__xludf.DUMMYFUNCTION("""COMPUTED_VALUE"""),"IFD Online - Cross-Cat")</f>
        <v>IFD Online - Cross-Cat</v>
      </c>
      <c r="I188" s="212" t="str">
        <f>IFERROR(__xludf.DUMMYFUNCTION("""COMPUTED_VALUE"""),"RCS Delivery Failed")</f>
        <v>RCS Delivery Failed</v>
      </c>
      <c r="J188" s="213">
        <f>IFERROR(__xludf.DUMMYFUNCTION("""COMPUTED_VALUE"""),39436.0)</f>
        <v>39436</v>
      </c>
      <c r="K188" s="213">
        <f>IFERROR(__xludf.DUMMYFUNCTION("""COMPUTED_VALUE"""),19217.0)</f>
        <v>19217</v>
      </c>
      <c r="L188" s="214">
        <f>IFERROR(__xludf.DUMMYFUNCTION("""COMPUTED_VALUE"""),0.4873)</f>
        <v>0.4873</v>
      </c>
      <c r="M188" s="213">
        <f>IFERROR(__xludf.DUMMYFUNCTION("""COMPUTED_VALUE"""),3914.0)</f>
        <v>3914</v>
      </c>
      <c r="N188" s="214">
        <f>IFERROR(__xludf.DUMMYFUNCTION("""COMPUTED_VALUE"""),0.2036)</f>
        <v>0.2036</v>
      </c>
      <c r="O188" s="213">
        <f>IFERROR(__xludf.DUMMYFUNCTION("""COMPUTED_VALUE"""),370.0)</f>
        <v>370</v>
      </c>
      <c r="P188" s="213">
        <f>IFERROR(__xludf.DUMMYFUNCTION("""COMPUTED_VALUE"""),354.0)</f>
        <v>354</v>
      </c>
      <c r="Q188" s="214">
        <f>IFERROR(__xludf.DUMMYFUNCTION("""COMPUTED_VALUE"""),0.0184)</f>
        <v>0.0184</v>
      </c>
      <c r="R188" s="214">
        <f>IFERROR(__xludf.DUMMYFUNCTION("""COMPUTED_VALUE"""),0.0905)</f>
        <v>0.0905</v>
      </c>
      <c r="S188" s="213">
        <f>IFERROR(__xludf.DUMMYFUNCTION("""COMPUTED_VALUE"""),0.0)</f>
        <v>0</v>
      </c>
      <c r="T188" s="213">
        <f>IFERROR(__xludf.DUMMYFUNCTION("""COMPUTED_VALUE"""),4.0)</f>
        <v>4</v>
      </c>
      <c r="U188" s="270">
        <f>IFERROR(__xludf.DUMMYFUNCTION("""COMPUTED_VALUE"""),0.0)</f>
        <v>0</v>
      </c>
      <c r="V188" s="271" t="str">
        <f>IFERROR(__xludf.DUMMYFUNCTION("""COMPUTED_VALUE"""),"online")</f>
        <v>online</v>
      </c>
      <c r="W188" s="272" t="str">
        <f>IFERROR(__xludf.DUMMYFUNCTION("""COMPUTED_VALUE"""),"simple")</f>
        <v>simple</v>
      </c>
      <c r="X188" s="272" t="str">
        <f>IFERROR(__xludf.DUMMYFUNCTION("""COMPUTED_VALUE"""),"Cross Category")</f>
        <v>Cross Category</v>
      </c>
      <c r="Y188" s="272" t="str">
        <f>IFERROR(__xludf.DUMMYFUNCTION("""COMPUTED_VALUE"""),"19th - 22nd Mar")</f>
        <v>19th - 22nd Mar</v>
      </c>
      <c r="Z188" s="272" t="str">
        <f>IFERROR(__xludf.DUMMYFUNCTION("""COMPUTED_VALUE"""),"69ba3e3be69452c1ac1e4e55")</f>
        <v>69ba3e3be69452c1ac1e4e55</v>
      </c>
      <c r="AA188" s="272">
        <f>IFERROR(__xludf.DUMMYFUNCTION("""COMPUTED_VALUE"""),16.0)</f>
        <v>16</v>
      </c>
      <c r="AB188" s="272">
        <f>IFERROR(__xludf.DUMMYFUNCTION("""COMPUTED_VALUE"""),16.0)</f>
        <v>16</v>
      </c>
      <c r="AC188" s="272"/>
      <c r="AD188" s="272">
        <f>IFERROR(__xludf.DUMMYFUNCTION("""COMPUTED_VALUE"""),44545.0)</f>
        <v>44545</v>
      </c>
      <c r="AE188" s="272">
        <f>IFERROR(__xludf.DUMMYFUNCTION("""COMPUTED_VALUE"""),44545.0)</f>
        <v>44545</v>
      </c>
      <c r="AF188" s="272"/>
      <c r="AG188" s="208"/>
      <c r="AH188" s="208"/>
      <c r="AI188" s="208"/>
      <c r="AJ188" s="208"/>
      <c r="AK188" s="208"/>
    </row>
    <row r="189">
      <c r="A189" s="209">
        <f>IFERROR(__xludf.DUMMYFUNCTION("""COMPUTED_VALUE"""),46100.0)</f>
        <v>46100</v>
      </c>
      <c r="B189" s="210">
        <f>IFERROR(__xludf.DUMMYFUNCTION("""COMPUTED_VALUE"""),0.75)</f>
        <v>0.75</v>
      </c>
      <c r="C189" s="211" t="str">
        <f>IFERROR(__xludf.DUMMYFUNCTION("""COMPUTED_VALUE"""),"Rcs")</f>
        <v>Rcs</v>
      </c>
      <c r="D189" s="211" t="str">
        <f>IFERROR(__xludf.DUMMYFUNCTION("""COMPUTED_VALUE"""),"Promotional")</f>
        <v>Promotional</v>
      </c>
      <c r="E189" s="211" t="str">
        <f>IFERROR(__xludf.DUMMYFUNCTION("""COMPUTED_VALUE"""),"VS")</f>
        <v>VS</v>
      </c>
      <c r="F189" s="211" t="str">
        <f>IFERROR(__xludf.DUMMYFUNCTION("""COMPUTED_VALUE"""),"International Fragrance Day")</f>
        <v>International Fragrance Day</v>
      </c>
      <c r="G189" s="212" t="str">
        <f>IFERROR(__xludf.DUMMYFUNCTION("""COMPUTED_VALUE"""),"IFD Online - ATC")</f>
        <v>IFD Online - ATC</v>
      </c>
      <c r="H189" s="212" t="str">
        <f>IFERROR(__xludf.DUMMYFUNCTION("""COMPUTED_VALUE"""),"ATC_Fragra_90D")</f>
        <v>ATC_Fragra_90D</v>
      </c>
      <c r="I189" s="212" t="str">
        <f>IFERROR(__xludf.DUMMYFUNCTION("""COMPUTED_VALUE"""),"Customers who have added to cart from L2: Fragrances in the last 90D but have not purchased")</f>
        <v>Customers who have added to cart from L2: Fragrances in the last 90D but have not purchased</v>
      </c>
      <c r="J189" s="213">
        <f>IFERROR(__xludf.DUMMYFUNCTION("""COMPUTED_VALUE"""),2126.0)</f>
        <v>2126</v>
      </c>
      <c r="K189" s="213">
        <f>IFERROR(__xludf.DUMMYFUNCTION("""COMPUTED_VALUE"""),397.0)</f>
        <v>397</v>
      </c>
      <c r="L189" s="214">
        <f>IFERROR(__xludf.DUMMYFUNCTION("""COMPUTED_VALUE"""),0.1867)</f>
        <v>0.1867</v>
      </c>
      <c r="M189" s="213">
        <f>IFERROR(__xludf.DUMMYFUNCTION("""COMPUTED_VALUE"""),57.0)</f>
        <v>57</v>
      </c>
      <c r="N189" s="214">
        <f>IFERROR(__xludf.DUMMYFUNCTION("""COMPUTED_VALUE"""),0.144)</f>
        <v>0.144</v>
      </c>
      <c r="O189" s="213">
        <f>IFERROR(__xludf.DUMMYFUNCTION("""COMPUTED_VALUE"""),4.0)</f>
        <v>4</v>
      </c>
      <c r="P189" s="213"/>
      <c r="Q189" s="214">
        <f>IFERROR(__xludf.DUMMYFUNCTION("""COMPUTED_VALUE"""),0.0101)</f>
        <v>0.0101</v>
      </c>
      <c r="R189" s="214"/>
      <c r="S189" s="213">
        <f>IFERROR(__xludf.DUMMYFUNCTION("""COMPUTED_VALUE"""),5.0)</f>
        <v>5</v>
      </c>
      <c r="T189" s="213">
        <f>IFERROR(__xludf.DUMMYFUNCTION("""COMPUTED_VALUE"""),15.0)</f>
        <v>15</v>
      </c>
      <c r="U189" s="270">
        <f>IFERROR(__xludf.DUMMYFUNCTION("""COMPUTED_VALUE"""),29690.0)</f>
        <v>29690</v>
      </c>
      <c r="V189" s="271" t="str">
        <f>IFERROR(__xludf.DUMMYFUNCTION("""COMPUTED_VALUE"""),"online")</f>
        <v>online</v>
      </c>
      <c r="W189" s="272" t="str">
        <f>IFERROR(__xludf.DUMMYFUNCTION("""COMPUTED_VALUE"""),"RCS")</f>
        <v>RCS</v>
      </c>
      <c r="X189" s="272" t="str">
        <f>IFERROR(__xludf.DUMMYFUNCTION("""COMPUTED_VALUE"""),"Add to Cart")</f>
        <v>Add to Cart</v>
      </c>
      <c r="Y189" s="272" t="str">
        <f>IFERROR(__xludf.DUMMYFUNCTION("""COMPUTED_VALUE"""),"19th - 22nd Mar")</f>
        <v>19th - 22nd Mar</v>
      </c>
      <c r="Z189" s="272" t="str">
        <f>IFERROR(__xludf.DUMMYFUNCTION("""COMPUTED_VALUE"""),"69ba394851300d406a8374e1")</f>
        <v>69ba394851300d406a8374e1</v>
      </c>
      <c r="AA189" s="272">
        <f>IFERROR(__xludf.DUMMYFUNCTION("""COMPUTED_VALUE"""),2.0)</f>
        <v>2</v>
      </c>
      <c r="AB189" s="272">
        <f>IFERROR(__xludf.DUMMYFUNCTION("""COMPUTED_VALUE"""),2.0)</f>
        <v>2</v>
      </c>
      <c r="AC189" s="272"/>
      <c r="AD189" s="272">
        <f>IFERROR(__xludf.DUMMYFUNCTION("""COMPUTED_VALUE"""),5398.0)</f>
        <v>5398</v>
      </c>
      <c r="AE189" s="272">
        <f>IFERROR(__xludf.DUMMYFUNCTION("""COMPUTED_VALUE"""),5398.0)</f>
        <v>5398</v>
      </c>
      <c r="AF189" s="272"/>
      <c r="AG189" s="208"/>
      <c r="AH189" s="208"/>
      <c r="AI189" s="208"/>
      <c r="AJ189" s="208"/>
      <c r="AK189" s="208"/>
    </row>
    <row r="190">
      <c r="A190" s="209">
        <f>IFERROR(__xludf.DUMMYFUNCTION("""COMPUTED_VALUE"""),46100.0)</f>
        <v>46100</v>
      </c>
      <c r="B190" s="210">
        <f>IFERROR(__xludf.DUMMYFUNCTION("""COMPUTED_VALUE"""),0.75)</f>
        <v>0.75</v>
      </c>
      <c r="C190" s="211" t="str">
        <f>IFERROR(__xludf.DUMMYFUNCTION("""COMPUTED_VALUE"""),"Rcs")</f>
        <v>Rcs</v>
      </c>
      <c r="D190" s="211" t="str">
        <f>IFERROR(__xludf.DUMMYFUNCTION("""COMPUTED_VALUE"""),"Promotional")</f>
        <v>Promotional</v>
      </c>
      <c r="E190" s="211" t="str">
        <f>IFERROR(__xludf.DUMMYFUNCTION("""COMPUTED_VALUE"""),"VS")</f>
        <v>VS</v>
      </c>
      <c r="F190" s="211" t="str">
        <f>IFERROR(__xludf.DUMMYFUNCTION("""COMPUTED_VALUE"""),"International Fragrance Day")</f>
        <v>International Fragrance Day</v>
      </c>
      <c r="G190" s="212" t="str">
        <f>IFERROR(__xludf.DUMMYFUNCTION("""COMPUTED_VALUE"""),"IFD Online - VI")</f>
        <v>IFD Online - VI</v>
      </c>
      <c r="H190" s="212" t="str">
        <f>IFERROR(__xludf.DUMMYFUNCTION("""COMPUTED_VALUE"""),"View_Item_Fragra_3times_90D")</f>
        <v>View_Item_Fragra_3times_90D</v>
      </c>
      <c r="I190" s="212" t="str">
        <f>IFERROR(__xludf.DUMMYFUNCTION("""COMPUTED_VALUE"""),"Customers who have viewed items from L2: Fragrances in the last 90D but have not purchased")</f>
        <v>Customers who have viewed items from L2: Fragrances in the last 90D but have not purchased</v>
      </c>
      <c r="J190" s="213">
        <f>IFERROR(__xludf.DUMMYFUNCTION("""COMPUTED_VALUE"""),183.0)</f>
        <v>183</v>
      </c>
      <c r="K190" s="213">
        <f>IFERROR(__xludf.DUMMYFUNCTION("""COMPUTED_VALUE"""),31.0)</f>
        <v>31</v>
      </c>
      <c r="L190" s="214">
        <f>IFERROR(__xludf.DUMMYFUNCTION("""COMPUTED_VALUE"""),0.1694)</f>
        <v>0.1694</v>
      </c>
      <c r="M190" s="213">
        <f>IFERROR(__xludf.DUMMYFUNCTION("""COMPUTED_VALUE"""),7.0)</f>
        <v>7</v>
      </c>
      <c r="N190" s="214">
        <f>IFERROR(__xludf.DUMMYFUNCTION("""COMPUTED_VALUE"""),0.226)</f>
        <v>0.226</v>
      </c>
      <c r="O190" s="213">
        <f>IFERROR(__xludf.DUMMYFUNCTION("""COMPUTED_VALUE"""),0.0)</f>
        <v>0</v>
      </c>
      <c r="P190" s="213"/>
      <c r="Q190" s="214">
        <f>IFERROR(__xludf.DUMMYFUNCTION("""COMPUTED_VALUE"""),0.0)</f>
        <v>0</v>
      </c>
      <c r="R190" s="214"/>
      <c r="S190" s="213">
        <f>IFERROR(__xludf.DUMMYFUNCTION("""COMPUTED_VALUE"""),0.0)</f>
        <v>0</v>
      </c>
      <c r="T190" s="213">
        <f>IFERROR(__xludf.DUMMYFUNCTION("""COMPUTED_VALUE"""),0.0)</f>
        <v>0</v>
      </c>
      <c r="U190" s="270">
        <f>IFERROR(__xludf.DUMMYFUNCTION("""COMPUTED_VALUE"""),0.0)</f>
        <v>0</v>
      </c>
      <c r="V190" s="271" t="str">
        <f>IFERROR(__xludf.DUMMYFUNCTION("""COMPUTED_VALUE"""),"online")</f>
        <v>online</v>
      </c>
      <c r="W190" s="272" t="str">
        <f>IFERROR(__xludf.DUMMYFUNCTION("""COMPUTED_VALUE"""),"RCS")</f>
        <v>RCS</v>
      </c>
      <c r="X190" s="272" t="str">
        <f>IFERROR(__xludf.DUMMYFUNCTION("""COMPUTED_VALUE"""),"View Item")</f>
        <v>View Item</v>
      </c>
      <c r="Y190" s="272" t="str">
        <f>IFERROR(__xludf.DUMMYFUNCTION("""COMPUTED_VALUE"""),"19th - 22nd Mar")</f>
        <v>19th - 22nd Mar</v>
      </c>
      <c r="Z190" s="272" t="str">
        <f>IFERROR(__xludf.DUMMYFUNCTION("""COMPUTED_VALUE"""),"69ba39fecfc3aa0f1ff6702b")</f>
        <v>69ba39fecfc3aa0f1ff6702b</v>
      </c>
      <c r="AA190" s="272">
        <f>IFERROR(__xludf.DUMMYFUNCTION("""COMPUTED_VALUE"""),0.0)</f>
        <v>0</v>
      </c>
      <c r="AB190" s="272">
        <f>IFERROR(__xludf.DUMMYFUNCTION("""COMPUTED_VALUE"""),0.0)</f>
        <v>0</v>
      </c>
      <c r="AC190" s="272"/>
      <c r="AD190" s="272">
        <f>IFERROR(__xludf.DUMMYFUNCTION("""COMPUTED_VALUE"""),0.0)</f>
        <v>0</v>
      </c>
      <c r="AE190" s="272">
        <f>IFERROR(__xludf.DUMMYFUNCTION("""COMPUTED_VALUE"""),0.0)</f>
        <v>0</v>
      </c>
      <c r="AF190" s="272"/>
      <c r="AG190" s="208"/>
      <c r="AH190" s="208"/>
      <c r="AI190" s="208"/>
      <c r="AJ190" s="208"/>
      <c r="AK190" s="208"/>
    </row>
    <row r="191">
      <c r="A191" s="209">
        <f>IFERROR(__xludf.DUMMYFUNCTION("""COMPUTED_VALUE"""),46100.0)</f>
        <v>46100</v>
      </c>
      <c r="B191" s="210">
        <f>IFERROR(__xludf.DUMMYFUNCTION("""COMPUTED_VALUE"""),0.75)</f>
        <v>0.75</v>
      </c>
      <c r="C191" s="211" t="str">
        <f>IFERROR(__xludf.DUMMYFUNCTION("""COMPUTED_VALUE"""),"Rcs")</f>
        <v>Rcs</v>
      </c>
      <c r="D191" s="211" t="str">
        <f>IFERROR(__xludf.DUMMYFUNCTION("""COMPUTED_VALUE"""),"Promotional")</f>
        <v>Promotional</v>
      </c>
      <c r="E191" s="211" t="str">
        <f>IFERROR(__xludf.DUMMYFUNCTION("""COMPUTED_VALUE"""),"VS")</f>
        <v>VS</v>
      </c>
      <c r="F191" s="211" t="str">
        <f>IFERROR(__xludf.DUMMYFUNCTION("""COMPUTED_VALUE"""),"International Fragrance Day")</f>
        <v>International Fragrance Day</v>
      </c>
      <c r="G191" s="212" t="str">
        <f>IFERROR(__xludf.DUMMYFUNCTION("""COMPUTED_VALUE"""),"IFD Online - Active")</f>
        <v>IFD Online - Active</v>
      </c>
      <c r="H191" s="212" t="str">
        <f>IFERROR(__xludf.DUMMYFUNCTION("""COMPUTED_VALUE"""),"Active_Cust_Fragrances")</f>
        <v>Active_Cust_Fragrances</v>
      </c>
      <c r="I191" s="212" t="str">
        <f>IFERROR(__xludf.DUMMYFUNCTION("""COMPUTED_VALUE"""),"Customers who have purchased from L2: Fragrances at least 1 time in TTR (84 Days)")</f>
        <v>Customers who have purchased from L2: Fragrances at least 1 time in TTR (84 Days)</v>
      </c>
      <c r="J191" s="213">
        <f>IFERROR(__xludf.DUMMYFUNCTION("""COMPUTED_VALUE"""),4955.0)</f>
        <v>4955</v>
      </c>
      <c r="K191" s="213">
        <f>IFERROR(__xludf.DUMMYFUNCTION("""COMPUTED_VALUE"""),1015.0)</f>
        <v>1015</v>
      </c>
      <c r="L191" s="214">
        <f>IFERROR(__xludf.DUMMYFUNCTION("""COMPUTED_VALUE"""),0.2048)</f>
        <v>0.2048</v>
      </c>
      <c r="M191" s="213">
        <f>IFERROR(__xludf.DUMMYFUNCTION("""COMPUTED_VALUE"""),144.0)</f>
        <v>144</v>
      </c>
      <c r="N191" s="214">
        <f>IFERROR(__xludf.DUMMYFUNCTION("""COMPUTED_VALUE"""),0.142)</f>
        <v>0.142</v>
      </c>
      <c r="O191" s="213">
        <f>IFERROR(__xludf.DUMMYFUNCTION("""COMPUTED_VALUE"""),26.0)</f>
        <v>26</v>
      </c>
      <c r="P191" s="213"/>
      <c r="Q191" s="214">
        <f>IFERROR(__xludf.DUMMYFUNCTION("""COMPUTED_VALUE"""),0.0256)</f>
        <v>0.0256</v>
      </c>
      <c r="R191" s="214"/>
      <c r="S191" s="213">
        <f>IFERROR(__xludf.DUMMYFUNCTION("""COMPUTED_VALUE"""),2.0)</f>
        <v>2</v>
      </c>
      <c r="T191" s="213">
        <f>IFERROR(__xludf.DUMMYFUNCTION("""COMPUTED_VALUE"""),9.0)</f>
        <v>9</v>
      </c>
      <c r="U191" s="270">
        <f>IFERROR(__xludf.DUMMYFUNCTION("""COMPUTED_VALUE"""),9247.0)</f>
        <v>9247</v>
      </c>
      <c r="V191" s="271" t="str">
        <f>IFERROR(__xludf.DUMMYFUNCTION("""COMPUTED_VALUE"""),"online")</f>
        <v>online</v>
      </c>
      <c r="W191" s="272" t="str">
        <f>IFERROR(__xludf.DUMMYFUNCTION("""COMPUTED_VALUE"""),"RCS")</f>
        <v>RCS</v>
      </c>
      <c r="X191" s="272" t="str">
        <f>IFERROR(__xludf.DUMMYFUNCTION("""COMPUTED_VALUE"""),"Active")</f>
        <v>Active</v>
      </c>
      <c r="Y191" s="272" t="str">
        <f>IFERROR(__xludf.DUMMYFUNCTION("""COMPUTED_VALUE"""),"19th - 22nd Mar")</f>
        <v>19th - 22nd Mar</v>
      </c>
      <c r="Z191" s="272" t="str">
        <f>IFERROR(__xludf.DUMMYFUNCTION("""COMPUTED_VALUE"""),"69ba3a3283be18e6980c523b")</f>
        <v>69ba3a3283be18e6980c523b</v>
      </c>
      <c r="AA191" s="272">
        <f>IFERROR(__xludf.DUMMYFUNCTION("""COMPUTED_VALUE"""),2.0)</f>
        <v>2</v>
      </c>
      <c r="AB191" s="272">
        <f>IFERROR(__xludf.DUMMYFUNCTION("""COMPUTED_VALUE"""),2.0)</f>
        <v>2</v>
      </c>
      <c r="AC191" s="272"/>
      <c r="AD191" s="272">
        <f>IFERROR(__xludf.DUMMYFUNCTION("""COMPUTED_VALUE"""),10579.0)</f>
        <v>10579</v>
      </c>
      <c r="AE191" s="272">
        <f>IFERROR(__xludf.DUMMYFUNCTION("""COMPUTED_VALUE"""),10579.0)</f>
        <v>10579</v>
      </c>
      <c r="AF191" s="272"/>
      <c r="AG191" s="208"/>
      <c r="AH191" s="208"/>
      <c r="AI191" s="208"/>
      <c r="AJ191" s="208"/>
      <c r="AK191" s="208"/>
    </row>
    <row r="192">
      <c r="A192" s="209">
        <f>IFERROR(__xludf.DUMMYFUNCTION("""COMPUTED_VALUE"""),46100.0)</f>
        <v>46100</v>
      </c>
      <c r="B192" s="210">
        <f>IFERROR(__xludf.DUMMYFUNCTION("""COMPUTED_VALUE"""),0.75)</f>
        <v>0.75</v>
      </c>
      <c r="C192" s="211" t="str">
        <f>IFERROR(__xludf.DUMMYFUNCTION("""COMPUTED_VALUE"""),"Rcs")</f>
        <v>Rcs</v>
      </c>
      <c r="D192" s="211" t="str">
        <f>IFERROR(__xludf.DUMMYFUNCTION("""COMPUTED_VALUE"""),"Promotional")</f>
        <v>Promotional</v>
      </c>
      <c r="E192" s="211" t="str">
        <f>IFERROR(__xludf.DUMMYFUNCTION("""COMPUTED_VALUE"""),"VS")</f>
        <v>VS</v>
      </c>
      <c r="F192" s="211" t="str">
        <f>IFERROR(__xludf.DUMMYFUNCTION("""COMPUTED_VALUE"""),"International Fragrance Day")</f>
        <v>International Fragrance Day</v>
      </c>
      <c r="G192" s="212" t="str">
        <f>IFERROR(__xludf.DUMMYFUNCTION("""COMPUTED_VALUE"""),"IFD Online - Dormant")</f>
        <v>IFD Online - Dormant</v>
      </c>
      <c r="H192" s="212" t="str">
        <f>IFERROR(__xludf.DUMMYFUNCTION("""COMPUTED_VALUE"""),"Dormant_Repeat_Fragrances")</f>
        <v>Dormant_Repeat_Fragrances</v>
      </c>
      <c r="I192" s="212" t="str">
        <f>IFERROR(__xludf.DUMMYFUNCTION("""COMPUTED_VALUE"""),"Customers who have purchased from L2: Fragrances at least 2 times in the last 36 months but have not purchased in TTR")</f>
        <v>Customers who have purchased from L2: Fragrances at least 2 times in the last 36 months but have not purchased in TTR</v>
      </c>
      <c r="J192" s="213">
        <f>IFERROR(__xludf.DUMMYFUNCTION("""COMPUTED_VALUE"""),2860.0)</f>
        <v>2860</v>
      </c>
      <c r="K192" s="213">
        <f>IFERROR(__xludf.DUMMYFUNCTION("""COMPUTED_VALUE"""),560.0)</f>
        <v>560</v>
      </c>
      <c r="L192" s="214">
        <f>IFERROR(__xludf.DUMMYFUNCTION("""COMPUTED_VALUE"""),0.1958)</f>
        <v>0.1958</v>
      </c>
      <c r="M192" s="213">
        <f>IFERROR(__xludf.DUMMYFUNCTION("""COMPUTED_VALUE"""),71.0)</f>
        <v>71</v>
      </c>
      <c r="N192" s="214">
        <f>IFERROR(__xludf.DUMMYFUNCTION("""COMPUTED_VALUE"""),0.127)</f>
        <v>0.127</v>
      </c>
      <c r="O192" s="213">
        <f>IFERROR(__xludf.DUMMYFUNCTION("""COMPUTED_VALUE"""),25.0)</f>
        <v>25</v>
      </c>
      <c r="P192" s="213"/>
      <c r="Q192" s="214">
        <f>IFERROR(__xludf.DUMMYFUNCTION("""COMPUTED_VALUE"""),0.0446)</f>
        <v>0.0446</v>
      </c>
      <c r="R192" s="214"/>
      <c r="S192" s="213">
        <f>IFERROR(__xludf.DUMMYFUNCTION("""COMPUTED_VALUE"""),1.0)</f>
        <v>1</v>
      </c>
      <c r="T192" s="213">
        <f>IFERROR(__xludf.DUMMYFUNCTION("""COMPUTED_VALUE"""),2.0)</f>
        <v>2</v>
      </c>
      <c r="U192" s="270">
        <f>IFERROR(__xludf.DUMMYFUNCTION("""COMPUTED_VALUE"""),1899.0)</f>
        <v>1899</v>
      </c>
      <c r="V192" s="271" t="str">
        <f>IFERROR(__xludf.DUMMYFUNCTION("""COMPUTED_VALUE"""),"online")</f>
        <v>online</v>
      </c>
      <c r="W192" s="272" t="str">
        <f>IFERROR(__xludf.DUMMYFUNCTION("""COMPUTED_VALUE"""),"RCS")</f>
        <v>RCS</v>
      </c>
      <c r="X192" s="272" t="str">
        <f>IFERROR(__xludf.DUMMYFUNCTION("""COMPUTED_VALUE"""),"Dormant Repeat")</f>
        <v>Dormant Repeat</v>
      </c>
      <c r="Y192" s="272" t="str">
        <f>IFERROR(__xludf.DUMMYFUNCTION("""COMPUTED_VALUE"""),"19th - 22nd Mar")</f>
        <v>19th - 22nd Mar</v>
      </c>
      <c r="Z192" s="272" t="str">
        <f>IFERROR(__xludf.DUMMYFUNCTION("""COMPUTED_VALUE"""),"69ba3a606fc5fd4ee2180f44")</f>
        <v>69ba3a606fc5fd4ee2180f44</v>
      </c>
      <c r="AA192" s="272">
        <f>IFERROR(__xludf.DUMMYFUNCTION("""COMPUTED_VALUE"""),5.0)</f>
        <v>5</v>
      </c>
      <c r="AB192" s="272">
        <f>IFERROR(__xludf.DUMMYFUNCTION("""COMPUTED_VALUE"""),5.0)</f>
        <v>5</v>
      </c>
      <c r="AC192" s="272"/>
      <c r="AD192" s="272">
        <f>IFERROR(__xludf.DUMMYFUNCTION("""COMPUTED_VALUE"""),12695.0)</f>
        <v>12695</v>
      </c>
      <c r="AE192" s="272">
        <f>IFERROR(__xludf.DUMMYFUNCTION("""COMPUTED_VALUE"""),12695.0)</f>
        <v>12695</v>
      </c>
      <c r="AF192" s="272"/>
      <c r="AG192" s="208"/>
      <c r="AH192" s="208"/>
      <c r="AI192" s="208"/>
      <c r="AJ192" s="208"/>
      <c r="AK192" s="208"/>
    </row>
    <row r="193">
      <c r="A193" s="209">
        <f>IFERROR(__xludf.DUMMYFUNCTION("""COMPUTED_VALUE"""),46100.0)</f>
        <v>46100</v>
      </c>
      <c r="B193" s="210">
        <f>IFERROR(__xludf.DUMMYFUNCTION("""COMPUTED_VALUE"""),0.75)</f>
        <v>0.75</v>
      </c>
      <c r="C193" s="211" t="str">
        <f>IFERROR(__xludf.DUMMYFUNCTION("""COMPUTED_VALUE"""),"Rcs")</f>
        <v>Rcs</v>
      </c>
      <c r="D193" s="211" t="str">
        <f>IFERROR(__xludf.DUMMYFUNCTION("""COMPUTED_VALUE"""),"Promotional")</f>
        <v>Promotional</v>
      </c>
      <c r="E193" s="211" t="str">
        <f>IFERROR(__xludf.DUMMYFUNCTION("""COMPUTED_VALUE"""),"VS")</f>
        <v>VS</v>
      </c>
      <c r="F193" s="211" t="str">
        <f>IFERROR(__xludf.DUMMYFUNCTION("""COMPUTED_VALUE"""),"International Fragrance Day")</f>
        <v>International Fragrance Day</v>
      </c>
      <c r="G193" s="212" t="str">
        <f>IFERROR(__xludf.DUMMYFUNCTION("""COMPUTED_VALUE"""),"IFD Online - Prodorm")</f>
        <v>IFD Online - Prodorm</v>
      </c>
      <c r="H193" s="212" t="str">
        <f>IFERROR(__xludf.DUMMYFUNCTION("""COMPUTED_VALUE"""),"Predom_Fragrances")</f>
        <v>Predom_Fragrances</v>
      </c>
      <c r="I193" s="212" t="str">
        <f>IFERROR(__xludf.DUMMYFUNCTION("""COMPUTED_VALUE"""),"Customers who have PREDOM purchased from L2: Fragrances")</f>
        <v>Customers who have PREDOM purchased from L2: Fragrances</v>
      </c>
      <c r="J193" s="213">
        <f>IFERROR(__xludf.DUMMYFUNCTION("""COMPUTED_VALUE"""),37795.0)</f>
        <v>37795</v>
      </c>
      <c r="K193" s="213">
        <f>IFERROR(__xludf.DUMMYFUNCTION("""COMPUTED_VALUE"""),8441.0)</f>
        <v>8441</v>
      </c>
      <c r="L193" s="214">
        <f>IFERROR(__xludf.DUMMYFUNCTION("""COMPUTED_VALUE"""),0.2233)</f>
        <v>0.2233</v>
      </c>
      <c r="M193" s="213">
        <f>IFERROR(__xludf.DUMMYFUNCTION("""COMPUTED_VALUE"""),792.0)</f>
        <v>792</v>
      </c>
      <c r="N193" s="214">
        <f>IFERROR(__xludf.DUMMYFUNCTION("""COMPUTED_VALUE"""),0.094)</f>
        <v>0.094</v>
      </c>
      <c r="O193" s="213">
        <f>IFERROR(__xludf.DUMMYFUNCTION("""COMPUTED_VALUE"""),110.0)</f>
        <v>110</v>
      </c>
      <c r="P193" s="213"/>
      <c r="Q193" s="214">
        <f>IFERROR(__xludf.DUMMYFUNCTION("""COMPUTED_VALUE"""),0.013)</f>
        <v>0.013</v>
      </c>
      <c r="R193" s="214"/>
      <c r="S193" s="213">
        <f>IFERROR(__xludf.DUMMYFUNCTION("""COMPUTED_VALUE"""),0.0)</f>
        <v>0</v>
      </c>
      <c r="T193" s="213">
        <f>IFERROR(__xludf.DUMMYFUNCTION("""COMPUTED_VALUE"""),2.0)</f>
        <v>2</v>
      </c>
      <c r="U193" s="270">
        <f>IFERROR(__xludf.DUMMYFUNCTION("""COMPUTED_VALUE"""),0.0)</f>
        <v>0</v>
      </c>
      <c r="V193" s="271" t="str">
        <f>IFERROR(__xludf.DUMMYFUNCTION("""COMPUTED_VALUE"""),"online")</f>
        <v>online</v>
      </c>
      <c r="W193" s="272" t="str">
        <f>IFERROR(__xludf.DUMMYFUNCTION("""COMPUTED_VALUE"""),"RCS")</f>
        <v>RCS</v>
      </c>
      <c r="X193" s="272" t="str">
        <f>IFERROR(__xludf.DUMMYFUNCTION("""COMPUTED_VALUE"""),"Predominance")</f>
        <v>Predominance</v>
      </c>
      <c r="Y193" s="272" t="str">
        <f>IFERROR(__xludf.DUMMYFUNCTION("""COMPUTED_VALUE"""),"19th - 22nd Mar")</f>
        <v>19th - 22nd Mar</v>
      </c>
      <c r="Z193" s="272" t="str">
        <f>IFERROR(__xludf.DUMMYFUNCTION("""COMPUTED_VALUE"""),"69ba3b169f451d355418e694")</f>
        <v>69ba3b169f451d355418e694</v>
      </c>
      <c r="AA193" s="272">
        <f>IFERROR(__xludf.DUMMYFUNCTION("""COMPUTED_VALUE"""),8.0)</f>
        <v>8</v>
      </c>
      <c r="AB193" s="272">
        <f>IFERROR(__xludf.DUMMYFUNCTION("""COMPUTED_VALUE"""),8.0)</f>
        <v>8</v>
      </c>
      <c r="AC193" s="272"/>
      <c r="AD193" s="272">
        <f>IFERROR(__xludf.DUMMYFUNCTION("""COMPUTED_VALUE"""),24910.0)</f>
        <v>24910</v>
      </c>
      <c r="AE193" s="272">
        <f>IFERROR(__xludf.DUMMYFUNCTION("""COMPUTED_VALUE"""),24910.0)</f>
        <v>24910</v>
      </c>
      <c r="AF193" s="272"/>
      <c r="AG193" s="208"/>
      <c r="AH193" s="208"/>
      <c r="AI193" s="208"/>
      <c r="AJ193" s="208"/>
      <c r="AK193" s="208"/>
    </row>
    <row r="194">
      <c r="A194" s="209">
        <f>IFERROR(__xludf.DUMMYFUNCTION("""COMPUTED_VALUE"""),46100.0)</f>
        <v>46100</v>
      </c>
      <c r="B194" s="210">
        <f>IFERROR(__xludf.DUMMYFUNCTION("""COMPUTED_VALUE"""),0.75)</f>
        <v>0.75</v>
      </c>
      <c r="C194" s="211" t="str">
        <f>IFERROR(__xludf.DUMMYFUNCTION("""COMPUTED_VALUE"""),"Rcs")</f>
        <v>Rcs</v>
      </c>
      <c r="D194" s="211" t="str">
        <f>IFERROR(__xludf.DUMMYFUNCTION("""COMPUTED_VALUE"""),"Promotional")</f>
        <v>Promotional</v>
      </c>
      <c r="E194" s="211" t="str">
        <f>IFERROR(__xludf.DUMMYFUNCTION("""COMPUTED_VALUE"""),"VS")</f>
        <v>VS</v>
      </c>
      <c r="F194" s="211" t="str">
        <f>IFERROR(__xludf.DUMMYFUNCTION("""COMPUTED_VALUE"""),"International Fragrance Day")</f>
        <v>International Fragrance Day</v>
      </c>
      <c r="G194" s="212" t="str">
        <f>IFERROR(__xludf.DUMMYFUNCTION("""COMPUTED_VALUE"""),"IFD Online - Mist")</f>
        <v>IFD Online - Mist</v>
      </c>
      <c r="H194" s="212" t="str">
        <f>IFERROR(__xludf.DUMMYFUNCTION("""COMPUTED_VALUE"""),"EDP_Mist_Discount_Buyers")</f>
        <v>EDP_Mist_Discount_Buyers</v>
      </c>
      <c r="I194" s="212" t="str">
        <f>IFERROR(__xludf.DUMMYFUNCTION("""COMPUTED_VALUE"""),"Customers who have purchased from L3: Mists &amp; L3: EDP with net discount value more than zero")</f>
        <v>Customers who have purchased from L3: Mists &amp; L3: EDP with net discount value more than zero</v>
      </c>
      <c r="J194" s="213">
        <f>IFERROR(__xludf.DUMMYFUNCTION("""COMPUTED_VALUE"""),7707.0)</f>
        <v>7707</v>
      </c>
      <c r="K194" s="213">
        <f>IFERROR(__xludf.DUMMYFUNCTION("""COMPUTED_VALUE"""),1215.0)</f>
        <v>1215</v>
      </c>
      <c r="L194" s="214">
        <f>IFERROR(__xludf.DUMMYFUNCTION("""COMPUTED_VALUE"""),0.1576)</f>
        <v>0.1576</v>
      </c>
      <c r="M194" s="213">
        <f>IFERROR(__xludf.DUMMYFUNCTION("""COMPUTED_VALUE"""),150.0)</f>
        <v>150</v>
      </c>
      <c r="N194" s="214">
        <f>IFERROR(__xludf.DUMMYFUNCTION("""COMPUTED_VALUE"""),0.123)</f>
        <v>0.123</v>
      </c>
      <c r="O194" s="213">
        <f>IFERROR(__xludf.DUMMYFUNCTION("""COMPUTED_VALUE"""),25.0)</f>
        <v>25</v>
      </c>
      <c r="P194" s="213"/>
      <c r="Q194" s="214">
        <f>IFERROR(__xludf.DUMMYFUNCTION("""COMPUTED_VALUE"""),0.0206)</f>
        <v>0.0206</v>
      </c>
      <c r="R194" s="214"/>
      <c r="S194" s="213">
        <f>IFERROR(__xludf.DUMMYFUNCTION("""COMPUTED_VALUE"""),0.0)</f>
        <v>0</v>
      </c>
      <c r="T194" s="213">
        <f>IFERROR(__xludf.DUMMYFUNCTION("""COMPUTED_VALUE"""),2.0)</f>
        <v>2</v>
      </c>
      <c r="U194" s="270">
        <f>IFERROR(__xludf.DUMMYFUNCTION("""COMPUTED_VALUE"""),0.0)</f>
        <v>0</v>
      </c>
      <c r="V194" s="271" t="str">
        <f>IFERROR(__xludf.DUMMYFUNCTION("""COMPUTED_VALUE"""),"online")</f>
        <v>online</v>
      </c>
      <c r="W194" s="272" t="str">
        <f>IFERROR(__xludf.DUMMYFUNCTION("""COMPUTED_VALUE"""),"RCS")</f>
        <v>RCS</v>
      </c>
      <c r="X194" s="272" t="str">
        <f>IFERROR(__xludf.DUMMYFUNCTION("""COMPUTED_VALUE"""),"Discount")</f>
        <v>Discount</v>
      </c>
      <c r="Y194" s="272" t="str">
        <f>IFERROR(__xludf.DUMMYFUNCTION("""COMPUTED_VALUE"""),"19th - 22nd Mar")</f>
        <v>19th - 22nd Mar</v>
      </c>
      <c r="Z194" s="272" t="str">
        <f>IFERROR(__xludf.DUMMYFUNCTION("""COMPUTED_VALUE"""),"69ba3b3809ada9ac69788f82")</f>
        <v>69ba3b3809ada9ac69788f82</v>
      </c>
      <c r="AA194" s="272">
        <f>IFERROR(__xludf.DUMMYFUNCTION("""COMPUTED_VALUE"""),4.0)</f>
        <v>4</v>
      </c>
      <c r="AB194" s="272">
        <f>IFERROR(__xludf.DUMMYFUNCTION("""COMPUTED_VALUE"""),4.0)</f>
        <v>4</v>
      </c>
      <c r="AC194" s="272"/>
      <c r="AD194" s="272">
        <f>IFERROR(__xludf.DUMMYFUNCTION("""COMPUTED_VALUE"""),11115.0)</f>
        <v>11115</v>
      </c>
      <c r="AE194" s="272">
        <f>IFERROR(__xludf.DUMMYFUNCTION("""COMPUTED_VALUE"""),11115.0)</f>
        <v>11115</v>
      </c>
      <c r="AF194" s="272"/>
      <c r="AG194" s="208"/>
      <c r="AH194" s="208"/>
      <c r="AI194" s="208"/>
      <c r="AJ194" s="208"/>
      <c r="AK194" s="208"/>
    </row>
    <row r="195">
      <c r="A195" s="209">
        <f>IFERROR(__xludf.DUMMYFUNCTION("""COMPUTED_VALUE"""),46100.0)</f>
        <v>46100</v>
      </c>
      <c r="B195" s="210">
        <f>IFERROR(__xludf.DUMMYFUNCTION("""COMPUTED_VALUE"""),0.75)</f>
        <v>0.75</v>
      </c>
      <c r="C195" s="211" t="str">
        <f>IFERROR(__xludf.DUMMYFUNCTION("""COMPUTED_VALUE"""),"Rcs")</f>
        <v>Rcs</v>
      </c>
      <c r="D195" s="211" t="str">
        <f>IFERROR(__xludf.DUMMYFUNCTION("""COMPUTED_VALUE"""),"Promotional")</f>
        <v>Promotional</v>
      </c>
      <c r="E195" s="211" t="str">
        <f>IFERROR(__xludf.DUMMYFUNCTION("""COMPUTED_VALUE"""),"VS")</f>
        <v>VS</v>
      </c>
      <c r="F195" s="211" t="str">
        <f>IFERROR(__xludf.DUMMYFUNCTION("""COMPUTED_VALUE"""),"International Fragrance Day")</f>
        <v>International Fragrance Day</v>
      </c>
      <c r="G195" s="212" t="str">
        <f>IFERROR(__xludf.DUMMYFUNCTION("""COMPUTED_VALUE"""),"IFD Online - Cross-Cat")</f>
        <v>IFD Online - Cross-Cat</v>
      </c>
      <c r="H195" s="212" t="str">
        <f>IFERROR(__xludf.DUMMYFUNCTION("""COMPUTED_VALUE"""),"BodyCare_Excl_Fragrances")</f>
        <v>BodyCare_Excl_Fragrances</v>
      </c>
      <c r="I195" s="212" t="str">
        <f>IFERROR(__xludf.DUMMYFUNCTION("""COMPUTED_VALUE"""),"Customers who have purchased from L2: Body Care but have not purchased from L2: Fragrances")</f>
        <v>Customers who have purchased from L2: Body Care but have not purchased from L2: Fragrances</v>
      </c>
      <c r="J195" s="213">
        <f>IFERROR(__xludf.DUMMYFUNCTION("""COMPUTED_VALUE"""),49963.0)</f>
        <v>49963</v>
      </c>
      <c r="K195" s="213">
        <f>IFERROR(__xludf.DUMMYFUNCTION("""COMPUTED_VALUE"""),10056.0)</f>
        <v>10056</v>
      </c>
      <c r="L195" s="214">
        <f>IFERROR(__xludf.DUMMYFUNCTION("""COMPUTED_VALUE"""),0.2013)</f>
        <v>0.2013</v>
      </c>
      <c r="M195" s="213">
        <f>IFERROR(__xludf.DUMMYFUNCTION("""COMPUTED_VALUE"""),1009.0)</f>
        <v>1009</v>
      </c>
      <c r="N195" s="214">
        <f>IFERROR(__xludf.DUMMYFUNCTION("""COMPUTED_VALUE"""),0.1)</f>
        <v>0.1</v>
      </c>
      <c r="O195" s="213">
        <f>IFERROR(__xludf.DUMMYFUNCTION("""COMPUTED_VALUE"""),93.0)</f>
        <v>93</v>
      </c>
      <c r="P195" s="213"/>
      <c r="Q195" s="214">
        <f>IFERROR(__xludf.DUMMYFUNCTION("""COMPUTED_VALUE"""),0.0092)</f>
        <v>0.0092</v>
      </c>
      <c r="R195" s="214"/>
      <c r="S195" s="213">
        <f>IFERROR(__xludf.DUMMYFUNCTION("""COMPUTED_VALUE"""),2.0)</f>
        <v>2</v>
      </c>
      <c r="T195" s="213">
        <f>IFERROR(__xludf.DUMMYFUNCTION("""COMPUTED_VALUE"""),5.0)</f>
        <v>5</v>
      </c>
      <c r="U195" s="270">
        <f>IFERROR(__xludf.DUMMYFUNCTION("""COMPUTED_VALUE"""),8097.0)</f>
        <v>8097</v>
      </c>
      <c r="V195" s="271" t="str">
        <f>IFERROR(__xludf.DUMMYFUNCTION("""COMPUTED_VALUE"""),"online")</f>
        <v>online</v>
      </c>
      <c r="W195" s="272" t="str">
        <f>IFERROR(__xludf.DUMMYFUNCTION("""COMPUTED_VALUE"""),"RCS")</f>
        <v>RCS</v>
      </c>
      <c r="X195" s="272" t="str">
        <f>IFERROR(__xludf.DUMMYFUNCTION("""COMPUTED_VALUE"""),"Cross Category")</f>
        <v>Cross Category</v>
      </c>
      <c r="Y195" s="272" t="str">
        <f>IFERROR(__xludf.DUMMYFUNCTION("""COMPUTED_VALUE"""),"19th - 22nd Mar")</f>
        <v>19th - 22nd Mar</v>
      </c>
      <c r="Z195" s="272" t="str">
        <f>IFERROR(__xludf.DUMMYFUNCTION("""COMPUTED_VALUE"""),"69ba3b7fd40f7dcd3c98f5c9")</f>
        <v>69ba3b7fd40f7dcd3c98f5c9</v>
      </c>
      <c r="AA195" s="272">
        <f>IFERROR(__xludf.DUMMYFUNCTION("""COMPUTED_VALUE"""),5.0)</f>
        <v>5</v>
      </c>
      <c r="AB195" s="272">
        <f>IFERROR(__xludf.DUMMYFUNCTION("""COMPUTED_VALUE"""),5.0)</f>
        <v>5</v>
      </c>
      <c r="AC195" s="272"/>
      <c r="AD195" s="272">
        <f>IFERROR(__xludf.DUMMYFUNCTION("""COMPUTED_VALUE"""),18790.0)</f>
        <v>18790</v>
      </c>
      <c r="AE195" s="272">
        <f>IFERROR(__xludf.DUMMYFUNCTION("""COMPUTED_VALUE"""),18790.0)</f>
        <v>18790</v>
      </c>
      <c r="AF195" s="272"/>
      <c r="AG195" s="208"/>
      <c r="AH195" s="208"/>
      <c r="AI195" s="208"/>
      <c r="AJ195" s="208"/>
      <c r="AK195" s="208"/>
    </row>
    <row r="196">
      <c r="A196" s="209">
        <f>IFERROR(__xludf.DUMMYFUNCTION("""COMPUTED_VALUE"""),46101.0)</f>
        <v>46101</v>
      </c>
      <c r="B196" s="210">
        <f>IFERROR(__xludf.DUMMYFUNCTION("""COMPUTED_VALUE"""),0.37847222222262644)</f>
        <v>0.3784722222</v>
      </c>
      <c r="C196" s="211" t="str">
        <f>IFERROR(__xludf.DUMMYFUNCTION("""COMPUTED_VALUE"""),"Whatsapp")</f>
        <v>Whatsapp</v>
      </c>
      <c r="D196" s="211" t="str">
        <f>IFERROR(__xludf.DUMMYFUNCTION("""COMPUTED_VALUE"""),"Fallback Campaign")</f>
        <v>Fallback Campaign</v>
      </c>
      <c r="E196" s="211" t="str">
        <f>IFERROR(__xludf.DUMMYFUNCTION("""COMPUTED_VALUE"""),"VS")</f>
        <v>VS</v>
      </c>
      <c r="F196" s="211" t="str">
        <f>IFERROR(__xludf.DUMMYFUNCTION("""COMPUTED_VALUE"""),"International Fragrance Day")</f>
        <v>International Fragrance Day</v>
      </c>
      <c r="G196" s="212" t="str">
        <f>IFERROR(__xludf.DUMMYFUNCTION("""COMPUTED_VALUE"""),"IFD Online - VI (FB 20th)")</f>
        <v>IFD Online - VI (FB 20th)</v>
      </c>
      <c r="H196" s="212" t="str">
        <f>IFERROR(__xludf.DUMMYFUNCTION("""COMPUTED_VALUE"""),"IFD Online - VI")</f>
        <v>IFD Online - VI</v>
      </c>
      <c r="I196" s="212" t="str">
        <f>IFERROR(__xludf.DUMMYFUNCTION("""COMPUTED_VALUE"""),"WA Undelivered")</f>
        <v>WA Undelivered</v>
      </c>
      <c r="J196" s="213">
        <f>IFERROR(__xludf.DUMMYFUNCTION("""COMPUTED_VALUE"""),56.0)</f>
        <v>56</v>
      </c>
      <c r="K196" s="213">
        <f>IFERROR(__xludf.DUMMYFUNCTION("""COMPUTED_VALUE"""),18.0)</f>
        <v>18</v>
      </c>
      <c r="L196" s="214">
        <f>IFERROR(__xludf.DUMMYFUNCTION("""COMPUTED_VALUE"""),0.3214)</f>
        <v>0.3214</v>
      </c>
      <c r="M196" s="213">
        <f>IFERROR(__xludf.DUMMYFUNCTION("""COMPUTED_VALUE"""),5.0)</f>
        <v>5</v>
      </c>
      <c r="N196" s="214">
        <f>IFERROR(__xludf.DUMMYFUNCTION("""COMPUTED_VALUE"""),0.2778)</f>
        <v>0.2778</v>
      </c>
      <c r="O196" s="213">
        <f>IFERROR(__xludf.DUMMYFUNCTION("""COMPUTED_VALUE"""),0.0)</f>
        <v>0</v>
      </c>
      <c r="P196" s="213">
        <f>IFERROR(__xludf.DUMMYFUNCTION("""COMPUTED_VALUE"""),0.0)</f>
        <v>0</v>
      </c>
      <c r="Q196" s="214">
        <f>IFERROR(__xludf.DUMMYFUNCTION("""COMPUTED_VALUE"""),0.0)</f>
        <v>0</v>
      </c>
      <c r="R196" s="214">
        <f>IFERROR(__xludf.DUMMYFUNCTION("""COMPUTED_VALUE"""),0.0)</f>
        <v>0</v>
      </c>
      <c r="S196" s="213">
        <f>IFERROR(__xludf.DUMMYFUNCTION("""COMPUTED_VALUE"""),0.0)</f>
        <v>0</v>
      </c>
      <c r="T196" s="213">
        <f>IFERROR(__xludf.DUMMYFUNCTION("""COMPUTED_VALUE"""),1.0)</f>
        <v>1</v>
      </c>
      <c r="U196" s="270">
        <f>IFERROR(__xludf.DUMMYFUNCTION("""COMPUTED_VALUE"""),0.0)</f>
        <v>0</v>
      </c>
      <c r="V196" s="271" t="str">
        <f>IFERROR(__xludf.DUMMYFUNCTION("""COMPUTED_VALUE"""),"online")</f>
        <v>online</v>
      </c>
      <c r="W196" s="272" t="str">
        <f>IFERROR(__xludf.DUMMYFUNCTION("""COMPUTED_VALUE"""),"simple")</f>
        <v>simple</v>
      </c>
      <c r="X196" s="272" t="str">
        <f>IFERROR(__xludf.DUMMYFUNCTION("""COMPUTED_VALUE"""),"View Item")</f>
        <v>View Item</v>
      </c>
      <c r="Y196" s="272" t="str">
        <f>IFERROR(__xludf.DUMMYFUNCTION("""COMPUTED_VALUE"""),"20-22nd Mar")</f>
        <v>20-22nd Mar</v>
      </c>
      <c r="Z196" s="272" t="str">
        <f>IFERROR(__xludf.DUMMYFUNCTION("""COMPUTED_VALUE"""),"69ba3ec06026ae365a2f9af9")</f>
        <v>69ba3ec06026ae365a2f9af9</v>
      </c>
      <c r="AA196" s="272">
        <f>IFERROR(__xludf.DUMMYFUNCTION("""COMPUTED_VALUE"""),0.0)</f>
        <v>0</v>
      </c>
      <c r="AB196" s="272">
        <f>IFERROR(__xludf.DUMMYFUNCTION("""COMPUTED_VALUE"""),0.0)</f>
        <v>0</v>
      </c>
      <c r="AC196" s="272"/>
      <c r="AD196" s="272">
        <f>IFERROR(__xludf.DUMMYFUNCTION("""COMPUTED_VALUE"""),0.0)</f>
        <v>0</v>
      </c>
      <c r="AE196" s="272">
        <f>IFERROR(__xludf.DUMMYFUNCTION("""COMPUTED_VALUE"""),0.0)</f>
        <v>0</v>
      </c>
      <c r="AF196" s="272"/>
      <c r="AG196" s="208"/>
      <c r="AH196" s="208"/>
      <c r="AI196" s="208"/>
      <c r="AJ196" s="208"/>
      <c r="AK196" s="208"/>
    </row>
    <row r="197">
      <c r="A197" s="209">
        <f>IFERROR(__xludf.DUMMYFUNCTION("""COMPUTED_VALUE"""),46101.0)</f>
        <v>46101</v>
      </c>
      <c r="B197" s="210">
        <f>IFERROR(__xludf.DUMMYFUNCTION("""COMPUTED_VALUE"""),0.3819444444452529)</f>
        <v>0.3819444444</v>
      </c>
      <c r="C197" s="211" t="str">
        <f>IFERROR(__xludf.DUMMYFUNCTION("""COMPUTED_VALUE"""),"Whatsapp")</f>
        <v>Whatsapp</v>
      </c>
      <c r="D197" s="211" t="str">
        <f>IFERROR(__xludf.DUMMYFUNCTION("""COMPUTED_VALUE"""),"Fallback Campaign")</f>
        <v>Fallback Campaign</v>
      </c>
      <c r="E197" s="211" t="str">
        <f>IFERROR(__xludf.DUMMYFUNCTION("""COMPUTED_VALUE"""),"VS")</f>
        <v>VS</v>
      </c>
      <c r="F197" s="211" t="str">
        <f>IFERROR(__xludf.DUMMYFUNCTION("""COMPUTED_VALUE"""),"International Fragrance Day")</f>
        <v>International Fragrance Day</v>
      </c>
      <c r="G197" s="212" t="str">
        <f>IFERROR(__xludf.DUMMYFUNCTION("""COMPUTED_VALUE"""),"IFD Online - Active (FB 20th)")</f>
        <v>IFD Online - Active (FB 20th)</v>
      </c>
      <c r="H197" s="212" t="str">
        <f>IFERROR(__xludf.DUMMYFUNCTION("""COMPUTED_VALUE"""),"IFD Online - Active")</f>
        <v>IFD Online - Active</v>
      </c>
      <c r="I197" s="212" t="str">
        <f>IFERROR(__xludf.DUMMYFUNCTION("""COMPUTED_VALUE"""),"WA Undelivered")</f>
        <v>WA Undelivered</v>
      </c>
      <c r="J197" s="213">
        <f>IFERROR(__xludf.DUMMYFUNCTION("""COMPUTED_VALUE"""),1875.0)</f>
        <v>1875</v>
      </c>
      <c r="K197" s="213">
        <f>IFERROR(__xludf.DUMMYFUNCTION("""COMPUTED_VALUE"""),761.0)</f>
        <v>761</v>
      </c>
      <c r="L197" s="214">
        <f>IFERROR(__xludf.DUMMYFUNCTION("""COMPUTED_VALUE"""),0.4059)</f>
        <v>0.4059</v>
      </c>
      <c r="M197" s="213">
        <f>IFERROR(__xludf.DUMMYFUNCTION("""COMPUTED_VALUE"""),135.0)</f>
        <v>135</v>
      </c>
      <c r="N197" s="214">
        <f>IFERROR(__xludf.DUMMYFUNCTION("""COMPUTED_VALUE"""),0.1774)</f>
        <v>0.1774</v>
      </c>
      <c r="O197" s="213">
        <f>IFERROR(__xludf.DUMMYFUNCTION("""COMPUTED_VALUE"""),22.0)</f>
        <v>22</v>
      </c>
      <c r="P197" s="213">
        <f>IFERROR(__xludf.DUMMYFUNCTION("""COMPUTED_VALUE"""),21.0)</f>
        <v>21</v>
      </c>
      <c r="Q197" s="214">
        <f>IFERROR(__xludf.DUMMYFUNCTION("""COMPUTED_VALUE"""),0.0276)</f>
        <v>0.0276</v>
      </c>
      <c r="R197" s="214">
        <f>IFERROR(__xludf.DUMMYFUNCTION("""COMPUTED_VALUE"""),0.1556)</f>
        <v>0.1556</v>
      </c>
      <c r="S197" s="213">
        <f>IFERROR(__xludf.DUMMYFUNCTION("""COMPUTED_VALUE"""),2.0)</f>
        <v>2</v>
      </c>
      <c r="T197" s="213">
        <f>IFERROR(__xludf.DUMMYFUNCTION("""COMPUTED_VALUE"""),3.0)</f>
        <v>3</v>
      </c>
      <c r="U197" s="270">
        <f>IFERROR(__xludf.DUMMYFUNCTION("""COMPUTED_VALUE"""),5973.0)</f>
        <v>5973</v>
      </c>
      <c r="V197" s="271" t="str">
        <f>IFERROR(__xludf.DUMMYFUNCTION("""COMPUTED_VALUE"""),"online")</f>
        <v>online</v>
      </c>
      <c r="W197" s="272" t="str">
        <f>IFERROR(__xludf.DUMMYFUNCTION("""COMPUTED_VALUE"""),"simple")</f>
        <v>simple</v>
      </c>
      <c r="X197" s="272" t="str">
        <f>IFERROR(__xludf.DUMMYFUNCTION("""COMPUTED_VALUE"""),"Active")</f>
        <v>Active</v>
      </c>
      <c r="Y197" s="272" t="str">
        <f>IFERROR(__xludf.DUMMYFUNCTION("""COMPUTED_VALUE"""),"20-22nd Mar")</f>
        <v>20-22nd Mar</v>
      </c>
      <c r="Z197" s="272" t="str">
        <f>IFERROR(__xludf.DUMMYFUNCTION("""COMPUTED_VALUE"""),"69ba3f3ee1176b0b9ef5197e")</f>
        <v>69ba3f3ee1176b0b9ef5197e</v>
      </c>
      <c r="AA197" s="272">
        <f>IFERROR(__xludf.DUMMYFUNCTION("""COMPUTED_VALUE"""),3.0)</f>
        <v>3</v>
      </c>
      <c r="AB197" s="272">
        <f>IFERROR(__xludf.DUMMYFUNCTION("""COMPUTED_VALUE"""),3.0)</f>
        <v>3</v>
      </c>
      <c r="AC197" s="272"/>
      <c r="AD197" s="272">
        <f>IFERROR(__xludf.DUMMYFUNCTION("""COMPUTED_VALUE"""),7721.0)</f>
        <v>7721</v>
      </c>
      <c r="AE197" s="272">
        <f>IFERROR(__xludf.DUMMYFUNCTION("""COMPUTED_VALUE"""),7721.0)</f>
        <v>7721</v>
      </c>
      <c r="AF197" s="272"/>
      <c r="AG197" s="208"/>
      <c r="AH197" s="208"/>
      <c r="AI197" s="208"/>
      <c r="AJ197" s="208"/>
      <c r="AK197" s="208"/>
    </row>
    <row r="198">
      <c r="A198" s="209">
        <f>IFERROR(__xludf.DUMMYFUNCTION("""COMPUTED_VALUE"""),46101.0)</f>
        <v>46101</v>
      </c>
      <c r="B198" s="210">
        <f>IFERROR(__xludf.DUMMYFUNCTION("""COMPUTED_VALUE"""),0.3854166666678793)</f>
        <v>0.3854166667</v>
      </c>
      <c r="C198" s="211" t="str">
        <f>IFERROR(__xludf.DUMMYFUNCTION("""COMPUTED_VALUE"""),"Whatsapp")</f>
        <v>Whatsapp</v>
      </c>
      <c r="D198" s="211" t="str">
        <f>IFERROR(__xludf.DUMMYFUNCTION("""COMPUTED_VALUE"""),"Fallback Campaign")</f>
        <v>Fallback Campaign</v>
      </c>
      <c r="E198" s="211" t="str">
        <f>IFERROR(__xludf.DUMMYFUNCTION("""COMPUTED_VALUE"""),"VS")</f>
        <v>VS</v>
      </c>
      <c r="F198" s="211" t="str">
        <f>IFERROR(__xludf.DUMMYFUNCTION("""COMPUTED_VALUE"""),"International Fragrance Day")</f>
        <v>International Fragrance Day</v>
      </c>
      <c r="G198" s="212" t="str">
        <f>IFERROR(__xludf.DUMMYFUNCTION("""COMPUTED_VALUE"""),"IFD Online - Dormant (FB 20th)")</f>
        <v>IFD Online - Dormant (FB 20th)</v>
      </c>
      <c r="H198" s="212" t="str">
        <f>IFERROR(__xludf.DUMMYFUNCTION("""COMPUTED_VALUE"""),"IFD Online - Dormant")</f>
        <v>IFD Online - Dormant</v>
      </c>
      <c r="I198" s="212" t="str">
        <f>IFERROR(__xludf.DUMMYFUNCTION("""COMPUTED_VALUE"""),"WA Undelivered")</f>
        <v>WA Undelivered</v>
      </c>
      <c r="J198" s="213">
        <f>IFERROR(__xludf.DUMMYFUNCTION("""COMPUTED_VALUE"""),586.0)</f>
        <v>586</v>
      </c>
      <c r="K198" s="213">
        <f>IFERROR(__xludf.DUMMYFUNCTION("""COMPUTED_VALUE"""),308.0)</f>
        <v>308</v>
      </c>
      <c r="L198" s="214">
        <f>IFERROR(__xludf.DUMMYFUNCTION("""COMPUTED_VALUE"""),0.5256)</f>
        <v>0.5256</v>
      </c>
      <c r="M198" s="213">
        <f>IFERROR(__xludf.DUMMYFUNCTION("""COMPUTED_VALUE"""),82.0)</f>
        <v>82</v>
      </c>
      <c r="N198" s="214">
        <f>IFERROR(__xludf.DUMMYFUNCTION("""COMPUTED_VALUE"""),0.2662)</f>
        <v>0.2662</v>
      </c>
      <c r="O198" s="213">
        <f>IFERROR(__xludf.DUMMYFUNCTION("""COMPUTED_VALUE"""),25.0)</f>
        <v>25</v>
      </c>
      <c r="P198" s="213">
        <f>IFERROR(__xludf.DUMMYFUNCTION("""COMPUTED_VALUE"""),24.0)</f>
        <v>24</v>
      </c>
      <c r="Q198" s="214">
        <f>IFERROR(__xludf.DUMMYFUNCTION("""COMPUTED_VALUE"""),0.0779)</f>
        <v>0.0779</v>
      </c>
      <c r="R198" s="214">
        <f>IFERROR(__xludf.DUMMYFUNCTION("""COMPUTED_VALUE"""),0.2927)</f>
        <v>0.2927</v>
      </c>
      <c r="S198" s="213">
        <f>IFERROR(__xludf.DUMMYFUNCTION("""COMPUTED_VALUE"""),0.0)</f>
        <v>0</v>
      </c>
      <c r="T198" s="213">
        <f>IFERROR(__xludf.DUMMYFUNCTION("""COMPUTED_VALUE"""),0.0)</f>
        <v>0</v>
      </c>
      <c r="U198" s="270">
        <f>IFERROR(__xludf.DUMMYFUNCTION("""COMPUTED_VALUE"""),0.0)</f>
        <v>0</v>
      </c>
      <c r="V198" s="271" t="str">
        <f>IFERROR(__xludf.DUMMYFUNCTION("""COMPUTED_VALUE"""),"online")</f>
        <v>online</v>
      </c>
      <c r="W198" s="272" t="str">
        <f>IFERROR(__xludf.DUMMYFUNCTION("""COMPUTED_VALUE"""),"simple")</f>
        <v>simple</v>
      </c>
      <c r="X198" s="272" t="str">
        <f>IFERROR(__xludf.DUMMYFUNCTION("""COMPUTED_VALUE"""),"Dormant Repeat")</f>
        <v>Dormant Repeat</v>
      </c>
      <c r="Y198" s="272" t="str">
        <f>IFERROR(__xludf.DUMMYFUNCTION("""COMPUTED_VALUE"""),"20-22nd Mar")</f>
        <v>20-22nd Mar</v>
      </c>
      <c r="Z198" s="272" t="str">
        <f>IFERROR(__xludf.DUMMYFUNCTION("""COMPUTED_VALUE"""),"69ba4003e710aee115e5c8fc")</f>
        <v>69ba4003e710aee115e5c8fc</v>
      </c>
      <c r="AA198" s="272">
        <f>IFERROR(__xludf.DUMMYFUNCTION("""COMPUTED_VALUE"""),2.0)</f>
        <v>2</v>
      </c>
      <c r="AB198" s="272">
        <f>IFERROR(__xludf.DUMMYFUNCTION("""COMPUTED_VALUE"""),2.0)</f>
        <v>2</v>
      </c>
      <c r="AC198" s="272"/>
      <c r="AD198" s="272">
        <f>IFERROR(__xludf.DUMMYFUNCTION("""COMPUTED_VALUE"""),5698.0)</f>
        <v>5698</v>
      </c>
      <c r="AE198" s="272">
        <f>IFERROR(__xludf.DUMMYFUNCTION("""COMPUTED_VALUE"""),5698.0)</f>
        <v>5698</v>
      </c>
      <c r="AF198" s="272"/>
      <c r="AG198" s="208"/>
      <c r="AH198" s="208"/>
      <c r="AI198" s="208"/>
      <c r="AJ198" s="208"/>
      <c r="AK198" s="208"/>
    </row>
    <row r="199">
      <c r="A199" s="209">
        <f>IFERROR(__xludf.DUMMYFUNCTION("""COMPUTED_VALUE"""),46101.0)</f>
        <v>46101</v>
      </c>
      <c r="B199" s="210">
        <f>IFERROR(__xludf.DUMMYFUNCTION("""COMPUTED_VALUE"""),0.38888888889050577)</f>
        <v>0.3888888889</v>
      </c>
      <c r="C199" s="211" t="str">
        <f>IFERROR(__xludf.DUMMYFUNCTION("""COMPUTED_VALUE"""),"Whatsapp")</f>
        <v>Whatsapp</v>
      </c>
      <c r="D199" s="211" t="str">
        <f>IFERROR(__xludf.DUMMYFUNCTION("""COMPUTED_VALUE"""),"Fallback Campaign")</f>
        <v>Fallback Campaign</v>
      </c>
      <c r="E199" s="211" t="str">
        <f>IFERROR(__xludf.DUMMYFUNCTION("""COMPUTED_VALUE"""),"VS")</f>
        <v>VS</v>
      </c>
      <c r="F199" s="211" t="str">
        <f>IFERROR(__xludf.DUMMYFUNCTION("""COMPUTED_VALUE"""),"International Fragrance Day")</f>
        <v>International Fragrance Day</v>
      </c>
      <c r="G199" s="212" t="str">
        <f>IFERROR(__xludf.DUMMYFUNCTION("""COMPUTED_VALUE"""),"IFD Online - Prodorm (FB 20th)")</f>
        <v>IFD Online - Prodorm (FB 20th)</v>
      </c>
      <c r="H199" s="212" t="str">
        <f>IFERROR(__xludf.DUMMYFUNCTION("""COMPUTED_VALUE"""),"IFD Online - Prodorm")</f>
        <v>IFD Online - Prodorm</v>
      </c>
      <c r="I199" s="212" t="str">
        <f>IFERROR(__xludf.DUMMYFUNCTION("""COMPUTED_VALUE"""),"WA Undelivered")</f>
        <v>WA Undelivered</v>
      </c>
      <c r="J199" s="213">
        <f>IFERROR(__xludf.DUMMYFUNCTION("""COMPUTED_VALUE"""),9520.0)</f>
        <v>9520</v>
      </c>
      <c r="K199" s="213">
        <f>IFERROR(__xludf.DUMMYFUNCTION("""COMPUTED_VALUE"""),4499.0)</f>
        <v>4499</v>
      </c>
      <c r="L199" s="214">
        <f>IFERROR(__xludf.DUMMYFUNCTION("""COMPUTED_VALUE"""),0.4726)</f>
        <v>0.4726</v>
      </c>
      <c r="M199" s="213">
        <f>IFERROR(__xludf.DUMMYFUNCTION("""COMPUTED_VALUE"""),958.0)</f>
        <v>958</v>
      </c>
      <c r="N199" s="214">
        <f>IFERROR(__xludf.DUMMYFUNCTION("""COMPUTED_VALUE"""),0.2129)</f>
        <v>0.2129</v>
      </c>
      <c r="O199" s="213">
        <f>IFERROR(__xludf.DUMMYFUNCTION("""COMPUTED_VALUE"""),149.0)</f>
        <v>149</v>
      </c>
      <c r="P199" s="213">
        <f>IFERROR(__xludf.DUMMYFUNCTION("""COMPUTED_VALUE"""),139.0)</f>
        <v>139</v>
      </c>
      <c r="Q199" s="214">
        <f>IFERROR(__xludf.DUMMYFUNCTION("""COMPUTED_VALUE"""),0.0309)</f>
        <v>0.0309</v>
      </c>
      <c r="R199" s="214">
        <f>IFERROR(__xludf.DUMMYFUNCTION("""COMPUTED_VALUE"""),0.1451)</f>
        <v>0.1451</v>
      </c>
      <c r="S199" s="213">
        <f>IFERROR(__xludf.DUMMYFUNCTION("""COMPUTED_VALUE"""),2.0)</f>
        <v>2</v>
      </c>
      <c r="T199" s="213">
        <f>IFERROR(__xludf.DUMMYFUNCTION("""COMPUTED_VALUE"""),1.0)</f>
        <v>1</v>
      </c>
      <c r="U199" s="270">
        <f>IFERROR(__xludf.DUMMYFUNCTION("""COMPUTED_VALUE"""),5398.0)</f>
        <v>5398</v>
      </c>
      <c r="V199" s="271" t="str">
        <f>IFERROR(__xludf.DUMMYFUNCTION("""COMPUTED_VALUE"""),"online")</f>
        <v>online</v>
      </c>
      <c r="W199" s="272" t="str">
        <f>IFERROR(__xludf.DUMMYFUNCTION("""COMPUTED_VALUE"""),"simple")</f>
        <v>simple</v>
      </c>
      <c r="X199" s="272" t="str">
        <f>IFERROR(__xludf.DUMMYFUNCTION("""COMPUTED_VALUE"""),"Predominance")</f>
        <v>Predominance</v>
      </c>
      <c r="Y199" s="272" t="str">
        <f>IFERROR(__xludf.DUMMYFUNCTION("""COMPUTED_VALUE"""),"20-22nd Mar")</f>
        <v>20-22nd Mar</v>
      </c>
      <c r="Z199" s="272" t="str">
        <f>IFERROR(__xludf.DUMMYFUNCTION("""COMPUTED_VALUE"""),"69ba408f797eb943fa6c9f45")</f>
        <v>69ba408f797eb943fa6c9f45</v>
      </c>
      <c r="AA199" s="272">
        <f>IFERROR(__xludf.DUMMYFUNCTION("""COMPUTED_VALUE"""),9.0)</f>
        <v>9</v>
      </c>
      <c r="AB199" s="272">
        <f>IFERROR(__xludf.DUMMYFUNCTION("""COMPUTED_VALUE"""),9.0)</f>
        <v>9</v>
      </c>
      <c r="AC199" s="272"/>
      <c r="AD199" s="272">
        <f>IFERROR(__xludf.DUMMYFUNCTION("""COMPUTED_VALUE"""),32389.0)</f>
        <v>32389</v>
      </c>
      <c r="AE199" s="272">
        <f>IFERROR(__xludf.DUMMYFUNCTION("""COMPUTED_VALUE"""),32389.0)</f>
        <v>32389</v>
      </c>
      <c r="AF199" s="272"/>
      <c r="AG199" s="208"/>
      <c r="AH199" s="208"/>
      <c r="AI199" s="208"/>
      <c r="AJ199" s="208"/>
      <c r="AK199" s="208"/>
    </row>
    <row r="200">
      <c r="A200" s="209">
        <f>IFERROR(__xludf.DUMMYFUNCTION("""COMPUTED_VALUE"""),46101.0)</f>
        <v>46101</v>
      </c>
      <c r="B200" s="210">
        <f>IFERROR(__xludf.DUMMYFUNCTION("""COMPUTED_VALUE"""),0.39236111110949423)</f>
        <v>0.3923611111</v>
      </c>
      <c r="C200" s="211" t="str">
        <f>IFERROR(__xludf.DUMMYFUNCTION("""COMPUTED_VALUE"""),"Whatsapp")</f>
        <v>Whatsapp</v>
      </c>
      <c r="D200" s="211" t="str">
        <f>IFERROR(__xludf.DUMMYFUNCTION("""COMPUTED_VALUE"""),"Fallback Campaign")</f>
        <v>Fallback Campaign</v>
      </c>
      <c r="E200" s="211" t="str">
        <f>IFERROR(__xludf.DUMMYFUNCTION("""COMPUTED_VALUE"""),"VS")</f>
        <v>VS</v>
      </c>
      <c r="F200" s="211" t="str">
        <f>IFERROR(__xludf.DUMMYFUNCTION("""COMPUTED_VALUE"""),"International Fragrance Day")</f>
        <v>International Fragrance Day</v>
      </c>
      <c r="G200" s="212" t="str">
        <f>IFERROR(__xludf.DUMMYFUNCTION("""COMPUTED_VALUE"""),"IFD Online - Mist (FB 20th)")</f>
        <v>IFD Online - Mist (FB 20th)</v>
      </c>
      <c r="H200" s="212" t="str">
        <f>IFERROR(__xludf.DUMMYFUNCTION("""COMPUTED_VALUE"""),"IFD Online - Mist")</f>
        <v>IFD Online - Mist</v>
      </c>
      <c r="I200" s="212" t="str">
        <f>IFERROR(__xludf.DUMMYFUNCTION("""COMPUTED_VALUE"""),"WA Undelivered")</f>
        <v>WA Undelivered</v>
      </c>
      <c r="J200" s="213">
        <f>IFERROR(__xludf.DUMMYFUNCTION("""COMPUTED_VALUE"""),3298.0)</f>
        <v>3298</v>
      </c>
      <c r="K200" s="213">
        <f>IFERROR(__xludf.DUMMYFUNCTION("""COMPUTED_VALUE"""),1363.0)</f>
        <v>1363</v>
      </c>
      <c r="L200" s="214">
        <f>IFERROR(__xludf.DUMMYFUNCTION("""COMPUTED_VALUE"""),0.4133)</f>
        <v>0.4133</v>
      </c>
      <c r="M200" s="213">
        <f>IFERROR(__xludf.DUMMYFUNCTION("""COMPUTED_VALUE"""),258.0)</f>
        <v>258</v>
      </c>
      <c r="N200" s="214">
        <f>IFERROR(__xludf.DUMMYFUNCTION("""COMPUTED_VALUE"""),0.1893)</f>
        <v>0.1893</v>
      </c>
      <c r="O200" s="213">
        <f>IFERROR(__xludf.DUMMYFUNCTION("""COMPUTED_VALUE"""),44.0)</f>
        <v>44</v>
      </c>
      <c r="P200" s="213">
        <f>IFERROR(__xludf.DUMMYFUNCTION("""COMPUTED_VALUE"""),42.0)</f>
        <v>42</v>
      </c>
      <c r="Q200" s="214">
        <f>IFERROR(__xludf.DUMMYFUNCTION("""COMPUTED_VALUE"""),0.0308)</f>
        <v>0.0308</v>
      </c>
      <c r="R200" s="214">
        <f>IFERROR(__xludf.DUMMYFUNCTION("""COMPUTED_VALUE"""),0.1628)</f>
        <v>0.1628</v>
      </c>
      <c r="S200" s="213">
        <f>IFERROR(__xludf.DUMMYFUNCTION("""COMPUTED_VALUE"""),1.0)</f>
        <v>1</v>
      </c>
      <c r="T200" s="213">
        <f>IFERROR(__xludf.DUMMYFUNCTION("""COMPUTED_VALUE"""),0.0)</f>
        <v>0</v>
      </c>
      <c r="U200" s="270">
        <f>IFERROR(__xludf.DUMMYFUNCTION("""COMPUTED_VALUE"""),1099.0)</f>
        <v>1099</v>
      </c>
      <c r="V200" s="271" t="str">
        <f>IFERROR(__xludf.DUMMYFUNCTION("""COMPUTED_VALUE"""),"online")</f>
        <v>online</v>
      </c>
      <c r="W200" s="272" t="str">
        <f>IFERROR(__xludf.DUMMYFUNCTION("""COMPUTED_VALUE"""),"simple")</f>
        <v>simple</v>
      </c>
      <c r="X200" s="272" t="str">
        <f>IFERROR(__xludf.DUMMYFUNCTION("""COMPUTED_VALUE"""),"Discount")</f>
        <v>Discount</v>
      </c>
      <c r="Y200" s="272" t="str">
        <f>IFERROR(__xludf.DUMMYFUNCTION("""COMPUTED_VALUE"""),"20-22nd Mar")</f>
        <v>20-22nd Mar</v>
      </c>
      <c r="Z200" s="272" t="str">
        <f>IFERROR(__xludf.DUMMYFUNCTION("""COMPUTED_VALUE"""),"69ba40e0129c185f066f6969")</f>
        <v>69ba40e0129c185f066f6969</v>
      </c>
      <c r="AA200" s="272">
        <f>IFERROR(__xludf.DUMMYFUNCTION("""COMPUTED_VALUE"""),3.0)</f>
        <v>3</v>
      </c>
      <c r="AB200" s="272">
        <f>IFERROR(__xludf.DUMMYFUNCTION("""COMPUTED_VALUE"""),3.0)</f>
        <v>3</v>
      </c>
      <c r="AC200" s="272"/>
      <c r="AD200" s="272">
        <f>IFERROR(__xludf.DUMMYFUNCTION("""COMPUTED_VALUE"""),8697.0)</f>
        <v>8697</v>
      </c>
      <c r="AE200" s="272">
        <f>IFERROR(__xludf.DUMMYFUNCTION("""COMPUTED_VALUE"""),8697.0)</f>
        <v>8697</v>
      </c>
      <c r="AF200" s="272"/>
      <c r="AG200" s="208"/>
      <c r="AH200" s="208"/>
      <c r="AI200" s="208"/>
      <c r="AJ200" s="208"/>
      <c r="AK200" s="208"/>
    </row>
    <row r="201">
      <c r="A201" s="209">
        <f>IFERROR(__xludf.DUMMYFUNCTION("""COMPUTED_VALUE"""),46101.0)</f>
        <v>46101</v>
      </c>
      <c r="B201" s="210">
        <f>IFERROR(__xludf.DUMMYFUNCTION("""COMPUTED_VALUE"""),0.3958333333321207)</f>
        <v>0.3958333333</v>
      </c>
      <c r="C201" s="211" t="str">
        <f>IFERROR(__xludf.DUMMYFUNCTION("""COMPUTED_VALUE"""),"Whatsapp")</f>
        <v>Whatsapp</v>
      </c>
      <c r="D201" s="211" t="str">
        <f>IFERROR(__xludf.DUMMYFUNCTION("""COMPUTED_VALUE"""),"Fallback Campaign")</f>
        <v>Fallback Campaign</v>
      </c>
      <c r="E201" s="211" t="str">
        <f>IFERROR(__xludf.DUMMYFUNCTION("""COMPUTED_VALUE"""),"VS")</f>
        <v>VS</v>
      </c>
      <c r="F201" s="211" t="str">
        <f>IFERROR(__xludf.DUMMYFUNCTION("""COMPUTED_VALUE"""),"International Fragrance Day")</f>
        <v>International Fragrance Day</v>
      </c>
      <c r="G201" s="212" t="str">
        <f>IFERROR(__xludf.DUMMYFUNCTION("""COMPUTED_VALUE"""),"IFD Online - Cross-Cat (FB 20th)")</f>
        <v>IFD Online - Cross-Cat (FB 20th)</v>
      </c>
      <c r="H201" s="212" t="str">
        <f>IFERROR(__xludf.DUMMYFUNCTION("""COMPUTED_VALUE"""),"IFD Online - Cross-Cat")</f>
        <v>IFD Online - Cross-Cat</v>
      </c>
      <c r="I201" s="212" t="str">
        <f>IFERROR(__xludf.DUMMYFUNCTION("""COMPUTED_VALUE"""),"WA Undelivered")</f>
        <v>WA Undelivered</v>
      </c>
      <c r="J201" s="213">
        <f>IFERROR(__xludf.DUMMYFUNCTION("""COMPUTED_VALUE"""),17952.0)</f>
        <v>17952</v>
      </c>
      <c r="K201" s="213">
        <f>IFERROR(__xludf.DUMMYFUNCTION("""COMPUTED_VALUE"""),8424.0)</f>
        <v>8424</v>
      </c>
      <c r="L201" s="214">
        <f>IFERROR(__xludf.DUMMYFUNCTION("""COMPUTED_VALUE"""),0.4693)</f>
        <v>0.4693</v>
      </c>
      <c r="M201" s="213">
        <f>IFERROR(__xludf.DUMMYFUNCTION("""COMPUTED_VALUE"""),1550.0)</f>
        <v>1550</v>
      </c>
      <c r="N201" s="214">
        <f>IFERROR(__xludf.DUMMYFUNCTION("""COMPUTED_VALUE"""),0.184)</f>
        <v>0.184</v>
      </c>
      <c r="O201" s="213">
        <f>IFERROR(__xludf.DUMMYFUNCTION("""COMPUTED_VALUE"""),196.0)</f>
        <v>196</v>
      </c>
      <c r="P201" s="213">
        <f>IFERROR(__xludf.DUMMYFUNCTION("""COMPUTED_VALUE"""),190.0)</f>
        <v>190</v>
      </c>
      <c r="Q201" s="214">
        <f>IFERROR(__xludf.DUMMYFUNCTION("""COMPUTED_VALUE"""),0.0226)</f>
        <v>0.0226</v>
      </c>
      <c r="R201" s="214">
        <f>IFERROR(__xludf.DUMMYFUNCTION("""COMPUTED_VALUE"""),0.1226)</f>
        <v>0.1226</v>
      </c>
      <c r="S201" s="213">
        <f>IFERROR(__xludf.DUMMYFUNCTION("""COMPUTED_VALUE"""),2.0)</f>
        <v>2</v>
      </c>
      <c r="T201" s="213">
        <f>IFERROR(__xludf.DUMMYFUNCTION("""COMPUTED_VALUE"""),6.0)</f>
        <v>6</v>
      </c>
      <c r="U201" s="270">
        <f>IFERROR(__xludf.DUMMYFUNCTION("""COMPUTED_VALUE"""),7716.0)</f>
        <v>7716</v>
      </c>
      <c r="V201" s="271" t="str">
        <f>IFERROR(__xludf.DUMMYFUNCTION("""COMPUTED_VALUE"""),"online")</f>
        <v>online</v>
      </c>
      <c r="W201" s="272" t="str">
        <f>IFERROR(__xludf.DUMMYFUNCTION("""COMPUTED_VALUE"""),"simple")</f>
        <v>simple</v>
      </c>
      <c r="X201" s="272" t="str">
        <f>IFERROR(__xludf.DUMMYFUNCTION("""COMPUTED_VALUE"""),"Cross Category")</f>
        <v>Cross Category</v>
      </c>
      <c r="Y201" s="272" t="str">
        <f>IFERROR(__xludf.DUMMYFUNCTION("""COMPUTED_VALUE"""),"20-22nd Mar")</f>
        <v>20-22nd Mar</v>
      </c>
      <c r="Z201" s="272" t="str">
        <f>IFERROR(__xludf.DUMMYFUNCTION("""COMPUTED_VALUE"""),"69ba412dc875dea3238de6bf")</f>
        <v>69ba412dc875dea3238de6bf</v>
      </c>
      <c r="AA201" s="272">
        <f>IFERROR(__xludf.DUMMYFUNCTION("""COMPUTED_VALUE"""),8.0)</f>
        <v>8</v>
      </c>
      <c r="AB201" s="272">
        <f>IFERROR(__xludf.DUMMYFUNCTION("""COMPUTED_VALUE"""),8.0)</f>
        <v>8</v>
      </c>
      <c r="AC201" s="272"/>
      <c r="AD201" s="272">
        <f>IFERROR(__xludf.DUMMYFUNCTION("""COMPUTED_VALUE"""),34813.0)</f>
        <v>34813</v>
      </c>
      <c r="AE201" s="272">
        <f>IFERROR(__xludf.DUMMYFUNCTION("""COMPUTED_VALUE"""),34813.0)</f>
        <v>34813</v>
      </c>
      <c r="AF201" s="272"/>
      <c r="AG201" s="208"/>
      <c r="AH201" s="208"/>
      <c r="AI201" s="208"/>
      <c r="AJ201" s="208"/>
      <c r="AK201" s="208"/>
    </row>
    <row r="202">
      <c r="A202" s="209">
        <f>IFERROR(__xludf.DUMMYFUNCTION("""COMPUTED_VALUE"""),46101.0)</f>
        <v>46101</v>
      </c>
      <c r="B202" s="210">
        <f>IFERROR(__xludf.DUMMYFUNCTION("""COMPUTED_VALUE"""),0.375)</f>
        <v>0.375</v>
      </c>
      <c r="C202" s="211" t="str">
        <f>IFERROR(__xludf.DUMMYFUNCTION("""COMPUTED_VALUE"""),"Whatsapp")</f>
        <v>Whatsapp</v>
      </c>
      <c r="D202" s="211" t="str">
        <f>IFERROR(__xludf.DUMMYFUNCTION("""COMPUTED_VALUE"""),"Fallback Campaign")</f>
        <v>Fallback Campaign</v>
      </c>
      <c r="E202" s="211" t="str">
        <f>IFERROR(__xludf.DUMMYFUNCTION("""COMPUTED_VALUE"""),"VS")</f>
        <v>VS</v>
      </c>
      <c r="F202" s="211" t="str">
        <f>IFERROR(__xludf.DUMMYFUNCTION("""COMPUTED_VALUE"""),"International Fragrance Day")</f>
        <v>International Fragrance Day</v>
      </c>
      <c r="G202" s="212" t="str">
        <f>IFERROR(__xludf.DUMMYFUNCTION("""COMPUTED_VALUE"""),"IFD Online - ATC (FB 20th)")</f>
        <v>IFD Online - ATC (FB 20th)</v>
      </c>
      <c r="H202" s="212" t="str">
        <f>IFERROR(__xludf.DUMMYFUNCTION("""COMPUTED_VALUE"""),"IFD Online - ATC")</f>
        <v>IFD Online - ATC</v>
      </c>
      <c r="I202" s="212" t="str">
        <f>IFERROR(__xludf.DUMMYFUNCTION("""COMPUTED_VALUE"""),"WA Undelivered")</f>
        <v>WA Undelivered</v>
      </c>
      <c r="J202" s="213">
        <f>IFERROR(__xludf.DUMMYFUNCTION("""COMPUTED_VALUE"""),792.0)</f>
        <v>792</v>
      </c>
      <c r="K202" s="213">
        <f>IFERROR(__xludf.DUMMYFUNCTION("""COMPUTED_VALUE"""),403.0)</f>
        <v>403</v>
      </c>
      <c r="L202" s="214">
        <f>IFERROR(__xludf.DUMMYFUNCTION("""COMPUTED_VALUE"""),0.5088)</f>
        <v>0.5088</v>
      </c>
      <c r="M202" s="213">
        <f>IFERROR(__xludf.DUMMYFUNCTION("""COMPUTED_VALUE"""),96.0)</f>
        <v>96</v>
      </c>
      <c r="N202" s="214">
        <f>IFERROR(__xludf.DUMMYFUNCTION("""COMPUTED_VALUE"""),0.2382)</f>
        <v>0.2382</v>
      </c>
      <c r="O202" s="213">
        <f>IFERROR(__xludf.DUMMYFUNCTION("""COMPUTED_VALUE"""),23.0)</f>
        <v>23</v>
      </c>
      <c r="P202" s="213">
        <f>IFERROR(__xludf.DUMMYFUNCTION("""COMPUTED_VALUE"""),23.0)</f>
        <v>23</v>
      </c>
      <c r="Q202" s="214">
        <f>IFERROR(__xludf.DUMMYFUNCTION("""COMPUTED_VALUE"""),0.0571)</f>
        <v>0.0571</v>
      </c>
      <c r="R202" s="214">
        <f>IFERROR(__xludf.DUMMYFUNCTION("""COMPUTED_VALUE"""),0.2396)</f>
        <v>0.2396</v>
      </c>
      <c r="S202" s="213">
        <f>IFERROR(__xludf.DUMMYFUNCTION("""COMPUTED_VALUE"""),1.0)</f>
        <v>1</v>
      </c>
      <c r="T202" s="213">
        <f>IFERROR(__xludf.DUMMYFUNCTION("""COMPUTED_VALUE"""),16.0)</f>
        <v>16</v>
      </c>
      <c r="U202" s="270">
        <f>IFERROR(__xludf.DUMMYFUNCTION("""COMPUTED_VALUE"""),2529.0)</f>
        <v>2529</v>
      </c>
      <c r="V202" s="271" t="str">
        <f>IFERROR(__xludf.DUMMYFUNCTION("""COMPUTED_VALUE"""),"online")</f>
        <v>online</v>
      </c>
      <c r="W202" s="272" t="str">
        <f>IFERROR(__xludf.DUMMYFUNCTION("""COMPUTED_VALUE"""),"simple")</f>
        <v>simple</v>
      </c>
      <c r="X202" s="272" t="str">
        <f>IFERROR(__xludf.DUMMYFUNCTION("""COMPUTED_VALUE"""),"Add to Cart")</f>
        <v>Add to Cart</v>
      </c>
      <c r="Y202" s="272" t="str">
        <f>IFERROR(__xludf.DUMMYFUNCTION("""COMPUTED_VALUE"""),"20-22nd Mar")</f>
        <v>20-22nd Mar</v>
      </c>
      <c r="Z202" s="272" t="str">
        <f>IFERROR(__xludf.DUMMYFUNCTION("""COMPUTED_VALUE"""),"69ba424409c7239597da8469")</f>
        <v>69ba424409c7239597da8469</v>
      </c>
      <c r="AA202" s="272">
        <f>IFERROR(__xludf.DUMMYFUNCTION("""COMPUTED_VALUE"""),3.0)</f>
        <v>3</v>
      </c>
      <c r="AB202" s="272">
        <f>IFERROR(__xludf.DUMMYFUNCTION("""COMPUTED_VALUE"""),3.0)</f>
        <v>3</v>
      </c>
      <c r="AC202" s="272"/>
      <c r="AD202" s="272">
        <f>IFERROR(__xludf.DUMMYFUNCTION("""COMPUTED_VALUE"""),7126.0)</f>
        <v>7126</v>
      </c>
      <c r="AE202" s="272">
        <f>IFERROR(__xludf.DUMMYFUNCTION("""COMPUTED_VALUE"""),7126.0)</f>
        <v>7126</v>
      </c>
      <c r="AF202" s="272"/>
      <c r="AG202" s="208"/>
      <c r="AH202" s="208"/>
      <c r="AI202" s="208"/>
      <c r="AJ202" s="208"/>
      <c r="AK202" s="208"/>
    </row>
    <row r="203">
      <c r="A203" s="209">
        <f>IFERROR(__xludf.DUMMYFUNCTION("""COMPUTED_VALUE"""),46101.0)</f>
        <v>46101</v>
      </c>
      <c r="B203" s="210">
        <f>IFERROR(__xludf.DUMMYFUNCTION("""COMPUTED_VALUE"""),0.3541666666678793)</f>
        <v>0.3541666667</v>
      </c>
      <c r="C203" s="211" t="str">
        <f>IFERROR(__xludf.DUMMYFUNCTION("""COMPUTED_VALUE"""),"Whatsapp")</f>
        <v>Whatsapp</v>
      </c>
      <c r="D203" s="211" t="str">
        <f>IFERROR(__xludf.DUMMYFUNCTION("""COMPUTED_VALUE"""),"Promotional")</f>
        <v>Promotional</v>
      </c>
      <c r="E203" s="211" t="str">
        <f>IFERROR(__xludf.DUMMYFUNCTION("""COMPUTED_VALUE"""),"VS")</f>
        <v>VS</v>
      </c>
      <c r="F203" s="211" t="str">
        <f>IFERROR(__xludf.DUMMYFUNCTION("""COMPUTED_VALUE"""),"International Fragrance Day")</f>
        <v>International Fragrance Day</v>
      </c>
      <c r="G203" s="212" t="str">
        <f>IFERROR(__xludf.DUMMYFUNCTION("""COMPUTED_VALUE"""),"IFD Store Visit - HYD")</f>
        <v>IFD Store Visit - HYD</v>
      </c>
      <c r="H203" s="212" t="str">
        <f>IFERROR(__xludf.DUMMYFUNCTION("""COMPUTED_VALUE"""),"vs_off_pr_97006_97013_1280_16thmarch")</f>
        <v>vs_off_pr_97006_97013_1280_16thmarch</v>
      </c>
      <c r="I203" s="212" t="str">
        <f>IFERROR(__xludf.DUMMYFUNCTION("""COMPUTED_VALUE"""),"Offline Customers who have purchased at lease 1 time in last 36 months from any store in Hyderabad (97006 - VS INORBIT HYDERABAD MALL, 97013 - VS NEXUS MALL  SUJANA, 1280 - VS LAKESHORE HYDERABAD)")</f>
        <v>Offline Customers who have purchased at lease 1 time in last 36 months from any store in Hyderabad (97006 - VS INORBIT HYDERABAD MALL, 97013 - VS NEXUS MALL  SUJANA, 1280 - VS LAKESHORE HYDERABAD)</v>
      </c>
      <c r="J203" s="213">
        <f>IFERROR(__xludf.DUMMYFUNCTION("""COMPUTED_VALUE"""),15067.0)</f>
        <v>15067</v>
      </c>
      <c r="K203" s="213">
        <f>IFERROR(__xludf.DUMMYFUNCTION("""COMPUTED_VALUE"""),8974.0)</f>
        <v>8974</v>
      </c>
      <c r="L203" s="214">
        <f>IFERROR(__xludf.DUMMYFUNCTION("""COMPUTED_VALUE"""),0.5956)</f>
        <v>0.5956</v>
      </c>
      <c r="M203" s="213">
        <f>IFERROR(__xludf.DUMMYFUNCTION("""COMPUTED_VALUE"""),2569.0)</f>
        <v>2569</v>
      </c>
      <c r="N203" s="214">
        <f>IFERROR(__xludf.DUMMYFUNCTION("""COMPUTED_VALUE"""),0.2862)</f>
        <v>0.2862</v>
      </c>
      <c r="O203" s="213">
        <f>IFERROR(__xludf.DUMMYFUNCTION("""COMPUTED_VALUE"""),0.0)</f>
        <v>0</v>
      </c>
      <c r="P203" s="213">
        <f>IFERROR(__xludf.DUMMYFUNCTION("""COMPUTED_VALUE"""),0.0)</f>
        <v>0</v>
      </c>
      <c r="Q203" s="214">
        <f>IFERROR(__xludf.DUMMYFUNCTION("""COMPUTED_VALUE"""),0.0)</f>
        <v>0</v>
      </c>
      <c r="R203" s="214">
        <f>IFERROR(__xludf.DUMMYFUNCTION("""COMPUTED_VALUE"""),0.0)</f>
        <v>0</v>
      </c>
      <c r="S203" s="213">
        <f>IFERROR(__xludf.DUMMYFUNCTION("""COMPUTED_VALUE"""),1.0)</f>
        <v>1</v>
      </c>
      <c r="T203" s="213">
        <f>IFERROR(__xludf.DUMMYFUNCTION("""COMPUTED_VALUE"""),1.0)</f>
        <v>1</v>
      </c>
      <c r="U203" s="270">
        <f>IFERROR(__xludf.DUMMYFUNCTION("""COMPUTED_VALUE"""),7296.0)</f>
        <v>7296</v>
      </c>
      <c r="V203" s="271" t="str">
        <f>IFERROR(__xludf.DUMMYFUNCTION("""COMPUTED_VALUE"""),"offline")</f>
        <v>offline</v>
      </c>
      <c r="W203" s="272" t="str">
        <f>IFERROR(__xludf.DUMMYFUNCTION("""COMPUTED_VALUE"""),"simple")</f>
        <v>simple</v>
      </c>
      <c r="X203" s="272" t="str">
        <f>IFERROR(__xludf.DUMMYFUNCTION("""COMPUTED_VALUE"""),"Store level segment ")</f>
        <v>Store level segment </v>
      </c>
      <c r="Y203" s="272" t="str">
        <f>IFERROR(__xludf.DUMMYFUNCTION("""COMPUTED_VALUE"""),"20th - 22nd Mar")</f>
        <v>20th - 22nd Mar</v>
      </c>
      <c r="Z203" s="272" t="str">
        <f>IFERROR(__xludf.DUMMYFUNCTION("""COMPUTED_VALUE"""),"69ba527880d3fb1f26fe6e03")</f>
        <v>69ba527880d3fb1f26fe6e03</v>
      </c>
      <c r="AA203" s="272">
        <f>IFERROR(__xludf.DUMMYFUNCTION("""COMPUTED_VALUE"""),22.0)</f>
        <v>22</v>
      </c>
      <c r="AB203" s="272"/>
      <c r="AC203" s="272">
        <f>IFERROR(__xludf.DUMMYFUNCTION("""COMPUTED_VALUE"""),22.0)</f>
        <v>22</v>
      </c>
      <c r="AD203" s="272">
        <f>IFERROR(__xludf.DUMMYFUNCTION("""COMPUTED_VALUE"""),107389.0)</f>
        <v>107389</v>
      </c>
      <c r="AE203" s="272"/>
      <c r="AF203" s="272">
        <f>IFERROR(__xludf.DUMMYFUNCTION("""COMPUTED_VALUE"""),107389.0)</f>
        <v>107389</v>
      </c>
      <c r="AG203" s="208"/>
      <c r="AH203" s="208"/>
      <c r="AI203" s="208"/>
      <c r="AJ203" s="208"/>
      <c r="AK203" s="208"/>
    </row>
    <row r="204">
      <c r="A204" s="209">
        <f>IFERROR(__xludf.DUMMYFUNCTION("""COMPUTED_VALUE"""),46101.0)</f>
        <v>46101</v>
      </c>
      <c r="B204" s="210">
        <f>IFERROR(__xludf.DUMMYFUNCTION("""COMPUTED_VALUE"""),0.35763888889050577)</f>
        <v>0.3576388889</v>
      </c>
      <c r="C204" s="211" t="str">
        <f>IFERROR(__xludf.DUMMYFUNCTION("""COMPUTED_VALUE"""),"Whatsapp")</f>
        <v>Whatsapp</v>
      </c>
      <c r="D204" s="211" t="str">
        <f>IFERROR(__xludf.DUMMYFUNCTION("""COMPUTED_VALUE"""),"Promotional")</f>
        <v>Promotional</v>
      </c>
      <c r="E204" s="211" t="str">
        <f>IFERROR(__xludf.DUMMYFUNCTION("""COMPUTED_VALUE"""),"VS")</f>
        <v>VS</v>
      </c>
      <c r="F204" s="211" t="str">
        <f>IFERROR(__xludf.DUMMYFUNCTION("""COMPUTED_VALUE"""),"International Fragrance Day")</f>
        <v>International Fragrance Day</v>
      </c>
      <c r="G204" s="212" t="str">
        <f>IFERROR(__xludf.DUMMYFUNCTION("""COMPUTED_VALUE"""),"IFD Store Visit - Del")</f>
        <v>IFD Store Visit - Del</v>
      </c>
      <c r="H204" s="212" t="str">
        <f>IFERROR(__xludf.DUMMYFUNCTION("""COMPUTED_VALUE"""),"vs_off_pr_97002_1251_16thmarch")</f>
        <v>vs_off_pr_97002_1251_16thmarch</v>
      </c>
      <c r="I204" s="212" t="str">
        <f>IFERROR(__xludf.DUMMYFUNCTION("""COMPUTED_VALUE"""),"Offline Customers who have purchased at lease 1 time in last 36 months from any store in Delhi (97002 - VS AMBIENCE MALL, 1251 - VS ELEGANTE DELHI)")</f>
        <v>Offline Customers who have purchased at lease 1 time in last 36 months from any store in Delhi (97002 - VS AMBIENCE MALL, 1251 - VS ELEGANTE DELHI)</v>
      </c>
      <c r="J204" s="213">
        <f>IFERROR(__xludf.DUMMYFUNCTION("""COMPUTED_VALUE"""),32644.0)</f>
        <v>32644</v>
      </c>
      <c r="K204" s="213">
        <f>IFERROR(__xludf.DUMMYFUNCTION("""COMPUTED_VALUE"""),17061.0)</f>
        <v>17061</v>
      </c>
      <c r="L204" s="214">
        <f>IFERROR(__xludf.DUMMYFUNCTION("""COMPUTED_VALUE"""),0.5226)</f>
        <v>0.5226</v>
      </c>
      <c r="M204" s="213">
        <f>IFERROR(__xludf.DUMMYFUNCTION("""COMPUTED_VALUE"""),3879.0)</f>
        <v>3879</v>
      </c>
      <c r="N204" s="214">
        <f>IFERROR(__xludf.DUMMYFUNCTION("""COMPUTED_VALUE"""),0.2273)</f>
        <v>0.2273</v>
      </c>
      <c r="O204" s="213">
        <f>IFERROR(__xludf.DUMMYFUNCTION("""COMPUTED_VALUE"""),0.0)</f>
        <v>0</v>
      </c>
      <c r="P204" s="213">
        <f>IFERROR(__xludf.DUMMYFUNCTION("""COMPUTED_VALUE"""),0.0)</f>
        <v>0</v>
      </c>
      <c r="Q204" s="214">
        <f>IFERROR(__xludf.DUMMYFUNCTION("""COMPUTED_VALUE"""),0.0)</f>
        <v>0</v>
      </c>
      <c r="R204" s="214">
        <f>IFERROR(__xludf.DUMMYFUNCTION("""COMPUTED_VALUE"""),0.0)</f>
        <v>0</v>
      </c>
      <c r="S204" s="213">
        <f>IFERROR(__xludf.DUMMYFUNCTION("""COMPUTED_VALUE"""),2.0)</f>
        <v>2</v>
      </c>
      <c r="T204" s="213">
        <f>IFERROR(__xludf.DUMMYFUNCTION("""COMPUTED_VALUE"""),5.0)</f>
        <v>5</v>
      </c>
      <c r="U204" s="270">
        <f>IFERROR(__xludf.DUMMYFUNCTION("""COMPUTED_VALUE"""),6698.0)</f>
        <v>6698</v>
      </c>
      <c r="V204" s="271" t="str">
        <f>IFERROR(__xludf.DUMMYFUNCTION("""COMPUTED_VALUE"""),"offline")</f>
        <v>offline</v>
      </c>
      <c r="W204" s="272" t="str">
        <f>IFERROR(__xludf.DUMMYFUNCTION("""COMPUTED_VALUE"""),"simple")</f>
        <v>simple</v>
      </c>
      <c r="X204" s="272" t="str">
        <f>IFERROR(__xludf.DUMMYFUNCTION("""COMPUTED_VALUE"""),"Store level segment ")</f>
        <v>Store level segment </v>
      </c>
      <c r="Y204" s="272" t="str">
        <f>IFERROR(__xludf.DUMMYFUNCTION("""COMPUTED_VALUE"""),"20th - 22nd Mar")</f>
        <v>20th - 22nd Mar</v>
      </c>
      <c r="Z204" s="272" t="str">
        <f>IFERROR(__xludf.DUMMYFUNCTION("""COMPUTED_VALUE"""),"69ba52a6257f27551b59da6d")</f>
        <v>69ba52a6257f27551b59da6d</v>
      </c>
      <c r="AA204" s="272">
        <f>IFERROR(__xludf.DUMMYFUNCTION("""COMPUTED_VALUE"""),70.0)</f>
        <v>70</v>
      </c>
      <c r="AB204" s="272"/>
      <c r="AC204" s="272">
        <f>IFERROR(__xludf.DUMMYFUNCTION("""COMPUTED_VALUE"""),70.0)</f>
        <v>70</v>
      </c>
      <c r="AD204" s="272">
        <f>IFERROR(__xludf.DUMMYFUNCTION("""COMPUTED_VALUE"""),753753.0)</f>
        <v>753753</v>
      </c>
      <c r="AE204" s="272"/>
      <c r="AF204" s="272">
        <f>IFERROR(__xludf.DUMMYFUNCTION("""COMPUTED_VALUE"""),753753.0)</f>
        <v>753753</v>
      </c>
      <c r="AG204" s="208"/>
      <c r="AH204" s="208"/>
      <c r="AI204" s="208"/>
      <c r="AJ204" s="208"/>
      <c r="AK204" s="208"/>
    </row>
    <row r="205">
      <c r="A205" s="209">
        <f>IFERROR(__xludf.DUMMYFUNCTION("""COMPUTED_VALUE"""),46101.0)</f>
        <v>46101</v>
      </c>
      <c r="B205" s="210">
        <f>IFERROR(__xludf.DUMMYFUNCTION("""COMPUTED_VALUE"""),0.36111111110949423)</f>
        <v>0.3611111111</v>
      </c>
      <c r="C205" s="211" t="str">
        <f>IFERROR(__xludf.DUMMYFUNCTION("""COMPUTED_VALUE"""),"Whatsapp")</f>
        <v>Whatsapp</v>
      </c>
      <c r="D205" s="211" t="str">
        <f>IFERROR(__xludf.DUMMYFUNCTION("""COMPUTED_VALUE"""),"Promotional")</f>
        <v>Promotional</v>
      </c>
      <c r="E205" s="211" t="str">
        <f>IFERROR(__xludf.DUMMYFUNCTION("""COMPUTED_VALUE"""),"VS")</f>
        <v>VS</v>
      </c>
      <c r="F205" s="211" t="str">
        <f>IFERROR(__xludf.DUMMYFUNCTION("""COMPUTED_VALUE"""),"International Fragrance Day")</f>
        <v>International Fragrance Day</v>
      </c>
      <c r="G205" s="212" t="str">
        <f>IFERROR(__xludf.DUMMYFUNCTION("""COMPUTED_VALUE"""),"IFD Store Visit - Pune")</f>
        <v>IFD Store Visit - Pune</v>
      </c>
      <c r="H205" s="212" t="str">
        <f>IFERROR(__xludf.DUMMYFUNCTION("""COMPUTED_VALUE"""),"vs_off_pr_97005_97007_16thmarch")</f>
        <v>vs_off_pr_97005_97007_16thmarch</v>
      </c>
      <c r="I205" s="212" t="str">
        <f>IFERROR(__xludf.DUMMYFUNCTION("""COMPUTED_VALUE"""),"Offline Customers who have purchased at lease 1 time in last 36 months from any store in Pune (97005 - VS MALL OF MILLENNIUM, 97007 - VS KOPA MALL PUNE)")</f>
        <v>Offline Customers who have purchased at lease 1 time in last 36 months from any store in Pune (97005 - VS MALL OF MILLENNIUM, 97007 - VS KOPA MALL PUNE)</v>
      </c>
      <c r="J205" s="213">
        <f>IFERROR(__xludf.DUMMYFUNCTION("""COMPUTED_VALUE"""),15790.0)</f>
        <v>15790</v>
      </c>
      <c r="K205" s="213">
        <f>IFERROR(__xludf.DUMMYFUNCTION("""COMPUTED_VALUE"""),8429.0)</f>
        <v>8429</v>
      </c>
      <c r="L205" s="214">
        <f>IFERROR(__xludf.DUMMYFUNCTION("""COMPUTED_VALUE"""),0.5338)</f>
        <v>0.5338</v>
      </c>
      <c r="M205" s="213">
        <f>IFERROR(__xludf.DUMMYFUNCTION("""COMPUTED_VALUE"""),2401.0)</f>
        <v>2401</v>
      </c>
      <c r="N205" s="214">
        <f>IFERROR(__xludf.DUMMYFUNCTION("""COMPUTED_VALUE"""),0.2849)</f>
        <v>0.2849</v>
      </c>
      <c r="O205" s="213">
        <f>IFERROR(__xludf.DUMMYFUNCTION("""COMPUTED_VALUE"""),0.0)</f>
        <v>0</v>
      </c>
      <c r="P205" s="213">
        <f>IFERROR(__xludf.DUMMYFUNCTION("""COMPUTED_VALUE"""),0.0)</f>
        <v>0</v>
      </c>
      <c r="Q205" s="214">
        <f>IFERROR(__xludf.DUMMYFUNCTION("""COMPUTED_VALUE"""),0.0)</f>
        <v>0</v>
      </c>
      <c r="R205" s="214">
        <f>IFERROR(__xludf.DUMMYFUNCTION("""COMPUTED_VALUE"""),0.0)</f>
        <v>0</v>
      </c>
      <c r="S205" s="213">
        <f>IFERROR(__xludf.DUMMYFUNCTION("""COMPUTED_VALUE"""),1.0)</f>
        <v>1</v>
      </c>
      <c r="T205" s="213">
        <f>IFERROR(__xludf.DUMMYFUNCTION("""COMPUTED_VALUE"""),1.0)</f>
        <v>1</v>
      </c>
      <c r="U205" s="270">
        <f>IFERROR(__xludf.DUMMYFUNCTION("""COMPUTED_VALUE"""),1099.0)</f>
        <v>1099</v>
      </c>
      <c r="V205" s="271" t="str">
        <f>IFERROR(__xludf.DUMMYFUNCTION("""COMPUTED_VALUE"""),"offline")</f>
        <v>offline</v>
      </c>
      <c r="W205" s="272" t="str">
        <f>IFERROR(__xludf.DUMMYFUNCTION("""COMPUTED_VALUE"""),"simple")</f>
        <v>simple</v>
      </c>
      <c r="X205" s="272" t="str">
        <f>IFERROR(__xludf.DUMMYFUNCTION("""COMPUTED_VALUE"""),"Store level segment ")</f>
        <v>Store level segment </v>
      </c>
      <c r="Y205" s="272" t="str">
        <f>IFERROR(__xludf.DUMMYFUNCTION("""COMPUTED_VALUE"""),"20th - 22nd Mar")</f>
        <v>20th - 22nd Mar</v>
      </c>
      <c r="Z205" s="272" t="str">
        <f>IFERROR(__xludf.DUMMYFUNCTION("""COMPUTED_VALUE"""),"69ba52e534cccb7fa3af2ce6")</f>
        <v>69ba52e534cccb7fa3af2ce6</v>
      </c>
      <c r="AA205" s="272">
        <f>IFERROR(__xludf.DUMMYFUNCTION("""COMPUTED_VALUE"""),29.0)</f>
        <v>29</v>
      </c>
      <c r="AB205" s="272"/>
      <c r="AC205" s="272">
        <f>IFERROR(__xludf.DUMMYFUNCTION("""COMPUTED_VALUE"""),29.0)</f>
        <v>29</v>
      </c>
      <c r="AD205" s="272">
        <f>IFERROR(__xludf.DUMMYFUNCTION("""COMPUTED_VALUE"""),142258.0)</f>
        <v>142258</v>
      </c>
      <c r="AE205" s="272"/>
      <c r="AF205" s="272">
        <f>IFERROR(__xludf.DUMMYFUNCTION("""COMPUTED_VALUE"""),142258.0)</f>
        <v>142258</v>
      </c>
      <c r="AG205" s="208"/>
      <c r="AH205" s="208"/>
      <c r="AI205" s="208"/>
      <c r="AJ205" s="208"/>
      <c r="AK205" s="208"/>
    </row>
    <row r="206">
      <c r="A206" s="209">
        <f>IFERROR(__xludf.DUMMYFUNCTION("""COMPUTED_VALUE"""),46101.0)</f>
        <v>46101</v>
      </c>
      <c r="B206" s="210">
        <f>IFERROR(__xludf.DUMMYFUNCTION("""COMPUTED_VALUE"""),0.3645833333321207)</f>
        <v>0.3645833333</v>
      </c>
      <c r="C206" s="211" t="str">
        <f>IFERROR(__xludf.DUMMYFUNCTION("""COMPUTED_VALUE"""),"Whatsapp")</f>
        <v>Whatsapp</v>
      </c>
      <c r="D206" s="211" t="str">
        <f>IFERROR(__xludf.DUMMYFUNCTION("""COMPUTED_VALUE"""),"Promotional")</f>
        <v>Promotional</v>
      </c>
      <c r="E206" s="211" t="str">
        <f>IFERROR(__xludf.DUMMYFUNCTION("""COMPUTED_VALUE"""),"VS")</f>
        <v>VS</v>
      </c>
      <c r="F206" s="211" t="str">
        <f>IFERROR(__xludf.DUMMYFUNCTION("""COMPUTED_VALUE"""),"International Fragrance Day")</f>
        <v>International Fragrance Day</v>
      </c>
      <c r="G206" s="212" t="str">
        <f>IFERROR(__xludf.DUMMYFUNCTION("""COMPUTED_VALUE"""),"IFD Store Visit - GGN")</f>
        <v>IFD Store Visit - GGN</v>
      </c>
      <c r="H206" s="212" t="str">
        <f>IFERROR(__xludf.DUMMYFUNCTION("""COMPUTED_VALUE"""),"vs_off_pr_97003_16thmarch")</f>
        <v>vs_off_pr_97003_16thmarch</v>
      </c>
      <c r="I206" s="212" t="str">
        <f>IFERROR(__xludf.DUMMYFUNCTION("""COMPUTED_VALUE"""),"Offline Customers who have purchased at lease 1 time in last 36 months from any store in Gurgaon (97003 - VS AMBIENCE GURGAON MALL)")</f>
        <v>Offline Customers who have purchased at lease 1 time in last 36 months from any store in Gurgaon (97003 - VS AMBIENCE GURGAON MALL)</v>
      </c>
      <c r="J206" s="213">
        <f>IFERROR(__xludf.DUMMYFUNCTION("""COMPUTED_VALUE"""),30325.0)</f>
        <v>30325</v>
      </c>
      <c r="K206" s="213">
        <f>IFERROR(__xludf.DUMMYFUNCTION("""COMPUTED_VALUE"""),15292.0)</f>
        <v>15292</v>
      </c>
      <c r="L206" s="214">
        <f>IFERROR(__xludf.DUMMYFUNCTION("""COMPUTED_VALUE"""),0.5043)</f>
        <v>0.5043</v>
      </c>
      <c r="M206" s="213">
        <f>IFERROR(__xludf.DUMMYFUNCTION("""COMPUTED_VALUE"""),3602.0)</f>
        <v>3602</v>
      </c>
      <c r="N206" s="214">
        <f>IFERROR(__xludf.DUMMYFUNCTION("""COMPUTED_VALUE"""),0.2356)</f>
        <v>0.2356</v>
      </c>
      <c r="O206" s="213">
        <f>IFERROR(__xludf.DUMMYFUNCTION("""COMPUTED_VALUE"""),0.0)</f>
        <v>0</v>
      </c>
      <c r="P206" s="213">
        <f>IFERROR(__xludf.DUMMYFUNCTION("""COMPUTED_VALUE"""),0.0)</f>
        <v>0</v>
      </c>
      <c r="Q206" s="214">
        <f>IFERROR(__xludf.DUMMYFUNCTION("""COMPUTED_VALUE"""),0.0)</f>
        <v>0</v>
      </c>
      <c r="R206" s="214">
        <f>IFERROR(__xludf.DUMMYFUNCTION("""COMPUTED_VALUE"""),0.0)</f>
        <v>0</v>
      </c>
      <c r="S206" s="213">
        <f>IFERROR(__xludf.DUMMYFUNCTION("""COMPUTED_VALUE"""),2.0)</f>
        <v>2</v>
      </c>
      <c r="T206" s="213">
        <f>IFERROR(__xludf.DUMMYFUNCTION("""COMPUTED_VALUE"""),4.0)</f>
        <v>4</v>
      </c>
      <c r="U206" s="270">
        <f>IFERROR(__xludf.DUMMYFUNCTION("""COMPUTED_VALUE"""),4206.0)</f>
        <v>4206</v>
      </c>
      <c r="V206" s="271" t="str">
        <f>IFERROR(__xludf.DUMMYFUNCTION("""COMPUTED_VALUE"""),"offline")</f>
        <v>offline</v>
      </c>
      <c r="W206" s="272" t="str">
        <f>IFERROR(__xludf.DUMMYFUNCTION("""COMPUTED_VALUE"""),"simple")</f>
        <v>simple</v>
      </c>
      <c r="X206" s="272" t="str">
        <f>IFERROR(__xludf.DUMMYFUNCTION("""COMPUTED_VALUE"""),"Store level segment ")</f>
        <v>Store level segment </v>
      </c>
      <c r="Y206" s="272" t="str">
        <f>IFERROR(__xludf.DUMMYFUNCTION("""COMPUTED_VALUE"""),"20th - 22nd Mar")</f>
        <v>20th - 22nd Mar</v>
      </c>
      <c r="Z206" s="272" t="str">
        <f>IFERROR(__xludf.DUMMYFUNCTION("""COMPUTED_VALUE"""),"69ba5341637ab80a7f0731c5")</f>
        <v>69ba5341637ab80a7f0731c5</v>
      </c>
      <c r="AA206" s="272">
        <f>IFERROR(__xludf.DUMMYFUNCTION("""COMPUTED_VALUE"""),55.0)</f>
        <v>55</v>
      </c>
      <c r="AB206" s="272"/>
      <c r="AC206" s="272">
        <f>IFERROR(__xludf.DUMMYFUNCTION("""COMPUTED_VALUE"""),55.0)</f>
        <v>55</v>
      </c>
      <c r="AD206" s="272">
        <f>IFERROR(__xludf.DUMMYFUNCTION("""COMPUTED_VALUE"""),443085.0)</f>
        <v>443085</v>
      </c>
      <c r="AE206" s="272"/>
      <c r="AF206" s="272">
        <f>IFERROR(__xludf.DUMMYFUNCTION("""COMPUTED_VALUE"""),443085.0)</f>
        <v>443085</v>
      </c>
      <c r="AG206" s="208"/>
      <c r="AH206" s="208"/>
      <c r="AI206" s="208"/>
      <c r="AJ206" s="208"/>
      <c r="AK206" s="208"/>
    </row>
    <row r="207">
      <c r="A207" s="209">
        <f>IFERROR(__xludf.DUMMYFUNCTION("""COMPUTED_VALUE"""),46101.0)</f>
        <v>46101</v>
      </c>
      <c r="B207" s="210">
        <f>IFERROR(__xludf.DUMMYFUNCTION("""COMPUTED_VALUE"""),0.3680555555547471)</f>
        <v>0.3680555556</v>
      </c>
      <c r="C207" s="211" t="str">
        <f>IFERROR(__xludf.DUMMYFUNCTION("""COMPUTED_VALUE"""),"Whatsapp")</f>
        <v>Whatsapp</v>
      </c>
      <c r="D207" s="211" t="str">
        <f>IFERROR(__xludf.DUMMYFUNCTION("""COMPUTED_VALUE"""),"Promotional")</f>
        <v>Promotional</v>
      </c>
      <c r="E207" s="211" t="str">
        <f>IFERROR(__xludf.DUMMYFUNCTION("""COMPUTED_VALUE"""),"VS")</f>
        <v>VS</v>
      </c>
      <c r="F207" s="211" t="str">
        <f>IFERROR(__xludf.DUMMYFUNCTION("""COMPUTED_VALUE"""),"International Fragrance Day")</f>
        <v>International Fragrance Day</v>
      </c>
      <c r="G207" s="212" t="str">
        <f>IFERROR(__xludf.DUMMYFUNCTION("""COMPUTED_VALUE"""),"IFD Store Visit - Raipur")</f>
        <v>IFD Store Visit - Raipur</v>
      </c>
      <c r="H207" s="212" t="str">
        <f>IFERROR(__xludf.DUMMYFUNCTION("""COMPUTED_VALUE"""),"vs_off_pr_1271_16thmarch")</f>
        <v>vs_off_pr_1271_16thmarch</v>
      </c>
      <c r="I207" s="212" t="str">
        <f>IFERROR(__xludf.DUMMYFUNCTION("""COMPUTED_VALUE"""),"Offline Customers who have purchased at lease 1 time in last 36 months from any store in Raipur (1271 - VS BA ZORA RAIPUR)")</f>
        <v>Offline Customers who have purchased at lease 1 time in last 36 months from any store in Raipur (1271 - VS BA ZORA RAIPUR)</v>
      </c>
      <c r="J207" s="213">
        <f>IFERROR(__xludf.DUMMYFUNCTION("""COMPUTED_VALUE"""),1444.0)</f>
        <v>1444</v>
      </c>
      <c r="K207" s="213">
        <f>IFERROR(__xludf.DUMMYFUNCTION("""COMPUTED_VALUE"""),795.0)</f>
        <v>795</v>
      </c>
      <c r="L207" s="214">
        <f>IFERROR(__xludf.DUMMYFUNCTION("""COMPUTED_VALUE"""),0.5506)</f>
        <v>0.5506</v>
      </c>
      <c r="M207" s="213">
        <f>IFERROR(__xludf.DUMMYFUNCTION("""COMPUTED_VALUE"""),241.0)</f>
        <v>241</v>
      </c>
      <c r="N207" s="214">
        <f>IFERROR(__xludf.DUMMYFUNCTION("""COMPUTED_VALUE"""),0.3031)</f>
        <v>0.3031</v>
      </c>
      <c r="O207" s="213">
        <f>IFERROR(__xludf.DUMMYFUNCTION("""COMPUTED_VALUE"""),0.0)</f>
        <v>0</v>
      </c>
      <c r="P207" s="213">
        <f>IFERROR(__xludf.DUMMYFUNCTION("""COMPUTED_VALUE"""),0.0)</f>
        <v>0</v>
      </c>
      <c r="Q207" s="214">
        <f>IFERROR(__xludf.DUMMYFUNCTION("""COMPUTED_VALUE"""),0.0)</f>
        <v>0</v>
      </c>
      <c r="R207" s="214">
        <f>IFERROR(__xludf.DUMMYFUNCTION("""COMPUTED_VALUE"""),0.0)</f>
        <v>0</v>
      </c>
      <c r="S207" s="213">
        <f>IFERROR(__xludf.DUMMYFUNCTION("""COMPUTED_VALUE"""),0.0)</f>
        <v>0</v>
      </c>
      <c r="T207" s="213">
        <f>IFERROR(__xludf.DUMMYFUNCTION("""COMPUTED_VALUE"""),1.0)</f>
        <v>1</v>
      </c>
      <c r="U207" s="270">
        <f>IFERROR(__xludf.DUMMYFUNCTION("""COMPUTED_VALUE"""),0.0)</f>
        <v>0</v>
      </c>
      <c r="V207" s="271" t="str">
        <f>IFERROR(__xludf.DUMMYFUNCTION("""COMPUTED_VALUE"""),"offline")</f>
        <v>offline</v>
      </c>
      <c r="W207" s="272" t="str">
        <f>IFERROR(__xludf.DUMMYFUNCTION("""COMPUTED_VALUE"""),"simple")</f>
        <v>simple</v>
      </c>
      <c r="X207" s="272" t="str">
        <f>IFERROR(__xludf.DUMMYFUNCTION("""COMPUTED_VALUE"""),"Store level segment ")</f>
        <v>Store level segment </v>
      </c>
      <c r="Y207" s="272" t="str">
        <f>IFERROR(__xludf.DUMMYFUNCTION("""COMPUTED_VALUE"""),"20th - 22nd Mar")</f>
        <v>20th - 22nd Mar</v>
      </c>
      <c r="Z207" s="272" t="str">
        <f>IFERROR(__xludf.DUMMYFUNCTION("""COMPUTED_VALUE"""),"69ba53770fa281e23ebca3c8")</f>
        <v>69ba53770fa281e23ebca3c8</v>
      </c>
      <c r="AA207" s="272">
        <f>IFERROR(__xludf.DUMMYFUNCTION("""COMPUTED_VALUE"""),4.0)</f>
        <v>4</v>
      </c>
      <c r="AB207" s="272"/>
      <c r="AC207" s="272">
        <f>IFERROR(__xludf.DUMMYFUNCTION("""COMPUTED_VALUE"""),4.0)</f>
        <v>4</v>
      </c>
      <c r="AD207" s="272">
        <f>IFERROR(__xludf.DUMMYFUNCTION("""COMPUTED_VALUE"""),19872.0)</f>
        <v>19872</v>
      </c>
      <c r="AE207" s="272"/>
      <c r="AF207" s="272">
        <f>IFERROR(__xludf.DUMMYFUNCTION("""COMPUTED_VALUE"""),19872.0)</f>
        <v>19872</v>
      </c>
      <c r="AG207" s="208"/>
      <c r="AH207" s="208"/>
      <c r="AI207" s="208"/>
      <c r="AJ207" s="208"/>
      <c r="AK207" s="208"/>
    </row>
    <row r="208">
      <c r="A208" s="209">
        <f>IFERROR(__xludf.DUMMYFUNCTION("""COMPUTED_VALUE"""),46101.0)</f>
        <v>46101</v>
      </c>
      <c r="B208" s="210">
        <f>IFERROR(__xludf.DUMMYFUNCTION("""COMPUTED_VALUE"""),0.37152777777737356)</f>
        <v>0.3715277778</v>
      </c>
      <c r="C208" s="211" t="str">
        <f>IFERROR(__xludf.DUMMYFUNCTION("""COMPUTED_VALUE"""),"Whatsapp")</f>
        <v>Whatsapp</v>
      </c>
      <c r="D208" s="211" t="str">
        <f>IFERROR(__xludf.DUMMYFUNCTION("""COMPUTED_VALUE"""),"Promotional")</f>
        <v>Promotional</v>
      </c>
      <c r="E208" s="211" t="str">
        <f>IFERROR(__xludf.DUMMYFUNCTION("""COMPUTED_VALUE"""),"VS")</f>
        <v>VS</v>
      </c>
      <c r="F208" s="211" t="str">
        <f>IFERROR(__xludf.DUMMYFUNCTION("""COMPUTED_VALUE"""),"International Fragrance Day")</f>
        <v>International Fragrance Day</v>
      </c>
      <c r="G208" s="212" t="str">
        <f>IFERROR(__xludf.DUMMYFUNCTION("""COMPUTED_VALUE"""),"IFD Store Visit - Lucknow")</f>
        <v>IFD Store Visit - Lucknow</v>
      </c>
      <c r="H208" s="212" t="str">
        <f>IFERROR(__xludf.DUMMYFUNCTION("""COMPUTED_VALUE"""),"vs_off_pr_1225_16thmarch")</f>
        <v>vs_off_pr_1225_16thmarch</v>
      </c>
      <c r="I208" s="212" t="str">
        <f>IFERROR(__xludf.DUMMYFUNCTION("""COMPUTED_VALUE"""),"Offline Customers who have purchased at lease 1 time in last 36 months from any store in Lucknow (1225 - VS BA PALASSIO LUCKNOW)")</f>
        <v>Offline Customers who have purchased at lease 1 time in last 36 months from any store in Lucknow (1225 - VS BA PALASSIO LUCKNOW)</v>
      </c>
      <c r="J208" s="213">
        <f>IFERROR(__xludf.DUMMYFUNCTION("""COMPUTED_VALUE"""),1914.0)</f>
        <v>1914</v>
      </c>
      <c r="K208" s="213">
        <f>IFERROR(__xludf.DUMMYFUNCTION("""COMPUTED_VALUE"""),987.0)</f>
        <v>987</v>
      </c>
      <c r="L208" s="214">
        <f>IFERROR(__xludf.DUMMYFUNCTION("""COMPUTED_VALUE"""),0.5157)</f>
        <v>0.5157</v>
      </c>
      <c r="M208" s="213">
        <f>IFERROR(__xludf.DUMMYFUNCTION("""COMPUTED_VALUE"""),281.0)</f>
        <v>281</v>
      </c>
      <c r="N208" s="214">
        <f>IFERROR(__xludf.DUMMYFUNCTION("""COMPUTED_VALUE"""),0.2847)</f>
        <v>0.2847</v>
      </c>
      <c r="O208" s="213">
        <f>IFERROR(__xludf.DUMMYFUNCTION("""COMPUTED_VALUE"""),0.0)</f>
        <v>0</v>
      </c>
      <c r="P208" s="213">
        <f>IFERROR(__xludf.DUMMYFUNCTION("""COMPUTED_VALUE"""),0.0)</f>
        <v>0</v>
      </c>
      <c r="Q208" s="214">
        <f>IFERROR(__xludf.DUMMYFUNCTION("""COMPUTED_VALUE"""),0.0)</f>
        <v>0</v>
      </c>
      <c r="R208" s="214">
        <f>IFERROR(__xludf.DUMMYFUNCTION("""COMPUTED_VALUE"""),0.0)</f>
        <v>0</v>
      </c>
      <c r="S208" s="213">
        <f>IFERROR(__xludf.DUMMYFUNCTION("""COMPUTED_VALUE"""),0.0)</f>
        <v>0</v>
      </c>
      <c r="T208" s="213">
        <f>IFERROR(__xludf.DUMMYFUNCTION("""COMPUTED_VALUE"""),0.0)</f>
        <v>0</v>
      </c>
      <c r="U208" s="270">
        <f>IFERROR(__xludf.DUMMYFUNCTION("""COMPUTED_VALUE"""),0.0)</f>
        <v>0</v>
      </c>
      <c r="V208" s="271" t="str">
        <f>IFERROR(__xludf.DUMMYFUNCTION("""COMPUTED_VALUE"""),"offline")</f>
        <v>offline</v>
      </c>
      <c r="W208" s="272" t="str">
        <f>IFERROR(__xludf.DUMMYFUNCTION("""COMPUTED_VALUE"""),"simple")</f>
        <v>simple</v>
      </c>
      <c r="X208" s="272" t="str">
        <f>IFERROR(__xludf.DUMMYFUNCTION("""COMPUTED_VALUE"""),"Store level segment ")</f>
        <v>Store level segment </v>
      </c>
      <c r="Y208" s="272" t="str">
        <f>IFERROR(__xludf.DUMMYFUNCTION("""COMPUTED_VALUE"""),"20th - 22nd Mar")</f>
        <v>20th - 22nd Mar</v>
      </c>
      <c r="Z208" s="272" t="str">
        <f>IFERROR(__xludf.DUMMYFUNCTION("""COMPUTED_VALUE"""),"69ba53a4f8e521485dfcb566")</f>
        <v>69ba53a4f8e521485dfcb566</v>
      </c>
      <c r="AA208" s="272">
        <f>IFERROR(__xludf.DUMMYFUNCTION("""COMPUTED_VALUE"""),4.0)</f>
        <v>4</v>
      </c>
      <c r="AB208" s="272"/>
      <c r="AC208" s="272">
        <f>IFERROR(__xludf.DUMMYFUNCTION("""COMPUTED_VALUE"""),4.0)</f>
        <v>4</v>
      </c>
      <c r="AD208" s="272">
        <f>IFERROR(__xludf.DUMMYFUNCTION("""COMPUTED_VALUE"""),19693.0)</f>
        <v>19693</v>
      </c>
      <c r="AE208" s="272"/>
      <c r="AF208" s="272">
        <f>IFERROR(__xludf.DUMMYFUNCTION("""COMPUTED_VALUE"""),19693.0)</f>
        <v>19693</v>
      </c>
      <c r="AG208" s="208"/>
      <c r="AH208" s="208"/>
      <c r="AI208" s="208"/>
      <c r="AJ208" s="208"/>
      <c r="AK208" s="208"/>
    </row>
    <row r="209">
      <c r="A209" s="209">
        <f>IFERROR(__xludf.DUMMYFUNCTION("""COMPUTED_VALUE"""),46101.0)</f>
        <v>46101</v>
      </c>
      <c r="B209" s="210">
        <f>IFERROR(__xludf.DUMMYFUNCTION("""COMPUTED_VALUE"""),0.375)</f>
        <v>0.375</v>
      </c>
      <c r="C209" s="211" t="str">
        <f>IFERROR(__xludf.DUMMYFUNCTION("""COMPUTED_VALUE"""),"Whatsapp")</f>
        <v>Whatsapp</v>
      </c>
      <c r="D209" s="211" t="str">
        <f>IFERROR(__xludf.DUMMYFUNCTION("""COMPUTED_VALUE"""),"Promotional")</f>
        <v>Promotional</v>
      </c>
      <c r="E209" s="211" t="str">
        <f>IFERROR(__xludf.DUMMYFUNCTION("""COMPUTED_VALUE"""),"VS")</f>
        <v>VS</v>
      </c>
      <c r="F209" s="211" t="str">
        <f>IFERROR(__xludf.DUMMYFUNCTION("""COMPUTED_VALUE"""),"International Fragrance Day")</f>
        <v>International Fragrance Day</v>
      </c>
      <c r="G209" s="212" t="str">
        <f>IFERROR(__xludf.DUMMYFUNCTION("""COMPUTED_VALUE"""),"IFD Store Visit - Kochi")</f>
        <v>IFD Store Visit - Kochi</v>
      </c>
      <c r="H209" s="212" t="str">
        <f>IFERROR(__xludf.DUMMYFUNCTION("""COMPUTED_VALUE"""),"vs_off_pr_97011_16thmarch")</f>
        <v>vs_off_pr_97011_16thmarch</v>
      </c>
      <c r="I209" s="212" t="str">
        <f>IFERROR(__xludf.DUMMYFUNCTION("""COMPUTED_VALUE"""),"Offline Customers who have purchased at lease 1 time in last 36 months from any store in Kochi (97011 - VS LULU KOCHI)")</f>
        <v>Offline Customers who have purchased at lease 1 time in last 36 months from any store in Kochi (97011 - VS LULU KOCHI)</v>
      </c>
      <c r="J209" s="213">
        <f>IFERROR(__xludf.DUMMYFUNCTION("""COMPUTED_VALUE"""),5621.0)</f>
        <v>5621</v>
      </c>
      <c r="K209" s="213">
        <f>IFERROR(__xludf.DUMMYFUNCTION("""COMPUTED_VALUE"""),3107.0)</f>
        <v>3107</v>
      </c>
      <c r="L209" s="214">
        <f>IFERROR(__xludf.DUMMYFUNCTION("""COMPUTED_VALUE"""),0.5527)</f>
        <v>0.5527</v>
      </c>
      <c r="M209" s="213">
        <f>IFERROR(__xludf.DUMMYFUNCTION("""COMPUTED_VALUE"""),923.0)</f>
        <v>923</v>
      </c>
      <c r="N209" s="214">
        <f>IFERROR(__xludf.DUMMYFUNCTION("""COMPUTED_VALUE"""),0.2971)</f>
        <v>0.2971</v>
      </c>
      <c r="O209" s="213">
        <f>IFERROR(__xludf.DUMMYFUNCTION("""COMPUTED_VALUE"""),0.0)</f>
        <v>0</v>
      </c>
      <c r="P209" s="213">
        <f>IFERROR(__xludf.DUMMYFUNCTION("""COMPUTED_VALUE"""),0.0)</f>
        <v>0</v>
      </c>
      <c r="Q209" s="214">
        <f>IFERROR(__xludf.DUMMYFUNCTION("""COMPUTED_VALUE"""),0.0)</f>
        <v>0</v>
      </c>
      <c r="R209" s="214">
        <f>IFERROR(__xludf.DUMMYFUNCTION("""COMPUTED_VALUE"""),0.0)</f>
        <v>0</v>
      </c>
      <c r="S209" s="213">
        <f>IFERROR(__xludf.DUMMYFUNCTION("""COMPUTED_VALUE"""),0.0)</f>
        <v>0</v>
      </c>
      <c r="T209" s="213">
        <f>IFERROR(__xludf.DUMMYFUNCTION("""COMPUTED_VALUE"""),1.0)</f>
        <v>1</v>
      </c>
      <c r="U209" s="270">
        <f>IFERROR(__xludf.DUMMYFUNCTION("""COMPUTED_VALUE"""),0.0)</f>
        <v>0</v>
      </c>
      <c r="V209" s="271" t="str">
        <f>IFERROR(__xludf.DUMMYFUNCTION("""COMPUTED_VALUE"""),"offline")</f>
        <v>offline</v>
      </c>
      <c r="W209" s="272" t="str">
        <f>IFERROR(__xludf.DUMMYFUNCTION("""COMPUTED_VALUE"""),"simple")</f>
        <v>simple</v>
      </c>
      <c r="X209" s="272" t="str">
        <f>IFERROR(__xludf.DUMMYFUNCTION("""COMPUTED_VALUE"""),"Store level segment ")</f>
        <v>Store level segment </v>
      </c>
      <c r="Y209" s="272" t="str">
        <f>IFERROR(__xludf.DUMMYFUNCTION("""COMPUTED_VALUE"""),"20th - 22nd Mar")</f>
        <v>20th - 22nd Mar</v>
      </c>
      <c r="Z209" s="272" t="str">
        <f>IFERROR(__xludf.DUMMYFUNCTION("""COMPUTED_VALUE"""),"69ba53d035aaa45396eb9d31")</f>
        <v>69ba53d035aaa45396eb9d31</v>
      </c>
      <c r="AA209" s="272">
        <f>IFERROR(__xludf.DUMMYFUNCTION("""COMPUTED_VALUE"""),8.0)</f>
        <v>8</v>
      </c>
      <c r="AB209" s="272"/>
      <c r="AC209" s="272">
        <f>IFERROR(__xludf.DUMMYFUNCTION("""COMPUTED_VALUE"""),8.0)</f>
        <v>8</v>
      </c>
      <c r="AD209" s="272">
        <f>IFERROR(__xludf.DUMMYFUNCTION("""COMPUTED_VALUE"""),1787881.0)</f>
        <v>1787881</v>
      </c>
      <c r="AE209" s="272"/>
      <c r="AF209" s="272">
        <f>IFERROR(__xludf.DUMMYFUNCTION("""COMPUTED_VALUE"""),1787881.0)</f>
        <v>1787881</v>
      </c>
      <c r="AG209" s="208"/>
      <c r="AH209" s="208"/>
      <c r="AI209" s="208"/>
      <c r="AJ209" s="208"/>
      <c r="AK209" s="208"/>
    </row>
    <row r="210">
      <c r="A210" s="209">
        <f>IFERROR(__xludf.DUMMYFUNCTION("""COMPUTED_VALUE"""),46101.0)</f>
        <v>46101</v>
      </c>
      <c r="B210" s="210">
        <f>IFERROR(__xludf.DUMMYFUNCTION("""COMPUTED_VALUE"""),0.37847222222262644)</f>
        <v>0.3784722222</v>
      </c>
      <c r="C210" s="211" t="str">
        <f>IFERROR(__xludf.DUMMYFUNCTION("""COMPUTED_VALUE"""),"Whatsapp")</f>
        <v>Whatsapp</v>
      </c>
      <c r="D210" s="211" t="str">
        <f>IFERROR(__xludf.DUMMYFUNCTION("""COMPUTED_VALUE"""),"Promotional")</f>
        <v>Promotional</v>
      </c>
      <c r="E210" s="211" t="str">
        <f>IFERROR(__xludf.DUMMYFUNCTION("""COMPUTED_VALUE"""),"VS")</f>
        <v>VS</v>
      </c>
      <c r="F210" s="211" t="str">
        <f>IFERROR(__xludf.DUMMYFUNCTION("""COMPUTED_VALUE"""),"International Fragrance Day")</f>
        <v>International Fragrance Day</v>
      </c>
      <c r="G210" s="212" t="str">
        <f>IFERROR(__xludf.DUMMYFUNCTION("""COMPUTED_VALUE"""),"IFD Store Visit - Chennai")</f>
        <v>IFD Store Visit - Chennai</v>
      </c>
      <c r="H210" s="212" t="str">
        <f>IFERROR(__xludf.DUMMYFUNCTION("""COMPUTED_VALUE"""),"vs_off_pr_1252_16thmarch")</f>
        <v>vs_off_pr_1252_16thmarch</v>
      </c>
      <c r="I210" s="212" t="str">
        <f>IFERROR(__xludf.DUMMYFUNCTION("""COMPUTED_VALUE"""),"Offline Customers who have purchased at lease 1 time in last 36 months from any store in Chennai (1252 - VS BA EXPRESS AVENUE CHENNAI)")</f>
        <v>Offline Customers who have purchased at lease 1 time in last 36 months from any store in Chennai (1252 - VS BA EXPRESS AVENUE CHENNAI)</v>
      </c>
      <c r="J210" s="213">
        <f>IFERROR(__xludf.DUMMYFUNCTION("""COMPUTED_VALUE"""),3538.0)</f>
        <v>3538</v>
      </c>
      <c r="K210" s="213">
        <f>IFERROR(__xludf.DUMMYFUNCTION("""COMPUTED_VALUE"""),1968.0)</f>
        <v>1968</v>
      </c>
      <c r="L210" s="214">
        <f>IFERROR(__xludf.DUMMYFUNCTION("""COMPUTED_VALUE"""),0.5562)</f>
        <v>0.5562</v>
      </c>
      <c r="M210" s="213">
        <f>IFERROR(__xludf.DUMMYFUNCTION("""COMPUTED_VALUE"""),582.0)</f>
        <v>582</v>
      </c>
      <c r="N210" s="214">
        <f>IFERROR(__xludf.DUMMYFUNCTION("""COMPUTED_VALUE"""),0.2957)</f>
        <v>0.2957</v>
      </c>
      <c r="O210" s="213">
        <f>IFERROR(__xludf.DUMMYFUNCTION("""COMPUTED_VALUE"""),0.0)</f>
        <v>0</v>
      </c>
      <c r="P210" s="213">
        <f>IFERROR(__xludf.DUMMYFUNCTION("""COMPUTED_VALUE"""),0.0)</f>
        <v>0</v>
      </c>
      <c r="Q210" s="214">
        <f>IFERROR(__xludf.DUMMYFUNCTION("""COMPUTED_VALUE"""),0.0)</f>
        <v>0</v>
      </c>
      <c r="R210" s="214">
        <f>IFERROR(__xludf.DUMMYFUNCTION("""COMPUTED_VALUE"""),0.0)</f>
        <v>0</v>
      </c>
      <c r="S210" s="213">
        <f>IFERROR(__xludf.DUMMYFUNCTION("""COMPUTED_VALUE"""),0.0)</f>
        <v>0</v>
      </c>
      <c r="T210" s="213">
        <f>IFERROR(__xludf.DUMMYFUNCTION("""COMPUTED_VALUE"""),0.0)</f>
        <v>0</v>
      </c>
      <c r="U210" s="270">
        <f>IFERROR(__xludf.DUMMYFUNCTION("""COMPUTED_VALUE"""),0.0)</f>
        <v>0</v>
      </c>
      <c r="V210" s="271" t="str">
        <f>IFERROR(__xludf.DUMMYFUNCTION("""COMPUTED_VALUE"""),"offline")</f>
        <v>offline</v>
      </c>
      <c r="W210" s="272" t="str">
        <f>IFERROR(__xludf.DUMMYFUNCTION("""COMPUTED_VALUE"""),"simple")</f>
        <v>simple</v>
      </c>
      <c r="X210" s="272" t="str">
        <f>IFERROR(__xludf.DUMMYFUNCTION("""COMPUTED_VALUE"""),"Store level segment ")</f>
        <v>Store level segment </v>
      </c>
      <c r="Y210" s="272" t="str">
        <f>IFERROR(__xludf.DUMMYFUNCTION("""COMPUTED_VALUE"""),"20th - 22nd Mar")</f>
        <v>20th - 22nd Mar</v>
      </c>
      <c r="Z210" s="272" t="str">
        <f>IFERROR(__xludf.DUMMYFUNCTION("""COMPUTED_VALUE"""),"69ba53f9f05e72a5c5ebc561")</f>
        <v>69ba53f9f05e72a5c5ebc561</v>
      </c>
      <c r="AA210" s="272">
        <f>IFERROR(__xludf.DUMMYFUNCTION("""COMPUTED_VALUE"""),4.0)</f>
        <v>4</v>
      </c>
      <c r="AB210" s="272"/>
      <c r="AC210" s="272">
        <f>IFERROR(__xludf.DUMMYFUNCTION("""COMPUTED_VALUE"""),4.0)</f>
        <v>4</v>
      </c>
      <c r="AD210" s="272">
        <f>IFERROR(__xludf.DUMMYFUNCTION("""COMPUTED_VALUE"""),10796.0)</f>
        <v>10796</v>
      </c>
      <c r="AE210" s="272"/>
      <c r="AF210" s="272">
        <f>IFERROR(__xludf.DUMMYFUNCTION("""COMPUTED_VALUE"""),10796.0)</f>
        <v>10796</v>
      </c>
      <c r="AG210" s="208"/>
      <c r="AH210" s="208"/>
      <c r="AI210" s="208"/>
      <c r="AJ210" s="208"/>
      <c r="AK210" s="208"/>
    </row>
    <row r="211">
      <c r="A211" s="209">
        <f>IFERROR(__xludf.DUMMYFUNCTION("""COMPUTED_VALUE"""),46101.0)</f>
        <v>46101</v>
      </c>
      <c r="B211" s="210">
        <f>IFERROR(__xludf.DUMMYFUNCTION("""COMPUTED_VALUE"""),0.3819444444452529)</f>
        <v>0.3819444444</v>
      </c>
      <c r="C211" s="211" t="str">
        <f>IFERROR(__xludf.DUMMYFUNCTION("""COMPUTED_VALUE"""),"Whatsapp")</f>
        <v>Whatsapp</v>
      </c>
      <c r="D211" s="211" t="str">
        <f>IFERROR(__xludf.DUMMYFUNCTION("""COMPUTED_VALUE"""),"Promotional")</f>
        <v>Promotional</v>
      </c>
      <c r="E211" s="211" t="str">
        <f>IFERROR(__xludf.DUMMYFUNCTION("""COMPUTED_VALUE"""),"VS")</f>
        <v>VS</v>
      </c>
      <c r="F211" s="211" t="str">
        <f>IFERROR(__xludf.DUMMYFUNCTION("""COMPUTED_VALUE"""),"International Fragrance Day")</f>
        <v>International Fragrance Day</v>
      </c>
      <c r="G211" s="212" t="str">
        <f>IFERROR(__xludf.DUMMYFUNCTION("""COMPUTED_VALUE"""),"IFD Store Visit - BLR FA")</f>
        <v>IFD Store Visit - BLR FA</v>
      </c>
      <c r="H211" s="212" t="str">
        <f>IFERROR(__xludf.DUMMYFUNCTION("""COMPUTED_VALUE"""),"vs_off_pr_FA_97004_1273_16thmarch")</f>
        <v>vs_off_pr_FA_97004_1273_16thmarch</v>
      </c>
      <c r="I211" s="212" t="str">
        <f>IFERROR(__xludf.DUMMYFUNCTION("""COMPUTED_VALUE"""),"Offline Customers who have purchased at lease 1 time in last 36 months from any store in Bangalore; (97004 - VS MALL OF ASIA, 1273 - VS ORION BANGALORE)")</f>
        <v>Offline Customers who have purchased at lease 1 time in last 36 months from any store in Bangalore; (97004 - VS MALL OF ASIA, 1273 - VS ORION BANGALORE)</v>
      </c>
      <c r="J211" s="213">
        <f>IFERROR(__xludf.DUMMYFUNCTION("""COMPUTED_VALUE"""),23373.0)</f>
        <v>23373</v>
      </c>
      <c r="K211" s="213">
        <f>IFERROR(__xludf.DUMMYFUNCTION("""COMPUTED_VALUE"""),12361.0)</f>
        <v>12361</v>
      </c>
      <c r="L211" s="214">
        <f>IFERROR(__xludf.DUMMYFUNCTION("""COMPUTED_VALUE"""),0.5289)</f>
        <v>0.5289</v>
      </c>
      <c r="M211" s="213">
        <f>IFERROR(__xludf.DUMMYFUNCTION("""COMPUTED_VALUE"""),3241.0)</f>
        <v>3241</v>
      </c>
      <c r="N211" s="214">
        <f>IFERROR(__xludf.DUMMYFUNCTION("""COMPUTED_VALUE"""),0.2622)</f>
        <v>0.2622</v>
      </c>
      <c r="O211" s="213">
        <f>IFERROR(__xludf.DUMMYFUNCTION("""COMPUTED_VALUE"""),0.0)</f>
        <v>0</v>
      </c>
      <c r="P211" s="213">
        <f>IFERROR(__xludf.DUMMYFUNCTION("""COMPUTED_VALUE"""),0.0)</f>
        <v>0</v>
      </c>
      <c r="Q211" s="214">
        <f>IFERROR(__xludf.DUMMYFUNCTION("""COMPUTED_VALUE"""),0.0)</f>
        <v>0</v>
      </c>
      <c r="R211" s="214">
        <f>IFERROR(__xludf.DUMMYFUNCTION("""COMPUTED_VALUE"""),0.0)</f>
        <v>0</v>
      </c>
      <c r="S211" s="213">
        <f>IFERROR(__xludf.DUMMYFUNCTION("""COMPUTED_VALUE"""),1.0)</f>
        <v>1</v>
      </c>
      <c r="T211" s="213">
        <f>IFERROR(__xludf.DUMMYFUNCTION("""COMPUTED_VALUE"""),5.0)</f>
        <v>5</v>
      </c>
      <c r="U211" s="270">
        <f>IFERROR(__xludf.DUMMYFUNCTION("""COMPUTED_VALUE"""),2699.0)</f>
        <v>2699</v>
      </c>
      <c r="V211" s="271" t="str">
        <f>IFERROR(__xludf.DUMMYFUNCTION("""COMPUTED_VALUE"""),"offline")</f>
        <v>offline</v>
      </c>
      <c r="W211" s="272" t="str">
        <f>IFERROR(__xludf.DUMMYFUNCTION("""COMPUTED_VALUE"""),"simple")</f>
        <v>simple</v>
      </c>
      <c r="X211" s="272" t="str">
        <f>IFERROR(__xludf.DUMMYFUNCTION("""COMPUTED_VALUE"""),"Store level segment ")</f>
        <v>Store level segment </v>
      </c>
      <c r="Y211" s="272" t="str">
        <f>IFERROR(__xludf.DUMMYFUNCTION("""COMPUTED_VALUE"""),"20th - 22nd Mar")</f>
        <v>20th - 22nd Mar</v>
      </c>
      <c r="Z211" s="272" t="str">
        <f>IFERROR(__xludf.DUMMYFUNCTION("""COMPUTED_VALUE"""),"69ba543c637ab80a7f0731dc")</f>
        <v>69ba543c637ab80a7f0731dc</v>
      </c>
      <c r="AA211" s="272">
        <f>IFERROR(__xludf.DUMMYFUNCTION("""COMPUTED_VALUE"""),40.0)</f>
        <v>40</v>
      </c>
      <c r="AB211" s="272"/>
      <c r="AC211" s="272">
        <f>IFERROR(__xludf.DUMMYFUNCTION("""COMPUTED_VALUE"""),40.0)</f>
        <v>40</v>
      </c>
      <c r="AD211" s="272">
        <f>IFERROR(__xludf.DUMMYFUNCTION("""COMPUTED_VALUE"""),305892.0)</f>
        <v>305892</v>
      </c>
      <c r="AE211" s="272"/>
      <c r="AF211" s="272">
        <f>IFERROR(__xludf.DUMMYFUNCTION("""COMPUTED_VALUE"""),305892.0)</f>
        <v>305892</v>
      </c>
      <c r="AG211" s="208"/>
      <c r="AH211" s="208"/>
      <c r="AI211" s="208"/>
      <c r="AJ211" s="208"/>
      <c r="AK211" s="208"/>
    </row>
    <row r="212">
      <c r="A212" s="209">
        <f>IFERROR(__xludf.DUMMYFUNCTION("""COMPUTED_VALUE"""),46101.0)</f>
        <v>46101</v>
      </c>
      <c r="B212" s="210">
        <f>IFERROR(__xludf.DUMMYFUNCTION("""COMPUTED_VALUE"""),0.3854166666678793)</f>
        <v>0.3854166667</v>
      </c>
      <c r="C212" s="211" t="str">
        <f>IFERROR(__xludf.DUMMYFUNCTION("""COMPUTED_VALUE"""),"Whatsapp")</f>
        <v>Whatsapp</v>
      </c>
      <c r="D212" s="211" t="str">
        <f>IFERROR(__xludf.DUMMYFUNCTION("""COMPUTED_VALUE"""),"Promotional")</f>
        <v>Promotional</v>
      </c>
      <c r="E212" s="211" t="str">
        <f>IFERROR(__xludf.DUMMYFUNCTION("""COMPUTED_VALUE"""),"VS")</f>
        <v>VS</v>
      </c>
      <c r="F212" s="211" t="str">
        <f>IFERROR(__xludf.DUMMYFUNCTION("""COMPUTED_VALUE"""),"International Fragrance Day")</f>
        <v>International Fragrance Day</v>
      </c>
      <c r="G212" s="212" t="str">
        <f>IFERROR(__xludf.DUMMYFUNCTION("""COMPUTED_VALUE"""),"IFD Store Visit - BLR BA")</f>
        <v>IFD Store Visit - BLR BA</v>
      </c>
      <c r="H212" s="212" t="str">
        <f>IFERROR(__xludf.DUMMYFUNCTION("""COMPUTED_VALUE"""),"vs_off_pr_FA_97012_16thmarch")</f>
        <v>vs_off_pr_FA_97012_16thmarch</v>
      </c>
      <c r="I212" s="212" t="str">
        <f>IFERROR(__xludf.DUMMYFUNCTION("""COMPUTED_VALUE"""),"Offline Customers who have purchased at lease 1 time in last 36 months from any store in Bangalore; 97012 - VS NEXUS MALL KORAMANGALA")</f>
        <v>Offline Customers who have purchased at lease 1 time in last 36 months from any store in Bangalore; 97012 - VS NEXUS MALL KORAMANGALA</v>
      </c>
      <c r="J212" s="213">
        <f>IFERROR(__xludf.DUMMYFUNCTION("""COMPUTED_VALUE"""),7141.0)</f>
        <v>7141</v>
      </c>
      <c r="K212" s="213">
        <f>IFERROR(__xludf.DUMMYFUNCTION("""COMPUTED_VALUE"""),3787.0)</f>
        <v>3787</v>
      </c>
      <c r="L212" s="214">
        <f>IFERROR(__xludf.DUMMYFUNCTION("""COMPUTED_VALUE"""),0.5303)</f>
        <v>0.5303</v>
      </c>
      <c r="M212" s="213">
        <f>IFERROR(__xludf.DUMMYFUNCTION("""COMPUTED_VALUE"""),845.0)</f>
        <v>845</v>
      </c>
      <c r="N212" s="214">
        <f>IFERROR(__xludf.DUMMYFUNCTION("""COMPUTED_VALUE"""),0.2232)</f>
        <v>0.2232</v>
      </c>
      <c r="O212" s="213">
        <f>IFERROR(__xludf.DUMMYFUNCTION("""COMPUTED_VALUE"""),0.0)</f>
        <v>0</v>
      </c>
      <c r="P212" s="213">
        <f>IFERROR(__xludf.DUMMYFUNCTION("""COMPUTED_VALUE"""),0.0)</f>
        <v>0</v>
      </c>
      <c r="Q212" s="214">
        <f>IFERROR(__xludf.DUMMYFUNCTION("""COMPUTED_VALUE"""),0.0)</f>
        <v>0</v>
      </c>
      <c r="R212" s="214">
        <f>IFERROR(__xludf.DUMMYFUNCTION("""COMPUTED_VALUE"""),0.0)</f>
        <v>0</v>
      </c>
      <c r="S212" s="213">
        <f>IFERROR(__xludf.DUMMYFUNCTION("""COMPUTED_VALUE"""),0.0)</f>
        <v>0</v>
      </c>
      <c r="T212" s="213">
        <f>IFERROR(__xludf.DUMMYFUNCTION("""COMPUTED_VALUE"""),1.0)</f>
        <v>1</v>
      </c>
      <c r="U212" s="270">
        <f>IFERROR(__xludf.DUMMYFUNCTION("""COMPUTED_VALUE"""),0.0)</f>
        <v>0</v>
      </c>
      <c r="V212" s="271" t="str">
        <f>IFERROR(__xludf.DUMMYFUNCTION("""COMPUTED_VALUE"""),"offline")</f>
        <v>offline</v>
      </c>
      <c r="W212" s="272" t="str">
        <f>IFERROR(__xludf.DUMMYFUNCTION("""COMPUTED_VALUE"""),"simple")</f>
        <v>simple</v>
      </c>
      <c r="X212" s="272" t="str">
        <f>IFERROR(__xludf.DUMMYFUNCTION("""COMPUTED_VALUE"""),"Store level segment ")</f>
        <v>Store level segment </v>
      </c>
      <c r="Y212" s="272" t="str">
        <f>IFERROR(__xludf.DUMMYFUNCTION("""COMPUTED_VALUE"""),"20th - 22nd Mar")</f>
        <v>20th - 22nd Mar</v>
      </c>
      <c r="Z212" s="272" t="str">
        <f>IFERROR(__xludf.DUMMYFUNCTION("""COMPUTED_VALUE"""),"69ba545a68ce29697890fa5c")</f>
        <v>69ba545a68ce29697890fa5c</v>
      </c>
      <c r="AA212" s="272">
        <f>IFERROR(__xludf.DUMMYFUNCTION("""COMPUTED_VALUE"""),17.0)</f>
        <v>17</v>
      </c>
      <c r="AB212" s="272"/>
      <c r="AC212" s="272">
        <f>IFERROR(__xludf.DUMMYFUNCTION("""COMPUTED_VALUE"""),17.0)</f>
        <v>17</v>
      </c>
      <c r="AD212" s="272">
        <f>IFERROR(__xludf.DUMMYFUNCTION("""COMPUTED_VALUE"""),75878.0)</f>
        <v>75878</v>
      </c>
      <c r="AE212" s="272"/>
      <c r="AF212" s="272">
        <f>IFERROR(__xludf.DUMMYFUNCTION("""COMPUTED_VALUE"""),75878.0)</f>
        <v>75878</v>
      </c>
      <c r="AG212" s="208"/>
      <c r="AH212" s="208"/>
      <c r="AI212" s="208"/>
      <c r="AJ212" s="208"/>
      <c r="AK212" s="208"/>
    </row>
    <row r="213">
      <c r="A213" s="209">
        <f>IFERROR(__xludf.DUMMYFUNCTION("""COMPUTED_VALUE"""),46101.0)</f>
        <v>46101</v>
      </c>
      <c r="B213" s="210">
        <f>IFERROR(__xludf.DUMMYFUNCTION("""COMPUTED_VALUE"""),0.38888888889050577)</f>
        <v>0.3888888889</v>
      </c>
      <c r="C213" s="211" t="str">
        <f>IFERROR(__xludf.DUMMYFUNCTION("""COMPUTED_VALUE"""),"Whatsapp")</f>
        <v>Whatsapp</v>
      </c>
      <c r="D213" s="211" t="str">
        <f>IFERROR(__xludf.DUMMYFUNCTION("""COMPUTED_VALUE"""),"Promotional")</f>
        <v>Promotional</v>
      </c>
      <c r="E213" s="211" t="str">
        <f>IFERROR(__xludf.DUMMYFUNCTION("""COMPUTED_VALUE"""),"VS")</f>
        <v>VS</v>
      </c>
      <c r="F213" s="211" t="str">
        <f>IFERROR(__xludf.DUMMYFUNCTION("""COMPUTED_VALUE"""),"International Fragrance Day")</f>
        <v>International Fragrance Day</v>
      </c>
      <c r="G213" s="212" t="str">
        <f>IFERROR(__xludf.DUMMYFUNCTION("""COMPUTED_VALUE"""),"IFD Store Visit - Mumbai BA")</f>
        <v>IFD Store Visit - Mumbai BA</v>
      </c>
      <c r="H213" s="212" t="str">
        <f>IFERROR(__xludf.DUMMYFUNCTION("""COMPUTED_VALUE"""),"vs_off_pr_BA_97008_97009_16thmarch")</f>
        <v>vs_off_pr_BA_97008_97009_16thmarch</v>
      </c>
      <c r="I213" s="212" t="str">
        <f>IFERROR(__xludf.DUMMYFUNCTION("""COMPUTED_VALUE"""),"Offline Customers who have purchased at lease 1 time in last 36 months from any store in Mumbai (97008 - VS INORBIT MALL MALAD, 97009 - VS MARKET CITY KURLA MALL)")</f>
        <v>Offline Customers who have purchased at lease 1 time in last 36 months from any store in Mumbai (97008 - VS INORBIT MALL MALAD, 97009 - VS MARKET CITY KURLA MALL)</v>
      </c>
      <c r="J213" s="213">
        <f>IFERROR(__xludf.DUMMYFUNCTION("""COMPUTED_VALUE"""),15530.0)</f>
        <v>15530</v>
      </c>
      <c r="K213" s="213">
        <f>IFERROR(__xludf.DUMMYFUNCTION("""COMPUTED_VALUE"""),8495.0)</f>
        <v>8495</v>
      </c>
      <c r="L213" s="214">
        <f>IFERROR(__xludf.DUMMYFUNCTION("""COMPUTED_VALUE"""),0.547)</f>
        <v>0.547</v>
      </c>
      <c r="M213" s="213">
        <f>IFERROR(__xludf.DUMMYFUNCTION("""COMPUTED_VALUE"""),2455.0)</f>
        <v>2455</v>
      </c>
      <c r="N213" s="214">
        <f>IFERROR(__xludf.DUMMYFUNCTION("""COMPUTED_VALUE"""),0.289)</f>
        <v>0.289</v>
      </c>
      <c r="O213" s="213">
        <f>IFERROR(__xludf.DUMMYFUNCTION("""COMPUTED_VALUE"""),0.0)</f>
        <v>0</v>
      </c>
      <c r="P213" s="213">
        <f>IFERROR(__xludf.DUMMYFUNCTION("""COMPUTED_VALUE"""),0.0)</f>
        <v>0</v>
      </c>
      <c r="Q213" s="214">
        <f>IFERROR(__xludf.DUMMYFUNCTION("""COMPUTED_VALUE"""),0.0)</f>
        <v>0</v>
      </c>
      <c r="R213" s="214">
        <f>IFERROR(__xludf.DUMMYFUNCTION("""COMPUTED_VALUE"""),0.0)</f>
        <v>0</v>
      </c>
      <c r="S213" s="213">
        <f>IFERROR(__xludf.DUMMYFUNCTION("""COMPUTED_VALUE"""),1.0)</f>
        <v>1</v>
      </c>
      <c r="T213" s="213">
        <f>IFERROR(__xludf.DUMMYFUNCTION("""COMPUTED_VALUE"""),2.0)</f>
        <v>2</v>
      </c>
      <c r="U213" s="270">
        <f>IFERROR(__xludf.DUMMYFUNCTION("""COMPUTED_VALUE"""),2999.0)</f>
        <v>2999</v>
      </c>
      <c r="V213" s="271" t="str">
        <f>IFERROR(__xludf.DUMMYFUNCTION("""COMPUTED_VALUE"""),"offline")</f>
        <v>offline</v>
      </c>
      <c r="W213" s="272" t="str">
        <f>IFERROR(__xludf.DUMMYFUNCTION("""COMPUTED_VALUE"""),"simple")</f>
        <v>simple</v>
      </c>
      <c r="X213" s="272" t="str">
        <f>IFERROR(__xludf.DUMMYFUNCTION("""COMPUTED_VALUE"""),"Store level segment ")</f>
        <v>Store level segment </v>
      </c>
      <c r="Y213" s="272" t="str">
        <f>IFERROR(__xludf.DUMMYFUNCTION("""COMPUTED_VALUE"""),"20th - 22nd Mar")</f>
        <v>20th - 22nd Mar</v>
      </c>
      <c r="Z213" s="272" t="str">
        <f>IFERROR(__xludf.DUMMYFUNCTION("""COMPUTED_VALUE"""),"69ba5497a7bd314a70a06876")</f>
        <v>69ba5497a7bd314a70a06876</v>
      </c>
      <c r="AA213" s="272">
        <f>IFERROR(__xludf.DUMMYFUNCTION("""COMPUTED_VALUE"""),23.0)</f>
        <v>23</v>
      </c>
      <c r="AB213" s="272"/>
      <c r="AC213" s="272">
        <f>IFERROR(__xludf.DUMMYFUNCTION("""COMPUTED_VALUE"""),23.0)</f>
        <v>23</v>
      </c>
      <c r="AD213" s="272">
        <f>IFERROR(__xludf.DUMMYFUNCTION("""COMPUTED_VALUE"""),126071.0)</f>
        <v>126071</v>
      </c>
      <c r="AE213" s="272"/>
      <c r="AF213" s="272">
        <f>IFERROR(__xludf.DUMMYFUNCTION("""COMPUTED_VALUE"""),126071.0)</f>
        <v>126071</v>
      </c>
      <c r="AG213" s="208"/>
      <c r="AH213" s="208"/>
      <c r="AI213" s="208"/>
      <c r="AJ213" s="208"/>
      <c r="AK213" s="208"/>
    </row>
    <row r="214">
      <c r="A214" s="209">
        <f>IFERROR(__xludf.DUMMYFUNCTION("""COMPUTED_VALUE"""),46101.0)</f>
        <v>46101</v>
      </c>
      <c r="B214" s="210">
        <f>IFERROR(__xludf.DUMMYFUNCTION("""COMPUTED_VALUE"""),0.39236111110949423)</f>
        <v>0.3923611111</v>
      </c>
      <c r="C214" s="211" t="str">
        <f>IFERROR(__xludf.DUMMYFUNCTION("""COMPUTED_VALUE"""),"Whatsapp")</f>
        <v>Whatsapp</v>
      </c>
      <c r="D214" s="211" t="str">
        <f>IFERROR(__xludf.DUMMYFUNCTION("""COMPUTED_VALUE"""),"Promotional")</f>
        <v>Promotional</v>
      </c>
      <c r="E214" s="211" t="str">
        <f>IFERROR(__xludf.DUMMYFUNCTION("""COMPUTED_VALUE"""),"VS")</f>
        <v>VS</v>
      </c>
      <c r="F214" s="211" t="str">
        <f>IFERROR(__xludf.DUMMYFUNCTION("""COMPUTED_VALUE"""),"International Fragrance Day")</f>
        <v>International Fragrance Day</v>
      </c>
      <c r="G214" s="212" t="str">
        <f>IFERROR(__xludf.DUMMYFUNCTION("""COMPUTED_VALUE"""),"IFD Store Visit - Mumbai FA")</f>
        <v>IFD Store Visit - Mumbai FA</v>
      </c>
      <c r="H214" s="212" t="str">
        <f>IFERROR(__xludf.DUMMYFUNCTION("""COMPUTED_VALUE"""),"vs_off_pr_97001_16thmarch")</f>
        <v>vs_off_pr_97001_16thmarch</v>
      </c>
      <c r="I214" s="212" t="str">
        <f>IFERROR(__xludf.DUMMYFUNCTION("""COMPUTED_VALUE"""),"Offline Customers who have purchased at lease 1 time in last 36 months from any store in Mumbai :- 97001 - VS PHOENIX PALLADIUM MALL,")</f>
        <v>Offline Customers who have purchased at lease 1 time in last 36 months from any store in Mumbai :- 97001 - VS PHOENIX PALLADIUM MALL,</v>
      </c>
      <c r="J214" s="213">
        <f>IFERROR(__xludf.DUMMYFUNCTION("""COMPUTED_VALUE"""),35580.0)</f>
        <v>35580</v>
      </c>
      <c r="K214" s="213">
        <f>IFERROR(__xludf.DUMMYFUNCTION("""COMPUTED_VALUE"""),18686.0)</f>
        <v>18686</v>
      </c>
      <c r="L214" s="214">
        <f>IFERROR(__xludf.DUMMYFUNCTION("""COMPUTED_VALUE"""),0.5252)</f>
        <v>0.5252</v>
      </c>
      <c r="M214" s="213">
        <f>IFERROR(__xludf.DUMMYFUNCTION("""COMPUTED_VALUE"""),4610.0)</f>
        <v>4610</v>
      </c>
      <c r="N214" s="214">
        <f>IFERROR(__xludf.DUMMYFUNCTION("""COMPUTED_VALUE"""),0.2467)</f>
        <v>0.2467</v>
      </c>
      <c r="O214" s="213">
        <f>IFERROR(__xludf.DUMMYFUNCTION("""COMPUTED_VALUE"""),0.0)</f>
        <v>0</v>
      </c>
      <c r="P214" s="213">
        <f>IFERROR(__xludf.DUMMYFUNCTION("""COMPUTED_VALUE"""),0.0)</f>
        <v>0</v>
      </c>
      <c r="Q214" s="214">
        <f>IFERROR(__xludf.DUMMYFUNCTION("""COMPUTED_VALUE"""),0.0)</f>
        <v>0</v>
      </c>
      <c r="R214" s="214">
        <f>IFERROR(__xludf.DUMMYFUNCTION("""COMPUTED_VALUE"""),0.0)</f>
        <v>0</v>
      </c>
      <c r="S214" s="213">
        <f>IFERROR(__xludf.DUMMYFUNCTION("""COMPUTED_VALUE"""),1.0)</f>
        <v>1</v>
      </c>
      <c r="T214" s="213">
        <f>IFERROR(__xludf.DUMMYFUNCTION("""COMPUTED_VALUE"""),4.0)</f>
        <v>4</v>
      </c>
      <c r="U214" s="270">
        <f>IFERROR(__xludf.DUMMYFUNCTION("""COMPUTED_VALUE"""),1707.0)</f>
        <v>1707</v>
      </c>
      <c r="V214" s="271" t="str">
        <f>IFERROR(__xludf.DUMMYFUNCTION("""COMPUTED_VALUE"""),"offline")</f>
        <v>offline</v>
      </c>
      <c r="W214" s="272" t="str">
        <f>IFERROR(__xludf.DUMMYFUNCTION("""COMPUTED_VALUE"""),"simple")</f>
        <v>simple</v>
      </c>
      <c r="X214" s="272" t="str">
        <f>IFERROR(__xludf.DUMMYFUNCTION("""COMPUTED_VALUE"""),"Store level segment ")</f>
        <v>Store level segment </v>
      </c>
      <c r="Y214" s="272" t="str">
        <f>IFERROR(__xludf.DUMMYFUNCTION("""COMPUTED_VALUE"""),"20th - 22nd Mar")</f>
        <v>20th - 22nd Mar</v>
      </c>
      <c r="Z214" s="272" t="str">
        <f>IFERROR(__xludf.DUMMYFUNCTION("""COMPUTED_VALUE"""),"69ba54baea0e8dac9ff792ae")</f>
        <v>69ba54baea0e8dac9ff792ae</v>
      </c>
      <c r="AA214" s="272">
        <f>IFERROR(__xludf.DUMMYFUNCTION("""COMPUTED_VALUE"""),61.0)</f>
        <v>61</v>
      </c>
      <c r="AB214" s="272"/>
      <c r="AC214" s="272">
        <f>IFERROR(__xludf.DUMMYFUNCTION("""COMPUTED_VALUE"""),61.0)</f>
        <v>61</v>
      </c>
      <c r="AD214" s="272">
        <f>IFERROR(__xludf.DUMMYFUNCTION("""COMPUTED_VALUE"""),875259.0)</f>
        <v>875259</v>
      </c>
      <c r="AE214" s="272"/>
      <c r="AF214" s="272">
        <f>IFERROR(__xludf.DUMMYFUNCTION("""COMPUTED_VALUE"""),875259.0)</f>
        <v>875259</v>
      </c>
      <c r="AG214" s="208"/>
      <c r="AH214" s="208"/>
      <c r="AI214" s="208"/>
      <c r="AJ214" s="208"/>
      <c r="AK214" s="208"/>
    </row>
    <row r="215">
      <c r="A215" s="209">
        <f>IFERROR(__xludf.DUMMYFUNCTION("""COMPUTED_VALUE"""),46101.0)</f>
        <v>46101</v>
      </c>
      <c r="B215" s="210">
        <f>IFERROR(__xludf.DUMMYFUNCTION("""COMPUTED_VALUE"""),0.4583333333321207)</f>
        <v>0.4583333333</v>
      </c>
      <c r="C215" s="211" t="str">
        <f>IFERROR(__xludf.DUMMYFUNCTION("""COMPUTED_VALUE"""),"Sms")</f>
        <v>Sms</v>
      </c>
      <c r="D215" s="211" t="str">
        <f>IFERROR(__xludf.DUMMYFUNCTION("""COMPUTED_VALUE"""),"Fallback Campaign")</f>
        <v>Fallback Campaign</v>
      </c>
      <c r="E215" s="211" t="str">
        <f>IFERROR(__xludf.DUMMYFUNCTION("""COMPUTED_VALUE"""),"VS")</f>
        <v>VS</v>
      </c>
      <c r="F215" s="211" t="str">
        <f>IFERROR(__xludf.DUMMYFUNCTION("""COMPUTED_VALUE"""),"International Fragrance Day")</f>
        <v>International Fragrance Day</v>
      </c>
      <c r="G215" s="212" t="str">
        <f>IFERROR(__xludf.DUMMYFUNCTION("""COMPUTED_VALUE"""),"IFD Online - ATC (FB SMS 20th)")</f>
        <v>IFD Online - ATC (FB SMS 20th)</v>
      </c>
      <c r="H215" s="212" t="str">
        <f>IFERROR(__xludf.DUMMYFUNCTION("""COMPUTED_VALUE"""),"ATC_Fragra_90D")</f>
        <v>ATC_Fragra_90D</v>
      </c>
      <c r="I215" s="212" t="str">
        <f>IFERROR(__xludf.DUMMYFUNCTION("""COMPUTED_VALUE"""),"WA Undelivered")</f>
        <v>WA Undelivered</v>
      </c>
      <c r="J215" s="213">
        <f>IFERROR(__xludf.DUMMYFUNCTION("""COMPUTED_VALUE"""),385.0)</f>
        <v>385</v>
      </c>
      <c r="K215" s="213">
        <f>IFERROR(__xludf.DUMMYFUNCTION("""COMPUTED_VALUE"""),287.0)</f>
        <v>287</v>
      </c>
      <c r="L215" s="214">
        <f>IFERROR(__xludf.DUMMYFUNCTION("""COMPUTED_VALUE"""),0.7455)</f>
        <v>0.7455</v>
      </c>
      <c r="M215" s="213"/>
      <c r="N215" s="214"/>
      <c r="O215" s="213">
        <f>IFERROR(__xludf.DUMMYFUNCTION("""COMPUTED_VALUE"""),0.0)</f>
        <v>0</v>
      </c>
      <c r="P215" s="213"/>
      <c r="Q215" s="214">
        <f>IFERROR(__xludf.DUMMYFUNCTION("""COMPUTED_VALUE"""),0.0)</f>
        <v>0</v>
      </c>
      <c r="R215" s="214"/>
      <c r="S215" s="213">
        <f>IFERROR(__xludf.DUMMYFUNCTION("""COMPUTED_VALUE"""),0.0)</f>
        <v>0</v>
      </c>
      <c r="T215" s="213">
        <f>IFERROR(__xludf.DUMMYFUNCTION("""COMPUTED_VALUE"""),5.0)</f>
        <v>5</v>
      </c>
      <c r="U215" s="270">
        <f>IFERROR(__xludf.DUMMYFUNCTION("""COMPUTED_VALUE"""),0.0)</f>
        <v>0</v>
      </c>
      <c r="V215" s="271" t="str">
        <f>IFERROR(__xludf.DUMMYFUNCTION("""COMPUTED_VALUE"""),"online")</f>
        <v>online</v>
      </c>
      <c r="W215" s="272" t="str">
        <f>IFERROR(__xludf.DUMMYFUNCTION("""COMPUTED_VALUE"""),"SMS")</f>
        <v>SMS</v>
      </c>
      <c r="X215" s="272" t="str">
        <f>IFERROR(__xludf.DUMMYFUNCTION("""COMPUTED_VALUE"""),"Add to Cart")</f>
        <v>Add to Cart</v>
      </c>
      <c r="Y215" s="272" t="str">
        <f>IFERROR(__xludf.DUMMYFUNCTION("""COMPUTED_VALUE"""),"20th - 22nd Mar")</f>
        <v>20th - 22nd Mar</v>
      </c>
      <c r="Z215" s="272" t="str">
        <f>IFERROR(__xludf.DUMMYFUNCTION("""COMPUTED_VALUE"""),"69ba44f4cb7d5070d48c490d")</f>
        <v>69ba44f4cb7d5070d48c490d</v>
      </c>
      <c r="AA215" s="272">
        <f>IFERROR(__xludf.DUMMYFUNCTION("""COMPUTED_VALUE"""),0.0)</f>
        <v>0</v>
      </c>
      <c r="AB215" s="272">
        <f>IFERROR(__xludf.DUMMYFUNCTION("""COMPUTED_VALUE"""),0.0)</f>
        <v>0</v>
      </c>
      <c r="AC215" s="272"/>
      <c r="AD215" s="272">
        <f>IFERROR(__xludf.DUMMYFUNCTION("""COMPUTED_VALUE"""),0.0)</f>
        <v>0</v>
      </c>
      <c r="AE215" s="272">
        <f>IFERROR(__xludf.DUMMYFUNCTION("""COMPUTED_VALUE"""),0.0)</f>
        <v>0</v>
      </c>
      <c r="AF215" s="272"/>
      <c r="AG215" s="208"/>
      <c r="AH215" s="208"/>
      <c r="AI215" s="208"/>
      <c r="AJ215" s="208"/>
      <c r="AK215" s="208"/>
    </row>
    <row r="216">
      <c r="A216" s="209">
        <f>IFERROR(__xludf.DUMMYFUNCTION("""COMPUTED_VALUE"""),46101.0)</f>
        <v>46101</v>
      </c>
      <c r="B216" s="210">
        <f>IFERROR(__xludf.DUMMYFUNCTION("""COMPUTED_VALUE"""),0.4583333333321207)</f>
        <v>0.4583333333</v>
      </c>
      <c r="C216" s="211" t="str">
        <f>IFERROR(__xludf.DUMMYFUNCTION("""COMPUTED_VALUE"""),"Sms")</f>
        <v>Sms</v>
      </c>
      <c r="D216" s="211" t="str">
        <f>IFERROR(__xludf.DUMMYFUNCTION("""COMPUTED_VALUE"""),"Fallback Campaign")</f>
        <v>Fallback Campaign</v>
      </c>
      <c r="E216" s="211" t="str">
        <f>IFERROR(__xludf.DUMMYFUNCTION("""COMPUTED_VALUE"""),"VS")</f>
        <v>VS</v>
      </c>
      <c r="F216" s="211" t="str">
        <f>IFERROR(__xludf.DUMMYFUNCTION("""COMPUTED_VALUE"""),"International Fragrance Day")</f>
        <v>International Fragrance Day</v>
      </c>
      <c r="G216" s="212" t="str">
        <f>IFERROR(__xludf.DUMMYFUNCTION("""COMPUTED_VALUE"""),"IFD Online - VI (FB SMS 20th)")</f>
        <v>IFD Online - VI (FB SMS 20th)</v>
      </c>
      <c r="H216" s="212" t="str">
        <f>IFERROR(__xludf.DUMMYFUNCTION("""COMPUTED_VALUE"""),"View_Item_Fragra_3times_90D")</f>
        <v>View_Item_Fragra_3times_90D</v>
      </c>
      <c r="I216" s="212" t="str">
        <f>IFERROR(__xludf.DUMMYFUNCTION("""COMPUTED_VALUE"""),"WA Undelivered")</f>
        <v>WA Undelivered</v>
      </c>
      <c r="J216" s="213">
        <f>IFERROR(__xludf.DUMMYFUNCTION("""COMPUTED_VALUE"""),38.0)</f>
        <v>38</v>
      </c>
      <c r="K216" s="213">
        <f>IFERROR(__xludf.DUMMYFUNCTION("""COMPUTED_VALUE"""),25.0)</f>
        <v>25</v>
      </c>
      <c r="L216" s="214">
        <f>IFERROR(__xludf.DUMMYFUNCTION("""COMPUTED_VALUE"""),0.6579)</f>
        <v>0.6579</v>
      </c>
      <c r="M216" s="213"/>
      <c r="N216" s="214"/>
      <c r="O216" s="213">
        <f>IFERROR(__xludf.DUMMYFUNCTION("""COMPUTED_VALUE"""),0.0)</f>
        <v>0</v>
      </c>
      <c r="P216" s="213"/>
      <c r="Q216" s="214">
        <f>IFERROR(__xludf.DUMMYFUNCTION("""COMPUTED_VALUE"""),0.0)</f>
        <v>0</v>
      </c>
      <c r="R216" s="214"/>
      <c r="S216" s="213">
        <f>IFERROR(__xludf.DUMMYFUNCTION("""COMPUTED_VALUE"""),0.0)</f>
        <v>0</v>
      </c>
      <c r="T216" s="213">
        <f>IFERROR(__xludf.DUMMYFUNCTION("""COMPUTED_VALUE"""),2.0)</f>
        <v>2</v>
      </c>
      <c r="U216" s="270">
        <f>IFERROR(__xludf.DUMMYFUNCTION("""COMPUTED_VALUE"""),0.0)</f>
        <v>0</v>
      </c>
      <c r="V216" s="271" t="str">
        <f>IFERROR(__xludf.DUMMYFUNCTION("""COMPUTED_VALUE"""),"online")</f>
        <v>online</v>
      </c>
      <c r="W216" s="272" t="str">
        <f>IFERROR(__xludf.DUMMYFUNCTION("""COMPUTED_VALUE"""),"SMS")</f>
        <v>SMS</v>
      </c>
      <c r="X216" s="272" t="str">
        <f>IFERROR(__xludf.DUMMYFUNCTION("""COMPUTED_VALUE"""),"View Item")</f>
        <v>View Item</v>
      </c>
      <c r="Y216" s="272" t="str">
        <f>IFERROR(__xludf.DUMMYFUNCTION("""COMPUTED_VALUE"""),"20th - 22nd Mar")</f>
        <v>20th - 22nd Mar</v>
      </c>
      <c r="Z216" s="272" t="str">
        <f>IFERROR(__xludf.DUMMYFUNCTION("""COMPUTED_VALUE"""),"69ba4513a152b30cf45cad4d")</f>
        <v>69ba4513a152b30cf45cad4d</v>
      </c>
      <c r="AA216" s="272">
        <f>IFERROR(__xludf.DUMMYFUNCTION("""COMPUTED_VALUE"""),0.0)</f>
        <v>0</v>
      </c>
      <c r="AB216" s="272">
        <f>IFERROR(__xludf.DUMMYFUNCTION("""COMPUTED_VALUE"""),0.0)</f>
        <v>0</v>
      </c>
      <c r="AC216" s="272"/>
      <c r="AD216" s="272">
        <f>IFERROR(__xludf.DUMMYFUNCTION("""COMPUTED_VALUE"""),0.0)</f>
        <v>0</v>
      </c>
      <c r="AE216" s="272">
        <f>IFERROR(__xludf.DUMMYFUNCTION("""COMPUTED_VALUE"""),0.0)</f>
        <v>0</v>
      </c>
      <c r="AF216" s="272"/>
      <c r="AG216" s="208"/>
      <c r="AH216" s="208"/>
      <c r="AI216" s="208"/>
      <c r="AJ216" s="208"/>
      <c r="AK216" s="208"/>
    </row>
    <row r="217">
      <c r="A217" s="209">
        <f>IFERROR(__xludf.DUMMYFUNCTION("""COMPUTED_VALUE"""),46101.0)</f>
        <v>46101</v>
      </c>
      <c r="B217" s="210">
        <f>IFERROR(__xludf.DUMMYFUNCTION("""COMPUTED_VALUE"""),0.4583333333321207)</f>
        <v>0.4583333333</v>
      </c>
      <c r="C217" s="211" t="str">
        <f>IFERROR(__xludf.DUMMYFUNCTION("""COMPUTED_VALUE"""),"Sms")</f>
        <v>Sms</v>
      </c>
      <c r="D217" s="211" t="str">
        <f>IFERROR(__xludf.DUMMYFUNCTION("""COMPUTED_VALUE"""),"Fallback Campaign")</f>
        <v>Fallback Campaign</v>
      </c>
      <c r="E217" s="211" t="str">
        <f>IFERROR(__xludf.DUMMYFUNCTION("""COMPUTED_VALUE"""),"VS")</f>
        <v>VS</v>
      </c>
      <c r="F217" s="211" t="str">
        <f>IFERROR(__xludf.DUMMYFUNCTION("""COMPUTED_VALUE"""),"International Fragrance Day")</f>
        <v>International Fragrance Day</v>
      </c>
      <c r="G217" s="212" t="str">
        <f>IFERROR(__xludf.DUMMYFUNCTION("""COMPUTED_VALUE"""),"IFD Online - Active (FB SMS 20th)")</f>
        <v>IFD Online - Active (FB SMS 20th)</v>
      </c>
      <c r="H217" s="212" t="str">
        <f>IFERROR(__xludf.DUMMYFUNCTION("""COMPUTED_VALUE"""),"Active_Cust_Fragrances")</f>
        <v>Active_Cust_Fragrances</v>
      </c>
      <c r="I217" s="212" t="str">
        <f>IFERROR(__xludf.DUMMYFUNCTION("""COMPUTED_VALUE"""),"WA Undelivered")</f>
        <v>WA Undelivered</v>
      </c>
      <c r="J217" s="213">
        <f>IFERROR(__xludf.DUMMYFUNCTION("""COMPUTED_VALUE"""),1103.0)</f>
        <v>1103</v>
      </c>
      <c r="K217" s="213">
        <f>IFERROR(__xludf.DUMMYFUNCTION("""COMPUTED_VALUE"""),710.0)</f>
        <v>710</v>
      </c>
      <c r="L217" s="214">
        <f>IFERROR(__xludf.DUMMYFUNCTION("""COMPUTED_VALUE"""),0.6437)</f>
        <v>0.6437</v>
      </c>
      <c r="M217" s="213"/>
      <c r="N217" s="214"/>
      <c r="O217" s="213">
        <f>IFERROR(__xludf.DUMMYFUNCTION("""COMPUTED_VALUE"""),1.0)</f>
        <v>1</v>
      </c>
      <c r="P217" s="213"/>
      <c r="Q217" s="214">
        <f>IFERROR(__xludf.DUMMYFUNCTION("""COMPUTED_VALUE"""),0.0014)</f>
        <v>0.0014</v>
      </c>
      <c r="R217" s="214"/>
      <c r="S217" s="213">
        <f>IFERROR(__xludf.DUMMYFUNCTION("""COMPUTED_VALUE"""),1.0)</f>
        <v>1</v>
      </c>
      <c r="T217" s="213">
        <f>IFERROR(__xludf.DUMMYFUNCTION("""COMPUTED_VALUE"""),5.0)</f>
        <v>5</v>
      </c>
      <c r="U217" s="270">
        <f>IFERROR(__xludf.DUMMYFUNCTION("""COMPUTED_VALUE"""),4228.0)</f>
        <v>4228</v>
      </c>
      <c r="V217" s="271" t="str">
        <f>IFERROR(__xludf.DUMMYFUNCTION("""COMPUTED_VALUE"""),"online")</f>
        <v>online</v>
      </c>
      <c r="W217" s="272" t="str">
        <f>IFERROR(__xludf.DUMMYFUNCTION("""COMPUTED_VALUE"""),"SMS")</f>
        <v>SMS</v>
      </c>
      <c r="X217" s="272" t="str">
        <f>IFERROR(__xludf.DUMMYFUNCTION("""COMPUTED_VALUE"""),"Active")</f>
        <v>Active</v>
      </c>
      <c r="Y217" s="272" t="str">
        <f>IFERROR(__xludf.DUMMYFUNCTION("""COMPUTED_VALUE"""),"20th - 22nd Mar")</f>
        <v>20th - 22nd Mar</v>
      </c>
      <c r="Z217" s="272" t="str">
        <f>IFERROR(__xludf.DUMMYFUNCTION("""COMPUTED_VALUE"""),"69ba4522ab9e64bd3ce4e6cc")</f>
        <v>69ba4522ab9e64bd3ce4e6cc</v>
      </c>
      <c r="AA217" s="272">
        <f>IFERROR(__xludf.DUMMYFUNCTION("""COMPUTED_VALUE"""),3.0)</f>
        <v>3</v>
      </c>
      <c r="AB217" s="272">
        <f>IFERROR(__xludf.DUMMYFUNCTION("""COMPUTED_VALUE"""),3.0)</f>
        <v>3</v>
      </c>
      <c r="AC217" s="272"/>
      <c r="AD217" s="272">
        <f>IFERROR(__xludf.DUMMYFUNCTION("""COMPUTED_VALUE"""),12166.0)</f>
        <v>12166</v>
      </c>
      <c r="AE217" s="272">
        <f>IFERROR(__xludf.DUMMYFUNCTION("""COMPUTED_VALUE"""),12166.0)</f>
        <v>12166</v>
      </c>
      <c r="AF217" s="272"/>
      <c r="AG217" s="208"/>
      <c r="AH217" s="208"/>
      <c r="AI217" s="208"/>
      <c r="AJ217" s="208"/>
      <c r="AK217" s="208"/>
    </row>
    <row r="218">
      <c r="A218" s="209">
        <f>IFERROR(__xludf.DUMMYFUNCTION("""COMPUTED_VALUE"""),46101.0)</f>
        <v>46101</v>
      </c>
      <c r="B218" s="210">
        <f>IFERROR(__xludf.DUMMYFUNCTION("""COMPUTED_VALUE"""),0.4583333333321207)</f>
        <v>0.4583333333</v>
      </c>
      <c r="C218" s="211" t="str">
        <f>IFERROR(__xludf.DUMMYFUNCTION("""COMPUTED_VALUE"""),"Sms")</f>
        <v>Sms</v>
      </c>
      <c r="D218" s="211" t="str">
        <f>IFERROR(__xludf.DUMMYFUNCTION("""COMPUTED_VALUE"""),"Fallback Campaign")</f>
        <v>Fallback Campaign</v>
      </c>
      <c r="E218" s="211" t="str">
        <f>IFERROR(__xludf.DUMMYFUNCTION("""COMPUTED_VALUE"""),"VS")</f>
        <v>VS</v>
      </c>
      <c r="F218" s="211" t="str">
        <f>IFERROR(__xludf.DUMMYFUNCTION("""COMPUTED_VALUE"""),"International Fragrance Day")</f>
        <v>International Fragrance Day</v>
      </c>
      <c r="G218" s="212" t="str">
        <f>IFERROR(__xludf.DUMMYFUNCTION("""COMPUTED_VALUE"""),"IFD Online - Dormant (FB SMS 20th)")</f>
        <v>IFD Online - Dormant (FB SMS 20th)</v>
      </c>
      <c r="H218" s="212" t="str">
        <f>IFERROR(__xludf.DUMMYFUNCTION("""COMPUTED_VALUE"""),"Dormant_Repeat_Fragrances")</f>
        <v>Dormant_Repeat_Fragrances</v>
      </c>
      <c r="I218" s="212" t="str">
        <f>IFERROR(__xludf.DUMMYFUNCTION("""COMPUTED_VALUE"""),"WA Undelivered")</f>
        <v>WA Undelivered</v>
      </c>
      <c r="J218" s="213">
        <f>IFERROR(__xludf.DUMMYFUNCTION("""COMPUTED_VALUE"""),268.0)</f>
        <v>268</v>
      </c>
      <c r="K218" s="213">
        <f>IFERROR(__xludf.DUMMYFUNCTION("""COMPUTED_VALUE"""),162.0)</f>
        <v>162</v>
      </c>
      <c r="L218" s="214">
        <f>IFERROR(__xludf.DUMMYFUNCTION("""COMPUTED_VALUE"""),0.6045)</f>
        <v>0.6045</v>
      </c>
      <c r="M218" s="213"/>
      <c r="N218" s="214"/>
      <c r="O218" s="213">
        <f>IFERROR(__xludf.DUMMYFUNCTION("""COMPUTED_VALUE"""),1.0)</f>
        <v>1</v>
      </c>
      <c r="P218" s="213"/>
      <c r="Q218" s="214">
        <f>IFERROR(__xludf.DUMMYFUNCTION("""COMPUTED_VALUE"""),0.0062)</f>
        <v>0.0062</v>
      </c>
      <c r="R218" s="214"/>
      <c r="S218" s="213">
        <f>IFERROR(__xludf.DUMMYFUNCTION("""COMPUTED_VALUE"""),0.0)</f>
        <v>0</v>
      </c>
      <c r="T218" s="213">
        <f>IFERROR(__xludf.DUMMYFUNCTION("""COMPUTED_VALUE"""),0.0)</f>
        <v>0</v>
      </c>
      <c r="U218" s="270">
        <f>IFERROR(__xludf.DUMMYFUNCTION("""COMPUTED_VALUE"""),0.0)</f>
        <v>0</v>
      </c>
      <c r="V218" s="271" t="str">
        <f>IFERROR(__xludf.DUMMYFUNCTION("""COMPUTED_VALUE"""),"online")</f>
        <v>online</v>
      </c>
      <c r="W218" s="272" t="str">
        <f>IFERROR(__xludf.DUMMYFUNCTION("""COMPUTED_VALUE"""),"SMS")</f>
        <v>SMS</v>
      </c>
      <c r="X218" s="272" t="str">
        <f>IFERROR(__xludf.DUMMYFUNCTION("""COMPUTED_VALUE"""),"Dormant Repeat")</f>
        <v>Dormant Repeat</v>
      </c>
      <c r="Y218" s="272" t="str">
        <f>IFERROR(__xludf.DUMMYFUNCTION("""COMPUTED_VALUE"""),"20th - 22nd Mar")</f>
        <v>20th - 22nd Mar</v>
      </c>
      <c r="Z218" s="272" t="str">
        <f>IFERROR(__xludf.DUMMYFUNCTION("""COMPUTED_VALUE"""),"69ba453d5f6dd1b7a4a59ed0")</f>
        <v>69ba453d5f6dd1b7a4a59ed0</v>
      </c>
      <c r="AA218" s="272">
        <f>IFERROR(__xludf.DUMMYFUNCTION("""COMPUTED_VALUE"""),0.0)</f>
        <v>0</v>
      </c>
      <c r="AB218" s="272">
        <f>IFERROR(__xludf.DUMMYFUNCTION("""COMPUTED_VALUE"""),0.0)</f>
        <v>0</v>
      </c>
      <c r="AC218" s="272"/>
      <c r="AD218" s="272">
        <f>IFERROR(__xludf.DUMMYFUNCTION("""COMPUTED_VALUE"""),0.0)</f>
        <v>0</v>
      </c>
      <c r="AE218" s="272">
        <f>IFERROR(__xludf.DUMMYFUNCTION("""COMPUTED_VALUE"""),0.0)</f>
        <v>0</v>
      </c>
      <c r="AF218" s="272"/>
      <c r="AG218" s="208"/>
      <c r="AH218" s="208"/>
      <c r="AI218" s="208"/>
      <c r="AJ218" s="208"/>
      <c r="AK218" s="208"/>
    </row>
    <row r="219">
      <c r="A219" s="209">
        <f>IFERROR(__xludf.DUMMYFUNCTION("""COMPUTED_VALUE"""),46101.0)</f>
        <v>46101</v>
      </c>
      <c r="B219" s="210">
        <f>IFERROR(__xludf.DUMMYFUNCTION("""COMPUTED_VALUE"""),0.4583333333321207)</f>
        <v>0.4583333333</v>
      </c>
      <c r="C219" s="211" t="str">
        <f>IFERROR(__xludf.DUMMYFUNCTION("""COMPUTED_VALUE"""),"Sms")</f>
        <v>Sms</v>
      </c>
      <c r="D219" s="211" t="str">
        <f>IFERROR(__xludf.DUMMYFUNCTION("""COMPUTED_VALUE"""),"Fallback Campaign")</f>
        <v>Fallback Campaign</v>
      </c>
      <c r="E219" s="211" t="str">
        <f>IFERROR(__xludf.DUMMYFUNCTION("""COMPUTED_VALUE"""),"VS")</f>
        <v>VS</v>
      </c>
      <c r="F219" s="211" t="str">
        <f>IFERROR(__xludf.DUMMYFUNCTION("""COMPUTED_VALUE"""),"International Fragrance Day")</f>
        <v>International Fragrance Day</v>
      </c>
      <c r="G219" s="212" t="str">
        <f>IFERROR(__xludf.DUMMYFUNCTION("""COMPUTED_VALUE"""),"IFD Online - Prodorm (FB SMS 20th)")</f>
        <v>IFD Online - Prodorm (FB SMS 20th)</v>
      </c>
      <c r="H219" s="212" t="str">
        <f>IFERROR(__xludf.DUMMYFUNCTION("""COMPUTED_VALUE"""),"Predom_Fragrances")</f>
        <v>Predom_Fragrances</v>
      </c>
      <c r="I219" s="212" t="str">
        <f>IFERROR(__xludf.DUMMYFUNCTION("""COMPUTED_VALUE"""),"WA Undelivered")</f>
        <v>WA Undelivered</v>
      </c>
      <c r="J219" s="213">
        <f>IFERROR(__xludf.DUMMYFUNCTION("""COMPUTED_VALUE"""),4912.0)</f>
        <v>4912</v>
      </c>
      <c r="K219" s="213">
        <f>IFERROR(__xludf.DUMMYFUNCTION("""COMPUTED_VALUE"""),3297.0)</f>
        <v>3297</v>
      </c>
      <c r="L219" s="214">
        <f>IFERROR(__xludf.DUMMYFUNCTION("""COMPUTED_VALUE"""),0.6712)</f>
        <v>0.6712</v>
      </c>
      <c r="M219" s="213"/>
      <c r="N219" s="214"/>
      <c r="O219" s="213">
        <f>IFERROR(__xludf.DUMMYFUNCTION("""COMPUTED_VALUE"""),5.0)</f>
        <v>5</v>
      </c>
      <c r="P219" s="213"/>
      <c r="Q219" s="214">
        <f>IFERROR(__xludf.DUMMYFUNCTION("""COMPUTED_VALUE"""),0.0015)</f>
        <v>0.0015</v>
      </c>
      <c r="R219" s="214"/>
      <c r="S219" s="213">
        <f>IFERROR(__xludf.DUMMYFUNCTION("""COMPUTED_VALUE"""),0.0)</f>
        <v>0</v>
      </c>
      <c r="T219" s="213">
        <f>IFERROR(__xludf.DUMMYFUNCTION("""COMPUTED_VALUE"""),1.0)</f>
        <v>1</v>
      </c>
      <c r="U219" s="270">
        <f>IFERROR(__xludf.DUMMYFUNCTION("""COMPUTED_VALUE"""),0.0)</f>
        <v>0</v>
      </c>
      <c r="V219" s="271" t="str">
        <f>IFERROR(__xludf.DUMMYFUNCTION("""COMPUTED_VALUE"""),"online")</f>
        <v>online</v>
      </c>
      <c r="W219" s="272" t="str">
        <f>IFERROR(__xludf.DUMMYFUNCTION("""COMPUTED_VALUE"""),"SMS")</f>
        <v>SMS</v>
      </c>
      <c r="X219" s="272" t="str">
        <f>IFERROR(__xludf.DUMMYFUNCTION("""COMPUTED_VALUE"""),"Predominance")</f>
        <v>Predominance</v>
      </c>
      <c r="Y219" s="272" t="str">
        <f>IFERROR(__xludf.DUMMYFUNCTION("""COMPUTED_VALUE"""),"20th - 22nd Mar")</f>
        <v>20th - 22nd Mar</v>
      </c>
      <c r="Z219" s="272" t="str">
        <f>IFERROR(__xludf.DUMMYFUNCTION("""COMPUTED_VALUE"""),"69ba455990ad8e4b8db1144d")</f>
        <v>69ba455990ad8e4b8db1144d</v>
      </c>
      <c r="AA219" s="272">
        <f>IFERROR(__xludf.DUMMYFUNCTION("""COMPUTED_VALUE"""),3.0)</f>
        <v>3</v>
      </c>
      <c r="AB219" s="272">
        <f>IFERROR(__xludf.DUMMYFUNCTION("""COMPUTED_VALUE"""),3.0)</f>
        <v>3</v>
      </c>
      <c r="AC219" s="272"/>
      <c r="AD219" s="272">
        <f>IFERROR(__xludf.DUMMYFUNCTION("""COMPUTED_VALUE"""),10014.0)</f>
        <v>10014</v>
      </c>
      <c r="AE219" s="272">
        <f>IFERROR(__xludf.DUMMYFUNCTION("""COMPUTED_VALUE"""),10014.0)</f>
        <v>10014</v>
      </c>
      <c r="AF219" s="272"/>
      <c r="AG219" s="208"/>
      <c r="AH219" s="208"/>
      <c r="AI219" s="208"/>
      <c r="AJ219" s="208"/>
      <c r="AK219" s="208"/>
    </row>
    <row r="220">
      <c r="A220" s="209">
        <f>IFERROR(__xludf.DUMMYFUNCTION("""COMPUTED_VALUE"""),46101.0)</f>
        <v>46101</v>
      </c>
      <c r="B220" s="210">
        <f>IFERROR(__xludf.DUMMYFUNCTION("""COMPUTED_VALUE"""),0.4583333333321207)</f>
        <v>0.4583333333</v>
      </c>
      <c r="C220" s="211" t="str">
        <f>IFERROR(__xludf.DUMMYFUNCTION("""COMPUTED_VALUE"""),"Sms")</f>
        <v>Sms</v>
      </c>
      <c r="D220" s="211" t="str">
        <f>IFERROR(__xludf.DUMMYFUNCTION("""COMPUTED_VALUE"""),"Fallback Campaign")</f>
        <v>Fallback Campaign</v>
      </c>
      <c r="E220" s="211" t="str">
        <f>IFERROR(__xludf.DUMMYFUNCTION("""COMPUTED_VALUE"""),"VS")</f>
        <v>VS</v>
      </c>
      <c r="F220" s="211" t="str">
        <f>IFERROR(__xludf.DUMMYFUNCTION("""COMPUTED_VALUE"""),"International Fragrance Day")</f>
        <v>International Fragrance Day</v>
      </c>
      <c r="G220" s="212" t="str">
        <f>IFERROR(__xludf.DUMMYFUNCTION("""COMPUTED_VALUE"""),"IFD Online - Mist (FB SMS 20th)")</f>
        <v>IFD Online - Mist (FB SMS 20th)</v>
      </c>
      <c r="H220" s="212" t="str">
        <f>IFERROR(__xludf.DUMMYFUNCTION("""COMPUTED_VALUE"""),"EDP_Mist_Discount_Buyers")</f>
        <v>EDP_Mist_Discount_Buyers</v>
      </c>
      <c r="I220" s="212" t="str">
        <f>IFERROR(__xludf.DUMMYFUNCTION("""COMPUTED_VALUE"""),"WA Undelivered")</f>
        <v>WA Undelivered</v>
      </c>
      <c r="J220" s="213">
        <f>IFERROR(__xludf.DUMMYFUNCTION("""COMPUTED_VALUE"""),1905.0)</f>
        <v>1905</v>
      </c>
      <c r="K220" s="213">
        <f>IFERROR(__xludf.DUMMYFUNCTION("""COMPUTED_VALUE"""),1191.0)</f>
        <v>1191</v>
      </c>
      <c r="L220" s="214">
        <f>IFERROR(__xludf.DUMMYFUNCTION("""COMPUTED_VALUE"""),0.6252)</f>
        <v>0.6252</v>
      </c>
      <c r="M220" s="213"/>
      <c r="N220" s="214"/>
      <c r="O220" s="213">
        <f>IFERROR(__xludf.DUMMYFUNCTION("""COMPUTED_VALUE"""),4.0)</f>
        <v>4</v>
      </c>
      <c r="P220" s="213"/>
      <c r="Q220" s="214">
        <f>IFERROR(__xludf.DUMMYFUNCTION("""COMPUTED_VALUE"""),0.0034)</f>
        <v>0.0034</v>
      </c>
      <c r="R220" s="214"/>
      <c r="S220" s="213">
        <f>IFERROR(__xludf.DUMMYFUNCTION("""COMPUTED_VALUE"""),0.0)</f>
        <v>0</v>
      </c>
      <c r="T220" s="213">
        <f>IFERROR(__xludf.DUMMYFUNCTION("""COMPUTED_VALUE"""),0.0)</f>
        <v>0</v>
      </c>
      <c r="U220" s="270">
        <f>IFERROR(__xludf.DUMMYFUNCTION("""COMPUTED_VALUE"""),0.0)</f>
        <v>0</v>
      </c>
      <c r="V220" s="271" t="str">
        <f>IFERROR(__xludf.DUMMYFUNCTION("""COMPUTED_VALUE"""),"online")</f>
        <v>online</v>
      </c>
      <c r="W220" s="272" t="str">
        <f>IFERROR(__xludf.DUMMYFUNCTION("""COMPUTED_VALUE"""),"SMS")</f>
        <v>SMS</v>
      </c>
      <c r="X220" s="272" t="str">
        <f>IFERROR(__xludf.DUMMYFUNCTION("""COMPUTED_VALUE"""),"Discount")</f>
        <v>Discount</v>
      </c>
      <c r="Y220" s="272" t="str">
        <f>IFERROR(__xludf.DUMMYFUNCTION("""COMPUTED_VALUE"""),"20th - 22nd Mar")</f>
        <v>20th - 22nd Mar</v>
      </c>
      <c r="Z220" s="272" t="str">
        <f>IFERROR(__xludf.DUMMYFUNCTION("""COMPUTED_VALUE"""),"69ba456cd10e4f20cd01930e")</f>
        <v>69ba456cd10e4f20cd01930e</v>
      </c>
      <c r="AA220" s="272">
        <f>IFERROR(__xludf.DUMMYFUNCTION("""COMPUTED_VALUE"""),1.0)</f>
        <v>1</v>
      </c>
      <c r="AB220" s="272">
        <f>IFERROR(__xludf.DUMMYFUNCTION("""COMPUTED_VALUE"""),1.0)</f>
        <v>1</v>
      </c>
      <c r="AC220" s="272"/>
      <c r="AD220" s="272">
        <f>IFERROR(__xludf.DUMMYFUNCTION("""COMPUTED_VALUE"""),6499.0)</f>
        <v>6499</v>
      </c>
      <c r="AE220" s="272">
        <f>IFERROR(__xludf.DUMMYFUNCTION("""COMPUTED_VALUE"""),6499.0)</f>
        <v>6499</v>
      </c>
      <c r="AF220" s="272"/>
      <c r="AG220" s="208"/>
      <c r="AH220" s="208"/>
      <c r="AI220" s="208"/>
      <c r="AJ220" s="208"/>
      <c r="AK220" s="208"/>
    </row>
    <row r="221">
      <c r="A221" s="209">
        <f>IFERROR(__xludf.DUMMYFUNCTION("""COMPUTED_VALUE"""),46101.0)</f>
        <v>46101</v>
      </c>
      <c r="B221" s="210">
        <f>IFERROR(__xludf.DUMMYFUNCTION("""COMPUTED_VALUE"""),0.4583333333321207)</f>
        <v>0.4583333333</v>
      </c>
      <c r="C221" s="211" t="str">
        <f>IFERROR(__xludf.DUMMYFUNCTION("""COMPUTED_VALUE"""),"Sms")</f>
        <v>Sms</v>
      </c>
      <c r="D221" s="211" t="str">
        <f>IFERROR(__xludf.DUMMYFUNCTION("""COMPUTED_VALUE"""),"Fallback Campaign")</f>
        <v>Fallback Campaign</v>
      </c>
      <c r="E221" s="211" t="str">
        <f>IFERROR(__xludf.DUMMYFUNCTION("""COMPUTED_VALUE"""),"VS")</f>
        <v>VS</v>
      </c>
      <c r="F221" s="211" t="str">
        <f>IFERROR(__xludf.DUMMYFUNCTION("""COMPUTED_VALUE"""),"International Fragrance Day")</f>
        <v>International Fragrance Day</v>
      </c>
      <c r="G221" s="212" t="str">
        <f>IFERROR(__xludf.DUMMYFUNCTION("""COMPUTED_VALUE"""),"IFD Online - Cross-Cat (FB SMS 20th)")</f>
        <v>IFD Online - Cross-Cat (FB SMS 20th)</v>
      </c>
      <c r="H221" s="212" t="str">
        <f>IFERROR(__xludf.DUMMYFUNCTION("""COMPUTED_VALUE"""),"BodyCare_Excl_Fragrances")</f>
        <v>BodyCare_Excl_Fragrances</v>
      </c>
      <c r="I221" s="212" t="str">
        <f>IFERROR(__xludf.DUMMYFUNCTION("""COMPUTED_VALUE"""),"WA Undelivered")</f>
        <v>WA Undelivered</v>
      </c>
      <c r="J221" s="213">
        <f>IFERROR(__xludf.DUMMYFUNCTION("""COMPUTED_VALUE"""),9247.0)</f>
        <v>9247</v>
      </c>
      <c r="K221" s="213">
        <f>IFERROR(__xludf.DUMMYFUNCTION("""COMPUTED_VALUE"""),6043.0)</f>
        <v>6043</v>
      </c>
      <c r="L221" s="214">
        <f>IFERROR(__xludf.DUMMYFUNCTION("""COMPUTED_VALUE"""),0.6535)</f>
        <v>0.6535</v>
      </c>
      <c r="M221" s="213"/>
      <c r="N221" s="214"/>
      <c r="O221" s="213">
        <f>IFERROR(__xludf.DUMMYFUNCTION("""COMPUTED_VALUE"""),6.0)</f>
        <v>6</v>
      </c>
      <c r="P221" s="213"/>
      <c r="Q221" s="214">
        <f>IFERROR(__xludf.DUMMYFUNCTION("""COMPUTED_VALUE"""),0.001)</f>
        <v>0.001</v>
      </c>
      <c r="R221" s="214"/>
      <c r="S221" s="213">
        <f>IFERROR(__xludf.DUMMYFUNCTION("""COMPUTED_VALUE"""),0.0)</f>
        <v>0</v>
      </c>
      <c r="T221" s="213">
        <f>IFERROR(__xludf.DUMMYFUNCTION("""COMPUTED_VALUE"""),2.0)</f>
        <v>2</v>
      </c>
      <c r="U221" s="270">
        <f>IFERROR(__xludf.DUMMYFUNCTION("""COMPUTED_VALUE"""),0.0)</f>
        <v>0</v>
      </c>
      <c r="V221" s="271" t="str">
        <f>IFERROR(__xludf.DUMMYFUNCTION("""COMPUTED_VALUE"""),"online")</f>
        <v>online</v>
      </c>
      <c r="W221" s="272" t="str">
        <f>IFERROR(__xludf.DUMMYFUNCTION("""COMPUTED_VALUE"""),"SMS")</f>
        <v>SMS</v>
      </c>
      <c r="X221" s="272" t="str">
        <f>IFERROR(__xludf.DUMMYFUNCTION("""COMPUTED_VALUE"""),"Cross Category")</f>
        <v>Cross Category</v>
      </c>
      <c r="Y221" s="272" t="str">
        <f>IFERROR(__xludf.DUMMYFUNCTION("""COMPUTED_VALUE"""),"20th - 22nd Mar")</f>
        <v>20th - 22nd Mar</v>
      </c>
      <c r="Z221" s="272" t="str">
        <f>IFERROR(__xludf.DUMMYFUNCTION("""COMPUTED_VALUE"""),"69ba457d5627d551f7a31164")</f>
        <v>69ba457d5627d551f7a31164</v>
      </c>
      <c r="AA221" s="272">
        <f>IFERROR(__xludf.DUMMYFUNCTION("""COMPUTED_VALUE"""),0.0)</f>
        <v>0</v>
      </c>
      <c r="AB221" s="272">
        <f>IFERROR(__xludf.DUMMYFUNCTION("""COMPUTED_VALUE"""),0.0)</f>
        <v>0</v>
      </c>
      <c r="AC221" s="272"/>
      <c r="AD221" s="272">
        <f>IFERROR(__xludf.DUMMYFUNCTION("""COMPUTED_VALUE"""),0.0)</f>
        <v>0</v>
      </c>
      <c r="AE221" s="272">
        <f>IFERROR(__xludf.DUMMYFUNCTION("""COMPUTED_VALUE"""),0.0)</f>
        <v>0</v>
      </c>
      <c r="AF221" s="272"/>
      <c r="AG221" s="208"/>
      <c r="AH221" s="208"/>
      <c r="AI221" s="208"/>
      <c r="AJ221" s="208"/>
      <c r="AK221" s="208"/>
    </row>
    <row r="222">
      <c r="A222" s="209">
        <f>IFERROR(__xludf.DUMMYFUNCTION("""COMPUTED_VALUE"""),46101.0)</f>
        <v>46101</v>
      </c>
      <c r="B222" s="210">
        <f>IFERROR(__xludf.DUMMYFUNCTION("""COMPUTED_VALUE"""),0.4583333333321207)</f>
        <v>0.4583333333</v>
      </c>
      <c r="C222" s="211" t="str">
        <f>IFERROR(__xludf.DUMMYFUNCTION("""COMPUTED_VALUE"""),"Sms")</f>
        <v>Sms</v>
      </c>
      <c r="D222" s="211" t="str">
        <f>IFERROR(__xludf.DUMMYFUNCTION("""COMPUTED_VALUE"""),"Fallback Campaign")</f>
        <v>Fallback Campaign</v>
      </c>
      <c r="E222" s="211" t="str">
        <f>IFERROR(__xludf.DUMMYFUNCTION("""COMPUTED_VALUE"""),"VS")</f>
        <v>VS</v>
      </c>
      <c r="F222" s="211" t="str">
        <f>IFERROR(__xludf.DUMMYFUNCTION("""COMPUTED_VALUE"""),"International Fragrance Day")</f>
        <v>International Fragrance Day</v>
      </c>
      <c r="G222" s="212" t="str">
        <f>IFERROR(__xludf.DUMMYFUNCTION("""COMPUTED_VALUE"""),"IFD Store Visit - HYD (FB)")</f>
        <v>IFD Store Visit - HYD (FB)</v>
      </c>
      <c r="H222" s="212" t="str">
        <f>IFERROR(__xludf.DUMMYFUNCTION("""COMPUTED_VALUE"""),"vs_off_pr_97006_97013_1280_16thmarch")</f>
        <v>vs_off_pr_97006_97013_1280_16thmarch</v>
      </c>
      <c r="I222" s="212" t="str">
        <f>IFERROR(__xludf.DUMMYFUNCTION("""COMPUTED_VALUE"""),"WA Undelivered")</f>
        <v>WA Undelivered</v>
      </c>
      <c r="J222" s="213">
        <f>IFERROR(__xludf.DUMMYFUNCTION("""COMPUTED_VALUE"""),5525.0)</f>
        <v>5525</v>
      </c>
      <c r="K222" s="213">
        <f>IFERROR(__xludf.DUMMYFUNCTION("""COMPUTED_VALUE"""),3832.0)</f>
        <v>3832</v>
      </c>
      <c r="L222" s="214">
        <f>IFERROR(__xludf.DUMMYFUNCTION("""COMPUTED_VALUE"""),0.6936)</f>
        <v>0.6936</v>
      </c>
      <c r="M222" s="213"/>
      <c r="N222" s="214"/>
      <c r="O222" s="213">
        <f>IFERROR(__xludf.DUMMYFUNCTION("""COMPUTED_VALUE"""),0.0)</f>
        <v>0</v>
      </c>
      <c r="P222" s="213"/>
      <c r="Q222" s="214">
        <f>IFERROR(__xludf.DUMMYFUNCTION("""COMPUTED_VALUE"""),0.0)</f>
        <v>0</v>
      </c>
      <c r="R222" s="214"/>
      <c r="S222" s="213">
        <f>IFERROR(__xludf.DUMMYFUNCTION("""COMPUTED_VALUE"""),0.0)</f>
        <v>0</v>
      </c>
      <c r="T222" s="213">
        <f>IFERROR(__xludf.DUMMYFUNCTION("""COMPUTED_VALUE"""),0.0)</f>
        <v>0</v>
      </c>
      <c r="U222" s="270">
        <f>IFERROR(__xludf.DUMMYFUNCTION("""COMPUTED_VALUE"""),0.0)</f>
        <v>0</v>
      </c>
      <c r="V222" s="271" t="str">
        <f>IFERROR(__xludf.DUMMYFUNCTION("""COMPUTED_VALUE"""),"offline")</f>
        <v>offline</v>
      </c>
      <c r="W222" s="272" t="str">
        <f>IFERROR(__xludf.DUMMYFUNCTION("""COMPUTED_VALUE"""),"SMS")</f>
        <v>SMS</v>
      </c>
      <c r="X222" s="272" t="str">
        <f>IFERROR(__xludf.DUMMYFUNCTION("""COMPUTED_VALUE"""),"Store level segment ")</f>
        <v>Store level segment </v>
      </c>
      <c r="Y222" s="272" t="str">
        <f>IFERROR(__xludf.DUMMYFUNCTION("""COMPUTED_VALUE"""),"20th - 22nd Mar")</f>
        <v>20th - 22nd Mar</v>
      </c>
      <c r="Z222" s="272" t="str">
        <f>IFERROR(__xludf.DUMMYFUNCTION("""COMPUTED_VALUE"""),"69ba60986af779c8cefc3d99")</f>
        <v>69ba60986af779c8cefc3d99</v>
      </c>
      <c r="AA222" s="272">
        <f>IFERROR(__xludf.DUMMYFUNCTION("""COMPUTED_VALUE"""),8.0)</f>
        <v>8</v>
      </c>
      <c r="AB222" s="272"/>
      <c r="AC222" s="272">
        <f>IFERROR(__xludf.DUMMYFUNCTION("""COMPUTED_VALUE"""),8.0)</f>
        <v>8</v>
      </c>
      <c r="AD222" s="272">
        <f>IFERROR(__xludf.DUMMYFUNCTION("""COMPUTED_VALUE"""),33131.0)</f>
        <v>33131</v>
      </c>
      <c r="AE222" s="272"/>
      <c r="AF222" s="272">
        <f>IFERROR(__xludf.DUMMYFUNCTION("""COMPUTED_VALUE"""),33131.0)</f>
        <v>33131</v>
      </c>
      <c r="AG222" s="208"/>
      <c r="AH222" s="208"/>
      <c r="AI222" s="208"/>
      <c r="AJ222" s="208"/>
      <c r="AK222" s="208"/>
    </row>
    <row r="223">
      <c r="A223" s="209">
        <f>IFERROR(__xludf.DUMMYFUNCTION("""COMPUTED_VALUE"""),46101.0)</f>
        <v>46101</v>
      </c>
      <c r="B223" s="210">
        <f>IFERROR(__xludf.DUMMYFUNCTION("""COMPUTED_VALUE"""),0.4583333333321207)</f>
        <v>0.4583333333</v>
      </c>
      <c r="C223" s="211" t="str">
        <f>IFERROR(__xludf.DUMMYFUNCTION("""COMPUTED_VALUE"""),"Sms")</f>
        <v>Sms</v>
      </c>
      <c r="D223" s="211" t="str">
        <f>IFERROR(__xludf.DUMMYFUNCTION("""COMPUTED_VALUE"""),"Fallback Campaign")</f>
        <v>Fallback Campaign</v>
      </c>
      <c r="E223" s="211" t="str">
        <f>IFERROR(__xludf.DUMMYFUNCTION("""COMPUTED_VALUE"""),"VS")</f>
        <v>VS</v>
      </c>
      <c r="F223" s="211" t="str">
        <f>IFERROR(__xludf.DUMMYFUNCTION("""COMPUTED_VALUE"""),"International Fragrance Day")</f>
        <v>International Fragrance Day</v>
      </c>
      <c r="G223" s="212" t="str">
        <f>IFERROR(__xludf.DUMMYFUNCTION("""COMPUTED_VALUE"""),"IFD Store Visit - Del (FB)")</f>
        <v>IFD Store Visit - Del (FB)</v>
      </c>
      <c r="H223" s="212" t="str">
        <f>IFERROR(__xludf.DUMMYFUNCTION("""COMPUTED_VALUE"""),"vs_off_pr_97002_1251_16thmarch")</f>
        <v>vs_off_pr_97002_1251_16thmarch</v>
      </c>
      <c r="I223" s="212" t="str">
        <f>IFERROR(__xludf.DUMMYFUNCTION("""COMPUTED_VALUE"""),"WA Undelivered")</f>
        <v>WA Undelivered</v>
      </c>
      <c r="J223" s="213">
        <f>IFERROR(__xludf.DUMMYFUNCTION("""COMPUTED_VALUE"""),13523.0)</f>
        <v>13523</v>
      </c>
      <c r="K223" s="213">
        <f>IFERROR(__xludf.DUMMYFUNCTION("""COMPUTED_VALUE"""),7673.0)</f>
        <v>7673</v>
      </c>
      <c r="L223" s="214">
        <f>IFERROR(__xludf.DUMMYFUNCTION("""COMPUTED_VALUE"""),0.5674)</f>
        <v>0.5674</v>
      </c>
      <c r="M223" s="213"/>
      <c r="N223" s="214"/>
      <c r="O223" s="213">
        <f>IFERROR(__xludf.DUMMYFUNCTION("""COMPUTED_VALUE"""),0.0)</f>
        <v>0</v>
      </c>
      <c r="P223" s="213"/>
      <c r="Q223" s="214">
        <f>IFERROR(__xludf.DUMMYFUNCTION("""COMPUTED_VALUE"""),0.0)</f>
        <v>0</v>
      </c>
      <c r="R223" s="214"/>
      <c r="S223" s="213">
        <f>IFERROR(__xludf.DUMMYFUNCTION("""COMPUTED_VALUE"""),1.0)</f>
        <v>1</v>
      </c>
      <c r="T223" s="213">
        <f>IFERROR(__xludf.DUMMYFUNCTION("""COMPUTED_VALUE"""),3.0)</f>
        <v>3</v>
      </c>
      <c r="U223" s="270">
        <f>IFERROR(__xludf.DUMMYFUNCTION("""COMPUTED_VALUE"""),3400.0)</f>
        <v>3400</v>
      </c>
      <c r="V223" s="271" t="str">
        <f>IFERROR(__xludf.DUMMYFUNCTION("""COMPUTED_VALUE"""),"offline")</f>
        <v>offline</v>
      </c>
      <c r="W223" s="272" t="str">
        <f>IFERROR(__xludf.DUMMYFUNCTION("""COMPUTED_VALUE"""),"SMS")</f>
        <v>SMS</v>
      </c>
      <c r="X223" s="272" t="str">
        <f>IFERROR(__xludf.DUMMYFUNCTION("""COMPUTED_VALUE"""),"Store level segment ")</f>
        <v>Store level segment </v>
      </c>
      <c r="Y223" s="272" t="str">
        <f>IFERROR(__xludf.DUMMYFUNCTION("""COMPUTED_VALUE"""),"20th - 22nd Mar")</f>
        <v>20th - 22nd Mar</v>
      </c>
      <c r="Z223" s="272" t="str">
        <f>IFERROR(__xludf.DUMMYFUNCTION("""COMPUTED_VALUE"""),"69ba60dd2cfda39b3178fd0f")</f>
        <v>69ba60dd2cfda39b3178fd0f</v>
      </c>
      <c r="AA223" s="272">
        <f>IFERROR(__xludf.DUMMYFUNCTION("""COMPUTED_VALUE"""),23.0)</f>
        <v>23</v>
      </c>
      <c r="AB223" s="272"/>
      <c r="AC223" s="272">
        <f>IFERROR(__xludf.DUMMYFUNCTION("""COMPUTED_VALUE"""),23.0)</f>
        <v>23</v>
      </c>
      <c r="AD223" s="272">
        <f>IFERROR(__xludf.DUMMYFUNCTION("""COMPUTED_VALUE"""),268311.0)</f>
        <v>268311</v>
      </c>
      <c r="AE223" s="272"/>
      <c r="AF223" s="272">
        <f>IFERROR(__xludf.DUMMYFUNCTION("""COMPUTED_VALUE"""),268311.0)</f>
        <v>268311</v>
      </c>
      <c r="AG223" s="208"/>
      <c r="AH223" s="208"/>
      <c r="AI223" s="208"/>
      <c r="AJ223" s="208"/>
      <c r="AK223" s="208"/>
    </row>
    <row r="224">
      <c r="A224" s="209">
        <f>IFERROR(__xludf.DUMMYFUNCTION("""COMPUTED_VALUE"""),46101.0)</f>
        <v>46101</v>
      </c>
      <c r="B224" s="210">
        <f>IFERROR(__xludf.DUMMYFUNCTION("""COMPUTED_VALUE"""),0.4583333333321207)</f>
        <v>0.4583333333</v>
      </c>
      <c r="C224" s="211" t="str">
        <f>IFERROR(__xludf.DUMMYFUNCTION("""COMPUTED_VALUE"""),"Sms")</f>
        <v>Sms</v>
      </c>
      <c r="D224" s="211" t="str">
        <f>IFERROR(__xludf.DUMMYFUNCTION("""COMPUTED_VALUE"""),"Fallback Campaign")</f>
        <v>Fallback Campaign</v>
      </c>
      <c r="E224" s="211" t="str">
        <f>IFERROR(__xludf.DUMMYFUNCTION("""COMPUTED_VALUE"""),"VS")</f>
        <v>VS</v>
      </c>
      <c r="F224" s="211" t="str">
        <f>IFERROR(__xludf.DUMMYFUNCTION("""COMPUTED_VALUE"""),"International Fragrance Day")</f>
        <v>International Fragrance Day</v>
      </c>
      <c r="G224" s="212" t="str">
        <f>IFERROR(__xludf.DUMMYFUNCTION("""COMPUTED_VALUE"""),"IFD Store Visit - Pune (FB)")</f>
        <v>IFD Store Visit - Pune (FB)</v>
      </c>
      <c r="H224" s="212" t="str">
        <f>IFERROR(__xludf.DUMMYFUNCTION("""COMPUTED_VALUE"""),"vs_off_pr_97005_97007_16thmarch")</f>
        <v>vs_off_pr_97005_97007_16thmarch</v>
      </c>
      <c r="I224" s="212" t="str">
        <f>IFERROR(__xludf.DUMMYFUNCTION("""COMPUTED_VALUE"""),"WA Undelivered")</f>
        <v>WA Undelivered</v>
      </c>
      <c r="J224" s="213">
        <f>IFERROR(__xludf.DUMMYFUNCTION("""COMPUTED_VALUE"""),6773.0)</f>
        <v>6773</v>
      </c>
      <c r="K224" s="213">
        <f>IFERROR(__xludf.DUMMYFUNCTION("""COMPUTED_VALUE"""),4357.0)</f>
        <v>4357</v>
      </c>
      <c r="L224" s="214">
        <f>IFERROR(__xludf.DUMMYFUNCTION("""COMPUTED_VALUE"""),0.6433)</f>
        <v>0.6433</v>
      </c>
      <c r="M224" s="213"/>
      <c r="N224" s="214"/>
      <c r="O224" s="213">
        <f>IFERROR(__xludf.DUMMYFUNCTION("""COMPUTED_VALUE"""),0.0)</f>
        <v>0</v>
      </c>
      <c r="P224" s="213"/>
      <c r="Q224" s="214">
        <f>IFERROR(__xludf.DUMMYFUNCTION("""COMPUTED_VALUE"""),0.0)</f>
        <v>0</v>
      </c>
      <c r="R224" s="214"/>
      <c r="S224" s="213">
        <f>IFERROR(__xludf.DUMMYFUNCTION("""COMPUTED_VALUE"""),0.0)</f>
        <v>0</v>
      </c>
      <c r="T224" s="213">
        <f>IFERROR(__xludf.DUMMYFUNCTION("""COMPUTED_VALUE"""),0.0)</f>
        <v>0</v>
      </c>
      <c r="U224" s="270">
        <f>IFERROR(__xludf.DUMMYFUNCTION("""COMPUTED_VALUE"""),0.0)</f>
        <v>0</v>
      </c>
      <c r="V224" s="271" t="str">
        <f>IFERROR(__xludf.DUMMYFUNCTION("""COMPUTED_VALUE"""),"offline")</f>
        <v>offline</v>
      </c>
      <c r="W224" s="272" t="str">
        <f>IFERROR(__xludf.DUMMYFUNCTION("""COMPUTED_VALUE"""),"SMS")</f>
        <v>SMS</v>
      </c>
      <c r="X224" s="272" t="str">
        <f>IFERROR(__xludf.DUMMYFUNCTION("""COMPUTED_VALUE"""),"Store level segment ")</f>
        <v>Store level segment </v>
      </c>
      <c r="Y224" s="272" t="str">
        <f>IFERROR(__xludf.DUMMYFUNCTION("""COMPUTED_VALUE"""),"20th - 22nd Mar")</f>
        <v>20th - 22nd Mar</v>
      </c>
      <c r="Z224" s="272" t="str">
        <f>IFERROR(__xludf.DUMMYFUNCTION("""COMPUTED_VALUE"""),"69ba61071652d772ef3e482d")</f>
        <v>69ba61071652d772ef3e482d</v>
      </c>
      <c r="AA224" s="272">
        <f>IFERROR(__xludf.DUMMYFUNCTION("""COMPUTED_VALUE"""),14.0)</f>
        <v>14</v>
      </c>
      <c r="AB224" s="272"/>
      <c r="AC224" s="272">
        <f>IFERROR(__xludf.DUMMYFUNCTION("""COMPUTED_VALUE"""),14.0)</f>
        <v>14</v>
      </c>
      <c r="AD224" s="272">
        <f>IFERROR(__xludf.DUMMYFUNCTION("""COMPUTED_VALUE"""),77866.0)</f>
        <v>77866</v>
      </c>
      <c r="AE224" s="272"/>
      <c r="AF224" s="272">
        <f>IFERROR(__xludf.DUMMYFUNCTION("""COMPUTED_VALUE"""),77866.0)</f>
        <v>77866</v>
      </c>
      <c r="AG224" s="208"/>
      <c r="AH224" s="208"/>
      <c r="AI224" s="208"/>
      <c r="AJ224" s="208"/>
      <c r="AK224" s="208"/>
    </row>
    <row r="225">
      <c r="A225" s="209">
        <f>IFERROR(__xludf.DUMMYFUNCTION("""COMPUTED_VALUE"""),46101.0)</f>
        <v>46101</v>
      </c>
      <c r="B225" s="210">
        <f>IFERROR(__xludf.DUMMYFUNCTION("""COMPUTED_VALUE"""),0.4583333333321207)</f>
        <v>0.4583333333</v>
      </c>
      <c r="C225" s="211" t="str">
        <f>IFERROR(__xludf.DUMMYFUNCTION("""COMPUTED_VALUE"""),"Sms")</f>
        <v>Sms</v>
      </c>
      <c r="D225" s="211" t="str">
        <f>IFERROR(__xludf.DUMMYFUNCTION("""COMPUTED_VALUE"""),"Fallback Campaign")</f>
        <v>Fallback Campaign</v>
      </c>
      <c r="E225" s="211" t="str">
        <f>IFERROR(__xludf.DUMMYFUNCTION("""COMPUTED_VALUE"""),"VS")</f>
        <v>VS</v>
      </c>
      <c r="F225" s="211" t="str">
        <f>IFERROR(__xludf.DUMMYFUNCTION("""COMPUTED_VALUE"""),"International Fragrance Day")</f>
        <v>International Fragrance Day</v>
      </c>
      <c r="G225" s="212" t="str">
        <f>IFERROR(__xludf.DUMMYFUNCTION("""COMPUTED_VALUE"""),"IFD Store Visit - GGN (FB)")</f>
        <v>IFD Store Visit - GGN (FB)</v>
      </c>
      <c r="H225" s="212" t="str">
        <f>IFERROR(__xludf.DUMMYFUNCTION("""COMPUTED_VALUE"""),"vs_off_pr_97003_16thmarch")</f>
        <v>vs_off_pr_97003_16thmarch</v>
      </c>
      <c r="I225" s="212" t="str">
        <f>IFERROR(__xludf.DUMMYFUNCTION("""COMPUTED_VALUE"""),"WA Undelivered")</f>
        <v>WA Undelivered</v>
      </c>
      <c r="J225" s="213">
        <f>IFERROR(__xludf.DUMMYFUNCTION("""COMPUTED_VALUE"""),13684.0)</f>
        <v>13684</v>
      </c>
      <c r="K225" s="213">
        <f>IFERROR(__xludf.DUMMYFUNCTION("""COMPUTED_VALUE"""),7869.0)</f>
        <v>7869</v>
      </c>
      <c r="L225" s="214">
        <f>IFERROR(__xludf.DUMMYFUNCTION("""COMPUTED_VALUE"""),0.5751)</f>
        <v>0.5751</v>
      </c>
      <c r="M225" s="213"/>
      <c r="N225" s="214"/>
      <c r="O225" s="213">
        <f>IFERROR(__xludf.DUMMYFUNCTION("""COMPUTED_VALUE"""),0.0)</f>
        <v>0</v>
      </c>
      <c r="P225" s="213"/>
      <c r="Q225" s="214">
        <f>IFERROR(__xludf.DUMMYFUNCTION("""COMPUTED_VALUE"""),0.0)</f>
        <v>0</v>
      </c>
      <c r="R225" s="214"/>
      <c r="S225" s="213">
        <f>IFERROR(__xludf.DUMMYFUNCTION("""COMPUTED_VALUE"""),1.0)</f>
        <v>1</v>
      </c>
      <c r="T225" s="213">
        <f>IFERROR(__xludf.DUMMYFUNCTION("""COMPUTED_VALUE"""),2.0)</f>
        <v>2</v>
      </c>
      <c r="U225" s="270">
        <f>IFERROR(__xludf.DUMMYFUNCTION("""COMPUTED_VALUE"""),3400.0)</f>
        <v>3400</v>
      </c>
      <c r="V225" s="271" t="str">
        <f>IFERROR(__xludf.DUMMYFUNCTION("""COMPUTED_VALUE"""),"offline")</f>
        <v>offline</v>
      </c>
      <c r="W225" s="272" t="str">
        <f>IFERROR(__xludf.DUMMYFUNCTION("""COMPUTED_VALUE"""),"SMS")</f>
        <v>SMS</v>
      </c>
      <c r="X225" s="272" t="str">
        <f>IFERROR(__xludf.DUMMYFUNCTION("""COMPUTED_VALUE"""),"Store level segment ")</f>
        <v>Store level segment </v>
      </c>
      <c r="Y225" s="272" t="str">
        <f>IFERROR(__xludf.DUMMYFUNCTION("""COMPUTED_VALUE"""),"20th - 22nd Mar")</f>
        <v>20th - 22nd Mar</v>
      </c>
      <c r="Z225" s="272" t="str">
        <f>IFERROR(__xludf.DUMMYFUNCTION("""COMPUTED_VALUE"""),"69ba62110eb641e09720cc60")</f>
        <v>69ba62110eb641e09720cc60</v>
      </c>
      <c r="AA225" s="272">
        <f>IFERROR(__xludf.DUMMYFUNCTION("""COMPUTED_VALUE"""),23.0)</f>
        <v>23</v>
      </c>
      <c r="AB225" s="272"/>
      <c r="AC225" s="272">
        <f>IFERROR(__xludf.DUMMYFUNCTION("""COMPUTED_VALUE"""),23.0)</f>
        <v>23</v>
      </c>
      <c r="AD225" s="272">
        <f>IFERROR(__xludf.DUMMYFUNCTION("""COMPUTED_VALUE"""),185296.0)</f>
        <v>185296</v>
      </c>
      <c r="AE225" s="272"/>
      <c r="AF225" s="272">
        <f>IFERROR(__xludf.DUMMYFUNCTION("""COMPUTED_VALUE"""),185296.0)</f>
        <v>185296</v>
      </c>
      <c r="AG225" s="208"/>
      <c r="AH225" s="208"/>
      <c r="AI225" s="208"/>
      <c r="AJ225" s="208"/>
      <c r="AK225" s="208"/>
    </row>
    <row r="226">
      <c r="A226" s="209">
        <f>IFERROR(__xludf.DUMMYFUNCTION("""COMPUTED_VALUE"""),46101.0)</f>
        <v>46101</v>
      </c>
      <c r="B226" s="210">
        <f>IFERROR(__xludf.DUMMYFUNCTION("""COMPUTED_VALUE"""),0.4583333333321207)</f>
        <v>0.4583333333</v>
      </c>
      <c r="C226" s="211" t="str">
        <f>IFERROR(__xludf.DUMMYFUNCTION("""COMPUTED_VALUE"""),"Sms")</f>
        <v>Sms</v>
      </c>
      <c r="D226" s="211" t="str">
        <f>IFERROR(__xludf.DUMMYFUNCTION("""COMPUTED_VALUE"""),"Fallback Campaign")</f>
        <v>Fallback Campaign</v>
      </c>
      <c r="E226" s="211" t="str">
        <f>IFERROR(__xludf.DUMMYFUNCTION("""COMPUTED_VALUE"""),"VS")</f>
        <v>VS</v>
      </c>
      <c r="F226" s="211" t="str">
        <f>IFERROR(__xludf.DUMMYFUNCTION("""COMPUTED_VALUE"""),"International Fragrance Day")</f>
        <v>International Fragrance Day</v>
      </c>
      <c r="G226" s="212" t="str">
        <f>IFERROR(__xludf.DUMMYFUNCTION("""COMPUTED_VALUE"""),"IFD Store Visit - Raipur (FB)")</f>
        <v>IFD Store Visit - Raipur (FB)</v>
      </c>
      <c r="H226" s="212" t="str">
        <f>IFERROR(__xludf.DUMMYFUNCTION("""COMPUTED_VALUE"""),"vs_off_pr_1271_16thmarch")</f>
        <v>vs_off_pr_1271_16thmarch</v>
      </c>
      <c r="I226" s="212" t="str">
        <f>IFERROR(__xludf.DUMMYFUNCTION("""COMPUTED_VALUE"""),"WA Undelivered")</f>
        <v>WA Undelivered</v>
      </c>
      <c r="J226" s="213">
        <f>IFERROR(__xludf.DUMMYFUNCTION("""COMPUTED_VALUE"""),623.0)</f>
        <v>623</v>
      </c>
      <c r="K226" s="213">
        <f>IFERROR(__xludf.DUMMYFUNCTION("""COMPUTED_VALUE"""),438.0)</f>
        <v>438</v>
      </c>
      <c r="L226" s="214">
        <f>IFERROR(__xludf.DUMMYFUNCTION("""COMPUTED_VALUE"""),0.703)</f>
        <v>0.703</v>
      </c>
      <c r="M226" s="213"/>
      <c r="N226" s="214"/>
      <c r="O226" s="213">
        <f>IFERROR(__xludf.DUMMYFUNCTION("""COMPUTED_VALUE"""),0.0)</f>
        <v>0</v>
      </c>
      <c r="P226" s="213"/>
      <c r="Q226" s="214">
        <f>IFERROR(__xludf.DUMMYFUNCTION("""COMPUTED_VALUE"""),0.0)</f>
        <v>0</v>
      </c>
      <c r="R226" s="214"/>
      <c r="S226" s="213">
        <f>IFERROR(__xludf.DUMMYFUNCTION("""COMPUTED_VALUE"""),0.0)</f>
        <v>0</v>
      </c>
      <c r="T226" s="213">
        <f>IFERROR(__xludf.DUMMYFUNCTION("""COMPUTED_VALUE"""),0.0)</f>
        <v>0</v>
      </c>
      <c r="U226" s="270">
        <f>IFERROR(__xludf.DUMMYFUNCTION("""COMPUTED_VALUE"""),0.0)</f>
        <v>0</v>
      </c>
      <c r="V226" s="271" t="str">
        <f>IFERROR(__xludf.DUMMYFUNCTION("""COMPUTED_VALUE"""),"offline")</f>
        <v>offline</v>
      </c>
      <c r="W226" s="272" t="str">
        <f>IFERROR(__xludf.DUMMYFUNCTION("""COMPUTED_VALUE"""),"SMS")</f>
        <v>SMS</v>
      </c>
      <c r="X226" s="272" t="str">
        <f>IFERROR(__xludf.DUMMYFUNCTION("""COMPUTED_VALUE"""),"Store level segment ")</f>
        <v>Store level segment </v>
      </c>
      <c r="Y226" s="272" t="str">
        <f>IFERROR(__xludf.DUMMYFUNCTION("""COMPUTED_VALUE"""),"20th - 22nd Mar")</f>
        <v>20th - 22nd Mar</v>
      </c>
      <c r="Z226" s="272" t="str">
        <f>IFERROR(__xludf.DUMMYFUNCTION("""COMPUTED_VALUE"""),"69ba625001abad622f501f9d")</f>
        <v>69ba625001abad622f501f9d</v>
      </c>
      <c r="AA226" s="272">
        <f>IFERROR(__xludf.DUMMYFUNCTION("""COMPUTED_VALUE"""),1.0)</f>
        <v>1</v>
      </c>
      <c r="AB226" s="272"/>
      <c r="AC226" s="272">
        <f>IFERROR(__xludf.DUMMYFUNCTION("""COMPUTED_VALUE"""),1.0)</f>
        <v>1</v>
      </c>
      <c r="AD226" s="272">
        <f>IFERROR(__xludf.DUMMYFUNCTION("""COMPUTED_VALUE"""),9497.0)</f>
        <v>9497</v>
      </c>
      <c r="AE226" s="272"/>
      <c r="AF226" s="272">
        <f>IFERROR(__xludf.DUMMYFUNCTION("""COMPUTED_VALUE"""),9497.0)</f>
        <v>9497</v>
      </c>
      <c r="AG226" s="208"/>
      <c r="AH226" s="208"/>
      <c r="AI226" s="208"/>
      <c r="AJ226" s="208"/>
      <c r="AK226" s="208"/>
    </row>
    <row r="227">
      <c r="A227" s="209">
        <f>IFERROR(__xludf.DUMMYFUNCTION("""COMPUTED_VALUE"""),46101.0)</f>
        <v>46101</v>
      </c>
      <c r="B227" s="210">
        <f>IFERROR(__xludf.DUMMYFUNCTION("""COMPUTED_VALUE"""),0.4583333333321207)</f>
        <v>0.4583333333</v>
      </c>
      <c r="C227" s="211" t="str">
        <f>IFERROR(__xludf.DUMMYFUNCTION("""COMPUTED_VALUE"""),"Sms")</f>
        <v>Sms</v>
      </c>
      <c r="D227" s="211" t="str">
        <f>IFERROR(__xludf.DUMMYFUNCTION("""COMPUTED_VALUE"""),"Fallback Campaign")</f>
        <v>Fallback Campaign</v>
      </c>
      <c r="E227" s="211" t="str">
        <f>IFERROR(__xludf.DUMMYFUNCTION("""COMPUTED_VALUE"""),"VS")</f>
        <v>VS</v>
      </c>
      <c r="F227" s="211" t="str">
        <f>IFERROR(__xludf.DUMMYFUNCTION("""COMPUTED_VALUE"""),"International Fragrance Day")</f>
        <v>International Fragrance Day</v>
      </c>
      <c r="G227" s="212" t="str">
        <f>IFERROR(__xludf.DUMMYFUNCTION("""COMPUTED_VALUE"""),"IFD Store Visit - Lucknow (FB)")</f>
        <v>IFD Store Visit - Lucknow (FB)</v>
      </c>
      <c r="H227" s="212" t="str">
        <f>IFERROR(__xludf.DUMMYFUNCTION("""COMPUTED_VALUE"""),"vs_off_pr_1225_16thmarch")</f>
        <v>vs_off_pr_1225_16thmarch</v>
      </c>
      <c r="I227" s="212" t="str">
        <f>IFERROR(__xludf.DUMMYFUNCTION("""COMPUTED_VALUE"""),"WA Undelivered")</f>
        <v>WA Undelivered</v>
      </c>
      <c r="J227" s="213">
        <f>IFERROR(__xludf.DUMMYFUNCTION("""COMPUTED_VALUE"""),877.0)</f>
        <v>877</v>
      </c>
      <c r="K227" s="213">
        <f>IFERROR(__xludf.DUMMYFUNCTION("""COMPUTED_VALUE"""),623.0)</f>
        <v>623</v>
      </c>
      <c r="L227" s="214">
        <f>IFERROR(__xludf.DUMMYFUNCTION("""COMPUTED_VALUE"""),0.7104)</f>
        <v>0.7104</v>
      </c>
      <c r="M227" s="213"/>
      <c r="N227" s="214"/>
      <c r="O227" s="213">
        <f>IFERROR(__xludf.DUMMYFUNCTION("""COMPUTED_VALUE"""),0.0)</f>
        <v>0</v>
      </c>
      <c r="P227" s="213"/>
      <c r="Q227" s="214">
        <f>IFERROR(__xludf.DUMMYFUNCTION("""COMPUTED_VALUE"""),0.0)</f>
        <v>0</v>
      </c>
      <c r="R227" s="214"/>
      <c r="S227" s="213">
        <f>IFERROR(__xludf.DUMMYFUNCTION("""COMPUTED_VALUE"""),0.0)</f>
        <v>0</v>
      </c>
      <c r="T227" s="213">
        <f>IFERROR(__xludf.DUMMYFUNCTION("""COMPUTED_VALUE"""),0.0)</f>
        <v>0</v>
      </c>
      <c r="U227" s="270">
        <f>IFERROR(__xludf.DUMMYFUNCTION("""COMPUTED_VALUE"""),0.0)</f>
        <v>0</v>
      </c>
      <c r="V227" s="271" t="str">
        <f>IFERROR(__xludf.DUMMYFUNCTION("""COMPUTED_VALUE"""),"offline")</f>
        <v>offline</v>
      </c>
      <c r="W227" s="272" t="str">
        <f>IFERROR(__xludf.DUMMYFUNCTION("""COMPUTED_VALUE"""),"SMS")</f>
        <v>SMS</v>
      </c>
      <c r="X227" s="272" t="str">
        <f>IFERROR(__xludf.DUMMYFUNCTION("""COMPUTED_VALUE"""),"Store level segment ")</f>
        <v>Store level segment </v>
      </c>
      <c r="Y227" s="272" t="str">
        <f>IFERROR(__xludf.DUMMYFUNCTION("""COMPUTED_VALUE"""),"20th - 22nd Mar")</f>
        <v>20th - 22nd Mar</v>
      </c>
      <c r="Z227" s="272" t="str">
        <f>IFERROR(__xludf.DUMMYFUNCTION("""COMPUTED_VALUE"""),"69ba6278f7ff30bd087495d6")</f>
        <v>69ba6278f7ff30bd087495d6</v>
      </c>
      <c r="AA227" s="272">
        <f>IFERROR(__xludf.DUMMYFUNCTION("""COMPUTED_VALUE"""),1.0)</f>
        <v>1</v>
      </c>
      <c r="AB227" s="272"/>
      <c r="AC227" s="272">
        <f>IFERROR(__xludf.DUMMYFUNCTION("""COMPUTED_VALUE"""),1.0)</f>
        <v>1</v>
      </c>
      <c r="AD227" s="272">
        <f>IFERROR(__xludf.DUMMYFUNCTION("""COMPUTED_VALUE"""),6997.0)</f>
        <v>6997</v>
      </c>
      <c r="AE227" s="272"/>
      <c r="AF227" s="272">
        <f>IFERROR(__xludf.DUMMYFUNCTION("""COMPUTED_VALUE"""),6997.0)</f>
        <v>6997</v>
      </c>
      <c r="AG227" s="208"/>
      <c r="AH227" s="208"/>
      <c r="AI227" s="208"/>
      <c r="AJ227" s="208"/>
      <c r="AK227" s="208"/>
    </row>
    <row r="228">
      <c r="A228" s="209">
        <f>IFERROR(__xludf.DUMMYFUNCTION("""COMPUTED_VALUE"""),46101.0)</f>
        <v>46101</v>
      </c>
      <c r="B228" s="210">
        <f>IFERROR(__xludf.DUMMYFUNCTION("""COMPUTED_VALUE"""),0.4583333333321207)</f>
        <v>0.4583333333</v>
      </c>
      <c r="C228" s="211" t="str">
        <f>IFERROR(__xludf.DUMMYFUNCTION("""COMPUTED_VALUE"""),"Sms")</f>
        <v>Sms</v>
      </c>
      <c r="D228" s="211" t="str">
        <f>IFERROR(__xludf.DUMMYFUNCTION("""COMPUTED_VALUE"""),"Fallback Campaign")</f>
        <v>Fallback Campaign</v>
      </c>
      <c r="E228" s="211" t="str">
        <f>IFERROR(__xludf.DUMMYFUNCTION("""COMPUTED_VALUE"""),"VS")</f>
        <v>VS</v>
      </c>
      <c r="F228" s="211" t="str">
        <f>IFERROR(__xludf.DUMMYFUNCTION("""COMPUTED_VALUE"""),"International Fragrance Day")</f>
        <v>International Fragrance Day</v>
      </c>
      <c r="G228" s="212" t="str">
        <f>IFERROR(__xludf.DUMMYFUNCTION("""COMPUTED_VALUE"""),"IFD Store Visit - Kochi (FB)")</f>
        <v>IFD Store Visit - Kochi (FB)</v>
      </c>
      <c r="H228" s="212" t="str">
        <f>IFERROR(__xludf.DUMMYFUNCTION("""COMPUTED_VALUE"""),"vs_off_pr_97011_16thmarch")</f>
        <v>vs_off_pr_97011_16thmarch</v>
      </c>
      <c r="I228" s="212" t="str">
        <f>IFERROR(__xludf.DUMMYFUNCTION("""COMPUTED_VALUE"""),"WA Undelivered")</f>
        <v>WA Undelivered</v>
      </c>
      <c r="J228" s="213">
        <f>IFERROR(__xludf.DUMMYFUNCTION("""COMPUTED_VALUE"""),2317.0)</f>
        <v>2317</v>
      </c>
      <c r="K228" s="213">
        <f>IFERROR(__xludf.DUMMYFUNCTION("""COMPUTED_VALUE"""),1596.0)</f>
        <v>1596</v>
      </c>
      <c r="L228" s="214">
        <f>IFERROR(__xludf.DUMMYFUNCTION("""COMPUTED_VALUE"""),0.6888)</f>
        <v>0.6888</v>
      </c>
      <c r="M228" s="213"/>
      <c r="N228" s="214"/>
      <c r="O228" s="213">
        <f>IFERROR(__xludf.DUMMYFUNCTION("""COMPUTED_VALUE"""),0.0)</f>
        <v>0</v>
      </c>
      <c r="P228" s="213"/>
      <c r="Q228" s="214">
        <f>IFERROR(__xludf.DUMMYFUNCTION("""COMPUTED_VALUE"""),0.0)</f>
        <v>0</v>
      </c>
      <c r="R228" s="214"/>
      <c r="S228" s="213">
        <f>IFERROR(__xludf.DUMMYFUNCTION("""COMPUTED_VALUE"""),0.0)</f>
        <v>0</v>
      </c>
      <c r="T228" s="213">
        <f>IFERROR(__xludf.DUMMYFUNCTION("""COMPUTED_VALUE"""),0.0)</f>
        <v>0</v>
      </c>
      <c r="U228" s="270">
        <f>IFERROR(__xludf.DUMMYFUNCTION("""COMPUTED_VALUE"""),0.0)</f>
        <v>0</v>
      </c>
      <c r="V228" s="271" t="str">
        <f>IFERROR(__xludf.DUMMYFUNCTION("""COMPUTED_VALUE"""),"offline")</f>
        <v>offline</v>
      </c>
      <c r="W228" s="272" t="str">
        <f>IFERROR(__xludf.DUMMYFUNCTION("""COMPUTED_VALUE"""),"SMS")</f>
        <v>SMS</v>
      </c>
      <c r="X228" s="272" t="str">
        <f>IFERROR(__xludf.DUMMYFUNCTION("""COMPUTED_VALUE"""),"Store level segment ")</f>
        <v>Store level segment </v>
      </c>
      <c r="Y228" s="272" t="str">
        <f>IFERROR(__xludf.DUMMYFUNCTION("""COMPUTED_VALUE"""),"20th - 22nd Mar")</f>
        <v>20th - 22nd Mar</v>
      </c>
      <c r="Z228" s="272" t="str">
        <f>IFERROR(__xludf.DUMMYFUNCTION("""COMPUTED_VALUE"""),"69ba62c9121c343e0e31ca0d")</f>
        <v>69ba62c9121c343e0e31ca0d</v>
      </c>
      <c r="AA228" s="272">
        <f>IFERROR(__xludf.DUMMYFUNCTION("""COMPUTED_VALUE"""),3.0)</f>
        <v>3</v>
      </c>
      <c r="AB228" s="272"/>
      <c r="AC228" s="272">
        <f>IFERROR(__xludf.DUMMYFUNCTION("""COMPUTED_VALUE"""),3.0)</f>
        <v>3</v>
      </c>
      <c r="AD228" s="272">
        <f>IFERROR(__xludf.DUMMYFUNCTION("""COMPUTED_VALUE"""),13444.0)</f>
        <v>13444</v>
      </c>
      <c r="AE228" s="272"/>
      <c r="AF228" s="272">
        <f>IFERROR(__xludf.DUMMYFUNCTION("""COMPUTED_VALUE"""),13444.0)</f>
        <v>13444</v>
      </c>
      <c r="AG228" s="208"/>
      <c r="AH228" s="208"/>
      <c r="AI228" s="208"/>
      <c r="AJ228" s="208"/>
      <c r="AK228" s="208"/>
    </row>
    <row r="229">
      <c r="A229" s="209">
        <f>IFERROR(__xludf.DUMMYFUNCTION("""COMPUTED_VALUE"""),46101.0)</f>
        <v>46101</v>
      </c>
      <c r="B229" s="210">
        <f>IFERROR(__xludf.DUMMYFUNCTION("""COMPUTED_VALUE"""),0.4583333333321207)</f>
        <v>0.4583333333</v>
      </c>
      <c r="C229" s="211" t="str">
        <f>IFERROR(__xludf.DUMMYFUNCTION("""COMPUTED_VALUE"""),"Sms")</f>
        <v>Sms</v>
      </c>
      <c r="D229" s="211" t="str">
        <f>IFERROR(__xludf.DUMMYFUNCTION("""COMPUTED_VALUE"""),"Fallback Campaign")</f>
        <v>Fallback Campaign</v>
      </c>
      <c r="E229" s="211" t="str">
        <f>IFERROR(__xludf.DUMMYFUNCTION("""COMPUTED_VALUE"""),"VS")</f>
        <v>VS</v>
      </c>
      <c r="F229" s="211" t="str">
        <f>IFERROR(__xludf.DUMMYFUNCTION("""COMPUTED_VALUE"""),"International Fragrance Day")</f>
        <v>International Fragrance Day</v>
      </c>
      <c r="G229" s="212" t="str">
        <f>IFERROR(__xludf.DUMMYFUNCTION("""COMPUTED_VALUE"""),"IFD Store Visit - Chennai (FB)")</f>
        <v>IFD Store Visit - Chennai (FB)</v>
      </c>
      <c r="H229" s="212" t="str">
        <f>IFERROR(__xludf.DUMMYFUNCTION("""COMPUTED_VALUE"""),"vs_off_pr_1252_16thmarch")</f>
        <v>vs_off_pr_1252_16thmarch</v>
      </c>
      <c r="I229" s="212" t="str">
        <f>IFERROR(__xludf.DUMMYFUNCTION("""COMPUTED_VALUE"""),"WA Undelivered")</f>
        <v>WA Undelivered</v>
      </c>
      <c r="J229" s="213">
        <f>IFERROR(__xludf.DUMMYFUNCTION("""COMPUTED_VALUE"""),1420.0)</f>
        <v>1420</v>
      </c>
      <c r="K229" s="213">
        <f>IFERROR(__xludf.DUMMYFUNCTION("""COMPUTED_VALUE"""),990.0)</f>
        <v>990</v>
      </c>
      <c r="L229" s="214">
        <f>IFERROR(__xludf.DUMMYFUNCTION("""COMPUTED_VALUE"""),0.6972)</f>
        <v>0.6972</v>
      </c>
      <c r="M229" s="213"/>
      <c r="N229" s="214"/>
      <c r="O229" s="213">
        <f>IFERROR(__xludf.DUMMYFUNCTION("""COMPUTED_VALUE"""),0.0)</f>
        <v>0</v>
      </c>
      <c r="P229" s="213"/>
      <c r="Q229" s="214">
        <f>IFERROR(__xludf.DUMMYFUNCTION("""COMPUTED_VALUE"""),0.0)</f>
        <v>0</v>
      </c>
      <c r="R229" s="214"/>
      <c r="S229" s="213">
        <f>IFERROR(__xludf.DUMMYFUNCTION("""COMPUTED_VALUE"""),0.0)</f>
        <v>0</v>
      </c>
      <c r="T229" s="213">
        <f>IFERROR(__xludf.DUMMYFUNCTION("""COMPUTED_VALUE"""),0.0)</f>
        <v>0</v>
      </c>
      <c r="U229" s="270">
        <f>IFERROR(__xludf.DUMMYFUNCTION("""COMPUTED_VALUE"""),0.0)</f>
        <v>0</v>
      </c>
      <c r="V229" s="271" t="str">
        <f>IFERROR(__xludf.DUMMYFUNCTION("""COMPUTED_VALUE"""),"offline")</f>
        <v>offline</v>
      </c>
      <c r="W229" s="272" t="str">
        <f>IFERROR(__xludf.DUMMYFUNCTION("""COMPUTED_VALUE"""),"SMS")</f>
        <v>SMS</v>
      </c>
      <c r="X229" s="272" t="str">
        <f>IFERROR(__xludf.DUMMYFUNCTION("""COMPUTED_VALUE"""),"Store level segment ")</f>
        <v>Store level segment </v>
      </c>
      <c r="Y229" s="272" t="str">
        <f>IFERROR(__xludf.DUMMYFUNCTION("""COMPUTED_VALUE"""),"20th - 22nd Mar")</f>
        <v>20th - 22nd Mar</v>
      </c>
      <c r="Z229" s="272" t="str">
        <f>IFERROR(__xludf.DUMMYFUNCTION("""COMPUTED_VALUE"""),"69ba62f70eb641e09720cc6c")</f>
        <v>69ba62f70eb641e09720cc6c</v>
      </c>
      <c r="AA229" s="272">
        <f>IFERROR(__xludf.DUMMYFUNCTION("""COMPUTED_VALUE"""),2.0)</f>
        <v>2</v>
      </c>
      <c r="AB229" s="272"/>
      <c r="AC229" s="272">
        <f>IFERROR(__xludf.DUMMYFUNCTION("""COMPUTED_VALUE"""),2.0)</f>
        <v>2</v>
      </c>
      <c r="AD229" s="272">
        <f>IFERROR(__xludf.DUMMYFUNCTION("""COMPUTED_VALUE"""),16544.0)</f>
        <v>16544</v>
      </c>
      <c r="AE229" s="272"/>
      <c r="AF229" s="272">
        <f>IFERROR(__xludf.DUMMYFUNCTION("""COMPUTED_VALUE"""),16544.0)</f>
        <v>16544</v>
      </c>
      <c r="AG229" s="208"/>
      <c r="AH229" s="208"/>
      <c r="AI229" s="208"/>
      <c r="AJ229" s="208"/>
      <c r="AK229" s="208"/>
    </row>
    <row r="230">
      <c r="A230" s="209">
        <f>IFERROR(__xludf.DUMMYFUNCTION("""COMPUTED_VALUE"""),46101.0)</f>
        <v>46101</v>
      </c>
      <c r="B230" s="210">
        <f>IFERROR(__xludf.DUMMYFUNCTION("""COMPUTED_VALUE"""),0.4583333333321207)</f>
        <v>0.4583333333</v>
      </c>
      <c r="C230" s="211" t="str">
        <f>IFERROR(__xludf.DUMMYFUNCTION("""COMPUTED_VALUE"""),"Sms")</f>
        <v>Sms</v>
      </c>
      <c r="D230" s="211" t="str">
        <f>IFERROR(__xludf.DUMMYFUNCTION("""COMPUTED_VALUE"""),"Fallback Campaign")</f>
        <v>Fallback Campaign</v>
      </c>
      <c r="E230" s="211" t="str">
        <f>IFERROR(__xludf.DUMMYFUNCTION("""COMPUTED_VALUE"""),"VS")</f>
        <v>VS</v>
      </c>
      <c r="F230" s="211" t="str">
        <f>IFERROR(__xludf.DUMMYFUNCTION("""COMPUTED_VALUE"""),"International Fragrance Day")</f>
        <v>International Fragrance Day</v>
      </c>
      <c r="G230" s="212" t="str">
        <f>IFERROR(__xludf.DUMMYFUNCTION("""COMPUTED_VALUE"""),"IFD Store Visit - BLR FA (FB)")</f>
        <v>IFD Store Visit - BLR FA (FB)</v>
      </c>
      <c r="H230" s="212" t="str">
        <f>IFERROR(__xludf.DUMMYFUNCTION("""COMPUTED_VALUE"""),"vs_off_pr_FA_97004_1273_16thmarch")</f>
        <v>vs_off_pr_FA_97004_1273_16thmarch</v>
      </c>
      <c r="I230" s="212" t="str">
        <f>IFERROR(__xludf.DUMMYFUNCTION("""COMPUTED_VALUE"""),"WA Undelivered")</f>
        <v>WA Undelivered</v>
      </c>
      <c r="J230" s="213">
        <f>IFERROR(__xludf.DUMMYFUNCTION("""COMPUTED_VALUE"""),9979.0)</f>
        <v>9979</v>
      </c>
      <c r="K230" s="213">
        <f>IFERROR(__xludf.DUMMYFUNCTION("""COMPUTED_VALUE"""),6481.0)</f>
        <v>6481</v>
      </c>
      <c r="L230" s="214">
        <f>IFERROR(__xludf.DUMMYFUNCTION("""COMPUTED_VALUE"""),0.6495)</f>
        <v>0.6495</v>
      </c>
      <c r="M230" s="213"/>
      <c r="N230" s="214"/>
      <c r="O230" s="213">
        <f>IFERROR(__xludf.DUMMYFUNCTION("""COMPUTED_VALUE"""),0.0)</f>
        <v>0</v>
      </c>
      <c r="P230" s="213"/>
      <c r="Q230" s="214">
        <f>IFERROR(__xludf.DUMMYFUNCTION("""COMPUTED_VALUE"""),0.0)</f>
        <v>0</v>
      </c>
      <c r="R230" s="214"/>
      <c r="S230" s="213">
        <f>IFERROR(__xludf.DUMMYFUNCTION("""COMPUTED_VALUE"""),0.0)</f>
        <v>0</v>
      </c>
      <c r="T230" s="213">
        <f>IFERROR(__xludf.DUMMYFUNCTION("""COMPUTED_VALUE"""),0.0)</f>
        <v>0</v>
      </c>
      <c r="U230" s="270">
        <f>IFERROR(__xludf.DUMMYFUNCTION("""COMPUTED_VALUE"""),0.0)</f>
        <v>0</v>
      </c>
      <c r="V230" s="271" t="str">
        <f>IFERROR(__xludf.DUMMYFUNCTION("""COMPUTED_VALUE"""),"offline")</f>
        <v>offline</v>
      </c>
      <c r="W230" s="272" t="str">
        <f>IFERROR(__xludf.DUMMYFUNCTION("""COMPUTED_VALUE"""),"SMS")</f>
        <v>SMS</v>
      </c>
      <c r="X230" s="272" t="str">
        <f>IFERROR(__xludf.DUMMYFUNCTION("""COMPUTED_VALUE"""),"Store level segment ")</f>
        <v>Store level segment </v>
      </c>
      <c r="Y230" s="272" t="str">
        <f>IFERROR(__xludf.DUMMYFUNCTION("""COMPUTED_VALUE"""),"20th - 22nd Mar")</f>
        <v>20th - 22nd Mar</v>
      </c>
      <c r="Z230" s="272" t="str">
        <f>IFERROR(__xludf.DUMMYFUNCTION("""COMPUTED_VALUE"""),"69ba631e0eb641e09720cca9")</f>
        <v>69ba631e0eb641e09720cca9</v>
      </c>
      <c r="AA230" s="272">
        <f>IFERROR(__xludf.DUMMYFUNCTION("""COMPUTED_VALUE"""),11.0)</f>
        <v>11</v>
      </c>
      <c r="AB230" s="272"/>
      <c r="AC230" s="272">
        <f>IFERROR(__xludf.DUMMYFUNCTION("""COMPUTED_VALUE"""),11.0)</f>
        <v>11</v>
      </c>
      <c r="AD230" s="272">
        <f>IFERROR(__xludf.DUMMYFUNCTION("""COMPUTED_VALUE"""),39047.0)</f>
        <v>39047</v>
      </c>
      <c r="AE230" s="272"/>
      <c r="AF230" s="272">
        <f>IFERROR(__xludf.DUMMYFUNCTION("""COMPUTED_VALUE"""),39047.0)</f>
        <v>39047</v>
      </c>
      <c r="AG230" s="208"/>
      <c r="AH230" s="208"/>
      <c r="AI230" s="208"/>
      <c r="AJ230" s="208"/>
      <c r="AK230" s="208"/>
    </row>
    <row r="231">
      <c r="A231" s="209">
        <f>IFERROR(__xludf.DUMMYFUNCTION("""COMPUTED_VALUE"""),46101.0)</f>
        <v>46101</v>
      </c>
      <c r="B231" s="210">
        <f>IFERROR(__xludf.DUMMYFUNCTION("""COMPUTED_VALUE"""),0.4583333333321207)</f>
        <v>0.4583333333</v>
      </c>
      <c r="C231" s="211" t="str">
        <f>IFERROR(__xludf.DUMMYFUNCTION("""COMPUTED_VALUE"""),"Sms")</f>
        <v>Sms</v>
      </c>
      <c r="D231" s="211" t="str">
        <f>IFERROR(__xludf.DUMMYFUNCTION("""COMPUTED_VALUE"""),"Fallback Campaign")</f>
        <v>Fallback Campaign</v>
      </c>
      <c r="E231" s="211" t="str">
        <f>IFERROR(__xludf.DUMMYFUNCTION("""COMPUTED_VALUE"""),"VS")</f>
        <v>VS</v>
      </c>
      <c r="F231" s="211" t="str">
        <f>IFERROR(__xludf.DUMMYFUNCTION("""COMPUTED_VALUE"""),"International Fragrance Day")</f>
        <v>International Fragrance Day</v>
      </c>
      <c r="G231" s="212" t="str">
        <f>IFERROR(__xludf.DUMMYFUNCTION("""COMPUTED_VALUE"""),"IFD Store Visit - BLR BA (FB)")</f>
        <v>IFD Store Visit - BLR BA (FB)</v>
      </c>
      <c r="H231" s="212" t="str">
        <f>IFERROR(__xludf.DUMMYFUNCTION("""COMPUTED_VALUE"""),"vs_off_pr_FA_97012_16thmarch")</f>
        <v>vs_off_pr_FA_97012_16thmarch</v>
      </c>
      <c r="I231" s="212" t="str">
        <f>IFERROR(__xludf.DUMMYFUNCTION("""COMPUTED_VALUE"""),"WA Undelivered")</f>
        <v>WA Undelivered</v>
      </c>
      <c r="J231" s="213">
        <f>IFERROR(__xludf.DUMMYFUNCTION("""COMPUTED_VALUE"""),3160.0)</f>
        <v>3160</v>
      </c>
      <c r="K231" s="213">
        <f>IFERROR(__xludf.DUMMYFUNCTION("""COMPUTED_VALUE"""),2168.0)</f>
        <v>2168</v>
      </c>
      <c r="L231" s="214">
        <f>IFERROR(__xludf.DUMMYFUNCTION("""COMPUTED_VALUE"""),0.6861)</f>
        <v>0.6861</v>
      </c>
      <c r="M231" s="213"/>
      <c r="N231" s="214"/>
      <c r="O231" s="213">
        <f>IFERROR(__xludf.DUMMYFUNCTION("""COMPUTED_VALUE"""),0.0)</f>
        <v>0</v>
      </c>
      <c r="P231" s="213"/>
      <c r="Q231" s="214">
        <f>IFERROR(__xludf.DUMMYFUNCTION("""COMPUTED_VALUE"""),0.0)</f>
        <v>0</v>
      </c>
      <c r="R231" s="214"/>
      <c r="S231" s="213">
        <f>IFERROR(__xludf.DUMMYFUNCTION("""COMPUTED_VALUE"""),0.0)</f>
        <v>0</v>
      </c>
      <c r="T231" s="213">
        <f>IFERROR(__xludf.DUMMYFUNCTION("""COMPUTED_VALUE"""),0.0)</f>
        <v>0</v>
      </c>
      <c r="U231" s="270">
        <f>IFERROR(__xludf.DUMMYFUNCTION("""COMPUTED_VALUE"""),0.0)</f>
        <v>0</v>
      </c>
      <c r="V231" s="271" t="str">
        <f>IFERROR(__xludf.DUMMYFUNCTION("""COMPUTED_VALUE"""),"offline")</f>
        <v>offline</v>
      </c>
      <c r="W231" s="272" t="str">
        <f>IFERROR(__xludf.DUMMYFUNCTION("""COMPUTED_VALUE"""),"SMS")</f>
        <v>SMS</v>
      </c>
      <c r="X231" s="272" t="str">
        <f>IFERROR(__xludf.DUMMYFUNCTION("""COMPUTED_VALUE"""),"Store level segment ")</f>
        <v>Store level segment </v>
      </c>
      <c r="Y231" s="272" t="str">
        <f>IFERROR(__xludf.DUMMYFUNCTION("""COMPUTED_VALUE"""),"20th - 22nd Mar")</f>
        <v>20th - 22nd Mar</v>
      </c>
      <c r="Z231" s="272" t="str">
        <f>IFERROR(__xludf.DUMMYFUNCTION("""COMPUTED_VALUE"""),"69ba6b5adf847431352aa55d")</f>
        <v>69ba6b5adf847431352aa55d</v>
      </c>
      <c r="AA231" s="272">
        <f>IFERROR(__xludf.DUMMYFUNCTION("""COMPUTED_VALUE"""),5.0)</f>
        <v>5</v>
      </c>
      <c r="AB231" s="272"/>
      <c r="AC231" s="272">
        <f>IFERROR(__xludf.DUMMYFUNCTION("""COMPUTED_VALUE"""),5.0)</f>
        <v>5</v>
      </c>
      <c r="AD231" s="272">
        <f>IFERROR(__xludf.DUMMYFUNCTION("""COMPUTED_VALUE"""),16094.0)</f>
        <v>16094</v>
      </c>
      <c r="AE231" s="272"/>
      <c r="AF231" s="272">
        <f>IFERROR(__xludf.DUMMYFUNCTION("""COMPUTED_VALUE"""),16094.0)</f>
        <v>16094</v>
      </c>
      <c r="AG231" s="208"/>
      <c r="AH231" s="208"/>
      <c r="AI231" s="208"/>
      <c r="AJ231" s="208"/>
      <c r="AK231" s="208"/>
    </row>
    <row r="232">
      <c r="A232" s="209">
        <f>IFERROR(__xludf.DUMMYFUNCTION("""COMPUTED_VALUE"""),46101.0)</f>
        <v>46101</v>
      </c>
      <c r="B232" s="210">
        <f>IFERROR(__xludf.DUMMYFUNCTION("""COMPUTED_VALUE"""),0.4583333333321207)</f>
        <v>0.4583333333</v>
      </c>
      <c r="C232" s="211" t="str">
        <f>IFERROR(__xludf.DUMMYFUNCTION("""COMPUTED_VALUE"""),"Sms")</f>
        <v>Sms</v>
      </c>
      <c r="D232" s="211" t="str">
        <f>IFERROR(__xludf.DUMMYFUNCTION("""COMPUTED_VALUE"""),"Fallback Campaign")</f>
        <v>Fallback Campaign</v>
      </c>
      <c r="E232" s="211" t="str">
        <f>IFERROR(__xludf.DUMMYFUNCTION("""COMPUTED_VALUE"""),"VS")</f>
        <v>VS</v>
      </c>
      <c r="F232" s="211" t="str">
        <f>IFERROR(__xludf.DUMMYFUNCTION("""COMPUTED_VALUE"""),"International Fragrance Day")</f>
        <v>International Fragrance Day</v>
      </c>
      <c r="G232" s="212" t="str">
        <f>IFERROR(__xludf.DUMMYFUNCTION("""COMPUTED_VALUE"""),"IFD Store Visit - Mumbai BA (FB)")</f>
        <v>IFD Store Visit - Mumbai BA (FB)</v>
      </c>
      <c r="H232" s="212" t="str">
        <f>IFERROR(__xludf.DUMMYFUNCTION("""COMPUTED_VALUE"""),"vs_off_pr_BA_97008_97009_16thmarch")</f>
        <v>vs_off_pr_BA_97008_97009_16thmarch</v>
      </c>
      <c r="I232" s="212" t="str">
        <f>IFERROR(__xludf.DUMMYFUNCTION("""COMPUTED_VALUE"""),"WA Undelivered")</f>
        <v>WA Undelivered</v>
      </c>
      <c r="J232" s="213">
        <f>IFERROR(__xludf.DUMMYFUNCTION("""COMPUTED_VALUE"""),6392.0)</f>
        <v>6392</v>
      </c>
      <c r="K232" s="213">
        <f>IFERROR(__xludf.DUMMYFUNCTION("""COMPUTED_VALUE"""),4001.0)</f>
        <v>4001</v>
      </c>
      <c r="L232" s="214">
        <f>IFERROR(__xludf.DUMMYFUNCTION("""COMPUTED_VALUE"""),0.6259)</f>
        <v>0.6259</v>
      </c>
      <c r="M232" s="213"/>
      <c r="N232" s="214"/>
      <c r="O232" s="213">
        <f>IFERROR(__xludf.DUMMYFUNCTION("""COMPUTED_VALUE"""),0.0)</f>
        <v>0</v>
      </c>
      <c r="P232" s="213"/>
      <c r="Q232" s="214">
        <f>IFERROR(__xludf.DUMMYFUNCTION("""COMPUTED_VALUE"""),0.0)</f>
        <v>0</v>
      </c>
      <c r="R232" s="214"/>
      <c r="S232" s="213">
        <f>IFERROR(__xludf.DUMMYFUNCTION("""COMPUTED_VALUE"""),0.0)</f>
        <v>0</v>
      </c>
      <c r="T232" s="213">
        <f>IFERROR(__xludf.DUMMYFUNCTION("""COMPUTED_VALUE"""),0.0)</f>
        <v>0</v>
      </c>
      <c r="U232" s="270">
        <f>IFERROR(__xludf.DUMMYFUNCTION("""COMPUTED_VALUE"""),0.0)</f>
        <v>0</v>
      </c>
      <c r="V232" s="271" t="str">
        <f>IFERROR(__xludf.DUMMYFUNCTION("""COMPUTED_VALUE"""),"offline")</f>
        <v>offline</v>
      </c>
      <c r="W232" s="272" t="str">
        <f>IFERROR(__xludf.DUMMYFUNCTION("""COMPUTED_VALUE"""),"SMS")</f>
        <v>SMS</v>
      </c>
      <c r="X232" s="272" t="str">
        <f>IFERROR(__xludf.DUMMYFUNCTION("""COMPUTED_VALUE"""),"Store level segment ")</f>
        <v>Store level segment </v>
      </c>
      <c r="Y232" s="272" t="str">
        <f>IFERROR(__xludf.DUMMYFUNCTION("""COMPUTED_VALUE"""),"20th - 22nd Mar")</f>
        <v>20th - 22nd Mar</v>
      </c>
      <c r="Z232" s="272" t="str">
        <f>IFERROR(__xludf.DUMMYFUNCTION("""COMPUTED_VALUE"""),"69ba6c19061dd51a8fceece1")</f>
        <v>69ba6c19061dd51a8fceece1</v>
      </c>
      <c r="AA232" s="272">
        <f>IFERROR(__xludf.DUMMYFUNCTION("""COMPUTED_VALUE"""),12.0)</f>
        <v>12</v>
      </c>
      <c r="AB232" s="272"/>
      <c r="AC232" s="272">
        <f>IFERROR(__xludf.DUMMYFUNCTION("""COMPUTED_VALUE"""),12.0)</f>
        <v>12</v>
      </c>
      <c r="AD232" s="272">
        <f>IFERROR(__xludf.DUMMYFUNCTION("""COMPUTED_VALUE"""),125313.0)</f>
        <v>125313</v>
      </c>
      <c r="AE232" s="272"/>
      <c r="AF232" s="272">
        <f>IFERROR(__xludf.DUMMYFUNCTION("""COMPUTED_VALUE"""),125313.0)</f>
        <v>125313</v>
      </c>
      <c r="AG232" s="208"/>
      <c r="AH232" s="208"/>
      <c r="AI232" s="208"/>
      <c r="AJ232" s="208"/>
      <c r="AK232" s="208"/>
    </row>
    <row r="233">
      <c r="A233" s="209">
        <f>IFERROR(__xludf.DUMMYFUNCTION("""COMPUTED_VALUE"""),46101.0)</f>
        <v>46101</v>
      </c>
      <c r="B233" s="210">
        <f>IFERROR(__xludf.DUMMYFUNCTION("""COMPUTED_VALUE"""),0.4583333333321207)</f>
        <v>0.4583333333</v>
      </c>
      <c r="C233" s="211" t="str">
        <f>IFERROR(__xludf.DUMMYFUNCTION("""COMPUTED_VALUE"""),"Sms")</f>
        <v>Sms</v>
      </c>
      <c r="D233" s="211" t="str">
        <f>IFERROR(__xludf.DUMMYFUNCTION("""COMPUTED_VALUE"""),"Fallback Campaign")</f>
        <v>Fallback Campaign</v>
      </c>
      <c r="E233" s="211" t="str">
        <f>IFERROR(__xludf.DUMMYFUNCTION("""COMPUTED_VALUE"""),"VS")</f>
        <v>VS</v>
      </c>
      <c r="F233" s="211" t="str">
        <f>IFERROR(__xludf.DUMMYFUNCTION("""COMPUTED_VALUE"""),"International Fragrance Day")</f>
        <v>International Fragrance Day</v>
      </c>
      <c r="G233" s="212" t="str">
        <f>IFERROR(__xludf.DUMMYFUNCTION("""COMPUTED_VALUE"""),"IFD Store Visit - Mumbai FA (FB)")</f>
        <v>IFD Store Visit - Mumbai FA (FB)</v>
      </c>
      <c r="H233" s="212" t="str">
        <f>IFERROR(__xludf.DUMMYFUNCTION("""COMPUTED_VALUE"""),"vs_off_pr_97001_16thmarch")</f>
        <v>vs_off_pr_97001_16thmarch</v>
      </c>
      <c r="I233" s="212" t="str">
        <f>IFERROR(__xludf.DUMMYFUNCTION("""COMPUTED_VALUE"""),"WA Undelivered")</f>
        <v>WA Undelivered</v>
      </c>
      <c r="J233" s="213">
        <f>IFERROR(__xludf.DUMMYFUNCTION("""COMPUTED_VALUE"""),14386.0)</f>
        <v>14386</v>
      </c>
      <c r="K233" s="213">
        <f>IFERROR(__xludf.DUMMYFUNCTION("""COMPUTED_VALUE"""),7952.0)</f>
        <v>7952</v>
      </c>
      <c r="L233" s="214">
        <f>IFERROR(__xludf.DUMMYFUNCTION("""COMPUTED_VALUE"""),0.5528)</f>
        <v>0.5528</v>
      </c>
      <c r="M233" s="213"/>
      <c r="N233" s="214"/>
      <c r="O233" s="213">
        <f>IFERROR(__xludf.DUMMYFUNCTION("""COMPUTED_VALUE"""),0.0)</f>
        <v>0</v>
      </c>
      <c r="P233" s="213"/>
      <c r="Q233" s="214">
        <f>IFERROR(__xludf.DUMMYFUNCTION("""COMPUTED_VALUE"""),0.0)</f>
        <v>0</v>
      </c>
      <c r="R233" s="214"/>
      <c r="S233" s="213">
        <f>IFERROR(__xludf.DUMMYFUNCTION("""COMPUTED_VALUE"""),0.0)</f>
        <v>0</v>
      </c>
      <c r="T233" s="213">
        <f>IFERROR(__xludf.DUMMYFUNCTION("""COMPUTED_VALUE"""),0.0)</f>
        <v>0</v>
      </c>
      <c r="U233" s="270">
        <f>IFERROR(__xludf.DUMMYFUNCTION("""COMPUTED_VALUE"""),0.0)</f>
        <v>0</v>
      </c>
      <c r="V233" s="271" t="str">
        <f>IFERROR(__xludf.DUMMYFUNCTION("""COMPUTED_VALUE"""),"offline")</f>
        <v>offline</v>
      </c>
      <c r="W233" s="272" t="str">
        <f>IFERROR(__xludf.DUMMYFUNCTION("""COMPUTED_VALUE"""),"SMS")</f>
        <v>SMS</v>
      </c>
      <c r="X233" s="272" t="str">
        <f>IFERROR(__xludf.DUMMYFUNCTION("""COMPUTED_VALUE"""),"Store level segment ")</f>
        <v>Store level segment </v>
      </c>
      <c r="Y233" s="272" t="str">
        <f>IFERROR(__xludf.DUMMYFUNCTION("""COMPUTED_VALUE"""),"20th - 22nd Mar")</f>
        <v>20th - 22nd Mar</v>
      </c>
      <c r="Z233" s="272" t="str">
        <f>IFERROR(__xludf.DUMMYFUNCTION("""COMPUTED_VALUE"""),"69ba6c4492e3a078bfd76807")</f>
        <v>69ba6c4492e3a078bfd76807</v>
      </c>
      <c r="AA233" s="272">
        <f>IFERROR(__xludf.DUMMYFUNCTION("""COMPUTED_VALUE"""),30.0)</f>
        <v>30</v>
      </c>
      <c r="AB233" s="272"/>
      <c r="AC233" s="272">
        <f>IFERROR(__xludf.DUMMYFUNCTION("""COMPUTED_VALUE"""),30.0)</f>
        <v>30</v>
      </c>
      <c r="AD233" s="272">
        <f>IFERROR(__xludf.DUMMYFUNCTION("""COMPUTED_VALUE"""),344005.0)</f>
        <v>344005</v>
      </c>
      <c r="AE233" s="272"/>
      <c r="AF233" s="272">
        <f>IFERROR(__xludf.DUMMYFUNCTION("""COMPUTED_VALUE"""),344005.0)</f>
        <v>344005</v>
      </c>
      <c r="AG233" s="208"/>
      <c r="AH233" s="208"/>
      <c r="AI233" s="208"/>
      <c r="AJ233" s="208"/>
      <c r="AK233" s="208"/>
    </row>
    <row r="234">
      <c r="A234" s="209">
        <f>IFERROR(__xludf.DUMMYFUNCTION("""COMPUTED_VALUE"""),46107.0)</f>
        <v>46107</v>
      </c>
      <c r="B234" s="210">
        <f>IFERROR(__xludf.DUMMYFUNCTION("""COMPUTED_VALUE"""),0.75)</f>
        <v>0.75</v>
      </c>
      <c r="C234" s="211" t="str">
        <f>IFERROR(__xludf.DUMMYFUNCTION("""COMPUTED_VALUE"""),"Whatsapp")</f>
        <v>Whatsapp</v>
      </c>
      <c r="D234" s="211" t="str">
        <f>IFERROR(__xludf.DUMMYFUNCTION("""COMPUTED_VALUE"""),"Promotional")</f>
        <v>Promotional</v>
      </c>
      <c r="E234" s="211" t="str">
        <f>IFERROR(__xludf.DUMMYFUNCTION("""COMPUTED_VALUE"""),"VS")</f>
        <v>VS</v>
      </c>
      <c r="F234" s="211" t="str">
        <f>IFERROR(__xludf.DUMMYFUNCTION("""COMPUTED_VALUE"""),"Pajama campaign ")</f>
        <v>Pajama campaign </v>
      </c>
      <c r="G234" s="212" t="str">
        <f>IFERROR(__xludf.DUMMYFUNCTION("""COMPUTED_VALUE"""),"PJ_Party_VI_On")</f>
        <v>PJ_Party_VI_On</v>
      </c>
      <c r="H234" s="212" t="str">
        <f>IFERROR(__xludf.DUMMYFUNCTION("""COMPUTED_VALUE"""),"View_Item_PJ_90D")</f>
        <v>View_Item_PJ_90D</v>
      </c>
      <c r="I234" s="212" t="str">
        <f>IFERROR(__xludf.DUMMYFUNCTION("""COMPUTED_VALUE"""),"Customers who have viewed items from Pajama Sets at least 2 times in the last 90 days")</f>
        <v>Customers who have viewed items from Pajama Sets at least 2 times in the last 90 days</v>
      </c>
      <c r="J234" s="213">
        <f>IFERROR(__xludf.DUMMYFUNCTION("""COMPUTED_VALUE"""),825.0)</f>
        <v>825</v>
      </c>
      <c r="K234" s="213">
        <f>IFERROR(__xludf.DUMMYFUNCTION("""COMPUTED_VALUE"""),424.0)</f>
        <v>424</v>
      </c>
      <c r="L234" s="214">
        <f>IFERROR(__xludf.DUMMYFUNCTION("""COMPUTED_VALUE"""),0.5139)</f>
        <v>0.5139</v>
      </c>
      <c r="M234" s="213">
        <f>IFERROR(__xludf.DUMMYFUNCTION("""COMPUTED_VALUE"""),103.0)</f>
        <v>103</v>
      </c>
      <c r="N234" s="214">
        <f>IFERROR(__xludf.DUMMYFUNCTION("""COMPUTED_VALUE"""),0.2429)</f>
        <v>0.2429</v>
      </c>
      <c r="O234" s="213">
        <f>IFERROR(__xludf.DUMMYFUNCTION("""COMPUTED_VALUE"""),25.0)</f>
        <v>25</v>
      </c>
      <c r="P234" s="213">
        <f>IFERROR(__xludf.DUMMYFUNCTION("""COMPUTED_VALUE"""),25.0)</f>
        <v>25</v>
      </c>
      <c r="Q234" s="214">
        <f>IFERROR(__xludf.DUMMYFUNCTION("""COMPUTED_VALUE"""),0.059)</f>
        <v>0.059</v>
      </c>
      <c r="R234" s="214">
        <f>IFERROR(__xludf.DUMMYFUNCTION("""COMPUTED_VALUE"""),0.2427)</f>
        <v>0.2427</v>
      </c>
      <c r="S234" s="213">
        <f>IFERROR(__xludf.DUMMYFUNCTION("""COMPUTED_VALUE"""),5.0)</f>
        <v>5</v>
      </c>
      <c r="T234" s="213">
        <f>IFERROR(__xludf.DUMMYFUNCTION("""COMPUTED_VALUE"""),17.0)</f>
        <v>17</v>
      </c>
      <c r="U234" s="270">
        <f>IFERROR(__xludf.DUMMYFUNCTION("""COMPUTED_VALUE"""),24741.0)</f>
        <v>24741</v>
      </c>
      <c r="V234" s="271" t="str">
        <f>IFERROR(__xludf.DUMMYFUNCTION("""COMPUTED_VALUE"""),"online")</f>
        <v>online</v>
      </c>
      <c r="W234" s="272" t="str">
        <f>IFERROR(__xludf.DUMMYFUNCTION("""COMPUTED_VALUE"""),"simple")</f>
        <v>simple</v>
      </c>
      <c r="X234" s="272" t="str">
        <f>IFERROR(__xludf.DUMMYFUNCTION("""COMPUTED_VALUE"""),"View Item")</f>
        <v>View Item</v>
      </c>
      <c r="Y234" s="272" t="str">
        <f>IFERROR(__xludf.DUMMYFUNCTION("""COMPUTED_VALUE"""),"26th - 29th March")</f>
        <v>26th - 29th March</v>
      </c>
      <c r="Z234" s="272" t="str">
        <f>IFERROR(__xludf.DUMMYFUNCTION("""COMPUTED_VALUE"""),"69c4d7aaed863178a4769168")</f>
        <v>69c4d7aaed863178a4769168</v>
      </c>
      <c r="AA234" s="272">
        <f>IFERROR(__xludf.DUMMYFUNCTION("""COMPUTED_VALUE"""),5.0)</f>
        <v>5</v>
      </c>
      <c r="AB234" s="272">
        <f>IFERROR(__xludf.DUMMYFUNCTION("""COMPUTED_VALUE"""),5.0)</f>
        <v>5</v>
      </c>
      <c r="AC234" s="272"/>
      <c r="AD234" s="272">
        <f>IFERROR(__xludf.DUMMYFUNCTION("""COMPUTED_VALUE"""),42683.0)</f>
        <v>42683</v>
      </c>
      <c r="AE234" s="272">
        <f>IFERROR(__xludf.DUMMYFUNCTION("""COMPUTED_VALUE"""),42683.0)</f>
        <v>42683</v>
      </c>
      <c r="AF234" s="272"/>
      <c r="AG234" s="208"/>
      <c r="AH234" s="208"/>
      <c r="AI234" s="208"/>
      <c r="AJ234" s="208"/>
      <c r="AK234" s="208"/>
    </row>
    <row r="235">
      <c r="A235" s="209">
        <f>IFERROR(__xludf.DUMMYFUNCTION("""COMPUTED_VALUE"""),46107.0)</f>
        <v>46107</v>
      </c>
      <c r="B235" s="210">
        <f>IFERROR(__xludf.DUMMYFUNCTION("""COMPUTED_VALUE"""),0.7534722222226264)</f>
        <v>0.7534722222</v>
      </c>
      <c r="C235" s="211" t="str">
        <f>IFERROR(__xludf.DUMMYFUNCTION("""COMPUTED_VALUE"""),"Whatsapp")</f>
        <v>Whatsapp</v>
      </c>
      <c r="D235" s="211" t="str">
        <f>IFERROR(__xludf.DUMMYFUNCTION("""COMPUTED_VALUE"""),"Promotional")</f>
        <v>Promotional</v>
      </c>
      <c r="E235" s="211" t="str">
        <f>IFERROR(__xludf.DUMMYFUNCTION("""COMPUTED_VALUE"""),"VS")</f>
        <v>VS</v>
      </c>
      <c r="F235" s="211" t="str">
        <f>IFERROR(__xludf.DUMMYFUNCTION("""COMPUTED_VALUE"""),"Pajama campaign ")</f>
        <v>Pajama campaign </v>
      </c>
      <c r="G235" s="212" t="str">
        <f>IFERROR(__xludf.DUMMYFUNCTION("""COMPUTED_VALUE"""),"PJ_Party_High_LTV_On")</f>
        <v>PJ_Party_High_LTV_On</v>
      </c>
      <c r="H235" s="212" t="str">
        <f>IFERROR(__xludf.DUMMYFUNCTION("""COMPUTED_VALUE"""),"Predom_Order_Value_9998_ON")</f>
        <v>Predom_Order_Value_9998_ON</v>
      </c>
      <c r="I235" s="212" t="str">
        <f>IFERROR(__xludf.DUMMYFUNCTION("""COMPUTED_VALUE"""),"Online Customers who have PREDOM purchased with Order Net Value &gt; 9998 in the last 1095 days AND Exclude Custom Segment :- View_Item_PJ_90D")</f>
        <v>Online Customers who have PREDOM purchased with Order Net Value &gt; 9998 in the last 1095 days AND Exclude Custom Segment :- View_Item_PJ_90D</v>
      </c>
      <c r="J235" s="213">
        <f>IFERROR(__xludf.DUMMYFUNCTION("""COMPUTED_VALUE"""),12285.0)</f>
        <v>12285</v>
      </c>
      <c r="K235" s="213">
        <f>IFERROR(__xludf.DUMMYFUNCTION("""COMPUTED_VALUE"""),5406.0)</f>
        <v>5406</v>
      </c>
      <c r="L235" s="214">
        <f>IFERROR(__xludf.DUMMYFUNCTION("""COMPUTED_VALUE"""),0.44)</f>
        <v>0.44</v>
      </c>
      <c r="M235" s="213">
        <f>IFERROR(__xludf.DUMMYFUNCTION("""COMPUTED_VALUE"""),1056.0)</f>
        <v>1056</v>
      </c>
      <c r="N235" s="214">
        <f>IFERROR(__xludf.DUMMYFUNCTION("""COMPUTED_VALUE"""),0.1954)</f>
        <v>0.1954</v>
      </c>
      <c r="O235" s="213">
        <f>IFERROR(__xludf.DUMMYFUNCTION("""COMPUTED_VALUE"""),107.0)</f>
        <v>107</v>
      </c>
      <c r="P235" s="213">
        <f>IFERROR(__xludf.DUMMYFUNCTION("""COMPUTED_VALUE"""),103.0)</f>
        <v>103</v>
      </c>
      <c r="Q235" s="214">
        <f>IFERROR(__xludf.DUMMYFUNCTION("""COMPUTED_VALUE"""),0.0191)</f>
        <v>0.0191</v>
      </c>
      <c r="R235" s="214">
        <f>IFERROR(__xludf.DUMMYFUNCTION("""COMPUTED_VALUE"""),0.0975)</f>
        <v>0.0975</v>
      </c>
      <c r="S235" s="213">
        <f>IFERROR(__xludf.DUMMYFUNCTION("""COMPUTED_VALUE"""),1.0)</f>
        <v>1</v>
      </c>
      <c r="T235" s="213">
        <f>IFERROR(__xludf.DUMMYFUNCTION("""COMPUTED_VALUE"""),12.0)</f>
        <v>12</v>
      </c>
      <c r="U235" s="270">
        <f>IFERROR(__xludf.DUMMYFUNCTION("""COMPUTED_VALUE"""),4498.0)</f>
        <v>4498</v>
      </c>
      <c r="V235" s="271" t="str">
        <f>IFERROR(__xludf.DUMMYFUNCTION("""COMPUTED_VALUE"""),"online")</f>
        <v>online</v>
      </c>
      <c r="W235" s="272" t="str">
        <f>IFERROR(__xludf.DUMMYFUNCTION("""COMPUTED_VALUE"""),"simple")</f>
        <v>simple</v>
      </c>
      <c r="X235" s="272" t="str">
        <f>IFERROR(__xludf.DUMMYFUNCTION("""COMPUTED_VALUE"""),"Predom Cart Value")</f>
        <v>Predom Cart Value</v>
      </c>
      <c r="Y235" s="272" t="str">
        <f>IFERROR(__xludf.DUMMYFUNCTION("""COMPUTED_VALUE"""),"26th - 29th March")</f>
        <v>26th - 29th March</v>
      </c>
      <c r="Z235" s="272" t="str">
        <f>IFERROR(__xludf.DUMMYFUNCTION("""COMPUTED_VALUE"""),"69c4d8c15c37f03618baa154")</f>
        <v>69c4d8c15c37f03618baa154</v>
      </c>
      <c r="AA235" s="272">
        <f>IFERROR(__xludf.DUMMYFUNCTION("""COMPUTED_VALUE"""),15.0)</f>
        <v>15</v>
      </c>
      <c r="AB235" s="272">
        <f>IFERROR(__xludf.DUMMYFUNCTION("""COMPUTED_VALUE"""),15.0)</f>
        <v>15</v>
      </c>
      <c r="AC235" s="272"/>
      <c r="AD235" s="272">
        <f>IFERROR(__xludf.DUMMYFUNCTION("""COMPUTED_VALUE"""),167749.0)</f>
        <v>167749</v>
      </c>
      <c r="AE235" s="272">
        <f>IFERROR(__xludf.DUMMYFUNCTION("""COMPUTED_VALUE"""),167749.0)</f>
        <v>167749</v>
      </c>
      <c r="AF235" s="272"/>
      <c r="AG235" s="208"/>
      <c r="AH235" s="208"/>
      <c r="AI235" s="208"/>
      <c r="AJ235" s="208"/>
      <c r="AK235" s="208"/>
    </row>
    <row r="236">
      <c r="A236" s="209">
        <f>IFERROR(__xludf.DUMMYFUNCTION("""COMPUTED_VALUE"""),46107.0)</f>
        <v>46107</v>
      </c>
      <c r="B236" s="210">
        <f>IFERROR(__xludf.DUMMYFUNCTION("""COMPUTED_VALUE"""),0.7569444444452529)</f>
        <v>0.7569444444</v>
      </c>
      <c r="C236" s="211" t="str">
        <f>IFERROR(__xludf.DUMMYFUNCTION("""COMPUTED_VALUE"""),"Whatsapp")</f>
        <v>Whatsapp</v>
      </c>
      <c r="D236" s="211" t="str">
        <f>IFERROR(__xludf.DUMMYFUNCTION("""COMPUTED_VALUE"""),"Promotional")</f>
        <v>Promotional</v>
      </c>
      <c r="E236" s="211" t="str">
        <f>IFERROR(__xludf.DUMMYFUNCTION("""COMPUTED_VALUE"""),"VS")</f>
        <v>VS</v>
      </c>
      <c r="F236" s="211" t="str">
        <f>IFERROR(__xludf.DUMMYFUNCTION("""COMPUTED_VALUE"""),"Pajama campaign ")</f>
        <v>Pajama campaign </v>
      </c>
      <c r="G236" s="212" t="str">
        <f>IFERROR(__xludf.DUMMYFUNCTION("""COMPUTED_VALUE"""),"PJ_Party_Cat_Buyers_On")</f>
        <v>PJ_Party_Cat_Buyers_On</v>
      </c>
      <c r="H236" s="212" t="str">
        <f>IFERROR(__xludf.DUMMYFUNCTION("""COMPUTED_VALUE"""),"PJ_Cat_Buyers_On")</f>
        <v>PJ_Cat_Buyers_On</v>
      </c>
      <c r="I236" s="212" t="str">
        <f>IFERROR(__xludf.DUMMYFUNCTION("""COMPUTED_VALUE"""),"Online Customers who have purchased at least 1 time from L2: Sleep &amp; Loungewear AND Exclude Custom Segment :- View_Item_PJ_90D, Predom_Order_Value_9998_ON")</f>
        <v>Online Customers who have purchased at least 1 time from L2: Sleep &amp; Loungewear AND Exclude Custom Segment :- View_Item_PJ_90D, Predom_Order_Value_9998_ON</v>
      </c>
      <c r="J236" s="213">
        <f>IFERROR(__xludf.DUMMYFUNCTION("""COMPUTED_VALUE"""),3979.0)</f>
        <v>3979</v>
      </c>
      <c r="K236" s="213">
        <f>IFERROR(__xludf.DUMMYFUNCTION("""COMPUTED_VALUE"""),1857.0)</f>
        <v>1857</v>
      </c>
      <c r="L236" s="214">
        <f>IFERROR(__xludf.DUMMYFUNCTION("""COMPUTED_VALUE"""),0.4667)</f>
        <v>0.4667</v>
      </c>
      <c r="M236" s="213">
        <f>IFERROR(__xludf.DUMMYFUNCTION("""COMPUTED_VALUE"""),348.0)</f>
        <v>348</v>
      </c>
      <c r="N236" s="214">
        <f>IFERROR(__xludf.DUMMYFUNCTION("""COMPUTED_VALUE"""),0.1875)</f>
        <v>0.1875</v>
      </c>
      <c r="O236" s="213">
        <f>IFERROR(__xludf.DUMMYFUNCTION("""COMPUTED_VALUE"""),56.0)</f>
        <v>56</v>
      </c>
      <c r="P236" s="213">
        <f>IFERROR(__xludf.DUMMYFUNCTION("""COMPUTED_VALUE"""),51.0)</f>
        <v>51</v>
      </c>
      <c r="Q236" s="214">
        <f>IFERROR(__xludf.DUMMYFUNCTION("""COMPUTED_VALUE"""),0.0275)</f>
        <v>0.0275</v>
      </c>
      <c r="R236" s="214">
        <f>IFERROR(__xludf.DUMMYFUNCTION("""COMPUTED_VALUE"""),0.1466)</f>
        <v>0.1466</v>
      </c>
      <c r="S236" s="213">
        <f>IFERROR(__xludf.DUMMYFUNCTION("""COMPUTED_VALUE"""),2.0)</f>
        <v>2</v>
      </c>
      <c r="T236" s="213">
        <f>IFERROR(__xludf.DUMMYFUNCTION("""COMPUTED_VALUE"""),5.0)</f>
        <v>5</v>
      </c>
      <c r="U236" s="270">
        <f>IFERROR(__xludf.DUMMYFUNCTION("""COMPUTED_VALUE"""),10008.0)</f>
        <v>10008</v>
      </c>
      <c r="V236" s="271" t="str">
        <f>IFERROR(__xludf.DUMMYFUNCTION("""COMPUTED_VALUE"""),"online")</f>
        <v>online</v>
      </c>
      <c r="W236" s="272" t="str">
        <f>IFERROR(__xludf.DUMMYFUNCTION("""COMPUTED_VALUE"""),"simple")</f>
        <v>simple</v>
      </c>
      <c r="X236" s="272" t="str">
        <f>IFERROR(__xludf.DUMMYFUNCTION("""COMPUTED_VALUE"""),"Cat Buyers")</f>
        <v>Cat Buyers</v>
      </c>
      <c r="Y236" s="272" t="str">
        <f>IFERROR(__xludf.DUMMYFUNCTION("""COMPUTED_VALUE"""),"26th - 29th March")</f>
        <v>26th - 29th March</v>
      </c>
      <c r="Z236" s="272" t="str">
        <f>IFERROR(__xludf.DUMMYFUNCTION("""COMPUTED_VALUE"""),"69c4d998a346f7be11bcbd34")</f>
        <v>69c4d998a346f7be11bcbd34</v>
      </c>
      <c r="AA236" s="272">
        <f>IFERROR(__xludf.DUMMYFUNCTION("""COMPUTED_VALUE"""),5.0)</f>
        <v>5</v>
      </c>
      <c r="AB236" s="272">
        <f>IFERROR(__xludf.DUMMYFUNCTION("""COMPUTED_VALUE"""),5.0)</f>
        <v>5</v>
      </c>
      <c r="AC236" s="272"/>
      <c r="AD236" s="272">
        <f>IFERROR(__xludf.DUMMYFUNCTION("""COMPUTED_VALUE"""),28312.0)</f>
        <v>28312</v>
      </c>
      <c r="AE236" s="272">
        <f>IFERROR(__xludf.DUMMYFUNCTION("""COMPUTED_VALUE"""),28312.0)</f>
        <v>28312</v>
      </c>
      <c r="AF236" s="272"/>
      <c r="AG236" s="208"/>
      <c r="AH236" s="208"/>
      <c r="AI236" s="208"/>
      <c r="AJ236" s="208"/>
      <c r="AK236" s="208"/>
    </row>
    <row r="237">
      <c r="A237" s="209">
        <f>IFERROR(__xludf.DUMMYFUNCTION("""COMPUTED_VALUE"""),46107.0)</f>
        <v>46107</v>
      </c>
      <c r="B237" s="210">
        <f>IFERROR(__xludf.DUMMYFUNCTION("""COMPUTED_VALUE"""),0.7604166666678793)</f>
        <v>0.7604166667</v>
      </c>
      <c r="C237" s="211" t="str">
        <f>IFERROR(__xludf.DUMMYFUNCTION("""COMPUTED_VALUE"""),"Whatsapp")</f>
        <v>Whatsapp</v>
      </c>
      <c r="D237" s="211" t="str">
        <f>IFERROR(__xludf.DUMMYFUNCTION("""COMPUTED_VALUE"""),"Promotional")</f>
        <v>Promotional</v>
      </c>
      <c r="E237" s="211" t="str">
        <f>IFERROR(__xludf.DUMMYFUNCTION("""COMPUTED_VALUE"""),"VS")</f>
        <v>VS</v>
      </c>
      <c r="F237" s="211" t="str">
        <f>IFERROR(__xludf.DUMMYFUNCTION("""COMPUTED_VALUE"""),"Pajama campaign ")</f>
        <v>Pajama campaign </v>
      </c>
      <c r="G237" s="212" t="str">
        <f>IFERROR(__xludf.DUMMYFUNCTION("""COMPUTED_VALUE"""),"PJ_Party_Disc_CX_On")</f>
        <v>PJ_Party_Disc_CX_On</v>
      </c>
      <c r="H237" s="212" t="str">
        <f>IFERROR(__xludf.DUMMYFUNCTION("""COMPUTED_VALUE"""),"Disc_20perc_ON")</f>
        <v>Disc_20perc_ON</v>
      </c>
      <c r="I237" s="212" t="str">
        <f>IFERROR(__xludf.DUMMYFUNCTION("""COMPUTED_VALUE"""),"Online Customers who have purchased at least 1 time with discount percentage exceeding 19% AND Exclude Custom Segment :- View_Item_PJ_90D, Predom_Order_Value_9998_ON, PJ_Cat_Buyers_ON")</f>
        <v>Online Customers who have purchased at least 1 time with discount percentage exceeding 19% AND Exclude Custom Segment :- View_Item_PJ_90D, Predom_Order_Value_9998_ON, PJ_Cat_Buyers_ON</v>
      </c>
      <c r="J237" s="213">
        <f>IFERROR(__xludf.DUMMYFUNCTION("""COMPUTED_VALUE"""),86850.0)</f>
        <v>86850</v>
      </c>
      <c r="K237" s="213">
        <f>IFERROR(__xludf.DUMMYFUNCTION("""COMPUTED_VALUE"""),54519.0)</f>
        <v>54519</v>
      </c>
      <c r="L237" s="214">
        <f>IFERROR(__xludf.DUMMYFUNCTION("""COMPUTED_VALUE"""),0.6277)</f>
        <v>0.6277</v>
      </c>
      <c r="M237" s="213">
        <f>IFERROR(__xludf.DUMMYFUNCTION("""COMPUTED_VALUE"""),14298.0)</f>
        <v>14298</v>
      </c>
      <c r="N237" s="214">
        <f>IFERROR(__xludf.DUMMYFUNCTION("""COMPUTED_VALUE"""),0.2623)</f>
        <v>0.2623</v>
      </c>
      <c r="O237" s="213">
        <f>IFERROR(__xludf.DUMMYFUNCTION("""COMPUTED_VALUE"""),1000.0)</f>
        <v>1000</v>
      </c>
      <c r="P237" s="213">
        <f>IFERROR(__xludf.DUMMYFUNCTION("""COMPUTED_VALUE"""),950.0)</f>
        <v>950</v>
      </c>
      <c r="Q237" s="214">
        <f>IFERROR(__xludf.DUMMYFUNCTION("""COMPUTED_VALUE"""),0.0174)</f>
        <v>0.0174</v>
      </c>
      <c r="R237" s="214">
        <f>IFERROR(__xludf.DUMMYFUNCTION("""COMPUTED_VALUE"""),0.0664)</f>
        <v>0.0664</v>
      </c>
      <c r="S237" s="213">
        <f>IFERROR(__xludf.DUMMYFUNCTION("""COMPUTED_VALUE"""),8.0)</f>
        <v>8</v>
      </c>
      <c r="T237" s="213">
        <f>IFERROR(__xludf.DUMMYFUNCTION("""COMPUTED_VALUE"""),52.0)</f>
        <v>52</v>
      </c>
      <c r="U237" s="270">
        <f>IFERROR(__xludf.DUMMYFUNCTION("""COMPUTED_VALUE"""),31343.0)</f>
        <v>31343</v>
      </c>
      <c r="V237" s="271" t="str">
        <f>IFERROR(__xludf.DUMMYFUNCTION("""COMPUTED_VALUE"""),"online")</f>
        <v>online</v>
      </c>
      <c r="W237" s="272" t="str">
        <f>IFERROR(__xludf.DUMMYFUNCTION("""COMPUTED_VALUE"""),"simple")</f>
        <v>simple</v>
      </c>
      <c r="X237" s="272" t="str">
        <f>IFERROR(__xludf.DUMMYFUNCTION("""COMPUTED_VALUE"""),"Discount Buyers")</f>
        <v>Discount Buyers</v>
      </c>
      <c r="Y237" s="272" t="str">
        <f>IFERROR(__xludf.DUMMYFUNCTION("""COMPUTED_VALUE"""),"26th - 29th March")</f>
        <v>26th - 29th March</v>
      </c>
      <c r="Z237" s="272" t="str">
        <f>IFERROR(__xludf.DUMMYFUNCTION("""COMPUTED_VALUE"""),"69c4da5ab1ff65057c46ef3b")</f>
        <v>69c4da5ab1ff65057c46ef3b</v>
      </c>
      <c r="AA237" s="272">
        <f>IFERROR(__xludf.DUMMYFUNCTION("""COMPUTED_VALUE"""),35.0)</f>
        <v>35</v>
      </c>
      <c r="AB237" s="272">
        <f>IFERROR(__xludf.DUMMYFUNCTION("""COMPUTED_VALUE"""),35.0)</f>
        <v>35</v>
      </c>
      <c r="AC237" s="272"/>
      <c r="AD237" s="272">
        <f>IFERROR(__xludf.DUMMYFUNCTION("""COMPUTED_VALUE"""),214864.0)</f>
        <v>214864</v>
      </c>
      <c r="AE237" s="272">
        <f>IFERROR(__xludf.DUMMYFUNCTION("""COMPUTED_VALUE"""),214864.0)</f>
        <v>214864</v>
      </c>
      <c r="AF237" s="272"/>
      <c r="AG237" s="208"/>
      <c r="AH237" s="208"/>
      <c r="AI237" s="208"/>
      <c r="AJ237" s="208"/>
      <c r="AK237" s="208"/>
    </row>
    <row r="238">
      <c r="A238" s="209">
        <f>IFERROR(__xludf.DUMMYFUNCTION("""COMPUTED_VALUE"""),46107.0)</f>
        <v>46107</v>
      </c>
      <c r="B238" s="210">
        <f>IFERROR(__xludf.DUMMYFUNCTION("""COMPUTED_VALUE"""),0.7638888888905058)</f>
        <v>0.7638888889</v>
      </c>
      <c r="C238" s="211" t="str">
        <f>IFERROR(__xludf.DUMMYFUNCTION("""COMPUTED_VALUE"""),"Whatsapp")</f>
        <v>Whatsapp</v>
      </c>
      <c r="D238" s="211" t="str">
        <f>IFERROR(__xludf.DUMMYFUNCTION("""COMPUTED_VALUE"""),"Promotional")</f>
        <v>Promotional</v>
      </c>
      <c r="E238" s="211" t="str">
        <f>IFERROR(__xludf.DUMMYFUNCTION("""COMPUTED_VALUE"""),"VS")</f>
        <v>VS</v>
      </c>
      <c r="F238" s="211" t="str">
        <f>IFERROR(__xludf.DUMMYFUNCTION("""COMPUTED_VALUE"""),"Pajama campaign ")</f>
        <v>Pajama campaign </v>
      </c>
      <c r="G238" s="212" t="str">
        <f>IFERROR(__xludf.DUMMYFUNCTION("""COMPUTED_VALUE"""),"PJ_Party_BTY_CX_On")</f>
        <v>PJ_Party_BTY_CX_On</v>
      </c>
      <c r="H238" s="212" t="str">
        <f>IFERROR(__xludf.DUMMYFUNCTION("""COMPUTED_VALUE"""),"Beauty_NoPr_Pajama_On")</f>
        <v>Beauty_NoPr_Pajama_On</v>
      </c>
      <c r="I238" s="212" t="str">
        <f>IFERROR(__xludf.DUMMYFUNCTION("""COMPUTED_VALUE"""),"Online Beauty Customers who have not purchased Sleep and Loungewear in the last 1095 days AND Exclude Custom Segment :- View_Item_PJ_90D, Predom_Order_Value_9998_ON, PJ_Cat_Buyers_ON,  Disc_20perc_ON")</f>
        <v>Online Beauty Customers who have not purchased Sleep and Loungewear in the last 1095 days AND Exclude Custom Segment :- View_Item_PJ_90D, Predom_Order_Value_9998_ON, PJ_Cat_Buyers_ON,  Disc_20perc_ON</v>
      </c>
      <c r="J238" s="213">
        <f>IFERROR(__xludf.DUMMYFUNCTION("""COMPUTED_VALUE"""),40856.0)</f>
        <v>40856</v>
      </c>
      <c r="K238" s="213">
        <f>IFERROR(__xludf.DUMMYFUNCTION("""COMPUTED_VALUE"""),22448.0)</f>
        <v>22448</v>
      </c>
      <c r="L238" s="214">
        <f>IFERROR(__xludf.DUMMYFUNCTION("""COMPUTED_VALUE"""),0.5494)</f>
        <v>0.5494</v>
      </c>
      <c r="M238" s="213">
        <f>IFERROR(__xludf.DUMMYFUNCTION("""COMPUTED_VALUE"""),5596.0)</f>
        <v>5596</v>
      </c>
      <c r="N238" s="214">
        <f>IFERROR(__xludf.DUMMYFUNCTION("""COMPUTED_VALUE"""),0.2493)</f>
        <v>0.2493</v>
      </c>
      <c r="O238" s="213">
        <f>IFERROR(__xludf.DUMMYFUNCTION("""COMPUTED_VALUE"""),229.0)</f>
        <v>229</v>
      </c>
      <c r="P238" s="213">
        <f>IFERROR(__xludf.DUMMYFUNCTION("""COMPUTED_VALUE"""),225.0)</f>
        <v>225</v>
      </c>
      <c r="Q238" s="214">
        <f>IFERROR(__xludf.DUMMYFUNCTION("""COMPUTED_VALUE"""),0.01)</f>
        <v>0.01</v>
      </c>
      <c r="R238" s="214">
        <f>IFERROR(__xludf.DUMMYFUNCTION("""COMPUTED_VALUE"""),0.0402)</f>
        <v>0.0402</v>
      </c>
      <c r="S238" s="213">
        <f>IFERROR(__xludf.DUMMYFUNCTION("""COMPUTED_VALUE"""),2.0)</f>
        <v>2</v>
      </c>
      <c r="T238" s="213">
        <f>IFERROR(__xludf.DUMMYFUNCTION("""COMPUTED_VALUE"""),2.0)</f>
        <v>2</v>
      </c>
      <c r="U238" s="270">
        <f>IFERROR(__xludf.DUMMYFUNCTION("""COMPUTED_VALUE"""),3698.0)</f>
        <v>3698</v>
      </c>
      <c r="V238" s="271" t="str">
        <f>IFERROR(__xludf.DUMMYFUNCTION("""COMPUTED_VALUE"""),"online")</f>
        <v>online</v>
      </c>
      <c r="W238" s="272" t="str">
        <f>IFERROR(__xludf.DUMMYFUNCTION("""COMPUTED_VALUE"""),"simple")</f>
        <v>simple</v>
      </c>
      <c r="X238" s="272" t="str">
        <f>IFERROR(__xludf.DUMMYFUNCTION("""COMPUTED_VALUE"""),"Beauty No Purchase Pajama")</f>
        <v>Beauty No Purchase Pajama</v>
      </c>
      <c r="Y238" s="272" t="str">
        <f>IFERROR(__xludf.DUMMYFUNCTION("""COMPUTED_VALUE"""),"26th - 29th March")</f>
        <v>26th - 29th March</v>
      </c>
      <c r="Z238" s="272" t="str">
        <f>IFERROR(__xludf.DUMMYFUNCTION("""COMPUTED_VALUE"""),"69c4db2ede5bb30ae4315186")</f>
        <v>69c4db2ede5bb30ae4315186</v>
      </c>
      <c r="AA238" s="272">
        <f>IFERROR(__xludf.DUMMYFUNCTION("""COMPUTED_VALUE"""),3.0)</f>
        <v>3</v>
      </c>
      <c r="AB238" s="272">
        <f>IFERROR(__xludf.DUMMYFUNCTION("""COMPUTED_VALUE"""),3.0)</f>
        <v>3</v>
      </c>
      <c r="AC238" s="272"/>
      <c r="AD238" s="272">
        <f>IFERROR(__xludf.DUMMYFUNCTION("""COMPUTED_VALUE"""),19769.0)</f>
        <v>19769</v>
      </c>
      <c r="AE238" s="272">
        <f>IFERROR(__xludf.DUMMYFUNCTION("""COMPUTED_VALUE"""),19769.0)</f>
        <v>19769</v>
      </c>
      <c r="AF238" s="272"/>
      <c r="AG238" s="208"/>
      <c r="AH238" s="208"/>
      <c r="AI238" s="208"/>
      <c r="AJ238" s="208"/>
      <c r="AK238" s="208"/>
    </row>
    <row r="239">
      <c r="A239" s="209">
        <f>IFERROR(__xludf.DUMMYFUNCTION("""COMPUTED_VALUE"""),46107.0)</f>
        <v>46107</v>
      </c>
      <c r="B239" s="210">
        <f>IFERROR(__xludf.DUMMYFUNCTION("""COMPUTED_VALUE"""),0.7673611111094942)</f>
        <v>0.7673611111</v>
      </c>
      <c r="C239" s="211" t="str">
        <f>IFERROR(__xludf.DUMMYFUNCTION("""COMPUTED_VALUE"""),"Whatsapp")</f>
        <v>Whatsapp</v>
      </c>
      <c r="D239" s="211" t="str">
        <f>IFERROR(__xludf.DUMMYFUNCTION("""COMPUTED_VALUE"""),"Promotional")</f>
        <v>Promotional</v>
      </c>
      <c r="E239" s="211" t="str">
        <f>IFERROR(__xludf.DUMMYFUNCTION("""COMPUTED_VALUE"""),"VS")</f>
        <v>VS</v>
      </c>
      <c r="F239" s="211" t="str">
        <f>IFERROR(__xludf.DUMMYFUNCTION("""COMPUTED_VALUE"""),"Pajama campaign ")</f>
        <v>Pajama campaign </v>
      </c>
      <c r="G239" s="212" t="str">
        <f>IFERROR(__xludf.DUMMYFUNCTION("""COMPUTED_VALUE"""),"PJ_Party_Bra_CX_On")</f>
        <v>PJ_Party_Bra_CX_On</v>
      </c>
      <c r="H239" s="212" t="str">
        <f>IFERROR(__xludf.DUMMYFUNCTION("""COMPUTED_VALUE"""),"Bra_NoPr_Pajama_On")</f>
        <v>Bra_NoPr_Pajama_On</v>
      </c>
      <c r="I239" s="212" t="str">
        <f>IFERROR(__xludf.DUMMYFUNCTION("""COMPUTED_VALUE"""),"Online Bra Customers who have not purchased Sleep and Loungewear in the last 1095 days AND Exclude Custom Segment :- View_Item_PJ_90D, Predom_Order_Value_9998_ON, PJ_Cat_Buyers_ON,  Disc_20perc_ON,  Beauty_NoPr_Pajama_On")</f>
        <v>Online Bra Customers who have not purchased Sleep and Loungewear in the last 1095 days AND Exclude Custom Segment :- View_Item_PJ_90D, Predom_Order_Value_9998_ON, PJ_Cat_Buyers_ON,  Disc_20perc_ON,  Beauty_NoPr_Pajama_On</v>
      </c>
      <c r="J239" s="213">
        <f>IFERROR(__xludf.DUMMYFUNCTION("""COMPUTED_VALUE"""),4482.0)</f>
        <v>4482</v>
      </c>
      <c r="K239" s="213">
        <f>IFERROR(__xludf.DUMMYFUNCTION("""COMPUTED_VALUE"""),2018.0)</f>
        <v>2018</v>
      </c>
      <c r="L239" s="214">
        <f>IFERROR(__xludf.DUMMYFUNCTION("""COMPUTED_VALUE"""),0.4502)</f>
        <v>0.4502</v>
      </c>
      <c r="M239" s="213">
        <f>IFERROR(__xludf.DUMMYFUNCTION("""COMPUTED_VALUE"""),386.0)</f>
        <v>386</v>
      </c>
      <c r="N239" s="214">
        <f>IFERROR(__xludf.DUMMYFUNCTION("""COMPUTED_VALUE"""),0.1914)</f>
        <v>0.1914</v>
      </c>
      <c r="O239" s="213">
        <f>IFERROR(__xludf.DUMMYFUNCTION("""COMPUTED_VALUE"""),30.0)</f>
        <v>30</v>
      </c>
      <c r="P239" s="213">
        <f>IFERROR(__xludf.DUMMYFUNCTION("""COMPUTED_VALUE"""),30.0)</f>
        <v>30</v>
      </c>
      <c r="Q239" s="214">
        <f>IFERROR(__xludf.DUMMYFUNCTION("""COMPUTED_VALUE"""),0.0149)</f>
        <v>0.0149</v>
      </c>
      <c r="R239" s="214">
        <f>IFERROR(__xludf.DUMMYFUNCTION("""COMPUTED_VALUE"""),0.0777)</f>
        <v>0.0777</v>
      </c>
      <c r="S239" s="213">
        <f>IFERROR(__xludf.DUMMYFUNCTION("""COMPUTED_VALUE"""),0.0)</f>
        <v>0</v>
      </c>
      <c r="T239" s="213">
        <f>IFERROR(__xludf.DUMMYFUNCTION("""COMPUTED_VALUE"""),0.0)</f>
        <v>0</v>
      </c>
      <c r="U239" s="270">
        <f>IFERROR(__xludf.DUMMYFUNCTION("""COMPUTED_VALUE"""),0.0)</f>
        <v>0</v>
      </c>
      <c r="V239" s="271" t="str">
        <f>IFERROR(__xludf.DUMMYFUNCTION("""COMPUTED_VALUE"""),"online")</f>
        <v>online</v>
      </c>
      <c r="W239" s="272" t="str">
        <f>IFERROR(__xludf.DUMMYFUNCTION("""COMPUTED_VALUE"""),"simple")</f>
        <v>simple</v>
      </c>
      <c r="X239" s="272" t="str">
        <f>IFERROR(__xludf.DUMMYFUNCTION("""COMPUTED_VALUE"""),"Bra No Purchase Pajama")</f>
        <v>Bra No Purchase Pajama</v>
      </c>
      <c r="Y239" s="272" t="str">
        <f>IFERROR(__xludf.DUMMYFUNCTION("""COMPUTED_VALUE"""),"26th - 29th March")</f>
        <v>26th - 29th March</v>
      </c>
      <c r="Z239" s="272" t="str">
        <f>IFERROR(__xludf.DUMMYFUNCTION("""COMPUTED_VALUE"""),"69c4dbc267a04c88505ae419")</f>
        <v>69c4dbc267a04c88505ae419</v>
      </c>
      <c r="AA239" s="272">
        <f>IFERROR(__xludf.DUMMYFUNCTION("""COMPUTED_VALUE"""),2.0)</f>
        <v>2</v>
      </c>
      <c r="AB239" s="272">
        <f>IFERROR(__xludf.DUMMYFUNCTION("""COMPUTED_VALUE"""),2.0)</f>
        <v>2</v>
      </c>
      <c r="AC239" s="272"/>
      <c r="AD239" s="272">
        <f>IFERROR(__xludf.DUMMYFUNCTION("""COMPUTED_VALUE"""),12834.0)</f>
        <v>12834</v>
      </c>
      <c r="AE239" s="272">
        <f>IFERROR(__xludf.DUMMYFUNCTION("""COMPUTED_VALUE"""),12834.0)</f>
        <v>12834</v>
      </c>
      <c r="AF239" s="272"/>
      <c r="AG239" s="208"/>
      <c r="AH239" s="208"/>
      <c r="AI239" s="208"/>
      <c r="AJ239" s="208"/>
      <c r="AK239" s="208"/>
    </row>
    <row r="240">
      <c r="A240" s="209">
        <f>IFERROR(__xludf.DUMMYFUNCTION("""COMPUTED_VALUE"""),46107.0)</f>
        <v>46107</v>
      </c>
      <c r="B240" s="210">
        <f>IFERROR(__xludf.DUMMYFUNCTION("""COMPUTED_VALUE"""),0.8333333333321207)</f>
        <v>0.8333333333</v>
      </c>
      <c r="C240" s="211" t="str">
        <f>IFERROR(__xludf.DUMMYFUNCTION("""COMPUTED_VALUE"""),"Sms")</f>
        <v>Sms</v>
      </c>
      <c r="D240" s="211" t="str">
        <f>IFERROR(__xludf.DUMMYFUNCTION("""COMPUTED_VALUE"""),"Fallback Campaign")</f>
        <v>Fallback Campaign</v>
      </c>
      <c r="E240" s="211" t="str">
        <f>IFERROR(__xludf.DUMMYFUNCTION("""COMPUTED_VALUE"""),"VS")</f>
        <v>VS</v>
      </c>
      <c r="F240" s="211" t="str">
        <f>IFERROR(__xludf.DUMMYFUNCTION("""COMPUTED_VALUE"""),"Pajama campaign ")</f>
        <v>Pajama campaign </v>
      </c>
      <c r="G240" s="212" t="str">
        <f>IFERROR(__xludf.DUMMYFUNCTION("""COMPUTED_VALUE"""),"PJ_Party_VI_On (FB)")</f>
        <v>PJ_Party_VI_On (FB)</v>
      </c>
      <c r="H240" s="212" t="str">
        <f>IFERROR(__xludf.DUMMYFUNCTION("""COMPUTED_VALUE"""),"View_Item_PJ_90D")</f>
        <v>View_Item_PJ_90D</v>
      </c>
      <c r="I240" s="212" t="str">
        <f>IFERROR(__xludf.DUMMYFUNCTION("""COMPUTED_VALUE"""),"WA Undelivered")</f>
        <v>WA Undelivered</v>
      </c>
      <c r="J240" s="213">
        <f>IFERROR(__xludf.DUMMYFUNCTION("""COMPUTED_VALUE"""),370.0)</f>
        <v>370</v>
      </c>
      <c r="K240" s="213">
        <f>IFERROR(__xludf.DUMMYFUNCTION("""COMPUTED_VALUE"""),254.0)</f>
        <v>254</v>
      </c>
      <c r="L240" s="214">
        <f>IFERROR(__xludf.DUMMYFUNCTION("""COMPUTED_VALUE"""),0.6865)</f>
        <v>0.6865</v>
      </c>
      <c r="M240" s="213"/>
      <c r="N240" s="214"/>
      <c r="O240" s="213">
        <f>IFERROR(__xludf.DUMMYFUNCTION("""COMPUTED_VALUE"""),3.0)</f>
        <v>3</v>
      </c>
      <c r="P240" s="213"/>
      <c r="Q240" s="214">
        <f>IFERROR(__xludf.DUMMYFUNCTION("""COMPUTED_VALUE"""),0.0118)</f>
        <v>0.0118</v>
      </c>
      <c r="R240" s="214"/>
      <c r="S240" s="213">
        <f>IFERROR(__xludf.DUMMYFUNCTION("""COMPUTED_VALUE"""),2.0)</f>
        <v>2</v>
      </c>
      <c r="T240" s="213">
        <f>IFERROR(__xludf.DUMMYFUNCTION("""COMPUTED_VALUE"""),8.0)</f>
        <v>8</v>
      </c>
      <c r="U240" s="270">
        <f>IFERROR(__xludf.DUMMYFUNCTION("""COMPUTED_VALUE"""),15331.0)</f>
        <v>15331</v>
      </c>
      <c r="V240" s="271" t="str">
        <f>IFERROR(__xludf.DUMMYFUNCTION("""COMPUTED_VALUE"""),"online")</f>
        <v>online</v>
      </c>
      <c r="W240" s="272" t="str">
        <f>IFERROR(__xludf.DUMMYFUNCTION("""COMPUTED_VALUE"""),"SMS")</f>
        <v>SMS</v>
      </c>
      <c r="X240" s="272" t="str">
        <f>IFERROR(__xludf.DUMMYFUNCTION("""COMPUTED_VALUE"""),"View Item")</f>
        <v>View Item</v>
      </c>
      <c r="Y240" s="272" t="str">
        <f>IFERROR(__xludf.DUMMYFUNCTION("""COMPUTED_VALUE"""),"26th - 29th March")</f>
        <v>26th - 29th March</v>
      </c>
      <c r="Z240" s="272" t="str">
        <f>IFERROR(__xludf.DUMMYFUNCTION("""COMPUTED_VALUE"""),"69c4d7ffe7c8af7dc79e5482")</f>
        <v>69c4d7ffe7c8af7dc79e5482</v>
      </c>
      <c r="AA240" s="272">
        <f>IFERROR(__xludf.DUMMYFUNCTION("""COMPUTED_VALUE"""),4.0)</f>
        <v>4</v>
      </c>
      <c r="AB240" s="272">
        <f>IFERROR(__xludf.DUMMYFUNCTION("""COMPUTED_VALUE"""),4.0)</f>
        <v>4</v>
      </c>
      <c r="AC240" s="272"/>
      <c r="AD240" s="272">
        <f>IFERROR(__xludf.DUMMYFUNCTION("""COMPUTED_VALUE"""),101055.0)</f>
        <v>101055</v>
      </c>
      <c r="AE240" s="272">
        <f>IFERROR(__xludf.DUMMYFUNCTION("""COMPUTED_VALUE"""),101055.0)</f>
        <v>101055</v>
      </c>
      <c r="AF240" s="272"/>
      <c r="AG240" s="208"/>
      <c r="AH240" s="208"/>
      <c r="AI240" s="208"/>
      <c r="AJ240" s="208"/>
      <c r="AK240" s="208"/>
    </row>
    <row r="241">
      <c r="A241" s="209">
        <f>IFERROR(__xludf.DUMMYFUNCTION("""COMPUTED_VALUE"""),46107.0)</f>
        <v>46107</v>
      </c>
      <c r="B241" s="210">
        <f>IFERROR(__xludf.DUMMYFUNCTION("""COMPUTED_VALUE"""),0.8333333333321207)</f>
        <v>0.8333333333</v>
      </c>
      <c r="C241" s="211" t="str">
        <f>IFERROR(__xludf.DUMMYFUNCTION("""COMPUTED_VALUE"""),"Sms")</f>
        <v>Sms</v>
      </c>
      <c r="D241" s="211" t="str">
        <f>IFERROR(__xludf.DUMMYFUNCTION("""COMPUTED_VALUE"""),"Fallback Campaign")</f>
        <v>Fallback Campaign</v>
      </c>
      <c r="E241" s="211" t="str">
        <f>IFERROR(__xludf.DUMMYFUNCTION("""COMPUTED_VALUE"""),"VS")</f>
        <v>VS</v>
      </c>
      <c r="F241" s="211" t="str">
        <f>IFERROR(__xludf.DUMMYFUNCTION("""COMPUTED_VALUE"""),"Pajama campaign ")</f>
        <v>Pajama campaign </v>
      </c>
      <c r="G241" s="212" t="str">
        <f>IFERROR(__xludf.DUMMYFUNCTION("""COMPUTED_VALUE"""),"PJ_Party_High_LTV_On (FB)")</f>
        <v>PJ_Party_High_LTV_On (FB)</v>
      </c>
      <c r="H241" s="212" t="str">
        <f>IFERROR(__xludf.DUMMYFUNCTION("""COMPUTED_VALUE"""),"Predom_Order_Value_9998_ON")</f>
        <v>Predom_Order_Value_9998_ON</v>
      </c>
      <c r="I241" s="212" t="str">
        <f>IFERROR(__xludf.DUMMYFUNCTION("""COMPUTED_VALUE"""),"WA Undelivered")</f>
        <v>WA Undelivered</v>
      </c>
      <c r="J241" s="213">
        <f>IFERROR(__xludf.DUMMYFUNCTION("""COMPUTED_VALUE"""),6147.0)</f>
        <v>6147</v>
      </c>
      <c r="K241" s="213">
        <f>IFERROR(__xludf.DUMMYFUNCTION("""COMPUTED_VALUE"""),3148.0)</f>
        <v>3148</v>
      </c>
      <c r="L241" s="214">
        <f>IFERROR(__xludf.DUMMYFUNCTION("""COMPUTED_VALUE"""),0.5121)</f>
        <v>0.5121</v>
      </c>
      <c r="M241" s="213"/>
      <c r="N241" s="214"/>
      <c r="O241" s="213">
        <f>IFERROR(__xludf.DUMMYFUNCTION("""COMPUTED_VALUE"""),5.0)</f>
        <v>5</v>
      </c>
      <c r="P241" s="213"/>
      <c r="Q241" s="214">
        <f>IFERROR(__xludf.DUMMYFUNCTION("""COMPUTED_VALUE"""),0.0016)</f>
        <v>0.0016</v>
      </c>
      <c r="R241" s="214"/>
      <c r="S241" s="213">
        <f>IFERROR(__xludf.DUMMYFUNCTION("""COMPUTED_VALUE"""),2.0)</f>
        <v>2</v>
      </c>
      <c r="T241" s="213">
        <f>IFERROR(__xludf.DUMMYFUNCTION("""COMPUTED_VALUE"""),6.0)</f>
        <v>6</v>
      </c>
      <c r="U241" s="270">
        <f>IFERROR(__xludf.DUMMYFUNCTION("""COMPUTED_VALUE"""),26848.0)</f>
        <v>26848</v>
      </c>
      <c r="V241" s="271" t="str">
        <f>IFERROR(__xludf.DUMMYFUNCTION("""COMPUTED_VALUE"""),"online")</f>
        <v>online</v>
      </c>
      <c r="W241" s="272" t="str">
        <f>IFERROR(__xludf.DUMMYFUNCTION("""COMPUTED_VALUE"""),"SMS")</f>
        <v>SMS</v>
      </c>
      <c r="X241" s="272" t="str">
        <f>IFERROR(__xludf.DUMMYFUNCTION("""COMPUTED_VALUE"""),"Predom Cart Value")</f>
        <v>Predom Cart Value</v>
      </c>
      <c r="Y241" s="272" t="str">
        <f>IFERROR(__xludf.DUMMYFUNCTION("""COMPUTED_VALUE"""),"26th - 29th March")</f>
        <v>26th - 29th March</v>
      </c>
      <c r="Z241" s="272" t="str">
        <f>IFERROR(__xludf.DUMMYFUNCTION("""COMPUTED_VALUE"""),"69c4d915ae0edbca1882d8d2")</f>
        <v>69c4d915ae0edbca1882d8d2</v>
      </c>
      <c r="AA241" s="272">
        <f>IFERROR(__xludf.DUMMYFUNCTION("""COMPUTED_VALUE"""),7.0)</f>
        <v>7</v>
      </c>
      <c r="AB241" s="272">
        <f>IFERROR(__xludf.DUMMYFUNCTION("""COMPUTED_VALUE"""),7.0)</f>
        <v>7</v>
      </c>
      <c r="AC241" s="272"/>
      <c r="AD241" s="272">
        <f>IFERROR(__xludf.DUMMYFUNCTION("""COMPUTED_VALUE"""),115308.0)</f>
        <v>115308</v>
      </c>
      <c r="AE241" s="272">
        <f>IFERROR(__xludf.DUMMYFUNCTION("""COMPUTED_VALUE"""),115308.0)</f>
        <v>115308</v>
      </c>
      <c r="AF241" s="272"/>
      <c r="AG241" s="208"/>
      <c r="AH241" s="208"/>
      <c r="AI241" s="208"/>
      <c r="AJ241" s="208"/>
      <c r="AK241" s="208"/>
    </row>
    <row r="242">
      <c r="A242" s="209">
        <f>IFERROR(__xludf.DUMMYFUNCTION("""COMPUTED_VALUE"""),46107.0)</f>
        <v>46107</v>
      </c>
      <c r="B242" s="210">
        <f>IFERROR(__xludf.DUMMYFUNCTION("""COMPUTED_VALUE"""),0.8333333333321207)</f>
        <v>0.8333333333</v>
      </c>
      <c r="C242" s="211" t="str">
        <f>IFERROR(__xludf.DUMMYFUNCTION("""COMPUTED_VALUE"""),"Sms")</f>
        <v>Sms</v>
      </c>
      <c r="D242" s="211" t="str">
        <f>IFERROR(__xludf.DUMMYFUNCTION("""COMPUTED_VALUE"""),"Fallback Campaign")</f>
        <v>Fallback Campaign</v>
      </c>
      <c r="E242" s="211" t="str">
        <f>IFERROR(__xludf.DUMMYFUNCTION("""COMPUTED_VALUE"""),"VS")</f>
        <v>VS</v>
      </c>
      <c r="F242" s="211" t="str">
        <f>IFERROR(__xludf.DUMMYFUNCTION("""COMPUTED_VALUE"""),"Pajama campaign ")</f>
        <v>Pajama campaign </v>
      </c>
      <c r="G242" s="212" t="str">
        <f>IFERROR(__xludf.DUMMYFUNCTION("""COMPUTED_VALUE"""),"PJ_Party_Cat_Buyers_On (FB)")</f>
        <v>PJ_Party_Cat_Buyers_On (FB)</v>
      </c>
      <c r="H242" s="212" t="str">
        <f>IFERROR(__xludf.DUMMYFUNCTION("""COMPUTED_VALUE"""),"PJ_Cat_Buyers_On")</f>
        <v>PJ_Cat_Buyers_On</v>
      </c>
      <c r="I242" s="212" t="str">
        <f>IFERROR(__xludf.DUMMYFUNCTION("""COMPUTED_VALUE"""),"WA Undelivered")</f>
        <v>WA Undelivered</v>
      </c>
      <c r="J242" s="213">
        <f>IFERROR(__xludf.DUMMYFUNCTION("""COMPUTED_VALUE"""),1891.0)</f>
        <v>1891</v>
      </c>
      <c r="K242" s="213">
        <f>IFERROR(__xludf.DUMMYFUNCTION("""COMPUTED_VALUE"""),1127.0)</f>
        <v>1127</v>
      </c>
      <c r="L242" s="214">
        <f>IFERROR(__xludf.DUMMYFUNCTION("""COMPUTED_VALUE"""),0.596)</f>
        <v>0.596</v>
      </c>
      <c r="M242" s="213"/>
      <c r="N242" s="214"/>
      <c r="O242" s="213">
        <f>IFERROR(__xludf.DUMMYFUNCTION("""COMPUTED_VALUE"""),0.0)</f>
        <v>0</v>
      </c>
      <c r="P242" s="213"/>
      <c r="Q242" s="214">
        <f>IFERROR(__xludf.DUMMYFUNCTION("""COMPUTED_VALUE"""),0.0)</f>
        <v>0</v>
      </c>
      <c r="R242" s="214"/>
      <c r="S242" s="213">
        <f>IFERROR(__xludf.DUMMYFUNCTION("""COMPUTED_VALUE"""),4.0)</f>
        <v>4</v>
      </c>
      <c r="T242" s="213">
        <f>IFERROR(__xludf.DUMMYFUNCTION("""COMPUTED_VALUE"""),3.0)</f>
        <v>3</v>
      </c>
      <c r="U242" s="270">
        <f>IFERROR(__xludf.DUMMYFUNCTION("""COMPUTED_VALUE"""),31433.0)</f>
        <v>31433</v>
      </c>
      <c r="V242" s="271" t="str">
        <f>IFERROR(__xludf.DUMMYFUNCTION("""COMPUTED_VALUE"""),"online")</f>
        <v>online</v>
      </c>
      <c r="W242" s="272" t="str">
        <f>IFERROR(__xludf.DUMMYFUNCTION("""COMPUTED_VALUE"""),"SMS")</f>
        <v>SMS</v>
      </c>
      <c r="X242" s="272" t="str">
        <f>IFERROR(__xludf.DUMMYFUNCTION("""COMPUTED_VALUE"""),"Cat Buyers")</f>
        <v>Cat Buyers</v>
      </c>
      <c r="Y242" s="272" t="str">
        <f>IFERROR(__xludf.DUMMYFUNCTION("""COMPUTED_VALUE"""),"26th - 29th March")</f>
        <v>26th - 29th March</v>
      </c>
      <c r="Z242" s="272" t="str">
        <f>IFERROR(__xludf.DUMMYFUNCTION("""COMPUTED_VALUE"""),"69c4d9d556065bb4f9357a43")</f>
        <v>69c4d9d556065bb4f9357a43</v>
      </c>
      <c r="AA242" s="272">
        <f>IFERROR(__xludf.DUMMYFUNCTION("""COMPUTED_VALUE"""),8.0)</f>
        <v>8</v>
      </c>
      <c r="AB242" s="272">
        <f>IFERROR(__xludf.DUMMYFUNCTION("""COMPUTED_VALUE"""),8.0)</f>
        <v>8</v>
      </c>
      <c r="AC242" s="272"/>
      <c r="AD242" s="272">
        <f>IFERROR(__xludf.DUMMYFUNCTION("""COMPUTED_VALUE"""),43989.0)</f>
        <v>43989</v>
      </c>
      <c r="AE242" s="272">
        <f>IFERROR(__xludf.DUMMYFUNCTION("""COMPUTED_VALUE"""),43989.0)</f>
        <v>43989</v>
      </c>
      <c r="AF242" s="272"/>
      <c r="AG242" s="208"/>
      <c r="AH242" s="208"/>
      <c r="AI242" s="208"/>
      <c r="AJ242" s="208"/>
      <c r="AK242" s="208"/>
    </row>
    <row r="243">
      <c r="A243" s="209">
        <f>IFERROR(__xludf.DUMMYFUNCTION("""COMPUTED_VALUE"""),46107.0)</f>
        <v>46107</v>
      </c>
      <c r="B243" s="210">
        <f>IFERROR(__xludf.DUMMYFUNCTION("""COMPUTED_VALUE"""),0.8333333333321207)</f>
        <v>0.8333333333</v>
      </c>
      <c r="C243" s="211" t="str">
        <f>IFERROR(__xludf.DUMMYFUNCTION("""COMPUTED_VALUE"""),"Sms")</f>
        <v>Sms</v>
      </c>
      <c r="D243" s="211" t="str">
        <f>IFERROR(__xludf.DUMMYFUNCTION("""COMPUTED_VALUE"""),"Fallback Campaign")</f>
        <v>Fallback Campaign</v>
      </c>
      <c r="E243" s="211" t="str">
        <f>IFERROR(__xludf.DUMMYFUNCTION("""COMPUTED_VALUE"""),"VS")</f>
        <v>VS</v>
      </c>
      <c r="F243" s="211" t="str">
        <f>IFERROR(__xludf.DUMMYFUNCTION("""COMPUTED_VALUE"""),"Pajama campaign ")</f>
        <v>Pajama campaign </v>
      </c>
      <c r="G243" s="212" t="str">
        <f>IFERROR(__xludf.DUMMYFUNCTION("""COMPUTED_VALUE"""),"PJ_Party_Disc_CX_On (FB)")</f>
        <v>PJ_Party_Disc_CX_On (FB)</v>
      </c>
      <c r="H243" s="212" t="str">
        <f>IFERROR(__xludf.DUMMYFUNCTION("""COMPUTED_VALUE"""),"Disc_20perc_ON")</f>
        <v>Disc_20perc_ON</v>
      </c>
      <c r="I243" s="212" t="str">
        <f>IFERROR(__xludf.DUMMYFUNCTION("""COMPUTED_VALUE"""),"WA Undelivered")</f>
        <v>WA Undelivered</v>
      </c>
      <c r="J243" s="213">
        <f>IFERROR(__xludf.DUMMYFUNCTION("""COMPUTED_VALUE"""),29040.0)</f>
        <v>29040</v>
      </c>
      <c r="K243" s="213">
        <f>IFERROR(__xludf.DUMMYFUNCTION("""COMPUTED_VALUE"""),18910.0)</f>
        <v>18910</v>
      </c>
      <c r="L243" s="214">
        <f>IFERROR(__xludf.DUMMYFUNCTION("""COMPUTED_VALUE"""),0.6512)</f>
        <v>0.6512</v>
      </c>
      <c r="M243" s="213"/>
      <c r="N243" s="214"/>
      <c r="O243" s="213">
        <f>IFERROR(__xludf.DUMMYFUNCTION("""COMPUTED_VALUE"""),26.0)</f>
        <v>26</v>
      </c>
      <c r="P243" s="213"/>
      <c r="Q243" s="214">
        <f>IFERROR(__xludf.DUMMYFUNCTION("""COMPUTED_VALUE"""),0.0014)</f>
        <v>0.0014</v>
      </c>
      <c r="R243" s="214"/>
      <c r="S243" s="213">
        <f>IFERROR(__xludf.DUMMYFUNCTION("""COMPUTED_VALUE"""),7.0)</f>
        <v>7</v>
      </c>
      <c r="T243" s="213">
        <f>IFERROR(__xludf.DUMMYFUNCTION("""COMPUTED_VALUE"""),19.0)</f>
        <v>19</v>
      </c>
      <c r="U243" s="270">
        <f>IFERROR(__xludf.DUMMYFUNCTION("""COMPUTED_VALUE"""),54730.0)</f>
        <v>54730</v>
      </c>
      <c r="V243" s="271" t="str">
        <f>IFERROR(__xludf.DUMMYFUNCTION("""COMPUTED_VALUE"""),"online")</f>
        <v>online</v>
      </c>
      <c r="W243" s="272" t="str">
        <f>IFERROR(__xludf.DUMMYFUNCTION("""COMPUTED_VALUE"""),"SMS")</f>
        <v>SMS</v>
      </c>
      <c r="X243" s="272" t="str">
        <f>IFERROR(__xludf.DUMMYFUNCTION("""COMPUTED_VALUE"""),"Discount Buyers")</f>
        <v>Discount Buyers</v>
      </c>
      <c r="Y243" s="272" t="str">
        <f>IFERROR(__xludf.DUMMYFUNCTION("""COMPUTED_VALUE"""),"26th - 29th March")</f>
        <v>26th - 29th March</v>
      </c>
      <c r="Z243" s="272" t="str">
        <f>IFERROR(__xludf.DUMMYFUNCTION("""COMPUTED_VALUE"""),"69c4da9b5c37f03618baa213")</f>
        <v>69c4da9b5c37f03618baa213</v>
      </c>
      <c r="AA243" s="272">
        <f>IFERROR(__xludf.DUMMYFUNCTION("""COMPUTED_VALUE"""),12.0)</f>
        <v>12</v>
      </c>
      <c r="AB243" s="272">
        <f>IFERROR(__xludf.DUMMYFUNCTION("""COMPUTED_VALUE"""),12.0)</f>
        <v>12</v>
      </c>
      <c r="AC243" s="272"/>
      <c r="AD243" s="272">
        <f>IFERROR(__xludf.DUMMYFUNCTION("""COMPUTED_VALUE"""),66192.0)</f>
        <v>66192</v>
      </c>
      <c r="AE243" s="272">
        <f>IFERROR(__xludf.DUMMYFUNCTION("""COMPUTED_VALUE"""),66192.0)</f>
        <v>66192</v>
      </c>
      <c r="AF243" s="272"/>
      <c r="AG243" s="208"/>
      <c r="AH243" s="208"/>
      <c r="AI243" s="208"/>
      <c r="AJ243" s="208"/>
      <c r="AK243" s="208"/>
    </row>
    <row r="244">
      <c r="A244" s="209">
        <f>IFERROR(__xludf.DUMMYFUNCTION("""COMPUTED_VALUE"""),46107.0)</f>
        <v>46107</v>
      </c>
      <c r="B244" s="210">
        <f>IFERROR(__xludf.DUMMYFUNCTION("""COMPUTED_VALUE"""),0.8333333333321207)</f>
        <v>0.8333333333</v>
      </c>
      <c r="C244" s="211" t="str">
        <f>IFERROR(__xludf.DUMMYFUNCTION("""COMPUTED_VALUE"""),"Sms")</f>
        <v>Sms</v>
      </c>
      <c r="D244" s="211" t="str">
        <f>IFERROR(__xludf.DUMMYFUNCTION("""COMPUTED_VALUE"""),"Fallback Campaign")</f>
        <v>Fallback Campaign</v>
      </c>
      <c r="E244" s="211" t="str">
        <f>IFERROR(__xludf.DUMMYFUNCTION("""COMPUTED_VALUE"""),"VS")</f>
        <v>VS</v>
      </c>
      <c r="F244" s="211" t="str">
        <f>IFERROR(__xludf.DUMMYFUNCTION("""COMPUTED_VALUE"""),"Pajama campaign ")</f>
        <v>Pajama campaign </v>
      </c>
      <c r="G244" s="212" t="str">
        <f>IFERROR(__xludf.DUMMYFUNCTION("""COMPUTED_VALUE"""),"PJ_Party_BTY_CX_On (FB)")</f>
        <v>PJ_Party_BTY_CX_On (FB)</v>
      </c>
      <c r="H244" s="212" t="str">
        <f>IFERROR(__xludf.DUMMYFUNCTION("""COMPUTED_VALUE"""),"Beauty_NoPr_Pajama_On")</f>
        <v>Beauty_NoPr_Pajama_On</v>
      </c>
      <c r="I244" s="212" t="str">
        <f>IFERROR(__xludf.DUMMYFUNCTION("""COMPUTED_VALUE"""),"WA Undelivered")</f>
        <v>WA Undelivered</v>
      </c>
      <c r="J244" s="213">
        <f>IFERROR(__xludf.DUMMYFUNCTION("""COMPUTED_VALUE"""),15504.0)</f>
        <v>15504</v>
      </c>
      <c r="K244" s="213">
        <f>IFERROR(__xludf.DUMMYFUNCTION("""COMPUTED_VALUE"""),10583.0)</f>
        <v>10583</v>
      </c>
      <c r="L244" s="214">
        <f>IFERROR(__xludf.DUMMYFUNCTION("""COMPUTED_VALUE"""),0.6826)</f>
        <v>0.6826</v>
      </c>
      <c r="M244" s="213"/>
      <c r="N244" s="214"/>
      <c r="O244" s="213">
        <f>IFERROR(__xludf.DUMMYFUNCTION("""COMPUTED_VALUE"""),8.0)</f>
        <v>8</v>
      </c>
      <c r="P244" s="213"/>
      <c r="Q244" s="214">
        <f>IFERROR(__xludf.DUMMYFUNCTION("""COMPUTED_VALUE"""),8.0E-4)</f>
        <v>0.0008</v>
      </c>
      <c r="R244" s="214"/>
      <c r="S244" s="213">
        <f>IFERROR(__xludf.DUMMYFUNCTION("""COMPUTED_VALUE"""),1.0)</f>
        <v>1</v>
      </c>
      <c r="T244" s="213">
        <f>IFERROR(__xludf.DUMMYFUNCTION("""COMPUTED_VALUE"""),2.0)</f>
        <v>2</v>
      </c>
      <c r="U244" s="270">
        <f>IFERROR(__xludf.DUMMYFUNCTION("""COMPUTED_VALUE"""),3373.0)</f>
        <v>3373</v>
      </c>
      <c r="V244" s="271" t="str">
        <f>IFERROR(__xludf.DUMMYFUNCTION("""COMPUTED_VALUE"""),"online")</f>
        <v>online</v>
      </c>
      <c r="W244" s="272" t="str">
        <f>IFERROR(__xludf.DUMMYFUNCTION("""COMPUTED_VALUE"""),"SMS")</f>
        <v>SMS</v>
      </c>
      <c r="X244" s="272" t="str">
        <f>IFERROR(__xludf.DUMMYFUNCTION("""COMPUTED_VALUE"""),"Beauty No Purchase Pajama")</f>
        <v>Beauty No Purchase Pajama</v>
      </c>
      <c r="Y244" s="272" t="str">
        <f>IFERROR(__xludf.DUMMYFUNCTION("""COMPUTED_VALUE"""),"26th - 29th March")</f>
        <v>26th - 29th March</v>
      </c>
      <c r="Z244" s="272" t="str">
        <f>IFERROR(__xludf.DUMMYFUNCTION("""COMPUTED_VALUE"""),"69c4db66bf44039488de42e1")</f>
        <v>69c4db66bf44039488de42e1</v>
      </c>
      <c r="AA244" s="272">
        <f>IFERROR(__xludf.DUMMYFUNCTION("""COMPUTED_VALUE"""),3.0)</f>
        <v>3</v>
      </c>
      <c r="AB244" s="272">
        <f>IFERROR(__xludf.DUMMYFUNCTION("""COMPUTED_VALUE"""),3.0)</f>
        <v>3</v>
      </c>
      <c r="AC244" s="272"/>
      <c r="AD244" s="272">
        <f>IFERROR(__xludf.DUMMYFUNCTION("""COMPUTED_VALUE"""),9813.0)</f>
        <v>9813</v>
      </c>
      <c r="AE244" s="272">
        <f>IFERROR(__xludf.DUMMYFUNCTION("""COMPUTED_VALUE"""),9813.0)</f>
        <v>9813</v>
      </c>
      <c r="AF244" s="272"/>
      <c r="AG244" s="208"/>
      <c r="AH244" s="208"/>
      <c r="AI244" s="208"/>
      <c r="AJ244" s="208"/>
      <c r="AK244" s="208"/>
    </row>
    <row r="245">
      <c r="A245" s="209">
        <f>IFERROR(__xludf.DUMMYFUNCTION("""COMPUTED_VALUE"""),46107.0)</f>
        <v>46107</v>
      </c>
      <c r="B245" s="210">
        <f>IFERROR(__xludf.DUMMYFUNCTION("""COMPUTED_VALUE"""),0.8333333333321207)</f>
        <v>0.8333333333</v>
      </c>
      <c r="C245" s="211" t="str">
        <f>IFERROR(__xludf.DUMMYFUNCTION("""COMPUTED_VALUE"""),"Sms")</f>
        <v>Sms</v>
      </c>
      <c r="D245" s="211" t="str">
        <f>IFERROR(__xludf.DUMMYFUNCTION("""COMPUTED_VALUE"""),"Fallback Campaign")</f>
        <v>Fallback Campaign</v>
      </c>
      <c r="E245" s="211" t="str">
        <f>IFERROR(__xludf.DUMMYFUNCTION("""COMPUTED_VALUE"""),"VS")</f>
        <v>VS</v>
      </c>
      <c r="F245" s="211" t="str">
        <f>IFERROR(__xludf.DUMMYFUNCTION("""COMPUTED_VALUE"""),"Pajama campaign ")</f>
        <v>Pajama campaign </v>
      </c>
      <c r="G245" s="212" t="str">
        <f>IFERROR(__xludf.DUMMYFUNCTION("""COMPUTED_VALUE"""),"PJ_Party_Bra_CX_On (FB)")</f>
        <v>PJ_Party_Bra_CX_On (FB)</v>
      </c>
      <c r="H245" s="212" t="str">
        <f>IFERROR(__xludf.DUMMYFUNCTION("""COMPUTED_VALUE"""),"Bra_NoPr_Pajama_On")</f>
        <v>Bra_NoPr_Pajama_On</v>
      </c>
      <c r="I245" s="212" t="str">
        <f>IFERROR(__xludf.DUMMYFUNCTION("""COMPUTED_VALUE"""),"WA Undelivered")</f>
        <v>WA Undelivered</v>
      </c>
      <c r="J245" s="213">
        <f>IFERROR(__xludf.DUMMYFUNCTION("""COMPUTED_VALUE"""),2187.0)</f>
        <v>2187</v>
      </c>
      <c r="K245" s="213">
        <f>IFERROR(__xludf.DUMMYFUNCTION("""COMPUTED_VALUE"""),1255.0)</f>
        <v>1255</v>
      </c>
      <c r="L245" s="214">
        <f>IFERROR(__xludf.DUMMYFUNCTION("""COMPUTED_VALUE"""),0.5738)</f>
        <v>0.5738</v>
      </c>
      <c r="M245" s="213"/>
      <c r="N245" s="214"/>
      <c r="O245" s="213">
        <f>IFERROR(__xludf.DUMMYFUNCTION("""COMPUTED_VALUE"""),2.0)</f>
        <v>2</v>
      </c>
      <c r="P245" s="213"/>
      <c r="Q245" s="214">
        <f>IFERROR(__xludf.DUMMYFUNCTION("""COMPUTED_VALUE"""),0.0016)</f>
        <v>0.0016</v>
      </c>
      <c r="R245" s="214"/>
      <c r="S245" s="213">
        <f>IFERROR(__xludf.DUMMYFUNCTION("""COMPUTED_VALUE"""),0.0)</f>
        <v>0</v>
      </c>
      <c r="T245" s="213">
        <f>IFERROR(__xludf.DUMMYFUNCTION("""COMPUTED_VALUE"""),0.0)</f>
        <v>0</v>
      </c>
      <c r="U245" s="270">
        <f>IFERROR(__xludf.DUMMYFUNCTION("""COMPUTED_VALUE"""),0.0)</f>
        <v>0</v>
      </c>
      <c r="V245" s="271" t="str">
        <f>IFERROR(__xludf.DUMMYFUNCTION("""COMPUTED_VALUE"""),"online")</f>
        <v>online</v>
      </c>
      <c r="W245" s="272" t="str">
        <f>IFERROR(__xludf.DUMMYFUNCTION("""COMPUTED_VALUE"""),"SMS")</f>
        <v>SMS</v>
      </c>
      <c r="X245" s="272" t="str">
        <f>IFERROR(__xludf.DUMMYFUNCTION("""COMPUTED_VALUE"""),"Bra No Purchase Pajama")</f>
        <v>Bra No Purchase Pajama</v>
      </c>
      <c r="Y245" s="272" t="str">
        <f>IFERROR(__xludf.DUMMYFUNCTION("""COMPUTED_VALUE"""),"26th - 29th March")</f>
        <v>26th - 29th March</v>
      </c>
      <c r="Z245" s="272" t="str">
        <f>IFERROR(__xludf.DUMMYFUNCTION("""COMPUTED_VALUE"""),"69c4dbfef26db0d64baf4e0b")</f>
        <v>69c4dbfef26db0d64baf4e0b</v>
      </c>
      <c r="AA245" s="272">
        <f>IFERROR(__xludf.DUMMYFUNCTION("""COMPUTED_VALUE"""),0.0)</f>
        <v>0</v>
      </c>
      <c r="AB245" s="272">
        <f>IFERROR(__xludf.DUMMYFUNCTION("""COMPUTED_VALUE"""),0.0)</f>
        <v>0</v>
      </c>
      <c r="AC245" s="272"/>
      <c r="AD245" s="272">
        <f>IFERROR(__xludf.DUMMYFUNCTION("""COMPUTED_VALUE"""),0.0)</f>
        <v>0</v>
      </c>
      <c r="AE245" s="272">
        <f>IFERROR(__xludf.DUMMYFUNCTION("""COMPUTED_VALUE"""),0.0)</f>
        <v>0</v>
      </c>
      <c r="AF245" s="272"/>
      <c r="AG245" s="208"/>
      <c r="AH245" s="208"/>
      <c r="AI245" s="208"/>
      <c r="AJ245" s="208"/>
      <c r="AK245" s="208"/>
    </row>
    <row r="246">
      <c r="A246" s="209">
        <f>IFERROR(__xludf.DUMMYFUNCTION("""COMPUTED_VALUE"""),46108.0)</f>
        <v>46108</v>
      </c>
      <c r="B246" s="210">
        <f>IFERROR(__xludf.DUMMYFUNCTION("""COMPUTED_VALUE"""),0.3541666666678793)</f>
        <v>0.3541666667</v>
      </c>
      <c r="C246" s="211" t="str">
        <f>IFERROR(__xludf.DUMMYFUNCTION("""COMPUTED_VALUE"""),"Whatsapp")</f>
        <v>Whatsapp</v>
      </c>
      <c r="D246" s="211" t="str">
        <f>IFERROR(__xludf.DUMMYFUNCTION("""COMPUTED_VALUE"""),"Promotional")</f>
        <v>Promotional</v>
      </c>
      <c r="E246" s="211" t="str">
        <f>IFERROR(__xludf.DUMMYFUNCTION("""COMPUTED_VALUE"""),"VS")</f>
        <v>VS</v>
      </c>
      <c r="F246" s="211" t="str">
        <f>IFERROR(__xludf.DUMMYFUNCTION("""COMPUTED_VALUE"""),"Pajama campaign ")</f>
        <v>Pajama campaign </v>
      </c>
      <c r="G246" s="212" t="str">
        <f>IFERROR(__xludf.DUMMYFUNCTION("""COMPUTED_VALUE"""),"PJ_Party_High_LTV_Off")</f>
        <v>PJ_Party_High_LTV_Off</v>
      </c>
      <c r="H246" s="212" t="str">
        <f>IFERROR(__xludf.DUMMYFUNCTION("""COMPUTED_VALUE"""),"Predom_Order_Value_9998_OFF")</f>
        <v>Predom_Order_Value_9998_OFF</v>
      </c>
      <c r="I246" s="212" t="str">
        <f>IFERROR(__xludf.DUMMYFUNCTION("""COMPUTED_VALUE"""),"Offline Customers who have PREDOM purchased with Order Net Value &gt; 9998 in the last 1095 days")</f>
        <v>Offline Customers who have PREDOM purchased with Order Net Value &gt; 9998 in the last 1095 days</v>
      </c>
      <c r="J246" s="213">
        <f>IFERROR(__xludf.DUMMYFUNCTION("""COMPUTED_VALUE"""),34944.0)</f>
        <v>34944</v>
      </c>
      <c r="K246" s="213">
        <f>IFERROR(__xludf.DUMMYFUNCTION("""COMPUTED_VALUE"""),17431.0)</f>
        <v>17431</v>
      </c>
      <c r="L246" s="214">
        <f>IFERROR(__xludf.DUMMYFUNCTION("""COMPUTED_VALUE"""),0.4988)</f>
        <v>0.4988</v>
      </c>
      <c r="M246" s="213">
        <f>IFERROR(__xludf.DUMMYFUNCTION("""COMPUTED_VALUE"""),4111.0)</f>
        <v>4111</v>
      </c>
      <c r="N246" s="214">
        <f>IFERROR(__xludf.DUMMYFUNCTION("""COMPUTED_VALUE"""),0.2359)</f>
        <v>0.2359</v>
      </c>
      <c r="O246" s="213">
        <f>IFERROR(__xludf.DUMMYFUNCTION("""COMPUTED_VALUE"""),227.0)</f>
        <v>227</v>
      </c>
      <c r="P246" s="213">
        <f>IFERROR(__xludf.DUMMYFUNCTION("""COMPUTED_VALUE"""),215.0)</f>
        <v>215</v>
      </c>
      <c r="Q246" s="214">
        <f>IFERROR(__xludf.DUMMYFUNCTION("""COMPUTED_VALUE"""),0.0123)</f>
        <v>0.0123</v>
      </c>
      <c r="R246" s="214">
        <f>IFERROR(__xludf.DUMMYFUNCTION("""COMPUTED_VALUE"""),0.0523)</f>
        <v>0.0523</v>
      </c>
      <c r="S246" s="213">
        <f>IFERROR(__xludf.DUMMYFUNCTION("""COMPUTED_VALUE"""),3.0)</f>
        <v>3</v>
      </c>
      <c r="T246" s="213">
        <f>IFERROR(__xludf.DUMMYFUNCTION("""COMPUTED_VALUE"""),12.0)</f>
        <v>12</v>
      </c>
      <c r="U246" s="270">
        <f>IFERROR(__xludf.DUMMYFUNCTION("""COMPUTED_VALUE"""),29045.0)</f>
        <v>29045</v>
      </c>
      <c r="V246" s="271" t="str">
        <f>IFERROR(__xludf.DUMMYFUNCTION("""COMPUTED_VALUE"""),"offline")</f>
        <v>offline</v>
      </c>
      <c r="W246" s="272" t="str">
        <f>IFERROR(__xludf.DUMMYFUNCTION("""COMPUTED_VALUE"""),"simple")</f>
        <v>simple</v>
      </c>
      <c r="X246" s="272" t="str">
        <f>IFERROR(__xludf.DUMMYFUNCTION("""COMPUTED_VALUE"""),"Predom Cart Value")</f>
        <v>Predom Cart Value</v>
      </c>
      <c r="Y246" s="272" t="str">
        <f>IFERROR(__xludf.DUMMYFUNCTION("""COMPUTED_VALUE"""),"27th - 29th March")</f>
        <v>27th - 29th March</v>
      </c>
      <c r="Z246" s="272" t="str">
        <f>IFERROR(__xludf.DUMMYFUNCTION("""COMPUTED_VALUE"""),"69c4dd2a4aa78734aa9d917b")</f>
        <v>69c4dd2a4aa78734aa9d917b</v>
      </c>
      <c r="AA246" s="272">
        <f>IFERROR(__xludf.DUMMYFUNCTION("""COMPUTED_VALUE"""),70.0)</f>
        <v>70</v>
      </c>
      <c r="AB246" s="272"/>
      <c r="AC246" s="272">
        <f>IFERROR(__xludf.DUMMYFUNCTION("""COMPUTED_VALUE"""),70.0)</f>
        <v>70</v>
      </c>
      <c r="AD246" s="272">
        <f>IFERROR(__xludf.DUMMYFUNCTION("""COMPUTED_VALUE"""),1215192.0)</f>
        <v>1215192</v>
      </c>
      <c r="AE246" s="272"/>
      <c r="AF246" s="272">
        <f>IFERROR(__xludf.DUMMYFUNCTION("""COMPUTED_VALUE"""),1215192.0)</f>
        <v>1215192</v>
      </c>
      <c r="AG246" s="208"/>
      <c r="AH246" s="208"/>
      <c r="AI246" s="208"/>
      <c r="AJ246" s="208"/>
      <c r="AK246" s="208"/>
    </row>
    <row r="247">
      <c r="A247" s="209">
        <f>IFERROR(__xludf.DUMMYFUNCTION("""COMPUTED_VALUE"""),46108.0)</f>
        <v>46108</v>
      </c>
      <c r="B247" s="210">
        <f>IFERROR(__xludf.DUMMYFUNCTION("""COMPUTED_VALUE"""),0.35763888889050577)</f>
        <v>0.3576388889</v>
      </c>
      <c r="C247" s="211" t="str">
        <f>IFERROR(__xludf.DUMMYFUNCTION("""COMPUTED_VALUE"""),"Whatsapp")</f>
        <v>Whatsapp</v>
      </c>
      <c r="D247" s="211" t="str">
        <f>IFERROR(__xludf.DUMMYFUNCTION("""COMPUTED_VALUE"""),"Promotional")</f>
        <v>Promotional</v>
      </c>
      <c r="E247" s="211" t="str">
        <f>IFERROR(__xludf.DUMMYFUNCTION("""COMPUTED_VALUE"""),"VS")</f>
        <v>VS</v>
      </c>
      <c r="F247" s="211" t="str">
        <f>IFERROR(__xludf.DUMMYFUNCTION("""COMPUTED_VALUE"""),"Pajama campaign ")</f>
        <v>Pajama campaign </v>
      </c>
      <c r="G247" s="212" t="str">
        <f>IFERROR(__xludf.DUMMYFUNCTION("""COMPUTED_VALUE"""),"PJ_Party_Cat_Buyers_Off")</f>
        <v>PJ_Party_Cat_Buyers_Off</v>
      </c>
      <c r="H247" s="212" t="str">
        <f>IFERROR(__xludf.DUMMYFUNCTION("""COMPUTED_VALUE"""),"PJ_Cat_Buyers_OFF")</f>
        <v>PJ_Cat_Buyers_OFF</v>
      </c>
      <c r="I247" s="212" t="str">
        <f>IFERROR(__xludf.DUMMYFUNCTION("""COMPUTED_VALUE"""),"Offline Customers who have purchased at least 1 time from L2: Sleep &amp; Loungewear AND Exclude Custom Segment :- Predom_Order_Value_9998_OFF")</f>
        <v>Offline Customers who have purchased at least 1 time from L2: Sleep &amp; Loungewear AND Exclude Custom Segment :- Predom_Order_Value_9998_OFF</v>
      </c>
      <c r="J247" s="213">
        <f>IFERROR(__xludf.DUMMYFUNCTION("""COMPUTED_VALUE"""),2570.0)</f>
        <v>2570</v>
      </c>
      <c r="K247" s="213">
        <f>IFERROR(__xludf.DUMMYFUNCTION("""COMPUTED_VALUE"""),1268.0)</f>
        <v>1268</v>
      </c>
      <c r="L247" s="214">
        <f>IFERROR(__xludf.DUMMYFUNCTION("""COMPUTED_VALUE"""),0.4934)</f>
        <v>0.4934</v>
      </c>
      <c r="M247" s="213">
        <f>IFERROR(__xludf.DUMMYFUNCTION("""COMPUTED_VALUE"""),279.0)</f>
        <v>279</v>
      </c>
      <c r="N247" s="214">
        <f>IFERROR(__xludf.DUMMYFUNCTION("""COMPUTED_VALUE"""),0.22)</f>
        <v>0.22</v>
      </c>
      <c r="O247" s="213">
        <f>IFERROR(__xludf.DUMMYFUNCTION("""COMPUTED_VALUE"""),22.0)</f>
        <v>22</v>
      </c>
      <c r="P247" s="213">
        <f>IFERROR(__xludf.DUMMYFUNCTION("""COMPUTED_VALUE"""),22.0)</f>
        <v>22</v>
      </c>
      <c r="Q247" s="214">
        <f>IFERROR(__xludf.DUMMYFUNCTION("""COMPUTED_VALUE"""),0.0174)</f>
        <v>0.0174</v>
      </c>
      <c r="R247" s="214">
        <f>IFERROR(__xludf.DUMMYFUNCTION("""COMPUTED_VALUE"""),0.0789)</f>
        <v>0.0789</v>
      </c>
      <c r="S247" s="213">
        <f>IFERROR(__xludf.DUMMYFUNCTION("""COMPUTED_VALUE"""),0.0)</f>
        <v>0</v>
      </c>
      <c r="T247" s="213">
        <f>IFERROR(__xludf.DUMMYFUNCTION("""COMPUTED_VALUE"""),0.0)</f>
        <v>0</v>
      </c>
      <c r="U247" s="270">
        <f>IFERROR(__xludf.DUMMYFUNCTION("""COMPUTED_VALUE"""),0.0)</f>
        <v>0</v>
      </c>
      <c r="V247" s="271" t="str">
        <f>IFERROR(__xludf.DUMMYFUNCTION("""COMPUTED_VALUE"""),"offline")</f>
        <v>offline</v>
      </c>
      <c r="W247" s="272" t="str">
        <f>IFERROR(__xludf.DUMMYFUNCTION("""COMPUTED_VALUE"""),"simple")</f>
        <v>simple</v>
      </c>
      <c r="X247" s="272" t="str">
        <f>IFERROR(__xludf.DUMMYFUNCTION("""COMPUTED_VALUE"""),"Cat Buyers")</f>
        <v>Cat Buyers</v>
      </c>
      <c r="Y247" s="272" t="str">
        <f>IFERROR(__xludf.DUMMYFUNCTION("""COMPUTED_VALUE"""),"27th - 29th March")</f>
        <v>27th - 29th March</v>
      </c>
      <c r="Z247" s="272" t="str">
        <f>IFERROR(__xludf.DUMMYFUNCTION("""COMPUTED_VALUE"""),"69c4de26ae0edbca1882da6e")</f>
        <v>69c4de26ae0edbca1882da6e</v>
      </c>
      <c r="AA247" s="272">
        <f>IFERROR(__xludf.DUMMYFUNCTION("""COMPUTED_VALUE"""),5.0)</f>
        <v>5</v>
      </c>
      <c r="AB247" s="272"/>
      <c r="AC247" s="272">
        <f>IFERROR(__xludf.DUMMYFUNCTION("""COMPUTED_VALUE"""),5.0)</f>
        <v>5</v>
      </c>
      <c r="AD247" s="272">
        <f>IFERROR(__xludf.DUMMYFUNCTION("""COMPUTED_VALUE"""),36411.0)</f>
        <v>36411</v>
      </c>
      <c r="AE247" s="272"/>
      <c r="AF247" s="272">
        <f>IFERROR(__xludf.DUMMYFUNCTION("""COMPUTED_VALUE"""),36411.0)</f>
        <v>36411</v>
      </c>
      <c r="AG247" s="208"/>
      <c r="AH247" s="208"/>
      <c r="AI247" s="208"/>
      <c r="AJ247" s="208"/>
      <c r="AK247" s="208"/>
    </row>
    <row r="248">
      <c r="A248" s="209">
        <f>IFERROR(__xludf.DUMMYFUNCTION("""COMPUTED_VALUE"""),46108.0)</f>
        <v>46108</v>
      </c>
      <c r="B248" s="210">
        <f>IFERROR(__xludf.DUMMYFUNCTION("""COMPUTED_VALUE"""),0.36111111110949423)</f>
        <v>0.3611111111</v>
      </c>
      <c r="C248" s="211" t="str">
        <f>IFERROR(__xludf.DUMMYFUNCTION("""COMPUTED_VALUE"""),"Whatsapp")</f>
        <v>Whatsapp</v>
      </c>
      <c r="D248" s="211" t="str">
        <f>IFERROR(__xludf.DUMMYFUNCTION("""COMPUTED_VALUE"""),"Promotional")</f>
        <v>Promotional</v>
      </c>
      <c r="E248" s="211" t="str">
        <f>IFERROR(__xludf.DUMMYFUNCTION("""COMPUTED_VALUE"""),"VS")</f>
        <v>VS</v>
      </c>
      <c r="F248" s="211" t="str">
        <f>IFERROR(__xludf.DUMMYFUNCTION("""COMPUTED_VALUE"""),"Pajama campaign ")</f>
        <v>Pajama campaign </v>
      </c>
      <c r="G248" s="212" t="str">
        <f>IFERROR(__xludf.DUMMYFUNCTION("""COMPUTED_VALUE"""),"PJ_Party_BTY_CX_Off")</f>
        <v>PJ_Party_BTY_CX_Off</v>
      </c>
      <c r="H248" s="212" t="str">
        <f>IFERROR(__xludf.DUMMYFUNCTION("""COMPUTED_VALUE"""),"Beauty_NoPr_Pajama_Off")</f>
        <v>Beauty_NoPr_Pajama_Off</v>
      </c>
      <c r="I248" s="212" t="str">
        <f>IFERROR(__xludf.DUMMYFUNCTION("""COMPUTED_VALUE"""),"Offline Beauty Customers who have not purchased Sleep and Loungewear in the last 1095 days AND Exclude Custom Segment :- Predom_Order_Value_9998_OFF, PJ_Cat_Buyers_OFF")</f>
        <v>Offline Beauty Customers who have not purchased Sleep and Loungewear in the last 1095 days AND Exclude Custom Segment :- Predom_Order_Value_9998_OFF, PJ_Cat_Buyers_OFF</v>
      </c>
      <c r="J248" s="213">
        <f>IFERROR(__xludf.DUMMYFUNCTION("""COMPUTED_VALUE"""),73272.0)</f>
        <v>73272</v>
      </c>
      <c r="K248" s="213">
        <f>IFERROR(__xludf.DUMMYFUNCTION("""COMPUTED_VALUE"""),45234.0)</f>
        <v>45234</v>
      </c>
      <c r="L248" s="214">
        <f>IFERROR(__xludf.DUMMYFUNCTION("""COMPUTED_VALUE"""),0.6173)</f>
        <v>0.6173</v>
      </c>
      <c r="M248" s="213">
        <f>IFERROR(__xludf.DUMMYFUNCTION("""COMPUTED_VALUE"""),12827.0)</f>
        <v>12827</v>
      </c>
      <c r="N248" s="214">
        <f>IFERROR(__xludf.DUMMYFUNCTION("""COMPUTED_VALUE"""),0.2836)</f>
        <v>0.2836</v>
      </c>
      <c r="O248" s="213">
        <f>IFERROR(__xludf.DUMMYFUNCTION("""COMPUTED_VALUE"""),590.0)</f>
        <v>590</v>
      </c>
      <c r="P248" s="213">
        <f>IFERROR(__xludf.DUMMYFUNCTION("""COMPUTED_VALUE"""),568.0)</f>
        <v>568</v>
      </c>
      <c r="Q248" s="214">
        <f>IFERROR(__xludf.DUMMYFUNCTION("""COMPUTED_VALUE"""),0.0126)</f>
        <v>0.0126</v>
      </c>
      <c r="R248" s="214">
        <f>IFERROR(__xludf.DUMMYFUNCTION("""COMPUTED_VALUE"""),0.0443)</f>
        <v>0.0443</v>
      </c>
      <c r="S248" s="213">
        <f>IFERROR(__xludf.DUMMYFUNCTION("""COMPUTED_VALUE"""),4.0)</f>
        <v>4</v>
      </c>
      <c r="T248" s="213">
        <f>IFERROR(__xludf.DUMMYFUNCTION("""COMPUTED_VALUE"""),8.0)</f>
        <v>8</v>
      </c>
      <c r="U248" s="270">
        <f>IFERROR(__xludf.DUMMYFUNCTION("""COMPUTED_VALUE"""),29739.0)</f>
        <v>29739</v>
      </c>
      <c r="V248" s="271" t="str">
        <f>IFERROR(__xludf.DUMMYFUNCTION("""COMPUTED_VALUE"""),"offline")</f>
        <v>offline</v>
      </c>
      <c r="W248" s="272" t="str">
        <f>IFERROR(__xludf.DUMMYFUNCTION("""COMPUTED_VALUE"""),"simple")</f>
        <v>simple</v>
      </c>
      <c r="X248" s="272" t="str">
        <f>IFERROR(__xludf.DUMMYFUNCTION("""COMPUTED_VALUE"""),"Beauty No Purchase Pajama")</f>
        <v>Beauty No Purchase Pajama</v>
      </c>
      <c r="Y248" s="272" t="str">
        <f>IFERROR(__xludf.DUMMYFUNCTION("""COMPUTED_VALUE"""),"27th - 29th March")</f>
        <v>27th - 29th March</v>
      </c>
      <c r="Z248" s="272" t="str">
        <f>IFERROR(__xludf.DUMMYFUNCTION("""COMPUTED_VALUE"""),"69c4dedeb4a3922b1337d639")</f>
        <v>69c4dedeb4a3922b1337d639</v>
      </c>
      <c r="AA248" s="272">
        <f>IFERROR(__xludf.DUMMYFUNCTION("""COMPUTED_VALUE"""),47.0)</f>
        <v>47</v>
      </c>
      <c r="AB248" s="272"/>
      <c r="AC248" s="272">
        <f>IFERROR(__xludf.DUMMYFUNCTION("""COMPUTED_VALUE"""),47.0)</f>
        <v>47</v>
      </c>
      <c r="AD248" s="272">
        <f>IFERROR(__xludf.DUMMYFUNCTION("""COMPUTED_VALUE"""),317636.0)</f>
        <v>317636</v>
      </c>
      <c r="AE248" s="272"/>
      <c r="AF248" s="272">
        <f>IFERROR(__xludf.DUMMYFUNCTION("""COMPUTED_VALUE"""),317636.0)</f>
        <v>317636</v>
      </c>
      <c r="AG248" s="208"/>
      <c r="AH248" s="208"/>
      <c r="AI248" s="208"/>
      <c r="AJ248" s="208"/>
      <c r="AK248" s="208"/>
    </row>
    <row r="249">
      <c r="A249" s="209">
        <f>IFERROR(__xludf.DUMMYFUNCTION("""COMPUTED_VALUE"""),46108.0)</f>
        <v>46108</v>
      </c>
      <c r="B249" s="210">
        <f>IFERROR(__xludf.DUMMYFUNCTION("""COMPUTED_VALUE"""),0.3645833333321207)</f>
        <v>0.3645833333</v>
      </c>
      <c r="C249" s="211" t="str">
        <f>IFERROR(__xludf.DUMMYFUNCTION("""COMPUTED_VALUE"""),"Whatsapp")</f>
        <v>Whatsapp</v>
      </c>
      <c r="D249" s="211" t="str">
        <f>IFERROR(__xludf.DUMMYFUNCTION("""COMPUTED_VALUE"""),"Promotional")</f>
        <v>Promotional</v>
      </c>
      <c r="E249" s="211" t="str">
        <f>IFERROR(__xludf.DUMMYFUNCTION("""COMPUTED_VALUE"""),"VS")</f>
        <v>VS</v>
      </c>
      <c r="F249" s="211" t="str">
        <f>IFERROR(__xludf.DUMMYFUNCTION("""COMPUTED_VALUE"""),"Pajama campaign ")</f>
        <v>Pajama campaign </v>
      </c>
      <c r="G249" s="212" t="str">
        <f>IFERROR(__xludf.DUMMYFUNCTION("""COMPUTED_VALUE"""),"PJ_Party_Bra_CX_Off")</f>
        <v>PJ_Party_Bra_CX_Off</v>
      </c>
      <c r="H249" s="212" t="str">
        <f>IFERROR(__xludf.DUMMYFUNCTION("""COMPUTED_VALUE"""),"Bra_NoPr_Pajama_Off")</f>
        <v>Bra_NoPr_Pajama_Off</v>
      </c>
      <c r="I249" s="212" t="str">
        <f>IFERROR(__xludf.DUMMYFUNCTION("""COMPUTED_VALUE"""),"Offline Bra Customers who have not purchased Sleep and Loungewear in the last 1095 days AND Exclude Custom Segment :- Predom_Order_Value_9998_OFF, PJ_Cat_Buyers_OFF, Beauty_NoPr_Pajama_Off")</f>
        <v>Offline Bra Customers who have not purchased Sleep and Loungewear in the last 1095 days AND Exclude Custom Segment :- Predom_Order_Value_9998_OFF, PJ_Cat_Buyers_OFF, Beauty_NoPr_Pajama_Off</v>
      </c>
      <c r="J249" s="213">
        <f>IFERROR(__xludf.DUMMYFUNCTION("""COMPUTED_VALUE"""),10652.0)</f>
        <v>10652</v>
      </c>
      <c r="K249" s="213">
        <f>IFERROR(__xludf.DUMMYFUNCTION("""COMPUTED_VALUE"""),5421.0)</f>
        <v>5421</v>
      </c>
      <c r="L249" s="214">
        <f>IFERROR(__xludf.DUMMYFUNCTION("""COMPUTED_VALUE"""),0.5089)</f>
        <v>0.5089</v>
      </c>
      <c r="M249" s="213">
        <f>IFERROR(__xludf.DUMMYFUNCTION("""COMPUTED_VALUE"""),1278.0)</f>
        <v>1278</v>
      </c>
      <c r="N249" s="214">
        <f>IFERROR(__xludf.DUMMYFUNCTION("""COMPUTED_VALUE"""),0.2357)</f>
        <v>0.2357</v>
      </c>
      <c r="O249" s="213">
        <f>IFERROR(__xludf.DUMMYFUNCTION("""COMPUTED_VALUE"""),62.0)</f>
        <v>62</v>
      </c>
      <c r="P249" s="213">
        <f>IFERROR(__xludf.DUMMYFUNCTION("""COMPUTED_VALUE"""),61.0)</f>
        <v>61</v>
      </c>
      <c r="Q249" s="214">
        <f>IFERROR(__xludf.DUMMYFUNCTION("""COMPUTED_VALUE"""),0.0113)</f>
        <v>0.0113</v>
      </c>
      <c r="R249" s="214">
        <f>IFERROR(__xludf.DUMMYFUNCTION("""COMPUTED_VALUE"""),0.0477)</f>
        <v>0.0477</v>
      </c>
      <c r="S249" s="213">
        <f>IFERROR(__xludf.DUMMYFUNCTION("""COMPUTED_VALUE"""),0.0)</f>
        <v>0</v>
      </c>
      <c r="T249" s="213">
        <f>IFERROR(__xludf.DUMMYFUNCTION("""COMPUTED_VALUE"""),1.0)</f>
        <v>1</v>
      </c>
      <c r="U249" s="270">
        <f>IFERROR(__xludf.DUMMYFUNCTION("""COMPUTED_VALUE"""),0.0)</f>
        <v>0</v>
      </c>
      <c r="V249" s="271" t="str">
        <f>IFERROR(__xludf.DUMMYFUNCTION("""COMPUTED_VALUE"""),"offline")</f>
        <v>offline</v>
      </c>
      <c r="W249" s="272" t="str">
        <f>IFERROR(__xludf.DUMMYFUNCTION("""COMPUTED_VALUE"""),"simple")</f>
        <v>simple</v>
      </c>
      <c r="X249" s="272" t="str">
        <f>IFERROR(__xludf.DUMMYFUNCTION("""COMPUTED_VALUE"""),"Bra No Purchase Pajama")</f>
        <v>Bra No Purchase Pajama</v>
      </c>
      <c r="Y249" s="272" t="str">
        <f>IFERROR(__xludf.DUMMYFUNCTION("""COMPUTED_VALUE"""),"27th - 29th March")</f>
        <v>27th - 29th March</v>
      </c>
      <c r="Z249" s="272" t="str">
        <f>IFERROR(__xludf.DUMMYFUNCTION("""COMPUTED_VALUE"""),"69c4df88e7c8af7dc79e56f1")</f>
        <v>69c4df88e7c8af7dc79e56f1</v>
      </c>
      <c r="AA249" s="272">
        <f>IFERROR(__xludf.DUMMYFUNCTION("""COMPUTED_VALUE"""),11.0)</f>
        <v>11</v>
      </c>
      <c r="AB249" s="272"/>
      <c r="AC249" s="272">
        <f>IFERROR(__xludf.DUMMYFUNCTION("""COMPUTED_VALUE"""),11.0)</f>
        <v>11</v>
      </c>
      <c r="AD249" s="272">
        <f>IFERROR(__xludf.DUMMYFUNCTION("""COMPUTED_VALUE"""),75379.0)</f>
        <v>75379</v>
      </c>
      <c r="AE249" s="272"/>
      <c r="AF249" s="272">
        <f>IFERROR(__xludf.DUMMYFUNCTION("""COMPUTED_VALUE"""),75379.0)</f>
        <v>75379</v>
      </c>
      <c r="AG249" s="208"/>
      <c r="AH249" s="208"/>
      <c r="AI249" s="208"/>
      <c r="AJ249" s="208"/>
      <c r="AK249" s="208"/>
    </row>
    <row r="250">
      <c r="A250" s="209">
        <f>IFERROR(__xludf.DUMMYFUNCTION("""COMPUTED_VALUE"""),46108.0)</f>
        <v>46108</v>
      </c>
      <c r="B250" s="210">
        <f>IFERROR(__xludf.DUMMYFUNCTION("""COMPUTED_VALUE"""),0.4375)</f>
        <v>0.4375</v>
      </c>
      <c r="C250" s="211" t="str">
        <f>IFERROR(__xludf.DUMMYFUNCTION("""COMPUTED_VALUE"""),"Sms")</f>
        <v>Sms</v>
      </c>
      <c r="D250" s="211" t="str">
        <f>IFERROR(__xludf.DUMMYFUNCTION("""COMPUTED_VALUE"""),"Fallback Campaign")</f>
        <v>Fallback Campaign</v>
      </c>
      <c r="E250" s="211" t="str">
        <f>IFERROR(__xludf.DUMMYFUNCTION("""COMPUTED_VALUE"""),"VS")</f>
        <v>VS</v>
      </c>
      <c r="F250" s="211" t="str">
        <f>IFERROR(__xludf.DUMMYFUNCTION("""COMPUTED_VALUE"""),"Pajama campaign ")</f>
        <v>Pajama campaign </v>
      </c>
      <c r="G250" s="212" t="str">
        <f>IFERROR(__xludf.DUMMYFUNCTION("""COMPUTED_VALUE"""),"PJ_Party_High_LTV_Off (FB)")</f>
        <v>PJ_Party_High_LTV_Off (FB)</v>
      </c>
      <c r="H250" s="212" t="str">
        <f>IFERROR(__xludf.DUMMYFUNCTION("""COMPUTED_VALUE"""),"Predom_Order_Value_9998_OFF")</f>
        <v>Predom_Order_Value_9998_OFF</v>
      </c>
      <c r="I250" s="212" t="str">
        <f>IFERROR(__xludf.DUMMYFUNCTION("""COMPUTED_VALUE"""),"WA Undelivered")</f>
        <v>WA Undelivered</v>
      </c>
      <c r="J250" s="213">
        <f>IFERROR(__xludf.DUMMYFUNCTION("""COMPUTED_VALUE"""),15272.0)</f>
        <v>15272</v>
      </c>
      <c r="K250" s="213">
        <f>IFERROR(__xludf.DUMMYFUNCTION("""COMPUTED_VALUE"""),8211.0)</f>
        <v>8211</v>
      </c>
      <c r="L250" s="214">
        <f>IFERROR(__xludf.DUMMYFUNCTION("""COMPUTED_VALUE"""),0.5377)</f>
        <v>0.5377</v>
      </c>
      <c r="M250" s="213"/>
      <c r="N250" s="214"/>
      <c r="O250" s="213">
        <f>IFERROR(__xludf.DUMMYFUNCTION("""COMPUTED_VALUE"""),7.0)</f>
        <v>7</v>
      </c>
      <c r="P250" s="213"/>
      <c r="Q250" s="214">
        <f>IFERROR(__xludf.DUMMYFUNCTION("""COMPUTED_VALUE"""),9.0E-4)</f>
        <v>0.0009</v>
      </c>
      <c r="R250" s="214"/>
      <c r="S250" s="213">
        <f>IFERROR(__xludf.DUMMYFUNCTION("""COMPUTED_VALUE"""),2.0)</f>
        <v>2</v>
      </c>
      <c r="T250" s="213">
        <f>IFERROR(__xludf.DUMMYFUNCTION("""COMPUTED_VALUE"""),4.0)</f>
        <v>4</v>
      </c>
      <c r="U250" s="270">
        <f>IFERROR(__xludf.DUMMYFUNCTION("""COMPUTED_VALUE"""),5204.0)</f>
        <v>5204</v>
      </c>
      <c r="V250" s="271" t="str">
        <f>IFERROR(__xludf.DUMMYFUNCTION("""COMPUTED_VALUE"""),"offline")</f>
        <v>offline</v>
      </c>
      <c r="W250" s="272" t="str">
        <f>IFERROR(__xludf.DUMMYFUNCTION("""COMPUTED_VALUE"""),"SMS")</f>
        <v>SMS</v>
      </c>
      <c r="X250" s="272" t="str">
        <f>IFERROR(__xludf.DUMMYFUNCTION("""COMPUTED_VALUE"""),"Predom Cart Value")</f>
        <v>Predom Cart Value</v>
      </c>
      <c r="Y250" s="272" t="str">
        <f>IFERROR(__xludf.DUMMYFUNCTION("""COMPUTED_VALUE"""),"27th - 29th March")</f>
        <v>27th - 29th March</v>
      </c>
      <c r="Z250" s="272" t="str">
        <f>IFERROR(__xludf.DUMMYFUNCTION("""COMPUTED_VALUE"""),"69c4dd5ae1876f2f49a81598")</f>
        <v>69c4dd5ae1876f2f49a81598</v>
      </c>
      <c r="AA250" s="272">
        <f>IFERROR(__xludf.DUMMYFUNCTION("""COMPUTED_VALUE"""),47.0)</f>
        <v>47</v>
      </c>
      <c r="AB250" s="272"/>
      <c r="AC250" s="272">
        <f>IFERROR(__xludf.DUMMYFUNCTION("""COMPUTED_VALUE"""),47.0)</f>
        <v>47</v>
      </c>
      <c r="AD250" s="272">
        <f>IFERROR(__xludf.DUMMYFUNCTION("""COMPUTED_VALUE"""),998775.0)</f>
        <v>998775</v>
      </c>
      <c r="AE250" s="272"/>
      <c r="AF250" s="272">
        <f>IFERROR(__xludf.DUMMYFUNCTION("""COMPUTED_VALUE"""),998775.0)</f>
        <v>998775</v>
      </c>
      <c r="AG250" s="208"/>
      <c r="AH250" s="208"/>
      <c r="AI250" s="208"/>
      <c r="AJ250" s="208"/>
      <c r="AK250" s="208"/>
    </row>
    <row r="251">
      <c r="A251" s="209">
        <f>IFERROR(__xludf.DUMMYFUNCTION("""COMPUTED_VALUE"""),46108.0)</f>
        <v>46108</v>
      </c>
      <c r="B251" s="210">
        <f>IFERROR(__xludf.DUMMYFUNCTION("""COMPUTED_VALUE"""),0.4375)</f>
        <v>0.4375</v>
      </c>
      <c r="C251" s="211" t="str">
        <f>IFERROR(__xludf.DUMMYFUNCTION("""COMPUTED_VALUE"""),"Sms")</f>
        <v>Sms</v>
      </c>
      <c r="D251" s="211" t="str">
        <f>IFERROR(__xludf.DUMMYFUNCTION("""COMPUTED_VALUE"""),"Fallback Campaign")</f>
        <v>Fallback Campaign</v>
      </c>
      <c r="E251" s="211" t="str">
        <f>IFERROR(__xludf.DUMMYFUNCTION("""COMPUTED_VALUE"""),"VS")</f>
        <v>VS</v>
      </c>
      <c r="F251" s="211" t="str">
        <f>IFERROR(__xludf.DUMMYFUNCTION("""COMPUTED_VALUE"""),"Pajama campaign ")</f>
        <v>Pajama campaign </v>
      </c>
      <c r="G251" s="212" t="str">
        <f>IFERROR(__xludf.DUMMYFUNCTION("""COMPUTED_VALUE"""),"PJ_Party_Cat_Buyers_Off (FB)")</f>
        <v>PJ_Party_Cat_Buyers_Off (FB)</v>
      </c>
      <c r="H251" s="212" t="str">
        <f>IFERROR(__xludf.DUMMYFUNCTION("""COMPUTED_VALUE"""),"PJ_Cat_Buyers_OFF")</f>
        <v>PJ_Cat_Buyers_OFF</v>
      </c>
      <c r="I251" s="212" t="str">
        <f>IFERROR(__xludf.DUMMYFUNCTION("""COMPUTED_VALUE"""),"WA Undelivered")</f>
        <v>WA Undelivered</v>
      </c>
      <c r="J251" s="213">
        <f>IFERROR(__xludf.DUMMYFUNCTION("""COMPUTED_VALUE"""),1106.0)</f>
        <v>1106</v>
      </c>
      <c r="K251" s="213">
        <f>IFERROR(__xludf.DUMMYFUNCTION("""COMPUTED_VALUE"""),636.0)</f>
        <v>636</v>
      </c>
      <c r="L251" s="214">
        <f>IFERROR(__xludf.DUMMYFUNCTION("""COMPUTED_VALUE"""),0.575)</f>
        <v>0.575</v>
      </c>
      <c r="M251" s="213"/>
      <c r="N251" s="214"/>
      <c r="O251" s="213">
        <f>IFERROR(__xludf.DUMMYFUNCTION("""COMPUTED_VALUE"""),0.0)</f>
        <v>0</v>
      </c>
      <c r="P251" s="213"/>
      <c r="Q251" s="214">
        <f>IFERROR(__xludf.DUMMYFUNCTION("""COMPUTED_VALUE"""),0.0)</f>
        <v>0</v>
      </c>
      <c r="R251" s="214"/>
      <c r="S251" s="213">
        <f>IFERROR(__xludf.DUMMYFUNCTION("""COMPUTED_VALUE"""),0.0)</f>
        <v>0</v>
      </c>
      <c r="T251" s="213">
        <f>IFERROR(__xludf.DUMMYFUNCTION("""COMPUTED_VALUE"""),0.0)</f>
        <v>0</v>
      </c>
      <c r="U251" s="270">
        <f>IFERROR(__xludf.DUMMYFUNCTION("""COMPUTED_VALUE"""),0.0)</f>
        <v>0</v>
      </c>
      <c r="V251" s="271" t="str">
        <f>IFERROR(__xludf.DUMMYFUNCTION("""COMPUTED_VALUE"""),"offline")</f>
        <v>offline</v>
      </c>
      <c r="W251" s="272" t="str">
        <f>IFERROR(__xludf.DUMMYFUNCTION("""COMPUTED_VALUE"""),"SMS")</f>
        <v>SMS</v>
      </c>
      <c r="X251" s="272" t="str">
        <f>IFERROR(__xludf.DUMMYFUNCTION("""COMPUTED_VALUE"""),"Cat Buyers")</f>
        <v>Cat Buyers</v>
      </c>
      <c r="Y251" s="272" t="str">
        <f>IFERROR(__xludf.DUMMYFUNCTION("""COMPUTED_VALUE"""),"27th - 29th March")</f>
        <v>27th - 29th March</v>
      </c>
      <c r="Z251" s="272" t="str">
        <f>IFERROR(__xludf.DUMMYFUNCTION("""COMPUTED_VALUE"""),"69c4de5c682f42c6c92dd13d")</f>
        <v>69c4de5c682f42c6c92dd13d</v>
      </c>
      <c r="AA251" s="272">
        <f>IFERROR(__xludf.DUMMYFUNCTION("""COMPUTED_VALUE"""),2.0)</f>
        <v>2</v>
      </c>
      <c r="AB251" s="272"/>
      <c r="AC251" s="272">
        <f>IFERROR(__xludf.DUMMYFUNCTION("""COMPUTED_VALUE"""),2.0)</f>
        <v>2</v>
      </c>
      <c r="AD251" s="272">
        <f>IFERROR(__xludf.DUMMYFUNCTION("""COMPUTED_VALUE"""),26034.0)</f>
        <v>26034</v>
      </c>
      <c r="AE251" s="272"/>
      <c r="AF251" s="272">
        <f>IFERROR(__xludf.DUMMYFUNCTION("""COMPUTED_VALUE"""),26034.0)</f>
        <v>26034</v>
      </c>
      <c r="AG251" s="208"/>
      <c r="AH251" s="208"/>
      <c r="AI251" s="208"/>
      <c r="AJ251" s="208"/>
      <c r="AK251" s="208"/>
    </row>
    <row r="252">
      <c r="A252" s="209">
        <f>IFERROR(__xludf.DUMMYFUNCTION("""COMPUTED_VALUE"""),46108.0)</f>
        <v>46108</v>
      </c>
      <c r="B252" s="210">
        <f>IFERROR(__xludf.DUMMYFUNCTION("""COMPUTED_VALUE"""),0.4375)</f>
        <v>0.4375</v>
      </c>
      <c r="C252" s="211" t="str">
        <f>IFERROR(__xludf.DUMMYFUNCTION("""COMPUTED_VALUE"""),"Sms")</f>
        <v>Sms</v>
      </c>
      <c r="D252" s="211" t="str">
        <f>IFERROR(__xludf.DUMMYFUNCTION("""COMPUTED_VALUE"""),"Fallback Campaign")</f>
        <v>Fallback Campaign</v>
      </c>
      <c r="E252" s="211" t="str">
        <f>IFERROR(__xludf.DUMMYFUNCTION("""COMPUTED_VALUE"""),"VS")</f>
        <v>VS</v>
      </c>
      <c r="F252" s="211" t="str">
        <f>IFERROR(__xludf.DUMMYFUNCTION("""COMPUTED_VALUE"""),"Pajama campaign ")</f>
        <v>Pajama campaign </v>
      </c>
      <c r="G252" s="212" t="str">
        <f>IFERROR(__xludf.DUMMYFUNCTION("""COMPUTED_VALUE"""),"PJ_Party_BTY_CX_Off (FB)")</f>
        <v>PJ_Party_BTY_CX_Off (FB)</v>
      </c>
      <c r="H252" s="212" t="str">
        <f>IFERROR(__xludf.DUMMYFUNCTION("""COMPUTED_VALUE"""),"Beauty_NoPr_Pajama_Off")</f>
        <v>Beauty_NoPr_Pajama_Off</v>
      </c>
      <c r="I252" s="212" t="str">
        <f>IFERROR(__xludf.DUMMYFUNCTION("""COMPUTED_VALUE"""),"WA Undelivered")</f>
        <v>WA Undelivered</v>
      </c>
      <c r="J252" s="213">
        <f>IFERROR(__xludf.DUMMYFUNCTION("""COMPUTED_VALUE"""),25379.0)</f>
        <v>25379</v>
      </c>
      <c r="K252" s="213">
        <f>IFERROR(__xludf.DUMMYFUNCTION("""COMPUTED_VALUE"""),16946.0)</f>
        <v>16946</v>
      </c>
      <c r="L252" s="214">
        <f>IFERROR(__xludf.DUMMYFUNCTION("""COMPUTED_VALUE"""),0.6677)</f>
        <v>0.6677</v>
      </c>
      <c r="M252" s="213"/>
      <c r="N252" s="214"/>
      <c r="O252" s="213">
        <f>IFERROR(__xludf.DUMMYFUNCTION("""COMPUTED_VALUE"""),6.0)</f>
        <v>6</v>
      </c>
      <c r="P252" s="213"/>
      <c r="Q252" s="214">
        <f>IFERROR(__xludf.DUMMYFUNCTION("""COMPUTED_VALUE"""),4.0E-4)</f>
        <v>0.0004</v>
      </c>
      <c r="R252" s="214"/>
      <c r="S252" s="213">
        <f>IFERROR(__xludf.DUMMYFUNCTION("""COMPUTED_VALUE"""),0.0)</f>
        <v>0</v>
      </c>
      <c r="T252" s="213">
        <f>IFERROR(__xludf.DUMMYFUNCTION("""COMPUTED_VALUE"""),1.0)</f>
        <v>1</v>
      </c>
      <c r="U252" s="270">
        <f>IFERROR(__xludf.DUMMYFUNCTION("""COMPUTED_VALUE"""),0.0)</f>
        <v>0</v>
      </c>
      <c r="V252" s="271" t="str">
        <f>IFERROR(__xludf.DUMMYFUNCTION("""COMPUTED_VALUE"""),"offline")</f>
        <v>offline</v>
      </c>
      <c r="W252" s="272" t="str">
        <f>IFERROR(__xludf.DUMMYFUNCTION("""COMPUTED_VALUE"""),"SMS")</f>
        <v>SMS</v>
      </c>
      <c r="X252" s="272" t="str">
        <f>IFERROR(__xludf.DUMMYFUNCTION("""COMPUTED_VALUE"""),"Beauty No Purchase Pajama")</f>
        <v>Beauty No Purchase Pajama</v>
      </c>
      <c r="Y252" s="272" t="str">
        <f>IFERROR(__xludf.DUMMYFUNCTION("""COMPUTED_VALUE"""),"27th - 29th March")</f>
        <v>27th - 29th March</v>
      </c>
      <c r="Z252" s="272" t="str">
        <f>IFERROR(__xludf.DUMMYFUNCTION("""COMPUTED_VALUE"""),"69c4df2d75828fe502580fcb")</f>
        <v>69c4df2d75828fe502580fcb</v>
      </c>
      <c r="AA252" s="272">
        <f>IFERROR(__xludf.DUMMYFUNCTION("""COMPUTED_VALUE"""),26.0)</f>
        <v>26</v>
      </c>
      <c r="AB252" s="272"/>
      <c r="AC252" s="272">
        <f>IFERROR(__xludf.DUMMYFUNCTION("""COMPUTED_VALUE"""),26.0)</f>
        <v>26</v>
      </c>
      <c r="AD252" s="272">
        <f>IFERROR(__xludf.DUMMYFUNCTION("""COMPUTED_VALUE"""),197080.0)</f>
        <v>197080</v>
      </c>
      <c r="AE252" s="272"/>
      <c r="AF252" s="272">
        <f>IFERROR(__xludf.DUMMYFUNCTION("""COMPUTED_VALUE"""),197080.0)</f>
        <v>197080</v>
      </c>
      <c r="AG252" s="208"/>
      <c r="AH252" s="208"/>
      <c r="AI252" s="208"/>
      <c r="AJ252" s="208"/>
      <c r="AK252" s="208"/>
    </row>
    <row r="253">
      <c r="A253" s="209">
        <f>IFERROR(__xludf.DUMMYFUNCTION("""COMPUTED_VALUE"""),46108.0)</f>
        <v>46108</v>
      </c>
      <c r="B253" s="210">
        <f>IFERROR(__xludf.DUMMYFUNCTION("""COMPUTED_VALUE"""),0.4375)</f>
        <v>0.4375</v>
      </c>
      <c r="C253" s="211" t="str">
        <f>IFERROR(__xludf.DUMMYFUNCTION("""COMPUTED_VALUE"""),"Sms")</f>
        <v>Sms</v>
      </c>
      <c r="D253" s="211" t="str">
        <f>IFERROR(__xludf.DUMMYFUNCTION("""COMPUTED_VALUE"""),"Fallback Campaign")</f>
        <v>Fallback Campaign</v>
      </c>
      <c r="E253" s="211" t="str">
        <f>IFERROR(__xludf.DUMMYFUNCTION("""COMPUTED_VALUE"""),"VS")</f>
        <v>VS</v>
      </c>
      <c r="F253" s="211" t="str">
        <f>IFERROR(__xludf.DUMMYFUNCTION("""COMPUTED_VALUE"""),"Pajama campaign ")</f>
        <v>Pajama campaign </v>
      </c>
      <c r="G253" s="212" t="str">
        <f>IFERROR(__xludf.DUMMYFUNCTION("""COMPUTED_VALUE"""),"PJ_Party_Bra_CX_Off (FB)")</f>
        <v>PJ_Party_Bra_CX_Off (FB)</v>
      </c>
      <c r="H253" s="212" t="str">
        <f>IFERROR(__xludf.DUMMYFUNCTION("""COMPUTED_VALUE"""),"Bra_NoPr_Pajama_Off")</f>
        <v>Bra_NoPr_Pajama_Off</v>
      </c>
      <c r="I253" s="212" t="str">
        <f>IFERROR(__xludf.DUMMYFUNCTION("""COMPUTED_VALUE"""),"WA Undelivered")</f>
        <v>WA Undelivered</v>
      </c>
      <c r="J253" s="213">
        <f>IFERROR(__xludf.DUMMYFUNCTION("""COMPUTED_VALUE"""),4602.0)</f>
        <v>4602</v>
      </c>
      <c r="K253" s="213">
        <f>IFERROR(__xludf.DUMMYFUNCTION("""COMPUTED_VALUE"""),2600.0)</f>
        <v>2600</v>
      </c>
      <c r="L253" s="214">
        <f>IFERROR(__xludf.DUMMYFUNCTION("""COMPUTED_VALUE"""),0.565)</f>
        <v>0.565</v>
      </c>
      <c r="M253" s="213"/>
      <c r="N253" s="214"/>
      <c r="O253" s="213">
        <f>IFERROR(__xludf.DUMMYFUNCTION("""COMPUTED_VALUE"""),1.0)</f>
        <v>1</v>
      </c>
      <c r="P253" s="213"/>
      <c r="Q253" s="214">
        <f>IFERROR(__xludf.DUMMYFUNCTION("""COMPUTED_VALUE"""),4.0E-4)</f>
        <v>0.0004</v>
      </c>
      <c r="R253" s="214"/>
      <c r="S253" s="213">
        <f>IFERROR(__xludf.DUMMYFUNCTION("""COMPUTED_VALUE"""),0.0)</f>
        <v>0</v>
      </c>
      <c r="T253" s="213">
        <f>IFERROR(__xludf.DUMMYFUNCTION("""COMPUTED_VALUE"""),0.0)</f>
        <v>0</v>
      </c>
      <c r="U253" s="270">
        <f>IFERROR(__xludf.DUMMYFUNCTION("""COMPUTED_VALUE"""),0.0)</f>
        <v>0</v>
      </c>
      <c r="V253" s="271" t="str">
        <f>IFERROR(__xludf.DUMMYFUNCTION("""COMPUTED_VALUE"""),"offline")</f>
        <v>offline</v>
      </c>
      <c r="W253" s="272" t="str">
        <f>IFERROR(__xludf.DUMMYFUNCTION("""COMPUTED_VALUE"""),"SMS")</f>
        <v>SMS</v>
      </c>
      <c r="X253" s="272" t="str">
        <f>IFERROR(__xludf.DUMMYFUNCTION("""COMPUTED_VALUE"""),"Bra No Purchase Pajama")</f>
        <v>Bra No Purchase Pajama</v>
      </c>
      <c r="Y253" s="272" t="str">
        <f>IFERROR(__xludf.DUMMYFUNCTION("""COMPUTED_VALUE"""),"27th - 29th March")</f>
        <v>27th - 29th March</v>
      </c>
      <c r="Z253" s="272" t="str">
        <f>IFERROR(__xludf.DUMMYFUNCTION("""COMPUTED_VALUE"""),"69c4dfbd4c1f364eff416bda")</f>
        <v>69c4dfbd4c1f364eff416bda</v>
      </c>
      <c r="AA253" s="272">
        <f>IFERROR(__xludf.DUMMYFUNCTION("""COMPUTED_VALUE"""),6.0)</f>
        <v>6</v>
      </c>
      <c r="AB253" s="272"/>
      <c r="AC253" s="272">
        <f>IFERROR(__xludf.DUMMYFUNCTION("""COMPUTED_VALUE"""),6.0)</f>
        <v>6</v>
      </c>
      <c r="AD253" s="272">
        <f>IFERROR(__xludf.DUMMYFUNCTION("""COMPUTED_VALUE"""),44806.0)</f>
        <v>44806</v>
      </c>
      <c r="AE253" s="272"/>
      <c r="AF253" s="272">
        <f>IFERROR(__xludf.DUMMYFUNCTION("""COMPUTED_VALUE"""),44806.0)</f>
        <v>44806</v>
      </c>
      <c r="AG253" s="208"/>
      <c r="AH253" s="208"/>
      <c r="AI253" s="208"/>
      <c r="AJ253" s="208"/>
      <c r="AK253" s="208"/>
    </row>
    <row r="254">
      <c r="A254" s="209">
        <f>IFERROR(__xludf.DUMMYFUNCTION("""COMPUTED_VALUE"""),46119.0)</f>
        <v>46119</v>
      </c>
      <c r="B254" s="210">
        <f>IFERROR(__xludf.DUMMYFUNCTION("""COMPUTED_VALUE"""),0.5833333333321207)</f>
        <v>0.5833333333</v>
      </c>
      <c r="C254" s="211" t="str">
        <f>IFERROR(__xludf.DUMMYFUNCTION("""COMPUTED_VALUE"""),"Whatsapp")</f>
        <v>Whatsapp</v>
      </c>
      <c r="D254" s="211" t="str">
        <f>IFERROR(__xludf.DUMMYFUNCTION("""COMPUTED_VALUE"""),"Promotional")</f>
        <v>Promotional</v>
      </c>
      <c r="E254" s="211" t="str">
        <f>IFERROR(__xludf.DUMMYFUNCTION("""COMPUTED_VALUE"""),"VS")</f>
        <v>VS</v>
      </c>
      <c r="F254" s="211" t="str">
        <f>IFERROR(__xludf.DUMMYFUNCTION("""COMPUTED_VALUE"""),"Brand ambassador launch")</f>
        <v>Brand ambassador launch</v>
      </c>
      <c r="G254" s="212" t="str">
        <f>IFERROR(__xludf.DUMMYFUNCTION("""COMPUTED_VALUE"""),"BA Launch Invite - Mum - On+Off")</f>
        <v>BA Launch Invite - Mum - On+Off</v>
      </c>
      <c r="H254" s="212" t="str">
        <f>IFERROR(__xludf.DUMMYFUNCTION("""COMPUTED_VALUE"""),"Mumbai_Purchasers_OnOff")</f>
        <v>Mumbai_Purchasers_OnOff</v>
      </c>
      <c r="I254" s="212" t="str">
        <f>IFERROR(__xludf.DUMMYFUNCTION("""COMPUTED_VALUE"""),"Offline Customers who have purchased in the last 36 months from Txn_Store_Name :- VS PHOENIX PALLADIUM MALL, VS INORBIT MALL MALAD, VS MARKET CITY KURLA MALL OR Online Customers who have purchased form Txn_City ""Mumbai"", ""MUMBAI"", ""Thane""")</f>
        <v>Offline Customers who have purchased in the last 36 months from Txn_Store_Name :- VS PHOENIX PALLADIUM MALL, VS INORBIT MALL MALAD, VS MARKET CITY KURLA MALL OR Online Customers who have purchased form Txn_City "Mumbai", "MUMBAI", "Thane"</v>
      </c>
      <c r="J254" s="213">
        <f>IFERROR(__xludf.DUMMYFUNCTION("""COMPUTED_VALUE"""),64339.0)</f>
        <v>64339</v>
      </c>
      <c r="K254" s="213">
        <f>IFERROR(__xludf.DUMMYFUNCTION("""COMPUTED_VALUE"""),37610.0)</f>
        <v>37610</v>
      </c>
      <c r="L254" s="214">
        <f>IFERROR(__xludf.DUMMYFUNCTION("""COMPUTED_VALUE"""),0.5845)</f>
        <v>0.5845</v>
      </c>
      <c r="M254" s="213">
        <f>IFERROR(__xludf.DUMMYFUNCTION("""COMPUTED_VALUE"""),10747.0)</f>
        <v>10747</v>
      </c>
      <c r="N254" s="214">
        <f>IFERROR(__xludf.DUMMYFUNCTION("""COMPUTED_VALUE"""),0.2858)</f>
        <v>0.2858</v>
      </c>
      <c r="O254" s="213">
        <f>IFERROR(__xludf.DUMMYFUNCTION("""COMPUTED_VALUE"""),287.0)</f>
        <v>287</v>
      </c>
      <c r="P254" s="213">
        <f>IFERROR(__xludf.DUMMYFUNCTION("""COMPUTED_VALUE"""),273.0)</f>
        <v>273</v>
      </c>
      <c r="Q254" s="214">
        <f>IFERROR(__xludf.DUMMYFUNCTION("""COMPUTED_VALUE"""),0.0073)</f>
        <v>0.0073</v>
      </c>
      <c r="R254" s="214">
        <f>IFERROR(__xludf.DUMMYFUNCTION("""COMPUTED_VALUE"""),0.0254)</f>
        <v>0.0254</v>
      </c>
      <c r="S254" s="213">
        <f>IFERROR(__xludf.DUMMYFUNCTION("""COMPUTED_VALUE"""),13.0)</f>
        <v>13</v>
      </c>
      <c r="T254" s="213">
        <f>IFERROR(__xludf.DUMMYFUNCTION("""COMPUTED_VALUE"""),28.0)</f>
        <v>28</v>
      </c>
      <c r="U254" s="270">
        <f>IFERROR(__xludf.DUMMYFUNCTION("""COMPUTED_VALUE"""),39865.0)</f>
        <v>39865</v>
      </c>
      <c r="V254" s="271" t="str">
        <f>IFERROR(__xludf.DUMMYFUNCTION("""COMPUTED_VALUE"""),"overall")</f>
        <v>overall</v>
      </c>
      <c r="W254" s="272" t="str">
        <f>IFERROR(__xludf.DUMMYFUNCTION("""COMPUTED_VALUE"""),"simple")</f>
        <v>simple</v>
      </c>
      <c r="X254" s="272" t="str">
        <f>IFERROR(__xludf.DUMMYFUNCTION("""COMPUTED_VALUE"""),"no brief")</f>
        <v>no brief</v>
      </c>
      <c r="Y254" s="272" t="str">
        <f>IFERROR(__xludf.DUMMYFUNCTION("""COMPUTED_VALUE"""),"9th - 12th April")</f>
        <v>9th - 12th April</v>
      </c>
      <c r="Z254" s="272" t="str">
        <f>IFERROR(__xludf.DUMMYFUNCTION("""COMPUTED_VALUE"""),"69d4b810ecd83b0fee87cf11")</f>
        <v>69d4b810ecd83b0fee87cf11</v>
      </c>
      <c r="AA254" s="272">
        <f>IFERROR(__xludf.DUMMYFUNCTION("""COMPUTED_VALUE"""),131.0)</f>
        <v>131</v>
      </c>
      <c r="AB254" s="272">
        <f>IFERROR(__xludf.DUMMYFUNCTION("""COMPUTED_VALUE"""),36.0)</f>
        <v>36</v>
      </c>
      <c r="AC254" s="272">
        <f>IFERROR(__xludf.DUMMYFUNCTION("""COMPUTED_VALUE"""),95.0)</f>
        <v>95</v>
      </c>
      <c r="AD254" s="272">
        <f>IFERROR(__xludf.DUMMYFUNCTION("""COMPUTED_VALUE"""),1449683.0)</f>
        <v>1449683</v>
      </c>
      <c r="AE254" s="272">
        <f>IFERROR(__xludf.DUMMYFUNCTION("""COMPUTED_VALUE"""),190474.0)</f>
        <v>190474</v>
      </c>
      <c r="AF254" s="272">
        <f>IFERROR(__xludf.DUMMYFUNCTION("""COMPUTED_VALUE"""),1259209.0)</f>
        <v>1259209</v>
      </c>
      <c r="AG254" s="208"/>
      <c r="AH254" s="208"/>
      <c r="AI254" s="208"/>
      <c r="AJ254" s="208"/>
      <c r="AK254" s="208"/>
    </row>
    <row r="255">
      <c r="A255" s="209">
        <f>IFERROR(__xludf.DUMMYFUNCTION("""COMPUTED_VALUE"""),46121.0)</f>
        <v>46121</v>
      </c>
      <c r="B255" s="210">
        <f>IFERROR(__xludf.DUMMYFUNCTION("""COMPUTED_VALUE"""),0.7708333333321207)</f>
        <v>0.7708333333</v>
      </c>
      <c r="C255" s="211" t="str">
        <f>IFERROR(__xludf.DUMMYFUNCTION("""COMPUTED_VALUE"""),"Whatsapp")</f>
        <v>Whatsapp</v>
      </c>
      <c r="D255" s="211" t="str">
        <f>IFERROR(__xludf.DUMMYFUNCTION("""COMPUTED_VALUE"""),"Promotional")</f>
        <v>Promotional</v>
      </c>
      <c r="E255" s="211" t="str">
        <f>IFERROR(__xludf.DUMMYFUNCTION("""COMPUTED_VALUE"""),"VS")</f>
        <v>VS</v>
      </c>
      <c r="F255" s="211" t="str">
        <f>IFERROR(__xludf.DUMMYFUNCTION("""COMPUTED_VALUE"""),"Brand ambassador launch")</f>
        <v>Brand ambassador launch</v>
      </c>
      <c r="G255" s="212" t="str">
        <f>IFERROR(__xludf.DUMMYFUNCTION("""COMPUTED_VALUE"""),"BA Launch - FP")</f>
        <v>BA Launch - FP</v>
      </c>
      <c r="H255" s="212" t="str">
        <f>IFERROR(__xludf.DUMMYFUNCTION("""COMPUTED_VALUE"""),"VS_Map_FullPriceUsers_Online")</f>
        <v>VS_Map_FullPriceUsers_Online</v>
      </c>
      <c r="I255" s="212" t="str">
        <f>IFERROR(__xludf.DUMMYFUNCTION("""COMPUTED_VALUE"""),"Online Customers who have purchased in the last 36 months with aggregate discount value = 0")</f>
        <v>Online Customers who have purchased in the last 36 months with aggregate discount value = 0</v>
      </c>
      <c r="J255" s="213">
        <f>IFERROR(__xludf.DUMMYFUNCTION("""COMPUTED_VALUE"""),4686.0)</f>
        <v>4686</v>
      </c>
      <c r="K255" s="213">
        <f>IFERROR(__xludf.DUMMYFUNCTION("""COMPUTED_VALUE"""),2747.0)</f>
        <v>2747</v>
      </c>
      <c r="L255" s="214">
        <f>IFERROR(__xludf.DUMMYFUNCTION("""COMPUTED_VALUE"""),0.5862)</f>
        <v>0.5862</v>
      </c>
      <c r="M255" s="213">
        <f>IFERROR(__xludf.DUMMYFUNCTION("""COMPUTED_VALUE"""),714.0)</f>
        <v>714</v>
      </c>
      <c r="N255" s="214">
        <f>IFERROR(__xludf.DUMMYFUNCTION("""COMPUTED_VALUE"""),0.2599)</f>
        <v>0.2599</v>
      </c>
      <c r="O255" s="213">
        <f>IFERROR(__xludf.DUMMYFUNCTION("""COMPUTED_VALUE"""),15.0)</f>
        <v>15</v>
      </c>
      <c r="P255" s="213">
        <f>IFERROR(__xludf.DUMMYFUNCTION("""COMPUTED_VALUE"""),14.0)</f>
        <v>14</v>
      </c>
      <c r="Q255" s="214">
        <f>IFERROR(__xludf.DUMMYFUNCTION("""COMPUTED_VALUE"""),0.0051)</f>
        <v>0.0051</v>
      </c>
      <c r="R255" s="214">
        <f>IFERROR(__xludf.DUMMYFUNCTION("""COMPUTED_VALUE"""),0.0196)</f>
        <v>0.0196</v>
      </c>
      <c r="S255" s="213">
        <f>IFERROR(__xludf.DUMMYFUNCTION("""COMPUTED_VALUE"""),1.0)</f>
        <v>1</v>
      </c>
      <c r="T255" s="213">
        <f>IFERROR(__xludf.DUMMYFUNCTION("""COMPUTED_VALUE"""),4.0)</f>
        <v>4</v>
      </c>
      <c r="U255" s="270">
        <f>IFERROR(__xludf.DUMMYFUNCTION("""COMPUTED_VALUE"""),2894.0)</f>
        <v>2894</v>
      </c>
      <c r="V255" s="271" t="str">
        <f>IFERROR(__xludf.DUMMYFUNCTION("""COMPUTED_VALUE"""),"online")</f>
        <v>online</v>
      </c>
      <c r="W255" s="272" t="str">
        <f>IFERROR(__xludf.DUMMYFUNCTION("""COMPUTED_VALUE"""),"simple")</f>
        <v>simple</v>
      </c>
      <c r="X255" s="272" t="str">
        <f>IFERROR(__xludf.DUMMYFUNCTION("""COMPUTED_VALUE"""),"Full Price")</f>
        <v>Full Price</v>
      </c>
      <c r="Y255" s="272" t="str">
        <f>IFERROR(__xludf.DUMMYFUNCTION("""COMPUTED_VALUE"""),"9th - 12th April")</f>
        <v>9th - 12th April</v>
      </c>
      <c r="Z255" s="272" t="str">
        <f>IFERROR(__xludf.DUMMYFUNCTION("""COMPUTED_VALUE"""),"69d4dba6108c2f56c190749a")</f>
        <v>69d4dba6108c2f56c190749a</v>
      </c>
      <c r="AA255" s="272">
        <f>IFERROR(__xludf.DUMMYFUNCTION("""COMPUTED_VALUE"""),5.0)</f>
        <v>5</v>
      </c>
      <c r="AB255" s="272">
        <f>IFERROR(__xludf.DUMMYFUNCTION("""COMPUTED_VALUE"""),5.0)</f>
        <v>5</v>
      </c>
      <c r="AC255" s="272"/>
      <c r="AD255" s="272">
        <f>IFERROR(__xludf.DUMMYFUNCTION("""COMPUTED_VALUE"""),37068.0)</f>
        <v>37068</v>
      </c>
      <c r="AE255" s="272">
        <f>IFERROR(__xludf.DUMMYFUNCTION("""COMPUTED_VALUE"""),37068.0)</f>
        <v>37068</v>
      </c>
      <c r="AF255" s="272"/>
      <c r="AG255" s="208"/>
      <c r="AH255" s="208"/>
      <c r="AI255" s="208"/>
      <c r="AJ255" s="208"/>
      <c r="AK255" s="208"/>
    </row>
    <row r="256">
      <c r="A256" s="209">
        <f>IFERROR(__xludf.DUMMYFUNCTION("""COMPUTED_VALUE"""),46121.0)</f>
        <v>46121</v>
      </c>
      <c r="B256" s="210">
        <f>IFERROR(__xludf.DUMMYFUNCTION("""COMPUTED_VALUE"""),0.7743055555547471)</f>
        <v>0.7743055556</v>
      </c>
      <c r="C256" s="211" t="str">
        <f>IFERROR(__xludf.DUMMYFUNCTION("""COMPUTED_VALUE"""),"Whatsapp")</f>
        <v>Whatsapp</v>
      </c>
      <c r="D256" s="211" t="str">
        <f>IFERROR(__xludf.DUMMYFUNCTION("""COMPUTED_VALUE"""),"Promotional")</f>
        <v>Promotional</v>
      </c>
      <c r="E256" s="211" t="str">
        <f>IFERROR(__xludf.DUMMYFUNCTION("""COMPUTED_VALUE"""),"VS")</f>
        <v>VS</v>
      </c>
      <c r="F256" s="211" t="str">
        <f>IFERROR(__xludf.DUMMYFUNCTION("""COMPUTED_VALUE"""),"Brand ambassador launch")</f>
        <v>Brand ambassador launch</v>
      </c>
      <c r="G256" s="212" t="str">
        <f>IFERROR(__xludf.DUMMYFUNCTION("""COMPUTED_VALUE"""),"BA Launch - Repeat")</f>
        <v>BA Launch - Repeat</v>
      </c>
      <c r="H256" s="212" t="str">
        <f>IFERROR(__xludf.DUMMYFUNCTION("""COMPUTED_VALUE"""),"VS_Repeat_On")</f>
        <v>VS_Repeat_On</v>
      </c>
      <c r="I256" s="212" t="str">
        <f>IFERROR(__xludf.DUMMYFUNCTION("""COMPUTED_VALUE"""),"Online Customers who have purchased at least 1 time in the last 74 days")</f>
        <v>Online Customers who have purchased at least 1 time in the last 74 days</v>
      </c>
      <c r="J256" s="213">
        <f>IFERROR(__xludf.DUMMYFUNCTION("""COMPUTED_VALUE"""),52481.0)</f>
        <v>52481</v>
      </c>
      <c r="K256" s="213">
        <f>IFERROR(__xludf.DUMMYFUNCTION("""COMPUTED_VALUE"""),28420.0)</f>
        <v>28420</v>
      </c>
      <c r="L256" s="214">
        <f>IFERROR(__xludf.DUMMYFUNCTION("""COMPUTED_VALUE"""),0.5414)</f>
        <v>0.5414</v>
      </c>
      <c r="M256" s="213">
        <f>IFERROR(__xludf.DUMMYFUNCTION("""COMPUTED_VALUE"""),6839.0)</f>
        <v>6839</v>
      </c>
      <c r="N256" s="214">
        <f>IFERROR(__xludf.DUMMYFUNCTION("""COMPUTED_VALUE"""),0.2407)</f>
        <v>0.2407</v>
      </c>
      <c r="O256" s="213">
        <f>IFERROR(__xludf.DUMMYFUNCTION("""COMPUTED_VALUE"""),257.0)</f>
        <v>257</v>
      </c>
      <c r="P256" s="213">
        <f>IFERROR(__xludf.DUMMYFUNCTION("""COMPUTED_VALUE"""),241.0)</f>
        <v>241</v>
      </c>
      <c r="Q256" s="214">
        <f>IFERROR(__xludf.DUMMYFUNCTION("""COMPUTED_VALUE"""),0.0085)</f>
        <v>0.0085</v>
      </c>
      <c r="R256" s="214">
        <f>IFERROR(__xludf.DUMMYFUNCTION("""COMPUTED_VALUE"""),0.0352)</f>
        <v>0.0352</v>
      </c>
      <c r="S256" s="213">
        <f>IFERROR(__xludf.DUMMYFUNCTION("""COMPUTED_VALUE"""),20.0)</f>
        <v>20</v>
      </c>
      <c r="T256" s="213">
        <f>IFERROR(__xludf.DUMMYFUNCTION("""COMPUTED_VALUE"""),76.0)</f>
        <v>76</v>
      </c>
      <c r="U256" s="270">
        <f>IFERROR(__xludf.DUMMYFUNCTION("""COMPUTED_VALUE"""),231568.0)</f>
        <v>231568</v>
      </c>
      <c r="V256" s="271" t="str">
        <f>IFERROR(__xludf.DUMMYFUNCTION("""COMPUTED_VALUE"""),"online")</f>
        <v>online</v>
      </c>
      <c r="W256" s="272" t="str">
        <f>IFERROR(__xludf.DUMMYFUNCTION("""COMPUTED_VALUE"""),"simple")</f>
        <v>simple</v>
      </c>
      <c r="X256" s="272" t="str">
        <f>IFERROR(__xludf.DUMMYFUNCTION("""COMPUTED_VALUE"""),"Repeat")</f>
        <v>Repeat</v>
      </c>
      <c r="Y256" s="272" t="str">
        <f>IFERROR(__xludf.DUMMYFUNCTION("""COMPUTED_VALUE"""),"9th - 12th April")</f>
        <v>9th - 12th April</v>
      </c>
      <c r="Z256" s="272" t="str">
        <f>IFERROR(__xludf.DUMMYFUNCTION("""COMPUTED_VALUE"""),"69d4dbdff8ba648af6060518")</f>
        <v>69d4dbdff8ba648af6060518</v>
      </c>
      <c r="AA256" s="272">
        <f>IFERROR(__xludf.DUMMYFUNCTION("""COMPUTED_VALUE"""),89.0)</f>
        <v>89</v>
      </c>
      <c r="AB256" s="272">
        <f>IFERROR(__xludf.DUMMYFUNCTION("""COMPUTED_VALUE"""),89.0)</f>
        <v>89</v>
      </c>
      <c r="AC256" s="272"/>
      <c r="AD256" s="272">
        <f>IFERROR(__xludf.DUMMYFUNCTION("""COMPUTED_VALUE"""),636933.0)</f>
        <v>636933</v>
      </c>
      <c r="AE256" s="272">
        <f>IFERROR(__xludf.DUMMYFUNCTION("""COMPUTED_VALUE"""),636933.0)</f>
        <v>636933</v>
      </c>
      <c r="AF256" s="272"/>
      <c r="AG256" s="208"/>
      <c r="AH256" s="208"/>
      <c r="AI256" s="208"/>
      <c r="AJ256" s="208"/>
      <c r="AK256" s="208"/>
    </row>
    <row r="257">
      <c r="A257" s="209">
        <f>IFERROR(__xludf.DUMMYFUNCTION("""COMPUTED_VALUE"""),46121.0)</f>
        <v>46121</v>
      </c>
      <c r="B257" s="210">
        <f>IFERROR(__xludf.DUMMYFUNCTION("""COMPUTED_VALUE"""),0.7777777777773736)</f>
        <v>0.7777777778</v>
      </c>
      <c r="C257" s="211" t="str">
        <f>IFERROR(__xludf.DUMMYFUNCTION("""COMPUTED_VALUE"""),"Whatsapp")</f>
        <v>Whatsapp</v>
      </c>
      <c r="D257" s="211" t="str">
        <f>IFERROR(__xludf.DUMMYFUNCTION("""COMPUTED_VALUE"""),"Promotional")</f>
        <v>Promotional</v>
      </c>
      <c r="E257" s="211" t="str">
        <f>IFERROR(__xludf.DUMMYFUNCTION("""COMPUTED_VALUE"""),"VS")</f>
        <v>VS</v>
      </c>
      <c r="F257" s="211" t="str">
        <f>IFERROR(__xludf.DUMMYFUNCTION("""COMPUTED_VALUE"""),"Brand ambassador launch")</f>
        <v>Brand ambassador launch</v>
      </c>
      <c r="G257" s="212" t="str">
        <f>IFERROR(__xludf.DUMMYFUNCTION("""COMPUTED_VALUE"""),"BA Launch - Recent")</f>
        <v>BA Launch - Recent</v>
      </c>
      <c r="H257" s="212" t="str">
        <f>IFERROR(__xludf.DUMMYFUNCTION("""COMPUTED_VALUE"""),"VS_Recent_On")</f>
        <v>VS_Recent_On</v>
      </c>
      <c r="I257" s="212" t="str">
        <f>IFERROR(__xludf.DUMMYFUNCTION("""COMPUTED_VALUE"""),"Online Customers who have purchased at least 1 time in the last 74 days")</f>
        <v>Online Customers who have purchased at least 1 time in the last 74 days</v>
      </c>
      <c r="J257" s="213">
        <f>IFERROR(__xludf.DUMMYFUNCTION("""COMPUTED_VALUE"""),6816.0)</f>
        <v>6816</v>
      </c>
      <c r="K257" s="213">
        <f>IFERROR(__xludf.DUMMYFUNCTION("""COMPUTED_VALUE"""),4377.0)</f>
        <v>4377</v>
      </c>
      <c r="L257" s="214">
        <f>IFERROR(__xludf.DUMMYFUNCTION("""COMPUTED_VALUE"""),0.6422)</f>
        <v>0.6422</v>
      </c>
      <c r="M257" s="213">
        <f>IFERROR(__xludf.DUMMYFUNCTION("""COMPUTED_VALUE"""),1412.0)</f>
        <v>1412</v>
      </c>
      <c r="N257" s="214">
        <f>IFERROR(__xludf.DUMMYFUNCTION("""COMPUTED_VALUE"""),0.3226)</f>
        <v>0.3226</v>
      </c>
      <c r="O257" s="213">
        <f>IFERROR(__xludf.DUMMYFUNCTION("""COMPUTED_VALUE"""),70.0)</f>
        <v>70</v>
      </c>
      <c r="P257" s="213">
        <f>IFERROR(__xludf.DUMMYFUNCTION("""COMPUTED_VALUE"""),66.0)</f>
        <v>66</v>
      </c>
      <c r="Q257" s="214">
        <f>IFERROR(__xludf.DUMMYFUNCTION("""COMPUTED_VALUE"""),0.0151)</f>
        <v>0.0151</v>
      </c>
      <c r="R257" s="214">
        <f>IFERROR(__xludf.DUMMYFUNCTION("""COMPUTED_VALUE"""),0.0467)</f>
        <v>0.0467</v>
      </c>
      <c r="S257" s="213">
        <f>IFERROR(__xludf.DUMMYFUNCTION("""COMPUTED_VALUE"""),4.0)</f>
        <v>4</v>
      </c>
      <c r="T257" s="213">
        <f>IFERROR(__xludf.DUMMYFUNCTION("""COMPUTED_VALUE"""),14.0)</f>
        <v>14</v>
      </c>
      <c r="U257" s="270">
        <f>IFERROR(__xludf.DUMMYFUNCTION("""COMPUTED_VALUE"""),87508.0)</f>
        <v>87508</v>
      </c>
      <c r="V257" s="271" t="str">
        <f>IFERROR(__xludf.DUMMYFUNCTION("""COMPUTED_VALUE"""),"online")</f>
        <v>online</v>
      </c>
      <c r="W257" s="272" t="str">
        <f>IFERROR(__xludf.DUMMYFUNCTION("""COMPUTED_VALUE"""),"simple")</f>
        <v>simple</v>
      </c>
      <c r="X257" s="272" t="str">
        <f>IFERROR(__xludf.DUMMYFUNCTION("""COMPUTED_VALUE"""),"Recent")</f>
        <v>Recent</v>
      </c>
      <c r="Y257" s="272" t="str">
        <f>IFERROR(__xludf.DUMMYFUNCTION("""COMPUTED_VALUE"""),"9th - 12th April")</f>
        <v>9th - 12th April</v>
      </c>
      <c r="Z257" s="272" t="str">
        <f>IFERROR(__xludf.DUMMYFUNCTION("""COMPUTED_VALUE"""),"69d4dc1aa1349ac4260ce26f")</f>
        <v>69d4dc1aa1349ac4260ce26f</v>
      </c>
      <c r="AA257" s="272">
        <f>IFERROR(__xludf.DUMMYFUNCTION("""COMPUTED_VALUE"""),14.0)</f>
        <v>14</v>
      </c>
      <c r="AB257" s="272">
        <f>IFERROR(__xludf.DUMMYFUNCTION("""COMPUTED_VALUE"""),14.0)</f>
        <v>14</v>
      </c>
      <c r="AC257" s="272"/>
      <c r="AD257" s="272">
        <f>IFERROR(__xludf.DUMMYFUNCTION("""COMPUTED_VALUE"""),119472.0)</f>
        <v>119472</v>
      </c>
      <c r="AE257" s="272">
        <f>IFERROR(__xludf.DUMMYFUNCTION("""COMPUTED_VALUE"""),119472.0)</f>
        <v>119472</v>
      </c>
      <c r="AF257" s="272"/>
      <c r="AG257" s="208"/>
      <c r="AH257" s="208"/>
      <c r="AI257" s="208"/>
      <c r="AJ257" s="208"/>
      <c r="AK257" s="208"/>
    </row>
    <row r="258">
      <c r="A258" s="209">
        <f>IFERROR(__xludf.DUMMYFUNCTION("""COMPUTED_VALUE"""),46121.0)</f>
        <v>46121</v>
      </c>
      <c r="B258" s="210">
        <f>IFERROR(__xludf.DUMMYFUNCTION("""COMPUTED_VALUE"""),0.78125)</f>
        <v>0.78125</v>
      </c>
      <c r="C258" s="211" t="str">
        <f>IFERROR(__xludf.DUMMYFUNCTION("""COMPUTED_VALUE"""),"Whatsapp")</f>
        <v>Whatsapp</v>
      </c>
      <c r="D258" s="211" t="str">
        <f>IFERROR(__xludf.DUMMYFUNCTION("""COMPUTED_VALUE"""),"Promotional")</f>
        <v>Promotional</v>
      </c>
      <c r="E258" s="211" t="str">
        <f>IFERROR(__xludf.DUMMYFUNCTION("""COMPUTED_VALUE"""),"VS")</f>
        <v>VS</v>
      </c>
      <c r="F258" s="211" t="str">
        <f>IFERROR(__xludf.DUMMYFUNCTION("""COMPUTED_VALUE"""),"Brand ambassador launch")</f>
        <v>Brand ambassador launch</v>
      </c>
      <c r="G258" s="212" t="str">
        <f>IFERROR(__xludf.DUMMYFUNCTION("""COMPUTED_VALUE"""),"BA Launch - Dormant")</f>
        <v>BA Launch - Dormant</v>
      </c>
      <c r="H258" s="212" t="str">
        <f>IFERROR(__xludf.DUMMYFUNCTION("""COMPUTED_VALUE"""),"VS_Dormant_Base_On")</f>
        <v>VS_Dormant_Base_On</v>
      </c>
      <c r="I258" s="212" t="str">
        <f>IFERROR(__xludf.DUMMYFUNCTION("""COMPUTED_VALUE"""),"Customers who have not purchased in last 85 days but have purchased between 85 to 365 days")</f>
        <v>Customers who have not purchased in last 85 days but have purchased between 85 to 365 days</v>
      </c>
      <c r="J258" s="213">
        <f>IFERROR(__xludf.DUMMYFUNCTION("""COMPUTED_VALUE"""),50597.0)</f>
        <v>50597</v>
      </c>
      <c r="K258" s="213">
        <f>IFERROR(__xludf.DUMMYFUNCTION("""COMPUTED_VALUE"""),32096.0)</f>
        <v>32096</v>
      </c>
      <c r="L258" s="214">
        <f>IFERROR(__xludf.DUMMYFUNCTION("""COMPUTED_VALUE"""),0.6343)</f>
        <v>0.6343</v>
      </c>
      <c r="M258" s="213">
        <f>IFERROR(__xludf.DUMMYFUNCTION("""COMPUTED_VALUE"""),8754.0)</f>
        <v>8754</v>
      </c>
      <c r="N258" s="214">
        <f>IFERROR(__xludf.DUMMYFUNCTION("""COMPUTED_VALUE"""),0.2728)</f>
        <v>0.2728</v>
      </c>
      <c r="O258" s="213">
        <f>IFERROR(__xludf.DUMMYFUNCTION("""COMPUTED_VALUE"""),201.0)</f>
        <v>201</v>
      </c>
      <c r="P258" s="213">
        <f>IFERROR(__xludf.DUMMYFUNCTION("""COMPUTED_VALUE"""),191.0)</f>
        <v>191</v>
      </c>
      <c r="Q258" s="214">
        <f>IFERROR(__xludf.DUMMYFUNCTION("""COMPUTED_VALUE"""),0.006)</f>
        <v>0.006</v>
      </c>
      <c r="R258" s="214">
        <f>IFERROR(__xludf.DUMMYFUNCTION("""COMPUTED_VALUE"""),0.0218)</f>
        <v>0.0218</v>
      </c>
      <c r="S258" s="213">
        <f>IFERROR(__xludf.DUMMYFUNCTION("""COMPUTED_VALUE"""),9.0)</f>
        <v>9</v>
      </c>
      <c r="T258" s="213">
        <f>IFERROR(__xludf.DUMMYFUNCTION("""COMPUTED_VALUE"""),18.0)</f>
        <v>18</v>
      </c>
      <c r="U258" s="270">
        <f>IFERROR(__xludf.DUMMYFUNCTION("""COMPUTED_VALUE"""),22395.0)</f>
        <v>22395</v>
      </c>
      <c r="V258" s="271" t="str">
        <f>IFERROR(__xludf.DUMMYFUNCTION("""COMPUTED_VALUE"""),"online")</f>
        <v>online</v>
      </c>
      <c r="W258" s="272" t="str">
        <f>IFERROR(__xludf.DUMMYFUNCTION("""COMPUTED_VALUE"""),"simple")</f>
        <v>simple</v>
      </c>
      <c r="X258" s="272" t="str">
        <f>IFERROR(__xludf.DUMMYFUNCTION("""COMPUTED_VALUE"""),"Dormant")</f>
        <v>Dormant</v>
      </c>
      <c r="Y258" s="272" t="str">
        <f>IFERROR(__xludf.DUMMYFUNCTION("""COMPUTED_VALUE"""),"9th - 12th April")</f>
        <v>9th - 12th April</v>
      </c>
      <c r="Z258" s="272" t="str">
        <f>IFERROR(__xludf.DUMMYFUNCTION("""COMPUTED_VALUE"""),"69d4dc7d3c2fdac065e31e2c")</f>
        <v>69d4dc7d3c2fdac065e31e2c</v>
      </c>
      <c r="AA258" s="272">
        <f>IFERROR(__xludf.DUMMYFUNCTION("""COMPUTED_VALUE"""),25.0)</f>
        <v>25</v>
      </c>
      <c r="AB258" s="272">
        <f>IFERROR(__xludf.DUMMYFUNCTION("""COMPUTED_VALUE"""),25.0)</f>
        <v>25</v>
      </c>
      <c r="AC258" s="272"/>
      <c r="AD258" s="272">
        <f>IFERROR(__xludf.DUMMYFUNCTION("""COMPUTED_VALUE"""),84779.0)</f>
        <v>84779</v>
      </c>
      <c r="AE258" s="272">
        <f>IFERROR(__xludf.DUMMYFUNCTION("""COMPUTED_VALUE"""),84779.0)</f>
        <v>84779</v>
      </c>
      <c r="AF258" s="272"/>
      <c r="AG258" s="208"/>
      <c r="AH258" s="208"/>
      <c r="AI258" s="208"/>
      <c r="AJ258" s="208"/>
      <c r="AK258" s="208"/>
    </row>
    <row r="259">
      <c r="A259" s="209">
        <f>IFERROR(__xludf.DUMMYFUNCTION("""COMPUTED_VALUE"""),46121.0)</f>
        <v>46121</v>
      </c>
      <c r="B259" s="210">
        <f>IFERROR(__xludf.DUMMYFUNCTION("""COMPUTED_VALUE"""),0.7847222222226264)</f>
        <v>0.7847222222</v>
      </c>
      <c r="C259" s="211" t="str">
        <f>IFERROR(__xludf.DUMMYFUNCTION("""COMPUTED_VALUE"""),"Whatsapp")</f>
        <v>Whatsapp</v>
      </c>
      <c r="D259" s="211" t="str">
        <f>IFERROR(__xludf.DUMMYFUNCTION("""COMPUTED_VALUE"""),"Promotional")</f>
        <v>Promotional</v>
      </c>
      <c r="E259" s="211" t="str">
        <f>IFERROR(__xludf.DUMMYFUNCTION("""COMPUTED_VALUE"""),"VS")</f>
        <v>VS</v>
      </c>
      <c r="F259" s="211" t="str">
        <f>IFERROR(__xludf.DUMMYFUNCTION("""COMPUTED_VALUE"""),"Brand ambassador launch")</f>
        <v>Brand ambassador launch</v>
      </c>
      <c r="G259" s="212" t="str">
        <f>IFERROR(__xludf.DUMMYFUNCTION("""COMPUTED_VALUE"""),"BA Launch - Churned High LTV")</f>
        <v>BA Launch - Churned High LTV</v>
      </c>
      <c r="H259" s="212" t="str">
        <f>IFERROR(__xludf.DUMMYFUNCTION("""COMPUTED_VALUE"""),"Churned_HighLTV_On")</f>
        <v>Churned_HighLTV_On</v>
      </c>
      <c r="I259" s="212" t="str">
        <f>IFERROR(__xludf.DUMMYFUNCTION("""COMPUTED_VALUE"""),"Customers who have not purchased in the last 365 days but have purchased in the last 36 months with Agg Order Net Value is greater than 9999")</f>
        <v>Customers who have not purchased in the last 365 days but have purchased in the last 36 months with Agg Order Net Value is greater than 9999</v>
      </c>
      <c r="J259" s="213">
        <f>IFERROR(__xludf.DUMMYFUNCTION("""COMPUTED_VALUE"""),2897.0)</f>
        <v>2897</v>
      </c>
      <c r="K259" s="213">
        <f>IFERROR(__xludf.DUMMYFUNCTION("""COMPUTED_VALUE"""),1513.0)</f>
        <v>1513</v>
      </c>
      <c r="L259" s="214">
        <f>IFERROR(__xludf.DUMMYFUNCTION("""COMPUTED_VALUE"""),0.5223)</f>
        <v>0.5223</v>
      </c>
      <c r="M259" s="213">
        <f>IFERROR(__xludf.DUMMYFUNCTION("""COMPUTED_VALUE"""),339.0)</f>
        <v>339</v>
      </c>
      <c r="N259" s="214">
        <f>IFERROR(__xludf.DUMMYFUNCTION("""COMPUTED_VALUE"""),0.2241)</f>
        <v>0.2241</v>
      </c>
      <c r="O259" s="213">
        <f>IFERROR(__xludf.DUMMYFUNCTION("""COMPUTED_VALUE"""),16.0)</f>
        <v>16</v>
      </c>
      <c r="P259" s="213">
        <f>IFERROR(__xludf.DUMMYFUNCTION("""COMPUTED_VALUE"""),14.0)</f>
        <v>14</v>
      </c>
      <c r="Q259" s="214">
        <f>IFERROR(__xludf.DUMMYFUNCTION("""COMPUTED_VALUE"""),0.0093)</f>
        <v>0.0093</v>
      </c>
      <c r="R259" s="214">
        <f>IFERROR(__xludf.DUMMYFUNCTION("""COMPUTED_VALUE"""),0.0413)</f>
        <v>0.0413</v>
      </c>
      <c r="S259" s="213">
        <f>IFERROR(__xludf.DUMMYFUNCTION("""COMPUTED_VALUE"""),0.0)</f>
        <v>0</v>
      </c>
      <c r="T259" s="213">
        <f>IFERROR(__xludf.DUMMYFUNCTION("""COMPUTED_VALUE"""),1.0)</f>
        <v>1</v>
      </c>
      <c r="U259" s="270">
        <f>IFERROR(__xludf.DUMMYFUNCTION("""COMPUTED_VALUE"""),0.0)</f>
        <v>0</v>
      </c>
      <c r="V259" s="271" t="str">
        <f>IFERROR(__xludf.DUMMYFUNCTION("""COMPUTED_VALUE"""),"online")</f>
        <v>online</v>
      </c>
      <c r="W259" s="272" t="str">
        <f>IFERROR(__xludf.DUMMYFUNCTION("""COMPUTED_VALUE"""),"simple")</f>
        <v>simple</v>
      </c>
      <c r="X259" s="272" t="str">
        <f>IFERROR(__xludf.DUMMYFUNCTION("""COMPUTED_VALUE"""),"Churned High LTV")</f>
        <v>Churned High LTV</v>
      </c>
      <c r="Y259" s="272" t="str">
        <f>IFERROR(__xludf.DUMMYFUNCTION("""COMPUTED_VALUE"""),"9th - 12th April")</f>
        <v>9th - 12th April</v>
      </c>
      <c r="Z259" s="272" t="str">
        <f>IFERROR(__xludf.DUMMYFUNCTION("""COMPUTED_VALUE"""),"69d4dd100d2f028abf40040a")</f>
        <v>69d4dd100d2f028abf40040a</v>
      </c>
      <c r="AA259" s="272">
        <f>IFERROR(__xludf.DUMMYFUNCTION("""COMPUTED_VALUE"""),2.0)</f>
        <v>2</v>
      </c>
      <c r="AB259" s="272">
        <f>IFERROR(__xludf.DUMMYFUNCTION("""COMPUTED_VALUE"""),2.0)</f>
        <v>2</v>
      </c>
      <c r="AC259" s="272"/>
      <c r="AD259" s="272">
        <f>IFERROR(__xludf.DUMMYFUNCTION("""COMPUTED_VALUE"""),77803.0)</f>
        <v>77803</v>
      </c>
      <c r="AE259" s="272">
        <f>IFERROR(__xludf.DUMMYFUNCTION("""COMPUTED_VALUE"""),77803.0)</f>
        <v>77803</v>
      </c>
      <c r="AF259" s="272"/>
      <c r="AG259" s="208"/>
      <c r="AH259" s="208"/>
      <c r="AI259" s="208"/>
      <c r="AJ259" s="208"/>
      <c r="AK259" s="208"/>
    </row>
    <row r="260">
      <c r="A260" s="209">
        <f>IFERROR(__xludf.DUMMYFUNCTION("""COMPUTED_VALUE"""),46121.0)</f>
        <v>46121</v>
      </c>
      <c r="B260" s="210">
        <f>IFERROR(__xludf.DUMMYFUNCTION("""COMPUTED_VALUE"""),0.7708333333321207)</f>
        <v>0.7708333333</v>
      </c>
      <c r="C260" s="211" t="str">
        <f>IFERROR(__xludf.DUMMYFUNCTION("""COMPUTED_VALUE"""),"Whatsapp")</f>
        <v>Whatsapp</v>
      </c>
      <c r="D260" s="211" t="str">
        <f>IFERROR(__xludf.DUMMYFUNCTION("""COMPUTED_VALUE"""),"Promotional")</f>
        <v>Promotional</v>
      </c>
      <c r="E260" s="211" t="str">
        <f>IFERROR(__xludf.DUMMYFUNCTION("""COMPUTED_VALUE"""),"VS")</f>
        <v>VS</v>
      </c>
      <c r="F260" s="211" t="str">
        <f>IFERROR(__xludf.DUMMYFUNCTION("""COMPUTED_VALUE"""),"Brand ambassador launch")</f>
        <v>Brand ambassador launch</v>
      </c>
      <c r="G260" s="212" t="str">
        <f>IFERROR(__xludf.DUMMYFUNCTION("""COMPUTED_VALUE"""),"BA Launch - FP - Off")</f>
        <v>BA Launch - FP - Off</v>
      </c>
      <c r="H260" s="212" t="str">
        <f>IFERROR(__xludf.DUMMYFUNCTION("""COMPUTED_VALUE"""),"VS_Map_FullPriceUsers_Offline")</f>
        <v>VS_Map_FullPriceUsers_Offline</v>
      </c>
      <c r="I260" s="212" t="str">
        <f>IFERROR(__xludf.DUMMYFUNCTION("""COMPUTED_VALUE"""),"Offline Customers who have purchased at least 2 times in the last 36 months AND Exclude Mumbai and Delhi Offline Shoppers")</f>
        <v>Offline Customers who have purchased at least 2 times in the last 36 months AND Exclude Mumbai and Delhi Offline Shoppers</v>
      </c>
      <c r="J260" s="213">
        <f>IFERROR(__xludf.DUMMYFUNCTION("""COMPUTED_VALUE"""),4334.0)</f>
        <v>4334</v>
      </c>
      <c r="K260" s="213">
        <f>IFERROR(__xludf.DUMMYFUNCTION("""COMPUTED_VALUE"""),2632.0)</f>
        <v>2632</v>
      </c>
      <c r="L260" s="214">
        <f>IFERROR(__xludf.DUMMYFUNCTION("""COMPUTED_VALUE"""),0.6073)</f>
        <v>0.6073</v>
      </c>
      <c r="M260" s="213">
        <f>IFERROR(__xludf.DUMMYFUNCTION("""COMPUTED_VALUE"""),758.0)</f>
        <v>758</v>
      </c>
      <c r="N260" s="214">
        <f>IFERROR(__xludf.DUMMYFUNCTION("""COMPUTED_VALUE"""),0.288)</f>
        <v>0.288</v>
      </c>
      <c r="O260" s="213">
        <f>IFERROR(__xludf.DUMMYFUNCTION("""COMPUTED_VALUE"""),13.0)</f>
        <v>13</v>
      </c>
      <c r="P260" s="213">
        <f>IFERROR(__xludf.DUMMYFUNCTION("""COMPUTED_VALUE"""),11.0)</f>
        <v>11</v>
      </c>
      <c r="Q260" s="214">
        <f>IFERROR(__xludf.DUMMYFUNCTION("""COMPUTED_VALUE"""),0.0042)</f>
        <v>0.0042</v>
      </c>
      <c r="R260" s="214">
        <f>IFERROR(__xludf.DUMMYFUNCTION("""COMPUTED_VALUE"""),0.0145)</f>
        <v>0.0145</v>
      </c>
      <c r="S260" s="213">
        <f>IFERROR(__xludf.DUMMYFUNCTION("""COMPUTED_VALUE"""),0.0)</f>
        <v>0</v>
      </c>
      <c r="T260" s="213">
        <f>IFERROR(__xludf.DUMMYFUNCTION("""COMPUTED_VALUE"""),1.0)</f>
        <v>1</v>
      </c>
      <c r="U260" s="270">
        <f>IFERROR(__xludf.DUMMYFUNCTION("""COMPUTED_VALUE"""),0.0)</f>
        <v>0</v>
      </c>
      <c r="V260" s="271" t="str">
        <f>IFERROR(__xludf.DUMMYFUNCTION("""COMPUTED_VALUE"""),"offline")</f>
        <v>offline</v>
      </c>
      <c r="W260" s="272" t="str">
        <f>IFERROR(__xludf.DUMMYFUNCTION("""COMPUTED_VALUE"""),"simple")</f>
        <v>simple</v>
      </c>
      <c r="X260" s="272" t="str">
        <f>IFERROR(__xludf.DUMMYFUNCTION("""COMPUTED_VALUE"""),"Full Price")</f>
        <v>Full Price</v>
      </c>
      <c r="Y260" s="272" t="str">
        <f>IFERROR(__xludf.DUMMYFUNCTION("""COMPUTED_VALUE"""),"9th - 12th April")</f>
        <v>9th - 12th April</v>
      </c>
      <c r="Z260" s="272" t="str">
        <f>IFERROR(__xludf.DUMMYFUNCTION("""COMPUTED_VALUE"""),"69d4df221587110ff2be9b55")</f>
        <v>69d4df221587110ff2be9b55</v>
      </c>
      <c r="AA260" s="272">
        <f>IFERROR(__xludf.DUMMYFUNCTION("""COMPUTED_VALUE"""),5.0)</f>
        <v>5</v>
      </c>
      <c r="AB260" s="272"/>
      <c r="AC260" s="272">
        <f>IFERROR(__xludf.DUMMYFUNCTION("""COMPUTED_VALUE"""),5.0)</f>
        <v>5</v>
      </c>
      <c r="AD260" s="272">
        <f>IFERROR(__xludf.DUMMYFUNCTION("""COMPUTED_VALUE"""),41715.0)</f>
        <v>41715</v>
      </c>
      <c r="AE260" s="272"/>
      <c r="AF260" s="272">
        <f>IFERROR(__xludf.DUMMYFUNCTION("""COMPUTED_VALUE"""),41715.0)</f>
        <v>41715</v>
      </c>
      <c r="AG260" s="208"/>
      <c r="AH260" s="208"/>
      <c r="AI260" s="208"/>
      <c r="AJ260" s="208"/>
      <c r="AK260" s="208"/>
    </row>
    <row r="261">
      <c r="A261" s="209">
        <f>IFERROR(__xludf.DUMMYFUNCTION("""COMPUTED_VALUE"""),46121.0)</f>
        <v>46121</v>
      </c>
      <c r="B261" s="210">
        <f>IFERROR(__xludf.DUMMYFUNCTION("""COMPUTED_VALUE"""),0.7743055555547471)</f>
        <v>0.7743055556</v>
      </c>
      <c r="C261" s="211" t="str">
        <f>IFERROR(__xludf.DUMMYFUNCTION("""COMPUTED_VALUE"""),"Whatsapp")</f>
        <v>Whatsapp</v>
      </c>
      <c r="D261" s="211" t="str">
        <f>IFERROR(__xludf.DUMMYFUNCTION("""COMPUTED_VALUE"""),"Promotional")</f>
        <v>Promotional</v>
      </c>
      <c r="E261" s="211" t="str">
        <f>IFERROR(__xludf.DUMMYFUNCTION("""COMPUTED_VALUE"""),"VS")</f>
        <v>VS</v>
      </c>
      <c r="F261" s="211" t="str">
        <f>IFERROR(__xludf.DUMMYFUNCTION("""COMPUTED_VALUE"""),"Brand ambassador launch")</f>
        <v>Brand ambassador launch</v>
      </c>
      <c r="G261" s="212" t="str">
        <f>IFERROR(__xludf.DUMMYFUNCTION("""COMPUTED_VALUE"""),"BA Launch - Repeat - Off")</f>
        <v>BA Launch - Repeat - Off</v>
      </c>
      <c r="H261" s="212" t="str">
        <f>IFERROR(__xludf.DUMMYFUNCTION("""COMPUTED_VALUE"""),"VS_Repeat_Off")</f>
        <v>VS_Repeat_Off</v>
      </c>
      <c r="I261" s="212" t="str">
        <f>IFERROR(__xludf.DUMMYFUNCTION("""COMPUTED_VALUE"""),"Offline Customers who have purchased at least 2 times in the last 36 months AND Exclude Mumbai and Delhi Offline Shoppers")</f>
        <v>Offline Customers who have purchased at least 2 times in the last 36 months AND Exclude Mumbai and Delhi Offline Shoppers</v>
      </c>
      <c r="J261" s="213">
        <f>IFERROR(__xludf.DUMMYFUNCTION("""COMPUTED_VALUE"""),13412.0)</f>
        <v>13412</v>
      </c>
      <c r="K261" s="213">
        <f>IFERROR(__xludf.DUMMYFUNCTION("""COMPUTED_VALUE"""),7694.0)</f>
        <v>7694</v>
      </c>
      <c r="L261" s="214">
        <f>IFERROR(__xludf.DUMMYFUNCTION("""COMPUTED_VALUE"""),0.5737)</f>
        <v>0.5737</v>
      </c>
      <c r="M261" s="213">
        <f>IFERROR(__xludf.DUMMYFUNCTION("""COMPUTED_VALUE"""),2015.0)</f>
        <v>2015</v>
      </c>
      <c r="N261" s="214">
        <f>IFERROR(__xludf.DUMMYFUNCTION("""COMPUTED_VALUE"""),0.2619)</f>
        <v>0.2619</v>
      </c>
      <c r="O261" s="213">
        <f>IFERROR(__xludf.DUMMYFUNCTION("""COMPUTED_VALUE"""),34.0)</f>
        <v>34</v>
      </c>
      <c r="P261" s="213">
        <f>IFERROR(__xludf.DUMMYFUNCTION("""COMPUTED_VALUE"""),33.0)</f>
        <v>33</v>
      </c>
      <c r="Q261" s="214">
        <f>IFERROR(__xludf.DUMMYFUNCTION("""COMPUTED_VALUE"""),0.0043)</f>
        <v>0.0043</v>
      </c>
      <c r="R261" s="214">
        <f>IFERROR(__xludf.DUMMYFUNCTION("""COMPUTED_VALUE"""),0.0164)</f>
        <v>0.0164</v>
      </c>
      <c r="S261" s="213">
        <f>IFERROR(__xludf.DUMMYFUNCTION("""COMPUTED_VALUE"""),3.0)</f>
        <v>3</v>
      </c>
      <c r="T261" s="213">
        <f>IFERROR(__xludf.DUMMYFUNCTION("""COMPUTED_VALUE"""),7.0)</f>
        <v>7</v>
      </c>
      <c r="U261" s="270">
        <f>IFERROR(__xludf.DUMMYFUNCTION("""COMPUTED_VALUE"""),14515.0)</f>
        <v>14515</v>
      </c>
      <c r="V261" s="271" t="str">
        <f>IFERROR(__xludf.DUMMYFUNCTION("""COMPUTED_VALUE"""),"offline")</f>
        <v>offline</v>
      </c>
      <c r="W261" s="272" t="str">
        <f>IFERROR(__xludf.DUMMYFUNCTION("""COMPUTED_VALUE"""),"simple")</f>
        <v>simple</v>
      </c>
      <c r="X261" s="272" t="str">
        <f>IFERROR(__xludf.DUMMYFUNCTION("""COMPUTED_VALUE"""),"Repeat")</f>
        <v>Repeat</v>
      </c>
      <c r="Y261" s="272" t="str">
        <f>IFERROR(__xludf.DUMMYFUNCTION("""COMPUTED_VALUE"""),"9th - 12th April")</f>
        <v>9th - 12th April</v>
      </c>
      <c r="Z261" s="272" t="str">
        <f>IFERROR(__xludf.DUMMYFUNCTION("""COMPUTED_VALUE"""),"69d4df683e2e68b9f1ca0a00")</f>
        <v>69d4df683e2e68b9f1ca0a00</v>
      </c>
      <c r="AA261" s="272">
        <f>IFERROR(__xludf.DUMMYFUNCTION("""COMPUTED_VALUE"""),49.0)</f>
        <v>49</v>
      </c>
      <c r="AB261" s="272"/>
      <c r="AC261" s="272">
        <f>IFERROR(__xludf.DUMMYFUNCTION("""COMPUTED_VALUE"""),49.0)</f>
        <v>49</v>
      </c>
      <c r="AD261" s="272">
        <f>IFERROR(__xludf.DUMMYFUNCTION("""COMPUTED_VALUE"""),273065.0)</f>
        <v>273065</v>
      </c>
      <c r="AE261" s="272"/>
      <c r="AF261" s="272">
        <f>IFERROR(__xludf.DUMMYFUNCTION("""COMPUTED_VALUE"""),273065.0)</f>
        <v>273065</v>
      </c>
      <c r="AG261" s="208"/>
      <c r="AH261" s="208"/>
      <c r="AI261" s="208"/>
      <c r="AJ261" s="208"/>
      <c r="AK261" s="208"/>
    </row>
    <row r="262">
      <c r="A262" s="209">
        <f>IFERROR(__xludf.DUMMYFUNCTION("""COMPUTED_VALUE"""),46121.0)</f>
        <v>46121</v>
      </c>
      <c r="B262" s="210">
        <f>IFERROR(__xludf.DUMMYFUNCTION("""COMPUTED_VALUE"""),0.7777777777773736)</f>
        <v>0.7777777778</v>
      </c>
      <c r="C262" s="211" t="str">
        <f>IFERROR(__xludf.DUMMYFUNCTION("""COMPUTED_VALUE"""),"Whatsapp")</f>
        <v>Whatsapp</v>
      </c>
      <c r="D262" s="211" t="str">
        <f>IFERROR(__xludf.DUMMYFUNCTION("""COMPUTED_VALUE"""),"Promotional")</f>
        <v>Promotional</v>
      </c>
      <c r="E262" s="211" t="str">
        <f>IFERROR(__xludf.DUMMYFUNCTION("""COMPUTED_VALUE"""),"VS")</f>
        <v>VS</v>
      </c>
      <c r="F262" s="211" t="str">
        <f>IFERROR(__xludf.DUMMYFUNCTION("""COMPUTED_VALUE"""),"Brand ambassador launch")</f>
        <v>Brand ambassador launch</v>
      </c>
      <c r="G262" s="212" t="str">
        <f>IFERROR(__xludf.DUMMYFUNCTION("""COMPUTED_VALUE"""),"BA Launch - Recent - Off")</f>
        <v>BA Launch - Recent - Off</v>
      </c>
      <c r="H262" s="212" t="str">
        <f>IFERROR(__xludf.DUMMYFUNCTION("""COMPUTED_VALUE"""),"VS_Recent_Off")</f>
        <v>VS_Recent_Off</v>
      </c>
      <c r="I262" s="212" t="str">
        <f>IFERROR(__xludf.DUMMYFUNCTION("""COMPUTED_VALUE"""),"Offline Customers who have purchased at least 1 time in the last 94 days AND Exclude Mumbai and Delhi Offline Shoppers")</f>
        <v>Offline Customers who have purchased at least 1 time in the last 94 days AND Exclude Mumbai and Delhi Offline Shoppers</v>
      </c>
      <c r="J262" s="213">
        <f>IFERROR(__xludf.DUMMYFUNCTION("""COMPUTED_VALUE"""),8911.0)</f>
        <v>8911</v>
      </c>
      <c r="K262" s="213">
        <f>IFERROR(__xludf.DUMMYFUNCTION("""COMPUTED_VALUE"""),5780.0)</f>
        <v>5780</v>
      </c>
      <c r="L262" s="214">
        <f>IFERROR(__xludf.DUMMYFUNCTION("""COMPUTED_VALUE"""),0.6486)</f>
        <v>0.6486</v>
      </c>
      <c r="M262" s="213">
        <f>IFERROR(__xludf.DUMMYFUNCTION("""COMPUTED_VALUE"""),1929.0)</f>
        <v>1929</v>
      </c>
      <c r="N262" s="214">
        <f>IFERROR(__xludf.DUMMYFUNCTION("""COMPUTED_VALUE"""),0.3337)</f>
        <v>0.3337</v>
      </c>
      <c r="O262" s="213">
        <f>IFERROR(__xludf.DUMMYFUNCTION("""COMPUTED_VALUE"""),30.0)</f>
        <v>30</v>
      </c>
      <c r="P262" s="213">
        <f>IFERROR(__xludf.DUMMYFUNCTION("""COMPUTED_VALUE"""),29.0)</f>
        <v>29</v>
      </c>
      <c r="Q262" s="214">
        <f>IFERROR(__xludf.DUMMYFUNCTION("""COMPUTED_VALUE"""),0.005)</f>
        <v>0.005</v>
      </c>
      <c r="R262" s="214">
        <f>IFERROR(__xludf.DUMMYFUNCTION("""COMPUTED_VALUE"""),0.015)</f>
        <v>0.015</v>
      </c>
      <c r="S262" s="213">
        <f>IFERROR(__xludf.DUMMYFUNCTION("""COMPUTED_VALUE"""),0.0)</f>
        <v>0</v>
      </c>
      <c r="T262" s="213">
        <f>IFERROR(__xludf.DUMMYFUNCTION("""COMPUTED_VALUE"""),1.0)</f>
        <v>1</v>
      </c>
      <c r="U262" s="270">
        <f>IFERROR(__xludf.DUMMYFUNCTION("""COMPUTED_VALUE"""),0.0)</f>
        <v>0</v>
      </c>
      <c r="V262" s="271" t="str">
        <f>IFERROR(__xludf.DUMMYFUNCTION("""COMPUTED_VALUE"""),"offline")</f>
        <v>offline</v>
      </c>
      <c r="W262" s="272" t="str">
        <f>IFERROR(__xludf.DUMMYFUNCTION("""COMPUTED_VALUE"""),"simple")</f>
        <v>simple</v>
      </c>
      <c r="X262" s="272" t="str">
        <f>IFERROR(__xludf.DUMMYFUNCTION("""COMPUTED_VALUE"""),"Recent")</f>
        <v>Recent</v>
      </c>
      <c r="Y262" s="272" t="str">
        <f>IFERROR(__xludf.DUMMYFUNCTION("""COMPUTED_VALUE"""),"9th - 12th April")</f>
        <v>9th - 12th April</v>
      </c>
      <c r="Z262" s="272" t="str">
        <f>IFERROR(__xludf.DUMMYFUNCTION("""COMPUTED_VALUE"""),"69d4e134e1886dd84560e05d")</f>
        <v>69d4e134e1886dd84560e05d</v>
      </c>
      <c r="AA262" s="272">
        <f>IFERROR(__xludf.DUMMYFUNCTION("""COMPUTED_VALUE"""),13.0)</f>
        <v>13</v>
      </c>
      <c r="AB262" s="272"/>
      <c r="AC262" s="272">
        <f>IFERROR(__xludf.DUMMYFUNCTION("""COMPUTED_VALUE"""),13.0)</f>
        <v>13</v>
      </c>
      <c r="AD262" s="272">
        <f>IFERROR(__xludf.DUMMYFUNCTION("""COMPUTED_VALUE"""),90405.0)</f>
        <v>90405</v>
      </c>
      <c r="AE262" s="272"/>
      <c r="AF262" s="272">
        <f>IFERROR(__xludf.DUMMYFUNCTION("""COMPUTED_VALUE"""),90405.0)</f>
        <v>90405</v>
      </c>
      <c r="AG262" s="208"/>
      <c r="AH262" s="208"/>
      <c r="AI262" s="208"/>
      <c r="AJ262" s="208"/>
      <c r="AK262" s="208"/>
    </row>
    <row r="263">
      <c r="A263" s="209">
        <f>IFERROR(__xludf.DUMMYFUNCTION("""COMPUTED_VALUE"""),46121.0)</f>
        <v>46121</v>
      </c>
      <c r="B263" s="210">
        <f>IFERROR(__xludf.DUMMYFUNCTION("""COMPUTED_VALUE"""),0.78125)</f>
        <v>0.78125</v>
      </c>
      <c r="C263" s="211" t="str">
        <f>IFERROR(__xludf.DUMMYFUNCTION("""COMPUTED_VALUE"""),"Whatsapp")</f>
        <v>Whatsapp</v>
      </c>
      <c r="D263" s="211" t="str">
        <f>IFERROR(__xludf.DUMMYFUNCTION("""COMPUTED_VALUE"""),"Promotional")</f>
        <v>Promotional</v>
      </c>
      <c r="E263" s="211" t="str">
        <f>IFERROR(__xludf.DUMMYFUNCTION("""COMPUTED_VALUE"""),"VS")</f>
        <v>VS</v>
      </c>
      <c r="F263" s="211" t="str">
        <f>IFERROR(__xludf.DUMMYFUNCTION("""COMPUTED_VALUE"""),"Brand ambassador launch")</f>
        <v>Brand ambassador launch</v>
      </c>
      <c r="G263" s="212" t="str">
        <f>IFERROR(__xludf.DUMMYFUNCTION("""COMPUTED_VALUE"""),"BA Launch - Dormant - Off")</f>
        <v>BA Launch - Dormant - Off</v>
      </c>
      <c r="H263" s="212" t="str">
        <f>IFERROR(__xludf.DUMMYFUNCTION("""COMPUTED_VALUE"""),"VS_Dormant_Base_Off")</f>
        <v>VS_Dormant_Base_Off</v>
      </c>
      <c r="I263" s="212" t="str">
        <f>IFERROR(__xludf.DUMMYFUNCTION("""COMPUTED_VALUE"""),"Offline Customers who have not purchased in last 94 days but have purchased between 95 to 365 days AND Exclude Mumbai and Delhi Offline Shoppers")</f>
        <v>Offline Customers who have not purchased in last 94 days but have purchased between 95 to 365 days AND Exclude Mumbai and Delhi Offline Shoppers</v>
      </c>
      <c r="J263" s="213">
        <f>IFERROR(__xludf.DUMMYFUNCTION("""COMPUTED_VALUE"""),29980.0)</f>
        <v>29980</v>
      </c>
      <c r="K263" s="213">
        <f>IFERROR(__xludf.DUMMYFUNCTION("""COMPUTED_VALUE"""),18268.0)</f>
        <v>18268</v>
      </c>
      <c r="L263" s="214">
        <f>IFERROR(__xludf.DUMMYFUNCTION("""COMPUTED_VALUE"""),0.6091)</f>
        <v>0.6091</v>
      </c>
      <c r="M263" s="213">
        <f>IFERROR(__xludf.DUMMYFUNCTION("""COMPUTED_VALUE"""),5273.0)</f>
        <v>5273</v>
      </c>
      <c r="N263" s="214">
        <f>IFERROR(__xludf.DUMMYFUNCTION("""COMPUTED_VALUE"""),0.2888)</f>
        <v>0.2888</v>
      </c>
      <c r="O263" s="213">
        <f>IFERROR(__xludf.DUMMYFUNCTION("""COMPUTED_VALUE"""),54.0)</f>
        <v>54</v>
      </c>
      <c r="P263" s="213">
        <f>IFERROR(__xludf.DUMMYFUNCTION("""COMPUTED_VALUE"""),51.0)</f>
        <v>51</v>
      </c>
      <c r="Q263" s="214">
        <f>IFERROR(__xludf.DUMMYFUNCTION("""COMPUTED_VALUE"""),0.0028)</f>
        <v>0.0028</v>
      </c>
      <c r="R263" s="214">
        <f>IFERROR(__xludf.DUMMYFUNCTION("""COMPUTED_VALUE"""),0.0097)</f>
        <v>0.0097</v>
      </c>
      <c r="S263" s="213">
        <f>IFERROR(__xludf.DUMMYFUNCTION("""COMPUTED_VALUE"""),0.0)</f>
        <v>0</v>
      </c>
      <c r="T263" s="213">
        <f>IFERROR(__xludf.DUMMYFUNCTION("""COMPUTED_VALUE"""),1.0)</f>
        <v>1</v>
      </c>
      <c r="U263" s="270">
        <f>IFERROR(__xludf.DUMMYFUNCTION("""COMPUTED_VALUE"""),0.0)</f>
        <v>0</v>
      </c>
      <c r="V263" s="271" t="str">
        <f>IFERROR(__xludf.DUMMYFUNCTION("""COMPUTED_VALUE"""),"offline")</f>
        <v>offline</v>
      </c>
      <c r="W263" s="272" t="str">
        <f>IFERROR(__xludf.DUMMYFUNCTION("""COMPUTED_VALUE"""),"simple")</f>
        <v>simple</v>
      </c>
      <c r="X263" s="272" t="str">
        <f>IFERROR(__xludf.DUMMYFUNCTION("""COMPUTED_VALUE"""),"Dormant")</f>
        <v>Dormant</v>
      </c>
      <c r="Y263" s="272" t="str">
        <f>IFERROR(__xludf.DUMMYFUNCTION("""COMPUTED_VALUE"""),"9th - 12th April")</f>
        <v>9th - 12th April</v>
      </c>
      <c r="Z263" s="272" t="str">
        <f>IFERROR(__xludf.DUMMYFUNCTION("""COMPUTED_VALUE"""),"69d4e18751215de4a54ca5a3")</f>
        <v>69d4e18751215de4a54ca5a3</v>
      </c>
      <c r="AA263" s="272">
        <f>IFERROR(__xludf.DUMMYFUNCTION("""COMPUTED_VALUE"""),33.0)</f>
        <v>33</v>
      </c>
      <c r="AB263" s="272"/>
      <c r="AC263" s="272">
        <f>IFERROR(__xludf.DUMMYFUNCTION("""COMPUTED_VALUE"""),33.0)</f>
        <v>33</v>
      </c>
      <c r="AD263" s="272">
        <f>IFERROR(__xludf.DUMMYFUNCTION("""COMPUTED_VALUE"""),180603.0)</f>
        <v>180603</v>
      </c>
      <c r="AE263" s="272"/>
      <c r="AF263" s="272">
        <f>IFERROR(__xludf.DUMMYFUNCTION("""COMPUTED_VALUE"""),180603.0)</f>
        <v>180603</v>
      </c>
      <c r="AG263" s="208"/>
      <c r="AH263" s="208"/>
      <c r="AI263" s="208"/>
      <c r="AJ263" s="208"/>
      <c r="AK263" s="208"/>
    </row>
    <row r="264">
      <c r="A264" s="209">
        <f>IFERROR(__xludf.DUMMYFUNCTION("""COMPUTED_VALUE"""),46121.0)</f>
        <v>46121</v>
      </c>
      <c r="B264" s="210">
        <f>IFERROR(__xludf.DUMMYFUNCTION("""COMPUTED_VALUE"""),0.7847222222226264)</f>
        <v>0.7847222222</v>
      </c>
      <c r="C264" s="211" t="str">
        <f>IFERROR(__xludf.DUMMYFUNCTION("""COMPUTED_VALUE"""),"Whatsapp")</f>
        <v>Whatsapp</v>
      </c>
      <c r="D264" s="211" t="str">
        <f>IFERROR(__xludf.DUMMYFUNCTION("""COMPUTED_VALUE"""),"Promotional")</f>
        <v>Promotional</v>
      </c>
      <c r="E264" s="211" t="str">
        <f>IFERROR(__xludf.DUMMYFUNCTION("""COMPUTED_VALUE"""),"VS")</f>
        <v>VS</v>
      </c>
      <c r="F264" s="211" t="str">
        <f>IFERROR(__xludf.DUMMYFUNCTION("""COMPUTED_VALUE"""),"Brand ambassador launch")</f>
        <v>Brand ambassador launch</v>
      </c>
      <c r="G264" s="212" t="str">
        <f>IFERROR(__xludf.DUMMYFUNCTION("""COMPUTED_VALUE"""),"BA Launch - Churned High LTV - Off")</f>
        <v>BA Launch - Churned High LTV - Off</v>
      </c>
      <c r="H264" s="212" t="str">
        <f>IFERROR(__xludf.DUMMYFUNCTION("""COMPUTED_VALUE"""),"Churned_HighLTV_Off")</f>
        <v>Churned_HighLTV_Off</v>
      </c>
      <c r="I264" s="212" t="str">
        <f>IFERROR(__xludf.DUMMYFUNCTION("""COMPUTED_VALUE"""),"Offline Customers who have not purchased in the last 365 days but have purchased in the last 36 months with Agg Order Net Value is greater than 9999 AND Exclude Mumbai and Delhi Offline Shoppers")</f>
        <v>Offline Customers who have not purchased in the last 365 days but have purchased in the last 36 months with Agg Order Net Value is greater than 9999 AND Exclude Mumbai and Delhi Offline Shoppers</v>
      </c>
      <c r="J264" s="213">
        <f>IFERROR(__xludf.DUMMYFUNCTION("""COMPUTED_VALUE"""),1271.0)</f>
        <v>1271</v>
      </c>
      <c r="K264" s="213">
        <f>IFERROR(__xludf.DUMMYFUNCTION("""COMPUTED_VALUE"""),665.0)</f>
        <v>665</v>
      </c>
      <c r="L264" s="214">
        <f>IFERROR(__xludf.DUMMYFUNCTION("""COMPUTED_VALUE"""),0.5232)</f>
        <v>0.5232</v>
      </c>
      <c r="M264" s="213">
        <f>IFERROR(__xludf.DUMMYFUNCTION("""COMPUTED_VALUE"""),171.0)</f>
        <v>171</v>
      </c>
      <c r="N264" s="214">
        <f>IFERROR(__xludf.DUMMYFUNCTION("""COMPUTED_VALUE"""),0.2571)</f>
        <v>0.2571</v>
      </c>
      <c r="O264" s="213">
        <f>IFERROR(__xludf.DUMMYFUNCTION("""COMPUTED_VALUE"""),2.0)</f>
        <v>2</v>
      </c>
      <c r="P264" s="213">
        <f>IFERROR(__xludf.DUMMYFUNCTION("""COMPUTED_VALUE"""),2.0)</f>
        <v>2</v>
      </c>
      <c r="Q264" s="214">
        <f>IFERROR(__xludf.DUMMYFUNCTION("""COMPUTED_VALUE"""),0.003)</f>
        <v>0.003</v>
      </c>
      <c r="R264" s="214">
        <f>IFERROR(__xludf.DUMMYFUNCTION("""COMPUTED_VALUE"""),0.0117)</f>
        <v>0.0117</v>
      </c>
      <c r="S264" s="213">
        <f>IFERROR(__xludf.DUMMYFUNCTION("""COMPUTED_VALUE"""),0.0)</f>
        <v>0</v>
      </c>
      <c r="T264" s="213">
        <f>IFERROR(__xludf.DUMMYFUNCTION("""COMPUTED_VALUE"""),0.0)</f>
        <v>0</v>
      </c>
      <c r="U264" s="270">
        <f>IFERROR(__xludf.DUMMYFUNCTION("""COMPUTED_VALUE"""),0.0)</f>
        <v>0</v>
      </c>
      <c r="V264" s="271" t="str">
        <f>IFERROR(__xludf.DUMMYFUNCTION("""COMPUTED_VALUE"""),"offline")</f>
        <v>offline</v>
      </c>
      <c r="W264" s="272" t="str">
        <f>IFERROR(__xludf.DUMMYFUNCTION("""COMPUTED_VALUE"""),"simple")</f>
        <v>simple</v>
      </c>
      <c r="X264" s="272" t="str">
        <f>IFERROR(__xludf.DUMMYFUNCTION("""COMPUTED_VALUE"""),"Churned High LTV")</f>
        <v>Churned High LTV</v>
      </c>
      <c r="Y264" s="272" t="str">
        <f>IFERROR(__xludf.DUMMYFUNCTION("""COMPUTED_VALUE"""),"9th - 12th April")</f>
        <v>9th - 12th April</v>
      </c>
      <c r="Z264" s="272" t="str">
        <f>IFERROR(__xludf.DUMMYFUNCTION("""COMPUTED_VALUE"""),"69d4e1e1299cc6dc15ae81e7")</f>
        <v>69d4e1e1299cc6dc15ae81e7</v>
      </c>
      <c r="AA264" s="272">
        <f>IFERROR(__xludf.DUMMYFUNCTION("""COMPUTED_VALUE"""),2.0)</f>
        <v>2</v>
      </c>
      <c r="AB264" s="272"/>
      <c r="AC264" s="272">
        <f>IFERROR(__xludf.DUMMYFUNCTION("""COMPUTED_VALUE"""),2.0)</f>
        <v>2</v>
      </c>
      <c r="AD264" s="272">
        <f>IFERROR(__xludf.DUMMYFUNCTION("""COMPUTED_VALUE"""),6198.0)</f>
        <v>6198</v>
      </c>
      <c r="AE264" s="272"/>
      <c r="AF264" s="272">
        <f>IFERROR(__xludf.DUMMYFUNCTION("""COMPUTED_VALUE"""),6198.0)</f>
        <v>6198</v>
      </c>
      <c r="AG264" s="208"/>
      <c r="AH264" s="208"/>
      <c r="AI264" s="208"/>
      <c r="AJ264" s="208"/>
      <c r="AK264" s="208"/>
    </row>
    <row r="265">
      <c r="A265" s="209">
        <f>IFERROR(__xludf.DUMMYFUNCTION("""COMPUTED_VALUE"""),46121.0)</f>
        <v>46121</v>
      </c>
      <c r="B265" s="210">
        <f>IFERROR(__xludf.DUMMYFUNCTION("""COMPUTED_VALUE"""),0.7881944444452529)</f>
        <v>0.7881944444</v>
      </c>
      <c r="C265" s="211" t="str">
        <f>IFERROR(__xludf.DUMMYFUNCTION("""COMPUTED_VALUE"""),"Whatsapp")</f>
        <v>Whatsapp</v>
      </c>
      <c r="D265" s="211" t="str">
        <f>IFERROR(__xludf.DUMMYFUNCTION("""COMPUTED_VALUE"""),"Promotional")</f>
        <v>Promotional</v>
      </c>
      <c r="E265" s="211" t="str">
        <f>IFERROR(__xludf.DUMMYFUNCTION("""COMPUTED_VALUE"""),"VS")</f>
        <v>VS</v>
      </c>
      <c r="F265" s="211" t="str">
        <f>IFERROR(__xludf.DUMMYFUNCTION("""COMPUTED_VALUE"""),"Brand ambassador launch")</f>
        <v>Brand ambassador launch</v>
      </c>
      <c r="G265" s="212" t="str">
        <f>IFERROR(__xludf.DUMMYFUNCTION("""COMPUTED_VALUE"""),"BA Launch - Mum - Off")</f>
        <v>BA Launch - Mum - Off</v>
      </c>
      <c r="H265" s="212" t="str">
        <f>IFERROR(__xludf.DUMMYFUNCTION("""COMPUTED_VALUE"""),"Mumbai_Purchasers_Off")</f>
        <v>Mumbai_Purchasers_Off</v>
      </c>
      <c r="I265" s="212" t="str">
        <f>IFERROR(__xludf.DUMMYFUNCTION("""COMPUTED_VALUE"""),"Offline Customers who have purchased in the last 36 months from Txn_Store_Name :- VS PHOENIX PALLADIUM MALL, VS INORBIT MALL MALAD, VS MARKET CITY KURLA MALL ")</f>
        <v>Offline Customers who have purchased in the last 36 months from Txn_Store_Name :- VS PHOENIX PALLADIUM MALL, VS INORBIT MALL MALAD, VS MARKET CITY KURLA MALL </v>
      </c>
      <c r="J265" s="213">
        <f>IFERROR(__xludf.DUMMYFUNCTION("""COMPUTED_VALUE"""),52221.0)</f>
        <v>52221</v>
      </c>
      <c r="K265" s="213">
        <f>IFERROR(__xludf.DUMMYFUNCTION("""COMPUTED_VALUE"""),30255.0)</f>
        <v>30255</v>
      </c>
      <c r="L265" s="214">
        <f>IFERROR(__xludf.DUMMYFUNCTION("""COMPUTED_VALUE"""),0.5793)</f>
        <v>0.5793</v>
      </c>
      <c r="M265" s="213">
        <f>IFERROR(__xludf.DUMMYFUNCTION("""COMPUTED_VALUE"""),7480.0)</f>
        <v>7480</v>
      </c>
      <c r="N265" s="214">
        <f>IFERROR(__xludf.DUMMYFUNCTION("""COMPUTED_VALUE"""),0.2472)</f>
        <v>0.2472</v>
      </c>
      <c r="O265" s="213">
        <f>IFERROR(__xludf.DUMMYFUNCTION("""COMPUTED_VALUE"""),78.0)</f>
        <v>78</v>
      </c>
      <c r="P265" s="213">
        <f>IFERROR(__xludf.DUMMYFUNCTION("""COMPUTED_VALUE"""),75.0)</f>
        <v>75</v>
      </c>
      <c r="Q265" s="214">
        <f>IFERROR(__xludf.DUMMYFUNCTION("""COMPUTED_VALUE"""),0.0025)</f>
        <v>0.0025</v>
      </c>
      <c r="R265" s="214">
        <f>IFERROR(__xludf.DUMMYFUNCTION("""COMPUTED_VALUE"""),0.01)</f>
        <v>0.01</v>
      </c>
      <c r="S265" s="213">
        <f>IFERROR(__xludf.DUMMYFUNCTION("""COMPUTED_VALUE"""),5.0)</f>
        <v>5</v>
      </c>
      <c r="T265" s="213">
        <f>IFERROR(__xludf.DUMMYFUNCTION("""COMPUTED_VALUE"""),12.0)</f>
        <v>12</v>
      </c>
      <c r="U265" s="270">
        <f>IFERROR(__xludf.DUMMYFUNCTION("""COMPUTED_VALUE"""),25790.0)</f>
        <v>25790</v>
      </c>
      <c r="V265" s="271" t="str">
        <f>IFERROR(__xludf.DUMMYFUNCTION("""COMPUTED_VALUE"""),"offline")</f>
        <v>offline</v>
      </c>
      <c r="W265" s="272" t="str">
        <f>IFERROR(__xludf.DUMMYFUNCTION("""COMPUTED_VALUE"""),"simple")</f>
        <v>simple</v>
      </c>
      <c r="X265" s="272" t="str">
        <f>IFERROR(__xludf.DUMMYFUNCTION("""COMPUTED_VALUE"""),"No brief")</f>
        <v>No brief</v>
      </c>
      <c r="Y265" s="272" t="str">
        <f>IFERROR(__xludf.DUMMYFUNCTION("""COMPUTED_VALUE"""),"9th - 12th April")</f>
        <v>9th - 12th April</v>
      </c>
      <c r="Z265" s="272" t="str">
        <f>IFERROR(__xludf.DUMMYFUNCTION("""COMPUTED_VALUE"""),"69d4e24a6b5ac9d876b8d574")</f>
        <v>69d4e24a6b5ac9d876b8d574</v>
      </c>
      <c r="AA265" s="272">
        <f>IFERROR(__xludf.DUMMYFUNCTION("""COMPUTED_VALUE"""),85.0)</f>
        <v>85</v>
      </c>
      <c r="AB265" s="272"/>
      <c r="AC265" s="272">
        <f>IFERROR(__xludf.DUMMYFUNCTION("""COMPUTED_VALUE"""),85.0)</f>
        <v>85</v>
      </c>
      <c r="AD265" s="272">
        <f>IFERROR(__xludf.DUMMYFUNCTION("""COMPUTED_VALUE"""),1099254.0)</f>
        <v>1099254</v>
      </c>
      <c r="AE265" s="272"/>
      <c r="AF265" s="272">
        <f>IFERROR(__xludf.DUMMYFUNCTION("""COMPUTED_VALUE"""),1099254.0)</f>
        <v>1099254</v>
      </c>
      <c r="AG265" s="208"/>
      <c r="AH265" s="208"/>
      <c r="AI265" s="208"/>
      <c r="AJ265" s="208"/>
      <c r="AK265" s="208"/>
    </row>
    <row r="266">
      <c r="A266" s="209">
        <f>IFERROR(__xludf.DUMMYFUNCTION("""COMPUTED_VALUE"""),46121.0)</f>
        <v>46121</v>
      </c>
      <c r="B266" s="210">
        <f>IFERROR(__xludf.DUMMYFUNCTION("""COMPUTED_VALUE"""),0.7916666666678793)</f>
        <v>0.7916666667</v>
      </c>
      <c r="C266" s="211" t="str">
        <f>IFERROR(__xludf.DUMMYFUNCTION("""COMPUTED_VALUE"""),"Whatsapp")</f>
        <v>Whatsapp</v>
      </c>
      <c r="D266" s="211" t="str">
        <f>IFERROR(__xludf.DUMMYFUNCTION("""COMPUTED_VALUE"""),"Promotional")</f>
        <v>Promotional</v>
      </c>
      <c r="E266" s="211" t="str">
        <f>IFERROR(__xludf.DUMMYFUNCTION("""COMPUTED_VALUE"""),"VS")</f>
        <v>VS</v>
      </c>
      <c r="F266" s="211" t="str">
        <f>IFERROR(__xludf.DUMMYFUNCTION("""COMPUTED_VALUE"""),"Brand ambassador launch")</f>
        <v>Brand ambassador launch</v>
      </c>
      <c r="G266" s="212" t="str">
        <f>IFERROR(__xludf.DUMMYFUNCTION("""COMPUTED_VALUE"""),"BA Launch - Delhi - Off")</f>
        <v>BA Launch - Delhi - Off</v>
      </c>
      <c r="H266" s="212" t="str">
        <f>IFERROR(__xludf.DUMMYFUNCTION("""COMPUTED_VALUE"""),"Delhi_Purchasers_Off")</f>
        <v>Delhi_Purchasers_Off</v>
      </c>
      <c r="I266" s="212" t="str">
        <f>IFERROR(__xludf.DUMMYFUNCTION("""COMPUTED_VALUE"""),"Offline Customers who have purchased in the last 36 months from Txn_Store_Name :- VS AMBIENCE MALL, VS AMBIENCE GURGAON MALL, VS ELEGANTE DELHI")</f>
        <v>Offline Customers who have purchased in the last 36 months from Txn_Store_Name :- VS AMBIENCE MALL, VS AMBIENCE GURGAON MALL, VS ELEGANTE DELHI</v>
      </c>
      <c r="J266" s="213">
        <f>IFERROR(__xludf.DUMMYFUNCTION("""COMPUTED_VALUE"""),64041.0)</f>
        <v>64041</v>
      </c>
      <c r="K266" s="213">
        <f>IFERROR(__xludf.DUMMYFUNCTION("""COMPUTED_VALUE"""),35180.0)</f>
        <v>35180</v>
      </c>
      <c r="L266" s="214">
        <f>IFERROR(__xludf.DUMMYFUNCTION("""COMPUTED_VALUE"""),0.5493)</f>
        <v>0.5493</v>
      </c>
      <c r="M266" s="213">
        <f>IFERROR(__xludf.DUMMYFUNCTION("""COMPUTED_VALUE"""),8487.0)</f>
        <v>8487</v>
      </c>
      <c r="N266" s="214">
        <f>IFERROR(__xludf.DUMMYFUNCTION("""COMPUTED_VALUE"""),0.2412)</f>
        <v>0.2412</v>
      </c>
      <c r="O266" s="213">
        <f>IFERROR(__xludf.DUMMYFUNCTION("""COMPUTED_VALUE"""),120.0)</f>
        <v>120</v>
      </c>
      <c r="P266" s="213">
        <f>IFERROR(__xludf.DUMMYFUNCTION("""COMPUTED_VALUE"""),117.0)</f>
        <v>117</v>
      </c>
      <c r="Q266" s="214">
        <f>IFERROR(__xludf.DUMMYFUNCTION("""COMPUTED_VALUE"""),0.0033)</f>
        <v>0.0033</v>
      </c>
      <c r="R266" s="214">
        <f>IFERROR(__xludf.DUMMYFUNCTION("""COMPUTED_VALUE"""),0.0138)</f>
        <v>0.0138</v>
      </c>
      <c r="S266" s="213">
        <f>IFERROR(__xludf.DUMMYFUNCTION("""COMPUTED_VALUE"""),4.0)</f>
        <v>4</v>
      </c>
      <c r="T266" s="213">
        <f>IFERROR(__xludf.DUMMYFUNCTION("""COMPUTED_VALUE"""),20.0)</f>
        <v>20</v>
      </c>
      <c r="U266" s="270">
        <f>IFERROR(__xludf.DUMMYFUNCTION("""COMPUTED_VALUE"""),21346.0)</f>
        <v>21346</v>
      </c>
      <c r="V266" s="271" t="str">
        <f>IFERROR(__xludf.DUMMYFUNCTION("""COMPUTED_VALUE"""),"offline")</f>
        <v>offline</v>
      </c>
      <c r="W266" s="272" t="str">
        <f>IFERROR(__xludf.DUMMYFUNCTION("""COMPUTED_VALUE"""),"simple")</f>
        <v>simple</v>
      </c>
      <c r="X266" s="272" t="str">
        <f>IFERROR(__xludf.DUMMYFUNCTION("""COMPUTED_VALUE"""),"No brief")</f>
        <v>No brief</v>
      </c>
      <c r="Y266" s="272" t="str">
        <f>IFERROR(__xludf.DUMMYFUNCTION("""COMPUTED_VALUE"""),"9th - 12th April")</f>
        <v>9th - 12th April</v>
      </c>
      <c r="Z266" s="272" t="str">
        <f>IFERROR(__xludf.DUMMYFUNCTION("""COMPUTED_VALUE"""),"69d4e27c1e39aac9771bdc54")</f>
        <v>69d4e27c1e39aac9771bdc54</v>
      </c>
      <c r="AA266" s="272">
        <f>IFERROR(__xludf.DUMMYFUNCTION("""COMPUTED_VALUE"""),101.0)</f>
        <v>101</v>
      </c>
      <c r="AB266" s="272"/>
      <c r="AC266" s="272">
        <f>IFERROR(__xludf.DUMMYFUNCTION("""COMPUTED_VALUE"""),101.0)</f>
        <v>101</v>
      </c>
      <c r="AD266" s="272">
        <f>IFERROR(__xludf.DUMMYFUNCTION("""COMPUTED_VALUE"""),1232107.0)</f>
        <v>1232107</v>
      </c>
      <c r="AE266" s="272"/>
      <c r="AF266" s="272">
        <f>IFERROR(__xludf.DUMMYFUNCTION("""COMPUTED_VALUE"""),1232107.0)</f>
        <v>1232107</v>
      </c>
      <c r="AG266" s="208"/>
      <c r="AH266" s="208"/>
      <c r="AI266" s="208"/>
      <c r="AJ266" s="208"/>
      <c r="AK266" s="208"/>
    </row>
    <row r="267">
      <c r="A267" s="209">
        <f>IFERROR(__xludf.DUMMYFUNCTION("""COMPUTED_VALUE"""),46121.0)</f>
        <v>46121</v>
      </c>
      <c r="B267" s="210">
        <f>IFERROR(__xludf.DUMMYFUNCTION("""COMPUTED_VALUE"""),0.6458333333321207)</f>
        <v>0.6458333333</v>
      </c>
      <c r="C267" s="211" t="str">
        <f>IFERROR(__xludf.DUMMYFUNCTION("""COMPUTED_VALUE"""),"Sms")</f>
        <v>Sms</v>
      </c>
      <c r="D267" s="211" t="str">
        <f>IFERROR(__xludf.DUMMYFUNCTION("""COMPUTED_VALUE"""),"Fallback campaign")</f>
        <v>Fallback campaign</v>
      </c>
      <c r="E267" s="211" t="str">
        <f>IFERROR(__xludf.DUMMYFUNCTION("""COMPUTED_VALUE"""),"VS")</f>
        <v>VS</v>
      </c>
      <c r="F267" s="211" t="str">
        <f>IFERROR(__xludf.DUMMYFUNCTION("""COMPUTED_VALUE"""),"Brand ambassador launch")</f>
        <v>Brand ambassador launch</v>
      </c>
      <c r="G267" s="212" t="str">
        <f>IFERROR(__xludf.DUMMYFUNCTION("""COMPUTED_VALUE"""),"BA Launch Invite - Mum - On+Off (FB)")</f>
        <v>BA Launch Invite - Mum - On+Off (FB)</v>
      </c>
      <c r="H267" s="212" t="str">
        <f>IFERROR(__xludf.DUMMYFUNCTION("""COMPUTED_VALUE"""),"Mumbai_Purchasers_OnOff")</f>
        <v>Mumbai_Purchasers_OnOff</v>
      </c>
      <c r="I267" s="212" t="str">
        <f>IFERROR(__xludf.DUMMYFUNCTION("""COMPUTED_VALUE"""),"WA Undelivered")</f>
        <v>WA Undelivered</v>
      </c>
      <c r="J267" s="213">
        <f>IFERROR(__xludf.DUMMYFUNCTION("""COMPUTED_VALUE"""),22914.0)</f>
        <v>22914</v>
      </c>
      <c r="K267" s="213">
        <f>IFERROR(__xludf.DUMMYFUNCTION("""COMPUTED_VALUE"""),12984.0)</f>
        <v>12984</v>
      </c>
      <c r="L267" s="214">
        <f>IFERROR(__xludf.DUMMYFUNCTION("""COMPUTED_VALUE"""),0.5666)</f>
        <v>0.5666</v>
      </c>
      <c r="M267" s="213"/>
      <c r="N267" s="214"/>
      <c r="O267" s="213">
        <f>IFERROR(__xludf.DUMMYFUNCTION("""COMPUTED_VALUE"""),0.0)</f>
        <v>0</v>
      </c>
      <c r="P267" s="213"/>
      <c r="Q267" s="214">
        <f>IFERROR(__xludf.DUMMYFUNCTION("""COMPUTED_VALUE"""),0.0)</f>
        <v>0</v>
      </c>
      <c r="R267" s="214"/>
      <c r="S267" s="213">
        <f>IFERROR(__xludf.DUMMYFUNCTION("""COMPUTED_VALUE"""),5.0)</f>
        <v>5</v>
      </c>
      <c r="T267" s="213">
        <f>IFERROR(__xludf.DUMMYFUNCTION("""COMPUTED_VALUE"""),13.0)</f>
        <v>13</v>
      </c>
      <c r="U267" s="270">
        <f>IFERROR(__xludf.DUMMYFUNCTION("""COMPUTED_VALUE"""),29522.0)</f>
        <v>29522</v>
      </c>
      <c r="V267" s="271" t="str">
        <f>IFERROR(__xludf.DUMMYFUNCTION("""COMPUTED_VALUE"""),"overall")</f>
        <v>overall</v>
      </c>
      <c r="W267" s="272" t="str">
        <f>IFERROR(__xludf.DUMMYFUNCTION("""COMPUTED_VALUE"""),"SMS")</f>
        <v>SMS</v>
      </c>
      <c r="X267" s="272" t="str">
        <f>IFERROR(__xludf.DUMMYFUNCTION("""COMPUTED_VALUE"""),"No brief")</f>
        <v>No brief</v>
      </c>
      <c r="Y267" s="272" t="str">
        <f>IFERROR(__xludf.DUMMYFUNCTION("""COMPUTED_VALUE"""),"9th - 12th April")</f>
        <v>9th - 12th April</v>
      </c>
      <c r="Z267" s="272" t="str">
        <f>IFERROR(__xludf.DUMMYFUNCTION("""COMPUTED_VALUE"""),"69d4b83fe411202864cfd3fe")</f>
        <v>69d4b83fe411202864cfd3fe</v>
      </c>
      <c r="AA267" s="272">
        <f>IFERROR(__xludf.DUMMYFUNCTION("""COMPUTED_VALUE"""),59.0)</f>
        <v>59</v>
      </c>
      <c r="AB267" s="272">
        <f>IFERROR(__xludf.DUMMYFUNCTION("""COMPUTED_VALUE"""),15.0)</f>
        <v>15</v>
      </c>
      <c r="AC267" s="272">
        <f>IFERROR(__xludf.DUMMYFUNCTION("""COMPUTED_VALUE"""),44.0)</f>
        <v>44</v>
      </c>
      <c r="AD267" s="272">
        <f>IFERROR(__xludf.DUMMYFUNCTION("""COMPUTED_VALUE"""),895196.0)</f>
        <v>895196</v>
      </c>
      <c r="AE267" s="272">
        <f>IFERROR(__xludf.DUMMYFUNCTION("""COMPUTED_VALUE"""),167480.0)</f>
        <v>167480</v>
      </c>
      <c r="AF267" s="272">
        <f>IFERROR(__xludf.DUMMYFUNCTION("""COMPUTED_VALUE"""),727716.0)</f>
        <v>727716</v>
      </c>
      <c r="AG267" s="208"/>
      <c r="AH267" s="208"/>
      <c r="AI267" s="208"/>
      <c r="AJ267" s="208"/>
      <c r="AK267" s="208"/>
    </row>
    <row r="268">
      <c r="A268" s="209">
        <f>IFERROR(__xludf.DUMMYFUNCTION("""COMPUTED_VALUE"""),46121.0)</f>
        <v>46121</v>
      </c>
      <c r="B268" s="210">
        <f>IFERROR(__xludf.DUMMYFUNCTION("""COMPUTED_VALUE"""),0.8333333333321207)</f>
        <v>0.8333333333</v>
      </c>
      <c r="C268" s="211" t="str">
        <f>IFERROR(__xludf.DUMMYFUNCTION("""COMPUTED_VALUE"""),"Sms")</f>
        <v>Sms</v>
      </c>
      <c r="D268" s="211" t="str">
        <f>IFERROR(__xludf.DUMMYFUNCTION("""COMPUTED_VALUE"""),"Fallback campaign")</f>
        <v>Fallback campaign</v>
      </c>
      <c r="E268" s="211" t="str">
        <f>IFERROR(__xludf.DUMMYFUNCTION("""COMPUTED_VALUE"""),"VS")</f>
        <v>VS</v>
      </c>
      <c r="F268" s="211" t="str">
        <f>IFERROR(__xludf.DUMMYFUNCTION("""COMPUTED_VALUE"""),"Brand ambassador launch")</f>
        <v>Brand ambassador launch</v>
      </c>
      <c r="G268" s="212" t="str">
        <f>IFERROR(__xludf.DUMMYFUNCTION("""COMPUTED_VALUE"""),"BA Launch - FP (FB)")</f>
        <v>BA Launch - FP (FB)</v>
      </c>
      <c r="H268" s="212" t="str">
        <f>IFERROR(__xludf.DUMMYFUNCTION("""COMPUTED_VALUE"""),"VS_Map_FullPriceUsers_Online")</f>
        <v>VS_Map_FullPriceUsers_Online</v>
      </c>
      <c r="I268" s="212" t="str">
        <f>IFERROR(__xludf.DUMMYFUNCTION("""COMPUTED_VALUE"""),"WA Undelivered")</f>
        <v>WA Undelivered</v>
      </c>
      <c r="J268" s="213">
        <f>IFERROR(__xludf.DUMMYFUNCTION("""COMPUTED_VALUE"""),1619.0)</f>
        <v>1619</v>
      </c>
      <c r="K268" s="213">
        <f>IFERROR(__xludf.DUMMYFUNCTION("""COMPUTED_VALUE"""),911.0)</f>
        <v>911</v>
      </c>
      <c r="L268" s="214">
        <f>IFERROR(__xludf.DUMMYFUNCTION("""COMPUTED_VALUE"""),0.5627)</f>
        <v>0.5627</v>
      </c>
      <c r="M268" s="213"/>
      <c r="N268" s="214"/>
      <c r="O268" s="213">
        <f>IFERROR(__xludf.DUMMYFUNCTION("""COMPUTED_VALUE"""),6.0)</f>
        <v>6</v>
      </c>
      <c r="P268" s="213"/>
      <c r="Q268" s="214">
        <f>IFERROR(__xludf.DUMMYFUNCTION("""COMPUTED_VALUE"""),0.0066)</f>
        <v>0.0066</v>
      </c>
      <c r="R268" s="214"/>
      <c r="S268" s="213">
        <f>IFERROR(__xludf.DUMMYFUNCTION("""COMPUTED_VALUE"""),0.0)</f>
        <v>0</v>
      </c>
      <c r="T268" s="213">
        <f>IFERROR(__xludf.DUMMYFUNCTION("""COMPUTED_VALUE"""),0.0)</f>
        <v>0</v>
      </c>
      <c r="U268" s="270">
        <f>IFERROR(__xludf.DUMMYFUNCTION("""COMPUTED_VALUE"""),0.0)</f>
        <v>0</v>
      </c>
      <c r="V268" s="271" t="str">
        <f>IFERROR(__xludf.DUMMYFUNCTION("""COMPUTED_VALUE"""),"online")</f>
        <v>online</v>
      </c>
      <c r="W268" s="272" t="str">
        <f>IFERROR(__xludf.DUMMYFUNCTION("""COMPUTED_VALUE"""),"SMS")</f>
        <v>SMS</v>
      </c>
      <c r="X268" s="272" t="str">
        <f>IFERROR(__xludf.DUMMYFUNCTION("""COMPUTED_VALUE"""),"No brief")</f>
        <v>No brief</v>
      </c>
      <c r="Y268" s="272" t="str">
        <f>IFERROR(__xludf.DUMMYFUNCTION("""COMPUTED_VALUE"""),"9th - 12th April")</f>
        <v>9th - 12th April</v>
      </c>
      <c r="Z268" s="272" t="str">
        <f>IFERROR(__xludf.DUMMYFUNCTION("""COMPUTED_VALUE"""),"69d4df0d0d2f028abf40049f")</f>
        <v>69d4df0d0d2f028abf40049f</v>
      </c>
      <c r="AA268" s="272">
        <f>IFERROR(__xludf.DUMMYFUNCTION("""COMPUTED_VALUE"""),2.0)</f>
        <v>2</v>
      </c>
      <c r="AB268" s="272">
        <f>IFERROR(__xludf.DUMMYFUNCTION("""COMPUTED_VALUE"""),2.0)</f>
        <v>2</v>
      </c>
      <c r="AC268" s="272"/>
      <c r="AD268" s="272">
        <f>IFERROR(__xludf.DUMMYFUNCTION("""COMPUTED_VALUE"""),11673.0)</f>
        <v>11673</v>
      </c>
      <c r="AE268" s="272">
        <f>IFERROR(__xludf.DUMMYFUNCTION("""COMPUTED_VALUE"""),11673.0)</f>
        <v>11673</v>
      </c>
      <c r="AF268" s="272"/>
      <c r="AG268" s="208"/>
      <c r="AH268" s="208"/>
      <c r="AI268" s="208"/>
      <c r="AJ268" s="208"/>
      <c r="AK268" s="208"/>
    </row>
    <row r="269">
      <c r="A269" s="209">
        <f>IFERROR(__xludf.DUMMYFUNCTION("""COMPUTED_VALUE"""),46121.0)</f>
        <v>46121</v>
      </c>
      <c r="B269" s="210">
        <f>IFERROR(__xludf.DUMMYFUNCTION("""COMPUTED_VALUE"""),0.8333333333321207)</f>
        <v>0.8333333333</v>
      </c>
      <c r="C269" s="211" t="str">
        <f>IFERROR(__xludf.DUMMYFUNCTION("""COMPUTED_VALUE"""),"Sms")</f>
        <v>Sms</v>
      </c>
      <c r="D269" s="211" t="str">
        <f>IFERROR(__xludf.DUMMYFUNCTION("""COMPUTED_VALUE"""),"Fallback campaign")</f>
        <v>Fallback campaign</v>
      </c>
      <c r="E269" s="211" t="str">
        <f>IFERROR(__xludf.DUMMYFUNCTION("""COMPUTED_VALUE"""),"VS")</f>
        <v>VS</v>
      </c>
      <c r="F269" s="211" t="str">
        <f>IFERROR(__xludf.DUMMYFUNCTION("""COMPUTED_VALUE"""),"Brand ambassador launch")</f>
        <v>Brand ambassador launch</v>
      </c>
      <c r="G269" s="212" t="str">
        <f>IFERROR(__xludf.DUMMYFUNCTION("""COMPUTED_VALUE"""),"BA Launch - Repeat (FB)")</f>
        <v>BA Launch - Repeat (FB)</v>
      </c>
      <c r="H269" s="212" t="str">
        <f>IFERROR(__xludf.DUMMYFUNCTION("""COMPUTED_VALUE"""),"VS_Repeat_On")</f>
        <v>VS_Repeat_On</v>
      </c>
      <c r="I269" s="212" t="str">
        <f>IFERROR(__xludf.DUMMYFUNCTION("""COMPUTED_VALUE"""),"WA Undelivered")</f>
        <v>WA Undelivered</v>
      </c>
      <c r="J269" s="213">
        <f>IFERROR(__xludf.DUMMYFUNCTION("""COMPUTED_VALUE"""),20337.0)</f>
        <v>20337</v>
      </c>
      <c r="K269" s="213">
        <f>IFERROR(__xludf.DUMMYFUNCTION("""COMPUTED_VALUE"""),12173.0)</f>
        <v>12173</v>
      </c>
      <c r="L269" s="214">
        <f>IFERROR(__xludf.DUMMYFUNCTION("""COMPUTED_VALUE"""),0.5986)</f>
        <v>0.5986</v>
      </c>
      <c r="M269" s="213"/>
      <c r="N269" s="214"/>
      <c r="O269" s="213">
        <f>IFERROR(__xludf.DUMMYFUNCTION("""COMPUTED_VALUE"""),58.0)</f>
        <v>58</v>
      </c>
      <c r="P269" s="213"/>
      <c r="Q269" s="214">
        <f>IFERROR(__xludf.DUMMYFUNCTION("""COMPUTED_VALUE"""),0.0048)</f>
        <v>0.0048</v>
      </c>
      <c r="R269" s="214"/>
      <c r="S269" s="213">
        <f>IFERROR(__xludf.DUMMYFUNCTION("""COMPUTED_VALUE"""),11.0)</f>
        <v>11</v>
      </c>
      <c r="T269" s="213">
        <f>IFERROR(__xludf.DUMMYFUNCTION("""COMPUTED_VALUE"""),29.0)</f>
        <v>29</v>
      </c>
      <c r="U269" s="270">
        <f>IFERROR(__xludf.DUMMYFUNCTION("""COMPUTED_VALUE"""),71025.0)</f>
        <v>71025</v>
      </c>
      <c r="V269" s="271" t="str">
        <f>IFERROR(__xludf.DUMMYFUNCTION("""COMPUTED_VALUE"""),"online")</f>
        <v>online</v>
      </c>
      <c r="W269" s="272" t="str">
        <f>IFERROR(__xludf.DUMMYFUNCTION("""COMPUTED_VALUE"""),"SMS")</f>
        <v>SMS</v>
      </c>
      <c r="X269" s="272" t="str">
        <f>IFERROR(__xludf.DUMMYFUNCTION("""COMPUTED_VALUE"""),"Repeat")</f>
        <v>Repeat</v>
      </c>
      <c r="Y269" s="272" t="str">
        <f>IFERROR(__xludf.DUMMYFUNCTION("""COMPUTED_VALUE"""),"9th - 12th April")</f>
        <v>9th - 12th April</v>
      </c>
      <c r="Z269" s="272" t="str">
        <f>IFERROR(__xludf.DUMMYFUNCTION("""COMPUTED_VALUE"""),"69d4e08c755ae7638e00940c")</f>
        <v>69d4e08c755ae7638e00940c</v>
      </c>
      <c r="AA269" s="272">
        <f>IFERROR(__xludf.DUMMYFUNCTION("""COMPUTED_VALUE"""),31.0)</f>
        <v>31</v>
      </c>
      <c r="AB269" s="272">
        <f>IFERROR(__xludf.DUMMYFUNCTION("""COMPUTED_VALUE"""),31.0)</f>
        <v>31</v>
      </c>
      <c r="AC269" s="272"/>
      <c r="AD269" s="272">
        <f>IFERROR(__xludf.DUMMYFUNCTION("""COMPUTED_VALUE"""),236744.0)</f>
        <v>236744</v>
      </c>
      <c r="AE269" s="272">
        <f>IFERROR(__xludf.DUMMYFUNCTION("""COMPUTED_VALUE"""),236744.0)</f>
        <v>236744</v>
      </c>
      <c r="AF269" s="272"/>
      <c r="AG269" s="208"/>
      <c r="AH269" s="208"/>
      <c r="AI269" s="208"/>
      <c r="AJ269" s="208"/>
      <c r="AK269" s="208"/>
    </row>
    <row r="270">
      <c r="A270" s="209">
        <f>IFERROR(__xludf.DUMMYFUNCTION("""COMPUTED_VALUE"""),46121.0)</f>
        <v>46121</v>
      </c>
      <c r="B270" s="210">
        <f>IFERROR(__xludf.DUMMYFUNCTION("""COMPUTED_VALUE"""),0.8333333333321207)</f>
        <v>0.8333333333</v>
      </c>
      <c r="C270" s="211" t="str">
        <f>IFERROR(__xludf.DUMMYFUNCTION("""COMPUTED_VALUE"""),"Sms")</f>
        <v>Sms</v>
      </c>
      <c r="D270" s="211" t="str">
        <f>IFERROR(__xludf.DUMMYFUNCTION("""COMPUTED_VALUE"""),"Fallback campaign")</f>
        <v>Fallback campaign</v>
      </c>
      <c r="E270" s="211" t="str">
        <f>IFERROR(__xludf.DUMMYFUNCTION("""COMPUTED_VALUE"""),"VS")</f>
        <v>VS</v>
      </c>
      <c r="F270" s="211" t="str">
        <f>IFERROR(__xludf.DUMMYFUNCTION("""COMPUTED_VALUE"""),"Brand ambassador launch")</f>
        <v>Brand ambassador launch</v>
      </c>
      <c r="G270" s="212" t="str">
        <f>IFERROR(__xludf.DUMMYFUNCTION("""COMPUTED_VALUE"""),"BA Launch - Recent (FB)")</f>
        <v>BA Launch - Recent (FB)</v>
      </c>
      <c r="H270" s="212" t="str">
        <f>IFERROR(__xludf.DUMMYFUNCTION("""COMPUTED_VALUE"""),"VS_Recent_On")</f>
        <v>VS_Recent_On</v>
      </c>
      <c r="I270" s="212" t="str">
        <f>IFERROR(__xludf.DUMMYFUNCTION("""COMPUTED_VALUE"""),"WA Undelivered")</f>
        <v>WA Undelivered</v>
      </c>
      <c r="J270" s="213">
        <f>IFERROR(__xludf.DUMMYFUNCTION("""COMPUTED_VALUE"""),2235.0)</f>
        <v>2235</v>
      </c>
      <c r="K270" s="213">
        <f>IFERROR(__xludf.DUMMYFUNCTION("""COMPUTED_VALUE"""),1391.0)</f>
        <v>1391</v>
      </c>
      <c r="L270" s="214">
        <f>IFERROR(__xludf.DUMMYFUNCTION("""COMPUTED_VALUE"""),0.6224)</f>
        <v>0.6224</v>
      </c>
      <c r="M270" s="213"/>
      <c r="N270" s="214"/>
      <c r="O270" s="213">
        <f>IFERROR(__xludf.DUMMYFUNCTION("""COMPUTED_VALUE"""),9.0)</f>
        <v>9</v>
      </c>
      <c r="P270" s="213"/>
      <c r="Q270" s="214">
        <f>IFERROR(__xludf.DUMMYFUNCTION("""COMPUTED_VALUE"""),0.0065)</f>
        <v>0.0065</v>
      </c>
      <c r="R270" s="214"/>
      <c r="S270" s="213">
        <f>IFERROR(__xludf.DUMMYFUNCTION("""COMPUTED_VALUE"""),1.0)</f>
        <v>1</v>
      </c>
      <c r="T270" s="213">
        <f>IFERROR(__xludf.DUMMYFUNCTION("""COMPUTED_VALUE"""),10.0)</f>
        <v>10</v>
      </c>
      <c r="U270" s="270">
        <f>IFERROR(__xludf.DUMMYFUNCTION("""COMPUTED_VALUE"""),8348.0)</f>
        <v>8348</v>
      </c>
      <c r="V270" s="271" t="str">
        <f>IFERROR(__xludf.DUMMYFUNCTION("""COMPUTED_VALUE"""),"online")</f>
        <v>online</v>
      </c>
      <c r="W270" s="272" t="str">
        <f>IFERROR(__xludf.DUMMYFUNCTION("""COMPUTED_VALUE"""),"SMS")</f>
        <v>SMS</v>
      </c>
      <c r="X270" s="272" t="str">
        <f>IFERROR(__xludf.DUMMYFUNCTION("""COMPUTED_VALUE"""),"Recent")</f>
        <v>Recent</v>
      </c>
      <c r="Y270" s="272" t="str">
        <f>IFERROR(__xludf.DUMMYFUNCTION("""COMPUTED_VALUE"""),"9th - 12th April")</f>
        <v>9th - 12th April</v>
      </c>
      <c r="Z270" s="272" t="str">
        <f>IFERROR(__xludf.DUMMYFUNCTION("""COMPUTED_VALUE"""),"69d4e228d1bce210cf1ff81d")</f>
        <v>69d4e228d1bce210cf1ff81d</v>
      </c>
      <c r="AA270" s="272">
        <f>IFERROR(__xludf.DUMMYFUNCTION("""COMPUTED_VALUE"""),3.0)</f>
        <v>3</v>
      </c>
      <c r="AB270" s="272">
        <f>IFERROR(__xludf.DUMMYFUNCTION("""COMPUTED_VALUE"""),3.0)</f>
        <v>3</v>
      </c>
      <c r="AC270" s="272"/>
      <c r="AD270" s="272">
        <f>IFERROR(__xludf.DUMMYFUNCTION("""COMPUTED_VALUE"""),12995.0)</f>
        <v>12995</v>
      </c>
      <c r="AE270" s="272">
        <f>IFERROR(__xludf.DUMMYFUNCTION("""COMPUTED_VALUE"""),12995.0)</f>
        <v>12995</v>
      </c>
      <c r="AF270" s="272"/>
      <c r="AG270" s="208"/>
      <c r="AH270" s="208"/>
      <c r="AI270" s="208"/>
      <c r="AJ270" s="208"/>
      <c r="AK270" s="208"/>
    </row>
    <row r="271">
      <c r="A271" s="209">
        <f>IFERROR(__xludf.DUMMYFUNCTION("""COMPUTED_VALUE"""),46121.0)</f>
        <v>46121</v>
      </c>
      <c r="B271" s="210">
        <f>IFERROR(__xludf.DUMMYFUNCTION("""COMPUTED_VALUE"""),0.8333333333321207)</f>
        <v>0.8333333333</v>
      </c>
      <c r="C271" s="211" t="str">
        <f>IFERROR(__xludf.DUMMYFUNCTION("""COMPUTED_VALUE"""),"Sms")</f>
        <v>Sms</v>
      </c>
      <c r="D271" s="211" t="str">
        <f>IFERROR(__xludf.DUMMYFUNCTION("""COMPUTED_VALUE"""),"Fallback campaign")</f>
        <v>Fallback campaign</v>
      </c>
      <c r="E271" s="211" t="str">
        <f>IFERROR(__xludf.DUMMYFUNCTION("""COMPUTED_VALUE"""),"VS")</f>
        <v>VS</v>
      </c>
      <c r="F271" s="211" t="str">
        <f>IFERROR(__xludf.DUMMYFUNCTION("""COMPUTED_VALUE"""),"Brand ambassador launch")</f>
        <v>Brand ambassador launch</v>
      </c>
      <c r="G271" s="212" t="str">
        <f>IFERROR(__xludf.DUMMYFUNCTION("""COMPUTED_VALUE"""),"BA Launch - Dormant (FB)")</f>
        <v>BA Launch - Dormant (FB)</v>
      </c>
      <c r="H271" s="212" t="str">
        <f>IFERROR(__xludf.DUMMYFUNCTION("""COMPUTED_VALUE"""),"VS_Dormant_Base_On")</f>
        <v>VS_Dormant_Base_On</v>
      </c>
      <c r="I271" s="212" t="str">
        <f>IFERROR(__xludf.DUMMYFUNCTION("""COMPUTED_VALUE"""),"WA Undelivered")</f>
        <v>WA Undelivered</v>
      </c>
      <c r="J271" s="213">
        <f>IFERROR(__xludf.DUMMYFUNCTION("""COMPUTED_VALUE"""),16924.0)</f>
        <v>16924</v>
      </c>
      <c r="K271" s="213">
        <f>IFERROR(__xludf.DUMMYFUNCTION("""COMPUTED_VALUE"""),11185.0)</f>
        <v>11185</v>
      </c>
      <c r="L271" s="214">
        <f>IFERROR(__xludf.DUMMYFUNCTION("""COMPUTED_VALUE"""),0.6609)</f>
        <v>0.6609</v>
      </c>
      <c r="M271" s="213"/>
      <c r="N271" s="214"/>
      <c r="O271" s="213">
        <f>IFERROR(__xludf.DUMMYFUNCTION("""COMPUTED_VALUE"""),33.0)</f>
        <v>33</v>
      </c>
      <c r="P271" s="213"/>
      <c r="Q271" s="214">
        <f>IFERROR(__xludf.DUMMYFUNCTION("""COMPUTED_VALUE"""),0.003)</f>
        <v>0.003</v>
      </c>
      <c r="R271" s="214"/>
      <c r="S271" s="213">
        <f>IFERROR(__xludf.DUMMYFUNCTION("""COMPUTED_VALUE"""),2.0)</f>
        <v>2</v>
      </c>
      <c r="T271" s="213">
        <f>IFERROR(__xludf.DUMMYFUNCTION("""COMPUTED_VALUE"""),5.0)</f>
        <v>5</v>
      </c>
      <c r="U271" s="270">
        <f>IFERROR(__xludf.DUMMYFUNCTION("""COMPUTED_VALUE"""),4797.0)</f>
        <v>4797</v>
      </c>
      <c r="V271" s="271" t="str">
        <f>IFERROR(__xludf.DUMMYFUNCTION("""COMPUTED_VALUE"""),"online")</f>
        <v>online</v>
      </c>
      <c r="W271" s="272" t="str">
        <f>IFERROR(__xludf.DUMMYFUNCTION("""COMPUTED_VALUE"""),"SMS")</f>
        <v>SMS</v>
      </c>
      <c r="X271" s="272" t="str">
        <f>IFERROR(__xludf.DUMMYFUNCTION("""COMPUTED_VALUE"""),"Dormant")</f>
        <v>Dormant</v>
      </c>
      <c r="Y271" s="272" t="str">
        <f>IFERROR(__xludf.DUMMYFUNCTION("""COMPUTED_VALUE"""),"9th - 12th April")</f>
        <v>9th - 12th April</v>
      </c>
      <c r="Z271" s="272" t="str">
        <f>IFERROR(__xludf.DUMMYFUNCTION("""COMPUTED_VALUE"""),"69d4e33c5b4bd421d64744ea")</f>
        <v>69d4e33c5b4bd421d64744ea</v>
      </c>
      <c r="AA271" s="272">
        <f>IFERROR(__xludf.DUMMYFUNCTION("""COMPUTED_VALUE"""),9.0)</f>
        <v>9</v>
      </c>
      <c r="AB271" s="272">
        <f>IFERROR(__xludf.DUMMYFUNCTION("""COMPUTED_VALUE"""),9.0)</f>
        <v>9</v>
      </c>
      <c r="AC271" s="272"/>
      <c r="AD271" s="272">
        <f>IFERROR(__xludf.DUMMYFUNCTION("""COMPUTED_VALUE"""),27770.0)</f>
        <v>27770</v>
      </c>
      <c r="AE271" s="272">
        <f>IFERROR(__xludf.DUMMYFUNCTION("""COMPUTED_VALUE"""),27770.0)</f>
        <v>27770</v>
      </c>
      <c r="AF271" s="272"/>
      <c r="AG271" s="208"/>
      <c r="AH271" s="208"/>
      <c r="AI271" s="208"/>
      <c r="AJ271" s="208"/>
      <c r="AK271" s="208"/>
    </row>
    <row r="272">
      <c r="A272" s="209">
        <f>IFERROR(__xludf.DUMMYFUNCTION("""COMPUTED_VALUE"""),46121.0)</f>
        <v>46121</v>
      </c>
      <c r="B272" s="210">
        <f>IFERROR(__xludf.DUMMYFUNCTION("""COMPUTED_VALUE"""),0.8333333333321207)</f>
        <v>0.8333333333</v>
      </c>
      <c r="C272" s="211" t="str">
        <f>IFERROR(__xludf.DUMMYFUNCTION("""COMPUTED_VALUE"""),"Sms")</f>
        <v>Sms</v>
      </c>
      <c r="D272" s="211" t="str">
        <f>IFERROR(__xludf.DUMMYFUNCTION("""COMPUTED_VALUE"""),"Fallback campaign")</f>
        <v>Fallback campaign</v>
      </c>
      <c r="E272" s="211" t="str">
        <f>IFERROR(__xludf.DUMMYFUNCTION("""COMPUTED_VALUE"""),"VS")</f>
        <v>VS</v>
      </c>
      <c r="F272" s="211" t="str">
        <f>IFERROR(__xludf.DUMMYFUNCTION("""COMPUTED_VALUE"""),"Brand ambassador launch")</f>
        <v>Brand ambassador launch</v>
      </c>
      <c r="G272" s="212" t="str">
        <f>IFERROR(__xludf.DUMMYFUNCTION("""COMPUTED_VALUE"""),"BA Launch - Recent - Off (FB)")</f>
        <v>BA Launch - Recent - Off (FB)</v>
      </c>
      <c r="H272" s="212" t="str">
        <f>IFERROR(__xludf.DUMMYFUNCTION("""COMPUTED_VALUE"""),"VS_Recent_Off")</f>
        <v>VS_Recent_Off</v>
      </c>
      <c r="I272" s="212" t="str">
        <f>IFERROR(__xludf.DUMMYFUNCTION("""COMPUTED_VALUE"""),"WA Undelivered")</f>
        <v>WA Undelivered</v>
      </c>
      <c r="J272" s="213">
        <f>IFERROR(__xludf.DUMMYFUNCTION("""COMPUTED_VALUE"""),2921.0)</f>
        <v>2921</v>
      </c>
      <c r="K272" s="213">
        <f>IFERROR(__xludf.DUMMYFUNCTION("""COMPUTED_VALUE"""),2006.0)</f>
        <v>2006</v>
      </c>
      <c r="L272" s="214">
        <f>IFERROR(__xludf.DUMMYFUNCTION("""COMPUTED_VALUE"""),0.6868)</f>
        <v>0.6868</v>
      </c>
      <c r="M272" s="213"/>
      <c r="N272" s="214"/>
      <c r="O272" s="213">
        <f>IFERROR(__xludf.DUMMYFUNCTION("""COMPUTED_VALUE"""),2.0)</f>
        <v>2</v>
      </c>
      <c r="P272" s="213"/>
      <c r="Q272" s="214">
        <f>IFERROR(__xludf.DUMMYFUNCTION("""COMPUTED_VALUE"""),0.001)</f>
        <v>0.001</v>
      </c>
      <c r="R272" s="214"/>
      <c r="S272" s="213">
        <f>IFERROR(__xludf.DUMMYFUNCTION("""COMPUTED_VALUE"""),1.0)</f>
        <v>1</v>
      </c>
      <c r="T272" s="213">
        <f>IFERROR(__xludf.DUMMYFUNCTION("""COMPUTED_VALUE"""),0.0)</f>
        <v>0</v>
      </c>
      <c r="U272" s="270">
        <f>IFERROR(__xludf.DUMMYFUNCTION("""COMPUTED_VALUE"""),2699.0)</f>
        <v>2699</v>
      </c>
      <c r="V272" s="271" t="str">
        <f>IFERROR(__xludf.DUMMYFUNCTION("""COMPUTED_VALUE"""),"offline")</f>
        <v>offline</v>
      </c>
      <c r="W272" s="272" t="str">
        <f>IFERROR(__xludf.DUMMYFUNCTION("""COMPUTED_VALUE"""),"SMS")</f>
        <v>SMS</v>
      </c>
      <c r="X272" s="272" t="str">
        <f>IFERROR(__xludf.DUMMYFUNCTION("""COMPUTED_VALUE"""),"Recent")</f>
        <v>Recent</v>
      </c>
      <c r="Y272" s="272" t="str">
        <f>IFERROR(__xludf.DUMMYFUNCTION("""COMPUTED_VALUE"""),"9th - 12th April")</f>
        <v>9th - 12th April</v>
      </c>
      <c r="Z272" s="272" t="str">
        <f>IFERROR(__xludf.DUMMYFUNCTION("""COMPUTED_VALUE"""),"69d4e387904e4caefd15c70f")</f>
        <v>69d4e387904e4caefd15c70f</v>
      </c>
      <c r="AA272" s="272">
        <f>IFERROR(__xludf.DUMMYFUNCTION("""COMPUTED_VALUE"""),5.0)</f>
        <v>5</v>
      </c>
      <c r="AB272" s="272"/>
      <c r="AC272" s="272">
        <f>IFERROR(__xludf.DUMMYFUNCTION("""COMPUTED_VALUE"""),5.0)</f>
        <v>5</v>
      </c>
      <c r="AD272" s="272">
        <f>IFERROR(__xludf.DUMMYFUNCTION("""COMPUTED_VALUE"""),28894.0)</f>
        <v>28894</v>
      </c>
      <c r="AE272" s="272"/>
      <c r="AF272" s="272">
        <f>IFERROR(__xludf.DUMMYFUNCTION("""COMPUTED_VALUE"""),28894.0)</f>
        <v>28894</v>
      </c>
      <c r="AG272" s="208"/>
      <c r="AH272" s="208"/>
      <c r="AI272" s="208"/>
      <c r="AJ272" s="208"/>
      <c r="AK272" s="208"/>
    </row>
    <row r="273">
      <c r="A273" s="209">
        <f>IFERROR(__xludf.DUMMYFUNCTION("""COMPUTED_VALUE"""),46121.0)</f>
        <v>46121</v>
      </c>
      <c r="B273" s="210">
        <f>IFERROR(__xludf.DUMMYFUNCTION("""COMPUTED_VALUE"""),0.8333333333321207)</f>
        <v>0.8333333333</v>
      </c>
      <c r="C273" s="211" t="str">
        <f>IFERROR(__xludf.DUMMYFUNCTION("""COMPUTED_VALUE"""),"Sms")</f>
        <v>Sms</v>
      </c>
      <c r="D273" s="211" t="str">
        <f>IFERROR(__xludf.DUMMYFUNCTION("""COMPUTED_VALUE"""),"Fallback campaign")</f>
        <v>Fallback campaign</v>
      </c>
      <c r="E273" s="211" t="str">
        <f>IFERROR(__xludf.DUMMYFUNCTION("""COMPUTED_VALUE"""),"VS")</f>
        <v>VS</v>
      </c>
      <c r="F273" s="211" t="str">
        <f>IFERROR(__xludf.DUMMYFUNCTION("""COMPUTED_VALUE"""),"Brand ambassador launch")</f>
        <v>Brand ambassador launch</v>
      </c>
      <c r="G273" s="212" t="str">
        <f>IFERROR(__xludf.DUMMYFUNCTION("""COMPUTED_VALUE"""),"BA Launch - Churned High LTV (FB)")</f>
        <v>BA Launch - Churned High LTV (FB)</v>
      </c>
      <c r="H273" s="212" t="str">
        <f>IFERROR(__xludf.DUMMYFUNCTION("""COMPUTED_VALUE"""),"Churned_HighLTV_On")</f>
        <v>Churned_HighLTV_On</v>
      </c>
      <c r="I273" s="212" t="str">
        <f>IFERROR(__xludf.DUMMYFUNCTION("""COMPUTED_VALUE"""),"WA Undelivered")</f>
        <v>WA Undelivered</v>
      </c>
      <c r="J273" s="213">
        <f>IFERROR(__xludf.DUMMYFUNCTION("""COMPUTED_VALUE"""),1189.0)</f>
        <v>1189</v>
      </c>
      <c r="K273" s="213">
        <f>IFERROR(__xludf.DUMMYFUNCTION("""COMPUTED_VALUE"""),597.0)</f>
        <v>597</v>
      </c>
      <c r="L273" s="214">
        <f>IFERROR(__xludf.DUMMYFUNCTION("""COMPUTED_VALUE"""),0.5021)</f>
        <v>0.5021</v>
      </c>
      <c r="M273" s="213"/>
      <c r="N273" s="214"/>
      <c r="O273" s="213">
        <f>IFERROR(__xludf.DUMMYFUNCTION("""COMPUTED_VALUE"""),5.0)</f>
        <v>5</v>
      </c>
      <c r="P273" s="213"/>
      <c r="Q273" s="214">
        <f>IFERROR(__xludf.DUMMYFUNCTION("""COMPUTED_VALUE"""),0.0084)</f>
        <v>0.0084</v>
      </c>
      <c r="R273" s="214"/>
      <c r="S273" s="213">
        <f>IFERROR(__xludf.DUMMYFUNCTION("""COMPUTED_VALUE"""),0.0)</f>
        <v>0</v>
      </c>
      <c r="T273" s="213">
        <f>IFERROR(__xludf.DUMMYFUNCTION("""COMPUTED_VALUE"""),0.0)</f>
        <v>0</v>
      </c>
      <c r="U273" s="270">
        <f>IFERROR(__xludf.DUMMYFUNCTION("""COMPUTED_VALUE"""),0.0)</f>
        <v>0</v>
      </c>
      <c r="V273" s="271" t="str">
        <f>IFERROR(__xludf.DUMMYFUNCTION("""COMPUTED_VALUE"""),"online")</f>
        <v>online</v>
      </c>
      <c r="W273" s="272" t="str">
        <f>IFERROR(__xludf.DUMMYFUNCTION("""COMPUTED_VALUE"""),"SMS")</f>
        <v>SMS</v>
      </c>
      <c r="X273" s="272" t="str">
        <f>IFERROR(__xludf.DUMMYFUNCTION("""COMPUTED_VALUE"""),"Churned High LTV")</f>
        <v>Churned High LTV</v>
      </c>
      <c r="Y273" s="272" t="str">
        <f>IFERROR(__xludf.DUMMYFUNCTION("""COMPUTED_VALUE"""),"9th - 12th April")</f>
        <v>9th - 12th April</v>
      </c>
      <c r="Z273" s="272" t="str">
        <f>IFERROR(__xludf.DUMMYFUNCTION("""COMPUTED_VALUE"""),"69d4e451a74f4478f35a5f2b")</f>
        <v>69d4e451a74f4478f35a5f2b</v>
      </c>
      <c r="AA273" s="272">
        <f>IFERROR(__xludf.DUMMYFUNCTION("""COMPUTED_VALUE"""),0.0)</f>
        <v>0</v>
      </c>
      <c r="AB273" s="272">
        <f>IFERROR(__xludf.DUMMYFUNCTION("""COMPUTED_VALUE"""),0.0)</f>
        <v>0</v>
      </c>
      <c r="AC273" s="272"/>
      <c r="AD273" s="272">
        <f>IFERROR(__xludf.DUMMYFUNCTION("""COMPUTED_VALUE"""),0.0)</f>
        <v>0</v>
      </c>
      <c r="AE273" s="272">
        <f>IFERROR(__xludf.DUMMYFUNCTION("""COMPUTED_VALUE"""),0.0)</f>
        <v>0</v>
      </c>
      <c r="AF273" s="272"/>
      <c r="AG273" s="208"/>
      <c r="AH273" s="208"/>
      <c r="AI273" s="208"/>
      <c r="AJ273" s="208"/>
      <c r="AK273" s="208"/>
    </row>
    <row r="274">
      <c r="A274" s="209">
        <f>IFERROR(__xludf.DUMMYFUNCTION("""COMPUTED_VALUE"""),46121.0)</f>
        <v>46121</v>
      </c>
      <c r="B274" s="210">
        <f>IFERROR(__xludf.DUMMYFUNCTION("""COMPUTED_VALUE"""),0.8333333333321207)</f>
        <v>0.8333333333</v>
      </c>
      <c r="C274" s="211" t="str">
        <f>IFERROR(__xludf.DUMMYFUNCTION("""COMPUTED_VALUE"""),"Sms")</f>
        <v>Sms</v>
      </c>
      <c r="D274" s="211" t="str">
        <f>IFERROR(__xludf.DUMMYFUNCTION("""COMPUTED_VALUE"""),"Fallback campaign")</f>
        <v>Fallback campaign</v>
      </c>
      <c r="E274" s="211" t="str">
        <f>IFERROR(__xludf.DUMMYFUNCTION("""COMPUTED_VALUE"""),"VS")</f>
        <v>VS</v>
      </c>
      <c r="F274" s="211" t="str">
        <f>IFERROR(__xludf.DUMMYFUNCTION("""COMPUTED_VALUE"""),"Brand ambassador launch")</f>
        <v>Brand ambassador launch</v>
      </c>
      <c r="G274" s="212" t="str">
        <f>IFERROR(__xludf.DUMMYFUNCTION("""COMPUTED_VALUE"""),"BA Launch - Mumbai - Off (FB)")</f>
        <v>BA Launch - Mumbai - Off (FB)</v>
      </c>
      <c r="H274" s="212" t="str">
        <f>IFERROR(__xludf.DUMMYFUNCTION("""COMPUTED_VALUE"""),"Mumbai_Purchasers_Off")</f>
        <v>Mumbai_Purchasers_Off</v>
      </c>
      <c r="I274" s="212" t="str">
        <f>IFERROR(__xludf.DUMMYFUNCTION("""COMPUTED_VALUE"""),"WA Undelivered")</f>
        <v>WA Undelivered</v>
      </c>
      <c r="J274" s="213">
        <f>IFERROR(__xludf.DUMMYFUNCTION("""COMPUTED_VALUE"""),18790.0)</f>
        <v>18790</v>
      </c>
      <c r="K274" s="213">
        <f>IFERROR(__xludf.DUMMYFUNCTION("""COMPUTED_VALUE"""),10477.0)</f>
        <v>10477</v>
      </c>
      <c r="L274" s="214">
        <f>IFERROR(__xludf.DUMMYFUNCTION("""COMPUTED_VALUE"""),0.5576)</f>
        <v>0.5576</v>
      </c>
      <c r="M274" s="213"/>
      <c r="N274" s="214"/>
      <c r="O274" s="213">
        <f>IFERROR(__xludf.DUMMYFUNCTION("""COMPUTED_VALUE"""),39.0)</f>
        <v>39</v>
      </c>
      <c r="P274" s="213"/>
      <c r="Q274" s="214">
        <f>IFERROR(__xludf.DUMMYFUNCTION("""COMPUTED_VALUE"""),0.0037)</f>
        <v>0.0037</v>
      </c>
      <c r="R274" s="214"/>
      <c r="S274" s="213">
        <f>IFERROR(__xludf.DUMMYFUNCTION("""COMPUTED_VALUE"""),2.0)</f>
        <v>2</v>
      </c>
      <c r="T274" s="213">
        <f>IFERROR(__xludf.DUMMYFUNCTION("""COMPUTED_VALUE"""),7.0)</f>
        <v>7</v>
      </c>
      <c r="U274" s="270">
        <f>IFERROR(__xludf.DUMMYFUNCTION("""COMPUTED_VALUE"""),8948.0)</f>
        <v>8948</v>
      </c>
      <c r="V274" s="271" t="str">
        <f>IFERROR(__xludf.DUMMYFUNCTION("""COMPUTED_VALUE"""),"offline")</f>
        <v>offline</v>
      </c>
      <c r="W274" s="272" t="str">
        <f>IFERROR(__xludf.DUMMYFUNCTION("""COMPUTED_VALUE"""),"SMS")</f>
        <v>SMS</v>
      </c>
      <c r="X274" s="272" t="str">
        <f>IFERROR(__xludf.DUMMYFUNCTION("""COMPUTED_VALUE"""),"No brief")</f>
        <v>No brief</v>
      </c>
      <c r="Y274" s="272" t="str">
        <f>IFERROR(__xludf.DUMMYFUNCTION("""COMPUTED_VALUE"""),"9th - 12th April")</f>
        <v>9th - 12th April</v>
      </c>
      <c r="Z274" s="272" t="str">
        <f>IFERROR(__xludf.DUMMYFUNCTION("""COMPUTED_VALUE"""),"69d4e59361d2678f7e4c5679")</f>
        <v>69d4e59361d2678f7e4c5679</v>
      </c>
      <c r="AA274" s="272">
        <f>IFERROR(__xludf.DUMMYFUNCTION("""COMPUTED_VALUE"""),43.0)</f>
        <v>43</v>
      </c>
      <c r="AB274" s="272"/>
      <c r="AC274" s="272">
        <f>IFERROR(__xludf.DUMMYFUNCTION("""COMPUTED_VALUE"""),43.0)</f>
        <v>43</v>
      </c>
      <c r="AD274" s="272">
        <f>IFERROR(__xludf.DUMMYFUNCTION("""COMPUTED_VALUE"""),652462.0)</f>
        <v>652462</v>
      </c>
      <c r="AE274" s="272"/>
      <c r="AF274" s="272">
        <f>IFERROR(__xludf.DUMMYFUNCTION("""COMPUTED_VALUE"""),652462.0)</f>
        <v>652462</v>
      </c>
      <c r="AG274" s="208"/>
      <c r="AH274" s="208"/>
      <c r="AI274" s="208"/>
      <c r="AJ274" s="208"/>
      <c r="AK274" s="208"/>
    </row>
    <row r="275">
      <c r="A275" s="209">
        <f>IFERROR(__xludf.DUMMYFUNCTION("""COMPUTED_VALUE"""),46121.0)</f>
        <v>46121</v>
      </c>
      <c r="B275" s="210">
        <f>IFERROR(__xludf.DUMMYFUNCTION("""COMPUTED_VALUE"""),0.8333333333321207)</f>
        <v>0.8333333333</v>
      </c>
      <c r="C275" s="211" t="str">
        <f>IFERROR(__xludf.DUMMYFUNCTION("""COMPUTED_VALUE"""),"Sms")</f>
        <v>Sms</v>
      </c>
      <c r="D275" s="211" t="str">
        <f>IFERROR(__xludf.DUMMYFUNCTION("""COMPUTED_VALUE"""),"Fallback campaign")</f>
        <v>Fallback campaign</v>
      </c>
      <c r="E275" s="211" t="str">
        <f>IFERROR(__xludf.DUMMYFUNCTION("""COMPUTED_VALUE"""),"VS")</f>
        <v>VS</v>
      </c>
      <c r="F275" s="211" t="str">
        <f>IFERROR(__xludf.DUMMYFUNCTION("""COMPUTED_VALUE"""),"Brand ambassador launch")</f>
        <v>Brand ambassador launch</v>
      </c>
      <c r="G275" s="212" t="str">
        <f>IFERROR(__xludf.DUMMYFUNCTION("""COMPUTED_VALUE"""),"BA Launch - FP - Off (FB)")</f>
        <v>BA Launch - FP - Off (FB)</v>
      </c>
      <c r="H275" s="212" t="str">
        <f>IFERROR(__xludf.DUMMYFUNCTION("""COMPUTED_VALUE"""),"VS_Map_FullPriceUsers_Offline")</f>
        <v>VS_Map_FullPriceUsers_Offline</v>
      </c>
      <c r="I275" s="212" t="str">
        <f>IFERROR(__xludf.DUMMYFUNCTION("""COMPUTED_VALUE"""),"WA Undelivered")</f>
        <v>WA Undelivered</v>
      </c>
      <c r="J275" s="213">
        <f>IFERROR(__xludf.DUMMYFUNCTION("""COMPUTED_VALUE"""),1489.0)</f>
        <v>1489</v>
      </c>
      <c r="K275" s="213">
        <f>IFERROR(__xludf.DUMMYFUNCTION("""COMPUTED_VALUE"""),974.0)</f>
        <v>974</v>
      </c>
      <c r="L275" s="214">
        <f>IFERROR(__xludf.DUMMYFUNCTION("""COMPUTED_VALUE"""),0.6541)</f>
        <v>0.6541</v>
      </c>
      <c r="M275" s="213"/>
      <c r="N275" s="214"/>
      <c r="O275" s="213">
        <f>IFERROR(__xludf.DUMMYFUNCTION("""COMPUTED_VALUE"""),3.0)</f>
        <v>3</v>
      </c>
      <c r="P275" s="213"/>
      <c r="Q275" s="214">
        <f>IFERROR(__xludf.DUMMYFUNCTION("""COMPUTED_VALUE"""),0.0031)</f>
        <v>0.0031</v>
      </c>
      <c r="R275" s="214"/>
      <c r="S275" s="213">
        <f>IFERROR(__xludf.DUMMYFUNCTION("""COMPUTED_VALUE"""),0.0)</f>
        <v>0</v>
      </c>
      <c r="T275" s="213">
        <f>IFERROR(__xludf.DUMMYFUNCTION("""COMPUTED_VALUE"""),0.0)</f>
        <v>0</v>
      </c>
      <c r="U275" s="270">
        <f>IFERROR(__xludf.DUMMYFUNCTION("""COMPUTED_VALUE"""),0.0)</f>
        <v>0</v>
      </c>
      <c r="V275" s="271" t="str">
        <f>IFERROR(__xludf.DUMMYFUNCTION("""COMPUTED_VALUE"""),"offline")</f>
        <v>offline</v>
      </c>
      <c r="W275" s="272" t="str">
        <f>IFERROR(__xludf.DUMMYFUNCTION("""COMPUTED_VALUE"""),"SMS")</f>
        <v>SMS</v>
      </c>
      <c r="X275" s="272" t="str">
        <f>IFERROR(__xludf.DUMMYFUNCTION("""COMPUTED_VALUE"""),"Full Price")</f>
        <v>Full Price</v>
      </c>
      <c r="Y275" s="272" t="str">
        <f>IFERROR(__xludf.DUMMYFUNCTION("""COMPUTED_VALUE"""),"9th - 12th April")</f>
        <v>9th - 12th April</v>
      </c>
      <c r="Z275" s="272" t="str">
        <f>IFERROR(__xludf.DUMMYFUNCTION("""COMPUTED_VALUE"""),"69d4e5df91e7f9d21c5385db")</f>
        <v>69d4e5df91e7f9d21c5385db</v>
      </c>
      <c r="AA275" s="272">
        <f>IFERROR(__xludf.DUMMYFUNCTION("""COMPUTED_VALUE"""),2.0)</f>
        <v>2</v>
      </c>
      <c r="AB275" s="272"/>
      <c r="AC275" s="272">
        <f>IFERROR(__xludf.DUMMYFUNCTION("""COMPUTED_VALUE"""),2.0)</f>
        <v>2</v>
      </c>
      <c r="AD275" s="272">
        <f>IFERROR(__xludf.DUMMYFUNCTION("""COMPUTED_VALUE"""),6998.0)</f>
        <v>6998</v>
      </c>
      <c r="AE275" s="272"/>
      <c r="AF275" s="272">
        <f>IFERROR(__xludf.DUMMYFUNCTION("""COMPUTED_VALUE"""),6998.0)</f>
        <v>6998</v>
      </c>
      <c r="AG275" s="208"/>
      <c r="AH275" s="208"/>
      <c r="AI275" s="208"/>
      <c r="AJ275" s="208"/>
      <c r="AK275" s="208"/>
    </row>
    <row r="276">
      <c r="A276" s="209">
        <f>IFERROR(__xludf.DUMMYFUNCTION("""COMPUTED_VALUE"""),46121.0)</f>
        <v>46121</v>
      </c>
      <c r="B276" s="210">
        <f>IFERROR(__xludf.DUMMYFUNCTION("""COMPUTED_VALUE"""),0.8333333333321207)</f>
        <v>0.8333333333</v>
      </c>
      <c r="C276" s="211" t="str">
        <f>IFERROR(__xludf.DUMMYFUNCTION("""COMPUTED_VALUE"""),"Sms")</f>
        <v>Sms</v>
      </c>
      <c r="D276" s="211" t="str">
        <f>IFERROR(__xludf.DUMMYFUNCTION("""COMPUTED_VALUE"""),"Fallback campaign")</f>
        <v>Fallback campaign</v>
      </c>
      <c r="E276" s="211" t="str">
        <f>IFERROR(__xludf.DUMMYFUNCTION("""COMPUTED_VALUE"""),"VS")</f>
        <v>VS</v>
      </c>
      <c r="F276" s="211" t="str">
        <f>IFERROR(__xludf.DUMMYFUNCTION("""COMPUTED_VALUE"""),"Brand ambassador launch")</f>
        <v>Brand ambassador launch</v>
      </c>
      <c r="G276" s="212" t="str">
        <f>IFERROR(__xludf.DUMMYFUNCTION("""COMPUTED_VALUE"""),"BA Launch - Repeat - Off (FB)")</f>
        <v>BA Launch - Repeat - Off (FB)</v>
      </c>
      <c r="H276" s="212" t="str">
        <f>IFERROR(__xludf.DUMMYFUNCTION("""COMPUTED_VALUE"""),"VS_Repeat_Off")</f>
        <v>VS_Repeat_Off</v>
      </c>
      <c r="I276" s="212" t="str">
        <f>IFERROR(__xludf.DUMMYFUNCTION("""COMPUTED_VALUE"""),"WA Undelivered")</f>
        <v>WA Undelivered</v>
      </c>
      <c r="J276" s="213">
        <f>IFERROR(__xludf.DUMMYFUNCTION("""COMPUTED_VALUE"""),5098.0)</f>
        <v>5098</v>
      </c>
      <c r="K276" s="213">
        <f>IFERROR(__xludf.DUMMYFUNCTION("""COMPUTED_VALUE"""),3340.0)</f>
        <v>3340</v>
      </c>
      <c r="L276" s="214">
        <f>IFERROR(__xludf.DUMMYFUNCTION("""COMPUTED_VALUE"""),0.6552)</f>
        <v>0.6552</v>
      </c>
      <c r="M276" s="213"/>
      <c r="N276" s="214"/>
      <c r="O276" s="213">
        <f>IFERROR(__xludf.DUMMYFUNCTION("""COMPUTED_VALUE"""),14.0)</f>
        <v>14</v>
      </c>
      <c r="P276" s="213"/>
      <c r="Q276" s="214">
        <f>IFERROR(__xludf.DUMMYFUNCTION("""COMPUTED_VALUE"""),0.0042)</f>
        <v>0.0042</v>
      </c>
      <c r="R276" s="214"/>
      <c r="S276" s="213">
        <f>IFERROR(__xludf.DUMMYFUNCTION("""COMPUTED_VALUE"""),0.0)</f>
        <v>0</v>
      </c>
      <c r="T276" s="213">
        <f>IFERROR(__xludf.DUMMYFUNCTION("""COMPUTED_VALUE"""),5.0)</f>
        <v>5</v>
      </c>
      <c r="U276" s="270">
        <f>IFERROR(__xludf.DUMMYFUNCTION("""COMPUTED_VALUE"""),0.0)</f>
        <v>0</v>
      </c>
      <c r="V276" s="271" t="str">
        <f>IFERROR(__xludf.DUMMYFUNCTION("""COMPUTED_VALUE"""),"offline")</f>
        <v>offline</v>
      </c>
      <c r="W276" s="272" t="str">
        <f>IFERROR(__xludf.DUMMYFUNCTION("""COMPUTED_VALUE"""),"SMS")</f>
        <v>SMS</v>
      </c>
      <c r="X276" s="272" t="str">
        <f>IFERROR(__xludf.DUMMYFUNCTION("""COMPUTED_VALUE"""),"Repeat ")</f>
        <v>Repeat </v>
      </c>
      <c r="Y276" s="272" t="str">
        <f>IFERROR(__xludf.DUMMYFUNCTION("""COMPUTED_VALUE"""),"9th - 12th April")</f>
        <v>9th - 12th April</v>
      </c>
      <c r="Z276" s="272" t="str">
        <f>IFERROR(__xludf.DUMMYFUNCTION("""COMPUTED_VALUE"""),"69d4e6565158c8acfffa62bf")</f>
        <v>69d4e6565158c8acfffa62bf</v>
      </c>
      <c r="AA276" s="272">
        <f>IFERROR(__xludf.DUMMYFUNCTION("""COMPUTED_VALUE"""),21.0)</f>
        <v>21</v>
      </c>
      <c r="AB276" s="272"/>
      <c r="AC276" s="272">
        <f>IFERROR(__xludf.DUMMYFUNCTION("""COMPUTED_VALUE"""),21.0)</f>
        <v>21</v>
      </c>
      <c r="AD276" s="272">
        <f>IFERROR(__xludf.DUMMYFUNCTION("""COMPUTED_VALUE"""),319384.0)</f>
        <v>319384</v>
      </c>
      <c r="AE276" s="272"/>
      <c r="AF276" s="272">
        <f>IFERROR(__xludf.DUMMYFUNCTION("""COMPUTED_VALUE"""),319384.0)</f>
        <v>319384</v>
      </c>
      <c r="AG276" s="208"/>
      <c r="AH276" s="208"/>
      <c r="AI276" s="208"/>
      <c r="AJ276" s="208"/>
      <c r="AK276" s="208"/>
    </row>
    <row r="277">
      <c r="A277" s="209">
        <f>IFERROR(__xludf.DUMMYFUNCTION("""COMPUTED_VALUE"""),46121.0)</f>
        <v>46121</v>
      </c>
      <c r="B277" s="210">
        <f>IFERROR(__xludf.DUMMYFUNCTION("""COMPUTED_VALUE"""),0.8333333333321207)</f>
        <v>0.8333333333</v>
      </c>
      <c r="C277" s="211" t="str">
        <f>IFERROR(__xludf.DUMMYFUNCTION("""COMPUTED_VALUE"""),"Sms")</f>
        <v>Sms</v>
      </c>
      <c r="D277" s="211" t="str">
        <f>IFERROR(__xludf.DUMMYFUNCTION("""COMPUTED_VALUE"""),"Fallback campaign")</f>
        <v>Fallback campaign</v>
      </c>
      <c r="E277" s="211" t="str">
        <f>IFERROR(__xludf.DUMMYFUNCTION("""COMPUTED_VALUE"""),"VS")</f>
        <v>VS</v>
      </c>
      <c r="F277" s="211" t="str">
        <f>IFERROR(__xludf.DUMMYFUNCTION("""COMPUTED_VALUE"""),"Brand ambassador launch")</f>
        <v>Brand ambassador launch</v>
      </c>
      <c r="G277" s="212" t="str">
        <f>IFERROR(__xludf.DUMMYFUNCTION("""COMPUTED_VALUE"""),"BA Launch - Delhi - Off (FB)")</f>
        <v>BA Launch - Delhi - Off (FB)</v>
      </c>
      <c r="H277" s="212" t="str">
        <f>IFERROR(__xludf.DUMMYFUNCTION("""COMPUTED_VALUE"""),"Delhi_Purchasers_Off")</f>
        <v>Delhi_Purchasers_Off</v>
      </c>
      <c r="I277" s="212" t="str">
        <f>IFERROR(__xludf.DUMMYFUNCTION("""COMPUTED_VALUE"""),"WA Undelivered")</f>
        <v>WA Undelivered</v>
      </c>
      <c r="J277" s="213">
        <f>IFERROR(__xludf.DUMMYFUNCTION("""COMPUTED_VALUE"""),25263.0)</f>
        <v>25263</v>
      </c>
      <c r="K277" s="213">
        <f>IFERROR(__xludf.DUMMYFUNCTION("""COMPUTED_VALUE"""),14347.0)</f>
        <v>14347</v>
      </c>
      <c r="L277" s="214">
        <f>IFERROR(__xludf.DUMMYFUNCTION("""COMPUTED_VALUE"""),0.5679)</f>
        <v>0.5679</v>
      </c>
      <c r="M277" s="213"/>
      <c r="N277" s="214"/>
      <c r="O277" s="213">
        <f>IFERROR(__xludf.DUMMYFUNCTION("""COMPUTED_VALUE"""),67.0)</f>
        <v>67</v>
      </c>
      <c r="P277" s="213"/>
      <c r="Q277" s="214">
        <f>IFERROR(__xludf.DUMMYFUNCTION("""COMPUTED_VALUE"""),0.0047)</f>
        <v>0.0047</v>
      </c>
      <c r="R277" s="214"/>
      <c r="S277" s="213">
        <f>IFERROR(__xludf.DUMMYFUNCTION("""COMPUTED_VALUE"""),2.0)</f>
        <v>2</v>
      </c>
      <c r="T277" s="213">
        <f>IFERROR(__xludf.DUMMYFUNCTION("""COMPUTED_VALUE"""),9.0)</f>
        <v>9</v>
      </c>
      <c r="U277" s="270">
        <f>IFERROR(__xludf.DUMMYFUNCTION("""COMPUTED_VALUE"""),27601.0)</f>
        <v>27601</v>
      </c>
      <c r="V277" s="271" t="str">
        <f>IFERROR(__xludf.DUMMYFUNCTION("""COMPUTED_VALUE"""),"offline")</f>
        <v>offline</v>
      </c>
      <c r="W277" s="272" t="str">
        <f>IFERROR(__xludf.DUMMYFUNCTION("""COMPUTED_VALUE"""),"SMS")</f>
        <v>SMS</v>
      </c>
      <c r="X277" s="272" t="str">
        <f>IFERROR(__xludf.DUMMYFUNCTION("""COMPUTED_VALUE"""),"No brief")</f>
        <v>No brief</v>
      </c>
      <c r="Y277" s="272" t="str">
        <f>IFERROR(__xludf.DUMMYFUNCTION("""COMPUTED_VALUE"""),"9th - 12th April")</f>
        <v>9th - 12th April</v>
      </c>
      <c r="Z277" s="272" t="str">
        <f>IFERROR(__xludf.DUMMYFUNCTION("""COMPUTED_VALUE"""),"69d4e66f03ff4b5cac912516")</f>
        <v>69d4e66f03ff4b5cac912516</v>
      </c>
      <c r="AA277" s="272">
        <f>IFERROR(__xludf.DUMMYFUNCTION("""COMPUTED_VALUE"""),40.0)</f>
        <v>40</v>
      </c>
      <c r="AB277" s="272"/>
      <c r="AC277" s="272">
        <f>IFERROR(__xludf.DUMMYFUNCTION("""COMPUTED_VALUE"""),40.0)</f>
        <v>40</v>
      </c>
      <c r="AD277" s="272">
        <f>IFERROR(__xludf.DUMMYFUNCTION("""COMPUTED_VALUE"""),398055.0)</f>
        <v>398055</v>
      </c>
      <c r="AE277" s="272"/>
      <c r="AF277" s="272">
        <f>IFERROR(__xludf.DUMMYFUNCTION("""COMPUTED_VALUE"""),398055.0)</f>
        <v>398055</v>
      </c>
      <c r="AG277" s="208"/>
      <c r="AH277" s="208"/>
      <c r="AI277" s="208"/>
      <c r="AJ277" s="208"/>
      <c r="AK277" s="208"/>
    </row>
    <row r="278">
      <c r="A278" s="209">
        <f>IFERROR(__xludf.DUMMYFUNCTION("""COMPUTED_VALUE"""),46121.0)</f>
        <v>46121</v>
      </c>
      <c r="B278" s="210">
        <f>IFERROR(__xludf.DUMMYFUNCTION("""COMPUTED_VALUE"""),0.8333333333321207)</f>
        <v>0.8333333333</v>
      </c>
      <c r="C278" s="211" t="str">
        <f>IFERROR(__xludf.DUMMYFUNCTION("""COMPUTED_VALUE"""),"Sms")</f>
        <v>Sms</v>
      </c>
      <c r="D278" s="211" t="str">
        <f>IFERROR(__xludf.DUMMYFUNCTION("""COMPUTED_VALUE"""),"Fallback campaign")</f>
        <v>Fallback campaign</v>
      </c>
      <c r="E278" s="211" t="str">
        <f>IFERROR(__xludf.DUMMYFUNCTION("""COMPUTED_VALUE"""),"VS")</f>
        <v>VS</v>
      </c>
      <c r="F278" s="211" t="str">
        <f>IFERROR(__xludf.DUMMYFUNCTION("""COMPUTED_VALUE"""),"Brand ambassador launch")</f>
        <v>Brand ambassador launch</v>
      </c>
      <c r="G278" s="212" t="str">
        <f>IFERROR(__xludf.DUMMYFUNCTION("""COMPUTED_VALUE"""),"BA Launch - Dormant - Off (FB)")</f>
        <v>BA Launch - Dormant - Off (FB)</v>
      </c>
      <c r="H278" s="212" t="str">
        <f>IFERROR(__xludf.DUMMYFUNCTION("""COMPUTED_VALUE"""),"VS_Dormant_Base_Off")</f>
        <v>VS_Dormant_Base_Off</v>
      </c>
      <c r="I278" s="212" t="str">
        <f>IFERROR(__xludf.DUMMYFUNCTION("""COMPUTED_VALUE"""),"WA Undelivered")</f>
        <v>WA Undelivered</v>
      </c>
      <c r="J278" s="213">
        <f>IFERROR(__xludf.DUMMYFUNCTION("""COMPUTED_VALUE"""),10735.0)</f>
        <v>10735</v>
      </c>
      <c r="K278" s="213">
        <f>IFERROR(__xludf.DUMMYFUNCTION("""COMPUTED_VALUE"""),7116.0)</f>
        <v>7116</v>
      </c>
      <c r="L278" s="214">
        <f>IFERROR(__xludf.DUMMYFUNCTION("""COMPUTED_VALUE"""),0.6629)</f>
        <v>0.6629</v>
      </c>
      <c r="M278" s="213"/>
      <c r="N278" s="214"/>
      <c r="O278" s="213">
        <f>IFERROR(__xludf.DUMMYFUNCTION("""COMPUTED_VALUE"""),16.0)</f>
        <v>16</v>
      </c>
      <c r="P278" s="213"/>
      <c r="Q278" s="214">
        <f>IFERROR(__xludf.DUMMYFUNCTION("""COMPUTED_VALUE"""),0.0022)</f>
        <v>0.0022</v>
      </c>
      <c r="R278" s="214"/>
      <c r="S278" s="213">
        <f>IFERROR(__xludf.DUMMYFUNCTION("""COMPUTED_VALUE"""),2.0)</f>
        <v>2</v>
      </c>
      <c r="T278" s="213">
        <f>IFERROR(__xludf.DUMMYFUNCTION("""COMPUTED_VALUE"""),3.0)</f>
        <v>3</v>
      </c>
      <c r="U278" s="270">
        <f>IFERROR(__xludf.DUMMYFUNCTION("""COMPUTED_VALUE"""),5518.0)</f>
        <v>5518</v>
      </c>
      <c r="V278" s="271" t="str">
        <f>IFERROR(__xludf.DUMMYFUNCTION("""COMPUTED_VALUE"""),"offline")</f>
        <v>offline</v>
      </c>
      <c r="W278" s="272" t="str">
        <f>IFERROR(__xludf.DUMMYFUNCTION("""COMPUTED_VALUE"""),"SMS")</f>
        <v>SMS</v>
      </c>
      <c r="X278" s="272" t="str">
        <f>IFERROR(__xludf.DUMMYFUNCTION("""COMPUTED_VALUE"""),"Dormant")</f>
        <v>Dormant</v>
      </c>
      <c r="Y278" s="272" t="str">
        <f>IFERROR(__xludf.DUMMYFUNCTION("""COMPUTED_VALUE"""),"9th - 12th April")</f>
        <v>9th - 12th April</v>
      </c>
      <c r="Z278" s="272" t="str">
        <f>IFERROR(__xludf.DUMMYFUNCTION("""COMPUTED_VALUE"""),"69d4e6a1ecd83b0fee87db74")</f>
        <v>69d4e6a1ecd83b0fee87db74</v>
      </c>
      <c r="AA278" s="272">
        <f>IFERROR(__xludf.DUMMYFUNCTION("""COMPUTED_VALUE"""),18.0)</f>
        <v>18</v>
      </c>
      <c r="AB278" s="272"/>
      <c r="AC278" s="272">
        <f>IFERROR(__xludf.DUMMYFUNCTION("""COMPUTED_VALUE"""),18.0)</f>
        <v>18</v>
      </c>
      <c r="AD278" s="272">
        <f>IFERROR(__xludf.DUMMYFUNCTION("""COMPUTED_VALUE"""),136669.0)</f>
        <v>136669</v>
      </c>
      <c r="AE278" s="272"/>
      <c r="AF278" s="272">
        <f>IFERROR(__xludf.DUMMYFUNCTION("""COMPUTED_VALUE"""),136669.0)</f>
        <v>136669</v>
      </c>
      <c r="AG278" s="208"/>
      <c r="AH278" s="208"/>
      <c r="AI278" s="208"/>
      <c r="AJ278" s="208"/>
      <c r="AK278" s="208"/>
    </row>
    <row r="279">
      <c r="A279" s="209">
        <f>IFERROR(__xludf.DUMMYFUNCTION("""COMPUTED_VALUE"""),46121.0)</f>
        <v>46121</v>
      </c>
      <c r="B279" s="210">
        <f>IFERROR(__xludf.DUMMYFUNCTION("""COMPUTED_VALUE"""),0.8333333333321207)</f>
        <v>0.8333333333</v>
      </c>
      <c r="C279" s="211" t="str">
        <f>IFERROR(__xludf.DUMMYFUNCTION("""COMPUTED_VALUE"""),"Sms")</f>
        <v>Sms</v>
      </c>
      <c r="D279" s="211" t="str">
        <f>IFERROR(__xludf.DUMMYFUNCTION("""COMPUTED_VALUE"""),"Fallback campaign")</f>
        <v>Fallback campaign</v>
      </c>
      <c r="E279" s="211" t="str">
        <f>IFERROR(__xludf.DUMMYFUNCTION("""COMPUTED_VALUE"""),"VS")</f>
        <v>VS</v>
      </c>
      <c r="F279" s="211" t="str">
        <f>IFERROR(__xludf.DUMMYFUNCTION("""COMPUTED_VALUE"""),"Brand ambassador launch")</f>
        <v>Brand ambassador launch</v>
      </c>
      <c r="G279" s="212" t="str">
        <f>IFERROR(__xludf.DUMMYFUNCTION("""COMPUTED_VALUE"""),"BA Launch - Churned High LTV - Off (FB)")</f>
        <v>BA Launch - Churned High LTV - Off (FB)</v>
      </c>
      <c r="H279" s="212" t="str">
        <f>IFERROR(__xludf.DUMMYFUNCTION("""COMPUTED_VALUE"""),"Churned_HighLTV_Off")</f>
        <v>Churned_HighLTV_Off</v>
      </c>
      <c r="I279" s="212" t="str">
        <f>IFERROR(__xludf.DUMMYFUNCTION("""COMPUTED_VALUE"""),"WA Undelivered")</f>
        <v>WA Undelivered</v>
      </c>
      <c r="J279" s="213">
        <f>IFERROR(__xludf.DUMMYFUNCTION("""COMPUTED_VALUE"""),531.0)</f>
        <v>531</v>
      </c>
      <c r="K279" s="213">
        <f>IFERROR(__xludf.DUMMYFUNCTION("""COMPUTED_VALUE"""),302.0)</f>
        <v>302</v>
      </c>
      <c r="L279" s="214">
        <f>IFERROR(__xludf.DUMMYFUNCTION("""COMPUTED_VALUE"""),0.5687)</f>
        <v>0.5687</v>
      </c>
      <c r="M279" s="213"/>
      <c r="N279" s="214"/>
      <c r="O279" s="213">
        <f>IFERROR(__xludf.DUMMYFUNCTION("""COMPUTED_VALUE"""),0.0)</f>
        <v>0</v>
      </c>
      <c r="P279" s="213"/>
      <c r="Q279" s="214">
        <f>IFERROR(__xludf.DUMMYFUNCTION("""COMPUTED_VALUE"""),0.0)</f>
        <v>0</v>
      </c>
      <c r="R279" s="214"/>
      <c r="S279" s="213">
        <f>IFERROR(__xludf.DUMMYFUNCTION("""COMPUTED_VALUE"""),0.0)</f>
        <v>0</v>
      </c>
      <c r="T279" s="213">
        <f>IFERROR(__xludf.DUMMYFUNCTION("""COMPUTED_VALUE"""),0.0)</f>
        <v>0</v>
      </c>
      <c r="U279" s="270">
        <f>IFERROR(__xludf.DUMMYFUNCTION("""COMPUTED_VALUE"""),0.0)</f>
        <v>0</v>
      </c>
      <c r="V279" s="271" t="str">
        <f>IFERROR(__xludf.DUMMYFUNCTION("""COMPUTED_VALUE"""),"offline")</f>
        <v>offline</v>
      </c>
      <c r="W279" s="272" t="str">
        <f>IFERROR(__xludf.DUMMYFUNCTION("""COMPUTED_VALUE"""),"SMS")</f>
        <v>SMS</v>
      </c>
      <c r="X279" s="272" t="str">
        <f>IFERROR(__xludf.DUMMYFUNCTION("""COMPUTED_VALUE"""),"Churned High LTV")</f>
        <v>Churned High LTV</v>
      </c>
      <c r="Y279" s="272" t="str">
        <f>IFERROR(__xludf.DUMMYFUNCTION("""COMPUTED_VALUE"""),"9th - 12th April")</f>
        <v>9th - 12th April</v>
      </c>
      <c r="Z279" s="272" t="str">
        <f>IFERROR(__xludf.DUMMYFUNCTION("""COMPUTED_VALUE"""),"69d4e73738636e8a9fbb9eae")</f>
        <v>69d4e73738636e8a9fbb9eae</v>
      </c>
      <c r="AA279" s="272">
        <f>IFERROR(__xludf.DUMMYFUNCTION("""COMPUTED_VALUE"""),1.0)</f>
        <v>1</v>
      </c>
      <c r="AB279" s="272"/>
      <c r="AC279" s="272">
        <f>IFERROR(__xludf.DUMMYFUNCTION("""COMPUTED_VALUE"""),1.0)</f>
        <v>1</v>
      </c>
      <c r="AD279" s="272">
        <f>IFERROR(__xludf.DUMMYFUNCTION("""COMPUTED_VALUE"""),2699.0)</f>
        <v>2699</v>
      </c>
      <c r="AE279" s="272"/>
      <c r="AF279" s="272">
        <f>IFERROR(__xludf.DUMMYFUNCTION("""COMPUTED_VALUE"""),2699.0)</f>
        <v>2699</v>
      </c>
      <c r="AG279" s="208"/>
      <c r="AH279" s="208"/>
      <c r="AI279" s="208"/>
      <c r="AJ279" s="208"/>
      <c r="AK279" s="208"/>
    </row>
    <row r="280">
      <c r="A280" s="209">
        <f>IFERROR(__xludf.DUMMYFUNCTION("""COMPUTED_VALUE"""),46123.0)</f>
        <v>46123</v>
      </c>
      <c r="B280" s="210">
        <f>IFERROR(__xludf.DUMMYFUNCTION("""COMPUTED_VALUE"""),0.3541666666678793)</f>
        <v>0.3541666667</v>
      </c>
      <c r="C280" s="211" t="str">
        <f>IFERROR(__xludf.DUMMYFUNCTION("""COMPUTED_VALUE"""),"Whatsapp")</f>
        <v>Whatsapp</v>
      </c>
      <c r="D280" s="211" t="str">
        <f>IFERROR(__xludf.DUMMYFUNCTION("""COMPUTED_VALUE"""),"Promotional")</f>
        <v>Promotional</v>
      </c>
      <c r="E280" s="211" t="str">
        <f>IFERROR(__xludf.DUMMYFUNCTION("""COMPUTED_VALUE"""),"VS")</f>
        <v>VS</v>
      </c>
      <c r="F280" s="211" t="str">
        <f>IFERROR(__xludf.DUMMYFUNCTION("""COMPUTED_VALUE"""),"Brand ambassador launch")</f>
        <v>Brand ambassador launch</v>
      </c>
      <c r="G280" s="212" t="str">
        <f>IFERROR(__xludf.DUMMYFUNCTION("""COMPUTED_VALUE"""),"BA Launch 2")</f>
        <v>BA Launch 2</v>
      </c>
      <c r="H280" s="212" t="str">
        <f>IFERROR(__xludf.DUMMYFUNCTION("""COMPUTED_VALUE"""),"ID contains any of [919819676167, 917715006160, 919136102471]  case insensitive, VS_onoff_wasms_undelivered_BAlaunch_10thapril")</f>
        <v>ID contains any of [919819676167, 917715006160, 919136102471]  case insensitive, VS_onoff_wasms_undelivered_BAlaunch_10thapril</v>
      </c>
      <c r="I280" s="212" t="str">
        <f>IFERROR(__xludf.DUMMYFUNCTION("""COMPUTED_VALUE"""),"All customers who were included on BA Launch campaign but did not receive WA/SMS")</f>
        <v>All customers who were included on BA Launch campaign but did not receive WA/SMS</v>
      </c>
      <c r="J280" s="213">
        <f>IFERROR(__xludf.DUMMYFUNCTION("""COMPUTED_VALUE"""),40322.0)</f>
        <v>40322</v>
      </c>
      <c r="K280" s="213">
        <f>IFERROR(__xludf.DUMMYFUNCTION("""COMPUTED_VALUE"""),18139.0)</f>
        <v>18139</v>
      </c>
      <c r="L280" s="214">
        <f>IFERROR(__xludf.DUMMYFUNCTION("""COMPUTED_VALUE"""),0.4498)</f>
        <v>0.4498</v>
      </c>
      <c r="M280" s="213">
        <f>IFERROR(__xludf.DUMMYFUNCTION("""COMPUTED_VALUE"""),3917.0)</f>
        <v>3917</v>
      </c>
      <c r="N280" s="214">
        <f>IFERROR(__xludf.DUMMYFUNCTION("""COMPUTED_VALUE"""),0.216)</f>
        <v>0.216</v>
      </c>
      <c r="O280" s="213">
        <f>IFERROR(__xludf.DUMMYFUNCTION("""COMPUTED_VALUE"""),172.0)</f>
        <v>172</v>
      </c>
      <c r="P280" s="213">
        <f>IFERROR(__xludf.DUMMYFUNCTION("""COMPUTED_VALUE"""),165.0)</f>
        <v>165</v>
      </c>
      <c r="Q280" s="214">
        <f>IFERROR(__xludf.DUMMYFUNCTION("""COMPUTED_VALUE"""),0.0091)</f>
        <v>0.0091</v>
      </c>
      <c r="R280" s="214">
        <f>IFERROR(__xludf.DUMMYFUNCTION("""COMPUTED_VALUE"""),0.0421)</f>
        <v>0.0421</v>
      </c>
      <c r="S280" s="213">
        <f>IFERROR(__xludf.DUMMYFUNCTION("""COMPUTED_VALUE"""),3.0)</f>
        <v>3</v>
      </c>
      <c r="T280" s="213">
        <f>IFERROR(__xludf.DUMMYFUNCTION("""COMPUTED_VALUE"""),10.0)</f>
        <v>10</v>
      </c>
      <c r="U280" s="270">
        <f>IFERROR(__xludf.DUMMYFUNCTION("""COMPUTED_VALUE"""),40582.0)</f>
        <v>40582</v>
      </c>
      <c r="V280" s="271" t="str">
        <f>IFERROR(__xludf.DUMMYFUNCTION("""COMPUTED_VALUE"""),"overall")</f>
        <v>overall</v>
      </c>
      <c r="W280" s="272" t="str">
        <f>IFERROR(__xludf.DUMMYFUNCTION("""COMPUTED_VALUE"""),"simple")</f>
        <v>simple</v>
      </c>
      <c r="X280" s="272" t="str">
        <f>IFERROR(__xludf.DUMMYFUNCTION("""COMPUTED_VALUE"""),"No brief")</f>
        <v>No brief</v>
      </c>
      <c r="Y280" s="272" t="str">
        <f>IFERROR(__xludf.DUMMYFUNCTION("""COMPUTED_VALUE"""),"11th - 12th April")</f>
        <v>11th - 12th April</v>
      </c>
      <c r="Z280" s="272" t="str">
        <f>IFERROR(__xludf.DUMMYFUNCTION("""COMPUTED_VALUE"""),"69d8fc50b9b9a0a6943ad418")</f>
        <v>69d8fc50b9b9a0a6943ad418</v>
      </c>
      <c r="AA280" s="272">
        <f>IFERROR(__xludf.DUMMYFUNCTION("""COMPUTED_VALUE"""),48.0)</f>
        <v>48</v>
      </c>
      <c r="AB280" s="272">
        <f>IFERROR(__xludf.DUMMYFUNCTION("""COMPUTED_VALUE"""),15.0)</f>
        <v>15</v>
      </c>
      <c r="AC280" s="272">
        <f>IFERROR(__xludf.DUMMYFUNCTION("""COMPUTED_VALUE"""),33.0)</f>
        <v>33</v>
      </c>
      <c r="AD280" s="272">
        <f>IFERROR(__xludf.DUMMYFUNCTION("""COMPUTED_VALUE"""),604818.0)</f>
        <v>604818</v>
      </c>
      <c r="AE280" s="272">
        <f>IFERROR(__xludf.DUMMYFUNCTION("""COMPUTED_VALUE"""),130562.0)</f>
        <v>130562</v>
      </c>
      <c r="AF280" s="272">
        <f>IFERROR(__xludf.DUMMYFUNCTION("""COMPUTED_VALUE"""),474256.0)</f>
        <v>474256</v>
      </c>
      <c r="AG280" s="208"/>
      <c r="AH280" s="208"/>
      <c r="AI280" s="208"/>
      <c r="AJ280" s="208"/>
      <c r="AK280" s="208"/>
    </row>
    <row r="281">
      <c r="A281" s="209">
        <f>IFERROR(__xludf.DUMMYFUNCTION("""COMPUTED_VALUE"""),46128.0)</f>
        <v>46128</v>
      </c>
      <c r="B281" s="210">
        <f>IFERROR(__xludf.DUMMYFUNCTION("""COMPUTED_VALUE"""),0.3541666666678793)</f>
        <v>0.3541666667</v>
      </c>
      <c r="C281" s="211" t="str">
        <f>IFERROR(__xludf.DUMMYFUNCTION("""COMPUTED_VALUE"""),"Whatsapp")</f>
        <v>Whatsapp</v>
      </c>
      <c r="D281" s="211" t="str">
        <f>IFERROR(__xludf.DUMMYFUNCTION("""COMPUTED_VALUE"""),"Promtional")</f>
        <v>Promtional</v>
      </c>
      <c r="E281" s="211" t="str">
        <f>IFERROR(__xludf.DUMMYFUNCTION("""COMPUTED_VALUE"""),"VS")</f>
        <v>VS</v>
      </c>
      <c r="F281" s="211" t="str">
        <f>IFERROR(__xludf.DUMMYFUNCTION("""COMPUTED_VALUE"""),"Cool bra store campaigns")</f>
        <v>Cool bra store campaigns</v>
      </c>
      <c r="G281" s="212" t="str">
        <f>IFERROR(__xludf.DUMMYFUNCTION("""COMPUTED_VALUE"""),"VS CoolBra - Stores - Palassio - LKN")</f>
        <v>VS CoolBra - Stores - Palassio - LKN</v>
      </c>
      <c r="H281" s="212" t="str">
        <f>IFERROR(__xludf.DUMMYFUNCTION("""COMPUTED_VALUE"""),"vs_off_lucknow_feb2026")</f>
        <v>vs_off_lucknow_feb2026</v>
      </c>
      <c r="I281" s="212" t="str">
        <f>IFERROR(__xludf.DUMMYFUNCTION("""COMPUTED_VALUE"""),"Offline Customers who have purchased from Store with Store Name VS BA PALASSIO LUCKNOW, Store code :- 1225")</f>
        <v>Offline Customers who have purchased from Store with Store Name VS BA PALASSIO LUCKNOW, Store code :- 1225</v>
      </c>
      <c r="J281" s="213">
        <f>IFERROR(__xludf.DUMMYFUNCTION("""COMPUTED_VALUE"""),2142.0)</f>
        <v>2142</v>
      </c>
      <c r="K281" s="213">
        <f>IFERROR(__xludf.DUMMYFUNCTION("""COMPUTED_VALUE"""),1472.0)</f>
        <v>1472</v>
      </c>
      <c r="L281" s="214">
        <f>IFERROR(__xludf.DUMMYFUNCTION("""COMPUTED_VALUE"""),0.6872)</f>
        <v>0.6872</v>
      </c>
      <c r="M281" s="213">
        <f>IFERROR(__xludf.DUMMYFUNCTION("""COMPUTED_VALUE"""),437.0)</f>
        <v>437</v>
      </c>
      <c r="N281" s="214">
        <f>IFERROR(__xludf.DUMMYFUNCTION("""COMPUTED_VALUE"""),0.2969)</f>
        <v>0.2969</v>
      </c>
      <c r="O281" s="213">
        <f>IFERROR(__xludf.DUMMYFUNCTION("""COMPUTED_VALUE"""),0.0)</f>
        <v>0</v>
      </c>
      <c r="P281" s="213">
        <f>IFERROR(__xludf.DUMMYFUNCTION("""COMPUTED_VALUE"""),0.0)</f>
        <v>0</v>
      </c>
      <c r="Q281" s="214">
        <f>IFERROR(__xludf.DUMMYFUNCTION("""COMPUTED_VALUE"""),0.0)</f>
        <v>0</v>
      </c>
      <c r="R281" s="214">
        <f>IFERROR(__xludf.DUMMYFUNCTION("""COMPUTED_VALUE"""),0.0)</f>
        <v>0</v>
      </c>
      <c r="S281" s="213">
        <f>IFERROR(__xludf.DUMMYFUNCTION("""COMPUTED_VALUE"""),0.0)</f>
        <v>0</v>
      </c>
      <c r="T281" s="213">
        <f>IFERROR(__xludf.DUMMYFUNCTION("""COMPUTED_VALUE"""),0.0)</f>
        <v>0</v>
      </c>
      <c r="U281" s="270">
        <f>IFERROR(__xludf.DUMMYFUNCTION("""COMPUTED_VALUE"""),0.0)</f>
        <v>0</v>
      </c>
      <c r="V281" s="271" t="str">
        <f>IFERROR(__xludf.DUMMYFUNCTION("""COMPUTED_VALUE"""),"offline")</f>
        <v>offline</v>
      </c>
      <c r="W281" s="272" t="str">
        <f>IFERROR(__xludf.DUMMYFUNCTION("""COMPUTED_VALUE"""),"simple")</f>
        <v>simple</v>
      </c>
      <c r="X281" s="272" t="str">
        <f>IFERROR(__xludf.DUMMYFUNCTION("""COMPUTED_VALUE"""),"Offline Stores")</f>
        <v>Offline Stores</v>
      </c>
      <c r="Y281" s="272" t="str">
        <f>IFERROR(__xludf.DUMMYFUNCTION("""COMPUTED_VALUE"""),"16th - 19th April")</f>
        <v>16th - 19th April</v>
      </c>
      <c r="Z281" s="272" t="str">
        <f>IFERROR(__xludf.DUMMYFUNCTION("""COMPUTED_VALUE"""),"69df84258664aae174d5ab2e")</f>
        <v>69df84258664aae174d5ab2e</v>
      </c>
      <c r="AA281" s="272">
        <f>IFERROR(__xludf.DUMMYFUNCTION("""COMPUTED_VALUE"""),2.0)</f>
        <v>2</v>
      </c>
      <c r="AB281" s="272"/>
      <c r="AC281" s="272">
        <f>IFERROR(__xludf.DUMMYFUNCTION("""COMPUTED_VALUE"""),2.0)</f>
        <v>2</v>
      </c>
      <c r="AD281" s="272">
        <f>IFERROR(__xludf.DUMMYFUNCTION("""COMPUTED_VALUE"""),6698.0)</f>
        <v>6698</v>
      </c>
      <c r="AE281" s="272"/>
      <c r="AF281" s="272">
        <f>IFERROR(__xludf.DUMMYFUNCTION("""COMPUTED_VALUE"""),6698.0)</f>
        <v>6698</v>
      </c>
      <c r="AG281" s="208"/>
      <c r="AH281" s="208"/>
      <c r="AI281" s="208"/>
      <c r="AJ281" s="208"/>
      <c r="AK281" s="208"/>
    </row>
    <row r="282">
      <c r="A282" s="209">
        <f>IFERROR(__xludf.DUMMYFUNCTION("""COMPUTED_VALUE"""),46128.0)</f>
        <v>46128</v>
      </c>
      <c r="B282" s="210">
        <f>IFERROR(__xludf.DUMMYFUNCTION("""COMPUTED_VALUE"""),0.35763888889050577)</f>
        <v>0.3576388889</v>
      </c>
      <c r="C282" s="211" t="str">
        <f>IFERROR(__xludf.DUMMYFUNCTION("""COMPUTED_VALUE"""),"Whatsapp")</f>
        <v>Whatsapp</v>
      </c>
      <c r="D282" s="211" t="str">
        <f>IFERROR(__xludf.DUMMYFUNCTION("""COMPUTED_VALUE"""),"Promtional")</f>
        <v>Promtional</v>
      </c>
      <c r="E282" s="211" t="str">
        <f>IFERROR(__xludf.DUMMYFUNCTION("""COMPUTED_VALUE"""),"VS")</f>
        <v>VS</v>
      </c>
      <c r="F282" s="211" t="str">
        <f>IFERROR(__xludf.DUMMYFUNCTION("""COMPUTED_VALUE"""),"Cool bra store campaigns")</f>
        <v>Cool bra store campaigns</v>
      </c>
      <c r="G282" s="212" t="str">
        <f>IFERROR(__xludf.DUMMYFUNCTION("""COMPUTED_VALUE"""),"VS CoolBra - Stores - Elegante - Delhi")</f>
        <v>VS CoolBra - Stores - Elegante - Delhi</v>
      </c>
      <c r="H282" s="212" t="str">
        <f>IFERROR(__xludf.DUMMYFUNCTION("""COMPUTED_VALUE"""),"vs_off_txnstd_1251_feb2026")</f>
        <v>vs_off_txnstd_1251_feb2026</v>
      </c>
      <c r="I282" s="212" t="str">
        <f>IFERROR(__xludf.DUMMYFUNCTION("""COMPUTED_VALUE"""),"Offline Customers who have purchased from Store with Store Name VS Elegante Delhi , Store Code :- 1251")</f>
        <v>Offline Customers who have purchased from Store with Store Name VS Elegante Delhi , Store Code :- 1251</v>
      </c>
      <c r="J282" s="213">
        <f>IFERROR(__xludf.DUMMYFUNCTION("""COMPUTED_VALUE"""),3368.0)</f>
        <v>3368</v>
      </c>
      <c r="K282" s="213">
        <f>IFERROR(__xludf.DUMMYFUNCTION("""COMPUTED_VALUE"""),2303.0)</f>
        <v>2303</v>
      </c>
      <c r="L282" s="214">
        <f>IFERROR(__xludf.DUMMYFUNCTION("""COMPUTED_VALUE"""),0.6838)</f>
        <v>0.6838</v>
      </c>
      <c r="M282" s="213">
        <f>IFERROR(__xludf.DUMMYFUNCTION("""COMPUTED_VALUE"""),666.0)</f>
        <v>666</v>
      </c>
      <c r="N282" s="214">
        <f>IFERROR(__xludf.DUMMYFUNCTION("""COMPUTED_VALUE"""),0.2892)</f>
        <v>0.2892</v>
      </c>
      <c r="O282" s="213">
        <f>IFERROR(__xludf.DUMMYFUNCTION("""COMPUTED_VALUE"""),0.0)</f>
        <v>0</v>
      </c>
      <c r="P282" s="213">
        <f>IFERROR(__xludf.DUMMYFUNCTION("""COMPUTED_VALUE"""),0.0)</f>
        <v>0</v>
      </c>
      <c r="Q282" s="214">
        <f>IFERROR(__xludf.DUMMYFUNCTION("""COMPUTED_VALUE"""),0.0)</f>
        <v>0</v>
      </c>
      <c r="R282" s="214">
        <f>IFERROR(__xludf.DUMMYFUNCTION("""COMPUTED_VALUE"""),0.0)</f>
        <v>0</v>
      </c>
      <c r="S282" s="213">
        <f>IFERROR(__xludf.DUMMYFUNCTION("""COMPUTED_VALUE"""),1.0)</f>
        <v>1</v>
      </c>
      <c r="T282" s="213">
        <f>IFERROR(__xludf.DUMMYFUNCTION("""COMPUTED_VALUE"""),1.0)</f>
        <v>1</v>
      </c>
      <c r="U282" s="270">
        <f>IFERROR(__xludf.DUMMYFUNCTION("""COMPUTED_VALUE"""),6343.0)</f>
        <v>6343</v>
      </c>
      <c r="V282" s="271" t="str">
        <f>IFERROR(__xludf.DUMMYFUNCTION("""COMPUTED_VALUE"""),"offline")</f>
        <v>offline</v>
      </c>
      <c r="W282" s="272" t="str">
        <f>IFERROR(__xludf.DUMMYFUNCTION("""COMPUTED_VALUE"""),"simple")</f>
        <v>simple</v>
      </c>
      <c r="X282" s="272" t="str">
        <f>IFERROR(__xludf.DUMMYFUNCTION("""COMPUTED_VALUE"""),"Offline Stores")</f>
        <v>Offline Stores</v>
      </c>
      <c r="Y282" s="272" t="str">
        <f>IFERROR(__xludf.DUMMYFUNCTION("""COMPUTED_VALUE"""),"16th - 19th April")</f>
        <v>16th - 19th April</v>
      </c>
      <c r="Z282" s="272" t="str">
        <f>IFERROR(__xludf.DUMMYFUNCTION("""COMPUTED_VALUE"""),"69df844d562318f95561f256")</f>
        <v>69df844d562318f95561f256</v>
      </c>
      <c r="AA282" s="272">
        <f>IFERROR(__xludf.DUMMYFUNCTION("""COMPUTED_VALUE"""),3.0)</f>
        <v>3</v>
      </c>
      <c r="AB282" s="272"/>
      <c r="AC282" s="272">
        <f>IFERROR(__xludf.DUMMYFUNCTION("""COMPUTED_VALUE"""),3.0)</f>
        <v>3</v>
      </c>
      <c r="AD282" s="272">
        <f>IFERROR(__xludf.DUMMYFUNCTION("""COMPUTED_VALUE"""),12188.0)</f>
        <v>12188</v>
      </c>
      <c r="AE282" s="272"/>
      <c r="AF282" s="272">
        <f>IFERROR(__xludf.DUMMYFUNCTION("""COMPUTED_VALUE"""),12188.0)</f>
        <v>12188</v>
      </c>
      <c r="AG282" s="208"/>
      <c r="AH282" s="208"/>
      <c r="AI282" s="208"/>
      <c r="AJ282" s="208"/>
      <c r="AK282" s="208"/>
    </row>
    <row r="283">
      <c r="A283" s="209">
        <f>IFERROR(__xludf.DUMMYFUNCTION("""COMPUTED_VALUE"""),46128.0)</f>
        <v>46128</v>
      </c>
      <c r="B283" s="210">
        <f>IFERROR(__xludf.DUMMYFUNCTION("""COMPUTED_VALUE"""),0.36111111110949423)</f>
        <v>0.3611111111</v>
      </c>
      <c r="C283" s="211" t="str">
        <f>IFERROR(__xludf.DUMMYFUNCTION("""COMPUTED_VALUE"""),"Whatsapp")</f>
        <v>Whatsapp</v>
      </c>
      <c r="D283" s="211" t="str">
        <f>IFERROR(__xludf.DUMMYFUNCTION("""COMPUTED_VALUE"""),"Promtional")</f>
        <v>Promtional</v>
      </c>
      <c r="E283" s="211" t="str">
        <f>IFERROR(__xludf.DUMMYFUNCTION("""COMPUTED_VALUE"""),"VS")</f>
        <v>VS</v>
      </c>
      <c r="F283" s="211" t="str">
        <f>IFERROR(__xludf.DUMMYFUNCTION("""COMPUTED_VALUE"""),"Cool bra store campaigns")</f>
        <v>Cool bra store campaigns</v>
      </c>
      <c r="G283" s="212" t="str">
        <f>IFERROR(__xludf.DUMMYFUNCTION("""COMPUTED_VALUE"""),"VS CoolBra - Stores - EA - Chennai")</f>
        <v>VS CoolBra - Stores - EA - Chennai</v>
      </c>
      <c r="H283" s="212" t="str">
        <f>IFERROR(__xludf.DUMMYFUNCTION("""COMPUTED_VALUE"""),"vs_off_chennai_feb2026")</f>
        <v>vs_off_chennai_feb2026</v>
      </c>
      <c r="I283" s="212" t="str">
        <f>IFERROR(__xludf.DUMMYFUNCTION("""COMPUTED_VALUE"""),"Offline Customers who have purchased from Store with Store Name VS EXPRESS AVENUE CHENNAI, Store Code :- 1252")</f>
        <v>Offline Customers who have purchased from Store with Store Name VS EXPRESS AVENUE CHENNAI, Store Code :- 1252</v>
      </c>
      <c r="J283" s="213">
        <f>IFERROR(__xludf.DUMMYFUNCTION("""COMPUTED_VALUE"""),3902.0)</f>
        <v>3902</v>
      </c>
      <c r="K283" s="213">
        <f>IFERROR(__xludf.DUMMYFUNCTION("""COMPUTED_VALUE"""),2585.0)</f>
        <v>2585</v>
      </c>
      <c r="L283" s="214">
        <f>IFERROR(__xludf.DUMMYFUNCTION("""COMPUTED_VALUE"""),0.6622)</f>
        <v>0.6622</v>
      </c>
      <c r="M283" s="213">
        <f>IFERROR(__xludf.DUMMYFUNCTION("""COMPUTED_VALUE"""),769.0)</f>
        <v>769</v>
      </c>
      <c r="N283" s="214">
        <f>IFERROR(__xludf.DUMMYFUNCTION("""COMPUTED_VALUE"""),0.2976)</f>
        <v>0.2976</v>
      </c>
      <c r="O283" s="213">
        <f>IFERROR(__xludf.DUMMYFUNCTION("""COMPUTED_VALUE"""),0.0)</f>
        <v>0</v>
      </c>
      <c r="P283" s="213">
        <f>IFERROR(__xludf.DUMMYFUNCTION("""COMPUTED_VALUE"""),0.0)</f>
        <v>0</v>
      </c>
      <c r="Q283" s="214">
        <f>IFERROR(__xludf.DUMMYFUNCTION("""COMPUTED_VALUE"""),0.0)</f>
        <v>0</v>
      </c>
      <c r="R283" s="214">
        <f>IFERROR(__xludf.DUMMYFUNCTION("""COMPUTED_VALUE"""),0.0)</f>
        <v>0</v>
      </c>
      <c r="S283" s="213">
        <f>IFERROR(__xludf.DUMMYFUNCTION("""COMPUTED_VALUE"""),0.0)</f>
        <v>0</v>
      </c>
      <c r="T283" s="213">
        <f>IFERROR(__xludf.DUMMYFUNCTION("""COMPUTED_VALUE"""),0.0)</f>
        <v>0</v>
      </c>
      <c r="U283" s="270">
        <f>IFERROR(__xludf.DUMMYFUNCTION("""COMPUTED_VALUE"""),0.0)</f>
        <v>0</v>
      </c>
      <c r="V283" s="271" t="str">
        <f>IFERROR(__xludf.DUMMYFUNCTION("""COMPUTED_VALUE"""),"offline")</f>
        <v>offline</v>
      </c>
      <c r="W283" s="272" t="str">
        <f>IFERROR(__xludf.DUMMYFUNCTION("""COMPUTED_VALUE"""),"simple")</f>
        <v>simple</v>
      </c>
      <c r="X283" s="272" t="str">
        <f>IFERROR(__xludf.DUMMYFUNCTION("""COMPUTED_VALUE"""),"Offline Stores")</f>
        <v>Offline Stores</v>
      </c>
      <c r="Y283" s="272" t="str">
        <f>IFERROR(__xludf.DUMMYFUNCTION("""COMPUTED_VALUE"""),"16th - 19th April")</f>
        <v>16th - 19th April</v>
      </c>
      <c r="Z283" s="272" t="str">
        <f>IFERROR(__xludf.DUMMYFUNCTION("""COMPUTED_VALUE"""),"69df848b34d9e30ff917d946")</f>
        <v>69df848b34d9e30ff917d946</v>
      </c>
      <c r="AA283" s="272">
        <f>IFERROR(__xludf.DUMMYFUNCTION("""COMPUTED_VALUE"""),6.0)</f>
        <v>6</v>
      </c>
      <c r="AB283" s="272"/>
      <c r="AC283" s="272">
        <f>IFERROR(__xludf.DUMMYFUNCTION("""COMPUTED_VALUE"""),6.0)</f>
        <v>6</v>
      </c>
      <c r="AD283" s="272">
        <f>IFERROR(__xludf.DUMMYFUNCTION("""COMPUTED_VALUE"""),19393.0)</f>
        <v>19393</v>
      </c>
      <c r="AE283" s="272"/>
      <c r="AF283" s="272">
        <f>IFERROR(__xludf.DUMMYFUNCTION("""COMPUTED_VALUE"""),19393.0)</f>
        <v>19393</v>
      </c>
      <c r="AG283" s="208"/>
      <c r="AH283" s="208"/>
      <c r="AI283" s="208"/>
      <c r="AJ283" s="208"/>
      <c r="AK283" s="208"/>
    </row>
    <row r="284">
      <c r="A284" s="209">
        <f>IFERROR(__xludf.DUMMYFUNCTION("""COMPUTED_VALUE"""),46128.0)</f>
        <v>46128</v>
      </c>
      <c r="B284" s="210">
        <f>IFERROR(__xludf.DUMMYFUNCTION("""COMPUTED_VALUE"""),0.3645833333321207)</f>
        <v>0.3645833333</v>
      </c>
      <c r="C284" s="211" t="str">
        <f>IFERROR(__xludf.DUMMYFUNCTION("""COMPUTED_VALUE"""),"Whatsapp")</f>
        <v>Whatsapp</v>
      </c>
      <c r="D284" s="211" t="str">
        <f>IFERROR(__xludf.DUMMYFUNCTION("""COMPUTED_VALUE"""),"Promtional")</f>
        <v>Promtional</v>
      </c>
      <c r="E284" s="211" t="str">
        <f>IFERROR(__xludf.DUMMYFUNCTION("""COMPUTED_VALUE"""),"VS")</f>
        <v>VS</v>
      </c>
      <c r="F284" s="211" t="str">
        <f>IFERROR(__xludf.DUMMYFUNCTION("""COMPUTED_VALUE"""),"Cool bra store campaigns")</f>
        <v>Cool bra store campaigns</v>
      </c>
      <c r="G284" s="212" t="str">
        <f>IFERROR(__xludf.DUMMYFUNCTION("""COMPUTED_VALUE"""),"VS CoolBra - Stores - Zora - Raipur")</f>
        <v>VS CoolBra - Stores - Zora - Raipur</v>
      </c>
      <c r="H284" s="212" t="str">
        <f>IFERROR(__xludf.DUMMYFUNCTION("""COMPUTED_VALUE"""),"vs_off_raipur_feb2026")</f>
        <v>vs_off_raipur_feb2026</v>
      </c>
      <c r="I284" s="212" t="str">
        <f>IFERROR(__xludf.DUMMYFUNCTION("""COMPUTED_VALUE"""),"Offline Customers who have purchased from Store with Store Name VS ZORA RAIPUR, Store Code :- 1271")</f>
        <v>Offline Customers who have purchased from Store with Store Name VS ZORA RAIPUR, Store Code :- 1271</v>
      </c>
      <c r="J284" s="213">
        <f>IFERROR(__xludf.DUMMYFUNCTION("""COMPUTED_VALUE"""),1632.0)</f>
        <v>1632</v>
      </c>
      <c r="K284" s="213">
        <f>IFERROR(__xludf.DUMMYFUNCTION("""COMPUTED_VALUE"""),1106.0)</f>
        <v>1106</v>
      </c>
      <c r="L284" s="214">
        <f>IFERROR(__xludf.DUMMYFUNCTION("""COMPUTED_VALUE"""),0.6777)</f>
        <v>0.6777</v>
      </c>
      <c r="M284" s="213">
        <f>IFERROR(__xludf.DUMMYFUNCTION("""COMPUTED_VALUE"""),371.0)</f>
        <v>371</v>
      </c>
      <c r="N284" s="214">
        <f>IFERROR(__xludf.DUMMYFUNCTION("""COMPUTED_VALUE"""),0.3354)</f>
        <v>0.3354</v>
      </c>
      <c r="O284" s="213">
        <f>IFERROR(__xludf.DUMMYFUNCTION("""COMPUTED_VALUE"""),0.0)</f>
        <v>0</v>
      </c>
      <c r="P284" s="213">
        <f>IFERROR(__xludf.DUMMYFUNCTION("""COMPUTED_VALUE"""),0.0)</f>
        <v>0</v>
      </c>
      <c r="Q284" s="214">
        <f>IFERROR(__xludf.DUMMYFUNCTION("""COMPUTED_VALUE"""),0.0)</f>
        <v>0</v>
      </c>
      <c r="R284" s="214">
        <f>IFERROR(__xludf.DUMMYFUNCTION("""COMPUTED_VALUE"""),0.0)</f>
        <v>0</v>
      </c>
      <c r="S284" s="213">
        <f>IFERROR(__xludf.DUMMYFUNCTION("""COMPUTED_VALUE"""),0.0)</f>
        <v>0</v>
      </c>
      <c r="T284" s="213">
        <f>IFERROR(__xludf.DUMMYFUNCTION("""COMPUTED_VALUE"""),0.0)</f>
        <v>0</v>
      </c>
      <c r="U284" s="270">
        <f>IFERROR(__xludf.DUMMYFUNCTION("""COMPUTED_VALUE"""),0.0)</f>
        <v>0</v>
      </c>
      <c r="V284" s="271" t="str">
        <f>IFERROR(__xludf.DUMMYFUNCTION("""COMPUTED_VALUE"""),"offline")</f>
        <v>offline</v>
      </c>
      <c r="W284" s="272" t="str">
        <f>IFERROR(__xludf.DUMMYFUNCTION("""COMPUTED_VALUE"""),"simple")</f>
        <v>simple</v>
      </c>
      <c r="X284" s="272" t="str">
        <f>IFERROR(__xludf.DUMMYFUNCTION("""COMPUTED_VALUE"""),"Offline Stores")</f>
        <v>Offline Stores</v>
      </c>
      <c r="Y284" s="272" t="str">
        <f>IFERROR(__xludf.DUMMYFUNCTION("""COMPUTED_VALUE"""),"16th - 19th April")</f>
        <v>16th - 19th April</v>
      </c>
      <c r="Z284" s="272" t="str">
        <f>IFERROR(__xludf.DUMMYFUNCTION("""COMPUTED_VALUE"""),"69df85170cca22884939b291")</f>
        <v>69df85170cca22884939b291</v>
      </c>
      <c r="AA284" s="272">
        <f>IFERROR(__xludf.DUMMYFUNCTION("""COMPUTED_VALUE"""),6.0)</f>
        <v>6</v>
      </c>
      <c r="AB284" s="272"/>
      <c r="AC284" s="272">
        <f>IFERROR(__xludf.DUMMYFUNCTION("""COMPUTED_VALUE"""),6.0)</f>
        <v>6</v>
      </c>
      <c r="AD284" s="272">
        <f>IFERROR(__xludf.DUMMYFUNCTION("""COMPUTED_VALUE"""),29792.0)</f>
        <v>29792</v>
      </c>
      <c r="AE284" s="272"/>
      <c r="AF284" s="272">
        <f>IFERROR(__xludf.DUMMYFUNCTION("""COMPUTED_VALUE"""),29792.0)</f>
        <v>29792</v>
      </c>
      <c r="AG284" s="208"/>
      <c r="AH284" s="208"/>
      <c r="AI284" s="208"/>
      <c r="AJ284" s="208"/>
      <c r="AK284" s="208"/>
    </row>
    <row r="285">
      <c r="A285" s="209">
        <f>IFERROR(__xludf.DUMMYFUNCTION("""COMPUTED_VALUE"""),46128.0)</f>
        <v>46128</v>
      </c>
      <c r="B285" s="210">
        <f>IFERROR(__xludf.DUMMYFUNCTION("""COMPUTED_VALUE"""),0.3680555555547471)</f>
        <v>0.3680555556</v>
      </c>
      <c r="C285" s="211" t="str">
        <f>IFERROR(__xludf.DUMMYFUNCTION("""COMPUTED_VALUE"""),"Whatsapp")</f>
        <v>Whatsapp</v>
      </c>
      <c r="D285" s="211" t="str">
        <f>IFERROR(__xludf.DUMMYFUNCTION("""COMPUTED_VALUE"""),"Promtional")</f>
        <v>Promtional</v>
      </c>
      <c r="E285" s="211" t="str">
        <f>IFERROR(__xludf.DUMMYFUNCTION("""COMPUTED_VALUE"""),"VS")</f>
        <v>VS</v>
      </c>
      <c r="F285" s="211" t="str">
        <f>IFERROR(__xludf.DUMMYFUNCTION("""COMPUTED_VALUE"""),"Cool bra store campaigns")</f>
        <v>Cool bra store campaigns</v>
      </c>
      <c r="G285" s="212" t="str">
        <f>IFERROR(__xludf.DUMMYFUNCTION("""COMPUTED_VALUE"""),"VS CoolBra - Stores - Orion - BLR")</f>
        <v>VS CoolBra - Stores - Orion - BLR</v>
      </c>
      <c r="H285" s="212" t="str">
        <f>IFERROR(__xludf.DUMMYFUNCTION("""COMPUTED_VALUE"""),"vs_off_txnstd_1273_feb2026")</f>
        <v>vs_off_txnstd_1273_feb2026</v>
      </c>
      <c r="I285" s="212" t="str">
        <f>IFERROR(__xludf.DUMMYFUNCTION("""COMPUTED_VALUE"""),"Offline Customers who have purchased from Store with Store Name VS Orion Bangalore , Store Code :- 1273")</f>
        <v>Offline Customers who have purchased from Store with Store Name VS Orion Bangalore , Store Code :- 1273</v>
      </c>
      <c r="J285" s="213">
        <f>IFERROR(__xludf.DUMMYFUNCTION("""COMPUTED_VALUE"""),5250.0)</f>
        <v>5250</v>
      </c>
      <c r="K285" s="213">
        <f>IFERROR(__xludf.DUMMYFUNCTION("""COMPUTED_VALUE"""),3228.0)</f>
        <v>3228</v>
      </c>
      <c r="L285" s="214">
        <f>IFERROR(__xludf.DUMMYFUNCTION("""COMPUTED_VALUE"""),0.6149)</f>
        <v>0.6149</v>
      </c>
      <c r="M285" s="213">
        <f>IFERROR(__xludf.DUMMYFUNCTION("""COMPUTED_VALUE"""),941.0)</f>
        <v>941</v>
      </c>
      <c r="N285" s="214">
        <f>IFERROR(__xludf.DUMMYFUNCTION("""COMPUTED_VALUE"""),0.2915)</f>
        <v>0.2915</v>
      </c>
      <c r="O285" s="213">
        <f>IFERROR(__xludf.DUMMYFUNCTION("""COMPUTED_VALUE"""),0.0)</f>
        <v>0</v>
      </c>
      <c r="P285" s="213">
        <f>IFERROR(__xludf.DUMMYFUNCTION("""COMPUTED_VALUE"""),0.0)</f>
        <v>0</v>
      </c>
      <c r="Q285" s="214">
        <f>IFERROR(__xludf.DUMMYFUNCTION("""COMPUTED_VALUE"""),0.0)</f>
        <v>0</v>
      </c>
      <c r="R285" s="214">
        <f>IFERROR(__xludf.DUMMYFUNCTION("""COMPUTED_VALUE"""),0.0)</f>
        <v>0</v>
      </c>
      <c r="S285" s="213">
        <f>IFERROR(__xludf.DUMMYFUNCTION("""COMPUTED_VALUE"""),0.0)</f>
        <v>0</v>
      </c>
      <c r="T285" s="213">
        <f>IFERROR(__xludf.DUMMYFUNCTION("""COMPUTED_VALUE"""),1.0)</f>
        <v>1</v>
      </c>
      <c r="U285" s="270">
        <f>IFERROR(__xludf.DUMMYFUNCTION("""COMPUTED_VALUE"""),0.0)</f>
        <v>0</v>
      </c>
      <c r="V285" s="271" t="str">
        <f>IFERROR(__xludf.DUMMYFUNCTION("""COMPUTED_VALUE"""),"offline")</f>
        <v>offline</v>
      </c>
      <c r="W285" s="272" t="str">
        <f>IFERROR(__xludf.DUMMYFUNCTION("""COMPUTED_VALUE"""),"simple")</f>
        <v>simple</v>
      </c>
      <c r="X285" s="272" t="str">
        <f>IFERROR(__xludf.DUMMYFUNCTION("""COMPUTED_VALUE"""),"Offline Stores")</f>
        <v>Offline Stores</v>
      </c>
      <c r="Y285" s="272" t="str">
        <f>IFERROR(__xludf.DUMMYFUNCTION("""COMPUTED_VALUE"""),"16th - 19th April")</f>
        <v>16th - 19th April</v>
      </c>
      <c r="Z285" s="272" t="str">
        <f>IFERROR(__xludf.DUMMYFUNCTION("""COMPUTED_VALUE"""),"69df854b0cca22884939b29a")</f>
        <v>69df854b0cca22884939b29a</v>
      </c>
      <c r="AA285" s="272">
        <f>IFERROR(__xludf.DUMMYFUNCTION("""COMPUTED_VALUE"""),11.0)</f>
        <v>11</v>
      </c>
      <c r="AB285" s="272"/>
      <c r="AC285" s="272">
        <f>IFERROR(__xludf.DUMMYFUNCTION("""COMPUTED_VALUE"""),11.0)</f>
        <v>11</v>
      </c>
      <c r="AD285" s="272">
        <f>IFERROR(__xludf.DUMMYFUNCTION("""COMPUTED_VALUE"""),92671.0)</f>
        <v>92671</v>
      </c>
      <c r="AE285" s="272"/>
      <c r="AF285" s="272">
        <f>IFERROR(__xludf.DUMMYFUNCTION("""COMPUTED_VALUE"""),92671.0)</f>
        <v>92671</v>
      </c>
      <c r="AG285" s="208"/>
      <c r="AH285" s="208"/>
      <c r="AI285" s="208"/>
      <c r="AJ285" s="208"/>
      <c r="AK285" s="208"/>
    </row>
    <row r="286">
      <c r="A286" s="209">
        <f>IFERROR(__xludf.DUMMYFUNCTION("""COMPUTED_VALUE"""),46128.0)</f>
        <v>46128</v>
      </c>
      <c r="B286" s="210">
        <f>IFERROR(__xludf.DUMMYFUNCTION("""COMPUTED_VALUE"""),0.37152777777737356)</f>
        <v>0.3715277778</v>
      </c>
      <c r="C286" s="211" t="str">
        <f>IFERROR(__xludf.DUMMYFUNCTION("""COMPUTED_VALUE"""),"Whatsapp")</f>
        <v>Whatsapp</v>
      </c>
      <c r="D286" s="211" t="str">
        <f>IFERROR(__xludf.DUMMYFUNCTION("""COMPUTED_VALUE"""),"Promtional")</f>
        <v>Promtional</v>
      </c>
      <c r="E286" s="211" t="str">
        <f>IFERROR(__xludf.DUMMYFUNCTION("""COMPUTED_VALUE"""),"VS")</f>
        <v>VS</v>
      </c>
      <c r="F286" s="211" t="str">
        <f>IFERROR(__xludf.DUMMYFUNCTION("""COMPUTED_VALUE"""),"Cool bra store campaigns")</f>
        <v>Cool bra store campaigns</v>
      </c>
      <c r="G286" s="212" t="str">
        <f>IFERROR(__xludf.DUMMYFUNCTION("""COMPUTED_VALUE"""),"VS CoolBra - Stores - LakeShore - HYD")</f>
        <v>VS CoolBra - Stores - LakeShore - HYD</v>
      </c>
      <c r="H286" s="212" t="str">
        <f>IFERROR(__xludf.DUMMYFUNCTION("""COMPUTED_VALUE"""),"vs_off_txnstd_1280_feb2026")</f>
        <v>vs_off_txnstd_1280_feb2026</v>
      </c>
      <c r="I286" s="212" t="str">
        <f>IFERROR(__xludf.DUMMYFUNCTION("""COMPUTED_VALUE"""),"Offline Customers who have purchased from Store with Store Name VS Lakeshore Hyderabad, Store Code :- 1280")</f>
        <v>Offline Customers who have purchased from Store with Store Name VS Lakeshore Hyderabad, Store Code :- 1280</v>
      </c>
      <c r="J286" s="213">
        <f>IFERROR(__xludf.DUMMYFUNCTION("""COMPUTED_VALUE"""),975.0)</f>
        <v>975</v>
      </c>
      <c r="K286" s="213">
        <f>IFERROR(__xludf.DUMMYFUNCTION("""COMPUTED_VALUE"""),678.0)</f>
        <v>678</v>
      </c>
      <c r="L286" s="214">
        <f>IFERROR(__xludf.DUMMYFUNCTION("""COMPUTED_VALUE"""),0.6954)</f>
        <v>0.6954</v>
      </c>
      <c r="M286" s="213">
        <f>IFERROR(__xludf.DUMMYFUNCTION("""COMPUTED_VALUE"""),272.0)</f>
        <v>272</v>
      </c>
      <c r="N286" s="214">
        <f>IFERROR(__xludf.DUMMYFUNCTION("""COMPUTED_VALUE"""),0.4012)</f>
        <v>0.4012</v>
      </c>
      <c r="O286" s="213">
        <f>IFERROR(__xludf.DUMMYFUNCTION("""COMPUTED_VALUE"""),0.0)</f>
        <v>0</v>
      </c>
      <c r="P286" s="213">
        <f>IFERROR(__xludf.DUMMYFUNCTION("""COMPUTED_VALUE"""),0.0)</f>
        <v>0</v>
      </c>
      <c r="Q286" s="214">
        <f>IFERROR(__xludf.DUMMYFUNCTION("""COMPUTED_VALUE"""),0.0)</f>
        <v>0</v>
      </c>
      <c r="R286" s="214">
        <f>IFERROR(__xludf.DUMMYFUNCTION("""COMPUTED_VALUE"""),0.0)</f>
        <v>0</v>
      </c>
      <c r="S286" s="213">
        <f>IFERROR(__xludf.DUMMYFUNCTION("""COMPUTED_VALUE"""),0.0)</f>
        <v>0</v>
      </c>
      <c r="T286" s="213">
        <f>IFERROR(__xludf.DUMMYFUNCTION("""COMPUTED_VALUE"""),1.0)</f>
        <v>1</v>
      </c>
      <c r="U286" s="270">
        <f>IFERROR(__xludf.DUMMYFUNCTION("""COMPUTED_VALUE"""),0.0)</f>
        <v>0</v>
      </c>
      <c r="V286" s="271" t="str">
        <f>IFERROR(__xludf.DUMMYFUNCTION("""COMPUTED_VALUE"""),"offline")</f>
        <v>offline</v>
      </c>
      <c r="W286" s="272" t="str">
        <f>IFERROR(__xludf.DUMMYFUNCTION("""COMPUTED_VALUE"""),"simple")</f>
        <v>simple</v>
      </c>
      <c r="X286" s="272" t="str">
        <f>IFERROR(__xludf.DUMMYFUNCTION("""COMPUTED_VALUE"""),"Offline Stores")</f>
        <v>Offline Stores</v>
      </c>
      <c r="Y286" s="272" t="str">
        <f>IFERROR(__xludf.DUMMYFUNCTION("""COMPUTED_VALUE"""),"16th - 19th April")</f>
        <v>16th - 19th April</v>
      </c>
      <c r="Z286" s="272" t="str">
        <f>IFERROR(__xludf.DUMMYFUNCTION("""COMPUTED_VALUE"""),"69df863865243fe45c5b8a31")</f>
        <v>69df863865243fe45c5b8a31</v>
      </c>
      <c r="AA286" s="272">
        <f>IFERROR(__xludf.DUMMYFUNCTION("""COMPUTED_VALUE"""),2.0)</f>
        <v>2</v>
      </c>
      <c r="AB286" s="272"/>
      <c r="AC286" s="272">
        <f>IFERROR(__xludf.DUMMYFUNCTION("""COMPUTED_VALUE"""),2.0)</f>
        <v>2</v>
      </c>
      <c r="AD286" s="272">
        <f>IFERROR(__xludf.DUMMYFUNCTION("""COMPUTED_VALUE"""),5398.0)</f>
        <v>5398</v>
      </c>
      <c r="AE286" s="272"/>
      <c r="AF286" s="272">
        <f>IFERROR(__xludf.DUMMYFUNCTION("""COMPUTED_VALUE"""),5398.0)</f>
        <v>5398</v>
      </c>
      <c r="AG286" s="208"/>
      <c r="AH286" s="208"/>
      <c r="AI286" s="208"/>
      <c r="AJ286" s="208"/>
      <c r="AK286" s="208"/>
    </row>
    <row r="287">
      <c r="A287" s="209">
        <f>IFERROR(__xludf.DUMMYFUNCTION("""COMPUTED_VALUE"""),46128.0)</f>
        <v>46128</v>
      </c>
      <c r="B287" s="210">
        <f>IFERROR(__xludf.DUMMYFUNCTION("""COMPUTED_VALUE"""),0.375)</f>
        <v>0.375</v>
      </c>
      <c r="C287" s="211" t="str">
        <f>IFERROR(__xludf.DUMMYFUNCTION("""COMPUTED_VALUE"""),"Whatsapp")</f>
        <v>Whatsapp</v>
      </c>
      <c r="D287" s="211" t="str">
        <f>IFERROR(__xludf.DUMMYFUNCTION("""COMPUTED_VALUE"""),"Promtional")</f>
        <v>Promtional</v>
      </c>
      <c r="E287" s="211" t="str">
        <f>IFERROR(__xludf.DUMMYFUNCTION("""COMPUTED_VALUE"""),"VS")</f>
        <v>VS</v>
      </c>
      <c r="F287" s="211" t="str">
        <f>IFERROR(__xludf.DUMMYFUNCTION("""COMPUTED_VALUE"""),"Cool bra store campaigns")</f>
        <v>Cool bra store campaigns</v>
      </c>
      <c r="G287" s="212" t="str">
        <f>IFERROR(__xludf.DUMMYFUNCTION("""COMPUTED_VALUE"""),"VS CoolBra - Stores - Palladium - Mum")</f>
        <v>VS CoolBra - Stores - Palladium - Mum</v>
      </c>
      <c r="H287" s="212" t="str">
        <f>IFERROR(__xludf.DUMMYFUNCTION("""COMPUTED_VALUE"""),"vs_off_txnstd_97001_feb2026")</f>
        <v>vs_off_txnstd_97001_feb2026</v>
      </c>
      <c r="I287" s="212" t="str">
        <f>IFERROR(__xludf.DUMMYFUNCTION("""COMPUTED_VALUE"""),"Offline Customers who have purchased from Store with Store Name :- VS PALLADIUM MUMBAI, Store Code :- 97001")</f>
        <v>Offline Customers who have purchased from Store with Store Name :- VS PALLADIUM MUMBAI, Store Code :- 97001</v>
      </c>
      <c r="J287" s="213">
        <f>IFERROR(__xludf.DUMMYFUNCTION("""COMPUTED_VALUE"""),37559.0)</f>
        <v>37559</v>
      </c>
      <c r="K287" s="213">
        <f>IFERROR(__xludf.DUMMYFUNCTION("""COMPUTED_VALUE"""),22580.0)</f>
        <v>22580</v>
      </c>
      <c r="L287" s="214">
        <f>IFERROR(__xludf.DUMMYFUNCTION("""COMPUTED_VALUE"""),0.6011)</f>
        <v>0.6011</v>
      </c>
      <c r="M287" s="213">
        <f>IFERROR(__xludf.DUMMYFUNCTION("""COMPUTED_VALUE"""),5732.0)</f>
        <v>5732</v>
      </c>
      <c r="N287" s="214">
        <f>IFERROR(__xludf.DUMMYFUNCTION("""COMPUTED_VALUE"""),0.2539)</f>
        <v>0.2539</v>
      </c>
      <c r="O287" s="213">
        <f>IFERROR(__xludf.DUMMYFUNCTION("""COMPUTED_VALUE"""),0.0)</f>
        <v>0</v>
      </c>
      <c r="P287" s="213">
        <f>IFERROR(__xludf.DUMMYFUNCTION("""COMPUTED_VALUE"""),0.0)</f>
        <v>0</v>
      </c>
      <c r="Q287" s="214">
        <f>IFERROR(__xludf.DUMMYFUNCTION("""COMPUTED_VALUE"""),0.0)</f>
        <v>0</v>
      </c>
      <c r="R287" s="214">
        <f>IFERROR(__xludf.DUMMYFUNCTION("""COMPUTED_VALUE"""),0.0)</f>
        <v>0</v>
      </c>
      <c r="S287" s="213">
        <f>IFERROR(__xludf.DUMMYFUNCTION("""COMPUTED_VALUE"""),3.0)</f>
        <v>3</v>
      </c>
      <c r="T287" s="213">
        <f>IFERROR(__xludf.DUMMYFUNCTION("""COMPUTED_VALUE"""),12.0)</f>
        <v>12</v>
      </c>
      <c r="U287" s="270">
        <f>IFERROR(__xludf.DUMMYFUNCTION("""COMPUTED_VALUE"""),62437.0)</f>
        <v>62437</v>
      </c>
      <c r="V287" s="271" t="str">
        <f>IFERROR(__xludf.DUMMYFUNCTION("""COMPUTED_VALUE"""),"offline")</f>
        <v>offline</v>
      </c>
      <c r="W287" s="272" t="str">
        <f>IFERROR(__xludf.DUMMYFUNCTION("""COMPUTED_VALUE"""),"simple")</f>
        <v>simple</v>
      </c>
      <c r="X287" s="272" t="str">
        <f>IFERROR(__xludf.DUMMYFUNCTION("""COMPUTED_VALUE"""),"Offline Stores")</f>
        <v>Offline Stores</v>
      </c>
      <c r="Y287" s="272" t="str">
        <f>IFERROR(__xludf.DUMMYFUNCTION("""COMPUTED_VALUE"""),"16th - 19th April")</f>
        <v>16th - 19th April</v>
      </c>
      <c r="Z287" s="272" t="str">
        <f>IFERROR(__xludf.DUMMYFUNCTION("""COMPUTED_VALUE"""),"69df876350cbbe4acb3ebd6b")</f>
        <v>69df876350cbbe4acb3ebd6b</v>
      </c>
      <c r="AA287" s="272">
        <f>IFERROR(__xludf.DUMMYFUNCTION("""COMPUTED_VALUE"""),97.0)</f>
        <v>97</v>
      </c>
      <c r="AB287" s="272"/>
      <c r="AC287" s="272">
        <f>IFERROR(__xludf.DUMMYFUNCTION("""COMPUTED_VALUE"""),97.0)</f>
        <v>97</v>
      </c>
      <c r="AD287" s="272">
        <f>IFERROR(__xludf.DUMMYFUNCTION("""COMPUTED_VALUE"""),1532427.0)</f>
        <v>1532427</v>
      </c>
      <c r="AE287" s="272"/>
      <c r="AF287" s="272">
        <f>IFERROR(__xludf.DUMMYFUNCTION("""COMPUTED_VALUE"""),1532427.0)</f>
        <v>1532427</v>
      </c>
      <c r="AG287" s="208"/>
      <c r="AH287" s="208"/>
      <c r="AI287" s="208"/>
      <c r="AJ287" s="208"/>
      <c r="AK287" s="208"/>
    </row>
    <row r="288">
      <c r="A288" s="209">
        <f>IFERROR(__xludf.DUMMYFUNCTION("""COMPUTED_VALUE"""),46128.0)</f>
        <v>46128</v>
      </c>
      <c r="B288" s="210">
        <f>IFERROR(__xludf.DUMMYFUNCTION("""COMPUTED_VALUE"""),0.37847222222262644)</f>
        <v>0.3784722222</v>
      </c>
      <c r="C288" s="211" t="str">
        <f>IFERROR(__xludf.DUMMYFUNCTION("""COMPUTED_VALUE"""),"Whatsapp")</f>
        <v>Whatsapp</v>
      </c>
      <c r="D288" s="211" t="str">
        <f>IFERROR(__xludf.DUMMYFUNCTION("""COMPUTED_VALUE"""),"Promtional")</f>
        <v>Promtional</v>
      </c>
      <c r="E288" s="211" t="str">
        <f>IFERROR(__xludf.DUMMYFUNCTION("""COMPUTED_VALUE"""),"VS")</f>
        <v>VS</v>
      </c>
      <c r="F288" s="211" t="str">
        <f>IFERROR(__xludf.DUMMYFUNCTION("""COMPUTED_VALUE"""),"Cool bra store campaigns")</f>
        <v>Cool bra store campaigns</v>
      </c>
      <c r="G288" s="212" t="str">
        <f>IFERROR(__xludf.DUMMYFUNCTION("""COMPUTED_VALUE"""),"VS CoolBra - Stores - Ambi - VK")</f>
        <v>VS CoolBra - Stores - Ambi - VK</v>
      </c>
      <c r="H288" s="212" t="str">
        <f>IFERROR(__xludf.DUMMYFUNCTION("""COMPUTED_VALUE"""),"vs_off_txnstd_97002_feb2026")</f>
        <v>vs_off_txnstd_97002_feb2026</v>
      </c>
      <c r="I288" s="212" t="str">
        <f>IFERROR(__xludf.DUMMYFUNCTION("""COMPUTED_VALUE"""),"Offline Customers who have purchased from Store with Store Name :- VS AMBI VK, Store Code :- 97002")</f>
        <v>Offline Customers who have purchased from Store with Store Name :- VS AMBI VK, Store Code :- 97002</v>
      </c>
      <c r="J288" s="213">
        <f>IFERROR(__xludf.DUMMYFUNCTION("""COMPUTED_VALUE"""),31890.0)</f>
        <v>31890</v>
      </c>
      <c r="K288" s="213">
        <f>IFERROR(__xludf.DUMMYFUNCTION("""COMPUTED_VALUE"""),18389.0)</f>
        <v>18389</v>
      </c>
      <c r="L288" s="214">
        <f>IFERROR(__xludf.DUMMYFUNCTION("""COMPUTED_VALUE"""),0.5766)</f>
        <v>0.5766</v>
      </c>
      <c r="M288" s="213">
        <f>IFERROR(__xludf.DUMMYFUNCTION("""COMPUTED_VALUE"""),4257.0)</f>
        <v>4257</v>
      </c>
      <c r="N288" s="214">
        <f>IFERROR(__xludf.DUMMYFUNCTION("""COMPUTED_VALUE"""),0.2315)</f>
        <v>0.2315</v>
      </c>
      <c r="O288" s="213">
        <f>IFERROR(__xludf.DUMMYFUNCTION("""COMPUTED_VALUE"""),0.0)</f>
        <v>0</v>
      </c>
      <c r="P288" s="213">
        <f>IFERROR(__xludf.DUMMYFUNCTION("""COMPUTED_VALUE"""),0.0)</f>
        <v>0</v>
      </c>
      <c r="Q288" s="214">
        <f>IFERROR(__xludf.DUMMYFUNCTION("""COMPUTED_VALUE"""),0.0)</f>
        <v>0</v>
      </c>
      <c r="R288" s="214">
        <f>IFERROR(__xludf.DUMMYFUNCTION("""COMPUTED_VALUE"""),0.0)</f>
        <v>0</v>
      </c>
      <c r="S288" s="213">
        <f>IFERROR(__xludf.DUMMYFUNCTION("""COMPUTED_VALUE"""),0.0)</f>
        <v>0</v>
      </c>
      <c r="T288" s="213">
        <f>IFERROR(__xludf.DUMMYFUNCTION("""COMPUTED_VALUE"""),10.0)</f>
        <v>10</v>
      </c>
      <c r="U288" s="270">
        <f>IFERROR(__xludf.DUMMYFUNCTION("""COMPUTED_VALUE"""),0.0)</f>
        <v>0</v>
      </c>
      <c r="V288" s="271" t="str">
        <f>IFERROR(__xludf.DUMMYFUNCTION("""COMPUTED_VALUE"""),"offline")</f>
        <v>offline</v>
      </c>
      <c r="W288" s="272" t="str">
        <f>IFERROR(__xludf.DUMMYFUNCTION("""COMPUTED_VALUE"""),"simple")</f>
        <v>simple</v>
      </c>
      <c r="X288" s="272" t="str">
        <f>IFERROR(__xludf.DUMMYFUNCTION("""COMPUTED_VALUE"""),"Offline Stores")</f>
        <v>Offline Stores</v>
      </c>
      <c r="Y288" s="272" t="str">
        <f>IFERROR(__xludf.DUMMYFUNCTION("""COMPUTED_VALUE"""),"16th - 19th April")</f>
        <v>16th - 19th April</v>
      </c>
      <c r="Z288" s="272" t="str">
        <f>IFERROR(__xludf.DUMMYFUNCTION("""COMPUTED_VALUE"""),"69df8794b6dd3a2b1051eea6")</f>
        <v>69df8794b6dd3a2b1051eea6</v>
      </c>
      <c r="AA288" s="272">
        <f>IFERROR(__xludf.DUMMYFUNCTION("""COMPUTED_VALUE"""),58.0)</f>
        <v>58</v>
      </c>
      <c r="AB288" s="272"/>
      <c r="AC288" s="272">
        <f>IFERROR(__xludf.DUMMYFUNCTION("""COMPUTED_VALUE"""),58.0)</f>
        <v>58</v>
      </c>
      <c r="AD288" s="272">
        <f>IFERROR(__xludf.DUMMYFUNCTION("""COMPUTED_VALUE"""),1072800.0)</f>
        <v>1072800</v>
      </c>
      <c r="AE288" s="272"/>
      <c r="AF288" s="272">
        <f>IFERROR(__xludf.DUMMYFUNCTION("""COMPUTED_VALUE"""),1072800.0)</f>
        <v>1072800</v>
      </c>
      <c r="AG288" s="208"/>
      <c r="AH288" s="208"/>
      <c r="AI288" s="208"/>
      <c r="AJ288" s="208"/>
      <c r="AK288" s="208"/>
    </row>
    <row r="289">
      <c r="A289" s="209">
        <f>IFERROR(__xludf.DUMMYFUNCTION("""COMPUTED_VALUE"""),46128.0)</f>
        <v>46128</v>
      </c>
      <c r="B289" s="210">
        <f>IFERROR(__xludf.DUMMYFUNCTION("""COMPUTED_VALUE"""),0.3819444444452529)</f>
        <v>0.3819444444</v>
      </c>
      <c r="C289" s="211" t="str">
        <f>IFERROR(__xludf.DUMMYFUNCTION("""COMPUTED_VALUE"""),"Whatsapp")</f>
        <v>Whatsapp</v>
      </c>
      <c r="D289" s="211" t="str">
        <f>IFERROR(__xludf.DUMMYFUNCTION("""COMPUTED_VALUE"""),"Promtional")</f>
        <v>Promtional</v>
      </c>
      <c r="E289" s="211" t="str">
        <f>IFERROR(__xludf.DUMMYFUNCTION("""COMPUTED_VALUE"""),"VS")</f>
        <v>VS</v>
      </c>
      <c r="F289" s="211" t="str">
        <f>IFERROR(__xludf.DUMMYFUNCTION("""COMPUTED_VALUE"""),"Cool bra store campaigns")</f>
        <v>Cool bra store campaigns</v>
      </c>
      <c r="G289" s="212" t="str">
        <f>IFERROR(__xludf.DUMMYFUNCTION("""COMPUTED_VALUE"""),"VS CoolBra - Stores - Ambi - GGN")</f>
        <v>VS CoolBra - Stores - Ambi - GGN</v>
      </c>
      <c r="H289" s="212" t="str">
        <f>IFERROR(__xludf.DUMMYFUNCTION("""COMPUTED_VALUE"""),"vs_off_pr_97003_16thmarch")</f>
        <v>vs_off_pr_97003_16thmarch</v>
      </c>
      <c r="I289" s="212" t="str">
        <f>IFERROR(__xludf.DUMMYFUNCTION("""COMPUTED_VALUE"""),"Offline Customers who have purchased from Store with Store Name :- VS AMBI GURGAON, Store Code :- 97003")</f>
        <v>Offline Customers who have purchased from Store with Store Name :- VS AMBI GURGAON, Store Code :- 97003</v>
      </c>
      <c r="J289" s="213">
        <f>IFERROR(__xludf.DUMMYFUNCTION("""COMPUTED_VALUE"""),32547.0)</f>
        <v>32547</v>
      </c>
      <c r="K289" s="213">
        <f>IFERROR(__xludf.DUMMYFUNCTION("""COMPUTED_VALUE"""),19662.0)</f>
        <v>19662</v>
      </c>
      <c r="L289" s="214">
        <f>IFERROR(__xludf.DUMMYFUNCTION("""COMPUTED_VALUE"""),0.604)</f>
        <v>0.604</v>
      </c>
      <c r="M289" s="213">
        <f>IFERROR(__xludf.DUMMYFUNCTION("""COMPUTED_VALUE"""),4682.0)</f>
        <v>4682</v>
      </c>
      <c r="N289" s="214">
        <f>IFERROR(__xludf.DUMMYFUNCTION("""COMPUTED_VALUE"""),0.2382)</f>
        <v>0.2382</v>
      </c>
      <c r="O289" s="213">
        <f>IFERROR(__xludf.DUMMYFUNCTION("""COMPUTED_VALUE"""),0.0)</f>
        <v>0</v>
      </c>
      <c r="P289" s="213">
        <f>IFERROR(__xludf.DUMMYFUNCTION("""COMPUTED_VALUE"""),0.0)</f>
        <v>0</v>
      </c>
      <c r="Q289" s="214">
        <f>IFERROR(__xludf.DUMMYFUNCTION("""COMPUTED_VALUE"""),0.0)</f>
        <v>0</v>
      </c>
      <c r="R289" s="214">
        <f>IFERROR(__xludf.DUMMYFUNCTION("""COMPUTED_VALUE"""),0.0)</f>
        <v>0</v>
      </c>
      <c r="S289" s="213">
        <f>IFERROR(__xludf.DUMMYFUNCTION("""COMPUTED_VALUE"""),2.0)</f>
        <v>2</v>
      </c>
      <c r="T289" s="213">
        <f>IFERROR(__xludf.DUMMYFUNCTION("""COMPUTED_VALUE"""),9.0)</f>
        <v>9</v>
      </c>
      <c r="U289" s="270">
        <f>IFERROR(__xludf.DUMMYFUNCTION("""COMPUTED_VALUE"""),5698.0)</f>
        <v>5698</v>
      </c>
      <c r="V289" s="271" t="str">
        <f>IFERROR(__xludf.DUMMYFUNCTION("""COMPUTED_VALUE"""),"offline")</f>
        <v>offline</v>
      </c>
      <c r="W289" s="272" t="str">
        <f>IFERROR(__xludf.DUMMYFUNCTION("""COMPUTED_VALUE"""),"simple")</f>
        <v>simple</v>
      </c>
      <c r="X289" s="272" t="str">
        <f>IFERROR(__xludf.DUMMYFUNCTION("""COMPUTED_VALUE"""),"Offline Stores")</f>
        <v>Offline Stores</v>
      </c>
      <c r="Y289" s="272" t="str">
        <f>IFERROR(__xludf.DUMMYFUNCTION("""COMPUTED_VALUE"""),"16th - 19th April")</f>
        <v>16th - 19th April</v>
      </c>
      <c r="Z289" s="272" t="str">
        <f>IFERROR(__xludf.DUMMYFUNCTION("""COMPUTED_VALUE"""),"69df882a0ec765812cf6bef6")</f>
        <v>69df882a0ec765812cf6bef6</v>
      </c>
      <c r="AA289" s="272">
        <f>IFERROR(__xludf.DUMMYFUNCTION("""COMPUTED_VALUE"""),51.0)</f>
        <v>51</v>
      </c>
      <c r="AB289" s="272"/>
      <c r="AC289" s="272">
        <f>IFERROR(__xludf.DUMMYFUNCTION("""COMPUTED_VALUE"""),51.0)</f>
        <v>51</v>
      </c>
      <c r="AD289" s="272">
        <f>IFERROR(__xludf.DUMMYFUNCTION("""COMPUTED_VALUE"""),659141.0)</f>
        <v>659141</v>
      </c>
      <c r="AE289" s="272"/>
      <c r="AF289" s="272">
        <f>IFERROR(__xludf.DUMMYFUNCTION("""COMPUTED_VALUE"""),659141.0)</f>
        <v>659141</v>
      </c>
      <c r="AG289" s="208"/>
      <c r="AH289" s="208"/>
      <c r="AI289" s="208"/>
      <c r="AJ289" s="208"/>
      <c r="AK289" s="208"/>
    </row>
    <row r="290">
      <c r="A290" s="209">
        <f>IFERROR(__xludf.DUMMYFUNCTION("""COMPUTED_VALUE"""),46128.0)</f>
        <v>46128</v>
      </c>
      <c r="B290" s="210">
        <f>IFERROR(__xludf.DUMMYFUNCTION("""COMPUTED_VALUE"""),0.3854166666678793)</f>
        <v>0.3854166667</v>
      </c>
      <c r="C290" s="211" t="str">
        <f>IFERROR(__xludf.DUMMYFUNCTION("""COMPUTED_VALUE"""),"Whatsapp")</f>
        <v>Whatsapp</v>
      </c>
      <c r="D290" s="211" t="str">
        <f>IFERROR(__xludf.DUMMYFUNCTION("""COMPUTED_VALUE"""),"Promtional")</f>
        <v>Promtional</v>
      </c>
      <c r="E290" s="211" t="str">
        <f>IFERROR(__xludf.DUMMYFUNCTION("""COMPUTED_VALUE"""),"VS")</f>
        <v>VS</v>
      </c>
      <c r="F290" s="211" t="str">
        <f>IFERROR(__xludf.DUMMYFUNCTION("""COMPUTED_VALUE"""),"Cool bra store campaigns")</f>
        <v>Cool bra store campaigns</v>
      </c>
      <c r="G290" s="212" t="str">
        <f>IFERROR(__xludf.DUMMYFUNCTION("""COMPUTED_VALUE"""),"VS CoolBra - Stores - MOA - BLR")</f>
        <v>VS CoolBra - Stores - MOA - BLR</v>
      </c>
      <c r="H290" s="212" t="str">
        <f>IFERROR(__xludf.DUMMYFUNCTION("""COMPUTED_VALUE"""),"vs_off_pr_FA_97004_14_April")</f>
        <v>vs_off_pr_FA_97004_14_April</v>
      </c>
      <c r="I290" s="212" t="str">
        <f>IFERROR(__xludf.DUMMYFUNCTION("""COMPUTED_VALUE"""),"Offline Customers who have purchased from Store with Store Name :- VS MALL OF ASIA, Store code :- 97004")</f>
        <v>Offline Customers who have purchased from Store with Store Name :- VS MALL OF ASIA, Store code :- 97004</v>
      </c>
      <c r="J290" s="213">
        <f>IFERROR(__xludf.DUMMYFUNCTION("""COMPUTED_VALUE"""),20790.0)</f>
        <v>20790</v>
      </c>
      <c r="K290" s="213">
        <f>IFERROR(__xludf.DUMMYFUNCTION("""COMPUTED_VALUE"""),12536.0)</f>
        <v>12536</v>
      </c>
      <c r="L290" s="214">
        <f>IFERROR(__xludf.DUMMYFUNCTION("""COMPUTED_VALUE"""),0.6029)</f>
        <v>0.6029</v>
      </c>
      <c r="M290" s="213">
        <f>IFERROR(__xludf.DUMMYFUNCTION("""COMPUTED_VALUE"""),3368.0)</f>
        <v>3368</v>
      </c>
      <c r="N290" s="214">
        <f>IFERROR(__xludf.DUMMYFUNCTION("""COMPUTED_VALUE"""),0.2687)</f>
        <v>0.2687</v>
      </c>
      <c r="O290" s="213">
        <f>IFERROR(__xludf.DUMMYFUNCTION("""COMPUTED_VALUE"""),0.0)</f>
        <v>0</v>
      </c>
      <c r="P290" s="213">
        <f>IFERROR(__xludf.DUMMYFUNCTION("""COMPUTED_VALUE"""),0.0)</f>
        <v>0</v>
      </c>
      <c r="Q290" s="214">
        <f>IFERROR(__xludf.DUMMYFUNCTION("""COMPUTED_VALUE"""),0.0)</f>
        <v>0</v>
      </c>
      <c r="R290" s="214">
        <f>IFERROR(__xludf.DUMMYFUNCTION("""COMPUTED_VALUE"""),0.0)</f>
        <v>0</v>
      </c>
      <c r="S290" s="213">
        <f>IFERROR(__xludf.DUMMYFUNCTION("""COMPUTED_VALUE"""),0.0)</f>
        <v>0</v>
      </c>
      <c r="T290" s="213">
        <f>IFERROR(__xludf.DUMMYFUNCTION("""COMPUTED_VALUE"""),3.0)</f>
        <v>3</v>
      </c>
      <c r="U290" s="270">
        <f>IFERROR(__xludf.DUMMYFUNCTION("""COMPUTED_VALUE"""),0.0)</f>
        <v>0</v>
      </c>
      <c r="V290" s="271" t="str">
        <f>IFERROR(__xludf.DUMMYFUNCTION("""COMPUTED_VALUE"""),"offline")</f>
        <v>offline</v>
      </c>
      <c r="W290" s="272" t="str">
        <f>IFERROR(__xludf.DUMMYFUNCTION("""COMPUTED_VALUE"""),"simple")</f>
        <v>simple</v>
      </c>
      <c r="X290" s="272" t="str">
        <f>IFERROR(__xludf.DUMMYFUNCTION("""COMPUTED_VALUE"""),"Offline Stores")</f>
        <v>Offline Stores</v>
      </c>
      <c r="Y290" s="272" t="str">
        <f>IFERROR(__xludf.DUMMYFUNCTION("""COMPUTED_VALUE"""),"16th - 19th April")</f>
        <v>16th - 19th April</v>
      </c>
      <c r="Z290" s="272" t="str">
        <f>IFERROR(__xludf.DUMMYFUNCTION("""COMPUTED_VALUE"""),"69df885191fca74bb9df8a68")</f>
        <v>69df885191fca74bb9df8a68</v>
      </c>
      <c r="AA290" s="272">
        <f>IFERROR(__xludf.DUMMYFUNCTION("""COMPUTED_VALUE"""),44.0)</f>
        <v>44</v>
      </c>
      <c r="AB290" s="272"/>
      <c r="AC290" s="272">
        <f>IFERROR(__xludf.DUMMYFUNCTION("""COMPUTED_VALUE"""),44.0)</f>
        <v>44</v>
      </c>
      <c r="AD290" s="272">
        <f>IFERROR(__xludf.DUMMYFUNCTION("""COMPUTED_VALUE"""),407868.0)</f>
        <v>407868</v>
      </c>
      <c r="AE290" s="272"/>
      <c r="AF290" s="272">
        <f>IFERROR(__xludf.DUMMYFUNCTION("""COMPUTED_VALUE"""),407868.0)</f>
        <v>407868</v>
      </c>
      <c r="AG290" s="208"/>
      <c r="AH290" s="208"/>
      <c r="AI290" s="208"/>
      <c r="AJ290" s="208"/>
      <c r="AK290" s="208"/>
    </row>
    <row r="291">
      <c r="A291" s="209">
        <f>IFERROR(__xludf.DUMMYFUNCTION("""COMPUTED_VALUE"""),46128.0)</f>
        <v>46128</v>
      </c>
      <c r="B291" s="210">
        <f>IFERROR(__xludf.DUMMYFUNCTION("""COMPUTED_VALUE"""),0.38888888889050577)</f>
        <v>0.3888888889</v>
      </c>
      <c r="C291" s="211" t="str">
        <f>IFERROR(__xludf.DUMMYFUNCTION("""COMPUTED_VALUE"""),"Whatsapp")</f>
        <v>Whatsapp</v>
      </c>
      <c r="D291" s="211" t="str">
        <f>IFERROR(__xludf.DUMMYFUNCTION("""COMPUTED_VALUE"""),"Promtional")</f>
        <v>Promtional</v>
      </c>
      <c r="E291" s="211" t="str">
        <f>IFERROR(__xludf.DUMMYFUNCTION("""COMPUTED_VALUE"""),"VS")</f>
        <v>VS</v>
      </c>
      <c r="F291" s="211" t="str">
        <f>IFERROR(__xludf.DUMMYFUNCTION("""COMPUTED_VALUE"""),"Cool bra store campaigns")</f>
        <v>Cool bra store campaigns</v>
      </c>
      <c r="G291" s="212" t="str">
        <f>IFERROR(__xludf.DUMMYFUNCTION("""COMPUTED_VALUE"""),"VS CoolBra - Stores - MOM - Pune")</f>
        <v>VS CoolBra - Stores - MOM - Pune</v>
      </c>
      <c r="H291" s="212" t="str">
        <f>IFERROR(__xludf.DUMMYFUNCTION("""COMPUTED_VALUE"""),"vs_off_txnstd_97005_feb2026")</f>
        <v>vs_off_txnstd_97005_feb2026</v>
      </c>
      <c r="I291" s="212" t="str">
        <f>IFERROR(__xludf.DUMMYFUNCTION("""COMPUTED_VALUE"""),"Offline Customers who have purchased from Store with Store Name :- VS BA MALL OF MILLENNIUM, Store Code :- 97005")</f>
        <v>Offline Customers who have purchased from Store with Store Name :- VS BA MALL OF MILLENNIUM, Store Code :- 97005</v>
      </c>
      <c r="J291" s="213">
        <f>IFERROR(__xludf.DUMMYFUNCTION("""COMPUTED_VALUE"""),10685.0)</f>
        <v>10685</v>
      </c>
      <c r="K291" s="213">
        <f>IFERROR(__xludf.DUMMYFUNCTION("""COMPUTED_VALUE"""),6990.0)</f>
        <v>6990</v>
      </c>
      <c r="L291" s="214">
        <f>IFERROR(__xludf.DUMMYFUNCTION("""COMPUTED_VALUE"""),0.654)</f>
        <v>0.654</v>
      </c>
      <c r="M291" s="213">
        <f>IFERROR(__xludf.DUMMYFUNCTION("""COMPUTED_VALUE"""),2071.0)</f>
        <v>2071</v>
      </c>
      <c r="N291" s="214">
        <f>IFERROR(__xludf.DUMMYFUNCTION("""COMPUTED_VALUE"""),0.2964)</f>
        <v>0.2964</v>
      </c>
      <c r="O291" s="213">
        <f>IFERROR(__xludf.DUMMYFUNCTION("""COMPUTED_VALUE"""),0.0)</f>
        <v>0</v>
      </c>
      <c r="P291" s="213">
        <f>IFERROR(__xludf.DUMMYFUNCTION("""COMPUTED_VALUE"""),0.0)</f>
        <v>0</v>
      </c>
      <c r="Q291" s="214">
        <f>IFERROR(__xludf.DUMMYFUNCTION("""COMPUTED_VALUE"""),0.0)</f>
        <v>0</v>
      </c>
      <c r="R291" s="214">
        <f>IFERROR(__xludf.DUMMYFUNCTION("""COMPUTED_VALUE"""),0.0)</f>
        <v>0</v>
      </c>
      <c r="S291" s="213">
        <f>IFERROR(__xludf.DUMMYFUNCTION("""COMPUTED_VALUE"""),0.0)</f>
        <v>0</v>
      </c>
      <c r="T291" s="213">
        <f>IFERROR(__xludf.DUMMYFUNCTION("""COMPUTED_VALUE"""),2.0)</f>
        <v>2</v>
      </c>
      <c r="U291" s="270">
        <f>IFERROR(__xludf.DUMMYFUNCTION("""COMPUTED_VALUE"""),0.0)</f>
        <v>0</v>
      </c>
      <c r="V291" s="271" t="str">
        <f>IFERROR(__xludf.DUMMYFUNCTION("""COMPUTED_VALUE"""),"offline")</f>
        <v>offline</v>
      </c>
      <c r="W291" s="272" t="str">
        <f>IFERROR(__xludf.DUMMYFUNCTION("""COMPUTED_VALUE"""),"simple")</f>
        <v>simple</v>
      </c>
      <c r="X291" s="272" t="str">
        <f>IFERROR(__xludf.DUMMYFUNCTION("""COMPUTED_VALUE"""),"Offline Stores")</f>
        <v>Offline Stores</v>
      </c>
      <c r="Y291" s="272" t="str">
        <f>IFERROR(__xludf.DUMMYFUNCTION("""COMPUTED_VALUE"""),"16th - 19th April")</f>
        <v>16th - 19th April</v>
      </c>
      <c r="Z291" s="272" t="str">
        <f>IFERROR(__xludf.DUMMYFUNCTION("""COMPUTED_VALUE"""),"69df8870e370fdcaeece48c8")</f>
        <v>69df8870e370fdcaeece48c8</v>
      </c>
      <c r="AA291" s="272">
        <f>IFERROR(__xludf.DUMMYFUNCTION("""COMPUTED_VALUE"""),13.0)</f>
        <v>13</v>
      </c>
      <c r="AB291" s="272"/>
      <c r="AC291" s="272">
        <f>IFERROR(__xludf.DUMMYFUNCTION("""COMPUTED_VALUE"""),13.0)</f>
        <v>13</v>
      </c>
      <c r="AD291" s="272">
        <f>IFERROR(__xludf.DUMMYFUNCTION("""COMPUTED_VALUE"""),52381.0)</f>
        <v>52381</v>
      </c>
      <c r="AE291" s="272"/>
      <c r="AF291" s="272">
        <f>IFERROR(__xludf.DUMMYFUNCTION("""COMPUTED_VALUE"""),52381.0)</f>
        <v>52381</v>
      </c>
      <c r="AG291" s="208"/>
      <c r="AH291" s="208"/>
      <c r="AI291" s="208"/>
      <c r="AJ291" s="208"/>
      <c r="AK291" s="208"/>
    </row>
    <row r="292">
      <c r="A292" s="209">
        <f>IFERROR(__xludf.DUMMYFUNCTION("""COMPUTED_VALUE"""),46128.0)</f>
        <v>46128</v>
      </c>
      <c r="B292" s="210">
        <f>IFERROR(__xludf.DUMMYFUNCTION("""COMPUTED_VALUE"""),0.39236111110949423)</f>
        <v>0.3923611111</v>
      </c>
      <c r="C292" s="211" t="str">
        <f>IFERROR(__xludf.DUMMYFUNCTION("""COMPUTED_VALUE"""),"Whatsapp")</f>
        <v>Whatsapp</v>
      </c>
      <c r="D292" s="211" t="str">
        <f>IFERROR(__xludf.DUMMYFUNCTION("""COMPUTED_VALUE"""),"Promtional")</f>
        <v>Promtional</v>
      </c>
      <c r="E292" s="211" t="str">
        <f>IFERROR(__xludf.DUMMYFUNCTION("""COMPUTED_VALUE"""),"VS")</f>
        <v>VS</v>
      </c>
      <c r="F292" s="211" t="str">
        <f>IFERROR(__xludf.DUMMYFUNCTION("""COMPUTED_VALUE"""),"Cool bra store campaigns")</f>
        <v>Cool bra store campaigns</v>
      </c>
      <c r="G292" s="212" t="str">
        <f>IFERROR(__xludf.DUMMYFUNCTION("""COMPUTED_VALUE"""),"VS CoolBra - Stores - Inorbit HYD")</f>
        <v>VS CoolBra - Stores - Inorbit HYD</v>
      </c>
      <c r="H292" s="212" t="str">
        <f>IFERROR(__xludf.DUMMYFUNCTION("""COMPUTED_VALUE"""),"vs_off_txnstd_97006_feb2026")</f>
        <v>vs_off_txnstd_97006_feb2026</v>
      </c>
      <c r="I292" s="212" t="str">
        <f>IFERROR(__xludf.DUMMYFUNCTION("""COMPUTED_VALUE"""),"Offline Customers who have purchased from Store with Store Name :- VS BA INORBIT HYDERABAD, Store Code :- 97006")</f>
        <v>Offline Customers who have purchased from Store with Store Name :- VS BA INORBIT HYDERABAD, Store Code :- 97006</v>
      </c>
      <c r="J292" s="213">
        <f>IFERROR(__xludf.DUMMYFUNCTION("""COMPUTED_VALUE"""),12154.0)</f>
        <v>12154</v>
      </c>
      <c r="K292" s="213">
        <f>IFERROR(__xludf.DUMMYFUNCTION("""COMPUTED_VALUE"""),7603.0)</f>
        <v>7603</v>
      </c>
      <c r="L292" s="214">
        <f>IFERROR(__xludf.DUMMYFUNCTION("""COMPUTED_VALUE"""),0.6255)</f>
        <v>0.6255</v>
      </c>
      <c r="M292" s="213">
        <f>IFERROR(__xludf.DUMMYFUNCTION("""COMPUTED_VALUE"""),2092.0)</f>
        <v>2092</v>
      </c>
      <c r="N292" s="214">
        <f>IFERROR(__xludf.DUMMYFUNCTION("""COMPUTED_VALUE"""),0.2752)</f>
        <v>0.2752</v>
      </c>
      <c r="O292" s="213">
        <f>IFERROR(__xludf.DUMMYFUNCTION("""COMPUTED_VALUE"""),0.0)</f>
        <v>0</v>
      </c>
      <c r="P292" s="213">
        <f>IFERROR(__xludf.DUMMYFUNCTION("""COMPUTED_VALUE"""),0.0)</f>
        <v>0</v>
      </c>
      <c r="Q292" s="214">
        <f>IFERROR(__xludf.DUMMYFUNCTION("""COMPUTED_VALUE"""),0.0)</f>
        <v>0</v>
      </c>
      <c r="R292" s="214">
        <f>IFERROR(__xludf.DUMMYFUNCTION("""COMPUTED_VALUE"""),0.0)</f>
        <v>0</v>
      </c>
      <c r="S292" s="213">
        <f>IFERROR(__xludf.DUMMYFUNCTION("""COMPUTED_VALUE"""),0.0)</f>
        <v>0</v>
      </c>
      <c r="T292" s="213">
        <f>IFERROR(__xludf.DUMMYFUNCTION("""COMPUTED_VALUE"""),2.0)</f>
        <v>2</v>
      </c>
      <c r="U292" s="270">
        <f>IFERROR(__xludf.DUMMYFUNCTION("""COMPUTED_VALUE"""),0.0)</f>
        <v>0</v>
      </c>
      <c r="V292" s="271" t="str">
        <f>IFERROR(__xludf.DUMMYFUNCTION("""COMPUTED_VALUE"""),"offline")</f>
        <v>offline</v>
      </c>
      <c r="W292" s="272" t="str">
        <f>IFERROR(__xludf.DUMMYFUNCTION("""COMPUTED_VALUE"""),"simple")</f>
        <v>simple</v>
      </c>
      <c r="X292" s="272" t="str">
        <f>IFERROR(__xludf.DUMMYFUNCTION("""COMPUTED_VALUE"""),"Offline Stores")</f>
        <v>Offline Stores</v>
      </c>
      <c r="Y292" s="272" t="str">
        <f>IFERROR(__xludf.DUMMYFUNCTION("""COMPUTED_VALUE"""),"16th - 19th April")</f>
        <v>16th - 19th April</v>
      </c>
      <c r="Z292" s="272" t="str">
        <f>IFERROR(__xludf.DUMMYFUNCTION("""COMPUTED_VALUE"""),"69df88a26903da16f208d3d0")</f>
        <v>69df88a26903da16f208d3d0</v>
      </c>
      <c r="AA292" s="272">
        <f>IFERROR(__xludf.DUMMYFUNCTION("""COMPUTED_VALUE"""),24.0)</f>
        <v>24</v>
      </c>
      <c r="AB292" s="272"/>
      <c r="AC292" s="272">
        <f>IFERROR(__xludf.DUMMYFUNCTION("""COMPUTED_VALUE"""),24.0)</f>
        <v>24</v>
      </c>
      <c r="AD292" s="272">
        <f>IFERROR(__xludf.DUMMYFUNCTION("""COMPUTED_VALUE"""),178030.0)</f>
        <v>178030</v>
      </c>
      <c r="AE292" s="272"/>
      <c r="AF292" s="272">
        <f>IFERROR(__xludf.DUMMYFUNCTION("""COMPUTED_VALUE"""),178030.0)</f>
        <v>178030</v>
      </c>
      <c r="AG292" s="208"/>
      <c r="AH292" s="208"/>
      <c r="AI292" s="208"/>
      <c r="AJ292" s="208"/>
      <c r="AK292" s="208"/>
    </row>
    <row r="293">
      <c r="A293" s="209">
        <f>IFERROR(__xludf.DUMMYFUNCTION("""COMPUTED_VALUE"""),46128.0)</f>
        <v>46128</v>
      </c>
      <c r="B293" s="210">
        <f>IFERROR(__xludf.DUMMYFUNCTION("""COMPUTED_VALUE"""),0.3958333333321207)</f>
        <v>0.3958333333</v>
      </c>
      <c r="C293" s="211" t="str">
        <f>IFERROR(__xludf.DUMMYFUNCTION("""COMPUTED_VALUE"""),"Whatsapp")</f>
        <v>Whatsapp</v>
      </c>
      <c r="D293" s="211" t="str">
        <f>IFERROR(__xludf.DUMMYFUNCTION("""COMPUTED_VALUE"""),"Promtional")</f>
        <v>Promtional</v>
      </c>
      <c r="E293" s="211" t="str">
        <f>IFERROR(__xludf.DUMMYFUNCTION("""COMPUTED_VALUE"""),"VS")</f>
        <v>VS</v>
      </c>
      <c r="F293" s="211" t="str">
        <f>IFERROR(__xludf.DUMMYFUNCTION("""COMPUTED_VALUE"""),"Cool bra store campaigns")</f>
        <v>Cool bra store campaigns</v>
      </c>
      <c r="G293" s="212" t="str">
        <f>IFERROR(__xludf.DUMMYFUNCTION("""COMPUTED_VALUE"""),"VS CoolBra - Stores - KOPA Pune")</f>
        <v>VS CoolBra - Stores - KOPA Pune</v>
      </c>
      <c r="H293" s="212" t="str">
        <f>IFERROR(__xludf.DUMMYFUNCTION("""COMPUTED_VALUE"""),"vs_off_txnstd_97007_feb2026")</f>
        <v>vs_off_txnstd_97007_feb2026</v>
      </c>
      <c r="I293" s="212" t="str">
        <f>IFERROR(__xludf.DUMMYFUNCTION("""COMPUTED_VALUE"""),"Offline Customers who have purchased from Store with Store Name :- VS BA KOPA PUNE, Store Code :- 97007")</f>
        <v>Offline Customers who have purchased from Store with Store Name :- VS BA KOPA PUNE, Store Code :- 97007</v>
      </c>
      <c r="J293" s="213">
        <f>IFERROR(__xludf.DUMMYFUNCTION("""COMPUTED_VALUE"""),6595.0)</f>
        <v>6595</v>
      </c>
      <c r="K293" s="213">
        <f>IFERROR(__xludf.DUMMYFUNCTION("""COMPUTED_VALUE"""),4186.0)</f>
        <v>4186</v>
      </c>
      <c r="L293" s="214">
        <f>IFERROR(__xludf.DUMMYFUNCTION("""COMPUTED_VALUE"""),0.6346)</f>
        <v>0.6346</v>
      </c>
      <c r="M293" s="213">
        <f>IFERROR(__xludf.DUMMYFUNCTION("""COMPUTED_VALUE"""),1153.0)</f>
        <v>1153</v>
      </c>
      <c r="N293" s="214">
        <f>IFERROR(__xludf.DUMMYFUNCTION("""COMPUTED_VALUE"""),0.2755)</f>
        <v>0.2755</v>
      </c>
      <c r="O293" s="213">
        <f>IFERROR(__xludf.DUMMYFUNCTION("""COMPUTED_VALUE"""),0.0)</f>
        <v>0</v>
      </c>
      <c r="P293" s="213">
        <f>IFERROR(__xludf.DUMMYFUNCTION("""COMPUTED_VALUE"""),0.0)</f>
        <v>0</v>
      </c>
      <c r="Q293" s="214">
        <f>IFERROR(__xludf.DUMMYFUNCTION("""COMPUTED_VALUE"""),0.0)</f>
        <v>0</v>
      </c>
      <c r="R293" s="214">
        <f>IFERROR(__xludf.DUMMYFUNCTION("""COMPUTED_VALUE"""),0.0)</f>
        <v>0</v>
      </c>
      <c r="S293" s="213">
        <f>IFERROR(__xludf.DUMMYFUNCTION("""COMPUTED_VALUE"""),1.0)</f>
        <v>1</v>
      </c>
      <c r="T293" s="213">
        <f>IFERROR(__xludf.DUMMYFUNCTION("""COMPUTED_VALUE"""),1.0)</f>
        <v>1</v>
      </c>
      <c r="U293" s="270">
        <f>IFERROR(__xludf.DUMMYFUNCTION("""COMPUTED_VALUE"""),2799.0)</f>
        <v>2799</v>
      </c>
      <c r="V293" s="271" t="str">
        <f>IFERROR(__xludf.DUMMYFUNCTION("""COMPUTED_VALUE"""),"offline")</f>
        <v>offline</v>
      </c>
      <c r="W293" s="272" t="str">
        <f>IFERROR(__xludf.DUMMYFUNCTION("""COMPUTED_VALUE"""),"simple")</f>
        <v>simple</v>
      </c>
      <c r="X293" s="272" t="str">
        <f>IFERROR(__xludf.DUMMYFUNCTION("""COMPUTED_VALUE"""),"Offline Stores")</f>
        <v>Offline Stores</v>
      </c>
      <c r="Y293" s="272" t="str">
        <f>IFERROR(__xludf.DUMMYFUNCTION("""COMPUTED_VALUE"""),"16th - 19th April")</f>
        <v>16th - 19th April</v>
      </c>
      <c r="Z293" s="272" t="str">
        <f>IFERROR(__xludf.DUMMYFUNCTION("""COMPUTED_VALUE"""),"69df88c239e17f208b9401ba")</f>
        <v>69df88c239e17f208b9401ba</v>
      </c>
      <c r="AA293" s="272">
        <f>IFERROR(__xludf.DUMMYFUNCTION("""COMPUTED_VALUE"""),11.0)</f>
        <v>11</v>
      </c>
      <c r="AB293" s="272"/>
      <c r="AC293" s="272">
        <f>IFERROR(__xludf.DUMMYFUNCTION("""COMPUTED_VALUE"""),11.0)</f>
        <v>11</v>
      </c>
      <c r="AD293" s="272">
        <f>IFERROR(__xludf.DUMMYFUNCTION("""COMPUTED_VALUE"""),88481.0)</f>
        <v>88481</v>
      </c>
      <c r="AE293" s="272"/>
      <c r="AF293" s="272">
        <f>IFERROR(__xludf.DUMMYFUNCTION("""COMPUTED_VALUE"""),88481.0)</f>
        <v>88481</v>
      </c>
      <c r="AG293" s="208"/>
      <c r="AH293" s="208"/>
      <c r="AI293" s="208"/>
      <c r="AJ293" s="208"/>
      <c r="AK293" s="208"/>
    </row>
    <row r="294">
      <c r="A294" s="209">
        <f>IFERROR(__xludf.DUMMYFUNCTION("""COMPUTED_VALUE"""),46128.0)</f>
        <v>46128</v>
      </c>
      <c r="B294" s="210">
        <f>IFERROR(__xludf.DUMMYFUNCTION("""COMPUTED_VALUE"""),0.3993055555547471)</f>
        <v>0.3993055556</v>
      </c>
      <c r="C294" s="211" t="str">
        <f>IFERROR(__xludf.DUMMYFUNCTION("""COMPUTED_VALUE"""),"Whatsapp")</f>
        <v>Whatsapp</v>
      </c>
      <c r="D294" s="211" t="str">
        <f>IFERROR(__xludf.DUMMYFUNCTION("""COMPUTED_VALUE"""),"Promtional")</f>
        <v>Promtional</v>
      </c>
      <c r="E294" s="211" t="str">
        <f>IFERROR(__xludf.DUMMYFUNCTION("""COMPUTED_VALUE"""),"VS")</f>
        <v>VS</v>
      </c>
      <c r="F294" s="211" t="str">
        <f>IFERROR(__xludf.DUMMYFUNCTION("""COMPUTED_VALUE"""),"Cool bra store campaigns")</f>
        <v>Cool bra store campaigns</v>
      </c>
      <c r="G294" s="212" t="str">
        <f>IFERROR(__xludf.DUMMYFUNCTION("""COMPUTED_VALUE"""),"VS CoolBra - Stores - Inorbit Malad")</f>
        <v>VS CoolBra - Stores - Inorbit Malad</v>
      </c>
      <c r="H294" s="212" t="str">
        <f>IFERROR(__xludf.DUMMYFUNCTION("""COMPUTED_VALUE"""),"vs_off_txnstd_97008_feb2026")</f>
        <v>vs_off_txnstd_97008_feb2026</v>
      </c>
      <c r="I294" s="212" t="str">
        <f>IFERROR(__xludf.DUMMYFUNCTION("""COMPUTED_VALUE"""),"Offline Customers who have purchased from Store with Store Name :- VS BA INORBIT MALAD, Store Code :- 97008")</f>
        <v>Offline Customers who have purchased from Store with Store Name :- VS BA INORBIT MALAD, Store Code :- 97008</v>
      </c>
      <c r="J294" s="213">
        <f>IFERROR(__xludf.DUMMYFUNCTION("""COMPUTED_VALUE"""),7685.0)</f>
        <v>7685</v>
      </c>
      <c r="K294" s="213">
        <f>IFERROR(__xludf.DUMMYFUNCTION("""COMPUTED_VALUE"""),4974.0)</f>
        <v>4974</v>
      </c>
      <c r="L294" s="214">
        <f>IFERROR(__xludf.DUMMYFUNCTION("""COMPUTED_VALUE"""),0.6472)</f>
        <v>0.6472</v>
      </c>
      <c r="M294" s="213">
        <f>IFERROR(__xludf.DUMMYFUNCTION("""COMPUTED_VALUE"""),1381.0)</f>
        <v>1381</v>
      </c>
      <c r="N294" s="214">
        <f>IFERROR(__xludf.DUMMYFUNCTION("""COMPUTED_VALUE"""),0.2776)</f>
        <v>0.2776</v>
      </c>
      <c r="O294" s="213">
        <f>IFERROR(__xludf.DUMMYFUNCTION("""COMPUTED_VALUE"""),0.0)</f>
        <v>0</v>
      </c>
      <c r="P294" s="213">
        <f>IFERROR(__xludf.DUMMYFUNCTION("""COMPUTED_VALUE"""),0.0)</f>
        <v>0</v>
      </c>
      <c r="Q294" s="214">
        <f>IFERROR(__xludf.DUMMYFUNCTION("""COMPUTED_VALUE"""),0.0)</f>
        <v>0</v>
      </c>
      <c r="R294" s="214">
        <f>IFERROR(__xludf.DUMMYFUNCTION("""COMPUTED_VALUE"""),0.0)</f>
        <v>0</v>
      </c>
      <c r="S294" s="213">
        <f>IFERROR(__xludf.DUMMYFUNCTION("""COMPUTED_VALUE"""),0.0)</f>
        <v>0</v>
      </c>
      <c r="T294" s="213">
        <f>IFERROR(__xludf.DUMMYFUNCTION("""COMPUTED_VALUE"""),1.0)</f>
        <v>1</v>
      </c>
      <c r="U294" s="270">
        <f>IFERROR(__xludf.DUMMYFUNCTION("""COMPUTED_VALUE"""),0.0)</f>
        <v>0</v>
      </c>
      <c r="V294" s="271" t="str">
        <f>IFERROR(__xludf.DUMMYFUNCTION("""COMPUTED_VALUE"""),"offline")</f>
        <v>offline</v>
      </c>
      <c r="W294" s="272" t="str">
        <f>IFERROR(__xludf.DUMMYFUNCTION("""COMPUTED_VALUE"""),"simple")</f>
        <v>simple</v>
      </c>
      <c r="X294" s="272" t="str">
        <f>IFERROR(__xludf.DUMMYFUNCTION("""COMPUTED_VALUE"""),"Offline Stores")</f>
        <v>Offline Stores</v>
      </c>
      <c r="Y294" s="272" t="str">
        <f>IFERROR(__xludf.DUMMYFUNCTION("""COMPUTED_VALUE"""),"16th - 19th April")</f>
        <v>16th - 19th April</v>
      </c>
      <c r="Z294" s="272" t="str">
        <f>IFERROR(__xludf.DUMMYFUNCTION("""COMPUTED_VALUE"""),"69df88e6b2c78974d83f284f")</f>
        <v>69df88e6b2c78974d83f284f</v>
      </c>
      <c r="AA294" s="272">
        <f>IFERROR(__xludf.DUMMYFUNCTION("""COMPUTED_VALUE"""),12.0)</f>
        <v>12</v>
      </c>
      <c r="AB294" s="272"/>
      <c r="AC294" s="272">
        <f>IFERROR(__xludf.DUMMYFUNCTION("""COMPUTED_VALUE"""),12.0)</f>
        <v>12</v>
      </c>
      <c r="AD294" s="272">
        <f>IFERROR(__xludf.DUMMYFUNCTION("""COMPUTED_VALUE"""),139158.0)</f>
        <v>139158</v>
      </c>
      <c r="AE294" s="272"/>
      <c r="AF294" s="272">
        <f>IFERROR(__xludf.DUMMYFUNCTION("""COMPUTED_VALUE"""),139158.0)</f>
        <v>139158</v>
      </c>
      <c r="AG294" s="208"/>
      <c r="AH294" s="208"/>
      <c r="AI294" s="208"/>
      <c r="AJ294" s="208"/>
      <c r="AK294" s="208"/>
    </row>
    <row r="295">
      <c r="A295" s="209">
        <f>IFERROR(__xludf.DUMMYFUNCTION("""COMPUTED_VALUE"""),46128.0)</f>
        <v>46128</v>
      </c>
      <c r="B295" s="210">
        <f>IFERROR(__xludf.DUMMYFUNCTION("""COMPUTED_VALUE"""),0.40277777777737356)</f>
        <v>0.4027777778</v>
      </c>
      <c r="C295" s="211" t="str">
        <f>IFERROR(__xludf.DUMMYFUNCTION("""COMPUTED_VALUE"""),"Whatsapp")</f>
        <v>Whatsapp</v>
      </c>
      <c r="D295" s="211" t="str">
        <f>IFERROR(__xludf.DUMMYFUNCTION("""COMPUTED_VALUE"""),"Promtional")</f>
        <v>Promtional</v>
      </c>
      <c r="E295" s="211" t="str">
        <f>IFERROR(__xludf.DUMMYFUNCTION("""COMPUTED_VALUE"""),"VS")</f>
        <v>VS</v>
      </c>
      <c r="F295" s="211" t="str">
        <f>IFERROR(__xludf.DUMMYFUNCTION("""COMPUTED_VALUE"""),"Cool bra store campaigns")</f>
        <v>Cool bra store campaigns</v>
      </c>
      <c r="G295" s="212" t="str">
        <f>IFERROR(__xludf.DUMMYFUNCTION("""COMPUTED_VALUE"""),"VS CoolBra - Stores - PMC Kurla")</f>
        <v>VS CoolBra - Stores - PMC Kurla</v>
      </c>
      <c r="H295" s="212" t="str">
        <f>IFERROR(__xludf.DUMMYFUNCTION("""COMPUTED_VALUE"""),"vs_off_txnstd_97009_feb2026")</f>
        <v>vs_off_txnstd_97009_feb2026</v>
      </c>
      <c r="I295" s="212" t="str">
        <f>IFERROR(__xludf.DUMMYFUNCTION("""COMPUTED_VALUE"""),"Offline Customers who have purchased from Store with Store Name :- VS BA PMC KURLA, Store Code :- 97009")</f>
        <v>Offline Customers who have purchased from Store with Store Name :- VS BA PMC KURLA, Store Code :- 97009</v>
      </c>
      <c r="J295" s="213">
        <f>IFERROR(__xludf.DUMMYFUNCTION("""COMPUTED_VALUE"""),9175.0)</f>
        <v>9175</v>
      </c>
      <c r="K295" s="213">
        <f>IFERROR(__xludf.DUMMYFUNCTION("""COMPUTED_VALUE"""),5910.0)</f>
        <v>5910</v>
      </c>
      <c r="L295" s="214">
        <f>IFERROR(__xludf.DUMMYFUNCTION("""COMPUTED_VALUE"""),0.6441)</f>
        <v>0.6441</v>
      </c>
      <c r="M295" s="213">
        <f>IFERROR(__xludf.DUMMYFUNCTION("""COMPUTED_VALUE"""),1663.0)</f>
        <v>1663</v>
      </c>
      <c r="N295" s="214">
        <f>IFERROR(__xludf.DUMMYFUNCTION("""COMPUTED_VALUE"""),0.2814)</f>
        <v>0.2814</v>
      </c>
      <c r="O295" s="213">
        <f>IFERROR(__xludf.DUMMYFUNCTION("""COMPUTED_VALUE"""),0.0)</f>
        <v>0</v>
      </c>
      <c r="P295" s="213">
        <f>IFERROR(__xludf.DUMMYFUNCTION("""COMPUTED_VALUE"""),0.0)</f>
        <v>0</v>
      </c>
      <c r="Q295" s="214">
        <f>IFERROR(__xludf.DUMMYFUNCTION("""COMPUTED_VALUE"""),0.0)</f>
        <v>0</v>
      </c>
      <c r="R295" s="214">
        <f>IFERROR(__xludf.DUMMYFUNCTION("""COMPUTED_VALUE"""),0.0)</f>
        <v>0</v>
      </c>
      <c r="S295" s="213">
        <f>IFERROR(__xludf.DUMMYFUNCTION("""COMPUTED_VALUE"""),0.0)</f>
        <v>0</v>
      </c>
      <c r="T295" s="213">
        <f>IFERROR(__xludf.DUMMYFUNCTION("""COMPUTED_VALUE"""),0.0)</f>
        <v>0</v>
      </c>
      <c r="U295" s="270">
        <f>IFERROR(__xludf.DUMMYFUNCTION("""COMPUTED_VALUE"""),0.0)</f>
        <v>0</v>
      </c>
      <c r="V295" s="271" t="str">
        <f>IFERROR(__xludf.DUMMYFUNCTION("""COMPUTED_VALUE"""),"offline")</f>
        <v>offline</v>
      </c>
      <c r="W295" s="272" t="str">
        <f>IFERROR(__xludf.DUMMYFUNCTION("""COMPUTED_VALUE"""),"simple")</f>
        <v>simple</v>
      </c>
      <c r="X295" s="272" t="str">
        <f>IFERROR(__xludf.DUMMYFUNCTION("""COMPUTED_VALUE"""),"Offline Stores")</f>
        <v>Offline Stores</v>
      </c>
      <c r="Y295" s="272" t="str">
        <f>IFERROR(__xludf.DUMMYFUNCTION("""COMPUTED_VALUE"""),"16th - 19th April")</f>
        <v>16th - 19th April</v>
      </c>
      <c r="Z295" s="272" t="str">
        <f>IFERROR(__xludf.DUMMYFUNCTION("""COMPUTED_VALUE"""),"69df89261071ffa0b8364b9c")</f>
        <v>69df89261071ffa0b8364b9c</v>
      </c>
      <c r="AA295" s="272">
        <f>IFERROR(__xludf.DUMMYFUNCTION("""COMPUTED_VALUE"""),10.0)</f>
        <v>10</v>
      </c>
      <c r="AB295" s="272"/>
      <c r="AC295" s="272">
        <f>IFERROR(__xludf.DUMMYFUNCTION("""COMPUTED_VALUE"""),10.0)</f>
        <v>10</v>
      </c>
      <c r="AD295" s="272">
        <f>IFERROR(__xludf.DUMMYFUNCTION("""COMPUTED_VALUE"""),102739.0)</f>
        <v>102739</v>
      </c>
      <c r="AE295" s="272"/>
      <c r="AF295" s="272">
        <f>IFERROR(__xludf.DUMMYFUNCTION("""COMPUTED_VALUE"""),102739.0)</f>
        <v>102739</v>
      </c>
      <c r="AG295" s="208"/>
      <c r="AH295" s="208"/>
      <c r="AI295" s="208"/>
      <c r="AJ295" s="208"/>
      <c r="AK295" s="208"/>
    </row>
    <row r="296">
      <c r="A296" s="209">
        <f>IFERROR(__xludf.DUMMYFUNCTION("""COMPUTED_VALUE"""),46128.0)</f>
        <v>46128</v>
      </c>
      <c r="B296" s="210">
        <f>IFERROR(__xludf.DUMMYFUNCTION("""COMPUTED_VALUE"""),0.40625)</f>
        <v>0.40625</v>
      </c>
      <c r="C296" s="211" t="str">
        <f>IFERROR(__xludf.DUMMYFUNCTION("""COMPUTED_VALUE"""),"Whatsapp")</f>
        <v>Whatsapp</v>
      </c>
      <c r="D296" s="211" t="str">
        <f>IFERROR(__xludf.DUMMYFUNCTION("""COMPUTED_VALUE"""),"Promtional")</f>
        <v>Promtional</v>
      </c>
      <c r="E296" s="211" t="str">
        <f>IFERROR(__xludf.DUMMYFUNCTION("""COMPUTED_VALUE"""),"VS")</f>
        <v>VS</v>
      </c>
      <c r="F296" s="211" t="str">
        <f>IFERROR(__xludf.DUMMYFUNCTION("""COMPUTED_VALUE"""),"Cool bra store campaigns")</f>
        <v>Cool bra store campaigns</v>
      </c>
      <c r="G296" s="212" t="str">
        <f>IFERROR(__xludf.DUMMYFUNCTION("""COMPUTED_VALUE"""),"VS CoolBra - Stores - Lulu Kochi")</f>
        <v>VS CoolBra - Stores - Lulu Kochi</v>
      </c>
      <c r="H296" s="212" t="str">
        <f>IFERROR(__xludf.DUMMYFUNCTION("""COMPUTED_VALUE"""),"vs_off_kochi_feb2026")</f>
        <v>vs_off_kochi_feb2026</v>
      </c>
      <c r="I296" s="212" t="str">
        <f>IFERROR(__xludf.DUMMYFUNCTION("""COMPUTED_VALUE"""),"Offline Customers who have purchased from Store with Store Name VS LULU KOCHI, Store Code :- 97011")</f>
        <v>Offline Customers who have purchased from Store with Store Name VS LULU KOCHI, Store Code :- 97011</v>
      </c>
      <c r="J296" s="213">
        <f>IFERROR(__xludf.DUMMYFUNCTION("""COMPUTED_VALUE"""),6044.0)</f>
        <v>6044</v>
      </c>
      <c r="K296" s="213">
        <f>IFERROR(__xludf.DUMMYFUNCTION("""COMPUTED_VALUE"""),3931.0)</f>
        <v>3931</v>
      </c>
      <c r="L296" s="214">
        <f>IFERROR(__xludf.DUMMYFUNCTION("""COMPUTED_VALUE"""),0.6504)</f>
        <v>0.6504</v>
      </c>
      <c r="M296" s="213">
        <f>IFERROR(__xludf.DUMMYFUNCTION("""COMPUTED_VALUE"""),1211.0)</f>
        <v>1211</v>
      </c>
      <c r="N296" s="214">
        <f>IFERROR(__xludf.DUMMYFUNCTION("""COMPUTED_VALUE"""),0.3081)</f>
        <v>0.3081</v>
      </c>
      <c r="O296" s="213">
        <f>IFERROR(__xludf.DUMMYFUNCTION("""COMPUTED_VALUE"""),0.0)</f>
        <v>0</v>
      </c>
      <c r="P296" s="213">
        <f>IFERROR(__xludf.DUMMYFUNCTION("""COMPUTED_VALUE"""),0.0)</f>
        <v>0</v>
      </c>
      <c r="Q296" s="214">
        <f>IFERROR(__xludf.DUMMYFUNCTION("""COMPUTED_VALUE"""),0.0)</f>
        <v>0</v>
      </c>
      <c r="R296" s="214">
        <f>IFERROR(__xludf.DUMMYFUNCTION("""COMPUTED_VALUE"""),0.0)</f>
        <v>0</v>
      </c>
      <c r="S296" s="213">
        <f>IFERROR(__xludf.DUMMYFUNCTION("""COMPUTED_VALUE"""),0.0)</f>
        <v>0</v>
      </c>
      <c r="T296" s="213">
        <f>IFERROR(__xludf.DUMMYFUNCTION("""COMPUTED_VALUE"""),0.0)</f>
        <v>0</v>
      </c>
      <c r="U296" s="270">
        <f>IFERROR(__xludf.DUMMYFUNCTION("""COMPUTED_VALUE"""),0.0)</f>
        <v>0</v>
      </c>
      <c r="V296" s="271" t="str">
        <f>IFERROR(__xludf.DUMMYFUNCTION("""COMPUTED_VALUE"""),"offline")</f>
        <v>offline</v>
      </c>
      <c r="W296" s="272" t="str">
        <f>IFERROR(__xludf.DUMMYFUNCTION("""COMPUTED_VALUE"""),"simple")</f>
        <v>simple</v>
      </c>
      <c r="X296" s="272" t="str">
        <f>IFERROR(__xludf.DUMMYFUNCTION("""COMPUTED_VALUE"""),"Offline Stores")</f>
        <v>Offline Stores</v>
      </c>
      <c r="Y296" s="272" t="str">
        <f>IFERROR(__xludf.DUMMYFUNCTION("""COMPUTED_VALUE"""),"16th - 19th April")</f>
        <v>16th - 19th April</v>
      </c>
      <c r="Z296" s="272" t="str">
        <f>IFERROR(__xludf.DUMMYFUNCTION("""COMPUTED_VALUE"""),"69df8948b280d8c76e5bda76")</f>
        <v>69df8948b280d8c76e5bda76</v>
      </c>
      <c r="AA296" s="272">
        <f>IFERROR(__xludf.DUMMYFUNCTION("""COMPUTED_VALUE"""),8.0)</f>
        <v>8</v>
      </c>
      <c r="AB296" s="272"/>
      <c r="AC296" s="272">
        <f>IFERROR(__xludf.DUMMYFUNCTION("""COMPUTED_VALUE"""),8.0)</f>
        <v>8</v>
      </c>
      <c r="AD296" s="272">
        <f>IFERROR(__xludf.DUMMYFUNCTION("""COMPUTED_VALUE"""),98582.0)</f>
        <v>98582</v>
      </c>
      <c r="AE296" s="272"/>
      <c r="AF296" s="272">
        <f>IFERROR(__xludf.DUMMYFUNCTION("""COMPUTED_VALUE"""),98582.0)</f>
        <v>98582</v>
      </c>
      <c r="AG296" s="208"/>
      <c r="AH296" s="208"/>
      <c r="AI296" s="208"/>
      <c r="AJ296" s="208"/>
      <c r="AK296" s="208"/>
    </row>
    <row r="297">
      <c r="A297" s="209">
        <f>IFERROR(__xludf.DUMMYFUNCTION("""COMPUTED_VALUE"""),46128.0)</f>
        <v>46128</v>
      </c>
      <c r="B297" s="210">
        <f>IFERROR(__xludf.DUMMYFUNCTION("""COMPUTED_VALUE"""),0.40972222222262644)</f>
        <v>0.4097222222</v>
      </c>
      <c r="C297" s="211" t="str">
        <f>IFERROR(__xludf.DUMMYFUNCTION("""COMPUTED_VALUE"""),"Whatsapp")</f>
        <v>Whatsapp</v>
      </c>
      <c r="D297" s="211" t="str">
        <f>IFERROR(__xludf.DUMMYFUNCTION("""COMPUTED_VALUE"""),"Promtional")</f>
        <v>Promtional</v>
      </c>
      <c r="E297" s="211" t="str">
        <f>IFERROR(__xludf.DUMMYFUNCTION("""COMPUTED_VALUE"""),"VS")</f>
        <v>VS</v>
      </c>
      <c r="F297" s="211" t="str">
        <f>IFERROR(__xludf.DUMMYFUNCTION("""COMPUTED_VALUE"""),"Cool bra store campaigns")</f>
        <v>Cool bra store campaigns</v>
      </c>
      <c r="G297" s="212" t="str">
        <f>IFERROR(__xludf.DUMMYFUNCTION("""COMPUTED_VALUE"""),"VS CoolBra - Stores - Nexus BLR")</f>
        <v>VS CoolBra - Stores - Nexus BLR</v>
      </c>
      <c r="H297" s="212" t="str">
        <f>IFERROR(__xludf.DUMMYFUNCTION("""COMPUTED_VALUE"""),"vs_off_txnstd_97012_feb2026")</f>
        <v>vs_off_txnstd_97012_feb2026</v>
      </c>
      <c r="I297" s="212" t="str">
        <f>IFERROR(__xludf.DUMMYFUNCTION("""COMPUTED_VALUE"""),"Offline Customers who have purchased from Store with Store Name :- VS BA NEXUS KORAMANGALA , Store Code :- 97012")</f>
        <v>Offline Customers who have purchased from Store with Store Name :- VS BA NEXUS KORAMANGALA , Store Code :- 97012</v>
      </c>
      <c r="J297" s="213">
        <f>IFERROR(__xludf.DUMMYFUNCTION("""COMPUTED_VALUE"""),7745.0)</f>
        <v>7745</v>
      </c>
      <c r="K297" s="213">
        <f>IFERROR(__xludf.DUMMYFUNCTION("""COMPUTED_VALUE"""),4841.0)</f>
        <v>4841</v>
      </c>
      <c r="L297" s="214">
        <f>IFERROR(__xludf.DUMMYFUNCTION("""COMPUTED_VALUE"""),0.625)</f>
        <v>0.625</v>
      </c>
      <c r="M297" s="213">
        <f>IFERROR(__xludf.DUMMYFUNCTION("""COMPUTED_VALUE"""),1186.0)</f>
        <v>1186</v>
      </c>
      <c r="N297" s="214">
        <f>IFERROR(__xludf.DUMMYFUNCTION("""COMPUTED_VALUE"""),0.245)</f>
        <v>0.245</v>
      </c>
      <c r="O297" s="213">
        <f>IFERROR(__xludf.DUMMYFUNCTION("""COMPUTED_VALUE"""),0.0)</f>
        <v>0</v>
      </c>
      <c r="P297" s="213">
        <f>IFERROR(__xludf.DUMMYFUNCTION("""COMPUTED_VALUE"""),0.0)</f>
        <v>0</v>
      </c>
      <c r="Q297" s="214">
        <f>IFERROR(__xludf.DUMMYFUNCTION("""COMPUTED_VALUE"""),0.0)</f>
        <v>0</v>
      </c>
      <c r="R297" s="214">
        <f>IFERROR(__xludf.DUMMYFUNCTION("""COMPUTED_VALUE"""),0.0)</f>
        <v>0</v>
      </c>
      <c r="S297" s="213">
        <f>IFERROR(__xludf.DUMMYFUNCTION("""COMPUTED_VALUE"""),0.0)</f>
        <v>0</v>
      </c>
      <c r="T297" s="213">
        <f>IFERROR(__xludf.DUMMYFUNCTION("""COMPUTED_VALUE"""),0.0)</f>
        <v>0</v>
      </c>
      <c r="U297" s="270">
        <f>IFERROR(__xludf.DUMMYFUNCTION("""COMPUTED_VALUE"""),0.0)</f>
        <v>0</v>
      </c>
      <c r="V297" s="271" t="str">
        <f>IFERROR(__xludf.DUMMYFUNCTION("""COMPUTED_VALUE"""),"offline")</f>
        <v>offline</v>
      </c>
      <c r="W297" s="272" t="str">
        <f>IFERROR(__xludf.DUMMYFUNCTION("""COMPUTED_VALUE"""),"simple")</f>
        <v>simple</v>
      </c>
      <c r="X297" s="272" t="str">
        <f>IFERROR(__xludf.DUMMYFUNCTION("""COMPUTED_VALUE"""),"Offline Stores")</f>
        <v>Offline Stores</v>
      </c>
      <c r="Y297" s="272" t="str">
        <f>IFERROR(__xludf.DUMMYFUNCTION("""COMPUTED_VALUE"""),"16th - 19th April")</f>
        <v>16th - 19th April</v>
      </c>
      <c r="Z297" s="272" t="str">
        <f>IFERROR(__xludf.DUMMYFUNCTION("""COMPUTED_VALUE"""),"69df897ca61e0c894ae5a470")</f>
        <v>69df897ca61e0c894ae5a470</v>
      </c>
      <c r="AA297" s="272">
        <f>IFERROR(__xludf.DUMMYFUNCTION("""COMPUTED_VALUE"""),16.0)</f>
        <v>16</v>
      </c>
      <c r="AB297" s="272"/>
      <c r="AC297" s="272">
        <f>IFERROR(__xludf.DUMMYFUNCTION("""COMPUTED_VALUE"""),16.0)</f>
        <v>16</v>
      </c>
      <c r="AD297" s="272">
        <f>IFERROR(__xludf.DUMMYFUNCTION("""COMPUTED_VALUE"""),102486.0)</f>
        <v>102486</v>
      </c>
      <c r="AE297" s="272"/>
      <c r="AF297" s="272">
        <f>IFERROR(__xludf.DUMMYFUNCTION("""COMPUTED_VALUE"""),102486.0)</f>
        <v>102486</v>
      </c>
      <c r="AG297" s="208"/>
      <c r="AH297" s="208"/>
      <c r="AI297" s="208"/>
      <c r="AJ297" s="208"/>
      <c r="AK297" s="208"/>
    </row>
    <row r="298">
      <c r="A298" s="209">
        <f>IFERROR(__xludf.DUMMYFUNCTION("""COMPUTED_VALUE"""),46128.0)</f>
        <v>46128</v>
      </c>
      <c r="B298" s="210">
        <f>IFERROR(__xludf.DUMMYFUNCTION("""COMPUTED_VALUE"""),0.4131944444452529)</f>
        <v>0.4131944444</v>
      </c>
      <c r="C298" s="211" t="str">
        <f>IFERROR(__xludf.DUMMYFUNCTION("""COMPUTED_VALUE"""),"Whatsapp")</f>
        <v>Whatsapp</v>
      </c>
      <c r="D298" s="211" t="str">
        <f>IFERROR(__xludf.DUMMYFUNCTION("""COMPUTED_VALUE"""),"Promtional")</f>
        <v>Promtional</v>
      </c>
      <c r="E298" s="211" t="str">
        <f>IFERROR(__xludf.DUMMYFUNCTION("""COMPUTED_VALUE"""),"VS")</f>
        <v>VS</v>
      </c>
      <c r="F298" s="211" t="str">
        <f>IFERROR(__xludf.DUMMYFUNCTION("""COMPUTED_VALUE"""),"Cool bra store campaigns")</f>
        <v>Cool bra store campaigns</v>
      </c>
      <c r="G298" s="212" t="str">
        <f>IFERROR(__xludf.DUMMYFUNCTION("""COMPUTED_VALUE"""),"VS CoolBra - Stores - Nexus HYD")</f>
        <v>VS CoolBra - Stores - Nexus HYD</v>
      </c>
      <c r="H298" s="212" t="str">
        <f>IFERROR(__xludf.DUMMYFUNCTION("""COMPUTED_VALUE"""),"vs_off_txnstd_97013_feb2026")</f>
        <v>vs_off_txnstd_97013_feb2026</v>
      </c>
      <c r="I298" s="212" t="str">
        <f>IFERROR(__xludf.DUMMYFUNCTION("""COMPUTED_VALUE"""),"Offline Customers who have purchased from Store with Store Name :- VS BA NEXUS SUJANA HYD, Store Code:- 97013")</f>
        <v>Offline Customers who have purchased from Store with Store Name :- VS BA NEXUS SUJANA HYD, Store Code:- 97013</v>
      </c>
      <c r="J298" s="213">
        <f>IFERROR(__xludf.DUMMYFUNCTION("""COMPUTED_VALUE"""),3511.0)</f>
        <v>3511</v>
      </c>
      <c r="K298" s="213">
        <f>IFERROR(__xludf.DUMMYFUNCTION("""COMPUTED_VALUE"""),2305.0)</f>
        <v>2305</v>
      </c>
      <c r="L298" s="214">
        <f>IFERROR(__xludf.DUMMYFUNCTION("""COMPUTED_VALUE"""),0.6562)</f>
        <v>0.6562</v>
      </c>
      <c r="M298" s="213">
        <f>IFERROR(__xludf.DUMMYFUNCTION("""COMPUTED_VALUE"""),683.0)</f>
        <v>683</v>
      </c>
      <c r="N298" s="214">
        <f>IFERROR(__xludf.DUMMYFUNCTION("""COMPUTED_VALUE"""),0.2964)</f>
        <v>0.2964</v>
      </c>
      <c r="O298" s="213">
        <f>IFERROR(__xludf.DUMMYFUNCTION("""COMPUTED_VALUE"""),0.0)</f>
        <v>0</v>
      </c>
      <c r="P298" s="213">
        <f>IFERROR(__xludf.DUMMYFUNCTION("""COMPUTED_VALUE"""),0.0)</f>
        <v>0</v>
      </c>
      <c r="Q298" s="214">
        <f>IFERROR(__xludf.DUMMYFUNCTION("""COMPUTED_VALUE"""),0.0)</f>
        <v>0</v>
      </c>
      <c r="R298" s="214">
        <f>IFERROR(__xludf.DUMMYFUNCTION("""COMPUTED_VALUE"""),0.0)</f>
        <v>0</v>
      </c>
      <c r="S298" s="213">
        <f>IFERROR(__xludf.DUMMYFUNCTION("""COMPUTED_VALUE"""),0.0)</f>
        <v>0</v>
      </c>
      <c r="T298" s="213">
        <f>IFERROR(__xludf.DUMMYFUNCTION("""COMPUTED_VALUE"""),0.0)</f>
        <v>0</v>
      </c>
      <c r="U298" s="270">
        <f>IFERROR(__xludf.DUMMYFUNCTION("""COMPUTED_VALUE"""),0.0)</f>
        <v>0</v>
      </c>
      <c r="V298" s="271" t="str">
        <f>IFERROR(__xludf.DUMMYFUNCTION("""COMPUTED_VALUE"""),"offline")</f>
        <v>offline</v>
      </c>
      <c r="W298" s="272" t="str">
        <f>IFERROR(__xludf.DUMMYFUNCTION("""COMPUTED_VALUE"""),"simple")</f>
        <v>simple</v>
      </c>
      <c r="X298" s="272" t="str">
        <f>IFERROR(__xludf.DUMMYFUNCTION("""COMPUTED_VALUE"""),"Offline Stores")</f>
        <v>Offline Stores</v>
      </c>
      <c r="Y298" s="272" t="str">
        <f>IFERROR(__xludf.DUMMYFUNCTION("""COMPUTED_VALUE"""),"16th - 19th April")</f>
        <v>16th - 19th April</v>
      </c>
      <c r="Z298" s="272" t="str">
        <f>IFERROR(__xludf.DUMMYFUNCTION("""COMPUTED_VALUE"""),"69df899cfe228fc7f54318fa")</f>
        <v>69df899cfe228fc7f54318fa</v>
      </c>
      <c r="AA298" s="272">
        <f>IFERROR(__xludf.DUMMYFUNCTION("""COMPUTED_VALUE"""),6.0)</f>
        <v>6</v>
      </c>
      <c r="AB298" s="272"/>
      <c r="AC298" s="272">
        <f>IFERROR(__xludf.DUMMYFUNCTION("""COMPUTED_VALUE"""),6.0)</f>
        <v>6</v>
      </c>
      <c r="AD298" s="272">
        <f>IFERROR(__xludf.DUMMYFUNCTION("""COMPUTED_VALUE"""),37632.0)</f>
        <v>37632</v>
      </c>
      <c r="AE298" s="272"/>
      <c r="AF298" s="272">
        <f>IFERROR(__xludf.DUMMYFUNCTION("""COMPUTED_VALUE"""),37632.0)</f>
        <v>37632</v>
      </c>
      <c r="AG298" s="208"/>
      <c r="AH298" s="208"/>
      <c r="AI298" s="208"/>
      <c r="AJ298" s="208"/>
      <c r="AK298" s="208"/>
    </row>
    <row r="299">
      <c r="A299" s="209">
        <f>IFERROR(__xludf.DUMMYFUNCTION("""COMPUTED_VALUE"""),46128.0)</f>
        <v>46128</v>
      </c>
      <c r="B299" s="210">
        <f>IFERROR(__xludf.DUMMYFUNCTION("""COMPUTED_VALUE"""),0.375)</f>
        <v>0.375</v>
      </c>
      <c r="C299" s="211" t="str">
        <f>IFERROR(__xludf.DUMMYFUNCTION("""COMPUTED_VALUE"""),"Whatsapp")</f>
        <v>Whatsapp</v>
      </c>
      <c r="D299" s="211" t="str">
        <f>IFERROR(__xludf.DUMMYFUNCTION("""COMPUTED_VALUE"""),"Promtional")</f>
        <v>Promtional</v>
      </c>
      <c r="E299" s="211" t="str">
        <f>IFERROR(__xludf.DUMMYFUNCTION("""COMPUTED_VALUE"""),"VS")</f>
        <v>VS</v>
      </c>
      <c r="F299" s="211" t="str">
        <f>IFERROR(__xludf.DUMMYFUNCTION("""COMPUTED_VALUE"""),"cool bra ")</f>
        <v>cool bra </v>
      </c>
      <c r="G299" s="212" t="str">
        <f>IFERROR(__xludf.DUMMYFUNCTION("""COMPUTED_VALUE"""),"VS CoolBra - Online - Full Price CX")</f>
        <v>VS CoolBra - Online - Full Price CX</v>
      </c>
      <c r="H299" s="212" t="str">
        <f>IFERROR(__xludf.DUMMYFUNCTION("""COMPUTED_VALUE"""),"VS_Map_FullPriceUsers_Online")</f>
        <v>VS_Map_FullPriceUsers_Online</v>
      </c>
      <c r="I299" s="212" t="str">
        <f>IFERROR(__xludf.DUMMYFUNCTION("""COMPUTED_VALUE"""),"Online Customers who have purchased at least 1 time with Order Disc Value = 0 in the last 1095 days")</f>
        <v>Online Customers who have purchased at least 1 time with Order Disc Value = 0 in the last 1095 days</v>
      </c>
      <c r="J299" s="213">
        <f>IFERROR(__xludf.DUMMYFUNCTION("""COMPUTED_VALUE"""),4697.0)</f>
        <v>4697</v>
      </c>
      <c r="K299" s="213">
        <f>IFERROR(__xludf.DUMMYFUNCTION("""COMPUTED_VALUE"""),2855.0)</f>
        <v>2855</v>
      </c>
      <c r="L299" s="214">
        <f>IFERROR(__xludf.DUMMYFUNCTION("""COMPUTED_VALUE"""),0.6078)</f>
        <v>0.6078</v>
      </c>
      <c r="M299" s="213">
        <f>IFERROR(__xludf.DUMMYFUNCTION("""COMPUTED_VALUE"""),770.0)</f>
        <v>770</v>
      </c>
      <c r="N299" s="214">
        <f>IFERROR(__xludf.DUMMYFUNCTION("""COMPUTED_VALUE"""),0.2697)</f>
        <v>0.2697</v>
      </c>
      <c r="O299" s="213">
        <f>IFERROR(__xludf.DUMMYFUNCTION("""COMPUTED_VALUE"""),36.0)</f>
        <v>36</v>
      </c>
      <c r="P299" s="213">
        <f>IFERROR(__xludf.DUMMYFUNCTION("""COMPUTED_VALUE"""),35.0)</f>
        <v>35</v>
      </c>
      <c r="Q299" s="214">
        <f>IFERROR(__xludf.DUMMYFUNCTION("""COMPUTED_VALUE"""),0.0123)</f>
        <v>0.0123</v>
      </c>
      <c r="R299" s="214">
        <f>IFERROR(__xludf.DUMMYFUNCTION("""COMPUTED_VALUE"""),0.0455)</f>
        <v>0.0455</v>
      </c>
      <c r="S299" s="213">
        <f>IFERROR(__xludf.DUMMYFUNCTION("""COMPUTED_VALUE"""),0.0)</f>
        <v>0</v>
      </c>
      <c r="T299" s="213">
        <f>IFERROR(__xludf.DUMMYFUNCTION("""COMPUTED_VALUE"""),1.0)</f>
        <v>1</v>
      </c>
      <c r="U299" s="270">
        <f>IFERROR(__xludf.DUMMYFUNCTION("""COMPUTED_VALUE"""),0.0)</f>
        <v>0</v>
      </c>
      <c r="V299" s="271" t="str">
        <f>IFERROR(__xludf.DUMMYFUNCTION("""COMPUTED_VALUE"""),"online")</f>
        <v>online</v>
      </c>
      <c r="W299" s="272" t="str">
        <f>IFERROR(__xludf.DUMMYFUNCTION("""COMPUTED_VALUE"""),"simple")</f>
        <v>simple</v>
      </c>
      <c r="X299" s="272" t="str">
        <f>IFERROR(__xludf.DUMMYFUNCTION("""COMPUTED_VALUE"""),"Full Price Shopper")</f>
        <v>Full Price Shopper</v>
      </c>
      <c r="Y299" s="272" t="str">
        <f>IFERROR(__xludf.DUMMYFUNCTION("""COMPUTED_VALUE"""),"16th - 19th April")</f>
        <v>16th - 19th April</v>
      </c>
      <c r="Z299" s="272" t="str">
        <f>IFERROR(__xludf.DUMMYFUNCTION("""COMPUTED_VALUE"""),"69df96ccbdd42d5948d6ee13")</f>
        <v>69df96ccbdd42d5948d6ee13</v>
      </c>
      <c r="AA299" s="272">
        <f>IFERROR(__xludf.DUMMYFUNCTION("""COMPUTED_VALUE"""),2.0)</f>
        <v>2</v>
      </c>
      <c r="AB299" s="272">
        <f>IFERROR(__xludf.DUMMYFUNCTION("""COMPUTED_VALUE"""),2.0)</f>
        <v>2</v>
      </c>
      <c r="AC299" s="272"/>
      <c r="AD299" s="272">
        <f>IFERROR(__xludf.DUMMYFUNCTION("""COMPUTED_VALUE"""),26566.0)</f>
        <v>26566</v>
      </c>
      <c r="AE299" s="272">
        <f>IFERROR(__xludf.DUMMYFUNCTION("""COMPUTED_VALUE"""),26566.0)</f>
        <v>26566</v>
      </c>
      <c r="AF299" s="272"/>
      <c r="AG299" s="208"/>
      <c r="AH299" s="208"/>
      <c r="AI299" s="208"/>
      <c r="AJ299" s="208"/>
      <c r="AK299" s="208"/>
    </row>
    <row r="300">
      <c r="A300" s="209">
        <f>IFERROR(__xludf.DUMMYFUNCTION("""COMPUTED_VALUE"""),46128.0)</f>
        <v>46128</v>
      </c>
      <c r="B300" s="210">
        <f>IFERROR(__xludf.DUMMYFUNCTION("""COMPUTED_VALUE"""),0.3854166666678793)</f>
        <v>0.3854166667</v>
      </c>
      <c r="C300" s="211" t="str">
        <f>IFERROR(__xludf.DUMMYFUNCTION("""COMPUTED_VALUE"""),"Whatsapp")</f>
        <v>Whatsapp</v>
      </c>
      <c r="D300" s="211" t="str">
        <f>IFERROR(__xludf.DUMMYFUNCTION("""COMPUTED_VALUE"""),"Promtional")</f>
        <v>Promtional</v>
      </c>
      <c r="E300" s="211" t="str">
        <f>IFERROR(__xludf.DUMMYFUNCTION("""COMPUTED_VALUE"""),"VS")</f>
        <v>VS</v>
      </c>
      <c r="F300" s="211" t="str">
        <f>IFERROR(__xludf.DUMMYFUNCTION("""COMPUTED_VALUE"""),"cool bra ")</f>
        <v>cool bra </v>
      </c>
      <c r="G300" s="212" t="str">
        <f>IFERROR(__xludf.DUMMYFUNCTION("""COMPUTED_VALUE"""),"VS CoolBra - Online - Dorm CX")</f>
        <v>VS CoolBra - Online - Dorm CX</v>
      </c>
      <c r="H300" s="212" t="str">
        <f>IFERROR(__xludf.DUMMYFUNCTION("""COMPUTED_VALUE"""),"VS_ON_Dorm_LTV_4k")</f>
        <v>VS_ON_Dorm_LTV_4k</v>
      </c>
      <c r="I300" s="212" t="str">
        <f>IFERROR(__xludf.DUMMYFUNCTION("""COMPUTED_VALUE"""),"Online Customers who have purchased at least 1 time in the last 365 days with summation of Net Order Value above 3,999 AND exlcude Custom Segment :- VS_Map_FullPriceUsers_Online, VS_ON_BraBase, VS_ON_personal_care_lingerie_subcat_14_April_26")</f>
        <v>Online Customers who have purchased at least 1 time in the last 365 days with summation of Net Order Value above 3,999 AND exlcude Custom Segment :- VS_Map_FullPriceUsers_Online, VS_ON_BraBase, VS_ON_personal_care_lingerie_subcat_14_April_26</v>
      </c>
      <c r="J300" s="213">
        <f>IFERROR(__xludf.DUMMYFUNCTION("""COMPUTED_VALUE"""),2849.0)</f>
        <v>2849</v>
      </c>
      <c r="K300" s="213">
        <f>IFERROR(__xludf.DUMMYFUNCTION("""COMPUTED_VALUE"""),1662.0)</f>
        <v>1662</v>
      </c>
      <c r="L300" s="214">
        <f>IFERROR(__xludf.DUMMYFUNCTION("""COMPUTED_VALUE"""),0.583)</f>
        <v>0.583</v>
      </c>
      <c r="M300" s="213">
        <f>IFERROR(__xludf.DUMMYFUNCTION("""COMPUTED_VALUE"""),411.0)</f>
        <v>411</v>
      </c>
      <c r="N300" s="214">
        <f>IFERROR(__xludf.DUMMYFUNCTION("""COMPUTED_VALUE"""),0.2474)</f>
        <v>0.2474</v>
      </c>
      <c r="O300" s="213">
        <f>IFERROR(__xludf.DUMMYFUNCTION("""COMPUTED_VALUE"""),40.0)</f>
        <v>40</v>
      </c>
      <c r="P300" s="213">
        <f>IFERROR(__xludf.DUMMYFUNCTION("""COMPUTED_VALUE"""),39.0)</f>
        <v>39</v>
      </c>
      <c r="Q300" s="214">
        <f>IFERROR(__xludf.DUMMYFUNCTION("""COMPUTED_VALUE"""),0.0235)</f>
        <v>0.0235</v>
      </c>
      <c r="R300" s="214">
        <f>IFERROR(__xludf.DUMMYFUNCTION("""COMPUTED_VALUE"""),0.0949)</f>
        <v>0.0949</v>
      </c>
      <c r="S300" s="213">
        <f>IFERROR(__xludf.DUMMYFUNCTION("""COMPUTED_VALUE"""),1.0)</f>
        <v>1</v>
      </c>
      <c r="T300" s="213">
        <f>IFERROR(__xludf.DUMMYFUNCTION("""COMPUTED_VALUE"""),1.0)</f>
        <v>1</v>
      </c>
      <c r="U300" s="270">
        <f>IFERROR(__xludf.DUMMYFUNCTION("""COMPUTED_VALUE"""),3779.0)</f>
        <v>3779</v>
      </c>
      <c r="V300" s="271" t="str">
        <f>IFERROR(__xludf.DUMMYFUNCTION("""COMPUTED_VALUE"""),"online")</f>
        <v>online</v>
      </c>
      <c r="W300" s="272" t="str">
        <f>IFERROR(__xludf.DUMMYFUNCTION("""COMPUTED_VALUE"""),"simple")</f>
        <v>simple</v>
      </c>
      <c r="X300" s="272" t="str">
        <f>IFERROR(__xludf.DUMMYFUNCTION("""COMPUTED_VALUE"""),"Dormant High LTV")</f>
        <v>Dormant High LTV</v>
      </c>
      <c r="Y300" s="272" t="str">
        <f>IFERROR(__xludf.DUMMYFUNCTION("""COMPUTED_VALUE"""),"16th - 19th April")</f>
        <v>16th - 19th April</v>
      </c>
      <c r="Z300" s="272" t="str">
        <f>IFERROR(__xludf.DUMMYFUNCTION("""COMPUTED_VALUE"""),"69df973e70433e6aae44c9a6")</f>
        <v>69df973e70433e6aae44c9a6</v>
      </c>
      <c r="AA300" s="272">
        <f>IFERROR(__xludf.DUMMYFUNCTION("""COMPUTED_VALUE"""),3.0)</f>
        <v>3</v>
      </c>
      <c r="AB300" s="272">
        <f>IFERROR(__xludf.DUMMYFUNCTION("""COMPUTED_VALUE"""),3.0)</f>
        <v>3</v>
      </c>
      <c r="AC300" s="272"/>
      <c r="AD300" s="272">
        <f>IFERROR(__xludf.DUMMYFUNCTION("""COMPUTED_VALUE"""),16700.0)</f>
        <v>16700</v>
      </c>
      <c r="AE300" s="272">
        <f>IFERROR(__xludf.DUMMYFUNCTION("""COMPUTED_VALUE"""),16700.0)</f>
        <v>16700</v>
      </c>
      <c r="AF300" s="272"/>
      <c r="AG300" s="208"/>
      <c r="AH300" s="208"/>
      <c r="AI300" s="208"/>
      <c r="AJ300" s="208"/>
      <c r="AK300" s="208"/>
    </row>
    <row r="301">
      <c r="A301" s="209">
        <f>IFERROR(__xludf.DUMMYFUNCTION("""COMPUTED_VALUE"""),46128.0)</f>
        <v>46128</v>
      </c>
      <c r="B301" s="210">
        <f>IFERROR(__xludf.DUMMYFUNCTION("""COMPUTED_VALUE"""),0.37847222222262644)</f>
        <v>0.3784722222</v>
      </c>
      <c r="C301" s="211" t="str">
        <f>IFERROR(__xludf.DUMMYFUNCTION("""COMPUTED_VALUE"""),"Whatsapp")</f>
        <v>Whatsapp</v>
      </c>
      <c r="D301" s="211" t="str">
        <f>IFERROR(__xludf.DUMMYFUNCTION("""COMPUTED_VALUE"""),"Promtional")</f>
        <v>Promtional</v>
      </c>
      <c r="E301" s="211" t="str">
        <f>IFERROR(__xludf.DUMMYFUNCTION("""COMPUTED_VALUE"""),"VS")</f>
        <v>VS</v>
      </c>
      <c r="F301" s="211" t="str">
        <f>IFERROR(__xludf.DUMMYFUNCTION("""COMPUTED_VALUE"""),"cool bra ")</f>
        <v>cool bra </v>
      </c>
      <c r="G301" s="212" t="str">
        <f>IFERROR(__xludf.DUMMYFUNCTION("""COMPUTED_VALUE"""),"VS CoolBra - Online - Bra CX")</f>
        <v>VS CoolBra - Online - Bra CX</v>
      </c>
      <c r="H301" s="212" t="str">
        <f>IFERROR(__xludf.DUMMYFUNCTION("""COMPUTED_VALUE"""),"VS_ON_BraBase")</f>
        <v>VS_ON_BraBase</v>
      </c>
      <c r="I301" s="212" t="str">
        <f>IFERROR(__xludf.DUMMYFUNCTION("""COMPUTED_VALUE"""),"Online Customers who have purchased from L3: Bra at least 1 time in the last 1095 days AND exlcude Custom Segment :- VS_Map_FullPriceUsers_Online")</f>
        <v>Online Customers who have purchased from L3: Bra at least 1 time in the last 1095 days AND exlcude Custom Segment :- VS_Map_FullPriceUsers_Online</v>
      </c>
      <c r="J301" s="213">
        <f>IFERROR(__xludf.DUMMYFUNCTION("""COMPUTED_VALUE"""),35325.0)</f>
        <v>35325</v>
      </c>
      <c r="K301" s="213">
        <f>IFERROR(__xludf.DUMMYFUNCTION("""COMPUTED_VALUE"""),19661.0)</f>
        <v>19661</v>
      </c>
      <c r="L301" s="214">
        <f>IFERROR(__xludf.DUMMYFUNCTION("""COMPUTED_VALUE"""),0.5565)</f>
        <v>0.5565</v>
      </c>
      <c r="M301" s="213">
        <f>IFERROR(__xludf.DUMMYFUNCTION("""COMPUTED_VALUE"""),4746.0)</f>
        <v>4746</v>
      </c>
      <c r="N301" s="214">
        <f>IFERROR(__xludf.DUMMYFUNCTION("""COMPUTED_VALUE"""),0.2414)</f>
        <v>0.2414</v>
      </c>
      <c r="O301" s="213">
        <f>IFERROR(__xludf.DUMMYFUNCTION("""COMPUTED_VALUE"""),841.0)</f>
        <v>841</v>
      </c>
      <c r="P301" s="213">
        <f>IFERROR(__xludf.DUMMYFUNCTION("""COMPUTED_VALUE"""),790.0)</f>
        <v>790</v>
      </c>
      <c r="Q301" s="214">
        <f>IFERROR(__xludf.DUMMYFUNCTION("""COMPUTED_VALUE"""),0.0402)</f>
        <v>0.0402</v>
      </c>
      <c r="R301" s="214">
        <f>IFERROR(__xludf.DUMMYFUNCTION("""COMPUTED_VALUE"""),0.1665)</f>
        <v>0.1665</v>
      </c>
      <c r="S301" s="213">
        <f>IFERROR(__xludf.DUMMYFUNCTION("""COMPUTED_VALUE"""),11.0)</f>
        <v>11</v>
      </c>
      <c r="T301" s="213">
        <f>IFERROR(__xludf.DUMMYFUNCTION("""COMPUTED_VALUE"""),54.0)</f>
        <v>54</v>
      </c>
      <c r="U301" s="270">
        <f>IFERROR(__xludf.DUMMYFUNCTION("""COMPUTED_VALUE"""),63566.0)</f>
        <v>63566</v>
      </c>
      <c r="V301" s="271" t="str">
        <f>IFERROR(__xludf.DUMMYFUNCTION("""COMPUTED_VALUE"""),"online")</f>
        <v>online</v>
      </c>
      <c r="W301" s="272" t="str">
        <f>IFERROR(__xludf.DUMMYFUNCTION("""COMPUTED_VALUE"""),"simple")</f>
        <v>simple</v>
      </c>
      <c r="X301" s="272" t="str">
        <f>IFERROR(__xludf.DUMMYFUNCTION("""COMPUTED_VALUE"""),"Category Specific :- Bra")</f>
        <v>Category Specific :- Bra</v>
      </c>
      <c r="Y301" s="272" t="str">
        <f>IFERROR(__xludf.DUMMYFUNCTION("""COMPUTED_VALUE"""),"16th - 19th April")</f>
        <v>16th - 19th April</v>
      </c>
      <c r="Z301" s="272" t="str">
        <f>IFERROR(__xludf.DUMMYFUNCTION("""COMPUTED_VALUE"""),"69dfbdecfbd0b8fcf8d7f6a9")</f>
        <v>69dfbdecfbd0b8fcf8d7f6a9</v>
      </c>
      <c r="AA301" s="272">
        <f>IFERROR(__xludf.DUMMYFUNCTION("""COMPUTED_VALUE"""),48.0)</f>
        <v>48</v>
      </c>
      <c r="AB301" s="272">
        <f>IFERROR(__xludf.DUMMYFUNCTION("""COMPUTED_VALUE"""),48.0)</f>
        <v>48</v>
      </c>
      <c r="AC301" s="272"/>
      <c r="AD301" s="272">
        <f>IFERROR(__xludf.DUMMYFUNCTION("""COMPUTED_VALUE"""),608513.0)</f>
        <v>608513</v>
      </c>
      <c r="AE301" s="272">
        <f>IFERROR(__xludf.DUMMYFUNCTION("""COMPUTED_VALUE"""),608513.0)</f>
        <v>608513</v>
      </c>
      <c r="AF301" s="272"/>
      <c r="AG301" s="208"/>
      <c r="AH301" s="208"/>
      <c r="AI301" s="208"/>
      <c r="AJ301" s="208"/>
      <c r="AK301" s="208"/>
    </row>
    <row r="302">
      <c r="A302" s="209">
        <f>IFERROR(__xludf.DUMMYFUNCTION("""COMPUTED_VALUE"""),46128.0)</f>
        <v>46128</v>
      </c>
      <c r="B302" s="210">
        <f>IFERROR(__xludf.DUMMYFUNCTION("""COMPUTED_VALUE"""),0.3819444444452529)</f>
        <v>0.3819444444</v>
      </c>
      <c r="C302" s="211" t="str">
        <f>IFERROR(__xludf.DUMMYFUNCTION("""COMPUTED_VALUE"""),"Whatsapp")</f>
        <v>Whatsapp</v>
      </c>
      <c r="D302" s="211" t="str">
        <f>IFERROR(__xludf.DUMMYFUNCTION("""COMPUTED_VALUE"""),"Promtional")</f>
        <v>Promtional</v>
      </c>
      <c r="E302" s="211" t="str">
        <f>IFERROR(__xludf.DUMMYFUNCTION("""COMPUTED_VALUE"""),"VS")</f>
        <v>VS</v>
      </c>
      <c r="F302" s="211" t="str">
        <f>IFERROR(__xludf.DUMMYFUNCTION("""COMPUTED_VALUE"""),"cool bra ")</f>
        <v>cool bra </v>
      </c>
      <c r="G302" s="212" t="str">
        <f>IFERROR(__xludf.DUMMYFUNCTION("""COMPUTED_VALUE"""),"VS CoolBra - Online - SubCat CX")</f>
        <v>VS CoolBra - Online - SubCat CX</v>
      </c>
      <c r="H302" s="212" t="str">
        <f>IFERROR(__xludf.DUMMYFUNCTION("""COMPUTED_VALUE"""),"VS_ON_personal_care_lingerie_subcat_14_April_26")</f>
        <v>VS_ON_personal_care_lingerie_subcat_14_April_26</v>
      </c>
      <c r="I302" s="212" t="str">
        <f>IFERROR(__xludf.DUMMYFUNCTION("""COMPUTED_VALUE"""),"Online Customers who have purchased from L1: Personal Care or L2: Lingerie at least 1 time in the last 1095 days AND exlcude Custom Segment :- VS_Map_FullPriceUsers_Online, VS_ON_BraBase")</f>
        <v>Online Customers who have purchased from L1: Personal Care or L2: Lingerie at least 1 time in the last 1095 days AND exlcude Custom Segment :- VS_Map_FullPriceUsers_Online, VS_ON_BraBase</v>
      </c>
      <c r="J302" s="213">
        <f>IFERROR(__xludf.DUMMYFUNCTION("""COMPUTED_VALUE"""),104897.0)</f>
        <v>104897</v>
      </c>
      <c r="K302" s="213">
        <f>IFERROR(__xludf.DUMMYFUNCTION("""COMPUTED_VALUE"""),63041.0)</f>
        <v>63041</v>
      </c>
      <c r="L302" s="214">
        <f>IFERROR(__xludf.DUMMYFUNCTION("""COMPUTED_VALUE"""),0.6009)</f>
        <v>0.6009</v>
      </c>
      <c r="M302" s="213">
        <f>IFERROR(__xludf.DUMMYFUNCTION("""COMPUTED_VALUE"""),16959.0)</f>
        <v>16959</v>
      </c>
      <c r="N302" s="214">
        <f>IFERROR(__xludf.DUMMYFUNCTION("""COMPUTED_VALUE"""),0.269)</f>
        <v>0.269</v>
      </c>
      <c r="O302" s="213">
        <f>IFERROR(__xludf.DUMMYFUNCTION("""COMPUTED_VALUE"""),1018.0)</f>
        <v>1018</v>
      </c>
      <c r="P302" s="213">
        <f>IFERROR(__xludf.DUMMYFUNCTION("""COMPUTED_VALUE"""),992.0)</f>
        <v>992</v>
      </c>
      <c r="Q302" s="214">
        <f>IFERROR(__xludf.DUMMYFUNCTION("""COMPUTED_VALUE"""),0.0157)</f>
        <v>0.0157</v>
      </c>
      <c r="R302" s="214">
        <f>IFERROR(__xludf.DUMMYFUNCTION("""COMPUTED_VALUE"""),0.0585)</f>
        <v>0.0585</v>
      </c>
      <c r="S302" s="213">
        <f>IFERROR(__xludf.DUMMYFUNCTION("""COMPUTED_VALUE"""),8.0)</f>
        <v>8</v>
      </c>
      <c r="T302" s="213">
        <f>IFERROR(__xludf.DUMMYFUNCTION("""COMPUTED_VALUE"""),43.0)</f>
        <v>43</v>
      </c>
      <c r="U302" s="270">
        <f>IFERROR(__xludf.DUMMYFUNCTION("""COMPUTED_VALUE"""),62610.0)</f>
        <v>62610</v>
      </c>
      <c r="V302" s="271" t="str">
        <f>IFERROR(__xludf.DUMMYFUNCTION("""COMPUTED_VALUE"""),"online")</f>
        <v>online</v>
      </c>
      <c r="W302" s="272" t="str">
        <f>IFERROR(__xludf.DUMMYFUNCTION("""COMPUTED_VALUE"""),"simple")</f>
        <v>simple</v>
      </c>
      <c r="X302" s="272" t="str">
        <f>IFERROR(__xludf.DUMMYFUNCTION("""COMPUTED_VALUE"""),"Category Movers")</f>
        <v>Category Movers</v>
      </c>
      <c r="Y302" s="272" t="str">
        <f>IFERROR(__xludf.DUMMYFUNCTION("""COMPUTED_VALUE"""),"16th - 19th April")</f>
        <v>16th - 19th April</v>
      </c>
      <c r="Z302" s="272" t="str">
        <f>IFERROR(__xludf.DUMMYFUNCTION("""COMPUTED_VALUE"""),"69dfbdfed20f44c52b8a913a")</f>
        <v>69dfbdfed20f44c52b8a913a</v>
      </c>
      <c r="AA302" s="272">
        <f>IFERROR(__xludf.DUMMYFUNCTION("""COMPUTED_VALUE"""),46.0)</f>
        <v>46</v>
      </c>
      <c r="AB302" s="272">
        <f>IFERROR(__xludf.DUMMYFUNCTION("""COMPUTED_VALUE"""),46.0)</f>
        <v>46</v>
      </c>
      <c r="AC302" s="272"/>
      <c r="AD302" s="272">
        <f>IFERROR(__xludf.DUMMYFUNCTION("""COMPUTED_VALUE"""),178582.0)</f>
        <v>178582</v>
      </c>
      <c r="AE302" s="272">
        <f>IFERROR(__xludf.DUMMYFUNCTION("""COMPUTED_VALUE"""),178582.0)</f>
        <v>178582</v>
      </c>
      <c r="AF302" s="272"/>
      <c r="AG302" s="208"/>
      <c r="AH302" s="208"/>
      <c r="AI302" s="208"/>
      <c r="AJ302" s="208"/>
      <c r="AK302" s="208"/>
    </row>
    <row r="303">
      <c r="A303" s="209">
        <f>IFERROR(__xludf.DUMMYFUNCTION("""COMPUTED_VALUE"""),46128.0)</f>
        <v>46128</v>
      </c>
      <c r="B303" s="210">
        <f>IFERROR(__xludf.DUMMYFUNCTION("""COMPUTED_VALUE"""),0.4583333333321207)</f>
        <v>0.4583333333</v>
      </c>
      <c r="C303" s="211" t="str">
        <f>IFERROR(__xludf.DUMMYFUNCTION("""COMPUTED_VALUE"""),"Sms")</f>
        <v>Sms</v>
      </c>
      <c r="D303" s="211" t="str">
        <f>IFERROR(__xludf.DUMMYFUNCTION("""COMPUTED_VALUE"""),"Fallback campaign")</f>
        <v>Fallback campaign</v>
      </c>
      <c r="E303" s="211" t="str">
        <f>IFERROR(__xludf.DUMMYFUNCTION("""COMPUTED_VALUE"""),"VS")</f>
        <v>VS</v>
      </c>
      <c r="F303" s="211" t="str">
        <f>IFERROR(__xludf.DUMMYFUNCTION("""COMPUTED_VALUE"""),"Cool bra store campaigns")</f>
        <v>Cool bra store campaigns</v>
      </c>
      <c r="G303" s="212" t="str">
        <f>IFERROR(__xludf.DUMMYFUNCTION("""COMPUTED_VALUE"""),"VS CoolBra - Stores - Palassio - LKN (FB)")</f>
        <v>VS CoolBra - Stores - Palassio - LKN (FB)</v>
      </c>
      <c r="H303" s="212" t="str">
        <f>IFERROR(__xludf.DUMMYFUNCTION("""COMPUTED_VALUE"""),"vs_off_lucknow_feb2026")</f>
        <v>vs_off_lucknow_feb2026</v>
      </c>
      <c r="I303" s="212" t="str">
        <f>IFERROR(__xludf.DUMMYFUNCTION("""COMPUTED_VALUE"""),"WA Undelivered")</f>
        <v>WA Undelivered</v>
      </c>
      <c r="J303" s="213">
        <f>IFERROR(__xludf.DUMMYFUNCTION("""COMPUTED_VALUE"""),575.0)</f>
        <v>575</v>
      </c>
      <c r="K303" s="213">
        <f>IFERROR(__xludf.DUMMYFUNCTION("""COMPUTED_VALUE"""),400.0)</f>
        <v>400</v>
      </c>
      <c r="L303" s="214">
        <f>IFERROR(__xludf.DUMMYFUNCTION("""COMPUTED_VALUE"""),0.6957)</f>
        <v>0.6957</v>
      </c>
      <c r="M303" s="213">
        <f>IFERROR(__xludf.DUMMYFUNCTION("""COMPUTED_VALUE"""),0.0)</f>
        <v>0</v>
      </c>
      <c r="N303" s="214">
        <f>IFERROR(__xludf.DUMMYFUNCTION("""COMPUTED_VALUE"""),0.0)</f>
        <v>0</v>
      </c>
      <c r="O303" s="213">
        <f>IFERROR(__xludf.DUMMYFUNCTION("""COMPUTED_VALUE"""),0.0)</f>
        <v>0</v>
      </c>
      <c r="P303" s="213">
        <f>IFERROR(__xludf.DUMMYFUNCTION("""COMPUTED_VALUE"""),0.0)</f>
        <v>0</v>
      </c>
      <c r="Q303" s="214">
        <f>IFERROR(__xludf.DUMMYFUNCTION("""COMPUTED_VALUE"""),0.0)</f>
        <v>0</v>
      </c>
      <c r="R303" s="214">
        <f>IFERROR(__xludf.DUMMYFUNCTION("""COMPUTED_VALUE"""),0.0)</f>
        <v>0</v>
      </c>
      <c r="S303" s="213">
        <f>IFERROR(__xludf.DUMMYFUNCTION("""COMPUTED_VALUE"""),0.0)</f>
        <v>0</v>
      </c>
      <c r="T303" s="213">
        <f>IFERROR(__xludf.DUMMYFUNCTION("""COMPUTED_VALUE"""),0.0)</f>
        <v>0</v>
      </c>
      <c r="U303" s="270">
        <f>IFERROR(__xludf.DUMMYFUNCTION("""COMPUTED_VALUE"""),0.0)</f>
        <v>0</v>
      </c>
      <c r="V303" s="271" t="str">
        <f>IFERROR(__xludf.DUMMYFUNCTION("""COMPUTED_VALUE"""),"offline")</f>
        <v>offline</v>
      </c>
      <c r="W303" s="272" t="str">
        <f>IFERROR(__xludf.DUMMYFUNCTION("""COMPUTED_VALUE"""),"sms")</f>
        <v>sms</v>
      </c>
      <c r="X303" s="272" t="str">
        <f>IFERROR(__xludf.DUMMYFUNCTION("""COMPUTED_VALUE"""),"Offline Stores")</f>
        <v>Offline Stores</v>
      </c>
      <c r="Y303" s="272" t="str">
        <f>IFERROR(__xludf.DUMMYFUNCTION("""COMPUTED_VALUE"""),"16th - 19th April")</f>
        <v>16th - 19th April</v>
      </c>
      <c r="Z303" s="272" t="str">
        <f>IFERROR(__xludf.DUMMYFUNCTION("""COMPUTED_VALUE"""),"69e07251e93ca854bc2bb7d6")</f>
        <v>69e07251e93ca854bc2bb7d6</v>
      </c>
      <c r="AA303" s="272">
        <f>IFERROR(__xludf.DUMMYFUNCTION("""COMPUTED_VALUE"""),1.0)</f>
        <v>1</v>
      </c>
      <c r="AB303" s="272"/>
      <c r="AC303" s="272">
        <f>IFERROR(__xludf.DUMMYFUNCTION("""COMPUTED_VALUE"""),1.0)</f>
        <v>1</v>
      </c>
      <c r="AD303" s="272">
        <f>IFERROR(__xludf.DUMMYFUNCTION("""COMPUTED_VALUE"""),7999.0)</f>
        <v>7999</v>
      </c>
      <c r="AE303" s="272"/>
      <c r="AF303" s="272">
        <f>IFERROR(__xludf.DUMMYFUNCTION("""COMPUTED_VALUE"""),7999.0)</f>
        <v>7999</v>
      </c>
      <c r="AG303" s="208"/>
      <c r="AH303" s="208"/>
      <c r="AI303" s="208"/>
      <c r="AJ303" s="208"/>
      <c r="AK303" s="208"/>
    </row>
    <row r="304">
      <c r="A304" s="209">
        <f>IFERROR(__xludf.DUMMYFUNCTION("""COMPUTED_VALUE"""),46128.0)</f>
        <v>46128</v>
      </c>
      <c r="B304" s="210">
        <f>IFERROR(__xludf.DUMMYFUNCTION("""COMPUTED_VALUE"""),0.4583333333321207)</f>
        <v>0.4583333333</v>
      </c>
      <c r="C304" s="211" t="str">
        <f>IFERROR(__xludf.DUMMYFUNCTION("""COMPUTED_VALUE"""),"Sms")</f>
        <v>Sms</v>
      </c>
      <c r="D304" s="211" t="str">
        <f>IFERROR(__xludf.DUMMYFUNCTION("""COMPUTED_VALUE"""),"Fallback campaign")</f>
        <v>Fallback campaign</v>
      </c>
      <c r="E304" s="211" t="str">
        <f>IFERROR(__xludf.DUMMYFUNCTION("""COMPUTED_VALUE"""),"VS")</f>
        <v>VS</v>
      </c>
      <c r="F304" s="211" t="str">
        <f>IFERROR(__xludf.DUMMYFUNCTION("""COMPUTED_VALUE"""),"Cool bra store campaigns")</f>
        <v>Cool bra store campaigns</v>
      </c>
      <c r="G304" s="212" t="str">
        <f>IFERROR(__xludf.DUMMYFUNCTION("""COMPUTED_VALUE"""),"VS CoolBra - Stores - Elegante - Delhi (FB)")</f>
        <v>VS CoolBra - Stores - Elegante - Delhi (FB)</v>
      </c>
      <c r="H304" s="212" t="str">
        <f>IFERROR(__xludf.DUMMYFUNCTION("""COMPUTED_VALUE"""),"vs_off_txnstd_1251_feb2026")</f>
        <v>vs_off_txnstd_1251_feb2026</v>
      </c>
      <c r="I304" s="212" t="str">
        <f>IFERROR(__xludf.DUMMYFUNCTION("""COMPUTED_VALUE"""),"WA Undelivered")</f>
        <v>WA Undelivered</v>
      </c>
      <c r="J304" s="213">
        <f>IFERROR(__xludf.DUMMYFUNCTION("""COMPUTED_VALUE"""),976.0)</f>
        <v>976</v>
      </c>
      <c r="K304" s="213">
        <f>IFERROR(__xludf.DUMMYFUNCTION("""COMPUTED_VALUE"""),615.0)</f>
        <v>615</v>
      </c>
      <c r="L304" s="214">
        <f>IFERROR(__xludf.DUMMYFUNCTION("""COMPUTED_VALUE"""),0.6301)</f>
        <v>0.6301</v>
      </c>
      <c r="M304" s="213">
        <f>IFERROR(__xludf.DUMMYFUNCTION("""COMPUTED_VALUE"""),0.0)</f>
        <v>0</v>
      </c>
      <c r="N304" s="214">
        <f>IFERROR(__xludf.DUMMYFUNCTION("""COMPUTED_VALUE"""),0.0)</f>
        <v>0</v>
      </c>
      <c r="O304" s="213">
        <f>IFERROR(__xludf.DUMMYFUNCTION("""COMPUTED_VALUE"""),0.0)</f>
        <v>0</v>
      </c>
      <c r="P304" s="213">
        <f>IFERROR(__xludf.DUMMYFUNCTION("""COMPUTED_VALUE"""),0.0)</f>
        <v>0</v>
      </c>
      <c r="Q304" s="214">
        <f>IFERROR(__xludf.DUMMYFUNCTION("""COMPUTED_VALUE"""),0.0)</f>
        <v>0</v>
      </c>
      <c r="R304" s="214">
        <f>IFERROR(__xludf.DUMMYFUNCTION("""COMPUTED_VALUE"""),0.0)</f>
        <v>0</v>
      </c>
      <c r="S304" s="213">
        <f>IFERROR(__xludf.DUMMYFUNCTION("""COMPUTED_VALUE"""),0.0)</f>
        <v>0</v>
      </c>
      <c r="T304" s="213">
        <f>IFERROR(__xludf.DUMMYFUNCTION("""COMPUTED_VALUE"""),1.0)</f>
        <v>1</v>
      </c>
      <c r="U304" s="270">
        <f>IFERROR(__xludf.DUMMYFUNCTION("""COMPUTED_VALUE"""),0.0)</f>
        <v>0</v>
      </c>
      <c r="V304" s="271" t="str">
        <f>IFERROR(__xludf.DUMMYFUNCTION("""COMPUTED_VALUE"""),"offline")</f>
        <v>offline</v>
      </c>
      <c r="W304" s="272" t="str">
        <f>IFERROR(__xludf.DUMMYFUNCTION("""COMPUTED_VALUE"""),"sms")</f>
        <v>sms</v>
      </c>
      <c r="X304" s="272" t="str">
        <f>IFERROR(__xludf.DUMMYFUNCTION("""COMPUTED_VALUE"""),"Offline Stores")</f>
        <v>Offline Stores</v>
      </c>
      <c r="Y304" s="272" t="str">
        <f>IFERROR(__xludf.DUMMYFUNCTION("""COMPUTED_VALUE"""),"16th - 19th April")</f>
        <v>16th - 19th April</v>
      </c>
      <c r="Z304" s="272" t="str">
        <f>IFERROR(__xludf.DUMMYFUNCTION("""COMPUTED_VALUE"""),"69e072752747e62a5157ee36")</f>
        <v>69e072752747e62a5157ee36</v>
      </c>
      <c r="AA304" s="272">
        <f>IFERROR(__xludf.DUMMYFUNCTION("""COMPUTED_VALUE"""),4.0)</f>
        <v>4</v>
      </c>
      <c r="AB304" s="272"/>
      <c r="AC304" s="272">
        <f>IFERROR(__xludf.DUMMYFUNCTION("""COMPUTED_VALUE"""),4.0)</f>
        <v>4</v>
      </c>
      <c r="AD304" s="272">
        <f>IFERROR(__xludf.DUMMYFUNCTION("""COMPUTED_VALUE"""),30494.0)</f>
        <v>30494</v>
      </c>
      <c r="AE304" s="272"/>
      <c r="AF304" s="272">
        <f>IFERROR(__xludf.DUMMYFUNCTION("""COMPUTED_VALUE"""),30494.0)</f>
        <v>30494</v>
      </c>
      <c r="AG304" s="208"/>
      <c r="AH304" s="208"/>
      <c r="AI304" s="208"/>
      <c r="AJ304" s="208"/>
      <c r="AK304" s="208"/>
    </row>
    <row r="305">
      <c r="A305" s="209">
        <f>IFERROR(__xludf.DUMMYFUNCTION("""COMPUTED_VALUE"""),46128.0)</f>
        <v>46128</v>
      </c>
      <c r="B305" s="210">
        <f>IFERROR(__xludf.DUMMYFUNCTION("""COMPUTED_VALUE"""),0.4583333333321207)</f>
        <v>0.4583333333</v>
      </c>
      <c r="C305" s="211" t="str">
        <f>IFERROR(__xludf.DUMMYFUNCTION("""COMPUTED_VALUE"""),"Sms")</f>
        <v>Sms</v>
      </c>
      <c r="D305" s="211" t="str">
        <f>IFERROR(__xludf.DUMMYFUNCTION("""COMPUTED_VALUE"""),"Fallback campaign")</f>
        <v>Fallback campaign</v>
      </c>
      <c r="E305" s="211" t="str">
        <f>IFERROR(__xludf.DUMMYFUNCTION("""COMPUTED_VALUE"""),"VS")</f>
        <v>VS</v>
      </c>
      <c r="F305" s="211" t="str">
        <f>IFERROR(__xludf.DUMMYFUNCTION("""COMPUTED_VALUE"""),"Cool bra store campaigns")</f>
        <v>Cool bra store campaigns</v>
      </c>
      <c r="G305" s="212" t="str">
        <f>IFERROR(__xludf.DUMMYFUNCTION("""COMPUTED_VALUE"""),"VS CoolBra - Stores - EA - Chennai (FB)")</f>
        <v>VS CoolBra - Stores - EA - Chennai (FB)</v>
      </c>
      <c r="H305" s="212" t="str">
        <f>IFERROR(__xludf.DUMMYFUNCTION("""COMPUTED_VALUE"""),"vs_off_chennai_feb2026")</f>
        <v>vs_off_chennai_feb2026</v>
      </c>
      <c r="I305" s="212" t="str">
        <f>IFERROR(__xludf.DUMMYFUNCTION("""COMPUTED_VALUE"""),"WA Undelivered")</f>
        <v>WA Undelivered</v>
      </c>
      <c r="J305" s="213">
        <f>IFERROR(__xludf.DUMMYFUNCTION("""COMPUTED_VALUE"""),1147.0)</f>
        <v>1147</v>
      </c>
      <c r="K305" s="213">
        <f>IFERROR(__xludf.DUMMYFUNCTION("""COMPUTED_VALUE"""),783.0)</f>
        <v>783</v>
      </c>
      <c r="L305" s="214">
        <f>IFERROR(__xludf.DUMMYFUNCTION("""COMPUTED_VALUE"""),0.6827)</f>
        <v>0.6827</v>
      </c>
      <c r="M305" s="213">
        <f>IFERROR(__xludf.DUMMYFUNCTION("""COMPUTED_VALUE"""),0.0)</f>
        <v>0</v>
      </c>
      <c r="N305" s="214">
        <f>IFERROR(__xludf.DUMMYFUNCTION("""COMPUTED_VALUE"""),0.0)</f>
        <v>0</v>
      </c>
      <c r="O305" s="213">
        <f>IFERROR(__xludf.DUMMYFUNCTION("""COMPUTED_VALUE"""),0.0)</f>
        <v>0</v>
      </c>
      <c r="P305" s="213">
        <f>IFERROR(__xludf.DUMMYFUNCTION("""COMPUTED_VALUE"""),0.0)</f>
        <v>0</v>
      </c>
      <c r="Q305" s="214">
        <f>IFERROR(__xludf.DUMMYFUNCTION("""COMPUTED_VALUE"""),0.0)</f>
        <v>0</v>
      </c>
      <c r="R305" s="214">
        <f>IFERROR(__xludf.DUMMYFUNCTION("""COMPUTED_VALUE"""),0.0)</f>
        <v>0</v>
      </c>
      <c r="S305" s="213">
        <f>IFERROR(__xludf.DUMMYFUNCTION("""COMPUTED_VALUE"""),0.0)</f>
        <v>0</v>
      </c>
      <c r="T305" s="213">
        <f>IFERROR(__xludf.DUMMYFUNCTION("""COMPUTED_VALUE"""),0.0)</f>
        <v>0</v>
      </c>
      <c r="U305" s="270">
        <f>IFERROR(__xludf.DUMMYFUNCTION("""COMPUTED_VALUE"""),0.0)</f>
        <v>0</v>
      </c>
      <c r="V305" s="271" t="str">
        <f>IFERROR(__xludf.DUMMYFUNCTION("""COMPUTED_VALUE"""),"offline")</f>
        <v>offline</v>
      </c>
      <c r="W305" s="272" t="str">
        <f>IFERROR(__xludf.DUMMYFUNCTION("""COMPUTED_VALUE"""),"sms")</f>
        <v>sms</v>
      </c>
      <c r="X305" s="272" t="str">
        <f>IFERROR(__xludf.DUMMYFUNCTION("""COMPUTED_VALUE"""),"Offline Stores")</f>
        <v>Offline Stores</v>
      </c>
      <c r="Y305" s="272" t="str">
        <f>IFERROR(__xludf.DUMMYFUNCTION("""COMPUTED_VALUE"""),"16th - 19th April")</f>
        <v>16th - 19th April</v>
      </c>
      <c r="Z305" s="272" t="str">
        <f>IFERROR(__xludf.DUMMYFUNCTION("""COMPUTED_VALUE"""),"69e072996c08f1200f14a243")</f>
        <v>69e072996c08f1200f14a243</v>
      </c>
      <c r="AA305" s="272">
        <f>IFERROR(__xludf.DUMMYFUNCTION("""COMPUTED_VALUE"""),4.0)</f>
        <v>4</v>
      </c>
      <c r="AB305" s="272"/>
      <c r="AC305" s="272">
        <f>IFERROR(__xludf.DUMMYFUNCTION("""COMPUTED_VALUE"""),4.0)</f>
        <v>4</v>
      </c>
      <c r="AD305" s="272">
        <f>IFERROR(__xludf.DUMMYFUNCTION("""COMPUTED_VALUE"""),18295.0)</f>
        <v>18295</v>
      </c>
      <c r="AE305" s="272"/>
      <c r="AF305" s="272">
        <f>IFERROR(__xludf.DUMMYFUNCTION("""COMPUTED_VALUE"""),18295.0)</f>
        <v>18295</v>
      </c>
      <c r="AG305" s="208"/>
      <c r="AH305" s="208"/>
      <c r="AI305" s="208"/>
      <c r="AJ305" s="208"/>
      <c r="AK305" s="208"/>
    </row>
    <row r="306">
      <c r="A306" s="209">
        <f>IFERROR(__xludf.DUMMYFUNCTION("""COMPUTED_VALUE"""),46128.0)</f>
        <v>46128</v>
      </c>
      <c r="B306" s="210">
        <f>IFERROR(__xludf.DUMMYFUNCTION("""COMPUTED_VALUE"""),0.4583333333321207)</f>
        <v>0.4583333333</v>
      </c>
      <c r="C306" s="211" t="str">
        <f>IFERROR(__xludf.DUMMYFUNCTION("""COMPUTED_VALUE"""),"Sms")</f>
        <v>Sms</v>
      </c>
      <c r="D306" s="211" t="str">
        <f>IFERROR(__xludf.DUMMYFUNCTION("""COMPUTED_VALUE"""),"Fallback campaign")</f>
        <v>Fallback campaign</v>
      </c>
      <c r="E306" s="211" t="str">
        <f>IFERROR(__xludf.DUMMYFUNCTION("""COMPUTED_VALUE"""),"VS")</f>
        <v>VS</v>
      </c>
      <c r="F306" s="211" t="str">
        <f>IFERROR(__xludf.DUMMYFUNCTION("""COMPUTED_VALUE"""),"Cool bra store campaigns")</f>
        <v>Cool bra store campaigns</v>
      </c>
      <c r="G306" s="212" t="str">
        <f>IFERROR(__xludf.DUMMYFUNCTION("""COMPUTED_VALUE"""),"VS CoolBra - Stores - Zora - Raipur (FB)")</f>
        <v>VS CoolBra - Stores - Zora - Raipur (FB)</v>
      </c>
      <c r="H306" s="212" t="str">
        <f>IFERROR(__xludf.DUMMYFUNCTION("""COMPUTED_VALUE"""),"vs_off_raipur_feb2026")</f>
        <v>vs_off_raipur_feb2026</v>
      </c>
      <c r="I306" s="212" t="str">
        <f>IFERROR(__xludf.DUMMYFUNCTION("""COMPUTED_VALUE"""),"WA Undelivered")</f>
        <v>WA Undelivered</v>
      </c>
      <c r="J306" s="213">
        <f>IFERROR(__xludf.DUMMYFUNCTION("""COMPUTED_VALUE"""),490.0)</f>
        <v>490</v>
      </c>
      <c r="K306" s="213">
        <f>IFERROR(__xludf.DUMMYFUNCTION("""COMPUTED_VALUE"""),359.0)</f>
        <v>359</v>
      </c>
      <c r="L306" s="214">
        <f>IFERROR(__xludf.DUMMYFUNCTION("""COMPUTED_VALUE"""),0.7327)</f>
        <v>0.7327</v>
      </c>
      <c r="M306" s="213">
        <f>IFERROR(__xludf.DUMMYFUNCTION("""COMPUTED_VALUE"""),0.0)</f>
        <v>0</v>
      </c>
      <c r="N306" s="214">
        <f>IFERROR(__xludf.DUMMYFUNCTION("""COMPUTED_VALUE"""),0.0)</f>
        <v>0</v>
      </c>
      <c r="O306" s="213">
        <f>IFERROR(__xludf.DUMMYFUNCTION("""COMPUTED_VALUE"""),0.0)</f>
        <v>0</v>
      </c>
      <c r="P306" s="213">
        <f>IFERROR(__xludf.DUMMYFUNCTION("""COMPUTED_VALUE"""),0.0)</f>
        <v>0</v>
      </c>
      <c r="Q306" s="214">
        <f>IFERROR(__xludf.DUMMYFUNCTION("""COMPUTED_VALUE"""),0.0)</f>
        <v>0</v>
      </c>
      <c r="R306" s="214">
        <f>IFERROR(__xludf.DUMMYFUNCTION("""COMPUTED_VALUE"""),0.0)</f>
        <v>0</v>
      </c>
      <c r="S306" s="213">
        <f>IFERROR(__xludf.DUMMYFUNCTION("""COMPUTED_VALUE"""),0.0)</f>
        <v>0</v>
      </c>
      <c r="T306" s="213">
        <f>IFERROR(__xludf.DUMMYFUNCTION("""COMPUTED_VALUE"""),0.0)</f>
        <v>0</v>
      </c>
      <c r="U306" s="270">
        <f>IFERROR(__xludf.DUMMYFUNCTION("""COMPUTED_VALUE"""),0.0)</f>
        <v>0</v>
      </c>
      <c r="V306" s="271" t="str">
        <f>IFERROR(__xludf.DUMMYFUNCTION("""COMPUTED_VALUE"""),"offline")</f>
        <v>offline</v>
      </c>
      <c r="W306" s="272" t="str">
        <f>IFERROR(__xludf.DUMMYFUNCTION("""COMPUTED_VALUE"""),"sms")</f>
        <v>sms</v>
      </c>
      <c r="X306" s="272" t="str">
        <f>IFERROR(__xludf.DUMMYFUNCTION("""COMPUTED_VALUE"""),"Offline Stores")</f>
        <v>Offline Stores</v>
      </c>
      <c r="Y306" s="272" t="str">
        <f>IFERROR(__xludf.DUMMYFUNCTION("""COMPUTED_VALUE"""),"16th - 19th April")</f>
        <v>16th - 19th April</v>
      </c>
      <c r="Z306" s="272" t="str">
        <f>IFERROR(__xludf.DUMMYFUNCTION("""COMPUTED_VALUE"""),"69e072cd6c08f1200f14a24a")</f>
        <v>69e072cd6c08f1200f14a24a</v>
      </c>
      <c r="AA306" s="272">
        <f>IFERROR(__xludf.DUMMYFUNCTION("""COMPUTED_VALUE"""),1.0)</f>
        <v>1</v>
      </c>
      <c r="AB306" s="272"/>
      <c r="AC306" s="272">
        <f>IFERROR(__xludf.DUMMYFUNCTION("""COMPUTED_VALUE"""),1.0)</f>
        <v>1</v>
      </c>
      <c r="AD306" s="272">
        <f>IFERROR(__xludf.DUMMYFUNCTION("""COMPUTED_VALUE"""),12639.0)</f>
        <v>12639</v>
      </c>
      <c r="AE306" s="272"/>
      <c r="AF306" s="272">
        <f>IFERROR(__xludf.DUMMYFUNCTION("""COMPUTED_VALUE"""),12639.0)</f>
        <v>12639</v>
      </c>
      <c r="AG306" s="208"/>
      <c r="AH306" s="208"/>
      <c r="AI306" s="208"/>
      <c r="AJ306" s="208"/>
      <c r="AK306" s="208"/>
    </row>
    <row r="307">
      <c r="A307" s="209">
        <f>IFERROR(__xludf.DUMMYFUNCTION("""COMPUTED_VALUE"""),46128.0)</f>
        <v>46128</v>
      </c>
      <c r="B307" s="210">
        <f>IFERROR(__xludf.DUMMYFUNCTION("""COMPUTED_VALUE"""),0.4583333333321207)</f>
        <v>0.4583333333</v>
      </c>
      <c r="C307" s="211" t="str">
        <f>IFERROR(__xludf.DUMMYFUNCTION("""COMPUTED_VALUE"""),"Sms")</f>
        <v>Sms</v>
      </c>
      <c r="D307" s="211" t="str">
        <f>IFERROR(__xludf.DUMMYFUNCTION("""COMPUTED_VALUE"""),"Fallback campaign")</f>
        <v>Fallback campaign</v>
      </c>
      <c r="E307" s="211" t="str">
        <f>IFERROR(__xludf.DUMMYFUNCTION("""COMPUTED_VALUE"""),"VS")</f>
        <v>VS</v>
      </c>
      <c r="F307" s="211" t="str">
        <f>IFERROR(__xludf.DUMMYFUNCTION("""COMPUTED_VALUE"""),"Cool bra store campaigns")</f>
        <v>Cool bra store campaigns</v>
      </c>
      <c r="G307" s="212" t="str">
        <f>IFERROR(__xludf.DUMMYFUNCTION("""COMPUTED_VALUE"""),"VS CoolBra - Stores - Orion - BLR (FB)")</f>
        <v>VS CoolBra - Stores - Orion - BLR (FB)</v>
      </c>
      <c r="H307" s="212" t="str">
        <f>IFERROR(__xludf.DUMMYFUNCTION("""COMPUTED_VALUE"""),"vs_off_txnstd_1273_feb2026")</f>
        <v>vs_off_txnstd_1273_feb2026</v>
      </c>
      <c r="I307" s="212" t="str">
        <f>IFERROR(__xludf.DUMMYFUNCTION("""COMPUTED_VALUE"""),"WA Undelivered")</f>
        <v>WA Undelivered</v>
      </c>
      <c r="J307" s="213">
        <f>IFERROR(__xludf.DUMMYFUNCTION("""COMPUTED_VALUE"""),1801.0)</f>
        <v>1801</v>
      </c>
      <c r="K307" s="213">
        <f>IFERROR(__xludf.DUMMYFUNCTION("""COMPUTED_VALUE"""),1208.0)</f>
        <v>1208</v>
      </c>
      <c r="L307" s="214">
        <f>IFERROR(__xludf.DUMMYFUNCTION("""COMPUTED_VALUE"""),0.6707)</f>
        <v>0.6707</v>
      </c>
      <c r="M307" s="213">
        <f>IFERROR(__xludf.DUMMYFUNCTION("""COMPUTED_VALUE"""),0.0)</f>
        <v>0</v>
      </c>
      <c r="N307" s="214">
        <f>IFERROR(__xludf.DUMMYFUNCTION("""COMPUTED_VALUE"""),0.0)</f>
        <v>0</v>
      </c>
      <c r="O307" s="213">
        <f>IFERROR(__xludf.DUMMYFUNCTION("""COMPUTED_VALUE"""),0.0)</f>
        <v>0</v>
      </c>
      <c r="P307" s="213">
        <f>IFERROR(__xludf.DUMMYFUNCTION("""COMPUTED_VALUE"""),0.0)</f>
        <v>0</v>
      </c>
      <c r="Q307" s="214">
        <f>IFERROR(__xludf.DUMMYFUNCTION("""COMPUTED_VALUE"""),0.0)</f>
        <v>0</v>
      </c>
      <c r="R307" s="214">
        <f>IFERROR(__xludf.DUMMYFUNCTION("""COMPUTED_VALUE"""),0.0)</f>
        <v>0</v>
      </c>
      <c r="S307" s="213">
        <f>IFERROR(__xludf.DUMMYFUNCTION("""COMPUTED_VALUE"""),0.0)</f>
        <v>0</v>
      </c>
      <c r="T307" s="213">
        <f>IFERROR(__xludf.DUMMYFUNCTION("""COMPUTED_VALUE"""),0.0)</f>
        <v>0</v>
      </c>
      <c r="U307" s="270">
        <f>IFERROR(__xludf.DUMMYFUNCTION("""COMPUTED_VALUE"""),0.0)</f>
        <v>0</v>
      </c>
      <c r="V307" s="271" t="str">
        <f>IFERROR(__xludf.DUMMYFUNCTION("""COMPUTED_VALUE"""),"offline")</f>
        <v>offline</v>
      </c>
      <c r="W307" s="272" t="str">
        <f>IFERROR(__xludf.DUMMYFUNCTION("""COMPUTED_VALUE"""),"sms")</f>
        <v>sms</v>
      </c>
      <c r="X307" s="272" t="str">
        <f>IFERROR(__xludf.DUMMYFUNCTION("""COMPUTED_VALUE"""),"Offline Stores")</f>
        <v>Offline Stores</v>
      </c>
      <c r="Y307" s="272" t="str">
        <f>IFERROR(__xludf.DUMMYFUNCTION("""COMPUTED_VALUE"""),"16th - 19th April")</f>
        <v>16th - 19th April</v>
      </c>
      <c r="Z307" s="272" t="str">
        <f>IFERROR(__xludf.DUMMYFUNCTION("""COMPUTED_VALUE"""),"69e0733a8390799d694e07c3")</f>
        <v>69e0733a8390799d694e07c3</v>
      </c>
      <c r="AA307" s="272">
        <f>IFERROR(__xludf.DUMMYFUNCTION("""COMPUTED_VALUE"""),8.0)</f>
        <v>8</v>
      </c>
      <c r="AB307" s="272"/>
      <c r="AC307" s="272">
        <f>IFERROR(__xludf.DUMMYFUNCTION("""COMPUTED_VALUE"""),8.0)</f>
        <v>8</v>
      </c>
      <c r="AD307" s="272">
        <f>IFERROR(__xludf.DUMMYFUNCTION("""COMPUTED_VALUE"""),77883.0)</f>
        <v>77883</v>
      </c>
      <c r="AE307" s="272"/>
      <c r="AF307" s="272">
        <f>IFERROR(__xludf.DUMMYFUNCTION("""COMPUTED_VALUE"""),77883.0)</f>
        <v>77883</v>
      </c>
      <c r="AG307" s="208"/>
      <c r="AH307" s="208"/>
      <c r="AI307" s="208"/>
      <c r="AJ307" s="208"/>
      <c r="AK307" s="208"/>
    </row>
    <row r="308">
      <c r="A308" s="209">
        <f>IFERROR(__xludf.DUMMYFUNCTION("""COMPUTED_VALUE"""),46128.0)</f>
        <v>46128</v>
      </c>
      <c r="B308" s="210">
        <f>IFERROR(__xludf.DUMMYFUNCTION("""COMPUTED_VALUE"""),0.4583333333321207)</f>
        <v>0.4583333333</v>
      </c>
      <c r="C308" s="211" t="str">
        <f>IFERROR(__xludf.DUMMYFUNCTION("""COMPUTED_VALUE"""),"Sms")</f>
        <v>Sms</v>
      </c>
      <c r="D308" s="211" t="str">
        <f>IFERROR(__xludf.DUMMYFUNCTION("""COMPUTED_VALUE"""),"Fallback campaign")</f>
        <v>Fallback campaign</v>
      </c>
      <c r="E308" s="211" t="str">
        <f>IFERROR(__xludf.DUMMYFUNCTION("""COMPUTED_VALUE"""),"VS")</f>
        <v>VS</v>
      </c>
      <c r="F308" s="211" t="str">
        <f>IFERROR(__xludf.DUMMYFUNCTION("""COMPUTED_VALUE"""),"Cool bra store campaigns")</f>
        <v>Cool bra store campaigns</v>
      </c>
      <c r="G308" s="212" t="str">
        <f>IFERROR(__xludf.DUMMYFUNCTION("""COMPUTED_VALUE"""),"VS CoolBra - Stores - LakeShore - HYD (FB)")</f>
        <v>VS CoolBra - Stores - LakeShore - HYD (FB)</v>
      </c>
      <c r="H308" s="212" t="str">
        <f>IFERROR(__xludf.DUMMYFUNCTION("""COMPUTED_VALUE"""),"vs_off_txnstd_1280_feb2026")</f>
        <v>vs_off_txnstd_1280_feb2026</v>
      </c>
      <c r="I308" s="212" t="str">
        <f>IFERROR(__xludf.DUMMYFUNCTION("""COMPUTED_VALUE"""),"WA Undelivered")</f>
        <v>WA Undelivered</v>
      </c>
      <c r="J308" s="213">
        <f>IFERROR(__xludf.DUMMYFUNCTION("""COMPUTED_VALUE"""),267.0)</f>
        <v>267</v>
      </c>
      <c r="K308" s="213">
        <f>IFERROR(__xludf.DUMMYFUNCTION("""COMPUTED_VALUE"""),190.0)</f>
        <v>190</v>
      </c>
      <c r="L308" s="214">
        <f>IFERROR(__xludf.DUMMYFUNCTION("""COMPUTED_VALUE"""),0.7116)</f>
        <v>0.7116</v>
      </c>
      <c r="M308" s="213">
        <f>IFERROR(__xludf.DUMMYFUNCTION("""COMPUTED_VALUE"""),0.0)</f>
        <v>0</v>
      </c>
      <c r="N308" s="214">
        <f>IFERROR(__xludf.DUMMYFUNCTION("""COMPUTED_VALUE"""),0.0)</f>
        <v>0</v>
      </c>
      <c r="O308" s="213">
        <f>IFERROR(__xludf.DUMMYFUNCTION("""COMPUTED_VALUE"""),0.0)</f>
        <v>0</v>
      </c>
      <c r="P308" s="213">
        <f>IFERROR(__xludf.DUMMYFUNCTION("""COMPUTED_VALUE"""),0.0)</f>
        <v>0</v>
      </c>
      <c r="Q308" s="214">
        <f>IFERROR(__xludf.DUMMYFUNCTION("""COMPUTED_VALUE"""),0.0)</f>
        <v>0</v>
      </c>
      <c r="R308" s="214">
        <f>IFERROR(__xludf.DUMMYFUNCTION("""COMPUTED_VALUE"""),0.0)</f>
        <v>0</v>
      </c>
      <c r="S308" s="213">
        <f>IFERROR(__xludf.DUMMYFUNCTION("""COMPUTED_VALUE"""),0.0)</f>
        <v>0</v>
      </c>
      <c r="T308" s="213">
        <f>IFERROR(__xludf.DUMMYFUNCTION("""COMPUTED_VALUE"""),0.0)</f>
        <v>0</v>
      </c>
      <c r="U308" s="270">
        <f>IFERROR(__xludf.DUMMYFUNCTION("""COMPUTED_VALUE"""),0.0)</f>
        <v>0</v>
      </c>
      <c r="V308" s="271" t="str">
        <f>IFERROR(__xludf.DUMMYFUNCTION("""COMPUTED_VALUE"""),"offline")</f>
        <v>offline</v>
      </c>
      <c r="W308" s="272" t="str">
        <f>IFERROR(__xludf.DUMMYFUNCTION("""COMPUTED_VALUE"""),"sms")</f>
        <v>sms</v>
      </c>
      <c r="X308" s="272" t="str">
        <f>IFERROR(__xludf.DUMMYFUNCTION("""COMPUTED_VALUE"""),"Offline Stores")</f>
        <v>Offline Stores</v>
      </c>
      <c r="Y308" s="272" t="str">
        <f>IFERROR(__xludf.DUMMYFUNCTION("""COMPUTED_VALUE"""),"16th - 19th April")</f>
        <v>16th - 19th April</v>
      </c>
      <c r="Z308" s="272" t="str">
        <f>IFERROR(__xludf.DUMMYFUNCTION("""COMPUTED_VALUE"""),"69e0734df5590d63ed11379d")</f>
        <v>69e0734df5590d63ed11379d</v>
      </c>
      <c r="AA308" s="272">
        <f>IFERROR(__xludf.DUMMYFUNCTION("""COMPUTED_VALUE"""),0.0)</f>
        <v>0</v>
      </c>
      <c r="AB308" s="272"/>
      <c r="AC308" s="272">
        <f>IFERROR(__xludf.DUMMYFUNCTION("""COMPUTED_VALUE"""),0.0)</f>
        <v>0</v>
      </c>
      <c r="AD308" s="272">
        <f>IFERROR(__xludf.DUMMYFUNCTION("""COMPUTED_VALUE"""),0.0)</f>
        <v>0</v>
      </c>
      <c r="AE308" s="272"/>
      <c r="AF308" s="272">
        <f>IFERROR(__xludf.DUMMYFUNCTION("""COMPUTED_VALUE"""),0.0)</f>
        <v>0</v>
      </c>
      <c r="AG308" s="208"/>
      <c r="AH308" s="208"/>
      <c r="AI308" s="208"/>
      <c r="AJ308" s="208"/>
      <c r="AK308" s="208"/>
    </row>
    <row r="309">
      <c r="A309" s="209">
        <f>IFERROR(__xludf.DUMMYFUNCTION("""COMPUTED_VALUE"""),46128.0)</f>
        <v>46128</v>
      </c>
      <c r="B309" s="210">
        <f>IFERROR(__xludf.DUMMYFUNCTION("""COMPUTED_VALUE"""),0.4583333333321207)</f>
        <v>0.4583333333</v>
      </c>
      <c r="C309" s="211" t="str">
        <f>IFERROR(__xludf.DUMMYFUNCTION("""COMPUTED_VALUE"""),"Sms")</f>
        <v>Sms</v>
      </c>
      <c r="D309" s="211" t="str">
        <f>IFERROR(__xludf.DUMMYFUNCTION("""COMPUTED_VALUE"""),"Fallback campaign")</f>
        <v>Fallback campaign</v>
      </c>
      <c r="E309" s="211" t="str">
        <f>IFERROR(__xludf.DUMMYFUNCTION("""COMPUTED_VALUE"""),"VS")</f>
        <v>VS</v>
      </c>
      <c r="F309" s="211" t="str">
        <f>IFERROR(__xludf.DUMMYFUNCTION("""COMPUTED_VALUE"""),"Cool bra store campaigns")</f>
        <v>Cool bra store campaigns</v>
      </c>
      <c r="G309" s="212" t="str">
        <f>IFERROR(__xludf.DUMMYFUNCTION("""COMPUTED_VALUE"""),"VS CoolBra - Stores - Palladium - Mum (FB)")</f>
        <v>VS CoolBra - Stores - Palladium - Mum (FB)</v>
      </c>
      <c r="H309" s="212" t="str">
        <f>IFERROR(__xludf.DUMMYFUNCTION("""COMPUTED_VALUE"""),"vs_off_txnstd_97001_feb2026")</f>
        <v>vs_off_txnstd_97001_feb2026</v>
      </c>
      <c r="I309" s="212" t="str">
        <f>IFERROR(__xludf.DUMMYFUNCTION("""COMPUTED_VALUE"""),"WA Undelivered")</f>
        <v>WA Undelivered</v>
      </c>
      <c r="J309" s="213">
        <f>IFERROR(__xludf.DUMMYFUNCTION("""COMPUTED_VALUE"""),12175.0)</f>
        <v>12175</v>
      </c>
      <c r="K309" s="213">
        <f>IFERROR(__xludf.DUMMYFUNCTION("""COMPUTED_VALUE"""),6772.0)</f>
        <v>6772</v>
      </c>
      <c r="L309" s="214">
        <f>IFERROR(__xludf.DUMMYFUNCTION("""COMPUTED_VALUE"""),0.5562)</f>
        <v>0.5562</v>
      </c>
      <c r="M309" s="213">
        <f>IFERROR(__xludf.DUMMYFUNCTION("""COMPUTED_VALUE"""),0.0)</f>
        <v>0</v>
      </c>
      <c r="N309" s="214">
        <f>IFERROR(__xludf.DUMMYFUNCTION("""COMPUTED_VALUE"""),0.0)</f>
        <v>0</v>
      </c>
      <c r="O309" s="213">
        <f>IFERROR(__xludf.DUMMYFUNCTION("""COMPUTED_VALUE"""),0.0)</f>
        <v>0</v>
      </c>
      <c r="P309" s="213">
        <f>IFERROR(__xludf.DUMMYFUNCTION("""COMPUTED_VALUE"""),0.0)</f>
        <v>0</v>
      </c>
      <c r="Q309" s="214">
        <f>IFERROR(__xludf.DUMMYFUNCTION("""COMPUTED_VALUE"""),0.0)</f>
        <v>0</v>
      </c>
      <c r="R309" s="214">
        <f>IFERROR(__xludf.DUMMYFUNCTION("""COMPUTED_VALUE"""),0.0)</f>
        <v>0</v>
      </c>
      <c r="S309" s="213">
        <f>IFERROR(__xludf.DUMMYFUNCTION("""COMPUTED_VALUE"""),0.0)</f>
        <v>0</v>
      </c>
      <c r="T309" s="213">
        <f>IFERROR(__xludf.DUMMYFUNCTION("""COMPUTED_VALUE"""),3.0)</f>
        <v>3</v>
      </c>
      <c r="U309" s="270">
        <f>IFERROR(__xludf.DUMMYFUNCTION("""COMPUTED_VALUE"""),0.0)</f>
        <v>0</v>
      </c>
      <c r="V309" s="271" t="str">
        <f>IFERROR(__xludf.DUMMYFUNCTION("""COMPUTED_VALUE"""),"offline")</f>
        <v>offline</v>
      </c>
      <c r="W309" s="272" t="str">
        <f>IFERROR(__xludf.DUMMYFUNCTION("""COMPUTED_VALUE"""),"sms")</f>
        <v>sms</v>
      </c>
      <c r="X309" s="272" t="str">
        <f>IFERROR(__xludf.DUMMYFUNCTION("""COMPUTED_VALUE"""),"Offline Stores")</f>
        <v>Offline Stores</v>
      </c>
      <c r="Y309" s="272" t="str">
        <f>IFERROR(__xludf.DUMMYFUNCTION("""COMPUTED_VALUE"""),"16th - 19th April")</f>
        <v>16th - 19th April</v>
      </c>
      <c r="Z309" s="272" t="str">
        <f>IFERROR(__xludf.DUMMYFUNCTION("""COMPUTED_VALUE"""),"69e0736ceaf888144758756f")</f>
        <v>69e0736ceaf888144758756f</v>
      </c>
      <c r="AA309" s="272">
        <f>IFERROR(__xludf.DUMMYFUNCTION("""COMPUTED_VALUE"""),21.0)</f>
        <v>21</v>
      </c>
      <c r="AB309" s="272"/>
      <c r="AC309" s="272">
        <f>IFERROR(__xludf.DUMMYFUNCTION("""COMPUTED_VALUE"""),21.0)</f>
        <v>21</v>
      </c>
      <c r="AD309" s="272">
        <f>IFERROR(__xludf.DUMMYFUNCTION("""COMPUTED_VALUE"""),254982.0)</f>
        <v>254982</v>
      </c>
      <c r="AE309" s="272"/>
      <c r="AF309" s="272">
        <f>IFERROR(__xludf.DUMMYFUNCTION("""COMPUTED_VALUE"""),254982.0)</f>
        <v>254982</v>
      </c>
      <c r="AG309" s="208"/>
      <c r="AH309" s="208"/>
      <c r="AI309" s="208"/>
      <c r="AJ309" s="208"/>
      <c r="AK309" s="208"/>
    </row>
    <row r="310">
      <c r="A310" s="209">
        <f>IFERROR(__xludf.DUMMYFUNCTION("""COMPUTED_VALUE"""),46128.0)</f>
        <v>46128</v>
      </c>
      <c r="B310" s="210">
        <f>IFERROR(__xludf.DUMMYFUNCTION("""COMPUTED_VALUE"""),0.4583333333321207)</f>
        <v>0.4583333333</v>
      </c>
      <c r="C310" s="211" t="str">
        <f>IFERROR(__xludf.DUMMYFUNCTION("""COMPUTED_VALUE"""),"Sms")</f>
        <v>Sms</v>
      </c>
      <c r="D310" s="211" t="str">
        <f>IFERROR(__xludf.DUMMYFUNCTION("""COMPUTED_VALUE"""),"Fallback campaign")</f>
        <v>Fallback campaign</v>
      </c>
      <c r="E310" s="211" t="str">
        <f>IFERROR(__xludf.DUMMYFUNCTION("""COMPUTED_VALUE"""),"VS")</f>
        <v>VS</v>
      </c>
      <c r="F310" s="211" t="str">
        <f>IFERROR(__xludf.DUMMYFUNCTION("""COMPUTED_VALUE"""),"Cool bra store campaigns")</f>
        <v>Cool bra store campaigns</v>
      </c>
      <c r="G310" s="212" t="str">
        <f>IFERROR(__xludf.DUMMYFUNCTION("""COMPUTED_VALUE"""),"VS CoolBra - Stores - Ambi - VK (FB)")</f>
        <v>VS CoolBra - Stores - Ambi - VK (FB)</v>
      </c>
      <c r="H310" s="212" t="str">
        <f>IFERROR(__xludf.DUMMYFUNCTION("""COMPUTED_VALUE"""),"vs_off_txnstd_97002_feb2026")</f>
        <v>vs_off_txnstd_97002_feb2026</v>
      </c>
      <c r="I310" s="212" t="str">
        <f>IFERROR(__xludf.DUMMYFUNCTION("""COMPUTED_VALUE"""),"WA Undelivered")</f>
        <v>WA Undelivered</v>
      </c>
      <c r="J310" s="213">
        <f>IFERROR(__xludf.DUMMYFUNCTION("""COMPUTED_VALUE"""),11315.0)</f>
        <v>11315</v>
      </c>
      <c r="K310" s="213">
        <f>IFERROR(__xludf.DUMMYFUNCTION("""COMPUTED_VALUE"""),6337.0)</f>
        <v>6337</v>
      </c>
      <c r="L310" s="214">
        <f>IFERROR(__xludf.DUMMYFUNCTION("""COMPUTED_VALUE"""),0.5601)</f>
        <v>0.5601</v>
      </c>
      <c r="M310" s="213">
        <f>IFERROR(__xludf.DUMMYFUNCTION("""COMPUTED_VALUE"""),0.0)</f>
        <v>0</v>
      </c>
      <c r="N310" s="214">
        <f>IFERROR(__xludf.DUMMYFUNCTION("""COMPUTED_VALUE"""),0.0)</f>
        <v>0</v>
      </c>
      <c r="O310" s="213">
        <f>IFERROR(__xludf.DUMMYFUNCTION("""COMPUTED_VALUE"""),0.0)</f>
        <v>0</v>
      </c>
      <c r="P310" s="213">
        <f>IFERROR(__xludf.DUMMYFUNCTION("""COMPUTED_VALUE"""),0.0)</f>
        <v>0</v>
      </c>
      <c r="Q310" s="214">
        <f>IFERROR(__xludf.DUMMYFUNCTION("""COMPUTED_VALUE"""),0.0)</f>
        <v>0</v>
      </c>
      <c r="R310" s="214">
        <f>IFERROR(__xludf.DUMMYFUNCTION("""COMPUTED_VALUE"""),0.0)</f>
        <v>0</v>
      </c>
      <c r="S310" s="213">
        <f>IFERROR(__xludf.DUMMYFUNCTION("""COMPUTED_VALUE"""),0.0)</f>
        <v>0</v>
      </c>
      <c r="T310" s="213">
        <f>IFERROR(__xludf.DUMMYFUNCTION("""COMPUTED_VALUE"""),4.0)</f>
        <v>4</v>
      </c>
      <c r="U310" s="270">
        <f>IFERROR(__xludf.DUMMYFUNCTION("""COMPUTED_VALUE"""),0.0)</f>
        <v>0</v>
      </c>
      <c r="V310" s="271" t="str">
        <f>IFERROR(__xludf.DUMMYFUNCTION("""COMPUTED_VALUE"""),"offline")</f>
        <v>offline</v>
      </c>
      <c r="W310" s="272" t="str">
        <f>IFERROR(__xludf.DUMMYFUNCTION("""COMPUTED_VALUE"""),"sms")</f>
        <v>sms</v>
      </c>
      <c r="X310" s="272" t="str">
        <f>IFERROR(__xludf.DUMMYFUNCTION("""COMPUTED_VALUE"""),"Offline Stores")</f>
        <v>Offline Stores</v>
      </c>
      <c r="Y310" s="272" t="str">
        <f>IFERROR(__xludf.DUMMYFUNCTION("""COMPUTED_VALUE"""),"16th - 19th April")</f>
        <v>16th - 19th April</v>
      </c>
      <c r="Z310" s="272" t="str">
        <f>IFERROR(__xludf.DUMMYFUNCTION("""COMPUTED_VALUE"""),"69e0739383b8d874c4b3990f")</f>
        <v>69e0739383b8d874c4b3990f</v>
      </c>
      <c r="AA310" s="272">
        <f>IFERROR(__xludf.DUMMYFUNCTION("""COMPUTED_VALUE"""),19.0)</f>
        <v>19</v>
      </c>
      <c r="AB310" s="272"/>
      <c r="AC310" s="272">
        <f>IFERROR(__xludf.DUMMYFUNCTION("""COMPUTED_VALUE"""),19.0)</f>
        <v>19</v>
      </c>
      <c r="AD310" s="272">
        <f>IFERROR(__xludf.DUMMYFUNCTION("""COMPUTED_VALUE"""),202962.0)</f>
        <v>202962</v>
      </c>
      <c r="AE310" s="272"/>
      <c r="AF310" s="272">
        <f>IFERROR(__xludf.DUMMYFUNCTION("""COMPUTED_VALUE"""),202962.0)</f>
        <v>202962</v>
      </c>
      <c r="AG310" s="208"/>
      <c r="AH310" s="208"/>
      <c r="AI310" s="208"/>
      <c r="AJ310" s="208"/>
      <c r="AK310" s="208"/>
    </row>
    <row r="311">
      <c r="A311" s="209">
        <f>IFERROR(__xludf.DUMMYFUNCTION("""COMPUTED_VALUE"""),46128.0)</f>
        <v>46128</v>
      </c>
      <c r="B311" s="210">
        <f>IFERROR(__xludf.DUMMYFUNCTION("""COMPUTED_VALUE"""),0.4583333333321207)</f>
        <v>0.4583333333</v>
      </c>
      <c r="C311" s="211" t="str">
        <f>IFERROR(__xludf.DUMMYFUNCTION("""COMPUTED_VALUE"""),"Sms")</f>
        <v>Sms</v>
      </c>
      <c r="D311" s="211" t="str">
        <f>IFERROR(__xludf.DUMMYFUNCTION("""COMPUTED_VALUE"""),"Fallback campaign")</f>
        <v>Fallback campaign</v>
      </c>
      <c r="E311" s="211" t="str">
        <f>IFERROR(__xludf.DUMMYFUNCTION("""COMPUTED_VALUE"""),"VS")</f>
        <v>VS</v>
      </c>
      <c r="F311" s="211" t="str">
        <f>IFERROR(__xludf.DUMMYFUNCTION("""COMPUTED_VALUE"""),"Cool bra store campaigns")</f>
        <v>Cool bra store campaigns</v>
      </c>
      <c r="G311" s="212" t="str">
        <f>IFERROR(__xludf.DUMMYFUNCTION("""COMPUTED_VALUE"""),"VS CoolBra - Stores - Ambi - GGN (FB)")</f>
        <v>VS CoolBra - Stores - Ambi - GGN (FB)</v>
      </c>
      <c r="H311" s="212" t="str">
        <f>IFERROR(__xludf.DUMMYFUNCTION("""COMPUTED_VALUE"""),"vs_off_pr_97003_16thmarch")</f>
        <v>vs_off_pr_97003_16thmarch</v>
      </c>
      <c r="I311" s="212" t="str">
        <f>IFERROR(__xludf.DUMMYFUNCTION("""COMPUTED_VALUE"""),"WA Undelivered")</f>
        <v>WA Undelivered</v>
      </c>
      <c r="J311" s="213">
        <f>IFERROR(__xludf.DUMMYFUNCTION("""COMPUTED_VALUE"""),11245.0)</f>
        <v>11245</v>
      </c>
      <c r="K311" s="213">
        <f>IFERROR(__xludf.DUMMYFUNCTION("""COMPUTED_VALUE"""),6548.0)</f>
        <v>6548</v>
      </c>
      <c r="L311" s="214">
        <f>IFERROR(__xludf.DUMMYFUNCTION("""COMPUTED_VALUE"""),0.5823)</f>
        <v>0.5823</v>
      </c>
      <c r="M311" s="213">
        <f>IFERROR(__xludf.DUMMYFUNCTION("""COMPUTED_VALUE"""),0.0)</f>
        <v>0</v>
      </c>
      <c r="N311" s="214">
        <f>IFERROR(__xludf.DUMMYFUNCTION("""COMPUTED_VALUE"""),0.0)</f>
        <v>0</v>
      </c>
      <c r="O311" s="213">
        <f>IFERROR(__xludf.DUMMYFUNCTION("""COMPUTED_VALUE"""),0.0)</f>
        <v>0</v>
      </c>
      <c r="P311" s="213">
        <f>IFERROR(__xludf.DUMMYFUNCTION("""COMPUTED_VALUE"""),0.0)</f>
        <v>0</v>
      </c>
      <c r="Q311" s="214">
        <f>IFERROR(__xludf.DUMMYFUNCTION("""COMPUTED_VALUE"""),0.0)</f>
        <v>0</v>
      </c>
      <c r="R311" s="214">
        <f>IFERROR(__xludf.DUMMYFUNCTION("""COMPUTED_VALUE"""),0.0)</f>
        <v>0</v>
      </c>
      <c r="S311" s="213">
        <f>IFERROR(__xludf.DUMMYFUNCTION("""COMPUTED_VALUE"""),1.0)</f>
        <v>1</v>
      </c>
      <c r="T311" s="213">
        <f>IFERROR(__xludf.DUMMYFUNCTION("""COMPUTED_VALUE"""),4.0)</f>
        <v>4</v>
      </c>
      <c r="U311" s="270">
        <f>IFERROR(__xludf.DUMMYFUNCTION("""COMPUTED_VALUE"""),2500.0)</f>
        <v>2500</v>
      </c>
      <c r="V311" s="271" t="str">
        <f>IFERROR(__xludf.DUMMYFUNCTION("""COMPUTED_VALUE"""),"offline")</f>
        <v>offline</v>
      </c>
      <c r="W311" s="272" t="str">
        <f>IFERROR(__xludf.DUMMYFUNCTION("""COMPUTED_VALUE"""),"sms")</f>
        <v>sms</v>
      </c>
      <c r="X311" s="272" t="str">
        <f>IFERROR(__xludf.DUMMYFUNCTION("""COMPUTED_VALUE"""),"Offline Stores")</f>
        <v>Offline Stores</v>
      </c>
      <c r="Y311" s="272" t="str">
        <f>IFERROR(__xludf.DUMMYFUNCTION("""COMPUTED_VALUE"""),"16th - 19th April")</f>
        <v>16th - 19th April</v>
      </c>
      <c r="Z311" s="272" t="str">
        <f>IFERROR(__xludf.DUMMYFUNCTION("""COMPUTED_VALUE"""),"69e073a11dee13fbe23e36cb")</f>
        <v>69e073a11dee13fbe23e36cb</v>
      </c>
      <c r="AA311" s="272">
        <f>IFERROR(__xludf.DUMMYFUNCTION("""COMPUTED_VALUE"""),20.0)</f>
        <v>20</v>
      </c>
      <c r="AB311" s="272"/>
      <c r="AC311" s="272">
        <f>IFERROR(__xludf.DUMMYFUNCTION("""COMPUTED_VALUE"""),20.0)</f>
        <v>20</v>
      </c>
      <c r="AD311" s="272">
        <f>IFERROR(__xludf.DUMMYFUNCTION("""COMPUTED_VALUE"""),257168.0)</f>
        <v>257168</v>
      </c>
      <c r="AE311" s="272"/>
      <c r="AF311" s="272">
        <f>IFERROR(__xludf.DUMMYFUNCTION("""COMPUTED_VALUE"""),257168.0)</f>
        <v>257168</v>
      </c>
      <c r="AG311" s="208"/>
      <c r="AH311" s="208"/>
      <c r="AI311" s="208"/>
      <c r="AJ311" s="208"/>
      <c r="AK311" s="208"/>
    </row>
    <row r="312">
      <c r="A312" s="273">
        <f>IFERROR(__xludf.DUMMYFUNCTION("""COMPUTED_VALUE"""),46128.0)</f>
        <v>46128</v>
      </c>
      <c r="B312" s="274">
        <f>IFERROR(__xludf.DUMMYFUNCTION("""COMPUTED_VALUE"""),0.4583333333321207)</f>
        <v>0.4583333333</v>
      </c>
      <c r="C312" s="208" t="str">
        <f>IFERROR(__xludf.DUMMYFUNCTION("""COMPUTED_VALUE"""),"Sms")</f>
        <v>Sms</v>
      </c>
      <c r="D312" s="208" t="str">
        <f>IFERROR(__xludf.DUMMYFUNCTION("""COMPUTED_VALUE"""),"Fallback campaign")</f>
        <v>Fallback campaign</v>
      </c>
      <c r="E312" s="208" t="str">
        <f>IFERROR(__xludf.DUMMYFUNCTION("""COMPUTED_VALUE"""),"VS")</f>
        <v>VS</v>
      </c>
      <c r="F312" s="208" t="str">
        <f>IFERROR(__xludf.DUMMYFUNCTION("""COMPUTED_VALUE"""),"Cool bra store campaigns")</f>
        <v>Cool bra store campaigns</v>
      </c>
      <c r="G312" s="208" t="str">
        <f>IFERROR(__xludf.DUMMYFUNCTION("""COMPUTED_VALUE"""),"VS CoolBra - Stores - MOA - BLR (FB)")</f>
        <v>VS CoolBra - Stores - MOA - BLR (FB)</v>
      </c>
      <c r="H312" s="208" t="str">
        <f>IFERROR(__xludf.DUMMYFUNCTION("""COMPUTED_VALUE"""),"vs_off_pr_FA_97004_14_April")</f>
        <v>vs_off_pr_FA_97004_14_April</v>
      </c>
      <c r="I312" s="233" t="str">
        <f>IFERROR(__xludf.DUMMYFUNCTION("""COMPUTED_VALUE"""),"WA Undelivered")</f>
        <v>WA Undelivered</v>
      </c>
      <c r="J312" s="275">
        <f>IFERROR(__xludf.DUMMYFUNCTION("""COMPUTED_VALUE"""),7200.0)</f>
        <v>7200</v>
      </c>
      <c r="K312" s="275">
        <f>IFERROR(__xludf.DUMMYFUNCTION("""COMPUTED_VALUE"""),4568.0)</f>
        <v>4568</v>
      </c>
      <c r="L312" s="276">
        <f>IFERROR(__xludf.DUMMYFUNCTION("""COMPUTED_VALUE"""),0.6344)</f>
        <v>0.6344</v>
      </c>
      <c r="M312" s="275">
        <f>IFERROR(__xludf.DUMMYFUNCTION("""COMPUTED_VALUE"""),0.0)</f>
        <v>0</v>
      </c>
      <c r="N312" s="276">
        <f>IFERROR(__xludf.DUMMYFUNCTION("""COMPUTED_VALUE"""),0.0)</f>
        <v>0</v>
      </c>
      <c r="O312" s="208">
        <f>IFERROR(__xludf.DUMMYFUNCTION("""COMPUTED_VALUE"""),0.0)</f>
        <v>0</v>
      </c>
      <c r="P312" s="208">
        <f>IFERROR(__xludf.DUMMYFUNCTION("""COMPUTED_VALUE"""),0.0)</f>
        <v>0</v>
      </c>
      <c r="Q312" s="276">
        <f>IFERROR(__xludf.DUMMYFUNCTION("""COMPUTED_VALUE"""),0.0)</f>
        <v>0</v>
      </c>
      <c r="R312" s="276">
        <f>IFERROR(__xludf.DUMMYFUNCTION("""COMPUTED_VALUE"""),0.0)</f>
        <v>0</v>
      </c>
      <c r="S312" s="208">
        <f>IFERROR(__xludf.DUMMYFUNCTION("""COMPUTED_VALUE"""),0.0)</f>
        <v>0</v>
      </c>
      <c r="T312" s="208">
        <f>IFERROR(__xludf.DUMMYFUNCTION("""COMPUTED_VALUE"""),4.0)</f>
        <v>4</v>
      </c>
      <c r="U312" s="275">
        <f>IFERROR(__xludf.DUMMYFUNCTION("""COMPUTED_VALUE"""),0.0)</f>
        <v>0</v>
      </c>
      <c r="V312" s="208" t="str">
        <f>IFERROR(__xludf.DUMMYFUNCTION("""COMPUTED_VALUE"""),"offline")</f>
        <v>offline</v>
      </c>
      <c r="W312" s="232" t="str">
        <f>IFERROR(__xludf.DUMMYFUNCTION("""COMPUTED_VALUE"""),"sms")</f>
        <v>sms</v>
      </c>
      <c r="X312" s="232" t="str">
        <f>IFERROR(__xludf.DUMMYFUNCTION("""COMPUTED_VALUE"""),"Offline Stores")</f>
        <v>Offline Stores</v>
      </c>
      <c r="Y312" s="232" t="str">
        <f>IFERROR(__xludf.DUMMYFUNCTION("""COMPUTED_VALUE"""),"16th - 19th April")</f>
        <v>16th - 19th April</v>
      </c>
      <c r="Z312" s="232" t="str">
        <f>IFERROR(__xludf.DUMMYFUNCTION("""COMPUTED_VALUE"""),"69e073b278b6c715912916c5")</f>
        <v>69e073b278b6c715912916c5</v>
      </c>
      <c r="AA312" s="277">
        <f>IFERROR(__xludf.DUMMYFUNCTION("""COMPUTED_VALUE"""),18.0)</f>
        <v>18</v>
      </c>
      <c r="AB312" s="277"/>
      <c r="AC312" s="277">
        <f>IFERROR(__xludf.DUMMYFUNCTION("""COMPUTED_VALUE"""),18.0)</f>
        <v>18</v>
      </c>
      <c r="AD312" s="277">
        <f>IFERROR(__xludf.DUMMYFUNCTION("""COMPUTED_VALUE"""),209134.0)</f>
        <v>209134</v>
      </c>
      <c r="AE312" s="277"/>
      <c r="AF312" s="277">
        <f>IFERROR(__xludf.DUMMYFUNCTION("""COMPUTED_VALUE"""),209134.0)</f>
        <v>209134</v>
      </c>
      <c r="AG312" s="208"/>
      <c r="AH312" s="208"/>
      <c r="AI312" s="208"/>
      <c r="AJ312" s="208"/>
      <c r="AK312" s="208"/>
    </row>
    <row r="313">
      <c r="A313" s="273">
        <f>IFERROR(__xludf.DUMMYFUNCTION("""COMPUTED_VALUE"""),46128.0)</f>
        <v>46128</v>
      </c>
      <c r="B313" s="274">
        <f>IFERROR(__xludf.DUMMYFUNCTION("""COMPUTED_VALUE"""),0.4583333333321207)</f>
        <v>0.4583333333</v>
      </c>
      <c r="C313" s="208" t="str">
        <f>IFERROR(__xludf.DUMMYFUNCTION("""COMPUTED_VALUE"""),"Sms")</f>
        <v>Sms</v>
      </c>
      <c r="D313" s="208" t="str">
        <f>IFERROR(__xludf.DUMMYFUNCTION("""COMPUTED_VALUE"""),"Fallback campaign")</f>
        <v>Fallback campaign</v>
      </c>
      <c r="E313" s="208" t="str">
        <f>IFERROR(__xludf.DUMMYFUNCTION("""COMPUTED_VALUE"""),"VS")</f>
        <v>VS</v>
      </c>
      <c r="F313" s="208" t="str">
        <f>IFERROR(__xludf.DUMMYFUNCTION("""COMPUTED_VALUE"""),"Cool bra store campaigns")</f>
        <v>Cool bra store campaigns</v>
      </c>
      <c r="G313" s="208" t="str">
        <f>IFERROR(__xludf.DUMMYFUNCTION("""COMPUTED_VALUE"""),"VS CoolBra - Stores - MOM - Pune (FB)")</f>
        <v>VS CoolBra - Stores - MOM - Pune (FB)</v>
      </c>
      <c r="H313" s="208" t="str">
        <f>IFERROR(__xludf.DUMMYFUNCTION("""COMPUTED_VALUE"""),"vs_off_txnstd_97005_feb2026")</f>
        <v>vs_off_txnstd_97005_feb2026</v>
      </c>
      <c r="I313" s="233" t="str">
        <f>IFERROR(__xludf.DUMMYFUNCTION("""COMPUTED_VALUE"""),"WA Undelivered")</f>
        <v>WA Undelivered</v>
      </c>
      <c r="J313" s="275">
        <f>IFERROR(__xludf.DUMMYFUNCTION("""COMPUTED_VALUE"""),3283.0)</f>
        <v>3283</v>
      </c>
      <c r="K313" s="275">
        <f>IFERROR(__xludf.DUMMYFUNCTION("""COMPUTED_VALUE"""),2190.0)</f>
        <v>2190</v>
      </c>
      <c r="L313" s="276">
        <f>IFERROR(__xludf.DUMMYFUNCTION("""COMPUTED_VALUE"""),0.6671)</f>
        <v>0.6671</v>
      </c>
      <c r="M313" s="275">
        <f>IFERROR(__xludf.DUMMYFUNCTION("""COMPUTED_VALUE"""),0.0)</f>
        <v>0</v>
      </c>
      <c r="N313" s="276">
        <f>IFERROR(__xludf.DUMMYFUNCTION("""COMPUTED_VALUE"""),0.0)</f>
        <v>0</v>
      </c>
      <c r="O313" s="208">
        <f>IFERROR(__xludf.DUMMYFUNCTION("""COMPUTED_VALUE"""),0.0)</f>
        <v>0</v>
      </c>
      <c r="P313" s="208">
        <f>IFERROR(__xludf.DUMMYFUNCTION("""COMPUTED_VALUE"""),0.0)</f>
        <v>0</v>
      </c>
      <c r="Q313" s="276">
        <f>IFERROR(__xludf.DUMMYFUNCTION("""COMPUTED_VALUE"""),0.0)</f>
        <v>0</v>
      </c>
      <c r="R313" s="276">
        <f>IFERROR(__xludf.DUMMYFUNCTION("""COMPUTED_VALUE"""),0.0)</f>
        <v>0</v>
      </c>
      <c r="S313" s="208">
        <f>IFERROR(__xludf.DUMMYFUNCTION("""COMPUTED_VALUE"""),0.0)</f>
        <v>0</v>
      </c>
      <c r="T313" s="208">
        <f>IFERROR(__xludf.DUMMYFUNCTION("""COMPUTED_VALUE"""),1.0)</f>
        <v>1</v>
      </c>
      <c r="U313" s="275">
        <f>IFERROR(__xludf.DUMMYFUNCTION("""COMPUTED_VALUE"""),0.0)</f>
        <v>0</v>
      </c>
      <c r="V313" s="208" t="str">
        <f>IFERROR(__xludf.DUMMYFUNCTION("""COMPUTED_VALUE"""),"offline")</f>
        <v>offline</v>
      </c>
      <c r="W313" s="232" t="str">
        <f>IFERROR(__xludf.DUMMYFUNCTION("""COMPUTED_VALUE"""),"sms")</f>
        <v>sms</v>
      </c>
      <c r="X313" s="232" t="str">
        <f>IFERROR(__xludf.DUMMYFUNCTION("""COMPUTED_VALUE"""),"Offline Stores")</f>
        <v>Offline Stores</v>
      </c>
      <c r="Y313" s="232" t="str">
        <f>IFERROR(__xludf.DUMMYFUNCTION("""COMPUTED_VALUE"""),"16th - 19th April")</f>
        <v>16th - 19th April</v>
      </c>
      <c r="Z313" s="232" t="str">
        <f>IFERROR(__xludf.DUMMYFUNCTION("""COMPUTED_VALUE"""),"69e073cd52c7d9b681987915")</f>
        <v>69e073cd52c7d9b681987915</v>
      </c>
      <c r="AA313" s="277">
        <f>IFERROR(__xludf.DUMMYFUNCTION("""COMPUTED_VALUE"""),8.0)</f>
        <v>8</v>
      </c>
      <c r="AB313" s="277"/>
      <c r="AC313" s="277">
        <f>IFERROR(__xludf.DUMMYFUNCTION("""COMPUTED_VALUE"""),8.0)</f>
        <v>8</v>
      </c>
      <c r="AD313" s="277">
        <f>IFERROR(__xludf.DUMMYFUNCTION("""COMPUTED_VALUE"""),147057.0)</f>
        <v>147057</v>
      </c>
      <c r="AE313" s="277"/>
      <c r="AF313" s="277">
        <f>IFERROR(__xludf.DUMMYFUNCTION("""COMPUTED_VALUE"""),147057.0)</f>
        <v>147057</v>
      </c>
      <c r="AG313" s="208"/>
      <c r="AH313" s="208"/>
      <c r="AI313" s="208"/>
      <c r="AJ313" s="208"/>
      <c r="AK313" s="208"/>
    </row>
    <row r="314">
      <c r="A314" s="273">
        <f>IFERROR(__xludf.DUMMYFUNCTION("""COMPUTED_VALUE"""),46128.0)</f>
        <v>46128</v>
      </c>
      <c r="B314" s="274">
        <f>IFERROR(__xludf.DUMMYFUNCTION("""COMPUTED_VALUE"""),0.46875)</f>
        <v>0.46875</v>
      </c>
      <c r="C314" s="208" t="str">
        <f>IFERROR(__xludf.DUMMYFUNCTION("""COMPUTED_VALUE"""),"Sms")</f>
        <v>Sms</v>
      </c>
      <c r="D314" s="208" t="str">
        <f>IFERROR(__xludf.DUMMYFUNCTION("""COMPUTED_VALUE"""),"Fallback campaign")</f>
        <v>Fallback campaign</v>
      </c>
      <c r="E314" s="208" t="str">
        <f>IFERROR(__xludf.DUMMYFUNCTION("""COMPUTED_VALUE"""),"VS")</f>
        <v>VS</v>
      </c>
      <c r="F314" s="208" t="str">
        <f>IFERROR(__xludf.DUMMYFUNCTION("""COMPUTED_VALUE"""),"Cool bra store campaigns")</f>
        <v>Cool bra store campaigns</v>
      </c>
      <c r="G314" s="208" t="str">
        <f>IFERROR(__xludf.DUMMYFUNCTION("""COMPUTED_VALUE"""),"VS CoolBra - Stores - Inorbit HYD (FB)")</f>
        <v>VS CoolBra - Stores - Inorbit HYD (FB)</v>
      </c>
      <c r="H314" s="208" t="str">
        <f>IFERROR(__xludf.DUMMYFUNCTION("""COMPUTED_VALUE"""),"vs_off_txnstd_97006_feb2026")</f>
        <v>vs_off_txnstd_97006_feb2026</v>
      </c>
      <c r="I314" s="233" t="str">
        <f>IFERROR(__xludf.DUMMYFUNCTION("""COMPUTED_VALUE"""),"WA Undelivered")</f>
        <v>WA Undelivered</v>
      </c>
      <c r="J314" s="275">
        <f>IFERROR(__xludf.DUMMYFUNCTION("""COMPUTED_VALUE"""),4012.0)</f>
        <v>4012</v>
      </c>
      <c r="K314" s="275">
        <f>IFERROR(__xludf.DUMMYFUNCTION("""COMPUTED_VALUE"""),2747.0)</f>
        <v>2747</v>
      </c>
      <c r="L314" s="276">
        <f>IFERROR(__xludf.DUMMYFUNCTION("""COMPUTED_VALUE"""),0.6847)</f>
        <v>0.6847</v>
      </c>
      <c r="M314" s="275">
        <f>IFERROR(__xludf.DUMMYFUNCTION("""COMPUTED_VALUE"""),0.0)</f>
        <v>0</v>
      </c>
      <c r="N314" s="276">
        <f>IFERROR(__xludf.DUMMYFUNCTION("""COMPUTED_VALUE"""),0.0)</f>
        <v>0</v>
      </c>
      <c r="O314" s="208">
        <f>IFERROR(__xludf.DUMMYFUNCTION("""COMPUTED_VALUE"""),0.0)</f>
        <v>0</v>
      </c>
      <c r="P314" s="208">
        <f>IFERROR(__xludf.DUMMYFUNCTION("""COMPUTED_VALUE"""),0.0)</f>
        <v>0</v>
      </c>
      <c r="Q314" s="276">
        <f>IFERROR(__xludf.DUMMYFUNCTION("""COMPUTED_VALUE"""),0.0)</f>
        <v>0</v>
      </c>
      <c r="R314" s="276">
        <f>IFERROR(__xludf.DUMMYFUNCTION("""COMPUTED_VALUE"""),0.0)</f>
        <v>0</v>
      </c>
      <c r="S314" s="208">
        <f>IFERROR(__xludf.DUMMYFUNCTION("""COMPUTED_VALUE"""),0.0)</f>
        <v>0</v>
      </c>
      <c r="T314" s="208">
        <f>IFERROR(__xludf.DUMMYFUNCTION("""COMPUTED_VALUE"""),1.0)</f>
        <v>1</v>
      </c>
      <c r="U314" s="275">
        <f>IFERROR(__xludf.DUMMYFUNCTION("""COMPUTED_VALUE"""),0.0)</f>
        <v>0</v>
      </c>
      <c r="V314" s="208" t="str">
        <f>IFERROR(__xludf.DUMMYFUNCTION("""COMPUTED_VALUE"""),"offline")</f>
        <v>offline</v>
      </c>
      <c r="W314" s="232" t="str">
        <f>IFERROR(__xludf.DUMMYFUNCTION("""COMPUTED_VALUE"""),"sms")</f>
        <v>sms</v>
      </c>
      <c r="X314" s="232" t="str">
        <f>IFERROR(__xludf.DUMMYFUNCTION("""COMPUTED_VALUE"""),"Offline Stores")</f>
        <v>Offline Stores</v>
      </c>
      <c r="Y314" s="232" t="str">
        <f>IFERROR(__xludf.DUMMYFUNCTION("""COMPUTED_VALUE"""),"16th - 19th April")</f>
        <v>16th - 19th April</v>
      </c>
      <c r="Z314" s="232" t="str">
        <f>IFERROR(__xludf.DUMMYFUNCTION("""COMPUTED_VALUE"""),"69e073fd1bfd4179458eec2f")</f>
        <v>69e073fd1bfd4179458eec2f</v>
      </c>
      <c r="AA314" s="277">
        <f>IFERROR(__xludf.DUMMYFUNCTION("""COMPUTED_VALUE"""),2.0)</f>
        <v>2</v>
      </c>
      <c r="AB314" s="277"/>
      <c r="AC314" s="277">
        <f>IFERROR(__xludf.DUMMYFUNCTION("""COMPUTED_VALUE"""),2.0)</f>
        <v>2</v>
      </c>
      <c r="AD314" s="277">
        <f>IFERROR(__xludf.DUMMYFUNCTION("""COMPUTED_VALUE"""),8496.0)</f>
        <v>8496</v>
      </c>
      <c r="AE314" s="277"/>
      <c r="AF314" s="277">
        <f>IFERROR(__xludf.DUMMYFUNCTION("""COMPUTED_VALUE"""),8496.0)</f>
        <v>8496</v>
      </c>
      <c r="AG314" s="208"/>
      <c r="AH314" s="208"/>
      <c r="AI314" s="208"/>
      <c r="AJ314" s="208"/>
      <c r="AK314" s="208"/>
    </row>
    <row r="315">
      <c r="A315" s="273">
        <f>IFERROR(__xludf.DUMMYFUNCTION("""COMPUTED_VALUE"""),46128.0)</f>
        <v>46128</v>
      </c>
      <c r="B315" s="274">
        <f>IFERROR(__xludf.DUMMYFUNCTION("""COMPUTED_VALUE"""),0.46875)</f>
        <v>0.46875</v>
      </c>
      <c r="C315" s="208" t="str">
        <f>IFERROR(__xludf.DUMMYFUNCTION("""COMPUTED_VALUE"""),"Sms")</f>
        <v>Sms</v>
      </c>
      <c r="D315" s="208" t="str">
        <f>IFERROR(__xludf.DUMMYFUNCTION("""COMPUTED_VALUE"""),"Fallback campaign")</f>
        <v>Fallback campaign</v>
      </c>
      <c r="E315" s="208" t="str">
        <f>IFERROR(__xludf.DUMMYFUNCTION("""COMPUTED_VALUE"""),"VS")</f>
        <v>VS</v>
      </c>
      <c r="F315" s="208" t="str">
        <f>IFERROR(__xludf.DUMMYFUNCTION("""COMPUTED_VALUE"""),"Cool bra store campaigns")</f>
        <v>Cool bra store campaigns</v>
      </c>
      <c r="G315" s="208" t="str">
        <f>IFERROR(__xludf.DUMMYFUNCTION("""COMPUTED_VALUE"""),"VS CoolBra - Stores - KOPA Pune (FB)")</f>
        <v>VS CoolBra - Stores - KOPA Pune (FB)</v>
      </c>
      <c r="H315" s="208" t="str">
        <f>IFERROR(__xludf.DUMMYFUNCTION("""COMPUTED_VALUE"""),"vs_off_txnstd_97007_feb2026")</f>
        <v>vs_off_txnstd_97007_feb2026</v>
      </c>
      <c r="I315" s="233" t="str">
        <f>IFERROR(__xludf.DUMMYFUNCTION("""COMPUTED_VALUE"""),"WA Undelivered")</f>
        <v>WA Undelivered</v>
      </c>
      <c r="J315" s="275">
        <f>IFERROR(__xludf.DUMMYFUNCTION("""COMPUTED_VALUE"""),2088.0)</f>
        <v>2088</v>
      </c>
      <c r="K315" s="275">
        <f>IFERROR(__xludf.DUMMYFUNCTION("""COMPUTED_VALUE"""),1298.0)</f>
        <v>1298</v>
      </c>
      <c r="L315" s="276">
        <f>IFERROR(__xludf.DUMMYFUNCTION("""COMPUTED_VALUE"""),0.6216)</f>
        <v>0.6216</v>
      </c>
      <c r="M315" s="275">
        <f>IFERROR(__xludf.DUMMYFUNCTION("""COMPUTED_VALUE"""),0.0)</f>
        <v>0</v>
      </c>
      <c r="N315" s="276">
        <f>IFERROR(__xludf.DUMMYFUNCTION("""COMPUTED_VALUE"""),0.0)</f>
        <v>0</v>
      </c>
      <c r="O315" s="208">
        <f>IFERROR(__xludf.DUMMYFUNCTION("""COMPUTED_VALUE"""),0.0)</f>
        <v>0</v>
      </c>
      <c r="P315" s="208">
        <f>IFERROR(__xludf.DUMMYFUNCTION("""COMPUTED_VALUE"""),0.0)</f>
        <v>0</v>
      </c>
      <c r="Q315" s="276">
        <f>IFERROR(__xludf.DUMMYFUNCTION("""COMPUTED_VALUE"""),0.0)</f>
        <v>0</v>
      </c>
      <c r="R315" s="276">
        <f>IFERROR(__xludf.DUMMYFUNCTION("""COMPUTED_VALUE"""),0.0)</f>
        <v>0</v>
      </c>
      <c r="S315" s="208">
        <f>IFERROR(__xludf.DUMMYFUNCTION("""COMPUTED_VALUE"""),0.0)</f>
        <v>0</v>
      </c>
      <c r="T315" s="208">
        <f>IFERROR(__xludf.DUMMYFUNCTION("""COMPUTED_VALUE"""),0.0)</f>
        <v>0</v>
      </c>
      <c r="U315" s="275">
        <f>IFERROR(__xludf.DUMMYFUNCTION("""COMPUTED_VALUE"""),0.0)</f>
        <v>0</v>
      </c>
      <c r="V315" s="208" t="str">
        <f>IFERROR(__xludf.DUMMYFUNCTION("""COMPUTED_VALUE"""),"offline")</f>
        <v>offline</v>
      </c>
      <c r="W315" s="232" t="str">
        <f>IFERROR(__xludf.DUMMYFUNCTION("""COMPUTED_VALUE"""),"sms")</f>
        <v>sms</v>
      </c>
      <c r="X315" s="232" t="str">
        <f>IFERROR(__xludf.DUMMYFUNCTION("""COMPUTED_VALUE"""),"Offline Stores")</f>
        <v>Offline Stores</v>
      </c>
      <c r="Y315" s="232" t="str">
        <f>IFERROR(__xludf.DUMMYFUNCTION("""COMPUTED_VALUE"""),"16th - 19th April")</f>
        <v>16th - 19th April</v>
      </c>
      <c r="Z315" s="232" t="str">
        <f>IFERROR(__xludf.DUMMYFUNCTION("""COMPUTED_VALUE"""),"69e07411dbdb9385f309cf31")</f>
        <v>69e07411dbdb9385f309cf31</v>
      </c>
      <c r="AA315" s="277">
        <f>IFERROR(__xludf.DUMMYFUNCTION("""COMPUTED_VALUE"""),4.0)</f>
        <v>4</v>
      </c>
      <c r="AB315" s="277"/>
      <c r="AC315" s="277">
        <f>IFERROR(__xludf.DUMMYFUNCTION("""COMPUTED_VALUE"""),4.0)</f>
        <v>4</v>
      </c>
      <c r="AD315" s="277">
        <f>IFERROR(__xludf.DUMMYFUNCTION("""COMPUTED_VALUE"""),34774.0)</f>
        <v>34774</v>
      </c>
      <c r="AE315" s="277"/>
      <c r="AF315" s="277">
        <f>IFERROR(__xludf.DUMMYFUNCTION("""COMPUTED_VALUE"""),34774.0)</f>
        <v>34774</v>
      </c>
      <c r="AG315" s="208"/>
      <c r="AH315" s="208"/>
      <c r="AI315" s="208"/>
      <c r="AJ315" s="208"/>
      <c r="AK315" s="208"/>
    </row>
    <row r="316">
      <c r="A316" s="273">
        <f>IFERROR(__xludf.DUMMYFUNCTION("""COMPUTED_VALUE"""),46128.0)</f>
        <v>46128</v>
      </c>
      <c r="B316" s="274">
        <f>IFERROR(__xludf.DUMMYFUNCTION("""COMPUTED_VALUE"""),0.46875)</f>
        <v>0.46875</v>
      </c>
      <c r="C316" s="208" t="str">
        <f>IFERROR(__xludf.DUMMYFUNCTION("""COMPUTED_VALUE"""),"Sms")</f>
        <v>Sms</v>
      </c>
      <c r="D316" s="208" t="str">
        <f>IFERROR(__xludf.DUMMYFUNCTION("""COMPUTED_VALUE"""),"Fallback campaign")</f>
        <v>Fallback campaign</v>
      </c>
      <c r="E316" s="208" t="str">
        <f>IFERROR(__xludf.DUMMYFUNCTION("""COMPUTED_VALUE"""),"VS")</f>
        <v>VS</v>
      </c>
      <c r="F316" s="208" t="str">
        <f>IFERROR(__xludf.DUMMYFUNCTION("""COMPUTED_VALUE"""),"Cool bra store campaigns")</f>
        <v>Cool bra store campaigns</v>
      </c>
      <c r="G316" s="208" t="str">
        <f>IFERROR(__xludf.DUMMYFUNCTION("""COMPUTED_VALUE"""),"VS CoolBra - Stores - Inorbit Malad (FB)")</f>
        <v>VS CoolBra - Stores - Inorbit Malad (FB)</v>
      </c>
      <c r="H316" s="208" t="str">
        <f>IFERROR(__xludf.DUMMYFUNCTION("""COMPUTED_VALUE"""),"vs_off_txnstd_97008_feb2026")</f>
        <v>vs_off_txnstd_97008_feb2026</v>
      </c>
      <c r="I316" s="233" t="str">
        <f>IFERROR(__xludf.DUMMYFUNCTION("""COMPUTED_VALUE"""),"WA Undelivered")</f>
        <v>WA Undelivered</v>
      </c>
      <c r="J316" s="275">
        <f>IFERROR(__xludf.DUMMYFUNCTION("""COMPUTED_VALUE"""),2330.0)</f>
        <v>2330</v>
      </c>
      <c r="K316" s="275">
        <f>IFERROR(__xludf.DUMMYFUNCTION("""COMPUTED_VALUE"""),1430.0)</f>
        <v>1430</v>
      </c>
      <c r="L316" s="276">
        <f>IFERROR(__xludf.DUMMYFUNCTION("""COMPUTED_VALUE"""),0.6137)</f>
        <v>0.6137</v>
      </c>
      <c r="M316" s="275">
        <f>IFERROR(__xludf.DUMMYFUNCTION("""COMPUTED_VALUE"""),0.0)</f>
        <v>0</v>
      </c>
      <c r="N316" s="276">
        <f>IFERROR(__xludf.DUMMYFUNCTION("""COMPUTED_VALUE"""),0.0)</f>
        <v>0</v>
      </c>
      <c r="O316" s="208">
        <f>IFERROR(__xludf.DUMMYFUNCTION("""COMPUTED_VALUE"""),0.0)</f>
        <v>0</v>
      </c>
      <c r="P316" s="208">
        <f>IFERROR(__xludf.DUMMYFUNCTION("""COMPUTED_VALUE"""),0.0)</f>
        <v>0</v>
      </c>
      <c r="Q316" s="276">
        <f>IFERROR(__xludf.DUMMYFUNCTION("""COMPUTED_VALUE"""),0.0)</f>
        <v>0</v>
      </c>
      <c r="R316" s="276">
        <f>IFERROR(__xludf.DUMMYFUNCTION("""COMPUTED_VALUE"""),0.0)</f>
        <v>0</v>
      </c>
      <c r="S316" s="208">
        <f>IFERROR(__xludf.DUMMYFUNCTION("""COMPUTED_VALUE"""),1.0)</f>
        <v>1</v>
      </c>
      <c r="T316" s="208">
        <f>IFERROR(__xludf.DUMMYFUNCTION("""COMPUTED_VALUE"""),2.0)</f>
        <v>2</v>
      </c>
      <c r="U316" s="275">
        <f>IFERROR(__xludf.DUMMYFUNCTION("""COMPUTED_VALUE"""),13612.0)</f>
        <v>13612</v>
      </c>
      <c r="V316" s="208" t="str">
        <f>IFERROR(__xludf.DUMMYFUNCTION("""COMPUTED_VALUE"""),"offline")</f>
        <v>offline</v>
      </c>
      <c r="W316" s="232" t="str">
        <f>IFERROR(__xludf.DUMMYFUNCTION("""COMPUTED_VALUE"""),"sms")</f>
        <v>sms</v>
      </c>
      <c r="X316" s="232" t="str">
        <f>IFERROR(__xludf.DUMMYFUNCTION("""COMPUTED_VALUE"""),"Offline Stores")</f>
        <v>Offline Stores</v>
      </c>
      <c r="Y316" s="232" t="str">
        <f>IFERROR(__xludf.DUMMYFUNCTION("""COMPUTED_VALUE"""),"16th - 19th April")</f>
        <v>16th - 19th April</v>
      </c>
      <c r="Z316" s="232" t="str">
        <f>IFERROR(__xludf.DUMMYFUNCTION("""COMPUTED_VALUE"""),"69e0742d23080ccb2d48e39e")</f>
        <v>69e0742d23080ccb2d48e39e</v>
      </c>
      <c r="AA316" s="277">
        <f>IFERROR(__xludf.DUMMYFUNCTION("""COMPUTED_VALUE"""),4.0)</f>
        <v>4</v>
      </c>
      <c r="AB316" s="277"/>
      <c r="AC316" s="277">
        <f>IFERROR(__xludf.DUMMYFUNCTION("""COMPUTED_VALUE"""),4.0)</f>
        <v>4</v>
      </c>
      <c r="AD316" s="277">
        <f>IFERROR(__xludf.DUMMYFUNCTION("""COMPUTED_VALUE"""),42150.0)</f>
        <v>42150</v>
      </c>
      <c r="AE316" s="277"/>
      <c r="AF316" s="277">
        <f>IFERROR(__xludf.DUMMYFUNCTION("""COMPUTED_VALUE"""),42150.0)</f>
        <v>42150</v>
      </c>
      <c r="AG316" s="208"/>
      <c r="AH316" s="208"/>
      <c r="AI316" s="208"/>
      <c r="AJ316" s="208"/>
      <c r="AK316" s="208"/>
    </row>
    <row r="317">
      <c r="A317" s="273">
        <f>IFERROR(__xludf.DUMMYFUNCTION("""COMPUTED_VALUE"""),46128.0)</f>
        <v>46128</v>
      </c>
      <c r="B317" s="274">
        <f>IFERROR(__xludf.DUMMYFUNCTION("""COMPUTED_VALUE"""),0.46875)</f>
        <v>0.46875</v>
      </c>
      <c r="C317" s="208" t="str">
        <f>IFERROR(__xludf.DUMMYFUNCTION("""COMPUTED_VALUE"""),"Sms")</f>
        <v>Sms</v>
      </c>
      <c r="D317" s="208" t="str">
        <f>IFERROR(__xludf.DUMMYFUNCTION("""COMPUTED_VALUE"""),"Fallback campaign")</f>
        <v>Fallback campaign</v>
      </c>
      <c r="E317" s="208" t="str">
        <f>IFERROR(__xludf.DUMMYFUNCTION("""COMPUTED_VALUE"""),"VS")</f>
        <v>VS</v>
      </c>
      <c r="F317" s="208" t="str">
        <f>IFERROR(__xludf.DUMMYFUNCTION("""COMPUTED_VALUE"""),"Cool bra store campaigns")</f>
        <v>Cool bra store campaigns</v>
      </c>
      <c r="G317" s="208" t="str">
        <f>IFERROR(__xludf.DUMMYFUNCTION("""COMPUTED_VALUE"""),"VS CoolBra - Stores - PMC Kurla (FB)")</f>
        <v>VS CoolBra - Stores - PMC Kurla (FB)</v>
      </c>
      <c r="H317" s="208" t="str">
        <f>IFERROR(__xludf.DUMMYFUNCTION("""COMPUTED_VALUE"""),"vs_off_txnstd_97009_feb2026")</f>
        <v>vs_off_txnstd_97009_feb2026</v>
      </c>
      <c r="I317" s="233" t="str">
        <f>IFERROR(__xludf.DUMMYFUNCTION("""COMPUTED_VALUE"""),"WA Undelivered")</f>
        <v>WA Undelivered</v>
      </c>
      <c r="J317" s="275">
        <f>IFERROR(__xludf.DUMMYFUNCTION("""COMPUTED_VALUE"""),2860.0)</f>
        <v>2860</v>
      </c>
      <c r="K317" s="275">
        <f>IFERROR(__xludf.DUMMYFUNCTION("""COMPUTED_VALUE"""),1842.0)</f>
        <v>1842</v>
      </c>
      <c r="L317" s="276">
        <f>IFERROR(__xludf.DUMMYFUNCTION("""COMPUTED_VALUE"""),0.6441)</f>
        <v>0.6441</v>
      </c>
      <c r="M317" s="275">
        <f>IFERROR(__xludf.DUMMYFUNCTION("""COMPUTED_VALUE"""),0.0)</f>
        <v>0</v>
      </c>
      <c r="N317" s="276">
        <f>IFERROR(__xludf.DUMMYFUNCTION("""COMPUTED_VALUE"""),0.0)</f>
        <v>0</v>
      </c>
      <c r="O317" s="208">
        <f>IFERROR(__xludf.DUMMYFUNCTION("""COMPUTED_VALUE"""),0.0)</f>
        <v>0</v>
      </c>
      <c r="P317" s="208">
        <f>IFERROR(__xludf.DUMMYFUNCTION("""COMPUTED_VALUE"""),0.0)</f>
        <v>0</v>
      </c>
      <c r="Q317" s="276">
        <f>IFERROR(__xludf.DUMMYFUNCTION("""COMPUTED_VALUE"""),0.0)</f>
        <v>0</v>
      </c>
      <c r="R317" s="276">
        <f>IFERROR(__xludf.DUMMYFUNCTION("""COMPUTED_VALUE"""),0.0)</f>
        <v>0</v>
      </c>
      <c r="S317" s="208">
        <f>IFERROR(__xludf.DUMMYFUNCTION("""COMPUTED_VALUE"""),0.0)</f>
        <v>0</v>
      </c>
      <c r="T317" s="208">
        <f>IFERROR(__xludf.DUMMYFUNCTION("""COMPUTED_VALUE"""),1.0)</f>
        <v>1</v>
      </c>
      <c r="U317" s="275">
        <f>IFERROR(__xludf.DUMMYFUNCTION("""COMPUTED_VALUE"""),0.0)</f>
        <v>0</v>
      </c>
      <c r="V317" s="208" t="str">
        <f>IFERROR(__xludf.DUMMYFUNCTION("""COMPUTED_VALUE"""),"offline")</f>
        <v>offline</v>
      </c>
      <c r="W317" s="232" t="str">
        <f>IFERROR(__xludf.DUMMYFUNCTION("""COMPUTED_VALUE"""),"sms")</f>
        <v>sms</v>
      </c>
      <c r="X317" s="232" t="str">
        <f>IFERROR(__xludf.DUMMYFUNCTION("""COMPUTED_VALUE"""),"Offline Stores")</f>
        <v>Offline Stores</v>
      </c>
      <c r="Y317" s="232" t="str">
        <f>IFERROR(__xludf.DUMMYFUNCTION("""COMPUTED_VALUE"""),"16th - 19th April")</f>
        <v>16th - 19th April</v>
      </c>
      <c r="Z317" s="232" t="str">
        <f>IFERROR(__xludf.DUMMYFUNCTION("""COMPUTED_VALUE"""),"69e07458f4a49557515c474f")</f>
        <v>69e07458f4a49557515c474f</v>
      </c>
      <c r="AA317" s="277">
        <f>IFERROR(__xludf.DUMMYFUNCTION("""COMPUTED_VALUE"""),6.0)</f>
        <v>6</v>
      </c>
      <c r="AB317" s="277"/>
      <c r="AC317" s="277">
        <f>IFERROR(__xludf.DUMMYFUNCTION("""COMPUTED_VALUE"""),6.0)</f>
        <v>6</v>
      </c>
      <c r="AD317" s="277">
        <f>IFERROR(__xludf.DUMMYFUNCTION("""COMPUTED_VALUE"""),61805.0)</f>
        <v>61805</v>
      </c>
      <c r="AE317" s="277"/>
      <c r="AF317" s="277">
        <f>IFERROR(__xludf.DUMMYFUNCTION("""COMPUTED_VALUE"""),61805.0)</f>
        <v>61805</v>
      </c>
      <c r="AG317" s="208"/>
      <c r="AH317" s="208"/>
      <c r="AI317" s="208"/>
      <c r="AJ317" s="208"/>
      <c r="AK317" s="208"/>
    </row>
    <row r="318">
      <c r="A318" s="273">
        <f>IFERROR(__xludf.DUMMYFUNCTION("""COMPUTED_VALUE"""),46128.0)</f>
        <v>46128</v>
      </c>
      <c r="B318" s="274">
        <f>IFERROR(__xludf.DUMMYFUNCTION("""COMPUTED_VALUE"""),0.46875)</f>
        <v>0.46875</v>
      </c>
      <c r="C318" s="208" t="str">
        <f>IFERROR(__xludf.DUMMYFUNCTION("""COMPUTED_VALUE"""),"Sms")</f>
        <v>Sms</v>
      </c>
      <c r="D318" s="208" t="str">
        <f>IFERROR(__xludf.DUMMYFUNCTION("""COMPUTED_VALUE"""),"Fallback campaign")</f>
        <v>Fallback campaign</v>
      </c>
      <c r="E318" s="208" t="str">
        <f>IFERROR(__xludf.DUMMYFUNCTION("""COMPUTED_VALUE"""),"VS")</f>
        <v>VS</v>
      </c>
      <c r="F318" s="208" t="str">
        <f>IFERROR(__xludf.DUMMYFUNCTION("""COMPUTED_VALUE"""),"Cool bra store campaigns")</f>
        <v>Cool bra store campaigns</v>
      </c>
      <c r="G318" s="208" t="str">
        <f>IFERROR(__xludf.DUMMYFUNCTION("""COMPUTED_VALUE"""),"VS CoolBra - Stores - Lulu Kochi (FB)")</f>
        <v>VS CoolBra - Stores - Lulu Kochi (FB)</v>
      </c>
      <c r="H318" s="208" t="str">
        <f>IFERROR(__xludf.DUMMYFUNCTION("""COMPUTED_VALUE"""),"vs_off_kochi_feb2026")</f>
        <v>vs_off_kochi_feb2026</v>
      </c>
      <c r="I318" s="233" t="str">
        <f>IFERROR(__xludf.DUMMYFUNCTION("""COMPUTED_VALUE"""),"WA Undelivered")</f>
        <v>WA Undelivered</v>
      </c>
      <c r="J318" s="275">
        <f>IFERROR(__xludf.DUMMYFUNCTION("""COMPUTED_VALUE"""),1897.0)</f>
        <v>1897</v>
      </c>
      <c r="K318" s="275">
        <f>IFERROR(__xludf.DUMMYFUNCTION("""COMPUTED_VALUE"""),1325.0)</f>
        <v>1325</v>
      </c>
      <c r="L318" s="276">
        <f>IFERROR(__xludf.DUMMYFUNCTION("""COMPUTED_VALUE"""),0.6985)</f>
        <v>0.6985</v>
      </c>
      <c r="M318" s="275">
        <f>IFERROR(__xludf.DUMMYFUNCTION("""COMPUTED_VALUE"""),0.0)</f>
        <v>0</v>
      </c>
      <c r="N318" s="276">
        <f>IFERROR(__xludf.DUMMYFUNCTION("""COMPUTED_VALUE"""),0.0)</f>
        <v>0</v>
      </c>
      <c r="O318" s="208">
        <f>IFERROR(__xludf.DUMMYFUNCTION("""COMPUTED_VALUE"""),0.0)</f>
        <v>0</v>
      </c>
      <c r="P318" s="208">
        <f>IFERROR(__xludf.DUMMYFUNCTION("""COMPUTED_VALUE"""),0.0)</f>
        <v>0</v>
      </c>
      <c r="Q318" s="276">
        <f>IFERROR(__xludf.DUMMYFUNCTION("""COMPUTED_VALUE"""),0.0)</f>
        <v>0</v>
      </c>
      <c r="R318" s="276">
        <f>IFERROR(__xludf.DUMMYFUNCTION("""COMPUTED_VALUE"""),0.0)</f>
        <v>0</v>
      </c>
      <c r="S318" s="208">
        <f>IFERROR(__xludf.DUMMYFUNCTION("""COMPUTED_VALUE"""),0.0)</f>
        <v>0</v>
      </c>
      <c r="T318" s="208">
        <f>IFERROR(__xludf.DUMMYFUNCTION("""COMPUTED_VALUE"""),0.0)</f>
        <v>0</v>
      </c>
      <c r="U318" s="275">
        <f>IFERROR(__xludf.DUMMYFUNCTION("""COMPUTED_VALUE"""),0.0)</f>
        <v>0</v>
      </c>
      <c r="V318" s="208" t="str">
        <f>IFERROR(__xludf.DUMMYFUNCTION("""COMPUTED_VALUE"""),"offline")</f>
        <v>offline</v>
      </c>
      <c r="W318" s="232" t="str">
        <f>IFERROR(__xludf.DUMMYFUNCTION("""COMPUTED_VALUE"""),"sms")</f>
        <v>sms</v>
      </c>
      <c r="X318" s="232" t="str">
        <f>IFERROR(__xludf.DUMMYFUNCTION("""COMPUTED_VALUE"""),"Offline Stores")</f>
        <v>Offline Stores</v>
      </c>
      <c r="Y318" s="232" t="str">
        <f>IFERROR(__xludf.DUMMYFUNCTION("""COMPUTED_VALUE"""),"16th - 19th April")</f>
        <v>16th - 19th April</v>
      </c>
      <c r="Z318" s="232" t="str">
        <f>IFERROR(__xludf.DUMMYFUNCTION("""COMPUTED_VALUE"""),"69e07472fbedade0dfe4897c")</f>
        <v>69e07472fbedade0dfe4897c</v>
      </c>
      <c r="AA318" s="277">
        <f>IFERROR(__xludf.DUMMYFUNCTION("""COMPUTED_VALUE"""),3.0)</f>
        <v>3</v>
      </c>
      <c r="AB318" s="277"/>
      <c r="AC318" s="277">
        <f>IFERROR(__xludf.DUMMYFUNCTION("""COMPUTED_VALUE"""),3.0)</f>
        <v>3</v>
      </c>
      <c r="AD318" s="277">
        <f>IFERROR(__xludf.DUMMYFUNCTION("""COMPUTED_VALUE"""),23195.0)</f>
        <v>23195</v>
      </c>
      <c r="AE318" s="277"/>
      <c r="AF318" s="277">
        <f>IFERROR(__xludf.DUMMYFUNCTION("""COMPUTED_VALUE"""),23195.0)</f>
        <v>23195</v>
      </c>
      <c r="AG318" s="208"/>
      <c r="AH318" s="208"/>
      <c r="AI318" s="208"/>
      <c r="AJ318" s="208"/>
      <c r="AK318" s="208"/>
    </row>
    <row r="319">
      <c r="A319" s="273">
        <f>IFERROR(__xludf.DUMMYFUNCTION("""COMPUTED_VALUE"""),46128.0)</f>
        <v>46128</v>
      </c>
      <c r="B319" s="274">
        <f>IFERROR(__xludf.DUMMYFUNCTION("""COMPUTED_VALUE"""),0.46875)</f>
        <v>0.46875</v>
      </c>
      <c r="C319" s="208" t="str">
        <f>IFERROR(__xludf.DUMMYFUNCTION("""COMPUTED_VALUE"""),"Sms")</f>
        <v>Sms</v>
      </c>
      <c r="D319" s="208" t="str">
        <f>IFERROR(__xludf.DUMMYFUNCTION("""COMPUTED_VALUE"""),"Fallback campaign")</f>
        <v>Fallback campaign</v>
      </c>
      <c r="E319" s="208" t="str">
        <f>IFERROR(__xludf.DUMMYFUNCTION("""COMPUTED_VALUE"""),"VS")</f>
        <v>VS</v>
      </c>
      <c r="F319" s="208" t="str">
        <f>IFERROR(__xludf.DUMMYFUNCTION("""COMPUTED_VALUE"""),"Cool bra store campaigns")</f>
        <v>Cool bra store campaigns</v>
      </c>
      <c r="G319" s="208" t="str">
        <f>IFERROR(__xludf.DUMMYFUNCTION("""COMPUTED_VALUE"""),"VS CoolBra - Stores - Nexus BLR (FB)")</f>
        <v>VS CoolBra - Stores - Nexus BLR (FB)</v>
      </c>
      <c r="H319" s="208" t="str">
        <f>IFERROR(__xludf.DUMMYFUNCTION("""COMPUTED_VALUE"""),"vs_off_txnstd_97012_feb2026")</f>
        <v>vs_off_txnstd_97012_feb2026</v>
      </c>
      <c r="I319" s="233" t="str">
        <f>IFERROR(__xludf.DUMMYFUNCTION("""COMPUTED_VALUE"""),"WA Undelivered")</f>
        <v>WA Undelivered</v>
      </c>
      <c r="J319" s="275">
        <f>IFERROR(__xludf.DUMMYFUNCTION("""COMPUTED_VALUE"""),2576.0)</f>
        <v>2576</v>
      </c>
      <c r="K319" s="275">
        <f>IFERROR(__xludf.DUMMYFUNCTION("""COMPUTED_VALUE"""),1748.0)</f>
        <v>1748</v>
      </c>
      <c r="L319" s="276">
        <f>IFERROR(__xludf.DUMMYFUNCTION("""COMPUTED_VALUE"""),0.6786)</f>
        <v>0.6786</v>
      </c>
      <c r="M319" s="275">
        <f>IFERROR(__xludf.DUMMYFUNCTION("""COMPUTED_VALUE"""),0.0)</f>
        <v>0</v>
      </c>
      <c r="N319" s="276">
        <f>IFERROR(__xludf.DUMMYFUNCTION("""COMPUTED_VALUE"""),0.0)</f>
        <v>0</v>
      </c>
      <c r="O319" s="208">
        <f>IFERROR(__xludf.DUMMYFUNCTION("""COMPUTED_VALUE"""),0.0)</f>
        <v>0</v>
      </c>
      <c r="P319" s="208">
        <f>IFERROR(__xludf.DUMMYFUNCTION("""COMPUTED_VALUE"""),0.0)</f>
        <v>0</v>
      </c>
      <c r="Q319" s="276">
        <f>IFERROR(__xludf.DUMMYFUNCTION("""COMPUTED_VALUE"""),0.0)</f>
        <v>0</v>
      </c>
      <c r="R319" s="276">
        <f>IFERROR(__xludf.DUMMYFUNCTION("""COMPUTED_VALUE"""),0.0)</f>
        <v>0</v>
      </c>
      <c r="S319" s="208">
        <f>IFERROR(__xludf.DUMMYFUNCTION("""COMPUTED_VALUE"""),0.0)</f>
        <v>0</v>
      </c>
      <c r="T319" s="208">
        <f>IFERROR(__xludf.DUMMYFUNCTION("""COMPUTED_VALUE"""),0.0)</f>
        <v>0</v>
      </c>
      <c r="U319" s="275">
        <f>IFERROR(__xludf.DUMMYFUNCTION("""COMPUTED_VALUE"""),0.0)</f>
        <v>0</v>
      </c>
      <c r="V319" s="208" t="str">
        <f>IFERROR(__xludf.DUMMYFUNCTION("""COMPUTED_VALUE"""),"offline")</f>
        <v>offline</v>
      </c>
      <c r="W319" s="232" t="str">
        <f>IFERROR(__xludf.DUMMYFUNCTION("""COMPUTED_VALUE"""),"sms")</f>
        <v>sms</v>
      </c>
      <c r="X319" s="232" t="str">
        <f>IFERROR(__xludf.DUMMYFUNCTION("""COMPUTED_VALUE"""),"Offline Stores")</f>
        <v>Offline Stores</v>
      </c>
      <c r="Y319" s="232" t="str">
        <f>IFERROR(__xludf.DUMMYFUNCTION("""COMPUTED_VALUE"""),"16th - 19th April")</f>
        <v>16th - 19th April</v>
      </c>
      <c r="Z319" s="232" t="str">
        <f>IFERROR(__xludf.DUMMYFUNCTION("""COMPUTED_VALUE"""),"69e074a1f5590d63ed1137d6")</f>
        <v>69e074a1f5590d63ed1137d6</v>
      </c>
      <c r="AA319" s="277">
        <f>IFERROR(__xludf.DUMMYFUNCTION("""COMPUTED_VALUE"""),5.0)</f>
        <v>5</v>
      </c>
      <c r="AB319" s="277"/>
      <c r="AC319" s="277">
        <f>IFERROR(__xludf.DUMMYFUNCTION("""COMPUTED_VALUE"""),5.0)</f>
        <v>5</v>
      </c>
      <c r="AD319" s="277">
        <f>IFERROR(__xludf.DUMMYFUNCTION("""COMPUTED_VALUE"""),24394.0)</f>
        <v>24394</v>
      </c>
      <c r="AE319" s="277"/>
      <c r="AF319" s="277">
        <f>IFERROR(__xludf.DUMMYFUNCTION("""COMPUTED_VALUE"""),24394.0)</f>
        <v>24394</v>
      </c>
      <c r="AG319" s="208"/>
      <c r="AH319" s="208"/>
      <c r="AI319" s="208"/>
      <c r="AJ319" s="208"/>
      <c r="AK319" s="208"/>
    </row>
    <row r="320">
      <c r="A320" s="273">
        <f>IFERROR(__xludf.DUMMYFUNCTION("""COMPUTED_VALUE"""),46128.0)</f>
        <v>46128</v>
      </c>
      <c r="B320" s="274">
        <f>IFERROR(__xludf.DUMMYFUNCTION("""COMPUTED_VALUE"""),0.46875)</f>
        <v>0.46875</v>
      </c>
      <c r="C320" s="208" t="str">
        <f>IFERROR(__xludf.DUMMYFUNCTION("""COMPUTED_VALUE"""),"Sms")</f>
        <v>Sms</v>
      </c>
      <c r="D320" s="208" t="str">
        <f>IFERROR(__xludf.DUMMYFUNCTION("""COMPUTED_VALUE"""),"Fallback campaign")</f>
        <v>Fallback campaign</v>
      </c>
      <c r="E320" s="208" t="str">
        <f>IFERROR(__xludf.DUMMYFUNCTION("""COMPUTED_VALUE"""),"VS")</f>
        <v>VS</v>
      </c>
      <c r="F320" s="208" t="str">
        <f>IFERROR(__xludf.DUMMYFUNCTION("""COMPUTED_VALUE"""),"Cool bra store campaigns")</f>
        <v>Cool bra store campaigns</v>
      </c>
      <c r="G320" s="208" t="str">
        <f>IFERROR(__xludf.DUMMYFUNCTION("""COMPUTED_VALUE"""),"VS CoolBra - Stores - Nexus HYD (FB)")</f>
        <v>VS CoolBra - Stores - Nexus HYD (FB)</v>
      </c>
      <c r="H320" s="208" t="str">
        <f>IFERROR(__xludf.DUMMYFUNCTION("""COMPUTED_VALUE"""),"vs_off_txnstd_97013_feb2026")</f>
        <v>vs_off_txnstd_97013_feb2026</v>
      </c>
      <c r="I320" s="233" t="str">
        <f>IFERROR(__xludf.DUMMYFUNCTION("""COMPUTED_VALUE"""),"WA Undelivered")</f>
        <v>WA Undelivered</v>
      </c>
      <c r="J320" s="275">
        <f>IFERROR(__xludf.DUMMYFUNCTION("""COMPUTED_VALUE"""),1110.0)</f>
        <v>1110</v>
      </c>
      <c r="K320" s="275">
        <f>IFERROR(__xludf.DUMMYFUNCTION("""COMPUTED_VALUE"""),777.0)</f>
        <v>777</v>
      </c>
      <c r="L320" s="276">
        <f>IFERROR(__xludf.DUMMYFUNCTION("""COMPUTED_VALUE"""),0.7)</f>
        <v>0.7</v>
      </c>
      <c r="M320" s="275">
        <f>IFERROR(__xludf.DUMMYFUNCTION("""COMPUTED_VALUE"""),0.0)</f>
        <v>0</v>
      </c>
      <c r="N320" s="276">
        <f>IFERROR(__xludf.DUMMYFUNCTION("""COMPUTED_VALUE"""),0.0)</f>
        <v>0</v>
      </c>
      <c r="O320" s="208">
        <f>IFERROR(__xludf.DUMMYFUNCTION("""COMPUTED_VALUE"""),0.0)</f>
        <v>0</v>
      </c>
      <c r="P320" s="208">
        <f>IFERROR(__xludf.DUMMYFUNCTION("""COMPUTED_VALUE"""),0.0)</f>
        <v>0</v>
      </c>
      <c r="Q320" s="276">
        <f>IFERROR(__xludf.DUMMYFUNCTION("""COMPUTED_VALUE"""),0.0)</f>
        <v>0</v>
      </c>
      <c r="R320" s="276">
        <f>IFERROR(__xludf.DUMMYFUNCTION("""COMPUTED_VALUE"""),0.0)</f>
        <v>0</v>
      </c>
      <c r="S320" s="208">
        <f>IFERROR(__xludf.DUMMYFUNCTION("""COMPUTED_VALUE"""),0.0)</f>
        <v>0</v>
      </c>
      <c r="T320" s="208">
        <f>IFERROR(__xludf.DUMMYFUNCTION("""COMPUTED_VALUE"""),0.0)</f>
        <v>0</v>
      </c>
      <c r="U320" s="275">
        <f>IFERROR(__xludf.DUMMYFUNCTION("""COMPUTED_VALUE"""),0.0)</f>
        <v>0</v>
      </c>
      <c r="V320" s="208" t="str">
        <f>IFERROR(__xludf.DUMMYFUNCTION("""COMPUTED_VALUE"""),"offline")</f>
        <v>offline</v>
      </c>
      <c r="W320" s="232" t="str">
        <f>IFERROR(__xludf.DUMMYFUNCTION("""COMPUTED_VALUE"""),"sms")</f>
        <v>sms</v>
      </c>
      <c r="X320" s="232" t="str">
        <f>IFERROR(__xludf.DUMMYFUNCTION("""COMPUTED_VALUE"""),"Offline Stores")</f>
        <v>Offline Stores</v>
      </c>
      <c r="Y320" s="232" t="str">
        <f>IFERROR(__xludf.DUMMYFUNCTION("""COMPUTED_VALUE"""),"16th - 19th April")</f>
        <v>16th - 19th April</v>
      </c>
      <c r="Z320" s="232" t="str">
        <f>IFERROR(__xludf.DUMMYFUNCTION("""COMPUTED_VALUE"""),"69e074c2eaf8881447587589")</f>
        <v>69e074c2eaf8881447587589</v>
      </c>
      <c r="AA320" s="277">
        <f>IFERROR(__xludf.DUMMYFUNCTION("""COMPUTED_VALUE"""),3.0)</f>
        <v>3</v>
      </c>
      <c r="AB320" s="277"/>
      <c r="AC320" s="277">
        <f>IFERROR(__xludf.DUMMYFUNCTION("""COMPUTED_VALUE"""),3.0)</f>
        <v>3</v>
      </c>
      <c r="AD320" s="277">
        <f>IFERROR(__xludf.DUMMYFUNCTION("""COMPUTED_VALUE"""),8097.0)</f>
        <v>8097</v>
      </c>
      <c r="AE320" s="277"/>
      <c r="AF320" s="277">
        <f>IFERROR(__xludf.DUMMYFUNCTION("""COMPUTED_VALUE"""),8097.0)</f>
        <v>8097</v>
      </c>
      <c r="AG320" s="208"/>
      <c r="AH320" s="208"/>
      <c r="AI320" s="208"/>
      <c r="AJ320" s="208"/>
      <c r="AK320" s="208"/>
    </row>
    <row r="321">
      <c r="A321" s="273">
        <f>IFERROR(__xludf.DUMMYFUNCTION("""COMPUTED_VALUE"""),46128.0)</f>
        <v>46128</v>
      </c>
      <c r="B321" s="274">
        <f>IFERROR(__xludf.DUMMYFUNCTION("""COMPUTED_VALUE"""),0.46875)</f>
        <v>0.46875</v>
      </c>
      <c r="C321" s="208" t="str">
        <f>IFERROR(__xludf.DUMMYFUNCTION("""COMPUTED_VALUE"""),"Sms")</f>
        <v>Sms</v>
      </c>
      <c r="D321" s="208" t="str">
        <f>IFERROR(__xludf.DUMMYFUNCTION("""COMPUTED_VALUE"""),"Fallback campaign")</f>
        <v>Fallback campaign</v>
      </c>
      <c r="E321" s="208" t="str">
        <f>IFERROR(__xludf.DUMMYFUNCTION("""COMPUTED_VALUE"""),"VS")</f>
        <v>VS</v>
      </c>
      <c r="F321" s="208" t="str">
        <f>IFERROR(__xludf.DUMMYFUNCTION("""COMPUTED_VALUE"""),"cool bra ")</f>
        <v>cool bra </v>
      </c>
      <c r="G321" s="208" t="str">
        <f>IFERROR(__xludf.DUMMYFUNCTION("""COMPUTED_VALUE"""),"VS CoolBra - Online - Full Price CX (FB)")</f>
        <v>VS CoolBra - Online - Full Price CX (FB)</v>
      </c>
      <c r="H321" s="208" t="str">
        <f>IFERROR(__xludf.DUMMYFUNCTION("""COMPUTED_VALUE"""),"VS_Map_FullPriceUsers_Online")</f>
        <v>VS_Map_FullPriceUsers_Online</v>
      </c>
      <c r="I321" s="233" t="str">
        <f>IFERROR(__xludf.DUMMYFUNCTION("""COMPUTED_VALUE"""),"WA Undelivered")</f>
        <v>WA Undelivered</v>
      </c>
      <c r="J321" s="275">
        <f>IFERROR(__xludf.DUMMYFUNCTION("""COMPUTED_VALUE"""),1512.0)</f>
        <v>1512</v>
      </c>
      <c r="K321" s="275">
        <f>IFERROR(__xludf.DUMMYFUNCTION("""COMPUTED_VALUE"""),896.0)</f>
        <v>896</v>
      </c>
      <c r="L321" s="276">
        <f>IFERROR(__xludf.DUMMYFUNCTION("""COMPUTED_VALUE"""),0.5926)</f>
        <v>0.5926</v>
      </c>
      <c r="M321" s="275">
        <f>IFERROR(__xludf.DUMMYFUNCTION("""COMPUTED_VALUE"""),0.0)</f>
        <v>0</v>
      </c>
      <c r="N321" s="276">
        <f>IFERROR(__xludf.DUMMYFUNCTION("""COMPUTED_VALUE"""),0.0)</f>
        <v>0</v>
      </c>
      <c r="O321" s="208">
        <f>IFERROR(__xludf.DUMMYFUNCTION("""COMPUTED_VALUE"""),1.0)</f>
        <v>1</v>
      </c>
      <c r="P321" s="208">
        <f>IFERROR(__xludf.DUMMYFUNCTION("""COMPUTED_VALUE"""),0.0)</f>
        <v>0</v>
      </c>
      <c r="Q321" s="276">
        <f>IFERROR(__xludf.DUMMYFUNCTION("""COMPUTED_VALUE"""),0.0011)</f>
        <v>0.0011</v>
      </c>
      <c r="R321" s="276">
        <f>IFERROR(__xludf.DUMMYFUNCTION("""COMPUTED_VALUE"""),0.0)</f>
        <v>0</v>
      </c>
      <c r="S321" s="208">
        <f>IFERROR(__xludf.DUMMYFUNCTION("""COMPUTED_VALUE"""),0.0)</f>
        <v>0</v>
      </c>
      <c r="T321" s="208">
        <f>IFERROR(__xludf.DUMMYFUNCTION("""COMPUTED_VALUE"""),1.0)</f>
        <v>1</v>
      </c>
      <c r="U321" s="275">
        <f>IFERROR(__xludf.DUMMYFUNCTION("""COMPUTED_VALUE"""),0.0)</f>
        <v>0</v>
      </c>
      <c r="V321" s="208" t="str">
        <f>IFERROR(__xludf.DUMMYFUNCTION("""COMPUTED_VALUE"""),"online")</f>
        <v>online</v>
      </c>
      <c r="W321" s="232" t="str">
        <f>IFERROR(__xludf.DUMMYFUNCTION("""COMPUTED_VALUE"""),"sms")</f>
        <v>sms</v>
      </c>
      <c r="X321" s="232" t="str">
        <f>IFERROR(__xludf.DUMMYFUNCTION("""COMPUTED_VALUE"""),"Full Price Shopper")</f>
        <v>Full Price Shopper</v>
      </c>
      <c r="Y321" s="232" t="str">
        <f>IFERROR(__xludf.DUMMYFUNCTION("""COMPUTED_VALUE"""),"16th - 19th April")</f>
        <v>16th - 19th April</v>
      </c>
      <c r="Z321" s="232" t="str">
        <f>IFERROR(__xludf.DUMMYFUNCTION("""COMPUTED_VALUE"""),"69e0752f3b205605157fe307")</f>
        <v>69e0752f3b205605157fe307</v>
      </c>
      <c r="AA321" s="277">
        <f>IFERROR(__xludf.DUMMYFUNCTION("""COMPUTED_VALUE"""),0.0)</f>
        <v>0</v>
      </c>
      <c r="AB321" s="277">
        <f>IFERROR(__xludf.DUMMYFUNCTION("""COMPUTED_VALUE"""),0.0)</f>
        <v>0</v>
      </c>
      <c r="AC321" s="277"/>
      <c r="AD321" s="277">
        <f>IFERROR(__xludf.DUMMYFUNCTION("""COMPUTED_VALUE"""),0.0)</f>
        <v>0</v>
      </c>
      <c r="AE321" s="277">
        <f>IFERROR(__xludf.DUMMYFUNCTION("""COMPUTED_VALUE"""),0.0)</f>
        <v>0</v>
      </c>
      <c r="AF321" s="277"/>
      <c r="AG321" s="208"/>
      <c r="AH321" s="208"/>
      <c r="AI321" s="208"/>
      <c r="AJ321" s="208"/>
      <c r="AK321" s="208"/>
    </row>
    <row r="322">
      <c r="A322" s="273">
        <f>IFERROR(__xludf.DUMMYFUNCTION("""COMPUTED_VALUE"""),46128.0)</f>
        <v>46128</v>
      </c>
      <c r="B322" s="274">
        <f>IFERROR(__xludf.DUMMYFUNCTION("""COMPUTED_VALUE"""),0.46875)</f>
        <v>0.46875</v>
      </c>
      <c r="C322" s="208" t="str">
        <f>IFERROR(__xludf.DUMMYFUNCTION("""COMPUTED_VALUE"""),"Sms")</f>
        <v>Sms</v>
      </c>
      <c r="D322" s="208" t="str">
        <f>IFERROR(__xludf.DUMMYFUNCTION("""COMPUTED_VALUE"""),"Fallback campaign")</f>
        <v>Fallback campaign</v>
      </c>
      <c r="E322" s="208" t="str">
        <f>IFERROR(__xludf.DUMMYFUNCTION("""COMPUTED_VALUE"""),"VS")</f>
        <v>VS</v>
      </c>
      <c r="F322" s="208" t="str">
        <f>IFERROR(__xludf.DUMMYFUNCTION("""COMPUTED_VALUE"""),"cool bra ")</f>
        <v>cool bra </v>
      </c>
      <c r="G322" s="208" t="str">
        <f>IFERROR(__xludf.DUMMYFUNCTION("""COMPUTED_VALUE"""),"VS CoolBra - Online - Bra CX (FB)")</f>
        <v>VS CoolBra - Online - Bra CX (FB)</v>
      </c>
      <c r="H322" s="208" t="str">
        <f>IFERROR(__xludf.DUMMYFUNCTION("""COMPUTED_VALUE"""),"VS_ON_BraBase")</f>
        <v>VS_ON_BraBase</v>
      </c>
      <c r="I322" s="233" t="str">
        <f>IFERROR(__xludf.DUMMYFUNCTION("""COMPUTED_VALUE"""),"WA Undelivered")</f>
        <v>WA Undelivered</v>
      </c>
      <c r="J322" s="275">
        <f>IFERROR(__xludf.DUMMYFUNCTION("""COMPUTED_VALUE"""),13385.0)</f>
        <v>13385</v>
      </c>
      <c r="K322" s="275">
        <f>IFERROR(__xludf.DUMMYFUNCTION("""COMPUTED_VALUE"""),7643.0)</f>
        <v>7643</v>
      </c>
      <c r="L322" s="276">
        <f>IFERROR(__xludf.DUMMYFUNCTION("""COMPUTED_VALUE"""),0.571)</f>
        <v>0.571</v>
      </c>
      <c r="M322" s="275">
        <f>IFERROR(__xludf.DUMMYFUNCTION("""COMPUTED_VALUE"""),0.0)</f>
        <v>0</v>
      </c>
      <c r="N322" s="276">
        <f>IFERROR(__xludf.DUMMYFUNCTION("""COMPUTED_VALUE"""),0.0)</f>
        <v>0</v>
      </c>
      <c r="O322" s="208">
        <f>IFERROR(__xludf.DUMMYFUNCTION("""COMPUTED_VALUE"""),39.0)</f>
        <v>39</v>
      </c>
      <c r="P322" s="208">
        <f>IFERROR(__xludf.DUMMYFUNCTION("""COMPUTED_VALUE"""),0.0)</f>
        <v>0</v>
      </c>
      <c r="Q322" s="276">
        <f>IFERROR(__xludf.DUMMYFUNCTION("""COMPUTED_VALUE"""),0.0051)</f>
        <v>0.0051</v>
      </c>
      <c r="R322" s="276">
        <f>IFERROR(__xludf.DUMMYFUNCTION("""COMPUTED_VALUE"""),0.0)</f>
        <v>0</v>
      </c>
      <c r="S322" s="208">
        <f>IFERROR(__xludf.DUMMYFUNCTION("""COMPUTED_VALUE"""),2.0)</f>
        <v>2</v>
      </c>
      <c r="T322" s="208">
        <f>IFERROR(__xludf.DUMMYFUNCTION("""COMPUTED_VALUE"""),19.0)</f>
        <v>19</v>
      </c>
      <c r="U322" s="275">
        <f>IFERROR(__xludf.DUMMYFUNCTION("""COMPUTED_VALUE"""),63385.0)</f>
        <v>63385</v>
      </c>
      <c r="V322" s="208" t="str">
        <f>IFERROR(__xludf.DUMMYFUNCTION("""COMPUTED_VALUE"""),"online")</f>
        <v>online</v>
      </c>
      <c r="W322" s="232" t="str">
        <f>IFERROR(__xludf.DUMMYFUNCTION("""COMPUTED_VALUE"""),"sms")</f>
        <v>sms</v>
      </c>
      <c r="X322" s="232" t="str">
        <f>IFERROR(__xludf.DUMMYFUNCTION("""COMPUTED_VALUE"""),"Category Specific :- Bra")</f>
        <v>Category Specific :- Bra</v>
      </c>
      <c r="Y322" s="232" t="str">
        <f>IFERROR(__xludf.DUMMYFUNCTION("""COMPUTED_VALUE"""),"16th - 19th April")</f>
        <v>16th - 19th April</v>
      </c>
      <c r="Z322" s="232" t="str">
        <f>IFERROR(__xludf.DUMMYFUNCTION("""COMPUTED_VALUE"""),"69e07611ef21931260261ed8")</f>
        <v>69e07611ef21931260261ed8</v>
      </c>
      <c r="AA322" s="277">
        <f>IFERROR(__xludf.DUMMYFUNCTION("""COMPUTED_VALUE"""),15.0)</f>
        <v>15</v>
      </c>
      <c r="AB322" s="277">
        <f>IFERROR(__xludf.DUMMYFUNCTION("""COMPUTED_VALUE"""),15.0)</f>
        <v>15</v>
      </c>
      <c r="AC322" s="277"/>
      <c r="AD322" s="277">
        <f>IFERROR(__xludf.DUMMYFUNCTION("""COMPUTED_VALUE"""),154127.0)</f>
        <v>154127</v>
      </c>
      <c r="AE322" s="277">
        <f>IFERROR(__xludf.DUMMYFUNCTION("""COMPUTED_VALUE"""),154127.0)</f>
        <v>154127</v>
      </c>
      <c r="AF322" s="277"/>
      <c r="AG322" s="208"/>
      <c r="AH322" s="208"/>
      <c r="AI322" s="208"/>
      <c r="AJ322" s="208"/>
      <c r="AK322" s="208"/>
    </row>
    <row r="323">
      <c r="A323" s="273">
        <f>IFERROR(__xludf.DUMMYFUNCTION("""COMPUTED_VALUE"""),46128.0)</f>
        <v>46128</v>
      </c>
      <c r="B323" s="274">
        <f>IFERROR(__xludf.DUMMYFUNCTION("""COMPUTED_VALUE"""),0.46875)</f>
        <v>0.46875</v>
      </c>
      <c r="C323" s="208" t="str">
        <f>IFERROR(__xludf.DUMMYFUNCTION("""COMPUTED_VALUE"""),"Sms")</f>
        <v>Sms</v>
      </c>
      <c r="D323" s="208" t="str">
        <f>IFERROR(__xludf.DUMMYFUNCTION("""COMPUTED_VALUE"""),"Fallback campaign")</f>
        <v>Fallback campaign</v>
      </c>
      <c r="E323" s="208" t="str">
        <f>IFERROR(__xludf.DUMMYFUNCTION("""COMPUTED_VALUE"""),"VS")</f>
        <v>VS</v>
      </c>
      <c r="F323" s="208" t="str">
        <f>IFERROR(__xludf.DUMMYFUNCTION("""COMPUTED_VALUE"""),"cool bra ")</f>
        <v>cool bra </v>
      </c>
      <c r="G323" s="208" t="str">
        <f>IFERROR(__xludf.DUMMYFUNCTION("""COMPUTED_VALUE"""),"VS CoolBra - Online - Dorm CX (FB)")</f>
        <v>VS CoolBra - Online - Dorm CX (FB)</v>
      </c>
      <c r="H323" s="208" t="str">
        <f>IFERROR(__xludf.DUMMYFUNCTION("""COMPUTED_VALUE"""),"VS_ON_Dorm_LTV_4k")</f>
        <v>VS_ON_Dorm_LTV_4k</v>
      </c>
      <c r="I323" s="233" t="str">
        <f>IFERROR(__xludf.DUMMYFUNCTION("""COMPUTED_VALUE"""),"WA Undelivered")</f>
        <v>WA Undelivered</v>
      </c>
      <c r="J323" s="275">
        <f>IFERROR(__xludf.DUMMYFUNCTION("""COMPUTED_VALUE"""),1029.0)</f>
        <v>1029</v>
      </c>
      <c r="K323" s="275">
        <f>IFERROR(__xludf.DUMMYFUNCTION("""COMPUTED_VALUE"""),593.0)</f>
        <v>593</v>
      </c>
      <c r="L323" s="276">
        <f>IFERROR(__xludf.DUMMYFUNCTION("""COMPUTED_VALUE"""),0.5763)</f>
        <v>0.5763</v>
      </c>
      <c r="M323" s="275">
        <f>IFERROR(__xludf.DUMMYFUNCTION("""COMPUTED_VALUE"""),0.0)</f>
        <v>0</v>
      </c>
      <c r="N323" s="276">
        <f>IFERROR(__xludf.DUMMYFUNCTION("""COMPUTED_VALUE"""),0.0)</f>
        <v>0</v>
      </c>
      <c r="O323" s="208">
        <f>IFERROR(__xludf.DUMMYFUNCTION("""COMPUTED_VALUE"""),2.0)</f>
        <v>2</v>
      </c>
      <c r="P323" s="208">
        <f>IFERROR(__xludf.DUMMYFUNCTION("""COMPUTED_VALUE"""),0.0)</f>
        <v>0</v>
      </c>
      <c r="Q323" s="276">
        <f>IFERROR(__xludf.DUMMYFUNCTION("""COMPUTED_VALUE"""),0.0034)</f>
        <v>0.0034</v>
      </c>
      <c r="R323" s="276">
        <f>IFERROR(__xludf.DUMMYFUNCTION("""COMPUTED_VALUE"""),0.0)</f>
        <v>0</v>
      </c>
      <c r="S323" s="208">
        <f>IFERROR(__xludf.DUMMYFUNCTION("""COMPUTED_VALUE"""),0.0)</f>
        <v>0</v>
      </c>
      <c r="T323" s="208">
        <f>IFERROR(__xludf.DUMMYFUNCTION("""COMPUTED_VALUE"""),1.0)</f>
        <v>1</v>
      </c>
      <c r="U323" s="275">
        <f>IFERROR(__xludf.DUMMYFUNCTION("""COMPUTED_VALUE"""),0.0)</f>
        <v>0</v>
      </c>
      <c r="V323" s="208" t="str">
        <f>IFERROR(__xludf.DUMMYFUNCTION("""COMPUTED_VALUE"""),"online")</f>
        <v>online</v>
      </c>
      <c r="W323" s="232" t="str">
        <f>IFERROR(__xludf.DUMMYFUNCTION("""COMPUTED_VALUE"""),"sms")</f>
        <v>sms</v>
      </c>
      <c r="X323" s="232" t="str">
        <f>IFERROR(__xludf.DUMMYFUNCTION("""COMPUTED_VALUE"""),"Dormant High LTV")</f>
        <v>Dormant High LTV</v>
      </c>
      <c r="Y323" s="232" t="str">
        <f>IFERROR(__xludf.DUMMYFUNCTION("""COMPUTED_VALUE"""),"16th - 19th April")</f>
        <v>16th - 19th April</v>
      </c>
      <c r="Z323" s="232" t="str">
        <f>IFERROR(__xludf.DUMMYFUNCTION("""COMPUTED_VALUE"""),"69e0761dc084e9677f01cf4c")</f>
        <v>69e0761dc084e9677f01cf4c</v>
      </c>
      <c r="AA323" s="277">
        <f>IFERROR(__xludf.DUMMYFUNCTION("""COMPUTED_VALUE"""),0.0)</f>
        <v>0</v>
      </c>
      <c r="AB323" s="277">
        <f>IFERROR(__xludf.DUMMYFUNCTION("""COMPUTED_VALUE"""),0.0)</f>
        <v>0</v>
      </c>
      <c r="AC323" s="277"/>
      <c r="AD323" s="277">
        <f>IFERROR(__xludf.DUMMYFUNCTION("""COMPUTED_VALUE"""),0.0)</f>
        <v>0</v>
      </c>
      <c r="AE323" s="277">
        <f>IFERROR(__xludf.DUMMYFUNCTION("""COMPUTED_VALUE"""),0.0)</f>
        <v>0</v>
      </c>
      <c r="AF323" s="277"/>
      <c r="AG323" s="208"/>
      <c r="AH323" s="208"/>
      <c r="AI323" s="208"/>
      <c r="AJ323" s="208"/>
      <c r="AK323" s="208"/>
    </row>
    <row r="324">
      <c r="A324" s="273">
        <f>IFERROR(__xludf.DUMMYFUNCTION("""COMPUTED_VALUE"""),46128.0)</f>
        <v>46128</v>
      </c>
      <c r="B324" s="274">
        <f>IFERROR(__xludf.DUMMYFUNCTION("""COMPUTED_VALUE"""),0.46875)</f>
        <v>0.46875</v>
      </c>
      <c r="C324" s="208" t="str">
        <f>IFERROR(__xludf.DUMMYFUNCTION("""COMPUTED_VALUE"""),"Sms")</f>
        <v>Sms</v>
      </c>
      <c r="D324" s="208" t="str">
        <f>IFERROR(__xludf.DUMMYFUNCTION("""COMPUTED_VALUE"""),"Fallback campaign")</f>
        <v>Fallback campaign</v>
      </c>
      <c r="E324" s="208" t="str">
        <f>IFERROR(__xludf.DUMMYFUNCTION("""COMPUTED_VALUE"""),"VS")</f>
        <v>VS</v>
      </c>
      <c r="F324" s="208" t="str">
        <f>IFERROR(__xludf.DUMMYFUNCTION("""COMPUTED_VALUE"""),"cool bra ")</f>
        <v>cool bra </v>
      </c>
      <c r="G324" s="208" t="str">
        <f>IFERROR(__xludf.DUMMYFUNCTION("""COMPUTED_VALUE"""),"VS CoolBra - Online - SubCat CX (FB)")</f>
        <v>VS CoolBra - Online - SubCat CX (FB)</v>
      </c>
      <c r="H324" s="208" t="str">
        <f>IFERROR(__xludf.DUMMYFUNCTION("""COMPUTED_VALUE"""),"VS_ON_personal_care_lingerie_subcat_14_April_26")</f>
        <v>VS_ON_personal_care_lingerie_subcat_14_April_26</v>
      </c>
      <c r="I324" s="233" t="str">
        <f>IFERROR(__xludf.DUMMYFUNCTION("""COMPUTED_VALUE"""),"WA Undelivered")</f>
        <v>WA Undelivered</v>
      </c>
      <c r="J324" s="275">
        <f>IFERROR(__xludf.DUMMYFUNCTION("""COMPUTED_VALUE"""),36752.0)</f>
        <v>36752</v>
      </c>
      <c r="K324" s="275">
        <f>IFERROR(__xludf.DUMMYFUNCTION("""COMPUTED_VALUE"""),25237.0)</f>
        <v>25237</v>
      </c>
      <c r="L324" s="276">
        <f>IFERROR(__xludf.DUMMYFUNCTION("""COMPUTED_VALUE"""),0.6867)</f>
        <v>0.6867</v>
      </c>
      <c r="M324" s="275">
        <f>IFERROR(__xludf.DUMMYFUNCTION("""COMPUTED_VALUE"""),0.0)</f>
        <v>0</v>
      </c>
      <c r="N324" s="276">
        <f>IFERROR(__xludf.DUMMYFUNCTION("""COMPUTED_VALUE"""),0.0)</f>
        <v>0</v>
      </c>
      <c r="O324" s="208">
        <f>IFERROR(__xludf.DUMMYFUNCTION("""COMPUTED_VALUE"""),45.0)</f>
        <v>45</v>
      </c>
      <c r="P324" s="208">
        <f>IFERROR(__xludf.DUMMYFUNCTION("""COMPUTED_VALUE"""),0.0)</f>
        <v>0</v>
      </c>
      <c r="Q324" s="276">
        <f>IFERROR(__xludf.DUMMYFUNCTION("""COMPUTED_VALUE"""),0.0018)</f>
        <v>0.0018</v>
      </c>
      <c r="R324" s="276">
        <f>IFERROR(__xludf.DUMMYFUNCTION("""COMPUTED_VALUE"""),0.0)</f>
        <v>0</v>
      </c>
      <c r="S324" s="208">
        <f>IFERROR(__xludf.DUMMYFUNCTION("""COMPUTED_VALUE"""),3.0)</f>
        <v>3</v>
      </c>
      <c r="T324" s="208">
        <f>IFERROR(__xludf.DUMMYFUNCTION("""COMPUTED_VALUE"""),12.0)</f>
        <v>12</v>
      </c>
      <c r="U324" s="275">
        <f>IFERROR(__xludf.DUMMYFUNCTION("""COMPUTED_VALUE"""),7796.0)</f>
        <v>7796</v>
      </c>
      <c r="V324" s="208" t="str">
        <f>IFERROR(__xludf.DUMMYFUNCTION("""COMPUTED_VALUE"""),"online")</f>
        <v>online</v>
      </c>
      <c r="W324" s="232" t="str">
        <f>IFERROR(__xludf.DUMMYFUNCTION("""COMPUTED_VALUE"""),"sms")</f>
        <v>sms</v>
      </c>
      <c r="X324" s="232" t="str">
        <f>IFERROR(__xludf.DUMMYFUNCTION("""COMPUTED_VALUE"""),"Category Movers")</f>
        <v>Category Movers</v>
      </c>
      <c r="Y324" s="232" t="str">
        <f>IFERROR(__xludf.DUMMYFUNCTION("""COMPUTED_VALUE"""),"16th - 19th April")</f>
        <v>16th - 19th April</v>
      </c>
      <c r="Z324" s="232" t="str">
        <f>IFERROR(__xludf.DUMMYFUNCTION("""COMPUTED_VALUE"""),"69e0763b2ab86096989ab84d")</f>
        <v>69e0763b2ab86096989ab84d</v>
      </c>
      <c r="AA324" s="277">
        <f>IFERROR(__xludf.DUMMYFUNCTION("""COMPUTED_VALUE"""),15.0)</f>
        <v>15</v>
      </c>
      <c r="AB324" s="277">
        <f>IFERROR(__xludf.DUMMYFUNCTION("""COMPUTED_VALUE"""),15.0)</f>
        <v>15</v>
      </c>
      <c r="AC324" s="277"/>
      <c r="AD324" s="277">
        <f>IFERROR(__xludf.DUMMYFUNCTION("""COMPUTED_VALUE"""),58044.0)</f>
        <v>58044</v>
      </c>
      <c r="AE324" s="277">
        <f>IFERROR(__xludf.DUMMYFUNCTION("""COMPUTED_VALUE"""),58044.0)</f>
        <v>58044</v>
      </c>
      <c r="AF324" s="277"/>
      <c r="AG324" s="208"/>
      <c r="AH324" s="208"/>
      <c r="AI324" s="208"/>
      <c r="AJ324" s="208"/>
      <c r="AK324" s="208"/>
    </row>
    <row r="325">
      <c r="A325" s="273">
        <f>IFERROR(__xludf.DUMMYFUNCTION("""COMPUTED_VALUE"""),46142.0)</f>
        <v>46142</v>
      </c>
      <c r="B325" s="274">
        <f>IFERROR(__xludf.DUMMYFUNCTION("""COMPUTED_VALUE"""),0.6666666666678793)</f>
        <v>0.6666666667</v>
      </c>
      <c r="C325" s="208" t="str">
        <f>IFERROR(__xludf.DUMMYFUNCTION("""COMPUTED_VALUE"""),"Whatsapp")</f>
        <v>Whatsapp</v>
      </c>
      <c r="D325" s="208" t="str">
        <f>IFERROR(__xludf.DUMMYFUNCTION("""COMPUTED_VALUE"""),"Fallback campaign")</f>
        <v>Fallback campaign</v>
      </c>
      <c r="E325" s="208" t="str">
        <f>IFERROR(__xludf.DUMMYFUNCTION("""COMPUTED_VALUE"""),"VS")</f>
        <v>VS</v>
      </c>
      <c r="F325" s="208" t="str">
        <f>IFERROR(__xludf.DUMMYFUNCTION("""COMPUTED_VALUE"""),"Stores TILI - May 2026 - Mist &amp; Lotions @999")</f>
        <v>Stores TILI - May 2026 - Mist &amp; Lotions @999</v>
      </c>
      <c r="G325" s="208" t="str">
        <f>IFERROR(__xludf.DUMMYFUNCTION("""COMPUTED_VALUE"""),"Stores TILI - TILI_CX_RCS (FB)")</f>
        <v>Stores TILI - TILI_CX_RCS (FB)</v>
      </c>
      <c r="H325" s="208" t="str">
        <f>IFERROR(__xludf.DUMMYFUNCTION("""COMPUTED_VALUE"""),"VS_OFF_Tili_Event_Buyers_23_04_26")</f>
        <v>VS_OFF_Tili_Event_Buyers_23_04_26</v>
      </c>
      <c r="I325" s="233" t="str">
        <f>IFERROR(__xludf.DUMMYFUNCTION("""COMPUTED_VALUE"""),"RCS Undelivered")</f>
        <v>RCS Undelivered</v>
      </c>
      <c r="J325" s="275">
        <f>IFERROR(__xludf.DUMMYFUNCTION("""COMPUTED_VALUE"""),5857.0)</f>
        <v>5857</v>
      </c>
      <c r="K325" s="275">
        <f>IFERROR(__xludf.DUMMYFUNCTION("""COMPUTED_VALUE"""),3600.0)</f>
        <v>3600</v>
      </c>
      <c r="L325" s="276">
        <f>IFERROR(__xludf.DUMMYFUNCTION("""COMPUTED_VALUE"""),0.6146)</f>
        <v>0.6146</v>
      </c>
      <c r="M325" s="275">
        <f>IFERROR(__xludf.DUMMYFUNCTION("""COMPUTED_VALUE"""),949.0)</f>
        <v>949</v>
      </c>
      <c r="N325" s="276">
        <f>IFERROR(__xludf.DUMMYFUNCTION("""COMPUTED_VALUE"""),0.2636)</f>
        <v>0.2636</v>
      </c>
      <c r="O325" s="208">
        <f>IFERROR(__xludf.DUMMYFUNCTION("""COMPUTED_VALUE"""),0.0)</f>
        <v>0</v>
      </c>
      <c r="P325" s="208">
        <f>IFERROR(__xludf.DUMMYFUNCTION("""COMPUTED_VALUE"""),0.0)</f>
        <v>0</v>
      </c>
      <c r="Q325" s="276">
        <f>IFERROR(__xludf.DUMMYFUNCTION("""COMPUTED_VALUE"""),0.0)</f>
        <v>0</v>
      </c>
      <c r="R325" s="276">
        <f>IFERROR(__xludf.DUMMYFUNCTION("""COMPUTED_VALUE"""),0.0)</f>
        <v>0</v>
      </c>
      <c r="S325" s="208">
        <f>IFERROR(__xludf.DUMMYFUNCTION("""COMPUTED_VALUE"""),0.0)</f>
        <v>0</v>
      </c>
      <c r="T325" s="208">
        <f>IFERROR(__xludf.DUMMYFUNCTION("""COMPUTED_VALUE"""),1.0)</f>
        <v>1</v>
      </c>
      <c r="U325" s="275">
        <f>IFERROR(__xludf.DUMMYFUNCTION("""COMPUTED_VALUE"""),0.0)</f>
        <v>0</v>
      </c>
      <c r="V325" s="208" t="str">
        <f>IFERROR(__xludf.DUMMYFUNCTION("""COMPUTED_VALUE"""),"offline")</f>
        <v>offline</v>
      </c>
      <c r="W325" s="232" t="str">
        <f>IFERROR(__xludf.DUMMYFUNCTION("""COMPUTED_VALUE"""),"simple")</f>
        <v>simple</v>
      </c>
      <c r="X325" s="232" t="str">
        <f>IFERROR(__xludf.DUMMYFUNCTION("""COMPUTED_VALUE"""),"Event Buyers")</f>
        <v>Event Buyers</v>
      </c>
      <c r="Y325" s="232" t="str">
        <f>IFERROR(__xludf.DUMMYFUNCTION("""COMPUTED_VALUE"""),"1st - 3rd May 2026")</f>
        <v>1st - 3rd May 2026</v>
      </c>
      <c r="Z325" s="232" t="str">
        <f>IFERROR(__xludf.DUMMYFUNCTION("""COMPUTED_VALUE"""),"69f03f5ed3285ab8067c12d4")</f>
        <v>69f03f5ed3285ab8067c12d4</v>
      </c>
      <c r="AA325" s="277">
        <f>IFERROR(__xludf.DUMMYFUNCTION("""COMPUTED_VALUE"""),60.0)</f>
        <v>60</v>
      </c>
      <c r="AB325" s="277"/>
      <c r="AC325" s="277">
        <f>IFERROR(__xludf.DUMMYFUNCTION("""COMPUTED_VALUE"""),60.0)</f>
        <v>60</v>
      </c>
      <c r="AD325" s="277">
        <f>IFERROR(__xludf.DUMMYFUNCTION("""COMPUTED_VALUE"""),309816.0)</f>
        <v>309816</v>
      </c>
      <c r="AE325" s="277"/>
      <c r="AF325" s="277">
        <f>IFERROR(__xludf.DUMMYFUNCTION("""COMPUTED_VALUE"""),309816.0)</f>
        <v>309816</v>
      </c>
      <c r="AG325" s="208"/>
      <c r="AH325" s="208"/>
      <c r="AI325" s="208"/>
      <c r="AJ325" s="208"/>
      <c r="AK325" s="208"/>
    </row>
    <row r="326">
      <c r="A326" s="273">
        <f>IFERROR(__xludf.DUMMYFUNCTION("""COMPUTED_VALUE"""),46142.0)</f>
        <v>46142</v>
      </c>
      <c r="B326" s="274">
        <f>IFERROR(__xludf.DUMMYFUNCTION("""COMPUTED_VALUE"""),0.6701388888905058)</f>
        <v>0.6701388889</v>
      </c>
      <c r="C326" s="208" t="str">
        <f>IFERROR(__xludf.DUMMYFUNCTION("""COMPUTED_VALUE"""),"Whatsapp")</f>
        <v>Whatsapp</v>
      </c>
      <c r="D326" s="208" t="str">
        <f>IFERROR(__xludf.DUMMYFUNCTION("""COMPUTED_VALUE"""),"Fallback campaign")</f>
        <v>Fallback campaign</v>
      </c>
      <c r="E326" s="208" t="str">
        <f>IFERROR(__xludf.DUMMYFUNCTION("""COMPUTED_VALUE"""),"VS")</f>
        <v>VS</v>
      </c>
      <c r="F326" s="208" t="str">
        <f>IFERROR(__xludf.DUMMYFUNCTION("""COMPUTED_VALUE"""),"Stores TILI - May 2026 - Mist &amp; Lotions @999")</f>
        <v>Stores TILI - May 2026 - Mist &amp; Lotions @999</v>
      </c>
      <c r="G326" s="208" t="str">
        <f>IFERROR(__xludf.DUMMYFUNCTION("""COMPUTED_VALUE"""),"Stores TILI - Category_CX (FD)")</f>
        <v>Stores TILI - Category_CX (FD)</v>
      </c>
      <c r="H326" s="208" t="str">
        <f>IFERROR(__xludf.DUMMYFUNCTION("""COMPUTED_VALUE"""),"VS_OFF_Mist_Lotion_2_Time")</f>
        <v>VS_OFF_Mist_Lotion_2_Time</v>
      </c>
      <c r="I326" s="233" t="str">
        <f>IFERROR(__xludf.DUMMYFUNCTION("""COMPUTED_VALUE"""),"RCS Undelivered")</f>
        <v>RCS Undelivered</v>
      </c>
      <c r="J326" s="275">
        <f>IFERROR(__xludf.DUMMYFUNCTION("""COMPUTED_VALUE"""),5605.0)</f>
        <v>5605</v>
      </c>
      <c r="K326" s="275">
        <f>IFERROR(__xludf.DUMMYFUNCTION("""COMPUTED_VALUE"""),3440.0)</f>
        <v>3440</v>
      </c>
      <c r="L326" s="276">
        <f>IFERROR(__xludf.DUMMYFUNCTION("""COMPUTED_VALUE"""),0.6137)</f>
        <v>0.6137</v>
      </c>
      <c r="M326" s="275">
        <f>IFERROR(__xludf.DUMMYFUNCTION("""COMPUTED_VALUE"""),888.0)</f>
        <v>888</v>
      </c>
      <c r="N326" s="276">
        <f>IFERROR(__xludf.DUMMYFUNCTION("""COMPUTED_VALUE"""),0.2581)</f>
        <v>0.2581</v>
      </c>
      <c r="O326" s="208">
        <f>IFERROR(__xludf.DUMMYFUNCTION("""COMPUTED_VALUE"""),0.0)</f>
        <v>0</v>
      </c>
      <c r="P326" s="208">
        <f>IFERROR(__xludf.DUMMYFUNCTION("""COMPUTED_VALUE"""),0.0)</f>
        <v>0</v>
      </c>
      <c r="Q326" s="276">
        <f>IFERROR(__xludf.DUMMYFUNCTION("""COMPUTED_VALUE"""),0.0)</f>
        <v>0</v>
      </c>
      <c r="R326" s="276">
        <f>IFERROR(__xludf.DUMMYFUNCTION("""COMPUTED_VALUE"""),0.0)</f>
        <v>0</v>
      </c>
      <c r="S326" s="208">
        <f>IFERROR(__xludf.DUMMYFUNCTION("""COMPUTED_VALUE"""),1.0)</f>
        <v>1</v>
      </c>
      <c r="T326" s="208">
        <f>IFERROR(__xludf.DUMMYFUNCTION("""COMPUTED_VALUE"""),2.0)</f>
        <v>2</v>
      </c>
      <c r="U326" s="275">
        <f>IFERROR(__xludf.DUMMYFUNCTION("""COMPUTED_VALUE"""),18926.0)</f>
        <v>18926</v>
      </c>
      <c r="V326" s="208" t="str">
        <f>IFERROR(__xludf.DUMMYFUNCTION("""COMPUTED_VALUE"""),"offline")</f>
        <v>offline</v>
      </c>
      <c r="W326" s="232" t="str">
        <f>IFERROR(__xludf.DUMMYFUNCTION("""COMPUTED_VALUE"""),"simple")</f>
        <v>simple</v>
      </c>
      <c r="X326" s="232" t="str">
        <f>IFERROR(__xludf.DUMMYFUNCTION("""COMPUTED_VALUE"""),"Category Buyers")</f>
        <v>Category Buyers</v>
      </c>
      <c r="Y326" s="232" t="str">
        <f>IFERROR(__xludf.DUMMYFUNCTION("""COMPUTED_VALUE"""),"1st - 3rd May 2026")</f>
        <v>1st - 3rd May 2026</v>
      </c>
      <c r="Z326" s="232" t="str">
        <f>IFERROR(__xludf.DUMMYFUNCTION("""COMPUTED_VALUE"""),"69f04028dba029849b364b60")</f>
        <v>69f04028dba029849b364b60</v>
      </c>
      <c r="AA326" s="277">
        <f>IFERROR(__xludf.DUMMYFUNCTION("""COMPUTED_VALUE"""),52.0)</f>
        <v>52</v>
      </c>
      <c r="AB326" s="277"/>
      <c r="AC326" s="277">
        <f>IFERROR(__xludf.DUMMYFUNCTION("""COMPUTED_VALUE"""),52.0)</f>
        <v>52</v>
      </c>
      <c r="AD326" s="277">
        <f>IFERROR(__xludf.DUMMYFUNCTION("""COMPUTED_VALUE"""),433129.0)</f>
        <v>433129</v>
      </c>
      <c r="AE326" s="277"/>
      <c r="AF326" s="277">
        <f>IFERROR(__xludf.DUMMYFUNCTION("""COMPUTED_VALUE"""),433129.0)</f>
        <v>433129</v>
      </c>
      <c r="AG326" s="208"/>
      <c r="AH326" s="208"/>
      <c r="AI326" s="208"/>
      <c r="AJ326" s="208"/>
      <c r="AK326" s="208"/>
    </row>
    <row r="327">
      <c r="A327" s="273">
        <f>IFERROR(__xludf.DUMMYFUNCTION("""COMPUTED_VALUE"""),46142.0)</f>
        <v>46142</v>
      </c>
      <c r="B327" s="274">
        <f>IFERROR(__xludf.DUMMYFUNCTION("""COMPUTED_VALUE"""),0.6736111111094942)</f>
        <v>0.6736111111</v>
      </c>
      <c r="C327" s="208" t="str">
        <f>IFERROR(__xludf.DUMMYFUNCTION("""COMPUTED_VALUE"""),"Whatsapp")</f>
        <v>Whatsapp</v>
      </c>
      <c r="D327" s="208" t="str">
        <f>IFERROR(__xludf.DUMMYFUNCTION("""COMPUTED_VALUE"""),"Fallback campaign")</f>
        <v>Fallback campaign</v>
      </c>
      <c r="E327" s="208" t="str">
        <f>IFERROR(__xludf.DUMMYFUNCTION("""COMPUTED_VALUE"""),"VS")</f>
        <v>VS</v>
      </c>
      <c r="F327" s="208" t="str">
        <f>IFERROR(__xludf.DUMMYFUNCTION("""COMPUTED_VALUE"""),"Stores TILI - May 2026 - Mist &amp; Lotions @999")</f>
        <v>Stores TILI - May 2026 - Mist &amp; Lotions @999</v>
      </c>
      <c r="G327" s="208" t="str">
        <f>IFERROR(__xludf.DUMMYFUNCTION("""COMPUTED_VALUE"""),"Stores TILI - Low_ATV_CX (FB)")</f>
        <v>Stores TILI - Low_ATV_CX (FB)</v>
      </c>
      <c r="H327" s="208" t="str">
        <f>IFERROR(__xludf.DUMMYFUNCTION("""COMPUTED_VALUE"""),"VS_OFF_Predom_Below_1000")</f>
        <v>VS_OFF_Predom_Below_1000</v>
      </c>
      <c r="I327" s="233" t="str">
        <f>IFERROR(__xludf.DUMMYFUNCTION("""COMPUTED_VALUE"""),"RCS Undelivered")</f>
        <v>RCS Undelivered</v>
      </c>
      <c r="J327" s="275">
        <f>IFERROR(__xludf.DUMMYFUNCTION("""COMPUTED_VALUE"""),18683.0)</f>
        <v>18683</v>
      </c>
      <c r="K327" s="275">
        <f>IFERROR(__xludf.DUMMYFUNCTION("""COMPUTED_VALUE"""),11860.0)</f>
        <v>11860</v>
      </c>
      <c r="L327" s="276">
        <f>IFERROR(__xludf.DUMMYFUNCTION("""COMPUTED_VALUE"""),0.6347)</f>
        <v>0.6347</v>
      </c>
      <c r="M327" s="275">
        <f>IFERROR(__xludf.DUMMYFUNCTION("""COMPUTED_VALUE"""),2966.0)</f>
        <v>2966</v>
      </c>
      <c r="N327" s="276">
        <f>IFERROR(__xludf.DUMMYFUNCTION("""COMPUTED_VALUE"""),0.2501)</f>
        <v>0.2501</v>
      </c>
      <c r="O327" s="208">
        <f>IFERROR(__xludf.DUMMYFUNCTION("""COMPUTED_VALUE"""),0.0)</f>
        <v>0</v>
      </c>
      <c r="P327" s="208">
        <f>IFERROR(__xludf.DUMMYFUNCTION("""COMPUTED_VALUE"""),0.0)</f>
        <v>0</v>
      </c>
      <c r="Q327" s="276">
        <f>IFERROR(__xludf.DUMMYFUNCTION("""COMPUTED_VALUE"""),0.0)</f>
        <v>0</v>
      </c>
      <c r="R327" s="276">
        <f>IFERROR(__xludf.DUMMYFUNCTION("""COMPUTED_VALUE"""),0.0)</f>
        <v>0</v>
      </c>
      <c r="S327" s="208">
        <f>IFERROR(__xludf.DUMMYFUNCTION("""COMPUTED_VALUE"""),2.0)</f>
        <v>2</v>
      </c>
      <c r="T327" s="208">
        <f>IFERROR(__xludf.DUMMYFUNCTION("""COMPUTED_VALUE"""),4.0)</f>
        <v>4</v>
      </c>
      <c r="U327" s="275">
        <f>IFERROR(__xludf.DUMMYFUNCTION("""COMPUTED_VALUE"""),2099.0)</f>
        <v>2099</v>
      </c>
      <c r="V327" s="208" t="str">
        <f>IFERROR(__xludf.DUMMYFUNCTION("""COMPUTED_VALUE"""),"offline")</f>
        <v>offline</v>
      </c>
      <c r="W327" s="232" t="str">
        <f>IFERROR(__xludf.DUMMYFUNCTION("""COMPUTED_VALUE"""),"simple")</f>
        <v>simple</v>
      </c>
      <c r="X327" s="232" t="str">
        <f>IFERROR(__xludf.DUMMYFUNCTION("""COMPUTED_VALUE"""),"Cart Value")</f>
        <v>Cart Value</v>
      </c>
      <c r="Y327" s="232" t="str">
        <f>IFERROR(__xludf.DUMMYFUNCTION("""COMPUTED_VALUE"""),"1st - 3rd May 2026")</f>
        <v>1st - 3rd May 2026</v>
      </c>
      <c r="Z327" s="232" t="str">
        <f>IFERROR(__xludf.DUMMYFUNCTION("""COMPUTED_VALUE"""),"69f0405f5e57515ea104ca3f")</f>
        <v>69f0405f5e57515ea104ca3f</v>
      </c>
      <c r="AA327" s="277">
        <f>IFERROR(__xludf.DUMMYFUNCTION("""COMPUTED_VALUE"""),50.0)</f>
        <v>50</v>
      </c>
      <c r="AB327" s="277"/>
      <c r="AC327" s="277">
        <f>IFERROR(__xludf.DUMMYFUNCTION("""COMPUTED_VALUE"""),50.0)</f>
        <v>50</v>
      </c>
      <c r="AD327" s="277">
        <f>IFERROR(__xludf.DUMMYFUNCTION("""COMPUTED_VALUE"""),115245.0)</f>
        <v>115245</v>
      </c>
      <c r="AE327" s="277"/>
      <c r="AF327" s="277">
        <f>IFERROR(__xludf.DUMMYFUNCTION("""COMPUTED_VALUE"""),115245.0)</f>
        <v>115245</v>
      </c>
      <c r="AG327" s="208"/>
      <c r="AH327" s="208"/>
      <c r="AI327" s="208"/>
      <c r="AJ327" s="208"/>
      <c r="AK327" s="208"/>
    </row>
    <row r="328">
      <c r="A328" s="273">
        <f>IFERROR(__xludf.DUMMYFUNCTION("""COMPUTED_VALUE"""),46142.0)</f>
        <v>46142</v>
      </c>
      <c r="B328" s="274">
        <f>IFERROR(__xludf.DUMMYFUNCTION("""COMPUTED_VALUE"""),0.6770833333321207)</f>
        <v>0.6770833333</v>
      </c>
      <c r="C328" s="208" t="str">
        <f>IFERROR(__xludf.DUMMYFUNCTION("""COMPUTED_VALUE"""),"Whatsapp")</f>
        <v>Whatsapp</v>
      </c>
      <c r="D328" s="208" t="str">
        <f>IFERROR(__xludf.DUMMYFUNCTION("""COMPUTED_VALUE"""),"Fallback campaign")</f>
        <v>Fallback campaign</v>
      </c>
      <c r="E328" s="208" t="str">
        <f>IFERROR(__xludf.DUMMYFUNCTION("""COMPUTED_VALUE"""),"VS")</f>
        <v>VS</v>
      </c>
      <c r="F328" s="208" t="str">
        <f>IFERROR(__xludf.DUMMYFUNCTION("""COMPUTED_VALUE"""),"Stores TILI - May 2026 - Mist &amp; Lotions @999")</f>
        <v>Stores TILI - May 2026 - Mist &amp; Lotions @999</v>
      </c>
      <c r="G328" s="208" t="str">
        <f>IFERROR(__xludf.DUMMYFUNCTION("""COMPUTED_VALUE"""),"Stores TILI - Repeat_CX (FB)")</f>
        <v>Stores TILI - Repeat_CX (FB)</v>
      </c>
      <c r="H328" s="208" t="str">
        <f>IFERROR(__xludf.DUMMYFUNCTION("""COMPUTED_VALUE"""),"VS_OFF_Repeat_TILI_23_04_26")</f>
        <v>VS_OFF_Repeat_TILI_23_04_26</v>
      </c>
      <c r="I328" s="233" t="str">
        <f>IFERROR(__xludf.DUMMYFUNCTION("""COMPUTED_VALUE"""),"RCS Undelivered")</f>
        <v>RCS Undelivered</v>
      </c>
      <c r="J328" s="275">
        <f>IFERROR(__xludf.DUMMYFUNCTION("""COMPUTED_VALUE"""),29515.0)</f>
        <v>29515</v>
      </c>
      <c r="K328" s="275">
        <f>IFERROR(__xludf.DUMMYFUNCTION("""COMPUTED_VALUE"""),15796.0)</f>
        <v>15796</v>
      </c>
      <c r="L328" s="276">
        <f>IFERROR(__xludf.DUMMYFUNCTION("""COMPUTED_VALUE"""),0.5352)</f>
        <v>0.5352</v>
      </c>
      <c r="M328" s="275">
        <f>IFERROR(__xludf.DUMMYFUNCTION("""COMPUTED_VALUE"""),3456.0)</f>
        <v>3456</v>
      </c>
      <c r="N328" s="276">
        <f>IFERROR(__xludf.DUMMYFUNCTION("""COMPUTED_VALUE"""),0.2188)</f>
        <v>0.2188</v>
      </c>
      <c r="O328" s="208">
        <f>IFERROR(__xludf.DUMMYFUNCTION("""COMPUTED_VALUE"""),0.0)</f>
        <v>0</v>
      </c>
      <c r="P328" s="208">
        <f>IFERROR(__xludf.DUMMYFUNCTION("""COMPUTED_VALUE"""),0.0)</f>
        <v>0</v>
      </c>
      <c r="Q328" s="276">
        <f>IFERROR(__xludf.DUMMYFUNCTION("""COMPUTED_VALUE"""),0.0)</f>
        <v>0</v>
      </c>
      <c r="R328" s="276">
        <f>IFERROR(__xludf.DUMMYFUNCTION("""COMPUTED_VALUE"""),0.0)</f>
        <v>0</v>
      </c>
      <c r="S328" s="208">
        <f>IFERROR(__xludf.DUMMYFUNCTION("""COMPUTED_VALUE"""),6.0)</f>
        <v>6</v>
      </c>
      <c r="T328" s="208">
        <f>IFERROR(__xludf.DUMMYFUNCTION("""COMPUTED_VALUE"""),9.0)</f>
        <v>9</v>
      </c>
      <c r="U328" s="275">
        <f>IFERROR(__xludf.DUMMYFUNCTION("""COMPUTED_VALUE"""),46660.0)</f>
        <v>46660</v>
      </c>
      <c r="V328" s="208" t="str">
        <f>IFERROR(__xludf.DUMMYFUNCTION("""COMPUTED_VALUE"""),"offline")</f>
        <v>offline</v>
      </c>
      <c r="W328" s="232" t="str">
        <f>IFERROR(__xludf.DUMMYFUNCTION("""COMPUTED_VALUE"""),"simple")</f>
        <v>simple</v>
      </c>
      <c r="X328" s="232" t="str">
        <f>IFERROR(__xludf.DUMMYFUNCTION("""COMPUTED_VALUE"""),"Repeat")</f>
        <v>Repeat</v>
      </c>
      <c r="Y328" s="232" t="str">
        <f>IFERROR(__xludf.DUMMYFUNCTION("""COMPUTED_VALUE"""),"1st - 3rd May 2026")</f>
        <v>1st - 3rd May 2026</v>
      </c>
      <c r="Z328" s="232" t="str">
        <f>IFERROR(__xludf.DUMMYFUNCTION("""COMPUTED_VALUE"""),"69f0410e8a07cf0776e4902a")</f>
        <v>69f0410e8a07cf0776e4902a</v>
      </c>
      <c r="AA328" s="277">
        <f>IFERROR(__xludf.DUMMYFUNCTION("""COMPUTED_VALUE"""),103.0)</f>
        <v>103</v>
      </c>
      <c r="AB328" s="277"/>
      <c r="AC328" s="277">
        <f>IFERROR(__xludf.DUMMYFUNCTION("""COMPUTED_VALUE"""),103.0)</f>
        <v>103</v>
      </c>
      <c r="AD328" s="277">
        <f>IFERROR(__xludf.DUMMYFUNCTION("""COMPUTED_VALUE"""),1113769.0)</f>
        <v>1113769</v>
      </c>
      <c r="AE328" s="277"/>
      <c r="AF328" s="277">
        <f>IFERROR(__xludf.DUMMYFUNCTION("""COMPUTED_VALUE"""),1113769.0)</f>
        <v>1113769</v>
      </c>
      <c r="AG328" s="208"/>
      <c r="AH328" s="208"/>
      <c r="AI328" s="208"/>
      <c r="AJ328" s="208"/>
      <c r="AK328" s="208"/>
    </row>
    <row r="329">
      <c r="A329" s="273">
        <f>IFERROR(__xludf.DUMMYFUNCTION("""COMPUTED_VALUE"""),46142.0)</f>
        <v>46142</v>
      </c>
      <c r="B329" s="274">
        <f>IFERROR(__xludf.DUMMYFUNCTION("""COMPUTED_VALUE"""),0.6805555555547471)</f>
        <v>0.6805555556</v>
      </c>
      <c r="C329" s="208" t="str">
        <f>IFERROR(__xludf.DUMMYFUNCTION("""COMPUTED_VALUE"""),"Whatsapp")</f>
        <v>Whatsapp</v>
      </c>
      <c r="D329" s="208" t="str">
        <f>IFERROR(__xludf.DUMMYFUNCTION("""COMPUTED_VALUE"""),"Fallback campaign")</f>
        <v>Fallback campaign</v>
      </c>
      <c r="E329" s="208" t="str">
        <f>IFERROR(__xludf.DUMMYFUNCTION("""COMPUTED_VALUE"""),"VS")</f>
        <v>VS</v>
      </c>
      <c r="F329" s="208" t="str">
        <f>IFERROR(__xludf.DUMMYFUNCTION("""COMPUTED_VALUE"""),"Stores TILI - May 2026 - Mist &amp; Lotions @999")</f>
        <v>Stores TILI - May 2026 - Mist &amp; Lotions @999</v>
      </c>
      <c r="G329" s="208" t="str">
        <f>IFERROR(__xludf.DUMMYFUNCTION("""COMPUTED_VALUE"""),"Stores TILI - Dorm_CX_365D (FB)")</f>
        <v>Stores TILI - Dorm_CX_365D (FB)</v>
      </c>
      <c r="H329" s="208" t="str">
        <f>IFERROR(__xludf.DUMMYFUNCTION("""COMPUTED_VALUE"""),"VS_OFF_1_Time_365D_TILI_23_04_26")</f>
        <v>VS_OFF_1_Time_365D_TILI_23_04_26</v>
      </c>
      <c r="I329" s="233" t="str">
        <f>IFERROR(__xludf.DUMMYFUNCTION("""COMPUTED_VALUE"""),"RCS Undelivered")</f>
        <v>RCS Undelivered</v>
      </c>
      <c r="J329" s="275">
        <f>IFERROR(__xludf.DUMMYFUNCTION("""COMPUTED_VALUE"""),57911.0)</f>
        <v>57911</v>
      </c>
      <c r="K329" s="275">
        <f>IFERROR(__xludf.DUMMYFUNCTION("""COMPUTED_VALUE"""),34607.0)</f>
        <v>34607</v>
      </c>
      <c r="L329" s="276">
        <f>IFERROR(__xludf.DUMMYFUNCTION("""COMPUTED_VALUE"""),0.5976)</f>
        <v>0.5976</v>
      </c>
      <c r="M329" s="275">
        <f>IFERROR(__xludf.DUMMYFUNCTION("""COMPUTED_VALUE"""),9423.0)</f>
        <v>9423</v>
      </c>
      <c r="N329" s="276">
        <f>IFERROR(__xludf.DUMMYFUNCTION("""COMPUTED_VALUE"""),0.2723)</f>
        <v>0.2723</v>
      </c>
      <c r="O329" s="208">
        <f>IFERROR(__xludf.DUMMYFUNCTION("""COMPUTED_VALUE"""),0.0)</f>
        <v>0</v>
      </c>
      <c r="P329" s="208">
        <f>IFERROR(__xludf.DUMMYFUNCTION("""COMPUTED_VALUE"""),0.0)</f>
        <v>0</v>
      </c>
      <c r="Q329" s="276">
        <f>IFERROR(__xludf.DUMMYFUNCTION("""COMPUTED_VALUE"""),0.0)</f>
        <v>0</v>
      </c>
      <c r="R329" s="276">
        <f>IFERROR(__xludf.DUMMYFUNCTION("""COMPUTED_VALUE"""),0.0)</f>
        <v>0</v>
      </c>
      <c r="S329" s="208">
        <f>IFERROR(__xludf.DUMMYFUNCTION("""COMPUTED_VALUE"""),3.0)</f>
        <v>3</v>
      </c>
      <c r="T329" s="208">
        <f>IFERROR(__xludf.DUMMYFUNCTION("""COMPUTED_VALUE"""),13.0)</f>
        <v>13</v>
      </c>
      <c r="U329" s="275">
        <f>IFERROR(__xludf.DUMMYFUNCTION("""COMPUTED_VALUE"""),21235.0)</f>
        <v>21235</v>
      </c>
      <c r="V329" s="208" t="str">
        <f>IFERROR(__xludf.DUMMYFUNCTION("""COMPUTED_VALUE"""),"offline")</f>
        <v>offline</v>
      </c>
      <c r="W329" s="232" t="str">
        <f>IFERROR(__xludf.DUMMYFUNCTION("""COMPUTED_VALUE"""),"simple")</f>
        <v>simple</v>
      </c>
      <c r="X329" s="232" t="str">
        <f>IFERROR(__xludf.DUMMYFUNCTION("""COMPUTED_VALUE"""),"Generic")</f>
        <v>Generic</v>
      </c>
      <c r="Y329" s="232" t="str">
        <f>IFERROR(__xludf.DUMMYFUNCTION("""COMPUTED_VALUE"""),"1st - 3rd May 2026")</f>
        <v>1st - 3rd May 2026</v>
      </c>
      <c r="Z329" s="232" t="str">
        <f>IFERROR(__xludf.DUMMYFUNCTION("""COMPUTED_VALUE"""),"69f04174897908c2425117b7")</f>
        <v>69f04174897908c2425117b7</v>
      </c>
      <c r="AA329" s="277">
        <f>IFERROR(__xludf.DUMMYFUNCTION("""COMPUTED_VALUE"""),122.0)</f>
        <v>122</v>
      </c>
      <c r="AB329" s="277"/>
      <c r="AC329" s="277">
        <f>IFERROR(__xludf.DUMMYFUNCTION("""COMPUTED_VALUE"""),122.0)</f>
        <v>122</v>
      </c>
      <c r="AD329" s="277">
        <f>IFERROR(__xludf.DUMMYFUNCTION("""COMPUTED_VALUE"""),762876.0)</f>
        <v>762876</v>
      </c>
      <c r="AE329" s="277"/>
      <c r="AF329" s="277">
        <f>IFERROR(__xludf.DUMMYFUNCTION("""COMPUTED_VALUE"""),762876.0)</f>
        <v>762876</v>
      </c>
      <c r="AG329" s="208"/>
      <c r="AH329" s="208"/>
      <c r="AI329" s="208"/>
      <c r="AJ329" s="208"/>
      <c r="AK329" s="208"/>
    </row>
    <row r="330">
      <c r="A330" s="273">
        <f>IFERROR(__xludf.DUMMYFUNCTION("""COMPUTED_VALUE"""),46142.0)</f>
        <v>46142</v>
      </c>
      <c r="B330" s="274">
        <f>IFERROR(__xludf.DUMMYFUNCTION("""COMPUTED_VALUE"""),0.6840277777773736)</f>
        <v>0.6840277778</v>
      </c>
      <c r="C330" s="208" t="str">
        <f>IFERROR(__xludf.DUMMYFUNCTION("""COMPUTED_VALUE"""),"Whatsapp")</f>
        <v>Whatsapp</v>
      </c>
      <c r="D330" s="208" t="str">
        <f>IFERROR(__xludf.DUMMYFUNCTION("""COMPUTED_VALUE"""),"Fallback campaign")</f>
        <v>Fallback campaign</v>
      </c>
      <c r="E330" s="208" t="str">
        <f>IFERROR(__xludf.DUMMYFUNCTION("""COMPUTED_VALUE"""),"VS")</f>
        <v>VS</v>
      </c>
      <c r="F330" s="208" t="str">
        <f>IFERROR(__xludf.DUMMYFUNCTION("""COMPUTED_VALUE"""),"Stores TILI - May 2026 - Mist &amp; Lotions @999")</f>
        <v>Stores TILI - May 2026 - Mist &amp; Lotions @999</v>
      </c>
      <c r="G330" s="208" t="str">
        <f>IFERROR(__xludf.DUMMYFUNCTION("""COMPUTED_VALUE"""),"Stores TILI - Dorm_CX_730D (FB)")</f>
        <v>Stores TILI - Dorm_CX_730D (FB)</v>
      </c>
      <c r="H330" s="208" t="str">
        <f>IFERROR(__xludf.DUMMYFUNCTION("""COMPUTED_VALUE"""),"VS_OFF_1_Time_730D_TILI_23_04_26")</f>
        <v>VS_OFF_1_Time_730D_TILI_23_04_26</v>
      </c>
      <c r="I330" s="233" t="str">
        <f>IFERROR(__xludf.DUMMYFUNCTION("""COMPUTED_VALUE"""),"RCS Undelivered")</f>
        <v>RCS Undelivered</v>
      </c>
      <c r="J330" s="275">
        <f>IFERROR(__xludf.DUMMYFUNCTION("""COMPUTED_VALUE"""),39132.0)</f>
        <v>39132</v>
      </c>
      <c r="K330" s="275">
        <f>IFERROR(__xludf.DUMMYFUNCTION("""COMPUTED_VALUE"""),20854.0)</f>
        <v>20854</v>
      </c>
      <c r="L330" s="276">
        <f>IFERROR(__xludf.DUMMYFUNCTION("""COMPUTED_VALUE"""),0.5328)</f>
        <v>0.5328</v>
      </c>
      <c r="M330" s="275">
        <f>IFERROR(__xludf.DUMMYFUNCTION("""COMPUTED_VALUE"""),4881.0)</f>
        <v>4881</v>
      </c>
      <c r="N330" s="276">
        <f>IFERROR(__xludf.DUMMYFUNCTION("""COMPUTED_VALUE"""),0.2341)</f>
        <v>0.2341</v>
      </c>
      <c r="O330" s="208">
        <f>IFERROR(__xludf.DUMMYFUNCTION("""COMPUTED_VALUE"""),0.0)</f>
        <v>0</v>
      </c>
      <c r="P330" s="208">
        <f>IFERROR(__xludf.DUMMYFUNCTION("""COMPUTED_VALUE"""),0.0)</f>
        <v>0</v>
      </c>
      <c r="Q330" s="276">
        <f>IFERROR(__xludf.DUMMYFUNCTION("""COMPUTED_VALUE"""),0.0)</f>
        <v>0</v>
      </c>
      <c r="R330" s="276">
        <f>IFERROR(__xludf.DUMMYFUNCTION("""COMPUTED_VALUE"""),0.0)</f>
        <v>0</v>
      </c>
      <c r="S330" s="208">
        <f>IFERROR(__xludf.DUMMYFUNCTION("""COMPUTED_VALUE"""),2.0)</f>
        <v>2</v>
      </c>
      <c r="T330" s="208">
        <f>IFERROR(__xludf.DUMMYFUNCTION("""COMPUTED_VALUE"""),7.0)</f>
        <v>7</v>
      </c>
      <c r="U330" s="275">
        <f>IFERROR(__xludf.DUMMYFUNCTION("""COMPUTED_VALUE"""),21788.0)</f>
        <v>21788</v>
      </c>
      <c r="V330" s="208" t="str">
        <f>IFERROR(__xludf.DUMMYFUNCTION("""COMPUTED_VALUE"""),"offline")</f>
        <v>offline</v>
      </c>
      <c r="W330" s="232" t="str">
        <f>IFERROR(__xludf.DUMMYFUNCTION("""COMPUTED_VALUE"""),"simple")</f>
        <v>simple</v>
      </c>
      <c r="X330" s="232" t="str">
        <f>IFERROR(__xludf.DUMMYFUNCTION("""COMPUTED_VALUE"""),"Churned")</f>
        <v>Churned</v>
      </c>
      <c r="Y330" s="232" t="str">
        <f>IFERROR(__xludf.DUMMYFUNCTION("""COMPUTED_VALUE"""),"1st - 3rd May 2026")</f>
        <v>1st - 3rd May 2026</v>
      </c>
      <c r="Z330" s="232" t="str">
        <f>IFERROR(__xludf.DUMMYFUNCTION("""COMPUTED_VALUE"""),"69f04204e9adfd2696947620")</f>
        <v>69f04204e9adfd2696947620</v>
      </c>
      <c r="AA330" s="277">
        <f>IFERROR(__xludf.DUMMYFUNCTION("""COMPUTED_VALUE"""),43.0)</f>
        <v>43</v>
      </c>
      <c r="AB330" s="277"/>
      <c r="AC330" s="277">
        <f>IFERROR(__xludf.DUMMYFUNCTION("""COMPUTED_VALUE"""),43.0)</f>
        <v>43</v>
      </c>
      <c r="AD330" s="277">
        <f>IFERROR(__xludf.DUMMYFUNCTION("""COMPUTED_VALUE"""),275212.0)</f>
        <v>275212</v>
      </c>
      <c r="AE330" s="277"/>
      <c r="AF330" s="277">
        <f>IFERROR(__xludf.DUMMYFUNCTION("""COMPUTED_VALUE"""),275212.0)</f>
        <v>275212</v>
      </c>
      <c r="AG330" s="208"/>
      <c r="AH330" s="208"/>
      <c r="AI330" s="208"/>
      <c r="AJ330" s="208"/>
      <c r="AK330" s="208"/>
    </row>
    <row r="331">
      <c r="A331" s="273">
        <f>IFERROR(__xludf.DUMMYFUNCTION("""COMPUTED_VALUE"""),46142.0)</f>
        <v>46142</v>
      </c>
      <c r="B331" s="274">
        <f>IFERROR(__xludf.DUMMYFUNCTION("""COMPUTED_VALUE"""),0.6875)</f>
        <v>0.6875</v>
      </c>
      <c r="C331" s="208" t="str">
        <f>IFERROR(__xludf.DUMMYFUNCTION("""COMPUTED_VALUE"""),"Whatsapp")</f>
        <v>Whatsapp</v>
      </c>
      <c r="D331" s="208" t="str">
        <f>IFERROR(__xludf.DUMMYFUNCTION("""COMPUTED_VALUE"""),"Fallback campaign")</f>
        <v>Fallback campaign</v>
      </c>
      <c r="E331" s="208" t="str">
        <f>IFERROR(__xludf.DUMMYFUNCTION("""COMPUTED_VALUE"""),"VS")</f>
        <v>VS</v>
      </c>
      <c r="F331" s="208" t="str">
        <f>IFERROR(__xludf.DUMMYFUNCTION("""COMPUTED_VALUE"""),"Stores TILI - May 2026 - Mist &amp; Lotions @999")</f>
        <v>Stores TILI - May 2026 - Mist &amp; Lotions @999</v>
      </c>
      <c r="G331" s="208" t="str">
        <f>IFERROR(__xludf.DUMMYFUNCTION("""COMPUTED_VALUE"""),"Stores TILI - Dorm_CX_1095D (FB)")</f>
        <v>Stores TILI - Dorm_CX_1095D (FB)</v>
      </c>
      <c r="H331" s="208" t="str">
        <f>IFERROR(__xludf.DUMMYFUNCTION("""COMPUTED_VALUE"""),"VS_OFF_1_Time_1095D_TILI_23_04_26")</f>
        <v>VS_OFF_1_Time_1095D_TILI_23_04_26</v>
      </c>
      <c r="I331" s="233" t="str">
        <f>IFERROR(__xludf.DUMMYFUNCTION("""COMPUTED_VALUE"""),"RCS Undelivered")</f>
        <v>RCS Undelivered</v>
      </c>
      <c r="J331" s="275">
        <f>IFERROR(__xludf.DUMMYFUNCTION("""COMPUTED_VALUE"""),6522.0)</f>
        <v>6522</v>
      </c>
      <c r="K331" s="275">
        <f>IFERROR(__xludf.DUMMYFUNCTION("""COMPUTED_VALUE"""),3333.0)</f>
        <v>3333</v>
      </c>
      <c r="L331" s="276">
        <f>IFERROR(__xludf.DUMMYFUNCTION("""COMPUTED_VALUE"""),0.511)</f>
        <v>0.511</v>
      </c>
      <c r="M331" s="275">
        <f>IFERROR(__xludf.DUMMYFUNCTION("""COMPUTED_VALUE"""),726.0)</f>
        <v>726</v>
      </c>
      <c r="N331" s="276">
        <f>IFERROR(__xludf.DUMMYFUNCTION("""COMPUTED_VALUE"""),0.2178)</f>
        <v>0.2178</v>
      </c>
      <c r="O331" s="208">
        <f>IFERROR(__xludf.DUMMYFUNCTION("""COMPUTED_VALUE"""),0.0)</f>
        <v>0</v>
      </c>
      <c r="P331" s="208">
        <f>IFERROR(__xludf.DUMMYFUNCTION("""COMPUTED_VALUE"""),0.0)</f>
        <v>0</v>
      </c>
      <c r="Q331" s="276">
        <f>IFERROR(__xludf.DUMMYFUNCTION("""COMPUTED_VALUE"""),0.0)</f>
        <v>0</v>
      </c>
      <c r="R331" s="276">
        <f>IFERROR(__xludf.DUMMYFUNCTION("""COMPUTED_VALUE"""),0.0)</f>
        <v>0</v>
      </c>
      <c r="S331" s="208">
        <f>IFERROR(__xludf.DUMMYFUNCTION("""COMPUTED_VALUE"""),1.0)</f>
        <v>1</v>
      </c>
      <c r="T331" s="208">
        <f>IFERROR(__xludf.DUMMYFUNCTION("""COMPUTED_VALUE"""),3.0)</f>
        <v>3</v>
      </c>
      <c r="U331" s="275">
        <f>IFERROR(__xludf.DUMMYFUNCTION("""COMPUTED_VALUE"""),4002.0)</f>
        <v>4002</v>
      </c>
      <c r="V331" s="208" t="str">
        <f>IFERROR(__xludf.DUMMYFUNCTION("""COMPUTED_VALUE"""),"offline")</f>
        <v>offline</v>
      </c>
      <c r="W331" s="232" t="str">
        <f>IFERROR(__xludf.DUMMYFUNCTION("""COMPUTED_VALUE"""),"simple")</f>
        <v>simple</v>
      </c>
      <c r="X331" s="232" t="str">
        <f>IFERROR(__xludf.DUMMYFUNCTION("""COMPUTED_VALUE"""),"Churned")</f>
        <v>Churned</v>
      </c>
      <c r="Y331" s="232" t="str">
        <f>IFERROR(__xludf.DUMMYFUNCTION("""COMPUTED_VALUE"""),"1st - 3rd May 2026")</f>
        <v>1st - 3rd May 2026</v>
      </c>
      <c r="Z331" s="232" t="str">
        <f>IFERROR(__xludf.DUMMYFUNCTION("""COMPUTED_VALUE"""),"69f042a041992b46dce0a5e6")</f>
        <v>69f042a041992b46dce0a5e6</v>
      </c>
      <c r="AA331" s="277">
        <f>IFERROR(__xludf.DUMMYFUNCTION("""COMPUTED_VALUE"""),1.0)</f>
        <v>1</v>
      </c>
      <c r="AB331" s="277"/>
      <c r="AC331" s="277">
        <f>IFERROR(__xludf.DUMMYFUNCTION("""COMPUTED_VALUE"""),1.0)</f>
        <v>1</v>
      </c>
      <c r="AD331" s="277">
        <f>IFERROR(__xludf.DUMMYFUNCTION("""COMPUTED_VALUE"""),8999.0)</f>
        <v>8999</v>
      </c>
      <c r="AE331" s="277"/>
      <c r="AF331" s="277">
        <f>IFERROR(__xludf.DUMMYFUNCTION("""COMPUTED_VALUE"""),8999.0)</f>
        <v>8999</v>
      </c>
      <c r="AG331" s="208"/>
      <c r="AH331" s="208"/>
      <c r="AI331" s="208"/>
      <c r="AJ331" s="208"/>
      <c r="AK331" s="208"/>
    </row>
    <row r="332">
      <c r="A332" s="273">
        <f>IFERROR(__xludf.DUMMYFUNCTION("""COMPUTED_VALUE"""),46142.0)</f>
        <v>46142</v>
      </c>
      <c r="B332" s="274">
        <f>IFERROR(__xludf.DUMMYFUNCTION("""COMPUTED_VALUE"""),0.75)</f>
        <v>0.75</v>
      </c>
      <c r="C332" s="208" t="str">
        <f>IFERROR(__xludf.DUMMYFUNCTION("""COMPUTED_VALUE"""),"Sms")</f>
        <v>Sms</v>
      </c>
      <c r="D332" s="208" t="str">
        <f>IFERROR(__xludf.DUMMYFUNCTION("""COMPUTED_VALUE"""),"Fallback campaign")</f>
        <v>Fallback campaign</v>
      </c>
      <c r="E332" s="208" t="str">
        <f>IFERROR(__xludf.DUMMYFUNCTION("""COMPUTED_VALUE"""),"VS")</f>
        <v>VS</v>
      </c>
      <c r="F332" s="208" t="str">
        <f>IFERROR(__xludf.DUMMYFUNCTION("""COMPUTED_VALUE"""),"Stores TILI - May 2026 - Mist &amp; Lotions at ₹999")</f>
        <v>Stores TILI - May 2026 - Mist &amp; Lotions at ₹999</v>
      </c>
      <c r="G332" s="208" t="str">
        <f>IFERROR(__xludf.DUMMYFUNCTION("""COMPUTED_VALUE"""),"Stores TILI - TILI_CX_RCS (WA FB)")</f>
        <v>Stores TILI - TILI_CX_RCS (WA FB)</v>
      </c>
      <c r="H332" s="208" t="str">
        <f>IFERROR(__xludf.DUMMYFUNCTION("""COMPUTED_VALUE"""),"VS_OFF_Tili_Event_Buyers_23_04_26")</f>
        <v>VS_OFF_Tili_Event_Buyers_23_04_26</v>
      </c>
      <c r="I332" s="233" t="str">
        <f>IFERROR(__xludf.DUMMYFUNCTION("""COMPUTED_VALUE"""),"WA Undelivered")</f>
        <v>WA Undelivered</v>
      </c>
      <c r="J332" s="275">
        <f>IFERROR(__xludf.DUMMYFUNCTION("""COMPUTED_VALUE"""),1993.0)</f>
        <v>1993</v>
      </c>
      <c r="K332" s="275">
        <f>IFERROR(__xludf.DUMMYFUNCTION("""COMPUTED_VALUE"""),1242.0)</f>
        <v>1242</v>
      </c>
      <c r="L332" s="276">
        <f>IFERROR(__xludf.DUMMYFUNCTION("""COMPUTED_VALUE"""),0.6232)</f>
        <v>0.6232</v>
      </c>
      <c r="M332" s="275">
        <f>IFERROR(__xludf.DUMMYFUNCTION("""COMPUTED_VALUE"""),0.0)</f>
        <v>0</v>
      </c>
      <c r="N332" s="276">
        <f>IFERROR(__xludf.DUMMYFUNCTION("""COMPUTED_VALUE"""),0.0)</f>
        <v>0</v>
      </c>
      <c r="O332" s="208">
        <f>IFERROR(__xludf.DUMMYFUNCTION("""COMPUTED_VALUE"""),0.0)</f>
        <v>0</v>
      </c>
      <c r="P332" s="208">
        <f>IFERROR(__xludf.DUMMYFUNCTION("""COMPUTED_VALUE"""),0.0)</f>
        <v>0</v>
      </c>
      <c r="Q332" s="276">
        <f>IFERROR(__xludf.DUMMYFUNCTION("""COMPUTED_VALUE"""),0.0)</f>
        <v>0</v>
      </c>
      <c r="R332" s="276">
        <f>IFERROR(__xludf.DUMMYFUNCTION("""COMPUTED_VALUE"""),0.0)</f>
        <v>0</v>
      </c>
      <c r="S332" s="208">
        <f>IFERROR(__xludf.DUMMYFUNCTION("""COMPUTED_VALUE"""),0.0)</f>
        <v>0</v>
      </c>
      <c r="T332" s="208">
        <f>IFERROR(__xludf.DUMMYFUNCTION("""COMPUTED_VALUE"""),0.0)</f>
        <v>0</v>
      </c>
      <c r="U332" s="275">
        <f>IFERROR(__xludf.DUMMYFUNCTION("""COMPUTED_VALUE"""),0.0)</f>
        <v>0</v>
      </c>
      <c r="V332" s="208" t="str">
        <f>IFERROR(__xludf.DUMMYFUNCTION("""COMPUTED_VALUE"""),"offline")</f>
        <v>offline</v>
      </c>
      <c r="W332" s="232" t="str">
        <f>IFERROR(__xludf.DUMMYFUNCTION("""COMPUTED_VALUE"""),"sms")</f>
        <v>sms</v>
      </c>
      <c r="X332" s="232" t="str">
        <f>IFERROR(__xludf.DUMMYFUNCTION("""COMPUTED_VALUE"""),"Event Buyers")</f>
        <v>Event Buyers</v>
      </c>
      <c r="Y332" s="232" t="str">
        <f>IFERROR(__xludf.DUMMYFUNCTION("""COMPUTED_VALUE"""),"1st - 3rd May 2026")</f>
        <v>1st - 3rd May 2026</v>
      </c>
      <c r="Z332" s="232" t="str">
        <f>IFERROR(__xludf.DUMMYFUNCTION("""COMPUTED_VALUE"""),"69f045940ea7f8e77c1b4773")</f>
        <v>69f045940ea7f8e77c1b4773</v>
      </c>
      <c r="AA332" s="277">
        <f>IFERROR(__xludf.DUMMYFUNCTION("""COMPUTED_VALUE"""),8.0)</f>
        <v>8</v>
      </c>
      <c r="AB332" s="277"/>
      <c r="AC332" s="277">
        <f>IFERROR(__xludf.DUMMYFUNCTION("""COMPUTED_VALUE"""),8.0)</f>
        <v>8</v>
      </c>
      <c r="AD332" s="277">
        <f>IFERROR(__xludf.DUMMYFUNCTION("""COMPUTED_VALUE"""),42693.0)</f>
        <v>42693</v>
      </c>
      <c r="AE332" s="277"/>
      <c r="AF332" s="277">
        <f>IFERROR(__xludf.DUMMYFUNCTION("""COMPUTED_VALUE"""),42693.0)</f>
        <v>42693</v>
      </c>
      <c r="AG332" s="208"/>
      <c r="AH332" s="208"/>
      <c r="AI332" s="208"/>
      <c r="AJ332" s="208"/>
      <c r="AK332" s="208"/>
    </row>
    <row r="333">
      <c r="A333" s="273">
        <f>IFERROR(__xludf.DUMMYFUNCTION("""COMPUTED_VALUE"""),46142.0)</f>
        <v>46142</v>
      </c>
      <c r="B333" s="274">
        <f>IFERROR(__xludf.DUMMYFUNCTION("""COMPUTED_VALUE"""),0.75)</f>
        <v>0.75</v>
      </c>
      <c r="C333" s="208" t="str">
        <f>IFERROR(__xludf.DUMMYFUNCTION("""COMPUTED_VALUE"""),"Sms")</f>
        <v>Sms</v>
      </c>
      <c r="D333" s="208" t="str">
        <f>IFERROR(__xludf.DUMMYFUNCTION("""COMPUTED_VALUE"""),"Fallback campaign")</f>
        <v>Fallback campaign</v>
      </c>
      <c r="E333" s="208" t="str">
        <f>IFERROR(__xludf.DUMMYFUNCTION("""COMPUTED_VALUE"""),"VS")</f>
        <v>VS</v>
      </c>
      <c r="F333" s="208" t="str">
        <f>IFERROR(__xludf.DUMMYFUNCTION("""COMPUTED_VALUE"""),"Stores TILI - May 2026 - Mist &amp; Lotions at ₹999")</f>
        <v>Stores TILI - May 2026 - Mist &amp; Lotions at ₹999</v>
      </c>
      <c r="G333" s="208" t="str">
        <f>IFERROR(__xludf.DUMMYFUNCTION("""COMPUTED_VALUE"""),"Stores TILI - Category_CX (WA FD)")</f>
        <v>Stores TILI - Category_CX (WA FD)</v>
      </c>
      <c r="H333" s="208" t="str">
        <f>IFERROR(__xludf.DUMMYFUNCTION("""COMPUTED_VALUE"""),"VS_OFF_Mist_Lotion_2_Time")</f>
        <v>VS_OFF_Mist_Lotion_2_Time</v>
      </c>
      <c r="I333" s="233" t="str">
        <f>IFERROR(__xludf.DUMMYFUNCTION("""COMPUTED_VALUE"""),"WA Undelivered")</f>
        <v>WA Undelivered</v>
      </c>
      <c r="J333" s="275">
        <f>IFERROR(__xludf.DUMMYFUNCTION("""COMPUTED_VALUE"""),1934.0)</f>
        <v>1934</v>
      </c>
      <c r="K333" s="275">
        <f>IFERROR(__xludf.DUMMYFUNCTION("""COMPUTED_VALUE"""),1192.0)</f>
        <v>1192</v>
      </c>
      <c r="L333" s="276">
        <f>IFERROR(__xludf.DUMMYFUNCTION("""COMPUTED_VALUE"""),0.6163)</f>
        <v>0.6163</v>
      </c>
      <c r="M333" s="275">
        <f>IFERROR(__xludf.DUMMYFUNCTION("""COMPUTED_VALUE"""),0.0)</f>
        <v>0</v>
      </c>
      <c r="N333" s="276">
        <f>IFERROR(__xludf.DUMMYFUNCTION("""COMPUTED_VALUE"""),0.0)</f>
        <v>0</v>
      </c>
      <c r="O333" s="208">
        <f>IFERROR(__xludf.DUMMYFUNCTION("""COMPUTED_VALUE"""),0.0)</f>
        <v>0</v>
      </c>
      <c r="P333" s="208">
        <f>IFERROR(__xludf.DUMMYFUNCTION("""COMPUTED_VALUE"""),0.0)</f>
        <v>0</v>
      </c>
      <c r="Q333" s="276">
        <f>IFERROR(__xludf.DUMMYFUNCTION("""COMPUTED_VALUE"""),0.0)</f>
        <v>0</v>
      </c>
      <c r="R333" s="276">
        <f>IFERROR(__xludf.DUMMYFUNCTION("""COMPUTED_VALUE"""),0.0)</f>
        <v>0</v>
      </c>
      <c r="S333" s="208">
        <f>IFERROR(__xludf.DUMMYFUNCTION("""COMPUTED_VALUE"""),0.0)</f>
        <v>0</v>
      </c>
      <c r="T333" s="208">
        <f>IFERROR(__xludf.DUMMYFUNCTION("""COMPUTED_VALUE"""),3.0)</f>
        <v>3</v>
      </c>
      <c r="U333" s="275">
        <f>IFERROR(__xludf.DUMMYFUNCTION("""COMPUTED_VALUE"""),0.0)</f>
        <v>0</v>
      </c>
      <c r="V333" s="208" t="str">
        <f>IFERROR(__xludf.DUMMYFUNCTION("""COMPUTED_VALUE"""),"offline")</f>
        <v>offline</v>
      </c>
      <c r="W333" s="232" t="str">
        <f>IFERROR(__xludf.DUMMYFUNCTION("""COMPUTED_VALUE"""),"sms")</f>
        <v>sms</v>
      </c>
      <c r="X333" s="232" t="str">
        <f>IFERROR(__xludf.DUMMYFUNCTION("""COMPUTED_VALUE"""),"Category Buyers")</f>
        <v>Category Buyers</v>
      </c>
      <c r="Y333" s="232" t="str">
        <f>IFERROR(__xludf.DUMMYFUNCTION("""COMPUTED_VALUE"""),"1st - 3rd May 2026")</f>
        <v>1st - 3rd May 2026</v>
      </c>
      <c r="Z333" s="232" t="str">
        <f>IFERROR(__xludf.DUMMYFUNCTION("""COMPUTED_VALUE"""),"69f04605348e23b71cb9d11f")</f>
        <v>69f04605348e23b71cb9d11f</v>
      </c>
      <c r="AA333" s="277">
        <f>IFERROR(__xludf.DUMMYFUNCTION("""COMPUTED_VALUE"""),17.0)</f>
        <v>17</v>
      </c>
      <c r="AB333" s="277"/>
      <c r="AC333" s="277">
        <f>IFERROR(__xludf.DUMMYFUNCTION("""COMPUTED_VALUE"""),17.0)</f>
        <v>17</v>
      </c>
      <c r="AD333" s="277">
        <f>IFERROR(__xludf.DUMMYFUNCTION("""COMPUTED_VALUE"""),174221.0)</f>
        <v>174221</v>
      </c>
      <c r="AE333" s="277"/>
      <c r="AF333" s="277">
        <f>IFERROR(__xludf.DUMMYFUNCTION("""COMPUTED_VALUE"""),174221.0)</f>
        <v>174221</v>
      </c>
      <c r="AG333" s="208"/>
      <c r="AH333" s="208"/>
      <c r="AI333" s="208"/>
      <c r="AJ333" s="208"/>
      <c r="AK333" s="208"/>
    </row>
    <row r="334">
      <c r="A334" s="273">
        <f>IFERROR(__xludf.DUMMYFUNCTION("""COMPUTED_VALUE"""),46142.0)</f>
        <v>46142</v>
      </c>
      <c r="B334" s="274">
        <f>IFERROR(__xludf.DUMMYFUNCTION("""COMPUTED_VALUE"""),0.75)</f>
        <v>0.75</v>
      </c>
      <c r="C334" s="208" t="str">
        <f>IFERROR(__xludf.DUMMYFUNCTION("""COMPUTED_VALUE"""),"Sms")</f>
        <v>Sms</v>
      </c>
      <c r="D334" s="208" t="str">
        <f>IFERROR(__xludf.DUMMYFUNCTION("""COMPUTED_VALUE"""),"Fallback campaign")</f>
        <v>Fallback campaign</v>
      </c>
      <c r="E334" s="208" t="str">
        <f>IFERROR(__xludf.DUMMYFUNCTION("""COMPUTED_VALUE"""),"VS")</f>
        <v>VS</v>
      </c>
      <c r="F334" s="208" t="str">
        <f>IFERROR(__xludf.DUMMYFUNCTION("""COMPUTED_VALUE"""),"Stores TILI - May 2026 - Mist &amp; Lotions at ₹999")</f>
        <v>Stores TILI - May 2026 - Mist &amp; Lotions at ₹999</v>
      </c>
      <c r="G334" s="208" t="str">
        <f>IFERROR(__xludf.DUMMYFUNCTION("""COMPUTED_VALUE"""),"Stores TILI - Low_ATV_CX (WA FB)")</f>
        <v>Stores TILI - Low_ATV_CX (WA FB)</v>
      </c>
      <c r="H334" s="208" t="str">
        <f>IFERROR(__xludf.DUMMYFUNCTION("""COMPUTED_VALUE"""),"VS_OFF_Predom_Below_1000")</f>
        <v>VS_OFF_Predom_Below_1000</v>
      </c>
      <c r="I334" s="233" t="str">
        <f>IFERROR(__xludf.DUMMYFUNCTION("""COMPUTED_VALUE"""),"WA Undelivered")</f>
        <v>WA Undelivered</v>
      </c>
      <c r="J334" s="275">
        <f>IFERROR(__xludf.DUMMYFUNCTION("""COMPUTED_VALUE"""),6045.0)</f>
        <v>6045</v>
      </c>
      <c r="K334" s="275">
        <f>IFERROR(__xludf.DUMMYFUNCTION("""COMPUTED_VALUE"""),3904.0)</f>
        <v>3904</v>
      </c>
      <c r="L334" s="276">
        <f>IFERROR(__xludf.DUMMYFUNCTION("""COMPUTED_VALUE"""),0.6458)</f>
        <v>0.6458</v>
      </c>
      <c r="M334" s="275">
        <f>IFERROR(__xludf.DUMMYFUNCTION("""COMPUTED_VALUE"""),0.0)</f>
        <v>0</v>
      </c>
      <c r="N334" s="276">
        <f>IFERROR(__xludf.DUMMYFUNCTION("""COMPUTED_VALUE"""),0.0)</f>
        <v>0</v>
      </c>
      <c r="O334" s="208">
        <f>IFERROR(__xludf.DUMMYFUNCTION("""COMPUTED_VALUE"""),0.0)</f>
        <v>0</v>
      </c>
      <c r="P334" s="208">
        <f>IFERROR(__xludf.DUMMYFUNCTION("""COMPUTED_VALUE"""),0.0)</f>
        <v>0</v>
      </c>
      <c r="Q334" s="276">
        <f>IFERROR(__xludf.DUMMYFUNCTION("""COMPUTED_VALUE"""),0.0)</f>
        <v>0</v>
      </c>
      <c r="R334" s="276">
        <f>IFERROR(__xludf.DUMMYFUNCTION("""COMPUTED_VALUE"""),0.0)</f>
        <v>0</v>
      </c>
      <c r="S334" s="208">
        <f>IFERROR(__xludf.DUMMYFUNCTION("""COMPUTED_VALUE"""),1.0)</f>
        <v>1</v>
      </c>
      <c r="T334" s="208">
        <f>IFERROR(__xludf.DUMMYFUNCTION("""COMPUTED_VALUE"""),1.0)</f>
        <v>1</v>
      </c>
      <c r="U334" s="275">
        <f>IFERROR(__xludf.DUMMYFUNCTION("""COMPUTED_VALUE"""),4699.0)</f>
        <v>4699</v>
      </c>
      <c r="V334" s="208" t="str">
        <f>IFERROR(__xludf.DUMMYFUNCTION("""COMPUTED_VALUE"""),"offline")</f>
        <v>offline</v>
      </c>
      <c r="W334" s="232" t="str">
        <f>IFERROR(__xludf.DUMMYFUNCTION("""COMPUTED_VALUE"""),"sms")</f>
        <v>sms</v>
      </c>
      <c r="X334" s="232" t="str">
        <f>IFERROR(__xludf.DUMMYFUNCTION("""COMPUTED_VALUE"""),"Cart Value")</f>
        <v>Cart Value</v>
      </c>
      <c r="Y334" s="232" t="str">
        <f>IFERROR(__xludf.DUMMYFUNCTION("""COMPUTED_VALUE"""),"1st - 3rd May 2026")</f>
        <v>1st - 3rd May 2026</v>
      </c>
      <c r="Z334" s="232" t="str">
        <f>IFERROR(__xludf.DUMMYFUNCTION("""COMPUTED_VALUE"""),"69f046318a07cf0776e49259")</f>
        <v>69f046318a07cf0776e49259</v>
      </c>
      <c r="AA334" s="277">
        <f>IFERROR(__xludf.DUMMYFUNCTION("""COMPUTED_VALUE"""),16.0)</f>
        <v>16</v>
      </c>
      <c r="AB334" s="277"/>
      <c r="AC334" s="277">
        <f>IFERROR(__xludf.DUMMYFUNCTION("""COMPUTED_VALUE"""),16.0)</f>
        <v>16</v>
      </c>
      <c r="AD334" s="277">
        <f>IFERROR(__xludf.DUMMYFUNCTION("""COMPUTED_VALUE"""),34228.0)</f>
        <v>34228</v>
      </c>
      <c r="AE334" s="277"/>
      <c r="AF334" s="277">
        <f>IFERROR(__xludf.DUMMYFUNCTION("""COMPUTED_VALUE"""),34228.0)</f>
        <v>34228</v>
      </c>
      <c r="AG334" s="208"/>
      <c r="AH334" s="208"/>
      <c r="AI334" s="208"/>
      <c r="AJ334" s="208"/>
      <c r="AK334" s="208"/>
    </row>
    <row r="335">
      <c r="A335" s="273">
        <f>IFERROR(__xludf.DUMMYFUNCTION("""COMPUTED_VALUE"""),46142.0)</f>
        <v>46142</v>
      </c>
      <c r="B335" s="274">
        <f>IFERROR(__xludf.DUMMYFUNCTION("""COMPUTED_VALUE"""),0.75)</f>
        <v>0.75</v>
      </c>
      <c r="C335" s="208" t="str">
        <f>IFERROR(__xludf.DUMMYFUNCTION("""COMPUTED_VALUE"""),"Sms")</f>
        <v>Sms</v>
      </c>
      <c r="D335" s="208" t="str">
        <f>IFERROR(__xludf.DUMMYFUNCTION("""COMPUTED_VALUE"""),"Fallback campaign")</f>
        <v>Fallback campaign</v>
      </c>
      <c r="E335" s="208" t="str">
        <f>IFERROR(__xludf.DUMMYFUNCTION("""COMPUTED_VALUE"""),"VS")</f>
        <v>VS</v>
      </c>
      <c r="F335" s="208" t="str">
        <f>IFERROR(__xludf.DUMMYFUNCTION("""COMPUTED_VALUE"""),"Stores TILI - May 2026 - Mist &amp; Lotions at ₹999")</f>
        <v>Stores TILI - May 2026 - Mist &amp; Lotions at ₹999</v>
      </c>
      <c r="G335" s="208" t="str">
        <f>IFERROR(__xludf.DUMMYFUNCTION("""COMPUTED_VALUE"""),"Stores TILI - Repeat_CX (WA FB)")</f>
        <v>Stores TILI - Repeat_CX (WA FB)</v>
      </c>
      <c r="H335" s="208" t="str">
        <f>IFERROR(__xludf.DUMMYFUNCTION("""COMPUTED_VALUE"""),"VS_OFF_Repeat_TILI_23_04_26")</f>
        <v>VS_OFF_Repeat_TILI_23_04_26</v>
      </c>
      <c r="I335" s="233" t="str">
        <f>IFERROR(__xludf.DUMMYFUNCTION("""COMPUTED_VALUE"""),"WA Undelivered")</f>
        <v>WA Undelivered</v>
      </c>
      <c r="J335" s="275">
        <f>IFERROR(__xludf.DUMMYFUNCTION("""COMPUTED_VALUE"""),11711.0)</f>
        <v>11711</v>
      </c>
      <c r="K335" s="275">
        <f>IFERROR(__xludf.DUMMYFUNCTION("""COMPUTED_VALUE"""),6166.0)</f>
        <v>6166</v>
      </c>
      <c r="L335" s="276">
        <f>IFERROR(__xludf.DUMMYFUNCTION("""COMPUTED_VALUE"""),0.5265)</f>
        <v>0.5265</v>
      </c>
      <c r="M335" s="275">
        <f>IFERROR(__xludf.DUMMYFUNCTION("""COMPUTED_VALUE"""),0.0)</f>
        <v>0</v>
      </c>
      <c r="N335" s="276">
        <f>IFERROR(__xludf.DUMMYFUNCTION("""COMPUTED_VALUE"""),0.0)</f>
        <v>0</v>
      </c>
      <c r="O335" s="208">
        <f>IFERROR(__xludf.DUMMYFUNCTION("""COMPUTED_VALUE"""),0.0)</f>
        <v>0</v>
      </c>
      <c r="P335" s="208">
        <f>IFERROR(__xludf.DUMMYFUNCTION("""COMPUTED_VALUE"""),0.0)</f>
        <v>0</v>
      </c>
      <c r="Q335" s="276">
        <f>IFERROR(__xludf.DUMMYFUNCTION("""COMPUTED_VALUE"""),0.0)</f>
        <v>0</v>
      </c>
      <c r="R335" s="276">
        <f>IFERROR(__xludf.DUMMYFUNCTION("""COMPUTED_VALUE"""),0.0)</f>
        <v>0</v>
      </c>
      <c r="S335" s="208">
        <f>IFERROR(__xludf.DUMMYFUNCTION("""COMPUTED_VALUE"""),1.0)</f>
        <v>1</v>
      </c>
      <c r="T335" s="208">
        <f>IFERROR(__xludf.DUMMYFUNCTION("""COMPUTED_VALUE"""),5.0)</f>
        <v>5</v>
      </c>
      <c r="U335" s="275">
        <f>IFERROR(__xludf.DUMMYFUNCTION("""COMPUTED_VALUE"""),8909.0)</f>
        <v>8909</v>
      </c>
      <c r="V335" s="208" t="str">
        <f>IFERROR(__xludf.DUMMYFUNCTION("""COMPUTED_VALUE"""),"offline")</f>
        <v>offline</v>
      </c>
      <c r="W335" s="232" t="str">
        <f>IFERROR(__xludf.DUMMYFUNCTION("""COMPUTED_VALUE"""),"sms")</f>
        <v>sms</v>
      </c>
      <c r="X335" s="232" t="str">
        <f>IFERROR(__xludf.DUMMYFUNCTION("""COMPUTED_VALUE"""),"Repeat")</f>
        <v>Repeat</v>
      </c>
      <c r="Y335" s="232" t="str">
        <f>IFERROR(__xludf.DUMMYFUNCTION("""COMPUTED_VALUE"""),"1st - 3rd May 2026")</f>
        <v>1st - 3rd May 2026</v>
      </c>
      <c r="Z335" s="232" t="str">
        <f>IFERROR(__xludf.DUMMYFUNCTION("""COMPUTED_VALUE"""),"69f046660da9f08da13cd836")</f>
        <v>69f046660da9f08da13cd836</v>
      </c>
      <c r="AA335" s="277">
        <f>IFERROR(__xludf.DUMMYFUNCTION("""COMPUTED_VALUE"""),62.0)</f>
        <v>62</v>
      </c>
      <c r="AB335" s="277"/>
      <c r="AC335" s="277">
        <f>IFERROR(__xludf.DUMMYFUNCTION("""COMPUTED_VALUE"""),62.0)</f>
        <v>62</v>
      </c>
      <c r="AD335" s="277">
        <f>IFERROR(__xludf.DUMMYFUNCTION("""COMPUTED_VALUE"""),664229.0)</f>
        <v>664229</v>
      </c>
      <c r="AE335" s="277"/>
      <c r="AF335" s="277">
        <f>IFERROR(__xludf.DUMMYFUNCTION("""COMPUTED_VALUE"""),664229.0)</f>
        <v>664229</v>
      </c>
      <c r="AG335" s="208"/>
      <c r="AH335" s="208"/>
      <c r="AI335" s="208"/>
      <c r="AJ335" s="208"/>
      <c r="AK335" s="208"/>
    </row>
    <row r="336">
      <c r="A336" s="273">
        <f>IFERROR(__xludf.DUMMYFUNCTION("""COMPUTED_VALUE"""),46142.0)</f>
        <v>46142</v>
      </c>
      <c r="B336" s="274">
        <f>IFERROR(__xludf.DUMMYFUNCTION("""COMPUTED_VALUE"""),0.75)</f>
        <v>0.75</v>
      </c>
      <c r="C336" s="208" t="str">
        <f>IFERROR(__xludf.DUMMYFUNCTION("""COMPUTED_VALUE"""),"Sms")</f>
        <v>Sms</v>
      </c>
      <c r="D336" s="208" t="str">
        <f>IFERROR(__xludf.DUMMYFUNCTION("""COMPUTED_VALUE"""),"Fallback campaign")</f>
        <v>Fallback campaign</v>
      </c>
      <c r="E336" s="208" t="str">
        <f>IFERROR(__xludf.DUMMYFUNCTION("""COMPUTED_VALUE"""),"VS")</f>
        <v>VS</v>
      </c>
      <c r="F336" s="208" t="str">
        <f>IFERROR(__xludf.DUMMYFUNCTION("""COMPUTED_VALUE"""),"Stores TILI - May 2026 - Mist &amp; Lotions at ₹999")</f>
        <v>Stores TILI - May 2026 - Mist &amp; Lotions at ₹999</v>
      </c>
      <c r="G336" s="208" t="str">
        <f>IFERROR(__xludf.DUMMYFUNCTION("""COMPUTED_VALUE"""),"Stores TILI - Dorm_CX_365D (WA FB)")</f>
        <v>Stores TILI - Dorm_CX_365D (WA FB)</v>
      </c>
      <c r="H336" s="208" t="str">
        <f>IFERROR(__xludf.DUMMYFUNCTION("""COMPUTED_VALUE"""),"VS_OFF_1_Time_365D_TILI_23_04_26")</f>
        <v>VS_OFF_1_Time_365D_TILI_23_04_26</v>
      </c>
      <c r="I336" s="233" t="str">
        <f>IFERROR(__xludf.DUMMYFUNCTION("""COMPUTED_VALUE"""),"WA Undelivered")</f>
        <v>WA Undelivered</v>
      </c>
      <c r="J336" s="275">
        <f>IFERROR(__xludf.DUMMYFUNCTION("""COMPUTED_VALUE"""),21112.0)</f>
        <v>21112</v>
      </c>
      <c r="K336" s="275">
        <f>IFERROR(__xludf.DUMMYFUNCTION("""COMPUTED_VALUE"""),12581.0)</f>
        <v>12581</v>
      </c>
      <c r="L336" s="276">
        <f>IFERROR(__xludf.DUMMYFUNCTION("""COMPUTED_VALUE"""),0.5959)</f>
        <v>0.5959</v>
      </c>
      <c r="M336" s="275">
        <f>IFERROR(__xludf.DUMMYFUNCTION("""COMPUTED_VALUE"""),0.0)</f>
        <v>0</v>
      </c>
      <c r="N336" s="276">
        <f>IFERROR(__xludf.DUMMYFUNCTION("""COMPUTED_VALUE"""),0.0)</f>
        <v>0</v>
      </c>
      <c r="O336" s="208">
        <f>IFERROR(__xludf.DUMMYFUNCTION("""COMPUTED_VALUE"""),0.0)</f>
        <v>0</v>
      </c>
      <c r="P336" s="208">
        <f>IFERROR(__xludf.DUMMYFUNCTION("""COMPUTED_VALUE"""),0.0)</f>
        <v>0</v>
      </c>
      <c r="Q336" s="276">
        <f>IFERROR(__xludf.DUMMYFUNCTION("""COMPUTED_VALUE"""),0.0)</f>
        <v>0</v>
      </c>
      <c r="R336" s="276">
        <f>IFERROR(__xludf.DUMMYFUNCTION("""COMPUTED_VALUE"""),0.0)</f>
        <v>0</v>
      </c>
      <c r="S336" s="208">
        <f>IFERROR(__xludf.DUMMYFUNCTION("""COMPUTED_VALUE"""),1.0)</f>
        <v>1</v>
      </c>
      <c r="T336" s="208">
        <f>IFERROR(__xludf.DUMMYFUNCTION("""COMPUTED_VALUE"""),5.0)</f>
        <v>5</v>
      </c>
      <c r="U336" s="275">
        <f>IFERROR(__xludf.DUMMYFUNCTION("""COMPUTED_VALUE"""),9614.0)</f>
        <v>9614</v>
      </c>
      <c r="V336" s="208" t="str">
        <f>IFERROR(__xludf.DUMMYFUNCTION("""COMPUTED_VALUE"""),"offline")</f>
        <v>offline</v>
      </c>
      <c r="W336" s="232" t="str">
        <f>IFERROR(__xludf.DUMMYFUNCTION("""COMPUTED_VALUE"""),"sms")</f>
        <v>sms</v>
      </c>
      <c r="X336" s="232" t="str">
        <f>IFERROR(__xludf.DUMMYFUNCTION("""COMPUTED_VALUE"""),"Generic")</f>
        <v>Generic</v>
      </c>
      <c r="Y336" s="232" t="str">
        <f>IFERROR(__xludf.DUMMYFUNCTION("""COMPUTED_VALUE"""),"1st - 3rd May 2026")</f>
        <v>1st - 3rd May 2026</v>
      </c>
      <c r="Z336" s="232" t="str">
        <f>IFERROR(__xludf.DUMMYFUNCTION("""COMPUTED_VALUE"""),"69f0469d0da9f08da13cd841")</f>
        <v>69f0469d0da9f08da13cd841</v>
      </c>
      <c r="AA336" s="277">
        <f>IFERROR(__xludf.DUMMYFUNCTION("""COMPUTED_VALUE"""),33.0)</f>
        <v>33</v>
      </c>
      <c r="AB336" s="277"/>
      <c r="AC336" s="277">
        <f>IFERROR(__xludf.DUMMYFUNCTION("""COMPUTED_VALUE"""),33.0)</f>
        <v>33</v>
      </c>
      <c r="AD336" s="277">
        <f>IFERROR(__xludf.DUMMYFUNCTION("""COMPUTED_VALUE"""),223002.0)</f>
        <v>223002</v>
      </c>
      <c r="AE336" s="277"/>
      <c r="AF336" s="277">
        <f>IFERROR(__xludf.DUMMYFUNCTION("""COMPUTED_VALUE"""),223002.0)</f>
        <v>223002</v>
      </c>
      <c r="AG336" s="208"/>
      <c r="AH336" s="208"/>
      <c r="AI336" s="208"/>
      <c r="AJ336" s="208"/>
      <c r="AK336" s="208"/>
    </row>
    <row r="337">
      <c r="A337" s="273">
        <f>IFERROR(__xludf.DUMMYFUNCTION("""COMPUTED_VALUE"""),46142.0)</f>
        <v>46142</v>
      </c>
      <c r="B337" s="274">
        <f>IFERROR(__xludf.DUMMYFUNCTION("""COMPUTED_VALUE"""),0.75)</f>
        <v>0.75</v>
      </c>
      <c r="C337" s="208" t="str">
        <f>IFERROR(__xludf.DUMMYFUNCTION("""COMPUTED_VALUE"""),"Sms")</f>
        <v>Sms</v>
      </c>
      <c r="D337" s="208" t="str">
        <f>IFERROR(__xludf.DUMMYFUNCTION("""COMPUTED_VALUE"""),"Fallback campaign")</f>
        <v>Fallback campaign</v>
      </c>
      <c r="E337" s="208" t="str">
        <f>IFERROR(__xludf.DUMMYFUNCTION("""COMPUTED_VALUE"""),"VS")</f>
        <v>VS</v>
      </c>
      <c r="F337" s="208" t="str">
        <f>IFERROR(__xludf.DUMMYFUNCTION("""COMPUTED_VALUE"""),"Stores TILI - May 2026 - Mist &amp; Lotions at ₹999")</f>
        <v>Stores TILI - May 2026 - Mist &amp; Lotions at ₹999</v>
      </c>
      <c r="G337" s="208" t="str">
        <f>IFERROR(__xludf.DUMMYFUNCTION("""COMPUTED_VALUE"""),"Stores TILI - Dorm_CX_730D (WA FB)")</f>
        <v>Stores TILI - Dorm_CX_730D (WA FB)</v>
      </c>
      <c r="H337" s="208" t="str">
        <f>IFERROR(__xludf.DUMMYFUNCTION("""COMPUTED_VALUE"""),"VS_OFF_1_Time_730D_TILI_23_04_26")</f>
        <v>VS_OFF_1_Time_730D_TILI_23_04_26</v>
      </c>
      <c r="I337" s="233" t="str">
        <f>IFERROR(__xludf.DUMMYFUNCTION("""COMPUTED_VALUE"""),"WA Undelivered")</f>
        <v>WA Undelivered</v>
      </c>
      <c r="J337" s="275">
        <f>IFERROR(__xludf.DUMMYFUNCTION("""COMPUTED_VALUE"""),16172.0)</f>
        <v>16172</v>
      </c>
      <c r="K337" s="275">
        <f>IFERROR(__xludf.DUMMYFUNCTION("""COMPUTED_VALUE"""),8963.0)</f>
        <v>8963</v>
      </c>
      <c r="L337" s="276">
        <f>IFERROR(__xludf.DUMMYFUNCTION("""COMPUTED_VALUE"""),0.5542)</f>
        <v>0.5542</v>
      </c>
      <c r="M337" s="275">
        <f>IFERROR(__xludf.DUMMYFUNCTION("""COMPUTED_VALUE"""),0.0)</f>
        <v>0</v>
      </c>
      <c r="N337" s="276">
        <f>IFERROR(__xludf.DUMMYFUNCTION("""COMPUTED_VALUE"""),0.0)</f>
        <v>0</v>
      </c>
      <c r="O337" s="208">
        <f>IFERROR(__xludf.DUMMYFUNCTION("""COMPUTED_VALUE"""),0.0)</f>
        <v>0</v>
      </c>
      <c r="P337" s="208">
        <f>IFERROR(__xludf.DUMMYFUNCTION("""COMPUTED_VALUE"""),0.0)</f>
        <v>0</v>
      </c>
      <c r="Q337" s="276">
        <f>IFERROR(__xludf.DUMMYFUNCTION("""COMPUTED_VALUE"""),0.0)</f>
        <v>0</v>
      </c>
      <c r="R337" s="276">
        <f>IFERROR(__xludf.DUMMYFUNCTION("""COMPUTED_VALUE"""),0.0)</f>
        <v>0</v>
      </c>
      <c r="S337" s="208">
        <f>IFERROR(__xludf.DUMMYFUNCTION("""COMPUTED_VALUE"""),1.0)</f>
        <v>1</v>
      </c>
      <c r="T337" s="208">
        <f>IFERROR(__xludf.DUMMYFUNCTION("""COMPUTED_VALUE"""),3.0)</f>
        <v>3</v>
      </c>
      <c r="U337" s="275">
        <f>IFERROR(__xludf.DUMMYFUNCTION("""COMPUTED_VALUE"""),7420.0)</f>
        <v>7420</v>
      </c>
      <c r="V337" s="208" t="str">
        <f>IFERROR(__xludf.DUMMYFUNCTION("""COMPUTED_VALUE"""),"offline")</f>
        <v>offline</v>
      </c>
      <c r="W337" s="232" t="str">
        <f>IFERROR(__xludf.DUMMYFUNCTION("""COMPUTED_VALUE"""),"sms")</f>
        <v>sms</v>
      </c>
      <c r="X337" s="232" t="str">
        <f>IFERROR(__xludf.DUMMYFUNCTION("""COMPUTED_VALUE"""),"Churned")</f>
        <v>Churned</v>
      </c>
      <c r="Y337" s="232" t="str">
        <f>IFERROR(__xludf.DUMMYFUNCTION("""COMPUTED_VALUE"""),"1st - 3rd May 2026")</f>
        <v>1st - 3rd May 2026</v>
      </c>
      <c r="Z337" s="232" t="str">
        <f>IFERROR(__xludf.DUMMYFUNCTION("""COMPUTED_VALUE"""),"69f046c4dba029849b364e0d")</f>
        <v>69f046c4dba029849b364e0d</v>
      </c>
      <c r="AA337" s="277">
        <f>IFERROR(__xludf.DUMMYFUNCTION("""COMPUTED_VALUE"""),26.0)</f>
        <v>26</v>
      </c>
      <c r="AB337" s="277"/>
      <c r="AC337" s="277">
        <f>IFERROR(__xludf.DUMMYFUNCTION("""COMPUTED_VALUE"""),26.0)</f>
        <v>26</v>
      </c>
      <c r="AD337" s="277">
        <f>IFERROR(__xludf.DUMMYFUNCTION("""COMPUTED_VALUE"""),140730.0)</f>
        <v>140730</v>
      </c>
      <c r="AE337" s="277"/>
      <c r="AF337" s="277">
        <f>IFERROR(__xludf.DUMMYFUNCTION("""COMPUTED_VALUE"""),140730.0)</f>
        <v>140730</v>
      </c>
      <c r="AG337" s="208"/>
      <c r="AH337" s="208"/>
      <c r="AI337" s="208"/>
      <c r="AJ337" s="208"/>
      <c r="AK337" s="208"/>
    </row>
    <row r="338">
      <c r="A338" s="273">
        <f>IFERROR(__xludf.DUMMYFUNCTION("""COMPUTED_VALUE"""),46142.0)</f>
        <v>46142</v>
      </c>
      <c r="B338" s="274">
        <f>IFERROR(__xludf.DUMMYFUNCTION("""COMPUTED_VALUE"""),0.75)</f>
        <v>0.75</v>
      </c>
      <c r="C338" s="208" t="str">
        <f>IFERROR(__xludf.DUMMYFUNCTION("""COMPUTED_VALUE"""),"Sms")</f>
        <v>Sms</v>
      </c>
      <c r="D338" s="208" t="str">
        <f>IFERROR(__xludf.DUMMYFUNCTION("""COMPUTED_VALUE"""),"Fallback campaign")</f>
        <v>Fallback campaign</v>
      </c>
      <c r="E338" s="208" t="str">
        <f>IFERROR(__xludf.DUMMYFUNCTION("""COMPUTED_VALUE"""),"VS")</f>
        <v>VS</v>
      </c>
      <c r="F338" s="208" t="str">
        <f>IFERROR(__xludf.DUMMYFUNCTION("""COMPUTED_VALUE"""),"Stores TILI - May 2026 - Mist &amp; Lotions at ₹999")</f>
        <v>Stores TILI - May 2026 - Mist &amp; Lotions at ₹999</v>
      </c>
      <c r="G338" s="208" t="str">
        <f>IFERROR(__xludf.DUMMYFUNCTION("""COMPUTED_VALUE"""),"Stores TILI - Dorm_CX_1095D (WA FB)")</f>
        <v>Stores TILI - Dorm_CX_1095D (WA FB)</v>
      </c>
      <c r="H338" s="208" t="str">
        <f>IFERROR(__xludf.DUMMYFUNCTION("""COMPUTED_VALUE"""),"VS_OFF_1_Time_1095D_TILI_23_04_26")</f>
        <v>VS_OFF_1_Time_1095D_TILI_23_04_26</v>
      </c>
      <c r="I338" s="233" t="str">
        <f>IFERROR(__xludf.DUMMYFUNCTION("""COMPUTED_VALUE"""),"WA Undelivered")</f>
        <v>WA Undelivered</v>
      </c>
      <c r="J338" s="275">
        <f>IFERROR(__xludf.DUMMYFUNCTION("""COMPUTED_VALUE"""),2587.0)</f>
        <v>2587</v>
      </c>
      <c r="K338" s="275">
        <f>IFERROR(__xludf.DUMMYFUNCTION("""COMPUTED_VALUE"""),1235.0)</f>
        <v>1235</v>
      </c>
      <c r="L338" s="276">
        <f>IFERROR(__xludf.DUMMYFUNCTION("""COMPUTED_VALUE"""),0.4774)</f>
        <v>0.4774</v>
      </c>
      <c r="M338" s="275">
        <f>IFERROR(__xludf.DUMMYFUNCTION("""COMPUTED_VALUE"""),0.0)</f>
        <v>0</v>
      </c>
      <c r="N338" s="276">
        <f>IFERROR(__xludf.DUMMYFUNCTION("""COMPUTED_VALUE"""),0.0)</f>
        <v>0</v>
      </c>
      <c r="O338" s="208">
        <f>IFERROR(__xludf.DUMMYFUNCTION("""COMPUTED_VALUE"""),0.0)</f>
        <v>0</v>
      </c>
      <c r="P338" s="208">
        <f>IFERROR(__xludf.DUMMYFUNCTION("""COMPUTED_VALUE"""),0.0)</f>
        <v>0</v>
      </c>
      <c r="Q338" s="276">
        <f>IFERROR(__xludf.DUMMYFUNCTION("""COMPUTED_VALUE"""),0.0)</f>
        <v>0</v>
      </c>
      <c r="R338" s="276">
        <f>IFERROR(__xludf.DUMMYFUNCTION("""COMPUTED_VALUE"""),0.0)</f>
        <v>0</v>
      </c>
      <c r="S338" s="208">
        <f>IFERROR(__xludf.DUMMYFUNCTION("""COMPUTED_VALUE"""),0.0)</f>
        <v>0</v>
      </c>
      <c r="T338" s="208">
        <f>IFERROR(__xludf.DUMMYFUNCTION("""COMPUTED_VALUE"""),0.0)</f>
        <v>0</v>
      </c>
      <c r="U338" s="275">
        <f>IFERROR(__xludf.DUMMYFUNCTION("""COMPUTED_VALUE"""),0.0)</f>
        <v>0</v>
      </c>
      <c r="V338" s="208" t="str">
        <f>IFERROR(__xludf.DUMMYFUNCTION("""COMPUTED_VALUE"""),"offline")</f>
        <v>offline</v>
      </c>
      <c r="W338" s="232" t="str">
        <f>IFERROR(__xludf.DUMMYFUNCTION("""COMPUTED_VALUE"""),"sms")</f>
        <v>sms</v>
      </c>
      <c r="X338" s="232" t="str">
        <f>IFERROR(__xludf.DUMMYFUNCTION("""COMPUTED_VALUE"""),"Churned")</f>
        <v>Churned</v>
      </c>
      <c r="Y338" s="232" t="str">
        <f>IFERROR(__xludf.DUMMYFUNCTION("""COMPUTED_VALUE"""),"1st - 3rd May 2026")</f>
        <v>1st - 3rd May 2026</v>
      </c>
      <c r="Z338" s="232" t="str">
        <f>IFERROR(__xludf.DUMMYFUNCTION("""COMPUTED_VALUE"""),"69f0470e00ab1d6a5f554a72")</f>
        <v>69f0470e00ab1d6a5f554a72</v>
      </c>
      <c r="AA338" s="277">
        <f>IFERROR(__xludf.DUMMYFUNCTION("""COMPUTED_VALUE"""),4.0)</f>
        <v>4</v>
      </c>
      <c r="AB338" s="277"/>
      <c r="AC338" s="277">
        <f>IFERROR(__xludf.DUMMYFUNCTION("""COMPUTED_VALUE"""),4.0)</f>
        <v>4</v>
      </c>
      <c r="AD338" s="277">
        <f>IFERROR(__xludf.DUMMYFUNCTION("""COMPUTED_VALUE"""),33017.0)</f>
        <v>33017</v>
      </c>
      <c r="AE338" s="277"/>
      <c r="AF338" s="277">
        <f>IFERROR(__xludf.DUMMYFUNCTION("""COMPUTED_VALUE"""),33017.0)</f>
        <v>33017</v>
      </c>
      <c r="AG338" s="208"/>
      <c r="AH338" s="208"/>
      <c r="AI338" s="208"/>
      <c r="AJ338" s="208"/>
      <c r="AK338" s="208"/>
    </row>
    <row r="339">
      <c r="A339" s="273">
        <f>IFERROR(__xludf.DUMMYFUNCTION("""COMPUTED_VALUE"""),46142.0)</f>
        <v>46142</v>
      </c>
      <c r="B339" s="274">
        <f>IFERROR(__xludf.DUMMYFUNCTION("""COMPUTED_VALUE"""),0.5833333333321207)</f>
        <v>0.5833333333</v>
      </c>
      <c r="C339" s="208" t="str">
        <f>IFERROR(__xludf.DUMMYFUNCTION("""COMPUTED_VALUE"""),"Rcs")</f>
        <v>Rcs</v>
      </c>
      <c r="D339" s="208" t="str">
        <f>IFERROR(__xludf.DUMMYFUNCTION("""COMPUTED_VALUE"""),"Promtional")</f>
        <v>Promtional</v>
      </c>
      <c r="E339" s="208" t="str">
        <f>IFERROR(__xludf.DUMMYFUNCTION("""COMPUTED_VALUE"""),"VS")</f>
        <v>VS</v>
      </c>
      <c r="F339" s="208" t="str">
        <f>IFERROR(__xludf.DUMMYFUNCTION("""COMPUTED_VALUE"""),"Stores TILI - May 2026 - Mist &amp; Lotions at ₹999")</f>
        <v>Stores TILI - May 2026 - Mist &amp; Lotions at ₹999</v>
      </c>
      <c r="G339" s="208" t="str">
        <f>IFERROR(__xludf.DUMMYFUNCTION("""COMPUTED_VALUE"""),"Stores TILI - Dorm_CX_1095D")</f>
        <v>Stores TILI - Dorm_CX_1095D</v>
      </c>
      <c r="H339" s="208" t="str">
        <f>IFERROR(__xludf.DUMMYFUNCTION("""COMPUTED_VALUE"""),"VS_OFF_1_Time_1095D_TILI_23_04_26")</f>
        <v>VS_OFF_1_Time_1095D_TILI_23_04_26</v>
      </c>
      <c r="I339" s="233" t="str">
        <f>IFERROR(__xludf.DUMMYFUNCTION("""COMPUTED_VALUE"""),"Offline Customers who have purchased at least 1 time in between 731 day ago and 1095 days ago")</f>
        <v>Offline Customers who have purchased at least 1 time in between 731 day ago and 1095 days ago</v>
      </c>
      <c r="J339" s="275">
        <f>IFERROR(__xludf.DUMMYFUNCTION("""COMPUTED_VALUE"""),7434.0)</f>
        <v>7434</v>
      </c>
      <c r="K339" s="275">
        <f>IFERROR(__xludf.DUMMYFUNCTION("""COMPUTED_VALUE"""),876.0)</f>
        <v>876</v>
      </c>
      <c r="L339" s="276">
        <f>IFERROR(__xludf.DUMMYFUNCTION("""COMPUTED_VALUE"""),0.117836965294592)</f>
        <v>0.1178369653</v>
      </c>
      <c r="M339" s="275">
        <f>IFERROR(__xludf.DUMMYFUNCTION("""COMPUTED_VALUE"""),173.0)</f>
        <v>173</v>
      </c>
      <c r="N339" s="276">
        <f>IFERROR(__xludf.DUMMYFUNCTION("""COMPUTED_VALUE"""),0.1975)</f>
        <v>0.1975</v>
      </c>
      <c r="O339" s="208">
        <f>IFERROR(__xludf.DUMMYFUNCTION("""COMPUTED_VALUE"""),3.0)</f>
        <v>3</v>
      </c>
      <c r="P339" s="208">
        <f>IFERROR(__xludf.DUMMYFUNCTION("""COMPUTED_VALUE"""),0.0)</f>
        <v>0</v>
      </c>
      <c r="Q339" s="276">
        <f>IFERROR(__xludf.DUMMYFUNCTION("""COMPUTED_VALUE"""),0.0034)</f>
        <v>0.0034</v>
      </c>
      <c r="R339" s="276">
        <f>IFERROR(__xludf.DUMMYFUNCTION("""COMPUTED_VALUE"""),0.0)</f>
        <v>0</v>
      </c>
      <c r="S339" s="208">
        <f>IFERROR(__xludf.DUMMYFUNCTION("""COMPUTED_VALUE"""),0.0)</f>
        <v>0</v>
      </c>
      <c r="T339" s="208">
        <f>IFERROR(__xludf.DUMMYFUNCTION("""COMPUTED_VALUE"""),0.0)</f>
        <v>0</v>
      </c>
      <c r="U339" s="275">
        <f>IFERROR(__xludf.DUMMYFUNCTION("""COMPUTED_VALUE"""),0.0)</f>
        <v>0</v>
      </c>
      <c r="V339" s="208" t="str">
        <f>IFERROR(__xludf.DUMMYFUNCTION("""COMPUTED_VALUE"""),"offline")</f>
        <v>offline</v>
      </c>
      <c r="W339" s="232" t="str">
        <f>IFERROR(__xludf.DUMMYFUNCTION("""COMPUTED_VALUE"""),"rcs")</f>
        <v>rcs</v>
      </c>
      <c r="X339" s="232" t="str">
        <f>IFERROR(__xludf.DUMMYFUNCTION("""COMPUTED_VALUE"""),"Churned")</f>
        <v>Churned</v>
      </c>
      <c r="Y339" s="232" t="str">
        <f>IFERROR(__xludf.DUMMYFUNCTION("""COMPUTED_VALUE"""),"30th april - 2nd May")</f>
        <v>30th april - 2nd May</v>
      </c>
      <c r="Z339" s="232" t="str">
        <f>IFERROR(__xludf.DUMMYFUNCTION("""COMPUTED_VALUE"""),"69f03cd350fdc1638fcb3e7d")</f>
        <v>69f03cd350fdc1638fcb3e7d</v>
      </c>
      <c r="AA339" s="277">
        <f>IFERROR(__xludf.DUMMYFUNCTION("""COMPUTED_VALUE"""),2.0)</f>
        <v>2</v>
      </c>
      <c r="AB339" s="277"/>
      <c r="AC339" s="277">
        <f>IFERROR(__xludf.DUMMYFUNCTION("""COMPUTED_VALUE"""),2.0)</f>
        <v>2</v>
      </c>
      <c r="AD339" s="277">
        <f>IFERROR(__xludf.DUMMYFUNCTION("""COMPUTED_VALUE"""),6866.0)</f>
        <v>6866</v>
      </c>
      <c r="AE339" s="277"/>
      <c r="AF339" s="277">
        <f>IFERROR(__xludf.DUMMYFUNCTION("""COMPUTED_VALUE"""),6866.0)</f>
        <v>6866</v>
      </c>
      <c r="AG339" s="208"/>
      <c r="AH339" s="208"/>
      <c r="AI339" s="208"/>
      <c r="AJ339" s="208"/>
      <c r="AK339" s="208"/>
    </row>
    <row r="340">
      <c r="A340" s="273">
        <f>IFERROR(__xludf.DUMMYFUNCTION("""COMPUTED_VALUE"""),46142.0)</f>
        <v>46142</v>
      </c>
      <c r="B340" s="274">
        <f>IFERROR(__xludf.DUMMYFUNCTION("""COMPUTED_VALUE"""),0.5833333333321207)</f>
        <v>0.5833333333</v>
      </c>
      <c r="C340" s="208" t="str">
        <f>IFERROR(__xludf.DUMMYFUNCTION("""COMPUTED_VALUE"""),"Rcs")</f>
        <v>Rcs</v>
      </c>
      <c r="D340" s="208" t="str">
        <f>IFERROR(__xludf.DUMMYFUNCTION("""COMPUTED_VALUE"""),"Promtional")</f>
        <v>Promtional</v>
      </c>
      <c r="E340" s="208" t="str">
        <f>IFERROR(__xludf.DUMMYFUNCTION("""COMPUTED_VALUE"""),"VS")</f>
        <v>VS</v>
      </c>
      <c r="F340" s="208" t="str">
        <f>IFERROR(__xludf.DUMMYFUNCTION("""COMPUTED_VALUE"""),"Stores TILI - May 2026 - Mist &amp; Lotions at ₹999")</f>
        <v>Stores TILI - May 2026 - Mist &amp; Lotions at ₹999</v>
      </c>
      <c r="G340" s="208" t="str">
        <f>IFERROR(__xludf.DUMMYFUNCTION("""COMPUTED_VALUE"""),"Stores TILI - Dorm_CX_365D")</f>
        <v>Stores TILI - Dorm_CX_365D</v>
      </c>
      <c r="H340" s="208" t="str">
        <f>IFERROR(__xludf.DUMMYFUNCTION("""COMPUTED_VALUE"""),"VS_OFF_1_Time_365D_TILI_23_04_26")</f>
        <v>VS_OFF_1_Time_365D_TILI_23_04_26</v>
      </c>
      <c r="I340" s="233" t="str">
        <f>IFERROR(__xludf.DUMMYFUNCTION("""COMPUTED_VALUE"""),"Offline Customers who have purchased at least 1 time in between 1 day ago and 365 days ago")</f>
        <v>Offline Customers who have purchased at least 1 time in between 1 day ago and 365 days ago</v>
      </c>
      <c r="J340" s="275">
        <f>IFERROR(__xludf.DUMMYFUNCTION("""COMPUTED_VALUE"""),70580.0)</f>
        <v>70580</v>
      </c>
      <c r="K340" s="275">
        <f>IFERROR(__xludf.DUMMYFUNCTION("""COMPUTED_VALUE"""),12019.0)</f>
        <v>12019</v>
      </c>
      <c r="L340" s="276">
        <f>IFERROR(__xludf.DUMMYFUNCTION("""COMPUTED_VALUE"""),0.170289033720601)</f>
        <v>0.1702890337</v>
      </c>
      <c r="M340" s="275">
        <f>IFERROR(__xludf.DUMMYFUNCTION("""COMPUTED_VALUE"""),2206.0)</f>
        <v>2206</v>
      </c>
      <c r="N340" s="276">
        <f>IFERROR(__xludf.DUMMYFUNCTION("""COMPUTED_VALUE"""),0.1835)</f>
        <v>0.1835</v>
      </c>
      <c r="O340" s="208">
        <f>IFERROR(__xludf.DUMMYFUNCTION("""COMPUTED_VALUE"""),38.0)</f>
        <v>38</v>
      </c>
      <c r="P340" s="208">
        <f>IFERROR(__xludf.DUMMYFUNCTION("""COMPUTED_VALUE"""),0.0)</f>
        <v>0</v>
      </c>
      <c r="Q340" s="276">
        <f>IFERROR(__xludf.DUMMYFUNCTION("""COMPUTED_VALUE"""),0.0038)</f>
        <v>0.0038</v>
      </c>
      <c r="R340" s="276">
        <f>IFERROR(__xludf.DUMMYFUNCTION("""COMPUTED_VALUE"""),0.0)</f>
        <v>0</v>
      </c>
      <c r="S340" s="208">
        <f>IFERROR(__xludf.DUMMYFUNCTION("""COMPUTED_VALUE"""),1.0)</f>
        <v>1</v>
      </c>
      <c r="T340" s="208">
        <f>IFERROR(__xludf.DUMMYFUNCTION("""COMPUTED_VALUE"""),4.0)</f>
        <v>4</v>
      </c>
      <c r="U340" s="275">
        <f>IFERROR(__xludf.DUMMYFUNCTION("""COMPUTED_VALUE"""),1803.0)</f>
        <v>1803</v>
      </c>
      <c r="V340" s="208" t="str">
        <f>IFERROR(__xludf.DUMMYFUNCTION("""COMPUTED_VALUE"""),"offline")</f>
        <v>offline</v>
      </c>
      <c r="W340" s="232" t="str">
        <f>IFERROR(__xludf.DUMMYFUNCTION("""COMPUTED_VALUE"""),"rcs")</f>
        <v>rcs</v>
      </c>
      <c r="X340" s="232" t="str">
        <f>IFERROR(__xludf.DUMMYFUNCTION("""COMPUTED_VALUE"""),"Generic")</f>
        <v>Generic</v>
      </c>
      <c r="Y340" s="232" t="str">
        <f>IFERROR(__xludf.DUMMYFUNCTION("""COMPUTED_VALUE"""),"30th april - 2nd May")</f>
        <v>30th april - 2nd May</v>
      </c>
      <c r="Z340" s="232" t="str">
        <f>IFERROR(__xludf.DUMMYFUNCTION("""COMPUTED_VALUE"""),"69f03d26c45ae1721c5e64f7")</f>
        <v>69f03d26c45ae1721c5e64f7</v>
      </c>
      <c r="AA340" s="277">
        <f>IFERROR(__xludf.DUMMYFUNCTION("""COMPUTED_VALUE"""),44.0)</f>
        <v>44</v>
      </c>
      <c r="AB340" s="277"/>
      <c r="AC340" s="277">
        <f>IFERROR(__xludf.DUMMYFUNCTION("""COMPUTED_VALUE"""),44.0)</f>
        <v>44</v>
      </c>
      <c r="AD340" s="277">
        <f>IFERROR(__xludf.DUMMYFUNCTION("""COMPUTED_VALUE"""),255888.0)</f>
        <v>255888</v>
      </c>
      <c r="AE340" s="277"/>
      <c r="AF340" s="277">
        <f>IFERROR(__xludf.DUMMYFUNCTION("""COMPUTED_VALUE"""),255888.0)</f>
        <v>255888</v>
      </c>
      <c r="AG340" s="208"/>
      <c r="AH340" s="208"/>
      <c r="AI340" s="208"/>
      <c r="AJ340" s="208"/>
      <c r="AK340" s="208"/>
    </row>
    <row r="341">
      <c r="A341" s="273">
        <f>IFERROR(__xludf.DUMMYFUNCTION("""COMPUTED_VALUE"""),46142.0)</f>
        <v>46142</v>
      </c>
      <c r="B341" s="274">
        <f>IFERROR(__xludf.DUMMYFUNCTION("""COMPUTED_VALUE"""),0.5833333333321207)</f>
        <v>0.5833333333</v>
      </c>
      <c r="C341" s="208" t="str">
        <f>IFERROR(__xludf.DUMMYFUNCTION("""COMPUTED_VALUE"""),"Rcs")</f>
        <v>Rcs</v>
      </c>
      <c r="D341" s="208" t="str">
        <f>IFERROR(__xludf.DUMMYFUNCTION("""COMPUTED_VALUE"""),"Promtional")</f>
        <v>Promtional</v>
      </c>
      <c r="E341" s="208" t="str">
        <f>IFERROR(__xludf.DUMMYFUNCTION("""COMPUTED_VALUE"""),"VS")</f>
        <v>VS</v>
      </c>
      <c r="F341" s="208" t="str">
        <f>IFERROR(__xludf.DUMMYFUNCTION("""COMPUTED_VALUE"""),"Stores TILI - May 2026 - Mist &amp; Lotions at ₹999")</f>
        <v>Stores TILI - May 2026 - Mist &amp; Lotions at ₹999</v>
      </c>
      <c r="G341" s="208" t="str">
        <f>IFERROR(__xludf.DUMMYFUNCTION("""COMPUTED_VALUE"""),"Stores TILI - Repeat_CX")</f>
        <v>Stores TILI - Repeat_CX</v>
      </c>
      <c r="H341" s="208" t="str">
        <f>IFERROR(__xludf.DUMMYFUNCTION("""COMPUTED_VALUE"""),"VS_OFF_Repeat_TILI_23_04_26")</f>
        <v>VS_OFF_Repeat_TILI_23_04_26</v>
      </c>
      <c r="I341" s="233" t="str">
        <f>IFERROR(__xludf.DUMMYFUNCTION("""COMPUTED_VALUE"""),"Offline Customers who have purchased at least 2 times in the last 1095 days")</f>
        <v>Offline Customers who have purchased at least 2 times in the last 1095 days</v>
      </c>
      <c r="J341" s="275">
        <f>IFERROR(__xludf.DUMMYFUNCTION("""COMPUTED_VALUE"""),33390.0)</f>
        <v>33390</v>
      </c>
      <c r="K341" s="275">
        <f>IFERROR(__xludf.DUMMYFUNCTION("""COMPUTED_VALUE"""),3736.0)</f>
        <v>3736</v>
      </c>
      <c r="L341" s="276">
        <f>IFERROR(__xludf.DUMMYFUNCTION("""COMPUTED_VALUE"""),0.111889787361485)</f>
        <v>0.1118897874</v>
      </c>
      <c r="M341" s="275">
        <f>IFERROR(__xludf.DUMMYFUNCTION("""COMPUTED_VALUE"""),746.0)</f>
        <v>746</v>
      </c>
      <c r="N341" s="276">
        <f>IFERROR(__xludf.DUMMYFUNCTION("""COMPUTED_VALUE"""),0.1997)</f>
        <v>0.1997</v>
      </c>
      <c r="O341" s="208">
        <f>IFERROR(__xludf.DUMMYFUNCTION("""COMPUTED_VALUE"""),8.0)</f>
        <v>8</v>
      </c>
      <c r="P341" s="208">
        <f>IFERROR(__xludf.DUMMYFUNCTION("""COMPUTED_VALUE"""),0.0)</f>
        <v>0</v>
      </c>
      <c r="Q341" s="276">
        <f>IFERROR(__xludf.DUMMYFUNCTION("""COMPUTED_VALUE"""),0.0021)</f>
        <v>0.0021</v>
      </c>
      <c r="R341" s="276">
        <f>IFERROR(__xludf.DUMMYFUNCTION("""COMPUTED_VALUE"""),0.0)</f>
        <v>0</v>
      </c>
      <c r="S341" s="208">
        <f>IFERROR(__xludf.DUMMYFUNCTION("""COMPUTED_VALUE"""),0.0)</f>
        <v>0</v>
      </c>
      <c r="T341" s="208">
        <f>IFERROR(__xludf.DUMMYFUNCTION("""COMPUTED_VALUE"""),1.0)</f>
        <v>1</v>
      </c>
      <c r="U341" s="275">
        <f>IFERROR(__xludf.DUMMYFUNCTION("""COMPUTED_VALUE"""),0.0)</f>
        <v>0</v>
      </c>
      <c r="V341" s="208" t="str">
        <f>IFERROR(__xludf.DUMMYFUNCTION("""COMPUTED_VALUE"""),"offline")</f>
        <v>offline</v>
      </c>
      <c r="W341" s="232" t="str">
        <f>IFERROR(__xludf.DUMMYFUNCTION("""COMPUTED_VALUE"""),"rcs")</f>
        <v>rcs</v>
      </c>
      <c r="X341" s="232" t="str">
        <f>IFERROR(__xludf.DUMMYFUNCTION("""COMPUTED_VALUE"""),"Repeat")</f>
        <v>Repeat</v>
      </c>
      <c r="Y341" s="232" t="str">
        <f>IFERROR(__xludf.DUMMYFUNCTION("""COMPUTED_VALUE"""),"30th april - 2nd May")</f>
        <v>30th april - 2nd May</v>
      </c>
      <c r="Z341" s="232" t="str">
        <f>IFERROR(__xludf.DUMMYFUNCTION("""COMPUTED_VALUE"""),"69f03d57ab2ca777e0eaa4bd")</f>
        <v>69f03d57ab2ca777e0eaa4bd</v>
      </c>
      <c r="AA341" s="277">
        <f>IFERROR(__xludf.DUMMYFUNCTION("""COMPUTED_VALUE"""),25.0)</f>
        <v>25</v>
      </c>
      <c r="AB341" s="277"/>
      <c r="AC341" s="277">
        <f>IFERROR(__xludf.DUMMYFUNCTION("""COMPUTED_VALUE"""),25.0)</f>
        <v>25</v>
      </c>
      <c r="AD341" s="277">
        <f>IFERROR(__xludf.DUMMYFUNCTION("""COMPUTED_VALUE"""),332878.0)</f>
        <v>332878</v>
      </c>
      <c r="AE341" s="277"/>
      <c r="AF341" s="277">
        <f>IFERROR(__xludf.DUMMYFUNCTION("""COMPUTED_VALUE"""),332878.0)</f>
        <v>332878</v>
      </c>
      <c r="AG341" s="208"/>
      <c r="AH341" s="208"/>
      <c r="AI341" s="208"/>
      <c r="AJ341" s="208"/>
      <c r="AK341" s="208"/>
    </row>
    <row r="342">
      <c r="A342" s="273">
        <f>IFERROR(__xludf.DUMMYFUNCTION("""COMPUTED_VALUE"""),46142.0)</f>
        <v>46142</v>
      </c>
      <c r="B342" s="274">
        <f>IFERROR(__xludf.DUMMYFUNCTION("""COMPUTED_VALUE"""),0.5833333333321207)</f>
        <v>0.5833333333</v>
      </c>
      <c r="C342" s="208" t="str">
        <f>IFERROR(__xludf.DUMMYFUNCTION("""COMPUTED_VALUE"""),"Rcs")</f>
        <v>Rcs</v>
      </c>
      <c r="D342" s="208" t="str">
        <f>IFERROR(__xludf.DUMMYFUNCTION("""COMPUTED_VALUE"""),"Promtional")</f>
        <v>Promtional</v>
      </c>
      <c r="E342" s="208" t="str">
        <f>IFERROR(__xludf.DUMMYFUNCTION("""COMPUTED_VALUE"""),"VS")</f>
        <v>VS</v>
      </c>
      <c r="F342" s="208" t="str">
        <f>IFERROR(__xludf.DUMMYFUNCTION("""COMPUTED_VALUE"""),"Stores TILI - May 2026 - Mist &amp; Lotions at ₹999")</f>
        <v>Stores TILI - May 2026 - Mist &amp; Lotions at ₹999</v>
      </c>
      <c r="G342" s="208" t="str">
        <f>IFERROR(__xludf.DUMMYFUNCTION("""COMPUTED_VALUE"""),"Stores TILI - Low_ATV_CX")</f>
        <v>Stores TILI - Low_ATV_CX</v>
      </c>
      <c r="H342" s="208" t="str">
        <f>IFERROR(__xludf.DUMMYFUNCTION("""COMPUTED_VALUE"""),"VS_OFF_Predom_Below_1000")</f>
        <v>VS_OFF_Predom_Below_1000</v>
      </c>
      <c r="I342" s="233" t="str">
        <f>IFERROR(__xludf.DUMMYFUNCTION("""COMPUTED_VALUE"""),"Offline Customers who have purchased predominantly with cart value below ₹1,000 in the last 1095 days")</f>
        <v>Offline Customers who have purchased predominantly with cart value below ₹1,000 in the last 1095 days</v>
      </c>
      <c r="J342" s="275">
        <f>IFERROR(__xludf.DUMMYFUNCTION("""COMPUTED_VALUE"""),23377.0)</f>
        <v>23377</v>
      </c>
      <c r="K342" s="275">
        <f>IFERROR(__xludf.DUMMYFUNCTION("""COMPUTED_VALUE"""),4548.0)</f>
        <v>4548</v>
      </c>
      <c r="L342" s="276">
        <f>IFERROR(__xludf.DUMMYFUNCTION("""COMPUTED_VALUE"""),0.194550198913462)</f>
        <v>0.1945501989</v>
      </c>
      <c r="M342" s="275">
        <f>IFERROR(__xludf.DUMMYFUNCTION("""COMPUTED_VALUE"""),718.0)</f>
        <v>718</v>
      </c>
      <c r="N342" s="276">
        <f>IFERROR(__xludf.DUMMYFUNCTION("""COMPUTED_VALUE"""),0.1579)</f>
        <v>0.1579</v>
      </c>
      <c r="O342" s="208">
        <f>IFERROR(__xludf.DUMMYFUNCTION("""COMPUTED_VALUE"""),11.0)</f>
        <v>11</v>
      </c>
      <c r="P342" s="208">
        <f>IFERROR(__xludf.DUMMYFUNCTION("""COMPUTED_VALUE"""),0.0)</f>
        <v>0</v>
      </c>
      <c r="Q342" s="276">
        <f>IFERROR(__xludf.DUMMYFUNCTION("""COMPUTED_VALUE"""),0.0029)</f>
        <v>0.0029</v>
      </c>
      <c r="R342" s="276">
        <f>IFERROR(__xludf.DUMMYFUNCTION("""COMPUTED_VALUE"""),0.0)</f>
        <v>0</v>
      </c>
      <c r="S342" s="208">
        <f>IFERROR(__xludf.DUMMYFUNCTION("""COMPUTED_VALUE"""),0.0)</f>
        <v>0</v>
      </c>
      <c r="T342" s="208">
        <f>IFERROR(__xludf.DUMMYFUNCTION("""COMPUTED_VALUE"""),1.0)</f>
        <v>1</v>
      </c>
      <c r="U342" s="275">
        <f>IFERROR(__xludf.DUMMYFUNCTION("""COMPUTED_VALUE"""),0.0)</f>
        <v>0</v>
      </c>
      <c r="V342" s="208" t="str">
        <f>IFERROR(__xludf.DUMMYFUNCTION("""COMPUTED_VALUE"""),"offline")</f>
        <v>offline</v>
      </c>
      <c r="W342" s="232" t="str">
        <f>IFERROR(__xludf.DUMMYFUNCTION("""COMPUTED_VALUE"""),"rcs")</f>
        <v>rcs</v>
      </c>
      <c r="X342" s="232" t="str">
        <f>IFERROR(__xludf.DUMMYFUNCTION("""COMPUTED_VALUE"""),"Cart Value")</f>
        <v>Cart Value</v>
      </c>
      <c r="Y342" s="232" t="str">
        <f>IFERROR(__xludf.DUMMYFUNCTION("""COMPUTED_VALUE"""),"30th april - 2nd May")</f>
        <v>30th april - 2nd May</v>
      </c>
      <c r="Z342" s="232" t="str">
        <f>IFERROR(__xludf.DUMMYFUNCTION("""COMPUTED_VALUE"""),"69f03d82fd22b69ce4465f91")</f>
        <v>69f03d82fd22b69ce4465f91</v>
      </c>
      <c r="AA342" s="277">
        <f>IFERROR(__xludf.DUMMYFUNCTION("""COMPUTED_VALUE"""),11.0)</f>
        <v>11</v>
      </c>
      <c r="AB342" s="277"/>
      <c r="AC342" s="277">
        <f>IFERROR(__xludf.DUMMYFUNCTION("""COMPUTED_VALUE"""),11.0)</f>
        <v>11</v>
      </c>
      <c r="AD342" s="277">
        <f>IFERROR(__xludf.DUMMYFUNCTION("""COMPUTED_VALUE"""),27676.0)</f>
        <v>27676</v>
      </c>
      <c r="AE342" s="277"/>
      <c r="AF342" s="277">
        <f>IFERROR(__xludf.DUMMYFUNCTION("""COMPUTED_VALUE"""),27676.0)</f>
        <v>27676</v>
      </c>
      <c r="AG342" s="208"/>
      <c r="AH342" s="208"/>
      <c r="AI342" s="208"/>
      <c r="AJ342" s="208"/>
      <c r="AK342" s="208"/>
    </row>
    <row r="343">
      <c r="A343" s="273">
        <f>IFERROR(__xludf.DUMMYFUNCTION("""COMPUTED_VALUE"""),46142.0)</f>
        <v>46142</v>
      </c>
      <c r="B343" s="274">
        <f>IFERROR(__xludf.DUMMYFUNCTION("""COMPUTED_VALUE"""),0.5833333333321207)</f>
        <v>0.5833333333</v>
      </c>
      <c r="C343" s="208" t="str">
        <f>IFERROR(__xludf.DUMMYFUNCTION("""COMPUTED_VALUE"""),"Rcs")</f>
        <v>Rcs</v>
      </c>
      <c r="D343" s="208" t="str">
        <f>IFERROR(__xludf.DUMMYFUNCTION("""COMPUTED_VALUE"""),"Promtional")</f>
        <v>Promtional</v>
      </c>
      <c r="E343" s="208" t="str">
        <f>IFERROR(__xludf.DUMMYFUNCTION("""COMPUTED_VALUE"""),"VS")</f>
        <v>VS</v>
      </c>
      <c r="F343" s="208" t="str">
        <f>IFERROR(__xludf.DUMMYFUNCTION("""COMPUTED_VALUE"""),"Stores TILI - May 2026 - Mist &amp; Lotions at ₹999")</f>
        <v>Stores TILI - May 2026 - Mist &amp; Lotions at ₹999</v>
      </c>
      <c r="G343" s="208" t="str">
        <f>IFERROR(__xludf.DUMMYFUNCTION("""COMPUTED_VALUE"""),"Stores TILI - Category_CX")</f>
        <v>Stores TILI - Category_CX</v>
      </c>
      <c r="H343" s="208" t="str">
        <f>IFERROR(__xludf.DUMMYFUNCTION("""COMPUTED_VALUE"""),"VS_OFF_Mist_Lotion_2_Time")</f>
        <v>VS_OFF_Mist_Lotion_2_Time</v>
      </c>
      <c r="I343" s="233" t="str">
        <f>IFERROR(__xludf.DUMMYFUNCTION("""COMPUTED_VALUE"""),"Offline Customers who have purchased at least 2 times from L3: Mist or Body Lotion in the last 1095 days")</f>
        <v>Offline Customers who have purchased at least 2 times from L3: Mist or Body Lotion in the last 1095 days</v>
      </c>
      <c r="J343" s="275">
        <f>IFERROR(__xludf.DUMMYFUNCTION("""COMPUTED_VALUE"""),6710.0)</f>
        <v>6710</v>
      </c>
      <c r="K343" s="275">
        <f>IFERROR(__xludf.DUMMYFUNCTION("""COMPUTED_VALUE"""),1115.0)</f>
        <v>1115</v>
      </c>
      <c r="L343" s="276">
        <f>IFERROR(__xludf.DUMMYFUNCTION("""COMPUTED_VALUE"""),0.166169895678092)</f>
        <v>0.1661698957</v>
      </c>
      <c r="M343" s="275">
        <f>IFERROR(__xludf.DUMMYFUNCTION("""COMPUTED_VALUE"""),227.0)</f>
        <v>227</v>
      </c>
      <c r="N343" s="276">
        <f>IFERROR(__xludf.DUMMYFUNCTION("""COMPUTED_VALUE"""),0.2036)</f>
        <v>0.2036</v>
      </c>
      <c r="O343" s="208">
        <f>IFERROR(__xludf.DUMMYFUNCTION("""COMPUTED_VALUE"""),6.0)</f>
        <v>6</v>
      </c>
      <c r="P343" s="208">
        <f>IFERROR(__xludf.DUMMYFUNCTION("""COMPUTED_VALUE"""),0.0)</f>
        <v>0</v>
      </c>
      <c r="Q343" s="276">
        <f>IFERROR(__xludf.DUMMYFUNCTION("""COMPUTED_VALUE"""),0.0072)</f>
        <v>0.0072</v>
      </c>
      <c r="R343" s="276">
        <f>IFERROR(__xludf.DUMMYFUNCTION("""COMPUTED_VALUE"""),0.0)</f>
        <v>0</v>
      </c>
      <c r="S343" s="208">
        <f>IFERROR(__xludf.DUMMYFUNCTION("""COMPUTED_VALUE"""),0.0)</f>
        <v>0</v>
      </c>
      <c r="T343" s="208">
        <f>IFERROR(__xludf.DUMMYFUNCTION("""COMPUTED_VALUE"""),0.0)</f>
        <v>0</v>
      </c>
      <c r="U343" s="275">
        <f>IFERROR(__xludf.DUMMYFUNCTION("""COMPUTED_VALUE"""),0.0)</f>
        <v>0</v>
      </c>
      <c r="V343" s="208" t="str">
        <f>IFERROR(__xludf.DUMMYFUNCTION("""COMPUTED_VALUE"""),"offline")</f>
        <v>offline</v>
      </c>
      <c r="W343" s="232" t="str">
        <f>IFERROR(__xludf.DUMMYFUNCTION("""COMPUTED_VALUE"""),"sms")</f>
        <v>sms</v>
      </c>
      <c r="X343" s="232" t="str">
        <f>IFERROR(__xludf.DUMMYFUNCTION("""COMPUTED_VALUE"""),"Category Buyers")</f>
        <v>Category Buyers</v>
      </c>
      <c r="Y343" s="232" t="str">
        <f>IFERROR(__xludf.DUMMYFUNCTION("""COMPUTED_VALUE"""),"30th april - 2nd May")</f>
        <v>30th april - 2nd May</v>
      </c>
      <c r="Z343" s="232" t="str">
        <f>IFERROR(__xludf.DUMMYFUNCTION("""COMPUTED_VALUE"""),"69f03da35e521a8c20d70f2e")</f>
        <v>69f03da35e521a8c20d70f2e</v>
      </c>
      <c r="AA343" s="277">
        <f>IFERROR(__xludf.DUMMYFUNCTION("""COMPUTED_VALUE"""),10.0)</f>
        <v>10</v>
      </c>
      <c r="AB343" s="277"/>
      <c r="AC343" s="277">
        <f>IFERROR(__xludf.DUMMYFUNCTION("""COMPUTED_VALUE"""),10.0)</f>
        <v>10</v>
      </c>
      <c r="AD343" s="277">
        <f>IFERROR(__xludf.DUMMYFUNCTION("""COMPUTED_VALUE"""),86047.0)</f>
        <v>86047</v>
      </c>
      <c r="AE343" s="277"/>
      <c r="AF343" s="277">
        <f>IFERROR(__xludf.DUMMYFUNCTION("""COMPUTED_VALUE"""),86047.0)</f>
        <v>86047</v>
      </c>
      <c r="AG343" s="208"/>
      <c r="AH343" s="208"/>
      <c r="AI343" s="208"/>
      <c r="AJ343" s="208"/>
      <c r="AK343" s="208"/>
    </row>
    <row r="344">
      <c r="A344" s="273">
        <f>IFERROR(__xludf.DUMMYFUNCTION("""COMPUTED_VALUE"""),46142.0)</f>
        <v>46142</v>
      </c>
      <c r="B344" s="274">
        <f>IFERROR(__xludf.DUMMYFUNCTION("""COMPUTED_VALUE"""),0.5833333333321207)</f>
        <v>0.5833333333</v>
      </c>
      <c r="C344" s="208" t="str">
        <f>IFERROR(__xludf.DUMMYFUNCTION("""COMPUTED_VALUE"""),"Rcs")</f>
        <v>Rcs</v>
      </c>
      <c r="D344" s="208" t="str">
        <f>IFERROR(__xludf.DUMMYFUNCTION("""COMPUTED_VALUE"""),"Promtional")</f>
        <v>Promtional</v>
      </c>
      <c r="E344" s="208" t="str">
        <f>IFERROR(__xludf.DUMMYFUNCTION("""COMPUTED_VALUE"""),"VS")</f>
        <v>VS</v>
      </c>
      <c r="F344" s="208" t="str">
        <f>IFERROR(__xludf.DUMMYFUNCTION("""COMPUTED_VALUE"""),"Stores TILI - May 2026 - Mist &amp; Lotions at ₹999")</f>
        <v>Stores TILI - May 2026 - Mist &amp; Lotions at ₹999</v>
      </c>
      <c r="G344" s="208" t="str">
        <f>IFERROR(__xludf.DUMMYFUNCTION("""COMPUTED_VALUE"""),"Stores TILI - TILI_CX_RCS")</f>
        <v>Stores TILI - TILI_CX_RCS</v>
      </c>
      <c r="H344" s="208" t="str">
        <f>IFERROR(__xludf.DUMMYFUNCTION("""COMPUTED_VALUE"""),"VS_OFF_Tili_Event_Buyers_23_04_26")</f>
        <v>VS_OFF_Tili_Event_Buyers_23_04_26</v>
      </c>
      <c r="I344" s="233" t="str">
        <f>IFERROR(__xludf.DUMMYFUNCTION("""COMPUTED_VALUE"""),"Offline Customers who purchased from last TILI Event Dates 5th May 2023 to 7th May 2023, 6th Oct to 8th Oct 2023, 10th May 2024 to 12th May 2024, 25th Oct 2024 to 27th May 2024, 9th May 2025 to 11th May 2025, 2nd Oct 2025 to 5th Oct 2025 with Category_L1_"&amp;"Desc contains PERSONAL CARE")</f>
        <v>Offline Customers who purchased from last TILI Event Dates 5th May 2023 to 7th May 2023, 6th Oct to 8th Oct 2023, 10th May 2024 to 12th May 2024, 25th Oct 2024 to 27th May 2024, 9th May 2025 to 11th May 2025, 2nd Oct 2025 to 5th Oct 2025 with Category_L1_Desc contains PERSONAL CARE</v>
      </c>
      <c r="J344" s="275">
        <f>IFERROR(__xludf.DUMMYFUNCTION("""COMPUTED_VALUE"""),7208.0)</f>
        <v>7208</v>
      </c>
      <c r="K344" s="275">
        <f>IFERROR(__xludf.DUMMYFUNCTION("""COMPUTED_VALUE"""),1326.0)</f>
        <v>1326</v>
      </c>
      <c r="L344" s="276">
        <f>IFERROR(__xludf.DUMMYFUNCTION("""COMPUTED_VALUE"""),0.183962264150943)</f>
        <v>0.1839622642</v>
      </c>
      <c r="M344" s="275">
        <f>IFERROR(__xludf.DUMMYFUNCTION("""COMPUTED_VALUE"""),236.0)</f>
        <v>236</v>
      </c>
      <c r="N344" s="276">
        <f>IFERROR(__xludf.DUMMYFUNCTION("""COMPUTED_VALUE"""),0.178)</f>
        <v>0.178</v>
      </c>
      <c r="O344" s="208">
        <f>IFERROR(__xludf.DUMMYFUNCTION("""COMPUTED_VALUE"""),3.0)</f>
        <v>3</v>
      </c>
      <c r="P344" s="208">
        <f>IFERROR(__xludf.DUMMYFUNCTION("""COMPUTED_VALUE"""),0.0)</f>
        <v>0</v>
      </c>
      <c r="Q344" s="276">
        <f>IFERROR(__xludf.DUMMYFUNCTION("""COMPUTED_VALUE"""),0.0023)</f>
        <v>0.0023</v>
      </c>
      <c r="R344" s="276">
        <f>IFERROR(__xludf.DUMMYFUNCTION("""COMPUTED_VALUE"""),0.0)</f>
        <v>0</v>
      </c>
      <c r="S344" s="208">
        <f>IFERROR(__xludf.DUMMYFUNCTION("""COMPUTED_VALUE"""),0.0)</f>
        <v>0</v>
      </c>
      <c r="T344" s="208">
        <f>IFERROR(__xludf.DUMMYFUNCTION("""COMPUTED_VALUE"""),0.0)</f>
        <v>0</v>
      </c>
      <c r="U344" s="275">
        <f>IFERROR(__xludf.DUMMYFUNCTION("""COMPUTED_VALUE"""),0.0)</f>
        <v>0</v>
      </c>
      <c r="V344" s="208" t="str">
        <f>IFERROR(__xludf.DUMMYFUNCTION("""COMPUTED_VALUE"""),"offline")</f>
        <v>offline</v>
      </c>
      <c r="W344" s="232" t="str">
        <f>IFERROR(__xludf.DUMMYFUNCTION("""COMPUTED_VALUE"""),"rcs")</f>
        <v>rcs</v>
      </c>
      <c r="X344" s="232" t="str">
        <f>IFERROR(__xludf.DUMMYFUNCTION("""COMPUTED_VALUE"""),"Event Buyers")</f>
        <v>Event Buyers</v>
      </c>
      <c r="Y344" s="232" t="str">
        <f>IFERROR(__xludf.DUMMYFUNCTION("""COMPUTED_VALUE"""),"30th april - 2nd May")</f>
        <v>30th april - 2nd May</v>
      </c>
      <c r="Z344" s="232" t="str">
        <f>IFERROR(__xludf.DUMMYFUNCTION("""COMPUTED_VALUE"""),"69f03eb7baf6150e0abce25c")</f>
        <v>69f03eb7baf6150e0abce25c</v>
      </c>
      <c r="AA344" s="277">
        <f>IFERROR(__xludf.DUMMYFUNCTION("""COMPUTED_VALUE"""),16.0)</f>
        <v>16</v>
      </c>
      <c r="AB344" s="277"/>
      <c r="AC344" s="277">
        <f>IFERROR(__xludf.DUMMYFUNCTION("""COMPUTED_VALUE"""),16.0)</f>
        <v>16</v>
      </c>
      <c r="AD344" s="277">
        <f>IFERROR(__xludf.DUMMYFUNCTION("""COMPUTED_VALUE"""),113896.0)</f>
        <v>113896</v>
      </c>
      <c r="AE344" s="277"/>
      <c r="AF344" s="277">
        <f>IFERROR(__xludf.DUMMYFUNCTION("""COMPUTED_VALUE"""),113896.0)</f>
        <v>113896</v>
      </c>
      <c r="AG344" s="208"/>
      <c r="AH344" s="208"/>
      <c r="AI344" s="208"/>
      <c r="AJ344" s="208"/>
      <c r="AK344" s="208"/>
    </row>
    <row r="345">
      <c r="A345" s="273">
        <f>IFERROR(__xludf.DUMMYFUNCTION("""COMPUTED_VALUE"""),46142.0)</f>
        <v>46142</v>
      </c>
      <c r="B345" s="274">
        <f>IFERROR(__xludf.DUMMYFUNCTION("""COMPUTED_VALUE"""),0.5833333333321207)</f>
        <v>0.5833333333</v>
      </c>
      <c r="C345" s="208" t="str">
        <f>IFERROR(__xludf.DUMMYFUNCTION("""COMPUTED_VALUE"""),"Rcs")</f>
        <v>Rcs</v>
      </c>
      <c r="D345" s="208" t="str">
        <f>IFERROR(__xludf.DUMMYFUNCTION("""COMPUTED_VALUE"""),"Promtional")</f>
        <v>Promtional</v>
      </c>
      <c r="E345" s="208" t="str">
        <f>IFERROR(__xludf.DUMMYFUNCTION("""COMPUTED_VALUE"""),"VS")</f>
        <v>VS</v>
      </c>
      <c r="F345" s="208" t="str">
        <f>IFERROR(__xludf.DUMMYFUNCTION("""COMPUTED_VALUE"""),"Stores TILI - May 2026 - Mist &amp; Lotions at ₹999")</f>
        <v>Stores TILI - May 2026 - Mist &amp; Lotions at ₹999</v>
      </c>
      <c r="G345" s="208" t="str">
        <f>IFERROR(__xludf.DUMMYFUNCTION("""COMPUTED_VALUE"""),"Stores TILI - Dorm_CX_730D")</f>
        <v>Stores TILI - Dorm_CX_730D</v>
      </c>
      <c r="H345" s="208" t="str">
        <f>IFERROR(__xludf.DUMMYFUNCTION("""COMPUTED_VALUE"""),"VS_OFF_1_Time_730D_TILI_23_04_26")</f>
        <v>VS_OFF_1_Time_730D_TILI_23_04_26</v>
      </c>
      <c r="I345" s="233" t="str">
        <f>IFERROR(__xludf.DUMMYFUNCTION("""COMPUTED_VALUE"""),"Offline Customers who have purchased at least 1 time in between 366 day ago and 730 days ago")</f>
        <v>Offline Customers who have purchased at least 1 time in between 366 day ago and 730 days ago</v>
      </c>
      <c r="J345" s="275">
        <f>IFERROR(__xludf.DUMMYFUNCTION("""COMPUTED_VALUE"""),47088.0)</f>
        <v>47088</v>
      </c>
      <c r="K345" s="275">
        <f>IFERROR(__xludf.DUMMYFUNCTION("""COMPUTED_VALUE"""),7573.0)</f>
        <v>7573</v>
      </c>
      <c r="L345" s="276">
        <f>IFERROR(__xludf.DUMMYFUNCTION("""COMPUTED_VALUE"""),0.160826537546721)</f>
        <v>0.1608265375</v>
      </c>
      <c r="M345" s="275">
        <f>IFERROR(__xludf.DUMMYFUNCTION("""COMPUTED_VALUE"""),1328.0)</f>
        <v>1328</v>
      </c>
      <c r="N345" s="276">
        <f>IFERROR(__xludf.DUMMYFUNCTION("""COMPUTED_VALUE"""),0.1754)</f>
        <v>0.1754</v>
      </c>
      <c r="O345" s="208">
        <f>IFERROR(__xludf.DUMMYFUNCTION("""COMPUTED_VALUE"""),17.0)</f>
        <v>17</v>
      </c>
      <c r="P345" s="208">
        <f>IFERROR(__xludf.DUMMYFUNCTION("""COMPUTED_VALUE"""),0.0)</f>
        <v>0</v>
      </c>
      <c r="Q345" s="276">
        <f>IFERROR(__xludf.DUMMYFUNCTION("""COMPUTED_VALUE"""),0.0026)</f>
        <v>0.0026</v>
      </c>
      <c r="R345" s="276">
        <f>IFERROR(__xludf.DUMMYFUNCTION("""COMPUTED_VALUE"""),0.0)</f>
        <v>0</v>
      </c>
      <c r="S345" s="208">
        <f>IFERROR(__xludf.DUMMYFUNCTION("""COMPUTED_VALUE"""),0.0)</f>
        <v>0</v>
      </c>
      <c r="T345" s="208">
        <f>IFERROR(__xludf.DUMMYFUNCTION("""COMPUTED_VALUE"""),0.0)</f>
        <v>0</v>
      </c>
      <c r="U345" s="275">
        <f>IFERROR(__xludf.DUMMYFUNCTION("""COMPUTED_VALUE"""),0.0)</f>
        <v>0</v>
      </c>
      <c r="V345" s="208" t="str">
        <f>IFERROR(__xludf.DUMMYFUNCTION("""COMPUTED_VALUE"""),"offline")</f>
        <v>offline</v>
      </c>
      <c r="W345" s="232" t="str">
        <f>IFERROR(__xludf.DUMMYFUNCTION("""COMPUTED_VALUE"""),"rcs")</f>
        <v>rcs</v>
      </c>
      <c r="X345" s="232" t="str">
        <f>IFERROR(__xludf.DUMMYFUNCTION("""COMPUTED_VALUE"""),"Churned")</f>
        <v>Churned</v>
      </c>
      <c r="Y345" s="232" t="str">
        <f>IFERROR(__xludf.DUMMYFUNCTION("""COMPUTED_VALUE"""),"30th april - 2nd May")</f>
        <v>30th april - 2nd May</v>
      </c>
      <c r="Z345" s="232" t="str">
        <f>IFERROR(__xludf.DUMMYFUNCTION("""COMPUTED_VALUE"""),"69f03f0e2cc83fd4d44b8d26")</f>
        <v>69f03f0e2cc83fd4d44b8d26</v>
      </c>
      <c r="AA345" s="277">
        <f>IFERROR(__xludf.DUMMYFUNCTION("""COMPUTED_VALUE"""),12.0)</f>
        <v>12</v>
      </c>
      <c r="AB345" s="277"/>
      <c r="AC345" s="277">
        <f>IFERROR(__xludf.DUMMYFUNCTION("""COMPUTED_VALUE"""),12.0)</f>
        <v>12</v>
      </c>
      <c r="AD345" s="277">
        <f>IFERROR(__xludf.DUMMYFUNCTION("""COMPUTED_VALUE"""),68560.0)</f>
        <v>68560</v>
      </c>
      <c r="AE345" s="277"/>
      <c r="AF345" s="277">
        <f>IFERROR(__xludf.DUMMYFUNCTION("""COMPUTED_VALUE"""),68560.0)</f>
        <v>68560</v>
      </c>
      <c r="AG345" s="208"/>
      <c r="AH345" s="208"/>
      <c r="AI345" s="208"/>
      <c r="AJ345" s="208"/>
      <c r="AK345" s="208"/>
    </row>
    <row r="346">
      <c r="A346" s="273">
        <f>IFERROR(__xludf.DUMMYFUNCTION("""COMPUTED_VALUE"""),46144.0)</f>
        <v>46144</v>
      </c>
      <c r="B346" s="274">
        <f>IFERROR(__xludf.DUMMYFUNCTION("""COMPUTED_VALUE"""),0.5)</f>
        <v>0.5</v>
      </c>
      <c r="C346" s="208" t="str">
        <f>IFERROR(__xludf.DUMMYFUNCTION("""COMPUTED_VALUE"""),"Whatsapp")</f>
        <v>Whatsapp</v>
      </c>
      <c r="D346" s="208" t="str">
        <f>IFERROR(__xludf.DUMMYFUNCTION("""COMPUTED_VALUE"""),"Promtional")</f>
        <v>Promtional</v>
      </c>
      <c r="E346" s="208" t="str">
        <f>IFERROR(__xludf.DUMMYFUNCTION("""COMPUTED_VALUE"""),"VS")</f>
        <v>VS</v>
      </c>
      <c r="F346" s="208" t="str">
        <f>IFERROR(__xludf.DUMMYFUNCTION("""COMPUTED_VALUE"""),"Stores TILI - May 2026 - Mist &amp; Lotions @999")</f>
        <v>Stores TILI - May 2026 - Mist &amp; Lotions @999</v>
      </c>
      <c r="G346" s="208" t="str">
        <f>IFERROR(__xludf.DUMMYFUNCTION("""COMPUTED_VALUE"""),"Stores TILI - TILI_CX_RCS (2nd nudge)")</f>
        <v>Stores TILI - TILI_CX_RCS (2nd nudge)</v>
      </c>
      <c r="H346" s="208" t="str">
        <f>IFERROR(__xludf.DUMMYFUNCTION("""COMPUTED_VALUE"""),"VS_OFF_Tili_Event_Buyers_23_04_26")</f>
        <v>VS_OFF_Tili_Event_Buyers_23_04_26</v>
      </c>
      <c r="I346" s="233" t="str">
        <f>IFERROR(__xludf.DUMMYFUNCTION("""COMPUTED_VALUE"""),"Offline Customers who purchased from last TILI Event Dates 5th May 2023 to 7th May 2023, 6th Oct to 8th Oct 2023, 10th May 2024 to 12th May 2024, 25th Oct 2024 to 27th May 2024, 9th May 2025 to 11th May 2025, 2nd Oct 2025 to 5th Oct 2025 with Category_L1_"&amp;"Desc contains PERSONAL CARE")</f>
        <v>Offline Customers who purchased from last TILI Event Dates 5th May 2023 to 7th May 2023, 6th Oct to 8th Oct 2023, 10th May 2024 to 12th May 2024, 25th Oct 2024 to 27th May 2024, 9th May 2025 to 11th May 2025, 2nd Oct 2025 to 5th Oct 2025 with Category_L1_Desc contains PERSONAL CARE</v>
      </c>
      <c r="J346" s="275">
        <f>IFERROR(__xludf.DUMMYFUNCTION("""COMPUTED_VALUE"""),7099.0)</f>
        <v>7099</v>
      </c>
      <c r="K346" s="275">
        <f>IFERROR(__xludf.DUMMYFUNCTION("""COMPUTED_VALUE"""),4217.0)</f>
        <v>4217</v>
      </c>
      <c r="L346" s="276">
        <f>IFERROR(__xludf.DUMMYFUNCTION("""COMPUTED_VALUE"""),0.5939)</f>
        <v>0.5939</v>
      </c>
      <c r="M346" s="275">
        <f>IFERROR(__xludf.DUMMYFUNCTION("""COMPUTED_VALUE"""),977.0)</f>
        <v>977</v>
      </c>
      <c r="N346" s="276">
        <f>IFERROR(__xludf.DUMMYFUNCTION("""COMPUTED_VALUE"""),0.2317)</f>
        <v>0.2317</v>
      </c>
      <c r="O346" s="208">
        <f>IFERROR(__xludf.DUMMYFUNCTION("""COMPUTED_VALUE"""),0.0)</f>
        <v>0</v>
      </c>
      <c r="P346" s="208">
        <f>IFERROR(__xludf.DUMMYFUNCTION("""COMPUTED_VALUE"""),0.0)</f>
        <v>0</v>
      </c>
      <c r="Q346" s="276">
        <f>IFERROR(__xludf.DUMMYFUNCTION("""COMPUTED_VALUE"""),0.0)</f>
        <v>0</v>
      </c>
      <c r="R346" s="276">
        <f>IFERROR(__xludf.DUMMYFUNCTION("""COMPUTED_VALUE"""),0.0)</f>
        <v>0</v>
      </c>
      <c r="S346" s="208">
        <f>IFERROR(__xludf.DUMMYFUNCTION("""COMPUTED_VALUE"""),0.0)</f>
        <v>0</v>
      </c>
      <c r="T346" s="208">
        <f>IFERROR(__xludf.DUMMYFUNCTION("""COMPUTED_VALUE"""),0.0)</f>
        <v>0</v>
      </c>
      <c r="U346" s="275">
        <f>IFERROR(__xludf.DUMMYFUNCTION("""COMPUTED_VALUE"""),0.0)</f>
        <v>0</v>
      </c>
      <c r="V346" s="208" t="str">
        <f>IFERROR(__xludf.DUMMYFUNCTION("""COMPUTED_VALUE"""),"offline")</f>
        <v>offline</v>
      </c>
      <c r="W346" s="232" t="str">
        <f>IFERROR(__xludf.DUMMYFUNCTION("""COMPUTED_VALUE"""),"simple")</f>
        <v>simple</v>
      </c>
      <c r="X346" s="232" t="str">
        <f>IFERROR(__xludf.DUMMYFUNCTION("""COMPUTED_VALUE"""),"Event Buyers")</f>
        <v>Event Buyers</v>
      </c>
      <c r="Y346" s="232" t="str">
        <f>IFERROR(__xludf.DUMMYFUNCTION("""COMPUTED_VALUE"""),"2nd - 3rd May 2026")</f>
        <v>2nd - 3rd May 2026</v>
      </c>
      <c r="Z346" s="232" t="str">
        <f>IFERROR(__xludf.DUMMYFUNCTION("""COMPUTED_VALUE"""),"69f194ac262552af9ea17049")</f>
        <v>69f194ac262552af9ea17049</v>
      </c>
      <c r="AA346" s="277">
        <f>IFERROR(__xludf.DUMMYFUNCTION("""COMPUTED_VALUE"""),51.0)</f>
        <v>51</v>
      </c>
      <c r="AB346" s="277"/>
      <c r="AC346" s="277">
        <f>IFERROR(__xludf.DUMMYFUNCTION("""COMPUTED_VALUE"""),51.0)</f>
        <v>51</v>
      </c>
      <c r="AD346" s="277">
        <f>IFERROR(__xludf.DUMMYFUNCTION("""COMPUTED_VALUE"""),318745.0)</f>
        <v>318745</v>
      </c>
      <c r="AE346" s="277"/>
      <c r="AF346" s="277">
        <f>IFERROR(__xludf.DUMMYFUNCTION("""COMPUTED_VALUE"""),318745.0)</f>
        <v>318745</v>
      </c>
      <c r="AG346" s="208"/>
      <c r="AH346" s="208"/>
      <c r="AI346" s="208"/>
      <c r="AJ346" s="208"/>
      <c r="AK346" s="208"/>
    </row>
    <row r="347">
      <c r="A347" s="273">
        <f>IFERROR(__xludf.DUMMYFUNCTION("""COMPUTED_VALUE"""),46144.0)</f>
        <v>46144</v>
      </c>
      <c r="B347" s="274">
        <f>IFERROR(__xludf.DUMMYFUNCTION("""COMPUTED_VALUE"""),0.5034722222226264)</f>
        <v>0.5034722222</v>
      </c>
      <c r="C347" s="208" t="str">
        <f>IFERROR(__xludf.DUMMYFUNCTION("""COMPUTED_VALUE"""),"Whatsapp")</f>
        <v>Whatsapp</v>
      </c>
      <c r="D347" s="208" t="str">
        <f>IFERROR(__xludf.DUMMYFUNCTION("""COMPUTED_VALUE"""),"Promtional")</f>
        <v>Promtional</v>
      </c>
      <c r="E347" s="208" t="str">
        <f>IFERROR(__xludf.DUMMYFUNCTION("""COMPUTED_VALUE"""),"VS")</f>
        <v>VS</v>
      </c>
      <c r="F347" s="208" t="str">
        <f>IFERROR(__xludf.DUMMYFUNCTION("""COMPUTED_VALUE"""),"Stores TILI - May 2026 - Mist &amp; Lotions @999")</f>
        <v>Stores TILI - May 2026 - Mist &amp; Lotions @999</v>
      </c>
      <c r="G347" s="208" t="str">
        <f>IFERROR(__xludf.DUMMYFUNCTION("""COMPUTED_VALUE"""),"Stores TILI - Category_CX (2nd nudge)")</f>
        <v>Stores TILI - Category_CX (2nd nudge)</v>
      </c>
      <c r="H347" s="208" t="str">
        <f>IFERROR(__xludf.DUMMYFUNCTION("""COMPUTED_VALUE"""),"VS_OFF_Mist_Lotion_2_Time")</f>
        <v>VS_OFF_Mist_Lotion_2_Time</v>
      </c>
      <c r="I347" s="233" t="str">
        <f>IFERROR(__xludf.DUMMYFUNCTION("""COMPUTED_VALUE"""),"Offline Customers who have purchased at least 2 times from L3: Mist or Body Lotion in the last 1095 days")</f>
        <v>Offline Customers who have purchased at least 2 times from L3: Mist or Body Lotion in the last 1095 days</v>
      </c>
      <c r="J347" s="275">
        <f>IFERROR(__xludf.DUMMYFUNCTION("""COMPUTED_VALUE"""),6664.0)</f>
        <v>6664</v>
      </c>
      <c r="K347" s="275">
        <f>IFERROR(__xludf.DUMMYFUNCTION("""COMPUTED_VALUE"""),3931.0)</f>
        <v>3931</v>
      </c>
      <c r="L347" s="276">
        <f>IFERROR(__xludf.DUMMYFUNCTION("""COMPUTED_VALUE"""),0.5897)</f>
        <v>0.5897</v>
      </c>
      <c r="M347" s="275">
        <f>IFERROR(__xludf.DUMMYFUNCTION("""COMPUTED_VALUE"""),876.0)</f>
        <v>876</v>
      </c>
      <c r="N347" s="276">
        <f>IFERROR(__xludf.DUMMYFUNCTION("""COMPUTED_VALUE"""),0.2229)</f>
        <v>0.2229</v>
      </c>
      <c r="O347" s="208">
        <f>IFERROR(__xludf.DUMMYFUNCTION("""COMPUTED_VALUE"""),0.0)</f>
        <v>0</v>
      </c>
      <c r="P347" s="208">
        <f>IFERROR(__xludf.DUMMYFUNCTION("""COMPUTED_VALUE"""),0.0)</f>
        <v>0</v>
      </c>
      <c r="Q347" s="276">
        <f>IFERROR(__xludf.DUMMYFUNCTION("""COMPUTED_VALUE"""),0.0)</f>
        <v>0</v>
      </c>
      <c r="R347" s="276">
        <f>IFERROR(__xludf.DUMMYFUNCTION("""COMPUTED_VALUE"""),0.0)</f>
        <v>0</v>
      </c>
      <c r="S347" s="208">
        <f>IFERROR(__xludf.DUMMYFUNCTION("""COMPUTED_VALUE"""),0.0)</f>
        <v>0</v>
      </c>
      <c r="T347" s="208">
        <f>IFERROR(__xludf.DUMMYFUNCTION("""COMPUTED_VALUE"""),1.0)</f>
        <v>1</v>
      </c>
      <c r="U347" s="275">
        <f>IFERROR(__xludf.DUMMYFUNCTION("""COMPUTED_VALUE"""),0.0)</f>
        <v>0</v>
      </c>
      <c r="V347" s="208" t="str">
        <f>IFERROR(__xludf.DUMMYFUNCTION("""COMPUTED_VALUE"""),"offline")</f>
        <v>offline</v>
      </c>
      <c r="W347" s="232" t="str">
        <f>IFERROR(__xludf.DUMMYFUNCTION("""COMPUTED_VALUE"""),"simple")</f>
        <v>simple</v>
      </c>
      <c r="X347" s="232" t="str">
        <f>IFERROR(__xludf.DUMMYFUNCTION("""COMPUTED_VALUE"""),"Category Buyers")</f>
        <v>Category Buyers</v>
      </c>
      <c r="Y347" s="232" t="str">
        <f>IFERROR(__xludf.DUMMYFUNCTION("""COMPUTED_VALUE"""),"2nd - 3rd May 2026")</f>
        <v>2nd - 3rd May 2026</v>
      </c>
      <c r="Z347" s="232" t="str">
        <f>IFERROR(__xludf.DUMMYFUNCTION("""COMPUTED_VALUE"""),"69f19530721f5844bd8608b1")</f>
        <v>69f19530721f5844bd8608b1</v>
      </c>
      <c r="AA347" s="277">
        <f>IFERROR(__xludf.DUMMYFUNCTION("""COMPUTED_VALUE"""),43.0)</f>
        <v>43</v>
      </c>
      <c r="AB347" s="277"/>
      <c r="AC347" s="277">
        <f>IFERROR(__xludf.DUMMYFUNCTION("""COMPUTED_VALUE"""),43.0)</f>
        <v>43</v>
      </c>
      <c r="AD347" s="277">
        <f>IFERROR(__xludf.DUMMYFUNCTION("""COMPUTED_VALUE"""),276413.0)</f>
        <v>276413</v>
      </c>
      <c r="AE347" s="277"/>
      <c r="AF347" s="277">
        <f>IFERROR(__xludf.DUMMYFUNCTION("""COMPUTED_VALUE"""),276413.0)</f>
        <v>276413</v>
      </c>
      <c r="AG347" s="208"/>
      <c r="AH347" s="208"/>
      <c r="AI347" s="208"/>
      <c r="AJ347" s="208"/>
      <c r="AK347" s="208"/>
    </row>
    <row r="348">
      <c r="A348" s="273">
        <f>IFERROR(__xludf.DUMMYFUNCTION("""COMPUTED_VALUE"""),46144.0)</f>
        <v>46144</v>
      </c>
      <c r="B348" s="274">
        <f>IFERROR(__xludf.DUMMYFUNCTION("""COMPUTED_VALUE"""),0.5069444444452529)</f>
        <v>0.5069444444</v>
      </c>
      <c r="C348" s="208" t="str">
        <f>IFERROR(__xludf.DUMMYFUNCTION("""COMPUTED_VALUE"""),"Whatsapp")</f>
        <v>Whatsapp</v>
      </c>
      <c r="D348" s="208" t="str">
        <f>IFERROR(__xludf.DUMMYFUNCTION("""COMPUTED_VALUE"""),"Promtional")</f>
        <v>Promtional</v>
      </c>
      <c r="E348" s="208" t="str">
        <f>IFERROR(__xludf.DUMMYFUNCTION("""COMPUTED_VALUE"""),"VS")</f>
        <v>VS</v>
      </c>
      <c r="F348" s="208" t="str">
        <f>IFERROR(__xludf.DUMMYFUNCTION("""COMPUTED_VALUE"""),"Stores TILI - May 2026 - Mist &amp; Lotions @999")</f>
        <v>Stores TILI - May 2026 - Mist &amp; Lotions @999</v>
      </c>
      <c r="G348" s="208" t="str">
        <f>IFERROR(__xludf.DUMMYFUNCTION("""COMPUTED_VALUE"""),"Stores TILI - Low_ATV_CX (FB)")</f>
        <v>Stores TILI - Low_ATV_CX (FB)</v>
      </c>
      <c r="H348" s="208" t="str">
        <f>IFERROR(__xludf.DUMMYFUNCTION("""COMPUTED_VALUE"""),"VS_OFF_Predom_Below_1000")</f>
        <v>VS_OFF_Predom_Below_1000</v>
      </c>
      <c r="I348" s="233" t="str">
        <f>IFERROR(__xludf.DUMMYFUNCTION("""COMPUTED_VALUE"""),"Offline Customers who have purchased predominantly with cart value below ₹1,000 in the last 1095 days")</f>
        <v>Offline Customers who have purchased predominantly with cart value below ₹1,000 in the last 1095 days</v>
      </c>
      <c r="J348" s="275">
        <f>IFERROR(__xludf.DUMMYFUNCTION("""COMPUTED_VALUE"""),23093.0)</f>
        <v>23093</v>
      </c>
      <c r="K348" s="275">
        <f>IFERROR(__xludf.DUMMYFUNCTION("""COMPUTED_VALUE"""),11148.0)</f>
        <v>11148</v>
      </c>
      <c r="L348" s="276">
        <f>IFERROR(__xludf.DUMMYFUNCTION("""COMPUTED_VALUE"""),0.4827)</f>
        <v>0.4827</v>
      </c>
      <c r="M348" s="275">
        <f>IFERROR(__xludf.DUMMYFUNCTION("""COMPUTED_VALUE"""),2465.0)</f>
        <v>2465</v>
      </c>
      <c r="N348" s="276">
        <f>IFERROR(__xludf.DUMMYFUNCTION("""COMPUTED_VALUE"""),0.2211)</f>
        <v>0.2211</v>
      </c>
      <c r="O348" s="208">
        <f>IFERROR(__xludf.DUMMYFUNCTION("""COMPUTED_VALUE"""),0.0)</f>
        <v>0</v>
      </c>
      <c r="P348" s="208">
        <f>IFERROR(__xludf.DUMMYFUNCTION("""COMPUTED_VALUE"""),0.0)</f>
        <v>0</v>
      </c>
      <c r="Q348" s="276">
        <f>IFERROR(__xludf.DUMMYFUNCTION("""COMPUTED_VALUE"""),0.0)</f>
        <v>0</v>
      </c>
      <c r="R348" s="276">
        <f>IFERROR(__xludf.DUMMYFUNCTION("""COMPUTED_VALUE"""),0.0)</f>
        <v>0</v>
      </c>
      <c r="S348" s="208">
        <f>IFERROR(__xludf.DUMMYFUNCTION("""COMPUTED_VALUE"""),1.0)</f>
        <v>1</v>
      </c>
      <c r="T348" s="208">
        <f>IFERROR(__xludf.DUMMYFUNCTION("""COMPUTED_VALUE"""),2.0)</f>
        <v>2</v>
      </c>
      <c r="U348" s="275">
        <f>IFERROR(__xludf.DUMMYFUNCTION("""COMPUTED_VALUE"""),1100.0)</f>
        <v>1100</v>
      </c>
      <c r="V348" s="208" t="str">
        <f>IFERROR(__xludf.DUMMYFUNCTION("""COMPUTED_VALUE"""),"offline")</f>
        <v>offline</v>
      </c>
      <c r="W348" s="232" t="str">
        <f>IFERROR(__xludf.DUMMYFUNCTION("""COMPUTED_VALUE"""),"simple")</f>
        <v>simple</v>
      </c>
      <c r="X348" s="232" t="str">
        <f>IFERROR(__xludf.DUMMYFUNCTION("""COMPUTED_VALUE"""),"Cart Value")</f>
        <v>Cart Value</v>
      </c>
      <c r="Y348" s="232" t="str">
        <f>IFERROR(__xludf.DUMMYFUNCTION("""COMPUTED_VALUE"""),"2nd - 3rd May 2026")</f>
        <v>2nd - 3rd May 2026</v>
      </c>
      <c r="Z348" s="232" t="str">
        <f>IFERROR(__xludf.DUMMYFUNCTION("""COMPUTED_VALUE"""),"69f195f257bdb24c6880eab8")</f>
        <v>69f195f257bdb24c6880eab8</v>
      </c>
      <c r="AA348" s="277">
        <f>IFERROR(__xludf.DUMMYFUNCTION("""COMPUTED_VALUE"""),21.0)</f>
        <v>21</v>
      </c>
      <c r="AB348" s="277"/>
      <c r="AC348" s="277">
        <f>IFERROR(__xludf.DUMMYFUNCTION("""COMPUTED_VALUE"""),21.0)</f>
        <v>21</v>
      </c>
      <c r="AD348" s="277">
        <f>IFERROR(__xludf.DUMMYFUNCTION("""COMPUTED_VALUE"""),46053.0)</f>
        <v>46053</v>
      </c>
      <c r="AE348" s="277"/>
      <c r="AF348" s="277">
        <f>IFERROR(__xludf.DUMMYFUNCTION("""COMPUTED_VALUE"""),46053.0)</f>
        <v>46053</v>
      </c>
      <c r="AG348" s="208"/>
      <c r="AH348" s="208"/>
      <c r="AI348" s="208"/>
      <c r="AJ348" s="208"/>
      <c r="AK348" s="208"/>
    </row>
    <row r="349">
      <c r="A349" s="273">
        <f>IFERROR(__xludf.DUMMYFUNCTION("""COMPUTED_VALUE"""),46144.0)</f>
        <v>46144</v>
      </c>
      <c r="B349" s="274">
        <f>IFERROR(__xludf.DUMMYFUNCTION("""COMPUTED_VALUE"""),0.5104166666678793)</f>
        <v>0.5104166667</v>
      </c>
      <c r="C349" s="208" t="str">
        <f>IFERROR(__xludf.DUMMYFUNCTION("""COMPUTED_VALUE"""),"Whatsapp")</f>
        <v>Whatsapp</v>
      </c>
      <c r="D349" s="208" t="str">
        <f>IFERROR(__xludf.DUMMYFUNCTION("""COMPUTED_VALUE"""),"Promtional")</f>
        <v>Promtional</v>
      </c>
      <c r="E349" s="208" t="str">
        <f>IFERROR(__xludf.DUMMYFUNCTION("""COMPUTED_VALUE"""),"VS")</f>
        <v>VS</v>
      </c>
      <c r="F349" s="208" t="str">
        <f>IFERROR(__xludf.DUMMYFUNCTION("""COMPUTED_VALUE"""),"Stores TILI - May 2026 - Mist &amp; Lotions @999")</f>
        <v>Stores TILI - May 2026 - Mist &amp; Lotions @999</v>
      </c>
      <c r="G349" s="208" t="str">
        <f>IFERROR(__xludf.DUMMYFUNCTION("""COMPUTED_VALUE"""),"Stores TILI - Repeat_CX (2nd nudge)")</f>
        <v>Stores TILI - Repeat_CX (2nd nudge)</v>
      </c>
      <c r="H349" s="208" t="str">
        <f>IFERROR(__xludf.DUMMYFUNCTION("""COMPUTED_VALUE"""),"VS_OFF_Repeat_TILI_23_04_26")</f>
        <v>VS_OFF_Repeat_TILI_23_04_26</v>
      </c>
      <c r="I349" s="233" t="str">
        <f>IFERROR(__xludf.DUMMYFUNCTION("""COMPUTED_VALUE"""),"Offline Customers who have purchased at least 2 times in the last 1095 days")</f>
        <v>Offline Customers who have purchased at least 2 times in the last 1095 days</v>
      </c>
      <c r="J349" s="275">
        <f>IFERROR(__xludf.DUMMYFUNCTION("""COMPUTED_VALUE"""),33056.0)</f>
        <v>33056</v>
      </c>
      <c r="K349" s="275">
        <f>IFERROR(__xludf.DUMMYFUNCTION("""COMPUTED_VALUE"""),16297.0)</f>
        <v>16297</v>
      </c>
      <c r="L349" s="276">
        <f>IFERROR(__xludf.DUMMYFUNCTION("""COMPUTED_VALUE"""),0.493)</f>
        <v>0.493</v>
      </c>
      <c r="M349" s="275">
        <f>IFERROR(__xludf.DUMMYFUNCTION("""COMPUTED_VALUE"""),2938.0)</f>
        <v>2938</v>
      </c>
      <c r="N349" s="276">
        <f>IFERROR(__xludf.DUMMYFUNCTION("""COMPUTED_VALUE"""),0.1803)</f>
        <v>0.1803</v>
      </c>
      <c r="O349" s="208">
        <f>IFERROR(__xludf.DUMMYFUNCTION("""COMPUTED_VALUE"""),0.0)</f>
        <v>0</v>
      </c>
      <c r="P349" s="208">
        <f>IFERROR(__xludf.DUMMYFUNCTION("""COMPUTED_VALUE"""),0.0)</f>
        <v>0</v>
      </c>
      <c r="Q349" s="276">
        <f>IFERROR(__xludf.DUMMYFUNCTION("""COMPUTED_VALUE"""),0.0)</f>
        <v>0</v>
      </c>
      <c r="R349" s="276">
        <f>IFERROR(__xludf.DUMMYFUNCTION("""COMPUTED_VALUE"""),0.0)</f>
        <v>0</v>
      </c>
      <c r="S349" s="208">
        <f>IFERROR(__xludf.DUMMYFUNCTION("""COMPUTED_VALUE"""),2.0)</f>
        <v>2</v>
      </c>
      <c r="T349" s="208">
        <f>IFERROR(__xludf.DUMMYFUNCTION("""COMPUTED_VALUE"""),9.0)</f>
        <v>9</v>
      </c>
      <c r="U349" s="275">
        <f>IFERROR(__xludf.DUMMYFUNCTION("""COMPUTED_VALUE"""),18246.0)</f>
        <v>18246</v>
      </c>
      <c r="V349" s="208" t="str">
        <f>IFERROR(__xludf.DUMMYFUNCTION("""COMPUTED_VALUE"""),"offline")</f>
        <v>offline</v>
      </c>
      <c r="W349" s="232" t="str">
        <f>IFERROR(__xludf.DUMMYFUNCTION("""COMPUTED_VALUE"""),"simple")</f>
        <v>simple</v>
      </c>
      <c r="X349" s="232" t="str">
        <f>IFERROR(__xludf.DUMMYFUNCTION("""COMPUTED_VALUE"""),"Repeat")</f>
        <v>Repeat</v>
      </c>
      <c r="Y349" s="232" t="str">
        <f>IFERROR(__xludf.DUMMYFUNCTION("""COMPUTED_VALUE"""),"2nd - 3rd May 2026")</f>
        <v>2nd - 3rd May 2026</v>
      </c>
      <c r="Z349" s="232" t="str">
        <f>IFERROR(__xludf.DUMMYFUNCTION("""COMPUTED_VALUE"""),"69f19649acab5a0d4df2113a")</f>
        <v>69f19649acab5a0d4df2113a</v>
      </c>
      <c r="AA349" s="277">
        <f>IFERROR(__xludf.DUMMYFUNCTION("""COMPUTED_VALUE"""),82.0)</f>
        <v>82</v>
      </c>
      <c r="AB349" s="277"/>
      <c r="AC349" s="277">
        <f>IFERROR(__xludf.DUMMYFUNCTION("""COMPUTED_VALUE"""),82.0)</f>
        <v>82</v>
      </c>
      <c r="AD349" s="277">
        <f>IFERROR(__xludf.DUMMYFUNCTION("""COMPUTED_VALUE"""),856928.0)</f>
        <v>856928</v>
      </c>
      <c r="AE349" s="277"/>
      <c r="AF349" s="277">
        <f>IFERROR(__xludf.DUMMYFUNCTION("""COMPUTED_VALUE"""),856928.0)</f>
        <v>856928</v>
      </c>
      <c r="AG349" s="208"/>
      <c r="AH349" s="208"/>
      <c r="AI349" s="208"/>
      <c r="AJ349" s="208"/>
      <c r="AK349" s="208"/>
    </row>
    <row r="350">
      <c r="A350" s="273">
        <f>IFERROR(__xludf.DUMMYFUNCTION("""COMPUTED_VALUE"""),46144.0)</f>
        <v>46144</v>
      </c>
      <c r="B350" s="274">
        <f>IFERROR(__xludf.DUMMYFUNCTION("""COMPUTED_VALUE"""),0.5138888888905058)</f>
        <v>0.5138888889</v>
      </c>
      <c r="C350" s="208" t="str">
        <f>IFERROR(__xludf.DUMMYFUNCTION("""COMPUTED_VALUE"""),"Whatsapp")</f>
        <v>Whatsapp</v>
      </c>
      <c r="D350" s="208" t="str">
        <f>IFERROR(__xludf.DUMMYFUNCTION("""COMPUTED_VALUE"""),"Promtional")</f>
        <v>Promtional</v>
      </c>
      <c r="E350" s="208" t="str">
        <f>IFERROR(__xludf.DUMMYFUNCTION("""COMPUTED_VALUE"""),"VS")</f>
        <v>VS</v>
      </c>
      <c r="F350" s="208" t="str">
        <f>IFERROR(__xludf.DUMMYFUNCTION("""COMPUTED_VALUE"""),"Stores TILI - May 2026 - Mist &amp; Lotions @999")</f>
        <v>Stores TILI - May 2026 - Mist &amp; Lotions @999</v>
      </c>
      <c r="G350" s="208" t="str">
        <f>IFERROR(__xludf.DUMMYFUNCTION("""COMPUTED_VALUE"""),"Stores TILI - Dorm_CX_365D (2nd nudge)")</f>
        <v>Stores TILI - Dorm_CX_365D (2nd nudge)</v>
      </c>
      <c r="H350" s="208" t="str">
        <f>IFERROR(__xludf.DUMMYFUNCTION("""COMPUTED_VALUE"""),"VS_OFF_1_Time_365D_TILI_23_04_26")</f>
        <v>VS_OFF_1_Time_365D_TILI_23_04_26</v>
      </c>
      <c r="I350" s="233" t="str">
        <f>IFERROR(__xludf.DUMMYFUNCTION("""COMPUTED_VALUE"""),"Offline Customers who have purchased at least 1 time in between 1 day ago and 365 days ago")</f>
        <v>Offline Customers who have purchased at least 1 time in between 1 day ago and 365 days ago</v>
      </c>
      <c r="J350" s="275">
        <f>IFERROR(__xludf.DUMMYFUNCTION("""COMPUTED_VALUE"""),69865.0)</f>
        <v>69865</v>
      </c>
      <c r="K350" s="275">
        <f>IFERROR(__xludf.DUMMYFUNCTION("""COMPUTED_VALUE"""),39657.0)</f>
        <v>39657</v>
      </c>
      <c r="L350" s="276">
        <f>IFERROR(__xludf.DUMMYFUNCTION("""COMPUTED_VALUE"""),0.5676)</f>
        <v>0.5676</v>
      </c>
      <c r="M350" s="275">
        <f>IFERROR(__xludf.DUMMYFUNCTION("""COMPUTED_VALUE"""),9339.0)</f>
        <v>9339</v>
      </c>
      <c r="N350" s="276">
        <f>IFERROR(__xludf.DUMMYFUNCTION("""COMPUTED_VALUE"""),0.2354)</f>
        <v>0.2354</v>
      </c>
      <c r="O350" s="208">
        <f>IFERROR(__xludf.DUMMYFUNCTION("""COMPUTED_VALUE"""),0.0)</f>
        <v>0</v>
      </c>
      <c r="P350" s="208">
        <f>IFERROR(__xludf.DUMMYFUNCTION("""COMPUTED_VALUE"""),0.0)</f>
        <v>0</v>
      </c>
      <c r="Q350" s="276">
        <f>IFERROR(__xludf.DUMMYFUNCTION("""COMPUTED_VALUE"""),0.0)</f>
        <v>0</v>
      </c>
      <c r="R350" s="276">
        <f>IFERROR(__xludf.DUMMYFUNCTION("""COMPUTED_VALUE"""),0.0)</f>
        <v>0</v>
      </c>
      <c r="S350" s="208">
        <f>IFERROR(__xludf.DUMMYFUNCTION("""COMPUTED_VALUE"""),3.0)</f>
        <v>3</v>
      </c>
      <c r="T350" s="208">
        <f>IFERROR(__xludf.DUMMYFUNCTION("""COMPUTED_VALUE"""),10.0)</f>
        <v>10</v>
      </c>
      <c r="U350" s="275">
        <f>IFERROR(__xludf.DUMMYFUNCTION("""COMPUTED_VALUE"""),5064.0)</f>
        <v>5064</v>
      </c>
      <c r="V350" s="208" t="str">
        <f>IFERROR(__xludf.DUMMYFUNCTION("""COMPUTED_VALUE"""),"offline")</f>
        <v>offline</v>
      </c>
      <c r="W350" s="232" t="str">
        <f>IFERROR(__xludf.DUMMYFUNCTION("""COMPUTED_VALUE"""),"simple")</f>
        <v>simple</v>
      </c>
      <c r="X350" s="232" t="str">
        <f>IFERROR(__xludf.DUMMYFUNCTION("""COMPUTED_VALUE"""),"Generic")</f>
        <v>Generic</v>
      </c>
      <c r="Y350" s="232" t="str">
        <f>IFERROR(__xludf.DUMMYFUNCTION("""COMPUTED_VALUE"""),"2nd - 3rd May 2026")</f>
        <v>2nd - 3rd May 2026</v>
      </c>
      <c r="Z350" s="232" t="str">
        <f>IFERROR(__xludf.DUMMYFUNCTION("""COMPUTED_VALUE"""),"69f19728786c43432d331a53")</f>
        <v>69f19728786c43432d331a53</v>
      </c>
      <c r="AA350" s="277">
        <f>IFERROR(__xludf.DUMMYFUNCTION("""COMPUTED_VALUE"""),102.0)</f>
        <v>102</v>
      </c>
      <c r="AB350" s="277"/>
      <c r="AC350" s="277">
        <f>IFERROR(__xludf.DUMMYFUNCTION("""COMPUTED_VALUE"""),102.0)</f>
        <v>102</v>
      </c>
      <c r="AD350" s="277">
        <f>IFERROR(__xludf.DUMMYFUNCTION("""COMPUTED_VALUE"""),702105.0)</f>
        <v>702105</v>
      </c>
      <c r="AE350" s="277"/>
      <c r="AF350" s="277">
        <f>IFERROR(__xludf.DUMMYFUNCTION("""COMPUTED_VALUE"""),702105.0)</f>
        <v>702105</v>
      </c>
      <c r="AG350" s="208"/>
      <c r="AH350" s="208"/>
      <c r="AI350" s="208"/>
      <c r="AJ350" s="208"/>
      <c r="AK350" s="208"/>
    </row>
    <row r="351">
      <c r="A351" s="273">
        <f>IFERROR(__xludf.DUMMYFUNCTION("""COMPUTED_VALUE"""),46144.0)</f>
        <v>46144</v>
      </c>
      <c r="B351" s="274">
        <f>IFERROR(__xludf.DUMMYFUNCTION("""COMPUTED_VALUE"""),0.5173611111094942)</f>
        <v>0.5173611111</v>
      </c>
      <c r="C351" s="208" t="str">
        <f>IFERROR(__xludf.DUMMYFUNCTION("""COMPUTED_VALUE"""),"Whatsapp")</f>
        <v>Whatsapp</v>
      </c>
      <c r="D351" s="208" t="str">
        <f>IFERROR(__xludf.DUMMYFUNCTION("""COMPUTED_VALUE"""),"Promtional")</f>
        <v>Promtional</v>
      </c>
      <c r="E351" s="208" t="str">
        <f>IFERROR(__xludf.DUMMYFUNCTION("""COMPUTED_VALUE"""),"VS")</f>
        <v>VS</v>
      </c>
      <c r="F351" s="208" t="str">
        <f>IFERROR(__xludf.DUMMYFUNCTION("""COMPUTED_VALUE"""),"Stores TILI - May 2026 - Mist &amp; Lotions @999")</f>
        <v>Stores TILI - May 2026 - Mist &amp; Lotions @999</v>
      </c>
      <c r="G351" s="208" t="str">
        <f>IFERROR(__xludf.DUMMYFUNCTION("""COMPUTED_VALUE"""),"Stores TILI - Dorm_CX_730D (2nd nudge)")</f>
        <v>Stores TILI - Dorm_CX_730D (2nd nudge)</v>
      </c>
      <c r="H351" s="208" t="str">
        <f>IFERROR(__xludf.DUMMYFUNCTION("""COMPUTED_VALUE"""),"VS_OFF_1_Time_730D_TILI_23_04_26")</f>
        <v>VS_OFF_1_Time_730D_TILI_23_04_26</v>
      </c>
      <c r="I351" s="233" t="str">
        <f>IFERROR(__xludf.DUMMYFUNCTION("""COMPUTED_VALUE"""),"Offline Customers who have purchased at least 1 time in between 366 day ago and 730 days ago")</f>
        <v>Offline Customers who have purchased at least 1 time in between 366 day ago and 730 days ago</v>
      </c>
      <c r="J351" s="275">
        <f>IFERROR(__xludf.DUMMYFUNCTION("""COMPUTED_VALUE"""),46669.0)</f>
        <v>46669</v>
      </c>
      <c r="K351" s="275">
        <f>IFERROR(__xludf.DUMMYFUNCTION("""COMPUTED_VALUE"""),24824.0)</f>
        <v>24824</v>
      </c>
      <c r="L351" s="276">
        <f>IFERROR(__xludf.DUMMYFUNCTION("""COMPUTED_VALUE"""),0.5319)</f>
        <v>0.5319</v>
      </c>
      <c r="M351" s="275">
        <f>IFERROR(__xludf.DUMMYFUNCTION("""COMPUTED_VALUE"""),5265.0)</f>
        <v>5265</v>
      </c>
      <c r="N351" s="276">
        <f>IFERROR(__xludf.DUMMYFUNCTION("""COMPUTED_VALUE"""),0.212)</f>
        <v>0.212</v>
      </c>
      <c r="O351" s="208">
        <f>IFERROR(__xludf.DUMMYFUNCTION("""COMPUTED_VALUE"""),0.0)</f>
        <v>0</v>
      </c>
      <c r="P351" s="208">
        <f>IFERROR(__xludf.DUMMYFUNCTION("""COMPUTED_VALUE"""),0.0)</f>
        <v>0</v>
      </c>
      <c r="Q351" s="276">
        <f>IFERROR(__xludf.DUMMYFUNCTION("""COMPUTED_VALUE"""),0.0)</f>
        <v>0</v>
      </c>
      <c r="R351" s="276">
        <f>IFERROR(__xludf.DUMMYFUNCTION("""COMPUTED_VALUE"""),0.0)</f>
        <v>0</v>
      </c>
      <c r="S351" s="208">
        <f>IFERROR(__xludf.DUMMYFUNCTION("""COMPUTED_VALUE"""),0.0)</f>
        <v>0</v>
      </c>
      <c r="T351" s="208">
        <f>IFERROR(__xludf.DUMMYFUNCTION("""COMPUTED_VALUE"""),2.0)</f>
        <v>2</v>
      </c>
      <c r="U351" s="275">
        <f>IFERROR(__xludf.DUMMYFUNCTION("""COMPUTED_VALUE"""),0.0)</f>
        <v>0</v>
      </c>
      <c r="V351" s="208" t="str">
        <f>IFERROR(__xludf.DUMMYFUNCTION("""COMPUTED_VALUE"""),"offline")</f>
        <v>offline</v>
      </c>
      <c r="W351" s="232" t="str">
        <f>IFERROR(__xludf.DUMMYFUNCTION("""COMPUTED_VALUE"""),"simple")</f>
        <v>simple</v>
      </c>
      <c r="X351" s="232" t="str">
        <f>IFERROR(__xludf.DUMMYFUNCTION("""COMPUTED_VALUE"""),"Churned")</f>
        <v>Churned</v>
      </c>
      <c r="Y351" s="232" t="str">
        <f>IFERROR(__xludf.DUMMYFUNCTION("""COMPUTED_VALUE"""),"2nd - 3rd May 2026")</f>
        <v>2nd - 3rd May 2026</v>
      </c>
      <c r="Z351" s="232" t="str">
        <f>IFERROR(__xludf.DUMMYFUNCTION("""COMPUTED_VALUE"""),"69f19775461c6b5446e8b069")</f>
        <v>69f19775461c6b5446e8b069</v>
      </c>
      <c r="AA351" s="277">
        <f>IFERROR(__xludf.DUMMYFUNCTION("""COMPUTED_VALUE"""),42.0)</f>
        <v>42</v>
      </c>
      <c r="AB351" s="277"/>
      <c r="AC351" s="277">
        <f>IFERROR(__xludf.DUMMYFUNCTION("""COMPUTED_VALUE"""),42.0)</f>
        <v>42</v>
      </c>
      <c r="AD351" s="277">
        <f>IFERROR(__xludf.DUMMYFUNCTION("""COMPUTED_VALUE"""),256484.0)</f>
        <v>256484</v>
      </c>
      <c r="AE351" s="277"/>
      <c r="AF351" s="277">
        <f>IFERROR(__xludf.DUMMYFUNCTION("""COMPUTED_VALUE"""),256484.0)</f>
        <v>256484</v>
      </c>
      <c r="AG351" s="208"/>
      <c r="AH351" s="208"/>
      <c r="AI351" s="208"/>
      <c r="AJ351" s="208"/>
      <c r="AK351" s="208"/>
    </row>
    <row r="352">
      <c r="A352" s="273">
        <f>IFERROR(__xludf.DUMMYFUNCTION("""COMPUTED_VALUE"""),46144.0)</f>
        <v>46144</v>
      </c>
      <c r="B352" s="274">
        <f>IFERROR(__xludf.DUMMYFUNCTION("""COMPUTED_VALUE"""),0.5208333333321207)</f>
        <v>0.5208333333</v>
      </c>
      <c r="C352" s="208" t="str">
        <f>IFERROR(__xludf.DUMMYFUNCTION("""COMPUTED_VALUE"""),"Whatsapp")</f>
        <v>Whatsapp</v>
      </c>
      <c r="D352" s="208" t="str">
        <f>IFERROR(__xludf.DUMMYFUNCTION("""COMPUTED_VALUE"""),"Promtional")</f>
        <v>Promtional</v>
      </c>
      <c r="E352" s="208" t="str">
        <f>IFERROR(__xludf.DUMMYFUNCTION("""COMPUTED_VALUE"""),"VS")</f>
        <v>VS</v>
      </c>
      <c r="F352" s="208" t="str">
        <f>IFERROR(__xludf.DUMMYFUNCTION("""COMPUTED_VALUE"""),"Stores TILI - May 2026 - Mist &amp; Lotions @999")</f>
        <v>Stores TILI - May 2026 - Mist &amp; Lotions @999</v>
      </c>
      <c r="G352" s="208" t="str">
        <f>IFERROR(__xludf.DUMMYFUNCTION("""COMPUTED_VALUE"""),"Stores TILI - Dorm_CX_1095D (2nd nudge)")</f>
        <v>Stores TILI - Dorm_CX_1095D (2nd nudge)</v>
      </c>
      <c r="H352" s="208" t="str">
        <f>IFERROR(__xludf.DUMMYFUNCTION("""COMPUTED_VALUE"""),"VS_OFF_1_Time_1095D_TILI_23_04_26")</f>
        <v>VS_OFF_1_Time_1095D_TILI_23_04_26</v>
      </c>
      <c r="I352" s="233" t="str">
        <f>IFERROR(__xludf.DUMMYFUNCTION("""COMPUTED_VALUE"""),"Offline Customers who have purchased at least 1 time in between 731 day ago and 1095 days ago")</f>
        <v>Offline Customers who have purchased at least 1 time in between 731 day ago and 1095 days ago</v>
      </c>
      <c r="J352" s="275">
        <f>IFERROR(__xludf.DUMMYFUNCTION("""COMPUTED_VALUE"""),7374.0)</f>
        <v>7374</v>
      </c>
      <c r="K352" s="275">
        <f>IFERROR(__xludf.DUMMYFUNCTION("""COMPUTED_VALUE"""),3539.0)</f>
        <v>3539</v>
      </c>
      <c r="L352" s="276">
        <f>IFERROR(__xludf.DUMMYFUNCTION("""COMPUTED_VALUE"""),0.4799)</f>
        <v>0.4799</v>
      </c>
      <c r="M352" s="275">
        <f>IFERROR(__xludf.DUMMYFUNCTION("""COMPUTED_VALUE"""),648.0)</f>
        <v>648</v>
      </c>
      <c r="N352" s="276">
        <f>IFERROR(__xludf.DUMMYFUNCTION("""COMPUTED_VALUE"""),0.1831)</f>
        <v>0.1831</v>
      </c>
      <c r="O352" s="208">
        <f>IFERROR(__xludf.DUMMYFUNCTION("""COMPUTED_VALUE"""),0.0)</f>
        <v>0</v>
      </c>
      <c r="P352" s="208">
        <f>IFERROR(__xludf.DUMMYFUNCTION("""COMPUTED_VALUE"""),0.0)</f>
        <v>0</v>
      </c>
      <c r="Q352" s="276">
        <f>IFERROR(__xludf.DUMMYFUNCTION("""COMPUTED_VALUE"""),0.0)</f>
        <v>0</v>
      </c>
      <c r="R352" s="276">
        <f>IFERROR(__xludf.DUMMYFUNCTION("""COMPUTED_VALUE"""),0.0)</f>
        <v>0</v>
      </c>
      <c r="S352" s="208">
        <f>IFERROR(__xludf.DUMMYFUNCTION("""COMPUTED_VALUE"""),0.0)</f>
        <v>0</v>
      </c>
      <c r="T352" s="208">
        <f>IFERROR(__xludf.DUMMYFUNCTION("""COMPUTED_VALUE"""),0.0)</f>
        <v>0</v>
      </c>
      <c r="U352" s="275">
        <f>IFERROR(__xludf.DUMMYFUNCTION("""COMPUTED_VALUE"""),0.0)</f>
        <v>0</v>
      </c>
      <c r="V352" s="208" t="str">
        <f>IFERROR(__xludf.DUMMYFUNCTION("""COMPUTED_VALUE"""),"offline")</f>
        <v>offline</v>
      </c>
      <c r="W352" s="232" t="str">
        <f>IFERROR(__xludf.DUMMYFUNCTION("""COMPUTED_VALUE"""),"simple")</f>
        <v>simple</v>
      </c>
      <c r="X352" s="232" t="str">
        <f>IFERROR(__xludf.DUMMYFUNCTION("""COMPUTED_VALUE"""),"Churned")</f>
        <v>Churned</v>
      </c>
      <c r="Y352" s="232" t="str">
        <f>IFERROR(__xludf.DUMMYFUNCTION("""COMPUTED_VALUE"""),"2nd - 3rd May 2026")</f>
        <v>2nd - 3rd May 2026</v>
      </c>
      <c r="Z352" s="232" t="str">
        <f>IFERROR(__xludf.DUMMYFUNCTION("""COMPUTED_VALUE"""),"69f197b9b9c7de075673a3c8")</f>
        <v>69f197b9b9c7de075673a3c8</v>
      </c>
      <c r="AA352" s="277">
        <f>IFERROR(__xludf.DUMMYFUNCTION("""COMPUTED_VALUE"""),3.0)</f>
        <v>3</v>
      </c>
      <c r="AB352" s="277"/>
      <c r="AC352" s="277">
        <f>IFERROR(__xludf.DUMMYFUNCTION("""COMPUTED_VALUE"""),3.0)</f>
        <v>3</v>
      </c>
      <c r="AD352" s="277">
        <f>IFERROR(__xludf.DUMMYFUNCTION("""COMPUTED_VALUE"""),30239.0)</f>
        <v>30239</v>
      </c>
      <c r="AE352" s="277"/>
      <c r="AF352" s="277">
        <f>IFERROR(__xludf.DUMMYFUNCTION("""COMPUTED_VALUE"""),30239.0)</f>
        <v>30239</v>
      </c>
      <c r="AG352" s="208"/>
      <c r="AH352" s="208"/>
      <c r="AI352" s="208"/>
      <c r="AJ352" s="208"/>
      <c r="AK352" s="208"/>
    </row>
    <row r="353">
      <c r="A353" s="273">
        <f>IFERROR(__xludf.DUMMYFUNCTION("""COMPUTED_VALUE"""),46144.0)</f>
        <v>46144</v>
      </c>
      <c r="B353" s="274">
        <f>IFERROR(__xludf.DUMMYFUNCTION("""COMPUTED_VALUE"""),0.5833333333321207)</f>
        <v>0.5833333333</v>
      </c>
      <c r="C353" s="208" t="str">
        <f>IFERROR(__xludf.DUMMYFUNCTION("""COMPUTED_VALUE"""),"Sms")</f>
        <v>Sms</v>
      </c>
      <c r="D353" s="208" t="str">
        <f>IFERROR(__xludf.DUMMYFUNCTION("""COMPUTED_VALUE"""),"Fallback campaign")</f>
        <v>Fallback campaign</v>
      </c>
      <c r="E353" s="208" t="str">
        <f>IFERROR(__xludf.DUMMYFUNCTION("""COMPUTED_VALUE"""),"VS")</f>
        <v>VS</v>
      </c>
      <c r="F353" s="208" t="str">
        <f>IFERROR(__xludf.DUMMYFUNCTION("""COMPUTED_VALUE"""),"Stores TILI - May 2026 - Mist &amp; Lotions at ₹999")</f>
        <v>Stores TILI - May 2026 - Mist &amp; Lotions at ₹999</v>
      </c>
      <c r="G353" s="208" t="str">
        <f>IFERROR(__xludf.DUMMYFUNCTION("""COMPUTED_VALUE"""),"Stores TILI - TILI_CX_RCS_2nd Nudge (FB)")</f>
        <v>Stores TILI - TILI_CX_RCS_2nd Nudge (FB)</v>
      </c>
      <c r="H353" s="208" t="str">
        <f>IFERROR(__xludf.DUMMYFUNCTION("""COMPUTED_VALUE"""),"VS_OFF_Tili_Event_Buyers_23_04_26")</f>
        <v>VS_OFF_Tili_Event_Buyers_23_04_26</v>
      </c>
      <c r="I353" s="233" t="str">
        <f>IFERROR(__xludf.DUMMYFUNCTION("""COMPUTED_VALUE"""),"WA Undelivered")</f>
        <v>WA Undelivered</v>
      </c>
      <c r="J353" s="275">
        <f>IFERROR(__xludf.DUMMYFUNCTION("""COMPUTED_VALUE"""),2529.0)</f>
        <v>2529</v>
      </c>
      <c r="K353" s="275">
        <f>IFERROR(__xludf.DUMMYFUNCTION("""COMPUTED_VALUE"""),1591.0)</f>
        <v>1591</v>
      </c>
      <c r="L353" s="276">
        <f>IFERROR(__xludf.DUMMYFUNCTION("""COMPUTED_VALUE"""),0.6291)</f>
        <v>0.6291</v>
      </c>
      <c r="M353" s="275">
        <f>IFERROR(__xludf.DUMMYFUNCTION("""COMPUTED_VALUE"""),0.0)</f>
        <v>0</v>
      </c>
      <c r="N353" s="276">
        <f>IFERROR(__xludf.DUMMYFUNCTION("""COMPUTED_VALUE"""),0.0)</f>
        <v>0</v>
      </c>
      <c r="O353" s="208">
        <f>IFERROR(__xludf.DUMMYFUNCTION("""COMPUTED_VALUE"""),0.0)</f>
        <v>0</v>
      </c>
      <c r="P353" s="208">
        <f>IFERROR(__xludf.DUMMYFUNCTION("""COMPUTED_VALUE"""),0.0)</f>
        <v>0</v>
      </c>
      <c r="Q353" s="276">
        <f>IFERROR(__xludf.DUMMYFUNCTION("""COMPUTED_VALUE"""),0.0)</f>
        <v>0</v>
      </c>
      <c r="R353" s="276">
        <f>IFERROR(__xludf.DUMMYFUNCTION("""COMPUTED_VALUE"""),0.0)</f>
        <v>0</v>
      </c>
      <c r="S353" s="208">
        <f>IFERROR(__xludf.DUMMYFUNCTION("""COMPUTED_VALUE"""),0.0)</f>
        <v>0</v>
      </c>
      <c r="T353" s="208">
        <f>IFERROR(__xludf.DUMMYFUNCTION("""COMPUTED_VALUE"""),0.0)</f>
        <v>0</v>
      </c>
      <c r="U353" s="275">
        <f>IFERROR(__xludf.DUMMYFUNCTION("""COMPUTED_VALUE"""),0.0)</f>
        <v>0</v>
      </c>
      <c r="V353" s="208" t="str">
        <f>IFERROR(__xludf.DUMMYFUNCTION("""COMPUTED_VALUE"""),"offline")</f>
        <v>offline</v>
      </c>
      <c r="W353" s="232" t="str">
        <f>IFERROR(__xludf.DUMMYFUNCTION("""COMPUTED_VALUE"""),"sms")</f>
        <v>sms</v>
      </c>
      <c r="X353" s="232" t="str">
        <f>IFERROR(__xludf.DUMMYFUNCTION("""COMPUTED_VALUE"""),"Event Buyers")</f>
        <v>Event Buyers</v>
      </c>
      <c r="Y353" s="232" t="str">
        <f>IFERROR(__xludf.DUMMYFUNCTION("""COMPUTED_VALUE"""),"2nd - 3rd May 2026")</f>
        <v>2nd - 3rd May 2026</v>
      </c>
      <c r="Z353" s="232" t="str">
        <f>IFERROR(__xludf.DUMMYFUNCTION("""COMPUTED_VALUE"""),"69f1a2a3ce77777c6f7bcb9e")</f>
        <v>69f1a2a3ce77777c6f7bcb9e</v>
      </c>
      <c r="AA353" s="277">
        <f>IFERROR(__xludf.DUMMYFUNCTION("""COMPUTED_VALUE"""),11.0)</f>
        <v>11</v>
      </c>
      <c r="AB353" s="277"/>
      <c r="AC353" s="277">
        <f>IFERROR(__xludf.DUMMYFUNCTION("""COMPUTED_VALUE"""),11.0)</f>
        <v>11</v>
      </c>
      <c r="AD353" s="277">
        <f>IFERROR(__xludf.DUMMYFUNCTION("""COMPUTED_VALUE"""),47623.0)</f>
        <v>47623</v>
      </c>
      <c r="AE353" s="277"/>
      <c r="AF353" s="277">
        <f>IFERROR(__xludf.DUMMYFUNCTION("""COMPUTED_VALUE"""),47623.0)</f>
        <v>47623</v>
      </c>
      <c r="AG353" s="208"/>
      <c r="AH353" s="208"/>
      <c r="AI353" s="208"/>
      <c r="AJ353" s="208"/>
      <c r="AK353" s="208"/>
    </row>
    <row r="354">
      <c r="A354" s="273">
        <f>IFERROR(__xludf.DUMMYFUNCTION("""COMPUTED_VALUE"""),46144.0)</f>
        <v>46144</v>
      </c>
      <c r="B354" s="274">
        <f>IFERROR(__xludf.DUMMYFUNCTION("""COMPUTED_VALUE"""),0.5868055555547471)</f>
        <v>0.5868055556</v>
      </c>
      <c r="C354" s="208" t="str">
        <f>IFERROR(__xludf.DUMMYFUNCTION("""COMPUTED_VALUE"""),"Sms")</f>
        <v>Sms</v>
      </c>
      <c r="D354" s="208" t="str">
        <f>IFERROR(__xludf.DUMMYFUNCTION("""COMPUTED_VALUE"""),"Fallback campaign")</f>
        <v>Fallback campaign</v>
      </c>
      <c r="E354" s="208" t="str">
        <f>IFERROR(__xludf.DUMMYFUNCTION("""COMPUTED_VALUE"""),"VS")</f>
        <v>VS</v>
      </c>
      <c r="F354" s="208" t="str">
        <f>IFERROR(__xludf.DUMMYFUNCTION("""COMPUTED_VALUE"""),"Stores TILI - May 2026 - Mist &amp; Lotions at ₹999")</f>
        <v>Stores TILI - May 2026 - Mist &amp; Lotions at ₹999</v>
      </c>
      <c r="G354" s="208" t="str">
        <f>IFERROR(__xludf.DUMMYFUNCTION("""COMPUTED_VALUE"""),"Stores TILI - Category_CX_2nd Nudge (FD)")</f>
        <v>Stores TILI - Category_CX_2nd Nudge (FD)</v>
      </c>
      <c r="H354" s="208" t="str">
        <f>IFERROR(__xludf.DUMMYFUNCTION("""COMPUTED_VALUE"""),"VS_OFF_Mist_Lotion_2_Time")</f>
        <v>VS_OFF_Mist_Lotion_2_Time</v>
      </c>
      <c r="I354" s="233" t="str">
        <f>IFERROR(__xludf.DUMMYFUNCTION("""COMPUTED_VALUE"""),"WA Undelivered")</f>
        <v>WA Undelivered</v>
      </c>
      <c r="J354" s="275">
        <f>IFERROR(__xludf.DUMMYFUNCTION("""COMPUTED_VALUE"""),2486.0)</f>
        <v>2486</v>
      </c>
      <c r="K354" s="275">
        <f>IFERROR(__xludf.DUMMYFUNCTION("""COMPUTED_VALUE"""),1598.0)</f>
        <v>1598</v>
      </c>
      <c r="L354" s="276">
        <f>IFERROR(__xludf.DUMMYFUNCTION("""COMPUTED_VALUE"""),0.6428)</f>
        <v>0.6428</v>
      </c>
      <c r="M354" s="275">
        <f>IFERROR(__xludf.DUMMYFUNCTION("""COMPUTED_VALUE"""),0.0)</f>
        <v>0</v>
      </c>
      <c r="N354" s="276">
        <f>IFERROR(__xludf.DUMMYFUNCTION("""COMPUTED_VALUE"""),0.0)</f>
        <v>0</v>
      </c>
      <c r="O354" s="208">
        <f>IFERROR(__xludf.DUMMYFUNCTION("""COMPUTED_VALUE"""),0.0)</f>
        <v>0</v>
      </c>
      <c r="P354" s="208">
        <f>IFERROR(__xludf.DUMMYFUNCTION("""COMPUTED_VALUE"""),0.0)</f>
        <v>0</v>
      </c>
      <c r="Q354" s="276">
        <f>IFERROR(__xludf.DUMMYFUNCTION("""COMPUTED_VALUE"""),0.0)</f>
        <v>0</v>
      </c>
      <c r="R354" s="276">
        <f>IFERROR(__xludf.DUMMYFUNCTION("""COMPUTED_VALUE"""),0.0)</f>
        <v>0</v>
      </c>
      <c r="S354" s="208">
        <f>IFERROR(__xludf.DUMMYFUNCTION("""COMPUTED_VALUE"""),0.0)</f>
        <v>0</v>
      </c>
      <c r="T354" s="208">
        <f>IFERROR(__xludf.DUMMYFUNCTION("""COMPUTED_VALUE"""),3.0)</f>
        <v>3</v>
      </c>
      <c r="U354" s="275">
        <f>IFERROR(__xludf.DUMMYFUNCTION("""COMPUTED_VALUE"""),0.0)</f>
        <v>0</v>
      </c>
      <c r="V354" s="208" t="str">
        <f>IFERROR(__xludf.DUMMYFUNCTION("""COMPUTED_VALUE"""),"offline")</f>
        <v>offline</v>
      </c>
      <c r="W354" s="232" t="str">
        <f>IFERROR(__xludf.DUMMYFUNCTION("""COMPUTED_VALUE"""),"sms")</f>
        <v>sms</v>
      </c>
      <c r="X354" s="232" t="str">
        <f>IFERROR(__xludf.DUMMYFUNCTION("""COMPUTED_VALUE"""),"Category Buyers")</f>
        <v>Category Buyers</v>
      </c>
      <c r="Y354" s="232" t="str">
        <f>IFERROR(__xludf.DUMMYFUNCTION("""COMPUTED_VALUE"""),"2nd - 3rd May 2026")</f>
        <v>2nd - 3rd May 2026</v>
      </c>
      <c r="Z354" s="232" t="str">
        <f>IFERROR(__xludf.DUMMYFUNCTION("""COMPUTED_VALUE"""),"69f1a3c757bdb24c6880ef29")</f>
        <v>69f1a3c757bdb24c6880ef29</v>
      </c>
      <c r="AA354" s="277">
        <f>IFERROR(__xludf.DUMMYFUNCTION("""COMPUTED_VALUE"""),22.0)</f>
        <v>22</v>
      </c>
      <c r="AB354" s="277"/>
      <c r="AC354" s="277">
        <f>IFERROR(__xludf.DUMMYFUNCTION("""COMPUTED_VALUE"""),22.0)</f>
        <v>22</v>
      </c>
      <c r="AD354" s="277">
        <f>IFERROR(__xludf.DUMMYFUNCTION("""COMPUTED_VALUE"""),274508.0)</f>
        <v>274508</v>
      </c>
      <c r="AE354" s="277"/>
      <c r="AF354" s="277">
        <f>IFERROR(__xludf.DUMMYFUNCTION("""COMPUTED_VALUE"""),274508.0)</f>
        <v>274508</v>
      </c>
      <c r="AG354" s="208"/>
      <c r="AH354" s="208"/>
      <c r="AI354" s="208"/>
      <c r="AJ354" s="208"/>
      <c r="AK354" s="208"/>
    </row>
    <row r="355">
      <c r="A355" s="273">
        <f>IFERROR(__xludf.DUMMYFUNCTION("""COMPUTED_VALUE"""),46144.0)</f>
        <v>46144</v>
      </c>
      <c r="B355" s="274">
        <f>IFERROR(__xludf.DUMMYFUNCTION("""COMPUTED_VALUE"""),0.5902777777773736)</f>
        <v>0.5902777778</v>
      </c>
      <c r="C355" s="208" t="str">
        <f>IFERROR(__xludf.DUMMYFUNCTION("""COMPUTED_VALUE"""),"Sms")</f>
        <v>Sms</v>
      </c>
      <c r="D355" s="208" t="str">
        <f>IFERROR(__xludf.DUMMYFUNCTION("""COMPUTED_VALUE"""),"Fallback campaign")</f>
        <v>Fallback campaign</v>
      </c>
      <c r="E355" s="208" t="str">
        <f>IFERROR(__xludf.DUMMYFUNCTION("""COMPUTED_VALUE"""),"VS")</f>
        <v>VS</v>
      </c>
      <c r="F355" s="208" t="str">
        <f>IFERROR(__xludf.DUMMYFUNCTION("""COMPUTED_VALUE"""),"Stores TILI - May 2026 - Mist &amp; Lotions at ₹999")</f>
        <v>Stores TILI - May 2026 - Mist &amp; Lotions at ₹999</v>
      </c>
      <c r="G355" s="208" t="str">
        <f>IFERROR(__xludf.DUMMYFUNCTION("""COMPUTED_VALUE"""),"Stores TILI - Low_ATV_CX_2nd Nudge (FB)")</f>
        <v>Stores TILI - Low_ATV_CX_2nd Nudge (FB)</v>
      </c>
      <c r="H355" s="208" t="str">
        <f>IFERROR(__xludf.DUMMYFUNCTION("""COMPUTED_VALUE"""),"VS_OFF_Predom_Below_1000")</f>
        <v>VS_OFF_Predom_Below_1000</v>
      </c>
      <c r="I355" s="233" t="str">
        <f>IFERROR(__xludf.DUMMYFUNCTION("""COMPUTED_VALUE"""),"WA Undelivered")</f>
        <v>WA Undelivered</v>
      </c>
      <c r="J355" s="275">
        <f>IFERROR(__xludf.DUMMYFUNCTION("""COMPUTED_VALUE"""),11214.0)</f>
        <v>11214</v>
      </c>
      <c r="K355" s="275">
        <f>IFERROR(__xludf.DUMMYFUNCTION("""COMPUTED_VALUE"""),7543.0)</f>
        <v>7543</v>
      </c>
      <c r="L355" s="276">
        <f>IFERROR(__xludf.DUMMYFUNCTION("""COMPUTED_VALUE"""),0.6726)</f>
        <v>0.6726</v>
      </c>
      <c r="M355" s="275">
        <f>IFERROR(__xludf.DUMMYFUNCTION("""COMPUTED_VALUE"""),0.0)</f>
        <v>0</v>
      </c>
      <c r="N355" s="276">
        <f>IFERROR(__xludf.DUMMYFUNCTION("""COMPUTED_VALUE"""),0.0)</f>
        <v>0</v>
      </c>
      <c r="O355" s="208">
        <f>IFERROR(__xludf.DUMMYFUNCTION("""COMPUTED_VALUE"""),0.0)</f>
        <v>0</v>
      </c>
      <c r="P355" s="208">
        <f>IFERROR(__xludf.DUMMYFUNCTION("""COMPUTED_VALUE"""),0.0)</f>
        <v>0</v>
      </c>
      <c r="Q355" s="276">
        <f>IFERROR(__xludf.DUMMYFUNCTION("""COMPUTED_VALUE"""),0.0)</f>
        <v>0</v>
      </c>
      <c r="R355" s="276">
        <f>IFERROR(__xludf.DUMMYFUNCTION("""COMPUTED_VALUE"""),0.0)</f>
        <v>0</v>
      </c>
      <c r="S355" s="208">
        <f>IFERROR(__xludf.DUMMYFUNCTION("""COMPUTED_VALUE"""),1.0)</f>
        <v>1</v>
      </c>
      <c r="T355" s="208">
        <f>IFERROR(__xludf.DUMMYFUNCTION("""COMPUTED_VALUE"""),3.0)</f>
        <v>3</v>
      </c>
      <c r="U355" s="275">
        <f>IFERROR(__xludf.DUMMYFUNCTION("""COMPUTED_VALUE"""),4699.0)</f>
        <v>4699</v>
      </c>
      <c r="V355" s="208" t="str">
        <f>IFERROR(__xludf.DUMMYFUNCTION("""COMPUTED_VALUE"""),"offline")</f>
        <v>offline</v>
      </c>
      <c r="W355" s="232" t="str">
        <f>IFERROR(__xludf.DUMMYFUNCTION("""COMPUTED_VALUE"""),"sms")</f>
        <v>sms</v>
      </c>
      <c r="X355" s="232" t="str">
        <f>IFERROR(__xludf.DUMMYFUNCTION("""COMPUTED_VALUE"""),"Cart Value")</f>
        <v>Cart Value</v>
      </c>
      <c r="Y355" s="232" t="str">
        <f>IFERROR(__xludf.DUMMYFUNCTION("""COMPUTED_VALUE"""),"2nd - 3rd May 2026")</f>
        <v>2nd - 3rd May 2026</v>
      </c>
      <c r="Z355" s="232" t="str">
        <f>IFERROR(__xludf.DUMMYFUNCTION("""COMPUTED_VALUE"""),"69f1a4484d4c7da2549f282c")</f>
        <v>69f1a4484d4c7da2549f282c</v>
      </c>
      <c r="AA355" s="277">
        <f>IFERROR(__xludf.DUMMYFUNCTION("""COMPUTED_VALUE"""),17.0)</f>
        <v>17</v>
      </c>
      <c r="AB355" s="277"/>
      <c r="AC355" s="277">
        <f>IFERROR(__xludf.DUMMYFUNCTION("""COMPUTED_VALUE"""),17.0)</f>
        <v>17</v>
      </c>
      <c r="AD355" s="277">
        <f>IFERROR(__xludf.DUMMYFUNCTION("""COMPUTED_VALUE"""),35626.0)</f>
        <v>35626</v>
      </c>
      <c r="AE355" s="277"/>
      <c r="AF355" s="277">
        <f>IFERROR(__xludf.DUMMYFUNCTION("""COMPUTED_VALUE"""),35626.0)</f>
        <v>35626</v>
      </c>
      <c r="AG355" s="208"/>
      <c r="AH355" s="208"/>
      <c r="AI355" s="208"/>
      <c r="AJ355" s="208"/>
      <c r="AK355" s="208"/>
    </row>
    <row r="356">
      <c r="A356" s="273">
        <f>IFERROR(__xludf.DUMMYFUNCTION("""COMPUTED_VALUE"""),46144.0)</f>
        <v>46144</v>
      </c>
      <c r="B356" s="274">
        <f>IFERROR(__xludf.DUMMYFUNCTION("""COMPUTED_VALUE"""),0.59375)</f>
        <v>0.59375</v>
      </c>
      <c r="C356" s="208" t="str">
        <f>IFERROR(__xludf.DUMMYFUNCTION("""COMPUTED_VALUE"""),"Sms")</f>
        <v>Sms</v>
      </c>
      <c r="D356" s="208" t="str">
        <f>IFERROR(__xludf.DUMMYFUNCTION("""COMPUTED_VALUE"""),"Fallback campaign")</f>
        <v>Fallback campaign</v>
      </c>
      <c r="E356" s="208" t="str">
        <f>IFERROR(__xludf.DUMMYFUNCTION("""COMPUTED_VALUE"""),"VS")</f>
        <v>VS</v>
      </c>
      <c r="F356" s="208" t="str">
        <f>IFERROR(__xludf.DUMMYFUNCTION("""COMPUTED_VALUE"""),"Stores TILI - May 2026 - Mist &amp; Lotions at ₹999")</f>
        <v>Stores TILI - May 2026 - Mist &amp; Lotions at ₹999</v>
      </c>
      <c r="G356" s="208" t="str">
        <f>IFERROR(__xludf.DUMMYFUNCTION("""COMPUTED_VALUE"""),"Stores TILI - Repeat_CX_2nd Nudge (FB)")</f>
        <v>Stores TILI - Repeat_CX_2nd Nudge (FB)</v>
      </c>
      <c r="H356" s="208" t="str">
        <f>IFERROR(__xludf.DUMMYFUNCTION("""COMPUTED_VALUE"""),"VS_OFF_Repeat_TILI_23_04_26")</f>
        <v>VS_OFF_Repeat_TILI_23_04_26</v>
      </c>
      <c r="I356" s="233" t="str">
        <f>IFERROR(__xludf.DUMMYFUNCTION("""COMPUTED_VALUE"""),"WA Undelivered")</f>
        <v>WA Undelivered</v>
      </c>
      <c r="J356" s="275">
        <f>IFERROR(__xludf.DUMMYFUNCTION("""COMPUTED_VALUE"""),14728.0)</f>
        <v>14728</v>
      </c>
      <c r="K356" s="275">
        <f>IFERROR(__xludf.DUMMYFUNCTION("""COMPUTED_VALUE"""),8012.0)</f>
        <v>8012</v>
      </c>
      <c r="L356" s="276">
        <f>IFERROR(__xludf.DUMMYFUNCTION("""COMPUTED_VALUE"""),0.544)</f>
        <v>0.544</v>
      </c>
      <c r="M356" s="275">
        <f>IFERROR(__xludf.DUMMYFUNCTION("""COMPUTED_VALUE"""),0.0)</f>
        <v>0</v>
      </c>
      <c r="N356" s="276">
        <f>IFERROR(__xludf.DUMMYFUNCTION("""COMPUTED_VALUE"""),0.0)</f>
        <v>0</v>
      </c>
      <c r="O356" s="208">
        <f>IFERROR(__xludf.DUMMYFUNCTION("""COMPUTED_VALUE"""),0.0)</f>
        <v>0</v>
      </c>
      <c r="P356" s="208">
        <f>IFERROR(__xludf.DUMMYFUNCTION("""COMPUTED_VALUE"""),0.0)</f>
        <v>0</v>
      </c>
      <c r="Q356" s="276">
        <f>IFERROR(__xludf.DUMMYFUNCTION("""COMPUTED_VALUE"""),0.0)</f>
        <v>0</v>
      </c>
      <c r="R356" s="276">
        <f>IFERROR(__xludf.DUMMYFUNCTION("""COMPUTED_VALUE"""),0.0)</f>
        <v>0</v>
      </c>
      <c r="S356" s="208">
        <f>IFERROR(__xludf.DUMMYFUNCTION("""COMPUTED_VALUE"""),1.0)</f>
        <v>1</v>
      </c>
      <c r="T356" s="208">
        <f>IFERROR(__xludf.DUMMYFUNCTION("""COMPUTED_VALUE"""),2.0)</f>
        <v>2</v>
      </c>
      <c r="U356" s="275">
        <f>IFERROR(__xludf.DUMMYFUNCTION("""COMPUTED_VALUE"""),19958.0)</f>
        <v>19958</v>
      </c>
      <c r="V356" s="208" t="str">
        <f>IFERROR(__xludf.DUMMYFUNCTION("""COMPUTED_VALUE"""),"offline")</f>
        <v>offline</v>
      </c>
      <c r="W356" s="232" t="str">
        <f>IFERROR(__xludf.DUMMYFUNCTION("""COMPUTED_VALUE"""),"sms")</f>
        <v>sms</v>
      </c>
      <c r="X356" s="232" t="str">
        <f>IFERROR(__xludf.DUMMYFUNCTION("""COMPUTED_VALUE"""),"Repeat")</f>
        <v>Repeat</v>
      </c>
      <c r="Y356" s="232" t="str">
        <f>IFERROR(__xludf.DUMMYFUNCTION("""COMPUTED_VALUE"""),"2nd - 3rd May 2026")</f>
        <v>2nd - 3rd May 2026</v>
      </c>
      <c r="Z356" s="232" t="str">
        <f>IFERROR(__xludf.DUMMYFUNCTION("""COMPUTED_VALUE"""),"69f1a50c0e13659c71620e6b")</f>
        <v>69f1a50c0e13659c71620e6b</v>
      </c>
      <c r="AA356" s="277">
        <f>IFERROR(__xludf.DUMMYFUNCTION("""COMPUTED_VALUE"""),38.0)</f>
        <v>38</v>
      </c>
      <c r="AB356" s="277"/>
      <c r="AC356" s="277">
        <f>IFERROR(__xludf.DUMMYFUNCTION("""COMPUTED_VALUE"""),38.0)</f>
        <v>38</v>
      </c>
      <c r="AD356" s="277">
        <f>IFERROR(__xludf.DUMMYFUNCTION("""COMPUTED_VALUE"""),466475.0)</f>
        <v>466475</v>
      </c>
      <c r="AE356" s="277"/>
      <c r="AF356" s="277">
        <f>IFERROR(__xludf.DUMMYFUNCTION("""COMPUTED_VALUE"""),466475.0)</f>
        <v>466475</v>
      </c>
      <c r="AG356" s="208"/>
      <c r="AH356" s="208"/>
      <c r="AI356" s="208"/>
      <c r="AJ356" s="208"/>
      <c r="AK356" s="208"/>
    </row>
    <row r="357">
      <c r="A357" s="273">
        <f>IFERROR(__xludf.DUMMYFUNCTION("""COMPUTED_VALUE"""),46144.0)</f>
        <v>46144</v>
      </c>
      <c r="B357" s="274">
        <f>IFERROR(__xludf.DUMMYFUNCTION("""COMPUTED_VALUE"""),0.6006944444452529)</f>
        <v>0.6006944444</v>
      </c>
      <c r="C357" s="208" t="str">
        <f>IFERROR(__xludf.DUMMYFUNCTION("""COMPUTED_VALUE"""),"Sms")</f>
        <v>Sms</v>
      </c>
      <c r="D357" s="208" t="str">
        <f>IFERROR(__xludf.DUMMYFUNCTION("""COMPUTED_VALUE"""),"Fallback campaign")</f>
        <v>Fallback campaign</v>
      </c>
      <c r="E357" s="208" t="str">
        <f>IFERROR(__xludf.DUMMYFUNCTION("""COMPUTED_VALUE"""),"VS")</f>
        <v>VS</v>
      </c>
      <c r="F357" s="208" t="str">
        <f>IFERROR(__xludf.DUMMYFUNCTION("""COMPUTED_VALUE"""),"Stores TILI - May 2026 - Mist &amp; Lotions at ₹999")</f>
        <v>Stores TILI - May 2026 - Mist &amp; Lotions at ₹999</v>
      </c>
      <c r="G357" s="208" t="str">
        <f>IFERROR(__xludf.DUMMYFUNCTION("""COMPUTED_VALUE"""),"Stores TILI - Dorm_CX_730D_2nd Nudge (FB)")</f>
        <v>Stores TILI - Dorm_CX_730D_2nd Nudge (FB)</v>
      </c>
      <c r="H357" s="208" t="str">
        <f>IFERROR(__xludf.DUMMYFUNCTION("""COMPUTED_VALUE"""),"VS_OFF_1_Time_730D_TILI_23_04_26")</f>
        <v>VS_OFF_1_Time_730D_TILI_23_04_26</v>
      </c>
      <c r="I357" s="233" t="str">
        <f>IFERROR(__xludf.DUMMYFUNCTION("""COMPUTED_VALUE"""),"WA Undelivered")</f>
        <v>WA Undelivered</v>
      </c>
      <c r="J357" s="275">
        <f>IFERROR(__xludf.DUMMYFUNCTION("""COMPUTED_VALUE"""),19367.0)</f>
        <v>19367</v>
      </c>
      <c r="K357" s="275">
        <f>IFERROR(__xludf.DUMMYFUNCTION("""COMPUTED_VALUE"""),11009.0)</f>
        <v>11009</v>
      </c>
      <c r="L357" s="276">
        <f>IFERROR(__xludf.DUMMYFUNCTION("""COMPUTED_VALUE"""),0.5684)</f>
        <v>0.5684</v>
      </c>
      <c r="M357" s="275">
        <f>IFERROR(__xludf.DUMMYFUNCTION("""COMPUTED_VALUE"""),0.0)</f>
        <v>0</v>
      </c>
      <c r="N357" s="276">
        <f>IFERROR(__xludf.DUMMYFUNCTION("""COMPUTED_VALUE"""),0.0)</f>
        <v>0</v>
      </c>
      <c r="O357" s="208">
        <f>IFERROR(__xludf.DUMMYFUNCTION("""COMPUTED_VALUE"""),0.0)</f>
        <v>0</v>
      </c>
      <c r="P357" s="208">
        <f>IFERROR(__xludf.DUMMYFUNCTION("""COMPUTED_VALUE"""),0.0)</f>
        <v>0</v>
      </c>
      <c r="Q357" s="276">
        <f>IFERROR(__xludf.DUMMYFUNCTION("""COMPUTED_VALUE"""),0.0)</f>
        <v>0</v>
      </c>
      <c r="R357" s="276">
        <f>IFERROR(__xludf.DUMMYFUNCTION("""COMPUTED_VALUE"""),0.0)</f>
        <v>0</v>
      </c>
      <c r="S357" s="208">
        <f>IFERROR(__xludf.DUMMYFUNCTION("""COMPUTED_VALUE"""),0.0)</f>
        <v>0</v>
      </c>
      <c r="T357" s="208">
        <f>IFERROR(__xludf.DUMMYFUNCTION("""COMPUTED_VALUE"""),1.0)</f>
        <v>1</v>
      </c>
      <c r="U357" s="275">
        <f>IFERROR(__xludf.DUMMYFUNCTION("""COMPUTED_VALUE"""),0.0)</f>
        <v>0</v>
      </c>
      <c r="V357" s="208" t="str">
        <f>IFERROR(__xludf.DUMMYFUNCTION("""COMPUTED_VALUE"""),"offline")</f>
        <v>offline</v>
      </c>
      <c r="W357" s="232" t="str">
        <f>IFERROR(__xludf.DUMMYFUNCTION("""COMPUTED_VALUE"""),"sms")</f>
        <v>sms</v>
      </c>
      <c r="X357" s="232" t="str">
        <f>IFERROR(__xludf.DUMMYFUNCTION("""COMPUTED_VALUE"""),"Churned")</f>
        <v>Churned</v>
      </c>
      <c r="Y357" s="232" t="str">
        <f>IFERROR(__xludf.DUMMYFUNCTION("""COMPUTED_VALUE"""),"2nd - 3rd May 2026")</f>
        <v>2nd - 3rd May 2026</v>
      </c>
      <c r="Z357" s="232" t="str">
        <f>IFERROR(__xludf.DUMMYFUNCTION("""COMPUTED_VALUE"""),"69f1a64813285e5aa63ac9d4")</f>
        <v>69f1a64813285e5aa63ac9d4</v>
      </c>
      <c r="AA357" s="277">
        <f>IFERROR(__xludf.DUMMYFUNCTION("""COMPUTED_VALUE"""),13.0)</f>
        <v>13</v>
      </c>
      <c r="AB357" s="277"/>
      <c r="AC357" s="277">
        <f>IFERROR(__xludf.DUMMYFUNCTION("""COMPUTED_VALUE"""),13.0)</f>
        <v>13</v>
      </c>
      <c r="AD357" s="277">
        <f>IFERROR(__xludf.DUMMYFUNCTION("""COMPUTED_VALUE"""),89841.0)</f>
        <v>89841</v>
      </c>
      <c r="AE357" s="277"/>
      <c r="AF357" s="277">
        <f>IFERROR(__xludf.DUMMYFUNCTION("""COMPUTED_VALUE"""),89841.0)</f>
        <v>89841</v>
      </c>
      <c r="AG357" s="208"/>
      <c r="AH357" s="208"/>
      <c r="AI357" s="208"/>
      <c r="AJ357" s="208"/>
      <c r="AK357" s="208"/>
    </row>
    <row r="358">
      <c r="A358" s="273">
        <f>IFERROR(__xludf.DUMMYFUNCTION("""COMPUTED_VALUE"""),46144.0)</f>
        <v>46144</v>
      </c>
      <c r="B358" s="274">
        <f>IFERROR(__xludf.DUMMYFUNCTION("""COMPUTED_VALUE"""),0.6041666666678793)</f>
        <v>0.6041666667</v>
      </c>
      <c r="C358" s="208" t="str">
        <f>IFERROR(__xludf.DUMMYFUNCTION("""COMPUTED_VALUE"""),"Sms")</f>
        <v>Sms</v>
      </c>
      <c r="D358" s="208" t="str">
        <f>IFERROR(__xludf.DUMMYFUNCTION("""COMPUTED_VALUE"""),"Fallback campaign")</f>
        <v>Fallback campaign</v>
      </c>
      <c r="E358" s="208" t="str">
        <f>IFERROR(__xludf.DUMMYFUNCTION("""COMPUTED_VALUE"""),"VS")</f>
        <v>VS</v>
      </c>
      <c r="F358" s="208" t="str">
        <f>IFERROR(__xludf.DUMMYFUNCTION("""COMPUTED_VALUE"""),"Stores TILI - May 2026 - Mist &amp; Lotions at ₹999")</f>
        <v>Stores TILI - May 2026 - Mist &amp; Lotions at ₹999</v>
      </c>
      <c r="G358" s="208" t="str">
        <f>IFERROR(__xludf.DUMMYFUNCTION("""COMPUTED_VALUE"""),"Stores TILI - Dorm_CX_1095D_2nd Nudge (FB)")</f>
        <v>Stores TILI - Dorm_CX_1095D_2nd Nudge (FB)</v>
      </c>
      <c r="H358" s="208" t="str">
        <f>IFERROR(__xludf.DUMMYFUNCTION("""COMPUTED_VALUE"""),"VS_OFF_1_Time_1095D_TILI_23_04_26")</f>
        <v>VS_OFF_1_Time_1095D_TILI_23_04_26</v>
      </c>
      <c r="I358" s="233" t="str">
        <f>IFERROR(__xludf.DUMMYFUNCTION("""COMPUTED_VALUE"""),"WA Undelivered")</f>
        <v>WA Undelivered</v>
      </c>
      <c r="J358" s="275">
        <f>IFERROR(__xludf.DUMMYFUNCTION("""COMPUTED_VALUE"""),3162.0)</f>
        <v>3162</v>
      </c>
      <c r="K358" s="275">
        <f>IFERROR(__xludf.DUMMYFUNCTION("""COMPUTED_VALUE"""),1561.0)</f>
        <v>1561</v>
      </c>
      <c r="L358" s="276">
        <f>IFERROR(__xludf.DUMMYFUNCTION("""COMPUTED_VALUE"""),0.4937)</f>
        <v>0.4937</v>
      </c>
      <c r="M358" s="275">
        <f>IFERROR(__xludf.DUMMYFUNCTION("""COMPUTED_VALUE"""),0.0)</f>
        <v>0</v>
      </c>
      <c r="N358" s="276">
        <f>IFERROR(__xludf.DUMMYFUNCTION("""COMPUTED_VALUE"""),0.0)</f>
        <v>0</v>
      </c>
      <c r="O358" s="208">
        <f>IFERROR(__xludf.DUMMYFUNCTION("""COMPUTED_VALUE"""),0.0)</f>
        <v>0</v>
      </c>
      <c r="P358" s="208">
        <f>IFERROR(__xludf.DUMMYFUNCTION("""COMPUTED_VALUE"""),0.0)</f>
        <v>0</v>
      </c>
      <c r="Q358" s="276">
        <f>IFERROR(__xludf.DUMMYFUNCTION("""COMPUTED_VALUE"""),0.0)</f>
        <v>0</v>
      </c>
      <c r="R358" s="276">
        <f>IFERROR(__xludf.DUMMYFUNCTION("""COMPUTED_VALUE"""),0.0)</f>
        <v>0</v>
      </c>
      <c r="S358" s="208">
        <f>IFERROR(__xludf.DUMMYFUNCTION("""COMPUTED_VALUE"""),0.0)</f>
        <v>0</v>
      </c>
      <c r="T358" s="208">
        <f>IFERROR(__xludf.DUMMYFUNCTION("""COMPUTED_VALUE"""),0.0)</f>
        <v>0</v>
      </c>
      <c r="U358" s="275">
        <f>IFERROR(__xludf.DUMMYFUNCTION("""COMPUTED_VALUE"""),0.0)</f>
        <v>0</v>
      </c>
      <c r="V358" s="208" t="str">
        <f>IFERROR(__xludf.DUMMYFUNCTION("""COMPUTED_VALUE"""),"offline")</f>
        <v>offline</v>
      </c>
      <c r="W358" s="232" t="str">
        <f>IFERROR(__xludf.DUMMYFUNCTION("""COMPUTED_VALUE"""),"sms")</f>
        <v>sms</v>
      </c>
      <c r="X358" s="232" t="str">
        <f>IFERROR(__xludf.DUMMYFUNCTION("""COMPUTED_VALUE"""),"Churned")</f>
        <v>Churned</v>
      </c>
      <c r="Y358" s="232" t="str">
        <f>IFERROR(__xludf.DUMMYFUNCTION("""COMPUTED_VALUE"""),"2nd - 3rd May 2026")</f>
        <v>2nd - 3rd May 2026</v>
      </c>
      <c r="Z358" s="232" t="str">
        <f>IFERROR(__xludf.DUMMYFUNCTION("""COMPUTED_VALUE"""),"69f1a66d9e9f540c91b082a0")</f>
        <v>69f1a66d9e9f540c91b082a0</v>
      </c>
      <c r="AA358" s="277">
        <f>IFERROR(__xludf.DUMMYFUNCTION("""COMPUTED_VALUE"""),3.0)</f>
        <v>3</v>
      </c>
      <c r="AB358" s="277"/>
      <c r="AC358" s="277">
        <f>IFERROR(__xludf.DUMMYFUNCTION("""COMPUTED_VALUE"""),3.0)</f>
        <v>3</v>
      </c>
      <c r="AD358" s="277">
        <f>IFERROR(__xludf.DUMMYFUNCTION("""COMPUTED_VALUE"""),27891.0)</f>
        <v>27891</v>
      </c>
      <c r="AE358" s="277"/>
      <c r="AF358" s="277">
        <f>IFERROR(__xludf.DUMMYFUNCTION("""COMPUTED_VALUE"""),27891.0)</f>
        <v>27891</v>
      </c>
      <c r="AG358" s="208"/>
      <c r="AH358" s="208"/>
      <c r="AI358" s="208"/>
      <c r="AJ358" s="208"/>
      <c r="AK358" s="208"/>
    </row>
    <row r="359">
      <c r="A359" s="273">
        <f>IFERROR(__xludf.DUMMYFUNCTION("""COMPUTED_VALUE"""),46144.0)</f>
        <v>46144</v>
      </c>
      <c r="B359" s="274">
        <f>IFERROR(__xludf.DUMMYFUNCTION("""COMPUTED_VALUE"""),0.5972222222226264)</f>
        <v>0.5972222222</v>
      </c>
      <c r="C359" s="208" t="str">
        <f>IFERROR(__xludf.DUMMYFUNCTION("""COMPUTED_VALUE"""),"Sms")</f>
        <v>Sms</v>
      </c>
      <c r="D359" s="208" t="str">
        <f>IFERROR(__xludf.DUMMYFUNCTION("""COMPUTED_VALUE"""),"Fallback campaign")</f>
        <v>Fallback campaign</v>
      </c>
      <c r="E359" s="208" t="str">
        <f>IFERROR(__xludf.DUMMYFUNCTION("""COMPUTED_VALUE"""),"VS")</f>
        <v>VS</v>
      </c>
      <c r="F359" s="208" t="str">
        <f>IFERROR(__xludf.DUMMYFUNCTION("""COMPUTED_VALUE"""),"Stores TILI - May 2026 - Mist &amp; Lotions at ₹999")</f>
        <v>Stores TILI - May 2026 - Mist &amp; Lotions at ₹999</v>
      </c>
      <c r="G359" s="208" t="str">
        <f>IFERROR(__xludf.DUMMYFUNCTION("""COMPUTED_VALUE"""),"Stores TILI - Dorm_CX_365D_2nd Nudge (FB)")</f>
        <v>Stores TILI - Dorm_CX_365D_2nd Nudge (FB)</v>
      </c>
      <c r="H359" s="208" t="str">
        <f>IFERROR(__xludf.DUMMYFUNCTION("""COMPUTED_VALUE"""),"VS_OFF_1_Time_365D_TILI_23_04_26")</f>
        <v>VS_OFF_1_Time_365D_TILI_23_04_26</v>
      </c>
      <c r="I359" s="233" t="str">
        <f>IFERROR(__xludf.DUMMYFUNCTION("""COMPUTED_VALUE"""),"WA Undelivered")</f>
        <v>WA Undelivered</v>
      </c>
      <c r="J359" s="275">
        <f>IFERROR(__xludf.DUMMYFUNCTION("""COMPUTED_VALUE"""),28096.0)</f>
        <v>28096</v>
      </c>
      <c r="K359" s="275">
        <f>IFERROR(__xludf.DUMMYFUNCTION("""COMPUTED_VALUE"""),17399.0)</f>
        <v>17399</v>
      </c>
      <c r="L359" s="276">
        <f>IFERROR(__xludf.DUMMYFUNCTION("""COMPUTED_VALUE"""),0.6193)</f>
        <v>0.6193</v>
      </c>
      <c r="M359" s="275">
        <f>IFERROR(__xludf.DUMMYFUNCTION("""COMPUTED_VALUE"""),0.0)</f>
        <v>0</v>
      </c>
      <c r="N359" s="276">
        <f>IFERROR(__xludf.DUMMYFUNCTION("""COMPUTED_VALUE"""),0.0)</f>
        <v>0</v>
      </c>
      <c r="O359" s="208">
        <f>IFERROR(__xludf.DUMMYFUNCTION("""COMPUTED_VALUE"""),0.0)</f>
        <v>0</v>
      </c>
      <c r="P359" s="208">
        <f>IFERROR(__xludf.DUMMYFUNCTION("""COMPUTED_VALUE"""),0.0)</f>
        <v>0</v>
      </c>
      <c r="Q359" s="276">
        <f>IFERROR(__xludf.DUMMYFUNCTION("""COMPUTED_VALUE"""),0.0)</f>
        <v>0</v>
      </c>
      <c r="R359" s="276">
        <f>IFERROR(__xludf.DUMMYFUNCTION("""COMPUTED_VALUE"""),0.0)</f>
        <v>0</v>
      </c>
      <c r="S359" s="208">
        <f>IFERROR(__xludf.DUMMYFUNCTION("""COMPUTED_VALUE"""),0.0)</f>
        <v>0</v>
      </c>
      <c r="T359" s="208">
        <f>IFERROR(__xludf.DUMMYFUNCTION("""COMPUTED_VALUE"""),2.0)</f>
        <v>2</v>
      </c>
      <c r="U359" s="275">
        <f>IFERROR(__xludf.DUMMYFUNCTION("""COMPUTED_VALUE"""),0.0)</f>
        <v>0</v>
      </c>
      <c r="V359" s="208" t="str">
        <f>IFERROR(__xludf.DUMMYFUNCTION("""COMPUTED_VALUE"""),"offline")</f>
        <v>offline</v>
      </c>
      <c r="W359" s="232" t="str">
        <f>IFERROR(__xludf.DUMMYFUNCTION("""COMPUTED_VALUE"""),"sms")</f>
        <v>sms</v>
      </c>
      <c r="X359" s="232" t="str">
        <f>IFERROR(__xludf.DUMMYFUNCTION("""COMPUTED_VALUE"""),"Generic")</f>
        <v>Generic</v>
      </c>
      <c r="Y359" s="232" t="str">
        <f>IFERROR(__xludf.DUMMYFUNCTION("""COMPUTED_VALUE"""),"2nd - 3rd May 2026")</f>
        <v>2nd - 3rd May 2026</v>
      </c>
      <c r="Z359" s="232" t="str">
        <f>IFERROR(__xludf.DUMMYFUNCTION("""COMPUTED_VALUE"""),"69f1aa4539d6a0b8ed35d54d")</f>
        <v>69f1aa4539d6a0b8ed35d54d</v>
      </c>
      <c r="AA359" s="277">
        <f>IFERROR(__xludf.DUMMYFUNCTION("""COMPUTED_VALUE"""),43.0)</f>
        <v>43</v>
      </c>
      <c r="AB359" s="277"/>
      <c r="AC359" s="277">
        <f>IFERROR(__xludf.DUMMYFUNCTION("""COMPUTED_VALUE"""),43.0)</f>
        <v>43</v>
      </c>
      <c r="AD359" s="277">
        <f>IFERROR(__xludf.DUMMYFUNCTION("""COMPUTED_VALUE"""),338678.0)</f>
        <v>338678</v>
      </c>
      <c r="AE359" s="277"/>
      <c r="AF359" s="277">
        <f>IFERROR(__xludf.DUMMYFUNCTION("""COMPUTED_VALUE"""),338678.0)</f>
        <v>338678</v>
      </c>
      <c r="AG359" s="208"/>
      <c r="AH359" s="208"/>
      <c r="AI359" s="208"/>
      <c r="AJ359" s="208"/>
      <c r="AK359" s="208"/>
    </row>
    <row r="360">
      <c r="A360" s="273">
        <f>IFERROR(__xludf.DUMMYFUNCTION("""COMPUTED_VALUE"""),46147.0)</f>
        <v>46147</v>
      </c>
      <c r="B360" s="274">
        <f>IFERROR(__xludf.DUMMYFUNCTION("""COMPUTED_VALUE"""),46147.375)</f>
        <v>46147.375</v>
      </c>
      <c r="C360" s="208" t="str">
        <f>IFERROR(__xludf.DUMMYFUNCTION("""COMPUTED_VALUE"""),"Rcs")</f>
        <v>Rcs</v>
      </c>
      <c r="D360" s="208" t="str">
        <f>IFERROR(__xludf.DUMMYFUNCTION("""COMPUTED_VALUE"""),"Promtional")</f>
        <v>Promtional</v>
      </c>
      <c r="E360" s="208" t="str">
        <f>IFERROR(__xludf.DUMMYFUNCTION("""COMPUTED_VALUE"""),"VS")</f>
        <v>VS</v>
      </c>
      <c r="F360" s="208" t="str">
        <f>IFERROR(__xludf.DUMMYFUNCTION("""COMPUTED_VALUE"""),"Mother's Day Gifting - Giftsets &amp; Accessories")</f>
        <v>Mother's Day Gifting - Giftsets &amp; Accessories</v>
      </c>
      <c r="G360" s="208" t="str">
        <f>IFERROR(__xludf.DUMMYFUNCTION("""COMPUTED_VALUE"""),"Mother's Day Gifting - High ATV CX")</f>
        <v>Mother's Day Gifting - High ATV CX</v>
      </c>
      <c r="H360" s="208" t="str">
        <f>IFERROR(__xludf.DUMMYFUNCTION("""COMPUTED_VALUE"""),"VS_OnOff_High_ATV_Recent_7999")</f>
        <v>VS_OnOff_High_ATV_Recent_7999</v>
      </c>
      <c r="I360" s="233" t="str">
        <f>IFERROR(__xludf.DUMMYFUNCTION("""COMPUTED_VALUE"""),"Customers who have shopped in the last 85 days whose ATV is greater than 8000")</f>
        <v>Customers who have shopped in the last 85 days whose ATV is greater than 8000</v>
      </c>
      <c r="J360" s="275">
        <f>IFERROR(__xludf.DUMMYFUNCTION("""COMPUTED_VALUE"""),9197.0)</f>
        <v>9197</v>
      </c>
      <c r="K360" s="275">
        <f>IFERROR(__xludf.DUMMYFUNCTION("""COMPUTED_VALUE"""),1200.0)</f>
        <v>1200</v>
      </c>
      <c r="L360" s="276">
        <f>IFERROR(__xludf.DUMMYFUNCTION("""COMPUTED_VALUE"""),0.13047732956398825)</f>
        <v>0.1304773296</v>
      </c>
      <c r="M360" s="275">
        <f>IFERROR(__xludf.DUMMYFUNCTION("""COMPUTED_VALUE"""),284.0)</f>
        <v>284</v>
      </c>
      <c r="N360" s="276">
        <f>IFERROR(__xludf.DUMMYFUNCTION("""COMPUTED_VALUE"""),0.23670000000000002)</f>
        <v>0.2367</v>
      </c>
      <c r="O360" s="208">
        <f>IFERROR(__xludf.DUMMYFUNCTION("""COMPUTED_VALUE"""),7.0)</f>
        <v>7</v>
      </c>
      <c r="P360" s="208">
        <f>IFERROR(__xludf.DUMMYFUNCTION("""COMPUTED_VALUE"""),0.0)</f>
        <v>0</v>
      </c>
      <c r="Q360" s="276">
        <f>IFERROR(__xludf.DUMMYFUNCTION("""COMPUTED_VALUE"""),0.0058)</f>
        <v>0.0058</v>
      </c>
      <c r="R360" s="276">
        <f>IFERROR(__xludf.DUMMYFUNCTION("""COMPUTED_VALUE"""),0.0)</f>
        <v>0</v>
      </c>
      <c r="S360" s="208">
        <f>IFERROR(__xludf.DUMMYFUNCTION("""COMPUTED_VALUE"""),1.0)</f>
        <v>1</v>
      </c>
      <c r="T360" s="208">
        <f>IFERROR(__xludf.DUMMYFUNCTION("""COMPUTED_VALUE"""),7.0)</f>
        <v>7</v>
      </c>
      <c r="U360" s="275">
        <f>IFERROR(__xludf.DUMMYFUNCTION("""COMPUTED_VALUE"""),36285.0)</f>
        <v>36285</v>
      </c>
      <c r="V360" s="208" t="str">
        <f>IFERROR(__xludf.DUMMYFUNCTION("""COMPUTED_VALUE"""),"overall")</f>
        <v>overall</v>
      </c>
      <c r="W360" s="232" t="str">
        <f>IFERROR(__xludf.DUMMYFUNCTION("""COMPUTED_VALUE"""),"rcs")</f>
        <v>rcs</v>
      </c>
      <c r="X360" s="232" t="str">
        <f>IFERROR(__xludf.DUMMYFUNCTION("""COMPUTED_VALUE"""),"Recent High ATV")</f>
        <v>Recent High ATV</v>
      </c>
      <c r="Y360" s="232" t="str">
        <f>IFERROR(__xludf.DUMMYFUNCTION("""COMPUTED_VALUE"""),"5th - 10th May 2026")</f>
        <v>5th - 10th May 2026</v>
      </c>
      <c r="Z360" s="232" t="str">
        <f>IFERROR(__xludf.DUMMYFUNCTION("""COMPUTED_VALUE"""),"69f87d25d8e99ae260b39f8f")</f>
        <v>69f87d25d8e99ae260b39f8f</v>
      </c>
      <c r="AA360" s="277">
        <f>IFERROR(__xludf.DUMMYFUNCTION("""COMPUTED_VALUE"""),2.0)</f>
        <v>2</v>
      </c>
      <c r="AB360" s="277">
        <f>IFERROR(__xludf.DUMMYFUNCTION("""COMPUTED_VALUE"""),0.0)</f>
        <v>0</v>
      </c>
      <c r="AC360" s="277">
        <f>IFERROR(__xludf.DUMMYFUNCTION("""COMPUTED_VALUE"""),2.0)</f>
        <v>2</v>
      </c>
      <c r="AD360" s="277">
        <f>IFERROR(__xludf.DUMMYFUNCTION("""COMPUTED_VALUE"""),20594.0)</f>
        <v>20594</v>
      </c>
      <c r="AE360" s="277">
        <f>IFERROR(__xludf.DUMMYFUNCTION("""COMPUTED_VALUE"""),0.0)</f>
        <v>0</v>
      </c>
      <c r="AF360" s="277">
        <f>IFERROR(__xludf.DUMMYFUNCTION("""COMPUTED_VALUE"""),20594.0)</f>
        <v>20594</v>
      </c>
      <c r="AG360" s="208"/>
      <c r="AH360" s="208"/>
      <c r="AI360" s="208"/>
      <c r="AJ360" s="208"/>
      <c r="AK360" s="208"/>
    </row>
    <row r="361">
      <c r="A361" s="273">
        <f>IFERROR(__xludf.DUMMYFUNCTION("""COMPUTED_VALUE"""),46147.0)</f>
        <v>46147</v>
      </c>
      <c r="B361" s="274">
        <f>IFERROR(__xludf.DUMMYFUNCTION("""COMPUTED_VALUE"""),46147.375)</f>
        <v>46147.375</v>
      </c>
      <c r="C361" s="208" t="str">
        <f>IFERROR(__xludf.DUMMYFUNCTION("""COMPUTED_VALUE"""),"Rcs")</f>
        <v>Rcs</v>
      </c>
      <c r="D361" s="208" t="str">
        <f>IFERROR(__xludf.DUMMYFUNCTION("""COMPUTED_VALUE"""),"Promtional")</f>
        <v>Promtional</v>
      </c>
      <c r="E361" s="208" t="str">
        <f>IFERROR(__xludf.DUMMYFUNCTION("""COMPUTED_VALUE"""),"VS")</f>
        <v>VS</v>
      </c>
      <c r="F361" s="208" t="str">
        <f>IFERROR(__xludf.DUMMYFUNCTION("""COMPUTED_VALUE"""),"Mother's Day Gifting - Giftsets &amp; Accessories")</f>
        <v>Mother's Day Gifting - Giftsets &amp; Accessories</v>
      </c>
      <c r="G361" s="208" t="str">
        <f>IFERROR(__xludf.DUMMYFUNCTION("""COMPUTED_VALUE"""),"Mother's Day Gifting - Event CX")</f>
        <v>Mother's Day Gifting - Event CX</v>
      </c>
      <c r="H361" s="208" t="str">
        <f>IFERROR(__xludf.DUMMYFUNCTION("""COMPUTED_VALUE"""),"VS_MothersDay_OnOff_Event_Buyers")</f>
        <v>VS_MothersDay_OnOff_Event_Buyers</v>
      </c>
      <c r="I361" s="233" t="str">
        <f>IFERROR(__xludf.DUMMYFUNCTION("""COMPUTED_VALUE"""),"Customers who have purchased at least once in between 7-14 May, 2023 OR 5-12 May, 2024 OR May 4-11 2025 Excluding Churned Users")</f>
        <v>Customers who have purchased at least once in between 7-14 May, 2023 OR 5-12 May, 2024 OR May 4-11 2025 Excluding Churned Users</v>
      </c>
      <c r="J361" s="275">
        <f>IFERROR(__xludf.DUMMYFUNCTION("""COMPUTED_VALUE"""),14440.0)</f>
        <v>14440</v>
      </c>
      <c r="K361" s="275">
        <f>IFERROR(__xludf.DUMMYFUNCTION("""COMPUTED_VALUE"""),2748.0)</f>
        <v>2748</v>
      </c>
      <c r="L361" s="276">
        <f>IFERROR(__xludf.DUMMYFUNCTION("""COMPUTED_VALUE"""),0.19030470914127423)</f>
        <v>0.1903047091</v>
      </c>
      <c r="M361" s="275">
        <f>IFERROR(__xludf.DUMMYFUNCTION("""COMPUTED_VALUE"""),418.0)</f>
        <v>418</v>
      </c>
      <c r="N361" s="276">
        <f>IFERROR(__xludf.DUMMYFUNCTION("""COMPUTED_VALUE"""),0.1521)</f>
        <v>0.1521</v>
      </c>
      <c r="O361" s="208">
        <f>IFERROR(__xludf.DUMMYFUNCTION("""COMPUTED_VALUE"""),11.0)</f>
        <v>11</v>
      </c>
      <c r="P361" s="208">
        <f>IFERROR(__xludf.DUMMYFUNCTION("""COMPUTED_VALUE"""),0.0)</f>
        <v>0</v>
      </c>
      <c r="Q361" s="276">
        <f>IFERROR(__xludf.DUMMYFUNCTION("""COMPUTED_VALUE"""),0.0044)</f>
        <v>0.0044</v>
      </c>
      <c r="R361" s="276">
        <f>IFERROR(__xludf.DUMMYFUNCTION("""COMPUTED_VALUE"""),0.0)</f>
        <v>0</v>
      </c>
      <c r="S361" s="208">
        <f>IFERROR(__xludf.DUMMYFUNCTION("""COMPUTED_VALUE"""),1.0)</f>
        <v>1</v>
      </c>
      <c r="T361" s="208">
        <f>IFERROR(__xludf.DUMMYFUNCTION("""COMPUTED_VALUE"""),3.0)</f>
        <v>3</v>
      </c>
      <c r="U361" s="275">
        <f>IFERROR(__xludf.DUMMYFUNCTION("""COMPUTED_VALUE"""),1965.0)</f>
        <v>1965</v>
      </c>
      <c r="V361" s="208" t="str">
        <f>IFERROR(__xludf.DUMMYFUNCTION("""COMPUTED_VALUE"""),"overall")</f>
        <v>overall</v>
      </c>
      <c r="W361" s="232" t="str">
        <f>IFERROR(__xludf.DUMMYFUNCTION("""COMPUTED_VALUE"""),"rcs")</f>
        <v>rcs</v>
      </c>
      <c r="X361" s="232" t="str">
        <f>IFERROR(__xludf.DUMMYFUNCTION("""COMPUTED_VALUE"""),"Event Buyers")</f>
        <v>Event Buyers</v>
      </c>
      <c r="Y361" s="232" t="str">
        <f>IFERROR(__xludf.DUMMYFUNCTION("""COMPUTED_VALUE"""),"5th - 10th May 2026")</f>
        <v>5th - 10th May 2026</v>
      </c>
      <c r="Z361" s="232" t="str">
        <f>IFERROR(__xludf.DUMMYFUNCTION("""COMPUTED_VALUE"""),"69f87da1fbcbca267e47645f")</f>
        <v>69f87da1fbcbca267e47645f</v>
      </c>
      <c r="AA361" s="277">
        <f>IFERROR(__xludf.DUMMYFUNCTION("""COMPUTED_VALUE"""),0.0)</f>
        <v>0</v>
      </c>
      <c r="AB361" s="277">
        <f>IFERROR(__xludf.DUMMYFUNCTION("""COMPUTED_VALUE"""),0.0)</f>
        <v>0</v>
      </c>
      <c r="AC361" s="277">
        <f>IFERROR(__xludf.DUMMYFUNCTION("""COMPUTED_VALUE"""),0.0)</f>
        <v>0</v>
      </c>
      <c r="AD361" s="277">
        <f>IFERROR(__xludf.DUMMYFUNCTION("""COMPUTED_VALUE"""),0.0)</f>
        <v>0</v>
      </c>
      <c r="AE361" s="277">
        <f>IFERROR(__xludf.DUMMYFUNCTION("""COMPUTED_VALUE"""),0.0)</f>
        <v>0</v>
      </c>
      <c r="AF361" s="277">
        <f>IFERROR(__xludf.DUMMYFUNCTION("""COMPUTED_VALUE"""),0.0)</f>
        <v>0</v>
      </c>
      <c r="AG361" s="208"/>
      <c r="AH361" s="208"/>
      <c r="AI361" s="208"/>
      <c r="AJ361" s="208"/>
      <c r="AK361" s="208"/>
    </row>
    <row r="362">
      <c r="A362" s="273">
        <f>IFERROR(__xludf.DUMMYFUNCTION("""COMPUTED_VALUE"""),46147.0)</f>
        <v>46147</v>
      </c>
      <c r="B362" s="274">
        <f>IFERROR(__xludf.DUMMYFUNCTION("""COMPUTED_VALUE"""),46147.375)</f>
        <v>46147.375</v>
      </c>
      <c r="C362" s="208" t="str">
        <f>IFERROR(__xludf.DUMMYFUNCTION("""COMPUTED_VALUE"""),"Rcs")</f>
        <v>Rcs</v>
      </c>
      <c r="D362" s="208" t="str">
        <f>IFERROR(__xludf.DUMMYFUNCTION("""COMPUTED_VALUE"""),"Promtional")</f>
        <v>Promtional</v>
      </c>
      <c r="E362" s="208" t="str">
        <f>IFERROR(__xludf.DUMMYFUNCTION("""COMPUTED_VALUE"""),"VS")</f>
        <v>VS</v>
      </c>
      <c r="F362" s="208" t="str">
        <f>IFERROR(__xludf.DUMMYFUNCTION("""COMPUTED_VALUE"""),"Mother's Day Gifting - Giftsets &amp; Accessories")</f>
        <v>Mother's Day Gifting - Giftsets &amp; Accessories</v>
      </c>
      <c r="G362" s="208" t="str">
        <f>IFERROR(__xludf.DUMMYFUNCTION("""COMPUTED_VALUE"""),"Mother's Day Gifting - Discount CX")</f>
        <v>Mother's Day Gifting - Discount CX</v>
      </c>
      <c r="H362" s="208" t="str">
        <f>IFERROR(__xludf.DUMMYFUNCTION("""COMPUTED_VALUE"""),"VS_Discount_Buyers_29_04_26_OnOff")</f>
        <v>VS_Discount_Buyers_29_04_26_OnOff</v>
      </c>
      <c r="I362" s="233" t="str">
        <f>IFERROR(__xludf.DUMMYFUNCTION("""COMPUTED_VALUE"""),"Customers who have purchased at least once in the last 1095 days with Order Discount Percentage more than 0.14 Excluding Churned Users")</f>
        <v>Customers who have purchased at least once in the last 1095 days with Order Discount Percentage more than 0.14 Excluding Churned Users</v>
      </c>
      <c r="J362" s="275">
        <f>IFERROR(__xludf.DUMMYFUNCTION("""COMPUTED_VALUE"""),74996.0)</f>
        <v>74996</v>
      </c>
      <c r="K362" s="275">
        <f>IFERROR(__xludf.DUMMYFUNCTION("""COMPUTED_VALUE"""),13084.0)</f>
        <v>13084</v>
      </c>
      <c r="L362" s="276">
        <f>IFERROR(__xludf.DUMMYFUNCTION("""COMPUTED_VALUE"""),0.1744626380073604)</f>
        <v>0.174462638</v>
      </c>
      <c r="M362" s="275">
        <f>IFERROR(__xludf.DUMMYFUNCTION("""COMPUTED_VALUE"""),2140.0)</f>
        <v>2140</v>
      </c>
      <c r="N362" s="276">
        <f>IFERROR(__xludf.DUMMYFUNCTION("""COMPUTED_VALUE"""),0.1636)</f>
        <v>0.1636</v>
      </c>
      <c r="O362" s="208">
        <f>IFERROR(__xludf.DUMMYFUNCTION("""COMPUTED_VALUE"""),80.0)</f>
        <v>80</v>
      </c>
      <c r="P362" s="208">
        <f>IFERROR(__xludf.DUMMYFUNCTION("""COMPUTED_VALUE"""),0.0)</f>
        <v>0</v>
      </c>
      <c r="Q362" s="276">
        <f>IFERROR(__xludf.DUMMYFUNCTION("""COMPUTED_VALUE"""),0.0069)</f>
        <v>0.0069</v>
      </c>
      <c r="R362" s="276">
        <f>IFERROR(__xludf.DUMMYFUNCTION("""COMPUTED_VALUE"""),0.0)</f>
        <v>0</v>
      </c>
      <c r="S362" s="208">
        <f>IFERROR(__xludf.DUMMYFUNCTION("""COMPUTED_VALUE"""),16.0)</f>
        <v>16</v>
      </c>
      <c r="T362" s="208">
        <f>IFERROR(__xludf.DUMMYFUNCTION("""COMPUTED_VALUE"""),54.0)</f>
        <v>54</v>
      </c>
      <c r="U362" s="275">
        <f>IFERROR(__xludf.DUMMYFUNCTION("""COMPUTED_VALUE"""),119326.0)</f>
        <v>119326</v>
      </c>
      <c r="V362" s="208" t="str">
        <f>IFERROR(__xludf.DUMMYFUNCTION("""COMPUTED_VALUE"""),"overall")</f>
        <v>overall</v>
      </c>
      <c r="W362" s="232" t="str">
        <f>IFERROR(__xludf.DUMMYFUNCTION("""COMPUTED_VALUE"""),"rcs")</f>
        <v>rcs</v>
      </c>
      <c r="X362" s="232" t="str">
        <f>IFERROR(__xludf.DUMMYFUNCTION("""COMPUTED_VALUE"""),"Discount Buyers")</f>
        <v>Discount Buyers</v>
      </c>
      <c r="Y362" s="232" t="str">
        <f>IFERROR(__xludf.DUMMYFUNCTION("""COMPUTED_VALUE"""),"5th - 10th May 2026")</f>
        <v>5th - 10th May 2026</v>
      </c>
      <c r="Z362" s="232" t="str">
        <f>IFERROR(__xludf.DUMMYFUNCTION("""COMPUTED_VALUE"""),"69f87e2cd21088dd19cd3f64")</f>
        <v>69f87e2cd21088dd19cd3f64</v>
      </c>
      <c r="AA362" s="277">
        <f>IFERROR(__xludf.DUMMYFUNCTION("""COMPUTED_VALUE"""),0.0)</f>
        <v>0</v>
      </c>
      <c r="AB362" s="277">
        <f>IFERROR(__xludf.DUMMYFUNCTION("""COMPUTED_VALUE"""),0.0)</f>
        <v>0</v>
      </c>
      <c r="AC362" s="277">
        <f>IFERROR(__xludf.DUMMYFUNCTION("""COMPUTED_VALUE"""),0.0)</f>
        <v>0</v>
      </c>
      <c r="AD362" s="277">
        <f>IFERROR(__xludf.DUMMYFUNCTION("""COMPUTED_VALUE"""),0.0)</f>
        <v>0</v>
      </c>
      <c r="AE362" s="277">
        <f>IFERROR(__xludf.DUMMYFUNCTION("""COMPUTED_VALUE"""),0.0)</f>
        <v>0</v>
      </c>
      <c r="AF362" s="277">
        <f>IFERROR(__xludf.DUMMYFUNCTION("""COMPUTED_VALUE"""),0.0)</f>
        <v>0</v>
      </c>
      <c r="AG362" s="208"/>
      <c r="AH362" s="208"/>
      <c r="AI362" s="208"/>
      <c r="AJ362" s="208"/>
      <c r="AK362" s="208"/>
    </row>
    <row r="363">
      <c r="A363" s="273">
        <f>IFERROR(__xludf.DUMMYFUNCTION("""COMPUTED_VALUE"""),46147.0)</f>
        <v>46147</v>
      </c>
      <c r="B363" s="274">
        <f>IFERROR(__xludf.DUMMYFUNCTION("""COMPUTED_VALUE"""),46147.375)</f>
        <v>46147.375</v>
      </c>
      <c r="C363" s="208" t="str">
        <f>IFERROR(__xludf.DUMMYFUNCTION("""COMPUTED_VALUE"""),"Rcs")</f>
        <v>Rcs</v>
      </c>
      <c r="D363" s="208" t="str">
        <f>IFERROR(__xludf.DUMMYFUNCTION("""COMPUTED_VALUE"""),"Promtional")</f>
        <v>Promtional</v>
      </c>
      <c r="E363" s="208" t="str">
        <f>IFERROR(__xludf.DUMMYFUNCTION("""COMPUTED_VALUE"""),"VS")</f>
        <v>VS</v>
      </c>
      <c r="F363" s="208" t="str">
        <f>IFERROR(__xludf.DUMMYFUNCTION("""COMPUTED_VALUE"""),"Mother's Day Gifting - Giftsets &amp; Accessories")</f>
        <v>Mother's Day Gifting - Giftsets &amp; Accessories</v>
      </c>
      <c r="G363" s="208" t="str">
        <f>IFERROR(__xludf.DUMMYFUNCTION("""COMPUTED_VALUE"""),"Mother's Day Gifting - Category CX")</f>
        <v>Mother's Day Gifting - Category CX</v>
      </c>
      <c r="H363" s="208" t="str">
        <f>IFERROR(__xludf.DUMMYFUNCTION("""COMPUTED_VALUE"""),"VS_GiftSets_Acc_Buyers_OnOff")</f>
        <v>VS_GiftSets_Acc_Buyers_OnOff</v>
      </c>
      <c r="I363" s="233" t="str">
        <f>IFERROR(__xludf.DUMMYFUNCTION("""COMPUTED_VALUE"""),"Customers who have purchased at least once in the last 1095 days with L1: Gifting OR Accessories Excluding Churned Users")</f>
        <v>Customers who have purchased at least once in the last 1095 days with L1: Gifting OR Accessories Excluding Churned Users</v>
      </c>
      <c r="J363" s="275">
        <f>IFERROR(__xludf.DUMMYFUNCTION("""COMPUTED_VALUE"""),10527.0)</f>
        <v>10527</v>
      </c>
      <c r="K363" s="275">
        <f>IFERROR(__xludf.DUMMYFUNCTION("""COMPUTED_VALUE"""),1423.0)</f>
        <v>1423</v>
      </c>
      <c r="L363" s="276">
        <f>IFERROR(__xludf.DUMMYFUNCTION("""COMPUTED_VALUE"""),0.1351762135461195)</f>
        <v>0.1351762135</v>
      </c>
      <c r="M363" s="275">
        <f>IFERROR(__xludf.DUMMYFUNCTION("""COMPUTED_VALUE"""),254.0)</f>
        <v>254</v>
      </c>
      <c r="N363" s="276">
        <f>IFERROR(__xludf.DUMMYFUNCTION("""COMPUTED_VALUE"""),0.17850000000000002)</f>
        <v>0.1785</v>
      </c>
      <c r="O363" s="208">
        <f>IFERROR(__xludf.DUMMYFUNCTION("""COMPUTED_VALUE"""),4.0)</f>
        <v>4</v>
      </c>
      <c r="P363" s="208">
        <f>IFERROR(__xludf.DUMMYFUNCTION("""COMPUTED_VALUE"""),0.0)</f>
        <v>0</v>
      </c>
      <c r="Q363" s="276">
        <f>IFERROR(__xludf.DUMMYFUNCTION("""COMPUTED_VALUE"""),0.0028000000000000004)</f>
        <v>0.0028</v>
      </c>
      <c r="R363" s="276">
        <f>IFERROR(__xludf.DUMMYFUNCTION("""COMPUTED_VALUE"""),0.0)</f>
        <v>0</v>
      </c>
      <c r="S363" s="208">
        <f>IFERROR(__xludf.DUMMYFUNCTION("""COMPUTED_VALUE"""),0.0)</f>
        <v>0</v>
      </c>
      <c r="T363" s="208">
        <f>IFERROR(__xludf.DUMMYFUNCTION("""COMPUTED_VALUE"""),1.0)</f>
        <v>1</v>
      </c>
      <c r="U363" s="275">
        <f>IFERROR(__xludf.DUMMYFUNCTION("""COMPUTED_VALUE"""),0.0)</f>
        <v>0</v>
      </c>
      <c r="V363" s="208" t="str">
        <f>IFERROR(__xludf.DUMMYFUNCTION("""COMPUTED_VALUE"""),"overall")</f>
        <v>overall</v>
      </c>
      <c r="W363" s="232" t="str">
        <f>IFERROR(__xludf.DUMMYFUNCTION("""COMPUTED_VALUE"""),"rcs")</f>
        <v>rcs</v>
      </c>
      <c r="X363" s="232" t="str">
        <f>IFERROR(__xludf.DUMMYFUNCTION("""COMPUTED_VALUE"""),"Giftsets, Accessories Buyers")</f>
        <v>Giftsets, Accessories Buyers</v>
      </c>
      <c r="Y363" s="232" t="str">
        <f>IFERROR(__xludf.DUMMYFUNCTION("""COMPUTED_VALUE"""),"5th - 10th May 2026")</f>
        <v>5th - 10th May 2026</v>
      </c>
      <c r="Z363" s="232" t="str">
        <f>IFERROR(__xludf.DUMMYFUNCTION("""COMPUTED_VALUE"""),"69f87e5b53fa4d71f6fc1272")</f>
        <v>69f87e5b53fa4d71f6fc1272</v>
      </c>
      <c r="AA363" s="277">
        <f>IFERROR(__xludf.DUMMYFUNCTION("""COMPUTED_VALUE"""),0.0)</f>
        <v>0</v>
      </c>
      <c r="AB363" s="277">
        <f>IFERROR(__xludf.DUMMYFUNCTION("""COMPUTED_VALUE"""),0.0)</f>
        <v>0</v>
      </c>
      <c r="AC363" s="277">
        <f>IFERROR(__xludf.DUMMYFUNCTION("""COMPUTED_VALUE"""),0.0)</f>
        <v>0</v>
      </c>
      <c r="AD363" s="277">
        <f>IFERROR(__xludf.DUMMYFUNCTION("""COMPUTED_VALUE"""),0.0)</f>
        <v>0</v>
      </c>
      <c r="AE363" s="277">
        <f>IFERROR(__xludf.DUMMYFUNCTION("""COMPUTED_VALUE"""),0.0)</f>
        <v>0</v>
      </c>
      <c r="AF363" s="277">
        <f>IFERROR(__xludf.DUMMYFUNCTION("""COMPUTED_VALUE"""),0.0)</f>
        <v>0</v>
      </c>
      <c r="AG363" s="208"/>
      <c r="AH363" s="208"/>
      <c r="AI363" s="208"/>
      <c r="AJ363" s="208"/>
      <c r="AK363" s="208"/>
    </row>
    <row r="364">
      <c r="A364" s="273">
        <f>IFERROR(__xludf.DUMMYFUNCTION("""COMPUTED_VALUE"""),46147.0)</f>
        <v>46147</v>
      </c>
      <c r="B364" s="274">
        <f>IFERROR(__xludf.DUMMYFUNCTION("""COMPUTED_VALUE"""),46147.375)</f>
        <v>46147.375</v>
      </c>
      <c r="C364" s="208" t="str">
        <f>IFERROR(__xludf.DUMMYFUNCTION("""COMPUTED_VALUE"""),"Rcs")</f>
        <v>Rcs</v>
      </c>
      <c r="D364" s="208" t="str">
        <f>IFERROR(__xludf.DUMMYFUNCTION("""COMPUTED_VALUE"""),"Promtional")</f>
        <v>Promtional</v>
      </c>
      <c r="E364" s="208" t="str">
        <f>IFERROR(__xludf.DUMMYFUNCTION("""COMPUTED_VALUE"""),"VS")</f>
        <v>VS</v>
      </c>
      <c r="F364" s="208" t="str">
        <f>IFERROR(__xludf.DUMMYFUNCTION("""COMPUTED_VALUE"""),"Mother's Day Gifting - Giftsets &amp; Accessories")</f>
        <v>Mother's Day Gifting - Giftsets &amp; Accessories</v>
      </c>
      <c r="G364" s="208" t="str">
        <f>IFERROR(__xludf.DUMMYFUNCTION("""COMPUTED_VALUE"""),"Mother's Day Gifting - Beauty CX")</f>
        <v>Mother's Day Gifting - Beauty CX</v>
      </c>
      <c r="H364" s="208" t="str">
        <f>IFERROR(__xludf.DUMMYFUNCTION("""COMPUTED_VALUE"""),"VS_BC_Frag_Buyers_OnOff")</f>
        <v>VS_BC_Frag_Buyers_OnOff</v>
      </c>
      <c r="I364" s="233" t="str">
        <f>IFERROR(__xludf.DUMMYFUNCTION("""COMPUTED_VALUE"""),"Customers who have purchased at least once in the last 1095 days with L2: Body Care or Fragrances whose Order_Net_Val is greater than 5000 Excluding Churned Users")</f>
        <v>Customers who have purchased at least once in the last 1095 days with L2: Body Care or Fragrances whose Order_Net_Val is greater than 5000 Excluding Churned Users</v>
      </c>
      <c r="J364" s="275">
        <f>IFERROR(__xludf.DUMMYFUNCTION("""COMPUTED_VALUE"""),12469.0)</f>
        <v>12469</v>
      </c>
      <c r="K364" s="275">
        <f>IFERROR(__xludf.DUMMYFUNCTION("""COMPUTED_VALUE"""),2121.0)</f>
        <v>2121</v>
      </c>
      <c r="L364" s="276">
        <f>IFERROR(__xludf.DUMMYFUNCTION("""COMPUTED_VALUE"""),0.1701018525944342)</f>
        <v>0.1701018526</v>
      </c>
      <c r="M364" s="275">
        <f>IFERROR(__xludf.DUMMYFUNCTION("""COMPUTED_VALUE"""),385.0)</f>
        <v>385</v>
      </c>
      <c r="N364" s="276">
        <f>IFERROR(__xludf.DUMMYFUNCTION("""COMPUTED_VALUE"""),0.1815)</f>
        <v>0.1815</v>
      </c>
      <c r="O364" s="208">
        <f>IFERROR(__xludf.DUMMYFUNCTION("""COMPUTED_VALUE"""),3.0)</f>
        <v>3</v>
      </c>
      <c r="P364" s="208">
        <f>IFERROR(__xludf.DUMMYFUNCTION("""COMPUTED_VALUE"""),0.0)</f>
        <v>0</v>
      </c>
      <c r="Q364" s="276">
        <f>IFERROR(__xludf.DUMMYFUNCTION("""COMPUTED_VALUE"""),0.0014000000000000002)</f>
        <v>0.0014</v>
      </c>
      <c r="R364" s="276">
        <f>IFERROR(__xludf.DUMMYFUNCTION("""COMPUTED_VALUE"""),0.0)</f>
        <v>0</v>
      </c>
      <c r="S364" s="208">
        <f>IFERROR(__xludf.DUMMYFUNCTION("""COMPUTED_VALUE"""),0.0)</f>
        <v>0</v>
      </c>
      <c r="T364" s="208">
        <f>IFERROR(__xludf.DUMMYFUNCTION("""COMPUTED_VALUE"""),0.0)</f>
        <v>0</v>
      </c>
      <c r="U364" s="275">
        <f>IFERROR(__xludf.DUMMYFUNCTION("""COMPUTED_VALUE"""),0.0)</f>
        <v>0</v>
      </c>
      <c r="V364" s="208" t="str">
        <f>IFERROR(__xludf.DUMMYFUNCTION("""COMPUTED_VALUE"""),"overall")</f>
        <v>overall</v>
      </c>
      <c r="W364" s="232" t="str">
        <f>IFERROR(__xludf.DUMMYFUNCTION("""COMPUTED_VALUE"""),"rcs")</f>
        <v>rcs</v>
      </c>
      <c r="X364" s="232" t="str">
        <f>IFERROR(__xludf.DUMMYFUNCTION("""COMPUTED_VALUE"""),"Body Care, Fragrance Buyers")</f>
        <v>Body Care, Fragrance Buyers</v>
      </c>
      <c r="Y364" s="232" t="str">
        <f>IFERROR(__xludf.DUMMYFUNCTION("""COMPUTED_VALUE"""),"5th - 10th May 2026")</f>
        <v>5th - 10th May 2026</v>
      </c>
      <c r="Z364" s="232" t="str">
        <f>IFERROR(__xludf.DUMMYFUNCTION("""COMPUTED_VALUE"""),"69f87f2976075d8d20824d58")</f>
        <v>69f87f2976075d8d20824d58</v>
      </c>
      <c r="AA364" s="277">
        <f>IFERROR(__xludf.DUMMYFUNCTION("""COMPUTED_VALUE"""),1.0)</f>
        <v>1</v>
      </c>
      <c r="AB364" s="277">
        <f>IFERROR(__xludf.DUMMYFUNCTION("""COMPUTED_VALUE"""),0.0)</f>
        <v>0</v>
      </c>
      <c r="AC364" s="277">
        <f>IFERROR(__xludf.DUMMYFUNCTION("""COMPUTED_VALUE"""),1.0)</f>
        <v>1</v>
      </c>
      <c r="AD364" s="277">
        <f>IFERROR(__xludf.DUMMYFUNCTION("""COMPUTED_VALUE"""),24424.0)</f>
        <v>24424</v>
      </c>
      <c r="AE364" s="277">
        <f>IFERROR(__xludf.DUMMYFUNCTION("""COMPUTED_VALUE"""),0.0)</f>
        <v>0</v>
      </c>
      <c r="AF364" s="277">
        <f>IFERROR(__xludf.DUMMYFUNCTION("""COMPUTED_VALUE"""),24424.0)</f>
        <v>24424</v>
      </c>
      <c r="AG364" s="208"/>
      <c r="AH364" s="208"/>
      <c r="AI364" s="208"/>
      <c r="AJ364" s="208"/>
      <c r="AK364" s="208"/>
    </row>
    <row r="365">
      <c r="A365" s="273">
        <f>IFERROR(__xludf.DUMMYFUNCTION("""COMPUTED_VALUE"""),46147.0)</f>
        <v>46147</v>
      </c>
      <c r="B365" s="274">
        <f>IFERROR(__xludf.DUMMYFUNCTION("""COMPUTED_VALUE"""),46147.45833333333)</f>
        <v>46147.45833</v>
      </c>
      <c r="C365" s="208" t="str">
        <f>IFERROR(__xludf.DUMMYFUNCTION("""COMPUTED_VALUE"""),"Whatsapp")</f>
        <v>Whatsapp</v>
      </c>
      <c r="D365" s="208" t="str">
        <f>IFERROR(__xludf.DUMMYFUNCTION("""COMPUTED_VALUE"""),"Fallback campaign")</f>
        <v>Fallback campaign</v>
      </c>
      <c r="E365" s="208" t="str">
        <f>IFERROR(__xludf.DUMMYFUNCTION("""COMPUTED_VALUE"""),"VS")</f>
        <v>VS</v>
      </c>
      <c r="F365" s="208" t="str">
        <f>IFERROR(__xludf.DUMMYFUNCTION("""COMPUTED_VALUE"""),"Mother's Day Gifting - Giftsets &amp; Accessories")</f>
        <v>Mother's Day Gifting - Giftsets &amp; Accessories</v>
      </c>
      <c r="G365" s="208" t="str">
        <f>IFERROR(__xludf.DUMMYFUNCTION("""COMPUTED_VALUE"""),"Mother's Day Gifting - High ATV CX (FB)")</f>
        <v>Mother's Day Gifting - High ATV CX (FB)</v>
      </c>
      <c r="H365" s="208" t="str">
        <f>IFERROR(__xludf.DUMMYFUNCTION("""COMPUTED_VALUE"""),"VS_OnOff_High_ATV_Recent_7999")</f>
        <v>VS_OnOff_High_ATV_Recent_7999</v>
      </c>
      <c r="I365" s="233" t="str">
        <f>IFERROR(__xludf.DUMMYFUNCTION("""COMPUTED_VALUE"""),"RCS Undelivered")</f>
        <v>RCS Undelivered</v>
      </c>
      <c r="J365" s="275">
        <f>IFERROR(__xludf.DUMMYFUNCTION("""COMPUTED_VALUE"""),8019.0)</f>
        <v>8019</v>
      </c>
      <c r="K365" s="275">
        <f>IFERROR(__xludf.DUMMYFUNCTION("""COMPUTED_VALUE"""),4597.0)</f>
        <v>4597</v>
      </c>
      <c r="L365" s="276">
        <f>IFERROR(__xludf.DUMMYFUNCTION("""COMPUTED_VALUE"""),0.5733)</f>
        <v>0.5733</v>
      </c>
      <c r="M365" s="275">
        <f>IFERROR(__xludf.DUMMYFUNCTION("""COMPUTED_VALUE"""),1125.0)</f>
        <v>1125</v>
      </c>
      <c r="N365" s="276">
        <f>IFERROR(__xludf.DUMMYFUNCTION("""COMPUTED_VALUE"""),0.2447)</f>
        <v>0.2447</v>
      </c>
      <c r="O365" s="208">
        <f>IFERROR(__xludf.DUMMYFUNCTION("""COMPUTED_VALUE"""),131.0)</f>
        <v>131</v>
      </c>
      <c r="P365" s="208">
        <f>IFERROR(__xludf.DUMMYFUNCTION("""COMPUTED_VALUE"""),125.0)</f>
        <v>125</v>
      </c>
      <c r="Q365" s="276">
        <f>IFERROR(__xludf.DUMMYFUNCTION("""COMPUTED_VALUE"""),0.027200000000000002)</f>
        <v>0.0272</v>
      </c>
      <c r="R365" s="276">
        <f>IFERROR(__xludf.DUMMYFUNCTION("""COMPUTED_VALUE"""),0.11109999999999999)</f>
        <v>0.1111</v>
      </c>
      <c r="S365" s="208">
        <f>IFERROR(__xludf.DUMMYFUNCTION("""COMPUTED_VALUE"""),13.0)</f>
        <v>13</v>
      </c>
      <c r="T365" s="208">
        <f>IFERROR(__xludf.DUMMYFUNCTION("""COMPUTED_VALUE"""),33.0)</f>
        <v>33</v>
      </c>
      <c r="U365" s="275">
        <f>IFERROR(__xludf.DUMMYFUNCTION("""COMPUTED_VALUE"""),128999.0)</f>
        <v>128999</v>
      </c>
      <c r="V365" s="208" t="str">
        <f>IFERROR(__xludf.DUMMYFUNCTION("""COMPUTED_VALUE"""),"overall")</f>
        <v>overall</v>
      </c>
      <c r="W365" s="232" t="str">
        <f>IFERROR(__xludf.DUMMYFUNCTION("""COMPUTED_VALUE"""),"simple")</f>
        <v>simple</v>
      </c>
      <c r="X365" s="232" t="str">
        <f>IFERROR(__xludf.DUMMYFUNCTION("""COMPUTED_VALUE"""),"Recent High ATV")</f>
        <v>Recent High ATV</v>
      </c>
      <c r="Y365" s="232" t="str">
        <f>IFERROR(__xludf.DUMMYFUNCTION("""COMPUTED_VALUE"""),"5th - 10th May")</f>
        <v>5th - 10th May</v>
      </c>
      <c r="Z365" s="232" t="str">
        <f>IFERROR(__xludf.DUMMYFUNCTION("""COMPUTED_VALUE"""),"69f88c2856a3e7a3b7c11180")</f>
        <v>69f88c2856a3e7a3b7c11180</v>
      </c>
      <c r="AA365" s="277">
        <f>IFERROR(__xludf.DUMMYFUNCTION("""COMPUTED_VALUE"""),14.0)</f>
        <v>14</v>
      </c>
      <c r="AB365" s="277">
        <f>IFERROR(__xludf.DUMMYFUNCTION("""COMPUTED_VALUE"""),2.0)</f>
        <v>2</v>
      </c>
      <c r="AC365" s="277">
        <f>IFERROR(__xludf.DUMMYFUNCTION("""COMPUTED_VALUE"""),12.0)</f>
        <v>12</v>
      </c>
      <c r="AD365" s="277">
        <f>IFERROR(__xludf.DUMMYFUNCTION("""COMPUTED_VALUE"""),431494.0)</f>
        <v>431494</v>
      </c>
      <c r="AE365" s="277">
        <f>IFERROR(__xludf.DUMMYFUNCTION("""COMPUTED_VALUE"""),5559.0)</f>
        <v>5559</v>
      </c>
      <c r="AF365" s="277">
        <f>IFERROR(__xludf.DUMMYFUNCTION("""COMPUTED_VALUE"""),425935.0)</f>
        <v>425935</v>
      </c>
      <c r="AG365" s="208"/>
      <c r="AH365" s="208"/>
      <c r="AI365" s="208"/>
      <c r="AJ365" s="208"/>
      <c r="AK365" s="208"/>
    </row>
    <row r="366">
      <c r="A366" s="273">
        <f>IFERROR(__xludf.DUMMYFUNCTION("""COMPUTED_VALUE"""),46147.0)</f>
        <v>46147</v>
      </c>
      <c r="B366" s="274">
        <f>IFERROR(__xludf.DUMMYFUNCTION("""COMPUTED_VALUE"""),46147.461805555555)</f>
        <v>46147.46181</v>
      </c>
      <c r="C366" s="208" t="str">
        <f>IFERROR(__xludf.DUMMYFUNCTION("""COMPUTED_VALUE"""),"Whatsapp")</f>
        <v>Whatsapp</v>
      </c>
      <c r="D366" s="208" t="str">
        <f>IFERROR(__xludf.DUMMYFUNCTION("""COMPUTED_VALUE"""),"Fallback campaign")</f>
        <v>Fallback campaign</v>
      </c>
      <c r="E366" s="208" t="str">
        <f>IFERROR(__xludf.DUMMYFUNCTION("""COMPUTED_VALUE"""),"VS")</f>
        <v>VS</v>
      </c>
      <c r="F366" s="208" t="str">
        <f>IFERROR(__xludf.DUMMYFUNCTION("""COMPUTED_VALUE"""),"Mother's Day Gifting - Giftsets &amp; Accessories")</f>
        <v>Mother's Day Gifting - Giftsets &amp; Accessories</v>
      </c>
      <c r="G366" s="208" t="str">
        <f>IFERROR(__xludf.DUMMYFUNCTION("""COMPUTED_VALUE"""),"Mother's Day Gifting - Event CX (FB)")</f>
        <v>Mother's Day Gifting - Event CX (FB)</v>
      </c>
      <c r="H366" s="208" t="str">
        <f>IFERROR(__xludf.DUMMYFUNCTION("""COMPUTED_VALUE"""),"VS_MothersDay_OnOff_Event_Buyers")</f>
        <v>VS_MothersDay_OnOff_Event_Buyers</v>
      </c>
      <c r="I366" s="233" t="str">
        <f>IFERROR(__xludf.DUMMYFUNCTION("""COMPUTED_VALUE"""),"RCS Undelivered")</f>
        <v>RCS Undelivered</v>
      </c>
      <c r="J366" s="275">
        <f>IFERROR(__xludf.DUMMYFUNCTION("""COMPUTED_VALUE"""),11570.0)</f>
        <v>11570</v>
      </c>
      <c r="K366" s="275">
        <f>IFERROR(__xludf.DUMMYFUNCTION("""COMPUTED_VALUE"""),7289.0)</f>
        <v>7289</v>
      </c>
      <c r="L366" s="276">
        <f>IFERROR(__xludf.DUMMYFUNCTION("""COMPUTED_VALUE"""),0.6297999999999999)</f>
        <v>0.6298</v>
      </c>
      <c r="M366" s="275">
        <f>IFERROR(__xludf.DUMMYFUNCTION("""COMPUTED_VALUE"""),1798.0)</f>
        <v>1798</v>
      </c>
      <c r="N366" s="276">
        <f>IFERROR(__xludf.DUMMYFUNCTION("""COMPUTED_VALUE"""),0.24670000000000003)</f>
        <v>0.2467</v>
      </c>
      <c r="O366" s="208">
        <f>IFERROR(__xludf.DUMMYFUNCTION("""COMPUTED_VALUE"""),137.0)</f>
        <v>137</v>
      </c>
      <c r="P366" s="208">
        <f>IFERROR(__xludf.DUMMYFUNCTION("""COMPUTED_VALUE"""),135.0)</f>
        <v>135</v>
      </c>
      <c r="Q366" s="276">
        <f>IFERROR(__xludf.DUMMYFUNCTION("""COMPUTED_VALUE"""),0.018500000000000003)</f>
        <v>0.0185</v>
      </c>
      <c r="R366" s="276">
        <f>IFERROR(__xludf.DUMMYFUNCTION("""COMPUTED_VALUE"""),0.0751)</f>
        <v>0.0751</v>
      </c>
      <c r="S366" s="208">
        <f>IFERROR(__xludf.DUMMYFUNCTION("""COMPUTED_VALUE"""),24.0)</f>
        <v>24</v>
      </c>
      <c r="T366" s="208">
        <f>IFERROR(__xludf.DUMMYFUNCTION("""COMPUTED_VALUE"""),36.0)</f>
        <v>36</v>
      </c>
      <c r="U366" s="275">
        <f>IFERROR(__xludf.DUMMYFUNCTION("""COMPUTED_VALUE"""),71331.0)</f>
        <v>71331</v>
      </c>
      <c r="V366" s="208" t="str">
        <f>IFERROR(__xludf.DUMMYFUNCTION("""COMPUTED_VALUE"""),"overall")</f>
        <v>overall</v>
      </c>
      <c r="W366" s="232" t="str">
        <f>IFERROR(__xludf.DUMMYFUNCTION("""COMPUTED_VALUE"""),"simple")</f>
        <v>simple</v>
      </c>
      <c r="X366" s="232" t="str">
        <f>IFERROR(__xludf.DUMMYFUNCTION("""COMPUTED_VALUE"""),"Event Buyers")</f>
        <v>Event Buyers</v>
      </c>
      <c r="Y366" s="232" t="str">
        <f>IFERROR(__xludf.DUMMYFUNCTION("""COMPUTED_VALUE"""),"5th - 10th May")</f>
        <v>5th - 10th May</v>
      </c>
      <c r="Z366" s="232" t="str">
        <f>IFERROR(__xludf.DUMMYFUNCTION("""COMPUTED_VALUE"""),"69f8923121597988344b688a")</f>
        <v>69f8923121597988344b688a</v>
      </c>
      <c r="AA366" s="277">
        <f>IFERROR(__xludf.DUMMYFUNCTION("""COMPUTED_VALUE"""),6.0)</f>
        <v>6</v>
      </c>
      <c r="AB366" s="277">
        <f>IFERROR(__xludf.DUMMYFUNCTION("""COMPUTED_VALUE"""),6.0)</f>
        <v>6</v>
      </c>
      <c r="AC366" s="277">
        <f>IFERROR(__xludf.DUMMYFUNCTION("""COMPUTED_VALUE"""),0.0)</f>
        <v>0</v>
      </c>
      <c r="AD366" s="277">
        <f>IFERROR(__xludf.DUMMYFUNCTION("""COMPUTED_VALUE"""),13822.0)</f>
        <v>13822</v>
      </c>
      <c r="AE366" s="277">
        <f>IFERROR(__xludf.DUMMYFUNCTION("""COMPUTED_VALUE"""),13822.0)</f>
        <v>13822</v>
      </c>
      <c r="AF366" s="277">
        <f>IFERROR(__xludf.DUMMYFUNCTION("""COMPUTED_VALUE"""),0.0)</f>
        <v>0</v>
      </c>
      <c r="AG366" s="208"/>
      <c r="AH366" s="208"/>
      <c r="AI366" s="208"/>
      <c r="AJ366" s="208"/>
      <c r="AK366" s="208"/>
    </row>
    <row r="367">
      <c r="A367" s="273">
        <f>IFERROR(__xludf.DUMMYFUNCTION("""COMPUTED_VALUE"""),46147.0)</f>
        <v>46147</v>
      </c>
      <c r="B367" s="274">
        <f>IFERROR(__xludf.DUMMYFUNCTION("""COMPUTED_VALUE"""),46147.46527777778)</f>
        <v>46147.46528</v>
      </c>
      <c r="C367" s="208" t="str">
        <f>IFERROR(__xludf.DUMMYFUNCTION("""COMPUTED_VALUE"""),"Whatsapp")</f>
        <v>Whatsapp</v>
      </c>
      <c r="D367" s="208" t="str">
        <f>IFERROR(__xludf.DUMMYFUNCTION("""COMPUTED_VALUE"""),"Fallback campaign")</f>
        <v>Fallback campaign</v>
      </c>
      <c r="E367" s="208" t="str">
        <f>IFERROR(__xludf.DUMMYFUNCTION("""COMPUTED_VALUE"""),"VS")</f>
        <v>VS</v>
      </c>
      <c r="F367" s="208" t="str">
        <f>IFERROR(__xludf.DUMMYFUNCTION("""COMPUTED_VALUE"""),"Mother's Day Gifting - Giftsets &amp; Accessories")</f>
        <v>Mother's Day Gifting - Giftsets &amp; Accessories</v>
      </c>
      <c r="G367" s="208" t="str">
        <f>IFERROR(__xludf.DUMMYFUNCTION("""COMPUTED_VALUE"""),"Mother's Day Gifting - Discount CX (FB)")</f>
        <v>Mother's Day Gifting - Discount CX (FB)</v>
      </c>
      <c r="H367" s="208" t="str">
        <f>IFERROR(__xludf.DUMMYFUNCTION("""COMPUTED_VALUE"""),"VS_Discount_Buyers_29_04_26_OnOff")</f>
        <v>VS_Discount_Buyers_29_04_26_OnOff</v>
      </c>
      <c r="I367" s="233" t="str">
        <f>IFERROR(__xludf.DUMMYFUNCTION("""COMPUTED_VALUE"""),"RCS Undelivered")</f>
        <v>RCS Undelivered</v>
      </c>
      <c r="J367" s="275">
        <f>IFERROR(__xludf.DUMMYFUNCTION("""COMPUTED_VALUE"""),61331.0)</f>
        <v>61331</v>
      </c>
      <c r="K367" s="275">
        <f>IFERROR(__xludf.DUMMYFUNCTION("""COMPUTED_VALUE"""),37198.0)</f>
        <v>37198</v>
      </c>
      <c r="L367" s="276">
        <f>IFERROR(__xludf.DUMMYFUNCTION("""COMPUTED_VALUE"""),0.6065)</f>
        <v>0.6065</v>
      </c>
      <c r="M367" s="275">
        <f>IFERROR(__xludf.DUMMYFUNCTION("""COMPUTED_VALUE"""),8709.0)</f>
        <v>8709</v>
      </c>
      <c r="N367" s="276">
        <f>IFERROR(__xludf.DUMMYFUNCTION("""COMPUTED_VALUE"""),0.2341)</f>
        <v>0.2341</v>
      </c>
      <c r="O367" s="208">
        <f>IFERROR(__xludf.DUMMYFUNCTION("""COMPUTED_VALUE"""),870.0)</f>
        <v>870</v>
      </c>
      <c r="P367" s="208">
        <f>IFERROR(__xludf.DUMMYFUNCTION("""COMPUTED_VALUE"""),811.0)</f>
        <v>811</v>
      </c>
      <c r="Q367" s="276">
        <f>IFERROR(__xludf.DUMMYFUNCTION("""COMPUTED_VALUE"""),0.0218)</f>
        <v>0.0218</v>
      </c>
      <c r="R367" s="276">
        <f>IFERROR(__xludf.DUMMYFUNCTION("""COMPUTED_VALUE"""),0.0932)</f>
        <v>0.0932</v>
      </c>
      <c r="S367" s="208">
        <f>IFERROR(__xludf.DUMMYFUNCTION("""COMPUTED_VALUE"""),89.0)</f>
        <v>89</v>
      </c>
      <c r="T367" s="208">
        <f>IFERROR(__xludf.DUMMYFUNCTION("""COMPUTED_VALUE"""),198.0)</f>
        <v>198</v>
      </c>
      <c r="U367" s="275">
        <f>IFERROR(__xludf.DUMMYFUNCTION("""COMPUTED_VALUE"""),264816.0)</f>
        <v>264816</v>
      </c>
      <c r="V367" s="208" t="str">
        <f>IFERROR(__xludf.DUMMYFUNCTION("""COMPUTED_VALUE"""),"overall")</f>
        <v>overall</v>
      </c>
      <c r="W367" s="232" t="str">
        <f>IFERROR(__xludf.DUMMYFUNCTION("""COMPUTED_VALUE"""),"simple")</f>
        <v>simple</v>
      </c>
      <c r="X367" s="232" t="str">
        <f>IFERROR(__xludf.DUMMYFUNCTION("""COMPUTED_VALUE"""),"Discount Buyers")</f>
        <v>Discount Buyers</v>
      </c>
      <c r="Y367" s="232" t="str">
        <f>IFERROR(__xludf.DUMMYFUNCTION("""COMPUTED_VALUE"""),"5th - 10th May")</f>
        <v>5th - 10th May</v>
      </c>
      <c r="Z367" s="232" t="str">
        <f>IFERROR(__xludf.DUMMYFUNCTION("""COMPUTED_VALUE"""),"69f8927576075d8d208250df")</f>
        <v>69f8927576075d8d208250df</v>
      </c>
      <c r="AA367" s="277">
        <f>IFERROR(__xludf.DUMMYFUNCTION("""COMPUTED_VALUE"""),10.0)</f>
        <v>10</v>
      </c>
      <c r="AB367" s="277">
        <f>IFERROR(__xludf.DUMMYFUNCTION("""COMPUTED_VALUE"""),9.0)</f>
        <v>9</v>
      </c>
      <c r="AC367" s="277">
        <f>IFERROR(__xludf.DUMMYFUNCTION("""COMPUTED_VALUE"""),1.0)</f>
        <v>1</v>
      </c>
      <c r="AD367" s="277">
        <f>IFERROR(__xludf.DUMMYFUNCTION("""COMPUTED_VALUE"""),61879.0)</f>
        <v>61879</v>
      </c>
      <c r="AE367" s="277">
        <f>IFERROR(__xludf.DUMMYFUNCTION("""COMPUTED_VALUE"""),17815.0)</f>
        <v>17815</v>
      </c>
      <c r="AF367" s="277">
        <f>IFERROR(__xludf.DUMMYFUNCTION("""COMPUTED_VALUE"""),44064.0)</f>
        <v>44064</v>
      </c>
      <c r="AG367" s="208"/>
      <c r="AH367" s="208"/>
      <c r="AI367" s="208"/>
      <c r="AJ367" s="208"/>
      <c r="AK367" s="208"/>
    </row>
    <row r="368">
      <c r="A368" s="273">
        <f>IFERROR(__xludf.DUMMYFUNCTION("""COMPUTED_VALUE"""),46147.0)</f>
        <v>46147</v>
      </c>
      <c r="B368" s="274">
        <f>IFERROR(__xludf.DUMMYFUNCTION("""COMPUTED_VALUE"""),46147.46875)</f>
        <v>46147.46875</v>
      </c>
      <c r="C368" s="208" t="str">
        <f>IFERROR(__xludf.DUMMYFUNCTION("""COMPUTED_VALUE"""),"Whatsapp")</f>
        <v>Whatsapp</v>
      </c>
      <c r="D368" s="208" t="str">
        <f>IFERROR(__xludf.DUMMYFUNCTION("""COMPUTED_VALUE"""),"Fallback campaign")</f>
        <v>Fallback campaign</v>
      </c>
      <c r="E368" s="208" t="str">
        <f>IFERROR(__xludf.DUMMYFUNCTION("""COMPUTED_VALUE"""),"VS")</f>
        <v>VS</v>
      </c>
      <c r="F368" s="208" t="str">
        <f>IFERROR(__xludf.DUMMYFUNCTION("""COMPUTED_VALUE"""),"Mother's Day Gifting - Giftsets &amp; Accessories")</f>
        <v>Mother's Day Gifting - Giftsets &amp; Accessories</v>
      </c>
      <c r="G368" s="208" t="str">
        <f>IFERROR(__xludf.DUMMYFUNCTION("""COMPUTED_VALUE"""),"Mother's Day Gifting - Category CX (FB)")</f>
        <v>Mother's Day Gifting - Category CX (FB)</v>
      </c>
      <c r="H368" s="208" t="str">
        <f>IFERROR(__xludf.DUMMYFUNCTION("""COMPUTED_VALUE"""),"VS_GiftSets_Acc_Buyers_OnOff")</f>
        <v>VS_GiftSets_Acc_Buyers_OnOff</v>
      </c>
      <c r="I368" s="233" t="str">
        <f>IFERROR(__xludf.DUMMYFUNCTION("""COMPUTED_VALUE"""),"RCS Undelivered")</f>
        <v>RCS Undelivered</v>
      </c>
      <c r="J368" s="275">
        <f>IFERROR(__xludf.DUMMYFUNCTION("""COMPUTED_VALUE"""),9044.0)</f>
        <v>9044</v>
      </c>
      <c r="K368" s="275">
        <f>IFERROR(__xludf.DUMMYFUNCTION("""COMPUTED_VALUE"""),5239.0)</f>
        <v>5239</v>
      </c>
      <c r="L368" s="276">
        <f>IFERROR(__xludf.DUMMYFUNCTION("""COMPUTED_VALUE"""),0.5793)</f>
        <v>0.5793</v>
      </c>
      <c r="M368" s="275">
        <f>IFERROR(__xludf.DUMMYFUNCTION("""COMPUTED_VALUE"""),1128.0)</f>
        <v>1128</v>
      </c>
      <c r="N368" s="276">
        <f>IFERROR(__xludf.DUMMYFUNCTION("""COMPUTED_VALUE"""),0.21530000000000002)</f>
        <v>0.2153</v>
      </c>
      <c r="O368" s="208">
        <f>IFERROR(__xludf.DUMMYFUNCTION("""COMPUTED_VALUE"""),86.0)</f>
        <v>86</v>
      </c>
      <c r="P368" s="208">
        <f>IFERROR(__xludf.DUMMYFUNCTION("""COMPUTED_VALUE"""),83.0)</f>
        <v>83</v>
      </c>
      <c r="Q368" s="276">
        <f>IFERROR(__xludf.DUMMYFUNCTION("""COMPUTED_VALUE"""),0.0158)</f>
        <v>0.0158</v>
      </c>
      <c r="R368" s="276">
        <f>IFERROR(__xludf.DUMMYFUNCTION("""COMPUTED_VALUE"""),0.0736)</f>
        <v>0.0736</v>
      </c>
      <c r="S368" s="208">
        <f>IFERROR(__xludf.DUMMYFUNCTION("""COMPUTED_VALUE"""),4.0)</f>
        <v>4</v>
      </c>
      <c r="T368" s="208">
        <f>IFERROR(__xludf.DUMMYFUNCTION("""COMPUTED_VALUE"""),6.0)</f>
        <v>6</v>
      </c>
      <c r="U368" s="275">
        <f>IFERROR(__xludf.DUMMYFUNCTION("""COMPUTED_VALUE"""),12317.0)</f>
        <v>12317</v>
      </c>
      <c r="V368" s="208" t="str">
        <f>IFERROR(__xludf.DUMMYFUNCTION("""COMPUTED_VALUE"""),"overall")</f>
        <v>overall</v>
      </c>
      <c r="W368" s="232" t="str">
        <f>IFERROR(__xludf.DUMMYFUNCTION("""COMPUTED_VALUE"""),"simple")</f>
        <v>simple</v>
      </c>
      <c r="X368" s="232" t="str">
        <f>IFERROR(__xludf.DUMMYFUNCTION("""COMPUTED_VALUE"""),"Giftsets, Accessories Buyers")</f>
        <v>Giftsets, Accessories Buyers</v>
      </c>
      <c r="Y368" s="232" t="str">
        <f>IFERROR(__xludf.DUMMYFUNCTION("""COMPUTED_VALUE"""),"5th - 10th May")</f>
        <v>5th - 10th May</v>
      </c>
      <c r="Z368" s="232" t="str">
        <f>IFERROR(__xludf.DUMMYFUNCTION("""COMPUTED_VALUE"""),"69f892a3d8e99ae260b3a4fa")</f>
        <v>69f892a3d8e99ae260b3a4fa</v>
      </c>
      <c r="AA368" s="277">
        <f>IFERROR(__xludf.DUMMYFUNCTION("""COMPUTED_VALUE"""),4.0)</f>
        <v>4</v>
      </c>
      <c r="AB368" s="277">
        <f>IFERROR(__xludf.DUMMYFUNCTION("""COMPUTED_VALUE"""),0.0)</f>
        <v>0</v>
      </c>
      <c r="AC368" s="277">
        <f>IFERROR(__xludf.DUMMYFUNCTION("""COMPUTED_VALUE"""),4.0)</f>
        <v>4</v>
      </c>
      <c r="AD368" s="277">
        <f>IFERROR(__xludf.DUMMYFUNCTION("""COMPUTED_VALUE"""),32791.0)</f>
        <v>32791</v>
      </c>
      <c r="AE368" s="277">
        <f>IFERROR(__xludf.DUMMYFUNCTION("""COMPUTED_VALUE"""),0.0)</f>
        <v>0</v>
      </c>
      <c r="AF368" s="277">
        <f>IFERROR(__xludf.DUMMYFUNCTION("""COMPUTED_VALUE"""),32791.0)</f>
        <v>32791</v>
      </c>
      <c r="AG368" s="208"/>
      <c r="AH368" s="208"/>
      <c r="AI368" s="208"/>
      <c r="AJ368" s="208"/>
      <c r="AK368" s="208"/>
    </row>
    <row r="369">
      <c r="A369" s="273">
        <f>IFERROR(__xludf.DUMMYFUNCTION("""COMPUTED_VALUE"""),46147.0)</f>
        <v>46147</v>
      </c>
      <c r="B369" s="274">
        <f>IFERROR(__xludf.DUMMYFUNCTION("""COMPUTED_VALUE"""),46147.47222222222)</f>
        <v>46147.47222</v>
      </c>
      <c r="C369" s="208" t="str">
        <f>IFERROR(__xludf.DUMMYFUNCTION("""COMPUTED_VALUE"""),"Whatsapp")</f>
        <v>Whatsapp</v>
      </c>
      <c r="D369" s="208" t="str">
        <f>IFERROR(__xludf.DUMMYFUNCTION("""COMPUTED_VALUE"""),"Fallback campaign")</f>
        <v>Fallback campaign</v>
      </c>
      <c r="E369" s="208" t="str">
        <f>IFERROR(__xludf.DUMMYFUNCTION("""COMPUTED_VALUE"""),"VS")</f>
        <v>VS</v>
      </c>
      <c r="F369" s="208" t="str">
        <f>IFERROR(__xludf.DUMMYFUNCTION("""COMPUTED_VALUE"""),"Mother's Day Gifting - Giftsets &amp; Accessories")</f>
        <v>Mother's Day Gifting - Giftsets &amp; Accessories</v>
      </c>
      <c r="G369" s="208" t="str">
        <f>IFERROR(__xludf.DUMMYFUNCTION("""COMPUTED_VALUE"""),"Mother's Day Gifting - Beauty CX (FB)")</f>
        <v>Mother's Day Gifting - Beauty CX (FB)</v>
      </c>
      <c r="H369" s="208" t="str">
        <f>IFERROR(__xludf.DUMMYFUNCTION("""COMPUTED_VALUE"""),"VS_BC_Frag_Buyers_OnOff")</f>
        <v>VS_BC_Frag_Buyers_OnOff</v>
      </c>
      <c r="I369" s="233" t="str">
        <f>IFERROR(__xludf.DUMMYFUNCTION("""COMPUTED_VALUE"""),"RCS Undelivered")</f>
        <v>RCS Undelivered</v>
      </c>
      <c r="J369" s="275">
        <f>IFERROR(__xludf.DUMMYFUNCTION("""COMPUTED_VALUE"""),10255.0)</f>
        <v>10255</v>
      </c>
      <c r="K369" s="275">
        <f>IFERROR(__xludf.DUMMYFUNCTION("""COMPUTED_VALUE"""),6202.0)</f>
        <v>6202</v>
      </c>
      <c r="L369" s="276">
        <f>IFERROR(__xludf.DUMMYFUNCTION("""COMPUTED_VALUE"""),0.6048)</f>
        <v>0.6048</v>
      </c>
      <c r="M369" s="275">
        <f>IFERROR(__xludf.DUMMYFUNCTION("""COMPUTED_VALUE"""),1494.0)</f>
        <v>1494</v>
      </c>
      <c r="N369" s="276">
        <f>IFERROR(__xludf.DUMMYFUNCTION("""COMPUTED_VALUE"""),0.2409)</f>
        <v>0.2409</v>
      </c>
      <c r="O369" s="208">
        <f>IFERROR(__xludf.DUMMYFUNCTION("""COMPUTED_VALUE"""),111.0)</f>
        <v>111</v>
      </c>
      <c r="P369" s="208">
        <f>IFERROR(__xludf.DUMMYFUNCTION("""COMPUTED_VALUE"""),109.0)</f>
        <v>109</v>
      </c>
      <c r="Q369" s="276">
        <f>IFERROR(__xludf.DUMMYFUNCTION("""COMPUTED_VALUE"""),0.0176)</f>
        <v>0.0176</v>
      </c>
      <c r="R369" s="276">
        <f>IFERROR(__xludf.DUMMYFUNCTION("""COMPUTED_VALUE"""),0.073)</f>
        <v>0.073</v>
      </c>
      <c r="S369" s="208">
        <f>IFERROR(__xludf.DUMMYFUNCTION("""COMPUTED_VALUE"""),3.0)</f>
        <v>3</v>
      </c>
      <c r="T369" s="208">
        <f>IFERROR(__xludf.DUMMYFUNCTION("""COMPUTED_VALUE"""),7.0)</f>
        <v>7</v>
      </c>
      <c r="U369" s="275">
        <f>IFERROR(__xludf.DUMMYFUNCTION("""COMPUTED_VALUE"""),6499.0)</f>
        <v>6499</v>
      </c>
      <c r="V369" s="208" t="str">
        <f>IFERROR(__xludf.DUMMYFUNCTION("""COMPUTED_VALUE"""),"overall")</f>
        <v>overall</v>
      </c>
      <c r="W369" s="232" t="str">
        <f>IFERROR(__xludf.DUMMYFUNCTION("""COMPUTED_VALUE"""),"simple")</f>
        <v>simple</v>
      </c>
      <c r="X369" s="232" t="str">
        <f>IFERROR(__xludf.DUMMYFUNCTION("""COMPUTED_VALUE"""),"Body Care, Fragrance Buyers")</f>
        <v>Body Care, Fragrance Buyers</v>
      </c>
      <c r="Y369" s="232" t="str">
        <f>IFERROR(__xludf.DUMMYFUNCTION("""COMPUTED_VALUE"""),"5th - 10th May")</f>
        <v>5th - 10th May</v>
      </c>
      <c r="Z369" s="232" t="str">
        <f>IFERROR(__xludf.DUMMYFUNCTION("""COMPUTED_VALUE"""),"69f893333b3ac90641875f04")</f>
        <v>69f893333b3ac90641875f04</v>
      </c>
      <c r="AA369" s="277">
        <f>IFERROR(__xludf.DUMMYFUNCTION("""COMPUTED_VALUE"""),2.0)</f>
        <v>2</v>
      </c>
      <c r="AB369" s="277">
        <f>IFERROR(__xludf.DUMMYFUNCTION("""COMPUTED_VALUE"""),1.0)</f>
        <v>1</v>
      </c>
      <c r="AC369" s="277">
        <f>IFERROR(__xludf.DUMMYFUNCTION("""COMPUTED_VALUE"""),1.0)</f>
        <v>1</v>
      </c>
      <c r="AD369" s="277">
        <f>IFERROR(__xludf.DUMMYFUNCTION("""COMPUTED_VALUE"""),10250.0)</f>
        <v>10250</v>
      </c>
      <c r="AE369" s="277">
        <f>IFERROR(__xludf.DUMMYFUNCTION("""COMPUTED_VALUE"""),4798.0)</f>
        <v>4798</v>
      </c>
      <c r="AF369" s="277">
        <f>IFERROR(__xludf.DUMMYFUNCTION("""COMPUTED_VALUE"""),5452.0)</f>
        <v>5452</v>
      </c>
      <c r="AG369" s="208"/>
      <c r="AH369" s="208"/>
      <c r="AI369" s="208"/>
      <c r="AJ369" s="208"/>
      <c r="AK369" s="208"/>
    </row>
    <row r="370">
      <c r="A370" s="273">
        <f>IFERROR(__xludf.DUMMYFUNCTION("""COMPUTED_VALUE"""),46147.0)</f>
        <v>46147</v>
      </c>
      <c r="B370" s="274">
        <f>IFERROR(__xludf.DUMMYFUNCTION("""COMPUTED_VALUE"""),46147.52083333333)</f>
        <v>46147.52083</v>
      </c>
      <c r="C370" s="208" t="str">
        <f>IFERROR(__xludf.DUMMYFUNCTION("""COMPUTED_VALUE"""),"Sms")</f>
        <v>Sms</v>
      </c>
      <c r="D370" s="208" t="str">
        <f>IFERROR(__xludf.DUMMYFUNCTION("""COMPUTED_VALUE"""),"Fallback campaign")</f>
        <v>Fallback campaign</v>
      </c>
      <c r="E370" s="208" t="str">
        <f>IFERROR(__xludf.DUMMYFUNCTION("""COMPUTED_VALUE"""),"VS")</f>
        <v>VS</v>
      </c>
      <c r="F370" s="208" t="str">
        <f>IFERROR(__xludf.DUMMYFUNCTION("""COMPUTED_VALUE"""),"Mother's Day Gifting - Giftsets &amp; Accessories")</f>
        <v>Mother's Day Gifting - Giftsets &amp; Accessories</v>
      </c>
      <c r="G370" s="208" t="str">
        <f>IFERROR(__xludf.DUMMYFUNCTION("""COMPUTED_VALUE"""),"Mother's Day Gifting - High ATV CX (WA FB)")</f>
        <v>Mother's Day Gifting - High ATV CX (WA FB)</v>
      </c>
      <c r="H370" s="208" t="str">
        <f>IFERROR(__xludf.DUMMYFUNCTION("""COMPUTED_VALUE"""),"VS_OnOff_High_ATV_Recent_7999")</f>
        <v>VS_OnOff_High_ATV_Recent_7999</v>
      </c>
      <c r="I370" s="233" t="str">
        <f>IFERROR(__xludf.DUMMYFUNCTION("""COMPUTED_VALUE"""),"WA Undelivered")</f>
        <v>WA Undelivered</v>
      </c>
      <c r="J370" s="275">
        <f>IFERROR(__xludf.DUMMYFUNCTION("""COMPUTED_VALUE"""),3060.0)</f>
        <v>3060</v>
      </c>
      <c r="K370" s="275">
        <f>IFERROR(__xludf.DUMMYFUNCTION("""COMPUTED_VALUE"""),1670.0)</f>
        <v>1670</v>
      </c>
      <c r="L370" s="276">
        <f>IFERROR(__xludf.DUMMYFUNCTION("""COMPUTED_VALUE"""),0.545751633986928)</f>
        <v>0.545751634</v>
      </c>
      <c r="M370" s="275">
        <f>IFERROR(__xludf.DUMMYFUNCTION("""COMPUTED_VALUE"""),0.0)</f>
        <v>0</v>
      </c>
      <c r="N370" s="276">
        <f>IFERROR(__xludf.DUMMYFUNCTION("""COMPUTED_VALUE"""),0.0)</f>
        <v>0</v>
      </c>
      <c r="O370" s="208">
        <f>IFERROR(__xludf.DUMMYFUNCTION("""COMPUTED_VALUE"""),2.0)</f>
        <v>2</v>
      </c>
      <c r="P370" s="208">
        <f>IFERROR(__xludf.DUMMYFUNCTION("""COMPUTED_VALUE"""),0.0)</f>
        <v>0</v>
      </c>
      <c r="Q370" s="276">
        <f>IFERROR(__xludf.DUMMYFUNCTION("""COMPUTED_VALUE"""),0.0012)</f>
        <v>0.0012</v>
      </c>
      <c r="R370" s="276">
        <f>IFERROR(__xludf.DUMMYFUNCTION("""COMPUTED_VALUE"""),0.0)</f>
        <v>0</v>
      </c>
      <c r="S370" s="208">
        <f>IFERROR(__xludf.DUMMYFUNCTION("""COMPUTED_VALUE"""),2.0)</f>
        <v>2</v>
      </c>
      <c r="T370" s="208">
        <f>IFERROR(__xludf.DUMMYFUNCTION("""COMPUTED_VALUE"""),10.0)</f>
        <v>10</v>
      </c>
      <c r="U370" s="275">
        <f>IFERROR(__xludf.DUMMYFUNCTION("""COMPUTED_VALUE"""),2873.0)</f>
        <v>2873</v>
      </c>
      <c r="V370" s="208" t="str">
        <f>IFERROR(__xludf.DUMMYFUNCTION("""COMPUTED_VALUE"""),"overall")</f>
        <v>overall</v>
      </c>
      <c r="W370" s="232" t="str">
        <f>IFERROR(__xludf.DUMMYFUNCTION("""COMPUTED_VALUE"""),"sms")</f>
        <v>sms</v>
      </c>
      <c r="X370" s="232" t="str">
        <f>IFERROR(__xludf.DUMMYFUNCTION("""COMPUTED_VALUE"""),"Recent High ATV")</f>
        <v>Recent High ATV</v>
      </c>
      <c r="Y370" s="232" t="str">
        <f>IFERROR(__xludf.DUMMYFUNCTION("""COMPUTED_VALUE"""),"5th - 10th May")</f>
        <v>5th - 10th May</v>
      </c>
      <c r="Z370" s="232" t="str">
        <f>IFERROR(__xludf.DUMMYFUNCTION("""COMPUTED_VALUE"""),"69f893f07b6287824d819c6d")</f>
        <v>69f893f07b6287824d819c6d</v>
      </c>
      <c r="AA370" s="277">
        <f>IFERROR(__xludf.DUMMYFUNCTION("""COMPUTED_VALUE"""),2.0)</f>
        <v>2</v>
      </c>
      <c r="AB370" s="277">
        <f>IFERROR(__xludf.DUMMYFUNCTION("""COMPUTED_VALUE"""),0.0)</f>
        <v>0</v>
      </c>
      <c r="AC370" s="277">
        <f>IFERROR(__xludf.DUMMYFUNCTION("""COMPUTED_VALUE"""),2.0)</f>
        <v>2</v>
      </c>
      <c r="AD370" s="277">
        <f>IFERROR(__xludf.DUMMYFUNCTION("""COMPUTED_VALUE"""),39732.0)</f>
        <v>39732</v>
      </c>
      <c r="AE370" s="277">
        <f>IFERROR(__xludf.DUMMYFUNCTION("""COMPUTED_VALUE"""),0.0)</f>
        <v>0</v>
      </c>
      <c r="AF370" s="277">
        <f>IFERROR(__xludf.DUMMYFUNCTION("""COMPUTED_VALUE"""),39732.0)</f>
        <v>39732</v>
      </c>
      <c r="AG370" s="208"/>
      <c r="AH370" s="208"/>
      <c r="AI370" s="208"/>
      <c r="AJ370" s="208"/>
      <c r="AK370" s="208"/>
    </row>
    <row r="371">
      <c r="A371" s="273">
        <f>IFERROR(__xludf.DUMMYFUNCTION("""COMPUTED_VALUE"""),46147.0)</f>
        <v>46147</v>
      </c>
      <c r="B371" s="274">
        <f>IFERROR(__xludf.DUMMYFUNCTION("""COMPUTED_VALUE"""),46147.52083333333)</f>
        <v>46147.52083</v>
      </c>
      <c r="C371" s="208" t="str">
        <f>IFERROR(__xludf.DUMMYFUNCTION("""COMPUTED_VALUE"""),"Sms")</f>
        <v>Sms</v>
      </c>
      <c r="D371" s="208" t="str">
        <f>IFERROR(__xludf.DUMMYFUNCTION("""COMPUTED_VALUE"""),"Fallback campaign")</f>
        <v>Fallback campaign</v>
      </c>
      <c r="E371" s="208" t="str">
        <f>IFERROR(__xludf.DUMMYFUNCTION("""COMPUTED_VALUE"""),"VS")</f>
        <v>VS</v>
      </c>
      <c r="F371" s="208" t="str">
        <f>IFERROR(__xludf.DUMMYFUNCTION("""COMPUTED_VALUE"""),"Mother's Day Gifting - Giftsets &amp; Accessories")</f>
        <v>Mother's Day Gifting - Giftsets &amp; Accessories</v>
      </c>
      <c r="G371" s="208" t="str">
        <f>IFERROR(__xludf.DUMMYFUNCTION("""COMPUTED_VALUE"""),"Mother's Day Gifting - Event CX (WA FB)")</f>
        <v>Mother's Day Gifting - Event CX (WA FB)</v>
      </c>
      <c r="H371" s="208" t="str">
        <f>IFERROR(__xludf.DUMMYFUNCTION("""COMPUTED_VALUE"""),"VS_MothersDay_OnOff_Event_Buyers")</f>
        <v>VS_MothersDay_OnOff_Event_Buyers</v>
      </c>
      <c r="I371" s="233" t="str">
        <f>IFERROR(__xludf.DUMMYFUNCTION("""COMPUTED_VALUE"""),"WA Undelivered")</f>
        <v>WA Undelivered</v>
      </c>
      <c r="J371" s="275">
        <f>IFERROR(__xludf.DUMMYFUNCTION("""COMPUTED_VALUE"""),3800.0)</f>
        <v>3800</v>
      </c>
      <c r="K371" s="275">
        <f>IFERROR(__xludf.DUMMYFUNCTION("""COMPUTED_VALUE"""),2462.0)</f>
        <v>2462</v>
      </c>
      <c r="L371" s="276">
        <f>IFERROR(__xludf.DUMMYFUNCTION("""COMPUTED_VALUE"""),0.6478947368421053)</f>
        <v>0.6478947368</v>
      </c>
      <c r="M371" s="275">
        <f>IFERROR(__xludf.DUMMYFUNCTION("""COMPUTED_VALUE"""),0.0)</f>
        <v>0</v>
      </c>
      <c r="N371" s="276">
        <f>IFERROR(__xludf.DUMMYFUNCTION("""COMPUTED_VALUE"""),0.0)</f>
        <v>0</v>
      </c>
      <c r="O371" s="208">
        <f>IFERROR(__xludf.DUMMYFUNCTION("""COMPUTED_VALUE"""),4.0)</f>
        <v>4</v>
      </c>
      <c r="P371" s="208">
        <f>IFERROR(__xludf.DUMMYFUNCTION("""COMPUTED_VALUE"""),0.0)</f>
        <v>0</v>
      </c>
      <c r="Q371" s="276">
        <f>IFERROR(__xludf.DUMMYFUNCTION("""COMPUTED_VALUE"""),0.0016)</f>
        <v>0.0016</v>
      </c>
      <c r="R371" s="276">
        <f>IFERROR(__xludf.DUMMYFUNCTION("""COMPUTED_VALUE"""),0.0)</f>
        <v>0</v>
      </c>
      <c r="S371" s="208">
        <f>IFERROR(__xludf.DUMMYFUNCTION("""COMPUTED_VALUE"""),7.0)</f>
        <v>7</v>
      </c>
      <c r="T371" s="208">
        <f>IFERROR(__xludf.DUMMYFUNCTION("""COMPUTED_VALUE"""),15.0)</f>
        <v>15</v>
      </c>
      <c r="U371" s="275">
        <f>IFERROR(__xludf.DUMMYFUNCTION("""COMPUTED_VALUE"""),25865.0)</f>
        <v>25865</v>
      </c>
      <c r="V371" s="208" t="str">
        <f>IFERROR(__xludf.DUMMYFUNCTION("""COMPUTED_VALUE"""),"overall")</f>
        <v>overall</v>
      </c>
      <c r="W371" s="232" t="str">
        <f>IFERROR(__xludf.DUMMYFUNCTION("""COMPUTED_VALUE"""),"sms")</f>
        <v>sms</v>
      </c>
      <c r="X371" s="232" t="str">
        <f>IFERROR(__xludf.DUMMYFUNCTION("""COMPUTED_VALUE"""),"Event Buyers")</f>
        <v>Event Buyers</v>
      </c>
      <c r="Y371" s="232" t="str">
        <f>IFERROR(__xludf.DUMMYFUNCTION("""COMPUTED_VALUE"""),"5th - 10th May")</f>
        <v>5th - 10th May</v>
      </c>
      <c r="Z371" s="232" t="str">
        <f>IFERROR(__xludf.DUMMYFUNCTION("""COMPUTED_VALUE"""),"69f8943a76075d8d208251ac")</f>
        <v>69f8943a76075d8d208251ac</v>
      </c>
      <c r="AA371" s="277">
        <f>IFERROR(__xludf.DUMMYFUNCTION("""COMPUTED_VALUE"""),0.0)</f>
        <v>0</v>
      </c>
      <c r="AB371" s="277">
        <f>IFERROR(__xludf.DUMMYFUNCTION("""COMPUTED_VALUE"""),0.0)</f>
        <v>0</v>
      </c>
      <c r="AC371" s="277">
        <f>IFERROR(__xludf.DUMMYFUNCTION("""COMPUTED_VALUE"""),0.0)</f>
        <v>0</v>
      </c>
      <c r="AD371" s="277">
        <f>IFERROR(__xludf.DUMMYFUNCTION("""COMPUTED_VALUE"""),0.0)</f>
        <v>0</v>
      </c>
      <c r="AE371" s="277">
        <f>IFERROR(__xludf.DUMMYFUNCTION("""COMPUTED_VALUE"""),0.0)</f>
        <v>0</v>
      </c>
      <c r="AF371" s="277">
        <f>IFERROR(__xludf.DUMMYFUNCTION("""COMPUTED_VALUE"""),0.0)</f>
        <v>0</v>
      </c>
      <c r="AG371" s="208"/>
      <c r="AH371" s="208"/>
      <c r="AI371" s="208"/>
      <c r="AJ371" s="208"/>
      <c r="AK371" s="208"/>
    </row>
    <row r="372">
      <c r="A372" s="273">
        <f>IFERROR(__xludf.DUMMYFUNCTION("""COMPUTED_VALUE"""),46147.0)</f>
        <v>46147</v>
      </c>
      <c r="B372" s="274">
        <f>IFERROR(__xludf.DUMMYFUNCTION("""COMPUTED_VALUE"""),46147.52083333333)</f>
        <v>46147.52083</v>
      </c>
      <c r="C372" s="208" t="str">
        <f>IFERROR(__xludf.DUMMYFUNCTION("""COMPUTED_VALUE"""),"Sms")</f>
        <v>Sms</v>
      </c>
      <c r="D372" s="208" t="str">
        <f>IFERROR(__xludf.DUMMYFUNCTION("""COMPUTED_VALUE"""),"Fallback campaign")</f>
        <v>Fallback campaign</v>
      </c>
      <c r="E372" s="208" t="str">
        <f>IFERROR(__xludf.DUMMYFUNCTION("""COMPUTED_VALUE"""),"VS")</f>
        <v>VS</v>
      </c>
      <c r="F372" s="208" t="str">
        <f>IFERROR(__xludf.DUMMYFUNCTION("""COMPUTED_VALUE"""),"Mother's Day Gifting - Giftsets &amp; Accessories")</f>
        <v>Mother's Day Gifting - Giftsets &amp; Accessories</v>
      </c>
      <c r="G372" s="208" t="str">
        <f>IFERROR(__xludf.DUMMYFUNCTION("""COMPUTED_VALUE"""),"Mother's Day Gifting - Discount CX (WA FB)")</f>
        <v>Mother's Day Gifting - Discount CX (WA FB)</v>
      </c>
      <c r="H372" s="208" t="str">
        <f>IFERROR(__xludf.DUMMYFUNCTION("""COMPUTED_VALUE"""),"VS_Discount_Buyers_29_04_26_OnOff")</f>
        <v>VS_Discount_Buyers_29_04_26_OnOff</v>
      </c>
      <c r="I372" s="233" t="str">
        <f>IFERROR(__xludf.DUMMYFUNCTION("""COMPUTED_VALUE"""),"WA Undelivered")</f>
        <v>WA Undelivered</v>
      </c>
      <c r="J372" s="275">
        <f>IFERROR(__xludf.DUMMYFUNCTION("""COMPUTED_VALUE"""),21876.0)</f>
        <v>21876</v>
      </c>
      <c r="K372" s="275">
        <f>IFERROR(__xludf.DUMMYFUNCTION("""COMPUTED_VALUE"""),13492.0)</f>
        <v>13492</v>
      </c>
      <c r="L372" s="276">
        <f>IFERROR(__xludf.DUMMYFUNCTION("""COMPUTED_VALUE"""),0.6167489486194917)</f>
        <v>0.6167489486</v>
      </c>
      <c r="M372" s="275">
        <f>IFERROR(__xludf.DUMMYFUNCTION("""COMPUTED_VALUE"""),0.0)</f>
        <v>0</v>
      </c>
      <c r="N372" s="276">
        <f>IFERROR(__xludf.DUMMYFUNCTION("""COMPUTED_VALUE"""),0.0)</f>
        <v>0</v>
      </c>
      <c r="O372" s="208">
        <f>IFERROR(__xludf.DUMMYFUNCTION("""COMPUTED_VALUE"""),19.0)</f>
        <v>19</v>
      </c>
      <c r="P372" s="208">
        <f>IFERROR(__xludf.DUMMYFUNCTION("""COMPUTED_VALUE"""),0.0)</f>
        <v>0</v>
      </c>
      <c r="Q372" s="276">
        <f>IFERROR(__xludf.DUMMYFUNCTION("""COMPUTED_VALUE"""),0.0014000000000000002)</f>
        <v>0.0014</v>
      </c>
      <c r="R372" s="276">
        <f>IFERROR(__xludf.DUMMYFUNCTION("""COMPUTED_VALUE"""),0.0)</f>
        <v>0</v>
      </c>
      <c r="S372" s="208">
        <f>IFERROR(__xludf.DUMMYFUNCTION("""COMPUTED_VALUE"""),34.0)</f>
        <v>34</v>
      </c>
      <c r="T372" s="208">
        <f>IFERROR(__xludf.DUMMYFUNCTION("""COMPUTED_VALUE"""),73.0)</f>
        <v>73</v>
      </c>
      <c r="U372" s="275">
        <f>IFERROR(__xludf.DUMMYFUNCTION("""COMPUTED_VALUE"""),89828.0)</f>
        <v>89828</v>
      </c>
      <c r="V372" s="208" t="str">
        <f>IFERROR(__xludf.DUMMYFUNCTION("""COMPUTED_VALUE"""),"overall")</f>
        <v>overall</v>
      </c>
      <c r="W372" s="232" t="str">
        <f>IFERROR(__xludf.DUMMYFUNCTION("""COMPUTED_VALUE"""),"sms")</f>
        <v>sms</v>
      </c>
      <c r="X372" s="232" t="str">
        <f>IFERROR(__xludf.DUMMYFUNCTION("""COMPUTED_VALUE"""),"Discount Buyers")</f>
        <v>Discount Buyers</v>
      </c>
      <c r="Y372" s="232" t="str">
        <f>IFERROR(__xludf.DUMMYFUNCTION("""COMPUTED_VALUE"""),"5th - 10th May")</f>
        <v>5th - 10th May</v>
      </c>
      <c r="Z372" s="232" t="str">
        <f>IFERROR(__xludf.DUMMYFUNCTION("""COMPUTED_VALUE"""),"69f894793b3ac90641875f4a")</f>
        <v>69f894793b3ac90641875f4a</v>
      </c>
      <c r="AA372" s="277">
        <f>IFERROR(__xludf.DUMMYFUNCTION("""COMPUTED_VALUE"""),0.0)</f>
        <v>0</v>
      </c>
      <c r="AB372" s="277">
        <f>IFERROR(__xludf.DUMMYFUNCTION("""COMPUTED_VALUE"""),0.0)</f>
        <v>0</v>
      </c>
      <c r="AC372" s="277">
        <f>IFERROR(__xludf.DUMMYFUNCTION("""COMPUTED_VALUE"""),0.0)</f>
        <v>0</v>
      </c>
      <c r="AD372" s="277">
        <f>IFERROR(__xludf.DUMMYFUNCTION("""COMPUTED_VALUE"""),0.0)</f>
        <v>0</v>
      </c>
      <c r="AE372" s="277">
        <f>IFERROR(__xludf.DUMMYFUNCTION("""COMPUTED_VALUE"""),0.0)</f>
        <v>0</v>
      </c>
      <c r="AF372" s="277">
        <f>IFERROR(__xludf.DUMMYFUNCTION("""COMPUTED_VALUE"""),0.0)</f>
        <v>0</v>
      </c>
      <c r="AG372" s="208"/>
      <c r="AH372" s="208"/>
      <c r="AI372" s="208"/>
      <c r="AJ372" s="208"/>
      <c r="AK372" s="208"/>
    </row>
    <row r="373">
      <c r="A373" s="273">
        <f>IFERROR(__xludf.DUMMYFUNCTION("""COMPUTED_VALUE"""),46147.0)</f>
        <v>46147</v>
      </c>
      <c r="B373" s="274">
        <f>IFERROR(__xludf.DUMMYFUNCTION("""COMPUTED_VALUE"""),46147.52083333333)</f>
        <v>46147.52083</v>
      </c>
      <c r="C373" s="208" t="str">
        <f>IFERROR(__xludf.DUMMYFUNCTION("""COMPUTED_VALUE"""),"Sms")</f>
        <v>Sms</v>
      </c>
      <c r="D373" s="208" t="str">
        <f>IFERROR(__xludf.DUMMYFUNCTION("""COMPUTED_VALUE"""),"Fallback campaign")</f>
        <v>Fallback campaign</v>
      </c>
      <c r="E373" s="208" t="str">
        <f>IFERROR(__xludf.DUMMYFUNCTION("""COMPUTED_VALUE"""),"VS")</f>
        <v>VS</v>
      </c>
      <c r="F373" s="208" t="str">
        <f>IFERROR(__xludf.DUMMYFUNCTION("""COMPUTED_VALUE"""),"Mother's Day Gifting - Giftsets &amp; Accessories")</f>
        <v>Mother's Day Gifting - Giftsets &amp; Accessories</v>
      </c>
      <c r="G373" s="208" t="str">
        <f>IFERROR(__xludf.DUMMYFUNCTION("""COMPUTED_VALUE"""),"Mother's Day Gifting - Category CX (WA FB)")</f>
        <v>Mother's Day Gifting - Category CX (WA FB)</v>
      </c>
      <c r="H373" s="208" t="str">
        <f>IFERROR(__xludf.DUMMYFUNCTION("""COMPUTED_VALUE"""),"VS_GiftSets_Acc_Buyers_OnOff")</f>
        <v>VS_GiftSets_Acc_Buyers_OnOff</v>
      </c>
      <c r="I373" s="233" t="str">
        <f>IFERROR(__xludf.DUMMYFUNCTION("""COMPUTED_VALUE"""),"WA Undelivered")</f>
        <v>WA Undelivered</v>
      </c>
      <c r="J373" s="275">
        <f>IFERROR(__xludf.DUMMYFUNCTION("""COMPUTED_VALUE"""),3379.0)</f>
        <v>3379</v>
      </c>
      <c r="K373" s="275">
        <f>IFERROR(__xludf.DUMMYFUNCTION("""COMPUTED_VALUE"""),1918.0)</f>
        <v>1918</v>
      </c>
      <c r="L373" s="276">
        <f>IFERROR(__xludf.DUMMYFUNCTION("""COMPUTED_VALUE"""),0.5676235572654632)</f>
        <v>0.5676235573</v>
      </c>
      <c r="M373" s="275">
        <f>IFERROR(__xludf.DUMMYFUNCTION("""COMPUTED_VALUE"""),0.0)</f>
        <v>0</v>
      </c>
      <c r="N373" s="276">
        <f>IFERROR(__xludf.DUMMYFUNCTION("""COMPUTED_VALUE"""),0.0)</f>
        <v>0</v>
      </c>
      <c r="O373" s="208">
        <f>IFERROR(__xludf.DUMMYFUNCTION("""COMPUTED_VALUE"""),1.0)</f>
        <v>1</v>
      </c>
      <c r="P373" s="208">
        <f>IFERROR(__xludf.DUMMYFUNCTION("""COMPUTED_VALUE"""),0.0)</f>
        <v>0</v>
      </c>
      <c r="Q373" s="276">
        <f>IFERROR(__xludf.DUMMYFUNCTION("""COMPUTED_VALUE"""),5.0E-4)</f>
        <v>0.0005</v>
      </c>
      <c r="R373" s="276">
        <f>IFERROR(__xludf.DUMMYFUNCTION("""COMPUTED_VALUE"""),0.0)</f>
        <v>0</v>
      </c>
      <c r="S373" s="208">
        <f>IFERROR(__xludf.DUMMYFUNCTION("""COMPUTED_VALUE"""),2.0)</f>
        <v>2</v>
      </c>
      <c r="T373" s="208">
        <f>IFERROR(__xludf.DUMMYFUNCTION("""COMPUTED_VALUE"""),2.0)</f>
        <v>2</v>
      </c>
      <c r="U373" s="275">
        <f>IFERROR(__xludf.DUMMYFUNCTION("""COMPUTED_VALUE"""),7401.0)</f>
        <v>7401</v>
      </c>
      <c r="V373" s="208" t="str">
        <f>IFERROR(__xludf.DUMMYFUNCTION("""COMPUTED_VALUE"""),"overall")</f>
        <v>overall</v>
      </c>
      <c r="W373" s="232" t="str">
        <f>IFERROR(__xludf.DUMMYFUNCTION("""COMPUTED_VALUE"""),"sms")</f>
        <v>sms</v>
      </c>
      <c r="X373" s="232" t="str">
        <f>IFERROR(__xludf.DUMMYFUNCTION("""COMPUTED_VALUE"""),"Giftsets, Accessories Buyers")</f>
        <v>Giftsets, Accessories Buyers</v>
      </c>
      <c r="Y373" s="232" t="str">
        <f>IFERROR(__xludf.DUMMYFUNCTION("""COMPUTED_VALUE"""),"5th - 10th May")</f>
        <v>5th - 10th May</v>
      </c>
      <c r="Z373" s="232" t="str">
        <f>IFERROR(__xludf.DUMMYFUNCTION("""COMPUTED_VALUE"""),"69f894b3d8f66ec53b03e3bf")</f>
        <v>69f894b3d8f66ec53b03e3bf</v>
      </c>
      <c r="AA373" s="277">
        <f>IFERROR(__xludf.DUMMYFUNCTION("""COMPUTED_VALUE"""),0.0)</f>
        <v>0</v>
      </c>
      <c r="AB373" s="277">
        <f>IFERROR(__xludf.DUMMYFUNCTION("""COMPUTED_VALUE"""),0.0)</f>
        <v>0</v>
      </c>
      <c r="AC373" s="277">
        <f>IFERROR(__xludf.DUMMYFUNCTION("""COMPUTED_VALUE"""),0.0)</f>
        <v>0</v>
      </c>
      <c r="AD373" s="277">
        <f>IFERROR(__xludf.DUMMYFUNCTION("""COMPUTED_VALUE"""),0.0)</f>
        <v>0</v>
      </c>
      <c r="AE373" s="277">
        <f>IFERROR(__xludf.DUMMYFUNCTION("""COMPUTED_VALUE"""),0.0)</f>
        <v>0</v>
      </c>
      <c r="AF373" s="277">
        <f>IFERROR(__xludf.DUMMYFUNCTION("""COMPUTED_VALUE"""),0.0)</f>
        <v>0</v>
      </c>
      <c r="AG373" s="208"/>
      <c r="AH373" s="208"/>
      <c r="AI373" s="208"/>
      <c r="AJ373" s="208"/>
      <c r="AK373" s="208"/>
    </row>
    <row r="374">
      <c r="A374" s="273">
        <f>IFERROR(__xludf.DUMMYFUNCTION("""COMPUTED_VALUE"""),46147.0)</f>
        <v>46147</v>
      </c>
      <c r="B374" s="274">
        <f>IFERROR(__xludf.DUMMYFUNCTION("""COMPUTED_VALUE"""),46147.52083333333)</f>
        <v>46147.52083</v>
      </c>
      <c r="C374" s="208" t="str">
        <f>IFERROR(__xludf.DUMMYFUNCTION("""COMPUTED_VALUE"""),"Sms")</f>
        <v>Sms</v>
      </c>
      <c r="D374" s="208" t="str">
        <f>IFERROR(__xludf.DUMMYFUNCTION("""COMPUTED_VALUE"""),"Fallback campaign")</f>
        <v>Fallback campaign</v>
      </c>
      <c r="E374" s="208" t="str">
        <f>IFERROR(__xludf.DUMMYFUNCTION("""COMPUTED_VALUE"""),"VS")</f>
        <v>VS</v>
      </c>
      <c r="F374" s="208" t="str">
        <f>IFERROR(__xludf.DUMMYFUNCTION("""COMPUTED_VALUE"""),"Mother's Day Gifting - Giftsets &amp; Accessories")</f>
        <v>Mother's Day Gifting - Giftsets &amp; Accessories</v>
      </c>
      <c r="G374" s="208" t="str">
        <f>IFERROR(__xludf.DUMMYFUNCTION("""COMPUTED_VALUE"""),"Mother's Day Gifting - Beauty CX (WA FB)")</f>
        <v>Mother's Day Gifting - Beauty CX (WA FB)</v>
      </c>
      <c r="H374" s="208" t="str">
        <f>IFERROR(__xludf.DUMMYFUNCTION("""COMPUTED_VALUE"""),"VS_BC_Frag_Buyers_OnOff")</f>
        <v>VS_BC_Frag_Buyers_OnOff</v>
      </c>
      <c r="I374" s="233" t="str">
        <f>IFERROR(__xludf.DUMMYFUNCTION("""COMPUTED_VALUE"""),"WA Undelivered")</f>
        <v>WA Undelivered</v>
      </c>
      <c r="J374" s="275">
        <f>IFERROR(__xludf.DUMMYFUNCTION("""COMPUTED_VALUE"""),3691.0)</f>
        <v>3691</v>
      </c>
      <c r="K374" s="275">
        <f>IFERROR(__xludf.DUMMYFUNCTION("""COMPUTED_VALUE"""),2133.0)</f>
        <v>2133</v>
      </c>
      <c r="L374" s="276">
        <f>IFERROR(__xludf.DUMMYFUNCTION("""COMPUTED_VALUE"""),0.5778921701435925)</f>
        <v>0.5778921701</v>
      </c>
      <c r="M374" s="275">
        <f>IFERROR(__xludf.DUMMYFUNCTION("""COMPUTED_VALUE"""),0.0)</f>
        <v>0</v>
      </c>
      <c r="N374" s="276">
        <f>IFERROR(__xludf.DUMMYFUNCTION("""COMPUTED_VALUE"""),0.0)</f>
        <v>0</v>
      </c>
      <c r="O374" s="208">
        <f>IFERROR(__xludf.DUMMYFUNCTION("""COMPUTED_VALUE"""),1.0)</f>
        <v>1</v>
      </c>
      <c r="P374" s="208">
        <f>IFERROR(__xludf.DUMMYFUNCTION("""COMPUTED_VALUE"""),0.0)</f>
        <v>0</v>
      </c>
      <c r="Q374" s="276">
        <f>IFERROR(__xludf.DUMMYFUNCTION("""COMPUTED_VALUE"""),5.0E-4)</f>
        <v>0.0005</v>
      </c>
      <c r="R374" s="276">
        <f>IFERROR(__xludf.DUMMYFUNCTION("""COMPUTED_VALUE"""),0.0)</f>
        <v>0</v>
      </c>
      <c r="S374" s="208">
        <f>IFERROR(__xludf.DUMMYFUNCTION("""COMPUTED_VALUE"""),0.0)</f>
        <v>0</v>
      </c>
      <c r="T374" s="208">
        <f>IFERROR(__xludf.DUMMYFUNCTION("""COMPUTED_VALUE"""),0.0)</f>
        <v>0</v>
      </c>
      <c r="U374" s="275">
        <f>IFERROR(__xludf.DUMMYFUNCTION("""COMPUTED_VALUE"""),0.0)</f>
        <v>0</v>
      </c>
      <c r="V374" s="208" t="str">
        <f>IFERROR(__xludf.DUMMYFUNCTION("""COMPUTED_VALUE"""),"overall")</f>
        <v>overall</v>
      </c>
      <c r="W374" s="232" t="str">
        <f>IFERROR(__xludf.DUMMYFUNCTION("""COMPUTED_VALUE"""),"sms")</f>
        <v>sms</v>
      </c>
      <c r="X374" s="232" t="str">
        <f>IFERROR(__xludf.DUMMYFUNCTION("""COMPUTED_VALUE"""),"Body Care, Fragrance Buyers")</f>
        <v>Body Care, Fragrance Buyers</v>
      </c>
      <c r="Y374" s="232" t="str">
        <f>IFERROR(__xludf.DUMMYFUNCTION("""COMPUTED_VALUE"""),"5th - 10th May")</f>
        <v>5th - 10th May</v>
      </c>
      <c r="Z374" s="232" t="str">
        <f>IFERROR(__xludf.DUMMYFUNCTION("""COMPUTED_VALUE"""),"69f894e7562e13dfc590b580")</f>
        <v>69f894e7562e13dfc590b580</v>
      </c>
      <c r="AA374" s="277">
        <f>IFERROR(__xludf.DUMMYFUNCTION("""COMPUTED_VALUE"""),1.0)</f>
        <v>1</v>
      </c>
      <c r="AB374" s="277">
        <f>IFERROR(__xludf.DUMMYFUNCTION("""COMPUTED_VALUE"""),1.0)</f>
        <v>1</v>
      </c>
      <c r="AC374" s="277">
        <f>IFERROR(__xludf.DUMMYFUNCTION("""COMPUTED_VALUE"""),0.0)</f>
        <v>0</v>
      </c>
      <c r="AD374" s="277">
        <f>IFERROR(__xludf.DUMMYFUNCTION("""COMPUTED_VALUE"""),1104.0)</f>
        <v>1104</v>
      </c>
      <c r="AE374" s="277">
        <f>IFERROR(__xludf.DUMMYFUNCTION("""COMPUTED_VALUE"""),1104.0)</f>
        <v>1104</v>
      </c>
      <c r="AF374" s="277">
        <f>IFERROR(__xludf.DUMMYFUNCTION("""COMPUTED_VALUE"""),0.0)</f>
        <v>0</v>
      </c>
      <c r="AG374" s="208"/>
      <c r="AH374" s="208"/>
      <c r="AI374" s="208"/>
      <c r="AJ374" s="208"/>
      <c r="AK374" s="208"/>
    </row>
    <row r="375">
      <c r="A375" s="273">
        <f>IFERROR(__xludf.DUMMYFUNCTION("""COMPUTED_VALUE"""),46149.0)</f>
        <v>46149</v>
      </c>
      <c r="B375" s="274">
        <f>IFERROR(__xludf.DUMMYFUNCTION("""COMPUTED_VALUE"""),46149.625)</f>
        <v>46149.625</v>
      </c>
      <c r="C375" s="208" t="str">
        <f>IFERROR(__xludf.DUMMYFUNCTION("""COMPUTED_VALUE"""),"Rcs")</f>
        <v>Rcs</v>
      </c>
      <c r="D375" s="208" t="str">
        <f>IFERROR(__xludf.DUMMYFUNCTION("""COMPUTED_VALUE"""),"Promtional")</f>
        <v>Promtional</v>
      </c>
      <c r="E375" s="208" t="str">
        <f>IFERROR(__xludf.DUMMYFUNCTION("""COMPUTED_VALUE"""),"VS")</f>
        <v>VS</v>
      </c>
      <c r="F375" s="208" t="str">
        <f>IFERROR(__xludf.DUMMYFUNCTION("""COMPUTED_VALUE"""),"Summer Beauty Fest May - Online - Mist &amp; Lotions @999")</f>
        <v>Summer Beauty Fest May - Online - Mist &amp; Lotions @999</v>
      </c>
      <c r="G375" s="208" t="str">
        <f>IFERROR(__xludf.DUMMYFUNCTION("""COMPUTED_VALUE"""),"SGF_On_Store_Non_Shoppers")</f>
        <v>SGF_On_Store_Non_Shoppers</v>
      </c>
      <c r="H375" s="208" t="str">
        <f>IFERROR(__xludf.DUMMYFUNCTION("""COMPUTED_VALUE"""),"NON-Shoppers_TILI_Stores_Off")</f>
        <v>NON-Shoppers_TILI_Stores_Off</v>
      </c>
      <c r="I375" s="233" t="str">
        <f>IFERROR(__xludf.DUMMYFUNCTION("""COMPUTED_VALUE"""),"Customers who have delivered TILI Stores and has not purchased from 30th Apr 2026 to 4th May 2026")</f>
        <v>Customers who have delivered TILI Stores and has not purchased from 30th Apr 2026 to 4th May 2026</v>
      </c>
      <c r="J375" s="275">
        <f>IFERROR(__xludf.DUMMYFUNCTION("""COMPUTED_VALUE"""),169808.0)</f>
        <v>169808</v>
      </c>
      <c r="K375" s="275">
        <f>IFERROR(__xludf.DUMMYFUNCTION("""COMPUTED_VALUE"""),30992.0)</f>
        <v>30992</v>
      </c>
      <c r="L375" s="276">
        <f>IFERROR(__xludf.DUMMYFUNCTION("""COMPUTED_VALUE"""),0.18251201356826532)</f>
        <v>0.1825120136</v>
      </c>
      <c r="M375" s="275">
        <f>IFERROR(__xludf.DUMMYFUNCTION("""COMPUTED_VALUE"""),5027.0)</f>
        <v>5027</v>
      </c>
      <c r="N375" s="276">
        <f>IFERROR(__xludf.DUMMYFUNCTION("""COMPUTED_VALUE"""),0.16219999999999998)</f>
        <v>0.1622</v>
      </c>
      <c r="O375" s="208">
        <f>IFERROR(__xludf.DUMMYFUNCTION("""COMPUTED_VALUE"""),117.0)</f>
        <v>117</v>
      </c>
      <c r="P375" s="208">
        <f>IFERROR(__xludf.DUMMYFUNCTION("""COMPUTED_VALUE"""),0.0)</f>
        <v>0</v>
      </c>
      <c r="Q375" s="276">
        <f>IFERROR(__xludf.DUMMYFUNCTION("""COMPUTED_VALUE"""),0.0042)</f>
        <v>0.0042</v>
      </c>
      <c r="R375" s="276">
        <f>IFERROR(__xludf.DUMMYFUNCTION("""COMPUTED_VALUE"""),0.0)</f>
        <v>0</v>
      </c>
      <c r="S375" s="208">
        <f>IFERROR(__xludf.DUMMYFUNCTION("""COMPUTED_VALUE"""),5.0)</f>
        <v>5</v>
      </c>
      <c r="T375" s="208">
        <f>IFERROR(__xludf.DUMMYFUNCTION("""COMPUTED_VALUE"""),11.0)</f>
        <v>11</v>
      </c>
      <c r="U375" s="275">
        <f>IFERROR(__xludf.DUMMYFUNCTION("""COMPUTED_VALUE"""),7981.0)</f>
        <v>7981</v>
      </c>
      <c r="V375" s="208" t="str">
        <f>IFERROR(__xludf.DUMMYFUNCTION("""COMPUTED_VALUE"""),"offline")</f>
        <v>offline</v>
      </c>
      <c r="W375" s="232" t="str">
        <f>IFERROR(__xludf.DUMMYFUNCTION("""COMPUTED_VALUE"""),"rcs")</f>
        <v>rcs</v>
      </c>
      <c r="X375" s="232" t="str">
        <f>IFERROR(__xludf.DUMMYFUNCTION("""COMPUTED_VALUE"""),"Non- Shoppers")</f>
        <v>Non- Shoppers</v>
      </c>
      <c r="Y375" s="232" t="str">
        <f>IFERROR(__xludf.DUMMYFUNCTION("""COMPUTED_VALUE"""),"7-11 May 2026")</f>
        <v>7-11 May 2026</v>
      </c>
      <c r="Z375" s="232" t="str">
        <f>IFERROR(__xludf.DUMMYFUNCTION("""COMPUTED_VALUE"""),"69fb30b32e5d12e785f4c5ed")</f>
        <v>69fb30b32e5d12e785f4c5ed</v>
      </c>
      <c r="AA375" s="277">
        <f>IFERROR(__xludf.DUMMYFUNCTION("""COMPUTED_VALUE"""),19.0)</f>
        <v>19</v>
      </c>
      <c r="AB375" s="277"/>
      <c r="AC375" s="277">
        <f>IFERROR(__xludf.DUMMYFUNCTION("""COMPUTED_VALUE"""),19.0)</f>
        <v>19</v>
      </c>
      <c r="AD375" s="277">
        <f>IFERROR(__xludf.DUMMYFUNCTION("""COMPUTED_VALUE"""),552378.0)</f>
        <v>552378</v>
      </c>
      <c r="AE375" s="277"/>
      <c r="AF375" s="277">
        <f>IFERROR(__xludf.DUMMYFUNCTION("""COMPUTED_VALUE"""),552378.0)</f>
        <v>552378</v>
      </c>
      <c r="AG375" s="208"/>
      <c r="AH375" s="208"/>
      <c r="AI375" s="208"/>
      <c r="AJ375" s="208"/>
      <c r="AK375" s="208"/>
    </row>
    <row r="376">
      <c r="A376" s="273">
        <f>IFERROR(__xludf.DUMMYFUNCTION("""COMPUTED_VALUE"""),46149.0)</f>
        <v>46149</v>
      </c>
      <c r="B376" s="274">
        <f>IFERROR(__xludf.DUMMYFUNCTION("""COMPUTED_VALUE"""),46149.625)</f>
        <v>46149.625</v>
      </c>
      <c r="C376" s="208" t="str">
        <f>IFERROR(__xludf.DUMMYFUNCTION("""COMPUTED_VALUE"""),"Rcs")</f>
        <v>Rcs</v>
      </c>
      <c r="D376" s="208" t="str">
        <f>IFERROR(__xludf.DUMMYFUNCTION("""COMPUTED_VALUE"""),"Promtional")</f>
        <v>Promtional</v>
      </c>
      <c r="E376" s="208" t="str">
        <f>IFERROR(__xludf.DUMMYFUNCTION("""COMPUTED_VALUE"""),"VS")</f>
        <v>VS</v>
      </c>
      <c r="F376" s="208" t="str">
        <f>IFERROR(__xludf.DUMMYFUNCTION("""COMPUTED_VALUE"""),"Summer Beauty Fest May - Online - Mist &amp; Lotions @999")</f>
        <v>Summer Beauty Fest May - Online - Mist &amp; Lotions @999</v>
      </c>
      <c r="G376" s="208" t="str">
        <f>IFERROR(__xludf.DUMMYFUNCTION("""COMPUTED_VALUE"""),"SGF_On_ATC_CX")</f>
        <v>SGF_On_ATC_CX</v>
      </c>
      <c r="H376" s="208" t="str">
        <f>IFERROR(__xludf.DUMMYFUNCTION("""COMPUTED_VALUE"""),"VS_ON_ATC_93D_No_Pr")</f>
        <v>VS_ON_ATC_93D_No_Pr</v>
      </c>
      <c r="I376" s="233" t="str">
        <f>IFERROR(__xludf.DUMMYFUNCTION("""COMPUTED_VALUE"""),"Customers who have added to cart at least 1 time in the last 93 days but not purchased")</f>
        <v>Customers who have added to cart at least 1 time in the last 93 days but not purchased</v>
      </c>
      <c r="J376" s="275">
        <f>IFERROR(__xludf.DUMMYFUNCTION("""COMPUTED_VALUE"""),7245.0)</f>
        <v>7245</v>
      </c>
      <c r="K376" s="275">
        <f>IFERROR(__xludf.DUMMYFUNCTION("""COMPUTED_VALUE"""),1338.0)</f>
        <v>1338</v>
      </c>
      <c r="L376" s="276">
        <f>IFERROR(__xludf.DUMMYFUNCTION("""COMPUTED_VALUE"""),0.18467908902691513)</f>
        <v>0.184679089</v>
      </c>
      <c r="M376" s="275">
        <f>IFERROR(__xludf.DUMMYFUNCTION("""COMPUTED_VALUE"""),219.0)</f>
        <v>219</v>
      </c>
      <c r="N376" s="276">
        <f>IFERROR(__xludf.DUMMYFUNCTION("""COMPUTED_VALUE"""),0.1637)</f>
        <v>0.1637</v>
      </c>
      <c r="O376" s="208">
        <f>IFERROR(__xludf.DUMMYFUNCTION("""COMPUTED_VALUE"""),30.0)</f>
        <v>30</v>
      </c>
      <c r="P376" s="208">
        <f>IFERROR(__xludf.DUMMYFUNCTION("""COMPUTED_VALUE"""),0.0)</f>
        <v>0</v>
      </c>
      <c r="Q376" s="276">
        <f>IFERROR(__xludf.DUMMYFUNCTION("""COMPUTED_VALUE"""),0.0262)</f>
        <v>0.0262</v>
      </c>
      <c r="R376" s="276">
        <f>IFERROR(__xludf.DUMMYFUNCTION("""COMPUTED_VALUE"""),0.0)</f>
        <v>0</v>
      </c>
      <c r="S376" s="208">
        <f>IFERROR(__xludf.DUMMYFUNCTION("""COMPUTED_VALUE"""),12.0)</f>
        <v>12</v>
      </c>
      <c r="T376" s="208">
        <f>IFERROR(__xludf.DUMMYFUNCTION("""COMPUTED_VALUE"""),55.0)</f>
        <v>55</v>
      </c>
      <c r="U376" s="275">
        <f>IFERROR(__xludf.DUMMYFUNCTION("""COMPUTED_VALUE"""),22667.0)</f>
        <v>22667</v>
      </c>
      <c r="V376" s="208" t="str">
        <f>IFERROR(__xludf.DUMMYFUNCTION("""COMPUTED_VALUE"""),"online")</f>
        <v>online</v>
      </c>
      <c r="W376" s="232" t="str">
        <f>IFERROR(__xludf.DUMMYFUNCTION("""COMPUTED_VALUE"""),"rcs")</f>
        <v>rcs</v>
      </c>
      <c r="X376" s="232" t="str">
        <f>IFERROR(__xludf.DUMMYFUNCTION("""COMPUTED_VALUE"""),"Add to Cart but no purchase")</f>
        <v>Add to Cart but no purchase</v>
      </c>
      <c r="Y376" s="232" t="str">
        <f>IFERROR(__xludf.DUMMYFUNCTION("""COMPUTED_VALUE"""),"7-11 May 2026")</f>
        <v>7-11 May 2026</v>
      </c>
      <c r="Z376" s="232" t="str">
        <f>IFERROR(__xludf.DUMMYFUNCTION("""COMPUTED_VALUE"""),"69fb33f7a58aa967bb24d724")</f>
        <v>69fb33f7a58aa967bb24d724</v>
      </c>
      <c r="AA376" s="277">
        <f>IFERROR(__xludf.DUMMYFUNCTION("""COMPUTED_VALUE"""),23.0)</f>
        <v>23</v>
      </c>
      <c r="AB376" s="277">
        <f>IFERROR(__xludf.DUMMYFUNCTION("""COMPUTED_VALUE"""),23.0)</f>
        <v>23</v>
      </c>
      <c r="AC376" s="277"/>
      <c r="AD376" s="277">
        <f>IFERROR(__xludf.DUMMYFUNCTION("""COMPUTED_VALUE"""),48612.0)</f>
        <v>48612</v>
      </c>
      <c r="AE376" s="277">
        <f>IFERROR(__xludf.DUMMYFUNCTION("""COMPUTED_VALUE"""),48612.0)</f>
        <v>48612</v>
      </c>
      <c r="AF376" s="277"/>
      <c r="AG376" s="208"/>
      <c r="AH376" s="208"/>
      <c r="AI376" s="208"/>
      <c r="AJ376" s="208"/>
      <c r="AK376" s="208"/>
    </row>
    <row r="377">
      <c r="A377" s="273">
        <f>IFERROR(__xludf.DUMMYFUNCTION("""COMPUTED_VALUE"""),46149.0)</f>
        <v>46149</v>
      </c>
      <c r="B377" s="274">
        <f>IFERROR(__xludf.DUMMYFUNCTION("""COMPUTED_VALUE"""),46149.625)</f>
        <v>46149.625</v>
      </c>
      <c r="C377" s="208" t="str">
        <f>IFERROR(__xludf.DUMMYFUNCTION("""COMPUTED_VALUE"""),"Rcs")</f>
        <v>Rcs</v>
      </c>
      <c r="D377" s="208" t="str">
        <f>IFERROR(__xludf.DUMMYFUNCTION("""COMPUTED_VALUE"""),"Promtional")</f>
        <v>Promtional</v>
      </c>
      <c r="E377" s="208" t="str">
        <f>IFERROR(__xludf.DUMMYFUNCTION("""COMPUTED_VALUE"""),"VS")</f>
        <v>VS</v>
      </c>
      <c r="F377" s="208" t="str">
        <f>IFERROR(__xludf.DUMMYFUNCTION("""COMPUTED_VALUE"""),"Summer Beauty Fest May - Online - Mist &amp; Lotions @999")</f>
        <v>Summer Beauty Fest May - Online - Mist &amp; Lotions @999</v>
      </c>
      <c r="G377" s="208" t="str">
        <f>IFERROR(__xludf.DUMMYFUNCTION("""COMPUTED_VALUE"""),"SGF_On_Event_CX")</f>
        <v>SGF_On_Event_CX</v>
      </c>
      <c r="H377" s="208" t="str">
        <f>IFERROR(__xludf.DUMMYFUNCTION("""COMPUTED_VALUE"""),"VS_ON_SGF_Event_Predom1000_Buyers")</f>
        <v>VS_ON_SGF_Event_Predom1000_Buyers</v>
      </c>
      <c r="I377" s="233" t="str">
        <f>IFERROR(__xludf.DUMMYFUNCTION("""COMPUTED_VALUE"""),"Online Customers who purchased from last TILI Event Dates 5th May 2023 to 7th May 2023, 6th Oct to 8th Oct 2023, 10th May 2024 to 12th May 2024, 25th Oct 2024 to 27th Oct 2024, 9th May 2025 to 11th May 2025, 2nd Oct 2025 to 5th Oct 2025 with Category_L1_D"&amp;"esc contains PERSONAL CARE OR  Online Customers who have purchased predominantly with cart value below ₹1,000 in the last 1095 days AND Exclude Custom Segment :-  VS_ON_ATC_93D_No_Pr")</f>
        <v>Online Customers who purchased from last TILI Event Dates 5th May 2023 to 7th May 2023, 6th Oct to 8th Oct 2023, 10th May 2024 to 12th May 2024, 25th Oct 2024 to 27th Oct 2024, 9th May 2025 to 11th May 2025, 2nd Oct 2025 to 5th Oct 2025 with Category_L1_Desc contains PERSONAL CARE OR  Online Customers who have purchased predominantly with cart value below ₹1,000 in the last 1095 days AND Exclude Custom Segment :-  VS_ON_ATC_93D_No_Pr</v>
      </c>
      <c r="J377" s="275">
        <f>IFERROR(__xludf.DUMMYFUNCTION("""COMPUTED_VALUE"""),67042.0)</f>
        <v>67042</v>
      </c>
      <c r="K377" s="275">
        <f>IFERROR(__xludf.DUMMYFUNCTION("""COMPUTED_VALUE"""),14316.0)</f>
        <v>14316</v>
      </c>
      <c r="L377" s="276">
        <f>IFERROR(__xludf.DUMMYFUNCTION("""COMPUTED_VALUE"""),0.21353778228573134)</f>
        <v>0.2135377823</v>
      </c>
      <c r="M377" s="275">
        <f>IFERROR(__xludf.DUMMYFUNCTION("""COMPUTED_VALUE"""),1947.0)</f>
        <v>1947</v>
      </c>
      <c r="N377" s="276">
        <f>IFERROR(__xludf.DUMMYFUNCTION("""COMPUTED_VALUE"""),0.136)</f>
        <v>0.136</v>
      </c>
      <c r="O377" s="208">
        <f>IFERROR(__xludf.DUMMYFUNCTION("""COMPUTED_VALUE"""),138.0)</f>
        <v>138</v>
      </c>
      <c r="P377" s="208">
        <f>IFERROR(__xludf.DUMMYFUNCTION("""COMPUTED_VALUE"""),0.0)</f>
        <v>0</v>
      </c>
      <c r="Q377" s="276">
        <f>IFERROR(__xludf.DUMMYFUNCTION("""COMPUTED_VALUE"""),0.0109)</f>
        <v>0.0109</v>
      </c>
      <c r="R377" s="276">
        <f>IFERROR(__xludf.DUMMYFUNCTION("""COMPUTED_VALUE"""),0.0)</f>
        <v>0</v>
      </c>
      <c r="S377" s="208">
        <f>IFERROR(__xludf.DUMMYFUNCTION("""COMPUTED_VALUE"""),5.0)</f>
        <v>5</v>
      </c>
      <c r="T377" s="208">
        <f>IFERROR(__xludf.DUMMYFUNCTION("""COMPUTED_VALUE"""),22.0)</f>
        <v>22</v>
      </c>
      <c r="U377" s="275">
        <f>IFERROR(__xludf.DUMMYFUNCTION("""COMPUTED_VALUE"""),12168.0)</f>
        <v>12168</v>
      </c>
      <c r="V377" s="208" t="str">
        <f>IFERROR(__xludf.DUMMYFUNCTION("""COMPUTED_VALUE"""),"online")</f>
        <v>online</v>
      </c>
      <c r="W377" s="232" t="str">
        <f>IFERROR(__xludf.DUMMYFUNCTION("""COMPUTED_VALUE"""),"rcs")</f>
        <v>rcs</v>
      </c>
      <c r="X377" s="232" t="str">
        <f>IFERROR(__xludf.DUMMYFUNCTION("""COMPUTED_VALUE"""),"Event and Predom below 1000 buyers")</f>
        <v>Event and Predom below 1000 buyers</v>
      </c>
      <c r="Y377" s="232" t="str">
        <f>IFERROR(__xludf.DUMMYFUNCTION("""COMPUTED_VALUE"""),"7-11 May 2026")</f>
        <v>7-11 May 2026</v>
      </c>
      <c r="Z377" s="232" t="str">
        <f>IFERROR(__xludf.DUMMYFUNCTION("""COMPUTED_VALUE"""),"69fb35660dc8771005d8c4c7")</f>
        <v>69fb35660dc8771005d8c4c7</v>
      </c>
      <c r="AA377" s="277">
        <f>IFERROR(__xludf.DUMMYFUNCTION("""COMPUTED_VALUE"""),123.0)</f>
        <v>123</v>
      </c>
      <c r="AB377" s="277">
        <f>IFERROR(__xludf.DUMMYFUNCTION("""COMPUTED_VALUE"""),123.0)</f>
        <v>123</v>
      </c>
      <c r="AC377" s="277"/>
      <c r="AD377" s="277">
        <f>IFERROR(__xludf.DUMMYFUNCTION("""COMPUTED_VALUE"""),513722.0)</f>
        <v>513722</v>
      </c>
      <c r="AE377" s="277">
        <f>IFERROR(__xludf.DUMMYFUNCTION("""COMPUTED_VALUE"""),513722.0)</f>
        <v>513722</v>
      </c>
      <c r="AF377" s="277"/>
      <c r="AG377" s="208"/>
      <c r="AH377" s="208"/>
      <c r="AI377" s="208"/>
      <c r="AJ377" s="208"/>
      <c r="AK377" s="208"/>
    </row>
    <row r="378">
      <c r="A378" s="273">
        <f>IFERROR(__xludf.DUMMYFUNCTION("""COMPUTED_VALUE"""),46149.0)</f>
        <v>46149</v>
      </c>
      <c r="B378" s="274">
        <f>IFERROR(__xludf.DUMMYFUNCTION("""COMPUTED_VALUE"""),46149.625)</f>
        <v>46149.625</v>
      </c>
      <c r="C378" s="208" t="str">
        <f>IFERROR(__xludf.DUMMYFUNCTION("""COMPUTED_VALUE"""),"Rcs")</f>
        <v>Rcs</v>
      </c>
      <c r="D378" s="208" t="str">
        <f>IFERROR(__xludf.DUMMYFUNCTION("""COMPUTED_VALUE"""),"Promtional")</f>
        <v>Promtional</v>
      </c>
      <c r="E378" s="208" t="str">
        <f>IFERROR(__xludf.DUMMYFUNCTION("""COMPUTED_VALUE"""),"VS")</f>
        <v>VS</v>
      </c>
      <c r="F378" s="208" t="str">
        <f>IFERROR(__xludf.DUMMYFUNCTION("""COMPUTED_VALUE"""),"Summer Beauty Fest May - Online - Mist &amp; Lotions @999")</f>
        <v>Summer Beauty Fest May - Online - Mist &amp; Lotions @999</v>
      </c>
      <c r="G378" s="208" t="str">
        <f>IFERROR(__xludf.DUMMYFUNCTION("""COMPUTED_VALUE"""),"SGF_On_Repeat_CX")</f>
        <v>SGF_On_Repeat_CX</v>
      </c>
      <c r="H378" s="208" t="str">
        <f>IFERROR(__xludf.DUMMYFUNCTION("""COMPUTED_VALUE"""),"Repeat_On_SGF")</f>
        <v>Repeat_On_SGF</v>
      </c>
      <c r="I378" s="233" t="str">
        <f>IFERROR(__xludf.DUMMYFUNCTION("""COMPUTED_VALUE"""),"Online Customers who have purchased at least 2 times in 1095 days AND Exclude Custom Segment :- VS_ON_ATC_93D_No_Pr OR  VS_ON_Tili_Event_Predom1000_Buyers_23_04_26")</f>
        <v>Online Customers who have purchased at least 2 times in 1095 days AND Exclude Custom Segment :- VS_ON_ATC_93D_No_Pr OR  VS_ON_Tili_Event_Predom1000_Buyers_23_04_26</v>
      </c>
      <c r="J378" s="275">
        <f>IFERROR(__xludf.DUMMYFUNCTION("""COMPUTED_VALUE"""),32426.0)</f>
        <v>32426</v>
      </c>
      <c r="K378" s="275">
        <f>IFERROR(__xludf.DUMMYFUNCTION("""COMPUTED_VALUE"""),4029.0)</f>
        <v>4029</v>
      </c>
      <c r="L378" s="276">
        <f>IFERROR(__xludf.DUMMYFUNCTION("""COMPUTED_VALUE"""),0.12425214334176278)</f>
        <v>0.1242521433</v>
      </c>
      <c r="M378" s="275">
        <f>IFERROR(__xludf.DUMMYFUNCTION("""COMPUTED_VALUE"""),847.0)</f>
        <v>847</v>
      </c>
      <c r="N378" s="276">
        <f>IFERROR(__xludf.DUMMYFUNCTION("""COMPUTED_VALUE"""),0.2102)</f>
        <v>0.2102</v>
      </c>
      <c r="O378" s="208">
        <f>IFERROR(__xludf.DUMMYFUNCTION("""COMPUTED_VALUE"""),39.0)</f>
        <v>39</v>
      </c>
      <c r="P378" s="208">
        <f>IFERROR(__xludf.DUMMYFUNCTION("""COMPUTED_VALUE"""),0.0)</f>
        <v>0</v>
      </c>
      <c r="Q378" s="276">
        <f>IFERROR(__xludf.DUMMYFUNCTION("""COMPUTED_VALUE"""),0.0104)</f>
        <v>0.0104</v>
      </c>
      <c r="R378" s="276">
        <f>IFERROR(__xludf.DUMMYFUNCTION("""COMPUTED_VALUE"""),0.0)</f>
        <v>0</v>
      </c>
      <c r="S378" s="208">
        <f>IFERROR(__xludf.DUMMYFUNCTION("""COMPUTED_VALUE"""),2.0)</f>
        <v>2</v>
      </c>
      <c r="T378" s="208">
        <f>IFERROR(__xludf.DUMMYFUNCTION("""COMPUTED_VALUE"""),9.0)</f>
        <v>9</v>
      </c>
      <c r="U378" s="275">
        <f>IFERROR(__xludf.DUMMYFUNCTION("""COMPUTED_VALUE"""),2971.0)</f>
        <v>2971</v>
      </c>
      <c r="V378" s="208" t="str">
        <f>IFERROR(__xludf.DUMMYFUNCTION("""COMPUTED_VALUE"""),"online")</f>
        <v>online</v>
      </c>
      <c r="W378" s="232" t="str">
        <f>IFERROR(__xludf.DUMMYFUNCTION("""COMPUTED_VALUE"""),"rcs")</f>
        <v>rcs</v>
      </c>
      <c r="X378" s="232" t="str">
        <f>IFERROR(__xludf.DUMMYFUNCTION("""COMPUTED_VALUE"""),"Repeat Buyers")</f>
        <v>Repeat Buyers</v>
      </c>
      <c r="Y378" s="232" t="str">
        <f>IFERROR(__xludf.DUMMYFUNCTION("""COMPUTED_VALUE"""),"7-11 May 2026")</f>
        <v>7-11 May 2026</v>
      </c>
      <c r="Z378" s="232" t="str">
        <f>IFERROR(__xludf.DUMMYFUNCTION("""COMPUTED_VALUE"""),"69fb35fa591998d0827dd3f7")</f>
        <v>69fb35fa591998d0827dd3f7</v>
      </c>
      <c r="AA378" s="277">
        <f>IFERROR(__xludf.DUMMYFUNCTION("""COMPUTED_VALUE"""),35.0)</f>
        <v>35</v>
      </c>
      <c r="AB378" s="277">
        <f>IFERROR(__xludf.DUMMYFUNCTION("""COMPUTED_VALUE"""),35.0)</f>
        <v>35</v>
      </c>
      <c r="AC378" s="277"/>
      <c r="AD378" s="277">
        <f>IFERROR(__xludf.DUMMYFUNCTION("""COMPUTED_VALUE"""),1954578.0)</f>
        <v>1954578</v>
      </c>
      <c r="AE378" s="277">
        <f>IFERROR(__xludf.DUMMYFUNCTION("""COMPUTED_VALUE"""),1954578.0)</f>
        <v>1954578</v>
      </c>
      <c r="AF378" s="277"/>
      <c r="AG378" s="208"/>
      <c r="AH378" s="208"/>
      <c r="AI378" s="208"/>
      <c r="AJ378" s="208"/>
      <c r="AK378" s="208"/>
    </row>
    <row r="379">
      <c r="A379" s="273">
        <f>IFERROR(__xludf.DUMMYFUNCTION("""COMPUTED_VALUE"""),46149.0)</f>
        <v>46149</v>
      </c>
      <c r="B379" s="274">
        <f>IFERROR(__xludf.DUMMYFUNCTION("""COMPUTED_VALUE"""),46149.625)</f>
        <v>46149.625</v>
      </c>
      <c r="C379" s="208" t="str">
        <f>IFERROR(__xludf.DUMMYFUNCTION("""COMPUTED_VALUE"""),"Rcs")</f>
        <v>Rcs</v>
      </c>
      <c r="D379" s="208" t="str">
        <f>IFERROR(__xludf.DUMMYFUNCTION("""COMPUTED_VALUE"""),"Promtional")</f>
        <v>Promtional</v>
      </c>
      <c r="E379" s="208" t="str">
        <f>IFERROR(__xludf.DUMMYFUNCTION("""COMPUTED_VALUE"""),"VS")</f>
        <v>VS</v>
      </c>
      <c r="F379" s="208" t="str">
        <f>IFERROR(__xludf.DUMMYFUNCTION("""COMPUTED_VALUE"""),"Summer Beauty Fest May - Online - Mist &amp; Lotions @999")</f>
        <v>Summer Beauty Fest May - Online - Mist &amp; Lotions @999</v>
      </c>
      <c r="G379" s="208" t="str">
        <f>IFERROR(__xludf.DUMMYFUNCTION("""COMPUTED_VALUE"""),"SGF_On_Dorm_CX")</f>
        <v>SGF_On_Dorm_CX</v>
      </c>
      <c r="H379" s="208" t="str">
        <f>IFERROR(__xludf.DUMMYFUNCTION("""COMPUTED_VALUE"""),"VS_Generic_On_SGF")</f>
        <v>VS_Generic_On_SGF</v>
      </c>
      <c r="I379" s="233" t="str">
        <f>IFERROR(__xludf.DUMMYFUNCTION("""COMPUTED_VALUE"""),"Online Customers who have purchased atleast 1 time in last 1095 days AND Exclude Custom Segment :- VS_ON_ATC_93D_No_Pr OR  VS_ON_Tili_Event_Predom1000_Buyers_23_04_26 OR  OR Repeat_On_TILI")</f>
        <v>Online Customers who have purchased atleast 1 time in last 1095 days AND Exclude Custom Segment :- VS_ON_ATC_93D_No_Pr OR  VS_ON_Tili_Event_Predom1000_Buyers_23_04_26 OR  OR Repeat_On_TILI</v>
      </c>
      <c r="J379" s="275">
        <f>IFERROR(__xludf.DUMMYFUNCTION("""COMPUTED_VALUE"""),108612.0)</f>
        <v>108612</v>
      </c>
      <c r="K379" s="275">
        <f>IFERROR(__xludf.DUMMYFUNCTION("""COMPUTED_VALUE"""),19441.0)</f>
        <v>19441</v>
      </c>
      <c r="L379" s="276">
        <f>IFERROR(__xludf.DUMMYFUNCTION("""COMPUTED_VALUE"""),0.1789949545169963)</f>
        <v>0.1789949545</v>
      </c>
      <c r="M379" s="275">
        <f>IFERROR(__xludf.DUMMYFUNCTION("""COMPUTED_VALUE"""),3136.0)</f>
        <v>3136</v>
      </c>
      <c r="N379" s="276">
        <f>IFERROR(__xludf.DUMMYFUNCTION("""COMPUTED_VALUE"""),0.1613)</f>
        <v>0.1613</v>
      </c>
      <c r="O379" s="208">
        <f>IFERROR(__xludf.DUMMYFUNCTION("""COMPUTED_VALUE"""),132.0)</f>
        <v>132</v>
      </c>
      <c r="P379" s="208">
        <f>IFERROR(__xludf.DUMMYFUNCTION("""COMPUTED_VALUE"""),0.0)</f>
        <v>0</v>
      </c>
      <c r="Q379" s="276">
        <f>IFERROR(__xludf.DUMMYFUNCTION("""COMPUTED_VALUE"""),0.0076)</f>
        <v>0.0076</v>
      </c>
      <c r="R379" s="276">
        <f>IFERROR(__xludf.DUMMYFUNCTION("""COMPUTED_VALUE"""),0.0)</f>
        <v>0</v>
      </c>
      <c r="S379" s="208">
        <f>IFERROR(__xludf.DUMMYFUNCTION("""COMPUTED_VALUE"""),10.0)</f>
        <v>10</v>
      </c>
      <c r="T379" s="208">
        <f>IFERROR(__xludf.DUMMYFUNCTION("""COMPUTED_VALUE"""),14.0)</f>
        <v>14</v>
      </c>
      <c r="U379" s="275">
        <f>IFERROR(__xludf.DUMMYFUNCTION("""COMPUTED_VALUE"""),27090.0)</f>
        <v>27090</v>
      </c>
      <c r="V379" s="208" t="str">
        <f>IFERROR(__xludf.DUMMYFUNCTION("""COMPUTED_VALUE"""),"online")</f>
        <v>online</v>
      </c>
      <c r="W379" s="232" t="str">
        <f>IFERROR(__xludf.DUMMYFUNCTION("""COMPUTED_VALUE"""),"rcs")</f>
        <v>rcs</v>
      </c>
      <c r="X379" s="232" t="str">
        <f>IFERROR(__xludf.DUMMYFUNCTION("""COMPUTED_VALUE"""),"Generic")</f>
        <v>Generic</v>
      </c>
      <c r="Y379" s="232" t="str">
        <f>IFERROR(__xludf.DUMMYFUNCTION("""COMPUTED_VALUE"""),"7-11 May 2026")</f>
        <v>7-11 May 2026</v>
      </c>
      <c r="Z379" s="232" t="str">
        <f>IFERROR(__xludf.DUMMYFUNCTION("""COMPUTED_VALUE"""),"69fb36960a066965883aba72")</f>
        <v>69fb36960a066965883aba72</v>
      </c>
      <c r="AA379" s="277">
        <f>IFERROR(__xludf.DUMMYFUNCTION("""COMPUTED_VALUE"""),66.0)</f>
        <v>66</v>
      </c>
      <c r="AB379" s="277">
        <f>IFERROR(__xludf.DUMMYFUNCTION("""COMPUTED_VALUE"""),66.0)</f>
        <v>66</v>
      </c>
      <c r="AC379" s="277"/>
      <c r="AD379" s="277">
        <f>IFERROR(__xludf.DUMMYFUNCTION("""COMPUTED_VALUE"""),295226.0)</f>
        <v>295226</v>
      </c>
      <c r="AE379" s="277">
        <f>IFERROR(__xludf.DUMMYFUNCTION("""COMPUTED_VALUE"""),295226.0)</f>
        <v>295226</v>
      </c>
      <c r="AF379" s="277"/>
      <c r="AG379" s="208"/>
      <c r="AH379" s="208"/>
      <c r="AI379" s="208"/>
      <c r="AJ379" s="208"/>
      <c r="AK379" s="208"/>
    </row>
    <row r="380">
      <c r="A380" s="273">
        <f>IFERROR(__xludf.DUMMYFUNCTION("""COMPUTED_VALUE"""),46149.0)</f>
        <v>46149</v>
      </c>
      <c r="B380" s="274">
        <f>IFERROR(__xludf.DUMMYFUNCTION("""COMPUTED_VALUE"""),46149.6875)</f>
        <v>46149.6875</v>
      </c>
      <c r="C380" s="208" t="str">
        <f>IFERROR(__xludf.DUMMYFUNCTION("""COMPUTED_VALUE"""),"Whatsapp")</f>
        <v>Whatsapp</v>
      </c>
      <c r="D380" s="208" t="str">
        <f>IFERROR(__xludf.DUMMYFUNCTION("""COMPUTED_VALUE"""),"Fallback campaign")</f>
        <v>Fallback campaign</v>
      </c>
      <c r="E380" s="208" t="str">
        <f>IFERROR(__xludf.DUMMYFUNCTION("""COMPUTED_VALUE"""),"VS")</f>
        <v>VS</v>
      </c>
      <c r="F380" s="208" t="str">
        <f>IFERROR(__xludf.DUMMYFUNCTION("""COMPUTED_VALUE"""),"Summer Beauty Fest May - Online - Mist &amp; Lotion @999")</f>
        <v>Summer Beauty Fest May - Online - Mist &amp; Lotion @999</v>
      </c>
      <c r="G380" s="208" t="str">
        <f>IFERROR(__xludf.DUMMYFUNCTION("""COMPUTED_VALUE"""),"SGF_On_Store_Non_Shoppers (FB)")</f>
        <v>SGF_On_Store_Non_Shoppers (FB)</v>
      </c>
      <c r="H380" s="208" t="str">
        <f>IFERROR(__xludf.DUMMYFUNCTION("""COMPUTED_VALUE"""),"NON-Shoppers_TILI_Stores_Off")</f>
        <v>NON-Shoppers_TILI_Stores_Off</v>
      </c>
      <c r="I380" s="233" t="str">
        <f>IFERROR(__xludf.DUMMYFUNCTION("""COMPUTED_VALUE"""),"RCS Undelivered")</f>
        <v>RCS Undelivered</v>
      </c>
      <c r="J380" s="275">
        <f>IFERROR(__xludf.DUMMYFUNCTION("""COMPUTED_VALUE"""),139165.0)</f>
        <v>139165</v>
      </c>
      <c r="K380" s="275">
        <f>IFERROR(__xludf.DUMMYFUNCTION("""COMPUTED_VALUE"""),83853.0)</f>
        <v>83853</v>
      </c>
      <c r="L380" s="276">
        <f>IFERROR(__xludf.DUMMYFUNCTION("""COMPUTED_VALUE"""),0.6025)</f>
        <v>0.6025</v>
      </c>
      <c r="M380" s="275">
        <f>IFERROR(__xludf.DUMMYFUNCTION("""COMPUTED_VALUE"""),18704.0)</f>
        <v>18704</v>
      </c>
      <c r="N380" s="276">
        <f>IFERROR(__xludf.DUMMYFUNCTION("""COMPUTED_VALUE"""),0.2231)</f>
        <v>0.2231</v>
      </c>
      <c r="O380" s="208">
        <f>IFERROR(__xludf.DUMMYFUNCTION("""COMPUTED_VALUE"""),1247.0)</f>
        <v>1247</v>
      </c>
      <c r="P380" s="208">
        <f>IFERROR(__xludf.DUMMYFUNCTION("""COMPUTED_VALUE"""),1149.0)</f>
        <v>1149</v>
      </c>
      <c r="Q380" s="276">
        <f>IFERROR(__xludf.DUMMYFUNCTION("""COMPUTED_VALUE"""),0.0137)</f>
        <v>0.0137</v>
      </c>
      <c r="R380" s="276">
        <f>IFERROR(__xludf.DUMMYFUNCTION("""COMPUTED_VALUE"""),0.061399999999999996)</f>
        <v>0.0614</v>
      </c>
      <c r="S380" s="208">
        <f>IFERROR(__xludf.DUMMYFUNCTION("""COMPUTED_VALUE"""),35.0)</f>
        <v>35</v>
      </c>
      <c r="T380" s="208">
        <f>IFERROR(__xludf.DUMMYFUNCTION("""COMPUTED_VALUE"""),102.0)</f>
        <v>102</v>
      </c>
      <c r="U380" s="275">
        <f>IFERROR(__xludf.DUMMYFUNCTION("""COMPUTED_VALUE"""),93276.0)</f>
        <v>93276</v>
      </c>
      <c r="V380" s="208" t="str">
        <f>IFERROR(__xludf.DUMMYFUNCTION("""COMPUTED_VALUE"""),"offline")</f>
        <v>offline</v>
      </c>
      <c r="W380" s="232" t="str">
        <f>IFERROR(__xludf.DUMMYFUNCTION("""COMPUTED_VALUE"""),"simple")</f>
        <v>simple</v>
      </c>
      <c r="X380" s="232" t="str">
        <f>IFERROR(__xludf.DUMMYFUNCTION("""COMPUTED_VALUE"""),"Non- Shoppers")</f>
        <v>Non- Shoppers</v>
      </c>
      <c r="Y380" s="232" t="str">
        <f>IFERROR(__xludf.DUMMYFUNCTION("""COMPUTED_VALUE"""),"7-11 May 2026")</f>
        <v>7-11 May 2026</v>
      </c>
      <c r="Z380" s="232" t="str">
        <f>IFERROR(__xludf.DUMMYFUNCTION("""COMPUTED_VALUE"""),"69fb3864c89a7960d38e25f1")</f>
        <v>69fb3864c89a7960d38e25f1</v>
      </c>
      <c r="AA380" s="277">
        <f>IFERROR(__xludf.DUMMYFUNCTION("""COMPUTED_VALUE"""),54.0)</f>
        <v>54</v>
      </c>
      <c r="AB380" s="277"/>
      <c r="AC380" s="277">
        <f>IFERROR(__xludf.DUMMYFUNCTION("""COMPUTED_VALUE"""),54.0)</f>
        <v>54</v>
      </c>
      <c r="AD380" s="277">
        <f>IFERROR(__xludf.DUMMYFUNCTION("""COMPUTED_VALUE"""),983730.0)</f>
        <v>983730</v>
      </c>
      <c r="AE380" s="277"/>
      <c r="AF380" s="277">
        <f>IFERROR(__xludf.DUMMYFUNCTION("""COMPUTED_VALUE"""),983730.0)</f>
        <v>983730</v>
      </c>
      <c r="AG380" s="208"/>
      <c r="AH380" s="208"/>
      <c r="AI380" s="208"/>
      <c r="AJ380" s="208"/>
      <c r="AK380" s="208"/>
    </row>
    <row r="381">
      <c r="A381" s="273">
        <f>IFERROR(__xludf.DUMMYFUNCTION("""COMPUTED_VALUE"""),46149.0)</f>
        <v>46149</v>
      </c>
      <c r="B381" s="274">
        <f>IFERROR(__xludf.DUMMYFUNCTION("""COMPUTED_VALUE"""),46149.69097222222)</f>
        <v>46149.69097</v>
      </c>
      <c r="C381" s="208" t="str">
        <f>IFERROR(__xludf.DUMMYFUNCTION("""COMPUTED_VALUE"""),"Whatsapp")</f>
        <v>Whatsapp</v>
      </c>
      <c r="D381" s="208" t="str">
        <f>IFERROR(__xludf.DUMMYFUNCTION("""COMPUTED_VALUE"""),"Fallback campaign")</f>
        <v>Fallback campaign</v>
      </c>
      <c r="E381" s="208" t="str">
        <f>IFERROR(__xludf.DUMMYFUNCTION("""COMPUTED_VALUE"""),"VS")</f>
        <v>VS</v>
      </c>
      <c r="F381" s="208" t="str">
        <f>IFERROR(__xludf.DUMMYFUNCTION("""COMPUTED_VALUE"""),"Summer Beauty Fest May - Online - Mist &amp; Lotion @999")</f>
        <v>Summer Beauty Fest May - Online - Mist &amp; Lotion @999</v>
      </c>
      <c r="G381" s="208" t="str">
        <f>IFERROR(__xludf.DUMMYFUNCTION("""COMPUTED_VALUE"""),"SGF_On_ATC_CX (FB)")</f>
        <v>SGF_On_ATC_CX (FB)</v>
      </c>
      <c r="H381" s="208" t="str">
        <f>IFERROR(__xludf.DUMMYFUNCTION("""COMPUTED_VALUE"""),"VS_ON_ATC_93D_No_Pr")</f>
        <v>VS_ON_ATC_93D_No_Pr</v>
      </c>
      <c r="I381" s="233" t="str">
        <f>IFERROR(__xludf.DUMMYFUNCTION("""COMPUTED_VALUE"""),"RCS Undelivered")</f>
        <v>RCS Undelivered</v>
      </c>
      <c r="J381" s="275">
        <f>IFERROR(__xludf.DUMMYFUNCTION("""COMPUTED_VALUE"""),5860.0)</f>
        <v>5860</v>
      </c>
      <c r="K381" s="275">
        <f>IFERROR(__xludf.DUMMYFUNCTION("""COMPUTED_VALUE"""),3564.0)</f>
        <v>3564</v>
      </c>
      <c r="L381" s="276">
        <f>IFERROR(__xludf.DUMMYFUNCTION("""COMPUTED_VALUE"""),0.6082)</f>
        <v>0.6082</v>
      </c>
      <c r="M381" s="275">
        <f>IFERROR(__xludf.DUMMYFUNCTION("""COMPUTED_VALUE"""),1027.0)</f>
        <v>1027</v>
      </c>
      <c r="N381" s="276">
        <f>IFERROR(__xludf.DUMMYFUNCTION("""COMPUTED_VALUE"""),0.2882)</f>
        <v>0.2882</v>
      </c>
      <c r="O381" s="208">
        <f>IFERROR(__xludf.DUMMYFUNCTION("""COMPUTED_VALUE"""),248.0)</f>
        <v>248</v>
      </c>
      <c r="P381" s="208">
        <f>IFERROR(__xludf.DUMMYFUNCTION("""COMPUTED_VALUE"""),216.0)</f>
        <v>216</v>
      </c>
      <c r="Q381" s="276">
        <f>IFERROR(__xludf.DUMMYFUNCTION("""COMPUTED_VALUE"""),0.060599999999999994)</f>
        <v>0.0606</v>
      </c>
      <c r="R381" s="276">
        <f>IFERROR(__xludf.DUMMYFUNCTION("""COMPUTED_VALUE"""),0.21030000000000001)</f>
        <v>0.2103</v>
      </c>
      <c r="S381" s="208">
        <f>IFERROR(__xludf.DUMMYFUNCTION("""COMPUTED_VALUE"""),36.0)</f>
        <v>36</v>
      </c>
      <c r="T381" s="208">
        <f>IFERROR(__xludf.DUMMYFUNCTION("""COMPUTED_VALUE"""),107.0)</f>
        <v>107</v>
      </c>
      <c r="U381" s="275">
        <f>IFERROR(__xludf.DUMMYFUNCTION("""COMPUTED_VALUE"""),90782.0)</f>
        <v>90782</v>
      </c>
      <c r="V381" s="208" t="str">
        <f>IFERROR(__xludf.DUMMYFUNCTION("""COMPUTED_VALUE"""),"online")</f>
        <v>online</v>
      </c>
      <c r="W381" s="232" t="str">
        <f>IFERROR(__xludf.DUMMYFUNCTION("""COMPUTED_VALUE"""),"simple")</f>
        <v>simple</v>
      </c>
      <c r="X381" s="232" t="str">
        <f>IFERROR(__xludf.DUMMYFUNCTION("""COMPUTED_VALUE"""),"Add to Cart but no purchase")</f>
        <v>Add to Cart but no purchase</v>
      </c>
      <c r="Y381" s="232" t="str">
        <f>IFERROR(__xludf.DUMMYFUNCTION("""COMPUTED_VALUE"""),"7-11 May 2026")</f>
        <v>7-11 May 2026</v>
      </c>
      <c r="Z381" s="232" t="str">
        <f>IFERROR(__xludf.DUMMYFUNCTION("""COMPUTED_VALUE"""),"69fb39f771eeb712ba30ae4d")</f>
        <v>69fb39f771eeb712ba30ae4d</v>
      </c>
      <c r="AA381" s="277">
        <f>IFERROR(__xludf.DUMMYFUNCTION("""COMPUTED_VALUE"""),62.0)</f>
        <v>62</v>
      </c>
      <c r="AB381" s="277">
        <f>IFERROR(__xludf.DUMMYFUNCTION("""COMPUTED_VALUE"""),62.0)</f>
        <v>62</v>
      </c>
      <c r="AC381" s="277"/>
      <c r="AD381" s="277">
        <f>IFERROR(__xludf.DUMMYFUNCTION("""COMPUTED_VALUE"""),242089.0)</f>
        <v>242089</v>
      </c>
      <c r="AE381" s="277">
        <f>IFERROR(__xludf.DUMMYFUNCTION("""COMPUTED_VALUE"""),242089.0)</f>
        <v>242089</v>
      </c>
      <c r="AF381" s="277"/>
      <c r="AG381" s="208"/>
      <c r="AH381" s="208"/>
      <c r="AI381" s="208"/>
      <c r="AJ381" s="208"/>
      <c r="AK381" s="208"/>
    </row>
    <row r="382">
      <c r="A382" s="273">
        <f>IFERROR(__xludf.DUMMYFUNCTION("""COMPUTED_VALUE"""),46149.0)</f>
        <v>46149</v>
      </c>
      <c r="B382" s="274">
        <f>IFERROR(__xludf.DUMMYFUNCTION("""COMPUTED_VALUE"""),46149.694444444445)</f>
        <v>46149.69444</v>
      </c>
      <c r="C382" s="208" t="str">
        <f>IFERROR(__xludf.DUMMYFUNCTION("""COMPUTED_VALUE"""),"Whatsapp")</f>
        <v>Whatsapp</v>
      </c>
      <c r="D382" s="208" t="str">
        <f>IFERROR(__xludf.DUMMYFUNCTION("""COMPUTED_VALUE"""),"Fallback campaign")</f>
        <v>Fallback campaign</v>
      </c>
      <c r="E382" s="208" t="str">
        <f>IFERROR(__xludf.DUMMYFUNCTION("""COMPUTED_VALUE"""),"VS")</f>
        <v>VS</v>
      </c>
      <c r="F382" s="208" t="str">
        <f>IFERROR(__xludf.DUMMYFUNCTION("""COMPUTED_VALUE"""),"Summer Beauty Fest May - Online - Mist &amp; Lotion @999")</f>
        <v>Summer Beauty Fest May - Online - Mist &amp; Lotion @999</v>
      </c>
      <c r="G382" s="208" t="str">
        <f>IFERROR(__xludf.DUMMYFUNCTION("""COMPUTED_VALUE"""),"SGF_On_Event_CX (FB)")</f>
        <v>SGF_On_Event_CX (FB)</v>
      </c>
      <c r="H382" s="208" t="str">
        <f>IFERROR(__xludf.DUMMYFUNCTION("""COMPUTED_VALUE"""),"VS_ON_SGF_Event_Predom1000_Buyers")</f>
        <v>VS_ON_SGF_Event_Predom1000_Buyers</v>
      </c>
      <c r="I382" s="233" t="str">
        <f>IFERROR(__xludf.DUMMYFUNCTION("""COMPUTED_VALUE"""),"RCS Undelivered")</f>
        <v>RCS Undelivered</v>
      </c>
      <c r="J382" s="275">
        <f>IFERROR(__xludf.DUMMYFUNCTION("""COMPUTED_VALUE"""),52392.0)</f>
        <v>52392</v>
      </c>
      <c r="K382" s="275">
        <f>IFERROR(__xludf.DUMMYFUNCTION("""COMPUTED_VALUE"""),28451.0)</f>
        <v>28451</v>
      </c>
      <c r="L382" s="276">
        <f>IFERROR(__xludf.DUMMYFUNCTION("""COMPUTED_VALUE"""),0.5429999999999999)</f>
        <v>0.543</v>
      </c>
      <c r="M382" s="275">
        <f>IFERROR(__xludf.DUMMYFUNCTION("""COMPUTED_VALUE"""),6106.0)</f>
        <v>6106</v>
      </c>
      <c r="N382" s="276">
        <f>IFERROR(__xludf.DUMMYFUNCTION("""COMPUTED_VALUE"""),0.2146)</f>
        <v>0.2146</v>
      </c>
      <c r="O382" s="208">
        <f>IFERROR(__xludf.DUMMYFUNCTION("""COMPUTED_VALUE"""),846.0)</f>
        <v>846</v>
      </c>
      <c r="P382" s="208">
        <f>IFERROR(__xludf.DUMMYFUNCTION("""COMPUTED_VALUE"""),749.0)</f>
        <v>749</v>
      </c>
      <c r="Q382" s="276">
        <f>IFERROR(__xludf.DUMMYFUNCTION("""COMPUTED_VALUE"""),0.0263)</f>
        <v>0.0263</v>
      </c>
      <c r="R382" s="276">
        <f>IFERROR(__xludf.DUMMYFUNCTION("""COMPUTED_VALUE"""),0.12269999999999999)</f>
        <v>0.1227</v>
      </c>
      <c r="S382" s="208">
        <f>IFERROR(__xludf.DUMMYFUNCTION("""COMPUTED_VALUE"""),32.0)</f>
        <v>32</v>
      </c>
      <c r="T382" s="208">
        <f>IFERROR(__xludf.DUMMYFUNCTION("""COMPUTED_VALUE"""),58.0)</f>
        <v>58</v>
      </c>
      <c r="U382" s="275">
        <f>IFERROR(__xludf.DUMMYFUNCTION("""COMPUTED_VALUE"""),82658.0)</f>
        <v>82658</v>
      </c>
      <c r="V382" s="208" t="str">
        <f>IFERROR(__xludf.DUMMYFUNCTION("""COMPUTED_VALUE"""),"online")</f>
        <v>online</v>
      </c>
      <c r="W382" s="232" t="str">
        <f>IFERROR(__xludf.DUMMYFUNCTION("""COMPUTED_VALUE"""),"simple")</f>
        <v>simple</v>
      </c>
      <c r="X382" s="232" t="str">
        <f>IFERROR(__xludf.DUMMYFUNCTION("""COMPUTED_VALUE"""),"Event and Predom below 1000 buyers")</f>
        <v>Event and Predom below 1000 buyers</v>
      </c>
      <c r="Y382" s="232" t="str">
        <f>IFERROR(__xludf.DUMMYFUNCTION("""COMPUTED_VALUE"""),"7-11 May 2026")</f>
        <v>7-11 May 2026</v>
      </c>
      <c r="Z382" s="232" t="str">
        <f>IFERROR(__xludf.DUMMYFUNCTION("""COMPUTED_VALUE"""),"69fb3bd5591998d0827dd4d0")</f>
        <v>69fb3bd5591998d0827dd4d0</v>
      </c>
      <c r="AA382" s="277">
        <f>IFERROR(__xludf.DUMMYFUNCTION("""COMPUTED_VALUE"""),289.0)</f>
        <v>289</v>
      </c>
      <c r="AB382" s="277">
        <f>IFERROR(__xludf.DUMMYFUNCTION("""COMPUTED_VALUE"""),289.0)</f>
        <v>289</v>
      </c>
      <c r="AC382" s="277"/>
      <c r="AD382" s="277">
        <f>IFERROR(__xludf.DUMMYFUNCTION("""COMPUTED_VALUE"""),1111571.0)</f>
        <v>1111571</v>
      </c>
      <c r="AE382" s="277">
        <f>IFERROR(__xludf.DUMMYFUNCTION("""COMPUTED_VALUE"""),1111571.0)</f>
        <v>1111571</v>
      </c>
      <c r="AF382" s="277"/>
      <c r="AG382" s="208"/>
      <c r="AH382" s="208"/>
      <c r="AI382" s="208"/>
      <c r="AJ382" s="208"/>
      <c r="AK382" s="208"/>
    </row>
    <row r="383">
      <c r="A383" s="273">
        <f>IFERROR(__xludf.DUMMYFUNCTION("""COMPUTED_VALUE"""),46149.0)</f>
        <v>46149</v>
      </c>
      <c r="B383" s="274">
        <f>IFERROR(__xludf.DUMMYFUNCTION("""COMPUTED_VALUE"""),46149.697222222225)</f>
        <v>46149.69722</v>
      </c>
      <c r="C383" s="208" t="str">
        <f>IFERROR(__xludf.DUMMYFUNCTION("""COMPUTED_VALUE"""),"Whatsapp")</f>
        <v>Whatsapp</v>
      </c>
      <c r="D383" s="208" t="str">
        <f>IFERROR(__xludf.DUMMYFUNCTION("""COMPUTED_VALUE"""),"Fallback campaign")</f>
        <v>Fallback campaign</v>
      </c>
      <c r="E383" s="208" t="str">
        <f>IFERROR(__xludf.DUMMYFUNCTION("""COMPUTED_VALUE"""),"VS")</f>
        <v>VS</v>
      </c>
      <c r="F383" s="208" t="str">
        <f>IFERROR(__xludf.DUMMYFUNCTION("""COMPUTED_VALUE"""),"Summer Beauty Fest May - Online - Mist &amp; Lotion @999")</f>
        <v>Summer Beauty Fest May - Online - Mist &amp; Lotion @999</v>
      </c>
      <c r="G383" s="208" t="str">
        <f>IFERROR(__xludf.DUMMYFUNCTION("""COMPUTED_VALUE"""),"SGF_On_Repeat_CX (FB)")</f>
        <v>SGF_On_Repeat_CX (FB)</v>
      </c>
      <c r="H383" s="208" t="str">
        <f>IFERROR(__xludf.DUMMYFUNCTION("""COMPUTED_VALUE"""),"Repeat_On_SGF")</f>
        <v>Repeat_On_SGF</v>
      </c>
      <c r="I383" s="233" t="str">
        <f>IFERROR(__xludf.DUMMYFUNCTION("""COMPUTED_VALUE"""),"RCS Undelivered")</f>
        <v>RCS Undelivered</v>
      </c>
      <c r="J383" s="275">
        <f>IFERROR(__xludf.DUMMYFUNCTION("""COMPUTED_VALUE"""),28218.0)</f>
        <v>28218</v>
      </c>
      <c r="K383" s="275">
        <f>IFERROR(__xludf.DUMMYFUNCTION("""COMPUTED_VALUE"""),13481.0)</f>
        <v>13481</v>
      </c>
      <c r="L383" s="276">
        <f>IFERROR(__xludf.DUMMYFUNCTION("""COMPUTED_VALUE"""),0.4777)</f>
        <v>0.4777</v>
      </c>
      <c r="M383" s="275">
        <f>IFERROR(__xludf.DUMMYFUNCTION("""COMPUTED_VALUE"""),2467.0)</f>
        <v>2467</v>
      </c>
      <c r="N383" s="276">
        <f>IFERROR(__xludf.DUMMYFUNCTION("""COMPUTED_VALUE"""),0.183)</f>
        <v>0.183</v>
      </c>
      <c r="O383" s="208">
        <f>IFERROR(__xludf.DUMMYFUNCTION("""COMPUTED_VALUE"""),273.0)</f>
        <v>273</v>
      </c>
      <c r="P383" s="208">
        <f>IFERROR(__xludf.DUMMYFUNCTION("""COMPUTED_VALUE"""),245.0)</f>
        <v>245</v>
      </c>
      <c r="Q383" s="276">
        <f>IFERROR(__xludf.DUMMYFUNCTION("""COMPUTED_VALUE"""),0.0182)</f>
        <v>0.0182</v>
      </c>
      <c r="R383" s="276">
        <f>IFERROR(__xludf.DUMMYFUNCTION("""COMPUTED_VALUE"""),0.0993)</f>
        <v>0.0993</v>
      </c>
      <c r="S383" s="208">
        <f>IFERROR(__xludf.DUMMYFUNCTION("""COMPUTED_VALUE"""),18.0)</f>
        <v>18</v>
      </c>
      <c r="T383" s="208">
        <f>IFERROR(__xludf.DUMMYFUNCTION("""COMPUTED_VALUE"""),38.0)</f>
        <v>38</v>
      </c>
      <c r="U383" s="275">
        <f>IFERROR(__xludf.DUMMYFUNCTION("""COMPUTED_VALUE"""),111955.0)</f>
        <v>111955</v>
      </c>
      <c r="V383" s="208" t="str">
        <f>IFERROR(__xludf.DUMMYFUNCTION("""COMPUTED_VALUE"""),"online")</f>
        <v>online</v>
      </c>
      <c r="W383" s="232" t="str">
        <f>IFERROR(__xludf.DUMMYFUNCTION("""COMPUTED_VALUE"""),"simple")</f>
        <v>simple</v>
      </c>
      <c r="X383" s="232" t="str">
        <f>IFERROR(__xludf.DUMMYFUNCTION("""COMPUTED_VALUE"""),"Repeat Buyers")</f>
        <v>Repeat Buyers</v>
      </c>
      <c r="Y383" s="232" t="str">
        <f>IFERROR(__xludf.DUMMYFUNCTION("""COMPUTED_VALUE"""),"7-11 May 2026")</f>
        <v>7-11 May 2026</v>
      </c>
      <c r="Z383" s="232" t="str">
        <f>IFERROR(__xludf.DUMMYFUNCTION("""COMPUTED_VALUE"""),"69fb3caaead827eee0cbbde3")</f>
        <v>69fb3caaead827eee0cbbde3</v>
      </c>
      <c r="AA383" s="277">
        <f>IFERROR(__xludf.DUMMYFUNCTION("""COMPUTED_VALUE"""),99.0)</f>
        <v>99</v>
      </c>
      <c r="AB383" s="277">
        <f>IFERROR(__xludf.DUMMYFUNCTION("""COMPUTED_VALUE"""),99.0)</f>
        <v>99</v>
      </c>
      <c r="AC383" s="277"/>
      <c r="AD383" s="277">
        <f>IFERROR(__xludf.DUMMYFUNCTION("""COMPUTED_VALUE"""),585198.0)</f>
        <v>585198</v>
      </c>
      <c r="AE383" s="277">
        <f>IFERROR(__xludf.DUMMYFUNCTION("""COMPUTED_VALUE"""),585198.0)</f>
        <v>585198</v>
      </c>
      <c r="AF383" s="277"/>
      <c r="AG383" s="208"/>
      <c r="AH383" s="208"/>
      <c r="AI383" s="208"/>
      <c r="AJ383" s="208"/>
      <c r="AK383" s="208"/>
    </row>
    <row r="384">
      <c r="A384" s="273">
        <f>IFERROR(__xludf.DUMMYFUNCTION("""COMPUTED_VALUE"""),46149.0)</f>
        <v>46149</v>
      </c>
      <c r="B384" s="274">
        <f>IFERROR(__xludf.DUMMYFUNCTION("""COMPUTED_VALUE"""),46149.70138888889)</f>
        <v>46149.70139</v>
      </c>
      <c r="C384" s="208" t="str">
        <f>IFERROR(__xludf.DUMMYFUNCTION("""COMPUTED_VALUE"""),"Whatsapp")</f>
        <v>Whatsapp</v>
      </c>
      <c r="D384" s="208" t="str">
        <f>IFERROR(__xludf.DUMMYFUNCTION("""COMPUTED_VALUE"""),"Fallback campaign")</f>
        <v>Fallback campaign</v>
      </c>
      <c r="E384" s="208" t="str">
        <f>IFERROR(__xludf.DUMMYFUNCTION("""COMPUTED_VALUE"""),"VS")</f>
        <v>VS</v>
      </c>
      <c r="F384" s="208" t="str">
        <f>IFERROR(__xludf.DUMMYFUNCTION("""COMPUTED_VALUE"""),"Summer Beauty Fest May - Online - Mist &amp; Lotion @999")</f>
        <v>Summer Beauty Fest May - Online - Mist &amp; Lotion @999</v>
      </c>
      <c r="G384" s="208" t="str">
        <f>IFERROR(__xludf.DUMMYFUNCTION("""COMPUTED_VALUE"""),"SGF_On_Dorm_CX (FB)")</f>
        <v>SGF_On_Dorm_CX (FB)</v>
      </c>
      <c r="H384" s="208" t="str">
        <f>IFERROR(__xludf.DUMMYFUNCTION("""COMPUTED_VALUE"""),"VS_Generic_On_SGF")</f>
        <v>VS_Generic_On_SGF</v>
      </c>
      <c r="I384" s="233" t="str">
        <f>IFERROR(__xludf.DUMMYFUNCTION("""COMPUTED_VALUE"""),"RCS Undelivered")</f>
        <v>RCS Undelivered</v>
      </c>
      <c r="J384" s="275">
        <f>IFERROR(__xludf.DUMMYFUNCTION("""COMPUTED_VALUE"""),88630.0)</f>
        <v>88630</v>
      </c>
      <c r="K384" s="275">
        <f>IFERROR(__xludf.DUMMYFUNCTION("""COMPUTED_VALUE"""),47149.0)</f>
        <v>47149</v>
      </c>
      <c r="L384" s="276">
        <f>IFERROR(__xludf.DUMMYFUNCTION("""COMPUTED_VALUE"""),0.532)</f>
        <v>0.532</v>
      </c>
      <c r="M384" s="275">
        <f>IFERROR(__xludf.DUMMYFUNCTION("""COMPUTED_VALUE"""),9859.0)</f>
        <v>9859</v>
      </c>
      <c r="N384" s="276">
        <f>IFERROR(__xludf.DUMMYFUNCTION("""COMPUTED_VALUE"""),0.2091)</f>
        <v>0.2091</v>
      </c>
      <c r="O384" s="208">
        <f>IFERROR(__xludf.DUMMYFUNCTION("""COMPUTED_VALUE"""),1029.0)</f>
        <v>1029</v>
      </c>
      <c r="P384" s="208">
        <f>IFERROR(__xludf.DUMMYFUNCTION("""COMPUTED_VALUE"""),919.0)</f>
        <v>919</v>
      </c>
      <c r="Q384" s="276">
        <f>IFERROR(__xludf.DUMMYFUNCTION("""COMPUTED_VALUE"""),0.0195)</f>
        <v>0.0195</v>
      </c>
      <c r="R384" s="276">
        <f>IFERROR(__xludf.DUMMYFUNCTION("""COMPUTED_VALUE"""),0.0932)</f>
        <v>0.0932</v>
      </c>
      <c r="S384" s="208">
        <f>IFERROR(__xludf.DUMMYFUNCTION("""COMPUTED_VALUE"""),24.0)</f>
        <v>24</v>
      </c>
      <c r="T384" s="208">
        <f>IFERROR(__xludf.DUMMYFUNCTION("""COMPUTED_VALUE"""),59.0)</f>
        <v>59</v>
      </c>
      <c r="U384" s="275">
        <f>IFERROR(__xludf.DUMMYFUNCTION("""COMPUTED_VALUE"""),85915.0)</f>
        <v>85915</v>
      </c>
      <c r="V384" s="208" t="str">
        <f>IFERROR(__xludf.DUMMYFUNCTION("""COMPUTED_VALUE"""),"online")</f>
        <v>online</v>
      </c>
      <c r="W384" s="232" t="str">
        <f>IFERROR(__xludf.DUMMYFUNCTION("""COMPUTED_VALUE"""),"simple")</f>
        <v>simple</v>
      </c>
      <c r="X384" s="232" t="str">
        <f>IFERROR(__xludf.DUMMYFUNCTION("""COMPUTED_VALUE"""),"Generic")</f>
        <v>Generic</v>
      </c>
      <c r="Y384" s="232" t="str">
        <f>IFERROR(__xludf.DUMMYFUNCTION("""COMPUTED_VALUE"""),"7-11 May 2026")</f>
        <v>7-11 May 2026</v>
      </c>
      <c r="Z384" s="232" t="str">
        <f>IFERROR(__xludf.DUMMYFUNCTION("""COMPUTED_VALUE"""),"69fb3da4160de23f9a44b83b")</f>
        <v>69fb3da4160de23f9a44b83b</v>
      </c>
      <c r="AA384" s="277">
        <f>IFERROR(__xludf.DUMMYFUNCTION("""COMPUTED_VALUE"""),175.0)</f>
        <v>175</v>
      </c>
      <c r="AB384" s="277">
        <f>IFERROR(__xludf.DUMMYFUNCTION("""COMPUTED_VALUE"""),175.0)</f>
        <v>175</v>
      </c>
      <c r="AC384" s="277"/>
      <c r="AD384" s="277">
        <f>IFERROR(__xludf.DUMMYFUNCTION("""COMPUTED_VALUE"""),968755.0)</f>
        <v>968755</v>
      </c>
      <c r="AE384" s="277">
        <f>IFERROR(__xludf.DUMMYFUNCTION("""COMPUTED_VALUE"""),968755.0)</f>
        <v>968755</v>
      </c>
      <c r="AF384" s="277"/>
      <c r="AG384" s="208"/>
      <c r="AH384" s="208"/>
      <c r="AI384" s="208"/>
      <c r="AJ384" s="208"/>
      <c r="AK384" s="208"/>
    </row>
    <row r="385">
      <c r="A385" s="273">
        <f>IFERROR(__xludf.DUMMYFUNCTION("""COMPUTED_VALUE"""),46150.0)</f>
        <v>46150</v>
      </c>
      <c r="B385" s="274">
        <f>IFERROR(__xludf.DUMMYFUNCTION("""COMPUTED_VALUE"""),46150.35416666667)</f>
        <v>46150.35417</v>
      </c>
      <c r="C385" s="208" t="str">
        <f>IFERROR(__xludf.DUMMYFUNCTION("""COMPUTED_VALUE"""),"Whatsapp")</f>
        <v>Whatsapp</v>
      </c>
      <c r="D385" s="208" t="str">
        <f>IFERROR(__xludf.DUMMYFUNCTION("""COMPUTED_VALUE"""),"Fallback campaign")</f>
        <v>Fallback campaign</v>
      </c>
      <c r="E385" s="208" t="str">
        <f>IFERROR(__xludf.DUMMYFUNCTION("""COMPUTED_VALUE"""),"VS")</f>
        <v>VS</v>
      </c>
      <c r="F385" s="208" t="str">
        <f>IFERROR(__xludf.DUMMYFUNCTION("""COMPUTED_VALUE"""),"Summer Beauty Fest May - Online - Mist &amp; Lotions @999")</f>
        <v>Summer Beauty Fest May - Online - Mist &amp; Lotions @999</v>
      </c>
      <c r="G385" s="208" t="str">
        <f>IFERROR(__xludf.DUMMYFUNCTION("""COMPUTED_VALUE"""),"SGF_On_Store_Non_Shoppers (7th WA FB)")</f>
        <v>SGF_On_Store_Non_Shoppers (7th WA FB)</v>
      </c>
      <c r="H385" s="208" t="str">
        <f>IFERROR(__xludf.DUMMYFUNCTION("""COMPUTED_VALUE"""),"NON-Shoppers_TILI_Stores_Off")</f>
        <v>NON-Shoppers_TILI_Stores_Off</v>
      </c>
      <c r="I385" s="233" t="str">
        <f>IFERROR(__xludf.DUMMYFUNCTION("""COMPUTED_VALUE"""),"WA Undelivered")</f>
        <v>WA Undelivered</v>
      </c>
      <c r="J385" s="275">
        <f>IFERROR(__xludf.DUMMYFUNCTION("""COMPUTED_VALUE"""),54186.0)</f>
        <v>54186</v>
      </c>
      <c r="K385" s="275">
        <f>IFERROR(__xludf.DUMMYFUNCTION("""COMPUTED_VALUE"""),24281.0)</f>
        <v>24281</v>
      </c>
      <c r="L385" s="276">
        <f>IFERROR(__xludf.DUMMYFUNCTION("""COMPUTED_VALUE"""),0.4481)</f>
        <v>0.4481</v>
      </c>
      <c r="M385" s="275">
        <f>IFERROR(__xludf.DUMMYFUNCTION("""COMPUTED_VALUE"""),3929.0)</f>
        <v>3929</v>
      </c>
      <c r="N385" s="276">
        <f>IFERROR(__xludf.DUMMYFUNCTION("""COMPUTED_VALUE"""),0.1618)</f>
        <v>0.1618</v>
      </c>
      <c r="O385" s="208">
        <f>IFERROR(__xludf.DUMMYFUNCTION("""COMPUTED_VALUE"""),263.0)</f>
        <v>263</v>
      </c>
      <c r="P385" s="208">
        <f>IFERROR(__xludf.DUMMYFUNCTION("""COMPUTED_VALUE"""),251.0)</f>
        <v>251</v>
      </c>
      <c r="Q385" s="276">
        <f>IFERROR(__xludf.DUMMYFUNCTION("""COMPUTED_VALUE"""),0.0103)</f>
        <v>0.0103</v>
      </c>
      <c r="R385" s="276">
        <f>IFERROR(__xludf.DUMMYFUNCTION("""COMPUTED_VALUE"""),0.0639)</f>
        <v>0.0639</v>
      </c>
      <c r="S385" s="208">
        <f>IFERROR(__xludf.DUMMYFUNCTION("""COMPUTED_VALUE"""),16.0)</f>
        <v>16</v>
      </c>
      <c r="T385" s="208">
        <f>IFERROR(__xludf.DUMMYFUNCTION("""COMPUTED_VALUE"""),37.0)</f>
        <v>37</v>
      </c>
      <c r="U385" s="275">
        <f>IFERROR(__xludf.DUMMYFUNCTION("""COMPUTED_VALUE"""),52395.0)</f>
        <v>52395</v>
      </c>
      <c r="V385" s="208" t="str">
        <f>IFERROR(__xludf.DUMMYFUNCTION("""COMPUTED_VALUE"""),"offline")</f>
        <v>offline</v>
      </c>
      <c r="W385" s="232" t="str">
        <f>IFERROR(__xludf.DUMMYFUNCTION("""COMPUTED_VALUE"""),"simple")</f>
        <v>simple</v>
      </c>
      <c r="X385" s="232" t="str">
        <f>IFERROR(__xludf.DUMMYFUNCTION("""COMPUTED_VALUE"""),"Non- Shoppers")</f>
        <v>Non- Shoppers</v>
      </c>
      <c r="Y385" s="232" t="str">
        <f>IFERROR(__xludf.DUMMYFUNCTION("""COMPUTED_VALUE"""),"7-11 May 2026")</f>
        <v>7-11 May 2026</v>
      </c>
      <c r="Z385" s="232" t="str">
        <f>IFERROR(__xludf.DUMMYFUNCTION("""COMPUTED_VALUE"""),"69fc328a0f4d54910c1ef8b2")</f>
        <v>69fc328a0f4d54910c1ef8b2</v>
      </c>
      <c r="AA385" s="277">
        <f>IFERROR(__xludf.DUMMYFUNCTION("""COMPUTED_VALUE"""),23.0)</f>
        <v>23</v>
      </c>
      <c r="AB385" s="277"/>
      <c r="AC385" s="277">
        <f>IFERROR(__xludf.DUMMYFUNCTION("""COMPUTED_VALUE"""),23.0)</f>
        <v>23</v>
      </c>
      <c r="AD385" s="277">
        <f>IFERROR(__xludf.DUMMYFUNCTION("""COMPUTED_VALUE"""),502897.0)</f>
        <v>502897</v>
      </c>
      <c r="AE385" s="277"/>
      <c r="AF385" s="277">
        <f>IFERROR(__xludf.DUMMYFUNCTION("""COMPUTED_VALUE"""),502897.0)</f>
        <v>502897</v>
      </c>
      <c r="AG385" s="208"/>
      <c r="AH385" s="208"/>
      <c r="AI385" s="208"/>
      <c r="AJ385" s="208"/>
      <c r="AK385" s="208"/>
    </row>
    <row r="386">
      <c r="A386" s="273">
        <f>IFERROR(__xludf.DUMMYFUNCTION("""COMPUTED_VALUE"""),46150.0)</f>
        <v>46150</v>
      </c>
      <c r="B386" s="274">
        <f>IFERROR(__xludf.DUMMYFUNCTION("""COMPUTED_VALUE"""),46150.35763888889)</f>
        <v>46150.35764</v>
      </c>
      <c r="C386" s="208" t="str">
        <f>IFERROR(__xludf.DUMMYFUNCTION("""COMPUTED_VALUE"""),"Whatsapp")</f>
        <v>Whatsapp</v>
      </c>
      <c r="D386" s="208" t="str">
        <f>IFERROR(__xludf.DUMMYFUNCTION("""COMPUTED_VALUE"""),"Fallback campaign")</f>
        <v>Fallback campaign</v>
      </c>
      <c r="E386" s="208" t="str">
        <f>IFERROR(__xludf.DUMMYFUNCTION("""COMPUTED_VALUE"""),"VS")</f>
        <v>VS</v>
      </c>
      <c r="F386" s="208" t="str">
        <f>IFERROR(__xludf.DUMMYFUNCTION("""COMPUTED_VALUE"""),"Summer Beauty Fest May - Online - Mist &amp; Lotions @999")</f>
        <v>Summer Beauty Fest May - Online - Mist &amp; Lotions @999</v>
      </c>
      <c r="G386" s="208" t="str">
        <f>IFERROR(__xludf.DUMMYFUNCTION("""COMPUTED_VALUE"""),"SGF_On_ATC_CX (7th WA FB)")</f>
        <v>SGF_On_ATC_CX (7th WA FB)</v>
      </c>
      <c r="H386" s="208" t="str">
        <f>IFERROR(__xludf.DUMMYFUNCTION("""COMPUTED_VALUE"""),"VS_ON_ATC_93D_No_Pr")</f>
        <v>VS_ON_ATC_93D_No_Pr</v>
      </c>
      <c r="I386" s="233" t="str">
        <f>IFERROR(__xludf.DUMMYFUNCTION("""COMPUTED_VALUE"""),"WA Undelivered")</f>
        <v>WA Undelivered</v>
      </c>
      <c r="J386" s="275">
        <f>IFERROR(__xludf.DUMMYFUNCTION("""COMPUTED_VALUE"""),2150.0)</f>
        <v>2150</v>
      </c>
      <c r="K386" s="275">
        <f>IFERROR(__xludf.DUMMYFUNCTION("""COMPUTED_VALUE"""),769.0)</f>
        <v>769</v>
      </c>
      <c r="L386" s="276">
        <f>IFERROR(__xludf.DUMMYFUNCTION("""COMPUTED_VALUE"""),0.3577)</f>
        <v>0.3577</v>
      </c>
      <c r="M386" s="275">
        <f>IFERROR(__xludf.DUMMYFUNCTION("""COMPUTED_VALUE"""),121.0)</f>
        <v>121</v>
      </c>
      <c r="N386" s="276">
        <f>IFERROR(__xludf.DUMMYFUNCTION("""COMPUTED_VALUE"""),0.1573)</f>
        <v>0.1573</v>
      </c>
      <c r="O386" s="208">
        <f>IFERROR(__xludf.DUMMYFUNCTION("""COMPUTED_VALUE"""),10.0)</f>
        <v>10</v>
      </c>
      <c r="P386" s="208">
        <f>IFERROR(__xludf.DUMMYFUNCTION("""COMPUTED_VALUE"""),10.0)</f>
        <v>10</v>
      </c>
      <c r="Q386" s="276">
        <f>IFERROR(__xludf.DUMMYFUNCTION("""COMPUTED_VALUE"""),0.013000000000000001)</f>
        <v>0.013</v>
      </c>
      <c r="R386" s="276">
        <f>IFERROR(__xludf.DUMMYFUNCTION("""COMPUTED_VALUE"""),0.08259999999999999)</f>
        <v>0.0826</v>
      </c>
      <c r="S386" s="208">
        <f>IFERROR(__xludf.DUMMYFUNCTION("""COMPUTED_VALUE"""),8.0)</f>
        <v>8</v>
      </c>
      <c r="T386" s="208">
        <f>IFERROR(__xludf.DUMMYFUNCTION("""COMPUTED_VALUE"""),29.0)</f>
        <v>29</v>
      </c>
      <c r="U386" s="275">
        <f>IFERROR(__xludf.DUMMYFUNCTION("""COMPUTED_VALUE"""),30724.0)</f>
        <v>30724</v>
      </c>
      <c r="V386" s="208" t="str">
        <f>IFERROR(__xludf.DUMMYFUNCTION("""COMPUTED_VALUE"""),"online")</f>
        <v>online</v>
      </c>
      <c r="W386" s="232" t="str">
        <f>IFERROR(__xludf.DUMMYFUNCTION("""COMPUTED_VALUE"""),"simple")</f>
        <v>simple</v>
      </c>
      <c r="X386" s="232" t="str">
        <f>IFERROR(__xludf.DUMMYFUNCTION("""COMPUTED_VALUE"""),"Add to Cart but no purchase")</f>
        <v>Add to Cart but no purchase</v>
      </c>
      <c r="Y386" s="232" t="str">
        <f>IFERROR(__xludf.DUMMYFUNCTION("""COMPUTED_VALUE"""),"7-11 May 2026")</f>
        <v>7-11 May 2026</v>
      </c>
      <c r="Z386" s="232" t="str">
        <f>IFERROR(__xludf.DUMMYFUNCTION("""COMPUTED_VALUE"""),"69fc32d35386f5cd569459b8")</f>
        <v>69fc32d35386f5cd569459b8</v>
      </c>
      <c r="AA386" s="277">
        <f>IFERROR(__xludf.DUMMYFUNCTION("""COMPUTED_VALUE"""),16.0)</f>
        <v>16</v>
      </c>
      <c r="AB386" s="277">
        <f>IFERROR(__xludf.DUMMYFUNCTION("""COMPUTED_VALUE"""),16.0)</f>
        <v>16</v>
      </c>
      <c r="AC386" s="277"/>
      <c r="AD386" s="277">
        <f>IFERROR(__xludf.DUMMYFUNCTION("""COMPUTED_VALUE"""),111785.0)</f>
        <v>111785</v>
      </c>
      <c r="AE386" s="277">
        <f>IFERROR(__xludf.DUMMYFUNCTION("""COMPUTED_VALUE"""),111785.0)</f>
        <v>111785</v>
      </c>
      <c r="AF386" s="277"/>
      <c r="AG386" s="208"/>
      <c r="AH386" s="208"/>
      <c r="AI386" s="208"/>
      <c r="AJ386" s="208"/>
      <c r="AK386" s="208"/>
    </row>
    <row r="387">
      <c r="A387" s="273">
        <f>IFERROR(__xludf.DUMMYFUNCTION("""COMPUTED_VALUE"""),46150.0)</f>
        <v>46150</v>
      </c>
      <c r="B387" s="274">
        <f>IFERROR(__xludf.DUMMYFUNCTION("""COMPUTED_VALUE"""),46150.36111111111)</f>
        <v>46150.36111</v>
      </c>
      <c r="C387" s="208" t="str">
        <f>IFERROR(__xludf.DUMMYFUNCTION("""COMPUTED_VALUE"""),"Whatsapp")</f>
        <v>Whatsapp</v>
      </c>
      <c r="D387" s="208" t="str">
        <f>IFERROR(__xludf.DUMMYFUNCTION("""COMPUTED_VALUE"""),"Fallback campaign")</f>
        <v>Fallback campaign</v>
      </c>
      <c r="E387" s="208" t="str">
        <f>IFERROR(__xludf.DUMMYFUNCTION("""COMPUTED_VALUE"""),"VS")</f>
        <v>VS</v>
      </c>
      <c r="F387" s="208" t="str">
        <f>IFERROR(__xludf.DUMMYFUNCTION("""COMPUTED_VALUE"""),"Summer Beauty Fest May - Online - Mist &amp; Lotions @999")</f>
        <v>Summer Beauty Fest May - Online - Mist &amp; Lotions @999</v>
      </c>
      <c r="G387" s="208" t="str">
        <f>IFERROR(__xludf.DUMMYFUNCTION("""COMPUTED_VALUE"""),"SGF_On_Event_CX (7th WA FB)")</f>
        <v>SGF_On_Event_CX (7th WA FB)</v>
      </c>
      <c r="H387" s="208" t="str">
        <f>IFERROR(__xludf.DUMMYFUNCTION("""COMPUTED_VALUE"""),"VS_ON_SGF_Event_Predom1000_Buyers")</f>
        <v>VS_ON_SGF_Event_Predom1000_Buyers</v>
      </c>
      <c r="I387" s="233" t="str">
        <f>IFERROR(__xludf.DUMMYFUNCTION("""COMPUTED_VALUE"""),"WA Undelivered")</f>
        <v>WA Undelivered</v>
      </c>
      <c r="J387" s="275">
        <f>IFERROR(__xludf.DUMMYFUNCTION("""COMPUTED_VALUE"""),22041.0)</f>
        <v>22041</v>
      </c>
      <c r="K387" s="275">
        <f>IFERROR(__xludf.DUMMYFUNCTION("""COMPUTED_VALUE"""),10525.0)</f>
        <v>10525</v>
      </c>
      <c r="L387" s="276">
        <f>IFERROR(__xludf.DUMMYFUNCTION("""COMPUTED_VALUE"""),0.4775)</f>
        <v>0.4775</v>
      </c>
      <c r="M387" s="275">
        <f>IFERROR(__xludf.DUMMYFUNCTION("""COMPUTED_VALUE"""),1658.0)</f>
        <v>1658</v>
      </c>
      <c r="N387" s="276">
        <f>IFERROR(__xludf.DUMMYFUNCTION("""COMPUTED_VALUE"""),0.1575)</f>
        <v>0.1575</v>
      </c>
      <c r="O387" s="208">
        <f>IFERROR(__xludf.DUMMYFUNCTION("""COMPUTED_VALUE"""),213.0)</f>
        <v>213</v>
      </c>
      <c r="P387" s="208">
        <f>IFERROR(__xludf.DUMMYFUNCTION("""COMPUTED_VALUE"""),195.0)</f>
        <v>195</v>
      </c>
      <c r="Q387" s="276">
        <f>IFERROR(__xludf.DUMMYFUNCTION("""COMPUTED_VALUE"""),0.018500000000000003)</f>
        <v>0.0185</v>
      </c>
      <c r="R387" s="276">
        <f>IFERROR(__xludf.DUMMYFUNCTION("""COMPUTED_VALUE"""),0.1176)</f>
        <v>0.1176</v>
      </c>
      <c r="S387" s="208">
        <f>IFERROR(__xludf.DUMMYFUNCTION("""COMPUTED_VALUE"""),13.0)</f>
        <v>13</v>
      </c>
      <c r="T387" s="208">
        <f>IFERROR(__xludf.DUMMYFUNCTION("""COMPUTED_VALUE"""),21.0)</f>
        <v>21</v>
      </c>
      <c r="U387" s="275">
        <f>IFERROR(__xludf.DUMMYFUNCTION("""COMPUTED_VALUE"""),20655.0)</f>
        <v>20655</v>
      </c>
      <c r="V387" s="208" t="str">
        <f>IFERROR(__xludf.DUMMYFUNCTION("""COMPUTED_VALUE"""),"online")</f>
        <v>online</v>
      </c>
      <c r="W387" s="232" t="str">
        <f>IFERROR(__xludf.DUMMYFUNCTION("""COMPUTED_VALUE"""),"simple")</f>
        <v>simple</v>
      </c>
      <c r="X387" s="232" t="str">
        <f>IFERROR(__xludf.DUMMYFUNCTION("""COMPUTED_VALUE"""),"Event and Predom below 1000 buyers")</f>
        <v>Event and Predom below 1000 buyers</v>
      </c>
      <c r="Y387" s="232" t="str">
        <f>IFERROR(__xludf.DUMMYFUNCTION("""COMPUTED_VALUE"""),"7-11 May 2026")</f>
        <v>7-11 May 2026</v>
      </c>
      <c r="Z387" s="232" t="str">
        <f>IFERROR(__xludf.DUMMYFUNCTION("""COMPUTED_VALUE"""),"69fc3326c89a7960d38e3509")</f>
        <v>69fc3326c89a7960d38e3509</v>
      </c>
      <c r="AA387" s="277">
        <f>IFERROR(__xludf.DUMMYFUNCTION("""COMPUTED_VALUE"""),111.0)</f>
        <v>111</v>
      </c>
      <c r="AB387" s="277">
        <f>IFERROR(__xludf.DUMMYFUNCTION("""COMPUTED_VALUE"""),111.0)</f>
        <v>111</v>
      </c>
      <c r="AC387" s="277"/>
      <c r="AD387" s="277">
        <f>IFERROR(__xludf.DUMMYFUNCTION("""COMPUTED_VALUE"""),443302.0)</f>
        <v>443302</v>
      </c>
      <c r="AE387" s="277">
        <f>IFERROR(__xludf.DUMMYFUNCTION("""COMPUTED_VALUE"""),443302.0)</f>
        <v>443302</v>
      </c>
      <c r="AF387" s="277"/>
      <c r="AG387" s="208"/>
      <c r="AH387" s="208"/>
      <c r="AI387" s="208"/>
      <c r="AJ387" s="208"/>
      <c r="AK387" s="208"/>
    </row>
    <row r="388">
      <c r="A388" s="273">
        <f>IFERROR(__xludf.DUMMYFUNCTION("""COMPUTED_VALUE"""),46150.0)</f>
        <v>46150</v>
      </c>
      <c r="B388" s="274">
        <f>IFERROR(__xludf.DUMMYFUNCTION("""COMPUTED_VALUE"""),46150.36458333333)</f>
        <v>46150.36458</v>
      </c>
      <c r="C388" s="208" t="str">
        <f>IFERROR(__xludf.DUMMYFUNCTION("""COMPUTED_VALUE"""),"Whatsapp")</f>
        <v>Whatsapp</v>
      </c>
      <c r="D388" s="208" t="str">
        <f>IFERROR(__xludf.DUMMYFUNCTION("""COMPUTED_VALUE"""),"Fallback campaign")</f>
        <v>Fallback campaign</v>
      </c>
      <c r="E388" s="208" t="str">
        <f>IFERROR(__xludf.DUMMYFUNCTION("""COMPUTED_VALUE"""),"VS")</f>
        <v>VS</v>
      </c>
      <c r="F388" s="208" t="str">
        <f>IFERROR(__xludf.DUMMYFUNCTION("""COMPUTED_VALUE"""),"Summer Beauty Fest May - Online - Mist &amp; Lotions @999")</f>
        <v>Summer Beauty Fest May - Online - Mist &amp; Lotions @999</v>
      </c>
      <c r="G388" s="208" t="str">
        <f>IFERROR(__xludf.DUMMYFUNCTION("""COMPUTED_VALUE"""),"SGF_On_Repeat_CX  (7th WA FB)")</f>
        <v>SGF_On_Repeat_CX  (7th WA FB)</v>
      </c>
      <c r="H388" s="208" t="str">
        <f>IFERROR(__xludf.DUMMYFUNCTION("""COMPUTED_VALUE"""),"Repeat_On_SGF")</f>
        <v>Repeat_On_SGF</v>
      </c>
      <c r="I388" s="233" t="str">
        <f>IFERROR(__xludf.DUMMYFUNCTION("""COMPUTED_VALUE"""),"WA Undelivered")</f>
        <v>WA Undelivered</v>
      </c>
      <c r="J388" s="275">
        <f>IFERROR(__xludf.DUMMYFUNCTION("""COMPUTED_VALUE"""),12932.0)</f>
        <v>12932</v>
      </c>
      <c r="K388" s="275">
        <f>IFERROR(__xludf.DUMMYFUNCTION("""COMPUTED_VALUE"""),5871.0)</f>
        <v>5871</v>
      </c>
      <c r="L388" s="276">
        <f>IFERROR(__xludf.DUMMYFUNCTION("""COMPUTED_VALUE"""),0.45399999999999996)</f>
        <v>0.454</v>
      </c>
      <c r="M388" s="275">
        <f>IFERROR(__xludf.DUMMYFUNCTION("""COMPUTED_VALUE"""),949.0)</f>
        <v>949</v>
      </c>
      <c r="N388" s="276">
        <f>IFERROR(__xludf.DUMMYFUNCTION("""COMPUTED_VALUE"""),0.1616)</f>
        <v>0.1616</v>
      </c>
      <c r="O388" s="208">
        <f>IFERROR(__xludf.DUMMYFUNCTION("""COMPUTED_VALUE"""),91.0)</f>
        <v>91</v>
      </c>
      <c r="P388" s="208">
        <f>IFERROR(__xludf.DUMMYFUNCTION("""COMPUTED_VALUE"""),83.0)</f>
        <v>83</v>
      </c>
      <c r="Q388" s="276">
        <f>IFERROR(__xludf.DUMMYFUNCTION("""COMPUTED_VALUE"""),0.0141)</f>
        <v>0.0141</v>
      </c>
      <c r="R388" s="276">
        <f>IFERROR(__xludf.DUMMYFUNCTION("""COMPUTED_VALUE"""),0.0875)</f>
        <v>0.0875</v>
      </c>
      <c r="S388" s="208">
        <f>IFERROR(__xludf.DUMMYFUNCTION("""COMPUTED_VALUE"""),17.0)</f>
        <v>17</v>
      </c>
      <c r="T388" s="208">
        <f>IFERROR(__xludf.DUMMYFUNCTION("""COMPUTED_VALUE"""),28.0)</f>
        <v>28</v>
      </c>
      <c r="U388" s="275">
        <f>IFERROR(__xludf.DUMMYFUNCTION("""COMPUTED_VALUE"""),43574.0)</f>
        <v>43574</v>
      </c>
      <c r="V388" s="208" t="str">
        <f>IFERROR(__xludf.DUMMYFUNCTION("""COMPUTED_VALUE"""),"online")</f>
        <v>online</v>
      </c>
      <c r="W388" s="232" t="str">
        <f>IFERROR(__xludf.DUMMYFUNCTION("""COMPUTED_VALUE"""),"simple")</f>
        <v>simple</v>
      </c>
      <c r="X388" s="232" t="str">
        <f>IFERROR(__xludf.DUMMYFUNCTION("""COMPUTED_VALUE"""),"Repeat Buyers")</f>
        <v>Repeat Buyers</v>
      </c>
      <c r="Y388" s="232" t="str">
        <f>IFERROR(__xludf.DUMMYFUNCTION("""COMPUTED_VALUE"""),"7-11 May 2026")</f>
        <v>7-11 May 2026</v>
      </c>
      <c r="Z388" s="232" t="str">
        <f>IFERROR(__xludf.DUMMYFUNCTION("""COMPUTED_VALUE"""),"69fc3366394aca61d9a7f58a")</f>
        <v>69fc3366394aca61d9a7f58a</v>
      </c>
      <c r="AA388" s="277">
        <f>IFERROR(__xludf.DUMMYFUNCTION("""COMPUTED_VALUE"""),39.0)</f>
        <v>39</v>
      </c>
      <c r="AB388" s="277">
        <f>IFERROR(__xludf.DUMMYFUNCTION("""COMPUTED_VALUE"""),39.0)</f>
        <v>39</v>
      </c>
      <c r="AC388" s="277"/>
      <c r="AD388" s="277">
        <f>IFERROR(__xludf.DUMMYFUNCTION("""COMPUTED_VALUE"""),199589.0)</f>
        <v>199589</v>
      </c>
      <c r="AE388" s="277">
        <f>IFERROR(__xludf.DUMMYFUNCTION("""COMPUTED_VALUE"""),199589.0)</f>
        <v>199589</v>
      </c>
      <c r="AF388" s="277"/>
      <c r="AG388" s="208"/>
      <c r="AH388" s="208"/>
      <c r="AI388" s="208"/>
      <c r="AJ388" s="208"/>
      <c r="AK388" s="208"/>
    </row>
    <row r="389">
      <c r="A389" s="273">
        <f>IFERROR(__xludf.DUMMYFUNCTION("""COMPUTED_VALUE"""),46150.0)</f>
        <v>46150</v>
      </c>
      <c r="B389" s="274">
        <f>IFERROR(__xludf.DUMMYFUNCTION("""COMPUTED_VALUE"""),46150.368055555555)</f>
        <v>46150.36806</v>
      </c>
      <c r="C389" s="208" t="str">
        <f>IFERROR(__xludf.DUMMYFUNCTION("""COMPUTED_VALUE"""),"Whatsapp")</f>
        <v>Whatsapp</v>
      </c>
      <c r="D389" s="208" t="str">
        <f>IFERROR(__xludf.DUMMYFUNCTION("""COMPUTED_VALUE"""),"Fallback campaign")</f>
        <v>Fallback campaign</v>
      </c>
      <c r="E389" s="208" t="str">
        <f>IFERROR(__xludf.DUMMYFUNCTION("""COMPUTED_VALUE"""),"VS")</f>
        <v>VS</v>
      </c>
      <c r="F389" s="208" t="str">
        <f>IFERROR(__xludf.DUMMYFUNCTION("""COMPUTED_VALUE"""),"Summer Beauty Fest May - Online - Mist &amp; Lotions @999")</f>
        <v>Summer Beauty Fest May - Online - Mist &amp; Lotions @999</v>
      </c>
      <c r="G389" s="208" t="str">
        <f>IFERROR(__xludf.DUMMYFUNCTION("""COMPUTED_VALUE"""),"SGF_On_Dorm_CX  (7th WA FB)")</f>
        <v>SGF_On_Dorm_CX  (7th WA FB)</v>
      </c>
      <c r="H389" s="208" t="str">
        <f>IFERROR(__xludf.DUMMYFUNCTION("""COMPUTED_VALUE"""),"VS_Generic_On_SGF")</f>
        <v>VS_Generic_On_SGF</v>
      </c>
      <c r="I389" s="233" t="str">
        <f>IFERROR(__xludf.DUMMYFUNCTION("""COMPUTED_VALUE"""),"WA Undelivered")</f>
        <v>WA Undelivered</v>
      </c>
      <c r="J389" s="275">
        <f>IFERROR(__xludf.DUMMYFUNCTION("""COMPUTED_VALUE"""),37241.0)</f>
        <v>37241</v>
      </c>
      <c r="K389" s="275">
        <f>IFERROR(__xludf.DUMMYFUNCTION("""COMPUTED_VALUE"""),16543.0)</f>
        <v>16543</v>
      </c>
      <c r="L389" s="276">
        <f>IFERROR(__xludf.DUMMYFUNCTION("""COMPUTED_VALUE"""),0.44420000000000004)</f>
        <v>0.4442</v>
      </c>
      <c r="M389" s="275">
        <f>IFERROR(__xludf.DUMMYFUNCTION("""COMPUTED_VALUE"""),2669.0)</f>
        <v>2669</v>
      </c>
      <c r="N389" s="276">
        <f>IFERROR(__xludf.DUMMYFUNCTION("""COMPUTED_VALUE"""),0.1613)</f>
        <v>0.1613</v>
      </c>
      <c r="O389" s="208">
        <f>IFERROR(__xludf.DUMMYFUNCTION("""COMPUTED_VALUE"""),215.0)</f>
        <v>215</v>
      </c>
      <c r="P389" s="208">
        <f>IFERROR(__xludf.DUMMYFUNCTION("""COMPUTED_VALUE"""),201.0)</f>
        <v>201</v>
      </c>
      <c r="Q389" s="276">
        <f>IFERROR(__xludf.DUMMYFUNCTION("""COMPUTED_VALUE"""),0.012199999999999999)</f>
        <v>0.0122</v>
      </c>
      <c r="R389" s="276">
        <f>IFERROR(__xludf.DUMMYFUNCTION("""COMPUTED_VALUE"""),0.0753)</f>
        <v>0.0753</v>
      </c>
      <c r="S389" s="208">
        <f>IFERROR(__xludf.DUMMYFUNCTION("""COMPUTED_VALUE"""),16.0)</f>
        <v>16</v>
      </c>
      <c r="T389" s="208">
        <f>IFERROR(__xludf.DUMMYFUNCTION("""COMPUTED_VALUE"""),27.0)</f>
        <v>27</v>
      </c>
      <c r="U389" s="275">
        <f>IFERROR(__xludf.DUMMYFUNCTION("""COMPUTED_VALUE"""),43057.0)</f>
        <v>43057</v>
      </c>
      <c r="V389" s="208" t="str">
        <f>IFERROR(__xludf.DUMMYFUNCTION("""COMPUTED_VALUE"""),"online")</f>
        <v>online</v>
      </c>
      <c r="W389" s="232" t="str">
        <f>IFERROR(__xludf.DUMMYFUNCTION("""COMPUTED_VALUE"""),"simple")</f>
        <v>simple</v>
      </c>
      <c r="X389" s="232" t="str">
        <f>IFERROR(__xludf.DUMMYFUNCTION("""COMPUTED_VALUE"""),"Generic")</f>
        <v>Generic</v>
      </c>
      <c r="Y389" s="232" t="str">
        <f>IFERROR(__xludf.DUMMYFUNCTION("""COMPUTED_VALUE"""),"7-11 May 2026")</f>
        <v>7-11 May 2026</v>
      </c>
      <c r="Z389" s="232" t="str">
        <f>IFERROR(__xludf.DUMMYFUNCTION("""COMPUTED_VALUE"""),"69fc33abb067dd4624acb677")</f>
        <v>69fc33abb067dd4624acb677</v>
      </c>
      <c r="AA389" s="277">
        <f>IFERROR(__xludf.DUMMYFUNCTION("""COMPUTED_VALUE"""),58.0)</f>
        <v>58</v>
      </c>
      <c r="AB389" s="277">
        <f>IFERROR(__xludf.DUMMYFUNCTION("""COMPUTED_VALUE"""),58.0)</f>
        <v>58</v>
      </c>
      <c r="AC389" s="277"/>
      <c r="AD389" s="277">
        <f>IFERROR(__xludf.DUMMYFUNCTION("""COMPUTED_VALUE"""),296781.0)</f>
        <v>296781</v>
      </c>
      <c r="AE389" s="277">
        <f>IFERROR(__xludf.DUMMYFUNCTION("""COMPUTED_VALUE"""),296781.0)</f>
        <v>296781</v>
      </c>
      <c r="AF389" s="277"/>
      <c r="AG389" s="208"/>
      <c r="AH389" s="208"/>
      <c r="AI389" s="208"/>
      <c r="AJ389" s="208"/>
      <c r="AK389" s="208"/>
    </row>
    <row r="390">
      <c r="A390" s="273">
        <f>IFERROR(__xludf.DUMMYFUNCTION("""COMPUTED_VALUE"""),46150.0)</f>
        <v>46150</v>
      </c>
      <c r="B390" s="274">
        <f>IFERROR(__xludf.DUMMYFUNCTION("""COMPUTED_VALUE"""),46150.4375)</f>
        <v>46150.4375</v>
      </c>
      <c r="C390" s="208" t="str">
        <f>IFERROR(__xludf.DUMMYFUNCTION("""COMPUTED_VALUE"""),"Sms")</f>
        <v>Sms</v>
      </c>
      <c r="D390" s="208" t="str">
        <f>IFERROR(__xludf.DUMMYFUNCTION("""COMPUTED_VALUE"""),"Fallback campaign")</f>
        <v>Fallback campaign</v>
      </c>
      <c r="E390" s="208" t="str">
        <f>IFERROR(__xludf.DUMMYFUNCTION("""COMPUTED_VALUE"""),"VS")</f>
        <v>VS</v>
      </c>
      <c r="F390" s="208" t="str">
        <f>IFERROR(__xludf.DUMMYFUNCTION("""COMPUTED_VALUE"""),"Summer Beauty Fest May - Online - Mist &amp; Lotions @999")</f>
        <v>Summer Beauty Fest May - Online - Mist &amp; Lotions @999</v>
      </c>
      <c r="G390" s="208" t="str">
        <f>IFERROR(__xludf.DUMMYFUNCTION("""COMPUTED_VALUE"""),"SGF_On_Store_Non_Shoppers (8th WA FB)")</f>
        <v>SGF_On_Store_Non_Shoppers (8th WA FB)</v>
      </c>
      <c r="H390" s="208" t="str">
        <f>IFERROR(__xludf.DUMMYFUNCTION("""COMPUTED_VALUE"""),"NON-Shoppers_TILI_Stores_Off")</f>
        <v>NON-Shoppers_TILI_Stores_Off</v>
      </c>
      <c r="I390" s="233" t="str">
        <f>IFERROR(__xludf.DUMMYFUNCTION("""COMPUTED_VALUE"""),"WA Undelivered")</f>
        <v>WA Undelivered</v>
      </c>
      <c r="J390" s="275">
        <f>IFERROR(__xludf.DUMMYFUNCTION("""COMPUTED_VALUE"""),29496.0)</f>
        <v>29496</v>
      </c>
      <c r="K390" s="275">
        <f>IFERROR(__xludf.DUMMYFUNCTION("""COMPUTED_VALUE"""),20791.0)</f>
        <v>20791</v>
      </c>
      <c r="L390" s="276">
        <f>IFERROR(__xludf.DUMMYFUNCTION("""COMPUTED_VALUE"""),0.7048752373203147)</f>
        <v>0.7048752373</v>
      </c>
      <c r="M390" s="275">
        <f>IFERROR(__xludf.DUMMYFUNCTION("""COMPUTED_VALUE"""),0.0)</f>
        <v>0</v>
      </c>
      <c r="N390" s="276">
        <f>IFERROR(__xludf.DUMMYFUNCTION("""COMPUTED_VALUE"""),0.0)</f>
        <v>0</v>
      </c>
      <c r="O390" s="208">
        <f>IFERROR(__xludf.DUMMYFUNCTION("""COMPUTED_VALUE"""),35.0)</f>
        <v>35</v>
      </c>
      <c r="P390" s="208">
        <f>IFERROR(__xludf.DUMMYFUNCTION("""COMPUTED_VALUE"""),0.0)</f>
        <v>0</v>
      </c>
      <c r="Q390" s="276">
        <f>IFERROR(__xludf.DUMMYFUNCTION("""COMPUTED_VALUE"""),0.0017000000000000001)</f>
        <v>0.0017</v>
      </c>
      <c r="R390" s="276">
        <f>IFERROR(__xludf.DUMMYFUNCTION("""COMPUTED_VALUE"""),0.0)</f>
        <v>0</v>
      </c>
      <c r="S390" s="208">
        <f>IFERROR(__xludf.DUMMYFUNCTION("""COMPUTED_VALUE"""),4.0)</f>
        <v>4</v>
      </c>
      <c r="T390" s="208">
        <f>IFERROR(__xludf.DUMMYFUNCTION("""COMPUTED_VALUE"""),10.0)</f>
        <v>10</v>
      </c>
      <c r="U390" s="275">
        <f>IFERROR(__xludf.DUMMYFUNCTION("""COMPUTED_VALUE"""),16701.0)</f>
        <v>16701</v>
      </c>
      <c r="V390" s="208" t="str">
        <f>IFERROR(__xludf.DUMMYFUNCTION("""COMPUTED_VALUE"""),"offline")</f>
        <v>offline</v>
      </c>
      <c r="W390" s="232" t="str">
        <f>IFERROR(__xludf.DUMMYFUNCTION("""COMPUTED_VALUE"""),"sms")</f>
        <v>sms</v>
      </c>
      <c r="X390" s="232" t="str">
        <f>IFERROR(__xludf.DUMMYFUNCTION("""COMPUTED_VALUE"""),"Non- Shoppers")</f>
        <v>Non- Shoppers</v>
      </c>
      <c r="Y390" s="232" t="str">
        <f>IFERROR(__xludf.DUMMYFUNCTION("""COMPUTED_VALUE"""),"7-11 May 2026")</f>
        <v>7-11 May 2026</v>
      </c>
      <c r="Z390" s="232" t="str">
        <f>IFERROR(__xludf.DUMMYFUNCTION("""COMPUTED_VALUE"""),"69fc3437d9d813995569f528")</f>
        <v>69fc3437d9d813995569f528</v>
      </c>
      <c r="AA390" s="277">
        <f>IFERROR(__xludf.DUMMYFUNCTION("""COMPUTED_VALUE"""),23.0)</f>
        <v>23</v>
      </c>
      <c r="AB390" s="277"/>
      <c r="AC390" s="277">
        <f>IFERROR(__xludf.DUMMYFUNCTION("""COMPUTED_VALUE"""),23.0)</f>
        <v>23</v>
      </c>
      <c r="AD390" s="277">
        <f>IFERROR(__xludf.DUMMYFUNCTION("""COMPUTED_VALUE"""),570500.0)</f>
        <v>570500</v>
      </c>
      <c r="AE390" s="277"/>
      <c r="AF390" s="277">
        <f>IFERROR(__xludf.DUMMYFUNCTION("""COMPUTED_VALUE"""),570500.0)</f>
        <v>570500</v>
      </c>
      <c r="AG390" s="208"/>
      <c r="AH390" s="208"/>
      <c r="AI390" s="208"/>
      <c r="AJ390" s="208"/>
      <c r="AK390" s="208"/>
    </row>
    <row r="391">
      <c r="A391" s="273">
        <f>IFERROR(__xludf.DUMMYFUNCTION("""COMPUTED_VALUE"""),46150.0)</f>
        <v>46150</v>
      </c>
      <c r="B391" s="274">
        <f>IFERROR(__xludf.DUMMYFUNCTION("""COMPUTED_VALUE"""),46150.4375)</f>
        <v>46150.4375</v>
      </c>
      <c r="C391" s="208" t="str">
        <f>IFERROR(__xludf.DUMMYFUNCTION("""COMPUTED_VALUE"""),"Sms")</f>
        <v>Sms</v>
      </c>
      <c r="D391" s="208" t="str">
        <f>IFERROR(__xludf.DUMMYFUNCTION("""COMPUTED_VALUE"""),"Fallback campaign")</f>
        <v>Fallback campaign</v>
      </c>
      <c r="E391" s="208" t="str">
        <f>IFERROR(__xludf.DUMMYFUNCTION("""COMPUTED_VALUE"""),"VS")</f>
        <v>VS</v>
      </c>
      <c r="F391" s="208" t="str">
        <f>IFERROR(__xludf.DUMMYFUNCTION("""COMPUTED_VALUE"""),"Summer Beauty Fest May - Online - Mist &amp; Lotions @999")</f>
        <v>Summer Beauty Fest May - Online - Mist &amp; Lotions @999</v>
      </c>
      <c r="G391" s="208" t="str">
        <f>IFERROR(__xludf.DUMMYFUNCTION("""COMPUTED_VALUE"""),"SGF_On_ATC_CX (8th WA FB)")</f>
        <v>SGF_On_ATC_CX (8th WA FB)</v>
      </c>
      <c r="H391" s="208" t="str">
        <f>IFERROR(__xludf.DUMMYFUNCTION("""COMPUTED_VALUE"""),"VS_ON_ATC_93D_No_Pr")</f>
        <v>VS_ON_ATC_93D_No_Pr</v>
      </c>
      <c r="I391" s="233" t="str">
        <f>IFERROR(__xludf.DUMMYFUNCTION("""COMPUTED_VALUE"""),"WA Undelivered")</f>
        <v>WA Undelivered</v>
      </c>
      <c r="J391" s="275">
        <f>IFERROR(__xludf.DUMMYFUNCTION("""COMPUTED_VALUE"""),1371.0)</f>
        <v>1371</v>
      </c>
      <c r="K391" s="275">
        <f>IFERROR(__xludf.DUMMYFUNCTION("""COMPUTED_VALUE"""),825.0)</f>
        <v>825</v>
      </c>
      <c r="L391" s="276">
        <f>IFERROR(__xludf.DUMMYFUNCTION("""COMPUTED_VALUE"""),0.6017505470459519)</f>
        <v>0.601750547</v>
      </c>
      <c r="M391" s="275">
        <f>IFERROR(__xludf.DUMMYFUNCTION("""COMPUTED_VALUE"""),0.0)</f>
        <v>0</v>
      </c>
      <c r="N391" s="276">
        <f>IFERROR(__xludf.DUMMYFUNCTION("""COMPUTED_VALUE"""),0.0)</f>
        <v>0</v>
      </c>
      <c r="O391" s="208">
        <f>IFERROR(__xludf.DUMMYFUNCTION("""COMPUTED_VALUE"""),2.0)</f>
        <v>2</v>
      </c>
      <c r="P391" s="208">
        <f>IFERROR(__xludf.DUMMYFUNCTION("""COMPUTED_VALUE"""),0.0)</f>
        <v>0</v>
      </c>
      <c r="Q391" s="276">
        <f>IFERROR(__xludf.DUMMYFUNCTION("""COMPUTED_VALUE"""),0.0024)</f>
        <v>0.0024</v>
      </c>
      <c r="R391" s="276">
        <f>IFERROR(__xludf.DUMMYFUNCTION("""COMPUTED_VALUE"""),0.0)</f>
        <v>0</v>
      </c>
      <c r="S391" s="208">
        <f>IFERROR(__xludf.DUMMYFUNCTION("""COMPUTED_VALUE"""),5.0)</f>
        <v>5</v>
      </c>
      <c r="T391" s="208">
        <f>IFERROR(__xludf.DUMMYFUNCTION("""COMPUTED_VALUE"""),22.0)</f>
        <v>22</v>
      </c>
      <c r="U391" s="275">
        <f>IFERROR(__xludf.DUMMYFUNCTION("""COMPUTED_VALUE"""),15293.0)</f>
        <v>15293</v>
      </c>
      <c r="V391" s="208" t="str">
        <f>IFERROR(__xludf.DUMMYFUNCTION("""COMPUTED_VALUE"""),"online")</f>
        <v>online</v>
      </c>
      <c r="W391" s="232" t="str">
        <f>IFERROR(__xludf.DUMMYFUNCTION("""COMPUTED_VALUE"""),"sms")</f>
        <v>sms</v>
      </c>
      <c r="X391" s="232" t="str">
        <f>IFERROR(__xludf.DUMMYFUNCTION("""COMPUTED_VALUE"""),"Add to Cart but no purchase")</f>
        <v>Add to Cart but no purchase</v>
      </c>
      <c r="Y391" s="232" t="str">
        <f>IFERROR(__xludf.DUMMYFUNCTION("""COMPUTED_VALUE"""),"7-11 May 2026")</f>
        <v>7-11 May 2026</v>
      </c>
      <c r="Z391" s="232" t="str">
        <f>IFERROR(__xludf.DUMMYFUNCTION("""COMPUTED_VALUE"""),"69fc3481348e3d1bb3a97a8f")</f>
        <v>69fc3481348e3d1bb3a97a8f</v>
      </c>
      <c r="AA391" s="277">
        <f>IFERROR(__xludf.DUMMYFUNCTION("""COMPUTED_VALUE"""),12.0)</f>
        <v>12</v>
      </c>
      <c r="AB391" s="277">
        <f>IFERROR(__xludf.DUMMYFUNCTION("""COMPUTED_VALUE"""),12.0)</f>
        <v>12</v>
      </c>
      <c r="AC391" s="277"/>
      <c r="AD391" s="277">
        <f>IFERROR(__xludf.DUMMYFUNCTION("""COMPUTED_VALUE"""),72524.0)</f>
        <v>72524</v>
      </c>
      <c r="AE391" s="277">
        <f>IFERROR(__xludf.DUMMYFUNCTION("""COMPUTED_VALUE"""),72524.0)</f>
        <v>72524</v>
      </c>
      <c r="AF391" s="277"/>
      <c r="AG391" s="208"/>
      <c r="AH391" s="208"/>
      <c r="AI391" s="208"/>
      <c r="AJ391" s="208"/>
      <c r="AK391" s="208"/>
    </row>
    <row r="392">
      <c r="A392" s="273">
        <f>IFERROR(__xludf.DUMMYFUNCTION("""COMPUTED_VALUE"""),46150.0)</f>
        <v>46150</v>
      </c>
      <c r="B392" s="274">
        <f>IFERROR(__xludf.DUMMYFUNCTION("""COMPUTED_VALUE"""),46150.4375)</f>
        <v>46150.4375</v>
      </c>
      <c r="C392" s="208" t="str">
        <f>IFERROR(__xludf.DUMMYFUNCTION("""COMPUTED_VALUE"""),"Sms")</f>
        <v>Sms</v>
      </c>
      <c r="D392" s="208" t="str">
        <f>IFERROR(__xludf.DUMMYFUNCTION("""COMPUTED_VALUE"""),"Fallback campaign")</f>
        <v>Fallback campaign</v>
      </c>
      <c r="E392" s="208" t="str">
        <f>IFERROR(__xludf.DUMMYFUNCTION("""COMPUTED_VALUE"""),"VS")</f>
        <v>VS</v>
      </c>
      <c r="F392" s="208" t="str">
        <f>IFERROR(__xludf.DUMMYFUNCTION("""COMPUTED_VALUE"""),"Summer Beauty Fest May - Online - Mist &amp; Lotions @999")</f>
        <v>Summer Beauty Fest May - Online - Mist &amp; Lotions @999</v>
      </c>
      <c r="G392" s="208" t="str">
        <f>IFERROR(__xludf.DUMMYFUNCTION("""COMPUTED_VALUE"""),"SGF_On_Event_CX (8th WA FB)")</f>
        <v>SGF_On_Event_CX (8th WA FB)</v>
      </c>
      <c r="H392" s="208" t="str">
        <f>IFERROR(__xludf.DUMMYFUNCTION("""COMPUTED_VALUE"""),"VS_ON_SGF_Event_Predom1000_Buyers")</f>
        <v>VS_ON_SGF_Event_Predom1000_Buyers</v>
      </c>
      <c r="I392" s="233" t="str">
        <f>IFERROR(__xludf.DUMMYFUNCTION("""COMPUTED_VALUE"""),"WA Undelivered")</f>
        <v>WA Undelivered</v>
      </c>
      <c r="J392" s="275">
        <f>IFERROR(__xludf.DUMMYFUNCTION("""COMPUTED_VALUE"""),11227.0)</f>
        <v>11227</v>
      </c>
      <c r="K392" s="275">
        <f>IFERROR(__xludf.DUMMYFUNCTION("""COMPUTED_VALUE"""),7560.0)</f>
        <v>7560</v>
      </c>
      <c r="L392" s="276">
        <f>IFERROR(__xludf.DUMMYFUNCTION("""COMPUTED_VALUE"""),0.6733766812149283)</f>
        <v>0.6733766812</v>
      </c>
      <c r="M392" s="275">
        <f>IFERROR(__xludf.DUMMYFUNCTION("""COMPUTED_VALUE"""),0.0)</f>
        <v>0</v>
      </c>
      <c r="N392" s="276">
        <f>IFERROR(__xludf.DUMMYFUNCTION("""COMPUTED_VALUE"""),0.0)</f>
        <v>0</v>
      </c>
      <c r="O392" s="208">
        <f>IFERROR(__xludf.DUMMYFUNCTION("""COMPUTED_VALUE"""),22.0)</f>
        <v>22</v>
      </c>
      <c r="P392" s="208">
        <f>IFERROR(__xludf.DUMMYFUNCTION("""COMPUTED_VALUE"""),0.0)</f>
        <v>0</v>
      </c>
      <c r="Q392" s="276">
        <f>IFERROR(__xludf.DUMMYFUNCTION("""COMPUTED_VALUE"""),0.0029)</f>
        <v>0.0029</v>
      </c>
      <c r="R392" s="276">
        <f>IFERROR(__xludf.DUMMYFUNCTION("""COMPUTED_VALUE"""),0.0)</f>
        <v>0</v>
      </c>
      <c r="S392" s="208">
        <f>IFERROR(__xludf.DUMMYFUNCTION("""COMPUTED_VALUE"""),11.0)</f>
        <v>11</v>
      </c>
      <c r="T392" s="208">
        <f>IFERROR(__xludf.DUMMYFUNCTION("""COMPUTED_VALUE"""),10.0)</f>
        <v>10</v>
      </c>
      <c r="U392" s="275">
        <f>IFERROR(__xludf.DUMMYFUNCTION("""COMPUTED_VALUE"""),20656.0)</f>
        <v>20656</v>
      </c>
      <c r="V392" s="208" t="str">
        <f>IFERROR(__xludf.DUMMYFUNCTION("""COMPUTED_VALUE"""),"online")</f>
        <v>online</v>
      </c>
      <c r="W392" s="232" t="str">
        <f>IFERROR(__xludf.DUMMYFUNCTION("""COMPUTED_VALUE"""),"sms")</f>
        <v>sms</v>
      </c>
      <c r="X392" s="232" t="str">
        <f>IFERROR(__xludf.DUMMYFUNCTION("""COMPUTED_VALUE"""),"Event and Predom below 1000 buyers")</f>
        <v>Event and Predom below 1000 buyers</v>
      </c>
      <c r="Y392" s="232" t="str">
        <f>IFERROR(__xludf.DUMMYFUNCTION("""COMPUTED_VALUE"""),"7-11 May 2026")</f>
        <v>7-11 May 2026</v>
      </c>
      <c r="Z392" s="232" t="str">
        <f>IFERROR(__xludf.DUMMYFUNCTION("""COMPUTED_VALUE"""),"69fc34ea0f4d54910c1ef9de")</f>
        <v>69fc34ea0f4d54910c1ef9de</v>
      </c>
      <c r="AA392" s="277">
        <f>IFERROR(__xludf.DUMMYFUNCTION("""COMPUTED_VALUE"""),75.0)</f>
        <v>75</v>
      </c>
      <c r="AB392" s="277">
        <f>IFERROR(__xludf.DUMMYFUNCTION("""COMPUTED_VALUE"""),75.0)</f>
        <v>75</v>
      </c>
      <c r="AC392" s="277"/>
      <c r="AD392" s="277">
        <f>IFERROR(__xludf.DUMMYFUNCTION("""COMPUTED_VALUE"""),377877.0)</f>
        <v>377877</v>
      </c>
      <c r="AE392" s="277">
        <f>IFERROR(__xludf.DUMMYFUNCTION("""COMPUTED_VALUE"""),377877.0)</f>
        <v>377877</v>
      </c>
      <c r="AF392" s="277"/>
      <c r="AG392" s="208"/>
      <c r="AH392" s="208"/>
      <c r="AI392" s="208"/>
      <c r="AJ392" s="208"/>
      <c r="AK392" s="208"/>
    </row>
    <row r="393">
      <c r="A393" s="273">
        <f>IFERROR(__xludf.DUMMYFUNCTION("""COMPUTED_VALUE"""),46150.0)</f>
        <v>46150</v>
      </c>
      <c r="B393" s="274">
        <f>IFERROR(__xludf.DUMMYFUNCTION("""COMPUTED_VALUE"""),46150.4375)</f>
        <v>46150.4375</v>
      </c>
      <c r="C393" s="208" t="str">
        <f>IFERROR(__xludf.DUMMYFUNCTION("""COMPUTED_VALUE"""),"Sms")</f>
        <v>Sms</v>
      </c>
      <c r="D393" s="208" t="str">
        <f>IFERROR(__xludf.DUMMYFUNCTION("""COMPUTED_VALUE"""),"Fallback campaign")</f>
        <v>Fallback campaign</v>
      </c>
      <c r="E393" s="208" t="str">
        <f>IFERROR(__xludf.DUMMYFUNCTION("""COMPUTED_VALUE"""),"VS")</f>
        <v>VS</v>
      </c>
      <c r="F393" s="208" t="str">
        <f>IFERROR(__xludf.DUMMYFUNCTION("""COMPUTED_VALUE"""),"Summer Beauty Fest May - Online - Mist &amp; Lotions @999")</f>
        <v>Summer Beauty Fest May - Online - Mist &amp; Lotions @999</v>
      </c>
      <c r="G393" s="208" t="str">
        <f>IFERROR(__xludf.DUMMYFUNCTION("""COMPUTED_VALUE"""),"SGF_On_Cat_CX  (8th WA FB)")</f>
        <v>SGF_On_Cat_CX  (8th WA FB)</v>
      </c>
      <c r="H393" s="208" t="str">
        <f>IFERROR(__xludf.DUMMYFUNCTION("""COMPUTED_VALUE"""),"Repeat_On_SGF")</f>
        <v>Repeat_On_SGF</v>
      </c>
      <c r="I393" s="233" t="str">
        <f>IFERROR(__xludf.DUMMYFUNCTION("""COMPUTED_VALUE"""),"WA Undelivered")</f>
        <v>WA Undelivered</v>
      </c>
      <c r="J393" s="275">
        <f>IFERROR(__xludf.DUMMYFUNCTION("""COMPUTED_VALUE"""),6881.0)</f>
        <v>6881</v>
      </c>
      <c r="K393" s="275">
        <f>IFERROR(__xludf.DUMMYFUNCTION("""COMPUTED_VALUE"""),3786.0)</f>
        <v>3786</v>
      </c>
      <c r="L393" s="276">
        <f>IFERROR(__xludf.DUMMYFUNCTION("""COMPUTED_VALUE"""),0.5502107251852928)</f>
        <v>0.5502107252</v>
      </c>
      <c r="M393" s="275">
        <f>IFERROR(__xludf.DUMMYFUNCTION("""COMPUTED_VALUE"""),0.0)</f>
        <v>0</v>
      </c>
      <c r="N393" s="276">
        <f>IFERROR(__xludf.DUMMYFUNCTION("""COMPUTED_VALUE"""),0.0)</f>
        <v>0</v>
      </c>
      <c r="O393" s="208">
        <f>IFERROR(__xludf.DUMMYFUNCTION("""COMPUTED_VALUE"""),10.0)</f>
        <v>10</v>
      </c>
      <c r="P393" s="208">
        <f>IFERROR(__xludf.DUMMYFUNCTION("""COMPUTED_VALUE"""),0.0)</f>
        <v>0</v>
      </c>
      <c r="Q393" s="276">
        <f>IFERROR(__xludf.DUMMYFUNCTION("""COMPUTED_VALUE"""),0.0026)</f>
        <v>0.0026</v>
      </c>
      <c r="R393" s="276">
        <f>IFERROR(__xludf.DUMMYFUNCTION("""COMPUTED_VALUE"""),0.0)</f>
        <v>0</v>
      </c>
      <c r="S393" s="208">
        <f>IFERROR(__xludf.DUMMYFUNCTION("""COMPUTED_VALUE"""),6.0)</f>
        <v>6</v>
      </c>
      <c r="T393" s="208">
        <f>IFERROR(__xludf.DUMMYFUNCTION("""COMPUTED_VALUE"""),9.0)</f>
        <v>9</v>
      </c>
      <c r="U393" s="275">
        <f>IFERROR(__xludf.DUMMYFUNCTION("""COMPUTED_VALUE"""),39032.0)</f>
        <v>39032</v>
      </c>
      <c r="V393" s="208" t="str">
        <f>IFERROR(__xludf.DUMMYFUNCTION("""COMPUTED_VALUE"""),"online")</f>
        <v>online</v>
      </c>
      <c r="W393" s="232" t="str">
        <f>IFERROR(__xludf.DUMMYFUNCTION("""COMPUTED_VALUE"""),"sms")</f>
        <v>sms</v>
      </c>
      <c r="X393" s="232" t="str">
        <f>IFERROR(__xludf.DUMMYFUNCTION("""COMPUTED_VALUE"""),"Repeat Buyers")</f>
        <v>Repeat Buyers</v>
      </c>
      <c r="Y393" s="232" t="str">
        <f>IFERROR(__xludf.DUMMYFUNCTION("""COMPUTED_VALUE"""),"7-11 May 2026")</f>
        <v>7-11 May 2026</v>
      </c>
      <c r="Z393" s="232" t="str">
        <f>IFERROR(__xludf.DUMMYFUNCTION("""COMPUTED_VALUE"""),"69fc3558348e3d1bb3a97b2e")</f>
        <v>69fc3558348e3d1bb3a97b2e</v>
      </c>
      <c r="AA393" s="277">
        <f>IFERROR(__xludf.DUMMYFUNCTION("""COMPUTED_VALUE"""),21.0)</f>
        <v>21</v>
      </c>
      <c r="AB393" s="277">
        <f>IFERROR(__xludf.DUMMYFUNCTION("""COMPUTED_VALUE"""),21.0)</f>
        <v>21</v>
      </c>
      <c r="AC393" s="277"/>
      <c r="AD393" s="277">
        <f>IFERROR(__xludf.DUMMYFUNCTION("""COMPUTED_VALUE"""),227510.0)</f>
        <v>227510</v>
      </c>
      <c r="AE393" s="277">
        <f>IFERROR(__xludf.DUMMYFUNCTION("""COMPUTED_VALUE"""),227510.0)</f>
        <v>227510</v>
      </c>
      <c r="AF393" s="277"/>
      <c r="AG393" s="208"/>
      <c r="AH393" s="208"/>
      <c r="AI393" s="208"/>
      <c r="AJ393" s="208"/>
      <c r="AK393" s="208"/>
    </row>
    <row r="394">
      <c r="A394" s="273">
        <f>IFERROR(__xludf.DUMMYFUNCTION("""COMPUTED_VALUE"""),46150.0)</f>
        <v>46150</v>
      </c>
      <c r="B394" s="274">
        <f>IFERROR(__xludf.DUMMYFUNCTION("""COMPUTED_VALUE"""),46150.4375)</f>
        <v>46150.4375</v>
      </c>
      <c r="C394" s="208" t="str">
        <f>IFERROR(__xludf.DUMMYFUNCTION("""COMPUTED_VALUE"""),"Sms")</f>
        <v>Sms</v>
      </c>
      <c r="D394" s="208" t="str">
        <f>IFERROR(__xludf.DUMMYFUNCTION("""COMPUTED_VALUE"""),"Fallback campaign")</f>
        <v>Fallback campaign</v>
      </c>
      <c r="E394" s="208" t="str">
        <f>IFERROR(__xludf.DUMMYFUNCTION("""COMPUTED_VALUE"""),"VS")</f>
        <v>VS</v>
      </c>
      <c r="F394" s="208" t="str">
        <f>IFERROR(__xludf.DUMMYFUNCTION("""COMPUTED_VALUE"""),"Summer Beauty Fest May - Online - Mist &amp; Lotions @999")</f>
        <v>Summer Beauty Fest May - Online - Mist &amp; Lotions @999</v>
      </c>
      <c r="G394" s="208" t="str">
        <f>IFERROR(__xludf.DUMMYFUNCTION("""COMPUTED_VALUE"""),"SGF_On_Dorm_CX  (8th WA FB)")</f>
        <v>SGF_On_Dorm_CX  (8th WA FB)</v>
      </c>
      <c r="H394" s="208" t="str">
        <f>IFERROR(__xludf.DUMMYFUNCTION("""COMPUTED_VALUE"""),"VS_Generic_On_SGF")</f>
        <v>VS_Generic_On_SGF</v>
      </c>
      <c r="I394" s="233" t="str">
        <f>IFERROR(__xludf.DUMMYFUNCTION("""COMPUTED_VALUE"""),"WA Undelivered")</f>
        <v>WA Undelivered</v>
      </c>
      <c r="J394" s="275">
        <f>IFERROR(__xludf.DUMMYFUNCTION("""COMPUTED_VALUE"""),20189.0)</f>
        <v>20189</v>
      </c>
      <c r="K394" s="275">
        <f>IFERROR(__xludf.DUMMYFUNCTION("""COMPUTED_VALUE"""),12060.0)</f>
        <v>12060</v>
      </c>
      <c r="L394" s="276">
        <f>IFERROR(__xludf.DUMMYFUNCTION("""COMPUTED_VALUE"""),0.5973549952944673)</f>
        <v>0.5973549953</v>
      </c>
      <c r="M394" s="275">
        <f>IFERROR(__xludf.DUMMYFUNCTION("""COMPUTED_VALUE"""),0.0)</f>
        <v>0</v>
      </c>
      <c r="N394" s="276">
        <f>IFERROR(__xludf.DUMMYFUNCTION("""COMPUTED_VALUE"""),0.0)</f>
        <v>0</v>
      </c>
      <c r="O394" s="208">
        <f>IFERROR(__xludf.DUMMYFUNCTION("""COMPUTED_VALUE"""),20.0)</f>
        <v>20</v>
      </c>
      <c r="P394" s="208">
        <f>IFERROR(__xludf.DUMMYFUNCTION("""COMPUTED_VALUE"""),0.0)</f>
        <v>0</v>
      </c>
      <c r="Q394" s="276">
        <f>IFERROR(__xludf.DUMMYFUNCTION("""COMPUTED_VALUE"""),0.0017000000000000001)</f>
        <v>0.0017</v>
      </c>
      <c r="R394" s="276">
        <f>IFERROR(__xludf.DUMMYFUNCTION("""COMPUTED_VALUE"""),0.0)</f>
        <v>0</v>
      </c>
      <c r="S394" s="208">
        <f>IFERROR(__xludf.DUMMYFUNCTION("""COMPUTED_VALUE"""),9.0)</f>
        <v>9</v>
      </c>
      <c r="T394" s="208">
        <f>IFERROR(__xludf.DUMMYFUNCTION("""COMPUTED_VALUE"""),12.0)</f>
        <v>12</v>
      </c>
      <c r="U394" s="275">
        <f>IFERROR(__xludf.DUMMYFUNCTION("""COMPUTED_VALUE"""),38996.0)</f>
        <v>38996</v>
      </c>
      <c r="V394" s="208" t="str">
        <f>IFERROR(__xludf.DUMMYFUNCTION("""COMPUTED_VALUE"""),"online")</f>
        <v>online</v>
      </c>
      <c r="W394" s="232" t="str">
        <f>IFERROR(__xludf.DUMMYFUNCTION("""COMPUTED_VALUE"""),"sms")</f>
        <v>sms</v>
      </c>
      <c r="X394" s="232" t="str">
        <f>IFERROR(__xludf.DUMMYFUNCTION("""COMPUTED_VALUE"""),"Generic")</f>
        <v>Generic</v>
      </c>
      <c r="Y394" s="232" t="str">
        <f>IFERROR(__xludf.DUMMYFUNCTION("""COMPUTED_VALUE"""),"7-11 May 2026")</f>
        <v>7-11 May 2026</v>
      </c>
      <c r="Z394" s="232" t="str">
        <f>IFERROR(__xludf.DUMMYFUNCTION("""COMPUTED_VALUE"""),"69fc35b135b89fa72789a3d6")</f>
        <v>69fc35b135b89fa72789a3d6</v>
      </c>
      <c r="AA394" s="277">
        <f>IFERROR(__xludf.DUMMYFUNCTION("""COMPUTED_VALUE"""),20.0)</f>
        <v>20</v>
      </c>
      <c r="AB394" s="277">
        <f>IFERROR(__xludf.DUMMYFUNCTION("""COMPUTED_VALUE"""),20.0)</f>
        <v>20</v>
      </c>
      <c r="AC394" s="277"/>
      <c r="AD394" s="277">
        <f>IFERROR(__xludf.DUMMYFUNCTION("""COMPUTED_VALUE"""),133615.0)</f>
        <v>133615</v>
      </c>
      <c r="AE394" s="277">
        <f>IFERROR(__xludf.DUMMYFUNCTION("""COMPUTED_VALUE"""),133615.0)</f>
        <v>133615</v>
      </c>
      <c r="AF394" s="277"/>
      <c r="AG394" s="208"/>
      <c r="AH394" s="208"/>
      <c r="AI394" s="208"/>
      <c r="AJ394" s="208"/>
      <c r="AK394" s="208"/>
    </row>
    <row r="395">
      <c r="A395" s="273">
        <f>IFERROR(__xludf.DUMMYFUNCTION("""COMPUTED_VALUE"""),46152.0)</f>
        <v>46152</v>
      </c>
      <c r="B395" s="274">
        <f>IFERROR(__xludf.DUMMYFUNCTION("""COMPUTED_VALUE"""),46152.5)</f>
        <v>46152.5</v>
      </c>
      <c r="C395" s="208" t="str">
        <f>IFERROR(__xludf.DUMMYFUNCTION("""COMPUTED_VALUE"""),"Whatsapp")</f>
        <v>Whatsapp</v>
      </c>
      <c r="D395" s="208" t="str">
        <f>IFERROR(__xludf.DUMMYFUNCTION("""COMPUTED_VALUE"""),"Promtional")</f>
        <v>Promtional</v>
      </c>
      <c r="E395" s="208" t="str">
        <f>IFERROR(__xludf.DUMMYFUNCTION("""COMPUTED_VALUE"""),"VS")</f>
        <v>VS</v>
      </c>
      <c r="F395" s="208" t="str">
        <f>IFERROR(__xludf.DUMMYFUNCTION("""COMPUTED_VALUE"""),"Summer Beauty Fest May - Online - Mist &amp; Lotions @999")</f>
        <v>Summer Beauty Fest May - Online - Mist &amp; Lotions @999</v>
      </c>
      <c r="G395" s="208" t="str">
        <f>IFERROR(__xludf.DUMMYFUNCTION("""COMPUTED_VALUE"""),"SGF_On_ATC_CX (2nd Nudge)")</f>
        <v>SGF_On_ATC_CX (2nd Nudge)</v>
      </c>
      <c r="H395" s="208" t="str">
        <f>IFERROR(__xludf.DUMMYFUNCTION("""COMPUTED_VALUE"""),"VS_ON_ATC_93D_No_Pr")</f>
        <v>VS_ON_ATC_93D_No_Pr</v>
      </c>
      <c r="I395" s="233" t="str">
        <f>IFERROR(__xludf.DUMMYFUNCTION("""COMPUTED_VALUE"""),"Customers who have added to cart at least 1 time in the last 93 days but not purchased")</f>
        <v>Customers who have added to cart at least 1 time in the last 93 days but not purchased</v>
      </c>
      <c r="J395" s="275">
        <f>IFERROR(__xludf.DUMMYFUNCTION("""COMPUTED_VALUE"""),8270.0)</f>
        <v>8270</v>
      </c>
      <c r="K395" s="275">
        <f>IFERROR(__xludf.DUMMYFUNCTION("""COMPUTED_VALUE"""),4270.0)</f>
        <v>4270</v>
      </c>
      <c r="L395" s="276">
        <f>IFERROR(__xludf.DUMMYFUNCTION("""COMPUTED_VALUE"""),0.5165)</f>
        <v>0.5165</v>
      </c>
      <c r="M395" s="275">
        <f>IFERROR(__xludf.DUMMYFUNCTION("""COMPUTED_VALUE"""),973.0)</f>
        <v>973</v>
      </c>
      <c r="N395" s="276">
        <f>IFERROR(__xludf.DUMMYFUNCTION("""COMPUTED_VALUE"""),0.2279)</f>
        <v>0.2279</v>
      </c>
      <c r="O395" s="208">
        <f>IFERROR(__xludf.DUMMYFUNCTION("""COMPUTED_VALUE"""),134.0)</f>
        <v>134</v>
      </c>
      <c r="P395" s="208">
        <f>IFERROR(__xludf.DUMMYFUNCTION("""COMPUTED_VALUE"""),124.0)</f>
        <v>124</v>
      </c>
      <c r="Q395" s="276">
        <f>IFERROR(__xludf.DUMMYFUNCTION("""COMPUTED_VALUE"""),0.028999999999999998)</f>
        <v>0.029</v>
      </c>
      <c r="R395" s="276">
        <f>IFERROR(__xludf.DUMMYFUNCTION("""COMPUTED_VALUE"""),0.1274)</f>
        <v>0.1274</v>
      </c>
      <c r="S395" s="208">
        <f>IFERROR(__xludf.DUMMYFUNCTION("""COMPUTED_VALUE"""),31.0)</f>
        <v>31</v>
      </c>
      <c r="T395" s="208">
        <f>IFERROR(__xludf.DUMMYFUNCTION("""COMPUTED_VALUE"""),75.0)</f>
        <v>75</v>
      </c>
      <c r="U395" s="275">
        <f>IFERROR(__xludf.DUMMYFUNCTION("""COMPUTED_VALUE"""),80218.0)</f>
        <v>80218</v>
      </c>
      <c r="V395" s="208" t="str">
        <f>IFERROR(__xludf.DUMMYFUNCTION("""COMPUTED_VALUE"""),"online")</f>
        <v>online</v>
      </c>
      <c r="W395" s="232" t="str">
        <f>IFERROR(__xludf.DUMMYFUNCTION("""COMPUTED_VALUE"""),"simple")</f>
        <v>simple</v>
      </c>
      <c r="X395" s="232" t="str">
        <f>IFERROR(__xludf.DUMMYFUNCTION("""COMPUTED_VALUE"""),"Add to Cart but no purchase")</f>
        <v>Add to Cart but no purchase</v>
      </c>
      <c r="Y395" s="232" t="str">
        <f>IFERROR(__xludf.DUMMYFUNCTION("""COMPUTED_VALUE"""),"7-11 May 2026")</f>
        <v>7-11 May 2026</v>
      </c>
      <c r="Z395" s="232" t="str">
        <f>IFERROR(__xludf.DUMMYFUNCTION("""COMPUTED_VALUE"""),"69fc39ee0a066965883acf8a")</f>
        <v>69fc39ee0a066965883acf8a</v>
      </c>
      <c r="AA395" s="277">
        <f>IFERROR(__xludf.DUMMYFUNCTION("""COMPUTED_VALUE"""),49.0)</f>
        <v>49</v>
      </c>
      <c r="AB395" s="277">
        <f>IFERROR(__xludf.DUMMYFUNCTION("""COMPUTED_VALUE"""),49.0)</f>
        <v>49</v>
      </c>
      <c r="AC395" s="277"/>
      <c r="AD395" s="277">
        <f>IFERROR(__xludf.DUMMYFUNCTION("""COMPUTED_VALUE"""),258814.0)</f>
        <v>258814</v>
      </c>
      <c r="AE395" s="277">
        <f>IFERROR(__xludf.DUMMYFUNCTION("""COMPUTED_VALUE"""),258814.0)</f>
        <v>258814</v>
      </c>
      <c r="AF395" s="277"/>
      <c r="AG395" s="208"/>
      <c r="AH395" s="208"/>
      <c r="AI395" s="208"/>
      <c r="AJ395" s="208"/>
      <c r="AK395" s="208"/>
    </row>
    <row r="396">
      <c r="A396" s="273">
        <f>IFERROR(__xludf.DUMMYFUNCTION("""COMPUTED_VALUE"""),46152.0)</f>
        <v>46152</v>
      </c>
      <c r="B396" s="274">
        <f>IFERROR(__xludf.DUMMYFUNCTION("""COMPUTED_VALUE"""),46152.50347222222)</f>
        <v>46152.50347</v>
      </c>
      <c r="C396" s="208" t="str">
        <f>IFERROR(__xludf.DUMMYFUNCTION("""COMPUTED_VALUE"""),"Whatsapp")</f>
        <v>Whatsapp</v>
      </c>
      <c r="D396" s="208" t="str">
        <f>IFERROR(__xludf.DUMMYFUNCTION("""COMPUTED_VALUE"""),"Promtional")</f>
        <v>Promtional</v>
      </c>
      <c r="E396" s="208" t="str">
        <f>IFERROR(__xludf.DUMMYFUNCTION("""COMPUTED_VALUE"""),"VS")</f>
        <v>VS</v>
      </c>
      <c r="F396" s="208" t="str">
        <f>IFERROR(__xludf.DUMMYFUNCTION("""COMPUTED_VALUE"""),"Summer Beauty Fest May - Online - Mist &amp; Lotions @999")</f>
        <v>Summer Beauty Fest May - Online - Mist &amp; Lotions @999</v>
      </c>
      <c r="G396" s="208" t="str">
        <f>IFERROR(__xludf.DUMMYFUNCTION("""COMPUTED_VALUE"""),"SGF_On_Event_CX (2nd Nudge)")</f>
        <v>SGF_On_Event_CX (2nd Nudge)</v>
      </c>
      <c r="H396" s="208" t="str">
        <f>IFERROR(__xludf.DUMMYFUNCTION("""COMPUTED_VALUE"""),"VS_ON_SGF_Event_Predom1000_Buyers")</f>
        <v>VS_ON_SGF_Event_Predom1000_Buyers</v>
      </c>
      <c r="I396" s="233" t="str">
        <f>IFERROR(__xludf.DUMMYFUNCTION("""COMPUTED_VALUE"""),"Online Customers who purchased from last TILI Event Dates 5th May 2023 to 7th May 2023, 6th Oct to 8th Oct 2023, 10th May 2024 to 12th May 2024, 25th Oct 2024 to 27th Oct 2024, 9th May 2025 to 11th May 2025, 2nd Oct 2025 to 5th Oct 2025 with Category_L1_D"&amp;"esc contains PERSONAL CARE OR  Online Customers who have purchased predominantly with cart value below ₹1,000 in the last 1095 days AND Exclude Custom Segment :-  VS_ON_ATC_93D_No_Pr")</f>
        <v>Online Customers who purchased from last TILI Event Dates 5th May 2023 to 7th May 2023, 6th Oct to 8th Oct 2023, 10th May 2024 to 12th May 2024, 25th Oct 2024 to 27th Oct 2024, 9th May 2025 to 11th May 2025, 2nd Oct 2025 to 5th Oct 2025 with Category_L1_Desc contains PERSONAL CARE OR  Online Customers who have purchased predominantly with cart value below ₹1,000 in the last 1095 days AND Exclude Custom Segment :-  VS_ON_ATC_93D_No_Pr</v>
      </c>
      <c r="J396" s="275">
        <f>IFERROR(__xludf.DUMMYFUNCTION("""COMPUTED_VALUE"""),66630.0)</f>
        <v>66630</v>
      </c>
      <c r="K396" s="275">
        <f>IFERROR(__xludf.DUMMYFUNCTION("""COMPUTED_VALUE"""),33394.0)</f>
        <v>33394</v>
      </c>
      <c r="L396" s="276">
        <f>IFERROR(__xludf.DUMMYFUNCTION("""COMPUTED_VALUE"""),0.5012)</f>
        <v>0.5012</v>
      </c>
      <c r="M396" s="275">
        <f>IFERROR(__xludf.DUMMYFUNCTION("""COMPUTED_VALUE"""),6716.0)</f>
        <v>6716</v>
      </c>
      <c r="N396" s="276">
        <f>IFERROR(__xludf.DUMMYFUNCTION("""COMPUTED_VALUE"""),0.2011)</f>
        <v>0.2011</v>
      </c>
      <c r="O396" s="208">
        <f>IFERROR(__xludf.DUMMYFUNCTION("""COMPUTED_VALUE"""),594.0)</f>
        <v>594</v>
      </c>
      <c r="P396" s="208">
        <f>IFERROR(__xludf.DUMMYFUNCTION("""COMPUTED_VALUE"""),543.0)</f>
        <v>543</v>
      </c>
      <c r="Q396" s="276">
        <f>IFERROR(__xludf.DUMMYFUNCTION("""COMPUTED_VALUE"""),0.0163)</f>
        <v>0.0163</v>
      </c>
      <c r="R396" s="276">
        <f>IFERROR(__xludf.DUMMYFUNCTION("""COMPUTED_VALUE"""),0.0809)</f>
        <v>0.0809</v>
      </c>
      <c r="S396" s="208">
        <f>IFERROR(__xludf.DUMMYFUNCTION("""COMPUTED_VALUE"""),11.0)</f>
        <v>11</v>
      </c>
      <c r="T396" s="208">
        <f>IFERROR(__xludf.DUMMYFUNCTION("""COMPUTED_VALUE"""),20.0)</f>
        <v>20</v>
      </c>
      <c r="U396" s="275">
        <f>IFERROR(__xludf.DUMMYFUNCTION("""COMPUTED_VALUE"""),20625.0)</f>
        <v>20625</v>
      </c>
      <c r="V396" s="208" t="str">
        <f>IFERROR(__xludf.DUMMYFUNCTION("""COMPUTED_VALUE"""),"online")</f>
        <v>online</v>
      </c>
      <c r="W396" s="232" t="str">
        <f>IFERROR(__xludf.DUMMYFUNCTION("""COMPUTED_VALUE"""),"simple")</f>
        <v>simple</v>
      </c>
      <c r="X396" s="232" t="str">
        <f>IFERROR(__xludf.DUMMYFUNCTION("""COMPUTED_VALUE"""),"Event and Predom below 1000 buyers")</f>
        <v>Event and Predom below 1000 buyers</v>
      </c>
      <c r="Y396" s="232" t="str">
        <f>IFERROR(__xludf.DUMMYFUNCTION("""COMPUTED_VALUE"""),"7-11 May 2026")</f>
        <v>7-11 May 2026</v>
      </c>
      <c r="Z396" s="232" t="str">
        <f>IFERROR(__xludf.DUMMYFUNCTION("""COMPUTED_VALUE"""),"69fc3a17230c3d0f2667bb78")</f>
        <v>69fc3a17230c3d0f2667bb78</v>
      </c>
      <c r="AA396" s="277">
        <f>IFERROR(__xludf.DUMMYFUNCTION("""COMPUTED_VALUE"""),243.0)</f>
        <v>243</v>
      </c>
      <c r="AB396" s="277">
        <f>IFERROR(__xludf.DUMMYFUNCTION("""COMPUTED_VALUE"""),243.0)</f>
        <v>243</v>
      </c>
      <c r="AC396" s="277"/>
      <c r="AD396" s="277">
        <f>IFERROR(__xludf.DUMMYFUNCTION("""COMPUTED_VALUE"""),292866.0)</f>
        <v>292866</v>
      </c>
      <c r="AE396" s="277">
        <f>IFERROR(__xludf.DUMMYFUNCTION("""COMPUTED_VALUE"""),292866.0)</f>
        <v>292866</v>
      </c>
      <c r="AF396" s="277"/>
      <c r="AG396" s="208"/>
      <c r="AH396" s="208"/>
      <c r="AI396" s="208"/>
      <c r="AJ396" s="208"/>
      <c r="AK396" s="208"/>
    </row>
    <row r="397">
      <c r="A397" s="273">
        <f>IFERROR(__xludf.DUMMYFUNCTION("""COMPUTED_VALUE"""),46152.0)</f>
        <v>46152</v>
      </c>
      <c r="B397" s="274">
        <f>IFERROR(__xludf.DUMMYFUNCTION("""COMPUTED_VALUE"""),46152.506944444445)</f>
        <v>46152.50694</v>
      </c>
      <c r="C397" s="208" t="str">
        <f>IFERROR(__xludf.DUMMYFUNCTION("""COMPUTED_VALUE"""),"Whatsapp")</f>
        <v>Whatsapp</v>
      </c>
      <c r="D397" s="208" t="str">
        <f>IFERROR(__xludf.DUMMYFUNCTION("""COMPUTED_VALUE"""),"Promtional")</f>
        <v>Promtional</v>
      </c>
      <c r="E397" s="208" t="str">
        <f>IFERROR(__xludf.DUMMYFUNCTION("""COMPUTED_VALUE"""),"VS")</f>
        <v>VS</v>
      </c>
      <c r="F397" s="208" t="str">
        <f>IFERROR(__xludf.DUMMYFUNCTION("""COMPUTED_VALUE"""),"Summer Beauty Fest May - Online - Mist &amp; Lotions @999")</f>
        <v>Summer Beauty Fest May - Online - Mist &amp; Lotions @999</v>
      </c>
      <c r="G397" s="208" t="str">
        <f>IFERROR(__xludf.DUMMYFUNCTION("""COMPUTED_VALUE"""),"SGF_On_Repeat_CX (2nd Nudge)")</f>
        <v>SGF_On_Repeat_CX (2nd Nudge)</v>
      </c>
      <c r="H397" s="208" t="str">
        <f>IFERROR(__xludf.DUMMYFUNCTION("""COMPUTED_VALUE"""),"Repeat_On_SGF")</f>
        <v>Repeat_On_SGF</v>
      </c>
      <c r="I397" s="233" t="str">
        <f>IFERROR(__xludf.DUMMYFUNCTION("""COMPUTED_VALUE"""),"Online Customers who have purchased at least 2 times in 1095 days AND Exclude Custom Segment :- VS_ON_ATC_93D_No_Pr OR  VS_ON_Tili_Event_Predom1000_Buyers_23_04_26")</f>
        <v>Online Customers who have purchased at least 2 times in 1095 days AND Exclude Custom Segment :- VS_ON_ATC_93D_No_Pr OR  VS_ON_Tili_Event_Predom1000_Buyers_23_04_26</v>
      </c>
      <c r="J397" s="275">
        <f>IFERROR(__xludf.DUMMYFUNCTION("""COMPUTED_VALUE"""),32476.0)</f>
        <v>32476</v>
      </c>
      <c r="K397" s="275">
        <f>IFERROR(__xludf.DUMMYFUNCTION("""COMPUTED_VALUE"""),12952.0)</f>
        <v>12952</v>
      </c>
      <c r="L397" s="276">
        <f>IFERROR(__xludf.DUMMYFUNCTION("""COMPUTED_VALUE"""),0.3987)</f>
        <v>0.3987</v>
      </c>
      <c r="M397" s="275">
        <f>IFERROR(__xludf.DUMMYFUNCTION("""COMPUTED_VALUE"""),1857.0)</f>
        <v>1857</v>
      </c>
      <c r="N397" s="276">
        <f>IFERROR(__xludf.DUMMYFUNCTION("""COMPUTED_VALUE"""),0.1434)</f>
        <v>0.1434</v>
      </c>
      <c r="O397" s="208">
        <f>IFERROR(__xludf.DUMMYFUNCTION("""COMPUTED_VALUE"""),94.0)</f>
        <v>94</v>
      </c>
      <c r="P397" s="208">
        <f>IFERROR(__xludf.DUMMYFUNCTION("""COMPUTED_VALUE"""),90.0)</f>
        <v>90</v>
      </c>
      <c r="Q397" s="276">
        <f>IFERROR(__xludf.DUMMYFUNCTION("""COMPUTED_VALUE"""),0.006999999999999999)</f>
        <v>0.007</v>
      </c>
      <c r="R397" s="276">
        <f>IFERROR(__xludf.DUMMYFUNCTION("""COMPUTED_VALUE"""),0.048499999999999995)</f>
        <v>0.0485</v>
      </c>
      <c r="S397" s="208">
        <f>IFERROR(__xludf.DUMMYFUNCTION("""COMPUTED_VALUE"""),9.0)</f>
        <v>9</v>
      </c>
      <c r="T397" s="208">
        <f>IFERROR(__xludf.DUMMYFUNCTION("""COMPUTED_VALUE"""),10.0)</f>
        <v>10</v>
      </c>
      <c r="U397" s="275">
        <f>IFERROR(__xludf.DUMMYFUNCTION("""COMPUTED_VALUE"""),83658.0)</f>
        <v>83658</v>
      </c>
      <c r="V397" s="208" t="str">
        <f>IFERROR(__xludf.DUMMYFUNCTION("""COMPUTED_VALUE"""),"online")</f>
        <v>online</v>
      </c>
      <c r="W397" s="232" t="str">
        <f>IFERROR(__xludf.DUMMYFUNCTION("""COMPUTED_VALUE"""),"simple")</f>
        <v>simple</v>
      </c>
      <c r="X397" s="232" t="str">
        <f>IFERROR(__xludf.DUMMYFUNCTION("""COMPUTED_VALUE"""),"Repeat Buyers")</f>
        <v>Repeat Buyers</v>
      </c>
      <c r="Y397" s="232" t="str">
        <f>IFERROR(__xludf.DUMMYFUNCTION("""COMPUTED_VALUE"""),"7-11 May 2026")</f>
        <v>7-11 May 2026</v>
      </c>
      <c r="Z397" s="232" t="str">
        <f>IFERROR(__xludf.DUMMYFUNCTION("""COMPUTED_VALUE"""),"69fc3bb9b067dd4624acb8d2")</f>
        <v>69fc3bb9b067dd4624acb8d2</v>
      </c>
      <c r="AA397" s="277">
        <f>IFERROR(__xludf.DUMMYFUNCTION("""COMPUTED_VALUE"""),171.0)</f>
        <v>171</v>
      </c>
      <c r="AB397" s="277">
        <f>IFERROR(__xludf.DUMMYFUNCTION("""COMPUTED_VALUE"""),171.0)</f>
        <v>171</v>
      </c>
      <c r="AC397" s="277"/>
      <c r="AD397" s="277">
        <f>IFERROR(__xludf.DUMMYFUNCTION("""COMPUTED_VALUE"""),919382.0)</f>
        <v>919382</v>
      </c>
      <c r="AE397" s="277">
        <f>IFERROR(__xludf.DUMMYFUNCTION("""COMPUTED_VALUE"""),919382.0)</f>
        <v>919382</v>
      </c>
      <c r="AF397" s="277"/>
      <c r="AG397" s="208"/>
      <c r="AH397" s="208"/>
      <c r="AI397" s="208"/>
      <c r="AJ397" s="208"/>
      <c r="AK397" s="208"/>
    </row>
    <row r="398">
      <c r="A398" s="273">
        <f>IFERROR(__xludf.DUMMYFUNCTION("""COMPUTED_VALUE"""),46152.0)</f>
        <v>46152</v>
      </c>
      <c r="B398" s="274">
        <f>IFERROR(__xludf.DUMMYFUNCTION("""COMPUTED_VALUE"""),46152.51041666667)</f>
        <v>46152.51042</v>
      </c>
      <c r="C398" s="208" t="str">
        <f>IFERROR(__xludf.DUMMYFUNCTION("""COMPUTED_VALUE"""),"Whatsapp")</f>
        <v>Whatsapp</v>
      </c>
      <c r="D398" s="208" t="str">
        <f>IFERROR(__xludf.DUMMYFUNCTION("""COMPUTED_VALUE"""),"Promtional")</f>
        <v>Promtional</v>
      </c>
      <c r="E398" s="208" t="str">
        <f>IFERROR(__xludf.DUMMYFUNCTION("""COMPUTED_VALUE"""),"VS")</f>
        <v>VS</v>
      </c>
      <c r="F398" s="208" t="str">
        <f>IFERROR(__xludf.DUMMYFUNCTION("""COMPUTED_VALUE"""),"Summer Beauty Fest May - Online - Mist &amp; Lotions @999")</f>
        <v>Summer Beauty Fest May - Online - Mist &amp; Lotions @999</v>
      </c>
      <c r="G398" s="208" t="str">
        <f>IFERROR(__xludf.DUMMYFUNCTION("""COMPUTED_VALUE"""),"SGF_On_Dorm_CX (2nd Nudge)")</f>
        <v>SGF_On_Dorm_CX (2nd Nudge)</v>
      </c>
      <c r="H398" s="208" t="str">
        <f>IFERROR(__xludf.DUMMYFUNCTION("""COMPUTED_VALUE"""),"VS_Generic_On_SGF")</f>
        <v>VS_Generic_On_SGF</v>
      </c>
      <c r="I398" s="233" t="str">
        <f>IFERROR(__xludf.DUMMYFUNCTION("""COMPUTED_VALUE"""),"Online Customers who have purchased atleast 1 time in last 1095 days AND Exclude Custom Segment :- VS_ON_ATC_93D_No_Pr OR  VS_ON_Tili_Event_Predom1000_Buyers_23_04_26 OR  OR Repeat_On_TILI")</f>
        <v>Online Customers who have purchased atleast 1 time in last 1095 days AND Exclude Custom Segment :- VS_ON_ATC_93D_No_Pr OR  VS_ON_Tili_Event_Predom1000_Buyers_23_04_26 OR  OR Repeat_On_TILI</v>
      </c>
      <c r="J398" s="275">
        <f>IFERROR(__xludf.DUMMYFUNCTION("""COMPUTED_VALUE"""),109277.0)</f>
        <v>109277</v>
      </c>
      <c r="K398" s="275">
        <f>IFERROR(__xludf.DUMMYFUNCTION("""COMPUTED_VALUE"""),52634.0)</f>
        <v>52634</v>
      </c>
      <c r="L398" s="276">
        <f>IFERROR(__xludf.DUMMYFUNCTION("""COMPUTED_VALUE"""),0.4815)</f>
        <v>0.4815</v>
      </c>
      <c r="M398" s="275">
        <f>IFERROR(__xludf.DUMMYFUNCTION("""COMPUTED_VALUE"""),9678.0)</f>
        <v>9678</v>
      </c>
      <c r="N398" s="276">
        <f>IFERROR(__xludf.DUMMYFUNCTION("""COMPUTED_VALUE"""),0.1839)</f>
        <v>0.1839</v>
      </c>
      <c r="O398" s="208">
        <f>IFERROR(__xludf.DUMMYFUNCTION("""COMPUTED_VALUE"""),634.0)</f>
        <v>634</v>
      </c>
      <c r="P398" s="208">
        <f>IFERROR(__xludf.DUMMYFUNCTION("""COMPUTED_VALUE"""),595.0)</f>
        <v>595</v>
      </c>
      <c r="Q398" s="276">
        <f>IFERROR(__xludf.DUMMYFUNCTION("""COMPUTED_VALUE"""),0.0113)</f>
        <v>0.0113</v>
      </c>
      <c r="R398" s="276">
        <f>IFERROR(__xludf.DUMMYFUNCTION("""COMPUTED_VALUE"""),0.061500000000000006)</f>
        <v>0.0615</v>
      </c>
      <c r="S398" s="208">
        <f>IFERROR(__xludf.DUMMYFUNCTION("""COMPUTED_VALUE"""),19.0)</f>
        <v>19</v>
      </c>
      <c r="T398" s="208">
        <f>IFERROR(__xludf.DUMMYFUNCTION("""COMPUTED_VALUE"""),25.0)</f>
        <v>25</v>
      </c>
      <c r="U398" s="275">
        <f>IFERROR(__xludf.DUMMYFUNCTION("""COMPUTED_VALUE"""),39547.0)</f>
        <v>39547</v>
      </c>
      <c r="V398" s="208" t="str">
        <f>IFERROR(__xludf.DUMMYFUNCTION("""COMPUTED_VALUE"""),"online")</f>
        <v>online</v>
      </c>
      <c r="W398" s="232" t="str">
        <f>IFERROR(__xludf.DUMMYFUNCTION("""COMPUTED_VALUE"""),"simple")</f>
        <v>simple</v>
      </c>
      <c r="X398" s="232" t="str">
        <f>IFERROR(__xludf.DUMMYFUNCTION("""COMPUTED_VALUE"""),"Generic")</f>
        <v>Generic</v>
      </c>
      <c r="Y398" s="232" t="str">
        <f>IFERROR(__xludf.DUMMYFUNCTION("""COMPUTED_VALUE"""),"7-11 May 2026")</f>
        <v>7-11 May 2026</v>
      </c>
      <c r="Z398" s="232" t="str">
        <f>IFERROR(__xludf.DUMMYFUNCTION("""COMPUTED_VALUE"""),"69fc3c03230c3d0f2667bcb7")</f>
        <v>69fc3c03230c3d0f2667bcb7</v>
      </c>
      <c r="AA398" s="277">
        <f>IFERROR(__xludf.DUMMYFUNCTION("""COMPUTED_VALUE"""),1047.0)</f>
        <v>1047</v>
      </c>
      <c r="AB398" s="277">
        <f>IFERROR(__xludf.DUMMYFUNCTION("""COMPUTED_VALUE"""),1047.0)</f>
        <v>1047</v>
      </c>
      <c r="AC398" s="277"/>
      <c r="AD398" s="277">
        <f>IFERROR(__xludf.DUMMYFUNCTION("""COMPUTED_VALUE"""),4390672.0)</f>
        <v>4390672</v>
      </c>
      <c r="AE398" s="277">
        <f>IFERROR(__xludf.DUMMYFUNCTION("""COMPUTED_VALUE"""),4390672.0)</f>
        <v>4390672</v>
      </c>
      <c r="AF398" s="277"/>
      <c r="AG398" s="208"/>
      <c r="AH398" s="208"/>
      <c r="AI398" s="208"/>
      <c r="AJ398" s="208"/>
      <c r="AK398" s="208"/>
    </row>
    <row r="399">
      <c r="A399" s="273">
        <f>IFERROR(__xludf.DUMMYFUNCTION("""COMPUTED_VALUE"""),46152.0)</f>
        <v>46152</v>
      </c>
      <c r="B399" s="274">
        <f>IFERROR(__xludf.DUMMYFUNCTION("""COMPUTED_VALUE"""),46152.5625)</f>
        <v>46152.5625</v>
      </c>
      <c r="C399" s="208" t="str">
        <f>IFERROR(__xludf.DUMMYFUNCTION("""COMPUTED_VALUE"""),"Sms")</f>
        <v>Sms</v>
      </c>
      <c r="D399" s="208" t="str">
        <f>IFERROR(__xludf.DUMMYFUNCTION("""COMPUTED_VALUE"""),"Fallback campaign")</f>
        <v>Fallback campaign</v>
      </c>
      <c r="E399" s="208" t="str">
        <f>IFERROR(__xludf.DUMMYFUNCTION("""COMPUTED_VALUE"""),"VS")</f>
        <v>VS</v>
      </c>
      <c r="F399" s="208" t="str">
        <f>IFERROR(__xludf.DUMMYFUNCTION("""COMPUTED_VALUE"""),"Summer Beauty Fest May - Online - Mist &amp; Lotions @999")</f>
        <v>Summer Beauty Fest May - Online - Mist &amp; Lotions @999</v>
      </c>
      <c r="G399" s="208" t="str">
        <f>IFERROR(__xludf.DUMMYFUNCTION("""COMPUTED_VALUE"""),"SGF_On_ATC_CX (FB)")</f>
        <v>SGF_On_ATC_CX (FB)</v>
      </c>
      <c r="H399" s="208" t="str">
        <f>IFERROR(__xludf.DUMMYFUNCTION("""COMPUTED_VALUE"""),"VS_ON_ATC_93D_No_Pr")</f>
        <v>VS_ON_ATC_93D_No_Pr</v>
      </c>
      <c r="I399" s="233" t="str">
        <f>IFERROR(__xludf.DUMMYFUNCTION("""COMPUTED_VALUE"""),"WA Undelivered")</f>
        <v>WA Undelivered</v>
      </c>
      <c r="J399" s="275">
        <f>IFERROR(__xludf.DUMMYFUNCTION("""COMPUTED_VALUE"""),3738.0)</f>
        <v>3738</v>
      </c>
      <c r="K399" s="275">
        <f>IFERROR(__xludf.DUMMYFUNCTION("""COMPUTED_VALUE"""),2463.0)</f>
        <v>2463</v>
      </c>
      <c r="L399" s="276">
        <f>IFERROR(__xludf.DUMMYFUNCTION("""COMPUTED_VALUE"""),0.658908507223114)</f>
        <v>0.6589085072</v>
      </c>
      <c r="M399" s="275">
        <f>IFERROR(__xludf.DUMMYFUNCTION("""COMPUTED_VALUE"""),0.0)</f>
        <v>0</v>
      </c>
      <c r="N399" s="276">
        <f>IFERROR(__xludf.DUMMYFUNCTION("""COMPUTED_VALUE"""),0.0)</f>
        <v>0</v>
      </c>
      <c r="O399" s="208">
        <f>IFERROR(__xludf.DUMMYFUNCTION("""COMPUTED_VALUE"""),7.0)</f>
        <v>7</v>
      </c>
      <c r="P399" s="208">
        <f>IFERROR(__xludf.DUMMYFUNCTION("""COMPUTED_VALUE"""),0.0)</f>
        <v>0</v>
      </c>
      <c r="Q399" s="276">
        <f>IFERROR(__xludf.DUMMYFUNCTION("""COMPUTED_VALUE"""),0.0028000000000000004)</f>
        <v>0.0028</v>
      </c>
      <c r="R399" s="276">
        <f>IFERROR(__xludf.DUMMYFUNCTION("""COMPUTED_VALUE"""),0.0)</f>
        <v>0</v>
      </c>
      <c r="S399" s="208">
        <f>IFERROR(__xludf.DUMMYFUNCTION("""COMPUTED_VALUE"""),11.0)</f>
        <v>11</v>
      </c>
      <c r="T399" s="208">
        <f>IFERROR(__xludf.DUMMYFUNCTION("""COMPUTED_VALUE"""),27.0)</f>
        <v>27</v>
      </c>
      <c r="U399" s="275">
        <f>IFERROR(__xludf.DUMMYFUNCTION("""COMPUTED_VALUE"""),35173.0)</f>
        <v>35173</v>
      </c>
      <c r="V399" s="208" t="str">
        <f>IFERROR(__xludf.DUMMYFUNCTION("""COMPUTED_VALUE"""),"online")</f>
        <v>online</v>
      </c>
      <c r="W399" s="232" t="str">
        <f>IFERROR(__xludf.DUMMYFUNCTION("""COMPUTED_VALUE"""),"sms")</f>
        <v>sms</v>
      </c>
      <c r="X399" s="232" t="str">
        <f>IFERROR(__xludf.DUMMYFUNCTION("""COMPUTED_VALUE"""),"Add to Cart but no purchase")</f>
        <v>Add to Cart but no purchase</v>
      </c>
      <c r="Y399" s="232" t="str">
        <f>IFERROR(__xludf.DUMMYFUNCTION("""COMPUTED_VALUE"""),"7-11 May 2026")</f>
        <v>7-11 May 2026</v>
      </c>
      <c r="Z399" s="232" t="str">
        <f>IFERROR(__xludf.DUMMYFUNCTION("""COMPUTED_VALUE"""),"69fc3c7a9c3495c0c4f26e8d")</f>
        <v>69fc3c7a9c3495c0c4f26e8d</v>
      </c>
      <c r="AA399" s="277">
        <f>IFERROR(__xludf.DUMMYFUNCTION("""COMPUTED_VALUE"""),38.0)</f>
        <v>38</v>
      </c>
      <c r="AB399" s="277">
        <f>IFERROR(__xludf.DUMMYFUNCTION("""COMPUTED_VALUE"""),38.0)</f>
        <v>38</v>
      </c>
      <c r="AC399" s="277"/>
      <c r="AD399" s="277">
        <f>IFERROR(__xludf.DUMMYFUNCTION("""COMPUTED_VALUE"""),151505.0)</f>
        <v>151505</v>
      </c>
      <c r="AE399" s="277">
        <f>IFERROR(__xludf.DUMMYFUNCTION("""COMPUTED_VALUE"""),151505.0)</f>
        <v>151505</v>
      </c>
      <c r="AF399" s="277"/>
      <c r="AG399" s="208"/>
      <c r="AH399" s="208"/>
      <c r="AI399" s="208"/>
      <c r="AJ399" s="208"/>
      <c r="AK399" s="208"/>
    </row>
    <row r="400">
      <c r="A400" s="273">
        <f>IFERROR(__xludf.DUMMYFUNCTION("""COMPUTED_VALUE"""),46152.0)</f>
        <v>46152</v>
      </c>
      <c r="B400" s="274">
        <f>IFERROR(__xludf.DUMMYFUNCTION("""COMPUTED_VALUE"""),46152.5625)</f>
        <v>46152.5625</v>
      </c>
      <c r="C400" s="208" t="str">
        <f>IFERROR(__xludf.DUMMYFUNCTION("""COMPUTED_VALUE"""),"Sms")</f>
        <v>Sms</v>
      </c>
      <c r="D400" s="208" t="str">
        <f>IFERROR(__xludf.DUMMYFUNCTION("""COMPUTED_VALUE"""),"Fallback campaign")</f>
        <v>Fallback campaign</v>
      </c>
      <c r="E400" s="208" t="str">
        <f>IFERROR(__xludf.DUMMYFUNCTION("""COMPUTED_VALUE"""),"VS")</f>
        <v>VS</v>
      </c>
      <c r="F400" s="208" t="str">
        <f>IFERROR(__xludf.DUMMYFUNCTION("""COMPUTED_VALUE"""),"Summer Beauty Fest May - Online - Mist &amp; Lotions @999")</f>
        <v>Summer Beauty Fest May - Online - Mist &amp; Lotions @999</v>
      </c>
      <c r="G400" s="208" t="str">
        <f>IFERROR(__xludf.DUMMYFUNCTION("""COMPUTED_VALUE"""),"SGF_On_Event_CX (FB)")</f>
        <v>SGF_On_Event_CX (FB)</v>
      </c>
      <c r="H400" s="208" t="str">
        <f>IFERROR(__xludf.DUMMYFUNCTION("""COMPUTED_VALUE"""),"VS_ON_SGF_Event_Predom1000_Buyers")</f>
        <v>VS_ON_SGF_Event_Predom1000_Buyers</v>
      </c>
      <c r="I400" s="233" t="str">
        <f>IFERROR(__xludf.DUMMYFUNCTION("""COMPUTED_VALUE"""),"WA Undelivered")</f>
        <v>WA Undelivered</v>
      </c>
      <c r="J400" s="275">
        <f>IFERROR(__xludf.DUMMYFUNCTION("""COMPUTED_VALUE"""),30632.0)</f>
        <v>30632</v>
      </c>
      <c r="K400" s="275">
        <f>IFERROR(__xludf.DUMMYFUNCTION("""COMPUTED_VALUE"""),21440.0)</f>
        <v>21440</v>
      </c>
      <c r="L400" s="276">
        <f>IFERROR(__xludf.DUMMYFUNCTION("""COMPUTED_VALUE"""),0.6999216505615043)</f>
        <v>0.6999216506</v>
      </c>
      <c r="M400" s="275">
        <f>IFERROR(__xludf.DUMMYFUNCTION("""COMPUTED_VALUE"""),0.0)</f>
        <v>0</v>
      </c>
      <c r="N400" s="276">
        <f>IFERROR(__xludf.DUMMYFUNCTION("""COMPUTED_VALUE"""),0.0)</f>
        <v>0</v>
      </c>
      <c r="O400" s="208">
        <f>IFERROR(__xludf.DUMMYFUNCTION("""COMPUTED_VALUE"""),65.0)</f>
        <v>65</v>
      </c>
      <c r="P400" s="208">
        <f>IFERROR(__xludf.DUMMYFUNCTION("""COMPUTED_VALUE"""),0.0)</f>
        <v>0</v>
      </c>
      <c r="Q400" s="276">
        <f>IFERROR(__xludf.DUMMYFUNCTION("""COMPUTED_VALUE"""),0.003)</f>
        <v>0.003</v>
      </c>
      <c r="R400" s="276">
        <f>IFERROR(__xludf.DUMMYFUNCTION("""COMPUTED_VALUE"""),0.0)</f>
        <v>0</v>
      </c>
      <c r="S400" s="208">
        <f>IFERROR(__xludf.DUMMYFUNCTION("""COMPUTED_VALUE"""),2.0)</f>
        <v>2</v>
      </c>
      <c r="T400" s="208">
        <f>IFERROR(__xludf.DUMMYFUNCTION("""COMPUTED_VALUE"""),5.0)</f>
        <v>5</v>
      </c>
      <c r="U400" s="275">
        <f>IFERROR(__xludf.DUMMYFUNCTION("""COMPUTED_VALUE"""),4161.0)</f>
        <v>4161</v>
      </c>
      <c r="V400" s="208" t="str">
        <f>IFERROR(__xludf.DUMMYFUNCTION("""COMPUTED_VALUE"""),"online")</f>
        <v>online</v>
      </c>
      <c r="W400" s="232" t="str">
        <f>IFERROR(__xludf.DUMMYFUNCTION("""COMPUTED_VALUE"""),"sms")</f>
        <v>sms</v>
      </c>
      <c r="X400" s="232" t="str">
        <f>IFERROR(__xludf.DUMMYFUNCTION("""COMPUTED_VALUE"""),"Event and Predom below 1000 buyers")</f>
        <v>Event and Predom below 1000 buyers</v>
      </c>
      <c r="Y400" s="232" t="str">
        <f>IFERROR(__xludf.DUMMYFUNCTION("""COMPUTED_VALUE"""),"7-11 May 2026")</f>
        <v>7-11 May 2026</v>
      </c>
      <c r="Z400" s="232" t="str">
        <f>IFERROR(__xludf.DUMMYFUNCTION("""COMPUTED_VALUE"""),"69fc3cbe873e137c2d6f054c")</f>
        <v>69fc3cbe873e137c2d6f054c</v>
      </c>
      <c r="AA400" s="277">
        <f>IFERROR(__xludf.DUMMYFUNCTION("""COMPUTED_VALUE"""),108.0)</f>
        <v>108</v>
      </c>
      <c r="AB400" s="277">
        <f>IFERROR(__xludf.DUMMYFUNCTION("""COMPUTED_VALUE"""),108.0)</f>
        <v>108</v>
      </c>
      <c r="AC400" s="277"/>
      <c r="AD400" s="277">
        <f>IFERROR(__xludf.DUMMYFUNCTION("""COMPUTED_VALUE"""),139411.0)</f>
        <v>139411</v>
      </c>
      <c r="AE400" s="277">
        <f>IFERROR(__xludf.DUMMYFUNCTION("""COMPUTED_VALUE"""),139411.0)</f>
        <v>139411</v>
      </c>
      <c r="AF400" s="277"/>
      <c r="AG400" s="208"/>
      <c r="AH400" s="208"/>
      <c r="AI400" s="208"/>
      <c r="AJ400" s="208"/>
      <c r="AK400" s="208"/>
    </row>
    <row r="401">
      <c r="A401" s="273">
        <f>IFERROR(__xludf.DUMMYFUNCTION("""COMPUTED_VALUE"""),46152.0)</f>
        <v>46152</v>
      </c>
      <c r="B401" s="274">
        <f>IFERROR(__xludf.DUMMYFUNCTION("""COMPUTED_VALUE"""),46152.5625)</f>
        <v>46152.5625</v>
      </c>
      <c r="C401" s="208" t="str">
        <f>IFERROR(__xludf.DUMMYFUNCTION("""COMPUTED_VALUE"""),"Sms")</f>
        <v>Sms</v>
      </c>
      <c r="D401" s="208" t="str">
        <f>IFERROR(__xludf.DUMMYFUNCTION("""COMPUTED_VALUE"""),"Fallback campaign")</f>
        <v>Fallback campaign</v>
      </c>
      <c r="E401" s="208" t="str">
        <f>IFERROR(__xludf.DUMMYFUNCTION("""COMPUTED_VALUE"""),"VS")</f>
        <v>VS</v>
      </c>
      <c r="F401" s="208" t="str">
        <f>IFERROR(__xludf.DUMMYFUNCTION("""COMPUTED_VALUE"""),"Summer Beauty Fest May - Online - Mist &amp; Lotion")</f>
        <v>Summer Beauty Fest May - Online - Mist &amp; Lotion</v>
      </c>
      <c r="G401" s="208" t="str">
        <f>IFERROR(__xludf.DUMMYFUNCTION("""COMPUTED_VALUE"""),"SGF_On_Cat_CX  (FB)")</f>
        <v>SGF_On_Cat_CX  (FB)</v>
      </c>
      <c r="H401" s="208" t="str">
        <f>IFERROR(__xludf.DUMMYFUNCTION("""COMPUTED_VALUE"""),"Repeat_On_SGF")</f>
        <v>Repeat_On_SGF</v>
      </c>
      <c r="I401" s="233" t="str">
        <f>IFERROR(__xludf.DUMMYFUNCTION("""COMPUTED_VALUE"""),"WA Undelivered")</f>
        <v>WA Undelivered</v>
      </c>
      <c r="J401" s="275">
        <f>IFERROR(__xludf.DUMMYFUNCTION("""COMPUTED_VALUE"""),17660.0)</f>
        <v>17660</v>
      </c>
      <c r="K401" s="275">
        <f>IFERROR(__xludf.DUMMYFUNCTION("""COMPUTED_VALUE"""),10201.0)</f>
        <v>10201</v>
      </c>
      <c r="L401" s="276">
        <f>IFERROR(__xludf.DUMMYFUNCTION("""COMPUTED_VALUE"""),0.5776330690826728)</f>
        <v>0.5776330691</v>
      </c>
      <c r="M401" s="275">
        <f>IFERROR(__xludf.DUMMYFUNCTION("""COMPUTED_VALUE"""),0.0)</f>
        <v>0</v>
      </c>
      <c r="N401" s="276">
        <f>IFERROR(__xludf.DUMMYFUNCTION("""COMPUTED_VALUE"""),0.0)</f>
        <v>0</v>
      </c>
      <c r="O401" s="208">
        <f>IFERROR(__xludf.DUMMYFUNCTION("""COMPUTED_VALUE"""),26.0)</f>
        <v>26</v>
      </c>
      <c r="P401" s="208">
        <f>IFERROR(__xludf.DUMMYFUNCTION("""COMPUTED_VALUE"""),0.0)</f>
        <v>0</v>
      </c>
      <c r="Q401" s="276">
        <f>IFERROR(__xludf.DUMMYFUNCTION("""COMPUTED_VALUE"""),0.0025)</f>
        <v>0.0025</v>
      </c>
      <c r="R401" s="276">
        <f>IFERROR(__xludf.DUMMYFUNCTION("""COMPUTED_VALUE"""),0.0)</f>
        <v>0</v>
      </c>
      <c r="S401" s="208">
        <f>IFERROR(__xludf.DUMMYFUNCTION("""COMPUTED_VALUE"""),7.0)</f>
        <v>7</v>
      </c>
      <c r="T401" s="208">
        <f>IFERROR(__xludf.DUMMYFUNCTION("""COMPUTED_VALUE"""),11.0)</f>
        <v>11</v>
      </c>
      <c r="U401" s="275">
        <f>IFERROR(__xludf.DUMMYFUNCTION("""COMPUTED_VALUE"""),30798.0)</f>
        <v>30798</v>
      </c>
      <c r="V401" s="208" t="str">
        <f>IFERROR(__xludf.DUMMYFUNCTION("""COMPUTED_VALUE"""),"online")</f>
        <v>online</v>
      </c>
      <c r="W401" s="232" t="str">
        <f>IFERROR(__xludf.DUMMYFUNCTION("""COMPUTED_VALUE"""),"sms")</f>
        <v>sms</v>
      </c>
      <c r="X401" s="232" t="str">
        <f>IFERROR(__xludf.DUMMYFUNCTION("""COMPUTED_VALUE"""),"Repeat Buyers")</f>
        <v>Repeat Buyers</v>
      </c>
      <c r="Y401" s="232" t="str">
        <f>IFERROR(__xludf.DUMMYFUNCTION("""COMPUTED_VALUE"""),"7-11 May 2026")</f>
        <v>7-11 May 2026</v>
      </c>
      <c r="Z401" s="232" t="str">
        <f>IFERROR(__xludf.DUMMYFUNCTION("""COMPUTED_VALUE"""),"69fc3d011b876eaba8b6bcdd")</f>
        <v>69fc3d011b876eaba8b6bcdd</v>
      </c>
      <c r="AA401" s="277">
        <f>IFERROR(__xludf.DUMMYFUNCTION("""COMPUTED_VALUE"""),90.0)</f>
        <v>90</v>
      </c>
      <c r="AB401" s="277">
        <f>IFERROR(__xludf.DUMMYFUNCTION("""COMPUTED_VALUE"""),90.0)</f>
        <v>90</v>
      </c>
      <c r="AC401" s="277"/>
      <c r="AD401" s="277">
        <f>IFERROR(__xludf.DUMMYFUNCTION("""COMPUTED_VALUE"""),474693.0)</f>
        <v>474693</v>
      </c>
      <c r="AE401" s="277">
        <f>IFERROR(__xludf.DUMMYFUNCTION("""COMPUTED_VALUE"""),474693.0)</f>
        <v>474693</v>
      </c>
      <c r="AF401" s="277"/>
      <c r="AG401" s="208"/>
      <c r="AH401" s="208"/>
      <c r="AI401" s="208"/>
      <c r="AJ401" s="208"/>
      <c r="AK401" s="208"/>
    </row>
    <row r="402">
      <c r="A402" s="273">
        <f>IFERROR(__xludf.DUMMYFUNCTION("""COMPUTED_VALUE"""),46152.0)</f>
        <v>46152</v>
      </c>
      <c r="B402" s="274">
        <f>IFERROR(__xludf.DUMMYFUNCTION("""COMPUTED_VALUE"""),46152.5625)</f>
        <v>46152.5625</v>
      </c>
      <c r="C402" s="208" t="str">
        <f>IFERROR(__xludf.DUMMYFUNCTION("""COMPUTED_VALUE"""),"Sms")</f>
        <v>Sms</v>
      </c>
      <c r="D402" s="208" t="str">
        <f>IFERROR(__xludf.DUMMYFUNCTION("""COMPUTED_VALUE"""),"Fallback campaign")</f>
        <v>Fallback campaign</v>
      </c>
      <c r="E402" s="208" t="str">
        <f>IFERROR(__xludf.DUMMYFUNCTION("""COMPUTED_VALUE"""),"VS")</f>
        <v>VS</v>
      </c>
      <c r="F402" s="208" t="str">
        <f>IFERROR(__xludf.DUMMYFUNCTION("""COMPUTED_VALUE"""),"Summer Beauty Fest May - Online - Mist &amp; Lotion")</f>
        <v>Summer Beauty Fest May - Online - Mist &amp; Lotion</v>
      </c>
      <c r="G402" s="208" t="str">
        <f>IFERROR(__xludf.DUMMYFUNCTION("""COMPUTED_VALUE"""),"SGF_On_Dorm_CX  (FB)")</f>
        <v>SGF_On_Dorm_CX  (FB)</v>
      </c>
      <c r="H402" s="208" t="str">
        <f>IFERROR(__xludf.DUMMYFUNCTION("""COMPUTED_VALUE"""),"VS_Generic_On_SGF")</f>
        <v>VS_Generic_On_SGF</v>
      </c>
      <c r="I402" s="233" t="str">
        <f>IFERROR(__xludf.DUMMYFUNCTION("""COMPUTED_VALUE"""),"WA Undelivered")</f>
        <v>WA Undelivered</v>
      </c>
      <c r="J402" s="275">
        <f>IFERROR(__xludf.DUMMYFUNCTION("""COMPUTED_VALUE"""),51729.0)</f>
        <v>51729</v>
      </c>
      <c r="K402" s="275">
        <f>IFERROR(__xludf.DUMMYFUNCTION("""COMPUTED_VALUE"""),31956.0)</f>
        <v>31956</v>
      </c>
      <c r="L402" s="276">
        <f>IFERROR(__xludf.DUMMYFUNCTION("""COMPUTED_VALUE"""),0.617757930754509)</f>
        <v>0.6177579308</v>
      </c>
      <c r="M402" s="275">
        <f>IFERROR(__xludf.DUMMYFUNCTION("""COMPUTED_VALUE"""),0.0)</f>
        <v>0</v>
      </c>
      <c r="N402" s="276">
        <f>IFERROR(__xludf.DUMMYFUNCTION("""COMPUTED_VALUE"""),0.0)</f>
        <v>0</v>
      </c>
      <c r="O402" s="208">
        <f>IFERROR(__xludf.DUMMYFUNCTION("""COMPUTED_VALUE"""),57.0)</f>
        <v>57</v>
      </c>
      <c r="P402" s="208">
        <f>IFERROR(__xludf.DUMMYFUNCTION("""COMPUTED_VALUE"""),0.0)</f>
        <v>0</v>
      </c>
      <c r="Q402" s="276">
        <f>IFERROR(__xludf.DUMMYFUNCTION("""COMPUTED_VALUE"""),0.0018)</f>
        <v>0.0018</v>
      </c>
      <c r="R402" s="276">
        <f>IFERROR(__xludf.DUMMYFUNCTION("""COMPUTED_VALUE"""),0.0)</f>
        <v>0</v>
      </c>
      <c r="S402" s="208">
        <f>IFERROR(__xludf.DUMMYFUNCTION("""COMPUTED_VALUE"""),2.0)</f>
        <v>2</v>
      </c>
      <c r="T402" s="208">
        <f>IFERROR(__xludf.DUMMYFUNCTION("""COMPUTED_VALUE"""),6.0)</f>
        <v>6</v>
      </c>
      <c r="U402" s="275">
        <f>IFERROR(__xludf.DUMMYFUNCTION("""COMPUTED_VALUE"""),7934.0)</f>
        <v>7934</v>
      </c>
      <c r="V402" s="208" t="str">
        <f>IFERROR(__xludf.DUMMYFUNCTION("""COMPUTED_VALUE"""),"online")</f>
        <v>online</v>
      </c>
      <c r="W402" s="232" t="str">
        <f>IFERROR(__xludf.DUMMYFUNCTION("""COMPUTED_VALUE"""),"sms")</f>
        <v>sms</v>
      </c>
      <c r="X402" s="232" t="str">
        <f>IFERROR(__xludf.DUMMYFUNCTION("""COMPUTED_VALUE"""),"Generic")</f>
        <v>Generic</v>
      </c>
      <c r="Y402" s="232" t="str">
        <f>IFERROR(__xludf.DUMMYFUNCTION("""COMPUTED_VALUE"""),"7-11 May 2026")</f>
        <v>7-11 May 2026</v>
      </c>
      <c r="Z402" s="232" t="str">
        <f>IFERROR(__xludf.DUMMYFUNCTION("""COMPUTED_VALUE"""),"69fc3d4cb31876a27a7c9887")</f>
        <v>69fc3d4cb31876a27a7c9887</v>
      </c>
      <c r="AA402" s="277">
        <f>IFERROR(__xludf.DUMMYFUNCTION("""COMPUTED_VALUE"""),551.0)</f>
        <v>551</v>
      </c>
      <c r="AB402" s="277">
        <f>IFERROR(__xludf.DUMMYFUNCTION("""COMPUTED_VALUE"""),551.0)</f>
        <v>551</v>
      </c>
      <c r="AC402" s="277"/>
      <c r="AD402" s="277">
        <f>IFERROR(__xludf.DUMMYFUNCTION("""COMPUTED_VALUE"""),4669032.0)</f>
        <v>4669032</v>
      </c>
      <c r="AE402" s="277">
        <f>IFERROR(__xludf.DUMMYFUNCTION("""COMPUTED_VALUE"""),4669032.0)</f>
        <v>4669032</v>
      </c>
      <c r="AF402" s="277"/>
      <c r="AG402" s="208"/>
      <c r="AH402" s="208"/>
      <c r="AI402" s="208"/>
      <c r="AJ402" s="208"/>
      <c r="AK402" s="208"/>
    </row>
    <row r="403">
      <c r="A403" s="273">
        <f>IFERROR(__xludf.DUMMYFUNCTION("""COMPUTED_VALUE"""),46157.0)</f>
        <v>46157</v>
      </c>
      <c r="B403" s="274">
        <f>IFERROR(__xludf.DUMMYFUNCTION("""COMPUTED_VALUE"""),0.4166666666678793)</f>
        <v>0.4166666667</v>
      </c>
      <c r="C403" s="208" t="str">
        <f>IFERROR(__xludf.DUMMYFUNCTION("""COMPUTED_VALUE"""),"Whatsapp")</f>
        <v>Whatsapp</v>
      </c>
      <c r="D403" s="208" t="str">
        <f>IFERROR(__xludf.DUMMYFUNCTION("""COMPUTED_VALUE"""),"Fallback campaign")</f>
        <v>Fallback campaign</v>
      </c>
      <c r="E403" s="208" t="str">
        <f>IFERROR(__xludf.DUMMYFUNCTION("""COMPUTED_VALUE"""),"VS")</f>
        <v>VS</v>
      </c>
      <c r="F403" s="208" t="str">
        <f>IFERROR(__xludf.DUMMYFUNCTION("""COMPUTED_VALUE"""),"Season of Strapless - Branding Campaign - Strapless Bra")</f>
        <v>Season of Strapless - Branding Campaign - Strapless Bra</v>
      </c>
      <c r="G403" s="208" t="str">
        <f>IFERROR(__xludf.DUMMYFUNCTION("""COMPUTED_VALUE"""),"Strapless_On (FB)")</f>
        <v>Strapless_On (FB)</v>
      </c>
      <c r="H403" s="208" t="str">
        <f>IFERROR(__xludf.DUMMYFUNCTION("""COMPUTED_VALUE"""),"VS_ON_Strapless_Launch")</f>
        <v>VS_ON_Strapless_Launch</v>
      </c>
      <c r="I403" s="233" t="str">
        <f>IFERROR(__xludf.DUMMYFUNCTION("""COMPUTED_VALUE"""),"RCS Undelivered")</f>
        <v>RCS Undelivered</v>
      </c>
      <c r="J403" s="275">
        <f>IFERROR(__xludf.DUMMYFUNCTION("""COMPUTED_VALUE"""),52333.0)</f>
        <v>52333</v>
      </c>
      <c r="K403" s="275">
        <f>IFERROR(__xludf.DUMMYFUNCTION("""COMPUTED_VALUE"""),30834.0)</f>
        <v>30834</v>
      </c>
      <c r="L403" s="276">
        <f>IFERROR(__xludf.DUMMYFUNCTION("""COMPUTED_VALUE"""),0.5891)</f>
        <v>0.5891</v>
      </c>
      <c r="M403" s="275">
        <f>IFERROR(__xludf.DUMMYFUNCTION("""COMPUTED_VALUE"""),7627.0)</f>
        <v>7627</v>
      </c>
      <c r="N403" s="276">
        <f>IFERROR(__xludf.DUMMYFUNCTION("""COMPUTED_VALUE"""),0.2474)</f>
        <v>0.2474</v>
      </c>
      <c r="O403" s="208">
        <f>IFERROR(__xludf.DUMMYFUNCTION("""COMPUTED_VALUE"""),487.0)</f>
        <v>487</v>
      </c>
      <c r="P403" s="208">
        <f>IFERROR(__xludf.DUMMYFUNCTION("""COMPUTED_VALUE"""),474.0)</f>
        <v>474</v>
      </c>
      <c r="Q403" s="276">
        <f>IFERROR(__xludf.DUMMYFUNCTION("""COMPUTED_VALUE"""),0.0154)</f>
        <v>0.0154</v>
      </c>
      <c r="R403" s="276">
        <f>IFERROR(__xludf.DUMMYFUNCTION("""COMPUTED_VALUE"""),0.0621)</f>
        <v>0.0621</v>
      </c>
      <c r="S403" s="208"/>
      <c r="T403" s="208"/>
      <c r="U403" s="275"/>
      <c r="V403" s="208" t="str">
        <f>IFERROR(__xludf.DUMMYFUNCTION("""COMPUTED_VALUE"""),"online")</f>
        <v>online</v>
      </c>
      <c r="W403" s="232" t="str">
        <f>IFERROR(__xludf.DUMMYFUNCTION("""COMPUTED_VALUE"""),"simple")</f>
        <v>simple</v>
      </c>
      <c r="X403" s="232" t="str">
        <f>IFERROR(__xludf.DUMMYFUNCTION("""COMPUTED_VALUE"""),"Generic")</f>
        <v>Generic</v>
      </c>
      <c r="Y403" s="232" t="str">
        <f>IFERROR(__xludf.DUMMYFUNCTION("""COMPUTED_VALUE"""),"15th - 18th May")</f>
        <v>15th - 18th May</v>
      </c>
      <c r="Z403" s="232" t="str">
        <f>IFERROR(__xludf.DUMMYFUNCTION("""COMPUTED_VALUE"""),"6a05d1b8eac1b949cc951386")</f>
        <v>6a05d1b8eac1b949cc951386</v>
      </c>
      <c r="AA403" s="277">
        <f>IFERROR(__xludf.DUMMYFUNCTION("""COMPUTED_VALUE"""),62.0)</f>
        <v>62</v>
      </c>
      <c r="AB403" s="277">
        <f>IFERROR(__xludf.DUMMYFUNCTION("""COMPUTED_VALUE"""),62.0)</f>
        <v>62</v>
      </c>
      <c r="AC403" s="277"/>
      <c r="AD403" s="277">
        <f>IFERROR(__xludf.DUMMYFUNCTION("""COMPUTED_VALUE"""),516618.0)</f>
        <v>516618</v>
      </c>
      <c r="AE403" s="277">
        <f>IFERROR(__xludf.DUMMYFUNCTION("""COMPUTED_VALUE"""),516618.0)</f>
        <v>516618</v>
      </c>
      <c r="AF403" s="277"/>
      <c r="AG403" s="208"/>
      <c r="AH403" s="208"/>
      <c r="AI403" s="208"/>
      <c r="AJ403" s="208"/>
      <c r="AK403" s="208"/>
    </row>
    <row r="404">
      <c r="A404" s="273">
        <f>IFERROR(__xludf.DUMMYFUNCTION("""COMPUTED_VALUE"""),46157.0)</f>
        <v>46157</v>
      </c>
      <c r="B404" s="274">
        <f>IFERROR(__xludf.DUMMYFUNCTION("""COMPUTED_VALUE"""),0.42013888889050577)</f>
        <v>0.4201388889</v>
      </c>
      <c r="C404" s="208" t="str">
        <f>IFERROR(__xludf.DUMMYFUNCTION("""COMPUTED_VALUE"""),"Whatsapp")</f>
        <v>Whatsapp</v>
      </c>
      <c r="D404" s="208" t="str">
        <f>IFERROR(__xludf.DUMMYFUNCTION("""COMPUTED_VALUE"""),"Fallback campaign")</f>
        <v>Fallback campaign</v>
      </c>
      <c r="E404" s="208" t="str">
        <f>IFERROR(__xludf.DUMMYFUNCTION("""COMPUTED_VALUE"""),"VS")</f>
        <v>VS</v>
      </c>
      <c r="F404" s="208" t="str">
        <f>IFERROR(__xludf.DUMMYFUNCTION("""COMPUTED_VALUE"""),"Season of Strapless - Branding Campaign - Strapless Bra")</f>
        <v>Season of Strapless - Branding Campaign - Strapless Bra</v>
      </c>
      <c r="G404" s="208" t="str">
        <f>IFERROR(__xludf.DUMMYFUNCTION("""COMPUTED_VALUE"""),"Strapless_FA (FB)")</f>
        <v>Strapless_FA (FB)</v>
      </c>
      <c r="H404" s="208" t="str">
        <f>IFERROR(__xludf.DUMMYFUNCTION("""COMPUTED_VALUE"""),"VS_OFF_Strapless_Launch_FA")</f>
        <v>VS_OFF_Strapless_Launch_FA</v>
      </c>
      <c r="I404" s="233" t="str">
        <f>IFERROR(__xludf.DUMMYFUNCTION("""COMPUTED_VALUE"""),"RCS Undelivered")</f>
        <v>RCS Undelivered</v>
      </c>
      <c r="J404" s="275">
        <f>IFERROR(__xludf.DUMMYFUNCTION("""COMPUTED_VALUE"""),52107.0)</f>
        <v>52107</v>
      </c>
      <c r="K404" s="275">
        <f>IFERROR(__xludf.DUMMYFUNCTION("""COMPUTED_VALUE"""),29227.0)</f>
        <v>29227</v>
      </c>
      <c r="L404" s="276">
        <f>IFERROR(__xludf.DUMMYFUNCTION("""COMPUTED_VALUE"""),0.5608)</f>
        <v>0.5608</v>
      </c>
      <c r="M404" s="275">
        <f>IFERROR(__xludf.DUMMYFUNCTION("""COMPUTED_VALUE"""),6727.0)</f>
        <v>6727</v>
      </c>
      <c r="N404" s="276">
        <f>IFERROR(__xludf.DUMMYFUNCTION("""COMPUTED_VALUE"""),0.2302)</f>
        <v>0.2302</v>
      </c>
      <c r="O404" s="208">
        <f>IFERROR(__xludf.DUMMYFUNCTION("""COMPUTED_VALUE"""),0.0)</f>
        <v>0</v>
      </c>
      <c r="P404" s="208">
        <f>IFERROR(__xludf.DUMMYFUNCTION("""COMPUTED_VALUE"""),0.0)</f>
        <v>0</v>
      </c>
      <c r="Q404" s="276">
        <f>IFERROR(__xludf.DUMMYFUNCTION("""COMPUTED_VALUE"""),0.0)</f>
        <v>0</v>
      </c>
      <c r="R404" s="276">
        <f>IFERROR(__xludf.DUMMYFUNCTION("""COMPUTED_VALUE"""),0.0)</f>
        <v>0</v>
      </c>
      <c r="S404" s="208"/>
      <c r="T404" s="208"/>
      <c r="U404" s="275"/>
      <c r="V404" s="208" t="str">
        <f>IFERROR(__xludf.DUMMYFUNCTION("""COMPUTED_VALUE"""),"offline")</f>
        <v>offline</v>
      </c>
      <c r="W404" s="232" t="str">
        <f>IFERROR(__xludf.DUMMYFUNCTION("""COMPUTED_VALUE"""),"simple")</f>
        <v>simple</v>
      </c>
      <c r="X404" s="232" t="str">
        <f>IFERROR(__xludf.DUMMYFUNCTION("""COMPUTED_VALUE"""),"Generic")</f>
        <v>Generic</v>
      </c>
      <c r="Y404" s="232" t="str">
        <f>IFERROR(__xludf.DUMMYFUNCTION("""COMPUTED_VALUE"""),"15th - 18th May")</f>
        <v>15th - 18th May</v>
      </c>
      <c r="Z404" s="232" t="str">
        <f>IFERROR(__xludf.DUMMYFUNCTION("""COMPUTED_VALUE"""),"6a05d1e3ea2539371f0c258b")</f>
        <v>6a05d1e3ea2539371f0c258b</v>
      </c>
      <c r="AA404" s="277">
        <f>IFERROR(__xludf.DUMMYFUNCTION("""COMPUTED_VALUE"""),143.0)</f>
        <v>143</v>
      </c>
      <c r="AB404" s="277"/>
      <c r="AC404" s="277">
        <f>IFERROR(__xludf.DUMMYFUNCTION("""COMPUTED_VALUE"""),143.0)</f>
        <v>143</v>
      </c>
      <c r="AD404" s="277">
        <f>IFERROR(__xludf.DUMMYFUNCTION("""COMPUTED_VALUE"""),2133491.0)</f>
        <v>2133491</v>
      </c>
      <c r="AE404" s="277"/>
      <c r="AF404" s="277">
        <f>IFERROR(__xludf.DUMMYFUNCTION("""COMPUTED_VALUE"""),2133491.0)</f>
        <v>2133491</v>
      </c>
      <c r="AG404" s="208"/>
      <c r="AH404" s="208"/>
      <c r="AI404" s="208"/>
      <c r="AJ404" s="208"/>
      <c r="AK404" s="208"/>
    </row>
    <row r="405">
      <c r="A405" s="273">
        <f>IFERROR(__xludf.DUMMYFUNCTION("""COMPUTED_VALUE"""),46157.0)</f>
        <v>46157</v>
      </c>
      <c r="B405" s="274">
        <f>IFERROR(__xludf.DUMMYFUNCTION("""COMPUTED_VALUE"""),0.4270833333321207)</f>
        <v>0.4270833333</v>
      </c>
      <c r="C405" s="208" t="str">
        <f>IFERROR(__xludf.DUMMYFUNCTION("""COMPUTED_VALUE"""),"Whatsapp")</f>
        <v>Whatsapp</v>
      </c>
      <c r="D405" s="208" t="str">
        <f>IFERROR(__xludf.DUMMYFUNCTION("""COMPUTED_VALUE"""),"Fallback campaign")</f>
        <v>Fallback campaign</v>
      </c>
      <c r="E405" s="208" t="str">
        <f>IFERROR(__xludf.DUMMYFUNCTION("""COMPUTED_VALUE"""),"VS")</f>
        <v>VS</v>
      </c>
      <c r="F405" s="208" t="str">
        <f>IFERROR(__xludf.DUMMYFUNCTION("""COMPUTED_VALUE"""),"Season of Strapless - Branding Campaign - Strapless Bra")</f>
        <v>Season of Strapless - Branding Campaign - Strapless Bra</v>
      </c>
      <c r="G405" s="208" t="str">
        <f>IFERROR(__xludf.DUMMYFUNCTION("""COMPUTED_VALUE"""),"Strapless_BA (FB)")</f>
        <v>Strapless_BA (FB)</v>
      </c>
      <c r="H405" s="208" t="str">
        <f>IFERROR(__xludf.DUMMYFUNCTION("""COMPUTED_VALUE"""),"VS_OFF_Strapless_Launch_BA")</f>
        <v>VS_OFF_Strapless_Launch_BA</v>
      </c>
      <c r="I405" s="233" t="str">
        <f>IFERROR(__xludf.DUMMYFUNCTION("""COMPUTED_VALUE"""),"RCS Undelivered")</f>
        <v>RCS Undelivered</v>
      </c>
      <c r="J405" s="275">
        <f>IFERROR(__xludf.DUMMYFUNCTION("""COMPUTED_VALUE"""),24921.0)</f>
        <v>24921</v>
      </c>
      <c r="K405" s="275">
        <f>IFERROR(__xludf.DUMMYFUNCTION("""COMPUTED_VALUE"""),15178.0)</f>
        <v>15178</v>
      </c>
      <c r="L405" s="276">
        <f>IFERROR(__xludf.DUMMYFUNCTION("""COMPUTED_VALUE"""),0.6088)</f>
        <v>0.6088</v>
      </c>
      <c r="M405" s="275">
        <f>IFERROR(__xludf.DUMMYFUNCTION("""COMPUTED_VALUE"""),3877.0)</f>
        <v>3877</v>
      </c>
      <c r="N405" s="276">
        <f>IFERROR(__xludf.DUMMYFUNCTION("""COMPUTED_VALUE"""),0.2555)</f>
        <v>0.2555</v>
      </c>
      <c r="O405" s="208">
        <f>IFERROR(__xludf.DUMMYFUNCTION("""COMPUTED_VALUE"""),183.0)</f>
        <v>183</v>
      </c>
      <c r="P405" s="208">
        <f>IFERROR(__xludf.DUMMYFUNCTION("""COMPUTED_VALUE"""),179.0)</f>
        <v>179</v>
      </c>
      <c r="Q405" s="276">
        <f>IFERROR(__xludf.DUMMYFUNCTION("""COMPUTED_VALUE"""),0.0118)</f>
        <v>0.0118</v>
      </c>
      <c r="R405" s="276">
        <f>IFERROR(__xludf.DUMMYFUNCTION("""COMPUTED_VALUE"""),0.0462)</f>
        <v>0.0462</v>
      </c>
      <c r="S405" s="208"/>
      <c r="T405" s="208"/>
      <c r="U405" s="275"/>
      <c r="V405" s="208" t="str">
        <f>IFERROR(__xludf.DUMMYFUNCTION("""COMPUTED_VALUE"""),"offline")</f>
        <v>offline</v>
      </c>
      <c r="W405" s="232" t="str">
        <f>IFERROR(__xludf.DUMMYFUNCTION("""COMPUTED_VALUE"""),"simple")</f>
        <v>simple</v>
      </c>
      <c r="X405" s="232" t="str">
        <f>IFERROR(__xludf.DUMMYFUNCTION("""COMPUTED_VALUE"""),"Generic")</f>
        <v>Generic</v>
      </c>
      <c r="Y405" s="232" t="str">
        <f>IFERROR(__xludf.DUMMYFUNCTION("""COMPUTED_VALUE"""),"15th - 18th May")</f>
        <v>15th - 18th May</v>
      </c>
      <c r="Z405" s="232" t="str">
        <f>IFERROR(__xludf.DUMMYFUNCTION("""COMPUTED_VALUE"""),"6a05d21f092284026030fdd4")</f>
        <v>6a05d21f092284026030fdd4</v>
      </c>
      <c r="AA405" s="277">
        <f>IFERROR(__xludf.DUMMYFUNCTION("""COMPUTED_VALUE"""),35.0)</f>
        <v>35</v>
      </c>
      <c r="AB405" s="277"/>
      <c r="AC405" s="277">
        <f>IFERROR(__xludf.DUMMYFUNCTION("""COMPUTED_VALUE"""),35.0)</f>
        <v>35</v>
      </c>
      <c r="AD405" s="277">
        <f>IFERROR(__xludf.DUMMYFUNCTION("""COMPUTED_VALUE"""),298343.0)</f>
        <v>298343</v>
      </c>
      <c r="AE405" s="277"/>
      <c r="AF405" s="277">
        <f>IFERROR(__xludf.DUMMYFUNCTION("""COMPUTED_VALUE"""),298343.0)</f>
        <v>298343</v>
      </c>
      <c r="AG405" s="208"/>
      <c r="AH405" s="208"/>
      <c r="AI405" s="208"/>
      <c r="AJ405" s="208"/>
      <c r="AK405" s="208"/>
    </row>
    <row r="406">
      <c r="A406" s="273">
        <f>IFERROR(__xludf.DUMMYFUNCTION("""COMPUTED_VALUE"""),46157.0)</f>
        <v>46157</v>
      </c>
      <c r="B406" s="274">
        <f>IFERROR(__xludf.DUMMYFUNCTION("""COMPUTED_VALUE"""),0.5208333333321207)</f>
        <v>0.5208333333</v>
      </c>
      <c r="C406" s="208" t="str">
        <f>IFERROR(__xludf.DUMMYFUNCTION("""COMPUTED_VALUE"""),"Sms")</f>
        <v>Sms</v>
      </c>
      <c r="D406" s="208" t="str">
        <f>IFERROR(__xludf.DUMMYFUNCTION("""COMPUTED_VALUE"""),"Fallback campaign")</f>
        <v>Fallback campaign</v>
      </c>
      <c r="E406" s="208" t="str">
        <f>IFERROR(__xludf.DUMMYFUNCTION("""COMPUTED_VALUE"""),"VS")</f>
        <v>VS</v>
      </c>
      <c r="F406" s="208" t="str">
        <f>IFERROR(__xludf.DUMMYFUNCTION("""COMPUTED_VALUE"""),"Season of Strapless - Branding Campaign - Strapless Bra")</f>
        <v>Season of Strapless - Branding Campaign - Strapless Bra</v>
      </c>
      <c r="G406" s="208" t="str">
        <f>IFERROR(__xludf.DUMMYFUNCTION("""COMPUTED_VALUE"""),"Strapless_On (WA FB)")</f>
        <v>Strapless_On (WA FB)</v>
      </c>
      <c r="H406" s="208" t="str">
        <f>IFERROR(__xludf.DUMMYFUNCTION("""COMPUTED_VALUE"""),"VS_ON_Strapless_Launch")</f>
        <v>VS_ON_Strapless_Launch</v>
      </c>
      <c r="I406" s="233" t="str">
        <f>IFERROR(__xludf.DUMMYFUNCTION("""COMPUTED_VALUE"""),"WA Undelivered")</f>
        <v>WA Undelivered</v>
      </c>
      <c r="J406" s="275">
        <f>IFERROR(__xludf.DUMMYFUNCTION("""COMPUTED_VALUE"""),19461.0)</f>
        <v>19461</v>
      </c>
      <c r="K406" s="275">
        <f>IFERROR(__xludf.DUMMYFUNCTION("""COMPUTED_VALUE"""),12184.0)</f>
        <v>12184</v>
      </c>
      <c r="L406" s="276">
        <f>IFERROR(__xludf.DUMMYFUNCTION("""COMPUTED_VALUE"""),0.6261)</f>
        <v>0.6261</v>
      </c>
      <c r="M406" s="275">
        <f>IFERROR(__xludf.DUMMYFUNCTION("""COMPUTED_VALUE"""),0.0)</f>
        <v>0</v>
      </c>
      <c r="N406" s="276">
        <f>IFERROR(__xludf.DUMMYFUNCTION("""COMPUTED_VALUE"""),0.0)</f>
        <v>0</v>
      </c>
      <c r="O406" s="208">
        <f>IFERROR(__xludf.DUMMYFUNCTION("""COMPUTED_VALUE"""),30.0)</f>
        <v>30</v>
      </c>
      <c r="P406" s="208">
        <f>IFERROR(__xludf.DUMMYFUNCTION("""COMPUTED_VALUE"""),0.0)</f>
        <v>0</v>
      </c>
      <c r="Q406" s="276">
        <f>IFERROR(__xludf.DUMMYFUNCTION("""COMPUTED_VALUE"""),0.0025)</f>
        <v>0.0025</v>
      </c>
      <c r="R406" s="276">
        <f>IFERROR(__xludf.DUMMYFUNCTION("""COMPUTED_VALUE"""),0.0)</f>
        <v>0</v>
      </c>
      <c r="S406" s="208"/>
      <c r="T406" s="208"/>
      <c r="U406" s="275"/>
      <c r="V406" s="208" t="str">
        <f>IFERROR(__xludf.DUMMYFUNCTION("""COMPUTED_VALUE"""),"online")</f>
        <v>online</v>
      </c>
      <c r="W406" s="232" t="str">
        <f>IFERROR(__xludf.DUMMYFUNCTION("""COMPUTED_VALUE"""),"Sms")</f>
        <v>Sms</v>
      </c>
      <c r="X406" s="232" t="str">
        <f>IFERROR(__xludf.DUMMYFUNCTION("""COMPUTED_VALUE"""),"Generic")</f>
        <v>Generic</v>
      </c>
      <c r="Y406" s="232" t="str">
        <f>IFERROR(__xludf.DUMMYFUNCTION("""COMPUTED_VALUE"""),"15th - 18th May")</f>
        <v>15th - 18th May</v>
      </c>
      <c r="Z406" s="232" t="str">
        <f>IFERROR(__xludf.DUMMYFUNCTION("""COMPUTED_VALUE"""),"6a05de20d60d2d66c50a1083")</f>
        <v>6a05de20d60d2d66c50a1083</v>
      </c>
      <c r="AA406" s="277">
        <f>IFERROR(__xludf.DUMMYFUNCTION("""COMPUTED_VALUE"""),26.0)</f>
        <v>26</v>
      </c>
      <c r="AB406" s="277">
        <f>IFERROR(__xludf.DUMMYFUNCTION("""COMPUTED_VALUE"""),26.0)</f>
        <v>26</v>
      </c>
      <c r="AC406" s="277"/>
      <c r="AD406" s="277">
        <f>IFERROR(__xludf.DUMMYFUNCTION("""COMPUTED_VALUE"""),288960.0)</f>
        <v>288960</v>
      </c>
      <c r="AE406" s="277">
        <f>IFERROR(__xludf.DUMMYFUNCTION("""COMPUTED_VALUE"""),288960.0)</f>
        <v>288960</v>
      </c>
      <c r="AF406" s="277"/>
      <c r="AG406" s="208"/>
      <c r="AH406" s="208"/>
      <c r="AI406" s="208"/>
      <c r="AJ406" s="208"/>
      <c r="AK406" s="208"/>
    </row>
    <row r="407">
      <c r="A407" s="273">
        <f>IFERROR(__xludf.DUMMYFUNCTION("""COMPUTED_VALUE"""),46157.0)</f>
        <v>46157</v>
      </c>
      <c r="B407" s="274">
        <f>IFERROR(__xludf.DUMMYFUNCTION("""COMPUTED_VALUE"""),0.5208333333321207)</f>
        <v>0.5208333333</v>
      </c>
      <c r="C407" s="208" t="str">
        <f>IFERROR(__xludf.DUMMYFUNCTION("""COMPUTED_VALUE"""),"Sms")</f>
        <v>Sms</v>
      </c>
      <c r="D407" s="208" t="str">
        <f>IFERROR(__xludf.DUMMYFUNCTION("""COMPUTED_VALUE"""),"Fallback campaign")</f>
        <v>Fallback campaign</v>
      </c>
      <c r="E407" s="208" t="str">
        <f>IFERROR(__xludf.DUMMYFUNCTION("""COMPUTED_VALUE"""),"VS")</f>
        <v>VS</v>
      </c>
      <c r="F407" s="208" t="str">
        <f>IFERROR(__xludf.DUMMYFUNCTION("""COMPUTED_VALUE"""),"Season of Strapless - Branding Campaign - Strapless Bra")</f>
        <v>Season of Strapless - Branding Campaign - Strapless Bra</v>
      </c>
      <c r="G407" s="208" t="str">
        <f>IFERROR(__xludf.DUMMYFUNCTION("""COMPUTED_VALUE"""),"Strapless_FA (WA FB)")</f>
        <v>Strapless_FA (WA FB)</v>
      </c>
      <c r="H407" s="208" t="str">
        <f>IFERROR(__xludf.DUMMYFUNCTION("""COMPUTED_VALUE"""),"VS_OFF_Strapless_Launch_FA")</f>
        <v>VS_OFF_Strapless_Launch_FA</v>
      </c>
      <c r="I407" s="233" t="str">
        <f>IFERROR(__xludf.DUMMYFUNCTION("""COMPUTED_VALUE"""),"WA Undelivered")</f>
        <v>WA Undelivered</v>
      </c>
      <c r="J407" s="275">
        <f>IFERROR(__xludf.DUMMYFUNCTION("""COMPUTED_VALUE"""),20543.0)</f>
        <v>20543</v>
      </c>
      <c r="K407" s="275">
        <f>IFERROR(__xludf.DUMMYFUNCTION("""COMPUTED_VALUE"""),11946.0)</f>
        <v>11946</v>
      </c>
      <c r="L407" s="276">
        <f>IFERROR(__xludf.DUMMYFUNCTION("""COMPUTED_VALUE"""),0.5815)</f>
        <v>0.5815</v>
      </c>
      <c r="M407" s="275">
        <f>IFERROR(__xludf.DUMMYFUNCTION("""COMPUTED_VALUE"""),0.0)</f>
        <v>0</v>
      </c>
      <c r="N407" s="276">
        <f>IFERROR(__xludf.DUMMYFUNCTION("""COMPUTED_VALUE"""),0.0)</f>
        <v>0</v>
      </c>
      <c r="O407" s="208">
        <f>IFERROR(__xludf.DUMMYFUNCTION("""COMPUTED_VALUE"""),0.0)</f>
        <v>0</v>
      </c>
      <c r="P407" s="208">
        <f>IFERROR(__xludf.DUMMYFUNCTION("""COMPUTED_VALUE"""),0.0)</f>
        <v>0</v>
      </c>
      <c r="Q407" s="276">
        <f>IFERROR(__xludf.DUMMYFUNCTION("""COMPUTED_VALUE"""),0.0)</f>
        <v>0</v>
      </c>
      <c r="R407" s="276">
        <f>IFERROR(__xludf.DUMMYFUNCTION("""COMPUTED_VALUE"""),0.0)</f>
        <v>0</v>
      </c>
      <c r="S407" s="208"/>
      <c r="T407" s="208"/>
      <c r="U407" s="275"/>
      <c r="V407" s="208" t="str">
        <f>IFERROR(__xludf.DUMMYFUNCTION("""COMPUTED_VALUE"""),"offline")</f>
        <v>offline</v>
      </c>
      <c r="W407" s="232" t="str">
        <f>IFERROR(__xludf.DUMMYFUNCTION("""COMPUTED_VALUE"""),"Sms")</f>
        <v>Sms</v>
      </c>
      <c r="X407" s="232" t="str">
        <f>IFERROR(__xludf.DUMMYFUNCTION("""COMPUTED_VALUE"""),"Generic")</f>
        <v>Generic</v>
      </c>
      <c r="Y407" s="232" t="str">
        <f>IFERROR(__xludf.DUMMYFUNCTION("""COMPUTED_VALUE"""),"15th - 18th May")</f>
        <v>15th - 18th May</v>
      </c>
      <c r="Z407" s="232" t="str">
        <f>IFERROR(__xludf.DUMMYFUNCTION("""COMPUTED_VALUE"""),"6a05de4d8e4c2e583bb9d7ab")</f>
        <v>6a05de4d8e4c2e583bb9d7ab</v>
      </c>
      <c r="AA407" s="277">
        <f>IFERROR(__xludf.DUMMYFUNCTION("""COMPUTED_VALUE"""),70.0)</f>
        <v>70</v>
      </c>
      <c r="AB407" s="277"/>
      <c r="AC407" s="277">
        <f>IFERROR(__xludf.DUMMYFUNCTION("""COMPUTED_VALUE"""),70.0)</f>
        <v>70</v>
      </c>
      <c r="AD407" s="277">
        <f>IFERROR(__xludf.DUMMYFUNCTION("""COMPUTED_VALUE"""),1237444.0)</f>
        <v>1237444</v>
      </c>
      <c r="AE407" s="277"/>
      <c r="AF407" s="277">
        <f>IFERROR(__xludf.DUMMYFUNCTION("""COMPUTED_VALUE"""),1237444.0)</f>
        <v>1237444</v>
      </c>
      <c r="AG407" s="208"/>
      <c r="AH407" s="208"/>
      <c r="AI407" s="208"/>
      <c r="AJ407" s="208"/>
      <c r="AK407" s="208"/>
    </row>
    <row r="408">
      <c r="A408" s="273">
        <f>IFERROR(__xludf.DUMMYFUNCTION("""COMPUTED_VALUE"""),46157.0)</f>
        <v>46157</v>
      </c>
      <c r="B408" s="274">
        <f>IFERROR(__xludf.DUMMYFUNCTION("""COMPUTED_VALUE"""),0.5208333333321207)</f>
        <v>0.5208333333</v>
      </c>
      <c r="C408" s="208" t="str">
        <f>IFERROR(__xludf.DUMMYFUNCTION("""COMPUTED_VALUE"""),"Sms")</f>
        <v>Sms</v>
      </c>
      <c r="D408" s="208" t="str">
        <f>IFERROR(__xludf.DUMMYFUNCTION("""COMPUTED_VALUE"""),"Fallback campaign")</f>
        <v>Fallback campaign</v>
      </c>
      <c r="E408" s="208" t="str">
        <f>IFERROR(__xludf.DUMMYFUNCTION("""COMPUTED_VALUE"""),"VS")</f>
        <v>VS</v>
      </c>
      <c r="F408" s="208" t="str">
        <f>IFERROR(__xludf.DUMMYFUNCTION("""COMPUTED_VALUE"""),"Season of Strapless - Branding Campaign - Strapless Bra")</f>
        <v>Season of Strapless - Branding Campaign - Strapless Bra</v>
      </c>
      <c r="G408" s="208" t="str">
        <f>IFERROR(__xludf.DUMMYFUNCTION("""COMPUTED_VALUE"""),"Strapless_BA (WA FB)")</f>
        <v>Strapless_BA (WA FB)</v>
      </c>
      <c r="H408" s="208" t="str">
        <f>IFERROR(__xludf.DUMMYFUNCTION("""COMPUTED_VALUE"""),"VS_OFF_Strapless_Launch_BA")</f>
        <v>VS_OFF_Strapless_Launch_BA</v>
      </c>
      <c r="I408" s="233" t="str">
        <f>IFERROR(__xludf.DUMMYFUNCTION("""COMPUTED_VALUE"""),"WA Undelivered")</f>
        <v>WA Undelivered</v>
      </c>
      <c r="J408" s="275">
        <f>IFERROR(__xludf.DUMMYFUNCTION("""COMPUTED_VALUE"""),8890.0)</f>
        <v>8890</v>
      </c>
      <c r="K408" s="275">
        <f>IFERROR(__xludf.DUMMYFUNCTION("""COMPUTED_VALUE"""),5812.0)</f>
        <v>5812</v>
      </c>
      <c r="L408" s="276">
        <f>IFERROR(__xludf.DUMMYFUNCTION("""COMPUTED_VALUE"""),0.6538)</f>
        <v>0.6538</v>
      </c>
      <c r="M408" s="275">
        <f>IFERROR(__xludf.DUMMYFUNCTION("""COMPUTED_VALUE"""),0.0)</f>
        <v>0</v>
      </c>
      <c r="N408" s="276">
        <f>IFERROR(__xludf.DUMMYFUNCTION("""COMPUTED_VALUE"""),0.0)</f>
        <v>0</v>
      </c>
      <c r="O408" s="208">
        <f>IFERROR(__xludf.DUMMYFUNCTION("""COMPUTED_VALUE"""),8.0)</f>
        <v>8</v>
      </c>
      <c r="P408" s="208">
        <f>IFERROR(__xludf.DUMMYFUNCTION("""COMPUTED_VALUE"""),0.0)</f>
        <v>0</v>
      </c>
      <c r="Q408" s="276">
        <f>IFERROR(__xludf.DUMMYFUNCTION("""COMPUTED_VALUE"""),0.0014)</f>
        <v>0.0014</v>
      </c>
      <c r="R408" s="276">
        <f>IFERROR(__xludf.DUMMYFUNCTION("""COMPUTED_VALUE"""),0.0)</f>
        <v>0</v>
      </c>
      <c r="S408" s="208"/>
      <c r="T408" s="208"/>
      <c r="U408" s="275"/>
      <c r="V408" s="208" t="str">
        <f>IFERROR(__xludf.DUMMYFUNCTION("""COMPUTED_VALUE"""),"offline")</f>
        <v>offline</v>
      </c>
      <c r="W408" s="232" t="str">
        <f>IFERROR(__xludf.DUMMYFUNCTION("""COMPUTED_VALUE"""),"Sms")</f>
        <v>Sms</v>
      </c>
      <c r="X408" s="232" t="str">
        <f>IFERROR(__xludf.DUMMYFUNCTION("""COMPUTED_VALUE"""),"Generic")</f>
        <v>Generic</v>
      </c>
      <c r="Y408" s="232" t="str">
        <f>IFERROR(__xludf.DUMMYFUNCTION("""COMPUTED_VALUE"""),"15th - 18th May")</f>
        <v>15th - 18th May</v>
      </c>
      <c r="Z408" s="232" t="str">
        <f>IFERROR(__xludf.DUMMYFUNCTION("""COMPUTED_VALUE"""),"6a05dee1d3e63650257e15e3")</f>
        <v>6a05dee1d3e63650257e15e3</v>
      </c>
      <c r="AA408" s="277">
        <f>IFERROR(__xludf.DUMMYFUNCTION("""COMPUTED_VALUE"""),19.0)</f>
        <v>19</v>
      </c>
      <c r="AB408" s="277"/>
      <c r="AC408" s="277">
        <f>IFERROR(__xludf.DUMMYFUNCTION("""COMPUTED_VALUE"""),19.0)</f>
        <v>19</v>
      </c>
      <c r="AD408" s="277">
        <f>IFERROR(__xludf.DUMMYFUNCTION("""COMPUTED_VALUE"""),210789.0)</f>
        <v>210789</v>
      </c>
      <c r="AE408" s="277"/>
      <c r="AF408" s="277">
        <f>IFERROR(__xludf.DUMMYFUNCTION("""COMPUTED_VALUE"""),210789.0)</f>
        <v>210789</v>
      </c>
      <c r="AG408" s="208"/>
      <c r="AH408" s="208"/>
      <c r="AI408" s="208"/>
      <c r="AJ408" s="208"/>
      <c r="AK408" s="208"/>
    </row>
    <row r="409">
      <c r="A409" s="273">
        <f>IFERROR(__xludf.DUMMYFUNCTION("""COMPUTED_VALUE"""),46157.0)</f>
        <v>46157</v>
      </c>
      <c r="B409" s="274">
        <f>IFERROR(__xludf.DUMMYFUNCTION("""COMPUTED_VALUE"""),0.3541666666678793)</f>
        <v>0.3541666667</v>
      </c>
      <c r="C409" s="208" t="str">
        <f>IFERROR(__xludf.DUMMYFUNCTION("""COMPUTED_VALUE"""),"Rcs")</f>
        <v>Rcs</v>
      </c>
      <c r="D409" s="208" t="str">
        <f>IFERROR(__xludf.DUMMYFUNCTION("""COMPUTED_VALUE"""),"Promtional")</f>
        <v>Promtional</v>
      </c>
      <c r="E409" s="208" t="str">
        <f>IFERROR(__xludf.DUMMYFUNCTION("""COMPUTED_VALUE"""),"VS")</f>
        <v>VS</v>
      </c>
      <c r="F409" s="208" t="str">
        <f>IFERROR(__xludf.DUMMYFUNCTION("""COMPUTED_VALUE"""),"Season of Strapless - Branding Campaign - Strapless Bra")</f>
        <v>Season of Strapless - Branding Campaign - Strapless Bra</v>
      </c>
      <c r="G409" s="208" t="str">
        <f>IFERROR(__xludf.DUMMYFUNCTION("""COMPUTED_VALUE"""),"Strapless_On")</f>
        <v>Strapless_On</v>
      </c>
      <c r="H409" s="208" t="str">
        <f>IFERROR(__xludf.DUMMYFUNCTION("""COMPUTED_VALUE"""),"VS_ON_Strapless_Launch")</f>
        <v>VS_ON_Strapless_Launch</v>
      </c>
      <c r="I409" s="233" t="str">
        <f>IFERROR(__xludf.DUMMYFUNCTION("""COMPUTED_VALUE"""),"Online customers who have purchased with AOV&gt;5500 OR predom purchased from L3: Bra OR purchased from L2: Fragrances, Sleep &amp; Lounge Wear AND not purchased from L2: Bra in the last 1095 days OR have added to cart at least 1 time from item category Bra or v"&amp;"iewed item at least 2 times from item_category 2: Bra but not purchased in the last 90 days")</f>
        <v>Online customers who have purchased with AOV&gt;5500 OR predom purchased from L3: Bra OR purchased from L2: Fragrances, Sleep &amp; Lounge Wear AND not purchased from L2: Bra in the last 1095 days OR have added to cart at least 1 time from item category Bra or viewed item at least 2 times from item_category 2: Bra but not purchased in the last 90 days</v>
      </c>
      <c r="J409" s="275">
        <f>IFERROR(__xludf.DUMMYFUNCTION("""COMPUTED_VALUE"""),63402.0)</f>
        <v>63402</v>
      </c>
      <c r="K409" s="275">
        <f>IFERROR(__xludf.DUMMYFUNCTION("""COMPUTED_VALUE"""),10374.0)</f>
        <v>10374</v>
      </c>
      <c r="L409" s="276">
        <f>IFERROR(__xludf.DUMMYFUNCTION("""COMPUTED_VALUE"""),0.1636)</f>
        <v>0.1636</v>
      </c>
      <c r="M409" s="275">
        <f>IFERROR(__xludf.DUMMYFUNCTION("""COMPUTED_VALUE"""),1586.0)</f>
        <v>1586</v>
      </c>
      <c r="N409" s="276">
        <f>IFERROR(__xludf.DUMMYFUNCTION("""COMPUTED_VALUE"""),0.153)</f>
        <v>0.153</v>
      </c>
      <c r="O409" s="208">
        <f>IFERROR(__xludf.DUMMYFUNCTION("""COMPUTED_VALUE"""),38.0)</f>
        <v>38</v>
      </c>
      <c r="P409" s="208">
        <f>IFERROR(__xludf.DUMMYFUNCTION("""COMPUTED_VALUE"""),0.0)</f>
        <v>0</v>
      </c>
      <c r="Q409" s="276">
        <f>IFERROR(__xludf.DUMMYFUNCTION("""COMPUTED_VALUE"""),0.0039)</f>
        <v>0.0039</v>
      </c>
      <c r="R409" s="276">
        <f>IFERROR(__xludf.DUMMYFUNCTION("""COMPUTED_VALUE"""),0.0)</f>
        <v>0</v>
      </c>
      <c r="S409" s="208"/>
      <c r="T409" s="208"/>
      <c r="U409" s="275"/>
      <c r="V409" s="208" t="str">
        <f>IFERROR(__xludf.DUMMYFUNCTION("""COMPUTED_VALUE"""),"online")</f>
        <v>online</v>
      </c>
      <c r="W409" s="232" t="str">
        <f>IFERROR(__xludf.DUMMYFUNCTION("""COMPUTED_VALUE"""),"Rcs")</f>
        <v>Rcs</v>
      </c>
      <c r="X409" s="232" t="str">
        <f>IFERROR(__xludf.DUMMYFUNCTION("""COMPUTED_VALUE"""),"Generic")</f>
        <v>Generic</v>
      </c>
      <c r="Y409" s="232" t="str">
        <f>IFERROR(__xludf.DUMMYFUNCTION("""COMPUTED_VALUE"""),"15th - 18th May")</f>
        <v>15th - 18th May</v>
      </c>
      <c r="Z409" s="232" t="str">
        <f>IFERROR(__xludf.DUMMYFUNCTION("""COMPUTED_VALUE"""),"6a05ca7fc36cdf2625d80073")</f>
        <v>6a05ca7fc36cdf2625d80073</v>
      </c>
      <c r="AA409" s="277">
        <f>IFERROR(__xludf.DUMMYFUNCTION("""COMPUTED_VALUE"""),7.0)</f>
        <v>7</v>
      </c>
      <c r="AB409" s="277">
        <f>IFERROR(__xludf.DUMMYFUNCTION("""COMPUTED_VALUE"""),7.0)</f>
        <v>7</v>
      </c>
      <c r="AC409" s="277"/>
      <c r="AD409" s="277">
        <f>IFERROR(__xludf.DUMMYFUNCTION("""COMPUTED_VALUE"""),109982.0)</f>
        <v>109982</v>
      </c>
      <c r="AE409" s="277">
        <f>IFERROR(__xludf.DUMMYFUNCTION("""COMPUTED_VALUE"""),109982.0)</f>
        <v>109982</v>
      </c>
      <c r="AF409" s="277"/>
      <c r="AG409" s="208"/>
      <c r="AH409" s="208"/>
      <c r="AI409" s="208"/>
      <c r="AJ409" s="208"/>
      <c r="AK409" s="208"/>
    </row>
    <row r="410">
      <c r="A410" s="273">
        <f>IFERROR(__xludf.DUMMYFUNCTION("""COMPUTED_VALUE"""),46157.0)</f>
        <v>46157</v>
      </c>
      <c r="B410" s="274">
        <f>IFERROR(__xludf.DUMMYFUNCTION("""COMPUTED_VALUE"""),0.3541666666678793)</f>
        <v>0.3541666667</v>
      </c>
      <c r="C410" s="208" t="str">
        <f>IFERROR(__xludf.DUMMYFUNCTION("""COMPUTED_VALUE"""),"Rcs")</f>
        <v>Rcs</v>
      </c>
      <c r="D410" s="208" t="str">
        <f>IFERROR(__xludf.DUMMYFUNCTION("""COMPUTED_VALUE"""),"Promtional")</f>
        <v>Promtional</v>
      </c>
      <c r="E410" s="208" t="str">
        <f>IFERROR(__xludf.DUMMYFUNCTION("""COMPUTED_VALUE"""),"VS")</f>
        <v>VS</v>
      </c>
      <c r="F410" s="208" t="str">
        <f>IFERROR(__xludf.DUMMYFUNCTION("""COMPUTED_VALUE"""),"Season of Strapless - Branding Campaign - Strapless Bra")</f>
        <v>Season of Strapless - Branding Campaign - Strapless Bra</v>
      </c>
      <c r="G410" s="208" t="str">
        <f>IFERROR(__xludf.DUMMYFUNCTION("""COMPUTED_VALUE"""),"Strapless_FA")</f>
        <v>Strapless_FA</v>
      </c>
      <c r="H410" s="208" t="str">
        <f>IFERROR(__xludf.DUMMYFUNCTION("""COMPUTED_VALUE"""),"VS_OFF_Strapless_Launch_FA")</f>
        <v>VS_OFF_Strapless_Launch_FA</v>
      </c>
      <c r="I410" s="233" t="str">
        <f>IFERROR(__xludf.DUMMYFUNCTION("""COMPUTED_VALUE"""),"Offline customers who have purchased with AOV&gt;5500 OR predom purchased from L3: Bra OR purchased from L2: Fragrances, Sleep &amp; Lounge Wear AND not purchased from L2: Bra in the last 1095 days AND has shopped from stores: VS PHOENIX PALLADIUM MALL, VS AMBIE"&amp;"NCE MALL, VS AMBIENCE GURGAON MALL, VS ORION BANGALORE, VS ELEGANTE DELHI, VS MALL OF ASIA")</f>
        <v>Offline customers who have purchased with AOV&gt;5500 OR predom purchased from L3: Bra OR purchased from L2: Fragrances, Sleep &amp; Lounge Wear AND not purchased from L2: Bra in the last 1095 days AND has shopped from stores: VS PHOENIX PALLADIUM MALL, VS AMBIENCE MALL, VS AMBIENCE GURGAON MALL, VS ORION BANGALORE, VS ELEGANTE DELHI, VS MALL OF ASIA</v>
      </c>
      <c r="J410" s="275">
        <f>IFERROR(__xludf.DUMMYFUNCTION("""COMPUTED_VALUE"""),59752.0)</f>
        <v>59752</v>
      </c>
      <c r="K410" s="275">
        <f>IFERROR(__xludf.DUMMYFUNCTION("""COMPUTED_VALUE"""),7080.0)</f>
        <v>7080</v>
      </c>
      <c r="L410" s="276">
        <f>IFERROR(__xludf.DUMMYFUNCTION("""COMPUTED_VALUE"""),0.1185)</f>
        <v>0.1185</v>
      </c>
      <c r="M410" s="275">
        <f>IFERROR(__xludf.DUMMYFUNCTION("""COMPUTED_VALUE"""),1193.0)</f>
        <v>1193</v>
      </c>
      <c r="N410" s="276">
        <f>IFERROR(__xludf.DUMMYFUNCTION("""COMPUTED_VALUE"""),0.1685)</f>
        <v>0.1685</v>
      </c>
      <c r="O410" s="208">
        <f>IFERROR(__xludf.DUMMYFUNCTION("""COMPUTED_VALUE"""),6.0)</f>
        <v>6</v>
      </c>
      <c r="P410" s="208">
        <f>IFERROR(__xludf.DUMMYFUNCTION("""COMPUTED_VALUE"""),0.0)</f>
        <v>0</v>
      </c>
      <c r="Q410" s="276">
        <f>IFERROR(__xludf.DUMMYFUNCTION("""COMPUTED_VALUE"""),8.0E-4)</f>
        <v>0.0008</v>
      </c>
      <c r="R410" s="276">
        <f>IFERROR(__xludf.DUMMYFUNCTION("""COMPUTED_VALUE"""),0.0)</f>
        <v>0</v>
      </c>
      <c r="S410" s="208"/>
      <c r="T410" s="208"/>
      <c r="U410" s="275"/>
      <c r="V410" s="208" t="str">
        <f>IFERROR(__xludf.DUMMYFUNCTION("""COMPUTED_VALUE"""),"offline")</f>
        <v>offline</v>
      </c>
      <c r="W410" s="232" t="str">
        <f>IFERROR(__xludf.DUMMYFUNCTION("""COMPUTED_VALUE"""),"Rcs")</f>
        <v>Rcs</v>
      </c>
      <c r="X410" s="232" t="str">
        <f>IFERROR(__xludf.DUMMYFUNCTION("""COMPUTED_VALUE"""),"Generic")</f>
        <v>Generic</v>
      </c>
      <c r="Y410" s="232" t="str">
        <f>IFERROR(__xludf.DUMMYFUNCTION("""COMPUTED_VALUE"""),"15th - 18th May")</f>
        <v>15th - 18th May</v>
      </c>
      <c r="Z410" s="232" t="str">
        <f>IFERROR(__xludf.DUMMYFUNCTION("""COMPUTED_VALUE"""),"6a05cac4080ba89279e74ae6")</f>
        <v>6a05cac4080ba89279e74ae6</v>
      </c>
      <c r="AA410" s="277">
        <f>IFERROR(__xludf.DUMMYFUNCTION("""COMPUTED_VALUE"""),18.0)</f>
        <v>18</v>
      </c>
      <c r="AB410" s="277"/>
      <c r="AC410" s="277">
        <f>IFERROR(__xludf.DUMMYFUNCTION("""COMPUTED_VALUE"""),18.0)</f>
        <v>18</v>
      </c>
      <c r="AD410" s="277">
        <f>IFERROR(__xludf.DUMMYFUNCTION("""COMPUTED_VALUE"""),248653.0)</f>
        <v>248653</v>
      </c>
      <c r="AE410" s="277"/>
      <c r="AF410" s="277">
        <f>IFERROR(__xludf.DUMMYFUNCTION("""COMPUTED_VALUE"""),248653.0)</f>
        <v>248653</v>
      </c>
      <c r="AG410" s="208"/>
      <c r="AH410" s="208"/>
      <c r="AI410" s="208"/>
      <c r="AJ410" s="208"/>
      <c r="AK410" s="208"/>
    </row>
    <row r="411">
      <c r="A411" s="273">
        <f>IFERROR(__xludf.DUMMYFUNCTION("""COMPUTED_VALUE"""),46157.0)</f>
        <v>46157</v>
      </c>
      <c r="B411" s="274">
        <f>IFERROR(__xludf.DUMMYFUNCTION("""COMPUTED_VALUE"""),0.3541666666678793)</f>
        <v>0.3541666667</v>
      </c>
      <c r="C411" s="208" t="str">
        <f>IFERROR(__xludf.DUMMYFUNCTION("""COMPUTED_VALUE"""),"Rcs")</f>
        <v>Rcs</v>
      </c>
      <c r="D411" s="208" t="str">
        <f>IFERROR(__xludf.DUMMYFUNCTION("""COMPUTED_VALUE"""),"Promtional")</f>
        <v>Promtional</v>
      </c>
      <c r="E411" s="208" t="str">
        <f>IFERROR(__xludf.DUMMYFUNCTION("""COMPUTED_VALUE"""),"VS")</f>
        <v>VS</v>
      </c>
      <c r="F411" s="208" t="str">
        <f>IFERROR(__xludf.DUMMYFUNCTION("""COMPUTED_VALUE"""),"Season of Strapless - Branding Campaign - Strapless Bra")</f>
        <v>Season of Strapless - Branding Campaign - Strapless Bra</v>
      </c>
      <c r="G411" s="208" t="str">
        <f>IFERROR(__xludf.DUMMYFUNCTION("""COMPUTED_VALUE"""),"Strapless_BA")</f>
        <v>Strapless_BA</v>
      </c>
      <c r="H411" s="208" t="str">
        <f>IFERROR(__xludf.DUMMYFUNCTION("""COMPUTED_VALUE"""),"VS_OFF_Strapless_Launch_BA")</f>
        <v>VS_OFF_Strapless_Launch_BA</v>
      </c>
      <c r="I411" s="233" t="str">
        <f>IFERROR(__xludf.DUMMYFUNCTION("""COMPUTED_VALUE"""),"Offline customers who have purchased with AOV&gt;5500 OR predom purchased from L3: Bra OR purchased from L2: Fragrances, Sleep &amp; Lounge Wear AND not purchased from L2: Bra in the last 1095 days AND has shopped from stores: VS INORBIT HYDERABAD MALL, VS MALL "&amp;"OF MILLENNIUM, VS INORBIT MALL MALAD, VS MARKET CITY KURLA MALL, VS BA EXPRESS AVENUE CHENNAI, VS KOPA MALL PUNE, VS BA PALASSIO LUCKNOW, VS LULU KOCHI, VS BA ZORA RAIPUR, VS LAKESHORE HYDERABAD, VS NEXUS MALL  KORAMANGALA, VS NEXUS MALL  SUJANA, VSBA LAK"&amp;"ESHORE HYDERABA")</f>
        <v>Offline customers who have purchased with AOV&gt;5500 OR predom purchased from L3: Bra OR purchased from L2: Fragrances, Sleep &amp; Lounge Wear AND not purchased from L2: Bra in the last 1095 days AND has shopped from stores: VS INORBIT HYDERABAD MALL, VS MALL OF MILLENNIUM, VS INORBIT MALL MALAD, VS MARKET CITY KURLA MALL, VS BA EXPRESS AVENUE CHENNAI, VS KOPA MALL PUNE, VS BA PALASSIO LUCKNOW, VS LULU KOCHI, VS BA ZORA RAIPUR, VS LAKESHORE HYDERABAD, VS NEXUS MALL  KORAMANGALA, VS NEXUS MALL  SUJANA, VSBA LAKESHORE HYDERABA</v>
      </c>
      <c r="J411" s="275">
        <f>IFERROR(__xludf.DUMMYFUNCTION("""COMPUTED_VALUE"""),31064.0)</f>
        <v>31064</v>
      </c>
      <c r="K411" s="275">
        <f>IFERROR(__xludf.DUMMYFUNCTION("""COMPUTED_VALUE"""),5897.0)</f>
        <v>5897</v>
      </c>
      <c r="L411" s="276">
        <f>IFERROR(__xludf.DUMMYFUNCTION("""COMPUTED_VALUE"""),0.1898)</f>
        <v>0.1898</v>
      </c>
      <c r="M411" s="275">
        <f>IFERROR(__xludf.DUMMYFUNCTION("""COMPUTED_VALUE"""),847.0)</f>
        <v>847</v>
      </c>
      <c r="N411" s="276">
        <f>IFERROR(__xludf.DUMMYFUNCTION("""COMPUTED_VALUE"""),0.1436)</f>
        <v>0.1436</v>
      </c>
      <c r="O411" s="208">
        <f>IFERROR(__xludf.DUMMYFUNCTION("""COMPUTED_VALUE"""),5.0)</f>
        <v>5</v>
      </c>
      <c r="P411" s="208">
        <f>IFERROR(__xludf.DUMMYFUNCTION("""COMPUTED_VALUE"""),0.0)</f>
        <v>0</v>
      </c>
      <c r="Q411" s="276">
        <f>IFERROR(__xludf.DUMMYFUNCTION("""COMPUTED_VALUE"""),8.0E-4)</f>
        <v>0.0008</v>
      </c>
      <c r="R411" s="276">
        <f>IFERROR(__xludf.DUMMYFUNCTION("""COMPUTED_VALUE"""),0.0)</f>
        <v>0</v>
      </c>
      <c r="S411" s="208"/>
      <c r="T411" s="208"/>
      <c r="U411" s="275"/>
      <c r="V411" s="208" t="str">
        <f>IFERROR(__xludf.DUMMYFUNCTION("""COMPUTED_VALUE"""),"offline")</f>
        <v>offline</v>
      </c>
      <c r="W411" s="232" t="str">
        <f>IFERROR(__xludf.DUMMYFUNCTION("""COMPUTED_VALUE"""),"Rcs")</f>
        <v>Rcs</v>
      </c>
      <c r="X411" s="232" t="str">
        <f>IFERROR(__xludf.DUMMYFUNCTION("""COMPUTED_VALUE"""),"Generic")</f>
        <v>Generic</v>
      </c>
      <c r="Y411" s="232" t="str">
        <f>IFERROR(__xludf.DUMMYFUNCTION("""COMPUTED_VALUE"""),"15th - 18th May")</f>
        <v>15th - 18th May</v>
      </c>
      <c r="Z411" s="232" t="str">
        <f>IFERROR(__xludf.DUMMYFUNCTION("""COMPUTED_VALUE"""),"6a05cba4e5273bf137756665")</f>
        <v>6a05cba4e5273bf137756665</v>
      </c>
      <c r="AA411" s="277">
        <f>IFERROR(__xludf.DUMMYFUNCTION("""COMPUTED_VALUE"""),10.0)</f>
        <v>10</v>
      </c>
      <c r="AB411" s="277"/>
      <c r="AC411" s="277">
        <f>IFERROR(__xludf.DUMMYFUNCTION("""COMPUTED_VALUE"""),10.0)</f>
        <v>10</v>
      </c>
      <c r="AD411" s="277">
        <f>IFERROR(__xludf.DUMMYFUNCTION("""COMPUTED_VALUE"""),130012.0)</f>
        <v>130012</v>
      </c>
      <c r="AE411" s="277"/>
      <c r="AF411" s="277">
        <f>IFERROR(__xludf.DUMMYFUNCTION("""COMPUTED_VALUE"""),130012.0)</f>
        <v>130012</v>
      </c>
      <c r="AG411" s="208"/>
      <c r="AH411" s="208"/>
      <c r="AI411" s="208"/>
      <c r="AJ411" s="208"/>
      <c r="AK411" s="208"/>
    </row>
    <row r="412">
      <c r="A412" s="273">
        <f>IFERROR(__xludf.DUMMYFUNCTION("""COMPUTED_VALUE"""),46161.0)</f>
        <v>46161</v>
      </c>
      <c r="B412" s="274">
        <f>IFERROR(__xludf.DUMMYFUNCTION("""COMPUTED_VALUE"""),0.3819444444452529)</f>
        <v>0.3819444444</v>
      </c>
      <c r="C412" s="208" t="str">
        <f>IFERROR(__xludf.DUMMYFUNCTION("""COMPUTED_VALUE"""),"Whatsapp")</f>
        <v>Whatsapp</v>
      </c>
      <c r="D412" s="208" t="str">
        <f>IFERROR(__xludf.DUMMYFUNCTION("""COMPUTED_VALUE"""),"Promotional")</f>
        <v>Promotional</v>
      </c>
      <c r="E412" s="208" t="str">
        <f>IFERROR(__xludf.DUMMYFUNCTION("""COMPUTED_VALUE"""),"VS")</f>
        <v>VS</v>
      </c>
      <c r="F412" s="208" t="str">
        <f>IFERROR(__xludf.DUMMYFUNCTION("""COMPUTED_VALUE"""),"Pune NSO PMC FA - NSO Campaign")</f>
        <v>Pune NSO PMC FA - NSO Campaign</v>
      </c>
      <c r="G412" s="208" t="str">
        <f>IFERROR(__xludf.DUMMYFUNCTION("""COMPUTED_VALUE"""),"Pune_NSO_VS_CX")</f>
        <v>Pune_NSO_VS_CX</v>
      </c>
      <c r="H412" s="208" t="str">
        <f>IFERROR(__xludf.DUMMYFUNCTION("""COMPUTED_VALUE"""),"VS_Pune_Base")</f>
        <v>VS_Pune_Base</v>
      </c>
      <c r="I412" s="233" t="str">
        <f>IFERROR(__xludf.DUMMYFUNCTION("""COMPUTED_VALUE"""),"Customers who have purchased at least 1 time with Txn_City: Pune")</f>
        <v>Customers who have purchased at least 1 time with Txn_City: Pune</v>
      </c>
      <c r="J412" s="275">
        <f>IFERROR(__xludf.DUMMYFUNCTION("""COMPUTED_VALUE"""),15752.0)</f>
        <v>15752</v>
      </c>
      <c r="K412" s="275">
        <f>IFERROR(__xludf.DUMMYFUNCTION("""COMPUTED_VALUE"""),4875.0)</f>
        <v>4875</v>
      </c>
      <c r="L412" s="276">
        <f>IFERROR(__xludf.DUMMYFUNCTION("""COMPUTED_VALUE"""),0.3095)</f>
        <v>0.3095</v>
      </c>
      <c r="M412" s="275">
        <f>IFERROR(__xludf.DUMMYFUNCTION("""COMPUTED_VALUE"""),1353.0)</f>
        <v>1353</v>
      </c>
      <c r="N412" s="276">
        <f>IFERROR(__xludf.DUMMYFUNCTION("""COMPUTED_VALUE"""),0.2775)</f>
        <v>0.2775</v>
      </c>
      <c r="O412" s="208">
        <f>IFERROR(__xludf.DUMMYFUNCTION("""COMPUTED_VALUE"""),48.0)</f>
        <v>48</v>
      </c>
      <c r="P412" s="208">
        <f>IFERROR(__xludf.DUMMYFUNCTION("""COMPUTED_VALUE"""),41.0)</f>
        <v>41</v>
      </c>
      <c r="Q412" s="276">
        <f>IFERROR(__xludf.DUMMYFUNCTION("""COMPUTED_VALUE"""),0.0084)</f>
        <v>0.0084</v>
      </c>
      <c r="R412" s="276">
        <f>IFERROR(__xludf.DUMMYFUNCTION("""COMPUTED_VALUE"""),0.0303)</f>
        <v>0.0303</v>
      </c>
      <c r="S412" s="208">
        <f>IFERROR(__xludf.DUMMYFUNCTION("""COMPUTED_VALUE"""),5.0)</f>
        <v>5</v>
      </c>
      <c r="T412" s="208">
        <f>IFERROR(__xludf.DUMMYFUNCTION("""COMPUTED_VALUE"""),0.0)</f>
        <v>0</v>
      </c>
      <c r="U412" s="275">
        <f>IFERROR(__xludf.DUMMYFUNCTION("""COMPUTED_VALUE"""),64887.0)</f>
        <v>64887</v>
      </c>
      <c r="V412" s="208" t="str">
        <f>IFERROR(__xludf.DUMMYFUNCTION("""COMPUTED_VALUE"""),"overall")</f>
        <v>overall</v>
      </c>
      <c r="W412" s="232" t="str">
        <f>IFERROR(__xludf.DUMMYFUNCTION("""COMPUTED_VALUE"""),"Simple")</f>
        <v>Simple</v>
      </c>
      <c r="X412" s="232" t="str">
        <f>IFERROR(__xludf.DUMMYFUNCTION("""COMPUTED_VALUE"""),"City Specific")</f>
        <v>City Specific</v>
      </c>
      <c r="Y412" s="232" t="str">
        <f>IFERROR(__xludf.DUMMYFUNCTION("""COMPUTED_VALUE"""),"19th - 24th May")</f>
        <v>19th - 24th May</v>
      </c>
      <c r="Z412" s="232" t="str">
        <f>IFERROR(__xludf.DUMMYFUNCTION("""COMPUTED_VALUE"""),"6a0b097a277fd7b0cc0f60f3")</f>
        <v>6a0b097a277fd7b0cc0f60f3</v>
      </c>
      <c r="AA412" s="277">
        <f>IFERROR(__xludf.DUMMYFUNCTION("""COMPUTED_VALUE"""),27.0)</f>
        <v>27</v>
      </c>
      <c r="AB412" s="277">
        <f>IFERROR(__xludf.DUMMYFUNCTION("""COMPUTED_VALUE"""),14.0)</f>
        <v>14</v>
      </c>
      <c r="AC412" s="277">
        <f>IFERROR(__xludf.DUMMYFUNCTION("""COMPUTED_VALUE"""),13.0)</f>
        <v>13</v>
      </c>
      <c r="AD412" s="277">
        <f>IFERROR(__xludf.DUMMYFUNCTION("""COMPUTED_VALUE"""),227277.0)</f>
        <v>227277</v>
      </c>
      <c r="AE412" s="277">
        <f>IFERROR(__xludf.DUMMYFUNCTION("""COMPUTED_VALUE"""),42239.0)</f>
        <v>42239</v>
      </c>
      <c r="AF412" s="277">
        <f>IFERROR(__xludf.DUMMYFUNCTION("""COMPUTED_VALUE"""),185038.0)</f>
        <v>185038</v>
      </c>
      <c r="AG412" s="208"/>
      <c r="AH412" s="208"/>
      <c r="AI412" s="208"/>
      <c r="AJ412" s="208"/>
      <c r="AK412" s="208"/>
    </row>
    <row r="413">
      <c r="A413" s="273">
        <f>IFERROR(__xludf.DUMMYFUNCTION("""COMPUTED_VALUE"""),46161.0)</f>
        <v>46161</v>
      </c>
      <c r="B413" s="274">
        <f>IFERROR(__xludf.DUMMYFUNCTION("""COMPUTED_VALUE"""),0.9375)</f>
        <v>0.9375</v>
      </c>
      <c r="C413" s="208" t="str">
        <f>IFERROR(__xludf.DUMMYFUNCTION("""COMPUTED_VALUE"""),"Sms")</f>
        <v>Sms</v>
      </c>
      <c r="D413" s="208" t="str">
        <f>IFERROR(__xludf.DUMMYFUNCTION("""COMPUTED_VALUE"""),"Fallback campaign")</f>
        <v>Fallback campaign</v>
      </c>
      <c r="E413" s="208" t="str">
        <f>IFERROR(__xludf.DUMMYFUNCTION("""COMPUTED_VALUE"""),"VS")</f>
        <v>VS</v>
      </c>
      <c r="F413" s="208" t="str">
        <f>IFERROR(__xludf.DUMMYFUNCTION("""COMPUTED_VALUE"""),"Pune NSO PMC FA - NSO Campaign")</f>
        <v>Pune NSO PMC FA - NSO Campaign</v>
      </c>
      <c r="G413" s="208" t="str">
        <f>IFERROR(__xludf.DUMMYFUNCTION("""COMPUTED_VALUE"""),"Pune_NSO_VS_CX (FB)")</f>
        <v>Pune_NSO_VS_CX (FB)</v>
      </c>
      <c r="H413" s="208" t="str">
        <f>IFERROR(__xludf.DUMMYFUNCTION("""COMPUTED_VALUE"""),"VS_Pune_Base")</f>
        <v>VS_Pune_Base</v>
      </c>
      <c r="I413" s="233" t="str">
        <f>IFERROR(__xludf.DUMMYFUNCTION("""COMPUTED_VALUE"""),"WA Undelivered")</f>
        <v>WA Undelivered</v>
      </c>
      <c r="J413" s="275">
        <f>IFERROR(__xludf.DUMMYFUNCTION("""COMPUTED_VALUE"""),10159.0)</f>
        <v>10159</v>
      </c>
      <c r="K413" s="275">
        <f>IFERROR(__xludf.DUMMYFUNCTION("""COMPUTED_VALUE"""),6556.0)</f>
        <v>6556</v>
      </c>
      <c r="L413" s="276">
        <f>IFERROR(__xludf.DUMMYFUNCTION("""COMPUTED_VALUE"""),0.6453)</f>
        <v>0.6453</v>
      </c>
      <c r="M413" s="275">
        <f>IFERROR(__xludf.DUMMYFUNCTION("""COMPUTED_VALUE"""),0.0)</f>
        <v>0</v>
      </c>
      <c r="N413" s="276">
        <f>IFERROR(__xludf.DUMMYFUNCTION("""COMPUTED_VALUE"""),0.0)</f>
        <v>0</v>
      </c>
      <c r="O413" s="208">
        <f>IFERROR(__xludf.DUMMYFUNCTION("""COMPUTED_VALUE"""),9.0)</f>
        <v>9</v>
      </c>
      <c r="P413" s="208">
        <f>IFERROR(__xludf.DUMMYFUNCTION("""COMPUTED_VALUE"""),0.0)</f>
        <v>0</v>
      </c>
      <c r="Q413" s="276">
        <f>IFERROR(__xludf.DUMMYFUNCTION("""COMPUTED_VALUE"""),0.0014)</f>
        <v>0.0014</v>
      </c>
      <c r="R413" s="276">
        <f>IFERROR(__xludf.DUMMYFUNCTION("""COMPUTED_VALUE"""),0.0)</f>
        <v>0</v>
      </c>
      <c r="S413" s="208">
        <f>IFERROR(__xludf.DUMMYFUNCTION("""COMPUTED_VALUE"""),5.0)</f>
        <v>5</v>
      </c>
      <c r="T413" s="208">
        <f>IFERROR(__xludf.DUMMYFUNCTION("""COMPUTED_VALUE"""),0.0)</f>
        <v>0</v>
      </c>
      <c r="U413" s="275">
        <f>IFERROR(__xludf.DUMMYFUNCTION("""COMPUTED_VALUE"""),13943.0)</f>
        <v>13943</v>
      </c>
      <c r="V413" s="208" t="str">
        <f>IFERROR(__xludf.DUMMYFUNCTION("""COMPUTED_VALUE"""),"overall")</f>
        <v>overall</v>
      </c>
      <c r="W413" s="232" t="str">
        <f>IFERROR(__xludf.DUMMYFUNCTION("""COMPUTED_VALUE"""),"SMS")</f>
        <v>SMS</v>
      </c>
      <c r="X413" s="232" t="str">
        <f>IFERROR(__xludf.DUMMYFUNCTION("""COMPUTED_VALUE"""),"City Specific")</f>
        <v>City Specific</v>
      </c>
      <c r="Y413" s="232" t="str">
        <f>IFERROR(__xludf.DUMMYFUNCTION("""COMPUTED_VALUE"""),"19th - 24th May")</f>
        <v>19th - 24th May</v>
      </c>
      <c r="Z413" s="232" t="str">
        <f>IFERROR(__xludf.DUMMYFUNCTION("""COMPUTED_VALUE"""),"6a0b09bcc2ca07c3ca2733b1")</f>
        <v>6a0b09bcc2ca07c3ca2733b1</v>
      </c>
      <c r="AA413" s="277">
        <f>IFERROR(__xludf.DUMMYFUNCTION("""COMPUTED_VALUE"""),31.0)</f>
        <v>31</v>
      </c>
      <c r="AB413" s="277">
        <f>IFERROR(__xludf.DUMMYFUNCTION("""COMPUTED_VALUE"""),7.0)</f>
        <v>7</v>
      </c>
      <c r="AC413" s="277">
        <f>IFERROR(__xludf.DUMMYFUNCTION("""COMPUTED_VALUE"""),24.0)</f>
        <v>24</v>
      </c>
      <c r="AD413" s="277">
        <f>IFERROR(__xludf.DUMMYFUNCTION("""COMPUTED_VALUE"""),319203.0)</f>
        <v>319203</v>
      </c>
      <c r="AE413" s="277">
        <f>IFERROR(__xludf.DUMMYFUNCTION("""COMPUTED_VALUE"""),26669.0)</f>
        <v>26669</v>
      </c>
      <c r="AF413" s="277">
        <f>IFERROR(__xludf.DUMMYFUNCTION("""COMPUTED_VALUE"""),292534.0)</f>
        <v>292534</v>
      </c>
      <c r="AG413" s="208"/>
      <c r="AH413" s="208"/>
      <c r="AI413" s="208"/>
      <c r="AJ413" s="208"/>
      <c r="AK413" s="208"/>
    </row>
    <row r="414">
      <c r="A414" s="273">
        <f>IFERROR(__xludf.DUMMYFUNCTION("""COMPUTED_VALUE"""),46183.0)</f>
        <v>46183</v>
      </c>
      <c r="B414" s="274">
        <f>IFERROR(__xludf.DUMMYFUNCTION("""COMPUTED_VALUE"""),0.7083333333321207)</f>
        <v>0.7083333333</v>
      </c>
      <c r="C414" s="208" t="str">
        <f>IFERROR(__xludf.DUMMYFUNCTION("""COMPUTED_VALUE"""),"Whatsapp")</f>
        <v>Whatsapp</v>
      </c>
      <c r="D414" s="208" t="str">
        <f>IFERROR(__xludf.DUMMYFUNCTION("""COMPUTED_VALUE"""),"Promotional")</f>
        <v>Promotional</v>
      </c>
      <c r="E414" s="208" t="str">
        <f>IFERROR(__xludf.DUMMYFUNCTION("""COMPUTED_VALUE"""),"VS")</f>
        <v>VS</v>
      </c>
      <c r="F414" s="208" t="str">
        <f>IFERROR(__xludf.DUMMYFUNCTION("""COMPUTED_VALUE"""),"Semi-Annual Sale (June) - All")</f>
        <v>Semi-Annual Sale (June) - All</v>
      </c>
      <c r="G414" s="208" t="str">
        <f>IFERROR(__xludf.DUMMYFUNCTION("""COMPUTED_VALUE"""),"SAS_App_CX_EA")</f>
        <v>SAS_App_CX_EA</v>
      </c>
      <c r="H414" s="208" t="str">
        <f>IFERROR(__xludf.DUMMYFUNCTION("""COMPUTED_VALUE"""),"VS_App_Users")</f>
        <v>VS_App_Users</v>
      </c>
      <c r="I414" s="233" t="str">
        <f>IFERROR(__xludf.DUMMYFUNCTION("""COMPUTED_VALUE"""),"Users who are push-reachable on Android or iOS, have installed the app in the last 3 years, or have opened the app in the last 3 years (excluding browser/web sessions).")</f>
        <v>Users who are push-reachable on Android or iOS, have installed the app in the last 3 years, or have opened the app in the last 3 years (excluding browser/web sessions).</v>
      </c>
      <c r="J414" s="275">
        <f>IFERROR(__xludf.DUMMYFUNCTION("""COMPUTED_VALUE"""),23216.0)</f>
        <v>23216</v>
      </c>
      <c r="K414" s="275">
        <f>IFERROR(__xludf.DUMMYFUNCTION("""COMPUTED_VALUE"""),13534.0)</f>
        <v>13534</v>
      </c>
      <c r="L414" s="276">
        <f>IFERROR(__xludf.DUMMYFUNCTION("""COMPUTED_VALUE"""),0.5828)</f>
        <v>0.5828</v>
      </c>
      <c r="M414" s="275">
        <f>IFERROR(__xludf.DUMMYFUNCTION("""COMPUTED_VALUE"""),4214.0)</f>
        <v>4214</v>
      </c>
      <c r="N414" s="276">
        <f>IFERROR(__xludf.DUMMYFUNCTION("""COMPUTED_VALUE"""),0.3114)</f>
        <v>0.3114</v>
      </c>
      <c r="O414" s="208">
        <f>IFERROR(__xludf.DUMMYFUNCTION("""COMPUTED_VALUE"""),1195.0)</f>
        <v>1195</v>
      </c>
      <c r="P414" s="208">
        <f>IFERROR(__xludf.DUMMYFUNCTION("""COMPUTED_VALUE"""),1045.0)</f>
        <v>1045</v>
      </c>
      <c r="Q414" s="276">
        <f>IFERROR(__xludf.DUMMYFUNCTION("""COMPUTED_VALUE"""),0.0772)</f>
        <v>0.0772</v>
      </c>
      <c r="R414" s="276">
        <f>IFERROR(__xludf.DUMMYFUNCTION("""COMPUTED_VALUE"""),0.248)</f>
        <v>0.248</v>
      </c>
      <c r="S414" s="208">
        <f>IFERROR(__xludf.DUMMYFUNCTION("""COMPUTED_VALUE"""),111.0)</f>
        <v>111</v>
      </c>
      <c r="T414" s="208">
        <f>IFERROR(__xludf.DUMMYFUNCTION("""COMPUTED_VALUE"""),0.0)</f>
        <v>0</v>
      </c>
      <c r="U414" s="275">
        <f>IFERROR(__xludf.DUMMYFUNCTION("""COMPUTED_VALUE"""),760467.0)</f>
        <v>760467</v>
      </c>
      <c r="V414" s="208" t="str">
        <f>IFERROR(__xludf.DUMMYFUNCTION("""COMPUTED_VALUE"""),"online")</f>
        <v>online</v>
      </c>
      <c r="W414" s="232" t="str">
        <f>IFERROR(__xludf.DUMMYFUNCTION("""COMPUTED_VALUE"""),"simple")</f>
        <v>simple</v>
      </c>
      <c r="X414" s="232" t="str">
        <f>IFERROR(__xludf.DUMMYFUNCTION("""COMPUTED_VALUE"""),"App Users")</f>
        <v>App Users</v>
      </c>
      <c r="Y414" s="232" t="str">
        <f>IFERROR(__xludf.DUMMYFUNCTION("""COMPUTED_VALUE"""),"10th - 14th June")</f>
        <v>10th - 14th June</v>
      </c>
      <c r="Z414" s="232" t="str">
        <f>IFERROR(__xludf.DUMMYFUNCTION("""COMPUTED_VALUE"""),"6a291e870eadbd1fb7c6371d")</f>
        <v>6a291e870eadbd1fb7c6371d</v>
      </c>
      <c r="AA414" s="277">
        <f>IFERROR(__xludf.DUMMYFUNCTION("""COMPUTED_VALUE"""),140.0)</f>
        <v>140</v>
      </c>
      <c r="AB414" s="277">
        <f>IFERROR(__xludf.DUMMYFUNCTION("""COMPUTED_VALUE"""),140.0)</f>
        <v>140</v>
      </c>
      <c r="AC414" s="277"/>
      <c r="AD414" s="277">
        <f>IFERROR(__xludf.DUMMYFUNCTION("""COMPUTED_VALUE"""),885756.0)</f>
        <v>885756</v>
      </c>
      <c r="AE414" s="277">
        <f>IFERROR(__xludf.DUMMYFUNCTION("""COMPUTED_VALUE"""),885756.0)</f>
        <v>885756</v>
      </c>
      <c r="AF414" s="277"/>
      <c r="AG414" s="208"/>
      <c r="AH414" s="208"/>
      <c r="AI414" s="208"/>
      <c r="AJ414" s="208"/>
      <c r="AK414" s="208"/>
    </row>
    <row r="415">
      <c r="A415" s="273">
        <f>IFERROR(__xludf.DUMMYFUNCTION("""COMPUTED_VALUE"""),46184.0)</f>
        <v>46184</v>
      </c>
      <c r="B415" s="274">
        <f>IFERROR(__xludf.DUMMYFUNCTION("""COMPUTED_VALUE"""),0.3541666666678793)</f>
        <v>0.3541666667</v>
      </c>
      <c r="C415" s="208" t="str">
        <f>IFERROR(__xludf.DUMMYFUNCTION("""COMPUTED_VALUE"""),"Whatsapp")</f>
        <v>Whatsapp</v>
      </c>
      <c r="D415" s="208" t="str">
        <f>IFERROR(__xludf.DUMMYFUNCTION("""COMPUTED_VALUE"""),"Promotional")</f>
        <v>Promotional</v>
      </c>
      <c r="E415" s="208" t="str">
        <f>IFERROR(__xludf.DUMMYFUNCTION("""COMPUTED_VALUE"""),"VS")</f>
        <v>VS</v>
      </c>
      <c r="F415" s="208" t="str">
        <f>IFERROR(__xludf.DUMMYFUNCTION("""COMPUTED_VALUE"""),"Semi-Annual Sale (June) - All")</f>
        <v>Semi-Annual Sale (June) - All</v>
      </c>
      <c r="G415" s="208" t="str">
        <f>IFERROR(__xludf.DUMMYFUNCTION("""COMPUTED_VALUE"""),"SAS_Off_Event_CX")</f>
        <v>SAS_Off_Event_CX</v>
      </c>
      <c r="H415" s="208" t="str">
        <f>IFERROR(__xludf.DUMMYFUNCTION("""COMPUTED_VALUE"""),"VS_OFF_Event_Buyers_03_06_26")</f>
        <v>VS_OFF_Event_Buyers_03_06_26</v>
      </c>
      <c r="I415" s="233" t="str">
        <f>IFERROR(__xludf.DUMMYFUNCTION("""COMPUTED_VALUE"""),"Offline Customers who have purchased at least 1 time during 5–7 May 2023, 15 June–13 July 2023, 6–8 October 2023, 15 December 2023–12 January 2024, 10–12 May 2024, 13 June–4 July 2024, 25–27 October 2024, 19 December 2024–9 January 2025, 9–11 May 2025, 11"&amp;"–30 June 2025, 2–5 October 2025, 17 December 2025–22 January 2026, or 7–12 May 2026.(SAS and TILI)")</f>
        <v>Offline Customers who have purchased at least 1 time during 5–7 May 2023, 15 June–13 July 2023, 6–8 October 2023, 15 December 2023–12 January 2024, 10–12 May 2024, 13 June–4 July 2024, 25–27 October 2024, 19 December 2024–9 January 2025, 9–11 May 2025, 11–30 June 2025, 2–5 October 2025, 17 December 2025–22 January 2026, or 7–12 May 2026.(SAS and TILI)</v>
      </c>
      <c r="J415" s="275">
        <f>IFERROR(__xludf.DUMMYFUNCTION("""COMPUTED_VALUE"""),61790.0)</f>
        <v>61790</v>
      </c>
      <c r="K415" s="275">
        <f>IFERROR(__xludf.DUMMYFUNCTION("""COMPUTED_VALUE"""),34822.0)</f>
        <v>34822</v>
      </c>
      <c r="L415" s="276">
        <f>IFERROR(__xludf.DUMMYFUNCTION("""COMPUTED_VALUE"""),0.5635)</f>
        <v>0.5635</v>
      </c>
      <c r="M415" s="275">
        <f>IFERROR(__xludf.DUMMYFUNCTION("""COMPUTED_VALUE"""),9191.0)</f>
        <v>9191</v>
      </c>
      <c r="N415" s="276">
        <f>IFERROR(__xludf.DUMMYFUNCTION("""COMPUTED_VALUE"""),0.2637)</f>
        <v>0.2637</v>
      </c>
      <c r="O415" s="208">
        <f>IFERROR(__xludf.DUMMYFUNCTION("""COMPUTED_VALUE"""),894.0)</f>
        <v>894</v>
      </c>
      <c r="P415" s="208">
        <f>IFERROR(__xludf.DUMMYFUNCTION("""COMPUTED_VALUE"""),847.0)</f>
        <v>847</v>
      </c>
      <c r="Q415" s="276">
        <f>IFERROR(__xludf.DUMMYFUNCTION("""COMPUTED_VALUE"""),0.0243)</f>
        <v>0.0243</v>
      </c>
      <c r="R415" s="276">
        <f>IFERROR(__xludf.DUMMYFUNCTION("""COMPUTED_VALUE"""),0.0922)</f>
        <v>0.0922</v>
      </c>
      <c r="S415" s="208">
        <f>IFERROR(__xludf.DUMMYFUNCTION("""COMPUTED_VALUE"""),240.0)</f>
        <v>240</v>
      </c>
      <c r="T415" s="208">
        <f>IFERROR(__xludf.DUMMYFUNCTION("""COMPUTED_VALUE"""),0.0)</f>
        <v>0</v>
      </c>
      <c r="U415" s="275">
        <f>IFERROR(__xludf.DUMMYFUNCTION("""COMPUTED_VALUE"""),2265240.0)</f>
        <v>2265240</v>
      </c>
      <c r="V415" s="208" t="str">
        <f>IFERROR(__xludf.DUMMYFUNCTION("""COMPUTED_VALUE"""),"offline")</f>
        <v>offline</v>
      </c>
      <c r="W415" s="232" t="str">
        <f>IFERROR(__xludf.DUMMYFUNCTION("""COMPUTED_VALUE"""),"simple")</f>
        <v>simple</v>
      </c>
      <c r="X415" s="232" t="str">
        <f>IFERROR(__xludf.DUMMYFUNCTION("""COMPUTED_VALUE"""),"Event Buyers")</f>
        <v>Event Buyers</v>
      </c>
      <c r="Y415" s="232" t="str">
        <f>IFERROR(__xludf.DUMMYFUNCTION("""COMPUTED_VALUE"""),"11th - 14th June")</f>
        <v>11th - 14th June</v>
      </c>
      <c r="Z415" s="232" t="str">
        <f>IFERROR(__xludf.DUMMYFUNCTION("""COMPUTED_VALUE"""),"6a2956803a8e3aa629df6af0")</f>
        <v>6a2956803a8e3aa629df6af0</v>
      </c>
      <c r="AA415" s="277">
        <f>IFERROR(__xludf.DUMMYFUNCTION("""COMPUTED_VALUE"""),375.0)</f>
        <v>375</v>
      </c>
      <c r="AB415" s="277"/>
      <c r="AC415" s="277">
        <f>IFERROR(__xludf.DUMMYFUNCTION("""COMPUTED_VALUE"""),375.0)</f>
        <v>375</v>
      </c>
      <c r="AD415" s="277">
        <f>IFERROR(__xludf.DUMMYFUNCTION("""COMPUTED_VALUE"""),3227534.0)</f>
        <v>3227534</v>
      </c>
      <c r="AE415" s="277"/>
      <c r="AF415" s="277">
        <f>IFERROR(__xludf.DUMMYFUNCTION("""COMPUTED_VALUE"""),3227534.0)</f>
        <v>3227534</v>
      </c>
      <c r="AG415" s="208"/>
      <c r="AH415" s="208"/>
      <c r="AI415" s="208"/>
      <c r="AJ415" s="208"/>
      <c r="AK415" s="208"/>
    </row>
    <row r="416">
      <c r="A416" s="273">
        <f>IFERROR(__xludf.DUMMYFUNCTION("""COMPUTED_VALUE"""),46184.0)</f>
        <v>46184</v>
      </c>
      <c r="B416" s="274">
        <f>IFERROR(__xludf.DUMMYFUNCTION("""COMPUTED_VALUE"""),0.35763888889050577)</f>
        <v>0.3576388889</v>
      </c>
      <c r="C416" s="208" t="str">
        <f>IFERROR(__xludf.DUMMYFUNCTION("""COMPUTED_VALUE"""),"Whatsapp")</f>
        <v>Whatsapp</v>
      </c>
      <c r="D416" s="208" t="str">
        <f>IFERROR(__xludf.DUMMYFUNCTION("""COMPUTED_VALUE"""),"Promotional")</f>
        <v>Promotional</v>
      </c>
      <c r="E416" s="208" t="str">
        <f>IFERROR(__xludf.DUMMYFUNCTION("""COMPUTED_VALUE"""),"VS")</f>
        <v>VS</v>
      </c>
      <c r="F416" s="208" t="str">
        <f>IFERROR(__xludf.DUMMYFUNCTION("""COMPUTED_VALUE"""),"Semi-Annual Sale (June) - All")</f>
        <v>Semi-Annual Sale (June) - All</v>
      </c>
      <c r="G416" s="208" t="str">
        <f>IFERROR(__xludf.DUMMYFUNCTION("""COMPUTED_VALUE"""),"SAS_Off_Recent_CX")</f>
        <v>SAS_Off_Recent_CX</v>
      </c>
      <c r="H416" s="208" t="str">
        <f>IFERROR(__xludf.DUMMYFUNCTION("""COMPUTED_VALUE"""),"VS_OFF_Recent")</f>
        <v>VS_OFF_Recent</v>
      </c>
      <c r="I416" s="233" t="str">
        <f>IFERROR(__xludf.DUMMYFUNCTION("""COMPUTED_VALUE"""),"Offline Customers who have purchased at least 1 time in the last 95 days")</f>
        <v>Offline Customers who have purchased at least 1 time in the last 95 days</v>
      </c>
      <c r="J416" s="275">
        <f>IFERROR(__xludf.DUMMYFUNCTION("""COMPUTED_VALUE"""),20963.0)</f>
        <v>20963</v>
      </c>
      <c r="K416" s="275">
        <f>IFERROR(__xludf.DUMMYFUNCTION("""COMPUTED_VALUE"""),12540.0)</f>
        <v>12540</v>
      </c>
      <c r="L416" s="276">
        <f>IFERROR(__xludf.DUMMYFUNCTION("""COMPUTED_VALUE"""),0.5981)</f>
        <v>0.5981</v>
      </c>
      <c r="M416" s="275">
        <f>IFERROR(__xludf.DUMMYFUNCTION("""COMPUTED_VALUE"""),3938.0)</f>
        <v>3938</v>
      </c>
      <c r="N416" s="276">
        <f>IFERROR(__xludf.DUMMYFUNCTION("""COMPUTED_VALUE"""),0.3138)</f>
        <v>0.3138</v>
      </c>
      <c r="O416" s="208">
        <f>IFERROR(__xludf.DUMMYFUNCTION("""COMPUTED_VALUE"""),656.0)</f>
        <v>656</v>
      </c>
      <c r="P416" s="208">
        <f>IFERROR(__xludf.DUMMYFUNCTION("""COMPUTED_VALUE"""),614.0)</f>
        <v>614</v>
      </c>
      <c r="Q416" s="276">
        <f>IFERROR(__xludf.DUMMYFUNCTION("""COMPUTED_VALUE"""),0.049)</f>
        <v>0.049</v>
      </c>
      <c r="R416" s="276">
        <f>IFERROR(__xludf.DUMMYFUNCTION("""COMPUTED_VALUE"""),0.156)</f>
        <v>0.156</v>
      </c>
      <c r="S416" s="208">
        <f>IFERROR(__xludf.DUMMYFUNCTION("""COMPUTED_VALUE"""),92.0)</f>
        <v>92</v>
      </c>
      <c r="T416" s="208">
        <f>IFERROR(__xludf.DUMMYFUNCTION("""COMPUTED_VALUE"""),0.0)</f>
        <v>0</v>
      </c>
      <c r="U416" s="275">
        <f>IFERROR(__xludf.DUMMYFUNCTION("""COMPUTED_VALUE"""),997018.0)</f>
        <v>997018</v>
      </c>
      <c r="V416" s="208" t="str">
        <f>IFERROR(__xludf.DUMMYFUNCTION("""COMPUTED_VALUE"""),"offline")</f>
        <v>offline</v>
      </c>
      <c r="W416" s="232" t="str">
        <f>IFERROR(__xludf.DUMMYFUNCTION("""COMPUTED_VALUE"""),"simple")</f>
        <v>simple</v>
      </c>
      <c r="X416" s="232" t="str">
        <f>IFERROR(__xludf.DUMMYFUNCTION("""COMPUTED_VALUE"""),"Active")</f>
        <v>Active</v>
      </c>
      <c r="Y416" s="232" t="str">
        <f>IFERROR(__xludf.DUMMYFUNCTION("""COMPUTED_VALUE"""),"11th - 14th June")</f>
        <v>11th - 14th June</v>
      </c>
      <c r="Z416" s="232" t="str">
        <f>IFERROR(__xludf.DUMMYFUNCTION("""COMPUTED_VALUE"""),"6a29570ae8f8ce53c89253fd")</f>
        <v>6a29570ae8f8ce53c89253fd</v>
      </c>
      <c r="AA416" s="277">
        <f>IFERROR(__xludf.DUMMYFUNCTION("""COMPUTED_VALUE"""),143.0)</f>
        <v>143</v>
      </c>
      <c r="AB416" s="277"/>
      <c r="AC416" s="277">
        <f>IFERROR(__xludf.DUMMYFUNCTION("""COMPUTED_VALUE"""),143.0)</f>
        <v>143</v>
      </c>
      <c r="AD416" s="277">
        <f>IFERROR(__xludf.DUMMYFUNCTION("""COMPUTED_VALUE"""),1435922.0)</f>
        <v>1435922</v>
      </c>
      <c r="AE416" s="277"/>
      <c r="AF416" s="277">
        <f>IFERROR(__xludf.DUMMYFUNCTION("""COMPUTED_VALUE"""),1435922.0)</f>
        <v>1435922</v>
      </c>
      <c r="AG416" s="208"/>
      <c r="AH416" s="208"/>
      <c r="AI416" s="208"/>
      <c r="AJ416" s="208"/>
      <c r="AK416" s="208"/>
    </row>
    <row r="417">
      <c r="A417" s="273">
        <f>IFERROR(__xludf.DUMMYFUNCTION("""COMPUTED_VALUE"""),46184.0)</f>
        <v>46184</v>
      </c>
      <c r="B417" s="274">
        <f>IFERROR(__xludf.DUMMYFUNCTION("""COMPUTED_VALUE"""),0.36111111110949423)</f>
        <v>0.3611111111</v>
      </c>
      <c r="C417" s="208" t="str">
        <f>IFERROR(__xludf.DUMMYFUNCTION("""COMPUTED_VALUE"""),"Whatsapp")</f>
        <v>Whatsapp</v>
      </c>
      <c r="D417" s="208" t="str">
        <f>IFERROR(__xludf.DUMMYFUNCTION("""COMPUTED_VALUE"""),"Promotional")</f>
        <v>Promotional</v>
      </c>
      <c r="E417" s="208" t="str">
        <f>IFERROR(__xludf.DUMMYFUNCTION("""COMPUTED_VALUE"""),"VS")</f>
        <v>VS</v>
      </c>
      <c r="F417" s="208" t="str">
        <f>IFERROR(__xludf.DUMMYFUNCTION("""COMPUTED_VALUE"""),"Semi-Annual Sale (June) - All")</f>
        <v>Semi-Annual Sale (June) - All</v>
      </c>
      <c r="G417" s="208" t="str">
        <f>IFERROR(__xludf.DUMMYFUNCTION("""COMPUTED_VALUE"""),"SAS_Off_Dormant_CX")</f>
        <v>SAS_Off_Dormant_CX</v>
      </c>
      <c r="H417" s="208" t="str">
        <f>IFERROR(__xludf.DUMMYFUNCTION("""COMPUTED_VALUE"""),"VS_OFF_Dormant")</f>
        <v>VS_OFF_Dormant</v>
      </c>
      <c r="I417" s="233" t="str">
        <f>IFERROR(__xludf.DUMMYFUNCTION("""COMPUTED_VALUE"""),"Offline Customers who have purchased at least 1 time in the last 365 days")</f>
        <v>Offline Customers who have purchased at least 1 time in the last 365 days</v>
      </c>
      <c r="J417" s="275">
        <f>IFERROR(__xludf.DUMMYFUNCTION("""COMPUTED_VALUE"""),58255.0)</f>
        <v>58255</v>
      </c>
      <c r="K417" s="275">
        <f>IFERROR(__xludf.DUMMYFUNCTION("""COMPUTED_VALUE"""),33810.0)</f>
        <v>33810</v>
      </c>
      <c r="L417" s="276">
        <f>IFERROR(__xludf.DUMMYFUNCTION("""COMPUTED_VALUE"""),0.5803)</f>
        <v>0.5803</v>
      </c>
      <c r="M417" s="275">
        <f>IFERROR(__xludf.DUMMYFUNCTION("""COMPUTED_VALUE"""),9127.0)</f>
        <v>9127</v>
      </c>
      <c r="N417" s="276">
        <f>IFERROR(__xludf.DUMMYFUNCTION("""COMPUTED_VALUE"""),0.2698)</f>
        <v>0.2698</v>
      </c>
      <c r="O417" s="208">
        <f>IFERROR(__xludf.DUMMYFUNCTION("""COMPUTED_VALUE"""),860.0)</f>
        <v>860</v>
      </c>
      <c r="P417" s="208">
        <f>IFERROR(__xludf.DUMMYFUNCTION("""COMPUTED_VALUE"""),817.0)</f>
        <v>817</v>
      </c>
      <c r="Q417" s="276">
        <f>IFERROR(__xludf.DUMMYFUNCTION("""COMPUTED_VALUE"""),0.0242)</f>
        <v>0.0242</v>
      </c>
      <c r="R417" s="276">
        <f>IFERROR(__xludf.DUMMYFUNCTION("""COMPUTED_VALUE"""),0.0896)</f>
        <v>0.0896</v>
      </c>
      <c r="S417" s="208">
        <f>IFERROR(__xludf.DUMMYFUNCTION("""COMPUTED_VALUE"""),157.0)</f>
        <v>157</v>
      </c>
      <c r="T417" s="208">
        <f>IFERROR(__xludf.DUMMYFUNCTION("""COMPUTED_VALUE"""),0.0)</f>
        <v>0</v>
      </c>
      <c r="U417" s="275">
        <f>IFERROR(__xludf.DUMMYFUNCTION("""COMPUTED_VALUE"""),1125233.0)</f>
        <v>1125233</v>
      </c>
      <c r="V417" s="208" t="str">
        <f>IFERROR(__xludf.DUMMYFUNCTION("""COMPUTED_VALUE"""),"offline")</f>
        <v>offline</v>
      </c>
      <c r="W417" s="232" t="str">
        <f>IFERROR(__xludf.DUMMYFUNCTION("""COMPUTED_VALUE"""),"simple")</f>
        <v>simple</v>
      </c>
      <c r="X417" s="232" t="str">
        <f>IFERROR(__xludf.DUMMYFUNCTION("""COMPUTED_VALUE"""),"Dormant")</f>
        <v>Dormant</v>
      </c>
      <c r="Y417" s="232" t="str">
        <f>IFERROR(__xludf.DUMMYFUNCTION("""COMPUTED_VALUE"""),"11th - 14th June")</f>
        <v>11th - 14th June</v>
      </c>
      <c r="Z417" s="232" t="str">
        <f>IFERROR(__xludf.DUMMYFUNCTION("""COMPUTED_VALUE"""),"6a295744c74eb2be8881af18")</f>
        <v>6a295744c74eb2be8881af18</v>
      </c>
      <c r="AA417" s="277">
        <f>IFERROR(__xludf.DUMMYFUNCTION("""COMPUTED_VALUE"""),217.0)</f>
        <v>217</v>
      </c>
      <c r="AB417" s="277"/>
      <c r="AC417" s="277">
        <f>IFERROR(__xludf.DUMMYFUNCTION("""COMPUTED_VALUE"""),217.0)</f>
        <v>217</v>
      </c>
      <c r="AD417" s="277">
        <f>IFERROR(__xludf.DUMMYFUNCTION("""COMPUTED_VALUE"""),333039.0)</f>
        <v>333039</v>
      </c>
      <c r="AE417" s="277"/>
      <c r="AF417" s="277">
        <f>IFERROR(__xludf.DUMMYFUNCTION("""COMPUTED_VALUE"""),333039.0)</f>
        <v>333039</v>
      </c>
      <c r="AG417" s="208"/>
      <c r="AH417" s="208"/>
      <c r="AI417" s="208"/>
      <c r="AJ417" s="208"/>
      <c r="AK417" s="208"/>
    </row>
    <row r="418">
      <c r="A418" s="273">
        <f>IFERROR(__xludf.DUMMYFUNCTION("""COMPUTED_VALUE"""),46184.0)</f>
        <v>46184</v>
      </c>
      <c r="B418" s="274">
        <f>IFERROR(__xludf.DUMMYFUNCTION("""COMPUTED_VALUE"""),0.3645833333321207)</f>
        <v>0.3645833333</v>
      </c>
      <c r="C418" s="208" t="str">
        <f>IFERROR(__xludf.DUMMYFUNCTION("""COMPUTED_VALUE"""),"Whatsapp")</f>
        <v>Whatsapp</v>
      </c>
      <c r="D418" s="208" t="str">
        <f>IFERROR(__xludf.DUMMYFUNCTION("""COMPUTED_VALUE"""),"Promotional")</f>
        <v>Promotional</v>
      </c>
      <c r="E418" s="208" t="str">
        <f>IFERROR(__xludf.DUMMYFUNCTION("""COMPUTED_VALUE"""),"VS")</f>
        <v>VS</v>
      </c>
      <c r="F418" s="208" t="str">
        <f>IFERROR(__xludf.DUMMYFUNCTION("""COMPUTED_VALUE"""),"Semi-Annual Sale (June) - All")</f>
        <v>Semi-Annual Sale (June) - All</v>
      </c>
      <c r="G418" s="208" t="str">
        <f>IFERROR(__xludf.DUMMYFUNCTION("""COMPUTED_VALUE"""),"SAS_Off_Churned_CX")</f>
        <v>SAS_Off_Churned_CX</v>
      </c>
      <c r="H418" s="208" t="str">
        <f>IFERROR(__xludf.DUMMYFUNCTION("""COMPUTED_VALUE"""),"VS_OFF_Churned")</f>
        <v>VS_OFF_Churned</v>
      </c>
      <c r="I418" s="233" t="str">
        <f>IFERROR(__xludf.DUMMYFUNCTION("""COMPUTED_VALUE"""),"Offline Customers who have purchased at least 1 time in the last 1095 days")</f>
        <v>Offline Customers who have purchased at least 1 time in the last 1095 days</v>
      </c>
      <c r="J418" s="275">
        <f>IFERROR(__xludf.DUMMYFUNCTION("""COMPUTED_VALUE"""),59989.0)</f>
        <v>59989</v>
      </c>
      <c r="K418" s="275">
        <f>IFERROR(__xludf.DUMMYFUNCTION("""COMPUTED_VALUE"""),32661.0)</f>
        <v>32661</v>
      </c>
      <c r="L418" s="276">
        <f>IFERROR(__xludf.DUMMYFUNCTION("""COMPUTED_VALUE"""),0.5444)</f>
        <v>0.5444</v>
      </c>
      <c r="M418" s="275">
        <f>IFERROR(__xludf.DUMMYFUNCTION("""COMPUTED_VALUE"""),8317.0)</f>
        <v>8317</v>
      </c>
      <c r="N418" s="276">
        <f>IFERROR(__xludf.DUMMYFUNCTION("""COMPUTED_VALUE"""),0.2544)</f>
        <v>0.2544</v>
      </c>
      <c r="O418" s="208">
        <f>IFERROR(__xludf.DUMMYFUNCTION("""COMPUTED_VALUE"""),702.0)</f>
        <v>702</v>
      </c>
      <c r="P418" s="208">
        <f>IFERROR(__xludf.DUMMYFUNCTION("""COMPUTED_VALUE"""),663.0)</f>
        <v>663</v>
      </c>
      <c r="Q418" s="276">
        <f>IFERROR(__xludf.DUMMYFUNCTION("""COMPUTED_VALUE"""),0.0203)</f>
        <v>0.0203</v>
      </c>
      <c r="R418" s="276">
        <f>IFERROR(__xludf.DUMMYFUNCTION("""COMPUTED_VALUE"""),0.0798)</f>
        <v>0.0798</v>
      </c>
      <c r="S418" s="208">
        <f>IFERROR(__xludf.DUMMYFUNCTION("""COMPUTED_VALUE"""),101.0)</f>
        <v>101</v>
      </c>
      <c r="T418" s="208">
        <f>IFERROR(__xludf.DUMMYFUNCTION("""COMPUTED_VALUE"""),0.0)</f>
        <v>0</v>
      </c>
      <c r="U418" s="275">
        <f>IFERROR(__xludf.DUMMYFUNCTION("""COMPUTED_VALUE"""),938911.0)</f>
        <v>938911</v>
      </c>
      <c r="V418" s="208" t="str">
        <f>IFERROR(__xludf.DUMMYFUNCTION("""COMPUTED_VALUE"""),"offline")</f>
        <v>offline</v>
      </c>
      <c r="W418" s="232" t="str">
        <f>IFERROR(__xludf.DUMMYFUNCTION("""COMPUTED_VALUE"""),"simple")</f>
        <v>simple</v>
      </c>
      <c r="X418" s="232" t="str">
        <f>IFERROR(__xludf.DUMMYFUNCTION("""COMPUTED_VALUE"""),"Churned")</f>
        <v>Churned</v>
      </c>
      <c r="Y418" s="232" t="str">
        <f>IFERROR(__xludf.DUMMYFUNCTION("""COMPUTED_VALUE"""),"11th - 14th June")</f>
        <v>11th - 14th June</v>
      </c>
      <c r="Z418" s="232" t="str">
        <f>IFERROR(__xludf.DUMMYFUNCTION("""COMPUTED_VALUE"""),"6a29577cce2da646f4ae0d60")</f>
        <v>6a29577cce2da646f4ae0d60</v>
      </c>
      <c r="AA418" s="277">
        <f>IFERROR(__xludf.DUMMYFUNCTION("""COMPUTED_VALUE"""),139.0)</f>
        <v>139</v>
      </c>
      <c r="AB418" s="277"/>
      <c r="AC418" s="277">
        <f>IFERROR(__xludf.DUMMYFUNCTION("""COMPUTED_VALUE"""),139.0)</f>
        <v>139</v>
      </c>
      <c r="AD418" s="277">
        <f>IFERROR(__xludf.DUMMYFUNCTION("""COMPUTED_VALUE"""),1383538.0)</f>
        <v>1383538</v>
      </c>
      <c r="AE418" s="277"/>
      <c r="AF418" s="277">
        <f>IFERROR(__xludf.DUMMYFUNCTION("""COMPUTED_VALUE"""),1383538.0)</f>
        <v>1383538</v>
      </c>
      <c r="AG418" s="208"/>
      <c r="AH418" s="208"/>
      <c r="AI418" s="208"/>
      <c r="AJ418" s="208"/>
      <c r="AK418" s="208"/>
    </row>
    <row r="419">
      <c r="A419" s="273">
        <f>IFERROR(__xludf.DUMMYFUNCTION("""COMPUTED_VALUE"""),46184.0)</f>
        <v>46184</v>
      </c>
      <c r="B419" s="274">
        <f>IFERROR(__xludf.DUMMYFUNCTION("""COMPUTED_VALUE"""),0.3680555555547471)</f>
        <v>0.3680555556</v>
      </c>
      <c r="C419" s="208" t="str">
        <f>IFERROR(__xludf.DUMMYFUNCTION("""COMPUTED_VALUE"""),"Whatsapp")</f>
        <v>Whatsapp</v>
      </c>
      <c r="D419" s="208" t="str">
        <f>IFERROR(__xludf.DUMMYFUNCTION("""COMPUTED_VALUE"""),"Promotional")</f>
        <v>Promotional</v>
      </c>
      <c r="E419" s="208" t="str">
        <f>IFERROR(__xludf.DUMMYFUNCTION("""COMPUTED_VALUE"""),"VS")</f>
        <v>VS</v>
      </c>
      <c r="F419" s="208" t="str">
        <f>IFERROR(__xludf.DUMMYFUNCTION("""COMPUTED_VALUE"""),"Semi-Annual Sale (June) - All")</f>
        <v>Semi-Annual Sale (June) - All</v>
      </c>
      <c r="G419" s="208" t="str">
        <f>IFERROR(__xludf.DUMMYFUNCTION("""COMPUTED_VALUE"""),"SAS_Off_LTV&gt;25k_CX")</f>
        <v>SAS_Off_LTV&gt;25k_CX</v>
      </c>
      <c r="H419" s="208" t="str">
        <f>IFERROR(__xludf.DUMMYFUNCTION("""COMPUTED_VALUE"""),"VS_OFF_LTV_25k")</f>
        <v>VS_OFF_LTV_25k</v>
      </c>
      <c r="I419" s="233" t="str">
        <f>IFERROR(__xludf.DUMMYFUNCTION("""COMPUTED_VALUE"""),"Offline Customers who have purchased with LTV &gt; INR 24,999")</f>
        <v>Offline Customers who have purchased with LTV &gt; INR 24,999</v>
      </c>
      <c r="J419" s="275">
        <f>IFERROR(__xludf.DUMMYFUNCTION("""COMPUTED_VALUE"""),17259.0)</f>
        <v>17259</v>
      </c>
      <c r="K419" s="275">
        <f>IFERROR(__xludf.DUMMYFUNCTION("""COMPUTED_VALUE"""),7753.0)</f>
        <v>7753</v>
      </c>
      <c r="L419" s="276">
        <f>IFERROR(__xludf.DUMMYFUNCTION("""COMPUTED_VALUE"""),0.4492)</f>
        <v>0.4492</v>
      </c>
      <c r="M419" s="275">
        <f>IFERROR(__xludf.DUMMYFUNCTION("""COMPUTED_VALUE"""),1596.0)</f>
        <v>1596</v>
      </c>
      <c r="N419" s="276">
        <f>IFERROR(__xludf.DUMMYFUNCTION("""COMPUTED_VALUE"""),0.2059)</f>
        <v>0.2059</v>
      </c>
      <c r="O419" s="208">
        <f>IFERROR(__xludf.DUMMYFUNCTION("""COMPUTED_VALUE"""),177.0)</f>
        <v>177</v>
      </c>
      <c r="P419" s="208">
        <f>IFERROR(__xludf.DUMMYFUNCTION("""COMPUTED_VALUE"""),170.0)</f>
        <v>170</v>
      </c>
      <c r="Q419" s="276">
        <f>IFERROR(__xludf.DUMMYFUNCTION("""COMPUTED_VALUE"""),0.0219)</f>
        <v>0.0219</v>
      </c>
      <c r="R419" s="276">
        <f>IFERROR(__xludf.DUMMYFUNCTION("""COMPUTED_VALUE"""),0.1065)</f>
        <v>0.1065</v>
      </c>
      <c r="S419" s="208">
        <f>IFERROR(__xludf.DUMMYFUNCTION("""COMPUTED_VALUE"""),123.0)</f>
        <v>123</v>
      </c>
      <c r="T419" s="208">
        <f>IFERROR(__xludf.DUMMYFUNCTION("""COMPUTED_VALUE"""),0.0)</f>
        <v>0</v>
      </c>
      <c r="U419" s="275">
        <f>IFERROR(__xludf.DUMMYFUNCTION("""COMPUTED_VALUE"""),1808976.0)</f>
        <v>1808976</v>
      </c>
      <c r="V419" s="208" t="str">
        <f>IFERROR(__xludf.DUMMYFUNCTION("""COMPUTED_VALUE"""),"offline")</f>
        <v>offline</v>
      </c>
      <c r="W419" s="232" t="str">
        <f>IFERROR(__xludf.DUMMYFUNCTION("""COMPUTED_VALUE"""),"simple")</f>
        <v>simple</v>
      </c>
      <c r="X419" s="232" t="str">
        <f>IFERROR(__xludf.DUMMYFUNCTION("""COMPUTED_VALUE"""),"LTV")</f>
        <v>LTV</v>
      </c>
      <c r="Y419" s="232" t="str">
        <f>IFERROR(__xludf.DUMMYFUNCTION("""COMPUTED_VALUE"""),"11th - 14th June")</f>
        <v>11th - 14th June</v>
      </c>
      <c r="Z419" s="232" t="str">
        <f>IFERROR(__xludf.DUMMYFUNCTION("""COMPUTED_VALUE"""),"6a2957d5170a11f18a9efe23")</f>
        <v>6a2957d5170a11f18a9efe23</v>
      </c>
      <c r="AA419" s="277">
        <f>IFERROR(__xludf.DUMMYFUNCTION("""COMPUTED_VALUE"""),186.0)</f>
        <v>186</v>
      </c>
      <c r="AB419" s="277"/>
      <c r="AC419" s="277">
        <f>IFERROR(__xludf.DUMMYFUNCTION("""COMPUTED_VALUE"""),186.0)</f>
        <v>186</v>
      </c>
      <c r="AD419" s="277">
        <f>IFERROR(__xludf.DUMMYFUNCTION("""COMPUTED_VALUE"""),2616685.0)</f>
        <v>2616685</v>
      </c>
      <c r="AE419" s="277"/>
      <c r="AF419" s="277">
        <f>IFERROR(__xludf.DUMMYFUNCTION("""COMPUTED_VALUE"""),2616685.0)</f>
        <v>2616685</v>
      </c>
      <c r="AG419" s="208"/>
      <c r="AH419" s="208"/>
      <c r="AI419" s="208"/>
      <c r="AJ419" s="208"/>
      <c r="AK419" s="208"/>
    </row>
    <row r="420">
      <c r="A420" s="273">
        <f>IFERROR(__xludf.DUMMYFUNCTION("""COMPUTED_VALUE"""),46184.0)</f>
        <v>46184</v>
      </c>
      <c r="B420" s="274">
        <f>IFERROR(__xludf.DUMMYFUNCTION("""COMPUTED_VALUE"""),0.6875)</f>
        <v>0.6875</v>
      </c>
      <c r="C420" s="208" t="str">
        <f>IFERROR(__xludf.DUMMYFUNCTION("""COMPUTED_VALUE"""),"Whatsapp")</f>
        <v>Whatsapp</v>
      </c>
      <c r="D420" s="208" t="str">
        <f>IFERROR(__xludf.DUMMYFUNCTION("""COMPUTED_VALUE"""),"Promotional")</f>
        <v>Promotional</v>
      </c>
      <c r="E420" s="208" t="str">
        <f>IFERROR(__xludf.DUMMYFUNCTION("""COMPUTED_VALUE"""),"VS")</f>
        <v>VS</v>
      </c>
      <c r="F420" s="208" t="str">
        <f>IFERROR(__xludf.DUMMYFUNCTION("""COMPUTED_VALUE"""),"Semi-Annual Sale (June) - All")</f>
        <v>Semi-Annual Sale (June) - All</v>
      </c>
      <c r="G420" s="208" t="str">
        <f>IFERROR(__xludf.DUMMYFUNCTION("""COMPUTED_VALUE"""),"SAS_On_ATC_CX")</f>
        <v>SAS_On_ATC_CX</v>
      </c>
      <c r="H420" s="208" t="str">
        <f>IFERROR(__xludf.DUMMYFUNCTION("""COMPUTED_VALUE"""),"VS_ON_ATC_78D_No_Pr")</f>
        <v>VS_ON_ATC_78D_No_Pr</v>
      </c>
      <c r="I420" s="233" t="str">
        <f>IFERROR(__xludf.DUMMYFUNCTION("""COMPUTED_VALUE"""),"Online customers who have Added to Cart at least 1 time OR have added to wishlist at least 1 time OR have viewed item at least 3 times in the last 78 days")</f>
        <v>Online customers who have Added to Cart at least 1 time OR have added to wishlist at least 1 time OR have viewed item at least 3 times in the last 78 days</v>
      </c>
      <c r="J420" s="275">
        <f>IFERROR(__xludf.DUMMYFUNCTION("""COMPUTED_VALUE"""),9319.0)</f>
        <v>9319</v>
      </c>
      <c r="K420" s="275">
        <f>IFERROR(__xludf.DUMMYFUNCTION("""COMPUTED_VALUE"""),5429.0)</f>
        <v>5429</v>
      </c>
      <c r="L420" s="276">
        <f>IFERROR(__xludf.DUMMYFUNCTION("""COMPUTED_VALUE"""),0.5826)</f>
        <v>0.5826</v>
      </c>
      <c r="M420" s="275">
        <f>IFERROR(__xludf.DUMMYFUNCTION("""COMPUTED_VALUE"""),1633.0)</f>
        <v>1633</v>
      </c>
      <c r="N420" s="276">
        <f>IFERROR(__xludf.DUMMYFUNCTION("""COMPUTED_VALUE"""),0.3006)</f>
        <v>0.3006</v>
      </c>
      <c r="O420" s="208">
        <f>IFERROR(__xludf.DUMMYFUNCTION("""COMPUTED_VALUE"""),424.0)</f>
        <v>424</v>
      </c>
      <c r="P420" s="208">
        <f>IFERROR(__xludf.DUMMYFUNCTION("""COMPUTED_VALUE"""),386.0)</f>
        <v>386</v>
      </c>
      <c r="Q420" s="276">
        <f>IFERROR(__xludf.DUMMYFUNCTION("""COMPUTED_VALUE"""),0.0711)</f>
        <v>0.0711</v>
      </c>
      <c r="R420" s="276">
        <f>IFERROR(__xludf.DUMMYFUNCTION("""COMPUTED_VALUE"""),0.2365)</f>
        <v>0.2365</v>
      </c>
      <c r="S420" s="208">
        <f>IFERROR(__xludf.DUMMYFUNCTION("""COMPUTED_VALUE"""),45.0)</f>
        <v>45</v>
      </c>
      <c r="T420" s="208">
        <f>IFERROR(__xludf.DUMMYFUNCTION("""COMPUTED_VALUE"""),0.0)</f>
        <v>0</v>
      </c>
      <c r="U420" s="275">
        <f>IFERROR(__xludf.DUMMYFUNCTION("""COMPUTED_VALUE"""),264829.0)</f>
        <v>264829</v>
      </c>
      <c r="V420" s="208" t="str">
        <f>IFERROR(__xludf.DUMMYFUNCTION("""COMPUTED_VALUE"""),"online")</f>
        <v>online</v>
      </c>
      <c r="W420" s="232" t="str">
        <f>IFERROR(__xludf.DUMMYFUNCTION("""COMPUTED_VALUE"""),"simple")</f>
        <v>simple</v>
      </c>
      <c r="X420" s="232" t="str">
        <f>IFERROR(__xludf.DUMMYFUNCTION("""COMPUTED_VALUE"""),"ATC/View")</f>
        <v>ATC/View</v>
      </c>
      <c r="Y420" s="232" t="str">
        <f>IFERROR(__xludf.DUMMYFUNCTION("""COMPUTED_VALUE"""),"11th - 14th June")</f>
        <v>11th - 14th June</v>
      </c>
      <c r="Z420" s="232" t="str">
        <f>IFERROR(__xludf.DUMMYFUNCTION("""COMPUTED_VALUE"""),"6a2958463a8e3aa629df6ba7")</f>
        <v>6a2958463a8e3aa629df6ba7</v>
      </c>
      <c r="AA420" s="277">
        <f>IFERROR(__xludf.DUMMYFUNCTION("""COMPUTED_VALUE"""),75.0)</f>
        <v>75</v>
      </c>
      <c r="AB420" s="277">
        <f>IFERROR(__xludf.DUMMYFUNCTION("""COMPUTED_VALUE"""),75.0)</f>
        <v>75</v>
      </c>
      <c r="AC420" s="277"/>
      <c r="AD420" s="277">
        <f>IFERROR(__xludf.DUMMYFUNCTION("""COMPUTED_VALUE"""),411956.0)</f>
        <v>411956</v>
      </c>
      <c r="AE420" s="277">
        <f>IFERROR(__xludf.DUMMYFUNCTION("""COMPUTED_VALUE"""),411956.0)</f>
        <v>411956</v>
      </c>
      <c r="AF420" s="277"/>
      <c r="AG420" s="208"/>
      <c r="AH420" s="208"/>
      <c r="AI420" s="208"/>
      <c r="AJ420" s="208"/>
      <c r="AK420" s="208"/>
    </row>
    <row r="421">
      <c r="A421" s="273">
        <f>IFERROR(__xludf.DUMMYFUNCTION("""COMPUTED_VALUE"""),46184.0)</f>
        <v>46184</v>
      </c>
      <c r="B421" s="274">
        <f>IFERROR(__xludf.DUMMYFUNCTION("""COMPUTED_VALUE"""),0.6875)</f>
        <v>0.6875</v>
      </c>
      <c r="C421" s="208" t="str">
        <f>IFERROR(__xludf.DUMMYFUNCTION("""COMPUTED_VALUE"""),"Whatsapp")</f>
        <v>Whatsapp</v>
      </c>
      <c r="D421" s="208" t="str">
        <f>IFERROR(__xludf.DUMMYFUNCTION("""COMPUTED_VALUE"""),"Promotional")</f>
        <v>Promotional</v>
      </c>
      <c r="E421" s="208" t="str">
        <f>IFERROR(__xludf.DUMMYFUNCTION("""COMPUTED_VALUE"""),"VS")</f>
        <v>VS</v>
      </c>
      <c r="F421" s="208" t="str">
        <f>IFERROR(__xludf.DUMMYFUNCTION("""COMPUTED_VALUE"""),"Semi-Annual Sale (June) - All")</f>
        <v>Semi-Annual Sale (June) - All</v>
      </c>
      <c r="G421" s="208" t="str">
        <f>IFERROR(__xludf.DUMMYFUNCTION("""COMPUTED_VALUE"""),"SAS_On_Event_CX")</f>
        <v>SAS_On_Event_CX</v>
      </c>
      <c r="H421" s="208" t="str">
        <f>IFERROR(__xludf.DUMMYFUNCTION("""COMPUTED_VALUE"""),"VS_ON_Event_Buyers_03_06_26")</f>
        <v>VS_ON_Event_Buyers_03_06_26</v>
      </c>
      <c r="I421" s="233" t="str">
        <f>IFERROR(__xludf.DUMMYFUNCTION("""COMPUTED_VALUE"""),"Online Customers who have purchased at least 1 time during 5–7 May 2023, 15 June–13 July 2023, 6–8 October 2023, 15 December 2023–12 January 2024, 10–12 May 2024, 13 June–4 July 2024, 25–27 October 2024, 19 December 2024–9 January 2025, 9–11 May 2025, 11–"&amp;"30 June 2025, 2–5 October 2025, 17 December 2025–22 January 2026, or 7–12 May 2026.(SAS and TILI)")</f>
        <v>Online Customers who have purchased at least 1 time during 5–7 May 2023, 15 June–13 July 2023, 6–8 October 2023, 15 December 2023–12 January 2024, 10–12 May 2024, 13 June–4 July 2024, 25–27 October 2024, 19 December 2024–9 January 2025, 9–11 May 2025, 11–30 June 2025, 2–5 October 2025, 17 December 2025–22 January 2026, or 7–12 May 2026.(SAS and TILI)</v>
      </c>
      <c r="J421" s="275">
        <f>IFERROR(__xludf.DUMMYFUNCTION("""COMPUTED_VALUE"""),75860.0)</f>
        <v>75860</v>
      </c>
      <c r="K421" s="275">
        <f>IFERROR(__xludf.DUMMYFUNCTION("""COMPUTED_VALUE"""),43577.0)</f>
        <v>43577</v>
      </c>
      <c r="L421" s="276">
        <f>IFERROR(__xludf.DUMMYFUNCTION("""COMPUTED_VALUE"""),0.5744)</f>
        <v>0.5744</v>
      </c>
      <c r="M421" s="275">
        <f>IFERROR(__xludf.DUMMYFUNCTION("""COMPUTED_VALUE"""),11558.0)</f>
        <v>11558</v>
      </c>
      <c r="N421" s="276">
        <f>IFERROR(__xludf.DUMMYFUNCTION("""COMPUTED_VALUE"""),0.2652)</f>
        <v>0.2652</v>
      </c>
      <c r="O421" s="208">
        <f>IFERROR(__xludf.DUMMYFUNCTION("""COMPUTED_VALUE"""),2132.0)</f>
        <v>2132</v>
      </c>
      <c r="P421" s="208">
        <f>IFERROR(__xludf.DUMMYFUNCTION("""COMPUTED_VALUE"""),1974.0)</f>
        <v>1974</v>
      </c>
      <c r="Q421" s="276">
        <f>IFERROR(__xludf.DUMMYFUNCTION("""COMPUTED_VALUE"""),0.0453)</f>
        <v>0.0453</v>
      </c>
      <c r="R421" s="276">
        <f>IFERROR(__xludf.DUMMYFUNCTION("""COMPUTED_VALUE"""),0.1708)</f>
        <v>0.1708</v>
      </c>
      <c r="S421" s="208">
        <f>IFERROR(__xludf.DUMMYFUNCTION("""COMPUTED_VALUE"""),166.0)</f>
        <v>166</v>
      </c>
      <c r="T421" s="208">
        <f>IFERROR(__xludf.DUMMYFUNCTION("""COMPUTED_VALUE"""),0.0)</f>
        <v>0</v>
      </c>
      <c r="U421" s="275">
        <f>IFERROR(__xludf.DUMMYFUNCTION("""COMPUTED_VALUE"""),979416.0)</f>
        <v>979416</v>
      </c>
      <c r="V421" s="208" t="str">
        <f>IFERROR(__xludf.DUMMYFUNCTION("""COMPUTED_VALUE"""),"online")</f>
        <v>online</v>
      </c>
      <c r="W421" s="232" t="str">
        <f>IFERROR(__xludf.DUMMYFUNCTION("""COMPUTED_VALUE"""),"simple")</f>
        <v>simple</v>
      </c>
      <c r="X421" s="232" t="str">
        <f>IFERROR(__xludf.DUMMYFUNCTION("""COMPUTED_VALUE"""),"Event Buyers")</f>
        <v>Event Buyers</v>
      </c>
      <c r="Y421" s="232" t="str">
        <f>IFERROR(__xludf.DUMMYFUNCTION("""COMPUTED_VALUE"""),"11th - 14th June")</f>
        <v>11th - 14th June</v>
      </c>
      <c r="Z421" s="232" t="str">
        <f>IFERROR(__xludf.DUMMYFUNCTION("""COMPUTED_VALUE"""),"6a2958cc6e8536b9f76adefc")</f>
        <v>6a2958cc6e8536b9f76adefc</v>
      </c>
      <c r="AA421" s="277">
        <f>IFERROR(__xludf.DUMMYFUNCTION("""COMPUTED_VALUE"""),232.0)</f>
        <v>232</v>
      </c>
      <c r="AB421" s="277">
        <f>IFERROR(__xludf.DUMMYFUNCTION("""COMPUTED_VALUE"""),232.0)</f>
        <v>232</v>
      </c>
      <c r="AC421" s="277"/>
      <c r="AD421" s="277">
        <f>IFERROR(__xludf.DUMMYFUNCTION("""COMPUTED_VALUE"""),1361292.0)</f>
        <v>1361292</v>
      </c>
      <c r="AE421" s="277">
        <f>IFERROR(__xludf.DUMMYFUNCTION("""COMPUTED_VALUE"""),1361292.0)</f>
        <v>1361292</v>
      </c>
      <c r="AF421" s="277"/>
      <c r="AG421" s="208"/>
      <c r="AH421" s="208"/>
      <c r="AI421" s="208"/>
      <c r="AJ421" s="208"/>
      <c r="AK421" s="208"/>
    </row>
    <row r="422">
      <c r="A422" s="273">
        <f>IFERROR(__xludf.DUMMYFUNCTION("""COMPUTED_VALUE"""),46184.0)</f>
        <v>46184</v>
      </c>
      <c r="B422" s="274">
        <f>IFERROR(__xludf.DUMMYFUNCTION("""COMPUTED_VALUE"""),0.6875)</f>
        <v>0.6875</v>
      </c>
      <c r="C422" s="208" t="str">
        <f>IFERROR(__xludf.DUMMYFUNCTION("""COMPUTED_VALUE"""),"Whatsapp")</f>
        <v>Whatsapp</v>
      </c>
      <c r="D422" s="208" t="str">
        <f>IFERROR(__xludf.DUMMYFUNCTION("""COMPUTED_VALUE"""),"Promotional")</f>
        <v>Promotional</v>
      </c>
      <c r="E422" s="208" t="str">
        <f>IFERROR(__xludf.DUMMYFUNCTION("""COMPUTED_VALUE"""),"VS")</f>
        <v>VS</v>
      </c>
      <c r="F422" s="208" t="str">
        <f>IFERROR(__xludf.DUMMYFUNCTION("""COMPUTED_VALUE"""),"Semi-Annual Sale (June) - All")</f>
        <v>Semi-Annual Sale (June) - All</v>
      </c>
      <c r="G422" s="208" t="str">
        <f>IFERROR(__xludf.DUMMYFUNCTION("""COMPUTED_VALUE"""),"SAS_On_Discount_CX")</f>
        <v>SAS_On_Discount_CX</v>
      </c>
      <c r="H422" s="208" t="str">
        <f>IFERROR(__xludf.DUMMYFUNCTION("""COMPUTED_VALUE"""),"VS_ON_Discount_Buyers_03_06_26")</f>
        <v>VS_ON_Discount_Buyers_03_06_26</v>
      </c>
      <c r="I422" s="233" t="str">
        <f>IFERROR(__xludf.DUMMYFUNCTION("""COMPUTED_VALUE"""),"Online Customers who have purchased at least 1 time with Order_Sale_Disc_Perc exceeding 39%")</f>
        <v>Online Customers who have purchased at least 1 time with Order_Sale_Disc_Perc exceeding 39%</v>
      </c>
      <c r="J422" s="275">
        <f>IFERROR(__xludf.DUMMYFUNCTION("""COMPUTED_VALUE"""),54177.0)</f>
        <v>54177</v>
      </c>
      <c r="K422" s="275">
        <f>IFERROR(__xludf.DUMMYFUNCTION("""COMPUTED_VALUE"""),31593.0)</f>
        <v>31593</v>
      </c>
      <c r="L422" s="276">
        <f>IFERROR(__xludf.DUMMYFUNCTION("""COMPUTED_VALUE"""),0.583)</f>
        <v>0.583</v>
      </c>
      <c r="M422" s="275">
        <f>IFERROR(__xludf.DUMMYFUNCTION("""COMPUTED_VALUE"""),8089.0)</f>
        <v>8089</v>
      </c>
      <c r="N422" s="276">
        <f>IFERROR(__xludf.DUMMYFUNCTION("""COMPUTED_VALUE"""),0.2561)</f>
        <v>0.2561</v>
      </c>
      <c r="O422" s="208">
        <f>IFERROR(__xludf.DUMMYFUNCTION("""COMPUTED_VALUE"""),1736.0)</f>
        <v>1736</v>
      </c>
      <c r="P422" s="208">
        <f>IFERROR(__xludf.DUMMYFUNCTION("""COMPUTED_VALUE"""),1592.0)</f>
        <v>1592</v>
      </c>
      <c r="Q422" s="276">
        <f>IFERROR(__xludf.DUMMYFUNCTION("""COMPUTED_VALUE"""),0.0504)</f>
        <v>0.0504</v>
      </c>
      <c r="R422" s="276">
        <f>IFERROR(__xludf.DUMMYFUNCTION("""COMPUTED_VALUE"""),0.1968)</f>
        <v>0.1968</v>
      </c>
      <c r="S422" s="208">
        <f>IFERROR(__xludf.DUMMYFUNCTION("""COMPUTED_VALUE"""),155.0)</f>
        <v>155</v>
      </c>
      <c r="T422" s="208">
        <f>IFERROR(__xludf.DUMMYFUNCTION("""COMPUTED_VALUE"""),0.0)</f>
        <v>0</v>
      </c>
      <c r="U422" s="275">
        <f>IFERROR(__xludf.DUMMYFUNCTION("""COMPUTED_VALUE"""),976710.0)</f>
        <v>976710</v>
      </c>
      <c r="V422" s="208" t="str">
        <f>IFERROR(__xludf.DUMMYFUNCTION("""COMPUTED_VALUE"""),"online")</f>
        <v>online</v>
      </c>
      <c r="W422" s="232" t="str">
        <f>IFERROR(__xludf.DUMMYFUNCTION("""COMPUTED_VALUE"""),"simple")</f>
        <v>simple</v>
      </c>
      <c r="X422" s="232" t="str">
        <f>IFERROR(__xludf.DUMMYFUNCTION("""COMPUTED_VALUE"""),"Discount Buyers")</f>
        <v>Discount Buyers</v>
      </c>
      <c r="Y422" s="232" t="str">
        <f>IFERROR(__xludf.DUMMYFUNCTION("""COMPUTED_VALUE"""),"11th - 14th June")</f>
        <v>11th - 14th June</v>
      </c>
      <c r="Z422" s="232" t="str">
        <f>IFERROR(__xludf.DUMMYFUNCTION("""COMPUTED_VALUE"""),"6a295917cd5ba370c96beb0a")</f>
        <v>6a295917cd5ba370c96beb0a</v>
      </c>
      <c r="AA422" s="277">
        <f>IFERROR(__xludf.DUMMYFUNCTION("""COMPUTED_VALUE"""),208.0)</f>
        <v>208</v>
      </c>
      <c r="AB422" s="277">
        <f>IFERROR(__xludf.DUMMYFUNCTION("""COMPUTED_VALUE"""),208.0)</f>
        <v>208</v>
      </c>
      <c r="AC422" s="277"/>
      <c r="AD422" s="277">
        <f>IFERROR(__xludf.DUMMYFUNCTION("""COMPUTED_VALUE"""),1320754.0)</f>
        <v>1320754</v>
      </c>
      <c r="AE422" s="277">
        <f>IFERROR(__xludf.DUMMYFUNCTION("""COMPUTED_VALUE"""),1320754.0)</f>
        <v>1320754</v>
      </c>
      <c r="AF422" s="277"/>
      <c r="AG422" s="208"/>
      <c r="AH422" s="208"/>
      <c r="AI422" s="208"/>
      <c r="AJ422" s="208"/>
      <c r="AK422" s="208"/>
    </row>
    <row r="423">
      <c r="A423" s="273">
        <f>IFERROR(__xludf.DUMMYFUNCTION("""COMPUTED_VALUE"""),46184.0)</f>
        <v>46184</v>
      </c>
      <c r="B423" s="274">
        <f>IFERROR(__xludf.DUMMYFUNCTION("""COMPUTED_VALUE"""),0.6875)</f>
        <v>0.6875</v>
      </c>
      <c r="C423" s="208" t="str">
        <f>IFERROR(__xludf.DUMMYFUNCTION("""COMPUTED_VALUE"""),"Whatsapp")</f>
        <v>Whatsapp</v>
      </c>
      <c r="D423" s="208" t="str">
        <f>IFERROR(__xludf.DUMMYFUNCTION("""COMPUTED_VALUE"""),"Promotional")</f>
        <v>Promotional</v>
      </c>
      <c r="E423" s="208" t="str">
        <f>IFERROR(__xludf.DUMMYFUNCTION("""COMPUTED_VALUE"""),"VS")</f>
        <v>VS</v>
      </c>
      <c r="F423" s="208" t="str">
        <f>IFERROR(__xludf.DUMMYFUNCTION("""COMPUTED_VALUE"""),"Semi-Annual Sale (June) - All")</f>
        <v>Semi-Annual Sale (June) - All</v>
      </c>
      <c r="G423" s="208" t="str">
        <f>IFERROR(__xludf.DUMMYFUNCTION("""COMPUTED_VALUE"""),"SAS_On_Cancelled_CX")</f>
        <v>SAS_On_Cancelled_CX</v>
      </c>
      <c r="H423" s="208" t="str">
        <f>IFERROR(__xludf.DUMMYFUNCTION("""COMPUTED_VALUE"""),"VS_ON_Cancelled")</f>
        <v>VS_ON_Cancelled</v>
      </c>
      <c r="I423" s="233" t="str">
        <f>IFERROR(__xludf.DUMMYFUNCTION("""COMPUTED_VALUE"""),"Online Customers who have purchased exactly 1 time and cancelled")</f>
        <v>Online Customers who have purchased exactly 1 time and cancelled</v>
      </c>
      <c r="J423" s="275">
        <f>IFERROR(__xludf.DUMMYFUNCTION("""COMPUTED_VALUE"""),166.0)</f>
        <v>166</v>
      </c>
      <c r="K423" s="275">
        <f>IFERROR(__xludf.DUMMYFUNCTION("""COMPUTED_VALUE"""),90.0)</f>
        <v>90</v>
      </c>
      <c r="L423" s="276">
        <f>IFERROR(__xludf.DUMMYFUNCTION("""COMPUTED_VALUE"""),0.5422)</f>
        <v>0.5422</v>
      </c>
      <c r="M423" s="275">
        <f>IFERROR(__xludf.DUMMYFUNCTION("""COMPUTED_VALUE"""),26.0)</f>
        <v>26</v>
      </c>
      <c r="N423" s="276">
        <f>IFERROR(__xludf.DUMMYFUNCTION("""COMPUTED_VALUE"""),0.2889)</f>
        <v>0.2889</v>
      </c>
      <c r="O423" s="208">
        <f>IFERROR(__xludf.DUMMYFUNCTION("""COMPUTED_VALUE"""),8.0)</f>
        <v>8</v>
      </c>
      <c r="P423" s="208">
        <f>IFERROR(__xludf.DUMMYFUNCTION("""COMPUTED_VALUE"""),7.0)</f>
        <v>7</v>
      </c>
      <c r="Q423" s="276">
        <f>IFERROR(__xludf.DUMMYFUNCTION("""COMPUTED_VALUE"""),0.0778)</f>
        <v>0.0778</v>
      </c>
      <c r="R423" s="276">
        <f>IFERROR(__xludf.DUMMYFUNCTION("""COMPUTED_VALUE"""),0.2692)</f>
        <v>0.2692</v>
      </c>
      <c r="S423" s="208">
        <f>IFERROR(__xludf.DUMMYFUNCTION("""COMPUTED_VALUE"""),0.0)</f>
        <v>0</v>
      </c>
      <c r="T423" s="208">
        <f>IFERROR(__xludf.DUMMYFUNCTION("""COMPUTED_VALUE"""),0.0)</f>
        <v>0</v>
      </c>
      <c r="U423" s="275">
        <f>IFERROR(__xludf.DUMMYFUNCTION("""COMPUTED_VALUE"""),0.0)</f>
        <v>0</v>
      </c>
      <c r="V423" s="208" t="str">
        <f>IFERROR(__xludf.DUMMYFUNCTION("""COMPUTED_VALUE"""),"online")</f>
        <v>online</v>
      </c>
      <c r="W423" s="232" t="str">
        <f>IFERROR(__xludf.DUMMYFUNCTION("""COMPUTED_VALUE"""),"simple")</f>
        <v>simple</v>
      </c>
      <c r="X423" s="232" t="str">
        <f>IFERROR(__xludf.DUMMYFUNCTION("""COMPUTED_VALUE"""),"Cancelled")</f>
        <v>Cancelled</v>
      </c>
      <c r="Y423" s="232" t="str">
        <f>IFERROR(__xludf.DUMMYFUNCTION("""COMPUTED_VALUE"""),"11th - 14th June")</f>
        <v>11th - 14th June</v>
      </c>
      <c r="Z423" s="232" t="str">
        <f>IFERROR(__xludf.DUMMYFUNCTION("""COMPUTED_VALUE"""),"6a295956ce2da646f4ae0d7e")</f>
        <v>6a295956ce2da646f4ae0d7e</v>
      </c>
      <c r="AA423" s="277">
        <f>IFERROR(__xludf.DUMMYFUNCTION("""COMPUTED_VALUE"""),0.0)</f>
        <v>0</v>
      </c>
      <c r="AB423" s="277">
        <f>IFERROR(__xludf.DUMMYFUNCTION("""COMPUTED_VALUE"""),0.0)</f>
        <v>0</v>
      </c>
      <c r="AC423" s="277"/>
      <c r="AD423" s="277">
        <f>IFERROR(__xludf.DUMMYFUNCTION("""COMPUTED_VALUE"""),0.0)</f>
        <v>0</v>
      </c>
      <c r="AE423" s="277">
        <f>IFERROR(__xludf.DUMMYFUNCTION("""COMPUTED_VALUE"""),0.0)</f>
        <v>0</v>
      </c>
      <c r="AF423" s="277"/>
      <c r="AG423" s="208"/>
      <c r="AH423" s="208"/>
      <c r="AI423" s="208"/>
      <c r="AJ423" s="208"/>
      <c r="AK423" s="208"/>
    </row>
    <row r="424">
      <c r="A424" s="273">
        <f>IFERROR(__xludf.DUMMYFUNCTION("""COMPUTED_VALUE"""),46184.0)</f>
        <v>46184</v>
      </c>
      <c r="B424" s="274">
        <f>IFERROR(__xludf.DUMMYFUNCTION("""COMPUTED_VALUE"""),0.6875)</f>
        <v>0.6875</v>
      </c>
      <c r="C424" s="208" t="str">
        <f>IFERROR(__xludf.DUMMYFUNCTION("""COMPUTED_VALUE"""),"Whatsapp")</f>
        <v>Whatsapp</v>
      </c>
      <c r="D424" s="208" t="str">
        <f>IFERROR(__xludf.DUMMYFUNCTION("""COMPUTED_VALUE"""),"Promotional")</f>
        <v>Promotional</v>
      </c>
      <c r="E424" s="208" t="str">
        <f>IFERROR(__xludf.DUMMYFUNCTION("""COMPUTED_VALUE"""),"VS")</f>
        <v>VS</v>
      </c>
      <c r="F424" s="208" t="str">
        <f>IFERROR(__xludf.DUMMYFUNCTION("""COMPUTED_VALUE"""),"Semi-Annual Sale (June) - All")</f>
        <v>Semi-Annual Sale (June) - All</v>
      </c>
      <c r="G424" s="208" t="str">
        <f>IFERROR(__xludf.DUMMYFUNCTION("""COMPUTED_VALUE"""),"SAS_On_Recent_CX")</f>
        <v>SAS_On_Recent_CX</v>
      </c>
      <c r="H424" s="208" t="str">
        <f>IFERROR(__xludf.DUMMYFUNCTION("""COMPUTED_VALUE"""),"VS_ON_Recent")</f>
        <v>VS_ON_Recent</v>
      </c>
      <c r="I424" s="233" t="str">
        <f>IFERROR(__xludf.DUMMYFUNCTION("""COMPUTED_VALUE"""),"Online Customers who have purchased at least 1 time in the last 78 days")</f>
        <v>Online Customers who have purchased at least 1 time in the last 78 days</v>
      </c>
      <c r="J424" s="275">
        <f>IFERROR(__xludf.DUMMYFUNCTION("""COMPUTED_VALUE"""),2103.0)</f>
        <v>2103</v>
      </c>
      <c r="K424" s="275">
        <f>IFERROR(__xludf.DUMMYFUNCTION("""COMPUTED_VALUE"""),1190.0)</f>
        <v>1190</v>
      </c>
      <c r="L424" s="276">
        <f>IFERROR(__xludf.DUMMYFUNCTION("""COMPUTED_VALUE"""),0.5659)</f>
        <v>0.5659</v>
      </c>
      <c r="M424" s="275">
        <f>IFERROR(__xludf.DUMMYFUNCTION("""COMPUTED_VALUE"""),389.0)</f>
        <v>389</v>
      </c>
      <c r="N424" s="276">
        <f>IFERROR(__xludf.DUMMYFUNCTION("""COMPUTED_VALUE"""),0.3269)</f>
        <v>0.3269</v>
      </c>
      <c r="O424" s="208">
        <f>IFERROR(__xludf.DUMMYFUNCTION("""COMPUTED_VALUE"""),112.0)</f>
        <v>112</v>
      </c>
      <c r="P424" s="208">
        <f>IFERROR(__xludf.DUMMYFUNCTION("""COMPUTED_VALUE"""),101.0)</f>
        <v>101</v>
      </c>
      <c r="Q424" s="276">
        <f>IFERROR(__xludf.DUMMYFUNCTION("""COMPUTED_VALUE"""),0.0849)</f>
        <v>0.0849</v>
      </c>
      <c r="R424" s="276">
        <f>IFERROR(__xludf.DUMMYFUNCTION("""COMPUTED_VALUE"""),0.2596)</f>
        <v>0.2596</v>
      </c>
      <c r="S424" s="208">
        <f>IFERROR(__xludf.DUMMYFUNCTION("""COMPUTED_VALUE"""),21.0)</f>
        <v>21</v>
      </c>
      <c r="T424" s="208">
        <f>IFERROR(__xludf.DUMMYFUNCTION("""COMPUTED_VALUE"""),0.0)</f>
        <v>0</v>
      </c>
      <c r="U424" s="275">
        <f>IFERROR(__xludf.DUMMYFUNCTION("""COMPUTED_VALUE"""),123681.0)</f>
        <v>123681</v>
      </c>
      <c r="V424" s="208" t="str">
        <f>IFERROR(__xludf.DUMMYFUNCTION("""COMPUTED_VALUE"""),"online")</f>
        <v>online</v>
      </c>
      <c r="W424" s="232" t="str">
        <f>IFERROR(__xludf.DUMMYFUNCTION("""COMPUTED_VALUE"""),"simple")</f>
        <v>simple</v>
      </c>
      <c r="X424" s="232" t="str">
        <f>IFERROR(__xludf.DUMMYFUNCTION("""COMPUTED_VALUE"""),"Active")</f>
        <v>Active</v>
      </c>
      <c r="Y424" s="232" t="str">
        <f>IFERROR(__xludf.DUMMYFUNCTION("""COMPUTED_VALUE"""),"11th - 14th June")</f>
        <v>11th - 14th June</v>
      </c>
      <c r="Z424" s="232" t="str">
        <f>IFERROR(__xludf.DUMMYFUNCTION("""COMPUTED_VALUE"""),"6a2959877077e19775e584dc")</f>
        <v>6a2959877077e19775e584dc</v>
      </c>
      <c r="AA424" s="277">
        <f>IFERROR(__xludf.DUMMYFUNCTION("""COMPUTED_VALUE"""),27.0)</f>
        <v>27</v>
      </c>
      <c r="AB424" s="277">
        <f>IFERROR(__xludf.DUMMYFUNCTION("""COMPUTED_VALUE"""),27.0)</f>
        <v>27</v>
      </c>
      <c r="AC424" s="277"/>
      <c r="AD424" s="277">
        <f>IFERROR(__xludf.DUMMYFUNCTION("""COMPUTED_VALUE"""),156672.0)</f>
        <v>156672</v>
      </c>
      <c r="AE424" s="277">
        <f>IFERROR(__xludf.DUMMYFUNCTION("""COMPUTED_VALUE"""),156672.0)</f>
        <v>156672</v>
      </c>
      <c r="AF424" s="277"/>
      <c r="AG424" s="208"/>
      <c r="AH424" s="208"/>
      <c r="AI424" s="208"/>
      <c r="AJ424" s="208"/>
      <c r="AK424" s="208"/>
    </row>
    <row r="425">
      <c r="A425" s="273">
        <f>IFERROR(__xludf.DUMMYFUNCTION("""COMPUTED_VALUE"""),46184.0)</f>
        <v>46184</v>
      </c>
      <c r="B425" s="274">
        <f>IFERROR(__xludf.DUMMYFUNCTION("""COMPUTED_VALUE"""),0.6875)</f>
        <v>0.6875</v>
      </c>
      <c r="C425" s="208" t="str">
        <f>IFERROR(__xludf.DUMMYFUNCTION("""COMPUTED_VALUE"""),"Whatsapp")</f>
        <v>Whatsapp</v>
      </c>
      <c r="D425" s="208" t="str">
        <f>IFERROR(__xludf.DUMMYFUNCTION("""COMPUTED_VALUE"""),"Promotional")</f>
        <v>Promotional</v>
      </c>
      <c r="E425" s="208" t="str">
        <f>IFERROR(__xludf.DUMMYFUNCTION("""COMPUTED_VALUE"""),"VS")</f>
        <v>VS</v>
      </c>
      <c r="F425" s="208" t="str">
        <f>IFERROR(__xludf.DUMMYFUNCTION("""COMPUTED_VALUE"""),"Semi-Annual Sale (June) - All")</f>
        <v>Semi-Annual Sale (June) - All</v>
      </c>
      <c r="G425" s="208" t="str">
        <f>IFERROR(__xludf.DUMMYFUNCTION("""COMPUTED_VALUE"""),"SAS_On_Dormant_CX")</f>
        <v>SAS_On_Dormant_CX</v>
      </c>
      <c r="H425" s="208" t="str">
        <f>IFERROR(__xludf.DUMMYFUNCTION("""COMPUTED_VALUE"""),"VS_ON_Dormant")</f>
        <v>VS_ON_Dormant</v>
      </c>
      <c r="I425" s="233" t="str">
        <f>IFERROR(__xludf.DUMMYFUNCTION("""COMPUTED_VALUE"""),"Online Customers who have purchased at least 1 time in the last 365 days")</f>
        <v>Online Customers who have purchased at least 1 time in the last 365 days</v>
      </c>
      <c r="J425" s="275">
        <f>IFERROR(__xludf.DUMMYFUNCTION("""COMPUTED_VALUE"""),5254.0)</f>
        <v>5254</v>
      </c>
      <c r="K425" s="275">
        <f>IFERROR(__xludf.DUMMYFUNCTION("""COMPUTED_VALUE"""),2919.0)</f>
        <v>2919</v>
      </c>
      <c r="L425" s="276">
        <f>IFERROR(__xludf.DUMMYFUNCTION("""COMPUTED_VALUE"""),0.5556)</f>
        <v>0.5556</v>
      </c>
      <c r="M425" s="275">
        <f>IFERROR(__xludf.DUMMYFUNCTION("""COMPUTED_VALUE"""),795.0)</f>
        <v>795</v>
      </c>
      <c r="N425" s="276">
        <f>IFERROR(__xludf.DUMMYFUNCTION("""COMPUTED_VALUE"""),0.2724)</f>
        <v>0.2724</v>
      </c>
      <c r="O425" s="208">
        <f>IFERROR(__xludf.DUMMYFUNCTION("""COMPUTED_VALUE"""),135.0)</f>
        <v>135</v>
      </c>
      <c r="P425" s="208">
        <f>IFERROR(__xludf.DUMMYFUNCTION("""COMPUTED_VALUE"""),120.0)</f>
        <v>120</v>
      </c>
      <c r="Q425" s="276">
        <f>IFERROR(__xludf.DUMMYFUNCTION("""COMPUTED_VALUE"""),0.0411)</f>
        <v>0.0411</v>
      </c>
      <c r="R425" s="276">
        <f>IFERROR(__xludf.DUMMYFUNCTION("""COMPUTED_VALUE"""),0.1509)</f>
        <v>0.1509</v>
      </c>
      <c r="S425" s="208">
        <f>IFERROR(__xludf.DUMMYFUNCTION("""COMPUTED_VALUE"""),14.0)</f>
        <v>14</v>
      </c>
      <c r="T425" s="208">
        <f>IFERROR(__xludf.DUMMYFUNCTION("""COMPUTED_VALUE"""),0.0)</f>
        <v>0</v>
      </c>
      <c r="U425" s="275">
        <f>IFERROR(__xludf.DUMMYFUNCTION("""COMPUTED_VALUE"""),118020.0)</f>
        <v>118020</v>
      </c>
      <c r="V425" s="208" t="str">
        <f>IFERROR(__xludf.DUMMYFUNCTION("""COMPUTED_VALUE"""),"online")</f>
        <v>online</v>
      </c>
      <c r="W425" s="232" t="str">
        <f>IFERROR(__xludf.DUMMYFUNCTION("""COMPUTED_VALUE"""),"simple")</f>
        <v>simple</v>
      </c>
      <c r="X425" s="232" t="str">
        <f>IFERROR(__xludf.DUMMYFUNCTION("""COMPUTED_VALUE"""),"Dormant")</f>
        <v>Dormant</v>
      </c>
      <c r="Y425" s="232" t="str">
        <f>IFERROR(__xludf.DUMMYFUNCTION("""COMPUTED_VALUE"""),"11th - 14th June")</f>
        <v>11th - 14th June</v>
      </c>
      <c r="Z425" s="232" t="str">
        <f>IFERROR(__xludf.DUMMYFUNCTION("""COMPUTED_VALUE"""),"6a2959bb1e86cf2078a789d4")</f>
        <v>6a2959bb1e86cf2078a789d4</v>
      </c>
      <c r="AA425" s="277">
        <f>IFERROR(__xludf.DUMMYFUNCTION("""COMPUTED_VALUE"""),17.0)</f>
        <v>17</v>
      </c>
      <c r="AB425" s="277">
        <f>IFERROR(__xludf.DUMMYFUNCTION("""COMPUTED_VALUE"""),17.0)</f>
        <v>17</v>
      </c>
      <c r="AC425" s="277"/>
      <c r="AD425" s="277">
        <f>IFERROR(__xludf.DUMMYFUNCTION("""COMPUTED_VALUE"""),141904.0)</f>
        <v>141904</v>
      </c>
      <c r="AE425" s="277">
        <f>IFERROR(__xludf.DUMMYFUNCTION("""COMPUTED_VALUE"""),141904.0)</f>
        <v>141904</v>
      </c>
      <c r="AF425" s="277"/>
      <c r="AG425" s="208"/>
      <c r="AH425" s="208"/>
      <c r="AI425" s="208"/>
      <c r="AJ425" s="208"/>
      <c r="AK425" s="208"/>
    </row>
    <row r="426">
      <c r="A426" s="273">
        <f>IFERROR(__xludf.DUMMYFUNCTION("""COMPUTED_VALUE"""),46184.0)</f>
        <v>46184</v>
      </c>
      <c r="B426" s="274">
        <f>IFERROR(__xludf.DUMMYFUNCTION("""COMPUTED_VALUE"""),0.6875)</f>
        <v>0.6875</v>
      </c>
      <c r="C426" s="208" t="str">
        <f>IFERROR(__xludf.DUMMYFUNCTION("""COMPUTED_VALUE"""),"Whatsapp")</f>
        <v>Whatsapp</v>
      </c>
      <c r="D426" s="208" t="str">
        <f>IFERROR(__xludf.DUMMYFUNCTION("""COMPUTED_VALUE"""),"Promotional")</f>
        <v>Promotional</v>
      </c>
      <c r="E426" s="208" t="str">
        <f>IFERROR(__xludf.DUMMYFUNCTION("""COMPUTED_VALUE"""),"VS")</f>
        <v>VS</v>
      </c>
      <c r="F426" s="208" t="str">
        <f>IFERROR(__xludf.DUMMYFUNCTION("""COMPUTED_VALUE"""),"Semi-Annual Sale (June) - All")</f>
        <v>Semi-Annual Sale (June) - All</v>
      </c>
      <c r="G426" s="208" t="str">
        <f>IFERROR(__xludf.DUMMYFUNCTION("""COMPUTED_VALUE"""),"SAS_On_Churned_CX")</f>
        <v>SAS_On_Churned_CX</v>
      </c>
      <c r="H426" s="208" t="str">
        <f>IFERROR(__xludf.DUMMYFUNCTION("""COMPUTED_VALUE"""),"VS_ON_Churned")</f>
        <v>VS_ON_Churned</v>
      </c>
      <c r="I426" s="233" t="str">
        <f>IFERROR(__xludf.DUMMYFUNCTION("""COMPUTED_VALUE"""),"Online Customers who have purchased at least 1 time in the last 1095 days")</f>
        <v>Online Customers who have purchased at least 1 time in the last 1095 days</v>
      </c>
      <c r="J426" s="275">
        <f>IFERROR(__xludf.DUMMYFUNCTION("""COMPUTED_VALUE"""),74158.0)</f>
        <v>74158</v>
      </c>
      <c r="K426" s="275">
        <f>IFERROR(__xludf.DUMMYFUNCTION("""COMPUTED_VALUE"""),41329.0)</f>
        <v>41329</v>
      </c>
      <c r="L426" s="276">
        <f>IFERROR(__xludf.DUMMYFUNCTION("""COMPUTED_VALUE"""),0.5573)</f>
        <v>0.5573</v>
      </c>
      <c r="M426" s="275">
        <f>IFERROR(__xludf.DUMMYFUNCTION("""COMPUTED_VALUE"""),10410.0)</f>
        <v>10410</v>
      </c>
      <c r="N426" s="276">
        <f>IFERROR(__xludf.DUMMYFUNCTION("""COMPUTED_VALUE"""),0.2519)</f>
        <v>0.2519</v>
      </c>
      <c r="O426" s="208">
        <f>IFERROR(__xludf.DUMMYFUNCTION("""COMPUTED_VALUE"""),1586.0)</f>
        <v>1586</v>
      </c>
      <c r="P426" s="208">
        <f>IFERROR(__xludf.DUMMYFUNCTION("""COMPUTED_VALUE"""),1465.0)</f>
        <v>1465</v>
      </c>
      <c r="Q426" s="276">
        <f>IFERROR(__xludf.DUMMYFUNCTION("""COMPUTED_VALUE"""),0.0354)</f>
        <v>0.0354</v>
      </c>
      <c r="R426" s="276">
        <f>IFERROR(__xludf.DUMMYFUNCTION("""COMPUTED_VALUE"""),0.1407)</f>
        <v>0.1407</v>
      </c>
      <c r="S426" s="208">
        <f>IFERROR(__xludf.DUMMYFUNCTION("""COMPUTED_VALUE"""),65.0)</f>
        <v>65</v>
      </c>
      <c r="T426" s="208">
        <f>IFERROR(__xludf.DUMMYFUNCTION("""COMPUTED_VALUE"""),0.0)</f>
        <v>0</v>
      </c>
      <c r="U426" s="275">
        <f>IFERROR(__xludf.DUMMYFUNCTION("""COMPUTED_VALUE"""),331815.0)</f>
        <v>331815</v>
      </c>
      <c r="V426" s="208" t="str">
        <f>IFERROR(__xludf.DUMMYFUNCTION("""COMPUTED_VALUE"""),"online")</f>
        <v>online</v>
      </c>
      <c r="W426" s="232" t="str">
        <f>IFERROR(__xludf.DUMMYFUNCTION("""COMPUTED_VALUE"""),"simple")</f>
        <v>simple</v>
      </c>
      <c r="X426" s="232" t="str">
        <f>IFERROR(__xludf.DUMMYFUNCTION("""COMPUTED_VALUE"""),"Churned")</f>
        <v>Churned</v>
      </c>
      <c r="Y426" s="232" t="str">
        <f>IFERROR(__xludf.DUMMYFUNCTION("""COMPUTED_VALUE"""),"11th - 14th June")</f>
        <v>11th - 14th June</v>
      </c>
      <c r="Z426" s="232" t="str">
        <f>IFERROR(__xludf.DUMMYFUNCTION("""COMPUTED_VALUE"""),"6a295a0019e9c63aac621230")</f>
        <v>6a295a0019e9c63aac621230</v>
      </c>
      <c r="AA426" s="277">
        <f>IFERROR(__xludf.DUMMYFUNCTION("""COMPUTED_VALUE"""),81.0)</f>
        <v>81</v>
      </c>
      <c r="AB426" s="277">
        <f>IFERROR(__xludf.DUMMYFUNCTION("""COMPUTED_VALUE"""),81.0)</f>
        <v>81</v>
      </c>
      <c r="AC426" s="277"/>
      <c r="AD426" s="277">
        <f>IFERROR(__xludf.DUMMYFUNCTION("""COMPUTED_VALUE"""),418463.0)</f>
        <v>418463</v>
      </c>
      <c r="AE426" s="277">
        <f>IFERROR(__xludf.DUMMYFUNCTION("""COMPUTED_VALUE"""),418463.0)</f>
        <v>418463</v>
      </c>
      <c r="AF426" s="277"/>
      <c r="AG426" s="208"/>
      <c r="AH426" s="208"/>
      <c r="AI426" s="208"/>
      <c r="AJ426" s="208"/>
      <c r="AK426" s="208"/>
    </row>
    <row r="427">
      <c r="A427" s="273">
        <f>IFERROR(__xludf.DUMMYFUNCTION("""COMPUTED_VALUE"""),46184.0)</f>
        <v>46184</v>
      </c>
      <c r="B427" s="274">
        <f>IFERROR(__xludf.DUMMYFUNCTION("""COMPUTED_VALUE"""),0.6875)</f>
        <v>0.6875</v>
      </c>
      <c r="C427" s="208" t="str">
        <f>IFERROR(__xludf.DUMMYFUNCTION("""COMPUTED_VALUE"""),"Whatsapp")</f>
        <v>Whatsapp</v>
      </c>
      <c r="D427" s="208" t="str">
        <f>IFERROR(__xludf.DUMMYFUNCTION("""COMPUTED_VALUE"""),"Promotional")</f>
        <v>Promotional</v>
      </c>
      <c r="E427" s="208" t="str">
        <f>IFERROR(__xludf.DUMMYFUNCTION("""COMPUTED_VALUE"""),"VS")</f>
        <v>VS</v>
      </c>
      <c r="F427" s="208" t="str">
        <f>IFERROR(__xludf.DUMMYFUNCTION("""COMPUTED_VALUE"""),"Semi-Annual Sale (June) - All")</f>
        <v>Semi-Annual Sale (June) - All</v>
      </c>
      <c r="G427" s="208" t="str">
        <f>IFERROR(__xludf.DUMMYFUNCTION("""COMPUTED_VALUE"""),"SAS_On_LTV&gt;25k_CX")</f>
        <v>SAS_On_LTV&gt;25k_CX</v>
      </c>
      <c r="H427" s="208" t="str">
        <f>IFERROR(__xludf.DUMMYFUNCTION("""COMPUTED_VALUE"""),"VS_ON_LTV_25k")</f>
        <v>VS_ON_LTV_25k</v>
      </c>
      <c r="I427" s="233" t="str">
        <f>IFERROR(__xludf.DUMMYFUNCTION("""COMPUTED_VALUE"""),"Online Customers who have purchased with LTV &gt; INR 24,999")</f>
        <v>Online Customers who have purchased with LTV &gt; INR 24,999</v>
      </c>
      <c r="J427" s="275">
        <f>IFERROR(__xludf.DUMMYFUNCTION("""COMPUTED_VALUE"""),6355.0)</f>
        <v>6355</v>
      </c>
      <c r="K427" s="275">
        <f>IFERROR(__xludf.DUMMYFUNCTION("""COMPUTED_VALUE"""),2890.0)</f>
        <v>2890</v>
      </c>
      <c r="L427" s="276">
        <f>IFERROR(__xludf.DUMMYFUNCTION("""COMPUTED_VALUE"""),0.4548)</f>
        <v>0.4548</v>
      </c>
      <c r="M427" s="275">
        <f>IFERROR(__xludf.DUMMYFUNCTION("""COMPUTED_VALUE"""),661.0)</f>
        <v>661</v>
      </c>
      <c r="N427" s="276">
        <f>IFERROR(__xludf.DUMMYFUNCTION("""COMPUTED_VALUE"""),0.2287)</f>
        <v>0.2287</v>
      </c>
      <c r="O427" s="208">
        <f>IFERROR(__xludf.DUMMYFUNCTION("""COMPUTED_VALUE"""),119.0)</f>
        <v>119</v>
      </c>
      <c r="P427" s="208">
        <f>IFERROR(__xludf.DUMMYFUNCTION("""COMPUTED_VALUE"""),114.0)</f>
        <v>114</v>
      </c>
      <c r="Q427" s="276">
        <f>IFERROR(__xludf.DUMMYFUNCTION("""COMPUTED_VALUE"""),0.0394)</f>
        <v>0.0394</v>
      </c>
      <c r="R427" s="276">
        <f>IFERROR(__xludf.DUMMYFUNCTION("""COMPUTED_VALUE"""),0.1725)</f>
        <v>0.1725</v>
      </c>
      <c r="S427" s="208">
        <f>IFERROR(__xludf.DUMMYFUNCTION("""COMPUTED_VALUE"""),91.0)</f>
        <v>91</v>
      </c>
      <c r="T427" s="208">
        <f>IFERROR(__xludf.DUMMYFUNCTION("""COMPUTED_VALUE"""),0.0)</f>
        <v>0</v>
      </c>
      <c r="U427" s="275">
        <f>IFERROR(__xludf.DUMMYFUNCTION("""COMPUTED_VALUE"""),907419.0)</f>
        <v>907419</v>
      </c>
      <c r="V427" s="208" t="str">
        <f>IFERROR(__xludf.DUMMYFUNCTION("""COMPUTED_VALUE"""),"online")</f>
        <v>online</v>
      </c>
      <c r="W427" s="232" t="str">
        <f>IFERROR(__xludf.DUMMYFUNCTION("""COMPUTED_VALUE"""),"simple")</f>
        <v>simple</v>
      </c>
      <c r="X427" s="232" t="str">
        <f>IFERROR(__xludf.DUMMYFUNCTION("""COMPUTED_VALUE"""),"LTV")</f>
        <v>LTV</v>
      </c>
      <c r="Y427" s="232" t="str">
        <f>IFERROR(__xludf.DUMMYFUNCTION("""COMPUTED_VALUE"""),"11th - 14th June")</f>
        <v>11th - 14th June</v>
      </c>
      <c r="Z427" s="232" t="str">
        <f>IFERROR(__xludf.DUMMYFUNCTION("""COMPUTED_VALUE"""),"6a295a5e1e86cf2078a789dc")</f>
        <v>6a295a5e1e86cf2078a789dc</v>
      </c>
      <c r="AA427" s="277">
        <f>IFERROR(__xludf.DUMMYFUNCTION("""COMPUTED_VALUE"""),137.0)</f>
        <v>137</v>
      </c>
      <c r="AB427" s="277">
        <f>IFERROR(__xludf.DUMMYFUNCTION("""COMPUTED_VALUE"""),137.0)</f>
        <v>137</v>
      </c>
      <c r="AC427" s="277"/>
      <c r="AD427" s="277">
        <f>IFERROR(__xludf.DUMMYFUNCTION("""COMPUTED_VALUE"""),1402980.0)</f>
        <v>1402980</v>
      </c>
      <c r="AE427" s="277">
        <f>IFERROR(__xludf.DUMMYFUNCTION("""COMPUTED_VALUE"""),1402980.0)</f>
        <v>1402980</v>
      </c>
      <c r="AF427" s="277"/>
      <c r="AG427" s="208"/>
      <c r="AH427" s="208"/>
      <c r="AI427" s="208"/>
      <c r="AJ427" s="208"/>
      <c r="AK427" s="208"/>
    </row>
    <row r="428">
      <c r="A428" s="273">
        <f>IFERROR(__xludf.DUMMYFUNCTION("""COMPUTED_VALUE"""),46186.0)</f>
        <v>46186</v>
      </c>
      <c r="B428" s="274">
        <f>IFERROR(__xludf.DUMMYFUNCTION("""COMPUTED_VALUE"""),0.3541666666678793)</f>
        <v>0.3541666667</v>
      </c>
      <c r="C428" s="208" t="str">
        <f>IFERROR(__xludf.DUMMYFUNCTION("""COMPUTED_VALUE"""),"Whatsapp")</f>
        <v>Whatsapp</v>
      </c>
      <c r="D428" s="208" t="str">
        <f>IFERROR(__xludf.DUMMYFUNCTION("""COMPUTED_VALUE"""),"Promotional")</f>
        <v>Promotional</v>
      </c>
      <c r="E428" s="208" t="str">
        <f>IFERROR(__xludf.DUMMYFUNCTION("""COMPUTED_VALUE"""),"VS")</f>
        <v>VS</v>
      </c>
      <c r="F428" s="208" t="str">
        <f>IFERROR(__xludf.DUMMYFUNCTION("""COMPUTED_VALUE"""),"Semi-Annual Sale (June) - All")</f>
        <v>Semi-Annual Sale (June) - All</v>
      </c>
      <c r="G428" s="208" t="str">
        <f>IFERROR(__xludf.DUMMYFUNCTION("""COMPUTED_VALUE"""),"SAS_Off_Event_CX (13)")</f>
        <v>SAS_Off_Event_CX (13)</v>
      </c>
      <c r="H428" s="208" t="str">
        <f>IFERROR(__xludf.DUMMYFUNCTION("""COMPUTED_VALUE"""),"VS_OFF_Event_Buyers_03_06_26")</f>
        <v>VS_OFF_Event_Buyers_03_06_26</v>
      </c>
      <c r="I428" s="233" t="str">
        <f>IFERROR(__xludf.DUMMYFUNCTION("""COMPUTED_VALUE"""),"Offline Customers who have purchased at least 1 time during 5–7 May 2023, 15 June–13 July 2023, 6–8 October 2023, 15 December 2023–12 January 2024, 10–12 May 2024, 13 June–4 July 2024, 25–27 October 2024, 19 December 2024–9 January 2025, 9–11 May 2025, 11"&amp;"–30 June 2025, 2–5 October 2025, 17 December 2025–22 January 2026, or 7–12 May 2026.(SAS and TILI)")</f>
        <v>Offline Customers who have purchased at least 1 time during 5–7 May 2023, 15 June–13 July 2023, 6–8 October 2023, 15 December 2023–12 January 2024, 10–12 May 2024, 13 June–4 July 2024, 25–27 October 2024, 19 December 2024–9 January 2025, 9–11 May 2025, 11–30 June 2025, 2–5 October 2025, 17 December 2025–22 January 2026, or 7–12 May 2026.(SAS and TILI)</v>
      </c>
      <c r="J428" s="275">
        <f>IFERROR(__xludf.DUMMYFUNCTION("""COMPUTED_VALUE"""),61546.0)</f>
        <v>61546</v>
      </c>
      <c r="K428" s="275">
        <f>IFERROR(__xludf.DUMMYFUNCTION("""COMPUTED_VALUE"""),35715.0)</f>
        <v>35715</v>
      </c>
      <c r="L428" s="276">
        <f>IFERROR(__xludf.DUMMYFUNCTION("""COMPUTED_VALUE"""),0.5803)</f>
        <v>0.5803</v>
      </c>
      <c r="M428" s="275">
        <f>IFERROR(__xludf.DUMMYFUNCTION("""COMPUTED_VALUE"""),8363.0)</f>
        <v>8363</v>
      </c>
      <c r="N428" s="276">
        <f>IFERROR(__xludf.DUMMYFUNCTION("""COMPUTED_VALUE"""),0.2342)</f>
        <v>0.2342</v>
      </c>
      <c r="O428" s="208">
        <f>IFERROR(__xludf.DUMMYFUNCTION("""COMPUTED_VALUE"""),552.0)</f>
        <v>552</v>
      </c>
      <c r="P428" s="208">
        <f>IFERROR(__xludf.DUMMYFUNCTION("""COMPUTED_VALUE"""),529.0)</f>
        <v>529</v>
      </c>
      <c r="Q428" s="276">
        <f>IFERROR(__xludf.DUMMYFUNCTION("""COMPUTED_VALUE"""),0.0148)</f>
        <v>0.0148</v>
      </c>
      <c r="R428" s="276">
        <f>IFERROR(__xludf.DUMMYFUNCTION("""COMPUTED_VALUE"""),0.0633)</f>
        <v>0.0633</v>
      </c>
      <c r="S428" s="208">
        <f>IFERROR(__xludf.DUMMYFUNCTION("""COMPUTED_VALUE"""),111.0)</f>
        <v>111</v>
      </c>
      <c r="T428" s="208">
        <f>IFERROR(__xludf.DUMMYFUNCTION("""COMPUTED_VALUE"""),0.0)</f>
        <v>0</v>
      </c>
      <c r="U428" s="275">
        <f>IFERROR(__xludf.DUMMYFUNCTION("""COMPUTED_VALUE"""),966504.0)</f>
        <v>966504</v>
      </c>
      <c r="V428" s="208" t="str">
        <f>IFERROR(__xludf.DUMMYFUNCTION("""COMPUTED_VALUE"""),"offline")</f>
        <v>offline</v>
      </c>
      <c r="W428" s="232" t="str">
        <f>IFERROR(__xludf.DUMMYFUNCTION("""COMPUTED_VALUE"""),"simple")</f>
        <v>simple</v>
      </c>
      <c r="X428" s="232" t="str">
        <f>IFERROR(__xludf.DUMMYFUNCTION("""COMPUTED_VALUE"""),"Event Buyers")</f>
        <v>Event Buyers</v>
      </c>
      <c r="Y428" s="232" t="str">
        <f>IFERROR(__xludf.DUMMYFUNCTION("""COMPUTED_VALUE"""),"13th - 14th June")</f>
        <v>13th - 14th June</v>
      </c>
      <c r="Z428" s="232" t="str">
        <f>IFERROR(__xludf.DUMMYFUNCTION("""COMPUTED_VALUE"""),"6a2a511192715ccdba4f7941")</f>
        <v>6a2a511192715ccdba4f7941</v>
      </c>
      <c r="AA428" s="277">
        <f>IFERROR(__xludf.DUMMYFUNCTION("""COMPUTED_VALUE"""),248.0)</f>
        <v>248</v>
      </c>
      <c r="AB428" s="277"/>
      <c r="AC428" s="277">
        <f>IFERROR(__xludf.DUMMYFUNCTION("""COMPUTED_VALUE"""),248.0)</f>
        <v>248</v>
      </c>
      <c r="AD428" s="277">
        <f>IFERROR(__xludf.DUMMYFUNCTION("""COMPUTED_VALUE"""),1999174.0)</f>
        <v>1999174</v>
      </c>
      <c r="AE428" s="277"/>
      <c r="AF428" s="277">
        <f>IFERROR(__xludf.DUMMYFUNCTION("""COMPUTED_VALUE"""),1999174.0)</f>
        <v>1999174</v>
      </c>
      <c r="AG428" s="208"/>
      <c r="AH428" s="208"/>
      <c r="AI428" s="208"/>
      <c r="AJ428" s="208"/>
      <c r="AK428" s="208"/>
    </row>
    <row r="429">
      <c r="A429" s="273">
        <f>IFERROR(__xludf.DUMMYFUNCTION("""COMPUTED_VALUE"""),46186.0)</f>
        <v>46186</v>
      </c>
      <c r="B429" s="274">
        <f>IFERROR(__xludf.DUMMYFUNCTION("""COMPUTED_VALUE"""),0.35763888889050577)</f>
        <v>0.3576388889</v>
      </c>
      <c r="C429" s="208" t="str">
        <f>IFERROR(__xludf.DUMMYFUNCTION("""COMPUTED_VALUE"""),"Whatsapp")</f>
        <v>Whatsapp</v>
      </c>
      <c r="D429" s="208" t="str">
        <f>IFERROR(__xludf.DUMMYFUNCTION("""COMPUTED_VALUE"""),"Promotional")</f>
        <v>Promotional</v>
      </c>
      <c r="E429" s="208" t="str">
        <f>IFERROR(__xludf.DUMMYFUNCTION("""COMPUTED_VALUE"""),"VS")</f>
        <v>VS</v>
      </c>
      <c r="F429" s="208" t="str">
        <f>IFERROR(__xludf.DUMMYFUNCTION("""COMPUTED_VALUE"""),"Semi-Annual Sale (June) - All")</f>
        <v>Semi-Annual Sale (June) - All</v>
      </c>
      <c r="G429" s="208" t="str">
        <f>IFERROR(__xludf.DUMMYFUNCTION("""COMPUTED_VALUE"""),"SAS_Off_Recent_CX (13)")</f>
        <v>SAS_Off_Recent_CX (13)</v>
      </c>
      <c r="H429" s="208" t="str">
        <f>IFERROR(__xludf.DUMMYFUNCTION("""COMPUTED_VALUE"""),"VS_OFF_Recent")</f>
        <v>VS_OFF_Recent</v>
      </c>
      <c r="I429" s="233" t="str">
        <f>IFERROR(__xludf.DUMMYFUNCTION("""COMPUTED_VALUE"""),"Offline Customers who have purchased at least 1 time in the last 95 days")</f>
        <v>Offline Customers who have purchased at least 1 time in the last 95 days</v>
      </c>
      <c r="J429" s="275">
        <f>IFERROR(__xludf.DUMMYFUNCTION("""COMPUTED_VALUE"""),20306.0)</f>
        <v>20306</v>
      </c>
      <c r="K429" s="275">
        <f>IFERROR(__xludf.DUMMYFUNCTION("""COMPUTED_VALUE"""),12326.0)</f>
        <v>12326</v>
      </c>
      <c r="L429" s="276">
        <f>IFERROR(__xludf.DUMMYFUNCTION("""COMPUTED_VALUE"""),0.607)</f>
        <v>0.607</v>
      </c>
      <c r="M429" s="275">
        <f>IFERROR(__xludf.DUMMYFUNCTION("""COMPUTED_VALUE"""),3437.0)</f>
        <v>3437</v>
      </c>
      <c r="N429" s="276">
        <f>IFERROR(__xludf.DUMMYFUNCTION("""COMPUTED_VALUE"""),0.2789)</f>
        <v>0.2789</v>
      </c>
      <c r="O429" s="208">
        <f>IFERROR(__xludf.DUMMYFUNCTION("""COMPUTED_VALUE"""),297.0)</f>
        <v>297</v>
      </c>
      <c r="P429" s="208">
        <f>IFERROR(__xludf.DUMMYFUNCTION("""COMPUTED_VALUE"""),285.0)</f>
        <v>285</v>
      </c>
      <c r="Q429" s="276">
        <f>IFERROR(__xludf.DUMMYFUNCTION("""COMPUTED_VALUE"""),0.0231)</f>
        <v>0.0231</v>
      </c>
      <c r="R429" s="276">
        <f>IFERROR(__xludf.DUMMYFUNCTION("""COMPUTED_VALUE"""),0.0829)</f>
        <v>0.0829</v>
      </c>
      <c r="S429" s="208">
        <f>IFERROR(__xludf.DUMMYFUNCTION("""COMPUTED_VALUE"""),38.0)</f>
        <v>38</v>
      </c>
      <c r="T429" s="208">
        <f>IFERROR(__xludf.DUMMYFUNCTION("""COMPUTED_VALUE"""),0.0)</f>
        <v>0</v>
      </c>
      <c r="U429" s="275">
        <f>IFERROR(__xludf.DUMMYFUNCTION("""COMPUTED_VALUE"""),342829.0)</f>
        <v>342829</v>
      </c>
      <c r="V429" s="208" t="str">
        <f>IFERROR(__xludf.DUMMYFUNCTION("""COMPUTED_VALUE"""),"offline")</f>
        <v>offline</v>
      </c>
      <c r="W429" s="232" t="str">
        <f>IFERROR(__xludf.DUMMYFUNCTION("""COMPUTED_VALUE"""),"simple")</f>
        <v>simple</v>
      </c>
      <c r="X429" s="232" t="str">
        <f>IFERROR(__xludf.DUMMYFUNCTION("""COMPUTED_VALUE"""),"Active")</f>
        <v>Active</v>
      </c>
      <c r="Y429" s="232" t="str">
        <f>IFERROR(__xludf.DUMMYFUNCTION("""COMPUTED_VALUE"""),"13th - 14th June")</f>
        <v>13th - 14th June</v>
      </c>
      <c r="Z429" s="232" t="str">
        <f>IFERROR(__xludf.DUMMYFUNCTION("""COMPUTED_VALUE"""),"6a2a51d3efbd7a5d04d2e8eb")</f>
        <v>6a2a51d3efbd7a5d04d2e8eb</v>
      </c>
      <c r="AA429" s="277">
        <f>IFERROR(__xludf.DUMMYFUNCTION("""COMPUTED_VALUE"""),91.0)</f>
        <v>91</v>
      </c>
      <c r="AB429" s="277"/>
      <c r="AC429" s="277">
        <f>IFERROR(__xludf.DUMMYFUNCTION("""COMPUTED_VALUE"""),91.0)</f>
        <v>91</v>
      </c>
      <c r="AD429" s="277">
        <f>IFERROR(__xludf.DUMMYFUNCTION("""COMPUTED_VALUE"""),882933.0)</f>
        <v>882933</v>
      </c>
      <c r="AE429" s="277"/>
      <c r="AF429" s="277">
        <f>IFERROR(__xludf.DUMMYFUNCTION("""COMPUTED_VALUE"""),882933.0)</f>
        <v>882933</v>
      </c>
      <c r="AG429" s="208"/>
      <c r="AH429" s="208"/>
      <c r="AI429" s="208"/>
      <c r="AJ429" s="208"/>
      <c r="AK429" s="208"/>
    </row>
    <row r="430">
      <c r="A430" s="273">
        <f>IFERROR(__xludf.DUMMYFUNCTION("""COMPUTED_VALUE"""),46186.0)</f>
        <v>46186</v>
      </c>
      <c r="B430" s="274">
        <f>IFERROR(__xludf.DUMMYFUNCTION("""COMPUTED_VALUE"""),0.36111111110949423)</f>
        <v>0.3611111111</v>
      </c>
      <c r="C430" s="208" t="str">
        <f>IFERROR(__xludf.DUMMYFUNCTION("""COMPUTED_VALUE"""),"Whatsapp")</f>
        <v>Whatsapp</v>
      </c>
      <c r="D430" s="208" t="str">
        <f>IFERROR(__xludf.DUMMYFUNCTION("""COMPUTED_VALUE"""),"Promotional")</f>
        <v>Promotional</v>
      </c>
      <c r="E430" s="208" t="str">
        <f>IFERROR(__xludf.DUMMYFUNCTION("""COMPUTED_VALUE"""),"VS")</f>
        <v>VS</v>
      </c>
      <c r="F430" s="208" t="str">
        <f>IFERROR(__xludf.DUMMYFUNCTION("""COMPUTED_VALUE"""),"Semi-Annual Sale (June) - All")</f>
        <v>Semi-Annual Sale (June) - All</v>
      </c>
      <c r="G430" s="208" t="str">
        <f>IFERROR(__xludf.DUMMYFUNCTION("""COMPUTED_VALUE"""),"SAS_Off_Dormant_CX (13)")</f>
        <v>SAS_Off_Dormant_CX (13)</v>
      </c>
      <c r="H430" s="208" t="str">
        <f>IFERROR(__xludf.DUMMYFUNCTION("""COMPUTED_VALUE"""),"VS_OFF_Dormant")</f>
        <v>VS_OFF_Dormant</v>
      </c>
      <c r="I430" s="233" t="str">
        <f>IFERROR(__xludf.DUMMYFUNCTION("""COMPUTED_VALUE"""),"Offline Customers who have purchased at least 1 time in the last 365 days")</f>
        <v>Offline Customers who have purchased at least 1 time in the last 365 days</v>
      </c>
      <c r="J430" s="275">
        <f>IFERROR(__xludf.DUMMYFUNCTION("""COMPUTED_VALUE"""),58703.0)</f>
        <v>58703</v>
      </c>
      <c r="K430" s="275">
        <f>IFERROR(__xludf.DUMMYFUNCTION("""COMPUTED_VALUE"""),35078.0)</f>
        <v>35078</v>
      </c>
      <c r="L430" s="276">
        <f>IFERROR(__xludf.DUMMYFUNCTION("""COMPUTED_VALUE"""),0.5976)</f>
        <v>0.5976</v>
      </c>
      <c r="M430" s="275">
        <f>IFERROR(__xludf.DUMMYFUNCTION("""COMPUTED_VALUE"""),8290.0)</f>
        <v>8290</v>
      </c>
      <c r="N430" s="276">
        <f>IFERROR(__xludf.DUMMYFUNCTION("""COMPUTED_VALUE"""),0.2363)</f>
        <v>0.2363</v>
      </c>
      <c r="O430" s="208">
        <f>IFERROR(__xludf.DUMMYFUNCTION("""COMPUTED_VALUE"""),481.0)</f>
        <v>481</v>
      </c>
      <c r="P430" s="208">
        <f>IFERROR(__xludf.DUMMYFUNCTION("""COMPUTED_VALUE"""),463.0)</f>
        <v>463</v>
      </c>
      <c r="Q430" s="276">
        <f>IFERROR(__xludf.DUMMYFUNCTION("""COMPUTED_VALUE"""),0.0132)</f>
        <v>0.0132</v>
      </c>
      <c r="R430" s="276">
        <f>IFERROR(__xludf.DUMMYFUNCTION("""COMPUTED_VALUE"""),0.0559)</f>
        <v>0.0559</v>
      </c>
      <c r="S430" s="208">
        <f>IFERROR(__xludf.DUMMYFUNCTION("""COMPUTED_VALUE"""),65.0)</f>
        <v>65</v>
      </c>
      <c r="T430" s="208">
        <f>IFERROR(__xludf.DUMMYFUNCTION("""COMPUTED_VALUE"""),0.0)</f>
        <v>0</v>
      </c>
      <c r="U430" s="275">
        <f>IFERROR(__xludf.DUMMYFUNCTION("""COMPUTED_VALUE"""),401077.0)</f>
        <v>401077</v>
      </c>
      <c r="V430" s="208" t="str">
        <f>IFERROR(__xludf.DUMMYFUNCTION("""COMPUTED_VALUE"""),"offline")</f>
        <v>offline</v>
      </c>
      <c r="W430" s="232" t="str">
        <f>IFERROR(__xludf.DUMMYFUNCTION("""COMPUTED_VALUE"""),"simple")</f>
        <v>simple</v>
      </c>
      <c r="X430" s="232" t="str">
        <f>IFERROR(__xludf.DUMMYFUNCTION("""COMPUTED_VALUE"""),"Dormant")</f>
        <v>Dormant</v>
      </c>
      <c r="Y430" s="232" t="str">
        <f>IFERROR(__xludf.DUMMYFUNCTION("""COMPUTED_VALUE"""),"13th - 14th June")</f>
        <v>13th - 14th June</v>
      </c>
      <c r="Z430" s="232" t="str">
        <f>IFERROR(__xludf.DUMMYFUNCTION("""COMPUTED_VALUE"""),"6a2a5232ae5f9b0666cea6ad")</f>
        <v>6a2a5232ae5f9b0666cea6ad</v>
      </c>
      <c r="AA430" s="277">
        <f>IFERROR(__xludf.DUMMYFUNCTION("""COMPUTED_VALUE"""),135.0)</f>
        <v>135</v>
      </c>
      <c r="AB430" s="277"/>
      <c r="AC430" s="277">
        <f>IFERROR(__xludf.DUMMYFUNCTION("""COMPUTED_VALUE"""),135.0)</f>
        <v>135</v>
      </c>
      <c r="AD430" s="277">
        <f>IFERROR(__xludf.DUMMYFUNCTION("""COMPUTED_VALUE"""),988611.0)</f>
        <v>988611</v>
      </c>
      <c r="AE430" s="277"/>
      <c r="AF430" s="277">
        <f>IFERROR(__xludf.DUMMYFUNCTION("""COMPUTED_VALUE"""),988611.0)</f>
        <v>988611</v>
      </c>
      <c r="AG430" s="208"/>
      <c r="AH430" s="208"/>
      <c r="AI430" s="208"/>
      <c r="AJ430" s="208"/>
      <c r="AK430" s="208"/>
    </row>
    <row r="431">
      <c r="A431" s="273">
        <f>IFERROR(__xludf.DUMMYFUNCTION("""COMPUTED_VALUE"""),46186.0)</f>
        <v>46186</v>
      </c>
      <c r="B431" s="274">
        <f>IFERROR(__xludf.DUMMYFUNCTION("""COMPUTED_VALUE"""),0.3645833333321207)</f>
        <v>0.3645833333</v>
      </c>
      <c r="C431" s="208" t="str">
        <f>IFERROR(__xludf.DUMMYFUNCTION("""COMPUTED_VALUE"""),"Whatsapp")</f>
        <v>Whatsapp</v>
      </c>
      <c r="D431" s="208" t="str">
        <f>IFERROR(__xludf.DUMMYFUNCTION("""COMPUTED_VALUE"""),"Promotional")</f>
        <v>Promotional</v>
      </c>
      <c r="E431" s="208" t="str">
        <f>IFERROR(__xludf.DUMMYFUNCTION("""COMPUTED_VALUE"""),"VS")</f>
        <v>VS</v>
      </c>
      <c r="F431" s="208" t="str">
        <f>IFERROR(__xludf.DUMMYFUNCTION("""COMPUTED_VALUE"""),"Semi-Annual Sale (June) - All")</f>
        <v>Semi-Annual Sale (June) - All</v>
      </c>
      <c r="G431" s="208" t="str">
        <f>IFERROR(__xludf.DUMMYFUNCTION("""COMPUTED_VALUE"""),"SAS_Off_Churned_CX (13)")</f>
        <v>SAS_Off_Churned_CX (13)</v>
      </c>
      <c r="H431" s="208" t="str">
        <f>IFERROR(__xludf.DUMMYFUNCTION("""COMPUTED_VALUE"""),"VS_OFF_Churned")</f>
        <v>VS_OFF_Churned</v>
      </c>
      <c r="I431" s="233" t="str">
        <f>IFERROR(__xludf.DUMMYFUNCTION("""COMPUTED_VALUE"""),"Offline Customers who have purchased at least 1 time in the last 1095 days")</f>
        <v>Offline Customers who have purchased at least 1 time in the last 1095 days</v>
      </c>
      <c r="J431" s="275">
        <f>IFERROR(__xludf.DUMMYFUNCTION("""COMPUTED_VALUE"""),59826.0)</f>
        <v>59826</v>
      </c>
      <c r="K431" s="275">
        <f>IFERROR(__xludf.DUMMYFUNCTION("""COMPUTED_VALUE"""),33071.0)</f>
        <v>33071</v>
      </c>
      <c r="L431" s="276">
        <f>IFERROR(__xludf.DUMMYFUNCTION("""COMPUTED_VALUE"""),0.5528)</f>
        <v>0.5528</v>
      </c>
      <c r="M431" s="275">
        <f>IFERROR(__xludf.DUMMYFUNCTION("""COMPUTED_VALUE"""),7281.0)</f>
        <v>7281</v>
      </c>
      <c r="N431" s="276">
        <f>IFERROR(__xludf.DUMMYFUNCTION("""COMPUTED_VALUE"""),0.2202)</f>
        <v>0.2202</v>
      </c>
      <c r="O431" s="208">
        <f>IFERROR(__xludf.DUMMYFUNCTION("""COMPUTED_VALUE"""),350.0)</f>
        <v>350</v>
      </c>
      <c r="P431" s="208">
        <f>IFERROR(__xludf.DUMMYFUNCTION("""COMPUTED_VALUE"""),335.0)</f>
        <v>335</v>
      </c>
      <c r="Q431" s="276">
        <f>IFERROR(__xludf.DUMMYFUNCTION("""COMPUTED_VALUE"""),0.0101)</f>
        <v>0.0101</v>
      </c>
      <c r="R431" s="276">
        <f>IFERROR(__xludf.DUMMYFUNCTION("""COMPUTED_VALUE"""),0.046)</f>
        <v>0.046</v>
      </c>
      <c r="S431" s="208">
        <f>IFERROR(__xludf.DUMMYFUNCTION("""COMPUTED_VALUE"""),36.0)</f>
        <v>36</v>
      </c>
      <c r="T431" s="208">
        <f>IFERROR(__xludf.DUMMYFUNCTION("""COMPUTED_VALUE"""),0.0)</f>
        <v>0</v>
      </c>
      <c r="U431" s="275">
        <f>IFERROR(__xludf.DUMMYFUNCTION("""COMPUTED_VALUE"""),261611.0)</f>
        <v>261611</v>
      </c>
      <c r="V431" s="208" t="str">
        <f>IFERROR(__xludf.DUMMYFUNCTION("""COMPUTED_VALUE"""),"offline")</f>
        <v>offline</v>
      </c>
      <c r="W431" s="232" t="str">
        <f>IFERROR(__xludf.DUMMYFUNCTION("""COMPUTED_VALUE"""),"simple")</f>
        <v>simple</v>
      </c>
      <c r="X431" s="232" t="str">
        <f>IFERROR(__xludf.DUMMYFUNCTION("""COMPUTED_VALUE"""),"Churned")</f>
        <v>Churned</v>
      </c>
      <c r="Y431" s="232" t="str">
        <f>IFERROR(__xludf.DUMMYFUNCTION("""COMPUTED_VALUE"""),"13th - 14th June")</f>
        <v>13th - 14th June</v>
      </c>
      <c r="Z431" s="232" t="str">
        <f>IFERROR(__xludf.DUMMYFUNCTION("""COMPUTED_VALUE"""),"6a2a54856108e843fc665765")</f>
        <v>6a2a54856108e843fc665765</v>
      </c>
      <c r="AA431" s="277">
        <f>IFERROR(__xludf.DUMMYFUNCTION("""COMPUTED_VALUE"""),69.0)</f>
        <v>69</v>
      </c>
      <c r="AB431" s="277"/>
      <c r="AC431" s="277">
        <f>IFERROR(__xludf.DUMMYFUNCTION("""COMPUTED_VALUE"""),69.0)</f>
        <v>69</v>
      </c>
      <c r="AD431" s="277">
        <f>IFERROR(__xludf.DUMMYFUNCTION("""COMPUTED_VALUE"""),578592.0)</f>
        <v>578592</v>
      </c>
      <c r="AE431" s="277"/>
      <c r="AF431" s="277">
        <f>IFERROR(__xludf.DUMMYFUNCTION("""COMPUTED_VALUE"""),578592.0)</f>
        <v>578592</v>
      </c>
      <c r="AG431" s="208"/>
      <c r="AH431" s="208"/>
      <c r="AI431" s="208"/>
      <c r="AJ431" s="208"/>
      <c r="AK431" s="208"/>
    </row>
    <row r="432">
      <c r="A432" s="273">
        <f>IFERROR(__xludf.DUMMYFUNCTION("""COMPUTED_VALUE"""),46186.0)</f>
        <v>46186</v>
      </c>
      <c r="B432" s="274">
        <f>IFERROR(__xludf.DUMMYFUNCTION("""COMPUTED_VALUE"""),0.3680555555547471)</f>
        <v>0.3680555556</v>
      </c>
      <c r="C432" s="208" t="str">
        <f>IFERROR(__xludf.DUMMYFUNCTION("""COMPUTED_VALUE"""),"Whatsapp")</f>
        <v>Whatsapp</v>
      </c>
      <c r="D432" s="208" t="str">
        <f>IFERROR(__xludf.DUMMYFUNCTION("""COMPUTED_VALUE"""),"Promotional")</f>
        <v>Promotional</v>
      </c>
      <c r="E432" s="208" t="str">
        <f>IFERROR(__xludf.DUMMYFUNCTION("""COMPUTED_VALUE"""),"VS")</f>
        <v>VS</v>
      </c>
      <c r="F432" s="208" t="str">
        <f>IFERROR(__xludf.DUMMYFUNCTION("""COMPUTED_VALUE"""),"Semi-Annual Sale (June) - All")</f>
        <v>Semi-Annual Sale (June) - All</v>
      </c>
      <c r="G432" s="208" t="str">
        <f>IFERROR(__xludf.DUMMYFUNCTION("""COMPUTED_VALUE"""),"SAS_Off_LTV&gt;25k_CX (13)")</f>
        <v>SAS_Off_LTV&gt;25k_CX (13)</v>
      </c>
      <c r="H432" s="208" t="str">
        <f>IFERROR(__xludf.DUMMYFUNCTION("""COMPUTED_VALUE"""),"VS_OFF_LTV_25k")</f>
        <v>VS_OFF_LTV_25k</v>
      </c>
      <c r="I432" s="233" t="str">
        <f>IFERROR(__xludf.DUMMYFUNCTION("""COMPUTED_VALUE"""),"Offline Customers who have purchased with LTV &gt; INR 24,999")</f>
        <v>Offline Customers who have purchased with LTV &gt; INR 24,999</v>
      </c>
      <c r="J432" s="275">
        <f>IFERROR(__xludf.DUMMYFUNCTION("""COMPUTED_VALUE"""),17084.0)</f>
        <v>17084</v>
      </c>
      <c r="K432" s="275">
        <f>IFERROR(__xludf.DUMMYFUNCTION("""COMPUTED_VALUE"""),7183.0)</f>
        <v>7183</v>
      </c>
      <c r="L432" s="276">
        <f>IFERROR(__xludf.DUMMYFUNCTION("""COMPUTED_VALUE"""),0.4205)</f>
        <v>0.4205</v>
      </c>
      <c r="M432" s="275">
        <f>IFERROR(__xludf.DUMMYFUNCTION("""COMPUTED_VALUE"""),1129.0)</f>
        <v>1129</v>
      </c>
      <c r="N432" s="276">
        <f>IFERROR(__xludf.DUMMYFUNCTION("""COMPUTED_VALUE"""),0.1572)</f>
        <v>0.1572</v>
      </c>
      <c r="O432" s="208">
        <f>IFERROR(__xludf.DUMMYFUNCTION("""COMPUTED_VALUE"""),71.0)</f>
        <v>71</v>
      </c>
      <c r="P432" s="208">
        <f>IFERROR(__xludf.DUMMYFUNCTION("""COMPUTED_VALUE"""),69.0)</f>
        <v>69</v>
      </c>
      <c r="Q432" s="276">
        <f>IFERROR(__xludf.DUMMYFUNCTION("""COMPUTED_VALUE"""),0.0096)</f>
        <v>0.0096</v>
      </c>
      <c r="R432" s="276">
        <f>IFERROR(__xludf.DUMMYFUNCTION("""COMPUTED_VALUE"""),0.0611)</f>
        <v>0.0611</v>
      </c>
      <c r="S432" s="208">
        <f>IFERROR(__xludf.DUMMYFUNCTION("""COMPUTED_VALUE"""),53.0)</f>
        <v>53</v>
      </c>
      <c r="T432" s="208">
        <f>IFERROR(__xludf.DUMMYFUNCTION("""COMPUTED_VALUE"""),0.0)</f>
        <v>0</v>
      </c>
      <c r="U432" s="275">
        <f>IFERROR(__xludf.DUMMYFUNCTION("""COMPUTED_VALUE"""),769428.0)</f>
        <v>769428</v>
      </c>
      <c r="V432" s="208" t="str">
        <f>IFERROR(__xludf.DUMMYFUNCTION("""COMPUTED_VALUE"""),"offline")</f>
        <v>offline</v>
      </c>
      <c r="W432" s="232" t="str">
        <f>IFERROR(__xludf.DUMMYFUNCTION("""COMPUTED_VALUE"""),"simple")</f>
        <v>simple</v>
      </c>
      <c r="X432" s="232" t="str">
        <f>IFERROR(__xludf.DUMMYFUNCTION("""COMPUTED_VALUE"""),"LTV")</f>
        <v>LTV</v>
      </c>
      <c r="Y432" s="232" t="str">
        <f>IFERROR(__xludf.DUMMYFUNCTION("""COMPUTED_VALUE"""),"13th - 14th June")</f>
        <v>13th - 14th June</v>
      </c>
      <c r="Z432" s="232" t="str">
        <f>IFERROR(__xludf.DUMMYFUNCTION("""COMPUTED_VALUE"""),"6a2a55d36108e843fc665788")</f>
        <v>6a2a55d36108e843fc665788</v>
      </c>
      <c r="AA432" s="277">
        <f>IFERROR(__xludf.DUMMYFUNCTION("""COMPUTED_VALUE"""),114.0)</f>
        <v>114</v>
      </c>
      <c r="AB432" s="277"/>
      <c r="AC432" s="277">
        <f>IFERROR(__xludf.DUMMYFUNCTION("""COMPUTED_VALUE"""),114.0)</f>
        <v>114</v>
      </c>
      <c r="AD432" s="277">
        <f>IFERROR(__xludf.DUMMYFUNCTION("""COMPUTED_VALUE"""),1544472.0)</f>
        <v>1544472</v>
      </c>
      <c r="AE432" s="277"/>
      <c r="AF432" s="277">
        <f>IFERROR(__xludf.DUMMYFUNCTION("""COMPUTED_VALUE"""),1544472.0)</f>
        <v>1544472</v>
      </c>
      <c r="AG432" s="208"/>
      <c r="AH432" s="208"/>
      <c r="AI432" s="208"/>
      <c r="AJ432" s="208"/>
      <c r="AK432" s="208"/>
    </row>
    <row r="433">
      <c r="A433" s="273">
        <f>IFERROR(__xludf.DUMMYFUNCTION("""COMPUTED_VALUE"""),46187.0)</f>
        <v>46187</v>
      </c>
      <c r="B433" s="274">
        <f>IFERROR(__xludf.DUMMYFUNCTION("""COMPUTED_VALUE"""),0.375)</f>
        <v>0.375</v>
      </c>
      <c r="C433" s="208" t="str">
        <f>IFERROR(__xludf.DUMMYFUNCTION("""COMPUTED_VALUE"""),"Whatsapp")</f>
        <v>Whatsapp</v>
      </c>
      <c r="D433" s="208" t="str">
        <f>IFERROR(__xludf.DUMMYFUNCTION("""COMPUTED_VALUE"""),"Promotional")</f>
        <v>Promotional</v>
      </c>
      <c r="E433" s="208" t="str">
        <f>IFERROR(__xludf.DUMMYFUNCTION("""COMPUTED_VALUE"""),"VS")</f>
        <v>VS</v>
      </c>
      <c r="F433" s="208" t="str">
        <f>IFERROR(__xludf.DUMMYFUNCTION("""COMPUTED_VALUE"""),"Semi-Annual Sale (June) - All")</f>
        <v>Semi-Annual Sale (June) - All</v>
      </c>
      <c r="G433" s="208" t="str">
        <f>IFERROR(__xludf.DUMMYFUNCTION("""COMPUTED_VALUE"""),"SAS_On_ATC_VSL-BTY")</f>
        <v>SAS_On_ATC_VSL-BTY</v>
      </c>
      <c r="H433" s="208" t="str">
        <f>IFERROR(__xludf.DUMMYFUNCTION("""COMPUTED_VALUE"""),"Beauty+Ling_ATC_NoPr_On")</f>
        <v>Beauty+Ling_ATC_NoPr_On</v>
      </c>
      <c r="I433" s="233" t="str">
        <f>IFERROR(__xludf.DUMMYFUNCTION("""COMPUTED_VALUE"""),"Online Customers who have added to cart from 11th June 2026 to 13th June 2026 and have not purchased from 11th June 2026 to 13th June 2026")</f>
        <v>Online Customers who have added to cart from 11th June 2026 to 13th June 2026 and have not purchased from 11th June 2026 to 13th June 2026</v>
      </c>
      <c r="J433" s="275">
        <f>IFERROR(__xludf.DUMMYFUNCTION("""COMPUTED_VALUE"""),1621.0)</f>
        <v>1621</v>
      </c>
      <c r="K433" s="275">
        <f>IFERROR(__xludf.DUMMYFUNCTION("""COMPUTED_VALUE"""),992.0)</f>
        <v>992</v>
      </c>
      <c r="L433" s="276">
        <f>IFERROR(__xludf.DUMMYFUNCTION("""COMPUTED_VALUE"""),0.612)</f>
        <v>0.612</v>
      </c>
      <c r="M433" s="275">
        <f>IFERROR(__xludf.DUMMYFUNCTION("""COMPUTED_VALUE"""),315.0)</f>
        <v>315</v>
      </c>
      <c r="N433" s="276">
        <f>IFERROR(__xludf.DUMMYFUNCTION("""COMPUTED_VALUE"""),0.3175)</f>
        <v>0.3175</v>
      </c>
      <c r="O433" s="208">
        <f>IFERROR(__xludf.DUMMYFUNCTION("""COMPUTED_VALUE"""),63.0)</f>
        <v>63</v>
      </c>
      <c r="P433" s="208">
        <f>IFERROR(__xludf.DUMMYFUNCTION("""COMPUTED_VALUE"""),61.0)</f>
        <v>61</v>
      </c>
      <c r="Q433" s="276">
        <f>IFERROR(__xludf.DUMMYFUNCTION("""COMPUTED_VALUE"""),0.0615)</f>
        <v>0.0615</v>
      </c>
      <c r="R433" s="276">
        <f>IFERROR(__xludf.DUMMYFUNCTION("""COMPUTED_VALUE"""),0.1937)</f>
        <v>0.1937</v>
      </c>
      <c r="S433" s="208">
        <f>IFERROR(__xludf.DUMMYFUNCTION("""COMPUTED_VALUE"""),0.0)</f>
        <v>0</v>
      </c>
      <c r="T433" s="208">
        <f>IFERROR(__xludf.DUMMYFUNCTION("""COMPUTED_VALUE"""),0.0)</f>
        <v>0</v>
      </c>
      <c r="U433" s="275">
        <f>IFERROR(__xludf.DUMMYFUNCTION("""COMPUTED_VALUE"""),0.0)</f>
        <v>0</v>
      </c>
      <c r="V433" s="208" t="str">
        <f>IFERROR(__xludf.DUMMYFUNCTION("""COMPUTED_VALUE"""),"online")</f>
        <v>online</v>
      </c>
      <c r="W433" s="232" t="str">
        <f>IFERROR(__xludf.DUMMYFUNCTION("""COMPUTED_VALUE"""),"simple")</f>
        <v>simple</v>
      </c>
      <c r="X433" s="232" t="str">
        <f>IFERROR(__xludf.DUMMYFUNCTION("""COMPUTED_VALUE"""),"Add to Cart")</f>
        <v>Add to Cart</v>
      </c>
      <c r="Y433" s="232" t="str">
        <f>IFERROR(__xludf.DUMMYFUNCTION("""COMPUTED_VALUE"""),"14th - 15th June")</f>
        <v>14th - 15th June</v>
      </c>
      <c r="Z433" s="232" t="str">
        <f>IFERROR(__xludf.DUMMYFUNCTION("""COMPUTED_VALUE"""),"6a2c2c8ee31f37fe07205fe9")</f>
        <v>6a2c2c8ee31f37fe07205fe9</v>
      </c>
      <c r="AA433" s="277">
        <f>IFERROR(__xludf.DUMMYFUNCTION("""COMPUTED_VALUE"""),39.0)</f>
        <v>39</v>
      </c>
      <c r="AB433" s="277">
        <f>IFERROR(__xludf.DUMMYFUNCTION("""COMPUTED_VALUE"""),39.0)</f>
        <v>39</v>
      </c>
      <c r="AC433" s="277"/>
      <c r="AD433" s="277">
        <f>IFERROR(__xludf.DUMMYFUNCTION("""COMPUTED_VALUE"""),333741.0)</f>
        <v>333741</v>
      </c>
      <c r="AE433" s="277">
        <f>IFERROR(__xludf.DUMMYFUNCTION("""COMPUTED_VALUE"""),333741.0)</f>
        <v>333741</v>
      </c>
      <c r="AF433" s="277"/>
      <c r="AG433" s="208"/>
      <c r="AH433" s="208"/>
      <c r="AI433" s="208"/>
      <c r="AJ433" s="208"/>
      <c r="AK433" s="208"/>
    </row>
    <row r="434">
      <c r="A434" s="273">
        <f>IFERROR(__xludf.DUMMYFUNCTION("""COMPUTED_VALUE"""),46183.0)</f>
        <v>46183</v>
      </c>
      <c r="B434" s="274">
        <f>IFERROR(__xludf.DUMMYFUNCTION("""COMPUTED_VALUE"""),0.7916666666678793)</f>
        <v>0.7916666667</v>
      </c>
      <c r="C434" s="208" t="str">
        <f>IFERROR(__xludf.DUMMYFUNCTION("""COMPUTED_VALUE"""),"Sms")</f>
        <v>Sms</v>
      </c>
      <c r="D434" s="208" t="str">
        <f>IFERROR(__xludf.DUMMYFUNCTION("""COMPUTED_VALUE"""),"Fallback campaign")</f>
        <v>Fallback campaign</v>
      </c>
      <c r="E434" s="208" t="str">
        <f>IFERROR(__xludf.DUMMYFUNCTION("""COMPUTED_VALUE"""),"VS")</f>
        <v>VS</v>
      </c>
      <c r="F434" s="208" t="str">
        <f>IFERROR(__xludf.DUMMYFUNCTION("""COMPUTED_VALUE"""),"Semi-Annual Sale (June) - All")</f>
        <v>Semi-Annual Sale (June) - All</v>
      </c>
      <c r="G434" s="208" t="str">
        <f>IFERROR(__xludf.DUMMYFUNCTION("""COMPUTED_VALUE"""),"SAS_App_CX_EA (FB)")</f>
        <v>SAS_App_CX_EA (FB)</v>
      </c>
      <c r="H434" s="208" t="str">
        <f>IFERROR(__xludf.DUMMYFUNCTION("""COMPUTED_VALUE"""),"VS_App_Users")</f>
        <v>VS_App_Users</v>
      </c>
      <c r="I434" s="233" t="str">
        <f>IFERROR(__xludf.DUMMYFUNCTION("""COMPUTED_VALUE"""),"WA Undelivered")</f>
        <v>WA Undelivered</v>
      </c>
      <c r="J434" s="275">
        <f>IFERROR(__xludf.DUMMYFUNCTION("""COMPUTED_VALUE"""),8971.0)</f>
        <v>8971</v>
      </c>
      <c r="K434" s="275">
        <f>IFERROR(__xludf.DUMMYFUNCTION("""COMPUTED_VALUE"""),5951.0)</f>
        <v>5951</v>
      </c>
      <c r="L434" s="276">
        <f>IFERROR(__xludf.DUMMYFUNCTION("""COMPUTED_VALUE"""),0.6634)</f>
        <v>0.6634</v>
      </c>
      <c r="M434" s="275">
        <f>IFERROR(__xludf.DUMMYFUNCTION("""COMPUTED_VALUE"""),0.0)</f>
        <v>0</v>
      </c>
      <c r="N434" s="276">
        <f>IFERROR(__xludf.DUMMYFUNCTION("""COMPUTED_VALUE"""),0.0)</f>
        <v>0</v>
      </c>
      <c r="O434" s="208">
        <f>IFERROR(__xludf.DUMMYFUNCTION("""COMPUTED_VALUE"""),95.0)</f>
        <v>95</v>
      </c>
      <c r="P434" s="208">
        <f>IFERROR(__xludf.DUMMYFUNCTION("""COMPUTED_VALUE"""),0.0)</f>
        <v>0</v>
      </c>
      <c r="Q434" s="276">
        <f>IFERROR(__xludf.DUMMYFUNCTION("""COMPUTED_VALUE"""),0.016)</f>
        <v>0.016</v>
      </c>
      <c r="R434" s="276">
        <f>IFERROR(__xludf.DUMMYFUNCTION("""COMPUTED_VALUE"""),0.0)</f>
        <v>0</v>
      </c>
      <c r="S434" s="208">
        <f>IFERROR(__xludf.DUMMYFUNCTION("""COMPUTED_VALUE"""),50.0)</f>
        <v>50</v>
      </c>
      <c r="T434" s="208">
        <f>IFERROR(__xludf.DUMMYFUNCTION("""COMPUTED_VALUE"""),0.0)</f>
        <v>0</v>
      </c>
      <c r="U434" s="275">
        <f>IFERROR(__xludf.DUMMYFUNCTION("""COMPUTED_VALUE"""),420783.0)</f>
        <v>420783</v>
      </c>
      <c r="V434" s="208" t="str">
        <f>IFERROR(__xludf.DUMMYFUNCTION("""COMPUTED_VALUE"""),"online")</f>
        <v>online</v>
      </c>
      <c r="W434" s="232" t="str">
        <f>IFERROR(__xludf.DUMMYFUNCTION("""COMPUTED_VALUE"""),"Sms")</f>
        <v>Sms</v>
      </c>
      <c r="X434" s="232" t="str">
        <f>IFERROR(__xludf.DUMMYFUNCTION("""COMPUTED_VALUE"""),"App Users")</f>
        <v>App Users</v>
      </c>
      <c r="Y434" s="232" t="str">
        <f>IFERROR(__xludf.DUMMYFUNCTION("""COMPUTED_VALUE"""),"10th - 14th June")</f>
        <v>10th - 14th June</v>
      </c>
      <c r="Z434" s="232" t="str">
        <f>IFERROR(__xludf.DUMMYFUNCTION("""COMPUTED_VALUE"""),"6a291ee11f3e2691b710bf81")</f>
        <v>6a291ee11f3e2691b710bf81</v>
      </c>
      <c r="AA434" s="277">
        <f>IFERROR(__xludf.DUMMYFUNCTION("""COMPUTED_VALUE"""),62.0)</f>
        <v>62</v>
      </c>
      <c r="AB434" s="277">
        <f>IFERROR(__xludf.DUMMYFUNCTION("""COMPUTED_VALUE"""),62.0)</f>
        <v>62</v>
      </c>
      <c r="AC434" s="277"/>
      <c r="AD434" s="277">
        <f>IFERROR(__xludf.DUMMYFUNCTION("""COMPUTED_VALUE"""),483093.0)</f>
        <v>483093</v>
      </c>
      <c r="AE434" s="277">
        <f>IFERROR(__xludf.DUMMYFUNCTION("""COMPUTED_VALUE"""),483093.0)</f>
        <v>483093</v>
      </c>
      <c r="AF434" s="277"/>
      <c r="AG434" s="208"/>
      <c r="AH434" s="208"/>
      <c r="AI434" s="208"/>
      <c r="AJ434" s="208"/>
      <c r="AK434" s="208"/>
    </row>
    <row r="435">
      <c r="A435" s="273">
        <f>IFERROR(__xludf.DUMMYFUNCTION("""COMPUTED_VALUE"""),46184.0)</f>
        <v>46184</v>
      </c>
      <c r="B435" s="274">
        <f>IFERROR(__xludf.DUMMYFUNCTION("""COMPUTED_VALUE"""),0.4375)</f>
        <v>0.4375</v>
      </c>
      <c r="C435" s="208" t="str">
        <f>IFERROR(__xludf.DUMMYFUNCTION("""COMPUTED_VALUE"""),"Sms")</f>
        <v>Sms</v>
      </c>
      <c r="D435" s="208" t="str">
        <f>IFERROR(__xludf.DUMMYFUNCTION("""COMPUTED_VALUE"""),"Fallback campaign")</f>
        <v>Fallback campaign</v>
      </c>
      <c r="E435" s="208" t="str">
        <f>IFERROR(__xludf.DUMMYFUNCTION("""COMPUTED_VALUE"""),"VS")</f>
        <v>VS</v>
      </c>
      <c r="F435" s="208" t="str">
        <f>IFERROR(__xludf.DUMMYFUNCTION("""COMPUTED_VALUE"""),"Semi-Annual Sale (June) - All")</f>
        <v>Semi-Annual Sale (June) - All</v>
      </c>
      <c r="G435" s="208" t="str">
        <f>IFERROR(__xludf.DUMMYFUNCTION("""COMPUTED_VALUE"""),"SAS_Off_Event_CX (FB)")</f>
        <v>SAS_Off_Event_CX (FB)</v>
      </c>
      <c r="H435" s="208" t="str">
        <f>IFERROR(__xludf.DUMMYFUNCTION("""COMPUTED_VALUE"""),"VS_OFF_Event_Buyers_03_06_26")</f>
        <v>VS_OFF_Event_Buyers_03_06_26</v>
      </c>
      <c r="I435" s="233" t="str">
        <f>IFERROR(__xludf.DUMMYFUNCTION("""COMPUTED_VALUE"""),"WA Undelivered")</f>
        <v>WA Undelivered</v>
      </c>
      <c r="J435" s="275">
        <f>IFERROR(__xludf.DUMMYFUNCTION("""COMPUTED_VALUE"""),23987.0)</f>
        <v>23987</v>
      </c>
      <c r="K435" s="275">
        <f>IFERROR(__xludf.DUMMYFUNCTION("""COMPUTED_VALUE"""),14699.0)</f>
        <v>14699</v>
      </c>
      <c r="L435" s="276">
        <f>IFERROR(__xludf.DUMMYFUNCTION("""COMPUTED_VALUE"""),0.6128)</f>
        <v>0.6128</v>
      </c>
      <c r="M435" s="275">
        <f>IFERROR(__xludf.DUMMYFUNCTION("""COMPUTED_VALUE"""),0.0)</f>
        <v>0</v>
      </c>
      <c r="N435" s="276">
        <f>IFERROR(__xludf.DUMMYFUNCTION("""COMPUTED_VALUE"""),0.0)</f>
        <v>0</v>
      </c>
      <c r="O435" s="208">
        <f>IFERROR(__xludf.DUMMYFUNCTION("""COMPUTED_VALUE"""),80.0)</f>
        <v>80</v>
      </c>
      <c r="P435" s="208">
        <f>IFERROR(__xludf.DUMMYFUNCTION("""COMPUTED_VALUE"""),0.0)</f>
        <v>0</v>
      </c>
      <c r="Q435" s="276">
        <f>IFERROR(__xludf.DUMMYFUNCTION("""COMPUTED_VALUE"""),0.0054)</f>
        <v>0.0054</v>
      </c>
      <c r="R435" s="276">
        <f>IFERROR(__xludf.DUMMYFUNCTION("""COMPUTED_VALUE"""),0.0)</f>
        <v>0</v>
      </c>
      <c r="S435" s="208">
        <f>IFERROR(__xludf.DUMMYFUNCTION("""COMPUTED_VALUE"""),75.0)</f>
        <v>75</v>
      </c>
      <c r="T435" s="208">
        <f>IFERROR(__xludf.DUMMYFUNCTION("""COMPUTED_VALUE"""),0.0)</f>
        <v>0</v>
      </c>
      <c r="U435" s="275">
        <f>IFERROR(__xludf.DUMMYFUNCTION("""COMPUTED_VALUE"""),629122.0)</f>
        <v>629122</v>
      </c>
      <c r="V435" s="208" t="str">
        <f>IFERROR(__xludf.DUMMYFUNCTION("""COMPUTED_VALUE"""),"offline")</f>
        <v>offline</v>
      </c>
      <c r="W435" s="232" t="str">
        <f>IFERROR(__xludf.DUMMYFUNCTION("""COMPUTED_VALUE"""),"Sms")</f>
        <v>Sms</v>
      </c>
      <c r="X435" s="232" t="str">
        <f>IFERROR(__xludf.DUMMYFUNCTION("""COMPUTED_VALUE"""),"Event Buyers")</f>
        <v>Event Buyers</v>
      </c>
      <c r="Y435" s="232" t="str">
        <f>IFERROR(__xludf.DUMMYFUNCTION("""COMPUTED_VALUE"""),"11th - 14th June")</f>
        <v>11th - 14th June</v>
      </c>
      <c r="Z435" s="232" t="str">
        <f>IFERROR(__xludf.DUMMYFUNCTION("""COMPUTED_VALUE"""),"6a295ad361b92c7d0fcd190a")</f>
        <v>6a295ad361b92c7d0fcd190a</v>
      </c>
      <c r="AA435" s="277">
        <f>IFERROR(__xludf.DUMMYFUNCTION("""COMPUTED_VALUE"""),118.0)</f>
        <v>118</v>
      </c>
      <c r="AB435" s="277"/>
      <c r="AC435" s="277">
        <f>IFERROR(__xludf.DUMMYFUNCTION("""COMPUTED_VALUE"""),118.0)</f>
        <v>118</v>
      </c>
      <c r="AD435" s="277">
        <f>IFERROR(__xludf.DUMMYFUNCTION("""COMPUTED_VALUE"""),1058172.0)</f>
        <v>1058172</v>
      </c>
      <c r="AE435" s="277"/>
      <c r="AF435" s="277">
        <f>IFERROR(__xludf.DUMMYFUNCTION("""COMPUTED_VALUE"""),1058172.0)</f>
        <v>1058172</v>
      </c>
      <c r="AG435" s="208"/>
      <c r="AH435" s="208"/>
      <c r="AI435" s="208"/>
      <c r="AJ435" s="208"/>
      <c r="AK435" s="208"/>
    </row>
    <row r="436">
      <c r="A436" s="273">
        <f>IFERROR(__xludf.DUMMYFUNCTION("""COMPUTED_VALUE"""),46184.0)</f>
        <v>46184</v>
      </c>
      <c r="B436" s="274">
        <f>IFERROR(__xludf.DUMMYFUNCTION("""COMPUTED_VALUE"""),0.4375)</f>
        <v>0.4375</v>
      </c>
      <c r="C436" s="208" t="str">
        <f>IFERROR(__xludf.DUMMYFUNCTION("""COMPUTED_VALUE"""),"Sms")</f>
        <v>Sms</v>
      </c>
      <c r="D436" s="208" t="str">
        <f>IFERROR(__xludf.DUMMYFUNCTION("""COMPUTED_VALUE"""),"Fallback campaign")</f>
        <v>Fallback campaign</v>
      </c>
      <c r="E436" s="208" t="str">
        <f>IFERROR(__xludf.DUMMYFUNCTION("""COMPUTED_VALUE"""),"VS")</f>
        <v>VS</v>
      </c>
      <c r="F436" s="208" t="str">
        <f>IFERROR(__xludf.DUMMYFUNCTION("""COMPUTED_VALUE"""),"Semi-Annual Sale (June) - All")</f>
        <v>Semi-Annual Sale (June) - All</v>
      </c>
      <c r="G436" s="208" t="str">
        <f>IFERROR(__xludf.DUMMYFUNCTION("""COMPUTED_VALUE"""),"SAS_Off_Recent_CX (FB)")</f>
        <v>SAS_Off_Recent_CX (FB)</v>
      </c>
      <c r="H436" s="208" t="str">
        <f>IFERROR(__xludf.DUMMYFUNCTION("""COMPUTED_VALUE"""),"VS_OFF_Recent")</f>
        <v>VS_OFF_Recent</v>
      </c>
      <c r="I436" s="233" t="str">
        <f>IFERROR(__xludf.DUMMYFUNCTION("""COMPUTED_VALUE"""),"WA Undelivered")</f>
        <v>WA Undelivered</v>
      </c>
      <c r="J436" s="275">
        <f>IFERROR(__xludf.DUMMYFUNCTION("""COMPUTED_VALUE"""),7769.0)</f>
        <v>7769</v>
      </c>
      <c r="K436" s="275">
        <f>IFERROR(__xludf.DUMMYFUNCTION("""COMPUTED_VALUE"""),4884.0)</f>
        <v>4884</v>
      </c>
      <c r="L436" s="276">
        <f>IFERROR(__xludf.DUMMYFUNCTION("""COMPUTED_VALUE"""),0.6287)</f>
        <v>0.6287</v>
      </c>
      <c r="M436" s="275">
        <f>IFERROR(__xludf.DUMMYFUNCTION("""COMPUTED_VALUE"""),0.0)</f>
        <v>0</v>
      </c>
      <c r="N436" s="276">
        <f>IFERROR(__xludf.DUMMYFUNCTION("""COMPUTED_VALUE"""),0.0)</f>
        <v>0</v>
      </c>
      <c r="O436" s="208">
        <f>IFERROR(__xludf.DUMMYFUNCTION("""COMPUTED_VALUE"""),26.0)</f>
        <v>26</v>
      </c>
      <c r="P436" s="208">
        <f>IFERROR(__xludf.DUMMYFUNCTION("""COMPUTED_VALUE"""),0.0)</f>
        <v>0</v>
      </c>
      <c r="Q436" s="276">
        <f>IFERROR(__xludf.DUMMYFUNCTION("""COMPUTED_VALUE"""),0.0053)</f>
        <v>0.0053</v>
      </c>
      <c r="R436" s="276">
        <f>IFERROR(__xludf.DUMMYFUNCTION("""COMPUTED_VALUE"""),0.0)</f>
        <v>0</v>
      </c>
      <c r="S436" s="208">
        <f>IFERROR(__xludf.DUMMYFUNCTION("""COMPUTED_VALUE"""),24.0)</f>
        <v>24</v>
      </c>
      <c r="T436" s="208">
        <f>IFERROR(__xludf.DUMMYFUNCTION("""COMPUTED_VALUE"""),0.0)</f>
        <v>0</v>
      </c>
      <c r="U436" s="275">
        <f>IFERROR(__xludf.DUMMYFUNCTION("""COMPUTED_VALUE"""),221519.0)</f>
        <v>221519</v>
      </c>
      <c r="V436" s="208" t="str">
        <f>IFERROR(__xludf.DUMMYFUNCTION("""COMPUTED_VALUE"""),"offline")</f>
        <v>offline</v>
      </c>
      <c r="W436" s="232" t="str">
        <f>IFERROR(__xludf.DUMMYFUNCTION("""COMPUTED_VALUE"""),"Sms")</f>
        <v>Sms</v>
      </c>
      <c r="X436" s="232" t="str">
        <f>IFERROR(__xludf.DUMMYFUNCTION("""COMPUTED_VALUE"""),"Active")</f>
        <v>Active</v>
      </c>
      <c r="Y436" s="232" t="str">
        <f>IFERROR(__xludf.DUMMYFUNCTION("""COMPUTED_VALUE"""),"11th - 14th June")</f>
        <v>11th - 14th June</v>
      </c>
      <c r="Z436" s="232" t="str">
        <f>IFERROR(__xludf.DUMMYFUNCTION("""COMPUTED_VALUE"""),"6a29633f6a0808ecb5277d55")</f>
        <v>6a29633f6a0808ecb5277d55</v>
      </c>
      <c r="AA436" s="277">
        <f>IFERROR(__xludf.DUMMYFUNCTION("""COMPUTED_VALUE"""),41.0)</f>
        <v>41</v>
      </c>
      <c r="AB436" s="277"/>
      <c r="AC436" s="277">
        <f>IFERROR(__xludf.DUMMYFUNCTION("""COMPUTED_VALUE"""),41.0)</f>
        <v>41</v>
      </c>
      <c r="AD436" s="277">
        <f>IFERROR(__xludf.DUMMYFUNCTION("""COMPUTED_VALUE"""),418077.0)</f>
        <v>418077</v>
      </c>
      <c r="AE436" s="277"/>
      <c r="AF436" s="277">
        <f>IFERROR(__xludf.DUMMYFUNCTION("""COMPUTED_VALUE"""),418077.0)</f>
        <v>418077</v>
      </c>
      <c r="AG436" s="208"/>
      <c r="AH436" s="208"/>
      <c r="AI436" s="208"/>
      <c r="AJ436" s="208"/>
      <c r="AK436" s="208"/>
    </row>
    <row r="437">
      <c r="A437" s="273">
        <f>IFERROR(__xludf.DUMMYFUNCTION("""COMPUTED_VALUE"""),46184.0)</f>
        <v>46184</v>
      </c>
      <c r="B437" s="274">
        <f>IFERROR(__xludf.DUMMYFUNCTION("""COMPUTED_VALUE"""),0.4375)</f>
        <v>0.4375</v>
      </c>
      <c r="C437" s="208" t="str">
        <f>IFERROR(__xludf.DUMMYFUNCTION("""COMPUTED_VALUE"""),"Sms")</f>
        <v>Sms</v>
      </c>
      <c r="D437" s="208" t="str">
        <f>IFERROR(__xludf.DUMMYFUNCTION("""COMPUTED_VALUE"""),"Fallback campaign")</f>
        <v>Fallback campaign</v>
      </c>
      <c r="E437" s="208" t="str">
        <f>IFERROR(__xludf.DUMMYFUNCTION("""COMPUTED_VALUE"""),"VS")</f>
        <v>VS</v>
      </c>
      <c r="F437" s="208" t="str">
        <f>IFERROR(__xludf.DUMMYFUNCTION("""COMPUTED_VALUE"""),"Semi-Annual Sale (June) - All")</f>
        <v>Semi-Annual Sale (June) - All</v>
      </c>
      <c r="G437" s="208" t="str">
        <f>IFERROR(__xludf.DUMMYFUNCTION("""COMPUTED_VALUE"""),"SAS_Off_Dormant_CX (FB")</f>
        <v>SAS_Off_Dormant_CX (FB</v>
      </c>
      <c r="H437" s="208" t="str">
        <f>IFERROR(__xludf.DUMMYFUNCTION("""COMPUTED_VALUE"""),"VS_OFF_Dormant")</f>
        <v>VS_OFF_Dormant</v>
      </c>
      <c r="I437" s="233" t="str">
        <f>IFERROR(__xludf.DUMMYFUNCTION("""COMPUTED_VALUE"""),"WA Undelivered")</f>
        <v>WA Undelivered</v>
      </c>
      <c r="J437" s="275">
        <f>IFERROR(__xludf.DUMMYFUNCTION("""COMPUTED_VALUE"""),22119.0)</f>
        <v>22119</v>
      </c>
      <c r="K437" s="275">
        <f>IFERROR(__xludf.DUMMYFUNCTION("""COMPUTED_VALUE"""),14100.0)</f>
        <v>14100</v>
      </c>
      <c r="L437" s="276">
        <f>IFERROR(__xludf.DUMMYFUNCTION("""COMPUTED_VALUE"""),0.6375)</f>
        <v>0.6375</v>
      </c>
      <c r="M437" s="275">
        <f>IFERROR(__xludf.DUMMYFUNCTION("""COMPUTED_VALUE"""),0.0)</f>
        <v>0</v>
      </c>
      <c r="N437" s="276">
        <f>IFERROR(__xludf.DUMMYFUNCTION("""COMPUTED_VALUE"""),0.0)</f>
        <v>0</v>
      </c>
      <c r="O437" s="208">
        <f>IFERROR(__xludf.DUMMYFUNCTION("""COMPUTED_VALUE"""),68.0)</f>
        <v>68</v>
      </c>
      <c r="P437" s="208">
        <f>IFERROR(__xludf.DUMMYFUNCTION("""COMPUTED_VALUE"""),0.0)</f>
        <v>0</v>
      </c>
      <c r="Q437" s="276">
        <f>IFERROR(__xludf.DUMMYFUNCTION("""COMPUTED_VALUE"""),0.0048)</f>
        <v>0.0048</v>
      </c>
      <c r="R437" s="276">
        <f>IFERROR(__xludf.DUMMYFUNCTION("""COMPUTED_VALUE"""),0.0)</f>
        <v>0</v>
      </c>
      <c r="S437" s="208">
        <f>IFERROR(__xludf.DUMMYFUNCTION("""COMPUTED_VALUE"""),57.0)</f>
        <v>57</v>
      </c>
      <c r="T437" s="208">
        <f>IFERROR(__xludf.DUMMYFUNCTION("""COMPUTED_VALUE"""),0.0)</f>
        <v>0</v>
      </c>
      <c r="U437" s="275">
        <f>IFERROR(__xludf.DUMMYFUNCTION("""COMPUTED_VALUE"""),510009.0)</f>
        <v>510009</v>
      </c>
      <c r="V437" s="208" t="str">
        <f>IFERROR(__xludf.DUMMYFUNCTION("""COMPUTED_VALUE"""),"offline")</f>
        <v>offline</v>
      </c>
      <c r="W437" s="232" t="str">
        <f>IFERROR(__xludf.DUMMYFUNCTION("""COMPUTED_VALUE"""),"Sms")</f>
        <v>Sms</v>
      </c>
      <c r="X437" s="232" t="str">
        <f>IFERROR(__xludf.DUMMYFUNCTION("""COMPUTED_VALUE"""),"Dormant")</f>
        <v>Dormant</v>
      </c>
      <c r="Y437" s="232" t="str">
        <f>IFERROR(__xludf.DUMMYFUNCTION("""COMPUTED_VALUE"""),"11th - 14th June")</f>
        <v>11th - 14th June</v>
      </c>
      <c r="Z437" s="232" t="str">
        <f>IFERROR(__xludf.DUMMYFUNCTION("""COMPUTED_VALUE"""),"6a2963ae635cefae2b18a338")</f>
        <v>6a2963ae635cefae2b18a338</v>
      </c>
      <c r="AA437" s="277">
        <f>IFERROR(__xludf.DUMMYFUNCTION("""COMPUTED_VALUE"""),87.0)</f>
        <v>87</v>
      </c>
      <c r="AB437" s="277"/>
      <c r="AC437" s="277">
        <f>IFERROR(__xludf.DUMMYFUNCTION("""COMPUTED_VALUE"""),87.0)</f>
        <v>87</v>
      </c>
      <c r="AD437" s="277">
        <f>IFERROR(__xludf.DUMMYFUNCTION("""COMPUTED_VALUE"""),723342.0)</f>
        <v>723342</v>
      </c>
      <c r="AE437" s="277"/>
      <c r="AF437" s="277">
        <f>IFERROR(__xludf.DUMMYFUNCTION("""COMPUTED_VALUE"""),723342.0)</f>
        <v>723342</v>
      </c>
      <c r="AG437" s="208"/>
      <c r="AH437" s="208"/>
      <c r="AI437" s="208"/>
      <c r="AJ437" s="208"/>
      <c r="AK437" s="208"/>
    </row>
    <row r="438">
      <c r="A438" s="273">
        <f>IFERROR(__xludf.DUMMYFUNCTION("""COMPUTED_VALUE"""),46184.0)</f>
        <v>46184</v>
      </c>
      <c r="B438" s="274">
        <f>IFERROR(__xludf.DUMMYFUNCTION("""COMPUTED_VALUE"""),0.4375)</f>
        <v>0.4375</v>
      </c>
      <c r="C438" s="208" t="str">
        <f>IFERROR(__xludf.DUMMYFUNCTION("""COMPUTED_VALUE"""),"Sms")</f>
        <v>Sms</v>
      </c>
      <c r="D438" s="208" t="str">
        <f>IFERROR(__xludf.DUMMYFUNCTION("""COMPUTED_VALUE"""),"Fallback campaign")</f>
        <v>Fallback campaign</v>
      </c>
      <c r="E438" s="208" t="str">
        <f>IFERROR(__xludf.DUMMYFUNCTION("""COMPUTED_VALUE"""),"VS")</f>
        <v>VS</v>
      </c>
      <c r="F438" s="208" t="str">
        <f>IFERROR(__xludf.DUMMYFUNCTION("""COMPUTED_VALUE"""),"Semi-Annual Sale (June) - All")</f>
        <v>Semi-Annual Sale (June) - All</v>
      </c>
      <c r="G438" s="208" t="str">
        <f>IFERROR(__xludf.DUMMYFUNCTION("""COMPUTED_VALUE"""),"SAS_Off_Churned_CX (FB)")</f>
        <v>SAS_Off_Churned_CX (FB)</v>
      </c>
      <c r="H438" s="208" t="str">
        <f>IFERROR(__xludf.DUMMYFUNCTION("""COMPUTED_VALUE"""),"VS_OFF_Churned")</f>
        <v>VS_OFF_Churned</v>
      </c>
      <c r="I438" s="233" t="str">
        <f>IFERROR(__xludf.DUMMYFUNCTION("""COMPUTED_VALUE"""),"WA Undelivered")</f>
        <v>WA Undelivered</v>
      </c>
      <c r="J438" s="275">
        <f>IFERROR(__xludf.DUMMYFUNCTION("""COMPUTED_VALUE"""),23633.0)</f>
        <v>23633</v>
      </c>
      <c r="K438" s="275">
        <f>IFERROR(__xludf.DUMMYFUNCTION("""COMPUTED_VALUE"""),13808.0)</f>
        <v>13808</v>
      </c>
      <c r="L438" s="276">
        <f>IFERROR(__xludf.DUMMYFUNCTION("""COMPUTED_VALUE"""),0.5843)</f>
        <v>0.5843</v>
      </c>
      <c r="M438" s="275">
        <f>IFERROR(__xludf.DUMMYFUNCTION("""COMPUTED_VALUE"""),0.0)</f>
        <v>0</v>
      </c>
      <c r="N438" s="276">
        <f>IFERROR(__xludf.DUMMYFUNCTION("""COMPUTED_VALUE"""),0.0)</f>
        <v>0</v>
      </c>
      <c r="O438" s="208">
        <f>IFERROR(__xludf.DUMMYFUNCTION("""COMPUTED_VALUE"""),45.0)</f>
        <v>45</v>
      </c>
      <c r="P438" s="208">
        <f>IFERROR(__xludf.DUMMYFUNCTION("""COMPUTED_VALUE"""),0.0)</f>
        <v>0</v>
      </c>
      <c r="Q438" s="276">
        <f>IFERROR(__xludf.DUMMYFUNCTION("""COMPUTED_VALUE"""),0.0033)</f>
        <v>0.0033</v>
      </c>
      <c r="R438" s="276">
        <f>IFERROR(__xludf.DUMMYFUNCTION("""COMPUTED_VALUE"""),0.0)</f>
        <v>0</v>
      </c>
      <c r="S438" s="208">
        <f>IFERROR(__xludf.DUMMYFUNCTION("""COMPUTED_VALUE"""),28.0)</f>
        <v>28</v>
      </c>
      <c r="T438" s="208">
        <f>IFERROR(__xludf.DUMMYFUNCTION("""COMPUTED_VALUE"""),0.0)</f>
        <v>0</v>
      </c>
      <c r="U438" s="275">
        <f>IFERROR(__xludf.DUMMYFUNCTION("""COMPUTED_VALUE"""),255702.0)</f>
        <v>255702</v>
      </c>
      <c r="V438" s="208" t="str">
        <f>IFERROR(__xludf.DUMMYFUNCTION("""COMPUTED_VALUE"""),"offline")</f>
        <v>offline</v>
      </c>
      <c r="W438" s="232" t="str">
        <f>IFERROR(__xludf.DUMMYFUNCTION("""COMPUTED_VALUE"""),"Sms")</f>
        <v>Sms</v>
      </c>
      <c r="X438" s="232" t="str">
        <f>IFERROR(__xludf.DUMMYFUNCTION("""COMPUTED_VALUE"""),"Churned")</f>
        <v>Churned</v>
      </c>
      <c r="Y438" s="232" t="str">
        <f>IFERROR(__xludf.DUMMYFUNCTION("""COMPUTED_VALUE"""),"11th - 14th June")</f>
        <v>11th - 14th June</v>
      </c>
      <c r="Z438" s="232" t="str">
        <f>IFERROR(__xludf.DUMMYFUNCTION("""COMPUTED_VALUE"""),"6a2963f8ae5f9b0666ce9cf0")</f>
        <v>6a2963f8ae5f9b0666ce9cf0</v>
      </c>
      <c r="AA438" s="277">
        <f>IFERROR(__xludf.DUMMYFUNCTION("""COMPUTED_VALUE"""),44.0)</f>
        <v>44</v>
      </c>
      <c r="AB438" s="277"/>
      <c r="AC438" s="277">
        <f>IFERROR(__xludf.DUMMYFUNCTION("""COMPUTED_VALUE"""),44.0)</f>
        <v>44</v>
      </c>
      <c r="AD438" s="277">
        <f>IFERROR(__xludf.DUMMYFUNCTION("""COMPUTED_VALUE"""),327123.0)</f>
        <v>327123</v>
      </c>
      <c r="AE438" s="277"/>
      <c r="AF438" s="277">
        <f>IFERROR(__xludf.DUMMYFUNCTION("""COMPUTED_VALUE"""),327123.0)</f>
        <v>327123</v>
      </c>
      <c r="AG438" s="208"/>
      <c r="AH438" s="208"/>
      <c r="AI438" s="208"/>
      <c r="AJ438" s="208"/>
      <c r="AK438" s="208"/>
    </row>
    <row r="439">
      <c r="A439" s="273">
        <f>IFERROR(__xludf.DUMMYFUNCTION("""COMPUTED_VALUE"""),46184.0)</f>
        <v>46184</v>
      </c>
      <c r="B439" s="274">
        <f>IFERROR(__xludf.DUMMYFUNCTION("""COMPUTED_VALUE"""),0.4375)</f>
        <v>0.4375</v>
      </c>
      <c r="C439" s="208" t="str">
        <f>IFERROR(__xludf.DUMMYFUNCTION("""COMPUTED_VALUE"""),"Sms")</f>
        <v>Sms</v>
      </c>
      <c r="D439" s="208" t="str">
        <f>IFERROR(__xludf.DUMMYFUNCTION("""COMPUTED_VALUE"""),"Fallback campaign")</f>
        <v>Fallback campaign</v>
      </c>
      <c r="E439" s="208" t="str">
        <f>IFERROR(__xludf.DUMMYFUNCTION("""COMPUTED_VALUE"""),"VS")</f>
        <v>VS</v>
      </c>
      <c r="F439" s="208" t="str">
        <f>IFERROR(__xludf.DUMMYFUNCTION("""COMPUTED_VALUE"""),"Semi-Annual Sale (June) - All")</f>
        <v>Semi-Annual Sale (June) - All</v>
      </c>
      <c r="G439" s="208" t="str">
        <f>IFERROR(__xludf.DUMMYFUNCTION("""COMPUTED_VALUE"""),"SAS_Off_LTV&gt;25k_CX (FB)")</f>
        <v>SAS_Off_LTV&gt;25k_CX (FB)</v>
      </c>
      <c r="H439" s="208" t="str">
        <f>IFERROR(__xludf.DUMMYFUNCTION("""COMPUTED_VALUE"""),"VS_OFF_LTV_25k")</f>
        <v>VS_OFF_LTV_25k</v>
      </c>
      <c r="I439" s="233" t="str">
        <f>IFERROR(__xludf.DUMMYFUNCTION("""COMPUTED_VALUE"""),"WA Undelivered")</f>
        <v>WA Undelivered</v>
      </c>
      <c r="J439" s="275">
        <f>IFERROR(__xludf.DUMMYFUNCTION("""COMPUTED_VALUE"""),8428.0)</f>
        <v>8428</v>
      </c>
      <c r="K439" s="275">
        <f>IFERROR(__xludf.DUMMYFUNCTION("""COMPUTED_VALUE"""),4609.0)</f>
        <v>4609</v>
      </c>
      <c r="L439" s="276">
        <f>IFERROR(__xludf.DUMMYFUNCTION("""COMPUTED_VALUE"""),0.5469)</f>
        <v>0.5469</v>
      </c>
      <c r="M439" s="275">
        <f>IFERROR(__xludf.DUMMYFUNCTION("""COMPUTED_VALUE"""),0.0)</f>
        <v>0</v>
      </c>
      <c r="N439" s="276">
        <f>IFERROR(__xludf.DUMMYFUNCTION("""COMPUTED_VALUE"""),0.0)</f>
        <v>0</v>
      </c>
      <c r="O439" s="208">
        <f>IFERROR(__xludf.DUMMYFUNCTION("""COMPUTED_VALUE"""),29.0)</f>
        <v>29</v>
      </c>
      <c r="P439" s="208">
        <f>IFERROR(__xludf.DUMMYFUNCTION("""COMPUTED_VALUE"""),0.0)</f>
        <v>0</v>
      </c>
      <c r="Q439" s="276">
        <f>IFERROR(__xludf.DUMMYFUNCTION("""COMPUTED_VALUE"""),0.0063)</f>
        <v>0.0063</v>
      </c>
      <c r="R439" s="276">
        <f>IFERROR(__xludf.DUMMYFUNCTION("""COMPUTED_VALUE"""),0.0)</f>
        <v>0</v>
      </c>
      <c r="S439" s="208">
        <f>IFERROR(__xludf.DUMMYFUNCTION("""COMPUTED_VALUE"""),58.0)</f>
        <v>58</v>
      </c>
      <c r="T439" s="208">
        <f>IFERROR(__xludf.DUMMYFUNCTION("""COMPUTED_VALUE"""),0.0)</f>
        <v>0</v>
      </c>
      <c r="U439" s="275">
        <f>IFERROR(__xludf.DUMMYFUNCTION("""COMPUTED_VALUE"""),812190.0)</f>
        <v>812190</v>
      </c>
      <c r="V439" s="208" t="str">
        <f>IFERROR(__xludf.DUMMYFUNCTION("""COMPUTED_VALUE"""),"offline")</f>
        <v>offline</v>
      </c>
      <c r="W439" s="232" t="str">
        <f>IFERROR(__xludf.DUMMYFUNCTION("""COMPUTED_VALUE"""),"Sms")</f>
        <v>Sms</v>
      </c>
      <c r="X439" s="232" t="str">
        <f>IFERROR(__xludf.DUMMYFUNCTION("""COMPUTED_VALUE"""),"LTV")</f>
        <v>LTV</v>
      </c>
      <c r="Y439" s="232" t="str">
        <f>IFERROR(__xludf.DUMMYFUNCTION("""COMPUTED_VALUE"""),"11th - 14th June")</f>
        <v>11th - 14th June</v>
      </c>
      <c r="Z439" s="232" t="str">
        <f>IFERROR(__xludf.DUMMYFUNCTION("""COMPUTED_VALUE"""),"6a296444034889c13fcfa2ad")</f>
        <v>6a296444034889c13fcfa2ad</v>
      </c>
      <c r="AA439" s="277">
        <f>IFERROR(__xludf.DUMMYFUNCTION("""COMPUTED_VALUE"""),84.0)</f>
        <v>84</v>
      </c>
      <c r="AB439" s="277"/>
      <c r="AC439" s="277">
        <f>IFERROR(__xludf.DUMMYFUNCTION("""COMPUTED_VALUE"""),84.0)</f>
        <v>84</v>
      </c>
      <c r="AD439" s="277">
        <f>IFERROR(__xludf.DUMMYFUNCTION("""COMPUTED_VALUE"""),1163287.0)</f>
        <v>1163287</v>
      </c>
      <c r="AE439" s="277"/>
      <c r="AF439" s="277">
        <f>IFERROR(__xludf.DUMMYFUNCTION("""COMPUTED_VALUE"""),1163287.0)</f>
        <v>1163287</v>
      </c>
      <c r="AG439" s="208"/>
      <c r="AH439" s="208"/>
      <c r="AI439" s="208"/>
      <c r="AJ439" s="208"/>
      <c r="AK439" s="208"/>
    </row>
    <row r="440">
      <c r="A440" s="273">
        <f>IFERROR(__xludf.DUMMYFUNCTION("""COMPUTED_VALUE"""),46184.0)</f>
        <v>46184</v>
      </c>
      <c r="B440" s="274">
        <f>IFERROR(__xludf.DUMMYFUNCTION("""COMPUTED_VALUE"""),0.75)</f>
        <v>0.75</v>
      </c>
      <c r="C440" s="208" t="str">
        <f>IFERROR(__xludf.DUMMYFUNCTION("""COMPUTED_VALUE"""),"Sms")</f>
        <v>Sms</v>
      </c>
      <c r="D440" s="208" t="str">
        <f>IFERROR(__xludf.DUMMYFUNCTION("""COMPUTED_VALUE"""),"Fallback campaign")</f>
        <v>Fallback campaign</v>
      </c>
      <c r="E440" s="208" t="str">
        <f>IFERROR(__xludf.DUMMYFUNCTION("""COMPUTED_VALUE"""),"VS")</f>
        <v>VS</v>
      </c>
      <c r="F440" s="208" t="str">
        <f>IFERROR(__xludf.DUMMYFUNCTION("""COMPUTED_VALUE"""),"Semi-Annual Sale (June) - All")</f>
        <v>Semi-Annual Sale (June) - All</v>
      </c>
      <c r="G440" s="208" t="str">
        <f>IFERROR(__xludf.DUMMYFUNCTION("""COMPUTED_VALUE"""),"SAS_On_ATC_CX (FB)")</f>
        <v>SAS_On_ATC_CX (FB)</v>
      </c>
      <c r="H440" s="208" t="str">
        <f>IFERROR(__xludf.DUMMYFUNCTION("""COMPUTED_VALUE"""),"VS_ON_ATC_78D_No_Pr")</f>
        <v>VS_ON_ATC_78D_No_Pr</v>
      </c>
      <c r="I440" s="233" t="str">
        <f>IFERROR(__xludf.DUMMYFUNCTION("""COMPUTED_VALUE"""),"WA Undelivered")</f>
        <v>WA Undelivered</v>
      </c>
      <c r="J440" s="275">
        <f>IFERROR(__xludf.DUMMYFUNCTION("""COMPUTED_VALUE"""),3676.0)</f>
        <v>3676</v>
      </c>
      <c r="K440" s="275">
        <f>IFERROR(__xludf.DUMMYFUNCTION("""COMPUTED_VALUE"""),2386.0)</f>
        <v>2386</v>
      </c>
      <c r="L440" s="276">
        <f>IFERROR(__xludf.DUMMYFUNCTION("""COMPUTED_VALUE"""),0.6491)</f>
        <v>0.6491</v>
      </c>
      <c r="M440" s="275">
        <f>IFERROR(__xludf.DUMMYFUNCTION("""COMPUTED_VALUE"""),0.0)</f>
        <v>0</v>
      </c>
      <c r="N440" s="276">
        <f>IFERROR(__xludf.DUMMYFUNCTION("""COMPUTED_VALUE"""),0.0)</f>
        <v>0</v>
      </c>
      <c r="O440" s="208">
        <f>IFERROR(__xludf.DUMMYFUNCTION("""COMPUTED_VALUE"""),28.0)</f>
        <v>28</v>
      </c>
      <c r="P440" s="208">
        <f>IFERROR(__xludf.DUMMYFUNCTION("""COMPUTED_VALUE"""),0.0)</f>
        <v>0</v>
      </c>
      <c r="Q440" s="276">
        <f>IFERROR(__xludf.DUMMYFUNCTION("""COMPUTED_VALUE"""),0.0117)</f>
        <v>0.0117</v>
      </c>
      <c r="R440" s="276">
        <f>IFERROR(__xludf.DUMMYFUNCTION("""COMPUTED_VALUE"""),0.0)</f>
        <v>0</v>
      </c>
      <c r="S440" s="208">
        <f>IFERROR(__xludf.DUMMYFUNCTION("""COMPUTED_VALUE"""),17.0)</f>
        <v>17</v>
      </c>
      <c r="T440" s="208">
        <f>IFERROR(__xludf.DUMMYFUNCTION("""COMPUTED_VALUE"""),0.0)</f>
        <v>0</v>
      </c>
      <c r="U440" s="275">
        <f>IFERROR(__xludf.DUMMYFUNCTION("""COMPUTED_VALUE"""),129425.0)</f>
        <v>129425</v>
      </c>
      <c r="V440" s="208" t="str">
        <f>IFERROR(__xludf.DUMMYFUNCTION("""COMPUTED_VALUE"""),"online")</f>
        <v>online</v>
      </c>
      <c r="W440" s="232" t="str">
        <f>IFERROR(__xludf.DUMMYFUNCTION("""COMPUTED_VALUE"""),"Sms")</f>
        <v>Sms</v>
      </c>
      <c r="X440" s="232" t="str">
        <f>IFERROR(__xludf.DUMMYFUNCTION("""COMPUTED_VALUE"""),"ATC/View")</f>
        <v>ATC/View</v>
      </c>
      <c r="Y440" s="232" t="str">
        <f>IFERROR(__xludf.DUMMYFUNCTION("""COMPUTED_VALUE"""),"11th - 14th June")</f>
        <v>11th - 14th June</v>
      </c>
      <c r="Z440" s="232" t="str">
        <f>IFERROR(__xludf.DUMMYFUNCTION("""COMPUTED_VALUE"""),"6a296497f63dda54bce92c90")</f>
        <v>6a296497f63dda54bce92c90</v>
      </c>
      <c r="AA440" s="277">
        <f>IFERROR(__xludf.DUMMYFUNCTION("""COMPUTED_VALUE"""),34.0)</f>
        <v>34</v>
      </c>
      <c r="AB440" s="277">
        <f>IFERROR(__xludf.DUMMYFUNCTION("""COMPUTED_VALUE"""),34.0)</f>
        <v>34</v>
      </c>
      <c r="AC440" s="277"/>
      <c r="AD440" s="277">
        <f>IFERROR(__xludf.DUMMYFUNCTION("""COMPUTED_VALUE"""),272770.0)</f>
        <v>272770</v>
      </c>
      <c r="AE440" s="277">
        <f>IFERROR(__xludf.DUMMYFUNCTION("""COMPUTED_VALUE"""),272770.0)</f>
        <v>272770</v>
      </c>
      <c r="AF440" s="277"/>
      <c r="AG440" s="208"/>
      <c r="AH440" s="208"/>
      <c r="AI440" s="208"/>
      <c r="AJ440" s="208"/>
      <c r="AK440" s="208"/>
    </row>
    <row r="441">
      <c r="A441" s="273">
        <f>IFERROR(__xludf.DUMMYFUNCTION("""COMPUTED_VALUE"""),46184.0)</f>
        <v>46184</v>
      </c>
      <c r="B441" s="274">
        <f>IFERROR(__xludf.DUMMYFUNCTION("""COMPUTED_VALUE"""),0.75)</f>
        <v>0.75</v>
      </c>
      <c r="C441" s="208" t="str">
        <f>IFERROR(__xludf.DUMMYFUNCTION("""COMPUTED_VALUE"""),"Sms")</f>
        <v>Sms</v>
      </c>
      <c r="D441" s="208" t="str">
        <f>IFERROR(__xludf.DUMMYFUNCTION("""COMPUTED_VALUE"""),"Fallback campaign")</f>
        <v>Fallback campaign</v>
      </c>
      <c r="E441" s="208" t="str">
        <f>IFERROR(__xludf.DUMMYFUNCTION("""COMPUTED_VALUE"""),"VS")</f>
        <v>VS</v>
      </c>
      <c r="F441" s="208" t="str">
        <f>IFERROR(__xludf.DUMMYFUNCTION("""COMPUTED_VALUE"""),"Semi-Annual Sale (June) - All")</f>
        <v>Semi-Annual Sale (June) - All</v>
      </c>
      <c r="G441" s="208" t="str">
        <f>IFERROR(__xludf.DUMMYFUNCTION("""COMPUTED_VALUE"""),"SAS_On_Event_CX (FB)")</f>
        <v>SAS_On_Event_CX (FB)</v>
      </c>
      <c r="H441" s="208" t="str">
        <f>IFERROR(__xludf.DUMMYFUNCTION("""COMPUTED_VALUE"""),"VS_ON_Event_Buyers_03_06_26")</f>
        <v>VS_ON_Event_Buyers_03_06_26</v>
      </c>
      <c r="I441" s="233" t="str">
        <f>IFERROR(__xludf.DUMMYFUNCTION("""COMPUTED_VALUE"""),"WA Undelivered")</f>
        <v>WA Undelivered</v>
      </c>
      <c r="J441" s="275">
        <f>IFERROR(__xludf.DUMMYFUNCTION("""COMPUTED_VALUE"""),28366.0)</f>
        <v>28366</v>
      </c>
      <c r="K441" s="275">
        <f>IFERROR(__xludf.DUMMYFUNCTION("""COMPUTED_VALUE"""),18366.0)</f>
        <v>18366</v>
      </c>
      <c r="L441" s="276">
        <f>IFERROR(__xludf.DUMMYFUNCTION("""COMPUTED_VALUE"""),0.6475)</f>
        <v>0.6475</v>
      </c>
      <c r="M441" s="275">
        <f>IFERROR(__xludf.DUMMYFUNCTION("""COMPUTED_VALUE"""),0.0)</f>
        <v>0</v>
      </c>
      <c r="N441" s="276">
        <f>IFERROR(__xludf.DUMMYFUNCTION("""COMPUTED_VALUE"""),0.0)</f>
        <v>0</v>
      </c>
      <c r="O441" s="208">
        <f>IFERROR(__xludf.DUMMYFUNCTION("""COMPUTED_VALUE"""),123.0)</f>
        <v>123</v>
      </c>
      <c r="P441" s="208">
        <f>IFERROR(__xludf.DUMMYFUNCTION("""COMPUTED_VALUE"""),0.0)</f>
        <v>0</v>
      </c>
      <c r="Q441" s="276">
        <f>IFERROR(__xludf.DUMMYFUNCTION("""COMPUTED_VALUE"""),0.0067)</f>
        <v>0.0067</v>
      </c>
      <c r="R441" s="276">
        <f>IFERROR(__xludf.DUMMYFUNCTION("""COMPUTED_VALUE"""),0.0)</f>
        <v>0</v>
      </c>
      <c r="S441" s="208">
        <f>IFERROR(__xludf.DUMMYFUNCTION("""COMPUTED_VALUE"""),77.0)</f>
        <v>77</v>
      </c>
      <c r="T441" s="208">
        <f>IFERROR(__xludf.DUMMYFUNCTION("""COMPUTED_VALUE"""),0.0)</f>
        <v>0</v>
      </c>
      <c r="U441" s="275">
        <f>IFERROR(__xludf.DUMMYFUNCTION("""COMPUTED_VALUE"""),532163.0)</f>
        <v>532163</v>
      </c>
      <c r="V441" s="208" t="str">
        <f>IFERROR(__xludf.DUMMYFUNCTION("""COMPUTED_VALUE"""),"online")</f>
        <v>online</v>
      </c>
      <c r="W441" s="232" t="str">
        <f>IFERROR(__xludf.DUMMYFUNCTION("""COMPUTED_VALUE"""),"Sms")</f>
        <v>Sms</v>
      </c>
      <c r="X441" s="232" t="str">
        <f>IFERROR(__xludf.DUMMYFUNCTION("""COMPUTED_VALUE"""),"Event Buyers")</f>
        <v>Event Buyers</v>
      </c>
      <c r="Y441" s="232" t="str">
        <f>IFERROR(__xludf.DUMMYFUNCTION("""COMPUTED_VALUE"""),"11th - 14th June")</f>
        <v>11th - 14th June</v>
      </c>
      <c r="Z441" s="232" t="str">
        <f>IFERROR(__xludf.DUMMYFUNCTION("""COMPUTED_VALUE"""),"6a2964f8225b1b488de2dbe6")</f>
        <v>6a2964f8225b1b488de2dbe6</v>
      </c>
      <c r="AA441" s="277">
        <f>IFERROR(__xludf.DUMMYFUNCTION("""COMPUTED_VALUE"""),108.0)</f>
        <v>108</v>
      </c>
      <c r="AB441" s="277">
        <f>IFERROR(__xludf.DUMMYFUNCTION("""COMPUTED_VALUE"""),108.0)</f>
        <v>108</v>
      </c>
      <c r="AC441" s="277"/>
      <c r="AD441" s="277">
        <f>IFERROR(__xludf.DUMMYFUNCTION("""COMPUTED_VALUE"""),709456.0)</f>
        <v>709456</v>
      </c>
      <c r="AE441" s="277">
        <f>IFERROR(__xludf.DUMMYFUNCTION("""COMPUTED_VALUE"""),709456.0)</f>
        <v>709456</v>
      </c>
      <c r="AF441" s="277"/>
      <c r="AG441" s="208"/>
      <c r="AH441" s="208"/>
      <c r="AI441" s="208"/>
      <c r="AJ441" s="208"/>
      <c r="AK441" s="208"/>
    </row>
    <row r="442">
      <c r="A442" s="273">
        <f>IFERROR(__xludf.DUMMYFUNCTION("""COMPUTED_VALUE"""),46184.0)</f>
        <v>46184</v>
      </c>
      <c r="B442" s="274">
        <f>IFERROR(__xludf.DUMMYFUNCTION("""COMPUTED_VALUE"""),0.75)</f>
        <v>0.75</v>
      </c>
      <c r="C442" s="208" t="str">
        <f>IFERROR(__xludf.DUMMYFUNCTION("""COMPUTED_VALUE"""),"Sms")</f>
        <v>Sms</v>
      </c>
      <c r="D442" s="208" t="str">
        <f>IFERROR(__xludf.DUMMYFUNCTION("""COMPUTED_VALUE"""),"Fallback campaign")</f>
        <v>Fallback campaign</v>
      </c>
      <c r="E442" s="208" t="str">
        <f>IFERROR(__xludf.DUMMYFUNCTION("""COMPUTED_VALUE"""),"VS")</f>
        <v>VS</v>
      </c>
      <c r="F442" s="208" t="str">
        <f>IFERROR(__xludf.DUMMYFUNCTION("""COMPUTED_VALUE"""),"Semi-Annual Sale (June) - All")</f>
        <v>Semi-Annual Sale (June) - All</v>
      </c>
      <c r="G442" s="208" t="str">
        <f>IFERROR(__xludf.DUMMYFUNCTION("""COMPUTED_VALUE"""),"SAS_On_Discount_CX (FB)")</f>
        <v>SAS_On_Discount_CX (FB)</v>
      </c>
      <c r="H442" s="208" t="str">
        <f>IFERROR(__xludf.DUMMYFUNCTION("""COMPUTED_VALUE"""),"VS_ON_Discount_Buyers_03_06_26")</f>
        <v>VS_ON_Discount_Buyers_03_06_26</v>
      </c>
      <c r="I442" s="233" t="str">
        <f>IFERROR(__xludf.DUMMYFUNCTION("""COMPUTED_VALUE"""),"WA Undelivered")</f>
        <v>WA Undelivered</v>
      </c>
      <c r="J442" s="275">
        <f>IFERROR(__xludf.DUMMYFUNCTION("""COMPUTED_VALUE"""),20497.0)</f>
        <v>20497</v>
      </c>
      <c r="K442" s="275">
        <f>IFERROR(__xludf.DUMMYFUNCTION("""COMPUTED_VALUE"""),13025.0)</f>
        <v>13025</v>
      </c>
      <c r="L442" s="276">
        <f>IFERROR(__xludf.DUMMYFUNCTION("""COMPUTED_VALUE"""),0.6355)</f>
        <v>0.6355</v>
      </c>
      <c r="M442" s="275">
        <f>IFERROR(__xludf.DUMMYFUNCTION("""COMPUTED_VALUE"""),0.0)</f>
        <v>0</v>
      </c>
      <c r="N442" s="276">
        <f>IFERROR(__xludf.DUMMYFUNCTION("""COMPUTED_VALUE"""),0.0)</f>
        <v>0</v>
      </c>
      <c r="O442" s="208">
        <f>IFERROR(__xludf.DUMMYFUNCTION("""COMPUTED_VALUE"""),97.0)</f>
        <v>97</v>
      </c>
      <c r="P442" s="208">
        <f>IFERROR(__xludf.DUMMYFUNCTION("""COMPUTED_VALUE"""),0.0)</f>
        <v>0</v>
      </c>
      <c r="Q442" s="276">
        <f>IFERROR(__xludf.DUMMYFUNCTION("""COMPUTED_VALUE"""),0.0074)</f>
        <v>0.0074</v>
      </c>
      <c r="R442" s="276">
        <f>IFERROR(__xludf.DUMMYFUNCTION("""COMPUTED_VALUE"""),0.0)</f>
        <v>0</v>
      </c>
      <c r="S442" s="208">
        <f>IFERROR(__xludf.DUMMYFUNCTION("""COMPUTED_VALUE"""),49.0)</f>
        <v>49</v>
      </c>
      <c r="T442" s="208">
        <f>IFERROR(__xludf.DUMMYFUNCTION("""COMPUTED_VALUE"""),0.0)</f>
        <v>0</v>
      </c>
      <c r="U442" s="275">
        <f>IFERROR(__xludf.DUMMYFUNCTION("""COMPUTED_VALUE"""),266370.0)</f>
        <v>266370</v>
      </c>
      <c r="V442" s="208" t="str">
        <f>IFERROR(__xludf.DUMMYFUNCTION("""COMPUTED_VALUE"""),"online")</f>
        <v>online</v>
      </c>
      <c r="W442" s="232" t="str">
        <f>IFERROR(__xludf.DUMMYFUNCTION("""COMPUTED_VALUE"""),"Sms")</f>
        <v>Sms</v>
      </c>
      <c r="X442" s="232" t="str">
        <f>IFERROR(__xludf.DUMMYFUNCTION("""COMPUTED_VALUE"""),"Discount Buyers")</f>
        <v>Discount Buyers</v>
      </c>
      <c r="Y442" s="232" t="str">
        <f>IFERROR(__xludf.DUMMYFUNCTION("""COMPUTED_VALUE"""),"11th - 14th June")</f>
        <v>11th - 14th June</v>
      </c>
      <c r="Z442" s="232" t="str">
        <f>IFERROR(__xludf.DUMMYFUNCTION("""COMPUTED_VALUE"""),"6a29653dbae9a443411cc776")</f>
        <v>6a29653dbae9a443411cc776</v>
      </c>
      <c r="AA442" s="277">
        <f>IFERROR(__xludf.DUMMYFUNCTION("""COMPUTED_VALUE"""),74.0)</f>
        <v>74</v>
      </c>
      <c r="AB442" s="277">
        <f>IFERROR(__xludf.DUMMYFUNCTION("""COMPUTED_VALUE"""),74.0)</f>
        <v>74</v>
      </c>
      <c r="AC442" s="277"/>
      <c r="AD442" s="277">
        <f>IFERROR(__xludf.DUMMYFUNCTION("""COMPUTED_VALUE"""),439992.0)</f>
        <v>439992</v>
      </c>
      <c r="AE442" s="277">
        <f>IFERROR(__xludf.DUMMYFUNCTION("""COMPUTED_VALUE"""),439992.0)</f>
        <v>439992</v>
      </c>
      <c r="AF442" s="277"/>
      <c r="AG442" s="208"/>
      <c r="AH442" s="208"/>
      <c r="AI442" s="208"/>
      <c r="AJ442" s="208"/>
      <c r="AK442" s="208"/>
    </row>
    <row r="443">
      <c r="A443" s="273">
        <f>IFERROR(__xludf.DUMMYFUNCTION("""COMPUTED_VALUE"""),46184.0)</f>
        <v>46184</v>
      </c>
      <c r="B443" s="274">
        <f>IFERROR(__xludf.DUMMYFUNCTION("""COMPUTED_VALUE"""),0.75)</f>
        <v>0.75</v>
      </c>
      <c r="C443" s="208" t="str">
        <f>IFERROR(__xludf.DUMMYFUNCTION("""COMPUTED_VALUE"""),"Sms")</f>
        <v>Sms</v>
      </c>
      <c r="D443" s="208" t="str">
        <f>IFERROR(__xludf.DUMMYFUNCTION("""COMPUTED_VALUE"""),"Fallback campaign")</f>
        <v>Fallback campaign</v>
      </c>
      <c r="E443" s="208" t="str">
        <f>IFERROR(__xludf.DUMMYFUNCTION("""COMPUTED_VALUE"""),"VS")</f>
        <v>VS</v>
      </c>
      <c r="F443" s="208" t="str">
        <f>IFERROR(__xludf.DUMMYFUNCTION("""COMPUTED_VALUE"""),"Semi-Annual Sale (June) - All")</f>
        <v>Semi-Annual Sale (June) - All</v>
      </c>
      <c r="G443" s="208" t="str">
        <f>IFERROR(__xludf.DUMMYFUNCTION("""COMPUTED_VALUE"""),"SAS_On_Cancelled_CX (FB)")</f>
        <v>SAS_On_Cancelled_CX (FB)</v>
      </c>
      <c r="H443" s="208" t="str">
        <f>IFERROR(__xludf.DUMMYFUNCTION("""COMPUTED_VALUE"""),"VS_ON_Cancelled")</f>
        <v>VS_ON_Cancelled</v>
      </c>
      <c r="I443" s="233" t="str">
        <f>IFERROR(__xludf.DUMMYFUNCTION("""COMPUTED_VALUE"""),"WA Undelivered")</f>
        <v>WA Undelivered</v>
      </c>
      <c r="J443" s="275">
        <f>IFERROR(__xludf.DUMMYFUNCTION("""COMPUTED_VALUE"""),69.0)</f>
        <v>69</v>
      </c>
      <c r="K443" s="275">
        <f>IFERROR(__xludf.DUMMYFUNCTION("""COMPUTED_VALUE"""),45.0)</f>
        <v>45</v>
      </c>
      <c r="L443" s="276">
        <f>IFERROR(__xludf.DUMMYFUNCTION("""COMPUTED_VALUE"""),0.6522)</f>
        <v>0.6522</v>
      </c>
      <c r="M443" s="275">
        <f>IFERROR(__xludf.DUMMYFUNCTION("""COMPUTED_VALUE"""),0.0)</f>
        <v>0</v>
      </c>
      <c r="N443" s="276">
        <f>IFERROR(__xludf.DUMMYFUNCTION("""COMPUTED_VALUE"""),0.0)</f>
        <v>0</v>
      </c>
      <c r="O443" s="208">
        <f>IFERROR(__xludf.DUMMYFUNCTION("""COMPUTED_VALUE"""),1.0)</f>
        <v>1</v>
      </c>
      <c r="P443" s="208">
        <f>IFERROR(__xludf.DUMMYFUNCTION("""COMPUTED_VALUE"""),0.0)</f>
        <v>0</v>
      </c>
      <c r="Q443" s="276">
        <f>IFERROR(__xludf.DUMMYFUNCTION("""COMPUTED_VALUE"""),0.0222)</f>
        <v>0.0222</v>
      </c>
      <c r="R443" s="276">
        <f>IFERROR(__xludf.DUMMYFUNCTION("""COMPUTED_VALUE"""),0.0)</f>
        <v>0</v>
      </c>
      <c r="S443" s="208">
        <f>IFERROR(__xludf.DUMMYFUNCTION("""COMPUTED_VALUE"""),0.0)</f>
        <v>0</v>
      </c>
      <c r="T443" s="208">
        <f>IFERROR(__xludf.DUMMYFUNCTION("""COMPUTED_VALUE"""),0.0)</f>
        <v>0</v>
      </c>
      <c r="U443" s="275">
        <f>IFERROR(__xludf.DUMMYFUNCTION("""COMPUTED_VALUE"""),0.0)</f>
        <v>0</v>
      </c>
      <c r="V443" s="208" t="str">
        <f>IFERROR(__xludf.DUMMYFUNCTION("""COMPUTED_VALUE"""),"online")</f>
        <v>online</v>
      </c>
      <c r="W443" s="232" t="str">
        <f>IFERROR(__xludf.DUMMYFUNCTION("""COMPUTED_VALUE"""),"Sms")</f>
        <v>Sms</v>
      </c>
      <c r="X443" s="232" t="str">
        <f>IFERROR(__xludf.DUMMYFUNCTION("""COMPUTED_VALUE"""),"Cancelled")</f>
        <v>Cancelled</v>
      </c>
      <c r="Y443" s="232" t="str">
        <f>IFERROR(__xludf.DUMMYFUNCTION("""COMPUTED_VALUE"""),"11th - 14th June")</f>
        <v>11th - 14th June</v>
      </c>
      <c r="Z443" s="232" t="str">
        <f>IFERROR(__xludf.DUMMYFUNCTION("""COMPUTED_VALUE"""),"6a29658416bb8834d22d1ba9")</f>
        <v>6a29658416bb8834d22d1ba9</v>
      </c>
      <c r="AA443" s="277">
        <f>IFERROR(__xludf.DUMMYFUNCTION("""COMPUTED_VALUE"""),0.0)</f>
        <v>0</v>
      </c>
      <c r="AB443" s="277">
        <f>IFERROR(__xludf.DUMMYFUNCTION("""COMPUTED_VALUE"""),0.0)</f>
        <v>0</v>
      </c>
      <c r="AC443" s="277"/>
      <c r="AD443" s="277">
        <f>IFERROR(__xludf.DUMMYFUNCTION("""COMPUTED_VALUE"""),0.0)</f>
        <v>0</v>
      </c>
      <c r="AE443" s="277">
        <f>IFERROR(__xludf.DUMMYFUNCTION("""COMPUTED_VALUE"""),0.0)</f>
        <v>0</v>
      </c>
      <c r="AF443" s="277"/>
      <c r="AG443" s="208"/>
      <c r="AH443" s="208"/>
      <c r="AI443" s="208"/>
      <c r="AJ443" s="208"/>
      <c r="AK443" s="208"/>
    </row>
    <row r="444">
      <c r="A444" s="273">
        <f>IFERROR(__xludf.DUMMYFUNCTION("""COMPUTED_VALUE"""),46184.0)</f>
        <v>46184</v>
      </c>
      <c r="B444" s="274">
        <f>IFERROR(__xludf.DUMMYFUNCTION("""COMPUTED_VALUE"""),0.75)</f>
        <v>0.75</v>
      </c>
      <c r="C444" s="208" t="str">
        <f>IFERROR(__xludf.DUMMYFUNCTION("""COMPUTED_VALUE"""),"Sms")</f>
        <v>Sms</v>
      </c>
      <c r="D444" s="208" t="str">
        <f>IFERROR(__xludf.DUMMYFUNCTION("""COMPUTED_VALUE"""),"Fallback campaign")</f>
        <v>Fallback campaign</v>
      </c>
      <c r="E444" s="208" t="str">
        <f>IFERROR(__xludf.DUMMYFUNCTION("""COMPUTED_VALUE"""),"VS")</f>
        <v>VS</v>
      </c>
      <c r="F444" s="208" t="str">
        <f>IFERROR(__xludf.DUMMYFUNCTION("""COMPUTED_VALUE"""),"Semi-Annual Sale (June) - All")</f>
        <v>Semi-Annual Sale (June) - All</v>
      </c>
      <c r="G444" s="208" t="str">
        <f>IFERROR(__xludf.DUMMYFUNCTION("""COMPUTED_VALUE"""),"SAS_On_Recent_CX (FB)")</f>
        <v>SAS_On_Recent_CX (FB)</v>
      </c>
      <c r="H444" s="208" t="str">
        <f>IFERROR(__xludf.DUMMYFUNCTION("""COMPUTED_VALUE"""),"VS_ON_Recent")</f>
        <v>VS_ON_Recent</v>
      </c>
      <c r="I444" s="233" t="str">
        <f>IFERROR(__xludf.DUMMYFUNCTION("""COMPUTED_VALUE"""),"WA Undelivered")</f>
        <v>WA Undelivered</v>
      </c>
      <c r="J444" s="275">
        <f>IFERROR(__xludf.DUMMYFUNCTION("""COMPUTED_VALUE"""),848.0)</f>
        <v>848</v>
      </c>
      <c r="K444" s="275">
        <f>IFERROR(__xludf.DUMMYFUNCTION("""COMPUTED_VALUE"""),501.0)</f>
        <v>501</v>
      </c>
      <c r="L444" s="276">
        <f>IFERROR(__xludf.DUMMYFUNCTION("""COMPUTED_VALUE"""),0.5908)</f>
        <v>0.5908</v>
      </c>
      <c r="M444" s="275">
        <f>IFERROR(__xludf.DUMMYFUNCTION("""COMPUTED_VALUE"""),0.0)</f>
        <v>0</v>
      </c>
      <c r="N444" s="276">
        <f>IFERROR(__xludf.DUMMYFUNCTION("""COMPUTED_VALUE"""),0.0)</f>
        <v>0</v>
      </c>
      <c r="O444" s="208">
        <f>IFERROR(__xludf.DUMMYFUNCTION("""COMPUTED_VALUE"""),1.0)</f>
        <v>1</v>
      </c>
      <c r="P444" s="208">
        <f>IFERROR(__xludf.DUMMYFUNCTION("""COMPUTED_VALUE"""),0.0)</f>
        <v>0</v>
      </c>
      <c r="Q444" s="276">
        <f>IFERROR(__xludf.DUMMYFUNCTION("""COMPUTED_VALUE"""),0.002)</f>
        <v>0.002</v>
      </c>
      <c r="R444" s="276">
        <f>IFERROR(__xludf.DUMMYFUNCTION("""COMPUTED_VALUE"""),0.0)</f>
        <v>0</v>
      </c>
      <c r="S444" s="208">
        <f>IFERROR(__xludf.DUMMYFUNCTION("""COMPUTED_VALUE"""),7.0)</f>
        <v>7</v>
      </c>
      <c r="T444" s="208">
        <f>IFERROR(__xludf.DUMMYFUNCTION("""COMPUTED_VALUE"""),0.0)</f>
        <v>0</v>
      </c>
      <c r="U444" s="275">
        <f>IFERROR(__xludf.DUMMYFUNCTION("""COMPUTED_VALUE"""),37469.0)</f>
        <v>37469</v>
      </c>
      <c r="V444" s="208" t="str">
        <f>IFERROR(__xludf.DUMMYFUNCTION("""COMPUTED_VALUE"""),"online")</f>
        <v>online</v>
      </c>
      <c r="W444" s="232" t="str">
        <f>IFERROR(__xludf.DUMMYFUNCTION("""COMPUTED_VALUE"""),"Sms")</f>
        <v>Sms</v>
      </c>
      <c r="X444" s="232" t="str">
        <f>IFERROR(__xludf.DUMMYFUNCTION("""COMPUTED_VALUE"""),"Active")</f>
        <v>Active</v>
      </c>
      <c r="Y444" s="232" t="str">
        <f>IFERROR(__xludf.DUMMYFUNCTION("""COMPUTED_VALUE"""),"11th - 14th June")</f>
        <v>11th - 14th June</v>
      </c>
      <c r="Z444" s="232" t="str">
        <f>IFERROR(__xludf.DUMMYFUNCTION("""COMPUTED_VALUE"""),"6a2965cf839636d35b1eb648")</f>
        <v>6a2965cf839636d35b1eb648</v>
      </c>
      <c r="AA444" s="277">
        <f>IFERROR(__xludf.DUMMYFUNCTION("""COMPUTED_VALUE"""),8.0)</f>
        <v>8</v>
      </c>
      <c r="AB444" s="277">
        <f>IFERROR(__xludf.DUMMYFUNCTION("""COMPUTED_VALUE"""),8.0)</f>
        <v>8</v>
      </c>
      <c r="AC444" s="277"/>
      <c r="AD444" s="277">
        <f>IFERROR(__xludf.DUMMYFUNCTION("""COMPUTED_VALUE"""),39088.0)</f>
        <v>39088</v>
      </c>
      <c r="AE444" s="277">
        <f>IFERROR(__xludf.DUMMYFUNCTION("""COMPUTED_VALUE"""),39088.0)</f>
        <v>39088</v>
      </c>
      <c r="AF444" s="277"/>
      <c r="AG444" s="208"/>
      <c r="AH444" s="208"/>
      <c r="AI444" s="208"/>
      <c r="AJ444" s="208"/>
      <c r="AK444" s="208"/>
    </row>
    <row r="445">
      <c r="A445" s="273">
        <f>IFERROR(__xludf.DUMMYFUNCTION("""COMPUTED_VALUE"""),46184.0)</f>
        <v>46184</v>
      </c>
      <c r="B445" s="274">
        <f>IFERROR(__xludf.DUMMYFUNCTION("""COMPUTED_VALUE"""),0.75)</f>
        <v>0.75</v>
      </c>
      <c r="C445" s="208" t="str">
        <f>IFERROR(__xludf.DUMMYFUNCTION("""COMPUTED_VALUE"""),"Sms")</f>
        <v>Sms</v>
      </c>
      <c r="D445" s="208" t="str">
        <f>IFERROR(__xludf.DUMMYFUNCTION("""COMPUTED_VALUE"""),"Fallback campaign")</f>
        <v>Fallback campaign</v>
      </c>
      <c r="E445" s="208" t="str">
        <f>IFERROR(__xludf.DUMMYFUNCTION("""COMPUTED_VALUE"""),"VS")</f>
        <v>VS</v>
      </c>
      <c r="F445" s="208" t="str">
        <f>IFERROR(__xludf.DUMMYFUNCTION("""COMPUTED_VALUE"""),"Semi-Annual Sale (June) - All")</f>
        <v>Semi-Annual Sale (June) - All</v>
      </c>
      <c r="G445" s="208" t="str">
        <f>IFERROR(__xludf.DUMMYFUNCTION("""COMPUTED_VALUE"""),"SAS_On_Dormant_CX (FB)")</f>
        <v>SAS_On_Dormant_CX (FB)</v>
      </c>
      <c r="H445" s="208" t="str">
        <f>IFERROR(__xludf.DUMMYFUNCTION("""COMPUTED_VALUE"""),"VS_ON_Dormant")</f>
        <v>VS_ON_Dormant</v>
      </c>
      <c r="I445" s="233" t="str">
        <f>IFERROR(__xludf.DUMMYFUNCTION("""COMPUTED_VALUE"""),"WA Undelivered")</f>
        <v>WA Undelivered</v>
      </c>
      <c r="J445" s="275">
        <f>IFERROR(__xludf.DUMMYFUNCTION("""COMPUTED_VALUE"""),2112.0)</f>
        <v>2112</v>
      </c>
      <c r="K445" s="275">
        <f>IFERROR(__xludf.DUMMYFUNCTION("""COMPUTED_VALUE"""),1274.0)</f>
        <v>1274</v>
      </c>
      <c r="L445" s="276">
        <f>IFERROR(__xludf.DUMMYFUNCTION("""COMPUTED_VALUE"""),0.6032)</f>
        <v>0.6032</v>
      </c>
      <c r="M445" s="275">
        <f>IFERROR(__xludf.DUMMYFUNCTION("""COMPUTED_VALUE"""),0.0)</f>
        <v>0</v>
      </c>
      <c r="N445" s="276">
        <f>IFERROR(__xludf.DUMMYFUNCTION("""COMPUTED_VALUE"""),0.0)</f>
        <v>0</v>
      </c>
      <c r="O445" s="208">
        <f>IFERROR(__xludf.DUMMYFUNCTION("""COMPUTED_VALUE"""),6.0)</f>
        <v>6</v>
      </c>
      <c r="P445" s="208">
        <f>IFERROR(__xludf.DUMMYFUNCTION("""COMPUTED_VALUE"""),0.0)</f>
        <v>0</v>
      </c>
      <c r="Q445" s="276">
        <f>IFERROR(__xludf.DUMMYFUNCTION("""COMPUTED_VALUE"""),0.0047)</f>
        <v>0.0047</v>
      </c>
      <c r="R445" s="276">
        <f>IFERROR(__xludf.DUMMYFUNCTION("""COMPUTED_VALUE"""),0.0)</f>
        <v>0</v>
      </c>
      <c r="S445" s="208">
        <f>IFERROR(__xludf.DUMMYFUNCTION("""COMPUTED_VALUE"""),6.0)</f>
        <v>6</v>
      </c>
      <c r="T445" s="208">
        <f>IFERROR(__xludf.DUMMYFUNCTION("""COMPUTED_VALUE"""),0.0)</f>
        <v>0</v>
      </c>
      <c r="U445" s="275">
        <f>IFERROR(__xludf.DUMMYFUNCTION("""COMPUTED_VALUE"""),48970.0)</f>
        <v>48970</v>
      </c>
      <c r="V445" s="208" t="str">
        <f>IFERROR(__xludf.DUMMYFUNCTION("""COMPUTED_VALUE"""),"online")</f>
        <v>online</v>
      </c>
      <c r="W445" s="232" t="str">
        <f>IFERROR(__xludf.DUMMYFUNCTION("""COMPUTED_VALUE"""),"Sms")</f>
        <v>Sms</v>
      </c>
      <c r="X445" s="232" t="str">
        <f>IFERROR(__xludf.DUMMYFUNCTION("""COMPUTED_VALUE"""),"Dormant")</f>
        <v>Dormant</v>
      </c>
      <c r="Y445" s="232" t="str">
        <f>IFERROR(__xludf.DUMMYFUNCTION("""COMPUTED_VALUE"""),"11th - 14th June")</f>
        <v>11th - 14th June</v>
      </c>
      <c r="Z445" s="232" t="str">
        <f>IFERROR(__xludf.DUMMYFUNCTION("""COMPUTED_VALUE"""),"6a296611d89191ad4c8fdda2")</f>
        <v>6a296611d89191ad4c8fdda2</v>
      </c>
      <c r="AA445" s="277">
        <f>IFERROR(__xludf.DUMMYFUNCTION("""COMPUTED_VALUE"""),10.0)</f>
        <v>10</v>
      </c>
      <c r="AB445" s="277">
        <f>IFERROR(__xludf.DUMMYFUNCTION("""COMPUTED_VALUE"""),10.0)</f>
        <v>10</v>
      </c>
      <c r="AC445" s="277"/>
      <c r="AD445" s="277">
        <f>IFERROR(__xludf.DUMMYFUNCTION("""COMPUTED_VALUE"""),109609.0)</f>
        <v>109609</v>
      </c>
      <c r="AE445" s="277">
        <f>IFERROR(__xludf.DUMMYFUNCTION("""COMPUTED_VALUE"""),109609.0)</f>
        <v>109609</v>
      </c>
      <c r="AF445" s="277"/>
      <c r="AG445" s="208"/>
      <c r="AH445" s="208"/>
      <c r="AI445" s="208"/>
      <c r="AJ445" s="208"/>
      <c r="AK445" s="208"/>
    </row>
    <row r="446">
      <c r="A446" s="273">
        <f>IFERROR(__xludf.DUMMYFUNCTION("""COMPUTED_VALUE"""),46184.0)</f>
        <v>46184</v>
      </c>
      <c r="B446" s="274">
        <f>IFERROR(__xludf.DUMMYFUNCTION("""COMPUTED_VALUE"""),0.75)</f>
        <v>0.75</v>
      </c>
      <c r="C446" s="208" t="str">
        <f>IFERROR(__xludf.DUMMYFUNCTION("""COMPUTED_VALUE"""),"Sms")</f>
        <v>Sms</v>
      </c>
      <c r="D446" s="208" t="str">
        <f>IFERROR(__xludf.DUMMYFUNCTION("""COMPUTED_VALUE"""),"Fallback campaign")</f>
        <v>Fallback campaign</v>
      </c>
      <c r="E446" s="208" t="str">
        <f>IFERROR(__xludf.DUMMYFUNCTION("""COMPUTED_VALUE"""),"VS")</f>
        <v>VS</v>
      </c>
      <c r="F446" s="208" t="str">
        <f>IFERROR(__xludf.DUMMYFUNCTION("""COMPUTED_VALUE"""),"Semi-Annual Sale (June) - All")</f>
        <v>Semi-Annual Sale (June) - All</v>
      </c>
      <c r="G446" s="208" t="str">
        <f>IFERROR(__xludf.DUMMYFUNCTION("""COMPUTED_VALUE"""),"SAS_On_Churned_CX (FB)")</f>
        <v>SAS_On_Churned_CX (FB)</v>
      </c>
      <c r="H446" s="208" t="str">
        <f>IFERROR(__xludf.DUMMYFUNCTION("""COMPUTED_VALUE"""),"VS_ON_Churned")</f>
        <v>VS_ON_Churned</v>
      </c>
      <c r="I446" s="233" t="str">
        <f>IFERROR(__xludf.DUMMYFUNCTION("""COMPUTED_VALUE"""),"WA Undelivered")</f>
        <v>WA Undelivered</v>
      </c>
      <c r="J446" s="275">
        <f>IFERROR(__xludf.DUMMYFUNCTION("""COMPUTED_VALUE"""),28433.0)</f>
        <v>28433</v>
      </c>
      <c r="K446" s="275">
        <f>IFERROR(__xludf.DUMMYFUNCTION("""COMPUTED_VALUE"""),17598.0)</f>
        <v>17598</v>
      </c>
      <c r="L446" s="276">
        <f>IFERROR(__xludf.DUMMYFUNCTION("""COMPUTED_VALUE"""),0.6189)</f>
        <v>0.6189</v>
      </c>
      <c r="M446" s="275">
        <f>IFERROR(__xludf.DUMMYFUNCTION("""COMPUTED_VALUE"""),0.0)</f>
        <v>0</v>
      </c>
      <c r="N446" s="276">
        <f>IFERROR(__xludf.DUMMYFUNCTION("""COMPUTED_VALUE"""),0.0)</f>
        <v>0</v>
      </c>
      <c r="O446" s="208">
        <f>IFERROR(__xludf.DUMMYFUNCTION("""COMPUTED_VALUE"""),65.0)</f>
        <v>65</v>
      </c>
      <c r="P446" s="208">
        <f>IFERROR(__xludf.DUMMYFUNCTION("""COMPUTED_VALUE"""),0.0)</f>
        <v>0</v>
      </c>
      <c r="Q446" s="276">
        <f>IFERROR(__xludf.DUMMYFUNCTION("""COMPUTED_VALUE"""),0.0037)</f>
        <v>0.0037</v>
      </c>
      <c r="R446" s="276">
        <f>IFERROR(__xludf.DUMMYFUNCTION("""COMPUTED_VALUE"""),0.0)</f>
        <v>0</v>
      </c>
      <c r="S446" s="208">
        <f>IFERROR(__xludf.DUMMYFUNCTION("""COMPUTED_VALUE"""),18.0)</f>
        <v>18</v>
      </c>
      <c r="T446" s="208">
        <f>IFERROR(__xludf.DUMMYFUNCTION("""COMPUTED_VALUE"""),0.0)</f>
        <v>0</v>
      </c>
      <c r="U446" s="275">
        <f>IFERROR(__xludf.DUMMYFUNCTION("""COMPUTED_VALUE"""),94502.0)</f>
        <v>94502</v>
      </c>
      <c r="V446" s="208" t="str">
        <f>IFERROR(__xludf.DUMMYFUNCTION("""COMPUTED_VALUE"""),"online")</f>
        <v>online</v>
      </c>
      <c r="W446" s="232" t="str">
        <f>IFERROR(__xludf.DUMMYFUNCTION("""COMPUTED_VALUE"""),"Sms")</f>
        <v>Sms</v>
      </c>
      <c r="X446" s="232" t="str">
        <f>IFERROR(__xludf.DUMMYFUNCTION("""COMPUTED_VALUE"""),"Churned")</f>
        <v>Churned</v>
      </c>
      <c r="Y446" s="232" t="str">
        <f>IFERROR(__xludf.DUMMYFUNCTION("""COMPUTED_VALUE"""),"11th - 14th June")</f>
        <v>11th - 14th June</v>
      </c>
      <c r="Z446" s="232" t="str">
        <f>IFERROR(__xludf.DUMMYFUNCTION("""COMPUTED_VALUE"""),"6a29664ec74eb2be8881b348")</f>
        <v>6a29664ec74eb2be8881b348</v>
      </c>
      <c r="AA446" s="277">
        <f>IFERROR(__xludf.DUMMYFUNCTION("""COMPUTED_VALUE"""),24.0)</f>
        <v>24</v>
      </c>
      <c r="AB446" s="277">
        <f>IFERROR(__xludf.DUMMYFUNCTION("""COMPUTED_VALUE"""),24.0)</f>
        <v>24</v>
      </c>
      <c r="AC446" s="277"/>
      <c r="AD446" s="277">
        <f>IFERROR(__xludf.DUMMYFUNCTION("""COMPUTED_VALUE"""),116434.0)</f>
        <v>116434</v>
      </c>
      <c r="AE446" s="277">
        <f>IFERROR(__xludf.DUMMYFUNCTION("""COMPUTED_VALUE"""),116434.0)</f>
        <v>116434</v>
      </c>
      <c r="AF446" s="277"/>
      <c r="AG446" s="208"/>
      <c r="AH446" s="208"/>
      <c r="AI446" s="208"/>
      <c r="AJ446" s="208"/>
      <c r="AK446" s="208"/>
    </row>
    <row r="447">
      <c r="A447" s="273">
        <f>IFERROR(__xludf.DUMMYFUNCTION("""COMPUTED_VALUE"""),46184.0)</f>
        <v>46184</v>
      </c>
      <c r="B447" s="274">
        <f>IFERROR(__xludf.DUMMYFUNCTION("""COMPUTED_VALUE"""),0.75)</f>
        <v>0.75</v>
      </c>
      <c r="C447" s="208" t="str">
        <f>IFERROR(__xludf.DUMMYFUNCTION("""COMPUTED_VALUE"""),"Sms")</f>
        <v>Sms</v>
      </c>
      <c r="D447" s="208" t="str">
        <f>IFERROR(__xludf.DUMMYFUNCTION("""COMPUTED_VALUE"""),"Fallback campaign")</f>
        <v>Fallback campaign</v>
      </c>
      <c r="E447" s="208" t="str">
        <f>IFERROR(__xludf.DUMMYFUNCTION("""COMPUTED_VALUE"""),"VS")</f>
        <v>VS</v>
      </c>
      <c r="F447" s="208" t="str">
        <f>IFERROR(__xludf.DUMMYFUNCTION("""COMPUTED_VALUE"""),"Semi-Annual Sale (June) - All")</f>
        <v>Semi-Annual Sale (June) - All</v>
      </c>
      <c r="G447" s="208" t="str">
        <f>IFERROR(__xludf.DUMMYFUNCTION("""COMPUTED_VALUE"""),"SAS_On_LTV&gt;25k_CX (FB)")</f>
        <v>SAS_On_LTV&gt;25k_CX (FB)</v>
      </c>
      <c r="H447" s="208" t="str">
        <f>IFERROR(__xludf.DUMMYFUNCTION("""COMPUTED_VALUE"""),"VS_ON_LTV_25k")</f>
        <v>VS_ON_LTV_25k</v>
      </c>
      <c r="I447" s="233" t="str">
        <f>IFERROR(__xludf.DUMMYFUNCTION("""COMPUTED_VALUE"""),"WA Undelivered")</f>
        <v>WA Undelivered</v>
      </c>
      <c r="J447" s="275">
        <f>IFERROR(__xludf.DUMMYFUNCTION("""COMPUTED_VALUE"""),2971.0)</f>
        <v>2971</v>
      </c>
      <c r="K447" s="275">
        <f>IFERROR(__xludf.DUMMYFUNCTION("""COMPUTED_VALUE"""),1477.0)</f>
        <v>1477</v>
      </c>
      <c r="L447" s="276">
        <f>IFERROR(__xludf.DUMMYFUNCTION("""COMPUTED_VALUE"""),0.4971)</f>
        <v>0.4971</v>
      </c>
      <c r="M447" s="275">
        <f>IFERROR(__xludf.DUMMYFUNCTION("""COMPUTED_VALUE"""),0.0)</f>
        <v>0</v>
      </c>
      <c r="N447" s="276">
        <f>IFERROR(__xludf.DUMMYFUNCTION("""COMPUTED_VALUE"""),0.0)</f>
        <v>0</v>
      </c>
      <c r="O447" s="208">
        <f>IFERROR(__xludf.DUMMYFUNCTION("""COMPUTED_VALUE"""),10.0)</f>
        <v>10</v>
      </c>
      <c r="P447" s="208">
        <f>IFERROR(__xludf.DUMMYFUNCTION("""COMPUTED_VALUE"""),0.0)</f>
        <v>0</v>
      </c>
      <c r="Q447" s="276">
        <f>IFERROR(__xludf.DUMMYFUNCTION("""COMPUTED_VALUE"""),0.0068)</f>
        <v>0.0068</v>
      </c>
      <c r="R447" s="276">
        <f>IFERROR(__xludf.DUMMYFUNCTION("""COMPUTED_VALUE"""),0.0)</f>
        <v>0</v>
      </c>
      <c r="S447" s="208">
        <f>IFERROR(__xludf.DUMMYFUNCTION("""COMPUTED_VALUE"""),35.0)</f>
        <v>35</v>
      </c>
      <c r="T447" s="208">
        <f>IFERROR(__xludf.DUMMYFUNCTION("""COMPUTED_VALUE"""),0.0)</f>
        <v>0</v>
      </c>
      <c r="U447" s="275">
        <f>IFERROR(__xludf.DUMMYFUNCTION("""COMPUTED_VALUE"""),352809.0)</f>
        <v>352809</v>
      </c>
      <c r="V447" s="208" t="str">
        <f>IFERROR(__xludf.DUMMYFUNCTION("""COMPUTED_VALUE"""),"online")</f>
        <v>online</v>
      </c>
      <c r="W447" s="232" t="str">
        <f>IFERROR(__xludf.DUMMYFUNCTION("""COMPUTED_VALUE"""),"Sms")</f>
        <v>Sms</v>
      </c>
      <c r="X447" s="232" t="str">
        <f>IFERROR(__xludf.DUMMYFUNCTION("""COMPUTED_VALUE"""),"LTV")</f>
        <v>LTV</v>
      </c>
      <c r="Y447" s="232" t="str">
        <f>IFERROR(__xludf.DUMMYFUNCTION("""COMPUTED_VALUE"""),"11th - 14th June")</f>
        <v>11th - 14th June</v>
      </c>
      <c r="Z447" s="232" t="str">
        <f>IFERROR(__xludf.DUMMYFUNCTION("""COMPUTED_VALUE"""),"6a2966798cedc82cd39c76ab")</f>
        <v>6a2966798cedc82cd39c76ab</v>
      </c>
      <c r="AA447" s="277">
        <f>IFERROR(__xludf.DUMMYFUNCTION("""COMPUTED_VALUE"""),52.0)</f>
        <v>52</v>
      </c>
      <c r="AB447" s="277">
        <f>IFERROR(__xludf.DUMMYFUNCTION("""COMPUTED_VALUE"""),52.0)</f>
        <v>52</v>
      </c>
      <c r="AC447" s="277"/>
      <c r="AD447" s="277">
        <f>IFERROR(__xludf.DUMMYFUNCTION("""COMPUTED_VALUE"""),532698.0)</f>
        <v>532698</v>
      </c>
      <c r="AE447" s="277">
        <f>IFERROR(__xludf.DUMMYFUNCTION("""COMPUTED_VALUE"""),532698.0)</f>
        <v>532698</v>
      </c>
      <c r="AF447" s="277"/>
      <c r="AG447" s="208"/>
      <c r="AH447" s="208"/>
      <c r="AI447" s="208"/>
      <c r="AJ447" s="208"/>
      <c r="AK447" s="208"/>
    </row>
    <row r="448">
      <c r="A448" s="273">
        <f>IFERROR(__xludf.DUMMYFUNCTION("""COMPUTED_VALUE"""),46186.0)</f>
        <v>46186</v>
      </c>
      <c r="B448" s="274">
        <f>IFERROR(__xludf.DUMMYFUNCTION("""COMPUTED_VALUE"""),0.4375)</f>
        <v>0.4375</v>
      </c>
      <c r="C448" s="208" t="str">
        <f>IFERROR(__xludf.DUMMYFUNCTION("""COMPUTED_VALUE"""),"Sms")</f>
        <v>Sms</v>
      </c>
      <c r="D448" s="208" t="str">
        <f>IFERROR(__xludf.DUMMYFUNCTION("""COMPUTED_VALUE"""),"Fallback campaign")</f>
        <v>Fallback campaign</v>
      </c>
      <c r="E448" s="208" t="str">
        <f>IFERROR(__xludf.DUMMYFUNCTION("""COMPUTED_VALUE"""),"VS")</f>
        <v>VS</v>
      </c>
      <c r="F448" s="208" t="str">
        <f>IFERROR(__xludf.DUMMYFUNCTION("""COMPUTED_VALUE"""),"Semi-Annual Sale (June) - All")</f>
        <v>Semi-Annual Sale (June) - All</v>
      </c>
      <c r="G448" s="208" t="str">
        <f>IFERROR(__xludf.DUMMYFUNCTION("""COMPUTED_VALUE"""),"SAS_Off_Event_CX (FB 13)")</f>
        <v>SAS_Off_Event_CX (FB 13)</v>
      </c>
      <c r="H448" s="208" t="str">
        <f>IFERROR(__xludf.DUMMYFUNCTION("""COMPUTED_VALUE"""),"VS_OFF_Event_Buyers_03_06_26")</f>
        <v>VS_OFF_Event_Buyers_03_06_26</v>
      </c>
      <c r="I448" s="233" t="str">
        <f>IFERROR(__xludf.DUMMYFUNCTION("""COMPUTED_VALUE"""),"WA Undelivered")</f>
        <v>WA Undelivered</v>
      </c>
      <c r="J448" s="275">
        <f>IFERROR(__xludf.DUMMYFUNCTION("""COMPUTED_VALUE"""),22741.0)</f>
        <v>22741</v>
      </c>
      <c r="K448" s="275">
        <f>IFERROR(__xludf.DUMMYFUNCTION("""COMPUTED_VALUE"""),13489.0)</f>
        <v>13489</v>
      </c>
      <c r="L448" s="276">
        <f>IFERROR(__xludf.DUMMYFUNCTION("""COMPUTED_VALUE"""),0.5932)</f>
        <v>0.5932</v>
      </c>
      <c r="M448" s="275">
        <f>IFERROR(__xludf.DUMMYFUNCTION("""COMPUTED_VALUE"""),0.0)</f>
        <v>0</v>
      </c>
      <c r="N448" s="276">
        <f>IFERROR(__xludf.DUMMYFUNCTION("""COMPUTED_VALUE"""),0.0)</f>
        <v>0</v>
      </c>
      <c r="O448" s="208">
        <f>IFERROR(__xludf.DUMMYFUNCTION("""COMPUTED_VALUE"""),12.0)</f>
        <v>12</v>
      </c>
      <c r="P448" s="208">
        <f>IFERROR(__xludf.DUMMYFUNCTION("""COMPUTED_VALUE"""),0.0)</f>
        <v>0</v>
      </c>
      <c r="Q448" s="276">
        <f>IFERROR(__xludf.DUMMYFUNCTION("""COMPUTED_VALUE"""),9.0E-4)</f>
        <v>0.0009</v>
      </c>
      <c r="R448" s="276">
        <f>IFERROR(__xludf.DUMMYFUNCTION("""COMPUTED_VALUE"""),0.0)</f>
        <v>0</v>
      </c>
      <c r="S448" s="208">
        <f>IFERROR(__xludf.DUMMYFUNCTION("""COMPUTED_VALUE"""),29.0)</f>
        <v>29</v>
      </c>
      <c r="T448" s="208">
        <f>IFERROR(__xludf.DUMMYFUNCTION("""COMPUTED_VALUE"""),0.0)</f>
        <v>0</v>
      </c>
      <c r="U448" s="275">
        <f>IFERROR(__xludf.DUMMYFUNCTION("""COMPUTED_VALUE"""),244950.0)</f>
        <v>244950</v>
      </c>
      <c r="V448" s="208" t="str">
        <f>IFERROR(__xludf.DUMMYFUNCTION("""COMPUTED_VALUE"""),"offline")</f>
        <v>offline</v>
      </c>
      <c r="W448" s="232" t="str">
        <f>IFERROR(__xludf.DUMMYFUNCTION("""COMPUTED_VALUE"""),"Sms")</f>
        <v>Sms</v>
      </c>
      <c r="X448" s="232" t="str">
        <f>IFERROR(__xludf.DUMMYFUNCTION("""COMPUTED_VALUE"""),"Event Buyers")</f>
        <v>Event Buyers</v>
      </c>
      <c r="Y448" s="232" t="str">
        <f>IFERROR(__xludf.DUMMYFUNCTION("""COMPUTED_VALUE"""),"13th - 14th June")</f>
        <v>13th - 14th June</v>
      </c>
      <c r="Z448" s="232" t="str">
        <f>IFERROR(__xludf.DUMMYFUNCTION("""COMPUTED_VALUE"""),"6a2a7414aefcc569dce0ec80")</f>
        <v>6a2a7414aefcc569dce0ec80</v>
      </c>
      <c r="AA448" s="277">
        <f>IFERROR(__xludf.DUMMYFUNCTION("""COMPUTED_VALUE"""),66.0)</f>
        <v>66</v>
      </c>
      <c r="AB448" s="277"/>
      <c r="AC448" s="277">
        <f>IFERROR(__xludf.DUMMYFUNCTION("""COMPUTED_VALUE"""),66.0)</f>
        <v>66</v>
      </c>
      <c r="AD448" s="277">
        <f>IFERROR(__xludf.DUMMYFUNCTION("""COMPUTED_VALUE"""),590460.0)</f>
        <v>590460</v>
      </c>
      <c r="AE448" s="277"/>
      <c r="AF448" s="277">
        <f>IFERROR(__xludf.DUMMYFUNCTION("""COMPUTED_VALUE"""),590460.0)</f>
        <v>590460</v>
      </c>
      <c r="AG448" s="208"/>
      <c r="AH448" s="208"/>
      <c r="AI448" s="208"/>
      <c r="AJ448" s="208"/>
      <c r="AK448" s="208"/>
    </row>
    <row r="449">
      <c r="A449" s="273">
        <f>IFERROR(__xludf.DUMMYFUNCTION("""COMPUTED_VALUE"""),46186.0)</f>
        <v>46186</v>
      </c>
      <c r="B449" s="274">
        <f>IFERROR(__xludf.DUMMYFUNCTION("""COMPUTED_VALUE"""),0.4375)</f>
        <v>0.4375</v>
      </c>
      <c r="C449" s="208" t="str">
        <f>IFERROR(__xludf.DUMMYFUNCTION("""COMPUTED_VALUE"""),"Sms")</f>
        <v>Sms</v>
      </c>
      <c r="D449" s="208" t="str">
        <f>IFERROR(__xludf.DUMMYFUNCTION("""COMPUTED_VALUE"""),"Fallback campaign")</f>
        <v>Fallback campaign</v>
      </c>
      <c r="E449" s="208" t="str">
        <f>IFERROR(__xludf.DUMMYFUNCTION("""COMPUTED_VALUE"""),"VS")</f>
        <v>VS</v>
      </c>
      <c r="F449" s="208" t="str">
        <f>IFERROR(__xludf.DUMMYFUNCTION("""COMPUTED_VALUE"""),"Semi-Annual Sale (June) - All")</f>
        <v>Semi-Annual Sale (June) - All</v>
      </c>
      <c r="G449" s="208" t="str">
        <f>IFERROR(__xludf.DUMMYFUNCTION("""COMPUTED_VALUE"""),"SAS_Off_Recent_CX (FB 13)")</f>
        <v>SAS_Off_Recent_CX (FB 13)</v>
      </c>
      <c r="H449" s="208" t="str">
        <f>IFERROR(__xludf.DUMMYFUNCTION("""COMPUTED_VALUE"""),"VS_OFF_Recent")</f>
        <v>VS_OFF_Recent</v>
      </c>
      <c r="I449" s="233" t="str">
        <f>IFERROR(__xludf.DUMMYFUNCTION("""COMPUTED_VALUE"""),"WA Undelivered")</f>
        <v>WA Undelivered</v>
      </c>
      <c r="J449" s="275">
        <f>IFERROR(__xludf.DUMMYFUNCTION("""COMPUTED_VALUE"""),7301.0)</f>
        <v>7301</v>
      </c>
      <c r="K449" s="275">
        <f>IFERROR(__xludf.DUMMYFUNCTION("""COMPUTED_VALUE"""),4432.0)</f>
        <v>4432</v>
      </c>
      <c r="L449" s="276">
        <f>IFERROR(__xludf.DUMMYFUNCTION("""COMPUTED_VALUE"""),0.607)</f>
        <v>0.607</v>
      </c>
      <c r="M449" s="275">
        <f>IFERROR(__xludf.DUMMYFUNCTION("""COMPUTED_VALUE"""),0.0)</f>
        <v>0</v>
      </c>
      <c r="N449" s="276">
        <f>IFERROR(__xludf.DUMMYFUNCTION("""COMPUTED_VALUE"""),0.0)</f>
        <v>0</v>
      </c>
      <c r="O449" s="208">
        <f>IFERROR(__xludf.DUMMYFUNCTION("""COMPUTED_VALUE"""),6.0)</f>
        <v>6</v>
      </c>
      <c r="P449" s="208">
        <f>IFERROR(__xludf.DUMMYFUNCTION("""COMPUTED_VALUE"""),0.0)</f>
        <v>0</v>
      </c>
      <c r="Q449" s="276">
        <f>IFERROR(__xludf.DUMMYFUNCTION("""COMPUTED_VALUE"""),0.0014)</f>
        <v>0.0014</v>
      </c>
      <c r="R449" s="276">
        <f>IFERROR(__xludf.DUMMYFUNCTION("""COMPUTED_VALUE"""),0.0)</f>
        <v>0</v>
      </c>
      <c r="S449" s="208">
        <f>IFERROR(__xludf.DUMMYFUNCTION("""COMPUTED_VALUE"""),17.0)</f>
        <v>17</v>
      </c>
      <c r="T449" s="208">
        <f>IFERROR(__xludf.DUMMYFUNCTION("""COMPUTED_VALUE"""),0.0)</f>
        <v>0</v>
      </c>
      <c r="U449" s="275">
        <f>IFERROR(__xludf.DUMMYFUNCTION("""COMPUTED_VALUE"""),191579.0)</f>
        <v>191579</v>
      </c>
      <c r="V449" s="208" t="str">
        <f>IFERROR(__xludf.DUMMYFUNCTION("""COMPUTED_VALUE"""),"offline")</f>
        <v>offline</v>
      </c>
      <c r="W449" s="232" t="str">
        <f>IFERROR(__xludf.DUMMYFUNCTION("""COMPUTED_VALUE"""),"Sms")</f>
        <v>Sms</v>
      </c>
      <c r="X449" s="232" t="str">
        <f>IFERROR(__xludf.DUMMYFUNCTION("""COMPUTED_VALUE"""),"Active")</f>
        <v>Active</v>
      </c>
      <c r="Y449" s="232" t="str">
        <f>IFERROR(__xludf.DUMMYFUNCTION("""COMPUTED_VALUE"""),"13th - 14th June")</f>
        <v>13th - 14th June</v>
      </c>
      <c r="Z449" s="232" t="str">
        <f>IFERROR(__xludf.DUMMYFUNCTION("""COMPUTED_VALUE"""),"6a2a7450aefcc569dce0ec88")</f>
        <v>6a2a7450aefcc569dce0ec88</v>
      </c>
      <c r="AA449" s="277">
        <f>IFERROR(__xludf.DUMMYFUNCTION("""COMPUTED_VALUE"""),30.0)</f>
        <v>30</v>
      </c>
      <c r="AB449" s="277"/>
      <c r="AC449" s="277">
        <f>IFERROR(__xludf.DUMMYFUNCTION("""COMPUTED_VALUE"""),30.0)</f>
        <v>30</v>
      </c>
      <c r="AD449" s="277">
        <f>IFERROR(__xludf.DUMMYFUNCTION("""COMPUTED_VALUE"""),297222.0)</f>
        <v>297222</v>
      </c>
      <c r="AE449" s="277"/>
      <c r="AF449" s="277">
        <f>IFERROR(__xludf.DUMMYFUNCTION("""COMPUTED_VALUE"""),297222.0)</f>
        <v>297222</v>
      </c>
      <c r="AG449" s="208"/>
      <c r="AH449" s="208"/>
      <c r="AI449" s="208"/>
      <c r="AJ449" s="208"/>
      <c r="AK449" s="208"/>
    </row>
    <row r="450">
      <c r="A450" s="273">
        <f>IFERROR(__xludf.DUMMYFUNCTION("""COMPUTED_VALUE"""),46186.0)</f>
        <v>46186</v>
      </c>
      <c r="B450" s="274">
        <f>IFERROR(__xludf.DUMMYFUNCTION("""COMPUTED_VALUE"""),0.4375)</f>
        <v>0.4375</v>
      </c>
      <c r="C450" s="208" t="str">
        <f>IFERROR(__xludf.DUMMYFUNCTION("""COMPUTED_VALUE"""),"Sms")</f>
        <v>Sms</v>
      </c>
      <c r="D450" s="208" t="str">
        <f>IFERROR(__xludf.DUMMYFUNCTION("""COMPUTED_VALUE"""),"Fallback campaign")</f>
        <v>Fallback campaign</v>
      </c>
      <c r="E450" s="208" t="str">
        <f>IFERROR(__xludf.DUMMYFUNCTION("""COMPUTED_VALUE"""),"VS")</f>
        <v>VS</v>
      </c>
      <c r="F450" s="208" t="str">
        <f>IFERROR(__xludf.DUMMYFUNCTION("""COMPUTED_VALUE"""),"Semi-Annual Sale (June) - All")</f>
        <v>Semi-Annual Sale (June) - All</v>
      </c>
      <c r="G450" s="208" t="str">
        <f>IFERROR(__xludf.DUMMYFUNCTION("""COMPUTED_VALUE"""),"SAS_Off_Dormant_CX (FB 13)")</f>
        <v>SAS_Off_Dormant_CX (FB 13)</v>
      </c>
      <c r="H450" s="208" t="str">
        <f>IFERROR(__xludf.DUMMYFUNCTION("""COMPUTED_VALUE"""),"VS_OFF_Dormant")</f>
        <v>VS_OFF_Dormant</v>
      </c>
      <c r="I450" s="233" t="str">
        <f>IFERROR(__xludf.DUMMYFUNCTION("""COMPUTED_VALUE"""),"WA Undelivered")</f>
        <v>WA Undelivered</v>
      </c>
      <c r="J450" s="275">
        <f>IFERROR(__xludf.DUMMYFUNCTION("""COMPUTED_VALUE"""),21356.0)</f>
        <v>21356</v>
      </c>
      <c r="K450" s="275">
        <f>IFERROR(__xludf.DUMMYFUNCTION("""COMPUTED_VALUE"""),13266.0)</f>
        <v>13266</v>
      </c>
      <c r="L450" s="276">
        <f>IFERROR(__xludf.DUMMYFUNCTION("""COMPUTED_VALUE"""),0.6212)</f>
        <v>0.6212</v>
      </c>
      <c r="M450" s="275">
        <f>IFERROR(__xludf.DUMMYFUNCTION("""COMPUTED_VALUE"""),0.0)</f>
        <v>0</v>
      </c>
      <c r="N450" s="276">
        <f>IFERROR(__xludf.DUMMYFUNCTION("""COMPUTED_VALUE"""),0.0)</f>
        <v>0</v>
      </c>
      <c r="O450" s="208">
        <f>IFERROR(__xludf.DUMMYFUNCTION("""COMPUTED_VALUE"""),15.0)</f>
        <v>15</v>
      </c>
      <c r="P450" s="208">
        <f>IFERROR(__xludf.DUMMYFUNCTION("""COMPUTED_VALUE"""),0.0)</f>
        <v>0</v>
      </c>
      <c r="Q450" s="276">
        <f>IFERROR(__xludf.DUMMYFUNCTION("""COMPUTED_VALUE"""),0.0011)</f>
        <v>0.0011</v>
      </c>
      <c r="R450" s="276">
        <f>IFERROR(__xludf.DUMMYFUNCTION("""COMPUTED_VALUE"""),0.0)</f>
        <v>0</v>
      </c>
      <c r="S450" s="208">
        <f>IFERROR(__xludf.DUMMYFUNCTION("""COMPUTED_VALUE"""),25.0)</f>
        <v>25</v>
      </c>
      <c r="T450" s="208">
        <f>IFERROR(__xludf.DUMMYFUNCTION("""COMPUTED_VALUE"""),0.0)</f>
        <v>0</v>
      </c>
      <c r="U450" s="275">
        <f>IFERROR(__xludf.DUMMYFUNCTION("""COMPUTED_VALUE"""),180375.0)</f>
        <v>180375</v>
      </c>
      <c r="V450" s="208" t="str">
        <f>IFERROR(__xludf.DUMMYFUNCTION("""COMPUTED_VALUE"""),"offline")</f>
        <v>offline</v>
      </c>
      <c r="W450" s="232" t="str">
        <f>IFERROR(__xludf.DUMMYFUNCTION("""COMPUTED_VALUE"""),"Sms")</f>
        <v>Sms</v>
      </c>
      <c r="X450" s="232" t="str">
        <f>IFERROR(__xludf.DUMMYFUNCTION("""COMPUTED_VALUE"""),"Dormant")</f>
        <v>Dormant</v>
      </c>
      <c r="Y450" s="232" t="str">
        <f>IFERROR(__xludf.DUMMYFUNCTION("""COMPUTED_VALUE"""),"13th - 14th June")</f>
        <v>13th - 14th June</v>
      </c>
      <c r="Z450" s="232" t="str">
        <f>IFERROR(__xludf.DUMMYFUNCTION("""COMPUTED_VALUE"""),"6a2a74b8a159353c628d3d40")</f>
        <v>6a2a74b8a159353c628d3d40</v>
      </c>
      <c r="AA450" s="277">
        <f>IFERROR(__xludf.DUMMYFUNCTION("""COMPUTED_VALUE"""),49.0)</f>
        <v>49</v>
      </c>
      <c r="AB450" s="277"/>
      <c r="AC450" s="277">
        <f>IFERROR(__xludf.DUMMYFUNCTION("""COMPUTED_VALUE"""),49.0)</f>
        <v>49</v>
      </c>
      <c r="AD450" s="277">
        <f>IFERROR(__xludf.DUMMYFUNCTION("""COMPUTED_VALUE"""),314885.0)</f>
        <v>314885</v>
      </c>
      <c r="AE450" s="277"/>
      <c r="AF450" s="277">
        <f>IFERROR(__xludf.DUMMYFUNCTION("""COMPUTED_VALUE"""),314885.0)</f>
        <v>314885</v>
      </c>
      <c r="AG450" s="208"/>
      <c r="AH450" s="208"/>
      <c r="AI450" s="208"/>
      <c r="AJ450" s="208"/>
      <c r="AK450" s="208"/>
    </row>
    <row r="451">
      <c r="A451" s="273">
        <f>IFERROR(__xludf.DUMMYFUNCTION("""COMPUTED_VALUE"""),46186.0)</f>
        <v>46186</v>
      </c>
      <c r="B451" s="274">
        <f>IFERROR(__xludf.DUMMYFUNCTION("""COMPUTED_VALUE"""),0.4375)</f>
        <v>0.4375</v>
      </c>
      <c r="C451" s="208" t="str">
        <f>IFERROR(__xludf.DUMMYFUNCTION("""COMPUTED_VALUE"""),"Sms")</f>
        <v>Sms</v>
      </c>
      <c r="D451" s="208" t="str">
        <f>IFERROR(__xludf.DUMMYFUNCTION("""COMPUTED_VALUE"""),"Fallback campaign")</f>
        <v>Fallback campaign</v>
      </c>
      <c r="E451" s="208" t="str">
        <f>IFERROR(__xludf.DUMMYFUNCTION("""COMPUTED_VALUE"""),"VS")</f>
        <v>VS</v>
      </c>
      <c r="F451" s="208" t="str">
        <f>IFERROR(__xludf.DUMMYFUNCTION("""COMPUTED_VALUE"""),"Semi-Annual Sale (June) - All")</f>
        <v>Semi-Annual Sale (June) - All</v>
      </c>
      <c r="G451" s="208" t="str">
        <f>IFERROR(__xludf.DUMMYFUNCTION("""COMPUTED_VALUE"""),"SAS_Off_Churned_CX (FB 13)")</f>
        <v>SAS_Off_Churned_CX (FB 13)</v>
      </c>
      <c r="H451" s="208" t="str">
        <f>IFERROR(__xludf.DUMMYFUNCTION("""COMPUTED_VALUE"""),"VS_OFF_Churned")</f>
        <v>VS_OFF_Churned</v>
      </c>
      <c r="I451" s="233" t="str">
        <f>IFERROR(__xludf.DUMMYFUNCTION("""COMPUTED_VALUE"""),"WA Undelivered")</f>
        <v>WA Undelivered</v>
      </c>
      <c r="J451" s="275">
        <f>IFERROR(__xludf.DUMMYFUNCTION("""COMPUTED_VALUE"""),23144.0)</f>
        <v>23144</v>
      </c>
      <c r="K451" s="275">
        <f>IFERROR(__xludf.DUMMYFUNCTION("""COMPUTED_VALUE"""),13134.0)</f>
        <v>13134</v>
      </c>
      <c r="L451" s="276">
        <f>IFERROR(__xludf.DUMMYFUNCTION("""COMPUTED_VALUE"""),0.5675)</f>
        <v>0.5675</v>
      </c>
      <c r="M451" s="275">
        <f>IFERROR(__xludf.DUMMYFUNCTION("""COMPUTED_VALUE"""),0.0)</f>
        <v>0</v>
      </c>
      <c r="N451" s="276">
        <f>IFERROR(__xludf.DUMMYFUNCTION("""COMPUTED_VALUE"""),0.0)</f>
        <v>0</v>
      </c>
      <c r="O451" s="208">
        <f>IFERROR(__xludf.DUMMYFUNCTION("""COMPUTED_VALUE"""),6.0)</f>
        <v>6</v>
      </c>
      <c r="P451" s="208">
        <f>IFERROR(__xludf.DUMMYFUNCTION("""COMPUTED_VALUE"""),0.0)</f>
        <v>0</v>
      </c>
      <c r="Q451" s="276">
        <f>IFERROR(__xludf.DUMMYFUNCTION("""COMPUTED_VALUE"""),5.0E-4)</f>
        <v>0.0005</v>
      </c>
      <c r="R451" s="276">
        <f>IFERROR(__xludf.DUMMYFUNCTION("""COMPUTED_VALUE"""),0.0)</f>
        <v>0</v>
      </c>
      <c r="S451" s="208">
        <f>IFERROR(__xludf.DUMMYFUNCTION("""COMPUTED_VALUE"""),15.0)</f>
        <v>15</v>
      </c>
      <c r="T451" s="208">
        <f>IFERROR(__xludf.DUMMYFUNCTION("""COMPUTED_VALUE"""),0.0)</f>
        <v>0</v>
      </c>
      <c r="U451" s="275">
        <f>IFERROR(__xludf.DUMMYFUNCTION("""COMPUTED_VALUE"""),156654.0)</f>
        <v>156654</v>
      </c>
      <c r="V451" s="208" t="str">
        <f>IFERROR(__xludf.DUMMYFUNCTION("""COMPUTED_VALUE"""),"offline")</f>
        <v>offline</v>
      </c>
      <c r="W451" s="232" t="str">
        <f>IFERROR(__xludf.DUMMYFUNCTION("""COMPUTED_VALUE"""),"Sms")</f>
        <v>Sms</v>
      </c>
      <c r="X451" s="232" t="str">
        <f>IFERROR(__xludf.DUMMYFUNCTION("""COMPUTED_VALUE"""),"Churned")</f>
        <v>Churned</v>
      </c>
      <c r="Y451" s="232" t="str">
        <f>IFERROR(__xludf.DUMMYFUNCTION("""COMPUTED_VALUE"""),"13th - 14th June")</f>
        <v>13th - 14th June</v>
      </c>
      <c r="Z451" s="232" t="str">
        <f>IFERROR(__xludf.DUMMYFUNCTION("""COMPUTED_VALUE"""),"6a2a75206034a55edb5a9b46")</f>
        <v>6a2a75206034a55edb5a9b46</v>
      </c>
      <c r="AA451" s="277">
        <f>IFERROR(__xludf.DUMMYFUNCTION("""COMPUTED_VALUE"""),34.0)</f>
        <v>34</v>
      </c>
      <c r="AB451" s="277"/>
      <c r="AC451" s="277">
        <f>IFERROR(__xludf.DUMMYFUNCTION("""COMPUTED_VALUE"""),34.0)</f>
        <v>34</v>
      </c>
      <c r="AD451" s="277">
        <f>IFERROR(__xludf.DUMMYFUNCTION("""COMPUTED_VALUE"""),313840.0)</f>
        <v>313840</v>
      </c>
      <c r="AE451" s="277"/>
      <c r="AF451" s="277">
        <f>IFERROR(__xludf.DUMMYFUNCTION("""COMPUTED_VALUE"""),313840.0)</f>
        <v>313840</v>
      </c>
      <c r="AG451" s="208"/>
      <c r="AH451" s="208"/>
      <c r="AI451" s="208"/>
      <c r="AJ451" s="208"/>
      <c r="AK451" s="208"/>
    </row>
    <row r="452">
      <c r="A452" s="273">
        <f>IFERROR(__xludf.DUMMYFUNCTION("""COMPUTED_VALUE"""),46186.0)</f>
        <v>46186</v>
      </c>
      <c r="B452" s="274">
        <f>IFERROR(__xludf.DUMMYFUNCTION("""COMPUTED_VALUE"""),0.4375)</f>
        <v>0.4375</v>
      </c>
      <c r="C452" s="208" t="str">
        <f>IFERROR(__xludf.DUMMYFUNCTION("""COMPUTED_VALUE"""),"Sms")</f>
        <v>Sms</v>
      </c>
      <c r="D452" s="208" t="str">
        <f>IFERROR(__xludf.DUMMYFUNCTION("""COMPUTED_VALUE"""),"Fallback campaign")</f>
        <v>Fallback campaign</v>
      </c>
      <c r="E452" s="208" t="str">
        <f>IFERROR(__xludf.DUMMYFUNCTION("""COMPUTED_VALUE"""),"VS")</f>
        <v>VS</v>
      </c>
      <c r="F452" s="208" t="str">
        <f>IFERROR(__xludf.DUMMYFUNCTION("""COMPUTED_VALUE"""),"Semi-Annual Sale (June) - All")</f>
        <v>Semi-Annual Sale (June) - All</v>
      </c>
      <c r="G452" s="208" t="str">
        <f>IFERROR(__xludf.DUMMYFUNCTION("""COMPUTED_VALUE"""),"SAS_Off_LTV&gt;25k_CX (FB 13)")</f>
        <v>SAS_Off_LTV&gt;25k_CX (FB 13)</v>
      </c>
      <c r="H452" s="208" t="str">
        <f>IFERROR(__xludf.DUMMYFUNCTION("""COMPUTED_VALUE"""),"VS_OFF_LTV_25k")</f>
        <v>VS_OFF_LTV_25k</v>
      </c>
      <c r="I452" s="233" t="str">
        <f>IFERROR(__xludf.DUMMYFUNCTION("""COMPUTED_VALUE"""),"WA Undelivered")</f>
        <v>WA Undelivered</v>
      </c>
      <c r="J452" s="275">
        <f>IFERROR(__xludf.DUMMYFUNCTION("""COMPUTED_VALUE"""),8832.0)</f>
        <v>8832</v>
      </c>
      <c r="K452" s="275">
        <f>IFERROR(__xludf.DUMMYFUNCTION("""COMPUTED_VALUE"""),4728.0)</f>
        <v>4728</v>
      </c>
      <c r="L452" s="276">
        <f>IFERROR(__xludf.DUMMYFUNCTION("""COMPUTED_VALUE"""),0.5353)</f>
        <v>0.5353</v>
      </c>
      <c r="M452" s="275">
        <f>IFERROR(__xludf.DUMMYFUNCTION("""COMPUTED_VALUE"""),0.0)</f>
        <v>0</v>
      </c>
      <c r="N452" s="276">
        <f>IFERROR(__xludf.DUMMYFUNCTION("""COMPUTED_VALUE"""),0.0)</f>
        <v>0</v>
      </c>
      <c r="O452" s="208">
        <f>IFERROR(__xludf.DUMMYFUNCTION("""COMPUTED_VALUE"""),8.0)</f>
        <v>8</v>
      </c>
      <c r="P452" s="208">
        <f>IFERROR(__xludf.DUMMYFUNCTION("""COMPUTED_VALUE"""),0.0)</f>
        <v>0</v>
      </c>
      <c r="Q452" s="276">
        <f>IFERROR(__xludf.DUMMYFUNCTION("""COMPUTED_VALUE"""),0.0017)</f>
        <v>0.0017</v>
      </c>
      <c r="R452" s="276">
        <f>IFERROR(__xludf.DUMMYFUNCTION("""COMPUTED_VALUE"""),0.0)</f>
        <v>0</v>
      </c>
      <c r="S452" s="208">
        <f>IFERROR(__xludf.DUMMYFUNCTION("""COMPUTED_VALUE"""),19.0)</f>
        <v>19</v>
      </c>
      <c r="T452" s="208">
        <f>IFERROR(__xludf.DUMMYFUNCTION("""COMPUTED_VALUE"""),0.0)</f>
        <v>0</v>
      </c>
      <c r="U452" s="275">
        <f>IFERROR(__xludf.DUMMYFUNCTION("""COMPUTED_VALUE"""),268859.0)</f>
        <v>268859</v>
      </c>
      <c r="V452" s="208" t="str">
        <f>IFERROR(__xludf.DUMMYFUNCTION("""COMPUTED_VALUE"""),"offline")</f>
        <v>offline</v>
      </c>
      <c r="W452" s="232" t="str">
        <f>IFERROR(__xludf.DUMMYFUNCTION("""COMPUTED_VALUE"""),"Sms")</f>
        <v>Sms</v>
      </c>
      <c r="X452" s="232" t="str">
        <f>IFERROR(__xludf.DUMMYFUNCTION("""COMPUTED_VALUE"""),"LTV")</f>
        <v>LTV</v>
      </c>
      <c r="Y452" s="232" t="str">
        <f>IFERROR(__xludf.DUMMYFUNCTION("""COMPUTED_VALUE"""),"13th - 14th June")</f>
        <v>13th - 14th June</v>
      </c>
      <c r="Z452" s="232" t="str">
        <f>IFERROR(__xludf.DUMMYFUNCTION("""COMPUTED_VALUE"""),"6a2a7552e8893f8440e6682b")</f>
        <v>6a2a7552e8893f8440e6682b</v>
      </c>
      <c r="AA452" s="277">
        <f>IFERROR(__xludf.DUMMYFUNCTION("""COMPUTED_VALUE"""),42.0)</f>
        <v>42</v>
      </c>
      <c r="AB452" s="277"/>
      <c r="AC452" s="277">
        <f>IFERROR(__xludf.DUMMYFUNCTION("""COMPUTED_VALUE"""),42.0)</f>
        <v>42</v>
      </c>
      <c r="AD452" s="277">
        <f>IFERROR(__xludf.DUMMYFUNCTION("""COMPUTED_VALUE"""),620245.0)</f>
        <v>620245</v>
      </c>
      <c r="AE452" s="277"/>
      <c r="AF452" s="277">
        <f>IFERROR(__xludf.DUMMYFUNCTION("""COMPUTED_VALUE"""),620245.0)</f>
        <v>620245</v>
      </c>
      <c r="AG452" s="208"/>
      <c r="AH452" s="208"/>
      <c r="AI452" s="208"/>
      <c r="AJ452" s="208"/>
      <c r="AK452" s="208"/>
    </row>
    <row r="453">
      <c r="A453" s="273">
        <f>IFERROR(__xludf.DUMMYFUNCTION("""COMPUTED_VALUE"""),46187.0)</f>
        <v>46187</v>
      </c>
      <c r="B453" s="274">
        <f>IFERROR(__xludf.DUMMYFUNCTION("""COMPUTED_VALUE"""),0.4375)</f>
        <v>0.4375</v>
      </c>
      <c r="C453" s="208" t="str">
        <f>IFERROR(__xludf.DUMMYFUNCTION("""COMPUTED_VALUE"""),"Sms")</f>
        <v>Sms</v>
      </c>
      <c r="D453" s="208" t="str">
        <f>IFERROR(__xludf.DUMMYFUNCTION("""COMPUTED_VALUE"""),"Fallback campaign")</f>
        <v>Fallback campaign</v>
      </c>
      <c r="E453" s="208" t="str">
        <f>IFERROR(__xludf.DUMMYFUNCTION("""COMPUTED_VALUE"""),"VS")</f>
        <v>VS</v>
      </c>
      <c r="F453" s="208" t="str">
        <f>IFERROR(__xludf.DUMMYFUNCTION("""COMPUTED_VALUE"""),"Semi-Annual Sale (June) - All")</f>
        <v>Semi-Annual Sale (June) - All</v>
      </c>
      <c r="G453" s="208" t="str">
        <f>IFERROR(__xludf.DUMMYFUNCTION("""COMPUTED_VALUE"""),"SAS_On_ATC_VSL-BTY (FB)")</f>
        <v>SAS_On_ATC_VSL-BTY (FB)</v>
      </c>
      <c r="H453" s="208" t="str">
        <f>IFERROR(__xludf.DUMMYFUNCTION("""COMPUTED_VALUE"""),"Beauty+Ling_ATC_NoPr_On")</f>
        <v>Beauty+Ling_ATC_NoPr_On</v>
      </c>
      <c r="I453" s="233" t="str">
        <f>IFERROR(__xludf.DUMMYFUNCTION("""COMPUTED_VALUE"""),"WA Undelivered")</f>
        <v>WA Undelivered</v>
      </c>
      <c r="J453" s="275">
        <f>IFERROR(__xludf.DUMMYFUNCTION("""COMPUTED_VALUE"""),577.0)</f>
        <v>577</v>
      </c>
      <c r="K453" s="275">
        <f>IFERROR(__xludf.DUMMYFUNCTION("""COMPUTED_VALUE"""),377.0)</f>
        <v>377</v>
      </c>
      <c r="L453" s="276">
        <f>IFERROR(__xludf.DUMMYFUNCTION("""COMPUTED_VALUE"""),0.6534)</f>
        <v>0.6534</v>
      </c>
      <c r="M453" s="275">
        <f>IFERROR(__xludf.DUMMYFUNCTION("""COMPUTED_VALUE"""),0.0)</f>
        <v>0</v>
      </c>
      <c r="N453" s="276">
        <f>IFERROR(__xludf.DUMMYFUNCTION("""COMPUTED_VALUE"""),0.0)</f>
        <v>0</v>
      </c>
      <c r="O453" s="208">
        <f>IFERROR(__xludf.DUMMYFUNCTION("""COMPUTED_VALUE"""),4.0)</f>
        <v>4</v>
      </c>
      <c r="P453" s="208">
        <f>IFERROR(__xludf.DUMMYFUNCTION("""COMPUTED_VALUE"""),0.0)</f>
        <v>0</v>
      </c>
      <c r="Q453" s="276">
        <f>IFERROR(__xludf.DUMMYFUNCTION("""COMPUTED_VALUE"""),0.0106)</f>
        <v>0.0106</v>
      </c>
      <c r="R453" s="276">
        <f>IFERROR(__xludf.DUMMYFUNCTION("""COMPUTED_VALUE"""),0.0)</f>
        <v>0</v>
      </c>
      <c r="S453" s="208">
        <f>IFERROR(__xludf.DUMMYFUNCTION("""COMPUTED_VALUE"""),0.0)</f>
        <v>0</v>
      </c>
      <c r="T453" s="208">
        <f>IFERROR(__xludf.DUMMYFUNCTION("""COMPUTED_VALUE"""),0.0)</f>
        <v>0</v>
      </c>
      <c r="U453" s="275">
        <f>IFERROR(__xludf.DUMMYFUNCTION("""COMPUTED_VALUE"""),0.0)</f>
        <v>0</v>
      </c>
      <c r="V453" s="208" t="str">
        <f>IFERROR(__xludf.DUMMYFUNCTION("""COMPUTED_VALUE"""),"online")</f>
        <v>online</v>
      </c>
      <c r="W453" s="232" t="str">
        <f>IFERROR(__xludf.DUMMYFUNCTION("""COMPUTED_VALUE"""),"Sms")</f>
        <v>Sms</v>
      </c>
      <c r="X453" s="232" t="str">
        <f>IFERROR(__xludf.DUMMYFUNCTION("""COMPUTED_VALUE"""),"Add to Cart")</f>
        <v>Add to Cart</v>
      </c>
      <c r="Y453" s="232" t="str">
        <f>IFERROR(__xludf.DUMMYFUNCTION("""COMPUTED_VALUE"""),"13th - 14th June")</f>
        <v>13th - 14th June</v>
      </c>
      <c r="Z453" s="232" t="str">
        <f>IFERROR(__xludf.DUMMYFUNCTION("""COMPUTED_VALUE"""),"6a2c2cc181f1c2bb08be9687")</f>
        <v>6a2c2cc181f1c2bb08be9687</v>
      </c>
      <c r="AA453" s="277">
        <f>IFERROR(__xludf.DUMMYFUNCTION("""COMPUTED_VALUE"""),26.0)</f>
        <v>26</v>
      </c>
      <c r="AB453" s="277">
        <f>IFERROR(__xludf.DUMMYFUNCTION("""COMPUTED_VALUE"""),26.0)</f>
        <v>26</v>
      </c>
      <c r="AC453" s="277"/>
      <c r="AD453" s="277">
        <f>IFERROR(__xludf.DUMMYFUNCTION("""COMPUTED_VALUE"""),161340.0)</f>
        <v>161340</v>
      </c>
      <c r="AE453" s="277">
        <f>IFERROR(__xludf.DUMMYFUNCTION("""COMPUTED_VALUE"""),161340.0)</f>
        <v>161340</v>
      </c>
      <c r="AF453" s="277"/>
      <c r="AG453" s="208"/>
      <c r="AH453" s="208"/>
      <c r="AI453" s="208"/>
      <c r="AJ453" s="208"/>
      <c r="AK453" s="208"/>
    </row>
    <row r="454">
      <c r="A454" s="273">
        <f>IFERROR(__xludf.DUMMYFUNCTION("""COMPUTED_VALUE"""),46192.0)</f>
        <v>46192</v>
      </c>
      <c r="B454" s="274">
        <f>IFERROR(__xludf.DUMMYFUNCTION("""COMPUTED_VALUE"""),0.3541666666678793)</f>
        <v>0.3541666667</v>
      </c>
      <c r="C454" s="208" t="str">
        <f>IFERROR(__xludf.DUMMYFUNCTION("""COMPUTED_VALUE"""),"Whatsapp")</f>
        <v>Whatsapp</v>
      </c>
      <c r="D454" s="208" t="str">
        <f>IFERROR(__xludf.DUMMYFUNCTION("""COMPUTED_VALUE"""),"Promotional")</f>
        <v>Promotional</v>
      </c>
      <c r="E454" s="208" t="str">
        <f>IFERROR(__xludf.DUMMYFUNCTION("""COMPUTED_VALUE"""),"VS")</f>
        <v>VS</v>
      </c>
      <c r="F454" s="208" t="str">
        <f>IFERROR(__xludf.DUMMYFUNCTION("""COMPUTED_VALUE"""),"Semi-Annual Sale (June) - Stores - All")</f>
        <v>Semi-Annual Sale (June) - Stores - All</v>
      </c>
      <c r="G454" s="208" t="str">
        <f>IFERROR(__xludf.DUMMYFUNCTION("""COMPUTED_VALUE"""),"SAS_Stores_Mum_FA")</f>
        <v>SAS_Stores_Mum_FA</v>
      </c>
      <c r="H454" s="208" t="str">
        <f>IFERROR(__xludf.DUMMYFUNCTION("""COMPUTED_VALUE"""),"vs_off_pr_97001_16thmarch")</f>
        <v>vs_off_pr_97001_16thmarch</v>
      </c>
      <c r="I454" s="233" t="str">
        <f>IFERROR(__xludf.DUMMYFUNCTION("""COMPUTED_VALUE"""),"Offline Customers who have purchased at lease 1 time in last 36 months from any store in Mumbai :- 97001 - VS PHOENIX PALLADIUM MALL,")</f>
        <v>Offline Customers who have purchased at lease 1 time in last 36 months from any store in Mumbai :- 97001 - VS PHOENIX PALLADIUM MALL,</v>
      </c>
      <c r="J454" s="275">
        <f>IFERROR(__xludf.DUMMYFUNCTION("""COMPUTED_VALUE"""),39043.0)</f>
        <v>39043</v>
      </c>
      <c r="K454" s="275">
        <f>IFERROR(__xludf.DUMMYFUNCTION("""COMPUTED_VALUE"""),23119.0)</f>
        <v>23119</v>
      </c>
      <c r="L454" s="276">
        <f>IFERROR(__xludf.DUMMYFUNCTION("""COMPUTED_VALUE"""),0.5915)</f>
        <v>0.5915</v>
      </c>
      <c r="M454" s="275">
        <f>IFERROR(__xludf.DUMMYFUNCTION("""COMPUTED_VALUE"""),5388.0)</f>
        <v>5388</v>
      </c>
      <c r="N454" s="276">
        <f>IFERROR(__xludf.DUMMYFUNCTION("""COMPUTED_VALUE"""),0.2302)</f>
        <v>0.2302</v>
      </c>
      <c r="O454" s="208">
        <f>IFERROR(__xludf.DUMMYFUNCTION("""COMPUTED_VALUE"""),0.0)</f>
        <v>0</v>
      </c>
      <c r="P454" s="208">
        <f>IFERROR(__xludf.DUMMYFUNCTION("""COMPUTED_VALUE"""),0.0)</f>
        <v>0</v>
      </c>
      <c r="Q454" s="276">
        <f>IFERROR(__xludf.DUMMYFUNCTION("""COMPUTED_VALUE"""),0.0)</f>
        <v>0</v>
      </c>
      <c r="R454" s="276">
        <f>IFERROR(__xludf.DUMMYFUNCTION("""COMPUTED_VALUE"""),0.0)</f>
        <v>0</v>
      </c>
      <c r="S454" s="208">
        <f>IFERROR(__xludf.DUMMYFUNCTION("""COMPUTED_VALUE"""),102.0)</f>
        <v>102</v>
      </c>
      <c r="T454" s="208">
        <f>IFERROR(__xludf.DUMMYFUNCTION("""COMPUTED_VALUE"""),0.0)</f>
        <v>0</v>
      </c>
      <c r="U454" s="275">
        <f>IFERROR(__xludf.DUMMYFUNCTION("""COMPUTED_VALUE"""),961734.0)</f>
        <v>961734</v>
      </c>
      <c r="V454" s="208" t="str">
        <f>IFERROR(__xludf.DUMMYFUNCTION("""COMPUTED_VALUE"""),"offline")</f>
        <v>offline</v>
      </c>
      <c r="W454" s="232" t="str">
        <f>IFERROR(__xludf.DUMMYFUNCTION("""COMPUTED_VALUE"""),"simple")</f>
        <v>simple</v>
      </c>
      <c r="X454" s="232" t="str">
        <f>IFERROR(__xludf.DUMMYFUNCTION("""COMPUTED_VALUE"""),"Offline Stores")</f>
        <v>Offline Stores</v>
      </c>
      <c r="Y454" s="232" t="str">
        <f>IFERROR(__xludf.DUMMYFUNCTION("""COMPUTED_VALUE"""),"19th - 21st June")</f>
        <v>19th - 21st June</v>
      </c>
      <c r="Z454" s="232" t="str">
        <f>IFERROR(__xludf.DUMMYFUNCTION("""COMPUTED_VALUE"""),"6a33cb0be097b78bf6e70981")</f>
        <v>6a33cb0be097b78bf6e70981</v>
      </c>
      <c r="AA454" s="277">
        <f>IFERROR(__xludf.DUMMYFUNCTION("""COMPUTED_VALUE"""),159.0)</f>
        <v>159</v>
      </c>
      <c r="AB454" s="277"/>
      <c r="AC454" s="277">
        <f>IFERROR(__xludf.DUMMYFUNCTION("""COMPUTED_VALUE"""),159.0)</f>
        <v>159</v>
      </c>
      <c r="AD454" s="277">
        <f>IFERROR(__xludf.DUMMYFUNCTION("""COMPUTED_VALUE"""),1648105.0)</f>
        <v>1648105</v>
      </c>
      <c r="AE454" s="277"/>
      <c r="AF454" s="277">
        <f>IFERROR(__xludf.DUMMYFUNCTION("""COMPUTED_VALUE"""),1648105.0)</f>
        <v>1648105</v>
      </c>
      <c r="AG454" s="208"/>
      <c r="AH454" s="208"/>
      <c r="AI454" s="208"/>
      <c r="AJ454" s="208"/>
      <c r="AK454" s="208"/>
    </row>
    <row r="455">
      <c r="A455" s="273">
        <f>IFERROR(__xludf.DUMMYFUNCTION("""COMPUTED_VALUE"""),46192.0)</f>
        <v>46192</v>
      </c>
      <c r="B455" s="274">
        <f>IFERROR(__xludf.DUMMYFUNCTION("""COMPUTED_VALUE"""),0.35763888889050577)</f>
        <v>0.3576388889</v>
      </c>
      <c r="C455" s="208" t="str">
        <f>IFERROR(__xludf.DUMMYFUNCTION("""COMPUTED_VALUE"""),"Whatsapp")</f>
        <v>Whatsapp</v>
      </c>
      <c r="D455" s="208" t="str">
        <f>IFERROR(__xludf.DUMMYFUNCTION("""COMPUTED_VALUE"""),"Promotional")</f>
        <v>Promotional</v>
      </c>
      <c r="E455" s="208" t="str">
        <f>IFERROR(__xludf.DUMMYFUNCTION("""COMPUTED_VALUE"""),"VS")</f>
        <v>VS</v>
      </c>
      <c r="F455" s="208" t="str">
        <f>IFERROR(__xludf.DUMMYFUNCTION("""COMPUTED_VALUE"""),"Semi-Annual Sale (June) - Stores - All")</f>
        <v>Semi-Annual Sale (June) - Stores - All</v>
      </c>
      <c r="G455" s="208" t="str">
        <f>IFERROR(__xludf.DUMMYFUNCTION("""COMPUTED_VALUE"""),"SAS_Stores_Mum_BA")</f>
        <v>SAS_Stores_Mum_BA</v>
      </c>
      <c r="H455" s="208" t="str">
        <f>IFERROR(__xludf.DUMMYFUNCTION("""COMPUTED_VALUE"""),"vs_off_pr_BA_97008_97009_16thmarch")</f>
        <v>vs_off_pr_BA_97008_97009_16thmarch</v>
      </c>
      <c r="I455" s="233" t="str">
        <f>IFERROR(__xludf.DUMMYFUNCTION("""COMPUTED_VALUE"""),"Offline Customers who have purchased at lease 1 time in last 36 months from any store in Mumbai (97008 - VS INORBIT MALL MALAD, 97009 - VS MARKET CITY KURLA MALL)")</f>
        <v>Offline Customers who have purchased at lease 1 time in last 36 months from any store in Mumbai (97008 - VS INORBIT MALL MALAD, 97009 - VS MARKET CITY KURLA MALL)</v>
      </c>
      <c r="J455" s="275">
        <f>IFERROR(__xludf.DUMMYFUNCTION("""COMPUTED_VALUE"""),17673.0)</f>
        <v>17673</v>
      </c>
      <c r="K455" s="275">
        <f>IFERROR(__xludf.DUMMYFUNCTION("""COMPUTED_VALUE"""),11195.0)</f>
        <v>11195</v>
      </c>
      <c r="L455" s="276">
        <f>IFERROR(__xludf.DUMMYFUNCTION("""COMPUTED_VALUE"""),0.6329)</f>
        <v>0.6329</v>
      </c>
      <c r="M455" s="275">
        <f>IFERROR(__xludf.DUMMYFUNCTION("""COMPUTED_VALUE"""),3003.0)</f>
        <v>3003</v>
      </c>
      <c r="N455" s="276">
        <f>IFERROR(__xludf.DUMMYFUNCTION("""COMPUTED_VALUE"""),0.265)</f>
        <v>0.265</v>
      </c>
      <c r="O455" s="208">
        <f>IFERROR(__xludf.DUMMYFUNCTION("""COMPUTED_VALUE"""),0.0)</f>
        <v>0</v>
      </c>
      <c r="P455" s="208">
        <f>IFERROR(__xludf.DUMMYFUNCTION("""COMPUTED_VALUE"""),0.0)</f>
        <v>0</v>
      </c>
      <c r="Q455" s="276">
        <f>IFERROR(__xludf.DUMMYFUNCTION("""COMPUTED_VALUE"""),0.0)</f>
        <v>0</v>
      </c>
      <c r="R455" s="276">
        <f>IFERROR(__xludf.DUMMYFUNCTION("""COMPUTED_VALUE"""),0.0)</f>
        <v>0</v>
      </c>
      <c r="S455" s="208">
        <f>IFERROR(__xludf.DUMMYFUNCTION("""COMPUTED_VALUE"""),39.0)</f>
        <v>39</v>
      </c>
      <c r="T455" s="208">
        <f>IFERROR(__xludf.DUMMYFUNCTION("""COMPUTED_VALUE"""),0.0)</f>
        <v>0</v>
      </c>
      <c r="U455" s="275">
        <f>IFERROR(__xludf.DUMMYFUNCTION("""COMPUTED_VALUE"""),170643.0)</f>
        <v>170643</v>
      </c>
      <c r="V455" s="208" t="str">
        <f>IFERROR(__xludf.DUMMYFUNCTION("""COMPUTED_VALUE"""),"offline")</f>
        <v>offline</v>
      </c>
      <c r="W455" s="232" t="str">
        <f>IFERROR(__xludf.DUMMYFUNCTION("""COMPUTED_VALUE"""),"simple")</f>
        <v>simple</v>
      </c>
      <c r="X455" s="232" t="str">
        <f>IFERROR(__xludf.DUMMYFUNCTION("""COMPUTED_VALUE"""),"Offline Stores")</f>
        <v>Offline Stores</v>
      </c>
      <c r="Y455" s="232" t="str">
        <f>IFERROR(__xludf.DUMMYFUNCTION("""COMPUTED_VALUE"""),"19th - 21st June")</f>
        <v>19th - 21st June</v>
      </c>
      <c r="Z455" s="232" t="str">
        <f>IFERROR(__xludf.DUMMYFUNCTION("""COMPUTED_VALUE"""),"6a33cb5af438848f5b3ce4d9")</f>
        <v>6a33cb5af438848f5b3ce4d9</v>
      </c>
      <c r="AA455" s="277">
        <f>IFERROR(__xludf.DUMMYFUNCTION("""COMPUTED_VALUE"""),63.0)</f>
        <v>63</v>
      </c>
      <c r="AB455" s="277"/>
      <c r="AC455" s="277">
        <f>IFERROR(__xludf.DUMMYFUNCTION("""COMPUTED_VALUE"""),63.0)</f>
        <v>63</v>
      </c>
      <c r="AD455" s="277">
        <f>IFERROR(__xludf.DUMMYFUNCTION("""COMPUTED_VALUE"""),268952.0)</f>
        <v>268952</v>
      </c>
      <c r="AE455" s="277"/>
      <c r="AF455" s="277">
        <f>IFERROR(__xludf.DUMMYFUNCTION("""COMPUTED_VALUE"""),268952.0)</f>
        <v>268952</v>
      </c>
      <c r="AG455" s="208"/>
      <c r="AH455" s="208"/>
      <c r="AI455" s="208"/>
      <c r="AJ455" s="208"/>
      <c r="AK455" s="208"/>
    </row>
    <row r="456">
      <c r="A456" s="273">
        <f>IFERROR(__xludf.DUMMYFUNCTION("""COMPUTED_VALUE"""),46192.0)</f>
        <v>46192</v>
      </c>
      <c r="B456" s="274">
        <f>IFERROR(__xludf.DUMMYFUNCTION("""COMPUTED_VALUE"""),0.36111111110949423)</f>
        <v>0.3611111111</v>
      </c>
      <c r="C456" s="208" t="str">
        <f>IFERROR(__xludf.DUMMYFUNCTION("""COMPUTED_VALUE"""),"Whatsapp")</f>
        <v>Whatsapp</v>
      </c>
      <c r="D456" s="208" t="str">
        <f>IFERROR(__xludf.DUMMYFUNCTION("""COMPUTED_VALUE"""),"Promotional")</f>
        <v>Promotional</v>
      </c>
      <c r="E456" s="208" t="str">
        <f>IFERROR(__xludf.DUMMYFUNCTION("""COMPUTED_VALUE"""),"VS")</f>
        <v>VS</v>
      </c>
      <c r="F456" s="208" t="str">
        <f>IFERROR(__xludf.DUMMYFUNCTION("""COMPUTED_VALUE"""),"Semi-Annual Sale (June) - Stores - All")</f>
        <v>Semi-Annual Sale (June) - Stores - All</v>
      </c>
      <c r="G456" s="208" t="str">
        <f>IFERROR(__xludf.DUMMYFUNCTION("""COMPUTED_VALUE"""),"SAS_Stores_Del_FA")</f>
        <v>SAS_Stores_Del_FA</v>
      </c>
      <c r="H456" s="208" t="str">
        <f>IFERROR(__xludf.DUMMYFUNCTION("""COMPUTED_VALUE"""),"vs_off_pr_97002_1251_16thmarch")</f>
        <v>vs_off_pr_97002_1251_16thmarch</v>
      </c>
      <c r="I456" s="233" t="str">
        <f>IFERROR(__xludf.DUMMYFUNCTION("""COMPUTED_VALUE"""),"Offline Customers who have purchased at lease 1 time in last 36 months from any store in Delhi (97002 - VS AMBIENCE MALL, 1251 - VS ELEGANTE DELHI)")</f>
        <v>Offline Customers who have purchased at lease 1 time in last 36 months from any store in Delhi (97002 - VS AMBIENCE MALL, 1251 - VS ELEGANTE DELHI)</v>
      </c>
      <c r="J456" s="275">
        <f>IFERROR(__xludf.DUMMYFUNCTION("""COMPUTED_VALUE"""),36254.0)</f>
        <v>36254</v>
      </c>
      <c r="K456" s="275">
        <f>IFERROR(__xludf.DUMMYFUNCTION("""COMPUTED_VALUE"""),20706.0)</f>
        <v>20706</v>
      </c>
      <c r="L456" s="276">
        <f>IFERROR(__xludf.DUMMYFUNCTION("""COMPUTED_VALUE"""),0.5704)</f>
        <v>0.5704</v>
      </c>
      <c r="M456" s="275">
        <f>IFERROR(__xludf.DUMMYFUNCTION("""COMPUTED_VALUE"""),4459.0)</f>
        <v>4459</v>
      </c>
      <c r="N456" s="276">
        <f>IFERROR(__xludf.DUMMYFUNCTION("""COMPUTED_VALUE"""),0.2132)</f>
        <v>0.2132</v>
      </c>
      <c r="O456" s="208">
        <f>IFERROR(__xludf.DUMMYFUNCTION("""COMPUTED_VALUE"""),0.0)</f>
        <v>0</v>
      </c>
      <c r="P456" s="208">
        <f>IFERROR(__xludf.DUMMYFUNCTION("""COMPUTED_VALUE"""),0.0)</f>
        <v>0</v>
      </c>
      <c r="Q456" s="276">
        <f>IFERROR(__xludf.DUMMYFUNCTION("""COMPUTED_VALUE"""),0.0)</f>
        <v>0</v>
      </c>
      <c r="R456" s="276">
        <f>IFERROR(__xludf.DUMMYFUNCTION("""COMPUTED_VALUE"""),0.0)</f>
        <v>0</v>
      </c>
      <c r="S456" s="208">
        <f>IFERROR(__xludf.DUMMYFUNCTION("""COMPUTED_VALUE"""),125.0)</f>
        <v>125</v>
      </c>
      <c r="T456" s="208">
        <f>IFERROR(__xludf.DUMMYFUNCTION("""COMPUTED_VALUE"""),0.0)</f>
        <v>0</v>
      </c>
      <c r="U456" s="275">
        <f>IFERROR(__xludf.DUMMYFUNCTION("""COMPUTED_VALUE"""),878914.0)</f>
        <v>878914</v>
      </c>
      <c r="V456" s="208" t="str">
        <f>IFERROR(__xludf.DUMMYFUNCTION("""COMPUTED_VALUE"""),"offline")</f>
        <v>offline</v>
      </c>
      <c r="W456" s="232" t="str">
        <f>IFERROR(__xludf.DUMMYFUNCTION("""COMPUTED_VALUE"""),"simple")</f>
        <v>simple</v>
      </c>
      <c r="X456" s="232" t="str">
        <f>IFERROR(__xludf.DUMMYFUNCTION("""COMPUTED_VALUE"""),"Offline Stores")</f>
        <v>Offline Stores</v>
      </c>
      <c r="Y456" s="232" t="str">
        <f>IFERROR(__xludf.DUMMYFUNCTION("""COMPUTED_VALUE"""),"19th - 21st June")</f>
        <v>19th - 21st June</v>
      </c>
      <c r="Z456" s="232" t="str">
        <f>IFERROR(__xludf.DUMMYFUNCTION("""COMPUTED_VALUE"""),"6a33cb93f9b91249d341916a")</f>
        <v>6a33cb93f9b91249d341916a</v>
      </c>
      <c r="AA456" s="277">
        <f>IFERROR(__xludf.DUMMYFUNCTION("""COMPUTED_VALUE"""),188.0)</f>
        <v>188</v>
      </c>
      <c r="AB456" s="277"/>
      <c r="AC456" s="277">
        <f>IFERROR(__xludf.DUMMYFUNCTION("""COMPUTED_VALUE"""),188.0)</f>
        <v>188</v>
      </c>
      <c r="AD456" s="277">
        <f>IFERROR(__xludf.DUMMYFUNCTION("""COMPUTED_VALUE"""),1453857.0)</f>
        <v>1453857</v>
      </c>
      <c r="AE456" s="277"/>
      <c r="AF456" s="277">
        <f>IFERROR(__xludf.DUMMYFUNCTION("""COMPUTED_VALUE"""),1453857.0)</f>
        <v>1453857</v>
      </c>
      <c r="AG456" s="208"/>
      <c r="AH456" s="208"/>
      <c r="AI456" s="208"/>
      <c r="AJ456" s="208"/>
      <c r="AK456" s="208"/>
    </row>
    <row r="457">
      <c r="A457" s="273">
        <f>IFERROR(__xludf.DUMMYFUNCTION("""COMPUTED_VALUE"""),46192.0)</f>
        <v>46192</v>
      </c>
      <c r="B457" s="274">
        <f>IFERROR(__xludf.DUMMYFUNCTION("""COMPUTED_VALUE"""),0.3645833333321207)</f>
        <v>0.3645833333</v>
      </c>
      <c r="C457" s="208" t="str">
        <f>IFERROR(__xludf.DUMMYFUNCTION("""COMPUTED_VALUE"""),"Whatsapp")</f>
        <v>Whatsapp</v>
      </c>
      <c r="D457" s="208" t="str">
        <f>IFERROR(__xludf.DUMMYFUNCTION("""COMPUTED_VALUE"""),"Promotional")</f>
        <v>Promotional</v>
      </c>
      <c r="E457" s="208" t="str">
        <f>IFERROR(__xludf.DUMMYFUNCTION("""COMPUTED_VALUE"""),"VS")</f>
        <v>VS</v>
      </c>
      <c r="F457" s="208" t="str">
        <f>IFERROR(__xludf.DUMMYFUNCTION("""COMPUTED_VALUE"""),"Semi-Annual Sale (June) - Stores - All")</f>
        <v>Semi-Annual Sale (June) - Stores - All</v>
      </c>
      <c r="G457" s="208" t="str">
        <f>IFERROR(__xludf.DUMMYFUNCTION("""COMPUTED_VALUE"""),"SAS_Stores_GGN_FA")</f>
        <v>SAS_Stores_GGN_FA</v>
      </c>
      <c r="H457" s="208" t="str">
        <f>IFERROR(__xludf.DUMMYFUNCTION("""COMPUTED_VALUE"""),"vs_off_pr_97003_16thmarch")</f>
        <v>vs_off_pr_97003_16thmarch</v>
      </c>
      <c r="I457" s="233" t="str">
        <f>IFERROR(__xludf.DUMMYFUNCTION("""COMPUTED_VALUE"""),"Offline Customers who have purchased at lease 1 time in last 36 months from any store in Gurgaon (97003 - VS AMBIENCE GURGAON MALL)")</f>
        <v>Offline Customers who have purchased at lease 1 time in last 36 months from any store in Gurgaon (97003 - VS AMBIENCE GURGAON MALL)</v>
      </c>
      <c r="J457" s="275">
        <f>IFERROR(__xludf.DUMMYFUNCTION("""COMPUTED_VALUE"""),34828.0)</f>
        <v>34828</v>
      </c>
      <c r="K457" s="275">
        <f>IFERROR(__xludf.DUMMYFUNCTION("""COMPUTED_VALUE"""),20282.0)</f>
        <v>20282</v>
      </c>
      <c r="L457" s="276">
        <f>IFERROR(__xludf.DUMMYFUNCTION("""COMPUTED_VALUE"""),0.5819)</f>
        <v>0.5819</v>
      </c>
      <c r="M457" s="275">
        <f>IFERROR(__xludf.DUMMYFUNCTION("""COMPUTED_VALUE"""),4512.0)</f>
        <v>4512</v>
      </c>
      <c r="N457" s="276">
        <f>IFERROR(__xludf.DUMMYFUNCTION("""COMPUTED_VALUE"""),0.2192)</f>
        <v>0.2192</v>
      </c>
      <c r="O457" s="208">
        <f>IFERROR(__xludf.DUMMYFUNCTION("""COMPUTED_VALUE"""),0.0)</f>
        <v>0</v>
      </c>
      <c r="P457" s="208">
        <f>IFERROR(__xludf.DUMMYFUNCTION("""COMPUTED_VALUE"""),0.0)</f>
        <v>0</v>
      </c>
      <c r="Q457" s="276">
        <f>IFERROR(__xludf.DUMMYFUNCTION("""COMPUTED_VALUE"""),0.0)</f>
        <v>0</v>
      </c>
      <c r="R457" s="276">
        <f>IFERROR(__xludf.DUMMYFUNCTION("""COMPUTED_VALUE"""),0.0)</f>
        <v>0</v>
      </c>
      <c r="S457" s="208">
        <f>IFERROR(__xludf.DUMMYFUNCTION("""COMPUTED_VALUE"""),114.0)</f>
        <v>114</v>
      </c>
      <c r="T457" s="208">
        <f>IFERROR(__xludf.DUMMYFUNCTION("""COMPUTED_VALUE"""),0.0)</f>
        <v>0</v>
      </c>
      <c r="U457" s="275">
        <f>IFERROR(__xludf.DUMMYFUNCTION("""COMPUTED_VALUE"""),1051988.0)</f>
        <v>1051988</v>
      </c>
      <c r="V457" s="208" t="str">
        <f>IFERROR(__xludf.DUMMYFUNCTION("""COMPUTED_VALUE"""),"offline")</f>
        <v>offline</v>
      </c>
      <c r="W457" s="232" t="str">
        <f>IFERROR(__xludf.DUMMYFUNCTION("""COMPUTED_VALUE"""),"simple")</f>
        <v>simple</v>
      </c>
      <c r="X457" s="232" t="str">
        <f>IFERROR(__xludf.DUMMYFUNCTION("""COMPUTED_VALUE"""),"Offline Stores")</f>
        <v>Offline Stores</v>
      </c>
      <c r="Y457" s="232" t="str">
        <f>IFERROR(__xludf.DUMMYFUNCTION("""COMPUTED_VALUE"""),"19th - 21st June")</f>
        <v>19th - 21st June</v>
      </c>
      <c r="Z457" s="232" t="str">
        <f>IFERROR(__xludf.DUMMYFUNCTION("""COMPUTED_VALUE"""),"6a33ce22194adfdc137461df")</f>
        <v>6a33ce22194adfdc137461df</v>
      </c>
      <c r="AA457" s="277">
        <f>IFERROR(__xludf.DUMMYFUNCTION("""COMPUTED_VALUE"""),178.0)</f>
        <v>178</v>
      </c>
      <c r="AB457" s="277"/>
      <c r="AC457" s="277">
        <f>IFERROR(__xludf.DUMMYFUNCTION("""COMPUTED_VALUE"""),178.0)</f>
        <v>178</v>
      </c>
      <c r="AD457" s="277">
        <f>IFERROR(__xludf.DUMMYFUNCTION("""COMPUTED_VALUE"""),1429452.0)</f>
        <v>1429452</v>
      </c>
      <c r="AE457" s="277"/>
      <c r="AF457" s="277">
        <f>IFERROR(__xludf.DUMMYFUNCTION("""COMPUTED_VALUE"""),1429452.0)</f>
        <v>1429452</v>
      </c>
      <c r="AG457" s="208"/>
      <c r="AH457" s="208"/>
      <c r="AI457" s="208"/>
      <c r="AJ457" s="208"/>
      <c r="AK457" s="208"/>
    </row>
    <row r="458">
      <c r="A458" s="273">
        <f>IFERROR(__xludf.DUMMYFUNCTION("""COMPUTED_VALUE"""),46192.0)</f>
        <v>46192</v>
      </c>
      <c r="B458" s="274">
        <f>IFERROR(__xludf.DUMMYFUNCTION("""COMPUTED_VALUE"""),0.3680555555547471)</f>
        <v>0.3680555556</v>
      </c>
      <c r="C458" s="208" t="str">
        <f>IFERROR(__xludf.DUMMYFUNCTION("""COMPUTED_VALUE"""),"Whatsapp")</f>
        <v>Whatsapp</v>
      </c>
      <c r="D458" s="208" t="str">
        <f>IFERROR(__xludf.DUMMYFUNCTION("""COMPUTED_VALUE"""),"Promotional")</f>
        <v>Promotional</v>
      </c>
      <c r="E458" s="208" t="str">
        <f>IFERROR(__xludf.DUMMYFUNCTION("""COMPUTED_VALUE"""),"VS")</f>
        <v>VS</v>
      </c>
      <c r="F458" s="208" t="str">
        <f>IFERROR(__xludf.DUMMYFUNCTION("""COMPUTED_VALUE"""),"Semi-Annual Sale (June) - Stores - All")</f>
        <v>Semi-Annual Sale (June) - Stores - All</v>
      </c>
      <c r="G458" s="208" t="str">
        <f>IFERROR(__xludf.DUMMYFUNCTION("""COMPUTED_VALUE"""),"SAS_Stores_BLR_FA")</f>
        <v>SAS_Stores_BLR_FA</v>
      </c>
      <c r="H458" s="208" t="str">
        <f>IFERROR(__xludf.DUMMYFUNCTION("""COMPUTED_VALUE"""),"vs_off_pr_FA_97004_1273_16thmarch")</f>
        <v>vs_off_pr_FA_97004_1273_16thmarch</v>
      </c>
      <c r="I458" s="233" t="str">
        <f>IFERROR(__xludf.DUMMYFUNCTION("""COMPUTED_VALUE"""),"Offline Customers who have purchased at lease 1 time in last 36 months from any store in Bangalore; (97004 - VS MALL OF ASIA, 1273 - VS ORION BANGALORE)")</f>
        <v>Offline Customers who have purchased at lease 1 time in last 36 months from any store in Bangalore; (97004 - VS MALL OF ASIA, 1273 - VS ORION BANGALORE)</v>
      </c>
      <c r="J458" s="275">
        <f>IFERROR(__xludf.DUMMYFUNCTION("""COMPUTED_VALUE"""),27739.0)</f>
        <v>27739</v>
      </c>
      <c r="K458" s="275">
        <f>IFERROR(__xludf.DUMMYFUNCTION("""COMPUTED_VALUE"""),16565.0)</f>
        <v>16565</v>
      </c>
      <c r="L458" s="276">
        <f>IFERROR(__xludf.DUMMYFUNCTION("""COMPUTED_VALUE"""),0.5965)</f>
        <v>0.5965</v>
      </c>
      <c r="M458" s="275">
        <f>IFERROR(__xludf.DUMMYFUNCTION("""COMPUTED_VALUE"""),4097.0)</f>
        <v>4097</v>
      </c>
      <c r="N458" s="276">
        <f>IFERROR(__xludf.DUMMYFUNCTION("""COMPUTED_VALUE"""),0.2454)</f>
        <v>0.2454</v>
      </c>
      <c r="O458" s="208">
        <f>IFERROR(__xludf.DUMMYFUNCTION("""COMPUTED_VALUE"""),0.0)</f>
        <v>0</v>
      </c>
      <c r="P458" s="208">
        <f>IFERROR(__xludf.DUMMYFUNCTION("""COMPUTED_VALUE"""),0.0)</f>
        <v>0</v>
      </c>
      <c r="Q458" s="276">
        <f>IFERROR(__xludf.DUMMYFUNCTION("""COMPUTED_VALUE"""),0.0)</f>
        <v>0</v>
      </c>
      <c r="R458" s="276">
        <f>IFERROR(__xludf.DUMMYFUNCTION("""COMPUTED_VALUE"""),0.0)</f>
        <v>0</v>
      </c>
      <c r="S458" s="208">
        <f>IFERROR(__xludf.DUMMYFUNCTION("""COMPUTED_VALUE"""),75.0)</f>
        <v>75</v>
      </c>
      <c r="T458" s="208">
        <f>IFERROR(__xludf.DUMMYFUNCTION("""COMPUTED_VALUE"""),0.0)</f>
        <v>0</v>
      </c>
      <c r="U458" s="275">
        <f>IFERROR(__xludf.DUMMYFUNCTION("""COMPUTED_VALUE"""),549086.0)</f>
        <v>549086</v>
      </c>
      <c r="V458" s="208" t="str">
        <f>IFERROR(__xludf.DUMMYFUNCTION("""COMPUTED_VALUE"""),"offline")</f>
        <v>offline</v>
      </c>
      <c r="W458" s="232" t="str">
        <f>IFERROR(__xludf.DUMMYFUNCTION("""COMPUTED_VALUE"""),"simple")</f>
        <v>simple</v>
      </c>
      <c r="X458" s="232" t="str">
        <f>IFERROR(__xludf.DUMMYFUNCTION("""COMPUTED_VALUE"""),"Offline Stores")</f>
        <v>Offline Stores</v>
      </c>
      <c r="Y458" s="232" t="str">
        <f>IFERROR(__xludf.DUMMYFUNCTION("""COMPUTED_VALUE"""),"19th - 21st June")</f>
        <v>19th - 21st June</v>
      </c>
      <c r="Z458" s="232" t="str">
        <f>IFERROR(__xludf.DUMMYFUNCTION("""COMPUTED_VALUE"""),"6a33ce948e0df7ccb05f3b7a")</f>
        <v>6a33ce948e0df7ccb05f3b7a</v>
      </c>
      <c r="AA458" s="277">
        <f>IFERROR(__xludf.DUMMYFUNCTION("""COMPUTED_VALUE"""),110.0)</f>
        <v>110</v>
      </c>
      <c r="AB458" s="277"/>
      <c r="AC458" s="277">
        <f>IFERROR(__xludf.DUMMYFUNCTION("""COMPUTED_VALUE"""),110.0)</f>
        <v>110</v>
      </c>
      <c r="AD458" s="277">
        <f>IFERROR(__xludf.DUMMYFUNCTION("""COMPUTED_VALUE"""),712393.0)</f>
        <v>712393</v>
      </c>
      <c r="AE458" s="277"/>
      <c r="AF458" s="277">
        <f>IFERROR(__xludf.DUMMYFUNCTION("""COMPUTED_VALUE"""),712393.0)</f>
        <v>712393</v>
      </c>
      <c r="AG458" s="208"/>
      <c r="AH458" s="208"/>
      <c r="AI458" s="208"/>
      <c r="AJ458" s="208"/>
      <c r="AK458" s="208"/>
    </row>
    <row r="459">
      <c r="A459" s="273">
        <f>IFERROR(__xludf.DUMMYFUNCTION("""COMPUTED_VALUE"""),46192.0)</f>
        <v>46192</v>
      </c>
      <c r="B459" s="274">
        <f>IFERROR(__xludf.DUMMYFUNCTION("""COMPUTED_VALUE"""),0.37152777777737356)</f>
        <v>0.3715277778</v>
      </c>
      <c r="C459" s="208" t="str">
        <f>IFERROR(__xludf.DUMMYFUNCTION("""COMPUTED_VALUE"""),"Whatsapp")</f>
        <v>Whatsapp</v>
      </c>
      <c r="D459" s="208" t="str">
        <f>IFERROR(__xludf.DUMMYFUNCTION("""COMPUTED_VALUE"""),"Promotional")</f>
        <v>Promotional</v>
      </c>
      <c r="E459" s="208" t="str">
        <f>IFERROR(__xludf.DUMMYFUNCTION("""COMPUTED_VALUE"""),"VS")</f>
        <v>VS</v>
      </c>
      <c r="F459" s="208" t="str">
        <f>IFERROR(__xludf.DUMMYFUNCTION("""COMPUTED_VALUE"""),"Semi-Annual Sale (June) - Stores - All")</f>
        <v>Semi-Annual Sale (June) - Stores - All</v>
      </c>
      <c r="G459" s="208" t="str">
        <f>IFERROR(__xludf.DUMMYFUNCTION("""COMPUTED_VALUE"""),"SAS_Stores_BLR_BA")</f>
        <v>SAS_Stores_BLR_BA</v>
      </c>
      <c r="H459" s="208" t="str">
        <f>IFERROR(__xludf.DUMMYFUNCTION("""COMPUTED_VALUE"""),"vs_off_pr_FA_97012_16thmarch")</f>
        <v>vs_off_pr_FA_97012_16thmarch</v>
      </c>
      <c r="I459" s="233" t="str">
        <f>IFERROR(__xludf.DUMMYFUNCTION("""COMPUTED_VALUE"""),"Offline Customers who have purchased at lease 1 time in last 36 months from any store in Bangalore; 97012 - VS NEXUS MALL KORAMANGALA")</f>
        <v>Offline Customers who have purchased at lease 1 time in last 36 months from any store in Bangalore; 97012 - VS NEXUS MALL KORAMANGALA</v>
      </c>
      <c r="J459" s="275">
        <f>IFERROR(__xludf.DUMMYFUNCTION("""COMPUTED_VALUE"""),8469.0)</f>
        <v>8469</v>
      </c>
      <c r="K459" s="275">
        <f>IFERROR(__xludf.DUMMYFUNCTION("""COMPUTED_VALUE"""),5308.0)</f>
        <v>5308</v>
      </c>
      <c r="L459" s="276">
        <f>IFERROR(__xludf.DUMMYFUNCTION("""COMPUTED_VALUE"""),0.6258)</f>
        <v>0.6258</v>
      </c>
      <c r="M459" s="275">
        <f>IFERROR(__xludf.DUMMYFUNCTION("""COMPUTED_VALUE"""),1223.0)</f>
        <v>1223</v>
      </c>
      <c r="N459" s="276">
        <f>IFERROR(__xludf.DUMMYFUNCTION("""COMPUTED_VALUE"""),0.2277)</f>
        <v>0.2277</v>
      </c>
      <c r="O459" s="208">
        <f>IFERROR(__xludf.DUMMYFUNCTION("""COMPUTED_VALUE"""),0.0)</f>
        <v>0</v>
      </c>
      <c r="P459" s="208">
        <f>IFERROR(__xludf.DUMMYFUNCTION("""COMPUTED_VALUE"""),0.0)</f>
        <v>0</v>
      </c>
      <c r="Q459" s="276">
        <f>IFERROR(__xludf.DUMMYFUNCTION("""COMPUTED_VALUE"""),0.0)</f>
        <v>0</v>
      </c>
      <c r="R459" s="276">
        <f>IFERROR(__xludf.DUMMYFUNCTION("""COMPUTED_VALUE"""),0.0)</f>
        <v>0</v>
      </c>
      <c r="S459" s="208">
        <f>IFERROR(__xludf.DUMMYFUNCTION("""COMPUTED_VALUE"""),14.0)</f>
        <v>14</v>
      </c>
      <c r="T459" s="208">
        <f>IFERROR(__xludf.DUMMYFUNCTION("""COMPUTED_VALUE"""),0.0)</f>
        <v>0</v>
      </c>
      <c r="U459" s="275">
        <f>IFERROR(__xludf.DUMMYFUNCTION("""COMPUTED_VALUE"""),82187.0)</f>
        <v>82187</v>
      </c>
      <c r="V459" s="208" t="str">
        <f>IFERROR(__xludf.DUMMYFUNCTION("""COMPUTED_VALUE"""),"offline")</f>
        <v>offline</v>
      </c>
      <c r="W459" s="232" t="str">
        <f>IFERROR(__xludf.DUMMYFUNCTION("""COMPUTED_VALUE"""),"simple")</f>
        <v>simple</v>
      </c>
      <c r="X459" s="232" t="str">
        <f>IFERROR(__xludf.DUMMYFUNCTION("""COMPUTED_VALUE"""),"Offline Stores")</f>
        <v>Offline Stores</v>
      </c>
      <c r="Y459" s="232" t="str">
        <f>IFERROR(__xludf.DUMMYFUNCTION("""COMPUTED_VALUE"""),"19th - 21st June")</f>
        <v>19th - 21st June</v>
      </c>
      <c r="Z459" s="232" t="str">
        <f>IFERROR(__xludf.DUMMYFUNCTION("""COMPUTED_VALUE"""),"6a33cece97bbde1d505033b7")</f>
        <v>6a33cece97bbde1d505033b7</v>
      </c>
      <c r="AA459" s="277">
        <f>IFERROR(__xludf.DUMMYFUNCTION("""COMPUTED_VALUE"""),30.0)</f>
        <v>30</v>
      </c>
      <c r="AB459" s="277"/>
      <c r="AC459" s="277">
        <f>IFERROR(__xludf.DUMMYFUNCTION("""COMPUTED_VALUE"""),30.0)</f>
        <v>30</v>
      </c>
      <c r="AD459" s="277">
        <f>IFERROR(__xludf.DUMMYFUNCTION("""COMPUTED_VALUE"""),216238.0)</f>
        <v>216238</v>
      </c>
      <c r="AE459" s="277"/>
      <c r="AF459" s="277">
        <f>IFERROR(__xludf.DUMMYFUNCTION("""COMPUTED_VALUE"""),216238.0)</f>
        <v>216238</v>
      </c>
      <c r="AG459" s="208"/>
      <c r="AH459" s="208"/>
      <c r="AI459" s="208"/>
      <c r="AJ459" s="208"/>
      <c r="AK459" s="208"/>
    </row>
    <row r="460">
      <c r="A460" s="273">
        <f>IFERROR(__xludf.DUMMYFUNCTION("""COMPUTED_VALUE"""),46192.0)</f>
        <v>46192</v>
      </c>
      <c r="B460" s="274">
        <f>IFERROR(__xludf.DUMMYFUNCTION("""COMPUTED_VALUE"""),0.375)</f>
        <v>0.375</v>
      </c>
      <c r="C460" s="208" t="str">
        <f>IFERROR(__xludf.DUMMYFUNCTION("""COMPUTED_VALUE"""),"Whatsapp")</f>
        <v>Whatsapp</v>
      </c>
      <c r="D460" s="208" t="str">
        <f>IFERROR(__xludf.DUMMYFUNCTION("""COMPUTED_VALUE"""),"Promotional")</f>
        <v>Promotional</v>
      </c>
      <c r="E460" s="208" t="str">
        <f>IFERROR(__xludf.DUMMYFUNCTION("""COMPUTED_VALUE"""),"VS")</f>
        <v>VS</v>
      </c>
      <c r="F460" s="208" t="str">
        <f>IFERROR(__xludf.DUMMYFUNCTION("""COMPUTED_VALUE"""),"Semi-Annual Sale (June) - Stores - All")</f>
        <v>Semi-Annual Sale (June) - Stores - All</v>
      </c>
      <c r="G460" s="208" t="str">
        <f>IFERROR(__xludf.DUMMYFUNCTION("""COMPUTED_VALUE"""),"SAS_Stores_Pun_BA")</f>
        <v>SAS_Stores_Pun_BA</v>
      </c>
      <c r="H460" s="208" t="str">
        <f>IFERROR(__xludf.DUMMYFUNCTION("""COMPUTED_VALUE"""),"vs_off_pr_97005_97007_16thmarch")</f>
        <v>vs_off_pr_97005_97007_16thmarch</v>
      </c>
      <c r="I460" s="233" t="str">
        <f>IFERROR(__xludf.DUMMYFUNCTION("""COMPUTED_VALUE"""),"Offline Customers who have purchased at lease 1 time in last 36 months from any store in Pune (97005 - VS MALL OF MILLENNIUM, 97007 - VS KOPA MALL PUNE)")</f>
        <v>Offline Customers who have purchased at lease 1 time in last 36 months from any store in Pune (97005 - VS MALL OF MILLENNIUM, 97007 - VS KOPA MALL PUNE)</v>
      </c>
      <c r="J460" s="275">
        <f>IFERROR(__xludf.DUMMYFUNCTION("""COMPUTED_VALUE"""),17821.0)</f>
        <v>17821</v>
      </c>
      <c r="K460" s="275">
        <f>IFERROR(__xludf.DUMMYFUNCTION("""COMPUTED_VALUE"""),10899.0)</f>
        <v>10899</v>
      </c>
      <c r="L460" s="276">
        <f>IFERROR(__xludf.DUMMYFUNCTION("""COMPUTED_VALUE"""),0.6105)</f>
        <v>0.6105</v>
      </c>
      <c r="M460" s="275">
        <f>IFERROR(__xludf.DUMMYFUNCTION("""COMPUTED_VALUE"""),2920.0)</f>
        <v>2920</v>
      </c>
      <c r="N460" s="276">
        <f>IFERROR(__xludf.DUMMYFUNCTION("""COMPUTED_VALUE"""),0.2641)</f>
        <v>0.2641</v>
      </c>
      <c r="O460" s="208">
        <f>IFERROR(__xludf.DUMMYFUNCTION("""COMPUTED_VALUE"""),0.0)</f>
        <v>0</v>
      </c>
      <c r="P460" s="208">
        <f>IFERROR(__xludf.DUMMYFUNCTION("""COMPUTED_VALUE"""),0.0)</f>
        <v>0</v>
      </c>
      <c r="Q460" s="276">
        <f>IFERROR(__xludf.DUMMYFUNCTION("""COMPUTED_VALUE"""),0.0)</f>
        <v>0</v>
      </c>
      <c r="R460" s="276">
        <f>IFERROR(__xludf.DUMMYFUNCTION("""COMPUTED_VALUE"""),0.0)</f>
        <v>0</v>
      </c>
      <c r="S460" s="208">
        <f>IFERROR(__xludf.DUMMYFUNCTION("""COMPUTED_VALUE"""),45.0)</f>
        <v>45</v>
      </c>
      <c r="T460" s="208">
        <f>IFERROR(__xludf.DUMMYFUNCTION("""COMPUTED_VALUE"""),0.0)</f>
        <v>0</v>
      </c>
      <c r="U460" s="275">
        <f>IFERROR(__xludf.DUMMYFUNCTION("""COMPUTED_VALUE"""),247457.0)</f>
        <v>247457</v>
      </c>
      <c r="V460" s="208" t="str">
        <f>IFERROR(__xludf.DUMMYFUNCTION("""COMPUTED_VALUE"""),"offline")</f>
        <v>offline</v>
      </c>
      <c r="W460" s="232" t="str">
        <f>IFERROR(__xludf.DUMMYFUNCTION("""COMPUTED_VALUE"""),"simple")</f>
        <v>simple</v>
      </c>
      <c r="X460" s="232" t="str">
        <f>IFERROR(__xludf.DUMMYFUNCTION("""COMPUTED_VALUE"""),"Offline Stores")</f>
        <v>Offline Stores</v>
      </c>
      <c r="Y460" s="232" t="str">
        <f>IFERROR(__xludf.DUMMYFUNCTION("""COMPUTED_VALUE"""),"19th - 21st June")</f>
        <v>19th - 21st June</v>
      </c>
      <c r="Z460" s="232" t="str">
        <f>IFERROR(__xludf.DUMMYFUNCTION("""COMPUTED_VALUE"""),"6a33d03a9c4edc7da7690d06")</f>
        <v>6a33d03a9c4edc7da7690d06</v>
      </c>
      <c r="AA460" s="277">
        <f>IFERROR(__xludf.DUMMYFUNCTION("""COMPUTED_VALUE"""),85.0)</f>
        <v>85</v>
      </c>
      <c r="AB460" s="277"/>
      <c r="AC460" s="277">
        <f>IFERROR(__xludf.DUMMYFUNCTION("""COMPUTED_VALUE"""),85.0)</f>
        <v>85</v>
      </c>
      <c r="AD460" s="277">
        <f>IFERROR(__xludf.DUMMYFUNCTION("""COMPUTED_VALUE"""),555250.0)</f>
        <v>555250</v>
      </c>
      <c r="AE460" s="277"/>
      <c r="AF460" s="277">
        <f>IFERROR(__xludf.DUMMYFUNCTION("""COMPUTED_VALUE"""),555250.0)</f>
        <v>555250</v>
      </c>
      <c r="AG460" s="208"/>
      <c r="AH460" s="208"/>
      <c r="AI460" s="208"/>
      <c r="AJ460" s="208"/>
      <c r="AK460" s="208"/>
    </row>
    <row r="461">
      <c r="A461" s="273">
        <f>IFERROR(__xludf.DUMMYFUNCTION("""COMPUTED_VALUE"""),46192.0)</f>
        <v>46192</v>
      </c>
      <c r="B461" s="274">
        <f>IFERROR(__xludf.DUMMYFUNCTION("""COMPUTED_VALUE"""),0.37847222222262644)</f>
        <v>0.3784722222</v>
      </c>
      <c r="C461" s="208" t="str">
        <f>IFERROR(__xludf.DUMMYFUNCTION("""COMPUTED_VALUE"""),"Whatsapp")</f>
        <v>Whatsapp</v>
      </c>
      <c r="D461" s="208" t="str">
        <f>IFERROR(__xludf.DUMMYFUNCTION("""COMPUTED_VALUE"""),"Promotional")</f>
        <v>Promotional</v>
      </c>
      <c r="E461" s="208" t="str">
        <f>IFERROR(__xludf.DUMMYFUNCTION("""COMPUTED_VALUE"""),"VS")</f>
        <v>VS</v>
      </c>
      <c r="F461" s="208" t="str">
        <f>IFERROR(__xludf.DUMMYFUNCTION("""COMPUTED_VALUE"""),"Semi-Annual Sale (June) - Stores - All")</f>
        <v>Semi-Annual Sale (June) - Stores - All</v>
      </c>
      <c r="G461" s="208" t="str">
        <f>IFERROR(__xludf.DUMMYFUNCTION("""COMPUTED_VALUE"""),"SAS_Stores_Raipur_BA")</f>
        <v>SAS_Stores_Raipur_BA</v>
      </c>
      <c r="H461" s="208" t="str">
        <f>IFERROR(__xludf.DUMMYFUNCTION("""COMPUTED_VALUE"""),"vs_off_pr_1271_16thmarch")</f>
        <v>vs_off_pr_1271_16thmarch</v>
      </c>
      <c r="I461" s="233" t="str">
        <f>IFERROR(__xludf.DUMMYFUNCTION("""COMPUTED_VALUE"""),"Offline Customers who have purchased at lease 1 time in last 36 months from any store in Raipur (1271 - VS BA ZORA RAIPUR)")</f>
        <v>Offline Customers who have purchased at lease 1 time in last 36 months from any store in Raipur (1271 - VS BA ZORA RAIPUR)</v>
      </c>
      <c r="J461" s="275">
        <f>IFERROR(__xludf.DUMMYFUNCTION("""COMPUTED_VALUE"""),2049.0)</f>
        <v>2049</v>
      </c>
      <c r="K461" s="275">
        <f>IFERROR(__xludf.DUMMYFUNCTION("""COMPUTED_VALUE"""),1019.0)</f>
        <v>1019</v>
      </c>
      <c r="L461" s="276">
        <f>IFERROR(__xludf.DUMMYFUNCTION("""COMPUTED_VALUE"""),0.4968)</f>
        <v>0.4968</v>
      </c>
      <c r="M461" s="275">
        <f>IFERROR(__xludf.DUMMYFUNCTION("""COMPUTED_VALUE"""),276.0)</f>
        <v>276</v>
      </c>
      <c r="N461" s="276">
        <f>IFERROR(__xludf.DUMMYFUNCTION("""COMPUTED_VALUE"""),0.2672)</f>
        <v>0.2672</v>
      </c>
      <c r="O461" s="208">
        <f>IFERROR(__xludf.DUMMYFUNCTION("""COMPUTED_VALUE"""),0.0)</f>
        <v>0</v>
      </c>
      <c r="P461" s="208">
        <f>IFERROR(__xludf.DUMMYFUNCTION("""COMPUTED_VALUE"""),0.0)</f>
        <v>0</v>
      </c>
      <c r="Q461" s="276">
        <f>IFERROR(__xludf.DUMMYFUNCTION("""COMPUTED_VALUE"""),0.0)</f>
        <v>0</v>
      </c>
      <c r="R461" s="276">
        <f>IFERROR(__xludf.DUMMYFUNCTION("""COMPUTED_VALUE"""),0.0)</f>
        <v>0</v>
      </c>
      <c r="S461" s="208">
        <f>IFERROR(__xludf.DUMMYFUNCTION("""COMPUTED_VALUE"""),4.0)</f>
        <v>4</v>
      </c>
      <c r="T461" s="208">
        <f>IFERROR(__xludf.DUMMYFUNCTION("""COMPUTED_VALUE"""),0.0)</f>
        <v>0</v>
      </c>
      <c r="U461" s="275">
        <f>IFERROR(__xludf.DUMMYFUNCTION("""COMPUTED_VALUE"""),32194.0)</f>
        <v>32194</v>
      </c>
      <c r="V461" s="208" t="str">
        <f>IFERROR(__xludf.DUMMYFUNCTION("""COMPUTED_VALUE"""),"offline")</f>
        <v>offline</v>
      </c>
      <c r="W461" s="232" t="str">
        <f>IFERROR(__xludf.DUMMYFUNCTION("""COMPUTED_VALUE"""),"simple")</f>
        <v>simple</v>
      </c>
      <c r="X461" s="232" t="str">
        <f>IFERROR(__xludf.DUMMYFUNCTION("""COMPUTED_VALUE"""),"Offline Stores")</f>
        <v>Offline Stores</v>
      </c>
      <c r="Y461" s="232" t="str">
        <f>IFERROR(__xludf.DUMMYFUNCTION("""COMPUTED_VALUE"""),"19th - 21st June")</f>
        <v>19th - 21st June</v>
      </c>
      <c r="Z461" s="232" t="str">
        <f>IFERROR(__xludf.DUMMYFUNCTION("""COMPUTED_VALUE"""),"6a33d0844702666afddfc0ff")</f>
        <v>6a33d0844702666afddfc0ff</v>
      </c>
      <c r="AA461" s="277">
        <f>IFERROR(__xludf.DUMMYFUNCTION("""COMPUTED_VALUE"""),9.0)</f>
        <v>9</v>
      </c>
      <c r="AB461" s="277"/>
      <c r="AC461" s="277">
        <f>IFERROR(__xludf.DUMMYFUNCTION("""COMPUTED_VALUE"""),9.0)</f>
        <v>9</v>
      </c>
      <c r="AD461" s="277">
        <f>IFERROR(__xludf.DUMMYFUNCTION("""COMPUTED_VALUE"""),112475.0)</f>
        <v>112475</v>
      </c>
      <c r="AE461" s="277"/>
      <c r="AF461" s="277">
        <f>IFERROR(__xludf.DUMMYFUNCTION("""COMPUTED_VALUE"""),112475.0)</f>
        <v>112475</v>
      </c>
      <c r="AG461" s="208"/>
      <c r="AH461" s="208"/>
      <c r="AI461" s="208"/>
      <c r="AJ461" s="208"/>
      <c r="AK461" s="208"/>
    </row>
    <row r="462">
      <c r="A462" s="273">
        <f>IFERROR(__xludf.DUMMYFUNCTION("""COMPUTED_VALUE"""),46192.0)</f>
        <v>46192</v>
      </c>
      <c r="B462" s="274">
        <f>IFERROR(__xludf.DUMMYFUNCTION("""COMPUTED_VALUE"""),0.3819444444452529)</f>
        <v>0.3819444444</v>
      </c>
      <c r="C462" s="208" t="str">
        <f>IFERROR(__xludf.DUMMYFUNCTION("""COMPUTED_VALUE"""),"Whatsapp")</f>
        <v>Whatsapp</v>
      </c>
      <c r="D462" s="208" t="str">
        <f>IFERROR(__xludf.DUMMYFUNCTION("""COMPUTED_VALUE"""),"Promotional")</f>
        <v>Promotional</v>
      </c>
      <c r="E462" s="208" t="str">
        <f>IFERROR(__xludf.DUMMYFUNCTION("""COMPUTED_VALUE"""),"VS")</f>
        <v>VS</v>
      </c>
      <c r="F462" s="208" t="str">
        <f>IFERROR(__xludf.DUMMYFUNCTION("""COMPUTED_VALUE"""),"Semi-Annual Sale (June) - Stores - All")</f>
        <v>Semi-Annual Sale (June) - Stores - All</v>
      </c>
      <c r="G462" s="208" t="str">
        <f>IFERROR(__xludf.DUMMYFUNCTION("""COMPUTED_VALUE"""),"SAS_Stores_LKN_BA")</f>
        <v>SAS_Stores_LKN_BA</v>
      </c>
      <c r="H462" s="208" t="str">
        <f>IFERROR(__xludf.DUMMYFUNCTION("""COMPUTED_VALUE"""),"vs_off_pr_1225_16thmarch")</f>
        <v>vs_off_pr_1225_16thmarch</v>
      </c>
      <c r="I462" s="233" t="str">
        <f>IFERROR(__xludf.DUMMYFUNCTION("""COMPUTED_VALUE"""),"Offline Customers who have purchased at lease 1 time in last 36 months from any store in Lucknow (1225 - VS BA PALASSIO LUCKNOW)")</f>
        <v>Offline Customers who have purchased at lease 1 time in last 36 months from any store in Lucknow (1225 - VS BA PALASSIO LUCKNOW)</v>
      </c>
      <c r="J462" s="275">
        <f>IFERROR(__xludf.DUMMYFUNCTION("""COMPUTED_VALUE"""),2500.0)</f>
        <v>2500</v>
      </c>
      <c r="K462" s="275">
        <f>IFERROR(__xludf.DUMMYFUNCTION("""COMPUTED_VALUE"""),1524.0)</f>
        <v>1524</v>
      </c>
      <c r="L462" s="276">
        <f>IFERROR(__xludf.DUMMYFUNCTION("""COMPUTED_VALUE"""),0.6084)</f>
        <v>0.6084</v>
      </c>
      <c r="M462" s="275">
        <f>IFERROR(__xludf.DUMMYFUNCTION("""COMPUTED_VALUE"""),434.0)</f>
        <v>434</v>
      </c>
      <c r="N462" s="276">
        <f>IFERROR(__xludf.DUMMYFUNCTION("""COMPUTED_VALUE"""),0.2774)</f>
        <v>0.2774</v>
      </c>
      <c r="O462" s="208">
        <f>IFERROR(__xludf.DUMMYFUNCTION("""COMPUTED_VALUE"""),0.0)</f>
        <v>0</v>
      </c>
      <c r="P462" s="208">
        <f>IFERROR(__xludf.DUMMYFUNCTION("""COMPUTED_VALUE"""),0.0)</f>
        <v>0</v>
      </c>
      <c r="Q462" s="276">
        <f>IFERROR(__xludf.DUMMYFUNCTION("""COMPUTED_VALUE"""),0.0)</f>
        <v>0</v>
      </c>
      <c r="R462" s="276">
        <f>IFERROR(__xludf.DUMMYFUNCTION("""COMPUTED_VALUE"""),0.0)</f>
        <v>0</v>
      </c>
      <c r="S462" s="208">
        <f>IFERROR(__xludf.DUMMYFUNCTION("""COMPUTED_VALUE"""),5.0)</f>
        <v>5</v>
      </c>
      <c r="T462" s="208">
        <f>IFERROR(__xludf.DUMMYFUNCTION("""COMPUTED_VALUE"""),0.0)</f>
        <v>0</v>
      </c>
      <c r="U462" s="275">
        <f>IFERROR(__xludf.DUMMYFUNCTION("""COMPUTED_VALUE"""),38443.0)</f>
        <v>38443</v>
      </c>
      <c r="V462" s="208" t="str">
        <f>IFERROR(__xludf.DUMMYFUNCTION("""COMPUTED_VALUE"""),"offline")</f>
        <v>offline</v>
      </c>
      <c r="W462" s="232" t="str">
        <f>IFERROR(__xludf.DUMMYFUNCTION("""COMPUTED_VALUE"""),"simple")</f>
        <v>simple</v>
      </c>
      <c r="X462" s="232" t="str">
        <f>IFERROR(__xludf.DUMMYFUNCTION("""COMPUTED_VALUE"""),"Offline Stores")</f>
        <v>Offline Stores</v>
      </c>
      <c r="Y462" s="232" t="str">
        <f>IFERROR(__xludf.DUMMYFUNCTION("""COMPUTED_VALUE"""),"19th - 21st June")</f>
        <v>19th - 21st June</v>
      </c>
      <c r="Z462" s="232" t="str">
        <f>IFERROR(__xludf.DUMMYFUNCTION("""COMPUTED_VALUE"""),"6a33d0ebbda36497b5025ce2")</f>
        <v>6a33d0ebbda36497b5025ce2</v>
      </c>
      <c r="AA462" s="277">
        <f>IFERROR(__xludf.DUMMYFUNCTION("""COMPUTED_VALUE"""),8.0)</f>
        <v>8</v>
      </c>
      <c r="AB462" s="277"/>
      <c r="AC462" s="277">
        <f>IFERROR(__xludf.DUMMYFUNCTION("""COMPUTED_VALUE"""),8.0)</f>
        <v>8</v>
      </c>
      <c r="AD462" s="277">
        <f>IFERROR(__xludf.DUMMYFUNCTION("""COMPUTED_VALUE"""),46437.0)</f>
        <v>46437</v>
      </c>
      <c r="AE462" s="277"/>
      <c r="AF462" s="277">
        <f>IFERROR(__xludf.DUMMYFUNCTION("""COMPUTED_VALUE"""),46437.0)</f>
        <v>46437</v>
      </c>
      <c r="AG462" s="208"/>
      <c r="AH462" s="208"/>
      <c r="AI462" s="208"/>
      <c r="AJ462" s="208"/>
      <c r="AK462" s="208"/>
    </row>
    <row r="463">
      <c r="A463" s="273">
        <f>IFERROR(__xludf.DUMMYFUNCTION("""COMPUTED_VALUE"""),46192.0)</f>
        <v>46192</v>
      </c>
      <c r="B463" s="274">
        <f>IFERROR(__xludf.DUMMYFUNCTION("""COMPUTED_VALUE"""),0.3854166666678793)</f>
        <v>0.3854166667</v>
      </c>
      <c r="C463" s="208" t="str">
        <f>IFERROR(__xludf.DUMMYFUNCTION("""COMPUTED_VALUE"""),"Whatsapp")</f>
        <v>Whatsapp</v>
      </c>
      <c r="D463" s="208" t="str">
        <f>IFERROR(__xludf.DUMMYFUNCTION("""COMPUTED_VALUE"""),"Promotional")</f>
        <v>Promotional</v>
      </c>
      <c r="E463" s="208" t="str">
        <f>IFERROR(__xludf.DUMMYFUNCTION("""COMPUTED_VALUE"""),"VS")</f>
        <v>VS</v>
      </c>
      <c r="F463" s="208" t="str">
        <f>IFERROR(__xludf.DUMMYFUNCTION("""COMPUTED_VALUE"""),"Semi-Annual Sale (June) - Stores - All")</f>
        <v>Semi-Annual Sale (June) - Stores - All</v>
      </c>
      <c r="G463" s="208" t="str">
        <f>IFERROR(__xludf.DUMMYFUNCTION("""COMPUTED_VALUE"""),"SAS_Stores_HYD_BA")</f>
        <v>SAS_Stores_HYD_BA</v>
      </c>
      <c r="H463" s="208" t="str">
        <f>IFERROR(__xludf.DUMMYFUNCTION("""COMPUTED_VALUE"""),"vs_off_pr_97006_97013_1280_16thmarch")</f>
        <v>vs_off_pr_97006_97013_1280_16thmarch</v>
      </c>
      <c r="I463" s="233" t="str">
        <f>IFERROR(__xludf.DUMMYFUNCTION("""COMPUTED_VALUE"""),"Offline Customers who have purchased at lease 1 time in last 36 months from any store in Hyderabad (97006 - VS INORBIT HYDERABAD MALL, 97013 - VS NEXUS MALL  SUJANA, 1280 - VS LAKESHORE HYDERABAD)")</f>
        <v>Offline Customers who have purchased at lease 1 time in last 36 months from any store in Hyderabad (97006 - VS INORBIT HYDERABAD MALL, 97013 - VS NEXUS MALL  SUJANA, 1280 - VS LAKESHORE HYDERABAD)</v>
      </c>
      <c r="J463" s="275">
        <f>IFERROR(__xludf.DUMMYFUNCTION("""COMPUTED_VALUE"""),17116.0)</f>
        <v>17116</v>
      </c>
      <c r="K463" s="275">
        <f>IFERROR(__xludf.DUMMYFUNCTION("""COMPUTED_VALUE"""),10613.0)</f>
        <v>10613</v>
      </c>
      <c r="L463" s="276">
        <f>IFERROR(__xludf.DUMMYFUNCTION("""COMPUTED_VALUE"""),0.6196)</f>
        <v>0.6196</v>
      </c>
      <c r="M463" s="275">
        <f>IFERROR(__xludf.DUMMYFUNCTION("""COMPUTED_VALUE"""),2873.0)</f>
        <v>2873</v>
      </c>
      <c r="N463" s="276">
        <f>IFERROR(__xludf.DUMMYFUNCTION("""COMPUTED_VALUE"""),0.2668)</f>
        <v>0.2668</v>
      </c>
      <c r="O463" s="208">
        <f>IFERROR(__xludf.DUMMYFUNCTION("""COMPUTED_VALUE"""),0.0)</f>
        <v>0</v>
      </c>
      <c r="P463" s="208">
        <f>IFERROR(__xludf.DUMMYFUNCTION("""COMPUTED_VALUE"""),0.0)</f>
        <v>0</v>
      </c>
      <c r="Q463" s="276">
        <f>IFERROR(__xludf.DUMMYFUNCTION("""COMPUTED_VALUE"""),0.0)</f>
        <v>0</v>
      </c>
      <c r="R463" s="276">
        <f>IFERROR(__xludf.DUMMYFUNCTION("""COMPUTED_VALUE"""),0.0)</f>
        <v>0</v>
      </c>
      <c r="S463" s="208">
        <f>IFERROR(__xludf.DUMMYFUNCTION("""COMPUTED_VALUE"""),22.0)</f>
        <v>22</v>
      </c>
      <c r="T463" s="208">
        <f>IFERROR(__xludf.DUMMYFUNCTION("""COMPUTED_VALUE"""),0.0)</f>
        <v>0</v>
      </c>
      <c r="U463" s="275">
        <f>IFERROR(__xludf.DUMMYFUNCTION("""COMPUTED_VALUE"""),84410.0)</f>
        <v>84410</v>
      </c>
      <c r="V463" s="208" t="str">
        <f>IFERROR(__xludf.DUMMYFUNCTION("""COMPUTED_VALUE"""),"offline")</f>
        <v>offline</v>
      </c>
      <c r="W463" s="232" t="str">
        <f>IFERROR(__xludf.DUMMYFUNCTION("""COMPUTED_VALUE"""),"simple")</f>
        <v>simple</v>
      </c>
      <c r="X463" s="232" t="str">
        <f>IFERROR(__xludf.DUMMYFUNCTION("""COMPUTED_VALUE"""),"Offline Stores")</f>
        <v>Offline Stores</v>
      </c>
      <c r="Y463" s="232" t="str">
        <f>IFERROR(__xludf.DUMMYFUNCTION("""COMPUTED_VALUE"""),"19th - 21st June")</f>
        <v>19th - 21st June</v>
      </c>
      <c r="Z463" s="232" t="str">
        <f>IFERROR(__xludf.DUMMYFUNCTION("""COMPUTED_VALUE"""),"6a33d18802efe93f31d9ae92")</f>
        <v>6a33d18802efe93f31d9ae92</v>
      </c>
      <c r="AA463" s="277">
        <f>IFERROR(__xludf.DUMMYFUNCTION("""COMPUTED_VALUE"""),40.0)</f>
        <v>40</v>
      </c>
      <c r="AB463" s="277"/>
      <c r="AC463" s="277">
        <f>IFERROR(__xludf.DUMMYFUNCTION("""COMPUTED_VALUE"""),40.0)</f>
        <v>40</v>
      </c>
      <c r="AD463" s="277">
        <f>IFERROR(__xludf.DUMMYFUNCTION("""COMPUTED_VALUE"""),154009.0)</f>
        <v>154009</v>
      </c>
      <c r="AE463" s="277"/>
      <c r="AF463" s="277">
        <f>IFERROR(__xludf.DUMMYFUNCTION("""COMPUTED_VALUE"""),154009.0)</f>
        <v>154009</v>
      </c>
      <c r="AG463" s="208"/>
      <c r="AH463" s="208"/>
      <c r="AI463" s="208"/>
      <c r="AJ463" s="208"/>
      <c r="AK463" s="208"/>
    </row>
    <row r="464">
      <c r="A464" s="273">
        <f>IFERROR(__xludf.DUMMYFUNCTION("""COMPUTED_VALUE"""),46192.0)</f>
        <v>46192</v>
      </c>
      <c r="B464" s="274">
        <f>IFERROR(__xludf.DUMMYFUNCTION("""COMPUTED_VALUE"""),0.38888888889050577)</f>
        <v>0.3888888889</v>
      </c>
      <c r="C464" s="208" t="str">
        <f>IFERROR(__xludf.DUMMYFUNCTION("""COMPUTED_VALUE"""),"Whatsapp")</f>
        <v>Whatsapp</v>
      </c>
      <c r="D464" s="208" t="str">
        <f>IFERROR(__xludf.DUMMYFUNCTION("""COMPUTED_VALUE"""),"Promotional")</f>
        <v>Promotional</v>
      </c>
      <c r="E464" s="208" t="str">
        <f>IFERROR(__xludf.DUMMYFUNCTION("""COMPUTED_VALUE"""),"VS")</f>
        <v>VS</v>
      </c>
      <c r="F464" s="208" t="str">
        <f>IFERROR(__xludf.DUMMYFUNCTION("""COMPUTED_VALUE"""),"Semi-Annual Sale (June) - Stores - All")</f>
        <v>Semi-Annual Sale (June) - Stores - All</v>
      </c>
      <c r="G464" s="208" t="str">
        <f>IFERROR(__xludf.DUMMYFUNCTION("""COMPUTED_VALUE"""),"SAS_Stores_Chennai_BA")</f>
        <v>SAS_Stores_Chennai_BA</v>
      </c>
      <c r="H464" s="208" t="str">
        <f>IFERROR(__xludf.DUMMYFUNCTION("""COMPUTED_VALUE"""),"vs_off_pr_1252_16thmarch")</f>
        <v>vs_off_pr_1252_16thmarch</v>
      </c>
      <c r="I464" s="233" t="str">
        <f>IFERROR(__xludf.DUMMYFUNCTION("""COMPUTED_VALUE"""),"Offline Customers who have purchased at lease 1 time in last 36 months from any store in Chennai (1252 - VS BA EXPRESS AVENUE CHENNAI)")</f>
        <v>Offline Customers who have purchased at lease 1 time in last 36 months from any store in Chennai (1252 - VS BA EXPRESS AVENUE CHENNAI)</v>
      </c>
      <c r="J464" s="275">
        <f>IFERROR(__xludf.DUMMYFUNCTION("""COMPUTED_VALUE"""),4354.0)</f>
        <v>4354</v>
      </c>
      <c r="K464" s="275">
        <f>IFERROR(__xludf.DUMMYFUNCTION("""COMPUTED_VALUE"""),2805.0)</f>
        <v>2805</v>
      </c>
      <c r="L464" s="276">
        <f>IFERROR(__xludf.DUMMYFUNCTION("""COMPUTED_VALUE"""),0.6438)</f>
        <v>0.6438</v>
      </c>
      <c r="M464" s="275">
        <f>IFERROR(__xludf.DUMMYFUNCTION("""COMPUTED_VALUE"""),772.0)</f>
        <v>772</v>
      </c>
      <c r="N464" s="276">
        <f>IFERROR(__xludf.DUMMYFUNCTION("""COMPUTED_VALUE"""),0.2722)</f>
        <v>0.2722</v>
      </c>
      <c r="O464" s="208">
        <f>IFERROR(__xludf.DUMMYFUNCTION("""COMPUTED_VALUE"""),0.0)</f>
        <v>0</v>
      </c>
      <c r="P464" s="208">
        <f>IFERROR(__xludf.DUMMYFUNCTION("""COMPUTED_VALUE"""),0.0)</f>
        <v>0</v>
      </c>
      <c r="Q464" s="276">
        <f>IFERROR(__xludf.DUMMYFUNCTION("""COMPUTED_VALUE"""),0.0)</f>
        <v>0</v>
      </c>
      <c r="R464" s="276">
        <f>IFERROR(__xludf.DUMMYFUNCTION("""COMPUTED_VALUE"""),0.0)</f>
        <v>0</v>
      </c>
      <c r="S464" s="208">
        <f>IFERROR(__xludf.DUMMYFUNCTION("""COMPUTED_VALUE"""),9.0)</f>
        <v>9</v>
      </c>
      <c r="T464" s="208">
        <f>IFERROR(__xludf.DUMMYFUNCTION("""COMPUTED_VALUE"""),0.0)</f>
        <v>0</v>
      </c>
      <c r="U464" s="275">
        <f>IFERROR(__xludf.DUMMYFUNCTION("""COMPUTED_VALUE"""),34858.0)</f>
        <v>34858</v>
      </c>
      <c r="V464" s="208" t="str">
        <f>IFERROR(__xludf.DUMMYFUNCTION("""COMPUTED_VALUE"""),"offline")</f>
        <v>offline</v>
      </c>
      <c r="W464" s="232" t="str">
        <f>IFERROR(__xludf.DUMMYFUNCTION("""COMPUTED_VALUE"""),"simple")</f>
        <v>simple</v>
      </c>
      <c r="X464" s="232" t="str">
        <f>IFERROR(__xludf.DUMMYFUNCTION("""COMPUTED_VALUE"""),"Offline Stores")</f>
        <v>Offline Stores</v>
      </c>
      <c r="Y464" s="232" t="str">
        <f>IFERROR(__xludf.DUMMYFUNCTION("""COMPUTED_VALUE"""),"19th - 21st June")</f>
        <v>19th - 21st June</v>
      </c>
      <c r="Z464" s="232" t="str">
        <f>IFERROR(__xludf.DUMMYFUNCTION("""COMPUTED_VALUE"""),"6a33d1cbfb46a0810ccd4c78")</f>
        <v>6a33d1cbfb46a0810ccd4c78</v>
      </c>
      <c r="AA464" s="277">
        <f>IFERROR(__xludf.DUMMYFUNCTION("""COMPUTED_VALUE"""),13.0)</f>
        <v>13</v>
      </c>
      <c r="AB464" s="277"/>
      <c r="AC464" s="277">
        <f>IFERROR(__xludf.DUMMYFUNCTION("""COMPUTED_VALUE"""),13.0)</f>
        <v>13</v>
      </c>
      <c r="AD464" s="277">
        <f>IFERROR(__xludf.DUMMYFUNCTION("""COMPUTED_VALUE"""),49853.0)</f>
        <v>49853</v>
      </c>
      <c r="AE464" s="277"/>
      <c r="AF464" s="277">
        <f>IFERROR(__xludf.DUMMYFUNCTION("""COMPUTED_VALUE"""),49853.0)</f>
        <v>49853</v>
      </c>
      <c r="AG464" s="208"/>
      <c r="AH464" s="208"/>
      <c r="AI464" s="208"/>
      <c r="AJ464" s="208"/>
      <c r="AK464" s="208"/>
    </row>
    <row r="465">
      <c r="A465" s="273">
        <f>IFERROR(__xludf.DUMMYFUNCTION("""COMPUTED_VALUE"""),46192.0)</f>
        <v>46192</v>
      </c>
      <c r="B465" s="274">
        <f>IFERROR(__xludf.DUMMYFUNCTION("""COMPUTED_VALUE"""),0.39236111110949423)</f>
        <v>0.3923611111</v>
      </c>
      <c r="C465" s="208" t="str">
        <f>IFERROR(__xludf.DUMMYFUNCTION("""COMPUTED_VALUE"""),"Whatsapp")</f>
        <v>Whatsapp</v>
      </c>
      <c r="D465" s="208" t="str">
        <f>IFERROR(__xludf.DUMMYFUNCTION("""COMPUTED_VALUE"""),"Promotional")</f>
        <v>Promotional</v>
      </c>
      <c r="E465" s="208" t="str">
        <f>IFERROR(__xludf.DUMMYFUNCTION("""COMPUTED_VALUE"""),"VS")</f>
        <v>VS</v>
      </c>
      <c r="F465" s="208" t="str">
        <f>IFERROR(__xludf.DUMMYFUNCTION("""COMPUTED_VALUE"""),"Semi-Annual Sale (June) - Stores - All")</f>
        <v>Semi-Annual Sale (June) - Stores - All</v>
      </c>
      <c r="G465" s="208" t="str">
        <f>IFERROR(__xludf.DUMMYFUNCTION("""COMPUTED_VALUE"""),"SAS_Stores_Kochi_BA")</f>
        <v>SAS_Stores_Kochi_BA</v>
      </c>
      <c r="H465" s="208" t="str">
        <f>IFERROR(__xludf.DUMMYFUNCTION("""COMPUTED_VALUE"""),"vs_off_pr_97011_16thmarch")</f>
        <v>vs_off_pr_97011_16thmarch</v>
      </c>
      <c r="I465" s="233" t="str">
        <f>IFERROR(__xludf.DUMMYFUNCTION("""COMPUTED_VALUE"""),"Offline Customers who have purchased at lease 1 time in last 36 months from any store in Kochi (97011 - VS LULU KOCHI)")</f>
        <v>Offline Customers who have purchased at lease 1 time in last 36 months from any store in Kochi (97011 - VS LULU KOCHI)</v>
      </c>
      <c r="J465" s="275">
        <f>IFERROR(__xludf.DUMMYFUNCTION("""COMPUTED_VALUE"""),6527.0)</f>
        <v>6527</v>
      </c>
      <c r="K465" s="275">
        <f>IFERROR(__xludf.DUMMYFUNCTION("""COMPUTED_VALUE"""),4204.0)</f>
        <v>4204</v>
      </c>
      <c r="L465" s="276">
        <f>IFERROR(__xludf.DUMMYFUNCTION("""COMPUTED_VALUE"""),0.6433)</f>
        <v>0.6433</v>
      </c>
      <c r="M465" s="275">
        <f>IFERROR(__xludf.DUMMYFUNCTION("""COMPUTED_VALUE"""),1165.0)</f>
        <v>1165</v>
      </c>
      <c r="N465" s="276">
        <f>IFERROR(__xludf.DUMMYFUNCTION("""COMPUTED_VALUE"""),0.2736)</f>
        <v>0.2736</v>
      </c>
      <c r="O465" s="208">
        <f>IFERROR(__xludf.DUMMYFUNCTION("""COMPUTED_VALUE"""),0.0)</f>
        <v>0</v>
      </c>
      <c r="P465" s="208">
        <f>IFERROR(__xludf.DUMMYFUNCTION("""COMPUTED_VALUE"""),0.0)</f>
        <v>0</v>
      </c>
      <c r="Q465" s="276">
        <f>IFERROR(__xludf.DUMMYFUNCTION("""COMPUTED_VALUE"""),0.0)</f>
        <v>0</v>
      </c>
      <c r="R465" s="276">
        <f>IFERROR(__xludf.DUMMYFUNCTION("""COMPUTED_VALUE"""),0.0)</f>
        <v>0</v>
      </c>
      <c r="S465" s="208">
        <f>IFERROR(__xludf.DUMMYFUNCTION("""COMPUTED_VALUE"""),11.0)</f>
        <v>11</v>
      </c>
      <c r="T465" s="208">
        <f>IFERROR(__xludf.DUMMYFUNCTION("""COMPUTED_VALUE"""),0.0)</f>
        <v>0</v>
      </c>
      <c r="U465" s="275">
        <f>IFERROR(__xludf.DUMMYFUNCTION("""COMPUTED_VALUE"""),25885.0)</f>
        <v>25885</v>
      </c>
      <c r="V465" s="208" t="str">
        <f>IFERROR(__xludf.DUMMYFUNCTION("""COMPUTED_VALUE"""),"offline")</f>
        <v>offline</v>
      </c>
      <c r="W465" s="232" t="str">
        <f>IFERROR(__xludf.DUMMYFUNCTION("""COMPUTED_VALUE"""),"simple")</f>
        <v>simple</v>
      </c>
      <c r="X465" s="232" t="str">
        <f>IFERROR(__xludf.DUMMYFUNCTION("""COMPUTED_VALUE"""),"Offline Stores")</f>
        <v>Offline Stores</v>
      </c>
      <c r="Y465" s="232" t="str">
        <f>IFERROR(__xludf.DUMMYFUNCTION("""COMPUTED_VALUE"""),"19th - 21st June")</f>
        <v>19th - 21st June</v>
      </c>
      <c r="Z465" s="232" t="str">
        <f>IFERROR(__xludf.DUMMYFUNCTION("""COMPUTED_VALUE"""),"6a33d20739dbabbbab0acbb1")</f>
        <v>6a33d20739dbabbbab0acbb1</v>
      </c>
      <c r="AA465" s="277">
        <f>IFERROR(__xludf.DUMMYFUNCTION("""COMPUTED_VALUE"""),15.0)</f>
        <v>15</v>
      </c>
      <c r="AB465" s="277"/>
      <c r="AC465" s="277">
        <f>IFERROR(__xludf.DUMMYFUNCTION("""COMPUTED_VALUE"""),15.0)</f>
        <v>15</v>
      </c>
      <c r="AD465" s="277">
        <f>IFERROR(__xludf.DUMMYFUNCTION("""COMPUTED_VALUE"""),36839.0)</f>
        <v>36839</v>
      </c>
      <c r="AE465" s="277"/>
      <c r="AF465" s="277">
        <f>IFERROR(__xludf.DUMMYFUNCTION("""COMPUTED_VALUE"""),36839.0)</f>
        <v>36839</v>
      </c>
      <c r="AG465" s="208"/>
      <c r="AH465" s="208"/>
      <c r="AI465" s="208"/>
      <c r="AJ465" s="208"/>
      <c r="AK465" s="208"/>
    </row>
    <row r="466">
      <c r="A466" s="273">
        <f>IFERROR(__xludf.DUMMYFUNCTION("""COMPUTED_VALUE"""),46192.0)</f>
        <v>46192</v>
      </c>
      <c r="B466" s="274">
        <f>IFERROR(__xludf.DUMMYFUNCTION("""COMPUTED_VALUE"""),0.4375)</f>
        <v>0.4375</v>
      </c>
      <c r="C466" s="208" t="str">
        <f>IFERROR(__xludf.DUMMYFUNCTION("""COMPUTED_VALUE"""),"Sms")</f>
        <v>Sms</v>
      </c>
      <c r="D466" s="208" t="str">
        <f>IFERROR(__xludf.DUMMYFUNCTION("""COMPUTED_VALUE"""),"Fallback campaign")</f>
        <v>Fallback campaign</v>
      </c>
      <c r="E466" s="208" t="str">
        <f>IFERROR(__xludf.DUMMYFUNCTION("""COMPUTED_VALUE"""),"VS")</f>
        <v>VS</v>
      </c>
      <c r="F466" s="208" t="str">
        <f>IFERROR(__xludf.DUMMYFUNCTION("""COMPUTED_VALUE"""),"Semi-Annual Sale (June) - All")</f>
        <v>Semi-Annual Sale (June) - All</v>
      </c>
      <c r="G466" s="208" t="str">
        <f>IFERROR(__xludf.DUMMYFUNCTION("""COMPUTED_VALUE"""),"SAS_Stores_Mum_FA (FB)")</f>
        <v>SAS_Stores_Mum_FA (FB)</v>
      </c>
      <c r="H466" s="208" t="str">
        <f>IFERROR(__xludf.DUMMYFUNCTION("""COMPUTED_VALUE"""),"vs_off_pr_97001_16thmarch")</f>
        <v>vs_off_pr_97001_16thmarch</v>
      </c>
      <c r="I466" s="233" t="str">
        <f>IFERROR(__xludf.DUMMYFUNCTION("""COMPUTED_VALUE"""),"WA Undelivered")</f>
        <v>WA Undelivered</v>
      </c>
      <c r="J466" s="275">
        <f>IFERROR(__xludf.DUMMYFUNCTION("""COMPUTED_VALUE"""),13302.0)</f>
        <v>13302</v>
      </c>
      <c r="K466" s="275">
        <f>IFERROR(__xludf.DUMMYFUNCTION("""COMPUTED_VALUE"""),7167.0)</f>
        <v>7167</v>
      </c>
      <c r="L466" s="276">
        <f>IFERROR(__xludf.DUMMYFUNCTION("""COMPUTED_VALUE"""),0.5388)</f>
        <v>0.5388</v>
      </c>
      <c r="M466" s="275">
        <f>IFERROR(__xludf.DUMMYFUNCTION("""COMPUTED_VALUE"""),0.0)</f>
        <v>0</v>
      </c>
      <c r="N466" s="276">
        <f>IFERROR(__xludf.DUMMYFUNCTION("""COMPUTED_VALUE"""),0.0)</f>
        <v>0</v>
      </c>
      <c r="O466" s="208">
        <f>IFERROR(__xludf.DUMMYFUNCTION("""COMPUTED_VALUE"""),0.0)</f>
        <v>0</v>
      </c>
      <c r="P466" s="208">
        <f>IFERROR(__xludf.DUMMYFUNCTION("""COMPUTED_VALUE"""),0.0)</f>
        <v>0</v>
      </c>
      <c r="Q466" s="276">
        <f>IFERROR(__xludf.DUMMYFUNCTION("""COMPUTED_VALUE"""),0.0)</f>
        <v>0</v>
      </c>
      <c r="R466" s="276">
        <f>IFERROR(__xludf.DUMMYFUNCTION("""COMPUTED_VALUE"""),0.0)</f>
        <v>0</v>
      </c>
      <c r="S466" s="208">
        <f>IFERROR(__xludf.DUMMYFUNCTION("""COMPUTED_VALUE"""),27.0)</f>
        <v>27</v>
      </c>
      <c r="T466" s="208">
        <f>IFERROR(__xludf.DUMMYFUNCTION("""COMPUTED_VALUE"""),0.0)</f>
        <v>0</v>
      </c>
      <c r="U466" s="275">
        <f>IFERROR(__xludf.DUMMYFUNCTION("""COMPUTED_VALUE"""),368039.0)</f>
        <v>368039</v>
      </c>
      <c r="V466" s="208" t="str">
        <f>IFERROR(__xludf.DUMMYFUNCTION("""COMPUTED_VALUE"""),"offline")</f>
        <v>offline</v>
      </c>
      <c r="W466" s="232" t="str">
        <f>IFERROR(__xludf.DUMMYFUNCTION("""COMPUTED_VALUE"""),"Sms")</f>
        <v>Sms</v>
      </c>
      <c r="X466" s="232" t="str">
        <f>IFERROR(__xludf.DUMMYFUNCTION("""COMPUTED_VALUE"""),"Offline Stores")</f>
        <v>Offline Stores</v>
      </c>
      <c r="Y466" s="232" t="str">
        <f>IFERROR(__xludf.DUMMYFUNCTION("""COMPUTED_VALUE"""),"19th - 21st June")</f>
        <v>19th - 21st June</v>
      </c>
      <c r="Z466" s="232" t="str">
        <f>IFERROR(__xludf.DUMMYFUNCTION("""COMPUTED_VALUE"""),"6a33d7194490a5c672fa56a2")</f>
        <v>6a33d7194490a5c672fa56a2</v>
      </c>
      <c r="AA466" s="277">
        <f>IFERROR(__xludf.DUMMYFUNCTION("""COMPUTED_VALUE"""),43.0)</f>
        <v>43</v>
      </c>
      <c r="AB466" s="277"/>
      <c r="AC466" s="277">
        <f>IFERROR(__xludf.DUMMYFUNCTION("""COMPUTED_VALUE"""),43.0)</f>
        <v>43</v>
      </c>
      <c r="AD466" s="277">
        <f>IFERROR(__xludf.DUMMYFUNCTION("""COMPUTED_VALUE"""),508036.0)</f>
        <v>508036</v>
      </c>
      <c r="AE466" s="277"/>
      <c r="AF466" s="277">
        <f>IFERROR(__xludf.DUMMYFUNCTION("""COMPUTED_VALUE"""),508036.0)</f>
        <v>508036</v>
      </c>
      <c r="AG466" s="208"/>
      <c r="AH466" s="208"/>
      <c r="AI466" s="208"/>
      <c r="AJ466" s="208"/>
      <c r="AK466" s="208"/>
    </row>
    <row r="467">
      <c r="A467" s="273">
        <f>IFERROR(__xludf.DUMMYFUNCTION("""COMPUTED_VALUE"""),46192.0)</f>
        <v>46192</v>
      </c>
      <c r="B467" s="274">
        <f>IFERROR(__xludf.DUMMYFUNCTION("""COMPUTED_VALUE"""),0.4375)</f>
        <v>0.4375</v>
      </c>
      <c r="C467" s="208" t="str">
        <f>IFERROR(__xludf.DUMMYFUNCTION("""COMPUTED_VALUE"""),"Sms")</f>
        <v>Sms</v>
      </c>
      <c r="D467" s="208" t="str">
        <f>IFERROR(__xludf.DUMMYFUNCTION("""COMPUTED_VALUE"""),"Fallback campaign")</f>
        <v>Fallback campaign</v>
      </c>
      <c r="E467" s="208" t="str">
        <f>IFERROR(__xludf.DUMMYFUNCTION("""COMPUTED_VALUE"""),"VS")</f>
        <v>VS</v>
      </c>
      <c r="F467" s="208" t="str">
        <f>IFERROR(__xludf.DUMMYFUNCTION("""COMPUTED_VALUE"""),"Semi-Annual Sale (June) - All")</f>
        <v>Semi-Annual Sale (June) - All</v>
      </c>
      <c r="G467" s="208" t="str">
        <f>IFERROR(__xludf.DUMMYFUNCTION("""COMPUTED_VALUE"""),"SAS_Stores_Mum_BA (FB)")</f>
        <v>SAS_Stores_Mum_BA (FB)</v>
      </c>
      <c r="H467" s="208" t="str">
        <f>IFERROR(__xludf.DUMMYFUNCTION("""COMPUTED_VALUE"""),"vs_off_pr_BA_97008_97009_16thmarch")</f>
        <v>vs_off_pr_BA_97008_97009_16thmarch</v>
      </c>
      <c r="I467" s="233" t="str">
        <f>IFERROR(__xludf.DUMMYFUNCTION("""COMPUTED_VALUE"""),"WA Undelivered")</f>
        <v>WA Undelivered</v>
      </c>
      <c r="J467" s="275">
        <f>IFERROR(__xludf.DUMMYFUNCTION("""COMPUTED_VALUE"""),5714.0)</f>
        <v>5714</v>
      </c>
      <c r="K467" s="275">
        <f>IFERROR(__xludf.DUMMYFUNCTION("""COMPUTED_VALUE"""),3442.0)</f>
        <v>3442</v>
      </c>
      <c r="L467" s="276">
        <f>IFERROR(__xludf.DUMMYFUNCTION("""COMPUTED_VALUE"""),0.6024)</f>
        <v>0.6024</v>
      </c>
      <c r="M467" s="275">
        <f>IFERROR(__xludf.DUMMYFUNCTION("""COMPUTED_VALUE"""),0.0)</f>
        <v>0</v>
      </c>
      <c r="N467" s="276">
        <f>IFERROR(__xludf.DUMMYFUNCTION("""COMPUTED_VALUE"""),0.0)</f>
        <v>0</v>
      </c>
      <c r="O467" s="208">
        <f>IFERROR(__xludf.DUMMYFUNCTION("""COMPUTED_VALUE"""),0.0)</f>
        <v>0</v>
      </c>
      <c r="P467" s="208">
        <f>IFERROR(__xludf.DUMMYFUNCTION("""COMPUTED_VALUE"""),0.0)</f>
        <v>0</v>
      </c>
      <c r="Q467" s="276">
        <f>IFERROR(__xludf.DUMMYFUNCTION("""COMPUTED_VALUE"""),0.0)</f>
        <v>0</v>
      </c>
      <c r="R467" s="276">
        <f>IFERROR(__xludf.DUMMYFUNCTION("""COMPUTED_VALUE"""),0.0)</f>
        <v>0</v>
      </c>
      <c r="S467" s="208">
        <f>IFERROR(__xludf.DUMMYFUNCTION("""COMPUTED_VALUE"""),16.0)</f>
        <v>16</v>
      </c>
      <c r="T467" s="208">
        <f>IFERROR(__xludf.DUMMYFUNCTION("""COMPUTED_VALUE"""),0.0)</f>
        <v>0</v>
      </c>
      <c r="U467" s="275">
        <f>IFERROR(__xludf.DUMMYFUNCTION("""COMPUTED_VALUE"""),114257.0)</f>
        <v>114257</v>
      </c>
      <c r="V467" s="208" t="str">
        <f>IFERROR(__xludf.DUMMYFUNCTION("""COMPUTED_VALUE"""),"offline")</f>
        <v>offline</v>
      </c>
      <c r="W467" s="232" t="str">
        <f>IFERROR(__xludf.DUMMYFUNCTION("""COMPUTED_VALUE"""),"Sms")</f>
        <v>Sms</v>
      </c>
      <c r="X467" s="232" t="str">
        <f>IFERROR(__xludf.DUMMYFUNCTION("""COMPUTED_VALUE"""),"Offline Stores")</f>
        <v>Offline Stores</v>
      </c>
      <c r="Y467" s="232" t="str">
        <f>IFERROR(__xludf.DUMMYFUNCTION("""COMPUTED_VALUE"""),"19th - 21st June")</f>
        <v>19th - 21st June</v>
      </c>
      <c r="Z467" s="232" t="str">
        <f>IFERROR(__xludf.DUMMYFUNCTION("""COMPUTED_VALUE"""),"6a33d817e700be2041434dcf")</f>
        <v>6a33d817e700be2041434dcf</v>
      </c>
      <c r="AA467" s="277">
        <f>IFERROR(__xludf.DUMMYFUNCTION("""COMPUTED_VALUE"""),22.0)</f>
        <v>22</v>
      </c>
      <c r="AB467" s="277"/>
      <c r="AC467" s="277">
        <f>IFERROR(__xludf.DUMMYFUNCTION("""COMPUTED_VALUE"""),22.0)</f>
        <v>22</v>
      </c>
      <c r="AD467" s="277">
        <f>IFERROR(__xludf.DUMMYFUNCTION("""COMPUTED_VALUE"""),170855.0)</f>
        <v>170855</v>
      </c>
      <c r="AE467" s="277"/>
      <c r="AF467" s="277">
        <f>IFERROR(__xludf.DUMMYFUNCTION("""COMPUTED_VALUE"""),170855.0)</f>
        <v>170855</v>
      </c>
      <c r="AG467" s="208"/>
      <c r="AH467" s="208"/>
      <c r="AI467" s="208"/>
      <c r="AJ467" s="208"/>
      <c r="AK467" s="208"/>
    </row>
    <row r="468">
      <c r="A468" s="273">
        <f>IFERROR(__xludf.DUMMYFUNCTION("""COMPUTED_VALUE"""),46192.0)</f>
        <v>46192</v>
      </c>
      <c r="B468" s="274">
        <f>IFERROR(__xludf.DUMMYFUNCTION("""COMPUTED_VALUE"""),0.4375)</f>
        <v>0.4375</v>
      </c>
      <c r="C468" s="208" t="str">
        <f>IFERROR(__xludf.DUMMYFUNCTION("""COMPUTED_VALUE"""),"Sms")</f>
        <v>Sms</v>
      </c>
      <c r="D468" s="208" t="str">
        <f>IFERROR(__xludf.DUMMYFUNCTION("""COMPUTED_VALUE"""),"Fallback campaign")</f>
        <v>Fallback campaign</v>
      </c>
      <c r="E468" s="208" t="str">
        <f>IFERROR(__xludf.DUMMYFUNCTION("""COMPUTED_VALUE"""),"VS")</f>
        <v>VS</v>
      </c>
      <c r="F468" s="208" t="str">
        <f>IFERROR(__xludf.DUMMYFUNCTION("""COMPUTED_VALUE"""),"Semi-Annual Sale (June) - All")</f>
        <v>Semi-Annual Sale (June) - All</v>
      </c>
      <c r="G468" s="208" t="str">
        <f>IFERROR(__xludf.DUMMYFUNCTION("""COMPUTED_VALUE"""),"SAS_Stores_Del_FA (FB)")</f>
        <v>SAS_Stores_Del_FA (FB)</v>
      </c>
      <c r="H468" s="208" t="str">
        <f>IFERROR(__xludf.DUMMYFUNCTION("""COMPUTED_VALUE"""),"vs_off_pr_97002_1251_16thmarch")</f>
        <v>vs_off_pr_97002_1251_16thmarch</v>
      </c>
      <c r="I468" s="233" t="str">
        <f>IFERROR(__xludf.DUMMYFUNCTION("""COMPUTED_VALUE"""),"WA Undelivered")</f>
        <v>WA Undelivered</v>
      </c>
      <c r="J468" s="275">
        <f>IFERROR(__xludf.DUMMYFUNCTION("""COMPUTED_VALUE"""),13393.0)</f>
        <v>13393</v>
      </c>
      <c r="K468" s="275">
        <f>IFERROR(__xludf.DUMMYFUNCTION("""COMPUTED_VALUE"""),7383.0)</f>
        <v>7383</v>
      </c>
      <c r="L468" s="276">
        <f>IFERROR(__xludf.DUMMYFUNCTION("""COMPUTED_VALUE"""),0.5513)</f>
        <v>0.5513</v>
      </c>
      <c r="M468" s="275">
        <f>IFERROR(__xludf.DUMMYFUNCTION("""COMPUTED_VALUE"""),0.0)</f>
        <v>0</v>
      </c>
      <c r="N468" s="276">
        <f>IFERROR(__xludf.DUMMYFUNCTION("""COMPUTED_VALUE"""),0.0)</f>
        <v>0</v>
      </c>
      <c r="O468" s="208">
        <f>IFERROR(__xludf.DUMMYFUNCTION("""COMPUTED_VALUE"""),0.0)</f>
        <v>0</v>
      </c>
      <c r="P468" s="208">
        <f>IFERROR(__xludf.DUMMYFUNCTION("""COMPUTED_VALUE"""),0.0)</f>
        <v>0</v>
      </c>
      <c r="Q468" s="276">
        <f>IFERROR(__xludf.DUMMYFUNCTION("""COMPUTED_VALUE"""),0.0)</f>
        <v>0</v>
      </c>
      <c r="R468" s="276">
        <f>IFERROR(__xludf.DUMMYFUNCTION("""COMPUTED_VALUE"""),0.0)</f>
        <v>0</v>
      </c>
      <c r="S468" s="208">
        <f>IFERROR(__xludf.DUMMYFUNCTION("""COMPUTED_VALUE"""),38.0)</f>
        <v>38</v>
      </c>
      <c r="T468" s="208">
        <f>IFERROR(__xludf.DUMMYFUNCTION("""COMPUTED_VALUE"""),0.0)</f>
        <v>0</v>
      </c>
      <c r="U468" s="275">
        <f>IFERROR(__xludf.DUMMYFUNCTION("""COMPUTED_VALUE"""),317048.0)</f>
        <v>317048</v>
      </c>
      <c r="V468" s="208" t="str">
        <f>IFERROR(__xludf.DUMMYFUNCTION("""COMPUTED_VALUE"""),"offline")</f>
        <v>offline</v>
      </c>
      <c r="W468" s="232" t="str">
        <f>IFERROR(__xludf.DUMMYFUNCTION("""COMPUTED_VALUE"""),"Sms")</f>
        <v>Sms</v>
      </c>
      <c r="X468" s="232" t="str">
        <f>IFERROR(__xludf.DUMMYFUNCTION("""COMPUTED_VALUE"""),"Offline Stores")</f>
        <v>Offline Stores</v>
      </c>
      <c r="Y468" s="232" t="str">
        <f>IFERROR(__xludf.DUMMYFUNCTION("""COMPUTED_VALUE"""),"19th - 21st June")</f>
        <v>19th - 21st June</v>
      </c>
      <c r="Z468" s="232" t="str">
        <f>IFERROR(__xludf.DUMMYFUNCTION("""COMPUTED_VALUE"""),"6a33d89a179e847dc69e45e0")</f>
        <v>6a33d89a179e847dc69e45e0</v>
      </c>
      <c r="AA468" s="277">
        <f>IFERROR(__xludf.DUMMYFUNCTION("""COMPUTED_VALUE"""),52.0)</f>
        <v>52</v>
      </c>
      <c r="AB468" s="277"/>
      <c r="AC468" s="277">
        <f>IFERROR(__xludf.DUMMYFUNCTION("""COMPUTED_VALUE"""),52.0)</f>
        <v>52</v>
      </c>
      <c r="AD468" s="277">
        <f>IFERROR(__xludf.DUMMYFUNCTION("""COMPUTED_VALUE"""),423722.0)</f>
        <v>423722</v>
      </c>
      <c r="AE468" s="277"/>
      <c r="AF468" s="277">
        <f>IFERROR(__xludf.DUMMYFUNCTION("""COMPUTED_VALUE"""),423722.0)</f>
        <v>423722</v>
      </c>
      <c r="AG468" s="208"/>
      <c r="AH468" s="208"/>
      <c r="AI468" s="208"/>
      <c r="AJ468" s="208"/>
      <c r="AK468" s="208"/>
    </row>
    <row r="469">
      <c r="A469" s="273">
        <f>IFERROR(__xludf.DUMMYFUNCTION("""COMPUTED_VALUE"""),46192.0)</f>
        <v>46192</v>
      </c>
      <c r="B469" s="274">
        <f>IFERROR(__xludf.DUMMYFUNCTION("""COMPUTED_VALUE"""),0.4375)</f>
        <v>0.4375</v>
      </c>
      <c r="C469" s="208" t="str">
        <f>IFERROR(__xludf.DUMMYFUNCTION("""COMPUTED_VALUE"""),"Sms")</f>
        <v>Sms</v>
      </c>
      <c r="D469" s="208" t="str">
        <f>IFERROR(__xludf.DUMMYFUNCTION("""COMPUTED_VALUE"""),"Fallback campaign")</f>
        <v>Fallback campaign</v>
      </c>
      <c r="E469" s="208" t="str">
        <f>IFERROR(__xludf.DUMMYFUNCTION("""COMPUTED_VALUE"""),"VS")</f>
        <v>VS</v>
      </c>
      <c r="F469" s="208" t="str">
        <f>IFERROR(__xludf.DUMMYFUNCTION("""COMPUTED_VALUE"""),"Semi-Annual Sale (June) - All")</f>
        <v>Semi-Annual Sale (June) - All</v>
      </c>
      <c r="G469" s="208" t="str">
        <f>IFERROR(__xludf.DUMMYFUNCTION("""COMPUTED_VALUE"""),"SAS_Stores_GGN_FA (FB)")</f>
        <v>SAS_Stores_GGN_FA (FB)</v>
      </c>
      <c r="H469" s="208" t="str">
        <f>IFERROR(__xludf.DUMMYFUNCTION("""COMPUTED_VALUE"""),"vs_off_pr_97003_16thmarch")</f>
        <v>vs_off_pr_97003_16thmarch</v>
      </c>
      <c r="I469" s="233" t="str">
        <f>IFERROR(__xludf.DUMMYFUNCTION("""COMPUTED_VALUE"""),"WA Undelivered")</f>
        <v>WA Undelivered</v>
      </c>
      <c r="J469" s="275">
        <f>IFERROR(__xludf.DUMMYFUNCTION("""COMPUTED_VALUE"""),12880.0)</f>
        <v>12880</v>
      </c>
      <c r="K469" s="275">
        <f>IFERROR(__xludf.DUMMYFUNCTION("""COMPUTED_VALUE"""),7299.0)</f>
        <v>7299</v>
      </c>
      <c r="L469" s="276">
        <f>IFERROR(__xludf.DUMMYFUNCTION("""COMPUTED_VALUE"""),0.5667)</f>
        <v>0.5667</v>
      </c>
      <c r="M469" s="275">
        <f>IFERROR(__xludf.DUMMYFUNCTION("""COMPUTED_VALUE"""),0.0)</f>
        <v>0</v>
      </c>
      <c r="N469" s="276">
        <f>IFERROR(__xludf.DUMMYFUNCTION("""COMPUTED_VALUE"""),0.0)</f>
        <v>0</v>
      </c>
      <c r="O469" s="208">
        <f>IFERROR(__xludf.DUMMYFUNCTION("""COMPUTED_VALUE"""),0.0)</f>
        <v>0</v>
      </c>
      <c r="P469" s="208">
        <f>IFERROR(__xludf.DUMMYFUNCTION("""COMPUTED_VALUE"""),0.0)</f>
        <v>0</v>
      </c>
      <c r="Q469" s="276">
        <f>IFERROR(__xludf.DUMMYFUNCTION("""COMPUTED_VALUE"""),0.0)</f>
        <v>0</v>
      </c>
      <c r="R469" s="276">
        <f>IFERROR(__xludf.DUMMYFUNCTION("""COMPUTED_VALUE"""),0.0)</f>
        <v>0</v>
      </c>
      <c r="S469" s="208">
        <f>IFERROR(__xludf.DUMMYFUNCTION("""COMPUTED_VALUE"""),34.0)</f>
        <v>34</v>
      </c>
      <c r="T469" s="208">
        <f>IFERROR(__xludf.DUMMYFUNCTION("""COMPUTED_VALUE"""),0.0)</f>
        <v>0</v>
      </c>
      <c r="U469" s="275">
        <f>IFERROR(__xludf.DUMMYFUNCTION("""COMPUTED_VALUE"""),301073.0)</f>
        <v>301073</v>
      </c>
      <c r="V469" s="208" t="str">
        <f>IFERROR(__xludf.DUMMYFUNCTION("""COMPUTED_VALUE"""),"offline")</f>
        <v>offline</v>
      </c>
      <c r="W469" s="232" t="str">
        <f>IFERROR(__xludf.DUMMYFUNCTION("""COMPUTED_VALUE"""),"Sms")</f>
        <v>Sms</v>
      </c>
      <c r="X469" s="232" t="str">
        <f>IFERROR(__xludf.DUMMYFUNCTION("""COMPUTED_VALUE"""),"Offline Stores")</f>
        <v>Offline Stores</v>
      </c>
      <c r="Y469" s="232" t="str">
        <f>IFERROR(__xludf.DUMMYFUNCTION("""COMPUTED_VALUE"""),"19th - 21st June")</f>
        <v>19th - 21st June</v>
      </c>
      <c r="Z469" s="232" t="str">
        <f>IFERROR(__xludf.DUMMYFUNCTION("""COMPUTED_VALUE"""),"6a33d8e6a660578388e1915b")</f>
        <v>6a33d8e6a660578388e1915b</v>
      </c>
      <c r="AA469" s="277">
        <f>IFERROR(__xludf.DUMMYFUNCTION("""COMPUTED_VALUE"""),58.0)</f>
        <v>58</v>
      </c>
      <c r="AB469" s="277"/>
      <c r="AC469" s="277">
        <f>IFERROR(__xludf.DUMMYFUNCTION("""COMPUTED_VALUE"""),58.0)</f>
        <v>58</v>
      </c>
      <c r="AD469" s="277">
        <f>IFERROR(__xludf.DUMMYFUNCTION("""COMPUTED_VALUE"""),464517.0)</f>
        <v>464517</v>
      </c>
      <c r="AE469" s="277"/>
      <c r="AF469" s="277">
        <f>IFERROR(__xludf.DUMMYFUNCTION("""COMPUTED_VALUE"""),464517.0)</f>
        <v>464517</v>
      </c>
      <c r="AG469" s="208"/>
      <c r="AH469" s="208"/>
      <c r="AI469" s="208"/>
      <c r="AJ469" s="208"/>
      <c r="AK469" s="208"/>
    </row>
    <row r="470">
      <c r="A470" s="273">
        <f>IFERROR(__xludf.DUMMYFUNCTION("""COMPUTED_VALUE"""),46192.0)</f>
        <v>46192</v>
      </c>
      <c r="B470" s="274">
        <f>IFERROR(__xludf.DUMMYFUNCTION("""COMPUTED_VALUE"""),0.4375)</f>
        <v>0.4375</v>
      </c>
      <c r="C470" s="208" t="str">
        <f>IFERROR(__xludf.DUMMYFUNCTION("""COMPUTED_VALUE"""),"Sms")</f>
        <v>Sms</v>
      </c>
      <c r="D470" s="208" t="str">
        <f>IFERROR(__xludf.DUMMYFUNCTION("""COMPUTED_VALUE"""),"Fallback campaign")</f>
        <v>Fallback campaign</v>
      </c>
      <c r="E470" s="208" t="str">
        <f>IFERROR(__xludf.DUMMYFUNCTION("""COMPUTED_VALUE"""),"VS")</f>
        <v>VS</v>
      </c>
      <c r="F470" s="208" t="str">
        <f>IFERROR(__xludf.DUMMYFUNCTION("""COMPUTED_VALUE"""),"Semi-Annual Sale (June) - All")</f>
        <v>Semi-Annual Sale (June) - All</v>
      </c>
      <c r="G470" s="208" t="str">
        <f>IFERROR(__xludf.DUMMYFUNCTION("""COMPUTED_VALUE"""),"SAS_Stores_BLR_FA (FB)")</f>
        <v>SAS_Stores_BLR_FA (FB)</v>
      </c>
      <c r="H470" s="208" t="str">
        <f>IFERROR(__xludf.DUMMYFUNCTION("""COMPUTED_VALUE"""),"vs_off_pr_FA_97004_1273_16thmarch")</f>
        <v>vs_off_pr_FA_97004_1273_16thmarch</v>
      </c>
      <c r="I470" s="233" t="str">
        <f>IFERROR(__xludf.DUMMYFUNCTION("""COMPUTED_VALUE"""),"WA Undelivered")</f>
        <v>WA Undelivered</v>
      </c>
      <c r="J470" s="275">
        <f>IFERROR(__xludf.DUMMYFUNCTION("""COMPUTED_VALUE"""),9847.0)</f>
        <v>9847</v>
      </c>
      <c r="K470" s="275">
        <f>IFERROR(__xludf.DUMMYFUNCTION("""COMPUTED_VALUE"""),6199.0)</f>
        <v>6199</v>
      </c>
      <c r="L470" s="276">
        <f>IFERROR(__xludf.DUMMYFUNCTION("""COMPUTED_VALUE"""),0.6295)</f>
        <v>0.6295</v>
      </c>
      <c r="M470" s="275">
        <f>IFERROR(__xludf.DUMMYFUNCTION("""COMPUTED_VALUE"""),0.0)</f>
        <v>0</v>
      </c>
      <c r="N470" s="276">
        <f>IFERROR(__xludf.DUMMYFUNCTION("""COMPUTED_VALUE"""),0.0)</f>
        <v>0</v>
      </c>
      <c r="O470" s="208">
        <f>IFERROR(__xludf.DUMMYFUNCTION("""COMPUTED_VALUE"""),0.0)</f>
        <v>0</v>
      </c>
      <c r="P470" s="208">
        <f>IFERROR(__xludf.DUMMYFUNCTION("""COMPUTED_VALUE"""),0.0)</f>
        <v>0</v>
      </c>
      <c r="Q470" s="276">
        <f>IFERROR(__xludf.DUMMYFUNCTION("""COMPUTED_VALUE"""),0.0)</f>
        <v>0</v>
      </c>
      <c r="R470" s="276">
        <f>IFERROR(__xludf.DUMMYFUNCTION("""COMPUTED_VALUE"""),0.0)</f>
        <v>0</v>
      </c>
      <c r="S470" s="208">
        <f>IFERROR(__xludf.DUMMYFUNCTION("""COMPUTED_VALUE"""),23.0)</f>
        <v>23</v>
      </c>
      <c r="T470" s="208">
        <f>IFERROR(__xludf.DUMMYFUNCTION("""COMPUTED_VALUE"""),0.0)</f>
        <v>0</v>
      </c>
      <c r="U470" s="275">
        <f>IFERROR(__xludf.DUMMYFUNCTION("""COMPUTED_VALUE"""),226300.0)</f>
        <v>226300</v>
      </c>
      <c r="V470" s="208" t="str">
        <f>IFERROR(__xludf.DUMMYFUNCTION("""COMPUTED_VALUE"""),"offline")</f>
        <v>offline</v>
      </c>
      <c r="W470" s="232" t="str">
        <f>IFERROR(__xludf.DUMMYFUNCTION("""COMPUTED_VALUE"""),"Sms")</f>
        <v>Sms</v>
      </c>
      <c r="X470" s="232" t="str">
        <f>IFERROR(__xludf.DUMMYFUNCTION("""COMPUTED_VALUE"""),"Offline Stores")</f>
        <v>Offline Stores</v>
      </c>
      <c r="Y470" s="232" t="str">
        <f>IFERROR(__xludf.DUMMYFUNCTION("""COMPUTED_VALUE"""),"19th - 21st June")</f>
        <v>19th - 21st June</v>
      </c>
      <c r="Z470" s="232" t="str">
        <f>IFERROR(__xludf.DUMMYFUNCTION("""COMPUTED_VALUE"""),"6a33d9270e3eb723404ecad9")</f>
        <v>6a33d9270e3eb723404ecad9</v>
      </c>
      <c r="AA470" s="277">
        <f>IFERROR(__xludf.DUMMYFUNCTION("""COMPUTED_VALUE"""),45.0)</f>
        <v>45</v>
      </c>
      <c r="AB470" s="277"/>
      <c r="AC470" s="277">
        <f>IFERROR(__xludf.DUMMYFUNCTION("""COMPUTED_VALUE"""),45.0)</f>
        <v>45</v>
      </c>
      <c r="AD470" s="277">
        <f>IFERROR(__xludf.DUMMYFUNCTION("""COMPUTED_VALUE"""),355519.0)</f>
        <v>355519</v>
      </c>
      <c r="AE470" s="277"/>
      <c r="AF470" s="277">
        <f>IFERROR(__xludf.DUMMYFUNCTION("""COMPUTED_VALUE"""),355519.0)</f>
        <v>355519</v>
      </c>
      <c r="AG470" s="208"/>
      <c r="AH470" s="208"/>
      <c r="AI470" s="208"/>
      <c r="AJ470" s="208"/>
      <c r="AK470" s="208"/>
    </row>
    <row r="471">
      <c r="A471" s="273">
        <f>IFERROR(__xludf.DUMMYFUNCTION("""COMPUTED_VALUE"""),46192.0)</f>
        <v>46192</v>
      </c>
      <c r="B471" s="274">
        <f>IFERROR(__xludf.DUMMYFUNCTION("""COMPUTED_VALUE"""),0.4375)</f>
        <v>0.4375</v>
      </c>
      <c r="C471" s="208" t="str">
        <f>IFERROR(__xludf.DUMMYFUNCTION("""COMPUTED_VALUE"""),"Sms")</f>
        <v>Sms</v>
      </c>
      <c r="D471" s="208" t="str">
        <f>IFERROR(__xludf.DUMMYFUNCTION("""COMPUTED_VALUE"""),"Fallback campaign")</f>
        <v>Fallback campaign</v>
      </c>
      <c r="E471" s="208" t="str">
        <f>IFERROR(__xludf.DUMMYFUNCTION("""COMPUTED_VALUE"""),"VS")</f>
        <v>VS</v>
      </c>
      <c r="F471" s="208" t="str">
        <f>IFERROR(__xludf.DUMMYFUNCTION("""COMPUTED_VALUE"""),"Semi-Annual Sale (June) - All")</f>
        <v>Semi-Annual Sale (June) - All</v>
      </c>
      <c r="G471" s="208" t="str">
        <f>IFERROR(__xludf.DUMMYFUNCTION("""COMPUTED_VALUE"""),"SAS_Stores_BLR_BA (FB)")</f>
        <v>SAS_Stores_BLR_BA (FB)</v>
      </c>
      <c r="H471" s="208" t="str">
        <f>IFERROR(__xludf.DUMMYFUNCTION("""COMPUTED_VALUE"""),"vs_off_pr_FA_97012_16thmarch")</f>
        <v>vs_off_pr_FA_97012_16thmarch</v>
      </c>
      <c r="I471" s="233" t="str">
        <f>IFERROR(__xludf.DUMMYFUNCTION("""COMPUTED_VALUE"""),"WA Undelivered")</f>
        <v>WA Undelivered</v>
      </c>
      <c r="J471" s="275">
        <f>IFERROR(__xludf.DUMMYFUNCTION("""COMPUTED_VALUE"""),2924.0)</f>
        <v>2924</v>
      </c>
      <c r="K471" s="275">
        <f>IFERROR(__xludf.DUMMYFUNCTION("""COMPUTED_VALUE"""),1969.0)</f>
        <v>1969</v>
      </c>
      <c r="L471" s="276">
        <f>IFERROR(__xludf.DUMMYFUNCTION("""COMPUTED_VALUE"""),0.6734)</f>
        <v>0.6734</v>
      </c>
      <c r="M471" s="275">
        <f>IFERROR(__xludf.DUMMYFUNCTION("""COMPUTED_VALUE"""),0.0)</f>
        <v>0</v>
      </c>
      <c r="N471" s="276">
        <f>IFERROR(__xludf.DUMMYFUNCTION("""COMPUTED_VALUE"""),0.0)</f>
        <v>0</v>
      </c>
      <c r="O471" s="208">
        <f>IFERROR(__xludf.DUMMYFUNCTION("""COMPUTED_VALUE"""),0.0)</f>
        <v>0</v>
      </c>
      <c r="P471" s="208">
        <f>IFERROR(__xludf.DUMMYFUNCTION("""COMPUTED_VALUE"""),0.0)</f>
        <v>0</v>
      </c>
      <c r="Q471" s="276">
        <f>IFERROR(__xludf.DUMMYFUNCTION("""COMPUTED_VALUE"""),0.0)</f>
        <v>0</v>
      </c>
      <c r="R471" s="276">
        <f>IFERROR(__xludf.DUMMYFUNCTION("""COMPUTED_VALUE"""),0.0)</f>
        <v>0</v>
      </c>
      <c r="S471" s="208">
        <f>IFERROR(__xludf.DUMMYFUNCTION("""COMPUTED_VALUE"""),8.0)</f>
        <v>8</v>
      </c>
      <c r="T471" s="208">
        <f>IFERROR(__xludf.DUMMYFUNCTION("""COMPUTED_VALUE"""),0.0)</f>
        <v>0</v>
      </c>
      <c r="U471" s="275">
        <f>IFERROR(__xludf.DUMMYFUNCTION("""COMPUTED_VALUE"""),61074.0)</f>
        <v>61074</v>
      </c>
      <c r="V471" s="208" t="str">
        <f>IFERROR(__xludf.DUMMYFUNCTION("""COMPUTED_VALUE"""),"offline")</f>
        <v>offline</v>
      </c>
      <c r="W471" s="232" t="str">
        <f>IFERROR(__xludf.DUMMYFUNCTION("""COMPUTED_VALUE"""),"Sms")</f>
        <v>Sms</v>
      </c>
      <c r="X471" s="232" t="str">
        <f>IFERROR(__xludf.DUMMYFUNCTION("""COMPUTED_VALUE"""),"Offline Stores")</f>
        <v>Offline Stores</v>
      </c>
      <c r="Y471" s="232" t="str">
        <f>IFERROR(__xludf.DUMMYFUNCTION("""COMPUTED_VALUE"""),"19th - 21st June")</f>
        <v>19th - 21st June</v>
      </c>
      <c r="Z471" s="232" t="str">
        <f>IFERROR(__xludf.DUMMYFUNCTION("""COMPUTED_VALUE"""),"6a33d97139dbabbbab0ace9c")</f>
        <v>6a33d97139dbabbbab0ace9c</v>
      </c>
      <c r="AA471" s="277">
        <f>IFERROR(__xludf.DUMMYFUNCTION("""COMPUTED_VALUE"""),14.0)</f>
        <v>14</v>
      </c>
      <c r="AB471" s="277"/>
      <c r="AC471" s="277">
        <f>IFERROR(__xludf.DUMMYFUNCTION("""COMPUTED_VALUE"""),14.0)</f>
        <v>14</v>
      </c>
      <c r="AD471" s="277">
        <f>IFERROR(__xludf.DUMMYFUNCTION("""COMPUTED_VALUE"""),78172.0)</f>
        <v>78172</v>
      </c>
      <c r="AE471" s="277"/>
      <c r="AF471" s="277">
        <f>IFERROR(__xludf.DUMMYFUNCTION("""COMPUTED_VALUE"""),78172.0)</f>
        <v>78172</v>
      </c>
      <c r="AG471" s="208"/>
      <c r="AH471" s="208"/>
      <c r="AI471" s="208"/>
      <c r="AJ471" s="208"/>
      <c r="AK471" s="208"/>
    </row>
    <row r="472">
      <c r="A472" s="273">
        <f>IFERROR(__xludf.DUMMYFUNCTION("""COMPUTED_VALUE"""),46192.0)</f>
        <v>46192</v>
      </c>
      <c r="B472" s="274">
        <f>IFERROR(__xludf.DUMMYFUNCTION("""COMPUTED_VALUE"""),0.4375)</f>
        <v>0.4375</v>
      </c>
      <c r="C472" s="208" t="str">
        <f>IFERROR(__xludf.DUMMYFUNCTION("""COMPUTED_VALUE"""),"Sms")</f>
        <v>Sms</v>
      </c>
      <c r="D472" s="208" t="str">
        <f>IFERROR(__xludf.DUMMYFUNCTION("""COMPUTED_VALUE"""),"Fallback campaign")</f>
        <v>Fallback campaign</v>
      </c>
      <c r="E472" s="208" t="str">
        <f>IFERROR(__xludf.DUMMYFUNCTION("""COMPUTED_VALUE"""),"VS")</f>
        <v>VS</v>
      </c>
      <c r="F472" s="208" t="str">
        <f>IFERROR(__xludf.DUMMYFUNCTION("""COMPUTED_VALUE"""),"Semi-Annual Sale (June) - All")</f>
        <v>Semi-Annual Sale (June) - All</v>
      </c>
      <c r="G472" s="208" t="str">
        <f>IFERROR(__xludf.DUMMYFUNCTION("""COMPUTED_VALUE"""),"SAS_Stores_Pun_BA (FB)")</f>
        <v>SAS_Stores_Pun_BA (FB)</v>
      </c>
      <c r="H472" s="208" t="str">
        <f>IFERROR(__xludf.DUMMYFUNCTION("""COMPUTED_VALUE"""),"vs_off_pr_97005_97007_16thmarch")</f>
        <v>vs_off_pr_97005_97007_16thmarch</v>
      </c>
      <c r="I472" s="233" t="str">
        <f>IFERROR(__xludf.DUMMYFUNCTION("""COMPUTED_VALUE"""),"WA Undelivered")</f>
        <v>WA Undelivered</v>
      </c>
      <c r="J472" s="275">
        <f>IFERROR(__xludf.DUMMYFUNCTION("""COMPUTED_VALUE"""),6090.0)</f>
        <v>6090</v>
      </c>
      <c r="K472" s="275">
        <f>IFERROR(__xludf.DUMMYFUNCTION("""COMPUTED_VALUE"""),3871.0)</f>
        <v>3871</v>
      </c>
      <c r="L472" s="276">
        <f>IFERROR(__xludf.DUMMYFUNCTION("""COMPUTED_VALUE"""),0.6356)</f>
        <v>0.6356</v>
      </c>
      <c r="M472" s="275">
        <f>IFERROR(__xludf.DUMMYFUNCTION("""COMPUTED_VALUE"""),0.0)</f>
        <v>0</v>
      </c>
      <c r="N472" s="276">
        <f>IFERROR(__xludf.DUMMYFUNCTION("""COMPUTED_VALUE"""),0.0)</f>
        <v>0</v>
      </c>
      <c r="O472" s="208">
        <f>IFERROR(__xludf.DUMMYFUNCTION("""COMPUTED_VALUE"""),0.0)</f>
        <v>0</v>
      </c>
      <c r="P472" s="208">
        <f>IFERROR(__xludf.DUMMYFUNCTION("""COMPUTED_VALUE"""),0.0)</f>
        <v>0</v>
      </c>
      <c r="Q472" s="276">
        <f>IFERROR(__xludf.DUMMYFUNCTION("""COMPUTED_VALUE"""),0.0)</f>
        <v>0</v>
      </c>
      <c r="R472" s="276">
        <f>IFERROR(__xludf.DUMMYFUNCTION("""COMPUTED_VALUE"""),0.0)</f>
        <v>0</v>
      </c>
      <c r="S472" s="208">
        <f>IFERROR(__xludf.DUMMYFUNCTION("""COMPUTED_VALUE"""),17.0)</f>
        <v>17</v>
      </c>
      <c r="T472" s="208">
        <f>IFERROR(__xludf.DUMMYFUNCTION("""COMPUTED_VALUE"""),0.0)</f>
        <v>0</v>
      </c>
      <c r="U472" s="275">
        <f>IFERROR(__xludf.DUMMYFUNCTION("""COMPUTED_VALUE"""),92325.0)</f>
        <v>92325</v>
      </c>
      <c r="V472" s="208" t="str">
        <f>IFERROR(__xludf.DUMMYFUNCTION("""COMPUTED_VALUE"""),"offline")</f>
        <v>offline</v>
      </c>
      <c r="W472" s="232" t="str">
        <f>IFERROR(__xludf.DUMMYFUNCTION("""COMPUTED_VALUE"""),"Sms")</f>
        <v>Sms</v>
      </c>
      <c r="X472" s="232" t="str">
        <f>IFERROR(__xludf.DUMMYFUNCTION("""COMPUTED_VALUE"""),"Offline Stores")</f>
        <v>Offline Stores</v>
      </c>
      <c r="Y472" s="232" t="str">
        <f>IFERROR(__xludf.DUMMYFUNCTION("""COMPUTED_VALUE"""),"19th - 21st June")</f>
        <v>19th - 21st June</v>
      </c>
      <c r="Z472" s="232" t="str">
        <f>IFERROR(__xludf.DUMMYFUNCTION("""COMPUTED_VALUE"""),"6a33d9b67519ffdcd9aca3e2")</f>
        <v>6a33d9b67519ffdcd9aca3e2</v>
      </c>
      <c r="AA472" s="277">
        <f>IFERROR(__xludf.DUMMYFUNCTION("""COMPUTED_VALUE"""),23.0)</f>
        <v>23</v>
      </c>
      <c r="AB472" s="277"/>
      <c r="AC472" s="277">
        <f>IFERROR(__xludf.DUMMYFUNCTION("""COMPUTED_VALUE"""),23.0)</f>
        <v>23</v>
      </c>
      <c r="AD472" s="277">
        <f>IFERROR(__xludf.DUMMYFUNCTION("""COMPUTED_VALUE"""),107022.0)</f>
        <v>107022</v>
      </c>
      <c r="AE472" s="277"/>
      <c r="AF472" s="277">
        <f>IFERROR(__xludf.DUMMYFUNCTION("""COMPUTED_VALUE"""),107022.0)</f>
        <v>107022</v>
      </c>
      <c r="AG472" s="208"/>
      <c r="AH472" s="208"/>
      <c r="AI472" s="208"/>
      <c r="AJ472" s="208"/>
      <c r="AK472" s="208"/>
    </row>
    <row r="473">
      <c r="A473" s="273">
        <f>IFERROR(__xludf.DUMMYFUNCTION("""COMPUTED_VALUE"""),46192.0)</f>
        <v>46192</v>
      </c>
      <c r="B473" s="274">
        <f>IFERROR(__xludf.DUMMYFUNCTION("""COMPUTED_VALUE"""),0.4375)</f>
        <v>0.4375</v>
      </c>
      <c r="C473" s="208" t="str">
        <f>IFERROR(__xludf.DUMMYFUNCTION("""COMPUTED_VALUE"""),"Sms")</f>
        <v>Sms</v>
      </c>
      <c r="D473" s="208" t="str">
        <f>IFERROR(__xludf.DUMMYFUNCTION("""COMPUTED_VALUE"""),"Fallback campaign")</f>
        <v>Fallback campaign</v>
      </c>
      <c r="E473" s="208" t="str">
        <f>IFERROR(__xludf.DUMMYFUNCTION("""COMPUTED_VALUE"""),"VS")</f>
        <v>VS</v>
      </c>
      <c r="F473" s="208" t="str">
        <f>IFERROR(__xludf.DUMMYFUNCTION("""COMPUTED_VALUE"""),"Semi-Annual Sale (June) - All")</f>
        <v>Semi-Annual Sale (June) - All</v>
      </c>
      <c r="G473" s="208" t="str">
        <f>IFERROR(__xludf.DUMMYFUNCTION("""COMPUTED_VALUE"""),"SAS_Stores_Raipur_BA (FB)")</f>
        <v>SAS_Stores_Raipur_BA (FB)</v>
      </c>
      <c r="H473" s="208" t="str">
        <f>IFERROR(__xludf.DUMMYFUNCTION("""COMPUTED_VALUE"""),"vs_off_pr_1271_16thmarch")</f>
        <v>vs_off_pr_1271_16thmarch</v>
      </c>
      <c r="I473" s="233" t="str">
        <f>IFERROR(__xludf.DUMMYFUNCTION("""COMPUTED_VALUE"""),"WA Undelivered")</f>
        <v>WA Undelivered</v>
      </c>
      <c r="J473" s="275">
        <f>IFERROR(__xludf.DUMMYFUNCTION("""COMPUTED_VALUE"""),990.0)</f>
        <v>990</v>
      </c>
      <c r="K473" s="275">
        <f>IFERROR(__xludf.DUMMYFUNCTION("""COMPUTED_VALUE"""),713.0)</f>
        <v>713</v>
      </c>
      <c r="L473" s="276">
        <f>IFERROR(__xludf.DUMMYFUNCTION("""COMPUTED_VALUE"""),0.7202)</f>
        <v>0.7202</v>
      </c>
      <c r="M473" s="275">
        <f>IFERROR(__xludf.DUMMYFUNCTION("""COMPUTED_VALUE"""),0.0)</f>
        <v>0</v>
      </c>
      <c r="N473" s="276">
        <f>IFERROR(__xludf.DUMMYFUNCTION("""COMPUTED_VALUE"""),0.0)</f>
        <v>0</v>
      </c>
      <c r="O473" s="208">
        <f>IFERROR(__xludf.DUMMYFUNCTION("""COMPUTED_VALUE"""),0.0)</f>
        <v>0</v>
      </c>
      <c r="P473" s="208">
        <f>IFERROR(__xludf.DUMMYFUNCTION("""COMPUTED_VALUE"""),0.0)</f>
        <v>0</v>
      </c>
      <c r="Q473" s="276">
        <f>IFERROR(__xludf.DUMMYFUNCTION("""COMPUTED_VALUE"""),0.0)</f>
        <v>0</v>
      </c>
      <c r="R473" s="276">
        <f>IFERROR(__xludf.DUMMYFUNCTION("""COMPUTED_VALUE"""),0.0)</f>
        <v>0</v>
      </c>
      <c r="S473" s="208">
        <f>IFERROR(__xludf.DUMMYFUNCTION("""COMPUTED_VALUE"""),4.0)</f>
        <v>4</v>
      </c>
      <c r="T473" s="208">
        <f>IFERROR(__xludf.DUMMYFUNCTION("""COMPUTED_VALUE"""),0.0)</f>
        <v>0</v>
      </c>
      <c r="U473" s="275">
        <f>IFERROR(__xludf.DUMMYFUNCTION("""COMPUTED_VALUE"""),77687.0)</f>
        <v>77687</v>
      </c>
      <c r="V473" s="208" t="str">
        <f>IFERROR(__xludf.DUMMYFUNCTION("""COMPUTED_VALUE"""),"offline")</f>
        <v>offline</v>
      </c>
      <c r="W473" s="232" t="str">
        <f>IFERROR(__xludf.DUMMYFUNCTION("""COMPUTED_VALUE"""),"Sms")</f>
        <v>Sms</v>
      </c>
      <c r="X473" s="232" t="str">
        <f>IFERROR(__xludf.DUMMYFUNCTION("""COMPUTED_VALUE"""),"Offline Stores")</f>
        <v>Offline Stores</v>
      </c>
      <c r="Y473" s="232" t="str">
        <f>IFERROR(__xludf.DUMMYFUNCTION("""COMPUTED_VALUE"""),"19th - 21st June")</f>
        <v>19th - 21st June</v>
      </c>
      <c r="Z473" s="232" t="str">
        <f>IFERROR(__xludf.DUMMYFUNCTION("""COMPUTED_VALUE"""),"6a33d9f98ad41a91b477cacd")</f>
        <v>6a33d9f98ad41a91b477cacd</v>
      </c>
      <c r="AA473" s="277">
        <f>IFERROR(__xludf.DUMMYFUNCTION("""COMPUTED_VALUE"""),8.0)</f>
        <v>8</v>
      </c>
      <c r="AB473" s="277"/>
      <c r="AC473" s="277">
        <f>IFERROR(__xludf.DUMMYFUNCTION("""COMPUTED_VALUE"""),8.0)</f>
        <v>8</v>
      </c>
      <c r="AD473" s="277">
        <f>IFERROR(__xludf.DUMMYFUNCTION("""COMPUTED_VALUE"""),96894.0)</f>
        <v>96894</v>
      </c>
      <c r="AE473" s="277"/>
      <c r="AF473" s="277">
        <f>IFERROR(__xludf.DUMMYFUNCTION("""COMPUTED_VALUE"""),96894.0)</f>
        <v>96894</v>
      </c>
      <c r="AG473" s="208"/>
      <c r="AH473" s="208"/>
      <c r="AI473" s="208"/>
      <c r="AJ473" s="208"/>
      <c r="AK473" s="208"/>
    </row>
    <row r="474">
      <c r="A474" s="273">
        <f>IFERROR(__xludf.DUMMYFUNCTION("""COMPUTED_VALUE"""),46192.0)</f>
        <v>46192</v>
      </c>
      <c r="B474" s="274">
        <f>IFERROR(__xludf.DUMMYFUNCTION("""COMPUTED_VALUE"""),0.4375)</f>
        <v>0.4375</v>
      </c>
      <c r="C474" s="208" t="str">
        <f>IFERROR(__xludf.DUMMYFUNCTION("""COMPUTED_VALUE"""),"Sms")</f>
        <v>Sms</v>
      </c>
      <c r="D474" s="208" t="str">
        <f>IFERROR(__xludf.DUMMYFUNCTION("""COMPUTED_VALUE"""),"Fallback campaign")</f>
        <v>Fallback campaign</v>
      </c>
      <c r="E474" s="208" t="str">
        <f>IFERROR(__xludf.DUMMYFUNCTION("""COMPUTED_VALUE"""),"VS")</f>
        <v>VS</v>
      </c>
      <c r="F474" s="208" t="str">
        <f>IFERROR(__xludf.DUMMYFUNCTION("""COMPUTED_VALUE"""),"Semi-Annual Sale (June) - All")</f>
        <v>Semi-Annual Sale (June) - All</v>
      </c>
      <c r="G474" s="208" t="str">
        <f>IFERROR(__xludf.DUMMYFUNCTION("""COMPUTED_VALUE"""),"SAS_Stores_LKN_BA (FB)")</f>
        <v>SAS_Stores_LKN_BA (FB)</v>
      </c>
      <c r="H474" s="208" t="str">
        <f>IFERROR(__xludf.DUMMYFUNCTION("""COMPUTED_VALUE"""),"vs_off_pr_1225_16thmarch")</f>
        <v>vs_off_pr_1225_16thmarch</v>
      </c>
      <c r="I474" s="233" t="str">
        <f>IFERROR(__xludf.DUMMYFUNCTION("""COMPUTED_VALUE"""),"WA Undelivered")</f>
        <v>WA Undelivered</v>
      </c>
      <c r="J474" s="275">
        <f>IFERROR(__xludf.DUMMYFUNCTION("""COMPUTED_VALUE"""),909.0)</f>
        <v>909</v>
      </c>
      <c r="K474" s="275">
        <f>IFERROR(__xludf.DUMMYFUNCTION("""COMPUTED_VALUE"""),629.0)</f>
        <v>629</v>
      </c>
      <c r="L474" s="276">
        <f>IFERROR(__xludf.DUMMYFUNCTION("""COMPUTED_VALUE"""),0.692)</f>
        <v>0.692</v>
      </c>
      <c r="M474" s="275">
        <f>IFERROR(__xludf.DUMMYFUNCTION("""COMPUTED_VALUE"""),0.0)</f>
        <v>0</v>
      </c>
      <c r="N474" s="276">
        <f>IFERROR(__xludf.DUMMYFUNCTION("""COMPUTED_VALUE"""),0.0)</f>
        <v>0</v>
      </c>
      <c r="O474" s="208">
        <f>IFERROR(__xludf.DUMMYFUNCTION("""COMPUTED_VALUE"""),0.0)</f>
        <v>0</v>
      </c>
      <c r="P474" s="208">
        <f>IFERROR(__xludf.DUMMYFUNCTION("""COMPUTED_VALUE"""),0.0)</f>
        <v>0</v>
      </c>
      <c r="Q474" s="276">
        <f>IFERROR(__xludf.DUMMYFUNCTION("""COMPUTED_VALUE"""),0.0)</f>
        <v>0</v>
      </c>
      <c r="R474" s="276">
        <f>IFERROR(__xludf.DUMMYFUNCTION("""COMPUTED_VALUE"""),0.0)</f>
        <v>0</v>
      </c>
      <c r="S474" s="208">
        <f>IFERROR(__xludf.DUMMYFUNCTION("""COMPUTED_VALUE"""),2.0)</f>
        <v>2</v>
      </c>
      <c r="T474" s="208">
        <f>IFERROR(__xludf.DUMMYFUNCTION("""COMPUTED_VALUE"""),0.0)</f>
        <v>0</v>
      </c>
      <c r="U474" s="275">
        <f>IFERROR(__xludf.DUMMYFUNCTION("""COMPUTED_VALUE"""),20093.0)</f>
        <v>20093</v>
      </c>
      <c r="V474" s="208" t="str">
        <f>IFERROR(__xludf.DUMMYFUNCTION("""COMPUTED_VALUE"""),"offline")</f>
        <v>offline</v>
      </c>
      <c r="W474" s="232" t="str">
        <f>IFERROR(__xludf.DUMMYFUNCTION("""COMPUTED_VALUE"""),"Sms")</f>
        <v>Sms</v>
      </c>
      <c r="X474" s="232" t="str">
        <f>IFERROR(__xludf.DUMMYFUNCTION("""COMPUTED_VALUE"""),"Offline Stores")</f>
        <v>Offline Stores</v>
      </c>
      <c r="Y474" s="232" t="str">
        <f>IFERROR(__xludf.DUMMYFUNCTION("""COMPUTED_VALUE"""),"19th - 21st June")</f>
        <v>19th - 21st June</v>
      </c>
      <c r="Z474" s="232" t="str">
        <f>IFERROR(__xludf.DUMMYFUNCTION("""COMPUTED_VALUE"""),"6a33da5b9271ac9e5b18cdbb")</f>
        <v>6a33da5b9271ac9e5b18cdbb</v>
      </c>
      <c r="AA474" s="277">
        <f>IFERROR(__xludf.DUMMYFUNCTION("""COMPUTED_VALUE"""),4.0)</f>
        <v>4</v>
      </c>
      <c r="AB474" s="277"/>
      <c r="AC474" s="277">
        <f>IFERROR(__xludf.DUMMYFUNCTION("""COMPUTED_VALUE"""),4.0)</f>
        <v>4</v>
      </c>
      <c r="AD474" s="277">
        <f>IFERROR(__xludf.DUMMYFUNCTION("""COMPUTED_VALUE"""),25815.0)</f>
        <v>25815</v>
      </c>
      <c r="AE474" s="277"/>
      <c r="AF474" s="277">
        <f>IFERROR(__xludf.DUMMYFUNCTION("""COMPUTED_VALUE"""),25815.0)</f>
        <v>25815</v>
      </c>
      <c r="AG474" s="208"/>
      <c r="AH474" s="208"/>
      <c r="AI474" s="208"/>
      <c r="AJ474" s="208"/>
      <c r="AK474" s="208"/>
    </row>
    <row r="475">
      <c r="A475" s="273">
        <f>IFERROR(__xludf.DUMMYFUNCTION("""COMPUTED_VALUE"""),46192.0)</f>
        <v>46192</v>
      </c>
      <c r="B475" s="274">
        <f>IFERROR(__xludf.DUMMYFUNCTION("""COMPUTED_VALUE"""),0.4375)</f>
        <v>0.4375</v>
      </c>
      <c r="C475" s="208" t="str">
        <f>IFERROR(__xludf.DUMMYFUNCTION("""COMPUTED_VALUE"""),"Sms")</f>
        <v>Sms</v>
      </c>
      <c r="D475" s="208" t="str">
        <f>IFERROR(__xludf.DUMMYFUNCTION("""COMPUTED_VALUE"""),"Fallback campaign")</f>
        <v>Fallback campaign</v>
      </c>
      <c r="E475" s="208" t="str">
        <f>IFERROR(__xludf.DUMMYFUNCTION("""COMPUTED_VALUE"""),"VS")</f>
        <v>VS</v>
      </c>
      <c r="F475" s="208" t="str">
        <f>IFERROR(__xludf.DUMMYFUNCTION("""COMPUTED_VALUE"""),"Semi-Annual Sale (June) - All")</f>
        <v>Semi-Annual Sale (June) - All</v>
      </c>
      <c r="G475" s="208" t="str">
        <f>IFERROR(__xludf.DUMMYFUNCTION("""COMPUTED_VALUE"""),"SAS_Stores_HYD_BA (FB)")</f>
        <v>SAS_Stores_HYD_BA (FB)</v>
      </c>
      <c r="H475" s="208" t="str">
        <f>IFERROR(__xludf.DUMMYFUNCTION("""COMPUTED_VALUE"""),"vs_off_pr_97006_97013_1280_16thmarch")</f>
        <v>vs_off_pr_97006_97013_1280_16thmarch</v>
      </c>
      <c r="I475" s="233" t="str">
        <f>IFERROR(__xludf.DUMMYFUNCTION("""COMPUTED_VALUE"""),"WA Undelivered")</f>
        <v>WA Undelivered</v>
      </c>
      <c r="J475" s="275">
        <f>IFERROR(__xludf.DUMMYFUNCTION("""COMPUTED_VALUE"""),5780.0)</f>
        <v>5780</v>
      </c>
      <c r="K475" s="275">
        <f>IFERROR(__xludf.DUMMYFUNCTION("""COMPUTED_VALUE"""),3932.0)</f>
        <v>3932</v>
      </c>
      <c r="L475" s="276">
        <f>IFERROR(__xludf.DUMMYFUNCTION("""COMPUTED_VALUE"""),0.6803)</f>
        <v>0.6803</v>
      </c>
      <c r="M475" s="275">
        <f>IFERROR(__xludf.DUMMYFUNCTION("""COMPUTED_VALUE"""),0.0)</f>
        <v>0</v>
      </c>
      <c r="N475" s="276">
        <f>IFERROR(__xludf.DUMMYFUNCTION("""COMPUTED_VALUE"""),0.0)</f>
        <v>0</v>
      </c>
      <c r="O475" s="208">
        <f>IFERROR(__xludf.DUMMYFUNCTION("""COMPUTED_VALUE"""),0.0)</f>
        <v>0</v>
      </c>
      <c r="P475" s="208">
        <f>IFERROR(__xludf.DUMMYFUNCTION("""COMPUTED_VALUE"""),0.0)</f>
        <v>0</v>
      </c>
      <c r="Q475" s="276">
        <f>IFERROR(__xludf.DUMMYFUNCTION("""COMPUTED_VALUE"""),0.0)</f>
        <v>0</v>
      </c>
      <c r="R475" s="276">
        <f>IFERROR(__xludf.DUMMYFUNCTION("""COMPUTED_VALUE"""),0.0)</f>
        <v>0</v>
      </c>
      <c r="S475" s="208">
        <f>IFERROR(__xludf.DUMMYFUNCTION("""COMPUTED_VALUE"""),13.0)</f>
        <v>13</v>
      </c>
      <c r="T475" s="208">
        <f>IFERROR(__xludf.DUMMYFUNCTION("""COMPUTED_VALUE"""),0.0)</f>
        <v>0</v>
      </c>
      <c r="U475" s="275">
        <f>IFERROR(__xludf.DUMMYFUNCTION("""COMPUTED_VALUE"""),70930.0)</f>
        <v>70930</v>
      </c>
      <c r="V475" s="208" t="str">
        <f>IFERROR(__xludf.DUMMYFUNCTION("""COMPUTED_VALUE"""),"offline")</f>
        <v>offline</v>
      </c>
      <c r="W475" s="232" t="str">
        <f>IFERROR(__xludf.DUMMYFUNCTION("""COMPUTED_VALUE"""),"Sms")</f>
        <v>Sms</v>
      </c>
      <c r="X475" s="232" t="str">
        <f>IFERROR(__xludf.DUMMYFUNCTION("""COMPUTED_VALUE"""),"Offline Stores")</f>
        <v>Offline Stores</v>
      </c>
      <c r="Y475" s="232" t="str">
        <f>IFERROR(__xludf.DUMMYFUNCTION("""COMPUTED_VALUE"""),"19th - 21st June")</f>
        <v>19th - 21st June</v>
      </c>
      <c r="Z475" s="232" t="str">
        <f>IFERROR(__xludf.DUMMYFUNCTION("""COMPUTED_VALUE"""),"6a33dacae620b0752461bb88")</f>
        <v>6a33dacae620b0752461bb88</v>
      </c>
      <c r="AA475" s="277">
        <f>IFERROR(__xludf.DUMMYFUNCTION("""COMPUTED_VALUE"""),16.0)</f>
        <v>16</v>
      </c>
      <c r="AB475" s="277"/>
      <c r="AC475" s="277">
        <f>IFERROR(__xludf.DUMMYFUNCTION("""COMPUTED_VALUE"""),16.0)</f>
        <v>16</v>
      </c>
      <c r="AD475" s="277">
        <f>IFERROR(__xludf.DUMMYFUNCTION("""COMPUTED_VALUE"""),94416.0)</f>
        <v>94416</v>
      </c>
      <c r="AE475" s="277"/>
      <c r="AF475" s="277">
        <f>IFERROR(__xludf.DUMMYFUNCTION("""COMPUTED_VALUE"""),94416.0)</f>
        <v>94416</v>
      </c>
      <c r="AG475" s="208"/>
      <c r="AH475" s="208"/>
      <c r="AI475" s="208"/>
      <c r="AJ475" s="208"/>
      <c r="AK475" s="208"/>
    </row>
    <row r="476">
      <c r="A476" s="273">
        <f>IFERROR(__xludf.DUMMYFUNCTION("""COMPUTED_VALUE"""),46192.0)</f>
        <v>46192</v>
      </c>
      <c r="B476" s="274">
        <f>IFERROR(__xludf.DUMMYFUNCTION("""COMPUTED_VALUE"""),0.4375)</f>
        <v>0.4375</v>
      </c>
      <c r="C476" s="208" t="str">
        <f>IFERROR(__xludf.DUMMYFUNCTION("""COMPUTED_VALUE"""),"Sms")</f>
        <v>Sms</v>
      </c>
      <c r="D476" s="208" t="str">
        <f>IFERROR(__xludf.DUMMYFUNCTION("""COMPUTED_VALUE"""),"Fallback campaign")</f>
        <v>Fallback campaign</v>
      </c>
      <c r="E476" s="208" t="str">
        <f>IFERROR(__xludf.DUMMYFUNCTION("""COMPUTED_VALUE"""),"VS")</f>
        <v>VS</v>
      </c>
      <c r="F476" s="208" t="str">
        <f>IFERROR(__xludf.DUMMYFUNCTION("""COMPUTED_VALUE"""),"Semi-Annual Sale (June) - All")</f>
        <v>Semi-Annual Sale (June) - All</v>
      </c>
      <c r="G476" s="208" t="str">
        <f>IFERROR(__xludf.DUMMYFUNCTION("""COMPUTED_VALUE"""),"SAS_Stores_Chennai_BA (FB)")</f>
        <v>SAS_Stores_Chennai_BA (FB)</v>
      </c>
      <c r="H476" s="208" t="str">
        <f>IFERROR(__xludf.DUMMYFUNCTION("""COMPUTED_VALUE"""),"vs_off_pr_1252_16thmarch")</f>
        <v>vs_off_pr_1252_16thmarch</v>
      </c>
      <c r="I476" s="233" t="str">
        <f>IFERROR(__xludf.DUMMYFUNCTION("""COMPUTED_VALUE"""),"WA Undelivered")</f>
        <v>WA Undelivered</v>
      </c>
      <c r="J476" s="275">
        <f>IFERROR(__xludf.DUMMYFUNCTION("""COMPUTED_VALUE"""),1354.0)</f>
        <v>1354</v>
      </c>
      <c r="K476" s="275">
        <f>IFERROR(__xludf.DUMMYFUNCTION("""COMPUTED_VALUE"""),901.0)</f>
        <v>901</v>
      </c>
      <c r="L476" s="276">
        <f>IFERROR(__xludf.DUMMYFUNCTION("""COMPUTED_VALUE"""),0.6654)</f>
        <v>0.6654</v>
      </c>
      <c r="M476" s="275">
        <f>IFERROR(__xludf.DUMMYFUNCTION("""COMPUTED_VALUE"""),0.0)</f>
        <v>0</v>
      </c>
      <c r="N476" s="276">
        <f>IFERROR(__xludf.DUMMYFUNCTION("""COMPUTED_VALUE"""),0.0)</f>
        <v>0</v>
      </c>
      <c r="O476" s="208">
        <f>IFERROR(__xludf.DUMMYFUNCTION("""COMPUTED_VALUE"""),0.0)</f>
        <v>0</v>
      </c>
      <c r="P476" s="208">
        <f>IFERROR(__xludf.DUMMYFUNCTION("""COMPUTED_VALUE"""),0.0)</f>
        <v>0</v>
      </c>
      <c r="Q476" s="276">
        <f>IFERROR(__xludf.DUMMYFUNCTION("""COMPUTED_VALUE"""),0.0)</f>
        <v>0</v>
      </c>
      <c r="R476" s="276">
        <f>IFERROR(__xludf.DUMMYFUNCTION("""COMPUTED_VALUE"""),0.0)</f>
        <v>0</v>
      </c>
      <c r="S476" s="208">
        <f>IFERROR(__xludf.DUMMYFUNCTION("""COMPUTED_VALUE"""),0.0)</f>
        <v>0</v>
      </c>
      <c r="T476" s="208">
        <f>IFERROR(__xludf.DUMMYFUNCTION("""COMPUTED_VALUE"""),0.0)</f>
        <v>0</v>
      </c>
      <c r="U476" s="275">
        <f>IFERROR(__xludf.DUMMYFUNCTION("""COMPUTED_VALUE"""),0.0)</f>
        <v>0</v>
      </c>
      <c r="V476" s="208" t="str">
        <f>IFERROR(__xludf.DUMMYFUNCTION("""COMPUTED_VALUE"""),"offline")</f>
        <v>offline</v>
      </c>
      <c r="W476" s="232" t="str">
        <f>IFERROR(__xludf.DUMMYFUNCTION("""COMPUTED_VALUE"""),"Sms")</f>
        <v>Sms</v>
      </c>
      <c r="X476" s="232" t="str">
        <f>IFERROR(__xludf.DUMMYFUNCTION("""COMPUTED_VALUE"""),"Offline Stores")</f>
        <v>Offline Stores</v>
      </c>
      <c r="Y476" s="232" t="str">
        <f>IFERROR(__xludf.DUMMYFUNCTION("""COMPUTED_VALUE"""),"19th - 21st June")</f>
        <v>19th - 21st June</v>
      </c>
      <c r="Z476" s="232" t="str">
        <f>IFERROR(__xludf.DUMMYFUNCTION("""COMPUTED_VALUE"""),"6a33db1bad37d8bd51a4380f")</f>
        <v>6a33db1bad37d8bd51a4380f</v>
      </c>
      <c r="AA476" s="277">
        <f>IFERROR(__xludf.DUMMYFUNCTION("""COMPUTED_VALUE"""),2.0)</f>
        <v>2</v>
      </c>
      <c r="AB476" s="277"/>
      <c r="AC476" s="277">
        <f>IFERROR(__xludf.DUMMYFUNCTION("""COMPUTED_VALUE"""),2.0)</f>
        <v>2</v>
      </c>
      <c r="AD476" s="277">
        <f>IFERROR(__xludf.DUMMYFUNCTION("""COMPUTED_VALUE"""),5702.0)</f>
        <v>5702</v>
      </c>
      <c r="AE476" s="277"/>
      <c r="AF476" s="277">
        <f>IFERROR(__xludf.DUMMYFUNCTION("""COMPUTED_VALUE"""),5702.0)</f>
        <v>5702</v>
      </c>
      <c r="AG476" s="208"/>
      <c r="AH476" s="208"/>
      <c r="AI476" s="208"/>
      <c r="AJ476" s="208"/>
      <c r="AK476" s="208"/>
    </row>
    <row r="477">
      <c r="A477" s="273">
        <f>IFERROR(__xludf.DUMMYFUNCTION("""COMPUTED_VALUE"""),46192.0)</f>
        <v>46192</v>
      </c>
      <c r="B477" s="274">
        <f>IFERROR(__xludf.DUMMYFUNCTION("""COMPUTED_VALUE"""),0.4375)</f>
        <v>0.4375</v>
      </c>
      <c r="C477" s="208" t="str">
        <f>IFERROR(__xludf.DUMMYFUNCTION("""COMPUTED_VALUE"""),"Sms")</f>
        <v>Sms</v>
      </c>
      <c r="D477" s="208" t="str">
        <f>IFERROR(__xludf.DUMMYFUNCTION("""COMPUTED_VALUE"""),"Fallback campaign")</f>
        <v>Fallback campaign</v>
      </c>
      <c r="E477" s="208" t="str">
        <f>IFERROR(__xludf.DUMMYFUNCTION("""COMPUTED_VALUE"""),"VS")</f>
        <v>VS</v>
      </c>
      <c r="F477" s="208" t="str">
        <f>IFERROR(__xludf.DUMMYFUNCTION("""COMPUTED_VALUE"""),"Semi-Annual Sale (June) - All")</f>
        <v>Semi-Annual Sale (June) - All</v>
      </c>
      <c r="G477" s="208" t="str">
        <f>IFERROR(__xludf.DUMMYFUNCTION("""COMPUTED_VALUE"""),"SAS_Stores_Kochi_BA (FB)")</f>
        <v>SAS_Stores_Kochi_BA (FB)</v>
      </c>
      <c r="H477" s="208" t="str">
        <f>IFERROR(__xludf.DUMMYFUNCTION("""COMPUTED_VALUE"""),"vs_off_pr_97011_16thmarch")</f>
        <v>vs_off_pr_97011_16thmarch</v>
      </c>
      <c r="I477" s="233" t="str">
        <f>IFERROR(__xludf.DUMMYFUNCTION("""COMPUTED_VALUE"""),"WA Undelivered")</f>
        <v>WA Undelivered</v>
      </c>
      <c r="J477" s="275">
        <f>IFERROR(__xludf.DUMMYFUNCTION("""COMPUTED_VALUE"""),2075.0)</f>
        <v>2075</v>
      </c>
      <c r="K477" s="275">
        <f>IFERROR(__xludf.DUMMYFUNCTION("""COMPUTED_VALUE"""),1412.0)</f>
        <v>1412</v>
      </c>
      <c r="L477" s="276">
        <f>IFERROR(__xludf.DUMMYFUNCTION("""COMPUTED_VALUE"""),0.6805)</f>
        <v>0.6805</v>
      </c>
      <c r="M477" s="275">
        <f>IFERROR(__xludf.DUMMYFUNCTION("""COMPUTED_VALUE"""),0.0)</f>
        <v>0</v>
      </c>
      <c r="N477" s="276">
        <f>IFERROR(__xludf.DUMMYFUNCTION("""COMPUTED_VALUE"""),0.0)</f>
        <v>0</v>
      </c>
      <c r="O477" s="208">
        <f>IFERROR(__xludf.DUMMYFUNCTION("""COMPUTED_VALUE"""),0.0)</f>
        <v>0</v>
      </c>
      <c r="P477" s="208">
        <f>IFERROR(__xludf.DUMMYFUNCTION("""COMPUTED_VALUE"""),0.0)</f>
        <v>0</v>
      </c>
      <c r="Q477" s="276">
        <f>IFERROR(__xludf.DUMMYFUNCTION("""COMPUTED_VALUE"""),0.0)</f>
        <v>0</v>
      </c>
      <c r="R477" s="276">
        <f>IFERROR(__xludf.DUMMYFUNCTION("""COMPUTED_VALUE"""),0.0)</f>
        <v>0</v>
      </c>
      <c r="S477" s="208">
        <f>IFERROR(__xludf.DUMMYFUNCTION("""COMPUTED_VALUE"""),2.0)</f>
        <v>2</v>
      </c>
      <c r="T477" s="208">
        <f>IFERROR(__xludf.DUMMYFUNCTION("""COMPUTED_VALUE"""),0.0)</f>
        <v>0</v>
      </c>
      <c r="U477" s="275">
        <f>IFERROR(__xludf.DUMMYFUNCTION("""COMPUTED_VALUE"""),12784.0)</f>
        <v>12784</v>
      </c>
      <c r="V477" s="208" t="str">
        <f>IFERROR(__xludf.DUMMYFUNCTION("""COMPUTED_VALUE"""),"offline")</f>
        <v>offline</v>
      </c>
      <c r="W477" s="232" t="str">
        <f>IFERROR(__xludf.DUMMYFUNCTION("""COMPUTED_VALUE"""),"Sms")</f>
        <v>Sms</v>
      </c>
      <c r="X477" s="232" t="str">
        <f>IFERROR(__xludf.DUMMYFUNCTION("""COMPUTED_VALUE"""),"Offline Stores")</f>
        <v>Offline Stores</v>
      </c>
      <c r="Y477" s="232" t="str">
        <f>IFERROR(__xludf.DUMMYFUNCTION("""COMPUTED_VALUE"""),"19th - 21st June")</f>
        <v>19th - 21st June</v>
      </c>
      <c r="Z477" s="232" t="str">
        <f>IFERROR(__xludf.DUMMYFUNCTION("""COMPUTED_VALUE"""),"6a33db6add67083618fd73ab")</f>
        <v>6a33db6add67083618fd73ab</v>
      </c>
      <c r="AA477" s="277">
        <f>IFERROR(__xludf.DUMMYFUNCTION("""COMPUTED_VALUE"""),2.0)</f>
        <v>2</v>
      </c>
      <c r="AB477" s="277"/>
      <c r="AC477" s="277">
        <f>IFERROR(__xludf.DUMMYFUNCTION("""COMPUTED_VALUE"""),2.0)</f>
        <v>2</v>
      </c>
      <c r="AD477" s="277">
        <f>IFERROR(__xludf.DUMMYFUNCTION("""COMPUTED_VALUE"""),12784.0)</f>
        <v>12784</v>
      </c>
      <c r="AE477" s="277"/>
      <c r="AF477" s="277">
        <f>IFERROR(__xludf.DUMMYFUNCTION("""COMPUTED_VALUE"""),12784.0)</f>
        <v>12784</v>
      </c>
      <c r="AG477" s="208"/>
      <c r="AH477" s="208"/>
      <c r="AI477" s="208"/>
      <c r="AJ477" s="208"/>
      <c r="AK477" s="208"/>
    </row>
    <row r="478">
      <c r="A478" s="273">
        <f>IFERROR(__xludf.DUMMYFUNCTION("""COMPUTED_VALUE"""),46199.0)</f>
        <v>46199</v>
      </c>
      <c r="B478" s="274">
        <f>IFERROR(__xludf.DUMMYFUNCTION("""COMPUTED_VALUE"""),0.7083333333321207)</f>
        <v>0.7083333333</v>
      </c>
      <c r="C478" s="208" t="str">
        <f>IFERROR(__xludf.DUMMYFUNCTION("""COMPUTED_VALUE"""),"Whatsapp")</f>
        <v>Whatsapp</v>
      </c>
      <c r="D478" s="208" t="str">
        <f>IFERROR(__xludf.DUMMYFUNCTION("""COMPUTED_VALUE"""),"Promotional")</f>
        <v>Promotional</v>
      </c>
      <c r="E478" s="208" t="str">
        <f>IFERROR(__xludf.DUMMYFUNCTION("""COMPUTED_VALUE"""),"VS")</f>
        <v>VS</v>
      </c>
      <c r="F478" s="208" t="str">
        <f>IFERROR(__xludf.DUMMYFUNCTION("""COMPUTED_VALUE"""),"SAS - June 2026 - All")</f>
        <v>SAS - June 2026 - All</v>
      </c>
      <c r="G478" s="208" t="str">
        <f>IFERROR(__xludf.DUMMYFUNCTION("""COMPUTED_VALUE"""),"SAS_Off_Event_CX (26)")</f>
        <v>SAS_Off_Event_CX (26)</v>
      </c>
      <c r="H478" s="208" t="str">
        <f>IFERROR(__xludf.DUMMYFUNCTION("""COMPUTED_VALUE"""),"VS_OFF_Event_Buyers_03_06_26")</f>
        <v>VS_OFF_Event_Buyers_03_06_26</v>
      </c>
      <c r="I478" s="233" t="str">
        <f>IFERROR(__xludf.DUMMYFUNCTION("""COMPUTED_VALUE"""),"Offline Customers who have purchased at least 1 time during 5–7 May 2023, 15 June–13 July 2023, 6–8 October 2023, 15 December 2023–12 January 2024, 10–12 May 2024, 13 June–4 July 2024, 25–27 October 2024, 19 December 2024–9 January 2025, 9–11 May 2025, 11"&amp;"–30 June 2025, 2–5 October 2025, 17 December 2025–22 January 2026, or 7–12 May 2026.(SAS and TILI)")</f>
        <v>Offline Customers who have purchased at least 1 time during 5–7 May 2023, 15 June–13 July 2023, 6–8 October 2023, 15 December 2023–12 January 2024, 10–12 May 2024, 13 June–4 July 2024, 25–27 October 2024, 19 December 2024–9 January 2025, 9–11 May 2025, 11–30 June 2025, 2–5 October 2025, 17 December 2025–22 January 2026, or 7–12 May 2026.(SAS and TILI)</v>
      </c>
      <c r="J478" s="275">
        <f>IFERROR(__xludf.DUMMYFUNCTION("""COMPUTED_VALUE"""),59042.0)</f>
        <v>59042</v>
      </c>
      <c r="K478" s="275">
        <f>IFERROR(__xludf.DUMMYFUNCTION("""COMPUTED_VALUE"""),32208.0)</f>
        <v>32208</v>
      </c>
      <c r="L478" s="276">
        <f>IFERROR(__xludf.DUMMYFUNCTION("""COMPUTED_VALUE"""),0.5448)</f>
        <v>0.5448</v>
      </c>
      <c r="M478" s="275">
        <f>IFERROR(__xludf.DUMMYFUNCTION("""COMPUTED_VALUE"""),7323.0)</f>
        <v>7323</v>
      </c>
      <c r="N478" s="276">
        <f>IFERROR(__xludf.DUMMYFUNCTION("""COMPUTED_VALUE"""),0.2267)</f>
        <v>0.2267</v>
      </c>
      <c r="O478" s="208">
        <f>IFERROR(__xludf.DUMMYFUNCTION("""COMPUTED_VALUE"""),422.0)</f>
        <v>422</v>
      </c>
      <c r="P478" s="208">
        <f>IFERROR(__xludf.DUMMYFUNCTION("""COMPUTED_VALUE"""),399.0)</f>
        <v>399</v>
      </c>
      <c r="Q478" s="276">
        <f>IFERROR(__xludf.DUMMYFUNCTION("""COMPUTED_VALUE"""),0.0124)</f>
        <v>0.0124</v>
      </c>
      <c r="R478" s="276">
        <f>IFERROR(__xludf.DUMMYFUNCTION("""COMPUTED_VALUE"""),0.0547)</f>
        <v>0.0547</v>
      </c>
      <c r="S478" s="208">
        <f>IFERROR(__xludf.DUMMYFUNCTION("""COMPUTED_VALUE"""),136.0)</f>
        <v>136</v>
      </c>
      <c r="T478" s="208">
        <f>IFERROR(__xludf.DUMMYFUNCTION("""COMPUTED_VALUE"""),0.0)</f>
        <v>0</v>
      </c>
      <c r="U478" s="275">
        <f>IFERROR(__xludf.DUMMYFUNCTION("""COMPUTED_VALUE"""),1124772.0)</f>
        <v>1124772</v>
      </c>
      <c r="V478" s="208" t="str">
        <f>IFERROR(__xludf.DUMMYFUNCTION("""COMPUTED_VALUE"""),"offline")</f>
        <v>offline</v>
      </c>
      <c r="W478" s="232" t="str">
        <f>IFERROR(__xludf.DUMMYFUNCTION("""COMPUTED_VALUE"""),"simple")</f>
        <v>simple</v>
      </c>
      <c r="X478" s="232" t="str">
        <f>IFERROR(__xludf.DUMMYFUNCTION("""COMPUTED_VALUE"""),"Event Buyers")</f>
        <v>Event Buyers</v>
      </c>
      <c r="Y478" s="232" t="str">
        <f>IFERROR(__xludf.DUMMYFUNCTION("""COMPUTED_VALUE"""),"26th - 28th June")</f>
        <v>26th - 28th June</v>
      </c>
      <c r="Z478" s="232" t="str">
        <f>IFERROR(__xludf.DUMMYFUNCTION("""COMPUTED_VALUE"""),"6a3e5ec566127fc4accd3298")</f>
        <v>6a3e5ec566127fc4accd3298</v>
      </c>
      <c r="AA478" s="277">
        <f>IFERROR(__xludf.DUMMYFUNCTION("""COMPUTED_VALUE"""),248.0)</f>
        <v>248</v>
      </c>
      <c r="AB478" s="277"/>
      <c r="AC478" s="277">
        <f>IFERROR(__xludf.DUMMYFUNCTION("""COMPUTED_VALUE"""),248.0)</f>
        <v>248</v>
      </c>
      <c r="AD478" s="277">
        <f>IFERROR(__xludf.DUMMYFUNCTION("""COMPUTED_VALUE"""),1872994.0)</f>
        <v>1872994</v>
      </c>
      <c r="AE478" s="277"/>
      <c r="AF478" s="277">
        <f>IFERROR(__xludf.DUMMYFUNCTION("""COMPUTED_VALUE"""),1872994.0)</f>
        <v>1872994</v>
      </c>
      <c r="AG478" s="208"/>
      <c r="AH478" s="208"/>
      <c r="AI478" s="208"/>
      <c r="AJ478" s="208"/>
      <c r="AK478" s="208"/>
    </row>
    <row r="479">
      <c r="A479" s="273">
        <f>IFERROR(__xludf.DUMMYFUNCTION("""COMPUTED_VALUE"""),46199.0)</f>
        <v>46199</v>
      </c>
      <c r="B479" s="274">
        <f>IFERROR(__xludf.DUMMYFUNCTION("""COMPUTED_VALUE"""),0.7118055555547471)</f>
        <v>0.7118055556</v>
      </c>
      <c r="C479" s="208" t="str">
        <f>IFERROR(__xludf.DUMMYFUNCTION("""COMPUTED_VALUE"""),"Whatsapp")</f>
        <v>Whatsapp</v>
      </c>
      <c r="D479" s="208" t="str">
        <f>IFERROR(__xludf.DUMMYFUNCTION("""COMPUTED_VALUE"""),"Promotional")</f>
        <v>Promotional</v>
      </c>
      <c r="E479" s="208" t="str">
        <f>IFERROR(__xludf.DUMMYFUNCTION("""COMPUTED_VALUE"""),"VS")</f>
        <v>VS</v>
      </c>
      <c r="F479" s="208" t="str">
        <f>IFERROR(__xludf.DUMMYFUNCTION("""COMPUTED_VALUE"""),"SAS - June 2026 - All")</f>
        <v>SAS - June 2026 - All</v>
      </c>
      <c r="G479" s="208" t="str">
        <f>IFERROR(__xludf.DUMMYFUNCTION("""COMPUTED_VALUE"""),"SAS_Off_Recent_CX (26)")</f>
        <v>SAS_Off_Recent_CX (26)</v>
      </c>
      <c r="H479" s="208" t="str">
        <f>IFERROR(__xludf.DUMMYFUNCTION("""COMPUTED_VALUE"""),"VS_OFF_Recent")</f>
        <v>VS_OFF_Recent</v>
      </c>
      <c r="I479" s="233" t="str">
        <f>IFERROR(__xludf.DUMMYFUNCTION("""COMPUTED_VALUE"""),"Offline Customers who have purchased at least 1 time in the last 95 days")</f>
        <v>Offline Customers who have purchased at least 1 time in the last 95 days</v>
      </c>
      <c r="J479" s="275">
        <f>IFERROR(__xludf.DUMMYFUNCTION("""COMPUTED_VALUE"""),16786.0)</f>
        <v>16786</v>
      </c>
      <c r="K479" s="275">
        <f>IFERROR(__xludf.DUMMYFUNCTION("""COMPUTED_VALUE"""),9513.0)</f>
        <v>9513</v>
      </c>
      <c r="L479" s="276">
        <f>IFERROR(__xludf.DUMMYFUNCTION("""COMPUTED_VALUE"""),0.5658)</f>
        <v>0.5658</v>
      </c>
      <c r="M479" s="275">
        <f>IFERROR(__xludf.DUMMYFUNCTION("""COMPUTED_VALUE"""),2561.0)</f>
        <v>2561</v>
      </c>
      <c r="N479" s="276">
        <f>IFERROR(__xludf.DUMMYFUNCTION("""COMPUTED_VALUE"""),0.2676)</f>
        <v>0.2676</v>
      </c>
      <c r="O479" s="208">
        <f>IFERROR(__xludf.DUMMYFUNCTION("""COMPUTED_VALUE"""),183.0)</f>
        <v>183</v>
      </c>
      <c r="P479" s="208">
        <f>IFERROR(__xludf.DUMMYFUNCTION("""COMPUTED_VALUE"""),177.0)</f>
        <v>177</v>
      </c>
      <c r="Q479" s="276">
        <f>IFERROR(__xludf.DUMMYFUNCTION("""COMPUTED_VALUE"""),0.0186)</f>
        <v>0.0186</v>
      </c>
      <c r="R479" s="276">
        <f>IFERROR(__xludf.DUMMYFUNCTION("""COMPUTED_VALUE"""),0.0696)</f>
        <v>0.0696</v>
      </c>
      <c r="S479" s="208">
        <f>IFERROR(__xludf.DUMMYFUNCTION("""COMPUTED_VALUE"""),28.0)</f>
        <v>28</v>
      </c>
      <c r="T479" s="208">
        <f>IFERROR(__xludf.DUMMYFUNCTION("""COMPUTED_VALUE"""),0.0)</f>
        <v>0</v>
      </c>
      <c r="U479" s="275">
        <f>IFERROR(__xludf.DUMMYFUNCTION("""COMPUTED_VALUE"""),239820.0)</f>
        <v>239820</v>
      </c>
      <c r="V479" s="208" t="str">
        <f>IFERROR(__xludf.DUMMYFUNCTION("""COMPUTED_VALUE"""),"offline")</f>
        <v>offline</v>
      </c>
      <c r="W479" s="232" t="str">
        <f>IFERROR(__xludf.DUMMYFUNCTION("""COMPUTED_VALUE"""),"simple")</f>
        <v>simple</v>
      </c>
      <c r="X479" s="232" t="str">
        <f>IFERROR(__xludf.DUMMYFUNCTION("""COMPUTED_VALUE"""),"Recent")</f>
        <v>Recent</v>
      </c>
      <c r="Y479" s="232" t="str">
        <f>IFERROR(__xludf.DUMMYFUNCTION("""COMPUTED_VALUE"""),"26th - 28th June")</f>
        <v>26th - 28th June</v>
      </c>
      <c r="Z479" s="232" t="str">
        <f>IFERROR(__xludf.DUMMYFUNCTION("""COMPUTED_VALUE"""),"6a3e5f57e478099545f7933c")</f>
        <v>6a3e5f57e478099545f7933c</v>
      </c>
      <c r="AA479" s="277">
        <f>IFERROR(__xludf.DUMMYFUNCTION("""COMPUTED_VALUE"""),58.0)</f>
        <v>58</v>
      </c>
      <c r="AB479" s="277"/>
      <c r="AC479" s="277">
        <f>IFERROR(__xludf.DUMMYFUNCTION("""COMPUTED_VALUE"""),58.0)</f>
        <v>58</v>
      </c>
      <c r="AD479" s="277">
        <f>IFERROR(__xludf.DUMMYFUNCTION("""COMPUTED_VALUE"""),529645.0)</f>
        <v>529645</v>
      </c>
      <c r="AE479" s="277"/>
      <c r="AF479" s="277">
        <f>IFERROR(__xludf.DUMMYFUNCTION("""COMPUTED_VALUE"""),529645.0)</f>
        <v>529645</v>
      </c>
      <c r="AG479" s="208"/>
      <c r="AH479" s="208"/>
      <c r="AI479" s="208"/>
      <c r="AJ479" s="208"/>
      <c r="AK479" s="208"/>
    </row>
    <row r="480">
      <c r="A480" s="273">
        <f>IFERROR(__xludf.DUMMYFUNCTION("""COMPUTED_VALUE"""),46199.0)</f>
        <v>46199</v>
      </c>
      <c r="B480" s="274">
        <f>IFERROR(__xludf.DUMMYFUNCTION("""COMPUTED_VALUE"""),0.7152777777773736)</f>
        <v>0.7152777778</v>
      </c>
      <c r="C480" s="208" t="str">
        <f>IFERROR(__xludf.DUMMYFUNCTION("""COMPUTED_VALUE"""),"Whatsapp")</f>
        <v>Whatsapp</v>
      </c>
      <c r="D480" s="208" t="str">
        <f>IFERROR(__xludf.DUMMYFUNCTION("""COMPUTED_VALUE"""),"Promotional")</f>
        <v>Promotional</v>
      </c>
      <c r="E480" s="208" t="str">
        <f>IFERROR(__xludf.DUMMYFUNCTION("""COMPUTED_VALUE"""),"VS")</f>
        <v>VS</v>
      </c>
      <c r="F480" s="208" t="str">
        <f>IFERROR(__xludf.DUMMYFUNCTION("""COMPUTED_VALUE"""),"Semi-Annual Sale (June) - All")</f>
        <v>Semi-Annual Sale (June) - All</v>
      </c>
      <c r="G480" s="208" t="str">
        <f>IFERROR(__xludf.DUMMYFUNCTION("""COMPUTED_VALUE"""),"SAS_Off_LTV&gt;25k_CX (26)")</f>
        <v>SAS_Off_LTV&gt;25k_CX (26)</v>
      </c>
      <c r="H480" s="208" t="str">
        <f>IFERROR(__xludf.DUMMYFUNCTION("""COMPUTED_VALUE"""),"VS_OFF_LTV_25k")</f>
        <v>VS_OFF_LTV_25k</v>
      </c>
      <c r="I480" s="233" t="str">
        <f>IFERROR(__xludf.DUMMYFUNCTION("""COMPUTED_VALUE"""),"Offline Customers who have purchased with LTV &gt; INR 24,999")</f>
        <v>Offline Customers who have purchased with LTV &gt; INR 24,999</v>
      </c>
      <c r="J480" s="275">
        <f>IFERROR(__xludf.DUMMYFUNCTION("""COMPUTED_VALUE"""),8654.0)</f>
        <v>8654</v>
      </c>
      <c r="K480" s="275">
        <f>IFERROR(__xludf.DUMMYFUNCTION("""COMPUTED_VALUE"""),3433.0)</f>
        <v>3433</v>
      </c>
      <c r="L480" s="276">
        <f>IFERROR(__xludf.DUMMYFUNCTION("""COMPUTED_VALUE"""),0.3965)</f>
        <v>0.3965</v>
      </c>
      <c r="M480" s="275">
        <f>IFERROR(__xludf.DUMMYFUNCTION("""COMPUTED_VALUE"""),490.0)</f>
        <v>490</v>
      </c>
      <c r="N480" s="276">
        <f>IFERROR(__xludf.DUMMYFUNCTION("""COMPUTED_VALUE"""),0.1419)</f>
        <v>0.1419</v>
      </c>
      <c r="O480" s="208">
        <f>IFERROR(__xludf.DUMMYFUNCTION("""COMPUTED_VALUE"""),30.0)</f>
        <v>30</v>
      </c>
      <c r="P480" s="208">
        <f>IFERROR(__xludf.DUMMYFUNCTION("""COMPUTED_VALUE"""),28.0)</f>
        <v>28</v>
      </c>
      <c r="Q480" s="276">
        <f>IFERROR(__xludf.DUMMYFUNCTION("""COMPUTED_VALUE"""),0.0082)</f>
        <v>0.0082</v>
      </c>
      <c r="R480" s="276">
        <f>IFERROR(__xludf.DUMMYFUNCTION("""COMPUTED_VALUE"""),0.0575)</f>
        <v>0.0575</v>
      </c>
      <c r="S480" s="208">
        <f>IFERROR(__xludf.DUMMYFUNCTION("""COMPUTED_VALUE"""),26.0)</f>
        <v>26</v>
      </c>
      <c r="T480" s="208">
        <f>IFERROR(__xludf.DUMMYFUNCTION("""COMPUTED_VALUE"""),0.0)</f>
        <v>0</v>
      </c>
      <c r="U480" s="275">
        <f>IFERROR(__xludf.DUMMYFUNCTION("""COMPUTED_VALUE"""),410251.0)</f>
        <v>410251</v>
      </c>
      <c r="V480" s="208" t="str">
        <f>IFERROR(__xludf.DUMMYFUNCTION("""COMPUTED_VALUE"""),"offline")</f>
        <v>offline</v>
      </c>
      <c r="W480" s="232" t="str">
        <f>IFERROR(__xludf.DUMMYFUNCTION("""COMPUTED_VALUE"""),"simple")</f>
        <v>simple</v>
      </c>
      <c r="X480" s="232" t="str">
        <f>IFERROR(__xludf.DUMMYFUNCTION("""COMPUTED_VALUE"""),"LTV &gt; 25k")</f>
        <v>LTV &gt; 25k</v>
      </c>
      <c r="Y480" s="232" t="str">
        <f>IFERROR(__xludf.DUMMYFUNCTION("""COMPUTED_VALUE"""),"26th - 28th June")</f>
        <v>26th - 28th June</v>
      </c>
      <c r="Z480" s="232" t="str">
        <f>IFERROR(__xludf.DUMMYFUNCTION("""COMPUTED_VALUE"""),"6a3e61484ace975d5d55a766")</f>
        <v>6a3e61484ace975d5d55a766</v>
      </c>
      <c r="AA480" s="277">
        <f>IFERROR(__xludf.DUMMYFUNCTION("""COMPUTED_VALUE"""),55.0)</f>
        <v>55</v>
      </c>
      <c r="AB480" s="277"/>
      <c r="AC480" s="277">
        <f>IFERROR(__xludf.DUMMYFUNCTION("""COMPUTED_VALUE"""),55.0)</f>
        <v>55</v>
      </c>
      <c r="AD480" s="277">
        <f>IFERROR(__xludf.DUMMYFUNCTION("""COMPUTED_VALUE"""),690147.0)</f>
        <v>690147</v>
      </c>
      <c r="AE480" s="277"/>
      <c r="AF480" s="277">
        <f>IFERROR(__xludf.DUMMYFUNCTION("""COMPUTED_VALUE"""),690147.0)</f>
        <v>690147</v>
      </c>
      <c r="AG480" s="208"/>
      <c r="AH480" s="208"/>
      <c r="AI480" s="208"/>
      <c r="AJ480" s="208"/>
      <c r="AK480" s="208"/>
    </row>
    <row r="481">
      <c r="A481" s="273">
        <f>IFERROR(__xludf.DUMMYFUNCTION("""COMPUTED_VALUE"""),46199.0)</f>
        <v>46199</v>
      </c>
      <c r="B481" s="274">
        <f>IFERROR(__xludf.DUMMYFUNCTION("""COMPUTED_VALUE"""),0.7916666666678793)</f>
        <v>0.7916666667</v>
      </c>
      <c r="C481" s="208" t="str">
        <f>IFERROR(__xludf.DUMMYFUNCTION("""COMPUTED_VALUE"""),"Sms")</f>
        <v>Sms</v>
      </c>
      <c r="D481" s="208" t="str">
        <f>IFERROR(__xludf.DUMMYFUNCTION("""COMPUTED_VALUE"""),"Fallback campaign")</f>
        <v>Fallback campaign</v>
      </c>
      <c r="E481" s="208" t="str">
        <f>IFERROR(__xludf.DUMMYFUNCTION("""COMPUTED_VALUE"""),"VS")</f>
        <v>VS</v>
      </c>
      <c r="F481" s="208" t="str">
        <f>IFERROR(__xludf.DUMMYFUNCTION("""COMPUTED_VALUE"""),"Semi-Annual Sale (June) - All")</f>
        <v>Semi-Annual Sale (June) - All</v>
      </c>
      <c r="G481" s="208" t="str">
        <f>IFERROR(__xludf.DUMMYFUNCTION("""COMPUTED_VALUE"""),"SAS_Off_Event_CX (FB 26)")</f>
        <v>SAS_Off_Event_CX (FB 26)</v>
      </c>
      <c r="H481" s="208" t="str">
        <f>IFERROR(__xludf.DUMMYFUNCTION("""COMPUTED_VALUE"""),"VS_OFF_Event_Buyers_03_06_26")</f>
        <v>VS_OFF_Event_Buyers_03_06_26</v>
      </c>
      <c r="I481" s="233" t="str">
        <f>IFERROR(__xludf.DUMMYFUNCTION("""COMPUTED_VALUE"""),"WA Undelivered")</f>
        <v>WA Undelivered</v>
      </c>
      <c r="J481" s="275">
        <f>IFERROR(__xludf.DUMMYFUNCTION("""COMPUTED_VALUE"""),24023.0)</f>
        <v>24023</v>
      </c>
      <c r="K481" s="275">
        <f>IFERROR(__xludf.DUMMYFUNCTION("""COMPUTED_VALUE"""),14164.0)</f>
        <v>14164</v>
      </c>
      <c r="L481" s="276">
        <f>IFERROR(__xludf.DUMMYFUNCTION("""COMPUTED_VALUE"""),0.5896)</f>
        <v>0.5896</v>
      </c>
      <c r="M481" s="275">
        <f>IFERROR(__xludf.DUMMYFUNCTION("""COMPUTED_VALUE"""),0.0)</f>
        <v>0</v>
      </c>
      <c r="N481" s="276">
        <f>IFERROR(__xludf.DUMMYFUNCTION("""COMPUTED_VALUE"""),0.0)</f>
        <v>0</v>
      </c>
      <c r="O481" s="208">
        <f>IFERROR(__xludf.DUMMYFUNCTION("""COMPUTED_VALUE"""),25.0)</f>
        <v>25</v>
      </c>
      <c r="P481" s="208">
        <f>IFERROR(__xludf.DUMMYFUNCTION("""COMPUTED_VALUE"""),0.0)</f>
        <v>0</v>
      </c>
      <c r="Q481" s="276">
        <f>IFERROR(__xludf.DUMMYFUNCTION("""COMPUTED_VALUE"""),0.0018)</f>
        <v>0.0018</v>
      </c>
      <c r="R481" s="276">
        <f>IFERROR(__xludf.DUMMYFUNCTION("""COMPUTED_VALUE"""),0.0)</f>
        <v>0</v>
      </c>
      <c r="S481" s="208">
        <f>IFERROR(__xludf.DUMMYFUNCTION("""COMPUTED_VALUE"""),40.0)</f>
        <v>40</v>
      </c>
      <c r="T481" s="208">
        <f>IFERROR(__xludf.DUMMYFUNCTION("""COMPUTED_VALUE"""),0.0)</f>
        <v>0</v>
      </c>
      <c r="U481" s="275">
        <f>IFERROR(__xludf.DUMMYFUNCTION("""COMPUTED_VALUE"""),288112.0)</f>
        <v>288112</v>
      </c>
      <c r="V481" s="208" t="str">
        <f>IFERROR(__xludf.DUMMYFUNCTION("""COMPUTED_VALUE"""),"offline")</f>
        <v>offline</v>
      </c>
      <c r="W481" s="232" t="str">
        <f>IFERROR(__xludf.DUMMYFUNCTION("""COMPUTED_VALUE"""),"Sms")</f>
        <v>Sms</v>
      </c>
      <c r="X481" s="232" t="str">
        <f>IFERROR(__xludf.DUMMYFUNCTION("""COMPUTED_VALUE"""),"Event Buyers")</f>
        <v>Event Buyers</v>
      </c>
      <c r="Y481" s="232" t="str">
        <f>IFERROR(__xludf.DUMMYFUNCTION("""COMPUTED_VALUE"""),"26th - 28th June")</f>
        <v>26th - 28th June</v>
      </c>
      <c r="Z481" s="232" t="str">
        <f>IFERROR(__xludf.DUMMYFUNCTION("""COMPUTED_VALUE"""),"6a3e61e0638f9d2716bd7643")</f>
        <v>6a3e61e0638f9d2716bd7643</v>
      </c>
      <c r="AA481" s="277">
        <f>IFERROR(__xludf.DUMMYFUNCTION("""COMPUTED_VALUE"""),99.0)</f>
        <v>99</v>
      </c>
      <c r="AB481" s="277"/>
      <c r="AC481" s="277">
        <f>IFERROR(__xludf.DUMMYFUNCTION("""COMPUTED_VALUE"""),99.0)</f>
        <v>99</v>
      </c>
      <c r="AD481" s="277">
        <f>IFERROR(__xludf.DUMMYFUNCTION("""COMPUTED_VALUE"""),705531.0)</f>
        <v>705531</v>
      </c>
      <c r="AE481" s="277"/>
      <c r="AF481" s="277">
        <f>IFERROR(__xludf.DUMMYFUNCTION("""COMPUTED_VALUE"""),705531.0)</f>
        <v>705531</v>
      </c>
      <c r="AG481" s="208"/>
      <c r="AH481" s="208"/>
      <c r="AI481" s="208"/>
      <c r="AJ481" s="208"/>
      <c r="AK481" s="208"/>
    </row>
    <row r="482">
      <c r="A482" s="273">
        <f>IFERROR(__xludf.DUMMYFUNCTION("""COMPUTED_VALUE"""),46199.0)</f>
        <v>46199</v>
      </c>
      <c r="B482" s="274">
        <f>IFERROR(__xludf.DUMMYFUNCTION("""COMPUTED_VALUE"""),0.7916666666678793)</f>
        <v>0.7916666667</v>
      </c>
      <c r="C482" s="208" t="str">
        <f>IFERROR(__xludf.DUMMYFUNCTION("""COMPUTED_VALUE"""),"Sms")</f>
        <v>Sms</v>
      </c>
      <c r="D482" s="208" t="str">
        <f>IFERROR(__xludf.DUMMYFUNCTION("""COMPUTED_VALUE"""),"Fallback campaign")</f>
        <v>Fallback campaign</v>
      </c>
      <c r="E482" s="208" t="str">
        <f>IFERROR(__xludf.DUMMYFUNCTION("""COMPUTED_VALUE"""),"VS")</f>
        <v>VS</v>
      </c>
      <c r="F482" s="208" t="str">
        <f>IFERROR(__xludf.DUMMYFUNCTION("""COMPUTED_VALUE"""),"Semi-Annual Sale (June) - All")</f>
        <v>Semi-Annual Sale (June) - All</v>
      </c>
      <c r="G482" s="208" t="str">
        <f>IFERROR(__xludf.DUMMYFUNCTION("""COMPUTED_VALUE"""),"SAS_Off_Recent_CX (FB 26)")</f>
        <v>SAS_Off_Recent_CX (FB 26)</v>
      </c>
      <c r="H482" s="208" t="str">
        <f>IFERROR(__xludf.DUMMYFUNCTION("""COMPUTED_VALUE"""),"VS_OFF_Recent")</f>
        <v>VS_OFF_Recent</v>
      </c>
      <c r="I482" s="233" t="str">
        <f>IFERROR(__xludf.DUMMYFUNCTION("""COMPUTED_VALUE"""),"WA Undelivered")</f>
        <v>WA Undelivered</v>
      </c>
      <c r="J482" s="275">
        <f>IFERROR(__xludf.DUMMYFUNCTION("""COMPUTED_VALUE"""),6770.0)</f>
        <v>6770</v>
      </c>
      <c r="K482" s="275">
        <f>IFERROR(__xludf.DUMMYFUNCTION("""COMPUTED_VALUE"""),4089.0)</f>
        <v>4089</v>
      </c>
      <c r="L482" s="276">
        <f>IFERROR(__xludf.DUMMYFUNCTION("""COMPUTED_VALUE"""),0.604)</f>
        <v>0.604</v>
      </c>
      <c r="M482" s="275">
        <f>IFERROR(__xludf.DUMMYFUNCTION("""COMPUTED_VALUE"""),0.0)</f>
        <v>0</v>
      </c>
      <c r="N482" s="276">
        <f>IFERROR(__xludf.DUMMYFUNCTION("""COMPUTED_VALUE"""),0.0)</f>
        <v>0</v>
      </c>
      <c r="O482" s="208">
        <f>IFERROR(__xludf.DUMMYFUNCTION("""COMPUTED_VALUE"""),7.0)</f>
        <v>7</v>
      </c>
      <c r="P482" s="208">
        <f>IFERROR(__xludf.DUMMYFUNCTION("""COMPUTED_VALUE"""),0.0)</f>
        <v>0</v>
      </c>
      <c r="Q482" s="276">
        <f>IFERROR(__xludf.DUMMYFUNCTION("""COMPUTED_VALUE"""),0.0017)</f>
        <v>0.0017</v>
      </c>
      <c r="R482" s="276">
        <f>IFERROR(__xludf.DUMMYFUNCTION("""COMPUTED_VALUE"""),0.0)</f>
        <v>0</v>
      </c>
      <c r="S482" s="208">
        <f>IFERROR(__xludf.DUMMYFUNCTION("""COMPUTED_VALUE"""),6.0)</f>
        <v>6</v>
      </c>
      <c r="T482" s="208">
        <f>IFERROR(__xludf.DUMMYFUNCTION("""COMPUTED_VALUE"""),0.0)</f>
        <v>0</v>
      </c>
      <c r="U482" s="275">
        <f>IFERROR(__xludf.DUMMYFUNCTION("""COMPUTED_VALUE"""),44784.0)</f>
        <v>44784</v>
      </c>
      <c r="V482" s="208" t="str">
        <f>IFERROR(__xludf.DUMMYFUNCTION("""COMPUTED_VALUE"""),"offline")</f>
        <v>offline</v>
      </c>
      <c r="W482" s="232" t="str">
        <f>IFERROR(__xludf.DUMMYFUNCTION("""COMPUTED_VALUE"""),"Sms")</f>
        <v>Sms</v>
      </c>
      <c r="X482" s="232" t="str">
        <f>IFERROR(__xludf.DUMMYFUNCTION("""COMPUTED_VALUE"""),"Recent")</f>
        <v>Recent</v>
      </c>
      <c r="Y482" s="232" t="str">
        <f>IFERROR(__xludf.DUMMYFUNCTION("""COMPUTED_VALUE"""),"26th - 28th June")</f>
        <v>26th - 28th June</v>
      </c>
      <c r="Z482" s="232" t="str">
        <f>IFERROR(__xludf.DUMMYFUNCTION("""COMPUTED_VALUE"""),"6a3e6252d208edf338c0295a")</f>
        <v>6a3e6252d208edf338c0295a</v>
      </c>
      <c r="AA482" s="277">
        <f>IFERROR(__xludf.DUMMYFUNCTION("""COMPUTED_VALUE"""),21.0)</f>
        <v>21</v>
      </c>
      <c r="AB482" s="277"/>
      <c r="AC482" s="277">
        <f>IFERROR(__xludf.DUMMYFUNCTION("""COMPUTED_VALUE"""),21.0)</f>
        <v>21</v>
      </c>
      <c r="AD482" s="277">
        <f>IFERROR(__xludf.DUMMYFUNCTION("""COMPUTED_VALUE"""),269413.0)</f>
        <v>269413</v>
      </c>
      <c r="AE482" s="277"/>
      <c r="AF482" s="277">
        <f>IFERROR(__xludf.DUMMYFUNCTION("""COMPUTED_VALUE"""),269413.0)</f>
        <v>269413</v>
      </c>
      <c r="AG482" s="208"/>
      <c r="AH482" s="208"/>
      <c r="AI482" s="208"/>
      <c r="AJ482" s="208"/>
      <c r="AK482" s="208"/>
    </row>
    <row r="483">
      <c r="A483" s="273">
        <f>IFERROR(__xludf.DUMMYFUNCTION("""COMPUTED_VALUE"""),46199.0)</f>
        <v>46199</v>
      </c>
      <c r="B483" s="274">
        <f>IFERROR(__xludf.DUMMYFUNCTION("""COMPUTED_VALUE"""),0.7916666666678793)</f>
        <v>0.7916666667</v>
      </c>
      <c r="C483" s="208" t="str">
        <f>IFERROR(__xludf.DUMMYFUNCTION("""COMPUTED_VALUE"""),"Sms")</f>
        <v>Sms</v>
      </c>
      <c r="D483" s="208" t="str">
        <f>IFERROR(__xludf.DUMMYFUNCTION("""COMPUTED_VALUE"""),"Fallback campaign")</f>
        <v>Fallback campaign</v>
      </c>
      <c r="E483" s="208" t="str">
        <f>IFERROR(__xludf.DUMMYFUNCTION("""COMPUTED_VALUE"""),"VS")</f>
        <v>VS</v>
      </c>
      <c r="F483" s="208" t="str">
        <f>IFERROR(__xludf.DUMMYFUNCTION("""COMPUTED_VALUE"""),"Semi-Annual Sale (June) - All")</f>
        <v>Semi-Annual Sale (June) - All</v>
      </c>
      <c r="G483" s="208" t="str">
        <f>IFERROR(__xludf.DUMMYFUNCTION("""COMPUTED_VALUE"""),"SAS_Off_LTV&gt;25k_CX (FB 26)")</f>
        <v>SAS_Off_LTV&gt;25k_CX (FB 26)</v>
      </c>
      <c r="H483" s="208" t="str">
        <f>IFERROR(__xludf.DUMMYFUNCTION("""COMPUTED_VALUE"""),"VS_OFF_LTV_25k")</f>
        <v>VS_OFF_LTV_25k</v>
      </c>
      <c r="I483" s="233" t="str">
        <f>IFERROR(__xludf.DUMMYFUNCTION("""COMPUTED_VALUE"""),"WA Undelivered")</f>
        <v>WA Undelivered</v>
      </c>
      <c r="J483" s="275">
        <f>IFERROR(__xludf.DUMMYFUNCTION("""COMPUTED_VALUE"""),4677.0)</f>
        <v>4677</v>
      </c>
      <c r="K483" s="275">
        <f>IFERROR(__xludf.DUMMYFUNCTION("""COMPUTED_VALUE"""),2471.0)</f>
        <v>2471</v>
      </c>
      <c r="L483" s="276">
        <f>IFERROR(__xludf.DUMMYFUNCTION("""COMPUTED_VALUE"""),0.5283)</f>
        <v>0.5283</v>
      </c>
      <c r="M483" s="275">
        <f>IFERROR(__xludf.DUMMYFUNCTION("""COMPUTED_VALUE"""),0.0)</f>
        <v>0</v>
      </c>
      <c r="N483" s="276">
        <f>IFERROR(__xludf.DUMMYFUNCTION("""COMPUTED_VALUE"""),0.0)</f>
        <v>0</v>
      </c>
      <c r="O483" s="208">
        <f>IFERROR(__xludf.DUMMYFUNCTION("""COMPUTED_VALUE"""),0.0)</f>
        <v>0</v>
      </c>
      <c r="P483" s="208">
        <f>IFERROR(__xludf.DUMMYFUNCTION("""COMPUTED_VALUE"""),0.0)</f>
        <v>0</v>
      </c>
      <c r="Q483" s="276">
        <f>IFERROR(__xludf.DUMMYFUNCTION("""COMPUTED_VALUE"""),0.0)</f>
        <v>0</v>
      </c>
      <c r="R483" s="276">
        <f>IFERROR(__xludf.DUMMYFUNCTION("""COMPUTED_VALUE"""),0.0)</f>
        <v>0</v>
      </c>
      <c r="S483" s="208">
        <f>IFERROR(__xludf.DUMMYFUNCTION("""COMPUTED_VALUE"""),16.0)</f>
        <v>16</v>
      </c>
      <c r="T483" s="208">
        <f>IFERROR(__xludf.DUMMYFUNCTION("""COMPUTED_VALUE"""),0.0)</f>
        <v>0</v>
      </c>
      <c r="U483" s="275">
        <f>IFERROR(__xludf.DUMMYFUNCTION("""COMPUTED_VALUE"""),364792.0)</f>
        <v>364792</v>
      </c>
      <c r="V483" s="208" t="str">
        <f>IFERROR(__xludf.DUMMYFUNCTION("""COMPUTED_VALUE"""),"offline")</f>
        <v>offline</v>
      </c>
      <c r="W483" s="232" t="str">
        <f>IFERROR(__xludf.DUMMYFUNCTION("""COMPUTED_VALUE"""),"Sms")</f>
        <v>Sms</v>
      </c>
      <c r="X483" s="232" t="str">
        <f>IFERROR(__xludf.DUMMYFUNCTION("""COMPUTED_VALUE"""),"LTV &gt; 25k")</f>
        <v>LTV &gt; 25k</v>
      </c>
      <c r="Y483" s="232" t="str">
        <f>IFERROR(__xludf.DUMMYFUNCTION("""COMPUTED_VALUE"""),"26th - 28th June")</f>
        <v>26th - 28th June</v>
      </c>
      <c r="Z483" s="232" t="str">
        <f>IFERROR(__xludf.DUMMYFUNCTION("""COMPUTED_VALUE"""),"6a3e62aa2fbb86b2caa53568")</f>
        <v>6a3e62aa2fbb86b2caa53568</v>
      </c>
      <c r="AA483" s="277">
        <f>IFERROR(__xludf.DUMMYFUNCTION("""COMPUTED_VALUE"""),40.0)</f>
        <v>40</v>
      </c>
      <c r="AB483" s="277"/>
      <c r="AC483" s="277">
        <f>IFERROR(__xludf.DUMMYFUNCTION("""COMPUTED_VALUE"""),40.0)</f>
        <v>40</v>
      </c>
      <c r="AD483" s="277">
        <f>IFERROR(__xludf.DUMMYFUNCTION("""COMPUTED_VALUE"""),817487.0)</f>
        <v>817487</v>
      </c>
      <c r="AE483" s="277"/>
      <c r="AF483" s="277">
        <f>IFERROR(__xludf.DUMMYFUNCTION("""COMPUTED_VALUE"""),817487.0)</f>
        <v>817487</v>
      </c>
      <c r="AG483" s="208"/>
      <c r="AH483" s="208"/>
      <c r="AI483" s="208"/>
      <c r="AJ483" s="208"/>
      <c r="AK483" s="208"/>
    </row>
    <row r="484">
      <c r="A484" s="273">
        <f>IFERROR(__xludf.DUMMYFUNCTION("""COMPUTED_VALUE"""),46213.0)</f>
        <v>46213</v>
      </c>
      <c r="B484" s="274">
        <f>IFERROR(__xludf.DUMMYFUNCTION("""COMPUTED_VALUE"""),0.4375)</f>
        <v>0.4375</v>
      </c>
      <c r="C484" s="208" t="str">
        <f>IFERROR(__xludf.DUMMYFUNCTION("""COMPUTED_VALUE"""),"Whatsapp")</f>
        <v>Whatsapp</v>
      </c>
      <c r="D484" s="208" t="str">
        <f>IFERROR(__xludf.DUMMYFUNCTION("""COMPUTED_VALUE"""),"Fallback campaign")</f>
        <v>Fallback campaign</v>
      </c>
      <c r="E484" s="208" t="str">
        <f>IFERROR(__xludf.DUMMYFUNCTION("""COMPUTED_VALUE"""),"VS")</f>
        <v>VS</v>
      </c>
      <c r="F484" s="208" t="str">
        <f>IFERROR(__xludf.DUMMYFUNCTION("""COMPUTED_VALUE"""),"SAS_July_PJs - PJs")</f>
        <v>SAS_July_PJs - PJs</v>
      </c>
      <c r="G484" s="208" t="str">
        <f>IFERROR(__xludf.DUMMYFUNCTION("""COMPUTED_VALUE"""),"Store Visit_PJs_SAS_MUM (WA_FB)")</f>
        <v>Store Visit_PJs_SAS_MUM (WA_FB)</v>
      </c>
      <c r="H484" s="208" t="str">
        <f>IFERROR(__xludf.DUMMYFUNCTION("""COMPUTED_VALUE"""),"Mumbai_Purchasers_OnOff")</f>
        <v>Mumbai_Purchasers_OnOff</v>
      </c>
      <c r="I484" s="233" t="str">
        <f>IFERROR(__xludf.DUMMYFUNCTION("""COMPUTED_VALUE"""),"RCS Undelivered")</f>
        <v>RCS Undelivered</v>
      </c>
      <c r="J484" s="275">
        <f>IFERROR(__xludf.DUMMYFUNCTION("""COMPUTED_VALUE"""),59749.0)</f>
        <v>59749</v>
      </c>
      <c r="K484" s="275">
        <f>IFERROR(__xludf.DUMMYFUNCTION("""COMPUTED_VALUE"""),35279.0)</f>
        <v>35279</v>
      </c>
      <c r="L484" s="276">
        <f>IFERROR(__xludf.DUMMYFUNCTION("""COMPUTED_VALUE"""),0.5904)</f>
        <v>0.5904</v>
      </c>
      <c r="M484" s="275">
        <f>IFERROR(__xludf.DUMMYFUNCTION("""COMPUTED_VALUE"""),8160.0)</f>
        <v>8160</v>
      </c>
      <c r="N484" s="276">
        <f>IFERROR(__xludf.DUMMYFUNCTION("""COMPUTED_VALUE"""),0.2312)</f>
        <v>0.2312</v>
      </c>
      <c r="O484" s="208">
        <f>IFERROR(__xludf.DUMMYFUNCTION("""COMPUTED_VALUE"""),0.0)</f>
        <v>0</v>
      </c>
      <c r="P484" s="208">
        <f>IFERROR(__xludf.DUMMYFUNCTION("""COMPUTED_VALUE"""),0.0)</f>
        <v>0</v>
      </c>
      <c r="Q484" s="276">
        <f>IFERROR(__xludf.DUMMYFUNCTION("""COMPUTED_VALUE"""),0.0)</f>
        <v>0</v>
      </c>
      <c r="R484" s="276">
        <f>IFERROR(__xludf.DUMMYFUNCTION("""COMPUTED_VALUE"""),0.0)</f>
        <v>0</v>
      </c>
      <c r="S484" s="208">
        <f>IFERROR(__xludf.DUMMYFUNCTION("""COMPUTED_VALUE"""),9.0)</f>
        <v>9</v>
      </c>
      <c r="T484" s="208">
        <f>IFERROR(__xludf.DUMMYFUNCTION("""COMPUTED_VALUE"""),31.0)</f>
        <v>31</v>
      </c>
      <c r="U484" s="275">
        <f>IFERROR(__xludf.DUMMYFUNCTION("""COMPUTED_VALUE"""),100273.0)</f>
        <v>100273</v>
      </c>
      <c r="V484" s="208" t="str">
        <f>IFERROR(__xludf.DUMMYFUNCTION("""COMPUTED_VALUE"""),"offline")</f>
        <v>offline</v>
      </c>
      <c r="W484" s="232" t="str">
        <f>IFERROR(__xludf.DUMMYFUNCTION("""COMPUTED_VALUE"""),"simple")</f>
        <v>simple</v>
      </c>
      <c r="X484" s="232" t="str">
        <f>IFERROR(__xludf.DUMMYFUNCTION("""COMPUTED_VALUE"""),"City Focused")</f>
        <v>City Focused</v>
      </c>
      <c r="Y484" s="232" t="str">
        <f>IFERROR(__xludf.DUMMYFUNCTION("""COMPUTED_VALUE"""),"10th - 12th July 2026")</f>
        <v>10th - 12th July 2026</v>
      </c>
      <c r="Z484" s="232" t="str">
        <f>IFERROR(__xludf.DUMMYFUNCTION("""COMPUTED_VALUE"""),"6a4f95e3231bcbdb0ecb9fbb")</f>
        <v>6a4f95e3231bcbdb0ecb9fbb</v>
      </c>
      <c r="AA484" s="277">
        <f>IFERROR(__xludf.DUMMYFUNCTION("""COMPUTED_VALUE"""),112.0)</f>
        <v>112</v>
      </c>
      <c r="AB484" s="277"/>
      <c r="AC484" s="277">
        <f>IFERROR(__xludf.DUMMYFUNCTION("""COMPUTED_VALUE"""),112.0)</f>
        <v>112</v>
      </c>
      <c r="AD484" s="277">
        <f>IFERROR(__xludf.DUMMYFUNCTION("""COMPUTED_VALUE"""),718132.0)</f>
        <v>718132</v>
      </c>
      <c r="AE484" s="277"/>
      <c r="AF484" s="277">
        <f>IFERROR(__xludf.DUMMYFUNCTION("""COMPUTED_VALUE"""),718132.0)</f>
        <v>718132</v>
      </c>
      <c r="AG484" s="208"/>
      <c r="AH484" s="208"/>
      <c r="AI484" s="208"/>
      <c r="AJ484" s="208"/>
      <c r="AK484" s="208"/>
    </row>
    <row r="485">
      <c r="A485" s="273">
        <f>IFERROR(__xludf.DUMMYFUNCTION("""COMPUTED_VALUE"""),46213.0)</f>
        <v>46213</v>
      </c>
      <c r="B485" s="274">
        <f>IFERROR(__xludf.DUMMYFUNCTION("""COMPUTED_VALUE"""),0.4375)</f>
        <v>0.4375</v>
      </c>
      <c r="C485" s="208" t="str">
        <f>IFERROR(__xludf.DUMMYFUNCTION("""COMPUTED_VALUE"""),"Whatsapp")</f>
        <v>Whatsapp</v>
      </c>
      <c r="D485" s="208" t="str">
        <f>IFERROR(__xludf.DUMMYFUNCTION("""COMPUTED_VALUE"""),"Fallback campaign")</f>
        <v>Fallback campaign</v>
      </c>
      <c r="E485" s="208" t="str">
        <f>IFERROR(__xludf.DUMMYFUNCTION("""COMPUTED_VALUE"""),"VS")</f>
        <v>VS</v>
      </c>
      <c r="F485" s="208" t="str">
        <f>IFERROR(__xludf.DUMMYFUNCTION("""COMPUTED_VALUE"""),"SAS_July_PJs - PJs")</f>
        <v>SAS_July_PJs - PJs</v>
      </c>
      <c r="G485" s="208" t="str">
        <f>IFERROR(__xludf.DUMMYFUNCTION("""COMPUTED_VALUE"""),"Store Visit_PJs_SAS_DEL (WA_FB)")</f>
        <v>Store Visit_PJs_SAS_DEL (WA_FB)</v>
      </c>
      <c r="H485" s="208" t="str">
        <f>IFERROR(__xludf.DUMMYFUNCTION("""COMPUTED_VALUE"""),"Delhi_Purchasers_OnOff")</f>
        <v>Delhi_Purchasers_OnOff</v>
      </c>
      <c r="I485" s="233" t="str">
        <f>IFERROR(__xludf.DUMMYFUNCTION("""COMPUTED_VALUE"""),"RCS Undelivered")</f>
        <v>RCS Undelivered</v>
      </c>
      <c r="J485" s="275">
        <f>IFERROR(__xludf.DUMMYFUNCTION("""COMPUTED_VALUE"""),75772.0)</f>
        <v>75772</v>
      </c>
      <c r="K485" s="275">
        <f>IFERROR(__xludf.DUMMYFUNCTION("""COMPUTED_VALUE"""),43755.0)</f>
        <v>43755</v>
      </c>
      <c r="L485" s="276">
        <f>IFERROR(__xludf.DUMMYFUNCTION("""COMPUTED_VALUE"""),0.5774)</f>
        <v>0.5774</v>
      </c>
      <c r="M485" s="275">
        <f>IFERROR(__xludf.DUMMYFUNCTION("""COMPUTED_VALUE"""),9381.0)</f>
        <v>9381</v>
      </c>
      <c r="N485" s="276">
        <f>IFERROR(__xludf.DUMMYFUNCTION("""COMPUTED_VALUE"""),0.2143)</f>
        <v>0.2143</v>
      </c>
      <c r="O485" s="208">
        <f>IFERROR(__xludf.DUMMYFUNCTION("""COMPUTED_VALUE"""),0.0)</f>
        <v>0</v>
      </c>
      <c r="P485" s="208">
        <f>IFERROR(__xludf.DUMMYFUNCTION("""COMPUTED_VALUE"""),0.0)</f>
        <v>0</v>
      </c>
      <c r="Q485" s="276">
        <f>IFERROR(__xludf.DUMMYFUNCTION("""COMPUTED_VALUE"""),0.0)</f>
        <v>0</v>
      </c>
      <c r="R485" s="276">
        <f>IFERROR(__xludf.DUMMYFUNCTION("""COMPUTED_VALUE"""),0.0)</f>
        <v>0</v>
      </c>
      <c r="S485" s="208">
        <f>IFERROR(__xludf.DUMMYFUNCTION("""COMPUTED_VALUE"""),12.0)</f>
        <v>12</v>
      </c>
      <c r="T485" s="208">
        <f>IFERROR(__xludf.DUMMYFUNCTION("""COMPUTED_VALUE"""),37.0)</f>
        <v>37</v>
      </c>
      <c r="U485" s="275">
        <f>IFERROR(__xludf.DUMMYFUNCTION("""COMPUTED_VALUE"""),90540.0)</f>
        <v>90540</v>
      </c>
      <c r="V485" s="208" t="str">
        <f>IFERROR(__xludf.DUMMYFUNCTION("""COMPUTED_VALUE"""),"offline")</f>
        <v>offline</v>
      </c>
      <c r="W485" s="232" t="str">
        <f>IFERROR(__xludf.DUMMYFUNCTION("""COMPUTED_VALUE"""),"simple")</f>
        <v>simple</v>
      </c>
      <c r="X485" s="232" t="str">
        <f>IFERROR(__xludf.DUMMYFUNCTION("""COMPUTED_VALUE"""),"City Focused")</f>
        <v>City Focused</v>
      </c>
      <c r="Y485" s="232" t="str">
        <f>IFERROR(__xludf.DUMMYFUNCTION("""COMPUTED_VALUE"""),"10th - 12th July 2026")</f>
        <v>10th - 12th July 2026</v>
      </c>
      <c r="Z485" s="232" t="str">
        <f>IFERROR(__xludf.DUMMYFUNCTION("""COMPUTED_VALUE"""),"6a4f9708d832f7f3a6215199")</f>
        <v>6a4f9708d832f7f3a6215199</v>
      </c>
      <c r="AA485" s="277">
        <f>IFERROR(__xludf.DUMMYFUNCTION("""COMPUTED_VALUE"""),138.0)</f>
        <v>138</v>
      </c>
      <c r="AB485" s="277"/>
      <c r="AC485" s="277">
        <f>IFERROR(__xludf.DUMMYFUNCTION("""COMPUTED_VALUE"""),138.0)</f>
        <v>138</v>
      </c>
      <c r="AD485" s="277">
        <f>IFERROR(__xludf.DUMMYFUNCTION("""COMPUTED_VALUE"""),1055184.0)</f>
        <v>1055184</v>
      </c>
      <c r="AE485" s="277"/>
      <c r="AF485" s="277">
        <f>IFERROR(__xludf.DUMMYFUNCTION("""COMPUTED_VALUE"""),1055184.0)</f>
        <v>1055184</v>
      </c>
      <c r="AG485" s="208"/>
      <c r="AH485" s="208"/>
      <c r="AI485" s="208"/>
      <c r="AJ485" s="208"/>
      <c r="AK485" s="208"/>
    </row>
    <row r="486">
      <c r="A486" s="273">
        <f>IFERROR(__xludf.DUMMYFUNCTION("""COMPUTED_VALUE"""),46213.0)</f>
        <v>46213</v>
      </c>
      <c r="B486" s="274">
        <f>IFERROR(__xludf.DUMMYFUNCTION("""COMPUTED_VALUE"""),0.4375)</f>
        <v>0.4375</v>
      </c>
      <c r="C486" s="208" t="str">
        <f>IFERROR(__xludf.DUMMYFUNCTION("""COMPUTED_VALUE"""),"Whatsapp")</f>
        <v>Whatsapp</v>
      </c>
      <c r="D486" s="208" t="str">
        <f>IFERROR(__xludf.DUMMYFUNCTION("""COMPUTED_VALUE"""),"Fallback campaign")</f>
        <v>Fallback campaign</v>
      </c>
      <c r="E486" s="208" t="str">
        <f>IFERROR(__xludf.DUMMYFUNCTION("""COMPUTED_VALUE"""),"VS")</f>
        <v>VS</v>
      </c>
      <c r="F486" s="208" t="str">
        <f>IFERROR(__xludf.DUMMYFUNCTION("""COMPUTED_VALUE"""),"SAS_July_PJs - PJs")</f>
        <v>SAS_July_PJs - PJs</v>
      </c>
      <c r="G486" s="208" t="str">
        <f>IFERROR(__xludf.DUMMYFUNCTION("""COMPUTED_VALUE"""),"Store Visit_PJs_SAS_BLR (WA_FB)")</f>
        <v>Store Visit_PJs_SAS_BLR (WA_FB)</v>
      </c>
      <c r="H486" s="208" t="str">
        <f>IFERROR(__xludf.DUMMYFUNCTION("""COMPUTED_VALUE"""),"Bangalore_Purchasers_OnOff")</f>
        <v>Bangalore_Purchasers_OnOff</v>
      </c>
      <c r="I486" s="233" t="str">
        <f>IFERROR(__xludf.DUMMYFUNCTION("""COMPUTED_VALUE"""),"RCS Undelivered")</f>
        <v>RCS Undelivered</v>
      </c>
      <c r="J486" s="275">
        <f>IFERROR(__xludf.DUMMYFUNCTION("""COMPUTED_VALUE"""),41072.0)</f>
        <v>41072</v>
      </c>
      <c r="K486" s="275">
        <f>IFERROR(__xludf.DUMMYFUNCTION("""COMPUTED_VALUE"""),24442.0)</f>
        <v>24442</v>
      </c>
      <c r="L486" s="276">
        <f>IFERROR(__xludf.DUMMYFUNCTION("""COMPUTED_VALUE"""),0.5951)</f>
        <v>0.5951</v>
      </c>
      <c r="M486" s="275">
        <f>IFERROR(__xludf.DUMMYFUNCTION("""COMPUTED_VALUE"""),5569.0)</f>
        <v>5569</v>
      </c>
      <c r="N486" s="276">
        <f>IFERROR(__xludf.DUMMYFUNCTION("""COMPUTED_VALUE"""),0.2278)</f>
        <v>0.2278</v>
      </c>
      <c r="O486" s="208">
        <f>IFERROR(__xludf.DUMMYFUNCTION("""COMPUTED_VALUE"""),0.0)</f>
        <v>0</v>
      </c>
      <c r="P486" s="208">
        <f>IFERROR(__xludf.DUMMYFUNCTION("""COMPUTED_VALUE"""),0.0)</f>
        <v>0</v>
      </c>
      <c r="Q486" s="276">
        <f>IFERROR(__xludf.DUMMYFUNCTION("""COMPUTED_VALUE"""),0.0)</f>
        <v>0</v>
      </c>
      <c r="R486" s="276">
        <f>IFERROR(__xludf.DUMMYFUNCTION("""COMPUTED_VALUE"""),0.0)</f>
        <v>0</v>
      </c>
      <c r="S486" s="208">
        <f>IFERROR(__xludf.DUMMYFUNCTION("""COMPUTED_VALUE"""),8.0)</f>
        <v>8</v>
      </c>
      <c r="T486" s="208">
        <f>IFERROR(__xludf.DUMMYFUNCTION("""COMPUTED_VALUE"""),16.0)</f>
        <v>16</v>
      </c>
      <c r="U486" s="275">
        <f>IFERROR(__xludf.DUMMYFUNCTION("""COMPUTED_VALUE"""),53993.0)</f>
        <v>53993</v>
      </c>
      <c r="V486" s="208" t="str">
        <f>IFERROR(__xludf.DUMMYFUNCTION("""COMPUTED_VALUE"""),"offline")</f>
        <v>offline</v>
      </c>
      <c r="W486" s="232" t="str">
        <f>IFERROR(__xludf.DUMMYFUNCTION("""COMPUTED_VALUE"""),"simple")</f>
        <v>simple</v>
      </c>
      <c r="X486" s="232" t="str">
        <f>IFERROR(__xludf.DUMMYFUNCTION("""COMPUTED_VALUE"""),"City Focused")</f>
        <v>City Focused</v>
      </c>
      <c r="Y486" s="232" t="str">
        <f>IFERROR(__xludf.DUMMYFUNCTION("""COMPUTED_VALUE"""),"10th - 12th July 2026")</f>
        <v>10th - 12th July 2026</v>
      </c>
      <c r="Z486" s="232" t="str">
        <f>IFERROR(__xludf.DUMMYFUNCTION("""COMPUTED_VALUE"""),"6a4f978c1753fbc346f04d6b")</f>
        <v>6a4f978c1753fbc346f04d6b</v>
      </c>
      <c r="AA486" s="277">
        <f>IFERROR(__xludf.DUMMYFUNCTION("""COMPUTED_VALUE"""),68.0)</f>
        <v>68</v>
      </c>
      <c r="AB486" s="277"/>
      <c r="AC486" s="277">
        <f>IFERROR(__xludf.DUMMYFUNCTION("""COMPUTED_VALUE"""),68.0)</f>
        <v>68</v>
      </c>
      <c r="AD486" s="277">
        <f>IFERROR(__xludf.DUMMYFUNCTION("""COMPUTED_VALUE"""),369013.0)</f>
        <v>369013</v>
      </c>
      <c r="AE486" s="277"/>
      <c r="AF486" s="277">
        <f>IFERROR(__xludf.DUMMYFUNCTION("""COMPUTED_VALUE"""),369013.0)</f>
        <v>369013</v>
      </c>
      <c r="AG486" s="208"/>
      <c r="AH486" s="208"/>
      <c r="AI486" s="208"/>
      <c r="AJ486" s="208"/>
      <c r="AK486" s="208"/>
    </row>
    <row r="487">
      <c r="A487" s="273">
        <f>IFERROR(__xludf.DUMMYFUNCTION("""COMPUTED_VALUE"""),46213.0)</f>
        <v>46213</v>
      </c>
      <c r="B487" s="274">
        <f>IFERROR(__xludf.DUMMYFUNCTION("""COMPUTED_VALUE"""),0.4375)</f>
        <v>0.4375</v>
      </c>
      <c r="C487" s="208" t="str">
        <f>IFERROR(__xludf.DUMMYFUNCTION("""COMPUTED_VALUE"""),"Whatsapp")</f>
        <v>Whatsapp</v>
      </c>
      <c r="D487" s="208" t="str">
        <f>IFERROR(__xludf.DUMMYFUNCTION("""COMPUTED_VALUE"""),"Fallback campaign")</f>
        <v>Fallback campaign</v>
      </c>
      <c r="E487" s="208" t="str">
        <f>IFERROR(__xludf.DUMMYFUNCTION("""COMPUTED_VALUE"""),"VS")</f>
        <v>VS</v>
      </c>
      <c r="F487" s="208" t="str">
        <f>IFERROR(__xludf.DUMMYFUNCTION("""COMPUTED_VALUE"""),"SAS_July_PJs - PJs")</f>
        <v>SAS_July_PJs - PJs</v>
      </c>
      <c r="G487" s="208" t="str">
        <f>IFERROR(__xludf.DUMMYFUNCTION("""COMPUTED_VALUE"""),"Store Visit_PJs_SAS_PUN (WA_FB)")</f>
        <v>Store Visit_PJs_SAS_PUN (WA_FB)</v>
      </c>
      <c r="H487" s="208" t="str">
        <f>IFERROR(__xludf.DUMMYFUNCTION("""COMPUTED_VALUE"""),"Pune_Purchasers_OnOff")</f>
        <v>Pune_Purchasers_OnOff</v>
      </c>
      <c r="I487" s="233" t="str">
        <f>IFERROR(__xludf.DUMMYFUNCTION("""COMPUTED_VALUE"""),"RCS Undelivered")</f>
        <v>RCS Undelivered</v>
      </c>
      <c r="J487" s="275">
        <f>IFERROR(__xludf.DUMMYFUNCTION("""COMPUTED_VALUE"""),19249.0)</f>
        <v>19249</v>
      </c>
      <c r="K487" s="275">
        <f>IFERROR(__xludf.DUMMYFUNCTION("""COMPUTED_VALUE"""),12225.0)</f>
        <v>12225</v>
      </c>
      <c r="L487" s="276">
        <f>IFERROR(__xludf.DUMMYFUNCTION("""COMPUTED_VALUE"""),0.6351)</f>
        <v>0.6351</v>
      </c>
      <c r="M487" s="275">
        <f>IFERROR(__xludf.DUMMYFUNCTION("""COMPUTED_VALUE"""),3201.0)</f>
        <v>3201</v>
      </c>
      <c r="N487" s="276">
        <f>IFERROR(__xludf.DUMMYFUNCTION("""COMPUTED_VALUE"""),0.2618)</f>
        <v>0.2618</v>
      </c>
      <c r="O487" s="208">
        <f>IFERROR(__xludf.DUMMYFUNCTION("""COMPUTED_VALUE"""),0.0)</f>
        <v>0</v>
      </c>
      <c r="P487" s="208">
        <f>IFERROR(__xludf.DUMMYFUNCTION("""COMPUTED_VALUE"""),0.0)</f>
        <v>0</v>
      </c>
      <c r="Q487" s="276">
        <f>IFERROR(__xludf.DUMMYFUNCTION("""COMPUTED_VALUE"""),0.0)</f>
        <v>0</v>
      </c>
      <c r="R487" s="276">
        <f>IFERROR(__xludf.DUMMYFUNCTION("""COMPUTED_VALUE"""),0.0)</f>
        <v>0</v>
      </c>
      <c r="S487" s="208">
        <f>IFERROR(__xludf.DUMMYFUNCTION("""COMPUTED_VALUE"""),3.0)</f>
        <v>3</v>
      </c>
      <c r="T487" s="208">
        <f>IFERROR(__xludf.DUMMYFUNCTION("""COMPUTED_VALUE"""),8.0)</f>
        <v>8</v>
      </c>
      <c r="U487" s="275">
        <f>IFERROR(__xludf.DUMMYFUNCTION("""COMPUTED_VALUE"""),21581.0)</f>
        <v>21581</v>
      </c>
      <c r="V487" s="208" t="str">
        <f>IFERROR(__xludf.DUMMYFUNCTION("""COMPUTED_VALUE"""),"offline")</f>
        <v>offline</v>
      </c>
      <c r="W487" s="232" t="str">
        <f>IFERROR(__xludf.DUMMYFUNCTION("""COMPUTED_VALUE"""),"simple")</f>
        <v>simple</v>
      </c>
      <c r="X487" s="232" t="str">
        <f>IFERROR(__xludf.DUMMYFUNCTION("""COMPUTED_VALUE"""),"City Focused")</f>
        <v>City Focused</v>
      </c>
      <c r="Y487" s="232" t="str">
        <f>IFERROR(__xludf.DUMMYFUNCTION("""COMPUTED_VALUE"""),"10th - 12th July 2026")</f>
        <v>10th - 12th July 2026</v>
      </c>
      <c r="Z487" s="232" t="str">
        <f>IFERROR(__xludf.DUMMYFUNCTION("""COMPUTED_VALUE"""),"6a4f982a73a706adf3ccf2a8")</f>
        <v>6a4f982a73a706adf3ccf2a8</v>
      </c>
      <c r="AA487" s="277">
        <f>IFERROR(__xludf.DUMMYFUNCTION("""COMPUTED_VALUE"""),47.0)</f>
        <v>47</v>
      </c>
      <c r="AB487" s="277"/>
      <c r="AC487" s="277">
        <f>IFERROR(__xludf.DUMMYFUNCTION("""COMPUTED_VALUE"""),47.0)</f>
        <v>47</v>
      </c>
      <c r="AD487" s="277">
        <f>IFERROR(__xludf.DUMMYFUNCTION("""COMPUTED_VALUE"""),355520.0)</f>
        <v>355520</v>
      </c>
      <c r="AE487" s="277"/>
      <c r="AF487" s="277">
        <f>IFERROR(__xludf.DUMMYFUNCTION("""COMPUTED_VALUE"""),355520.0)</f>
        <v>355520</v>
      </c>
      <c r="AG487" s="208"/>
      <c r="AH487" s="208"/>
      <c r="AI487" s="208"/>
      <c r="AJ487" s="208"/>
      <c r="AK487" s="208"/>
    </row>
    <row r="488">
      <c r="A488" s="273">
        <f>IFERROR(__xludf.DUMMYFUNCTION("""COMPUTED_VALUE"""),46213.0)</f>
        <v>46213</v>
      </c>
      <c r="B488" s="274">
        <f>IFERROR(__xludf.DUMMYFUNCTION("""COMPUTED_VALUE"""),0.5)</f>
        <v>0.5</v>
      </c>
      <c r="C488" s="208" t="str">
        <f>IFERROR(__xludf.DUMMYFUNCTION("""COMPUTED_VALUE"""),"Sms")</f>
        <v>Sms</v>
      </c>
      <c r="D488" s="208" t="str">
        <f>IFERROR(__xludf.DUMMYFUNCTION("""COMPUTED_VALUE"""),"Fallback campaign")</f>
        <v>Fallback campaign</v>
      </c>
      <c r="E488" s="208" t="str">
        <f>IFERROR(__xludf.DUMMYFUNCTION("""COMPUTED_VALUE"""),"VS")</f>
        <v>VS</v>
      </c>
      <c r="F488" s="208" t="str">
        <f>IFERROR(__xludf.DUMMYFUNCTION("""COMPUTED_VALUE"""),"SAS_July_PJs - PJs")</f>
        <v>SAS_July_PJs - PJs</v>
      </c>
      <c r="G488" s="208" t="str">
        <f>IFERROR(__xludf.DUMMYFUNCTION("""COMPUTED_VALUE"""),"Store Visit_PJs_SAS_MUM (WA_SMS)")</f>
        <v>Store Visit_PJs_SAS_MUM (WA_SMS)</v>
      </c>
      <c r="H488" s="208" t="str">
        <f>IFERROR(__xludf.DUMMYFUNCTION("""COMPUTED_VALUE"""),"Mumbai_Purchasers_OnOff")</f>
        <v>Mumbai_Purchasers_OnOff</v>
      </c>
      <c r="I488" s="233" t="str">
        <f>IFERROR(__xludf.DUMMYFUNCTION("""COMPUTED_VALUE"""),"WA Undelivered")</f>
        <v>WA Undelivered</v>
      </c>
      <c r="J488" s="275">
        <f>IFERROR(__xludf.DUMMYFUNCTION("""COMPUTED_VALUE"""),21067.0)</f>
        <v>21067</v>
      </c>
      <c r="K488" s="275">
        <f>IFERROR(__xludf.DUMMYFUNCTION("""COMPUTED_VALUE"""),11525.0)</f>
        <v>11525</v>
      </c>
      <c r="L488" s="276">
        <f>IFERROR(__xludf.DUMMYFUNCTION("""COMPUTED_VALUE"""),0.5471)</f>
        <v>0.5471</v>
      </c>
      <c r="M488" s="275">
        <f>IFERROR(__xludf.DUMMYFUNCTION("""COMPUTED_VALUE"""),0.0)</f>
        <v>0</v>
      </c>
      <c r="N488" s="276">
        <f>IFERROR(__xludf.DUMMYFUNCTION("""COMPUTED_VALUE"""),0.0)</f>
        <v>0</v>
      </c>
      <c r="O488" s="208">
        <f>IFERROR(__xludf.DUMMYFUNCTION("""COMPUTED_VALUE"""),0.0)</f>
        <v>0</v>
      </c>
      <c r="P488" s="208">
        <f>IFERROR(__xludf.DUMMYFUNCTION("""COMPUTED_VALUE"""),0.0)</f>
        <v>0</v>
      </c>
      <c r="Q488" s="276">
        <f>IFERROR(__xludf.DUMMYFUNCTION("""COMPUTED_VALUE"""),0.0)</f>
        <v>0</v>
      </c>
      <c r="R488" s="276">
        <f>IFERROR(__xludf.DUMMYFUNCTION("""COMPUTED_VALUE"""),0.0)</f>
        <v>0</v>
      </c>
      <c r="S488" s="208">
        <f>IFERROR(__xludf.DUMMYFUNCTION("""COMPUTED_VALUE"""),6.0)</f>
        <v>6</v>
      </c>
      <c r="T488" s="208">
        <f>IFERROR(__xludf.DUMMYFUNCTION("""COMPUTED_VALUE"""),9.0)</f>
        <v>9</v>
      </c>
      <c r="U488" s="275">
        <f>IFERROR(__xludf.DUMMYFUNCTION("""COMPUTED_VALUE"""),34681.0)</f>
        <v>34681</v>
      </c>
      <c r="V488" s="208" t="str">
        <f>IFERROR(__xludf.DUMMYFUNCTION("""COMPUTED_VALUE"""),"offline")</f>
        <v>offline</v>
      </c>
      <c r="W488" s="232" t="str">
        <f>IFERROR(__xludf.DUMMYFUNCTION("""COMPUTED_VALUE"""),"Sms")</f>
        <v>Sms</v>
      </c>
      <c r="X488" s="232" t="str">
        <f>IFERROR(__xludf.DUMMYFUNCTION("""COMPUTED_VALUE"""),"City Focused")</f>
        <v>City Focused</v>
      </c>
      <c r="Y488" s="232" t="str">
        <f>IFERROR(__xludf.DUMMYFUNCTION("""COMPUTED_VALUE"""),"10th - 12th July 2026")</f>
        <v>10th - 12th July 2026</v>
      </c>
      <c r="Z488" s="232" t="str">
        <f>IFERROR(__xludf.DUMMYFUNCTION("""COMPUTED_VALUE"""),"6a4f987e91ad22a7f92b1461")</f>
        <v>6a4f987e91ad22a7f92b1461</v>
      </c>
      <c r="AA488" s="277">
        <f>IFERROR(__xludf.DUMMYFUNCTION("""COMPUTED_VALUE"""),34.0)</f>
        <v>34</v>
      </c>
      <c r="AB488" s="277"/>
      <c r="AC488" s="277">
        <f>IFERROR(__xludf.DUMMYFUNCTION("""COMPUTED_VALUE"""),34.0)</f>
        <v>34</v>
      </c>
      <c r="AD488" s="277">
        <f>IFERROR(__xludf.DUMMYFUNCTION("""COMPUTED_VALUE"""),197020.0)</f>
        <v>197020</v>
      </c>
      <c r="AE488" s="277"/>
      <c r="AF488" s="277">
        <f>IFERROR(__xludf.DUMMYFUNCTION("""COMPUTED_VALUE"""),197020.0)</f>
        <v>197020</v>
      </c>
      <c r="AG488" s="208"/>
      <c r="AH488" s="208"/>
      <c r="AI488" s="208"/>
      <c r="AJ488" s="208"/>
      <c r="AK488" s="208"/>
    </row>
    <row r="489">
      <c r="A489" s="273">
        <f>IFERROR(__xludf.DUMMYFUNCTION("""COMPUTED_VALUE"""),46213.0)</f>
        <v>46213</v>
      </c>
      <c r="B489" s="274">
        <f>IFERROR(__xludf.DUMMYFUNCTION("""COMPUTED_VALUE"""),0.5)</f>
        <v>0.5</v>
      </c>
      <c r="C489" s="208" t="str">
        <f>IFERROR(__xludf.DUMMYFUNCTION("""COMPUTED_VALUE"""),"Sms")</f>
        <v>Sms</v>
      </c>
      <c r="D489" s="208" t="str">
        <f>IFERROR(__xludf.DUMMYFUNCTION("""COMPUTED_VALUE"""),"Fallback campaign")</f>
        <v>Fallback campaign</v>
      </c>
      <c r="E489" s="208" t="str">
        <f>IFERROR(__xludf.DUMMYFUNCTION("""COMPUTED_VALUE"""),"VS")</f>
        <v>VS</v>
      </c>
      <c r="F489" s="208" t="str">
        <f>IFERROR(__xludf.DUMMYFUNCTION("""COMPUTED_VALUE"""),"SAS_July_PJs - PJs")</f>
        <v>SAS_July_PJs - PJs</v>
      </c>
      <c r="G489" s="208" t="str">
        <f>IFERROR(__xludf.DUMMYFUNCTION("""COMPUTED_VALUE"""),"Store Visit_PJs_SAS_DEL (WA_SMS)")</f>
        <v>Store Visit_PJs_SAS_DEL (WA_SMS)</v>
      </c>
      <c r="H489" s="208" t="str">
        <f>IFERROR(__xludf.DUMMYFUNCTION("""COMPUTED_VALUE"""),"Delhi_Purchasers_OnOff")</f>
        <v>Delhi_Purchasers_OnOff</v>
      </c>
      <c r="I489" s="233" t="str">
        <f>IFERROR(__xludf.DUMMYFUNCTION("""COMPUTED_VALUE"""),"WA Undelivered")</f>
        <v>WA Undelivered</v>
      </c>
      <c r="J489" s="275">
        <f>IFERROR(__xludf.DUMMYFUNCTION("""COMPUTED_VALUE"""),28299.0)</f>
        <v>28299</v>
      </c>
      <c r="K489" s="275">
        <f>IFERROR(__xludf.DUMMYFUNCTION("""COMPUTED_VALUE"""),15514.0)</f>
        <v>15514</v>
      </c>
      <c r="L489" s="276">
        <f>IFERROR(__xludf.DUMMYFUNCTION("""COMPUTED_VALUE"""),0.5482)</f>
        <v>0.5482</v>
      </c>
      <c r="M489" s="275">
        <f>IFERROR(__xludf.DUMMYFUNCTION("""COMPUTED_VALUE"""),0.0)</f>
        <v>0</v>
      </c>
      <c r="N489" s="276">
        <f>IFERROR(__xludf.DUMMYFUNCTION("""COMPUTED_VALUE"""),0.0)</f>
        <v>0</v>
      </c>
      <c r="O489" s="208">
        <f>IFERROR(__xludf.DUMMYFUNCTION("""COMPUTED_VALUE"""),0.0)</f>
        <v>0</v>
      </c>
      <c r="P489" s="208">
        <f>IFERROR(__xludf.DUMMYFUNCTION("""COMPUTED_VALUE"""),0.0)</f>
        <v>0</v>
      </c>
      <c r="Q489" s="276">
        <f>IFERROR(__xludf.DUMMYFUNCTION("""COMPUTED_VALUE"""),0.0)</f>
        <v>0</v>
      </c>
      <c r="R489" s="276">
        <f>IFERROR(__xludf.DUMMYFUNCTION("""COMPUTED_VALUE"""),0.0)</f>
        <v>0</v>
      </c>
      <c r="S489" s="208">
        <f>IFERROR(__xludf.DUMMYFUNCTION("""COMPUTED_VALUE"""),7.0)</f>
        <v>7</v>
      </c>
      <c r="T489" s="208">
        <f>IFERROR(__xludf.DUMMYFUNCTION("""COMPUTED_VALUE"""),14.0)</f>
        <v>14</v>
      </c>
      <c r="U489" s="275">
        <f>IFERROR(__xludf.DUMMYFUNCTION("""COMPUTED_VALUE"""),52816.0)</f>
        <v>52816</v>
      </c>
      <c r="V489" s="208" t="str">
        <f>IFERROR(__xludf.DUMMYFUNCTION("""COMPUTED_VALUE"""),"offline")</f>
        <v>offline</v>
      </c>
      <c r="W489" s="232" t="str">
        <f>IFERROR(__xludf.DUMMYFUNCTION("""COMPUTED_VALUE"""),"Sms")</f>
        <v>Sms</v>
      </c>
      <c r="X489" s="232" t="str">
        <f>IFERROR(__xludf.DUMMYFUNCTION("""COMPUTED_VALUE"""),"City Focused")</f>
        <v>City Focused</v>
      </c>
      <c r="Y489" s="232" t="str">
        <f>IFERROR(__xludf.DUMMYFUNCTION("""COMPUTED_VALUE"""),"10th - 12th July 2026")</f>
        <v>10th - 12th July 2026</v>
      </c>
      <c r="Z489" s="232" t="str">
        <f>IFERROR(__xludf.DUMMYFUNCTION("""COMPUTED_VALUE"""),"6a4f9906dbba260fc90910da")</f>
        <v>6a4f9906dbba260fc90910da</v>
      </c>
      <c r="AA489" s="277">
        <f>IFERROR(__xludf.DUMMYFUNCTION("""COMPUTED_VALUE"""),45.0)</f>
        <v>45</v>
      </c>
      <c r="AB489" s="277"/>
      <c r="AC489" s="277">
        <f>IFERROR(__xludf.DUMMYFUNCTION("""COMPUTED_VALUE"""),45.0)</f>
        <v>45</v>
      </c>
      <c r="AD489" s="277">
        <f>IFERROR(__xludf.DUMMYFUNCTION("""COMPUTED_VALUE"""),472087.0)</f>
        <v>472087</v>
      </c>
      <c r="AE489" s="277"/>
      <c r="AF489" s="277">
        <f>IFERROR(__xludf.DUMMYFUNCTION("""COMPUTED_VALUE"""),472087.0)</f>
        <v>472087</v>
      </c>
      <c r="AG489" s="208"/>
      <c r="AH489" s="208"/>
      <c r="AI489" s="208"/>
      <c r="AJ489" s="208"/>
      <c r="AK489" s="208"/>
    </row>
    <row r="490">
      <c r="A490" s="273">
        <f>IFERROR(__xludf.DUMMYFUNCTION("""COMPUTED_VALUE"""),46213.0)</f>
        <v>46213</v>
      </c>
      <c r="B490" s="274">
        <f>IFERROR(__xludf.DUMMYFUNCTION("""COMPUTED_VALUE"""),0.5)</f>
        <v>0.5</v>
      </c>
      <c r="C490" s="208" t="str">
        <f>IFERROR(__xludf.DUMMYFUNCTION("""COMPUTED_VALUE"""),"Sms")</f>
        <v>Sms</v>
      </c>
      <c r="D490" s="208" t="str">
        <f>IFERROR(__xludf.DUMMYFUNCTION("""COMPUTED_VALUE"""),"Fallback campaign")</f>
        <v>Fallback campaign</v>
      </c>
      <c r="E490" s="208" t="str">
        <f>IFERROR(__xludf.DUMMYFUNCTION("""COMPUTED_VALUE"""),"VS")</f>
        <v>VS</v>
      </c>
      <c r="F490" s="208" t="str">
        <f>IFERROR(__xludf.DUMMYFUNCTION("""COMPUTED_VALUE"""),"SAS_July_PJs - PJs")</f>
        <v>SAS_July_PJs - PJs</v>
      </c>
      <c r="G490" s="208" t="str">
        <f>IFERROR(__xludf.DUMMYFUNCTION("""COMPUTED_VALUE"""),"Store Visit_PJs_SAS_BLR (WA_SMS)")</f>
        <v>Store Visit_PJs_SAS_BLR (WA_SMS)</v>
      </c>
      <c r="H490" s="208" t="str">
        <f>IFERROR(__xludf.DUMMYFUNCTION("""COMPUTED_VALUE"""),"Bangalore_Purchasers_OnOff")</f>
        <v>Bangalore_Purchasers_OnOff</v>
      </c>
      <c r="I490" s="233" t="str">
        <f>IFERROR(__xludf.DUMMYFUNCTION("""COMPUTED_VALUE"""),"WA Undelivered")</f>
        <v>WA Undelivered</v>
      </c>
      <c r="J490" s="275">
        <f>IFERROR(__xludf.DUMMYFUNCTION("""COMPUTED_VALUE"""),14924.0)</f>
        <v>14924</v>
      </c>
      <c r="K490" s="275">
        <f>IFERROR(__xludf.DUMMYFUNCTION("""COMPUTED_VALUE"""),9101.0)</f>
        <v>9101</v>
      </c>
      <c r="L490" s="276">
        <f>IFERROR(__xludf.DUMMYFUNCTION("""COMPUTED_VALUE"""),0.6098)</f>
        <v>0.6098</v>
      </c>
      <c r="M490" s="275">
        <f>IFERROR(__xludf.DUMMYFUNCTION("""COMPUTED_VALUE"""),0.0)</f>
        <v>0</v>
      </c>
      <c r="N490" s="276">
        <f>IFERROR(__xludf.DUMMYFUNCTION("""COMPUTED_VALUE"""),0.0)</f>
        <v>0</v>
      </c>
      <c r="O490" s="208">
        <f>IFERROR(__xludf.DUMMYFUNCTION("""COMPUTED_VALUE"""),0.0)</f>
        <v>0</v>
      </c>
      <c r="P490" s="208">
        <f>IFERROR(__xludf.DUMMYFUNCTION("""COMPUTED_VALUE"""),0.0)</f>
        <v>0</v>
      </c>
      <c r="Q490" s="276">
        <f>IFERROR(__xludf.DUMMYFUNCTION("""COMPUTED_VALUE"""),0.0)</f>
        <v>0</v>
      </c>
      <c r="R490" s="276">
        <f>IFERROR(__xludf.DUMMYFUNCTION("""COMPUTED_VALUE"""),0.0)</f>
        <v>0</v>
      </c>
      <c r="S490" s="208">
        <f>IFERROR(__xludf.DUMMYFUNCTION("""COMPUTED_VALUE"""),1.0)</f>
        <v>1</v>
      </c>
      <c r="T490" s="208">
        <f>IFERROR(__xludf.DUMMYFUNCTION("""COMPUTED_VALUE"""),3.0)</f>
        <v>3</v>
      </c>
      <c r="U490" s="275">
        <f>IFERROR(__xludf.DUMMYFUNCTION("""COMPUTED_VALUE"""),11268.0)</f>
        <v>11268</v>
      </c>
      <c r="V490" s="208" t="str">
        <f>IFERROR(__xludf.DUMMYFUNCTION("""COMPUTED_VALUE"""),"offline")</f>
        <v>offline</v>
      </c>
      <c r="W490" s="232" t="str">
        <f>IFERROR(__xludf.DUMMYFUNCTION("""COMPUTED_VALUE"""),"Sms")</f>
        <v>Sms</v>
      </c>
      <c r="X490" s="232" t="str">
        <f>IFERROR(__xludf.DUMMYFUNCTION("""COMPUTED_VALUE"""),"City Focused")</f>
        <v>City Focused</v>
      </c>
      <c r="Y490" s="232" t="str">
        <f>IFERROR(__xludf.DUMMYFUNCTION("""COMPUTED_VALUE"""),"10th - 12th July 2026")</f>
        <v>10th - 12th July 2026</v>
      </c>
      <c r="Z490" s="232" t="str">
        <f>IFERROR(__xludf.DUMMYFUNCTION("""COMPUTED_VALUE"""),"6a4f9ae2e8f6c617202f54c8")</f>
        <v>6a4f9ae2e8f6c617202f54c8</v>
      </c>
      <c r="AA490" s="277">
        <f>IFERROR(__xludf.DUMMYFUNCTION("""COMPUTED_VALUE"""),24.0)</f>
        <v>24</v>
      </c>
      <c r="AB490" s="277"/>
      <c r="AC490" s="277">
        <f>IFERROR(__xludf.DUMMYFUNCTION("""COMPUTED_VALUE"""),24.0)</f>
        <v>24</v>
      </c>
      <c r="AD490" s="277">
        <f>IFERROR(__xludf.DUMMYFUNCTION("""COMPUTED_VALUE"""),97878.0)</f>
        <v>97878</v>
      </c>
      <c r="AE490" s="277"/>
      <c r="AF490" s="277">
        <f>IFERROR(__xludf.DUMMYFUNCTION("""COMPUTED_VALUE"""),97878.0)</f>
        <v>97878</v>
      </c>
      <c r="AG490" s="208"/>
      <c r="AH490" s="208"/>
      <c r="AI490" s="208"/>
      <c r="AJ490" s="208"/>
      <c r="AK490" s="208"/>
    </row>
    <row r="491">
      <c r="A491" s="273">
        <f>IFERROR(__xludf.DUMMYFUNCTION("""COMPUTED_VALUE"""),46213.0)</f>
        <v>46213</v>
      </c>
      <c r="B491" s="274">
        <f>IFERROR(__xludf.DUMMYFUNCTION("""COMPUTED_VALUE"""),0.5)</f>
        <v>0.5</v>
      </c>
      <c r="C491" s="208" t="str">
        <f>IFERROR(__xludf.DUMMYFUNCTION("""COMPUTED_VALUE"""),"Sms")</f>
        <v>Sms</v>
      </c>
      <c r="D491" s="208" t="str">
        <f>IFERROR(__xludf.DUMMYFUNCTION("""COMPUTED_VALUE"""),"Fallback campaign")</f>
        <v>Fallback campaign</v>
      </c>
      <c r="E491" s="208" t="str">
        <f>IFERROR(__xludf.DUMMYFUNCTION("""COMPUTED_VALUE"""),"VS")</f>
        <v>VS</v>
      </c>
      <c r="F491" s="208" t="str">
        <f>IFERROR(__xludf.DUMMYFUNCTION("""COMPUTED_VALUE"""),"SAS_July_PJs - PJs")</f>
        <v>SAS_July_PJs - PJs</v>
      </c>
      <c r="G491" s="208" t="str">
        <f>IFERROR(__xludf.DUMMYFUNCTION("""COMPUTED_VALUE"""),"Store Visit_PJs_SAS_PUN ((WA_SMS)")</f>
        <v>Store Visit_PJs_SAS_PUN ((WA_SMS)</v>
      </c>
      <c r="H491" s="208" t="str">
        <f>IFERROR(__xludf.DUMMYFUNCTION("""COMPUTED_VALUE"""),"Pune_Purchasers_OnOff")</f>
        <v>Pune_Purchasers_OnOff</v>
      </c>
      <c r="I491" s="233" t="str">
        <f>IFERROR(__xludf.DUMMYFUNCTION("""COMPUTED_VALUE"""),"WA Undelivered")</f>
        <v>WA Undelivered</v>
      </c>
      <c r="J491" s="275">
        <f>IFERROR(__xludf.DUMMYFUNCTION("""COMPUTED_VALUE"""),6268.0)</f>
        <v>6268</v>
      </c>
      <c r="K491" s="275">
        <f>IFERROR(__xludf.DUMMYFUNCTION("""COMPUTED_VALUE"""),3843.0)</f>
        <v>3843</v>
      </c>
      <c r="L491" s="276">
        <f>IFERROR(__xludf.DUMMYFUNCTION("""COMPUTED_VALUE"""),0.6131)</f>
        <v>0.6131</v>
      </c>
      <c r="M491" s="275">
        <f>IFERROR(__xludf.DUMMYFUNCTION("""COMPUTED_VALUE"""),0.0)</f>
        <v>0</v>
      </c>
      <c r="N491" s="276">
        <f>IFERROR(__xludf.DUMMYFUNCTION("""COMPUTED_VALUE"""),0.0)</f>
        <v>0</v>
      </c>
      <c r="O491" s="208">
        <f>IFERROR(__xludf.DUMMYFUNCTION("""COMPUTED_VALUE"""),0.0)</f>
        <v>0</v>
      </c>
      <c r="P491" s="208">
        <f>IFERROR(__xludf.DUMMYFUNCTION("""COMPUTED_VALUE"""),0.0)</f>
        <v>0</v>
      </c>
      <c r="Q491" s="276">
        <f>IFERROR(__xludf.DUMMYFUNCTION("""COMPUTED_VALUE"""),0.0)</f>
        <v>0</v>
      </c>
      <c r="R491" s="276">
        <f>IFERROR(__xludf.DUMMYFUNCTION("""COMPUTED_VALUE"""),0.0)</f>
        <v>0</v>
      </c>
      <c r="S491" s="208">
        <f>IFERROR(__xludf.DUMMYFUNCTION("""COMPUTED_VALUE"""),0.0)</f>
        <v>0</v>
      </c>
      <c r="T491" s="208">
        <f>IFERROR(__xludf.DUMMYFUNCTION("""COMPUTED_VALUE"""),2.0)</f>
        <v>2</v>
      </c>
      <c r="U491" s="275">
        <f>IFERROR(__xludf.DUMMYFUNCTION("""COMPUTED_VALUE"""),0.0)</f>
        <v>0</v>
      </c>
      <c r="V491" s="208" t="str">
        <f>IFERROR(__xludf.DUMMYFUNCTION("""COMPUTED_VALUE"""),"offline")</f>
        <v>offline</v>
      </c>
      <c r="W491" s="232" t="str">
        <f>IFERROR(__xludf.DUMMYFUNCTION("""COMPUTED_VALUE"""),"Sms")</f>
        <v>Sms</v>
      </c>
      <c r="X491" s="232" t="str">
        <f>IFERROR(__xludf.DUMMYFUNCTION("""COMPUTED_VALUE"""),"City Focused")</f>
        <v>City Focused</v>
      </c>
      <c r="Y491" s="232" t="str">
        <f>IFERROR(__xludf.DUMMYFUNCTION("""COMPUTED_VALUE"""),"10th - 12th July 2026")</f>
        <v>10th - 12th July 2026</v>
      </c>
      <c r="Z491" s="232" t="str">
        <f>IFERROR(__xludf.DUMMYFUNCTION("""COMPUTED_VALUE"""),"6a4f9b9034a95ffc7379270d")</f>
        <v>6a4f9b9034a95ffc7379270d</v>
      </c>
      <c r="AA491" s="277">
        <f>IFERROR(__xludf.DUMMYFUNCTION("""COMPUTED_VALUE"""),15.0)</f>
        <v>15</v>
      </c>
      <c r="AB491" s="277"/>
      <c r="AC491" s="277">
        <f>IFERROR(__xludf.DUMMYFUNCTION("""COMPUTED_VALUE"""),15.0)</f>
        <v>15</v>
      </c>
      <c r="AD491" s="277">
        <f>IFERROR(__xludf.DUMMYFUNCTION("""COMPUTED_VALUE"""),106357.0)</f>
        <v>106357</v>
      </c>
      <c r="AE491" s="277"/>
      <c r="AF491" s="277">
        <f>IFERROR(__xludf.DUMMYFUNCTION("""COMPUTED_VALUE"""),106357.0)</f>
        <v>106357</v>
      </c>
      <c r="AG491" s="208"/>
      <c r="AH491" s="208"/>
      <c r="AI491" s="208"/>
      <c r="AJ491" s="208"/>
      <c r="AK491" s="208"/>
    </row>
    <row r="492">
      <c r="A492" s="273">
        <f>IFERROR(__xludf.DUMMYFUNCTION("""COMPUTED_VALUE"""),46213.0)</f>
        <v>46213</v>
      </c>
      <c r="B492" s="274">
        <f>IFERROR(__xludf.DUMMYFUNCTION("""COMPUTED_VALUE"""),0.3541666666678793)</f>
        <v>0.3541666667</v>
      </c>
      <c r="C492" s="208" t="str">
        <f>IFERROR(__xludf.DUMMYFUNCTION("""COMPUTED_VALUE"""),"Rcs")</f>
        <v>Rcs</v>
      </c>
      <c r="D492" s="208" t="str">
        <f>IFERROR(__xludf.DUMMYFUNCTION("""COMPUTED_VALUE"""),"Promotional")</f>
        <v>Promotional</v>
      </c>
      <c r="E492" s="208" t="str">
        <f>IFERROR(__xludf.DUMMYFUNCTION("""COMPUTED_VALUE"""),"VS")</f>
        <v>VS</v>
      </c>
      <c r="F492" s="208" t="str">
        <f>IFERROR(__xludf.DUMMYFUNCTION("""COMPUTED_VALUE"""),"SAS_July_PJs - PJs")</f>
        <v>SAS_July_PJs - PJs</v>
      </c>
      <c r="G492" s="208" t="str">
        <f>IFERROR(__xludf.DUMMYFUNCTION("""COMPUTED_VALUE"""),"Store Visit_PJs_SAS_MUM")</f>
        <v>Store Visit_PJs_SAS_MUM</v>
      </c>
      <c r="H492" s="208" t="str">
        <f>IFERROR(__xludf.DUMMYFUNCTION("""COMPUTED_VALUE"""),"Mumbai_Purchasers_OnOff")</f>
        <v>Mumbai_Purchasers_OnOff</v>
      </c>
      <c r="I492" s="233" t="str">
        <f>IFERROR(__xludf.DUMMYFUNCTION("""COMPUTED_VALUE"""),"All customers who have shopped in Mumbai VS stores or have shopped online with Txn_City is Mumbai")</f>
        <v>All customers who have shopped in Mumbai VS stores or have shopped online with Txn_City is Mumbai</v>
      </c>
      <c r="J492" s="275">
        <f>IFERROR(__xludf.DUMMYFUNCTION("""COMPUTED_VALUE"""),71454.0)</f>
        <v>71454</v>
      </c>
      <c r="K492" s="275">
        <f>IFERROR(__xludf.DUMMYFUNCTION("""COMPUTED_VALUE"""),11157.0)</f>
        <v>11157</v>
      </c>
      <c r="L492" s="276">
        <f>IFERROR(__xludf.DUMMYFUNCTION("""COMPUTED_VALUE"""),0.1561)</f>
        <v>0.1561</v>
      </c>
      <c r="M492" s="275">
        <f>IFERROR(__xludf.DUMMYFUNCTION("""COMPUTED_VALUE"""),2198.0)</f>
        <v>2198</v>
      </c>
      <c r="N492" s="276">
        <f>IFERROR(__xludf.DUMMYFUNCTION("""COMPUTED_VALUE"""),0.197)</f>
        <v>0.197</v>
      </c>
      <c r="O492" s="208">
        <f>IFERROR(__xludf.DUMMYFUNCTION("""COMPUTED_VALUE"""),32.0)</f>
        <v>32</v>
      </c>
      <c r="P492" s="208">
        <f>IFERROR(__xludf.DUMMYFUNCTION("""COMPUTED_VALUE"""),0.0)</f>
        <v>0</v>
      </c>
      <c r="Q492" s="276">
        <f>IFERROR(__xludf.DUMMYFUNCTION("""COMPUTED_VALUE"""),0.003)</f>
        <v>0.003</v>
      </c>
      <c r="R492" s="276">
        <f>IFERROR(__xludf.DUMMYFUNCTION("""COMPUTED_VALUE"""),0.0)</f>
        <v>0</v>
      </c>
      <c r="S492" s="208">
        <f>IFERROR(__xludf.DUMMYFUNCTION("""COMPUTED_VALUE"""),3.0)</f>
        <v>3</v>
      </c>
      <c r="T492" s="208">
        <f>IFERROR(__xludf.DUMMYFUNCTION("""COMPUTED_VALUE"""),7.0)</f>
        <v>7</v>
      </c>
      <c r="U492" s="275">
        <f>IFERROR(__xludf.DUMMYFUNCTION("""COMPUTED_VALUE"""),37008.0)</f>
        <v>37008</v>
      </c>
      <c r="V492" s="208" t="str">
        <f>IFERROR(__xludf.DUMMYFUNCTION("""COMPUTED_VALUE"""),"offline")</f>
        <v>offline</v>
      </c>
      <c r="W492" s="232" t="str">
        <f>IFERROR(__xludf.DUMMYFUNCTION("""COMPUTED_VALUE"""),"RCS")</f>
        <v>RCS</v>
      </c>
      <c r="X492" s="232" t="str">
        <f>IFERROR(__xludf.DUMMYFUNCTION("""COMPUTED_VALUE"""),"City Focused")</f>
        <v>City Focused</v>
      </c>
      <c r="Y492" s="232" t="str">
        <f>IFERROR(__xludf.DUMMYFUNCTION("""COMPUTED_VALUE"""),"10th - 12th July 2026")</f>
        <v>10th - 12th July 2026</v>
      </c>
      <c r="Z492" s="232" t="str">
        <f>IFERROR(__xludf.DUMMYFUNCTION("""COMPUTED_VALUE"""),"6a4f8fe9b6710d0333912a80")</f>
        <v>6a4f8fe9b6710d0333912a80</v>
      </c>
      <c r="AA492" s="277">
        <f>IFERROR(__xludf.DUMMYFUNCTION("""COMPUTED_VALUE"""),31.0)</f>
        <v>31</v>
      </c>
      <c r="AB492" s="277"/>
      <c r="AC492" s="277">
        <f>IFERROR(__xludf.DUMMYFUNCTION("""COMPUTED_VALUE"""),31.0)</f>
        <v>31</v>
      </c>
      <c r="AD492" s="277">
        <f>IFERROR(__xludf.DUMMYFUNCTION("""COMPUTED_VALUE"""),275636.0)</f>
        <v>275636</v>
      </c>
      <c r="AE492" s="277"/>
      <c r="AF492" s="277">
        <f>IFERROR(__xludf.DUMMYFUNCTION("""COMPUTED_VALUE"""),275636.0)</f>
        <v>275636</v>
      </c>
      <c r="AG492" s="208"/>
      <c r="AH492" s="208"/>
      <c r="AI492" s="208"/>
      <c r="AJ492" s="208"/>
      <c r="AK492" s="208"/>
    </row>
    <row r="493">
      <c r="A493" s="273">
        <f>IFERROR(__xludf.DUMMYFUNCTION("""COMPUTED_VALUE"""),46213.0)</f>
        <v>46213</v>
      </c>
      <c r="B493" s="274">
        <f>IFERROR(__xludf.DUMMYFUNCTION("""COMPUTED_VALUE"""),0.3541666666678793)</f>
        <v>0.3541666667</v>
      </c>
      <c r="C493" s="208" t="str">
        <f>IFERROR(__xludf.DUMMYFUNCTION("""COMPUTED_VALUE"""),"Rcs")</f>
        <v>Rcs</v>
      </c>
      <c r="D493" s="208" t="str">
        <f>IFERROR(__xludf.DUMMYFUNCTION("""COMPUTED_VALUE"""),"Promotional")</f>
        <v>Promotional</v>
      </c>
      <c r="E493" s="208" t="str">
        <f>IFERROR(__xludf.DUMMYFUNCTION("""COMPUTED_VALUE"""),"VS")</f>
        <v>VS</v>
      </c>
      <c r="F493" s="208" t="str">
        <f>IFERROR(__xludf.DUMMYFUNCTION("""COMPUTED_VALUE"""),"SAS_July_PJs - PJs")</f>
        <v>SAS_July_PJs - PJs</v>
      </c>
      <c r="G493" s="208" t="str">
        <f>IFERROR(__xludf.DUMMYFUNCTION("""COMPUTED_VALUE"""),"Store Visit_PJs_SAS_DEL")</f>
        <v>Store Visit_PJs_SAS_DEL</v>
      </c>
      <c r="H493" s="208" t="str">
        <f>IFERROR(__xludf.DUMMYFUNCTION("""COMPUTED_VALUE"""),"Delhi_Purchasers_OnOff")</f>
        <v>Delhi_Purchasers_OnOff</v>
      </c>
      <c r="I493" s="233" t="str">
        <f>IFERROR(__xludf.DUMMYFUNCTION("""COMPUTED_VALUE"""),"All customers who have shopped in Delhi VS stores or have shopped online with Txn_City is Delhi")</f>
        <v>All customers who have shopped in Delhi VS stores or have shopped online with Txn_City is Delhi</v>
      </c>
      <c r="J493" s="275">
        <f>IFERROR(__xludf.DUMMYFUNCTION("""COMPUTED_VALUE"""),87157.0)</f>
        <v>87157</v>
      </c>
      <c r="K493" s="275">
        <f>IFERROR(__xludf.DUMMYFUNCTION("""COMPUTED_VALUE"""),10744.0)</f>
        <v>10744</v>
      </c>
      <c r="L493" s="276">
        <f>IFERROR(__xludf.DUMMYFUNCTION("""COMPUTED_VALUE"""),0.1233)</f>
        <v>0.1233</v>
      </c>
      <c r="M493" s="275">
        <f>IFERROR(__xludf.DUMMYFUNCTION("""COMPUTED_VALUE"""),1967.0)</f>
        <v>1967</v>
      </c>
      <c r="N493" s="276">
        <f>IFERROR(__xludf.DUMMYFUNCTION("""COMPUTED_VALUE"""),0.1831)</f>
        <v>0.1831</v>
      </c>
      <c r="O493" s="208">
        <f>IFERROR(__xludf.DUMMYFUNCTION("""COMPUTED_VALUE"""),33.0)</f>
        <v>33</v>
      </c>
      <c r="P493" s="208">
        <f>IFERROR(__xludf.DUMMYFUNCTION("""COMPUTED_VALUE"""),0.0)</f>
        <v>0</v>
      </c>
      <c r="Q493" s="276">
        <f>IFERROR(__xludf.DUMMYFUNCTION("""COMPUTED_VALUE"""),0.0031)</f>
        <v>0.0031</v>
      </c>
      <c r="R493" s="276">
        <f>IFERROR(__xludf.DUMMYFUNCTION("""COMPUTED_VALUE"""),0.0)</f>
        <v>0</v>
      </c>
      <c r="S493" s="208">
        <f>IFERROR(__xludf.DUMMYFUNCTION("""COMPUTED_VALUE"""),2.0)</f>
        <v>2</v>
      </c>
      <c r="T493" s="208">
        <f>IFERROR(__xludf.DUMMYFUNCTION("""COMPUTED_VALUE"""),8.0)</f>
        <v>8</v>
      </c>
      <c r="U493" s="275">
        <f>IFERROR(__xludf.DUMMYFUNCTION("""COMPUTED_VALUE"""),12989.0)</f>
        <v>12989</v>
      </c>
      <c r="V493" s="208" t="str">
        <f>IFERROR(__xludf.DUMMYFUNCTION("""COMPUTED_VALUE"""),"offline")</f>
        <v>offline</v>
      </c>
      <c r="W493" s="232" t="str">
        <f>IFERROR(__xludf.DUMMYFUNCTION("""COMPUTED_VALUE"""),"RCS")</f>
        <v>RCS</v>
      </c>
      <c r="X493" s="232" t="str">
        <f>IFERROR(__xludf.DUMMYFUNCTION("""COMPUTED_VALUE"""),"City Focused")</f>
        <v>City Focused</v>
      </c>
      <c r="Y493" s="232" t="str">
        <f>IFERROR(__xludf.DUMMYFUNCTION("""COMPUTED_VALUE"""),"10th - 12th July 2026")</f>
        <v>10th - 12th July 2026</v>
      </c>
      <c r="Z493" s="232" t="str">
        <f>IFERROR(__xludf.DUMMYFUNCTION("""COMPUTED_VALUE"""),"6a4f9191965dec76e2fc671c")</f>
        <v>6a4f9191965dec76e2fc671c</v>
      </c>
      <c r="AA493" s="277">
        <f>IFERROR(__xludf.DUMMYFUNCTION("""COMPUTED_VALUE"""),22.0)</f>
        <v>22</v>
      </c>
      <c r="AB493" s="277"/>
      <c r="AC493" s="277">
        <f>IFERROR(__xludf.DUMMYFUNCTION("""COMPUTED_VALUE"""),22.0)</f>
        <v>22</v>
      </c>
      <c r="AD493" s="277">
        <f>IFERROR(__xludf.DUMMYFUNCTION("""COMPUTED_VALUE"""),166262.0)</f>
        <v>166262</v>
      </c>
      <c r="AE493" s="277"/>
      <c r="AF493" s="277">
        <f>IFERROR(__xludf.DUMMYFUNCTION("""COMPUTED_VALUE"""),166262.0)</f>
        <v>166262</v>
      </c>
      <c r="AG493" s="208"/>
      <c r="AH493" s="208"/>
      <c r="AI493" s="208"/>
      <c r="AJ493" s="208"/>
      <c r="AK493" s="208"/>
    </row>
    <row r="494">
      <c r="A494" s="273">
        <f>IFERROR(__xludf.DUMMYFUNCTION("""COMPUTED_VALUE"""),46213.0)</f>
        <v>46213</v>
      </c>
      <c r="B494" s="274">
        <f>IFERROR(__xludf.DUMMYFUNCTION("""COMPUTED_VALUE"""),0.3541666666678793)</f>
        <v>0.3541666667</v>
      </c>
      <c r="C494" s="208" t="str">
        <f>IFERROR(__xludf.DUMMYFUNCTION("""COMPUTED_VALUE"""),"Rcs")</f>
        <v>Rcs</v>
      </c>
      <c r="D494" s="208" t="str">
        <f>IFERROR(__xludf.DUMMYFUNCTION("""COMPUTED_VALUE"""),"Promotional")</f>
        <v>Promotional</v>
      </c>
      <c r="E494" s="208" t="str">
        <f>IFERROR(__xludf.DUMMYFUNCTION("""COMPUTED_VALUE"""),"VS")</f>
        <v>VS</v>
      </c>
      <c r="F494" s="208" t="str">
        <f>IFERROR(__xludf.DUMMYFUNCTION("""COMPUTED_VALUE"""),"SAS_July_PJs - PJs")</f>
        <v>SAS_July_PJs - PJs</v>
      </c>
      <c r="G494" s="208" t="str">
        <f>IFERROR(__xludf.DUMMYFUNCTION("""COMPUTED_VALUE"""),"Store Visit_PJs_SAS_BLR")</f>
        <v>Store Visit_PJs_SAS_BLR</v>
      </c>
      <c r="H494" s="208" t="str">
        <f>IFERROR(__xludf.DUMMYFUNCTION("""COMPUTED_VALUE"""),"Bangalore_Purchasers_OnOff")</f>
        <v>Bangalore_Purchasers_OnOff</v>
      </c>
      <c r="I494" s="233" t="str">
        <f>IFERROR(__xludf.DUMMYFUNCTION("""COMPUTED_VALUE"""),"All customers who have shopped in Bengaluru VS stores or have shopped online with Txn_City is Bengaluru")</f>
        <v>All customers who have shopped in Bengaluru VS stores or have shopped online with Txn_City is Bengaluru</v>
      </c>
      <c r="J494" s="275">
        <f>IFERROR(__xludf.DUMMYFUNCTION("""COMPUTED_VALUE"""),50336.0)</f>
        <v>50336</v>
      </c>
      <c r="K494" s="275">
        <f>IFERROR(__xludf.DUMMYFUNCTION("""COMPUTED_VALUE"""),8711.0)</f>
        <v>8711</v>
      </c>
      <c r="L494" s="276">
        <f>IFERROR(__xludf.DUMMYFUNCTION("""COMPUTED_VALUE"""),0.1731)</f>
        <v>0.1731</v>
      </c>
      <c r="M494" s="275">
        <f>IFERROR(__xludf.DUMMYFUNCTION("""COMPUTED_VALUE"""),1381.0)</f>
        <v>1381</v>
      </c>
      <c r="N494" s="276">
        <f>IFERROR(__xludf.DUMMYFUNCTION("""COMPUTED_VALUE"""),0.1585)</f>
        <v>0.1585</v>
      </c>
      <c r="O494" s="208">
        <f>IFERROR(__xludf.DUMMYFUNCTION("""COMPUTED_VALUE"""),14.0)</f>
        <v>14</v>
      </c>
      <c r="P494" s="208">
        <f>IFERROR(__xludf.DUMMYFUNCTION("""COMPUTED_VALUE"""),0.0)</f>
        <v>0</v>
      </c>
      <c r="Q494" s="276">
        <f>IFERROR(__xludf.DUMMYFUNCTION("""COMPUTED_VALUE"""),0.0021)</f>
        <v>0.0021</v>
      </c>
      <c r="R494" s="276">
        <f>IFERROR(__xludf.DUMMYFUNCTION("""COMPUTED_VALUE"""),0.0)</f>
        <v>0</v>
      </c>
      <c r="S494" s="208">
        <f>IFERROR(__xludf.DUMMYFUNCTION("""COMPUTED_VALUE"""),0.0)</f>
        <v>0</v>
      </c>
      <c r="T494" s="208">
        <f>IFERROR(__xludf.DUMMYFUNCTION("""COMPUTED_VALUE"""),2.0)</f>
        <v>2</v>
      </c>
      <c r="U494" s="275">
        <f>IFERROR(__xludf.DUMMYFUNCTION("""COMPUTED_VALUE"""),0.0)</f>
        <v>0</v>
      </c>
      <c r="V494" s="208" t="str">
        <f>IFERROR(__xludf.DUMMYFUNCTION("""COMPUTED_VALUE"""),"offline")</f>
        <v>offline</v>
      </c>
      <c r="W494" s="232" t="str">
        <f>IFERROR(__xludf.DUMMYFUNCTION("""COMPUTED_VALUE"""),"RCS")</f>
        <v>RCS</v>
      </c>
      <c r="X494" s="232" t="str">
        <f>IFERROR(__xludf.DUMMYFUNCTION("""COMPUTED_VALUE"""),"City Focused")</f>
        <v>City Focused</v>
      </c>
      <c r="Y494" s="232" t="str">
        <f>IFERROR(__xludf.DUMMYFUNCTION("""COMPUTED_VALUE"""),"10th - 12th July 2026")</f>
        <v>10th - 12th July 2026</v>
      </c>
      <c r="Z494" s="232" t="str">
        <f>IFERROR(__xludf.DUMMYFUNCTION("""COMPUTED_VALUE"""),"6a4f91f69aa40630e845c096")</f>
        <v>6a4f91f69aa40630e845c096</v>
      </c>
      <c r="AA494" s="277">
        <f>IFERROR(__xludf.DUMMYFUNCTION("""COMPUTED_VALUE"""),23.0)</f>
        <v>23</v>
      </c>
      <c r="AB494" s="277"/>
      <c r="AC494" s="277">
        <f>IFERROR(__xludf.DUMMYFUNCTION("""COMPUTED_VALUE"""),23.0)</f>
        <v>23</v>
      </c>
      <c r="AD494" s="277">
        <f>IFERROR(__xludf.DUMMYFUNCTION("""COMPUTED_VALUE"""),109981.0)</f>
        <v>109981</v>
      </c>
      <c r="AE494" s="277"/>
      <c r="AF494" s="277">
        <f>IFERROR(__xludf.DUMMYFUNCTION("""COMPUTED_VALUE"""),109981.0)</f>
        <v>109981</v>
      </c>
      <c r="AG494" s="208"/>
      <c r="AH494" s="208"/>
      <c r="AI494" s="208"/>
      <c r="AJ494" s="208"/>
      <c r="AK494" s="208"/>
    </row>
    <row r="495">
      <c r="A495" s="273">
        <f>IFERROR(__xludf.DUMMYFUNCTION("""COMPUTED_VALUE"""),46213.0)</f>
        <v>46213</v>
      </c>
      <c r="B495" s="274">
        <f>IFERROR(__xludf.DUMMYFUNCTION("""COMPUTED_VALUE"""),0.3541666666678793)</f>
        <v>0.3541666667</v>
      </c>
      <c r="C495" s="208" t="str">
        <f>IFERROR(__xludf.DUMMYFUNCTION("""COMPUTED_VALUE"""),"Rcs")</f>
        <v>Rcs</v>
      </c>
      <c r="D495" s="208" t="str">
        <f>IFERROR(__xludf.DUMMYFUNCTION("""COMPUTED_VALUE"""),"Promotional")</f>
        <v>Promotional</v>
      </c>
      <c r="E495" s="208" t="str">
        <f>IFERROR(__xludf.DUMMYFUNCTION("""COMPUTED_VALUE"""),"VS")</f>
        <v>VS</v>
      </c>
      <c r="F495" s="208" t="str">
        <f>IFERROR(__xludf.DUMMYFUNCTION("""COMPUTED_VALUE"""),"SAS_July_PJs - PJs")</f>
        <v>SAS_July_PJs - PJs</v>
      </c>
      <c r="G495" s="208" t="str">
        <f>IFERROR(__xludf.DUMMYFUNCTION("""COMPUTED_VALUE"""),"Store Visit_PJs_SAS_PUN")</f>
        <v>Store Visit_PJs_SAS_PUN</v>
      </c>
      <c r="H495" s="208" t="str">
        <f>IFERROR(__xludf.DUMMYFUNCTION("""COMPUTED_VALUE"""),"Pune_Purchasers_OnOff")</f>
        <v>Pune_Purchasers_OnOff</v>
      </c>
      <c r="I495" s="233" t="str">
        <f>IFERROR(__xludf.DUMMYFUNCTION("""COMPUTED_VALUE"""),"All customers who have shopped in Pune VS stores or have shopped online with Txn_City is Pune")</f>
        <v>All customers who have shopped in Pune VS stores or have shopped online with Txn_City is Pune</v>
      </c>
      <c r="J495" s="275">
        <f>IFERROR(__xludf.DUMMYFUNCTION("""COMPUTED_VALUE"""),24183.0)</f>
        <v>24183</v>
      </c>
      <c r="K495" s="275">
        <f>IFERROR(__xludf.DUMMYFUNCTION("""COMPUTED_VALUE"""),4729.0)</f>
        <v>4729</v>
      </c>
      <c r="L495" s="276">
        <f>IFERROR(__xludf.DUMMYFUNCTION("""COMPUTED_VALUE"""),0.1956)</f>
        <v>0.1956</v>
      </c>
      <c r="M495" s="275">
        <f>IFERROR(__xludf.DUMMYFUNCTION("""COMPUTED_VALUE"""),805.0)</f>
        <v>805</v>
      </c>
      <c r="N495" s="276">
        <f>IFERROR(__xludf.DUMMYFUNCTION("""COMPUTED_VALUE"""),0.1702)</f>
        <v>0.1702</v>
      </c>
      <c r="O495" s="208">
        <f>IFERROR(__xludf.DUMMYFUNCTION("""COMPUTED_VALUE"""),11.0)</f>
        <v>11</v>
      </c>
      <c r="P495" s="208">
        <f>IFERROR(__xludf.DUMMYFUNCTION("""COMPUTED_VALUE"""),0.0)</f>
        <v>0</v>
      </c>
      <c r="Q495" s="276">
        <f>IFERROR(__xludf.DUMMYFUNCTION("""COMPUTED_VALUE"""),0.003)</f>
        <v>0.003</v>
      </c>
      <c r="R495" s="276">
        <f>IFERROR(__xludf.DUMMYFUNCTION("""COMPUTED_VALUE"""),0.0)</f>
        <v>0</v>
      </c>
      <c r="S495" s="208">
        <f>IFERROR(__xludf.DUMMYFUNCTION("""COMPUTED_VALUE"""),1.0)</f>
        <v>1</v>
      </c>
      <c r="T495" s="208">
        <f>IFERROR(__xludf.DUMMYFUNCTION("""COMPUTED_VALUE"""),1.0)</f>
        <v>1</v>
      </c>
      <c r="U495" s="275">
        <f>IFERROR(__xludf.DUMMYFUNCTION("""COMPUTED_VALUE"""),16313.0)</f>
        <v>16313</v>
      </c>
      <c r="V495" s="208" t="str">
        <f>IFERROR(__xludf.DUMMYFUNCTION("""COMPUTED_VALUE"""),"offline")</f>
        <v>offline</v>
      </c>
      <c r="W495" s="232" t="str">
        <f>IFERROR(__xludf.DUMMYFUNCTION("""COMPUTED_VALUE"""),"RCS")</f>
        <v>RCS</v>
      </c>
      <c r="X495" s="232" t="str">
        <f>IFERROR(__xludf.DUMMYFUNCTION("""COMPUTED_VALUE"""),"City Focused")</f>
        <v>City Focused</v>
      </c>
      <c r="Y495" s="232" t="str">
        <f>IFERROR(__xludf.DUMMYFUNCTION("""COMPUTED_VALUE"""),"10th - 12th July 2026")</f>
        <v>10th - 12th July 2026</v>
      </c>
      <c r="Z495" s="232" t="str">
        <f>IFERROR(__xludf.DUMMYFUNCTION("""COMPUTED_VALUE"""),"6a4f923508ce7abfee5c374e")</f>
        <v>6a4f923508ce7abfee5c374e</v>
      </c>
      <c r="AA495" s="277">
        <f>IFERROR(__xludf.DUMMYFUNCTION("""COMPUTED_VALUE"""),19.0)</f>
        <v>19</v>
      </c>
      <c r="AB495" s="277"/>
      <c r="AC495" s="277">
        <f>IFERROR(__xludf.DUMMYFUNCTION("""COMPUTED_VALUE"""),19.0)</f>
        <v>19</v>
      </c>
      <c r="AD495" s="277">
        <f>IFERROR(__xludf.DUMMYFUNCTION("""COMPUTED_VALUE"""),106286.0)</f>
        <v>106286</v>
      </c>
      <c r="AE495" s="277"/>
      <c r="AF495" s="277">
        <f>IFERROR(__xludf.DUMMYFUNCTION("""COMPUTED_VALUE"""),106286.0)</f>
        <v>106286</v>
      </c>
      <c r="AG495" s="208"/>
      <c r="AH495" s="208"/>
      <c r="AI495" s="208"/>
      <c r="AJ495" s="208"/>
      <c r="AK495" s="208"/>
    </row>
    <row r="496">
      <c r="A496" s="234"/>
      <c r="B496" s="208"/>
      <c r="C496" s="208"/>
      <c r="D496" s="208"/>
      <c r="E496" s="208"/>
      <c r="F496" s="208"/>
      <c r="G496" s="208"/>
      <c r="H496" s="208"/>
      <c r="I496" s="233"/>
      <c r="J496" s="208"/>
      <c r="K496" s="208"/>
      <c r="L496" s="208"/>
      <c r="M496" s="208"/>
      <c r="N496" s="208"/>
      <c r="O496" s="208"/>
      <c r="P496" s="208"/>
      <c r="Q496" s="208"/>
      <c r="R496" s="208"/>
      <c r="S496" s="208"/>
      <c r="T496" s="208"/>
      <c r="U496" s="208"/>
      <c r="V496" s="208"/>
      <c r="W496" s="232"/>
      <c r="X496" s="232"/>
      <c r="Y496" s="232"/>
      <c r="Z496" s="232"/>
      <c r="AA496" s="232"/>
      <c r="AB496" s="232"/>
      <c r="AC496" s="232"/>
      <c r="AD496" s="232"/>
      <c r="AE496" s="232"/>
      <c r="AF496" s="232"/>
      <c r="AG496" s="208"/>
      <c r="AH496" s="208"/>
      <c r="AI496" s="208"/>
      <c r="AJ496" s="208"/>
      <c r="AK496" s="208"/>
    </row>
    <row r="497">
      <c r="A497" s="234"/>
      <c r="B497" s="208"/>
      <c r="C497" s="208"/>
      <c r="D497" s="208"/>
      <c r="E497" s="208"/>
      <c r="F497" s="208"/>
      <c r="G497" s="208"/>
      <c r="H497" s="208"/>
      <c r="I497" s="233"/>
      <c r="J497" s="208"/>
      <c r="K497" s="208"/>
      <c r="L497" s="208"/>
      <c r="M497" s="208"/>
      <c r="N497" s="208"/>
      <c r="O497" s="208"/>
      <c r="P497" s="208"/>
      <c r="Q497" s="208"/>
      <c r="R497" s="208"/>
      <c r="S497" s="208"/>
      <c r="T497" s="208"/>
      <c r="U497" s="208"/>
      <c r="V497" s="208"/>
      <c r="W497" s="232"/>
      <c r="X497" s="232"/>
      <c r="Y497" s="232"/>
      <c r="Z497" s="232"/>
      <c r="AA497" s="232"/>
      <c r="AB497" s="232"/>
      <c r="AC497" s="232"/>
      <c r="AD497" s="232"/>
      <c r="AE497" s="232"/>
      <c r="AF497" s="232"/>
      <c r="AG497" s="208"/>
      <c r="AH497" s="208"/>
      <c r="AI497" s="208"/>
      <c r="AJ497" s="208"/>
      <c r="AK497" s="208"/>
    </row>
    <row r="498">
      <c r="A498" s="234"/>
      <c r="B498" s="208"/>
      <c r="C498" s="208"/>
      <c r="D498" s="208"/>
      <c r="E498" s="208"/>
      <c r="F498" s="208"/>
      <c r="G498" s="208"/>
      <c r="H498" s="208"/>
      <c r="I498" s="233"/>
      <c r="J498" s="208"/>
      <c r="K498" s="208"/>
      <c r="L498" s="208"/>
      <c r="M498" s="208"/>
      <c r="N498" s="208"/>
      <c r="O498" s="208"/>
      <c r="P498" s="208"/>
      <c r="Q498" s="208"/>
      <c r="R498" s="208"/>
      <c r="S498" s="208"/>
      <c r="T498" s="208"/>
      <c r="U498" s="208"/>
      <c r="V498" s="208"/>
      <c r="W498" s="232"/>
      <c r="X498" s="232"/>
      <c r="Y498" s="232"/>
      <c r="Z498" s="232"/>
      <c r="AA498" s="232"/>
      <c r="AB498" s="232"/>
      <c r="AC498" s="232"/>
      <c r="AD498" s="232"/>
      <c r="AE498" s="232"/>
      <c r="AF498" s="232"/>
      <c r="AG498" s="208"/>
      <c r="AH498" s="208"/>
      <c r="AI498" s="208"/>
      <c r="AJ498" s="208"/>
      <c r="AK498" s="208"/>
    </row>
    <row r="499">
      <c r="A499" s="234"/>
      <c r="B499" s="208"/>
      <c r="C499" s="208"/>
      <c r="D499" s="208"/>
      <c r="E499" s="208"/>
      <c r="F499" s="208"/>
      <c r="G499" s="208"/>
      <c r="H499" s="208"/>
      <c r="I499" s="233"/>
      <c r="J499" s="208"/>
      <c r="K499" s="208"/>
      <c r="L499" s="208"/>
      <c r="M499" s="208"/>
      <c r="N499" s="208"/>
      <c r="O499" s="208"/>
      <c r="P499" s="208"/>
      <c r="Q499" s="208"/>
      <c r="R499" s="208"/>
      <c r="S499" s="208"/>
      <c r="T499" s="208"/>
      <c r="U499" s="208"/>
      <c r="V499" s="208"/>
      <c r="W499" s="232"/>
      <c r="X499" s="232"/>
      <c r="Y499" s="232"/>
      <c r="Z499" s="232"/>
      <c r="AA499" s="232"/>
      <c r="AB499" s="232"/>
      <c r="AC499" s="232"/>
      <c r="AD499" s="232"/>
      <c r="AE499" s="232"/>
      <c r="AF499" s="232"/>
      <c r="AG499" s="208"/>
      <c r="AH499" s="208"/>
      <c r="AI499" s="208"/>
      <c r="AJ499" s="208"/>
      <c r="AK499" s="208"/>
    </row>
    <row r="500">
      <c r="A500" s="234"/>
      <c r="B500" s="208"/>
      <c r="C500" s="208"/>
      <c r="D500" s="208"/>
      <c r="E500" s="208"/>
      <c r="F500" s="208"/>
      <c r="G500" s="208"/>
      <c r="H500" s="208"/>
      <c r="I500" s="233"/>
      <c r="J500" s="208"/>
      <c r="K500" s="208"/>
      <c r="L500" s="208"/>
      <c r="M500" s="208"/>
      <c r="N500" s="208"/>
      <c r="O500" s="208"/>
      <c r="P500" s="208"/>
      <c r="Q500" s="208"/>
      <c r="R500" s="208"/>
      <c r="S500" s="208"/>
      <c r="T500" s="208"/>
      <c r="U500" s="208"/>
      <c r="V500" s="208"/>
      <c r="W500" s="232"/>
      <c r="X500" s="232"/>
      <c r="Y500" s="232"/>
      <c r="Z500" s="232"/>
      <c r="AA500" s="232"/>
      <c r="AB500" s="232"/>
      <c r="AC500" s="232"/>
      <c r="AD500" s="232"/>
      <c r="AE500" s="232"/>
      <c r="AF500" s="232"/>
      <c r="AG500" s="208"/>
      <c r="AH500" s="208"/>
      <c r="AI500" s="208"/>
      <c r="AJ500" s="208"/>
      <c r="AK500" s="208"/>
    </row>
    <row r="501">
      <c r="A501" s="234"/>
      <c r="B501" s="208"/>
      <c r="C501" s="208"/>
      <c r="D501" s="208"/>
      <c r="E501" s="208"/>
      <c r="F501" s="208"/>
      <c r="G501" s="208"/>
      <c r="H501" s="208"/>
      <c r="I501" s="233"/>
      <c r="J501" s="208"/>
      <c r="K501" s="208"/>
      <c r="L501" s="208"/>
      <c r="M501" s="208"/>
      <c r="N501" s="208"/>
      <c r="O501" s="208"/>
      <c r="P501" s="208"/>
      <c r="Q501" s="208"/>
      <c r="R501" s="208"/>
      <c r="S501" s="208"/>
      <c r="T501" s="208"/>
      <c r="U501" s="208"/>
      <c r="V501" s="208"/>
      <c r="W501" s="232"/>
      <c r="X501" s="232"/>
      <c r="Y501" s="232"/>
      <c r="Z501" s="232"/>
      <c r="AA501" s="232"/>
      <c r="AB501" s="232"/>
      <c r="AC501" s="232"/>
      <c r="AD501" s="232"/>
      <c r="AE501" s="232"/>
      <c r="AF501" s="232"/>
      <c r="AG501" s="208"/>
      <c r="AH501" s="208"/>
      <c r="AI501" s="208"/>
      <c r="AJ501" s="208"/>
      <c r="AK501" s="208"/>
    </row>
    <row r="502">
      <c r="A502" s="234"/>
      <c r="B502" s="208"/>
      <c r="C502" s="208"/>
      <c r="D502" s="208"/>
      <c r="E502" s="208"/>
      <c r="F502" s="208"/>
      <c r="G502" s="208"/>
      <c r="H502" s="208"/>
      <c r="I502" s="233"/>
      <c r="J502" s="208"/>
      <c r="K502" s="208"/>
      <c r="L502" s="208"/>
      <c r="M502" s="208"/>
      <c r="N502" s="208"/>
      <c r="O502" s="208"/>
      <c r="P502" s="208"/>
      <c r="Q502" s="208"/>
      <c r="R502" s="208"/>
      <c r="S502" s="208"/>
      <c r="T502" s="208"/>
      <c r="U502" s="208"/>
      <c r="V502" s="208"/>
      <c r="W502" s="232"/>
      <c r="X502" s="232"/>
      <c r="Y502" s="232"/>
      <c r="Z502" s="232"/>
      <c r="AA502" s="232"/>
      <c r="AB502" s="232"/>
      <c r="AC502" s="232"/>
      <c r="AD502" s="232"/>
      <c r="AE502" s="232"/>
      <c r="AF502" s="232"/>
      <c r="AG502" s="208"/>
      <c r="AH502" s="208"/>
      <c r="AI502" s="208"/>
      <c r="AJ502" s="208"/>
      <c r="AK502" s="208"/>
    </row>
    <row r="503">
      <c r="A503" s="234"/>
      <c r="B503" s="208"/>
      <c r="C503" s="208"/>
      <c r="D503" s="208"/>
      <c r="E503" s="208"/>
      <c r="F503" s="208"/>
      <c r="G503" s="208"/>
      <c r="H503" s="208"/>
      <c r="I503" s="233"/>
      <c r="J503" s="208"/>
      <c r="K503" s="208"/>
      <c r="L503" s="208"/>
      <c r="M503" s="208"/>
      <c r="N503" s="208"/>
      <c r="O503" s="208"/>
      <c r="P503" s="208"/>
      <c r="Q503" s="208"/>
      <c r="R503" s="208"/>
      <c r="S503" s="208"/>
      <c r="T503" s="208"/>
      <c r="U503" s="208"/>
      <c r="V503" s="208"/>
      <c r="W503" s="232"/>
      <c r="X503" s="232"/>
      <c r="Y503" s="232"/>
      <c r="Z503" s="232"/>
      <c r="AA503" s="232"/>
      <c r="AB503" s="232"/>
      <c r="AC503" s="232"/>
      <c r="AD503" s="232"/>
      <c r="AE503" s="232"/>
      <c r="AF503" s="232"/>
      <c r="AG503" s="208"/>
      <c r="AH503" s="208"/>
      <c r="AI503" s="208"/>
      <c r="AJ503" s="208"/>
      <c r="AK503" s="208"/>
    </row>
    <row r="504">
      <c r="A504" s="234"/>
      <c r="B504" s="208"/>
      <c r="C504" s="208"/>
      <c r="D504" s="208"/>
      <c r="E504" s="208"/>
      <c r="F504" s="208"/>
      <c r="G504" s="208"/>
      <c r="H504" s="208"/>
      <c r="I504" s="233"/>
      <c r="J504" s="208"/>
      <c r="K504" s="208"/>
      <c r="L504" s="208"/>
      <c r="M504" s="208"/>
      <c r="N504" s="208"/>
      <c r="O504" s="208"/>
      <c r="P504" s="208"/>
      <c r="Q504" s="208"/>
      <c r="R504" s="208"/>
      <c r="S504" s="208"/>
      <c r="T504" s="208"/>
      <c r="U504" s="208"/>
      <c r="V504" s="208"/>
      <c r="W504" s="232"/>
      <c r="X504" s="232"/>
      <c r="Y504" s="232"/>
      <c r="Z504" s="232"/>
      <c r="AA504" s="232"/>
      <c r="AB504" s="232"/>
      <c r="AC504" s="232"/>
      <c r="AD504" s="232"/>
      <c r="AE504" s="232"/>
      <c r="AF504" s="232"/>
      <c r="AG504" s="208"/>
      <c r="AH504" s="208"/>
      <c r="AI504" s="208"/>
      <c r="AJ504" s="208"/>
      <c r="AK504" s="208"/>
    </row>
    <row r="505">
      <c r="A505" s="234"/>
      <c r="B505" s="208"/>
      <c r="C505" s="208"/>
      <c r="D505" s="208"/>
      <c r="E505" s="208"/>
      <c r="F505" s="208"/>
      <c r="G505" s="208"/>
      <c r="H505" s="208"/>
      <c r="I505" s="233"/>
      <c r="J505" s="208"/>
      <c r="K505" s="208"/>
      <c r="L505" s="208"/>
      <c r="M505" s="208"/>
      <c r="N505" s="208"/>
      <c r="O505" s="208"/>
      <c r="P505" s="208"/>
      <c r="Q505" s="208"/>
      <c r="R505" s="208"/>
      <c r="S505" s="208"/>
      <c r="T505" s="208"/>
      <c r="U505" s="208"/>
      <c r="V505" s="208"/>
      <c r="W505" s="232"/>
      <c r="X505" s="232"/>
      <c r="Y505" s="232"/>
      <c r="Z505" s="232"/>
      <c r="AA505" s="232"/>
      <c r="AB505" s="232"/>
      <c r="AC505" s="232"/>
      <c r="AD505" s="232"/>
      <c r="AE505" s="232"/>
      <c r="AF505" s="232"/>
      <c r="AG505" s="208"/>
      <c r="AH505" s="208"/>
      <c r="AI505" s="208"/>
      <c r="AJ505" s="208"/>
      <c r="AK505" s="208"/>
    </row>
    <row r="506">
      <c r="A506" s="234"/>
      <c r="B506" s="208"/>
      <c r="C506" s="208"/>
      <c r="D506" s="208"/>
      <c r="E506" s="208"/>
      <c r="F506" s="208"/>
      <c r="G506" s="208"/>
      <c r="H506" s="208"/>
      <c r="I506" s="233"/>
      <c r="J506" s="208"/>
      <c r="K506" s="208"/>
      <c r="L506" s="208"/>
      <c r="M506" s="208"/>
      <c r="N506" s="208"/>
      <c r="O506" s="208"/>
      <c r="P506" s="208"/>
      <c r="Q506" s="208"/>
      <c r="R506" s="208"/>
      <c r="S506" s="208"/>
      <c r="T506" s="208"/>
      <c r="U506" s="208"/>
      <c r="V506" s="208"/>
      <c r="W506" s="232"/>
      <c r="X506" s="232"/>
      <c r="Y506" s="232"/>
      <c r="Z506" s="232"/>
      <c r="AA506" s="232"/>
      <c r="AB506" s="232"/>
      <c r="AC506" s="232"/>
      <c r="AD506" s="232"/>
      <c r="AE506" s="232"/>
      <c r="AF506" s="232"/>
      <c r="AG506" s="208"/>
      <c r="AH506" s="208"/>
      <c r="AI506" s="208"/>
      <c r="AJ506" s="208"/>
      <c r="AK506" s="208"/>
    </row>
    <row r="507">
      <c r="A507" s="234"/>
      <c r="B507" s="208"/>
      <c r="C507" s="208"/>
      <c r="D507" s="208"/>
      <c r="E507" s="208"/>
      <c r="F507" s="208"/>
      <c r="G507" s="208"/>
      <c r="H507" s="208"/>
      <c r="I507" s="233"/>
      <c r="J507" s="208"/>
      <c r="K507" s="208"/>
      <c r="L507" s="208"/>
      <c r="M507" s="208"/>
      <c r="N507" s="208"/>
      <c r="O507" s="208"/>
      <c r="P507" s="208"/>
      <c r="Q507" s="208"/>
      <c r="R507" s="208"/>
      <c r="S507" s="208"/>
      <c r="T507" s="208"/>
      <c r="U507" s="208"/>
      <c r="V507" s="208"/>
      <c r="W507" s="232"/>
      <c r="X507" s="232"/>
      <c r="Y507" s="232"/>
      <c r="Z507" s="232"/>
      <c r="AA507" s="232"/>
      <c r="AB507" s="232"/>
      <c r="AC507" s="232"/>
      <c r="AD507" s="232"/>
      <c r="AE507" s="232"/>
      <c r="AF507" s="232"/>
      <c r="AG507" s="208"/>
      <c r="AH507" s="208"/>
      <c r="AI507" s="208"/>
      <c r="AJ507" s="208"/>
      <c r="AK507" s="208"/>
    </row>
    <row r="508">
      <c r="A508" s="234"/>
      <c r="B508" s="208"/>
      <c r="C508" s="208"/>
      <c r="D508" s="208"/>
      <c r="E508" s="208"/>
      <c r="F508" s="208"/>
      <c r="G508" s="208"/>
      <c r="H508" s="208"/>
      <c r="I508" s="233"/>
      <c r="J508" s="208"/>
      <c r="K508" s="208"/>
      <c r="L508" s="208"/>
      <c r="M508" s="208"/>
      <c r="N508" s="208"/>
      <c r="O508" s="208"/>
      <c r="P508" s="208"/>
      <c r="Q508" s="208"/>
      <c r="R508" s="208"/>
      <c r="S508" s="208"/>
      <c r="T508" s="208"/>
      <c r="U508" s="208"/>
      <c r="V508" s="208"/>
      <c r="W508" s="232"/>
      <c r="X508" s="232"/>
      <c r="Y508" s="232"/>
      <c r="Z508" s="232"/>
      <c r="AA508" s="232"/>
      <c r="AB508" s="232"/>
      <c r="AC508" s="232"/>
      <c r="AD508" s="232"/>
      <c r="AE508" s="232"/>
      <c r="AF508" s="232"/>
      <c r="AG508" s="208"/>
      <c r="AH508" s="208"/>
      <c r="AI508" s="208"/>
      <c r="AJ508" s="208"/>
      <c r="AK508" s="208"/>
    </row>
    <row r="509">
      <c r="A509" s="234"/>
      <c r="B509" s="208"/>
      <c r="C509" s="208"/>
      <c r="D509" s="208"/>
      <c r="E509" s="208"/>
      <c r="F509" s="208"/>
      <c r="G509" s="208"/>
      <c r="H509" s="208"/>
      <c r="I509" s="233"/>
      <c r="J509" s="208"/>
      <c r="K509" s="208"/>
      <c r="L509" s="208"/>
      <c r="M509" s="208"/>
      <c r="N509" s="208"/>
      <c r="O509" s="208"/>
      <c r="P509" s="208"/>
      <c r="Q509" s="208"/>
      <c r="R509" s="208"/>
      <c r="S509" s="208"/>
      <c r="T509" s="208"/>
      <c r="U509" s="208"/>
      <c r="V509" s="208"/>
      <c r="W509" s="232"/>
      <c r="X509" s="232"/>
      <c r="Y509" s="232"/>
      <c r="Z509" s="232"/>
      <c r="AA509" s="232"/>
      <c r="AB509" s="232"/>
      <c r="AC509" s="232"/>
      <c r="AD509" s="232"/>
      <c r="AE509" s="232"/>
      <c r="AF509" s="232"/>
      <c r="AG509" s="208"/>
      <c r="AH509" s="208"/>
      <c r="AI509" s="208"/>
      <c r="AJ509" s="208"/>
      <c r="AK509" s="208"/>
    </row>
    <row r="510">
      <c r="A510" s="234"/>
      <c r="B510" s="208"/>
      <c r="C510" s="208"/>
      <c r="D510" s="208"/>
      <c r="E510" s="208"/>
      <c r="F510" s="208"/>
      <c r="G510" s="208"/>
      <c r="H510" s="208"/>
      <c r="I510" s="233"/>
      <c r="J510" s="208"/>
      <c r="K510" s="208"/>
      <c r="L510" s="208"/>
      <c r="M510" s="208"/>
      <c r="N510" s="208"/>
      <c r="O510" s="208"/>
      <c r="P510" s="208"/>
      <c r="Q510" s="208"/>
      <c r="R510" s="208"/>
      <c r="S510" s="208"/>
      <c r="T510" s="208"/>
      <c r="U510" s="208"/>
      <c r="V510" s="208"/>
      <c r="W510" s="232"/>
      <c r="X510" s="232"/>
      <c r="Y510" s="232"/>
      <c r="Z510" s="232"/>
      <c r="AA510" s="232"/>
      <c r="AB510" s="232"/>
      <c r="AC510" s="232"/>
      <c r="AD510" s="232"/>
      <c r="AE510" s="232"/>
      <c r="AF510" s="232"/>
      <c r="AG510" s="208"/>
      <c r="AH510" s="208"/>
      <c r="AI510" s="208"/>
      <c r="AJ510" s="208"/>
      <c r="AK510" s="208"/>
    </row>
    <row r="511">
      <c r="A511" s="234"/>
      <c r="B511" s="208"/>
      <c r="C511" s="208"/>
      <c r="D511" s="208"/>
      <c r="E511" s="208"/>
      <c r="F511" s="208"/>
      <c r="G511" s="208"/>
      <c r="H511" s="208"/>
      <c r="I511" s="233"/>
      <c r="J511" s="208"/>
      <c r="K511" s="208"/>
      <c r="L511" s="208"/>
      <c r="M511" s="208"/>
      <c r="N511" s="208"/>
      <c r="O511" s="208"/>
      <c r="P511" s="208"/>
      <c r="Q511" s="208"/>
      <c r="R511" s="208"/>
      <c r="S511" s="208"/>
      <c r="T511" s="208"/>
      <c r="U511" s="208"/>
      <c r="V511" s="208"/>
      <c r="W511" s="232"/>
      <c r="X511" s="232"/>
      <c r="Y511" s="232"/>
      <c r="Z511" s="232"/>
      <c r="AA511" s="232"/>
      <c r="AB511" s="232"/>
      <c r="AC511" s="232"/>
      <c r="AD511" s="232"/>
      <c r="AE511" s="232"/>
      <c r="AF511" s="232"/>
      <c r="AG511" s="208"/>
      <c r="AH511" s="208"/>
      <c r="AI511" s="208"/>
      <c r="AJ511" s="208"/>
      <c r="AK511" s="208"/>
    </row>
    <row r="512">
      <c r="A512" s="234"/>
      <c r="B512" s="208"/>
      <c r="C512" s="208"/>
      <c r="D512" s="208"/>
      <c r="E512" s="208"/>
      <c r="F512" s="208"/>
      <c r="G512" s="208"/>
      <c r="H512" s="208"/>
      <c r="I512" s="233"/>
      <c r="J512" s="208"/>
      <c r="K512" s="208"/>
      <c r="L512" s="208"/>
      <c r="M512" s="208"/>
      <c r="N512" s="208"/>
      <c r="O512" s="208"/>
      <c r="P512" s="208"/>
      <c r="Q512" s="208"/>
      <c r="R512" s="208"/>
      <c r="S512" s="208"/>
      <c r="T512" s="208"/>
      <c r="U512" s="208"/>
      <c r="V512" s="208"/>
      <c r="W512" s="232"/>
      <c r="X512" s="232"/>
      <c r="Y512" s="232"/>
      <c r="Z512" s="232"/>
      <c r="AA512" s="232"/>
      <c r="AB512" s="232"/>
      <c r="AC512" s="232"/>
      <c r="AD512" s="232"/>
      <c r="AE512" s="232"/>
      <c r="AF512" s="232"/>
      <c r="AG512" s="208"/>
      <c r="AH512" s="208"/>
      <c r="AI512" s="208"/>
      <c r="AJ512" s="208"/>
      <c r="AK512" s="208"/>
    </row>
    <row r="513">
      <c r="A513" s="234"/>
      <c r="B513" s="208"/>
      <c r="C513" s="208"/>
      <c r="D513" s="208"/>
      <c r="E513" s="208"/>
      <c r="F513" s="208"/>
      <c r="G513" s="208"/>
      <c r="H513" s="208"/>
      <c r="I513" s="233"/>
      <c r="J513" s="208"/>
      <c r="K513" s="208"/>
      <c r="L513" s="208"/>
      <c r="M513" s="208"/>
      <c r="N513" s="208"/>
      <c r="O513" s="208"/>
      <c r="P513" s="208"/>
      <c r="Q513" s="208"/>
      <c r="R513" s="208"/>
      <c r="S513" s="208"/>
      <c r="T513" s="208"/>
      <c r="U513" s="208"/>
      <c r="V513" s="208"/>
      <c r="W513" s="232"/>
      <c r="X513" s="232"/>
      <c r="Y513" s="232"/>
      <c r="Z513" s="232"/>
      <c r="AA513" s="232"/>
      <c r="AB513" s="232"/>
      <c r="AC513" s="232"/>
      <c r="AD513" s="232"/>
      <c r="AE513" s="232"/>
      <c r="AF513" s="232"/>
      <c r="AG513" s="208"/>
      <c r="AH513" s="208"/>
      <c r="AI513" s="208"/>
      <c r="AJ513" s="208"/>
      <c r="AK513" s="208"/>
    </row>
    <row r="514">
      <c r="A514" s="234"/>
      <c r="B514" s="208"/>
      <c r="C514" s="208"/>
      <c r="D514" s="208"/>
      <c r="E514" s="208"/>
      <c r="F514" s="208"/>
      <c r="G514" s="208"/>
      <c r="H514" s="208"/>
      <c r="I514" s="233"/>
      <c r="J514" s="208"/>
      <c r="K514" s="208"/>
      <c r="L514" s="208"/>
      <c r="M514" s="208"/>
      <c r="N514" s="208"/>
      <c r="O514" s="208"/>
      <c r="P514" s="208"/>
      <c r="Q514" s="208"/>
      <c r="R514" s="208"/>
      <c r="S514" s="208"/>
      <c r="T514" s="208"/>
      <c r="U514" s="208"/>
      <c r="V514" s="208"/>
      <c r="W514" s="232"/>
      <c r="X514" s="232"/>
      <c r="Y514" s="232"/>
      <c r="Z514" s="232"/>
      <c r="AA514" s="232"/>
      <c r="AB514" s="232"/>
      <c r="AC514" s="232"/>
      <c r="AD514" s="232"/>
      <c r="AE514" s="232"/>
      <c r="AF514" s="232"/>
      <c r="AG514" s="208"/>
      <c r="AH514" s="208"/>
      <c r="AI514" s="208"/>
      <c r="AJ514" s="208"/>
      <c r="AK514" s="208"/>
    </row>
    <row r="515">
      <c r="A515" s="234"/>
      <c r="B515" s="208"/>
      <c r="C515" s="208"/>
      <c r="D515" s="208"/>
      <c r="E515" s="208"/>
      <c r="F515" s="208"/>
      <c r="G515" s="208"/>
      <c r="H515" s="208"/>
      <c r="I515" s="233"/>
      <c r="J515" s="208"/>
      <c r="K515" s="208"/>
      <c r="L515" s="208"/>
      <c r="M515" s="208"/>
      <c r="N515" s="208"/>
      <c r="O515" s="208"/>
      <c r="P515" s="208"/>
      <c r="Q515" s="208"/>
      <c r="R515" s="208"/>
      <c r="S515" s="208"/>
      <c r="T515" s="208"/>
      <c r="U515" s="208"/>
      <c r="V515" s="208"/>
      <c r="W515" s="232"/>
      <c r="X515" s="232"/>
      <c r="Y515" s="232"/>
      <c r="Z515" s="232"/>
      <c r="AA515" s="232"/>
      <c r="AB515" s="232"/>
      <c r="AC515" s="232"/>
      <c r="AD515" s="232"/>
      <c r="AE515" s="232"/>
      <c r="AF515" s="232"/>
      <c r="AG515" s="208"/>
      <c r="AH515" s="208"/>
      <c r="AI515" s="208"/>
      <c r="AJ515" s="208"/>
      <c r="AK515" s="208"/>
    </row>
    <row r="516">
      <c r="A516" s="234"/>
      <c r="B516" s="208"/>
      <c r="C516" s="208"/>
      <c r="D516" s="208"/>
      <c r="E516" s="208"/>
      <c r="F516" s="208"/>
      <c r="G516" s="208"/>
      <c r="H516" s="208"/>
      <c r="I516" s="233"/>
      <c r="J516" s="208"/>
      <c r="K516" s="208"/>
      <c r="L516" s="208"/>
      <c r="M516" s="208"/>
      <c r="N516" s="208"/>
      <c r="O516" s="208"/>
      <c r="P516" s="208"/>
      <c r="Q516" s="208"/>
      <c r="R516" s="208"/>
      <c r="S516" s="208"/>
      <c r="T516" s="208"/>
      <c r="U516" s="208"/>
      <c r="V516" s="208"/>
      <c r="W516" s="232"/>
      <c r="X516" s="232"/>
      <c r="Y516" s="232"/>
      <c r="Z516" s="232"/>
      <c r="AA516" s="232"/>
      <c r="AB516" s="232"/>
      <c r="AC516" s="232"/>
      <c r="AD516" s="232"/>
      <c r="AE516" s="232"/>
      <c r="AF516" s="232"/>
      <c r="AG516" s="208"/>
      <c r="AH516" s="208"/>
      <c r="AI516" s="208"/>
      <c r="AJ516" s="208"/>
      <c r="AK516" s="208"/>
    </row>
    <row r="517">
      <c r="A517" s="234"/>
      <c r="B517" s="208"/>
      <c r="C517" s="208"/>
      <c r="D517" s="208"/>
      <c r="E517" s="208"/>
      <c r="F517" s="208"/>
      <c r="G517" s="208"/>
      <c r="H517" s="208"/>
      <c r="I517" s="233"/>
      <c r="J517" s="208"/>
      <c r="K517" s="208"/>
      <c r="L517" s="208"/>
      <c r="M517" s="208"/>
      <c r="N517" s="208"/>
      <c r="O517" s="208"/>
      <c r="P517" s="208"/>
      <c r="Q517" s="208"/>
      <c r="R517" s="208"/>
      <c r="S517" s="208"/>
      <c r="T517" s="208"/>
      <c r="U517" s="208"/>
      <c r="V517" s="208"/>
      <c r="W517" s="232"/>
      <c r="X517" s="232"/>
      <c r="Y517" s="232"/>
      <c r="Z517" s="232"/>
      <c r="AA517" s="232"/>
      <c r="AB517" s="232"/>
      <c r="AC517" s="232"/>
      <c r="AD517" s="232"/>
      <c r="AE517" s="232"/>
      <c r="AF517" s="232"/>
      <c r="AG517" s="208"/>
      <c r="AH517" s="208"/>
      <c r="AI517" s="208"/>
      <c r="AJ517" s="208"/>
      <c r="AK517" s="208"/>
    </row>
    <row r="518">
      <c r="A518" s="234"/>
      <c r="B518" s="208"/>
      <c r="C518" s="208"/>
      <c r="D518" s="208"/>
      <c r="E518" s="208"/>
      <c r="F518" s="208"/>
      <c r="G518" s="208"/>
      <c r="H518" s="208"/>
      <c r="I518" s="233"/>
      <c r="J518" s="208"/>
      <c r="K518" s="208"/>
      <c r="L518" s="208"/>
      <c r="M518" s="208"/>
      <c r="N518" s="208"/>
      <c r="O518" s="208"/>
      <c r="P518" s="208"/>
      <c r="Q518" s="208"/>
      <c r="R518" s="208"/>
      <c r="S518" s="208"/>
      <c r="T518" s="208"/>
      <c r="U518" s="208"/>
      <c r="V518" s="208"/>
      <c r="W518" s="232"/>
      <c r="X518" s="232"/>
      <c r="Y518" s="232"/>
      <c r="Z518" s="232"/>
      <c r="AA518" s="232"/>
      <c r="AB518" s="232"/>
      <c r="AC518" s="232"/>
      <c r="AD518" s="232"/>
      <c r="AE518" s="232"/>
      <c r="AF518" s="232"/>
      <c r="AG518" s="208"/>
      <c r="AH518" s="208"/>
      <c r="AI518" s="208"/>
      <c r="AJ518" s="208"/>
      <c r="AK518" s="208"/>
    </row>
    <row r="519">
      <c r="A519" s="234"/>
      <c r="B519" s="208"/>
      <c r="C519" s="208"/>
      <c r="D519" s="208"/>
      <c r="E519" s="208"/>
      <c r="F519" s="208"/>
      <c r="G519" s="208"/>
      <c r="H519" s="208"/>
      <c r="I519" s="233"/>
      <c r="J519" s="208"/>
      <c r="K519" s="208"/>
      <c r="L519" s="208"/>
      <c r="M519" s="208"/>
      <c r="N519" s="208"/>
      <c r="O519" s="208"/>
      <c r="P519" s="208"/>
      <c r="Q519" s="208"/>
      <c r="R519" s="208"/>
      <c r="S519" s="208"/>
      <c r="T519" s="208"/>
      <c r="U519" s="208"/>
      <c r="V519" s="208"/>
      <c r="W519" s="232"/>
      <c r="X519" s="232"/>
      <c r="Y519" s="232"/>
      <c r="Z519" s="232"/>
      <c r="AA519" s="232"/>
      <c r="AB519" s="232"/>
      <c r="AC519" s="232"/>
      <c r="AD519" s="232"/>
      <c r="AE519" s="232"/>
      <c r="AF519" s="232"/>
      <c r="AG519" s="208"/>
      <c r="AH519" s="208"/>
      <c r="AI519" s="208"/>
      <c r="AJ519" s="208"/>
      <c r="AK519" s="208"/>
    </row>
    <row r="520">
      <c r="A520" s="234"/>
      <c r="B520" s="208"/>
      <c r="C520" s="208"/>
      <c r="D520" s="208"/>
      <c r="E520" s="208"/>
      <c r="F520" s="208"/>
      <c r="G520" s="208"/>
      <c r="H520" s="208"/>
      <c r="I520" s="233"/>
      <c r="J520" s="208"/>
      <c r="K520" s="208"/>
      <c r="L520" s="208"/>
      <c r="M520" s="208"/>
      <c r="N520" s="208"/>
      <c r="O520" s="208"/>
      <c r="P520" s="208"/>
      <c r="Q520" s="208"/>
      <c r="R520" s="208"/>
      <c r="S520" s="208"/>
      <c r="T520" s="208"/>
      <c r="U520" s="208"/>
      <c r="V520" s="208"/>
      <c r="W520" s="232"/>
      <c r="X520" s="232"/>
      <c r="Y520" s="232"/>
      <c r="Z520" s="232"/>
      <c r="AA520" s="232"/>
      <c r="AB520" s="232"/>
      <c r="AC520" s="232"/>
      <c r="AD520" s="232"/>
      <c r="AE520" s="232"/>
      <c r="AF520" s="232"/>
      <c r="AG520" s="208"/>
      <c r="AH520" s="208"/>
      <c r="AI520" s="208"/>
      <c r="AJ520" s="208"/>
      <c r="AK520" s="208"/>
    </row>
    <row r="521">
      <c r="A521" s="234"/>
      <c r="B521" s="208"/>
      <c r="C521" s="208"/>
      <c r="D521" s="208"/>
      <c r="E521" s="208"/>
      <c r="F521" s="208"/>
      <c r="G521" s="208"/>
      <c r="H521" s="208"/>
      <c r="I521" s="233"/>
      <c r="J521" s="208"/>
      <c r="K521" s="208"/>
      <c r="L521" s="208"/>
      <c r="M521" s="208"/>
      <c r="N521" s="208"/>
      <c r="O521" s="208"/>
      <c r="P521" s="208"/>
      <c r="Q521" s="208"/>
      <c r="R521" s="208"/>
      <c r="S521" s="208"/>
      <c r="T521" s="208"/>
      <c r="U521" s="208"/>
      <c r="V521" s="208"/>
      <c r="W521" s="232"/>
      <c r="X521" s="232"/>
      <c r="Y521" s="232"/>
      <c r="Z521" s="232"/>
      <c r="AA521" s="232"/>
      <c r="AB521" s="232"/>
      <c r="AC521" s="232"/>
      <c r="AD521" s="232"/>
      <c r="AE521" s="232"/>
      <c r="AF521" s="232"/>
      <c r="AG521" s="208"/>
      <c r="AH521" s="208"/>
      <c r="AI521" s="208"/>
      <c r="AJ521" s="208"/>
      <c r="AK521" s="208"/>
    </row>
    <row r="522">
      <c r="A522" s="234"/>
      <c r="B522" s="208"/>
      <c r="C522" s="208"/>
      <c r="D522" s="208"/>
      <c r="E522" s="208"/>
      <c r="F522" s="208"/>
      <c r="G522" s="208"/>
      <c r="H522" s="208"/>
      <c r="I522" s="233"/>
      <c r="J522" s="208"/>
      <c r="K522" s="208"/>
      <c r="L522" s="208"/>
      <c r="M522" s="208"/>
      <c r="N522" s="208"/>
      <c r="O522" s="208"/>
      <c r="P522" s="208"/>
      <c r="Q522" s="208"/>
      <c r="R522" s="208"/>
      <c r="S522" s="208"/>
      <c r="T522" s="208"/>
      <c r="U522" s="208"/>
      <c r="V522" s="208"/>
      <c r="W522" s="232"/>
      <c r="X522" s="232"/>
      <c r="Y522" s="232"/>
      <c r="Z522" s="232"/>
      <c r="AA522" s="232"/>
      <c r="AB522" s="232"/>
      <c r="AC522" s="232"/>
      <c r="AD522" s="232"/>
      <c r="AE522" s="232"/>
      <c r="AF522" s="232"/>
      <c r="AG522" s="208"/>
      <c r="AH522" s="208"/>
      <c r="AI522" s="208"/>
      <c r="AJ522" s="208"/>
      <c r="AK522" s="208"/>
    </row>
    <row r="523">
      <c r="A523" s="234"/>
      <c r="B523" s="208"/>
      <c r="C523" s="208"/>
      <c r="D523" s="208"/>
      <c r="E523" s="208"/>
      <c r="F523" s="208"/>
      <c r="G523" s="208"/>
      <c r="H523" s="208"/>
      <c r="I523" s="233"/>
      <c r="J523" s="208"/>
      <c r="K523" s="208"/>
      <c r="L523" s="208"/>
      <c r="M523" s="208"/>
      <c r="N523" s="208"/>
      <c r="O523" s="208"/>
      <c r="P523" s="208"/>
      <c r="Q523" s="208"/>
      <c r="R523" s="208"/>
      <c r="S523" s="208"/>
      <c r="T523" s="208"/>
      <c r="U523" s="208"/>
      <c r="V523" s="208"/>
      <c r="W523" s="232"/>
      <c r="X523" s="232"/>
      <c r="Y523" s="232"/>
      <c r="Z523" s="232"/>
      <c r="AA523" s="232"/>
      <c r="AB523" s="232"/>
      <c r="AC523" s="232"/>
      <c r="AD523" s="232"/>
      <c r="AE523" s="232"/>
      <c r="AF523" s="232"/>
      <c r="AG523" s="208"/>
      <c r="AH523" s="208"/>
      <c r="AI523" s="208"/>
      <c r="AJ523" s="208"/>
      <c r="AK523" s="208"/>
    </row>
    <row r="524">
      <c r="A524" s="234"/>
      <c r="B524" s="208"/>
      <c r="C524" s="208"/>
      <c r="D524" s="208"/>
      <c r="E524" s="208"/>
      <c r="F524" s="208"/>
      <c r="G524" s="208"/>
      <c r="H524" s="208"/>
      <c r="I524" s="233"/>
      <c r="J524" s="208"/>
      <c r="K524" s="208"/>
      <c r="L524" s="208"/>
      <c r="M524" s="208"/>
      <c r="N524" s="208"/>
      <c r="O524" s="208"/>
      <c r="P524" s="208"/>
      <c r="Q524" s="208"/>
      <c r="R524" s="208"/>
      <c r="S524" s="208"/>
      <c r="T524" s="208"/>
      <c r="U524" s="208"/>
      <c r="V524" s="208"/>
      <c r="W524" s="232"/>
      <c r="X524" s="232"/>
      <c r="Y524" s="232"/>
      <c r="Z524" s="232"/>
      <c r="AA524" s="232"/>
      <c r="AB524" s="232"/>
      <c r="AC524" s="232"/>
      <c r="AD524" s="232"/>
      <c r="AE524" s="232"/>
      <c r="AF524" s="232"/>
      <c r="AG524" s="208"/>
      <c r="AH524" s="208"/>
      <c r="AI524" s="208"/>
      <c r="AJ524" s="208"/>
      <c r="AK524" s="208"/>
    </row>
    <row r="525">
      <c r="A525" s="234"/>
      <c r="B525" s="208"/>
      <c r="C525" s="208"/>
      <c r="D525" s="208"/>
      <c r="E525" s="208"/>
      <c r="F525" s="208"/>
      <c r="G525" s="208"/>
      <c r="H525" s="208"/>
      <c r="I525" s="233"/>
      <c r="J525" s="208"/>
      <c r="K525" s="208"/>
      <c r="L525" s="208"/>
      <c r="M525" s="208"/>
      <c r="N525" s="208"/>
      <c r="O525" s="208"/>
      <c r="P525" s="208"/>
      <c r="Q525" s="208"/>
      <c r="R525" s="208"/>
      <c r="S525" s="208"/>
      <c r="T525" s="208"/>
      <c r="U525" s="208"/>
      <c r="V525" s="208"/>
      <c r="W525" s="232"/>
      <c r="X525" s="232"/>
      <c r="Y525" s="232"/>
      <c r="Z525" s="232"/>
      <c r="AA525" s="232"/>
      <c r="AB525" s="232"/>
      <c r="AC525" s="232"/>
      <c r="AD525" s="232"/>
      <c r="AE525" s="232"/>
      <c r="AF525" s="232"/>
      <c r="AG525" s="208"/>
      <c r="AH525" s="208"/>
      <c r="AI525" s="208"/>
      <c r="AJ525" s="208"/>
      <c r="AK525" s="208"/>
    </row>
    <row r="526">
      <c r="A526" s="234"/>
      <c r="B526" s="208"/>
      <c r="C526" s="208"/>
      <c r="D526" s="208"/>
      <c r="E526" s="208"/>
      <c r="F526" s="208"/>
      <c r="G526" s="208"/>
      <c r="H526" s="208"/>
      <c r="I526" s="233"/>
      <c r="J526" s="208"/>
      <c r="K526" s="208"/>
      <c r="L526" s="208"/>
      <c r="M526" s="208"/>
      <c r="N526" s="208"/>
      <c r="O526" s="208"/>
      <c r="P526" s="208"/>
      <c r="Q526" s="208"/>
      <c r="R526" s="208"/>
      <c r="S526" s="208"/>
      <c r="T526" s="208"/>
      <c r="U526" s="208"/>
      <c r="V526" s="208"/>
      <c r="W526" s="232"/>
      <c r="X526" s="232"/>
      <c r="Y526" s="232"/>
      <c r="Z526" s="232"/>
      <c r="AA526" s="232"/>
      <c r="AB526" s="232"/>
      <c r="AC526" s="232"/>
      <c r="AD526" s="232"/>
      <c r="AE526" s="232"/>
      <c r="AF526" s="232"/>
      <c r="AG526" s="208"/>
      <c r="AH526" s="208"/>
      <c r="AI526" s="208"/>
      <c r="AJ526" s="208"/>
      <c r="AK526" s="208"/>
    </row>
    <row r="527">
      <c r="A527" s="234"/>
      <c r="B527" s="208"/>
      <c r="C527" s="208"/>
      <c r="D527" s="208"/>
      <c r="E527" s="208"/>
      <c r="F527" s="208"/>
      <c r="G527" s="208"/>
      <c r="H527" s="208"/>
      <c r="I527" s="233"/>
      <c r="J527" s="208"/>
      <c r="K527" s="208"/>
      <c r="L527" s="208"/>
      <c r="M527" s="208"/>
      <c r="N527" s="208"/>
      <c r="O527" s="208"/>
      <c r="P527" s="208"/>
      <c r="Q527" s="208"/>
      <c r="R527" s="208"/>
      <c r="S527" s="208"/>
      <c r="T527" s="208"/>
      <c r="U527" s="208"/>
      <c r="V527" s="208"/>
      <c r="W527" s="232"/>
      <c r="X527" s="232"/>
      <c r="Y527" s="232"/>
      <c r="Z527" s="232"/>
      <c r="AA527" s="232"/>
      <c r="AB527" s="232"/>
      <c r="AC527" s="232"/>
      <c r="AD527" s="232"/>
      <c r="AE527" s="232"/>
      <c r="AF527" s="232"/>
      <c r="AG527" s="208"/>
      <c r="AH527" s="208"/>
      <c r="AI527" s="208"/>
      <c r="AJ527" s="208"/>
      <c r="AK527" s="208"/>
    </row>
    <row r="528">
      <c r="A528" s="234"/>
      <c r="B528" s="208"/>
      <c r="C528" s="208"/>
      <c r="D528" s="208"/>
      <c r="E528" s="208"/>
      <c r="F528" s="208"/>
      <c r="G528" s="208"/>
      <c r="H528" s="208"/>
      <c r="I528" s="233"/>
      <c r="J528" s="208"/>
      <c r="K528" s="208"/>
      <c r="L528" s="208"/>
      <c r="M528" s="208"/>
      <c r="N528" s="208"/>
      <c r="O528" s="208"/>
      <c r="P528" s="208"/>
      <c r="Q528" s="208"/>
      <c r="R528" s="208"/>
      <c r="S528" s="208"/>
      <c r="T528" s="208"/>
      <c r="U528" s="208"/>
      <c r="V528" s="208"/>
      <c r="W528" s="232"/>
      <c r="X528" s="232"/>
      <c r="Y528" s="232"/>
      <c r="Z528" s="232"/>
      <c r="AA528" s="232"/>
      <c r="AB528" s="232"/>
      <c r="AC528" s="232"/>
      <c r="AD528" s="232"/>
      <c r="AE528" s="232"/>
      <c r="AF528" s="232"/>
      <c r="AG528" s="208"/>
      <c r="AH528" s="208"/>
      <c r="AI528" s="208"/>
      <c r="AJ528" s="208"/>
      <c r="AK528" s="208"/>
    </row>
    <row r="529">
      <c r="A529" s="234"/>
      <c r="B529" s="208"/>
      <c r="C529" s="208"/>
      <c r="D529" s="208"/>
      <c r="E529" s="208"/>
      <c r="F529" s="208"/>
      <c r="G529" s="208"/>
      <c r="H529" s="208"/>
      <c r="I529" s="233"/>
      <c r="J529" s="208"/>
      <c r="K529" s="208"/>
      <c r="L529" s="208"/>
      <c r="M529" s="208"/>
      <c r="N529" s="208"/>
      <c r="O529" s="208"/>
      <c r="P529" s="208"/>
      <c r="Q529" s="208"/>
      <c r="R529" s="208"/>
      <c r="S529" s="208"/>
      <c r="T529" s="208"/>
      <c r="U529" s="208"/>
      <c r="V529" s="208"/>
      <c r="W529" s="232"/>
      <c r="X529" s="232"/>
      <c r="Y529" s="232"/>
      <c r="Z529" s="232"/>
      <c r="AA529" s="232"/>
      <c r="AB529" s="232"/>
      <c r="AC529" s="232"/>
      <c r="AD529" s="232"/>
      <c r="AE529" s="232"/>
      <c r="AF529" s="232"/>
      <c r="AG529" s="208"/>
      <c r="AH529" s="208"/>
      <c r="AI529" s="208"/>
      <c r="AJ529" s="208"/>
      <c r="AK529" s="208"/>
    </row>
    <row r="530">
      <c r="A530" s="234"/>
      <c r="B530" s="208"/>
      <c r="C530" s="208"/>
      <c r="D530" s="208"/>
      <c r="E530" s="208"/>
      <c r="F530" s="208"/>
      <c r="G530" s="208"/>
      <c r="H530" s="208"/>
      <c r="I530" s="233"/>
      <c r="J530" s="208"/>
      <c r="K530" s="208"/>
      <c r="L530" s="208"/>
      <c r="M530" s="208"/>
      <c r="N530" s="208"/>
      <c r="O530" s="208"/>
      <c r="P530" s="208"/>
      <c r="Q530" s="208"/>
      <c r="R530" s="208"/>
      <c r="S530" s="208"/>
      <c r="T530" s="208"/>
      <c r="U530" s="208"/>
      <c r="V530" s="208"/>
      <c r="W530" s="232"/>
      <c r="X530" s="232"/>
      <c r="Y530" s="232"/>
      <c r="Z530" s="232"/>
      <c r="AA530" s="232"/>
      <c r="AB530" s="232"/>
      <c r="AC530" s="232"/>
      <c r="AD530" s="232"/>
      <c r="AE530" s="232"/>
      <c r="AF530" s="232"/>
      <c r="AG530" s="208"/>
      <c r="AH530" s="208"/>
      <c r="AI530" s="208"/>
      <c r="AJ530" s="208"/>
      <c r="AK530" s="208"/>
    </row>
    <row r="531">
      <c r="A531" s="234"/>
      <c r="B531" s="208"/>
      <c r="C531" s="208"/>
      <c r="D531" s="208"/>
      <c r="E531" s="208"/>
      <c r="F531" s="208"/>
      <c r="G531" s="208"/>
      <c r="H531" s="208"/>
      <c r="I531" s="233"/>
      <c r="J531" s="208"/>
      <c r="K531" s="208"/>
      <c r="L531" s="208"/>
      <c r="M531" s="208"/>
      <c r="N531" s="208"/>
      <c r="O531" s="208"/>
      <c r="P531" s="208"/>
      <c r="Q531" s="208"/>
      <c r="R531" s="208"/>
      <c r="S531" s="208"/>
      <c r="T531" s="208"/>
      <c r="U531" s="208"/>
      <c r="V531" s="208"/>
      <c r="W531" s="232"/>
      <c r="X531" s="232"/>
      <c r="Y531" s="232"/>
      <c r="Z531" s="232"/>
      <c r="AA531" s="232"/>
      <c r="AB531" s="232"/>
      <c r="AC531" s="232"/>
      <c r="AD531" s="232"/>
      <c r="AE531" s="232"/>
      <c r="AF531" s="232"/>
      <c r="AG531" s="208"/>
      <c r="AH531" s="208"/>
      <c r="AI531" s="208"/>
      <c r="AJ531" s="208"/>
      <c r="AK531" s="208"/>
    </row>
    <row r="532">
      <c r="A532" s="234"/>
      <c r="B532" s="208"/>
      <c r="C532" s="208"/>
      <c r="D532" s="208"/>
      <c r="E532" s="208"/>
      <c r="F532" s="208"/>
      <c r="G532" s="208"/>
      <c r="H532" s="208"/>
      <c r="I532" s="233"/>
      <c r="J532" s="208"/>
      <c r="K532" s="208"/>
      <c r="L532" s="208"/>
      <c r="M532" s="208"/>
      <c r="N532" s="208"/>
      <c r="O532" s="208"/>
      <c r="P532" s="208"/>
      <c r="Q532" s="208"/>
      <c r="R532" s="208"/>
      <c r="S532" s="208"/>
      <c r="T532" s="208"/>
      <c r="U532" s="208"/>
      <c r="V532" s="208"/>
      <c r="W532" s="232"/>
      <c r="X532" s="232"/>
      <c r="Y532" s="232"/>
      <c r="Z532" s="232"/>
      <c r="AA532" s="232"/>
      <c r="AB532" s="232"/>
      <c r="AC532" s="232"/>
      <c r="AD532" s="232"/>
      <c r="AE532" s="232"/>
      <c r="AF532" s="232"/>
      <c r="AG532" s="208"/>
      <c r="AH532" s="208"/>
      <c r="AI532" s="208"/>
      <c r="AJ532" s="208"/>
      <c r="AK532" s="208"/>
    </row>
    <row r="533">
      <c r="A533" s="234"/>
      <c r="B533" s="208"/>
      <c r="C533" s="208"/>
      <c r="D533" s="208"/>
      <c r="E533" s="208"/>
      <c r="F533" s="208"/>
      <c r="G533" s="208"/>
      <c r="H533" s="208"/>
      <c r="I533" s="233"/>
      <c r="J533" s="208"/>
      <c r="K533" s="208"/>
      <c r="L533" s="208"/>
      <c r="M533" s="208"/>
      <c r="N533" s="208"/>
      <c r="O533" s="208"/>
      <c r="P533" s="208"/>
      <c r="Q533" s="208"/>
      <c r="R533" s="208"/>
      <c r="S533" s="208"/>
      <c r="T533" s="208"/>
      <c r="U533" s="208"/>
      <c r="V533" s="208"/>
      <c r="W533" s="232"/>
      <c r="X533" s="232"/>
      <c r="Y533" s="232"/>
      <c r="Z533" s="232"/>
      <c r="AA533" s="232"/>
      <c r="AB533" s="232"/>
      <c r="AC533" s="232"/>
      <c r="AD533" s="232"/>
      <c r="AE533" s="232"/>
      <c r="AF533" s="232"/>
      <c r="AG533" s="208"/>
      <c r="AH533" s="208"/>
      <c r="AI533" s="208"/>
      <c r="AJ533" s="208"/>
      <c r="AK533" s="208"/>
    </row>
    <row r="534">
      <c r="A534" s="234"/>
      <c r="B534" s="208"/>
      <c r="C534" s="208"/>
      <c r="D534" s="208"/>
      <c r="E534" s="208"/>
      <c r="F534" s="208"/>
      <c r="G534" s="208"/>
      <c r="H534" s="208"/>
      <c r="I534" s="233"/>
      <c r="J534" s="208"/>
      <c r="K534" s="208"/>
      <c r="L534" s="208"/>
      <c r="M534" s="208"/>
      <c r="N534" s="208"/>
      <c r="O534" s="208"/>
      <c r="P534" s="208"/>
      <c r="Q534" s="208"/>
      <c r="R534" s="208"/>
      <c r="S534" s="208"/>
      <c r="T534" s="208"/>
      <c r="U534" s="208"/>
      <c r="V534" s="208"/>
      <c r="W534" s="232"/>
      <c r="X534" s="232"/>
      <c r="Y534" s="232"/>
      <c r="Z534" s="232"/>
      <c r="AA534" s="232"/>
      <c r="AB534" s="232"/>
      <c r="AC534" s="232"/>
      <c r="AD534" s="232"/>
      <c r="AE534" s="232"/>
      <c r="AF534" s="232"/>
      <c r="AG534" s="208"/>
      <c r="AH534" s="208"/>
      <c r="AI534" s="208"/>
      <c r="AJ534" s="208"/>
      <c r="AK534" s="208"/>
    </row>
    <row r="535">
      <c r="A535" s="234"/>
      <c r="B535" s="208"/>
      <c r="C535" s="208"/>
      <c r="D535" s="208"/>
      <c r="E535" s="208"/>
      <c r="F535" s="208"/>
      <c r="G535" s="208"/>
      <c r="H535" s="208"/>
      <c r="I535" s="233"/>
      <c r="J535" s="208"/>
      <c r="K535" s="208"/>
      <c r="L535" s="208"/>
      <c r="M535" s="208"/>
      <c r="N535" s="208"/>
      <c r="O535" s="208"/>
      <c r="P535" s="208"/>
      <c r="Q535" s="208"/>
      <c r="R535" s="208"/>
      <c r="S535" s="208"/>
      <c r="T535" s="208"/>
      <c r="U535" s="208"/>
      <c r="V535" s="208"/>
      <c r="W535" s="232"/>
      <c r="X535" s="232"/>
      <c r="Y535" s="232"/>
      <c r="Z535" s="232"/>
      <c r="AA535" s="232"/>
      <c r="AB535" s="232"/>
      <c r="AC535" s="232"/>
      <c r="AD535" s="232"/>
      <c r="AE535" s="232"/>
      <c r="AF535" s="232"/>
      <c r="AG535" s="208"/>
      <c r="AH535" s="208"/>
      <c r="AI535" s="208"/>
      <c r="AJ535" s="208"/>
      <c r="AK535" s="208"/>
    </row>
    <row r="536">
      <c r="A536" s="234"/>
      <c r="B536" s="208"/>
      <c r="C536" s="208"/>
      <c r="D536" s="208"/>
      <c r="E536" s="208"/>
      <c r="F536" s="208"/>
      <c r="G536" s="208"/>
      <c r="H536" s="208"/>
      <c r="I536" s="233"/>
      <c r="J536" s="208"/>
      <c r="K536" s="208"/>
      <c r="L536" s="208"/>
      <c r="M536" s="208"/>
      <c r="N536" s="208"/>
      <c r="O536" s="208"/>
      <c r="P536" s="208"/>
      <c r="Q536" s="208"/>
      <c r="R536" s="208"/>
      <c r="S536" s="208"/>
      <c r="T536" s="208"/>
      <c r="U536" s="208"/>
      <c r="V536" s="208"/>
      <c r="W536" s="232"/>
      <c r="X536" s="232"/>
      <c r="Y536" s="232"/>
      <c r="Z536" s="232"/>
      <c r="AA536" s="232"/>
      <c r="AB536" s="232"/>
      <c r="AC536" s="232"/>
      <c r="AD536" s="232"/>
      <c r="AE536" s="232"/>
      <c r="AF536" s="232"/>
      <c r="AG536" s="208"/>
      <c r="AH536" s="208"/>
      <c r="AI536" s="208"/>
      <c r="AJ536" s="208"/>
      <c r="AK536" s="208"/>
    </row>
    <row r="537">
      <c r="A537" s="234"/>
      <c r="B537" s="208"/>
      <c r="C537" s="208"/>
      <c r="D537" s="208"/>
      <c r="E537" s="208"/>
      <c r="F537" s="208"/>
      <c r="G537" s="208"/>
      <c r="H537" s="208"/>
      <c r="I537" s="233"/>
      <c r="J537" s="208"/>
      <c r="K537" s="208"/>
      <c r="L537" s="208"/>
      <c r="M537" s="208"/>
      <c r="N537" s="208"/>
      <c r="O537" s="208"/>
      <c r="P537" s="208"/>
      <c r="Q537" s="208"/>
      <c r="R537" s="208"/>
      <c r="S537" s="208"/>
      <c r="T537" s="208"/>
      <c r="U537" s="208"/>
      <c r="V537" s="208"/>
      <c r="W537" s="232"/>
      <c r="X537" s="232"/>
      <c r="Y537" s="232"/>
      <c r="Z537" s="232"/>
      <c r="AA537" s="232"/>
      <c r="AB537" s="232"/>
      <c r="AC537" s="232"/>
      <c r="AD537" s="232"/>
      <c r="AE537" s="232"/>
      <c r="AF537" s="232"/>
      <c r="AG537" s="208"/>
      <c r="AH537" s="208"/>
      <c r="AI537" s="208"/>
      <c r="AJ537" s="208"/>
      <c r="AK537" s="208"/>
    </row>
    <row r="538">
      <c r="A538" s="234"/>
      <c r="B538" s="208"/>
      <c r="C538" s="208"/>
      <c r="D538" s="208"/>
      <c r="E538" s="208"/>
      <c r="F538" s="208"/>
      <c r="G538" s="208"/>
      <c r="H538" s="208"/>
      <c r="I538" s="233"/>
      <c r="J538" s="208"/>
      <c r="K538" s="208"/>
      <c r="L538" s="208"/>
      <c r="M538" s="208"/>
      <c r="N538" s="208"/>
      <c r="O538" s="208"/>
      <c r="P538" s="208"/>
      <c r="Q538" s="208"/>
      <c r="R538" s="208"/>
      <c r="S538" s="208"/>
      <c r="T538" s="208"/>
      <c r="U538" s="208"/>
      <c r="V538" s="208"/>
      <c r="W538" s="232"/>
      <c r="X538" s="232"/>
      <c r="Y538" s="232"/>
      <c r="Z538" s="232"/>
      <c r="AA538" s="232"/>
      <c r="AB538" s="232"/>
      <c r="AC538" s="232"/>
      <c r="AD538" s="232"/>
      <c r="AE538" s="232"/>
      <c r="AF538" s="232"/>
      <c r="AG538" s="208"/>
      <c r="AH538" s="208"/>
      <c r="AI538" s="208"/>
      <c r="AJ538" s="208"/>
      <c r="AK538" s="208"/>
    </row>
    <row r="539">
      <c r="A539" s="234"/>
      <c r="B539" s="208"/>
      <c r="C539" s="208"/>
      <c r="D539" s="208"/>
      <c r="E539" s="208"/>
      <c r="F539" s="208"/>
      <c r="G539" s="208"/>
      <c r="H539" s="208"/>
      <c r="I539" s="233"/>
      <c r="J539" s="208"/>
      <c r="K539" s="208"/>
      <c r="L539" s="208"/>
      <c r="M539" s="208"/>
      <c r="N539" s="208"/>
      <c r="O539" s="208"/>
      <c r="P539" s="208"/>
      <c r="Q539" s="208"/>
      <c r="R539" s="208"/>
      <c r="S539" s="208"/>
      <c r="T539" s="208"/>
      <c r="U539" s="208"/>
      <c r="V539" s="208"/>
      <c r="W539" s="232"/>
      <c r="X539" s="232"/>
      <c r="Y539" s="232"/>
      <c r="Z539" s="232"/>
      <c r="AA539" s="232"/>
      <c r="AB539" s="232"/>
      <c r="AC539" s="232"/>
      <c r="AD539" s="232"/>
      <c r="AE539" s="232"/>
      <c r="AF539" s="232"/>
      <c r="AG539" s="208"/>
      <c r="AH539" s="208"/>
      <c r="AI539" s="208"/>
      <c r="AJ539" s="208"/>
      <c r="AK539" s="208"/>
    </row>
    <row r="540">
      <c r="A540" s="234"/>
      <c r="B540" s="208"/>
      <c r="C540" s="208"/>
      <c r="D540" s="208"/>
      <c r="E540" s="208"/>
      <c r="F540" s="208"/>
      <c r="G540" s="208"/>
      <c r="H540" s="208"/>
      <c r="I540" s="233"/>
      <c r="J540" s="208"/>
      <c r="K540" s="208"/>
      <c r="L540" s="208"/>
      <c r="M540" s="208"/>
      <c r="N540" s="208"/>
      <c r="O540" s="208"/>
      <c r="P540" s="208"/>
      <c r="Q540" s="208"/>
      <c r="R540" s="208"/>
      <c r="S540" s="208"/>
      <c r="T540" s="208"/>
      <c r="U540" s="208"/>
      <c r="V540" s="208"/>
      <c r="W540" s="232"/>
      <c r="X540" s="232"/>
      <c r="Y540" s="232"/>
      <c r="Z540" s="232"/>
      <c r="AA540" s="232"/>
      <c r="AB540" s="232"/>
      <c r="AC540" s="232"/>
      <c r="AD540" s="232"/>
      <c r="AE540" s="232"/>
      <c r="AF540" s="232"/>
      <c r="AG540" s="208"/>
      <c r="AH540" s="208"/>
      <c r="AI540" s="208"/>
      <c r="AJ540" s="208"/>
      <c r="AK540" s="208"/>
    </row>
    <row r="541">
      <c r="A541" s="234"/>
      <c r="B541" s="208"/>
      <c r="C541" s="208"/>
      <c r="D541" s="208"/>
      <c r="E541" s="208"/>
      <c r="F541" s="208"/>
      <c r="G541" s="208"/>
      <c r="H541" s="208"/>
      <c r="I541" s="233"/>
      <c r="J541" s="208"/>
      <c r="K541" s="208"/>
      <c r="L541" s="208"/>
      <c r="M541" s="208"/>
      <c r="N541" s="208"/>
      <c r="O541" s="208"/>
      <c r="P541" s="208"/>
      <c r="Q541" s="208"/>
      <c r="R541" s="208"/>
      <c r="S541" s="208"/>
      <c r="T541" s="208"/>
      <c r="U541" s="208"/>
      <c r="V541" s="208"/>
      <c r="W541" s="232"/>
      <c r="X541" s="232"/>
      <c r="Y541" s="232"/>
      <c r="Z541" s="232"/>
      <c r="AA541" s="232"/>
      <c r="AB541" s="232"/>
      <c r="AC541" s="232"/>
      <c r="AD541" s="232"/>
      <c r="AE541" s="232"/>
      <c r="AF541" s="232"/>
      <c r="AG541" s="208"/>
      <c r="AH541" s="208"/>
      <c r="AI541" s="208"/>
      <c r="AJ541" s="208"/>
      <c r="AK541" s="208"/>
    </row>
    <row r="542">
      <c r="A542" s="234"/>
      <c r="B542" s="208"/>
      <c r="C542" s="208"/>
      <c r="D542" s="208"/>
      <c r="E542" s="208"/>
      <c r="F542" s="208"/>
      <c r="G542" s="208"/>
      <c r="H542" s="208"/>
      <c r="I542" s="233"/>
      <c r="J542" s="208"/>
      <c r="K542" s="208"/>
      <c r="L542" s="208"/>
      <c r="M542" s="208"/>
      <c r="N542" s="208"/>
      <c r="O542" s="208"/>
      <c r="P542" s="208"/>
      <c r="Q542" s="208"/>
      <c r="R542" s="208"/>
      <c r="S542" s="208"/>
      <c r="T542" s="208"/>
      <c r="U542" s="208"/>
      <c r="V542" s="208"/>
      <c r="W542" s="232"/>
      <c r="X542" s="232"/>
      <c r="Y542" s="232"/>
      <c r="Z542" s="232"/>
      <c r="AA542" s="232"/>
      <c r="AB542" s="232"/>
      <c r="AC542" s="232"/>
      <c r="AD542" s="232"/>
      <c r="AE542" s="232"/>
      <c r="AF542" s="232"/>
      <c r="AG542" s="208"/>
      <c r="AH542" s="208"/>
      <c r="AI542" s="208"/>
      <c r="AJ542" s="208"/>
      <c r="AK542" s="208"/>
    </row>
    <row r="543">
      <c r="A543" s="234"/>
      <c r="B543" s="208"/>
      <c r="C543" s="208"/>
      <c r="D543" s="208"/>
      <c r="E543" s="208"/>
      <c r="F543" s="208"/>
      <c r="G543" s="208"/>
      <c r="H543" s="208"/>
      <c r="I543" s="233"/>
      <c r="J543" s="208"/>
      <c r="K543" s="208"/>
      <c r="L543" s="208"/>
      <c r="M543" s="208"/>
      <c r="N543" s="208"/>
      <c r="O543" s="208"/>
      <c r="P543" s="208"/>
      <c r="Q543" s="208"/>
      <c r="R543" s="208"/>
      <c r="S543" s="208"/>
      <c r="T543" s="208"/>
      <c r="U543" s="208"/>
      <c r="V543" s="208"/>
      <c r="W543" s="232"/>
      <c r="X543" s="232"/>
      <c r="Y543" s="232"/>
      <c r="Z543" s="232"/>
      <c r="AA543" s="232"/>
      <c r="AB543" s="232"/>
      <c r="AC543" s="232"/>
      <c r="AD543" s="232"/>
      <c r="AE543" s="232"/>
      <c r="AF543" s="232"/>
      <c r="AG543" s="208"/>
      <c r="AH543" s="208"/>
      <c r="AI543" s="208"/>
      <c r="AJ543" s="208"/>
      <c r="AK543" s="208"/>
    </row>
    <row r="544">
      <c r="A544" s="234"/>
      <c r="B544" s="208"/>
      <c r="C544" s="208"/>
      <c r="D544" s="208"/>
      <c r="E544" s="208"/>
      <c r="F544" s="208"/>
      <c r="G544" s="208"/>
      <c r="H544" s="208"/>
      <c r="I544" s="233"/>
      <c r="J544" s="208"/>
      <c r="K544" s="208"/>
      <c r="L544" s="208"/>
      <c r="M544" s="208"/>
      <c r="N544" s="208"/>
      <c r="O544" s="208"/>
      <c r="P544" s="208"/>
      <c r="Q544" s="208"/>
      <c r="R544" s="208"/>
      <c r="S544" s="208"/>
      <c r="T544" s="208"/>
      <c r="U544" s="208"/>
      <c r="V544" s="208"/>
      <c r="W544" s="232"/>
      <c r="X544" s="232"/>
      <c r="Y544" s="232"/>
      <c r="Z544" s="232"/>
      <c r="AA544" s="232"/>
      <c r="AB544" s="232"/>
      <c r="AC544" s="232"/>
      <c r="AD544" s="232"/>
      <c r="AE544" s="232"/>
      <c r="AF544" s="232"/>
      <c r="AG544" s="208"/>
      <c r="AH544" s="208"/>
      <c r="AI544" s="208"/>
      <c r="AJ544" s="208"/>
      <c r="AK544" s="208"/>
    </row>
    <row r="545">
      <c r="A545" s="234"/>
      <c r="B545" s="208"/>
      <c r="C545" s="208"/>
      <c r="D545" s="208"/>
      <c r="E545" s="208"/>
      <c r="F545" s="208"/>
      <c r="G545" s="208"/>
      <c r="H545" s="208"/>
      <c r="I545" s="233"/>
      <c r="J545" s="208"/>
      <c r="K545" s="208"/>
      <c r="L545" s="208"/>
      <c r="M545" s="208"/>
      <c r="N545" s="208"/>
      <c r="O545" s="208"/>
      <c r="P545" s="208"/>
      <c r="Q545" s="208"/>
      <c r="R545" s="208"/>
      <c r="S545" s="208"/>
      <c r="T545" s="208"/>
      <c r="U545" s="208"/>
      <c r="V545" s="208"/>
      <c r="W545" s="232"/>
      <c r="X545" s="232"/>
      <c r="Y545" s="232"/>
      <c r="Z545" s="232"/>
      <c r="AA545" s="232"/>
      <c r="AB545" s="232"/>
      <c r="AC545" s="232"/>
      <c r="AD545" s="232"/>
      <c r="AE545" s="232"/>
      <c r="AF545" s="232"/>
      <c r="AG545" s="208"/>
      <c r="AH545" s="208"/>
      <c r="AI545" s="208"/>
      <c r="AJ545" s="208"/>
      <c r="AK545" s="208"/>
    </row>
    <row r="546">
      <c r="A546" s="234"/>
      <c r="B546" s="208"/>
      <c r="C546" s="208"/>
      <c r="D546" s="208"/>
      <c r="E546" s="208"/>
      <c r="F546" s="208"/>
      <c r="G546" s="208"/>
      <c r="H546" s="208"/>
      <c r="I546" s="233"/>
      <c r="J546" s="208"/>
      <c r="K546" s="208"/>
      <c r="L546" s="208"/>
      <c r="M546" s="208"/>
      <c r="N546" s="208"/>
      <c r="O546" s="208"/>
      <c r="P546" s="208"/>
      <c r="Q546" s="208"/>
      <c r="R546" s="208"/>
      <c r="S546" s="208"/>
      <c r="T546" s="208"/>
      <c r="U546" s="208"/>
      <c r="V546" s="208"/>
      <c r="W546" s="232"/>
      <c r="X546" s="232"/>
      <c r="Y546" s="232"/>
      <c r="Z546" s="232"/>
      <c r="AA546" s="232"/>
      <c r="AB546" s="232"/>
      <c r="AC546" s="232"/>
      <c r="AD546" s="232"/>
      <c r="AE546" s="232"/>
      <c r="AF546" s="232"/>
      <c r="AG546" s="208"/>
      <c r="AH546" s="208"/>
      <c r="AI546" s="208"/>
      <c r="AJ546" s="208"/>
      <c r="AK546" s="208"/>
    </row>
    <row r="547">
      <c r="A547" s="234"/>
      <c r="B547" s="208"/>
      <c r="C547" s="208"/>
      <c r="D547" s="208"/>
      <c r="E547" s="208"/>
      <c r="F547" s="208"/>
      <c r="G547" s="208"/>
      <c r="H547" s="208"/>
      <c r="I547" s="233"/>
      <c r="J547" s="208"/>
      <c r="K547" s="208"/>
      <c r="L547" s="208"/>
      <c r="M547" s="208"/>
      <c r="N547" s="208"/>
      <c r="O547" s="208"/>
      <c r="P547" s="208"/>
      <c r="Q547" s="208"/>
      <c r="R547" s="208"/>
      <c r="S547" s="208"/>
      <c r="T547" s="208"/>
      <c r="U547" s="208"/>
      <c r="V547" s="208"/>
      <c r="W547" s="232"/>
      <c r="X547" s="232"/>
      <c r="Y547" s="232"/>
      <c r="Z547" s="232"/>
      <c r="AA547" s="232"/>
      <c r="AB547" s="232"/>
      <c r="AC547" s="232"/>
      <c r="AD547" s="232"/>
      <c r="AE547" s="232"/>
      <c r="AF547" s="232"/>
      <c r="AG547" s="208"/>
      <c r="AH547" s="208"/>
      <c r="AI547" s="208"/>
      <c r="AJ547" s="208"/>
      <c r="AK547" s="208"/>
    </row>
    <row r="548">
      <c r="A548" s="234"/>
      <c r="B548" s="208"/>
      <c r="C548" s="208"/>
      <c r="D548" s="208"/>
      <c r="E548" s="208"/>
      <c r="F548" s="208"/>
      <c r="G548" s="208"/>
      <c r="H548" s="208"/>
      <c r="I548" s="233"/>
      <c r="J548" s="208"/>
      <c r="K548" s="208"/>
      <c r="L548" s="208"/>
      <c r="M548" s="208"/>
      <c r="N548" s="208"/>
      <c r="O548" s="208"/>
      <c r="P548" s="208"/>
      <c r="Q548" s="208"/>
      <c r="R548" s="208"/>
      <c r="S548" s="208"/>
      <c r="T548" s="208"/>
      <c r="U548" s="208"/>
      <c r="V548" s="208"/>
      <c r="W548" s="232"/>
      <c r="X548" s="232"/>
      <c r="Y548" s="232"/>
      <c r="Z548" s="232"/>
      <c r="AA548" s="232"/>
      <c r="AB548" s="232"/>
      <c r="AC548" s="232"/>
      <c r="AD548" s="232"/>
      <c r="AE548" s="232"/>
      <c r="AF548" s="232"/>
      <c r="AG548" s="208"/>
      <c r="AH548" s="208"/>
      <c r="AI548" s="208"/>
      <c r="AJ548" s="208"/>
      <c r="AK548" s="208"/>
    </row>
    <row r="549">
      <c r="A549" s="234"/>
      <c r="B549" s="208"/>
      <c r="C549" s="208"/>
      <c r="D549" s="208"/>
      <c r="E549" s="208"/>
      <c r="F549" s="208"/>
      <c r="G549" s="208"/>
      <c r="H549" s="208"/>
      <c r="I549" s="233"/>
      <c r="J549" s="208"/>
      <c r="K549" s="208"/>
      <c r="L549" s="208"/>
      <c r="M549" s="208"/>
      <c r="N549" s="208"/>
      <c r="O549" s="208"/>
      <c r="P549" s="208"/>
      <c r="Q549" s="208"/>
      <c r="R549" s="208"/>
      <c r="S549" s="208"/>
      <c r="T549" s="208"/>
      <c r="U549" s="208"/>
      <c r="V549" s="208"/>
      <c r="W549" s="232"/>
      <c r="X549" s="232"/>
      <c r="Y549" s="232"/>
      <c r="Z549" s="232"/>
      <c r="AA549" s="232"/>
      <c r="AB549" s="232"/>
      <c r="AC549" s="232"/>
      <c r="AD549" s="232"/>
      <c r="AE549" s="232"/>
      <c r="AF549" s="232"/>
      <c r="AG549" s="208"/>
      <c r="AH549" s="208"/>
      <c r="AI549" s="208"/>
      <c r="AJ549" s="208"/>
      <c r="AK549" s="208"/>
    </row>
    <row r="550">
      <c r="A550" s="234"/>
      <c r="B550" s="208"/>
      <c r="C550" s="208"/>
      <c r="D550" s="208"/>
      <c r="E550" s="208"/>
      <c r="F550" s="208"/>
      <c r="G550" s="208"/>
      <c r="H550" s="208"/>
      <c r="I550" s="233"/>
      <c r="J550" s="208"/>
      <c r="K550" s="208"/>
      <c r="L550" s="208"/>
      <c r="M550" s="208"/>
      <c r="N550" s="208"/>
      <c r="O550" s="208"/>
      <c r="P550" s="208"/>
      <c r="Q550" s="208"/>
      <c r="R550" s="208"/>
      <c r="S550" s="208"/>
      <c r="T550" s="208"/>
      <c r="U550" s="208"/>
      <c r="V550" s="208"/>
      <c r="W550" s="232"/>
      <c r="X550" s="232"/>
      <c r="Y550" s="232"/>
      <c r="Z550" s="232"/>
      <c r="AA550" s="232"/>
      <c r="AB550" s="232"/>
      <c r="AC550" s="232"/>
      <c r="AD550" s="232"/>
      <c r="AE550" s="232"/>
      <c r="AF550" s="232"/>
      <c r="AG550" s="208"/>
      <c r="AH550" s="208"/>
      <c r="AI550" s="208"/>
      <c r="AJ550" s="208"/>
      <c r="AK550" s="208"/>
    </row>
    <row r="551">
      <c r="A551" s="234"/>
      <c r="B551" s="208"/>
      <c r="C551" s="208"/>
      <c r="D551" s="208"/>
      <c r="E551" s="208"/>
      <c r="F551" s="208"/>
      <c r="G551" s="208"/>
      <c r="H551" s="208"/>
      <c r="I551" s="233"/>
      <c r="J551" s="208"/>
      <c r="K551" s="208"/>
      <c r="L551" s="208"/>
      <c r="M551" s="208"/>
      <c r="N551" s="208"/>
      <c r="O551" s="208"/>
      <c r="P551" s="208"/>
      <c r="Q551" s="208"/>
      <c r="R551" s="208"/>
      <c r="S551" s="208"/>
      <c r="T551" s="208"/>
      <c r="U551" s="208"/>
      <c r="V551" s="208"/>
      <c r="W551" s="232"/>
      <c r="X551" s="232"/>
      <c r="Y551" s="232"/>
      <c r="Z551" s="232"/>
      <c r="AA551" s="232"/>
      <c r="AB551" s="232"/>
      <c r="AC551" s="232"/>
      <c r="AD551" s="232"/>
      <c r="AE551" s="232"/>
      <c r="AF551" s="232"/>
      <c r="AG551" s="208"/>
      <c r="AH551" s="208"/>
      <c r="AI551" s="208"/>
      <c r="AJ551" s="208"/>
      <c r="AK551" s="208"/>
    </row>
    <row r="552">
      <c r="A552" s="234"/>
      <c r="B552" s="208"/>
      <c r="C552" s="208"/>
      <c r="D552" s="208"/>
      <c r="E552" s="208"/>
      <c r="F552" s="208"/>
      <c r="G552" s="208"/>
      <c r="H552" s="208"/>
      <c r="I552" s="233"/>
      <c r="J552" s="208"/>
      <c r="K552" s="208"/>
      <c r="L552" s="208"/>
      <c r="M552" s="208"/>
      <c r="N552" s="208"/>
      <c r="O552" s="208"/>
      <c r="P552" s="208"/>
      <c r="Q552" s="208"/>
      <c r="R552" s="208"/>
      <c r="S552" s="208"/>
      <c r="T552" s="208"/>
      <c r="U552" s="208"/>
      <c r="V552" s="208"/>
      <c r="W552" s="232"/>
      <c r="X552" s="232"/>
      <c r="Y552" s="232"/>
      <c r="Z552" s="232"/>
      <c r="AA552" s="232"/>
      <c r="AB552" s="232"/>
      <c r="AC552" s="232"/>
      <c r="AD552" s="232"/>
      <c r="AE552" s="232"/>
      <c r="AF552" s="232"/>
      <c r="AG552" s="208"/>
      <c r="AH552" s="208"/>
      <c r="AI552" s="208"/>
      <c r="AJ552" s="208"/>
      <c r="AK552" s="208"/>
    </row>
    <row r="553">
      <c r="A553" s="234"/>
      <c r="B553" s="208"/>
      <c r="C553" s="208"/>
      <c r="D553" s="208"/>
      <c r="E553" s="208"/>
      <c r="F553" s="208"/>
      <c r="G553" s="208"/>
      <c r="H553" s="208"/>
      <c r="I553" s="233"/>
      <c r="J553" s="208"/>
      <c r="K553" s="208"/>
      <c r="L553" s="208"/>
      <c r="M553" s="208"/>
      <c r="N553" s="208"/>
      <c r="O553" s="208"/>
      <c r="P553" s="208"/>
      <c r="Q553" s="208"/>
      <c r="R553" s="208"/>
      <c r="S553" s="208"/>
      <c r="T553" s="208"/>
      <c r="U553" s="208"/>
      <c r="V553" s="208"/>
      <c r="W553" s="232"/>
      <c r="X553" s="232"/>
      <c r="Y553" s="232"/>
      <c r="Z553" s="232"/>
      <c r="AA553" s="232"/>
      <c r="AB553" s="232"/>
      <c r="AC553" s="232"/>
      <c r="AD553" s="232"/>
      <c r="AE553" s="232"/>
      <c r="AF553" s="232"/>
      <c r="AG553" s="208"/>
      <c r="AH553" s="208"/>
      <c r="AI553" s="208"/>
      <c r="AJ553" s="208"/>
      <c r="AK553" s="208"/>
    </row>
    <row r="554">
      <c r="A554" s="234"/>
      <c r="B554" s="208"/>
      <c r="C554" s="208"/>
      <c r="D554" s="208"/>
      <c r="E554" s="208"/>
      <c r="F554" s="208"/>
      <c r="G554" s="208"/>
      <c r="H554" s="208"/>
      <c r="I554" s="233"/>
      <c r="J554" s="208"/>
      <c r="K554" s="208"/>
      <c r="L554" s="208"/>
      <c r="M554" s="208"/>
      <c r="N554" s="208"/>
      <c r="O554" s="208"/>
      <c r="P554" s="208"/>
      <c r="Q554" s="208"/>
      <c r="R554" s="208"/>
      <c r="S554" s="208"/>
      <c r="T554" s="208"/>
      <c r="U554" s="208"/>
      <c r="V554" s="208"/>
      <c r="W554" s="232"/>
      <c r="X554" s="232"/>
      <c r="Y554" s="232"/>
      <c r="Z554" s="232"/>
      <c r="AA554" s="232"/>
      <c r="AB554" s="232"/>
      <c r="AC554" s="232"/>
      <c r="AD554" s="232"/>
      <c r="AE554" s="232"/>
      <c r="AF554" s="232"/>
      <c r="AG554" s="208"/>
      <c r="AH554" s="208"/>
      <c r="AI554" s="208"/>
      <c r="AJ554" s="208"/>
      <c r="AK554" s="208"/>
    </row>
    <row r="555">
      <c r="A555" s="234"/>
      <c r="B555" s="208"/>
      <c r="C555" s="208"/>
      <c r="D555" s="208"/>
      <c r="E555" s="208"/>
      <c r="F555" s="208"/>
      <c r="G555" s="208"/>
      <c r="H555" s="208"/>
      <c r="I555" s="233"/>
      <c r="J555" s="208"/>
      <c r="K555" s="208"/>
      <c r="L555" s="208"/>
      <c r="M555" s="208"/>
      <c r="N555" s="208"/>
      <c r="O555" s="208"/>
      <c r="P555" s="208"/>
      <c r="Q555" s="208"/>
      <c r="R555" s="208"/>
      <c r="S555" s="208"/>
      <c r="T555" s="208"/>
      <c r="U555" s="208"/>
      <c r="V555" s="208"/>
      <c r="W555" s="232"/>
      <c r="X555" s="232"/>
      <c r="Y555" s="232"/>
      <c r="Z555" s="232"/>
      <c r="AA555" s="232"/>
      <c r="AB555" s="232"/>
      <c r="AC555" s="232"/>
      <c r="AD555" s="232"/>
      <c r="AE555" s="232"/>
      <c r="AF555" s="232"/>
      <c r="AG555" s="208"/>
      <c r="AH555" s="208"/>
      <c r="AI555" s="208"/>
      <c r="AJ555" s="208"/>
      <c r="AK555" s="208"/>
    </row>
    <row r="556">
      <c r="A556" s="234"/>
      <c r="B556" s="208"/>
      <c r="C556" s="208"/>
      <c r="D556" s="208"/>
      <c r="E556" s="208"/>
      <c r="F556" s="208"/>
      <c r="G556" s="208"/>
      <c r="H556" s="208"/>
      <c r="I556" s="233"/>
      <c r="J556" s="208"/>
      <c r="K556" s="208"/>
      <c r="L556" s="208"/>
      <c r="M556" s="208"/>
      <c r="N556" s="208"/>
      <c r="O556" s="208"/>
      <c r="P556" s="208"/>
      <c r="Q556" s="208"/>
      <c r="R556" s="208"/>
      <c r="S556" s="208"/>
      <c r="T556" s="208"/>
      <c r="U556" s="208"/>
      <c r="V556" s="208"/>
      <c r="W556" s="232"/>
      <c r="X556" s="232"/>
      <c r="Y556" s="232"/>
      <c r="Z556" s="232"/>
      <c r="AA556" s="232"/>
      <c r="AB556" s="232"/>
      <c r="AC556" s="232"/>
      <c r="AD556" s="232"/>
      <c r="AE556" s="232"/>
      <c r="AF556" s="232"/>
      <c r="AG556" s="208"/>
      <c r="AH556" s="208"/>
      <c r="AI556" s="208"/>
      <c r="AJ556" s="208"/>
      <c r="AK556" s="208"/>
    </row>
    <row r="557">
      <c r="A557" s="234"/>
      <c r="B557" s="208"/>
      <c r="C557" s="208"/>
      <c r="D557" s="208"/>
      <c r="E557" s="208"/>
      <c r="F557" s="208"/>
      <c r="G557" s="208"/>
      <c r="H557" s="208"/>
      <c r="I557" s="233"/>
      <c r="J557" s="208"/>
      <c r="K557" s="208"/>
      <c r="L557" s="208"/>
      <c r="M557" s="208"/>
      <c r="N557" s="208"/>
      <c r="O557" s="208"/>
      <c r="P557" s="208"/>
      <c r="Q557" s="208"/>
      <c r="R557" s="208"/>
      <c r="S557" s="208"/>
      <c r="T557" s="208"/>
      <c r="U557" s="208"/>
      <c r="V557" s="208"/>
      <c r="W557" s="232"/>
      <c r="X557" s="232"/>
      <c r="Y557" s="232"/>
      <c r="Z557" s="232"/>
      <c r="AA557" s="232"/>
      <c r="AB557" s="232"/>
      <c r="AC557" s="232"/>
      <c r="AD557" s="232"/>
      <c r="AE557" s="232"/>
      <c r="AF557" s="232"/>
      <c r="AG557" s="208"/>
      <c r="AH557" s="208"/>
      <c r="AI557" s="208"/>
      <c r="AJ557" s="208"/>
      <c r="AK557" s="208"/>
    </row>
    <row r="558">
      <c r="A558" s="234"/>
      <c r="B558" s="208"/>
      <c r="C558" s="208"/>
      <c r="D558" s="208"/>
      <c r="E558" s="208"/>
      <c r="F558" s="208"/>
      <c r="G558" s="208"/>
      <c r="H558" s="208"/>
      <c r="I558" s="233"/>
      <c r="J558" s="208"/>
      <c r="K558" s="208"/>
      <c r="L558" s="208"/>
      <c r="M558" s="208"/>
      <c r="N558" s="208"/>
      <c r="O558" s="208"/>
      <c r="P558" s="208"/>
      <c r="Q558" s="208"/>
      <c r="R558" s="208"/>
      <c r="S558" s="208"/>
      <c r="T558" s="208"/>
      <c r="U558" s="208"/>
      <c r="V558" s="208"/>
      <c r="W558" s="232"/>
      <c r="X558" s="232"/>
      <c r="Y558" s="232"/>
      <c r="Z558" s="232"/>
      <c r="AA558" s="232"/>
      <c r="AB558" s="232"/>
      <c r="AC558" s="232"/>
      <c r="AD558" s="232"/>
      <c r="AE558" s="232"/>
      <c r="AF558" s="232"/>
      <c r="AG558" s="208"/>
      <c r="AH558" s="208"/>
      <c r="AI558" s="208"/>
      <c r="AJ558" s="208"/>
      <c r="AK558" s="208"/>
    </row>
    <row r="559">
      <c r="A559" s="234"/>
      <c r="B559" s="208"/>
      <c r="C559" s="208"/>
      <c r="D559" s="208"/>
      <c r="E559" s="208"/>
      <c r="F559" s="208"/>
      <c r="G559" s="208"/>
      <c r="H559" s="208"/>
      <c r="I559" s="233"/>
      <c r="J559" s="208"/>
      <c r="K559" s="208"/>
      <c r="L559" s="208"/>
      <c r="M559" s="208"/>
      <c r="N559" s="208"/>
      <c r="O559" s="208"/>
      <c r="P559" s="208"/>
      <c r="Q559" s="208"/>
      <c r="R559" s="208"/>
      <c r="S559" s="208"/>
      <c r="T559" s="208"/>
      <c r="U559" s="208"/>
      <c r="V559" s="208"/>
      <c r="W559" s="232"/>
      <c r="X559" s="232"/>
      <c r="Y559" s="232"/>
      <c r="Z559" s="232"/>
      <c r="AA559" s="232"/>
      <c r="AB559" s="232"/>
      <c r="AC559" s="232"/>
      <c r="AD559" s="232"/>
      <c r="AE559" s="232"/>
      <c r="AF559" s="232"/>
      <c r="AG559" s="208"/>
      <c r="AH559" s="208"/>
      <c r="AI559" s="208"/>
      <c r="AJ559" s="208"/>
      <c r="AK559" s="208"/>
    </row>
    <row r="560">
      <c r="A560" s="234"/>
      <c r="B560" s="208"/>
      <c r="C560" s="208"/>
      <c r="D560" s="208"/>
      <c r="E560" s="208"/>
      <c r="F560" s="208"/>
      <c r="G560" s="208"/>
      <c r="H560" s="208"/>
      <c r="I560" s="233"/>
      <c r="J560" s="208"/>
      <c r="K560" s="208"/>
      <c r="L560" s="208"/>
      <c r="M560" s="208"/>
      <c r="N560" s="208"/>
      <c r="O560" s="208"/>
      <c r="P560" s="208"/>
      <c r="Q560" s="208"/>
      <c r="R560" s="208"/>
      <c r="S560" s="208"/>
      <c r="T560" s="208"/>
      <c r="U560" s="208"/>
      <c r="V560" s="208"/>
      <c r="W560" s="232"/>
      <c r="X560" s="232"/>
      <c r="Y560" s="232"/>
      <c r="Z560" s="232"/>
      <c r="AA560" s="232"/>
      <c r="AB560" s="232"/>
      <c r="AC560" s="232"/>
      <c r="AD560" s="232"/>
      <c r="AE560" s="232"/>
      <c r="AF560" s="232"/>
      <c r="AG560" s="208"/>
      <c r="AH560" s="208"/>
      <c r="AI560" s="208"/>
      <c r="AJ560" s="208"/>
      <c r="AK560" s="208"/>
    </row>
    <row r="561">
      <c r="A561" s="234"/>
      <c r="B561" s="208"/>
      <c r="C561" s="208"/>
      <c r="D561" s="208"/>
      <c r="E561" s="208"/>
      <c r="F561" s="208"/>
      <c r="G561" s="208"/>
      <c r="H561" s="208"/>
      <c r="I561" s="233"/>
      <c r="J561" s="208"/>
      <c r="K561" s="208"/>
      <c r="L561" s="208"/>
      <c r="M561" s="208"/>
      <c r="N561" s="208"/>
      <c r="O561" s="208"/>
      <c r="P561" s="208"/>
      <c r="Q561" s="208"/>
      <c r="R561" s="208"/>
      <c r="S561" s="208"/>
      <c r="T561" s="208"/>
      <c r="U561" s="208"/>
      <c r="V561" s="208"/>
      <c r="W561" s="232"/>
      <c r="X561" s="232"/>
      <c r="Y561" s="232"/>
      <c r="Z561" s="232"/>
      <c r="AA561" s="232"/>
      <c r="AB561" s="232"/>
      <c r="AC561" s="232"/>
      <c r="AD561" s="232"/>
      <c r="AE561" s="232"/>
      <c r="AF561" s="232"/>
      <c r="AG561" s="208"/>
      <c r="AH561" s="208"/>
      <c r="AI561" s="208"/>
      <c r="AJ561" s="208"/>
      <c r="AK561" s="208"/>
    </row>
    <row r="562">
      <c r="A562" s="234"/>
      <c r="B562" s="208"/>
      <c r="C562" s="208"/>
      <c r="D562" s="208"/>
      <c r="E562" s="208"/>
      <c r="F562" s="208"/>
      <c r="G562" s="208"/>
      <c r="H562" s="208"/>
      <c r="I562" s="233"/>
      <c r="J562" s="208"/>
      <c r="K562" s="208"/>
      <c r="L562" s="208"/>
      <c r="M562" s="208"/>
      <c r="N562" s="208"/>
      <c r="O562" s="208"/>
      <c r="P562" s="208"/>
      <c r="Q562" s="208"/>
      <c r="R562" s="208"/>
      <c r="S562" s="208"/>
      <c r="T562" s="208"/>
      <c r="U562" s="208"/>
      <c r="V562" s="208"/>
      <c r="W562" s="232"/>
      <c r="X562" s="232"/>
      <c r="Y562" s="232"/>
      <c r="Z562" s="232"/>
      <c r="AA562" s="232"/>
      <c r="AB562" s="232"/>
      <c r="AC562" s="232"/>
      <c r="AD562" s="232"/>
      <c r="AE562" s="232"/>
      <c r="AF562" s="232"/>
      <c r="AG562" s="208"/>
      <c r="AH562" s="208"/>
      <c r="AI562" s="208"/>
      <c r="AJ562" s="208"/>
      <c r="AK562" s="208"/>
    </row>
    <row r="563">
      <c r="A563" s="234"/>
      <c r="B563" s="208"/>
      <c r="C563" s="208"/>
      <c r="D563" s="208"/>
      <c r="E563" s="208"/>
      <c r="F563" s="208"/>
      <c r="G563" s="208"/>
      <c r="H563" s="208"/>
      <c r="I563" s="233"/>
      <c r="J563" s="208"/>
      <c r="K563" s="208"/>
      <c r="L563" s="208"/>
      <c r="M563" s="208"/>
      <c r="N563" s="208"/>
      <c r="O563" s="208"/>
      <c r="P563" s="208"/>
      <c r="Q563" s="208"/>
      <c r="R563" s="208"/>
      <c r="S563" s="208"/>
      <c r="T563" s="208"/>
      <c r="U563" s="208"/>
      <c r="V563" s="208"/>
      <c r="W563" s="232"/>
      <c r="X563" s="232"/>
      <c r="Y563" s="232"/>
      <c r="Z563" s="232"/>
      <c r="AA563" s="232"/>
      <c r="AB563" s="232"/>
      <c r="AC563" s="232"/>
      <c r="AD563" s="232"/>
      <c r="AE563" s="232"/>
      <c r="AF563" s="232"/>
      <c r="AG563" s="208"/>
      <c r="AH563" s="208"/>
      <c r="AI563" s="208"/>
      <c r="AJ563" s="208"/>
      <c r="AK563" s="208"/>
    </row>
    <row r="564">
      <c r="A564" s="234"/>
      <c r="B564" s="208"/>
      <c r="C564" s="208"/>
      <c r="D564" s="208"/>
      <c r="E564" s="208"/>
      <c r="F564" s="208"/>
      <c r="G564" s="208"/>
      <c r="H564" s="208"/>
      <c r="I564" s="233"/>
      <c r="J564" s="208"/>
      <c r="K564" s="208"/>
      <c r="L564" s="208"/>
      <c r="M564" s="208"/>
      <c r="N564" s="208"/>
      <c r="O564" s="208"/>
      <c r="P564" s="208"/>
      <c r="Q564" s="208"/>
      <c r="R564" s="208"/>
      <c r="S564" s="208"/>
      <c r="T564" s="208"/>
      <c r="U564" s="208"/>
      <c r="V564" s="208"/>
      <c r="W564" s="232"/>
      <c r="X564" s="232"/>
      <c r="Y564" s="232"/>
      <c r="Z564" s="232"/>
      <c r="AA564" s="232"/>
      <c r="AB564" s="232"/>
      <c r="AC564" s="232"/>
      <c r="AD564" s="232"/>
      <c r="AE564" s="232"/>
      <c r="AF564" s="232"/>
      <c r="AG564" s="208"/>
      <c r="AH564" s="208"/>
      <c r="AI564" s="208"/>
      <c r="AJ564" s="208"/>
      <c r="AK564" s="208"/>
    </row>
    <row r="565">
      <c r="A565" s="234"/>
      <c r="B565" s="208"/>
      <c r="C565" s="208"/>
      <c r="D565" s="208"/>
      <c r="E565" s="208"/>
      <c r="F565" s="208"/>
      <c r="G565" s="208"/>
      <c r="H565" s="208"/>
      <c r="I565" s="233"/>
      <c r="J565" s="208"/>
      <c r="K565" s="208"/>
      <c r="L565" s="208"/>
      <c r="M565" s="208"/>
      <c r="N565" s="208"/>
      <c r="O565" s="208"/>
      <c r="P565" s="208"/>
      <c r="Q565" s="208"/>
      <c r="R565" s="208"/>
      <c r="S565" s="208"/>
      <c r="T565" s="208"/>
      <c r="U565" s="208"/>
      <c r="V565" s="208"/>
      <c r="W565" s="232"/>
      <c r="X565" s="232"/>
      <c r="Y565" s="232"/>
      <c r="Z565" s="232"/>
      <c r="AA565" s="232"/>
      <c r="AB565" s="232"/>
      <c r="AC565" s="232"/>
      <c r="AD565" s="232"/>
      <c r="AE565" s="232"/>
      <c r="AF565" s="232"/>
      <c r="AG565" s="208"/>
      <c r="AH565" s="208"/>
      <c r="AI565" s="208"/>
      <c r="AJ565" s="208"/>
      <c r="AK565" s="208"/>
    </row>
    <row r="566">
      <c r="A566" s="234"/>
      <c r="B566" s="208"/>
      <c r="C566" s="208"/>
      <c r="D566" s="208"/>
      <c r="E566" s="208"/>
      <c r="F566" s="208"/>
      <c r="G566" s="208"/>
      <c r="H566" s="208"/>
      <c r="I566" s="233"/>
      <c r="J566" s="208"/>
      <c r="K566" s="208"/>
      <c r="L566" s="208"/>
      <c r="M566" s="208"/>
      <c r="N566" s="208"/>
      <c r="O566" s="208"/>
      <c r="P566" s="208"/>
      <c r="Q566" s="208"/>
      <c r="R566" s="208"/>
      <c r="S566" s="208"/>
      <c r="T566" s="208"/>
      <c r="U566" s="208"/>
      <c r="V566" s="208"/>
      <c r="W566" s="232"/>
      <c r="X566" s="232"/>
      <c r="Y566" s="232"/>
      <c r="Z566" s="232"/>
      <c r="AA566" s="232"/>
      <c r="AB566" s="232"/>
      <c r="AC566" s="232"/>
      <c r="AD566" s="232"/>
      <c r="AE566" s="232"/>
      <c r="AF566" s="232"/>
      <c r="AG566" s="208"/>
      <c r="AH566" s="208"/>
      <c r="AI566" s="208"/>
      <c r="AJ566" s="208"/>
      <c r="AK566" s="208"/>
    </row>
    <row r="567">
      <c r="A567" s="234"/>
      <c r="B567" s="208"/>
      <c r="C567" s="208"/>
      <c r="D567" s="208"/>
      <c r="E567" s="208"/>
      <c r="F567" s="208"/>
      <c r="G567" s="208"/>
      <c r="H567" s="208"/>
      <c r="I567" s="233"/>
      <c r="J567" s="208"/>
      <c r="K567" s="208"/>
      <c r="L567" s="208"/>
      <c r="M567" s="208"/>
      <c r="N567" s="208"/>
      <c r="O567" s="208"/>
      <c r="P567" s="208"/>
      <c r="Q567" s="208"/>
      <c r="R567" s="208"/>
      <c r="S567" s="208"/>
      <c r="T567" s="208"/>
      <c r="U567" s="208"/>
      <c r="V567" s="208"/>
      <c r="W567" s="232"/>
      <c r="X567" s="232"/>
      <c r="Y567" s="232"/>
      <c r="Z567" s="232"/>
      <c r="AA567" s="232"/>
      <c r="AB567" s="232"/>
      <c r="AC567" s="232"/>
      <c r="AD567" s="232"/>
      <c r="AE567" s="232"/>
      <c r="AF567" s="232"/>
      <c r="AG567" s="208"/>
      <c r="AH567" s="208"/>
      <c r="AI567" s="208"/>
      <c r="AJ567" s="208"/>
      <c r="AK567" s="208"/>
    </row>
    <row r="568">
      <c r="A568" s="234"/>
      <c r="B568" s="208"/>
      <c r="C568" s="208"/>
      <c r="D568" s="208"/>
      <c r="E568" s="208"/>
      <c r="F568" s="208"/>
      <c r="G568" s="208"/>
      <c r="H568" s="208"/>
      <c r="I568" s="233"/>
      <c r="J568" s="208"/>
      <c r="K568" s="208"/>
      <c r="L568" s="208"/>
      <c r="M568" s="208"/>
      <c r="N568" s="208"/>
      <c r="O568" s="208"/>
      <c r="P568" s="208"/>
      <c r="Q568" s="208"/>
      <c r="R568" s="208"/>
      <c r="S568" s="208"/>
      <c r="T568" s="208"/>
      <c r="U568" s="208"/>
      <c r="V568" s="208"/>
      <c r="W568" s="232"/>
      <c r="X568" s="232"/>
      <c r="Y568" s="232"/>
      <c r="Z568" s="232"/>
      <c r="AA568" s="232"/>
      <c r="AB568" s="232"/>
      <c r="AC568" s="232"/>
      <c r="AD568" s="232"/>
      <c r="AE568" s="232"/>
      <c r="AF568" s="232"/>
      <c r="AG568" s="208"/>
      <c r="AH568" s="208"/>
      <c r="AI568" s="208"/>
      <c r="AJ568" s="208"/>
      <c r="AK568" s="208"/>
    </row>
    <row r="569">
      <c r="A569" s="234"/>
      <c r="B569" s="208"/>
      <c r="C569" s="208"/>
      <c r="D569" s="208"/>
      <c r="E569" s="208"/>
      <c r="F569" s="208"/>
      <c r="G569" s="208"/>
      <c r="H569" s="208"/>
      <c r="I569" s="233"/>
      <c r="J569" s="208"/>
      <c r="K569" s="208"/>
      <c r="L569" s="208"/>
      <c r="M569" s="208"/>
      <c r="N569" s="208"/>
      <c r="O569" s="208"/>
      <c r="P569" s="208"/>
      <c r="Q569" s="208"/>
      <c r="R569" s="208"/>
      <c r="S569" s="208"/>
      <c r="T569" s="208"/>
      <c r="U569" s="208"/>
      <c r="V569" s="208"/>
      <c r="W569" s="232"/>
      <c r="X569" s="232"/>
      <c r="Y569" s="232"/>
      <c r="Z569" s="232"/>
      <c r="AA569" s="232"/>
      <c r="AB569" s="232"/>
      <c r="AC569" s="232"/>
      <c r="AD569" s="232"/>
      <c r="AE569" s="232"/>
      <c r="AF569" s="232"/>
      <c r="AG569" s="208"/>
      <c r="AH569" s="208"/>
      <c r="AI569" s="208"/>
      <c r="AJ569" s="208"/>
      <c r="AK569" s="208"/>
    </row>
    <row r="570">
      <c r="A570" s="234"/>
      <c r="B570" s="208"/>
      <c r="C570" s="208"/>
      <c r="D570" s="208"/>
      <c r="E570" s="208"/>
      <c r="F570" s="208"/>
      <c r="G570" s="208"/>
      <c r="H570" s="208"/>
      <c r="I570" s="233"/>
      <c r="J570" s="208"/>
      <c r="K570" s="208"/>
      <c r="L570" s="208"/>
      <c r="M570" s="208"/>
      <c r="N570" s="208"/>
      <c r="O570" s="208"/>
      <c r="P570" s="208"/>
      <c r="Q570" s="208"/>
      <c r="R570" s="208"/>
      <c r="S570" s="208"/>
      <c r="T570" s="208"/>
      <c r="U570" s="208"/>
      <c r="V570" s="208"/>
      <c r="W570" s="232"/>
      <c r="X570" s="232"/>
      <c r="Y570" s="232"/>
      <c r="Z570" s="232"/>
      <c r="AA570" s="232"/>
      <c r="AB570" s="232"/>
      <c r="AC570" s="232"/>
      <c r="AD570" s="232"/>
      <c r="AE570" s="232"/>
      <c r="AF570" s="232"/>
      <c r="AG570" s="208"/>
      <c r="AH570" s="208"/>
      <c r="AI570" s="208"/>
      <c r="AJ570" s="208"/>
      <c r="AK570" s="208"/>
    </row>
    <row r="571">
      <c r="A571" s="234"/>
      <c r="B571" s="208"/>
      <c r="C571" s="208"/>
      <c r="D571" s="208"/>
      <c r="E571" s="208"/>
      <c r="F571" s="208"/>
      <c r="G571" s="208"/>
      <c r="H571" s="208"/>
      <c r="I571" s="233"/>
      <c r="J571" s="208"/>
      <c r="K571" s="208"/>
      <c r="L571" s="208"/>
      <c r="M571" s="208"/>
      <c r="N571" s="208"/>
      <c r="O571" s="208"/>
      <c r="P571" s="208"/>
      <c r="Q571" s="208"/>
      <c r="R571" s="208"/>
      <c r="S571" s="208"/>
      <c r="T571" s="208"/>
      <c r="U571" s="208"/>
      <c r="V571" s="208"/>
      <c r="W571" s="232"/>
      <c r="X571" s="232"/>
      <c r="Y571" s="232"/>
      <c r="Z571" s="232"/>
      <c r="AA571" s="232"/>
      <c r="AB571" s="232"/>
      <c r="AC571" s="232"/>
      <c r="AD571" s="232"/>
      <c r="AE571" s="232"/>
      <c r="AF571" s="232"/>
      <c r="AG571" s="208"/>
      <c r="AH571" s="208"/>
      <c r="AI571" s="208"/>
      <c r="AJ571" s="208"/>
      <c r="AK571" s="208"/>
    </row>
    <row r="572">
      <c r="A572" s="234"/>
      <c r="B572" s="208"/>
      <c r="C572" s="208"/>
      <c r="D572" s="208"/>
      <c r="E572" s="208"/>
      <c r="F572" s="208"/>
      <c r="G572" s="208"/>
      <c r="H572" s="208"/>
      <c r="I572" s="233"/>
      <c r="J572" s="208"/>
      <c r="K572" s="208"/>
      <c r="L572" s="208"/>
      <c r="M572" s="208"/>
      <c r="N572" s="208"/>
      <c r="O572" s="208"/>
      <c r="P572" s="208"/>
      <c r="Q572" s="208"/>
      <c r="R572" s="208"/>
      <c r="S572" s="208"/>
      <c r="T572" s="208"/>
      <c r="U572" s="208"/>
      <c r="V572" s="208"/>
      <c r="W572" s="232"/>
      <c r="X572" s="232"/>
      <c r="Y572" s="232"/>
      <c r="Z572" s="232"/>
      <c r="AA572" s="232"/>
      <c r="AB572" s="232"/>
      <c r="AC572" s="232"/>
      <c r="AD572" s="232"/>
      <c r="AE572" s="232"/>
      <c r="AF572" s="232"/>
      <c r="AG572" s="208"/>
      <c r="AH572" s="208"/>
      <c r="AI572" s="208"/>
      <c r="AJ572" s="208"/>
      <c r="AK572" s="208"/>
    </row>
    <row r="573">
      <c r="A573" s="234"/>
      <c r="B573" s="208"/>
      <c r="C573" s="208"/>
      <c r="D573" s="208"/>
      <c r="E573" s="208"/>
      <c r="F573" s="208"/>
      <c r="G573" s="208"/>
      <c r="H573" s="208"/>
      <c r="I573" s="233"/>
      <c r="J573" s="208"/>
      <c r="K573" s="208"/>
      <c r="L573" s="208"/>
      <c r="M573" s="208"/>
      <c r="N573" s="208"/>
      <c r="O573" s="208"/>
      <c r="P573" s="208"/>
      <c r="Q573" s="208"/>
      <c r="R573" s="208"/>
      <c r="S573" s="208"/>
      <c r="T573" s="208"/>
      <c r="U573" s="208"/>
      <c r="V573" s="208"/>
      <c r="W573" s="232"/>
      <c r="X573" s="232"/>
      <c r="Y573" s="232"/>
      <c r="Z573" s="232"/>
      <c r="AA573" s="232"/>
      <c r="AB573" s="232"/>
      <c r="AC573" s="232"/>
      <c r="AD573" s="232"/>
      <c r="AE573" s="232"/>
      <c r="AF573" s="232"/>
      <c r="AG573" s="208"/>
      <c r="AH573" s="208"/>
      <c r="AI573" s="208"/>
      <c r="AJ573" s="208"/>
      <c r="AK573" s="208"/>
    </row>
    <row r="574">
      <c r="A574" s="234"/>
      <c r="B574" s="208"/>
      <c r="C574" s="208"/>
      <c r="D574" s="208"/>
      <c r="E574" s="208"/>
      <c r="F574" s="208"/>
      <c r="G574" s="208"/>
      <c r="H574" s="208"/>
      <c r="I574" s="233"/>
      <c r="J574" s="208"/>
      <c r="K574" s="208"/>
      <c r="L574" s="208"/>
      <c r="M574" s="208"/>
      <c r="N574" s="208"/>
      <c r="O574" s="208"/>
      <c r="P574" s="208"/>
      <c r="Q574" s="208"/>
      <c r="R574" s="208"/>
      <c r="S574" s="208"/>
      <c r="T574" s="208"/>
      <c r="U574" s="208"/>
      <c r="V574" s="208"/>
      <c r="W574" s="232"/>
      <c r="X574" s="232"/>
      <c r="Y574" s="232"/>
      <c r="Z574" s="232"/>
      <c r="AA574" s="232"/>
      <c r="AB574" s="232"/>
      <c r="AC574" s="232"/>
      <c r="AD574" s="232"/>
      <c r="AE574" s="232"/>
      <c r="AF574" s="232"/>
      <c r="AG574" s="208"/>
      <c r="AH574" s="208"/>
      <c r="AI574" s="208"/>
      <c r="AJ574" s="208"/>
      <c r="AK574" s="208"/>
    </row>
    <row r="575">
      <c r="A575" s="234"/>
      <c r="B575" s="208"/>
      <c r="C575" s="208"/>
      <c r="D575" s="208"/>
      <c r="E575" s="208"/>
      <c r="F575" s="208"/>
      <c r="G575" s="208"/>
      <c r="H575" s="208"/>
      <c r="I575" s="233"/>
      <c r="J575" s="208"/>
      <c r="K575" s="208"/>
      <c r="L575" s="208"/>
      <c r="M575" s="208"/>
      <c r="N575" s="208"/>
      <c r="O575" s="208"/>
      <c r="P575" s="208"/>
      <c r="Q575" s="208"/>
      <c r="R575" s="208"/>
      <c r="S575" s="208"/>
      <c r="T575" s="208"/>
      <c r="U575" s="208"/>
      <c r="V575" s="208"/>
      <c r="W575" s="232"/>
      <c r="X575" s="232"/>
      <c r="Y575" s="232"/>
      <c r="Z575" s="232"/>
      <c r="AA575" s="232"/>
      <c r="AB575" s="232"/>
      <c r="AC575" s="232"/>
      <c r="AD575" s="232"/>
      <c r="AE575" s="232"/>
      <c r="AF575" s="232"/>
      <c r="AG575" s="208"/>
      <c r="AH575" s="208"/>
      <c r="AI575" s="208"/>
      <c r="AJ575" s="208"/>
      <c r="AK575" s="208"/>
    </row>
    <row r="576">
      <c r="A576" s="234"/>
      <c r="B576" s="208"/>
      <c r="C576" s="208"/>
      <c r="D576" s="208"/>
      <c r="E576" s="208"/>
      <c r="F576" s="208"/>
      <c r="G576" s="208"/>
      <c r="H576" s="208"/>
      <c r="I576" s="233"/>
      <c r="J576" s="208"/>
      <c r="K576" s="208"/>
      <c r="L576" s="208"/>
      <c r="M576" s="208"/>
      <c r="N576" s="208"/>
      <c r="O576" s="208"/>
      <c r="P576" s="208"/>
      <c r="Q576" s="208"/>
      <c r="R576" s="208"/>
      <c r="S576" s="208"/>
      <c r="T576" s="208"/>
      <c r="U576" s="208"/>
      <c r="V576" s="208"/>
      <c r="W576" s="232"/>
      <c r="X576" s="232"/>
      <c r="Y576" s="232"/>
      <c r="Z576" s="232"/>
      <c r="AA576" s="232"/>
      <c r="AB576" s="232"/>
      <c r="AC576" s="232"/>
      <c r="AD576" s="232"/>
      <c r="AE576" s="232"/>
      <c r="AF576" s="232"/>
      <c r="AG576" s="208"/>
      <c r="AH576" s="208"/>
      <c r="AI576" s="208"/>
      <c r="AJ576" s="208"/>
      <c r="AK576" s="208"/>
    </row>
    <row r="577">
      <c r="A577" s="234"/>
      <c r="B577" s="208"/>
      <c r="C577" s="208"/>
      <c r="D577" s="208"/>
      <c r="E577" s="208"/>
      <c r="F577" s="208"/>
      <c r="G577" s="208"/>
      <c r="H577" s="208"/>
      <c r="I577" s="233"/>
      <c r="J577" s="208"/>
      <c r="K577" s="208"/>
      <c r="L577" s="208"/>
      <c r="M577" s="208"/>
      <c r="N577" s="208"/>
      <c r="O577" s="208"/>
      <c r="P577" s="208"/>
      <c r="Q577" s="208"/>
      <c r="R577" s="208"/>
      <c r="S577" s="208"/>
      <c r="T577" s="208"/>
      <c r="U577" s="208"/>
      <c r="V577" s="208"/>
      <c r="W577" s="232"/>
      <c r="X577" s="232"/>
      <c r="Y577" s="232"/>
      <c r="Z577" s="232"/>
      <c r="AA577" s="232"/>
      <c r="AB577" s="232"/>
      <c r="AC577" s="232"/>
      <c r="AD577" s="232"/>
      <c r="AE577" s="232"/>
      <c r="AF577" s="232"/>
      <c r="AG577" s="208"/>
      <c r="AH577" s="208"/>
      <c r="AI577" s="208"/>
      <c r="AJ577" s="208"/>
      <c r="AK577" s="208"/>
    </row>
    <row r="578">
      <c r="A578" s="234"/>
      <c r="B578" s="208"/>
      <c r="C578" s="208"/>
      <c r="D578" s="208"/>
      <c r="E578" s="208"/>
      <c r="F578" s="208"/>
      <c r="G578" s="208"/>
      <c r="H578" s="208"/>
      <c r="I578" s="233"/>
      <c r="J578" s="208"/>
      <c r="K578" s="208"/>
      <c r="L578" s="208"/>
      <c r="M578" s="208"/>
      <c r="N578" s="208"/>
      <c r="O578" s="208"/>
      <c r="P578" s="208"/>
      <c r="Q578" s="208"/>
      <c r="R578" s="208"/>
      <c r="S578" s="208"/>
      <c r="T578" s="208"/>
      <c r="U578" s="208"/>
      <c r="V578" s="208"/>
      <c r="W578" s="232"/>
      <c r="X578" s="232"/>
      <c r="Y578" s="232"/>
      <c r="Z578" s="232"/>
      <c r="AA578" s="232"/>
      <c r="AB578" s="232"/>
      <c r="AC578" s="232"/>
      <c r="AD578" s="232"/>
      <c r="AE578" s="232"/>
      <c r="AF578" s="232"/>
      <c r="AG578" s="208"/>
      <c r="AH578" s="208"/>
      <c r="AI578" s="208"/>
      <c r="AJ578" s="208"/>
      <c r="AK578" s="208"/>
    </row>
    <row r="579">
      <c r="A579" s="234"/>
      <c r="B579" s="208"/>
      <c r="C579" s="208"/>
      <c r="D579" s="208"/>
      <c r="E579" s="208"/>
      <c r="F579" s="208"/>
      <c r="G579" s="208"/>
      <c r="H579" s="208"/>
      <c r="I579" s="233"/>
      <c r="J579" s="208"/>
      <c r="K579" s="208"/>
      <c r="L579" s="208"/>
      <c r="M579" s="208"/>
      <c r="N579" s="208"/>
      <c r="O579" s="208"/>
      <c r="P579" s="208"/>
      <c r="Q579" s="208"/>
      <c r="R579" s="208"/>
      <c r="S579" s="208"/>
      <c r="T579" s="208"/>
      <c r="U579" s="208"/>
      <c r="V579" s="208"/>
      <c r="W579" s="232"/>
      <c r="X579" s="232"/>
      <c r="Y579" s="232"/>
      <c r="Z579" s="232"/>
      <c r="AA579" s="232"/>
      <c r="AB579" s="232"/>
      <c r="AC579" s="232"/>
      <c r="AD579" s="232"/>
      <c r="AE579" s="232"/>
      <c r="AF579" s="232"/>
      <c r="AG579" s="208"/>
      <c r="AH579" s="208"/>
      <c r="AI579" s="208"/>
      <c r="AJ579" s="208"/>
      <c r="AK579" s="208"/>
    </row>
    <row r="580">
      <c r="A580" s="234"/>
      <c r="B580" s="208"/>
      <c r="C580" s="208"/>
      <c r="D580" s="208"/>
      <c r="E580" s="208"/>
      <c r="F580" s="208"/>
      <c r="G580" s="208"/>
      <c r="H580" s="208"/>
      <c r="I580" s="233"/>
      <c r="J580" s="208"/>
      <c r="K580" s="208"/>
      <c r="L580" s="208"/>
      <c r="M580" s="208"/>
      <c r="N580" s="208"/>
      <c r="O580" s="208"/>
      <c r="P580" s="208"/>
      <c r="Q580" s="208"/>
      <c r="R580" s="208"/>
      <c r="S580" s="208"/>
      <c r="T580" s="208"/>
      <c r="U580" s="208"/>
      <c r="V580" s="208"/>
      <c r="W580" s="232"/>
      <c r="X580" s="232"/>
      <c r="Y580" s="232"/>
      <c r="Z580" s="232"/>
      <c r="AA580" s="232"/>
      <c r="AB580" s="232"/>
      <c r="AC580" s="232"/>
      <c r="AD580" s="232"/>
      <c r="AE580" s="232"/>
      <c r="AF580" s="232"/>
      <c r="AG580" s="208"/>
      <c r="AH580" s="208"/>
      <c r="AI580" s="208"/>
      <c r="AJ580" s="208"/>
      <c r="AK580" s="208"/>
    </row>
    <row r="581">
      <c r="A581" s="234"/>
      <c r="B581" s="208"/>
      <c r="C581" s="208"/>
      <c r="D581" s="208"/>
      <c r="E581" s="208"/>
      <c r="F581" s="208"/>
      <c r="G581" s="208"/>
      <c r="H581" s="208"/>
      <c r="I581" s="233"/>
      <c r="J581" s="208"/>
      <c r="K581" s="208"/>
      <c r="L581" s="208"/>
      <c r="M581" s="208"/>
      <c r="N581" s="208"/>
      <c r="O581" s="208"/>
      <c r="P581" s="208"/>
      <c r="Q581" s="208"/>
      <c r="R581" s="208"/>
      <c r="S581" s="208"/>
      <c r="T581" s="208"/>
      <c r="U581" s="208"/>
      <c r="V581" s="208"/>
      <c r="W581" s="232"/>
      <c r="X581" s="232"/>
      <c r="Y581" s="232"/>
      <c r="Z581" s="232"/>
      <c r="AA581" s="232"/>
      <c r="AB581" s="232"/>
      <c r="AC581" s="232"/>
      <c r="AD581" s="232"/>
      <c r="AE581" s="232"/>
      <c r="AF581" s="232"/>
      <c r="AG581" s="208"/>
      <c r="AH581" s="208"/>
      <c r="AI581" s="208"/>
      <c r="AJ581" s="208"/>
      <c r="AK581" s="208"/>
    </row>
    <row r="582">
      <c r="A582" s="234"/>
      <c r="B582" s="208"/>
      <c r="C582" s="208"/>
      <c r="D582" s="208"/>
      <c r="E582" s="208"/>
      <c r="F582" s="208"/>
      <c r="G582" s="208"/>
      <c r="H582" s="208"/>
      <c r="I582" s="233"/>
      <c r="J582" s="208"/>
      <c r="K582" s="208"/>
      <c r="L582" s="208"/>
      <c r="M582" s="208"/>
      <c r="N582" s="208"/>
      <c r="O582" s="208"/>
      <c r="P582" s="208"/>
      <c r="Q582" s="208"/>
      <c r="R582" s="208"/>
      <c r="S582" s="208"/>
      <c r="T582" s="208"/>
      <c r="U582" s="208"/>
      <c r="V582" s="208"/>
      <c r="W582" s="232"/>
      <c r="X582" s="232"/>
      <c r="Y582" s="232"/>
      <c r="Z582" s="232"/>
      <c r="AA582" s="232"/>
      <c r="AB582" s="232"/>
      <c r="AC582" s="232"/>
      <c r="AD582" s="232"/>
      <c r="AE582" s="232"/>
      <c r="AF582" s="232"/>
      <c r="AG582" s="208"/>
      <c r="AH582" s="208"/>
      <c r="AI582" s="208"/>
      <c r="AJ582" s="208"/>
      <c r="AK582" s="208"/>
    </row>
    <row r="583">
      <c r="A583" s="234"/>
      <c r="B583" s="208"/>
      <c r="C583" s="208"/>
      <c r="D583" s="208"/>
      <c r="E583" s="208"/>
      <c r="F583" s="208"/>
      <c r="G583" s="208"/>
      <c r="H583" s="208"/>
      <c r="I583" s="233"/>
      <c r="J583" s="208"/>
      <c r="K583" s="208"/>
      <c r="L583" s="208"/>
      <c r="M583" s="208"/>
      <c r="N583" s="208"/>
      <c r="O583" s="208"/>
      <c r="P583" s="208"/>
      <c r="Q583" s="208"/>
      <c r="R583" s="208"/>
      <c r="S583" s="208"/>
      <c r="T583" s="208"/>
      <c r="U583" s="208"/>
      <c r="V583" s="208"/>
      <c r="W583" s="232"/>
      <c r="X583" s="232"/>
      <c r="Y583" s="232"/>
      <c r="Z583" s="232"/>
      <c r="AA583" s="232"/>
      <c r="AB583" s="232"/>
      <c r="AC583" s="232"/>
      <c r="AD583" s="232"/>
      <c r="AE583" s="232"/>
      <c r="AF583" s="232"/>
      <c r="AG583" s="208"/>
      <c r="AH583" s="208"/>
      <c r="AI583" s="208"/>
      <c r="AJ583" s="208"/>
      <c r="AK583" s="208"/>
    </row>
    <row r="584">
      <c r="A584" s="234"/>
      <c r="B584" s="208"/>
      <c r="C584" s="208"/>
      <c r="D584" s="208"/>
      <c r="E584" s="208"/>
      <c r="F584" s="208"/>
      <c r="G584" s="208"/>
      <c r="H584" s="208"/>
      <c r="I584" s="233"/>
      <c r="J584" s="208"/>
      <c r="K584" s="208"/>
      <c r="L584" s="208"/>
      <c r="M584" s="208"/>
      <c r="N584" s="208"/>
      <c r="O584" s="208"/>
      <c r="P584" s="208"/>
      <c r="Q584" s="208"/>
      <c r="R584" s="208"/>
      <c r="S584" s="208"/>
      <c r="T584" s="208"/>
      <c r="U584" s="208"/>
      <c r="V584" s="208"/>
      <c r="W584" s="232"/>
      <c r="X584" s="232"/>
      <c r="Y584" s="232"/>
      <c r="Z584" s="232"/>
      <c r="AA584" s="232"/>
      <c r="AB584" s="232"/>
      <c r="AC584" s="232"/>
      <c r="AD584" s="232"/>
      <c r="AE584" s="232"/>
      <c r="AF584" s="232"/>
      <c r="AG584" s="208"/>
      <c r="AH584" s="208"/>
      <c r="AI584" s="208"/>
      <c r="AJ584" s="208"/>
      <c r="AK584" s="208"/>
    </row>
    <row r="585">
      <c r="A585" s="234"/>
      <c r="B585" s="208"/>
      <c r="C585" s="208"/>
      <c r="D585" s="208"/>
      <c r="E585" s="208"/>
      <c r="F585" s="208"/>
      <c r="G585" s="208"/>
      <c r="H585" s="208"/>
      <c r="I585" s="233"/>
      <c r="J585" s="208"/>
      <c r="K585" s="208"/>
      <c r="L585" s="208"/>
      <c r="M585" s="208"/>
      <c r="N585" s="208"/>
      <c r="O585" s="208"/>
      <c r="P585" s="208"/>
      <c r="Q585" s="208"/>
      <c r="R585" s="208"/>
      <c r="S585" s="208"/>
      <c r="T585" s="208"/>
      <c r="U585" s="208"/>
      <c r="V585" s="208"/>
      <c r="W585" s="232"/>
      <c r="X585" s="232"/>
      <c r="Y585" s="232"/>
      <c r="Z585" s="232"/>
      <c r="AA585" s="232"/>
      <c r="AB585" s="232"/>
      <c r="AC585" s="232"/>
      <c r="AD585" s="232"/>
      <c r="AE585" s="232"/>
      <c r="AF585" s="232"/>
      <c r="AG585" s="208"/>
      <c r="AH585" s="208"/>
      <c r="AI585" s="208"/>
      <c r="AJ585" s="208"/>
      <c r="AK585" s="208"/>
    </row>
    <row r="586">
      <c r="A586" s="234"/>
      <c r="B586" s="208"/>
      <c r="C586" s="208"/>
      <c r="D586" s="208"/>
      <c r="E586" s="208"/>
      <c r="F586" s="208"/>
      <c r="G586" s="208"/>
      <c r="H586" s="208"/>
      <c r="I586" s="233"/>
      <c r="J586" s="208"/>
      <c r="K586" s="208"/>
      <c r="L586" s="208"/>
      <c r="M586" s="208"/>
      <c r="N586" s="208"/>
      <c r="O586" s="208"/>
      <c r="P586" s="208"/>
      <c r="Q586" s="208"/>
      <c r="R586" s="208"/>
      <c r="S586" s="208"/>
      <c r="T586" s="208"/>
      <c r="U586" s="208"/>
      <c r="V586" s="208"/>
      <c r="W586" s="232"/>
      <c r="X586" s="232"/>
      <c r="Y586" s="232"/>
      <c r="Z586" s="232"/>
      <c r="AA586" s="232"/>
      <c r="AB586" s="232"/>
      <c r="AC586" s="232"/>
      <c r="AD586" s="232"/>
      <c r="AE586" s="232"/>
      <c r="AF586" s="232"/>
      <c r="AG586" s="208"/>
      <c r="AH586" s="208"/>
      <c r="AI586" s="208"/>
      <c r="AJ586" s="208"/>
      <c r="AK586" s="208"/>
    </row>
    <row r="587">
      <c r="A587" s="234"/>
      <c r="B587" s="208"/>
      <c r="C587" s="208"/>
      <c r="D587" s="208"/>
      <c r="E587" s="208"/>
      <c r="F587" s="208"/>
      <c r="G587" s="208"/>
      <c r="H587" s="208"/>
      <c r="I587" s="233"/>
      <c r="J587" s="208"/>
      <c r="K587" s="208"/>
      <c r="L587" s="208"/>
      <c r="M587" s="208"/>
      <c r="N587" s="208"/>
      <c r="O587" s="208"/>
      <c r="P587" s="208"/>
      <c r="Q587" s="208"/>
      <c r="R587" s="208"/>
      <c r="S587" s="208"/>
      <c r="T587" s="208"/>
      <c r="U587" s="208"/>
      <c r="V587" s="208"/>
      <c r="W587" s="232"/>
      <c r="X587" s="232"/>
      <c r="Y587" s="232"/>
      <c r="Z587" s="232"/>
      <c r="AA587" s="232"/>
      <c r="AB587" s="232"/>
      <c r="AC587" s="232"/>
      <c r="AD587" s="232"/>
      <c r="AE587" s="232"/>
      <c r="AF587" s="232"/>
      <c r="AG587" s="208"/>
      <c r="AH587" s="208"/>
      <c r="AI587" s="208"/>
      <c r="AJ587" s="208"/>
      <c r="AK587" s="208"/>
    </row>
    <row r="588">
      <c r="A588" s="234"/>
      <c r="B588" s="208"/>
      <c r="C588" s="208"/>
      <c r="D588" s="208"/>
      <c r="E588" s="208"/>
      <c r="F588" s="208"/>
      <c r="G588" s="208"/>
      <c r="H588" s="208"/>
      <c r="I588" s="233"/>
      <c r="J588" s="208"/>
      <c r="K588" s="208"/>
      <c r="L588" s="208"/>
      <c r="M588" s="208"/>
      <c r="N588" s="208"/>
      <c r="O588" s="208"/>
      <c r="P588" s="208"/>
      <c r="Q588" s="208"/>
      <c r="R588" s="208"/>
      <c r="S588" s="208"/>
      <c r="T588" s="208"/>
      <c r="U588" s="208"/>
      <c r="V588" s="208"/>
      <c r="W588" s="232"/>
      <c r="X588" s="232"/>
      <c r="Y588" s="232"/>
      <c r="Z588" s="232"/>
      <c r="AA588" s="232"/>
      <c r="AB588" s="232"/>
      <c r="AC588" s="232"/>
      <c r="AD588" s="232"/>
      <c r="AE588" s="232"/>
      <c r="AF588" s="232"/>
      <c r="AG588" s="208"/>
      <c r="AH588" s="208"/>
      <c r="AI588" s="208"/>
      <c r="AJ588" s="208"/>
      <c r="AK588" s="208"/>
    </row>
    <row r="589">
      <c r="A589" s="234"/>
      <c r="B589" s="208"/>
      <c r="C589" s="208"/>
      <c r="D589" s="208"/>
      <c r="E589" s="208"/>
      <c r="F589" s="208"/>
      <c r="G589" s="208"/>
      <c r="H589" s="208"/>
      <c r="I589" s="233"/>
      <c r="J589" s="208"/>
      <c r="K589" s="208"/>
      <c r="L589" s="208"/>
      <c r="M589" s="208"/>
      <c r="N589" s="208"/>
      <c r="O589" s="208"/>
      <c r="P589" s="208"/>
      <c r="Q589" s="208"/>
      <c r="R589" s="208"/>
      <c r="S589" s="208"/>
      <c r="T589" s="208"/>
      <c r="U589" s="208"/>
      <c r="V589" s="208"/>
      <c r="W589" s="232"/>
      <c r="X589" s="232"/>
      <c r="Y589" s="232"/>
      <c r="Z589" s="232"/>
      <c r="AA589" s="232"/>
      <c r="AB589" s="232"/>
      <c r="AC589" s="232"/>
      <c r="AD589" s="232"/>
      <c r="AE589" s="232"/>
      <c r="AF589" s="232"/>
      <c r="AG589" s="208"/>
      <c r="AH589" s="208"/>
      <c r="AI589" s="208"/>
      <c r="AJ589" s="208"/>
      <c r="AK589" s="208"/>
    </row>
    <row r="590">
      <c r="A590" s="234"/>
      <c r="B590" s="208"/>
      <c r="C590" s="208"/>
      <c r="D590" s="208"/>
      <c r="E590" s="208"/>
      <c r="F590" s="208"/>
      <c r="G590" s="208"/>
      <c r="H590" s="208"/>
      <c r="I590" s="233"/>
      <c r="J590" s="208"/>
      <c r="K590" s="208"/>
      <c r="L590" s="208"/>
      <c r="M590" s="208"/>
      <c r="N590" s="208"/>
      <c r="O590" s="208"/>
      <c r="P590" s="208"/>
      <c r="Q590" s="208"/>
      <c r="R590" s="208"/>
      <c r="S590" s="208"/>
      <c r="T590" s="208"/>
      <c r="U590" s="208"/>
      <c r="V590" s="208"/>
      <c r="W590" s="232"/>
      <c r="X590" s="232"/>
      <c r="Y590" s="232"/>
      <c r="Z590" s="232"/>
      <c r="AA590" s="232"/>
      <c r="AB590" s="232"/>
      <c r="AC590" s="232"/>
      <c r="AD590" s="232"/>
      <c r="AE590" s="232"/>
      <c r="AF590" s="232"/>
      <c r="AG590" s="208"/>
      <c r="AH590" s="208"/>
      <c r="AI590" s="208"/>
      <c r="AJ590" s="208"/>
      <c r="AK590" s="208"/>
    </row>
    <row r="591">
      <c r="A591" s="234"/>
      <c r="B591" s="208"/>
      <c r="C591" s="208"/>
      <c r="D591" s="208"/>
      <c r="E591" s="208"/>
      <c r="F591" s="208"/>
      <c r="G591" s="208"/>
      <c r="H591" s="208"/>
      <c r="I591" s="233"/>
      <c r="J591" s="208"/>
      <c r="K591" s="208"/>
      <c r="L591" s="208"/>
      <c r="M591" s="208"/>
      <c r="N591" s="208"/>
      <c r="O591" s="208"/>
      <c r="P591" s="208"/>
      <c r="Q591" s="208"/>
      <c r="R591" s="208"/>
      <c r="S591" s="208"/>
      <c r="T591" s="208"/>
      <c r="U591" s="208"/>
      <c r="V591" s="208"/>
      <c r="W591" s="232"/>
      <c r="X591" s="232"/>
      <c r="Y591" s="232"/>
      <c r="Z591" s="232"/>
      <c r="AA591" s="232"/>
      <c r="AB591" s="232"/>
      <c r="AC591" s="232"/>
      <c r="AD591" s="232"/>
      <c r="AE591" s="232"/>
      <c r="AF591" s="232"/>
      <c r="AG591" s="208"/>
      <c r="AH591" s="208"/>
      <c r="AI591" s="208"/>
      <c r="AJ591" s="208"/>
      <c r="AK591" s="208"/>
    </row>
    <row r="592">
      <c r="A592" s="234"/>
      <c r="B592" s="208"/>
      <c r="C592" s="208"/>
      <c r="D592" s="208"/>
      <c r="E592" s="208"/>
      <c r="F592" s="208"/>
      <c r="G592" s="208"/>
      <c r="H592" s="208"/>
      <c r="I592" s="233"/>
      <c r="J592" s="208"/>
      <c r="K592" s="208"/>
      <c r="L592" s="208"/>
      <c r="M592" s="208"/>
      <c r="N592" s="208"/>
      <c r="O592" s="208"/>
      <c r="P592" s="208"/>
      <c r="Q592" s="208"/>
      <c r="R592" s="208"/>
      <c r="S592" s="208"/>
      <c r="T592" s="208"/>
      <c r="U592" s="208"/>
      <c r="V592" s="208"/>
      <c r="W592" s="232"/>
      <c r="X592" s="232"/>
      <c r="Y592" s="232"/>
      <c r="Z592" s="232"/>
      <c r="AA592" s="232"/>
      <c r="AB592" s="232"/>
      <c r="AC592" s="232"/>
      <c r="AD592" s="232"/>
      <c r="AE592" s="232"/>
      <c r="AF592" s="232"/>
      <c r="AG592" s="208"/>
      <c r="AH592" s="208"/>
      <c r="AI592" s="208"/>
      <c r="AJ592" s="208"/>
      <c r="AK592" s="208"/>
    </row>
    <row r="593">
      <c r="A593" s="234"/>
      <c r="B593" s="208"/>
      <c r="C593" s="208"/>
      <c r="D593" s="208"/>
      <c r="E593" s="208"/>
      <c r="F593" s="208"/>
      <c r="G593" s="208"/>
      <c r="H593" s="208"/>
      <c r="I593" s="233"/>
      <c r="J593" s="208"/>
      <c r="K593" s="208"/>
      <c r="L593" s="208"/>
      <c r="M593" s="208"/>
      <c r="N593" s="208"/>
      <c r="O593" s="208"/>
      <c r="P593" s="208"/>
      <c r="Q593" s="208"/>
      <c r="R593" s="208"/>
      <c r="S593" s="208"/>
      <c r="T593" s="208"/>
      <c r="U593" s="208"/>
      <c r="V593" s="208"/>
      <c r="W593" s="232"/>
      <c r="X593" s="232"/>
      <c r="Y593" s="232"/>
      <c r="Z593" s="232"/>
      <c r="AA593" s="232"/>
      <c r="AB593" s="232"/>
      <c r="AC593" s="232"/>
      <c r="AD593" s="232"/>
      <c r="AE593" s="232"/>
      <c r="AF593" s="232"/>
      <c r="AG593" s="208"/>
      <c r="AH593" s="208"/>
      <c r="AI593" s="208"/>
      <c r="AJ593" s="208"/>
      <c r="AK593" s="208"/>
    </row>
    <row r="594">
      <c r="A594" s="234"/>
      <c r="B594" s="208"/>
      <c r="C594" s="208"/>
      <c r="D594" s="208"/>
      <c r="E594" s="208"/>
      <c r="F594" s="208"/>
      <c r="G594" s="208"/>
      <c r="H594" s="208"/>
      <c r="I594" s="233"/>
      <c r="J594" s="208"/>
      <c r="K594" s="208"/>
      <c r="L594" s="208"/>
      <c r="M594" s="208"/>
      <c r="N594" s="208"/>
      <c r="O594" s="208"/>
      <c r="P594" s="208"/>
      <c r="Q594" s="208"/>
      <c r="R594" s="208"/>
      <c r="S594" s="208"/>
      <c r="T594" s="208"/>
      <c r="U594" s="208"/>
      <c r="V594" s="208"/>
      <c r="W594" s="232"/>
      <c r="X594" s="232"/>
      <c r="Y594" s="232"/>
      <c r="Z594" s="232"/>
      <c r="AA594" s="232"/>
      <c r="AB594" s="232"/>
      <c r="AC594" s="232"/>
      <c r="AD594" s="232"/>
      <c r="AE594" s="232"/>
      <c r="AF594" s="232"/>
      <c r="AG594" s="208"/>
      <c r="AH594" s="208"/>
      <c r="AI594" s="208"/>
      <c r="AJ594" s="208"/>
      <c r="AK594" s="208"/>
    </row>
    <row r="595">
      <c r="A595" s="234"/>
      <c r="B595" s="208"/>
      <c r="C595" s="208"/>
      <c r="D595" s="208"/>
      <c r="E595" s="208"/>
      <c r="F595" s="208"/>
      <c r="G595" s="208"/>
      <c r="H595" s="208"/>
      <c r="I595" s="233"/>
      <c r="J595" s="208"/>
      <c r="K595" s="208"/>
      <c r="L595" s="208"/>
      <c r="M595" s="208"/>
      <c r="N595" s="208"/>
      <c r="O595" s="208"/>
      <c r="P595" s="208"/>
      <c r="Q595" s="208"/>
      <c r="R595" s="208"/>
      <c r="S595" s="208"/>
      <c r="T595" s="208"/>
      <c r="U595" s="208"/>
      <c r="V595" s="208"/>
      <c r="W595" s="232"/>
      <c r="X595" s="232"/>
      <c r="Y595" s="232"/>
      <c r="Z595" s="232"/>
      <c r="AA595" s="232"/>
      <c r="AB595" s="232"/>
      <c r="AC595" s="232"/>
      <c r="AD595" s="232"/>
      <c r="AE595" s="232"/>
      <c r="AF595" s="232"/>
      <c r="AG595" s="208"/>
      <c r="AH595" s="208"/>
      <c r="AI595" s="208"/>
      <c r="AJ595" s="208"/>
      <c r="AK595" s="208"/>
    </row>
    <row r="596">
      <c r="A596" s="234"/>
      <c r="B596" s="208"/>
      <c r="C596" s="208"/>
      <c r="D596" s="208"/>
      <c r="E596" s="208"/>
      <c r="F596" s="208"/>
      <c r="G596" s="208"/>
      <c r="H596" s="208"/>
      <c r="I596" s="233"/>
      <c r="J596" s="208"/>
      <c r="K596" s="208"/>
      <c r="L596" s="208"/>
      <c r="M596" s="208"/>
      <c r="N596" s="208"/>
      <c r="O596" s="208"/>
      <c r="P596" s="208"/>
      <c r="Q596" s="208"/>
      <c r="R596" s="208"/>
      <c r="S596" s="208"/>
      <c r="T596" s="208"/>
      <c r="U596" s="208"/>
      <c r="V596" s="208"/>
      <c r="W596" s="232"/>
      <c r="X596" s="232"/>
      <c r="Y596" s="232"/>
      <c r="Z596" s="232"/>
      <c r="AA596" s="232"/>
      <c r="AB596" s="232"/>
      <c r="AC596" s="232"/>
      <c r="AD596" s="232"/>
      <c r="AE596" s="232"/>
      <c r="AF596" s="232"/>
      <c r="AG596" s="208"/>
      <c r="AH596" s="208"/>
      <c r="AI596" s="208"/>
      <c r="AJ596" s="208"/>
      <c r="AK596" s="208"/>
    </row>
    <row r="597">
      <c r="A597" s="234"/>
      <c r="B597" s="208"/>
      <c r="C597" s="208"/>
      <c r="D597" s="208"/>
      <c r="E597" s="208"/>
      <c r="F597" s="208"/>
      <c r="G597" s="208"/>
      <c r="H597" s="208"/>
      <c r="I597" s="233"/>
      <c r="J597" s="208"/>
      <c r="K597" s="208"/>
      <c r="L597" s="208"/>
      <c r="M597" s="208"/>
      <c r="N597" s="208"/>
      <c r="O597" s="208"/>
      <c r="P597" s="208"/>
      <c r="Q597" s="208"/>
      <c r="R597" s="208"/>
      <c r="S597" s="208"/>
      <c r="T597" s="208"/>
      <c r="U597" s="208"/>
      <c r="V597" s="208"/>
      <c r="W597" s="232"/>
      <c r="X597" s="232"/>
      <c r="Y597" s="232"/>
      <c r="Z597" s="232"/>
      <c r="AA597" s="232"/>
      <c r="AB597" s="232"/>
      <c r="AC597" s="232"/>
      <c r="AD597" s="232"/>
      <c r="AE597" s="232"/>
      <c r="AF597" s="232"/>
      <c r="AG597" s="208"/>
      <c r="AH597" s="208"/>
      <c r="AI597" s="208"/>
      <c r="AJ597" s="208"/>
      <c r="AK597" s="208"/>
    </row>
    <row r="598">
      <c r="A598" s="234"/>
      <c r="B598" s="208"/>
      <c r="C598" s="208"/>
      <c r="D598" s="208"/>
      <c r="E598" s="208"/>
      <c r="F598" s="208"/>
      <c r="G598" s="208"/>
      <c r="H598" s="208"/>
      <c r="I598" s="233"/>
      <c r="J598" s="208"/>
      <c r="K598" s="208"/>
      <c r="L598" s="208"/>
      <c r="M598" s="208"/>
      <c r="N598" s="208"/>
      <c r="O598" s="208"/>
      <c r="P598" s="208"/>
      <c r="Q598" s="208"/>
      <c r="R598" s="208"/>
      <c r="S598" s="208"/>
      <c r="T598" s="208"/>
      <c r="U598" s="208"/>
      <c r="V598" s="208"/>
      <c r="W598" s="232"/>
      <c r="X598" s="232"/>
      <c r="Y598" s="232"/>
      <c r="Z598" s="232"/>
      <c r="AA598" s="232"/>
      <c r="AB598" s="232"/>
      <c r="AC598" s="232"/>
      <c r="AD598" s="232"/>
      <c r="AE598" s="232"/>
      <c r="AF598" s="232"/>
      <c r="AG598" s="208"/>
      <c r="AH598" s="208"/>
      <c r="AI598" s="208"/>
      <c r="AJ598" s="208"/>
      <c r="AK598" s="208"/>
    </row>
    <row r="599">
      <c r="A599" s="234"/>
      <c r="B599" s="208"/>
      <c r="C599" s="208"/>
      <c r="D599" s="208"/>
      <c r="E599" s="208"/>
      <c r="F599" s="208"/>
      <c r="G599" s="208"/>
      <c r="H599" s="208"/>
      <c r="I599" s="233"/>
      <c r="J599" s="208"/>
      <c r="K599" s="208"/>
      <c r="L599" s="208"/>
      <c r="M599" s="208"/>
      <c r="N599" s="208"/>
      <c r="O599" s="208"/>
      <c r="P599" s="208"/>
      <c r="Q599" s="208"/>
      <c r="R599" s="208"/>
      <c r="S599" s="208"/>
      <c r="T599" s="208"/>
      <c r="U599" s="208"/>
      <c r="V599" s="208"/>
      <c r="W599" s="232"/>
      <c r="X599" s="232"/>
      <c r="Y599" s="232"/>
      <c r="Z599" s="232"/>
      <c r="AA599" s="232"/>
      <c r="AB599" s="232"/>
      <c r="AC599" s="232"/>
      <c r="AD599" s="232"/>
      <c r="AE599" s="232"/>
      <c r="AF599" s="232"/>
      <c r="AG599" s="208"/>
      <c r="AH599" s="208"/>
      <c r="AI599" s="208"/>
      <c r="AJ599" s="208"/>
      <c r="AK599" s="208"/>
    </row>
    <row r="600">
      <c r="A600" s="234"/>
      <c r="B600" s="208"/>
      <c r="C600" s="208"/>
      <c r="D600" s="208"/>
      <c r="E600" s="208"/>
      <c r="F600" s="208"/>
      <c r="G600" s="208"/>
      <c r="H600" s="208"/>
      <c r="I600" s="233"/>
      <c r="J600" s="208"/>
      <c r="K600" s="208"/>
      <c r="L600" s="208"/>
      <c r="M600" s="208"/>
      <c r="N600" s="208"/>
      <c r="O600" s="208"/>
      <c r="P600" s="208"/>
      <c r="Q600" s="208"/>
      <c r="R600" s="208"/>
      <c r="S600" s="208"/>
      <c r="T600" s="208"/>
      <c r="U600" s="208"/>
      <c r="V600" s="208"/>
      <c r="W600" s="232"/>
      <c r="X600" s="232"/>
      <c r="Y600" s="232"/>
      <c r="Z600" s="232"/>
      <c r="AA600" s="232"/>
      <c r="AB600" s="232"/>
      <c r="AC600" s="232"/>
      <c r="AD600" s="232"/>
      <c r="AE600" s="232"/>
      <c r="AF600" s="232"/>
      <c r="AG600" s="208"/>
      <c r="AH600" s="208"/>
      <c r="AI600" s="208"/>
      <c r="AJ600" s="208"/>
      <c r="AK600" s="208"/>
    </row>
    <row r="601">
      <c r="A601" s="234"/>
      <c r="B601" s="208"/>
      <c r="C601" s="208"/>
      <c r="D601" s="208"/>
      <c r="E601" s="208"/>
      <c r="F601" s="208"/>
      <c r="G601" s="208"/>
      <c r="H601" s="208"/>
      <c r="I601" s="233"/>
      <c r="J601" s="208"/>
      <c r="K601" s="208"/>
      <c r="L601" s="208"/>
      <c r="M601" s="208"/>
      <c r="N601" s="208"/>
      <c r="O601" s="208"/>
      <c r="P601" s="208"/>
      <c r="Q601" s="208"/>
      <c r="R601" s="208"/>
      <c r="S601" s="208"/>
      <c r="T601" s="208"/>
      <c r="U601" s="208"/>
      <c r="V601" s="208"/>
      <c r="W601" s="232"/>
      <c r="X601" s="232"/>
      <c r="Y601" s="232"/>
      <c r="Z601" s="232"/>
      <c r="AA601" s="232"/>
      <c r="AB601" s="232"/>
      <c r="AC601" s="232"/>
      <c r="AD601" s="232"/>
      <c r="AE601" s="232"/>
      <c r="AF601" s="232"/>
      <c r="AG601" s="208"/>
      <c r="AH601" s="208"/>
      <c r="AI601" s="208"/>
      <c r="AJ601" s="208"/>
      <c r="AK601" s="208"/>
    </row>
    <row r="602">
      <c r="A602" s="234"/>
      <c r="B602" s="208"/>
      <c r="C602" s="208"/>
      <c r="D602" s="208"/>
      <c r="E602" s="208"/>
      <c r="F602" s="208"/>
      <c r="G602" s="208"/>
      <c r="H602" s="208"/>
      <c r="I602" s="233"/>
      <c r="J602" s="208"/>
      <c r="K602" s="208"/>
      <c r="L602" s="208"/>
      <c r="M602" s="208"/>
      <c r="N602" s="208"/>
      <c r="O602" s="208"/>
      <c r="P602" s="208"/>
      <c r="Q602" s="208"/>
      <c r="R602" s="208"/>
      <c r="S602" s="208"/>
      <c r="T602" s="208"/>
      <c r="U602" s="208"/>
      <c r="V602" s="208"/>
      <c r="W602" s="232"/>
      <c r="X602" s="232"/>
      <c r="Y602" s="232"/>
      <c r="Z602" s="232"/>
      <c r="AA602" s="232"/>
      <c r="AB602" s="232"/>
      <c r="AC602" s="232"/>
      <c r="AD602" s="232"/>
      <c r="AE602" s="232"/>
      <c r="AF602" s="232"/>
      <c r="AG602" s="208"/>
      <c r="AH602" s="208"/>
      <c r="AI602" s="208"/>
      <c r="AJ602" s="208"/>
      <c r="AK602" s="208"/>
    </row>
    <row r="603">
      <c r="A603" s="234"/>
      <c r="B603" s="208"/>
      <c r="C603" s="208"/>
      <c r="D603" s="208"/>
      <c r="E603" s="208"/>
      <c r="F603" s="208"/>
      <c r="G603" s="208"/>
      <c r="H603" s="208"/>
      <c r="I603" s="233"/>
      <c r="J603" s="208"/>
      <c r="K603" s="208"/>
      <c r="L603" s="208"/>
      <c r="M603" s="208"/>
      <c r="N603" s="208"/>
      <c r="O603" s="208"/>
      <c r="P603" s="208"/>
      <c r="Q603" s="208"/>
      <c r="R603" s="208"/>
      <c r="S603" s="208"/>
      <c r="T603" s="208"/>
      <c r="U603" s="208"/>
      <c r="V603" s="208"/>
      <c r="W603" s="232"/>
      <c r="X603" s="232"/>
      <c r="Y603" s="232"/>
      <c r="Z603" s="232"/>
      <c r="AA603" s="232"/>
      <c r="AB603" s="232"/>
      <c r="AC603" s="232"/>
      <c r="AD603" s="232"/>
      <c r="AE603" s="232"/>
      <c r="AF603" s="232"/>
      <c r="AG603" s="208"/>
      <c r="AH603" s="208"/>
      <c r="AI603" s="208"/>
      <c r="AJ603" s="208"/>
      <c r="AK603" s="208"/>
    </row>
    <row r="604">
      <c r="A604" s="234"/>
      <c r="B604" s="208"/>
      <c r="C604" s="208"/>
      <c r="D604" s="208"/>
      <c r="E604" s="208"/>
      <c r="F604" s="208"/>
      <c r="G604" s="208"/>
      <c r="H604" s="208"/>
      <c r="I604" s="233"/>
      <c r="J604" s="208"/>
      <c r="K604" s="208"/>
      <c r="L604" s="208"/>
      <c r="M604" s="208"/>
      <c r="N604" s="208"/>
      <c r="O604" s="208"/>
      <c r="P604" s="208"/>
      <c r="Q604" s="208"/>
      <c r="R604" s="208"/>
      <c r="S604" s="208"/>
      <c r="T604" s="208"/>
      <c r="U604" s="208"/>
      <c r="V604" s="208"/>
      <c r="W604" s="232"/>
      <c r="X604" s="232"/>
      <c r="Y604" s="232"/>
      <c r="Z604" s="232"/>
      <c r="AA604" s="232"/>
      <c r="AB604" s="232"/>
      <c r="AC604" s="232"/>
      <c r="AD604" s="232"/>
      <c r="AE604" s="232"/>
      <c r="AF604" s="232"/>
      <c r="AG604" s="208"/>
      <c r="AH604" s="208"/>
      <c r="AI604" s="208"/>
      <c r="AJ604" s="208"/>
      <c r="AK604" s="208"/>
    </row>
    <row r="605">
      <c r="A605" s="234"/>
      <c r="B605" s="208"/>
      <c r="C605" s="208"/>
      <c r="D605" s="208"/>
      <c r="E605" s="208"/>
      <c r="F605" s="208"/>
      <c r="G605" s="208"/>
      <c r="H605" s="208"/>
      <c r="I605" s="233"/>
      <c r="J605" s="208"/>
      <c r="K605" s="208"/>
      <c r="L605" s="208"/>
      <c r="M605" s="208"/>
      <c r="N605" s="208"/>
      <c r="O605" s="208"/>
      <c r="P605" s="208"/>
      <c r="Q605" s="208"/>
      <c r="R605" s="208"/>
      <c r="S605" s="208"/>
      <c r="T605" s="208"/>
      <c r="U605" s="208"/>
      <c r="V605" s="208"/>
      <c r="W605" s="232"/>
      <c r="X605" s="232"/>
      <c r="Y605" s="232"/>
      <c r="Z605" s="232"/>
      <c r="AA605" s="232"/>
      <c r="AB605" s="232"/>
      <c r="AC605" s="232"/>
      <c r="AD605" s="232"/>
      <c r="AE605" s="232"/>
      <c r="AF605" s="232"/>
      <c r="AG605" s="208"/>
      <c r="AH605" s="208"/>
      <c r="AI605" s="208"/>
      <c r="AJ605" s="208"/>
      <c r="AK605" s="208"/>
    </row>
    <row r="606">
      <c r="A606" s="234"/>
      <c r="B606" s="208"/>
      <c r="C606" s="208"/>
      <c r="D606" s="208"/>
      <c r="E606" s="208"/>
      <c r="F606" s="208"/>
      <c r="G606" s="208"/>
      <c r="H606" s="208"/>
      <c r="I606" s="233"/>
      <c r="J606" s="208"/>
      <c r="K606" s="208"/>
      <c r="L606" s="208"/>
      <c r="M606" s="208"/>
      <c r="N606" s="208"/>
      <c r="O606" s="208"/>
      <c r="P606" s="208"/>
      <c r="Q606" s="208"/>
      <c r="R606" s="208"/>
      <c r="S606" s="208"/>
      <c r="T606" s="208"/>
      <c r="U606" s="208"/>
      <c r="V606" s="208"/>
      <c r="W606" s="232"/>
      <c r="X606" s="232"/>
      <c r="Y606" s="232"/>
      <c r="Z606" s="232"/>
      <c r="AA606" s="232"/>
      <c r="AB606" s="232"/>
      <c r="AC606" s="232"/>
      <c r="AD606" s="232"/>
      <c r="AE606" s="232"/>
      <c r="AF606" s="232"/>
      <c r="AG606" s="208"/>
      <c r="AH606" s="208"/>
      <c r="AI606" s="208"/>
      <c r="AJ606" s="208"/>
      <c r="AK606" s="208"/>
    </row>
    <row r="607">
      <c r="A607" s="234"/>
      <c r="B607" s="208"/>
      <c r="C607" s="208"/>
      <c r="D607" s="208"/>
      <c r="E607" s="208"/>
      <c r="F607" s="208"/>
      <c r="G607" s="208"/>
      <c r="H607" s="208"/>
      <c r="I607" s="233"/>
      <c r="J607" s="208"/>
      <c r="K607" s="208"/>
      <c r="L607" s="208"/>
      <c r="M607" s="208"/>
      <c r="N607" s="208"/>
      <c r="O607" s="208"/>
      <c r="P607" s="208"/>
      <c r="Q607" s="208"/>
      <c r="R607" s="208"/>
      <c r="S607" s="208"/>
      <c r="T607" s="208"/>
      <c r="U607" s="208"/>
      <c r="V607" s="208"/>
      <c r="W607" s="232"/>
      <c r="X607" s="232"/>
      <c r="Y607" s="232"/>
      <c r="Z607" s="232"/>
      <c r="AA607" s="232"/>
      <c r="AB607" s="232"/>
      <c r="AC607" s="232"/>
      <c r="AD607" s="232"/>
      <c r="AE607" s="232"/>
      <c r="AF607" s="232"/>
      <c r="AG607" s="208"/>
      <c r="AH607" s="208"/>
      <c r="AI607" s="208"/>
      <c r="AJ607" s="208"/>
      <c r="AK607" s="208"/>
    </row>
    <row r="608">
      <c r="A608" s="234"/>
      <c r="B608" s="208"/>
      <c r="C608" s="208"/>
      <c r="D608" s="208"/>
      <c r="E608" s="208"/>
      <c r="F608" s="208"/>
      <c r="G608" s="208"/>
      <c r="H608" s="208"/>
      <c r="I608" s="233"/>
      <c r="J608" s="208"/>
      <c r="K608" s="208"/>
      <c r="L608" s="208"/>
      <c r="M608" s="208"/>
      <c r="N608" s="208"/>
      <c r="O608" s="208"/>
      <c r="P608" s="208"/>
      <c r="Q608" s="208"/>
      <c r="R608" s="208"/>
      <c r="S608" s="208"/>
      <c r="T608" s="208"/>
      <c r="U608" s="208"/>
      <c r="V608" s="208"/>
      <c r="W608" s="232"/>
      <c r="X608" s="232"/>
      <c r="Y608" s="232"/>
      <c r="Z608" s="232"/>
      <c r="AA608" s="232"/>
      <c r="AB608" s="232"/>
      <c r="AC608" s="232"/>
      <c r="AD608" s="232"/>
      <c r="AE608" s="232"/>
      <c r="AF608" s="232"/>
      <c r="AG608" s="208"/>
      <c r="AH608" s="208"/>
      <c r="AI608" s="208"/>
      <c r="AJ608" s="208"/>
      <c r="AK608" s="208"/>
    </row>
    <row r="609">
      <c r="A609" s="234"/>
      <c r="B609" s="208"/>
      <c r="C609" s="208"/>
      <c r="D609" s="208"/>
      <c r="E609" s="208"/>
      <c r="F609" s="208"/>
      <c r="G609" s="208"/>
      <c r="H609" s="208"/>
      <c r="I609" s="233"/>
      <c r="J609" s="208"/>
      <c r="K609" s="208"/>
      <c r="L609" s="208"/>
      <c r="M609" s="208"/>
      <c r="N609" s="208"/>
      <c r="O609" s="208"/>
      <c r="P609" s="208"/>
      <c r="Q609" s="208"/>
      <c r="R609" s="208"/>
      <c r="S609" s="208"/>
      <c r="T609" s="208"/>
      <c r="U609" s="208"/>
      <c r="V609" s="208"/>
      <c r="W609" s="232"/>
      <c r="X609" s="232"/>
      <c r="Y609" s="232"/>
      <c r="Z609" s="232"/>
      <c r="AA609" s="232"/>
      <c r="AB609" s="232"/>
      <c r="AC609" s="232"/>
      <c r="AD609" s="232"/>
      <c r="AE609" s="232"/>
      <c r="AF609" s="232"/>
      <c r="AG609" s="208"/>
      <c r="AH609" s="208"/>
      <c r="AI609" s="208"/>
      <c r="AJ609" s="208"/>
      <c r="AK609" s="208"/>
    </row>
    <row r="610">
      <c r="A610" s="234"/>
      <c r="B610" s="208"/>
      <c r="C610" s="208"/>
      <c r="D610" s="208"/>
      <c r="E610" s="208"/>
      <c r="F610" s="208"/>
      <c r="G610" s="208"/>
      <c r="H610" s="208"/>
      <c r="I610" s="233"/>
      <c r="J610" s="208"/>
      <c r="K610" s="208"/>
      <c r="L610" s="208"/>
      <c r="M610" s="208"/>
      <c r="N610" s="208"/>
      <c r="O610" s="208"/>
      <c r="P610" s="208"/>
      <c r="Q610" s="208"/>
      <c r="R610" s="208"/>
      <c r="S610" s="208"/>
      <c r="T610" s="208"/>
      <c r="U610" s="208"/>
      <c r="V610" s="208"/>
      <c r="W610" s="232"/>
      <c r="X610" s="232"/>
      <c r="Y610" s="232"/>
      <c r="Z610" s="232"/>
      <c r="AA610" s="232"/>
      <c r="AB610" s="232"/>
      <c r="AC610" s="232"/>
      <c r="AD610" s="232"/>
      <c r="AE610" s="232"/>
      <c r="AF610" s="232"/>
      <c r="AG610" s="208"/>
      <c r="AH610" s="208"/>
      <c r="AI610" s="208"/>
      <c r="AJ610" s="208"/>
      <c r="AK610" s="208"/>
    </row>
    <row r="611">
      <c r="A611" s="234"/>
      <c r="B611" s="208"/>
      <c r="C611" s="208"/>
      <c r="D611" s="208"/>
      <c r="E611" s="208"/>
      <c r="F611" s="208"/>
      <c r="G611" s="208"/>
      <c r="H611" s="208"/>
      <c r="I611" s="233"/>
      <c r="J611" s="208"/>
      <c r="K611" s="208"/>
      <c r="L611" s="208"/>
      <c r="M611" s="208"/>
      <c r="N611" s="208"/>
      <c r="O611" s="208"/>
      <c r="P611" s="208"/>
      <c r="Q611" s="208"/>
      <c r="R611" s="208"/>
      <c r="S611" s="208"/>
      <c r="T611" s="208"/>
      <c r="U611" s="208"/>
      <c r="V611" s="208"/>
      <c r="W611" s="232"/>
      <c r="X611" s="232"/>
      <c r="Y611" s="232"/>
      <c r="Z611" s="232"/>
      <c r="AA611" s="232"/>
      <c r="AB611" s="232"/>
      <c r="AC611" s="232"/>
      <c r="AD611" s="232"/>
      <c r="AE611" s="232"/>
      <c r="AF611" s="232"/>
      <c r="AG611" s="208"/>
      <c r="AH611" s="208"/>
      <c r="AI611" s="208"/>
      <c r="AJ611" s="208"/>
      <c r="AK611" s="208"/>
    </row>
    <row r="612">
      <c r="A612" s="234"/>
      <c r="B612" s="208"/>
      <c r="C612" s="208"/>
      <c r="D612" s="208"/>
      <c r="E612" s="208"/>
      <c r="F612" s="208"/>
      <c r="G612" s="208"/>
      <c r="H612" s="208"/>
      <c r="I612" s="233"/>
      <c r="J612" s="208"/>
      <c r="K612" s="208"/>
      <c r="L612" s="208"/>
      <c r="M612" s="208"/>
      <c r="N612" s="208"/>
      <c r="O612" s="208"/>
      <c r="P612" s="208"/>
      <c r="Q612" s="208"/>
      <c r="R612" s="208"/>
      <c r="S612" s="208"/>
      <c r="T612" s="208"/>
      <c r="U612" s="208"/>
      <c r="V612" s="208"/>
      <c r="W612" s="232"/>
      <c r="X612" s="232"/>
      <c r="Y612" s="232"/>
      <c r="Z612" s="232"/>
      <c r="AA612" s="232"/>
      <c r="AB612" s="232"/>
      <c r="AC612" s="232"/>
      <c r="AD612" s="232"/>
      <c r="AE612" s="232"/>
      <c r="AF612" s="232"/>
      <c r="AG612" s="208"/>
      <c r="AH612" s="208"/>
      <c r="AI612" s="208"/>
      <c r="AJ612" s="208"/>
      <c r="AK612" s="208"/>
    </row>
    <row r="613">
      <c r="A613" s="234"/>
      <c r="B613" s="208"/>
      <c r="C613" s="208"/>
      <c r="D613" s="208"/>
      <c r="E613" s="208"/>
      <c r="F613" s="208"/>
      <c r="G613" s="208"/>
      <c r="H613" s="208"/>
      <c r="I613" s="233"/>
      <c r="J613" s="208"/>
      <c r="K613" s="208"/>
      <c r="L613" s="208"/>
      <c r="M613" s="208"/>
      <c r="N613" s="208"/>
      <c r="O613" s="208"/>
      <c r="P613" s="208"/>
      <c r="Q613" s="208"/>
      <c r="R613" s="208"/>
      <c r="S613" s="208"/>
      <c r="T613" s="208"/>
      <c r="U613" s="208"/>
      <c r="V613" s="208"/>
      <c r="W613" s="232"/>
      <c r="X613" s="232"/>
      <c r="Y613" s="232"/>
      <c r="Z613" s="232"/>
      <c r="AA613" s="232"/>
      <c r="AB613" s="232"/>
      <c r="AC613" s="232"/>
      <c r="AD613" s="232"/>
      <c r="AE613" s="232"/>
      <c r="AF613" s="232"/>
      <c r="AG613" s="208"/>
      <c r="AH613" s="208"/>
      <c r="AI613" s="208"/>
      <c r="AJ613" s="208"/>
      <c r="AK613" s="208"/>
    </row>
    <row r="614">
      <c r="A614" s="234"/>
      <c r="B614" s="208"/>
      <c r="C614" s="208"/>
      <c r="D614" s="208"/>
      <c r="E614" s="208"/>
      <c r="F614" s="208"/>
      <c r="G614" s="208"/>
      <c r="H614" s="208"/>
      <c r="I614" s="233"/>
      <c r="J614" s="208"/>
      <c r="K614" s="208"/>
      <c r="L614" s="208"/>
      <c r="M614" s="208"/>
      <c r="N614" s="208"/>
      <c r="O614" s="208"/>
      <c r="P614" s="208"/>
      <c r="Q614" s="208"/>
      <c r="R614" s="208"/>
      <c r="S614" s="208"/>
      <c r="T614" s="208"/>
      <c r="U614" s="208"/>
      <c r="V614" s="208"/>
      <c r="W614" s="232"/>
      <c r="X614" s="232"/>
      <c r="Y614" s="232"/>
      <c r="Z614" s="232"/>
      <c r="AA614" s="232"/>
      <c r="AB614" s="232"/>
      <c r="AC614" s="232"/>
      <c r="AD614" s="232"/>
      <c r="AE614" s="232"/>
      <c r="AF614" s="232"/>
      <c r="AG614" s="208"/>
      <c r="AH614" s="208"/>
      <c r="AI614" s="208"/>
      <c r="AJ614" s="208"/>
      <c r="AK614" s="208"/>
    </row>
    <row r="615">
      <c r="A615" s="234"/>
      <c r="B615" s="208"/>
      <c r="C615" s="208"/>
      <c r="D615" s="208"/>
      <c r="E615" s="208"/>
      <c r="F615" s="208"/>
      <c r="G615" s="208"/>
      <c r="H615" s="208"/>
      <c r="I615" s="233"/>
      <c r="J615" s="208"/>
      <c r="K615" s="208"/>
      <c r="L615" s="208"/>
      <c r="M615" s="208"/>
      <c r="N615" s="208"/>
      <c r="O615" s="208"/>
      <c r="P615" s="208"/>
      <c r="Q615" s="208"/>
      <c r="R615" s="208"/>
      <c r="S615" s="208"/>
      <c r="T615" s="208"/>
      <c r="U615" s="208"/>
      <c r="V615" s="208"/>
      <c r="W615" s="232"/>
      <c r="X615" s="232"/>
      <c r="Y615" s="232"/>
      <c r="Z615" s="232"/>
      <c r="AA615" s="232"/>
      <c r="AB615" s="232"/>
      <c r="AC615" s="232"/>
      <c r="AD615" s="232"/>
      <c r="AE615" s="232"/>
      <c r="AF615" s="232"/>
      <c r="AG615" s="208"/>
      <c r="AH615" s="208"/>
      <c r="AI615" s="208"/>
      <c r="AJ615" s="208"/>
      <c r="AK615" s="208"/>
    </row>
    <row r="616">
      <c r="A616" s="234"/>
      <c r="B616" s="208"/>
      <c r="C616" s="208"/>
      <c r="D616" s="208"/>
      <c r="E616" s="208"/>
      <c r="F616" s="208"/>
      <c r="G616" s="208"/>
      <c r="H616" s="208"/>
      <c r="I616" s="233"/>
      <c r="J616" s="208"/>
      <c r="K616" s="208"/>
      <c r="L616" s="208"/>
      <c r="M616" s="208"/>
      <c r="N616" s="208"/>
      <c r="O616" s="208"/>
      <c r="P616" s="208"/>
      <c r="Q616" s="208"/>
      <c r="R616" s="208"/>
      <c r="S616" s="208"/>
      <c r="T616" s="208"/>
      <c r="U616" s="208"/>
      <c r="V616" s="208"/>
      <c r="W616" s="232"/>
      <c r="X616" s="232"/>
      <c r="Y616" s="232"/>
      <c r="Z616" s="232"/>
      <c r="AA616" s="232"/>
      <c r="AB616" s="232"/>
      <c r="AC616" s="232"/>
      <c r="AD616" s="232"/>
      <c r="AE616" s="232"/>
      <c r="AF616" s="232"/>
      <c r="AG616" s="208"/>
      <c r="AH616" s="208"/>
      <c r="AI616" s="208"/>
      <c r="AJ616" s="208"/>
      <c r="AK616" s="208"/>
    </row>
    <row r="617">
      <c r="A617" s="234"/>
      <c r="B617" s="208"/>
      <c r="C617" s="208"/>
      <c r="D617" s="208"/>
      <c r="E617" s="208"/>
      <c r="F617" s="208"/>
      <c r="G617" s="208"/>
      <c r="H617" s="208"/>
      <c r="I617" s="233"/>
      <c r="J617" s="208"/>
      <c r="K617" s="208"/>
      <c r="L617" s="208"/>
      <c r="M617" s="208"/>
      <c r="N617" s="208"/>
      <c r="O617" s="208"/>
      <c r="P617" s="208"/>
      <c r="Q617" s="208"/>
      <c r="R617" s="208"/>
      <c r="S617" s="208"/>
      <c r="T617" s="208"/>
      <c r="U617" s="208"/>
      <c r="V617" s="208"/>
      <c r="W617" s="232"/>
      <c r="X617" s="232"/>
      <c r="Y617" s="232"/>
      <c r="Z617" s="232"/>
      <c r="AA617" s="232"/>
      <c r="AB617" s="232"/>
      <c r="AC617" s="232"/>
      <c r="AD617" s="232"/>
      <c r="AE617" s="232"/>
      <c r="AF617" s="232"/>
      <c r="AG617" s="208"/>
      <c r="AH617" s="208"/>
      <c r="AI617" s="208"/>
      <c r="AJ617" s="208"/>
      <c r="AK617" s="208"/>
    </row>
    <row r="618">
      <c r="A618" s="234"/>
      <c r="B618" s="208"/>
      <c r="C618" s="208"/>
      <c r="D618" s="208"/>
      <c r="E618" s="208"/>
      <c r="F618" s="208"/>
      <c r="G618" s="208"/>
      <c r="H618" s="208"/>
      <c r="I618" s="233"/>
      <c r="J618" s="208"/>
      <c r="K618" s="208"/>
      <c r="L618" s="208"/>
      <c r="M618" s="208"/>
      <c r="N618" s="208"/>
      <c r="O618" s="208"/>
      <c r="P618" s="208"/>
      <c r="Q618" s="208"/>
      <c r="R618" s="208"/>
      <c r="S618" s="208"/>
      <c r="T618" s="208"/>
      <c r="U618" s="208"/>
      <c r="V618" s="208"/>
      <c r="W618" s="232"/>
      <c r="X618" s="232"/>
      <c r="Y618" s="232"/>
      <c r="Z618" s="232"/>
      <c r="AA618" s="232"/>
      <c r="AB618" s="232"/>
      <c r="AC618" s="232"/>
      <c r="AD618" s="232"/>
      <c r="AE618" s="232"/>
      <c r="AF618" s="232"/>
      <c r="AG618" s="208"/>
      <c r="AH618" s="208"/>
      <c r="AI618" s="208"/>
      <c r="AJ618" s="208"/>
      <c r="AK618" s="208"/>
    </row>
    <row r="619">
      <c r="A619" s="234"/>
      <c r="B619" s="208"/>
      <c r="C619" s="208"/>
      <c r="D619" s="208"/>
      <c r="E619" s="208"/>
      <c r="F619" s="208"/>
      <c r="G619" s="208"/>
      <c r="H619" s="208"/>
      <c r="I619" s="233"/>
      <c r="J619" s="208"/>
      <c r="K619" s="208"/>
      <c r="L619" s="208"/>
      <c r="M619" s="208"/>
      <c r="N619" s="208"/>
      <c r="O619" s="208"/>
      <c r="P619" s="208"/>
      <c r="Q619" s="208"/>
      <c r="R619" s="208"/>
      <c r="S619" s="208"/>
      <c r="T619" s="208"/>
      <c r="U619" s="208"/>
      <c r="V619" s="208"/>
      <c r="W619" s="232"/>
      <c r="X619" s="232"/>
      <c r="Y619" s="232"/>
      <c r="Z619" s="232"/>
      <c r="AA619" s="232"/>
      <c r="AB619" s="232"/>
      <c r="AC619" s="232"/>
      <c r="AD619" s="232"/>
      <c r="AE619" s="232"/>
      <c r="AF619" s="232"/>
      <c r="AG619" s="208"/>
      <c r="AH619" s="208"/>
      <c r="AI619" s="208"/>
      <c r="AJ619" s="208"/>
      <c r="AK619" s="208"/>
    </row>
    <row r="620">
      <c r="A620" s="234"/>
      <c r="B620" s="208"/>
      <c r="C620" s="208"/>
      <c r="D620" s="208"/>
      <c r="E620" s="208"/>
      <c r="F620" s="208"/>
      <c r="G620" s="208"/>
      <c r="H620" s="208"/>
      <c r="I620" s="233"/>
      <c r="J620" s="208"/>
      <c r="K620" s="208"/>
      <c r="L620" s="208"/>
      <c r="M620" s="208"/>
      <c r="N620" s="208"/>
      <c r="O620" s="208"/>
      <c r="P620" s="208"/>
      <c r="Q620" s="208"/>
      <c r="R620" s="208"/>
      <c r="S620" s="208"/>
      <c r="T620" s="208"/>
      <c r="U620" s="208"/>
      <c r="V620" s="208"/>
      <c r="W620" s="232"/>
      <c r="X620" s="232"/>
      <c r="Y620" s="232"/>
      <c r="Z620" s="232"/>
      <c r="AA620" s="232"/>
      <c r="AB620" s="232"/>
      <c r="AC620" s="232"/>
      <c r="AD620" s="232"/>
      <c r="AE620" s="232"/>
      <c r="AF620" s="232"/>
      <c r="AG620" s="208"/>
      <c r="AH620" s="208"/>
      <c r="AI620" s="208"/>
      <c r="AJ620" s="208"/>
      <c r="AK620" s="208"/>
    </row>
    <row r="621">
      <c r="A621" s="234"/>
      <c r="B621" s="208"/>
      <c r="C621" s="208"/>
      <c r="D621" s="208"/>
      <c r="E621" s="208"/>
      <c r="F621" s="208"/>
      <c r="G621" s="208"/>
      <c r="H621" s="208"/>
      <c r="I621" s="233"/>
      <c r="J621" s="208"/>
      <c r="K621" s="208"/>
      <c r="L621" s="208"/>
      <c r="M621" s="208"/>
      <c r="N621" s="208"/>
      <c r="O621" s="208"/>
      <c r="P621" s="208"/>
      <c r="Q621" s="208"/>
      <c r="R621" s="208"/>
      <c r="S621" s="208"/>
      <c r="T621" s="208"/>
      <c r="U621" s="208"/>
      <c r="V621" s="208"/>
      <c r="W621" s="232"/>
      <c r="X621" s="232"/>
      <c r="Y621" s="232"/>
      <c r="Z621" s="232"/>
      <c r="AA621" s="232"/>
      <c r="AB621" s="232"/>
      <c r="AC621" s="232"/>
      <c r="AD621" s="232"/>
      <c r="AE621" s="232"/>
      <c r="AF621" s="232"/>
      <c r="AG621" s="208"/>
      <c r="AH621" s="208"/>
      <c r="AI621" s="208"/>
      <c r="AJ621" s="208"/>
      <c r="AK621" s="208"/>
    </row>
    <row r="622">
      <c r="A622" s="234"/>
      <c r="B622" s="208"/>
      <c r="C622" s="208"/>
      <c r="D622" s="208"/>
      <c r="E622" s="208"/>
      <c r="F622" s="208"/>
      <c r="G622" s="208"/>
      <c r="H622" s="208"/>
      <c r="I622" s="233"/>
      <c r="J622" s="208"/>
      <c r="K622" s="208"/>
      <c r="L622" s="208"/>
      <c r="M622" s="208"/>
      <c r="N622" s="208"/>
      <c r="O622" s="208"/>
      <c r="P622" s="208"/>
      <c r="Q622" s="208"/>
      <c r="R622" s="208"/>
      <c r="S622" s="208"/>
      <c r="T622" s="208"/>
      <c r="U622" s="208"/>
      <c r="V622" s="208"/>
      <c r="W622" s="232"/>
      <c r="X622" s="232"/>
      <c r="Y622" s="232"/>
      <c r="Z622" s="232"/>
      <c r="AA622" s="232"/>
      <c r="AB622" s="232"/>
      <c r="AC622" s="232"/>
      <c r="AD622" s="232"/>
      <c r="AE622" s="232"/>
      <c r="AF622" s="232"/>
      <c r="AG622" s="208"/>
      <c r="AH622" s="208"/>
      <c r="AI622" s="208"/>
      <c r="AJ622" s="208"/>
      <c r="AK622" s="208"/>
    </row>
    <row r="623">
      <c r="A623" s="234"/>
      <c r="B623" s="208"/>
      <c r="C623" s="208"/>
      <c r="D623" s="208"/>
      <c r="E623" s="208"/>
      <c r="F623" s="208"/>
      <c r="G623" s="208"/>
      <c r="H623" s="208"/>
      <c r="I623" s="233"/>
      <c r="J623" s="208"/>
      <c r="K623" s="208"/>
      <c r="L623" s="208"/>
      <c r="M623" s="208"/>
      <c r="N623" s="208"/>
      <c r="O623" s="208"/>
      <c r="P623" s="208"/>
      <c r="Q623" s="208"/>
      <c r="R623" s="208"/>
      <c r="S623" s="208"/>
      <c r="T623" s="208"/>
      <c r="U623" s="208"/>
      <c r="V623" s="208"/>
      <c r="W623" s="232"/>
      <c r="X623" s="232"/>
      <c r="Y623" s="232"/>
      <c r="Z623" s="232"/>
      <c r="AA623" s="232"/>
      <c r="AB623" s="232"/>
      <c r="AC623" s="232"/>
      <c r="AD623" s="232"/>
      <c r="AE623" s="232"/>
      <c r="AF623" s="232"/>
      <c r="AG623" s="208"/>
      <c r="AH623" s="208"/>
      <c r="AI623" s="208"/>
      <c r="AJ623" s="208"/>
      <c r="AK623" s="208"/>
    </row>
    <row r="624">
      <c r="A624" s="234"/>
      <c r="B624" s="208"/>
      <c r="C624" s="208"/>
      <c r="D624" s="208"/>
      <c r="E624" s="208"/>
      <c r="F624" s="208"/>
      <c r="G624" s="208"/>
      <c r="H624" s="208"/>
      <c r="I624" s="233"/>
      <c r="J624" s="208"/>
      <c r="K624" s="208"/>
      <c r="L624" s="208"/>
      <c r="M624" s="208"/>
      <c r="N624" s="208"/>
      <c r="O624" s="208"/>
      <c r="P624" s="208"/>
      <c r="Q624" s="208"/>
      <c r="R624" s="208"/>
      <c r="S624" s="208"/>
      <c r="T624" s="208"/>
      <c r="U624" s="208"/>
      <c r="V624" s="208"/>
      <c r="W624" s="232"/>
      <c r="X624" s="232"/>
      <c r="Y624" s="232"/>
      <c r="Z624" s="232"/>
      <c r="AA624" s="232"/>
      <c r="AB624" s="232"/>
      <c r="AC624" s="232"/>
      <c r="AD624" s="232"/>
      <c r="AE624" s="232"/>
      <c r="AF624" s="232"/>
      <c r="AG624" s="208"/>
      <c r="AH624" s="208"/>
      <c r="AI624" s="208"/>
      <c r="AJ624" s="208"/>
      <c r="AK624" s="208"/>
    </row>
    <row r="625">
      <c r="A625" s="234"/>
      <c r="B625" s="208"/>
      <c r="C625" s="208"/>
      <c r="D625" s="208"/>
      <c r="E625" s="208"/>
      <c r="F625" s="208"/>
      <c r="G625" s="208"/>
      <c r="H625" s="208"/>
      <c r="I625" s="233"/>
      <c r="J625" s="208"/>
      <c r="K625" s="208"/>
      <c r="L625" s="208"/>
      <c r="M625" s="208"/>
      <c r="N625" s="208"/>
      <c r="O625" s="208"/>
      <c r="P625" s="208"/>
      <c r="Q625" s="208"/>
      <c r="R625" s="208"/>
      <c r="S625" s="208"/>
      <c r="T625" s="208"/>
      <c r="U625" s="208"/>
      <c r="V625" s="208"/>
      <c r="W625" s="232"/>
      <c r="X625" s="232"/>
      <c r="Y625" s="232"/>
      <c r="Z625" s="232"/>
      <c r="AA625" s="232"/>
      <c r="AB625" s="232"/>
      <c r="AC625" s="232"/>
      <c r="AD625" s="232"/>
      <c r="AE625" s="232"/>
      <c r="AF625" s="232"/>
      <c r="AG625" s="208"/>
      <c r="AH625" s="208"/>
      <c r="AI625" s="208"/>
      <c r="AJ625" s="208"/>
      <c r="AK625" s="208"/>
    </row>
    <row r="626">
      <c r="A626" s="234"/>
      <c r="B626" s="208"/>
      <c r="C626" s="208"/>
      <c r="D626" s="208"/>
      <c r="E626" s="208"/>
      <c r="F626" s="208"/>
      <c r="G626" s="208"/>
      <c r="H626" s="208"/>
      <c r="I626" s="233"/>
      <c r="J626" s="208"/>
      <c r="K626" s="208"/>
      <c r="L626" s="208"/>
      <c r="M626" s="208"/>
      <c r="N626" s="208"/>
      <c r="O626" s="208"/>
      <c r="P626" s="208"/>
      <c r="Q626" s="208"/>
      <c r="R626" s="208"/>
      <c r="S626" s="208"/>
      <c r="T626" s="208"/>
      <c r="U626" s="208"/>
      <c r="V626" s="208"/>
      <c r="W626" s="232"/>
      <c r="X626" s="232"/>
      <c r="Y626" s="232"/>
      <c r="Z626" s="232"/>
      <c r="AA626" s="232"/>
      <c r="AB626" s="232"/>
      <c r="AC626" s="232"/>
      <c r="AD626" s="232"/>
      <c r="AE626" s="232"/>
      <c r="AF626" s="232"/>
      <c r="AG626" s="208"/>
      <c r="AH626" s="208"/>
      <c r="AI626" s="208"/>
      <c r="AJ626" s="208"/>
      <c r="AK626" s="208"/>
    </row>
    <row r="627">
      <c r="A627" s="234"/>
      <c r="B627" s="208"/>
      <c r="C627" s="208"/>
      <c r="D627" s="208"/>
      <c r="E627" s="208"/>
      <c r="F627" s="208"/>
      <c r="G627" s="208"/>
      <c r="H627" s="208"/>
      <c r="I627" s="233"/>
      <c r="J627" s="208"/>
      <c r="K627" s="208"/>
      <c r="L627" s="208"/>
      <c r="M627" s="208"/>
      <c r="N627" s="208"/>
      <c r="O627" s="208"/>
      <c r="P627" s="208"/>
      <c r="Q627" s="208"/>
      <c r="R627" s="208"/>
      <c r="S627" s="208"/>
      <c r="T627" s="208"/>
      <c r="U627" s="208"/>
      <c r="V627" s="208"/>
      <c r="W627" s="232"/>
      <c r="X627" s="232"/>
      <c r="Y627" s="232"/>
      <c r="Z627" s="232"/>
      <c r="AA627" s="232"/>
      <c r="AB627" s="232"/>
      <c r="AC627" s="232"/>
      <c r="AD627" s="232"/>
      <c r="AE627" s="232"/>
      <c r="AF627" s="232"/>
      <c r="AG627" s="208"/>
      <c r="AH627" s="208"/>
      <c r="AI627" s="208"/>
      <c r="AJ627" s="208"/>
      <c r="AK627" s="208"/>
    </row>
    <row r="628">
      <c r="A628" s="234"/>
      <c r="B628" s="208"/>
      <c r="C628" s="208"/>
      <c r="D628" s="208"/>
      <c r="E628" s="208"/>
      <c r="F628" s="208"/>
      <c r="G628" s="208"/>
      <c r="H628" s="208"/>
      <c r="I628" s="233"/>
      <c r="J628" s="208"/>
      <c r="K628" s="208"/>
      <c r="L628" s="208"/>
      <c r="M628" s="208"/>
      <c r="N628" s="208"/>
      <c r="O628" s="208"/>
      <c r="P628" s="208"/>
      <c r="Q628" s="208"/>
      <c r="R628" s="208"/>
      <c r="S628" s="208"/>
      <c r="T628" s="208"/>
      <c r="U628" s="208"/>
      <c r="V628" s="208"/>
      <c r="W628" s="232"/>
      <c r="X628" s="232"/>
      <c r="Y628" s="232"/>
      <c r="Z628" s="232"/>
      <c r="AA628" s="232"/>
      <c r="AB628" s="232"/>
      <c r="AC628" s="232"/>
      <c r="AD628" s="232"/>
      <c r="AE628" s="232"/>
      <c r="AF628" s="232"/>
      <c r="AG628" s="208"/>
      <c r="AH628" s="208"/>
      <c r="AI628" s="208"/>
      <c r="AJ628" s="208"/>
      <c r="AK628" s="208"/>
    </row>
    <row r="629">
      <c r="A629" s="234"/>
      <c r="B629" s="208"/>
      <c r="C629" s="208"/>
      <c r="D629" s="208"/>
      <c r="E629" s="208"/>
      <c r="F629" s="208"/>
      <c r="G629" s="208"/>
      <c r="H629" s="208"/>
      <c r="I629" s="233"/>
      <c r="J629" s="208"/>
      <c r="K629" s="208"/>
      <c r="L629" s="208"/>
      <c r="M629" s="208"/>
      <c r="N629" s="208"/>
      <c r="O629" s="208"/>
      <c r="P629" s="208"/>
      <c r="Q629" s="208"/>
      <c r="R629" s="208"/>
      <c r="S629" s="208"/>
      <c r="T629" s="208"/>
      <c r="U629" s="208"/>
      <c r="V629" s="208"/>
      <c r="W629" s="232"/>
      <c r="X629" s="232"/>
      <c r="Y629" s="232"/>
      <c r="Z629" s="232"/>
      <c r="AA629" s="232"/>
      <c r="AB629" s="232"/>
      <c r="AC629" s="232"/>
      <c r="AD629" s="232"/>
      <c r="AE629" s="232"/>
      <c r="AF629" s="232"/>
      <c r="AG629" s="208"/>
      <c r="AH629" s="208"/>
      <c r="AI629" s="208"/>
      <c r="AJ629" s="208"/>
      <c r="AK629" s="208"/>
    </row>
    <row r="630">
      <c r="A630" s="234"/>
      <c r="B630" s="208"/>
      <c r="C630" s="208"/>
      <c r="D630" s="208"/>
      <c r="E630" s="208"/>
      <c r="F630" s="208"/>
      <c r="G630" s="208"/>
      <c r="H630" s="208"/>
      <c r="I630" s="233"/>
      <c r="J630" s="208"/>
      <c r="K630" s="208"/>
      <c r="L630" s="208"/>
      <c r="M630" s="208"/>
      <c r="N630" s="208"/>
      <c r="O630" s="208"/>
      <c r="P630" s="208"/>
      <c r="Q630" s="208"/>
      <c r="R630" s="208"/>
      <c r="S630" s="208"/>
      <c r="T630" s="208"/>
      <c r="U630" s="208"/>
      <c r="V630" s="208"/>
      <c r="W630" s="232"/>
      <c r="X630" s="232"/>
      <c r="Y630" s="232"/>
      <c r="Z630" s="232"/>
      <c r="AA630" s="232"/>
      <c r="AB630" s="232"/>
      <c r="AC630" s="232"/>
      <c r="AD630" s="232"/>
      <c r="AE630" s="232"/>
      <c r="AF630" s="232"/>
      <c r="AG630" s="208"/>
      <c r="AH630" s="208"/>
      <c r="AI630" s="208"/>
      <c r="AJ630" s="208"/>
      <c r="AK630" s="208"/>
    </row>
    <row r="631">
      <c r="A631" s="234"/>
      <c r="B631" s="208"/>
      <c r="C631" s="208"/>
      <c r="D631" s="208"/>
      <c r="E631" s="208"/>
      <c r="F631" s="208"/>
      <c r="G631" s="208"/>
      <c r="H631" s="208"/>
      <c r="I631" s="233"/>
      <c r="J631" s="208"/>
      <c r="K631" s="208"/>
      <c r="L631" s="208"/>
      <c r="M631" s="208"/>
      <c r="N631" s="208"/>
      <c r="O631" s="208"/>
      <c r="P631" s="208"/>
      <c r="Q631" s="208"/>
      <c r="R631" s="208"/>
      <c r="S631" s="208"/>
      <c r="T631" s="208"/>
      <c r="U631" s="208"/>
      <c r="V631" s="208"/>
      <c r="W631" s="232"/>
      <c r="X631" s="232"/>
      <c r="Y631" s="232"/>
      <c r="Z631" s="232"/>
      <c r="AA631" s="232"/>
      <c r="AB631" s="232"/>
      <c r="AC631" s="232"/>
      <c r="AD631" s="232"/>
      <c r="AE631" s="232"/>
      <c r="AF631" s="232"/>
      <c r="AG631" s="208"/>
      <c r="AH631" s="208"/>
      <c r="AI631" s="208"/>
      <c r="AJ631" s="208"/>
      <c r="AK631" s="208"/>
    </row>
    <row r="632">
      <c r="A632" s="234"/>
      <c r="B632" s="208"/>
      <c r="C632" s="208"/>
      <c r="D632" s="208"/>
      <c r="E632" s="208"/>
      <c r="F632" s="208"/>
      <c r="G632" s="208"/>
      <c r="H632" s="208"/>
      <c r="I632" s="233"/>
      <c r="J632" s="208"/>
      <c r="K632" s="208"/>
      <c r="L632" s="208"/>
      <c r="M632" s="208"/>
      <c r="N632" s="208"/>
      <c r="O632" s="208"/>
      <c r="P632" s="208"/>
      <c r="Q632" s="208"/>
      <c r="R632" s="208"/>
      <c r="S632" s="208"/>
      <c r="T632" s="208"/>
      <c r="U632" s="208"/>
      <c r="V632" s="208"/>
      <c r="W632" s="232"/>
      <c r="X632" s="232"/>
      <c r="Y632" s="232"/>
      <c r="Z632" s="232"/>
      <c r="AA632" s="232"/>
      <c r="AB632" s="232"/>
      <c r="AC632" s="232"/>
      <c r="AD632" s="232"/>
      <c r="AE632" s="232"/>
      <c r="AF632" s="232"/>
      <c r="AG632" s="208"/>
      <c r="AH632" s="208"/>
      <c r="AI632" s="208"/>
      <c r="AJ632" s="208"/>
      <c r="AK632" s="208"/>
    </row>
    <row r="633">
      <c r="A633" s="234"/>
      <c r="B633" s="208"/>
      <c r="C633" s="208"/>
      <c r="D633" s="208"/>
      <c r="E633" s="208"/>
      <c r="F633" s="208"/>
      <c r="G633" s="208"/>
      <c r="H633" s="208"/>
      <c r="I633" s="233"/>
      <c r="J633" s="208"/>
      <c r="K633" s="208"/>
      <c r="L633" s="208"/>
      <c r="M633" s="208"/>
      <c r="N633" s="208"/>
      <c r="O633" s="208"/>
      <c r="P633" s="208"/>
      <c r="Q633" s="208"/>
      <c r="R633" s="208"/>
      <c r="S633" s="208"/>
      <c r="T633" s="208"/>
      <c r="U633" s="208"/>
      <c r="V633" s="208"/>
      <c r="W633" s="232"/>
      <c r="X633" s="232"/>
      <c r="Y633" s="232"/>
      <c r="Z633" s="232"/>
      <c r="AA633" s="232"/>
      <c r="AB633" s="232"/>
      <c r="AC633" s="232"/>
      <c r="AD633" s="232"/>
      <c r="AE633" s="232"/>
      <c r="AF633" s="232"/>
      <c r="AG633" s="208"/>
      <c r="AH633" s="208"/>
      <c r="AI633" s="208"/>
      <c r="AJ633" s="208"/>
      <c r="AK633" s="208"/>
    </row>
    <row r="634">
      <c r="A634" s="234"/>
      <c r="B634" s="208"/>
      <c r="C634" s="208"/>
      <c r="D634" s="208"/>
      <c r="E634" s="208"/>
      <c r="F634" s="208"/>
      <c r="G634" s="208"/>
      <c r="H634" s="208"/>
      <c r="I634" s="233"/>
      <c r="J634" s="208"/>
      <c r="K634" s="208"/>
      <c r="L634" s="208"/>
      <c r="M634" s="208"/>
      <c r="N634" s="208"/>
      <c r="O634" s="208"/>
      <c r="P634" s="208"/>
      <c r="Q634" s="208"/>
      <c r="R634" s="208"/>
      <c r="S634" s="208"/>
      <c r="T634" s="208"/>
      <c r="U634" s="208"/>
      <c r="V634" s="208"/>
      <c r="W634" s="232"/>
      <c r="X634" s="232"/>
      <c r="Y634" s="232"/>
      <c r="Z634" s="232"/>
      <c r="AA634" s="232"/>
      <c r="AB634" s="232"/>
      <c r="AC634" s="232"/>
      <c r="AD634" s="232"/>
      <c r="AE634" s="232"/>
      <c r="AF634" s="232"/>
      <c r="AG634" s="208"/>
      <c r="AH634" s="208"/>
      <c r="AI634" s="208"/>
      <c r="AJ634" s="208"/>
      <c r="AK634" s="208"/>
    </row>
    <row r="635">
      <c r="A635" s="234"/>
      <c r="B635" s="208"/>
      <c r="C635" s="208"/>
      <c r="D635" s="208"/>
      <c r="E635" s="208"/>
      <c r="F635" s="208"/>
      <c r="G635" s="208"/>
      <c r="H635" s="208"/>
      <c r="I635" s="233"/>
      <c r="J635" s="208"/>
      <c r="K635" s="208"/>
      <c r="L635" s="208"/>
      <c r="M635" s="208"/>
      <c r="N635" s="208"/>
      <c r="O635" s="208"/>
      <c r="P635" s="208"/>
      <c r="Q635" s="208"/>
      <c r="R635" s="208"/>
      <c r="S635" s="208"/>
      <c r="T635" s="208"/>
      <c r="U635" s="208"/>
      <c r="V635" s="208"/>
      <c r="W635" s="232"/>
      <c r="X635" s="232"/>
      <c r="Y635" s="232"/>
      <c r="Z635" s="232"/>
      <c r="AA635" s="232"/>
      <c r="AB635" s="232"/>
      <c r="AC635" s="232"/>
      <c r="AD635" s="232"/>
      <c r="AE635" s="232"/>
      <c r="AF635" s="232"/>
      <c r="AG635" s="208"/>
      <c r="AH635" s="208"/>
      <c r="AI635" s="208"/>
      <c r="AJ635" s="208"/>
      <c r="AK635" s="208"/>
    </row>
    <row r="636">
      <c r="A636" s="234"/>
      <c r="B636" s="208"/>
      <c r="C636" s="208"/>
      <c r="D636" s="208"/>
      <c r="E636" s="208"/>
      <c r="F636" s="208"/>
      <c r="G636" s="208"/>
      <c r="H636" s="208"/>
      <c r="I636" s="233"/>
      <c r="J636" s="208"/>
      <c r="K636" s="208"/>
      <c r="L636" s="208"/>
      <c r="M636" s="208"/>
      <c r="N636" s="208"/>
      <c r="O636" s="208"/>
      <c r="P636" s="208"/>
      <c r="Q636" s="208"/>
      <c r="R636" s="208"/>
      <c r="S636" s="208"/>
      <c r="T636" s="208"/>
      <c r="U636" s="208"/>
      <c r="V636" s="208"/>
      <c r="W636" s="232"/>
      <c r="X636" s="232"/>
      <c r="Y636" s="232"/>
      <c r="Z636" s="232"/>
      <c r="AA636" s="232"/>
      <c r="AB636" s="232"/>
      <c r="AC636" s="232"/>
      <c r="AD636" s="232"/>
      <c r="AE636" s="232"/>
      <c r="AF636" s="232"/>
      <c r="AG636" s="208"/>
      <c r="AH636" s="208"/>
      <c r="AI636" s="208"/>
      <c r="AJ636" s="208"/>
      <c r="AK636" s="208"/>
    </row>
    <row r="637">
      <c r="A637" s="234"/>
      <c r="B637" s="208"/>
      <c r="C637" s="208"/>
      <c r="D637" s="208"/>
      <c r="E637" s="208"/>
      <c r="F637" s="208"/>
      <c r="G637" s="208"/>
      <c r="H637" s="208"/>
      <c r="I637" s="233"/>
      <c r="J637" s="208"/>
      <c r="K637" s="208"/>
      <c r="L637" s="208"/>
      <c r="M637" s="208"/>
      <c r="N637" s="208"/>
      <c r="O637" s="208"/>
      <c r="P637" s="208"/>
      <c r="Q637" s="208"/>
      <c r="R637" s="208"/>
      <c r="S637" s="208"/>
      <c r="T637" s="208"/>
      <c r="U637" s="208"/>
      <c r="V637" s="208"/>
      <c r="W637" s="232"/>
      <c r="X637" s="232"/>
      <c r="Y637" s="232"/>
      <c r="Z637" s="232"/>
      <c r="AA637" s="232"/>
      <c r="AB637" s="232"/>
      <c r="AC637" s="232"/>
      <c r="AD637" s="232"/>
      <c r="AE637" s="232"/>
      <c r="AF637" s="232"/>
      <c r="AG637" s="208"/>
      <c r="AH637" s="208"/>
      <c r="AI637" s="208"/>
      <c r="AJ637" s="208"/>
      <c r="AK637" s="208"/>
    </row>
    <row r="638">
      <c r="A638" s="234"/>
      <c r="B638" s="208"/>
      <c r="C638" s="208"/>
      <c r="D638" s="208"/>
      <c r="E638" s="208"/>
      <c r="F638" s="208"/>
      <c r="G638" s="208"/>
      <c r="H638" s="208"/>
      <c r="I638" s="233"/>
      <c r="J638" s="208"/>
      <c r="K638" s="208"/>
      <c r="L638" s="208"/>
      <c r="M638" s="208"/>
      <c r="N638" s="208"/>
      <c r="O638" s="208"/>
      <c r="P638" s="208"/>
      <c r="Q638" s="208"/>
      <c r="R638" s="208"/>
      <c r="S638" s="208"/>
      <c r="T638" s="208"/>
      <c r="U638" s="208"/>
      <c r="V638" s="208"/>
      <c r="W638" s="232"/>
      <c r="X638" s="232"/>
      <c r="Y638" s="232"/>
      <c r="Z638" s="232"/>
      <c r="AA638" s="232"/>
      <c r="AB638" s="232"/>
      <c r="AC638" s="232"/>
      <c r="AD638" s="232"/>
      <c r="AE638" s="232"/>
      <c r="AF638" s="232"/>
      <c r="AG638" s="208"/>
      <c r="AH638" s="208"/>
      <c r="AI638" s="208"/>
      <c r="AJ638" s="208"/>
      <c r="AK638" s="208"/>
    </row>
    <row r="639">
      <c r="A639" s="234"/>
      <c r="B639" s="208"/>
      <c r="C639" s="208"/>
      <c r="D639" s="208"/>
      <c r="E639" s="208"/>
      <c r="F639" s="208"/>
      <c r="G639" s="208"/>
      <c r="H639" s="208"/>
      <c r="I639" s="233"/>
      <c r="J639" s="208"/>
      <c r="K639" s="208"/>
      <c r="L639" s="208"/>
      <c r="M639" s="208"/>
      <c r="N639" s="208"/>
      <c r="O639" s="208"/>
      <c r="P639" s="208"/>
      <c r="Q639" s="208"/>
      <c r="R639" s="208"/>
      <c r="S639" s="208"/>
      <c r="T639" s="208"/>
      <c r="U639" s="208"/>
      <c r="V639" s="208"/>
      <c r="W639" s="232"/>
      <c r="X639" s="232"/>
      <c r="Y639" s="232"/>
      <c r="Z639" s="232"/>
      <c r="AA639" s="232"/>
      <c r="AB639" s="232"/>
      <c r="AC639" s="232"/>
      <c r="AD639" s="232"/>
      <c r="AE639" s="232"/>
      <c r="AF639" s="232"/>
      <c r="AG639" s="208"/>
      <c r="AH639" s="208"/>
      <c r="AI639" s="208"/>
      <c r="AJ639" s="208"/>
      <c r="AK639" s="208"/>
    </row>
    <row r="640">
      <c r="A640" s="234"/>
      <c r="B640" s="208"/>
      <c r="C640" s="208"/>
      <c r="D640" s="208"/>
      <c r="E640" s="208"/>
      <c r="F640" s="208"/>
      <c r="G640" s="208"/>
      <c r="H640" s="208"/>
      <c r="I640" s="233"/>
      <c r="J640" s="208"/>
      <c r="K640" s="208"/>
      <c r="L640" s="208"/>
      <c r="M640" s="208"/>
      <c r="N640" s="208"/>
      <c r="O640" s="208"/>
      <c r="P640" s="208"/>
      <c r="Q640" s="208"/>
      <c r="R640" s="208"/>
      <c r="S640" s="208"/>
      <c r="T640" s="208"/>
      <c r="U640" s="208"/>
      <c r="V640" s="208"/>
      <c r="W640" s="232"/>
      <c r="X640" s="232"/>
      <c r="Y640" s="232"/>
      <c r="Z640" s="232"/>
      <c r="AA640" s="232"/>
      <c r="AB640" s="232"/>
      <c r="AC640" s="232"/>
      <c r="AD640" s="232"/>
      <c r="AE640" s="232"/>
      <c r="AF640" s="232"/>
      <c r="AG640" s="208"/>
      <c r="AH640" s="208"/>
      <c r="AI640" s="208"/>
      <c r="AJ640" s="208"/>
      <c r="AK640" s="208"/>
    </row>
    <row r="641">
      <c r="A641" s="234"/>
      <c r="B641" s="208"/>
      <c r="C641" s="208"/>
      <c r="D641" s="208"/>
      <c r="E641" s="208"/>
      <c r="F641" s="208"/>
      <c r="G641" s="208"/>
      <c r="H641" s="208"/>
      <c r="I641" s="233"/>
      <c r="J641" s="208"/>
      <c r="K641" s="208"/>
      <c r="L641" s="208"/>
      <c r="M641" s="208"/>
      <c r="N641" s="208"/>
      <c r="O641" s="208"/>
      <c r="P641" s="208"/>
      <c r="Q641" s="208"/>
      <c r="R641" s="208"/>
      <c r="S641" s="208"/>
      <c r="T641" s="208"/>
      <c r="U641" s="208"/>
      <c r="V641" s="208"/>
      <c r="W641" s="232"/>
      <c r="X641" s="232"/>
      <c r="Y641" s="232"/>
      <c r="Z641" s="232"/>
      <c r="AA641" s="232"/>
      <c r="AB641" s="232"/>
      <c r="AC641" s="232"/>
      <c r="AD641" s="232"/>
      <c r="AE641" s="232"/>
      <c r="AF641" s="232"/>
      <c r="AG641" s="208"/>
      <c r="AH641" s="208"/>
      <c r="AI641" s="208"/>
      <c r="AJ641" s="208"/>
      <c r="AK641" s="208"/>
    </row>
    <row r="642">
      <c r="A642" s="234"/>
      <c r="B642" s="208"/>
      <c r="C642" s="208"/>
      <c r="D642" s="208"/>
      <c r="E642" s="208"/>
      <c r="F642" s="208"/>
      <c r="G642" s="208"/>
      <c r="H642" s="208"/>
      <c r="I642" s="233"/>
      <c r="J642" s="208"/>
      <c r="K642" s="208"/>
      <c r="L642" s="208"/>
      <c r="M642" s="208"/>
      <c r="N642" s="208"/>
      <c r="O642" s="208"/>
      <c r="P642" s="208"/>
      <c r="Q642" s="208"/>
      <c r="R642" s="208"/>
      <c r="S642" s="208"/>
      <c r="T642" s="208"/>
      <c r="U642" s="208"/>
      <c r="V642" s="208"/>
      <c r="W642" s="232"/>
      <c r="X642" s="232"/>
      <c r="Y642" s="232"/>
      <c r="Z642" s="232"/>
      <c r="AA642" s="232"/>
      <c r="AB642" s="232"/>
      <c r="AC642" s="232"/>
      <c r="AD642" s="232"/>
      <c r="AE642" s="232"/>
      <c r="AF642" s="232"/>
      <c r="AG642" s="208"/>
      <c r="AH642" s="208"/>
      <c r="AI642" s="208"/>
      <c r="AJ642" s="208"/>
      <c r="AK642" s="208"/>
    </row>
    <row r="643">
      <c r="A643" s="234"/>
      <c r="B643" s="208"/>
      <c r="C643" s="208"/>
      <c r="D643" s="208"/>
      <c r="E643" s="208"/>
      <c r="F643" s="208"/>
      <c r="G643" s="208"/>
      <c r="H643" s="208"/>
      <c r="I643" s="233"/>
      <c r="J643" s="208"/>
      <c r="K643" s="208"/>
      <c r="L643" s="208"/>
      <c r="M643" s="208"/>
      <c r="N643" s="208"/>
      <c r="O643" s="208"/>
      <c r="P643" s="208"/>
      <c r="Q643" s="208"/>
      <c r="R643" s="208"/>
      <c r="S643" s="208"/>
      <c r="T643" s="208"/>
      <c r="U643" s="208"/>
      <c r="V643" s="208"/>
      <c r="W643" s="232"/>
      <c r="X643" s="232"/>
      <c r="Y643" s="232"/>
      <c r="Z643" s="232"/>
      <c r="AA643" s="232"/>
      <c r="AB643" s="232"/>
      <c r="AC643" s="232"/>
      <c r="AD643" s="232"/>
      <c r="AE643" s="232"/>
      <c r="AF643" s="232"/>
      <c r="AG643" s="208"/>
      <c r="AH643" s="208"/>
      <c r="AI643" s="208"/>
      <c r="AJ643" s="208"/>
      <c r="AK643" s="208"/>
    </row>
    <row r="644">
      <c r="A644" s="234"/>
      <c r="B644" s="208"/>
      <c r="C644" s="208"/>
      <c r="D644" s="208"/>
      <c r="E644" s="208"/>
      <c r="F644" s="208"/>
      <c r="G644" s="208"/>
      <c r="H644" s="208"/>
      <c r="I644" s="233"/>
      <c r="J644" s="208"/>
      <c r="K644" s="208"/>
      <c r="L644" s="208"/>
      <c r="M644" s="208"/>
      <c r="N644" s="208"/>
      <c r="O644" s="208"/>
      <c r="P644" s="208"/>
      <c r="Q644" s="208"/>
      <c r="R644" s="208"/>
      <c r="S644" s="208"/>
      <c r="T644" s="208"/>
      <c r="U644" s="208"/>
      <c r="V644" s="208"/>
      <c r="W644" s="232"/>
      <c r="X644" s="232"/>
      <c r="Y644" s="232"/>
      <c r="Z644" s="232"/>
      <c r="AA644" s="232"/>
      <c r="AB644" s="232"/>
      <c r="AC644" s="232"/>
      <c r="AD644" s="232"/>
      <c r="AE644" s="232"/>
      <c r="AF644" s="232"/>
      <c r="AG644" s="208"/>
      <c r="AH644" s="208"/>
      <c r="AI644" s="208"/>
      <c r="AJ644" s="208"/>
      <c r="AK644" s="208"/>
    </row>
    <row r="645">
      <c r="A645" s="234"/>
      <c r="B645" s="208"/>
      <c r="C645" s="208"/>
      <c r="D645" s="208"/>
      <c r="E645" s="208"/>
      <c r="F645" s="208"/>
      <c r="G645" s="208"/>
      <c r="H645" s="208"/>
      <c r="I645" s="233"/>
      <c r="J645" s="208"/>
      <c r="K645" s="208"/>
      <c r="L645" s="208"/>
      <c r="M645" s="208"/>
      <c r="N645" s="208"/>
      <c r="O645" s="208"/>
      <c r="P645" s="208"/>
      <c r="Q645" s="208"/>
      <c r="R645" s="208"/>
      <c r="S645" s="208"/>
      <c r="T645" s="208"/>
      <c r="U645" s="208"/>
      <c r="V645" s="208"/>
      <c r="W645" s="232"/>
      <c r="X645" s="232"/>
      <c r="Y645" s="232"/>
      <c r="Z645" s="232"/>
      <c r="AA645" s="232"/>
      <c r="AB645" s="232"/>
      <c r="AC645" s="232"/>
      <c r="AD645" s="232"/>
      <c r="AE645" s="232"/>
      <c r="AF645" s="232"/>
      <c r="AG645" s="208"/>
      <c r="AH645" s="208"/>
      <c r="AI645" s="208"/>
      <c r="AJ645" s="208"/>
      <c r="AK645" s="208"/>
    </row>
    <row r="646">
      <c r="A646" s="234"/>
      <c r="B646" s="208"/>
      <c r="C646" s="208"/>
      <c r="D646" s="208"/>
      <c r="E646" s="208"/>
      <c r="F646" s="208"/>
      <c r="G646" s="208"/>
      <c r="H646" s="208"/>
      <c r="I646" s="233"/>
      <c r="J646" s="208"/>
      <c r="K646" s="208"/>
      <c r="L646" s="208"/>
      <c r="M646" s="208"/>
      <c r="N646" s="208"/>
      <c r="O646" s="208"/>
      <c r="P646" s="208"/>
      <c r="Q646" s="208"/>
      <c r="R646" s="208"/>
      <c r="S646" s="208"/>
      <c r="T646" s="208"/>
      <c r="U646" s="208"/>
      <c r="V646" s="208"/>
      <c r="W646" s="232"/>
      <c r="X646" s="232"/>
      <c r="Y646" s="232"/>
      <c r="Z646" s="232"/>
      <c r="AA646" s="232"/>
      <c r="AB646" s="232"/>
      <c r="AC646" s="232"/>
      <c r="AD646" s="232"/>
      <c r="AE646" s="232"/>
      <c r="AF646" s="232"/>
      <c r="AG646" s="208"/>
      <c r="AH646" s="208"/>
      <c r="AI646" s="208"/>
      <c r="AJ646" s="208"/>
      <c r="AK646" s="208"/>
    </row>
    <row r="647">
      <c r="A647" s="234"/>
      <c r="B647" s="208"/>
      <c r="C647" s="208"/>
      <c r="D647" s="208"/>
      <c r="E647" s="208"/>
      <c r="F647" s="208"/>
      <c r="G647" s="208"/>
      <c r="H647" s="208"/>
      <c r="I647" s="233"/>
      <c r="J647" s="208"/>
      <c r="K647" s="208"/>
      <c r="L647" s="208"/>
      <c r="M647" s="208"/>
      <c r="N647" s="208"/>
      <c r="O647" s="208"/>
      <c r="P647" s="208"/>
      <c r="Q647" s="208"/>
      <c r="R647" s="208"/>
      <c r="S647" s="208"/>
      <c r="T647" s="208"/>
      <c r="U647" s="208"/>
      <c r="V647" s="208"/>
      <c r="W647" s="232"/>
      <c r="X647" s="232"/>
      <c r="Y647" s="232"/>
      <c r="Z647" s="232"/>
      <c r="AA647" s="232"/>
      <c r="AB647" s="232"/>
      <c r="AC647" s="232"/>
      <c r="AD647" s="232"/>
      <c r="AE647" s="232"/>
      <c r="AF647" s="232"/>
      <c r="AG647" s="208"/>
      <c r="AH647" s="208"/>
      <c r="AI647" s="208"/>
      <c r="AJ647" s="208"/>
      <c r="AK647" s="208"/>
    </row>
    <row r="648">
      <c r="A648" s="234"/>
      <c r="B648" s="208"/>
      <c r="C648" s="208"/>
      <c r="D648" s="208"/>
      <c r="E648" s="208"/>
      <c r="F648" s="208"/>
      <c r="G648" s="208"/>
      <c r="H648" s="208"/>
      <c r="I648" s="233"/>
      <c r="J648" s="208"/>
      <c r="K648" s="208"/>
      <c r="L648" s="208"/>
      <c r="M648" s="208"/>
      <c r="N648" s="208"/>
      <c r="O648" s="208"/>
      <c r="P648" s="208"/>
      <c r="Q648" s="208"/>
      <c r="R648" s="208"/>
      <c r="S648" s="208"/>
      <c r="T648" s="208"/>
      <c r="U648" s="208"/>
      <c r="V648" s="208"/>
      <c r="W648" s="232"/>
      <c r="X648" s="232"/>
      <c r="Y648" s="232"/>
      <c r="Z648" s="232"/>
      <c r="AA648" s="232"/>
      <c r="AB648" s="232"/>
      <c r="AC648" s="232"/>
      <c r="AD648" s="232"/>
      <c r="AE648" s="232"/>
      <c r="AF648" s="232"/>
      <c r="AG648" s="208"/>
      <c r="AH648" s="208"/>
      <c r="AI648" s="208"/>
      <c r="AJ648" s="208"/>
      <c r="AK648" s="208"/>
    </row>
    <row r="649">
      <c r="A649" s="234"/>
      <c r="B649" s="208"/>
      <c r="C649" s="208"/>
      <c r="D649" s="208"/>
      <c r="E649" s="208"/>
      <c r="F649" s="208"/>
      <c r="G649" s="208"/>
      <c r="H649" s="208"/>
      <c r="I649" s="233"/>
      <c r="J649" s="208"/>
      <c r="K649" s="208"/>
      <c r="L649" s="208"/>
      <c r="M649" s="208"/>
      <c r="N649" s="208"/>
      <c r="O649" s="208"/>
      <c r="P649" s="208"/>
      <c r="Q649" s="208"/>
      <c r="R649" s="208"/>
      <c r="S649" s="208"/>
      <c r="T649" s="208"/>
      <c r="U649" s="208"/>
      <c r="V649" s="208"/>
      <c r="W649" s="232"/>
      <c r="X649" s="232"/>
      <c r="Y649" s="232"/>
      <c r="Z649" s="232"/>
      <c r="AA649" s="232"/>
      <c r="AB649" s="232"/>
      <c r="AC649" s="232"/>
      <c r="AD649" s="232"/>
      <c r="AE649" s="232"/>
      <c r="AF649" s="232"/>
      <c r="AG649" s="208"/>
      <c r="AH649" s="208"/>
      <c r="AI649" s="208"/>
      <c r="AJ649" s="208"/>
      <c r="AK649" s="208"/>
    </row>
    <row r="650">
      <c r="A650" s="234"/>
      <c r="B650" s="208"/>
      <c r="C650" s="208"/>
      <c r="D650" s="208"/>
      <c r="E650" s="208"/>
      <c r="F650" s="208"/>
      <c r="G650" s="208"/>
      <c r="H650" s="208"/>
      <c r="I650" s="233"/>
      <c r="J650" s="208"/>
      <c r="K650" s="208"/>
      <c r="L650" s="208"/>
      <c r="M650" s="208"/>
      <c r="N650" s="208"/>
      <c r="O650" s="208"/>
      <c r="P650" s="208"/>
      <c r="Q650" s="208"/>
      <c r="R650" s="208"/>
      <c r="S650" s="208"/>
      <c r="T650" s="208"/>
      <c r="U650" s="208"/>
      <c r="V650" s="208"/>
      <c r="W650" s="232"/>
      <c r="X650" s="232"/>
      <c r="Y650" s="232"/>
      <c r="Z650" s="232"/>
      <c r="AA650" s="232"/>
      <c r="AB650" s="232"/>
      <c r="AC650" s="232"/>
      <c r="AD650" s="232"/>
      <c r="AE650" s="232"/>
      <c r="AF650" s="232"/>
      <c r="AG650" s="208"/>
      <c r="AH650" s="208"/>
      <c r="AI650" s="208"/>
      <c r="AJ650" s="208"/>
      <c r="AK650" s="208"/>
    </row>
    <row r="651">
      <c r="A651" s="234"/>
      <c r="B651" s="208"/>
      <c r="C651" s="208"/>
      <c r="D651" s="208"/>
      <c r="E651" s="208"/>
      <c r="F651" s="208"/>
      <c r="G651" s="208"/>
      <c r="H651" s="208"/>
      <c r="I651" s="233"/>
      <c r="J651" s="208"/>
      <c r="K651" s="208"/>
      <c r="L651" s="208"/>
      <c r="M651" s="208"/>
      <c r="N651" s="208"/>
      <c r="O651" s="208"/>
      <c r="P651" s="208"/>
      <c r="Q651" s="208"/>
      <c r="R651" s="208"/>
      <c r="S651" s="208"/>
      <c r="T651" s="208"/>
      <c r="U651" s="208"/>
      <c r="V651" s="208"/>
      <c r="W651" s="232"/>
      <c r="X651" s="232"/>
      <c r="Y651" s="232"/>
      <c r="Z651" s="232"/>
      <c r="AA651" s="232"/>
      <c r="AB651" s="232"/>
      <c r="AC651" s="232"/>
      <c r="AD651" s="232"/>
      <c r="AE651" s="232"/>
      <c r="AF651" s="232"/>
      <c r="AG651" s="208"/>
      <c r="AH651" s="208"/>
      <c r="AI651" s="208"/>
      <c r="AJ651" s="208"/>
      <c r="AK651" s="208"/>
    </row>
    <row r="652">
      <c r="A652" s="234"/>
      <c r="B652" s="208"/>
      <c r="C652" s="208"/>
      <c r="D652" s="208"/>
      <c r="E652" s="208"/>
      <c r="F652" s="208"/>
      <c r="G652" s="208"/>
      <c r="H652" s="208"/>
      <c r="I652" s="233"/>
      <c r="J652" s="208"/>
      <c r="K652" s="208"/>
      <c r="L652" s="208"/>
      <c r="M652" s="208"/>
      <c r="N652" s="208"/>
      <c r="O652" s="208"/>
      <c r="P652" s="208"/>
      <c r="Q652" s="208"/>
      <c r="R652" s="208"/>
      <c r="S652" s="208"/>
      <c r="T652" s="208"/>
      <c r="U652" s="208"/>
      <c r="V652" s="208"/>
      <c r="W652" s="232"/>
      <c r="X652" s="232"/>
      <c r="Y652" s="232"/>
      <c r="Z652" s="232"/>
      <c r="AA652" s="232"/>
      <c r="AB652" s="232"/>
      <c r="AC652" s="232"/>
      <c r="AD652" s="232"/>
      <c r="AE652" s="232"/>
      <c r="AF652" s="232"/>
      <c r="AG652" s="208"/>
      <c r="AH652" s="208"/>
      <c r="AI652" s="208"/>
      <c r="AJ652" s="208"/>
      <c r="AK652" s="208"/>
    </row>
    <row r="653">
      <c r="A653" s="234"/>
      <c r="B653" s="208"/>
      <c r="C653" s="208"/>
      <c r="D653" s="208"/>
      <c r="E653" s="208"/>
      <c r="F653" s="208"/>
      <c r="G653" s="208"/>
      <c r="H653" s="208"/>
      <c r="I653" s="233"/>
      <c r="J653" s="208"/>
      <c r="K653" s="208"/>
      <c r="L653" s="208"/>
      <c r="M653" s="208"/>
      <c r="N653" s="208"/>
      <c r="O653" s="208"/>
      <c r="P653" s="208"/>
      <c r="Q653" s="208"/>
      <c r="R653" s="208"/>
      <c r="S653" s="208"/>
      <c r="T653" s="208"/>
      <c r="U653" s="208"/>
      <c r="V653" s="208"/>
      <c r="W653" s="232"/>
      <c r="X653" s="232"/>
      <c r="Y653" s="232"/>
      <c r="Z653" s="232"/>
      <c r="AA653" s="232"/>
      <c r="AB653" s="232"/>
      <c r="AC653" s="232"/>
      <c r="AD653" s="232"/>
      <c r="AE653" s="232"/>
      <c r="AF653" s="232"/>
      <c r="AG653" s="208"/>
      <c r="AH653" s="208"/>
      <c r="AI653" s="208"/>
      <c r="AJ653" s="208"/>
      <c r="AK653" s="208"/>
    </row>
    <row r="654">
      <c r="A654" s="234"/>
      <c r="B654" s="208"/>
      <c r="C654" s="208"/>
      <c r="D654" s="208"/>
      <c r="E654" s="208"/>
      <c r="F654" s="208"/>
      <c r="G654" s="208"/>
      <c r="H654" s="208"/>
      <c r="I654" s="233"/>
      <c r="J654" s="208"/>
      <c r="K654" s="208"/>
      <c r="L654" s="208"/>
      <c r="M654" s="208"/>
      <c r="N654" s="208"/>
      <c r="O654" s="208"/>
      <c r="P654" s="208"/>
      <c r="Q654" s="208"/>
      <c r="R654" s="208"/>
      <c r="S654" s="208"/>
      <c r="T654" s="208"/>
      <c r="U654" s="208"/>
      <c r="V654" s="208"/>
      <c r="W654" s="232"/>
      <c r="X654" s="232"/>
      <c r="Y654" s="232"/>
      <c r="Z654" s="232"/>
      <c r="AA654" s="232"/>
      <c r="AB654" s="232"/>
      <c r="AC654" s="232"/>
      <c r="AD654" s="232"/>
      <c r="AE654" s="232"/>
      <c r="AF654" s="232"/>
      <c r="AG654" s="208"/>
      <c r="AH654" s="208"/>
      <c r="AI654" s="208"/>
      <c r="AJ654" s="208"/>
      <c r="AK654" s="208"/>
    </row>
    <row r="655">
      <c r="A655" s="234"/>
      <c r="B655" s="208"/>
      <c r="C655" s="208"/>
      <c r="D655" s="208"/>
      <c r="E655" s="208"/>
      <c r="F655" s="208"/>
      <c r="G655" s="208"/>
      <c r="H655" s="208"/>
      <c r="I655" s="233"/>
      <c r="J655" s="208"/>
      <c r="K655" s="208"/>
      <c r="L655" s="208"/>
      <c r="M655" s="208"/>
      <c r="N655" s="208"/>
      <c r="O655" s="208"/>
      <c r="P655" s="208"/>
      <c r="Q655" s="208"/>
      <c r="R655" s="208"/>
      <c r="S655" s="208"/>
      <c r="T655" s="208"/>
      <c r="U655" s="208"/>
      <c r="V655" s="208"/>
      <c r="W655" s="232"/>
      <c r="X655" s="232"/>
      <c r="Y655" s="232"/>
      <c r="Z655" s="232"/>
      <c r="AA655" s="232"/>
      <c r="AB655" s="232"/>
      <c r="AC655" s="232"/>
      <c r="AD655" s="232"/>
      <c r="AE655" s="232"/>
      <c r="AF655" s="232"/>
      <c r="AG655" s="208"/>
      <c r="AH655" s="208"/>
      <c r="AI655" s="208"/>
      <c r="AJ655" s="208"/>
      <c r="AK655" s="208"/>
    </row>
    <row r="656">
      <c r="A656" s="234"/>
      <c r="B656" s="208"/>
      <c r="C656" s="208"/>
      <c r="D656" s="208"/>
      <c r="E656" s="208"/>
      <c r="F656" s="208"/>
      <c r="G656" s="208"/>
      <c r="H656" s="208"/>
      <c r="I656" s="233"/>
      <c r="J656" s="208"/>
      <c r="K656" s="208"/>
      <c r="L656" s="208"/>
      <c r="M656" s="208"/>
      <c r="N656" s="208"/>
      <c r="O656" s="208"/>
      <c r="P656" s="208"/>
      <c r="Q656" s="208"/>
      <c r="R656" s="208"/>
      <c r="S656" s="208"/>
      <c r="T656" s="208"/>
      <c r="U656" s="208"/>
      <c r="V656" s="208"/>
      <c r="W656" s="232"/>
      <c r="X656" s="232"/>
      <c r="Y656" s="232"/>
      <c r="Z656" s="232"/>
      <c r="AA656" s="232"/>
      <c r="AB656" s="232"/>
      <c r="AC656" s="232"/>
      <c r="AD656" s="232"/>
      <c r="AE656" s="232"/>
      <c r="AF656" s="232"/>
      <c r="AG656" s="208"/>
      <c r="AH656" s="208"/>
      <c r="AI656" s="208"/>
      <c r="AJ656" s="208"/>
      <c r="AK656" s="208"/>
    </row>
    <row r="657">
      <c r="A657" s="234"/>
      <c r="B657" s="208"/>
      <c r="C657" s="208"/>
      <c r="D657" s="208"/>
      <c r="E657" s="208"/>
      <c r="F657" s="208"/>
      <c r="G657" s="208"/>
      <c r="H657" s="208"/>
      <c r="I657" s="233"/>
      <c r="J657" s="208"/>
      <c r="K657" s="208"/>
      <c r="L657" s="208"/>
      <c r="M657" s="208"/>
      <c r="N657" s="208"/>
      <c r="O657" s="208"/>
      <c r="P657" s="208"/>
      <c r="Q657" s="208"/>
      <c r="R657" s="208"/>
      <c r="S657" s="208"/>
      <c r="T657" s="208"/>
      <c r="U657" s="208"/>
      <c r="V657" s="208"/>
      <c r="W657" s="232"/>
      <c r="X657" s="232"/>
      <c r="Y657" s="232"/>
      <c r="Z657" s="232"/>
      <c r="AA657" s="232"/>
      <c r="AB657" s="232"/>
      <c r="AC657" s="232"/>
      <c r="AD657" s="232"/>
      <c r="AE657" s="232"/>
      <c r="AF657" s="232"/>
      <c r="AG657" s="208"/>
      <c r="AH657" s="208"/>
      <c r="AI657" s="208"/>
      <c r="AJ657" s="208"/>
      <c r="AK657" s="208"/>
    </row>
    <row r="658">
      <c r="A658" s="234"/>
      <c r="B658" s="208"/>
      <c r="C658" s="208"/>
      <c r="D658" s="208"/>
      <c r="E658" s="208"/>
      <c r="F658" s="208"/>
      <c r="G658" s="208"/>
      <c r="H658" s="208"/>
      <c r="I658" s="233"/>
      <c r="J658" s="208"/>
      <c r="K658" s="208"/>
      <c r="L658" s="208"/>
      <c r="M658" s="208"/>
      <c r="N658" s="208"/>
      <c r="O658" s="208"/>
      <c r="P658" s="208"/>
      <c r="Q658" s="208"/>
      <c r="R658" s="208"/>
      <c r="S658" s="208"/>
      <c r="T658" s="208"/>
      <c r="U658" s="208"/>
      <c r="V658" s="208"/>
      <c r="W658" s="232"/>
      <c r="X658" s="232"/>
      <c r="Y658" s="232"/>
      <c r="Z658" s="232"/>
      <c r="AA658" s="232"/>
      <c r="AB658" s="232"/>
      <c r="AC658" s="232"/>
      <c r="AD658" s="232"/>
      <c r="AE658" s="232"/>
      <c r="AF658" s="232"/>
      <c r="AG658" s="208"/>
      <c r="AH658" s="208"/>
      <c r="AI658" s="208"/>
      <c r="AJ658" s="208"/>
      <c r="AK658" s="208"/>
    </row>
    <row r="659">
      <c r="A659" s="234"/>
      <c r="B659" s="208"/>
      <c r="C659" s="208"/>
      <c r="D659" s="208"/>
      <c r="E659" s="208"/>
      <c r="F659" s="208"/>
      <c r="G659" s="208"/>
      <c r="H659" s="208"/>
      <c r="I659" s="233"/>
      <c r="J659" s="208"/>
      <c r="K659" s="208"/>
      <c r="L659" s="208"/>
      <c r="M659" s="208"/>
      <c r="N659" s="208"/>
      <c r="O659" s="208"/>
      <c r="P659" s="208"/>
      <c r="Q659" s="208"/>
      <c r="R659" s="208"/>
      <c r="S659" s="208"/>
      <c r="T659" s="208"/>
      <c r="U659" s="208"/>
      <c r="V659" s="208"/>
      <c r="W659" s="232"/>
      <c r="X659" s="232"/>
      <c r="Y659" s="232"/>
      <c r="Z659" s="232"/>
      <c r="AA659" s="232"/>
      <c r="AB659" s="232"/>
      <c r="AC659" s="232"/>
      <c r="AD659" s="232"/>
      <c r="AE659" s="232"/>
      <c r="AF659" s="232"/>
      <c r="AG659" s="208"/>
      <c r="AH659" s="208"/>
      <c r="AI659" s="208"/>
      <c r="AJ659" s="208"/>
      <c r="AK659" s="208"/>
    </row>
    <row r="660">
      <c r="A660" s="234"/>
      <c r="B660" s="208"/>
      <c r="C660" s="208"/>
      <c r="D660" s="208"/>
      <c r="E660" s="208"/>
      <c r="F660" s="208"/>
      <c r="G660" s="208"/>
      <c r="H660" s="208"/>
      <c r="I660" s="233"/>
      <c r="J660" s="208"/>
      <c r="K660" s="208"/>
      <c r="L660" s="208"/>
      <c r="M660" s="208"/>
      <c r="N660" s="208"/>
      <c r="O660" s="208"/>
      <c r="P660" s="208"/>
      <c r="Q660" s="208"/>
      <c r="R660" s="208"/>
      <c r="S660" s="208"/>
      <c r="T660" s="208"/>
      <c r="U660" s="208"/>
      <c r="V660" s="208"/>
      <c r="W660" s="232"/>
      <c r="X660" s="232"/>
      <c r="Y660" s="232"/>
      <c r="Z660" s="232"/>
      <c r="AA660" s="232"/>
      <c r="AB660" s="232"/>
      <c r="AC660" s="232"/>
      <c r="AD660" s="232"/>
      <c r="AE660" s="232"/>
      <c r="AF660" s="232"/>
      <c r="AG660" s="208"/>
      <c r="AH660" s="208"/>
      <c r="AI660" s="208"/>
      <c r="AJ660" s="208"/>
      <c r="AK660" s="208"/>
    </row>
    <row r="661">
      <c r="A661" s="234"/>
      <c r="B661" s="208"/>
      <c r="C661" s="208"/>
      <c r="D661" s="208"/>
      <c r="E661" s="208"/>
      <c r="F661" s="208"/>
      <c r="G661" s="208"/>
      <c r="H661" s="208"/>
      <c r="I661" s="233"/>
      <c r="J661" s="208"/>
      <c r="K661" s="208"/>
      <c r="L661" s="208"/>
      <c r="M661" s="208"/>
      <c r="N661" s="208"/>
      <c r="O661" s="208"/>
      <c r="P661" s="208"/>
      <c r="Q661" s="208"/>
      <c r="R661" s="208"/>
      <c r="S661" s="208"/>
      <c r="T661" s="208"/>
      <c r="U661" s="208"/>
      <c r="V661" s="208"/>
      <c r="W661" s="232"/>
      <c r="X661" s="232"/>
      <c r="Y661" s="232"/>
      <c r="Z661" s="232"/>
      <c r="AA661" s="232"/>
      <c r="AB661" s="232"/>
      <c r="AC661" s="232"/>
      <c r="AD661" s="232"/>
      <c r="AE661" s="232"/>
      <c r="AF661" s="232"/>
      <c r="AG661" s="208"/>
      <c r="AH661" s="208"/>
      <c r="AI661" s="208"/>
      <c r="AJ661" s="208"/>
      <c r="AK661" s="208"/>
    </row>
    <row r="662">
      <c r="A662" s="234"/>
      <c r="B662" s="208"/>
      <c r="C662" s="208"/>
      <c r="D662" s="208"/>
      <c r="E662" s="208"/>
      <c r="F662" s="208"/>
      <c r="G662" s="208"/>
      <c r="H662" s="208"/>
      <c r="I662" s="233"/>
      <c r="J662" s="208"/>
      <c r="K662" s="208"/>
      <c r="L662" s="208"/>
      <c r="M662" s="208"/>
      <c r="N662" s="208"/>
      <c r="O662" s="208"/>
      <c r="P662" s="208"/>
      <c r="Q662" s="208"/>
      <c r="R662" s="208"/>
      <c r="S662" s="208"/>
      <c r="T662" s="208"/>
      <c r="U662" s="208"/>
      <c r="V662" s="208"/>
      <c r="W662" s="232"/>
      <c r="X662" s="232"/>
      <c r="Y662" s="232"/>
      <c r="Z662" s="232"/>
      <c r="AA662" s="232"/>
      <c r="AB662" s="232"/>
      <c r="AC662" s="232"/>
      <c r="AD662" s="232"/>
      <c r="AE662" s="232"/>
      <c r="AF662" s="232"/>
      <c r="AG662" s="208"/>
      <c r="AH662" s="208"/>
      <c r="AI662" s="208"/>
      <c r="AJ662" s="208"/>
      <c r="AK662" s="208"/>
    </row>
    <row r="663">
      <c r="A663" s="234"/>
      <c r="B663" s="208"/>
      <c r="C663" s="208"/>
      <c r="D663" s="208"/>
      <c r="E663" s="208"/>
      <c r="F663" s="208"/>
      <c r="G663" s="208"/>
      <c r="H663" s="208"/>
      <c r="I663" s="233"/>
      <c r="J663" s="208"/>
      <c r="K663" s="208"/>
      <c r="L663" s="208"/>
      <c r="M663" s="208"/>
      <c r="N663" s="208"/>
      <c r="O663" s="208"/>
      <c r="P663" s="208"/>
      <c r="Q663" s="208"/>
      <c r="R663" s="208"/>
      <c r="S663" s="208"/>
      <c r="T663" s="208"/>
      <c r="U663" s="208"/>
      <c r="V663" s="208"/>
      <c r="W663" s="232"/>
      <c r="X663" s="232"/>
      <c r="Y663" s="232"/>
      <c r="Z663" s="232"/>
      <c r="AA663" s="232"/>
      <c r="AB663" s="232"/>
      <c r="AC663" s="232"/>
      <c r="AD663" s="232"/>
      <c r="AE663" s="232"/>
      <c r="AF663" s="232"/>
      <c r="AG663" s="208"/>
      <c r="AH663" s="208"/>
      <c r="AI663" s="208"/>
      <c r="AJ663" s="208"/>
      <c r="AK663" s="208"/>
    </row>
    <row r="664">
      <c r="A664" s="234"/>
      <c r="B664" s="208"/>
      <c r="C664" s="208"/>
      <c r="D664" s="208"/>
      <c r="E664" s="208"/>
      <c r="F664" s="208"/>
      <c r="G664" s="208"/>
      <c r="H664" s="208"/>
      <c r="I664" s="233"/>
      <c r="J664" s="208"/>
      <c r="K664" s="208"/>
      <c r="L664" s="208"/>
      <c r="M664" s="208"/>
      <c r="N664" s="208"/>
      <c r="O664" s="208"/>
      <c r="P664" s="208"/>
      <c r="Q664" s="208"/>
      <c r="R664" s="208"/>
      <c r="S664" s="208"/>
      <c r="T664" s="208"/>
      <c r="U664" s="208"/>
      <c r="V664" s="208"/>
      <c r="W664" s="232"/>
      <c r="X664" s="232"/>
      <c r="Y664" s="232"/>
      <c r="Z664" s="232"/>
      <c r="AA664" s="232"/>
      <c r="AB664" s="232"/>
      <c r="AC664" s="232"/>
      <c r="AD664" s="232"/>
      <c r="AE664" s="232"/>
      <c r="AF664" s="232"/>
      <c r="AG664" s="208"/>
      <c r="AH664" s="208"/>
      <c r="AI664" s="208"/>
      <c r="AJ664" s="208"/>
      <c r="AK664" s="208"/>
    </row>
    <row r="665">
      <c r="A665" s="234"/>
      <c r="B665" s="208"/>
      <c r="C665" s="208"/>
      <c r="D665" s="208"/>
      <c r="E665" s="208"/>
      <c r="F665" s="208"/>
      <c r="G665" s="208"/>
      <c r="H665" s="208"/>
      <c r="I665" s="233"/>
      <c r="J665" s="208"/>
      <c r="K665" s="208"/>
      <c r="L665" s="208"/>
      <c r="M665" s="208"/>
      <c r="N665" s="208"/>
      <c r="O665" s="208"/>
      <c r="P665" s="208"/>
      <c r="Q665" s="208"/>
      <c r="R665" s="208"/>
      <c r="S665" s="208"/>
      <c r="T665" s="208"/>
      <c r="U665" s="208"/>
      <c r="V665" s="208"/>
      <c r="W665" s="232"/>
      <c r="X665" s="232"/>
      <c r="Y665" s="232"/>
      <c r="Z665" s="232"/>
      <c r="AA665" s="232"/>
      <c r="AB665" s="232"/>
      <c r="AC665" s="232"/>
      <c r="AD665" s="232"/>
      <c r="AE665" s="232"/>
      <c r="AF665" s="232"/>
      <c r="AG665" s="208"/>
      <c r="AH665" s="208"/>
      <c r="AI665" s="208"/>
      <c r="AJ665" s="208"/>
      <c r="AK665" s="208"/>
    </row>
    <row r="666">
      <c r="A666" s="234"/>
      <c r="B666" s="208"/>
      <c r="C666" s="208"/>
      <c r="D666" s="208"/>
      <c r="E666" s="208"/>
      <c r="F666" s="208"/>
      <c r="G666" s="208"/>
      <c r="H666" s="208"/>
      <c r="I666" s="233"/>
      <c r="J666" s="208"/>
      <c r="K666" s="208"/>
      <c r="L666" s="208"/>
      <c r="M666" s="208"/>
      <c r="N666" s="208"/>
      <c r="O666" s="208"/>
      <c r="P666" s="208"/>
      <c r="Q666" s="208"/>
      <c r="R666" s="208"/>
      <c r="S666" s="208"/>
      <c r="T666" s="208"/>
      <c r="U666" s="208"/>
      <c r="V666" s="208"/>
      <c r="W666" s="232"/>
      <c r="X666" s="232"/>
      <c r="Y666" s="232"/>
      <c r="Z666" s="232"/>
      <c r="AA666" s="232"/>
      <c r="AB666" s="232"/>
      <c r="AC666" s="232"/>
      <c r="AD666" s="232"/>
      <c r="AE666" s="232"/>
      <c r="AF666" s="232"/>
      <c r="AG666" s="208"/>
      <c r="AH666" s="208"/>
      <c r="AI666" s="208"/>
      <c r="AJ666" s="208"/>
      <c r="AK666" s="208"/>
    </row>
    <row r="667">
      <c r="A667" s="234"/>
      <c r="B667" s="208"/>
      <c r="C667" s="208"/>
      <c r="D667" s="208"/>
      <c r="E667" s="208"/>
      <c r="F667" s="208"/>
      <c r="G667" s="208"/>
      <c r="H667" s="208"/>
      <c r="I667" s="233"/>
      <c r="J667" s="208"/>
      <c r="K667" s="208"/>
      <c r="L667" s="208"/>
      <c r="M667" s="208"/>
      <c r="N667" s="208"/>
      <c r="O667" s="208"/>
      <c r="P667" s="208"/>
      <c r="Q667" s="208"/>
      <c r="R667" s="208"/>
      <c r="S667" s="208"/>
      <c r="T667" s="208"/>
      <c r="U667" s="208"/>
      <c r="V667" s="208"/>
      <c r="W667" s="232"/>
      <c r="X667" s="232"/>
      <c r="Y667" s="232"/>
      <c r="Z667" s="232"/>
      <c r="AA667" s="232"/>
      <c r="AB667" s="232"/>
      <c r="AC667" s="232"/>
      <c r="AD667" s="232"/>
      <c r="AE667" s="232"/>
      <c r="AF667" s="232"/>
      <c r="AG667" s="208"/>
      <c r="AH667" s="208"/>
      <c r="AI667" s="208"/>
      <c r="AJ667" s="208"/>
      <c r="AK667" s="208"/>
    </row>
    <row r="668">
      <c r="A668" s="234"/>
      <c r="B668" s="208"/>
      <c r="C668" s="208"/>
      <c r="D668" s="208"/>
      <c r="E668" s="208"/>
      <c r="F668" s="208"/>
      <c r="G668" s="208"/>
      <c r="H668" s="208"/>
      <c r="I668" s="233"/>
      <c r="J668" s="208"/>
      <c r="K668" s="208"/>
      <c r="L668" s="208"/>
      <c r="M668" s="208"/>
      <c r="N668" s="208"/>
      <c r="O668" s="208"/>
      <c r="P668" s="208"/>
      <c r="Q668" s="208"/>
      <c r="R668" s="208"/>
      <c r="S668" s="208"/>
      <c r="T668" s="208"/>
      <c r="U668" s="208"/>
      <c r="V668" s="208"/>
      <c r="W668" s="232"/>
      <c r="X668" s="232"/>
      <c r="Y668" s="232"/>
      <c r="Z668" s="232"/>
      <c r="AA668" s="232"/>
      <c r="AB668" s="232"/>
      <c r="AC668" s="232"/>
      <c r="AD668" s="232"/>
      <c r="AE668" s="232"/>
      <c r="AF668" s="232"/>
      <c r="AG668" s="208"/>
      <c r="AH668" s="208"/>
      <c r="AI668" s="208"/>
      <c r="AJ668" s="208"/>
      <c r="AK668" s="208"/>
    </row>
    <row r="669">
      <c r="A669" s="234"/>
      <c r="B669" s="208"/>
      <c r="C669" s="208"/>
      <c r="D669" s="208"/>
      <c r="E669" s="208"/>
      <c r="F669" s="208"/>
      <c r="G669" s="208"/>
      <c r="H669" s="208"/>
      <c r="I669" s="233"/>
      <c r="J669" s="208"/>
      <c r="K669" s="208"/>
      <c r="L669" s="208"/>
      <c r="M669" s="208"/>
      <c r="N669" s="208"/>
      <c r="O669" s="208"/>
      <c r="P669" s="208"/>
      <c r="Q669" s="208"/>
      <c r="R669" s="208"/>
      <c r="S669" s="208"/>
      <c r="T669" s="208"/>
      <c r="U669" s="208"/>
      <c r="V669" s="208"/>
      <c r="W669" s="232"/>
      <c r="X669" s="232"/>
      <c r="Y669" s="232"/>
      <c r="Z669" s="232"/>
      <c r="AA669" s="232"/>
      <c r="AB669" s="232"/>
      <c r="AC669" s="232"/>
      <c r="AD669" s="232"/>
      <c r="AE669" s="232"/>
      <c r="AF669" s="232"/>
      <c r="AG669" s="208"/>
      <c r="AH669" s="208"/>
      <c r="AI669" s="208"/>
      <c r="AJ669" s="208"/>
      <c r="AK669" s="208"/>
    </row>
    <row r="670">
      <c r="A670" s="234"/>
      <c r="B670" s="208"/>
      <c r="C670" s="208"/>
      <c r="D670" s="208"/>
      <c r="E670" s="208"/>
      <c r="F670" s="208"/>
      <c r="G670" s="208"/>
      <c r="H670" s="208"/>
      <c r="I670" s="233"/>
      <c r="J670" s="208"/>
      <c r="K670" s="208"/>
      <c r="L670" s="208"/>
      <c r="M670" s="208"/>
      <c r="N670" s="208"/>
      <c r="O670" s="208"/>
      <c r="P670" s="208"/>
      <c r="Q670" s="208"/>
      <c r="R670" s="208"/>
      <c r="S670" s="208"/>
      <c r="T670" s="208"/>
      <c r="U670" s="208"/>
      <c r="V670" s="208"/>
      <c r="W670" s="232"/>
      <c r="X670" s="232"/>
      <c r="Y670" s="232"/>
      <c r="Z670" s="232"/>
      <c r="AA670" s="232"/>
      <c r="AB670" s="232"/>
      <c r="AC670" s="232"/>
      <c r="AD670" s="232"/>
      <c r="AE670" s="232"/>
      <c r="AF670" s="232"/>
      <c r="AG670" s="208"/>
      <c r="AH670" s="208"/>
      <c r="AI670" s="208"/>
      <c r="AJ670" s="208"/>
      <c r="AK670" s="208"/>
    </row>
    <row r="671">
      <c r="A671" s="234"/>
      <c r="B671" s="208"/>
      <c r="C671" s="208"/>
      <c r="D671" s="208"/>
      <c r="E671" s="208"/>
      <c r="F671" s="208"/>
      <c r="G671" s="208"/>
      <c r="H671" s="208"/>
      <c r="I671" s="233"/>
      <c r="J671" s="208"/>
      <c r="K671" s="208"/>
      <c r="L671" s="208"/>
      <c r="M671" s="208"/>
      <c r="N671" s="208"/>
      <c r="O671" s="208"/>
      <c r="P671" s="208"/>
      <c r="Q671" s="208"/>
      <c r="R671" s="208"/>
      <c r="S671" s="208"/>
      <c r="T671" s="208"/>
      <c r="U671" s="208"/>
      <c r="V671" s="208"/>
      <c r="W671" s="232"/>
      <c r="X671" s="232"/>
      <c r="Y671" s="232"/>
      <c r="Z671" s="232"/>
      <c r="AA671" s="232"/>
      <c r="AB671" s="232"/>
      <c r="AC671" s="232"/>
      <c r="AD671" s="232"/>
      <c r="AE671" s="232"/>
      <c r="AF671" s="232"/>
      <c r="AG671" s="208"/>
      <c r="AH671" s="208"/>
      <c r="AI671" s="208"/>
      <c r="AJ671" s="208"/>
      <c r="AK671" s="208"/>
    </row>
    <row r="672">
      <c r="A672" s="234"/>
      <c r="B672" s="208"/>
      <c r="C672" s="208"/>
      <c r="D672" s="208"/>
      <c r="E672" s="208"/>
      <c r="F672" s="208"/>
      <c r="G672" s="208"/>
      <c r="H672" s="208"/>
      <c r="I672" s="233"/>
      <c r="J672" s="208"/>
      <c r="K672" s="208"/>
      <c r="L672" s="208"/>
      <c r="M672" s="208"/>
      <c r="N672" s="208"/>
      <c r="O672" s="208"/>
      <c r="P672" s="208"/>
      <c r="Q672" s="208"/>
      <c r="R672" s="208"/>
      <c r="S672" s="208"/>
      <c r="T672" s="208"/>
      <c r="U672" s="208"/>
      <c r="V672" s="208"/>
      <c r="W672" s="232"/>
      <c r="X672" s="232"/>
      <c r="Y672" s="232"/>
      <c r="Z672" s="232"/>
      <c r="AA672" s="232"/>
      <c r="AB672" s="232"/>
      <c r="AC672" s="232"/>
      <c r="AD672" s="232"/>
      <c r="AE672" s="232"/>
      <c r="AF672" s="232"/>
      <c r="AG672" s="208"/>
      <c r="AH672" s="208"/>
      <c r="AI672" s="208"/>
      <c r="AJ672" s="208"/>
      <c r="AK672" s="208"/>
    </row>
    <row r="673">
      <c r="A673" s="234"/>
      <c r="B673" s="208"/>
      <c r="C673" s="208"/>
      <c r="D673" s="208"/>
      <c r="E673" s="208"/>
      <c r="F673" s="208"/>
      <c r="G673" s="208"/>
      <c r="H673" s="208"/>
      <c r="I673" s="233"/>
      <c r="J673" s="208"/>
      <c r="K673" s="208"/>
      <c r="L673" s="208"/>
      <c r="M673" s="208"/>
      <c r="N673" s="208"/>
      <c r="O673" s="208"/>
      <c r="P673" s="208"/>
      <c r="Q673" s="208"/>
      <c r="R673" s="208"/>
      <c r="S673" s="208"/>
      <c r="T673" s="208"/>
      <c r="U673" s="208"/>
      <c r="V673" s="208"/>
      <c r="W673" s="232"/>
      <c r="X673" s="232"/>
      <c r="Y673" s="232"/>
      <c r="Z673" s="232"/>
      <c r="AA673" s="232"/>
      <c r="AB673" s="232"/>
      <c r="AC673" s="232"/>
      <c r="AD673" s="232"/>
      <c r="AE673" s="232"/>
      <c r="AF673" s="232"/>
      <c r="AG673" s="208"/>
      <c r="AH673" s="208"/>
      <c r="AI673" s="208"/>
      <c r="AJ673" s="208"/>
      <c r="AK673" s="208"/>
    </row>
    <row r="674">
      <c r="A674" s="234"/>
      <c r="B674" s="208"/>
      <c r="C674" s="208"/>
      <c r="D674" s="208"/>
      <c r="E674" s="208"/>
      <c r="F674" s="208"/>
      <c r="G674" s="208"/>
      <c r="H674" s="208"/>
      <c r="I674" s="233"/>
      <c r="J674" s="208"/>
      <c r="K674" s="208"/>
      <c r="L674" s="208"/>
      <c r="M674" s="208"/>
      <c r="N674" s="208"/>
      <c r="O674" s="208"/>
      <c r="P674" s="208"/>
      <c r="Q674" s="208"/>
      <c r="R674" s="208"/>
      <c r="S674" s="208"/>
      <c r="T674" s="208"/>
      <c r="U674" s="208"/>
      <c r="V674" s="208"/>
      <c r="W674" s="232"/>
      <c r="X674" s="232"/>
      <c r="Y674" s="232"/>
      <c r="Z674" s="232"/>
      <c r="AA674" s="232"/>
      <c r="AB674" s="232"/>
      <c r="AC674" s="232"/>
      <c r="AD674" s="232"/>
      <c r="AE674" s="232"/>
      <c r="AF674" s="232"/>
      <c r="AG674" s="208"/>
      <c r="AH674" s="208"/>
      <c r="AI674" s="208"/>
      <c r="AJ674" s="208"/>
      <c r="AK674" s="208"/>
    </row>
    <row r="675">
      <c r="A675" s="234"/>
      <c r="B675" s="208"/>
      <c r="C675" s="208"/>
      <c r="D675" s="208"/>
      <c r="E675" s="208"/>
      <c r="F675" s="208"/>
      <c r="G675" s="208"/>
      <c r="H675" s="208"/>
      <c r="I675" s="233"/>
      <c r="J675" s="208"/>
      <c r="K675" s="208"/>
      <c r="L675" s="208"/>
      <c r="M675" s="208"/>
      <c r="N675" s="208"/>
      <c r="O675" s="208"/>
      <c r="P675" s="208"/>
      <c r="Q675" s="208"/>
      <c r="R675" s="208"/>
      <c r="S675" s="208"/>
      <c r="T675" s="208"/>
      <c r="U675" s="208"/>
      <c r="V675" s="208"/>
      <c r="W675" s="232"/>
      <c r="X675" s="232"/>
      <c r="Y675" s="232"/>
      <c r="Z675" s="232"/>
      <c r="AA675" s="232"/>
      <c r="AB675" s="232"/>
      <c r="AC675" s="232"/>
      <c r="AD675" s="232"/>
      <c r="AE675" s="232"/>
      <c r="AF675" s="232"/>
      <c r="AG675" s="208"/>
      <c r="AH675" s="208"/>
      <c r="AI675" s="208"/>
      <c r="AJ675" s="208"/>
      <c r="AK675" s="208"/>
    </row>
    <row r="676">
      <c r="A676" s="234"/>
      <c r="B676" s="208"/>
      <c r="C676" s="208"/>
      <c r="D676" s="208"/>
      <c r="E676" s="208"/>
      <c r="F676" s="208"/>
      <c r="G676" s="208"/>
      <c r="H676" s="208"/>
      <c r="I676" s="233"/>
      <c r="J676" s="208"/>
      <c r="K676" s="208"/>
      <c r="L676" s="208"/>
      <c r="M676" s="208"/>
      <c r="N676" s="208"/>
      <c r="O676" s="208"/>
      <c r="P676" s="208"/>
      <c r="Q676" s="208"/>
      <c r="R676" s="208"/>
      <c r="S676" s="208"/>
      <c r="T676" s="208"/>
      <c r="U676" s="208"/>
      <c r="V676" s="208"/>
      <c r="W676" s="232"/>
      <c r="X676" s="232"/>
      <c r="Y676" s="232"/>
      <c r="Z676" s="232"/>
      <c r="AA676" s="232"/>
      <c r="AB676" s="232"/>
      <c r="AC676" s="232"/>
      <c r="AD676" s="232"/>
      <c r="AE676" s="232"/>
      <c r="AF676" s="232"/>
      <c r="AG676" s="208"/>
      <c r="AH676" s="208"/>
      <c r="AI676" s="208"/>
      <c r="AJ676" s="208"/>
      <c r="AK676" s="208"/>
    </row>
    <row r="677">
      <c r="A677" s="234"/>
      <c r="B677" s="208"/>
      <c r="C677" s="208"/>
      <c r="D677" s="208"/>
      <c r="E677" s="208"/>
      <c r="F677" s="208"/>
      <c r="G677" s="208"/>
      <c r="H677" s="208"/>
      <c r="I677" s="233"/>
      <c r="J677" s="208"/>
      <c r="K677" s="208"/>
      <c r="L677" s="208"/>
      <c r="M677" s="208"/>
      <c r="N677" s="208"/>
      <c r="O677" s="208"/>
      <c r="P677" s="208"/>
      <c r="Q677" s="208"/>
      <c r="R677" s="208"/>
      <c r="S677" s="208"/>
      <c r="T677" s="208"/>
      <c r="U677" s="208"/>
      <c r="V677" s="208"/>
      <c r="W677" s="232"/>
      <c r="X677" s="232"/>
      <c r="Y677" s="232"/>
      <c r="Z677" s="232"/>
      <c r="AA677" s="232"/>
      <c r="AB677" s="232"/>
      <c r="AC677" s="232"/>
      <c r="AD677" s="232"/>
      <c r="AE677" s="232"/>
      <c r="AF677" s="232"/>
      <c r="AG677" s="208"/>
      <c r="AH677" s="208"/>
      <c r="AI677" s="208"/>
      <c r="AJ677" s="208"/>
      <c r="AK677" s="208"/>
    </row>
    <row r="678">
      <c r="A678" s="234"/>
      <c r="B678" s="208"/>
      <c r="C678" s="208"/>
      <c r="D678" s="208"/>
      <c r="E678" s="208"/>
      <c r="F678" s="208"/>
      <c r="G678" s="208"/>
      <c r="H678" s="208"/>
      <c r="I678" s="233"/>
      <c r="J678" s="208"/>
      <c r="K678" s="208"/>
      <c r="L678" s="208"/>
      <c r="M678" s="208"/>
      <c r="N678" s="208"/>
      <c r="O678" s="208"/>
      <c r="P678" s="208"/>
      <c r="Q678" s="208"/>
      <c r="R678" s="208"/>
      <c r="S678" s="208"/>
      <c r="T678" s="208"/>
      <c r="U678" s="208"/>
      <c r="V678" s="208"/>
      <c r="W678" s="232"/>
      <c r="X678" s="232"/>
      <c r="Y678" s="232"/>
      <c r="Z678" s="232"/>
      <c r="AA678" s="232"/>
      <c r="AB678" s="232"/>
      <c r="AC678" s="232"/>
      <c r="AD678" s="232"/>
      <c r="AE678" s="232"/>
      <c r="AF678" s="232"/>
      <c r="AG678" s="208"/>
      <c r="AH678" s="208"/>
      <c r="AI678" s="208"/>
      <c r="AJ678" s="208"/>
      <c r="AK678" s="208"/>
    </row>
    <row r="679">
      <c r="A679" s="234"/>
      <c r="B679" s="208"/>
      <c r="C679" s="208"/>
      <c r="D679" s="208"/>
      <c r="E679" s="208"/>
      <c r="F679" s="208"/>
      <c r="G679" s="208"/>
      <c r="H679" s="208"/>
      <c r="I679" s="233"/>
      <c r="J679" s="208"/>
      <c r="K679" s="208"/>
      <c r="L679" s="208"/>
      <c r="M679" s="208"/>
      <c r="N679" s="208"/>
      <c r="O679" s="208"/>
      <c r="P679" s="208"/>
      <c r="Q679" s="208"/>
      <c r="R679" s="208"/>
      <c r="S679" s="208"/>
      <c r="T679" s="208"/>
      <c r="U679" s="208"/>
      <c r="V679" s="208"/>
      <c r="W679" s="232"/>
      <c r="X679" s="232"/>
      <c r="Y679" s="232"/>
      <c r="Z679" s="232"/>
      <c r="AA679" s="232"/>
      <c r="AB679" s="232"/>
      <c r="AC679" s="232"/>
      <c r="AD679" s="232"/>
      <c r="AE679" s="232"/>
      <c r="AF679" s="232"/>
      <c r="AG679" s="208"/>
      <c r="AH679" s="208"/>
      <c r="AI679" s="208"/>
      <c r="AJ679" s="208"/>
      <c r="AK679" s="208"/>
    </row>
    <row r="680">
      <c r="A680" s="234"/>
      <c r="B680" s="208"/>
      <c r="C680" s="208"/>
      <c r="D680" s="208"/>
      <c r="E680" s="208"/>
      <c r="F680" s="208"/>
      <c r="G680" s="208"/>
      <c r="H680" s="208"/>
      <c r="I680" s="233"/>
      <c r="J680" s="208"/>
      <c r="K680" s="208"/>
      <c r="L680" s="208"/>
      <c r="M680" s="208"/>
      <c r="N680" s="208"/>
      <c r="O680" s="208"/>
      <c r="P680" s="208"/>
      <c r="Q680" s="208"/>
      <c r="R680" s="208"/>
      <c r="S680" s="208"/>
      <c r="T680" s="208"/>
      <c r="U680" s="208"/>
      <c r="V680" s="208"/>
      <c r="W680" s="232"/>
      <c r="X680" s="232"/>
      <c r="Y680" s="232"/>
      <c r="Z680" s="232"/>
      <c r="AA680" s="232"/>
      <c r="AB680" s="232"/>
      <c r="AC680" s="232"/>
      <c r="AD680" s="232"/>
      <c r="AE680" s="232"/>
      <c r="AF680" s="232"/>
      <c r="AG680" s="208"/>
      <c r="AH680" s="208"/>
      <c r="AI680" s="208"/>
      <c r="AJ680" s="208"/>
      <c r="AK680" s="208"/>
    </row>
    <row r="681">
      <c r="A681" s="234"/>
      <c r="B681" s="208"/>
      <c r="C681" s="208"/>
      <c r="D681" s="208"/>
      <c r="E681" s="208"/>
      <c r="F681" s="208"/>
      <c r="G681" s="208"/>
      <c r="H681" s="208"/>
      <c r="I681" s="233"/>
      <c r="J681" s="208"/>
      <c r="K681" s="208"/>
      <c r="L681" s="208"/>
      <c r="M681" s="208"/>
      <c r="N681" s="208"/>
      <c r="O681" s="208"/>
      <c r="P681" s="208"/>
      <c r="Q681" s="208"/>
      <c r="R681" s="208"/>
      <c r="S681" s="208"/>
      <c r="T681" s="208"/>
      <c r="U681" s="208"/>
      <c r="V681" s="208"/>
      <c r="W681" s="232"/>
      <c r="X681" s="232"/>
      <c r="Y681" s="232"/>
      <c r="Z681" s="232"/>
      <c r="AA681" s="232"/>
      <c r="AB681" s="232"/>
      <c r="AC681" s="232"/>
      <c r="AD681" s="232"/>
      <c r="AE681" s="232"/>
      <c r="AF681" s="232"/>
      <c r="AG681" s="208"/>
      <c r="AH681" s="208"/>
      <c r="AI681" s="208"/>
      <c r="AJ681" s="208"/>
      <c r="AK681" s="208"/>
    </row>
    <row r="682">
      <c r="A682" s="234"/>
      <c r="B682" s="208"/>
      <c r="C682" s="208"/>
      <c r="D682" s="208"/>
      <c r="E682" s="208"/>
      <c r="F682" s="208"/>
      <c r="G682" s="208"/>
      <c r="H682" s="208"/>
      <c r="I682" s="233"/>
      <c r="J682" s="208"/>
      <c r="K682" s="208"/>
      <c r="L682" s="208"/>
      <c r="M682" s="208"/>
      <c r="N682" s="208"/>
      <c r="O682" s="208"/>
      <c r="P682" s="208"/>
      <c r="Q682" s="208"/>
      <c r="R682" s="208"/>
      <c r="S682" s="208"/>
      <c r="T682" s="208"/>
      <c r="U682" s="208"/>
      <c r="V682" s="208"/>
      <c r="W682" s="232"/>
      <c r="X682" s="232"/>
      <c r="Y682" s="232"/>
      <c r="Z682" s="232"/>
      <c r="AA682" s="232"/>
      <c r="AB682" s="232"/>
      <c r="AC682" s="232"/>
      <c r="AD682" s="232"/>
      <c r="AE682" s="232"/>
      <c r="AF682" s="232"/>
      <c r="AG682" s="208"/>
      <c r="AH682" s="208"/>
      <c r="AI682" s="208"/>
      <c r="AJ682" s="208"/>
      <c r="AK682" s="208"/>
    </row>
    <row r="683">
      <c r="A683" s="234"/>
      <c r="B683" s="208"/>
      <c r="C683" s="208"/>
      <c r="D683" s="208"/>
      <c r="E683" s="208"/>
      <c r="F683" s="208"/>
      <c r="G683" s="208"/>
      <c r="H683" s="208"/>
      <c r="I683" s="233"/>
      <c r="J683" s="208"/>
      <c r="K683" s="208"/>
      <c r="L683" s="208"/>
      <c r="M683" s="208"/>
      <c r="N683" s="208"/>
      <c r="O683" s="208"/>
      <c r="P683" s="208"/>
      <c r="Q683" s="208"/>
      <c r="R683" s="208"/>
      <c r="S683" s="208"/>
      <c r="T683" s="208"/>
      <c r="U683" s="208"/>
      <c r="V683" s="208"/>
      <c r="W683" s="232"/>
      <c r="X683" s="232"/>
      <c r="Y683" s="232"/>
      <c r="Z683" s="232"/>
      <c r="AA683" s="232"/>
      <c r="AB683" s="232"/>
      <c r="AC683" s="232"/>
      <c r="AD683" s="232"/>
      <c r="AE683" s="232"/>
      <c r="AF683" s="232"/>
      <c r="AG683" s="208"/>
      <c r="AH683" s="208"/>
      <c r="AI683" s="208"/>
      <c r="AJ683" s="208"/>
      <c r="AK683" s="208"/>
    </row>
    <row r="684">
      <c r="A684" s="234"/>
      <c r="B684" s="208"/>
      <c r="C684" s="208"/>
      <c r="D684" s="208"/>
      <c r="E684" s="208"/>
      <c r="F684" s="208"/>
      <c r="G684" s="208"/>
      <c r="H684" s="208"/>
      <c r="I684" s="233"/>
      <c r="J684" s="208"/>
      <c r="K684" s="208"/>
      <c r="L684" s="208"/>
      <c r="M684" s="208"/>
      <c r="N684" s="208"/>
      <c r="O684" s="208"/>
      <c r="P684" s="208"/>
      <c r="Q684" s="208"/>
      <c r="R684" s="208"/>
      <c r="S684" s="208"/>
      <c r="T684" s="208"/>
      <c r="U684" s="208"/>
      <c r="V684" s="208"/>
      <c r="W684" s="232"/>
      <c r="X684" s="232"/>
      <c r="Y684" s="232"/>
      <c r="Z684" s="232"/>
      <c r="AA684" s="232"/>
      <c r="AB684" s="232"/>
      <c r="AC684" s="232"/>
      <c r="AD684" s="232"/>
      <c r="AE684" s="232"/>
      <c r="AF684" s="232"/>
      <c r="AG684" s="208"/>
      <c r="AH684" s="208"/>
      <c r="AI684" s="208"/>
      <c r="AJ684" s="208"/>
      <c r="AK684" s="208"/>
    </row>
    <row r="685">
      <c r="A685" s="234"/>
      <c r="B685" s="208"/>
      <c r="C685" s="208"/>
      <c r="D685" s="208"/>
      <c r="E685" s="208"/>
      <c r="F685" s="208"/>
      <c r="G685" s="208"/>
      <c r="H685" s="208"/>
      <c r="I685" s="233"/>
      <c r="J685" s="208"/>
      <c r="K685" s="208"/>
      <c r="L685" s="208"/>
      <c r="M685" s="208"/>
      <c r="N685" s="208"/>
      <c r="O685" s="208"/>
      <c r="P685" s="208"/>
      <c r="Q685" s="208"/>
      <c r="R685" s="208"/>
      <c r="S685" s="208"/>
      <c r="T685" s="208"/>
      <c r="U685" s="208"/>
      <c r="V685" s="208"/>
      <c r="W685" s="232"/>
      <c r="X685" s="232"/>
      <c r="Y685" s="232"/>
      <c r="Z685" s="232"/>
      <c r="AA685" s="232"/>
      <c r="AB685" s="232"/>
      <c r="AC685" s="232"/>
      <c r="AD685" s="232"/>
      <c r="AE685" s="232"/>
      <c r="AF685" s="232"/>
      <c r="AG685" s="208"/>
      <c r="AH685" s="208"/>
      <c r="AI685" s="208"/>
      <c r="AJ685" s="208"/>
      <c r="AK685" s="208"/>
    </row>
    <row r="686">
      <c r="A686" s="234"/>
      <c r="B686" s="208"/>
      <c r="C686" s="208"/>
      <c r="D686" s="208"/>
      <c r="E686" s="208"/>
      <c r="F686" s="208"/>
      <c r="G686" s="208"/>
      <c r="H686" s="208"/>
      <c r="I686" s="233"/>
      <c r="J686" s="208"/>
      <c r="K686" s="208"/>
      <c r="L686" s="208"/>
      <c r="M686" s="208"/>
      <c r="N686" s="208"/>
      <c r="O686" s="208"/>
      <c r="P686" s="208"/>
      <c r="Q686" s="208"/>
      <c r="R686" s="208"/>
      <c r="S686" s="208"/>
      <c r="T686" s="208"/>
      <c r="U686" s="208"/>
      <c r="V686" s="208"/>
      <c r="W686" s="232"/>
      <c r="X686" s="232"/>
      <c r="Y686" s="232"/>
      <c r="Z686" s="232"/>
      <c r="AA686" s="232"/>
      <c r="AB686" s="232"/>
      <c r="AC686" s="232"/>
      <c r="AD686" s="232"/>
      <c r="AE686" s="232"/>
      <c r="AF686" s="232"/>
      <c r="AG686" s="208"/>
      <c r="AH686" s="208"/>
      <c r="AI686" s="208"/>
      <c r="AJ686" s="208"/>
      <c r="AK686" s="208"/>
    </row>
    <row r="687">
      <c r="A687" s="234"/>
      <c r="B687" s="208"/>
      <c r="C687" s="208"/>
      <c r="D687" s="208"/>
      <c r="E687" s="208"/>
      <c r="F687" s="208"/>
      <c r="G687" s="208"/>
      <c r="H687" s="208"/>
      <c r="I687" s="233"/>
      <c r="J687" s="208"/>
      <c r="K687" s="208"/>
      <c r="L687" s="208"/>
      <c r="M687" s="208"/>
      <c r="N687" s="208"/>
      <c r="O687" s="208"/>
      <c r="P687" s="208"/>
      <c r="Q687" s="208"/>
      <c r="R687" s="208"/>
      <c r="S687" s="208"/>
      <c r="T687" s="208"/>
      <c r="U687" s="208"/>
      <c r="V687" s="208"/>
      <c r="W687" s="232"/>
      <c r="X687" s="232"/>
      <c r="Y687" s="232"/>
      <c r="Z687" s="232"/>
      <c r="AA687" s="232"/>
      <c r="AB687" s="232"/>
      <c r="AC687" s="232"/>
      <c r="AD687" s="232"/>
      <c r="AE687" s="232"/>
      <c r="AF687" s="232"/>
      <c r="AG687" s="208"/>
      <c r="AH687" s="208"/>
      <c r="AI687" s="208"/>
      <c r="AJ687" s="208"/>
      <c r="AK687" s="208"/>
    </row>
    <row r="688">
      <c r="A688" s="234"/>
      <c r="B688" s="208"/>
      <c r="C688" s="208"/>
      <c r="D688" s="208"/>
      <c r="E688" s="208"/>
      <c r="F688" s="208"/>
      <c r="G688" s="208"/>
      <c r="H688" s="208"/>
      <c r="I688" s="233"/>
      <c r="J688" s="208"/>
      <c r="K688" s="208"/>
      <c r="L688" s="208"/>
      <c r="M688" s="208"/>
      <c r="N688" s="208"/>
      <c r="O688" s="208"/>
      <c r="P688" s="208"/>
      <c r="Q688" s="208"/>
      <c r="R688" s="208"/>
      <c r="S688" s="208"/>
      <c r="T688" s="208"/>
      <c r="U688" s="208"/>
      <c r="V688" s="208"/>
      <c r="W688" s="232"/>
      <c r="X688" s="232"/>
      <c r="Y688" s="232"/>
      <c r="Z688" s="232"/>
      <c r="AA688" s="232"/>
      <c r="AB688" s="232"/>
      <c r="AC688" s="232"/>
      <c r="AD688" s="232"/>
      <c r="AE688" s="232"/>
      <c r="AF688" s="232"/>
      <c r="AG688" s="208"/>
      <c r="AH688" s="208"/>
      <c r="AI688" s="208"/>
      <c r="AJ688" s="208"/>
      <c r="AK688" s="208"/>
    </row>
    <row r="689">
      <c r="A689" s="234"/>
      <c r="B689" s="208"/>
      <c r="C689" s="208"/>
      <c r="D689" s="208"/>
      <c r="E689" s="208"/>
      <c r="F689" s="208"/>
      <c r="G689" s="208"/>
      <c r="H689" s="208"/>
      <c r="I689" s="233"/>
      <c r="J689" s="208"/>
      <c r="K689" s="208"/>
      <c r="L689" s="208"/>
      <c r="M689" s="208"/>
      <c r="N689" s="208"/>
      <c r="O689" s="208"/>
      <c r="P689" s="208"/>
      <c r="Q689" s="208"/>
      <c r="R689" s="208"/>
      <c r="S689" s="208"/>
      <c r="T689" s="208"/>
      <c r="U689" s="208"/>
      <c r="V689" s="208"/>
      <c r="W689" s="232"/>
      <c r="X689" s="232"/>
      <c r="Y689" s="232"/>
      <c r="Z689" s="232"/>
      <c r="AA689" s="232"/>
      <c r="AB689" s="232"/>
      <c r="AC689" s="232"/>
      <c r="AD689" s="232"/>
      <c r="AE689" s="232"/>
      <c r="AF689" s="232"/>
      <c r="AG689" s="208"/>
      <c r="AH689" s="208"/>
      <c r="AI689" s="208"/>
      <c r="AJ689" s="208"/>
      <c r="AK689" s="208"/>
    </row>
    <row r="690">
      <c r="A690" s="234"/>
      <c r="B690" s="208"/>
      <c r="C690" s="208"/>
      <c r="D690" s="208"/>
      <c r="E690" s="208"/>
      <c r="F690" s="208"/>
      <c r="G690" s="208"/>
      <c r="H690" s="208"/>
      <c r="I690" s="233"/>
      <c r="J690" s="208"/>
      <c r="K690" s="208"/>
      <c r="L690" s="208"/>
      <c r="M690" s="208"/>
      <c r="N690" s="208"/>
      <c r="O690" s="208"/>
      <c r="P690" s="208"/>
      <c r="Q690" s="208"/>
      <c r="R690" s="208"/>
      <c r="S690" s="208"/>
      <c r="T690" s="208"/>
      <c r="U690" s="208"/>
      <c r="V690" s="208"/>
      <c r="W690" s="232"/>
      <c r="X690" s="232"/>
      <c r="Y690" s="232"/>
      <c r="Z690" s="232"/>
      <c r="AA690" s="232"/>
      <c r="AB690" s="232"/>
      <c r="AC690" s="232"/>
      <c r="AD690" s="232"/>
      <c r="AE690" s="232"/>
      <c r="AF690" s="232"/>
      <c r="AG690" s="208"/>
      <c r="AH690" s="208"/>
      <c r="AI690" s="208"/>
      <c r="AJ690" s="208"/>
      <c r="AK690" s="208"/>
    </row>
    <row r="691">
      <c r="A691" s="234"/>
      <c r="B691" s="208"/>
      <c r="C691" s="208"/>
      <c r="D691" s="208"/>
      <c r="E691" s="208"/>
      <c r="F691" s="208"/>
      <c r="G691" s="208"/>
      <c r="H691" s="208"/>
      <c r="I691" s="233"/>
      <c r="J691" s="208"/>
      <c r="K691" s="208"/>
      <c r="L691" s="208"/>
      <c r="M691" s="208"/>
      <c r="N691" s="208"/>
      <c r="O691" s="208"/>
      <c r="P691" s="208"/>
      <c r="Q691" s="208"/>
      <c r="R691" s="208"/>
      <c r="S691" s="208"/>
      <c r="T691" s="208"/>
      <c r="U691" s="208"/>
      <c r="V691" s="208"/>
      <c r="W691" s="232"/>
      <c r="X691" s="232"/>
      <c r="Y691" s="232"/>
      <c r="Z691" s="232"/>
      <c r="AA691" s="232"/>
      <c r="AB691" s="232"/>
      <c r="AC691" s="232"/>
      <c r="AD691" s="232"/>
      <c r="AE691" s="232"/>
      <c r="AF691" s="232"/>
      <c r="AG691" s="208"/>
      <c r="AH691" s="208"/>
      <c r="AI691" s="208"/>
      <c r="AJ691" s="208"/>
      <c r="AK691" s="208"/>
    </row>
    <row r="692">
      <c r="A692" s="234"/>
      <c r="B692" s="208"/>
      <c r="C692" s="208"/>
      <c r="D692" s="208"/>
      <c r="E692" s="208"/>
      <c r="F692" s="208"/>
      <c r="G692" s="208"/>
      <c r="H692" s="208"/>
      <c r="I692" s="233"/>
      <c r="J692" s="208"/>
      <c r="K692" s="208"/>
      <c r="L692" s="208"/>
      <c r="M692" s="208"/>
      <c r="N692" s="208"/>
      <c r="O692" s="208"/>
      <c r="P692" s="208"/>
      <c r="Q692" s="208"/>
      <c r="R692" s="208"/>
      <c r="S692" s="208"/>
      <c r="T692" s="208"/>
      <c r="U692" s="208"/>
      <c r="V692" s="208"/>
      <c r="W692" s="232"/>
      <c r="X692" s="232"/>
      <c r="Y692" s="232"/>
      <c r="Z692" s="232"/>
      <c r="AA692" s="232"/>
      <c r="AB692" s="232"/>
      <c r="AC692" s="232"/>
      <c r="AD692" s="232"/>
      <c r="AE692" s="232"/>
      <c r="AF692" s="232"/>
      <c r="AG692" s="208"/>
      <c r="AH692" s="208"/>
      <c r="AI692" s="208"/>
      <c r="AJ692" s="208"/>
      <c r="AK692" s="208"/>
    </row>
    <row r="693">
      <c r="A693" s="234"/>
      <c r="B693" s="208"/>
      <c r="C693" s="208"/>
      <c r="D693" s="208"/>
      <c r="E693" s="208"/>
      <c r="F693" s="208"/>
      <c r="G693" s="208"/>
      <c r="H693" s="208"/>
      <c r="I693" s="233"/>
      <c r="J693" s="208"/>
      <c r="K693" s="208"/>
      <c r="L693" s="208"/>
      <c r="M693" s="208"/>
      <c r="N693" s="208"/>
      <c r="O693" s="208"/>
      <c r="P693" s="208"/>
      <c r="Q693" s="208"/>
      <c r="R693" s="208"/>
      <c r="S693" s="208"/>
      <c r="T693" s="208"/>
      <c r="U693" s="208"/>
      <c r="V693" s="208"/>
      <c r="W693" s="232"/>
      <c r="X693" s="232"/>
      <c r="Y693" s="232"/>
      <c r="Z693" s="232"/>
      <c r="AA693" s="232"/>
      <c r="AB693" s="232"/>
      <c r="AC693" s="232"/>
      <c r="AD693" s="232"/>
      <c r="AE693" s="232"/>
      <c r="AF693" s="232"/>
      <c r="AG693" s="208"/>
      <c r="AH693" s="208"/>
      <c r="AI693" s="208"/>
      <c r="AJ693" s="208"/>
      <c r="AK693" s="208"/>
    </row>
    <row r="694">
      <c r="A694" s="234"/>
      <c r="B694" s="208"/>
      <c r="C694" s="208"/>
      <c r="D694" s="208"/>
      <c r="E694" s="208"/>
      <c r="F694" s="208"/>
      <c r="G694" s="208"/>
      <c r="H694" s="208"/>
      <c r="I694" s="233"/>
      <c r="J694" s="208"/>
      <c r="K694" s="208"/>
      <c r="L694" s="208"/>
      <c r="M694" s="208"/>
      <c r="N694" s="208"/>
      <c r="O694" s="208"/>
      <c r="P694" s="208"/>
      <c r="Q694" s="208"/>
      <c r="R694" s="208"/>
      <c r="S694" s="208"/>
      <c r="T694" s="208"/>
      <c r="U694" s="208"/>
      <c r="V694" s="208"/>
      <c r="W694" s="232"/>
      <c r="X694" s="232"/>
      <c r="Y694" s="232"/>
      <c r="Z694" s="232"/>
      <c r="AA694" s="232"/>
      <c r="AB694" s="232"/>
      <c r="AC694" s="232"/>
      <c r="AD694" s="232"/>
      <c r="AE694" s="232"/>
      <c r="AF694" s="232"/>
      <c r="AG694" s="208"/>
      <c r="AH694" s="208"/>
      <c r="AI694" s="208"/>
      <c r="AJ694" s="208"/>
      <c r="AK694" s="208"/>
    </row>
    <row r="695">
      <c r="A695" s="234"/>
      <c r="B695" s="208"/>
      <c r="C695" s="208"/>
      <c r="D695" s="208"/>
      <c r="E695" s="208"/>
      <c r="F695" s="208"/>
      <c r="G695" s="208"/>
      <c r="H695" s="208"/>
      <c r="I695" s="233"/>
      <c r="J695" s="208"/>
      <c r="K695" s="208"/>
      <c r="L695" s="208"/>
      <c r="M695" s="208"/>
      <c r="N695" s="208"/>
      <c r="O695" s="208"/>
      <c r="P695" s="208"/>
      <c r="Q695" s="208"/>
      <c r="R695" s="208"/>
      <c r="S695" s="208"/>
      <c r="T695" s="208"/>
      <c r="U695" s="208"/>
      <c r="V695" s="208"/>
      <c r="W695" s="232"/>
      <c r="X695" s="232"/>
      <c r="Y695" s="232"/>
      <c r="Z695" s="232"/>
      <c r="AA695" s="232"/>
      <c r="AB695" s="232"/>
      <c r="AC695" s="232"/>
      <c r="AD695" s="232"/>
      <c r="AE695" s="232"/>
      <c r="AF695" s="232"/>
      <c r="AG695" s="208"/>
      <c r="AH695" s="208"/>
      <c r="AI695" s="208"/>
      <c r="AJ695" s="208"/>
      <c r="AK695" s="208"/>
    </row>
    <row r="696">
      <c r="A696" s="234"/>
      <c r="B696" s="208"/>
      <c r="C696" s="208"/>
      <c r="D696" s="208"/>
      <c r="E696" s="208"/>
      <c r="F696" s="208"/>
      <c r="G696" s="208"/>
      <c r="H696" s="208"/>
      <c r="I696" s="233"/>
      <c r="J696" s="208"/>
      <c r="K696" s="208"/>
      <c r="L696" s="208"/>
      <c r="M696" s="208"/>
      <c r="N696" s="208"/>
      <c r="O696" s="208"/>
      <c r="P696" s="208"/>
      <c r="Q696" s="208"/>
      <c r="R696" s="208"/>
      <c r="S696" s="208"/>
      <c r="T696" s="208"/>
      <c r="U696" s="208"/>
      <c r="V696" s="208"/>
      <c r="W696" s="232"/>
      <c r="X696" s="232"/>
      <c r="Y696" s="232"/>
      <c r="Z696" s="232"/>
      <c r="AA696" s="232"/>
      <c r="AB696" s="232"/>
      <c r="AC696" s="232"/>
      <c r="AD696" s="232"/>
      <c r="AE696" s="232"/>
      <c r="AF696" s="232"/>
      <c r="AG696" s="208"/>
      <c r="AH696" s="208"/>
      <c r="AI696" s="208"/>
      <c r="AJ696" s="208"/>
      <c r="AK696" s="208"/>
    </row>
    <row r="697">
      <c r="A697" s="234"/>
      <c r="B697" s="208"/>
      <c r="C697" s="208"/>
      <c r="D697" s="208"/>
      <c r="E697" s="208"/>
      <c r="F697" s="208"/>
      <c r="G697" s="208"/>
      <c r="H697" s="208"/>
      <c r="I697" s="233"/>
      <c r="J697" s="208"/>
      <c r="K697" s="208"/>
      <c r="L697" s="208"/>
      <c r="M697" s="208"/>
      <c r="N697" s="208"/>
      <c r="O697" s="208"/>
      <c r="P697" s="208"/>
      <c r="Q697" s="208"/>
      <c r="R697" s="208"/>
      <c r="S697" s="208"/>
      <c r="T697" s="208"/>
      <c r="U697" s="208"/>
      <c r="V697" s="208"/>
      <c r="W697" s="232"/>
      <c r="X697" s="232"/>
      <c r="Y697" s="232"/>
      <c r="Z697" s="232"/>
      <c r="AA697" s="232"/>
      <c r="AB697" s="232"/>
      <c r="AC697" s="232"/>
      <c r="AD697" s="232"/>
      <c r="AE697" s="232"/>
      <c r="AF697" s="232"/>
      <c r="AG697" s="208"/>
      <c r="AH697" s="208"/>
      <c r="AI697" s="208"/>
      <c r="AJ697" s="208"/>
      <c r="AK697" s="208"/>
    </row>
    <row r="698">
      <c r="A698" s="234"/>
      <c r="B698" s="208"/>
      <c r="C698" s="208"/>
      <c r="D698" s="208"/>
      <c r="E698" s="208"/>
      <c r="F698" s="208"/>
      <c r="G698" s="208"/>
      <c r="H698" s="208"/>
      <c r="I698" s="233"/>
      <c r="J698" s="208"/>
      <c r="K698" s="208"/>
      <c r="L698" s="208"/>
      <c r="M698" s="208"/>
      <c r="N698" s="208"/>
      <c r="O698" s="208"/>
      <c r="P698" s="208"/>
      <c r="Q698" s="208"/>
      <c r="R698" s="208"/>
      <c r="S698" s="208"/>
      <c r="T698" s="208"/>
      <c r="U698" s="208"/>
      <c r="V698" s="208"/>
      <c r="W698" s="232"/>
      <c r="X698" s="232"/>
      <c r="Y698" s="232"/>
      <c r="Z698" s="232"/>
      <c r="AA698" s="232"/>
      <c r="AB698" s="232"/>
      <c r="AC698" s="232"/>
      <c r="AD698" s="232"/>
      <c r="AE698" s="232"/>
      <c r="AF698" s="232"/>
      <c r="AG698" s="208"/>
      <c r="AH698" s="208"/>
      <c r="AI698" s="208"/>
      <c r="AJ698" s="208"/>
      <c r="AK698" s="208"/>
    </row>
    <row r="699">
      <c r="A699" s="234"/>
      <c r="B699" s="208"/>
      <c r="C699" s="208"/>
      <c r="D699" s="208"/>
      <c r="E699" s="208"/>
      <c r="F699" s="208"/>
      <c r="G699" s="208"/>
      <c r="H699" s="208"/>
      <c r="I699" s="233"/>
      <c r="J699" s="208"/>
      <c r="K699" s="208"/>
      <c r="L699" s="208"/>
      <c r="M699" s="208"/>
      <c r="N699" s="208"/>
      <c r="O699" s="208"/>
      <c r="P699" s="208"/>
      <c r="Q699" s="208"/>
      <c r="R699" s="208"/>
      <c r="S699" s="208"/>
      <c r="T699" s="208"/>
      <c r="U699" s="208"/>
      <c r="V699" s="208"/>
      <c r="W699" s="232"/>
      <c r="X699" s="232"/>
      <c r="Y699" s="232"/>
      <c r="Z699" s="232"/>
      <c r="AA699" s="232"/>
      <c r="AB699" s="232"/>
      <c r="AC699" s="232"/>
      <c r="AD699" s="232"/>
      <c r="AE699" s="232"/>
      <c r="AF699" s="232"/>
      <c r="AG699" s="208"/>
      <c r="AH699" s="208"/>
      <c r="AI699" s="208"/>
      <c r="AJ699" s="208"/>
      <c r="AK699" s="208"/>
    </row>
    <row r="700">
      <c r="A700" s="234"/>
      <c r="B700" s="208"/>
      <c r="C700" s="208"/>
      <c r="D700" s="208"/>
      <c r="E700" s="208"/>
      <c r="F700" s="208"/>
      <c r="G700" s="208"/>
      <c r="H700" s="208"/>
      <c r="I700" s="233"/>
      <c r="J700" s="208"/>
      <c r="K700" s="208"/>
      <c r="L700" s="208"/>
      <c r="M700" s="208"/>
      <c r="N700" s="208"/>
      <c r="O700" s="208"/>
      <c r="P700" s="208"/>
      <c r="Q700" s="208"/>
      <c r="R700" s="208"/>
      <c r="S700" s="208"/>
      <c r="T700" s="208"/>
      <c r="U700" s="208"/>
      <c r="V700" s="208"/>
      <c r="W700" s="232"/>
      <c r="X700" s="232"/>
      <c r="Y700" s="232"/>
      <c r="Z700" s="232"/>
      <c r="AA700" s="232"/>
      <c r="AB700" s="232"/>
      <c r="AC700" s="232"/>
      <c r="AD700" s="232"/>
      <c r="AE700" s="232"/>
      <c r="AF700" s="232"/>
      <c r="AG700" s="208"/>
      <c r="AH700" s="208"/>
      <c r="AI700" s="208"/>
      <c r="AJ700" s="208"/>
      <c r="AK700" s="208"/>
    </row>
    <row r="701">
      <c r="A701" s="234"/>
      <c r="B701" s="208"/>
      <c r="C701" s="208"/>
      <c r="D701" s="208"/>
      <c r="E701" s="208"/>
      <c r="F701" s="208"/>
      <c r="G701" s="208"/>
      <c r="H701" s="208"/>
      <c r="I701" s="233"/>
      <c r="J701" s="208"/>
      <c r="K701" s="208"/>
      <c r="L701" s="208"/>
      <c r="M701" s="208"/>
      <c r="N701" s="208"/>
      <c r="O701" s="208"/>
      <c r="P701" s="208"/>
      <c r="Q701" s="208"/>
      <c r="R701" s="208"/>
      <c r="S701" s="208"/>
      <c r="T701" s="208"/>
      <c r="U701" s="208"/>
      <c r="V701" s="208"/>
      <c r="W701" s="232"/>
      <c r="X701" s="232"/>
      <c r="Y701" s="232"/>
      <c r="Z701" s="232"/>
      <c r="AA701" s="232"/>
      <c r="AB701" s="232"/>
      <c r="AC701" s="232"/>
      <c r="AD701" s="232"/>
      <c r="AE701" s="232"/>
      <c r="AF701" s="232"/>
      <c r="AG701" s="208"/>
      <c r="AH701" s="208"/>
      <c r="AI701" s="208"/>
      <c r="AJ701" s="208"/>
      <c r="AK701" s="208"/>
    </row>
    <row r="702">
      <c r="A702" s="234"/>
      <c r="B702" s="208"/>
      <c r="C702" s="208"/>
      <c r="D702" s="208"/>
      <c r="E702" s="208"/>
      <c r="F702" s="208"/>
      <c r="G702" s="208"/>
      <c r="H702" s="208"/>
      <c r="I702" s="233"/>
      <c r="J702" s="208"/>
      <c r="K702" s="208"/>
      <c r="L702" s="208"/>
      <c r="M702" s="208"/>
      <c r="N702" s="208"/>
      <c r="O702" s="208"/>
      <c r="P702" s="208"/>
      <c r="Q702" s="208"/>
      <c r="R702" s="208"/>
      <c r="S702" s="208"/>
      <c r="T702" s="208"/>
      <c r="U702" s="208"/>
      <c r="V702" s="208"/>
      <c r="W702" s="232"/>
      <c r="X702" s="232"/>
      <c r="Y702" s="232"/>
      <c r="Z702" s="232"/>
      <c r="AA702" s="232"/>
      <c r="AB702" s="232"/>
      <c r="AC702" s="232"/>
      <c r="AD702" s="232"/>
      <c r="AE702" s="232"/>
      <c r="AF702" s="232"/>
      <c r="AG702" s="208"/>
      <c r="AH702" s="208"/>
      <c r="AI702" s="208"/>
      <c r="AJ702" s="208"/>
      <c r="AK702" s="208"/>
    </row>
    <row r="703">
      <c r="A703" s="234"/>
      <c r="B703" s="208"/>
      <c r="C703" s="208"/>
      <c r="D703" s="208"/>
      <c r="E703" s="208"/>
      <c r="F703" s="208"/>
      <c r="G703" s="208"/>
      <c r="H703" s="208"/>
      <c r="I703" s="233"/>
      <c r="J703" s="208"/>
      <c r="K703" s="208"/>
      <c r="L703" s="208"/>
      <c r="M703" s="208"/>
      <c r="N703" s="208"/>
      <c r="O703" s="208"/>
      <c r="P703" s="208"/>
      <c r="Q703" s="208"/>
      <c r="R703" s="208"/>
      <c r="S703" s="208"/>
      <c r="T703" s="208"/>
      <c r="U703" s="208"/>
      <c r="V703" s="208"/>
      <c r="W703" s="232"/>
      <c r="X703" s="232"/>
      <c r="Y703" s="232"/>
      <c r="Z703" s="232"/>
      <c r="AA703" s="232"/>
      <c r="AB703" s="232"/>
      <c r="AC703" s="232"/>
      <c r="AD703" s="232"/>
      <c r="AE703" s="232"/>
      <c r="AF703" s="232"/>
      <c r="AG703" s="208"/>
      <c r="AH703" s="208"/>
      <c r="AI703" s="208"/>
      <c r="AJ703" s="208"/>
      <c r="AK703" s="208"/>
    </row>
    <row r="704">
      <c r="A704" s="234"/>
      <c r="B704" s="208"/>
      <c r="C704" s="208"/>
      <c r="D704" s="208"/>
      <c r="E704" s="208"/>
      <c r="F704" s="208"/>
      <c r="G704" s="208"/>
      <c r="H704" s="208"/>
      <c r="I704" s="233"/>
      <c r="J704" s="208"/>
      <c r="K704" s="208"/>
      <c r="L704" s="208"/>
      <c r="M704" s="208"/>
      <c r="N704" s="208"/>
      <c r="O704" s="208"/>
      <c r="P704" s="208"/>
      <c r="Q704" s="208"/>
      <c r="R704" s="208"/>
      <c r="S704" s="208"/>
      <c r="T704" s="208"/>
      <c r="U704" s="208"/>
      <c r="V704" s="208"/>
      <c r="W704" s="232"/>
      <c r="X704" s="232"/>
      <c r="Y704" s="232"/>
      <c r="Z704" s="232"/>
      <c r="AA704" s="232"/>
      <c r="AB704" s="232"/>
      <c r="AC704" s="232"/>
      <c r="AD704" s="232"/>
      <c r="AE704" s="232"/>
      <c r="AF704" s="232"/>
      <c r="AG704" s="208"/>
      <c r="AH704" s="208"/>
      <c r="AI704" s="208"/>
      <c r="AJ704" s="208"/>
      <c r="AK704" s="208"/>
    </row>
    <row r="705">
      <c r="A705" s="234"/>
      <c r="B705" s="208"/>
      <c r="C705" s="208"/>
      <c r="D705" s="208"/>
      <c r="E705" s="208"/>
      <c r="F705" s="208"/>
      <c r="G705" s="208"/>
      <c r="H705" s="208"/>
      <c r="I705" s="233"/>
      <c r="J705" s="208"/>
      <c r="K705" s="208"/>
      <c r="L705" s="208"/>
      <c r="M705" s="208"/>
      <c r="N705" s="208"/>
      <c r="O705" s="208"/>
      <c r="P705" s="208"/>
      <c r="Q705" s="208"/>
      <c r="R705" s="208"/>
      <c r="S705" s="208"/>
      <c r="T705" s="208"/>
      <c r="U705" s="208"/>
      <c r="V705" s="208"/>
      <c r="W705" s="232"/>
      <c r="X705" s="232"/>
      <c r="Y705" s="232"/>
      <c r="Z705" s="232"/>
      <c r="AA705" s="232"/>
      <c r="AB705" s="232"/>
      <c r="AC705" s="232"/>
      <c r="AD705" s="232"/>
      <c r="AE705" s="232"/>
      <c r="AF705" s="232"/>
      <c r="AG705" s="208"/>
      <c r="AH705" s="208"/>
      <c r="AI705" s="208"/>
      <c r="AJ705" s="208"/>
      <c r="AK705" s="208"/>
    </row>
    <row r="706">
      <c r="A706" s="234"/>
      <c r="B706" s="208"/>
      <c r="C706" s="208"/>
      <c r="D706" s="208"/>
      <c r="E706" s="208"/>
      <c r="F706" s="208"/>
      <c r="G706" s="208"/>
      <c r="H706" s="208"/>
      <c r="I706" s="233"/>
      <c r="J706" s="208"/>
      <c r="K706" s="208"/>
      <c r="L706" s="208"/>
      <c r="M706" s="208"/>
      <c r="N706" s="208"/>
      <c r="O706" s="208"/>
      <c r="P706" s="208"/>
      <c r="Q706" s="208"/>
      <c r="R706" s="208"/>
      <c r="S706" s="208"/>
      <c r="T706" s="208"/>
      <c r="U706" s="208"/>
      <c r="V706" s="208"/>
      <c r="W706" s="232"/>
      <c r="X706" s="232"/>
      <c r="Y706" s="232"/>
      <c r="Z706" s="232"/>
      <c r="AA706" s="232"/>
      <c r="AB706" s="232"/>
      <c r="AC706" s="232"/>
      <c r="AD706" s="232"/>
      <c r="AE706" s="232"/>
      <c r="AF706" s="232"/>
      <c r="AG706" s="208"/>
      <c r="AH706" s="208"/>
      <c r="AI706" s="208"/>
      <c r="AJ706" s="208"/>
      <c r="AK706" s="208"/>
    </row>
    <row r="707">
      <c r="A707" s="234"/>
      <c r="B707" s="208"/>
      <c r="C707" s="208"/>
      <c r="D707" s="208"/>
      <c r="E707" s="208"/>
      <c r="F707" s="208"/>
      <c r="G707" s="208"/>
      <c r="H707" s="208"/>
      <c r="I707" s="233"/>
      <c r="J707" s="208"/>
      <c r="K707" s="208"/>
      <c r="L707" s="208"/>
      <c r="M707" s="208"/>
      <c r="N707" s="208"/>
      <c r="O707" s="208"/>
      <c r="P707" s="208"/>
      <c r="Q707" s="208"/>
      <c r="R707" s="208"/>
      <c r="S707" s="208"/>
      <c r="T707" s="208"/>
      <c r="U707" s="208"/>
      <c r="V707" s="208"/>
      <c r="W707" s="232"/>
      <c r="X707" s="232"/>
      <c r="Y707" s="232"/>
      <c r="Z707" s="232"/>
      <c r="AA707" s="232"/>
      <c r="AB707" s="232"/>
      <c r="AC707" s="232"/>
      <c r="AD707" s="232"/>
      <c r="AE707" s="232"/>
      <c r="AF707" s="232"/>
      <c r="AG707" s="208"/>
      <c r="AH707" s="208"/>
      <c r="AI707" s="208"/>
      <c r="AJ707" s="208"/>
      <c r="AK707" s="208"/>
    </row>
    <row r="708">
      <c r="A708" s="234"/>
      <c r="B708" s="208"/>
      <c r="C708" s="208"/>
      <c r="D708" s="208"/>
      <c r="E708" s="208"/>
      <c r="F708" s="208"/>
      <c r="G708" s="208"/>
      <c r="H708" s="208"/>
      <c r="I708" s="233"/>
      <c r="J708" s="208"/>
      <c r="K708" s="208"/>
      <c r="L708" s="208"/>
      <c r="M708" s="208"/>
      <c r="N708" s="208"/>
      <c r="O708" s="208"/>
      <c r="P708" s="208"/>
      <c r="Q708" s="208"/>
      <c r="R708" s="208"/>
      <c r="S708" s="208"/>
      <c r="T708" s="208"/>
      <c r="U708" s="208"/>
      <c r="V708" s="208"/>
      <c r="W708" s="232"/>
      <c r="X708" s="232"/>
      <c r="Y708" s="232"/>
      <c r="Z708" s="232"/>
      <c r="AA708" s="232"/>
      <c r="AB708" s="232"/>
      <c r="AC708" s="232"/>
      <c r="AD708" s="232"/>
      <c r="AE708" s="232"/>
      <c r="AF708" s="232"/>
      <c r="AG708" s="208"/>
      <c r="AH708" s="208"/>
      <c r="AI708" s="208"/>
      <c r="AJ708" s="208"/>
      <c r="AK708" s="208"/>
    </row>
    <row r="709">
      <c r="A709" s="234"/>
      <c r="B709" s="208"/>
      <c r="C709" s="208"/>
      <c r="D709" s="208"/>
      <c r="E709" s="208"/>
      <c r="F709" s="208"/>
      <c r="G709" s="208"/>
      <c r="H709" s="208"/>
      <c r="I709" s="233"/>
      <c r="J709" s="208"/>
      <c r="K709" s="208"/>
      <c r="L709" s="208"/>
      <c r="M709" s="208"/>
      <c r="N709" s="208"/>
      <c r="O709" s="208"/>
      <c r="P709" s="208"/>
      <c r="Q709" s="208"/>
      <c r="R709" s="208"/>
      <c r="S709" s="208"/>
      <c r="T709" s="208"/>
      <c r="U709" s="208"/>
      <c r="V709" s="208"/>
      <c r="W709" s="232"/>
      <c r="X709" s="232"/>
      <c r="Y709" s="232"/>
      <c r="Z709" s="232"/>
      <c r="AA709" s="232"/>
      <c r="AB709" s="232"/>
      <c r="AC709" s="232"/>
      <c r="AD709" s="232"/>
      <c r="AE709" s="232"/>
      <c r="AF709" s="232"/>
      <c r="AG709" s="208"/>
      <c r="AH709" s="208"/>
      <c r="AI709" s="208"/>
      <c r="AJ709" s="208"/>
      <c r="AK709" s="208"/>
    </row>
    <row r="710">
      <c r="A710" s="234"/>
      <c r="B710" s="208"/>
      <c r="C710" s="208"/>
      <c r="D710" s="208"/>
      <c r="E710" s="208"/>
      <c r="F710" s="208"/>
      <c r="G710" s="208"/>
      <c r="H710" s="208"/>
      <c r="I710" s="233"/>
      <c r="J710" s="208"/>
      <c r="K710" s="208"/>
      <c r="L710" s="208"/>
      <c r="M710" s="208"/>
      <c r="N710" s="208"/>
      <c r="O710" s="208"/>
      <c r="P710" s="208"/>
      <c r="Q710" s="208"/>
      <c r="R710" s="208"/>
      <c r="S710" s="208"/>
      <c r="T710" s="208"/>
      <c r="U710" s="208"/>
      <c r="V710" s="208"/>
      <c r="W710" s="232"/>
      <c r="X710" s="232"/>
      <c r="Y710" s="232"/>
      <c r="Z710" s="232"/>
      <c r="AA710" s="232"/>
      <c r="AB710" s="232"/>
      <c r="AC710" s="232"/>
      <c r="AD710" s="232"/>
      <c r="AE710" s="232"/>
      <c r="AF710" s="232"/>
      <c r="AG710" s="208"/>
      <c r="AH710" s="208"/>
      <c r="AI710" s="208"/>
      <c r="AJ710" s="208"/>
      <c r="AK710" s="208"/>
    </row>
    <row r="711">
      <c r="A711" s="234"/>
      <c r="B711" s="208"/>
      <c r="C711" s="208"/>
      <c r="D711" s="208"/>
      <c r="E711" s="208"/>
      <c r="F711" s="208"/>
      <c r="G711" s="208"/>
      <c r="H711" s="208"/>
      <c r="I711" s="233"/>
      <c r="J711" s="208"/>
      <c r="K711" s="208"/>
      <c r="L711" s="208"/>
      <c r="M711" s="208"/>
      <c r="N711" s="208"/>
      <c r="O711" s="208"/>
      <c r="P711" s="208"/>
      <c r="Q711" s="208"/>
      <c r="R711" s="208"/>
      <c r="S711" s="208"/>
      <c r="T711" s="208"/>
      <c r="U711" s="208"/>
      <c r="V711" s="208"/>
      <c r="W711" s="232"/>
      <c r="X711" s="232"/>
      <c r="Y711" s="232"/>
      <c r="Z711" s="232"/>
      <c r="AA711" s="232"/>
      <c r="AB711" s="232"/>
      <c r="AC711" s="232"/>
      <c r="AD711" s="232"/>
      <c r="AE711" s="232"/>
      <c r="AF711" s="232"/>
      <c r="AG711" s="208"/>
      <c r="AH711" s="208"/>
      <c r="AI711" s="208"/>
      <c r="AJ711" s="208"/>
      <c r="AK711" s="208"/>
    </row>
    <row r="712">
      <c r="A712" s="234"/>
      <c r="B712" s="208"/>
      <c r="C712" s="208"/>
      <c r="D712" s="208"/>
      <c r="E712" s="208"/>
      <c r="F712" s="208"/>
      <c r="G712" s="208"/>
      <c r="H712" s="208"/>
      <c r="I712" s="233"/>
      <c r="J712" s="208"/>
      <c r="K712" s="208"/>
      <c r="L712" s="208"/>
      <c r="M712" s="208"/>
      <c r="N712" s="208"/>
      <c r="O712" s="208"/>
      <c r="P712" s="208"/>
      <c r="Q712" s="208"/>
      <c r="R712" s="208"/>
      <c r="S712" s="208"/>
      <c r="T712" s="208"/>
      <c r="U712" s="208"/>
      <c r="V712" s="208"/>
      <c r="W712" s="232"/>
      <c r="X712" s="232"/>
      <c r="Y712" s="232"/>
      <c r="Z712" s="232"/>
      <c r="AA712" s="232"/>
      <c r="AB712" s="232"/>
      <c r="AC712" s="232"/>
      <c r="AD712" s="232"/>
      <c r="AE712" s="232"/>
      <c r="AF712" s="232"/>
      <c r="AG712" s="208"/>
      <c r="AH712" s="208"/>
      <c r="AI712" s="208"/>
      <c r="AJ712" s="208"/>
      <c r="AK712" s="208"/>
    </row>
    <row r="713">
      <c r="A713" s="234"/>
      <c r="B713" s="208"/>
      <c r="C713" s="208"/>
      <c r="D713" s="208"/>
      <c r="E713" s="208"/>
      <c r="F713" s="208"/>
      <c r="G713" s="208"/>
      <c r="H713" s="208"/>
      <c r="I713" s="233"/>
      <c r="J713" s="208"/>
      <c r="K713" s="208"/>
      <c r="L713" s="208"/>
      <c r="M713" s="208"/>
      <c r="N713" s="208"/>
      <c r="O713" s="208"/>
      <c r="P713" s="208"/>
      <c r="Q713" s="208"/>
      <c r="R713" s="208"/>
      <c r="S713" s="208"/>
      <c r="T713" s="208"/>
      <c r="U713" s="208"/>
      <c r="V713" s="208"/>
      <c r="W713" s="232"/>
      <c r="X713" s="232"/>
      <c r="Y713" s="232"/>
      <c r="Z713" s="232"/>
      <c r="AA713" s="232"/>
      <c r="AB713" s="232"/>
      <c r="AC713" s="232"/>
      <c r="AD713" s="232"/>
      <c r="AE713" s="232"/>
      <c r="AF713" s="232"/>
      <c r="AG713" s="208"/>
      <c r="AH713" s="208"/>
      <c r="AI713" s="208"/>
      <c r="AJ713" s="208"/>
      <c r="AK713" s="208"/>
    </row>
    <row r="714">
      <c r="A714" s="234"/>
      <c r="B714" s="208"/>
      <c r="C714" s="208"/>
      <c r="D714" s="208"/>
      <c r="E714" s="208"/>
      <c r="F714" s="208"/>
      <c r="G714" s="208"/>
      <c r="H714" s="208"/>
      <c r="I714" s="233"/>
      <c r="J714" s="208"/>
      <c r="K714" s="208"/>
      <c r="L714" s="208"/>
      <c r="M714" s="208"/>
      <c r="N714" s="208"/>
      <c r="O714" s="208"/>
      <c r="P714" s="208"/>
      <c r="Q714" s="208"/>
      <c r="R714" s="208"/>
      <c r="S714" s="208"/>
      <c r="T714" s="208"/>
      <c r="U714" s="208"/>
      <c r="V714" s="208"/>
      <c r="W714" s="232"/>
      <c r="X714" s="232"/>
      <c r="Y714" s="232"/>
      <c r="Z714" s="232"/>
      <c r="AA714" s="232"/>
      <c r="AB714" s="232"/>
      <c r="AC714" s="232"/>
      <c r="AD714" s="232"/>
      <c r="AE714" s="232"/>
      <c r="AF714" s="232"/>
      <c r="AG714" s="208"/>
      <c r="AH714" s="208"/>
      <c r="AI714" s="208"/>
      <c r="AJ714" s="208"/>
      <c r="AK714" s="208"/>
    </row>
    <row r="715">
      <c r="A715" s="234"/>
      <c r="B715" s="208"/>
      <c r="C715" s="208"/>
      <c r="D715" s="208"/>
      <c r="E715" s="208"/>
      <c r="F715" s="208"/>
      <c r="G715" s="208"/>
      <c r="H715" s="208"/>
      <c r="I715" s="233"/>
      <c r="J715" s="208"/>
      <c r="K715" s="208"/>
      <c r="L715" s="208"/>
      <c r="M715" s="208"/>
      <c r="N715" s="208"/>
      <c r="O715" s="208"/>
      <c r="P715" s="208"/>
      <c r="Q715" s="208"/>
      <c r="R715" s="208"/>
      <c r="S715" s="208"/>
      <c r="T715" s="208"/>
      <c r="U715" s="208"/>
      <c r="V715" s="208"/>
      <c r="W715" s="232"/>
      <c r="X715" s="232"/>
      <c r="Y715" s="232"/>
      <c r="Z715" s="232"/>
      <c r="AA715" s="232"/>
      <c r="AB715" s="232"/>
      <c r="AC715" s="232"/>
      <c r="AD715" s="232"/>
      <c r="AE715" s="232"/>
      <c r="AF715" s="232"/>
      <c r="AG715" s="208"/>
      <c r="AH715" s="208"/>
      <c r="AI715" s="208"/>
      <c r="AJ715" s="208"/>
      <c r="AK715" s="208"/>
    </row>
    <row r="716">
      <c r="A716" s="234"/>
      <c r="B716" s="208"/>
      <c r="C716" s="208"/>
      <c r="D716" s="208"/>
      <c r="E716" s="208"/>
      <c r="F716" s="208"/>
      <c r="G716" s="208"/>
      <c r="H716" s="208"/>
      <c r="I716" s="233"/>
      <c r="J716" s="208"/>
      <c r="K716" s="208"/>
      <c r="L716" s="208"/>
      <c r="M716" s="208"/>
      <c r="N716" s="208"/>
      <c r="O716" s="208"/>
      <c r="P716" s="208"/>
      <c r="Q716" s="208"/>
      <c r="R716" s="208"/>
      <c r="S716" s="208"/>
      <c r="T716" s="208"/>
      <c r="U716" s="208"/>
      <c r="V716" s="208"/>
      <c r="W716" s="232"/>
      <c r="X716" s="232"/>
      <c r="Y716" s="232"/>
      <c r="Z716" s="232"/>
      <c r="AA716" s="232"/>
      <c r="AB716" s="232"/>
      <c r="AC716" s="232"/>
      <c r="AD716" s="232"/>
      <c r="AE716" s="232"/>
      <c r="AF716" s="232"/>
      <c r="AG716" s="208"/>
      <c r="AH716" s="208"/>
      <c r="AI716" s="208"/>
      <c r="AJ716" s="208"/>
      <c r="AK716" s="208"/>
    </row>
    <row r="717">
      <c r="A717" s="234"/>
      <c r="B717" s="208"/>
      <c r="C717" s="208"/>
      <c r="D717" s="208"/>
      <c r="E717" s="208"/>
      <c r="F717" s="208"/>
      <c r="G717" s="208"/>
      <c r="H717" s="208"/>
      <c r="I717" s="233"/>
      <c r="J717" s="208"/>
      <c r="K717" s="208"/>
      <c r="L717" s="208"/>
      <c r="M717" s="208"/>
      <c r="N717" s="208"/>
      <c r="O717" s="208"/>
      <c r="P717" s="208"/>
      <c r="Q717" s="208"/>
      <c r="R717" s="208"/>
      <c r="S717" s="208"/>
      <c r="T717" s="208"/>
      <c r="U717" s="208"/>
      <c r="V717" s="208"/>
      <c r="W717" s="232"/>
      <c r="X717" s="232"/>
      <c r="Y717" s="232"/>
      <c r="Z717" s="232"/>
      <c r="AA717" s="232"/>
      <c r="AB717" s="232"/>
      <c r="AC717" s="232"/>
      <c r="AD717" s="232"/>
      <c r="AE717" s="232"/>
      <c r="AF717" s="232"/>
      <c r="AG717" s="208"/>
      <c r="AH717" s="208"/>
      <c r="AI717" s="208"/>
      <c r="AJ717" s="208"/>
      <c r="AK717" s="208"/>
    </row>
    <row r="718">
      <c r="A718" s="234"/>
      <c r="B718" s="208"/>
      <c r="C718" s="208"/>
      <c r="D718" s="208"/>
      <c r="E718" s="208"/>
      <c r="F718" s="208"/>
      <c r="G718" s="208"/>
      <c r="H718" s="208"/>
      <c r="I718" s="233"/>
      <c r="J718" s="208"/>
      <c r="K718" s="208"/>
      <c r="L718" s="208"/>
      <c r="M718" s="208"/>
      <c r="N718" s="208"/>
      <c r="O718" s="208"/>
      <c r="P718" s="208"/>
      <c r="Q718" s="208"/>
      <c r="R718" s="208"/>
      <c r="S718" s="208"/>
      <c r="T718" s="208"/>
      <c r="U718" s="208"/>
      <c r="V718" s="208"/>
      <c r="W718" s="232"/>
      <c r="X718" s="232"/>
      <c r="Y718" s="232"/>
      <c r="Z718" s="232"/>
      <c r="AA718" s="232"/>
      <c r="AB718" s="232"/>
      <c r="AC718" s="232"/>
      <c r="AD718" s="232"/>
      <c r="AE718" s="232"/>
      <c r="AF718" s="232"/>
      <c r="AG718" s="208"/>
      <c r="AH718" s="208"/>
      <c r="AI718" s="208"/>
      <c r="AJ718" s="208"/>
      <c r="AK718" s="208"/>
    </row>
    <row r="719">
      <c r="A719" s="234"/>
      <c r="B719" s="208"/>
      <c r="C719" s="208"/>
      <c r="D719" s="208"/>
      <c r="E719" s="208"/>
      <c r="F719" s="208"/>
      <c r="G719" s="208"/>
      <c r="H719" s="208"/>
      <c r="I719" s="233"/>
      <c r="J719" s="208"/>
      <c r="K719" s="208"/>
      <c r="L719" s="208"/>
      <c r="M719" s="208"/>
      <c r="N719" s="208"/>
      <c r="O719" s="208"/>
      <c r="P719" s="208"/>
      <c r="Q719" s="208"/>
      <c r="R719" s="208"/>
      <c r="S719" s="208"/>
      <c r="T719" s="208"/>
      <c r="U719" s="208"/>
      <c r="V719" s="208"/>
      <c r="W719" s="232"/>
      <c r="X719" s="232"/>
      <c r="Y719" s="232"/>
      <c r="Z719" s="232"/>
      <c r="AA719" s="232"/>
      <c r="AB719" s="232"/>
      <c r="AC719" s="232"/>
      <c r="AD719" s="232"/>
      <c r="AE719" s="232"/>
      <c r="AF719" s="232"/>
      <c r="AG719" s="208"/>
      <c r="AH719" s="208"/>
      <c r="AI719" s="208"/>
      <c r="AJ719" s="208"/>
      <c r="AK719" s="208"/>
    </row>
    <row r="720">
      <c r="A720" s="234"/>
      <c r="B720" s="208"/>
      <c r="C720" s="208"/>
      <c r="D720" s="208"/>
      <c r="E720" s="208"/>
      <c r="F720" s="208"/>
      <c r="G720" s="208"/>
      <c r="H720" s="208"/>
      <c r="I720" s="233"/>
      <c r="J720" s="208"/>
      <c r="K720" s="208"/>
      <c r="L720" s="208"/>
      <c r="M720" s="208"/>
      <c r="N720" s="208"/>
      <c r="O720" s="208"/>
      <c r="P720" s="208"/>
      <c r="Q720" s="208"/>
      <c r="R720" s="208"/>
      <c r="S720" s="208"/>
      <c r="T720" s="208"/>
      <c r="U720" s="208"/>
      <c r="V720" s="208"/>
      <c r="W720" s="232"/>
      <c r="X720" s="232"/>
      <c r="Y720" s="232"/>
      <c r="Z720" s="232"/>
      <c r="AA720" s="232"/>
      <c r="AB720" s="232"/>
      <c r="AC720" s="232"/>
      <c r="AD720" s="232"/>
      <c r="AE720" s="232"/>
      <c r="AF720" s="232"/>
      <c r="AG720" s="208"/>
      <c r="AH720" s="208"/>
      <c r="AI720" s="208"/>
      <c r="AJ720" s="208"/>
      <c r="AK720" s="208"/>
    </row>
    <row r="721">
      <c r="A721" s="234"/>
      <c r="B721" s="208"/>
      <c r="C721" s="208"/>
      <c r="D721" s="208"/>
      <c r="E721" s="208"/>
      <c r="F721" s="208"/>
      <c r="G721" s="208"/>
      <c r="H721" s="208"/>
      <c r="I721" s="233"/>
      <c r="J721" s="208"/>
      <c r="K721" s="208"/>
      <c r="L721" s="208"/>
      <c r="M721" s="208"/>
      <c r="N721" s="208"/>
      <c r="O721" s="208"/>
      <c r="P721" s="208"/>
      <c r="Q721" s="208"/>
      <c r="R721" s="208"/>
      <c r="S721" s="208"/>
      <c r="T721" s="208"/>
      <c r="U721" s="208"/>
      <c r="V721" s="208"/>
      <c r="W721" s="232"/>
      <c r="X721" s="232"/>
      <c r="Y721" s="232"/>
      <c r="Z721" s="232"/>
      <c r="AA721" s="232"/>
      <c r="AB721" s="232"/>
      <c r="AC721" s="232"/>
      <c r="AD721" s="232"/>
      <c r="AE721" s="232"/>
      <c r="AF721" s="232"/>
      <c r="AG721" s="208"/>
      <c r="AH721" s="208"/>
      <c r="AI721" s="208"/>
      <c r="AJ721" s="208"/>
      <c r="AK721" s="208"/>
    </row>
    <row r="722">
      <c r="A722" s="234"/>
      <c r="B722" s="208"/>
      <c r="C722" s="208"/>
      <c r="D722" s="208"/>
      <c r="E722" s="208"/>
      <c r="F722" s="208"/>
      <c r="G722" s="208"/>
      <c r="H722" s="208"/>
      <c r="I722" s="233"/>
      <c r="J722" s="208"/>
      <c r="K722" s="208"/>
      <c r="L722" s="208"/>
      <c r="M722" s="208"/>
      <c r="N722" s="208"/>
      <c r="O722" s="208"/>
      <c r="P722" s="208"/>
      <c r="Q722" s="208"/>
      <c r="R722" s="208"/>
      <c r="S722" s="208"/>
      <c r="T722" s="208"/>
      <c r="U722" s="208"/>
      <c r="V722" s="208"/>
      <c r="W722" s="232"/>
      <c r="X722" s="232"/>
      <c r="Y722" s="232"/>
      <c r="Z722" s="232"/>
      <c r="AA722" s="232"/>
      <c r="AB722" s="232"/>
      <c r="AC722" s="232"/>
      <c r="AD722" s="232"/>
      <c r="AE722" s="232"/>
      <c r="AF722" s="232"/>
      <c r="AG722" s="208"/>
      <c r="AH722" s="208"/>
      <c r="AI722" s="208"/>
      <c r="AJ722" s="208"/>
      <c r="AK722" s="208"/>
    </row>
    <row r="723">
      <c r="A723" s="234"/>
      <c r="B723" s="208"/>
      <c r="C723" s="208"/>
      <c r="D723" s="208"/>
      <c r="E723" s="208"/>
      <c r="F723" s="208"/>
      <c r="G723" s="208"/>
      <c r="H723" s="208"/>
      <c r="I723" s="233"/>
      <c r="J723" s="208"/>
      <c r="K723" s="208"/>
      <c r="L723" s="208"/>
      <c r="M723" s="208"/>
      <c r="N723" s="208"/>
      <c r="O723" s="208"/>
      <c r="P723" s="208"/>
      <c r="Q723" s="208"/>
      <c r="R723" s="208"/>
      <c r="S723" s="208"/>
      <c r="T723" s="208"/>
      <c r="U723" s="208"/>
      <c r="V723" s="208"/>
      <c r="W723" s="232"/>
      <c r="X723" s="232"/>
      <c r="Y723" s="232"/>
      <c r="Z723" s="232"/>
      <c r="AA723" s="232"/>
      <c r="AB723" s="232"/>
      <c r="AC723" s="232"/>
      <c r="AD723" s="232"/>
      <c r="AE723" s="232"/>
      <c r="AF723" s="232"/>
      <c r="AG723" s="208"/>
      <c r="AH723" s="208"/>
      <c r="AI723" s="208"/>
      <c r="AJ723" s="208"/>
      <c r="AK723" s="208"/>
    </row>
    <row r="724">
      <c r="A724" s="234"/>
      <c r="B724" s="208"/>
      <c r="C724" s="208"/>
      <c r="D724" s="208"/>
      <c r="E724" s="208"/>
      <c r="F724" s="208"/>
      <c r="G724" s="208"/>
      <c r="H724" s="208"/>
      <c r="I724" s="233"/>
      <c r="J724" s="208"/>
      <c r="K724" s="208"/>
      <c r="L724" s="208"/>
      <c r="M724" s="208"/>
      <c r="N724" s="208"/>
      <c r="O724" s="208"/>
      <c r="P724" s="208"/>
      <c r="Q724" s="208"/>
      <c r="R724" s="208"/>
      <c r="S724" s="208"/>
      <c r="T724" s="208"/>
      <c r="U724" s="208"/>
      <c r="V724" s="208"/>
      <c r="W724" s="232"/>
      <c r="X724" s="232"/>
      <c r="Y724" s="232"/>
      <c r="Z724" s="232"/>
      <c r="AA724" s="232"/>
      <c r="AB724" s="232"/>
      <c r="AC724" s="232"/>
      <c r="AD724" s="232"/>
      <c r="AE724" s="232"/>
      <c r="AF724" s="232"/>
      <c r="AG724" s="208"/>
      <c r="AH724" s="208"/>
      <c r="AI724" s="208"/>
      <c r="AJ724" s="208"/>
      <c r="AK724" s="208"/>
    </row>
    <row r="725">
      <c r="A725" s="234"/>
      <c r="B725" s="208"/>
      <c r="C725" s="208"/>
      <c r="D725" s="208"/>
      <c r="E725" s="208"/>
      <c r="F725" s="208"/>
      <c r="G725" s="208"/>
      <c r="H725" s="208"/>
      <c r="I725" s="233"/>
      <c r="J725" s="208"/>
      <c r="K725" s="208"/>
      <c r="L725" s="208"/>
      <c r="M725" s="208"/>
      <c r="N725" s="208"/>
      <c r="O725" s="208"/>
      <c r="P725" s="208"/>
      <c r="Q725" s="208"/>
      <c r="R725" s="208"/>
      <c r="S725" s="208"/>
      <c r="T725" s="208"/>
      <c r="U725" s="208"/>
      <c r="V725" s="208"/>
      <c r="W725" s="232"/>
      <c r="X725" s="232"/>
      <c r="Y725" s="232"/>
      <c r="Z725" s="232"/>
      <c r="AA725" s="232"/>
      <c r="AB725" s="232"/>
      <c r="AC725" s="232"/>
      <c r="AD725" s="232"/>
      <c r="AE725" s="232"/>
      <c r="AF725" s="232"/>
      <c r="AG725" s="208"/>
      <c r="AH725" s="208"/>
      <c r="AI725" s="208"/>
      <c r="AJ725" s="208"/>
      <c r="AK725" s="208"/>
    </row>
    <row r="726">
      <c r="A726" s="234"/>
      <c r="B726" s="208"/>
      <c r="C726" s="208"/>
      <c r="D726" s="208"/>
      <c r="E726" s="208"/>
      <c r="F726" s="208"/>
      <c r="G726" s="208"/>
      <c r="H726" s="208"/>
      <c r="I726" s="233"/>
      <c r="J726" s="208"/>
      <c r="K726" s="208"/>
      <c r="L726" s="208"/>
      <c r="M726" s="208"/>
      <c r="N726" s="208"/>
      <c r="O726" s="208"/>
      <c r="P726" s="208"/>
      <c r="Q726" s="208"/>
      <c r="R726" s="208"/>
      <c r="S726" s="208"/>
      <c r="T726" s="208"/>
      <c r="U726" s="208"/>
      <c r="V726" s="208"/>
      <c r="W726" s="232"/>
      <c r="X726" s="232"/>
      <c r="Y726" s="232"/>
      <c r="Z726" s="232"/>
      <c r="AA726" s="232"/>
      <c r="AB726" s="232"/>
      <c r="AC726" s="232"/>
      <c r="AD726" s="232"/>
      <c r="AE726" s="232"/>
      <c r="AF726" s="232"/>
      <c r="AG726" s="208"/>
      <c r="AH726" s="208"/>
      <c r="AI726" s="208"/>
      <c r="AJ726" s="208"/>
      <c r="AK726" s="208"/>
    </row>
    <row r="727">
      <c r="A727" s="234"/>
      <c r="B727" s="208"/>
      <c r="C727" s="208"/>
      <c r="D727" s="208"/>
      <c r="E727" s="208"/>
      <c r="F727" s="208"/>
      <c r="G727" s="208"/>
      <c r="H727" s="208"/>
      <c r="I727" s="233"/>
      <c r="J727" s="208"/>
      <c r="K727" s="208"/>
      <c r="L727" s="208"/>
      <c r="M727" s="208"/>
      <c r="N727" s="208"/>
      <c r="O727" s="208"/>
      <c r="P727" s="208"/>
      <c r="Q727" s="208"/>
      <c r="R727" s="208"/>
      <c r="S727" s="208"/>
      <c r="T727" s="208"/>
      <c r="U727" s="208"/>
      <c r="V727" s="208"/>
      <c r="W727" s="232"/>
      <c r="X727" s="232"/>
      <c r="Y727" s="232"/>
      <c r="Z727" s="232"/>
      <c r="AA727" s="232"/>
      <c r="AB727" s="232"/>
      <c r="AC727" s="232"/>
      <c r="AD727" s="232"/>
      <c r="AE727" s="232"/>
      <c r="AF727" s="232"/>
      <c r="AG727" s="208"/>
      <c r="AH727" s="208"/>
      <c r="AI727" s="208"/>
      <c r="AJ727" s="208"/>
      <c r="AK727" s="208"/>
    </row>
    <row r="728">
      <c r="A728" s="234"/>
      <c r="B728" s="208"/>
      <c r="C728" s="208"/>
      <c r="D728" s="208"/>
      <c r="E728" s="208"/>
      <c r="F728" s="208"/>
      <c r="G728" s="208"/>
      <c r="H728" s="208"/>
      <c r="I728" s="233"/>
      <c r="J728" s="208"/>
      <c r="K728" s="208"/>
      <c r="L728" s="208"/>
      <c r="M728" s="208"/>
      <c r="N728" s="208"/>
      <c r="O728" s="208"/>
      <c r="P728" s="208"/>
      <c r="Q728" s="208"/>
      <c r="R728" s="208"/>
      <c r="S728" s="208"/>
      <c r="T728" s="208"/>
      <c r="U728" s="208"/>
      <c r="V728" s="208"/>
      <c r="W728" s="232"/>
      <c r="X728" s="232"/>
      <c r="Y728" s="232"/>
      <c r="Z728" s="232"/>
      <c r="AA728" s="232"/>
      <c r="AB728" s="232"/>
      <c r="AC728" s="232"/>
      <c r="AD728" s="232"/>
      <c r="AE728" s="232"/>
      <c r="AF728" s="232"/>
      <c r="AG728" s="208"/>
      <c r="AH728" s="208"/>
      <c r="AI728" s="208"/>
      <c r="AJ728" s="208"/>
      <c r="AK728" s="208"/>
    </row>
    <row r="729">
      <c r="A729" s="234"/>
      <c r="B729" s="208"/>
      <c r="C729" s="208"/>
      <c r="D729" s="208"/>
      <c r="E729" s="208"/>
      <c r="F729" s="208"/>
      <c r="G729" s="208"/>
      <c r="H729" s="208"/>
      <c r="I729" s="233"/>
      <c r="J729" s="208"/>
      <c r="K729" s="208"/>
      <c r="L729" s="208"/>
      <c r="M729" s="208"/>
      <c r="N729" s="208"/>
      <c r="O729" s="208"/>
      <c r="P729" s="208"/>
      <c r="Q729" s="208"/>
      <c r="R729" s="208"/>
      <c r="S729" s="208"/>
      <c r="T729" s="208"/>
      <c r="U729" s="208"/>
      <c r="V729" s="208"/>
      <c r="W729" s="232"/>
      <c r="X729" s="232"/>
      <c r="Y729" s="232"/>
      <c r="Z729" s="232"/>
      <c r="AA729" s="232"/>
      <c r="AB729" s="232"/>
      <c r="AC729" s="232"/>
      <c r="AD729" s="232"/>
      <c r="AE729" s="232"/>
      <c r="AF729" s="232"/>
      <c r="AG729" s="208"/>
      <c r="AH729" s="208"/>
      <c r="AI729" s="208"/>
      <c r="AJ729" s="208"/>
      <c r="AK729" s="208"/>
    </row>
    <row r="730">
      <c r="A730" s="234"/>
      <c r="B730" s="208"/>
      <c r="C730" s="208"/>
      <c r="D730" s="208"/>
      <c r="E730" s="208"/>
      <c r="F730" s="208"/>
      <c r="G730" s="208"/>
      <c r="H730" s="208"/>
      <c r="I730" s="233"/>
      <c r="J730" s="208"/>
      <c r="K730" s="208"/>
      <c r="L730" s="208"/>
      <c r="M730" s="208"/>
      <c r="N730" s="208"/>
      <c r="O730" s="208"/>
      <c r="P730" s="208"/>
      <c r="Q730" s="208"/>
      <c r="R730" s="208"/>
      <c r="S730" s="208"/>
      <c r="T730" s="208"/>
      <c r="U730" s="208"/>
      <c r="V730" s="208"/>
      <c r="W730" s="232"/>
      <c r="X730" s="232"/>
      <c r="Y730" s="232"/>
      <c r="Z730" s="232"/>
      <c r="AA730" s="232"/>
      <c r="AB730" s="232"/>
      <c r="AC730" s="232"/>
      <c r="AD730" s="232"/>
      <c r="AE730" s="232"/>
      <c r="AF730" s="232"/>
      <c r="AG730" s="208"/>
      <c r="AH730" s="208"/>
      <c r="AI730" s="208"/>
      <c r="AJ730" s="208"/>
      <c r="AK730" s="208"/>
    </row>
    <row r="731">
      <c r="A731" s="234"/>
      <c r="B731" s="208"/>
      <c r="C731" s="208"/>
      <c r="D731" s="208"/>
      <c r="E731" s="208"/>
      <c r="F731" s="208"/>
      <c r="G731" s="208"/>
      <c r="H731" s="208"/>
      <c r="I731" s="233"/>
      <c r="J731" s="208"/>
      <c r="K731" s="208"/>
      <c r="L731" s="208"/>
      <c r="M731" s="208"/>
      <c r="N731" s="208"/>
      <c r="O731" s="208"/>
      <c r="P731" s="208"/>
      <c r="Q731" s="208"/>
      <c r="R731" s="208"/>
      <c r="S731" s="208"/>
      <c r="T731" s="208"/>
      <c r="U731" s="208"/>
      <c r="V731" s="208"/>
      <c r="W731" s="232"/>
      <c r="X731" s="232"/>
      <c r="Y731" s="232"/>
      <c r="Z731" s="232"/>
      <c r="AA731" s="232"/>
      <c r="AB731" s="232"/>
      <c r="AC731" s="232"/>
      <c r="AD731" s="232"/>
      <c r="AE731" s="232"/>
      <c r="AF731" s="232"/>
      <c r="AG731" s="208"/>
      <c r="AH731" s="208"/>
      <c r="AI731" s="208"/>
      <c r="AJ731" s="208"/>
      <c r="AK731" s="208"/>
    </row>
    <row r="732">
      <c r="A732" s="234"/>
      <c r="B732" s="208"/>
      <c r="C732" s="208"/>
      <c r="D732" s="208"/>
      <c r="E732" s="208"/>
      <c r="F732" s="208"/>
      <c r="G732" s="208"/>
      <c r="H732" s="208"/>
      <c r="I732" s="233"/>
      <c r="J732" s="208"/>
      <c r="K732" s="208"/>
      <c r="L732" s="208"/>
      <c r="M732" s="208"/>
      <c r="N732" s="208"/>
      <c r="O732" s="208"/>
      <c r="P732" s="208"/>
      <c r="Q732" s="208"/>
      <c r="R732" s="208"/>
      <c r="S732" s="208"/>
      <c r="T732" s="208"/>
      <c r="U732" s="208"/>
      <c r="V732" s="208"/>
      <c r="W732" s="232"/>
      <c r="X732" s="232"/>
      <c r="Y732" s="232"/>
      <c r="Z732" s="232"/>
      <c r="AA732" s="232"/>
      <c r="AB732" s="232"/>
      <c r="AC732" s="232"/>
      <c r="AD732" s="232"/>
      <c r="AE732" s="232"/>
      <c r="AF732" s="232"/>
      <c r="AG732" s="208"/>
      <c r="AH732" s="208"/>
      <c r="AI732" s="208"/>
      <c r="AJ732" s="208"/>
      <c r="AK732" s="208"/>
    </row>
    <row r="733">
      <c r="A733" s="234"/>
      <c r="B733" s="208"/>
      <c r="C733" s="208"/>
      <c r="D733" s="208"/>
      <c r="E733" s="208"/>
      <c r="F733" s="208"/>
      <c r="G733" s="208"/>
      <c r="H733" s="208"/>
      <c r="I733" s="233"/>
      <c r="J733" s="208"/>
      <c r="K733" s="208"/>
      <c r="L733" s="208"/>
      <c r="M733" s="208"/>
      <c r="N733" s="208"/>
      <c r="O733" s="208"/>
      <c r="P733" s="208"/>
      <c r="Q733" s="208"/>
      <c r="R733" s="208"/>
      <c r="S733" s="208"/>
      <c r="T733" s="208"/>
      <c r="U733" s="208"/>
      <c r="V733" s="208"/>
      <c r="W733" s="232"/>
      <c r="X733" s="232"/>
      <c r="Y733" s="232"/>
      <c r="Z733" s="232"/>
      <c r="AA733" s="232"/>
      <c r="AB733" s="232"/>
      <c r="AC733" s="232"/>
      <c r="AD733" s="232"/>
      <c r="AE733" s="232"/>
      <c r="AF733" s="232"/>
      <c r="AG733" s="208"/>
      <c r="AH733" s="208"/>
      <c r="AI733" s="208"/>
      <c r="AJ733" s="208"/>
      <c r="AK733" s="208"/>
    </row>
    <row r="734">
      <c r="A734" s="234"/>
      <c r="B734" s="208"/>
      <c r="C734" s="208"/>
      <c r="D734" s="208"/>
      <c r="E734" s="208"/>
      <c r="F734" s="208"/>
      <c r="G734" s="208"/>
      <c r="H734" s="208"/>
      <c r="I734" s="233"/>
      <c r="J734" s="208"/>
      <c r="K734" s="208"/>
      <c r="L734" s="208"/>
      <c r="M734" s="208"/>
      <c r="N734" s="208"/>
      <c r="O734" s="208"/>
      <c r="P734" s="208"/>
      <c r="Q734" s="208"/>
      <c r="R734" s="208"/>
      <c r="S734" s="208"/>
      <c r="T734" s="208"/>
      <c r="U734" s="208"/>
      <c r="V734" s="208"/>
      <c r="W734" s="232"/>
      <c r="X734" s="232"/>
      <c r="Y734" s="232"/>
      <c r="Z734" s="232"/>
      <c r="AA734" s="232"/>
      <c r="AB734" s="232"/>
      <c r="AC734" s="232"/>
      <c r="AD734" s="232"/>
      <c r="AE734" s="232"/>
      <c r="AF734" s="232"/>
      <c r="AG734" s="208"/>
      <c r="AH734" s="208"/>
      <c r="AI734" s="208"/>
      <c r="AJ734" s="208"/>
      <c r="AK734" s="208"/>
    </row>
    <row r="735">
      <c r="A735" s="234"/>
      <c r="B735" s="208"/>
      <c r="C735" s="208"/>
      <c r="D735" s="208"/>
      <c r="E735" s="208"/>
      <c r="F735" s="208"/>
      <c r="G735" s="208"/>
      <c r="H735" s="208"/>
      <c r="I735" s="233"/>
      <c r="J735" s="208"/>
      <c r="K735" s="208"/>
      <c r="L735" s="208"/>
      <c r="M735" s="208"/>
      <c r="N735" s="208"/>
      <c r="O735" s="208"/>
      <c r="P735" s="208"/>
      <c r="Q735" s="208"/>
      <c r="R735" s="208"/>
      <c r="S735" s="208"/>
      <c r="T735" s="208"/>
      <c r="U735" s="208"/>
      <c r="V735" s="208"/>
      <c r="W735" s="232"/>
      <c r="X735" s="232"/>
      <c r="Y735" s="232"/>
      <c r="Z735" s="232"/>
      <c r="AA735" s="232"/>
      <c r="AB735" s="232"/>
      <c r="AC735" s="232"/>
      <c r="AD735" s="232"/>
      <c r="AE735" s="232"/>
      <c r="AF735" s="232"/>
      <c r="AG735" s="208"/>
      <c r="AH735" s="208"/>
      <c r="AI735" s="208"/>
      <c r="AJ735" s="208"/>
      <c r="AK735" s="208"/>
    </row>
    <row r="736">
      <c r="A736" s="234"/>
      <c r="B736" s="208"/>
      <c r="C736" s="208"/>
      <c r="D736" s="208"/>
      <c r="E736" s="208"/>
      <c r="F736" s="208"/>
      <c r="G736" s="208"/>
      <c r="H736" s="208"/>
      <c r="I736" s="233"/>
      <c r="J736" s="208"/>
      <c r="K736" s="208"/>
      <c r="L736" s="208"/>
      <c r="M736" s="208"/>
      <c r="N736" s="208"/>
      <c r="O736" s="208"/>
      <c r="P736" s="208"/>
      <c r="Q736" s="208"/>
      <c r="R736" s="208"/>
      <c r="S736" s="208"/>
      <c r="T736" s="208"/>
      <c r="U736" s="208"/>
      <c r="V736" s="208"/>
      <c r="W736" s="232"/>
      <c r="X736" s="232"/>
      <c r="Y736" s="232"/>
      <c r="Z736" s="232"/>
      <c r="AA736" s="232"/>
      <c r="AB736" s="232"/>
      <c r="AC736" s="232"/>
      <c r="AD736" s="232"/>
      <c r="AE736" s="232"/>
      <c r="AF736" s="232"/>
      <c r="AG736" s="208"/>
      <c r="AH736" s="208"/>
      <c r="AI736" s="208"/>
      <c r="AJ736" s="208"/>
      <c r="AK736" s="208"/>
    </row>
    <row r="737">
      <c r="A737" s="234"/>
      <c r="B737" s="208"/>
      <c r="C737" s="208"/>
      <c r="D737" s="208"/>
      <c r="E737" s="208"/>
      <c r="F737" s="208"/>
      <c r="G737" s="208"/>
      <c r="H737" s="208"/>
      <c r="I737" s="233"/>
      <c r="J737" s="208"/>
      <c r="K737" s="208"/>
      <c r="L737" s="208"/>
      <c r="M737" s="208"/>
      <c r="N737" s="208"/>
      <c r="O737" s="208"/>
      <c r="P737" s="208"/>
      <c r="Q737" s="208"/>
      <c r="R737" s="208"/>
      <c r="S737" s="208"/>
      <c r="T737" s="208"/>
      <c r="U737" s="208"/>
      <c r="V737" s="208"/>
      <c r="W737" s="232"/>
      <c r="X737" s="232"/>
      <c r="Y737" s="232"/>
      <c r="Z737" s="232"/>
      <c r="AA737" s="232"/>
      <c r="AB737" s="232"/>
      <c r="AC737" s="232"/>
      <c r="AD737" s="232"/>
      <c r="AE737" s="232"/>
      <c r="AF737" s="232"/>
      <c r="AG737" s="208"/>
      <c r="AH737" s="208"/>
      <c r="AI737" s="208"/>
      <c r="AJ737" s="208"/>
      <c r="AK737" s="208"/>
    </row>
    <row r="738">
      <c r="A738" s="234"/>
      <c r="B738" s="208"/>
      <c r="C738" s="208"/>
      <c r="D738" s="208"/>
      <c r="E738" s="208"/>
      <c r="F738" s="208"/>
      <c r="G738" s="208"/>
      <c r="H738" s="208"/>
      <c r="I738" s="233"/>
      <c r="J738" s="208"/>
      <c r="K738" s="208"/>
      <c r="L738" s="208"/>
      <c r="M738" s="208"/>
      <c r="N738" s="208"/>
      <c r="O738" s="208"/>
      <c r="P738" s="208"/>
      <c r="Q738" s="208"/>
      <c r="R738" s="208"/>
      <c r="S738" s="208"/>
      <c r="T738" s="208"/>
      <c r="U738" s="208"/>
      <c r="V738" s="208"/>
      <c r="W738" s="232"/>
      <c r="X738" s="232"/>
      <c r="Y738" s="232"/>
      <c r="Z738" s="232"/>
      <c r="AA738" s="232"/>
      <c r="AB738" s="232"/>
      <c r="AC738" s="232"/>
      <c r="AD738" s="232"/>
      <c r="AE738" s="232"/>
      <c r="AF738" s="232"/>
      <c r="AG738" s="208"/>
      <c r="AH738" s="208"/>
      <c r="AI738" s="208"/>
      <c r="AJ738" s="208"/>
      <c r="AK738" s="208"/>
    </row>
    <row r="739">
      <c r="A739" s="234"/>
      <c r="B739" s="208"/>
      <c r="C739" s="208"/>
      <c r="D739" s="208"/>
      <c r="E739" s="208"/>
      <c r="F739" s="208"/>
      <c r="G739" s="208"/>
      <c r="H739" s="208"/>
      <c r="I739" s="233"/>
      <c r="J739" s="208"/>
      <c r="K739" s="208"/>
      <c r="L739" s="208"/>
      <c r="M739" s="208"/>
      <c r="N739" s="208"/>
      <c r="O739" s="208"/>
      <c r="P739" s="208"/>
      <c r="Q739" s="208"/>
      <c r="R739" s="208"/>
      <c r="S739" s="208"/>
      <c r="T739" s="208"/>
      <c r="U739" s="208"/>
      <c r="V739" s="208"/>
      <c r="W739" s="232"/>
      <c r="X739" s="232"/>
      <c r="Y739" s="232"/>
      <c r="Z739" s="232"/>
      <c r="AA739" s="232"/>
      <c r="AB739" s="232"/>
      <c r="AC739" s="232"/>
      <c r="AD739" s="232"/>
      <c r="AE739" s="232"/>
      <c r="AF739" s="232"/>
      <c r="AG739" s="208"/>
      <c r="AH739" s="208"/>
      <c r="AI739" s="208"/>
      <c r="AJ739" s="208"/>
      <c r="AK739" s="208"/>
    </row>
    <row r="740">
      <c r="A740" s="234"/>
      <c r="B740" s="208"/>
      <c r="C740" s="208"/>
      <c r="D740" s="208"/>
      <c r="E740" s="208"/>
      <c r="F740" s="208"/>
      <c r="G740" s="208"/>
      <c r="H740" s="208"/>
      <c r="I740" s="233"/>
      <c r="J740" s="208"/>
      <c r="K740" s="208"/>
      <c r="L740" s="208"/>
      <c r="M740" s="208"/>
      <c r="N740" s="208"/>
      <c r="O740" s="208"/>
      <c r="P740" s="208"/>
      <c r="Q740" s="208"/>
      <c r="R740" s="208"/>
      <c r="S740" s="208"/>
      <c r="T740" s="208"/>
      <c r="U740" s="208"/>
      <c r="V740" s="208"/>
      <c r="W740" s="232"/>
      <c r="X740" s="232"/>
      <c r="Y740" s="232"/>
      <c r="Z740" s="232"/>
      <c r="AA740" s="232"/>
      <c r="AB740" s="232"/>
      <c r="AC740" s="232"/>
      <c r="AD740" s="232"/>
      <c r="AE740" s="232"/>
      <c r="AF740" s="232"/>
      <c r="AG740" s="208"/>
      <c r="AH740" s="208"/>
      <c r="AI740" s="208"/>
      <c r="AJ740" s="208"/>
      <c r="AK740" s="208"/>
    </row>
    <row r="741">
      <c r="A741" s="234"/>
      <c r="B741" s="208"/>
      <c r="C741" s="208"/>
      <c r="D741" s="208"/>
      <c r="E741" s="208"/>
      <c r="F741" s="208"/>
      <c r="G741" s="208"/>
      <c r="H741" s="208"/>
      <c r="I741" s="233"/>
      <c r="J741" s="208"/>
      <c r="K741" s="208"/>
      <c r="L741" s="208"/>
      <c r="M741" s="208"/>
      <c r="N741" s="208"/>
      <c r="O741" s="208"/>
      <c r="P741" s="208"/>
      <c r="Q741" s="208"/>
      <c r="R741" s="208"/>
      <c r="S741" s="208"/>
      <c r="T741" s="208"/>
      <c r="U741" s="208"/>
      <c r="V741" s="208"/>
      <c r="W741" s="232"/>
      <c r="X741" s="232"/>
      <c r="Y741" s="232"/>
      <c r="Z741" s="232"/>
      <c r="AA741" s="232"/>
      <c r="AB741" s="232"/>
      <c r="AC741" s="232"/>
      <c r="AD741" s="232"/>
      <c r="AE741" s="232"/>
      <c r="AF741" s="232"/>
      <c r="AG741" s="208"/>
      <c r="AH741" s="208"/>
      <c r="AI741" s="208"/>
      <c r="AJ741" s="208"/>
      <c r="AK741" s="208"/>
    </row>
    <row r="742">
      <c r="A742" s="234"/>
      <c r="B742" s="208"/>
      <c r="C742" s="208"/>
      <c r="D742" s="208"/>
      <c r="E742" s="208"/>
      <c r="F742" s="208"/>
      <c r="G742" s="208"/>
      <c r="H742" s="208"/>
      <c r="I742" s="233"/>
      <c r="J742" s="208"/>
      <c r="K742" s="208"/>
      <c r="L742" s="208"/>
      <c r="M742" s="208"/>
      <c r="N742" s="208"/>
      <c r="O742" s="208"/>
      <c r="P742" s="208"/>
      <c r="Q742" s="208"/>
      <c r="R742" s="208"/>
      <c r="S742" s="208"/>
      <c r="T742" s="208"/>
      <c r="U742" s="208"/>
      <c r="V742" s="208"/>
      <c r="W742" s="232"/>
      <c r="X742" s="232"/>
      <c r="Y742" s="232"/>
      <c r="Z742" s="232"/>
      <c r="AA742" s="232"/>
      <c r="AB742" s="232"/>
      <c r="AC742" s="232"/>
      <c r="AD742" s="232"/>
      <c r="AE742" s="232"/>
      <c r="AF742" s="232"/>
      <c r="AG742" s="208"/>
      <c r="AH742" s="208"/>
      <c r="AI742" s="208"/>
      <c r="AJ742" s="208"/>
      <c r="AK742" s="208"/>
    </row>
    <row r="743">
      <c r="A743" s="234"/>
      <c r="B743" s="208"/>
      <c r="C743" s="208"/>
      <c r="D743" s="208"/>
      <c r="E743" s="208"/>
      <c r="F743" s="208"/>
      <c r="G743" s="208"/>
      <c r="H743" s="208"/>
      <c r="I743" s="233"/>
      <c r="J743" s="208"/>
      <c r="K743" s="208"/>
      <c r="L743" s="208"/>
      <c r="M743" s="208"/>
      <c r="N743" s="208"/>
      <c r="O743" s="208"/>
      <c r="P743" s="208"/>
      <c r="Q743" s="208"/>
      <c r="R743" s="208"/>
      <c r="S743" s="208"/>
      <c r="T743" s="208"/>
      <c r="U743" s="208"/>
      <c r="V743" s="208"/>
      <c r="W743" s="232"/>
      <c r="X743" s="232"/>
      <c r="Y743" s="232"/>
      <c r="Z743" s="232"/>
      <c r="AA743" s="232"/>
      <c r="AB743" s="232"/>
      <c r="AC743" s="232"/>
      <c r="AD743" s="232"/>
      <c r="AE743" s="232"/>
      <c r="AF743" s="232"/>
      <c r="AG743" s="208"/>
      <c r="AH743" s="208"/>
      <c r="AI743" s="208"/>
      <c r="AJ743" s="208"/>
      <c r="AK743" s="208"/>
    </row>
    <row r="744">
      <c r="A744" s="234"/>
      <c r="B744" s="208"/>
      <c r="C744" s="208"/>
      <c r="D744" s="208"/>
      <c r="E744" s="208"/>
      <c r="F744" s="208"/>
      <c r="G744" s="208"/>
      <c r="H744" s="208"/>
      <c r="I744" s="233"/>
      <c r="J744" s="208"/>
      <c r="K744" s="208"/>
      <c r="L744" s="208"/>
      <c r="M744" s="208"/>
      <c r="N744" s="208"/>
      <c r="O744" s="208"/>
      <c r="P744" s="208"/>
      <c r="Q744" s="208"/>
      <c r="R744" s="208"/>
      <c r="S744" s="208"/>
      <c r="T744" s="208"/>
      <c r="U744" s="208"/>
      <c r="V744" s="208"/>
      <c r="W744" s="232"/>
      <c r="X744" s="232"/>
      <c r="Y744" s="232"/>
      <c r="Z744" s="232"/>
      <c r="AA744" s="232"/>
      <c r="AB744" s="232"/>
      <c r="AC744" s="232"/>
      <c r="AD744" s="232"/>
      <c r="AE744" s="232"/>
      <c r="AF744" s="232"/>
      <c r="AG744" s="208"/>
      <c r="AH744" s="208"/>
      <c r="AI744" s="208"/>
      <c r="AJ744" s="208"/>
      <c r="AK744" s="208"/>
    </row>
    <row r="745">
      <c r="A745" s="234"/>
      <c r="B745" s="208"/>
      <c r="C745" s="208"/>
      <c r="D745" s="208"/>
      <c r="E745" s="208"/>
      <c r="F745" s="208"/>
      <c r="G745" s="208"/>
      <c r="H745" s="208"/>
      <c r="I745" s="233"/>
      <c r="J745" s="208"/>
      <c r="K745" s="208"/>
      <c r="L745" s="208"/>
      <c r="M745" s="208"/>
      <c r="N745" s="208"/>
      <c r="O745" s="208"/>
      <c r="P745" s="208"/>
      <c r="Q745" s="208"/>
      <c r="R745" s="208"/>
      <c r="S745" s="208"/>
      <c r="T745" s="208"/>
      <c r="U745" s="208"/>
      <c r="V745" s="208"/>
      <c r="W745" s="232"/>
      <c r="X745" s="232"/>
      <c r="Y745" s="232"/>
      <c r="Z745" s="232"/>
      <c r="AA745" s="232"/>
      <c r="AB745" s="232"/>
      <c r="AC745" s="232"/>
      <c r="AD745" s="232"/>
      <c r="AE745" s="232"/>
      <c r="AF745" s="232"/>
      <c r="AG745" s="208"/>
      <c r="AH745" s="208"/>
      <c r="AI745" s="208"/>
      <c r="AJ745" s="208"/>
      <c r="AK745" s="208"/>
    </row>
    <row r="746">
      <c r="A746" s="234"/>
      <c r="B746" s="208"/>
      <c r="C746" s="208"/>
      <c r="D746" s="208"/>
      <c r="E746" s="208"/>
      <c r="F746" s="208"/>
      <c r="G746" s="208"/>
      <c r="H746" s="208"/>
      <c r="I746" s="233"/>
      <c r="J746" s="208"/>
      <c r="K746" s="208"/>
      <c r="L746" s="208"/>
      <c r="M746" s="208"/>
      <c r="N746" s="208"/>
      <c r="O746" s="208"/>
      <c r="P746" s="208"/>
      <c r="Q746" s="208"/>
      <c r="R746" s="208"/>
      <c r="S746" s="208"/>
      <c r="T746" s="208"/>
      <c r="U746" s="208"/>
      <c r="V746" s="208"/>
      <c r="W746" s="232"/>
      <c r="X746" s="232"/>
      <c r="Y746" s="232"/>
      <c r="Z746" s="232"/>
      <c r="AA746" s="232"/>
      <c r="AB746" s="232"/>
      <c r="AC746" s="232"/>
      <c r="AD746" s="232"/>
      <c r="AE746" s="232"/>
      <c r="AF746" s="232"/>
      <c r="AG746" s="208"/>
      <c r="AH746" s="208"/>
      <c r="AI746" s="208"/>
      <c r="AJ746" s="208"/>
      <c r="AK746" s="208"/>
    </row>
    <row r="747">
      <c r="A747" s="234"/>
      <c r="B747" s="208"/>
      <c r="C747" s="208"/>
      <c r="D747" s="208"/>
      <c r="E747" s="208"/>
      <c r="F747" s="208"/>
      <c r="G747" s="208"/>
      <c r="H747" s="208"/>
      <c r="I747" s="233"/>
      <c r="J747" s="208"/>
      <c r="K747" s="208"/>
      <c r="L747" s="208"/>
      <c r="M747" s="208"/>
      <c r="N747" s="208"/>
      <c r="O747" s="208"/>
      <c r="P747" s="208"/>
      <c r="Q747" s="208"/>
      <c r="R747" s="208"/>
      <c r="S747" s="208"/>
      <c r="T747" s="208"/>
      <c r="U747" s="208"/>
      <c r="V747" s="208"/>
      <c r="W747" s="232"/>
      <c r="X747" s="232"/>
      <c r="Y747" s="232"/>
      <c r="Z747" s="232"/>
      <c r="AA747" s="232"/>
      <c r="AB747" s="232"/>
      <c r="AC747" s="232"/>
      <c r="AD747" s="232"/>
      <c r="AE747" s="232"/>
      <c r="AF747" s="232"/>
      <c r="AG747" s="208"/>
      <c r="AH747" s="208"/>
      <c r="AI747" s="208"/>
      <c r="AJ747" s="208"/>
      <c r="AK747" s="208"/>
    </row>
    <row r="748">
      <c r="A748" s="234"/>
      <c r="B748" s="208"/>
      <c r="C748" s="208"/>
      <c r="D748" s="208"/>
      <c r="E748" s="208"/>
      <c r="F748" s="208"/>
      <c r="G748" s="208"/>
      <c r="H748" s="208"/>
      <c r="I748" s="233"/>
      <c r="J748" s="208"/>
      <c r="K748" s="208"/>
      <c r="L748" s="208"/>
      <c r="M748" s="208"/>
      <c r="N748" s="208"/>
      <c r="O748" s="208"/>
      <c r="P748" s="208"/>
      <c r="Q748" s="208"/>
      <c r="R748" s="208"/>
      <c r="S748" s="208"/>
      <c r="T748" s="208"/>
      <c r="U748" s="208"/>
      <c r="V748" s="208"/>
      <c r="W748" s="232"/>
      <c r="X748" s="232"/>
      <c r="Y748" s="232"/>
      <c r="Z748" s="232"/>
      <c r="AA748" s="232"/>
      <c r="AB748" s="232"/>
      <c r="AC748" s="232"/>
      <c r="AD748" s="232"/>
      <c r="AE748" s="232"/>
      <c r="AF748" s="232"/>
      <c r="AG748" s="208"/>
      <c r="AH748" s="208"/>
      <c r="AI748" s="208"/>
      <c r="AJ748" s="208"/>
      <c r="AK748" s="208"/>
    </row>
    <row r="749">
      <c r="A749" s="234"/>
      <c r="B749" s="208"/>
      <c r="C749" s="208"/>
      <c r="D749" s="208"/>
      <c r="E749" s="208"/>
      <c r="F749" s="208"/>
      <c r="G749" s="208"/>
      <c r="H749" s="208"/>
      <c r="I749" s="233"/>
      <c r="J749" s="208"/>
      <c r="K749" s="208"/>
      <c r="L749" s="208"/>
      <c r="M749" s="208"/>
      <c r="N749" s="208"/>
      <c r="O749" s="208"/>
      <c r="P749" s="208"/>
      <c r="Q749" s="208"/>
      <c r="R749" s="208"/>
      <c r="S749" s="208"/>
      <c r="T749" s="208"/>
      <c r="U749" s="208"/>
      <c r="V749" s="208"/>
      <c r="W749" s="232"/>
      <c r="X749" s="232"/>
      <c r="Y749" s="232"/>
      <c r="Z749" s="232"/>
      <c r="AA749" s="232"/>
      <c r="AB749" s="232"/>
      <c r="AC749" s="232"/>
      <c r="AD749" s="232"/>
      <c r="AE749" s="232"/>
      <c r="AF749" s="232"/>
      <c r="AG749" s="208"/>
      <c r="AH749" s="208"/>
      <c r="AI749" s="208"/>
      <c r="AJ749" s="208"/>
      <c r="AK749" s="208"/>
    </row>
    <row r="750">
      <c r="A750" s="234"/>
      <c r="B750" s="208"/>
      <c r="C750" s="208"/>
      <c r="D750" s="208"/>
      <c r="E750" s="208"/>
      <c r="F750" s="208"/>
      <c r="G750" s="208"/>
      <c r="H750" s="208"/>
      <c r="I750" s="233"/>
      <c r="J750" s="208"/>
      <c r="K750" s="208"/>
      <c r="L750" s="208"/>
      <c r="M750" s="208"/>
      <c r="N750" s="208"/>
      <c r="O750" s="208"/>
      <c r="P750" s="208"/>
      <c r="Q750" s="208"/>
      <c r="R750" s="208"/>
      <c r="S750" s="208"/>
      <c r="T750" s="208"/>
      <c r="U750" s="208"/>
      <c r="V750" s="208"/>
      <c r="W750" s="232"/>
      <c r="X750" s="232"/>
      <c r="Y750" s="232"/>
      <c r="Z750" s="232"/>
      <c r="AA750" s="232"/>
      <c r="AB750" s="232"/>
      <c r="AC750" s="232"/>
      <c r="AD750" s="232"/>
      <c r="AE750" s="232"/>
      <c r="AF750" s="232"/>
      <c r="AG750" s="208"/>
      <c r="AH750" s="208"/>
      <c r="AI750" s="208"/>
      <c r="AJ750" s="208"/>
      <c r="AK750" s="208"/>
    </row>
    <row r="751">
      <c r="A751" s="234"/>
      <c r="B751" s="208"/>
      <c r="C751" s="208"/>
      <c r="D751" s="208"/>
      <c r="E751" s="208"/>
      <c r="F751" s="208"/>
      <c r="G751" s="208"/>
      <c r="H751" s="208"/>
      <c r="I751" s="233"/>
      <c r="J751" s="208"/>
      <c r="K751" s="208"/>
      <c r="L751" s="208"/>
      <c r="M751" s="208"/>
      <c r="N751" s="208"/>
      <c r="O751" s="208"/>
      <c r="P751" s="208"/>
      <c r="Q751" s="208"/>
      <c r="R751" s="208"/>
      <c r="S751" s="208"/>
      <c r="T751" s="208"/>
      <c r="U751" s="208"/>
      <c r="V751" s="208"/>
      <c r="W751" s="232"/>
      <c r="X751" s="232"/>
      <c r="Y751" s="232"/>
      <c r="Z751" s="232"/>
      <c r="AA751" s="232"/>
      <c r="AB751" s="232"/>
      <c r="AC751" s="232"/>
      <c r="AD751" s="232"/>
      <c r="AE751" s="232"/>
      <c r="AF751" s="232"/>
      <c r="AG751" s="208"/>
      <c r="AH751" s="208"/>
      <c r="AI751" s="208"/>
      <c r="AJ751" s="208"/>
      <c r="AK751" s="208"/>
    </row>
    <row r="752">
      <c r="A752" s="234"/>
      <c r="B752" s="208"/>
      <c r="C752" s="208"/>
      <c r="D752" s="208"/>
      <c r="E752" s="208"/>
      <c r="F752" s="208"/>
      <c r="G752" s="208"/>
      <c r="H752" s="208"/>
      <c r="I752" s="233"/>
      <c r="J752" s="208"/>
      <c r="K752" s="208"/>
      <c r="L752" s="208"/>
      <c r="M752" s="208"/>
      <c r="N752" s="208"/>
      <c r="O752" s="208"/>
      <c r="P752" s="208"/>
      <c r="Q752" s="208"/>
      <c r="R752" s="208"/>
      <c r="S752" s="208"/>
      <c r="T752" s="208"/>
      <c r="U752" s="208"/>
      <c r="V752" s="208"/>
      <c r="W752" s="232"/>
      <c r="X752" s="232"/>
      <c r="Y752" s="232"/>
      <c r="Z752" s="232"/>
      <c r="AA752" s="232"/>
      <c r="AB752" s="232"/>
      <c r="AC752" s="232"/>
      <c r="AD752" s="232"/>
      <c r="AE752" s="232"/>
      <c r="AF752" s="232"/>
      <c r="AG752" s="208"/>
      <c r="AH752" s="208"/>
      <c r="AI752" s="208"/>
      <c r="AJ752" s="208"/>
      <c r="AK752" s="208"/>
    </row>
    <row r="753">
      <c r="A753" s="234"/>
      <c r="B753" s="208"/>
      <c r="C753" s="208"/>
      <c r="D753" s="208"/>
      <c r="E753" s="208"/>
      <c r="F753" s="208"/>
      <c r="G753" s="208"/>
      <c r="H753" s="208"/>
      <c r="I753" s="233"/>
      <c r="J753" s="208"/>
      <c r="K753" s="208"/>
      <c r="L753" s="208"/>
      <c r="M753" s="208"/>
      <c r="N753" s="208"/>
      <c r="O753" s="208"/>
      <c r="P753" s="208"/>
      <c r="Q753" s="208"/>
      <c r="R753" s="208"/>
      <c r="S753" s="208"/>
      <c r="T753" s="208"/>
      <c r="U753" s="208"/>
      <c r="V753" s="208"/>
      <c r="W753" s="232"/>
      <c r="X753" s="232"/>
      <c r="Y753" s="232"/>
      <c r="Z753" s="232"/>
      <c r="AA753" s="232"/>
      <c r="AB753" s="232"/>
      <c r="AC753" s="232"/>
      <c r="AD753" s="232"/>
      <c r="AE753" s="232"/>
      <c r="AF753" s="232"/>
      <c r="AG753" s="208"/>
      <c r="AH753" s="208"/>
      <c r="AI753" s="208"/>
      <c r="AJ753" s="208"/>
      <c r="AK753" s="208"/>
    </row>
    <row r="754">
      <c r="A754" s="234"/>
      <c r="B754" s="208"/>
      <c r="C754" s="208"/>
      <c r="D754" s="208"/>
      <c r="E754" s="208"/>
      <c r="F754" s="208"/>
      <c r="G754" s="208"/>
      <c r="H754" s="208"/>
      <c r="I754" s="233"/>
      <c r="J754" s="208"/>
      <c r="K754" s="208"/>
      <c r="L754" s="208"/>
      <c r="M754" s="208"/>
      <c r="N754" s="208"/>
      <c r="O754" s="208"/>
      <c r="P754" s="208"/>
      <c r="Q754" s="208"/>
      <c r="R754" s="208"/>
      <c r="S754" s="208"/>
      <c r="T754" s="208"/>
      <c r="U754" s="208"/>
      <c r="V754" s="208"/>
      <c r="W754" s="232"/>
      <c r="X754" s="232"/>
      <c r="Y754" s="232"/>
      <c r="Z754" s="232"/>
      <c r="AA754" s="232"/>
      <c r="AB754" s="232"/>
      <c r="AC754" s="232"/>
      <c r="AD754" s="232"/>
      <c r="AE754" s="232"/>
      <c r="AF754" s="232"/>
      <c r="AG754" s="208"/>
      <c r="AH754" s="208"/>
      <c r="AI754" s="208"/>
      <c r="AJ754" s="208"/>
      <c r="AK754" s="208"/>
    </row>
    <row r="755">
      <c r="A755" s="234"/>
      <c r="B755" s="208"/>
      <c r="C755" s="208"/>
      <c r="D755" s="208"/>
      <c r="E755" s="208"/>
      <c r="F755" s="208"/>
      <c r="G755" s="208"/>
      <c r="H755" s="208"/>
      <c r="I755" s="233"/>
      <c r="J755" s="208"/>
      <c r="K755" s="208"/>
      <c r="L755" s="208"/>
      <c r="M755" s="208"/>
      <c r="N755" s="208"/>
      <c r="O755" s="208"/>
      <c r="P755" s="208"/>
      <c r="Q755" s="208"/>
      <c r="R755" s="208"/>
      <c r="S755" s="208"/>
      <c r="T755" s="208"/>
      <c r="U755" s="208"/>
      <c r="V755" s="208"/>
      <c r="W755" s="232"/>
      <c r="X755" s="232"/>
      <c r="Y755" s="232"/>
      <c r="Z755" s="232"/>
      <c r="AA755" s="232"/>
      <c r="AB755" s="232"/>
      <c r="AC755" s="232"/>
      <c r="AD755" s="232"/>
      <c r="AE755" s="232"/>
      <c r="AF755" s="232"/>
      <c r="AG755" s="208"/>
      <c r="AH755" s="208"/>
      <c r="AI755" s="208"/>
      <c r="AJ755" s="208"/>
      <c r="AK755" s="208"/>
    </row>
    <row r="756">
      <c r="A756" s="234"/>
      <c r="B756" s="208"/>
      <c r="C756" s="208"/>
      <c r="D756" s="208"/>
      <c r="E756" s="208"/>
      <c r="F756" s="208"/>
      <c r="G756" s="208"/>
      <c r="H756" s="208"/>
      <c r="I756" s="233"/>
      <c r="J756" s="208"/>
      <c r="K756" s="208"/>
      <c r="L756" s="208"/>
      <c r="M756" s="208"/>
      <c r="N756" s="208"/>
      <c r="O756" s="208"/>
      <c r="P756" s="208"/>
      <c r="Q756" s="208"/>
      <c r="R756" s="208"/>
      <c r="S756" s="208"/>
      <c r="T756" s="208"/>
      <c r="U756" s="208"/>
      <c r="V756" s="208"/>
      <c r="W756" s="232"/>
      <c r="X756" s="232"/>
      <c r="Y756" s="232"/>
      <c r="Z756" s="232"/>
      <c r="AA756" s="232"/>
      <c r="AB756" s="232"/>
      <c r="AC756" s="232"/>
      <c r="AD756" s="232"/>
      <c r="AE756" s="232"/>
      <c r="AF756" s="232"/>
      <c r="AG756" s="208"/>
      <c r="AH756" s="208"/>
      <c r="AI756" s="208"/>
      <c r="AJ756" s="208"/>
      <c r="AK756" s="208"/>
    </row>
    <row r="757">
      <c r="A757" s="234"/>
      <c r="B757" s="208"/>
      <c r="C757" s="208"/>
      <c r="D757" s="208"/>
      <c r="E757" s="208"/>
      <c r="F757" s="208"/>
      <c r="G757" s="208"/>
      <c r="H757" s="208"/>
      <c r="I757" s="233"/>
      <c r="J757" s="208"/>
      <c r="K757" s="208"/>
      <c r="L757" s="208"/>
      <c r="M757" s="208"/>
      <c r="N757" s="208"/>
      <c r="O757" s="208"/>
      <c r="P757" s="208"/>
      <c r="Q757" s="208"/>
      <c r="R757" s="208"/>
      <c r="S757" s="208"/>
      <c r="T757" s="208"/>
      <c r="U757" s="208"/>
      <c r="V757" s="208"/>
      <c r="W757" s="232"/>
      <c r="X757" s="232"/>
      <c r="Y757" s="232"/>
      <c r="Z757" s="232"/>
      <c r="AA757" s="232"/>
      <c r="AB757" s="232"/>
      <c r="AC757" s="232"/>
      <c r="AD757" s="232"/>
      <c r="AE757" s="232"/>
      <c r="AF757" s="232"/>
      <c r="AG757" s="208"/>
      <c r="AH757" s="208"/>
      <c r="AI757" s="208"/>
      <c r="AJ757" s="208"/>
      <c r="AK757" s="208"/>
    </row>
    <row r="758">
      <c r="A758" s="234"/>
      <c r="B758" s="208"/>
      <c r="C758" s="208"/>
      <c r="D758" s="208"/>
      <c r="E758" s="208"/>
      <c r="F758" s="208"/>
      <c r="G758" s="208"/>
      <c r="H758" s="208"/>
      <c r="I758" s="233"/>
      <c r="J758" s="208"/>
      <c r="K758" s="208"/>
      <c r="L758" s="208"/>
      <c r="M758" s="208"/>
      <c r="N758" s="208"/>
      <c r="O758" s="208"/>
      <c r="P758" s="208"/>
      <c r="Q758" s="208"/>
      <c r="R758" s="208"/>
      <c r="S758" s="208"/>
      <c r="T758" s="208"/>
      <c r="U758" s="208"/>
      <c r="V758" s="208"/>
      <c r="W758" s="232"/>
      <c r="X758" s="232"/>
      <c r="Y758" s="232"/>
      <c r="Z758" s="232"/>
      <c r="AA758" s="232"/>
      <c r="AB758" s="232"/>
      <c r="AC758" s="232"/>
      <c r="AD758" s="232"/>
      <c r="AE758" s="232"/>
      <c r="AF758" s="232"/>
      <c r="AG758" s="208"/>
      <c r="AH758" s="208"/>
      <c r="AI758" s="208"/>
      <c r="AJ758" s="208"/>
      <c r="AK758" s="208"/>
    </row>
    <row r="759">
      <c r="A759" s="234"/>
      <c r="B759" s="208"/>
      <c r="C759" s="208"/>
      <c r="D759" s="208"/>
      <c r="E759" s="208"/>
      <c r="F759" s="208"/>
      <c r="G759" s="208"/>
      <c r="H759" s="208"/>
      <c r="I759" s="233"/>
      <c r="J759" s="208"/>
      <c r="K759" s="208"/>
      <c r="L759" s="208"/>
      <c r="M759" s="208"/>
      <c r="N759" s="208"/>
      <c r="O759" s="208"/>
      <c r="P759" s="208"/>
      <c r="Q759" s="208"/>
      <c r="R759" s="208"/>
      <c r="S759" s="208"/>
      <c r="T759" s="208"/>
      <c r="U759" s="208"/>
      <c r="V759" s="208"/>
      <c r="W759" s="232"/>
      <c r="X759" s="232"/>
      <c r="Y759" s="232"/>
      <c r="Z759" s="232"/>
      <c r="AA759" s="232"/>
      <c r="AB759" s="232"/>
      <c r="AC759" s="232"/>
      <c r="AD759" s="232"/>
      <c r="AE759" s="232"/>
      <c r="AF759" s="232"/>
      <c r="AG759" s="208"/>
      <c r="AH759" s="208"/>
      <c r="AI759" s="208"/>
      <c r="AJ759" s="208"/>
      <c r="AK759" s="208"/>
    </row>
    <row r="760">
      <c r="A760" s="234"/>
      <c r="B760" s="208"/>
      <c r="C760" s="208"/>
      <c r="D760" s="208"/>
      <c r="E760" s="208"/>
      <c r="F760" s="208"/>
      <c r="G760" s="208"/>
      <c r="H760" s="208"/>
      <c r="I760" s="233"/>
      <c r="J760" s="208"/>
      <c r="K760" s="208"/>
      <c r="L760" s="208"/>
      <c r="M760" s="208"/>
      <c r="N760" s="208"/>
      <c r="O760" s="208"/>
      <c r="P760" s="208"/>
      <c r="Q760" s="208"/>
      <c r="R760" s="208"/>
      <c r="S760" s="208"/>
      <c r="T760" s="208"/>
      <c r="U760" s="208"/>
      <c r="V760" s="208"/>
      <c r="W760" s="232"/>
      <c r="X760" s="232"/>
      <c r="Y760" s="232"/>
      <c r="Z760" s="232"/>
      <c r="AA760" s="232"/>
      <c r="AB760" s="232"/>
      <c r="AC760" s="232"/>
      <c r="AD760" s="232"/>
      <c r="AE760" s="232"/>
      <c r="AF760" s="232"/>
      <c r="AG760" s="208"/>
      <c r="AH760" s="208"/>
      <c r="AI760" s="208"/>
      <c r="AJ760" s="208"/>
      <c r="AK760" s="208"/>
    </row>
    <row r="761">
      <c r="A761" s="234"/>
      <c r="B761" s="208"/>
      <c r="C761" s="208"/>
      <c r="D761" s="208"/>
      <c r="E761" s="208"/>
      <c r="F761" s="208"/>
      <c r="G761" s="208"/>
      <c r="H761" s="208"/>
      <c r="I761" s="233"/>
      <c r="J761" s="208"/>
      <c r="K761" s="208"/>
      <c r="L761" s="208"/>
      <c r="M761" s="208"/>
      <c r="N761" s="208"/>
      <c r="O761" s="208"/>
      <c r="P761" s="208"/>
      <c r="Q761" s="208"/>
      <c r="R761" s="208"/>
      <c r="S761" s="208"/>
      <c r="T761" s="208"/>
      <c r="U761" s="208"/>
      <c r="V761" s="208"/>
      <c r="W761" s="232"/>
      <c r="X761" s="232"/>
      <c r="Y761" s="232"/>
      <c r="Z761" s="232"/>
      <c r="AA761" s="232"/>
      <c r="AB761" s="232"/>
      <c r="AC761" s="232"/>
      <c r="AD761" s="232"/>
      <c r="AE761" s="232"/>
      <c r="AF761" s="232"/>
      <c r="AG761" s="208"/>
      <c r="AH761" s="208"/>
      <c r="AI761" s="208"/>
      <c r="AJ761" s="208"/>
      <c r="AK761" s="208"/>
    </row>
    <row r="762">
      <c r="A762" s="234"/>
      <c r="B762" s="208"/>
      <c r="C762" s="208"/>
      <c r="D762" s="208"/>
      <c r="E762" s="208"/>
      <c r="F762" s="208"/>
      <c r="G762" s="208"/>
      <c r="H762" s="208"/>
      <c r="I762" s="233"/>
      <c r="J762" s="208"/>
      <c r="K762" s="208"/>
      <c r="L762" s="208"/>
      <c r="M762" s="208"/>
      <c r="N762" s="208"/>
      <c r="O762" s="208"/>
      <c r="P762" s="208"/>
      <c r="Q762" s="208"/>
      <c r="R762" s="208"/>
      <c r="S762" s="208"/>
      <c r="T762" s="208"/>
      <c r="U762" s="208"/>
      <c r="V762" s="208"/>
      <c r="W762" s="232"/>
      <c r="X762" s="232"/>
      <c r="Y762" s="232"/>
      <c r="Z762" s="232"/>
      <c r="AA762" s="232"/>
      <c r="AB762" s="232"/>
      <c r="AC762" s="232"/>
      <c r="AD762" s="232"/>
      <c r="AE762" s="232"/>
      <c r="AF762" s="232"/>
      <c r="AG762" s="208"/>
      <c r="AH762" s="208"/>
      <c r="AI762" s="208"/>
      <c r="AJ762" s="208"/>
      <c r="AK762" s="208"/>
    </row>
    <row r="763">
      <c r="A763" s="234"/>
      <c r="B763" s="208"/>
      <c r="C763" s="208"/>
      <c r="D763" s="208"/>
      <c r="E763" s="208"/>
      <c r="F763" s="208"/>
      <c r="G763" s="208"/>
      <c r="H763" s="208"/>
      <c r="I763" s="233"/>
      <c r="J763" s="208"/>
      <c r="K763" s="208"/>
      <c r="L763" s="208"/>
      <c r="M763" s="208"/>
      <c r="N763" s="208"/>
      <c r="O763" s="208"/>
      <c r="P763" s="208"/>
      <c r="Q763" s="208"/>
      <c r="R763" s="208"/>
      <c r="S763" s="208"/>
      <c r="T763" s="208"/>
      <c r="U763" s="208"/>
      <c r="V763" s="208"/>
      <c r="W763" s="232"/>
      <c r="X763" s="232"/>
      <c r="Y763" s="232"/>
      <c r="Z763" s="232"/>
      <c r="AA763" s="232"/>
      <c r="AB763" s="232"/>
      <c r="AC763" s="232"/>
      <c r="AD763" s="232"/>
      <c r="AE763" s="232"/>
      <c r="AF763" s="232"/>
      <c r="AG763" s="208"/>
      <c r="AH763" s="208"/>
      <c r="AI763" s="208"/>
      <c r="AJ763" s="208"/>
      <c r="AK763" s="208"/>
    </row>
    <row r="764">
      <c r="A764" s="234"/>
      <c r="B764" s="208"/>
      <c r="C764" s="208"/>
      <c r="D764" s="208"/>
      <c r="E764" s="208"/>
      <c r="F764" s="208"/>
      <c r="G764" s="208"/>
      <c r="H764" s="208"/>
      <c r="I764" s="233"/>
      <c r="J764" s="208"/>
      <c r="K764" s="208"/>
      <c r="L764" s="208"/>
      <c r="M764" s="208"/>
      <c r="N764" s="208"/>
      <c r="O764" s="208"/>
      <c r="P764" s="208"/>
      <c r="Q764" s="208"/>
      <c r="R764" s="208"/>
      <c r="S764" s="208"/>
      <c r="T764" s="208"/>
      <c r="U764" s="208"/>
      <c r="V764" s="208"/>
      <c r="W764" s="232"/>
      <c r="X764" s="232"/>
      <c r="Y764" s="232"/>
      <c r="Z764" s="232"/>
      <c r="AA764" s="232"/>
      <c r="AB764" s="232"/>
      <c r="AC764" s="232"/>
      <c r="AD764" s="232"/>
      <c r="AE764" s="232"/>
      <c r="AF764" s="232"/>
      <c r="AG764" s="208"/>
      <c r="AH764" s="208"/>
      <c r="AI764" s="208"/>
      <c r="AJ764" s="208"/>
      <c r="AK764" s="208"/>
    </row>
    <row r="765">
      <c r="A765" s="234"/>
      <c r="B765" s="208"/>
      <c r="C765" s="208"/>
      <c r="D765" s="208"/>
      <c r="E765" s="208"/>
      <c r="F765" s="208"/>
      <c r="G765" s="208"/>
      <c r="H765" s="208"/>
      <c r="I765" s="233"/>
      <c r="J765" s="208"/>
      <c r="K765" s="208"/>
      <c r="L765" s="208"/>
      <c r="M765" s="208"/>
      <c r="N765" s="208"/>
      <c r="O765" s="208"/>
      <c r="P765" s="208"/>
      <c r="Q765" s="208"/>
      <c r="R765" s="208"/>
      <c r="S765" s="208"/>
      <c r="T765" s="208"/>
      <c r="U765" s="208"/>
      <c r="V765" s="208"/>
      <c r="W765" s="232"/>
      <c r="X765" s="232"/>
      <c r="Y765" s="232"/>
      <c r="Z765" s="232"/>
      <c r="AA765" s="232"/>
      <c r="AB765" s="232"/>
      <c r="AC765" s="232"/>
      <c r="AD765" s="232"/>
      <c r="AE765" s="232"/>
      <c r="AF765" s="232"/>
      <c r="AG765" s="208"/>
      <c r="AH765" s="208"/>
      <c r="AI765" s="208"/>
      <c r="AJ765" s="208"/>
      <c r="AK765" s="208"/>
    </row>
    <row r="766">
      <c r="A766" s="234"/>
      <c r="B766" s="208"/>
      <c r="C766" s="208"/>
      <c r="D766" s="208"/>
      <c r="E766" s="208"/>
      <c r="F766" s="208"/>
      <c r="G766" s="208"/>
      <c r="H766" s="208"/>
      <c r="I766" s="233"/>
      <c r="J766" s="208"/>
      <c r="K766" s="208"/>
      <c r="L766" s="208"/>
      <c r="M766" s="208"/>
      <c r="N766" s="208"/>
      <c r="O766" s="208"/>
      <c r="P766" s="208"/>
      <c r="Q766" s="208"/>
      <c r="R766" s="208"/>
      <c r="S766" s="208"/>
      <c r="T766" s="208"/>
      <c r="U766" s="208"/>
      <c r="V766" s="208"/>
      <c r="W766" s="232"/>
      <c r="X766" s="232"/>
      <c r="Y766" s="232"/>
      <c r="Z766" s="232"/>
      <c r="AA766" s="232"/>
      <c r="AB766" s="232"/>
      <c r="AC766" s="232"/>
      <c r="AD766" s="232"/>
      <c r="AE766" s="232"/>
      <c r="AF766" s="232"/>
      <c r="AG766" s="208"/>
      <c r="AH766" s="208"/>
      <c r="AI766" s="208"/>
      <c r="AJ766" s="208"/>
      <c r="AK766" s="208"/>
    </row>
    <row r="767">
      <c r="A767" s="234"/>
      <c r="B767" s="208"/>
      <c r="C767" s="208"/>
      <c r="D767" s="208"/>
      <c r="E767" s="208"/>
      <c r="F767" s="208"/>
      <c r="G767" s="208"/>
      <c r="H767" s="208"/>
      <c r="I767" s="233"/>
      <c r="J767" s="208"/>
      <c r="K767" s="208"/>
      <c r="L767" s="208"/>
      <c r="M767" s="208"/>
      <c r="N767" s="208"/>
      <c r="O767" s="208"/>
      <c r="P767" s="208"/>
      <c r="Q767" s="208"/>
      <c r="R767" s="208"/>
      <c r="S767" s="208"/>
      <c r="T767" s="208"/>
      <c r="U767" s="208"/>
      <c r="V767" s="208"/>
      <c r="W767" s="232"/>
      <c r="X767" s="232"/>
      <c r="Y767" s="232"/>
      <c r="Z767" s="232"/>
      <c r="AA767" s="232"/>
      <c r="AB767" s="232"/>
      <c r="AC767" s="232"/>
      <c r="AD767" s="232"/>
      <c r="AE767" s="232"/>
      <c r="AF767" s="232"/>
      <c r="AG767" s="208"/>
      <c r="AH767" s="208"/>
      <c r="AI767" s="208"/>
      <c r="AJ767" s="208"/>
      <c r="AK767" s="208"/>
    </row>
    <row r="768">
      <c r="A768" s="234"/>
      <c r="B768" s="208"/>
      <c r="C768" s="208"/>
      <c r="D768" s="208"/>
      <c r="E768" s="208"/>
      <c r="F768" s="208"/>
      <c r="G768" s="208"/>
      <c r="H768" s="208"/>
      <c r="I768" s="233"/>
      <c r="J768" s="208"/>
      <c r="K768" s="208"/>
      <c r="L768" s="208"/>
      <c r="M768" s="208"/>
      <c r="N768" s="208"/>
      <c r="O768" s="208"/>
      <c r="P768" s="208"/>
      <c r="Q768" s="208"/>
      <c r="R768" s="208"/>
      <c r="S768" s="208"/>
      <c r="T768" s="208"/>
      <c r="U768" s="208"/>
      <c r="V768" s="208"/>
      <c r="W768" s="232"/>
      <c r="X768" s="232"/>
      <c r="Y768" s="232"/>
      <c r="Z768" s="232"/>
      <c r="AA768" s="232"/>
      <c r="AB768" s="232"/>
      <c r="AC768" s="232"/>
      <c r="AD768" s="232"/>
      <c r="AE768" s="232"/>
      <c r="AF768" s="232"/>
      <c r="AG768" s="208"/>
      <c r="AH768" s="208"/>
      <c r="AI768" s="208"/>
      <c r="AJ768" s="208"/>
      <c r="AK768" s="208"/>
    </row>
    <row r="769">
      <c r="A769" s="234"/>
      <c r="B769" s="208"/>
      <c r="C769" s="208"/>
      <c r="D769" s="208"/>
      <c r="E769" s="208"/>
      <c r="F769" s="208"/>
      <c r="G769" s="208"/>
      <c r="H769" s="208"/>
      <c r="I769" s="233"/>
      <c r="J769" s="208"/>
      <c r="K769" s="208"/>
      <c r="L769" s="208"/>
      <c r="M769" s="208"/>
      <c r="N769" s="208"/>
      <c r="O769" s="208"/>
      <c r="P769" s="208"/>
      <c r="Q769" s="208"/>
      <c r="R769" s="208"/>
      <c r="S769" s="208"/>
      <c r="T769" s="208"/>
      <c r="U769" s="208"/>
      <c r="V769" s="208"/>
      <c r="W769" s="232"/>
      <c r="X769" s="232"/>
      <c r="Y769" s="232"/>
      <c r="Z769" s="232"/>
      <c r="AA769" s="232"/>
      <c r="AB769" s="232"/>
      <c r="AC769" s="232"/>
      <c r="AD769" s="232"/>
      <c r="AE769" s="232"/>
      <c r="AF769" s="232"/>
      <c r="AG769" s="208"/>
      <c r="AH769" s="208"/>
      <c r="AI769" s="208"/>
      <c r="AJ769" s="208"/>
      <c r="AK769" s="208"/>
    </row>
    <row r="770">
      <c r="A770" s="234"/>
      <c r="B770" s="208"/>
      <c r="C770" s="208"/>
      <c r="D770" s="208"/>
      <c r="E770" s="208"/>
      <c r="F770" s="208"/>
      <c r="G770" s="208"/>
      <c r="H770" s="208"/>
      <c r="I770" s="233"/>
      <c r="J770" s="208"/>
      <c r="K770" s="208"/>
      <c r="L770" s="208"/>
      <c r="M770" s="208"/>
      <c r="N770" s="208"/>
      <c r="O770" s="208"/>
      <c r="P770" s="208"/>
      <c r="Q770" s="208"/>
      <c r="R770" s="208"/>
      <c r="S770" s="208"/>
      <c r="T770" s="208"/>
      <c r="U770" s="208"/>
      <c r="V770" s="208"/>
      <c r="W770" s="232"/>
      <c r="X770" s="232"/>
      <c r="Y770" s="232"/>
      <c r="Z770" s="232"/>
      <c r="AA770" s="232"/>
      <c r="AB770" s="232"/>
      <c r="AC770" s="232"/>
      <c r="AD770" s="232"/>
      <c r="AE770" s="232"/>
      <c r="AF770" s="232"/>
      <c r="AG770" s="208"/>
      <c r="AH770" s="208"/>
      <c r="AI770" s="208"/>
      <c r="AJ770" s="208"/>
      <c r="AK770" s="208"/>
    </row>
    <row r="771">
      <c r="A771" s="234"/>
      <c r="B771" s="208"/>
      <c r="C771" s="208"/>
      <c r="D771" s="208"/>
      <c r="E771" s="208"/>
      <c r="F771" s="208"/>
      <c r="G771" s="208"/>
      <c r="H771" s="208"/>
      <c r="I771" s="233"/>
      <c r="J771" s="208"/>
      <c r="K771" s="208"/>
      <c r="L771" s="208"/>
      <c r="M771" s="208"/>
      <c r="N771" s="208"/>
      <c r="O771" s="208"/>
      <c r="P771" s="208"/>
      <c r="Q771" s="208"/>
      <c r="R771" s="208"/>
      <c r="S771" s="208"/>
      <c r="T771" s="208"/>
      <c r="U771" s="208"/>
      <c r="V771" s="208"/>
      <c r="W771" s="232"/>
      <c r="X771" s="232"/>
      <c r="Y771" s="232"/>
      <c r="Z771" s="232"/>
      <c r="AA771" s="232"/>
      <c r="AB771" s="232"/>
      <c r="AC771" s="232"/>
      <c r="AD771" s="232"/>
      <c r="AE771" s="232"/>
      <c r="AF771" s="232"/>
      <c r="AG771" s="208"/>
      <c r="AH771" s="208"/>
      <c r="AI771" s="208"/>
      <c r="AJ771" s="208"/>
      <c r="AK771" s="208"/>
    </row>
    <row r="772">
      <c r="A772" s="234"/>
      <c r="B772" s="208"/>
      <c r="C772" s="208"/>
      <c r="D772" s="208"/>
      <c r="E772" s="208"/>
      <c r="F772" s="208"/>
      <c r="G772" s="208"/>
      <c r="H772" s="208"/>
      <c r="I772" s="233"/>
      <c r="J772" s="208"/>
      <c r="K772" s="208"/>
      <c r="L772" s="208"/>
      <c r="M772" s="208"/>
      <c r="N772" s="208"/>
      <c r="O772" s="208"/>
      <c r="P772" s="208"/>
      <c r="Q772" s="208"/>
      <c r="R772" s="208"/>
      <c r="S772" s="208"/>
      <c r="T772" s="208"/>
      <c r="U772" s="208"/>
      <c r="V772" s="208"/>
      <c r="W772" s="232"/>
      <c r="X772" s="232"/>
      <c r="Y772" s="232"/>
      <c r="Z772" s="232"/>
      <c r="AA772" s="232"/>
      <c r="AB772" s="232"/>
      <c r="AC772" s="232"/>
      <c r="AD772" s="232"/>
      <c r="AE772" s="232"/>
      <c r="AF772" s="232"/>
      <c r="AG772" s="208"/>
      <c r="AH772" s="208"/>
      <c r="AI772" s="208"/>
      <c r="AJ772" s="208"/>
      <c r="AK772" s="208"/>
    </row>
    <row r="773">
      <c r="A773" s="234"/>
      <c r="B773" s="208"/>
      <c r="C773" s="208"/>
      <c r="D773" s="208"/>
      <c r="E773" s="208"/>
      <c r="F773" s="208"/>
      <c r="G773" s="208"/>
      <c r="H773" s="208"/>
      <c r="I773" s="233"/>
      <c r="J773" s="208"/>
      <c r="K773" s="208"/>
      <c r="L773" s="208"/>
      <c r="M773" s="208"/>
      <c r="N773" s="208"/>
      <c r="O773" s="208"/>
      <c r="P773" s="208"/>
      <c r="Q773" s="208"/>
      <c r="R773" s="208"/>
      <c r="S773" s="208"/>
      <c r="T773" s="208"/>
      <c r="U773" s="208"/>
      <c r="V773" s="208"/>
      <c r="W773" s="232"/>
      <c r="X773" s="232"/>
      <c r="Y773" s="232"/>
      <c r="Z773" s="232"/>
      <c r="AA773" s="232"/>
      <c r="AB773" s="232"/>
      <c r="AC773" s="232"/>
      <c r="AD773" s="232"/>
      <c r="AE773" s="232"/>
      <c r="AF773" s="232"/>
      <c r="AG773" s="208"/>
      <c r="AH773" s="208"/>
      <c r="AI773" s="208"/>
      <c r="AJ773" s="208"/>
      <c r="AK773" s="208"/>
    </row>
    <row r="774">
      <c r="A774" s="234"/>
      <c r="B774" s="208"/>
      <c r="C774" s="208"/>
      <c r="D774" s="208"/>
      <c r="E774" s="208"/>
      <c r="F774" s="208"/>
      <c r="G774" s="208"/>
      <c r="H774" s="208"/>
      <c r="I774" s="233"/>
      <c r="J774" s="208"/>
      <c r="K774" s="208"/>
      <c r="L774" s="208"/>
      <c r="M774" s="208"/>
      <c r="N774" s="208"/>
      <c r="O774" s="208"/>
      <c r="P774" s="208"/>
      <c r="Q774" s="208"/>
      <c r="R774" s="208"/>
      <c r="S774" s="208"/>
      <c r="T774" s="208"/>
      <c r="U774" s="208"/>
      <c r="V774" s="208"/>
      <c r="W774" s="232"/>
      <c r="X774" s="232"/>
      <c r="Y774" s="232"/>
      <c r="Z774" s="232"/>
      <c r="AA774" s="232"/>
      <c r="AB774" s="232"/>
      <c r="AC774" s="232"/>
      <c r="AD774" s="232"/>
      <c r="AE774" s="232"/>
      <c r="AF774" s="232"/>
      <c r="AG774" s="208"/>
      <c r="AH774" s="208"/>
      <c r="AI774" s="208"/>
      <c r="AJ774" s="208"/>
      <c r="AK774" s="208"/>
    </row>
    <row r="775">
      <c r="A775" s="234"/>
      <c r="B775" s="208"/>
      <c r="C775" s="208"/>
      <c r="D775" s="208"/>
      <c r="E775" s="208"/>
      <c r="F775" s="208"/>
      <c r="G775" s="208"/>
      <c r="H775" s="208"/>
      <c r="I775" s="233"/>
      <c r="J775" s="208"/>
      <c r="K775" s="208"/>
      <c r="L775" s="208"/>
      <c r="M775" s="208"/>
      <c r="N775" s="208"/>
      <c r="O775" s="208"/>
      <c r="P775" s="208"/>
      <c r="Q775" s="208"/>
      <c r="R775" s="208"/>
      <c r="S775" s="208"/>
      <c r="T775" s="208"/>
      <c r="U775" s="208"/>
      <c r="V775" s="208"/>
      <c r="W775" s="232"/>
      <c r="X775" s="232"/>
      <c r="Y775" s="232"/>
      <c r="Z775" s="232"/>
      <c r="AA775" s="232"/>
      <c r="AB775" s="232"/>
      <c r="AC775" s="232"/>
      <c r="AD775" s="232"/>
      <c r="AE775" s="232"/>
      <c r="AF775" s="232"/>
      <c r="AG775" s="208"/>
      <c r="AH775" s="208"/>
      <c r="AI775" s="208"/>
      <c r="AJ775" s="208"/>
      <c r="AK775" s="208"/>
    </row>
    <row r="776">
      <c r="A776" s="234"/>
      <c r="B776" s="208"/>
      <c r="C776" s="208"/>
      <c r="D776" s="208"/>
      <c r="E776" s="208"/>
      <c r="F776" s="208"/>
      <c r="G776" s="208"/>
      <c r="H776" s="208"/>
      <c r="I776" s="233"/>
      <c r="J776" s="208"/>
      <c r="K776" s="208"/>
      <c r="L776" s="208"/>
      <c r="M776" s="208"/>
      <c r="N776" s="208"/>
      <c r="O776" s="208"/>
      <c r="P776" s="208"/>
      <c r="Q776" s="208"/>
      <c r="R776" s="208"/>
      <c r="S776" s="208"/>
      <c r="T776" s="208"/>
      <c r="U776" s="208"/>
      <c r="V776" s="208"/>
      <c r="W776" s="232"/>
      <c r="X776" s="232"/>
      <c r="Y776" s="232"/>
      <c r="Z776" s="232"/>
      <c r="AA776" s="232"/>
      <c r="AB776" s="232"/>
      <c r="AC776" s="232"/>
      <c r="AD776" s="232"/>
      <c r="AE776" s="232"/>
      <c r="AF776" s="232"/>
      <c r="AG776" s="208"/>
      <c r="AH776" s="208"/>
      <c r="AI776" s="208"/>
      <c r="AJ776" s="208"/>
      <c r="AK776" s="208"/>
    </row>
    <row r="777">
      <c r="A777" s="234"/>
      <c r="B777" s="208"/>
      <c r="C777" s="208"/>
      <c r="D777" s="208"/>
      <c r="E777" s="208"/>
      <c r="F777" s="208"/>
      <c r="G777" s="208"/>
      <c r="H777" s="208"/>
      <c r="I777" s="233"/>
      <c r="J777" s="208"/>
      <c r="K777" s="208"/>
      <c r="L777" s="208"/>
      <c r="M777" s="208"/>
      <c r="N777" s="208"/>
      <c r="O777" s="208"/>
      <c r="P777" s="208"/>
      <c r="Q777" s="208"/>
      <c r="R777" s="208"/>
      <c r="S777" s="208"/>
      <c r="T777" s="208"/>
      <c r="U777" s="208"/>
      <c r="V777" s="208"/>
      <c r="W777" s="232"/>
      <c r="X777" s="232"/>
      <c r="Y777" s="232"/>
      <c r="Z777" s="232"/>
      <c r="AA777" s="232"/>
      <c r="AB777" s="232"/>
      <c r="AC777" s="232"/>
      <c r="AD777" s="232"/>
      <c r="AE777" s="232"/>
      <c r="AF777" s="232"/>
      <c r="AG777" s="208"/>
      <c r="AH777" s="208"/>
      <c r="AI777" s="208"/>
      <c r="AJ777" s="208"/>
      <c r="AK777" s="208"/>
    </row>
    <row r="778">
      <c r="A778" s="234"/>
      <c r="B778" s="208"/>
      <c r="C778" s="208"/>
      <c r="D778" s="208"/>
      <c r="E778" s="208"/>
      <c r="F778" s="208"/>
      <c r="G778" s="208"/>
      <c r="H778" s="208"/>
      <c r="I778" s="233"/>
      <c r="J778" s="208"/>
      <c r="K778" s="208"/>
      <c r="L778" s="208"/>
      <c r="M778" s="208"/>
      <c r="N778" s="208"/>
      <c r="O778" s="208"/>
      <c r="P778" s="208"/>
      <c r="Q778" s="208"/>
      <c r="R778" s="208"/>
      <c r="S778" s="208"/>
      <c r="T778" s="208"/>
      <c r="U778" s="208"/>
      <c r="V778" s="208"/>
      <c r="W778" s="232"/>
      <c r="X778" s="232"/>
      <c r="Y778" s="232"/>
      <c r="Z778" s="232"/>
      <c r="AA778" s="232"/>
      <c r="AB778" s="232"/>
      <c r="AC778" s="232"/>
      <c r="AD778" s="232"/>
      <c r="AE778" s="232"/>
      <c r="AF778" s="232"/>
      <c r="AG778" s="208"/>
      <c r="AH778" s="208"/>
      <c r="AI778" s="208"/>
      <c r="AJ778" s="208"/>
      <c r="AK778" s="208"/>
    </row>
    <row r="779">
      <c r="A779" s="234"/>
      <c r="B779" s="208"/>
      <c r="C779" s="208"/>
      <c r="D779" s="208"/>
      <c r="E779" s="208"/>
      <c r="F779" s="208"/>
      <c r="G779" s="208"/>
      <c r="H779" s="208"/>
      <c r="I779" s="233"/>
      <c r="J779" s="208"/>
      <c r="K779" s="208"/>
      <c r="L779" s="208"/>
      <c r="M779" s="208"/>
      <c r="N779" s="208"/>
      <c r="O779" s="208"/>
      <c r="P779" s="208"/>
      <c r="Q779" s="208"/>
      <c r="R779" s="208"/>
      <c r="S779" s="208"/>
      <c r="T779" s="208"/>
      <c r="U779" s="208"/>
      <c r="V779" s="208"/>
      <c r="W779" s="232"/>
      <c r="X779" s="232"/>
      <c r="Y779" s="232"/>
      <c r="Z779" s="232"/>
      <c r="AA779" s="232"/>
      <c r="AB779" s="232"/>
      <c r="AC779" s="232"/>
      <c r="AD779" s="232"/>
      <c r="AE779" s="232"/>
      <c r="AF779" s="232"/>
      <c r="AG779" s="208"/>
      <c r="AH779" s="208"/>
      <c r="AI779" s="208"/>
      <c r="AJ779" s="208"/>
      <c r="AK779" s="208"/>
    </row>
    <row r="780">
      <c r="A780" s="234"/>
      <c r="B780" s="208"/>
      <c r="C780" s="208"/>
      <c r="D780" s="208"/>
      <c r="E780" s="208"/>
      <c r="F780" s="208"/>
      <c r="G780" s="208"/>
      <c r="H780" s="208"/>
      <c r="I780" s="233"/>
      <c r="J780" s="208"/>
      <c r="K780" s="208"/>
      <c r="L780" s="208"/>
      <c r="M780" s="208"/>
      <c r="N780" s="208"/>
      <c r="O780" s="208"/>
      <c r="P780" s="208"/>
      <c r="Q780" s="208"/>
      <c r="R780" s="208"/>
      <c r="S780" s="208"/>
      <c r="T780" s="208"/>
      <c r="U780" s="208"/>
      <c r="V780" s="208"/>
      <c r="W780" s="232"/>
      <c r="X780" s="232"/>
      <c r="Y780" s="232"/>
      <c r="Z780" s="232"/>
      <c r="AA780" s="232"/>
      <c r="AB780" s="232"/>
      <c r="AC780" s="232"/>
      <c r="AD780" s="232"/>
      <c r="AE780" s="232"/>
      <c r="AF780" s="232"/>
      <c r="AG780" s="208"/>
      <c r="AH780" s="208"/>
      <c r="AI780" s="208"/>
      <c r="AJ780" s="208"/>
      <c r="AK780" s="208"/>
    </row>
    <row r="781">
      <c r="A781" s="234"/>
      <c r="B781" s="208"/>
      <c r="C781" s="208"/>
      <c r="D781" s="208"/>
      <c r="E781" s="208"/>
      <c r="F781" s="208"/>
      <c r="G781" s="208"/>
      <c r="H781" s="208"/>
      <c r="I781" s="233"/>
      <c r="J781" s="208"/>
      <c r="K781" s="208"/>
      <c r="L781" s="208"/>
      <c r="M781" s="208"/>
      <c r="N781" s="208"/>
      <c r="O781" s="208"/>
      <c r="P781" s="208"/>
      <c r="Q781" s="208"/>
      <c r="R781" s="208"/>
      <c r="S781" s="208"/>
      <c r="T781" s="208"/>
      <c r="U781" s="208"/>
      <c r="V781" s="208"/>
      <c r="W781" s="232"/>
      <c r="X781" s="232"/>
      <c r="Y781" s="232"/>
      <c r="Z781" s="232"/>
      <c r="AA781" s="232"/>
      <c r="AB781" s="232"/>
      <c r="AC781" s="232"/>
      <c r="AD781" s="232"/>
      <c r="AE781" s="232"/>
      <c r="AF781" s="232"/>
      <c r="AG781" s="208"/>
      <c r="AH781" s="208"/>
      <c r="AI781" s="208"/>
      <c r="AJ781" s="208"/>
      <c r="AK781" s="208"/>
    </row>
    <row r="782">
      <c r="A782" s="234"/>
      <c r="B782" s="208"/>
      <c r="C782" s="208"/>
      <c r="D782" s="208"/>
      <c r="E782" s="208"/>
      <c r="F782" s="208"/>
      <c r="G782" s="208"/>
      <c r="H782" s="208"/>
      <c r="I782" s="233"/>
      <c r="J782" s="208"/>
      <c r="K782" s="208"/>
      <c r="L782" s="208"/>
      <c r="M782" s="208"/>
      <c r="N782" s="208"/>
      <c r="O782" s="208"/>
      <c r="P782" s="208"/>
      <c r="Q782" s="208"/>
      <c r="R782" s="208"/>
      <c r="S782" s="208"/>
      <c r="T782" s="208"/>
      <c r="U782" s="208"/>
      <c r="V782" s="208"/>
      <c r="W782" s="232"/>
      <c r="X782" s="232"/>
      <c r="Y782" s="232"/>
      <c r="Z782" s="232"/>
      <c r="AA782" s="232"/>
      <c r="AB782" s="232"/>
      <c r="AC782" s="232"/>
      <c r="AD782" s="232"/>
      <c r="AE782" s="232"/>
      <c r="AF782" s="232"/>
      <c r="AG782" s="208"/>
      <c r="AH782" s="208"/>
      <c r="AI782" s="208"/>
      <c r="AJ782" s="208"/>
      <c r="AK782" s="208"/>
    </row>
    <row r="783">
      <c r="A783" s="234"/>
      <c r="B783" s="208"/>
      <c r="C783" s="208"/>
      <c r="D783" s="208"/>
      <c r="E783" s="208"/>
      <c r="F783" s="208"/>
      <c r="G783" s="208"/>
      <c r="H783" s="208"/>
      <c r="I783" s="233"/>
      <c r="J783" s="208"/>
      <c r="K783" s="208"/>
      <c r="L783" s="208"/>
      <c r="M783" s="208"/>
      <c r="N783" s="208"/>
      <c r="O783" s="208"/>
      <c r="P783" s="208"/>
      <c r="Q783" s="208"/>
      <c r="R783" s="208"/>
      <c r="S783" s="208"/>
      <c r="T783" s="208"/>
      <c r="U783" s="208"/>
      <c r="V783" s="208"/>
      <c r="W783" s="232"/>
      <c r="X783" s="232"/>
      <c r="Y783" s="232"/>
      <c r="Z783" s="232"/>
      <c r="AA783" s="232"/>
      <c r="AB783" s="232"/>
      <c r="AC783" s="232"/>
      <c r="AD783" s="232"/>
      <c r="AE783" s="232"/>
      <c r="AF783" s="232"/>
      <c r="AG783" s="208"/>
      <c r="AH783" s="208"/>
      <c r="AI783" s="208"/>
      <c r="AJ783" s="208"/>
      <c r="AK783" s="208"/>
    </row>
    <row r="784">
      <c r="A784" s="234"/>
      <c r="B784" s="208"/>
      <c r="C784" s="208"/>
      <c r="D784" s="208"/>
      <c r="E784" s="208"/>
      <c r="F784" s="208"/>
      <c r="G784" s="208"/>
      <c r="H784" s="208"/>
      <c r="I784" s="233"/>
      <c r="J784" s="208"/>
      <c r="K784" s="208"/>
      <c r="L784" s="208"/>
      <c r="M784" s="208"/>
      <c r="N784" s="208"/>
      <c r="O784" s="208"/>
      <c r="P784" s="208"/>
      <c r="Q784" s="208"/>
      <c r="R784" s="208"/>
      <c r="S784" s="208"/>
      <c r="T784" s="208"/>
      <c r="U784" s="208"/>
      <c r="V784" s="208"/>
      <c r="W784" s="232"/>
      <c r="X784" s="232"/>
      <c r="Y784" s="232"/>
      <c r="Z784" s="232"/>
      <c r="AA784" s="232"/>
      <c r="AB784" s="232"/>
      <c r="AC784" s="232"/>
      <c r="AD784" s="232"/>
      <c r="AE784" s="232"/>
      <c r="AF784" s="232"/>
      <c r="AG784" s="208"/>
      <c r="AH784" s="208"/>
      <c r="AI784" s="208"/>
      <c r="AJ784" s="208"/>
      <c r="AK784" s="208"/>
    </row>
    <row r="785">
      <c r="A785" s="234"/>
      <c r="B785" s="208"/>
      <c r="C785" s="208"/>
      <c r="D785" s="208"/>
      <c r="E785" s="208"/>
      <c r="F785" s="208"/>
      <c r="G785" s="208"/>
      <c r="H785" s="208"/>
      <c r="I785" s="233"/>
      <c r="J785" s="208"/>
      <c r="K785" s="208"/>
      <c r="L785" s="208"/>
      <c r="M785" s="208"/>
      <c r="N785" s="208"/>
      <c r="O785" s="208"/>
      <c r="P785" s="208"/>
      <c r="Q785" s="208"/>
      <c r="R785" s="208"/>
      <c r="S785" s="208"/>
      <c r="T785" s="208"/>
      <c r="U785" s="208"/>
      <c r="V785" s="208"/>
      <c r="W785" s="232"/>
      <c r="X785" s="232"/>
      <c r="Y785" s="232"/>
      <c r="Z785" s="232"/>
      <c r="AA785" s="232"/>
      <c r="AB785" s="232"/>
      <c r="AC785" s="232"/>
      <c r="AD785" s="232"/>
      <c r="AE785" s="232"/>
      <c r="AF785" s="232"/>
      <c r="AG785" s="208"/>
      <c r="AH785" s="208"/>
      <c r="AI785" s="208"/>
      <c r="AJ785" s="208"/>
      <c r="AK785" s="208"/>
    </row>
    <row r="786">
      <c r="A786" s="234"/>
      <c r="B786" s="208"/>
      <c r="C786" s="208"/>
      <c r="D786" s="208"/>
      <c r="E786" s="208"/>
      <c r="F786" s="208"/>
      <c r="G786" s="208"/>
      <c r="H786" s="208"/>
      <c r="I786" s="233"/>
      <c r="J786" s="208"/>
      <c r="K786" s="208"/>
      <c r="L786" s="208"/>
      <c r="M786" s="208"/>
      <c r="N786" s="208"/>
      <c r="O786" s="208"/>
      <c r="P786" s="208"/>
      <c r="Q786" s="208"/>
      <c r="R786" s="208"/>
      <c r="S786" s="208"/>
      <c r="T786" s="208"/>
      <c r="U786" s="208"/>
      <c r="V786" s="208"/>
      <c r="W786" s="232"/>
      <c r="X786" s="232"/>
      <c r="Y786" s="232"/>
      <c r="Z786" s="232"/>
      <c r="AA786" s="232"/>
      <c r="AB786" s="232"/>
      <c r="AC786" s="232"/>
      <c r="AD786" s="232"/>
      <c r="AE786" s="232"/>
      <c r="AF786" s="232"/>
      <c r="AG786" s="208"/>
      <c r="AH786" s="208"/>
      <c r="AI786" s="208"/>
      <c r="AJ786" s="208"/>
      <c r="AK786" s="208"/>
    </row>
    <row r="787">
      <c r="A787" s="234"/>
      <c r="B787" s="208"/>
      <c r="C787" s="208"/>
      <c r="D787" s="208"/>
      <c r="E787" s="208"/>
      <c r="F787" s="208"/>
      <c r="G787" s="208"/>
      <c r="H787" s="208"/>
      <c r="I787" s="233"/>
      <c r="J787" s="208"/>
      <c r="K787" s="208"/>
      <c r="L787" s="208"/>
      <c r="M787" s="208"/>
      <c r="N787" s="208"/>
      <c r="O787" s="208"/>
      <c r="P787" s="208"/>
      <c r="Q787" s="208"/>
      <c r="R787" s="208"/>
      <c r="S787" s="208"/>
      <c r="T787" s="208"/>
      <c r="U787" s="208"/>
      <c r="V787" s="208"/>
      <c r="W787" s="232"/>
      <c r="X787" s="232"/>
      <c r="Y787" s="232"/>
      <c r="Z787" s="232"/>
      <c r="AA787" s="232"/>
      <c r="AB787" s="232"/>
      <c r="AC787" s="232"/>
      <c r="AD787" s="232"/>
      <c r="AE787" s="232"/>
      <c r="AF787" s="232"/>
      <c r="AG787" s="208"/>
      <c r="AH787" s="208"/>
      <c r="AI787" s="208"/>
      <c r="AJ787" s="208"/>
      <c r="AK787" s="208"/>
    </row>
    <row r="788">
      <c r="A788" s="234"/>
      <c r="B788" s="208"/>
      <c r="C788" s="208"/>
      <c r="D788" s="208"/>
      <c r="E788" s="208"/>
      <c r="F788" s="208"/>
      <c r="G788" s="208"/>
      <c r="H788" s="208"/>
      <c r="I788" s="233"/>
      <c r="J788" s="208"/>
      <c r="K788" s="208"/>
      <c r="L788" s="208"/>
      <c r="M788" s="208"/>
      <c r="N788" s="208"/>
      <c r="O788" s="208"/>
      <c r="P788" s="208"/>
      <c r="Q788" s="208"/>
      <c r="R788" s="208"/>
      <c r="S788" s="208"/>
      <c r="T788" s="208"/>
      <c r="U788" s="208"/>
      <c r="V788" s="208"/>
      <c r="W788" s="232"/>
      <c r="X788" s="232"/>
      <c r="Y788" s="232"/>
      <c r="Z788" s="232"/>
      <c r="AA788" s="232"/>
      <c r="AB788" s="232"/>
      <c r="AC788" s="232"/>
      <c r="AD788" s="232"/>
      <c r="AE788" s="232"/>
      <c r="AF788" s="232"/>
      <c r="AG788" s="208"/>
      <c r="AH788" s="208"/>
      <c r="AI788" s="208"/>
      <c r="AJ788" s="208"/>
      <c r="AK788" s="208"/>
    </row>
    <row r="789">
      <c r="A789" s="234"/>
      <c r="B789" s="208"/>
      <c r="C789" s="208"/>
      <c r="D789" s="208"/>
      <c r="E789" s="208"/>
      <c r="F789" s="208"/>
      <c r="G789" s="208"/>
      <c r="H789" s="208"/>
      <c r="I789" s="233"/>
      <c r="J789" s="208"/>
      <c r="K789" s="208"/>
      <c r="L789" s="208"/>
      <c r="M789" s="208"/>
      <c r="N789" s="208"/>
      <c r="O789" s="208"/>
      <c r="P789" s="208"/>
      <c r="Q789" s="208"/>
      <c r="R789" s="208"/>
      <c r="S789" s="208"/>
      <c r="T789" s="208"/>
      <c r="U789" s="208"/>
      <c r="V789" s="208"/>
      <c r="W789" s="232"/>
      <c r="X789" s="232"/>
      <c r="Y789" s="232"/>
      <c r="Z789" s="232"/>
      <c r="AA789" s="232"/>
      <c r="AB789" s="232"/>
      <c r="AC789" s="232"/>
      <c r="AD789" s="232"/>
      <c r="AE789" s="232"/>
      <c r="AF789" s="232"/>
      <c r="AG789" s="208"/>
      <c r="AH789" s="208"/>
      <c r="AI789" s="208"/>
      <c r="AJ789" s="208"/>
      <c r="AK789" s="208"/>
    </row>
    <row r="790">
      <c r="A790" s="234"/>
      <c r="B790" s="208"/>
      <c r="C790" s="208"/>
      <c r="D790" s="208"/>
      <c r="E790" s="208"/>
      <c r="F790" s="208"/>
      <c r="G790" s="208"/>
      <c r="H790" s="208"/>
      <c r="I790" s="233"/>
      <c r="J790" s="208"/>
      <c r="K790" s="208"/>
      <c r="L790" s="208"/>
      <c r="M790" s="208"/>
      <c r="N790" s="208"/>
      <c r="O790" s="208"/>
      <c r="P790" s="208"/>
      <c r="Q790" s="208"/>
      <c r="R790" s="208"/>
      <c r="S790" s="208"/>
      <c r="T790" s="208"/>
      <c r="U790" s="208"/>
      <c r="V790" s="208"/>
      <c r="W790" s="232"/>
      <c r="X790" s="232"/>
      <c r="Y790" s="232"/>
      <c r="Z790" s="232"/>
      <c r="AA790" s="232"/>
      <c r="AB790" s="232"/>
      <c r="AC790" s="232"/>
      <c r="AD790" s="232"/>
      <c r="AE790" s="232"/>
      <c r="AF790" s="232"/>
      <c r="AG790" s="208"/>
      <c r="AH790" s="208"/>
      <c r="AI790" s="208"/>
      <c r="AJ790" s="208"/>
      <c r="AK790" s="208"/>
    </row>
    <row r="791">
      <c r="A791" s="234"/>
      <c r="B791" s="208"/>
      <c r="C791" s="208"/>
      <c r="D791" s="208"/>
      <c r="E791" s="208"/>
      <c r="F791" s="208"/>
      <c r="G791" s="208"/>
      <c r="H791" s="208"/>
      <c r="I791" s="233"/>
      <c r="J791" s="208"/>
      <c r="K791" s="208"/>
      <c r="L791" s="208"/>
      <c r="M791" s="208"/>
      <c r="N791" s="208"/>
      <c r="O791" s="208"/>
      <c r="P791" s="208"/>
      <c r="Q791" s="208"/>
      <c r="R791" s="208"/>
      <c r="S791" s="208"/>
      <c r="T791" s="208"/>
      <c r="U791" s="208"/>
      <c r="V791" s="208"/>
      <c r="W791" s="232"/>
      <c r="X791" s="232"/>
      <c r="Y791" s="232"/>
      <c r="Z791" s="232"/>
      <c r="AA791" s="232"/>
      <c r="AB791" s="232"/>
      <c r="AC791" s="232"/>
      <c r="AD791" s="232"/>
      <c r="AE791" s="232"/>
      <c r="AF791" s="232"/>
      <c r="AG791" s="208"/>
      <c r="AH791" s="208"/>
      <c r="AI791" s="208"/>
      <c r="AJ791" s="208"/>
      <c r="AK791" s="208"/>
    </row>
    <row r="792">
      <c r="A792" s="234"/>
      <c r="B792" s="208"/>
      <c r="C792" s="208"/>
      <c r="D792" s="208"/>
      <c r="E792" s="208"/>
      <c r="F792" s="208"/>
      <c r="G792" s="208"/>
      <c r="H792" s="208"/>
      <c r="I792" s="233"/>
      <c r="J792" s="208"/>
      <c r="K792" s="208"/>
      <c r="L792" s="208"/>
      <c r="M792" s="208"/>
      <c r="N792" s="208"/>
      <c r="O792" s="208"/>
      <c r="P792" s="208"/>
      <c r="Q792" s="208"/>
      <c r="R792" s="208"/>
      <c r="S792" s="208"/>
      <c r="T792" s="208"/>
      <c r="U792" s="208"/>
      <c r="V792" s="208"/>
      <c r="W792" s="232"/>
      <c r="X792" s="232"/>
      <c r="Y792" s="232"/>
      <c r="Z792" s="232"/>
      <c r="AA792" s="232"/>
      <c r="AB792" s="232"/>
      <c r="AC792" s="232"/>
      <c r="AD792" s="232"/>
      <c r="AE792" s="232"/>
      <c r="AF792" s="232"/>
      <c r="AG792" s="208"/>
      <c r="AH792" s="208"/>
      <c r="AI792" s="208"/>
      <c r="AJ792" s="208"/>
      <c r="AK792" s="208"/>
    </row>
    <row r="793">
      <c r="A793" s="234"/>
      <c r="B793" s="208"/>
      <c r="C793" s="208"/>
      <c r="D793" s="208"/>
      <c r="E793" s="208"/>
      <c r="F793" s="208"/>
      <c r="G793" s="208"/>
      <c r="H793" s="208"/>
      <c r="I793" s="233"/>
      <c r="J793" s="208"/>
      <c r="K793" s="208"/>
      <c r="L793" s="208"/>
      <c r="M793" s="208"/>
      <c r="N793" s="208"/>
      <c r="O793" s="208"/>
      <c r="P793" s="208"/>
      <c r="Q793" s="208"/>
      <c r="R793" s="208"/>
      <c r="S793" s="208"/>
      <c r="T793" s="208"/>
      <c r="U793" s="208"/>
      <c r="V793" s="208"/>
      <c r="W793" s="232"/>
      <c r="X793" s="232"/>
      <c r="Y793" s="232"/>
      <c r="Z793" s="232"/>
      <c r="AA793" s="232"/>
      <c r="AB793" s="232"/>
      <c r="AC793" s="232"/>
      <c r="AD793" s="232"/>
      <c r="AE793" s="232"/>
      <c r="AF793" s="232"/>
      <c r="AG793" s="208"/>
      <c r="AH793" s="208"/>
      <c r="AI793" s="208"/>
      <c r="AJ793" s="208"/>
      <c r="AK793" s="208"/>
    </row>
    <row r="794">
      <c r="A794" s="234"/>
      <c r="B794" s="208"/>
      <c r="C794" s="208"/>
      <c r="D794" s="208"/>
      <c r="E794" s="208"/>
      <c r="F794" s="208"/>
      <c r="G794" s="208"/>
      <c r="H794" s="208"/>
      <c r="I794" s="233"/>
      <c r="J794" s="208"/>
      <c r="K794" s="208"/>
      <c r="L794" s="208"/>
      <c r="M794" s="208"/>
      <c r="N794" s="208"/>
      <c r="O794" s="208"/>
      <c r="P794" s="208"/>
      <c r="Q794" s="208"/>
      <c r="R794" s="208"/>
      <c r="S794" s="208"/>
      <c r="T794" s="208"/>
      <c r="U794" s="208"/>
      <c r="V794" s="208"/>
      <c r="W794" s="232"/>
      <c r="X794" s="232"/>
      <c r="Y794" s="232"/>
      <c r="Z794" s="232"/>
      <c r="AA794" s="232"/>
      <c r="AB794" s="232"/>
      <c r="AC794" s="232"/>
      <c r="AD794" s="232"/>
      <c r="AE794" s="232"/>
      <c r="AF794" s="232"/>
      <c r="AG794" s="208"/>
      <c r="AH794" s="208"/>
      <c r="AI794" s="208"/>
      <c r="AJ794" s="208"/>
      <c r="AK794" s="208"/>
    </row>
    <row r="795">
      <c r="A795" s="234"/>
      <c r="B795" s="208"/>
      <c r="C795" s="208"/>
      <c r="D795" s="208"/>
      <c r="E795" s="208"/>
      <c r="F795" s="208"/>
      <c r="G795" s="208"/>
      <c r="H795" s="208"/>
      <c r="I795" s="233"/>
      <c r="J795" s="208"/>
      <c r="K795" s="208"/>
      <c r="L795" s="208"/>
      <c r="M795" s="208"/>
      <c r="N795" s="208"/>
      <c r="O795" s="208"/>
      <c r="P795" s="208"/>
      <c r="Q795" s="208"/>
      <c r="R795" s="208"/>
      <c r="S795" s="208"/>
      <c r="T795" s="208"/>
      <c r="U795" s="208"/>
      <c r="V795" s="208"/>
      <c r="W795" s="232"/>
      <c r="X795" s="232"/>
      <c r="Y795" s="232"/>
      <c r="Z795" s="232"/>
      <c r="AA795" s="232"/>
      <c r="AB795" s="232"/>
      <c r="AC795" s="232"/>
      <c r="AD795" s="232"/>
      <c r="AE795" s="232"/>
      <c r="AF795" s="232"/>
      <c r="AG795" s="208"/>
      <c r="AH795" s="208"/>
      <c r="AI795" s="208"/>
      <c r="AJ795" s="208"/>
      <c r="AK795" s="208"/>
    </row>
    <row r="796">
      <c r="A796" s="234"/>
      <c r="B796" s="208"/>
      <c r="C796" s="208"/>
      <c r="D796" s="208"/>
      <c r="E796" s="208"/>
      <c r="F796" s="208"/>
      <c r="G796" s="208"/>
      <c r="H796" s="208"/>
      <c r="I796" s="233"/>
      <c r="J796" s="208"/>
      <c r="K796" s="208"/>
      <c r="L796" s="208"/>
      <c r="M796" s="208"/>
      <c r="N796" s="208"/>
      <c r="O796" s="208"/>
      <c r="P796" s="208"/>
      <c r="Q796" s="208"/>
      <c r="R796" s="208"/>
      <c r="S796" s="208"/>
      <c r="T796" s="208"/>
      <c r="U796" s="208"/>
      <c r="V796" s="208"/>
      <c r="W796" s="232"/>
      <c r="X796" s="232"/>
      <c r="Y796" s="232"/>
      <c r="Z796" s="232"/>
      <c r="AA796" s="232"/>
      <c r="AB796" s="232"/>
      <c r="AC796" s="232"/>
      <c r="AD796" s="232"/>
      <c r="AE796" s="232"/>
      <c r="AF796" s="232"/>
      <c r="AG796" s="208"/>
      <c r="AH796" s="208"/>
      <c r="AI796" s="208"/>
      <c r="AJ796" s="208"/>
      <c r="AK796" s="208"/>
    </row>
    <row r="797">
      <c r="A797" s="234"/>
      <c r="B797" s="208"/>
      <c r="C797" s="208"/>
      <c r="D797" s="208"/>
      <c r="E797" s="208"/>
      <c r="F797" s="208"/>
      <c r="G797" s="208"/>
      <c r="H797" s="208"/>
      <c r="I797" s="233"/>
      <c r="J797" s="208"/>
      <c r="K797" s="208"/>
      <c r="L797" s="208"/>
      <c r="M797" s="208"/>
      <c r="N797" s="208"/>
      <c r="O797" s="208"/>
      <c r="P797" s="208"/>
      <c r="Q797" s="208"/>
      <c r="R797" s="208"/>
      <c r="S797" s="208"/>
      <c r="T797" s="208"/>
      <c r="U797" s="208"/>
      <c r="V797" s="208"/>
      <c r="W797" s="232"/>
      <c r="X797" s="232"/>
      <c r="Y797" s="232"/>
      <c r="Z797" s="232"/>
      <c r="AA797" s="232"/>
      <c r="AB797" s="232"/>
      <c r="AC797" s="232"/>
      <c r="AD797" s="232"/>
      <c r="AE797" s="232"/>
      <c r="AF797" s="232"/>
      <c r="AG797" s="208"/>
      <c r="AH797" s="208"/>
      <c r="AI797" s="208"/>
      <c r="AJ797" s="208"/>
      <c r="AK797" s="208"/>
    </row>
    <row r="798">
      <c r="A798" s="234"/>
      <c r="B798" s="208"/>
      <c r="C798" s="208"/>
      <c r="D798" s="208"/>
      <c r="E798" s="208"/>
      <c r="F798" s="208"/>
      <c r="G798" s="208"/>
      <c r="H798" s="208"/>
      <c r="I798" s="233"/>
      <c r="J798" s="208"/>
      <c r="K798" s="208"/>
      <c r="L798" s="208"/>
      <c r="M798" s="208"/>
      <c r="N798" s="208"/>
      <c r="O798" s="208"/>
      <c r="P798" s="208"/>
      <c r="Q798" s="208"/>
      <c r="R798" s="208"/>
      <c r="S798" s="208"/>
      <c r="T798" s="208"/>
      <c r="U798" s="208"/>
      <c r="V798" s="208"/>
      <c r="W798" s="232"/>
      <c r="X798" s="232"/>
      <c r="Y798" s="232"/>
      <c r="Z798" s="232"/>
      <c r="AA798" s="232"/>
      <c r="AB798" s="232"/>
      <c r="AC798" s="232"/>
      <c r="AD798" s="232"/>
      <c r="AE798" s="232"/>
      <c r="AF798" s="232"/>
      <c r="AG798" s="208"/>
      <c r="AH798" s="208"/>
      <c r="AI798" s="208"/>
      <c r="AJ798" s="208"/>
      <c r="AK798" s="208"/>
    </row>
    <row r="799">
      <c r="A799" s="234"/>
      <c r="B799" s="208"/>
      <c r="C799" s="208"/>
      <c r="D799" s="208"/>
      <c r="E799" s="208"/>
      <c r="F799" s="208"/>
      <c r="G799" s="208"/>
      <c r="H799" s="208"/>
      <c r="I799" s="233"/>
      <c r="J799" s="208"/>
      <c r="K799" s="208"/>
      <c r="L799" s="208"/>
      <c r="M799" s="208"/>
      <c r="N799" s="208"/>
      <c r="O799" s="208"/>
      <c r="P799" s="208"/>
      <c r="Q799" s="208"/>
      <c r="R799" s="208"/>
      <c r="S799" s="208"/>
      <c r="T799" s="208"/>
      <c r="U799" s="208"/>
      <c r="V799" s="208"/>
      <c r="W799" s="232"/>
      <c r="X799" s="232"/>
      <c r="Y799" s="232"/>
      <c r="Z799" s="232"/>
      <c r="AA799" s="232"/>
      <c r="AB799" s="232"/>
      <c r="AC799" s="232"/>
      <c r="AD799" s="232"/>
      <c r="AE799" s="232"/>
      <c r="AF799" s="232"/>
      <c r="AG799" s="208"/>
      <c r="AH799" s="208"/>
      <c r="AI799" s="208"/>
      <c r="AJ799" s="208"/>
      <c r="AK799" s="208"/>
    </row>
    <row r="800">
      <c r="A800" s="234"/>
      <c r="B800" s="208"/>
      <c r="C800" s="208"/>
      <c r="D800" s="208"/>
      <c r="E800" s="208"/>
      <c r="F800" s="208"/>
      <c r="G800" s="208"/>
      <c r="H800" s="208"/>
      <c r="I800" s="233"/>
      <c r="J800" s="208"/>
      <c r="K800" s="208"/>
      <c r="L800" s="208"/>
      <c r="M800" s="208"/>
      <c r="N800" s="208"/>
      <c r="O800" s="208"/>
      <c r="P800" s="208"/>
      <c r="Q800" s="208"/>
      <c r="R800" s="208"/>
      <c r="S800" s="208"/>
      <c r="T800" s="208"/>
      <c r="U800" s="208"/>
      <c r="V800" s="208"/>
      <c r="W800" s="232"/>
      <c r="X800" s="232"/>
      <c r="Y800" s="232"/>
      <c r="Z800" s="232"/>
      <c r="AA800" s="232"/>
      <c r="AB800" s="232"/>
      <c r="AC800" s="232"/>
      <c r="AD800" s="232"/>
      <c r="AE800" s="232"/>
      <c r="AF800" s="232"/>
      <c r="AG800" s="208"/>
      <c r="AH800" s="208"/>
      <c r="AI800" s="208"/>
      <c r="AJ800" s="208"/>
      <c r="AK800" s="208"/>
    </row>
    <row r="801">
      <c r="A801" s="234"/>
      <c r="B801" s="208"/>
      <c r="C801" s="208"/>
      <c r="D801" s="208"/>
      <c r="E801" s="208"/>
      <c r="F801" s="208"/>
      <c r="G801" s="208"/>
      <c r="H801" s="208"/>
      <c r="I801" s="233"/>
      <c r="J801" s="208"/>
      <c r="K801" s="208"/>
      <c r="L801" s="208"/>
      <c r="M801" s="208"/>
      <c r="N801" s="208"/>
      <c r="O801" s="208"/>
      <c r="P801" s="208"/>
      <c r="Q801" s="208"/>
      <c r="R801" s="208"/>
      <c r="S801" s="208"/>
      <c r="T801" s="208"/>
      <c r="U801" s="208"/>
      <c r="V801" s="208"/>
      <c r="W801" s="232"/>
      <c r="X801" s="232"/>
      <c r="Y801" s="232"/>
      <c r="Z801" s="232"/>
      <c r="AA801" s="232"/>
      <c r="AB801" s="232"/>
      <c r="AC801" s="232"/>
      <c r="AD801" s="232"/>
      <c r="AE801" s="232"/>
      <c r="AF801" s="232"/>
      <c r="AG801" s="208"/>
      <c r="AH801" s="208"/>
      <c r="AI801" s="208"/>
      <c r="AJ801" s="208"/>
      <c r="AK801" s="208"/>
    </row>
    <row r="802">
      <c r="A802" s="234"/>
      <c r="B802" s="208"/>
      <c r="C802" s="208"/>
      <c r="D802" s="208"/>
      <c r="E802" s="208"/>
      <c r="F802" s="208"/>
      <c r="G802" s="208"/>
      <c r="H802" s="208"/>
      <c r="I802" s="233"/>
      <c r="J802" s="208"/>
      <c r="K802" s="208"/>
      <c r="L802" s="208"/>
      <c r="M802" s="208"/>
      <c r="N802" s="208"/>
      <c r="O802" s="208"/>
      <c r="P802" s="208"/>
      <c r="Q802" s="208"/>
      <c r="R802" s="208"/>
      <c r="S802" s="208"/>
      <c r="T802" s="208"/>
      <c r="U802" s="208"/>
      <c r="V802" s="208"/>
      <c r="W802" s="232"/>
      <c r="X802" s="232"/>
      <c r="Y802" s="232"/>
      <c r="Z802" s="232"/>
      <c r="AA802" s="232"/>
      <c r="AB802" s="232"/>
      <c r="AC802" s="232"/>
      <c r="AD802" s="232"/>
      <c r="AE802" s="232"/>
      <c r="AF802" s="232"/>
      <c r="AG802" s="208"/>
      <c r="AH802" s="208"/>
      <c r="AI802" s="208"/>
      <c r="AJ802" s="208"/>
      <c r="AK802" s="208"/>
    </row>
    <row r="803">
      <c r="A803" s="234"/>
      <c r="B803" s="208"/>
      <c r="C803" s="208"/>
      <c r="D803" s="208"/>
      <c r="E803" s="208"/>
      <c r="F803" s="208"/>
      <c r="G803" s="208"/>
      <c r="H803" s="208"/>
      <c r="I803" s="233"/>
      <c r="J803" s="208"/>
      <c r="K803" s="208"/>
      <c r="L803" s="208"/>
      <c r="M803" s="208"/>
      <c r="N803" s="208"/>
      <c r="O803" s="208"/>
      <c r="P803" s="208"/>
      <c r="Q803" s="208"/>
      <c r="R803" s="208"/>
      <c r="S803" s="208"/>
      <c r="T803" s="208"/>
      <c r="U803" s="208"/>
      <c r="V803" s="208"/>
      <c r="W803" s="232"/>
      <c r="X803" s="232"/>
      <c r="Y803" s="232"/>
      <c r="Z803" s="232"/>
      <c r="AA803" s="232"/>
      <c r="AB803" s="232"/>
      <c r="AC803" s="232"/>
      <c r="AD803" s="232"/>
      <c r="AE803" s="232"/>
      <c r="AF803" s="232"/>
      <c r="AG803" s="208"/>
      <c r="AH803" s="208"/>
      <c r="AI803" s="208"/>
      <c r="AJ803" s="208"/>
      <c r="AK803" s="208"/>
    </row>
    <row r="804">
      <c r="A804" s="234"/>
      <c r="B804" s="208"/>
      <c r="C804" s="208"/>
      <c r="D804" s="208"/>
      <c r="E804" s="208"/>
      <c r="F804" s="208"/>
      <c r="G804" s="208"/>
      <c r="H804" s="208"/>
      <c r="I804" s="233"/>
      <c r="J804" s="208"/>
      <c r="K804" s="208"/>
      <c r="L804" s="208"/>
      <c r="M804" s="208"/>
      <c r="N804" s="208"/>
      <c r="O804" s="208"/>
      <c r="P804" s="208"/>
      <c r="Q804" s="208"/>
      <c r="R804" s="208"/>
      <c r="S804" s="208"/>
      <c r="T804" s="208"/>
      <c r="U804" s="208"/>
      <c r="V804" s="208"/>
      <c r="W804" s="232"/>
      <c r="X804" s="232"/>
      <c r="Y804" s="232"/>
      <c r="Z804" s="232"/>
      <c r="AA804" s="232"/>
      <c r="AB804" s="232"/>
      <c r="AC804" s="232"/>
      <c r="AD804" s="232"/>
      <c r="AE804" s="232"/>
      <c r="AF804" s="232"/>
      <c r="AG804" s="208"/>
      <c r="AH804" s="208"/>
      <c r="AI804" s="208"/>
      <c r="AJ804" s="208"/>
      <c r="AK804" s="208"/>
    </row>
    <row r="805">
      <c r="A805" s="234"/>
      <c r="B805" s="208"/>
      <c r="C805" s="208"/>
      <c r="D805" s="208"/>
      <c r="E805" s="208"/>
      <c r="F805" s="208"/>
      <c r="G805" s="208"/>
      <c r="H805" s="208"/>
      <c r="I805" s="233"/>
      <c r="J805" s="208"/>
      <c r="K805" s="208"/>
      <c r="L805" s="208"/>
      <c r="M805" s="208"/>
      <c r="N805" s="208"/>
      <c r="O805" s="208"/>
      <c r="P805" s="208"/>
      <c r="Q805" s="208"/>
      <c r="R805" s="208"/>
      <c r="S805" s="208"/>
      <c r="T805" s="208"/>
      <c r="U805" s="208"/>
      <c r="V805" s="208"/>
      <c r="W805" s="232"/>
      <c r="X805" s="232"/>
      <c r="Y805" s="232"/>
      <c r="Z805" s="232"/>
      <c r="AA805" s="232"/>
      <c r="AB805" s="232"/>
      <c r="AC805" s="232"/>
      <c r="AD805" s="232"/>
      <c r="AE805" s="232"/>
      <c r="AF805" s="232"/>
      <c r="AG805" s="208"/>
      <c r="AH805" s="208"/>
      <c r="AI805" s="208"/>
      <c r="AJ805" s="208"/>
      <c r="AK805" s="208"/>
    </row>
    <row r="806">
      <c r="A806" s="234"/>
      <c r="B806" s="208"/>
      <c r="C806" s="208"/>
      <c r="D806" s="208"/>
      <c r="E806" s="208"/>
      <c r="F806" s="208"/>
      <c r="G806" s="208"/>
      <c r="H806" s="208"/>
      <c r="I806" s="233"/>
      <c r="J806" s="208"/>
      <c r="K806" s="208"/>
      <c r="L806" s="208"/>
      <c r="M806" s="208"/>
      <c r="N806" s="208"/>
      <c r="O806" s="208"/>
      <c r="P806" s="208"/>
      <c r="Q806" s="208"/>
      <c r="R806" s="208"/>
      <c r="S806" s="208"/>
      <c r="T806" s="208"/>
      <c r="U806" s="208"/>
      <c r="V806" s="208"/>
      <c r="W806" s="232"/>
      <c r="X806" s="232"/>
      <c r="Y806" s="232"/>
      <c r="Z806" s="232"/>
      <c r="AA806" s="232"/>
      <c r="AB806" s="232"/>
      <c r="AC806" s="232"/>
      <c r="AD806" s="232"/>
      <c r="AE806" s="232"/>
      <c r="AF806" s="232"/>
      <c r="AG806" s="208"/>
      <c r="AH806" s="208"/>
      <c r="AI806" s="208"/>
      <c r="AJ806" s="208"/>
      <c r="AK806" s="208"/>
    </row>
    <row r="807">
      <c r="A807" s="234"/>
      <c r="B807" s="208"/>
      <c r="C807" s="208"/>
      <c r="D807" s="208"/>
      <c r="E807" s="208"/>
      <c r="F807" s="208"/>
      <c r="G807" s="208"/>
      <c r="H807" s="208"/>
      <c r="I807" s="233"/>
      <c r="J807" s="208"/>
      <c r="K807" s="208"/>
      <c r="L807" s="208"/>
      <c r="M807" s="208"/>
      <c r="N807" s="208"/>
      <c r="O807" s="208"/>
      <c r="P807" s="208"/>
      <c r="Q807" s="208"/>
      <c r="R807" s="208"/>
      <c r="S807" s="208"/>
      <c r="T807" s="208"/>
      <c r="U807" s="208"/>
      <c r="V807" s="208"/>
      <c r="W807" s="232"/>
      <c r="X807" s="232"/>
      <c r="Y807" s="232"/>
      <c r="Z807" s="232"/>
      <c r="AA807" s="232"/>
      <c r="AB807" s="232"/>
      <c r="AC807" s="232"/>
      <c r="AD807" s="232"/>
      <c r="AE807" s="232"/>
      <c r="AF807" s="232"/>
      <c r="AG807" s="208"/>
      <c r="AH807" s="208"/>
      <c r="AI807" s="208"/>
      <c r="AJ807" s="208"/>
      <c r="AK807" s="208"/>
    </row>
    <row r="808">
      <c r="A808" s="234"/>
      <c r="B808" s="208"/>
      <c r="C808" s="208"/>
      <c r="D808" s="208"/>
      <c r="E808" s="208"/>
      <c r="F808" s="208"/>
      <c r="G808" s="208"/>
      <c r="H808" s="208"/>
      <c r="I808" s="233"/>
      <c r="J808" s="208"/>
      <c r="K808" s="208"/>
      <c r="L808" s="208"/>
      <c r="M808" s="208"/>
      <c r="N808" s="208"/>
      <c r="O808" s="208"/>
      <c r="P808" s="208"/>
      <c r="Q808" s="208"/>
      <c r="R808" s="208"/>
      <c r="S808" s="208"/>
      <c r="T808" s="208"/>
      <c r="U808" s="208"/>
      <c r="V808" s="208"/>
      <c r="W808" s="232"/>
      <c r="X808" s="232"/>
      <c r="Y808" s="232"/>
      <c r="Z808" s="232"/>
      <c r="AA808" s="232"/>
      <c r="AB808" s="232"/>
      <c r="AC808" s="232"/>
      <c r="AD808" s="232"/>
      <c r="AE808" s="232"/>
      <c r="AF808" s="232"/>
      <c r="AG808" s="208"/>
      <c r="AH808" s="208"/>
      <c r="AI808" s="208"/>
      <c r="AJ808" s="208"/>
      <c r="AK808" s="208"/>
    </row>
    <row r="809">
      <c r="A809" s="234"/>
      <c r="B809" s="208"/>
      <c r="C809" s="208"/>
      <c r="D809" s="208"/>
      <c r="E809" s="208"/>
      <c r="F809" s="208"/>
      <c r="G809" s="208"/>
      <c r="H809" s="208"/>
      <c r="I809" s="233"/>
      <c r="J809" s="208"/>
      <c r="K809" s="208"/>
      <c r="L809" s="208"/>
      <c r="M809" s="208"/>
      <c r="N809" s="208"/>
      <c r="O809" s="208"/>
      <c r="P809" s="208"/>
      <c r="Q809" s="208"/>
      <c r="R809" s="208"/>
      <c r="S809" s="208"/>
      <c r="T809" s="208"/>
      <c r="U809" s="208"/>
      <c r="V809" s="208"/>
      <c r="W809" s="232"/>
      <c r="X809" s="232"/>
      <c r="Y809" s="232"/>
      <c r="Z809" s="232"/>
      <c r="AA809" s="232"/>
      <c r="AB809" s="232"/>
      <c r="AC809" s="232"/>
      <c r="AD809" s="232"/>
      <c r="AE809" s="232"/>
      <c r="AF809" s="232"/>
      <c r="AG809" s="208"/>
      <c r="AH809" s="208"/>
      <c r="AI809" s="208"/>
      <c r="AJ809" s="208"/>
      <c r="AK809" s="208"/>
    </row>
    <row r="810">
      <c r="A810" s="234"/>
      <c r="B810" s="208"/>
      <c r="C810" s="208"/>
      <c r="D810" s="208"/>
      <c r="E810" s="208"/>
      <c r="F810" s="208"/>
      <c r="G810" s="208"/>
      <c r="H810" s="208"/>
      <c r="I810" s="233"/>
      <c r="J810" s="208"/>
      <c r="K810" s="208"/>
      <c r="L810" s="208"/>
      <c r="M810" s="208"/>
      <c r="N810" s="208"/>
      <c r="O810" s="208"/>
      <c r="P810" s="208"/>
      <c r="Q810" s="208"/>
      <c r="R810" s="208"/>
      <c r="S810" s="208"/>
      <c r="T810" s="208"/>
      <c r="U810" s="208"/>
      <c r="V810" s="208"/>
      <c r="W810" s="232"/>
      <c r="X810" s="232"/>
      <c r="Y810" s="232"/>
      <c r="Z810" s="232"/>
      <c r="AA810" s="232"/>
      <c r="AB810" s="232"/>
      <c r="AC810" s="232"/>
      <c r="AD810" s="232"/>
      <c r="AE810" s="232"/>
      <c r="AF810" s="232"/>
      <c r="AG810" s="208"/>
      <c r="AH810" s="208"/>
      <c r="AI810" s="208"/>
      <c r="AJ810" s="208"/>
      <c r="AK810" s="208"/>
    </row>
    <row r="811">
      <c r="A811" s="234"/>
      <c r="B811" s="208"/>
      <c r="C811" s="208"/>
      <c r="D811" s="208"/>
      <c r="E811" s="208"/>
      <c r="F811" s="208"/>
      <c r="G811" s="208"/>
      <c r="H811" s="208"/>
      <c r="I811" s="233"/>
      <c r="J811" s="208"/>
      <c r="K811" s="208"/>
      <c r="L811" s="208"/>
      <c r="M811" s="208"/>
      <c r="N811" s="208"/>
      <c r="O811" s="208"/>
      <c r="P811" s="208"/>
      <c r="Q811" s="208"/>
      <c r="R811" s="208"/>
      <c r="S811" s="208"/>
      <c r="T811" s="208"/>
      <c r="U811" s="208"/>
      <c r="V811" s="208"/>
      <c r="W811" s="232"/>
      <c r="X811" s="232"/>
      <c r="Y811" s="232"/>
      <c r="Z811" s="232"/>
      <c r="AA811" s="232"/>
      <c r="AB811" s="232"/>
      <c r="AC811" s="232"/>
      <c r="AD811" s="232"/>
      <c r="AE811" s="232"/>
      <c r="AF811" s="232"/>
      <c r="AG811" s="208"/>
      <c r="AH811" s="208"/>
      <c r="AI811" s="208"/>
      <c r="AJ811" s="208"/>
      <c r="AK811" s="208"/>
    </row>
    <row r="812">
      <c r="A812" s="234"/>
      <c r="B812" s="208"/>
      <c r="C812" s="208"/>
      <c r="D812" s="208"/>
      <c r="E812" s="208"/>
      <c r="F812" s="208"/>
      <c r="G812" s="208"/>
      <c r="H812" s="208"/>
      <c r="I812" s="233"/>
      <c r="J812" s="208"/>
      <c r="K812" s="208"/>
      <c r="L812" s="208"/>
      <c r="M812" s="208"/>
      <c r="N812" s="208"/>
      <c r="O812" s="208"/>
      <c r="P812" s="208"/>
      <c r="Q812" s="208"/>
      <c r="R812" s="208"/>
      <c r="S812" s="208"/>
      <c r="T812" s="208"/>
      <c r="U812" s="208"/>
      <c r="V812" s="208"/>
      <c r="W812" s="232"/>
      <c r="X812" s="232"/>
      <c r="Y812" s="232"/>
      <c r="Z812" s="232"/>
      <c r="AA812" s="232"/>
      <c r="AB812" s="232"/>
      <c r="AC812" s="232"/>
      <c r="AD812" s="232"/>
      <c r="AE812" s="232"/>
      <c r="AF812" s="232"/>
      <c r="AG812" s="208"/>
      <c r="AH812" s="208"/>
      <c r="AI812" s="208"/>
      <c r="AJ812" s="208"/>
      <c r="AK812" s="208"/>
    </row>
    <row r="813">
      <c r="A813" s="234"/>
      <c r="B813" s="208"/>
      <c r="C813" s="208"/>
      <c r="D813" s="208"/>
      <c r="E813" s="208"/>
      <c r="F813" s="208"/>
      <c r="G813" s="208"/>
      <c r="H813" s="208"/>
      <c r="I813" s="233"/>
      <c r="J813" s="208"/>
      <c r="K813" s="208"/>
      <c r="L813" s="208"/>
      <c r="M813" s="208"/>
      <c r="N813" s="208"/>
      <c r="O813" s="208"/>
      <c r="P813" s="208"/>
      <c r="Q813" s="208"/>
      <c r="R813" s="208"/>
      <c r="S813" s="208"/>
      <c r="T813" s="208"/>
      <c r="U813" s="208"/>
      <c r="V813" s="208"/>
      <c r="W813" s="232"/>
      <c r="X813" s="232"/>
      <c r="Y813" s="232"/>
      <c r="Z813" s="232"/>
      <c r="AA813" s="232"/>
      <c r="AB813" s="232"/>
      <c r="AC813" s="232"/>
      <c r="AD813" s="232"/>
      <c r="AE813" s="232"/>
      <c r="AF813" s="232"/>
      <c r="AG813" s="208"/>
      <c r="AH813" s="208"/>
      <c r="AI813" s="208"/>
      <c r="AJ813" s="208"/>
      <c r="AK813" s="208"/>
    </row>
    <row r="814">
      <c r="A814" s="234"/>
      <c r="B814" s="208"/>
      <c r="C814" s="208"/>
      <c r="D814" s="208"/>
      <c r="E814" s="208"/>
      <c r="F814" s="208"/>
      <c r="G814" s="208"/>
      <c r="H814" s="208"/>
      <c r="I814" s="233"/>
      <c r="J814" s="208"/>
      <c r="K814" s="208"/>
      <c r="L814" s="208"/>
      <c r="M814" s="208"/>
      <c r="N814" s="208"/>
      <c r="O814" s="208"/>
      <c r="P814" s="208"/>
      <c r="Q814" s="208"/>
      <c r="R814" s="208"/>
      <c r="S814" s="208"/>
      <c r="T814" s="208"/>
      <c r="U814" s="208"/>
      <c r="V814" s="208"/>
      <c r="W814" s="232"/>
      <c r="X814" s="232"/>
      <c r="Y814" s="232"/>
      <c r="Z814" s="232"/>
      <c r="AA814" s="232"/>
      <c r="AB814" s="232"/>
      <c r="AC814" s="232"/>
      <c r="AD814" s="232"/>
      <c r="AE814" s="232"/>
      <c r="AF814" s="232"/>
      <c r="AG814" s="208"/>
      <c r="AH814" s="208"/>
      <c r="AI814" s="208"/>
      <c r="AJ814" s="208"/>
      <c r="AK814" s="208"/>
    </row>
    <row r="815">
      <c r="A815" s="234"/>
      <c r="B815" s="208"/>
      <c r="C815" s="208"/>
      <c r="D815" s="208"/>
      <c r="E815" s="208"/>
      <c r="F815" s="208"/>
      <c r="G815" s="208"/>
      <c r="H815" s="208"/>
      <c r="I815" s="233"/>
      <c r="J815" s="208"/>
      <c r="K815" s="208"/>
      <c r="L815" s="208"/>
      <c r="M815" s="208"/>
      <c r="N815" s="208"/>
      <c r="O815" s="208"/>
      <c r="P815" s="208"/>
      <c r="Q815" s="208"/>
      <c r="R815" s="208"/>
      <c r="S815" s="208"/>
      <c r="T815" s="208"/>
      <c r="U815" s="208"/>
      <c r="V815" s="208"/>
      <c r="W815" s="232"/>
      <c r="X815" s="232"/>
      <c r="Y815" s="232"/>
      <c r="Z815" s="232"/>
      <c r="AA815" s="232"/>
      <c r="AB815" s="232"/>
      <c r="AC815" s="232"/>
      <c r="AD815" s="232"/>
      <c r="AE815" s="232"/>
      <c r="AF815" s="232"/>
      <c r="AG815" s="208"/>
      <c r="AH815" s="208"/>
      <c r="AI815" s="208"/>
      <c r="AJ815" s="208"/>
      <c r="AK815" s="208"/>
    </row>
    <row r="816">
      <c r="A816" s="234"/>
      <c r="B816" s="208"/>
      <c r="C816" s="208"/>
      <c r="D816" s="208"/>
      <c r="E816" s="208"/>
      <c r="F816" s="208"/>
      <c r="G816" s="208"/>
      <c r="H816" s="208"/>
      <c r="I816" s="233"/>
      <c r="J816" s="208"/>
      <c r="K816" s="208"/>
      <c r="L816" s="208"/>
      <c r="M816" s="208"/>
      <c r="N816" s="208"/>
      <c r="O816" s="208"/>
      <c r="P816" s="208"/>
      <c r="Q816" s="208"/>
      <c r="R816" s="208"/>
      <c r="S816" s="208"/>
      <c r="T816" s="208"/>
      <c r="U816" s="208"/>
      <c r="V816" s="208"/>
      <c r="W816" s="232"/>
      <c r="X816" s="232"/>
      <c r="Y816" s="232"/>
      <c r="Z816" s="232"/>
      <c r="AA816" s="232"/>
      <c r="AB816" s="232"/>
      <c r="AC816" s="232"/>
      <c r="AD816" s="232"/>
      <c r="AE816" s="232"/>
      <c r="AF816" s="232"/>
      <c r="AG816" s="208"/>
      <c r="AH816" s="208"/>
      <c r="AI816" s="208"/>
      <c r="AJ816" s="208"/>
      <c r="AK816" s="208"/>
    </row>
    <row r="817">
      <c r="A817" s="234"/>
      <c r="B817" s="208"/>
      <c r="C817" s="208"/>
      <c r="D817" s="208"/>
      <c r="E817" s="208"/>
      <c r="F817" s="208"/>
      <c r="G817" s="208"/>
      <c r="H817" s="208"/>
      <c r="I817" s="233"/>
      <c r="J817" s="208"/>
      <c r="K817" s="208"/>
      <c r="L817" s="208"/>
      <c r="M817" s="208"/>
      <c r="N817" s="208"/>
      <c r="O817" s="208"/>
      <c r="P817" s="208"/>
      <c r="Q817" s="208"/>
      <c r="R817" s="208"/>
      <c r="S817" s="208"/>
      <c r="T817" s="208"/>
      <c r="U817" s="208"/>
      <c r="V817" s="208"/>
      <c r="W817" s="232"/>
      <c r="X817" s="232"/>
      <c r="Y817" s="232"/>
      <c r="Z817" s="232"/>
      <c r="AA817" s="232"/>
      <c r="AB817" s="232"/>
      <c r="AC817" s="232"/>
      <c r="AD817" s="232"/>
      <c r="AE817" s="232"/>
      <c r="AF817" s="232"/>
      <c r="AG817" s="208"/>
      <c r="AH817" s="208"/>
      <c r="AI817" s="208"/>
      <c r="AJ817" s="208"/>
      <c r="AK817" s="208"/>
    </row>
    <row r="818">
      <c r="A818" s="234"/>
      <c r="B818" s="208"/>
      <c r="C818" s="208"/>
      <c r="D818" s="208"/>
      <c r="E818" s="208"/>
      <c r="F818" s="208"/>
      <c r="G818" s="208"/>
      <c r="H818" s="208"/>
      <c r="I818" s="233"/>
      <c r="J818" s="208"/>
      <c r="K818" s="208"/>
      <c r="L818" s="208"/>
      <c r="M818" s="208"/>
      <c r="N818" s="208"/>
      <c r="O818" s="208"/>
      <c r="P818" s="208"/>
      <c r="Q818" s="208"/>
      <c r="R818" s="208"/>
      <c r="S818" s="208"/>
      <c r="T818" s="208"/>
      <c r="U818" s="208"/>
      <c r="V818" s="208"/>
      <c r="W818" s="232"/>
      <c r="X818" s="232"/>
      <c r="Y818" s="232"/>
      <c r="Z818" s="232"/>
      <c r="AA818" s="232"/>
      <c r="AB818" s="232"/>
      <c r="AC818" s="232"/>
      <c r="AD818" s="232"/>
      <c r="AE818" s="232"/>
      <c r="AF818" s="232"/>
      <c r="AG818" s="208"/>
      <c r="AH818" s="208"/>
      <c r="AI818" s="208"/>
      <c r="AJ818" s="208"/>
      <c r="AK818" s="208"/>
    </row>
    <row r="819">
      <c r="A819" s="234"/>
      <c r="B819" s="208"/>
      <c r="C819" s="208"/>
      <c r="D819" s="208"/>
      <c r="E819" s="208"/>
      <c r="F819" s="208"/>
      <c r="G819" s="208"/>
      <c r="H819" s="208"/>
      <c r="I819" s="233"/>
      <c r="J819" s="208"/>
      <c r="K819" s="208"/>
      <c r="L819" s="208"/>
      <c r="M819" s="208"/>
      <c r="N819" s="208"/>
      <c r="O819" s="208"/>
      <c r="P819" s="208"/>
      <c r="Q819" s="208"/>
      <c r="R819" s="208"/>
      <c r="S819" s="208"/>
      <c r="T819" s="208"/>
      <c r="U819" s="208"/>
      <c r="V819" s="208"/>
      <c r="W819" s="232"/>
      <c r="X819" s="232"/>
      <c r="Y819" s="232"/>
      <c r="Z819" s="232"/>
      <c r="AA819" s="232"/>
      <c r="AB819" s="232"/>
      <c r="AC819" s="232"/>
      <c r="AD819" s="232"/>
      <c r="AE819" s="232"/>
      <c r="AF819" s="232"/>
      <c r="AG819" s="208"/>
      <c r="AH819" s="208"/>
      <c r="AI819" s="208"/>
      <c r="AJ819" s="208"/>
      <c r="AK819" s="208"/>
    </row>
    <row r="820">
      <c r="A820" s="234"/>
      <c r="B820" s="208"/>
      <c r="C820" s="208"/>
      <c r="D820" s="208"/>
      <c r="E820" s="208"/>
      <c r="F820" s="208"/>
      <c r="G820" s="208"/>
      <c r="H820" s="208"/>
      <c r="I820" s="233"/>
      <c r="J820" s="208"/>
      <c r="K820" s="208"/>
      <c r="L820" s="208"/>
      <c r="M820" s="208"/>
      <c r="N820" s="208"/>
      <c r="O820" s="208"/>
      <c r="P820" s="208"/>
      <c r="Q820" s="208"/>
      <c r="R820" s="208"/>
      <c r="S820" s="208"/>
      <c r="T820" s="208"/>
      <c r="U820" s="208"/>
      <c r="V820" s="208"/>
      <c r="W820" s="232"/>
      <c r="X820" s="232"/>
      <c r="Y820" s="232"/>
      <c r="Z820" s="232"/>
      <c r="AA820" s="232"/>
      <c r="AB820" s="232"/>
      <c r="AC820" s="232"/>
      <c r="AD820" s="232"/>
      <c r="AE820" s="232"/>
      <c r="AF820" s="232"/>
      <c r="AG820" s="208"/>
      <c r="AH820" s="208"/>
      <c r="AI820" s="208"/>
      <c r="AJ820" s="208"/>
      <c r="AK820" s="208"/>
    </row>
    <row r="821">
      <c r="A821" s="234"/>
      <c r="B821" s="208"/>
      <c r="C821" s="208"/>
      <c r="D821" s="208"/>
      <c r="E821" s="208"/>
      <c r="F821" s="208"/>
      <c r="G821" s="208"/>
      <c r="H821" s="208"/>
      <c r="I821" s="233"/>
      <c r="J821" s="208"/>
      <c r="K821" s="208"/>
      <c r="L821" s="208"/>
      <c r="M821" s="208"/>
      <c r="N821" s="208"/>
      <c r="O821" s="208"/>
      <c r="P821" s="208"/>
      <c r="Q821" s="208"/>
      <c r="R821" s="208"/>
      <c r="S821" s="208"/>
      <c r="T821" s="208"/>
      <c r="U821" s="208"/>
      <c r="V821" s="208"/>
      <c r="W821" s="232"/>
      <c r="X821" s="232"/>
      <c r="Y821" s="232"/>
      <c r="Z821" s="232"/>
      <c r="AA821" s="232"/>
      <c r="AB821" s="232"/>
      <c r="AC821" s="232"/>
      <c r="AD821" s="232"/>
      <c r="AE821" s="232"/>
      <c r="AF821" s="232"/>
      <c r="AG821" s="208"/>
      <c r="AH821" s="208"/>
      <c r="AI821" s="208"/>
      <c r="AJ821" s="208"/>
      <c r="AK821" s="208"/>
    </row>
    <row r="822">
      <c r="A822" s="234"/>
      <c r="B822" s="208"/>
      <c r="C822" s="208"/>
      <c r="D822" s="208"/>
      <c r="E822" s="208"/>
      <c r="F822" s="208"/>
      <c r="G822" s="208"/>
      <c r="H822" s="208"/>
      <c r="I822" s="233"/>
      <c r="J822" s="208"/>
      <c r="K822" s="208"/>
      <c r="L822" s="208"/>
      <c r="M822" s="208"/>
      <c r="N822" s="208"/>
      <c r="O822" s="208"/>
      <c r="P822" s="208"/>
      <c r="Q822" s="208"/>
      <c r="R822" s="208"/>
      <c r="S822" s="208"/>
      <c r="T822" s="208"/>
      <c r="U822" s="208"/>
      <c r="V822" s="208"/>
      <c r="W822" s="232"/>
      <c r="X822" s="232"/>
      <c r="Y822" s="232"/>
      <c r="Z822" s="232"/>
      <c r="AA822" s="232"/>
      <c r="AB822" s="232"/>
      <c r="AC822" s="232"/>
      <c r="AD822" s="232"/>
      <c r="AE822" s="232"/>
      <c r="AF822" s="232"/>
      <c r="AG822" s="208"/>
      <c r="AH822" s="208"/>
      <c r="AI822" s="208"/>
      <c r="AJ822" s="208"/>
      <c r="AK822" s="208"/>
    </row>
    <row r="823">
      <c r="A823" s="234"/>
      <c r="B823" s="208"/>
      <c r="C823" s="208"/>
      <c r="D823" s="208"/>
      <c r="E823" s="208"/>
      <c r="F823" s="208"/>
      <c r="G823" s="208"/>
      <c r="H823" s="208"/>
      <c r="I823" s="233"/>
      <c r="J823" s="208"/>
      <c r="K823" s="208"/>
      <c r="L823" s="208"/>
      <c r="M823" s="208"/>
      <c r="N823" s="208"/>
      <c r="O823" s="208"/>
      <c r="P823" s="208"/>
      <c r="Q823" s="208"/>
      <c r="R823" s="208"/>
      <c r="S823" s="208"/>
      <c r="T823" s="208"/>
      <c r="U823" s="208"/>
      <c r="V823" s="208"/>
      <c r="W823" s="232"/>
      <c r="X823" s="232"/>
      <c r="Y823" s="232"/>
      <c r="Z823" s="232"/>
      <c r="AA823" s="232"/>
      <c r="AB823" s="232"/>
      <c r="AC823" s="232"/>
      <c r="AD823" s="232"/>
      <c r="AE823" s="232"/>
      <c r="AF823" s="232"/>
      <c r="AG823" s="208"/>
      <c r="AH823" s="208"/>
      <c r="AI823" s="208"/>
      <c r="AJ823" s="208"/>
      <c r="AK823" s="208"/>
    </row>
    <row r="824">
      <c r="A824" s="234"/>
      <c r="B824" s="208"/>
      <c r="C824" s="208"/>
      <c r="D824" s="208"/>
      <c r="E824" s="208"/>
      <c r="F824" s="208"/>
      <c r="G824" s="208"/>
      <c r="H824" s="208"/>
      <c r="I824" s="233"/>
      <c r="J824" s="208"/>
      <c r="K824" s="208"/>
      <c r="L824" s="208"/>
      <c r="M824" s="208"/>
      <c r="N824" s="208"/>
      <c r="O824" s="208"/>
      <c r="P824" s="208"/>
      <c r="Q824" s="208"/>
      <c r="R824" s="208"/>
      <c r="S824" s="208"/>
      <c r="T824" s="208"/>
      <c r="U824" s="208"/>
      <c r="V824" s="208"/>
      <c r="W824" s="232"/>
      <c r="X824" s="232"/>
      <c r="Y824" s="232"/>
      <c r="Z824" s="232"/>
      <c r="AA824" s="232"/>
      <c r="AB824" s="232"/>
      <c r="AC824" s="232"/>
      <c r="AD824" s="232"/>
      <c r="AE824" s="232"/>
      <c r="AF824" s="232"/>
      <c r="AG824" s="208"/>
      <c r="AH824" s="208"/>
      <c r="AI824" s="208"/>
      <c r="AJ824" s="208"/>
      <c r="AK824" s="208"/>
    </row>
    <row r="825">
      <c r="A825" s="234"/>
      <c r="B825" s="208"/>
      <c r="C825" s="208"/>
      <c r="D825" s="208"/>
      <c r="E825" s="208"/>
      <c r="F825" s="208"/>
      <c r="G825" s="208"/>
      <c r="H825" s="208"/>
      <c r="I825" s="233"/>
      <c r="J825" s="208"/>
      <c r="K825" s="208"/>
      <c r="L825" s="208"/>
      <c r="M825" s="208"/>
      <c r="N825" s="208"/>
      <c r="O825" s="208"/>
      <c r="P825" s="208"/>
      <c r="Q825" s="208"/>
      <c r="R825" s="208"/>
      <c r="S825" s="208"/>
      <c r="T825" s="208"/>
      <c r="U825" s="208"/>
      <c r="V825" s="208"/>
      <c r="W825" s="232"/>
      <c r="X825" s="232"/>
      <c r="Y825" s="232"/>
      <c r="Z825" s="232"/>
      <c r="AA825" s="232"/>
      <c r="AB825" s="232"/>
      <c r="AC825" s="232"/>
      <c r="AD825" s="232"/>
      <c r="AE825" s="232"/>
      <c r="AF825" s="232"/>
      <c r="AG825" s="208"/>
      <c r="AH825" s="208"/>
      <c r="AI825" s="208"/>
      <c r="AJ825" s="208"/>
      <c r="AK825" s="208"/>
    </row>
    <row r="826">
      <c r="A826" s="234"/>
      <c r="B826" s="208"/>
      <c r="C826" s="208"/>
      <c r="D826" s="208"/>
      <c r="E826" s="208"/>
      <c r="F826" s="208"/>
      <c r="G826" s="208"/>
      <c r="H826" s="208"/>
      <c r="I826" s="233"/>
      <c r="J826" s="208"/>
      <c r="K826" s="208"/>
      <c r="L826" s="208"/>
      <c r="M826" s="208"/>
      <c r="N826" s="208"/>
      <c r="O826" s="208"/>
      <c r="P826" s="208"/>
      <c r="Q826" s="208"/>
      <c r="R826" s="208"/>
      <c r="S826" s="208"/>
      <c r="T826" s="208"/>
      <c r="U826" s="208"/>
      <c r="V826" s="208"/>
      <c r="W826" s="232"/>
      <c r="X826" s="232"/>
      <c r="Y826" s="232"/>
      <c r="Z826" s="232"/>
      <c r="AA826" s="232"/>
      <c r="AB826" s="232"/>
      <c r="AC826" s="232"/>
      <c r="AD826" s="232"/>
      <c r="AE826" s="232"/>
      <c r="AF826" s="232"/>
      <c r="AG826" s="208"/>
      <c r="AH826" s="208"/>
      <c r="AI826" s="208"/>
      <c r="AJ826" s="208"/>
      <c r="AK826" s="208"/>
    </row>
    <row r="827">
      <c r="A827" s="234"/>
      <c r="B827" s="208"/>
      <c r="C827" s="208"/>
      <c r="D827" s="208"/>
      <c r="E827" s="208"/>
      <c r="F827" s="208"/>
      <c r="G827" s="208"/>
      <c r="H827" s="208"/>
      <c r="I827" s="233"/>
      <c r="J827" s="208"/>
      <c r="K827" s="208"/>
      <c r="L827" s="208"/>
      <c r="M827" s="208"/>
      <c r="N827" s="208"/>
      <c r="O827" s="208"/>
      <c r="P827" s="208"/>
      <c r="Q827" s="208"/>
      <c r="R827" s="208"/>
      <c r="S827" s="208"/>
      <c r="T827" s="208"/>
      <c r="U827" s="208"/>
      <c r="V827" s="208"/>
      <c r="W827" s="232"/>
      <c r="X827" s="232"/>
      <c r="Y827" s="232"/>
      <c r="Z827" s="232"/>
      <c r="AA827" s="232"/>
      <c r="AB827" s="232"/>
      <c r="AC827" s="232"/>
      <c r="AD827" s="232"/>
      <c r="AE827" s="232"/>
      <c r="AF827" s="232"/>
      <c r="AG827" s="208"/>
      <c r="AH827" s="208"/>
      <c r="AI827" s="208"/>
      <c r="AJ827" s="208"/>
      <c r="AK827" s="208"/>
    </row>
    <row r="828">
      <c r="A828" s="234"/>
      <c r="B828" s="208"/>
      <c r="C828" s="208"/>
      <c r="D828" s="208"/>
      <c r="E828" s="208"/>
      <c r="F828" s="208"/>
      <c r="G828" s="208"/>
      <c r="H828" s="208"/>
      <c r="I828" s="233"/>
      <c r="J828" s="208"/>
      <c r="K828" s="208"/>
      <c r="L828" s="208"/>
      <c r="M828" s="208"/>
      <c r="N828" s="208"/>
      <c r="O828" s="208"/>
      <c r="P828" s="208"/>
      <c r="Q828" s="208"/>
      <c r="R828" s="208"/>
      <c r="S828" s="208"/>
      <c r="T828" s="208"/>
      <c r="U828" s="208"/>
      <c r="V828" s="208"/>
      <c r="W828" s="232"/>
      <c r="X828" s="232"/>
      <c r="Y828" s="232"/>
      <c r="Z828" s="232"/>
      <c r="AA828" s="232"/>
      <c r="AB828" s="232"/>
      <c r="AC828" s="232"/>
      <c r="AD828" s="232"/>
      <c r="AE828" s="232"/>
      <c r="AF828" s="232"/>
      <c r="AG828" s="208"/>
      <c r="AH828" s="208"/>
      <c r="AI828" s="208"/>
      <c r="AJ828" s="208"/>
      <c r="AK828" s="208"/>
    </row>
    <row r="829">
      <c r="A829" s="234"/>
      <c r="B829" s="208"/>
      <c r="C829" s="208"/>
      <c r="D829" s="208"/>
      <c r="E829" s="208"/>
      <c r="F829" s="208"/>
      <c r="G829" s="208"/>
      <c r="H829" s="208"/>
      <c r="I829" s="233"/>
      <c r="J829" s="208"/>
      <c r="K829" s="208"/>
      <c r="L829" s="208"/>
      <c r="M829" s="208"/>
      <c r="N829" s="208"/>
      <c r="O829" s="208"/>
      <c r="P829" s="208"/>
      <c r="Q829" s="208"/>
      <c r="R829" s="208"/>
      <c r="S829" s="208"/>
      <c r="T829" s="208"/>
      <c r="U829" s="208"/>
      <c r="V829" s="208"/>
      <c r="W829" s="232"/>
      <c r="X829" s="232"/>
      <c r="Y829" s="232"/>
      <c r="Z829" s="232"/>
      <c r="AA829" s="232"/>
      <c r="AB829" s="232"/>
      <c r="AC829" s="232"/>
      <c r="AD829" s="232"/>
      <c r="AE829" s="232"/>
      <c r="AF829" s="232"/>
      <c r="AG829" s="208"/>
      <c r="AH829" s="208"/>
      <c r="AI829" s="208"/>
      <c r="AJ829" s="208"/>
      <c r="AK829" s="208"/>
    </row>
    <row r="830">
      <c r="A830" s="234"/>
      <c r="B830" s="208"/>
      <c r="C830" s="208"/>
      <c r="D830" s="208"/>
      <c r="E830" s="208"/>
      <c r="F830" s="208"/>
      <c r="G830" s="208"/>
      <c r="H830" s="208"/>
      <c r="I830" s="233"/>
      <c r="J830" s="208"/>
      <c r="K830" s="208"/>
      <c r="L830" s="208"/>
      <c r="M830" s="208"/>
      <c r="N830" s="208"/>
      <c r="O830" s="208"/>
      <c r="P830" s="208"/>
      <c r="Q830" s="208"/>
      <c r="R830" s="208"/>
      <c r="S830" s="208"/>
      <c r="T830" s="208"/>
      <c r="U830" s="208"/>
      <c r="V830" s="208"/>
      <c r="W830" s="232"/>
      <c r="X830" s="232"/>
      <c r="Y830" s="232"/>
      <c r="Z830" s="232"/>
      <c r="AA830" s="232"/>
      <c r="AB830" s="232"/>
      <c r="AC830" s="232"/>
      <c r="AD830" s="232"/>
      <c r="AE830" s="232"/>
      <c r="AF830" s="232"/>
      <c r="AG830" s="208"/>
      <c r="AH830" s="208"/>
      <c r="AI830" s="208"/>
      <c r="AJ830" s="208"/>
      <c r="AK830" s="208"/>
    </row>
    <row r="831">
      <c r="A831" s="234"/>
      <c r="B831" s="208"/>
      <c r="C831" s="208"/>
      <c r="D831" s="208"/>
      <c r="E831" s="208"/>
      <c r="F831" s="208"/>
      <c r="G831" s="208"/>
      <c r="H831" s="208"/>
      <c r="I831" s="233"/>
      <c r="J831" s="208"/>
      <c r="K831" s="208"/>
      <c r="L831" s="208"/>
      <c r="M831" s="208"/>
      <c r="N831" s="208"/>
      <c r="O831" s="208"/>
      <c r="P831" s="208"/>
      <c r="Q831" s="208"/>
      <c r="R831" s="208"/>
      <c r="S831" s="208"/>
      <c r="T831" s="208"/>
      <c r="U831" s="208"/>
      <c r="V831" s="208"/>
      <c r="W831" s="232"/>
      <c r="X831" s="232"/>
      <c r="Y831" s="232"/>
      <c r="Z831" s="232"/>
      <c r="AA831" s="232"/>
      <c r="AB831" s="232"/>
      <c r="AC831" s="232"/>
      <c r="AD831" s="232"/>
      <c r="AE831" s="232"/>
      <c r="AF831" s="232"/>
      <c r="AG831" s="208"/>
      <c r="AH831" s="208"/>
      <c r="AI831" s="208"/>
      <c r="AJ831" s="208"/>
      <c r="AK831" s="208"/>
    </row>
    <row r="832">
      <c r="A832" s="234"/>
      <c r="B832" s="208"/>
      <c r="C832" s="208"/>
      <c r="D832" s="208"/>
      <c r="E832" s="208"/>
      <c r="F832" s="208"/>
      <c r="G832" s="208"/>
      <c r="H832" s="208"/>
      <c r="I832" s="233"/>
      <c r="J832" s="208"/>
      <c r="K832" s="208"/>
      <c r="L832" s="208"/>
      <c r="M832" s="208"/>
      <c r="N832" s="208"/>
      <c r="O832" s="208"/>
      <c r="P832" s="208"/>
      <c r="Q832" s="208"/>
      <c r="R832" s="208"/>
      <c r="S832" s="208"/>
      <c r="T832" s="208"/>
      <c r="U832" s="208"/>
      <c r="V832" s="208"/>
      <c r="W832" s="232"/>
      <c r="X832" s="232"/>
      <c r="Y832" s="232"/>
      <c r="Z832" s="232"/>
      <c r="AA832" s="232"/>
      <c r="AB832" s="232"/>
      <c r="AC832" s="232"/>
      <c r="AD832" s="232"/>
      <c r="AE832" s="232"/>
      <c r="AF832" s="232"/>
      <c r="AG832" s="208"/>
      <c r="AH832" s="208"/>
      <c r="AI832" s="208"/>
      <c r="AJ832" s="208"/>
      <c r="AK832" s="208"/>
    </row>
    <row r="833">
      <c r="A833" s="234"/>
      <c r="B833" s="208"/>
      <c r="C833" s="208"/>
      <c r="D833" s="208"/>
      <c r="E833" s="208"/>
      <c r="F833" s="208"/>
      <c r="G833" s="208"/>
      <c r="H833" s="208"/>
      <c r="I833" s="233"/>
      <c r="J833" s="208"/>
      <c r="K833" s="208"/>
      <c r="L833" s="208"/>
      <c r="M833" s="208"/>
      <c r="N833" s="208"/>
      <c r="O833" s="208"/>
      <c r="P833" s="208"/>
      <c r="Q833" s="208"/>
      <c r="R833" s="208"/>
      <c r="S833" s="208"/>
      <c r="T833" s="208"/>
      <c r="U833" s="208"/>
      <c r="V833" s="208"/>
      <c r="W833" s="232"/>
      <c r="X833" s="232"/>
      <c r="Y833" s="232"/>
      <c r="Z833" s="232"/>
      <c r="AA833" s="232"/>
      <c r="AB833" s="232"/>
      <c r="AC833" s="232"/>
      <c r="AD833" s="232"/>
      <c r="AE833" s="232"/>
      <c r="AF833" s="232"/>
      <c r="AG833" s="208"/>
      <c r="AH833" s="208"/>
      <c r="AI833" s="208"/>
      <c r="AJ833" s="208"/>
      <c r="AK833" s="208"/>
    </row>
    <row r="834">
      <c r="A834" s="234"/>
      <c r="B834" s="208"/>
      <c r="C834" s="208"/>
      <c r="D834" s="208"/>
      <c r="E834" s="208"/>
      <c r="F834" s="208"/>
      <c r="G834" s="208"/>
      <c r="H834" s="208"/>
      <c r="I834" s="233"/>
      <c r="J834" s="208"/>
      <c r="K834" s="208"/>
      <c r="L834" s="208"/>
      <c r="M834" s="208"/>
      <c r="N834" s="208"/>
      <c r="O834" s="208"/>
      <c r="P834" s="208"/>
      <c r="Q834" s="208"/>
      <c r="R834" s="208"/>
      <c r="S834" s="208"/>
      <c r="T834" s="208"/>
      <c r="U834" s="208"/>
      <c r="V834" s="208"/>
      <c r="W834" s="232"/>
      <c r="X834" s="232"/>
      <c r="Y834" s="232"/>
      <c r="Z834" s="232"/>
      <c r="AA834" s="232"/>
      <c r="AB834" s="232"/>
      <c r="AC834" s="232"/>
      <c r="AD834" s="232"/>
      <c r="AE834" s="232"/>
      <c r="AF834" s="232"/>
      <c r="AG834" s="208"/>
      <c r="AH834" s="208"/>
      <c r="AI834" s="208"/>
      <c r="AJ834" s="208"/>
      <c r="AK834" s="208"/>
    </row>
    <row r="835">
      <c r="A835" s="234"/>
      <c r="B835" s="208"/>
      <c r="C835" s="208"/>
      <c r="D835" s="208"/>
      <c r="E835" s="208"/>
      <c r="F835" s="208"/>
      <c r="G835" s="208"/>
      <c r="H835" s="208"/>
      <c r="I835" s="233"/>
      <c r="J835" s="208"/>
      <c r="K835" s="208"/>
      <c r="L835" s="208"/>
      <c r="M835" s="208"/>
      <c r="N835" s="208"/>
      <c r="O835" s="208"/>
      <c r="P835" s="208"/>
      <c r="Q835" s="208"/>
      <c r="R835" s="208"/>
      <c r="S835" s="208"/>
      <c r="T835" s="208"/>
      <c r="U835" s="208"/>
      <c r="V835" s="208"/>
      <c r="W835" s="232"/>
      <c r="X835" s="232"/>
      <c r="Y835" s="232"/>
      <c r="Z835" s="232"/>
      <c r="AA835" s="232"/>
      <c r="AB835" s="232"/>
      <c r="AC835" s="232"/>
      <c r="AD835" s="232"/>
      <c r="AE835" s="232"/>
      <c r="AF835" s="232"/>
      <c r="AG835" s="208"/>
      <c r="AH835" s="208"/>
      <c r="AI835" s="208"/>
      <c r="AJ835" s="208"/>
      <c r="AK835" s="208"/>
    </row>
    <row r="836">
      <c r="A836" s="234"/>
      <c r="B836" s="208"/>
      <c r="C836" s="208"/>
      <c r="D836" s="208"/>
      <c r="E836" s="208"/>
      <c r="F836" s="208"/>
      <c r="G836" s="208"/>
      <c r="H836" s="208"/>
      <c r="I836" s="233"/>
      <c r="J836" s="208"/>
      <c r="K836" s="208"/>
      <c r="L836" s="208"/>
      <c r="M836" s="208"/>
      <c r="N836" s="208"/>
      <c r="O836" s="208"/>
      <c r="P836" s="208"/>
      <c r="Q836" s="208"/>
      <c r="R836" s="208"/>
      <c r="S836" s="208"/>
      <c r="T836" s="208"/>
      <c r="U836" s="208"/>
      <c r="V836" s="208"/>
      <c r="W836" s="232"/>
      <c r="X836" s="232"/>
      <c r="Y836" s="232"/>
      <c r="Z836" s="232"/>
      <c r="AA836" s="232"/>
      <c r="AB836" s="232"/>
      <c r="AC836" s="232"/>
      <c r="AD836" s="232"/>
      <c r="AE836" s="232"/>
      <c r="AF836" s="232"/>
      <c r="AG836" s="208"/>
      <c r="AH836" s="208"/>
      <c r="AI836" s="208"/>
      <c r="AJ836" s="208"/>
      <c r="AK836" s="208"/>
    </row>
    <row r="837">
      <c r="A837" s="234"/>
      <c r="B837" s="208"/>
      <c r="C837" s="208"/>
      <c r="D837" s="208"/>
      <c r="E837" s="208"/>
      <c r="F837" s="208"/>
      <c r="G837" s="208"/>
      <c r="H837" s="208"/>
      <c r="I837" s="233"/>
      <c r="J837" s="208"/>
      <c r="K837" s="208"/>
      <c r="L837" s="208"/>
      <c r="M837" s="208"/>
      <c r="N837" s="208"/>
      <c r="O837" s="208"/>
      <c r="P837" s="208"/>
      <c r="Q837" s="208"/>
      <c r="R837" s="208"/>
      <c r="S837" s="208"/>
      <c r="T837" s="208"/>
      <c r="U837" s="208"/>
      <c r="V837" s="208"/>
      <c r="W837" s="232"/>
      <c r="X837" s="232"/>
      <c r="Y837" s="232"/>
      <c r="Z837" s="232"/>
      <c r="AA837" s="232"/>
      <c r="AB837" s="232"/>
      <c r="AC837" s="232"/>
      <c r="AD837" s="232"/>
      <c r="AE837" s="232"/>
      <c r="AF837" s="232"/>
      <c r="AG837" s="208"/>
      <c r="AH837" s="208"/>
      <c r="AI837" s="208"/>
      <c r="AJ837" s="208"/>
      <c r="AK837" s="208"/>
    </row>
    <row r="838">
      <c r="A838" s="234"/>
      <c r="B838" s="208"/>
      <c r="C838" s="208"/>
      <c r="D838" s="208"/>
      <c r="E838" s="208"/>
      <c r="F838" s="208"/>
      <c r="G838" s="208"/>
      <c r="H838" s="208"/>
      <c r="I838" s="233"/>
      <c r="J838" s="208"/>
      <c r="K838" s="208"/>
      <c r="L838" s="208"/>
      <c r="M838" s="208"/>
      <c r="N838" s="208"/>
      <c r="O838" s="208"/>
      <c r="P838" s="208"/>
      <c r="Q838" s="208"/>
      <c r="R838" s="208"/>
      <c r="S838" s="208"/>
      <c r="T838" s="208"/>
      <c r="U838" s="208"/>
      <c r="V838" s="208"/>
      <c r="W838" s="232"/>
      <c r="X838" s="232"/>
      <c r="Y838" s="232"/>
      <c r="Z838" s="232"/>
      <c r="AA838" s="232"/>
      <c r="AB838" s="232"/>
      <c r="AC838" s="232"/>
      <c r="AD838" s="232"/>
      <c r="AE838" s="232"/>
      <c r="AF838" s="232"/>
      <c r="AG838" s="208"/>
      <c r="AH838" s="208"/>
      <c r="AI838" s="208"/>
      <c r="AJ838" s="208"/>
      <c r="AK838" s="208"/>
    </row>
    <row r="839">
      <c r="A839" s="234"/>
      <c r="B839" s="208"/>
      <c r="C839" s="208"/>
      <c r="D839" s="208"/>
      <c r="E839" s="208"/>
      <c r="F839" s="208"/>
      <c r="G839" s="208"/>
      <c r="H839" s="208"/>
      <c r="I839" s="233"/>
      <c r="J839" s="208"/>
      <c r="K839" s="208"/>
      <c r="L839" s="208"/>
      <c r="M839" s="208"/>
      <c r="N839" s="208"/>
      <c r="O839" s="208"/>
      <c r="P839" s="208"/>
      <c r="Q839" s="208"/>
      <c r="R839" s="208"/>
      <c r="S839" s="208"/>
      <c r="T839" s="208"/>
      <c r="U839" s="208"/>
      <c r="V839" s="208"/>
      <c r="W839" s="232"/>
      <c r="X839" s="232"/>
      <c r="Y839" s="232"/>
      <c r="Z839" s="232"/>
      <c r="AA839" s="232"/>
      <c r="AB839" s="232"/>
      <c r="AC839" s="232"/>
      <c r="AD839" s="232"/>
      <c r="AE839" s="232"/>
      <c r="AF839" s="232"/>
      <c r="AG839" s="208"/>
      <c r="AH839" s="208"/>
      <c r="AI839" s="208"/>
      <c r="AJ839" s="208"/>
      <c r="AK839" s="208"/>
    </row>
    <row r="840">
      <c r="A840" s="234"/>
      <c r="B840" s="208"/>
      <c r="C840" s="208"/>
      <c r="D840" s="208"/>
      <c r="E840" s="208"/>
      <c r="F840" s="208"/>
      <c r="G840" s="208"/>
      <c r="H840" s="208"/>
      <c r="I840" s="233"/>
      <c r="J840" s="208"/>
      <c r="K840" s="208"/>
      <c r="L840" s="208"/>
      <c r="M840" s="208"/>
      <c r="N840" s="208"/>
      <c r="O840" s="208"/>
      <c r="P840" s="208"/>
      <c r="Q840" s="208"/>
      <c r="R840" s="208"/>
      <c r="S840" s="208"/>
      <c r="T840" s="208"/>
      <c r="U840" s="208"/>
      <c r="V840" s="208"/>
      <c r="W840" s="232"/>
      <c r="X840" s="232"/>
      <c r="Y840" s="232"/>
      <c r="Z840" s="232"/>
      <c r="AA840" s="232"/>
      <c r="AB840" s="232"/>
      <c r="AC840" s="232"/>
      <c r="AD840" s="232"/>
      <c r="AE840" s="232"/>
      <c r="AF840" s="232"/>
      <c r="AG840" s="208"/>
      <c r="AH840" s="208"/>
      <c r="AI840" s="208"/>
      <c r="AJ840" s="208"/>
      <c r="AK840" s="208"/>
    </row>
    <row r="841">
      <c r="A841" s="234"/>
      <c r="B841" s="208"/>
      <c r="C841" s="208"/>
      <c r="D841" s="208"/>
      <c r="E841" s="208"/>
      <c r="F841" s="208"/>
      <c r="G841" s="208"/>
      <c r="H841" s="208"/>
      <c r="I841" s="233"/>
      <c r="J841" s="208"/>
      <c r="K841" s="208"/>
      <c r="L841" s="208"/>
      <c r="M841" s="208"/>
      <c r="N841" s="208"/>
      <c r="O841" s="208"/>
      <c r="P841" s="208"/>
      <c r="Q841" s="208"/>
      <c r="R841" s="208"/>
      <c r="S841" s="208"/>
      <c r="T841" s="208"/>
      <c r="U841" s="208"/>
      <c r="V841" s="208"/>
      <c r="W841" s="232"/>
      <c r="X841" s="232"/>
      <c r="Y841" s="232"/>
      <c r="Z841" s="232"/>
      <c r="AA841" s="232"/>
      <c r="AB841" s="232"/>
      <c r="AC841" s="232"/>
      <c r="AD841" s="232"/>
      <c r="AE841" s="232"/>
      <c r="AF841" s="232"/>
      <c r="AG841" s="208"/>
      <c r="AH841" s="208"/>
      <c r="AI841" s="208"/>
      <c r="AJ841" s="208"/>
      <c r="AK841" s="208"/>
    </row>
    <row r="842">
      <c r="A842" s="234"/>
      <c r="B842" s="208"/>
      <c r="C842" s="208"/>
      <c r="D842" s="208"/>
      <c r="E842" s="208"/>
      <c r="F842" s="208"/>
      <c r="G842" s="208"/>
      <c r="H842" s="208"/>
      <c r="I842" s="233"/>
      <c r="J842" s="208"/>
      <c r="K842" s="208"/>
      <c r="L842" s="208"/>
      <c r="M842" s="208"/>
      <c r="N842" s="208"/>
      <c r="O842" s="208"/>
      <c r="P842" s="208"/>
      <c r="Q842" s="208"/>
      <c r="R842" s="208"/>
      <c r="S842" s="208"/>
      <c r="T842" s="208"/>
      <c r="U842" s="208"/>
      <c r="V842" s="208"/>
      <c r="W842" s="232"/>
      <c r="X842" s="232"/>
      <c r="Y842" s="232"/>
      <c r="Z842" s="232"/>
      <c r="AA842" s="232"/>
      <c r="AB842" s="232"/>
      <c r="AC842" s="232"/>
      <c r="AD842" s="232"/>
      <c r="AE842" s="232"/>
      <c r="AF842" s="232"/>
      <c r="AG842" s="208"/>
      <c r="AH842" s="208"/>
      <c r="AI842" s="208"/>
      <c r="AJ842" s="208"/>
      <c r="AK842" s="208"/>
    </row>
    <row r="843">
      <c r="A843" s="234"/>
      <c r="B843" s="208"/>
      <c r="C843" s="208"/>
      <c r="D843" s="208"/>
      <c r="E843" s="208"/>
      <c r="F843" s="208"/>
      <c r="G843" s="208"/>
      <c r="H843" s="208"/>
      <c r="I843" s="233"/>
      <c r="J843" s="208"/>
      <c r="K843" s="208"/>
      <c r="L843" s="208"/>
      <c r="M843" s="208"/>
      <c r="N843" s="208"/>
      <c r="O843" s="208"/>
      <c r="P843" s="208"/>
      <c r="Q843" s="208"/>
      <c r="R843" s="208"/>
      <c r="S843" s="208"/>
      <c r="T843" s="208"/>
      <c r="U843" s="208"/>
      <c r="V843" s="208"/>
      <c r="W843" s="232"/>
      <c r="X843" s="232"/>
      <c r="Y843" s="232"/>
      <c r="Z843" s="232"/>
      <c r="AA843" s="232"/>
      <c r="AB843" s="232"/>
      <c r="AC843" s="232"/>
      <c r="AD843" s="232"/>
      <c r="AE843" s="232"/>
      <c r="AF843" s="232"/>
      <c r="AG843" s="208"/>
      <c r="AH843" s="208"/>
      <c r="AI843" s="208"/>
      <c r="AJ843" s="208"/>
      <c r="AK843" s="208"/>
    </row>
    <row r="844">
      <c r="A844" s="234"/>
      <c r="B844" s="208"/>
      <c r="C844" s="208"/>
      <c r="D844" s="208"/>
      <c r="E844" s="208"/>
      <c r="F844" s="208"/>
      <c r="G844" s="208"/>
      <c r="H844" s="208"/>
      <c r="I844" s="233"/>
      <c r="J844" s="208"/>
      <c r="K844" s="208"/>
      <c r="L844" s="208"/>
      <c r="M844" s="208"/>
      <c r="N844" s="208"/>
      <c r="O844" s="208"/>
      <c r="P844" s="208"/>
      <c r="Q844" s="208"/>
      <c r="R844" s="208"/>
      <c r="S844" s="208"/>
      <c r="T844" s="208"/>
      <c r="U844" s="208"/>
      <c r="V844" s="208"/>
      <c r="W844" s="232"/>
      <c r="X844" s="232"/>
      <c r="Y844" s="232"/>
      <c r="Z844" s="232"/>
      <c r="AA844" s="232"/>
      <c r="AB844" s="232"/>
      <c r="AC844" s="232"/>
      <c r="AD844" s="232"/>
      <c r="AE844" s="232"/>
      <c r="AF844" s="232"/>
      <c r="AG844" s="208"/>
      <c r="AH844" s="208"/>
      <c r="AI844" s="208"/>
      <c r="AJ844" s="208"/>
      <c r="AK844" s="208"/>
    </row>
    <row r="845">
      <c r="A845" s="234"/>
      <c r="B845" s="208"/>
      <c r="C845" s="208"/>
      <c r="D845" s="208"/>
      <c r="E845" s="208"/>
      <c r="F845" s="208"/>
      <c r="G845" s="208"/>
      <c r="H845" s="208"/>
      <c r="I845" s="233"/>
      <c r="J845" s="208"/>
      <c r="K845" s="208"/>
      <c r="L845" s="208"/>
      <c r="M845" s="208"/>
      <c r="N845" s="208"/>
      <c r="O845" s="208"/>
      <c r="P845" s="208"/>
      <c r="Q845" s="208"/>
      <c r="R845" s="208"/>
      <c r="S845" s="208"/>
      <c r="T845" s="208"/>
      <c r="U845" s="208"/>
      <c r="V845" s="208"/>
      <c r="W845" s="232"/>
      <c r="X845" s="232"/>
      <c r="Y845" s="232"/>
      <c r="Z845" s="232"/>
      <c r="AA845" s="232"/>
      <c r="AB845" s="232"/>
      <c r="AC845" s="232"/>
      <c r="AD845" s="232"/>
      <c r="AE845" s="232"/>
      <c r="AF845" s="232"/>
      <c r="AG845" s="208"/>
      <c r="AH845" s="208"/>
      <c r="AI845" s="208"/>
      <c r="AJ845" s="208"/>
      <c r="AK845" s="208"/>
    </row>
    <row r="846">
      <c r="A846" s="234"/>
      <c r="B846" s="208"/>
      <c r="C846" s="208"/>
      <c r="D846" s="208"/>
      <c r="E846" s="208"/>
      <c r="F846" s="208"/>
      <c r="G846" s="208"/>
      <c r="H846" s="208"/>
      <c r="I846" s="233"/>
      <c r="J846" s="208"/>
      <c r="K846" s="208"/>
      <c r="L846" s="208"/>
      <c r="M846" s="208"/>
      <c r="N846" s="208"/>
      <c r="O846" s="208"/>
      <c r="P846" s="208"/>
      <c r="Q846" s="208"/>
      <c r="R846" s="208"/>
      <c r="S846" s="208"/>
      <c r="T846" s="208"/>
      <c r="U846" s="208"/>
      <c r="V846" s="208"/>
      <c r="W846" s="232"/>
      <c r="X846" s="232"/>
      <c r="Y846" s="232"/>
      <c r="Z846" s="232"/>
      <c r="AA846" s="232"/>
      <c r="AB846" s="232"/>
      <c r="AC846" s="232"/>
      <c r="AD846" s="232"/>
      <c r="AE846" s="232"/>
      <c r="AF846" s="232"/>
      <c r="AG846" s="208"/>
      <c r="AH846" s="208"/>
      <c r="AI846" s="208"/>
      <c r="AJ846" s="208"/>
      <c r="AK846" s="208"/>
    </row>
    <row r="847">
      <c r="A847" s="234"/>
      <c r="B847" s="208"/>
      <c r="C847" s="208"/>
      <c r="D847" s="208"/>
      <c r="E847" s="208"/>
      <c r="F847" s="208"/>
      <c r="G847" s="208"/>
      <c r="H847" s="208"/>
      <c r="I847" s="233"/>
      <c r="J847" s="208"/>
      <c r="K847" s="208"/>
      <c r="L847" s="208"/>
      <c r="M847" s="208"/>
      <c r="N847" s="208"/>
      <c r="O847" s="208"/>
      <c r="P847" s="208"/>
      <c r="Q847" s="208"/>
      <c r="R847" s="208"/>
      <c r="S847" s="208"/>
      <c r="T847" s="208"/>
      <c r="U847" s="208"/>
      <c r="V847" s="208"/>
      <c r="W847" s="232"/>
      <c r="X847" s="232"/>
      <c r="Y847" s="232"/>
      <c r="Z847" s="232"/>
      <c r="AA847" s="232"/>
      <c r="AB847" s="232"/>
      <c r="AC847" s="232"/>
      <c r="AD847" s="232"/>
      <c r="AE847" s="232"/>
      <c r="AF847" s="232"/>
      <c r="AG847" s="208"/>
      <c r="AH847" s="208"/>
      <c r="AI847" s="208"/>
      <c r="AJ847" s="208"/>
      <c r="AK847" s="208"/>
    </row>
    <row r="848">
      <c r="A848" s="234"/>
      <c r="B848" s="208"/>
      <c r="C848" s="208"/>
      <c r="D848" s="208"/>
      <c r="E848" s="208"/>
      <c r="F848" s="208"/>
      <c r="G848" s="208"/>
      <c r="H848" s="208"/>
      <c r="I848" s="233"/>
      <c r="J848" s="208"/>
      <c r="K848" s="208"/>
      <c r="L848" s="208"/>
      <c r="M848" s="208"/>
      <c r="N848" s="208"/>
      <c r="O848" s="208"/>
      <c r="P848" s="208"/>
      <c r="Q848" s="208"/>
      <c r="R848" s="208"/>
      <c r="S848" s="208"/>
      <c r="T848" s="208"/>
      <c r="U848" s="208"/>
      <c r="V848" s="208"/>
      <c r="W848" s="232"/>
      <c r="X848" s="232"/>
      <c r="Y848" s="232"/>
      <c r="Z848" s="232"/>
      <c r="AA848" s="232"/>
      <c r="AB848" s="232"/>
      <c r="AC848" s="232"/>
      <c r="AD848" s="232"/>
      <c r="AE848" s="232"/>
      <c r="AF848" s="232"/>
      <c r="AG848" s="208"/>
      <c r="AH848" s="208"/>
      <c r="AI848" s="208"/>
      <c r="AJ848" s="208"/>
      <c r="AK848" s="208"/>
    </row>
    <row r="849">
      <c r="A849" s="234"/>
      <c r="B849" s="208"/>
      <c r="C849" s="208"/>
      <c r="D849" s="208"/>
      <c r="E849" s="208"/>
      <c r="F849" s="208"/>
      <c r="G849" s="208"/>
      <c r="H849" s="208"/>
      <c r="I849" s="233"/>
      <c r="J849" s="208"/>
      <c r="K849" s="208"/>
      <c r="L849" s="208"/>
      <c r="M849" s="208"/>
      <c r="N849" s="208"/>
      <c r="O849" s="208"/>
      <c r="P849" s="208"/>
      <c r="Q849" s="208"/>
      <c r="R849" s="208"/>
      <c r="S849" s="208"/>
      <c r="T849" s="208"/>
      <c r="U849" s="208"/>
      <c r="V849" s="208"/>
      <c r="W849" s="232"/>
      <c r="X849" s="232"/>
      <c r="Y849" s="232"/>
      <c r="Z849" s="232"/>
      <c r="AA849" s="232"/>
      <c r="AB849" s="232"/>
      <c r="AC849" s="232"/>
      <c r="AD849" s="232"/>
      <c r="AE849" s="232"/>
      <c r="AF849" s="232"/>
      <c r="AG849" s="208"/>
      <c r="AH849" s="208"/>
      <c r="AI849" s="208"/>
      <c r="AJ849" s="208"/>
      <c r="AK849" s="208"/>
    </row>
    <row r="850">
      <c r="A850" s="234"/>
      <c r="B850" s="208"/>
      <c r="C850" s="208"/>
      <c r="D850" s="208"/>
      <c r="E850" s="208"/>
      <c r="F850" s="208"/>
      <c r="G850" s="208"/>
      <c r="H850" s="208"/>
      <c r="I850" s="233"/>
      <c r="J850" s="208"/>
      <c r="K850" s="208"/>
      <c r="L850" s="208"/>
      <c r="M850" s="208"/>
      <c r="N850" s="208"/>
      <c r="O850" s="208"/>
      <c r="P850" s="208"/>
      <c r="Q850" s="208"/>
      <c r="R850" s="208"/>
      <c r="S850" s="208"/>
      <c r="T850" s="208"/>
      <c r="U850" s="208"/>
      <c r="V850" s="208"/>
      <c r="W850" s="232"/>
      <c r="X850" s="232"/>
      <c r="Y850" s="232"/>
      <c r="Z850" s="232"/>
      <c r="AA850" s="232"/>
      <c r="AB850" s="232"/>
      <c r="AC850" s="232"/>
      <c r="AD850" s="232"/>
      <c r="AE850" s="232"/>
      <c r="AF850" s="232"/>
      <c r="AG850" s="208"/>
      <c r="AH850" s="208"/>
      <c r="AI850" s="208"/>
      <c r="AJ850" s="208"/>
      <c r="AK850" s="208"/>
    </row>
    <row r="851">
      <c r="A851" s="234"/>
      <c r="B851" s="208"/>
      <c r="C851" s="208"/>
      <c r="D851" s="208"/>
      <c r="E851" s="208"/>
      <c r="F851" s="208"/>
      <c r="G851" s="208"/>
      <c r="H851" s="208"/>
      <c r="I851" s="233"/>
      <c r="J851" s="208"/>
      <c r="K851" s="208"/>
      <c r="L851" s="208"/>
      <c r="M851" s="208"/>
      <c r="N851" s="208"/>
      <c r="O851" s="208"/>
      <c r="P851" s="208"/>
      <c r="Q851" s="208"/>
      <c r="R851" s="208"/>
      <c r="S851" s="208"/>
      <c r="T851" s="208"/>
      <c r="U851" s="208"/>
      <c r="V851" s="208"/>
      <c r="W851" s="232"/>
      <c r="X851" s="232"/>
      <c r="Y851" s="232"/>
      <c r="Z851" s="232"/>
      <c r="AA851" s="232"/>
      <c r="AB851" s="232"/>
      <c r="AC851" s="232"/>
      <c r="AD851" s="232"/>
      <c r="AE851" s="232"/>
      <c r="AF851" s="232"/>
      <c r="AG851" s="208"/>
      <c r="AH851" s="208"/>
      <c r="AI851" s="208"/>
      <c r="AJ851" s="208"/>
      <c r="AK851" s="208"/>
    </row>
    <row r="852">
      <c r="A852" s="234"/>
      <c r="B852" s="208"/>
      <c r="C852" s="208"/>
      <c r="D852" s="208"/>
      <c r="E852" s="208"/>
      <c r="F852" s="208"/>
      <c r="G852" s="208"/>
      <c r="H852" s="208"/>
      <c r="I852" s="233"/>
      <c r="J852" s="208"/>
      <c r="K852" s="208"/>
      <c r="L852" s="208"/>
      <c r="M852" s="208"/>
      <c r="N852" s="208"/>
      <c r="O852" s="208"/>
      <c r="P852" s="208"/>
      <c r="Q852" s="208"/>
      <c r="R852" s="208"/>
      <c r="S852" s="208"/>
      <c r="T852" s="208"/>
      <c r="U852" s="208"/>
      <c r="V852" s="208"/>
      <c r="W852" s="232"/>
      <c r="X852" s="232"/>
      <c r="Y852" s="232"/>
      <c r="Z852" s="232"/>
      <c r="AA852" s="232"/>
      <c r="AB852" s="232"/>
      <c r="AC852" s="232"/>
      <c r="AD852" s="232"/>
      <c r="AE852" s="232"/>
      <c r="AF852" s="232"/>
      <c r="AG852" s="208"/>
      <c r="AH852" s="208"/>
      <c r="AI852" s="208"/>
      <c r="AJ852" s="208"/>
      <c r="AK852" s="208"/>
    </row>
    <row r="853">
      <c r="A853" s="234"/>
      <c r="B853" s="208"/>
      <c r="C853" s="208"/>
      <c r="D853" s="208"/>
      <c r="E853" s="208"/>
      <c r="F853" s="208"/>
      <c r="G853" s="208"/>
      <c r="H853" s="208"/>
      <c r="I853" s="233"/>
      <c r="J853" s="208"/>
      <c r="K853" s="208"/>
      <c r="L853" s="208"/>
      <c r="M853" s="208"/>
      <c r="N853" s="208"/>
      <c r="O853" s="208"/>
      <c r="P853" s="208"/>
      <c r="Q853" s="208"/>
      <c r="R853" s="208"/>
      <c r="S853" s="208"/>
      <c r="T853" s="208"/>
      <c r="U853" s="208"/>
      <c r="V853" s="208"/>
      <c r="W853" s="232"/>
      <c r="X853" s="232"/>
      <c r="Y853" s="232"/>
      <c r="Z853" s="232"/>
      <c r="AA853" s="232"/>
      <c r="AB853" s="232"/>
      <c r="AC853" s="232"/>
      <c r="AD853" s="232"/>
      <c r="AE853" s="232"/>
      <c r="AF853" s="232"/>
      <c r="AG853" s="208"/>
      <c r="AH853" s="208"/>
      <c r="AI853" s="208"/>
      <c r="AJ853" s="208"/>
      <c r="AK853" s="208"/>
    </row>
    <row r="854">
      <c r="A854" s="234"/>
      <c r="B854" s="208"/>
      <c r="C854" s="208"/>
      <c r="D854" s="208"/>
      <c r="E854" s="208"/>
      <c r="F854" s="208"/>
      <c r="G854" s="208"/>
      <c r="H854" s="208"/>
      <c r="I854" s="233"/>
      <c r="J854" s="208"/>
      <c r="K854" s="208"/>
      <c r="L854" s="208"/>
      <c r="M854" s="208"/>
      <c r="N854" s="208"/>
      <c r="O854" s="208"/>
      <c r="P854" s="208"/>
      <c r="Q854" s="208"/>
      <c r="R854" s="208"/>
      <c r="S854" s="208"/>
      <c r="T854" s="208"/>
      <c r="U854" s="208"/>
      <c r="V854" s="208"/>
      <c r="W854" s="232"/>
      <c r="X854" s="232"/>
      <c r="Y854" s="232"/>
      <c r="Z854" s="232"/>
      <c r="AA854" s="232"/>
      <c r="AB854" s="232"/>
      <c r="AC854" s="232"/>
      <c r="AD854" s="232"/>
      <c r="AE854" s="232"/>
      <c r="AF854" s="232"/>
      <c r="AG854" s="208"/>
      <c r="AH854" s="208"/>
      <c r="AI854" s="208"/>
      <c r="AJ854" s="208"/>
      <c r="AK854" s="208"/>
    </row>
    <row r="855">
      <c r="A855" s="234"/>
      <c r="B855" s="208"/>
      <c r="C855" s="208"/>
      <c r="D855" s="208"/>
      <c r="E855" s="208"/>
      <c r="F855" s="208"/>
      <c r="G855" s="208"/>
      <c r="H855" s="208"/>
      <c r="I855" s="233"/>
      <c r="J855" s="208"/>
      <c r="K855" s="208"/>
      <c r="L855" s="208"/>
      <c r="M855" s="208"/>
      <c r="N855" s="208"/>
      <c r="O855" s="208"/>
      <c r="P855" s="208"/>
      <c r="Q855" s="208"/>
      <c r="R855" s="208"/>
      <c r="S855" s="208"/>
      <c r="T855" s="208"/>
      <c r="U855" s="208"/>
      <c r="V855" s="208"/>
      <c r="W855" s="232"/>
      <c r="X855" s="232"/>
      <c r="Y855" s="232"/>
      <c r="Z855" s="232"/>
      <c r="AA855" s="232"/>
      <c r="AB855" s="232"/>
      <c r="AC855" s="232"/>
      <c r="AD855" s="232"/>
      <c r="AE855" s="232"/>
      <c r="AF855" s="232"/>
      <c r="AG855" s="208"/>
      <c r="AH855" s="208"/>
      <c r="AI855" s="208"/>
      <c r="AJ855" s="208"/>
      <c r="AK855" s="208"/>
    </row>
    <row r="856">
      <c r="A856" s="234"/>
      <c r="B856" s="208"/>
      <c r="C856" s="208"/>
      <c r="D856" s="208"/>
      <c r="E856" s="208"/>
      <c r="F856" s="208"/>
      <c r="G856" s="208"/>
      <c r="H856" s="208"/>
      <c r="I856" s="233"/>
      <c r="J856" s="208"/>
      <c r="K856" s="208"/>
      <c r="L856" s="208"/>
      <c r="M856" s="208"/>
      <c r="N856" s="208"/>
      <c r="O856" s="208"/>
      <c r="P856" s="208"/>
      <c r="Q856" s="208"/>
      <c r="R856" s="208"/>
      <c r="S856" s="208"/>
      <c r="T856" s="208"/>
      <c r="U856" s="208"/>
      <c r="V856" s="208"/>
      <c r="W856" s="232"/>
      <c r="X856" s="232"/>
      <c r="Y856" s="232"/>
      <c r="Z856" s="232"/>
      <c r="AA856" s="232"/>
      <c r="AB856" s="232"/>
      <c r="AC856" s="232"/>
      <c r="AD856" s="232"/>
      <c r="AE856" s="232"/>
      <c r="AF856" s="232"/>
      <c r="AG856" s="208"/>
      <c r="AH856" s="208"/>
      <c r="AI856" s="208"/>
      <c r="AJ856" s="208"/>
      <c r="AK856" s="208"/>
    </row>
    <row r="857">
      <c r="A857" s="234"/>
      <c r="B857" s="208"/>
      <c r="C857" s="208"/>
      <c r="D857" s="208"/>
      <c r="E857" s="208"/>
      <c r="F857" s="208"/>
      <c r="G857" s="208"/>
      <c r="H857" s="208"/>
      <c r="I857" s="233"/>
      <c r="J857" s="208"/>
      <c r="K857" s="208"/>
      <c r="L857" s="208"/>
      <c r="M857" s="208"/>
      <c r="N857" s="208"/>
      <c r="O857" s="208"/>
      <c r="P857" s="208"/>
      <c r="Q857" s="208"/>
      <c r="R857" s="208"/>
      <c r="S857" s="208"/>
      <c r="T857" s="208"/>
      <c r="U857" s="208"/>
      <c r="V857" s="208"/>
      <c r="W857" s="232"/>
      <c r="X857" s="232"/>
      <c r="Y857" s="232"/>
      <c r="Z857" s="232"/>
      <c r="AA857" s="232"/>
      <c r="AB857" s="232"/>
      <c r="AC857" s="232"/>
      <c r="AD857" s="232"/>
      <c r="AE857" s="232"/>
      <c r="AF857" s="232"/>
      <c r="AG857" s="208"/>
      <c r="AH857" s="208"/>
      <c r="AI857" s="208"/>
      <c r="AJ857" s="208"/>
      <c r="AK857" s="208"/>
    </row>
    <row r="858">
      <c r="A858" s="234"/>
      <c r="B858" s="208"/>
      <c r="C858" s="208"/>
      <c r="D858" s="208"/>
      <c r="E858" s="208"/>
      <c r="F858" s="208"/>
      <c r="G858" s="208"/>
      <c r="H858" s="208"/>
      <c r="I858" s="233"/>
      <c r="J858" s="208"/>
      <c r="K858" s="208"/>
      <c r="L858" s="208"/>
      <c r="M858" s="208"/>
      <c r="N858" s="208"/>
      <c r="O858" s="208"/>
      <c r="P858" s="208"/>
      <c r="Q858" s="208"/>
      <c r="R858" s="208"/>
      <c r="S858" s="208"/>
      <c r="T858" s="208"/>
      <c r="U858" s="208"/>
      <c r="V858" s="208"/>
      <c r="W858" s="232"/>
      <c r="X858" s="232"/>
      <c r="Y858" s="232"/>
      <c r="Z858" s="232"/>
      <c r="AA858" s="232"/>
      <c r="AB858" s="232"/>
      <c r="AC858" s="232"/>
      <c r="AD858" s="232"/>
      <c r="AE858" s="232"/>
      <c r="AF858" s="232"/>
      <c r="AG858" s="208"/>
      <c r="AH858" s="208"/>
      <c r="AI858" s="208"/>
      <c r="AJ858" s="208"/>
      <c r="AK858" s="208"/>
    </row>
    <row r="859">
      <c r="A859" s="234"/>
      <c r="B859" s="208"/>
      <c r="C859" s="208"/>
      <c r="D859" s="208"/>
      <c r="E859" s="208"/>
      <c r="F859" s="208"/>
      <c r="G859" s="208"/>
      <c r="H859" s="208"/>
      <c r="I859" s="233"/>
      <c r="J859" s="208"/>
      <c r="K859" s="208"/>
      <c r="L859" s="208"/>
      <c r="M859" s="208"/>
      <c r="N859" s="208"/>
      <c r="O859" s="208"/>
      <c r="P859" s="208"/>
      <c r="Q859" s="208"/>
      <c r="R859" s="208"/>
      <c r="S859" s="208"/>
      <c r="T859" s="208"/>
      <c r="U859" s="208"/>
      <c r="V859" s="208"/>
      <c r="W859" s="232"/>
      <c r="X859" s="232"/>
      <c r="Y859" s="232"/>
      <c r="Z859" s="232"/>
      <c r="AA859" s="232"/>
      <c r="AB859" s="232"/>
      <c r="AC859" s="232"/>
      <c r="AD859" s="232"/>
      <c r="AE859" s="232"/>
      <c r="AF859" s="232"/>
      <c r="AG859" s="208"/>
      <c r="AH859" s="208"/>
      <c r="AI859" s="208"/>
      <c r="AJ859" s="208"/>
      <c r="AK859" s="208"/>
    </row>
    <row r="860">
      <c r="A860" s="234"/>
      <c r="B860" s="208"/>
      <c r="C860" s="208"/>
      <c r="D860" s="208"/>
      <c r="E860" s="208"/>
      <c r="F860" s="208"/>
      <c r="G860" s="208"/>
      <c r="H860" s="208"/>
      <c r="I860" s="233"/>
      <c r="J860" s="208"/>
      <c r="K860" s="208"/>
      <c r="L860" s="208"/>
      <c r="M860" s="208"/>
      <c r="N860" s="208"/>
      <c r="O860" s="208"/>
      <c r="P860" s="208"/>
      <c r="Q860" s="208"/>
      <c r="R860" s="208"/>
      <c r="S860" s="208"/>
      <c r="T860" s="208"/>
      <c r="U860" s="208"/>
      <c r="V860" s="208"/>
      <c r="W860" s="232"/>
      <c r="X860" s="232"/>
      <c r="Y860" s="232"/>
      <c r="Z860" s="232"/>
      <c r="AA860" s="232"/>
      <c r="AB860" s="232"/>
      <c r="AC860" s="232"/>
      <c r="AD860" s="232"/>
      <c r="AE860" s="232"/>
      <c r="AF860" s="232"/>
      <c r="AG860" s="208"/>
      <c r="AH860" s="208"/>
      <c r="AI860" s="208"/>
      <c r="AJ860" s="208"/>
      <c r="AK860" s="208"/>
    </row>
    <row r="861">
      <c r="A861" s="234"/>
      <c r="B861" s="208"/>
      <c r="C861" s="208"/>
      <c r="D861" s="208"/>
      <c r="E861" s="208"/>
      <c r="F861" s="208"/>
      <c r="G861" s="208"/>
      <c r="H861" s="208"/>
      <c r="I861" s="233"/>
      <c r="J861" s="208"/>
      <c r="K861" s="208"/>
      <c r="L861" s="208"/>
      <c r="M861" s="208"/>
      <c r="N861" s="208"/>
      <c r="O861" s="208"/>
      <c r="P861" s="208"/>
      <c r="Q861" s="208"/>
      <c r="R861" s="208"/>
      <c r="S861" s="208"/>
      <c r="T861" s="208"/>
      <c r="U861" s="208"/>
      <c r="V861" s="208"/>
      <c r="W861" s="232"/>
      <c r="X861" s="232"/>
      <c r="Y861" s="232"/>
      <c r="Z861" s="232"/>
      <c r="AA861" s="232"/>
      <c r="AB861" s="232"/>
      <c r="AC861" s="232"/>
      <c r="AD861" s="232"/>
      <c r="AE861" s="232"/>
      <c r="AF861" s="232"/>
      <c r="AG861" s="208"/>
      <c r="AH861" s="208"/>
      <c r="AI861" s="208"/>
      <c r="AJ861" s="208"/>
      <c r="AK861" s="208"/>
    </row>
    <row r="862">
      <c r="A862" s="234"/>
      <c r="B862" s="208"/>
      <c r="C862" s="208"/>
      <c r="D862" s="208"/>
      <c r="E862" s="208"/>
      <c r="F862" s="208"/>
      <c r="G862" s="208"/>
      <c r="H862" s="208"/>
      <c r="I862" s="233"/>
      <c r="J862" s="208"/>
      <c r="K862" s="208"/>
      <c r="L862" s="208"/>
      <c r="M862" s="208"/>
      <c r="N862" s="208"/>
      <c r="O862" s="208"/>
      <c r="P862" s="208"/>
      <c r="Q862" s="208"/>
      <c r="R862" s="208"/>
      <c r="S862" s="208"/>
      <c r="T862" s="208"/>
      <c r="U862" s="208"/>
      <c r="V862" s="208"/>
      <c r="W862" s="232"/>
      <c r="X862" s="232"/>
      <c r="Y862" s="232"/>
      <c r="Z862" s="232"/>
      <c r="AA862" s="232"/>
      <c r="AB862" s="232"/>
      <c r="AC862" s="232"/>
      <c r="AD862" s="232"/>
      <c r="AE862" s="232"/>
      <c r="AF862" s="232"/>
      <c r="AG862" s="208"/>
      <c r="AH862" s="208"/>
      <c r="AI862" s="208"/>
      <c r="AJ862" s="208"/>
      <c r="AK862" s="208"/>
    </row>
    <row r="863">
      <c r="A863" s="234"/>
      <c r="B863" s="208"/>
      <c r="C863" s="208"/>
      <c r="D863" s="208"/>
      <c r="E863" s="208"/>
      <c r="F863" s="208"/>
      <c r="G863" s="208"/>
      <c r="H863" s="208"/>
      <c r="I863" s="233"/>
      <c r="J863" s="208"/>
      <c r="K863" s="208"/>
      <c r="L863" s="208"/>
      <c r="M863" s="208"/>
      <c r="N863" s="208"/>
      <c r="O863" s="208"/>
      <c r="P863" s="208"/>
      <c r="Q863" s="208"/>
      <c r="R863" s="208"/>
      <c r="S863" s="208"/>
      <c r="T863" s="208"/>
      <c r="U863" s="208"/>
      <c r="V863" s="208"/>
      <c r="W863" s="232"/>
      <c r="X863" s="232"/>
      <c r="Y863" s="232"/>
      <c r="Z863" s="232"/>
      <c r="AA863" s="232"/>
      <c r="AB863" s="232"/>
      <c r="AC863" s="232"/>
      <c r="AD863" s="232"/>
      <c r="AE863" s="232"/>
      <c r="AF863" s="232"/>
      <c r="AG863" s="208"/>
      <c r="AH863" s="208"/>
      <c r="AI863" s="208"/>
      <c r="AJ863" s="208"/>
      <c r="AK863" s="208"/>
    </row>
    <row r="864">
      <c r="A864" s="234"/>
      <c r="B864" s="208"/>
      <c r="C864" s="208"/>
      <c r="D864" s="208"/>
      <c r="E864" s="208"/>
      <c r="F864" s="208"/>
      <c r="G864" s="208"/>
      <c r="H864" s="208"/>
      <c r="I864" s="233"/>
      <c r="J864" s="208"/>
      <c r="K864" s="208"/>
      <c r="L864" s="208"/>
      <c r="M864" s="208"/>
      <c r="N864" s="208"/>
      <c r="O864" s="208"/>
      <c r="P864" s="208"/>
      <c r="Q864" s="208"/>
      <c r="R864" s="208"/>
      <c r="S864" s="208"/>
      <c r="T864" s="208"/>
      <c r="U864" s="208"/>
      <c r="V864" s="208"/>
      <c r="W864" s="232"/>
      <c r="X864" s="232"/>
      <c r="Y864" s="232"/>
      <c r="Z864" s="232"/>
      <c r="AA864" s="232"/>
      <c r="AB864" s="232"/>
      <c r="AC864" s="232"/>
      <c r="AD864" s="232"/>
      <c r="AE864" s="232"/>
      <c r="AF864" s="232"/>
      <c r="AG864" s="208"/>
      <c r="AH864" s="208"/>
      <c r="AI864" s="208"/>
      <c r="AJ864" s="208"/>
      <c r="AK864" s="208"/>
    </row>
    <row r="865">
      <c r="A865" s="234"/>
      <c r="B865" s="208"/>
      <c r="C865" s="208"/>
      <c r="D865" s="208"/>
      <c r="E865" s="208"/>
      <c r="F865" s="208"/>
      <c r="G865" s="208"/>
      <c r="H865" s="208"/>
      <c r="I865" s="233"/>
      <c r="J865" s="208"/>
      <c r="K865" s="208"/>
      <c r="L865" s="208"/>
      <c r="M865" s="208"/>
      <c r="N865" s="208"/>
      <c r="O865" s="208"/>
      <c r="P865" s="208"/>
      <c r="Q865" s="208"/>
      <c r="R865" s="208"/>
      <c r="S865" s="208"/>
      <c r="T865" s="208"/>
      <c r="U865" s="208"/>
      <c r="V865" s="208"/>
      <c r="W865" s="232"/>
      <c r="X865" s="232"/>
      <c r="Y865" s="232"/>
      <c r="Z865" s="232"/>
      <c r="AA865" s="232"/>
      <c r="AB865" s="232"/>
      <c r="AC865" s="232"/>
      <c r="AD865" s="232"/>
      <c r="AE865" s="232"/>
      <c r="AF865" s="232"/>
      <c r="AG865" s="208"/>
      <c r="AH865" s="208"/>
      <c r="AI865" s="208"/>
      <c r="AJ865" s="208"/>
      <c r="AK865" s="208"/>
    </row>
    <row r="866">
      <c r="A866" s="234"/>
      <c r="B866" s="208"/>
      <c r="C866" s="208"/>
      <c r="D866" s="208"/>
      <c r="E866" s="208"/>
      <c r="F866" s="208"/>
      <c r="G866" s="208"/>
      <c r="H866" s="208"/>
      <c r="I866" s="233"/>
      <c r="J866" s="208"/>
      <c r="K866" s="208"/>
      <c r="L866" s="208"/>
      <c r="M866" s="208"/>
      <c r="N866" s="208"/>
      <c r="O866" s="208"/>
      <c r="P866" s="208"/>
      <c r="Q866" s="208"/>
      <c r="R866" s="208"/>
      <c r="S866" s="208"/>
      <c r="T866" s="208"/>
      <c r="U866" s="208"/>
      <c r="V866" s="208"/>
      <c r="W866" s="232"/>
      <c r="X866" s="232"/>
      <c r="Y866" s="232"/>
      <c r="Z866" s="232"/>
      <c r="AA866" s="232"/>
      <c r="AB866" s="232"/>
      <c r="AC866" s="232"/>
      <c r="AD866" s="232"/>
      <c r="AE866" s="232"/>
      <c r="AF866" s="232"/>
      <c r="AG866" s="208"/>
      <c r="AH866" s="208"/>
      <c r="AI866" s="208"/>
      <c r="AJ866" s="208"/>
      <c r="AK866" s="208"/>
    </row>
    <row r="867">
      <c r="A867" s="234"/>
      <c r="B867" s="208"/>
      <c r="C867" s="208"/>
      <c r="D867" s="208"/>
      <c r="E867" s="208"/>
      <c r="F867" s="208"/>
      <c r="G867" s="208"/>
      <c r="H867" s="208"/>
      <c r="I867" s="233"/>
      <c r="J867" s="208"/>
      <c r="K867" s="208"/>
      <c r="L867" s="208"/>
      <c r="M867" s="208"/>
      <c r="N867" s="208"/>
      <c r="O867" s="208"/>
      <c r="P867" s="208"/>
      <c r="Q867" s="208"/>
      <c r="R867" s="208"/>
      <c r="S867" s="208"/>
      <c r="T867" s="208"/>
      <c r="U867" s="208"/>
      <c r="V867" s="208"/>
      <c r="W867" s="232"/>
      <c r="X867" s="232"/>
      <c r="Y867" s="232"/>
      <c r="Z867" s="232"/>
      <c r="AA867" s="232"/>
      <c r="AB867" s="232"/>
      <c r="AC867" s="232"/>
      <c r="AD867" s="232"/>
      <c r="AE867" s="232"/>
      <c r="AF867" s="232"/>
      <c r="AG867" s="208"/>
      <c r="AH867" s="208"/>
      <c r="AI867" s="208"/>
      <c r="AJ867" s="208"/>
      <c r="AK867" s="208"/>
    </row>
    <row r="868">
      <c r="A868" s="234"/>
      <c r="B868" s="208"/>
      <c r="C868" s="208"/>
      <c r="D868" s="208"/>
      <c r="E868" s="208"/>
      <c r="F868" s="208"/>
      <c r="G868" s="208"/>
      <c r="H868" s="208"/>
      <c r="I868" s="233"/>
      <c r="J868" s="208"/>
      <c r="K868" s="208"/>
      <c r="L868" s="208"/>
      <c r="M868" s="208"/>
      <c r="N868" s="208"/>
      <c r="O868" s="208"/>
      <c r="P868" s="208"/>
      <c r="Q868" s="208"/>
      <c r="R868" s="208"/>
      <c r="S868" s="208"/>
      <c r="T868" s="208"/>
      <c r="U868" s="208"/>
      <c r="V868" s="208"/>
      <c r="W868" s="232"/>
      <c r="X868" s="232"/>
      <c r="Y868" s="232"/>
      <c r="Z868" s="232"/>
      <c r="AA868" s="232"/>
      <c r="AB868" s="232"/>
      <c r="AC868" s="232"/>
      <c r="AD868" s="232"/>
      <c r="AE868" s="232"/>
      <c r="AF868" s="232"/>
      <c r="AG868" s="208"/>
      <c r="AH868" s="208"/>
      <c r="AI868" s="208"/>
      <c r="AJ868" s="208"/>
      <c r="AK868" s="208"/>
    </row>
    <row r="869">
      <c r="A869" s="234"/>
      <c r="B869" s="208"/>
      <c r="C869" s="208"/>
      <c r="D869" s="208"/>
      <c r="E869" s="208"/>
      <c r="F869" s="208"/>
      <c r="G869" s="208"/>
      <c r="H869" s="208"/>
      <c r="I869" s="233"/>
      <c r="J869" s="208"/>
      <c r="K869" s="208"/>
      <c r="L869" s="208"/>
      <c r="M869" s="208"/>
      <c r="N869" s="208"/>
      <c r="O869" s="208"/>
      <c r="P869" s="208"/>
      <c r="Q869" s="208"/>
      <c r="R869" s="208"/>
      <c r="S869" s="208"/>
      <c r="T869" s="208"/>
      <c r="U869" s="208"/>
      <c r="V869" s="208"/>
      <c r="W869" s="232"/>
      <c r="X869" s="232"/>
      <c r="Y869" s="232"/>
      <c r="Z869" s="232"/>
      <c r="AA869" s="232"/>
      <c r="AB869" s="232"/>
      <c r="AC869" s="232"/>
      <c r="AD869" s="232"/>
      <c r="AE869" s="232"/>
      <c r="AF869" s="232"/>
      <c r="AG869" s="208"/>
      <c r="AH869" s="208"/>
      <c r="AI869" s="208"/>
      <c r="AJ869" s="208"/>
      <c r="AK869" s="208"/>
    </row>
    <row r="870">
      <c r="A870" s="234"/>
      <c r="B870" s="208"/>
      <c r="C870" s="208"/>
      <c r="D870" s="208"/>
      <c r="E870" s="208"/>
      <c r="F870" s="208"/>
      <c r="G870" s="208"/>
      <c r="H870" s="208"/>
      <c r="I870" s="233"/>
      <c r="J870" s="208"/>
      <c r="K870" s="208"/>
      <c r="L870" s="208"/>
      <c r="M870" s="208"/>
      <c r="N870" s="208"/>
      <c r="O870" s="208"/>
      <c r="P870" s="208"/>
      <c r="Q870" s="208"/>
      <c r="R870" s="208"/>
      <c r="S870" s="208"/>
      <c r="T870" s="208"/>
      <c r="U870" s="208"/>
      <c r="V870" s="208"/>
      <c r="W870" s="232"/>
      <c r="X870" s="232"/>
      <c r="Y870" s="232"/>
      <c r="Z870" s="232"/>
      <c r="AA870" s="232"/>
      <c r="AB870" s="232"/>
      <c r="AC870" s="232"/>
      <c r="AD870" s="232"/>
      <c r="AE870" s="232"/>
      <c r="AF870" s="232"/>
      <c r="AG870" s="208"/>
      <c r="AH870" s="208"/>
      <c r="AI870" s="208"/>
      <c r="AJ870" s="208"/>
      <c r="AK870" s="208"/>
    </row>
    <row r="871">
      <c r="A871" s="234"/>
      <c r="B871" s="208"/>
      <c r="C871" s="208"/>
      <c r="D871" s="208"/>
      <c r="E871" s="208"/>
      <c r="F871" s="208"/>
      <c r="G871" s="208"/>
      <c r="H871" s="208"/>
      <c r="I871" s="233"/>
      <c r="J871" s="208"/>
      <c r="K871" s="208"/>
      <c r="L871" s="208"/>
      <c r="M871" s="208"/>
      <c r="N871" s="208"/>
      <c r="O871" s="208"/>
      <c r="P871" s="208"/>
      <c r="Q871" s="208"/>
      <c r="R871" s="208"/>
      <c r="S871" s="208"/>
      <c r="T871" s="208"/>
      <c r="U871" s="208"/>
      <c r="V871" s="208"/>
      <c r="W871" s="232"/>
      <c r="X871" s="232"/>
      <c r="Y871" s="232"/>
      <c r="Z871" s="232"/>
      <c r="AA871" s="232"/>
      <c r="AB871" s="232"/>
      <c r="AC871" s="232"/>
      <c r="AD871" s="232"/>
      <c r="AE871" s="232"/>
      <c r="AF871" s="232"/>
      <c r="AG871" s="208"/>
      <c r="AH871" s="208"/>
      <c r="AI871" s="208"/>
      <c r="AJ871" s="208"/>
      <c r="AK871" s="208"/>
    </row>
    <row r="872">
      <c r="A872" s="234"/>
      <c r="B872" s="208"/>
      <c r="C872" s="208"/>
      <c r="D872" s="208"/>
      <c r="E872" s="208"/>
      <c r="F872" s="208"/>
      <c r="G872" s="208"/>
      <c r="H872" s="208"/>
      <c r="I872" s="233"/>
      <c r="J872" s="208"/>
      <c r="K872" s="208"/>
      <c r="L872" s="208"/>
      <c r="M872" s="208"/>
      <c r="N872" s="208"/>
      <c r="O872" s="208"/>
      <c r="P872" s="208"/>
      <c r="Q872" s="208"/>
      <c r="R872" s="208"/>
      <c r="S872" s="208"/>
      <c r="T872" s="208"/>
      <c r="U872" s="208"/>
      <c r="V872" s="208"/>
      <c r="W872" s="232"/>
      <c r="X872" s="232"/>
      <c r="Y872" s="232"/>
      <c r="Z872" s="232"/>
      <c r="AA872" s="232"/>
      <c r="AB872" s="232"/>
      <c r="AC872" s="232"/>
      <c r="AD872" s="232"/>
      <c r="AE872" s="232"/>
      <c r="AF872" s="232"/>
      <c r="AG872" s="208"/>
      <c r="AH872" s="208"/>
      <c r="AI872" s="208"/>
      <c r="AJ872" s="208"/>
      <c r="AK872" s="208"/>
    </row>
    <row r="873">
      <c r="A873" s="234"/>
      <c r="B873" s="208"/>
      <c r="C873" s="208"/>
      <c r="D873" s="208"/>
      <c r="E873" s="208"/>
      <c r="F873" s="208"/>
      <c r="G873" s="208"/>
      <c r="H873" s="208"/>
      <c r="I873" s="233"/>
      <c r="J873" s="208"/>
      <c r="K873" s="208"/>
      <c r="L873" s="208"/>
      <c r="M873" s="208"/>
      <c r="N873" s="208"/>
      <c r="O873" s="208"/>
      <c r="P873" s="208"/>
      <c r="Q873" s="208"/>
      <c r="R873" s="208"/>
      <c r="S873" s="208"/>
      <c r="T873" s="208"/>
      <c r="U873" s="208"/>
      <c r="V873" s="208"/>
      <c r="W873" s="232"/>
      <c r="X873" s="232"/>
      <c r="Y873" s="232"/>
      <c r="Z873" s="232"/>
      <c r="AA873" s="232"/>
      <c r="AB873" s="232"/>
      <c r="AC873" s="232"/>
      <c r="AD873" s="232"/>
      <c r="AE873" s="232"/>
      <c r="AF873" s="232"/>
      <c r="AG873" s="208"/>
      <c r="AH873" s="208"/>
      <c r="AI873" s="208"/>
      <c r="AJ873" s="208"/>
      <c r="AK873" s="208"/>
    </row>
    <row r="874">
      <c r="A874" s="234"/>
      <c r="B874" s="208"/>
      <c r="C874" s="208"/>
      <c r="D874" s="208"/>
      <c r="E874" s="208"/>
      <c r="F874" s="208"/>
      <c r="G874" s="208"/>
      <c r="H874" s="208"/>
      <c r="I874" s="233"/>
      <c r="J874" s="208"/>
      <c r="K874" s="208"/>
      <c r="L874" s="208"/>
      <c r="M874" s="208"/>
      <c r="N874" s="208"/>
      <c r="O874" s="208"/>
      <c r="P874" s="208"/>
      <c r="Q874" s="208"/>
      <c r="R874" s="208"/>
      <c r="S874" s="208"/>
      <c r="T874" s="208"/>
      <c r="U874" s="208"/>
      <c r="V874" s="208"/>
      <c r="W874" s="232"/>
      <c r="X874" s="232"/>
      <c r="Y874" s="232"/>
      <c r="Z874" s="232"/>
      <c r="AA874" s="232"/>
      <c r="AB874" s="232"/>
      <c r="AC874" s="232"/>
      <c r="AD874" s="232"/>
      <c r="AE874" s="232"/>
      <c r="AF874" s="232"/>
      <c r="AG874" s="208"/>
      <c r="AH874" s="208"/>
      <c r="AI874" s="208"/>
      <c r="AJ874" s="208"/>
      <c r="AK874" s="208"/>
    </row>
    <row r="875">
      <c r="A875" s="234"/>
      <c r="B875" s="208"/>
      <c r="C875" s="208"/>
      <c r="D875" s="208"/>
      <c r="E875" s="208"/>
      <c r="F875" s="208"/>
      <c r="G875" s="208"/>
      <c r="H875" s="208"/>
      <c r="I875" s="233"/>
      <c r="J875" s="208"/>
      <c r="K875" s="208"/>
      <c r="L875" s="208"/>
      <c r="M875" s="208"/>
      <c r="N875" s="208"/>
      <c r="O875" s="208"/>
      <c r="P875" s="208"/>
      <c r="Q875" s="208"/>
      <c r="R875" s="208"/>
      <c r="S875" s="208"/>
      <c r="T875" s="208"/>
      <c r="U875" s="208"/>
      <c r="V875" s="208"/>
      <c r="W875" s="232"/>
      <c r="X875" s="232"/>
      <c r="Y875" s="232"/>
      <c r="Z875" s="232"/>
      <c r="AA875" s="232"/>
      <c r="AB875" s="232"/>
      <c r="AC875" s="232"/>
      <c r="AD875" s="232"/>
      <c r="AE875" s="232"/>
      <c r="AF875" s="232"/>
      <c r="AG875" s="208"/>
      <c r="AH875" s="208"/>
      <c r="AI875" s="208"/>
      <c r="AJ875" s="208"/>
      <c r="AK875" s="208"/>
    </row>
    <row r="876">
      <c r="A876" s="234"/>
      <c r="B876" s="208"/>
      <c r="C876" s="208"/>
      <c r="D876" s="208"/>
      <c r="E876" s="208"/>
      <c r="F876" s="208"/>
      <c r="G876" s="208"/>
      <c r="H876" s="208"/>
      <c r="I876" s="233"/>
      <c r="J876" s="208"/>
      <c r="K876" s="208"/>
      <c r="L876" s="208"/>
      <c r="M876" s="208"/>
      <c r="N876" s="208"/>
      <c r="O876" s="208"/>
      <c r="P876" s="208"/>
      <c r="Q876" s="208"/>
      <c r="R876" s="208"/>
      <c r="S876" s="208"/>
      <c r="T876" s="208"/>
      <c r="U876" s="208"/>
      <c r="V876" s="208"/>
      <c r="W876" s="232"/>
      <c r="X876" s="232"/>
      <c r="Y876" s="232"/>
      <c r="Z876" s="232"/>
      <c r="AA876" s="232"/>
      <c r="AB876" s="232"/>
      <c r="AC876" s="232"/>
      <c r="AD876" s="232"/>
      <c r="AE876" s="232"/>
      <c r="AF876" s="232"/>
      <c r="AG876" s="208"/>
      <c r="AH876" s="208"/>
      <c r="AI876" s="208"/>
      <c r="AJ876" s="208"/>
      <c r="AK876" s="208"/>
    </row>
    <row r="877">
      <c r="A877" s="234"/>
      <c r="B877" s="208"/>
      <c r="C877" s="208"/>
      <c r="D877" s="208"/>
      <c r="E877" s="208"/>
      <c r="F877" s="208"/>
      <c r="G877" s="208"/>
      <c r="H877" s="208"/>
      <c r="I877" s="233"/>
      <c r="J877" s="208"/>
      <c r="K877" s="208"/>
      <c r="L877" s="208"/>
      <c r="M877" s="208"/>
      <c r="N877" s="208"/>
      <c r="O877" s="208"/>
      <c r="P877" s="208"/>
      <c r="Q877" s="208"/>
      <c r="R877" s="208"/>
      <c r="S877" s="208"/>
      <c r="T877" s="208"/>
      <c r="U877" s="208"/>
      <c r="V877" s="208"/>
      <c r="W877" s="232"/>
      <c r="X877" s="232"/>
      <c r="Y877" s="232"/>
      <c r="Z877" s="232"/>
      <c r="AA877" s="232"/>
      <c r="AB877" s="232"/>
      <c r="AC877" s="232"/>
      <c r="AD877" s="232"/>
      <c r="AE877" s="232"/>
      <c r="AF877" s="232"/>
      <c r="AG877" s="208"/>
      <c r="AH877" s="208"/>
      <c r="AI877" s="208"/>
      <c r="AJ877" s="208"/>
      <c r="AK877" s="208"/>
    </row>
    <row r="878">
      <c r="A878" s="234"/>
      <c r="B878" s="208"/>
      <c r="C878" s="208"/>
      <c r="D878" s="208"/>
      <c r="E878" s="208"/>
      <c r="F878" s="208"/>
      <c r="G878" s="208"/>
      <c r="H878" s="208"/>
      <c r="I878" s="233"/>
      <c r="J878" s="208"/>
      <c r="K878" s="208"/>
      <c r="L878" s="208"/>
      <c r="M878" s="208"/>
      <c r="N878" s="208"/>
      <c r="O878" s="208"/>
      <c r="P878" s="208"/>
      <c r="Q878" s="208"/>
      <c r="R878" s="208"/>
      <c r="S878" s="208"/>
      <c r="T878" s="208"/>
      <c r="U878" s="208"/>
      <c r="V878" s="208"/>
      <c r="W878" s="232"/>
      <c r="X878" s="232"/>
      <c r="Y878" s="232"/>
      <c r="Z878" s="232"/>
      <c r="AA878" s="232"/>
      <c r="AB878" s="232"/>
      <c r="AC878" s="232"/>
      <c r="AD878" s="232"/>
      <c r="AE878" s="232"/>
      <c r="AF878" s="232"/>
      <c r="AG878" s="208"/>
      <c r="AH878" s="208"/>
      <c r="AI878" s="208"/>
      <c r="AJ878" s="208"/>
      <c r="AK878" s="208"/>
    </row>
    <row r="879">
      <c r="A879" s="234"/>
      <c r="B879" s="208"/>
      <c r="C879" s="208"/>
      <c r="D879" s="208"/>
      <c r="E879" s="208"/>
      <c r="F879" s="208"/>
      <c r="G879" s="208"/>
      <c r="H879" s="208"/>
      <c r="I879" s="233"/>
      <c r="J879" s="208"/>
      <c r="K879" s="208"/>
      <c r="L879" s="208"/>
      <c r="M879" s="208"/>
      <c r="N879" s="208"/>
      <c r="O879" s="208"/>
      <c r="P879" s="208"/>
      <c r="Q879" s="208"/>
      <c r="R879" s="208"/>
      <c r="S879" s="208"/>
      <c r="T879" s="208"/>
      <c r="U879" s="208"/>
      <c r="V879" s="208"/>
      <c r="W879" s="232"/>
      <c r="X879" s="232"/>
      <c r="Y879" s="232"/>
      <c r="Z879" s="232"/>
      <c r="AA879" s="232"/>
      <c r="AB879" s="232"/>
      <c r="AC879" s="232"/>
      <c r="AD879" s="232"/>
      <c r="AE879" s="232"/>
      <c r="AF879" s="232"/>
      <c r="AG879" s="208"/>
      <c r="AH879" s="208"/>
      <c r="AI879" s="208"/>
      <c r="AJ879" s="208"/>
      <c r="AK879" s="208"/>
    </row>
    <row r="880">
      <c r="A880" s="234"/>
      <c r="B880" s="208"/>
      <c r="C880" s="208"/>
      <c r="D880" s="208"/>
      <c r="E880" s="208"/>
      <c r="F880" s="208"/>
      <c r="G880" s="208"/>
      <c r="H880" s="208"/>
      <c r="I880" s="233"/>
      <c r="J880" s="208"/>
      <c r="K880" s="208"/>
      <c r="L880" s="208"/>
      <c r="M880" s="208"/>
      <c r="N880" s="208"/>
      <c r="O880" s="208"/>
      <c r="P880" s="208"/>
      <c r="Q880" s="208"/>
      <c r="R880" s="208"/>
      <c r="S880" s="208"/>
      <c r="T880" s="208"/>
      <c r="U880" s="208"/>
      <c r="V880" s="208"/>
      <c r="W880" s="232"/>
      <c r="X880" s="232"/>
      <c r="Y880" s="232"/>
      <c r="Z880" s="232"/>
      <c r="AA880" s="232"/>
      <c r="AB880" s="232"/>
      <c r="AC880" s="232"/>
      <c r="AD880" s="232"/>
      <c r="AE880" s="232"/>
      <c r="AF880" s="232"/>
      <c r="AG880" s="208"/>
      <c r="AH880" s="208"/>
      <c r="AI880" s="208"/>
      <c r="AJ880" s="208"/>
      <c r="AK880" s="208"/>
    </row>
    <row r="881">
      <c r="A881" s="234"/>
      <c r="B881" s="208"/>
      <c r="C881" s="208"/>
      <c r="D881" s="208"/>
      <c r="E881" s="208"/>
      <c r="F881" s="208"/>
      <c r="G881" s="208"/>
      <c r="H881" s="208"/>
      <c r="I881" s="233"/>
      <c r="J881" s="208"/>
      <c r="K881" s="208"/>
      <c r="L881" s="208"/>
      <c r="M881" s="208"/>
      <c r="N881" s="208"/>
      <c r="O881" s="208"/>
      <c r="P881" s="208"/>
      <c r="Q881" s="208"/>
      <c r="R881" s="208"/>
      <c r="S881" s="208"/>
      <c r="T881" s="208"/>
      <c r="U881" s="208"/>
      <c r="V881" s="208"/>
      <c r="W881" s="232"/>
      <c r="X881" s="232"/>
      <c r="Y881" s="232"/>
      <c r="Z881" s="232"/>
      <c r="AA881" s="232"/>
      <c r="AB881" s="232"/>
      <c r="AC881" s="232"/>
      <c r="AD881" s="232"/>
      <c r="AE881" s="232"/>
      <c r="AF881" s="232"/>
      <c r="AG881" s="208"/>
      <c r="AH881" s="208"/>
      <c r="AI881" s="208"/>
      <c r="AJ881" s="208"/>
      <c r="AK881" s="208"/>
    </row>
    <row r="882">
      <c r="A882" s="234"/>
      <c r="B882" s="208"/>
      <c r="C882" s="208"/>
      <c r="D882" s="208"/>
      <c r="E882" s="208"/>
      <c r="F882" s="208"/>
      <c r="G882" s="208"/>
      <c r="H882" s="208"/>
      <c r="I882" s="233"/>
      <c r="J882" s="208"/>
      <c r="K882" s="208"/>
      <c r="L882" s="208"/>
      <c r="M882" s="208"/>
      <c r="N882" s="208"/>
      <c r="O882" s="208"/>
      <c r="P882" s="208"/>
      <c r="Q882" s="208"/>
      <c r="R882" s="208"/>
      <c r="S882" s="208"/>
      <c r="T882" s="208"/>
      <c r="U882" s="208"/>
      <c r="V882" s="208"/>
      <c r="W882" s="232"/>
      <c r="X882" s="232"/>
      <c r="Y882" s="232"/>
      <c r="Z882" s="232"/>
      <c r="AA882" s="232"/>
      <c r="AB882" s="232"/>
      <c r="AC882" s="232"/>
      <c r="AD882" s="232"/>
      <c r="AE882" s="232"/>
      <c r="AF882" s="232"/>
      <c r="AG882" s="208"/>
      <c r="AH882" s="208"/>
      <c r="AI882" s="208"/>
      <c r="AJ882" s="208"/>
      <c r="AK882" s="208"/>
    </row>
    <row r="883">
      <c r="A883" s="234"/>
      <c r="B883" s="208"/>
      <c r="C883" s="208"/>
      <c r="D883" s="208"/>
      <c r="E883" s="208"/>
      <c r="F883" s="208"/>
      <c r="G883" s="208"/>
      <c r="H883" s="208"/>
      <c r="I883" s="233"/>
      <c r="J883" s="208"/>
      <c r="K883" s="208"/>
      <c r="L883" s="208"/>
      <c r="M883" s="208"/>
      <c r="N883" s="208"/>
      <c r="O883" s="208"/>
      <c r="P883" s="208"/>
      <c r="Q883" s="208"/>
      <c r="R883" s="208"/>
      <c r="S883" s="208"/>
      <c r="T883" s="208"/>
      <c r="U883" s="208"/>
      <c r="V883" s="208"/>
      <c r="W883" s="232"/>
      <c r="X883" s="232"/>
      <c r="Y883" s="232"/>
      <c r="Z883" s="232"/>
      <c r="AA883" s="232"/>
      <c r="AB883" s="232"/>
      <c r="AC883" s="232"/>
      <c r="AD883" s="232"/>
      <c r="AE883" s="232"/>
      <c r="AF883" s="232"/>
      <c r="AG883" s="208"/>
      <c r="AH883" s="208"/>
      <c r="AI883" s="208"/>
      <c r="AJ883" s="208"/>
      <c r="AK883" s="208"/>
    </row>
    <row r="884">
      <c r="A884" s="234"/>
      <c r="B884" s="208"/>
      <c r="C884" s="208"/>
      <c r="D884" s="208"/>
      <c r="E884" s="208"/>
      <c r="F884" s="208"/>
      <c r="G884" s="208"/>
      <c r="H884" s="208"/>
      <c r="I884" s="233"/>
      <c r="J884" s="208"/>
      <c r="K884" s="208"/>
      <c r="L884" s="208"/>
      <c r="M884" s="208"/>
      <c r="N884" s="208"/>
      <c r="O884" s="208"/>
      <c r="P884" s="208"/>
      <c r="Q884" s="208"/>
      <c r="R884" s="208"/>
      <c r="S884" s="208"/>
      <c r="T884" s="208"/>
      <c r="U884" s="208"/>
      <c r="V884" s="208"/>
      <c r="W884" s="232"/>
      <c r="X884" s="232"/>
      <c r="Y884" s="232"/>
      <c r="Z884" s="232"/>
      <c r="AA884" s="232"/>
      <c r="AB884" s="232"/>
      <c r="AC884" s="232"/>
      <c r="AD884" s="232"/>
      <c r="AE884" s="232"/>
      <c r="AF884" s="232"/>
      <c r="AG884" s="208"/>
      <c r="AH884" s="208"/>
      <c r="AI884" s="208"/>
      <c r="AJ884" s="208"/>
      <c r="AK884" s="208"/>
    </row>
    <row r="885">
      <c r="A885" s="234"/>
      <c r="B885" s="208"/>
      <c r="C885" s="208"/>
      <c r="D885" s="208"/>
      <c r="E885" s="208"/>
      <c r="F885" s="208"/>
      <c r="G885" s="208"/>
      <c r="H885" s="208"/>
      <c r="I885" s="233"/>
      <c r="J885" s="208"/>
      <c r="K885" s="208"/>
      <c r="L885" s="208"/>
      <c r="M885" s="208"/>
      <c r="N885" s="208"/>
      <c r="O885" s="208"/>
      <c r="P885" s="208"/>
      <c r="Q885" s="208"/>
      <c r="R885" s="208"/>
      <c r="S885" s="208"/>
      <c r="T885" s="208"/>
      <c r="U885" s="208"/>
      <c r="V885" s="208"/>
      <c r="W885" s="232"/>
      <c r="X885" s="232"/>
      <c r="Y885" s="232"/>
      <c r="Z885" s="232"/>
      <c r="AA885" s="232"/>
      <c r="AB885" s="232"/>
      <c r="AC885" s="232"/>
      <c r="AD885" s="232"/>
      <c r="AE885" s="232"/>
      <c r="AF885" s="232"/>
      <c r="AG885" s="208"/>
      <c r="AH885" s="208"/>
      <c r="AI885" s="208"/>
      <c r="AJ885" s="208"/>
      <c r="AK885" s="208"/>
    </row>
    <row r="886">
      <c r="A886" s="234"/>
      <c r="B886" s="208"/>
      <c r="C886" s="208"/>
      <c r="D886" s="208"/>
      <c r="E886" s="208"/>
      <c r="F886" s="208"/>
      <c r="G886" s="208"/>
      <c r="H886" s="208"/>
      <c r="I886" s="233"/>
      <c r="J886" s="208"/>
      <c r="K886" s="208"/>
      <c r="L886" s="208"/>
      <c r="M886" s="208"/>
      <c r="N886" s="208"/>
      <c r="O886" s="208"/>
      <c r="P886" s="208"/>
      <c r="Q886" s="208"/>
      <c r="R886" s="208"/>
      <c r="S886" s="208"/>
      <c r="T886" s="208"/>
      <c r="U886" s="208"/>
      <c r="V886" s="208"/>
      <c r="W886" s="232"/>
      <c r="X886" s="232"/>
      <c r="Y886" s="232"/>
      <c r="Z886" s="232"/>
      <c r="AA886" s="232"/>
      <c r="AB886" s="232"/>
      <c r="AC886" s="232"/>
      <c r="AD886" s="232"/>
      <c r="AE886" s="232"/>
      <c r="AF886" s="232"/>
      <c r="AG886" s="208"/>
      <c r="AH886" s="208"/>
      <c r="AI886" s="208"/>
      <c r="AJ886" s="208"/>
      <c r="AK886" s="208"/>
    </row>
    <row r="887">
      <c r="A887" s="234"/>
      <c r="B887" s="208"/>
      <c r="C887" s="208"/>
      <c r="D887" s="208"/>
      <c r="E887" s="208"/>
      <c r="F887" s="208"/>
      <c r="G887" s="208"/>
      <c r="H887" s="208"/>
      <c r="I887" s="233"/>
      <c r="J887" s="208"/>
      <c r="K887" s="208"/>
      <c r="L887" s="208"/>
      <c r="M887" s="208"/>
      <c r="N887" s="208"/>
      <c r="O887" s="208"/>
      <c r="P887" s="208"/>
      <c r="Q887" s="208"/>
      <c r="R887" s="208"/>
      <c r="S887" s="208"/>
      <c r="T887" s="208"/>
      <c r="U887" s="208"/>
      <c r="V887" s="208"/>
      <c r="W887" s="232"/>
      <c r="X887" s="232"/>
      <c r="Y887" s="232"/>
      <c r="Z887" s="232"/>
      <c r="AA887" s="232"/>
      <c r="AB887" s="232"/>
      <c r="AC887" s="232"/>
      <c r="AD887" s="232"/>
      <c r="AE887" s="232"/>
      <c r="AF887" s="232"/>
      <c r="AG887" s="208"/>
      <c r="AH887" s="208"/>
      <c r="AI887" s="208"/>
      <c r="AJ887" s="208"/>
      <c r="AK887" s="208"/>
    </row>
    <row r="888">
      <c r="A888" s="234"/>
      <c r="B888" s="208"/>
      <c r="C888" s="208"/>
      <c r="D888" s="208"/>
      <c r="E888" s="208"/>
      <c r="F888" s="208"/>
      <c r="G888" s="208"/>
      <c r="H888" s="208"/>
      <c r="I888" s="233"/>
      <c r="J888" s="208"/>
      <c r="K888" s="208"/>
      <c r="L888" s="208"/>
      <c r="M888" s="208"/>
      <c r="N888" s="208"/>
      <c r="O888" s="208"/>
      <c r="P888" s="208"/>
      <c r="Q888" s="208"/>
      <c r="R888" s="208"/>
      <c r="S888" s="208"/>
      <c r="T888" s="208"/>
      <c r="U888" s="208"/>
      <c r="V888" s="208"/>
      <c r="W888" s="232"/>
      <c r="X888" s="232"/>
      <c r="Y888" s="232"/>
      <c r="Z888" s="232"/>
      <c r="AA888" s="232"/>
      <c r="AB888" s="232"/>
      <c r="AC888" s="232"/>
      <c r="AD888" s="232"/>
      <c r="AE888" s="232"/>
      <c r="AF888" s="232"/>
      <c r="AG888" s="208"/>
      <c r="AH888" s="208"/>
      <c r="AI888" s="208"/>
      <c r="AJ888" s="208"/>
      <c r="AK888" s="208"/>
    </row>
    <row r="889">
      <c r="A889" s="234"/>
      <c r="B889" s="208"/>
      <c r="C889" s="208"/>
      <c r="D889" s="208"/>
      <c r="E889" s="208"/>
      <c r="F889" s="208"/>
      <c r="G889" s="208"/>
      <c r="H889" s="208"/>
      <c r="I889" s="233"/>
      <c r="J889" s="208"/>
      <c r="K889" s="208"/>
      <c r="L889" s="208"/>
      <c r="M889" s="208"/>
      <c r="N889" s="208"/>
      <c r="O889" s="208"/>
      <c r="P889" s="208"/>
      <c r="Q889" s="208"/>
      <c r="R889" s="208"/>
      <c r="S889" s="208"/>
      <c r="T889" s="208"/>
      <c r="U889" s="208"/>
      <c r="V889" s="208"/>
      <c r="W889" s="232"/>
      <c r="X889" s="232"/>
      <c r="Y889" s="232"/>
      <c r="Z889" s="232"/>
      <c r="AA889" s="232"/>
      <c r="AB889" s="232"/>
      <c r="AC889" s="232"/>
      <c r="AD889" s="232"/>
      <c r="AE889" s="232"/>
      <c r="AF889" s="232"/>
      <c r="AG889" s="208"/>
      <c r="AH889" s="208"/>
      <c r="AI889" s="208"/>
      <c r="AJ889" s="208"/>
      <c r="AK889" s="208"/>
    </row>
    <row r="890">
      <c r="A890" s="234"/>
      <c r="B890" s="208"/>
      <c r="C890" s="208"/>
      <c r="D890" s="208"/>
      <c r="E890" s="208"/>
      <c r="F890" s="208"/>
      <c r="G890" s="208"/>
      <c r="H890" s="208"/>
      <c r="I890" s="233"/>
      <c r="J890" s="208"/>
      <c r="K890" s="208"/>
      <c r="L890" s="208"/>
      <c r="M890" s="208"/>
      <c r="N890" s="208"/>
      <c r="O890" s="208"/>
      <c r="P890" s="208"/>
      <c r="Q890" s="208"/>
      <c r="R890" s="208"/>
      <c r="S890" s="208"/>
      <c r="T890" s="208"/>
      <c r="U890" s="208"/>
      <c r="V890" s="208"/>
      <c r="W890" s="232"/>
      <c r="X890" s="232"/>
      <c r="Y890" s="232"/>
      <c r="Z890" s="232"/>
      <c r="AA890" s="232"/>
      <c r="AB890" s="232"/>
      <c r="AC890" s="232"/>
      <c r="AD890" s="232"/>
      <c r="AE890" s="232"/>
      <c r="AF890" s="232"/>
      <c r="AG890" s="208"/>
      <c r="AH890" s="208"/>
      <c r="AI890" s="208"/>
      <c r="AJ890" s="208"/>
      <c r="AK890" s="208"/>
    </row>
    <row r="891">
      <c r="A891" s="234"/>
      <c r="B891" s="208"/>
      <c r="C891" s="208"/>
      <c r="D891" s="208"/>
      <c r="E891" s="208"/>
      <c r="F891" s="208"/>
      <c r="G891" s="208"/>
      <c r="H891" s="208"/>
      <c r="I891" s="233"/>
      <c r="J891" s="208"/>
      <c r="K891" s="208"/>
      <c r="L891" s="208"/>
      <c r="M891" s="208"/>
      <c r="N891" s="208"/>
      <c r="O891" s="208"/>
      <c r="P891" s="208"/>
      <c r="Q891" s="208"/>
      <c r="R891" s="208"/>
      <c r="S891" s="208"/>
      <c r="T891" s="208"/>
      <c r="U891" s="208"/>
      <c r="V891" s="208"/>
      <c r="W891" s="232"/>
      <c r="X891" s="232"/>
      <c r="Y891" s="232"/>
      <c r="Z891" s="232"/>
      <c r="AA891" s="232"/>
      <c r="AB891" s="232"/>
      <c r="AC891" s="232"/>
      <c r="AD891" s="232"/>
      <c r="AE891" s="232"/>
      <c r="AF891" s="232"/>
      <c r="AG891" s="208"/>
      <c r="AH891" s="208"/>
      <c r="AI891" s="208"/>
      <c r="AJ891" s="208"/>
      <c r="AK891" s="208"/>
    </row>
    <row r="892">
      <c r="A892" s="234"/>
      <c r="B892" s="208"/>
      <c r="C892" s="208"/>
      <c r="D892" s="208"/>
      <c r="E892" s="208"/>
      <c r="F892" s="208"/>
      <c r="G892" s="208"/>
      <c r="H892" s="208"/>
      <c r="I892" s="233"/>
      <c r="J892" s="208"/>
      <c r="K892" s="208"/>
      <c r="L892" s="208"/>
      <c r="M892" s="208"/>
      <c r="N892" s="208"/>
      <c r="O892" s="208"/>
      <c r="P892" s="208"/>
      <c r="Q892" s="208"/>
      <c r="R892" s="208"/>
      <c r="S892" s="208"/>
      <c r="T892" s="208"/>
      <c r="U892" s="208"/>
      <c r="V892" s="208"/>
      <c r="W892" s="232"/>
      <c r="X892" s="232"/>
      <c r="Y892" s="232"/>
      <c r="Z892" s="232"/>
      <c r="AA892" s="232"/>
      <c r="AB892" s="232"/>
      <c r="AC892" s="232"/>
      <c r="AD892" s="232"/>
      <c r="AE892" s="232"/>
      <c r="AF892" s="232"/>
      <c r="AG892" s="208"/>
      <c r="AH892" s="208"/>
      <c r="AI892" s="208"/>
      <c r="AJ892" s="208"/>
      <c r="AK892" s="208"/>
    </row>
    <row r="893">
      <c r="A893" s="234"/>
      <c r="B893" s="208"/>
      <c r="C893" s="208"/>
      <c r="D893" s="208"/>
      <c r="E893" s="208"/>
      <c r="F893" s="208"/>
      <c r="G893" s="208"/>
      <c r="H893" s="208"/>
      <c r="I893" s="233"/>
      <c r="J893" s="208"/>
      <c r="K893" s="208"/>
      <c r="L893" s="208"/>
      <c r="M893" s="208"/>
      <c r="N893" s="208"/>
      <c r="O893" s="208"/>
      <c r="P893" s="208"/>
      <c r="Q893" s="208"/>
      <c r="R893" s="208"/>
      <c r="S893" s="208"/>
      <c r="T893" s="208"/>
      <c r="U893" s="208"/>
      <c r="V893" s="208"/>
      <c r="W893" s="232"/>
      <c r="X893" s="232"/>
      <c r="Y893" s="232"/>
      <c r="Z893" s="232"/>
      <c r="AA893" s="232"/>
      <c r="AB893" s="232"/>
      <c r="AC893" s="232"/>
      <c r="AD893" s="232"/>
      <c r="AE893" s="232"/>
      <c r="AF893" s="232"/>
      <c r="AG893" s="208"/>
      <c r="AH893" s="208"/>
      <c r="AI893" s="208"/>
      <c r="AJ893" s="208"/>
      <c r="AK893" s="208"/>
    </row>
    <row r="894">
      <c r="A894" s="234"/>
      <c r="B894" s="208"/>
      <c r="C894" s="208"/>
      <c r="D894" s="208"/>
      <c r="E894" s="208"/>
      <c r="F894" s="208"/>
      <c r="G894" s="208"/>
      <c r="H894" s="208"/>
      <c r="I894" s="233"/>
      <c r="J894" s="208"/>
      <c r="K894" s="208"/>
      <c r="L894" s="208"/>
      <c r="M894" s="208"/>
      <c r="N894" s="208"/>
      <c r="O894" s="208"/>
      <c r="P894" s="208"/>
      <c r="Q894" s="208"/>
      <c r="R894" s="208"/>
      <c r="S894" s="208"/>
      <c r="T894" s="208"/>
      <c r="U894" s="208"/>
      <c r="V894" s="208"/>
      <c r="W894" s="232"/>
      <c r="X894" s="232"/>
      <c r="Y894" s="232"/>
      <c r="Z894" s="232"/>
      <c r="AA894" s="232"/>
      <c r="AB894" s="232"/>
      <c r="AC894" s="232"/>
      <c r="AD894" s="232"/>
      <c r="AE894" s="232"/>
      <c r="AF894" s="232"/>
      <c r="AG894" s="208"/>
      <c r="AH894" s="208"/>
      <c r="AI894" s="208"/>
      <c r="AJ894" s="208"/>
      <c r="AK894" s="208"/>
    </row>
    <row r="895">
      <c r="A895" s="234"/>
      <c r="B895" s="208"/>
      <c r="C895" s="208"/>
      <c r="D895" s="208"/>
      <c r="E895" s="208"/>
      <c r="F895" s="208"/>
      <c r="G895" s="208"/>
      <c r="H895" s="208"/>
      <c r="I895" s="233"/>
      <c r="J895" s="208"/>
      <c r="K895" s="208"/>
      <c r="L895" s="208"/>
      <c r="M895" s="208"/>
      <c r="N895" s="208"/>
      <c r="O895" s="208"/>
      <c r="P895" s="208"/>
      <c r="Q895" s="208"/>
      <c r="R895" s="208"/>
      <c r="S895" s="208"/>
      <c r="T895" s="208"/>
      <c r="U895" s="208"/>
      <c r="V895" s="208"/>
      <c r="W895" s="232"/>
      <c r="X895" s="232"/>
      <c r="Y895" s="232"/>
      <c r="Z895" s="232"/>
      <c r="AA895" s="232"/>
      <c r="AB895" s="232"/>
      <c r="AC895" s="232"/>
      <c r="AD895" s="232"/>
      <c r="AE895" s="232"/>
      <c r="AF895" s="232"/>
      <c r="AG895" s="208"/>
      <c r="AH895" s="208"/>
      <c r="AI895" s="208"/>
      <c r="AJ895" s="208"/>
      <c r="AK895" s="208"/>
    </row>
    <row r="896">
      <c r="A896" s="234"/>
      <c r="B896" s="208"/>
      <c r="C896" s="208"/>
      <c r="D896" s="208"/>
      <c r="E896" s="208"/>
      <c r="F896" s="208"/>
      <c r="G896" s="208"/>
      <c r="H896" s="208"/>
      <c r="I896" s="233"/>
      <c r="J896" s="208"/>
      <c r="K896" s="208"/>
      <c r="L896" s="208"/>
      <c r="M896" s="208"/>
      <c r="N896" s="208"/>
      <c r="O896" s="208"/>
      <c r="P896" s="208"/>
      <c r="Q896" s="208"/>
      <c r="R896" s="208"/>
      <c r="S896" s="208"/>
      <c r="T896" s="208"/>
      <c r="U896" s="208"/>
      <c r="V896" s="208"/>
      <c r="W896" s="232"/>
      <c r="X896" s="232"/>
      <c r="Y896" s="232"/>
      <c r="Z896" s="232"/>
      <c r="AA896" s="232"/>
      <c r="AB896" s="232"/>
      <c r="AC896" s="232"/>
      <c r="AD896" s="232"/>
      <c r="AE896" s="232"/>
      <c r="AF896" s="232"/>
      <c r="AG896" s="208"/>
      <c r="AH896" s="208"/>
      <c r="AI896" s="208"/>
      <c r="AJ896" s="208"/>
      <c r="AK896" s="208"/>
    </row>
    <row r="897">
      <c r="A897" s="234"/>
      <c r="B897" s="208"/>
      <c r="C897" s="208"/>
      <c r="D897" s="208"/>
      <c r="E897" s="208"/>
      <c r="F897" s="208"/>
      <c r="G897" s="208"/>
      <c r="H897" s="208"/>
      <c r="I897" s="233"/>
      <c r="J897" s="208"/>
      <c r="K897" s="208"/>
      <c r="L897" s="208"/>
      <c r="M897" s="208"/>
      <c r="N897" s="208"/>
      <c r="O897" s="208"/>
      <c r="P897" s="208"/>
      <c r="Q897" s="208"/>
      <c r="R897" s="208"/>
      <c r="S897" s="208"/>
      <c r="T897" s="208"/>
      <c r="U897" s="208"/>
      <c r="V897" s="208"/>
      <c r="W897" s="232"/>
      <c r="X897" s="232"/>
      <c r="Y897" s="232"/>
      <c r="Z897" s="232"/>
      <c r="AA897" s="232"/>
      <c r="AB897" s="232"/>
      <c r="AC897" s="232"/>
      <c r="AD897" s="232"/>
      <c r="AE897" s="232"/>
      <c r="AF897" s="232"/>
      <c r="AG897" s="208"/>
      <c r="AH897" s="208"/>
      <c r="AI897" s="208"/>
      <c r="AJ897" s="208"/>
      <c r="AK897" s="208"/>
    </row>
    <row r="898">
      <c r="A898" s="234"/>
      <c r="B898" s="208"/>
      <c r="C898" s="208"/>
      <c r="D898" s="208"/>
      <c r="E898" s="208"/>
      <c r="F898" s="208"/>
      <c r="G898" s="208"/>
      <c r="H898" s="208"/>
      <c r="I898" s="233"/>
      <c r="J898" s="208"/>
      <c r="K898" s="208"/>
      <c r="L898" s="208"/>
      <c r="M898" s="208"/>
      <c r="N898" s="208"/>
      <c r="O898" s="208"/>
      <c r="P898" s="208"/>
      <c r="Q898" s="208"/>
      <c r="R898" s="208"/>
      <c r="S898" s="208"/>
      <c r="T898" s="208"/>
      <c r="U898" s="208"/>
      <c r="V898" s="208"/>
      <c r="W898" s="232"/>
      <c r="X898" s="232"/>
      <c r="Y898" s="232"/>
      <c r="Z898" s="232"/>
      <c r="AA898" s="232"/>
      <c r="AB898" s="232"/>
      <c r="AC898" s="232"/>
      <c r="AD898" s="232"/>
      <c r="AE898" s="232"/>
      <c r="AF898" s="232"/>
      <c r="AG898" s="208"/>
      <c r="AH898" s="208"/>
      <c r="AI898" s="208"/>
      <c r="AJ898" s="208"/>
      <c r="AK898" s="208"/>
    </row>
    <row r="899">
      <c r="A899" s="234"/>
      <c r="B899" s="208"/>
      <c r="C899" s="208"/>
      <c r="D899" s="208"/>
      <c r="E899" s="208"/>
      <c r="F899" s="208"/>
      <c r="G899" s="208"/>
      <c r="H899" s="208"/>
      <c r="I899" s="233"/>
      <c r="J899" s="208"/>
      <c r="K899" s="208"/>
      <c r="L899" s="208"/>
      <c r="M899" s="208"/>
      <c r="N899" s="208"/>
      <c r="O899" s="208"/>
      <c r="P899" s="208"/>
      <c r="Q899" s="208"/>
      <c r="R899" s="208"/>
      <c r="S899" s="208"/>
      <c r="T899" s="208"/>
      <c r="U899" s="208"/>
      <c r="V899" s="208"/>
      <c r="W899" s="232"/>
      <c r="X899" s="232"/>
      <c r="Y899" s="232"/>
      <c r="Z899" s="232"/>
      <c r="AA899" s="232"/>
      <c r="AB899" s="232"/>
      <c r="AC899" s="232"/>
      <c r="AD899" s="232"/>
      <c r="AE899" s="232"/>
      <c r="AF899" s="232"/>
      <c r="AG899" s="208"/>
      <c r="AH899" s="208"/>
      <c r="AI899" s="208"/>
      <c r="AJ899" s="208"/>
      <c r="AK899" s="208"/>
    </row>
    <row r="900">
      <c r="A900" s="234"/>
      <c r="B900" s="208"/>
      <c r="C900" s="208"/>
      <c r="D900" s="208"/>
      <c r="E900" s="208"/>
      <c r="F900" s="208"/>
      <c r="G900" s="208"/>
      <c r="H900" s="208"/>
      <c r="I900" s="233"/>
      <c r="J900" s="208"/>
      <c r="K900" s="208"/>
      <c r="L900" s="208"/>
      <c r="M900" s="208"/>
      <c r="N900" s="208"/>
      <c r="O900" s="208"/>
      <c r="P900" s="208"/>
      <c r="Q900" s="208"/>
      <c r="R900" s="208"/>
      <c r="S900" s="208"/>
      <c r="T900" s="208"/>
      <c r="U900" s="208"/>
      <c r="V900" s="208"/>
      <c r="W900" s="232"/>
      <c r="X900" s="232"/>
      <c r="Y900" s="232"/>
      <c r="Z900" s="232"/>
      <c r="AA900" s="232"/>
      <c r="AB900" s="232"/>
      <c r="AC900" s="232"/>
      <c r="AD900" s="232"/>
      <c r="AE900" s="232"/>
      <c r="AF900" s="232"/>
      <c r="AG900" s="208"/>
      <c r="AH900" s="208"/>
      <c r="AI900" s="208"/>
      <c r="AJ900" s="208"/>
      <c r="AK900" s="208"/>
    </row>
    <row r="901">
      <c r="A901" s="234"/>
      <c r="B901" s="208"/>
      <c r="C901" s="208"/>
      <c r="D901" s="208"/>
      <c r="E901" s="208"/>
      <c r="F901" s="208"/>
      <c r="G901" s="208"/>
      <c r="H901" s="208"/>
      <c r="I901" s="233"/>
      <c r="J901" s="208"/>
      <c r="K901" s="208"/>
      <c r="L901" s="208"/>
      <c r="M901" s="208"/>
      <c r="N901" s="208"/>
      <c r="O901" s="208"/>
      <c r="P901" s="208"/>
      <c r="Q901" s="208"/>
      <c r="R901" s="208"/>
      <c r="S901" s="208"/>
      <c r="T901" s="208"/>
      <c r="U901" s="208"/>
      <c r="V901" s="208"/>
      <c r="W901" s="232"/>
      <c r="X901" s="232"/>
      <c r="Y901" s="232"/>
      <c r="Z901" s="232"/>
      <c r="AA901" s="232"/>
      <c r="AB901" s="232"/>
      <c r="AC901" s="232"/>
      <c r="AD901" s="232"/>
      <c r="AE901" s="232"/>
      <c r="AF901" s="232"/>
      <c r="AG901" s="208"/>
      <c r="AH901" s="208"/>
      <c r="AI901" s="208"/>
      <c r="AJ901" s="208"/>
      <c r="AK901" s="208"/>
    </row>
    <row r="902">
      <c r="A902" s="234"/>
      <c r="B902" s="208"/>
      <c r="C902" s="208"/>
      <c r="D902" s="208"/>
      <c r="E902" s="208"/>
      <c r="F902" s="208"/>
      <c r="G902" s="208"/>
      <c r="H902" s="208"/>
      <c r="I902" s="233"/>
      <c r="J902" s="208"/>
      <c r="K902" s="208"/>
      <c r="L902" s="208"/>
      <c r="M902" s="208"/>
      <c r="N902" s="208"/>
      <c r="O902" s="208"/>
      <c r="P902" s="208"/>
      <c r="Q902" s="208"/>
      <c r="R902" s="208"/>
      <c r="S902" s="208"/>
      <c r="T902" s="208"/>
      <c r="U902" s="208"/>
      <c r="V902" s="208"/>
      <c r="W902" s="232"/>
      <c r="X902" s="232"/>
      <c r="Y902" s="232"/>
      <c r="Z902" s="232"/>
      <c r="AA902" s="232"/>
      <c r="AB902" s="232"/>
      <c r="AC902" s="232"/>
      <c r="AD902" s="232"/>
      <c r="AE902" s="232"/>
      <c r="AF902" s="232"/>
      <c r="AG902" s="208"/>
      <c r="AH902" s="208"/>
      <c r="AI902" s="208"/>
      <c r="AJ902" s="208"/>
      <c r="AK902" s="208"/>
    </row>
    <row r="903">
      <c r="A903" s="234"/>
      <c r="B903" s="208"/>
      <c r="C903" s="208"/>
      <c r="D903" s="208"/>
      <c r="E903" s="208"/>
      <c r="F903" s="208"/>
      <c r="G903" s="208"/>
      <c r="H903" s="208"/>
      <c r="I903" s="233"/>
      <c r="J903" s="208"/>
      <c r="K903" s="208"/>
      <c r="L903" s="208"/>
      <c r="M903" s="208"/>
      <c r="N903" s="208"/>
      <c r="O903" s="208"/>
      <c r="P903" s="208"/>
      <c r="Q903" s="208"/>
      <c r="R903" s="208"/>
      <c r="S903" s="208"/>
      <c r="T903" s="208"/>
      <c r="U903" s="208"/>
      <c r="V903" s="208"/>
      <c r="W903" s="232"/>
      <c r="X903" s="232"/>
      <c r="Y903" s="232"/>
      <c r="Z903" s="232"/>
      <c r="AA903" s="232"/>
      <c r="AB903" s="232"/>
      <c r="AC903" s="232"/>
      <c r="AD903" s="232"/>
      <c r="AE903" s="232"/>
      <c r="AF903" s="232"/>
      <c r="AG903" s="208"/>
      <c r="AH903" s="208"/>
      <c r="AI903" s="208"/>
      <c r="AJ903" s="208"/>
      <c r="AK903" s="208"/>
    </row>
    <row r="904">
      <c r="A904" s="234"/>
      <c r="B904" s="208"/>
      <c r="C904" s="208"/>
      <c r="D904" s="208"/>
      <c r="E904" s="208"/>
      <c r="F904" s="208"/>
      <c r="G904" s="208"/>
      <c r="H904" s="208"/>
      <c r="I904" s="233"/>
      <c r="J904" s="208"/>
      <c r="K904" s="208"/>
      <c r="L904" s="208"/>
      <c r="M904" s="208"/>
      <c r="N904" s="208"/>
      <c r="O904" s="208"/>
      <c r="P904" s="208"/>
      <c r="Q904" s="208"/>
      <c r="R904" s="208"/>
      <c r="S904" s="208"/>
      <c r="T904" s="208"/>
      <c r="U904" s="208"/>
      <c r="V904" s="208"/>
      <c r="W904" s="232"/>
      <c r="X904" s="232"/>
      <c r="Y904" s="232"/>
      <c r="Z904" s="232"/>
      <c r="AA904" s="232"/>
      <c r="AB904" s="232"/>
      <c r="AC904" s="232"/>
      <c r="AD904" s="232"/>
      <c r="AE904" s="232"/>
      <c r="AF904" s="232"/>
      <c r="AG904" s="208"/>
      <c r="AH904" s="208"/>
      <c r="AI904" s="208"/>
      <c r="AJ904" s="208"/>
      <c r="AK904" s="208"/>
    </row>
    <row r="905">
      <c r="A905" s="234"/>
      <c r="B905" s="208"/>
      <c r="C905" s="208"/>
      <c r="D905" s="208"/>
      <c r="E905" s="208"/>
      <c r="F905" s="208"/>
      <c r="G905" s="208"/>
      <c r="H905" s="208"/>
      <c r="I905" s="233"/>
      <c r="J905" s="208"/>
      <c r="K905" s="208"/>
      <c r="L905" s="208"/>
      <c r="M905" s="208"/>
      <c r="N905" s="208"/>
      <c r="O905" s="208"/>
      <c r="P905" s="208"/>
      <c r="Q905" s="208"/>
      <c r="R905" s="208"/>
      <c r="S905" s="208"/>
      <c r="T905" s="208"/>
      <c r="U905" s="208"/>
      <c r="V905" s="208"/>
      <c r="W905" s="232"/>
      <c r="X905" s="232"/>
      <c r="Y905" s="232"/>
      <c r="Z905" s="232"/>
      <c r="AA905" s="232"/>
      <c r="AB905" s="232"/>
      <c r="AC905" s="232"/>
      <c r="AD905" s="232"/>
      <c r="AE905" s="232"/>
      <c r="AF905" s="232"/>
      <c r="AG905" s="208"/>
      <c r="AH905" s="208"/>
      <c r="AI905" s="208"/>
      <c r="AJ905" s="208"/>
      <c r="AK905" s="208"/>
    </row>
    <row r="906">
      <c r="A906" s="234"/>
      <c r="B906" s="208"/>
      <c r="C906" s="208"/>
      <c r="D906" s="208"/>
      <c r="E906" s="208"/>
      <c r="F906" s="208"/>
      <c r="G906" s="208"/>
      <c r="H906" s="208"/>
      <c r="I906" s="233"/>
      <c r="J906" s="208"/>
      <c r="K906" s="208"/>
      <c r="L906" s="208"/>
      <c r="M906" s="208"/>
      <c r="N906" s="208"/>
      <c r="O906" s="208"/>
      <c r="P906" s="208"/>
      <c r="Q906" s="208"/>
      <c r="R906" s="208"/>
      <c r="S906" s="208"/>
      <c r="T906" s="208"/>
      <c r="U906" s="208"/>
      <c r="V906" s="208"/>
      <c r="W906" s="232"/>
      <c r="X906" s="232"/>
      <c r="Y906" s="232"/>
      <c r="Z906" s="232"/>
      <c r="AA906" s="232"/>
      <c r="AB906" s="232"/>
      <c r="AC906" s="232"/>
      <c r="AD906" s="232"/>
      <c r="AE906" s="232"/>
      <c r="AF906" s="232"/>
      <c r="AG906" s="208"/>
      <c r="AH906" s="208"/>
      <c r="AI906" s="208"/>
      <c r="AJ906" s="208"/>
      <c r="AK906" s="208"/>
    </row>
    <row r="907">
      <c r="A907" s="234"/>
      <c r="B907" s="208"/>
      <c r="C907" s="208"/>
      <c r="D907" s="208"/>
      <c r="E907" s="208"/>
      <c r="F907" s="208"/>
      <c r="G907" s="208"/>
      <c r="H907" s="208"/>
      <c r="I907" s="233"/>
      <c r="J907" s="208"/>
      <c r="K907" s="208"/>
      <c r="L907" s="208"/>
      <c r="M907" s="208"/>
      <c r="N907" s="208"/>
      <c r="O907" s="208"/>
      <c r="P907" s="208"/>
      <c r="Q907" s="208"/>
      <c r="R907" s="208"/>
      <c r="S907" s="208"/>
      <c r="T907" s="208"/>
      <c r="U907" s="208"/>
      <c r="V907" s="208"/>
      <c r="W907" s="232"/>
      <c r="X907" s="232"/>
      <c r="Y907" s="232"/>
      <c r="Z907" s="232"/>
      <c r="AA907" s="232"/>
      <c r="AB907" s="232"/>
      <c r="AC907" s="232"/>
      <c r="AD907" s="232"/>
      <c r="AE907" s="232"/>
      <c r="AF907" s="232"/>
      <c r="AG907" s="208"/>
      <c r="AH907" s="208"/>
      <c r="AI907" s="208"/>
      <c r="AJ907" s="208"/>
      <c r="AK907" s="208"/>
    </row>
    <row r="908">
      <c r="A908" s="234"/>
      <c r="B908" s="208"/>
      <c r="C908" s="208"/>
      <c r="D908" s="208"/>
      <c r="E908" s="208"/>
      <c r="F908" s="208"/>
      <c r="G908" s="208"/>
      <c r="H908" s="208"/>
      <c r="I908" s="233"/>
      <c r="J908" s="208"/>
      <c r="K908" s="208"/>
      <c r="L908" s="208"/>
      <c r="M908" s="208"/>
      <c r="N908" s="208"/>
      <c r="O908" s="208"/>
      <c r="P908" s="208"/>
      <c r="Q908" s="208"/>
      <c r="R908" s="208"/>
      <c r="S908" s="208"/>
      <c r="T908" s="208"/>
      <c r="U908" s="208"/>
      <c r="V908" s="208"/>
      <c r="W908" s="232"/>
      <c r="X908" s="232"/>
      <c r="Y908" s="232"/>
      <c r="Z908" s="232"/>
      <c r="AA908" s="232"/>
      <c r="AB908" s="232"/>
      <c r="AC908" s="232"/>
      <c r="AD908" s="232"/>
      <c r="AE908" s="232"/>
      <c r="AF908" s="232"/>
      <c r="AG908" s="208"/>
      <c r="AH908" s="208"/>
      <c r="AI908" s="208"/>
      <c r="AJ908" s="208"/>
      <c r="AK908" s="208"/>
    </row>
    <row r="909">
      <c r="A909" s="234"/>
      <c r="B909" s="208"/>
      <c r="C909" s="208"/>
      <c r="D909" s="208"/>
      <c r="E909" s="208"/>
      <c r="F909" s="208"/>
      <c r="G909" s="208"/>
      <c r="H909" s="208"/>
      <c r="I909" s="233"/>
      <c r="J909" s="208"/>
      <c r="K909" s="208"/>
      <c r="L909" s="208"/>
      <c r="M909" s="208"/>
      <c r="N909" s="208"/>
      <c r="O909" s="208"/>
      <c r="P909" s="208"/>
      <c r="Q909" s="208"/>
      <c r="R909" s="208"/>
      <c r="S909" s="208"/>
      <c r="T909" s="208"/>
      <c r="U909" s="208"/>
      <c r="V909" s="208"/>
      <c r="W909" s="232"/>
      <c r="X909" s="232"/>
      <c r="Y909" s="232"/>
      <c r="Z909" s="232"/>
      <c r="AA909" s="232"/>
      <c r="AB909" s="232"/>
      <c r="AC909" s="232"/>
      <c r="AD909" s="232"/>
      <c r="AE909" s="232"/>
      <c r="AF909" s="232"/>
      <c r="AG909" s="208"/>
      <c r="AH909" s="208"/>
      <c r="AI909" s="208"/>
      <c r="AJ909" s="208"/>
      <c r="AK909" s="208"/>
    </row>
    <row r="910">
      <c r="A910" s="234"/>
      <c r="B910" s="208"/>
      <c r="C910" s="208"/>
      <c r="D910" s="208"/>
      <c r="E910" s="208"/>
      <c r="F910" s="208"/>
      <c r="G910" s="208"/>
      <c r="H910" s="208"/>
      <c r="I910" s="233"/>
      <c r="J910" s="208"/>
      <c r="K910" s="208"/>
      <c r="L910" s="208"/>
      <c r="M910" s="208"/>
      <c r="N910" s="208"/>
      <c r="O910" s="208"/>
      <c r="P910" s="208"/>
      <c r="Q910" s="208"/>
      <c r="R910" s="208"/>
      <c r="S910" s="208"/>
      <c r="T910" s="208"/>
      <c r="U910" s="208"/>
      <c r="V910" s="208"/>
      <c r="W910" s="232"/>
      <c r="X910" s="232"/>
      <c r="Y910" s="232"/>
      <c r="Z910" s="232"/>
      <c r="AA910" s="232"/>
      <c r="AB910" s="232"/>
      <c r="AC910" s="232"/>
      <c r="AD910" s="232"/>
      <c r="AE910" s="232"/>
      <c r="AF910" s="232"/>
      <c r="AG910" s="208"/>
      <c r="AH910" s="208"/>
      <c r="AI910" s="208"/>
      <c r="AJ910" s="208"/>
      <c r="AK910" s="208"/>
    </row>
    <row r="911">
      <c r="A911" s="234"/>
      <c r="B911" s="208"/>
      <c r="C911" s="208"/>
      <c r="D911" s="208"/>
      <c r="E911" s="208"/>
      <c r="F911" s="208"/>
      <c r="G911" s="208"/>
      <c r="H911" s="208"/>
      <c r="I911" s="233"/>
      <c r="J911" s="208"/>
      <c r="K911" s="208"/>
      <c r="L911" s="208"/>
      <c r="M911" s="208"/>
      <c r="N911" s="208"/>
      <c r="O911" s="208"/>
      <c r="P911" s="208"/>
      <c r="Q911" s="208"/>
      <c r="R911" s="208"/>
      <c r="S911" s="208"/>
      <c r="T911" s="208"/>
      <c r="U911" s="208"/>
      <c r="V911" s="208"/>
      <c r="W911" s="232"/>
      <c r="X911" s="232"/>
      <c r="Y911" s="232"/>
      <c r="Z911" s="232"/>
      <c r="AA911" s="232"/>
      <c r="AB911" s="232"/>
      <c r="AC911" s="232"/>
      <c r="AD911" s="232"/>
      <c r="AE911" s="232"/>
      <c r="AF911" s="232"/>
      <c r="AG911" s="208"/>
      <c r="AH911" s="208"/>
      <c r="AI911" s="208"/>
      <c r="AJ911" s="208"/>
      <c r="AK911" s="208"/>
    </row>
    <row r="912">
      <c r="A912" s="234"/>
      <c r="B912" s="208"/>
      <c r="C912" s="208"/>
      <c r="D912" s="208"/>
      <c r="E912" s="208"/>
      <c r="F912" s="208"/>
      <c r="G912" s="208"/>
      <c r="H912" s="208"/>
      <c r="I912" s="233"/>
      <c r="J912" s="208"/>
      <c r="K912" s="208"/>
      <c r="L912" s="208"/>
      <c r="M912" s="208"/>
      <c r="N912" s="208"/>
      <c r="O912" s="208"/>
      <c r="P912" s="208"/>
      <c r="Q912" s="208"/>
      <c r="R912" s="208"/>
      <c r="S912" s="208"/>
      <c r="T912" s="208"/>
      <c r="U912" s="208"/>
      <c r="V912" s="208"/>
      <c r="W912" s="232"/>
      <c r="X912" s="232"/>
      <c r="Y912" s="232"/>
      <c r="Z912" s="232"/>
      <c r="AA912" s="232"/>
      <c r="AB912" s="232"/>
      <c r="AC912" s="232"/>
      <c r="AD912" s="232"/>
      <c r="AE912" s="232"/>
      <c r="AF912" s="232"/>
      <c r="AG912" s="208"/>
      <c r="AH912" s="208"/>
      <c r="AI912" s="208"/>
      <c r="AJ912" s="208"/>
      <c r="AK912" s="208"/>
    </row>
    <row r="913">
      <c r="A913" s="234"/>
      <c r="B913" s="208"/>
      <c r="C913" s="208"/>
      <c r="D913" s="208"/>
      <c r="E913" s="208"/>
      <c r="F913" s="208"/>
      <c r="G913" s="208"/>
      <c r="H913" s="208"/>
      <c r="I913" s="233"/>
      <c r="J913" s="208"/>
      <c r="K913" s="208"/>
      <c r="L913" s="208"/>
      <c r="M913" s="208"/>
      <c r="N913" s="208"/>
      <c r="O913" s="208"/>
      <c r="P913" s="208"/>
      <c r="Q913" s="208"/>
      <c r="R913" s="208"/>
      <c r="S913" s="208"/>
      <c r="T913" s="208"/>
      <c r="U913" s="208"/>
      <c r="V913" s="208"/>
      <c r="W913" s="232"/>
      <c r="X913" s="232"/>
      <c r="Y913" s="232"/>
      <c r="Z913" s="232"/>
      <c r="AA913" s="232"/>
      <c r="AB913" s="232"/>
      <c r="AC913" s="232"/>
      <c r="AD913" s="232"/>
      <c r="AE913" s="232"/>
      <c r="AF913" s="232"/>
      <c r="AG913" s="208"/>
      <c r="AH913" s="208"/>
      <c r="AI913" s="208"/>
      <c r="AJ913" s="208"/>
      <c r="AK913" s="208"/>
    </row>
    <row r="914">
      <c r="A914" s="234"/>
      <c r="B914" s="208"/>
      <c r="C914" s="208"/>
      <c r="D914" s="208"/>
      <c r="E914" s="208"/>
      <c r="F914" s="208"/>
      <c r="G914" s="208"/>
      <c r="H914" s="208"/>
      <c r="I914" s="233"/>
      <c r="J914" s="208"/>
      <c r="K914" s="208"/>
      <c r="L914" s="208"/>
      <c r="M914" s="208"/>
      <c r="N914" s="208"/>
      <c r="O914" s="208"/>
      <c r="P914" s="208"/>
      <c r="Q914" s="208"/>
      <c r="R914" s="208"/>
      <c r="S914" s="208"/>
      <c r="T914" s="208"/>
      <c r="U914" s="208"/>
      <c r="V914" s="208"/>
      <c r="W914" s="232"/>
      <c r="X914" s="232"/>
      <c r="Y914" s="232"/>
      <c r="Z914" s="232"/>
      <c r="AA914" s="232"/>
      <c r="AB914" s="232"/>
      <c r="AC914" s="232"/>
      <c r="AD914" s="232"/>
      <c r="AE914" s="232"/>
      <c r="AF914" s="232"/>
      <c r="AG914" s="208"/>
      <c r="AH914" s="208"/>
      <c r="AI914" s="208"/>
      <c r="AJ914" s="208"/>
      <c r="AK914" s="208"/>
    </row>
    <row r="915">
      <c r="A915" s="234"/>
      <c r="B915" s="208"/>
      <c r="C915" s="208"/>
      <c r="D915" s="208"/>
      <c r="E915" s="208"/>
      <c r="F915" s="208"/>
      <c r="G915" s="208"/>
      <c r="H915" s="208"/>
      <c r="I915" s="233"/>
      <c r="J915" s="208"/>
      <c r="K915" s="208"/>
      <c r="L915" s="208"/>
      <c r="M915" s="208"/>
      <c r="N915" s="208"/>
      <c r="O915" s="208"/>
      <c r="P915" s="208"/>
      <c r="Q915" s="208"/>
      <c r="R915" s="208"/>
      <c r="S915" s="208"/>
      <c r="T915" s="208"/>
      <c r="U915" s="208"/>
      <c r="V915" s="208"/>
      <c r="W915" s="232"/>
      <c r="X915" s="232"/>
      <c r="Y915" s="232"/>
      <c r="Z915" s="232"/>
      <c r="AA915" s="232"/>
      <c r="AB915" s="232"/>
      <c r="AC915" s="232"/>
      <c r="AD915" s="232"/>
      <c r="AE915" s="232"/>
      <c r="AF915" s="232"/>
      <c r="AG915" s="208"/>
      <c r="AH915" s="208"/>
      <c r="AI915" s="208"/>
      <c r="AJ915" s="208"/>
      <c r="AK915" s="208"/>
    </row>
    <row r="916">
      <c r="A916" s="234"/>
      <c r="B916" s="208"/>
      <c r="C916" s="208"/>
      <c r="D916" s="208"/>
      <c r="E916" s="208"/>
      <c r="F916" s="208"/>
      <c r="G916" s="208"/>
      <c r="H916" s="208"/>
      <c r="I916" s="233"/>
      <c r="J916" s="208"/>
      <c r="K916" s="208"/>
      <c r="L916" s="208"/>
      <c r="M916" s="208"/>
      <c r="N916" s="208"/>
      <c r="O916" s="208"/>
      <c r="P916" s="208"/>
      <c r="Q916" s="208"/>
      <c r="R916" s="208"/>
      <c r="S916" s="208"/>
      <c r="T916" s="208"/>
      <c r="U916" s="208"/>
      <c r="V916" s="208"/>
      <c r="W916" s="232"/>
      <c r="X916" s="232"/>
      <c r="Y916" s="232"/>
      <c r="Z916" s="232"/>
      <c r="AA916" s="232"/>
      <c r="AB916" s="232"/>
      <c r="AC916" s="232"/>
      <c r="AD916" s="232"/>
      <c r="AE916" s="232"/>
      <c r="AF916" s="232"/>
      <c r="AG916" s="208"/>
      <c r="AH916" s="208"/>
      <c r="AI916" s="208"/>
      <c r="AJ916" s="208"/>
      <c r="AK916" s="208"/>
    </row>
    <row r="917">
      <c r="A917" s="234"/>
      <c r="B917" s="208"/>
      <c r="C917" s="208"/>
      <c r="D917" s="208"/>
      <c r="E917" s="208"/>
      <c r="F917" s="208"/>
      <c r="G917" s="208"/>
      <c r="H917" s="208"/>
      <c r="I917" s="233"/>
      <c r="J917" s="208"/>
      <c r="K917" s="208"/>
      <c r="L917" s="208"/>
      <c r="M917" s="208"/>
      <c r="N917" s="208"/>
      <c r="O917" s="208"/>
      <c r="P917" s="208"/>
      <c r="Q917" s="208"/>
      <c r="R917" s="208"/>
      <c r="S917" s="208"/>
      <c r="T917" s="208"/>
      <c r="U917" s="208"/>
      <c r="V917" s="208"/>
      <c r="W917" s="232"/>
      <c r="X917" s="232"/>
      <c r="Y917" s="232"/>
      <c r="Z917" s="232"/>
      <c r="AA917" s="232"/>
      <c r="AB917" s="232"/>
      <c r="AC917" s="232"/>
      <c r="AD917" s="232"/>
      <c r="AE917" s="232"/>
      <c r="AF917" s="232"/>
      <c r="AG917" s="208"/>
      <c r="AH917" s="208"/>
      <c r="AI917" s="208"/>
      <c r="AJ917" s="208"/>
      <c r="AK917" s="208"/>
    </row>
    <row r="918">
      <c r="A918" s="234"/>
      <c r="B918" s="208"/>
      <c r="C918" s="208"/>
      <c r="D918" s="208"/>
      <c r="E918" s="208"/>
      <c r="F918" s="208"/>
      <c r="G918" s="208"/>
      <c r="H918" s="208"/>
      <c r="I918" s="233"/>
      <c r="J918" s="208"/>
      <c r="K918" s="208"/>
      <c r="L918" s="208"/>
      <c r="M918" s="208"/>
      <c r="N918" s="208"/>
      <c r="O918" s="208"/>
      <c r="P918" s="208"/>
      <c r="Q918" s="208"/>
      <c r="R918" s="208"/>
      <c r="S918" s="208"/>
      <c r="T918" s="208"/>
      <c r="U918" s="208"/>
      <c r="V918" s="208"/>
      <c r="W918" s="232"/>
      <c r="X918" s="232"/>
      <c r="Y918" s="232"/>
      <c r="Z918" s="232"/>
      <c r="AA918" s="232"/>
      <c r="AB918" s="232"/>
      <c r="AC918" s="232"/>
      <c r="AD918" s="232"/>
      <c r="AE918" s="232"/>
      <c r="AF918" s="232"/>
      <c r="AG918" s="208"/>
      <c r="AH918" s="208"/>
      <c r="AI918" s="208"/>
      <c r="AJ918" s="208"/>
      <c r="AK918" s="208"/>
    </row>
    <row r="919">
      <c r="A919" s="234"/>
      <c r="B919" s="208"/>
      <c r="C919" s="208"/>
      <c r="D919" s="208"/>
      <c r="E919" s="208"/>
      <c r="F919" s="208"/>
      <c r="G919" s="208"/>
      <c r="H919" s="208"/>
      <c r="I919" s="233"/>
      <c r="J919" s="208"/>
      <c r="K919" s="208"/>
      <c r="L919" s="208"/>
      <c r="M919" s="208"/>
      <c r="N919" s="208"/>
      <c r="O919" s="208"/>
      <c r="P919" s="208"/>
      <c r="Q919" s="208"/>
      <c r="R919" s="208"/>
      <c r="S919" s="208"/>
      <c r="T919" s="208"/>
      <c r="U919" s="208"/>
      <c r="V919" s="208"/>
      <c r="W919" s="232"/>
      <c r="X919" s="232"/>
      <c r="Y919" s="232"/>
      <c r="Z919" s="232"/>
      <c r="AA919" s="232"/>
      <c r="AB919" s="232"/>
      <c r="AC919" s="232"/>
      <c r="AD919" s="232"/>
      <c r="AE919" s="232"/>
      <c r="AF919" s="232"/>
      <c r="AG919" s="208"/>
      <c r="AH919" s="208"/>
      <c r="AI919" s="208"/>
      <c r="AJ919" s="208"/>
      <c r="AK919" s="208"/>
    </row>
    <row r="920">
      <c r="A920" s="234"/>
      <c r="B920" s="208"/>
      <c r="C920" s="208"/>
      <c r="D920" s="208"/>
      <c r="E920" s="208"/>
      <c r="F920" s="208"/>
      <c r="G920" s="208"/>
      <c r="H920" s="208"/>
      <c r="I920" s="233"/>
      <c r="J920" s="208"/>
      <c r="K920" s="208"/>
      <c r="L920" s="208"/>
      <c r="M920" s="208"/>
      <c r="N920" s="208"/>
      <c r="O920" s="208"/>
      <c r="P920" s="208"/>
      <c r="Q920" s="208"/>
      <c r="R920" s="208"/>
      <c r="S920" s="208"/>
      <c r="T920" s="208"/>
      <c r="U920" s="208"/>
      <c r="V920" s="208"/>
      <c r="W920" s="232"/>
      <c r="X920" s="232"/>
      <c r="Y920" s="232"/>
      <c r="Z920" s="232"/>
      <c r="AA920" s="232"/>
      <c r="AB920" s="232"/>
      <c r="AC920" s="232"/>
      <c r="AD920" s="232"/>
      <c r="AE920" s="232"/>
      <c r="AF920" s="232"/>
      <c r="AG920" s="208"/>
      <c r="AH920" s="208"/>
      <c r="AI920" s="208"/>
      <c r="AJ920" s="208"/>
      <c r="AK920" s="208"/>
    </row>
    <row r="921">
      <c r="A921" s="234"/>
      <c r="B921" s="208"/>
      <c r="C921" s="208"/>
      <c r="D921" s="208"/>
      <c r="E921" s="208"/>
      <c r="F921" s="208"/>
      <c r="G921" s="208"/>
      <c r="H921" s="208"/>
      <c r="I921" s="233"/>
      <c r="J921" s="208"/>
      <c r="K921" s="208"/>
      <c r="L921" s="208"/>
      <c r="M921" s="208"/>
      <c r="N921" s="208"/>
      <c r="O921" s="208"/>
      <c r="P921" s="208"/>
      <c r="Q921" s="208"/>
      <c r="R921" s="208"/>
      <c r="S921" s="208"/>
      <c r="T921" s="208"/>
      <c r="U921" s="208"/>
      <c r="V921" s="208"/>
      <c r="W921" s="232"/>
      <c r="X921" s="232"/>
      <c r="Y921" s="232"/>
      <c r="Z921" s="232"/>
      <c r="AA921" s="232"/>
      <c r="AB921" s="232"/>
      <c r="AC921" s="232"/>
      <c r="AD921" s="232"/>
      <c r="AE921" s="232"/>
      <c r="AF921" s="232"/>
      <c r="AG921" s="208"/>
      <c r="AH921" s="208"/>
      <c r="AI921" s="208"/>
      <c r="AJ921" s="208"/>
      <c r="AK921" s="208"/>
    </row>
    <row r="922">
      <c r="A922" s="234"/>
      <c r="B922" s="208"/>
      <c r="C922" s="208"/>
      <c r="D922" s="208"/>
      <c r="E922" s="208"/>
      <c r="F922" s="208"/>
      <c r="G922" s="208"/>
      <c r="H922" s="208"/>
      <c r="I922" s="233"/>
      <c r="J922" s="208"/>
      <c r="K922" s="208"/>
      <c r="L922" s="208"/>
      <c r="M922" s="208"/>
      <c r="N922" s="208"/>
      <c r="O922" s="208"/>
      <c r="P922" s="208"/>
      <c r="Q922" s="208"/>
      <c r="R922" s="208"/>
      <c r="S922" s="208"/>
      <c r="T922" s="208"/>
      <c r="U922" s="208"/>
      <c r="V922" s="208"/>
      <c r="W922" s="232"/>
      <c r="X922" s="232"/>
      <c r="Y922" s="232"/>
      <c r="Z922" s="232"/>
      <c r="AA922" s="232"/>
      <c r="AB922" s="232"/>
      <c r="AC922" s="232"/>
      <c r="AD922" s="232"/>
      <c r="AE922" s="232"/>
      <c r="AF922" s="232"/>
      <c r="AG922" s="208"/>
      <c r="AH922" s="208"/>
      <c r="AI922" s="208"/>
      <c r="AJ922" s="208"/>
      <c r="AK922" s="208"/>
    </row>
    <row r="923">
      <c r="A923" s="234"/>
      <c r="B923" s="208"/>
      <c r="C923" s="208"/>
      <c r="D923" s="208"/>
      <c r="E923" s="208"/>
      <c r="F923" s="208"/>
      <c r="G923" s="208"/>
      <c r="H923" s="208"/>
      <c r="I923" s="233"/>
      <c r="J923" s="208"/>
      <c r="K923" s="208"/>
      <c r="L923" s="208"/>
      <c r="M923" s="208"/>
      <c r="N923" s="208"/>
      <c r="O923" s="208"/>
      <c r="P923" s="208"/>
      <c r="Q923" s="208"/>
      <c r="R923" s="208"/>
      <c r="S923" s="208"/>
      <c r="T923" s="208"/>
      <c r="U923" s="208"/>
      <c r="V923" s="208"/>
      <c r="W923" s="232"/>
      <c r="X923" s="232"/>
      <c r="Y923" s="232"/>
      <c r="Z923" s="232"/>
      <c r="AA923" s="232"/>
      <c r="AB923" s="232"/>
      <c r="AC923" s="232"/>
      <c r="AD923" s="232"/>
      <c r="AE923" s="232"/>
      <c r="AF923" s="232"/>
      <c r="AG923" s="208"/>
      <c r="AH923" s="208"/>
      <c r="AI923" s="208"/>
      <c r="AJ923" s="208"/>
      <c r="AK923" s="208"/>
    </row>
    <row r="924">
      <c r="A924" s="234"/>
      <c r="B924" s="208"/>
      <c r="C924" s="208"/>
      <c r="D924" s="208"/>
      <c r="E924" s="208"/>
      <c r="F924" s="208"/>
      <c r="G924" s="208"/>
      <c r="H924" s="208"/>
      <c r="I924" s="233"/>
      <c r="J924" s="208"/>
      <c r="K924" s="208"/>
      <c r="L924" s="208"/>
      <c r="M924" s="208"/>
      <c r="N924" s="208"/>
      <c r="O924" s="208"/>
      <c r="P924" s="208"/>
      <c r="Q924" s="208"/>
      <c r="R924" s="208"/>
      <c r="S924" s="208"/>
      <c r="T924" s="208"/>
      <c r="U924" s="208"/>
      <c r="V924" s="208"/>
      <c r="W924" s="232"/>
      <c r="X924" s="232"/>
      <c r="Y924" s="232"/>
      <c r="Z924" s="232"/>
      <c r="AA924" s="232"/>
      <c r="AB924" s="232"/>
      <c r="AC924" s="232"/>
      <c r="AD924" s="232"/>
      <c r="AE924" s="232"/>
      <c r="AF924" s="232"/>
      <c r="AG924" s="208"/>
      <c r="AH924" s="208"/>
      <c r="AI924" s="208"/>
      <c r="AJ924" s="208"/>
      <c r="AK924" s="208"/>
    </row>
    <row r="925">
      <c r="A925" s="234"/>
      <c r="B925" s="208"/>
      <c r="C925" s="208"/>
      <c r="D925" s="208"/>
      <c r="E925" s="208"/>
      <c r="F925" s="208"/>
      <c r="G925" s="208"/>
      <c r="H925" s="208"/>
      <c r="I925" s="233"/>
      <c r="J925" s="208"/>
      <c r="K925" s="208"/>
      <c r="L925" s="208"/>
      <c r="M925" s="208"/>
      <c r="N925" s="208"/>
      <c r="O925" s="208"/>
      <c r="P925" s="208"/>
      <c r="Q925" s="208"/>
      <c r="R925" s="208"/>
      <c r="S925" s="208"/>
      <c r="T925" s="208"/>
      <c r="U925" s="208"/>
      <c r="V925" s="208"/>
      <c r="W925" s="232"/>
      <c r="X925" s="232"/>
      <c r="Y925" s="232"/>
      <c r="Z925" s="232"/>
      <c r="AA925" s="232"/>
      <c r="AB925" s="232"/>
      <c r="AC925" s="232"/>
      <c r="AD925" s="232"/>
      <c r="AE925" s="232"/>
      <c r="AF925" s="232"/>
      <c r="AG925" s="208"/>
      <c r="AH925" s="208"/>
      <c r="AI925" s="208"/>
      <c r="AJ925" s="208"/>
      <c r="AK925" s="208"/>
    </row>
    <row r="926">
      <c r="A926" s="234"/>
      <c r="B926" s="208"/>
      <c r="C926" s="208"/>
      <c r="D926" s="208"/>
      <c r="E926" s="208"/>
      <c r="F926" s="208"/>
      <c r="G926" s="208"/>
      <c r="H926" s="208"/>
      <c r="I926" s="233"/>
      <c r="J926" s="208"/>
      <c r="K926" s="208"/>
      <c r="L926" s="208"/>
      <c r="M926" s="208"/>
      <c r="N926" s="208"/>
      <c r="O926" s="208"/>
      <c r="P926" s="208"/>
      <c r="Q926" s="208"/>
      <c r="R926" s="208"/>
      <c r="S926" s="208"/>
      <c r="T926" s="208"/>
      <c r="U926" s="208"/>
      <c r="V926" s="208"/>
      <c r="W926" s="232"/>
      <c r="X926" s="232"/>
      <c r="Y926" s="232"/>
      <c r="Z926" s="232"/>
      <c r="AA926" s="232"/>
      <c r="AB926" s="232"/>
      <c r="AC926" s="232"/>
      <c r="AD926" s="232"/>
      <c r="AE926" s="232"/>
      <c r="AF926" s="232"/>
      <c r="AG926" s="208"/>
      <c r="AH926" s="208"/>
      <c r="AI926" s="208"/>
      <c r="AJ926" s="208"/>
      <c r="AK926" s="208"/>
    </row>
    <row r="927">
      <c r="A927" s="234"/>
      <c r="B927" s="208"/>
      <c r="C927" s="208"/>
      <c r="D927" s="208"/>
      <c r="E927" s="208"/>
      <c r="F927" s="208"/>
      <c r="G927" s="208"/>
      <c r="H927" s="208"/>
      <c r="I927" s="233"/>
      <c r="J927" s="208"/>
      <c r="K927" s="208"/>
      <c r="L927" s="208"/>
      <c r="M927" s="208"/>
      <c r="N927" s="208"/>
      <c r="O927" s="208"/>
      <c r="P927" s="208"/>
      <c r="Q927" s="208"/>
      <c r="R927" s="208"/>
      <c r="S927" s="208"/>
      <c r="T927" s="208"/>
      <c r="U927" s="208"/>
      <c r="V927" s="208"/>
      <c r="W927" s="232"/>
      <c r="X927" s="232"/>
      <c r="Y927" s="232"/>
      <c r="Z927" s="232"/>
      <c r="AA927" s="232"/>
      <c r="AB927" s="232"/>
      <c r="AC927" s="232"/>
      <c r="AD927" s="232"/>
      <c r="AE927" s="232"/>
      <c r="AF927" s="232"/>
      <c r="AG927" s="208"/>
      <c r="AH927" s="208"/>
      <c r="AI927" s="208"/>
      <c r="AJ927" s="208"/>
      <c r="AK927" s="208"/>
    </row>
    <row r="928">
      <c r="A928" s="234"/>
      <c r="B928" s="208"/>
      <c r="C928" s="208"/>
      <c r="D928" s="208"/>
      <c r="E928" s="208"/>
      <c r="F928" s="208"/>
      <c r="G928" s="208"/>
      <c r="H928" s="208"/>
      <c r="I928" s="233"/>
      <c r="J928" s="208"/>
      <c r="K928" s="208"/>
      <c r="L928" s="208"/>
      <c r="M928" s="208"/>
      <c r="N928" s="208"/>
      <c r="O928" s="208"/>
      <c r="P928" s="208"/>
      <c r="Q928" s="208"/>
      <c r="R928" s="208"/>
      <c r="S928" s="208"/>
      <c r="T928" s="208"/>
      <c r="U928" s="208"/>
      <c r="V928" s="208"/>
      <c r="W928" s="232"/>
      <c r="X928" s="232"/>
      <c r="Y928" s="232"/>
      <c r="Z928" s="232"/>
      <c r="AA928" s="232"/>
      <c r="AB928" s="232"/>
      <c r="AC928" s="232"/>
      <c r="AD928" s="232"/>
      <c r="AE928" s="232"/>
      <c r="AF928" s="232"/>
      <c r="AG928" s="208"/>
      <c r="AH928" s="208"/>
      <c r="AI928" s="208"/>
      <c r="AJ928" s="208"/>
      <c r="AK928" s="208"/>
    </row>
    <row r="929">
      <c r="A929" s="234"/>
      <c r="B929" s="208"/>
      <c r="C929" s="208"/>
      <c r="D929" s="208"/>
      <c r="E929" s="208"/>
      <c r="F929" s="208"/>
      <c r="G929" s="208"/>
      <c r="H929" s="208"/>
      <c r="I929" s="233"/>
      <c r="J929" s="208"/>
      <c r="K929" s="208"/>
      <c r="L929" s="208"/>
      <c r="M929" s="208"/>
      <c r="N929" s="208"/>
      <c r="O929" s="208"/>
      <c r="P929" s="208"/>
      <c r="Q929" s="208"/>
      <c r="R929" s="208"/>
      <c r="S929" s="208"/>
      <c r="T929" s="208"/>
      <c r="U929" s="208"/>
      <c r="V929" s="208"/>
      <c r="W929" s="232"/>
      <c r="X929" s="232"/>
      <c r="Y929" s="232"/>
      <c r="Z929" s="232"/>
      <c r="AA929" s="232"/>
      <c r="AB929" s="232"/>
      <c r="AC929" s="232"/>
      <c r="AD929" s="232"/>
      <c r="AE929" s="232"/>
      <c r="AF929" s="232"/>
      <c r="AG929" s="208"/>
      <c r="AH929" s="208"/>
      <c r="AI929" s="208"/>
      <c r="AJ929" s="208"/>
      <c r="AK929" s="208"/>
    </row>
    <row r="930">
      <c r="A930" s="234"/>
      <c r="B930" s="208"/>
      <c r="C930" s="208"/>
      <c r="D930" s="208"/>
      <c r="E930" s="208"/>
      <c r="F930" s="208"/>
      <c r="G930" s="208"/>
      <c r="H930" s="208"/>
      <c r="I930" s="233"/>
      <c r="J930" s="208"/>
      <c r="K930" s="208"/>
      <c r="L930" s="208"/>
      <c r="M930" s="208"/>
      <c r="N930" s="208"/>
      <c r="O930" s="208"/>
      <c r="P930" s="208"/>
      <c r="Q930" s="208"/>
      <c r="R930" s="208"/>
      <c r="S930" s="208"/>
      <c r="T930" s="208"/>
      <c r="U930" s="208"/>
      <c r="V930" s="208"/>
      <c r="W930" s="232"/>
      <c r="X930" s="232"/>
      <c r="Y930" s="232"/>
      <c r="Z930" s="232"/>
      <c r="AA930" s="232"/>
      <c r="AB930" s="232"/>
      <c r="AC930" s="232"/>
      <c r="AD930" s="232"/>
      <c r="AE930" s="232"/>
      <c r="AF930" s="232"/>
      <c r="AG930" s="208"/>
      <c r="AH930" s="208"/>
      <c r="AI930" s="208"/>
      <c r="AJ930" s="208"/>
      <c r="AK930" s="208"/>
    </row>
    <row r="931">
      <c r="A931" s="234"/>
      <c r="B931" s="208"/>
      <c r="C931" s="208"/>
      <c r="D931" s="208"/>
      <c r="E931" s="208"/>
      <c r="F931" s="208"/>
      <c r="G931" s="208"/>
      <c r="H931" s="208"/>
      <c r="I931" s="233"/>
      <c r="J931" s="208"/>
      <c r="K931" s="208"/>
      <c r="L931" s="208"/>
      <c r="M931" s="208"/>
      <c r="N931" s="208"/>
      <c r="O931" s="208"/>
      <c r="P931" s="208"/>
      <c r="Q931" s="208"/>
      <c r="R931" s="208"/>
      <c r="S931" s="208"/>
      <c r="T931" s="208"/>
      <c r="U931" s="208"/>
      <c r="V931" s="208"/>
      <c r="W931" s="232"/>
      <c r="X931" s="232"/>
      <c r="Y931" s="232"/>
      <c r="Z931" s="232"/>
      <c r="AA931" s="232"/>
      <c r="AB931" s="232"/>
      <c r="AC931" s="232"/>
      <c r="AD931" s="232"/>
      <c r="AE931" s="232"/>
      <c r="AF931" s="232"/>
      <c r="AG931" s="208"/>
      <c r="AH931" s="208"/>
      <c r="AI931" s="208"/>
      <c r="AJ931" s="208"/>
      <c r="AK931" s="208"/>
    </row>
    <row r="932">
      <c r="A932" s="234"/>
      <c r="B932" s="208"/>
      <c r="C932" s="208"/>
      <c r="D932" s="208"/>
      <c r="E932" s="208"/>
      <c r="F932" s="208"/>
      <c r="G932" s="208"/>
      <c r="H932" s="208"/>
      <c r="I932" s="233"/>
      <c r="J932" s="208"/>
      <c r="K932" s="208"/>
      <c r="L932" s="208"/>
      <c r="M932" s="208"/>
      <c r="N932" s="208"/>
      <c r="O932" s="208"/>
      <c r="P932" s="208"/>
      <c r="Q932" s="208"/>
      <c r="R932" s="208"/>
      <c r="S932" s="208"/>
      <c r="T932" s="208"/>
      <c r="U932" s="208"/>
      <c r="V932" s="208"/>
      <c r="W932" s="232"/>
      <c r="X932" s="232"/>
      <c r="Y932" s="232"/>
      <c r="Z932" s="232"/>
      <c r="AA932" s="232"/>
      <c r="AB932" s="232"/>
      <c r="AC932" s="232"/>
      <c r="AD932" s="232"/>
      <c r="AE932" s="232"/>
      <c r="AF932" s="232"/>
      <c r="AG932" s="208"/>
      <c r="AH932" s="208"/>
      <c r="AI932" s="208"/>
      <c r="AJ932" s="208"/>
      <c r="AK932" s="208"/>
    </row>
    <row r="933">
      <c r="A933" s="234"/>
      <c r="B933" s="208"/>
      <c r="C933" s="208"/>
      <c r="D933" s="208"/>
      <c r="E933" s="208"/>
      <c r="F933" s="208"/>
      <c r="G933" s="208"/>
      <c r="H933" s="208"/>
      <c r="I933" s="233"/>
      <c r="J933" s="208"/>
      <c r="K933" s="208"/>
      <c r="L933" s="208"/>
      <c r="M933" s="208"/>
      <c r="N933" s="208"/>
      <c r="O933" s="208"/>
      <c r="P933" s="208"/>
      <c r="Q933" s="208"/>
      <c r="R933" s="208"/>
      <c r="S933" s="208"/>
      <c r="T933" s="208"/>
      <c r="U933" s="208"/>
      <c r="V933" s="208"/>
      <c r="W933" s="232"/>
      <c r="X933" s="232"/>
      <c r="Y933" s="232"/>
      <c r="Z933" s="232"/>
      <c r="AA933" s="232"/>
      <c r="AB933" s="232"/>
      <c r="AC933" s="232"/>
      <c r="AD933" s="232"/>
      <c r="AE933" s="232"/>
      <c r="AF933" s="232"/>
      <c r="AG933" s="208"/>
      <c r="AH933" s="208"/>
      <c r="AI933" s="208"/>
      <c r="AJ933" s="208"/>
      <c r="AK933" s="208"/>
    </row>
    <row r="934">
      <c r="A934" s="234"/>
      <c r="B934" s="208"/>
      <c r="C934" s="208"/>
      <c r="D934" s="208"/>
      <c r="E934" s="208"/>
      <c r="F934" s="208"/>
      <c r="G934" s="208"/>
      <c r="H934" s="208"/>
      <c r="I934" s="233"/>
      <c r="J934" s="208"/>
      <c r="K934" s="208"/>
      <c r="L934" s="208"/>
      <c r="M934" s="208"/>
      <c r="N934" s="208"/>
      <c r="O934" s="208"/>
      <c r="P934" s="208"/>
      <c r="Q934" s="208"/>
      <c r="R934" s="208"/>
      <c r="S934" s="208"/>
      <c r="T934" s="208"/>
      <c r="U934" s="208"/>
      <c r="V934" s="208"/>
      <c r="W934" s="232"/>
      <c r="X934" s="232"/>
      <c r="Y934" s="232"/>
      <c r="Z934" s="232"/>
      <c r="AA934" s="232"/>
      <c r="AB934" s="232"/>
      <c r="AC934" s="232"/>
      <c r="AD934" s="232"/>
      <c r="AE934" s="232"/>
      <c r="AF934" s="232"/>
      <c r="AG934" s="208"/>
      <c r="AH934" s="208"/>
      <c r="AI934" s="208"/>
      <c r="AJ934" s="208"/>
      <c r="AK934" s="208"/>
    </row>
    <row r="935">
      <c r="A935" s="234"/>
      <c r="B935" s="208"/>
      <c r="C935" s="208"/>
      <c r="D935" s="208"/>
      <c r="E935" s="208"/>
      <c r="F935" s="208"/>
      <c r="G935" s="208"/>
      <c r="H935" s="208"/>
      <c r="I935" s="233"/>
      <c r="J935" s="208"/>
      <c r="K935" s="208"/>
      <c r="L935" s="208"/>
      <c r="M935" s="208"/>
      <c r="N935" s="208"/>
      <c r="O935" s="208"/>
      <c r="P935" s="208"/>
      <c r="Q935" s="208"/>
      <c r="R935" s="208"/>
      <c r="S935" s="208"/>
      <c r="T935" s="208"/>
      <c r="U935" s="208"/>
      <c r="V935" s="208"/>
      <c r="W935" s="232"/>
      <c r="X935" s="232"/>
      <c r="Y935" s="232"/>
      <c r="Z935" s="232"/>
      <c r="AA935" s="232"/>
      <c r="AB935" s="232"/>
      <c r="AC935" s="232"/>
      <c r="AD935" s="232"/>
      <c r="AE935" s="232"/>
      <c r="AF935" s="232"/>
      <c r="AG935" s="208"/>
      <c r="AH935" s="208"/>
      <c r="AI935" s="208"/>
      <c r="AJ935" s="208"/>
      <c r="AK935" s="208"/>
    </row>
    <row r="936">
      <c r="A936" s="234"/>
      <c r="B936" s="208"/>
      <c r="C936" s="208"/>
      <c r="D936" s="208"/>
      <c r="E936" s="208"/>
      <c r="F936" s="208"/>
      <c r="G936" s="208"/>
      <c r="H936" s="208"/>
      <c r="I936" s="233"/>
      <c r="J936" s="208"/>
      <c r="K936" s="208"/>
      <c r="L936" s="208"/>
      <c r="M936" s="208"/>
      <c r="N936" s="208"/>
      <c r="O936" s="208"/>
      <c r="P936" s="208"/>
      <c r="Q936" s="208"/>
      <c r="R936" s="208"/>
      <c r="S936" s="208"/>
      <c r="T936" s="208"/>
      <c r="U936" s="208"/>
      <c r="V936" s="208"/>
      <c r="W936" s="232"/>
      <c r="X936" s="232"/>
      <c r="Y936" s="232"/>
      <c r="Z936" s="232"/>
      <c r="AA936" s="232"/>
      <c r="AB936" s="232"/>
      <c r="AC936" s="232"/>
      <c r="AD936" s="232"/>
      <c r="AE936" s="232"/>
      <c r="AF936" s="232"/>
      <c r="AG936" s="208"/>
      <c r="AH936" s="208"/>
      <c r="AI936" s="208"/>
      <c r="AJ936" s="208"/>
      <c r="AK936" s="208"/>
    </row>
    <row r="937">
      <c r="A937" s="234"/>
      <c r="B937" s="208"/>
      <c r="C937" s="208"/>
      <c r="D937" s="208"/>
      <c r="E937" s="208"/>
      <c r="F937" s="208"/>
      <c r="G937" s="208"/>
      <c r="H937" s="208"/>
      <c r="I937" s="233"/>
      <c r="J937" s="208"/>
      <c r="K937" s="208"/>
      <c r="L937" s="208"/>
      <c r="M937" s="208"/>
      <c r="N937" s="208"/>
      <c r="O937" s="208"/>
      <c r="P937" s="208"/>
      <c r="Q937" s="208"/>
      <c r="R937" s="208"/>
      <c r="S937" s="208"/>
      <c r="T937" s="208"/>
      <c r="U937" s="208"/>
      <c r="V937" s="208"/>
      <c r="W937" s="232"/>
      <c r="X937" s="232"/>
      <c r="Y937" s="232"/>
      <c r="Z937" s="232"/>
      <c r="AA937" s="232"/>
      <c r="AB937" s="232"/>
      <c r="AC937" s="232"/>
      <c r="AD937" s="232"/>
      <c r="AE937" s="232"/>
      <c r="AF937" s="232"/>
      <c r="AG937" s="208"/>
      <c r="AH937" s="208"/>
      <c r="AI937" s="208"/>
      <c r="AJ937" s="208"/>
      <c r="AK937" s="208"/>
    </row>
    <row r="938">
      <c r="A938" s="234"/>
      <c r="B938" s="208"/>
      <c r="C938" s="208"/>
      <c r="D938" s="208"/>
      <c r="E938" s="208"/>
      <c r="F938" s="208"/>
      <c r="G938" s="208"/>
      <c r="H938" s="208"/>
      <c r="I938" s="233"/>
      <c r="J938" s="208"/>
      <c r="K938" s="208"/>
      <c r="L938" s="208"/>
      <c r="M938" s="208"/>
      <c r="N938" s="208"/>
      <c r="O938" s="208"/>
      <c r="P938" s="208"/>
      <c r="Q938" s="208"/>
      <c r="R938" s="208"/>
      <c r="S938" s="208"/>
      <c r="T938" s="208"/>
      <c r="U938" s="208"/>
      <c r="V938" s="208"/>
      <c r="W938" s="232"/>
      <c r="X938" s="232"/>
      <c r="Y938" s="232"/>
      <c r="Z938" s="232"/>
      <c r="AA938" s="232"/>
      <c r="AB938" s="232"/>
      <c r="AC938" s="232"/>
      <c r="AD938" s="232"/>
      <c r="AE938" s="232"/>
      <c r="AF938" s="232"/>
      <c r="AG938" s="208"/>
      <c r="AH938" s="208"/>
      <c r="AI938" s="208"/>
      <c r="AJ938" s="208"/>
      <c r="AK938" s="208"/>
    </row>
    <row r="939">
      <c r="A939" s="234"/>
      <c r="B939" s="208"/>
      <c r="C939" s="208"/>
      <c r="D939" s="208"/>
      <c r="E939" s="208"/>
      <c r="F939" s="208"/>
      <c r="G939" s="208"/>
      <c r="H939" s="208"/>
      <c r="I939" s="233"/>
      <c r="J939" s="208"/>
      <c r="K939" s="208"/>
      <c r="L939" s="208"/>
      <c r="M939" s="208"/>
      <c r="N939" s="208"/>
      <c r="O939" s="208"/>
      <c r="P939" s="208"/>
      <c r="Q939" s="208"/>
      <c r="R939" s="208"/>
      <c r="S939" s="208"/>
      <c r="T939" s="208"/>
      <c r="U939" s="208"/>
      <c r="V939" s="208"/>
      <c r="W939" s="232"/>
      <c r="X939" s="232"/>
      <c r="Y939" s="232"/>
      <c r="Z939" s="232"/>
      <c r="AA939" s="232"/>
      <c r="AB939" s="232"/>
      <c r="AC939" s="232"/>
      <c r="AD939" s="232"/>
      <c r="AE939" s="232"/>
      <c r="AF939" s="232"/>
      <c r="AG939" s="208"/>
      <c r="AH939" s="208"/>
      <c r="AI939" s="208"/>
      <c r="AJ939" s="208"/>
      <c r="AK939" s="208"/>
    </row>
    <row r="940">
      <c r="A940" s="234"/>
      <c r="B940" s="208"/>
      <c r="C940" s="208"/>
      <c r="D940" s="208"/>
      <c r="E940" s="208"/>
      <c r="F940" s="208"/>
      <c r="G940" s="208"/>
      <c r="H940" s="208"/>
      <c r="I940" s="233"/>
      <c r="J940" s="208"/>
      <c r="K940" s="208"/>
      <c r="L940" s="208"/>
      <c r="M940" s="208"/>
      <c r="N940" s="208"/>
      <c r="O940" s="208"/>
      <c r="P940" s="208"/>
      <c r="Q940" s="208"/>
      <c r="R940" s="208"/>
      <c r="S940" s="208"/>
      <c r="T940" s="208"/>
      <c r="U940" s="208"/>
      <c r="V940" s="208"/>
      <c r="W940" s="232"/>
      <c r="X940" s="232"/>
      <c r="Y940" s="232"/>
      <c r="Z940" s="232"/>
      <c r="AA940" s="232"/>
      <c r="AB940" s="232"/>
      <c r="AC940" s="232"/>
      <c r="AD940" s="232"/>
      <c r="AE940" s="232"/>
      <c r="AF940" s="232"/>
      <c r="AG940" s="208"/>
      <c r="AH940" s="208"/>
      <c r="AI940" s="208"/>
      <c r="AJ940" s="208"/>
      <c r="AK940" s="208"/>
    </row>
    <row r="941">
      <c r="A941" s="234"/>
      <c r="B941" s="208"/>
      <c r="C941" s="208"/>
      <c r="D941" s="208"/>
      <c r="E941" s="208"/>
      <c r="F941" s="208"/>
      <c r="G941" s="208"/>
      <c r="H941" s="208"/>
      <c r="I941" s="233"/>
      <c r="J941" s="208"/>
      <c r="K941" s="208"/>
      <c r="L941" s="208"/>
      <c r="M941" s="208"/>
      <c r="N941" s="208"/>
      <c r="O941" s="208"/>
      <c r="P941" s="208"/>
      <c r="Q941" s="208"/>
      <c r="R941" s="208"/>
      <c r="S941" s="208"/>
      <c r="T941" s="208"/>
      <c r="U941" s="208"/>
      <c r="V941" s="208"/>
      <c r="W941" s="232"/>
      <c r="X941" s="232"/>
      <c r="Y941" s="232"/>
      <c r="Z941" s="232"/>
      <c r="AA941" s="232"/>
      <c r="AB941" s="232"/>
      <c r="AC941" s="232"/>
      <c r="AD941" s="232"/>
      <c r="AE941" s="232"/>
      <c r="AF941" s="232"/>
      <c r="AG941" s="208"/>
      <c r="AH941" s="208"/>
      <c r="AI941" s="208"/>
      <c r="AJ941" s="208"/>
      <c r="AK941" s="208"/>
    </row>
    <row r="942">
      <c r="A942" s="234"/>
      <c r="B942" s="208"/>
      <c r="C942" s="208"/>
      <c r="D942" s="208"/>
      <c r="E942" s="208"/>
      <c r="F942" s="208"/>
      <c r="G942" s="208"/>
      <c r="H942" s="208"/>
      <c r="I942" s="233"/>
      <c r="J942" s="208"/>
      <c r="K942" s="208"/>
      <c r="L942" s="208"/>
      <c r="M942" s="208"/>
      <c r="N942" s="208"/>
      <c r="O942" s="208"/>
      <c r="P942" s="208"/>
      <c r="Q942" s="208"/>
      <c r="R942" s="208"/>
      <c r="S942" s="208"/>
      <c r="T942" s="208"/>
      <c r="U942" s="208"/>
      <c r="V942" s="208"/>
      <c r="W942" s="232"/>
      <c r="X942" s="232"/>
      <c r="Y942" s="232"/>
      <c r="Z942" s="232"/>
      <c r="AA942" s="232"/>
      <c r="AB942" s="232"/>
      <c r="AC942" s="232"/>
      <c r="AD942" s="232"/>
      <c r="AE942" s="232"/>
      <c r="AF942" s="232"/>
      <c r="AG942" s="208"/>
      <c r="AH942" s="208"/>
      <c r="AI942" s="208"/>
      <c r="AJ942" s="208"/>
      <c r="AK942" s="208"/>
    </row>
    <row r="943">
      <c r="A943" s="234"/>
      <c r="B943" s="208"/>
      <c r="C943" s="208"/>
      <c r="D943" s="208"/>
      <c r="E943" s="208"/>
      <c r="F943" s="208"/>
      <c r="G943" s="208"/>
      <c r="H943" s="208"/>
      <c r="I943" s="233"/>
      <c r="J943" s="208"/>
      <c r="K943" s="208"/>
      <c r="L943" s="208"/>
      <c r="M943" s="208"/>
      <c r="N943" s="208"/>
      <c r="O943" s="208"/>
      <c r="P943" s="208"/>
      <c r="Q943" s="208"/>
      <c r="R943" s="208"/>
      <c r="S943" s="208"/>
      <c r="T943" s="208"/>
      <c r="U943" s="208"/>
      <c r="V943" s="208"/>
      <c r="W943" s="232"/>
      <c r="X943" s="232"/>
      <c r="Y943" s="232"/>
      <c r="Z943" s="232"/>
      <c r="AA943" s="232"/>
      <c r="AB943" s="232"/>
      <c r="AC943" s="232"/>
      <c r="AD943" s="232"/>
      <c r="AE943" s="232"/>
      <c r="AF943" s="232"/>
      <c r="AG943" s="208"/>
      <c r="AH943" s="208"/>
      <c r="AI943" s="208"/>
      <c r="AJ943" s="208"/>
      <c r="AK943" s="208"/>
    </row>
    <row r="944">
      <c r="A944" s="234"/>
      <c r="B944" s="208"/>
      <c r="C944" s="208"/>
      <c r="D944" s="208"/>
      <c r="E944" s="208"/>
      <c r="F944" s="208"/>
      <c r="G944" s="208"/>
      <c r="H944" s="208"/>
      <c r="I944" s="233"/>
      <c r="J944" s="208"/>
      <c r="K944" s="208"/>
      <c r="L944" s="208"/>
      <c r="M944" s="208"/>
      <c r="N944" s="208"/>
      <c r="O944" s="208"/>
      <c r="P944" s="208"/>
      <c r="Q944" s="208"/>
      <c r="R944" s="208"/>
      <c r="S944" s="208"/>
      <c r="T944" s="208"/>
      <c r="U944" s="208"/>
      <c r="V944" s="208"/>
      <c r="W944" s="232"/>
      <c r="X944" s="232"/>
      <c r="Y944" s="232"/>
      <c r="Z944" s="232"/>
      <c r="AA944" s="232"/>
      <c r="AB944" s="232"/>
      <c r="AC944" s="232"/>
      <c r="AD944" s="232"/>
      <c r="AE944" s="232"/>
      <c r="AF944" s="232"/>
      <c r="AG944" s="208"/>
      <c r="AH944" s="208"/>
      <c r="AI944" s="208"/>
      <c r="AJ944" s="208"/>
      <c r="AK944" s="208"/>
    </row>
    <row r="945">
      <c r="A945" s="234"/>
      <c r="B945" s="208"/>
      <c r="C945" s="208"/>
      <c r="D945" s="208"/>
      <c r="E945" s="208"/>
      <c r="F945" s="208"/>
      <c r="G945" s="208"/>
      <c r="H945" s="208"/>
      <c r="I945" s="233"/>
      <c r="J945" s="208"/>
      <c r="K945" s="208"/>
      <c r="L945" s="208"/>
      <c r="M945" s="208"/>
      <c r="N945" s="208"/>
      <c r="O945" s="208"/>
      <c r="P945" s="208"/>
      <c r="Q945" s="208"/>
      <c r="R945" s="208"/>
      <c r="S945" s="208"/>
      <c r="T945" s="208"/>
      <c r="U945" s="208"/>
      <c r="V945" s="208"/>
      <c r="W945" s="232"/>
      <c r="X945" s="232"/>
      <c r="Y945" s="232"/>
      <c r="Z945" s="232"/>
      <c r="AA945" s="232"/>
      <c r="AB945" s="232"/>
      <c r="AC945" s="232"/>
      <c r="AD945" s="232"/>
      <c r="AE945" s="232"/>
      <c r="AF945" s="232"/>
      <c r="AG945" s="208"/>
      <c r="AH945" s="208"/>
      <c r="AI945" s="208"/>
      <c r="AJ945" s="208"/>
      <c r="AK945" s="208"/>
    </row>
    <row r="946">
      <c r="A946" s="234"/>
      <c r="B946" s="208"/>
      <c r="C946" s="208"/>
      <c r="D946" s="208"/>
      <c r="E946" s="208"/>
      <c r="F946" s="208"/>
      <c r="G946" s="208"/>
      <c r="H946" s="208"/>
      <c r="I946" s="233"/>
      <c r="J946" s="208"/>
      <c r="K946" s="208"/>
      <c r="L946" s="208"/>
      <c r="M946" s="208"/>
      <c r="N946" s="208"/>
      <c r="O946" s="208"/>
      <c r="P946" s="208"/>
      <c r="Q946" s="208"/>
      <c r="R946" s="208"/>
      <c r="S946" s="208"/>
      <c r="T946" s="208"/>
      <c r="U946" s="208"/>
      <c r="V946" s="208"/>
      <c r="W946" s="232"/>
      <c r="X946" s="232"/>
      <c r="Y946" s="232"/>
      <c r="Z946" s="232"/>
      <c r="AA946" s="232"/>
      <c r="AB946" s="232"/>
      <c r="AC946" s="232"/>
      <c r="AD946" s="232"/>
      <c r="AE946" s="232"/>
      <c r="AF946" s="232"/>
      <c r="AG946" s="208"/>
      <c r="AH946" s="208"/>
      <c r="AI946" s="208"/>
      <c r="AJ946" s="208"/>
      <c r="AK946" s="208"/>
    </row>
    <row r="947">
      <c r="A947" s="234"/>
      <c r="B947" s="208"/>
      <c r="C947" s="208"/>
      <c r="D947" s="208"/>
      <c r="E947" s="208"/>
      <c r="F947" s="208"/>
      <c r="G947" s="208"/>
      <c r="H947" s="208"/>
      <c r="I947" s="233"/>
      <c r="J947" s="208"/>
      <c r="K947" s="208"/>
      <c r="L947" s="208"/>
      <c r="M947" s="208"/>
      <c r="N947" s="208"/>
      <c r="O947" s="208"/>
      <c r="P947" s="208"/>
      <c r="Q947" s="208"/>
      <c r="R947" s="208"/>
      <c r="S947" s="208"/>
      <c r="T947" s="208"/>
      <c r="U947" s="208"/>
      <c r="V947" s="208"/>
      <c r="W947" s="232"/>
      <c r="X947" s="232"/>
      <c r="Y947" s="232"/>
      <c r="Z947" s="232"/>
      <c r="AA947" s="232"/>
      <c r="AB947" s="232"/>
      <c r="AC947" s="232"/>
      <c r="AD947" s="232"/>
      <c r="AE947" s="232"/>
      <c r="AF947" s="232"/>
      <c r="AG947" s="208"/>
      <c r="AH947" s="208"/>
      <c r="AI947" s="208"/>
      <c r="AJ947" s="208"/>
      <c r="AK947" s="208"/>
    </row>
    <row r="948">
      <c r="A948" s="234"/>
      <c r="B948" s="208"/>
      <c r="C948" s="208"/>
      <c r="D948" s="208"/>
      <c r="E948" s="208"/>
      <c r="F948" s="208"/>
      <c r="G948" s="208"/>
      <c r="H948" s="208"/>
      <c r="I948" s="233"/>
      <c r="J948" s="208"/>
      <c r="K948" s="208"/>
      <c r="L948" s="208"/>
      <c r="M948" s="208"/>
      <c r="N948" s="208"/>
      <c r="O948" s="208"/>
      <c r="P948" s="208"/>
      <c r="Q948" s="208"/>
      <c r="R948" s="208"/>
      <c r="S948" s="208"/>
      <c r="T948" s="208"/>
      <c r="U948" s="208"/>
      <c r="V948" s="208"/>
      <c r="W948" s="232"/>
      <c r="X948" s="232"/>
      <c r="Y948" s="232"/>
      <c r="Z948" s="232"/>
      <c r="AA948" s="232"/>
      <c r="AB948" s="232"/>
      <c r="AC948" s="232"/>
      <c r="AD948" s="232"/>
      <c r="AE948" s="232"/>
      <c r="AF948" s="232"/>
      <c r="AG948" s="208"/>
      <c r="AH948" s="208"/>
      <c r="AI948" s="208"/>
      <c r="AJ948" s="208"/>
      <c r="AK948" s="208"/>
    </row>
    <row r="949">
      <c r="A949" s="234"/>
      <c r="B949" s="208"/>
      <c r="C949" s="208"/>
      <c r="D949" s="208"/>
      <c r="E949" s="208"/>
      <c r="F949" s="208"/>
      <c r="G949" s="208"/>
      <c r="H949" s="208"/>
      <c r="I949" s="233"/>
      <c r="J949" s="208"/>
      <c r="K949" s="208"/>
      <c r="L949" s="208"/>
      <c r="M949" s="208"/>
      <c r="N949" s="208"/>
      <c r="O949" s="208"/>
      <c r="P949" s="208"/>
      <c r="Q949" s="208"/>
      <c r="R949" s="208"/>
      <c r="S949" s="208"/>
      <c r="T949" s="208"/>
      <c r="U949" s="208"/>
      <c r="V949" s="208"/>
      <c r="W949" s="232"/>
      <c r="X949" s="232"/>
      <c r="Y949" s="232"/>
      <c r="Z949" s="232"/>
      <c r="AA949" s="232"/>
      <c r="AB949" s="232"/>
      <c r="AC949" s="232"/>
      <c r="AD949" s="232"/>
      <c r="AE949" s="232"/>
      <c r="AF949" s="232"/>
      <c r="AG949" s="208"/>
      <c r="AH949" s="208"/>
      <c r="AI949" s="208"/>
      <c r="AJ949" s="208"/>
      <c r="AK949" s="208"/>
    </row>
    <row r="950">
      <c r="A950" s="234"/>
      <c r="B950" s="208"/>
      <c r="C950" s="208"/>
      <c r="D950" s="208"/>
      <c r="E950" s="208"/>
      <c r="F950" s="208"/>
      <c r="G950" s="208"/>
      <c r="H950" s="208"/>
      <c r="I950" s="233"/>
      <c r="J950" s="208"/>
      <c r="K950" s="208"/>
      <c r="L950" s="208"/>
      <c r="M950" s="208"/>
      <c r="N950" s="208"/>
      <c r="O950" s="208"/>
      <c r="P950" s="208"/>
      <c r="Q950" s="208"/>
      <c r="R950" s="208"/>
      <c r="S950" s="208"/>
      <c r="T950" s="208"/>
      <c r="U950" s="208"/>
      <c r="V950" s="208"/>
      <c r="W950" s="232"/>
      <c r="X950" s="232"/>
      <c r="Y950" s="232"/>
      <c r="Z950" s="232"/>
      <c r="AA950" s="232"/>
      <c r="AB950" s="232"/>
      <c r="AC950" s="232"/>
      <c r="AD950" s="232"/>
      <c r="AE950" s="232"/>
      <c r="AF950" s="232"/>
      <c r="AG950" s="208"/>
      <c r="AH950" s="208"/>
      <c r="AI950" s="208"/>
      <c r="AJ950" s="208"/>
      <c r="AK950" s="208"/>
    </row>
    <row r="951">
      <c r="A951" s="234"/>
      <c r="B951" s="208"/>
      <c r="C951" s="208"/>
      <c r="D951" s="208"/>
      <c r="E951" s="208"/>
      <c r="F951" s="208"/>
      <c r="G951" s="208"/>
      <c r="H951" s="208"/>
      <c r="I951" s="233"/>
      <c r="J951" s="208"/>
      <c r="K951" s="208"/>
      <c r="L951" s="208"/>
      <c r="M951" s="208"/>
      <c r="N951" s="208"/>
      <c r="O951" s="208"/>
      <c r="P951" s="208"/>
      <c r="Q951" s="208"/>
      <c r="R951" s="208"/>
      <c r="S951" s="208"/>
      <c r="T951" s="208"/>
      <c r="U951" s="208"/>
      <c r="V951" s="208"/>
      <c r="W951" s="232"/>
      <c r="X951" s="232"/>
      <c r="Y951" s="232"/>
      <c r="Z951" s="232"/>
      <c r="AA951" s="232"/>
      <c r="AB951" s="232"/>
      <c r="AC951" s="232"/>
      <c r="AD951" s="232"/>
      <c r="AE951" s="232"/>
      <c r="AF951" s="232"/>
      <c r="AG951" s="208"/>
      <c r="AH951" s="208"/>
      <c r="AI951" s="208"/>
      <c r="AJ951" s="208"/>
      <c r="AK951" s="208"/>
    </row>
    <row r="952">
      <c r="A952" s="234"/>
      <c r="B952" s="208"/>
      <c r="C952" s="208"/>
      <c r="D952" s="208"/>
      <c r="E952" s="208"/>
      <c r="F952" s="208"/>
      <c r="G952" s="208"/>
      <c r="H952" s="208"/>
      <c r="I952" s="233"/>
      <c r="J952" s="208"/>
      <c r="K952" s="208"/>
      <c r="L952" s="208"/>
      <c r="M952" s="208"/>
      <c r="N952" s="208"/>
      <c r="O952" s="208"/>
      <c r="P952" s="208"/>
      <c r="Q952" s="208"/>
      <c r="R952" s="208"/>
      <c r="S952" s="208"/>
      <c r="T952" s="208"/>
      <c r="U952" s="208"/>
      <c r="V952" s="208"/>
      <c r="W952" s="232"/>
      <c r="X952" s="232"/>
      <c r="Y952" s="232"/>
      <c r="Z952" s="232"/>
      <c r="AA952" s="232"/>
      <c r="AB952" s="232"/>
      <c r="AC952" s="232"/>
      <c r="AD952" s="232"/>
      <c r="AE952" s="232"/>
      <c r="AF952" s="232"/>
      <c r="AG952" s="208"/>
      <c r="AH952" s="208"/>
      <c r="AI952" s="208"/>
      <c r="AJ952" s="208"/>
      <c r="AK952" s="208"/>
    </row>
    <row r="953">
      <c r="A953" s="234"/>
      <c r="B953" s="208"/>
      <c r="C953" s="208"/>
      <c r="D953" s="208"/>
      <c r="E953" s="208"/>
      <c r="F953" s="208"/>
      <c r="G953" s="208"/>
      <c r="H953" s="208"/>
      <c r="I953" s="233"/>
      <c r="J953" s="208"/>
      <c r="K953" s="208"/>
      <c r="L953" s="208"/>
      <c r="M953" s="208"/>
      <c r="N953" s="208"/>
      <c r="O953" s="208"/>
      <c r="P953" s="208"/>
      <c r="Q953" s="208"/>
      <c r="R953" s="208"/>
      <c r="S953" s="208"/>
      <c r="T953" s="208"/>
      <c r="U953" s="208"/>
      <c r="V953" s="208"/>
      <c r="W953" s="232"/>
      <c r="X953" s="232"/>
      <c r="Y953" s="232"/>
      <c r="Z953" s="232"/>
      <c r="AA953" s="232"/>
      <c r="AB953" s="232"/>
      <c r="AC953" s="232"/>
      <c r="AD953" s="232"/>
      <c r="AE953" s="232"/>
      <c r="AF953" s="232"/>
      <c r="AG953" s="208"/>
      <c r="AH953" s="208"/>
      <c r="AI953" s="208"/>
      <c r="AJ953" s="208"/>
      <c r="AK953" s="208"/>
    </row>
    <row r="954">
      <c r="A954" s="234"/>
      <c r="B954" s="208"/>
      <c r="C954" s="208"/>
      <c r="D954" s="208"/>
      <c r="E954" s="208"/>
      <c r="F954" s="208"/>
      <c r="G954" s="208"/>
      <c r="H954" s="208"/>
      <c r="I954" s="233"/>
      <c r="J954" s="208"/>
      <c r="K954" s="208"/>
      <c r="L954" s="208"/>
      <c r="M954" s="208"/>
      <c r="N954" s="208"/>
      <c r="O954" s="208"/>
      <c r="P954" s="208"/>
      <c r="Q954" s="208"/>
      <c r="R954" s="208"/>
      <c r="S954" s="208"/>
      <c r="T954" s="208"/>
      <c r="U954" s="208"/>
      <c r="V954" s="208"/>
      <c r="W954" s="232"/>
      <c r="X954" s="232"/>
      <c r="Y954" s="232"/>
      <c r="Z954" s="232"/>
      <c r="AA954" s="232"/>
      <c r="AB954" s="232"/>
      <c r="AC954" s="232"/>
      <c r="AD954" s="232"/>
      <c r="AE954" s="232"/>
      <c r="AF954" s="232"/>
      <c r="AG954" s="208"/>
      <c r="AH954" s="208"/>
      <c r="AI954" s="208"/>
      <c r="AJ954" s="208"/>
      <c r="AK954" s="208"/>
    </row>
    <row r="955">
      <c r="A955" s="234"/>
      <c r="B955" s="208"/>
      <c r="C955" s="208"/>
      <c r="D955" s="208"/>
      <c r="E955" s="208"/>
      <c r="F955" s="208"/>
      <c r="G955" s="208"/>
      <c r="H955" s="208"/>
      <c r="I955" s="233"/>
      <c r="J955" s="208"/>
      <c r="K955" s="208"/>
      <c r="L955" s="208"/>
      <c r="M955" s="208"/>
      <c r="N955" s="208"/>
      <c r="O955" s="208"/>
      <c r="P955" s="208"/>
      <c r="Q955" s="208"/>
      <c r="R955" s="208"/>
      <c r="S955" s="208"/>
      <c r="T955" s="208"/>
      <c r="U955" s="208"/>
      <c r="V955" s="208"/>
      <c r="W955" s="232"/>
      <c r="X955" s="232"/>
      <c r="Y955" s="232"/>
      <c r="Z955" s="232"/>
      <c r="AA955" s="232"/>
      <c r="AB955" s="232"/>
      <c r="AC955" s="232"/>
      <c r="AD955" s="232"/>
      <c r="AE955" s="232"/>
      <c r="AF955" s="232"/>
      <c r="AG955" s="208"/>
      <c r="AH955" s="208"/>
      <c r="AI955" s="208"/>
      <c r="AJ955" s="208"/>
      <c r="AK955" s="208"/>
    </row>
    <row r="956">
      <c r="A956" s="234"/>
      <c r="B956" s="208"/>
      <c r="C956" s="208"/>
      <c r="D956" s="208"/>
      <c r="E956" s="208"/>
      <c r="F956" s="208"/>
      <c r="G956" s="208"/>
      <c r="H956" s="208"/>
      <c r="I956" s="233"/>
      <c r="J956" s="208"/>
      <c r="K956" s="208"/>
      <c r="L956" s="208"/>
      <c r="M956" s="208"/>
      <c r="N956" s="208"/>
      <c r="O956" s="208"/>
      <c r="P956" s="208"/>
      <c r="Q956" s="208"/>
      <c r="R956" s="208"/>
      <c r="S956" s="208"/>
      <c r="T956" s="208"/>
      <c r="U956" s="208"/>
      <c r="V956" s="208"/>
      <c r="W956" s="232"/>
      <c r="X956" s="232"/>
      <c r="Y956" s="232"/>
      <c r="Z956" s="232"/>
      <c r="AA956" s="232"/>
      <c r="AB956" s="232"/>
      <c r="AC956" s="232"/>
      <c r="AD956" s="232"/>
      <c r="AE956" s="232"/>
      <c r="AF956" s="232"/>
      <c r="AG956" s="208"/>
      <c r="AH956" s="208"/>
      <c r="AI956" s="208"/>
      <c r="AJ956" s="208"/>
      <c r="AK956" s="208"/>
    </row>
    <row r="957">
      <c r="A957" s="234"/>
      <c r="B957" s="208"/>
      <c r="C957" s="208"/>
      <c r="D957" s="208"/>
      <c r="E957" s="208"/>
      <c r="F957" s="208"/>
      <c r="G957" s="208"/>
      <c r="H957" s="208"/>
      <c r="I957" s="233"/>
      <c r="J957" s="208"/>
      <c r="K957" s="208"/>
      <c r="L957" s="208"/>
      <c r="M957" s="208"/>
      <c r="N957" s="208"/>
      <c r="O957" s="208"/>
      <c r="P957" s="208"/>
      <c r="Q957" s="208"/>
      <c r="R957" s="208"/>
      <c r="S957" s="208"/>
      <c r="T957" s="208"/>
      <c r="U957" s="208"/>
      <c r="V957" s="208"/>
      <c r="W957" s="232"/>
      <c r="X957" s="232"/>
      <c r="Y957" s="232"/>
      <c r="Z957" s="232"/>
      <c r="AA957" s="232"/>
      <c r="AB957" s="232"/>
      <c r="AC957" s="232"/>
      <c r="AD957" s="232"/>
      <c r="AE957" s="232"/>
      <c r="AF957" s="232"/>
      <c r="AG957" s="208"/>
      <c r="AH957" s="208"/>
      <c r="AI957" s="208"/>
      <c r="AJ957" s="208"/>
      <c r="AK957" s="208"/>
    </row>
    <row r="958">
      <c r="A958" s="234"/>
      <c r="B958" s="208"/>
      <c r="C958" s="208"/>
      <c r="D958" s="208"/>
      <c r="E958" s="208"/>
      <c r="F958" s="208"/>
      <c r="G958" s="208"/>
      <c r="H958" s="208"/>
      <c r="I958" s="233"/>
      <c r="J958" s="208"/>
      <c r="K958" s="208"/>
      <c r="L958" s="208"/>
      <c r="M958" s="208"/>
      <c r="N958" s="208"/>
      <c r="O958" s="208"/>
      <c r="P958" s="208"/>
      <c r="Q958" s="208"/>
      <c r="R958" s="208"/>
      <c r="S958" s="208"/>
      <c r="T958" s="208"/>
      <c r="U958" s="208"/>
      <c r="V958" s="208"/>
      <c r="W958" s="232"/>
      <c r="X958" s="232"/>
      <c r="Y958" s="232"/>
      <c r="Z958" s="232"/>
      <c r="AA958" s="232"/>
      <c r="AB958" s="232"/>
      <c r="AC958" s="232"/>
      <c r="AD958" s="232"/>
      <c r="AE958" s="232"/>
      <c r="AF958" s="232"/>
      <c r="AG958" s="208"/>
      <c r="AH958" s="208"/>
      <c r="AI958" s="208"/>
      <c r="AJ958" s="208"/>
      <c r="AK958" s="208"/>
    </row>
    <row r="959">
      <c r="A959" s="234"/>
      <c r="B959" s="208"/>
      <c r="C959" s="208"/>
      <c r="D959" s="208"/>
      <c r="E959" s="208"/>
      <c r="F959" s="208"/>
      <c r="G959" s="208"/>
      <c r="H959" s="208"/>
      <c r="I959" s="233"/>
      <c r="J959" s="208"/>
      <c r="K959" s="208"/>
      <c r="L959" s="208"/>
      <c r="M959" s="208"/>
      <c r="N959" s="208"/>
      <c r="O959" s="208"/>
      <c r="P959" s="208"/>
      <c r="Q959" s="208"/>
      <c r="R959" s="208"/>
      <c r="S959" s="208"/>
      <c r="T959" s="208"/>
      <c r="U959" s="208"/>
      <c r="V959" s="208"/>
      <c r="W959" s="232"/>
      <c r="X959" s="232"/>
      <c r="Y959" s="232"/>
      <c r="Z959" s="232"/>
      <c r="AA959" s="232"/>
      <c r="AB959" s="232"/>
      <c r="AC959" s="232"/>
      <c r="AD959" s="232"/>
      <c r="AE959" s="232"/>
      <c r="AF959" s="232"/>
      <c r="AG959" s="208"/>
      <c r="AH959" s="208"/>
      <c r="AI959" s="208"/>
      <c r="AJ959" s="208"/>
      <c r="AK959" s="208"/>
    </row>
    <row r="960">
      <c r="A960" s="234"/>
      <c r="B960" s="208"/>
      <c r="C960" s="208"/>
      <c r="D960" s="208"/>
      <c r="E960" s="208"/>
      <c r="F960" s="208"/>
      <c r="G960" s="208"/>
      <c r="H960" s="208"/>
      <c r="I960" s="233"/>
      <c r="J960" s="208"/>
      <c r="K960" s="208"/>
      <c r="L960" s="208"/>
      <c r="M960" s="208"/>
      <c r="N960" s="208"/>
      <c r="O960" s="208"/>
      <c r="P960" s="208"/>
      <c r="Q960" s="208"/>
      <c r="R960" s="208"/>
      <c r="S960" s="208"/>
      <c r="T960" s="208"/>
      <c r="U960" s="208"/>
      <c r="V960" s="208"/>
      <c r="W960" s="232"/>
      <c r="X960" s="232"/>
      <c r="Y960" s="232"/>
      <c r="Z960" s="232"/>
      <c r="AA960" s="232"/>
      <c r="AB960" s="232"/>
      <c r="AC960" s="232"/>
      <c r="AD960" s="232"/>
      <c r="AE960" s="232"/>
      <c r="AF960" s="232"/>
      <c r="AG960" s="208"/>
      <c r="AH960" s="208"/>
      <c r="AI960" s="208"/>
      <c r="AJ960" s="208"/>
      <c r="AK960" s="208"/>
    </row>
    <row r="961">
      <c r="A961" s="234"/>
      <c r="B961" s="208"/>
      <c r="C961" s="208"/>
      <c r="D961" s="208"/>
      <c r="E961" s="208"/>
      <c r="F961" s="208"/>
      <c r="G961" s="208"/>
      <c r="H961" s="208"/>
      <c r="I961" s="233"/>
      <c r="J961" s="208"/>
      <c r="K961" s="208"/>
      <c r="L961" s="208"/>
      <c r="M961" s="208"/>
      <c r="N961" s="208"/>
      <c r="O961" s="208"/>
      <c r="P961" s="208"/>
      <c r="Q961" s="208"/>
      <c r="R961" s="208"/>
      <c r="S961" s="208"/>
      <c r="T961" s="208"/>
      <c r="U961" s="208"/>
      <c r="V961" s="208"/>
      <c r="W961" s="232"/>
      <c r="X961" s="232"/>
      <c r="Y961" s="232"/>
      <c r="Z961" s="232"/>
      <c r="AA961" s="232"/>
      <c r="AB961" s="232"/>
      <c r="AC961" s="232"/>
      <c r="AD961" s="232"/>
      <c r="AE961" s="232"/>
      <c r="AF961" s="232"/>
      <c r="AG961" s="208"/>
      <c r="AH961" s="208"/>
      <c r="AI961" s="208"/>
      <c r="AJ961" s="208"/>
      <c r="AK961" s="208"/>
    </row>
    <row r="962">
      <c r="A962" s="234"/>
      <c r="B962" s="208"/>
      <c r="C962" s="208"/>
      <c r="D962" s="208"/>
      <c r="E962" s="208"/>
      <c r="F962" s="208"/>
      <c r="G962" s="208"/>
      <c r="H962" s="208"/>
      <c r="I962" s="233"/>
      <c r="J962" s="208"/>
      <c r="K962" s="208"/>
      <c r="L962" s="208"/>
      <c r="M962" s="208"/>
      <c r="N962" s="208"/>
      <c r="O962" s="208"/>
      <c r="P962" s="208"/>
      <c r="Q962" s="208"/>
      <c r="R962" s="208"/>
      <c r="S962" s="208"/>
      <c r="T962" s="208"/>
      <c r="U962" s="208"/>
      <c r="V962" s="208"/>
      <c r="W962" s="232"/>
      <c r="X962" s="232"/>
      <c r="Y962" s="232"/>
      <c r="Z962" s="232"/>
      <c r="AA962" s="232"/>
      <c r="AB962" s="232"/>
      <c r="AC962" s="232"/>
      <c r="AD962" s="232"/>
      <c r="AE962" s="232"/>
      <c r="AF962" s="232"/>
      <c r="AG962" s="208"/>
      <c r="AH962" s="208"/>
      <c r="AI962" s="208"/>
      <c r="AJ962" s="208"/>
      <c r="AK962" s="208"/>
    </row>
    <row r="963">
      <c r="A963" s="234"/>
      <c r="B963" s="208"/>
      <c r="C963" s="208"/>
      <c r="D963" s="208"/>
      <c r="E963" s="208"/>
      <c r="F963" s="208"/>
      <c r="G963" s="208"/>
      <c r="H963" s="208"/>
      <c r="I963" s="233"/>
      <c r="J963" s="208"/>
      <c r="K963" s="208"/>
      <c r="L963" s="208"/>
      <c r="M963" s="208"/>
      <c r="N963" s="208"/>
      <c r="O963" s="208"/>
      <c r="P963" s="208"/>
      <c r="Q963" s="208"/>
      <c r="R963" s="208"/>
      <c r="S963" s="208"/>
      <c r="T963" s="208"/>
      <c r="U963" s="208"/>
      <c r="V963" s="208"/>
      <c r="W963" s="232"/>
      <c r="X963" s="232"/>
      <c r="Y963" s="232"/>
      <c r="Z963" s="232"/>
      <c r="AA963" s="232"/>
      <c r="AB963" s="232"/>
      <c r="AC963" s="232"/>
      <c r="AD963" s="232"/>
      <c r="AE963" s="232"/>
      <c r="AF963" s="232"/>
      <c r="AG963" s="208"/>
      <c r="AH963" s="208"/>
      <c r="AI963" s="208"/>
      <c r="AJ963" s="208"/>
      <c r="AK963" s="208"/>
    </row>
    <row r="964">
      <c r="A964" s="234"/>
      <c r="B964" s="208"/>
      <c r="C964" s="208"/>
      <c r="D964" s="208"/>
      <c r="E964" s="208"/>
      <c r="F964" s="208"/>
      <c r="G964" s="208"/>
      <c r="H964" s="208"/>
      <c r="I964" s="233"/>
      <c r="J964" s="208"/>
      <c r="K964" s="208"/>
      <c r="L964" s="208"/>
      <c r="M964" s="208"/>
      <c r="N964" s="208"/>
      <c r="O964" s="208"/>
      <c r="P964" s="208"/>
      <c r="Q964" s="208"/>
      <c r="R964" s="208"/>
      <c r="S964" s="208"/>
      <c r="T964" s="208"/>
      <c r="U964" s="208"/>
      <c r="V964" s="208"/>
      <c r="W964" s="232"/>
      <c r="X964" s="232"/>
      <c r="Y964" s="232"/>
      <c r="Z964" s="232"/>
      <c r="AA964" s="232"/>
      <c r="AB964" s="232"/>
      <c r="AC964" s="232"/>
      <c r="AD964" s="232"/>
      <c r="AE964" s="232"/>
      <c r="AF964" s="232"/>
      <c r="AG964" s="208"/>
      <c r="AH964" s="208"/>
      <c r="AI964" s="208"/>
      <c r="AJ964" s="208"/>
      <c r="AK964" s="208"/>
    </row>
    <row r="965">
      <c r="A965" s="234"/>
      <c r="B965" s="208"/>
      <c r="C965" s="208"/>
      <c r="D965" s="208"/>
      <c r="E965" s="208"/>
      <c r="F965" s="208"/>
      <c r="G965" s="208"/>
      <c r="H965" s="208"/>
      <c r="I965" s="233"/>
      <c r="J965" s="208"/>
      <c r="K965" s="208"/>
      <c r="L965" s="208"/>
      <c r="M965" s="208"/>
      <c r="N965" s="208"/>
      <c r="O965" s="208"/>
      <c r="P965" s="208"/>
      <c r="Q965" s="208"/>
      <c r="R965" s="208"/>
      <c r="S965" s="208"/>
      <c r="T965" s="208"/>
      <c r="U965" s="208"/>
      <c r="V965" s="208"/>
      <c r="W965" s="232"/>
      <c r="X965" s="232"/>
      <c r="Y965" s="232"/>
      <c r="Z965" s="232"/>
      <c r="AA965" s="232"/>
      <c r="AB965" s="232"/>
      <c r="AC965" s="232"/>
      <c r="AD965" s="232"/>
      <c r="AE965" s="232"/>
      <c r="AF965" s="232"/>
      <c r="AG965" s="208"/>
      <c r="AH965" s="208"/>
      <c r="AI965" s="208"/>
      <c r="AJ965" s="208"/>
      <c r="AK965" s="208"/>
    </row>
    <row r="966">
      <c r="A966" s="234"/>
      <c r="B966" s="208"/>
      <c r="C966" s="208"/>
      <c r="D966" s="208"/>
      <c r="E966" s="208"/>
      <c r="F966" s="208"/>
      <c r="G966" s="208"/>
      <c r="H966" s="208"/>
      <c r="I966" s="233"/>
      <c r="J966" s="208"/>
      <c r="K966" s="208"/>
      <c r="L966" s="208"/>
      <c r="M966" s="208"/>
      <c r="N966" s="208"/>
      <c r="O966" s="208"/>
      <c r="P966" s="208"/>
      <c r="Q966" s="208"/>
      <c r="R966" s="208"/>
      <c r="S966" s="208"/>
      <c r="T966" s="208"/>
      <c r="U966" s="208"/>
      <c r="V966" s="208"/>
      <c r="W966" s="232"/>
      <c r="X966" s="232"/>
      <c r="Y966" s="232"/>
      <c r="Z966" s="232"/>
      <c r="AA966" s="232"/>
      <c r="AB966" s="232"/>
      <c r="AC966" s="232"/>
      <c r="AD966" s="232"/>
      <c r="AE966" s="232"/>
      <c r="AF966" s="232"/>
      <c r="AG966" s="208"/>
      <c r="AH966" s="208"/>
      <c r="AI966" s="208"/>
      <c r="AJ966" s="208"/>
      <c r="AK966" s="208"/>
    </row>
    <row r="967">
      <c r="A967" s="234"/>
      <c r="B967" s="208"/>
      <c r="C967" s="208"/>
      <c r="D967" s="208"/>
      <c r="E967" s="208"/>
      <c r="F967" s="208"/>
      <c r="G967" s="208"/>
      <c r="H967" s="208"/>
      <c r="I967" s="233"/>
      <c r="J967" s="208"/>
      <c r="K967" s="208"/>
      <c r="L967" s="208"/>
      <c r="M967" s="208"/>
      <c r="N967" s="208"/>
      <c r="O967" s="208"/>
      <c r="P967" s="208"/>
      <c r="Q967" s="208"/>
      <c r="R967" s="208"/>
      <c r="S967" s="208"/>
      <c r="T967" s="208"/>
      <c r="U967" s="208"/>
      <c r="V967" s="208"/>
      <c r="W967" s="232"/>
      <c r="X967" s="232"/>
      <c r="Y967" s="232"/>
      <c r="Z967" s="232"/>
      <c r="AA967" s="232"/>
      <c r="AB967" s="232"/>
      <c r="AC967" s="232"/>
      <c r="AD967" s="232"/>
      <c r="AE967" s="232"/>
      <c r="AF967" s="232"/>
      <c r="AG967" s="208"/>
      <c r="AH967" s="208"/>
      <c r="AI967" s="208"/>
      <c r="AJ967" s="208"/>
      <c r="AK967" s="208"/>
    </row>
    <row r="968">
      <c r="A968" s="234"/>
      <c r="B968" s="208"/>
      <c r="C968" s="208"/>
      <c r="D968" s="208"/>
      <c r="E968" s="208"/>
      <c r="F968" s="208"/>
      <c r="G968" s="208"/>
      <c r="H968" s="208"/>
      <c r="I968" s="233"/>
      <c r="J968" s="208"/>
      <c r="K968" s="208"/>
      <c r="L968" s="208"/>
      <c r="M968" s="208"/>
      <c r="N968" s="208"/>
      <c r="O968" s="208"/>
      <c r="P968" s="208"/>
      <c r="Q968" s="208"/>
      <c r="R968" s="208"/>
      <c r="S968" s="208"/>
      <c r="T968" s="208"/>
      <c r="U968" s="208"/>
      <c r="V968" s="208"/>
      <c r="W968" s="232"/>
      <c r="X968" s="232"/>
      <c r="Y968" s="232"/>
      <c r="Z968" s="232"/>
      <c r="AA968" s="232"/>
      <c r="AB968" s="232"/>
      <c r="AC968" s="232"/>
      <c r="AD968" s="232"/>
      <c r="AE968" s="232"/>
      <c r="AF968" s="232"/>
      <c r="AG968" s="208"/>
      <c r="AH968" s="208"/>
      <c r="AI968" s="208"/>
      <c r="AJ968" s="208"/>
      <c r="AK968" s="208"/>
    </row>
    <row r="969">
      <c r="A969" s="234"/>
      <c r="B969" s="208"/>
      <c r="C969" s="208"/>
      <c r="D969" s="208"/>
      <c r="E969" s="208"/>
      <c r="F969" s="208"/>
      <c r="G969" s="208"/>
      <c r="H969" s="208"/>
      <c r="I969" s="233"/>
      <c r="J969" s="208"/>
      <c r="K969" s="208"/>
      <c r="L969" s="208"/>
      <c r="M969" s="208"/>
      <c r="N969" s="208"/>
      <c r="O969" s="208"/>
      <c r="P969" s="208"/>
      <c r="Q969" s="208"/>
      <c r="R969" s="208"/>
      <c r="S969" s="208"/>
      <c r="T969" s="208"/>
      <c r="U969" s="208"/>
      <c r="V969" s="208"/>
      <c r="W969" s="232"/>
      <c r="X969" s="232"/>
      <c r="Y969" s="232"/>
      <c r="Z969" s="232"/>
      <c r="AA969" s="232"/>
      <c r="AB969" s="232"/>
      <c r="AC969" s="232"/>
      <c r="AD969" s="232"/>
      <c r="AE969" s="232"/>
      <c r="AF969" s="232"/>
      <c r="AG969" s="208"/>
      <c r="AH969" s="208"/>
      <c r="AI969" s="208"/>
      <c r="AJ969" s="208"/>
      <c r="AK969" s="208"/>
    </row>
    <row r="970">
      <c r="A970" s="234"/>
      <c r="B970" s="208"/>
      <c r="C970" s="208"/>
      <c r="D970" s="208"/>
      <c r="E970" s="208"/>
      <c r="F970" s="208"/>
      <c r="G970" s="208"/>
      <c r="H970" s="208"/>
      <c r="I970" s="233"/>
      <c r="J970" s="208"/>
      <c r="K970" s="208"/>
      <c r="L970" s="208"/>
      <c r="M970" s="208"/>
      <c r="N970" s="208"/>
      <c r="O970" s="208"/>
      <c r="P970" s="208"/>
      <c r="Q970" s="208"/>
      <c r="R970" s="208"/>
      <c r="S970" s="208"/>
      <c r="T970" s="208"/>
      <c r="U970" s="208"/>
      <c r="V970" s="208"/>
      <c r="W970" s="232"/>
      <c r="X970" s="232"/>
      <c r="Y970" s="232"/>
      <c r="Z970" s="232"/>
      <c r="AA970" s="232"/>
      <c r="AB970" s="232"/>
      <c r="AC970" s="232"/>
      <c r="AD970" s="232"/>
      <c r="AE970" s="232"/>
      <c r="AF970" s="232"/>
      <c r="AG970" s="208"/>
      <c r="AH970" s="208"/>
      <c r="AI970" s="208"/>
      <c r="AJ970" s="208"/>
      <c r="AK970" s="208"/>
    </row>
    <row r="971">
      <c r="A971" s="234"/>
      <c r="B971" s="208"/>
      <c r="C971" s="208"/>
      <c r="D971" s="208"/>
      <c r="E971" s="208"/>
      <c r="F971" s="208"/>
      <c r="G971" s="208"/>
      <c r="H971" s="208"/>
      <c r="I971" s="233"/>
      <c r="J971" s="208"/>
      <c r="K971" s="208"/>
      <c r="L971" s="208"/>
      <c r="M971" s="208"/>
      <c r="N971" s="208"/>
      <c r="O971" s="208"/>
      <c r="P971" s="208"/>
      <c r="Q971" s="208"/>
      <c r="R971" s="208"/>
      <c r="S971" s="208"/>
      <c r="T971" s="208"/>
      <c r="U971" s="208"/>
      <c r="V971" s="208"/>
      <c r="W971" s="232"/>
      <c r="X971" s="232"/>
      <c r="Y971" s="232"/>
      <c r="Z971" s="232"/>
      <c r="AA971" s="232"/>
      <c r="AB971" s="232"/>
      <c r="AC971" s="232"/>
      <c r="AD971" s="232"/>
      <c r="AE971" s="232"/>
      <c r="AF971" s="232"/>
      <c r="AG971" s="208"/>
      <c r="AH971" s="208"/>
      <c r="AI971" s="208"/>
      <c r="AJ971" s="208"/>
      <c r="AK971" s="208"/>
    </row>
    <row r="972">
      <c r="A972" s="234"/>
      <c r="B972" s="208"/>
      <c r="C972" s="208"/>
      <c r="D972" s="208"/>
      <c r="E972" s="208"/>
      <c r="F972" s="208"/>
      <c r="G972" s="208"/>
      <c r="H972" s="208"/>
      <c r="I972" s="233"/>
      <c r="J972" s="208"/>
      <c r="K972" s="208"/>
      <c r="L972" s="208"/>
      <c r="M972" s="208"/>
      <c r="N972" s="208"/>
      <c r="O972" s="208"/>
      <c r="P972" s="208"/>
      <c r="Q972" s="208"/>
      <c r="R972" s="208"/>
      <c r="S972" s="208"/>
      <c r="T972" s="208"/>
      <c r="U972" s="208"/>
      <c r="V972" s="208"/>
      <c r="W972" s="232"/>
      <c r="X972" s="232"/>
      <c r="Y972" s="232"/>
      <c r="Z972" s="232"/>
      <c r="AA972" s="232"/>
      <c r="AB972" s="232"/>
      <c r="AC972" s="232"/>
      <c r="AD972" s="232"/>
      <c r="AE972" s="232"/>
      <c r="AF972" s="232"/>
      <c r="AG972" s="208"/>
      <c r="AH972" s="208"/>
      <c r="AI972" s="208"/>
      <c r="AJ972" s="208"/>
      <c r="AK972" s="208"/>
    </row>
    <row r="973">
      <c r="A973" s="234"/>
      <c r="B973" s="208"/>
      <c r="C973" s="208"/>
      <c r="D973" s="208"/>
      <c r="E973" s="208"/>
      <c r="F973" s="208"/>
      <c r="G973" s="208"/>
      <c r="H973" s="208"/>
      <c r="I973" s="233"/>
      <c r="J973" s="208"/>
      <c r="K973" s="208"/>
      <c r="L973" s="208"/>
      <c r="M973" s="208"/>
      <c r="N973" s="208"/>
      <c r="O973" s="208"/>
      <c r="P973" s="208"/>
      <c r="Q973" s="208"/>
      <c r="R973" s="208"/>
      <c r="S973" s="208"/>
      <c r="T973" s="208"/>
      <c r="U973" s="208"/>
      <c r="V973" s="208"/>
      <c r="W973" s="232"/>
      <c r="X973" s="232"/>
      <c r="Y973" s="232"/>
      <c r="Z973" s="232"/>
      <c r="AA973" s="232"/>
      <c r="AB973" s="232"/>
      <c r="AC973" s="232"/>
      <c r="AD973" s="232"/>
      <c r="AE973" s="232"/>
      <c r="AF973" s="232"/>
      <c r="AG973" s="208"/>
      <c r="AH973" s="208"/>
      <c r="AI973" s="208"/>
      <c r="AJ973" s="208"/>
      <c r="AK973" s="208"/>
    </row>
    <row r="974">
      <c r="A974" s="234"/>
      <c r="B974" s="208"/>
      <c r="C974" s="208"/>
      <c r="D974" s="208"/>
      <c r="E974" s="208"/>
      <c r="F974" s="208"/>
      <c r="G974" s="208"/>
      <c r="H974" s="208"/>
      <c r="I974" s="233"/>
      <c r="J974" s="208"/>
      <c r="K974" s="208"/>
      <c r="L974" s="208"/>
      <c r="M974" s="208"/>
      <c r="N974" s="208"/>
      <c r="O974" s="208"/>
      <c r="P974" s="208"/>
      <c r="Q974" s="208"/>
      <c r="R974" s="208"/>
      <c r="S974" s="208"/>
      <c r="T974" s="208"/>
      <c r="U974" s="208"/>
      <c r="V974" s="208"/>
      <c r="W974" s="232"/>
      <c r="X974" s="232"/>
      <c r="Y974" s="232"/>
      <c r="Z974" s="232"/>
      <c r="AA974" s="232"/>
      <c r="AB974" s="232"/>
      <c r="AC974" s="232"/>
      <c r="AD974" s="232"/>
      <c r="AE974" s="232"/>
      <c r="AF974" s="232"/>
      <c r="AG974" s="208"/>
      <c r="AH974" s="208"/>
      <c r="AI974" s="208"/>
      <c r="AJ974" s="208"/>
      <c r="AK974" s="208"/>
    </row>
    <row r="975">
      <c r="A975" s="234"/>
      <c r="B975" s="208"/>
      <c r="C975" s="208"/>
      <c r="D975" s="208"/>
      <c r="E975" s="208"/>
      <c r="F975" s="208"/>
      <c r="G975" s="208"/>
      <c r="H975" s="208"/>
      <c r="I975" s="233"/>
      <c r="J975" s="208"/>
      <c r="K975" s="208"/>
      <c r="L975" s="208"/>
      <c r="M975" s="208"/>
      <c r="N975" s="208"/>
      <c r="O975" s="208"/>
      <c r="P975" s="208"/>
      <c r="Q975" s="208"/>
      <c r="R975" s="208"/>
      <c r="S975" s="208"/>
      <c r="T975" s="208"/>
      <c r="U975" s="208"/>
      <c r="V975" s="208"/>
      <c r="W975" s="232"/>
      <c r="X975" s="232"/>
      <c r="Y975" s="232"/>
      <c r="Z975" s="232"/>
      <c r="AA975" s="232"/>
      <c r="AB975" s="232"/>
      <c r="AC975" s="232"/>
      <c r="AD975" s="232"/>
      <c r="AE975" s="232"/>
      <c r="AF975" s="232"/>
      <c r="AG975" s="208"/>
      <c r="AH975" s="208"/>
      <c r="AI975" s="208"/>
      <c r="AJ975" s="208"/>
      <c r="AK975" s="208"/>
    </row>
    <row r="976">
      <c r="A976" s="234"/>
      <c r="B976" s="208"/>
      <c r="C976" s="208"/>
      <c r="D976" s="208"/>
      <c r="E976" s="208"/>
      <c r="F976" s="208"/>
      <c r="G976" s="208"/>
      <c r="H976" s="208"/>
      <c r="I976" s="233"/>
      <c r="J976" s="208"/>
      <c r="K976" s="208"/>
      <c r="L976" s="208"/>
      <c r="M976" s="208"/>
      <c r="N976" s="208"/>
      <c r="O976" s="208"/>
      <c r="P976" s="208"/>
      <c r="Q976" s="208"/>
      <c r="R976" s="208"/>
      <c r="S976" s="208"/>
      <c r="T976" s="208"/>
      <c r="U976" s="208"/>
      <c r="V976" s="208"/>
      <c r="W976" s="232"/>
      <c r="X976" s="232"/>
      <c r="Y976" s="232"/>
      <c r="Z976" s="232"/>
      <c r="AA976" s="232"/>
      <c r="AB976" s="232"/>
      <c r="AC976" s="232"/>
      <c r="AD976" s="232"/>
      <c r="AE976" s="232"/>
      <c r="AF976" s="232"/>
      <c r="AG976" s="208"/>
      <c r="AH976" s="208"/>
      <c r="AI976" s="208"/>
      <c r="AJ976" s="208"/>
      <c r="AK976" s="208"/>
    </row>
    <row r="977">
      <c r="A977" s="234"/>
      <c r="B977" s="208"/>
      <c r="C977" s="208"/>
      <c r="D977" s="208"/>
      <c r="E977" s="208"/>
      <c r="F977" s="208"/>
      <c r="G977" s="208"/>
      <c r="H977" s="208"/>
      <c r="I977" s="233"/>
      <c r="J977" s="208"/>
      <c r="K977" s="208"/>
      <c r="L977" s="208"/>
      <c r="M977" s="208"/>
      <c r="N977" s="208"/>
      <c r="O977" s="208"/>
      <c r="P977" s="208"/>
      <c r="Q977" s="208"/>
      <c r="R977" s="208"/>
      <c r="S977" s="208"/>
      <c r="T977" s="208"/>
      <c r="U977" s="208"/>
      <c r="V977" s="208"/>
      <c r="W977" s="232"/>
      <c r="X977" s="232"/>
      <c r="Y977" s="232"/>
      <c r="Z977" s="232"/>
      <c r="AA977" s="232"/>
      <c r="AB977" s="232"/>
      <c r="AC977" s="232"/>
      <c r="AD977" s="232"/>
      <c r="AE977" s="232"/>
      <c r="AF977" s="232"/>
      <c r="AG977" s="208"/>
      <c r="AH977" s="208"/>
      <c r="AI977" s="208"/>
      <c r="AJ977" s="208"/>
      <c r="AK977" s="208"/>
    </row>
    <row r="978">
      <c r="A978" s="234"/>
      <c r="B978" s="208"/>
      <c r="C978" s="208"/>
      <c r="D978" s="208"/>
      <c r="E978" s="208"/>
      <c r="F978" s="208"/>
      <c r="G978" s="208"/>
      <c r="H978" s="208"/>
      <c r="I978" s="233"/>
      <c r="J978" s="208"/>
      <c r="K978" s="208"/>
      <c r="L978" s="208"/>
      <c r="M978" s="208"/>
      <c r="N978" s="208"/>
      <c r="O978" s="208"/>
      <c r="P978" s="208"/>
      <c r="Q978" s="208"/>
      <c r="R978" s="208"/>
      <c r="S978" s="208"/>
      <c r="T978" s="208"/>
      <c r="U978" s="208"/>
      <c r="V978" s="208"/>
      <c r="W978" s="232"/>
      <c r="X978" s="232"/>
      <c r="Y978" s="232"/>
      <c r="Z978" s="232"/>
      <c r="AA978" s="232"/>
      <c r="AB978" s="232"/>
      <c r="AC978" s="232"/>
      <c r="AD978" s="232"/>
      <c r="AE978" s="232"/>
      <c r="AF978" s="232"/>
      <c r="AG978" s="208"/>
      <c r="AH978" s="208"/>
      <c r="AI978" s="208"/>
      <c r="AJ978" s="208"/>
      <c r="AK978" s="208"/>
    </row>
    <row r="979">
      <c r="A979" s="234"/>
      <c r="B979" s="208"/>
      <c r="C979" s="208"/>
      <c r="D979" s="208"/>
      <c r="E979" s="208"/>
      <c r="F979" s="208"/>
      <c r="G979" s="208"/>
      <c r="H979" s="208"/>
      <c r="I979" s="233"/>
      <c r="J979" s="208"/>
      <c r="K979" s="208"/>
      <c r="L979" s="208"/>
      <c r="M979" s="208"/>
      <c r="N979" s="208"/>
      <c r="O979" s="208"/>
      <c r="P979" s="208"/>
      <c r="Q979" s="208"/>
      <c r="R979" s="208"/>
      <c r="S979" s="208"/>
      <c r="T979" s="208"/>
      <c r="U979" s="208"/>
      <c r="V979" s="208"/>
      <c r="W979" s="232"/>
      <c r="X979" s="232"/>
      <c r="Y979" s="232"/>
      <c r="Z979" s="232"/>
      <c r="AA979" s="232"/>
      <c r="AB979" s="232"/>
      <c r="AC979" s="232"/>
      <c r="AD979" s="232"/>
      <c r="AE979" s="232"/>
      <c r="AF979" s="232"/>
      <c r="AG979" s="208"/>
      <c r="AH979" s="208"/>
      <c r="AI979" s="208"/>
      <c r="AJ979" s="208"/>
      <c r="AK979" s="208"/>
    </row>
    <row r="980">
      <c r="A980" s="234"/>
      <c r="B980" s="208"/>
      <c r="C980" s="208"/>
      <c r="D980" s="208"/>
      <c r="E980" s="208"/>
      <c r="F980" s="208"/>
      <c r="G980" s="208"/>
      <c r="H980" s="208"/>
      <c r="I980" s="233"/>
      <c r="J980" s="208"/>
      <c r="K980" s="208"/>
      <c r="L980" s="208"/>
      <c r="M980" s="208"/>
      <c r="N980" s="208"/>
      <c r="O980" s="208"/>
      <c r="P980" s="208"/>
      <c r="Q980" s="208"/>
      <c r="R980" s="208"/>
      <c r="S980" s="208"/>
      <c r="T980" s="208"/>
      <c r="U980" s="208"/>
      <c r="V980" s="208"/>
      <c r="W980" s="232"/>
      <c r="X980" s="232"/>
      <c r="Y980" s="232"/>
      <c r="Z980" s="232"/>
      <c r="AA980" s="232"/>
      <c r="AB980" s="232"/>
      <c r="AC980" s="232"/>
      <c r="AD980" s="232"/>
      <c r="AE980" s="232"/>
      <c r="AF980" s="232"/>
      <c r="AG980" s="208"/>
      <c r="AH980" s="208"/>
      <c r="AI980" s="208"/>
      <c r="AJ980" s="208"/>
      <c r="AK980" s="208"/>
    </row>
    <row r="981">
      <c r="A981" s="234"/>
      <c r="B981" s="208"/>
      <c r="C981" s="208"/>
      <c r="D981" s="208"/>
      <c r="E981" s="208"/>
      <c r="F981" s="208"/>
      <c r="G981" s="208"/>
      <c r="H981" s="208"/>
      <c r="I981" s="233"/>
      <c r="J981" s="208"/>
      <c r="K981" s="208"/>
      <c r="L981" s="208"/>
      <c r="M981" s="208"/>
      <c r="N981" s="208"/>
      <c r="O981" s="208"/>
      <c r="P981" s="208"/>
      <c r="Q981" s="208"/>
      <c r="R981" s="208"/>
      <c r="S981" s="208"/>
      <c r="T981" s="208"/>
      <c r="U981" s="208"/>
      <c r="V981" s="208"/>
      <c r="W981" s="232"/>
      <c r="X981" s="232"/>
      <c r="Y981" s="232"/>
      <c r="Z981" s="232"/>
      <c r="AA981" s="232"/>
      <c r="AB981" s="232"/>
      <c r="AC981" s="232"/>
      <c r="AD981" s="232"/>
      <c r="AE981" s="232"/>
      <c r="AF981" s="232"/>
      <c r="AG981" s="208"/>
      <c r="AH981" s="208"/>
      <c r="AI981" s="208"/>
      <c r="AJ981" s="208"/>
      <c r="AK981" s="208"/>
    </row>
    <row r="982">
      <c r="A982" s="234"/>
      <c r="B982" s="208"/>
      <c r="C982" s="208"/>
      <c r="D982" s="208"/>
      <c r="E982" s="208"/>
      <c r="F982" s="208"/>
      <c r="G982" s="208"/>
      <c r="H982" s="208"/>
      <c r="I982" s="233"/>
      <c r="J982" s="208"/>
      <c r="K982" s="208"/>
      <c r="L982" s="208"/>
      <c r="M982" s="208"/>
      <c r="N982" s="208"/>
      <c r="O982" s="208"/>
      <c r="P982" s="208"/>
      <c r="Q982" s="208"/>
      <c r="R982" s="208"/>
      <c r="S982" s="208"/>
      <c r="T982" s="208"/>
      <c r="U982" s="208"/>
      <c r="V982" s="208"/>
      <c r="W982" s="232"/>
      <c r="X982" s="232"/>
      <c r="Y982" s="232"/>
      <c r="Z982" s="232"/>
      <c r="AA982" s="232"/>
      <c r="AB982" s="232"/>
      <c r="AC982" s="232"/>
      <c r="AD982" s="232"/>
      <c r="AE982" s="232"/>
      <c r="AF982" s="232"/>
      <c r="AG982" s="208"/>
      <c r="AH982" s="208"/>
      <c r="AI982" s="208"/>
      <c r="AJ982" s="208"/>
      <c r="AK982" s="208"/>
    </row>
    <row r="983">
      <c r="A983" s="234"/>
      <c r="B983" s="208"/>
      <c r="C983" s="208"/>
      <c r="D983" s="208"/>
      <c r="E983" s="208"/>
      <c r="F983" s="208"/>
      <c r="G983" s="208"/>
      <c r="H983" s="208"/>
      <c r="I983" s="233"/>
      <c r="J983" s="208"/>
      <c r="K983" s="208"/>
      <c r="L983" s="208"/>
      <c r="M983" s="208"/>
      <c r="N983" s="208"/>
      <c r="O983" s="208"/>
      <c r="P983" s="208"/>
      <c r="Q983" s="208"/>
      <c r="R983" s="208"/>
      <c r="S983" s="208"/>
      <c r="T983" s="208"/>
      <c r="U983" s="208"/>
      <c r="V983" s="208"/>
      <c r="W983" s="232"/>
      <c r="X983" s="232"/>
      <c r="Y983" s="232"/>
      <c r="Z983" s="232"/>
      <c r="AA983" s="232"/>
      <c r="AB983" s="232"/>
      <c r="AC983" s="232"/>
      <c r="AD983" s="232"/>
      <c r="AE983" s="232"/>
      <c r="AF983" s="232"/>
      <c r="AG983" s="208"/>
      <c r="AH983" s="208"/>
      <c r="AI983" s="208"/>
      <c r="AJ983" s="208"/>
      <c r="AK983" s="208"/>
    </row>
    <row r="984">
      <c r="A984" s="234"/>
      <c r="B984" s="208"/>
      <c r="C984" s="208"/>
      <c r="D984" s="208"/>
      <c r="E984" s="208"/>
      <c r="F984" s="208"/>
      <c r="G984" s="208"/>
      <c r="H984" s="208"/>
      <c r="I984" s="233"/>
      <c r="J984" s="208"/>
      <c r="K984" s="208"/>
      <c r="L984" s="208"/>
      <c r="M984" s="208"/>
      <c r="N984" s="208"/>
      <c r="O984" s="208"/>
      <c r="P984" s="208"/>
      <c r="Q984" s="208"/>
      <c r="R984" s="208"/>
      <c r="S984" s="208"/>
      <c r="T984" s="208"/>
      <c r="U984" s="208"/>
      <c r="V984" s="208"/>
      <c r="W984" s="232"/>
      <c r="X984" s="232"/>
      <c r="Y984" s="232"/>
      <c r="Z984" s="232"/>
      <c r="AA984" s="232"/>
      <c r="AB984" s="232"/>
      <c r="AC984" s="232"/>
      <c r="AD984" s="232"/>
      <c r="AE984" s="232"/>
      <c r="AF984" s="232"/>
      <c r="AG984" s="208"/>
      <c r="AH984" s="208"/>
      <c r="AI984" s="208"/>
      <c r="AJ984" s="208"/>
      <c r="AK984" s="208"/>
    </row>
    <row r="985">
      <c r="A985" s="234"/>
      <c r="B985" s="208"/>
      <c r="C985" s="208"/>
      <c r="D985" s="208"/>
      <c r="E985" s="208"/>
      <c r="F985" s="208"/>
      <c r="G985" s="208"/>
      <c r="H985" s="208"/>
      <c r="I985" s="233"/>
      <c r="J985" s="208"/>
      <c r="K985" s="208"/>
      <c r="L985" s="208"/>
      <c r="M985" s="208"/>
      <c r="N985" s="208"/>
      <c r="O985" s="208"/>
      <c r="P985" s="208"/>
      <c r="Q985" s="208"/>
      <c r="R985" s="208"/>
      <c r="S985" s="208"/>
      <c r="T985" s="208"/>
      <c r="U985" s="208"/>
      <c r="V985" s="208"/>
      <c r="W985" s="232"/>
      <c r="X985" s="232"/>
      <c r="Y985" s="232"/>
      <c r="Z985" s="232"/>
      <c r="AA985" s="232"/>
      <c r="AB985" s="232"/>
      <c r="AC985" s="232"/>
      <c r="AD985" s="232"/>
      <c r="AE985" s="232"/>
      <c r="AF985" s="232"/>
      <c r="AG985" s="208"/>
      <c r="AH985" s="208"/>
      <c r="AI985" s="208"/>
      <c r="AJ985" s="208"/>
      <c r="AK985" s="208"/>
    </row>
    <row r="986">
      <c r="A986" s="234"/>
      <c r="B986" s="208"/>
      <c r="C986" s="208"/>
      <c r="D986" s="208"/>
      <c r="E986" s="208"/>
      <c r="F986" s="208"/>
      <c r="G986" s="208"/>
      <c r="H986" s="208"/>
      <c r="I986" s="233"/>
      <c r="J986" s="208"/>
      <c r="K986" s="208"/>
      <c r="L986" s="208"/>
      <c r="M986" s="208"/>
      <c r="N986" s="208"/>
      <c r="O986" s="208"/>
      <c r="P986" s="208"/>
      <c r="Q986" s="208"/>
      <c r="R986" s="208"/>
      <c r="S986" s="208"/>
      <c r="T986" s="208"/>
      <c r="U986" s="208"/>
      <c r="V986" s="208"/>
      <c r="W986" s="232"/>
      <c r="X986" s="232"/>
      <c r="Y986" s="232"/>
      <c r="Z986" s="232"/>
      <c r="AA986" s="232"/>
      <c r="AB986" s="232"/>
      <c r="AC986" s="232"/>
      <c r="AD986" s="232"/>
      <c r="AE986" s="232"/>
      <c r="AF986" s="232"/>
      <c r="AG986" s="208"/>
      <c r="AH986" s="208"/>
      <c r="AI986" s="208"/>
      <c r="AJ986" s="208"/>
      <c r="AK986" s="208"/>
    </row>
    <row r="987">
      <c r="A987" s="234"/>
      <c r="B987" s="208"/>
      <c r="C987" s="208"/>
      <c r="D987" s="208"/>
      <c r="E987" s="208"/>
      <c r="F987" s="208"/>
      <c r="G987" s="208"/>
      <c r="H987" s="208"/>
      <c r="I987" s="233"/>
      <c r="J987" s="208"/>
      <c r="K987" s="208"/>
      <c r="L987" s="208"/>
      <c r="M987" s="208"/>
      <c r="N987" s="208"/>
      <c r="O987" s="208"/>
      <c r="P987" s="208"/>
      <c r="Q987" s="208"/>
      <c r="R987" s="208"/>
      <c r="S987" s="208"/>
      <c r="T987" s="208"/>
      <c r="U987" s="208"/>
      <c r="V987" s="208"/>
      <c r="W987" s="232"/>
      <c r="X987" s="232"/>
      <c r="Y987" s="232"/>
      <c r="Z987" s="232"/>
      <c r="AA987" s="232"/>
      <c r="AB987" s="232"/>
      <c r="AC987" s="232"/>
      <c r="AD987" s="232"/>
      <c r="AE987" s="232"/>
      <c r="AF987" s="232"/>
      <c r="AG987" s="208"/>
      <c r="AH987" s="208"/>
      <c r="AI987" s="208"/>
      <c r="AJ987" s="208"/>
      <c r="AK987" s="208"/>
    </row>
    <row r="988">
      <c r="A988" s="234"/>
      <c r="B988" s="208"/>
      <c r="C988" s="208"/>
      <c r="D988" s="208"/>
      <c r="E988" s="208"/>
      <c r="F988" s="208"/>
      <c r="G988" s="208"/>
      <c r="H988" s="208"/>
      <c r="I988" s="233"/>
      <c r="J988" s="208"/>
      <c r="K988" s="208"/>
      <c r="L988" s="208"/>
      <c r="M988" s="208"/>
      <c r="N988" s="208"/>
      <c r="O988" s="208"/>
      <c r="P988" s="208"/>
      <c r="Q988" s="208"/>
      <c r="R988" s="208"/>
      <c r="S988" s="208"/>
      <c r="T988" s="208"/>
      <c r="U988" s="208"/>
      <c r="V988" s="208"/>
      <c r="W988" s="232"/>
      <c r="X988" s="232"/>
      <c r="Y988" s="232"/>
      <c r="Z988" s="232"/>
      <c r="AA988" s="232"/>
      <c r="AB988" s="232"/>
      <c r="AC988" s="232"/>
      <c r="AD988" s="232"/>
      <c r="AE988" s="232"/>
      <c r="AF988" s="232"/>
      <c r="AG988" s="208"/>
      <c r="AH988" s="208"/>
      <c r="AI988" s="208"/>
      <c r="AJ988" s="208"/>
      <c r="AK988" s="208"/>
    </row>
    <row r="989">
      <c r="A989" s="234"/>
      <c r="B989" s="208"/>
      <c r="C989" s="208"/>
      <c r="D989" s="208"/>
      <c r="E989" s="208"/>
      <c r="F989" s="208"/>
      <c r="G989" s="208"/>
      <c r="H989" s="208"/>
      <c r="I989" s="233"/>
      <c r="J989" s="208"/>
      <c r="K989" s="208"/>
      <c r="L989" s="208"/>
      <c r="M989" s="208"/>
      <c r="N989" s="208"/>
      <c r="O989" s="208"/>
      <c r="P989" s="208"/>
      <c r="Q989" s="208"/>
      <c r="R989" s="208"/>
      <c r="S989" s="208"/>
      <c r="T989" s="208"/>
      <c r="U989" s="208"/>
      <c r="V989" s="208"/>
      <c r="W989" s="232"/>
      <c r="X989" s="232"/>
      <c r="Y989" s="232"/>
      <c r="Z989" s="232"/>
      <c r="AA989" s="232"/>
      <c r="AB989" s="232"/>
      <c r="AC989" s="232"/>
      <c r="AD989" s="232"/>
      <c r="AE989" s="232"/>
      <c r="AF989" s="232"/>
      <c r="AG989" s="208"/>
      <c r="AH989" s="208"/>
      <c r="AI989" s="208"/>
      <c r="AJ989" s="208"/>
      <c r="AK989" s="208"/>
    </row>
    <row r="990">
      <c r="A990" s="234"/>
      <c r="B990" s="208"/>
      <c r="C990" s="208"/>
      <c r="D990" s="208"/>
      <c r="E990" s="208"/>
      <c r="F990" s="208"/>
      <c r="G990" s="208"/>
      <c r="H990" s="208"/>
      <c r="I990" s="233"/>
      <c r="J990" s="208"/>
      <c r="K990" s="208"/>
      <c r="L990" s="208"/>
      <c r="M990" s="208"/>
      <c r="N990" s="208"/>
      <c r="O990" s="208"/>
      <c r="P990" s="208"/>
      <c r="Q990" s="208"/>
      <c r="R990" s="208"/>
      <c r="S990" s="208"/>
      <c r="T990" s="208"/>
      <c r="U990" s="208"/>
      <c r="V990" s="208"/>
      <c r="W990" s="232"/>
      <c r="X990" s="232"/>
      <c r="Y990" s="232"/>
      <c r="Z990" s="232"/>
      <c r="AA990" s="232"/>
      <c r="AB990" s="232"/>
      <c r="AC990" s="232"/>
      <c r="AD990" s="232"/>
      <c r="AE990" s="232"/>
      <c r="AF990" s="232"/>
      <c r="AG990" s="208"/>
      <c r="AH990" s="208"/>
      <c r="AI990" s="208"/>
      <c r="AJ990" s="208"/>
      <c r="AK990" s="208"/>
    </row>
    <row r="991">
      <c r="A991" s="234"/>
      <c r="B991" s="208"/>
      <c r="C991" s="208"/>
      <c r="D991" s="208"/>
      <c r="E991" s="208"/>
      <c r="F991" s="208"/>
      <c r="G991" s="208"/>
      <c r="H991" s="208"/>
      <c r="I991" s="233"/>
      <c r="J991" s="208"/>
      <c r="K991" s="208"/>
      <c r="L991" s="208"/>
      <c r="M991" s="208"/>
      <c r="N991" s="208"/>
      <c r="O991" s="208"/>
      <c r="P991" s="208"/>
      <c r="Q991" s="208"/>
      <c r="R991" s="208"/>
      <c r="S991" s="208"/>
      <c r="T991" s="208"/>
      <c r="U991" s="208"/>
      <c r="V991" s="208"/>
      <c r="W991" s="232"/>
      <c r="X991" s="232"/>
      <c r="Y991" s="232"/>
      <c r="Z991" s="232"/>
      <c r="AA991" s="232"/>
      <c r="AB991" s="232"/>
      <c r="AC991" s="232"/>
      <c r="AD991" s="232"/>
      <c r="AE991" s="232"/>
      <c r="AF991" s="232"/>
      <c r="AG991" s="208"/>
      <c r="AH991" s="208"/>
      <c r="AI991" s="208"/>
      <c r="AJ991" s="208"/>
      <c r="AK991" s="208"/>
    </row>
    <row r="992">
      <c r="A992" s="234"/>
      <c r="B992" s="208"/>
      <c r="C992" s="208"/>
      <c r="D992" s="208"/>
      <c r="E992" s="208"/>
      <c r="F992" s="208"/>
      <c r="G992" s="208"/>
      <c r="H992" s="208"/>
      <c r="I992" s="233"/>
      <c r="J992" s="208"/>
      <c r="K992" s="208"/>
      <c r="L992" s="208"/>
      <c r="M992" s="208"/>
      <c r="N992" s="208"/>
      <c r="O992" s="208"/>
      <c r="P992" s="208"/>
      <c r="Q992" s="208"/>
      <c r="R992" s="208"/>
      <c r="S992" s="208"/>
      <c r="T992" s="208"/>
      <c r="U992" s="208"/>
      <c r="V992" s="208"/>
      <c r="W992" s="232"/>
      <c r="X992" s="232"/>
      <c r="Y992" s="232"/>
      <c r="Z992" s="232"/>
      <c r="AA992" s="232"/>
      <c r="AB992" s="232"/>
      <c r="AC992" s="232"/>
      <c r="AD992" s="232"/>
      <c r="AE992" s="232"/>
      <c r="AF992" s="232"/>
      <c r="AG992" s="208"/>
      <c r="AH992" s="208"/>
      <c r="AI992" s="208"/>
      <c r="AJ992" s="208"/>
      <c r="AK992" s="208"/>
    </row>
    <row r="993">
      <c r="A993" s="234"/>
      <c r="B993" s="208"/>
      <c r="C993" s="208"/>
      <c r="D993" s="208"/>
      <c r="E993" s="208"/>
      <c r="F993" s="208"/>
      <c r="G993" s="208"/>
      <c r="H993" s="208"/>
      <c r="I993" s="233"/>
      <c r="J993" s="208"/>
      <c r="K993" s="208"/>
      <c r="L993" s="208"/>
      <c r="M993" s="208"/>
      <c r="N993" s="208"/>
      <c r="O993" s="208"/>
      <c r="P993" s="208"/>
      <c r="Q993" s="208"/>
      <c r="R993" s="208"/>
      <c r="S993" s="208"/>
      <c r="T993" s="208"/>
      <c r="U993" s="208"/>
      <c r="V993" s="208"/>
      <c r="W993" s="232"/>
      <c r="X993" s="232"/>
      <c r="Y993" s="232"/>
      <c r="Z993" s="232"/>
      <c r="AA993" s="232"/>
      <c r="AB993" s="232"/>
      <c r="AC993" s="232"/>
      <c r="AD993" s="232"/>
      <c r="AE993" s="232"/>
      <c r="AF993" s="232"/>
      <c r="AG993" s="208"/>
      <c r="AH993" s="208"/>
      <c r="AI993" s="208"/>
      <c r="AJ993" s="208"/>
      <c r="AK993" s="208"/>
    </row>
    <row r="994">
      <c r="A994" s="234"/>
      <c r="B994" s="208"/>
      <c r="C994" s="208"/>
      <c r="D994" s="208"/>
      <c r="E994" s="208"/>
      <c r="F994" s="208"/>
      <c r="G994" s="208"/>
      <c r="H994" s="208"/>
      <c r="I994" s="233"/>
      <c r="J994" s="208"/>
      <c r="K994" s="208"/>
      <c r="L994" s="208"/>
      <c r="M994" s="208"/>
      <c r="N994" s="208"/>
      <c r="O994" s="208"/>
      <c r="P994" s="208"/>
      <c r="Q994" s="208"/>
      <c r="R994" s="208"/>
      <c r="S994" s="208"/>
      <c r="T994" s="208"/>
      <c r="U994" s="208"/>
      <c r="V994" s="208"/>
      <c r="W994" s="232"/>
      <c r="X994" s="232"/>
      <c r="Y994" s="232"/>
      <c r="Z994" s="232"/>
      <c r="AA994" s="232"/>
      <c r="AB994" s="232"/>
      <c r="AC994" s="232"/>
      <c r="AD994" s="232"/>
      <c r="AE994" s="232"/>
      <c r="AF994" s="232"/>
      <c r="AG994" s="208"/>
      <c r="AH994" s="208"/>
      <c r="AI994" s="208"/>
      <c r="AJ994" s="208"/>
      <c r="AK994" s="208"/>
    </row>
    <row r="995">
      <c r="A995" s="234"/>
      <c r="B995" s="208"/>
      <c r="C995" s="208"/>
      <c r="D995" s="208"/>
      <c r="E995" s="208"/>
      <c r="F995" s="208"/>
      <c r="G995" s="208"/>
      <c r="H995" s="208"/>
      <c r="I995" s="233"/>
      <c r="J995" s="208"/>
      <c r="K995" s="208"/>
      <c r="L995" s="208"/>
      <c r="M995" s="208"/>
      <c r="N995" s="208"/>
      <c r="O995" s="208"/>
      <c r="P995" s="208"/>
      <c r="Q995" s="208"/>
      <c r="R995" s="208"/>
      <c r="S995" s="208"/>
      <c r="T995" s="208"/>
      <c r="U995" s="208"/>
      <c r="V995" s="208"/>
      <c r="W995" s="232"/>
      <c r="X995" s="232"/>
      <c r="Y995" s="232"/>
      <c r="Z995" s="232"/>
      <c r="AA995" s="232"/>
      <c r="AB995" s="232"/>
      <c r="AC995" s="232"/>
      <c r="AD995" s="232"/>
      <c r="AE995" s="232"/>
      <c r="AF995" s="232"/>
      <c r="AG995" s="208"/>
      <c r="AH995" s="208"/>
      <c r="AI995" s="208"/>
      <c r="AJ995" s="208"/>
      <c r="AK995" s="208"/>
    </row>
    <row r="996">
      <c r="A996" s="234"/>
      <c r="B996" s="208"/>
      <c r="C996" s="208"/>
      <c r="D996" s="208"/>
      <c r="E996" s="208"/>
      <c r="F996" s="208"/>
      <c r="G996" s="208"/>
      <c r="H996" s="208"/>
      <c r="I996" s="233"/>
      <c r="J996" s="208"/>
      <c r="K996" s="208"/>
      <c r="L996" s="208"/>
      <c r="M996" s="208"/>
      <c r="N996" s="208"/>
      <c r="O996" s="208"/>
      <c r="P996" s="208"/>
      <c r="Q996" s="208"/>
      <c r="R996" s="208"/>
      <c r="S996" s="208"/>
      <c r="T996" s="208"/>
      <c r="U996" s="208"/>
      <c r="V996" s="208"/>
      <c r="W996" s="232"/>
      <c r="X996" s="232"/>
      <c r="Y996" s="232"/>
      <c r="Z996" s="232"/>
      <c r="AA996" s="232"/>
      <c r="AB996" s="232"/>
      <c r="AC996" s="232"/>
      <c r="AD996" s="232"/>
      <c r="AE996" s="232"/>
      <c r="AF996" s="232"/>
      <c r="AG996" s="208"/>
      <c r="AH996" s="208"/>
      <c r="AI996" s="208"/>
      <c r="AJ996" s="208"/>
      <c r="AK996" s="208"/>
    </row>
    <row r="997">
      <c r="A997" s="234"/>
      <c r="B997" s="208"/>
      <c r="C997" s="208"/>
      <c r="D997" s="208"/>
      <c r="E997" s="208"/>
      <c r="F997" s="208"/>
      <c r="G997" s="208"/>
      <c r="H997" s="208"/>
      <c r="I997" s="233"/>
      <c r="J997" s="208"/>
      <c r="K997" s="208"/>
      <c r="L997" s="208"/>
      <c r="M997" s="208"/>
      <c r="N997" s="208"/>
      <c r="O997" s="208"/>
      <c r="P997" s="208"/>
      <c r="Q997" s="208"/>
      <c r="R997" s="208"/>
      <c r="S997" s="208"/>
      <c r="T997" s="208"/>
      <c r="U997" s="208"/>
      <c r="V997" s="208"/>
      <c r="W997" s="232"/>
      <c r="X997" s="232"/>
      <c r="Y997" s="232"/>
      <c r="Z997" s="232"/>
      <c r="AA997" s="232"/>
      <c r="AB997" s="232"/>
      <c r="AC997" s="232"/>
      <c r="AD997" s="232"/>
      <c r="AE997" s="232"/>
      <c r="AF997" s="232"/>
      <c r="AG997" s="208"/>
      <c r="AH997" s="208"/>
      <c r="AI997" s="208"/>
      <c r="AJ997" s="208"/>
      <c r="AK997" s="208"/>
    </row>
    <row r="998">
      <c r="A998" s="234"/>
      <c r="B998" s="208"/>
      <c r="C998" s="208"/>
      <c r="D998" s="208"/>
      <c r="E998" s="208"/>
      <c r="F998" s="208"/>
      <c r="G998" s="208"/>
      <c r="H998" s="208"/>
      <c r="I998" s="233"/>
      <c r="J998" s="208"/>
      <c r="K998" s="208"/>
      <c r="L998" s="208"/>
      <c r="M998" s="208"/>
      <c r="N998" s="208"/>
      <c r="O998" s="208"/>
      <c r="P998" s="208"/>
      <c r="Q998" s="208"/>
      <c r="R998" s="208"/>
      <c r="S998" s="208"/>
      <c r="T998" s="208"/>
      <c r="U998" s="208"/>
      <c r="V998" s="208"/>
      <c r="W998" s="232"/>
      <c r="X998" s="232"/>
      <c r="Y998" s="232"/>
      <c r="Z998" s="232"/>
      <c r="AA998" s="232"/>
      <c r="AB998" s="232"/>
      <c r="AC998" s="232"/>
      <c r="AD998" s="232"/>
      <c r="AE998" s="232"/>
      <c r="AF998" s="232"/>
      <c r="AG998" s="208"/>
      <c r="AH998" s="208"/>
      <c r="AI998" s="208"/>
      <c r="AJ998" s="208"/>
      <c r="AK998" s="208"/>
    </row>
    <row r="999">
      <c r="A999" s="234"/>
      <c r="B999" s="208"/>
      <c r="C999" s="208"/>
      <c r="D999" s="208"/>
      <c r="E999" s="208"/>
      <c r="F999" s="208"/>
      <c r="G999" s="208"/>
      <c r="H999" s="208"/>
      <c r="I999" s="233"/>
      <c r="J999" s="208"/>
      <c r="K999" s="208"/>
      <c r="L999" s="208"/>
      <c r="M999" s="208"/>
      <c r="N999" s="208"/>
      <c r="O999" s="208"/>
      <c r="P999" s="208"/>
      <c r="Q999" s="208"/>
      <c r="R999" s="208"/>
      <c r="S999" s="208"/>
      <c r="T999" s="208"/>
      <c r="U999" s="208"/>
      <c r="V999" s="208"/>
      <c r="W999" s="232"/>
      <c r="X999" s="232"/>
      <c r="Y999" s="232"/>
      <c r="Z999" s="232"/>
      <c r="AA999" s="232"/>
      <c r="AB999" s="232"/>
      <c r="AC999" s="232"/>
      <c r="AD999" s="232"/>
      <c r="AE999" s="232"/>
      <c r="AF999" s="232"/>
      <c r="AG999" s="208"/>
      <c r="AH999" s="208"/>
      <c r="AI999" s="208"/>
      <c r="AJ999" s="208"/>
      <c r="AK999" s="208"/>
    </row>
    <row r="1000">
      <c r="A1000" s="234"/>
      <c r="B1000" s="208"/>
      <c r="C1000" s="208"/>
      <c r="D1000" s="208"/>
      <c r="E1000" s="208"/>
      <c r="F1000" s="208"/>
      <c r="G1000" s="208"/>
      <c r="H1000" s="208"/>
      <c r="I1000" s="233"/>
      <c r="J1000" s="208"/>
      <c r="K1000" s="208"/>
      <c r="L1000" s="208"/>
      <c r="M1000" s="208"/>
      <c r="N1000" s="208"/>
      <c r="O1000" s="208"/>
      <c r="P1000" s="208"/>
      <c r="Q1000" s="208"/>
      <c r="R1000" s="208"/>
      <c r="S1000" s="208"/>
      <c r="T1000" s="208"/>
      <c r="U1000" s="208"/>
      <c r="V1000" s="208"/>
      <c r="W1000" s="232"/>
      <c r="X1000" s="232"/>
      <c r="Y1000" s="232"/>
      <c r="Z1000" s="232"/>
      <c r="AA1000" s="232"/>
      <c r="AB1000" s="232"/>
      <c r="AC1000" s="232"/>
      <c r="AD1000" s="232"/>
      <c r="AE1000" s="232"/>
      <c r="AF1000" s="232"/>
      <c r="AG1000" s="208"/>
      <c r="AH1000" s="208"/>
      <c r="AI1000" s="208"/>
      <c r="AJ1000" s="208"/>
      <c r="AK1000" s="208"/>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6.63"/>
    <col customWidth="1" min="3" max="3" width="12.75"/>
    <col customWidth="1" min="4" max="4" width="18.88"/>
    <col customWidth="1" min="5" max="5" width="12.5"/>
    <col customWidth="1" min="6" max="6" width="18.13"/>
    <col customWidth="1" min="7" max="7" width="38.13"/>
    <col customWidth="1" min="8" max="8" width="37.63"/>
    <col customWidth="1" min="9" max="9" width="63.75"/>
    <col customWidth="1" min="18" max="18" width="14.25"/>
    <col customWidth="1" min="19" max="19" width="17.63"/>
  </cols>
  <sheetData>
    <row r="1">
      <c r="A1" s="207" t="str">
        <f>IFERROR(__xludf.DUMMYFUNCTION("QUERY(Mastersheet!A1:AF1998, ""SELECT * WHERE E = 'BBW'"", 1)"),"Date")</f>
        <v>Date</v>
      </c>
      <c r="B1" s="207" t="str">
        <f>IFERROR(__xludf.DUMMYFUNCTION("""COMPUTED_VALUE"""),"Send Time")</f>
        <v>Send Time</v>
      </c>
      <c r="C1" s="207" t="str">
        <f>IFERROR(__xludf.DUMMYFUNCTION("""COMPUTED_VALUE"""),"Channel")</f>
        <v>Channel</v>
      </c>
      <c r="D1" s="207" t="str">
        <f>IFERROR(__xludf.DUMMYFUNCTION("""COMPUTED_VALUE"""),"Campaign Type")</f>
        <v>Campaign Type</v>
      </c>
      <c r="E1" s="207" t="str">
        <f>IFERROR(__xludf.DUMMYFUNCTION("""COMPUTED_VALUE"""),"Brand")</f>
        <v>Brand</v>
      </c>
      <c r="F1" s="278" t="str">
        <f>IFERROR(__xludf.DUMMYFUNCTION("""COMPUTED_VALUE"""),"Master Campaign / Offer Category")</f>
        <v>Master Campaign / Offer Category</v>
      </c>
      <c r="G1" s="207" t="str">
        <f>IFERROR(__xludf.DUMMYFUNCTION("""COMPUTED_VALUE"""),"Campaign Name")</f>
        <v>Campaign Name</v>
      </c>
      <c r="H1" s="207" t="str">
        <f>IFERROR(__xludf.DUMMYFUNCTION("""COMPUTED_VALUE"""),"Segment Name")</f>
        <v>Segment Name</v>
      </c>
      <c r="I1" s="207" t="str">
        <f>IFERROR(__xludf.DUMMYFUNCTION("""COMPUTED_VALUE"""),"Segment Logic")</f>
        <v>Segment Logic</v>
      </c>
      <c r="J1" s="207" t="str">
        <f>IFERROR(__xludf.DUMMYFUNCTION("""COMPUTED_VALUE"""),"Total Sent")</f>
        <v>Total Sent</v>
      </c>
      <c r="K1" s="207" t="str">
        <f>IFERROR(__xludf.DUMMYFUNCTION("""COMPUTED_VALUE"""),"Total Delivered")</f>
        <v>Total Delivered</v>
      </c>
      <c r="L1" s="207" t="str">
        <f>IFERROR(__xludf.DUMMYFUNCTION("""COMPUTED_VALUE"""),"Delivery Rate")</f>
        <v>Delivery Rate</v>
      </c>
      <c r="M1" s="207" t="str">
        <f>IFERROR(__xludf.DUMMYFUNCTION("""COMPUTED_VALUE"""),"Total Read")</f>
        <v>Total Read</v>
      </c>
      <c r="N1" s="207" t="str">
        <f>IFERROR(__xludf.DUMMYFUNCTION("""COMPUTED_VALUE"""),"Read Rate")</f>
        <v>Read Rate</v>
      </c>
      <c r="O1" s="207" t="str">
        <f>IFERROR(__xludf.DUMMYFUNCTION("""COMPUTED_VALUE"""),"Total Clicks")</f>
        <v>Total Clicks</v>
      </c>
      <c r="P1" s="207" t="str">
        <f>IFERROR(__xludf.DUMMYFUNCTION("""COMPUTED_VALUE"""),"Unique Clicks")</f>
        <v>Unique Clicks</v>
      </c>
      <c r="Q1" s="207" t="str">
        <f>IFERROR(__xludf.DUMMYFUNCTION("""COMPUTED_VALUE"""),"CTR")</f>
        <v>CTR</v>
      </c>
      <c r="R1" s="207" t="str">
        <f>IFERROR(__xludf.DUMMYFUNCTION("""COMPUTED_VALUE"""),"Click to Open Rate")</f>
        <v>Click to Open Rate</v>
      </c>
      <c r="S1" s="207" t="str">
        <f>IFERROR(__xludf.DUMMYFUNCTION("""COMPUTED_VALUE"""),"Goal 1 Conversions")</f>
        <v>Goal 1 Conversions</v>
      </c>
      <c r="T1" s="207" t="str">
        <f>IFERROR(__xludf.DUMMYFUNCTION("""COMPUTED_VALUE"""),"Goal 2 Add to Cart")</f>
        <v>Goal 2 Add to Cart</v>
      </c>
      <c r="U1" s="207" t="str">
        <f>IFERROR(__xludf.DUMMYFUNCTION("""COMPUTED_VALUE"""),"Total Campaign Revenue INR")</f>
        <v>Total Campaign Revenue INR</v>
      </c>
      <c r="V1" s="278" t="str">
        <f>IFERROR(__xludf.DUMMYFUNCTION("""COMPUTED_VALUE"""),"Campaign Channel Type")</f>
        <v>Campaign Channel Type</v>
      </c>
      <c r="W1" s="207" t="str">
        <f>IFERROR(__xludf.DUMMYFUNCTION("""COMPUTED_VALUE"""),"Template Type")</f>
        <v>Template Type</v>
      </c>
      <c r="X1" s="207" t="str">
        <f>IFERROR(__xludf.DUMMYFUNCTION("""COMPUTED_VALUE"""),"Segment Customer Base Type")</f>
        <v>Segment Customer Base Type</v>
      </c>
      <c r="Y1" s="207" t="str">
        <f>IFERROR(__xludf.DUMMYFUNCTION("""COMPUTED_VALUE"""),"Track Goals for")</f>
        <v>Track Goals for</v>
      </c>
      <c r="Z1" s="207" t="str">
        <f>IFERROR(__xludf.DUMMYFUNCTION("""COMPUTED_VALUE"""),"Campaign ID")</f>
        <v>Campaign ID</v>
      </c>
      <c r="AA1" s="207" t="str">
        <f>IFERROR(__xludf.DUMMYFUNCTION("""COMPUTED_VALUE"""),"Campaign Purchased Customers")</f>
        <v>Campaign Purchased Customers</v>
      </c>
      <c r="AB1" s="207" t="str">
        <f>IFERROR(__xludf.DUMMYFUNCTION("""COMPUTED_VALUE"""),"Campaign Purchased Customers - Online")</f>
        <v>Campaign Purchased Customers - Online</v>
      </c>
      <c r="AC1" s="207" t="str">
        <f>IFERROR(__xludf.DUMMYFUNCTION("""COMPUTED_VALUE"""),"Campaign Purchased Customers - Offline")</f>
        <v>Campaign Purchased Customers - Offline</v>
      </c>
      <c r="AD1" s="207" t="str">
        <f>IFERROR(__xludf.DUMMYFUNCTION("""COMPUTED_VALUE"""),"Influenced Revenue")</f>
        <v>Influenced Revenue</v>
      </c>
      <c r="AE1" s="207" t="str">
        <f>IFERROR(__xludf.DUMMYFUNCTION("""COMPUTED_VALUE"""),"Influenced Revenue - Online")</f>
        <v>Influenced Revenue - Online</v>
      </c>
      <c r="AF1" s="207" t="str">
        <f>IFERROR(__xludf.DUMMYFUNCTION("""COMPUTED_VALUE"""),"Influenced Revenue - Offline")</f>
        <v>Influenced Revenue - Offline</v>
      </c>
      <c r="AG1" s="232"/>
      <c r="AH1" s="232"/>
      <c r="AI1" s="232"/>
      <c r="AJ1" s="232"/>
      <c r="AK1" s="232"/>
    </row>
    <row r="2" hidden="1">
      <c r="A2" s="209">
        <f>IFERROR(__xludf.DUMMYFUNCTION("""COMPUTED_VALUE"""),46024.0)</f>
        <v>46024</v>
      </c>
      <c r="B2" s="210">
        <f>IFERROR(__xludf.DUMMYFUNCTION("""COMPUTED_VALUE"""),0.7708333333321207)</f>
        <v>0.7708333333</v>
      </c>
      <c r="C2" s="211" t="str">
        <f>IFERROR(__xludf.DUMMYFUNCTION("""COMPUTED_VALUE"""),"Whatsapp")</f>
        <v>Whatsapp</v>
      </c>
      <c r="D2" s="211" t="str">
        <f>IFERROR(__xludf.DUMMYFUNCTION("""COMPUTED_VALUE"""),"Promotional")</f>
        <v>Promotional</v>
      </c>
      <c r="E2" s="211" t="str">
        <f>IFERROR(__xludf.DUMMYFUNCTION("""COMPUTED_VALUE"""),"BBW")</f>
        <v>BBW</v>
      </c>
      <c r="F2" s="211" t="str">
        <f>IFERROR(__xludf.DUMMYFUNCTION("""COMPUTED_VALUE"""),"SAS Non- shoppers")</f>
        <v>SAS Non- shoppers</v>
      </c>
      <c r="G2" s="212" t="str">
        <f>IFERROR(__xludf.DUMMYFUNCTION("""COMPUTED_VALUE"""),"bbw_sasnonshoppers2.1_loyal")</f>
        <v>bbw_sasnonshoppers2.1_loyal</v>
      </c>
      <c r="H2" s="212" t="str">
        <f>IFERROR(__xludf.DUMMYFUNCTION("""COMPUTED_VALUE"""),"bbw_onoff_pr_RepeatBuyers_15thDec")</f>
        <v>bbw_onoff_pr_RepeatBuyers_15thDec</v>
      </c>
      <c r="I2" s="212" t="str">
        <f>IFERROR(__xludf.DUMMYFUNCTION("""COMPUTED_VALUE"""),"Customers who have shopped atlteast 2 times and Exclude the event buyers segment")</f>
        <v>Customers who have shopped atlteast 2 times and Exclude the event buyers segment</v>
      </c>
      <c r="J2" s="213">
        <f>IFERROR(__xludf.DUMMYFUNCTION("""COMPUTED_VALUE"""),145861.0)</f>
        <v>145861</v>
      </c>
      <c r="K2" s="213">
        <f>IFERROR(__xludf.DUMMYFUNCTION("""COMPUTED_VALUE"""),58114.0)</f>
        <v>58114</v>
      </c>
      <c r="L2" s="214">
        <f>IFERROR(__xludf.DUMMYFUNCTION("""COMPUTED_VALUE"""),0.398420414)</f>
        <v>0.398420414</v>
      </c>
      <c r="M2" s="213">
        <f>IFERROR(__xludf.DUMMYFUNCTION("""COMPUTED_VALUE"""),20120.0)</f>
        <v>20120</v>
      </c>
      <c r="N2" s="214">
        <f>IFERROR(__xludf.DUMMYFUNCTION("""COMPUTED_VALUE"""),0.3462)</f>
        <v>0.3462</v>
      </c>
      <c r="O2" s="101">
        <f>IFERROR(__xludf.DUMMYFUNCTION("""COMPUTED_VALUE"""),1699.0)</f>
        <v>1699</v>
      </c>
      <c r="P2" s="101">
        <f>IFERROR(__xludf.DUMMYFUNCTION("""COMPUTED_VALUE"""),1601.0)</f>
        <v>1601</v>
      </c>
      <c r="Q2" s="214">
        <f>IFERROR(__xludf.DUMMYFUNCTION("""COMPUTED_VALUE"""),0.0276)</f>
        <v>0.0276</v>
      </c>
      <c r="R2" s="214">
        <f>IFERROR(__xludf.DUMMYFUNCTION("""COMPUTED_VALUE"""),0.0796)</f>
        <v>0.0796</v>
      </c>
      <c r="S2" s="101"/>
      <c r="T2" s="101"/>
      <c r="U2" s="270"/>
      <c r="V2" s="271" t="str">
        <f>IFERROR(__xludf.DUMMYFUNCTION("""COMPUTED_VALUE"""),"Overall")</f>
        <v>Overall</v>
      </c>
      <c r="W2" s="272" t="str">
        <f>IFERROR(__xludf.DUMMYFUNCTION("""COMPUTED_VALUE"""),"simple")</f>
        <v>simple</v>
      </c>
      <c r="X2" s="272" t="str">
        <f>IFERROR(__xludf.DUMMYFUNCTION("""COMPUTED_VALUE"""),"Event Buyers")</f>
        <v>Event Buyers</v>
      </c>
      <c r="Y2" s="272" t="str">
        <f>IFERROR(__xludf.DUMMYFUNCTION("""COMPUTED_VALUE"""),"2nd Jan - 19th Jan")</f>
        <v>2nd Jan - 19th Jan</v>
      </c>
      <c r="Z2" s="272" t="str">
        <f>IFERROR(__xludf.DUMMYFUNCTION("""COMPUTED_VALUE"""),"6957bc9f611b5886851ea87b")</f>
        <v>6957bc9f611b5886851ea87b</v>
      </c>
      <c r="AA2" s="272">
        <f>IFERROR(__xludf.DUMMYFUNCTION("""COMPUTED_VALUE"""),442.0)</f>
        <v>442</v>
      </c>
      <c r="AB2" s="272">
        <f>IFERROR(__xludf.DUMMYFUNCTION("""COMPUTED_VALUE"""),117.0)</f>
        <v>117</v>
      </c>
      <c r="AC2" s="272">
        <f>IFERROR(__xludf.DUMMYFUNCTION("""COMPUTED_VALUE"""),325.0)</f>
        <v>325</v>
      </c>
      <c r="AD2" s="272">
        <f>IFERROR(__xludf.DUMMYFUNCTION("""COMPUTED_VALUE"""),1334427.0)</f>
        <v>1334427</v>
      </c>
      <c r="AE2" s="272">
        <f>IFERROR(__xludf.DUMMYFUNCTION("""COMPUTED_VALUE"""),266478.0)</f>
        <v>266478</v>
      </c>
      <c r="AF2" s="272">
        <f>IFERROR(__xludf.DUMMYFUNCTION("""COMPUTED_VALUE"""),1067949.0)</f>
        <v>1067949</v>
      </c>
      <c r="AG2" s="208"/>
      <c r="AH2" s="208"/>
      <c r="AI2" s="208"/>
      <c r="AJ2" s="208"/>
      <c r="AK2" s="208"/>
    </row>
    <row r="3" hidden="1">
      <c r="A3" s="216">
        <f>IFERROR(__xludf.DUMMYFUNCTION("""COMPUTED_VALUE"""),46024.0)</f>
        <v>46024</v>
      </c>
      <c r="B3" s="217">
        <f>IFERROR(__xludf.DUMMYFUNCTION("""COMPUTED_VALUE"""),0.7708333333321207)</f>
        <v>0.7708333333</v>
      </c>
      <c r="C3" s="211" t="str">
        <f>IFERROR(__xludf.DUMMYFUNCTION("""COMPUTED_VALUE"""),"Whatsapp")</f>
        <v>Whatsapp</v>
      </c>
      <c r="D3" s="211" t="str">
        <f>IFERROR(__xludf.DUMMYFUNCTION("""COMPUTED_VALUE"""),"Promotional")</f>
        <v>Promotional</v>
      </c>
      <c r="E3" s="211" t="str">
        <f>IFERROR(__xludf.DUMMYFUNCTION("""COMPUTED_VALUE"""),"BBW")</f>
        <v>BBW</v>
      </c>
      <c r="F3" s="211" t="str">
        <f>IFERROR(__xludf.DUMMYFUNCTION("""COMPUTED_VALUE"""),"SAS Non- shoppers")</f>
        <v>SAS Non- shoppers</v>
      </c>
      <c r="G3" s="211" t="str">
        <f>IFERROR(__xludf.DUMMYFUNCTION("""COMPUTED_VALUE"""),"bbw_sasnonshoppers2.1_new")</f>
        <v>bbw_sasnonshoppers2.1_new</v>
      </c>
      <c r="H3" s="112" t="str">
        <f>IFERROR(__xludf.DUMMYFUNCTION("""COMPUTED_VALUE"""),"bbw_onoff_pr_NewBuyers_15thDec")</f>
        <v>bbw_onoff_pr_NewBuyers_15thDec</v>
      </c>
      <c r="I3" s="212" t="str">
        <f>IFERROR(__xludf.DUMMYFUNCTION("""COMPUTED_VALUE"""),"Customers who have shopped exactly 1 time AND Exclude the event buyers segment OR  Customers who have purchased from 16th Dec 2025 to 1st Jan 2026")</f>
        <v>Customers who have shopped exactly 1 time AND Exclude the event buyers segment OR  Customers who have purchased from 16th Dec 2025 to 1st Jan 2026</v>
      </c>
      <c r="J3" s="213">
        <f>IFERROR(__xludf.DUMMYFUNCTION("""COMPUTED_VALUE"""),472478.0)</f>
        <v>472478</v>
      </c>
      <c r="K3" s="213">
        <f>IFERROR(__xludf.DUMMYFUNCTION("""COMPUTED_VALUE"""),151579.0)</f>
        <v>151579</v>
      </c>
      <c r="L3" s="279">
        <f>IFERROR(__xludf.DUMMYFUNCTION("""COMPUTED_VALUE"""),0.320817054)</f>
        <v>0.320817054</v>
      </c>
      <c r="M3" s="213">
        <f>IFERROR(__xludf.DUMMYFUNCTION("""COMPUTED_VALUE"""),56018.0)</f>
        <v>56018</v>
      </c>
      <c r="N3" s="214">
        <f>IFERROR(__xludf.DUMMYFUNCTION("""COMPUTED_VALUE"""),0.3697)</f>
        <v>0.3697</v>
      </c>
      <c r="O3" s="213">
        <f>IFERROR(__xludf.DUMMYFUNCTION("""COMPUTED_VALUE"""),2842.0)</f>
        <v>2842</v>
      </c>
      <c r="P3" s="213">
        <f>IFERROR(__xludf.DUMMYFUNCTION("""COMPUTED_VALUE"""),2672.0)</f>
        <v>2672</v>
      </c>
      <c r="Q3" s="214">
        <f>IFERROR(__xludf.DUMMYFUNCTION("""COMPUTED_VALUE"""),0.0176)</f>
        <v>0.0176</v>
      </c>
      <c r="R3" s="214">
        <f>IFERROR(__xludf.DUMMYFUNCTION("""COMPUTED_VALUE"""),0.0477)</f>
        <v>0.0477</v>
      </c>
      <c r="S3" s="101"/>
      <c r="T3" s="101"/>
      <c r="U3" s="213"/>
      <c r="V3" s="271" t="str">
        <f>IFERROR(__xludf.DUMMYFUNCTION("""COMPUTED_VALUE"""),"Overall")</f>
        <v>Overall</v>
      </c>
      <c r="W3" s="98" t="str">
        <f>IFERROR(__xludf.DUMMYFUNCTION("""COMPUTED_VALUE"""),"simple")</f>
        <v>simple</v>
      </c>
      <c r="X3" s="98" t="str">
        <f>IFERROR(__xludf.DUMMYFUNCTION("""COMPUTED_VALUE"""),"Repeat")</f>
        <v>Repeat</v>
      </c>
      <c r="Y3" s="98" t="str">
        <f>IFERROR(__xludf.DUMMYFUNCTION("""COMPUTED_VALUE"""),"2nd Jan - 19th Jan")</f>
        <v>2nd Jan - 19th Jan</v>
      </c>
      <c r="Z3" s="98" t="str">
        <f>IFERROR(__xludf.DUMMYFUNCTION("""COMPUTED_VALUE"""),"6957bcac44e6fe4593e4c44e")</f>
        <v>6957bcac44e6fe4593e4c44e</v>
      </c>
      <c r="AA3" s="98">
        <f>IFERROR(__xludf.DUMMYFUNCTION("""COMPUTED_VALUE"""),473.0)</f>
        <v>473</v>
      </c>
      <c r="AB3" s="98">
        <f>IFERROR(__xludf.DUMMYFUNCTION("""COMPUTED_VALUE"""),95.0)</f>
        <v>95</v>
      </c>
      <c r="AC3" s="98">
        <f>IFERROR(__xludf.DUMMYFUNCTION("""COMPUTED_VALUE"""),378.0)</f>
        <v>378</v>
      </c>
      <c r="AD3" s="98">
        <f>IFERROR(__xludf.DUMMYFUNCTION("""COMPUTED_VALUE"""),1381321.0)</f>
        <v>1381321</v>
      </c>
      <c r="AE3" s="98">
        <f>IFERROR(__xludf.DUMMYFUNCTION("""COMPUTED_VALUE"""),245633.0)</f>
        <v>245633</v>
      </c>
      <c r="AF3" s="98">
        <f>IFERROR(__xludf.DUMMYFUNCTION("""COMPUTED_VALUE"""),1135688.0)</f>
        <v>1135688</v>
      </c>
      <c r="AG3" s="208"/>
      <c r="AH3" s="208"/>
      <c r="AI3" s="208"/>
      <c r="AJ3" s="208"/>
      <c r="AK3" s="208"/>
    </row>
    <row r="4" hidden="1">
      <c r="A4" s="209">
        <f>IFERROR(__xludf.DUMMYFUNCTION("""COMPUTED_VALUE"""),46024.0)</f>
        <v>46024</v>
      </c>
      <c r="B4" s="210">
        <f>IFERROR(__xludf.DUMMYFUNCTION("""COMPUTED_VALUE"""),0.7708333333321207)</f>
        <v>0.7708333333</v>
      </c>
      <c r="C4" s="211" t="str">
        <f>IFERROR(__xludf.DUMMYFUNCTION("""COMPUTED_VALUE"""),"Whatsapp")</f>
        <v>Whatsapp</v>
      </c>
      <c r="D4" s="211" t="str">
        <f>IFERROR(__xludf.DUMMYFUNCTION("""COMPUTED_VALUE"""),"Promotional")</f>
        <v>Promotional</v>
      </c>
      <c r="E4" s="211" t="str">
        <f>IFERROR(__xludf.DUMMYFUNCTION("""COMPUTED_VALUE"""),"BBW")</f>
        <v>BBW</v>
      </c>
      <c r="F4" s="211" t="str">
        <f>IFERROR(__xludf.DUMMYFUNCTION("""COMPUTED_VALUE"""),"SAS Non- shoppers")</f>
        <v>SAS Non- shoppers</v>
      </c>
      <c r="G4" s="212" t="str">
        <f>IFERROR(__xludf.DUMMYFUNCTION("""COMPUTED_VALUE"""),"bbw_sasnonshoppers2.1_eventbuyers")</f>
        <v>bbw_sasnonshoppers2.1_eventbuyers</v>
      </c>
      <c r="H4" s="212" t="str">
        <f>IFERROR(__xludf.DUMMYFUNCTION("""COMPUTED_VALUE"""),"bbw_onoff_pr_EventBuyers_15thDec OR AGIPL_Internal OR BBW_Internal")</f>
        <v>bbw_onoff_pr_EventBuyers_15thDec OR AGIPL_Internal OR BBW_Internal</v>
      </c>
      <c r="I4" s="212" t="str">
        <f>IFERROR(__xludf.DUMMYFUNCTION("""COMPUTED_VALUE"""),"Customers who have purchased between 7th Nov 23 to 11th Nov 23, 23rd Nov 23 to 27th Nov 23,  7th Nov 24 to  11th Nov 24,  26th Nov 24 to 2nd Dec 24, 23rd May 25 to 25th May 25, 5th June 25 to 8th June 25, 5th Jul 25 to 7th Jul 25, 14th Aug 25 to 17th Aug "&amp;"25,  27th Aug 25 to 28th Aug 25, 7th Nov 25 to 11th Nov 25, 12th June 2025 to 20th July 2025, 18th Dec 2024 to 27th Jan 2025")</f>
        <v>Customers who have purchased between 7th Nov 23 to 11th Nov 23, 23rd Nov 23 to 27th Nov 23,  7th Nov 24 to  11th Nov 24,  26th Nov 24 to 2nd Dec 24, 23rd May 25 to 25th May 25, 5th June 25 to 8th June 25, 5th Jul 25 to 7th Jul 25, 14th Aug 25 to 17th Aug 25,  27th Aug 25 to 28th Aug 25, 7th Nov 25 to 11th Nov 25, 12th June 2025 to 20th July 2025, 18th Dec 2024 to 27th Jan 2025</v>
      </c>
      <c r="J4" s="213">
        <f>IFERROR(__xludf.DUMMYFUNCTION("""COMPUTED_VALUE"""),294933.0)</f>
        <v>294933</v>
      </c>
      <c r="K4" s="213">
        <f>IFERROR(__xludf.DUMMYFUNCTION("""COMPUTED_VALUE"""),127347.0)</f>
        <v>127347</v>
      </c>
      <c r="L4" s="214">
        <f>IFERROR(__xludf.DUMMYFUNCTION("""COMPUTED_VALUE"""),0.431782812)</f>
        <v>0.431782812</v>
      </c>
      <c r="M4" s="213">
        <f>IFERROR(__xludf.DUMMYFUNCTION("""COMPUTED_VALUE"""),46134.0)</f>
        <v>46134</v>
      </c>
      <c r="N4" s="214">
        <f>IFERROR(__xludf.DUMMYFUNCTION("""COMPUTED_VALUE"""),0.3623)</f>
        <v>0.3623</v>
      </c>
      <c r="O4" s="101">
        <f>IFERROR(__xludf.DUMMYFUNCTION("""COMPUTED_VALUE"""),3661.0)</f>
        <v>3661</v>
      </c>
      <c r="P4" s="101">
        <f>IFERROR(__xludf.DUMMYFUNCTION("""COMPUTED_VALUE"""),3464.0)</f>
        <v>3464</v>
      </c>
      <c r="Q4" s="214">
        <f>IFERROR(__xludf.DUMMYFUNCTION("""COMPUTED_VALUE"""),0.0272)</f>
        <v>0.0272</v>
      </c>
      <c r="R4" s="214">
        <f>IFERROR(__xludf.DUMMYFUNCTION("""COMPUTED_VALUE"""),0.0751)</f>
        <v>0.0751</v>
      </c>
      <c r="S4" s="101"/>
      <c r="T4" s="101"/>
      <c r="U4" s="270"/>
      <c r="V4" s="271" t="str">
        <f>IFERROR(__xludf.DUMMYFUNCTION("""COMPUTED_VALUE"""),"Overall")</f>
        <v>Overall</v>
      </c>
      <c r="W4" s="272" t="str">
        <f>IFERROR(__xludf.DUMMYFUNCTION("""COMPUTED_VALUE"""),"simple")</f>
        <v>simple</v>
      </c>
      <c r="X4" s="272" t="str">
        <f>IFERROR(__xludf.DUMMYFUNCTION("""COMPUTED_VALUE"""),"New")</f>
        <v>New</v>
      </c>
      <c r="Y4" s="272" t="str">
        <f>IFERROR(__xludf.DUMMYFUNCTION("""COMPUTED_VALUE"""),"2nd Jan - 19th Jan")</f>
        <v>2nd Jan - 19th Jan</v>
      </c>
      <c r="Z4" s="272" t="str">
        <f>IFERROR(__xludf.DUMMYFUNCTION("""COMPUTED_VALUE"""),"6957bcbea2c2afb4cb08d044")</f>
        <v>6957bcbea2c2afb4cb08d044</v>
      </c>
      <c r="AA4" s="272">
        <f>IFERROR(__xludf.DUMMYFUNCTION("""COMPUTED_VALUE"""),1195.0)</f>
        <v>1195</v>
      </c>
      <c r="AB4" s="272">
        <f>IFERROR(__xludf.DUMMYFUNCTION("""COMPUTED_VALUE"""),285.0)</f>
        <v>285</v>
      </c>
      <c r="AC4" s="272">
        <f>IFERROR(__xludf.DUMMYFUNCTION("""COMPUTED_VALUE"""),910.0)</f>
        <v>910</v>
      </c>
      <c r="AD4" s="272">
        <f>IFERROR(__xludf.DUMMYFUNCTION("""COMPUTED_VALUE"""),3720219.0)</f>
        <v>3720219</v>
      </c>
      <c r="AE4" s="272">
        <f>IFERROR(__xludf.DUMMYFUNCTION("""COMPUTED_VALUE"""),783172.0)</f>
        <v>783172</v>
      </c>
      <c r="AF4" s="272">
        <f>IFERROR(__xludf.DUMMYFUNCTION("""COMPUTED_VALUE"""),2937047.0)</f>
        <v>2937047</v>
      </c>
      <c r="AG4" s="208"/>
      <c r="AH4" s="208"/>
      <c r="AI4" s="208"/>
      <c r="AJ4" s="208"/>
      <c r="AK4" s="208"/>
    </row>
    <row r="5" hidden="1">
      <c r="A5" s="245">
        <f>IFERROR(__xludf.DUMMYFUNCTION("""COMPUTED_VALUE"""),46024.0)</f>
        <v>46024</v>
      </c>
      <c r="B5" s="246">
        <f>IFERROR(__xludf.DUMMYFUNCTION("""COMPUTED_VALUE"""),0.8333333333321207)</f>
        <v>0.8333333333</v>
      </c>
      <c r="C5" s="221" t="str">
        <f>IFERROR(__xludf.DUMMYFUNCTION("""COMPUTED_VALUE"""),"Sms")</f>
        <v>Sms</v>
      </c>
      <c r="D5" s="221" t="str">
        <f>IFERROR(__xludf.DUMMYFUNCTION("""COMPUTED_VALUE"""),"Fallback Campaign")</f>
        <v>Fallback Campaign</v>
      </c>
      <c r="E5" s="221" t="str">
        <f>IFERROR(__xludf.DUMMYFUNCTION("""COMPUTED_VALUE"""),"BBW")</f>
        <v>BBW</v>
      </c>
      <c r="F5" s="222" t="str">
        <f>IFERROR(__xludf.DUMMYFUNCTION("""COMPUTED_VALUE"""),"SAS Non- shoppers")</f>
        <v>SAS Non- shoppers</v>
      </c>
      <c r="G5" s="221" t="str">
        <f>IFERROR(__xludf.DUMMYFUNCTION("""COMPUTED_VALUE"""),"bbw_sasnonshoppers2.1_eventbuyersfb")</f>
        <v>bbw_sasnonshoppers2.1_eventbuyersfb</v>
      </c>
      <c r="H5" s="269" t="str">
        <f>IFERROR(__xludf.DUMMYFUNCTION("""COMPUTED_VALUE"""),"bbw_onoff_pr_EventBuyers_15thDec OR AGIPL_Internal OR BBW_Internal")</f>
        <v>bbw_onoff_pr_EventBuyers_15thDec OR AGIPL_Internal OR BBW_Internal</v>
      </c>
      <c r="I5" s="223" t="str">
        <f>IFERROR(__xludf.DUMMYFUNCTION("""COMPUTED_VALUE"""),"WA Undelivered")</f>
        <v>WA Undelivered</v>
      </c>
      <c r="J5" s="213">
        <f>IFERROR(__xludf.DUMMYFUNCTION("""COMPUTED_VALUE"""),160059.0)</f>
        <v>160059</v>
      </c>
      <c r="K5" s="213">
        <f>IFERROR(__xludf.DUMMYFUNCTION("""COMPUTED_VALUE"""),91025.0)</f>
        <v>91025</v>
      </c>
      <c r="L5" s="214">
        <f>IFERROR(__xludf.DUMMYFUNCTION("""COMPUTED_VALUE"""),0.568696543)</f>
        <v>0.568696543</v>
      </c>
      <c r="M5" s="213"/>
      <c r="N5" s="214"/>
      <c r="O5" s="213">
        <f>IFERROR(__xludf.DUMMYFUNCTION("""COMPUTED_VALUE"""),274.0)</f>
        <v>274</v>
      </c>
      <c r="P5" s="213"/>
      <c r="Q5" s="214">
        <f>IFERROR(__xludf.DUMMYFUNCTION("""COMPUTED_VALUE"""),0.003)</f>
        <v>0.003</v>
      </c>
      <c r="R5" s="214"/>
      <c r="S5" s="101">
        <f>IFERROR(__xludf.DUMMYFUNCTION("""COMPUTED_VALUE"""),19.0)</f>
        <v>19</v>
      </c>
      <c r="T5" s="101">
        <f>IFERROR(__xludf.DUMMYFUNCTION("""COMPUTED_VALUE"""),47.0)</f>
        <v>47</v>
      </c>
      <c r="U5" s="213">
        <f>IFERROR(__xludf.DUMMYFUNCTION("""COMPUTED_VALUE"""),61163.0)</f>
        <v>61163</v>
      </c>
      <c r="V5" s="271" t="str">
        <f>IFERROR(__xludf.DUMMYFUNCTION("""COMPUTED_VALUE"""),"Overall")</f>
        <v>Overall</v>
      </c>
      <c r="W5" s="98" t="str">
        <f>IFERROR(__xludf.DUMMYFUNCTION("""COMPUTED_VALUE"""),"SMS")</f>
        <v>SMS</v>
      </c>
      <c r="X5" s="98" t="str">
        <f>IFERROR(__xludf.DUMMYFUNCTION("""COMPUTED_VALUE"""),"Event Buyers")</f>
        <v>Event Buyers</v>
      </c>
      <c r="Y5" s="98" t="str">
        <f>IFERROR(__xludf.DUMMYFUNCTION("""COMPUTED_VALUE"""),"2nd Jan - 19th Jan")</f>
        <v>2nd Jan - 19th Jan</v>
      </c>
      <c r="Z5" s="98" t="str">
        <f>IFERROR(__xludf.DUMMYFUNCTION("""COMPUTED_VALUE"""),"6957bf5de4947195f782dbda")</f>
        <v>6957bf5de4947195f782dbda</v>
      </c>
      <c r="AA5" s="98">
        <f>IFERROR(__xludf.DUMMYFUNCTION("""COMPUTED_VALUE"""),850.0)</f>
        <v>850</v>
      </c>
      <c r="AB5" s="98">
        <f>IFERROR(__xludf.DUMMYFUNCTION("""COMPUTED_VALUE"""),152.0)</f>
        <v>152</v>
      </c>
      <c r="AC5" s="98">
        <f>IFERROR(__xludf.DUMMYFUNCTION("""COMPUTED_VALUE"""),698.0)</f>
        <v>698</v>
      </c>
      <c r="AD5" s="98">
        <f>IFERROR(__xludf.DUMMYFUNCTION("""COMPUTED_VALUE"""),2675545.0)</f>
        <v>2675545</v>
      </c>
      <c r="AE5" s="98">
        <f>IFERROR(__xludf.DUMMYFUNCTION("""COMPUTED_VALUE"""),406060.0)</f>
        <v>406060</v>
      </c>
      <c r="AF5" s="98">
        <f>IFERROR(__xludf.DUMMYFUNCTION("""COMPUTED_VALUE"""),2269485.0)</f>
        <v>2269485</v>
      </c>
      <c r="AG5" s="208"/>
      <c r="AH5" s="208"/>
      <c r="AI5" s="208"/>
      <c r="AJ5" s="208"/>
      <c r="AK5" s="208"/>
    </row>
    <row r="6" hidden="1">
      <c r="A6" s="209">
        <f>IFERROR(__xludf.DUMMYFUNCTION("""COMPUTED_VALUE"""),46024.0)</f>
        <v>46024</v>
      </c>
      <c r="B6" s="210">
        <f>IFERROR(__xludf.DUMMYFUNCTION("""COMPUTED_VALUE"""),0.8333333333321207)</f>
        <v>0.8333333333</v>
      </c>
      <c r="C6" s="211" t="str">
        <f>IFERROR(__xludf.DUMMYFUNCTION("""COMPUTED_VALUE"""),"Sms")</f>
        <v>Sms</v>
      </c>
      <c r="D6" s="211" t="str">
        <f>IFERROR(__xludf.DUMMYFUNCTION("""COMPUTED_VALUE"""),"Fallback Campaign")</f>
        <v>Fallback Campaign</v>
      </c>
      <c r="E6" s="211" t="str">
        <f>IFERROR(__xludf.DUMMYFUNCTION("""COMPUTED_VALUE"""),"BBW")</f>
        <v>BBW</v>
      </c>
      <c r="F6" s="211" t="str">
        <f>IFERROR(__xludf.DUMMYFUNCTION("""COMPUTED_VALUE"""),"SAS Non- shoppers")</f>
        <v>SAS Non- shoppers</v>
      </c>
      <c r="G6" s="212" t="str">
        <f>IFERROR(__xludf.DUMMYFUNCTION("""COMPUTED_VALUE"""),"bbw_sasnonshoppers2.1_newfb")</f>
        <v>bbw_sasnonshoppers2.1_newfb</v>
      </c>
      <c r="H6" s="212" t="str">
        <f>IFERROR(__xludf.DUMMYFUNCTION("""COMPUTED_VALUE"""),"bbw_onoff_pr_NewBuyers_15thDec")</f>
        <v>bbw_onoff_pr_NewBuyers_15thDec</v>
      </c>
      <c r="I6" s="212" t="str">
        <f>IFERROR(__xludf.DUMMYFUNCTION("""COMPUTED_VALUE"""),"WA Undelivered")</f>
        <v>WA Undelivered</v>
      </c>
      <c r="J6" s="213">
        <f>IFERROR(__xludf.DUMMYFUNCTION("""COMPUTED_VALUE"""),310053.0)</f>
        <v>310053</v>
      </c>
      <c r="K6" s="213">
        <f>IFERROR(__xludf.DUMMYFUNCTION("""COMPUTED_VALUE"""),186313.0)</f>
        <v>186313</v>
      </c>
      <c r="L6" s="214">
        <f>IFERROR(__xludf.DUMMYFUNCTION("""COMPUTED_VALUE"""),0.600906942)</f>
        <v>0.600906942</v>
      </c>
      <c r="M6" s="213"/>
      <c r="N6" s="214"/>
      <c r="O6" s="101">
        <f>IFERROR(__xludf.DUMMYFUNCTION("""COMPUTED_VALUE"""),339.0)</f>
        <v>339</v>
      </c>
      <c r="P6" s="101"/>
      <c r="Q6" s="214">
        <f>IFERROR(__xludf.DUMMYFUNCTION("""COMPUTED_VALUE"""),0.0018)</f>
        <v>0.0018</v>
      </c>
      <c r="R6" s="214"/>
      <c r="S6" s="101">
        <f>IFERROR(__xludf.DUMMYFUNCTION("""COMPUTED_VALUE"""),5.0)</f>
        <v>5</v>
      </c>
      <c r="T6" s="101">
        <f>IFERROR(__xludf.DUMMYFUNCTION("""COMPUTED_VALUE"""),32.0)</f>
        <v>32</v>
      </c>
      <c r="U6" s="270">
        <f>IFERROR(__xludf.DUMMYFUNCTION("""COMPUTED_VALUE"""),13036.0)</f>
        <v>13036</v>
      </c>
      <c r="V6" s="271" t="str">
        <f>IFERROR(__xludf.DUMMYFUNCTION("""COMPUTED_VALUE"""),"Overall")</f>
        <v>Overall</v>
      </c>
      <c r="W6" s="272" t="str">
        <f>IFERROR(__xludf.DUMMYFUNCTION("""COMPUTED_VALUE"""),"SMS")</f>
        <v>SMS</v>
      </c>
      <c r="X6" s="272" t="str">
        <f>IFERROR(__xludf.DUMMYFUNCTION("""COMPUTED_VALUE"""),"New")</f>
        <v>New</v>
      </c>
      <c r="Y6" s="272" t="str">
        <f>IFERROR(__xludf.DUMMYFUNCTION("""COMPUTED_VALUE"""),"2nd Jan - 19th Jan")</f>
        <v>2nd Jan - 19th Jan</v>
      </c>
      <c r="Z6" s="272" t="str">
        <f>IFERROR(__xludf.DUMMYFUNCTION("""COMPUTED_VALUE"""),"6957c014bfdf1975c2daaa3b")</f>
        <v>6957c014bfdf1975c2daaa3b</v>
      </c>
      <c r="AA6" s="272">
        <f>IFERROR(__xludf.DUMMYFUNCTION("""COMPUTED_VALUE"""),511.0)</f>
        <v>511</v>
      </c>
      <c r="AB6" s="272">
        <f>IFERROR(__xludf.DUMMYFUNCTION("""COMPUTED_VALUE"""),69.0)</f>
        <v>69</v>
      </c>
      <c r="AC6" s="272">
        <f>IFERROR(__xludf.DUMMYFUNCTION("""COMPUTED_VALUE"""),442.0)</f>
        <v>442</v>
      </c>
      <c r="AD6" s="272">
        <f>IFERROR(__xludf.DUMMYFUNCTION("""COMPUTED_VALUE"""),1633159.0)</f>
        <v>1633159</v>
      </c>
      <c r="AE6" s="272">
        <f>IFERROR(__xludf.DUMMYFUNCTION("""COMPUTED_VALUE"""),195757.0)</f>
        <v>195757</v>
      </c>
      <c r="AF6" s="272">
        <f>IFERROR(__xludf.DUMMYFUNCTION("""COMPUTED_VALUE"""),1437402.0)</f>
        <v>1437402</v>
      </c>
      <c r="AG6" s="208"/>
      <c r="AH6" s="208"/>
      <c r="AI6" s="208"/>
      <c r="AJ6" s="208"/>
      <c r="AK6" s="208"/>
    </row>
    <row r="7" hidden="1">
      <c r="A7" s="209">
        <f>IFERROR(__xludf.DUMMYFUNCTION("""COMPUTED_VALUE"""),46024.0)</f>
        <v>46024</v>
      </c>
      <c r="B7" s="210">
        <f>IFERROR(__xludf.DUMMYFUNCTION("""COMPUTED_VALUE"""),0.8333333333321207)</f>
        <v>0.8333333333</v>
      </c>
      <c r="C7" s="211" t="str">
        <f>IFERROR(__xludf.DUMMYFUNCTION("""COMPUTED_VALUE"""),"Sms")</f>
        <v>Sms</v>
      </c>
      <c r="D7" s="211" t="str">
        <f>IFERROR(__xludf.DUMMYFUNCTION("""COMPUTED_VALUE"""),"Fallback Campaign")</f>
        <v>Fallback Campaign</v>
      </c>
      <c r="E7" s="211" t="str">
        <f>IFERROR(__xludf.DUMMYFUNCTION("""COMPUTED_VALUE"""),"BBW")</f>
        <v>BBW</v>
      </c>
      <c r="F7" s="211" t="str">
        <f>IFERROR(__xludf.DUMMYFUNCTION("""COMPUTED_VALUE"""),"SAS Non- shoppers")</f>
        <v>SAS Non- shoppers</v>
      </c>
      <c r="G7" s="212" t="str">
        <f>IFERROR(__xludf.DUMMYFUNCTION("""COMPUTED_VALUE"""),"bbw_sasnonshoppers2.1_loyalfb")</f>
        <v>bbw_sasnonshoppers2.1_loyalfb</v>
      </c>
      <c r="H7" s="212" t="str">
        <f>IFERROR(__xludf.DUMMYFUNCTION("""COMPUTED_VALUE"""),"bbw_onoff_pr_RepeatBuyers_15thDec")</f>
        <v>bbw_onoff_pr_RepeatBuyers_15thDec</v>
      </c>
      <c r="I7" s="212" t="str">
        <f>IFERROR(__xludf.DUMMYFUNCTION("""COMPUTED_VALUE"""),"WA Undelivered")</f>
        <v>WA Undelivered</v>
      </c>
      <c r="J7" s="213">
        <f>IFERROR(__xludf.DUMMYFUNCTION("""COMPUTED_VALUE"""),82722.0)</f>
        <v>82722</v>
      </c>
      <c r="K7" s="213">
        <f>IFERROR(__xludf.DUMMYFUNCTION("""COMPUTED_VALUE"""),46805.0)</f>
        <v>46805</v>
      </c>
      <c r="L7" s="214">
        <f>IFERROR(__xludf.DUMMYFUNCTION("""COMPUTED_VALUE"""),0.565810788)</f>
        <v>0.565810788</v>
      </c>
      <c r="M7" s="213"/>
      <c r="N7" s="214"/>
      <c r="O7" s="101">
        <f>IFERROR(__xludf.DUMMYFUNCTION("""COMPUTED_VALUE"""),154.0)</f>
        <v>154</v>
      </c>
      <c r="P7" s="101"/>
      <c r="Q7" s="214">
        <f>IFERROR(__xludf.DUMMYFUNCTION("""COMPUTED_VALUE"""),0.0033)</f>
        <v>0.0033</v>
      </c>
      <c r="R7" s="214"/>
      <c r="S7" s="101">
        <f>IFERROR(__xludf.DUMMYFUNCTION("""COMPUTED_VALUE"""),7.0)</f>
        <v>7</v>
      </c>
      <c r="T7" s="101">
        <f>IFERROR(__xludf.DUMMYFUNCTION("""COMPUTED_VALUE"""),17.0)</f>
        <v>17</v>
      </c>
      <c r="U7" s="270">
        <f>IFERROR(__xludf.DUMMYFUNCTION("""COMPUTED_VALUE"""),17721.0)</f>
        <v>17721</v>
      </c>
      <c r="V7" s="271" t="str">
        <f>IFERROR(__xludf.DUMMYFUNCTION("""COMPUTED_VALUE"""),"Overall")</f>
        <v>Overall</v>
      </c>
      <c r="W7" s="272" t="str">
        <f>IFERROR(__xludf.DUMMYFUNCTION("""COMPUTED_VALUE"""),"SMS")</f>
        <v>SMS</v>
      </c>
      <c r="X7" s="272" t="str">
        <f>IFERROR(__xludf.DUMMYFUNCTION("""COMPUTED_VALUE"""),"Repeat")</f>
        <v>Repeat</v>
      </c>
      <c r="Y7" s="272" t="str">
        <f>IFERROR(__xludf.DUMMYFUNCTION("""COMPUTED_VALUE"""),"2nd Jan - 19th Jan")</f>
        <v>2nd Jan - 19th Jan</v>
      </c>
      <c r="Z7" s="272" t="str">
        <f>IFERROR(__xludf.DUMMYFUNCTION("""COMPUTED_VALUE"""),"6957c05ba2c2afb4cb08d07a")</f>
        <v>6957c05ba2c2afb4cb08d07a</v>
      </c>
      <c r="AA7" s="272">
        <f>IFERROR(__xludf.DUMMYFUNCTION("""COMPUTED_VALUE"""),313.0)</f>
        <v>313</v>
      </c>
      <c r="AB7" s="272">
        <f>IFERROR(__xludf.DUMMYFUNCTION("""COMPUTED_VALUE"""),65.0)</f>
        <v>65</v>
      </c>
      <c r="AC7" s="272">
        <f>IFERROR(__xludf.DUMMYFUNCTION("""COMPUTED_VALUE"""),248.0)</f>
        <v>248</v>
      </c>
      <c r="AD7" s="272">
        <f>IFERROR(__xludf.DUMMYFUNCTION("""COMPUTED_VALUE"""),1016274.0)</f>
        <v>1016274</v>
      </c>
      <c r="AE7" s="272">
        <f>IFERROR(__xludf.DUMMYFUNCTION("""COMPUTED_VALUE"""),181148.0)</f>
        <v>181148</v>
      </c>
      <c r="AF7" s="272">
        <f>IFERROR(__xludf.DUMMYFUNCTION("""COMPUTED_VALUE"""),835126.0)</f>
        <v>835126</v>
      </c>
      <c r="AG7" s="208"/>
      <c r="AH7" s="208"/>
      <c r="AI7" s="208"/>
      <c r="AJ7" s="208"/>
      <c r="AK7" s="208"/>
    </row>
    <row r="8" hidden="1">
      <c r="A8" s="209">
        <f>IFERROR(__xludf.DUMMYFUNCTION("""COMPUTED_VALUE"""),46030.0)</f>
        <v>46030</v>
      </c>
      <c r="B8" s="210">
        <f>IFERROR(__xludf.DUMMYFUNCTION("""COMPUTED_VALUE"""),0.8333333333321207)</f>
        <v>0.8333333333</v>
      </c>
      <c r="C8" s="211" t="str">
        <f>IFERROR(__xludf.DUMMYFUNCTION("""COMPUTED_VALUE"""),"Sms")</f>
        <v>Sms</v>
      </c>
      <c r="D8" s="211" t="str">
        <f>IFERROR(__xludf.DUMMYFUNCTION("""COMPUTED_VALUE"""),"Promotional")</f>
        <v>Promotional</v>
      </c>
      <c r="E8" s="211" t="str">
        <f>IFERROR(__xludf.DUMMYFUNCTION("""COMPUTED_VALUE"""),"BBW")</f>
        <v>BBW</v>
      </c>
      <c r="F8" s="211" t="str">
        <f>IFERROR(__xludf.DUMMYFUNCTION("""COMPUTED_VALUE"""),"moisturizers999")</f>
        <v>moisturizers999</v>
      </c>
      <c r="G8" s="212" t="str">
        <f>IFERROR(__xludf.DUMMYFUNCTION("""COMPUTED_VALUE"""),"bbw_oeflashsale_moisturizers999_recent")</f>
        <v>bbw_oeflashsale_moisturizers999_recent</v>
      </c>
      <c r="H8" s="212" t="str">
        <f>IFERROR(__xludf.DUMMYFUNCTION("""COMPUTED_VALUE"""),"Recent BB/BC/BL_999_Jan2026")</f>
        <v>Recent BB/BC/BL_999_Jan2026</v>
      </c>
      <c r="I8" s="212" t="str">
        <f>IFERROR(__xludf.DUMMYFUNCTION("""COMPUTED_VALUE"""),"Customer who have purchased Body Cream, Body Lotion, Body Butter in the last 90 days")</f>
        <v>Customer who have purchased Body Cream, Body Lotion, Body Butter in the last 90 days</v>
      </c>
      <c r="J8" s="213">
        <f>IFERROR(__xludf.DUMMYFUNCTION("""COMPUTED_VALUE"""),22025.0)</f>
        <v>22025</v>
      </c>
      <c r="K8" s="213">
        <f>IFERROR(__xludf.DUMMYFUNCTION("""COMPUTED_VALUE"""),12996.0)</f>
        <v>12996</v>
      </c>
      <c r="L8" s="214">
        <f>IFERROR(__xludf.DUMMYFUNCTION("""COMPUTED_VALUE"""),0.5901)</f>
        <v>0.5901</v>
      </c>
      <c r="M8" s="213"/>
      <c r="N8" s="214"/>
      <c r="O8" s="101">
        <f>IFERROR(__xludf.DUMMYFUNCTION("""COMPUTED_VALUE"""),61.0)</f>
        <v>61</v>
      </c>
      <c r="P8" s="101"/>
      <c r="Q8" s="214">
        <f>IFERROR(__xludf.DUMMYFUNCTION("""COMPUTED_VALUE"""),0.0047)</f>
        <v>0.0047</v>
      </c>
      <c r="R8" s="214"/>
      <c r="S8" s="101">
        <f>IFERROR(__xludf.DUMMYFUNCTION("""COMPUTED_VALUE"""),18.0)</f>
        <v>18</v>
      </c>
      <c r="T8" s="101">
        <f>IFERROR(__xludf.DUMMYFUNCTION("""COMPUTED_VALUE"""),42.0)</f>
        <v>42</v>
      </c>
      <c r="U8" s="270">
        <f>IFERROR(__xludf.DUMMYFUNCTION("""COMPUTED_VALUE"""),43671.0)</f>
        <v>43671</v>
      </c>
      <c r="V8" s="271" t="str">
        <f>IFERROR(__xludf.DUMMYFUNCTION("""COMPUTED_VALUE"""),"Overall")</f>
        <v>Overall</v>
      </c>
      <c r="W8" s="272" t="str">
        <f>IFERROR(__xludf.DUMMYFUNCTION("""COMPUTED_VALUE"""),"SMS")</f>
        <v>SMS</v>
      </c>
      <c r="X8" s="272" t="str">
        <f>IFERROR(__xludf.DUMMYFUNCTION("""COMPUTED_VALUE"""),"Recent")</f>
        <v>Recent</v>
      </c>
      <c r="Y8" s="272" t="str">
        <f>IFERROR(__xludf.DUMMYFUNCTION("""COMPUTED_VALUE"""),"8th Jan - 9th Jan")</f>
        <v>8th Jan - 9th Jan</v>
      </c>
      <c r="Z8" s="272" t="str">
        <f>IFERROR(__xludf.DUMMYFUNCTION("""COMPUTED_VALUE"""),"695fa17c3de91625f922b0b2")</f>
        <v>695fa17c3de91625f922b0b2</v>
      </c>
      <c r="AA8" s="272">
        <f>IFERROR(__xludf.DUMMYFUNCTION("""COMPUTED_VALUE"""),108.0)</f>
        <v>108</v>
      </c>
      <c r="AB8" s="272">
        <f>IFERROR(__xludf.DUMMYFUNCTION("""COMPUTED_VALUE"""),86.0)</f>
        <v>86</v>
      </c>
      <c r="AC8" s="272">
        <f>IFERROR(__xludf.DUMMYFUNCTION("""COMPUTED_VALUE"""),22.0)</f>
        <v>22</v>
      </c>
      <c r="AD8" s="272">
        <f>IFERROR(__xludf.DUMMYFUNCTION("""COMPUTED_VALUE"""),229869.0)</f>
        <v>229869</v>
      </c>
      <c r="AE8" s="272">
        <f>IFERROR(__xludf.DUMMYFUNCTION("""COMPUTED_VALUE"""),176825.0)</f>
        <v>176825</v>
      </c>
      <c r="AF8" s="272">
        <f>IFERROR(__xludf.DUMMYFUNCTION("""COMPUTED_VALUE"""),53044.0)</f>
        <v>53044</v>
      </c>
      <c r="AG8" s="208"/>
      <c r="AH8" s="208"/>
      <c r="AI8" s="208"/>
      <c r="AJ8" s="208"/>
      <c r="AK8" s="208"/>
    </row>
    <row r="9" hidden="1">
      <c r="A9" s="245">
        <f>IFERROR(__xludf.DUMMYFUNCTION("""COMPUTED_VALUE"""),46030.0)</f>
        <v>46030</v>
      </c>
      <c r="B9" s="246">
        <f>IFERROR(__xludf.DUMMYFUNCTION("""COMPUTED_VALUE"""),0.8333333333321207)</f>
        <v>0.8333333333</v>
      </c>
      <c r="C9" s="221" t="str">
        <f>IFERROR(__xludf.DUMMYFUNCTION("""COMPUTED_VALUE"""),"Sms")</f>
        <v>Sms</v>
      </c>
      <c r="D9" s="221" t="str">
        <f>IFERROR(__xludf.DUMMYFUNCTION("""COMPUTED_VALUE"""),"Promotional")</f>
        <v>Promotional</v>
      </c>
      <c r="E9" s="221" t="str">
        <f>IFERROR(__xludf.DUMMYFUNCTION("""COMPUTED_VALUE"""),"BBW")</f>
        <v>BBW</v>
      </c>
      <c r="F9" s="222" t="str">
        <f>IFERROR(__xludf.DUMMYFUNCTION("""COMPUTED_VALUE"""),"moisturizers999")</f>
        <v>moisturizers999</v>
      </c>
      <c r="G9" s="221" t="str">
        <f>IFERROR(__xludf.DUMMYFUNCTION("""COMPUTED_VALUE"""),"bbw_oeflashsale_moisturizers999_catmov")</f>
        <v>bbw_oeflashsale_moisturizers999_catmov</v>
      </c>
      <c r="H9" s="269" t="str">
        <f>IFERROR(__xludf.DUMMYFUNCTION("""COMPUTED_VALUE"""),"CatMover_SG Mist_OE_Jan 2026")</f>
        <v>CatMover_SG Mist_OE_Jan 2026</v>
      </c>
      <c r="I9" s="223" t="str">
        <f>IFERROR(__xludf.DUMMYFUNCTION("""COMPUTED_VALUE"""),"Customers who have purchased SG Or Mist in the last 3 months (OE)")</f>
        <v>Customers who have purchased SG Or Mist in the last 3 months (OE)</v>
      </c>
      <c r="J9" s="213">
        <f>IFERROR(__xludf.DUMMYFUNCTION("""COMPUTED_VALUE"""),42521.0)</f>
        <v>42521</v>
      </c>
      <c r="K9" s="213">
        <f>IFERROR(__xludf.DUMMYFUNCTION("""COMPUTED_VALUE"""),26350.0)</f>
        <v>26350</v>
      </c>
      <c r="L9" s="214">
        <f>IFERROR(__xludf.DUMMYFUNCTION("""COMPUTED_VALUE"""),0.6197)</f>
        <v>0.6197</v>
      </c>
      <c r="M9" s="213"/>
      <c r="N9" s="214"/>
      <c r="O9" s="213">
        <f>IFERROR(__xludf.DUMMYFUNCTION("""COMPUTED_VALUE"""),45.0)</f>
        <v>45</v>
      </c>
      <c r="P9" s="213"/>
      <c r="Q9" s="214">
        <f>IFERROR(__xludf.DUMMYFUNCTION("""COMPUTED_VALUE"""),0.0017)</f>
        <v>0.0017</v>
      </c>
      <c r="R9" s="214"/>
      <c r="S9" s="101">
        <f>IFERROR(__xludf.DUMMYFUNCTION("""COMPUTED_VALUE"""),2.0)</f>
        <v>2</v>
      </c>
      <c r="T9" s="101">
        <f>IFERROR(__xludf.DUMMYFUNCTION("""COMPUTED_VALUE"""),11.0)</f>
        <v>11</v>
      </c>
      <c r="U9" s="213">
        <f>IFERROR(__xludf.DUMMYFUNCTION("""COMPUTED_VALUE"""),3386.0)</f>
        <v>3386</v>
      </c>
      <c r="V9" s="271" t="str">
        <f>IFERROR(__xludf.DUMMYFUNCTION("""COMPUTED_VALUE"""),"Overall")</f>
        <v>Overall</v>
      </c>
      <c r="W9" s="98" t="str">
        <f>IFERROR(__xludf.DUMMYFUNCTION("""COMPUTED_VALUE"""),"SMS")</f>
        <v>SMS</v>
      </c>
      <c r="X9" s="98" t="str">
        <f>IFERROR(__xludf.DUMMYFUNCTION("""COMPUTED_VALUE"""),"Category Movers")</f>
        <v>Category Movers</v>
      </c>
      <c r="Y9" s="98" t="str">
        <f>IFERROR(__xludf.DUMMYFUNCTION("""COMPUTED_VALUE"""),"8th Jan - 9th Jan")</f>
        <v>8th Jan - 9th Jan</v>
      </c>
      <c r="Z9" s="98" t="str">
        <f>IFERROR(__xludf.DUMMYFUNCTION("""COMPUTED_VALUE"""),"695fa1a96ad72831ac54b1ca")</f>
        <v>695fa1a96ad72831ac54b1ca</v>
      </c>
      <c r="AA9" s="98">
        <f>IFERROR(__xludf.DUMMYFUNCTION("""COMPUTED_VALUE"""),74.0)</f>
        <v>74</v>
      </c>
      <c r="AB9" s="98">
        <f>IFERROR(__xludf.DUMMYFUNCTION("""COMPUTED_VALUE"""),11.0)</f>
        <v>11</v>
      </c>
      <c r="AC9" s="98">
        <f>IFERROR(__xludf.DUMMYFUNCTION("""COMPUTED_VALUE"""),63.0)</f>
        <v>63</v>
      </c>
      <c r="AD9" s="98">
        <f>IFERROR(__xludf.DUMMYFUNCTION("""COMPUTED_VALUE"""),220935.0)</f>
        <v>220935</v>
      </c>
      <c r="AE9" s="98">
        <f>IFERROR(__xludf.DUMMYFUNCTION("""COMPUTED_VALUE"""),13123.0)</f>
        <v>13123</v>
      </c>
      <c r="AF9" s="98">
        <f>IFERROR(__xludf.DUMMYFUNCTION("""COMPUTED_VALUE"""),207812.0)</f>
        <v>207812</v>
      </c>
      <c r="AG9" s="208"/>
      <c r="AH9" s="208"/>
      <c r="AI9" s="208"/>
      <c r="AJ9" s="208"/>
      <c r="AK9" s="208"/>
    </row>
    <row r="10" hidden="1">
      <c r="A10" s="216">
        <f>IFERROR(__xludf.DUMMYFUNCTION("""COMPUTED_VALUE"""),46030.0)</f>
        <v>46030</v>
      </c>
      <c r="B10" s="210">
        <f>IFERROR(__xludf.DUMMYFUNCTION("""COMPUTED_VALUE"""),0.8333333333321207)</f>
        <v>0.8333333333</v>
      </c>
      <c r="C10" s="210" t="str">
        <f>IFERROR(__xludf.DUMMYFUNCTION("""COMPUTED_VALUE"""),"Sms")</f>
        <v>Sms</v>
      </c>
      <c r="D10" s="210" t="str">
        <f>IFERROR(__xludf.DUMMYFUNCTION("""COMPUTED_VALUE"""),"Promotional")</f>
        <v>Promotional</v>
      </c>
      <c r="E10" s="211" t="str">
        <f>IFERROR(__xludf.DUMMYFUNCTION("""COMPUTED_VALUE"""),"BBW")</f>
        <v>BBW</v>
      </c>
      <c r="F10" s="211" t="str">
        <f>IFERROR(__xludf.DUMMYFUNCTION("""COMPUTED_VALUE"""),"moisturizers999")</f>
        <v>moisturizers999</v>
      </c>
      <c r="G10" s="211" t="str">
        <f>IFERROR(__xludf.DUMMYFUNCTION("""COMPUTED_VALUE"""),"bbw_oeflashsale_moisturizers999_shoppedBLBCBB")</f>
        <v>bbw_oeflashsale_moisturizers999_shoppedBLBCBB</v>
      </c>
      <c r="H10" s="211" t="str">
        <f>IFERROR(__xludf.DUMMYFUNCTION("""COMPUTED_VALUE"""),"PreDom BB/BC/BL_OE999_Jan 2026 OR BBW_Internal OR AGIPL_Internal")</f>
        <v>PreDom BB/BC/BL_OE999_Jan 2026 OR BBW_Internal OR AGIPL_Internal</v>
      </c>
      <c r="I10" s="223" t="str">
        <f>IFERROR(__xludf.DUMMYFUNCTION("""COMPUTED_VALUE"""),"Customer who predominantly purchases BB Or BC OR BL (OE) in entire duration")</f>
        <v>Customer who predominantly purchases BB Or BC OR BL (OE) in entire duration</v>
      </c>
      <c r="J10" s="213">
        <f>IFERROR(__xludf.DUMMYFUNCTION("""COMPUTED_VALUE"""),71908.0)</f>
        <v>71908</v>
      </c>
      <c r="K10" s="213">
        <f>IFERROR(__xludf.DUMMYFUNCTION("""COMPUTED_VALUE"""),45140.0)</f>
        <v>45140</v>
      </c>
      <c r="L10" s="214">
        <f>IFERROR(__xludf.DUMMYFUNCTION("""COMPUTED_VALUE"""),0.6277)</f>
        <v>0.6277</v>
      </c>
      <c r="M10" s="213"/>
      <c r="N10" s="214"/>
      <c r="O10" s="213">
        <f>IFERROR(__xludf.DUMMYFUNCTION("""COMPUTED_VALUE"""),56.0)</f>
        <v>56</v>
      </c>
      <c r="P10" s="213"/>
      <c r="Q10" s="214">
        <f>IFERROR(__xludf.DUMMYFUNCTION("""COMPUTED_VALUE"""),0.0012)</f>
        <v>0.0012</v>
      </c>
      <c r="R10" s="214"/>
      <c r="S10" s="101">
        <f>IFERROR(__xludf.DUMMYFUNCTION("""COMPUTED_VALUE"""),17.0)</f>
        <v>17</v>
      </c>
      <c r="T10" s="101">
        <f>IFERROR(__xludf.DUMMYFUNCTION("""COMPUTED_VALUE"""),24.0)</f>
        <v>24</v>
      </c>
      <c r="U10" s="213">
        <f>IFERROR(__xludf.DUMMYFUNCTION("""COMPUTED_VALUE"""),40393.0)</f>
        <v>40393</v>
      </c>
      <c r="V10" s="271" t="str">
        <f>IFERROR(__xludf.DUMMYFUNCTION("""COMPUTED_VALUE"""),"Overall")</f>
        <v>Overall</v>
      </c>
      <c r="W10" s="98" t="str">
        <f>IFERROR(__xludf.DUMMYFUNCTION("""COMPUTED_VALUE"""),"SMS")</f>
        <v>SMS</v>
      </c>
      <c r="X10" s="98" t="str">
        <f>IFERROR(__xludf.DUMMYFUNCTION("""COMPUTED_VALUE"""),"Generic")</f>
        <v>Generic</v>
      </c>
      <c r="Y10" s="98" t="str">
        <f>IFERROR(__xludf.DUMMYFUNCTION("""COMPUTED_VALUE"""),"8th Jan - 9th Jan")</f>
        <v>8th Jan - 9th Jan</v>
      </c>
      <c r="Z10" s="98" t="str">
        <f>IFERROR(__xludf.DUMMYFUNCTION("""COMPUTED_VALUE"""),"695fa1d44f3b3baaa56e5304")</f>
        <v>695fa1d44f3b3baaa56e5304</v>
      </c>
      <c r="AA10" s="98">
        <f>IFERROR(__xludf.DUMMYFUNCTION("""COMPUTED_VALUE"""),117.0)</f>
        <v>117</v>
      </c>
      <c r="AB10" s="98">
        <f>IFERROR(__xludf.DUMMYFUNCTION("""COMPUTED_VALUE"""),72.0)</f>
        <v>72</v>
      </c>
      <c r="AC10" s="98">
        <f>IFERROR(__xludf.DUMMYFUNCTION("""COMPUTED_VALUE"""),45.0)</f>
        <v>45</v>
      </c>
      <c r="AD10" s="98">
        <f>IFERROR(__xludf.DUMMYFUNCTION("""COMPUTED_VALUE"""),310345.0)</f>
        <v>310345</v>
      </c>
      <c r="AE10" s="98">
        <f>IFERROR(__xludf.DUMMYFUNCTION("""COMPUTED_VALUE"""),171870.0)</f>
        <v>171870</v>
      </c>
      <c r="AF10" s="98">
        <f>IFERROR(__xludf.DUMMYFUNCTION("""COMPUTED_VALUE"""),138475.0)</f>
        <v>138475</v>
      </c>
      <c r="AG10" s="208"/>
      <c r="AH10" s="208"/>
      <c r="AI10" s="208"/>
      <c r="AJ10" s="208"/>
      <c r="AK10" s="208"/>
    </row>
    <row r="11" hidden="1">
      <c r="A11" s="216">
        <f>IFERROR(__xludf.DUMMYFUNCTION("""COMPUTED_VALUE"""),46031.0)</f>
        <v>46031</v>
      </c>
      <c r="B11" s="210">
        <f>IFERROR(__xludf.DUMMYFUNCTION("""COMPUTED_VALUE"""),0.75)</f>
        <v>0.75</v>
      </c>
      <c r="C11" s="210" t="str">
        <f>IFERROR(__xludf.DUMMYFUNCTION("""COMPUTED_VALUE"""),"Whatsapp")</f>
        <v>Whatsapp</v>
      </c>
      <c r="D11" s="210" t="str">
        <f>IFERROR(__xludf.DUMMYFUNCTION("""COMPUTED_VALUE"""),"Promotional")</f>
        <v>Promotional</v>
      </c>
      <c r="E11" s="211" t="str">
        <f>IFERROR(__xludf.DUMMYFUNCTION("""COMPUTED_VALUE"""),"BBW")</f>
        <v>BBW</v>
      </c>
      <c r="F11" s="211" t="str">
        <f>IFERROR(__xludf.DUMMYFUNCTION("""COMPUTED_VALUE"""),"bc 1099")</f>
        <v>bc 1099</v>
      </c>
      <c r="G11" s="211" t="str">
        <f>IFERROR(__xludf.DUMMYFUNCTION("""COMPUTED_VALUE"""),"bbw_bc1099_Full Price Shoppers_9.1")</f>
        <v>bbw_bc1099_Full Price Shoppers_9.1</v>
      </c>
      <c r="H11" s="211" t="str">
        <f>IFERROR(__xludf.DUMMYFUNCTION("""COMPUTED_VALUE"""),"BC_FullPrice_Jan2026 OR AGIPL_Internal OR BBW_Internal")</f>
        <v>BC_FullPrice_Jan2026 OR AGIPL_Internal OR BBW_Internal</v>
      </c>
      <c r="I11" s="223" t="str">
        <f>IFERROR(__xludf.DUMMYFUNCTION("""COMPUTED_VALUE"""),"Customers who purchases Body care at full price")</f>
        <v>Customers who purchases Body care at full price</v>
      </c>
      <c r="J11" s="213">
        <f>IFERROR(__xludf.DUMMYFUNCTION("""COMPUTED_VALUE"""),10067.0)</f>
        <v>10067</v>
      </c>
      <c r="K11" s="213">
        <f>IFERROR(__xludf.DUMMYFUNCTION("""COMPUTED_VALUE"""),3370.0)</f>
        <v>3370</v>
      </c>
      <c r="L11" s="214">
        <f>IFERROR(__xludf.DUMMYFUNCTION("""COMPUTED_VALUE"""),0.3348)</f>
        <v>0.3348</v>
      </c>
      <c r="M11" s="213">
        <f>IFERROR(__xludf.DUMMYFUNCTION("""COMPUTED_VALUE"""),1493.0)</f>
        <v>1493</v>
      </c>
      <c r="N11" s="214">
        <f>IFERROR(__xludf.DUMMYFUNCTION("""COMPUTED_VALUE"""),0.443)</f>
        <v>0.443</v>
      </c>
      <c r="O11" s="213">
        <f>IFERROR(__xludf.DUMMYFUNCTION("""COMPUTED_VALUE"""),127.0)</f>
        <v>127</v>
      </c>
      <c r="P11" s="213">
        <f>IFERROR(__xludf.DUMMYFUNCTION("""COMPUTED_VALUE"""),115.0)</f>
        <v>115</v>
      </c>
      <c r="Q11" s="214">
        <f>IFERROR(__xludf.DUMMYFUNCTION("""COMPUTED_VALUE"""),0.0341)</f>
        <v>0.0341</v>
      </c>
      <c r="R11" s="214">
        <f>IFERROR(__xludf.DUMMYFUNCTION("""COMPUTED_VALUE"""),0.077)</f>
        <v>0.077</v>
      </c>
      <c r="S11" s="101">
        <f>IFERROR(__xludf.DUMMYFUNCTION("""COMPUTED_VALUE"""),2.0)</f>
        <v>2</v>
      </c>
      <c r="T11" s="101"/>
      <c r="U11" s="213">
        <f>IFERROR(__xludf.DUMMYFUNCTION("""COMPUTED_VALUE"""),2877.0)</f>
        <v>2877</v>
      </c>
      <c r="V11" s="271" t="str">
        <f>IFERROR(__xludf.DUMMYFUNCTION("""COMPUTED_VALUE"""),"Overall")</f>
        <v>Overall</v>
      </c>
      <c r="W11" s="98" t="str">
        <f>IFERROR(__xludf.DUMMYFUNCTION("""COMPUTED_VALUE"""),"simple")</f>
        <v>simple</v>
      </c>
      <c r="X11" s="98" t="str">
        <f>IFERROR(__xludf.DUMMYFUNCTION("""COMPUTED_VALUE"""),"Full Price Shopper")</f>
        <v>Full Price Shopper</v>
      </c>
      <c r="Y11" s="98" t="str">
        <f>IFERROR(__xludf.DUMMYFUNCTION("""COMPUTED_VALUE"""),"9th Jan - 11 Jan")</f>
        <v>9th Jan - 11 Jan</v>
      </c>
      <c r="Z11" s="98" t="str">
        <f>IFERROR(__xludf.DUMMYFUNCTION("""COMPUTED_VALUE"""),"6960d72465756dbcb491f9da")</f>
        <v>6960d72465756dbcb491f9da</v>
      </c>
      <c r="AA11" s="98">
        <f>IFERROR(__xludf.DUMMYFUNCTION("""COMPUTED_VALUE"""),52.0)</f>
        <v>52</v>
      </c>
      <c r="AB11" s="98">
        <f>IFERROR(__xludf.DUMMYFUNCTION("""COMPUTED_VALUE"""),35.0)</f>
        <v>35</v>
      </c>
      <c r="AC11" s="98">
        <f>IFERROR(__xludf.DUMMYFUNCTION("""COMPUTED_VALUE"""),17.0)</f>
        <v>17</v>
      </c>
      <c r="AD11" s="98">
        <f>IFERROR(__xludf.DUMMYFUNCTION("""COMPUTED_VALUE"""),183537.0)</f>
        <v>183537</v>
      </c>
      <c r="AE11" s="98">
        <f>IFERROR(__xludf.DUMMYFUNCTION("""COMPUTED_VALUE"""),127935.0)</f>
        <v>127935</v>
      </c>
      <c r="AF11" s="98">
        <f>IFERROR(__xludf.DUMMYFUNCTION("""COMPUTED_VALUE"""),55602.0)</f>
        <v>55602</v>
      </c>
      <c r="AG11" s="208"/>
      <c r="AH11" s="208"/>
      <c r="AI11" s="208"/>
      <c r="AJ11" s="208"/>
      <c r="AK11" s="208"/>
    </row>
    <row r="12" hidden="1">
      <c r="A12" s="209">
        <f>IFERROR(__xludf.DUMMYFUNCTION("""COMPUTED_VALUE"""),46031.0)</f>
        <v>46031</v>
      </c>
      <c r="B12" s="210">
        <f>IFERROR(__xludf.DUMMYFUNCTION("""COMPUTED_VALUE"""),0.75)</f>
        <v>0.75</v>
      </c>
      <c r="C12" s="211" t="str">
        <f>IFERROR(__xludf.DUMMYFUNCTION("""COMPUTED_VALUE"""),"Whatsapp")</f>
        <v>Whatsapp</v>
      </c>
      <c r="D12" s="211" t="str">
        <f>IFERROR(__xludf.DUMMYFUNCTION("""COMPUTED_VALUE"""),"Promotional")</f>
        <v>Promotional</v>
      </c>
      <c r="E12" s="211" t="str">
        <f>IFERROR(__xludf.DUMMYFUNCTION("""COMPUTED_VALUE"""),"BBW")</f>
        <v>BBW</v>
      </c>
      <c r="F12" s="211" t="str">
        <f>IFERROR(__xludf.DUMMYFUNCTION("""COMPUTED_VALUE"""),"bc 1099")</f>
        <v>bc 1099</v>
      </c>
      <c r="G12" s="212" t="str">
        <f>IFERROR(__xludf.DUMMYFUNCTION("""COMPUTED_VALUE"""),"bbw_bc1099_Loyalists_9.1")</f>
        <v>bbw_bc1099_Loyalists_9.1</v>
      </c>
      <c r="H12" s="212" t="str">
        <f>IFERROR(__xludf.DUMMYFUNCTION("""COMPUTED_VALUE"""),"Loyalist_BC_Jan2026")</f>
        <v>Loyalist_BC_Jan2026</v>
      </c>
      <c r="I12" s="212" t="str">
        <f>IFERROR(__xludf.DUMMYFUNCTION("""COMPUTED_VALUE"""),"Extreme Body Care Loyal (atleast 3 times) excluding the above segment")</f>
        <v>Extreme Body Care Loyal (atleast 3 times) excluding the above segment</v>
      </c>
      <c r="J12" s="213">
        <f>IFERROR(__xludf.DUMMYFUNCTION("""COMPUTED_VALUE"""),71586.0)</f>
        <v>71586</v>
      </c>
      <c r="K12" s="213">
        <f>IFERROR(__xludf.DUMMYFUNCTION("""COMPUTED_VALUE"""),22024.0)</f>
        <v>22024</v>
      </c>
      <c r="L12" s="214">
        <f>IFERROR(__xludf.DUMMYFUNCTION("""COMPUTED_VALUE"""),0.3077)</f>
        <v>0.3077</v>
      </c>
      <c r="M12" s="213">
        <f>IFERROR(__xludf.DUMMYFUNCTION("""COMPUTED_VALUE"""),9580.0)</f>
        <v>9580</v>
      </c>
      <c r="N12" s="214">
        <f>IFERROR(__xludf.DUMMYFUNCTION("""COMPUTED_VALUE"""),0.435)</f>
        <v>0.435</v>
      </c>
      <c r="O12" s="101">
        <f>IFERROR(__xludf.DUMMYFUNCTION("""COMPUTED_VALUE"""),703.0)</f>
        <v>703</v>
      </c>
      <c r="P12" s="101">
        <f>IFERROR(__xludf.DUMMYFUNCTION("""COMPUTED_VALUE"""),654.0)</f>
        <v>654</v>
      </c>
      <c r="Q12" s="214">
        <f>IFERROR(__xludf.DUMMYFUNCTION("""COMPUTED_VALUE"""),0.0297)</f>
        <v>0.0297</v>
      </c>
      <c r="R12" s="214">
        <f>IFERROR(__xludf.DUMMYFUNCTION("""COMPUTED_VALUE"""),0.0683)</f>
        <v>0.0683</v>
      </c>
      <c r="S12" s="101">
        <f>IFERROR(__xludf.DUMMYFUNCTION("""COMPUTED_VALUE"""),17.0)</f>
        <v>17</v>
      </c>
      <c r="T12" s="101"/>
      <c r="U12" s="270">
        <f>IFERROR(__xludf.DUMMYFUNCTION("""COMPUTED_VALUE"""),35570.0)</f>
        <v>35570</v>
      </c>
      <c r="V12" s="271" t="str">
        <f>IFERROR(__xludf.DUMMYFUNCTION("""COMPUTED_VALUE"""),"Overall")</f>
        <v>Overall</v>
      </c>
      <c r="W12" s="272" t="str">
        <f>IFERROR(__xludf.DUMMYFUNCTION("""COMPUTED_VALUE"""),"simple")</f>
        <v>simple</v>
      </c>
      <c r="X12" s="272" t="str">
        <f>IFERROR(__xludf.DUMMYFUNCTION("""COMPUTED_VALUE"""),"Loyal")</f>
        <v>Loyal</v>
      </c>
      <c r="Y12" s="272" t="str">
        <f>IFERROR(__xludf.DUMMYFUNCTION("""COMPUTED_VALUE"""),"9th Jan - 11 Jan")</f>
        <v>9th Jan - 11 Jan</v>
      </c>
      <c r="Z12" s="272" t="str">
        <f>IFERROR(__xludf.DUMMYFUNCTION("""COMPUTED_VALUE"""),"6960d7280d38578ddd940cc2")</f>
        <v>6960d7280d38578ddd940cc2</v>
      </c>
      <c r="AA12" s="272">
        <f>IFERROR(__xludf.DUMMYFUNCTION("""COMPUTED_VALUE"""),409.0)</f>
        <v>409</v>
      </c>
      <c r="AB12" s="272">
        <f>IFERROR(__xludf.DUMMYFUNCTION("""COMPUTED_VALUE"""),118.0)</f>
        <v>118</v>
      </c>
      <c r="AC12" s="272">
        <f>IFERROR(__xludf.DUMMYFUNCTION("""COMPUTED_VALUE"""),294.0)</f>
        <v>294</v>
      </c>
      <c r="AD12" s="272">
        <f>IFERROR(__xludf.DUMMYFUNCTION("""COMPUTED_VALUE"""),1465338.0)</f>
        <v>1465338</v>
      </c>
      <c r="AE12" s="272">
        <f>IFERROR(__xludf.DUMMYFUNCTION("""COMPUTED_VALUE"""),349234.0)</f>
        <v>349234</v>
      </c>
      <c r="AF12" s="272">
        <f>IFERROR(__xludf.DUMMYFUNCTION("""COMPUTED_VALUE"""),1116104.0)</f>
        <v>1116104</v>
      </c>
      <c r="AG12" s="208"/>
      <c r="AH12" s="208"/>
      <c r="AI12" s="208"/>
      <c r="AJ12" s="208"/>
      <c r="AK12" s="208"/>
    </row>
    <row r="13" hidden="1">
      <c r="A13" s="219">
        <f>IFERROR(__xludf.DUMMYFUNCTION("""COMPUTED_VALUE"""),46031.0)</f>
        <v>46031</v>
      </c>
      <c r="B13" s="220">
        <f>IFERROR(__xludf.DUMMYFUNCTION("""COMPUTED_VALUE"""),0.8333333333321207)</f>
        <v>0.8333333333</v>
      </c>
      <c r="C13" s="221" t="str">
        <f>IFERROR(__xludf.DUMMYFUNCTION("""COMPUTED_VALUE"""),"Sms")</f>
        <v>Sms</v>
      </c>
      <c r="D13" s="221" t="str">
        <f>IFERROR(__xludf.DUMMYFUNCTION("""COMPUTED_VALUE"""),"Fallback Campaign")</f>
        <v>Fallback Campaign</v>
      </c>
      <c r="E13" s="221" t="str">
        <f>IFERROR(__xludf.DUMMYFUNCTION("""COMPUTED_VALUE"""),"BBW")</f>
        <v>BBW</v>
      </c>
      <c r="F13" s="221" t="str">
        <f>IFERROR(__xludf.DUMMYFUNCTION("""COMPUTED_VALUE"""),"bc 1099")</f>
        <v>bc 1099</v>
      </c>
      <c r="G13" s="221" t="str">
        <f>IFERROR(__xludf.DUMMYFUNCTION("""COMPUTED_VALUE"""),"bbw_bc1099_Full Price Shoppers_9.1fb")</f>
        <v>bbw_bc1099_Full Price Shoppers_9.1fb</v>
      </c>
      <c r="H13" s="223" t="str">
        <f>IFERROR(__xludf.DUMMYFUNCTION("""COMPUTED_VALUE"""),"BC_FullPrice_Jan2026 OR AGIPL_Internal OR BBW_Internal")</f>
        <v>BC_FullPrice_Jan2026 OR AGIPL_Internal OR BBW_Internal</v>
      </c>
      <c r="I13" s="223" t="str">
        <f>IFERROR(__xludf.DUMMYFUNCTION("""COMPUTED_VALUE"""),"WA Undelivered")</f>
        <v>WA Undelivered</v>
      </c>
      <c r="J13" s="224">
        <f>IFERROR(__xludf.DUMMYFUNCTION("""COMPUTED_VALUE"""),6529.0)</f>
        <v>6529</v>
      </c>
      <c r="K13" s="224">
        <f>IFERROR(__xludf.DUMMYFUNCTION("""COMPUTED_VALUE"""),3184.0)</f>
        <v>3184</v>
      </c>
      <c r="L13" s="225">
        <f>IFERROR(__xludf.DUMMYFUNCTION("""COMPUTED_VALUE"""),0.4877)</f>
        <v>0.4877</v>
      </c>
      <c r="M13" s="224"/>
      <c r="N13" s="225"/>
      <c r="O13" s="226">
        <f>IFERROR(__xludf.DUMMYFUNCTION("""COMPUTED_VALUE"""),5.0)</f>
        <v>5</v>
      </c>
      <c r="P13" s="226"/>
      <c r="Q13" s="225">
        <f>IFERROR(__xludf.DUMMYFUNCTION("""COMPUTED_VALUE"""),0.0016)</f>
        <v>0.0016</v>
      </c>
      <c r="R13" s="225"/>
      <c r="S13" s="226">
        <f>IFERROR(__xludf.DUMMYFUNCTION("""COMPUTED_VALUE"""),5.0)</f>
        <v>5</v>
      </c>
      <c r="T13" s="226">
        <f>IFERROR(__xludf.DUMMYFUNCTION("""COMPUTED_VALUE"""),7.0)</f>
        <v>7</v>
      </c>
      <c r="U13" s="224">
        <f>IFERROR(__xludf.DUMMYFUNCTION("""COMPUTED_VALUE"""),17557.0)</f>
        <v>17557</v>
      </c>
      <c r="V13" s="221" t="str">
        <f>IFERROR(__xludf.DUMMYFUNCTION("""COMPUTED_VALUE"""),"Overall")</f>
        <v>Overall</v>
      </c>
      <c r="W13" s="231" t="str">
        <f>IFERROR(__xludf.DUMMYFUNCTION("""COMPUTED_VALUE"""),"SMS")</f>
        <v>SMS</v>
      </c>
      <c r="X13" s="231" t="str">
        <f>IFERROR(__xludf.DUMMYFUNCTION("""COMPUTED_VALUE"""),"Full Price Shopper")</f>
        <v>Full Price Shopper</v>
      </c>
      <c r="Y13" s="231" t="str">
        <f>IFERROR(__xludf.DUMMYFUNCTION("""COMPUTED_VALUE"""),"9th Jan - 11 Jan")</f>
        <v>9th Jan - 11 Jan</v>
      </c>
      <c r="Z13" s="231" t="str">
        <f>IFERROR(__xludf.DUMMYFUNCTION("""COMPUTED_VALUE"""),"6960db91a21d806871f462b2")</f>
        <v>6960db91a21d806871f462b2</v>
      </c>
      <c r="AA13" s="229">
        <f>IFERROR(__xludf.DUMMYFUNCTION("""COMPUTED_VALUE"""),37.0)</f>
        <v>37</v>
      </c>
      <c r="AB13" s="229">
        <f>IFERROR(__xludf.DUMMYFUNCTION("""COMPUTED_VALUE"""),18.0)</f>
        <v>18</v>
      </c>
      <c r="AC13" s="229">
        <f>IFERROR(__xludf.DUMMYFUNCTION("""COMPUTED_VALUE"""),19.0)</f>
        <v>19</v>
      </c>
      <c r="AD13" s="229">
        <f>IFERROR(__xludf.DUMMYFUNCTION("""COMPUTED_VALUE"""),128845.0)</f>
        <v>128845</v>
      </c>
      <c r="AE13" s="229">
        <f>IFERROR(__xludf.DUMMYFUNCTION("""COMPUTED_VALUE"""),58568.0)</f>
        <v>58568</v>
      </c>
      <c r="AF13" s="229">
        <f>IFERROR(__xludf.DUMMYFUNCTION("""COMPUTED_VALUE"""),70277.0)</f>
        <v>70277</v>
      </c>
      <c r="AG13" s="208"/>
      <c r="AH13" s="208"/>
      <c r="AI13" s="208"/>
      <c r="AJ13" s="208"/>
      <c r="AK13" s="208"/>
    </row>
    <row r="14" hidden="1">
      <c r="A14" s="209">
        <f>IFERROR(__xludf.DUMMYFUNCTION("""COMPUTED_VALUE"""),46031.0)</f>
        <v>46031</v>
      </c>
      <c r="B14" s="210">
        <f>IFERROR(__xludf.DUMMYFUNCTION("""COMPUTED_VALUE"""),0.8333333333321207)</f>
        <v>0.8333333333</v>
      </c>
      <c r="C14" s="211" t="str">
        <f>IFERROR(__xludf.DUMMYFUNCTION("""COMPUTED_VALUE"""),"Sms")</f>
        <v>Sms</v>
      </c>
      <c r="D14" s="211" t="str">
        <f>IFERROR(__xludf.DUMMYFUNCTION("""COMPUTED_VALUE"""),"Fallback Campaign")</f>
        <v>Fallback Campaign</v>
      </c>
      <c r="E14" s="211" t="str">
        <f>IFERROR(__xludf.DUMMYFUNCTION("""COMPUTED_VALUE"""),"BBW")</f>
        <v>BBW</v>
      </c>
      <c r="F14" s="211" t="str">
        <f>IFERROR(__xludf.DUMMYFUNCTION("""COMPUTED_VALUE"""),"bc 1099")</f>
        <v>bc 1099</v>
      </c>
      <c r="G14" s="212" t="str">
        <f>IFERROR(__xludf.DUMMYFUNCTION("""COMPUTED_VALUE"""),"bbw_bc1099_Loyalists_9.1fb")</f>
        <v>bbw_bc1099_Loyalists_9.1fb</v>
      </c>
      <c r="H14" s="212" t="str">
        <f>IFERROR(__xludf.DUMMYFUNCTION("""COMPUTED_VALUE"""),"Loyalist_BC_Jan2026")</f>
        <v>Loyalist_BC_Jan2026</v>
      </c>
      <c r="I14" s="212" t="str">
        <f>IFERROR(__xludf.DUMMYFUNCTION("""COMPUTED_VALUE"""),"WA Undelivered")</f>
        <v>WA Undelivered</v>
      </c>
      <c r="J14" s="213">
        <f>IFERROR(__xludf.DUMMYFUNCTION("""COMPUTED_VALUE"""),48479.0)</f>
        <v>48479</v>
      </c>
      <c r="K14" s="213">
        <f>IFERROR(__xludf.DUMMYFUNCTION("""COMPUTED_VALUE"""),25374.0)</f>
        <v>25374</v>
      </c>
      <c r="L14" s="214">
        <f>IFERROR(__xludf.DUMMYFUNCTION("""COMPUTED_VALUE"""),0.5234)</f>
        <v>0.5234</v>
      </c>
      <c r="M14" s="213"/>
      <c r="N14" s="214"/>
      <c r="O14" s="101">
        <f>IFERROR(__xludf.DUMMYFUNCTION("""COMPUTED_VALUE"""),21.0)</f>
        <v>21</v>
      </c>
      <c r="P14" s="101"/>
      <c r="Q14" s="214">
        <f>IFERROR(__xludf.DUMMYFUNCTION("""COMPUTED_VALUE"""),8.0E-4)</f>
        <v>0.0008</v>
      </c>
      <c r="R14" s="214"/>
      <c r="S14" s="101">
        <f>IFERROR(__xludf.DUMMYFUNCTION("""COMPUTED_VALUE"""),14.0)</f>
        <v>14</v>
      </c>
      <c r="T14" s="101">
        <f>IFERROR(__xludf.DUMMYFUNCTION("""COMPUTED_VALUE"""),30.0)</f>
        <v>30</v>
      </c>
      <c r="U14" s="270">
        <f>IFERROR(__xludf.DUMMYFUNCTION("""COMPUTED_VALUE"""),32759.0)</f>
        <v>32759</v>
      </c>
      <c r="V14" s="271" t="str">
        <f>IFERROR(__xludf.DUMMYFUNCTION("""COMPUTED_VALUE"""),"Overall")</f>
        <v>Overall</v>
      </c>
      <c r="W14" s="272" t="str">
        <f>IFERROR(__xludf.DUMMYFUNCTION("""COMPUTED_VALUE"""),"SMS")</f>
        <v>SMS</v>
      </c>
      <c r="X14" s="272" t="str">
        <f>IFERROR(__xludf.DUMMYFUNCTION("""COMPUTED_VALUE"""),"Loyal")</f>
        <v>Loyal</v>
      </c>
      <c r="Y14" s="272" t="str">
        <f>IFERROR(__xludf.DUMMYFUNCTION("""COMPUTED_VALUE"""),"9th Jan - 11 Jan")</f>
        <v>9th Jan - 11 Jan</v>
      </c>
      <c r="Z14" s="272" t="str">
        <f>IFERROR(__xludf.DUMMYFUNCTION("""COMPUTED_VALUE"""),"6960dc40de28c0c9f34c7437")</f>
        <v>6960dc40de28c0c9f34c7437</v>
      </c>
      <c r="AA14" s="272">
        <f>IFERROR(__xludf.DUMMYFUNCTION("""COMPUTED_VALUE"""),489.0)</f>
        <v>489</v>
      </c>
      <c r="AB14" s="272">
        <f>IFERROR(__xludf.DUMMYFUNCTION("""COMPUTED_VALUE"""),106.0)</f>
        <v>106</v>
      </c>
      <c r="AC14" s="272">
        <f>IFERROR(__xludf.DUMMYFUNCTION("""COMPUTED_VALUE"""),383.0)</f>
        <v>383</v>
      </c>
      <c r="AD14" s="272">
        <f>IFERROR(__xludf.DUMMYFUNCTION("""COMPUTED_VALUE"""),1456653.0)</f>
        <v>1456653</v>
      </c>
      <c r="AE14" s="272">
        <f>IFERROR(__xludf.DUMMYFUNCTION("""COMPUTED_VALUE"""),259470.0)</f>
        <v>259470</v>
      </c>
      <c r="AF14" s="272">
        <f>IFERROR(__xludf.DUMMYFUNCTION("""COMPUTED_VALUE"""),1197183.0)</f>
        <v>1197183</v>
      </c>
      <c r="AG14" s="208"/>
      <c r="AH14" s="208"/>
      <c r="AI14" s="208"/>
      <c r="AJ14" s="208"/>
      <c r="AK14" s="208"/>
    </row>
    <row r="15" hidden="1">
      <c r="A15" s="216">
        <f>IFERROR(__xludf.DUMMYFUNCTION("""COMPUTED_VALUE"""),46031.0)</f>
        <v>46031</v>
      </c>
      <c r="B15" s="217">
        <f>IFERROR(__xludf.DUMMYFUNCTION("""COMPUTED_VALUE"""),0.75)</f>
        <v>0.75</v>
      </c>
      <c r="C15" s="211" t="str">
        <f>IFERROR(__xludf.DUMMYFUNCTION("""COMPUTED_VALUE"""),"Sms")</f>
        <v>Sms</v>
      </c>
      <c r="D15" s="211" t="str">
        <f>IFERROR(__xludf.DUMMYFUNCTION("""COMPUTED_VALUE"""),"Promotional")</f>
        <v>Promotional</v>
      </c>
      <c r="E15" s="211" t="str">
        <f>IFERROR(__xludf.DUMMYFUNCTION("""COMPUTED_VALUE"""),"BBW")</f>
        <v>BBW</v>
      </c>
      <c r="F15" s="211" t="str">
        <f>IFERROR(__xludf.DUMMYFUNCTION("""COMPUTED_VALUE"""),"bc 1099")</f>
        <v>bc 1099</v>
      </c>
      <c r="G15" s="211" t="str">
        <f>IFERROR(__xludf.DUMMYFUNCTION("""COMPUTED_VALUE"""),"bbw_bc1099_Recent_9.1")</f>
        <v>bbw_bc1099_Recent_9.1</v>
      </c>
      <c r="H15" s="112" t="str">
        <f>IFERROR(__xludf.DUMMYFUNCTION("""COMPUTED_VALUE"""),"RecentShoppers_BC_Jan2026")</f>
        <v>RecentShoppers_BC_Jan2026</v>
      </c>
      <c r="I15" s="212" t="str">
        <f>IFERROR(__xludf.DUMMYFUNCTION("""COMPUTED_VALUE"""),"Customer who have bought Body care in the last 114 days")</f>
        <v>Customer who have bought Body care in the last 114 days</v>
      </c>
      <c r="J15" s="213">
        <f>IFERROR(__xludf.DUMMYFUNCTION("""COMPUTED_VALUE"""),104244.0)</f>
        <v>104244</v>
      </c>
      <c r="K15" s="213">
        <f>IFERROR(__xludf.DUMMYFUNCTION("""COMPUTED_VALUE"""),63257.0)</f>
        <v>63257</v>
      </c>
      <c r="L15" s="214">
        <f>IFERROR(__xludf.DUMMYFUNCTION("""COMPUTED_VALUE"""),0.6068)</f>
        <v>0.6068</v>
      </c>
      <c r="M15" s="213"/>
      <c r="N15" s="214"/>
      <c r="O15" s="213">
        <f>IFERROR(__xludf.DUMMYFUNCTION("""COMPUTED_VALUE"""),72.0)</f>
        <v>72</v>
      </c>
      <c r="P15" s="213"/>
      <c r="Q15" s="214">
        <f>IFERROR(__xludf.DUMMYFUNCTION("""COMPUTED_VALUE"""),0.0011)</f>
        <v>0.0011</v>
      </c>
      <c r="R15" s="214"/>
      <c r="S15" s="101">
        <f>IFERROR(__xludf.DUMMYFUNCTION("""COMPUTED_VALUE"""),15.0)</f>
        <v>15</v>
      </c>
      <c r="T15" s="101">
        <f>IFERROR(__xludf.DUMMYFUNCTION("""COMPUTED_VALUE"""),30.0)</f>
        <v>30</v>
      </c>
      <c r="U15" s="213">
        <f>IFERROR(__xludf.DUMMYFUNCTION("""COMPUTED_VALUE"""),26246.0)</f>
        <v>26246</v>
      </c>
      <c r="V15" s="271" t="str">
        <f>IFERROR(__xludf.DUMMYFUNCTION("""COMPUTED_VALUE"""),"Overall")</f>
        <v>Overall</v>
      </c>
      <c r="W15" s="98" t="str">
        <f>IFERROR(__xludf.DUMMYFUNCTION("""COMPUTED_VALUE"""),"SMS")</f>
        <v>SMS</v>
      </c>
      <c r="X15" s="98" t="str">
        <f>IFERROR(__xludf.DUMMYFUNCTION("""COMPUTED_VALUE"""),"Recent")</f>
        <v>Recent</v>
      </c>
      <c r="Y15" s="98" t="str">
        <f>IFERROR(__xludf.DUMMYFUNCTION("""COMPUTED_VALUE"""),"9th Jan - 11 Jan")</f>
        <v>9th Jan - 11 Jan</v>
      </c>
      <c r="Z15" s="98" t="str">
        <f>IFERROR(__xludf.DUMMYFUNCTION("""COMPUTED_VALUE"""),"6960e0a3de28c0c9f34c75da")</f>
        <v>6960e0a3de28c0c9f34c75da</v>
      </c>
      <c r="AA15" s="98">
        <f>IFERROR(__xludf.DUMMYFUNCTION("""COMPUTED_VALUE"""),397.0)</f>
        <v>397</v>
      </c>
      <c r="AB15" s="98">
        <f>IFERROR(__xludf.DUMMYFUNCTION("""COMPUTED_VALUE"""),77.0)</f>
        <v>77</v>
      </c>
      <c r="AC15" s="98">
        <f>IFERROR(__xludf.DUMMYFUNCTION("""COMPUTED_VALUE"""),320.0)</f>
        <v>320</v>
      </c>
      <c r="AD15" s="98">
        <f>IFERROR(__xludf.DUMMYFUNCTION("""COMPUTED_VALUE"""),998832.0)</f>
        <v>998832</v>
      </c>
      <c r="AE15" s="98">
        <f>IFERROR(__xludf.DUMMYFUNCTION("""COMPUTED_VALUE"""),146549.0)</f>
        <v>146549</v>
      </c>
      <c r="AF15" s="98">
        <f>IFERROR(__xludf.DUMMYFUNCTION("""COMPUTED_VALUE"""),852283.0)</f>
        <v>852283</v>
      </c>
      <c r="AG15" s="208"/>
      <c r="AH15" s="208"/>
      <c r="AI15" s="208"/>
      <c r="AJ15" s="208"/>
      <c r="AK15" s="208"/>
    </row>
    <row r="16" hidden="1">
      <c r="A16" s="219">
        <f>IFERROR(__xludf.DUMMYFUNCTION("""COMPUTED_VALUE"""),46031.0)</f>
        <v>46031</v>
      </c>
      <c r="B16" s="220">
        <f>IFERROR(__xludf.DUMMYFUNCTION("""COMPUTED_VALUE"""),0.75)</f>
        <v>0.75</v>
      </c>
      <c r="C16" s="221" t="str">
        <f>IFERROR(__xludf.DUMMYFUNCTION("""COMPUTED_VALUE"""),"Sms")</f>
        <v>Sms</v>
      </c>
      <c r="D16" s="221" t="str">
        <f>IFERROR(__xludf.DUMMYFUNCTION("""COMPUTED_VALUE"""),"Promotional")</f>
        <v>Promotional</v>
      </c>
      <c r="E16" s="221" t="str">
        <f>IFERROR(__xludf.DUMMYFUNCTION("""COMPUTED_VALUE"""),"BBW")</f>
        <v>BBW</v>
      </c>
      <c r="F16" s="221" t="str">
        <f>IFERROR(__xludf.DUMMYFUNCTION("""COMPUTED_VALUE"""),"bc 1099")</f>
        <v>bc 1099</v>
      </c>
      <c r="G16" s="221" t="str">
        <f>IFERROR(__xludf.DUMMYFUNCTION("""COMPUTED_VALUE"""),"bbw_bc1099_Dormant_9.1")</f>
        <v>bbw_bc1099_Dormant_9.1</v>
      </c>
      <c r="H16" s="223" t="str">
        <f>IFERROR(__xludf.DUMMYFUNCTION("""COMPUTED_VALUE"""),"Dormant_BC_Jan2026")</f>
        <v>Dormant_BC_Jan2026</v>
      </c>
      <c r="I16" s="223" t="str">
        <f>IFERROR(__xludf.DUMMYFUNCTION("""COMPUTED_VALUE"""),"Customers who have purchased from 1st Jan 2025 to 7th Jan 2026 with Cat L3 Body Care")</f>
        <v>Customers who have purchased from 1st Jan 2025 to 7th Jan 2026 with Cat L3 Body Care</v>
      </c>
      <c r="J16" s="224">
        <f>IFERROR(__xludf.DUMMYFUNCTION("""COMPUTED_VALUE"""),178336.0)</f>
        <v>178336</v>
      </c>
      <c r="K16" s="224">
        <f>IFERROR(__xludf.DUMMYFUNCTION("""COMPUTED_VALUE"""),107016.0)</f>
        <v>107016</v>
      </c>
      <c r="L16" s="225">
        <f>IFERROR(__xludf.DUMMYFUNCTION("""COMPUTED_VALUE"""),0.6001)</f>
        <v>0.6001</v>
      </c>
      <c r="M16" s="224"/>
      <c r="N16" s="225"/>
      <c r="O16" s="226">
        <f>IFERROR(__xludf.DUMMYFUNCTION("""COMPUTED_VALUE"""),67.0)</f>
        <v>67</v>
      </c>
      <c r="P16" s="226"/>
      <c r="Q16" s="225">
        <f>IFERROR(__xludf.DUMMYFUNCTION("""COMPUTED_VALUE"""),6.0E-4)</f>
        <v>0.0006</v>
      </c>
      <c r="R16" s="225"/>
      <c r="S16" s="226">
        <f>IFERROR(__xludf.DUMMYFUNCTION("""COMPUTED_VALUE"""),13.0)</f>
        <v>13</v>
      </c>
      <c r="T16" s="226">
        <f>IFERROR(__xludf.DUMMYFUNCTION("""COMPUTED_VALUE"""),32.0)</f>
        <v>32</v>
      </c>
      <c r="U16" s="224">
        <f>IFERROR(__xludf.DUMMYFUNCTION("""COMPUTED_VALUE"""),29548.0)</f>
        <v>29548</v>
      </c>
      <c r="V16" s="221" t="str">
        <f>IFERROR(__xludf.DUMMYFUNCTION("""COMPUTED_VALUE"""),"Overall")</f>
        <v>Overall</v>
      </c>
      <c r="W16" s="231" t="str">
        <f>IFERROR(__xludf.DUMMYFUNCTION("""COMPUTED_VALUE"""),"SMS")</f>
        <v>SMS</v>
      </c>
      <c r="X16" s="231" t="str">
        <f>IFERROR(__xludf.DUMMYFUNCTION("""COMPUTED_VALUE"""),"Dormant")</f>
        <v>Dormant</v>
      </c>
      <c r="Y16" s="231" t="str">
        <f>IFERROR(__xludf.DUMMYFUNCTION("""COMPUTED_VALUE"""),"9th Jan - 11 Jan")</f>
        <v>9th Jan - 11 Jan</v>
      </c>
      <c r="Z16" s="231" t="str">
        <f>IFERROR(__xludf.DUMMYFUNCTION("""COMPUTED_VALUE"""),"6960e212de28c0c9f34c768f")</f>
        <v>6960e212de28c0c9f34c768f</v>
      </c>
      <c r="AA16" s="229">
        <f>IFERROR(__xludf.DUMMYFUNCTION("""COMPUTED_VALUE"""),633.0)</f>
        <v>633</v>
      </c>
      <c r="AB16" s="229">
        <f>IFERROR(__xludf.DUMMYFUNCTION("""COMPUTED_VALUE"""),89.0)</f>
        <v>89</v>
      </c>
      <c r="AC16" s="229">
        <f>IFERROR(__xludf.DUMMYFUNCTION("""COMPUTED_VALUE"""),544.0)</f>
        <v>544</v>
      </c>
      <c r="AD16" s="229">
        <f>IFERROR(__xludf.DUMMYFUNCTION("""COMPUTED_VALUE"""),1748063.0)</f>
        <v>1748063</v>
      </c>
      <c r="AE16" s="229">
        <f>IFERROR(__xludf.DUMMYFUNCTION("""COMPUTED_VALUE"""),201065.0)</f>
        <v>201065</v>
      </c>
      <c r="AF16" s="229">
        <f>IFERROR(__xludf.DUMMYFUNCTION("""COMPUTED_VALUE"""),1546998.0)</f>
        <v>1546998</v>
      </c>
      <c r="AG16" s="208"/>
      <c r="AH16" s="208"/>
      <c r="AI16" s="208"/>
      <c r="AJ16" s="208"/>
      <c r="AK16" s="208"/>
    </row>
    <row r="17" hidden="1">
      <c r="A17" s="216">
        <f>IFERROR(__xludf.DUMMYFUNCTION("""COMPUTED_VALUE"""),46036.0)</f>
        <v>46036</v>
      </c>
      <c r="B17" s="217">
        <f>IFERROR(__xludf.DUMMYFUNCTION("""COMPUTED_VALUE"""),0.8333333333321207)</f>
        <v>0.8333333333</v>
      </c>
      <c r="C17" s="211" t="str">
        <f>IFERROR(__xludf.DUMMYFUNCTION("""COMPUTED_VALUE"""),"Sms")</f>
        <v>Sms</v>
      </c>
      <c r="D17" s="211" t="str">
        <f>IFERROR(__xludf.DUMMYFUNCTION("""COMPUTED_VALUE"""),"Fallback Campaign")</f>
        <v>Fallback Campaign</v>
      </c>
      <c r="E17" s="211" t="str">
        <f>IFERROR(__xludf.DUMMYFUNCTION("""COMPUTED_VALUE"""),"BBW")</f>
        <v>BBW</v>
      </c>
      <c r="F17" s="211" t="str">
        <f>IFERROR(__xludf.DUMMYFUNCTION("""COMPUTED_VALUE"""),"eabc999")</f>
        <v>eabc999</v>
      </c>
      <c r="G17" s="212" t="str">
        <f>IFERROR(__xludf.DUMMYFUNCTION("""COMPUTED_VALUE"""),"bbw_eabc999_loyal14.1fbWA")</f>
        <v>bbw_eabc999_loyal14.1fbWA</v>
      </c>
      <c r="H17" s="212" t="str">
        <f>IFERROR(__xludf.DUMMYFUNCTION("""COMPUTED_VALUE"""),"BodyCare_Alteast3times_ON OR AGIPL_Internal OR BBW_Internal")</f>
        <v>BodyCare_Alteast3times_ON OR AGIPL_Internal OR BBW_Internal</v>
      </c>
      <c r="I17" s="212" t="str">
        <f>IFERROR(__xludf.DUMMYFUNCTION("""COMPUTED_VALUE"""),"WA Undelivered")</f>
        <v>WA Undelivered</v>
      </c>
      <c r="J17" s="213">
        <f>IFERROR(__xludf.DUMMYFUNCTION("""COMPUTED_VALUE"""),10003.0)</f>
        <v>10003</v>
      </c>
      <c r="K17" s="213">
        <f>IFERROR(__xludf.DUMMYFUNCTION("""COMPUTED_VALUE"""),4922.0)</f>
        <v>4922</v>
      </c>
      <c r="L17" s="214">
        <f>IFERROR(__xludf.DUMMYFUNCTION("""COMPUTED_VALUE"""),0.4921)</f>
        <v>0.4921</v>
      </c>
      <c r="M17" s="213"/>
      <c r="N17" s="214"/>
      <c r="O17" s="213">
        <f>IFERROR(__xludf.DUMMYFUNCTION("""COMPUTED_VALUE"""),24.0)</f>
        <v>24</v>
      </c>
      <c r="P17" s="213"/>
      <c r="Q17" s="214">
        <f>IFERROR(__xludf.DUMMYFUNCTION("""COMPUTED_VALUE"""),0.0049)</f>
        <v>0.0049</v>
      </c>
      <c r="R17" s="214"/>
      <c r="S17" s="101">
        <f>IFERROR(__xludf.DUMMYFUNCTION("""COMPUTED_VALUE"""),11.0)</f>
        <v>11</v>
      </c>
      <c r="T17" s="101">
        <f>IFERROR(__xludf.DUMMYFUNCTION("""COMPUTED_VALUE"""),25.0)</f>
        <v>25</v>
      </c>
      <c r="U17" s="213">
        <f>IFERROR(__xludf.DUMMYFUNCTION("""COMPUTED_VALUE"""),30963.0)</f>
        <v>30963</v>
      </c>
      <c r="V17" s="271" t="str">
        <f>IFERROR(__xludf.DUMMYFUNCTION("""COMPUTED_VALUE"""),"online")</f>
        <v>online</v>
      </c>
      <c r="W17" s="98" t="str">
        <f>IFERROR(__xludf.DUMMYFUNCTION("""COMPUTED_VALUE"""),"SMS")</f>
        <v>SMS</v>
      </c>
      <c r="X17" s="98" t="str">
        <f>IFERROR(__xludf.DUMMYFUNCTION("""COMPUTED_VALUE"""),"Loyal")</f>
        <v>Loyal</v>
      </c>
      <c r="Y17" s="98" t="str">
        <f>IFERROR(__xludf.DUMMYFUNCTION("""COMPUTED_VALUE"""),"14th Jan - 18th Jan")</f>
        <v>14th Jan - 18th Jan</v>
      </c>
      <c r="Z17" s="98" t="str">
        <f>IFERROR(__xludf.DUMMYFUNCTION("""COMPUTED_VALUE"""),"69677abca0a1272ff7e4a5e5")</f>
        <v>69677abca0a1272ff7e4a5e5</v>
      </c>
      <c r="AA17" s="98">
        <f>IFERROR(__xludf.DUMMYFUNCTION("""COMPUTED_VALUE"""),60.0)</f>
        <v>60</v>
      </c>
      <c r="AB17" s="98">
        <f>IFERROR(__xludf.DUMMYFUNCTION("""COMPUTED_VALUE"""),60.0)</f>
        <v>60</v>
      </c>
      <c r="AC17" s="98"/>
      <c r="AD17" s="98">
        <f>IFERROR(__xludf.DUMMYFUNCTION("""COMPUTED_VALUE"""),177522.0)</f>
        <v>177522</v>
      </c>
      <c r="AE17" s="98">
        <f>IFERROR(__xludf.DUMMYFUNCTION("""COMPUTED_VALUE"""),177522.0)</f>
        <v>177522</v>
      </c>
      <c r="AF17" s="98"/>
      <c r="AG17" s="208"/>
      <c r="AH17" s="208"/>
      <c r="AI17" s="208"/>
      <c r="AJ17" s="208"/>
      <c r="AK17" s="208"/>
    </row>
    <row r="18" hidden="1">
      <c r="A18" s="245">
        <f>IFERROR(__xludf.DUMMYFUNCTION("""COMPUTED_VALUE"""),46036.0)</f>
        <v>46036</v>
      </c>
      <c r="B18" s="246">
        <f>IFERROR(__xludf.DUMMYFUNCTION("""COMPUTED_VALUE"""),0.75)</f>
        <v>0.75</v>
      </c>
      <c r="C18" s="221" t="str">
        <f>IFERROR(__xludf.DUMMYFUNCTION("""COMPUTED_VALUE"""),"Rcs")</f>
        <v>Rcs</v>
      </c>
      <c r="D18" s="221" t="str">
        <f>IFERROR(__xludf.DUMMYFUNCTION("""COMPUTED_VALUE"""),"Promotional")</f>
        <v>Promotional</v>
      </c>
      <c r="E18" s="221" t="str">
        <f>IFERROR(__xludf.DUMMYFUNCTION("""COMPUTED_VALUE"""),"BBW")</f>
        <v>BBW</v>
      </c>
      <c r="F18" s="222" t="str">
        <f>IFERROR(__xludf.DUMMYFUNCTION("""COMPUTED_VALUE"""),"eabc999")</f>
        <v>eabc999</v>
      </c>
      <c r="G18" s="221" t="str">
        <f>IFERROR(__xludf.DUMMYFUNCTION("""COMPUTED_VALUE"""),"bbw_eabc999_dorm14.1RCS")</f>
        <v>bbw_eabc999_dorm14.1RCS</v>
      </c>
      <c r="H18" s="269" t="str">
        <f>IFERROR(__xludf.DUMMYFUNCTION("""COMPUTED_VALUE"""),"BodyCare_Churned_ON")</f>
        <v>BodyCare_Churned_ON</v>
      </c>
      <c r="I18" s="223" t="str">
        <f>IFERROR(__xludf.DUMMYFUNCTION("""COMPUTED_VALUE"""),"Customers who have shopped from 1st jan 2024 to 31st Dec 2024 contain body care And have not shopped from 1st Jan 2025 to 10th Jan 2025 contains body care Online")</f>
        <v>Customers who have shopped from 1st jan 2024 to 31st Dec 2024 contain body care And have not shopped from 1st Jan 2025 to 10th Jan 2025 contains body care Online</v>
      </c>
      <c r="J18" s="213">
        <f>IFERROR(__xludf.DUMMYFUNCTION("""COMPUTED_VALUE"""),53878.0)</f>
        <v>53878</v>
      </c>
      <c r="K18" s="213">
        <f>IFERROR(__xludf.DUMMYFUNCTION("""COMPUTED_VALUE"""),13699.0)</f>
        <v>13699</v>
      </c>
      <c r="L18" s="214">
        <f>IFERROR(__xludf.DUMMYFUNCTION("""COMPUTED_VALUE"""),0.2543)</f>
        <v>0.2543</v>
      </c>
      <c r="M18" s="213">
        <f>IFERROR(__xludf.DUMMYFUNCTION("""COMPUTED_VALUE"""),1762.0)</f>
        <v>1762</v>
      </c>
      <c r="N18" s="214">
        <f>IFERROR(__xludf.DUMMYFUNCTION("""COMPUTED_VALUE"""),0.129)</f>
        <v>0.129</v>
      </c>
      <c r="O18" s="213">
        <f>IFERROR(__xludf.DUMMYFUNCTION("""COMPUTED_VALUE"""),79.0)</f>
        <v>79</v>
      </c>
      <c r="P18" s="213"/>
      <c r="Q18" s="214">
        <f>IFERROR(__xludf.DUMMYFUNCTION("""COMPUTED_VALUE"""),0.0058)</f>
        <v>0.0058</v>
      </c>
      <c r="R18" s="214"/>
      <c r="S18" s="101">
        <f>IFERROR(__xludf.DUMMYFUNCTION("""COMPUTED_VALUE"""),2.0)</f>
        <v>2</v>
      </c>
      <c r="T18" s="101">
        <f>IFERROR(__xludf.DUMMYFUNCTION("""COMPUTED_VALUE"""),12.0)</f>
        <v>12</v>
      </c>
      <c r="U18" s="213">
        <f>IFERROR(__xludf.DUMMYFUNCTION("""COMPUTED_VALUE"""),8899.0)</f>
        <v>8899</v>
      </c>
      <c r="V18" s="271" t="str">
        <f>IFERROR(__xludf.DUMMYFUNCTION("""COMPUTED_VALUE"""),"online")</f>
        <v>online</v>
      </c>
      <c r="W18" s="98" t="str">
        <f>IFERROR(__xludf.DUMMYFUNCTION("""COMPUTED_VALUE"""),"RCS")</f>
        <v>RCS</v>
      </c>
      <c r="X18" s="98" t="str">
        <f>IFERROR(__xludf.DUMMYFUNCTION("""COMPUTED_VALUE"""),"Churned")</f>
        <v>Churned</v>
      </c>
      <c r="Y18" s="98" t="str">
        <f>IFERROR(__xludf.DUMMYFUNCTION("""COMPUTED_VALUE"""),"14th Jan - 18th Jan")</f>
        <v>14th Jan - 18th Jan</v>
      </c>
      <c r="Z18" s="98" t="str">
        <f>IFERROR(__xludf.DUMMYFUNCTION("""COMPUTED_VALUE"""),"69678b3c15548bee4ba4e6be")</f>
        <v>69678b3c15548bee4ba4e6be</v>
      </c>
      <c r="AA18" s="98">
        <f>IFERROR(__xludf.DUMMYFUNCTION("""COMPUTED_VALUE"""),35.0)</f>
        <v>35</v>
      </c>
      <c r="AB18" s="98">
        <f>IFERROR(__xludf.DUMMYFUNCTION("""COMPUTED_VALUE"""),35.0)</f>
        <v>35</v>
      </c>
      <c r="AC18" s="98"/>
      <c r="AD18" s="98">
        <f>IFERROR(__xludf.DUMMYFUNCTION("""COMPUTED_VALUE"""),108787.0)</f>
        <v>108787</v>
      </c>
      <c r="AE18" s="98">
        <f>IFERROR(__xludf.DUMMYFUNCTION("""COMPUTED_VALUE"""),108787.0)</f>
        <v>108787</v>
      </c>
      <c r="AF18" s="98"/>
      <c r="AG18" s="208"/>
      <c r="AH18" s="208"/>
      <c r="AI18" s="208"/>
      <c r="AJ18" s="208"/>
      <c r="AK18" s="208"/>
    </row>
    <row r="19" hidden="1">
      <c r="A19" s="216">
        <f>IFERROR(__xludf.DUMMYFUNCTION("""COMPUTED_VALUE"""),46036.0)</f>
        <v>46036</v>
      </c>
      <c r="B19" s="217">
        <f>IFERROR(__xludf.DUMMYFUNCTION("""COMPUTED_VALUE"""),0.8333333333321207)</f>
        <v>0.8333333333</v>
      </c>
      <c r="C19" s="211" t="str">
        <f>IFERROR(__xludf.DUMMYFUNCTION("""COMPUTED_VALUE"""),"Sms")</f>
        <v>Sms</v>
      </c>
      <c r="D19" s="211" t="str">
        <f>IFERROR(__xludf.DUMMYFUNCTION("""COMPUTED_VALUE"""),"Fallback Campaign")</f>
        <v>Fallback Campaign</v>
      </c>
      <c r="E19" s="211" t="str">
        <f>IFERROR(__xludf.DUMMYFUNCTION("""COMPUTED_VALUE"""),"BBW")</f>
        <v>BBW</v>
      </c>
      <c r="F19" s="211" t="str">
        <f>IFERROR(__xludf.DUMMYFUNCTION("""COMPUTED_VALUE"""),"eabc999")</f>
        <v>eabc999</v>
      </c>
      <c r="G19" s="211" t="str">
        <f>IFERROR(__xludf.DUMMYFUNCTION("""COMPUTED_VALUE"""),"bbw_eabc999_eventbuy14.1fbWA")</f>
        <v>bbw_eabc999_eventbuy14.1fbWA</v>
      </c>
      <c r="H19" s="112" t="str">
        <f>IFERROR(__xludf.DUMMYFUNCTION("""COMPUTED_VALUE"""),"BodyCare_LastCamPur_ON")</f>
        <v>BodyCare_LastCamPur_ON</v>
      </c>
      <c r="I19" s="212" t="str">
        <f>IFERROR(__xludf.DUMMYFUNCTION("""COMPUTED_VALUE"""),"WA Undelivered")</f>
        <v>WA Undelivered</v>
      </c>
      <c r="J19" s="213">
        <f>IFERROR(__xludf.DUMMYFUNCTION("""COMPUTED_VALUE"""),8181.0)</f>
        <v>8181</v>
      </c>
      <c r="K19" s="213">
        <f>IFERROR(__xludf.DUMMYFUNCTION("""COMPUTED_VALUE"""),4496.0)</f>
        <v>4496</v>
      </c>
      <c r="L19" s="214">
        <f>IFERROR(__xludf.DUMMYFUNCTION("""COMPUTED_VALUE"""),0.5496)</f>
        <v>0.5496</v>
      </c>
      <c r="M19" s="213"/>
      <c r="N19" s="214"/>
      <c r="O19" s="213">
        <f>IFERROR(__xludf.DUMMYFUNCTION("""COMPUTED_VALUE"""),12.0)</f>
        <v>12</v>
      </c>
      <c r="P19" s="213"/>
      <c r="Q19" s="214">
        <f>IFERROR(__xludf.DUMMYFUNCTION("""COMPUTED_VALUE"""),0.0027)</f>
        <v>0.0027</v>
      </c>
      <c r="R19" s="214"/>
      <c r="S19" s="101">
        <f>IFERROR(__xludf.DUMMYFUNCTION("""COMPUTED_VALUE"""),12.0)</f>
        <v>12</v>
      </c>
      <c r="T19" s="101">
        <f>IFERROR(__xludf.DUMMYFUNCTION("""COMPUTED_VALUE"""),26.0)</f>
        <v>26</v>
      </c>
      <c r="U19" s="213">
        <f>IFERROR(__xludf.DUMMYFUNCTION("""COMPUTED_VALUE"""),26240.0)</f>
        <v>26240</v>
      </c>
      <c r="V19" s="271" t="str">
        <f>IFERROR(__xludf.DUMMYFUNCTION("""COMPUTED_VALUE"""),"online")</f>
        <v>online</v>
      </c>
      <c r="W19" s="98" t="str">
        <f>IFERROR(__xludf.DUMMYFUNCTION("""COMPUTED_VALUE"""),"SMS")</f>
        <v>SMS</v>
      </c>
      <c r="X19" s="98" t="str">
        <f>IFERROR(__xludf.DUMMYFUNCTION("""COMPUTED_VALUE"""),"Event Buyers")</f>
        <v>Event Buyers</v>
      </c>
      <c r="Y19" s="98" t="str">
        <f>IFERROR(__xludf.DUMMYFUNCTION("""COMPUTED_VALUE"""),"14th Jan - 18th Jan")</f>
        <v>14th Jan - 18th Jan</v>
      </c>
      <c r="Z19" s="98" t="str">
        <f>IFERROR(__xludf.DUMMYFUNCTION("""COMPUTED_VALUE"""),"69679182259520fa49315086")</f>
        <v>69679182259520fa49315086</v>
      </c>
      <c r="AA19" s="98">
        <f>IFERROR(__xludf.DUMMYFUNCTION("""COMPUTED_VALUE"""),43.0)</f>
        <v>43</v>
      </c>
      <c r="AB19" s="98">
        <f>IFERROR(__xludf.DUMMYFUNCTION("""COMPUTED_VALUE"""),43.0)</f>
        <v>43</v>
      </c>
      <c r="AC19" s="98"/>
      <c r="AD19" s="98">
        <f>IFERROR(__xludf.DUMMYFUNCTION("""COMPUTED_VALUE"""),99163.0)</f>
        <v>99163</v>
      </c>
      <c r="AE19" s="98">
        <f>IFERROR(__xludf.DUMMYFUNCTION("""COMPUTED_VALUE"""),99163.0)</f>
        <v>99163</v>
      </c>
      <c r="AF19" s="98"/>
      <c r="AG19" s="208"/>
      <c r="AH19" s="208"/>
      <c r="AI19" s="208"/>
      <c r="AJ19" s="208"/>
      <c r="AK19" s="208"/>
    </row>
    <row r="20" hidden="1">
      <c r="A20" s="215">
        <f>IFERROR(__xludf.DUMMYFUNCTION("""COMPUTED_VALUE"""),46036.0)</f>
        <v>46036</v>
      </c>
      <c r="B20" s="210">
        <f>IFERROR(__xludf.DUMMYFUNCTION("""COMPUTED_VALUE"""),0.75)</f>
        <v>0.75</v>
      </c>
      <c r="C20" s="211" t="str">
        <f>IFERROR(__xludf.DUMMYFUNCTION("""COMPUTED_VALUE"""),"Whatsapp")</f>
        <v>Whatsapp</v>
      </c>
      <c r="D20" s="211" t="str">
        <f>IFERROR(__xludf.DUMMYFUNCTION("""COMPUTED_VALUE"""),"Promotional")</f>
        <v>Promotional</v>
      </c>
      <c r="E20" s="211" t="str">
        <f>IFERROR(__xludf.DUMMYFUNCTION("""COMPUTED_VALUE"""),"BBW")</f>
        <v>BBW</v>
      </c>
      <c r="F20" s="211" t="str">
        <f>IFERROR(__xludf.DUMMYFUNCTION("""COMPUTED_VALUE"""),"eabc999")</f>
        <v>eabc999</v>
      </c>
      <c r="G20" s="211" t="str">
        <f>IFERROR(__xludf.DUMMYFUNCTION("""COMPUTED_VALUE"""),"bbw_eabc999_eventbuy14.1")</f>
        <v>bbw_eabc999_eventbuy14.1</v>
      </c>
      <c r="H20" s="212" t="str">
        <f>IFERROR(__xludf.DUMMYFUNCTION("""COMPUTED_VALUE"""),"BodyCare_LastCamPur_ON")</f>
        <v>BodyCare_LastCamPur_ON</v>
      </c>
      <c r="I20" s="223" t="str">
        <f>IFERROR(__xludf.DUMMYFUNCTION("""COMPUTED_VALUE"""),"Customers who have purchased in all the last body care campaigns")</f>
        <v>Customers who have purchased in all the last body care campaigns</v>
      </c>
      <c r="J20" s="213">
        <f>IFERROR(__xludf.DUMMYFUNCTION("""COMPUTED_VALUE"""),12646.0)</f>
        <v>12646</v>
      </c>
      <c r="K20" s="213">
        <f>IFERROR(__xludf.DUMMYFUNCTION("""COMPUTED_VALUE"""),4342.0)</f>
        <v>4342</v>
      </c>
      <c r="L20" s="214">
        <f>IFERROR(__xludf.DUMMYFUNCTION("""COMPUTED_VALUE"""),0.3433)</f>
        <v>0.3433</v>
      </c>
      <c r="M20" s="213">
        <f>IFERROR(__xludf.DUMMYFUNCTION("""COMPUTED_VALUE"""),2267.0)</f>
        <v>2267</v>
      </c>
      <c r="N20" s="214">
        <f>IFERROR(__xludf.DUMMYFUNCTION("""COMPUTED_VALUE"""),0.5224)</f>
        <v>0.5224</v>
      </c>
      <c r="O20" s="101">
        <f>IFERROR(__xludf.DUMMYFUNCTION("""COMPUTED_VALUE"""),235.0)</f>
        <v>235</v>
      </c>
      <c r="P20" s="101">
        <f>IFERROR(__xludf.DUMMYFUNCTION("""COMPUTED_VALUE"""),218.0)</f>
        <v>218</v>
      </c>
      <c r="Q20" s="214">
        <f>IFERROR(__xludf.DUMMYFUNCTION("""COMPUTED_VALUE"""),0.0502)</f>
        <v>0.0502</v>
      </c>
      <c r="R20" s="214">
        <f>IFERROR(__xludf.DUMMYFUNCTION("""COMPUTED_VALUE"""),0.0962)</f>
        <v>0.0962</v>
      </c>
      <c r="S20" s="101">
        <f>IFERROR(__xludf.DUMMYFUNCTION("""COMPUTED_VALUE"""),11.0)</f>
        <v>11</v>
      </c>
      <c r="T20" s="101">
        <f>IFERROR(__xludf.DUMMYFUNCTION("""COMPUTED_VALUE"""),18.0)</f>
        <v>18</v>
      </c>
      <c r="U20" s="213">
        <f>IFERROR(__xludf.DUMMYFUNCTION("""COMPUTED_VALUE"""),27597.0)</f>
        <v>27597</v>
      </c>
      <c r="V20" s="271" t="str">
        <f>IFERROR(__xludf.DUMMYFUNCTION("""COMPUTED_VALUE"""),"online")</f>
        <v>online</v>
      </c>
      <c r="W20" s="98" t="str">
        <f>IFERROR(__xludf.DUMMYFUNCTION("""COMPUTED_VALUE"""),"simple")</f>
        <v>simple</v>
      </c>
      <c r="X20" s="98" t="str">
        <f>IFERROR(__xludf.DUMMYFUNCTION("""COMPUTED_VALUE"""),"Event Buyers")</f>
        <v>Event Buyers</v>
      </c>
      <c r="Y20" s="98" t="str">
        <f>IFERROR(__xludf.DUMMYFUNCTION("""COMPUTED_VALUE"""),"14th Jan - 18th Jan")</f>
        <v>14th Jan - 18th Jan</v>
      </c>
      <c r="Z20" s="98" t="str">
        <f>IFERROR(__xludf.DUMMYFUNCTION("""COMPUTED_VALUE"""),"6967786fee2350e34badefa0")</f>
        <v>6967786fee2350e34badefa0</v>
      </c>
      <c r="AA20" s="98">
        <f>IFERROR(__xludf.DUMMYFUNCTION("""COMPUTED_VALUE"""),55.0)</f>
        <v>55</v>
      </c>
      <c r="AB20" s="98">
        <f>IFERROR(__xludf.DUMMYFUNCTION("""COMPUTED_VALUE"""),55.0)</f>
        <v>55</v>
      </c>
      <c r="AC20" s="98"/>
      <c r="AD20" s="98">
        <f>IFERROR(__xludf.DUMMYFUNCTION("""COMPUTED_VALUE"""),125327.0)</f>
        <v>125327</v>
      </c>
      <c r="AE20" s="98">
        <f>IFERROR(__xludf.DUMMYFUNCTION("""COMPUTED_VALUE"""),125327.0)</f>
        <v>125327</v>
      </c>
      <c r="AF20" s="98"/>
      <c r="AG20" s="208"/>
      <c r="AH20" s="208"/>
      <c r="AI20" s="208"/>
      <c r="AJ20" s="208"/>
      <c r="AK20" s="208"/>
    </row>
    <row r="21" hidden="1">
      <c r="A21" s="209">
        <f>IFERROR(__xludf.DUMMYFUNCTION("""COMPUTED_VALUE"""),46036.0)</f>
        <v>46036</v>
      </c>
      <c r="B21" s="210">
        <f>IFERROR(__xludf.DUMMYFUNCTION("""COMPUTED_VALUE"""),0.75)</f>
        <v>0.75</v>
      </c>
      <c r="C21" s="211" t="str">
        <f>IFERROR(__xludf.DUMMYFUNCTION("""COMPUTED_VALUE"""),"Whatsapp")</f>
        <v>Whatsapp</v>
      </c>
      <c r="D21" s="211" t="str">
        <f>IFERROR(__xludf.DUMMYFUNCTION("""COMPUTED_VALUE"""),"Promotional")</f>
        <v>Promotional</v>
      </c>
      <c r="E21" s="211" t="str">
        <f>IFERROR(__xludf.DUMMYFUNCTION("""COMPUTED_VALUE"""),"BBW")</f>
        <v>BBW</v>
      </c>
      <c r="F21" s="211" t="str">
        <f>IFERROR(__xludf.DUMMYFUNCTION("""COMPUTED_VALUE"""),"eabc999")</f>
        <v>eabc999</v>
      </c>
      <c r="G21" s="212" t="str">
        <f>IFERROR(__xludf.DUMMYFUNCTION("""COMPUTED_VALUE"""),"bbw_eabc999_loyal14.1")</f>
        <v>bbw_eabc999_loyal14.1</v>
      </c>
      <c r="H21" s="212" t="str">
        <f>IFERROR(__xludf.DUMMYFUNCTION("""COMPUTED_VALUE"""),"BodyCare_Alteast3times_ON OR AGIPL_Internal OR BBW_Internal")</f>
        <v>BodyCare_Alteast3times_ON OR AGIPL_Internal OR BBW_Internal</v>
      </c>
      <c r="I21" s="212" t="str">
        <f>IFERROR(__xludf.DUMMYFUNCTION("""COMPUTED_VALUE"""),"Customers who have purchased Body Care atleast 3 times in the entire duration Online")</f>
        <v>Customers who have purchased Body Care atleast 3 times in the entire duration Online</v>
      </c>
      <c r="J21" s="213">
        <f>IFERROR(__xludf.DUMMYFUNCTION("""COMPUTED_VALUE"""),19850.0)</f>
        <v>19850</v>
      </c>
      <c r="K21" s="213">
        <f>IFERROR(__xludf.DUMMYFUNCTION("""COMPUTED_VALUE"""),5020.0)</f>
        <v>5020</v>
      </c>
      <c r="L21" s="214">
        <f>IFERROR(__xludf.DUMMYFUNCTION("""COMPUTED_VALUE"""),0.2529)</f>
        <v>0.2529</v>
      </c>
      <c r="M21" s="213">
        <f>IFERROR(__xludf.DUMMYFUNCTION("""COMPUTED_VALUE"""),2251.0)</f>
        <v>2251</v>
      </c>
      <c r="N21" s="214">
        <f>IFERROR(__xludf.DUMMYFUNCTION("""COMPUTED_VALUE"""),0.4487)</f>
        <v>0.4487</v>
      </c>
      <c r="O21" s="101">
        <f>IFERROR(__xludf.DUMMYFUNCTION("""COMPUTED_VALUE"""),192.0)</f>
        <v>192</v>
      </c>
      <c r="P21" s="101">
        <f>IFERROR(__xludf.DUMMYFUNCTION("""COMPUTED_VALUE"""),173.0)</f>
        <v>173</v>
      </c>
      <c r="Q21" s="214">
        <f>IFERROR(__xludf.DUMMYFUNCTION("""COMPUTED_VALUE"""),0.0345)</f>
        <v>0.0345</v>
      </c>
      <c r="R21" s="214">
        <f>IFERROR(__xludf.DUMMYFUNCTION("""COMPUTED_VALUE"""),0.0769)</f>
        <v>0.0769</v>
      </c>
      <c r="S21" s="101">
        <f>IFERROR(__xludf.DUMMYFUNCTION("""COMPUTED_VALUE"""),17.0)</f>
        <v>17</v>
      </c>
      <c r="T21" s="101">
        <f>IFERROR(__xludf.DUMMYFUNCTION("""COMPUTED_VALUE"""),25.0)</f>
        <v>25</v>
      </c>
      <c r="U21" s="270">
        <f>IFERROR(__xludf.DUMMYFUNCTION("""COMPUTED_VALUE"""),46664.0)</f>
        <v>46664</v>
      </c>
      <c r="V21" s="271" t="str">
        <f>IFERROR(__xludf.DUMMYFUNCTION("""COMPUTED_VALUE"""),"online")</f>
        <v>online</v>
      </c>
      <c r="W21" s="272" t="str">
        <f>IFERROR(__xludf.DUMMYFUNCTION("""COMPUTED_VALUE"""),"simple")</f>
        <v>simple</v>
      </c>
      <c r="X21" s="272" t="str">
        <f>IFERROR(__xludf.DUMMYFUNCTION("""COMPUTED_VALUE"""),"Loyal")</f>
        <v>Loyal</v>
      </c>
      <c r="Y21" s="272" t="str">
        <f>IFERROR(__xludf.DUMMYFUNCTION("""COMPUTED_VALUE"""),"14th Jan - 18th Jan")</f>
        <v>14th Jan - 18th Jan</v>
      </c>
      <c r="Z21" s="272" t="str">
        <f>IFERROR(__xludf.DUMMYFUNCTION("""COMPUTED_VALUE"""),"696778ed45d61d240be35098")</f>
        <v>696778ed45d61d240be35098</v>
      </c>
      <c r="AA21" s="272">
        <f>IFERROR(__xludf.DUMMYFUNCTION("""COMPUTED_VALUE"""),72.0)</f>
        <v>72</v>
      </c>
      <c r="AB21" s="272">
        <f>IFERROR(__xludf.DUMMYFUNCTION("""COMPUTED_VALUE"""),72.0)</f>
        <v>72</v>
      </c>
      <c r="AC21" s="272"/>
      <c r="AD21" s="272">
        <f>IFERROR(__xludf.DUMMYFUNCTION("""COMPUTED_VALUE"""),240339.0)</f>
        <v>240339</v>
      </c>
      <c r="AE21" s="272">
        <f>IFERROR(__xludf.DUMMYFUNCTION("""COMPUTED_VALUE"""),240339.0)</f>
        <v>240339</v>
      </c>
      <c r="AF21" s="272"/>
      <c r="AG21" s="208"/>
      <c r="AH21" s="208"/>
      <c r="AI21" s="208"/>
      <c r="AJ21" s="208"/>
      <c r="AK21" s="208"/>
    </row>
    <row r="22" hidden="1">
      <c r="A22" s="245">
        <f>IFERROR(__xludf.DUMMYFUNCTION("""COMPUTED_VALUE"""),46037.0)</f>
        <v>46037</v>
      </c>
      <c r="B22" s="246">
        <f>IFERROR(__xludf.DUMMYFUNCTION("""COMPUTED_VALUE"""),0.40625)</f>
        <v>0.40625</v>
      </c>
      <c r="C22" s="221" t="str">
        <f>IFERROR(__xludf.DUMMYFUNCTION("""COMPUTED_VALUE"""),"Sms")</f>
        <v>Sms</v>
      </c>
      <c r="D22" s="221" t="str">
        <f>IFERROR(__xludf.DUMMYFUNCTION("""COMPUTED_VALUE"""),"Promotional")</f>
        <v>Promotional</v>
      </c>
      <c r="E22" s="221" t="str">
        <f>IFERROR(__xludf.DUMMYFUNCTION("""COMPUTED_VALUE"""),"BBW")</f>
        <v>BBW</v>
      </c>
      <c r="F22" s="222" t="str">
        <f>IFERROR(__xludf.DUMMYFUNCTION("""COMPUTED_VALUE"""),"eatog")</f>
        <v>eatog</v>
      </c>
      <c r="G22" s="221" t="str">
        <f>IFERROR(__xludf.DUMMYFUNCTION("""COMPUTED_VALUE"""),"bbw_eatog_15.1launch_dorm")</f>
        <v>bbw_eatog_15.1launch_dorm</v>
      </c>
      <c r="H22" s="269" t="str">
        <f>IFERROR(__xludf.DUMMYFUNCTION("""COMPUTED_VALUE"""),"NewLaunch_Dormant1Year_Online2026")</f>
        <v>NewLaunch_Dormant1Year_Online2026</v>
      </c>
      <c r="I22" s="223" t="str">
        <f>IFERROR(__xludf.DUMMYFUNCTION("""COMPUTED_VALUE"""),"Customers who have shopped from Jan 2024 to Dec 2024 but have not shopped from Jan 2025 to Jan 2026")</f>
        <v>Customers who have shopped from Jan 2024 to Dec 2024 but have not shopped from Jan 2025 to Jan 2026</v>
      </c>
      <c r="J22" s="213">
        <f>IFERROR(__xludf.DUMMYFUNCTION("""COMPUTED_VALUE"""),100976.0)</f>
        <v>100976</v>
      </c>
      <c r="K22" s="213">
        <f>IFERROR(__xludf.DUMMYFUNCTION("""COMPUTED_VALUE"""),62805.0)</f>
        <v>62805</v>
      </c>
      <c r="L22" s="214">
        <f>IFERROR(__xludf.DUMMYFUNCTION("""COMPUTED_VALUE"""),0.622)</f>
        <v>0.622</v>
      </c>
      <c r="M22" s="213"/>
      <c r="N22" s="214"/>
      <c r="O22" s="213">
        <f>IFERROR(__xludf.DUMMYFUNCTION("""COMPUTED_VALUE"""),172.0)</f>
        <v>172</v>
      </c>
      <c r="P22" s="213"/>
      <c r="Q22" s="214">
        <f>IFERROR(__xludf.DUMMYFUNCTION("""COMPUTED_VALUE"""),0.0027)</f>
        <v>0.0027</v>
      </c>
      <c r="R22" s="214"/>
      <c r="S22" s="101">
        <f>IFERROR(__xludf.DUMMYFUNCTION("""COMPUTED_VALUE"""),10.0)</f>
        <v>10</v>
      </c>
      <c r="T22" s="101">
        <f>IFERROR(__xludf.DUMMYFUNCTION("""COMPUTED_VALUE"""),34.0)</f>
        <v>34</v>
      </c>
      <c r="U22" s="213">
        <f>IFERROR(__xludf.DUMMYFUNCTION("""COMPUTED_VALUE"""),17375.0)</f>
        <v>17375</v>
      </c>
      <c r="V22" s="271" t="str">
        <f>IFERROR(__xludf.DUMMYFUNCTION("""COMPUTED_VALUE"""),"online")</f>
        <v>online</v>
      </c>
      <c r="W22" s="98" t="str">
        <f>IFERROR(__xludf.DUMMYFUNCTION("""COMPUTED_VALUE"""),"SMS")</f>
        <v>SMS</v>
      </c>
      <c r="X22" s="98" t="str">
        <f>IFERROR(__xludf.DUMMYFUNCTION("""COMPUTED_VALUE"""),"Dormant")</f>
        <v>Dormant</v>
      </c>
      <c r="Y22" s="98" t="str">
        <f>IFERROR(__xludf.DUMMYFUNCTION("""COMPUTED_VALUE"""),"15th Jan - 19th Jan")</f>
        <v>15th Jan - 19th Jan</v>
      </c>
      <c r="Z22" s="98" t="str">
        <f>IFERROR(__xludf.DUMMYFUNCTION("""COMPUTED_VALUE"""),"69679c44259520fa49315364")</f>
        <v>69679c44259520fa49315364</v>
      </c>
      <c r="AA22" s="98">
        <f>IFERROR(__xludf.DUMMYFUNCTION("""COMPUTED_VALUE"""),89.0)</f>
        <v>89</v>
      </c>
      <c r="AB22" s="98">
        <f>IFERROR(__xludf.DUMMYFUNCTION("""COMPUTED_VALUE"""),89.0)</f>
        <v>89</v>
      </c>
      <c r="AC22" s="98"/>
      <c r="AD22" s="98">
        <f>IFERROR(__xludf.DUMMYFUNCTION("""COMPUTED_VALUE"""),263718.0)</f>
        <v>263718</v>
      </c>
      <c r="AE22" s="98">
        <f>IFERROR(__xludf.DUMMYFUNCTION("""COMPUTED_VALUE"""),263718.0)</f>
        <v>263718</v>
      </c>
      <c r="AF22" s="98"/>
      <c r="AG22" s="208"/>
      <c r="AH22" s="208"/>
      <c r="AI22" s="208"/>
      <c r="AJ22" s="208"/>
      <c r="AK22" s="208"/>
    </row>
    <row r="23" hidden="1">
      <c r="A23" s="215">
        <f>IFERROR(__xludf.DUMMYFUNCTION("""COMPUTED_VALUE"""),46037.0)</f>
        <v>46037</v>
      </c>
      <c r="B23" s="210">
        <f>IFERROR(__xludf.DUMMYFUNCTION("""COMPUTED_VALUE"""),0.40625)</f>
        <v>0.40625</v>
      </c>
      <c r="C23" s="211" t="str">
        <f>IFERROR(__xludf.DUMMYFUNCTION("""COMPUTED_VALUE"""),"Sms")</f>
        <v>Sms</v>
      </c>
      <c r="D23" s="211" t="str">
        <f>IFERROR(__xludf.DUMMYFUNCTION("""COMPUTED_VALUE"""),"Promotional")</f>
        <v>Promotional</v>
      </c>
      <c r="E23" s="211" t="str">
        <f>IFERROR(__xludf.DUMMYFUNCTION("""COMPUTED_VALUE"""),"BBW")</f>
        <v>BBW</v>
      </c>
      <c r="F23" s="211" t="str">
        <f>IFERROR(__xludf.DUMMYFUNCTION("""COMPUTED_VALUE"""),"eatog")</f>
        <v>eatog</v>
      </c>
      <c r="G23" s="212" t="str">
        <f>IFERROR(__xludf.DUMMYFUNCTION("""COMPUTED_VALUE"""),"bbw_eatog_15.1launch_gen")</f>
        <v>bbw_eatog_15.1launch_gen</v>
      </c>
      <c r="H23" s="212" t="str">
        <f>IFERROR(__xludf.DUMMYFUNCTION("""COMPUTED_VALUE"""),"NewLaunch_365days_Online2026")</f>
        <v>NewLaunch_365days_Online2026</v>
      </c>
      <c r="I23" s="212" t="str">
        <f>IFERROR(__xludf.DUMMYFUNCTION("""COMPUTED_VALUE"""),"Customers who have shopped in last 365 days Online Exclusive")</f>
        <v>Customers who have shopped in last 365 days Online Exclusive</v>
      </c>
      <c r="J23" s="213">
        <f>IFERROR(__xludf.DUMMYFUNCTION("""COMPUTED_VALUE"""),58147.0)</f>
        <v>58147</v>
      </c>
      <c r="K23" s="213">
        <f>IFERROR(__xludf.DUMMYFUNCTION("""COMPUTED_VALUE"""),36808.0)</f>
        <v>36808</v>
      </c>
      <c r="L23" s="214">
        <f>IFERROR(__xludf.DUMMYFUNCTION("""COMPUTED_VALUE"""),0.633)</f>
        <v>0.633</v>
      </c>
      <c r="M23" s="213"/>
      <c r="N23" s="214"/>
      <c r="O23" s="101">
        <f>IFERROR(__xludf.DUMMYFUNCTION("""COMPUTED_VALUE"""),118.0)</f>
        <v>118</v>
      </c>
      <c r="P23" s="101"/>
      <c r="Q23" s="214">
        <f>IFERROR(__xludf.DUMMYFUNCTION("""COMPUTED_VALUE"""),0.0032)</f>
        <v>0.0032</v>
      </c>
      <c r="R23" s="214"/>
      <c r="S23" s="101">
        <f>IFERROR(__xludf.DUMMYFUNCTION("""COMPUTED_VALUE"""),16.0)</f>
        <v>16</v>
      </c>
      <c r="T23" s="101">
        <f>IFERROR(__xludf.DUMMYFUNCTION("""COMPUTED_VALUE"""),35.0)</f>
        <v>35</v>
      </c>
      <c r="U23" s="270">
        <f>IFERROR(__xludf.DUMMYFUNCTION("""COMPUTED_VALUE"""),37394.0)</f>
        <v>37394</v>
      </c>
      <c r="V23" s="271" t="str">
        <f>IFERROR(__xludf.DUMMYFUNCTION("""COMPUTED_VALUE"""),"online")</f>
        <v>online</v>
      </c>
      <c r="W23" s="272" t="str">
        <f>IFERROR(__xludf.DUMMYFUNCTION("""COMPUTED_VALUE"""),"SMS")</f>
        <v>SMS</v>
      </c>
      <c r="X23" s="272" t="str">
        <f>IFERROR(__xludf.DUMMYFUNCTION("""COMPUTED_VALUE"""),"Generic")</f>
        <v>Generic</v>
      </c>
      <c r="Y23" s="272" t="str">
        <f>IFERROR(__xludf.DUMMYFUNCTION("""COMPUTED_VALUE"""),"15th Jan - 19th Jan")</f>
        <v>15th Jan - 19th Jan</v>
      </c>
      <c r="Z23" s="272" t="str">
        <f>IFERROR(__xludf.DUMMYFUNCTION("""COMPUTED_VALUE"""),"69679d38d9445bccfee5969f")</f>
        <v>69679d38d9445bccfee5969f</v>
      </c>
      <c r="AA23" s="272">
        <f>IFERROR(__xludf.DUMMYFUNCTION("""COMPUTED_VALUE"""),105.0)</f>
        <v>105</v>
      </c>
      <c r="AB23" s="272">
        <f>IFERROR(__xludf.DUMMYFUNCTION("""COMPUTED_VALUE"""),105.0)</f>
        <v>105</v>
      </c>
      <c r="AC23" s="272"/>
      <c r="AD23" s="272">
        <f>IFERROR(__xludf.DUMMYFUNCTION("""COMPUTED_VALUE"""),245563.0)</f>
        <v>245563</v>
      </c>
      <c r="AE23" s="272">
        <f>IFERROR(__xludf.DUMMYFUNCTION("""COMPUTED_VALUE"""),245563.0)</f>
        <v>245563</v>
      </c>
      <c r="AF23" s="272"/>
      <c r="AG23" s="208"/>
      <c r="AH23" s="208"/>
      <c r="AI23" s="208"/>
      <c r="AJ23" s="208"/>
      <c r="AK23" s="208"/>
    </row>
    <row r="24" hidden="1">
      <c r="A24" s="216">
        <f>IFERROR(__xludf.DUMMYFUNCTION("""COMPUTED_VALUE"""),46037.0)</f>
        <v>46037</v>
      </c>
      <c r="B24" s="210">
        <f>IFERROR(__xludf.DUMMYFUNCTION("""COMPUTED_VALUE"""),0.4895833333321207)</f>
        <v>0.4895833333</v>
      </c>
      <c r="C24" s="210" t="str">
        <f>IFERROR(__xludf.DUMMYFUNCTION("""COMPUTED_VALUE"""),"Sms")</f>
        <v>Sms</v>
      </c>
      <c r="D24" s="210" t="str">
        <f>IFERROR(__xludf.DUMMYFUNCTION("""COMPUTED_VALUE"""),"Fallback Campaign")</f>
        <v>Fallback Campaign</v>
      </c>
      <c r="E24" s="211" t="str">
        <f>IFERROR(__xludf.DUMMYFUNCTION("""COMPUTED_VALUE"""),"BBW")</f>
        <v>BBW</v>
      </c>
      <c r="F24" s="211" t="str">
        <f>IFERROR(__xludf.DUMMYFUNCTION("""COMPUTED_VALUE"""),"eatog")</f>
        <v>eatog</v>
      </c>
      <c r="G24" s="211" t="str">
        <f>IFERROR(__xludf.DUMMYFUNCTION("""COMPUTED_VALUE"""),"bbw_eatog_15.1launch_fullprfbWA")</f>
        <v>bbw_eatog_15.1launch_fullprfbWA</v>
      </c>
      <c r="H24" s="211" t="str">
        <f>IFERROR(__xludf.DUMMYFUNCTION("""COMPUTED_VALUE"""),"NewLaunch_FullPrice_Online2026 OR AGIPL_Internal OR BBW_Internal")</f>
        <v>NewLaunch_FullPrice_Online2026 OR AGIPL_Internal OR BBW_Internal</v>
      </c>
      <c r="I24" s="223" t="str">
        <f>IFERROR(__xludf.DUMMYFUNCTION("""COMPUTED_VALUE"""),"WA Undelivered")</f>
        <v>WA Undelivered</v>
      </c>
      <c r="J24" s="213">
        <f>IFERROR(__xludf.DUMMYFUNCTION("""COMPUTED_VALUE"""),19106.0)</f>
        <v>19106</v>
      </c>
      <c r="K24" s="213">
        <f>IFERROR(__xludf.DUMMYFUNCTION("""COMPUTED_VALUE"""),9899.0)</f>
        <v>9899</v>
      </c>
      <c r="L24" s="214">
        <f>IFERROR(__xludf.DUMMYFUNCTION("""COMPUTED_VALUE"""),0.5181)</f>
        <v>0.5181</v>
      </c>
      <c r="M24" s="213"/>
      <c r="N24" s="214"/>
      <c r="O24" s="213">
        <f>IFERROR(__xludf.DUMMYFUNCTION("""COMPUTED_VALUE"""),9.0)</f>
        <v>9</v>
      </c>
      <c r="P24" s="213"/>
      <c r="Q24" s="214">
        <f>IFERROR(__xludf.DUMMYFUNCTION("""COMPUTED_VALUE"""),9.0E-4)</f>
        <v>0.0009</v>
      </c>
      <c r="R24" s="214"/>
      <c r="S24" s="101">
        <f>IFERROR(__xludf.DUMMYFUNCTION("""COMPUTED_VALUE"""),9.0)</f>
        <v>9</v>
      </c>
      <c r="T24" s="101">
        <f>IFERROR(__xludf.DUMMYFUNCTION("""COMPUTED_VALUE"""),22.0)</f>
        <v>22</v>
      </c>
      <c r="U24" s="213">
        <f>IFERROR(__xludf.DUMMYFUNCTION("""COMPUTED_VALUE"""),37613.0)</f>
        <v>37613</v>
      </c>
      <c r="V24" s="271" t="str">
        <f>IFERROR(__xludf.DUMMYFUNCTION("""COMPUTED_VALUE"""),"online")</f>
        <v>online</v>
      </c>
      <c r="W24" s="98" t="str">
        <f>IFERROR(__xludf.DUMMYFUNCTION("""COMPUTED_VALUE"""),"SMS")</f>
        <v>SMS</v>
      </c>
      <c r="X24" s="98" t="str">
        <f>IFERROR(__xludf.DUMMYFUNCTION("""COMPUTED_VALUE"""),"Full Price Shopper")</f>
        <v>Full Price Shopper</v>
      </c>
      <c r="Y24" s="98" t="str">
        <f>IFERROR(__xludf.DUMMYFUNCTION("""COMPUTED_VALUE"""),"15th Jan - 19th Jan")</f>
        <v>15th Jan - 19th Jan</v>
      </c>
      <c r="Z24" s="98" t="str">
        <f>IFERROR(__xludf.DUMMYFUNCTION("""COMPUTED_VALUE"""),"69679da060b97dc7280ff826")</f>
        <v>69679da060b97dc7280ff826</v>
      </c>
      <c r="AA24" s="98">
        <f>IFERROR(__xludf.DUMMYFUNCTION("""COMPUTED_VALUE"""),76.0)</f>
        <v>76</v>
      </c>
      <c r="AB24" s="98">
        <f>IFERROR(__xludf.DUMMYFUNCTION("""COMPUTED_VALUE"""),76.0)</f>
        <v>76</v>
      </c>
      <c r="AC24" s="98"/>
      <c r="AD24" s="98">
        <f>IFERROR(__xludf.DUMMYFUNCTION("""COMPUTED_VALUE"""),253072.0)</f>
        <v>253072</v>
      </c>
      <c r="AE24" s="98">
        <f>IFERROR(__xludf.DUMMYFUNCTION("""COMPUTED_VALUE"""),253072.0)</f>
        <v>253072</v>
      </c>
      <c r="AF24" s="98"/>
      <c r="AG24" s="208"/>
      <c r="AH24" s="208"/>
      <c r="AI24" s="208"/>
      <c r="AJ24" s="208"/>
      <c r="AK24" s="208"/>
    </row>
    <row r="25" hidden="1">
      <c r="A25" s="245">
        <f>IFERROR(__xludf.DUMMYFUNCTION("""COMPUTED_VALUE"""),46037.0)</f>
        <v>46037</v>
      </c>
      <c r="B25" s="246">
        <f>IFERROR(__xludf.DUMMYFUNCTION("""COMPUTED_VALUE"""),0.4895833333321207)</f>
        <v>0.4895833333</v>
      </c>
      <c r="C25" s="221" t="str">
        <f>IFERROR(__xludf.DUMMYFUNCTION("""COMPUTED_VALUE"""),"Sms")</f>
        <v>Sms</v>
      </c>
      <c r="D25" s="221" t="str">
        <f>IFERROR(__xludf.DUMMYFUNCTION("""COMPUTED_VALUE"""),"Fallback Campaign")</f>
        <v>Fallback Campaign</v>
      </c>
      <c r="E25" s="221" t="str">
        <f>IFERROR(__xludf.DUMMYFUNCTION("""COMPUTED_VALUE"""),"BBW")</f>
        <v>BBW</v>
      </c>
      <c r="F25" s="222" t="str">
        <f>IFERROR(__xludf.DUMMYFUNCTION("""COMPUTED_VALUE"""),"eatog")</f>
        <v>eatog</v>
      </c>
      <c r="G25" s="221" t="str">
        <f>IFERROR(__xludf.DUMMYFUNCTION("""COMPUTED_VALUE"""),"bbw_eatog_15.1launch_repeatfbWA")</f>
        <v>bbw_eatog_15.1launch_repeatfbWA</v>
      </c>
      <c r="H25" s="269" t="str">
        <f>IFERROR(__xludf.DUMMYFUNCTION("""COMPUTED_VALUE"""),"NewLaunch_Repeat1Year_Online2026")</f>
        <v>NewLaunch_Repeat1Year_Online2026</v>
      </c>
      <c r="I25" s="223" t="str">
        <f>IFERROR(__xludf.DUMMYFUNCTION("""COMPUTED_VALUE"""),"WA Undelivered")</f>
        <v>WA Undelivered</v>
      </c>
      <c r="J25" s="213">
        <f>IFERROR(__xludf.DUMMYFUNCTION("""COMPUTED_VALUE"""),13558.0)</f>
        <v>13558</v>
      </c>
      <c r="K25" s="213">
        <f>IFERROR(__xludf.DUMMYFUNCTION("""COMPUTED_VALUE"""),7745.0)</f>
        <v>7745</v>
      </c>
      <c r="L25" s="279">
        <f>IFERROR(__xludf.DUMMYFUNCTION("""COMPUTED_VALUE"""),0.5712)</f>
        <v>0.5712</v>
      </c>
      <c r="M25" s="213"/>
      <c r="N25" s="214"/>
      <c r="O25" s="213">
        <f>IFERROR(__xludf.DUMMYFUNCTION("""COMPUTED_VALUE"""),10.0)</f>
        <v>10</v>
      </c>
      <c r="P25" s="213"/>
      <c r="Q25" s="214">
        <f>IFERROR(__xludf.DUMMYFUNCTION("""COMPUTED_VALUE"""),0.0013)</f>
        <v>0.0013</v>
      </c>
      <c r="R25" s="214"/>
      <c r="S25" s="101">
        <f>IFERROR(__xludf.DUMMYFUNCTION("""COMPUTED_VALUE"""),11.0)</f>
        <v>11</v>
      </c>
      <c r="T25" s="101">
        <f>IFERROR(__xludf.DUMMYFUNCTION("""COMPUTED_VALUE"""),32.0)</f>
        <v>32</v>
      </c>
      <c r="U25" s="213">
        <f>IFERROR(__xludf.DUMMYFUNCTION("""COMPUTED_VALUE"""),34992.0)</f>
        <v>34992</v>
      </c>
      <c r="V25" s="271" t="str">
        <f>IFERROR(__xludf.DUMMYFUNCTION("""COMPUTED_VALUE"""),"online")</f>
        <v>online</v>
      </c>
      <c r="W25" s="98" t="str">
        <f>IFERROR(__xludf.DUMMYFUNCTION("""COMPUTED_VALUE"""),"SMS")</f>
        <v>SMS</v>
      </c>
      <c r="X25" s="98" t="str">
        <f>IFERROR(__xludf.DUMMYFUNCTION("""COMPUTED_VALUE"""),"Repeat")</f>
        <v>Repeat</v>
      </c>
      <c r="Y25" s="98" t="str">
        <f>IFERROR(__xludf.DUMMYFUNCTION("""COMPUTED_VALUE"""),"15th Jan - 19th Jan")</f>
        <v>15th Jan - 19th Jan</v>
      </c>
      <c r="Z25" s="98" t="str">
        <f>IFERROR(__xludf.DUMMYFUNCTION("""COMPUTED_VALUE"""),"69679df3f0bb4baad9530bc9")</f>
        <v>69679df3f0bb4baad9530bc9</v>
      </c>
      <c r="AA25" s="98">
        <f>IFERROR(__xludf.DUMMYFUNCTION("""COMPUTED_VALUE"""),103.0)</f>
        <v>103</v>
      </c>
      <c r="AB25" s="98">
        <f>IFERROR(__xludf.DUMMYFUNCTION("""COMPUTED_VALUE"""),103.0)</f>
        <v>103</v>
      </c>
      <c r="AC25" s="98"/>
      <c r="AD25" s="98">
        <f>IFERROR(__xludf.DUMMYFUNCTION("""COMPUTED_VALUE"""),241189.0)</f>
        <v>241189</v>
      </c>
      <c r="AE25" s="98">
        <f>IFERROR(__xludf.DUMMYFUNCTION("""COMPUTED_VALUE"""),241189.0)</f>
        <v>241189</v>
      </c>
      <c r="AF25" s="98"/>
      <c r="AG25" s="208"/>
      <c r="AH25" s="208"/>
      <c r="AI25" s="208"/>
      <c r="AJ25" s="208"/>
      <c r="AK25" s="208"/>
    </row>
    <row r="26" hidden="1">
      <c r="A26" s="219">
        <f>IFERROR(__xludf.DUMMYFUNCTION("""COMPUTED_VALUE"""),46037.0)</f>
        <v>46037</v>
      </c>
      <c r="B26" s="220">
        <f>IFERROR(__xludf.DUMMYFUNCTION("""COMPUTED_VALUE"""),0.4895833333321207)</f>
        <v>0.4895833333</v>
      </c>
      <c r="C26" s="221" t="str">
        <f>IFERROR(__xludf.DUMMYFUNCTION("""COMPUTED_VALUE"""),"Sms")</f>
        <v>Sms</v>
      </c>
      <c r="D26" s="221" t="str">
        <f>IFERROR(__xludf.DUMMYFUNCTION("""COMPUTED_VALUE"""),"Fallback Campaign")</f>
        <v>Fallback Campaign</v>
      </c>
      <c r="E26" s="221" t="str">
        <f>IFERROR(__xludf.DUMMYFUNCTION("""COMPUTED_VALUE"""),"BBW")</f>
        <v>BBW</v>
      </c>
      <c r="F26" s="221" t="str">
        <f>IFERROR(__xludf.DUMMYFUNCTION("""COMPUTED_VALUE"""),"eatog")</f>
        <v>eatog</v>
      </c>
      <c r="G26" s="221" t="str">
        <f>IFERROR(__xludf.DUMMYFUNCTION("""COMPUTED_VALUE"""),"bbw_eatog_15.1launch_recentfbWA")</f>
        <v>bbw_eatog_15.1launch_recentfbWA</v>
      </c>
      <c r="H26" s="223" t="str">
        <f>IFERROR(__xludf.DUMMYFUNCTION("""COMPUTED_VALUE"""),"NewLaunch_Recent_Online2026")</f>
        <v>NewLaunch_Recent_Online2026</v>
      </c>
      <c r="I26" s="223" t="str">
        <f>IFERROR(__xludf.DUMMYFUNCTION("""COMPUTED_VALUE"""),"WA Undelivered")</f>
        <v>WA Undelivered</v>
      </c>
      <c r="J26" s="224">
        <f>IFERROR(__xludf.DUMMYFUNCTION("""COMPUTED_VALUE"""),14832.0)</f>
        <v>14832</v>
      </c>
      <c r="K26" s="224">
        <f>IFERROR(__xludf.DUMMYFUNCTION("""COMPUTED_VALUE"""),9079.0)</f>
        <v>9079</v>
      </c>
      <c r="L26" s="225">
        <f>IFERROR(__xludf.DUMMYFUNCTION("""COMPUTED_VALUE"""),0.6121)</f>
        <v>0.6121</v>
      </c>
      <c r="M26" s="224"/>
      <c r="N26" s="225"/>
      <c r="O26" s="226">
        <f>IFERROR(__xludf.DUMMYFUNCTION("""COMPUTED_VALUE"""),25.0)</f>
        <v>25</v>
      </c>
      <c r="P26" s="226"/>
      <c r="Q26" s="225">
        <f>IFERROR(__xludf.DUMMYFUNCTION("""COMPUTED_VALUE"""),0.0028)</f>
        <v>0.0028</v>
      </c>
      <c r="R26" s="225"/>
      <c r="S26" s="226">
        <f>IFERROR(__xludf.DUMMYFUNCTION("""COMPUTED_VALUE"""),6.0)</f>
        <v>6</v>
      </c>
      <c r="T26" s="226">
        <f>IFERROR(__xludf.DUMMYFUNCTION("""COMPUTED_VALUE"""),26.0)</f>
        <v>26</v>
      </c>
      <c r="U26" s="224">
        <f>IFERROR(__xludf.DUMMYFUNCTION("""COMPUTED_VALUE"""),15900.0)</f>
        <v>15900</v>
      </c>
      <c r="V26" s="221" t="str">
        <f>IFERROR(__xludf.DUMMYFUNCTION("""COMPUTED_VALUE"""),"online")</f>
        <v>online</v>
      </c>
      <c r="W26" s="231" t="str">
        <f>IFERROR(__xludf.DUMMYFUNCTION("""COMPUTED_VALUE"""),"SMS")</f>
        <v>SMS</v>
      </c>
      <c r="X26" s="231" t="str">
        <f>IFERROR(__xludf.DUMMYFUNCTION("""COMPUTED_VALUE"""),"Recent")</f>
        <v>Recent</v>
      </c>
      <c r="Y26" s="231" t="str">
        <f>IFERROR(__xludf.DUMMYFUNCTION("""COMPUTED_VALUE"""),"15th Jan - 19th Jan")</f>
        <v>15th Jan - 19th Jan</v>
      </c>
      <c r="Z26" s="231" t="str">
        <f>IFERROR(__xludf.DUMMYFUNCTION("""COMPUTED_VALUE"""),"69679e0f10c2a85ed152e3dd")</f>
        <v>69679e0f10c2a85ed152e3dd</v>
      </c>
      <c r="AA26" s="229">
        <f>IFERROR(__xludf.DUMMYFUNCTION("""COMPUTED_VALUE"""),54.0)</f>
        <v>54</v>
      </c>
      <c r="AB26" s="229">
        <f>IFERROR(__xludf.DUMMYFUNCTION("""COMPUTED_VALUE"""),54.0)</f>
        <v>54</v>
      </c>
      <c r="AC26" s="229"/>
      <c r="AD26" s="229">
        <f>IFERROR(__xludf.DUMMYFUNCTION("""COMPUTED_VALUE"""),108671.0)</f>
        <v>108671</v>
      </c>
      <c r="AE26" s="229">
        <f>IFERROR(__xludf.DUMMYFUNCTION("""COMPUTED_VALUE"""),108671.0)</f>
        <v>108671</v>
      </c>
      <c r="AF26" s="229"/>
      <c r="AG26" s="208"/>
      <c r="AH26" s="208"/>
      <c r="AI26" s="208"/>
      <c r="AJ26" s="208"/>
      <c r="AK26" s="208"/>
    </row>
    <row r="27" hidden="1">
      <c r="A27" s="245">
        <f>IFERROR(__xludf.DUMMYFUNCTION("""COMPUTED_VALUE"""),46037.0)</f>
        <v>46037</v>
      </c>
      <c r="B27" s="246">
        <f>IFERROR(__xludf.DUMMYFUNCTION("""COMPUTED_VALUE"""),0.40625)</f>
        <v>0.40625</v>
      </c>
      <c r="C27" s="221" t="str">
        <f>IFERROR(__xludf.DUMMYFUNCTION("""COMPUTED_VALUE"""),"Whatsapp")</f>
        <v>Whatsapp</v>
      </c>
      <c r="D27" s="221" t="str">
        <f>IFERROR(__xludf.DUMMYFUNCTION("""COMPUTED_VALUE"""),"Promotional")</f>
        <v>Promotional</v>
      </c>
      <c r="E27" s="221" t="str">
        <f>IFERROR(__xludf.DUMMYFUNCTION("""COMPUTED_VALUE"""),"BBW")</f>
        <v>BBW</v>
      </c>
      <c r="F27" s="222" t="str">
        <f>IFERROR(__xludf.DUMMYFUNCTION("""COMPUTED_VALUE"""),"eatog")</f>
        <v>eatog</v>
      </c>
      <c r="G27" s="221" t="str">
        <f>IFERROR(__xludf.DUMMYFUNCTION("""COMPUTED_VALUE"""),"bbw_eatog_15.1launch_recent")</f>
        <v>bbw_eatog_15.1launch_recent</v>
      </c>
      <c r="H27" s="269" t="str">
        <f>IFERROR(__xludf.DUMMYFUNCTION("""COMPUTED_VALUE"""),"NewLaunch_Recent_Online2026")</f>
        <v>NewLaunch_Recent_Online2026</v>
      </c>
      <c r="I27" s="223" t="str">
        <f>IFERROR(__xludf.DUMMYFUNCTION("""COMPUTED_VALUE"""),"Customers who have shopped in the last 100 days (TTR) Online")</f>
        <v>Customers who have shopped in the last 100 days (TTR) Online</v>
      </c>
      <c r="J27" s="213">
        <f>IFERROR(__xludf.DUMMYFUNCTION("""COMPUTED_VALUE"""),29626.0)</f>
        <v>29626</v>
      </c>
      <c r="K27" s="213">
        <f>IFERROR(__xludf.DUMMYFUNCTION("""COMPUTED_VALUE"""),14472.0)</f>
        <v>14472</v>
      </c>
      <c r="L27" s="214">
        <f>IFERROR(__xludf.DUMMYFUNCTION("""COMPUTED_VALUE"""),0.4885)</f>
        <v>0.4885</v>
      </c>
      <c r="M27" s="213">
        <f>IFERROR(__xludf.DUMMYFUNCTION("""COMPUTED_VALUE"""),6003.0)</f>
        <v>6003</v>
      </c>
      <c r="N27" s="214">
        <f>IFERROR(__xludf.DUMMYFUNCTION("""COMPUTED_VALUE"""),0.4148)</f>
        <v>0.4148</v>
      </c>
      <c r="O27" s="213">
        <f>IFERROR(__xludf.DUMMYFUNCTION("""COMPUTED_VALUE"""),322.0)</f>
        <v>322</v>
      </c>
      <c r="P27" s="213">
        <f>IFERROR(__xludf.DUMMYFUNCTION("""COMPUTED_VALUE"""),310.0)</f>
        <v>310</v>
      </c>
      <c r="Q27" s="214">
        <f>IFERROR(__xludf.DUMMYFUNCTION("""COMPUTED_VALUE"""),0.0214)</f>
        <v>0.0214</v>
      </c>
      <c r="R27" s="214">
        <f>IFERROR(__xludf.DUMMYFUNCTION("""COMPUTED_VALUE"""),0.0516)</f>
        <v>0.0516</v>
      </c>
      <c r="S27" s="101">
        <f>IFERROR(__xludf.DUMMYFUNCTION("""COMPUTED_VALUE"""),12.0)</f>
        <v>12</v>
      </c>
      <c r="T27" s="101">
        <f>IFERROR(__xludf.DUMMYFUNCTION("""COMPUTED_VALUE"""),42.0)</f>
        <v>42</v>
      </c>
      <c r="U27" s="213">
        <f>IFERROR(__xludf.DUMMYFUNCTION("""COMPUTED_VALUE"""),28325.0)</f>
        <v>28325</v>
      </c>
      <c r="V27" s="271" t="str">
        <f>IFERROR(__xludf.DUMMYFUNCTION("""COMPUTED_VALUE"""),"online")</f>
        <v>online</v>
      </c>
      <c r="W27" s="98" t="str">
        <f>IFERROR(__xludf.DUMMYFUNCTION("""COMPUTED_VALUE"""),"carousel")</f>
        <v>carousel</v>
      </c>
      <c r="X27" s="98" t="str">
        <f>IFERROR(__xludf.DUMMYFUNCTION("""COMPUTED_VALUE"""),"Recent")</f>
        <v>Recent</v>
      </c>
      <c r="Y27" s="98" t="str">
        <f>IFERROR(__xludf.DUMMYFUNCTION("""COMPUTED_VALUE"""),"15 Jan - 19th Jan")</f>
        <v>15 Jan - 19th Jan</v>
      </c>
      <c r="Z27" s="98" t="str">
        <f>IFERROR(__xludf.DUMMYFUNCTION("""COMPUTED_VALUE"""),"69679b4b189faa789574ec1e")</f>
        <v>69679b4b189faa789574ec1e</v>
      </c>
      <c r="AA27" s="98">
        <f>IFERROR(__xludf.DUMMYFUNCTION("""COMPUTED_VALUE"""),71.0)</f>
        <v>71</v>
      </c>
      <c r="AB27" s="98">
        <f>IFERROR(__xludf.DUMMYFUNCTION("""COMPUTED_VALUE"""),71.0)</f>
        <v>71</v>
      </c>
      <c r="AC27" s="98"/>
      <c r="AD27" s="98">
        <f>IFERROR(__xludf.DUMMYFUNCTION("""COMPUTED_VALUE"""),157569.0)</f>
        <v>157569</v>
      </c>
      <c r="AE27" s="98">
        <f>IFERROR(__xludf.DUMMYFUNCTION("""COMPUTED_VALUE"""),157569.0)</f>
        <v>157569</v>
      </c>
      <c r="AF27" s="98"/>
      <c r="AG27" s="208"/>
      <c r="AH27" s="208"/>
      <c r="AI27" s="208"/>
      <c r="AJ27" s="208"/>
      <c r="AK27" s="208"/>
    </row>
    <row r="28" hidden="1">
      <c r="A28" s="245">
        <f>IFERROR(__xludf.DUMMYFUNCTION("""COMPUTED_VALUE"""),46037.0)</f>
        <v>46037</v>
      </c>
      <c r="B28" s="246">
        <f>IFERROR(__xludf.DUMMYFUNCTION("""COMPUTED_VALUE"""),0.40625)</f>
        <v>0.40625</v>
      </c>
      <c r="C28" s="221" t="str">
        <f>IFERROR(__xludf.DUMMYFUNCTION("""COMPUTED_VALUE"""),"Whatsapp")</f>
        <v>Whatsapp</v>
      </c>
      <c r="D28" s="221" t="str">
        <f>IFERROR(__xludf.DUMMYFUNCTION("""COMPUTED_VALUE"""),"Promotional")</f>
        <v>Promotional</v>
      </c>
      <c r="E28" s="221" t="str">
        <f>IFERROR(__xludf.DUMMYFUNCTION("""COMPUTED_VALUE"""),"BBW")</f>
        <v>BBW</v>
      </c>
      <c r="F28" s="221" t="str">
        <f>IFERROR(__xludf.DUMMYFUNCTION("""COMPUTED_VALUE"""),"eatog")</f>
        <v>eatog</v>
      </c>
      <c r="G28" s="221" t="str">
        <f>IFERROR(__xludf.DUMMYFUNCTION("""COMPUTED_VALUE"""),"bbw_eatog_15.1launch_fullpr")</f>
        <v>bbw_eatog_15.1launch_fullpr</v>
      </c>
      <c r="H28" s="269" t="str">
        <f>IFERROR(__xludf.DUMMYFUNCTION("""COMPUTED_VALUE"""),"NewLaunch_FullPrice_Online2026 OR AGIPL_Internal OR BBW_Internal")</f>
        <v>NewLaunch_FullPrice_Online2026 OR AGIPL_Internal OR BBW_Internal</v>
      </c>
      <c r="I28" s="223" t="str">
        <f>IFERROR(__xludf.DUMMYFUNCTION("""COMPUTED_VALUE"""),"Customers who have shopped full price online")</f>
        <v>Customers who have shopped full price online</v>
      </c>
      <c r="J28" s="224">
        <f>IFERROR(__xludf.DUMMYFUNCTION("""COMPUTED_VALUE"""),31302.0)</f>
        <v>31302</v>
      </c>
      <c r="K28" s="224">
        <f>IFERROR(__xludf.DUMMYFUNCTION("""COMPUTED_VALUE"""),11608.0)</f>
        <v>11608</v>
      </c>
      <c r="L28" s="225">
        <f>IFERROR(__xludf.DUMMYFUNCTION("""COMPUTED_VALUE"""),0.3708)</f>
        <v>0.3708</v>
      </c>
      <c r="M28" s="224">
        <f>IFERROR(__xludf.DUMMYFUNCTION("""COMPUTED_VALUE"""),4692.0)</f>
        <v>4692</v>
      </c>
      <c r="N28" s="225">
        <f>IFERROR(__xludf.DUMMYFUNCTION("""COMPUTED_VALUE"""),0.4042)</f>
        <v>0.4042</v>
      </c>
      <c r="O28" s="224">
        <f>IFERROR(__xludf.DUMMYFUNCTION("""COMPUTED_VALUE"""),218.0)</f>
        <v>218</v>
      </c>
      <c r="P28" s="224">
        <f>IFERROR(__xludf.DUMMYFUNCTION("""COMPUTED_VALUE"""),198.0)</f>
        <v>198</v>
      </c>
      <c r="Q28" s="225">
        <f>IFERROR(__xludf.DUMMYFUNCTION("""COMPUTED_VALUE"""),0.0171)</f>
        <v>0.0171</v>
      </c>
      <c r="R28" s="225">
        <f>IFERROR(__xludf.DUMMYFUNCTION("""COMPUTED_VALUE"""),0.0422)</f>
        <v>0.0422</v>
      </c>
      <c r="S28" s="226">
        <f>IFERROR(__xludf.DUMMYFUNCTION("""COMPUTED_VALUE"""),23.0)</f>
        <v>23</v>
      </c>
      <c r="T28" s="226">
        <f>IFERROR(__xludf.DUMMYFUNCTION("""COMPUTED_VALUE"""),34.0)</f>
        <v>34</v>
      </c>
      <c r="U28" s="224">
        <f>IFERROR(__xludf.DUMMYFUNCTION("""COMPUTED_VALUE"""),91113.0)</f>
        <v>91113</v>
      </c>
      <c r="V28" s="280" t="str">
        <f>IFERROR(__xludf.DUMMYFUNCTION("""COMPUTED_VALUE"""),"online")</f>
        <v>online</v>
      </c>
      <c r="W28" s="229" t="str">
        <f>IFERROR(__xludf.DUMMYFUNCTION("""COMPUTED_VALUE"""),"carousel")</f>
        <v>carousel</v>
      </c>
      <c r="X28" s="229" t="str">
        <f>IFERROR(__xludf.DUMMYFUNCTION("""COMPUTED_VALUE"""),"Full Price Shopper")</f>
        <v>Full Price Shopper</v>
      </c>
      <c r="Y28" s="229" t="str">
        <f>IFERROR(__xludf.DUMMYFUNCTION("""COMPUTED_VALUE"""),"15 Jan - 19th Jan")</f>
        <v>15 Jan - 19th Jan</v>
      </c>
      <c r="Z28" s="229" t="str">
        <f>IFERROR(__xludf.DUMMYFUNCTION("""COMPUTED_VALUE"""),"69679bd9be6f8dc76da01006")</f>
        <v>69679bd9be6f8dc76da01006</v>
      </c>
      <c r="AA28" s="229">
        <f>IFERROR(__xludf.DUMMYFUNCTION("""COMPUTED_VALUE"""),98.0)</f>
        <v>98</v>
      </c>
      <c r="AB28" s="229">
        <f>IFERROR(__xludf.DUMMYFUNCTION("""COMPUTED_VALUE"""),98.0)</f>
        <v>98</v>
      </c>
      <c r="AC28" s="229"/>
      <c r="AD28" s="229">
        <f>IFERROR(__xludf.DUMMYFUNCTION("""COMPUTED_VALUE"""),307391.0)</f>
        <v>307391</v>
      </c>
      <c r="AE28" s="229">
        <f>IFERROR(__xludf.DUMMYFUNCTION("""COMPUTED_VALUE"""),307391.0)</f>
        <v>307391</v>
      </c>
      <c r="AF28" s="229"/>
      <c r="AG28" s="208"/>
      <c r="AH28" s="208"/>
      <c r="AI28" s="208"/>
      <c r="AJ28" s="208"/>
      <c r="AK28" s="208"/>
    </row>
    <row r="29" hidden="1">
      <c r="A29" s="215">
        <f>IFERROR(__xludf.DUMMYFUNCTION("""COMPUTED_VALUE"""),46037.0)</f>
        <v>46037</v>
      </c>
      <c r="B29" s="210">
        <f>IFERROR(__xludf.DUMMYFUNCTION("""COMPUTED_VALUE"""),0.40625)</f>
        <v>0.40625</v>
      </c>
      <c r="C29" s="211" t="str">
        <f>IFERROR(__xludf.DUMMYFUNCTION("""COMPUTED_VALUE"""),"Whatsapp")</f>
        <v>Whatsapp</v>
      </c>
      <c r="D29" s="211" t="str">
        <f>IFERROR(__xludf.DUMMYFUNCTION("""COMPUTED_VALUE"""),"Promotional")</f>
        <v>Promotional</v>
      </c>
      <c r="E29" s="211" t="str">
        <f>IFERROR(__xludf.DUMMYFUNCTION("""COMPUTED_VALUE"""),"BBW")</f>
        <v>BBW</v>
      </c>
      <c r="F29" s="211" t="str">
        <f>IFERROR(__xludf.DUMMYFUNCTION("""COMPUTED_VALUE"""),"eatog")</f>
        <v>eatog</v>
      </c>
      <c r="G29" s="212" t="str">
        <f>IFERROR(__xludf.DUMMYFUNCTION("""COMPUTED_VALUE"""),"bbw_eatog_15.1launch_repeat")</f>
        <v>bbw_eatog_15.1launch_repeat</v>
      </c>
      <c r="H29" s="212" t="str">
        <f>IFERROR(__xludf.DUMMYFUNCTION("""COMPUTED_VALUE"""),"NewLaunch_Repeat1Year_Online2026")</f>
        <v>NewLaunch_Repeat1Year_Online2026</v>
      </c>
      <c r="I29" s="212" t="str">
        <f>IFERROR(__xludf.DUMMYFUNCTION("""COMPUTED_VALUE"""),"Customers who have bought atlest 2 times in last 1 year Online")</f>
        <v>Customers who have bought atlest 2 times in last 1 year Online</v>
      </c>
      <c r="J29" s="213">
        <f>IFERROR(__xludf.DUMMYFUNCTION("""COMPUTED_VALUE"""),21111.0)</f>
        <v>21111</v>
      </c>
      <c r="K29" s="213">
        <f>IFERROR(__xludf.DUMMYFUNCTION("""COMPUTED_VALUE"""),7306.0)</f>
        <v>7306</v>
      </c>
      <c r="L29" s="214">
        <f>IFERROR(__xludf.DUMMYFUNCTION("""COMPUTED_VALUE"""),0.3461)</f>
        <v>0.3461</v>
      </c>
      <c r="M29" s="213">
        <f>IFERROR(__xludf.DUMMYFUNCTION("""COMPUTED_VALUE"""),3188.0)</f>
        <v>3188</v>
      </c>
      <c r="N29" s="214">
        <f>IFERROR(__xludf.DUMMYFUNCTION("""COMPUTED_VALUE"""),0.4364)</f>
        <v>0.4364</v>
      </c>
      <c r="O29" s="101">
        <f>IFERROR(__xludf.DUMMYFUNCTION("""COMPUTED_VALUE"""),179.0)</f>
        <v>179</v>
      </c>
      <c r="P29" s="101">
        <f>IFERROR(__xludf.DUMMYFUNCTION("""COMPUTED_VALUE"""),169.0)</f>
        <v>169</v>
      </c>
      <c r="Q29" s="214">
        <f>IFERROR(__xludf.DUMMYFUNCTION("""COMPUTED_VALUE"""),0.0231)</f>
        <v>0.0231</v>
      </c>
      <c r="R29" s="214">
        <f>IFERROR(__xludf.DUMMYFUNCTION("""COMPUTED_VALUE"""),0.053)</f>
        <v>0.053</v>
      </c>
      <c r="S29" s="101">
        <f>IFERROR(__xludf.DUMMYFUNCTION("""COMPUTED_VALUE"""),11.0)</f>
        <v>11</v>
      </c>
      <c r="T29" s="101">
        <f>IFERROR(__xludf.DUMMYFUNCTION("""COMPUTED_VALUE"""),28.0)</f>
        <v>28</v>
      </c>
      <c r="U29" s="270">
        <f>IFERROR(__xludf.DUMMYFUNCTION("""COMPUTED_VALUE"""),25209.0)</f>
        <v>25209</v>
      </c>
      <c r="V29" s="271" t="str">
        <f>IFERROR(__xludf.DUMMYFUNCTION("""COMPUTED_VALUE"""),"online")</f>
        <v>online</v>
      </c>
      <c r="W29" s="272" t="str">
        <f>IFERROR(__xludf.DUMMYFUNCTION("""COMPUTED_VALUE"""),"carousel")</f>
        <v>carousel</v>
      </c>
      <c r="X29" s="272" t="str">
        <f>IFERROR(__xludf.DUMMYFUNCTION("""COMPUTED_VALUE"""),"Repeat")</f>
        <v>Repeat</v>
      </c>
      <c r="Y29" s="272" t="str">
        <f>IFERROR(__xludf.DUMMYFUNCTION("""COMPUTED_VALUE"""),"15 Jan - 19th Jan")</f>
        <v>15 Jan - 19th Jan</v>
      </c>
      <c r="Z29" s="272" t="str">
        <f>IFERROR(__xludf.DUMMYFUNCTION("""COMPUTED_VALUE"""),"69679c072004f6480f272b6b")</f>
        <v>69679c072004f6480f272b6b</v>
      </c>
      <c r="AA29" s="272">
        <f>IFERROR(__xludf.DUMMYFUNCTION("""COMPUTED_VALUE"""),92.0)</f>
        <v>92</v>
      </c>
      <c r="AB29" s="272">
        <f>IFERROR(__xludf.DUMMYFUNCTION("""COMPUTED_VALUE"""),92.0)</f>
        <v>92</v>
      </c>
      <c r="AC29" s="272"/>
      <c r="AD29" s="272">
        <f>IFERROR(__xludf.DUMMYFUNCTION("""COMPUTED_VALUE"""),241768.0)</f>
        <v>241768</v>
      </c>
      <c r="AE29" s="272">
        <f>IFERROR(__xludf.DUMMYFUNCTION("""COMPUTED_VALUE"""),241768.0)</f>
        <v>241768</v>
      </c>
      <c r="AF29" s="272"/>
      <c r="AG29" s="208"/>
      <c r="AH29" s="208"/>
      <c r="AI29" s="208"/>
      <c r="AJ29" s="208"/>
      <c r="AK29" s="208"/>
    </row>
    <row r="30" hidden="1">
      <c r="A30" s="216">
        <f>IFERROR(__xludf.DUMMYFUNCTION("""COMPUTED_VALUE"""),46038.0)</f>
        <v>46038</v>
      </c>
      <c r="B30" s="217">
        <f>IFERROR(__xludf.DUMMYFUNCTION("""COMPUTED_VALUE"""),0.4895833333321207)</f>
        <v>0.4895833333</v>
      </c>
      <c r="C30" s="211" t="str">
        <f>IFERROR(__xludf.DUMMYFUNCTION("""COMPUTED_VALUE"""),"Sms")</f>
        <v>Sms</v>
      </c>
      <c r="D30" s="211" t="str">
        <f>IFERROR(__xludf.DUMMYFUNCTION("""COMPUTED_VALUE"""),"Fallback Campaign")</f>
        <v>Fallback Campaign</v>
      </c>
      <c r="E30" s="211" t="str">
        <f>IFERROR(__xludf.DUMMYFUNCTION("""COMPUTED_VALUE"""),"BBW")</f>
        <v>BBW</v>
      </c>
      <c r="F30" s="211" t="str">
        <f>IFERROR(__xludf.DUMMYFUNCTION("""COMPUTED_VALUE"""),"stbc999")</f>
        <v>stbc999</v>
      </c>
      <c r="G30" s="212" t="str">
        <f>IFERROR(__xludf.DUMMYFUNCTION("""COMPUTED_VALUE"""),"bbw_stbc999_eventbuy16.1fbWA")</f>
        <v>bbw_stbc999_eventbuy16.1fbWA</v>
      </c>
      <c r="H30" s="212" t="str">
        <f>IFERROR(__xludf.DUMMYFUNCTION("""COMPUTED_VALUE"""),"BodyCare_LastCamPur_OFF OR AGIPL_Internal OR BBW_Internal")</f>
        <v>BodyCare_LastCamPur_OFF OR AGIPL_Internal OR BBW_Internal</v>
      </c>
      <c r="I30" s="212" t="str">
        <f>IFERROR(__xludf.DUMMYFUNCTION("""COMPUTED_VALUE"""),"WA Undelivered")</f>
        <v>WA Undelivered</v>
      </c>
      <c r="J30" s="213">
        <f>IFERROR(__xludf.DUMMYFUNCTION("""COMPUTED_VALUE"""),20617.0)</f>
        <v>20617</v>
      </c>
      <c r="K30" s="213">
        <f>IFERROR(__xludf.DUMMYFUNCTION("""COMPUTED_VALUE"""),11981.0)</f>
        <v>11981</v>
      </c>
      <c r="L30" s="214">
        <f>IFERROR(__xludf.DUMMYFUNCTION("""COMPUTED_VALUE"""),0.5811)</f>
        <v>0.5811</v>
      </c>
      <c r="M30" s="213"/>
      <c r="N30" s="214"/>
      <c r="O30" s="213">
        <f>IFERROR(__xludf.DUMMYFUNCTION("""COMPUTED_VALUE"""),6.0)</f>
        <v>6</v>
      </c>
      <c r="P30" s="213"/>
      <c r="Q30" s="214">
        <f>IFERROR(__xludf.DUMMYFUNCTION("""COMPUTED_VALUE"""),5.0E-4)</f>
        <v>0.0005</v>
      </c>
      <c r="R30" s="214"/>
      <c r="S30" s="101">
        <f>IFERROR(__xludf.DUMMYFUNCTION("""COMPUTED_VALUE"""),2.0)</f>
        <v>2</v>
      </c>
      <c r="T30" s="101">
        <f>IFERROR(__xludf.DUMMYFUNCTION("""COMPUTED_VALUE"""),6.0)</f>
        <v>6</v>
      </c>
      <c r="U30" s="213">
        <f>IFERROR(__xludf.DUMMYFUNCTION("""COMPUTED_VALUE"""),5843.0)</f>
        <v>5843</v>
      </c>
      <c r="V30" s="271" t="str">
        <f>IFERROR(__xludf.DUMMYFUNCTION("""COMPUTED_VALUE"""),"offline")</f>
        <v>offline</v>
      </c>
      <c r="W30" s="98" t="str">
        <f>IFERROR(__xludf.DUMMYFUNCTION("""COMPUTED_VALUE"""),"SMS")</f>
        <v>SMS</v>
      </c>
      <c r="X30" s="98" t="str">
        <f>IFERROR(__xludf.DUMMYFUNCTION("""COMPUTED_VALUE"""),"Event Buyers")</f>
        <v>Event Buyers</v>
      </c>
      <c r="Y30" s="98" t="str">
        <f>IFERROR(__xludf.DUMMYFUNCTION("""COMPUTED_VALUE"""),"16th Jan - 18th Jan")</f>
        <v>16th Jan - 18th Jan</v>
      </c>
      <c r="Z30" s="98" t="str">
        <f>IFERROR(__xludf.DUMMYFUNCTION("""COMPUTED_VALUE"""),"696783e6a0a1272ff7e4a86b")</f>
        <v>696783e6a0a1272ff7e4a86b</v>
      </c>
      <c r="AA30" s="98">
        <f>IFERROR(__xludf.DUMMYFUNCTION("""COMPUTED_VALUE"""),106.0)</f>
        <v>106</v>
      </c>
      <c r="AB30" s="98"/>
      <c r="AC30" s="98">
        <f>IFERROR(__xludf.DUMMYFUNCTION("""COMPUTED_VALUE"""),106.0)</f>
        <v>106</v>
      </c>
      <c r="AD30" s="98">
        <f>IFERROR(__xludf.DUMMYFUNCTION("""COMPUTED_VALUE"""),389470.0)</f>
        <v>389470</v>
      </c>
      <c r="AE30" s="98"/>
      <c r="AF30" s="98">
        <f>IFERROR(__xludf.DUMMYFUNCTION("""COMPUTED_VALUE"""),389470.0)</f>
        <v>389470</v>
      </c>
      <c r="AG30" s="208"/>
      <c r="AH30" s="208"/>
      <c r="AI30" s="208"/>
      <c r="AJ30" s="208"/>
      <c r="AK30" s="208"/>
    </row>
    <row r="31" hidden="1">
      <c r="A31" s="209">
        <f>IFERROR(__xludf.DUMMYFUNCTION("""COMPUTED_VALUE"""),46038.0)</f>
        <v>46038</v>
      </c>
      <c r="B31" s="210">
        <f>IFERROR(__xludf.DUMMYFUNCTION("""COMPUTED_VALUE"""),0.4895833333321207)</f>
        <v>0.4895833333</v>
      </c>
      <c r="C31" s="211" t="str">
        <f>IFERROR(__xludf.DUMMYFUNCTION("""COMPUTED_VALUE"""),"Sms")</f>
        <v>Sms</v>
      </c>
      <c r="D31" s="211" t="str">
        <f>IFERROR(__xludf.DUMMYFUNCTION("""COMPUTED_VALUE"""),"Fallback Campaign")</f>
        <v>Fallback Campaign</v>
      </c>
      <c r="E31" s="211" t="str">
        <f>IFERROR(__xludf.DUMMYFUNCTION("""COMPUTED_VALUE"""),"BBW")</f>
        <v>BBW</v>
      </c>
      <c r="F31" s="281" t="str">
        <f>IFERROR(__xludf.DUMMYFUNCTION("""COMPUTED_VALUE"""),"stbc999")</f>
        <v>stbc999</v>
      </c>
      <c r="G31" s="212" t="str">
        <f>IFERROR(__xludf.DUMMYFUNCTION("""COMPUTED_VALUE"""),"bbw_stbc999_loyal16.1fbWA")</f>
        <v>bbw_stbc999_loyal16.1fbWA</v>
      </c>
      <c r="H31" s="212" t="str">
        <f>IFERROR(__xludf.DUMMYFUNCTION("""COMPUTED_VALUE"""),"BodyCare_Alteast3times_OFF")</f>
        <v>BodyCare_Alteast3times_OFF</v>
      </c>
      <c r="I31" s="212" t="str">
        <f>IFERROR(__xludf.DUMMYFUNCTION("""COMPUTED_VALUE"""),"WA Undelivered")</f>
        <v>WA Undelivered</v>
      </c>
      <c r="J31" s="213">
        <f>IFERROR(__xludf.DUMMYFUNCTION("""COMPUTED_VALUE"""),18957.0)</f>
        <v>18957</v>
      </c>
      <c r="K31" s="213">
        <f>IFERROR(__xludf.DUMMYFUNCTION("""COMPUTED_VALUE"""),10251.0)</f>
        <v>10251</v>
      </c>
      <c r="L31" s="214">
        <f>IFERROR(__xludf.DUMMYFUNCTION("""COMPUTED_VALUE"""),0.5408)</f>
        <v>0.5408</v>
      </c>
      <c r="M31" s="213"/>
      <c r="N31" s="214"/>
      <c r="O31" s="101">
        <f>IFERROR(__xludf.DUMMYFUNCTION("""COMPUTED_VALUE"""),4.0)</f>
        <v>4</v>
      </c>
      <c r="P31" s="101"/>
      <c r="Q31" s="214">
        <f>IFERROR(__xludf.DUMMYFUNCTION("""COMPUTED_VALUE"""),4.0E-4)</f>
        <v>0.0004</v>
      </c>
      <c r="R31" s="214"/>
      <c r="S31" s="101">
        <f>IFERROR(__xludf.DUMMYFUNCTION("""COMPUTED_VALUE"""),4.0)</f>
        <v>4</v>
      </c>
      <c r="T31" s="101">
        <f>IFERROR(__xludf.DUMMYFUNCTION("""COMPUTED_VALUE"""),12.0)</f>
        <v>12</v>
      </c>
      <c r="U31" s="270">
        <f>IFERROR(__xludf.DUMMYFUNCTION("""COMPUTED_VALUE"""),27490.0)</f>
        <v>27490</v>
      </c>
      <c r="V31" s="271" t="str">
        <f>IFERROR(__xludf.DUMMYFUNCTION("""COMPUTED_VALUE"""),"offline")</f>
        <v>offline</v>
      </c>
      <c r="W31" s="272" t="str">
        <f>IFERROR(__xludf.DUMMYFUNCTION("""COMPUTED_VALUE"""),"SMS")</f>
        <v>SMS</v>
      </c>
      <c r="X31" s="272" t="str">
        <f>IFERROR(__xludf.DUMMYFUNCTION("""COMPUTED_VALUE"""),"Loyal")</f>
        <v>Loyal</v>
      </c>
      <c r="Y31" s="272" t="str">
        <f>IFERROR(__xludf.DUMMYFUNCTION("""COMPUTED_VALUE"""),"16th Jan - 18th Jan")</f>
        <v>16th Jan - 18th Jan</v>
      </c>
      <c r="Z31" s="272" t="str">
        <f>IFERROR(__xludf.DUMMYFUNCTION("""COMPUTED_VALUE"""),"696783f07da42a959814d211")</f>
        <v>696783f07da42a959814d211</v>
      </c>
      <c r="AA31" s="272">
        <f>IFERROR(__xludf.DUMMYFUNCTION("""COMPUTED_VALUE"""),140.0)</f>
        <v>140</v>
      </c>
      <c r="AB31" s="272"/>
      <c r="AC31" s="272">
        <f>IFERROR(__xludf.DUMMYFUNCTION("""COMPUTED_VALUE"""),140.0)</f>
        <v>140</v>
      </c>
      <c r="AD31" s="272">
        <f>IFERROR(__xludf.DUMMYFUNCTION("""COMPUTED_VALUE"""),492132.0)</f>
        <v>492132</v>
      </c>
      <c r="AE31" s="272"/>
      <c r="AF31" s="272">
        <f>IFERROR(__xludf.DUMMYFUNCTION("""COMPUTED_VALUE"""),492132.0)</f>
        <v>492132</v>
      </c>
      <c r="AG31" s="208"/>
      <c r="AH31" s="208"/>
      <c r="AI31" s="208"/>
      <c r="AJ31" s="208"/>
      <c r="AK31" s="208"/>
    </row>
    <row r="32" hidden="1">
      <c r="A32" s="245">
        <f>IFERROR(__xludf.DUMMYFUNCTION("""COMPUTED_VALUE"""),46038.0)</f>
        <v>46038</v>
      </c>
      <c r="B32" s="246">
        <f>IFERROR(__xludf.DUMMYFUNCTION("""COMPUTED_VALUE"""),0.40625)</f>
        <v>0.40625</v>
      </c>
      <c r="C32" s="221" t="str">
        <f>IFERROR(__xludf.DUMMYFUNCTION("""COMPUTED_VALUE"""),"Rcs")</f>
        <v>Rcs</v>
      </c>
      <c r="D32" s="221" t="str">
        <f>IFERROR(__xludf.DUMMYFUNCTION("""COMPUTED_VALUE"""),"Promotional")</f>
        <v>Promotional</v>
      </c>
      <c r="E32" s="221" t="str">
        <f>IFERROR(__xludf.DUMMYFUNCTION("""COMPUTED_VALUE"""),"BBW")</f>
        <v>BBW</v>
      </c>
      <c r="F32" s="222" t="str">
        <f>IFERROR(__xludf.DUMMYFUNCTION("""COMPUTED_VALUE"""),"stbc999")</f>
        <v>stbc999</v>
      </c>
      <c r="G32" s="221" t="str">
        <f>IFERROR(__xludf.DUMMYFUNCTION("""COMPUTED_VALUE"""),"bbw_stbc999_rec16.1RCS")</f>
        <v>bbw_stbc999_rec16.1RCS</v>
      </c>
      <c r="H32" s="269" t="str">
        <f>IFERROR(__xludf.DUMMYFUNCTION("""COMPUTED_VALUE"""),"BodyCare_Recent_OFF")</f>
        <v>BodyCare_Recent_OFF</v>
      </c>
      <c r="I32" s="223" t="str">
        <f>IFERROR(__xludf.DUMMYFUNCTION("""COMPUTED_VALUE"""),"Customers who have purchased in the last 117 days cat L2 Body care  Offline")</f>
        <v>Customers who have purchased in the last 117 days cat L2 Body care  Offline</v>
      </c>
      <c r="J32" s="213">
        <f>IFERROR(__xludf.DUMMYFUNCTION("""COMPUTED_VALUE"""),61596.0)</f>
        <v>61596</v>
      </c>
      <c r="K32" s="213">
        <f>IFERROR(__xludf.DUMMYFUNCTION("""COMPUTED_VALUE"""),16416.0)</f>
        <v>16416</v>
      </c>
      <c r="L32" s="214">
        <f>IFERROR(__xludf.DUMMYFUNCTION("""COMPUTED_VALUE"""),0.2665)</f>
        <v>0.2665</v>
      </c>
      <c r="M32" s="213">
        <f>IFERROR(__xludf.DUMMYFUNCTION("""COMPUTED_VALUE"""),2459.0)</f>
        <v>2459</v>
      </c>
      <c r="N32" s="214">
        <f>IFERROR(__xludf.DUMMYFUNCTION("""COMPUTED_VALUE"""),0.15)</f>
        <v>0.15</v>
      </c>
      <c r="O32" s="213">
        <f>IFERROR(__xludf.DUMMYFUNCTION("""COMPUTED_VALUE"""),152.0)</f>
        <v>152</v>
      </c>
      <c r="P32" s="213"/>
      <c r="Q32" s="214">
        <f>IFERROR(__xludf.DUMMYFUNCTION("""COMPUTED_VALUE"""),0.0093)</f>
        <v>0.0093</v>
      </c>
      <c r="R32" s="214"/>
      <c r="S32" s="101">
        <f>IFERROR(__xludf.DUMMYFUNCTION("""COMPUTED_VALUE"""),0.0)</f>
        <v>0</v>
      </c>
      <c r="T32" s="101">
        <f>IFERROR(__xludf.DUMMYFUNCTION("""COMPUTED_VALUE"""),9.0)</f>
        <v>9</v>
      </c>
      <c r="U32" s="213">
        <f>IFERROR(__xludf.DUMMYFUNCTION("""COMPUTED_VALUE"""),0.0)</f>
        <v>0</v>
      </c>
      <c r="V32" s="271" t="str">
        <f>IFERROR(__xludf.DUMMYFUNCTION("""COMPUTED_VALUE"""),"offline")</f>
        <v>offline</v>
      </c>
      <c r="W32" s="98" t="str">
        <f>IFERROR(__xludf.DUMMYFUNCTION("""COMPUTED_VALUE"""),"RCS")</f>
        <v>RCS</v>
      </c>
      <c r="X32" s="98" t="str">
        <f>IFERROR(__xludf.DUMMYFUNCTION("""COMPUTED_VALUE"""),"Recent")</f>
        <v>Recent</v>
      </c>
      <c r="Y32" s="98" t="str">
        <f>IFERROR(__xludf.DUMMYFUNCTION("""COMPUTED_VALUE"""),"16th Jan - 18th Jan")</f>
        <v>16th Jan - 18th Jan</v>
      </c>
      <c r="Z32" s="98" t="str">
        <f>IFERROR(__xludf.DUMMYFUNCTION("""COMPUTED_VALUE"""),"69687f9fe048a6bfba36feb7")</f>
        <v>69687f9fe048a6bfba36feb7</v>
      </c>
      <c r="AA32" s="98">
        <f>IFERROR(__xludf.DUMMYFUNCTION("""COMPUTED_VALUE"""),72.0)</f>
        <v>72</v>
      </c>
      <c r="AB32" s="98"/>
      <c r="AC32" s="98">
        <f>IFERROR(__xludf.DUMMYFUNCTION("""COMPUTED_VALUE"""),72.0)</f>
        <v>72</v>
      </c>
      <c r="AD32" s="98">
        <f>IFERROR(__xludf.DUMMYFUNCTION("""COMPUTED_VALUE"""),200968.0)</f>
        <v>200968</v>
      </c>
      <c r="AE32" s="98"/>
      <c r="AF32" s="98">
        <f>IFERROR(__xludf.DUMMYFUNCTION("""COMPUTED_VALUE"""),200968.0)</f>
        <v>200968</v>
      </c>
      <c r="AG32" s="208"/>
      <c r="AH32" s="208"/>
      <c r="AI32" s="208"/>
      <c r="AJ32" s="208"/>
      <c r="AK32" s="208"/>
    </row>
    <row r="33" hidden="1">
      <c r="A33" s="215">
        <f>IFERROR(__xludf.DUMMYFUNCTION("""COMPUTED_VALUE"""),46038.0)</f>
        <v>46038</v>
      </c>
      <c r="B33" s="210">
        <f>IFERROR(__xludf.DUMMYFUNCTION("""COMPUTED_VALUE"""),0.40625)</f>
        <v>0.40625</v>
      </c>
      <c r="C33" s="211" t="str">
        <f>IFERROR(__xludf.DUMMYFUNCTION("""COMPUTED_VALUE"""),"Rcs")</f>
        <v>Rcs</v>
      </c>
      <c r="D33" s="211" t="str">
        <f>IFERROR(__xludf.DUMMYFUNCTION("""COMPUTED_VALUE"""),"Promotional")</f>
        <v>Promotional</v>
      </c>
      <c r="E33" s="211" t="str">
        <f>IFERROR(__xludf.DUMMYFUNCTION("""COMPUTED_VALUE"""),"BBW")</f>
        <v>BBW</v>
      </c>
      <c r="F33" s="211" t="str">
        <f>IFERROR(__xludf.DUMMYFUNCTION("""COMPUTED_VALUE"""),"stbc999")</f>
        <v>stbc999</v>
      </c>
      <c r="G33" s="211" t="str">
        <f>IFERROR(__xludf.DUMMYFUNCTION("""COMPUTED_VALUE"""),"bbw_stbc999_dorm16.1RCS")</f>
        <v>bbw_stbc999_dorm16.1RCS</v>
      </c>
      <c r="H33" s="212" t="str">
        <f>IFERROR(__xludf.DUMMYFUNCTION("""COMPUTED_VALUE"""),"BodyCare_Churned_OFF")</f>
        <v>BodyCare_Churned_OFF</v>
      </c>
      <c r="I33" s="223" t="str">
        <f>IFERROR(__xludf.DUMMYFUNCTION("""COMPUTED_VALUE"""),"Customers who have shopped from 1st jan 2024 to 31st Dec 2024 contain body care And have not shopped from 1st Jan 2025 to 10th Jan 2025 contains body care  Offline")</f>
        <v>Customers who have shopped from 1st jan 2024 to 31st Dec 2024 contain body care And have not shopped from 1st Jan 2025 to 10th Jan 2025 contains body care  Offline</v>
      </c>
      <c r="J33" s="213">
        <f>IFERROR(__xludf.DUMMYFUNCTION("""COMPUTED_VALUE"""),134252.0)</f>
        <v>134252</v>
      </c>
      <c r="K33" s="213">
        <f>IFERROR(__xludf.DUMMYFUNCTION("""COMPUTED_VALUE"""),34433.0)</f>
        <v>34433</v>
      </c>
      <c r="L33" s="214">
        <f>IFERROR(__xludf.DUMMYFUNCTION("""COMPUTED_VALUE"""),0.2565)</f>
        <v>0.2565</v>
      </c>
      <c r="M33" s="213">
        <f>IFERROR(__xludf.DUMMYFUNCTION("""COMPUTED_VALUE"""),4207.0)</f>
        <v>4207</v>
      </c>
      <c r="N33" s="214">
        <f>IFERROR(__xludf.DUMMYFUNCTION("""COMPUTED_VALUE"""),0.122)</f>
        <v>0.122</v>
      </c>
      <c r="O33" s="101">
        <f>IFERROR(__xludf.DUMMYFUNCTION("""COMPUTED_VALUE"""),107.0)</f>
        <v>107</v>
      </c>
      <c r="P33" s="101"/>
      <c r="Q33" s="214">
        <f>IFERROR(__xludf.DUMMYFUNCTION("""COMPUTED_VALUE"""),0.0031)</f>
        <v>0.0031</v>
      </c>
      <c r="R33" s="214"/>
      <c r="S33" s="101">
        <f>IFERROR(__xludf.DUMMYFUNCTION("""COMPUTED_VALUE"""),3.0)</f>
        <v>3</v>
      </c>
      <c r="T33" s="101">
        <f>IFERROR(__xludf.DUMMYFUNCTION("""COMPUTED_VALUE"""),6.0)</f>
        <v>6</v>
      </c>
      <c r="U33" s="213">
        <f>IFERROR(__xludf.DUMMYFUNCTION("""COMPUTED_VALUE"""),7931.0)</f>
        <v>7931</v>
      </c>
      <c r="V33" s="271" t="str">
        <f>IFERROR(__xludf.DUMMYFUNCTION("""COMPUTED_VALUE"""),"offline")</f>
        <v>offline</v>
      </c>
      <c r="W33" s="98" t="str">
        <f>IFERROR(__xludf.DUMMYFUNCTION("""COMPUTED_VALUE"""),"RCS")</f>
        <v>RCS</v>
      </c>
      <c r="X33" s="98" t="str">
        <f>IFERROR(__xludf.DUMMYFUNCTION("""COMPUTED_VALUE"""),"Churned")</f>
        <v>Churned</v>
      </c>
      <c r="Y33" s="98" t="str">
        <f>IFERROR(__xludf.DUMMYFUNCTION("""COMPUTED_VALUE"""),"16th Jan - 18th Jan")</f>
        <v>16th Jan - 18th Jan</v>
      </c>
      <c r="Z33" s="98" t="str">
        <f>IFERROR(__xludf.DUMMYFUNCTION("""COMPUTED_VALUE"""),"69687fdbbed5b4bbe990595d")</f>
        <v>69687fdbbed5b4bbe990595d</v>
      </c>
      <c r="AA33" s="98">
        <f>IFERROR(__xludf.DUMMYFUNCTION("""COMPUTED_VALUE"""),113.0)</f>
        <v>113</v>
      </c>
      <c r="AB33" s="98"/>
      <c r="AC33" s="98">
        <f>IFERROR(__xludf.DUMMYFUNCTION("""COMPUTED_VALUE"""),113.0)</f>
        <v>113</v>
      </c>
      <c r="AD33" s="98">
        <f>IFERROR(__xludf.DUMMYFUNCTION("""COMPUTED_VALUE"""),287519.0)</f>
        <v>287519</v>
      </c>
      <c r="AE33" s="98"/>
      <c r="AF33" s="98">
        <f>IFERROR(__xludf.DUMMYFUNCTION("""COMPUTED_VALUE"""),287519.0)</f>
        <v>287519</v>
      </c>
      <c r="AG33" s="208"/>
      <c r="AH33" s="208"/>
      <c r="AI33" s="208"/>
      <c r="AJ33" s="208"/>
      <c r="AK33" s="208"/>
    </row>
    <row r="34" hidden="1">
      <c r="A34" s="215">
        <f>IFERROR(__xludf.DUMMYFUNCTION("""COMPUTED_VALUE"""),46038.0)</f>
        <v>46038</v>
      </c>
      <c r="B34" s="210">
        <f>IFERROR(__xludf.DUMMYFUNCTION("""COMPUTED_VALUE"""),0.4895833333321207)</f>
        <v>0.4895833333</v>
      </c>
      <c r="C34" s="211" t="str">
        <f>IFERROR(__xludf.DUMMYFUNCTION("""COMPUTED_VALUE"""),"Sms")</f>
        <v>Sms</v>
      </c>
      <c r="D34" s="211" t="str">
        <f>IFERROR(__xludf.DUMMYFUNCTION("""COMPUTED_VALUE"""),"Fallback Campaign")</f>
        <v>Fallback Campaign</v>
      </c>
      <c r="E34" s="211" t="str">
        <f>IFERROR(__xludf.DUMMYFUNCTION("""COMPUTED_VALUE"""),"BBW")</f>
        <v>BBW</v>
      </c>
      <c r="F34" s="211" t="str">
        <f>IFERROR(__xludf.DUMMYFUNCTION("""COMPUTED_VALUE"""),"stbc999")</f>
        <v>stbc999</v>
      </c>
      <c r="G34" s="211" t="str">
        <f>IFERROR(__xludf.DUMMYFUNCTION("""COMPUTED_VALUE"""),"bbw_stbc999_dorm16.1fbRCS")</f>
        <v>bbw_stbc999_dorm16.1fbRCS</v>
      </c>
      <c r="H34" s="112" t="str">
        <f>IFERROR(__xludf.DUMMYFUNCTION("""COMPUTED_VALUE"""),"BodyCare_Churned_OFF")</f>
        <v>BodyCare_Churned_OFF</v>
      </c>
      <c r="I34" s="212" t="str">
        <f>IFERROR(__xludf.DUMMYFUNCTION("""COMPUTED_VALUE"""),"RCS Undelivered ")</f>
        <v>RCS Undelivered </v>
      </c>
      <c r="J34" s="213">
        <f>IFERROR(__xludf.DUMMYFUNCTION("""COMPUTED_VALUE"""),98258.0)</f>
        <v>98258</v>
      </c>
      <c r="K34" s="213">
        <f>IFERROR(__xludf.DUMMYFUNCTION("""COMPUTED_VALUE"""),57271.0)</f>
        <v>57271</v>
      </c>
      <c r="L34" s="214">
        <f>IFERROR(__xludf.DUMMYFUNCTION("""COMPUTED_VALUE"""),0.5829)</f>
        <v>0.5829</v>
      </c>
      <c r="M34" s="213"/>
      <c r="N34" s="214"/>
      <c r="O34" s="101">
        <f>IFERROR(__xludf.DUMMYFUNCTION("""COMPUTED_VALUE"""),34.0)</f>
        <v>34</v>
      </c>
      <c r="P34" s="101"/>
      <c r="Q34" s="214">
        <f>IFERROR(__xludf.DUMMYFUNCTION("""COMPUTED_VALUE"""),6.0E-4)</f>
        <v>0.0006</v>
      </c>
      <c r="R34" s="214"/>
      <c r="S34" s="101">
        <f>IFERROR(__xludf.DUMMYFUNCTION("""COMPUTED_VALUE"""),4.0)</f>
        <v>4</v>
      </c>
      <c r="T34" s="101">
        <f>IFERROR(__xludf.DUMMYFUNCTION("""COMPUTED_VALUE"""),15.0)</f>
        <v>15</v>
      </c>
      <c r="U34" s="213">
        <f>IFERROR(__xludf.DUMMYFUNCTION("""COMPUTED_VALUE"""),8649.0)</f>
        <v>8649</v>
      </c>
      <c r="V34" s="271" t="str">
        <f>IFERROR(__xludf.DUMMYFUNCTION("""COMPUTED_VALUE"""),"offline")</f>
        <v>offline</v>
      </c>
      <c r="W34" s="98" t="str">
        <f>IFERROR(__xludf.DUMMYFUNCTION("""COMPUTED_VALUE"""),"SMS")</f>
        <v>SMS</v>
      </c>
      <c r="X34" s="98" t="str">
        <f>IFERROR(__xludf.DUMMYFUNCTION("""COMPUTED_VALUE"""),"Churned")</f>
        <v>Churned</v>
      </c>
      <c r="Y34" s="98" t="str">
        <f>IFERROR(__xludf.DUMMYFUNCTION("""COMPUTED_VALUE"""),"16th Jan - 18th Jan")</f>
        <v>16th Jan - 18th Jan</v>
      </c>
      <c r="Z34" s="98" t="str">
        <f>IFERROR(__xludf.DUMMYFUNCTION("""COMPUTED_VALUE"""),"69688a4a2004f6480f273bbe")</f>
        <v>69688a4a2004f6480f273bbe</v>
      </c>
      <c r="AA34" s="98">
        <f>IFERROR(__xludf.DUMMYFUNCTION("""COMPUTED_VALUE"""),208.0)</f>
        <v>208</v>
      </c>
      <c r="AB34" s="98"/>
      <c r="AC34" s="98">
        <f>IFERROR(__xludf.DUMMYFUNCTION("""COMPUTED_VALUE"""),208.0)</f>
        <v>208</v>
      </c>
      <c r="AD34" s="98">
        <f>IFERROR(__xludf.DUMMYFUNCTION("""COMPUTED_VALUE"""),605884.0)</f>
        <v>605884</v>
      </c>
      <c r="AE34" s="98"/>
      <c r="AF34" s="98">
        <f>IFERROR(__xludf.DUMMYFUNCTION("""COMPUTED_VALUE"""),605884.0)</f>
        <v>605884</v>
      </c>
      <c r="AG34" s="208"/>
      <c r="AH34" s="208"/>
      <c r="AI34" s="208"/>
      <c r="AJ34" s="208"/>
      <c r="AK34" s="208"/>
    </row>
    <row r="35" hidden="1">
      <c r="A35" s="245">
        <f>IFERROR(__xludf.DUMMYFUNCTION("""COMPUTED_VALUE"""),46038.0)</f>
        <v>46038</v>
      </c>
      <c r="B35" s="246">
        <f>IFERROR(__xludf.DUMMYFUNCTION("""COMPUTED_VALUE"""),0.4895833333321207)</f>
        <v>0.4895833333</v>
      </c>
      <c r="C35" s="221" t="str">
        <f>IFERROR(__xludf.DUMMYFUNCTION("""COMPUTED_VALUE"""),"Sms")</f>
        <v>Sms</v>
      </c>
      <c r="D35" s="221" t="str">
        <f>IFERROR(__xludf.DUMMYFUNCTION("""COMPUTED_VALUE"""),"Fallback Campaign")</f>
        <v>Fallback Campaign</v>
      </c>
      <c r="E35" s="221" t="str">
        <f>IFERROR(__xludf.DUMMYFUNCTION("""COMPUTED_VALUE"""),"BBW")</f>
        <v>BBW</v>
      </c>
      <c r="F35" s="221" t="str">
        <f>IFERROR(__xludf.DUMMYFUNCTION("""COMPUTED_VALUE"""),"stbc999")</f>
        <v>stbc999</v>
      </c>
      <c r="G35" s="221" t="str">
        <f>IFERROR(__xludf.DUMMYFUNCTION("""COMPUTED_VALUE"""),"bbw_stbc999_rec16.1fbRCS")</f>
        <v>bbw_stbc999_rec16.1fbRCS</v>
      </c>
      <c r="H35" s="269" t="str">
        <f>IFERROR(__xludf.DUMMYFUNCTION("""COMPUTED_VALUE"""),"BodyCare_Recent_OFF")</f>
        <v>BodyCare_Recent_OFF</v>
      </c>
      <c r="I35" s="223" t="str">
        <f>IFERROR(__xludf.DUMMYFUNCTION("""COMPUTED_VALUE"""),"RCS Undelivered ")</f>
        <v>RCS Undelivered </v>
      </c>
      <c r="J35" s="213">
        <f>IFERROR(__xludf.DUMMYFUNCTION("""COMPUTED_VALUE"""),45205.0)</f>
        <v>45205</v>
      </c>
      <c r="K35" s="213">
        <f>IFERROR(__xludf.DUMMYFUNCTION("""COMPUTED_VALUE"""),27379.0)</f>
        <v>27379</v>
      </c>
      <c r="L35" s="214">
        <f>IFERROR(__xludf.DUMMYFUNCTION("""COMPUTED_VALUE"""),0.6057)</f>
        <v>0.6057</v>
      </c>
      <c r="M35" s="213"/>
      <c r="N35" s="214"/>
      <c r="O35" s="213">
        <f>IFERROR(__xludf.DUMMYFUNCTION("""COMPUTED_VALUE"""),34.0)</f>
        <v>34</v>
      </c>
      <c r="P35" s="101"/>
      <c r="Q35" s="214">
        <f>IFERROR(__xludf.DUMMYFUNCTION("""COMPUTED_VALUE"""),0.0012)</f>
        <v>0.0012</v>
      </c>
      <c r="R35" s="214"/>
      <c r="S35" s="101">
        <f>IFERROR(__xludf.DUMMYFUNCTION("""COMPUTED_VALUE"""),5.0)</f>
        <v>5</v>
      </c>
      <c r="T35" s="101">
        <f>IFERROR(__xludf.DUMMYFUNCTION("""COMPUTED_VALUE"""),13.0)</f>
        <v>13</v>
      </c>
      <c r="U35" s="213">
        <f>IFERROR(__xludf.DUMMYFUNCTION("""COMPUTED_VALUE"""),12360.0)</f>
        <v>12360</v>
      </c>
      <c r="V35" s="271" t="str">
        <f>IFERROR(__xludf.DUMMYFUNCTION("""COMPUTED_VALUE"""),"offline")</f>
        <v>offline</v>
      </c>
      <c r="W35" s="98" t="str">
        <f>IFERROR(__xludf.DUMMYFUNCTION("""COMPUTED_VALUE"""),"SMS")</f>
        <v>SMS</v>
      </c>
      <c r="X35" s="98" t="str">
        <f>IFERROR(__xludf.DUMMYFUNCTION("""COMPUTED_VALUE"""),"Recent")</f>
        <v>Recent</v>
      </c>
      <c r="Y35" s="98" t="str">
        <f>IFERROR(__xludf.DUMMYFUNCTION("""COMPUTED_VALUE"""),"16th Jan - 18th Jan")</f>
        <v>16th Jan - 18th Jan</v>
      </c>
      <c r="Z35" s="98" t="str">
        <f>IFERROR(__xludf.DUMMYFUNCTION("""COMPUTED_VALUE"""),"69688a50094d007dddb0b760")</f>
        <v>69688a50094d007dddb0b760</v>
      </c>
      <c r="AA35" s="98">
        <f>IFERROR(__xludf.DUMMYFUNCTION("""COMPUTED_VALUE"""),144.0)</f>
        <v>144</v>
      </c>
      <c r="AB35" s="98"/>
      <c r="AC35" s="98">
        <f>IFERROR(__xludf.DUMMYFUNCTION("""COMPUTED_VALUE"""),144.0)</f>
        <v>144</v>
      </c>
      <c r="AD35" s="98">
        <f>IFERROR(__xludf.DUMMYFUNCTION("""COMPUTED_VALUE"""),376733.0)</f>
        <v>376733</v>
      </c>
      <c r="AE35" s="98"/>
      <c r="AF35" s="98">
        <f>IFERROR(__xludf.DUMMYFUNCTION("""COMPUTED_VALUE"""),376733.0)</f>
        <v>376733</v>
      </c>
      <c r="AG35" s="208"/>
      <c r="AH35" s="208"/>
      <c r="AI35" s="208"/>
      <c r="AJ35" s="208"/>
      <c r="AK35" s="208"/>
    </row>
    <row r="36" hidden="1">
      <c r="A36" s="209">
        <f>IFERROR(__xludf.DUMMYFUNCTION("""COMPUTED_VALUE"""),46038.0)</f>
        <v>46038</v>
      </c>
      <c r="B36" s="210">
        <f>IFERROR(__xludf.DUMMYFUNCTION("""COMPUTED_VALUE"""),0.6875)</f>
        <v>0.6875</v>
      </c>
      <c r="C36" s="211" t="str">
        <f>IFERROR(__xludf.DUMMYFUNCTION("""COMPUTED_VALUE"""),"Rcs")</f>
        <v>Rcs</v>
      </c>
      <c r="D36" s="211" t="str">
        <f>IFERROR(__xludf.DUMMYFUNCTION("""COMPUTED_VALUE"""),"Promotional")</f>
        <v>Promotional</v>
      </c>
      <c r="E36" s="211" t="str">
        <f>IFERROR(__xludf.DUMMYFUNCTION("""COMPUTED_VALUE"""),"BBW")</f>
        <v>BBW</v>
      </c>
      <c r="F36" s="211" t="str">
        <f>IFERROR(__xludf.DUMMYFUNCTION("""COMPUTED_VALUE"""),"stbc999")</f>
        <v>stbc999</v>
      </c>
      <c r="G36" s="212" t="str">
        <f>IFERROR(__xludf.DUMMYFUNCTION("""COMPUTED_VALUE"""),"bbw_stbc999_rec16.1RCSV2")</f>
        <v>bbw_stbc999_rec16.1RCSV2</v>
      </c>
      <c r="H36" s="212" t="str">
        <f>IFERROR(__xludf.DUMMYFUNCTION("""COMPUTED_VALUE"""),"BodyCare_Recent_ON")</f>
        <v>BodyCare_Recent_ON</v>
      </c>
      <c r="I36" s="212" t="str">
        <f>IFERROR(__xludf.DUMMYFUNCTION("""COMPUTED_VALUE"""),"Customers who have purchased in the last 105 days cat L2 Body care Online")</f>
        <v>Customers who have purchased in the last 105 days cat L2 Body care Online</v>
      </c>
      <c r="J36" s="213">
        <f>IFERROR(__xludf.DUMMYFUNCTION("""COMPUTED_VALUE"""),12666.0)</f>
        <v>12666</v>
      </c>
      <c r="K36" s="213">
        <f>IFERROR(__xludf.DUMMYFUNCTION("""COMPUTED_VALUE"""),3663.0)</f>
        <v>3663</v>
      </c>
      <c r="L36" s="214">
        <f>IFERROR(__xludf.DUMMYFUNCTION("""COMPUTED_VALUE"""),0.2892)</f>
        <v>0.2892</v>
      </c>
      <c r="M36" s="213">
        <f>IFERROR(__xludf.DUMMYFUNCTION("""COMPUTED_VALUE"""),530.0)</f>
        <v>530</v>
      </c>
      <c r="N36" s="214">
        <f>IFERROR(__xludf.DUMMYFUNCTION("""COMPUTED_VALUE"""),0.145)</f>
        <v>0.145</v>
      </c>
      <c r="O36" s="101">
        <f>IFERROR(__xludf.DUMMYFUNCTION("""COMPUTED_VALUE"""),33.0)</f>
        <v>33</v>
      </c>
      <c r="P36" s="101"/>
      <c r="Q36" s="214">
        <f>IFERROR(__xludf.DUMMYFUNCTION("""COMPUTED_VALUE"""),0.009)</f>
        <v>0.009</v>
      </c>
      <c r="R36" s="214"/>
      <c r="S36" s="101">
        <f>IFERROR(__xludf.DUMMYFUNCTION("""COMPUTED_VALUE"""),0.0)</f>
        <v>0</v>
      </c>
      <c r="T36" s="101">
        <f>IFERROR(__xludf.DUMMYFUNCTION("""COMPUTED_VALUE"""),2.0)</f>
        <v>2</v>
      </c>
      <c r="U36" s="270">
        <f>IFERROR(__xludf.DUMMYFUNCTION("""COMPUTED_VALUE"""),0.0)</f>
        <v>0</v>
      </c>
      <c r="V36" s="271" t="str">
        <f>IFERROR(__xludf.DUMMYFUNCTION("""COMPUTED_VALUE"""),"online")</f>
        <v>online</v>
      </c>
      <c r="W36" s="272" t="str">
        <f>IFERROR(__xludf.DUMMYFUNCTION("""COMPUTED_VALUE"""),"RCS")</f>
        <v>RCS</v>
      </c>
      <c r="X36" s="272" t="str">
        <f>IFERROR(__xludf.DUMMYFUNCTION("""COMPUTED_VALUE"""),"Recent")</f>
        <v>Recent</v>
      </c>
      <c r="Y36" s="272" t="str">
        <f>IFERROR(__xludf.DUMMYFUNCTION("""COMPUTED_VALUE"""),"16th Jan - 18th Jan")</f>
        <v>16th Jan - 18th Jan</v>
      </c>
      <c r="Z36" s="272" t="str">
        <f>IFERROR(__xludf.DUMMYFUNCTION("""COMPUTED_VALUE"""),"696a15e7fa16bd74141008bc")</f>
        <v>696a15e7fa16bd74141008bc</v>
      </c>
      <c r="AA36" s="272">
        <f>IFERROR(__xludf.DUMMYFUNCTION("""COMPUTED_VALUE"""),8.0)</f>
        <v>8</v>
      </c>
      <c r="AB36" s="272">
        <f>IFERROR(__xludf.DUMMYFUNCTION("""COMPUTED_VALUE"""),8.0)</f>
        <v>8</v>
      </c>
      <c r="AC36" s="272"/>
      <c r="AD36" s="272">
        <f>IFERROR(__xludf.DUMMYFUNCTION("""COMPUTED_VALUE"""),13509.0)</f>
        <v>13509</v>
      </c>
      <c r="AE36" s="272">
        <f>IFERROR(__xludf.DUMMYFUNCTION("""COMPUTED_VALUE"""),13509.0)</f>
        <v>13509</v>
      </c>
      <c r="AF36" s="272"/>
      <c r="AG36" s="208"/>
      <c r="AH36" s="208"/>
      <c r="AI36" s="208"/>
      <c r="AJ36" s="208"/>
      <c r="AK36" s="208"/>
    </row>
    <row r="37" hidden="1">
      <c r="A37" s="215">
        <f>IFERROR(__xludf.DUMMYFUNCTION("""COMPUTED_VALUE"""),46038.0)</f>
        <v>46038</v>
      </c>
      <c r="B37" s="210">
        <f>IFERROR(__xludf.DUMMYFUNCTION("""COMPUTED_VALUE"""),0.7708333333321207)</f>
        <v>0.7708333333</v>
      </c>
      <c r="C37" s="211" t="str">
        <f>IFERROR(__xludf.DUMMYFUNCTION("""COMPUTED_VALUE"""),"Sms")</f>
        <v>Sms</v>
      </c>
      <c r="D37" s="211" t="str">
        <f>IFERROR(__xludf.DUMMYFUNCTION("""COMPUTED_VALUE"""),"Fallback Campaign")</f>
        <v>Fallback Campaign</v>
      </c>
      <c r="E37" s="211" t="str">
        <f>IFERROR(__xludf.DUMMYFUNCTION("""COMPUTED_VALUE"""),"BBW")</f>
        <v>BBW</v>
      </c>
      <c r="F37" s="211" t="str">
        <f>IFERROR(__xludf.DUMMYFUNCTION("""COMPUTED_VALUE"""),"stbc999")</f>
        <v>stbc999</v>
      </c>
      <c r="G37" s="211" t="str">
        <f>IFERROR(__xludf.DUMMYFUNCTION("""COMPUTED_VALUE"""),"bbw_stbc999_rec16.1RCSV2FB")</f>
        <v>bbw_stbc999_rec16.1RCSV2FB</v>
      </c>
      <c r="H37" s="212" t="str">
        <f>IFERROR(__xludf.DUMMYFUNCTION("""COMPUTED_VALUE"""),"BodyCare_Recent_ON")</f>
        <v>BodyCare_Recent_ON</v>
      </c>
      <c r="I37" s="223" t="str">
        <f>IFERROR(__xludf.DUMMYFUNCTION("""COMPUTED_VALUE"""),"RCS Undelivered ")</f>
        <v>RCS Undelivered </v>
      </c>
      <c r="J37" s="213">
        <f>IFERROR(__xludf.DUMMYFUNCTION("""COMPUTED_VALUE"""),8618.0)</f>
        <v>8618</v>
      </c>
      <c r="K37" s="213">
        <f>IFERROR(__xludf.DUMMYFUNCTION("""COMPUTED_VALUE"""),5169.0)</f>
        <v>5169</v>
      </c>
      <c r="L37" s="214">
        <f>IFERROR(__xludf.DUMMYFUNCTION("""COMPUTED_VALUE"""),0.5998)</f>
        <v>0.5998</v>
      </c>
      <c r="M37" s="213"/>
      <c r="N37" s="214"/>
      <c r="O37" s="101">
        <f>IFERROR(__xludf.DUMMYFUNCTION("""COMPUTED_VALUE"""),7.0)</f>
        <v>7</v>
      </c>
      <c r="P37" s="101"/>
      <c r="Q37" s="214">
        <f>IFERROR(__xludf.DUMMYFUNCTION("""COMPUTED_VALUE"""),0.0014)</f>
        <v>0.0014</v>
      </c>
      <c r="R37" s="214"/>
      <c r="S37" s="101">
        <f>IFERROR(__xludf.DUMMYFUNCTION("""COMPUTED_VALUE"""),0.0)</f>
        <v>0</v>
      </c>
      <c r="T37" s="101">
        <f>IFERROR(__xludf.DUMMYFUNCTION("""COMPUTED_VALUE"""),4.0)</f>
        <v>4</v>
      </c>
      <c r="U37" s="213">
        <f>IFERROR(__xludf.DUMMYFUNCTION("""COMPUTED_VALUE"""),0.0)</f>
        <v>0</v>
      </c>
      <c r="V37" s="271" t="str">
        <f>IFERROR(__xludf.DUMMYFUNCTION("""COMPUTED_VALUE"""),"online")</f>
        <v>online</v>
      </c>
      <c r="W37" s="98" t="str">
        <f>IFERROR(__xludf.DUMMYFUNCTION("""COMPUTED_VALUE"""),"SMS")</f>
        <v>SMS</v>
      </c>
      <c r="X37" s="98" t="str">
        <f>IFERROR(__xludf.DUMMYFUNCTION("""COMPUTED_VALUE"""),"Recent")</f>
        <v>Recent</v>
      </c>
      <c r="Y37" s="98" t="str">
        <f>IFERROR(__xludf.DUMMYFUNCTION("""COMPUTED_VALUE"""),"16th Jan - 18th Jan")</f>
        <v>16th Jan - 18th Jan</v>
      </c>
      <c r="Z37" s="98" t="str">
        <f>IFERROR(__xludf.DUMMYFUNCTION("""COMPUTED_VALUE"""),"696a160be519ed93eee60067")</f>
        <v>696a160be519ed93eee60067</v>
      </c>
      <c r="AA37" s="98">
        <f>IFERROR(__xludf.DUMMYFUNCTION("""COMPUTED_VALUE"""),12.0)</f>
        <v>12</v>
      </c>
      <c r="AB37" s="98">
        <f>IFERROR(__xludf.DUMMYFUNCTION("""COMPUTED_VALUE"""),12.0)</f>
        <v>12</v>
      </c>
      <c r="AC37" s="98"/>
      <c r="AD37" s="98">
        <f>IFERROR(__xludf.DUMMYFUNCTION("""COMPUTED_VALUE"""),44483.0)</f>
        <v>44483</v>
      </c>
      <c r="AE37" s="98">
        <f>IFERROR(__xludf.DUMMYFUNCTION("""COMPUTED_VALUE"""),44483.0)</f>
        <v>44483</v>
      </c>
      <c r="AF37" s="98"/>
      <c r="AG37" s="208"/>
      <c r="AH37" s="208"/>
      <c r="AI37" s="208"/>
      <c r="AJ37" s="208"/>
      <c r="AK37" s="208"/>
    </row>
    <row r="38" hidden="1">
      <c r="A38" s="216">
        <f>IFERROR(__xludf.DUMMYFUNCTION("""COMPUTED_VALUE"""),46038.0)</f>
        <v>46038</v>
      </c>
      <c r="B38" s="217">
        <f>IFERROR(__xludf.DUMMYFUNCTION("""COMPUTED_VALUE"""),0.6875)</f>
        <v>0.6875</v>
      </c>
      <c r="C38" s="211" t="str">
        <f>IFERROR(__xludf.DUMMYFUNCTION("""COMPUTED_VALUE"""),"Sms")</f>
        <v>Sms</v>
      </c>
      <c r="D38" s="211" t="str">
        <f>IFERROR(__xludf.DUMMYFUNCTION("""COMPUTED_VALUE"""),"Fallback Campaign")</f>
        <v>Fallback Campaign</v>
      </c>
      <c r="E38" s="211" t="str">
        <f>IFERROR(__xludf.DUMMYFUNCTION("""COMPUTED_VALUE"""),"BBW")</f>
        <v>BBW</v>
      </c>
      <c r="F38" s="211" t="str">
        <f>IFERROR(__xludf.DUMMYFUNCTION("""COMPUTED_VALUE"""),"eabc999")</f>
        <v>eabc999</v>
      </c>
      <c r="G38" s="211" t="str">
        <f>IFERROR(__xludf.DUMMYFUNCTION("""COMPUTED_VALUE"""),"bbw_eabc999_dorm14.1fbRCSV2")</f>
        <v>bbw_eabc999_dorm14.1fbRCSV2</v>
      </c>
      <c r="H38" s="112" t="str">
        <f>IFERROR(__xludf.DUMMYFUNCTION("""COMPUTED_VALUE"""),"BodyCare_Churned_ON")</f>
        <v>BodyCare_Churned_ON</v>
      </c>
      <c r="I38" s="212" t="str">
        <f>IFERROR(__xludf.DUMMYFUNCTION("""COMPUTED_VALUE"""),"RCS Undelivered ")</f>
        <v>RCS Undelivered </v>
      </c>
      <c r="J38" s="213">
        <f>IFERROR(__xludf.DUMMYFUNCTION("""COMPUTED_VALUE"""),36624.0)</f>
        <v>36624</v>
      </c>
      <c r="K38" s="213">
        <f>IFERROR(__xludf.DUMMYFUNCTION("""COMPUTED_VALUE"""),21872.0)</f>
        <v>21872</v>
      </c>
      <c r="L38" s="214">
        <f>IFERROR(__xludf.DUMMYFUNCTION("""COMPUTED_VALUE"""),0.5972)</f>
        <v>0.5972</v>
      </c>
      <c r="M38" s="213"/>
      <c r="N38" s="214"/>
      <c r="O38" s="213">
        <f>IFERROR(__xludf.DUMMYFUNCTION("""COMPUTED_VALUE"""),20.0)</f>
        <v>20</v>
      </c>
      <c r="P38" s="213"/>
      <c r="Q38" s="214">
        <f>IFERROR(__xludf.DUMMYFUNCTION("""COMPUTED_VALUE"""),9.0E-4)</f>
        <v>0.0009</v>
      </c>
      <c r="R38" s="214"/>
      <c r="S38" s="101">
        <f>IFERROR(__xludf.DUMMYFUNCTION("""COMPUTED_VALUE"""),3.0)</f>
        <v>3</v>
      </c>
      <c r="T38" s="101">
        <f>IFERROR(__xludf.DUMMYFUNCTION("""COMPUTED_VALUE"""),10.0)</f>
        <v>10</v>
      </c>
      <c r="U38" s="213">
        <f>IFERROR(__xludf.DUMMYFUNCTION("""COMPUTED_VALUE"""),6468.0)</f>
        <v>6468</v>
      </c>
      <c r="V38" s="271" t="str">
        <f>IFERROR(__xludf.DUMMYFUNCTION("""COMPUTED_VALUE"""),"online")</f>
        <v>online</v>
      </c>
      <c r="W38" s="98" t="str">
        <f>IFERROR(__xludf.DUMMYFUNCTION("""COMPUTED_VALUE"""),"SMS")</f>
        <v>SMS</v>
      </c>
      <c r="X38" s="98" t="str">
        <f>IFERROR(__xludf.DUMMYFUNCTION("""COMPUTED_VALUE"""),"Churned")</f>
        <v>Churned</v>
      </c>
      <c r="Y38" s="98" t="str">
        <f>IFERROR(__xludf.DUMMYFUNCTION("""COMPUTED_VALUE"""),"16th Jan - 18th Jan")</f>
        <v>16th Jan - 18th Jan</v>
      </c>
      <c r="Z38" s="98" t="str">
        <f>IFERROR(__xludf.DUMMYFUNCTION("""COMPUTED_VALUE"""),"696a1681285e218dd2f7bf86")</f>
        <v>696a1681285e218dd2f7bf86</v>
      </c>
      <c r="AA38" s="98">
        <f>IFERROR(__xludf.DUMMYFUNCTION("""COMPUTED_VALUE"""),29.0)</f>
        <v>29</v>
      </c>
      <c r="AB38" s="98">
        <f>IFERROR(__xludf.DUMMYFUNCTION("""COMPUTED_VALUE"""),29.0)</f>
        <v>29</v>
      </c>
      <c r="AC38" s="98"/>
      <c r="AD38" s="98">
        <f>IFERROR(__xludf.DUMMYFUNCTION("""COMPUTED_VALUE"""),68869.0)</f>
        <v>68869</v>
      </c>
      <c r="AE38" s="98">
        <f>IFERROR(__xludf.DUMMYFUNCTION("""COMPUTED_VALUE"""),68869.0)</f>
        <v>68869</v>
      </c>
      <c r="AF38" s="98"/>
      <c r="AG38" s="208"/>
      <c r="AH38" s="208"/>
      <c r="AI38" s="208"/>
      <c r="AJ38" s="208"/>
      <c r="AK38" s="208"/>
    </row>
    <row r="39" hidden="1">
      <c r="A39" s="215">
        <f>IFERROR(__xludf.DUMMYFUNCTION("""COMPUTED_VALUE"""),46038.0)</f>
        <v>46038</v>
      </c>
      <c r="B39" s="210">
        <f>IFERROR(__xludf.DUMMYFUNCTION("""COMPUTED_VALUE"""),0.40625)</f>
        <v>0.40625</v>
      </c>
      <c r="C39" s="211" t="str">
        <f>IFERROR(__xludf.DUMMYFUNCTION("""COMPUTED_VALUE"""),"Whatsapp")</f>
        <v>Whatsapp</v>
      </c>
      <c r="D39" s="211" t="str">
        <f>IFERROR(__xludf.DUMMYFUNCTION("""COMPUTED_VALUE"""),"Promotional")</f>
        <v>Promotional</v>
      </c>
      <c r="E39" s="211" t="str">
        <f>IFERROR(__xludf.DUMMYFUNCTION("""COMPUTED_VALUE"""),"BBW")</f>
        <v>BBW</v>
      </c>
      <c r="F39" s="211" t="str">
        <f>IFERROR(__xludf.DUMMYFUNCTION("""COMPUTED_VALUE"""),"stbc999")</f>
        <v>stbc999</v>
      </c>
      <c r="G39" s="211" t="str">
        <f>IFERROR(__xludf.DUMMYFUNCTION("""COMPUTED_VALUE"""),"bbw_stbc999_eventbuy16.1")</f>
        <v>bbw_stbc999_eventbuy16.1</v>
      </c>
      <c r="H39" s="212" t="str">
        <f>IFERROR(__xludf.DUMMYFUNCTION("""COMPUTED_VALUE"""),"BodyCare_LastCamPur_OFF OR AGIPL_Internal OR BBW_Internal")</f>
        <v>BodyCare_LastCamPur_OFF OR AGIPL_Internal OR BBW_Internal</v>
      </c>
      <c r="I39" s="223" t="str">
        <f>IFERROR(__xludf.DUMMYFUNCTION("""COMPUTED_VALUE"""),"Customers who have purchased in all the last body care campaigns Offline")</f>
        <v>Customers who have purchased in all the last body care campaigns Offline</v>
      </c>
      <c r="J39" s="213">
        <f>IFERROR(__xludf.DUMMYFUNCTION("""COMPUTED_VALUE"""),37971.0)</f>
        <v>37971</v>
      </c>
      <c r="K39" s="213">
        <f>IFERROR(__xludf.DUMMYFUNCTION("""COMPUTED_VALUE"""),16735.0)</f>
        <v>16735</v>
      </c>
      <c r="L39" s="214">
        <f>IFERROR(__xludf.DUMMYFUNCTION("""COMPUTED_VALUE"""),0.4407)</f>
        <v>0.4407</v>
      </c>
      <c r="M39" s="213">
        <f>IFERROR(__xludf.DUMMYFUNCTION("""COMPUTED_VALUE"""),7096.0)</f>
        <v>7096</v>
      </c>
      <c r="N39" s="214">
        <f>IFERROR(__xludf.DUMMYFUNCTION("""COMPUTED_VALUE"""),0.424)</f>
        <v>0.424</v>
      </c>
      <c r="O39" s="101">
        <f>IFERROR(__xludf.DUMMYFUNCTION("""COMPUTED_VALUE"""),615.0)</f>
        <v>615</v>
      </c>
      <c r="P39" s="101">
        <f>IFERROR(__xludf.DUMMYFUNCTION("""COMPUTED_VALUE"""),578.0)</f>
        <v>578</v>
      </c>
      <c r="Q39" s="214">
        <f>IFERROR(__xludf.DUMMYFUNCTION("""COMPUTED_VALUE"""),0.0345)</f>
        <v>0.0345</v>
      </c>
      <c r="R39" s="214">
        <f>IFERROR(__xludf.DUMMYFUNCTION("""COMPUTED_VALUE"""),0.0815)</f>
        <v>0.0815</v>
      </c>
      <c r="S39" s="101">
        <f>IFERROR(__xludf.DUMMYFUNCTION("""COMPUTED_VALUE"""),4.0)</f>
        <v>4</v>
      </c>
      <c r="T39" s="101">
        <f>IFERROR(__xludf.DUMMYFUNCTION("""COMPUTED_VALUE"""),9.0)</f>
        <v>9</v>
      </c>
      <c r="U39" s="213">
        <f>IFERROR(__xludf.DUMMYFUNCTION("""COMPUTED_VALUE"""),9889.0)</f>
        <v>9889</v>
      </c>
      <c r="V39" s="271" t="str">
        <f>IFERROR(__xludf.DUMMYFUNCTION("""COMPUTED_VALUE"""),"Offline ")</f>
        <v>Offline </v>
      </c>
      <c r="W39" s="98" t="str">
        <f>IFERROR(__xludf.DUMMYFUNCTION("""COMPUTED_VALUE"""),"simple")</f>
        <v>simple</v>
      </c>
      <c r="X39" s="98" t="str">
        <f>IFERROR(__xludf.DUMMYFUNCTION("""COMPUTED_VALUE"""),"Event Buyers")</f>
        <v>Event Buyers</v>
      </c>
      <c r="Y39" s="98" t="str">
        <f>IFERROR(__xludf.DUMMYFUNCTION("""COMPUTED_VALUE"""),"16th Jan - 18th Jan")</f>
        <v>16th Jan - 18th Jan</v>
      </c>
      <c r="Z39" s="98" t="str">
        <f>IFERROR(__xludf.DUMMYFUNCTION("""COMPUTED_VALUE"""),"696780b6bfd45cea0909fd7e")</f>
        <v>696780b6bfd45cea0909fd7e</v>
      </c>
      <c r="AA39" s="98">
        <f>IFERROR(__xludf.DUMMYFUNCTION("""COMPUTED_VALUE"""),154.0)</f>
        <v>154</v>
      </c>
      <c r="AB39" s="98"/>
      <c r="AC39" s="98">
        <f>IFERROR(__xludf.DUMMYFUNCTION("""COMPUTED_VALUE"""),154.0)</f>
        <v>154</v>
      </c>
      <c r="AD39" s="98">
        <f>IFERROR(__xludf.DUMMYFUNCTION("""COMPUTED_VALUE"""),510611.0)</f>
        <v>510611</v>
      </c>
      <c r="AE39" s="98"/>
      <c r="AF39" s="98">
        <f>IFERROR(__xludf.DUMMYFUNCTION("""COMPUTED_VALUE"""),510611.0)</f>
        <v>510611</v>
      </c>
      <c r="AG39" s="208"/>
      <c r="AH39" s="208"/>
      <c r="AI39" s="208"/>
      <c r="AJ39" s="208"/>
      <c r="AK39" s="208"/>
    </row>
    <row r="40" hidden="1">
      <c r="A40" s="216">
        <f>IFERROR(__xludf.DUMMYFUNCTION("""COMPUTED_VALUE"""),46038.0)</f>
        <v>46038</v>
      </c>
      <c r="B40" s="210">
        <f>IFERROR(__xludf.DUMMYFUNCTION("""COMPUTED_VALUE"""),0.40625)</f>
        <v>0.40625</v>
      </c>
      <c r="C40" s="210" t="str">
        <f>IFERROR(__xludf.DUMMYFUNCTION("""COMPUTED_VALUE"""),"Whatsapp")</f>
        <v>Whatsapp</v>
      </c>
      <c r="D40" s="210" t="str">
        <f>IFERROR(__xludf.DUMMYFUNCTION("""COMPUTED_VALUE"""),"Promotional")</f>
        <v>Promotional</v>
      </c>
      <c r="E40" s="211" t="str">
        <f>IFERROR(__xludf.DUMMYFUNCTION("""COMPUTED_VALUE"""),"BBW")</f>
        <v>BBW</v>
      </c>
      <c r="F40" s="211" t="str">
        <f>IFERROR(__xludf.DUMMYFUNCTION("""COMPUTED_VALUE"""),"stbc999")</f>
        <v>stbc999</v>
      </c>
      <c r="G40" s="211" t="str">
        <f>IFERROR(__xludf.DUMMYFUNCTION("""COMPUTED_VALUE"""),"bbw_stbc999_loyal16.1")</f>
        <v>bbw_stbc999_loyal16.1</v>
      </c>
      <c r="H40" s="211" t="str">
        <f>IFERROR(__xludf.DUMMYFUNCTION("""COMPUTED_VALUE"""),"BodyCare_Alteast3times_OFF")</f>
        <v>BodyCare_Alteast3times_OFF</v>
      </c>
      <c r="I40" s="223" t="str">
        <f>IFERROR(__xludf.DUMMYFUNCTION("""COMPUTED_VALUE"""),"Customers who have purchased Body Care atleast 3 times in the entire duration Offline")</f>
        <v>Customers who have purchased Body Care atleast 3 times in the entire duration Offline</v>
      </c>
      <c r="J40" s="213">
        <f>IFERROR(__xludf.DUMMYFUNCTION("""COMPUTED_VALUE"""),32247.0)</f>
        <v>32247</v>
      </c>
      <c r="K40" s="213">
        <f>IFERROR(__xludf.DUMMYFUNCTION("""COMPUTED_VALUE"""),12143.0)</f>
        <v>12143</v>
      </c>
      <c r="L40" s="214">
        <f>IFERROR(__xludf.DUMMYFUNCTION("""COMPUTED_VALUE"""),0.3766)</f>
        <v>0.3766</v>
      </c>
      <c r="M40" s="213">
        <f>IFERROR(__xludf.DUMMYFUNCTION("""COMPUTED_VALUE"""),5043.0)</f>
        <v>5043</v>
      </c>
      <c r="N40" s="214">
        <f>IFERROR(__xludf.DUMMYFUNCTION("""COMPUTED_VALUE"""),0.4153)</f>
        <v>0.4153</v>
      </c>
      <c r="O40" s="213">
        <f>IFERROR(__xludf.DUMMYFUNCTION("""COMPUTED_VALUE"""),325.0)</f>
        <v>325</v>
      </c>
      <c r="P40" s="213">
        <f>IFERROR(__xludf.DUMMYFUNCTION("""COMPUTED_VALUE"""),310.0)</f>
        <v>310</v>
      </c>
      <c r="Q40" s="214">
        <f>IFERROR(__xludf.DUMMYFUNCTION("""COMPUTED_VALUE"""),0.0255)</f>
        <v>0.0255</v>
      </c>
      <c r="R40" s="214">
        <f>IFERROR(__xludf.DUMMYFUNCTION("""COMPUTED_VALUE"""),0.0615)</f>
        <v>0.0615</v>
      </c>
      <c r="S40" s="101">
        <f>IFERROR(__xludf.DUMMYFUNCTION("""COMPUTED_VALUE"""),4.0)</f>
        <v>4</v>
      </c>
      <c r="T40" s="101">
        <f>IFERROR(__xludf.DUMMYFUNCTION("""COMPUTED_VALUE"""),9.0)</f>
        <v>9</v>
      </c>
      <c r="U40" s="213">
        <f>IFERROR(__xludf.DUMMYFUNCTION("""COMPUTED_VALUE"""),24799.0)</f>
        <v>24799</v>
      </c>
      <c r="V40" s="271" t="str">
        <f>IFERROR(__xludf.DUMMYFUNCTION("""COMPUTED_VALUE"""),"Offline ")</f>
        <v>Offline </v>
      </c>
      <c r="W40" s="98" t="str">
        <f>IFERROR(__xludf.DUMMYFUNCTION("""COMPUTED_VALUE"""),"simple")</f>
        <v>simple</v>
      </c>
      <c r="X40" s="98" t="str">
        <f>IFERROR(__xludf.DUMMYFUNCTION("""COMPUTED_VALUE"""),"Loyal")</f>
        <v>Loyal</v>
      </c>
      <c r="Y40" s="98" t="str">
        <f>IFERROR(__xludf.DUMMYFUNCTION("""COMPUTED_VALUE"""),"16th Jan - 18th Jan")</f>
        <v>16th Jan - 18th Jan</v>
      </c>
      <c r="Z40" s="98" t="str">
        <f>IFERROR(__xludf.DUMMYFUNCTION("""COMPUTED_VALUE"""),"696780d3c6016711c1bf408b")</f>
        <v>696780d3c6016711c1bf408b</v>
      </c>
      <c r="AA40" s="98">
        <f>IFERROR(__xludf.DUMMYFUNCTION("""COMPUTED_VALUE"""),189.0)</f>
        <v>189</v>
      </c>
      <c r="AB40" s="98"/>
      <c r="AC40" s="98">
        <f>IFERROR(__xludf.DUMMYFUNCTION("""COMPUTED_VALUE"""),189.0)</f>
        <v>189</v>
      </c>
      <c r="AD40" s="98">
        <f>IFERROR(__xludf.DUMMYFUNCTION("""COMPUTED_VALUE"""),624837.0)</f>
        <v>624837</v>
      </c>
      <c r="AE40" s="98"/>
      <c r="AF40" s="98">
        <f>IFERROR(__xludf.DUMMYFUNCTION("""COMPUTED_VALUE"""),624837.0)</f>
        <v>624837</v>
      </c>
      <c r="AG40" s="208"/>
      <c r="AH40" s="208"/>
      <c r="AI40" s="208"/>
      <c r="AJ40" s="208"/>
      <c r="AK40" s="208"/>
    </row>
    <row r="41" hidden="1">
      <c r="A41" s="216">
        <f>IFERROR(__xludf.DUMMYFUNCTION("""COMPUTED_VALUE"""),46040.0)</f>
        <v>46040</v>
      </c>
      <c r="B41" s="217">
        <f>IFERROR(__xludf.DUMMYFUNCTION("""COMPUTED_VALUE"""),0.40625)</f>
        <v>0.40625</v>
      </c>
      <c r="C41" s="211" t="str">
        <f>IFERROR(__xludf.DUMMYFUNCTION("""COMPUTED_VALUE"""),"Sms")</f>
        <v>Sms</v>
      </c>
      <c r="D41" s="211" t="str">
        <f>IFERROR(__xludf.DUMMYFUNCTION("""COMPUTED_VALUE"""),"Promotional")</f>
        <v>Promotional</v>
      </c>
      <c r="E41" s="211" t="str">
        <f>IFERROR(__xludf.DUMMYFUNCTION("""COMPUTED_VALUE"""),"BBW")</f>
        <v>BBW</v>
      </c>
      <c r="F41" s="218" t="str">
        <f>IFERROR(__xludf.DUMMYFUNCTION("""COMPUTED_VALUE"""),"bc99918.1NS")</f>
        <v>bc99918.1NS</v>
      </c>
      <c r="G41" s="211" t="str">
        <f>IFERROR(__xludf.DUMMYFUNCTION("""COMPUTED_VALUE"""),"bbw_bc99918.1NS_fullpr")</f>
        <v>bbw_bc99918.1NS_fullpr</v>
      </c>
      <c r="H41" s="112" t="str">
        <f>IFERROR(__xludf.DUMMYFUNCTION("""COMPUTED_VALUE"""),"BC_FullPrice_Jan2026 OR BBW_Internal OR AGIPL_Internal")</f>
        <v>BC_FullPrice_Jan2026 OR BBW_Internal OR AGIPL_Internal</v>
      </c>
      <c r="I41" s="212" t="str">
        <f>IFERROR(__xludf.DUMMYFUNCTION("""COMPUTED_VALUE"""),"Customers who purchases Body care at full price")</f>
        <v>Customers who purchases Body care at full price</v>
      </c>
      <c r="J41" s="213">
        <f>IFERROR(__xludf.DUMMYFUNCTION("""COMPUTED_VALUE"""),9940.0)</f>
        <v>9940</v>
      </c>
      <c r="K41" s="213">
        <f>IFERROR(__xludf.DUMMYFUNCTION("""COMPUTED_VALUE"""),5051.0)</f>
        <v>5051</v>
      </c>
      <c r="L41" s="214">
        <f>IFERROR(__xludf.DUMMYFUNCTION("""COMPUTED_VALUE"""),0.5081)</f>
        <v>0.5081</v>
      </c>
      <c r="M41" s="213"/>
      <c r="N41" s="214"/>
      <c r="O41" s="213">
        <f>IFERROR(__xludf.DUMMYFUNCTION("""COMPUTED_VALUE"""),7.0)</f>
        <v>7</v>
      </c>
      <c r="P41" s="213"/>
      <c r="Q41" s="214">
        <f>IFERROR(__xludf.DUMMYFUNCTION("""COMPUTED_VALUE"""),0.0014)</f>
        <v>0.0014</v>
      </c>
      <c r="R41" s="214"/>
      <c r="S41" s="101">
        <f>IFERROR(__xludf.DUMMYFUNCTION("""COMPUTED_VALUE"""),3.0)</f>
        <v>3</v>
      </c>
      <c r="T41" s="101">
        <f>IFERROR(__xludf.DUMMYFUNCTION("""COMPUTED_VALUE"""),4.0)</f>
        <v>4</v>
      </c>
      <c r="U41" s="213">
        <f>IFERROR(__xludf.DUMMYFUNCTION("""COMPUTED_VALUE"""),14475.0)</f>
        <v>14475</v>
      </c>
      <c r="V41" s="271" t="str">
        <f>IFERROR(__xludf.DUMMYFUNCTION("""COMPUTED_VALUE"""),"overall")</f>
        <v>overall</v>
      </c>
      <c r="W41" s="98" t="str">
        <f>IFERROR(__xludf.DUMMYFUNCTION("""COMPUTED_VALUE"""),"SMS")</f>
        <v>SMS</v>
      </c>
      <c r="X41" s="98" t="str">
        <f>IFERROR(__xludf.DUMMYFUNCTION("""COMPUTED_VALUE"""),"Full Price Shopper")</f>
        <v>Full Price Shopper</v>
      </c>
      <c r="Y41" s="98" t="str">
        <f>IFERROR(__xludf.DUMMYFUNCTION("""COMPUTED_VALUE"""),"18th Jan - 19th Jan")</f>
        <v>18th Jan - 19th Jan</v>
      </c>
      <c r="Z41" s="98" t="str">
        <f>IFERROR(__xludf.DUMMYFUNCTION("""COMPUTED_VALUE"""),"696a211053d87df5a7a7b7d0")</f>
        <v>696a211053d87df5a7a7b7d0</v>
      </c>
      <c r="AA41" s="98">
        <f>IFERROR(__xludf.DUMMYFUNCTION("""COMPUTED_VALUE"""),2.0)</f>
        <v>2</v>
      </c>
      <c r="AB41" s="98">
        <f>IFERROR(__xludf.DUMMYFUNCTION("""COMPUTED_VALUE"""),1.0)</f>
        <v>1</v>
      </c>
      <c r="AC41" s="98">
        <f>IFERROR(__xludf.DUMMYFUNCTION("""COMPUTED_VALUE"""),1.0)</f>
        <v>1</v>
      </c>
      <c r="AD41" s="98">
        <f>IFERROR(__xludf.DUMMYFUNCTION("""COMPUTED_VALUE"""),4228.0)</f>
        <v>4228</v>
      </c>
      <c r="AE41" s="98">
        <f>IFERROR(__xludf.DUMMYFUNCTION("""COMPUTED_VALUE"""),2230.0)</f>
        <v>2230</v>
      </c>
      <c r="AF41" s="98">
        <f>IFERROR(__xludf.DUMMYFUNCTION("""COMPUTED_VALUE"""),1998.0)</f>
        <v>1998</v>
      </c>
      <c r="AG41" s="282"/>
      <c r="AH41" s="282"/>
      <c r="AI41" s="282"/>
      <c r="AJ41" s="282"/>
      <c r="AK41" s="282"/>
    </row>
    <row r="42" hidden="1">
      <c r="A42" s="245">
        <f>IFERROR(__xludf.DUMMYFUNCTION("""COMPUTED_VALUE"""),46040.0)</f>
        <v>46040</v>
      </c>
      <c r="B42" s="246">
        <f>IFERROR(__xludf.DUMMYFUNCTION("""COMPUTED_VALUE"""),0.40625)</f>
        <v>0.40625</v>
      </c>
      <c r="C42" s="221" t="str">
        <f>IFERROR(__xludf.DUMMYFUNCTION("""COMPUTED_VALUE"""),"Sms")</f>
        <v>Sms</v>
      </c>
      <c r="D42" s="221" t="str">
        <f>IFERROR(__xludf.DUMMYFUNCTION("""COMPUTED_VALUE"""),"Promotional")</f>
        <v>Promotional</v>
      </c>
      <c r="E42" s="221" t="str">
        <f>IFERROR(__xludf.DUMMYFUNCTION("""COMPUTED_VALUE"""),"BBW")</f>
        <v>BBW</v>
      </c>
      <c r="F42" s="222" t="str">
        <f>IFERROR(__xludf.DUMMYFUNCTION("""COMPUTED_VALUE"""),"bc99918.1NS")</f>
        <v>bc99918.1NS</v>
      </c>
      <c r="G42" s="221" t="str">
        <f>IFERROR(__xludf.DUMMYFUNCTION("""COMPUTED_VALUE"""),"bbw_bc99918.1NS_loyal")</f>
        <v>bbw_bc99918.1NS_loyal</v>
      </c>
      <c r="H42" s="269" t="str">
        <f>IFERROR(__xludf.DUMMYFUNCTION("""COMPUTED_VALUE"""),"Loyalist_BC_Jan2026")</f>
        <v>Loyalist_BC_Jan2026</v>
      </c>
      <c r="I42" s="223" t="str">
        <f>IFERROR(__xludf.DUMMYFUNCTION("""COMPUTED_VALUE"""),"Extreme Body Care Loyal (atleast 3 times) excluding the above segment")</f>
        <v>Extreme Body Care Loyal (atleast 3 times) excluding the above segment</v>
      </c>
      <c r="J42" s="213">
        <f>IFERROR(__xludf.DUMMYFUNCTION("""COMPUTED_VALUE"""),69228.0)</f>
        <v>69228</v>
      </c>
      <c r="K42" s="213">
        <f>IFERROR(__xludf.DUMMYFUNCTION("""COMPUTED_VALUE"""),36982.0)</f>
        <v>36982</v>
      </c>
      <c r="L42" s="214">
        <f>IFERROR(__xludf.DUMMYFUNCTION("""COMPUTED_VALUE"""),0.5342)</f>
        <v>0.5342</v>
      </c>
      <c r="M42" s="213"/>
      <c r="N42" s="214"/>
      <c r="O42" s="213">
        <f>IFERROR(__xludf.DUMMYFUNCTION("""COMPUTED_VALUE"""),42.0)</f>
        <v>42</v>
      </c>
      <c r="P42" s="213"/>
      <c r="Q42" s="214">
        <f>IFERROR(__xludf.DUMMYFUNCTION("""COMPUTED_VALUE"""),0.0011)</f>
        <v>0.0011</v>
      </c>
      <c r="R42" s="214"/>
      <c r="S42" s="101">
        <f>IFERROR(__xludf.DUMMYFUNCTION("""COMPUTED_VALUE"""),7.0)</f>
        <v>7</v>
      </c>
      <c r="T42" s="101">
        <f>IFERROR(__xludf.DUMMYFUNCTION("""COMPUTED_VALUE"""),20.0)</f>
        <v>20</v>
      </c>
      <c r="U42" s="213">
        <f>IFERROR(__xludf.DUMMYFUNCTION("""COMPUTED_VALUE"""),16786.0)</f>
        <v>16786</v>
      </c>
      <c r="V42" s="271" t="str">
        <f>IFERROR(__xludf.DUMMYFUNCTION("""COMPUTED_VALUE"""),"overall")</f>
        <v>overall</v>
      </c>
      <c r="W42" s="98" t="str">
        <f>IFERROR(__xludf.DUMMYFUNCTION("""COMPUTED_VALUE"""),"SMS")</f>
        <v>SMS</v>
      </c>
      <c r="X42" s="98" t="str">
        <f>IFERROR(__xludf.DUMMYFUNCTION("""COMPUTED_VALUE"""),"Loyal")</f>
        <v>Loyal</v>
      </c>
      <c r="Y42" s="98" t="str">
        <f>IFERROR(__xludf.DUMMYFUNCTION("""COMPUTED_VALUE"""),"18th Jan - 19th Jan")</f>
        <v>18th Jan - 19th Jan</v>
      </c>
      <c r="Z42" s="98" t="str">
        <f>IFERROR(__xludf.DUMMYFUNCTION("""COMPUTED_VALUE"""),"696a2118524f4c231ff7b460")</f>
        <v>696a2118524f4c231ff7b460</v>
      </c>
      <c r="AA42" s="98">
        <f>IFERROR(__xludf.DUMMYFUNCTION("""COMPUTED_VALUE"""),121.0)</f>
        <v>121</v>
      </c>
      <c r="AB42" s="98">
        <f>IFERROR(__xludf.DUMMYFUNCTION("""COMPUTED_VALUE"""),26.0)</f>
        <v>26</v>
      </c>
      <c r="AC42" s="98">
        <f>IFERROR(__xludf.DUMMYFUNCTION("""COMPUTED_VALUE"""),95.0)</f>
        <v>95</v>
      </c>
      <c r="AD42" s="98">
        <f>IFERROR(__xludf.DUMMYFUNCTION("""COMPUTED_VALUE"""),436005.0)</f>
        <v>436005</v>
      </c>
      <c r="AE42" s="98">
        <f>IFERROR(__xludf.DUMMYFUNCTION("""COMPUTED_VALUE"""),62844.0)</f>
        <v>62844</v>
      </c>
      <c r="AF42" s="98">
        <f>IFERROR(__xludf.DUMMYFUNCTION("""COMPUTED_VALUE"""),373161.0)</f>
        <v>373161</v>
      </c>
      <c r="AG42" s="208"/>
      <c r="AH42" s="208"/>
      <c r="AI42" s="208"/>
      <c r="AJ42" s="208"/>
      <c r="AK42" s="208"/>
    </row>
    <row r="43" hidden="1">
      <c r="A43" s="216">
        <f>IFERROR(__xludf.DUMMYFUNCTION("""COMPUTED_VALUE"""),46040.0)</f>
        <v>46040</v>
      </c>
      <c r="B43" s="217">
        <f>IFERROR(__xludf.DUMMYFUNCTION("""COMPUTED_VALUE"""),0.40625)</f>
        <v>0.40625</v>
      </c>
      <c r="C43" s="211" t="str">
        <f>IFERROR(__xludf.DUMMYFUNCTION("""COMPUTED_VALUE"""),"Sms")</f>
        <v>Sms</v>
      </c>
      <c r="D43" s="211" t="str">
        <f>IFERROR(__xludf.DUMMYFUNCTION("""COMPUTED_VALUE"""),"Promotional")</f>
        <v>Promotional</v>
      </c>
      <c r="E43" s="211" t="str">
        <f>IFERROR(__xludf.DUMMYFUNCTION("""COMPUTED_VALUE"""),"BBW")</f>
        <v>BBW</v>
      </c>
      <c r="F43" s="211" t="str">
        <f>IFERROR(__xludf.DUMMYFUNCTION("""COMPUTED_VALUE"""),"bc99918.1NS")</f>
        <v>bc99918.1NS</v>
      </c>
      <c r="G43" s="212" t="str">
        <f>IFERROR(__xludf.DUMMYFUNCTION("""COMPUTED_VALUE"""),"bbw_bc99918.1NS_rec")</f>
        <v>bbw_bc99918.1NS_rec</v>
      </c>
      <c r="H43" s="212" t="str">
        <f>IFERROR(__xludf.DUMMYFUNCTION("""COMPUTED_VALUE"""),"RecentShoppers_BC_Jan2026")</f>
        <v>RecentShoppers_BC_Jan2026</v>
      </c>
      <c r="I43" s="212" t="str">
        <f>IFERROR(__xludf.DUMMYFUNCTION("""COMPUTED_VALUE"""),"Customer who have bought Body care in the last 114 days")</f>
        <v>Customer who have bought Body care in the last 114 days</v>
      </c>
      <c r="J43" s="213">
        <f>IFERROR(__xludf.DUMMYFUNCTION("""COMPUTED_VALUE"""),101627.0)</f>
        <v>101627</v>
      </c>
      <c r="K43" s="213">
        <f>IFERROR(__xludf.DUMMYFUNCTION("""COMPUTED_VALUE"""),61387.0)</f>
        <v>61387</v>
      </c>
      <c r="L43" s="214">
        <f>IFERROR(__xludf.DUMMYFUNCTION("""COMPUTED_VALUE"""),0.604)</f>
        <v>0.604</v>
      </c>
      <c r="M43" s="213"/>
      <c r="N43" s="214"/>
      <c r="O43" s="213">
        <f>IFERROR(__xludf.DUMMYFUNCTION("""COMPUTED_VALUE"""),52.0)</f>
        <v>52</v>
      </c>
      <c r="P43" s="213"/>
      <c r="Q43" s="214">
        <f>IFERROR(__xludf.DUMMYFUNCTION("""COMPUTED_VALUE"""),8.0E-4)</f>
        <v>0.0008</v>
      </c>
      <c r="R43" s="214"/>
      <c r="S43" s="101">
        <f>IFERROR(__xludf.DUMMYFUNCTION("""COMPUTED_VALUE"""),5.0)</f>
        <v>5</v>
      </c>
      <c r="T43" s="101">
        <f>IFERROR(__xludf.DUMMYFUNCTION("""COMPUTED_VALUE"""),13.0)</f>
        <v>13</v>
      </c>
      <c r="U43" s="213">
        <f>IFERROR(__xludf.DUMMYFUNCTION("""COMPUTED_VALUE"""),10888.0)</f>
        <v>10888</v>
      </c>
      <c r="V43" s="271" t="str">
        <f>IFERROR(__xludf.DUMMYFUNCTION("""COMPUTED_VALUE"""),"overall")</f>
        <v>overall</v>
      </c>
      <c r="W43" s="98" t="str">
        <f>IFERROR(__xludf.DUMMYFUNCTION("""COMPUTED_VALUE"""),"SMS")</f>
        <v>SMS</v>
      </c>
      <c r="X43" s="98" t="str">
        <f>IFERROR(__xludf.DUMMYFUNCTION("""COMPUTED_VALUE"""),"Recent")</f>
        <v>Recent</v>
      </c>
      <c r="Y43" s="98" t="str">
        <f>IFERROR(__xludf.DUMMYFUNCTION("""COMPUTED_VALUE"""),"18th Jan - 19th Jan")</f>
        <v>18th Jan - 19th Jan</v>
      </c>
      <c r="Z43" s="98" t="str">
        <f>IFERROR(__xludf.DUMMYFUNCTION("""COMPUTED_VALUE"""),"696a2121c9d8385d2ecb6301")</f>
        <v>696a2121c9d8385d2ecb6301</v>
      </c>
      <c r="AA43" s="98">
        <f>IFERROR(__xludf.DUMMYFUNCTION("""COMPUTED_VALUE"""),74.0)</f>
        <v>74</v>
      </c>
      <c r="AB43" s="98">
        <f>IFERROR(__xludf.DUMMYFUNCTION("""COMPUTED_VALUE"""),15.0)</f>
        <v>15</v>
      </c>
      <c r="AC43" s="98">
        <f>IFERROR(__xludf.DUMMYFUNCTION("""COMPUTED_VALUE"""),59.0)</f>
        <v>59</v>
      </c>
      <c r="AD43" s="98">
        <f>IFERROR(__xludf.DUMMYFUNCTION("""COMPUTED_VALUE"""),192051.0)</f>
        <v>192051</v>
      </c>
      <c r="AE43" s="98">
        <f>IFERROR(__xludf.DUMMYFUNCTION("""COMPUTED_VALUE"""),27566.0)</f>
        <v>27566</v>
      </c>
      <c r="AF43" s="98">
        <f>IFERROR(__xludf.DUMMYFUNCTION("""COMPUTED_VALUE"""),164485.0)</f>
        <v>164485</v>
      </c>
      <c r="AG43" s="208"/>
      <c r="AH43" s="208"/>
      <c r="AI43" s="208"/>
      <c r="AJ43" s="208"/>
      <c r="AK43" s="208"/>
    </row>
    <row r="44" hidden="1">
      <c r="A44" s="245">
        <f>IFERROR(__xludf.DUMMYFUNCTION("""COMPUTED_VALUE"""),46040.0)</f>
        <v>46040</v>
      </c>
      <c r="B44" s="246">
        <f>IFERROR(__xludf.DUMMYFUNCTION("""COMPUTED_VALUE"""),0.40625)</f>
        <v>0.40625</v>
      </c>
      <c r="C44" s="221" t="str">
        <f>IFERROR(__xludf.DUMMYFUNCTION("""COMPUTED_VALUE"""),"Sms")</f>
        <v>Sms</v>
      </c>
      <c r="D44" s="221" t="str">
        <f>IFERROR(__xludf.DUMMYFUNCTION("""COMPUTED_VALUE"""),"Promotional")</f>
        <v>Promotional</v>
      </c>
      <c r="E44" s="221" t="str">
        <f>IFERROR(__xludf.DUMMYFUNCTION("""COMPUTED_VALUE"""),"BBW")</f>
        <v>BBW</v>
      </c>
      <c r="F44" s="222" t="str">
        <f>IFERROR(__xludf.DUMMYFUNCTION("""COMPUTED_VALUE"""),"bc99918.1NS")</f>
        <v>bc99918.1NS</v>
      </c>
      <c r="G44" s="221" t="str">
        <f>IFERROR(__xludf.DUMMYFUNCTION("""COMPUTED_VALUE"""),"bbw_bc99918.1NS_dorm")</f>
        <v>bbw_bc99918.1NS_dorm</v>
      </c>
      <c r="H44" s="269" t="str">
        <f>IFERROR(__xludf.DUMMYFUNCTION("""COMPUTED_VALUE"""),"Dormant_BC_Jan2026")</f>
        <v>Dormant_BC_Jan2026</v>
      </c>
      <c r="I44" s="223" t="str">
        <f>IFERROR(__xludf.DUMMYFUNCTION("""COMPUTED_VALUE"""),"Customers who have purchased from 1st Jan 2025 to 7th Jan 2026 with Cat L3 Body Care")</f>
        <v>Customers who have purchased from 1st Jan 2025 to 7th Jan 2026 with Cat L3 Body Care</v>
      </c>
      <c r="J44" s="213">
        <f>IFERROR(__xludf.DUMMYFUNCTION("""COMPUTED_VALUE"""),180489.0)</f>
        <v>180489</v>
      </c>
      <c r="K44" s="213">
        <f>IFERROR(__xludf.DUMMYFUNCTION("""COMPUTED_VALUE"""),108064.0)</f>
        <v>108064</v>
      </c>
      <c r="L44" s="214">
        <f>IFERROR(__xludf.DUMMYFUNCTION("""COMPUTED_VALUE"""),0.5987)</f>
        <v>0.5987</v>
      </c>
      <c r="M44" s="213"/>
      <c r="N44" s="214"/>
      <c r="O44" s="213">
        <f>IFERROR(__xludf.DUMMYFUNCTION("""COMPUTED_VALUE"""),90.0)</f>
        <v>90</v>
      </c>
      <c r="P44" s="213"/>
      <c r="Q44" s="214">
        <f>IFERROR(__xludf.DUMMYFUNCTION("""COMPUTED_VALUE"""),8.0E-4)</f>
        <v>0.0008</v>
      </c>
      <c r="R44" s="214"/>
      <c r="S44" s="101">
        <f>IFERROR(__xludf.DUMMYFUNCTION("""COMPUTED_VALUE"""),3.0)</f>
        <v>3</v>
      </c>
      <c r="T44" s="101">
        <f>IFERROR(__xludf.DUMMYFUNCTION("""COMPUTED_VALUE"""),9.0)</f>
        <v>9</v>
      </c>
      <c r="U44" s="213">
        <f>IFERROR(__xludf.DUMMYFUNCTION("""COMPUTED_VALUE"""),10274.0)</f>
        <v>10274</v>
      </c>
      <c r="V44" s="271" t="str">
        <f>IFERROR(__xludf.DUMMYFUNCTION("""COMPUTED_VALUE"""),"overall")</f>
        <v>overall</v>
      </c>
      <c r="W44" s="98" t="str">
        <f>IFERROR(__xludf.DUMMYFUNCTION("""COMPUTED_VALUE"""),"SMS")</f>
        <v>SMS</v>
      </c>
      <c r="X44" s="98" t="str">
        <f>IFERROR(__xludf.DUMMYFUNCTION("""COMPUTED_VALUE"""),"Dormant")</f>
        <v>Dormant</v>
      </c>
      <c r="Y44" s="98" t="str">
        <f>IFERROR(__xludf.DUMMYFUNCTION("""COMPUTED_VALUE"""),"18th Jan - 19th Jan")</f>
        <v>18th Jan - 19th Jan</v>
      </c>
      <c r="Z44" s="98" t="str">
        <f>IFERROR(__xludf.DUMMYFUNCTION("""COMPUTED_VALUE"""),"696a2137cb595ec935cec3b7")</f>
        <v>696a2137cb595ec935cec3b7</v>
      </c>
      <c r="AA44" s="98">
        <f>IFERROR(__xludf.DUMMYFUNCTION("""COMPUTED_VALUE"""),311.0)</f>
        <v>311</v>
      </c>
      <c r="AB44" s="98">
        <f>IFERROR(__xludf.DUMMYFUNCTION("""COMPUTED_VALUE"""),49.0)</f>
        <v>49</v>
      </c>
      <c r="AC44" s="98">
        <f>IFERROR(__xludf.DUMMYFUNCTION("""COMPUTED_VALUE"""),262.0)</f>
        <v>262</v>
      </c>
      <c r="AD44" s="98">
        <f>IFERROR(__xludf.DUMMYFUNCTION("""COMPUTED_VALUE"""),845513.0)</f>
        <v>845513</v>
      </c>
      <c r="AE44" s="98">
        <f>IFERROR(__xludf.DUMMYFUNCTION("""COMPUTED_VALUE"""),106505.0)</f>
        <v>106505</v>
      </c>
      <c r="AF44" s="98">
        <f>IFERROR(__xludf.DUMMYFUNCTION("""COMPUTED_VALUE"""),739008.0)</f>
        <v>739008</v>
      </c>
      <c r="AG44" s="208"/>
      <c r="AH44" s="208"/>
      <c r="AI44" s="208"/>
      <c r="AJ44" s="208"/>
      <c r="AK44" s="208"/>
    </row>
    <row r="45" hidden="1">
      <c r="A45" s="216">
        <f>IFERROR(__xludf.DUMMYFUNCTION("""COMPUTED_VALUE"""),46041.0)</f>
        <v>46041</v>
      </c>
      <c r="B45" s="210">
        <f>IFERROR(__xludf.DUMMYFUNCTION("""COMPUTED_VALUE"""),0.40625)</f>
        <v>0.40625</v>
      </c>
      <c r="C45" s="210" t="str">
        <f>IFERROR(__xludf.DUMMYFUNCTION("""COMPUTED_VALUE"""),"Sms")</f>
        <v>Sms</v>
      </c>
      <c r="D45" s="210" t="str">
        <f>IFERROR(__xludf.DUMMYFUNCTION("""COMPUTED_VALUE"""),"Promotional")</f>
        <v>Promotional</v>
      </c>
      <c r="E45" s="211" t="str">
        <f>IFERROR(__xludf.DUMMYFUNCTION("""COMPUTED_VALUE"""),"BBW")</f>
        <v>BBW</v>
      </c>
      <c r="F45" s="211" t="str">
        <f>IFERROR(__xludf.DUMMYFUNCTION("""COMPUTED_VALUE"""),"SAS")</f>
        <v>SAS</v>
      </c>
      <c r="G45" s="211" t="str">
        <f>IFERROR(__xludf.DUMMYFUNCTION("""COMPUTED_VALUE"""),"bbw_saslastcall_19.1_eventbuy")</f>
        <v>bbw_saslastcall_19.1_eventbuy</v>
      </c>
      <c r="H45" s="211" t="str">
        <f>IFERROR(__xludf.DUMMYFUNCTION("""COMPUTED_VALUE"""),"bbw_onoff_SAS_LC_eventbuyers_16thJan26 OR AGIPL_Internal OR BBW_Internal")</f>
        <v>bbw_onoff_SAS_LC_eventbuyers_16thJan26 OR AGIPL_Internal OR BBW_Internal</v>
      </c>
      <c r="I45" s="223" t="str">
        <f>IFERROR(__xludf.DUMMYFUNCTION("""COMPUTED_VALUE"""),"Customers who have purchased between 7th Nov 23 to 11th Nov 23, 23rd Nov 23 to 27th Nov 23,  7th Nov 24 to  11th Nov 24,  26th Nov 24 to 2nd Dec 24, 23rd May 25 to 25th May 25, 5th June 25 to 8th June 25, 5th Jul 25 to 7th Jul 25, 14th Aug 25 to 17th Aug "&amp;"25,  27th Aug 25 to 28th Aug 25, 7th Nov 25 to 11th Nov 25, 12th June 2025 to 20th July 2025, 18th Dec 2024 to 27th Jan 2025")</f>
        <v>Customers who have purchased between 7th Nov 23 to 11th Nov 23, 23rd Nov 23 to 27th Nov 23,  7th Nov 24 to  11th Nov 24,  26th Nov 24 to 2nd Dec 24, 23rd May 25 to 25th May 25, 5th June 25 to 8th June 25, 5th Jul 25 to 7th Jul 25, 14th Aug 25 to 17th Aug 25,  27th Aug 25 to 28th Aug 25, 7th Nov 25 to 11th Nov 25, 12th June 2025 to 20th July 2025, 18th Dec 2024 to 27th Jan 2025</v>
      </c>
      <c r="J45" s="213">
        <f>IFERROR(__xludf.DUMMYFUNCTION("""COMPUTED_VALUE"""),288054.0)</f>
        <v>288054</v>
      </c>
      <c r="K45" s="213">
        <f>IFERROR(__xludf.DUMMYFUNCTION("""COMPUTED_VALUE"""),170685.0)</f>
        <v>170685</v>
      </c>
      <c r="L45" s="214">
        <f>IFERROR(__xludf.DUMMYFUNCTION("""COMPUTED_VALUE"""),0.5925)</f>
        <v>0.5925</v>
      </c>
      <c r="M45" s="213"/>
      <c r="N45" s="214"/>
      <c r="O45" s="213">
        <f>IFERROR(__xludf.DUMMYFUNCTION("""COMPUTED_VALUE"""),733.0)</f>
        <v>733</v>
      </c>
      <c r="P45" s="213"/>
      <c r="Q45" s="214">
        <f>IFERROR(__xludf.DUMMYFUNCTION("""COMPUTED_VALUE"""),0.0043)</f>
        <v>0.0043</v>
      </c>
      <c r="R45" s="214"/>
      <c r="S45" s="101">
        <f>IFERROR(__xludf.DUMMYFUNCTION("""COMPUTED_VALUE"""),12.0)</f>
        <v>12</v>
      </c>
      <c r="T45" s="101">
        <f>IFERROR(__xludf.DUMMYFUNCTION("""COMPUTED_VALUE"""),31.0)</f>
        <v>31</v>
      </c>
      <c r="U45" s="213">
        <f>IFERROR(__xludf.DUMMYFUNCTION("""COMPUTED_VALUE"""),37188.0)</f>
        <v>37188</v>
      </c>
      <c r="V45" s="271" t="str">
        <f>IFERROR(__xludf.DUMMYFUNCTION("""COMPUTED_VALUE"""),"overall")</f>
        <v>overall</v>
      </c>
      <c r="W45" s="98" t="str">
        <f>IFERROR(__xludf.DUMMYFUNCTION("""COMPUTED_VALUE"""),"SMS")</f>
        <v>SMS</v>
      </c>
      <c r="X45" s="98" t="str">
        <f>IFERROR(__xludf.DUMMYFUNCTION("""COMPUTED_VALUE"""),"Event Buyers")</f>
        <v>Event Buyers</v>
      </c>
      <c r="Y45" s="98" t="str">
        <f>IFERROR(__xludf.DUMMYFUNCTION("""COMPUTED_VALUE"""),"19th Jan (1 day only)")</f>
        <v>19th Jan (1 day only)</v>
      </c>
      <c r="Z45" s="98" t="str">
        <f>IFERROR(__xludf.DUMMYFUNCTION("""COMPUTED_VALUE"""),"696a38e209d18fa0d3afd898")</f>
        <v>696a38e209d18fa0d3afd898</v>
      </c>
      <c r="AA45" s="98">
        <f>IFERROR(__xludf.DUMMYFUNCTION("""COMPUTED_VALUE"""),179.0)</f>
        <v>179</v>
      </c>
      <c r="AB45" s="98">
        <f>IFERROR(__xludf.DUMMYFUNCTION("""COMPUTED_VALUE"""),55.0)</f>
        <v>55</v>
      </c>
      <c r="AC45" s="98">
        <f>IFERROR(__xludf.DUMMYFUNCTION("""COMPUTED_VALUE"""),124.0)</f>
        <v>124</v>
      </c>
      <c r="AD45" s="98">
        <f>IFERROR(__xludf.DUMMYFUNCTION("""COMPUTED_VALUE"""),455365.0)</f>
        <v>455365</v>
      </c>
      <c r="AE45" s="98">
        <f>IFERROR(__xludf.DUMMYFUNCTION("""COMPUTED_VALUE"""),146832.0)</f>
        <v>146832</v>
      </c>
      <c r="AF45" s="98">
        <f>IFERROR(__xludf.DUMMYFUNCTION("""COMPUTED_VALUE"""),308533.0)</f>
        <v>308533</v>
      </c>
      <c r="AG45" s="208"/>
      <c r="AH45" s="208"/>
      <c r="AI45" s="208"/>
      <c r="AJ45" s="208"/>
      <c r="AK45" s="208"/>
    </row>
    <row r="46" hidden="1">
      <c r="A46" s="245">
        <f>IFERROR(__xludf.DUMMYFUNCTION("""COMPUTED_VALUE"""),46041.0)</f>
        <v>46041</v>
      </c>
      <c r="B46" s="246">
        <f>IFERROR(__xludf.DUMMYFUNCTION("""COMPUTED_VALUE"""),0.40625)</f>
        <v>0.40625</v>
      </c>
      <c r="C46" s="221" t="str">
        <f>IFERROR(__xludf.DUMMYFUNCTION("""COMPUTED_VALUE"""),"Sms")</f>
        <v>Sms</v>
      </c>
      <c r="D46" s="221" t="str">
        <f>IFERROR(__xludf.DUMMYFUNCTION("""COMPUTED_VALUE"""),"Promotional")</f>
        <v>Promotional</v>
      </c>
      <c r="E46" s="221" t="str">
        <f>IFERROR(__xludf.DUMMYFUNCTION("""COMPUTED_VALUE"""),"BBW")</f>
        <v>BBW</v>
      </c>
      <c r="F46" s="221" t="str">
        <f>IFERROR(__xludf.DUMMYFUNCTION("""COMPUTED_VALUE"""),"SAS")</f>
        <v>SAS</v>
      </c>
      <c r="G46" s="221" t="str">
        <f>IFERROR(__xludf.DUMMYFUNCTION("""COMPUTED_VALUE"""),"bbw_saslastcall_19.1_new")</f>
        <v>bbw_saslastcall_19.1_new</v>
      </c>
      <c r="H46" s="269" t="str">
        <f>IFERROR(__xludf.DUMMYFUNCTION("""COMPUTED_VALUE"""),"bbw_onoff_SAS_LC_new_16thJan26")</f>
        <v>bbw_onoff_SAS_LC_new_16thJan26</v>
      </c>
      <c r="I46" s="223" t="str">
        <f>IFERROR(__xludf.DUMMYFUNCTION("""COMPUTED_VALUE"""),"Customers who have shopped exactly 1 time AND Exclude the event buyers segment")</f>
        <v>Customers who have shopped exactly 1 time AND Exclude the event buyers segment</v>
      </c>
      <c r="J46" s="224">
        <f>IFERROR(__xludf.DUMMYFUNCTION("""COMPUTED_VALUE"""),467346.0)</f>
        <v>467346</v>
      </c>
      <c r="K46" s="224">
        <f>IFERROR(__xludf.DUMMYFUNCTION("""COMPUTED_VALUE"""),286861.0)</f>
        <v>286861</v>
      </c>
      <c r="L46" s="225">
        <f>IFERROR(__xludf.DUMMYFUNCTION("""COMPUTED_VALUE"""),0.6138)</f>
        <v>0.6138</v>
      </c>
      <c r="M46" s="224"/>
      <c r="N46" s="225"/>
      <c r="O46" s="224">
        <f>IFERROR(__xludf.DUMMYFUNCTION("""COMPUTED_VALUE"""),1225.0)</f>
        <v>1225</v>
      </c>
      <c r="P46" s="224"/>
      <c r="Q46" s="225">
        <f>IFERROR(__xludf.DUMMYFUNCTION("""COMPUTED_VALUE"""),0.0043)</f>
        <v>0.0043</v>
      </c>
      <c r="R46" s="225"/>
      <c r="S46" s="226">
        <f>IFERROR(__xludf.DUMMYFUNCTION("""COMPUTED_VALUE"""),4.0)</f>
        <v>4</v>
      </c>
      <c r="T46" s="226">
        <f>IFERROR(__xludf.DUMMYFUNCTION("""COMPUTED_VALUE"""),23.0)</f>
        <v>23</v>
      </c>
      <c r="U46" s="224">
        <f>IFERROR(__xludf.DUMMYFUNCTION("""COMPUTED_VALUE"""),9049.0)</f>
        <v>9049</v>
      </c>
      <c r="V46" s="280" t="str">
        <f>IFERROR(__xludf.DUMMYFUNCTION("""COMPUTED_VALUE"""),"overall")</f>
        <v>overall</v>
      </c>
      <c r="W46" s="229" t="str">
        <f>IFERROR(__xludf.DUMMYFUNCTION("""COMPUTED_VALUE"""),"SMS")</f>
        <v>SMS</v>
      </c>
      <c r="X46" s="229" t="str">
        <f>IFERROR(__xludf.DUMMYFUNCTION("""COMPUTED_VALUE"""),"New")</f>
        <v>New</v>
      </c>
      <c r="Y46" s="229" t="str">
        <f>IFERROR(__xludf.DUMMYFUNCTION("""COMPUTED_VALUE"""),"19th Jan (1 day only)")</f>
        <v>19th Jan (1 day only)</v>
      </c>
      <c r="Z46" s="229" t="str">
        <f>IFERROR(__xludf.DUMMYFUNCTION("""COMPUTED_VALUE"""),"696a39349bee359e16f8ef06")</f>
        <v>696a39349bee359e16f8ef06</v>
      </c>
      <c r="AA46" s="229">
        <f>IFERROR(__xludf.DUMMYFUNCTION("""COMPUTED_VALUE"""),109.0)</f>
        <v>109</v>
      </c>
      <c r="AB46" s="229">
        <f>IFERROR(__xludf.DUMMYFUNCTION("""COMPUTED_VALUE"""),35.0)</f>
        <v>35</v>
      </c>
      <c r="AC46" s="229">
        <f>IFERROR(__xludf.DUMMYFUNCTION("""COMPUTED_VALUE"""),74.0)</f>
        <v>74</v>
      </c>
      <c r="AD46" s="229">
        <f>IFERROR(__xludf.DUMMYFUNCTION("""COMPUTED_VALUE"""),328207.0)</f>
        <v>328207</v>
      </c>
      <c r="AE46" s="229">
        <f>IFERROR(__xludf.DUMMYFUNCTION("""COMPUTED_VALUE"""),68465.0)</f>
        <v>68465</v>
      </c>
      <c r="AF46" s="229">
        <f>IFERROR(__xludf.DUMMYFUNCTION("""COMPUTED_VALUE"""),259742.0)</f>
        <v>259742</v>
      </c>
      <c r="AG46" s="208"/>
      <c r="AH46" s="208"/>
      <c r="AI46" s="208"/>
      <c r="AJ46" s="208"/>
      <c r="AK46" s="208"/>
    </row>
    <row r="47" hidden="1">
      <c r="A47" s="245">
        <f>IFERROR(__xludf.DUMMYFUNCTION("""COMPUTED_VALUE"""),46041.0)</f>
        <v>46041</v>
      </c>
      <c r="B47" s="246">
        <f>IFERROR(__xludf.DUMMYFUNCTION("""COMPUTED_VALUE"""),0.40625)</f>
        <v>0.40625</v>
      </c>
      <c r="C47" s="221" t="str">
        <f>IFERROR(__xludf.DUMMYFUNCTION("""COMPUTED_VALUE"""),"Sms")</f>
        <v>Sms</v>
      </c>
      <c r="D47" s="221" t="str">
        <f>IFERROR(__xludf.DUMMYFUNCTION("""COMPUTED_VALUE"""),"Promotional")</f>
        <v>Promotional</v>
      </c>
      <c r="E47" s="221" t="str">
        <f>IFERROR(__xludf.DUMMYFUNCTION("""COMPUTED_VALUE"""),"BBW")</f>
        <v>BBW</v>
      </c>
      <c r="F47" s="222" t="str">
        <f>IFERROR(__xludf.DUMMYFUNCTION("""COMPUTED_VALUE"""),"SAS")</f>
        <v>SAS</v>
      </c>
      <c r="G47" s="221" t="str">
        <f>IFERROR(__xludf.DUMMYFUNCTION("""COMPUTED_VALUE"""),"bbw_saslastcall_19.1_repeat")</f>
        <v>bbw_saslastcall_19.1_repeat</v>
      </c>
      <c r="H47" s="269" t="str">
        <f>IFERROR(__xludf.DUMMYFUNCTION("""COMPUTED_VALUE"""),"bbw_onoff_SAS_LC_repeat_16thJan26")</f>
        <v>bbw_onoff_SAS_LC_repeat_16thJan26</v>
      </c>
      <c r="I47" s="223" t="str">
        <f>IFERROR(__xludf.DUMMYFUNCTION("""COMPUTED_VALUE"""),"Customers who have shopped atlteast 2 times and Exclude the event buyers segment")</f>
        <v>Customers who have shopped atlteast 2 times and Exclude the event buyers segment</v>
      </c>
      <c r="J47" s="213">
        <f>IFERROR(__xludf.DUMMYFUNCTION("""COMPUTED_VALUE"""),140041.0)</f>
        <v>140041</v>
      </c>
      <c r="K47" s="213">
        <f>IFERROR(__xludf.DUMMYFUNCTION("""COMPUTED_VALUE"""),81517.0)</f>
        <v>81517</v>
      </c>
      <c r="L47" s="214">
        <f>IFERROR(__xludf.DUMMYFUNCTION("""COMPUTED_VALUE"""),0.5821)</f>
        <v>0.5821</v>
      </c>
      <c r="M47" s="213"/>
      <c r="N47" s="214"/>
      <c r="O47" s="213">
        <f>IFERROR(__xludf.DUMMYFUNCTION("""COMPUTED_VALUE"""),379.0)</f>
        <v>379</v>
      </c>
      <c r="P47" s="213"/>
      <c r="Q47" s="214">
        <f>IFERROR(__xludf.DUMMYFUNCTION("""COMPUTED_VALUE"""),0.0046)</f>
        <v>0.0046</v>
      </c>
      <c r="R47" s="214"/>
      <c r="S47" s="101">
        <f>IFERROR(__xludf.DUMMYFUNCTION("""COMPUTED_VALUE"""),4.0)</f>
        <v>4</v>
      </c>
      <c r="T47" s="101">
        <f>IFERROR(__xludf.DUMMYFUNCTION("""COMPUTED_VALUE"""),14.0)</f>
        <v>14</v>
      </c>
      <c r="U47" s="213">
        <f>IFERROR(__xludf.DUMMYFUNCTION("""COMPUTED_VALUE"""),11653.0)</f>
        <v>11653</v>
      </c>
      <c r="V47" s="271" t="str">
        <f>IFERROR(__xludf.DUMMYFUNCTION("""COMPUTED_VALUE"""),"overall")</f>
        <v>overall</v>
      </c>
      <c r="W47" s="98" t="str">
        <f>IFERROR(__xludf.DUMMYFUNCTION("""COMPUTED_VALUE"""),"SMS")</f>
        <v>SMS</v>
      </c>
      <c r="X47" s="98" t="str">
        <f>IFERROR(__xludf.DUMMYFUNCTION("""COMPUTED_VALUE"""),"Repeat")</f>
        <v>Repeat</v>
      </c>
      <c r="Y47" s="98" t="str">
        <f>IFERROR(__xludf.DUMMYFUNCTION("""COMPUTED_VALUE"""),"19th Jan (1 day only)")</f>
        <v>19th Jan (1 day only)</v>
      </c>
      <c r="Z47" s="98" t="str">
        <f>IFERROR(__xludf.DUMMYFUNCTION("""COMPUTED_VALUE"""),"696a39c4e5e2cc58bf2bfce7")</f>
        <v>696a39c4e5e2cc58bf2bfce7</v>
      </c>
      <c r="AA47" s="98">
        <f>IFERROR(__xludf.DUMMYFUNCTION("""COMPUTED_VALUE"""),76.0)</f>
        <v>76</v>
      </c>
      <c r="AB47" s="98">
        <f>IFERROR(__xludf.DUMMYFUNCTION("""COMPUTED_VALUE"""),22.0)</f>
        <v>22</v>
      </c>
      <c r="AC47" s="98">
        <f>IFERROR(__xludf.DUMMYFUNCTION("""COMPUTED_VALUE"""),54.0)</f>
        <v>54</v>
      </c>
      <c r="AD47" s="98">
        <f>IFERROR(__xludf.DUMMYFUNCTION("""COMPUTED_VALUE"""),247934.0)</f>
        <v>247934</v>
      </c>
      <c r="AE47" s="98">
        <f>IFERROR(__xludf.DUMMYFUNCTION("""COMPUTED_VALUE"""),48943.0)</f>
        <v>48943</v>
      </c>
      <c r="AF47" s="98">
        <f>IFERROR(__xludf.DUMMYFUNCTION("""COMPUTED_VALUE"""),198991.0)</f>
        <v>198991</v>
      </c>
      <c r="AG47" s="208"/>
      <c r="AH47" s="208"/>
      <c r="AI47" s="208"/>
      <c r="AJ47" s="208"/>
      <c r="AK47" s="208"/>
    </row>
    <row r="48" hidden="1">
      <c r="A48" s="245">
        <f>IFERROR(__xludf.DUMMYFUNCTION("""COMPUTED_VALUE"""),46042.0)</f>
        <v>46042</v>
      </c>
      <c r="B48" s="246">
        <f>IFERROR(__xludf.DUMMYFUNCTION("""COMPUTED_VALUE"""),0.8229166666678793)</f>
        <v>0.8229166667</v>
      </c>
      <c r="C48" s="221" t="str">
        <f>IFERROR(__xludf.DUMMYFUNCTION("""COMPUTED_VALUE"""),"Sms")</f>
        <v>Sms</v>
      </c>
      <c r="D48" s="221" t="str">
        <f>IFERROR(__xludf.DUMMYFUNCTION("""COMPUTED_VALUE"""),"Promotional")</f>
        <v>Promotional</v>
      </c>
      <c r="E48" s="221" t="str">
        <f>IFERROR(__xludf.DUMMYFUNCTION("""COMPUTED_VALUE"""),"BBW")</f>
        <v>BBW</v>
      </c>
      <c r="F48" s="222" t="str">
        <f>IFERROR(__xludf.DUMMYFUNCTION("""COMPUTED_VALUE"""),"FSMini&amp;HS")</f>
        <v>FSMini&amp;HS</v>
      </c>
      <c r="G48" s="221" t="str">
        <f>IFERROR(__xludf.DUMMYFUNCTION("""COMPUTED_VALUE"""),"bbw_FSMini&amp;HS20.1_eventbuy")</f>
        <v>bbw_FSMini&amp;HS20.1_eventbuy</v>
      </c>
      <c r="H48" s="269" t="str">
        <f>IFERROR(__xludf.DUMMYFUNCTION("""COMPUTED_VALUE"""),"TSLS_EventBuyers_ONOFF")</f>
        <v>TSLS_EventBuyers_ONOFF</v>
      </c>
      <c r="I48" s="223" t="str">
        <f>IFERROR(__xludf.DUMMYFUNCTION("""COMPUTED_VALUE"""),"Customers who have purchased in Travel Size and Liquid Soap events in 2025 both online and offline")</f>
        <v>Customers who have purchased in Travel Size and Liquid Soap events in 2025 both online and offline</v>
      </c>
      <c r="J48" s="213">
        <f>IFERROR(__xludf.DUMMYFUNCTION("""COMPUTED_VALUE"""),17334.0)</f>
        <v>17334</v>
      </c>
      <c r="K48" s="213">
        <f>IFERROR(__xludf.DUMMYFUNCTION("""COMPUTED_VALUE"""),9349.0)</f>
        <v>9349</v>
      </c>
      <c r="L48" s="214">
        <f>IFERROR(__xludf.DUMMYFUNCTION("""COMPUTED_VALUE"""),0.539)</f>
        <v>0.539</v>
      </c>
      <c r="M48" s="213"/>
      <c r="N48" s="214"/>
      <c r="O48" s="213">
        <f>IFERROR(__xludf.DUMMYFUNCTION("""COMPUTED_VALUE"""),32.0)</f>
        <v>32</v>
      </c>
      <c r="P48" s="213"/>
      <c r="Q48" s="214">
        <f>IFERROR(__xludf.DUMMYFUNCTION("""COMPUTED_VALUE"""),0.003)</f>
        <v>0.003</v>
      </c>
      <c r="R48" s="214"/>
      <c r="S48" s="101"/>
      <c r="T48" s="101">
        <f>IFERROR(__xludf.DUMMYFUNCTION("""COMPUTED_VALUE"""),2.0)</f>
        <v>2</v>
      </c>
      <c r="U48" s="213"/>
      <c r="V48" s="271" t="str">
        <f>IFERROR(__xludf.DUMMYFUNCTION("""COMPUTED_VALUE"""),"overall")</f>
        <v>overall</v>
      </c>
      <c r="W48" s="98" t="str">
        <f>IFERROR(__xludf.DUMMYFUNCTION("""COMPUTED_VALUE"""),"SMS")</f>
        <v>SMS</v>
      </c>
      <c r="X48" s="98" t="str">
        <f>IFERROR(__xludf.DUMMYFUNCTION("""COMPUTED_VALUE"""),"Event Buyers")</f>
        <v>Event Buyers</v>
      </c>
      <c r="Y48" s="98" t="str">
        <f>IFERROR(__xludf.DUMMYFUNCTION("""COMPUTED_VALUE"""),"20th Jan to 21st Jan")</f>
        <v>20th Jan to 21st Jan</v>
      </c>
      <c r="Z48" s="98" t="str">
        <f>IFERROR(__xludf.DUMMYFUNCTION("""COMPUTED_VALUE"""),"696f60541b2d4ad04433253f")</f>
        <v>696f60541b2d4ad04433253f</v>
      </c>
      <c r="AA48" s="98">
        <f>IFERROR(__xludf.DUMMYFUNCTION("""COMPUTED_VALUE"""),7.0)</f>
        <v>7</v>
      </c>
      <c r="AB48" s="98">
        <f>IFERROR(__xludf.DUMMYFUNCTION("""COMPUTED_VALUE"""),7.0)</f>
        <v>7</v>
      </c>
      <c r="AC48" s="98"/>
      <c r="AD48" s="98">
        <f>IFERROR(__xludf.DUMMYFUNCTION("""COMPUTED_VALUE"""),13064.0)</f>
        <v>13064</v>
      </c>
      <c r="AE48" s="98">
        <f>IFERROR(__xludf.DUMMYFUNCTION("""COMPUTED_VALUE"""),13064.0)</f>
        <v>13064</v>
      </c>
      <c r="AF48" s="98"/>
      <c r="AG48" s="208"/>
      <c r="AH48" s="208"/>
      <c r="AI48" s="208"/>
      <c r="AJ48" s="208"/>
      <c r="AK48" s="208"/>
    </row>
    <row r="49" hidden="1">
      <c r="A49" s="245">
        <f>IFERROR(__xludf.DUMMYFUNCTION("""COMPUTED_VALUE"""),46042.0)</f>
        <v>46042</v>
      </c>
      <c r="B49" s="246">
        <f>IFERROR(__xludf.DUMMYFUNCTION("""COMPUTED_VALUE"""),0.8229166666678793)</f>
        <v>0.8229166667</v>
      </c>
      <c r="C49" s="221" t="str">
        <f>IFERROR(__xludf.DUMMYFUNCTION("""COMPUTED_VALUE"""),"Sms")</f>
        <v>Sms</v>
      </c>
      <c r="D49" s="221" t="str">
        <f>IFERROR(__xludf.DUMMYFUNCTION("""COMPUTED_VALUE"""),"Promotional")</f>
        <v>Promotional</v>
      </c>
      <c r="E49" s="221" t="str">
        <f>IFERROR(__xludf.DUMMYFUNCTION("""COMPUTED_VALUE"""),"BBW")</f>
        <v>BBW</v>
      </c>
      <c r="F49" s="222" t="str">
        <f>IFERROR(__xludf.DUMMYFUNCTION("""COMPUTED_VALUE"""),"FSMini&amp;HS")</f>
        <v>FSMini&amp;HS</v>
      </c>
      <c r="G49" s="221" t="str">
        <f>IFERROR(__xludf.DUMMYFUNCTION("""COMPUTED_VALUE"""),"bbw_FSMini&amp;HS20.1_loyal")</f>
        <v>bbw_FSMini&amp;HS20.1_loyal</v>
      </c>
      <c r="H49" s="269" t="str">
        <f>IFERROR(__xludf.DUMMYFUNCTION("""COMPUTED_VALUE""")," TSLS_Loyal_ON")</f>
        <v> TSLS_Loyal_ON</v>
      </c>
      <c r="I49" s="223" t="str">
        <f>IFERROR(__xludf.DUMMYFUNCTION("""COMPUTED_VALUE"""),"Customer who have purchased atleast twice Travel size or Liquid Soap both online exclusive")</f>
        <v>Customer who have purchased atleast twice Travel size or Liquid Soap both online exclusive</v>
      </c>
      <c r="J49" s="213">
        <f>IFERROR(__xludf.DUMMYFUNCTION("""COMPUTED_VALUE"""),15709.0)</f>
        <v>15709</v>
      </c>
      <c r="K49" s="213">
        <f>IFERROR(__xludf.DUMMYFUNCTION("""COMPUTED_VALUE"""),7145.0)</f>
        <v>7145</v>
      </c>
      <c r="L49" s="214">
        <f>IFERROR(__xludf.DUMMYFUNCTION("""COMPUTED_VALUE"""),0.455)</f>
        <v>0.455</v>
      </c>
      <c r="M49" s="213"/>
      <c r="N49" s="214"/>
      <c r="O49" s="213">
        <f>IFERROR(__xludf.DUMMYFUNCTION("""COMPUTED_VALUE"""),52.0)</f>
        <v>52</v>
      </c>
      <c r="P49" s="213"/>
      <c r="Q49" s="214">
        <f>IFERROR(__xludf.DUMMYFUNCTION("""COMPUTED_VALUE"""),0.007)</f>
        <v>0.007</v>
      </c>
      <c r="R49" s="214"/>
      <c r="S49" s="101">
        <f>IFERROR(__xludf.DUMMYFUNCTION("""COMPUTED_VALUE"""),6.0)</f>
        <v>6</v>
      </c>
      <c r="T49" s="101">
        <f>IFERROR(__xludf.DUMMYFUNCTION("""COMPUTED_VALUE"""),11.0)</f>
        <v>11</v>
      </c>
      <c r="U49" s="213">
        <f>IFERROR(__xludf.DUMMYFUNCTION("""COMPUTED_VALUE"""),15345.0)</f>
        <v>15345</v>
      </c>
      <c r="V49" s="271" t="str">
        <f>IFERROR(__xludf.DUMMYFUNCTION("""COMPUTED_VALUE"""),"online")</f>
        <v>online</v>
      </c>
      <c r="W49" s="98" t="str">
        <f>IFERROR(__xludf.DUMMYFUNCTION("""COMPUTED_VALUE"""),"SMS")</f>
        <v>SMS</v>
      </c>
      <c r="X49" s="98" t="str">
        <f>IFERROR(__xludf.DUMMYFUNCTION("""COMPUTED_VALUE"""),"Loyal")</f>
        <v>Loyal</v>
      </c>
      <c r="Y49" s="98" t="str">
        <f>IFERROR(__xludf.DUMMYFUNCTION("""COMPUTED_VALUE"""),"20th Jan to 21st Jan")</f>
        <v>20th Jan to 21st Jan</v>
      </c>
      <c r="Z49" s="98" t="str">
        <f>IFERROR(__xludf.DUMMYFUNCTION("""COMPUTED_VALUE"""),"696f606357d39274202f352c")</f>
        <v>696f606357d39274202f352c</v>
      </c>
      <c r="AA49" s="98">
        <f>IFERROR(__xludf.DUMMYFUNCTION("""COMPUTED_VALUE"""),20.0)</f>
        <v>20</v>
      </c>
      <c r="AB49" s="98">
        <f>IFERROR(__xludf.DUMMYFUNCTION("""COMPUTED_VALUE"""),20.0)</f>
        <v>20</v>
      </c>
      <c r="AC49" s="98"/>
      <c r="AD49" s="98">
        <f>IFERROR(__xludf.DUMMYFUNCTION("""COMPUTED_VALUE"""),40780.0)</f>
        <v>40780</v>
      </c>
      <c r="AE49" s="98">
        <f>IFERROR(__xludf.DUMMYFUNCTION("""COMPUTED_VALUE"""),40780.0)</f>
        <v>40780</v>
      </c>
      <c r="AF49" s="98"/>
      <c r="AG49" s="208"/>
      <c r="AH49" s="208"/>
      <c r="AI49" s="208"/>
      <c r="AJ49" s="208"/>
      <c r="AK49" s="208"/>
    </row>
    <row r="50" hidden="1">
      <c r="A50" s="216">
        <f>IFERROR(__xludf.DUMMYFUNCTION("""COMPUTED_VALUE"""),46042.0)</f>
        <v>46042</v>
      </c>
      <c r="B50" s="210">
        <f>IFERROR(__xludf.DUMMYFUNCTION("""COMPUTED_VALUE"""),0.8229166666678793)</f>
        <v>0.8229166667</v>
      </c>
      <c r="C50" s="210" t="str">
        <f>IFERROR(__xludf.DUMMYFUNCTION("""COMPUTED_VALUE"""),"Sms")</f>
        <v>Sms</v>
      </c>
      <c r="D50" s="210" t="str">
        <f>IFERROR(__xludf.DUMMYFUNCTION("""COMPUTED_VALUE"""),"Promotional")</f>
        <v>Promotional</v>
      </c>
      <c r="E50" s="211" t="str">
        <f>IFERROR(__xludf.DUMMYFUNCTION("""COMPUTED_VALUE"""),"BBW")</f>
        <v>BBW</v>
      </c>
      <c r="F50" s="211" t="str">
        <f>IFERROR(__xludf.DUMMYFUNCTION("""COMPUTED_VALUE"""),"FSMini&amp;HS")</f>
        <v>FSMini&amp;HS</v>
      </c>
      <c r="G50" s="211" t="str">
        <f>IFERROR(__xludf.DUMMYFUNCTION("""COMPUTED_VALUE"""),"bbw_FSMini&amp;HS20.1_gen")</f>
        <v>bbw_FSMini&amp;HS20.1_gen</v>
      </c>
      <c r="H50" s="211" t="str">
        <f>IFERROR(__xludf.DUMMYFUNCTION("""COMPUTED_VALUE"""),"TSLS_RestBase_ON")</f>
        <v>TSLS_RestBase_ON</v>
      </c>
      <c r="I50" s="223" t="str">
        <f>IFERROR(__xludf.DUMMYFUNCTION("""COMPUTED_VALUE"""),"Customer who have purchased Travel Size or Liquid Soap atleast one time and online exclusive")</f>
        <v>Customer who have purchased Travel Size or Liquid Soap atleast one time and online exclusive</v>
      </c>
      <c r="J50" s="213">
        <f>IFERROR(__xludf.DUMMYFUNCTION("""COMPUTED_VALUE"""),66849.0)</f>
        <v>66849</v>
      </c>
      <c r="K50" s="213">
        <f>IFERROR(__xludf.DUMMYFUNCTION("""COMPUTED_VALUE"""),39441.0)</f>
        <v>39441</v>
      </c>
      <c r="L50" s="214">
        <f>IFERROR(__xludf.DUMMYFUNCTION("""COMPUTED_VALUE"""),0.59)</f>
        <v>0.59</v>
      </c>
      <c r="M50" s="213"/>
      <c r="N50" s="214"/>
      <c r="O50" s="213">
        <f>IFERROR(__xludf.DUMMYFUNCTION("""COMPUTED_VALUE"""),78.0)</f>
        <v>78</v>
      </c>
      <c r="P50" s="213"/>
      <c r="Q50" s="214">
        <f>IFERROR(__xludf.DUMMYFUNCTION("""COMPUTED_VALUE"""),0.002)</f>
        <v>0.002</v>
      </c>
      <c r="R50" s="214"/>
      <c r="S50" s="101">
        <f>IFERROR(__xludf.DUMMYFUNCTION("""COMPUTED_VALUE"""),6.0)</f>
        <v>6</v>
      </c>
      <c r="T50" s="101">
        <f>IFERROR(__xludf.DUMMYFUNCTION("""COMPUTED_VALUE"""),16.0)</f>
        <v>16</v>
      </c>
      <c r="U50" s="213">
        <f>IFERROR(__xludf.DUMMYFUNCTION("""COMPUTED_VALUE"""),20034.0)</f>
        <v>20034</v>
      </c>
      <c r="V50" s="271" t="str">
        <f>IFERROR(__xludf.DUMMYFUNCTION("""COMPUTED_VALUE"""),"online")</f>
        <v>online</v>
      </c>
      <c r="W50" s="98" t="str">
        <f>IFERROR(__xludf.DUMMYFUNCTION("""COMPUTED_VALUE"""),"SMS")</f>
        <v>SMS</v>
      </c>
      <c r="X50" s="98" t="str">
        <f>IFERROR(__xludf.DUMMYFUNCTION("""COMPUTED_VALUE"""),"Gender")</f>
        <v>Gender</v>
      </c>
      <c r="Y50" s="98" t="str">
        <f>IFERROR(__xludf.DUMMYFUNCTION("""COMPUTED_VALUE"""),"20th Jan to 21st Jan")</f>
        <v>20th Jan to 21st Jan</v>
      </c>
      <c r="Z50" s="98" t="str">
        <f>IFERROR(__xludf.DUMMYFUNCTION("""COMPUTED_VALUE"""),"696f606def5a3f977d2d36e6")</f>
        <v>696f606def5a3f977d2d36e6</v>
      </c>
      <c r="AA50" s="98">
        <f>IFERROR(__xludf.DUMMYFUNCTION("""COMPUTED_VALUE"""),29.0)</f>
        <v>29</v>
      </c>
      <c r="AB50" s="98">
        <f>IFERROR(__xludf.DUMMYFUNCTION("""COMPUTED_VALUE"""),29.0)</f>
        <v>29</v>
      </c>
      <c r="AC50" s="98"/>
      <c r="AD50" s="98">
        <f>IFERROR(__xludf.DUMMYFUNCTION("""COMPUTED_VALUE"""),72713.0)</f>
        <v>72713</v>
      </c>
      <c r="AE50" s="98">
        <f>IFERROR(__xludf.DUMMYFUNCTION("""COMPUTED_VALUE"""),72713.0)</f>
        <v>72713</v>
      </c>
      <c r="AF50" s="98"/>
      <c r="AG50" s="208"/>
      <c r="AH50" s="208"/>
      <c r="AI50" s="208"/>
      <c r="AJ50" s="208"/>
      <c r="AK50" s="208"/>
    </row>
    <row r="51" hidden="1">
      <c r="A51" s="209">
        <f>IFERROR(__xludf.DUMMYFUNCTION("""COMPUTED_VALUE"""),46042.0)</f>
        <v>46042</v>
      </c>
      <c r="B51" s="210">
        <f>IFERROR(__xludf.DUMMYFUNCTION("""COMPUTED_VALUE"""),0.4583333333321207)</f>
        <v>0.4583333333</v>
      </c>
      <c r="C51" s="211" t="str">
        <f>IFERROR(__xludf.DUMMYFUNCTION("""COMPUTED_VALUE"""),"Sms")</f>
        <v>Sms</v>
      </c>
      <c r="D51" s="211" t="str">
        <f>IFERROR(__xludf.DUMMYFUNCTION("""COMPUTED_VALUE"""),"Promotional")</f>
        <v>Promotional</v>
      </c>
      <c r="E51" s="211" t="str">
        <f>IFERROR(__xludf.DUMMYFUNCTION("""COMPUTED_VALUE"""),"BBW")</f>
        <v>BBW</v>
      </c>
      <c r="F51" s="211" t="str">
        <f>IFERROR(__xludf.DUMMYFUNCTION("""COMPUTED_VALUE"""),"Touch of gold")</f>
        <v>Touch of gold</v>
      </c>
      <c r="G51" s="212" t="str">
        <f>IFERROR(__xludf.DUMMYFUNCTION("""COMPUTED_VALUE"""),"bbw_sttog_20.1launch_dorm")</f>
        <v>bbw_sttog_20.1launch_dorm</v>
      </c>
      <c r="H51" s="212" t="str">
        <f>IFERROR(__xludf.DUMMYFUNCTION("""COMPUTED_VALUE"""),"NewLaunch_Dormant1Year_Offline2026")</f>
        <v>NewLaunch_Dormant1Year_Offline2026</v>
      </c>
      <c r="I51" s="212" t="str">
        <f>IFERROR(__xludf.DUMMYFUNCTION("""COMPUTED_VALUE"""),"Customers who have shopped from Jan 2024 to Dec 2024 Offline but have not shopped from Jan 2025 to Jan 2026 Offline")</f>
        <v>Customers who have shopped from Jan 2024 to Dec 2024 Offline but have not shopped from Jan 2025 to Jan 2026 Offline</v>
      </c>
      <c r="J51" s="213">
        <f>IFERROR(__xludf.DUMMYFUNCTION("""COMPUTED_VALUE"""),176992.0)</f>
        <v>176992</v>
      </c>
      <c r="K51" s="213">
        <f>IFERROR(__xludf.DUMMYFUNCTION("""COMPUTED_VALUE"""),103800.0)</f>
        <v>103800</v>
      </c>
      <c r="L51" s="214">
        <f>IFERROR(__xludf.DUMMYFUNCTION("""COMPUTED_VALUE"""),0.5865)</f>
        <v>0.5865</v>
      </c>
      <c r="M51" s="213"/>
      <c r="N51" s="214"/>
      <c r="O51" s="101">
        <f>IFERROR(__xludf.DUMMYFUNCTION("""COMPUTED_VALUE"""),49.0)</f>
        <v>49</v>
      </c>
      <c r="P51" s="101"/>
      <c r="Q51" s="214">
        <f>IFERROR(__xludf.DUMMYFUNCTION("""COMPUTED_VALUE"""),5.0E-4)</f>
        <v>0.0005</v>
      </c>
      <c r="R51" s="214"/>
      <c r="S51" s="101">
        <f>IFERROR(__xludf.DUMMYFUNCTION("""COMPUTED_VALUE"""),9.0)</f>
        <v>9</v>
      </c>
      <c r="T51" s="101">
        <f>IFERROR(__xludf.DUMMYFUNCTION("""COMPUTED_VALUE"""),33.0)</f>
        <v>33</v>
      </c>
      <c r="U51" s="270">
        <f>IFERROR(__xludf.DUMMYFUNCTION("""COMPUTED_VALUE"""),18191.0)</f>
        <v>18191</v>
      </c>
      <c r="V51" s="271" t="str">
        <f>IFERROR(__xludf.DUMMYFUNCTION("""COMPUTED_VALUE"""),"offline")</f>
        <v>offline</v>
      </c>
      <c r="W51" s="272" t="str">
        <f>IFERROR(__xludf.DUMMYFUNCTION("""COMPUTED_VALUE"""),"SMS")</f>
        <v>SMS</v>
      </c>
      <c r="X51" s="272" t="str">
        <f>IFERROR(__xludf.DUMMYFUNCTION("""COMPUTED_VALUE"""),"Dormant")</f>
        <v>Dormant</v>
      </c>
      <c r="Y51" s="272" t="str">
        <f>IFERROR(__xludf.DUMMYFUNCTION("""COMPUTED_VALUE"""),"20th Jan - 23rd Jan")</f>
        <v>20th Jan - 23rd Jan</v>
      </c>
      <c r="Z51" s="272" t="str">
        <f>IFERROR(__xludf.DUMMYFUNCTION("""COMPUTED_VALUE"""),"696f0e936d1dc67283b2cd0b")</f>
        <v>696f0e936d1dc67283b2cd0b</v>
      </c>
      <c r="AA51" s="272">
        <f>IFERROR(__xludf.DUMMYFUNCTION("""COMPUTED_VALUE"""),115.0)</f>
        <v>115</v>
      </c>
      <c r="AB51" s="272"/>
      <c r="AC51" s="272">
        <f>IFERROR(__xludf.DUMMYFUNCTION("""COMPUTED_VALUE"""),115.0)</f>
        <v>115</v>
      </c>
      <c r="AD51" s="272">
        <f>IFERROR(__xludf.DUMMYFUNCTION("""COMPUTED_VALUE"""),433613.0)</f>
        <v>433613</v>
      </c>
      <c r="AE51" s="272"/>
      <c r="AF51" s="272">
        <f>IFERROR(__xludf.DUMMYFUNCTION("""COMPUTED_VALUE"""),433613.0)</f>
        <v>433613</v>
      </c>
      <c r="AG51" s="208"/>
      <c r="AH51" s="208"/>
      <c r="AI51" s="208"/>
      <c r="AJ51" s="208"/>
      <c r="AK51" s="208"/>
    </row>
    <row r="52" hidden="1">
      <c r="A52" s="245">
        <f>IFERROR(__xludf.DUMMYFUNCTION("""COMPUTED_VALUE"""),46042.0)</f>
        <v>46042</v>
      </c>
      <c r="B52" s="246">
        <f>IFERROR(__xludf.DUMMYFUNCTION("""COMPUTED_VALUE"""),0.4583333333321207)</f>
        <v>0.4583333333</v>
      </c>
      <c r="C52" s="221" t="str">
        <f>IFERROR(__xludf.DUMMYFUNCTION("""COMPUTED_VALUE"""),"Sms")</f>
        <v>Sms</v>
      </c>
      <c r="D52" s="221" t="str">
        <f>IFERROR(__xludf.DUMMYFUNCTION("""COMPUTED_VALUE"""),"Promotional")</f>
        <v>Promotional</v>
      </c>
      <c r="E52" s="221" t="str">
        <f>IFERROR(__xludf.DUMMYFUNCTION("""COMPUTED_VALUE"""),"BBW")</f>
        <v>BBW</v>
      </c>
      <c r="F52" s="222" t="str">
        <f>IFERROR(__xludf.DUMMYFUNCTION("""COMPUTED_VALUE"""),"Touch of gold")</f>
        <v>Touch of gold</v>
      </c>
      <c r="G52" s="221" t="str">
        <f>IFERROR(__xludf.DUMMYFUNCTION("""COMPUTED_VALUE"""),"bbw_sttog_20.1launch_gen")</f>
        <v>bbw_sttog_20.1launch_gen</v>
      </c>
      <c r="H52" s="269" t="str">
        <f>IFERROR(__xludf.DUMMYFUNCTION("""COMPUTED_VALUE"""),"NewLaunch_365Days_Offline2026")</f>
        <v>NewLaunch_365Days_Offline2026</v>
      </c>
      <c r="I52" s="223" t="str">
        <f>IFERROR(__xludf.DUMMYFUNCTION("""COMPUTED_VALUE"""),"Customers who have shopped in last 365 days Offline Exclusive")</f>
        <v>Customers who have shopped in last 365 days Offline Exclusive</v>
      </c>
      <c r="J52" s="213">
        <f>IFERROR(__xludf.DUMMYFUNCTION("""COMPUTED_VALUE"""),199430.0)</f>
        <v>199430</v>
      </c>
      <c r="K52" s="213">
        <f>IFERROR(__xludf.DUMMYFUNCTION("""COMPUTED_VALUE"""),120198.0)</f>
        <v>120198</v>
      </c>
      <c r="L52" s="214">
        <f>IFERROR(__xludf.DUMMYFUNCTION("""COMPUTED_VALUE"""),0.6027)</f>
        <v>0.6027</v>
      </c>
      <c r="M52" s="213"/>
      <c r="N52" s="214"/>
      <c r="O52" s="213">
        <f>IFERROR(__xludf.DUMMYFUNCTION("""COMPUTED_VALUE"""),56.0)</f>
        <v>56</v>
      </c>
      <c r="P52" s="213"/>
      <c r="Q52" s="214">
        <f>IFERROR(__xludf.DUMMYFUNCTION("""COMPUTED_VALUE"""),5.0E-4)</f>
        <v>0.0005</v>
      </c>
      <c r="R52" s="214"/>
      <c r="S52" s="101">
        <f>IFERROR(__xludf.DUMMYFUNCTION("""COMPUTED_VALUE"""),17.0)</f>
        <v>17</v>
      </c>
      <c r="T52" s="101">
        <f>IFERROR(__xludf.DUMMYFUNCTION("""COMPUTED_VALUE"""),41.0)</f>
        <v>41</v>
      </c>
      <c r="U52" s="213">
        <f>IFERROR(__xludf.DUMMYFUNCTION("""COMPUTED_VALUE"""),31437.0)</f>
        <v>31437</v>
      </c>
      <c r="V52" s="271" t="str">
        <f>IFERROR(__xludf.DUMMYFUNCTION("""COMPUTED_VALUE"""),"offline")</f>
        <v>offline</v>
      </c>
      <c r="W52" s="98" t="str">
        <f>IFERROR(__xludf.DUMMYFUNCTION("""COMPUTED_VALUE"""),"SMS")</f>
        <v>SMS</v>
      </c>
      <c r="X52" s="98" t="str">
        <f>IFERROR(__xludf.DUMMYFUNCTION("""COMPUTED_VALUE"""),"Generic")</f>
        <v>Generic</v>
      </c>
      <c r="Y52" s="98" t="str">
        <f>IFERROR(__xludf.DUMMYFUNCTION("""COMPUTED_VALUE"""),"20th Jan - 23rd Jan")</f>
        <v>20th Jan - 23rd Jan</v>
      </c>
      <c r="Z52" s="98" t="str">
        <f>IFERROR(__xludf.DUMMYFUNCTION("""COMPUTED_VALUE"""),"696f0e9734369e26b0657712")</f>
        <v>696f0e9734369e26b0657712</v>
      </c>
      <c r="AA52" s="98">
        <f>IFERROR(__xludf.DUMMYFUNCTION("""COMPUTED_VALUE"""),199.0)</f>
        <v>199</v>
      </c>
      <c r="AB52" s="98"/>
      <c r="AC52" s="98">
        <f>IFERROR(__xludf.DUMMYFUNCTION("""COMPUTED_VALUE"""),199.0)</f>
        <v>199</v>
      </c>
      <c r="AD52" s="98">
        <f>IFERROR(__xludf.DUMMYFUNCTION("""COMPUTED_VALUE"""),808052.0)</f>
        <v>808052</v>
      </c>
      <c r="AE52" s="98"/>
      <c r="AF52" s="98">
        <f>IFERROR(__xludf.DUMMYFUNCTION("""COMPUTED_VALUE"""),808052.0)</f>
        <v>808052</v>
      </c>
      <c r="AG52" s="208"/>
      <c r="AH52" s="208"/>
      <c r="AI52" s="208"/>
      <c r="AJ52" s="208"/>
      <c r="AK52" s="208"/>
    </row>
    <row r="53" hidden="1">
      <c r="A53" s="245">
        <f>IFERROR(__xludf.DUMMYFUNCTION("""COMPUTED_VALUE"""),46042.0)</f>
        <v>46042</v>
      </c>
      <c r="B53" s="246">
        <f>IFERROR(__xludf.DUMMYFUNCTION("""COMPUTED_VALUE"""),0.5416666666678793)</f>
        <v>0.5416666667</v>
      </c>
      <c r="C53" s="221" t="str">
        <f>IFERROR(__xludf.DUMMYFUNCTION("""COMPUTED_VALUE"""),"Sms")</f>
        <v>Sms</v>
      </c>
      <c r="D53" s="221" t="str">
        <f>IFERROR(__xludf.DUMMYFUNCTION("""COMPUTED_VALUE"""),"Fallback Campaign")</f>
        <v>Fallback Campaign</v>
      </c>
      <c r="E53" s="221" t="str">
        <f>IFERROR(__xludf.DUMMYFUNCTION("""COMPUTED_VALUE"""),"BBW")</f>
        <v>BBW</v>
      </c>
      <c r="F53" s="222" t="str">
        <f>IFERROR(__xludf.DUMMYFUNCTION("""COMPUTED_VALUE"""),"Touch of gold")</f>
        <v>Touch of gold</v>
      </c>
      <c r="G53" s="221" t="str">
        <f>IFERROR(__xludf.DUMMYFUNCTION("""COMPUTED_VALUE"""),"bbw_sttog_20.1launch_fullprWAFB")</f>
        <v>bbw_sttog_20.1launch_fullprWAFB</v>
      </c>
      <c r="H53" s="269" t="str">
        <f>IFERROR(__xludf.DUMMYFUNCTION("""COMPUTED_VALUE"""),"NewLaunch_FullPrice_Offline2026 OR BBW_Internal OR AGIPL_Internal")</f>
        <v>NewLaunch_FullPrice_Offline2026 OR BBW_Internal OR AGIPL_Internal</v>
      </c>
      <c r="I53" s="223" t="str">
        <f>IFERROR(__xludf.DUMMYFUNCTION("""COMPUTED_VALUE"""),"WA Undelivered")</f>
        <v>WA Undelivered</v>
      </c>
      <c r="J53" s="213">
        <f>IFERROR(__xludf.DUMMYFUNCTION("""COMPUTED_VALUE"""),39743.0)</f>
        <v>39743</v>
      </c>
      <c r="K53" s="213">
        <f>IFERROR(__xludf.DUMMYFUNCTION("""COMPUTED_VALUE"""),23607.0)</f>
        <v>23607</v>
      </c>
      <c r="L53" s="214">
        <f>IFERROR(__xludf.DUMMYFUNCTION("""COMPUTED_VALUE"""),0.594)</f>
        <v>0.594</v>
      </c>
      <c r="M53" s="213"/>
      <c r="N53" s="214"/>
      <c r="O53" s="213">
        <f>IFERROR(__xludf.DUMMYFUNCTION("""COMPUTED_VALUE"""),14.0)</f>
        <v>14</v>
      </c>
      <c r="P53" s="213"/>
      <c r="Q53" s="214">
        <f>IFERROR(__xludf.DUMMYFUNCTION("""COMPUTED_VALUE"""),6.0E-4)</f>
        <v>0.0006</v>
      </c>
      <c r="R53" s="214"/>
      <c r="S53" s="101">
        <f>IFERROR(__xludf.DUMMYFUNCTION("""COMPUTED_VALUE"""),2.0)</f>
        <v>2</v>
      </c>
      <c r="T53" s="101">
        <f>IFERROR(__xludf.DUMMYFUNCTION("""COMPUTED_VALUE"""),8.0)</f>
        <v>8</v>
      </c>
      <c r="U53" s="213">
        <f>IFERROR(__xludf.DUMMYFUNCTION("""COMPUTED_VALUE"""),3416.0)</f>
        <v>3416</v>
      </c>
      <c r="V53" s="271" t="str">
        <f>IFERROR(__xludf.DUMMYFUNCTION("""COMPUTED_VALUE"""),"offline")</f>
        <v>offline</v>
      </c>
      <c r="W53" s="98" t="str">
        <f>IFERROR(__xludf.DUMMYFUNCTION("""COMPUTED_VALUE"""),"SMS")</f>
        <v>SMS</v>
      </c>
      <c r="X53" s="98" t="str">
        <f>IFERROR(__xludf.DUMMYFUNCTION("""COMPUTED_VALUE"""),"Full Price Shopper")</f>
        <v>Full Price Shopper</v>
      </c>
      <c r="Y53" s="98" t="str">
        <f>IFERROR(__xludf.DUMMYFUNCTION("""COMPUTED_VALUE"""),"20th Jan - 23rd Jan")</f>
        <v>20th Jan - 23rd Jan</v>
      </c>
      <c r="Z53" s="98" t="str">
        <f>IFERROR(__xludf.DUMMYFUNCTION("""COMPUTED_VALUE"""),"696f0ee6717fd6a07ff39929")</f>
        <v>696f0ee6717fd6a07ff39929</v>
      </c>
      <c r="AA53" s="98">
        <f>IFERROR(__xludf.DUMMYFUNCTION("""COMPUTED_VALUE"""),74.0)</f>
        <v>74</v>
      </c>
      <c r="AB53" s="98"/>
      <c r="AC53" s="98">
        <f>IFERROR(__xludf.DUMMYFUNCTION("""COMPUTED_VALUE"""),74.0)</f>
        <v>74</v>
      </c>
      <c r="AD53" s="98">
        <f>IFERROR(__xludf.DUMMYFUNCTION("""COMPUTED_VALUE"""),268396.0)</f>
        <v>268396</v>
      </c>
      <c r="AE53" s="98"/>
      <c r="AF53" s="98">
        <f>IFERROR(__xludf.DUMMYFUNCTION("""COMPUTED_VALUE"""),268396.0)</f>
        <v>268396</v>
      </c>
      <c r="AG53" s="208"/>
      <c r="AH53" s="208"/>
      <c r="AI53" s="208"/>
      <c r="AJ53" s="208"/>
      <c r="AK53" s="208"/>
    </row>
    <row r="54" hidden="1">
      <c r="A54" s="216">
        <f>IFERROR(__xludf.DUMMYFUNCTION("""COMPUTED_VALUE"""),46042.0)</f>
        <v>46042</v>
      </c>
      <c r="B54" s="217">
        <f>IFERROR(__xludf.DUMMYFUNCTION("""COMPUTED_VALUE"""),0.5416666666678793)</f>
        <v>0.5416666667</v>
      </c>
      <c r="C54" s="211" t="str">
        <f>IFERROR(__xludf.DUMMYFUNCTION("""COMPUTED_VALUE"""),"Sms")</f>
        <v>Sms</v>
      </c>
      <c r="D54" s="211" t="str">
        <f>IFERROR(__xludf.DUMMYFUNCTION("""COMPUTED_VALUE"""),"Fallback Campaign")</f>
        <v>Fallback Campaign</v>
      </c>
      <c r="E54" s="211" t="str">
        <f>IFERROR(__xludf.DUMMYFUNCTION("""COMPUTED_VALUE"""),"BBW")</f>
        <v>BBW</v>
      </c>
      <c r="F54" s="211" t="str">
        <f>IFERROR(__xludf.DUMMYFUNCTION("""COMPUTED_VALUE"""),"Touch of gold")</f>
        <v>Touch of gold</v>
      </c>
      <c r="G54" s="211" t="str">
        <f>IFERROR(__xludf.DUMMYFUNCTION("""COMPUTED_VALUE"""),"bbw_sttog_20.1launch_repeatWAFB")</f>
        <v>bbw_sttog_20.1launch_repeatWAFB</v>
      </c>
      <c r="H54" s="112" t="str">
        <f>IFERROR(__xludf.DUMMYFUNCTION("""COMPUTED_VALUE"""),"NewLaunch_Repeat1Year_Offline2026")</f>
        <v>NewLaunch_Repeat1Year_Offline2026</v>
      </c>
      <c r="I54" s="212" t="str">
        <f>IFERROR(__xludf.DUMMYFUNCTION("""COMPUTED_VALUE"""),"WA Undelivered")</f>
        <v>WA Undelivered</v>
      </c>
      <c r="J54" s="213">
        <f>IFERROR(__xludf.DUMMYFUNCTION("""COMPUTED_VALUE"""),49878.0)</f>
        <v>49878</v>
      </c>
      <c r="K54" s="213">
        <f>IFERROR(__xludf.DUMMYFUNCTION("""COMPUTED_VALUE"""),27810.0)</f>
        <v>27810</v>
      </c>
      <c r="L54" s="283">
        <f>IFERROR(__xludf.DUMMYFUNCTION("""COMPUTED_VALUE"""),0.5576)</f>
        <v>0.5576</v>
      </c>
      <c r="M54" s="213"/>
      <c r="N54" s="214"/>
      <c r="O54" s="213">
        <f>IFERROR(__xludf.DUMMYFUNCTION("""COMPUTED_VALUE"""),18.0)</f>
        <v>18</v>
      </c>
      <c r="P54" s="213"/>
      <c r="Q54" s="214">
        <f>IFERROR(__xludf.DUMMYFUNCTION("""COMPUTED_VALUE"""),6.0E-4)</f>
        <v>0.0006</v>
      </c>
      <c r="R54" s="214"/>
      <c r="S54" s="101">
        <f>IFERROR(__xludf.DUMMYFUNCTION("""COMPUTED_VALUE"""),5.0)</f>
        <v>5</v>
      </c>
      <c r="T54" s="101">
        <f>IFERROR(__xludf.DUMMYFUNCTION("""COMPUTED_VALUE"""),26.0)</f>
        <v>26</v>
      </c>
      <c r="U54" s="213">
        <f>IFERROR(__xludf.DUMMYFUNCTION("""COMPUTED_VALUE"""),9935.0)</f>
        <v>9935</v>
      </c>
      <c r="V54" s="271" t="str">
        <f>IFERROR(__xludf.DUMMYFUNCTION("""COMPUTED_VALUE"""),"offline")</f>
        <v>offline</v>
      </c>
      <c r="W54" s="98" t="str">
        <f>IFERROR(__xludf.DUMMYFUNCTION("""COMPUTED_VALUE"""),"SMS")</f>
        <v>SMS</v>
      </c>
      <c r="X54" s="98" t="str">
        <f>IFERROR(__xludf.DUMMYFUNCTION("""COMPUTED_VALUE"""),"Repeat")</f>
        <v>Repeat</v>
      </c>
      <c r="Y54" s="98" t="str">
        <f>IFERROR(__xludf.DUMMYFUNCTION("""COMPUTED_VALUE"""),"20th Jan - 23rd Jan")</f>
        <v>20th Jan - 23rd Jan</v>
      </c>
      <c r="Z54" s="98" t="str">
        <f>IFERROR(__xludf.DUMMYFUNCTION("""COMPUTED_VALUE"""),"696f0f3dc4e819479fb4e80a")</f>
        <v>696f0f3dc4e819479fb4e80a</v>
      </c>
      <c r="AA54" s="98">
        <f>IFERROR(__xludf.DUMMYFUNCTION("""COMPUTED_VALUE"""),200.0)</f>
        <v>200</v>
      </c>
      <c r="AB54" s="98"/>
      <c r="AC54" s="98">
        <f>IFERROR(__xludf.DUMMYFUNCTION("""COMPUTED_VALUE"""),200.0)</f>
        <v>200</v>
      </c>
      <c r="AD54" s="98">
        <f>IFERROR(__xludf.DUMMYFUNCTION("""COMPUTED_VALUE"""),940261.0)</f>
        <v>940261</v>
      </c>
      <c r="AE54" s="98"/>
      <c r="AF54" s="98">
        <f>IFERROR(__xludf.DUMMYFUNCTION("""COMPUTED_VALUE"""),940261.0)</f>
        <v>940261</v>
      </c>
      <c r="AG54" s="208"/>
      <c r="AH54" s="208"/>
      <c r="AI54" s="208"/>
      <c r="AJ54" s="208"/>
      <c r="AK54" s="208"/>
    </row>
    <row r="55" hidden="1">
      <c r="A55" s="245">
        <f>IFERROR(__xludf.DUMMYFUNCTION("""COMPUTED_VALUE"""),46042.0)</f>
        <v>46042</v>
      </c>
      <c r="B55" s="246">
        <f>IFERROR(__xludf.DUMMYFUNCTION("""COMPUTED_VALUE"""),0.5416666666678793)</f>
        <v>0.5416666667</v>
      </c>
      <c r="C55" s="221" t="str">
        <f>IFERROR(__xludf.DUMMYFUNCTION("""COMPUTED_VALUE"""),"Sms")</f>
        <v>Sms</v>
      </c>
      <c r="D55" s="221" t="str">
        <f>IFERROR(__xludf.DUMMYFUNCTION("""COMPUTED_VALUE"""),"Fallback Campaign")</f>
        <v>Fallback Campaign</v>
      </c>
      <c r="E55" s="221" t="str">
        <f>IFERROR(__xludf.DUMMYFUNCTION("""COMPUTED_VALUE"""),"BBW")</f>
        <v>BBW</v>
      </c>
      <c r="F55" s="222" t="str">
        <f>IFERROR(__xludf.DUMMYFUNCTION("""COMPUTED_VALUE"""),"Touch of gold")</f>
        <v>Touch of gold</v>
      </c>
      <c r="G55" s="221" t="str">
        <f>IFERROR(__xludf.DUMMYFUNCTION("""COMPUTED_VALUE"""),"bbw_sttog_20.1launch_recentWAFB")</f>
        <v>bbw_sttog_20.1launch_recentWAFB</v>
      </c>
      <c r="H55" s="269" t="str">
        <f>IFERROR(__xludf.DUMMYFUNCTION("""COMPUTED_VALUE"""),"NewLaunch_Recent_Offline2026")</f>
        <v>NewLaunch_Recent_Offline2026</v>
      </c>
      <c r="I55" s="223" t="str">
        <f>IFERROR(__xludf.DUMMYFUNCTION("""COMPUTED_VALUE"""),"WA Undelivered")</f>
        <v>WA Undelivered</v>
      </c>
      <c r="J55" s="213">
        <f>IFERROR(__xludf.DUMMYFUNCTION("""COMPUTED_VALUE"""),60115.0)</f>
        <v>60115</v>
      </c>
      <c r="K55" s="213">
        <f>IFERROR(__xludf.DUMMYFUNCTION("""COMPUTED_VALUE"""),35618.0)</f>
        <v>35618</v>
      </c>
      <c r="L55" s="214">
        <f>IFERROR(__xludf.DUMMYFUNCTION("""COMPUTED_VALUE"""),0.5925)</f>
        <v>0.5925</v>
      </c>
      <c r="M55" s="213"/>
      <c r="N55" s="214"/>
      <c r="O55" s="213">
        <f>IFERROR(__xludf.DUMMYFUNCTION("""COMPUTED_VALUE"""),57.0)</f>
        <v>57</v>
      </c>
      <c r="P55" s="213"/>
      <c r="Q55" s="214">
        <f>IFERROR(__xludf.DUMMYFUNCTION("""COMPUTED_VALUE"""),0.0016)</f>
        <v>0.0016</v>
      </c>
      <c r="R55" s="214"/>
      <c r="S55" s="101">
        <f>IFERROR(__xludf.DUMMYFUNCTION("""COMPUTED_VALUE"""),10.0)</f>
        <v>10</v>
      </c>
      <c r="T55" s="101">
        <f>IFERROR(__xludf.DUMMYFUNCTION("""COMPUTED_VALUE"""),22.0)</f>
        <v>22</v>
      </c>
      <c r="U55" s="213">
        <f>IFERROR(__xludf.DUMMYFUNCTION("""COMPUTED_VALUE"""),14357.0)</f>
        <v>14357</v>
      </c>
      <c r="V55" s="271" t="str">
        <f>IFERROR(__xludf.DUMMYFUNCTION("""COMPUTED_VALUE"""),"offline")</f>
        <v>offline</v>
      </c>
      <c r="W55" s="98" t="str">
        <f>IFERROR(__xludf.DUMMYFUNCTION("""COMPUTED_VALUE"""),"SMS")</f>
        <v>SMS</v>
      </c>
      <c r="X55" s="98" t="str">
        <f>IFERROR(__xludf.DUMMYFUNCTION("""COMPUTED_VALUE"""),"Recent")</f>
        <v>Recent</v>
      </c>
      <c r="Y55" s="98" t="str">
        <f>IFERROR(__xludf.DUMMYFUNCTION("""COMPUTED_VALUE"""),"20th Jan - 23rd Jan")</f>
        <v>20th Jan - 23rd Jan</v>
      </c>
      <c r="Z55" s="98" t="str">
        <f>IFERROR(__xludf.DUMMYFUNCTION("""COMPUTED_VALUE"""),"696f0f8161676dca8b263d04")</f>
        <v>696f0f8161676dca8b263d04</v>
      </c>
      <c r="AA55" s="98">
        <f>IFERROR(__xludf.DUMMYFUNCTION("""COMPUTED_VALUE"""),84.0)</f>
        <v>84</v>
      </c>
      <c r="AB55" s="98"/>
      <c r="AC55" s="98">
        <f>IFERROR(__xludf.DUMMYFUNCTION("""COMPUTED_VALUE"""),84.0)</f>
        <v>84</v>
      </c>
      <c r="AD55" s="98">
        <f>IFERROR(__xludf.DUMMYFUNCTION("""COMPUTED_VALUE"""),312740.0)</f>
        <v>312740</v>
      </c>
      <c r="AE55" s="98"/>
      <c r="AF55" s="98">
        <f>IFERROR(__xludf.DUMMYFUNCTION("""COMPUTED_VALUE"""),312740.0)</f>
        <v>312740</v>
      </c>
      <c r="AG55" s="208"/>
      <c r="AH55" s="208"/>
      <c r="AI55" s="208"/>
      <c r="AJ55" s="208"/>
      <c r="AK55" s="208"/>
    </row>
    <row r="56" hidden="1">
      <c r="A56" s="245">
        <f>IFERROR(__xludf.DUMMYFUNCTION("""COMPUTED_VALUE"""),46042.0)</f>
        <v>46042</v>
      </c>
      <c r="B56" s="246">
        <f>IFERROR(__xludf.DUMMYFUNCTION("""COMPUTED_VALUE"""),0.4583333333321207)</f>
        <v>0.4583333333</v>
      </c>
      <c r="C56" s="221" t="str">
        <f>IFERROR(__xludf.DUMMYFUNCTION("""COMPUTED_VALUE"""),"Whatsapp")</f>
        <v>Whatsapp</v>
      </c>
      <c r="D56" s="221" t="str">
        <f>IFERROR(__xludf.DUMMYFUNCTION("""COMPUTED_VALUE"""),"Promotional")</f>
        <v>Promotional</v>
      </c>
      <c r="E56" s="221" t="str">
        <f>IFERROR(__xludf.DUMMYFUNCTION("""COMPUTED_VALUE"""),"BBW")</f>
        <v>BBW</v>
      </c>
      <c r="F56" s="222" t="str">
        <f>IFERROR(__xludf.DUMMYFUNCTION("""COMPUTED_VALUE"""),"B2G2")</f>
        <v>B2G2</v>
      </c>
      <c r="G56" s="221" t="str">
        <f>IFERROR(__xludf.DUMMYFUNCTION("""COMPUTED_VALUE"""),"bbw_sttog_20.1launch_recent")</f>
        <v>bbw_sttog_20.1launch_recent</v>
      </c>
      <c r="H56" s="269" t="str">
        <f>IFERROR(__xludf.DUMMYFUNCTION("""COMPUTED_VALUE"""),"NewLaunch_Recent_Offline2026")</f>
        <v>NewLaunch_Recent_Offline2026</v>
      </c>
      <c r="I56" s="223" t="str">
        <f>IFERROR(__xludf.DUMMYFUNCTION("""COMPUTED_VALUE"""),"Customers who have shopped in the last 110 days (TTR) Offline")</f>
        <v>Customers who have shopped in the last 110 days (TTR) Offline</v>
      </c>
      <c r="J56" s="213">
        <f>IFERROR(__xludf.DUMMYFUNCTION("""COMPUTED_VALUE"""),117320.0)</f>
        <v>117320</v>
      </c>
      <c r="K56" s="213">
        <f>IFERROR(__xludf.DUMMYFUNCTION("""COMPUTED_VALUE"""),55879.0)</f>
        <v>55879</v>
      </c>
      <c r="L56" s="214">
        <f>IFERROR(__xludf.DUMMYFUNCTION("""COMPUTED_VALUE"""),0.4763)</f>
        <v>0.4763</v>
      </c>
      <c r="M56" s="213">
        <f>IFERROR(__xludf.DUMMYFUNCTION("""COMPUTED_VALUE"""),26029.0)</f>
        <v>26029</v>
      </c>
      <c r="N56" s="214">
        <f>IFERROR(__xludf.DUMMYFUNCTION("""COMPUTED_VALUE"""),0.4655)</f>
        <v>0.4655</v>
      </c>
      <c r="O56" s="213">
        <f>IFERROR(__xludf.DUMMYFUNCTION("""COMPUTED_VALUE"""),1036.0)</f>
        <v>1036</v>
      </c>
      <c r="P56" s="213">
        <f>IFERROR(__xludf.DUMMYFUNCTION("""COMPUTED_VALUE"""),948.0)</f>
        <v>948</v>
      </c>
      <c r="Q56" s="214">
        <f>IFERROR(__xludf.DUMMYFUNCTION("""COMPUTED_VALUE"""),0.017)</f>
        <v>0.017</v>
      </c>
      <c r="R56" s="214">
        <f>IFERROR(__xludf.DUMMYFUNCTION("""COMPUTED_VALUE"""),0.0364)</f>
        <v>0.0364</v>
      </c>
      <c r="S56" s="101">
        <f>IFERROR(__xludf.DUMMYFUNCTION("""COMPUTED_VALUE"""),10.0)</f>
        <v>10</v>
      </c>
      <c r="T56" s="101">
        <f>IFERROR(__xludf.DUMMYFUNCTION("""COMPUTED_VALUE"""),40.0)</f>
        <v>40</v>
      </c>
      <c r="U56" s="213">
        <f>IFERROR(__xludf.DUMMYFUNCTION("""COMPUTED_VALUE"""),28042.0)</f>
        <v>28042</v>
      </c>
      <c r="V56" s="271" t="str">
        <f>IFERROR(__xludf.DUMMYFUNCTION("""COMPUTED_VALUE"""),"offline")</f>
        <v>offline</v>
      </c>
      <c r="W56" s="98" t="str">
        <f>IFERROR(__xludf.DUMMYFUNCTION("""COMPUTED_VALUE"""),"carousel")</f>
        <v>carousel</v>
      </c>
      <c r="X56" s="98" t="str">
        <f>IFERROR(__xludf.DUMMYFUNCTION("""COMPUTED_VALUE"""),"Recent")</f>
        <v>Recent</v>
      </c>
      <c r="Y56" s="98" t="str">
        <f>IFERROR(__xludf.DUMMYFUNCTION("""COMPUTED_VALUE"""),"20th Jan - 23rd Jan")</f>
        <v>20th Jan - 23rd Jan</v>
      </c>
      <c r="Z56" s="98" t="str">
        <f>IFERROR(__xludf.DUMMYFUNCTION("""COMPUTED_VALUE"""),"696f0dde6d1dc67283b2ccd0")</f>
        <v>696f0dde6d1dc67283b2ccd0</v>
      </c>
      <c r="AA56" s="98">
        <f>IFERROR(__xludf.DUMMYFUNCTION("""COMPUTED_VALUE"""),121.0)</f>
        <v>121</v>
      </c>
      <c r="AB56" s="98"/>
      <c r="AC56" s="98">
        <f>IFERROR(__xludf.DUMMYFUNCTION("""COMPUTED_VALUE"""),121.0)</f>
        <v>121</v>
      </c>
      <c r="AD56" s="98">
        <f>IFERROR(__xludf.DUMMYFUNCTION("""COMPUTED_VALUE"""),351629.0)</f>
        <v>351629</v>
      </c>
      <c r="AE56" s="98"/>
      <c r="AF56" s="98">
        <f>IFERROR(__xludf.DUMMYFUNCTION("""COMPUTED_VALUE"""),351629.0)</f>
        <v>351629</v>
      </c>
      <c r="AG56" s="208"/>
      <c r="AH56" s="208"/>
      <c r="AI56" s="208"/>
      <c r="AJ56" s="208"/>
      <c r="AK56" s="208"/>
    </row>
    <row r="57" hidden="1">
      <c r="A57" s="245">
        <f>IFERROR(__xludf.DUMMYFUNCTION("""COMPUTED_VALUE"""),46042.0)</f>
        <v>46042</v>
      </c>
      <c r="B57" s="246">
        <f>IFERROR(__xludf.DUMMYFUNCTION("""COMPUTED_VALUE"""),0.4583333333321207)</f>
        <v>0.4583333333</v>
      </c>
      <c r="C57" s="221" t="str">
        <f>IFERROR(__xludf.DUMMYFUNCTION("""COMPUTED_VALUE"""),"Whatsapp")</f>
        <v>Whatsapp</v>
      </c>
      <c r="D57" s="221" t="str">
        <f>IFERROR(__xludf.DUMMYFUNCTION("""COMPUTED_VALUE"""),"Promotional")</f>
        <v>Promotional</v>
      </c>
      <c r="E57" s="221" t="str">
        <f>IFERROR(__xludf.DUMMYFUNCTION("""COMPUTED_VALUE"""),"BBW")</f>
        <v>BBW</v>
      </c>
      <c r="F57" s="222" t="str">
        <f>IFERROR(__xludf.DUMMYFUNCTION("""COMPUTED_VALUE"""),"B2G2")</f>
        <v>B2G2</v>
      </c>
      <c r="G57" s="221" t="str">
        <f>IFERROR(__xludf.DUMMYFUNCTION("""COMPUTED_VALUE"""),"bbw_sttog_20.1launch_repeat")</f>
        <v>bbw_sttog_20.1launch_repeat</v>
      </c>
      <c r="H57" s="269" t="str">
        <f>IFERROR(__xludf.DUMMYFUNCTION("""COMPUTED_VALUE"""),"NewLaunch_Repeat1Year_Offline2026")</f>
        <v>NewLaunch_Repeat1Year_Offline2026</v>
      </c>
      <c r="I57" s="223" t="str">
        <f>IFERROR(__xludf.DUMMYFUNCTION("""COMPUTED_VALUE"""),"Customers who have bought atlest 2 times in last 1 year Offline")</f>
        <v>Customers who have bought atlest 2 times in last 1 year Offline</v>
      </c>
      <c r="J57" s="213">
        <f>IFERROR(__xludf.DUMMYFUNCTION("""COMPUTED_VALUE"""),86577.0)</f>
        <v>86577</v>
      </c>
      <c r="K57" s="213">
        <f>IFERROR(__xludf.DUMMYFUNCTION("""COMPUTED_VALUE"""),35212.0)</f>
        <v>35212</v>
      </c>
      <c r="L57" s="214">
        <f>IFERROR(__xludf.DUMMYFUNCTION("""COMPUTED_VALUE"""),0.4067)</f>
        <v>0.4067</v>
      </c>
      <c r="M57" s="213">
        <f>IFERROR(__xludf.DUMMYFUNCTION("""COMPUTED_VALUE"""),14418.0)</f>
        <v>14418</v>
      </c>
      <c r="N57" s="214">
        <f>IFERROR(__xludf.DUMMYFUNCTION("""COMPUTED_VALUE"""),0.4094)</f>
        <v>0.4094</v>
      </c>
      <c r="O57" s="213">
        <f>IFERROR(__xludf.DUMMYFUNCTION("""COMPUTED_VALUE"""),521.0)</f>
        <v>521</v>
      </c>
      <c r="P57" s="213">
        <f>IFERROR(__xludf.DUMMYFUNCTION("""COMPUTED_VALUE"""),493.0)</f>
        <v>493</v>
      </c>
      <c r="Q57" s="214">
        <f>IFERROR(__xludf.DUMMYFUNCTION("""COMPUTED_VALUE"""),0.014)</f>
        <v>0.014</v>
      </c>
      <c r="R57" s="214">
        <f>IFERROR(__xludf.DUMMYFUNCTION("""COMPUTED_VALUE"""),0.0342)</f>
        <v>0.0342</v>
      </c>
      <c r="S57" s="101">
        <f>IFERROR(__xludf.DUMMYFUNCTION("""COMPUTED_VALUE"""),19.0)</f>
        <v>19</v>
      </c>
      <c r="T57" s="101">
        <f>IFERROR(__xludf.DUMMYFUNCTION("""COMPUTED_VALUE"""),43.0)</f>
        <v>43</v>
      </c>
      <c r="U57" s="213">
        <f>IFERROR(__xludf.DUMMYFUNCTION("""COMPUTED_VALUE"""),41967.0)</f>
        <v>41967</v>
      </c>
      <c r="V57" s="271" t="str">
        <f>IFERROR(__xludf.DUMMYFUNCTION("""COMPUTED_VALUE"""),"offline")</f>
        <v>offline</v>
      </c>
      <c r="W57" s="98" t="str">
        <f>IFERROR(__xludf.DUMMYFUNCTION("""COMPUTED_VALUE"""),"carousel")</f>
        <v>carousel</v>
      </c>
      <c r="X57" s="98" t="str">
        <f>IFERROR(__xludf.DUMMYFUNCTION("""COMPUTED_VALUE"""),"Repeat")</f>
        <v>Repeat</v>
      </c>
      <c r="Y57" s="98" t="str">
        <f>IFERROR(__xludf.DUMMYFUNCTION("""COMPUTED_VALUE"""),"20th Jan - 23rd Jan")</f>
        <v>20th Jan - 23rd Jan</v>
      </c>
      <c r="Z57" s="98" t="str">
        <f>IFERROR(__xludf.DUMMYFUNCTION("""COMPUTED_VALUE"""),"696f0de5ef5a3f977d2d1940")</f>
        <v>696f0de5ef5a3f977d2d1940</v>
      </c>
      <c r="AA57" s="98">
        <f>IFERROR(__xludf.DUMMYFUNCTION("""COMPUTED_VALUE"""),225.0)</f>
        <v>225</v>
      </c>
      <c r="AB57" s="98"/>
      <c r="AC57" s="98">
        <f>IFERROR(__xludf.DUMMYFUNCTION("""COMPUTED_VALUE"""),225.0)</f>
        <v>225</v>
      </c>
      <c r="AD57" s="98">
        <f>IFERROR(__xludf.DUMMYFUNCTION("""COMPUTED_VALUE"""),975818.0)</f>
        <v>975818</v>
      </c>
      <c r="AE57" s="98"/>
      <c r="AF57" s="98">
        <f>IFERROR(__xludf.DUMMYFUNCTION("""COMPUTED_VALUE"""),975818.0)</f>
        <v>975818</v>
      </c>
      <c r="AG57" s="208"/>
      <c r="AH57" s="208"/>
      <c r="AI57" s="208"/>
      <c r="AJ57" s="208"/>
      <c r="AK57" s="208"/>
    </row>
    <row r="58" hidden="1">
      <c r="A58" s="216">
        <f>IFERROR(__xludf.DUMMYFUNCTION("""COMPUTED_VALUE"""),46042.0)</f>
        <v>46042</v>
      </c>
      <c r="B58" s="210">
        <f>IFERROR(__xludf.DUMMYFUNCTION("""COMPUTED_VALUE"""),0.4583333333321207)</f>
        <v>0.4583333333</v>
      </c>
      <c r="C58" s="210" t="str">
        <f>IFERROR(__xludf.DUMMYFUNCTION("""COMPUTED_VALUE"""),"Whatsapp")</f>
        <v>Whatsapp</v>
      </c>
      <c r="D58" s="210" t="str">
        <f>IFERROR(__xludf.DUMMYFUNCTION("""COMPUTED_VALUE"""),"Promotional")</f>
        <v>Promotional</v>
      </c>
      <c r="E58" s="211" t="str">
        <f>IFERROR(__xludf.DUMMYFUNCTION("""COMPUTED_VALUE"""),"BBW")</f>
        <v>BBW</v>
      </c>
      <c r="F58" s="211" t="str">
        <f>IFERROR(__xludf.DUMMYFUNCTION("""COMPUTED_VALUE"""),"B2G2")</f>
        <v>B2G2</v>
      </c>
      <c r="G58" s="211" t="str">
        <f>IFERROR(__xludf.DUMMYFUNCTION("""COMPUTED_VALUE"""),"bbw_sttog_20.1launch_fullpr")</f>
        <v>bbw_sttog_20.1launch_fullpr</v>
      </c>
      <c r="H58" s="211" t="str">
        <f>IFERROR(__xludf.DUMMYFUNCTION("""COMPUTED_VALUE"""),"NewLaunch_FullPrice_Offline2026 OR BBW_Internal OR AGIPL_Internal")</f>
        <v>NewLaunch_FullPrice_Offline2026 OR BBW_Internal OR AGIPL_Internal</v>
      </c>
      <c r="I58" s="223" t="str">
        <f>IFERROR(__xludf.DUMMYFUNCTION("""COMPUTED_VALUE"""),"Customers who have shopped full price Offline")</f>
        <v>Customers who have shopped full price Offline</v>
      </c>
      <c r="J58" s="213">
        <f>IFERROR(__xludf.DUMMYFUNCTION("""COMPUTED_VALUE"""),76403.0)</f>
        <v>76403</v>
      </c>
      <c r="K58" s="213">
        <f>IFERROR(__xludf.DUMMYFUNCTION("""COMPUTED_VALUE"""),34242.0)</f>
        <v>34242</v>
      </c>
      <c r="L58" s="214">
        <f>IFERROR(__xludf.DUMMYFUNCTION("""COMPUTED_VALUE"""),0.4482)</f>
        <v>0.4482</v>
      </c>
      <c r="M58" s="213">
        <f>IFERROR(__xludf.DUMMYFUNCTION("""COMPUTED_VALUE"""),12206.0)</f>
        <v>12206</v>
      </c>
      <c r="N58" s="214">
        <f>IFERROR(__xludf.DUMMYFUNCTION("""COMPUTED_VALUE"""),0.3563)</f>
        <v>0.3563</v>
      </c>
      <c r="O58" s="213">
        <f>IFERROR(__xludf.DUMMYFUNCTION("""COMPUTED_VALUE"""),284.0)</f>
        <v>284</v>
      </c>
      <c r="P58" s="213">
        <f>IFERROR(__xludf.DUMMYFUNCTION("""COMPUTED_VALUE"""),265.0)</f>
        <v>265</v>
      </c>
      <c r="Q58" s="214">
        <f>IFERROR(__xludf.DUMMYFUNCTION("""COMPUTED_VALUE"""),0.0077)</f>
        <v>0.0077</v>
      </c>
      <c r="R58" s="214">
        <f>IFERROR(__xludf.DUMMYFUNCTION("""COMPUTED_VALUE"""),0.0217)</f>
        <v>0.0217</v>
      </c>
      <c r="S58" s="101">
        <f>IFERROR(__xludf.DUMMYFUNCTION("""COMPUTED_VALUE"""),2.0)</f>
        <v>2</v>
      </c>
      <c r="T58" s="101">
        <f>IFERROR(__xludf.DUMMYFUNCTION("""COMPUTED_VALUE"""),9.0)</f>
        <v>9</v>
      </c>
      <c r="U58" s="213">
        <f>IFERROR(__xludf.DUMMYFUNCTION("""COMPUTED_VALUE"""),9713.0)</f>
        <v>9713</v>
      </c>
      <c r="V58" s="271" t="str">
        <f>IFERROR(__xludf.DUMMYFUNCTION("""COMPUTED_VALUE"""),"offline")</f>
        <v>offline</v>
      </c>
      <c r="W58" s="98" t="str">
        <f>IFERROR(__xludf.DUMMYFUNCTION("""COMPUTED_VALUE"""),"carousel")</f>
        <v>carousel</v>
      </c>
      <c r="X58" s="98" t="str">
        <f>IFERROR(__xludf.DUMMYFUNCTION("""COMPUTED_VALUE"""),"Full Price Shopper")</f>
        <v>Full Price Shopper</v>
      </c>
      <c r="Y58" s="98" t="str">
        <f>IFERROR(__xludf.DUMMYFUNCTION("""COMPUTED_VALUE"""),"20th Jan - 23rd Jan")</f>
        <v>20th Jan - 23rd Jan</v>
      </c>
      <c r="Z58" s="98" t="str">
        <f>IFERROR(__xludf.DUMMYFUNCTION("""COMPUTED_VALUE"""),"696f0dea34369e26b0657707")</f>
        <v>696f0dea34369e26b0657707</v>
      </c>
      <c r="AA58" s="98">
        <f>IFERROR(__xludf.DUMMYFUNCTION("""COMPUTED_VALUE"""),100.0)</f>
        <v>100</v>
      </c>
      <c r="AB58" s="98"/>
      <c r="AC58" s="98">
        <f>IFERROR(__xludf.DUMMYFUNCTION("""COMPUTED_VALUE"""),100.0)</f>
        <v>100</v>
      </c>
      <c r="AD58" s="98">
        <f>IFERROR(__xludf.DUMMYFUNCTION("""COMPUTED_VALUE"""),436474.0)</f>
        <v>436474</v>
      </c>
      <c r="AE58" s="98"/>
      <c r="AF58" s="98">
        <f>IFERROR(__xludf.DUMMYFUNCTION("""COMPUTED_VALUE"""),436474.0)</f>
        <v>436474</v>
      </c>
      <c r="AG58" s="208"/>
      <c r="AH58" s="208"/>
      <c r="AI58" s="208"/>
      <c r="AJ58" s="208"/>
      <c r="AK58" s="208"/>
    </row>
    <row r="59" hidden="1">
      <c r="A59" s="245">
        <f>IFERROR(__xludf.DUMMYFUNCTION("""COMPUTED_VALUE"""),46043.0)</f>
        <v>46043</v>
      </c>
      <c r="B59" s="246">
        <f>IFERROR(__xludf.DUMMYFUNCTION("""COMPUTED_VALUE"""),0.8229166666678793)</f>
        <v>0.8229166667</v>
      </c>
      <c r="C59" s="221" t="str">
        <f>IFERROR(__xludf.DUMMYFUNCTION("""COMPUTED_VALUE"""),"Sms")</f>
        <v>Sms</v>
      </c>
      <c r="D59" s="221" t="str">
        <f>IFERROR(__xludf.DUMMYFUNCTION("""COMPUTED_VALUE"""),"Promotional")</f>
        <v>Promotional</v>
      </c>
      <c r="E59" s="221" t="str">
        <f>IFERROR(__xludf.DUMMYFUNCTION("""COMPUTED_VALUE"""),"BBW")</f>
        <v>BBW</v>
      </c>
      <c r="F59" s="222" t="str">
        <f>IFERROR(__xludf.DUMMYFUNCTION("""COMPUTED_VALUE"""),"Mist and Body lotion")</f>
        <v>Mist and Body lotion</v>
      </c>
      <c r="G59" s="221" t="str">
        <f>IFERROR(__xludf.DUMMYFUNCTION("""COMPUTED_VALUE"""),"bbw_FSMist&amp;BL21.1_rec")</f>
        <v>bbw_FSMist&amp;BL21.1_rec</v>
      </c>
      <c r="H59" s="269" t="str">
        <f>IFERROR(__xludf.DUMMYFUNCTION("""COMPUTED_VALUE"""),"MIBL_Recent_ON")</f>
        <v>MIBL_Recent_ON</v>
      </c>
      <c r="I59" s="223" t="str">
        <f>IFERROR(__xludf.DUMMYFUNCTION("""COMPUTED_VALUE"""),"Customer who have shopped Body Lotion, Mist in last 100 days Online")</f>
        <v>Customer who have shopped Body Lotion, Mist in last 100 days Online</v>
      </c>
      <c r="J59" s="213">
        <f>IFERROR(__xludf.DUMMYFUNCTION("""COMPUTED_VALUE"""),28506.0)</f>
        <v>28506</v>
      </c>
      <c r="K59" s="213">
        <f>IFERROR(__xludf.DUMMYFUNCTION("""COMPUTED_VALUE"""),18002.0)</f>
        <v>18002</v>
      </c>
      <c r="L59" s="214">
        <f>IFERROR(__xludf.DUMMYFUNCTION("""COMPUTED_VALUE"""),0.6315)</f>
        <v>0.6315</v>
      </c>
      <c r="M59" s="213"/>
      <c r="N59" s="214"/>
      <c r="O59" s="213">
        <f>IFERROR(__xludf.DUMMYFUNCTION("""COMPUTED_VALUE"""),59.0)</f>
        <v>59</v>
      </c>
      <c r="P59" s="213"/>
      <c r="Q59" s="214">
        <f>IFERROR(__xludf.DUMMYFUNCTION("""COMPUTED_VALUE"""),0.0033)</f>
        <v>0.0033</v>
      </c>
      <c r="R59" s="214"/>
      <c r="S59" s="101">
        <f>IFERROR(__xludf.DUMMYFUNCTION("""COMPUTED_VALUE"""),17.0)</f>
        <v>17</v>
      </c>
      <c r="T59" s="101">
        <f>IFERROR(__xludf.DUMMYFUNCTION("""COMPUTED_VALUE"""),77.0)</f>
        <v>77</v>
      </c>
      <c r="U59" s="213">
        <f>IFERROR(__xludf.DUMMYFUNCTION("""COMPUTED_VALUE"""),39017.0)</f>
        <v>39017</v>
      </c>
      <c r="V59" s="271" t="str">
        <f>IFERROR(__xludf.DUMMYFUNCTION("""COMPUTED_VALUE"""),"online")</f>
        <v>online</v>
      </c>
      <c r="W59" s="98" t="str">
        <f>IFERROR(__xludf.DUMMYFUNCTION("""COMPUTED_VALUE"""),"SMS")</f>
        <v>SMS</v>
      </c>
      <c r="X59" s="98" t="str">
        <f>IFERROR(__xludf.DUMMYFUNCTION("""COMPUTED_VALUE"""),"Recent")</f>
        <v>Recent</v>
      </c>
      <c r="Y59" s="98" t="str">
        <f>IFERROR(__xludf.DUMMYFUNCTION("""COMPUTED_VALUE"""),"21st Jan to 22nd Jan")</f>
        <v>21st Jan to 22nd Jan</v>
      </c>
      <c r="Z59" s="98" t="str">
        <f>IFERROR(__xludf.DUMMYFUNCTION("""COMPUTED_VALUE"""),"696f699b3ad4c77430869e7a")</f>
        <v>696f699b3ad4c77430869e7a</v>
      </c>
      <c r="AA59" s="98">
        <f>IFERROR(__xludf.DUMMYFUNCTION("""COMPUTED_VALUE"""),73.0)</f>
        <v>73</v>
      </c>
      <c r="AB59" s="98">
        <f>IFERROR(__xludf.DUMMYFUNCTION("""COMPUTED_VALUE"""),73.0)</f>
        <v>73</v>
      </c>
      <c r="AC59" s="98"/>
      <c r="AD59" s="98">
        <f>IFERROR(__xludf.DUMMYFUNCTION("""COMPUTED_VALUE"""),136438.0)</f>
        <v>136438</v>
      </c>
      <c r="AE59" s="98">
        <f>IFERROR(__xludf.DUMMYFUNCTION("""COMPUTED_VALUE"""),136438.0)</f>
        <v>136438</v>
      </c>
      <c r="AF59" s="98"/>
      <c r="AG59" s="208"/>
      <c r="AH59" s="208"/>
      <c r="AI59" s="208"/>
      <c r="AJ59" s="208"/>
      <c r="AK59" s="208"/>
    </row>
    <row r="60" hidden="1">
      <c r="A60" s="209">
        <f>IFERROR(__xludf.DUMMYFUNCTION("""COMPUTED_VALUE"""),46043.0)</f>
        <v>46043</v>
      </c>
      <c r="B60" s="210">
        <f>IFERROR(__xludf.DUMMYFUNCTION("""COMPUTED_VALUE"""),0.8229166666678793)</f>
        <v>0.8229166667</v>
      </c>
      <c r="C60" s="211" t="str">
        <f>IFERROR(__xludf.DUMMYFUNCTION("""COMPUTED_VALUE"""),"Sms")</f>
        <v>Sms</v>
      </c>
      <c r="D60" s="211" t="str">
        <f>IFERROR(__xludf.DUMMYFUNCTION("""COMPUTED_VALUE"""),"Promotional")</f>
        <v>Promotional</v>
      </c>
      <c r="E60" s="211" t="str">
        <f>IFERROR(__xludf.DUMMYFUNCTION("""COMPUTED_VALUE"""),"BBW")</f>
        <v>BBW</v>
      </c>
      <c r="F60" s="211" t="str">
        <f>IFERROR(__xludf.DUMMYFUNCTION("""COMPUTED_VALUE"""),"Mist and Body lotion")</f>
        <v>Mist and Body lotion</v>
      </c>
      <c r="G60" s="212" t="str">
        <f>IFERROR(__xludf.DUMMYFUNCTION("""COMPUTED_VALUE"""),"bbw_FSMist&amp;BL21.1_eventbuy")</f>
        <v>bbw_FSMist&amp;BL21.1_eventbuy</v>
      </c>
      <c r="H60" s="212" t="str">
        <f>IFERROR(__xludf.DUMMYFUNCTION("""COMPUTED_VALUE"""),"MIBL_EventBuyers_ONOFF OR AGIPL_Internal OR BBW_Internal")</f>
        <v>MIBL_EventBuyers_ONOFF OR AGIPL_Internal OR BBW_Internal</v>
      </c>
      <c r="I60" s="212" t="str">
        <f>IFERROR(__xludf.DUMMYFUNCTION("""COMPUTED_VALUE"""),"Customers who have purchased in Mist and BL/BC/BB events in 2025 both online and offline")</f>
        <v>Customers who have purchased in Mist and BL/BC/BB events in 2025 both online and offline</v>
      </c>
      <c r="J60" s="213">
        <f>IFERROR(__xludf.DUMMYFUNCTION("""COMPUTED_VALUE"""),44998.0)</f>
        <v>44998</v>
      </c>
      <c r="K60" s="213">
        <f>IFERROR(__xludf.DUMMYFUNCTION("""COMPUTED_VALUE"""),28107.0)</f>
        <v>28107</v>
      </c>
      <c r="L60" s="214">
        <f>IFERROR(__xludf.DUMMYFUNCTION("""COMPUTED_VALUE"""),0.6246)</f>
        <v>0.6246</v>
      </c>
      <c r="M60" s="213"/>
      <c r="N60" s="214"/>
      <c r="O60" s="101">
        <f>IFERROR(__xludf.DUMMYFUNCTION("""COMPUTED_VALUE"""),58.0)</f>
        <v>58</v>
      </c>
      <c r="P60" s="101"/>
      <c r="Q60" s="214">
        <f>IFERROR(__xludf.DUMMYFUNCTION("""COMPUTED_VALUE"""),0.0021)</f>
        <v>0.0021</v>
      </c>
      <c r="R60" s="214"/>
      <c r="S60" s="101">
        <f>IFERROR(__xludf.DUMMYFUNCTION("""COMPUTED_VALUE"""),17.0)</f>
        <v>17</v>
      </c>
      <c r="T60" s="101">
        <f>IFERROR(__xludf.DUMMYFUNCTION("""COMPUTED_VALUE"""),35.0)</f>
        <v>35</v>
      </c>
      <c r="U60" s="270">
        <f>IFERROR(__xludf.DUMMYFUNCTION("""COMPUTED_VALUE"""),73110.0)</f>
        <v>73110</v>
      </c>
      <c r="V60" s="271" t="str">
        <f>IFERROR(__xludf.DUMMYFUNCTION("""COMPUTED_VALUE"""),"overall")</f>
        <v>overall</v>
      </c>
      <c r="W60" s="272" t="str">
        <f>IFERROR(__xludf.DUMMYFUNCTION("""COMPUTED_VALUE"""),"SMS")</f>
        <v>SMS</v>
      </c>
      <c r="X60" s="272" t="str">
        <f>IFERROR(__xludf.DUMMYFUNCTION("""COMPUTED_VALUE"""),"Event Buyers")</f>
        <v>Event Buyers</v>
      </c>
      <c r="Y60" s="272" t="str">
        <f>IFERROR(__xludf.DUMMYFUNCTION("""COMPUTED_VALUE"""),"21st Jan to 22nd Jan")</f>
        <v>21st Jan to 22nd Jan</v>
      </c>
      <c r="Z60" s="272" t="str">
        <f>IFERROR(__xludf.DUMMYFUNCTION("""COMPUTED_VALUE"""),"696f69aeff64048e68937da1")</f>
        <v>696f69aeff64048e68937da1</v>
      </c>
      <c r="AA60" s="272">
        <f>IFERROR(__xludf.DUMMYFUNCTION("""COMPUTED_VALUE"""),99.0)</f>
        <v>99</v>
      </c>
      <c r="AB60" s="272">
        <f>IFERROR(__xludf.DUMMYFUNCTION("""COMPUTED_VALUE"""),50.0)</f>
        <v>50</v>
      </c>
      <c r="AC60" s="272">
        <f>IFERROR(__xludf.DUMMYFUNCTION("""COMPUTED_VALUE"""),49.0)</f>
        <v>49</v>
      </c>
      <c r="AD60" s="272">
        <f>IFERROR(__xludf.DUMMYFUNCTION("""COMPUTED_VALUE"""),434911.0)</f>
        <v>434911</v>
      </c>
      <c r="AE60" s="272">
        <f>IFERROR(__xludf.DUMMYFUNCTION("""COMPUTED_VALUE"""),109529.0)</f>
        <v>109529</v>
      </c>
      <c r="AF60" s="272">
        <f>IFERROR(__xludf.DUMMYFUNCTION("""COMPUTED_VALUE"""),325382.0)</f>
        <v>325382</v>
      </c>
      <c r="AG60" s="208"/>
      <c r="AH60" s="208"/>
      <c r="AI60" s="208"/>
      <c r="AJ60" s="208"/>
      <c r="AK60" s="208"/>
    </row>
    <row r="61" hidden="1">
      <c r="A61" s="245">
        <f>IFERROR(__xludf.DUMMYFUNCTION("""COMPUTED_VALUE"""),46043.0)</f>
        <v>46043</v>
      </c>
      <c r="B61" s="246">
        <f>IFERROR(__xludf.DUMMYFUNCTION("""COMPUTED_VALUE"""),0.8229166666678793)</f>
        <v>0.8229166667</v>
      </c>
      <c r="C61" s="221" t="str">
        <f>IFERROR(__xludf.DUMMYFUNCTION("""COMPUTED_VALUE"""),"Sms")</f>
        <v>Sms</v>
      </c>
      <c r="D61" s="221" t="str">
        <f>IFERROR(__xludf.DUMMYFUNCTION("""COMPUTED_VALUE"""),"Promotional")</f>
        <v>Promotional</v>
      </c>
      <c r="E61" s="221" t="str">
        <f>IFERROR(__xludf.DUMMYFUNCTION("""COMPUTED_VALUE"""),"BBW")</f>
        <v>BBW</v>
      </c>
      <c r="F61" s="222" t="str">
        <f>IFERROR(__xludf.DUMMYFUNCTION("""COMPUTED_VALUE"""),"Mist and Body lotion")</f>
        <v>Mist and Body lotion</v>
      </c>
      <c r="G61" s="221" t="str">
        <f>IFERROR(__xludf.DUMMYFUNCTION("""COMPUTED_VALUE"""),"bbw_FSMist&amp;BL21.1_loyal")</f>
        <v>bbw_FSMist&amp;BL21.1_loyal</v>
      </c>
      <c r="H61" s="269" t="str">
        <f>IFERROR(__xludf.DUMMYFUNCTION("""COMPUTED_VALUE"""),"MIBL_Loyal3Times_ON")</f>
        <v>MIBL_Loyal3Times_ON</v>
      </c>
      <c r="I61" s="223" t="str">
        <f>IFERROR(__xludf.DUMMYFUNCTION("""COMPUTED_VALUE"""),"Customers who have purchased Mist , Body Lotion atleast 3 times and online")</f>
        <v>Customers who have purchased Mist , Body Lotion atleast 3 times and online</v>
      </c>
      <c r="J61" s="213">
        <f>IFERROR(__xludf.DUMMYFUNCTION("""COMPUTED_VALUE"""),10525.0)</f>
        <v>10525</v>
      </c>
      <c r="K61" s="213">
        <f>IFERROR(__xludf.DUMMYFUNCTION("""COMPUTED_VALUE"""),6610.0)</f>
        <v>6610</v>
      </c>
      <c r="L61" s="214">
        <f>IFERROR(__xludf.DUMMYFUNCTION("""COMPUTED_VALUE"""),0.628)</f>
        <v>0.628</v>
      </c>
      <c r="M61" s="213"/>
      <c r="N61" s="214"/>
      <c r="O61" s="213">
        <f>IFERROR(__xludf.DUMMYFUNCTION("""COMPUTED_VALUE"""),29.0)</f>
        <v>29</v>
      </c>
      <c r="P61" s="213"/>
      <c r="Q61" s="214">
        <f>IFERROR(__xludf.DUMMYFUNCTION("""COMPUTED_VALUE"""),0.0044)</f>
        <v>0.0044</v>
      </c>
      <c r="R61" s="214"/>
      <c r="S61" s="101">
        <f>IFERROR(__xludf.DUMMYFUNCTION("""COMPUTED_VALUE"""),11.0)</f>
        <v>11</v>
      </c>
      <c r="T61" s="101">
        <f>IFERROR(__xludf.DUMMYFUNCTION("""COMPUTED_VALUE"""),19.0)</f>
        <v>19</v>
      </c>
      <c r="U61" s="213">
        <f>IFERROR(__xludf.DUMMYFUNCTION("""COMPUTED_VALUE"""),26865.0)</f>
        <v>26865</v>
      </c>
      <c r="V61" s="271" t="str">
        <f>IFERROR(__xludf.DUMMYFUNCTION("""COMPUTED_VALUE"""),"online")</f>
        <v>online</v>
      </c>
      <c r="W61" s="98" t="str">
        <f>IFERROR(__xludf.DUMMYFUNCTION("""COMPUTED_VALUE"""),"SMS")</f>
        <v>SMS</v>
      </c>
      <c r="X61" s="98" t="str">
        <f>IFERROR(__xludf.DUMMYFUNCTION("""COMPUTED_VALUE"""),"Loyal")</f>
        <v>Loyal</v>
      </c>
      <c r="Y61" s="98" t="str">
        <f>IFERROR(__xludf.DUMMYFUNCTION("""COMPUTED_VALUE"""),"21st Jan to 22nd Jan")</f>
        <v>21st Jan to 22nd Jan</v>
      </c>
      <c r="Z61" s="98" t="str">
        <f>IFERROR(__xludf.DUMMYFUNCTION("""COMPUTED_VALUE"""),"696f69d2f0d041db19ba9e46")</f>
        <v>696f69d2f0d041db19ba9e46</v>
      </c>
      <c r="AA61" s="98">
        <f>IFERROR(__xludf.DUMMYFUNCTION("""COMPUTED_VALUE"""),34.0)</f>
        <v>34</v>
      </c>
      <c r="AB61" s="98">
        <f>IFERROR(__xludf.DUMMYFUNCTION("""COMPUTED_VALUE"""),34.0)</f>
        <v>34</v>
      </c>
      <c r="AC61" s="98"/>
      <c r="AD61" s="98">
        <f>IFERROR(__xludf.DUMMYFUNCTION("""COMPUTED_VALUE"""),76907.0)</f>
        <v>76907</v>
      </c>
      <c r="AE61" s="98">
        <f>IFERROR(__xludf.DUMMYFUNCTION("""COMPUTED_VALUE"""),76907.0)</f>
        <v>76907</v>
      </c>
      <c r="AF61" s="98"/>
      <c r="AG61" s="208"/>
      <c r="AH61" s="208"/>
      <c r="AI61" s="208"/>
      <c r="AJ61" s="208"/>
      <c r="AK61" s="208"/>
    </row>
    <row r="62" hidden="1">
      <c r="A62" s="245">
        <f>IFERROR(__xludf.DUMMYFUNCTION("""COMPUTED_VALUE"""),46043.0)</f>
        <v>46043</v>
      </c>
      <c r="B62" s="246">
        <f>IFERROR(__xludf.DUMMYFUNCTION("""COMPUTED_VALUE"""),0.8229166666678793)</f>
        <v>0.8229166667</v>
      </c>
      <c r="C62" s="221" t="str">
        <f>IFERROR(__xludf.DUMMYFUNCTION("""COMPUTED_VALUE"""),"Sms")</f>
        <v>Sms</v>
      </c>
      <c r="D62" s="221" t="str">
        <f>IFERROR(__xludf.DUMMYFUNCTION("""COMPUTED_VALUE"""),"Promotional")</f>
        <v>Promotional</v>
      </c>
      <c r="E62" s="221" t="str">
        <f>IFERROR(__xludf.DUMMYFUNCTION("""COMPUTED_VALUE"""),"BBW")</f>
        <v>BBW</v>
      </c>
      <c r="F62" s="222" t="str">
        <f>IFERROR(__xludf.DUMMYFUNCTION("""COMPUTED_VALUE"""),"Mist and Body lotion")</f>
        <v>Mist and Body lotion</v>
      </c>
      <c r="G62" s="221" t="str">
        <f>IFERROR(__xludf.DUMMYFUNCTION("""COMPUTED_VALUE"""),"bbw_FSMist&amp;BL21.1_dorm")</f>
        <v>bbw_FSMist&amp;BL21.1_dorm</v>
      </c>
      <c r="H62" s="269" t="str">
        <f>IFERROR(__xludf.DUMMYFUNCTION("""COMPUTED_VALUE"""),"MIBL_2025_ON")</f>
        <v>MIBL_2025_ON</v>
      </c>
      <c r="I62" s="223" t="str">
        <f>IFERROR(__xludf.DUMMYFUNCTION("""COMPUTED_VALUE"""),"Customers who have purchased from 1st Jan 2026 to 18th Jan 2025 Mist or Body Lotion and Online")</f>
        <v>Customers who have purchased from 1st Jan 2026 to 18th Jan 2025 Mist or Body Lotion and Online</v>
      </c>
      <c r="J62" s="213">
        <f>IFERROR(__xludf.DUMMYFUNCTION("""COMPUTED_VALUE"""),35102.0)</f>
        <v>35102</v>
      </c>
      <c r="K62" s="213">
        <f>IFERROR(__xludf.DUMMYFUNCTION("""COMPUTED_VALUE"""),23197.0)</f>
        <v>23197</v>
      </c>
      <c r="L62" s="214">
        <f>IFERROR(__xludf.DUMMYFUNCTION("""COMPUTED_VALUE"""),0.6608)</f>
        <v>0.6608</v>
      </c>
      <c r="M62" s="213"/>
      <c r="N62" s="214"/>
      <c r="O62" s="213">
        <f>IFERROR(__xludf.DUMMYFUNCTION("""COMPUTED_VALUE"""),64.0)</f>
        <v>64</v>
      </c>
      <c r="P62" s="213"/>
      <c r="Q62" s="214">
        <f>IFERROR(__xludf.DUMMYFUNCTION("""COMPUTED_VALUE"""),0.0028)</f>
        <v>0.0028</v>
      </c>
      <c r="R62" s="214"/>
      <c r="S62" s="101">
        <f>IFERROR(__xludf.DUMMYFUNCTION("""COMPUTED_VALUE"""),10.0)</f>
        <v>10</v>
      </c>
      <c r="T62" s="101">
        <f>IFERROR(__xludf.DUMMYFUNCTION("""COMPUTED_VALUE"""),28.0)</f>
        <v>28</v>
      </c>
      <c r="U62" s="213">
        <f>IFERROR(__xludf.DUMMYFUNCTION("""COMPUTED_VALUE"""),23662.0)</f>
        <v>23662</v>
      </c>
      <c r="V62" s="271" t="str">
        <f>IFERROR(__xludf.DUMMYFUNCTION("""COMPUTED_VALUE"""),"online")</f>
        <v>online</v>
      </c>
      <c r="W62" s="98" t="str">
        <f>IFERROR(__xludf.DUMMYFUNCTION("""COMPUTED_VALUE"""),"SMS")</f>
        <v>SMS</v>
      </c>
      <c r="X62" s="98" t="str">
        <f>IFERROR(__xludf.DUMMYFUNCTION("""COMPUTED_VALUE"""),"Dormant")</f>
        <v>Dormant</v>
      </c>
      <c r="Y62" s="98" t="str">
        <f>IFERROR(__xludf.DUMMYFUNCTION("""COMPUTED_VALUE"""),"21st Jan to 22nd Jan")</f>
        <v>21st Jan to 22nd Jan</v>
      </c>
      <c r="Z62" s="98" t="str">
        <f>IFERROR(__xludf.DUMMYFUNCTION("""COMPUTED_VALUE"""),"696f69f351233abeac53561a")</f>
        <v>696f69f351233abeac53561a</v>
      </c>
      <c r="AA62" s="98">
        <f>IFERROR(__xludf.DUMMYFUNCTION("""COMPUTED_VALUE"""),52.0)</f>
        <v>52</v>
      </c>
      <c r="AB62" s="98">
        <f>IFERROR(__xludf.DUMMYFUNCTION("""COMPUTED_VALUE"""),52.0)</f>
        <v>52</v>
      </c>
      <c r="AC62" s="98"/>
      <c r="AD62" s="98">
        <f>IFERROR(__xludf.DUMMYFUNCTION("""COMPUTED_VALUE"""),101181.0)</f>
        <v>101181</v>
      </c>
      <c r="AE62" s="98">
        <f>IFERROR(__xludf.DUMMYFUNCTION("""COMPUTED_VALUE"""),101181.0)</f>
        <v>101181</v>
      </c>
      <c r="AF62" s="98"/>
      <c r="AG62" s="208"/>
      <c r="AH62" s="208"/>
      <c r="AI62" s="208"/>
      <c r="AJ62" s="208"/>
      <c r="AK62" s="208"/>
    </row>
    <row r="63" hidden="1">
      <c r="A63" s="215">
        <f>IFERROR(__xludf.DUMMYFUNCTION("""COMPUTED_VALUE"""),46044.0)</f>
        <v>46044</v>
      </c>
      <c r="B63" s="210">
        <f>IFERROR(__xludf.DUMMYFUNCTION("""COMPUTED_VALUE"""),0.8333333333321207)</f>
        <v>0.8333333333</v>
      </c>
      <c r="C63" s="211" t="str">
        <f>IFERROR(__xludf.DUMMYFUNCTION("""COMPUTED_VALUE"""),"Sms")</f>
        <v>Sms</v>
      </c>
      <c r="D63" s="211" t="str">
        <f>IFERROR(__xludf.DUMMYFUNCTION("""COMPUTED_VALUE"""),"Fallback Campaign")</f>
        <v>Fallback Campaign</v>
      </c>
      <c r="E63" s="211" t="str">
        <f>IFERROR(__xludf.DUMMYFUNCTION("""COMPUTED_VALUE"""),"BBW")</f>
        <v>BBW</v>
      </c>
      <c r="F63" s="211" t="str">
        <f>IFERROR(__xludf.DUMMYFUNCTION("""COMPUTED_VALUE"""),"B2G2")</f>
        <v>B2G2</v>
      </c>
      <c r="G63" s="211" t="str">
        <f>IFERROR(__xludf.DUMMYFUNCTION("""COMPUTED_VALUE"""),"bbw_eab2g2_22.1_eventbuy_WAfb")</f>
        <v>bbw_eab2g2_22.1_eventbuy_WAfb</v>
      </c>
      <c r="H63" s="112" t="str">
        <f>IFERROR(__xludf.DUMMYFUNCTION("""COMPUTED_VALUE"""),"B2G2_EventBuyers2025_ON")</f>
        <v>B2G2_EventBuyers2025_ON</v>
      </c>
      <c r="I63" s="212" t="str">
        <f>IFERROR(__xludf.DUMMYFUNCTION("""COMPUTED_VALUE"""),"WA Undelivered")</f>
        <v>WA Undelivered</v>
      </c>
      <c r="J63" s="213">
        <f>IFERROR(__xludf.DUMMYFUNCTION("""COMPUTED_VALUE"""),3840.0)</f>
        <v>3840</v>
      </c>
      <c r="K63" s="213">
        <f>IFERROR(__xludf.DUMMYFUNCTION("""COMPUTED_VALUE"""),2047.0)</f>
        <v>2047</v>
      </c>
      <c r="L63" s="214">
        <f>IFERROR(__xludf.DUMMYFUNCTION("""COMPUTED_VALUE"""),0.5331)</f>
        <v>0.5331</v>
      </c>
      <c r="M63" s="213"/>
      <c r="N63" s="214"/>
      <c r="O63" s="101">
        <f>IFERROR(__xludf.DUMMYFUNCTION("""COMPUTED_VALUE"""),7.0)</f>
        <v>7</v>
      </c>
      <c r="P63" s="101"/>
      <c r="Q63" s="214">
        <f>IFERROR(__xludf.DUMMYFUNCTION("""COMPUTED_VALUE"""),0.0034)</f>
        <v>0.0034</v>
      </c>
      <c r="R63" s="214"/>
      <c r="S63" s="101">
        <f>IFERROR(__xludf.DUMMYFUNCTION("""COMPUTED_VALUE"""),4.0)</f>
        <v>4</v>
      </c>
      <c r="T63" s="101">
        <f>IFERROR(__xludf.DUMMYFUNCTION("""COMPUTED_VALUE"""),4.0)</f>
        <v>4</v>
      </c>
      <c r="U63" s="213">
        <f>IFERROR(__xludf.DUMMYFUNCTION("""COMPUTED_VALUE"""),14090.0)</f>
        <v>14090</v>
      </c>
      <c r="V63" s="271" t="str">
        <f>IFERROR(__xludf.DUMMYFUNCTION("""COMPUTED_VALUE"""),"online")</f>
        <v>online</v>
      </c>
      <c r="W63" s="98" t="str">
        <f>IFERROR(__xludf.DUMMYFUNCTION("""COMPUTED_VALUE"""),"SMS")</f>
        <v>SMS</v>
      </c>
      <c r="X63" s="98" t="str">
        <f>IFERROR(__xludf.DUMMYFUNCTION("""COMPUTED_VALUE"""),"Event Buyers")</f>
        <v>Event Buyers</v>
      </c>
      <c r="Y63" s="98" t="str">
        <f>IFERROR(__xludf.DUMMYFUNCTION("""COMPUTED_VALUE"""),"22nd Jan to 26th Jan")</f>
        <v>22nd Jan to 26th Jan</v>
      </c>
      <c r="Z63" s="98" t="str">
        <f>IFERROR(__xludf.DUMMYFUNCTION("""COMPUTED_VALUE"""),"6971fabdbcc97f0f93917a42")</f>
        <v>6971fabdbcc97f0f93917a42</v>
      </c>
      <c r="AA63" s="98">
        <f>IFERROR(__xludf.DUMMYFUNCTION("""COMPUTED_VALUE"""),19.0)</f>
        <v>19</v>
      </c>
      <c r="AB63" s="98">
        <f>IFERROR(__xludf.DUMMYFUNCTION("""COMPUTED_VALUE"""),19.0)</f>
        <v>19</v>
      </c>
      <c r="AC63" s="98"/>
      <c r="AD63" s="98">
        <f>IFERROR(__xludf.DUMMYFUNCTION("""COMPUTED_VALUE"""),74389.0)</f>
        <v>74389</v>
      </c>
      <c r="AE63" s="98">
        <f>IFERROR(__xludf.DUMMYFUNCTION("""COMPUTED_VALUE"""),74389.0)</f>
        <v>74389</v>
      </c>
      <c r="AF63" s="98"/>
      <c r="AG63" s="208"/>
      <c r="AH63" s="208"/>
      <c r="AI63" s="208"/>
      <c r="AJ63" s="208"/>
      <c r="AK63" s="208"/>
    </row>
    <row r="64" hidden="1">
      <c r="A64" s="216">
        <f>IFERROR(__xludf.DUMMYFUNCTION("""COMPUTED_VALUE"""),46044.0)</f>
        <v>46044</v>
      </c>
      <c r="B64" s="210">
        <f>IFERROR(__xludf.DUMMYFUNCTION("""COMPUTED_VALUE"""),0.8333333333321207)</f>
        <v>0.8333333333</v>
      </c>
      <c r="C64" s="210" t="str">
        <f>IFERROR(__xludf.DUMMYFUNCTION("""COMPUTED_VALUE"""),"Sms")</f>
        <v>Sms</v>
      </c>
      <c r="D64" s="210" t="str">
        <f>IFERROR(__xludf.DUMMYFUNCTION("""COMPUTED_VALUE"""),"Fallback Campaign")</f>
        <v>Fallback Campaign</v>
      </c>
      <c r="E64" s="211" t="str">
        <f>IFERROR(__xludf.DUMMYFUNCTION("""COMPUTED_VALUE"""),"BBW")</f>
        <v>BBW</v>
      </c>
      <c r="F64" s="211" t="str">
        <f>IFERROR(__xludf.DUMMYFUNCTION("""COMPUTED_VALUE"""),"B2G2")</f>
        <v>B2G2</v>
      </c>
      <c r="G64" s="211" t="str">
        <f>IFERROR(__xludf.DUMMYFUNCTION("""COMPUTED_VALUE"""),"bbw_eab2g2_22.1_recent_WAfb")</f>
        <v>bbw_eab2g2_22.1_recent_WAfb</v>
      </c>
      <c r="H64" s="211" t="str">
        <f>IFERROR(__xludf.DUMMYFUNCTION("""COMPUTED_VALUE"""),"B2G2_Recent96_ON OR AGIPL_Internal OR BBW_Internal")</f>
        <v>B2G2_Recent96_ON OR AGIPL_Internal OR BBW_Internal</v>
      </c>
      <c r="I64" s="223" t="str">
        <f>IFERROR(__xludf.DUMMYFUNCTION("""COMPUTED_VALUE"""),"WA Undelivered")</f>
        <v>WA Undelivered</v>
      </c>
      <c r="J64" s="213">
        <f>IFERROR(__xludf.DUMMYFUNCTION("""COMPUTED_VALUE"""),32888.0)</f>
        <v>32888</v>
      </c>
      <c r="K64" s="213">
        <f>IFERROR(__xludf.DUMMYFUNCTION("""COMPUTED_VALUE"""),18425.0)</f>
        <v>18425</v>
      </c>
      <c r="L64" s="214">
        <f>IFERROR(__xludf.DUMMYFUNCTION("""COMPUTED_VALUE"""),0.5602)</f>
        <v>0.5602</v>
      </c>
      <c r="M64" s="213"/>
      <c r="N64" s="214"/>
      <c r="O64" s="213">
        <f>IFERROR(__xludf.DUMMYFUNCTION("""COMPUTED_VALUE"""),73.0)</f>
        <v>73</v>
      </c>
      <c r="P64" s="213"/>
      <c r="Q64" s="214">
        <f>IFERROR(__xludf.DUMMYFUNCTION("""COMPUTED_VALUE"""),0.004)</f>
        <v>0.004</v>
      </c>
      <c r="R64" s="214"/>
      <c r="S64" s="101">
        <f>IFERROR(__xludf.DUMMYFUNCTION("""COMPUTED_VALUE"""),18.0)</f>
        <v>18</v>
      </c>
      <c r="T64" s="101">
        <f>IFERROR(__xludf.DUMMYFUNCTION("""COMPUTED_VALUE"""),55.0)</f>
        <v>55</v>
      </c>
      <c r="U64" s="213">
        <f>IFERROR(__xludf.DUMMYFUNCTION("""COMPUTED_VALUE"""),46114.0)</f>
        <v>46114</v>
      </c>
      <c r="V64" s="271" t="str">
        <f>IFERROR(__xludf.DUMMYFUNCTION("""COMPUTED_VALUE"""),"online")</f>
        <v>online</v>
      </c>
      <c r="W64" s="98" t="str">
        <f>IFERROR(__xludf.DUMMYFUNCTION("""COMPUTED_VALUE"""),"SMS")</f>
        <v>SMS</v>
      </c>
      <c r="X64" s="98" t="str">
        <f>IFERROR(__xludf.DUMMYFUNCTION("""COMPUTED_VALUE"""),"Recent")</f>
        <v>Recent</v>
      </c>
      <c r="Y64" s="98" t="str">
        <f>IFERROR(__xludf.DUMMYFUNCTION("""COMPUTED_VALUE"""),"22nd Jan to 26th Jan")</f>
        <v>22nd Jan to 26th Jan</v>
      </c>
      <c r="Z64" s="98" t="str">
        <f>IFERROR(__xludf.DUMMYFUNCTION("""COMPUTED_VALUE"""),"6971fb68ca0786a6569be84b")</f>
        <v>6971fb68ca0786a6569be84b</v>
      </c>
      <c r="AA64" s="98">
        <f>IFERROR(__xludf.DUMMYFUNCTION("""COMPUTED_VALUE"""),128.0)</f>
        <v>128</v>
      </c>
      <c r="AB64" s="98">
        <f>IFERROR(__xludf.DUMMYFUNCTION("""COMPUTED_VALUE"""),128.0)</f>
        <v>128</v>
      </c>
      <c r="AC64" s="98"/>
      <c r="AD64" s="98">
        <f>IFERROR(__xludf.DUMMYFUNCTION("""COMPUTED_VALUE"""),302951.0)</f>
        <v>302951</v>
      </c>
      <c r="AE64" s="98">
        <f>IFERROR(__xludf.DUMMYFUNCTION("""COMPUTED_VALUE"""),302951.0)</f>
        <v>302951</v>
      </c>
      <c r="AF64" s="98"/>
      <c r="AG64" s="208"/>
      <c r="AH64" s="208"/>
      <c r="AI64" s="208"/>
      <c r="AJ64" s="208"/>
      <c r="AK64" s="208"/>
    </row>
    <row r="65" hidden="1">
      <c r="A65" s="216">
        <f>IFERROR(__xludf.DUMMYFUNCTION("""COMPUTED_VALUE"""),46044.0)</f>
        <v>46044</v>
      </c>
      <c r="B65" s="217">
        <f>IFERROR(__xludf.DUMMYFUNCTION("""COMPUTED_VALUE"""),0.8333333333321207)</f>
        <v>0.8333333333</v>
      </c>
      <c r="C65" s="211" t="str">
        <f>IFERROR(__xludf.DUMMYFUNCTION("""COMPUTED_VALUE"""),"Sms")</f>
        <v>Sms</v>
      </c>
      <c r="D65" s="211" t="str">
        <f>IFERROR(__xludf.DUMMYFUNCTION("""COMPUTED_VALUE"""),"Fallback Campaign")</f>
        <v>Fallback Campaign</v>
      </c>
      <c r="E65" s="211" t="str">
        <f>IFERROR(__xludf.DUMMYFUNCTION("""COMPUTED_VALUE"""),"BBW")</f>
        <v>BBW</v>
      </c>
      <c r="F65" s="211" t="str">
        <f>IFERROR(__xludf.DUMMYFUNCTION("""COMPUTED_VALUE"""),"B2G2")</f>
        <v>B2G2</v>
      </c>
      <c r="G65" s="211" t="str">
        <f>IFERROR(__xludf.DUMMYFUNCTION("""COMPUTED_VALUE"""),"bbw_eab2g2_22.1_repeat_WAfb")</f>
        <v>bbw_eab2g2_22.1_repeat_WAfb</v>
      </c>
      <c r="H65" s="112" t="str">
        <f>IFERROR(__xludf.DUMMYFUNCTION("""COMPUTED_VALUE"""),"B2G2_Repeat_ON")</f>
        <v>B2G2_Repeat_ON</v>
      </c>
      <c r="I65" s="212" t="str">
        <f>IFERROR(__xludf.DUMMYFUNCTION("""COMPUTED_VALUE"""),"WA Undelivered")</f>
        <v>WA Undelivered</v>
      </c>
      <c r="J65" s="213">
        <f>IFERROR(__xludf.DUMMYFUNCTION("""COMPUTED_VALUE"""),8787.0)</f>
        <v>8787</v>
      </c>
      <c r="K65" s="213">
        <f>IFERROR(__xludf.DUMMYFUNCTION("""COMPUTED_VALUE"""),4849.0)</f>
        <v>4849</v>
      </c>
      <c r="L65" s="214">
        <f>IFERROR(__xludf.DUMMYFUNCTION("""COMPUTED_VALUE"""),0.5518)</f>
        <v>0.5518</v>
      </c>
      <c r="M65" s="213"/>
      <c r="N65" s="214"/>
      <c r="O65" s="213">
        <f>IFERROR(__xludf.DUMMYFUNCTION("""COMPUTED_VALUE"""),19.0)</f>
        <v>19</v>
      </c>
      <c r="P65" s="213"/>
      <c r="Q65" s="214">
        <f>IFERROR(__xludf.DUMMYFUNCTION("""COMPUTED_VALUE"""),0.0039)</f>
        <v>0.0039</v>
      </c>
      <c r="R65" s="214"/>
      <c r="S65" s="101">
        <f>IFERROR(__xludf.DUMMYFUNCTION("""COMPUTED_VALUE"""),3.0)</f>
        <v>3</v>
      </c>
      <c r="T65" s="101">
        <f>IFERROR(__xludf.DUMMYFUNCTION("""COMPUTED_VALUE"""),8.0)</f>
        <v>8</v>
      </c>
      <c r="U65" s="213">
        <f>IFERROR(__xludf.DUMMYFUNCTION("""COMPUTED_VALUE"""),7864.0)</f>
        <v>7864</v>
      </c>
      <c r="V65" s="271" t="str">
        <f>IFERROR(__xludf.DUMMYFUNCTION("""COMPUTED_VALUE"""),"online")</f>
        <v>online</v>
      </c>
      <c r="W65" s="98" t="str">
        <f>IFERROR(__xludf.DUMMYFUNCTION("""COMPUTED_VALUE"""),"SMS")</f>
        <v>SMS</v>
      </c>
      <c r="X65" s="98" t="str">
        <f>IFERROR(__xludf.DUMMYFUNCTION("""COMPUTED_VALUE"""),"Repeat")</f>
        <v>Repeat</v>
      </c>
      <c r="Y65" s="98" t="str">
        <f>IFERROR(__xludf.DUMMYFUNCTION("""COMPUTED_VALUE"""),"22nd Jan to 26th Jan")</f>
        <v>22nd Jan to 26th Jan</v>
      </c>
      <c r="Z65" s="98" t="str">
        <f>IFERROR(__xludf.DUMMYFUNCTION("""COMPUTED_VALUE"""),"6971fb8e64ac97b849fc48ba")</f>
        <v>6971fb8e64ac97b849fc48ba</v>
      </c>
      <c r="AA65" s="98">
        <f>IFERROR(__xludf.DUMMYFUNCTION("""COMPUTED_VALUE"""),34.0)</f>
        <v>34</v>
      </c>
      <c r="AB65" s="98">
        <f>IFERROR(__xludf.DUMMYFUNCTION("""COMPUTED_VALUE"""),34.0)</f>
        <v>34</v>
      </c>
      <c r="AC65" s="98"/>
      <c r="AD65" s="98">
        <f>IFERROR(__xludf.DUMMYFUNCTION("""COMPUTED_VALUE"""),85337.0)</f>
        <v>85337</v>
      </c>
      <c r="AE65" s="98">
        <f>IFERROR(__xludf.DUMMYFUNCTION("""COMPUTED_VALUE"""),85337.0)</f>
        <v>85337</v>
      </c>
      <c r="AF65" s="98"/>
      <c r="AG65" s="208"/>
      <c r="AH65" s="208"/>
      <c r="AI65" s="208"/>
      <c r="AJ65" s="208"/>
      <c r="AK65" s="208"/>
    </row>
    <row r="66" hidden="1">
      <c r="A66" s="216">
        <f>IFERROR(__xludf.DUMMYFUNCTION("""COMPUTED_VALUE"""),46044.0)</f>
        <v>46044</v>
      </c>
      <c r="B66" s="210">
        <f>IFERROR(__xludf.DUMMYFUNCTION("""COMPUTED_VALUE"""),0.75)</f>
        <v>0.75</v>
      </c>
      <c r="C66" s="210" t="str">
        <f>IFERROR(__xludf.DUMMYFUNCTION("""COMPUTED_VALUE"""),"Rcs")</f>
        <v>Rcs</v>
      </c>
      <c r="D66" s="210" t="str">
        <f>IFERROR(__xludf.DUMMYFUNCTION("""COMPUTED_VALUE"""),"Promotional")</f>
        <v>Promotional</v>
      </c>
      <c r="E66" s="211" t="str">
        <f>IFERROR(__xludf.DUMMYFUNCTION("""COMPUTED_VALUE"""),"BBW")</f>
        <v>BBW</v>
      </c>
      <c r="F66" s="211" t="str">
        <f>IFERROR(__xludf.DUMMYFUNCTION("""COMPUTED_VALUE"""),"B2G2")</f>
        <v>B2G2</v>
      </c>
      <c r="G66" s="211" t="str">
        <f>IFERROR(__xludf.DUMMYFUNCTION("""COMPUTED_VALUE"""),"bbw_eab2g2_22.1_gen")</f>
        <v>bbw_eab2g2_22.1_gen</v>
      </c>
      <c r="H66" s="211" t="str">
        <f>IFERROR(__xludf.DUMMYFUNCTION("""COMPUTED_VALUE"""),"B2G2_2025Buyers_ON")</f>
        <v>B2G2_2025Buyers_ON</v>
      </c>
      <c r="I66" s="223" t="str">
        <f>IFERROR(__xludf.DUMMYFUNCTION("""COMPUTED_VALUE"""),"Customers who have purchased in 2025 online")</f>
        <v>Customers who have purchased in 2025 online</v>
      </c>
      <c r="J66" s="213">
        <f>IFERROR(__xludf.DUMMYFUNCTION("""COMPUTED_VALUE"""),71652.0)</f>
        <v>71652</v>
      </c>
      <c r="K66" s="213">
        <f>IFERROR(__xludf.DUMMYFUNCTION("""COMPUTED_VALUE"""),19000.0)</f>
        <v>19000</v>
      </c>
      <c r="L66" s="214">
        <f>IFERROR(__xludf.DUMMYFUNCTION("""COMPUTED_VALUE"""),0.2652)</f>
        <v>0.2652</v>
      </c>
      <c r="M66" s="213">
        <f>IFERROR(__xludf.DUMMYFUNCTION("""COMPUTED_VALUE"""),2279.0)</f>
        <v>2279</v>
      </c>
      <c r="N66" s="214">
        <f>IFERROR(__xludf.DUMMYFUNCTION("""COMPUTED_VALUE"""),0.12)</f>
        <v>0.12</v>
      </c>
      <c r="O66" s="213">
        <f>IFERROR(__xludf.DUMMYFUNCTION("""COMPUTED_VALUE"""),142.0)</f>
        <v>142</v>
      </c>
      <c r="P66" s="213"/>
      <c r="Q66" s="214">
        <f>IFERROR(__xludf.DUMMYFUNCTION("""COMPUTED_VALUE"""),0.0075)</f>
        <v>0.0075</v>
      </c>
      <c r="R66" s="214"/>
      <c r="S66" s="101">
        <f>IFERROR(__xludf.DUMMYFUNCTION("""COMPUTED_VALUE"""),7.0)</f>
        <v>7</v>
      </c>
      <c r="T66" s="101">
        <f>IFERROR(__xludf.DUMMYFUNCTION("""COMPUTED_VALUE"""),9.0)</f>
        <v>9</v>
      </c>
      <c r="U66" s="213">
        <f>IFERROR(__xludf.DUMMYFUNCTION("""COMPUTED_VALUE"""),16791.0)</f>
        <v>16791</v>
      </c>
      <c r="V66" s="271" t="str">
        <f>IFERROR(__xludf.DUMMYFUNCTION("""COMPUTED_VALUE"""),"online")</f>
        <v>online</v>
      </c>
      <c r="W66" s="98" t="str">
        <f>IFERROR(__xludf.DUMMYFUNCTION("""COMPUTED_VALUE"""),"RCS")</f>
        <v>RCS</v>
      </c>
      <c r="X66" s="98" t="str">
        <f>IFERROR(__xludf.DUMMYFUNCTION("""COMPUTED_VALUE"""),"Event Buyers")</f>
        <v>Event Buyers</v>
      </c>
      <c r="Y66" s="98" t="str">
        <f>IFERROR(__xludf.DUMMYFUNCTION("""COMPUTED_VALUE"""),"22nd Jan to 26th Jan")</f>
        <v>22nd Jan to 26th Jan</v>
      </c>
      <c r="Z66" s="98" t="str">
        <f>IFERROR(__xludf.DUMMYFUNCTION("""COMPUTED_VALUE"""),"69720608fcd3eb1a6cc35e51")</f>
        <v>69720608fcd3eb1a6cc35e51</v>
      </c>
      <c r="AA66" s="98">
        <f>IFERROR(__xludf.DUMMYFUNCTION("""COMPUTED_VALUE"""),42.0)</f>
        <v>42</v>
      </c>
      <c r="AB66" s="98">
        <f>IFERROR(__xludf.DUMMYFUNCTION("""COMPUTED_VALUE"""),42.0)</f>
        <v>42</v>
      </c>
      <c r="AC66" s="98"/>
      <c r="AD66" s="98">
        <f>IFERROR(__xludf.DUMMYFUNCTION("""COMPUTED_VALUE"""),119941.0)</f>
        <v>119941</v>
      </c>
      <c r="AE66" s="98">
        <f>IFERROR(__xludf.DUMMYFUNCTION("""COMPUTED_VALUE"""),119941.0)</f>
        <v>119941</v>
      </c>
      <c r="AF66" s="98"/>
      <c r="AG66" s="208"/>
      <c r="AH66" s="208"/>
      <c r="AI66" s="208"/>
      <c r="AJ66" s="208"/>
      <c r="AK66" s="208"/>
    </row>
    <row r="67" hidden="1">
      <c r="A67" s="216">
        <f>IFERROR(__xludf.DUMMYFUNCTION("""COMPUTED_VALUE"""),46044.0)</f>
        <v>46044</v>
      </c>
      <c r="B67" s="210">
        <f>IFERROR(__xludf.DUMMYFUNCTION("""COMPUTED_VALUE"""),0.8333333333321207)</f>
        <v>0.8333333333</v>
      </c>
      <c r="C67" s="210" t="str">
        <f>IFERROR(__xludf.DUMMYFUNCTION("""COMPUTED_VALUE"""),"Sms")</f>
        <v>Sms</v>
      </c>
      <c r="D67" s="210" t="str">
        <f>IFERROR(__xludf.DUMMYFUNCTION("""COMPUTED_VALUE"""),"Fallback Campaign")</f>
        <v>Fallback Campaign</v>
      </c>
      <c r="E67" s="211" t="str">
        <f>IFERROR(__xludf.DUMMYFUNCTION("""COMPUTED_VALUE"""),"BBW")</f>
        <v>BBW</v>
      </c>
      <c r="F67" s="211" t="str">
        <f>IFERROR(__xludf.DUMMYFUNCTION("""COMPUTED_VALUE"""),"B2G2")</f>
        <v>B2G2</v>
      </c>
      <c r="G67" s="211" t="str">
        <f>IFERROR(__xludf.DUMMYFUNCTION("""COMPUTED_VALUE"""),"bbw_eab2g2_22.1_gen_RCSfb")</f>
        <v>bbw_eab2g2_22.1_gen_RCSfb</v>
      </c>
      <c r="H67" s="211" t="str">
        <f>IFERROR(__xludf.DUMMYFUNCTION("""COMPUTED_VALUE"""),"B2G2_2025Buyers_ON")</f>
        <v>B2G2_2025Buyers_ON</v>
      </c>
      <c r="I67" s="223" t="str">
        <f>IFERROR(__xludf.DUMMYFUNCTION("""COMPUTED_VALUE"""),"RCS Delivery Failed")</f>
        <v>RCS Delivery Failed</v>
      </c>
      <c r="J67" s="213">
        <f>IFERROR(__xludf.DUMMYFUNCTION("""COMPUTED_VALUE"""),52642.0)</f>
        <v>52642</v>
      </c>
      <c r="K67" s="213">
        <f>IFERROR(__xludf.DUMMYFUNCTION("""COMPUTED_VALUE"""),32544.0)</f>
        <v>32544</v>
      </c>
      <c r="L67" s="214">
        <f>IFERROR(__xludf.DUMMYFUNCTION("""COMPUTED_VALUE"""),0.6182)</f>
        <v>0.6182</v>
      </c>
      <c r="M67" s="213"/>
      <c r="N67" s="214"/>
      <c r="O67" s="213">
        <f>IFERROR(__xludf.DUMMYFUNCTION("""COMPUTED_VALUE"""),100.0)</f>
        <v>100</v>
      </c>
      <c r="P67" s="213"/>
      <c r="Q67" s="214">
        <f>IFERROR(__xludf.DUMMYFUNCTION("""COMPUTED_VALUE"""),0.0031)</f>
        <v>0.0031</v>
      </c>
      <c r="R67" s="214"/>
      <c r="S67" s="101">
        <f>IFERROR(__xludf.DUMMYFUNCTION("""COMPUTED_VALUE"""),11.0)</f>
        <v>11</v>
      </c>
      <c r="T67" s="101">
        <f>IFERROR(__xludf.DUMMYFUNCTION("""COMPUTED_VALUE"""),25.0)</f>
        <v>25</v>
      </c>
      <c r="U67" s="213">
        <f>IFERROR(__xludf.DUMMYFUNCTION("""COMPUTED_VALUE"""),26419.0)</f>
        <v>26419</v>
      </c>
      <c r="V67" s="271" t="str">
        <f>IFERROR(__xludf.DUMMYFUNCTION("""COMPUTED_VALUE"""),"online")</f>
        <v>online</v>
      </c>
      <c r="W67" s="98" t="str">
        <f>IFERROR(__xludf.DUMMYFUNCTION("""COMPUTED_VALUE"""),"SMS")</f>
        <v>SMS</v>
      </c>
      <c r="X67" s="98" t="str">
        <f>IFERROR(__xludf.DUMMYFUNCTION("""COMPUTED_VALUE"""),"Event Buyers")</f>
        <v>Event Buyers</v>
      </c>
      <c r="Y67" s="98" t="str">
        <f>IFERROR(__xludf.DUMMYFUNCTION("""COMPUTED_VALUE"""),"22nd Jan to 26th Jan")</f>
        <v>22nd Jan to 26th Jan</v>
      </c>
      <c r="Z67" s="98" t="str">
        <f>IFERROR(__xludf.DUMMYFUNCTION("""COMPUTED_VALUE"""),"6972071d69b2e8b09bfcb383")</f>
        <v>6972071d69b2e8b09bfcb383</v>
      </c>
      <c r="AA67" s="98">
        <f>IFERROR(__xludf.DUMMYFUNCTION("""COMPUTED_VALUE"""),60.0)</f>
        <v>60</v>
      </c>
      <c r="AB67" s="98">
        <f>IFERROR(__xludf.DUMMYFUNCTION("""COMPUTED_VALUE"""),60.0)</f>
        <v>60</v>
      </c>
      <c r="AC67" s="98"/>
      <c r="AD67" s="98">
        <f>IFERROR(__xludf.DUMMYFUNCTION("""COMPUTED_VALUE"""),147567.0)</f>
        <v>147567</v>
      </c>
      <c r="AE67" s="98">
        <f>IFERROR(__xludf.DUMMYFUNCTION("""COMPUTED_VALUE"""),147567.0)</f>
        <v>147567</v>
      </c>
      <c r="AF67" s="98"/>
      <c r="AG67" s="208"/>
      <c r="AH67" s="208"/>
      <c r="AI67" s="208"/>
      <c r="AJ67" s="208"/>
      <c r="AK67" s="208"/>
    </row>
    <row r="68" hidden="1">
      <c r="A68" s="215">
        <f>IFERROR(__xludf.DUMMYFUNCTION("""COMPUTED_VALUE"""),46044.0)</f>
        <v>46044</v>
      </c>
      <c r="B68" s="210">
        <f>IFERROR(__xludf.DUMMYFUNCTION("""COMPUTED_VALUE"""),0.75)</f>
        <v>0.75</v>
      </c>
      <c r="C68" s="211" t="str">
        <f>IFERROR(__xludf.DUMMYFUNCTION("""COMPUTED_VALUE"""),"Whatsapp")</f>
        <v>Whatsapp</v>
      </c>
      <c r="D68" s="211" t="str">
        <f>IFERROR(__xludf.DUMMYFUNCTION("""COMPUTED_VALUE"""),"Promotional")</f>
        <v>Promotional</v>
      </c>
      <c r="E68" s="211" t="str">
        <f>IFERROR(__xludf.DUMMYFUNCTION("""COMPUTED_VALUE"""),"BBW")</f>
        <v>BBW</v>
      </c>
      <c r="F68" s="211" t="str">
        <f>IFERROR(__xludf.DUMMYFUNCTION("""COMPUTED_VALUE"""),"B2G2")</f>
        <v>B2G2</v>
      </c>
      <c r="G68" s="212" t="str">
        <f>IFERROR(__xludf.DUMMYFUNCTION("""COMPUTED_VALUE"""),"bbw_eab2g2_22.1_eventbuy_WA")</f>
        <v>bbw_eab2g2_22.1_eventbuy_WA</v>
      </c>
      <c r="H68" s="212" t="str">
        <f>IFERROR(__xludf.DUMMYFUNCTION("""COMPUTED_VALUE"""),"B2G2_EventBuyers2025_ON")</f>
        <v>B2G2_EventBuyers2025_ON</v>
      </c>
      <c r="I68" s="212" t="str">
        <f>IFERROR(__xludf.DUMMYFUNCTION("""COMPUTED_VALUE"""),"Customers who have purchased in B2G2 campaign in 2025 Online")</f>
        <v>Customers who have purchased in B2G2 campaign in 2025 Online</v>
      </c>
      <c r="J68" s="213">
        <f>IFERROR(__xludf.DUMMYFUNCTION("""COMPUTED_VALUE"""),5850.0)</f>
        <v>5850</v>
      </c>
      <c r="K68" s="213">
        <f>IFERROR(__xludf.DUMMYFUNCTION("""COMPUTED_VALUE"""),1910.0)</f>
        <v>1910</v>
      </c>
      <c r="L68" s="214">
        <f>IFERROR(__xludf.DUMMYFUNCTION("""COMPUTED_VALUE"""),0.3265)</f>
        <v>0.3265</v>
      </c>
      <c r="M68" s="213">
        <f>IFERROR(__xludf.DUMMYFUNCTION("""COMPUTED_VALUE"""),873.0)</f>
        <v>873</v>
      </c>
      <c r="N68" s="214">
        <f>IFERROR(__xludf.DUMMYFUNCTION("""COMPUTED_VALUE"""),0.4571)</f>
        <v>0.4571</v>
      </c>
      <c r="O68" s="101">
        <f>IFERROR(__xludf.DUMMYFUNCTION("""COMPUTED_VALUE"""),116.0)</f>
        <v>116</v>
      </c>
      <c r="P68" s="101">
        <f>IFERROR(__xludf.DUMMYFUNCTION("""COMPUTED_VALUE"""),113.0)</f>
        <v>113</v>
      </c>
      <c r="Q68" s="214">
        <f>IFERROR(__xludf.DUMMYFUNCTION("""COMPUTED_VALUE"""),0.0592)</f>
        <v>0.0592</v>
      </c>
      <c r="R68" s="214">
        <f>IFERROR(__xludf.DUMMYFUNCTION("""COMPUTED_VALUE"""),0.1294)</f>
        <v>0.1294</v>
      </c>
      <c r="S68" s="101">
        <f>IFERROR(__xludf.DUMMYFUNCTION("""COMPUTED_VALUE"""),3.0)</f>
        <v>3</v>
      </c>
      <c r="T68" s="101">
        <f>IFERROR(__xludf.DUMMYFUNCTION("""COMPUTED_VALUE"""),4.0)</f>
        <v>4</v>
      </c>
      <c r="U68" s="270">
        <f>IFERROR(__xludf.DUMMYFUNCTION("""COMPUTED_VALUE"""),11906.0)</f>
        <v>11906</v>
      </c>
      <c r="V68" s="271" t="str">
        <f>IFERROR(__xludf.DUMMYFUNCTION("""COMPUTED_VALUE"""),"online")</f>
        <v>online</v>
      </c>
      <c r="W68" s="272" t="str">
        <f>IFERROR(__xludf.DUMMYFUNCTION("""COMPUTED_VALUE"""),"simple")</f>
        <v>simple</v>
      </c>
      <c r="X68" s="272" t="str">
        <f>IFERROR(__xludf.DUMMYFUNCTION("""COMPUTED_VALUE"""),"Event Buyers")</f>
        <v>Event Buyers</v>
      </c>
      <c r="Y68" s="272" t="str">
        <f>IFERROR(__xludf.DUMMYFUNCTION("""COMPUTED_VALUE"""),"22nd Jan to 26th Jan")</f>
        <v>22nd Jan to 26th Jan</v>
      </c>
      <c r="Z68" s="272" t="str">
        <f>IFERROR(__xludf.DUMMYFUNCTION("""COMPUTED_VALUE"""),"6971fa4dbcc97f0f939179f5")</f>
        <v>6971fa4dbcc97f0f939179f5</v>
      </c>
      <c r="AA68" s="272">
        <f>IFERROR(__xludf.DUMMYFUNCTION("""COMPUTED_VALUE"""),13.0)</f>
        <v>13</v>
      </c>
      <c r="AB68" s="272">
        <f>IFERROR(__xludf.DUMMYFUNCTION("""COMPUTED_VALUE"""),13.0)</f>
        <v>13</v>
      </c>
      <c r="AC68" s="272"/>
      <c r="AD68" s="272">
        <f>IFERROR(__xludf.DUMMYFUNCTION("""COMPUTED_VALUE"""),52488.0)</f>
        <v>52488</v>
      </c>
      <c r="AE68" s="272">
        <f>IFERROR(__xludf.DUMMYFUNCTION("""COMPUTED_VALUE"""),52488.0)</f>
        <v>52488</v>
      </c>
      <c r="AF68" s="272"/>
      <c r="AG68" s="208"/>
      <c r="AH68" s="208"/>
      <c r="AI68" s="208"/>
      <c r="AJ68" s="208"/>
      <c r="AK68" s="208"/>
    </row>
    <row r="69" hidden="1">
      <c r="A69" s="245">
        <f>IFERROR(__xludf.DUMMYFUNCTION("""COMPUTED_VALUE"""),46044.0)</f>
        <v>46044</v>
      </c>
      <c r="B69" s="246">
        <f>IFERROR(__xludf.DUMMYFUNCTION("""COMPUTED_VALUE"""),0.75)</f>
        <v>0.75</v>
      </c>
      <c r="C69" s="221" t="str">
        <f>IFERROR(__xludf.DUMMYFUNCTION("""COMPUTED_VALUE"""),"Whatsapp")</f>
        <v>Whatsapp</v>
      </c>
      <c r="D69" s="221" t="str">
        <f>IFERROR(__xludf.DUMMYFUNCTION("""COMPUTED_VALUE"""),"Promotional")</f>
        <v>Promotional</v>
      </c>
      <c r="E69" s="221" t="str">
        <f>IFERROR(__xludf.DUMMYFUNCTION("""COMPUTED_VALUE"""),"BBW")</f>
        <v>BBW</v>
      </c>
      <c r="F69" s="222" t="str">
        <f>IFERROR(__xludf.DUMMYFUNCTION("""COMPUTED_VALUE"""),"B2G2")</f>
        <v>B2G2</v>
      </c>
      <c r="G69" s="221" t="str">
        <f>IFERROR(__xludf.DUMMYFUNCTION("""COMPUTED_VALUE"""),"bbw_eab2g2_22.1_recent_WA")</f>
        <v>bbw_eab2g2_22.1_recent_WA</v>
      </c>
      <c r="H69" s="269" t="str">
        <f>IFERROR(__xludf.DUMMYFUNCTION("""COMPUTED_VALUE"""),"B2G2_Recent96_ON OR AGIPL_Internal OR BBW_Internal")</f>
        <v>B2G2_Recent96_ON OR AGIPL_Internal OR BBW_Internal</v>
      </c>
      <c r="I69" s="223" t="str">
        <f>IFERROR(__xludf.DUMMYFUNCTION("""COMPUTED_VALUE"""),"Customers who have purchased in last 96 (Time to Repeat - 2025) Days Online")</f>
        <v>Customers who have purchased in last 96 (Time to Repeat - 2025) Days Online</v>
      </c>
      <c r="J69" s="213">
        <f>IFERROR(__xludf.DUMMYFUNCTION("""COMPUTED_VALUE"""),54285.0)</f>
        <v>54285</v>
      </c>
      <c r="K69" s="213">
        <f>IFERROR(__xludf.DUMMYFUNCTION("""COMPUTED_VALUE"""),20832.0)</f>
        <v>20832</v>
      </c>
      <c r="L69" s="214">
        <f>IFERROR(__xludf.DUMMYFUNCTION("""COMPUTED_VALUE"""),0.3838)</f>
        <v>0.3838</v>
      </c>
      <c r="M69" s="213">
        <f>IFERROR(__xludf.DUMMYFUNCTION("""COMPUTED_VALUE"""),9516.0)</f>
        <v>9516</v>
      </c>
      <c r="N69" s="214">
        <f>IFERROR(__xludf.DUMMYFUNCTION("""COMPUTED_VALUE"""),0.4568)</f>
        <v>0.4568</v>
      </c>
      <c r="O69" s="213">
        <f>IFERROR(__xludf.DUMMYFUNCTION("""COMPUTED_VALUE"""),1185.0)</f>
        <v>1185</v>
      </c>
      <c r="P69" s="213">
        <f>IFERROR(__xludf.DUMMYFUNCTION("""COMPUTED_VALUE"""),1126.0)</f>
        <v>1126</v>
      </c>
      <c r="Q69" s="214">
        <f>IFERROR(__xludf.DUMMYFUNCTION("""COMPUTED_VALUE"""),0.0541)</f>
        <v>0.0541</v>
      </c>
      <c r="R69" s="214">
        <f>IFERROR(__xludf.DUMMYFUNCTION("""COMPUTED_VALUE"""),0.1183)</f>
        <v>0.1183</v>
      </c>
      <c r="S69" s="101">
        <f>IFERROR(__xludf.DUMMYFUNCTION("""COMPUTED_VALUE"""),27.0)</f>
        <v>27</v>
      </c>
      <c r="T69" s="101">
        <f>IFERROR(__xludf.DUMMYFUNCTION("""COMPUTED_VALUE"""),86.0)</f>
        <v>86</v>
      </c>
      <c r="U69" s="213">
        <f>IFERROR(__xludf.DUMMYFUNCTION("""COMPUTED_VALUE"""),77106.0)</f>
        <v>77106</v>
      </c>
      <c r="V69" s="271" t="str">
        <f>IFERROR(__xludf.DUMMYFUNCTION("""COMPUTED_VALUE"""),"online")</f>
        <v>online</v>
      </c>
      <c r="W69" s="98" t="str">
        <f>IFERROR(__xludf.DUMMYFUNCTION("""COMPUTED_VALUE"""),"simple")</f>
        <v>simple</v>
      </c>
      <c r="X69" s="98" t="str">
        <f>IFERROR(__xludf.DUMMYFUNCTION("""COMPUTED_VALUE"""),"Recent")</f>
        <v>Recent</v>
      </c>
      <c r="Y69" s="98" t="str">
        <f>IFERROR(__xludf.DUMMYFUNCTION("""COMPUTED_VALUE"""),"22nd Jan to 26th Jan")</f>
        <v>22nd Jan to 26th Jan</v>
      </c>
      <c r="Z69" s="98" t="str">
        <f>IFERROR(__xludf.DUMMYFUNCTION("""COMPUTED_VALUE"""),"6971fa513fe3b11995a6fc88")</f>
        <v>6971fa513fe3b11995a6fc88</v>
      </c>
      <c r="AA69" s="98">
        <f>IFERROR(__xludf.DUMMYFUNCTION("""COMPUTED_VALUE"""),130.0)</f>
        <v>130</v>
      </c>
      <c r="AB69" s="98">
        <f>IFERROR(__xludf.DUMMYFUNCTION("""COMPUTED_VALUE"""),130.0)</f>
        <v>130</v>
      </c>
      <c r="AC69" s="98"/>
      <c r="AD69" s="98">
        <f>IFERROR(__xludf.DUMMYFUNCTION("""COMPUTED_VALUE"""),326905.0)</f>
        <v>326905</v>
      </c>
      <c r="AE69" s="98">
        <f>IFERROR(__xludf.DUMMYFUNCTION("""COMPUTED_VALUE"""),326905.0)</f>
        <v>326905</v>
      </c>
      <c r="AF69" s="98"/>
      <c r="AG69" s="208"/>
      <c r="AH69" s="208"/>
      <c r="AI69" s="208"/>
      <c r="AJ69" s="208"/>
      <c r="AK69" s="208"/>
    </row>
    <row r="70" hidden="1">
      <c r="A70" s="215">
        <f>IFERROR(__xludf.DUMMYFUNCTION("""COMPUTED_VALUE"""),46044.0)</f>
        <v>46044</v>
      </c>
      <c r="B70" s="210">
        <f>IFERROR(__xludf.DUMMYFUNCTION("""COMPUTED_VALUE"""),0.75)</f>
        <v>0.75</v>
      </c>
      <c r="C70" s="211" t="str">
        <f>IFERROR(__xludf.DUMMYFUNCTION("""COMPUTED_VALUE"""),"Whatsapp")</f>
        <v>Whatsapp</v>
      </c>
      <c r="D70" s="211" t="str">
        <f>IFERROR(__xludf.DUMMYFUNCTION("""COMPUTED_VALUE"""),"Promotional")</f>
        <v>Promotional</v>
      </c>
      <c r="E70" s="211" t="str">
        <f>IFERROR(__xludf.DUMMYFUNCTION("""COMPUTED_VALUE"""),"BBW")</f>
        <v>BBW</v>
      </c>
      <c r="F70" s="211" t="str">
        <f>IFERROR(__xludf.DUMMYFUNCTION("""COMPUTED_VALUE"""),"B2G2")</f>
        <v>B2G2</v>
      </c>
      <c r="G70" s="211" t="str">
        <f>IFERROR(__xludf.DUMMYFUNCTION("""COMPUTED_VALUE"""),"bbw_eab2g2_22.1_repeat_WA")</f>
        <v>bbw_eab2g2_22.1_repeat_WA</v>
      </c>
      <c r="H70" s="112" t="str">
        <f>IFERROR(__xludf.DUMMYFUNCTION("""COMPUTED_VALUE"""),"B2G2_Repeat_ON")</f>
        <v>B2G2_Repeat_ON</v>
      </c>
      <c r="I70" s="212" t="str">
        <f>IFERROR(__xludf.DUMMYFUNCTION("""COMPUTED_VALUE"""),"Customer who have purchased atleast 2 times from 1st Jan 2025 to 18th Jan 2026 Online")</f>
        <v>Customer who have purchased atleast 2 times from 1st Jan 2025 to 18th Jan 2026 Online</v>
      </c>
      <c r="J70" s="213">
        <f>IFERROR(__xludf.DUMMYFUNCTION("""COMPUTED_VALUE"""),13081.0)</f>
        <v>13081</v>
      </c>
      <c r="K70" s="213">
        <f>IFERROR(__xludf.DUMMYFUNCTION("""COMPUTED_VALUE"""),4092.0)</f>
        <v>4092</v>
      </c>
      <c r="L70" s="214">
        <f>IFERROR(__xludf.DUMMYFUNCTION("""COMPUTED_VALUE"""),0.3128)</f>
        <v>0.3128</v>
      </c>
      <c r="M70" s="213">
        <f>IFERROR(__xludf.DUMMYFUNCTION("""COMPUTED_VALUE"""),1792.0)</f>
        <v>1792</v>
      </c>
      <c r="N70" s="214">
        <f>IFERROR(__xludf.DUMMYFUNCTION("""COMPUTED_VALUE"""),0.4379)</f>
        <v>0.4379</v>
      </c>
      <c r="O70" s="101">
        <f>IFERROR(__xludf.DUMMYFUNCTION("""COMPUTED_VALUE"""),216.0)</f>
        <v>216</v>
      </c>
      <c r="P70" s="101">
        <f>IFERROR(__xludf.DUMMYFUNCTION("""COMPUTED_VALUE"""),209.0)</f>
        <v>209</v>
      </c>
      <c r="Q70" s="214">
        <f>IFERROR(__xludf.DUMMYFUNCTION("""COMPUTED_VALUE"""),0.0511)</f>
        <v>0.0511</v>
      </c>
      <c r="R70" s="214">
        <f>IFERROR(__xludf.DUMMYFUNCTION("""COMPUTED_VALUE"""),0.1166)</f>
        <v>0.1166</v>
      </c>
      <c r="S70" s="101">
        <f>IFERROR(__xludf.DUMMYFUNCTION("""COMPUTED_VALUE"""),6.0)</f>
        <v>6</v>
      </c>
      <c r="T70" s="101">
        <f>IFERROR(__xludf.DUMMYFUNCTION("""COMPUTED_VALUE"""),14.0)</f>
        <v>14</v>
      </c>
      <c r="U70" s="213">
        <f>IFERROR(__xludf.DUMMYFUNCTION("""COMPUTED_VALUE"""),20429.0)</f>
        <v>20429</v>
      </c>
      <c r="V70" s="271" t="str">
        <f>IFERROR(__xludf.DUMMYFUNCTION("""COMPUTED_VALUE"""),"online")</f>
        <v>online</v>
      </c>
      <c r="W70" s="98" t="str">
        <f>IFERROR(__xludf.DUMMYFUNCTION("""COMPUTED_VALUE"""),"simple")</f>
        <v>simple</v>
      </c>
      <c r="X70" s="98" t="str">
        <f>IFERROR(__xludf.DUMMYFUNCTION("""COMPUTED_VALUE"""),"Repeat")</f>
        <v>Repeat</v>
      </c>
      <c r="Y70" s="98" t="str">
        <f>IFERROR(__xludf.DUMMYFUNCTION("""COMPUTED_VALUE"""),"22nd Jan to 26th Jan")</f>
        <v>22nd Jan to 26th Jan</v>
      </c>
      <c r="Z70" s="98" t="str">
        <f>IFERROR(__xludf.DUMMYFUNCTION("""COMPUTED_VALUE"""),"6971fa55cc6c7c6ab34f109b")</f>
        <v>6971fa55cc6c7c6ab34f109b</v>
      </c>
      <c r="AA70" s="98">
        <f>IFERROR(__xludf.DUMMYFUNCTION("""COMPUTED_VALUE"""),28.0)</f>
        <v>28</v>
      </c>
      <c r="AB70" s="98">
        <f>IFERROR(__xludf.DUMMYFUNCTION("""COMPUTED_VALUE"""),28.0)</f>
        <v>28</v>
      </c>
      <c r="AC70" s="98"/>
      <c r="AD70" s="98">
        <f>IFERROR(__xludf.DUMMYFUNCTION("""COMPUTED_VALUE"""),77432.0)</f>
        <v>77432</v>
      </c>
      <c r="AE70" s="98">
        <f>IFERROR(__xludf.DUMMYFUNCTION("""COMPUTED_VALUE"""),77432.0)</f>
        <v>77432</v>
      </c>
      <c r="AF70" s="98"/>
      <c r="AG70" s="208"/>
      <c r="AH70" s="208"/>
      <c r="AI70" s="208"/>
      <c r="AJ70" s="208"/>
      <c r="AK70" s="208"/>
    </row>
    <row r="71" hidden="1">
      <c r="A71" s="216">
        <f>IFERROR(__xludf.DUMMYFUNCTION("""COMPUTED_VALUE"""),46045.0)</f>
        <v>46045</v>
      </c>
      <c r="B71" s="210">
        <f>IFERROR(__xludf.DUMMYFUNCTION("""COMPUTED_VALUE"""),0.5)</f>
        <v>0.5</v>
      </c>
      <c r="C71" s="210" t="str">
        <f>IFERROR(__xludf.DUMMYFUNCTION("""COMPUTED_VALUE"""),"Sms")</f>
        <v>Sms</v>
      </c>
      <c r="D71" s="210" t="str">
        <f>IFERROR(__xludf.DUMMYFUNCTION("""COMPUTED_VALUE"""),"Fallback Campaign")</f>
        <v>Fallback Campaign</v>
      </c>
      <c r="E71" s="211" t="str">
        <f>IFERROR(__xludf.DUMMYFUNCTION("""COMPUTED_VALUE"""),"BBW")</f>
        <v>BBW</v>
      </c>
      <c r="F71" s="211" t="str">
        <f>IFERROR(__xludf.DUMMYFUNCTION("""COMPUTED_VALUE"""),"B2G2")</f>
        <v>B2G2</v>
      </c>
      <c r="G71" s="211" t="str">
        <f>IFERROR(__xludf.DUMMYFUNCTION("""COMPUTED_VALUE"""),"bbw_stb2g2_23.1_eventbuy_WAfb")</f>
        <v>bbw_stb2g2_23.1_eventbuy_WAfb</v>
      </c>
      <c r="H71" s="211" t="str">
        <f>IFERROR(__xludf.DUMMYFUNCTION("""COMPUTED_VALUE"""),"B2G2_EventBuyers2025_OFF")</f>
        <v>B2G2_EventBuyers2025_OFF</v>
      </c>
      <c r="I71" s="223" t="str">
        <f>IFERROR(__xludf.DUMMYFUNCTION("""COMPUTED_VALUE"""),"WA Undelivered")</f>
        <v>WA Undelivered</v>
      </c>
      <c r="J71" s="213">
        <f>IFERROR(__xludf.DUMMYFUNCTION("""COMPUTED_VALUE"""),14453.0)</f>
        <v>14453</v>
      </c>
      <c r="K71" s="213">
        <f>IFERROR(__xludf.DUMMYFUNCTION("""COMPUTED_VALUE"""),8014.0)</f>
        <v>8014</v>
      </c>
      <c r="L71" s="214">
        <f>IFERROR(__xludf.DUMMYFUNCTION("""COMPUTED_VALUE"""),0.5545)</f>
        <v>0.5545</v>
      </c>
      <c r="M71" s="213"/>
      <c r="N71" s="214"/>
      <c r="O71" s="213">
        <f>IFERROR(__xludf.DUMMYFUNCTION("""COMPUTED_VALUE"""),2.0)</f>
        <v>2</v>
      </c>
      <c r="P71" s="213"/>
      <c r="Q71" s="214">
        <f>IFERROR(__xludf.DUMMYFUNCTION("""COMPUTED_VALUE"""),2.0E-4)</f>
        <v>0.0002</v>
      </c>
      <c r="R71" s="214"/>
      <c r="S71" s="101">
        <f>IFERROR(__xludf.DUMMYFUNCTION("""COMPUTED_VALUE"""),0.0)</f>
        <v>0</v>
      </c>
      <c r="T71" s="101">
        <f>IFERROR(__xludf.DUMMYFUNCTION("""COMPUTED_VALUE"""),0.0)</f>
        <v>0</v>
      </c>
      <c r="U71" s="213">
        <f>IFERROR(__xludf.DUMMYFUNCTION("""COMPUTED_VALUE"""),0.0)</f>
        <v>0</v>
      </c>
      <c r="V71" s="271" t="str">
        <f>IFERROR(__xludf.DUMMYFUNCTION("""COMPUTED_VALUE"""),"offline")</f>
        <v>offline</v>
      </c>
      <c r="W71" s="98" t="str">
        <f>IFERROR(__xludf.DUMMYFUNCTION("""COMPUTED_VALUE"""),"SMS")</f>
        <v>SMS</v>
      </c>
      <c r="X71" s="98" t="str">
        <f>IFERROR(__xludf.DUMMYFUNCTION("""COMPUTED_VALUE"""),"Event Buyers")</f>
        <v>Event Buyers</v>
      </c>
      <c r="Y71" s="98" t="str">
        <f>IFERROR(__xludf.DUMMYFUNCTION("""COMPUTED_VALUE"""),"23rd Jan to 26th Jan")</f>
        <v>23rd Jan to 26th Jan</v>
      </c>
      <c r="Z71" s="98" t="str">
        <f>IFERROR(__xludf.DUMMYFUNCTION("""COMPUTED_VALUE"""),"6971ff987ecaf997e6fa4e58")</f>
        <v>6971ff987ecaf997e6fa4e58</v>
      </c>
      <c r="AA71" s="98">
        <f>IFERROR(__xludf.DUMMYFUNCTION("""COMPUTED_VALUE"""),83.0)</f>
        <v>83</v>
      </c>
      <c r="AB71" s="98"/>
      <c r="AC71" s="98">
        <f>IFERROR(__xludf.DUMMYFUNCTION("""COMPUTED_VALUE"""),83.0)</f>
        <v>83</v>
      </c>
      <c r="AD71" s="98">
        <f>IFERROR(__xludf.DUMMYFUNCTION("""COMPUTED_VALUE"""),418286.0)</f>
        <v>418286</v>
      </c>
      <c r="AE71" s="98"/>
      <c r="AF71" s="98">
        <f>IFERROR(__xludf.DUMMYFUNCTION("""COMPUTED_VALUE"""),418286.0)</f>
        <v>418286</v>
      </c>
      <c r="AG71" s="208"/>
      <c r="AH71" s="208"/>
      <c r="AI71" s="208"/>
      <c r="AJ71" s="208"/>
      <c r="AK71" s="208"/>
    </row>
    <row r="72" hidden="1">
      <c r="A72" s="216">
        <f>IFERROR(__xludf.DUMMYFUNCTION("""COMPUTED_VALUE"""),46045.0)</f>
        <v>46045</v>
      </c>
      <c r="B72" s="210">
        <f>IFERROR(__xludf.DUMMYFUNCTION("""COMPUTED_VALUE"""),0.5)</f>
        <v>0.5</v>
      </c>
      <c r="C72" s="210" t="str">
        <f>IFERROR(__xludf.DUMMYFUNCTION("""COMPUTED_VALUE"""),"Sms")</f>
        <v>Sms</v>
      </c>
      <c r="D72" s="210" t="str">
        <f>IFERROR(__xludf.DUMMYFUNCTION("""COMPUTED_VALUE"""),"Fallback Campaign")</f>
        <v>Fallback Campaign</v>
      </c>
      <c r="E72" s="211" t="str">
        <f>IFERROR(__xludf.DUMMYFUNCTION("""COMPUTED_VALUE"""),"BBW")</f>
        <v>BBW</v>
      </c>
      <c r="F72" s="211" t="str">
        <f>IFERROR(__xludf.DUMMYFUNCTION("""COMPUTED_VALUE"""),"B2G2")</f>
        <v>B2G2</v>
      </c>
      <c r="G72" s="211" t="str">
        <f>IFERROR(__xludf.DUMMYFUNCTION("""COMPUTED_VALUE"""),"bbw_stb2g2_23.1_recent_WAfb")</f>
        <v>bbw_stb2g2_23.1_recent_WAfb</v>
      </c>
      <c r="H72" s="211" t="str">
        <f>IFERROR(__xludf.DUMMYFUNCTION("""COMPUTED_VALUE"""),"B2G2_Recent112_OFF")</f>
        <v>B2G2_Recent112_OFF</v>
      </c>
      <c r="I72" s="223" t="str">
        <f>IFERROR(__xludf.DUMMYFUNCTION("""COMPUTED_VALUE"""),"WA Undelivered")</f>
        <v>WA Undelivered</v>
      </c>
      <c r="J72" s="213">
        <f>IFERROR(__xludf.DUMMYFUNCTION("""COMPUTED_VALUE"""),86911.0)</f>
        <v>86911</v>
      </c>
      <c r="K72" s="213">
        <f>IFERROR(__xludf.DUMMYFUNCTION("""COMPUTED_VALUE"""),50840.0)</f>
        <v>50840</v>
      </c>
      <c r="L72" s="214">
        <f>IFERROR(__xludf.DUMMYFUNCTION("""COMPUTED_VALUE"""),0.585)</f>
        <v>0.585</v>
      </c>
      <c r="M72" s="213"/>
      <c r="N72" s="214"/>
      <c r="O72" s="213">
        <f>IFERROR(__xludf.DUMMYFUNCTION("""COMPUTED_VALUE"""),63.0)</f>
        <v>63</v>
      </c>
      <c r="P72" s="213"/>
      <c r="Q72" s="214">
        <f>IFERROR(__xludf.DUMMYFUNCTION("""COMPUTED_VALUE"""),0.0012)</f>
        <v>0.0012</v>
      </c>
      <c r="R72" s="214"/>
      <c r="S72" s="101">
        <f>IFERROR(__xludf.DUMMYFUNCTION("""COMPUTED_VALUE"""),4.0)</f>
        <v>4</v>
      </c>
      <c r="T72" s="101">
        <f>IFERROR(__xludf.DUMMYFUNCTION("""COMPUTED_VALUE"""),21.0)</f>
        <v>21</v>
      </c>
      <c r="U72" s="213">
        <f>IFERROR(__xludf.DUMMYFUNCTION("""COMPUTED_VALUE"""),10640.0)</f>
        <v>10640</v>
      </c>
      <c r="V72" s="271" t="str">
        <f>IFERROR(__xludf.DUMMYFUNCTION("""COMPUTED_VALUE"""),"offline")</f>
        <v>offline</v>
      </c>
      <c r="W72" s="98" t="str">
        <f>IFERROR(__xludf.DUMMYFUNCTION("""COMPUTED_VALUE"""),"SMS")</f>
        <v>SMS</v>
      </c>
      <c r="X72" s="98" t="str">
        <f>IFERROR(__xludf.DUMMYFUNCTION("""COMPUTED_VALUE"""),"Recent")</f>
        <v>Recent</v>
      </c>
      <c r="Y72" s="98" t="str">
        <f>IFERROR(__xludf.DUMMYFUNCTION("""COMPUTED_VALUE"""),"23rd Jan to 26th Jan")</f>
        <v>23rd Jan to 26th Jan</v>
      </c>
      <c r="Z72" s="98" t="str">
        <f>IFERROR(__xludf.DUMMYFUNCTION("""COMPUTED_VALUE"""),"6971fffe023f98026fa07b1d")</f>
        <v>6971fffe023f98026fa07b1d</v>
      </c>
      <c r="AA72" s="98">
        <f>IFERROR(__xludf.DUMMYFUNCTION("""COMPUTED_VALUE"""),318.0)</f>
        <v>318</v>
      </c>
      <c r="AB72" s="98"/>
      <c r="AC72" s="98">
        <f>IFERROR(__xludf.DUMMYFUNCTION("""COMPUTED_VALUE"""),318.0)</f>
        <v>318</v>
      </c>
      <c r="AD72" s="98">
        <f>IFERROR(__xludf.DUMMYFUNCTION("""COMPUTED_VALUE"""),1350894.0)</f>
        <v>1350894</v>
      </c>
      <c r="AE72" s="98"/>
      <c r="AF72" s="98">
        <f>IFERROR(__xludf.DUMMYFUNCTION("""COMPUTED_VALUE"""),1350894.0)</f>
        <v>1350894</v>
      </c>
      <c r="AG72" s="208"/>
      <c r="AH72" s="208"/>
      <c r="AI72" s="208"/>
      <c r="AJ72" s="208"/>
      <c r="AK72" s="208"/>
    </row>
    <row r="73" hidden="1">
      <c r="A73" s="215">
        <f>IFERROR(__xludf.DUMMYFUNCTION("""COMPUTED_VALUE"""),46045.0)</f>
        <v>46045</v>
      </c>
      <c r="B73" s="210">
        <f>IFERROR(__xludf.DUMMYFUNCTION("""COMPUTED_VALUE"""),0.5)</f>
        <v>0.5</v>
      </c>
      <c r="C73" s="211" t="str">
        <f>IFERROR(__xludf.DUMMYFUNCTION("""COMPUTED_VALUE"""),"Sms")</f>
        <v>Sms</v>
      </c>
      <c r="D73" s="211" t="str">
        <f>IFERROR(__xludf.DUMMYFUNCTION("""COMPUTED_VALUE"""),"Fallback Campaign")</f>
        <v>Fallback Campaign</v>
      </c>
      <c r="E73" s="211" t="str">
        <f>IFERROR(__xludf.DUMMYFUNCTION("""COMPUTED_VALUE"""),"BBW")</f>
        <v>BBW</v>
      </c>
      <c r="F73" s="211" t="str">
        <f>IFERROR(__xludf.DUMMYFUNCTION("""COMPUTED_VALUE"""),"B2G2")</f>
        <v>B2G2</v>
      </c>
      <c r="G73" s="211" t="str">
        <f>IFERROR(__xludf.DUMMYFUNCTION("""COMPUTED_VALUE"""),"bbw_stb2g2_23.1_repeat_WAfb")</f>
        <v>bbw_stb2g2_23.1_repeat_WAfb</v>
      </c>
      <c r="H73" s="112" t="str">
        <f>IFERROR(__xludf.DUMMYFUNCTION("""COMPUTED_VALUE"""),"B2G2_Repeat_OFF OR AGIPL_Internal OR BBW_Internal")</f>
        <v>B2G2_Repeat_OFF OR AGIPL_Internal OR BBW_Internal</v>
      </c>
      <c r="I73" s="212" t="str">
        <f>IFERROR(__xludf.DUMMYFUNCTION("""COMPUTED_VALUE"""),"WA Undelivered")</f>
        <v>WA Undelivered</v>
      </c>
      <c r="J73" s="213">
        <f>IFERROR(__xludf.DUMMYFUNCTION("""COMPUTED_VALUE"""),24112.0)</f>
        <v>24112</v>
      </c>
      <c r="K73" s="213">
        <f>IFERROR(__xludf.DUMMYFUNCTION("""COMPUTED_VALUE"""),13935.0)</f>
        <v>13935</v>
      </c>
      <c r="L73" s="214">
        <f>IFERROR(__xludf.DUMMYFUNCTION("""COMPUTED_VALUE"""),0.5779)</f>
        <v>0.5779</v>
      </c>
      <c r="M73" s="213"/>
      <c r="N73" s="214"/>
      <c r="O73" s="101">
        <f>IFERROR(__xludf.DUMMYFUNCTION("""COMPUTED_VALUE"""),6.0)</f>
        <v>6</v>
      </c>
      <c r="P73" s="101"/>
      <c r="Q73" s="214">
        <f>IFERROR(__xludf.DUMMYFUNCTION("""COMPUTED_VALUE"""),4.0E-4)</f>
        <v>0.0004</v>
      </c>
      <c r="R73" s="214"/>
      <c r="S73" s="101">
        <f>IFERROR(__xludf.DUMMYFUNCTION("""COMPUTED_VALUE"""),3.0)</f>
        <v>3</v>
      </c>
      <c r="T73" s="101">
        <f>IFERROR(__xludf.DUMMYFUNCTION("""COMPUTED_VALUE"""),11.0)</f>
        <v>11</v>
      </c>
      <c r="U73" s="213">
        <f>IFERROR(__xludf.DUMMYFUNCTION("""COMPUTED_VALUE"""),13266.0)</f>
        <v>13266</v>
      </c>
      <c r="V73" s="271" t="str">
        <f>IFERROR(__xludf.DUMMYFUNCTION("""COMPUTED_VALUE"""),"offline")</f>
        <v>offline</v>
      </c>
      <c r="W73" s="98" t="str">
        <f>IFERROR(__xludf.DUMMYFUNCTION("""COMPUTED_VALUE"""),"SMS")</f>
        <v>SMS</v>
      </c>
      <c r="X73" s="98" t="str">
        <f>IFERROR(__xludf.DUMMYFUNCTION("""COMPUTED_VALUE"""),"Repeat")</f>
        <v>Repeat</v>
      </c>
      <c r="Y73" s="98" t="str">
        <f>IFERROR(__xludf.DUMMYFUNCTION("""COMPUTED_VALUE"""),"23rd Jan to 26th Jan")</f>
        <v>23rd Jan to 26th Jan</v>
      </c>
      <c r="Z73" s="98" t="str">
        <f>IFERROR(__xludf.DUMMYFUNCTION("""COMPUTED_VALUE"""),"69720076abdd625c2bf04b14")</f>
        <v>69720076abdd625c2bf04b14</v>
      </c>
      <c r="AA73" s="98">
        <f>IFERROR(__xludf.DUMMYFUNCTION("""COMPUTED_VALUE"""),133.0)</f>
        <v>133</v>
      </c>
      <c r="AB73" s="98"/>
      <c r="AC73" s="98">
        <f>IFERROR(__xludf.DUMMYFUNCTION("""COMPUTED_VALUE"""),133.0)</f>
        <v>133</v>
      </c>
      <c r="AD73" s="98">
        <f>IFERROR(__xludf.DUMMYFUNCTION("""COMPUTED_VALUE"""),605749.0)</f>
        <v>605749</v>
      </c>
      <c r="AE73" s="98"/>
      <c r="AF73" s="98">
        <f>IFERROR(__xludf.DUMMYFUNCTION("""COMPUTED_VALUE"""),605749.0)</f>
        <v>605749</v>
      </c>
      <c r="AG73" s="208"/>
      <c r="AH73" s="208"/>
      <c r="AI73" s="208"/>
      <c r="AJ73" s="208"/>
      <c r="AK73" s="208"/>
    </row>
    <row r="74" hidden="1">
      <c r="A74" s="219">
        <f>IFERROR(__xludf.DUMMYFUNCTION("""COMPUTED_VALUE"""),46045.0)</f>
        <v>46045</v>
      </c>
      <c r="B74" s="220">
        <f>IFERROR(__xludf.DUMMYFUNCTION("""COMPUTED_VALUE"""),0.40625)</f>
        <v>0.40625</v>
      </c>
      <c r="C74" s="221" t="str">
        <f>IFERROR(__xludf.DUMMYFUNCTION("""COMPUTED_VALUE"""),"Rcs")</f>
        <v>Rcs</v>
      </c>
      <c r="D74" s="221" t="str">
        <f>IFERROR(__xludf.DUMMYFUNCTION("""COMPUTED_VALUE"""),"Promotional")</f>
        <v>Promotional</v>
      </c>
      <c r="E74" s="221" t="str">
        <f>IFERROR(__xludf.DUMMYFUNCTION("""COMPUTED_VALUE"""),"BBW")</f>
        <v>BBW</v>
      </c>
      <c r="F74" s="221" t="str">
        <f>IFERROR(__xludf.DUMMYFUNCTION("""COMPUTED_VALUE"""),"B2G2")</f>
        <v>B2G2</v>
      </c>
      <c r="G74" s="221" t="str">
        <f>IFERROR(__xludf.DUMMYFUNCTION("""COMPUTED_VALUE"""),"bbw_eab2g2_23_1_gen")</f>
        <v>bbw_eab2g2_23_1_gen</v>
      </c>
      <c r="H74" s="223" t="str">
        <f>IFERROR(__xludf.DUMMYFUNCTION("""COMPUTED_VALUE"""),"B2G2_2025Buyers_OFF")</f>
        <v>B2G2_2025Buyers_OFF</v>
      </c>
      <c r="I74" s="223" t="str">
        <f>IFERROR(__xludf.DUMMYFUNCTION("""COMPUTED_VALUE"""),"Customers who have purchased in 2025 offline")</f>
        <v>Customers who have purchased in 2025 offline</v>
      </c>
      <c r="J74" s="224">
        <f>IFERROR(__xludf.DUMMYFUNCTION("""COMPUTED_VALUE"""),238141.0)</f>
        <v>238141</v>
      </c>
      <c r="K74" s="224">
        <f>IFERROR(__xludf.DUMMYFUNCTION("""COMPUTED_VALUE"""),62685.0)</f>
        <v>62685</v>
      </c>
      <c r="L74" s="225">
        <f>IFERROR(__xludf.DUMMYFUNCTION("""COMPUTED_VALUE"""),0.2632)</f>
        <v>0.2632</v>
      </c>
      <c r="M74" s="224">
        <f>IFERROR(__xludf.DUMMYFUNCTION("""COMPUTED_VALUE"""),6961.0)</f>
        <v>6961</v>
      </c>
      <c r="N74" s="225">
        <f>IFERROR(__xludf.DUMMYFUNCTION("""COMPUTED_VALUE"""),0.111)</f>
        <v>0.111</v>
      </c>
      <c r="O74" s="226">
        <f>IFERROR(__xludf.DUMMYFUNCTION("""COMPUTED_VALUE"""),301.0)</f>
        <v>301</v>
      </c>
      <c r="P74" s="226"/>
      <c r="Q74" s="225">
        <f>IFERROR(__xludf.DUMMYFUNCTION("""COMPUTED_VALUE"""),0.0048)</f>
        <v>0.0048</v>
      </c>
      <c r="R74" s="225"/>
      <c r="S74" s="226">
        <f>IFERROR(__xludf.DUMMYFUNCTION("""COMPUTED_VALUE"""),8.0)</f>
        <v>8</v>
      </c>
      <c r="T74" s="226">
        <f>IFERROR(__xludf.DUMMYFUNCTION("""COMPUTED_VALUE"""),15.0)</f>
        <v>15</v>
      </c>
      <c r="U74" s="224">
        <f>IFERROR(__xludf.DUMMYFUNCTION("""COMPUTED_VALUE"""),28376.0)</f>
        <v>28376</v>
      </c>
      <c r="V74" s="221" t="str">
        <f>IFERROR(__xludf.DUMMYFUNCTION("""COMPUTED_VALUE"""),"offline")</f>
        <v>offline</v>
      </c>
      <c r="W74" s="231" t="str">
        <f>IFERROR(__xludf.DUMMYFUNCTION("""COMPUTED_VALUE"""),"RCS")</f>
        <v>RCS</v>
      </c>
      <c r="X74" s="231" t="str">
        <f>IFERROR(__xludf.DUMMYFUNCTION("""COMPUTED_VALUE"""),"Event Buyers")</f>
        <v>Event Buyers</v>
      </c>
      <c r="Y74" s="231" t="str">
        <f>IFERROR(__xludf.DUMMYFUNCTION("""COMPUTED_VALUE"""),"23rd Jan to 26th Jan")</f>
        <v>23rd Jan to 26th Jan</v>
      </c>
      <c r="Z74" s="231" t="str">
        <f>IFERROR(__xludf.DUMMYFUNCTION("""COMPUTED_VALUE"""),"6972069019acf0cf5619f13e")</f>
        <v>6972069019acf0cf5619f13e</v>
      </c>
      <c r="AA74" s="229">
        <f>IFERROR(__xludf.DUMMYFUNCTION("""COMPUTED_VALUE"""),173.0)</f>
        <v>173</v>
      </c>
      <c r="AB74" s="229"/>
      <c r="AC74" s="229">
        <f>IFERROR(__xludf.DUMMYFUNCTION("""COMPUTED_VALUE"""),173.0)</f>
        <v>173</v>
      </c>
      <c r="AD74" s="229">
        <f>IFERROR(__xludf.DUMMYFUNCTION("""COMPUTED_VALUE"""),777362.0)</f>
        <v>777362</v>
      </c>
      <c r="AE74" s="229"/>
      <c r="AF74" s="229">
        <f>IFERROR(__xludf.DUMMYFUNCTION("""COMPUTED_VALUE"""),777362.0)</f>
        <v>777362</v>
      </c>
      <c r="AG74" s="208"/>
      <c r="AH74" s="208"/>
      <c r="AI74" s="208"/>
      <c r="AJ74" s="208"/>
      <c r="AK74" s="208"/>
    </row>
    <row r="75" hidden="1">
      <c r="A75" s="215">
        <f>IFERROR(__xludf.DUMMYFUNCTION("""COMPUTED_VALUE"""),46045.0)</f>
        <v>46045</v>
      </c>
      <c r="B75" s="210">
        <f>IFERROR(__xludf.DUMMYFUNCTION("""COMPUTED_VALUE"""),0.5208333333321207)</f>
        <v>0.5208333333</v>
      </c>
      <c r="C75" s="211" t="str">
        <f>IFERROR(__xludf.DUMMYFUNCTION("""COMPUTED_VALUE"""),"Sms")</f>
        <v>Sms</v>
      </c>
      <c r="D75" s="211" t="str">
        <f>IFERROR(__xludf.DUMMYFUNCTION("""COMPUTED_VALUE"""),"Fallback Campaign")</f>
        <v>Fallback Campaign</v>
      </c>
      <c r="E75" s="211" t="str">
        <f>IFERROR(__xludf.DUMMYFUNCTION("""COMPUTED_VALUE"""),"BBW")</f>
        <v>BBW</v>
      </c>
      <c r="F75" s="211" t="str">
        <f>IFERROR(__xludf.DUMMYFUNCTION("""COMPUTED_VALUE"""),"B2G2")</f>
        <v>B2G2</v>
      </c>
      <c r="G75" s="212" t="str">
        <f>IFERROR(__xludf.DUMMYFUNCTION("""COMPUTED_VALUE"""),"bbw_stb2g2_23.1_gen_RCSfb")</f>
        <v>bbw_stb2g2_23.1_gen_RCSfb</v>
      </c>
      <c r="H75" s="212" t="str">
        <f>IFERROR(__xludf.DUMMYFUNCTION("""COMPUTED_VALUE"""),"Has executed RCS Delivery Failed atleast 1 time in the last 3 days with attributes Readable Campaign Id is in [6972069019acf0cf5619f13e] case insensitive")</f>
        <v>Has executed RCS Delivery Failed atleast 1 time in the last 3 days with attributes Readable Campaign Id is in [6972069019acf0cf5619f13e] case insensitive</v>
      </c>
      <c r="I75" s="212" t="str">
        <f>IFERROR(__xludf.DUMMYFUNCTION("""COMPUTED_VALUE"""),"RCS Delivery Failed")</f>
        <v>RCS Delivery Failed</v>
      </c>
      <c r="J75" s="213">
        <f>IFERROR(__xludf.DUMMYFUNCTION("""COMPUTED_VALUE"""),174725.0)</f>
        <v>174725</v>
      </c>
      <c r="K75" s="213">
        <f>IFERROR(__xludf.DUMMYFUNCTION("""COMPUTED_VALUE"""),106069.0)</f>
        <v>106069</v>
      </c>
      <c r="L75" s="214">
        <f>IFERROR(__xludf.DUMMYFUNCTION("""COMPUTED_VALUE"""),0.6071)</f>
        <v>0.6071</v>
      </c>
      <c r="M75" s="213"/>
      <c r="N75" s="214"/>
      <c r="O75" s="101">
        <f>IFERROR(__xludf.DUMMYFUNCTION("""COMPUTED_VALUE"""),114.0)</f>
        <v>114</v>
      </c>
      <c r="P75" s="101"/>
      <c r="Q75" s="214">
        <f>IFERROR(__xludf.DUMMYFUNCTION("""COMPUTED_VALUE"""),0.0011)</f>
        <v>0.0011</v>
      </c>
      <c r="R75" s="214"/>
      <c r="S75" s="101">
        <f>IFERROR(__xludf.DUMMYFUNCTION("""COMPUTED_VALUE"""),10.0)</f>
        <v>10</v>
      </c>
      <c r="T75" s="101">
        <f>IFERROR(__xludf.DUMMYFUNCTION("""COMPUTED_VALUE"""),24.0)</f>
        <v>24</v>
      </c>
      <c r="U75" s="270">
        <f>IFERROR(__xludf.DUMMYFUNCTION("""COMPUTED_VALUE"""),24067.0)</f>
        <v>24067</v>
      </c>
      <c r="V75" s="271" t="str">
        <f>IFERROR(__xludf.DUMMYFUNCTION("""COMPUTED_VALUE"""),"offline")</f>
        <v>offline</v>
      </c>
      <c r="W75" s="272" t="str">
        <f>IFERROR(__xludf.DUMMYFUNCTION("""COMPUTED_VALUE"""),"SMS")</f>
        <v>SMS</v>
      </c>
      <c r="X75" s="272" t="str">
        <f>IFERROR(__xludf.DUMMYFUNCTION("""COMPUTED_VALUE"""),"Generic")</f>
        <v>Generic</v>
      </c>
      <c r="Y75" s="272" t="str">
        <f>IFERROR(__xludf.DUMMYFUNCTION("""COMPUTED_VALUE"""),"23rd Jan to 26th Jan")</f>
        <v>23rd Jan to 26th Jan</v>
      </c>
      <c r="Z75" s="272" t="str">
        <f>IFERROR(__xludf.DUMMYFUNCTION("""COMPUTED_VALUE"""),"697207aca9b3d7084d33a8ad")</f>
        <v>697207aca9b3d7084d33a8ad</v>
      </c>
      <c r="AA75" s="272">
        <f>IFERROR(__xludf.DUMMYFUNCTION("""COMPUTED_VALUE"""),393.0)</f>
        <v>393</v>
      </c>
      <c r="AB75" s="272"/>
      <c r="AC75" s="272">
        <f>IFERROR(__xludf.DUMMYFUNCTION("""COMPUTED_VALUE"""),393.0)</f>
        <v>393</v>
      </c>
      <c r="AD75" s="272">
        <f>IFERROR(__xludf.DUMMYFUNCTION("""COMPUTED_VALUE"""),1593299.0)</f>
        <v>1593299</v>
      </c>
      <c r="AE75" s="272"/>
      <c r="AF75" s="272">
        <f>IFERROR(__xludf.DUMMYFUNCTION("""COMPUTED_VALUE"""),1593299.0)</f>
        <v>1593299</v>
      </c>
      <c r="AG75" s="208"/>
      <c r="AH75" s="208"/>
      <c r="AI75" s="208"/>
      <c r="AJ75" s="208"/>
      <c r="AK75" s="208"/>
    </row>
    <row r="76" hidden="1">
      <c r="A76" s="216">
        <f>IFERROR(__xludf.DUMMYFUNCTION("""COMPUTED_VALUE"""),46045.0)</f>
        <v>46045</v>
      </c>
      <c r="B76" s="210">
        <f>IFERROR(__xludf.DUMMYFUNCTION("""COMPUTED_VALUE"""),0.40625)</f>
        <v>0.40625</v>
      </c>
      <c r="C76" s="210" t="str">
        <f>IFERROR(__xludf.DUMMYFUNCTION("""COMPUTED_VALUE"""),"Whatsapp")</f>
        <v>Whatsapp</v>
      </c>
      <c r="D76" s="210" t="str">
        <f>IFERROR(__xludf.DUMMYFUNCTION("""COMPUTED_VALUE"""),"Promotional")</f>
        <v>Promotional</v>
      </c>
      <c r="E76" s="211" t="str">
        <f>IFERROR(__xludf.DUMMYFUNCTION("""COMPUTED_VALUE"""),"BBW")</f>
        <v>BBW</v>
      </c>
      <c r="F76" s="211" t="str">
        <f>IFERROR(__xludf.DUMMYFUNCTION("""COMPUTED_VALUE"""),"B2G2")</f>
        <v>B2G2</v>
      </c>
      <c r="G76" s="211" t="str">
        <f>IFERROR(__xludf.DUMMYFUNCTION("""COMPUTED_VALUE"""),"bbw_stb2g2_23.1_repeat_WA")</f>
        <v>bbw_stb2g2_23.1_repeat_WA</v>
      </c>
      <c r="H76" s="211" t="str">
        <f>IFERROR(__xludf.DUMMYFUNCTION("""COMPUTED_VALUE"""),"B2G2_Repeat_OFF OR AGIPL_Internal OR BBW_Internal")</f>
        <v>B2G2_Repeat_OFF OR AGIPL_Internal OR BBW_Internal</v>
      </c>
      <c r="I76" s="223" t="str">
        <f>IFERROR(__xludf.DUMMYFUNCTION("""COMPUTED_VALUE"""),"Customer who have purchased atleast 2 times from 1st Jan 2025 to 18th Jan 2026 Offline")</f>
        <v>Customer who have purchased atleast 2 times from 1st Jan 2025 to 18th Jan 2026 Offline</v>
      </c>
      <c r="J76" s="213">
        <f>IFERROR(__xludf.DUMMYFUNCTION("""COMPUTED_VALUE"""),40583.0)</f>
        <v>40583</v>
      </c>
      <c r="K76" s="213">
        <f>IFERROR(__xludf.DUMMYFUNCTION("""COMPUTED_VALUE"""),15634.0)</f>
        <v>15634</v>
      </c>
      <c r="L76" s="214">
        <f>IFERROR(__xludf.DUMMYFUNCTION("""COMPUTED_VALUE"""),0.3852)</f>
        <v>0.3852</v>
      </c>
      <c r="M76" s="213">
        <f>IFERROR(__xludf.DUMMYFUNCTION("""COMPUTED_VALUE"""),5868.0)</f>
        <v>5868</v>
      </c>
      <c r="N76" s="214">
        <f>IFERROR(__xludf.DUMMYFUNCTION("""COMPUTED_VALUE"""),0.3752)</f>
        <v>0.3752</v>
      </c>
      <c r="O76" s="213">
        <f>IFERROR(__xludf.DUMMYFUNCTION("""COMPUTED_VALUE"""),443.0)</f>
        <v>443</v>
      </c>
      <c r="P76" s="213">
        <f>IFERROR(__xludf.DUMMYFUNCTION("""COMPUTED_VALUE"""),423.0)</f>
        <v>423</v>
      </c>
      <c r="Q76" s="214">
        <f>IFERROR(__xludf.DUMMYFUNCTION("""COMPUTED_VALUE"""),0.0271)</f>
        <v>0.0271</v>
      </c>
      <c r="R76" s="214">
        <f>IFERROR(__xludf.DUMMYFUNCTION("""COMPUTED_VALUE"""),0.0721)</f>
        <v>0.0721</v>
      </c>
      <c r="S76" s="101">
        <f>IFERROR(__xludf.DUMMYFUNCTION("""COMPUTED_VALUE"""),2.0)</f>
        <v>2</v>
      </c>
      <c r="T76" s="101">
        <f>IFERROR(__xludf.DUMMYFUNCTION("""COMPUTED_VALUE"""),12.0)</f>
        <v>12</v>
      </c>
      <c r="U76" s="213">
        <f>IFERROR(__xludf.DUMMYFUNCTION("""COMPUTED_VALUE"""),3754.0)</f>
        <v>3754</v>
      </c>
      <c r="V76" s="271" t="str">
        <f>IFERROR(__xludf.DUMMYFUNCTION("""COMPUTED_VALUE"""),"offline")</f>
        <v>offline</v>
      </c>
      <c r="W76" s="98" t="str">
        <f>IFERROR(__xludf.DUMMYFUNCTION("""COMPUTED_VALUE"""),"simple")</f>
        <v>simple</v>
      </c>
      <c r="X76" s="98" t="str">
        <f>IFERROR(__xludf.DUMMYFUNCTION("""COMPUTED_VALUE"""),"Repeat")</f>
        <v>Repeat</v>
      </c>
      <c r="Y76" s="98" t="str">
        <f>IFERROR(__xludf.DUMMYFUNCTION("""COMPUTED_VALUE"""),"23rd Jan to 26th Jan")</f>
        <v>23rd Jan to 26th Jan</v>
      </c>
      <c r="Z76" s="98" t="str">
        <f>IFERROR(__xludf.DUMMYFUNCTION("""COMPUTED_VALUE"""),"6971fd9769b2e8b09bfcb057")</f>
        <v>6971fd9769b2e8b09bfcb057</v>
      </c>
      <c r="AA76" s="98">
        <f>IFERROR(__xludf.DUMMYFUNCTION("""COMPUTED_VALUE"""),191.0)</f>
        <v>191</v>
      </c>
      <c r="AB76" s="98"/>
      <c r="AC76" s="98">
        <f>IFERROR(__xludf.DUMMYFUNCTION("""COMPUTED_VALUE"""),191.0)</f>
        <v>191</v>
      </c>
      <c r="AD76" s="98">
        <f>IFERROR(__xludf.DUMMYFUNCTION("""COMPUTED_VALUE"""),924567.0)</f>
        <v>924567</v>
      </c>
      <c r="AE76" s="98"/>
      <c r="AF76" s="98">
        <f>IFERROR(__xludf.DUMMYFUNCTION("""COMPUTED_VALUE"""),924567.0)</f>
        <v>924567</v>
      </c>
      <c r="AG76" s="208"/>
      <c r="AH76" s="208"/>
      <c r="AI76" s="208"/>
      <c r="AJ76" s="208"/>
      <c r="AK76" s="208"/>
    </row>
    <row r="77" hidden="1">
      <c r="A77" s="245">
        <f>IFERROR(__xludf.DUMMYFUNCTION("""COMPUTED_VALUE"""),46045.0)</f>
        <v>46045</v>
      </c>
      <c r="B77" s="246">
        <f>IFERROR(__xludf.DUMMYFUNCTION("""COMPUTED_VALUE"""),0.40625)</f>
        <v>0.40625</v>
      </c>
      <c r="C77" s="221" t="str">
        <f>IFERROR(__xludf.DUMMYFUNCTION("""COMPUTED_VALUE"""),"Whatsapp")</f>
        <v>Whatsapp</v>
      </c>
      <c r="D77" s="221" t="str">
        <f>IFERROR(__xludf.DUMMYFUNCTION("""COMPUTED_VALUE"""),"Promotional")</f>
        <v>Promotional</v>
      </c>
      <c r="E77" s="221" t="str">
        <f>IFERROR(__xludf.DUMMYFUNCTION("""COMPUTED_VALUE"""),"BBW")</f>
        <v>BBW</v>
      </c>
      <c r="F77" s="221" t="str">
        <f>IFERROR(__xludf.DUMMYFUNCTION("""COMPUTED_VALUE"""),"B2G2")</f>
        <v>B2G2</v>
      </c>
      <c r="G77" s="221" t="str">
        <f>IFERROR(__xludf.DUMMYFUNCTION("""COMPUTED_VALUE"""),"bbw_stb2g2_23.1_recent_WA")</f>
        <v>bbw_stb2g2_23.1_recent_WA</v>
      </c>
      <c r="H77" s="269" t="str">
        <f>IFERROR(__xludf.DUMMYFUNCTION("""COMPUTED_VALUE"""),"B2G2_Recent112_OFF")</f>
        <v>B2G2_Recent112_OFF</v>
      </c>
      <c r="I77" s="223" t="str">
        <f>IFERROR(__xludf.DUMMYFUNCTION("""COMPUTED_VALUE"""),"Customers who have purchased in last 112 (Time to Repeat - 2025) Days Offline")</f>
        <v>Customers who have purchased in last 112 (Time to Repeat - 2025) Days Offline</v>
      </c>
      <c r="J77" s="224">
        <f>IFERROR(__xludf.DUMMYFUNCTION("""COMPUTED_VALUE"""),175349.0)</f>
        <v>175349</v>
      </c>
      <c r="K77" s="224">
        <f>IFERROR(__xludf.DUMMYFUNCTION("""COMPUTED_VALUE"""),85937.0)</f>
        <v>85937</v>
      </c>
      <c r="L77" s="225">
        <f>IFERROR(__xludf.DUMMYFUNCTION("""COMPUTED_VALUE"""),0.4901)</f>
        <v>0.4901</v>
      </c>
      <c r="M77" s="224">
        <f>IFERROR(__xludf.DUMMYFUNCTION("""COMPUTED_VALUE"""),34639.0)</f>
        <v>34639</v>
      </c>
      <c r="N77" s="225">
        <f>IFERROR(__xludf.DUMMYFUNCTION("""COMPUTED_VALUE"""),0.4031)</f>
        <v>0.4031</v>
      </c>
      <c r="O77" s="224">
        <f>IFERROR(__xludf.DUMMYFUNCTION("""COMPUTED_VALUE"""),3240.0)</f>
        <v>3240</v>
      </c>
      <c r="P77" s="224">
        <f>IFERROR(__xludf.DUMMYFUNCTION("""COMPUTED_VALUE"""),3077.0)</f>
        <v>3077</v>
      </c>
      <c r="Q77" s="225">
        <f>IFERROR(__xludf.DUMMYFUNCTION("""COMPUTED_VALUE"""),0.0358)</f>
        <v>0.0358</v>
      </c>
      <c r="R77" s="225">
        <f>IFERROR(__xludf.DUMMYFUNCTION("""COMPUTED_VALUE"""),0.0888)</f>
        <v>0.0888</v>
      </c>
      <c r="S77" s="226">
        <f>IFERROR(__xludf.DUMMYFUNCTION("""COMPUTED_VALUE"""),15.0)</f>
        <v>15</v>
      </c>
      <c r="T77" s="226">
        <f>IFERROR(__xludf.DUMMYFUNCTION("""COMPUTED_VALUE"""),61.0)</f>
        <v>61</v>
      </c>
      <c r="U77" s="224">
        <f>IFERROR(__xludf.DUMMYFUNCTION("""COMPUTED_VALUE"""),50037.0)</f>
        <v>50037</v>
      </c>
      <c r="V77" s="280" t="str">
        <f>IFERROR(__xludf.DUMMYFUNCTION("""COMPUTED_VALUE"""),"offline")</f>
        <v>offline</v>
      </c>
      <c r="W77" s="229" t="str">
        <f>IFERROR(__xludf.DUMMYFUNCTION("""COMPUTED_VALUE"""),"simple")</f>
        <v>simple</v>
      </c>
      <c r="X77" s="229" t="str">
        <f>IFERROR(__xludf.DUMMYFUNCTION("""COMPUTED_VALUE"""),"Recent")</f>
        <v>Recent</v>
      </c>
      <c r="Y77" s="229" t="str">
        <f>IFERROR(__xludf.DUMMYFUNCTION("""COMPUTED_VALUE"""),"23rd Jan to 26th Jan")</f>
        <v>23rd Jan to 26th Jan</v>
      </c>
      <c r="Z77" s="229" t="str">
        <f>IFERROR(__xludf.DUMMYFUNCTION("""COMPUTED_VALUE"""),"6971fe0d89896f92dc430065")</f>
        <v>6971fe0d89896f92dc430065</v>
      </c>
      <c r="AA77" s="229">
        <f>IFERROR(__xludf.DUMMYFUNCTION("""COMPUTED_VALUE"""),583.0)</f>
        <v>583</v>
      </c>
      <c r="AB77" s="229"/>
      <c r="AC77" s="229">
        <f>IFERROR(__xludf.DUMMYFUNCTION("""COMPUTED_VALUE"""),583.0)</f>
        <v>583</v>
      </c>
      <c r="AD77" s="229">
        <f>IFERROR(__xludf.DUMMYFUNCTION("""COMPUTED_VALUE"""),2517157.0)</f>
        <v>2517157</v>
      </c>
      <c r="AE77" s="229"/>
      <c r="AF77" s="229">
        <f>IFERROR(__xludf.DUMMYFUNCTION("""COMPUTED_VALUE"""),2517157.0)</f>
        <v>2517157</v>
      </c>
      <c r="AG77" s="208"/>
      <c r="AH77" s="208"/>
      <c r="AI77" s="208"/>
      <c r="AJ77" s="208"/>
      <c r="AK77" s="208"/>
    </row>
    <row r="78" hidden="1">
      <c r="A78" s="216">
        <f>IFERROR(__xludf.DUMMYFUNCTION("""COMPUTED_VALUE"""),46045.0)</f>
        <v>46045</v>
      </c>
      <c r="B78" s="210">
        <f>IFERROR(__xludf.DUMMYFUNCTION("""COMPUTED_VALUE"""),0.40625)</f>
        <v>0.40625</v>
      </c>
      <c r="C78" s="210" t="str">
        <f>IFERROR(__xludf.DUMMYFUNCTION("""COMPUTED_VALUE"""),"Whatsapp")</f>
        <v>Whatsapp</v>
      </c>
      <c r="D78" s="210" t="str">
        <f>IFERROR(__xludf.DUMMYFUNCTION("""COMPUTED_VALUE"""),"Promotional")</f>
        <v>Promotional</v>
      </c>
      <c r="E78" s="211" t="str">
        <f>IFERROR(__xludf.DUMMYFUNCTION("""COMPUTED_VALUE"""),"BBW")</f>
        <v>BBW</v>
      </c>
      <c r="F78" s="211" t="str">
        <f>IFERROR(__xludf.DUMMYFUNCTION("""COMPUTED_VALUE"""),"B2G2")</f>
        <v>B2G2</v>
      </c>
      <c r="G78" s="211" t="str">
        <f>IFERROR(__xludf.DUMMYFUNCTION("""COMPUTED_VALUE"""),"bbw_stb2g2_23.1_eventbuy_WA")</f>
        <v>bbw_stb2g2_23.1_eventbuy_WA</v>
      </c>
      <c r="H78" s="211" t="str">
        <f>IFERROR(__xludf.DUMMYFUNCTION("""COMPUTED_VALUE"""),"B2G2_EventBuyers2025_OFF")</f>
        <v>B2G2_EventBuyers2025_OFF</v>
      </c>
      <c r="I78" s="223" t="str">
        <f>IFERROR(__xludf.DUMMYFUNCTION("""COMPUTED_VALUE"""),"Customers who have purchased in B2G2 campaign in 2025 Offline")</f>
        <v>Customers who have purchased in B2G2 campaign in 2025 Offline</v>
      </c>
      <c r="J78" s="213">
        <f>IFERROR(__xludf.DUMMYFUNCTION("""COMPUTED_VALUE"""),25975.0)</f>
        <v>25975</v>
      </c>
      <c r="K78" s="213">
        <f>IFERROR(__xludf.DUMMYFUNCTION("""COMPUTED_VALUE"""),10959.0)</f>
        <v>10959</v>
      </c>
      <c r="L78" s="214">
        <f>IFERROR(__xludf.DUMMYFUNCTION("""COMPUTED_VALUE"""),0.4219)</f>
        <v>0.4219</v>
      </c>
      <c r="M78" s="213">
        <f>IFERROR(__xludf.DUMMYFUNCTION("""COMPUTED_VALUE"""),4305.0)</f>
        <v>4305</v>
      </c>
      <c r="N78" s="214">
        <f>IFERROR(__xludf.DUMMYFUNCTION("""COMPUTED_VALUE"""),0.3927)</f>
        <v>0.3927</v>
      </c>
      <c r="O78" s="213">
        <f>IFERROR(__xludf.DUMMYFUNCTION("""COMPUTED_VALUE"""),301.0)</f>
        <v>301</v>
      </c>
      <c r="P78" s="213">
        <f>IFERROR(__xludf.DUMMYFUNCTION("""COMPUTED_VALUE"""),279.0)</f>
        <v>279</v>
      </c>
      <c r="Q78" s="214">
        <f>IFERROR(__xludf.DUMMYFUNCTION("""COMPUTED_VALUE"""),0.0255)</f>
        <v>0.0255</v>
      </c>
      <c r="R78" s="214">
        <f>IFERROR(__xludf.DUMMYFUNCTION("""COMPUTED_VALUE"""),0.0648)</f>
        <v>0.0648</v>
      </c>
      <c r="S78" s="101">
        <f>IFERROR(__xludf.DUMMYFUNCTION("""COMPUTED_VALUE"""),1.0)</f>
        <v>1</v>
      </c>
      <c r="T78" s="101">
        <f>IFERROR(__xludf.DUMMYFUNCTION("""COMPUTED_VALUE"""),5.0)</f>
        <v>5</v>
      </c>
      <c r="U78" s="213">
        <f>IFERROR(__xludf.DUMMYFUNCTION("""COMPUTED_VALUE"""),6835.0)</f>
        <v>6835</v>
      </c>
      <c r="V78" s="271" t="str">
        <f>IFERROR(__xludf.DUMMYFUNCTION("""COMPUTED_VALUE"""),"offline")</f>
        <v>offline</v>
      </c>
      <c r="W78" s="98" t="str">
        <f>IFERROR(__xludf.DUMMYFUNCTION("""COMPUTED_VALUE"""),"simple")</f>
        <v>simple</v>
      </c>
      <c r="X78" s="98" t="str">
        <f>IFERROR(__xludf.DUMMYFUNCTION("""COMPUTED_VALUE"""),"Event Buyers")</f>
        <v>Event Buyers</v>
      </c>
      <c r="Y78" s="98" t="str">
        <f>IFERROR(__xludf.DUMMYFUNCTION("""COMPUTED_VALUE"""),"23rd Jan to 26th Jan")</f>
        <v>23rd Jan to 26th Jan</v>
      </c>
      <c r="Z78" s="98" t="str">
        <f>IFERROR(__xludf.DUMMYFUNCTION("""COMPUTED_VALUE"""),"6971fe5364ac97b849fc49ff")</f>
        <v>6971fe5364ac97b849fc49ff</v>
      </c>
      <c r="AA78" s="98">
        <f>IFERROR(__xludf.DUMMYFUNCTION("""COMPUTED_VALUE"""),110.0)</f>
        <v>110</v>
      </c>
      <c r="AB78" s="98"/>
      <c r="AC78" s="98">
        <f>IFERROR(__xludf.DUMMYFUNCTION("""COMPUTED_VALUE"""),110.0)</f>
        <v>110</v>
      </c>
      <c r="AD78" s="98">
        <f>IFERROR(__xludf.DUMMYFUNCTION("""COMPUTED_VALUE"""),612198.0)</f>
        <v>612198</v>
      </c>
      <c r="AE78" s="98"/>
      <c r="AF78" s="98">
        <f>IFERROR(__xludf.DUMMYFUNCTION("""COMPUTED_VALUE"""),612198.0)</f>
        <v>612198</v>
      </c>
      <c r="AG78" s="208"/>
      <c r="AH78" s="208"/>
      <c r="AI78" s="208"/>
      <c r="AJ78" s="208"/>
      <c r="AK78" s="208"/>
    </row>
    <row r="79" hidden="1">
      <c r="A79" s="216">
        <f>IFERROR(__xludf.DUMMYFUNCTION("""COMPUTED_VALUE"""),46048.0)</f>
        <v>46048</v>
      </c>
      <c r="B79" s="210">
        <f>IFERROR(__xludf.DUMMYFUNCTION("""COMPUTED_VALUE"""),0.46875)</f>
        <v>0.46875</v>
      </c>
      <c r="C79" s="210" t="str">
        <f>IFERROR(__xludf.DUMMYFUNCTION("""COMPUTED_VALUE"""),"Sms")</f>
        <v>Sms</v>
      </c>
      <c r="D79" s="210" t="str">
        <f>IFERROR(__xludf.DUMMYFUNCTION("""COMPUTED_VALUE"""),"Promotional")</f>
        <v>Promotional</v>
      </c>
      <c r="E79" s="211" t="str">
        <f>IFERROR(__xludf.DUMMYFUNCTION("""COMPUTED_VALUE"""),"BBW")</f>
        <v>BBW</v>
      </c>
      <c r="F79" s="211" t="str">
        <f>IFERROR(__xludf.DUMMYFUNCTION("""COMPUTED_VALUE"""),"B2G2")</f>
        <v>B2G2</v>
      </c>
      <c r="G79" s="211" t="str">
        <f>IFERROR(__xludf.DUMMYFUNCTION("""COMPUTED_VALUE"""),"bbw_lastdayb2g2_26.1_eventbuy")</f>
        <v>bbw_lastdayb2g2_26.1_eventbuy</v>
      </c>
      <c r="H79" s="211" t="str">
        <f>IFERROR(__xludf.DUMMYFUNCTION("""COMPUTED_VALUE"""),"B2G2_EventBuyers2025_ONOFF OR AGIPL_Internal OR BBW_Internal")</f>
        <v>B2G2_EventBuyers2025_ONOFF OR AGIPL_Internal OR BBW_Internal</v>
      </c>
      <c r="I79" s="223" t="str">
        <f>IFERROR(__xludf.DUMMYFUNCTION("""COMPUTED_VALUE"""),"Customers who have purchased in b2g2 campaign in 2025 both online and offline")</f>
        <v>Customers who have purchased in b2g2 campaign in 2025 both online and offline</v>
      </c>
      <c r="J79" s="213">
        <f>IFERROR(__xludf.DUMMYFUNCTION("""COMPUTED_VALUE"""),31721.0)</f>
        <v>31721</v>
      </c>
      <c r="K79" s="213">
        <f>IFERROR(__xludf.DUMMYFUNCTION("""COMPUTED_VALUE"""),17997.0)</f>
        <v>17997</v>
      </c>
      <c r="L79" s="214">
        <f>IFERROR(__xludf.DUMMYFUNCTION("""COMPUTED_VALUE"""),0.5674)</f>
        <v>0.5674</v>
      </c>
      <c r="M79" s="213"/>
      <c r="N79" s="214"/>
      <c r="O79" s="213">
        <f>IFERROR(__xludf.DUMMYFUNCTION("""COMPUTED_VALUE"""),22.0)</f>
        <v>22</v>
      </c>
      <c r="P79" s="213"/>
      <c r="Q79" s="214">
        <f>IFERROR(__xludf.DUMMYFUNCTION("""COMPUTED_VALUE"""),0.0012)</f>
        <v>0.0012</v>
      </c>
      <c r="R79" s="214"/>
      <c r="S79" s="101">
        <f>IFERROR(__xludf.DUMMYFUNCTION("""COMPUTED_VALUE"""),1.0)</f>
        <v>1</v>
      </c>
      <c r="T79" s="101">
        <f>IFERROR(__xludf.DUMMYFUNCTION("""COMPUTED_VALUE"""),2.0)</f>
        <v>2</v>
      </c>
      <c r="U79" s="213">
        <f>IFERROR(__xludf.DUMMYFUNCTION("""COMPUTED_VALUE"""),1969.0)</f>
        <v>1969</v>
      </c>
      <c r="V79" s="271" t="str">
        <f>IFERROR(__xludf.DUMMYFUNCTION("""COMPUTED_VALUE"""),"overall")</f>
        <v>overall</v>
      </c>
      <c r="W79" s="98" t="str">
        <f>IFERROR(__xludf.DUMMYFUNCTION("""COMPUTED_VALUE"""),"SMS")</f>
        <v>SMS</v>
      </c>
      <c r="X79" s="98" t="str">
        <f>IFERROR(__xludf.DUMMYFUNCTION("""COMPUTED_VALUE"""),"Event Buyers")</f>
        <v>Event Buyers</v>
      </c>
      <c r="Y79" s="98" t="str">
        <f>IFERROR(__xludf.DUMMYFUNCTION("""COMPUTED_VALUE"""),"26th Jan 2026 (1 day)")</f>
        <v>26th Jan 2026 (1 day)</v>
      </c>
      <c r="Z79" s="98" t="str">
        <f>IFERROR(__xludf.DUMMYFUNCTION("""COMPUTED_VALUE"""),"69720b7319acf0cf5619f384")</f>
        <v>69720b7319acf0cf5619f384</v>
      </c>
      <c r="AA79" s="98">
        <f>IFERROR(__xludf.DUMMYFUNCTION("""COMPUTED_VALUE"""),55.0)</f>
        <v>55</v>
      </c>
      <c r="AB79" s="98">
        <f>IFERROR(__xludf.DUMMYFUNCTION("""COMPUTED_VALUE"""),7.0)</f>
        <v>7</v>
      </c>
      <c r="AC79" s="98">
        <f>IFERROR(__xludf.DUMMYFUNCTION("""COMPUTED_VALUE"""),48.0)</f>
        <v>48</v>
      </c>
      <c r="AD79" s="98">
        <f>IFERROR(__xludf.DUMMYFUNCTION("""COMPUTED_VALUE"""),250990.0)</f>
        <v>250990</v>
      </c>
      <c r="AE79" s="98">
        <f>IFERROR(__xludf.DUMMYFUNCTION("""COMPUTED_VALUE"""),30605.0)</f>
        <v>30605</v>
      </c>
      <c r="AF79" s="98">
        <f>IFERROR(__xludf.DUMMYFUNCTION("""COMPUTED_VALUE"""),220385.0)</f>
        <v>220385</v>
      </c>
      <c r="AG79" s="208"/>
      <c r="AH79" s="208"/>
      <c r="AI79" s="208"/>
      <c r="AJ79" s="208"/>
      <c r="AK79" s="208"/>
    </row>
    <row r="80" hidden="1">
      <c r="A80" s="209">
        <f>IFERROR(__xludf.DUMMYFUNCTION("""COMPUTED_VALUE"""),46048.0)</f>
        <v>46048</v>
      </c>
      <c r="B80" s="210">
        <f>IFERROR(__xludf.DUMMYFUNCTION("""COMPUTED_VALUE"""),0.46875)</f>
        <v>0.46875</v>
      </c>
      <c r="C80" s="211" t="str">
        <f>IFERROR(__xludf.DUMMYFUNCTION("""COMPUTED_VALUE"""),"Sms")</f>
        <v>Sms</v>
      </c>
      <c r="D80" s="211" t="str">
        <f>IFERROR(__xludf.DUMMYFUNCTION("""COMPUTED_VALUE"""),"Promotional")</f>
        <v>Promotional</v>
      </c>
      <c r="E80" s="211" t="str">
        <f>IFERROR(__xludf.DUMMYFUNCTION("""COMPUTED_VALUE"""),"BBW")</f>
        <v>BBW</v>
      </c>
      <c r="F80" s="211" t="str">
        <f>IFERROR(__xludf.DUMMYFUNCTION("""COMPUTED_VALUE"""),"B2G2")</f>
        <v>B2G2</v>
      </c>
      <c r="G80" s="212" t="str">
        <f>IFERROR(__xludf.DUMMYFUNCTION("""COMPUTED_VALUE"""),"bbw_lastdayb2g2_26.1_rec")</f>
        <v>bbw_lastdayb2g2_26.1_rec</v>
      </c>
      <c r="H80" s="212" t="str">
        <f>IFERROR(__xludf.DUMMYFUNCTION("""COMPUTED_VALUE"""),"B2G2_Recent106_ONOFF")</f>
        <v>B2G2_Recent106_ONOFF</v>
      </c>
      <c r="I80" s="212" t="str">
        <f>IFERROR(__xludf.DUMMYFUNCTION("""COMPUTED_VALUE"""),"Customers who have purchased in last 106 (Time to Repeat - 2025) Days")</f>
        <v>Customers who have purchased in last 106 (Time to Repeat - 2025) Days</v>
      </c>
      <c r="J80" s="213">
        <f>IFERROR(__xludf.DUMMYFUNCTION("""COMPUTED_VALUE"""),216522.0)</f>
        <v>216522</v>
      </c>
      <c r="K80" s="213">
        <f>IFERROR(__xludf.DUMMYFUNCTION("""COMPUTED_VALUE"""),128863.0)</f>
        <v>128863</v>
      </c>
      <c r="L80" s="214">
        <f>IFERROR(__xludf.DUMMYFUNCTION("""COMPUTED_VALUE"""),0.5951)</f>
        <v>0.5951</v>
      </c>
      <c r="M80" s="213"/>
      <c r="N80" s="214"/>
      <c r="O80" s="101">
        <f>IFERROR(__xludf.DUMMYFUNCTION("""COMPUTED_VALUE"""),143.0)</f>
        <v>143</v>
      </c>
      <c r="P80" s="101"/>
      <c r="Q80" s="214">
        <f>IFERROR(__xludf.DUMMYFUNCTION("""COMPUTED_VALUE"""),0.0011)</f>
        <v>0.0011</v>
      </c>
      <c r="R80" s="214"/>
      <c r="S80" s="101">
        <f>IFERROR(__xludf.DUMMYFUNCTION("""COMPUTED_VALUE"""),3.0)</f>
        <v>3</v>
      </c>
      <c r="T80" s="101">
        <f>IFERROR(__xludf.DUMMYFUNCTION("""COMPUTED_VALUE"""),27.0)</f>
        <v>27</v>
      </c>
      <c r="U80" s="270">
        <f>IFERROR(__xludf.DUMMYFUNCTION("""COMPUTED_VALUE"""),11115.0)</f>
        <v>11115</v>
      </c>
      <c r="V80" s="271" t="str">
        <f>IFERROR(__xludf.DUMMYFUNCTION("""COMPUTED_VALUE"""),"overall")</f>
        <v>overall</v>
      </c>
      <c r="W80" s="272" t="str">
        <f>IFERROR(__xludf.DUMMYFUNCTION("""COMPUTED_VALUE"""),"SMS")</f>
        <v>SMS</v>
      </c>
      <c r="X80" s="272" t="str">
        <f>IFERROR(__xludf.DUMMYFUNCTION("""COMPUTED_VALUE"""),"Recent")</f>
        <v>Recent</v>
      </c>
      <c r="Y80" s="272" t="str">
        <f>IFERROR(__xludf.DUMMYFUNCTION("""COMPUTED_VALUE"""),"26th Jan 2026 (1 day)")</f>
        <v>26th Jan 2026 (1 day)</v>
      </c>
      <c r="Z80" s="272" t="str">
        <f>IFERROR(__xludf.DUMMYFUNCTION("""COMPUTED_VALUE"""),"69720b7d4524e41aceeec11b")</f>
        <v>69720b7d4524e41aceeec11b</v>
      </c>
      <c r="AA80" s="272">
        <f>IFERROR(__xludf.DUMMYFUNCTION("""COMPUTED_VALUE"""),218.0)</f>
        <v>218</v>
      </c>
      <c r="AB80" s="272">
        <f>IFERROR(__xludf.DUMMYFUNCTION("""COMPUTED_VALUE"""),37.0)</f>
        <v>37</v>
      </c>
      <c r="AC80" s="272">
        <f>IFERROR(__xludf.DUMMYFUNCTION("""COMPUTED_VALUE"""),181.0)</f>
        <v>181</v>
      </c>
      <c r="AD80" s="272">
        <f>IFERROR(__xludf.DUMMYFUNCTION("""COMPUTED_VALUE"""),928888.0)</f>
        <v>928888</v>
      </c>
      <c r="AE80" s="272">
        <f>IFERROR(__xludf.DUMMYFUNCTION("""COMPUTED_VALUE"""),98747.0)</f>
        <v>98747</v>
      </c>
      <c r="AF80" s="272">
        <f>IFERROR(__xludf.DUMMYFUNCTION("""COMPUTED_VALUE"""),830141.0)</f>
        <v>830141</v>
      </c>
      <c r="AG80" s="208"/>
      <c r="AH80" s="208"/>
      <c r="AI80" s="208"/>
      <c r="AJ80" s="208"/>
      <c r="AK80" s="208"/>
    </row>
    <row r="81" hidden="1">
      <c r="A81" s="209">
        <f>IFERROR(__xludf.DUMMYFUNCTION("""COMPUTED_VALUE"""),46048.0)</f>
        <v>46048</v>
      </c>
      <c r="B81" s="210">
        <f>IFERROR(__xludf.DUMMYFUNCTION("""COMPUTED_VALUE"""),0.46875)</f>
        <v>0.46875</v>
      </c>
      <c r="C81" s="211" t="str">
        <f>IFERROR(__xludf.DUMMYFUNCTION("""COMPUTED_VALUE"""),"Sms")</f>
        <v>Sms</v>
      </c>
      <c r="D81" s="211" t="str">
        <f>IFERROR(__xludf.DUMMYFUNCTION("""COMPUTED_VALUE"""),"Promotional")</f>
        <v>Promotional</v>
      </c>
      <c r="E81" s="211" t="str">
        <f>IFERROR(__xludf.DUMMYFUNCTION("""COMPUTED_VALUE"""),"BBW")</f>
        <v>BBW</v>
      </c>
      <c r="F81" s="211" t="str">
        <f>IFERROR(__xludf.DUMMYFUNCTION("""COMPUTED_VALUE"""),"B2G2")</f>
        <v>B2G2</v>
      </c>
      <c r="G81" s="212" t="str">
        <f>IFERROR(__xludf.DUMMYFUNCTION("""COMPUTED_VALUE"""),"bbw_lastdayb2g2_26.1_repeat")</f>
        <v>bbw_lastdayb2g2_26.1_repeat</v>
      </c>
      <c r="H81" s="212" t="str">
        <f>IFERROR(__xludf.DUMMYFUNCTION("""COMPUTED_VALUE"""),"B2G2_Repeat_ONOFF")</f>
        <v>B2G2_Repeat_ONOFF</v>
      </c>
      <c r="I81" s="212" t="str">
        <f>IFERROR(__xludf.DUMMYFUNCTION("""COMPUTED_VALUE"""),"Customers who have purchased in last 106 (Time to Repeat - 2025) Days")</f>
        <v>Customers who have purchased in last 106 (Time to Repeat - 2025) Days</v>
      </c>
      <c r="J81" s="213">
        <f>IFERROR(__xludf.DUMMYFUNCTION("""COMPUTED_VALUE"""),57459.0)</f>
        <v>57459</v>
      </c>
      <c r="K81" s="213">
        <f>IFERROR(__xludf.DUMMYFUNCTION("""COMPUTED_VALUE"""),33577.0)</f>
        <v>33577</v>
      </c>
      <c r="L81" s="214">
        <f>IFERROR(__xludf.DUMMYFUNCTION("""COMPUTED_VALUE"""),0.5844)</f>
        <v>0.5844</v>
      </c>
      <c r="M81" s="213"/>
      <c r="N81" s="214"/>
      <c r="O81" s="101">
        <f>IFERROR(__xludf.DUMMYFUNCTION("""COMPUTED_VALUE"""),59.0)</f>
        <v>59</v>
      </c>
      <c r="P81" s="101"/>
      <c r="Q81" s="214">
        <f>IFERROR(__xludf.DUMMYFUNCTION("""COMPUTED_VALUE"""),0.0018)</f>
        <v>0.0018</v>
      </c>
      <c r="R81" s="214"/>
      <c r="S81" s="101">
        <f>IFERROR(__xludf.DUMMYFUNCTION("""COMPUTED_VALUE"""),3.0)</f>
        <v>3</v>
      </c>
      <c r="T81" s="218">
        <f>IFERROR(__xludf.DUMMYFUNCTION("""COMPUTED_VALUE"""),7.0)</f>
        <v>7</v>
      </c>
      <c r="U81" s="270">
        <f>IFERROR(__xludf.DUMMYFUNCTION("""COMPUTED_VALUE"""),16366.0)</f>
        <v>16366</v>
      </c>
      <c r="V81" s="271" t="str">
        <f>IFERROR(__xludf.DUMMYFUNCTION("""COMPUTED_VALUE"""),"overall")</f>
        <v>overall</v>
      </c>
      <c r="W81" s="272" t="str">
        <f>IFERROR(__xludf.DUMMYFUNCTION("""COMPUTED_VALUE"""),"SMS")</f>
        <v>SMS</v>
      </c>
      <c r="X81" s="272" t="str">
        <f>IFERROR(__xludf.DUMMYFUNCTION("""COMPUTED_VALUE"""),"Repeat")</f>
        <v>Repeat</v>
      </c>
      <c r="Y81" s="272" t="str">
        <f>IFERROR(__xludf.DUMMYFUNCTION("""COMPUTED_VALUE"""),"26th Jan 2026 (1 day)")</f>
        <v>26th Jan 2026 (1 day)</v>
      </c>
      <c r="Z81" s="272" t="str">
        <f>IFERROR(__xludf.DUMMYFUNCTION("""COMPUTED_VALUE"""),"69720b8b64ac97b849fc4fd1")</f>
        <v>69720b8b64ac97b849fc4fd1</v>
      </c>
      <c r="AA81" s="272">
        <f>IFERROR(__xludf.DUMMYFUNCTION("""COMPUTED_VALUE"""),82.0)</f>
        <v>82</v>
      </c>
      <c r="AB81" s="272">
        <f>IFERROR(__xludf.DUMMYFUNCTION("""COMPUTED_VALUE"""),11.0)</f>
        <v>11</v>
      </c>
      <c r="AC81" s="272">
        <f>IFERROR(__xludf.DUMMYFUNCTION("""COMPUTED_VALUE"""),71.0)</f>
        <v>71</v>
      </c>
      <c r="AD81" s="272">
        <f>IFERROR(__xludf.DUMMYFUNCTION("""COMPUTED_VALUE"""),396801.0)</f>
        <v>396801</v>
      </c>
      <c r="AE81" s="272">
        <f>IFERROR(__xludf.DUMMYFUNCTION("""COMPUTED_VALUE"""),36426.0)</f>
        <v>36426</v>
      </c>
      <c r="AF81" s="272">
        <f>IFERROR(__xludf.DUMMYFUNCTION("""COMPUTED_VALUE"""),360375.0)</f>
        <v>360375</v>
      </c>
      <c r="AG81" s="208"/>
      <c r="AH81" s="208"/>
      <c r="AI81" s="208"/>
      <c r="AJ81" s="208"/>
      <c r="AK81" s="208"/>
    </row>
    <row r="82" hidden="1">
      <c r="A82" s="209">
        <f>IFERROR(__xludf.DUMMYFUNCTION("""COMPUTED_VALUE"""),46048.0)</f>
        <v>46048</v>
      </c>
      <c r="B82" s="210">
        <f>IFERROR(__xludf.DUMMYFUNCTION("""COMPUTED_VALUE"""),0.46875)</f>
        <v>0.46875</v>
      </c>
      <c r="C82" s="211" t="str">
        <f>IFERROR(__xludf.DUMMYFUNCTION("""COMPUTED_VALUE"""),"Sms")</f>
        <v>Sms</v>
      </c>
      <c r="D82" s="211" t="str">
        <f>IFERROR(__xludf.DUMMYFUNCTION("""COMPUTED_VALUE"""),"Promotional")</f>
        <v>Promotional</v>
      </c>
      <c r="E82" s="211" t="str">
        <f>IFERROR(__xludf.DUMMYFUNCTION("""COMPUTED_VALUE"""),"BBW")</f>
        <v>BBW</v>
      </c>
      <c r="F82" s="281" t="str">
        <f>IFERROR(__xludf.DUMMYFUNCTION("""COMPUTED_VALUE"""),"B2G2")</f>
        <v>B2G2</v>
      </c>
      <c r="G82" s="212" t="str">
        <f>IFERROR(__xludf.DUMMYFUNCTION("""COMPUTED_VALUE"""),"bbw_lastdayb2g2_26.1_gen")</f>
        <v>bbw_lastdayb2g2_26.1_gen</v>
      </c>
      <c r="H82" s="212" t="str">
        <f>IFERROR(__xludf.DUMMYFUNCTION("""COMPUTED_VALUE"""),"B2G2_2025Buyers_ONOFF")</f>
        <v>B2G2_2025Buyers_ONOFF</v>
      </c>
      <c r="I82" s="212" t="str">
        <f>IFERROR(__xludf.DUMMYFUNCTION("""COMPUTED_VALUE"""),"Customer who have purchased atleast 2 times from 1st Jan 2025 to 18th Jan 2026")</f>
        <v>Customer who have purchased atleast 2 times from 1st Jan 2025 to 18th Jan 2026</v>
      </c>
      <c r="J82" s="213">
        <f>IFERROR(__xludf.DUMMYFUNCTION("""COMPUTED_VALUE"""),288500.0)</f>
        <v>288500</v>
      </c>
      <c r="K82" s="213">
        <f>IFERROR(__xludf.DUMMYFUNCTION("""COMPUTED_VALUE"""),176373.0)</f>
        <v>176373</v>
      </c>
      <c r="L82" s="214">
        <f>IFERROR(__xludf.DUMMYFUNCTION("""COMPUTED_VALUE"""),0.6113)</f>
        <v>0.6113</v>
      </c>
      <c r="M82" s="213"/>
      <c r="N82" s="214"/>
      <c r="O82" s="101">
        <f>IFERROR(__xludf.DUMMYFUNCTION("""COMPUTED_VALUE"""),152.0)</f>
        <v>152</v>
      </c>
      <c r="P82" s="101"/>
      <c r="Q82" s="214">
        <f>IFERROR(__xludf.DUMMYFUNCTION("""COMPUTED_VALUE"""),9.0E-4)</f>
        <v>0.0009</v>
      </c>
      <c r="R82" s="214"/>
      <c r="S82" s="101">
        <f>IFERROR(__xludf.DUMMYFUNCTION("""COMPUTED_VALUE"""),7.0)</f>
        <v>7</v>
      </c>
      <c r="T82" s="101">
        <f>IFERROR(__xludf.DUMMYFUNCTION("""COMPUTED_VALUE"""),13.0)</f>
        <v>13</v>
      </c>
      <c r="U82" s="270">
        <f>IFERROR(__xludf.DUMMYFUNCTION("""COMPUTED_VALUE"""),18347.0)</f>
        <v>18347</v>
      </c>
      <c r="V82" s="271" t="str">
        <f>IFERROR(__xludf.DUMMYFUNCTION("""COMPUTED_VALUE"""),"overall")</f>
        <v>overall</v>
      </c>
      <c r="W82" s="272" t="str">
        <f>IFERROR(__xludf.DUMMYFUNCTION("""COMPUTED_VALUE"""),"SMS")</f>
        <v>SMS</v>
      </c>
      <c r="X82" s="272" t="str">
        <f>IFERROR(__xludf.DUMMYFUNCTION("""COMPUTED_VALUE"""),"Event Buyers")</f>
        <v>Event Buyers</v>
      </c>
      <c r="Y82" s="272" t="str">
        <f>IFERROR(__xludf.DUMMYFUNCTION("""COMPUTED_VALUE"""),"26th Jan 2026 (1 day)")</f>
        <v>26th Jan 2026 (1 day)</v>
      </c>
      <c r="Z82" s="272" t="str">
        <f>IFERROR(__xludf.DUMMYFUNCTION("""COMPUTED_VALUE"""),"69720b95473b29a45a9b617c")</f>
        <v>69720b95473b29a45a9b617c</v>
      </c>
      <c r="AA82" s="272">
        <f>IFERROR(__xludf.DUMMYFUNCTION("""COMPUTED_VALUE"""),172.0)</f>
        <v>172</v>
      </c>
      <c r="AB82" s="272">
        <f>IFERROR(__xludf.DUMMYFUNCTION("""COMPUTED_VALUE"""),28.0)</f>
        <v>28</v>
      </c>
      <c r="AC82" s="272">
        <f>IFERROR(__xludf.DUMMYFUNCTION("""COMPUTED_VALUE"""),144.0)</f>
        <v>144</v>
      </c>
      <c r="AD82" s="272">
        <f>IFERROR(__xludf.DUMMYFUNCTION("""COMPUTED_VALUE"""),662759.0)</f>
        <v>662759</v>
      </c>
      <c r="AE82" s="272">
        <f>IFERROR(__xludf.DUMMYFUNCTION("""COMPUTED_VALUE"""),85416.0)</f>
        <v>85416</v>
      </c>
      <c r="AF82" s="272">
        <f>IFERROR(__xludf.DUMMYFUNCTION("""COMPUTED_VALUE"""),577343.0)</f>
        <v>577343</v>
      </c>
      <c r="AG82" s="208"/>
      <c r="AH82" s="208"/>
      <c r="AI82" s="208"/>
      <c r="AJ82" s="208"/>
      <c r="AK82" s="208"/>
    </row>
    <row r="83" hidden="1">
      <c r="A83" s="209">
        <f>IFERROR(__xludf.DUMMYFUNCTION("""COMPUTED_VALUE"""),46049.0)</f>
        <v>46049</v>
      </c>
      <c r="B83" s="210">
        <f>IFERROR(__xludf.DUMMYFUNCTION("""COMPUTED_VALUE"""),0.84375)</f>
        <v>0.84375</v>
      </c>
      <c r="C83" s="211" t="str">
        <f>IFERROR(__xludf.DUMMYFUNCTION("""COMPUTED_VALUE"""),"Sms")</f>
        <v>Sms</v>
      </c>
      <c r="D83" s="211" t="str">
        <f>IFERROR(__xludf.DUMMYFUNCTION("""COMPUTED_VALUE"""),"Promotional")</f>
        <v>Promotional</v>
      </c>
      <c r="E83" s="211" t="str">
        <f>IFERROR(__xludf.DUMMYFUNCTION("""COMPUTED_VALUE"""),"BBW")</f>
        <v>BBW</v>
      </c>
      <c r="F83" s="211" t="str">
        <f>IFERROR(__xludf.DUMMYFUNCTION("""COMPUTED_VALUE"""),"Flash Sale")</f>
        <v>Flash Sale</v>
      </c>
      <c r="G83" s="212" t="str">
        <f>IFERROR(__xludf.DUMMYFUNCTION("""COMPUTED_VALUE"""),"bbw_fshomefrag27.1_new")</f>
        <v>bbw_fshomefrag27.1_new</v>
      </c>
      <c r="H83" s="212" t="str">
        <f>IFERROR(__xludf.DUMMYFUNCTION("""COMPUTED_VALUE"""),"LA_FlashSale_New_On")</f>
        <v>LA_FlashSale_New_On</v>
      </c>
      <c r="I83" s="212" t="str">
        <f>IFERROR(__xludf.DUMMYFUNCTION("""COMPUTED_VALUE"""),"Customers who have purchased exactly once in the last 36 months with Txn_Channel Online AND Category_L2_Desc contains LIVING ACCESSORIES AND Exclude Custom Segment :- LA_FlashSale_Recent")</f>
        <v>Customers who have purchased exactly once in the last 36 months with Txn_Channel Online AND Category_L2_Desc contains LIVING ACCESSORIES AND Exclude Custom Segment :- LA_FlashSale_Recent</v>
      </c>
      <c r="J83" s="213">
        <f>IFERROR(__xludf.DUMMYFUNCTION("""COMPUTED_VALUE"""),40231.0)</f>
        <v>40231</v>
      </c>
      <c r="K83" s="213">
        <f>IFERROR(__xludf.DUMMYFUNCTION("""COMPUTED_VALUE"""),21253.0)</f>
        <v>21253</v>
      </c>
      <c r="L83" s="214">
        <f>IFERROR(__xludf.DUMMYFUNCTION("""COMPUTED_VALUE"""),0.5283)</f>
        <v>0.5283</v>
      </c>
      <c r="M83" s="213"/>
      <c r="N83" s="214"/>
      <c r="O83" s="101">
        <f>IFERROR(__xludf.DUMMYFUNCTION("""COMPUTED_VALUE"""),58.0)</f>
        <v>58</v>
      </c>
      <c r="P83" s="101"/>
      <c r="Q83" s="214">
        <f>IFERROR(__xludf.DUMMYFUNCTION("""COMPUTED_VALUE"""),0.0027)</f>
        <v>0.0027</v>
      </c>
      <c r="R83" s="214"/>
      <c r="S83" s="101">
        <f>IFERROR(__xludf.DUMMYFUNCTION("""COMPUTED_VALUE"""),3.0)</f>
        <v>3</v>
      </c>
      <c r="T83" s="218">
        <f>IFERROR(__xludf.DUMMYFUNCTION("""COMPUTED_VALUE"""),7.0)</f>
        <v>7</v>
      </c>
      <c r="U83" s="270">
        <f>IFERROR(__xludf.DUMMYFUNCTION("""COMPUTED_VALUE"""),16103.0)</f>
        <v>16103</v>
      </c>
      <c r="V83" s="271" t="str">
        <f>IFERROR(__xludf.DUMMYFUNCTION("""COMPUTED_VALUE"""),"online")</f>
        <v>online</v>
      </c>
      <c r="W83" s="272" t="str">
        <f>IFERROR(__xludf.DUMMYFUNCTION("""COMPUTED_VALUE"""),"SMS")</f>
        <v>SMS</v>
      </c>
      <c r="X83" s="272" t="str">
        <f>IFERROR(__xludf.DUMMYFUNCTION("""COMPUTED_VALUE"""),"New")</f>
        <v>New</v>
      </c>
      <c r="Y83" s="272" t="str">
        <f>IFERROR(__xludf.DUMMYFUNCTION("""COMPUTED_VALUE"""),"27th Jan to 28th Jan")</f>
        <v>27th Jan to 28th Jan</v>
      </c>
      <c r="Z83" s="272" t="str">
        <f>IFERROR(__xludf.DUMMYFUNCTION("""COMPUTED_VALUE"""),"6978ad5d888f7ba31679883b")</f>
        <v>6978ad5d888f7ba31679883b</v>
      </c>
      <c r="AA83" s="272">
        <f>IFERROR(__xludf.DUMMYFUNCTION("""COMPUTED_VALUE"""),18.0)</f>
        <v>18</v>
      </c>
      <c r="AB83" s="272">
        <f>IFERROR(__xludf.DUMMYFUNCTION("""COMPUTED_VALUE"""),18.0)</f>
        <v>18</v>
      </c>
      <c r="AC83" s="272"/>
      <c r="AD83" s="272">
        <f>IFERROR(__xludf.DUMMYFUNCTION("""COMPUTED_VALUE"""),48707.0)</f>
        <v>48707</v>
      </c>
      <c r="AE83" s="272">
        <f>IFERROR(__xludf.DUMMYFUNCTION("""COMPUTED_VALUE"""),48707.0)</f>
        <v>48707</v>
      </c>
      <c r="AF83" s="272"/>
      <c r="AG83" s="208"/>
      <c r="AH83" s="208"/>
      <c r="AI83" s="208"/>
      <c r="AJ83" s="208"/>
      <c r="AK83" s="208"/>
    </row>
    <row r="84" hidden="1">
      <c r="A84" s="216">
        <f>IFERROR(__xludf.DUMMYFUNCTION("""COMPUTED_VALUE"""),46049.0)</f>
        <v>46049</v>
      </c>
      <c r="B84" s="210">
        <f>IFERROR(__xludf.DUMMYFUNCTION("""COMPUTED_VALUE"""),0.84375)</f>
        <v>0.84375</v>
      </c>
      <c r="C84" s="210" t="str">
        <f>IFERROR(__xludf.DUMMYFUNCTION("""COMPUTED_VALUE"""),"Sms")</f>
        <v>Sms</v>
      </c>
      <c r="D84" s="210" t="str">
        <f>IFERROR(__xludf.DUMMYFUNCTION("""COMPUTED_VALUE"""),"Promotional")</f>
        <v>Promotional</v>
      </c>
      <c r="E84" s="211" t="str">
        <f>IFERROR(__xludf.DUMMYFUNCTION("""COMPUTED_VALUE"""),"BBW")</f>
        <v>BBW</v>
      </c>
      <c r="F84" s="211" t="str">
        <f>IFERROR(__xludf.DUMMYFUNCTION("""COMPUTED_VALUE"""),"Flash Sale")</f>
        <v>Flash Sale</v>
      </c>
      <c r="G84" s="211" t="str">
        <f>IFERROR(__xludf.DUMMYFUNCTION("""COMPUTED_VALUE"""),"bbw_fshomefrag27.1_repeat")</f>
        <v>bbw_fshomefrag27.1_repeat</v>
      </c>
      <c r="H84" s="211" t="str">
        <f>IFERROR(__xludf.DUMMYFUNCTION("""COMPUTED_VALUE"""),"LA_FlashSale_Repeat_On")</f>
        <v>LA_FlashSale_Repeat_On</v>
      </c>
      <c r="I84" s="223" t="str">
        <f>IFERROR(__xludf.DUMMYFUNCTION("""COMPUTED_VALUE"""),"Customers who have purchased atleast twice in the last 36 months with Txn_Channel Online AND Category_L2_Desc contains LIVING ACCESSORIES AND Exclude Custom Segment :- LA_FlashSale_Recent")</f>
        <v>Customers who have purchased atleast twice in the last 36 months with Txn_Channel Online AND Category_L2_Desc contains LIVING ACCESSORIES AND Exclude Custom Segment :- LA_FlashSale_Recent</v>
      </c>
      <c r="J84" s="213">
        <f>IFERROR(__xludf.DUMMYFUNCTION("""COMPUTED_VALUE"""),13769.0)</f>
        <v>13769</v>
      </c>
      <c r="K84" s="213">
        <f>IFERROR(__xludf.DUMMYFUNCTION("""COMPUTED_VALUE"""),6387.0)</f>
        <v>6387</v>
      </c>
      <c r="L84" s="214">
        <f>IFERROR(__xludf.DUMMYFUNCTION("""COMPUTED_VALUE"""),0.4639)</f>
        <v>0.4639</v>
      </c>
      <c r="M84" s="213"/>
      <c r="N84" s="214"/>
      <c r="O84" s="213">
        <f>IFERROR(__xludf.DUMMYFUNCTION("""COMPUTED_VALUE"""),35.0)</f>
        <v>35</v>
      </c>
      <c r="P84" s="213"/>
      <c r="Q84" s="214">
        <f>IFERROR(__xludf.DUMMYFUNCTION("""COMPUTED_VALUE"""),0.0055)</f>
        <v>0.0055</v>
      </c>
      <c r="R84" s="214"/>
      <c r="S84" s="101">
        <f>IFERROR(__xludf.DUMMYFUNCTION("""COMPUTED_VALUE"""),0.0)</f>
        <v>0</v>
      </c>
      <c r="T84" s="101">
        <f>IFERROR(__xludf.DUMMYFUNCTION("""COMPUTED_VALUE"""),4.0)</f>
        <v>4</v>
      </c>
      <c r="U84" s="213">
        <f>IFERROR(__xludf.DUMMYFUNCTION("""COMPUTED_VALUE"""),0.0)</f>
        <v>0</v>
      </c>
      <c r="V84" s="271" t="str">
        <f>IFERROR(__xludf.DUMMYFUNCTION("""COMPUTED_VALUE"""),"online")</f>
        <v>online</v>
      </c>
      <c r="W84" s="98" t="str">
        <f>IFERROR(__xludf.DUMMYFUNCTION("""COMPUTED_VALUE"""),"SMS")</f>
        <v>SMS</v>
      </c>
      <c r="X84" s="98" t="str">
        <f>IFERROR(__xludf.DUMMYFUNCTION("""COMPUTED_VALUE"""),"Repeat")</f>
        <v>Repeat</v>
      </c>
      <c r="Y84" s="98" t="str">
        <f>IFERROR(__xludf.DUMMYFUNCTION("""COMPUTED_VALUE"""),"27th Jan to 28th Jan")</f>
        <v>27th Jan to 28th Jan</v>
      </c>
      <c r="Z84" s="98" t="str">
        <f>IFERROR(__xludf.DUMMYFUNCTION("""COMPUTED_VALUE"""),"6978ad64bdb4b2435f78fe20")</f>
        <v>6978ad64bdb4b2435f78fe20</v>
      </c>
      <c r="AA84" s="98">
        <f>IFERROR(__xludf.DUMMYFUNCTION("""COMPUTED_VALUE"""),10.0)</f>
        <v>10</v>
      </c>
      <c r="AB84" s="98">
        <f>IFERROR(__xludf.DUMMYFUNCTION("""COMPUTED_VALUE"""),10.0)</f>
        <v>10</v>
      </c>
      <c r="AC84" s="98"/>
      <c r="AD84" s="98">
        <f>IFERROR(__xludf.DUMMYFUNCTION("""COMPUTED_VALUE"""),21940.0)</f>
        <v>21940</v>
      </c>
      <c r="AE84" s="98">
        <f>IFERROR(__xludf.DUMMYFUNCTION("""COMPUTED_VALUE"""),21940.0)</f>
        <v>21940</v>
      </c>
      <c r="AF84" s="98"/>
      <c r="AG84" s="208"/>
      <c r="AH84" s="208"/>
      <c r="AI84" s="208"/>
      <c r="AJ84" s="208"/>
      <c r="AK84" s="208"/>
    </row>
    <row r="85" hidden="1">
      <c r="A85" s="209">
        <f>IFERROR(__xludf.DUMMYFUNCTION("""COMPUTED_VALUE"""),46049.0)</f>
        <v>46049</v>
      </c>
      <c r="B85" s="210">
        <f>IFERROR(__xludf.DUMMYFUNCTION("""COMPUTED_VALUE"""),0.84375)</f>
        <v>0.84375</v>
      </c>
      <c r="C85" s="211" t="str">
        <f>IFERROR(__xludf.DUMMYFUNCTION("""COMPUTED_VALUE"""),"Sms")</f>
        <v>Sms</v>
      </c>
      <c r="D85" s="211" t="str">
        <f>IFERROR(__xludf.DUMMYFUNCTION("""COMPUTED_VALUE"""),"Promotional")</f>
        <v>Promotional</v>
      </c>
      <c r="E85" s="211" t="str">
        <f>IFERROR(__xludf.DUMMYFUNCTION("""COMPUTED_VALUE"""),"BBW")</f>
        <v>BBW</v>
      </c>
      <c r="F85" s="211" t="str">
        <f>IFERROR(__xludf.DUMMYFUNCTION("""COMPUTED_VALUE"""),"Flash Sale")</f>
        <v>Flash Sale</v>
      </c>
      <c r="G85" s="212" t="str">
        <f>IFERROR(__xludf.DUMMYFUNCTION("""COMPUTED_VALUE"""),"bbw_fshomefrag27.1_recent")</f>
        <v>bbw_fshomefrag27.1_recent</v>
      </c>
      <c r="H85" s="212" t="str">
        <f>IFERROR(__xludf.DUMMYFUNCTION("""COMPUTED_VALUE"""),"LA_FlashSale_Recent OR AGIPL_Internal OR BBW_Internal")</f>
        <v>LA_FlashSale_Recent OR AGIPL_Internal OR BBW_Internal</v>
      </c>
      <c r="I85" s="212" t="str">
        <f>IFERROR(__xludf.DUMMYFUNCTION("""COMPUTED_VALUE"""),"Customers who have purchased in the last 92 days with Txn_Channel Online AND Category_L2_Desc contains LIVING ACCESSORIES")</f>
        <v>Customers who have purchased in the last 92 days with Txn_Channel Online AND Category_L2_Desc contains LIVING ACCESSORIES</v>
      </c>
      <c r="J85" s="213">
        <f>IFERROR(__xludf.DUMMYFUNCTION("""COMPUTED_VALUE"""),9385.0)</f>
        <v>9385</v>
      </c>
      <c r="K85" s="213">
        <f>IFERROR(__xludf.DUMMYFUNCTION("""COMPUTED_VALUE"""),4826.0)</f>
        <v>4826</v>
      </c>
      <c r="L85" s="214">
        <f>IFERROR(__xludf.DUMMYFUNCTION("""COMPUTED_VALUE"""),0.5142)</f>
        <v>0.5142</v>
      </c>
      <c r="M85" s="213"/>
      <c r="N85" s="214"/>
      <c r="O85" s="101">
        <f>IFERROR(__xludf.DUMMYFUNCTION("""COMPUTED_VALUE"""),37.0)</f>
        <v>37</v>
      </c>
      <c r="P85" s="101"/>
      <c r="Q85" s="214">
        <f>IFERROR(__xludf.DUMMYFUNCTION("""COMPUTED_VALUE"""),0.0077)</f>
        <v>0.0077</v>
      </c>
      <c r="R85" s="214"/>
      <c r="S85" s="101">
        <f>IFERROR(__xludf.DUMMYFUNCTION("""COMPUTED_VALUE"""),2.0)</f>
        <v>2</v>
      </c>
      <c r="T85" s="218">
        <f>IFERROR(__xludf.DUMMYFUNCTION("""COMPUTED_VALUE"""),12.0)</f>
        <v>12</v>
      </c>
      <c r="U85" s="270">
        <f>IFERROR(__xludf.DUMMYFUNCTION("""COMPUTED_VALUE"""),2676.0)</f>
        <v>2676</v>
      </c>
      <c r="V85" s="271" t="str">
        <f>IFERROR(__xludf.DUMMYFUNCTION("""COMPUTED_VALUE"""),"online")</f>
        <v>online</v>
      </c>
      <c r="W85" s="272" t="str">
        <f>IFERROR(__xludf.DUMMYFUNCTION("""COMPUTED_VALUE"""),"SMS")</f>
        <v>SMS</v>
      </c>
      <c r="X85" s="272" t="str">
        <f>IFERROR(__xludf.DUMMYFUNCTION("""COMPUTED_VALUE"""),"Recent")</f>
        <v>Recent</v>
      </c>
      <c r="Y85" s="272" t="str">
        <f>IFERROR(__xludf.DUMMYFUNCTION("""COMPUTED_VALUE"""),"27th Jan to 28th Jan")</f>
        <v>27th Jan to 28th Jan</v>
      </c>
      <c r="Z85" s="272" t="str">
        <f>IFERROR(__xludf.DUMMYFUNCTION("""COMPUTED_VALUE"""),"6978ad6c49c1e220c4054e00")</f>
        <v>6978ad6c49c1e220c4054e00</v>
      </c>
      <c r="AA85" s="272">
        <f>IFERROR(__xludf.DUMMYFUNCTION("""COMPUTED_VALUE"""),9.0)</f>
        <v>9</v>
      </c>
      <c r="AB85" s="272">
        <f>IFERROR(__xludf.DUMMYFUNCTION("""COMPUTED_VALUE"""),9.0)</f>
        <v>9</v>
      </c>
      <c r="AC85" s="272"/>
      <c r="AD85" s="272">
        <f>IFERROR(__xludf.DUMMYFUNCTION("""COMPUTED_VALUE"""),24417.0)</f>
        <v>24417</v>
      </c>
      <c r="AE85" s="272">
        <f>IFERROR(__xludf.DUMMYFUNCTION("""COMPUTED_VALUE"""),24417.0)</f>
        <v>24417</v>
      </c>
      <c r="AF85" s="272"/>
      <c r="AG85" s="208"/>
      <c r="AH85" s="208"/>
      <c r="AI85" s="208"/>
      <c r="AJ85" s="208"/>
      <c r="AK85" s="208"/>
    </row>
    <row r="86" hidden="1">
      <c r="A86" s="216">
        <f>IFERROR(__xludf.DUMMYFUNCTION("""COMPUTED_VALUE"""),46052.0)</f>
        <v>46052</v>
      </c>
      <c r="B86" s="210">
        <f>IFERROR(__xludf.DUMMYFUNCTION("""COMPUTED_VALUE"""),0.75)</f>
        <v>0.75</v>
      </c>
      <c r="C86" s="210" t="str">
        <f>IFERROR(__xludf.DUMMYFUNCTION("""COMPUTED_VALUE"""),"Whatsapp")</f>
        <v>Whatsapp</v>
      </c>
      <c r="D86" s="210" t="str">
        <f>IFERROR(__xludf.DUMMYFUNCTION("""COMPUTED_VALUE"""),"Promotional")</f>
        <v>Promotional</v>
      </c>
      <c r="E86" s="211" t="str">
        <f>IFERROR(__xludf.DUMMYFUNCTION("""COMPUTED_VALUE"""),"BBW")</f>
        <v>BBW</v>
      </c>
      <c r="F86" s="211" t="str">
        <f>IFERROR(__xludf.DUMMYFUNCTION("""COMPUTED_VALUE"""),"B2G1")</f>
        <v>B2G1</v>
      </c>
      <c r="G86" s="211" t="str">
        <f>IFERROR(__xludf.DUMMYFUNCTION("""COMPUTED_VALUE"""),"bbw_stb2g1_30.1_loyal_1")</f>
        <v>bbw_stb2g1_30.1_loyal_1</v>
      </c>
      <c r="H86" s="211" t="str">
        <f>IFERROR(__xludf.DUMMYFUNCTION("""COMPUTED_VALUE"""),"B2G1_LoyalDormant_ONOFF")</f>
        <v>B2G1_LoyalDormant_ONOFF</v>
      </c>
      <c r="I86" s="223" t="str">
        <f>IFERROR(__xludf.DUMMYFUNCTION("""COMPUTED_VALUE"""),"Customer who have purchased 2 times from 1st Jan 2025 but have not returend in the last 106 days AND Exclude Custom Segment :- B2G1_EventBuyers_ONOFF")</f>
        <v>Customer who have purchased 2 times from 1st Jan 2025 but have not returend in the last 106 days AND Exclude Custom Segment :- B2G1_EventBuyers_ONOFF</v>
      </c>
      <c r="J86" s="213">
        <f>IFERROR(__xludf.DUMMYFUNCTION("""COMPUTED_VALUE"""),54977.0)</f>
        <v>54977</v>
      </c>
      <c r="K86" s="213">
        <f>IFERROR(__xludf.DUMMYFUNCTION("""COMPUTED_VALUE"""),17352.0)</f>
        <v>17352</v>
      </c>
      <c r="L86" s="214">
        <f>IFERROR(__xludf.DUMMYFUNCTION("""COMPUTED_VALUE"""),0.3156)</f>
        <v>0.3156</v>
      </c>
      <c r="M86" s="213">
        <f>IFERROR(__xludf.DUMMYFUNCTION("""COMPUTED_VALUE"""),7031.0)</f>
        <v>7031</v>
      </c>
      <c r="N86" s="214">
        <f>IFERROR(__xludf.DUMMYFUNCTION("""COMPUTED_VALUE"""),0.4047)</f>
        <v>0.4047</v>
      </c>
      <c r="O86" s="213">
        <f>IFERROR(__xludf.DUMMYFUNCTION("""COMPUTED_VALUE"""),392.0)</f>
        <v>392</v>
      </c>
      <c r="P86" s="213">
        <f>IFERROR(__xludf.DUMMYFUNCTION("""COMPUTED_VALUE"""),377.0)</f>
        <v>377</v>
      </c>
      <c r="Q86" s="214">
        <f>IFERROR(__xludf.DUMMYFUNCTION("""COMPUTED_VALUE"""),0.0217)</f>
        <v>0.0217</v>
      </c>
      <c r="R86" s="214">
        <f>IFERROR(__xludf.DUMMYFUNCTION("""COMPUTED_VALUE"""),0.0537)</f>
        <v>0.0537</v>
      </c>
      <c r="S86" s="101">
        <f>IFERROR(__xludf.DUMMYFUNCTION("""COMPUTED_VALUE"""),3.0)</f>
        <v>3</v>
      </c>
      <c r="T86" s="101"/>
      <c r="U86" s="213">
        <f>IFERROR(__xludf.DUMMYFUNCTION("""COMPUTED_VALUE"""),9441.0)</f>
        <v>9441</v>
      </c>
      <c r="V86" s="271" t="str">
        <f>IFERROR(__xludf.DUMMYFUNCTION("""COMPUTED_VALUE"""),"overall")</f>
        <v>overall</v>
      </c>
      <c r="W86" s="98" t="str">
        <f>IFERROR(__xludf.DUMMYFUNCTION("""COMPUTED_VALUE"""),"simple")</f>
        <v>simple</v>
      </c>
      <c r="X86" s="98" t="str">
        <f>IFERROR(__xludf.DUMMYFUNCTION("""COMPUTED_VALUE"""),"Loyal")</f>
        <v>Loyal</v>
      </c>
      <c r="Y86" s="98" t="str">
        <f>IFERROR(__xludf.DUMMYFUNCTION("""COMPUTED_VALUE"""),"30th Jan - 2nd Feb")</f>
        <v>30th Jan - 2nd Feb</v>
      </c>
      <c r="Z86" s="98" t="str">
        <f>IFERROR(__xludf.DUMMYFUNCTION("""COMPUTED_VALUE"""),"697c91f3ef23c63bde2036e2")</f>
        <v>697c91f3ef23c63bde2036e2</v>
      </c>
      <c r="AA86" s="98">
        <f>IFERROR(__xludf.DUMMYFUNCTION("""COMPUTED_VALUE"""),96.0)</f>
        <v>96</v>
      </c>
      <c r="AB86" s="98">
        <f>IFERROR(__xludf.DUMMYFUNCTION("""COMPUTED_VALUE"""),12.0)</f>
        <v>12</v>
      </c>
      <c r="AC86" s="98">
        <f>IFERROR(__xludf.DUMMYFUNCTION("""COMPUTED_VALUE"""),84.0)</f>
        <v>84</v>
      </c>
      <c r="AD86" s="98">
        <f>IFERROR(__xludf.DUMMYFUNCTION("""COMPUTED_VALUE"""),483893.0)</f>
        <v>483893</v>
      </c>
      <c r="AE86" s="98">
        <f>IFERROR(__xludf.DUMMYFUNCTION("""COMPUTED_VALUE"""),37599.0)</f>
        <v>37599</v>
      </c>
      <c r="AF86" s="98">
        <f>IFERROR(__xludf.DUMMYFUNCTION("""COMPUTED_VALUE"""),446294.0)</f>
        <v>446294</v>
      </c>
      <c r="AG86" s="208"/>
      <c r="AH86" s="208"/>
      <c r="AI86" s="208"/>
      <c r="AJ86" s="208"/>
      <c r="AK86" s="208"/>
    </row>
    <row r="87" hidden="1">
      <c r="A87" s="245">
        <f>IFERROR(__xludf.DUMMYFUNCTION("""COMPUTED_VALUE"""),46052.0)</f>
        <v>46052</v>
      </c>
      <c r="B87" s="246">
        <f>IFERROR(__xludf.DUMMYFUNCTION("""COMPUTED_VALUE"""),0.75)</f>
        <v>0.75</v>
      </c>
      <c r="C87" s="221" t="str">
        <f>IFERROR(__xludf.DUMMYFUNCTION("""COMPUTED_VALUE"""),"Whatsapp")</f>
        <v>Whatsapp</v>
      </c>
      <c r="D87" s="221" t="str">
        <f>IFERROR(__xludf.DUMMYFUNCTION("""COMPUTED_VALUE"""),"Promotional")</f>
        <v>Promotional</v>
      </c>
      <c r="E87" s="221" t="str">
        <f>IFERROR(__xludf.DUMMYFUNCTION("""COMPUTED_VALUE"""),"BBW")</f>
        <v>BBW</v>
      </c>
      <c r="F87" s="222" t="str">
        <f>IFERROR(__xludf.DUMMYFUNCTION("""COMPUTED_VALUE"""),"B2G1")</f>
        <v>B2G1</v>
      </c>
      <c r="G87" s="221" t="str">
        <f>IFERROR(__xludf.DUMMYFUNCTION("""COMPUTED_VALUE"""),"bbw_stb2g1_30.1_eventbuy_1")</f>
        <v>bbw_stb2g1_30.1_eventbuy_1</v>
      </c>
      <c r="H87" s="269" t="str">
        <f>IFERROR(__xludf.DUMMYFUNCTION("""COMPUTED_VALUE"""),"B2G1_EventBuyers_ONOFF OR AGIPL_Internal OR BBW_Internal")</f>
        <v>B2G1_EventBuyers_ONOFF OR AGIPL_Internal OR BBW_Internal</v>
      </c>
      <c r="I87" s="223" t="str">
        <f>IFERROR(__xludf.DUMMYFUNCTION("""COMPUTED_VALUE"""),"Customers who have purchased in the last B1G1 and B2G1 events in 2025")</f>
        <v>Customers who have purchased in the last B1G1 and B2G1 events in 2025</v>
      </c>
      <c r="J87" s="213">
        <f>IFERROR(__xludf.DUMMYFUNCTION("""COMPUTED_VALUE"""),55416.0)</f>
        <v>55416</v>
      </c>
      <c r="K87" s="213">
        <f>IFERROR(__xludf.DUMMYFUNCTION("""COMPUTED_VALUE"""),19345.0)</f>
        <v>19345</v>
      </c>
      <c r="L87" s="214">
        <f>IFERROR(__xludf.DUMMYFUNCTION("""COMPUTED_VALUE"""),0.3491)</f>
        <v>0.3491</v>
      </c>
      <c r="M87" s="213">
        <f>IFERROR(__xludf.DUMMYFUNCTION("""COMPUTED_VALUE"""),8060.0)</f>
        <v>8060</v>
      </c>
      <c r="N87" s="214">
        <f>IFERROR(__xludf.DUMMYFUNCTION("""COMPUTED_VALUE"""),0.4163)</f>
        <v>0.4163</v>
      </c>
      <c r="O87" s="213">
        <f>IFERROR(__xludf.DUMMYFUNCTION("""COMPUTED_VALUE"""),451.0)</f>
        <v>451</v>
      </c>
      <c r="P87" s="213">
        <f>IFERROR(__xludf.DUMMYFUNCTION("""COMPUTED_VALUE"""),428.0)</f>
        <v>428</v>
      </c>
      <c r="Q87" s="214">
        <f>IFERROR(__xludf.DUMMYFUNCTION("""COMPUTED_VALUE"""),0.0221)</f>
        <v>0.0221</v>
      </c>
      <c r="R87" s="214">
        <f>IFERROR(__xludf.DUMMYFUNCTION("""COMPUTED_VALUE"""),0.0531)</f>
        <v>0.0531</v>
      </c>
      <c r="S87" s="101">
        <f>IFERROR(__xludf.DUMMYFUNCTION("""COMPUTED_VALUE"""),1.0)</f>
        <v>1</v>
      </c>
      <c r="T87" s="101"/>
      <c r="U87" s="213">
        <f>IFERROR(__xludf.DUMMYFUNCTION("""COMPUTED_VALUE"""),1798.0)</f>
        <v>1798</v>
      </c>
      <c r="V87" s="271" t="str">
        <f>IFERROR(__xludf.DUMMYFUNCTION("""COMPUTED_VALUE"""),"overall")</f>
        <v>overall</v>
      </c>
      <c r="W87" s="98" t="str">
        <f>IFERROR(__xludf.DUMMYFUNCTION("""COMPUTED_VALUE"""),"simple")</f>
        <v>simple</v>
      </c>
      <c r="X87" s="98" t="str">
        <f>IFERROR(__xludf.DUMMYFUNCTION("""COMPUTED_VALUE"""),"Event Buyers")</f>
        <v>Event Buyers</v>
      </c>
      <c r="Y87" s="98" t="str">
        <f>IFERROR(__xludf.DUMMYFUNCTION("""COMPUTED_VALUE"""),"30th Jan - 2nd Feb")</f>
        <v>30th Jan - 2nd Feb</v>
      </c>
      <c r="Z87" s="98" t="str">
        <f>IFERROR(__xludf.DUMMYFUNCTION("""COMPUTED_VALUE"""),"697c92559556812345614f1b")</f>
        <v>697c92559556812345614f1b</v>
      </c>
      <c r="AA87" s="98">
        <f>IFERROR(__xludf.DUMMYFUNCTION("""COMPUTED_VALUE"""),81.0)</f>
        <v>81</v>
      </c>
      <c r="AB87" s="98">
        <f>IFERROR(__xludf.DUMMYFUNCTION("""COMPUTED_VALUE"""),15.0)</f>
        <v>15</v>
      </c>
      <c r="AC87" s="98">
        <f>IFERROR(__xludf.DUMMYFUNCTION("""COMPUTED_VALUE"""),66.0)</f>
        <v>66</v>
      </c>
      <c r="AD87" s="98">
        <f>IFERROR(__xludf.DUMMYFUNCTION("""COMPUTED_VALUE"""),337137.0)</f>
        <v>337137</v>
      </c>
      <c r="AE87" s="98">
        <f>IFERROR(__xludf.DUMMYFUNCTION("""COMPUTED_VALUE"""),47544.0)</f>
        <v>47544</v>
      </c>
      <c r="AF87" s="98">
        <f>IFERROR(__xludf.DUMMYFUNCTION("""COMPUTED_VALUE"""),289593.0)</f>
        <v>289593</v>
      </c>
      <c r="AG87" s="208"/>
      <c r="AH87" s="208"/>
      <c r="AI87" s="208"/>
      <c r="AJ87" s="208"/>
      <c r="AK87" s="208"/>
    </row>
    <row r="88" hidden="1">
      <c r="A88" s="245">
        <f>IFERROR(__xludf.DUMMYFUNCTION("""COMPUTED_VALUE"""),46052.0)</f>
        <v>46052</v>
      </c>
      <c r="B88" s="246">
        <f>IFERROR(__xludf.DUMMYFUNCTION("""COMPUTED_VALUE"""),0.8333333333321207)</f>
        <v>0.8333333333</v>
      </c>
      <c r="C88" s="221" t="str">
        <f>IFERROR(__xludf.DUMMYFUNCTION("""COMPUTED_VALUE"""),"Sms")</f>
        <v>Sms</v>
      </c>
      <c r="D88" s="221" t="str">
        <f>IFERROR(__xludf.DUMMYFUNCTION("""COMPUTED_VALUE"""),"Fallback Campaign")</f>
        <v>Fallback Campaign</v>
      </c>
      <c r="E88" s="221" t="str">
        <f>IFERROR(__xludf.DUMMYFUNCTION("""COMPUTED_VALUE"""),"BBW")</f>
        <v>BBW</v>
      </c>
      <c r="F88" s="222" t="str">
        <f>IFERROR(__xludf.DUMMYFUNCTION("""COMPUTED_VALUE"""),"B2G1")</f>
        <v>B2G1</v>
      </c>
      <c r="G88" s="221" t="str">
        <f>IFERROR(__xludf.DUMMYFUNCTION("""COMPUTED_VALUE"""),"bbw_stb2g1_30.1_genRCSFB_1")</f>
        <v>bbw_stb2g1_30.1_genRCSFB_1</v>
      </c>
      <c r="H88" s="269" t="str">
        <f>IFERROR(__xludf.DUMMYFUNCTION("""COMPUTED_VALUE"""),"B2G1_Rest2025_ONOFF")</f>
        <v>B2G1_Rest2025_ONOFF</v>
      </c>
      <c r="I88" s="223" t="str">
        <f>IFERROR(__xludf.DUMMYFUNCTION("""COMPUTED_VALUE"""),"RCS Delivery Failed")</f>
        <v>RCS Delivery Failed</v>
      </c>
      <c r="J88" s="213">
        <f>IFERROR(__xludf.DUMMYFUNCTION("""COMPUTED_VALUE"""),78927.0)</f>
        <v>78927</v>
      </c>
      <c r="K88" s="213">
        <f>IFERROR(__xludf.DUMMYFUNCTION("""COMPUTED_VALUE"""),45409.0)</f>
        <v>45409</v>
      </c>
      <c r="L88" s="214">
        <f>IFERROR(__xludf.DUMMYFUNCTION("""COMPUTED_VALUE"""),0.5753)</f>
        <v>0.5753</v>
      </c>
      <c r="M88" s="213"/>
      <c r="N88" s="214"/>
      <c r="O88" s="213">
        <f>IFERROR(__xludf.DUMMYFUNCTION("""COMPUTED_VALUE"""),62.0)</f>
        <v>62</v>
      </c>
      <c r="P88" s="213"/>
      <c r="Q88" s="214">
        <f>IFERROR(__xludf.DUMMYFUNCTION("""COMPUTED_VALUE"""),0.0014)</f>
        <v>0.0014</v>
      </c>
      <c r="R88" s="214"/>
      <c r="S88" s="101">
        <f>IFERROR(__xludf.DUMMYFUNCTION("""COMPUTED_VALUE"""),6.0)</f>
        <v>6</v>
      </c>
      <c r="T88" s="101">
        <f>IFERROR(__xludf.DUMMYFUNCTION("""COMPUTED_VALUE"""),14.0)</f>
        <v>14</v>
      </c>
      <c r="U88" s="213">
        <f>IFERROR(__xludf.DUMMYFUNCTION("""COMPUTED_VALUE"""),14842.0)</f>
        <v>14842</v>
      </c>
      <c r="V88" s="271" t="str">
        <f>IFERROR(__xludf.DUMMYFUNCTION("""COMPUTED_VALUE"""),"overall")</f>
        <v>overall</v>
      </c>
      <c r="W88" s="98" t="str">
        <f>IFERROR(__xludf.DUMMYFUNCTION("""COMPUTED_VALUE"""),"SMS")</f>
        <v>SMS</v>
      </c>
      <c r="X88" s="98" t="str">
        <f>IFERROR(__xludf.DUMMYFUNCTION("""COMPUTED_VALUE"""),"Generic")</f>
        <v>Generic</v>
      </c>
      <c r="Y88" s="98" t="str">
        <f>IFERROR(__xludf.DUMMYFUNCTION("""COMPUTED_VALUE"""),"30th Jan - 2nd Feb")</f>
        <v>30th Jan - 2nd Feb</v>
      </c>
      <c r="Z88" s="98" t="str">
        <f>IFERROR(__xludf.DUMMYFUNCTION("""COMPUTED_VALUE"""),"697c91d9d3f852e7f710bdda")</f>
        <v>697c91d9d3f852e7f710bdda</v>
      </c>
      <c r="AA88" s="98">
        <f>IFERROR(__xludf.DUMMYFUNCTION("""COMPUTED_VALUE"""),204.0)</f>
        <v>204</v>
      </c>
      <c r="AB88" s="98">
        <f>IFERROR(__xludf.DUMMYFUNCTION("""COMPUTED_VALUE"""),38.0)</f>
        <v>38</v>
      </c>
      <c r="AC88" s="98">
        <f>IFERROR(__xludf.DUMMYFUNCTION("""COMPUTED_VALUE"""),166.0)</f>
        <v>166</v>
      </c>
      <c r="AD88" s="98">
        <f>IFERROR(__xludf.DUMMYFUNCTION("""COMPUTED_VALUE"""),935617.0)</f>
        <v>935617</v>
      </c>
      <c r="AE88" s="98">
        <f>IFERROR(__xludf.DUMMYFUNCTION("""COMPUTED_VALUE"""),124390.0)</f>
        <v>124390</v>
      </c>
      <c r="AF88" s="98">
        <f>IFERROR(__xludf.DUMMYFUNCTION("""COMPUTED_VALUE"""),811227.0)</f>
        <v>811227</v>
      </c>
      <c r="AG88" s="208"/>
      <c r="AH88" s="208"/>
      <c r="AI88" s="208"/>
      <c r="AJ88" s="208"/>
      <c r="AK88" s="208"/>
    </row>
    <row r="89" hidden="1">
      <c r="A89" s="216">
        <f>IFERROR(__xludf.DUMMYFUNCTION("""COMPUTED_VALUE"""),46052.0)</f>
        <v>46052</v>
      </c>
      <c r="B89" s="210">
        <f>IFERROR(__xludf.DUMMYFUNCTION("""COMPUTED_VALUE"""),0.8333333333321207)</f>
        <v>0.8333333333</v>
      </c>
      <c r="C89" s="210" t="str">
        <f>IFERROR(__xludf.DUMMYFUNCTION("""COMPUTED_VALUE"""),"Sms")</f>
        <v>Sms</v>
      </c>
      <c r="D89" s="210" t="str">
        <f>IFERROR(__xludf.DUMMYFUNCTION("""COMPUTED_VALUE"""),"Fallback Campaign")</f>
        <v>Fallback Campaign</v>
      </c>
      <c r="E89" s="211" t="str">
        <f>IFERROR(__xludf.DUMMYFUNCTION("""COMPUTED_VALUE"""),"BBW")</f>
        <v>BBW</v>
      </c>
      <c r="F89" s="211" t="str">
        <f>IFERROR(__xludf.DUMMYFUNCTION("""COMPUTED_VALUE"""),"B2G1")</f>
        <v>B2G1</v>
      </c>
      <c r="G89" s="211" t="str">
        <f>IFERROR(__xludf.DUMMYFUNCTION("""COMPUTED_VALUE"""),"bbw_stb2g1_30.1_loyalWAFB_1")</f>
        <v>bbw_stb2g1_30.1_loyalWAFB_1</v>
      </c>
      <c r="H89" s="211" t="str">
        <f>IFERROR(__xludf.DUMMYFUNCTION("""COMPUTED_VALUE"""),"B2G1_LoyalDormant_ONOFF")</f>
        <v>B2G1_LoyalDormant_ONOFF</v>
      </c>
      <c r="I89" s="223" t="str">
        <f>IFERROR(__xludf.DUMMYFUNCTION("""COMPUTED_VALUE"""),"WA Undelivered")</f>
        <v>WA Undelivered</v>
      </c>
      <c r="J89" s="213">
        <f>IFERROR(__xludf.DUMMYFUNCTION("""COMPUTED_VALUE"""),36702.0)</f>
        <v>36702</v>
      </c>
      <c r="K89" s="213">
        <f>IFERROR(__xludf.DUMMYFUNCTION("""COMPUTED_VALUE"""),20904.0)</f>
        <v>20904</v>
      </c>
      <c r="L89" s="214">
        <f>IFERROR(__xludf.DUMMYFUNCTION("""COMPUTED_VALUE"""),0.5696)</f>
        <v>0.5696</v>
      </c>
      <c r="M89" s="213"/>
      <c r="N89" s="214"/>
      <c r="O89" s="213">
        <f>IFERROR(__xludf.DUMMYFUNCTION("""COMPUTED_VALUE"""),18.0)</f>
        <v>18</v>
      </c>
      <c r="P89" s="213"/>
      <c r="Q89" s="214">
        <f>IFERROR(__xludf.DUMMYFUNCTION("""COMPUTED_VALUE"""),9.0E-4)</f>
        <v>0.0009</v>
      </c>
      <c r="R89" s="214"/>
      <c r="S89" s="101">
        <f>IFERROR(__xludf.DUMMYFUNCTION("""COMPUTED_VALUE"""),4.0)</f>
        <v>4</v>
      </c>
      <c r="T89" s="101">
        <f>IFERROR(__xludf.DUMMYFUNCTION("""COMPUTED_VALUE"""),4.0)</f>
        <v>4</v>
      </c>
      <c r="U89" s="213">
        <f>IFERROR(__xludf.DUMMYFUNCTION("""COMPUTED_VALUE"""),24142.0)</f>
        <v>24142</v>
      </c>
      <c r="V89" s="271" t="str">
        <f>IFERROR(__xludf.DUMMYFUNCTION("""COMPUTED_VALUE"""),"overall")</f>
        <v>overall</v>
      </c>
      <c r="W89" s="98" t="str">
        <f>IFERROR(__xludf.DUMMYFUNCTION("""COMPUTED_VALUE"""),"SMS")</f>
        <v>SMS</v>
      </c>
      <c r="X89" s="98" t="str">
        <f>IFERROR(__xludf.DUMMYFUNCTION("""COMPUTED_VALUE"""),"Loyal")</f>
        <v>Loyal</v>
      </c>
      <c r="Y89" s="98" t="str">
        <f>IFERROR(__xludf.DUMMYFUNCTION("""COMPUTED_VALUE"""),"30th Jan - 2nd Feb")</f>
        <v>30th Jan - 2nd Feb</v>
      </c>
      <c r="Z89" s="98" t="str">
        <f>IFERROR(__xludf.DUMMYFUNCTION("""COMPUTED_VALUE"""),"697c921697812912e6f8ecd0")</f>
        <v>697c921697812912e6f8ecd0</v>
      </c>
      <c r="AA89" s="98">
        <f>IFERROR(__xludf.DUMMYFUNCTION("""COMPUTED_VALUE"""),98.0)</f>
        <v>98</v>
      </c>
      <c r="AB89" s="98">
        <f>IFERROR(__xludf.DUMMYFUNCTION("""COMPUTED_VALUE"""),20.0)</f>
        <v>20</v>
      </c>
      <c r="AC89" s="98">
        <f>IFERROR(__xludf.DUMMYFUNCTION("""COMPUTED_VALUE"""),78.0)</f>
        <v>78</v>
      </c>
      <c r="AD89" s="98">
        <f>IFERROR(__xludf.DUMMYFUNCTION("""COMPUTED_VALUE"""),454838.0)</f>
        <v>454838</v>
      </c>
      <c r="AE89" s="98">
        <f>IFERROR(__xludf.DUMMYFUNCTION("""COMPUTED_VALUE"""),119396.0)</f>
        <v>119396</v>
      </c>
      <c r="AF89" s="98">
        <f>IFERROR(__xludf.DUMMYFUNCTION("""COMPUTED_VALUE"""),335442.0)</f>
        <v>335442</v>
      </c>
      <c r="AG89" s="208"/>
      <c r="AH89" s="208"/>
      <c r="AI89" s="208"/>
      <c r="AJ89" s="208"/>
      <c r="AK89" s="208"/>
    </row>
    <row r="90" hidden="1">
      <c r="A90" s="216">
        <f>IFERROR(__xludf.DUMMYFUNCTION("""COMPUTED_VALUE"""),46052.0)</f>
        <v>46052</v>
      </c>
      <c r="B90" s="210">
        <f>IFERROR(__xludf.DUMMYFUNCTION("""COMPUTED_VALUE"""),0.8333333333321207)</f>
        <v>0.8333333333</v>
      </c>
      <c r="C90" s="210" t="str">
        <f>IFERROR(__xludf.DUMMYFUNCTION("""COMPUTED_VALUE"""),"Sms")</f>
        <v>Sms</v>
      </c>
      <c r="D90" s="210" t="str">
        <f>IFERROR(__xludf.DUMMYFUNCTION("""COMPUTED_VALUE"""),"Fallback Campaign")</f>
        <v>Fallback Campaign</v>
      </c>
      <c r="E90" s="211" t="str">
        <f>IFERROR(__xludf.DUMMYFUNCTION("""COMPUTED_VALUE"""),"BBW")</f>
        <v>BBW</v>
      </c>
      <c r="F90" s="211" t="str">
        <f>IFERROR(__xludf.DUMMYFUNCTION("""COMPUTED_VALUE"""),"B2G1")</f>
        <v>B2G1</v>
      </c>
      <c r="G90" s="211" t="str">
        <f>IFERROR(__xludf.DUMMYFUNCTION("""COMPUTED_VALUE"""),"bbw_stb2g1_30.1_newRCSFB_1")</f>
        <v>bbw_stb2g1_30.1_newRCSFB_1</v>
      </c>
      <c r="H90" s="211" t="str">
        <f>IFERROR(__xludf.DUMMYFUNCTION("""COMPUTED_VALUE"""),"B2G1_New2025_ONOFF")</f>
        <v>B2G1_New2025_ONOFF</v>
      </c>
      <c r="I90" s="223" t="str">
        <f>IFERROR(__xludf.DUMMYFUNCTION("""COMPUTED_VALUE"""),"RCS Delivery Failed")</f>
        <v>RCS Delivery Failed</v>
      </c>
      <c r="J90" s="213">
        <f>IFERROR(__xludf.DUMMYFUNCTION("""COMPUTED_VALUE"""),261216.0)</f>
        <v>261216</v>
      </c>
      <c r="K90" s="213">
        <f>IFERROR(__xludf.DUMMYFUNCTION("""COMPUTED_VALUE"""),160272.0)</f>
        <v>160272</v>
      </c>
      <c r="L90" s="214">
        <f>IFERROR(__xludf.DUMMYFUNCTION("""COMPUTED_VALUE"""),0.6136)</f>
        <v>0.6136</v>
      </c>
      <c r="M90" s="213"/>
      <c r="N90" s="214"/>
      <c r="O90" s="213">
        <f>IFERROR(__xludf.DUMMYFUNCTION("""COMPUTED_VALUE"""),109.0)</f>
        <v>109</v>
      </c>
      <c r="P90" s="213"/>
      <c r="Q90" s="214">
        <f>IFERROR(__xludf.DUMMYFUNCTION("""COMPUTED_VALUE"""),7.0E-4)</f>
        <v>0.0007</v>
      </c>
      <c r="R90" s="214"/>
      <c r="S90" s="101">
        <f>IFERROR(__xludf.DUMMYFUNCTION("""COMPUTED_VALUE"""),0.0)</f>
        <v>0</v>
      </c>
      <c r="T90" s="101">
        <f>IFERROR(__xludf.DUMMYFUNCTION("""COMPUTED_VALUE"""),10.0)</f>
        <v>10</v>
      </c>
      <c r="U90" s="213">
        <f>IFERROR(__xludf.DUMMYFUNCTION("""COMPUTED_VALUE"""),0.0)</f>
        <v>0</v>
      </c>
      <c r="V90" s="271" t="str">
        <f>IFERROR(__xludf.DUMMYFUNCTION("""COMPUTED_VALUE"""),"overall")</f>
        <v>overall</v>
      </c>
      <c r="W90" s="98" t="str">
        <f>IFERROR(__xludf.DUMMYFUNCTION("""COMPUTED_VALUE"""),"SMS")</f>
        <v>SMS</v>
      </c>
      <c r="X90" s="98" t="str">
        <f>IFERROR(__xludf.DUMMYFUNCTION("""COMPUTED_VALUE"""),"New")</f>
        <v>New</v>
      </c>
      <c r="Y90" s="98" t="str">
        <f>IFERROR(__xludf.DUMMYFUNCTION("""COMPUTED_VALUE"""),"30th Jan - 2nd Feb")</f>
        <v>30th Jan - 2nd Feb</v>
      </c>
      <c r="Z90" s="98" t="str">
        <f>IFERROR(__xludf.DUMMYFUNCTION("""COMPUTED_VALUE"""),"697c9262650ba90c6aa714a1")</f>
        <v>697c9262650ba90c6aa714a1</v>
      </c>
      <c r="AA90" s="98">
        <f>IFERROR(__xludf.DUMMYFUNCTION("""COMPUTED_VALUE"""),281.0)</f>
        <v>281</v>
      </c>
      <c r="AB90" s="98">
        <f>IFERROR(__xludf.DUMMYFUNCTION("""COMPUTED_VALUE"""),30.0)</f>
        <v>30</v>
      </c>
      <c r="AC90" s="98">
        <f>IFERROR(__xludf.DUMMYFUNCTION("""COMPUTED_VALUE"""),251.0)</f>
        <v>251</v>
      </c>
      <c r="AD90" s="98">
        <f>IFERROR(__xludf.DUMMYFUNCTION("""COMPUTED_VALUE"""),1164530.0)</f>
        <v>1164530</v>
      </c>
      <c r="AE90" s="98">
        <f>IFERROR(__xludf.DUMMYFUNCTION("""COMPUTED_VALUE"""),79893.0)</f>
        <v>79893</v>
      </c>
      <c r="AF90" s="98">
        <f>IFERROR(__xludf.DUMMYFUNCTION("""COMPUTED_VALUE"""),1084637.0)</f>
        <v>1084637</v>
      </c>
      <c r="AG90" s="208"/>
      <c r="AH90" s="208"/>
      <c r="AI90" s="208"/>
      <c r="AJ90" s="208"/>
      <c r="AK90" s="208"/>
    </row>
    <row r="91" hidden="1">
      <c r="A91" s="216">
        <f>IFERROR(__xludf.DUMMYFUNCTION("""COMPUTED_VALUE"""),46052.0)</f>
        <v>46052</v>
      </c>
      <c r="B91" s="217">
        <f>IFERROR(__xludf.DUMMYFUNCTION("""COMPUTED_VALUE"""),0.8333333333321207)</f>
        <v>0.8333333333</v>
      </c>
      <c r="C91" s="211" t="str">
        <f>IFERROR(__xludf.DUMMYFUNCTION("""COMPUTED_VALUE"""),"Sms")</f>
        <v>Sms</v>
      </c>
      <c r="D91" s="211" t="str">
        <f>IFERROR(__xludf.DUMMYFUNCTION("""COMPUTED_VALUE"""),"Fallback Campaign")</f>
        <v>Fallback Campaign</v>
      </c>
      <c r="E91" s="211" t="str">
        <f>IFERROR(__xludf.DUMMYFUNCTION("""COMPUTED_VALUE"""),"BBW")</f>
        <v>BBW</v>
      </c>
      <c r="F91" s="211" t="str">
        <f>IFERROR(__xludf.DUMMYFUNCTION("""COMPUTED_VALUE"""),"B2G1")</f>
        <v>B2G1</v>
      </c>
      <c r="G91" s="212" t="str">
        <f>IFERROR(__xludf.DUMMYFUNCTION("""COMPUTED_VALUE"""),"bbw_stb2g1_30.1_eventbuyWAFB_1")</f>
        <v>bbw_stb2g1_30.1_eventbuyWAFB_1</v>
      </c>
      <c r="H91" s="212" t="str">
        <f>IFERROR(__xludf.DUMMYFUNCTION("""COMPUTED_VALUE"""),"B2G1_EventBuyers_ONOFF OR AGIPL_Internal OR BBW_Internal")</f>
        <v>B2G1_EventBuyers_ONOFF OR AGIPL_Internal OR BBW_Internal</v>
      </c>
      <c r="I91" s="212" t="str">
        <f>IFERROR(__xludf.DUMMYFUNCTION("""COMPUTED_VALUE"""),"WA Undelivered")</f>
        <v>WA Undelivered</v>
      </c>
      <c r="J91" s="213">
        <f>IFERROR(__xludf.DUMMYFUNCTION("""COMPUTED_VALUE"""),35060.0)</f>
        <v>35060</v>
      </c>
      <c r="K91" s="213">
        <f>IFERROR(__xludf.DUMMYFUNCTION("""COMPUTED_VALUE"""),19728.0)</f>
        <v>19728</v>
      </c>
      <c r="L91" s="214">
        <f>IFERROR(__xludf.DUMMYFUNCTION("""COMPUTED_VALUE"""),0.5627)</f>
        <v>0.5627</v>
      </c>
      <c r="M91" s="213"/>
      <c r="N91" s="214"/>
      <c r="O91" s="213">
        <f>IFERROR(__xludf.DUMMYFUNCTION("""COMPUTED_VALUE"""),19.0)</f>
        <v>19</v>
      </c>
      <c r="P91" s="213"/>
      <c r="Q91" s="214">
        <f>IFERROR(__xludf.DUMMYFUNCTION("""COMPUTED_VALUE"""),0.001)</f>
        <v>0.001</v>
      </c>
      <c r="R91" s="214"/>
      <c r="S91" s="101">
        <f>IFERROR(__xludf.DUMMYFUNCTION("""COMPUTED_VALUE"""),0.0)</f>
        <v>0</v>
      </c>
      <c r="T91" s="101">
        <f>IFERROR(__xludf.DUMMYFUNCTION("""COMPUTED_VALUE"""),3.0)</f>
        <v>3</v>
      </c>
      <c r="U91" s="213">
        <f>IFERROR(__xludf.DUMMYFUNCTION("""COMPUTED_VALUE"""),0.0)</f>
        <v>0</v>
      </c>
      <c r="V91" s="271" t="str">
        <f>IFERROR(__xludf.DUMMYFUNCTION("""COMPUTED_VALUE"""),"overall")</f>
        <v>overall</v>
      </c>
      <c r="W91" s="98" t="str">
        <f>IFERROR(__xludf.DUMMYFUNCTION("""COMPUTED_VALUE"""),"SMS")</f>
        <v>SMS</v>
      </c>
      <c r="X91" s="98" t="str">
        <f>IFERROR(__xludf.DUMMYFUNCTION("""COMPUTED_VALUE"""),"Event Buyers")</f>
        <v>Event Buyers</v>
      </c>
      <c r="Y91" s="98" t="str">
        <f>IFERROR(__xludf.DUMMYFUNCTION("""COMPUTED_VALUE"""),"30th Jan - 2nd Feb")</f>
        <v>30th Jan - 2nd Feb</v>
      </c>
      <c r="Z91" s="98" t="str">
        <f>IFERROR(__xludf.DUMMYFUNCTION("""COMPUTED_VALUE"""),"697c92732a728bc3d6bdf45a")</f>
        <v>697c92732a728bc3d6bdf45a</v>
      </c>
      <c r="AA91" s="98">
        <f>IFERROR(__xludf.DUMMYFUNCTION("""COMPUTED_VALUE"""),118.0)</f>
        <v>118</v>
      </c>
      <c r="AB91" s="98">
        <f>IFERROR(__xludf.DUMMYFUNCTION("""COMPUTED_VALUE"""),9.0)</f>
        <v>9</v>
      </c>
      <c r="AC91" s="98">
        <f>IFERROR(__xludf.DUMMYFUNCTION("""COMPUTED_VALUE"""),109.0)</f>
        <v>109</v>
      </c>
      <c r="AD91" s="98">
        <f>IFERROR(__xludf.DUMMYFUNCTION("""COMPUTED_VALUE"""),604424.0)</f>
        <v>604424</v>
      </c>
      <c r="AE91" s="98">
        <f>IFERROR(__xludf.DUMMYFUNCTION("""COMPUTED_VALUE"""),31490.0)</f>
        <v>31490</v>
      </c>
      <c r="AF91" s="98">
        <f>IFERROR(__xludf.DUMMYFUNCTION("""COMPUTED_VALUE"""),572934.0)</f>
        <v>572934</v>
      </c>
      <c r="AG91" s="208"/>
      <c r="AH91" s="208"/>
      <c r="AI91" s="208"/>
      <c r="AJ91" s="208"/>
      <c r="AK91" s="208"/>
    </row>
    <row r="92" hidden="1">
      <c r="A92" s="216">
        <f>IFERROR(__xludf.DUMMYFUNCTION("""COMPUTED_VALUE"""),46052.0)</f>
        <v>46052</v>
      </c>
      <c r="B92" s="210">
        <f>IFERROR(__xludf.DUMMYFUNCTION("""COMPUTED_VALUE"""),0.75)</f>
        <v>0.75</v>
      </c>
      <c r="C92" s="210" t="str">
        <f>IFERROR(__xludf.DUMMYFUNCTION("""COMPUTED_VALUE"""),"Rcs")</f>
        <v>Rcs</v>
      </c>
      <c r="D92" s="210" t="str">
        <f>IFERROR(__xludf.DUMMYFUNCTION("""COMPUTED_VALUE"""),"Promotional")</f>
        <v>Promotional</v>
      </c>
      <c r="E92" s="211" t="str">
        <f>IFERROR(__xludf.DUMMYFUNCTION("""COMPUTED_VALUE"""),"BBW")</f>
        <v>BBW</v>
      </c>
      <c r="F92" s="211" t="str">
        <f>IFERROR(__xludf.DUMMYFUNCTION("""COMPUTED_VALUE"""),"B2G1")</f>
        <v>B2G1</v>
      </c>
      <c r="G92" s="211" t="str">
        <f>IFERROR(__xludf.DUMMYFUNCTION("""COMPUTED_VALUE"""),"bbw_stb2g1_30.1_genRCS_1")</f>
        <v>bbw_stb2g1_30.1_genRCS_1</v>
      </c>
      <c r="H92" s="211" t="str">
        <f>IFERROR(__xludf.DUMMYFUNCTION("""COMPUTED_VALUE"""),"B2G1_Rest2025_ONOFF")</f>
        <v>B2G1_Rest2025_ONOFF</v>
      </c>
      <c r="I92" s="223" t="str">
        <f>IFERROR(__xludf.DUMMYFUNCTION("""COMPUTED_VALUE"""),"Customer who have purchased atleast once in 2025 AND Exclude Custom Segment :- B2G1_EventBuyers_ONOFF or B2G1_LoyalDormant_ONOFF or  B2G1_New2025_ONOFF")</f>
        <v>Customer who have purchased atleast once in 2025 AND Exclude Custom Segment :- B2G1_EventBuyers_ONOFF or B2G1_LoyalDormant_ONOFF or  B2G1_New2025_ONOFF</v>
      </c>
      <c r="J92" s="213">
        <f>IFERROR(__xludf.DUMMYFUNCTION("""COMPUTED_VALUE"""),103321.0)</f>
        <v>103321</v>
      </c>
      <c r="K92" s="213">
        <f>IFERROR(__xludf.DUMMYFUNCTION("""COMPUTED_VALUE"""),23543.0)</f>
        <v>23543</v>
      </c>
      <c r="L92" s="214">
        <f>IFERROR(__xludf.DUMMYFUNCTION("""COMPUTED_VALUE"""),0.228)</f>
        <v>0.228</v>
      </c>
      <c r="M92" s="213">
        <f>IFERROR(__xludf.DUMMYFUNCTION("""COMPUTED_VALUE"""),3344.0)</f>
        <v>3344</v>
      </c>
      <c r="N92" s="214">
        <f>IFERROR(__xludf.DUMMYFUNCTION("""COMPUTED_VALUE"""),0.142)</f>
        <v>0.142</v>
      </c>
      <c r="O92" s="213">
        <f>IFERROR(__xludf.DUMMYFUNCTION("""COMPUTED_VALUE"""),112.0)</f>
        <v>112</v>
      </c>
      <c r="P92" s="213"/>
      <c r="Q92" s="214">
        <f>IFERROR(__xludf.DUMMYFUNCTION("""COMPUTED_VALUE"""),0.005)</f>
        <v>0.005</v>
      </c>
      <c r="R92" s="214"/>
      <c r="S92" s="101">
        <f>IFERROR(__xludf.DUMMYFUNCTION("""COMPUTED_VALUE"""),4.0)</f>
        <v>4</v>
      </c>
      <c r="T92" s="101">
        <f>IFERROR(__xludf.DUMMYFUNCTION("""COMPUTED_VALUE"""),17.0)</f>
        <v>17</v>
      </c>
      <c r="U92" s="213">
        <f>IFERROR(__xludf.DUMMYFUNCTION("""COMPUTED_VALUE"""),22721.0)</f>
        <v>22721</v>
      </c>
      <c r="V92" s="271" t="str">
        <f>IFERROR(__xludf.DUMMYFUNCTION("""COMPUTED_VALUE"""),"overall")</f>
        <v>overall</v>
      </c>
      <c r="W92" s="98" t="str">
        <f>IFERROR(__xludf.DUMMYFUNCTION("""COMPUTED_VALUE"""),"RCS")</f>
        <v>RCS</v>
      </c>
      <c r="X92" s="98" t="str">
        <f>IFERROR(__xludf.DUMMYFUNCTION("""COMPUTED_VALUE"""),"Generic")</f>
        <v>Generic</v>
      </c>
      <c r="Y92" s="98" t="str">
        <f>IFERROR(__xludf.DUMMYFUNCTION("""COMPUTED_VALUE"""),"30th Jan - 2nd Feb")</f>
        <v>30th Jan - 2nd Feb</v>
      </c>
      <c r="Z92" s="98" t="str">
        <f>IFERROR(__xludf.DUMMYFUNCTION("""COMPUTED_VALUE"""),"697c9165ad6ae4696aadc6ac")</f>
        <v>697c9165ad6ae4696aadc6ac</v>
      </c>
      <c r="AA92" s="98">
        <f>IFERROR(__xludf.DUMMYFUNCTION("""COMPUTED_VALUE"""),114.0)</f>
        <v>114</v>
      </c>
      <c r="AB92" s="98">
        <f>IFERROR(__xludf.DUMMYFUNCTION("""COMPUTED_VALUE"""),22.0)</f>
        <v>22</v>
      </c>
      <c r="AC92" s="98">
        <f>IFERROR(__xludf.DUMMYFUNCTION("""COMPUTED_VALUE"""),92.0)</f>
        <v>92</v>
      </c>
      <c r="AD92" s="98">
        <f>IFERROR(__xludf.DUMMYFUNCTION("""COMPUTED_VALUE"""),484593.0)</f>
        <v>484593</v>
      </c>
      <c r="AE92" s="98">
        <f>IFERROR(__xludf.DUMMYFUNCTION("""COMPUTED_VALUE"""),58729.0)</f>
        <v>58729</v>
      </c>
      <c r="AF92" s="98">
        <f>IFERROR(__xludf.DUMMYFUNCTION("""COMPUTED_VALUE"""),425864.0)</f>
        <v>425864</v>
      </c>
      <c r="AG92" s="208"/>
      <c r="AH92" s="208"/>
      <c r="AI92" s="208"/>
      <c r="AJ92" s="208"/>
      <c r="AK92" s="208"/>
    </row>
    <row r="93" hidden="1">
      <c r="A93" s="245">
        <f>IFERROR(__xludf.DUMMYFUNCTION("""COMPUTED_VALUE"""),46052.0)</f>
        <v>46052</v>
      </c>
      <c r="B93" s="246">
        <f>IFERROR(__xludf.DUMMYFUNCTION("""COMPUTED_VALUE"""),0.75)</f>
        <v>0.75</v>
      </c>
      <c r="C93" s="221" t="str">
        <f>IFERROR(__xludf.DUMMYFUNCTION("""COMPUTED_VALUE"""),"Rcs")</f>
        <v>Rcs</v>
      </c>
      <c r="D93" s="221" t="str">
        <f>IFERROR(__xludf.DUMMYFUNCTION("""COMPUTED_VALUE"""),"Promotional")</f>
        <v>Promotional</v>
      </c>
      <c r="E93" s="221" t="str">
        <f>IFERROR(__xludf.DUMMYFUNCTION("""COMPUTED_VALUE"""),"BBW")</f>
        <v>BBW</v>
      </c>
      <c r="F93" s="222" t="str">
        <f>IFERROR(__xludf.DUMMYFUNCTION("""COMPUTED_VALUE"""),"B2G1")</f>
        <v>B2G1</v>
      </c>
      <c r="G93" s="221" t="str">
        <f>IFERROR(__xludf.DUMMYFUNCTION("""COMPUTED_VALUE"""),"bbw_stb2g1_30.1_newRCS_1")</f>
        <v>bbw_stb2g1_30.1_newRCS_1</v>
      </c>
      <c r="H93" s="269" t="str">
        <f>IFERROR(__xludf.DUMMYFUNCTION("""COMPUTED_VALUE"""),"B2G1_New2025_ONOFF")</f>
        <v>B2G1_New2025_ONOFF</v>
      </c>
      <c r="I93" s="223" t="str">
        <f>IFERROR(__xludf.DUMMYFUNCTION("""COMPUTED_VALUE"""),"Customers who have purchased exactly once from 20th Jan 2025 and have not purchased in the last 31 days AND Exclude Custom Segment :- B2G1_EventBuyers_ONOFF or B2G1_LoyalDormant_ONOFF")</f>
        <v>Customers who have purchased exactly once from 20th Jan 2025 and have not purchased in the last 31 days AND Exclude Custom Segment :- B2G1_EventBuyers_ONOFF or B2G1_LoyalDormant_ONOFF</v>
      </c>
      <c r="J93" s="213">
        <f>IFERROR(__xludf.DUMMYFUNCTION("""COMPUTED_VALUE"""),354882.0)</f>
        <v>354882</v>
      </c>
      <c r="K93" s="213">
        <f>IFERROR(__xludf.DUMMYFUNCTION("""COMPUTED_VALUE"""),90465.0)</f>
        <v>90465</v>
      </c>
      <c r="L93" s="214">
        <f>IFERROR(__xludf.DUMMYFUNCTION("""COMPUTED_VALUE"""),0.255)</f>
        <v>0.255</v>
      </c>
      <c r="M93" s="213">
        <f>IFERROR(__xludf.DUMMYFUNCTION("""COMPUTED_VALUE"""),10652.0)</f>
        <v>10652</v>
      </c>
      <c r="N93" s="214">
        <f>IFERROR(__xludf.DUMMYFUNCTION("""COMPUTED_VALUE"""),0.118)</f>
        <v>0.118</v>
      </c>
      <c r="O93" s="213">
        <f>IFERROR(__xludf.DUMMYFUNCTION("""COMPUTED_VALUE"""),331.0)</f>
        <v>331</v>
      </c>
      <c r="P93" s="213"/>
      <c r="Q93" s="214">
        <f>IFERROR(__xludf.DUMMYFUNCTION("""COMPUTED_VALUE"""),0.004)</f>
        <v>0.004</v>
      </c>
      <c r="R93" s="214"/>
      <c r="S93" s="101">
        <f>IFERROR(__xludf.DUMMYFUNCTION("""COMPUTED_VALUE"""),8.0)</f>
        <v>8</v>
      </c>
      <c r="T93" s="101">
        <f>IFERROR(__xludf.DUMMYFUNCTION("""COMPUTED_VALUE"""),20.0)</f>
        <v>20</v>
      </c>
      <c r="U93" s="213">
        <f>IFERROR(__xludf.DUMMYFUNCTION("""COMPUTED_VALUE"""),18134.0)</f>
        <v>18134</v>
      </c>
      <c r="V93" s="271" t="str">
        <f>IFERROR(__xludf.DUMMYFUNCTION("""COMPUTED_VALUE"""),"overall")</f>
        <v>overall</v>
      </c>
      <c r="W93" s="98" t="str">
        <f>IFERROR(__xludf.DUMMYFUNCTION("""COMPUTED_VALUE"""),"RCS")</f>
        <v>RCS</v>
      </c>
      <c r="X93" s="98" t="str">
        <f>IFERROR(__xludf.DUMMYFUNCTION("""COMPUTED_VALUE"""),"New")</f>
        <v>New</v>
      </c>
      <c r="Y93" s="98" t="str">
        <f>IFERROR(__xludf.DUMMYFUNCTION("""COMPUTED_VALUE"""),"30th Jan - 2nd Feb")</f>
        <v>30th Jan - 2nd Feb</v>
      </c>
      <c r="Z93" s="98" t="str">
        <f>IFERROR(__xludf.DUMMYFUNCTION("""COMPUTED_VALUE"""),"697c9236893a590f8415ab55")</f>
        <v>697c9236893a590f8415ab55</v>
      </c>
      <c r="AA93" s="98">
        <f>IFERROR(__xludf.DUMMYFUNCTION("""COMPUTED_VALUE"""),152.0)</f>
        <v>152</v>
      </c>
      <c r="AB93" s="98">
        <f>IFERROR(__xludf.DUMMYFUNCTION("""COMPUTED_VALUE"""),30.0)</f>
        <v>30</v>
      </c>
      <c r="AC93" s="98">
        <f>IFERROR(__xludf.DUMMYFUNCTION("""COMPUTED_VALUE"""),122.0)</f>
        <v>122</v>
      </c>
      <c r="AD93" s="98">
        <f>IFERROR(__xludf.DUMMYFUNCTION("""COMPUTED_VALUE"""),588824.0)</f>
        <v>588824</v>
      </c>
      <c r="AE93" s="98">
        <f>IFERROR(__xludf.DUMMYFUNCTION("""COMPUTED_VALUE"""),67485.0)</f>
        <v>67485</v>
      </c>
      <c r="AF93" s="98">
        <f>IFERROR(__xludf.DUMMYFUNCTION("""COMPUTED_VALUE"""),521339.0)</f>
        <v>521339</v>
      </c>
      <c r="AG93" s="208"/>
      <c r="AH93" s="208"/>
      <c r="AI93" s="208"/>
      <c r="AJ93" s="208"/>
      <c r="AK93" s="208"/>
    </row>
    <row r="94" hidden="1">
      <c r="A94" s="209">
        <f>IFERROR(__xludf.DUMMYFUNCTION("""COMPUTED_VALUE"""),46054.0)</f>
        <v>46054</v>
      </c>
      <c r="B94" s="210">
        <f>IFERROR(__xludf.DUMMYFUNCTION("""COMPUTED_VALUE"""),0.4166666666678793)</f>
        <v>0.4166666667</v>
      </c>
      <c r="C94" s="211" t="str">
        <f>IFERROR(__xludf.DUMMYFUNCTION("""COMPUTED_VALUE"""),"Sms")</f>
        <v>Sms</v>
      </c>
      <c r="D94" s="211" t="str">
        <f>IFERROR(__xludf.DUMMYFUNCTION("""COMPUTED_VALUE"""),"Promotional")</f>
        <v>Promotional</v>
      </c>
      <c r="E94" s="211" t="str">
        <f>IFERROR(__xludf.DUMMYFUNCTION("""COMPUTED_VALUE"""),"BBW")</f>
        <v>BBW</v>
      </c>
      <c r="F94" s="211" t="str">
        <f>IFERROR(__xludf.DUMMYFUNCTION("""COMPUTED_VALUE"""),"B2G1")</f>
        <v>B2G1</v>
      </c>
      <c r="G94" s="212" t="str">
        <f>IFERROR(__xludf.DUMMYFUNCTION("""COMPUTED_VALUE"""),"bbw_ldb2g1_1.2_gen")</f>
        <v>bbw_ldb2g1_1.2_gen</v>
      </c>
      <c r="H94" s="212" t="str">
        <f>IFERROR(__xludf.DUMMYFUNCTION("""COMPUTED_VALUE"""),"B2G1_Rest2025_ONOFF")</f>
        <v>B2G1_Rest2025_ONOFF</v>
      </c>
      <c r="I94" s="212" t="str">
        <f>IFERROR(__xludf.DUMMYFUNCTION("""COMPUTED_VALUE"""),"Customer who have purchased atleast once in 2025 AND Exclude Custom Segment :- B2G1_EventBuyers_ONOFF or B2G1_LoyalDormant_ONOFF or  B2G1_New2025_ONOFF")</f>
        <v>Customer who have purchased atleast once in 2025 AND Exclude Custom Segment :- B2G1_EventBuyers_ONOFF or B2G1_LoyalDormant_ONOFF or  B2G1_New2025_ONOFF</v>
      </c>
      <c r="J94" s="213">
        <f>IFERROR(__xludf.DUMMYFUNCTION("""COMPUTED_VALUE"""),99217.0)</f>
        <v>99217</v>
      </c>
      <c r="K94" s="213">
        <f>IFERROR(__xludf.DUMMYFUNCTION("""COMPUTED_VALUE"""),56736.0)</f>
        <v>56736</v>
      </c>
      <c r="L94" s="214">
        <f>IFERROR(__xludf.DUMMYFUNCTION("""COMPUTED_VALUE"""),0.5718)</f>
        <v>0.5718</v>
      </c>
      <c r="M94" s="213"/>
      <c r="N94" s="214"/>
      <c r="O94" s="101">
        <f>IFERROR(__xludf.DUMMYFUNCTION("""COMPUTED_VALUE"""),40.0)</f>
        <v>40</v>
      </c>
      <c r="P94" s="101"/>
      <c r="Q94" s="214">
        <f>IFERROR(__xludf.DUMMYFUNCTION("""COMPUTED_VALUE"""),7.0E-4)</f>
        <v>0.0007</v>
      </c>
      <c r="R94" s="214"/>
      <c r="S94" s="101">
        <f>IFERROR(__xludf.DUMMYFUNCTION("""COMPUTED_VALUE"""),4.0)</f>
        <v>4</v>
      </c>
      <c r="T94" s="101">
        <f>IFERROR(__xludf.DUMMYFUNCTION("""COMPUTED_VALUE"""),6.0)</f>
        <v>6</v>
      </c>
      <c r="U94" s="270">
        <f>IFERROR(__xludf.DUMMYFUNCTION("""COMPUTED_VALUE"""),5925.0)</f>
        <v>5925</v>
      </c>
      <c r="V94" s="271" t="str">
        <f>IFERROR(__xludf.DUMMYFUNCTION("""COMPUTED_VALUE"""),"overall")</f>
        <v>overall</v>
      </c>
      <c r="W94" s="272" t="str">
        <f>IFERROR(__xludf.DUMMYFUNCTION("""COMPUTED_VALUE"""),"SMS")</f>
        <v>SMS</v>
      </c>
      <c r="X94" s="272" t="str">
        <f>IFERROR(__xludf.DUMMYFUNCTION("""COMPUTED_VALUE"""),"Generic")</f>
        <v>Generic</v>
      </c>
      <c r="Y94" s="272" t="str">
        <f>IFERROR(__xludf.DUMMYFUNCTION("""COMPUTED_VALUE"""),"1st Feb - 2nd Feb")</f>
        <v>1st Feb - 2nd Feb</v>
      </c>
      <c r="Z94" s="272" t="str">
        <f>IFERROR(__xludf.DUMMYFUNCTION("""COMPUTED_VALUE"""),"697b57720e5624e86c2b8dbc")</f>
        <v>697b57720e5624e86c2b8dbc</v>
      </c>
      <c r="AA94" s="272">
        <f>IFERROR(__xludf.DUMMYFUNCTION("""COMPUTED_VALUE"""),1.0)</f>
        <v>1</v>
      </c>
      <c r="AB94" s="272">
        <f>IFERROR(__xludf.DUMMYFUNCTION("""COMPUTED_VALUE"""),1.0)</f>
        <v>1</v>
      </c>
      <c r="AC94" s="272">
        <f>IFERROR(__xludf.DUMMYFUNCTION("""COMPUTED_VALUE"""),0.0)</f>
        <v>0</v>
      </c>
      <c r="AD94" s="272">
        <f>IFERROR(__xludf.DUMMYFUNCTION("""COMPUTED_VALUE"""),899.0)</f>
        <v>899</v>
      </c>
      <c r="AE94" s="272">
        <f>IFERROR(__xludf.DUMMYFUNCTION("""COMPUTED_VALUE"""),0.0)</f>
        <v>0</v>
      </c>
      <c r="AF94" s="272">
        <f>IFERROR(__xludf.DUMMYFUNCTION("""COMPUTED_VALUE"""),899.0)</f>
        <v>899</v>
      </c>
      <c r="AG94" s="208"/>
      <c r="AH94" s="208"/>
      <c r="AI94" s="208"/>
      <c r="AJ94" s="208"/>
      <c r="AK94" s="208"/>
    </row>
    <row r="95" hidden="1">
      <c r="A95" s="209">
        <f>IFERROR(__xludf.DUMMYFUNCTION("""COMPUTED_VALUE"""),46054.0)</f>
        <v>46054</v>
      </c>
      <c r="B95" s="210">
        <f>IFERROR(__xludf.DUMMYFUNCTION("""COMPUTED_VALUE"""),0.4166666666678793)</f>
        <v>0.4166666667</v>
      </c>
      <c r="C95" s="211" t="str">
        <f>IFERROR(__xludf.DUMMYFUNCTION("""COMPUTED_VALUE"""),"Sms")</f>
        <v>Sms</v>
      </c>
      <c r="D95" s="211" t="str">
        <f>IFERROR(__xludf.DUMMYFUNCTION("""COMPUTED_VALUE"""),"Promotional")</f>
        <v>Promotional</v>
      </c>
      <c r="E95" s="211" t="str">
        <f>IFERROR(__xludf.DUMMYFUNCTION("""COMPUTED_VALUE"""),"BBW")</f>
        <v>BBW</v>
      </c>
      <c r="F95" s="211" t="str">
        <f>IFERROR(__xludf.DUMMYFUNCTION("""COMPUTED_VALUE"""),"B2G1")</f>
        <v>B2G1</v>
      </c>
      <c r="G95" s="212" t="str">
        <f>IFERROR(__xludf.DUMMYFUNCTION("""COMPUTED_VALUE"""),"bbw_ldb2g1_1.2_eventbuy")</f>
        <v>bbw_ldb2g1_1.2_eventbuy</v>
      </c>
      <c r="H95" s="212" t="str">
        <f>IFERROR(__xludf.DUMMYFUNCTION("""COMPUTED_VALUE"""),"B2G1_EventBuyers_ONOFF")</f>
        <v>B2G1_EventBuyers_ONOFF</v>
      </c>
      <c r="I95" s="212" t="str">
        <f>IFERROR(__xludf.DUMMYFUNCTION("""COMPUTED_VALUE"""),"Customers who have purchased in the last B1G1 and B2G1 events in 2025")</f>
        <v>Customers who have purchased in the last B1G1 and B2G1 events in 2025</v>
      </c>
      <c r="J95" s="213">
        <f>IFERROR(__xludf.DUMMYFUNCTION("""COMPUTED_VALUE"""),55559.0)</f>
        <v>55559</v>
      </c>
      <c r="K95" s="213">
        <f>IFERROR(__xludf.DUMMYFUNCTION("""COMPUTED_VALUE"""),32415.0)</f>
        <v>32415</v>
      </c>
      <c r="L95" s="214">
        <f>IFERROR(__xludf.DUMMYFUNCTION("""COMPUTED_VALUE"""),0.5834)</f>
        <v>0.5834</v>
      </c>
      <c r="M95" s="213"/>
      <c r="N95" s="214"/>
      <c r="O95" s="101">
        <f>IFERROR(__xludf.DUMMYFUNCTION("""COMPUTED_VALUE"""),19.0)</f>
        <v>19</v>
      </c>
      <c r="P95" s="101"/>
      <c r="Q95" s="214">
        <f>IFERROR(__xludf.DUMMYFUNCTION("""COMPUTED_VALUE"""),6.0E-4)</f>
        <v>0.0006</v>
      </c>
      <c r="R95" s="214"/>
      <c r="S95" s="101">
        <f>IFERROR(__xludf.DUMMYFUNCTION("""COMPUTED_VALUE"""),0.0)</f>
        <v>0</v>
      </c>
      <c r="T95" s="101">
        <f>IFERROR(__xludf.DUMMYFUNCTION("""COMPUTED_VALUE"""),3.0)</f>
        <v>3</v>
      </c>
      <c r="U95" s="270">
        <f>IFERROR(__xludf.DUMMYFUNCTION("""COMPUTED_VALUE"""),0.0)</f>
        <v>0</v>
      </c>
      <c r="V95" s="271" t="str">
        <f>IFERROR(__xludf.DUMMYFUNCTION("""COMPUTED_VALUE"""),"overall")</f>
        <v>overall</v>
      </c>
      <c r="W95" s="272" t="str">
        <f>IFERROR(__xludf.DUMMYFUNCTION("""COMPUTED_VALUE"""),"SMS")</f>
        <v>SMS</v>
      </c>
      <c r="X95" s="272" t="str">
        <f>IFERROR(__xludf.DUMMYFUNCTION("""COMPUTED_VALUE"""),"Event Buyers")</f>
        <v>Event Buyers</v>
      </c>
      <c r="Y95" s="272" t="str">
        <f>IFERROR(__xludf.DUMMYFUNCTION("""COMPUTED_VALUE"""),"1st Feb - 2nd Feb")</f>
        <v>1st Feb - 2nd Feb</v>
      </c>
      <c r="Z95" s="272" t="str">
        <f>IFERROR(__xludf.DUMMYFUNCTION("""COMPUTED_VALUE"""),"697b5793c197dd2134779f24")</f>
        <v>697b5793c197dd2134779f24</v>
      </c>
      <c r="AA95" s="272">
        <f>IFERROR(__xludf.DUMMYFUNCTION("""COMPUTED_VALUE"""),2.0)</f>
        <v>2</v>
      </c>
      <c r="AB95" s="272">
        <f>IFERROR(__xludf.DUMMYFUNCTION("""COMPUTED_VALUE"""),2.0)</f>
        <v>2</v>
      </c>
      <c r="AC95" s="272">
        <f>IFERROR(__xludf.DUMMYFUNCTION("""COMPUTED_VALUE"""),0.0)</f>
        <v>0</v>
      </c>
      <c r="AD95" s="272">
        <f>IFERROR(__xludf.DUMMYFUNCTION("""COMPUTED_VALUE"""),9295.0)</f>
        <v>9295</v>
      </c>
      <c r="AE95" s="272">
        <f>IFERROR(__xludf.DUMMYFUNCTION("""COMPUTED_VALUE"""),0.0)</f>
        <v>0</v>
      </c>
      <c r="AF95" s="272">
        <f>IFERROR(__xludf.DUMMYFUNCTION("""COMPUTED_VALUE"""),9295.0)</f>
        <v>9295</v>
      </c>
      <c r="AG95" s="208"/>
      <c r="AH95" s="208"/>
      <c r="AI95" s="208"/>
      <c r="AJ95" s="208"/>
      <c r="AK95" s="208"/>
    </row>
    <row r="96" hidden="1">
      <c r="A96" s="245">
        <f>IFERROR(__xludf.DUMMYFUNCTION("""COMPUTED_VALUE"""),46054.0)</f>
        <v>46054</v>
      </c>
      <c r="B96" s="246">
        <f>IFERROR(__xludf.DUMMYFUNCTION("""COMPUTED_VALUE"""),0.4166666666678793)</f>
        <v>0.4166666667</v>
      </c>
      <c r="C96" s="221" t="str">
        <f>IFERROR(__xludf.DUMMYFUNCTION("""COMPUTED_VALUE"""),"Sms")</f>
        <v>Sms</v>
      </c>
      <c r="D96" s="221" t="str">
        <f>IFERROR(__xludf.DUMMYFUNCTION("""COMPUTED_VALUE"""),"Promotional")</f>
        <v>Promotional</v>
      </c>
      <c r="E96" s="221" t="str">
        <f>IFERROR(__xludf.DUMMYFUNCTION("""COMPUTED_VALUE"""),"BBW")</f>
        <v>BBW</v>
      </c>
      <c r="F96" s="222" t="str">
        <f>IFERROR(__xludf.DUMMYFUNCTION("""COMPUTED_VALUE"""),"B2G1")</f>
        <v>B2G1</v>
      </c>
      <c r="G96" s="221" t="str">
        <f>IFERROR(__xludf.DUMMYFUNCTION("""COMPUTED_VALUE"""),"bbw_ldb2g1_1.2_loyal")</f>
        <v>bbw_ldb2g1_1.2_loyal</v>
      </c>
      <c r="H96" s="269" t="str">
        <f>IFERROR(__xludf.DUMMYFUNCTION("""COMPUTED_VALUE"""),"B2G1_LoyalDormant_ONOFF OR AGIPL_Internal OR BBW_Internal")</f>
        <v>B2G1_LoyalDormant_ONOFF OR AGIPL_Internal OR BBW_Internal</v>
      </c>
      <c r="I96" s="223" t="str">
        <f>IFERROR(__xludf.DUMMYFUNCTION("""COMPUTED_VALUE"""),"Customer who have purchased 2 times from 1st Jan 2025 but have not returend in the last 106 days AND Exclude Custom Segment :- B2G1_EventBuyers_ONOFF")</f>
        <v>Customer who have purchased 2 times from 1st Jan 2025 but have not returend in the last 106 days AND Exclude Custom Segment :- B2G1_EventBuyers_ONOFF</v>
      </c>
      <c r="J96" s="213">
        <f>IFERROR(__xludf.DUMMYFUNCTION("""COMPUTED_VALUE"""),56112.0)</f>
        <v>56112</v>
      </c>
      <c r="K96" s="213">
        <f>IFERROR(__xludf.DUMMYFUNCTION("""COMPUTED_VALUE"""),32676.0)</f>
        <v>32676</v>
      </c>
      <c r="L96" s="214">
        <f>IFERROR(__xludf.DUMMYFUNCTION("""COMPUTED_VALUE"""),0.5823)</f>
        <v>0.5823</v>
      </c>
      <c r="M96" s="213"/>
      <c r="N96" s="214"/>
      <c r="O96" s="213">
        <f>IFERROR(__xludf.DUMMYFUNCTION("""COMPUTED_VALUE"""),29.0)</f>
        <v>29</v>
      </c>
      <c r="P96" s="213"/>
      <c r="Q96" s="214">
        <f>IFERROR(__xludf.DUMMYFUNCTION("""COMPUTED_VALUE"""),9.0E-4)</f>
        <v>0.0009</v>
      </c>
      <c r="R96" s="214"/>
      <c r="S96" s="101">
        <f>IFERROR(__xludf.DUMMYFUNCTION("""COMPUTED_VALUE"""),4.0)</f>
        <v>4</v>
      </c>
      <c r="T96" s="101">
        <f>IFERROR(__xludf.DUMMYFUNCTION("""COMPUTED_VALUE"""),4.0)</f>
        <v>4</v>
      </c>
      <c r="U96" s="213">
        <f>IFERROR(__xludf.DUMMYFUNCTION("""COMPUTED_VALUE"""),16096.0)</f>
        <v>16096</v>
      </c>
      <c r="V96" s="271" t="str">
        <f>IFERROR(__xludf.DUMMYFUNCTION("""COMPUTED_VALUE"""),"overall")</f>
        <v>overall</v>
      </c>
      <c r="W96" s="98" t="str">
        <f>IFERROR(__xludf.DUMMYFUNCTION("""COMPUTED_VALUE"""),"SMS")</f>
        <v>SMS</v>
      </c>
      <c r="X96" s="98" t="str">
        <f>IFERROR(__xludf.DUMMYFUNCTION("""COMPUTED_VALUE"""),"Loyal")</f>
        <v>Loyal</v>
      </c>
      <c r="Y96" s="98" t="str">
        <f>IFERROR(__xludf.DUMMYFUNCTION("""COMPUTED_VALUE"""),"1st Feb - 2nd Feb")</f>
        <v>1st Feb - 2nd Feb</v>
      </c>
      <c r="Z96" s="98" t="str">
        <f>IFERROR(__xludf.DUMMYFUNCTION("""COMPUTED_VALUE"""),"697b57c3307659ef41257ace")</f>
        <v>697b57c3307659ef41257ace</v>
      </c>
      <c r="AA96" s="98">
        <f>IFERROR(__xludf.DUMMYFUNCTION("""COMPUTED_VALUE"""),2.0)</f>
        <v>2</v>
      </c>
      <c r="AB96" s="98">
        <f>IFERROR(__xludf.DUMMYFUNCTION("""COMPUTED_VALUE"""),0.0)</f>
        <v>0</v>
      </c>
      <c r="AC96" s="98">
        <f>IFERROR(__xludf.DUMMYFUNCTION("""COMPUTED_VALUE"""),2.0)</f>
        <v>2</v>
      </c>
      <c r="AD96" s="98">
        <f>IFERROR(__xludf.DUMMYFUNCTION("""COMPUTED_VALUE"""),11395.0)</f>
        <v>11395</v>
      </c>
      <c r="AE96" s="98">
        <f>IFERROR(__xludf.DUMMYFUNCTION("""COMPUTED_VALUE"""),0.0)</f>
        <v>0</v>
      </c>
      <c r="AF96" s="98">
        <f>IFERROR(__xludf.DUMMYFUNCTION("""COMPUTED_VALUE"""),11395.0)</f>
        <v>11395</v>
      </c>
      <c r="AG96" s="208"/>
      <c r="AH96" s="208"/>
      <c r="AI96" s="208"/>
      <c r="AJ96" s="208"/>
      <c r="AK96" s="208"/>
    </row>
    <row r="97" hidden="1">
      <c r="A97" s="209">
        <f>IFERROR(__xludf.DUMMYFUNCTION("""COMPUTED_VALUE"""),46054.0)</f>
        <v>46054</v>
      </c>
      <c r="B97" s="210">
        <f>IFERROR(__xludf.DUMMYFUNCTION("""COMPUTED_VALUE"""),0.4166666666678793)</f>
        <v>0.4166666667</v>
      </c>
      <c r="C97" s="211" t="str">
        <f>IFERROR(__xludf.DUMMYFUNCTION("""COMPUTED_VALUE"""),"Sms")</f>
        <v>Sms</v>
      </c>
      <c r="D97" s="211" t="str">
        <f>IFERROR(__xludf.DUMMYFUNCTION("""COMPUTED_VALUE"""),"Promotional")</f>
        <v>Promotional</v>
      </c>
      <c r="E97" s="211" t="str">
        <f>IFERROR(__xludf.DUMMYFUNCTION("""COMPUTED_VALUE"""),"BBW")</f>
        <v>BBW</v>
      </c>
      <c r="F97" s="281" t="str">
        <f>IFERROR(__xludf.DUMMYFUNCTION("""COMPUTED_VALUE"""),"B2G1")</f>
        <v>B2G1</v>
      </c>
      <c r="G97" s="212" t="str">
        <f>IFERROR(__xludf.DUMMYFUNCTION("""COMPUTED_VALUE"""),"bbw_ldb2g1_1.2_new")</f>
        <v>bbw_ldb2g1_1.2_new</v>
      </c>
      <c r="H97" s="212" t="str">
        <f>IFERROR(__xludf.DUMMYFUNCTION("""COMPUTED_VALUE"""),"B2G1_New2025_ONOFF")</f>
        <v>B2G1_New2025_ONOFF</v>
      </c>
      <c r="I97" s="212" t="str">
        <f>IFERROR(__xludf.DUMMYFUNCTION("""COMPUTED_VALUE"""),"Customers who have purchased exactly once from 20th Jan 2025 and have not purchased in the last 31 days AND Exclude Custom Segment :- B2G1_EventBuyers_ONOFF or B2G1_LoyalDormant_ONOFF")</f>
        <v>Customers who have purchased exactly once from 20th Jan 2025 and have not purchased in the last 31 days AND Exclude Custom Segment :- B2G1_EventBuyers_ONOFF or B2G1_LoyalDormant_ONOFF</v>
      </c>
      <c r="J97" s="213">
        <f>IFERROR(__xludf.DUMMYFUNCTION("""COMPUTED_VALUE"""),357522.0)</f>
        <v>357522</v>
      </c>
      <c r="K97" s="213">
        <f>IFERROR(__xludf.DUMMYFUNCTION("""COMPUTED_VALUE"""),218898.0)</f>
        <v>218898</v>
      </c>
      <c r="L97" s="214">
        <f>IFERROR(__xludf.DUMMYFUNCTION("""COMPUTED_VALUE"""),0.6123)</f>
        <v>0.6123</v>
      </c>
      <c r="M97" s="213"/>
      <c r="N97" s="214"/>
      <c r="O97" s="101">
        <f>IFERROR(__xludf.DUMMYFUNCTION("""COMPUTED_VALUE"""),133.0)</f>
        <v>133</v>
      </c>
      <c r="P97" s="101"/>
      <c r="Q97" s="214">
        <f>IFERROR(__xludf.DUMMYFUNCTION("""COMPUTED_VALUE"""),6.0E-4)</f>
        <v>0.0006</v>
      </c>
      <c r="R97" s="214"/>
      <c r="S97" s="101">
        <f>IFERROR(__xludf.DUMMYFUNCTION("""COMPUTED_VALUE"""),5.0)</f>
        <v>5</v>
      </c>
      <c r="T97" s="101">
        <f>IFERROR(__xludf.DUMMYFUNCTION("""COMPUTED_VALUE"""),16.0)</f>
        <v>16</v>
      </c>
      <c r="U97" s="270">
        <f>IFERROR(__xludf.DUMMYFUNCTION("""COMPUTED_VALUE"""),11440.0)</f>
        <v>11440</v>
      </c>
      <c r="V97" s="271" t="str">
        <f>IFERROR(__xludf.DUMMYFUNCTION("""COMPUTED_VALUE"""),"overall")</f>
        <v>overall</v>
      </c>
      <c r="W97" s="272" t="str">
        <f>IFERROR(__xludf.DUMMYFUNCTION("""COMPUTED_VALUE"""),"SMS")</f>
        <v>SMS</v>
      </c>
      <c r="X97" s="272" t="str">
        <f>IFERROR(__xludf.DUMMYFUNCTION("""COMPUTED_VALUE"""),"New")</f>
        <v>New</v>
      </c>
      <c r="Y97" s="272" t="str">
        <f>IFERROR(__xludf.DUMMYFUNCTION("""COMPUTED_VALUE"""),"1st Feb - 2nd Feb")</f>
        <v>1st Feb - 2nd Feb</v>
      </c>
      <c r="Z97" s="272" t="str">
        <f>IFERROR(__xludf.DUMMYFUNCTION("""COMPUTED_VALUE"""),"697b58090e5624e86c2b8e12")</f>
        <v>697b58090e5624e86c2b8e12</v>
      </c>
      <c r="AA97" s="272">
        <f>IFERROR(__xludf.DUMMYFUNCTION("""COMPUTED_VALUE"""),4.0)</f>
        <v>4</v>
      </c>
      <c r="AB97" s="272">
        <f>IFERROR(__xludf.DUMMYFUNCTION("""COMPUTED_VALUE"""),2.0)</f>
        <v>2</v>
      </c>
      <c r="AC97" s="272">
        <f>IFERROR(__xludf.DUMMYFUNCTION("""COMPUTED_VALUE"""),2.0)</f>
        <v>2</v>
      </c>
      <c r="AD97" s="272">
        <f>IFERROR(__xludf.DUMMYFUNCTION("""COMPUTED_VALUE"""),18588.0)</f>
        <v>18588</v>
      </c>
      <c r="AE97" s="272">
        <f>IFERROR(__xludf.DUMMYFUNCTION("""COMPUTED_VALUE"""),11892.0)</f>
        <v>11892</v>
      </c>
      <c r="AF97" s="272">
        <f>IFERROR(__xludf.DUMMYFUNCTION("""COMPUTED_VALUE"""),6696.0)</f>
        <v>6696</v>
      </c>
      <c r="AG97" s="208"/>
      <c r="AH97" s="208"/>
      <c r="AI97" s="208"/>
      <c r="AJ97" s="208"/>
      <c r="AK97" s="208"/>
    </row>
    <row r="98" hidden="1">
      <c r="A98" s="245">
        <f>IFERROR(__xludf.DUMMYFUNCTION("""COMPUTED_VALUE"""),46058.0)</f>
        <v>46058</v>
      </c>
      <c r="B98" s="246">
        <f>IFERROR(__xludf.DUMMYFUNCTION("""COMPUTED_VALUE"""),0.7916666666678793)</f>
        <v>0.7916666667</v>
      </c>
      <c r="C98" s="221" t="str">
        <f>IFERROR(__xludf.DUMMYFUNCTION("""COMPUTED_VALUE"""),"Whatsapp")</f>
        <v>Whatsapp</v>
      </c>
      <c r="D98" s="221" t="str">
        <f>IFERROR(__xludf.DUMMYFUNCTION("""COMPUTED_VALUE"""),"Promotional")</f>
        <v>Promotional</v>
      </c>
      <c r="E98" s="221" t="str">
        <f>IFERROR(__xludf.DUMMYFUNCTION("""COMPUTED_VALUE"""),"BBW")</f>
        <v>BBW</v>
      </c>
      <c r="F98" s="222" t="str">
        <f>IFERROR(__xludf.DUMMYFUNCTION("""COMPUTED_VALUE"""),"Bodycare")</f>
        <v>Bodycare</v>
      </c>
      <c r="G98" s="221" t="str">
        <f>IFERROR(__xludf.DUMMYFUNCTION("""COMPUTED_VALUE"""),"bbw_eabc899_5.2_DiscshopWA")</f>
        <v>bbw_eabc899_5.2_DiscshopWA</v>
      </c>
      <c r="H98" s="269" t="str">
        <f>IFERROR(__xludf.DUMMYFUNCTION("""COMPUTED_VALUE"""),"Loyal&amp;DiscountShoppers_ON OR AGIPL_Internal OR BBW_Internal")</f>
        <v>Loyal&amp;DiscountShoppers_ON OR AGIPL_Internal OR BBW_Internal</v>
      </c>
      <c r="I98" s="223" t="str">
        <f>IFERROR(__xludf.DUMMYFUNCTION("""COMPUTED_VALUE"""),"Online customer who has purchased 2 times &amp; Online, Body Care in Order_Net_Value Less than 1000 OR Candles at 50% off or Travel Size, Soaps and Sanitisers whose Order_Net_Value is less than 1000")</f>
        <v>Online customer who has purchased 2 times &amp; Online, Body Care in Order_Net_Value Less than 1000 OR Candles at 50% off or Travel Size, Soaps and Sanitisers whose Order_Net_Value is less than 1000</v>
      </c>
      <c r="J98" s="213">
        <f>IFERROR(__xludf.DUMMYFUNCTION("""COMPUTED_VALUE"""),8028.0)</f>
        <v>8028</v>
      </c>
      <c r="K98" s="213">
        <f>IFERROR(__xludf.DUMMYFUNCTION("""COMPUTED_VALUE"""),1863.0)</f>
        <v>1863</v>
      </c>
      <c r="L98" s="214">
        <f>IFERROR(__xludf.DUMMYFUNCTION("""COMPUTED_VALUE"""),0.2321)</f>
        <v>0.2321</v>
      </c>
      <c r="M98" s="213">
        <f>IFERROR(__xludf.DUMMYFUNCTION("""COMPUTED_VALUE"""),876.0)</f>
        <v>876</v>
      </c>
      <c r="N98" s="214">
        <f>IFERROR(__xludf.DUMMYFUNCTION("""COMPUTED_VALUE"""),0.4702)</f>
        <v>0.4702</v>
      </c>
      <c r="O98" s="213">
        <f>IFERROR(__xludf.DUMMYFUNCTION("""COMPUTED_VALUE"""),60.0)</f>
        <v>60</v>
      </c>
      <c r="P98" s="213">
        <f>IFERROR(__xludf.DUMMYFUNCTION("""COMPUTED_VALUE"""),54.0)</f>
        <v>54</v>
      </c>
      <c r="Q98" s="214">
        <f>IFERROR(__xludf.DUMMYFUNCTION("""COMPUTED_VALUE"""),0.029)</f>
        <v>0.029</v>
      </c>
      <c r="R98" s="214">
        <f>IFERROR(__xludf.DUMMYFUNCTION("""COMPUTED_VALUE"""),0.0616)</f>
        <v>0.0616</v>
      </c>
      <c r="S98" s="101">
        <f>IFERROR(__xludf.DUMMYFUNCTION("""COMPUTED_VALUE"""),4.0)</f>
        <v>4</v>
      </c>
      <c r="T98" s="101">
        <f>IFERROR(__xludf.DUMMYFUNCTION("""COMPUTED_VALUE"""),4.0)</f>
        <v>4</v>
      </c>
      <c r="U98" s="213">
        <f>IFERROR(__xludf.DUMMYFUNCTION("""COMPUTED_VALUE"""),5794.0)</f>
        <v>5794</v>
      </c>
      <c r="V98" s="271" t="str">
        <f>IFERROR(__xludf.DUMMYFUNCTION("""COMPUTED_VALUE"""),"online")</f>
        <v>online</v>
      </c>
      <c r="W98" s="98" t="str">
        <f>IFERROR(__xludf.DUMMYFUNCTION("""COMPUTED_VALUE"""),"carousel")</f>
        <v>carousel</v>
      </c>
      <c r="X98" s="98" t="str">
        <f>IFERROR(__xludf.DUMMYFUNCTION("""COMPUTED_VALUE"""),"Loyal")</f>
        <v>Loyal</v>
      </c>
      <c r="Y98" s="98" t="str">
        <f>IFERROR(__xludf.DUMMYFUNCTION("""COMPUTED_VALUE"""),"5th Feb - 8th Feb")</f>
        <v>5th Feb - 8th Feb</v>
      </c>
      <c r="Z98" s="98" t="str">
        <f>IFERROR(__xludf.DUMMYFUNCTION("""COMPUTED_VALUE"""),"6984815d9a30dc7ea6c9934e")</f>
        <v>6984815d9a30dc7ea6c9934e</v>
      </c>
      <c r="AA98" s="98">
        <f>IFERROR(__xludf.DUMMYFUNCTION("""COMPUTED_VALUE"""),36.0)</f>
        <v>36</v>
      </c>
      <c r="AB98" s="98">
        <f>IFERROR(__xludf.DUMMYFUNCTION("""COMPUTED_VALUE"""),36.0)</f>
        <v>36</v>
      </c>
      <c r="AC98" s="98"/>
      <c r="AD98" s="98">
        <f>IFERROR(__xludf.DUMMYFUNCTION("""COMPUTED_VALUE"""),49763.0)</f>
        <v>49763</v>
      </c>
      <c r="AE98" s="98">
        <f>IFERROR(__xludf.DUMMYFUNCTION("""COMPUTED_VALUE"""),49763.0)</f>
        <v>49763</v>
      </c>
      <c r="AF98" s="98"/>
      <c r="AG98" s="208"/>
      <c r="AH98" s="208"/>
      <c r="AI98" s="208"/>
      <c r="AJ98" s="208"/>
      <c r="AK98" s="208"/>
    </row>
    <row r="99" hidden="1">
      <c r="A99" s="209">
        <f>IFERROR(__xludf.DUMMYFUNCTION("""COMPUTED_VALUE"""),46058.0)</f>
        <v>46058</v>
      </c>
      <c r="B99" s="210">
        <f>IFERROR(__xludf.DUMMYFUNCTION("""COMPUTED_VALUE"""),0.7916666666678793)</f>
        <v>0.7916666667</v>
      </c>
      <c r="C99" s="211" t="str">
        <f>IFERROR(__xludf.DUMMYFUNCTION("""COMPUTED_VALUE"""),"Whatsapp")</f>
        <v>Whatsapp</v>
      </c>
      <c r="D99" s="211" t="str">
        <f>IFERROR(__xludf.DUMMYFUNCTION("""COMPUTED_VALUE"""),"Promotional")</f>
        <v>Promotional</v>
      </c>
      <c r="E99" s="211" t="str">
        <f>IFERROR(__xludf.DUMMYFUNCTION("""COMPUTED_VALUE"""),"BBW")</f>
        <v>BBW</v>
      </c>
      <c r="F99" s="211" t="str">
        <f>IFERROR(__xludf.DUMMYFUNCTION("""COMPUTED_VALUE"""),"Bodycare")</f>
        <v>Bodycare</v>
      </c>
      <c r="G99" s="212" t="str">
        <f>IFERROR(__xludf.DUMMYFUNCTION("""COMPUTED_VALUE"""),"bbw_eabc899_5.2_recWA")</f>
        <v>bbw_eabc899_5.2_recWA</v>
      </c>
      <c r="H99" s="212" t="str">
        <f>IFERROR(__xludf.DUMMYFUNCTION("""COMPUTED_VALUE"""),"Recent100Days_ON")</f>
        <v>Recent100Days_ON</v>
      </c>
      <c r="I99" s="212" t="str">
        <f>IFERROR(__xludf.DUMMYFUNCTION("""COMPUTED_VALUE"""),"Online customers who have purchased Body Care, Candle, and Travel Size, Soaps and Sanitisers in last 100 days")</f>
        <v>Online customers who have purchased Body Care, Candle, and Travel Size, Soaps and Sanitisers in last 100 days</v>
      </c>
      <c r="J99" s="213">
        <f>IFERROR(__xludf.DUMMYFUNCTION("""COMPUTED_VALUE"""),41855.0)</f>
        <v>41855</v>
      </c>
      <c r="K99" s="213">
        <f>IFERROR(__xludf.DUMMYFUNCTION("""COMPUTED_VALUE"""),10161.0)</f>
        <v>10161</v>
      </c>
      <c r="L99" s="214">
        <f>IFERROR(__xludf.DUMMYFUNCTION("""COMPUTED_VALUE"""),0.2428)</f>
        <v>0.2428</v>
      </c>
      <c r="M99" s="213">
        <f>IFERROR(__xludf.DUMMYFUNCTION("""COMPUTED_VALUE"""),4699.0)</f>
        <v>4699</v>
      </c>
      <c r="N99" s="214">
        <f>IFERROR(__xludf.DUMMYFUNCTION("""COMPUTED_VALUE"""),0.4625)</f>
        <v>0.4625</v>
      </c>
      <c r="O99" s="101">
        <f>IFERROR(__xludf.DUMMYFUNCTION("""COMPUTED_VALUE"""),285.0)</f>
        <v>285</v>
      </c>
      <c r="P99" s="101">
        <f>IFERROR(__xludf.DUMMYFUNCTION("""COMPUTED_VALUE"""),269.0)</f>
        <v>269</v>
      </c>
      <c r="Q99" s="214">
        <f>IFERROR(__xludf.DUMMYFUNCTION("""COMPUTED_VALUE"""),0.0265)</f>
        <v>0.0265</v>
      </c>
      <c r="R99" s="214">
        <f>IFERROR(__xludf.DUMMYFUNCTION("""COMPUTED_VALUE"""),0.0572)</f>
        <v>0.0572</v>
      </c>
      <c r="S99" s="101">
        <f>IFERROR(__xludf.DUMMYFUNCTION("""COMPUTED_VALUE"""),16.0)</f>
        <v>16</v>
      </c>
      <c r="T99" s="101">
        <f>IFERROR(__xludf.DUMMYFUNCTION("""COMPUTED_VALUE"""),45.0)</f>
        <v>45</v>
      </c>
      <c r="U99" s="270">
        <f>IFERROR(__xludf.DUMMYFUNCTION("""COMPUTED_VALUE"""),38892.0)</f>
        <v>38892</v>
      </c>
      <c r="V99" s="271" t="str">
        <f>IFERROR(__xludf.DUMMYFUNCTION("""COMPUTED_VALUE"""),"online")</f>
        <v>online</v>
      </c>
      <c r="W99" s="272" t="str">
        <f>IFERROR(__xludf.DUMMYFUNCTION("""COMPUTED_VALUE"""),"carousel")</f>
        <v>carousel</v>
      </c>
      <c r="X99" s="272" t="str">
        <f>IFERROR(__xludf.DUMMYFUNCTION("""COMPUTED_VALUE"""),"Recent")</f>
        <v>Recent</v>
      </c>
      <c r="Y99" s="272" t="str">
        <f>IFERROR(__xludf.DUMMYFUNCTION("""COMPUTED_VALUE"""),"5th Feb - 8th Feb")</f>
        <v>5th Feb - 8th Feb</v>
      </c>
      <c r="Z99" s="272" t="str">
        <f>IFERROR(__xludf.DUMMYFUNCTION("""COMPUTED_VALUE"""),"698481a5f9799bc566b924ee")</f>
        <v>698481a5f9799bc566b924ee</v>
      </c>
      <c r="AA99" s="272">
        <f>IFERROR(__xludf.DUMMYFUNCTION("""COMPUTED_VALUE"""),97.0)</f>
        <v>97</v>
      </c>
      <c r="AB99" s="272">
        <f>IFERROR(__xludf.DUMMYFUNCTION("""COMPUTED_VALUE"""),97.0)</f>
        <v>97</v>
      </c>
      <c r="AC99" s="272"/>
      <c r="AD99" s="272">
        <f>IFERROR(__xludf.DUMMYFUNCTION("""COMPUTED_VALUE"""),213120.0)</f>
        <v>213120</v>
      </c>
      <c r="AE99" s="272">
        <f>IFERROR(__xludf.DUMMYFUNCTION("""COMPUTED_VALUE"""),213120.0)</f>
        <v>213120</v>
      </c>
      <c r="AF99" s="272"/>
      <c r="AG99" s="208"/>
      <c r="AH99" s="208"/>
      <c r="AI99" s="208"/>
      <c r="AJ99" s="208"/>
      <c r="AK99" s="208"/>
    </row>
    <row r="100" hidden="1">
      <c r="A100" s="245">
        <f>IFERROR(__xludf.DUMMYFUNCTION("""COMPUTED_VALUE"""),46058.0)</f>
        <v>46058</v>
      </c>
      <c r="B100" s="246">
        <f>IFERROR(__xludf.DUMMYFUNCTION("""COMPUTED_VALUE"""),0.84375)</f>
        <v>0.84375</v>
      </c>
      <c r="C100" s="221" t="str">
        <f>IFERROR(__xludf.DUMMYFUNCTION("""COMPUTED_VALUE"""),"Sms")</f>
        <v>Sms</v>
      </c>
      <c r="D100" s="221" t="str">
        <f>IFERROR(__xludf.DUMMYFUNCTION("""COMPUTED_VALUE"""),"Fallback Campaign")</f>
        <v>Fallback Campaign</v>
      </c>
      <c r="E100" s="221" t="str">
        <f>IFERROR(__xludf.DUMMYFUNCTION("""COMPUTED_VALUE"""),"BBW")</f>
        <v>BBW</v>
      </c>
      <c r="F100" s="221" t="str">
        <f>IFERROR(__xludf.DUMMYFUNCTION("""COMPUTED_VALUE"""),"Bodycare")</f>
        <v>Bodycare</v>
      </c>
      <c r="G100" s="221" t="str">
        <f>IFERROR(__xludf.DUMMYFUNCTION("""COMPUTED_VALUE"""),"bbw_eabc899_5.2_DiscshopWAfb")</f>
        <v>bbw_eabc899_5.2_DiscshopWAfb</v>
      </c>
      <c r="H100" s="269" t="str">
        <f>IFERROR(__xludf.DUMMYFUNCTION("""COMPUTED_VALUE"""),"Loyal&amp;DiscountShoppers_ON
+ AGIPL_Internal
+ BBW_Internal")</f>
        <v>Loyal&amp;DiscountShoppers_ON
+ AGIPL_Internal
+ BBW_Internal</v>
      </c>
      <c r="I100" s="223" t="str">
        <f>IFERROR(__xludf.DUMMYFUNCTION("""COMPUTED_VALUE"""),"WA Undelivered")</f>
        <v>WA Undelivered</v>
      </c>
      <c r="J100" s="224">
        <f>IFERROR(__xludf.DUMMYFUNCTION("""COMPUTED_VALUE"""),6078.0)</f>
        <v>6078</v>
      </c>
      <c r="K100" s="224">
        <f>IFERROR(__xludf.DUMMYFUNCTION("""COMPUTED_VALUE"""),3731.0)</f>
        <v>3731</v>
      </c>
      <c r="L100" s="225">
        <f>IFERROR(__xludf.DUMMYFUNCTION("""COMPUTED_VALUE"""),0.6139)</f>
        <v>0.6139</v>
      </c>
      <c r="M100" s="224"/>
      <c r="N100" s="225"/>
      <c r="O100" s="224">
        <f>IFERROR(__xludf.DUMMYFUNCTION("""COMPUTED_VALUE"""),16.0)</f>
        <v>16</v>
      </c>
      <c r="P100" s="224"/>
      <c r="Q100" s="225">
        <f>IFERROR(__xludf.DUMMYFUNCTION("""COMPUTED_VALUE"""),0.0043)</f>
        <v>0.0043</v>
      </c>
      <c r="R100" s="225"/>
      <c r="S100" s="226">
        <f>IFERROR(__xludf.DUMMYFUNCTION("""COMPUTED_VALUE"""),8.0)</f>
        <v>8</v>
      </c>
      <c r="T100" s="226">
        <f>IFERROR(__xludf.DUMMYFUNCTION("""COMPUTED_VALUE"""),18.0)</f>
        <v>18</v>
      </c>
      <c r="U100" s="224">
        <f>IFERROR(__xludf.DUMMYFUNCTION("""COMPUTED_VALUE"""),21344.0)</f>
        <v>21344</v>
      </c>
      <c r="V100" s="280" t="str">
        <f>IFERROR(__xludf.DUMMYFUNCTION("""COMPUTED_VALUE"""),"online")</f>
        <v>online</v>
      </c>
      <c r="W100" s="229" t="str">
        <f>IFERROR(__xludf.DUMMYFUNCTION("""COMPUTED_VALUE"""),"SMS")</f>
        <v>SMS</v>
      </c>
      <c r="X100" s="229" t="str">
        <f>IFERROR(__xludf.DUMMYFUNCTION("""COMPUTED_VALUE"""),"Loyal")</f>
        <v>Loyal</v>
      </c>
      <c r="Y100" s="229" t="str">
        <f>IFERROR(__xludf.DUMMYFUNCTION("""COMPUTED_VALUE"""),"5th Feb - 8th Feb")</f>
        <v>5th Feb - 8th Feb</v>
      </c>
      <c r="Z100" s="229" t="str">
        <f>IFERROR(__xludf.DUMMYFUNCTION("""COMPUTED_VALUE"""),"6984829d8ad2831dddba5089")</f>
        <v>6984829d8ad2831dddba5089</v>
      </c>
      <c r="AA100" s="229">
        <f>IFERROR(__xludf.DUMMYFUNCTION("""COMPUTED_VALUE"""),55.0)</f>
        <v>55</v>
      </c>
      <c r="AB100" s="229">
        <f>IFERROR(__xludf.DUMMYFUNCTION("""COMPUTED_VALUE"""),55.0)</f>
        <v>55</v>
      </c>
      <c r="AC100" s="229"/>
      <c r="AD100" s="229">
        <f>IFERROR(__xludf.DUMMYFUNCTION("""COMPUTED_VALUE"""),97773.0)</f>
        <v>97773</v>
      </c>
      <c r="AE100" s="229">
        <f>IFERROR(__xludf.DUMMYFUNCTION("""COMPUTED_VALUE"""),97773.0)</f>
        <v>97773</v>
      </c>
      <c r="AF100" s="229"/>
      <c r="AG100" s="208"/>
      <c r="AH100" s="208"/>
      <c r="AI100" s="208"/>
      <c r="AJ100" s="208"/>
      <c r="AK100" s="208"/>
    </row>
    <row r="101" hidden="1">
      <c r="A101" s="215">
        <f>IFERROR(__xludf.DUMMYFUNCTION("""COMPUTED_VALUE"""),46058.0)</f>
        <v>46058</v>
      </c>
      <c r="B101" s="210">
        <f>IFERROR(__xludf.DUMMYFUNCTION("""COMPUTED_VALUE"""),0.84375)</f>
        <v>0.84375</v>
      </c>
      <c r="C101" s="211" t="str">
        <f>IFERROR(__xludf.DUMMYFUNCTION("""COMPUTED_VALUE"""),"Sms")</f>
        <v>Sms</v>
      </c>
      <c r="D101" s="211" t="str">
        <f>IFERROR(__xludf.DUMMYFUNCTION("""COMPUTED_VALUE"""),"Fallback Campaign")</f>
        <v>Fallback Campaign</v>
      </c>
      <c r="E101" s="211" t="str">
        <f>IFERROR(__xludf.DUMMYFUNCTION("""COMPUTED_VALUE"""),"BBW")</f>
        <v>BBW</v>
      </c>
      <c r="F101" s="211" t="str">
        <f>IFERROR(__xludf.DUMMYFUNCTION("""COMPUTED_VALUE"""),"Bodycare")</f>
        <v>Bodycare</v>
      </c>
      <c r="G101" s="212" t="str">
        <f>IFERROR(__xludf.DUMMYFUNCTION("""COMPUTED_VALUE"""),"bbw_eabc899_5.2_recWAfb")</f>
        <v>bbw_eabc899_5.2_recWAfb</v>
      </c>
      <c r="H101" s="212" t="str">
        <f>IFERROR(__xludf.DUMMYFUNCTION("""COMPUTED_VALUE"""),"Recent100Days_ON")</f>
        <v>Recent100Days_ON</v>
      </c>
      <c r="I101" s="212" t="str">
        <f>IFERROR(__xludf.DUMMYFUNCTION("""COMPUTED_VALUE"""),"WA Undelivered")</f>
        <v>WA Undelivered</v>
      </c>
      <c r="J101" s="213">
        <f>IFERROR(__xludf.DUMMYFUNCTION("""COMPUTED_VALUE"""),31379.0)</f>
        <v>31379</v>
      </c>
      <c r="K101" s="213">
        <f>IFERROR(__xludf.DUMMYFUNCTION("""COMPUTED_VALUE"""),17176.0)</f>
        <v>17176</v>
      </c>
      <c r="L101" s="214">
        <f>IFERROR(__xludf.DUMMYFUNCTION("""COMPUTED_VALUE"""),0.5474)</f>
        <v>0.5474</v>
      </c>
      <c r="M101" s="213"/>
      <c r="N101" s="214"/>
      <c r="O101" s="101">
        <f>IFERROR(__xludf.DUMMYFUNCTION("""COMPUTED_VALUE"""),58.0)</f>
        <v>58</v>
      </c>
      <c r="P101" s="101"/>
      <c r="Q101" s="214">
        <f>IFERROR(__xludf.DUMMYFUNCTION("""COMPUTED_VALUE"""),0.0034)</f>
        <v>0.0034</v>
      </c>
      <c r="R101" s="214"/>
      <c r="S101" s="101">
        <f>IFERROR(__xludf.DUMMYFUNCTION("""COMPUTED_VALUE"""),36.0)</f>
        <v>36</v>
      </c>
      <c r="T101" s="101">
        <f>IFERROR(__xludf.DUMMYFUNCTION("""COMPUTED_VALUE"""),101.0)</f>
        <v>101</v>
      </c>
      <c r="U101" s="270">
        <f>IFERROR(__xludf.DUMMYFUNCTION("""COMPUTED_VALUE"""),99221.0)</f>
        <v>99221</v>
      </c>
      <c r="V101" s="271" t="str">
        <f>IFERROR(__xludf.DUMMYFUNCTION("""COMPUTED_VALUE"""),"online")</f>
        <v>online</v>
      </c>
      <c r="W101" s="272" t="str">
        <f>IFERROR(__xludf.DUMMYFUNCTION("""COMPUTED_VALUE"""),"SMS")</f>
        <v>SMS</v>
      </c>
      <c r="X101" s="272" t="str">
        <f>IFERROR(__xludf.DUMMYFUNCTION("""COMPUTED_VALUE"""),"Recent")</f>
        <v>Recent</v>
      </c>
      <c r="Y101" s="272" t="str">
        <f>IFERROR(__xludf.DUMMYFUNCTION("""COMPUTED_VALUE"""),"5th Feb - 8th Feb")</f>
        <v>5th Feb - 8th Feb</v>
      </c>
      <c r="Z101" s="272" t="str">
        <f>IFERROR(__xludf.DUMMYFUNCTION("""COMPUTED_VALUE"""),"698482dda784c7ed07e1cfb4")</f>
        <v>698482dda784c7ed07e1cfb4</v>
      </c>
      <c r="AA101" s="272">
        <f>IFERROR(__xludf.DUMMYFUNCTION("""COMPUTED_VALUE"""),187.0)</f>
        <v>187</v>
      </c>
      <c r="AB101" s="272">
        <f>IFERROR(__xludf.DUMMYFUNCTION("""COMPUTED_VALUE"""),187.0)</f>
        <v>187</v>
      </c>
      <c r="AC101" s="272"/>
      <c r="AD101" s="272">
        <f>IFERROR(__xludf.DUMMYFUNCTION("""COMPUTED_VALUE"""),478440.0)</f>
        <v>478440</v>
      </c>
      <c r="AE101" s="272">
        <f>IFERROR(__xludf.DUMMYFUNCTION("""COMPUTED_VALUE"""),478440.0)</f>
        <v>478440</v>
      </c>
      <c r="AF101" s="272"/>
      <c r="AG101" s="208"/>
      <c r="AH101" s="208"/>
      <c r="AI101" s="208"/>
      <c r="AJ101" s="208"/>
      <c r="AK101" s="208"/>
    </row>
    <row r="102" hidden="1">
      <c r="A102" s="245">
        <f>IFERROR(__xludf.DUMMYFUNCTION("""COMPUTED_VALUE"""),46058.0)</f>
        <v>46058</v>
      </c>
      <c r="B102" s="246">
        <f>IFERROR(__xludf.DUMMYFUNCTION("""COMPUTED_VALUE"""),0.7916666666678793)</f>
        <v>0.7916666667</v>
      </c>
      <c r="C102" s="221" t="str">
        <f>IFERROR(__xludf.DUMMYFUNCTION("""COMPUTED_VALUE"""),"Rcs")</f>
        <v>Rcs</v>
      </c>
      <c r="D102" s="221" t="str">
        <f>IFERROR(__xludf.DUMMYFUNCTION("""COMPUTED_VALUE"""),"Promotional")</f>
        <v>Promotional</v>
      </c>
      <c r="E102" s="221" t="str">
        <f>IFERROR(__xludf.DUMMYFUNCTION("""COMPUTED_VALUE"""),"BBW")</f>
        <v>BBW</v>
      </c>
      <c r="F102" s="222" t="str">
        <f>IFERROR(__xludf.DUMMYFUNCTION("""COMPUTED_VALUE"""),"Bodycare")</f>
        <v>Bodycare</v>
      </c>
      <c r="G102" s="221" t="str">
        <f>IFERROR(__xludf.DUMMYFUNCTION("""COMPUTED_VALUE"""),"bbw_eabc899_5.2_genRCS")</f>
        <v>bbw_eabc899_5.2_genRCS</v>
      </c>
      <c r="H102" s="269" t="str">
        <f>IFERROR(__xludf.DUMMYFUNCTION("""COMPUTED_VALUE"""),"Generic2025_ON")</f>
        <v>Generic2025_ON</v>
      </c>
      <c r="I102" s="223" t="str">
        <f>IFERROR(__xludf.DUMMYFUNCTION("""COMPUTED_VALUE"""),"Online customers who have shopped Body Care, Candle, Travel Size, Soaps and Sanitisers in 2025 and online")</f>
        <v>Online customers who have shopped Body Care, Candle, Travel Size, Soaps and Sanitisers in 2025 and online</v>
      </c>
      <c r="J102" s="213">
        <f>IFERROR(__xludf.DUMMYFUNCTION("""COMPUTED_VALUE"""),54739.0)</f>
        <v>54739</v>
      </c>
      <c r="K102" s="213">
        <f>IFERROR(__xludf.DUMMYFUNCTION("""COMPUTED_VALUE"""),4286.0)</f>
        <v>4286</v>
      </c>
      <c r="L102" s="214">
        <f>IFERROR(__xludf.DUMMYFUNCTION("""COMPUTED_VALUE"""),0.078)</f>
        <v>0.078</v>
      </c>
      <c r="M102" s="213">
        <f>IFERROR(__xludf.DUMMYFUNCTION("""COMPUTED_VALUE"""),685.0)</f>
        <v>685</v>
      </c>
      <c r="N102" s="214">
        <f>IFERROR(__xludf.DUMMYFUNCTION("""COMPUTED_VALUE"""),0.16)</f>
        <v>0.16</v>
      </c>
      <c r="O102" s="213">
        <f>IFERROR(__xludf.DUMMYFUNCTION("""COMPUTED_VALUE"""),66.0)</f>
        <v>66</v>
      </c>
      <c r="P102" s="213"/>
      <c r="Q102" s="214">
        <f>IFERROR(__xludf.DUMMYFUNCTION("""COMPUTED_VALUE"""),0.015)</f>
        <v>0.015</v>
      </c>
      <c r="R102" s="214"/>
      <c r="S102" s="101">
        <f>IFERROR(__xludf.DUMMYFUNCTION("""COMPUTED_VALUE"""),10.0)</f>
        <v>10</v>
      </c>
      <c r="T102" s="101">
        <f>IFERROR(__xludf.DUMMYFUNCTION("""COMPUTED_VALUE"""),21.0)</f>
        <v>21</v>
      </c>
      <c r="U102" s="213">
        <f>IFERROR(__xludf.DUMMYFUNCTION("""COMPUTED_VALUE"""),22825.0)</f>
        <v>22825</v>
      </c>
      <c r="V102" s="271" t="str">
        <f>IFERROR(__xludf.DUMMYFUNCTION("""COMPUTED_VALUE"""),"online")</f>
        <v>online</v>
      </c>
      <c r="W102" s="98" t="str">
        <f>IFERROR(__xludf.DUMMYFUNCTION("""COMPUTED_VALUE"""),"RCS")</f>
        <v>RCS</v>
      </c>
      <c r="X102" s="98" t="str">
        <f>IFERROR(__xludf.DUMMYFUNCTION("""COMPUTED_VALUE"""),"Generic")</f>
        <v>Generic</v>
      </c>
      <c r="Y102" s="98" t="str">
        <f>IFERROR(__xludf.DUMMYFUNCTION("""COMPUTED_VALUE"""),"5th Feb - 8th Feb")</f>
        <v>5th Feb - 8th Feb</v>
      </c>
      <c r="Z102" s="98" t="str">
        <f>IFERROR(__xludf.DUMMYFUNCTION("""COMPUTED_VALUE"""),"69846dd59a81de895c66b5a4")</f>
        <v>69846dd59a81de895c66b5a4</v>
      </c>
      <c r="AA102" s="98">
        <f>IFERROR(__xludf.DUMMYFUNCTION("""COMPUTED_VALUE"""),49.0)</f>
        <v>49</v>
      </c>
      <c r="AB102" s="98">
        <f>IFERROR(__xludf.DUMMYFUNCTION("""COMPUTED_VALUE"""),49.0)</f>
        <v>49</v>
      </c>
      <c r="AC102" s="98"/>
      <c r="AD102" s="98">
        <f>IFERROR(__xludf.DUMMYFUNCTION("""COMPUTED_VALUE"""),134489.0)</f>
        <v>134489</v>
      </c>
      <c r="AE102" s="98">
        <f>IFERROR(__xludf.DUMMYFUNCTION("""COMPUTED_VALUE"""),134489.0)</f>
        <v>134489</v>
      </c>
      <c r="AF102" s="98"/>
      <c r="AG102" s="208"/>
      <c r="AH102" s="208"/>
      <c r="AI102" s="208"/>
      <c r="AJ102" s="208"/>
      <c r="AK102" s="208"/>
    </row>
    <row r="103" hidden="1">
      <c r="A103" s="215">
        <f>IFERROR(__xludf.DUMMYFUNCTION("""COMPUTED_VALUE"""),46058.0)</f>
        <v>46058</v>
      </c>
      <c r="B103" s="210">
        <f>IFERROR(__xludf.DUMMYFUNCTION("""COMPUTED_VALUE"""),0.7916666666678793)</f>
        <v>0.7916666667</v>
      </c>
      <c r="C103" s="211" t="str">
        <f>IFERROR(__xludf.DUMMYFUNCTION("""COMPUTED_VALUE"""),"Rcs")</f>
        <v>Rcs</v>
      </c>
      <c r="D103" s="211" t="str">
        <f>IFERROR(__xludf.DUMMYFUNCTION("""COMPUTED_VALUE"""),"Promotional")</f>
        <v>Promotional</v>
      </c>
      <c r="E103" s="211" t="str">
        <f>IFERROR(__xludf.DUMMYFUNCTION("""COMPUTED_VALUE"""),"BBW")</f>
        <v>BBW</v>
      </c>
      <c r="F103" s="211" t="str">
        <f>IFERROR(__xludf.DUMMYFUNCTION("""COMPUTED_VALUE"""),"Bodycare")</f>
        <v>Bodycare</v>
      </c>
      <c r="G103" s="211" t="str">
        <f>IFERROR(__xludf.DUMMYFUNCTION("""COMPUTED_VALUE"""),"bbw_eabc899_5.2_churRCS")</f>
        <v>bbw_eabc899_5.2_churRCS</v>
      </c>
      <c r="H103" s="212" t="str">
        <f>IFERROR(__xludf.DUMMYFUNCTION("""COMPUTED_VALUE"""),"Churned2024_ON")</f>
        <v>Churned2024_ON</v>
      </c>
      <c r="I103" s="223" t="str">
        <f>IFERROR(__xludf.DUMMYFUNCTION("""COMPUTED_VALUE"""),"Online customers who have shopped Body Care, Candle, Travel Size, Soaps and Sanitisers in 2024 but not after that")</f>
        <v>Online customers who have shopped Body Care, Candle, Travel Size, Soaps and Sanitisers in 2024 but not after that</v>
      </c>
      <c r="J103" s="213">
        <f>IFERROR(__xludf.DUMMYFUNCTION("""COMPUTED_VALUE"""),59012.0)</f>
        <v>59012</v>
      </c>
      <c r="K103" s="213">
        <f>IFERROR(__xludf.DUMMYFUNCTION("""COMPUTED_VALUE"""),12348.0)</f>
        <v>12348</v>
      </c>
      <c r="L103" s="214">
        <f>IFERROR(__xludf.DUMMYFUNCTION("""COMPUTED_VALUE"""),0.209)</f>
        <v>0.209</v>
      </c>
      <c r="M103" s="213">
        <f>IFERROR(__xludf.DUMMYFUNCTION("""COMPUTED_VALUE"""),1422.0)</f>
        <v>1422</v>
      </c>
      <c r="N103" s="214">
        <f>IFERROR(__xludf.DUMMYFUNCTION("""COMPUTED_VALUE"""),0.115)</f>
        <v>0.115</v>
      </c>
      <c r="O103" s="101">
        <f>IFERROR(__xludf.DUMMYFUNCTION("""COMPUTED_VALUE"""),52.0)</f>
        <v>52</v>
      </c>
      <c r="P103" s="101"/>
      <c r="Q103" s="214">
        <f>IFERROR(__xludf.DUMMYFUNCTION("""COMPUTED_VALUE"""),0.004)</f>
        <v>0.004</v>
      </c>
      <c r="R103" s="214"/>
      <c r="S103" s="101">
        <f>IFERROR(__xludf.DUMMYFUNCTION("""COMPUTED_VALUE"""),5.0)</f>
        <v>5</v>
      </c>
      <c r="T103" s="101">
        <f>IFERROR(__xludf.DUMMYFUNCTION("""COMPUTED_VALUE"""),13.0)</f>
        <v>13</v>
      </c>
      <c r="U103" s="213">
        <f>IFERROR(__xludf.DUMMYFUNCTION("""COMPUTED_VALUE"""),10423.0)</f>
        <v>10423</v>
      </c>
      <c r="V103" s="271" t="str">
        <f>IFERROR(__xludf.DUMMYFUNCTION("""COMPUTED_VALUE"""),"online")</f>
        <v>online</v>
      </c>
      <c r="W103" s="98" t="str">
        <f>IFERROR(__xludf.DUMMYFUNCTION("""COMPUTED_VALUE"""),"RCS")</f>
        <v>RCS</v>
      </c>
      <c r="X103" s="98" t="str">
        <f>IFERROR(__xludf.DUMMYFUNCTION("""COMPUTED_VALUE"""),"Churned")</f>
        <v>Churned</v>
      </c>
      <c r="Y103" s="98" t="str">
        <f>IFERROR(__xludf.DUMMYFUNCTION("""COMPUTED_VALUE"""),"5th Feb - 8th Feb")</f>
        <v>5th Feb - 8th Feb</v>
      </c>
      <c r="Z103" s="98" t="str">
        <f>IFERROR(__xludf.DUMMYFUNCTION("""COMPUTED_VALUE"""),"69846efe58b9b2d7a27b55a4")</f>
        <v>69846efe58b9b2d7a27b55a4</v>
      </c>
      <c r="AA103" s="98">
        <f>IFERROR(__xludf.DUMMYFUNCTION("""COMPUTED_VALUE"""),36.0)</f>
        <v>36</v>
      </c>
      <c r="AB103" s="98">
        <f>IFERROR(__xludf.DUMMYFUNCTION("""COMPUTED_VALUE"""),36.0)</f>
        <v>36</v>
      </c>
      <c r="AC103" s="98"/>
      <c r="AD103" s="98">
        <f>IFERROR(__xludf.DUMMYFUNCTION("""COMPUTED_VALUE"""),67879.0)</f>
        <v>67879</v>
      </c>
      <c r="AE103" s="98">
        <f>IFERROR(__xludf.DUMMYFUNCTION("""COMPUTED_VALUE"""),67879.0)</f>
        <v>67879</v>
      </c>
      <c r="AF103" s="98"/>
      <c r="AG103" s="208"/>
      <c r="AH103" s="208"/>
      <c r="AI103" s="208"/>
      <c r="AJ103" s="208"/>
      <c r="AK103" s="208"/>
    </row>
    <row r="104" hidden="1">
      <c r="A104" s="245">
        <f>IFERROR(__xludf.DUMMYFUNCTION("""COMPUTED_VALUE"""),46059.0)</f>
        <v>46059</v>
      </c>
      <c r="B104" s="246">
        <f>IFERROR(__xludf.DUMMYFUNCTION("""COMPUTED_VALUE"""),0.5604166666671517)</f>
        <v>0.5604166667</v>
      </c>
      <c r="C104" s="221" t="str">
        <f>IFERROR(__xludf.DUMMYFUNCTION("""COMPUTED_VALUE"""),"Whatsapp")</f>
        <v>Whatsapp</v>
      </c>
      <c r="D104" s="221" t="str">
        <f>IFERROR(__xludf.DUMMYFUNCTION("""COMPUTED_VALUE"""),"Promotional")</f>
        <v>Promotional</v>
      </c>
      <c r="E104" s="221" t="str">
        <f>IFERROR(__xludf.DUMMYFUNCTION("""COMPUTED_VALUE"""),"BBW")</f>
        <v>BBW</v>
      </c>
      <c r="F104" s="222" t="str">
        <f>IFERROR(__xludf.DUMMYFUNCTION("""COMPUTED_VALUE"""),"Bodycare")</f>
        <v>Bodycare</v>
      </c>
      <c r="G104" s="221" t="str">
        <f>IFERROR(__xludf.DUMMYFUNCTION("""COMPUTED_VALUE"""),"bbw_stbc899_6.2_discshopWAv4")</f>
        <v>bbw_stbc899_6.2_discshopWAv4</v>
      </c>
      <c r="H104" s="269" t="str">
        <f>IFERROR(__xludf.DUMMYFUNCTION("""COMPUTED_VALUE"""),"Loyal&amp;DiscountShoppers_OFF")</f>
        <v>Loyal&amp;DiscountShoppers_OFF</v>
      </c>
      <c r="I104" s="223" t="str">
        <f>IFERROR(__xludf.DUMMYFUNCTION("""COMPUTED_VALUE"""),"Offline customer who has purchased 2 times, Body Care in Order_Net_Value Less than 1000 OR Candles at 50% off or Travel Size, Soaps and Sanitisers whose Order_Net_Value is less than 1000")</f>
        <v>Offline customer who has purchased 2 times, Body Care in Order_Net_Value Less than 1000 OR Candles at 50% off or Travel Size, Soaps and Sanitisers whose Order_Net_Value is less than 1000</v>
      </c>
      <c r="J104" s="213">
        <f>IFERROR(__xludf.DUMMYFUNCTION("""COMPUTED_VALUE"""),6913.0)</f>
        <v>6913</v>
      </c>
      <c r="K104" s="213">
        <f>IFERROR(__xludf.DUMMYFUNCTION("""COMPUTED_VALUE"""),2260.0)</f>
        <v>2260</v>
      </c>
      <c r="L104" s="214">
        <f>IFERROR(__xludf.DUMMYFUNCTION("""COMPUTED_VALUE"""),0.3269)</f>
        <v>0.3269</v>
      </c>
      <c r="M104" s="213">
        <f>IFERROR(__xludf.DUMMYFUNCTION("""COMPUTED_VALUE"""),1004.0)</f>
        <v>1004</v>
      </c>
      <c r="N104" s="214">
        <f>IFERROR(__xludf.DUMMYFUNCTION("""COMPUTED_VALUE"""),0.4442)</f>
        <v>0.4442</v>
      </c>
      <c r="O104" s="213">
        <f>IFERROR(__xludf.DUMMYFUNCTION("""COMPUTED_VALUE"""),86.0)</f>
        <v>86</v>
      </c>
      <c r="P104" s="213">
        <f>IFERROR(__xludf.DUMMYFUNCTION("""COMPUTED_VALUE"""),76.0)</f>
        <v>76</v>
      </c>
      <c r="Q104" s="214">
        <f>IFERROR(__xludf.DUMMYFUNCTION("""COMPUTED_VALUE"""),0.0336)</f>
        <v>0.0336</v>
      </c>
      <c r="R104" s="214">
        <f>IFERROR(__xludf.DUMMYFUNCTION("""COMPUTED_VALUE"""),0.0757)</f>
        <v>0.0757</v>
      </c>
      <c r="S104" s="101">
        <f>IFERROR(__xludf.DUMMYFUNCTION("""COMPUTED_VALUE"""),2.0)</f>
        <v>2</v>
      </c>
      <c r="T104" s="101">
        <f>IFERROR(__xludf.DUMMYFUNCTION("""COMPUTED_VALUE"""),3.0)</f>
        <v>3</v>
      </c>
      <c r="U104" s="213">
        <f>IFERROR(__xludf.DUMMYFUNCTION("""COMPUTED_VALUE"""),3506.0)</f>
        <v>3506</v>
      </c>
      <c r="V104" s="271" t="str">
        <f>IFERROR(__xludf.DUMMYFUNCTION("""COMPUTED_VALUE"""),"offline")</f>
        <v>offline</v>
      </c>
      <c r="W104" s="98" t="str">
        <f>IFERROR(__xludf.DUMMYFUNCTION("""COMPUTED_VALUE"""),"carousel")</f>
        <v>carousel</v>
      </c>
      <c r="X104" s="98" t="str">
        <f>IFERROR(__xludf.DUMMYFUNCTION("""COMPUTED_VALUE"""),"Loyal")</f>
        <v>Loyal</v>
      </c>
      <c r="Y104" s="98" t="str">
        <f>IFERROR(__xludf.DUMMYFUNCTION("""COMPUTED_VALUE"""),"6th Feb - 8th Feb")</f>
        <v>6th Feb - 8th Feb</v>
      </c>
      <c r="Z104" s="98" t="str">
        <f>IFERROR(__xludf.DUMMYFUNCTION("""COMPUTED_VALUE"""),"69859ed25d79af71e05efbf9")</f>
        <v>69859ed25d79af71e05efbf9</v>
      </c>
      <c r="AA104" s="98">
        <f>IFERROR(__xludf.DUMMYFUNCTION("""COMPUTED_VALUE"""),26.0)</f>
        <v>26</v>
      </c>
      <c r="AB104" s="98"/>
      <c r="AC104" s="98">
        <f>IFERROR(__xludf.DUMMYFUNCTION("""COMPUTED_VALUE"""),26.0)</f>
        <v>26</v>
      </c>
      <c r="AD104" s="98">
        <f>IFERROR(__xludf.DUMMYFUNCTION("""COMPUTED_VALUE"""),96579.0)</f>
        <v>96579</v>
      </c>
      <c r="AE104" s="98"/>
      <c r="AF104" s="98">
        <f>IFERROR(__xludf.DUMMYFUNCTION("""COMPUTED_VALUE"""),96579.0)</f>
        <v>96579</v>
      </c>
      <c r="AG104" s="208"/>
      <c r="AH104" s="208"/>
      <c r="AI104" s="208"/>
      <c r="AJ104" s="208"/>
      <c r="AK104" s="208"/>
    </row>
    <row r="105" hidden="1">
      <c r="A105" s="245">
        <f>IFERROR(__xludf.DUMMYFUNCTION("""COMPUTED_VALUE"""),46059.0)</f>
        <v>46059</v>
      </c>
      <c r="B105" s="246">
        <f>IFERROR(__xludf.DUMMYFUNCTION("""COMPUTED_VALUE"""),0.5604166666671517)</f>
        <v>0.5604166667</v>
      </c>
      <c r="C105" s="221" t="str">
        <f>IFERROR(__xludf.DUMMYFUNCTION("""COMPUTED_VALUE"""),"Whatsapp")</f>
        <v>Whatsapp</v>
      </c>
      <c r="D105" s="221" t="str">
        <f>IFERROR(__xludf.DUMMYFUNCTION("""COMPUTED_VALUE"""),"Promotional")</f>
        <v>Promotional</v>
      </c>
      <c r="E105" s="221" t="str">
        <f>IFERROR(__xludf.DUMMYFUNCTION("""COMPUTED_VALUE"""),"BBW")</f>
        <v>BBW</v>
      </c>
      <c r="F105" s="222" t="str">
        <f>IFERROR(__xludf.DUMMYFUNCTION("""COMPUTED_VALUE"""),"Bodycare")</f>
        <v>Bodycare</v>
      </c>
      <c r="G105" s="221" t="str">
        <f>IFERROR(__xludf.DUMMYFUNCTION("""COMPUTED_VALUE"""),"bbw_stbc899_6.2_recWAv3")</f>
        <v>bbw_stbc899_6.2_recWAv3</v>
      </c>
      <c r="H105" s="269" t="str">
        <f>IFERROR(__xludf.DUMMYFUNCTION("""COMPUTED_VALUE"""),"Recent100Days_OFF OR AGIPL_Internal OR BBW_Internal")</f>
        <v>Recent100Days_OFF OR AGIPL_Internal OR BBW_Internal</v>
      </c>
      <c r="I105" s="223" t="str">
        <f>IFERROR(__xludf.DUMMYFUNCTION("""COMPUTED_VALUE"""),"Offline customers who have purchased Body Care, Candle, and Travel Size, Soaps and Sanitizers in last 100 days")</f>
        <v>Offline customers who have purchased Body Care, Candle, and Travel Size, Soaps and Sanitizers in last 100 days</v>
      </c>
      <c r="J105" s="213">
        <f>IFERROR(__xludf.DUMMYFUNCTION("""COMPUTED_VALUE"""),139870.0)</f>
        <v>139870</v>
      </c>
      <c r="K105" s="213">
        <f>IFERROR(__xludf.DUMMYFUNCTION("""COMPUTED_VALUE"""),57126.0)</f>
        <v>57126</v>
      </c>
      <c r="L105" s="214">
        <f>IFERROR(__xludf.DUMMYFUNCTION("""COMPUTED_VALUE"""),0.4084)</f>
        <v>0.4084</v>
      </c>
      <c r="M105" s="213">
        <f>IFERROR(__xludf.DUMMYFUNCTION("""COMPUTED_VALUE"""),23892.0)</f>
        <v>23892</v>
      </c>
      <c r="N105" s="214">
        <f>IFERROR(__xludf.DUMMYFUNCTION("""COMPUTED_VALUE"""),0.4182)</f>
        <v>0.4182</v>
      </c>
      <c r="O105" s="213">
        <f>IFERROR(__xludf.DUMMYFUNCTION("""COMPUTED_VALUE"""),2047.0)</f>
        <v>2047</v>
      </c>
      <c r="P105" s="213">
        <f>IFERROR(__xludf.DUMMYFUNCTION("""COMPUTED_VALUE"""),1871.0)</f>
        <v>1871</v>
      </c>
      <c r="Q105" s="214">
        <f>IFERROR(__xludf.DUMMYFUNCTION("""COMPUTED_VALUE"""),0.0328)</f>
        <v>0.0328</v>
      </c>
      <c r="R105" s="214">
        <f>IFERROR(__xludf.DUMMYFUNCTION("""COMPUTED_VALUE"""),0.0783)</f>
        <v>0.0783</v>
      </c>
      <c r="S105" s="101">
        <f>IFERROR(__xludf.DUMMYFUNCTION("""COMPUTED_VALUE"""),21.0)</f>
        <v>21</v>
      </c>
      <c r="T105" s="101">
        <f>IFERROR(__xludf.DUMMYFUNCTION("""COMPUTED_VALUE"""),53.0)</f>
        <v>53</v>
      </c>
      <c r="U105" s="213">
        <f>IFERROR(__xludf.DUMMYFUNCTION("""COMPUTED_VALUE"""),50957.0)</f>
        <v>50957</v>
      </c>
      <c r="V105" s="271" t="str">
        <f>IFERROR(__xludf.DUMMYFUNCTION("""COMPUTED_VALUE"""),"offline")</f>
        <v>offline</v>
      </c>
      <c r="W105" s="98" t="str">
        <f>IFERROR(__xludf.DUMMYFUNCTION("""COMPUTED_VALUE"""),"carousel")</f>
        <v>carousel</v>
      </c>
      <c r="X105" s="98" t="str">
        <f>IFERROR(__xludf.DUMMYFUNCTION("""COMPUTED_VALUE"""),"Recent")</f>
        <v>Recent</v>
      </c>
      <c r="Y105" s="98" t="str">
        <f>IFERROR(__xludf.DUMMYFUNCTION("""COMPUTED_VALUE"""),"6th Feb - 8th Feb")</f>
        <v>6th Feb - 8th Feb</v>
      </c>
      <c r="Z105" s="98" t="str">
        <f>IFERROR(__xludf.DUMMYFUNCTION("""COMPUTED_VALUE"""),"69859f05c5228ddc1576b16f")</f>
        <v>69859f05c5228ddc1576b16f</v>
      </c>
      <c r="AA105" s="98">
        <f>IFERROR(__xludf.DUMMYFUNCTION("""COMPUTED_VALUE"""),372.0)</f>
        <v>372</v>
      </c>
      <c r="AB105" s="98"/>
      <c r="AC105" s="98">
        <f>IFERROR(__xludf.DUMMYFUNCTION("""COMPUTED_VALUE"""),372.0)</f>
        <v>372</v>
      </c>
      <c r="AD105" s="98">
        <f>IFERROR(__xludf.DUMMYFUNCTION("""COMPUTED_VALUE"""),1415260.0)</f>
        <v>1415260</v>
      </c>
      <c r="AE105" s="98"/>
      <c r="AF105" s="98">
        <f>IFERROR(__xludf.DUMMYFUNCTION("""COMPUTED_VALUE"""),1415260.0)</f>
        <v>1415260</v>
      </c>
      <c r="AG105" s="208"/>
      <c r="AH105" s="208"/>
      <c r="AI105" s="208"/>
      <c r="AJ105" s="208"/>
      <c r="AK105" s="208"/>
    </row>
    <row r="106" hidden="1">
      <c r="A106" s="215">
        <f>IFERROR(__xludf.DUMMYFUNCTION("""COMPUTED_VALUE"""),46059.0)</f>
        <v>46059</v>
      </c>
      <c r="B106" s="210">
        <f>IFERROR(__xludf.DUMMYFUNCTION("""COMPUTED_VALUE"""),0.4583333333321207)</f>
        <v>0.4583333333</v>
      </c>
      <c r="C106" s="211" t="str">
        <f>IFERROR(__xludf.DUMMYFUNCTION("""COMPUTED_VALUE"""),"Sms")</f>
        <v>Sms</v>
      </c>
      <c r="D106" s="211" t="str">
        <f>IFERROR(__xludf.DUMMYFUNCTION("""COMPUTED_VALUE"""),"Fallback Campaign")</f>
        <v>Fallback Campaign</v>
      </c>
      <c r="E106" s="211" t="str">
        <f>IFERROR(__xludf.DUMMYFUNCTION("""COMPUTED_VALUE"""),"BBW")</f>
        <v>BBW</v>
      </c>
      <c r="F106" s="211" t="str">
        <f>IFERROR(__xludf.DUMMYFUNCTION("""COMPUTED_VALUE"""),"Bodycare")</f>
        <v>Bodycare</v>
      </c>
      <c r="G106" s="212" t="str">
        <f>IFERROR(__xludf.DUMMYFUNCTION("""COMPUTED_VALUE"""),"bbw_eabc899_5.2_genRCSb")</f>
        <v>bbw_eabc899_5.2_genRCSb</v>
      </c>
      <c r="H106" s="212" t="str">
        <f>IFERROR(__xludf.DUMMYFUNCTION("""COMPUTED_VALUE"""),"Generic2025_ON")</f>
        <v>Generic2025_ON</v>
      </c>
      <c r="I106" s="212" t="str">
        <f>IFERROR(__xludf.DUMMYFUNCTION("""COMPUTED_VALUE"""),"RCS Delivery Failed")</f>
        <v>RCS Delivery Failed</v>
      </c>
      <c r="J106" s="213">
        <f>IFERROR(__xludf.DUMMYFUNCTION("""COMPUTED_VALUE"""),50387.0)</f>
        <v>50387</v>
      </c>
      <c r="K106" s="213">
        <f>IFERROR(__xludf.DUMMYFUNCTION("""COMPUTED_VALUE"""),29153.0)</f>
        <v>29153</v>
      </c>
      <c r="L106" s="214">
        <f>IFERROR(__xludf.DUMMYFUNCTION("""COMPUTED_VALUE"""),0.5786)</f>
        <v>0.5786</v>
      </c>
      <c r="M106" s="213"/>
      <c r="N106" s="214"/>
      <c r="O106" s="101">
        <f>IFERROR(__xludf.DUMMYFUNCTION("""COMPUTED_VALUE"""),51.0)</f>
        <v>51</v>
      </c>
      <c r="P106" s="101"/>
      <c r="Q106" s="214">
        <f>IFERROR(__xludf.DUMMYFUNCTION("""COMPUTED_VALUE"""),0.0017)</f>
        <v>0.0017</v>
      </c>
      <c r="R106" s="214"/>
      <c r="S106" s="101">
        <f>IFERROR(__xludf.DUMMYFUNCTION("""COMPUTED_VALUE"""),25.0)</f>
        <v>25</v>
      </c>
      <c r="T106" s="101">
        <f>IFERROR(__xludf.DUMMYFUNCTION("""COMPUTED_VALUE"""),39.0)</f>
        <v>39</v>
      </c>
      <c r="U106" s="270">
        <f>IFERROR(__xludf.DUMMYFUNCTION("""COMPUTED_VALUE"""),53359.0)</f>
        <v>53359</v>
      </c>
      <c r="V106" s="271" t="str">
        <f>IFERROR(__xludf.DUMMYFUNCTION("""COMPUTED_VALUE"""),"online")</f>
        <v>online</v>
      </c>
      <c r="W106" s="272" t="str">
        <f>IFERROR(__xludf.DUMMYFUNCTION("""COMPUTED_VALUE"""),"SMS")</f>
        <v>SMS</v>
      </c>
      <c r="X106" s="272" t="str">
        <f>IFERROR(__xludf.DUMMYFUNCTION("""COMPUTED_VALUE"""),"Generic")</f>
        <v>Generic</v>
      </c>
      <c r="Y106" s="272" t="str">
        <f>IFERROR(__xludf.DUMMYFUNCTION("""COMPUTED_VALUE"""),"5th Feb - 8th Feb")</f>
        <v>5th Feb - 8th Feb</v>
      </c>
      <c r="Z106" s="272" t="str">
        <f>IFERROR(__xludf.DUMMYFUNCTION("""COMPUTED_VALUE"""),"69846e9915bc8630d60a3be0")</f>
        <v>69846e9915bc8630d60a3be0</v>
      </c>
      <c r="AA106" s="272">
        <f>IFERROR(__xludf.DUMMYFUNCTION("""COMPUTED_VALUE"""),162.0)</f>
        <v>162</v>
      </c>
      <c r="AB106" s="272">
        <f>IFERROR(__xludf.DUMMYFUNCTION("""COMPUTED_VALUE"""),162.0)</f>
        <v>162</v>
      </c>
      <c r="AC106" s="272"/>
      <c r="AD106" s="272">
        <f>IFERROR(__xludf.DUMMYFUNCTION("""COMPUTED_VALUE"""),374348.0)</f>
        <v>374348</v>
      </c>
      <c r="AE106" s="272">
        <f>IFERROR(__xludf.DUMMYFUNCTION("""COMPUTED_VALUE"""),374348.0)</f>
        <v>374348</v>
      </c>
      <c r="AF106" s="272"/>
      <c r="AG106" s="208"/>
      <c r="AH106" s="208"/>
      <c r="AI106" s="208"/>
      <c r="AJ106" s="208"/>
      <c r="AK106" s="208"/>
    </row>
    <row r="107" hidden="1">
      <c r="A107" s="216">
        <f>IFERROR(__xludf.DUMMYFUNCTION("""COMPUTED_VALUE"""),46059.0)</f>
        <v>46059</v>
      </c>
      <c r="B107" s="217">
        <f>IFERROR(__xludf.DUMMYFUNCTION("""COMPUTED_VALUE"""),0.4583333333321207)</f>
        <v>0.4583333333</v>
      </c>
      <c r="C107" s="211" t="str">
        <f>IFERROR(__xludf.DUMMYFUNCTION("""COMPUTED_VALUE"""),"Sms")</f>
        <v>Sms</v>
      </c>
      <c r="D107" s="211" t="str">
        <f>IFERROR(__xludf.DUMMYFUNCTION("""COMPUTED_VALUE"""),"Fallback Campaign")</f>
        <v>Fallback Campaign</v>
      </c>
      <c r="E107" s="211" t="str">
        <f>IFERROR(__xludf.DUMMYFUNCTION("""COMPUTED_VALUE"""),"BBW")</f>
        <v>BBW</v>
      </c>
      <c r="F107" s="211" t="str">
        <f>IFERROR(__xludf.DUMMYFUNCTION("""COMPUTED_VALUE"""),"Bodycare")</f>
        <v>Bodycare</v>
      </c>
      <c r="G107" s="212" t="str">
        <f>IFERROR(__xludf.DUMMYFUNCTION("""COMPUTED_VALUE"""),"bbw_eabc899_5.2_churRCSfb")</f>
        <v>bbw_eabc899_5.2_churRCSfb</v>
      </c>
      <c r="H107" s="212" t="str">
        <f>IFERROR(__xludf.DUMMYFUNCTION("""COMPUTED_VALUE"""),"Churned2024_ON")</f>
        <v>Churned2024_ON</v>
      </c>
      <c r="I107" s="212" t="str">
        <f>IFERROR(__xludf.DUMMYFUNCTION("""COMPUTED_VALUE"""),"RCS Delivery Failed")</f>
        <v>RCS Delivery Failed</v>
      </c>
      <c r="J107" s="213">
        <f>IFERROR(__xludf.DUMMYFUNCTION("""COMPUTED_VALUE"""),46317.0)</f>
        <v>46317</v>
      </c>
      <c r="K107" s="213">
        <f>IFERROR(__xludf.DUMMYFUNCTION("""COMPUTED_VALUE"""),27477.0)</f>
        <v>27477</v>
      </c>
      <c r="L107" s="214">
        <f>IFERROR(__xludf.DUMMYFUNCTION("""COMPUTED_VALUE"""),0.5932)</f>
        <v>0.5932</v>
      </c>
      <c r="M107" s="213"/>
      <c r="N107" s="214"/>
      <c r="O107" s="213">
        <f>IFERROR(__xludf.DUMMYFUNCTION("""COMPUTED_VALUE"""),34.0)</f>
        <v>34</v>
      </c>
      <c r="P107" s="213"/>
      <c r="Q107" s="214">
        <f>IFERROR(__xludf.DUMMYFUNCTION("""COMPUTED_VALUE"""),0.0012)</f>
        <v>0.0012</v>
      </c>
      <c r="R107" s="214"/>
      <c r="S107" s="101">
        <f>IFERROR(__xludf.DUMMYFUNCTION("""COMPUTED_VALUE"""),5.0)</f>
        <v>5</v>
      </c>
      <c r="T107" s="101">
        <f>IFERROR(__xludf.DUMMYFUNCTION("""COMPUTED_VALUE"""),19.0)</f>
        <v>19</v>
      </c>
      <c r="U107" s="213">
        <f>IFERROR(__xludf.DUMMYFUNCTION("""COMPUTED_VALUE"""),12157.0)</f>
        <v>12157</v>
      </c>
      <c r="V107" s="271" t="str">
        <f>IFERROR(__xludf.DUMMYFUNCTION("""COMPUTED_VALUE"""),"online")</f>
        <v>online</v>
      </c>
      <c r="W107" s="98" t="str">
        <f>IFERROR(__xludf.DUMMYFUNCTION("""COMPUTED_VALUE"""),"SMS")</f>
        <v>SMS</v>
      </c>
      <c r="X107" s="98" t="str">
        <f>IFERROR(__xludf.DUMMYFUNCTION("""COMPUTED_VALUE"""),"Churned")</f>
        <v>Churned</v>
      </c>
      <c r="Y107" s="98" t="str">
        <f>IFERROR(__xludf.DUMMYFUNCTION("""COMPUTED_VALUE"""),"5th Feb - 8th Feb")</f>
        <v>5th Feb - 8th Feb</v>
      </c>
      <c r="Z107" s="98" t="str">
        <f>IFERROR(__xludf.DUMMYFUNCTION("""COMPUTED_VALUE"""),"69846f1c6e26f74e83c802b9")</f>
        <v>69846f1c6e26f74e83c802b9</v>
      </c>
      <c r="AA107" s="98">
        <f>IFERROR(__xludf.DUMMYFUNCTION("""COMPUTED_VALUE"""),47.0)</f>
        <v>47</v>
      </c>
      <c r="AB107" s="98">
        <f>IFERROR(__xludf.DUMMYFUNCTION("""COMPUTED_VALUE"""),47.0)</f>
        <v>47</v>
      </c>
      <c r="AC107" s="98"/>
      <c r="AD107" s="98">
        <f>IFERROR(__xludf.DUMMYFUNCTION("""COMPUTED_VALUE"""),102085.0)</f>
        <v>102085</v>
      </c>
      <c r="AE107" s="98">
        <f>IFERROR(__xludf.DUMMYFUNCTION("""COMPUTED_VALUE"""),102085.0)</f>
        <v>102085</v>
      </c>
      <c r="AF107" s="98"/>
      <c r="AG107" s="208"/>
      <c r="AH107" s="208"/>
      <c r="AI107" s="208"/>
      <c r="AJ107" s="208"/>
      <c r="AK107" s="208"/>
    </row>
    <row r="108" hidden="1">
      <c r="A108" s="245">
        <f>IFERROR(__xludf.DUMMYFUNCTION("""COMPUTED_VALUE"""),46059.0)</f>
        <v>46059</v>
      </c>
      <c r="B108" s="246">
        <f>IFERROR(__xludf.DUMMYFUNCTION("""COMPUTED_VALUE"""),0.5)</f>
        <v>0.5</v>
      </c>
      <c r="C108" s="221" t="str">
        <f>IFERROR(__xludf.DUMMYFUNCTION("""COMPUTED_VALUE"""),"Sms")</f>
        <v>Sms</v>
      </c>
      <c r="D108" s="221" t="str">
        <f>IFERROR(__xludf.DUMMYFUNCTION("""COMPUTED_VALUE"""),"Fallback Campaign")</f>
        <v>Fallback Campaign</v>
      </c>
      <c r="E108" s="221" t="str">
        <f>IFERROR(__xludf.DUMMYFUNCTION("""COMPUTED_VALUE"""),"BBW")</f>
        <v>BBW</v>
      </c>
      <c r="F108" s="222" t="str">
        <f>IFERROR(__xludf.DUMMYFUNCTION("""COMPUTED_VALUE"""),"Bodycare")</f>
        <v>Bodycare</v>
      </c>
      <c r="G108" s="221" t="str">
        <f>IFERROR(__xludf.DUMMYFUNCTION("""COMPUTED_VALUE"""),"bbw_stbc899_6.2_genRCSfb")</f>
        <v>bbw_stbc899_6.2_genRCSfb</v>
      </c>
      <c r="H108" s="269" t="str">
        <f>IFERROR(__xludf.DUMMYFUNCTION("""COMPUTED_VALUE"""),"Generic2025_OFF")</f>
        <v>Generic2025_OFF</v>
      </c>
      <c r="I108" s="223" t="str">
        <f>IFERROR(__xludf.DUMMYFUNCTION("""COMPUTED_VALUE"""),"RCS Delivery Failed")</f>
        <v>RCS Delivery Failed</v>
      </c>
      <c r="J108" s="213">
        <f>IFERROR(__xludf.DUMMYFUNCTION("""COMPUTED_VALUE"""),206333.0)</f>
        <v>206333</v>
      </c>
      <c r="K108" s="213">
        <f>IFERROR(__xludf.DUMMYFUNCTION("""COMPUTED_VALUE"""),123127.0)</f>
        <v>123127</v>
      </c>
      <c r="L108" s="214">
        <f>IFERROR(__xludf.DUMMYFUNCTION("""COMPUTED_VALUE"""),0.5967)</f>
        <v>0.5967</v>
      </c>
      <c r="M108" s="213"/>
      <c r="N108" s="214"/>
      <c r="O108" s="213">
        <f>IFERROR(__xludf.DUMMYFUNCTION("""COMPUTED_VALUE"""),81.0)</f>
        <v>81</v>
      </c>
      <c r="P108" s="213"/>
      <c r="Q108" s="214">
        <f>IFERROR(__xludf.DUMMYFUNCTION("""COMPUTED_VALUE"""),7.0E-4)</f>
        <v>0.0007</v>
      </c>
      <c r="R108" s="214"/>
      <c r="S108" s="101">
        <f>IFERROR(__xludf.DUMMYFUNCTION("""COMPUTED_VALUE"""),16.0)</f>
        <v>16</v>
      </c>
      <c r="T108" s="101">
        <f>IFERROR(__xludf.DUMMYFUNCTION("""COMPUTED_VALUE"""),36.0)</f>
        <v>36</v>
      </c>
      <c r="U108" s="213">
        <f>IFERROR(__xludf.DUMMYFUNCTION("""COMPUTED_VALUE"""),38847.0)</f>
        <v>38847</v>
      </c>
      <c r="V108" s="271" t="str">
        <f>IFERROR(__xludf.DUMMYFUNCTION("""COMPUTED_VALUE"""),"offline")</f>
        <v>offline</v>
      </c>
      <c r="W108" s="98" t="str">
        <f>IFERROR(__xludf.DUMMYFUNCTION("""COMPUTED_VALUE"""),"SMS")</f>
        <v>SMS</v>
      </c>
      <c r="X108" s="98" t="str">
        <f>IFERROR(__xludf.DUMMYFUNCTION("""COMPUTED_VALUE"""),"Generic")</f>
        <v>Generic</v>
      </c>
      <c r="Y108" s="98" t="str">
        <f>IFERROR(__xludf.DUMMYFUNCTION("""COMPUTED_VALUE"""),"6th Feb - 8th Feb")</f>
        <v>6th Feb - 8th Feb</v>
      </c>
      <c r="Z108" s="98" t="str">
        <f>IFERROR(__xludf.DUMMYFUNCTION("""COMPUTED_VALUE"""),"69848ecf5d21df1335287bec")</f>
        <v>69848ecf5d21df1335287bec</v>
      </c>
      <c r="AA108" s="98">
        <f>IFERROR(__xludf.DUMMYFUNCTION("""COMPUTED_VALUE"""),466.0)</f>
        <v>466</v>
      </c>
      <c r="AB108" s="98"/>
      <c r="AC108" s="98">
        <f>IFERROR(__xludf.DUMMYFUNCTION("""COMPUTED_VALUE"""),466.0)</f>
        <v>466</v>
      </c>
      <c r="AD108" s="98">
        <f>IFERROR(__xludf.DUMMYFUNCTION("""COMPUTED_VALUE"""),1662699.0)</f>
        <v>1662699</v>
      </c>
      <c r="AE108" s="98"/>
      <c r="AF108" s="98">
        <f>IFERROR(__xludf.DUMMYFUNCTION("""COMPUTED_VALUE"""),1662699.0)</f>
        <v>1662699</v>
      </c>
      <c r="AG108" s="208"/>
      <c r="AH108" s="208"/>
      <c r="AI108" s="208"/>
      <c r="AJ108" s="208"/>
      <c r="AK108" s="208"/>
    </row>
    <row r="109" hidden="1">
      <c r="A109" s="245">
        <f>IFERROR(__xludf.DUMMYFUNCTION("""COMPUTED_VALUE"""),46059.0)</f>
        <v>46059</v>
      </c>
      <c r="B109" s="246">
        <f>IFERROR(__xludf.DUMMYFUNCTION("""COMPUTED_VALUE"""),0.5)</f>
        <v>0.5</v>
      </c>
      <c r="C109" s="221" t="str">
        <f>IFERROR(__xludf.DUMMYFUNCTION("""COMPUTED_VALUE"""),"Sms")</f>
        <v>Sms</v>
      </c>
      <c r="D109" s="221" t="str">
        <f>IFERROR(__xludf.DUMMYFUNCTION("""COMPUTED_VALUE"""),"Fallback Campaign")</f>
        <v>Fallback Campaign</v>
      </c>
      <c r="E109" s="221" t="str">
        <f>IFERROR(__xludf.DUMMYFUNCTION("""COMPUTED_VALUE"""),"BBW")</f>
        <v>BBW</v>
      </c>
      <c r="F109" s="222" t="str">
        <f>IFERROR(__xludf.DUMMYFUNCTION("""COMPUTED_VALUE"""),"Bodycare")</f>
        <v>Bodycare</v>
      </c>
      <c r="G109" s="221" t="str">
        <f>IFERROR(__xludf.DUMMYFUNCTION("""COMPUTED_VALUE"""),"bbw_stbc899_6.2_churRCSfb")</f>
        <v>bbw_stbc899_6.2_churRCSfb</v>
      </c>
      <c r="H109" s="269" t="str">
        <f>IFERROR(__xludf.DUMMYFUNCTION("""COMPUTED_VALUE"""),"Churned2024_OFF")</f>
        <v>Churned2024_OFF</v>
      </c>
      <c r="I109" s="223" t="str">
        <f>IFERROR(__xludf.DUMMYFUNCTION("""COMPUTED_VALUE"""),"RCS Delivery Failed")</f>
        <v>RCS Delivery Failed</v>
      </c>
      <c r="J109" s="213">
        <f>IFERROR(__xludf.DUMMYFUNCTION("""COMPUTED_VALUE"""),102980.0)</f>
        <v>102980</v>
      </c>
      <c r="K109" s="213">
        <f>IFERROR(__xludf.DUMMYFUNCTION("""COMPUTED_VALUE"""),59833.0)</f>
        <v>59833</v>
      </c>
      <c r="L109" s="214">
        <f>IFERROR(__xludf.DUMMYFUNCTION("""COMPUTED_VALUE"""),0.581)</f>
        <v>0.581</v>
      </c>
      <c r="M109" s="213"/>
      <c r="N109" s="214"/>
      <c r="O109" s="213">
        <f>IFERROR(__xludf.DUMMYFUNCTION("""COMPUTED_VALUE"""),48.0)</f>
        <v>48</v>
      </c>
      <c r="P109" s="213"/>
      <c r="Q109" s="214">
        <f>IFERROR(__xludf.DUMMYFUNCTION("""COMPUTED_VALUE"""),8.0E-4)</f>
        <v>0.0008</v>
      </c>
      <c r="R109" s="214"/>
      <c r="S109" s="101">
        <f>IFERROR(__xludf.DUMMYFUNCTION("""COMPUTED_VALUE"""),2.0)</f>
        <v>2</v>
      </c>
      <c r="T109" s="101">
        <f>IFERROR(__xludf.DUMMYFUNCTION("""COMPUTED_VALUE"""),14.0)</f>
        <v>14</v>
      </c>
      <c r="U109" s="213">
        <f>IFERROR(__xludf.DUMMYFUNCTION("""COMPUTED_VALUE"""),2517.0)</f>
        <v>2517</v>
      </c>
      <c r="V109" s="271" t="str">
        <f>IFERROR(__xludf.DUMMYFUNCTION("""COMPUTED_VALUE"""),"offline")</f>
        <v>offline</v>
      </c>
      <c r="W109" s="98" t="str">
        <f>IFERROR(__xludf.DUMMYFUNCTION("""COMPUTED_VALUE"""),"SMS")</f>
        <v>SMS</v>
      </c>
      <c r="X109" s="98" t="str">
        <f>IFERROR(__xludf.DUMMYFUNCTION("""COMPUTED_VALUE"""),"Churned")</f>
        <v>Churned</v>
      </c>
      <c r="Y109" s="98" t="str">
        <f>IFERROR(__xludf.DUMMYFUNCTION("""COMPUTED_VALUE"""),"6th Feb - 8th Feb")</f>
        <v>6th Feb - 8th Feb</v>
      </c>
      <c r="Z109" s="98" t="str">
        <f>IFERROR(__xludf.DUMMYFUNCTION("""COMPUTED_VALUE"""),"69848f1731ca65627a5b24bc")</f>
        <v>69848f1731ca65627a5b24bc</v>
      </c>
      <c r="AA109" s="98">
        <f>IFERROR(__xludf.DUMMYFUNCTION("""COMPUTED_VALUE"""),158.0)</f>
        <v>158</v>
      </c>
      <c r="AB109" s="98"/>
      <c r="AC109" s="98">
        <f>IFERROR(__xludf.DUMMYFUNCTION("""COMPUTED_VALUE"""),158.0)</f>
        <v>158</v>
      </c>
      <c r="AD109" s="98">
        <f>IFERROR(__xludf.DUMMYFUNCTION("""COMPUTED_VALUE"""),500103.0)</f>
        <v>500103</v>
      </c>
      <c r="AE109" s="98"/>
      <c r="AF109" s="98">
        <f>IFERROR(__xludf.DUMMYFUNCTION("""COMPUTED_VALUE"""),500103.0)</f>
        <v>500103</v>
      </c>
      <c r="AG109" s="208"/>
      <c r="AH109" s="208"/>
      <c r="AI109" s="208"/>
      <c r="AJ109" s="208"/>
      <c r="AK109" s="208"/>
    </row>
    <row r="110" hidden="1">
      <c r="A110" s="245">
        <f>IFERROR(__xludf.DUMMYFUNCTION("""COMPUTED_VALUE"""),46059.0)</f>
        <v>46059</v>
      </c>
      <c r="B110" s="246">
        <f>IFERROR(__xludf.DUMMYFUNCTION("""COMPUTED_VALUE"""),0.6041666666678793)</f>
        <v>0.6041666667</v>
      </c>
      <c r="C110" s="221" t="str">
        <f>IFERROR(__xludf.DUMMYFUNCTION("""COMPUTED_VALUE"""),"Sms")</f>
        <v>Sms</v>
      </c>
      <c r="D110" s="221" t="str">
        <f>IFERROR(__xludf.DUMMYFUNCTION("""COMPUTED_VALUE"""),"Fallback Campaign")</f>
        <v>Fallback Campaign</v>
      </c>
      <c r="E110" s="221" t="str">
        <f>IFERROR(__xludf.DUMMYFUNCTION("""COMPUTED_VALUE"""),"BBW")</f>
        <v>BBW</v>
      </c>
      <c r="F110" s="222" t="str">
        <f>IFERROR(__xludf.DUMMYFUNCTION("""COMPUTED_VALUE"""),"Bodycare")</f>
        <v>Bodycare</v>
      </c>
      <c r="G110" s="221" t="str">
        <f>IFERROR(__xludf.DUMMYFUNCTION("""COMPUTED_VALUE"""),"bbw_stbc899_6.2_recWAv2fb")</f>
        <v>bbw_stbc899_6.2_recWAv2fb</v>
      </c>
      <c r="H110" s="269" t="str">
        <f>IFERROR(__xludf.DUMMYFUNCTION("""COMPUTED_VALUE"""),"Recent100Days_OFF
+ AGIPL_Internal
+ BBW_Internal")</f>
        <v>Recent100Days_OFF
+ AGIPL_Internal
+ BBW_Internal</v>
      </c>
      <c r="I110" s="223" t="str">
        <f>IFERROR(__xludf.DUMMYFUNCTION("""COMPUTED_VALUE"""),"WA Undelivered")</f>
        <v>WA Undelivered</v>
      </c>
      <c r="J110" s="213">
        <f>IFERROR(__xludf.DUMMYFUNCTION("""COMPUTED_VALUE"""),80993.0)</f>
        <v>80993</v>
      </c>
      <c r="K110" s="213">
        <f>IFERROR(__xludf.DUMMYFUNCTION("""COMPUTED_VALUE"""),46422.0)</f>
        <v>46422</v>
      </c>
      <c r="L110" s="214">
        <f>IFERROR(__xludf.DUMMYFUNCTION("""COMPUTED_VALUE"""),0.5732)</f>
        <v>0.5732</v>
      </c>
      <c r="M110" s="213"/>
      <c r="N110" s="214"/>
      <c r="O110" s="213">
        <f>IFERROR(__xludf.DUMMYFUNCTION("""COMPUTED_VALUE"""),75.0)</f>
        <v>75</v>
      </c>
      <c r="P110" s="213"/>
      <c r="Q110" s="214">
        <f>IFERROR(__xludf.DUMMYFUNCTION("""COMPUTED_VALUE"""),0.0016)</f>
        <v>0.0016</v>
      </c>
      <c r="R110" s="214"/>
      <c r="S110" s="101">
        <f>IFERROR(__xludf.DUMMYFUNCTION("""COMPUTED_VALUE"""),9.0)</f>
        <v>9</v>
      </c>
      <c r="T110" s="101">
        <f>IFERROR(__xludf.DUMMYFUNCTION("""COMPUTED_VALUE"""),29.0)</f>
        <v>29</v>
      </c>
      <c r="U110" s="213">
        <f>IFERROR(__xludf.DUMMYFUNCTION("""COMPUTED_VALUE"""),17368.0)</f>
        <v>17368</v>
      </c>
      <c r="V110" s="271" t="str">
        <f>IFERROR(__xludf.DUMMYFUNCTION("""COMPUTED_VALUE"""),"offline")</f>
        <v>offline</v>
      </c>
      <c r="W110" s="98" t="str">
        <f>IFERROR(__xludf.DUMMYFUNCTION("""COMPUTED_VALUE"""),"SMS")</f>
        <v>SMS</v>
      </c>
      <c r="X110" s="98" t="str">
        <f>IFERROR(__xludf.DUMMYFUNCTION("""COMPUTED_VALUE"""),"Recent")</f>
        <v>Recent</v>
      </c>
      <c r="Y110" s="98" t="str">
        <f>IFERROR(__xludf.DUMMYFUNCTION("""COMPUTED_VALUE"""),"6th Feb - 8th Feb")</f>
        <v>6th Feb - 8th Feb</v>
      </c>
      <c r="Z110" s="98" t="str">
        <f>IFERROR(__xludf.DUMMYFUNCTION("""COMPUTED_VALUE"""),"698597b7076303671d084617")</f>
        <v>698597b7076303671d084617</v>
      </c>
      <c r="AA110" s="98">
        <f>IFERROR(__xludf.DUMMYFUNCTION("""COMPUTED_VALUE"""),280.0)</f>
        <v>280</v>
      </c>
      <c r="AB110" s="98"/>
      <c r="AC110" s="98">
        <f>IFERROR(__xludf.DUMMYFUNCTION("""COMPUTED_VALUE"""),280.0)</f>
        <v>280</v>
      </c>
      <c r="AD110" s="98">
        <f>IFERROR(__xludf.DUMMYFUNCTION("""COMPUTED_VALUE"""),1145779.0)</f>
        <v>1145779</v>
      </c>
      <c r="AE110" s="98"/>
      <c r="AF110" s="98">
        <f>IFERROR(__xludf.DUMMYFUNCTION("""COMPUTED_VALUE"""),1145779.0)</f>
        <v>1145779</v>
      </c>
      <c r="AG110" s="208"/>
      <c r="AH110" s="208"/>
      <c r="AI110" s="208"/>
      <c r="AJ110" s="208"/>
      <c r="AK110" s="208"/>
    </row>
    <row r="111" hidden="1">
      <c r="A111" s="245">
        <f>IFERROR(__xludf.DUMMYFUNCTION("""COMPUTED_VALUE"""),46059.0)</f>
        <v>46059</v>
      </c>
      <c r="B111" s="246">
        <f>IFERROR(__xludf.DUMMYFUNCTION("""COMPUTED_VALUE"""),0.6041666666678793)</f>
        <v>0.6041666667</v>
      </c>
      <c r="C111" s="221" t="str">
        <f>IFERROR(__xludf.DUMMYFUNCTION("""COMPUTED_VALUE"""),"Sms")</f>
        <v>Sms</v>
      </c>
      <c r="D111" s="221" t="str">
        <f>IFERROR(__xludf.DUMMYFUNCTION("""COMPUTED_VALUE"""),"Fallback Campaign")</f>
        <v>Fallback Campaign</v>
      </c>
      <c r="E111" s="221" t="str">
        <f>IFERROR(__xludf.DUMMYFUNCTION("""COMPUTED_VALUE"""),"BBW")</f>
        <v>BBW</v>
      </c>
      <c r="F111" s="222" t="str">
        <f>IFERROR(__xludf.DUMMYFUNCTION("""COMPUTED_VALUE"""),"Bodycare")</f>
        <v>Bodycare</v>
      </c>
      <c r="G111" s="221" t="str">
        <f>IFERROR(__xludf.DUMMYFUNCTION("""COMPUTED_VALUE"""),"bbw_stbc899_6.2_discshopWAv2fb")</f>
        <v>bbw_stbc899_6.2_discshopWAv2fb</v>
      </c>
      <c r="H111" s="269" t="str">
        <f>IFERROR(__xludf.DUMMYFUNCTION("""COMPUTED_VALUE"""),"Loyal&amp;DiscountShoppers_OFF")</f>
        <v>Loyal&amp;DiscountShoppers_OFF</v>
      </c>
      <c r="I111" s="223" t="str">
        <f>IFERROR(__xludf.DUMMYFUNCTION("""COMPUTED_VALUE"""),"WA Undelivered")</f>
        <v>WA Undelivered</v>
      </c>
      <c r="J111" s="213">
        <f>IFERROR(__xludf.DUMMYFUNCTION("""COMPUTED_VALUE"""),4519.0)</f>
        <v>4519</v>
      </c>
      <c r="K111" s="213">
        <f>IFERROR(__xludf.DUMMYFUNCTION("""COMPUTED_VALUE"""),2684.0)</f>
        <v>2684</v>
      </c>
      <c r="L111" s="214">
        <f>IFERROR(__xludf.DUMMYFUNCTION("""COMPUTED_VALUE"""),0.5939)</f>
        <v>0.5939</v>
      </c>
      <c r="M111" s="213"/>
      <c r="N111" s="214"/>
      <c r="O111" s="213">
        <f>IFERROR(__xludf.DUMMYFUNCTION("""COMPUTED_VALUE"""),3.0)</f>
        <v>3</v>
      </c>
      <c r="P111" s="213"/>
      <c r="Q111" s="214">
        <f>IFERROR(__xludf.DUMMYFUNCTION("""COMPUTED_VALUE"""),0.0011)</f>
        <v>0.0011</v>
      </c>
      <c r="R111" s="214"/>
      <c r="S111" s="101">
        <f>IFERROR(__xludf.DUMMYFUNCTION("""COMPUTED_VALUE"""),0.0)</f>
        <v>0</v>
      </c>
      <c r="T111" s="101">
        <f>IFERROR(__xludf.DUMMYFUNCTION("""COMPUTED_VALUE"""),0.0)</f>
        <v>0</v>
      </c>
      <c r="U111" s="213">
        <f>IFERROR(__xludf.DUMMYFUNCTION("""COMPUTED_VALUE"""),0.0)</f>
        <v>0</v>
      </c>
      <c r="V111" s="271" t="str">
        <f>IFERROR(__xludf.DUMMYFUNCTION("""COMPUTED_VALUE"""),"offline")</f>
        <v>offline</v>
      </c>
      <c r="W111" s="98" t="str">
        <f>IFERROR(__xludf.DUMMYFUNCTION("""COMPUTED_VALUE"""),"SMS")</f>
        <v>SMS</v>
      </c>
      <c r="X111" s="98" t="str">
        <f>IFERROR(__xludf.DUMMYFUNCTION("""COMPUTED_VALUE"""),"Loyal")</f>
        <v>Loyal</v>
      </c>
      <c r="Y111" s="98" t="str">
        <f>IFERROR(__xludf.DUMMYFUNCTION("""COMPUTED_VALUE"""),"6th Feb - 8th Feb")</f>
        <v>6th Feb - 8th Feb</v>
      </c>
      <c r="Z111" s="98" t="str">
        <f>IFERROR(__xludf.DUMMYFUNCTION("""COMPUTED_VALUE"""),"698598d1a425e13d8c8a61ba")</f>
        <v>698598d1a425e13d8c8a61ba</v>
      </c>
      <c r="AA111" s="98">
        <f>IFERROR(__xludf.DUMMYFUNCTION("""COMPUTED_VALUE"""),40.0)</f>
        <v>40</v>
      </c>
      <c r="AB111" s="98"/>
      <c r="AC111" s="98">
        <f>IFERROR(__xludf.DUMMYFUNCTION("""COMPUTED_VALUE"""),40.0)</f>
        <v>40</v>
      </c>
      <c r="AD111" s="98">
        <f>IFERROR(__xludf.DUMMYFUNCTION("""COMPUTED_VALUE"""),80343.0)</f>
        <v>80343</v>
      </c>
      <c r="AE111" s="98"/>
      <c r="AF111" s="98">
        <f>IFERROR(__xludf.DUMMYFUNCTION("""COMPUTED_VALUE"""),80343.0)</f>
        <v>80343</v>
      </c>
      <c r="AG111" s="208"/>
      <c r="AH111" s="208"/>
      <c r="AI111" s="208"/>
      <c r="AJ111" s="208"/>
      <c r="AK111" s="208"/>
    </row>
    <row r="112" hidden="1">
      <c r="A112" s="245">
        <f>IFERROR(__xludf.DUMMYFUNCTION("""COMPUTED_VALUE"""),46059.0)</f>
        <v>46059</v>
      </c>
      <c r="B112" s="246">
        <f>IFERROR(__xludf.DUMMYFUNCTION("""COMPUTED_VALUE"""),0.4166666666678793)</f>
        <v>0.4166666667</v>
      </c>
      <c r="C112" s="221" t="str">
        <f>IFERROR(__xludf.DUMMYFUNCTION("""COMPUTED_VALUE"""),"Rcs")</f>
        <v>Rcs</v>
      </c>
      <c r="D112" s="221" t="str">
        <f>IFERROR(__xludf.DUMMYFUNCTION("""COMPUTED_VALUE"""),"Promotional")</f>
        <v>Promotional</v>
      </c>
      <c r="E112" s="221" t="str">
        <f>IFERROR(__xludf.DUMMYFUNCTION("""COMPUTED_VALUE"""),"BBW")</f>
        <v>BBW</v>
      </c>
      <c r="F112" s="222" t="str">
        <f>IFERROR(__xludf.DUMMYFUNCTION("""COMPUTED_VALUE"""),"Bodycare")</f>
        <v>Bodycare</v>
      </c>
      <c r="G112" s="221" t="str">
        <f>IFERROR(__xludf.DUMMYFUNCTION("""COMPUTED_VALUE"""),"bbw_stbc899_6.2_genRCS")</f>
        <v>bbw_stbc899_6.2_genRCS</v>
      </c>
      <c r="H112" s="269" t="str">
        <f>IFERROR(__xludf.DUMMYFUNCTION("""COMPUTED_VALUE"""),"Generic2025_OFF")</f>
        <v>Generic2025_OFF</v>
      </c>
      <c r="I112" s="223" t="str">
        <f>IFERROR(__xludf.DUMMYFUNCTION("""COMPUTED_VALUE"""),"Offline customers who have shopped Body Care, Candle, Travel Size, Soaps and Sanitisers in 2025")</f>
        <v>Offline customers who have shopped Body Care, Candle, Travel Size, Soaps and Sanitisers in 2025</v>
      </c>
      <c r="J112" s="213">
        <f>IFERROR(__xludf.DUMMYFUNCTION("""COMPUTED_VALUE"""),237153.0)</f>
        <v>237153</v>
      </c>
      <c r="K112" s="213">
        <f>IFERROR(__xludf.DUMMYFUNCTION("""COMPUTED_VALUE"""),20439.0)</f>
        <v>20439</v>
      </c>
      <c r="L112" s="214">
        <f>IFERROR(__xludf.DUMMYFUNCTION("""COMPUTED_VALUE"""),0.086)</f>
        <v>0.086</v>
      </c>
      <c r="M112" s="213">
        <f>IFERROR(__xludf.DUMMYFUNCTION("""COMPUTED_VALUE"""),2602.0)</f>
        <v>2602</v>
      </c>
      <c r="N112" s="214">
        <f>IFERROR(__xludf.DUMMYFUNCTION("""COMPUTED_VALUE"""),0.127)</f>
        <v>0.127</v>
      </c>
      <c r="O112" s="213">
        <f>IFERROR(__xludf.DUMMYFUNCTION("""COMPUTED_VALUE"""),126.0)</f>
        <v>126</v>
      </c>
      <c r="P112" s="213"/>
      <c r="Q112" s="214">
        <f>IFERROR(__xludf.DUMMYFUNCTION("""COMPUTED_VALUE"""),0.006)</f>
        <v>0.006</v>
      </c>
      <c r="R112" s="214"/>
      <c r="S112" s="101">
        <f>IFERROR(__xludf.DUMMYFUNCTION("""COMPUTED_VALUE"""),4.0)</f>
        <v>4</v>
      </c>
      <c r="T112" s="101">
        <f>IFERROR(__xludf.DUMMYFUNCTION("""COMPUTED_VALUE"""),8.0)</f>
        <v>8</v>
      </c>
      <c r="U112" s="213">
        <f>IFERROR(__xludf.DUMMYFUNCTION("""COMPUTED_VALUE"""),23356.0)</f>
        <v>23356</v>
      </c>
      <c r="V112" s="271" t="str">
        <f>IFERROR(__xludf.DUMMYFUNCTION("""COMPUTED_VALUE"""),"offline")</f>
        <v>offline</v>
      </c>
      <c r="W112" s="98" t="str">
        <f>IFERROR(__xludf.DUMMYFUNCTION("""COMPUTED_VALUE"""),"RCS")</f>
        <v>RCS</v>
      </c>
      <c r="X112" s="98" t="str">
        <f>IFERROR(__xludf.DUMMYFUNCTION("""COMPUTED_VALUE"""),"Generic")</f>
        <v>Generic</v>
      </c>
      <c r="Y112" s="98" t="str">
        <f>IFERROR(__xludf.DUMMYFUNCTION("""COMPUTED_VALUE"""),"6th Feb - 8th Feb")</f>
        <v>6th Feb - 8th Feb</v>
      </c>
      <c r="Z112" s="98" t="str">
        <f>IFERROR(__xludf.DUMMYFUNCTION("""COMPUTED_VALUE"""),"69848eab8eb0018069d4e5e7")</f>
        <v>69848eab8eb0018069d4e5e7</v>
      </c>
      <c r="AA112" s="98">
        <f>IFERROR(__xludf.DUMMYFUNCTION("""COMPUTED_VALUE"""),126.0)</f>
        <v>126</v>
      </c>
      <c r="AB112" s="98"/>
      <c r="AC112" s="98">
        <f>IFERROR(__xludf.DUMMYFUNCTION("""COMPUTED_VALUE"""),126.0)</f>
        <v>126</v>
      </c>
      <c r="AD112" s="98">
        <f>IFERROR(__xludf.DUMMYFUNCTION("""COMPUTED_VALUE"""),476572.0)</f>
        <v>476572</v>
      </c>
      <c r="AE112" s="98"/>
      <c r="AF112" s="98">
        <f>IFERROR(__xludf.DUMMYFUNCTION("""COMPUTED_VALUE"""),476572.0)</f>
        <v>476572</v>
      </c>
      <c r="AG112" s="208"/>
      <c r="AH112" s="208"/>
      <c r="AI112" s="208"/>
      <c r="AJ112" s="208"/>
      <c r="AK112" s="208"/>
    </row>
    <row r="113" hidden="1">
      <c r="A113" s="245">
        <f>IFERROR(__xludf.DUMMYFUNCTION("""COMPUTED_VALUE"""),46059.0)</f>
        <v>46059</v>
      </c>
      <c r="B113" s="246">
        <f>IFERROR(__xludf.DUMMYFUNCTION("""COMPUTED_VALUE"""),0.4166666666678793)</f>
        <v>0.4166666667</v>
      </c>
      <c r="C113" s="221" t="str">
        <f>IFERROR(__xludf.DUMMYFUNCTION("""COMPUTED_VALUE"""),"Rcs")</f>
        <v>Rcs</v>
      </c>
      <c r="D113" s="221" t="str">
        <f>IFERROR(__xludf.DUMMYFUNCTION("""COMPUTED_VALUE"""),"Promotional")</f>
        <v>Promotional</v>
      </c>
      <c r="E113" s="221" t="str">
        <f>IFERROR(__xludf.DUMMYFUNCTION("""COMPUTED_VALUE"""),"BBW")</f>
        <v>BBW</v>
      </c>
      <c r="F113" s="222" t="str">
        <f>IFERROR(__xludf.DUMMYFUNCTION("""COMPUTED_VALUE"""),"Bodycare")</f>
        <v>Bodycare</v>
      </c>
      <c r="G113" s="221" t="str">
        <f>IFERROR(__xludf.DUMMYFUNCTION("""COMPUTED_VALUE"""),"bbw_stbc899_6.2_churRCS")</f>
        <v>bbw_stbc899_6.2_churRCS</v>
      </c>
      <c r="H113" s="269" t="str">
        <f>IFERROR(__xludf.DUMMYFUNCTION("""COMPUTED_VALUE"""),"Churned2024_OFF")</f>
        <v>Churned2024_OFF</v>
      </c>
      <c r="I113" s="223" t="str">
        <f>IFERROR(__xludf.DUMMYFUNCTION("""COMPUTED_VALUE"""),"Offline customers who have shopped Body Care, Candle, Travel Size, Soaps and Sanitisers in 2024 but not after that")</f>
        <v>Offline customers who have shopped Body Care, Candle, Travel Size, Soaps and Sanitisers in 2024 but not after that</v>
      </c>
      <c r="J113" s="213">
        <f>IFERROR(__xludf.DUMMYFUNCTION("""COMPUTED_VALUE"""),143095.0)</f>
        <v>143095</v>
      </c>
      <c r="K113" s="213">
        <f>IFERROR(__xludf.DUMMYFUNCTION("""COMPUTED_VALUE"""),33524.0)</f>
        <v>33524</v>
      </c>
      <c r="L113" s="214">
        <f>IFERROR(__xludf.DUMMYFUNCTION("""COMPUTED_VALUE"""),0.234)</f>
        <v>0.234</v>
      </c>
      <c r="M113" s="213">
        <f>IFERROR(__xludf.DUMMYFUNCTION("""COMPUTED_VALUE"""),3557.0)</f>
        <v>3557</v>
      </c>
      <c r="N113" s="214">
        <f>IFERROR(__xludf.DUMMYFUNCTION("""COMPUTED_VALUE"""),0.106)</f>
        <v>0.106</v>
      </c>
      <c r="O113" s="213">
        <f>IFERROR(__xludf.DUMMYFUNCTION("""COMPUTED_VALUE"""),92.0)</f>
        <v>92</v>
      </c>
      <c r="P113" s="213"/>
      <c r="Q113" s="214">
        <f>IFERROR(__xludf.DUMMYFUNCTION("""COMPUTED_VALUE"""),0.003)</f>
        <v>0.003</v>
      </c>
      <c r="R113" s="214"/>
      <c r="S113" s="101">
        <f>IFERROR(__xludf.DUMMYFUNCTION("""COMPUTED_VALUE"""),5.0)</f>
        <v>5</v>
      </c>
      <c r="T113" s="101">
        <f>IFERROR(__xludf.DUMMYFUNCTION("""COMPUTED_VALUE"""),9.0)</f>
        <v>9</v>
      </c>
      <c r="U113" s="213">
        <f>IFERROR(__xludf.DUMMYFUNCTION("""COMPUTED_VALUE"""),17962.0)</f>
        <v>17962</v>
      </c>
      <c r="V113" s="271" t="str">
        <f>IFERROR(__xludf.DUMMYFUNCTION("""COMPUTED_VALUE"""),"offline")</f>
        <v>offline</v>
      </c>
      <c r="W113" s="98" t="str">
        <f>IFERROR(__xludf.DUMMYFUNCTION("""COMPUTED_VALUE"""),"RCS")</f>
        <v>RCS</v>
      </c>
      <c r="X113" s="98" t="str">
        <f>IFERROR(__xludf.DUMMYFUNCTION("""COMPUTED_VALUE"""),"Churned")</f>
        <v>Churned</v>
      </c>
      <c r="Y113" s="98" t="str">
        <f>IFERROR(__xludf.DUMMYFUNCTION("""COMPUTED_VALUE"""),"6th Feb - 8th Feb")</f>
        <v>6th Feb - 8th Feb</v>
      </c>
      <c r="Z113" s="98" t="str">
        <f>IFERROR(__xludf.DUMMYFUNCTION("""COMPUTED_VALUE"""),"69848ef78eb0018069d4e62d")</f>
        <v>69848ef78eb0018069d4e62d</v>
      </c>
      <c r="AA113" s="98">
        <f>IFERROR(__xludf.DUMMYFUNCTION("""COMPUTED_VALUE"""),64.0)</f>
        <v>64</v>
      </c>
      <c r="AB113" s="98"/>
      <c r="AC113" s="98">
        <f>IFERROR(__xludf.DUMMYFUNCTION("""COMPUTED_VALUE"""),64.0)</f>
        <v>64</v>
      </c>
      <c r="AD113" s="98">
        <f>IFERROR(__xludf.DUMMYFUNCTION("""COMPUTED_VALUE"""),179161.0)</f>
        <v>179161</v>
      </c>
      <c r="AE113" s="98"/>
      <c r="AF113" s="98">
        <f>IFERROR(__xludf.DUMMYFUNCTION("""COMPUTED_VALUE"""),179161.0)</f>
        <v>179161</v>
      </c>
      <c r="AG113" s="208"/>
      <c r="AH113" s="208"/>
      <c r="AI113" s="208"/>
      <c r="AJ113" s="208"/>
      <c r="AK113" s="208"/>
    </row>
    <row r="114" hidden="1">
      <c r="A114" s="245">
        <f>IFERROR(__xludf.DUMMYFUNCTION("""COMPUTED_VALUE"""),46061.0)</f>
        <v>46061</v>
      </c>
      <c r="B114" s="246">
        <f>IFERROR(__xludf.DUMMYFUNCTION("""COMPUTED_VALUE"""),0.4166666666678793)</f>
        <v>0.4166666667</v>
      </c>
      <c r="C114" s="221" t="str">
        <f>IFERROR(__xludf.DUMMYFUNCTION("""COMPUTED_VALUE"""),"Sms")</f>
        <v>Sms</v>
      </c>
      <c r="D114" s="221" t="str">
        <f>IFERROR(__xludf.DUMMYFUNCTION("""COMPUTED_VALUE"""),"Promotional")</f>
        <v>Promotional</v>
      </c>
      <c r="E114" s="221" t="str">
        <f>IFERROR(__xludf.DUMMYFUNCTION("""COMPUTED_VALUE"""),"BBW")</f>
        <v>BBW</v>
      </c>
      <c r="F114" s="222" t="str">
        <f>IFERROR(__xludf.DUMMYFUNCTION("""COMPUTED_VALUE"""),"Bodycare")</f>
        <v>Bodycare</v>
      </c>
      <c r="G114" s="221" t="str">
        <f>IFERROR(__xludf.DUMMYFUNCTION("""COMPUTED_VALUE"""),"bbw_ldbc899_6.2_discshop")</f>
        <v>bbw_ldbc899_6.2_discshop</v>
      </c>
      <c r="H114" s="269" t="str">
        <f>IFERROR(__xludf.DUMMYFUNCTION("""COMPUTED_VALUE"""),"Loyal&amp;DiscountShoppers_OFF OR Loyal&amp;DiscountShoppers_ON")</f>
        <v>Loyal&amp;DiscountShoppers_OFF OR Loyal&amp;DiscountShoppers_ON</v>
      </c>
      <c r="I114" s="223" t="str">
        <f>IFERROR(__xludf.DUMMYFUNCTION("""COMPUTED_VALUE"""),"Offline customer who has purchased 2 times, Body Care in Order_Net_Value Less than 1000 OR Candles at 50% off or Travel Size, Soaps and Sanitisers whose Order_Net_Value is less than 1000.   Online customers who have purchased Body Care, Candle, and Travel"&amp;" Size, Soaps and Sanitisers in last 100 days")</f>
        <v>Offline customer who has purchased 2 times, Body Care in Order_Net_Value Less than 1000 OR Candles at 50% off or Travel Size, Soaps and Sanitisers whose Order_Net_Value is less than 1000.   Online customers who have purchased Body Care, Candle, and Travel Size, Soaps and Sanitisers in last 100 days</v>
      </c>
      <c r="J114" s="213">
        <f>IFERROR(__xludf.DUMMYFUNCTION("""COMPUTED_VALUE"""),14668.0)</f>
        <v>14668</v>
      </c>
      <c r="K114" s="213">
        <f>IFERROR(__xludf.DUMMYFUNCTION("""COMPUTED_VALUE"""),9006.0)</f>
        <v>9006</v>
      </c>
      <c r="L114" s="214">
        <f>IFERROR(__xludf.DUMMYFUNCTION("""COMPUTED_VALUE"""),0.614)</f>
        <v>0.614</v>
      </c>
      <c r="M114" s="213"/>
      <c r="N114" s="214"/>
      <c r="O114" s="213">
        <f>IFERROR(__xludf.DUMMYFUNCTION("""COMPUTED_VALUE"""),17.0)</f>
        <v>17</v>
      </c>
      <c r="P114" s="213"/>
      <c r="Q114" s="214">
        <f>IFERROR(__xludf.DUMMYFUNCTION("""COMPUTED_VALUE"""),0.0019)</f>
        <v>0.0019</v>
      </c>
      <c r="R114" s="214"/>
      <c r="S114" s="101">
        <f>IFERROR(__xludf.DUMMYFUNCTION("""COMPUTED_VALUE"""),0.0)</f>
        <v>0</v>
      </c>
      <c r="T114" s="101">
        <f>IFERROR(__xludf.DUMMYFUNCTION("""COMPUTED_VALUE"""),2.0)</f>
        <v>2</v>
      </c>
      <c r="U114" s="213">
        <f>IFERROR(__xludf.DUMMYFUNCTION("""COMPUTED_VALUE"""),0.0)</f>
        <v>0</v>
      </c>
      <c r="V114" s="271" t="str">
        <f>IFERROR(__xludf.DUMMYFUNCTION("""COMPUTED_VALUE"""),"overall")</f>
        <v>overall</v>
      </c>
      <c r="W114" s="98" t="str">
        <f>IFERROR(__xludf.DUMMYFUNCTION("""COMPUTED_VALUE"""),"SMS")</f>
        <v>SMS</v>
      </c>
      <c r="X114" s="98" t="str">
        <f>IFERROR(__xludf.DUMMYFUNCTION("""COMPUTED_VALUE"""),"Loyal")</f>
        <v>Loyal</v>
      </c>
      <c r="Y114" s="98" t="str">
        <f>IFERROR(__xludf.DUMMYFUNCTION("""COMPUTED_VALUE"""),"8th Feb (1 Day)")</f>
        <v>8th Feb (1 Day)</v>
      </c>
      <c r="Z114" s="98" t="str">
        <f>IFERROR(__xludf.DUMMYFUNCTION("""COMPUTED_VALUE"""),"6985d1f3735a36d0a94ca98d")</f>
        <v>6985d1f3735a36d0a94ca98d</v>
      </c>
      <c r="AA114" s="98">
        <f>IFERROR(__xludf.DUMMYFUNCTION("""COMPUTED_VALUE"""),0.0)</f>
        <v>0</v>
      </c>
      <c r="AB114" s="98">
        <f>IFERROR(__xludf.DUMMYFUNCTION("""COMPUTED_VALUE"""),0.0)</f>
        <v>0</v>
      </c>
      <c r="AC114" s="98">
        <f>IFERROR(__xludf.DUMMYFUNCTION("""COMPUTED_VALUE"""),0.0)</f>
        <v>0</v>
      </c>
      <c r="AD114" s="98">
        <f>IFERROR(__xludf.DUMMYFUNCTION("""COMPUTED_VALUE"""),0.0)</f>
        <v>0</v>
      </c>
      <c r="AE114" s="98">
        <f>IFERROR(__xludf.DUMMYFUNCTION("""COMPUTED_VALUE"""),0.0)</f>
        <v>0</v>
      </c>
      <c r="AF114" s="98">
        <f>IFERROR(__xludf.DUMMYFUNCTION("""COMPUTED_VALUE"""),0.0)</f>
        <v>0</v>
      </c>
      <c r="AG114" s="208"/>
      <c r="AH114" s="208"/>
      <c r="AI114" s="208"/>
      <c r="AJ114" s="208"/>
      <c r="AK114" s="208"/>
    </row>
    <row r="115" hidden="1">
      <c r="A115" s="245">
        <f>IFERROR(__xludf.DUMMYFUNCTION("""COMPUTED_VALUE"""),46061.0)</f>
        <v>46061</v>
      </c>
      <c r="B115" s="246">
        <f>IFERROR(__xludf.DUMMYFUNCTION("""COMPUTED_VALUE"""),0.4166666666678793)</f>
        <v>0.4166666667</v>
      </c>
      <c r="C115" s="221" t="str">
        <f>IFERROR(__xludf.DUMMYFUNCTION("""COMPUTED_VALUE"""),"Sms")</f>
        <v>Sms</v>
      </c>
      <c r="D115" s="221" t="str">
        <f>IFERROR(__xludf.DUMMYFUNCTION("""COMPUTED_VALUE"""),"Promotional")</f>
        <v>Promotional</v>
      </c>
      <c r="E115" s="221" t="str">
        <f>IFERROR(__xludf.DUMMYFUNCTION("""COMPUTED_VALUE"""),"BBW")</f>
        <v>BBW</v>
      </c>
      <c r="F115" s="222" t="str">
        <f>IFERROR(__xludf.DUMMYFUNCTION("""COMPUTED_VALUE"""),"Bodycare")</f>
        <v>Bodycare</v>
      </c>
      <c r="G115" s="221" t="str">
        <f>IFERROR(__xludf.DUMMYFUNCTION("""COMPUTED_VALUE"""),"bbw_ldbc899_8.2_rec")</f>
        <v>bbw_ldbc899_8.2_rec</v>
      </c>
      <c r="H115" s="269" t="str">
        <f>IFERROR(__xludf.DUMMYFUNCTION("""COMPUTED_VALUE"""),"Recent100Days_OFF OR Recent100Days_ON OR AGIPL_Internal OR BBW_Internal")</f>
        <v>Recent100Days_OFF OR Recent100Days_ON OR AGIPL_Internal OR BBW_Internal</v>
      </c>
      <c r="I115" s="223" t="str">
        <f>IFERROR(__xludf.DUMMYFUNCTION("""COMPUTED_VALUE"""),"Online customers who have purchased Body Care, Candle, and Travel Size, Soaps and Sanitisers in last 100 days.  Offline customers who have purchased Body Care, Candle, and Travel Size, Soaps and Sanitizers in last 100 days")</f>
        <v>Online customers who have purchased Body Care, Candle, and Travel Size, Soaps and Sanitisers in last 100 days.  Offline customers who have purchased Body Care, Candle, and Travel Size, Soaps and Sanitizers in last 100 days</v>
      </c>
      <c r="J115" s="213">
        <f>IFERROR(__xludf.DUMMYFUNCTION("""COMPUTED_VALUE"""),177040.0)</f>
        <v>177040</v>
      </c>
      <c r="K115" s="213">
        <f>IFERROR(__xludf.DUMMYFUNCTION("""COMPUTED_VALUE"""),103095.0)</f>
        <v>103095</v>
      </c>
      <c r="L115" s="214">
        <f>IFERROR(__xludf.DUMMYFUNCTION("""COMPUTED_VALUE"""),0.5823)</f>
        <v>0.5823</v>
      </c>
      <c r="M115" s="213"/>
      <c r="N115" s="214"/>
      <c r="O115" s="213">
        <f>IFERROR(__xludf.DUMMYFUNCTION("""COMPUTED_VALUE"""),119.0)</f>
        <v>119</v>
      </c>
      <c r="P115" s="213"/>
      <c r="Q115" s="214">
        <f>IFERROR(__xludf.DUMMYFUNCTION("""COMPUTED_VALUE"""),0.0012)</f>
        <v>0.0012</v>
      </c>
      <c r="R115" s="214"/>
      <c r="S115" s="101">
        <f>IFERROR(__xludf.DUMMYFUNCTION("""COMPUTED_VALUE"""),11.0)</f>
        <v>11</v>
      </c>
      <c r="T115" s="101">
        <f>IFERROR(__xludf.DUMMYFUNCTION("""COMPUTED_VALUE"""),43.0)</f>
        <v>43</v>
      </c>
      <c r="U115" s="213">
        <f>IFERROR(__xludf.DUMMYFUNCTION("""COMPUTED_VALUE"""),23539.0)</f>
        <v>23539</v>
      </c>
      <c r="V115" s="271" t="str">
        <f>IFERROR(__xludf.DUMMYFUNCTION("""COMPUTED_VALUE"""),"overall")</f>
        <v>overall</v>
      </c>
      <c r="W115" s="98" t="str">
        <f>IFERROR(__xludf.DUMMYFUNCTION("""COMPUTED_VALUE"""),"SMS")</f>
        <v>SMS</v>
      </c>
      <c r="X115" s="98" t="str">
        <f>IFERROR(__xludf.DUMMYFUNCTION("""COMPUTED_VALUE"""),"Recent")</f>
        <v>Recent</v>
      </c>
      <c r="Y115" s="98" t="str">
        <f>IFERROR(__xludf.DUMMYFUNCTION("""COMPUTED_VALUE"""),"8th Feb (1 Day)")</f>
        <v>8th Feb (1 Day)</v>
      </c>
      <c r="Z115" s="98" t="str">
        <f>IFERROR(__xludf.DUMMYFUNCTION("""COMPUTED_VALUE"""),"6985d20c735a36d0a94ca9a4")</f>
        <v>6985d20c735a36d0a94ca9a4</v>
      </c>
      <c r="AA115" s="98">
        <f>IFERROR(__xludf.DUMMYFUNCTION("""COMPUTED_VALUE"""),3.0)</f>
        <v>3</v>
      </c>
      <c r="AB115" s="98">
        <f>IFERROR(__xludf.DUMMYFUNCTION("""COMPUTED_VALUE"""),0.0)</f>
        <v>0</v>
      </c>
      <c r="AC115" s="98">
        <f>IFERROR(__xludf.DUMMYFUNCTION("""COMPUTED_VALUE"""),3.0)</f>
        <v>3</v>
      </c>
      <c r="AD115" s="98">
        <f>IFERROR(__xludf.DUMMYFUNCTION("""COMPUTED_VALUE"""),9490.0)</f>
        <v>9490</v>
      </c>
      <c r="AE115" s="98">
        <f>IFERROR(__xludf.DUMMYFUNCTION("""COMPUTED_VALUE"""),0.0)</f>
        <v>0</v>
      </c>
      <c r="AF115" s="98">
        <f>IFERROR(__xludf.DUMMYFUNCTION("""COMPUTED_VALUE"""),9490.0)</f>
        <v>9490</v>
      </c>
      <c r="AG115" s="208"/>
      <c r="AH115" s="208"/>
      <c r="AI115" s="208"/>
      <c r="AJ115" s="208"/>
      <c r="AK115" s="208"/>
    </row>
    <row r="116" hidden="1">
      <c r="A116" s="245">
        <f>IFERROR(__xludf.DUMMYFUNCTION("""COMPUTED_VALUE"""),46061.0)</f>
        <v>46061</v>
      </c>
      <c r="B116" s="246">
        <f>IFERROR(__xludf.DUMMYFUNCTION("""COMPUTED_VALUE"""),0.4166666666678793)</f>
        <v>0.4166666667</v>
      </c>
      <c r="C116" s="221" t="str">
        <f>IFERROR(__xludf.DUMMYFUNCTION("""COMPUTED_VALUE"""),"Sms")</f>
        <v>Sms</v>
      </c>
      <c r="D116" s="221" t="str">
        <f>IFERROR(__xludf.DUMMYFUNCTION("""COMPUTED_VALUE"""),"Promotional")</f>
        <v>Promotional</v>
      </c>
      <c r="E116" s="221" t="str">
        <f>IFERROR(__xludf.DUMMYFUNCTION("""COMPUTED_VALUE"""),"BBW")</f>
        <v>BBW</v>
      </c>
      <c r="F116" s="222" t="str">
        <f>IFERROR(__xludf.DUMMYFUNCTION("""COMPUTED_VALUE"""),"Bodycare")</f>
        <v>Bodycare</v>
      </c>
      <c r="G116" s="221" t="str">
        <f>IFERROR(__xludf.DUMMYFUNCTION("""COMPUTED_VALUE"""),"bbw_ldbc899_8.2_gen")</f>
        <v>bbw_ldbc899_8.2_gen</v>
      </c>
      <c r="H116" s="269" t="str">
        <f>IFERROR(__xludf.DUMMYFUNCTION("""COMPUTED_VALUE"""),"Generic2025_OFF OR Generic2025_ON")</f>
        <v>Generic2025_OFF OR Generic2025_ON</v>
      </c>
      <c r="I116" s="223" t="str">
        <f>IFERROR(__xludf.DUMMYFUNCTION("""COMPUTED_VALUE"""),"Online customers who have shopped Body Care, Candle, Travel Size, Soaps and Sanitisers in 2025 and online. Offline customers who have shopped Body Care, Candle, Travel Size, Soaps and Sanitisers in 2025")</f>
        <v>Online customers who have shopped Body Care, Candle, Travel Size, Soaps and Sanitisers in 2025 and online. Offline customers who have shopped Body Care, Candle, Travel Size, Soaps and Sanitisers in 2025</v>
      </c>
      <c r="J116" s="213">
        <f>IFERROR(__xludf.DUMMYFUNCTION("""COMPUTED_VALUE"""),286171.0)</f>
        <v>286171</v>
      </c>
      <c r="K116" s="213">
        <f>IFERROR(__xludf.DUMMYFUNCTION("""COMPUTED_VALUE"""),168717.0)</f>
        <v>168717</v>
      </c>
      <c r="L116" s="214">
        <f>IFERROR(__xludf.DUMMYFUNCTION("""COMPUTED_VALUE"""),0.5896)</f>
        <v>0.5896</v>
      </c>
      <c r="M116" s="213"/>
      <c r="N116" s="214"/>
      <c r="O116" s="213">
        <f>IFERROR(__xludf.DUMMYFUNCTION("""COMPUTED_VALUE"""),186.0)</f>
        <v>186</v>
      </c>
      <c r="P116" s="213"/>
      <c r="Q116" s="214">
        <f>IFERROR(__xludf.DUMMYFUNCTION("""COMPUTED_VALUE"""),0.0011)</f>
        <v>0.0011</v>
      </c>
      <c r="R116" s="214"/>
      <c r="S116" s="101">
        <f>IFERROR(__xludf.DUMMYFUNCTION("""COMPUTED_VALUE"""),12.0)</f>
        <v>12</v>
      </c>
      <c r="T116" s="101">
        <f>IFERROR(__xludf.DUMMYFUNCTION("""COMPUTED_VALUE"""),25.0)</f>
        <v>25</v>
      </c>
      <c r="U116" s="213">
        <f>IFERROR(__xludf.DUMMYFUNCTION("""COMPUTED_VALUE"""),23122.0)</f>
        <v>23122</v>
      </c>
      <c r="V116" s="271" t="str">
        <f>IFERROR(__xludf.DUMMYFUNCTION("""COMPUTED_VALUE"""),"overall")</f>
        <v>overall</v>
      </c>
      <c r="W116" s="98" t="str">
        <f>IFERROR(__xludf.DUMMYFUNCTION("""COMPUTED_VALUE"""),"SMS")</f>
        <v>SMS</v>
      </c>
      <c r="X116" s="98" t="str">
        <f>IFERROR(__xludf.DUMMYFUNCTION("""COMPUTED_VALUE"""),"Generic")</f>
        <v>Generic</v>
      </c>
      <c r="Y116" s="98" t="str">
        <f>IFERROR(__xludf.DUMMYFUNCTION("""COMPUTED_VALUE"""),"8th Feb (1 Day)")</f>
        <v>8th Feb (1 Day)</v>
      </c>
      <c r="Z116" s="98" t="str">
        <f>IFERROR(__xludf.DUMMYFUNCTION("""COMPUTED_VALUE"""),"6985d226dc2ea6aab7ba94dc")</f>
        <v>6985d226dc2ea6aab7ba94dc</v>
      </c>
      <c r="AA116" s="98">
        <f>IFERROR(__xludf.DUMMYFUNCTION("""COMPUTED_VALUE"""),20.0)</f>
        <v>20</v>
      </c>
      <c r="AB116" s="98">
        <f>IFERROR(__xludf.DUMMYFUNCTION("""COMPUTED_VALUE"""),8.0)</f>
        <v>8</v>
      </c>
      <c r="AC116" s="98">
        <f>IFERROR(__xludf.DUMMYFUNCTION("""COMPUTED_VALUE"""),12.0)</f>
        <v>12</v>
      </c>
      <c r="AD116" s="98">
        <f>IFERROR(__xludf.DUMMYFUNCTION("""COMPUTED_VALUE"""),58914.0)</f>
        <v>58914</v>
      </c>
      <c r="AE116" s="98">
        <f>IFERROR(__xludf.DUMMYFUNCTION("""COMPUTED_VALUE"""),20365.0)</f>
        <v>20365</v>
      </c>
      <c r="AF116" s="98">
        <f>IFERROR(__xludf.DUMMYFUNCTION("""COMPUTED_VALUE"""),38549.0)</f>
        <v>38549</v>
      </c>
      <c r="AG116" s="208"/>
      <c r="AH116" s="208"/>
      <c r="AI116" s="208"/>
      <c r="AJ116" s="208"/>
      <c r="AK116" s="208"/>
    </row>
    <row r="117" hidden="1">
      <c r="A117" s="245">
        <f>IFERROR(__xludf.DUMMYFUNCTION("""COMPUTED_VALUE"""),46061.0)</f>
        <v>46061</v>
      </c>
      <c r="B117" s="246">
        <f>IFERROR(__xludf.DUMMYFUNCTION("""COMPUTED_VALUE"""),0.4166666666678793)</f>
        <v>0.4166666667</v>
      </c>
      <c r="C117" s="221" t="str">
        <f>IFERROR(__xludf.DUMMYFUNCTION("""COMPUTED_VALUE"""),"Sms")</f>
        <v>Sms</v>
      </c>
      <c r="D117" s="221" t="str">
        <f>IFERROR(__xludf.DUMMYFUNCTION("""COMPUTED_VALUE"""),"Promotional")</f>
        <v>Promotional</v>
      </c>
      <c r="E117" s="221" t="str">
        <f>IFERROR(__xludf.DUMMYFUNCTION("""COMPUTED_VALUE"""),"BBW")</f>
        <v>BBW</v>
      </c>
      <c r="F117" s="222" t="str">
        <f>IFERROR(__xludf.DUMMYFUNCTION("""COMPUTED_VALUE"""),"Bodycare")</f>
        <v>Bodycare</v>
      </c>
      <c r="G117" s="221" t="str">
        <f>IFERROR(__xludf.DUMMYFUNCTION("""COMPUTED_VALUE"""),"bbw_ldbc899_8.2_chur")</f>
        <v>bbw_ldbc899_8.2_chur</v>
      </c>
      <c r="H117" s="269" t="str">
        <f>IFERROR(__xludf.DUMMYFUNCTION("""COMPUTED_VALUE"""),"Churned2024_ONOFF")</f>
        <v>Churned2024_ONOFF</v>
      </c>
      <c r="I117" s="223" t="str">
        <f>IFERROR(__xludf.DUMMYFUNCTION("""COMPUTED_VALUE"""),"Offline customers who have shopped Body Care, Candle, Travel Size, Soaps and Sanitisers in 2024 but not after that. Online customers who have shopped Body Care, Candle, Travel Size, Soaps and Sanitisers in 2024 but not after that")</f>
        <v>Offline customers who have shopped Body Care, Candle, Travel Size, Soaps and Sanitisers in 2024 but not after that. Online customers who have shopped Body Care, Candle, Travel Size, Soaps and Sanitisers in 2024 but not after that</v>
      </c>
      <c r="J117" s="213">
        <f>IFERROR(__xludf.DUMMYFUNCTION("""COMPUTED_VALUE"""),183663.0)</f>
        <v>183663</v>
      </c>
      <c r="K117" s="213">
        <f>IFERROR(__xludf.DUMMYFUNCTION("""COMPUTED_VALUE"""),107489.0)</f>
        <v>107489</v>
      </c>
      <c r="L117" s="214">
        <f>IFERROR(__xludf.DUMMYFUNCTION("""COMPUTED_VALUE"""),0.5853)</f>
        <v>0.5853</v>
      </c>
      <c r="M117" s="213"/>
      <c r="N117" s="214"/>
      <c r="O117" s="213">
        <f>IFERROR(__xludf.DUMMYFUNCTION("""COMPUTED_VALUE"""),81.0)</f>
        <v>81</v>
      </c>
      <c r="P117" s="213"/>
      <c r="Q117" s="214">
        <f>IFERROR(__xludf.DUMMYFUNCTION("""COMPUTED_VALUE"""),8.0E-4)</f>
        <v>0.0008</v>
      </c>
      <c r="R117" s="214"/>
      <c r="S117" s="101">
        <f>IFERROR(__xludf.DUMMYFUNCTION("""COMPUTED_VALUE"""),1.0)</f>
        <v>1</v>
      </c>
      <c r="T117" s="101">
        <f>IFERROR(__xludf.DUMMYFUNCTION("""COMPUTED_VALUE"""),8.0)</f>
        <v>8</v>
      </c>
      <c r="U117" s="213">
        <f>IFERROR(__xludf.DUMMYFUNCTION("""COMPUTED_VALUE"""),3596.0)</f>
        <v>3596</v>
      </c>
      <c r="V117" s="271" t="str">
        <f>IFERROR(__xludf.DUMMYFUNCTION("""COMPUTED_VALUE"""),"overall")</f>
        <v>overall</v>
      </c>
      <c r="W117" s="98" t="str">
        <f>IFERROR(__xludf.DUMMYFUNCTION("""COMPUTED_VALUE"""),"SMS")</f>
        <v>SMS</v>
      </c>
      <c r="X117" s="98" t="str">
        <f>IFERROR(__xludf.DUMMYFUNCTION("""COMPUTED_VALUE"""),"Churned")</f>
        <v>Churned</v>
      </c>
      <c r="Y117" s="98" t="str">
        <f>IFERROR(__xludf.DUMMYFUNCTION("""COMPUTED_VALUE"""),"8th Feb (1 Day)")</f>
        <v>8th Feb (1 Day)</v>
      </c>
      <c r="Z117" s="98" t="str">
        <f>IFERROR(__xludf.DUMMYFUNCTION("""COMPUTED_VALUE"""),"6985d64a5d230ee6baf27792")</f>
        <v>6985d64a5d230ee6baf27792</v>
      </c>
      <c r="AA117" s="98">
        <f>IFERROR(__xludf.DUMMYFUNCTION("""COMPUTED_VALUE"""),2.0)</f>
        <v>2</v>
      </c>
      <c r="AB117" s="98">
        <f>IFERROR(__xludf.DUMMYFUNCTION("""COMPUTED_VALUE"""),1.0)</f>
        <v>1</v>
      </c>
      <c r="AC117" s="98">
        <f>IFERROR(__xludf.DUMMYFUNCTION("""COMPUTED_VALUE"""),1.0)</f>
        <v>1</v>
      </c>
      <c r="AD117" s="98">
        <f>IFERROR(__xludf.DUMMYFUNCTION("""COMPUTED_VALUE"""),4595.0)</f>
        <v>4595</v>
      </c>
      <c r="AE117" s="98">
        <f>IFERROR(__xludf.DUMMYFUNCTION("""COMPUTED_VALUE"""),3596.0)</f>
        <v>3596</v>
      </c>
      <c r="AF117" s="98">
        <f>IFERROR(__xludf.DUMMYFUNCTION("""COMPUTED_VALUE"""),999.0)</f>
        <v>999</v>
      </c>
      <c r="AG117" s="208"/>
      <c r="AH117" s="208"/>
      <c r="AI117" s="208"/>
      <c r="AJ117" s="208"/>
      <c r="AK117" s="208"/>
    </row>
    <row r="118" hidden="1">
      <c r="A118" s="245">
        <f>IFERROR(__xludf.DUMMYFUNCTION("""COMPUTED_VALUE"""),46062.0)</f>
        <v>46062</v>
      </c>
      <c r="B118" s="246">
        <f>IFERROR(__xludf.DUMMYFUNCTION("""COMPUTED_VALUE"""),0.75)</f>
        <v>0.75</v>
      </c>
      <c r="C118" s="221" t="str">
        <f>IFERROR(__xludf.DUMMYFUNCTION("""COMPUTED_VALUE"""),"Whatsapp")</f>
        <v>Whatsapp</v>
      </c>
      <c r="D118" s="221" t="str">
        <f>IFERROR(__xludf.DUMMYFUNCTION("""COMPUTED_VALUE"""),"Promotional")</f>
        <v>Promotional</v>
      </c>
      <c r="E118" s="221" t="str">
        <f>IFERROR(__xludf.DUMMYFUNCTION("""COMPUTED_VALUE"""),"BBW")</f>
        <v>BBW</v>
      </c>
      <c r="F118" s="222" t="str">
        <f>IFERROR(__xludf.DUMMYFUNCTION("""COMPUTED_VALUE"""),"Body care")</f>
        <v>Body care</v>
      </c>
      <c r="G118" s="221" t="str">
        <f>IFERROR(__xludf.DUMMYFUNCTION("""COMPUTED_VALUE"""),"bbw_oebc999_loyalWA")</f>
        <v>bbw_oebc999_loyalWA</v>
      </c>
      <c r="H118" s="269" t="str">
        <f>IFERROR(__xludf.DUMMYFUNCTION("""COMPUTED_VALUE"""),"BodyCare_Loyal1099_ON")</f>
        <v>BodyCare_Loyal1099_ON</v>
      </c>
      <c r="I118" s="223" t="str">
        <f>IFERROR(__xludf.DUMMYFUNCTION("""COMPUTED_VALUE"""),"Online Customers who have purchased Body Care at least 3 times AND Excluding Full Price shoppers")</f>
        <v>Online Customers who have purchased Body Care at least 3 times AND Excluding Full Price shoppers</v>
      </c>
      <c r="J118" s="213">
        <f>IFERROR(__xludf.DUMMYFUNCTION("""COMPUTED_VALUE"""),19168.0)</f>
        <v>19168</v>
      </c>
      <c r="K118" s="213">
        <f>IFERROR(__xludf.DUMMYFUNCTION("""COMPUTED_VALUE"""),4556.0)</f>
        <v>4556</v>
      </c>
      <c r="L118" s="214">
        <f>IFERROR(__xludf.DUMMYFUNCTION("""COMPUTED_VALUE"""),0.2377)</f>
        <v>0.2377</v>
      </c>
      <c r="M118" s="213">
        <f>IFERROR(__xludf.DUMMYFUNCTION("""COMPUTED_VALUE"""),2195.0)</f>
        <v>2195</v>
      </c>
      <c r="N118" s="214">
        <f>IFERROR(__xludf.DUMMYFUNCTION("""COMPUTED_VALUE"""),0.4822)</f>
        <v>0.4822</v>
      </c>
      <c r="O118" s="213">
        <f>IFERROR(__xludf.DUMMYFUNCTION("""COMPUTED_VALUE"""),173.0)</f>
        <v>173</v>
      </c>
      <c r="P118" s="213">
        <f>IFERROR(__xludf.DUMMYFUNCTION("""COMPUTED_VALUE"""),162.0)</f>
        <v>162</v>
      </c>
      <c r="Q118" s="214">
        <f>IFERROR(__xludf.DUMMYFUNCTION("""COMPUTED_VALUE"""),0.0356)</f>
        <v>0.0356</v>
      </c>
      <c r="R118" s="214">
        <f>IFERROR(__xludf.DUMMYFUNCTION("""COMPUTED_VALUE"""),0.0738)</f>
        <v>0.0738</v>
      </c>
      <c r="S118" s="101">
        <f>IFERROR(__xludf.DUMMYFUNCTION("""COMPUTED_VALUE"""),1.0)</f>
        <v>1</v>
      </c>
      <c r="T118" s="101">
        <f>IFERROR(__xludf.DUMMYFUNCTION("""COMPUTED_VALUE"""),9.0)</f>
        <v>9</v>
      </c>
      <c r="U118" s="213">
        <f>IFERROR(__xludf.DUMMYFUNCTION("""COMPUTED_VALUE"""),6264.0)</f>
        <v>6264</v>
      </c>
      <c r="V118" s="271" t="str">
        <f>IFERROR(__xludf.DUMMYFUNCTION("""COMPUTED_VALUE"""),"online")</f>
        <v>online</v>
      </c>
      <c r="W118" s="98" t="str">
        <f>IFERROR(__xludf.DUMMYFUNCTION("""COMPUTED_VALUE"""),"simple")</f>
        <v>simple</v>
      </c>
      <c r="X118" s="98" t="str">
        <f>IFERROR(__xludf.DUMMYFUNCTION("""COMPUTED_VALUE"""),"Loyal")</f>
        <v>Loyal</v>
      </c>
      <c r="Y118" s="98" t="str">
        <f>IFERROR(__xludf.DUMMYFUNCTION("""COMPUTED_VALUE"""),"9th Feb - 12th Feb")</f>
        <v>9th Feb - 12th Feb</v>
      </c>
      <c r="Z118" s="98" t="str">
        <f>IFERROR(__xludf.DUMMYFUNCTION("""COMPUTED_VALUE"""),"6989b9196abf6764f3abed76")</f>
        <v>6989b9196abf6764f3abed76</v>
      </c>
      <c r="AA118" s="98">
        <f>IFERROR(__xludf.DUMMYFUNCTION("""COMPUTED_VALUE"""),22.0)</f>
        <v>22</v>
      </c>
      <c r="AB118" s="98">
        <f>IFERROR(__xludf.DUMMYFUNCTION("""COMPUTED_VALUE"""),22.0)</f>
        <v>22</v>
      </c>
      <c r="AC118" s="98"/>
      <c r="AD118" s="98">
        <f>IFERROR(__xludf.DUMMYFUNCTION("""COMPUTED_VALUE"""),52071.0)</f>
        <v>52071</v>
      </c>
      <c r="AE118" s="98">
        <f>IFERROR(__xludf.DUMMYFUNCTION("""COMPUTED_VALUE"""),52071.0)</f>
        <v>52071</v>
      </c>
      <c r="AF118" s="98"/>
      <c r="AG118" s="208"/>
      <c r="AH118" s="208"/>
      <c r="AI118" s="208"/>
      <c r="AJ118" s="208"/>
      <c r="AK118" s="208"/>
    </row>
    <row r="119" hidden="1">
      <c r="A119" s="245">
        <f>IFERROR(__xludf.DUMMYFUNCTION("""COMPUTED_VALUE"""),46062.0)</f>
        <v>46062</v>
      </c>
      <c r="B119" s="246">
        <f>IFERROR(__xludf.DUMMYFUNCTION("""COMPUTED_VALUE"""),0.75)</f>
        <v>0.75</v>
      </c>
      <c r="C119" s="221" t="str">
        <f>IFERROR(__xludf.DUMMYFUNCTION("""COMPUTED_VALUE"""),"Whatsapp")</f>
        <v>Whatsapp</v>
      </c>
      <c r="D119" s="221" t="str">
        <f>IFERROR(__xludf.DUMMYFUNCTION("""COMPUTED_VALUE"""),"Promotional")</f>
        <v>Promotional</v>
      </c>
      <c r="E119" s="221" t="str">
        <f>IFERROR(__xludf.DUMMYFUNCTION("""COMPUTED_VALUE"""),"BBW")</f>
        <v>BBW</v>
      </c>
      <c r="F119" s="222" t="str">
        <f>IFERROR(__xludf.DUMMYFUNCTION("""COMPUTED_VALUE"""),"Body care")</f>
        <v>Body care</v>
      </c>
      <c r="G119" s="221" t="str">
        <f>IFERROR(__xludf.DUMMYFUNCTION("""COMPUTED_VALUE"""),"bbw_oebc999_fullprWA")</f>
        <v>bbw_oebc999_fullprWA</v>
      </c>
      <c r="H119" s="269" t="str">
        <f>IFERROR(__xludf.DUMMYFUNCTION("""COMPUTED_VALUE"""),"BodyCare_FullPrice1099_ON OR AGIPL_Internal OR BBW_Internal")</f>
        <v>BodyCare_FullPrice1099_ON OR AGIPL_Internal OR BBW_Internal</v>
      </c>
      <c r="I119" s="223" t="str">
        <f>IFERROR(__xludf.DUMMYFUNCTION("""COMPUTED_VALUE"""),"Online Customers who have shopped Body Care Agg Order_Disc_Val is equal to 0 from Jan 2023 to Feb 2026")</f>
        <v>Online Customers who have shopped Body Care Agg Order_Disc_Val is equal to 0 from Jan 2023 to Feb 2026</v>
      </c>
      <c r="J119" s="213">
        <f>IFERROR(__xludf.DUMMYFUNCTION("""COMPUTED_VALUE"""),10099.0)</f>
        <v>10099</v>
      </c>
      <c r="K119" s="213">
        <f>IFERROR(__xludf.DUMMYFUNCTION("""COMPUTED_VALUE"""),2526.0)</f>
        <v>2526</v>
      </c>
      <c r="L119" s="214">
        <f>IFERROR(__xludf.DUMMYFUNCTION("""COMPUTED_VALUE"""),0.2501)</f>
        <v>0.2501</v>
      </c>
      <c r="M119" s="213">
        <f>IFERROR(__xludf.DUMMYFUNCTION("""COMPUTED_VALUE"""),1180.0)</f>
        <v>1180</v>
      </c>
      <c r="N119" s="214">
        <f>IFERROR(__xludf.DUMMYFUNCTION("""COMPUTED_VALUE"""),0.4673)</f>
        <v>0.4673</v>
      </c>
      <c r="O119" s="213">
        <f>IFERROR(__xludf.DUMMYFUNCTION("""COMPUTED_VALUE"""),91.0)</f>
        <v>91</v>
      </c>
      <c r="P119" s="213">
        <f>IFERROR(__xludf.DUMMYFUNCTION("""COMPUTED_VALUE"""),80.0)</f>
        <v>80</v>
      </c>
      <c r="Q119" s="214">
        <f>IFERROR(__xludf.DUMMYFUNCTION("""COMPUTED_VALUE"""),0.0317)</f>
        <v>0.0317</v>
      </c>
      <c r="R119" s="214">
        <f>IFERROR(__xludf.DUMMYFUNCTION("""COMPUTED_VALUE"""),0.0678)</f>
        <v>0.0678</v>
      </c>
      <c r="S119" s="101">
        <f>IFERROR(__xludf.DUMMYFUNCTION("""COMPUTED_VALUE"""),3.0)</f>
        <v>3</v>
      </c>
      <c r="T119" s="101">
        <f>IFERROR(__xludf.DUMMYFUNCTION("""COMPUTED_VALUE"""),7.0)</f>
        <v>7</v>
      </c>
      <c r="U119" s="213">
        <f>IFERROR(__xludf.DUMMYFUNCTION("""COMPUTED_VALUE"""),17987.0)</f>
        <v>17987</v>
      </c>
      <c r="V119" s="271" t="str">
        <f>IFERROR(__xludf.DUMMYFUNCTION("""COMPUTED_VALUE"""),"online")</f>
        <v>online</v>
      </c>
      <c r="W119" s="98" t="str">
        <f>IFERROR(__xludf.DUMMYFUNCTION("""COMPUTED_VALUE"""),"simple")</f>
        <v>simple</v>
      </c>
      <c r="X119" s="98" t="str">
        <f>IFERROR(__xludf.DUMMYFUNCTION("""COMPUTED_VALUE"""),"Full Price Shopper")</f>
        <v>Full Price Shopper</v>
      </c>
      <c r="Y119" s="98" t="str">
        <f>IFERROR(__xludf.DUMMYFUNCTION("""COMPUTED_VALUE"""),"9th Feb - 12th Feb")</f>
        <v>9th Feb - 12th Feb</v>
      </c>
      <c r="Z119" s="98" t="str">
        <f>IFERROR(__xludf.DUMMYFUNCTION("""COMPUTED_VALUE"""),"6989b9214c472255af1889a9")</f>
        <v>6989b9214c472255af1889a9</v>
      </c>
      <c r="AA119" s="98">
        <f>IFERROR(__xludf.DUMMYFUNCTION("""COMPUTED_VALUE"""),19.0)</f>
        <v>19</v>
      </c>
      <c r="AB119" s="98">
        <f>IFERROR(__xludf.DUMMYFUNCTION("""COMPUTED_VALUE"""),19.0)</f>
        <v>19</v>
      </c>
      <c r="AC119" s="98"/>
      <c r="AD119" s="98">
        <f>IFERROR(__xludf.DUMMYFUNCTION("""COMPUTED_VALUE"""),60698.0)</f>
        <v>60698</v>
      </c>
      <c r="AE119" s="98">
        <f>IFERROR(__xludf.DUMMYFUNCTION("""COMPUTED_VALUE"""),60698.0)</f>
        <v>60698</v>
      </c>
      <c r="AF119" s="98"/>
      <c r="AG119" s="208"/>
      <c r="AH119" s="208"/>
      <c r="AI119" s="208"/>
      <c r="AJ119" s="208"/>
      <c r="AK119" s="208"/>
    </row>
    <row r="120" hidden="1">
      <c r="A120" s="215">
        <f>IFERROR(__xludf.DUMMYFUNCTION("""COMPUTED_VALUE"""),46062.0)</f>
        <v>46062</v>
      </c>
      <c r="B120" s="210">
        <f>IFERROR(__xludf.DUMMYFUNCTION("""COMPUTED_VALUE"""),0.8333333333321207)</f>
        <v>0.8333333333</v>
      </c>
      <c r="C120" s="211" t="str">
        <f>IFERROR(__xludf.DUMMYFUNCTION("""COMPUTED_VALUE"""),"Sms")</f>
        <v>Sms</v>
      </c>
      <c r="D120" s="211" t="str">
        <f>IFERROR(__xludf.DUMMYFUNCTION("""COMPUTED_VALUE"""),"Fallback Campaign")</f>
        <v>Fallback Campaign</v>
      </c>
      <c r="E120" s="211" t="str">
        <f>IFERROR(__xludf.DUMMYFUNCTION("""COMPUTED_VALUE"""),"BBW")</f>
        <v>BBW</v>
      </c>
      <c r="F120" s="211" t="str">
        <f>IFERROR(__xludf.DUMMYFUNCTION("""COMPUTED_VALUE"""),"Body care")</f>
        <v>Body care</v>
      </c>
      <c r="G120" s="212" t="str">
        <f>IFERROR(__xludf.DUMMYFUNCTION("""COMPUTED_VALUE"""),"bbw_oebc999_fullprWAFB")</f>
        <v>bbw_oebc999_fullprWAFB</v>
      </c>
      <c r="H120" s="212" t="str">
        <f>IFERROR(__xludf.DUMMYFUNCTION("""COMPUTED_VALUE"""),"BodyCare_FullPrice1099_ON OR AGIPL_Internal OR BBW_Internal")</f>
        <v>BodyCare_FullPrice1099_ON OR AGIPL_Internal OR BBW_Internal</v>
      </c>
      <c r="I120" s="212" t="str">
        <f>IFERROR(__xludf.DUMMYFUNCTION("""COMPUTED_VALUE"""),"WA Undelivered")</f>
        <v>WA Undelivered</v>
      </c>
      <c r="J120" s="213">
        <f>IFERROR(__xludf.DUMMYFUNCTION("""COMPUTED_VALUE"""),7460.0)</f>
        <v>7460</v>
      </c>
      <c r="K120" s="213">
        <f>IFERROR(__xludf.DUMMYFUNCTION("""COMPUTED_VALUE"""),3687.0)</f>
        <v>3687</v>
      </c>
      <c r="L120" s="214">
        <f>IFERROR(__xludf.DUMMYFUNCTION("""COMPUTED_VALUE"""),0.4942)</f>
        <v>0.4942</v>
      </c>
      <c r="M120" s="213"/>
      <c r="N120" s="214"/>
      <c r="O120" s="101">
        <f>IFERROR(__xludf.DUMMYFUNCTION("""COMPUTED_VALUE"""),3.0)</f>
        <v>3</v>
      </c>
      <c r="P120" s="101"/>
      <c r="Q120" s="214">
        <f>IFERROR(__xludf.DUMMYFUNCTION("""COMPUTED_VALUE"""),8.0E-4)</f>
        <v>0.0008</v>
      </c>
      <c r="R120" s="214"/>
      <c r="S120" s="101">
        <f>IFERROR(__xludf.DUMMYFUNCTION("""COMPUTED_VALUE"""),4.0)</f>
        <v>4</v>
      </c>
      <c r="T120" s="101">
        <f>IFERROR(__xludf.DUMMYFUNCTION("""COMPUTED_VALUE"""),15.0)</f>
        <v>15</v>
      </c>
      <c r="U120" s="270">
        <f>IFERROR(__xludf.DUMMYFUNCTION("""COMPUTED_VALUE"""),14332.0)</f>
        <v>14332</v>
      </c>
      <c r="V120" s="271" t="str">
        <f>IFERROR(__xludf.DUMMYFUNCTION("""COMPUTED_VALUE"""),"online")</f>
        <v>online</v>
      </c>
      <c r="W120" s="272" t="str">
        <f>IFERROR(__xludf.DUMMYFUNCTION("""COMPUTED_VALUE"""),"SMS")</f>
        <v>SMS</v>
      </c>
      <c r="X120" s="272" t="str">
        <f>IFERROR(__xludf.DUMMYFUNCTION("""COMPUTED_VALUE"""),"Full Price Shopper")</f>
        <v>Full Price Shopper</v>
      </c>
      <c r="Y120" s="272" t="str">
        <f>IFERROR(__xludf.DUMMYFUNCTION("""COMPUTED_VALUE"""),"9th Feb - 12th Feb")</f>
        <v>9th Feb - 12th Feb</v>
      </c>
      <c r="Z120" s="272" t="str">
        <f>IFERROR(__xludf.DUMMYFUNCTION("""COMPUTED_VALUE"""),"6989beb4d847a505d9abf510")</f>
        <v>6989beb4d847a505d9abf510</v>
      </c>
      <c r="AA120" s="272">
        <f>IFERROR(__xludf.DUMMYFUNCTION("""COMPUTED_VALUE"""),21.0)</f>
        <v>21</v>
      </c>
      <c r="AB120" s="272">
        <f>IFERROR(__xludf.DUMMYFUNCTION("""COMPUTED_VALUE"""),21.0)</f>
        <v>21</v>
      </c>
      <c r="AC120" s="272"/>
      <c r="AD120" s="272">
        <f>IFERROR(__xludf.DUMMYFUNCTION("""COMPUTED_VALUE"""),54380.0)</f>
        <v>54380</v>
      </c>
      <c r="AE120" s="272">
        <f>IFERROR(__xludf.DUMMYFUNCTION("""COMPUTED_VALUE"""),54380.0)</f>
        <v>54380</v>
      </c>
      <c r="AF120" s="272"/>
      <c r="AG120" s="208"/>
      <c r="AH120" s="208"/>
      <c r="AI120" s="208"/>
      <c r="AJ120" s="208"/>
      <c r="AK120" s="208"/>
    </row>
    <row r="121" hidden="1">
      <c r="A121" s="215">
        <f>IFERROR(__xludf.DUMMYFUNCTION("""COMPUTED_VALUE"""),46062.0)</f>
        <v>46062</v>
      </c>
      <c r="B121" s="210">
        <f>IFERROR(__xludf.DUMMYFUNCTION("""COMPUTED_VALUE"""),0.8333333333321207)</f>
        <v>0.8333333333</v>
      </c>
      <c r="C121" s="211" t="str">
        <f>IFERROR(__xludf.DUMMYFUNCTION("""COMPUTED_VALUE"""),"Sms")</f>
        <v>Sms</v>
      </c>
      <c r="D121" s="211" t="str">
        <f>IFERROR(__xludf.DUMMYFUNCTION("""COMPUTED_VALUE"""),"Fallback Campaign")</f>
        <v>Fallback Campaign</v>
      </c>
      <c r="E121" s="211" t="str">
        <f>IFERROR(__xludf.DUMMYFUNCTION("""COMPUTED_VALUE"""),"BBW")</f>
        <v>BBW</v>
      </c>
      <c r="F121" s="211" t="str">
        <f>IFERROR(__xludf.DUMMYFUNCTION("""COMPUTED_VALUE"""),"Body care")</f>
        <v>Body care</v>
      </c>
      <c r="G121" s="212" t="str">
        <f>IFERROR(__xludf.DUMMYFUNCTION("""COMPUTED_VALUE"""),"bbw_oebc999_loyalWAFB")</f>
        <v>bbw_oebc999_loyalWAFB</v>
      </c>
      <c r="H121" s="212" t="str">
        <f>IFERROR(__xludf.DUMMYFUNCTION("""COMPUTED_VALUE"""),"BodyCare_Loyal1099_ON")</f>
        <v>BodyCare_Loyal1099_ON</v>
      </c>
      <c r="I121" s="212" t="str">
        <f>IFERROR(__xludf.DUMMYFUNCTION("""COMPUTED_VALUE"""),"WA Undelivered")</f>
        <v>WA Undelivered</v>
      </c>
      <c r="J121" s="213">
        <f>IFERROR(__xludf.DUMMYFUNCTION("""COMPUTED_VALUE"""),14388.0)</f>
        <v>14388</v>
      </c>
      <c r="K121" s="213">
        <f>IFERROR(__xludf.DUMMYFUNCTION("""COMPUTED_VALUE"""),7330.0)</f>
        <v>7330</v>
      </c>
      <c r="L121" s="214">
        <f>IFERROR(__xludf.DUMMYFUNCTION("""COMPUTED_VALUE"""),0.5095)</f>
        <v>0.5095</v>
      </c>
      <c r="M121" s="213"/>
      <c r="N121" s="214"/>
      <c r="O121" s="101">
        <f>IFERROR(__xludf.DUMMYFUNCTION("""COMPUTED_VALUE"""),14.0)</f>
        <v>14</v>
      </c>
      <c r="P121" s="101"/>
      <c r="Q121" s="214">
        <f>IFERROR(__xludf.DUMMYFUNCTION("""COMPUTED_VALUE"""),0.0019)</f>
        <v>0.0019</v>
      </c>
      <c r="R121" s="214"/>
      <c r="S121" s="101">
        <f>IFERROR(__xludf.DUMMYFUNCTION("""COMPUTED_VALUE"""),7.0)</f>
        <v>7</v>
      </c>
      <c r="T121" s="101">
        <f>IFERROR(__xludf.DUMMYFUNCTION("""COMPUTED_VALUE"""),18.0)</f>
        <v>18</v>
      </c>
      <c r="U121" s="270">
        <f>IFERROR(__xludf.DUMMYFUNCTION("""COMPUTED_VALUE"""),20188.0)</f>
        <v>20188</v>
      </c>
      <c r="V121" s="271" t="str">
        <f>IFERROR(__xludf.DUMMYFUNCTION("""COMPUTED_VALUE"""),"online")</f>
        <v>online</v>
      </c>
      <c r="W121" s="272" t="str">
        <f>IFERROR(__xludf.DUMMYFUNCTION("""COMPUTED_VALUE"""),"SMS")</f>
        <v>SMS</v>
      </c>
      <c r="X121" s="272" t="str">
        <f>IFERROR(__xludf.DUMMYFUNCTION("""COMPUTED_VALUE"""),"Loyal")</f>
        <v>Loyal</v>
      </c>
      <c r="Y121" s="272" t="str">
        <f>IFERROR(__xludf.DUMMYFUNCTION("""COMPUTED_VALUE"""),"9th Feb - 12th Feb")</f>
        <v>9th Feb - 12th Feb</v>
      </c>
      <c r="Z121" s="272" t="str">
        <f>IFERROR(__xludf.DUMMYFUNCTION("""COMPUTED_VALUE"""),"6989c6e57a0b09e45332aff7")</f>
        <v>6989c6e57a0b09e45332aff7</v>
      </c>
      <c r="AA121" s="272">
        <f>IFERROR(__xludf.DUMMYFUNCTION("""COMPUTED_VALUE"""),34.0)</f>
        <v>34</v>
      </c>
      <c r="AB121" s="272">
        <f>IFERROR(__xludf.DUMMYFUNCTION("""COMPUTED_VALUE"""),34.0)</f>
        <v>34</v>
      </c>
      <c r="AC121" s="272"/>
      <c r="AD121" s="272">
        <f>IFERROR(__xludf.DUMMYFUNCTION("""COMPUTED_VALUE"""),105784.0)</f>
        <v>105784</v>
      </c>
      <c r="AE121" s="272">
        <f>IFERROR(__xludf.DUMMYFUNCTION("""COMPUTED_VALUE"""),105784.0)</f>
        <v>105784</v>
      </c>
      <c r="AF121" s="272"/>
      <c r="AG121" s="208"/>
      <c r="AH121" s="208"/>
      <c r="AI121" s="208"/>
      <c r="AJ121" s="208"/>
      <c r="AK121" s="208"/>
    </row>
    <row r="122" hidden="1">
      <c r="A122" s="245">
        <f>IFERROR(__xludf.DUMMYFUNCTION("""COMPUTED_VALUE"""),46062.0)</f>
        <v>46062</v>
      </c>
      <c r="B122" s="246">
        <f>IFERROR(__xludf.DUMMYFUNCTION("""COMPUTED_VALUE"""),0.8333333333321207)</f>
        <v>0.8333333333</v>
      </c>
      <c r="C122" s="221" t="str">
        <f>IFERROR(__xludf.DUMMYFUNCTION("""COMPUTED_VALUE"""),"Sms")</f>
        <v>Sms</v>
      </c>
      <c r="D122" s="221" t="str">
        <f>IFERROR(__xludf.DUMMYFUNCTION("""COMPUTED_VALUE"""),"Fallback Campaign")</f>
        <v>Fallback Campaign</v>
      </c>
      <c r="E122" s="221" t="str">
        <f>IFERROR(__xludf.DUMMYFUNCTION("""COMPUTED_VALUE"""),"BBW")</f>
        <v>BBW</v>
      </c>
      <c r="F122" s="222" t="str">
        <f>IFERROR(__xludf.DUMMYFUNCTION("""COMPUTED_VALUE"""),"Body care")</f>
        <v>Body care</v>
      </c>
      <c r="G122" s="221" t="str">
        <f>IFERROR(__xludf.DUMMYFUNCTION("""COMPUTED_VALUE"""),"bbw_oebc999_dormRCSFB")</f>
        <v>bbw_oebc999_dormRCSFB</v>
      </c>
      <c r="H122" s="269" t="str">
        <f>IFERROR(__xludf.DUMMYFUNCTION("""COMPUTED_VALUE"""),"BodyCare_Dormant1099_ON")</f>
        <v>BodyCare_Dormant1099_ON</v>
      </c>
      <c r="I122" s="223" t="str">
        <f>IFERROR(__xludf.DUMMYFUNCTION("""COMPUTED_VALUE"""),"RCS Delivery Failed")</f>
        <v>RCS Delivery Failed</v>
      </c>
      <c r="J122" s="213">
        <f>IFERROR(__xludf.DUMMYFUNCTION("""COMPUTED_VALUE"""),46450.0)</f>
        <v>46450</v>
      </c>
      <c r="K122" s="213">
        <f>IFERROR(__xludf.DUMMYFUNCTION("""COMPUTED_VALUE"""),27836.0)</f>
        <v>27836</v>
      </c>
      <c r="L122" s="214">
        <f>IFERROR(__xludf.DUMMYFUNCTION("""COMPUTED_VALUE"""),0.5993)</f>
        <v>0.5993</v>
      </c>
      <c r="M122" s="213"/>
      <c r="N122" s="214"/>
      <c r="O122" s="213">
        <f>IFERROR(__xludf.DUMMYFUNCTION("""COMPUTED_VALUE"""),29.0)</f>
        <v>29</v>
      </c>
      <c r="P122" s="213"/>
      <c r="Q122" s="214">
        <f>IFERROR(__xludf.DUMMYFUNCTION("""COMPUTED_VALUE"""),0.001)</f>
        <v>0.001</v>
      </c>
      <c r="R122" s="214"/>
      <c r="S122" s="101">
        <f>IFERROR(__xludf.DUMMYFUNCTION("""COMPUTED_VALUE"""),12.0)</f>
        <v>12</v>
      </c>
      <c r="T122" s="101">
        <f>IFERROR(__xludf.DUMMYFUNCTION("""COMPUTED_VALUE"""),19.0)</f>
        <v>19</v>
      </c>
      <c r="U122" s="213">
        <f>IFERROR(__xludf.DUMMYFUNCTION("""COMPUTED_VALUE"""),49356.0)</f>
        <v>49356</v>
      </c>
      <c r="V122" s="271" t="str">
        <f>IFERROR(__xludf.DUMMYFUNCTION("""COMPUTED_VALUE"""),"online")</f>
        <v>online</v>
      </c>
      <c r="W122" s="98" t="str">
        <f>IFERROR(__xludf.DUMMYFUNCTION("""COMPUTED_VALUE"""),"SMS")</f>
        <v>SMS</v>
      </c>
      <c r="X122" s="98"/>
      <c r="Y122" s="98" t="str">
        <f>IFERROR(__xludf.DUMMYFUNCTION("""COMPUTED_VALUE"""),"9th Feb - 12th Feb")</f>
        <v>9th Feb - 12th Feb</v>
      </c>
      <c r="Z122" s="98" t="str">
        <f>IFERROR(__xludf.DUMMYFUNCTION("""COMPUTED_VALUE"""),"6989cb568e8c05b642d0ed98")</f>
        <v>6989cb568e8c05b642d0ed98</v>
      </c>
      <c r="AA122" s="98">
        <f>IFERROR(__xludf.DUMMYFUNCTION("""COMPUTED_VALUE"""),48.0)</f>
        <v>48</v>
      </c>
      <c r="AB122" s="98">
        <f>IFERROR(__xludf.DUMMYFUNCTION("""COMPUTED_VALUE"""),48.0)</f>
        <v>48</v>
      </c>
      <c r="AC122" s="98"/>
      <c r="AD122" s="98">
        <f>IFERROR(__xludf.DUMMYFUNCTION("""COMPUTED_VALUE"""),128587.0)</f>
        <v>128587</v>
      </c>
      <c r="AE122" s="98">
        <f>IFERROR(__xludf.DUMMYFUNCTION("""COMPUTED_VALUE"""),128587.0)</f>
        <v>128587</v>
      </c>
      <c r="AF122" s="98"/>
      <c r="AG122" s="208"/>
      <c r="AH122" s="208"/>
      <c r="AI122" s="208"/>
      <c r="AJ122" s="208"/>
      <c r="AK122" s="208"/>
    </row>
    <row r="123" hidden="1">
      <c r="A123" s="245">
        <f>IFERROR(__xludf.DUMMYFUNCTION("""COMPUTED_VALUE"""),46062.0)</f>
        <v>46062</v>
      </c>
      <c r="B123" s="246">
        <f>IFERROR(__xludf.DUMMYFUNCTION("""COMPUTED_VALUE"""),0.8333333333321207)</f>
        <v>0.8333333333</v>
      </c>
      <c r="C123" s="221" t="str">
        <f>IFERROR(__xludf.DUMMYFUNCTION("""COMPUTED_VALUE"""),"Sms")</f>
        <v>Sms</v>
      </c>
      <c r="D123" s="221" t="str">
        <f>IFERROR(__xludf.DUMMYFUNCTION("""COMPUTED_VALUE"""),"Fallback Campaign")</f>
        <v>Fallback Campaign</v>
      </c>
      <c r="E123" s="221" t="str">
        <f>IFERROR(__xludf.DUMMYFUNCTION("""COMPUTED_VALUE"""),"BBW")</f>
        <v>BBW</v>
      </c>
      <c r="F123" s="222" t="str">
        <f>IFERROR(__xludf.DUMMYFUNCTION("""COMPUTED_VALUE"""),"Body care")</f>
        <v>Body care</v>
      </c>
      <c r="G123" s="221" t="str">
        <f>IFERROR(__xludf.DUMMYFUNCTION("""COMPUTED_VALUE"""),"bbw_oebc999_recRCSFB")</f>
        <v>bbw_oebc999_recRCSFB</v>
      </c>
      <c r="H123" s="269" t="str">
        <f>IFERROR(__xludf.DUMMYFUNCTION("""COMPUTED_VALUE"""),"BodyCare_Recent1099_ON")</f>
        <v>BodyCare_Recent1099_ON</v>
      </c>
      <c r="I123" s="223" t="str">
        <f>IFERROR(__xludf.DUMMYFUNCTION("""COMPUTED_VALUE"""),"RCS Delivery Failed")</f>
        <v>RCS Delivery Failed</v>
      </c>
      <c r="J123" s="213">
        <f>IFERROR(__xludf.DUMMYFUNCTION("""COMPUTED_VALUE"""),15344.0)</f>
        <v>15344</v>
      </c>
      <c r="K123" s="213">
        <f>IFERROR(__xludf.DUMMYFUNCTION("""COMPUTED_VALUE"""),9187.0)</f>
        <v>9187</v>
      </c>
      <c r="L123" s="214">
        <f>IFERROR(__xludf.DUMMYFUNCTION("""COMPUTED_VALUE"""),0.5987)</f>
        <v>0.5987</v>
      </c>
      <c r="M123" s="213"/>
      <c r="N123" s="214"/>
      <c r="O123" s="213">
        <f>IFERROR(__xludf.DUMMYFUNCTION("""COMPUTED_VALUE"""),12.0)</f>
        <v>12</v>
      </c>
      <c r="P123" s="213"/>
      <c r="Q123" s="214">
        <f>IFERROR(__xludf.DUMMYFUNCTION("""COMPUTED_VALUE"""),0.0013)</f>
        <v>0.0013</v>
      </c>
      <c r="R123" s="214"/>
      <c r="S123" s="101">
        <f>IFERROR(__xludf.DUMMYFUNCTION("""COMPUTED_VALUE"""),7.0)</f>
        <v>7</v>
      </c>
      <c r="T123" s="101">
        <f>IFERROR(__xludf.DUMMYFUNCTION("""COMPUTED_VALUE"""),29.0)</f>
        <v>29</v>
      </c>
      <c r="U123" s="213">
        <f>IFERROR(__xludf.DUMMYFUNCTION("""COMPUTED_VALUE"""),15510.0)</f>
        <v>15510</v>
      </c>
      <c r="V123" s="271"/>
      <c r="W123" s="98" t="str">
        <f>IFERROR(__xludf.DUMMYFUNCTION("""COMPUTED_VALUE"""),"SMS")</f>
        <v>SMS</v>
      </c>
      <c r="X123" s="98"/>
      <c r="Y123" s="98" t="str">
        <f>IFERROR(__xludf.DUMMYFUNCTION("""COMPUTED_VALUE"""),"9th Feb - 12th Feb")</f>
        <v>9th Feb - 12th Feb</v>
      </c>
      <c r="Z123" s="98" t="str">
        <f>IFERROR(__xludf.DUMMYFUNCTION("""COMPUTED_VALUE"""),"6989cbf533fa86b3aa52d6d9")</f>
        <v>6989cbf533fa86b3aa52d6d9</v>
      </c>
      <c r="AA123" s="98">
        <f>IFERROR(__xludf.DUMMYFUNCTION("""COMPUTED_VALUE"""),28.0)</f>
        <v>28</v>
      </c>
      <c r="AB123" s="98">
        <f>IFERROR(__xludf.DUMMYFUNCTION("""COMPUTED_VALUE"""),28.0)</f>
        <v>28</v>
      </c>
      <c r="AC123" s="98"/>
      <c r="AD123" s="98">
        <f>IFERROR(__xludf.DUMMYFUNCTION("""COMPUTED_VALUE"""),72952.0)</f>
        <v>72952</v>
      </c>
      <c r="AE123" s="98">
        <f>IFERROR(__xludf.DUMMYFUNCTION("""COMPUTED_VALUE"""),72952.0)</f>
        <v>72952</v>
      </c>
      <c r="AF123" s="98"/>
      <c r="AG123" s="208"/>
      <c r="AH123" s="208"/>
      <c r="AI123" s="208"/>
      <c r="AJ123" s="208"/>
      <c r="AK123" s="208"/>
    </row>
    <row r="124" hidden="1">
      <c r="A124" s="245">
        <f>IFERROR(__xludf.DUMMYFUNCTION("""COMPUTED_VALUE"""),46062.0)</f>
        <v>46062</v>
      </c>
      <c r="B124" s="246">
        <f>IFERROR(__xludf.DUMMYFUNCTION("""COMPUTED_VALUE"""),0.75)</f>
        <v>0.75</v>
      </c>
      <c r="C124" s="221" t="str">
        <f>IFERROR(__xludf.DUMMYFUNCTION("""COMPUTED_VALUE"""),"Rcs")</f>
        <v>Rcs</v>
      </c>
      <c r="D124" s="221" t="str">
        <f>IFERROR(__xludf.DUMMYFUNCTION("""COMPUTED_VALUE"""),"Promotional")</f>
        <v>Promotional</v>
      </c>
      <c r="E124" s="221" t="str">
        <f>IFERROR(__xludf.DUMMYFUNCTION("""COMPUTED_VALUE"""),"BBW")</f>
        <v>BBW</v>
      </c>
      <c r="F124" s="222" t="str">
        <f>IFERROR(__xludf.DUMMYFUNCTION("""COMPUTED_VALUE"""),"Body care")</f>
        <v>Body care</v>
      </c>
      <c r="G124" s="221" t="str">
        <f>IFERROR(__xludf.DUMMYFUNCTION("""COMPUTED_VALUE"""),"bbw_oebc999_dormRCS")</f>
        <v>bbw_oebc999_dormRCS</v>
      </c>
      <c r="H124" s="269" t="str">
        <f>IFERROR(__xludf.DUMMYFUNCTION("""COMPUTED_VALUE"""),"BodyCare_Dormant1099_ON")</f>
        <v>BodyCare_Dormant1099_ON</v>
      </c>
      <c r="I124" s="223" t="str">
        <f>IFERROR(__xludf.DUMMYFUNCTION("""COMPUTED_VALUE"""),"Online Customers who have shopped in 2025 but not in recent time AND Excluding Full Price, Loyal nd Recent")</f>
        <v>Online Customers who have shopped in 2025 but not in recent time AND Excluding Full Price, Loyal nd Recent</v>
      </c>
      <c r="J124" s="213">
        <f>IFERROR(__xludf.DUMMYFUNCTION("""COMPUTED_VALUE"""),47812.0)</f>
        <v>47812</v>
      </c>
      <c r="K124" s="213">
        <f>IFERROR(__xludf.DUMMYFUNCTION("""COMPUTED_VALUE"""),1243.0)</f>
        <v>1243</v>
      </c>
      <c r="L124" s="214">
        <f>IFERROR(__xludf.DUMMYFUNCTION("""COMPUTED_VALUE"""),0.026)</f>
        <v>0.026</v>
      </c>
      <c r="M124" s="213">
        <f>IFERROR(__xludf.DUMMYFUNCTION("""COMPUTED_VALUE"""),184.0)</f>
        <v>184</v>
      </c>
      <c r="N124" s="214">
        <f>IFERROR(__xludf.DUMMYFUNCTION("""COMPUTED_VALUE"""),0.148)</f>
        <v>0.148</v>
      </c>
      <c r="O124" s="213">
        <f>IFERROR(__xludf.DUMMYFUNCTION("""COMPUTED_VALUE"""),21.0)</f>
        <v>21</v>
      </c>
      <c r="P124" s="213"/>
      <c r="Q124" s="214">
        <f>IFERROR(__xludf.DUMMYFUNCTION("""COMPUTED_VALUE"""),0.017)</f>
        <v>0.017</v>
      </c>
      <c r="R124" s="214"/>
      <c r="S124" s="101">
        <f>IFERROR(__xludf.DUMMYFUNCTION("""COMPUTED_VALUE"""),4.0)</f>
        <v>4</v>
      </c>
      <c r="T124" s="101">
        <f>IFERROR(__xludf.DUMMYFUNCTION("""COMPUTED_VALUE"""),1.0)</f>
        <v>1</v>
      </c>
      <c r="U124" s="213">
        <f>IFERROR(__xludf.DUMMYFUNCTION("""COMPUTED_VALUE"""),13673.0)</f>
        <v>13673</v>
      </c>
      <c r="V124" s="271" t="str">
        <f>IFERROR(__xludf.DUMMYFUNCTION("""COMPUTED_VALUE"""),"online")</f>
        <v>online</v>
      </c>
      <c r="W124" s="98" t="str">
        <f>IFERROR(__xludf.DUMMYFUNCTION("""COMPUTED_VALUE"""),"RCS")</f>
        <v>RCS</v>
      </c>
      <c r="X124" s="98" t="str">
        <f>IFERROR(__xludf.DUMMYFUNCTION("""COMPUTED_VALUE"""),"Dormant")</f>
        <v>Dormant</v>
      </c>
      <c r="Y124" s="98" t="str">
        <f>IFERROR(__xludf.DUMMYFUNCTION("""COMPUTED_VALUE"""),"9th Feb - 12th Feb")</f>
        <v>9th Feb - 12th Feb</v>
      </c>
      <c r="Z124" s="98" t="str">
        <f>IFERROR(__xludf.DUMMYFUNCTION("""COMPUTED_VALUE"""),"6989c72f738788e23808b1d8")</f>
        <v>6989c72f738788e23808b1d8</v>
      </c>
      <c r="AA124" s="98">
        <f>IFERROR(__xludf.DUMMYFUNCTION("""COMPUTED_VALUE"""),5.0)</f>
        <v>5</v>
      </c>
      <c r="AB124" s="98">
        <f>IFERROR(__xludf.DUMMYFUNCTION("""COMPUTED_VALUE"""),5.0)</f>
        <v>5</v>
      </c>
      <c r="AC124" s="98"/>
      <c r="AD124" s="98">
        <f>IFERROR(__xludf.DUMMYFUNCTION("""COMPUTED_VALUE"""),11650.0)</f>
        <v>11650</v>
      </c>
      <c r="AE124" s="98">
        <f>IFERROR(__xludf.DUMMYFUNCTION("""COMPUTED_VALUE"""),11650.0)</f>
        <v>11650</v>
      </c>
      <c r="AF124" s="98"/>
      <c r="AG124" s="208"/>
      <c r="AH124" s="208"/>
      <c r="AI124" s="208"/>
      <c r="AJ124" s="208"/>
      <c r="AK124" s="208"/>
    </row>
    <row r="125" hidden="1">
      <c r="A125" s="245">
        <f>IFERROR(__xludf.DUMMYFUNCTION("""COMPUTED_VALUE"""),46062.0)</f>
        <v>46062</v>
      </c>
      <c r="B125" s="246">
        <f>IFERROR(__xludf.DUMMYFUNCTION("""COMPUTED_VALUE"""),0.75)</f>
        <v>0.75</v>
      </c>
      <c r="C125" s="221" t="str">
        <f>IFERROR(__xludf.DUMMYFUNCTION("""COMPUTED_VALUE"""),"Rcs")</f>
        <v>Rcs</v>
      </c>
      <c r="D125" s="221" t="str">
        <f>IFERROR(__xludf.DUMMYFUNCTION("""COMPUTED_VALUE"""),"Promotional")</f>
        <v>Promotional</v>
      </c>
      <c r="E125" s="221" t="str">
        <f>IFERROR(__xludf.DUMMYFUNCTION("""COMPUTED_VALUE"""),"BBW")</f>
        <v>BBW</v>
      </c>
      <c r="F125" s="222" t="str">
        <f>IFERROR(__xludf.DUMMYFUNCTION("""COMPUTED_VALUE"""),"Body care")</f>
        <v>Body care</v>
      </c>
      <c r="G125" s="221" t="str">
        <f>IFERROR(__xludf.DUMMYFUNCTION("""COMPUTED_VALUE"""),"bbw_oebc999_recRCS")</f>
        <v>bbw_oebc999_recRCS</v>
      </c>
      <c r="H125" s="269" t="str">
        <f>IFERROR(__xludf.DUMMYFUNCTION("""COMPUTED_VALUE"""),"BodyCare_Recent1099_ON")</f>
        <v>BodyCare_Recent1099_ON</v>
      </c>
      <c r="I125" s="223" t="str">
        <f>IFERROR(__xludf.DUMMYFUNCTION("""COMPUTED_VALUE"""),"Online Customers who have purchased Body Care in the last 100 days AND Exclusing Full Price and Loyal")</f>
        <v>Online Customers who have purchased Body Care in the last 100 days AND Exclusing Full Price and Loyal</v>
      </c>
      <c r="J125" s="213">
        <f>IFERROR(__xludf.DUMMYFUNCTION("""COMPUTED_VALUE"""),17496.0)</f>
        <v>17496</v>
      </c>
      <c r="K125" s="213">
        <f>IFERROR(__xludf.DUMMYFUNCTION("""COMPUTED_VALUE"""),2036.0)</f>
        <v>2036</v>
      </c>
      <c r="L125" s="214">
        <f>IFERROR(__xludf.DUMMYFUNCTION("""COMPUTED_VALUE"""),0.116)</f>
        <v>0.116</v>
      </c>
      <c r="M125" s="213">
        <f>IFERROR(__xludf.DUMMYFUNCTION("""COMPUTED_VALUE"""),311.0)</f>
        <v>311</v>
      </c>
      <c r="N125" s="214">
        <f>IFERROR(__xludf.DUMMYFUNCTION("""COMPUTED_VALUE"""),0.153)</f>
        <v>0.153</v>
      </c>
      <c r="O125" s="213">
        <f>IFERROR(__xludf.DUMMYFUNCTION("""COMPUTED_VALUE"""),24.0)</f>
        <v>24</v>
      </c>
      <c r="P125" s="213"/>
      <c r="Q125" s="214">
        <f>IFERROR(__xludf.DUMMYFUNCTION("""COMPUTED_VALUE"""),0.012)</f>
        <v>0.012</v>
      </c>
      <c r="R125" s="214"/>
      <c r="S125" s="101">
        <f>IFERROR(__xludf.DUMMYFUNCTION("""COMPUTED_VALUE"""),2.0)</f>
        <v>2</v>
      </c>
      <c r="T125" s="101">
        <f>IFERROR(__xludf.DUMMYFUNCTION("""COMPUTED_VALUE"""),6.0)</f>
        <v>6</v>
      </c>
      <c r="U125" s="213">
        <f>IFERROR(__xludf.DUMMYFUNCTION("""COMPUTED_VALUE"""),9766.0)</f>
        <v>9766</v>
      </c>
      <c r="V125" s="271" t="str">
        <f>IFERROR(__xludf.DUMMYFUNCTION("""COMPUTED_VALUE"""),"online")</f>
        <v>online</v>
      </c>
      <c r="W125" s="98" t="str">
        <f>IFERROR(__xludf.DUMMYFUNCTION("""COMPUTED_VALUE"""),"RCS")</f>
        <v>RCS</v>
      </c>
      <c r="X125" s="98" t="str">
        <f>IFERROR(__xludf.DUMMYFUNCTION("""COMPUTED_VALUE"""),"Recent")</f>
        <v>Recent</v>
      </c>
      <c r="Y125" s="98" t="str">
        <f>IFERROR(__xludf.DUMMYFUNCTION("""COMPUTED_VALUE"""),"9th Feb - 12th Feb")</f>
        <v>9th Feb - 12th Feb</v>
      </c>
      <c r="Z125" s="98" t="str">
        <f>IFERROR(__xludf.DUMMYFUNCTION("""COMPUTED_VALUE"""),"698c099308eba6009909febf")</f>
        <v>698c099308eba6009909febf</v>
      </c>
      <c r="AA125" s="98">
        <f>IFERROR(__xludf.DUMMYFUNCTION("""COMPUTED_VALUE"""),35.0)</f>
        <v>35</v>
      </c>
      <c r="AB125" s="98">
        <f>IFERROR(__xludf.DUMMYFUNCTION("""COMPUTED_VALUE"""),35.0)</f>
        <v>35</v>
      </c>
      <c r="AC125" s="98"/>
      <c r="AD125" s="98">
        <f>IFERROR(__xludf.DUMMYFUNCTION("""COMPUTED_VALUE"""),73775.0)</f>
        <v>73775</v>
      </c>
      <c r="AE125" s="98">
        <f>IFERROR(__xludf.DUMMYFUNCTION("""COMPUTED_VALUE"""),73775.0)</f>
        <v>73775</v>
      </c>
      <c r="AF125" s="98"/>
      <c r="AG125" s="208"/>
      <c r="AH125" s="208"/>
      <c r="AI125" s="208"/>
      <c r="AJ125" s="208"/>
      <c r="AK125" s="208"/>
    </row>
    <row r="126" hidden="1">
      <c r="A126" s="245">
        <f>IFERROR(__xludf.DUMMYFUNCTION("""COMPUTED_VALUE"""),46064.0)</f>
        <v>46064</v>
      </c>
      <c r="B126" s="246">
        <f>IFERROR(__xludf.DUMMYFUNCTION("""COMPUTED_VALUE"""),0.4375)</f>
        <v>0.4375</v>
      </c>
      <c r="C126" s="221" t="str">
        <f>IFERROR(__xludf.DUMMYFUNCTION("""COMPUTED_VALUE"""),"Whatsapp")</f>
        <v>Whatsapp</v>
      </c>
      <c r="D126" s="221" t="str">
        <f>IFERROR(__xludf.DUMMYFUNCTION("""COMPUTED_VALUE"""),"Promotional")</f>
        <v>Promotional</v>
      </c>
      <c r="E126" s="221" t="str">
        <f>IFERROR(__xludf.DUMMYFUNCTION("""COMPUTED_VALUE"""),"BBW")</f>
        <v>BBW</v>
      </c>
      <c r="F126" s="222" t="str">
        <f>IFERROR(__xludf.DUMMYFUNCTION("""COMPUTED_VALUE"""),"Valentine's Day")</f>
        <v>Valentine's Day</v>
      </c>
      <c r="G126" s="221" t="str">
        <f>IFERROR(__xludf.DUMMYFUNCTION("""COMPUTED_VALUE"""),"bbw_vdayedit11.2_loyalWA")</f>
        <v>bbw_vdayedit11.2_loyalWA</v>
      </c>
      <c r="H126" s="269" t="str">
        <f>IFERROR(__xludf.DUMMYFUNCTION("""COMPUTED_VALUE"""),"Loyal_BC_GiftSets_LipCare_OnOff OR AGIPL_Internal OR BBW_Internal")</f>
        <v>Loyal_BC_GiftSets_LipCare_OnOff OR AGIPL_Internal OR BBW_Internal</v>
      </c>
      <c r="I126" s="223" t="str">
        <f>IFERROR(__xludf.DUMMYFUNCTION("""COMPUTED_VALUE"""),"Customers who have purchased atleast 2 times from Cat L2 as Body Care, Lip Care and Gift Sets AND Excluding Full Price Shopper")</f>
        <v>Customers who have purchased atleast 2 times from Cat L2 as Body Care, Lip Care and Gift Sets AND Excluding Full Price Shopper</v>
      </c>
      <c r="J126" s="213">
        <f>IFERROR(__xludf.DUMMYFUNCTION("""COMPUTED_VALUE"""),178984.0)</f>
        <v>178984</v>
      </c>
      <c r="K126" s="213">
        <f>IFERROR(__xludf.DUMMYFUNCTION("""COMPUTED_VALUE"""),59081.0)</f>
        <v>59081</v>
      </c>
      <c r="L126" s="214">
        <f>IFERROR(__xludf.DUMMYFUNCTION("""COMPUTED_VALUE"""),0.3301)</f>
        <v>0.3301</v>
      </c>
      <c r="M126" s="213">
        <f>IFERROR(__xludf.DUMMYFUNCTION("""COMPUTED_VALUE"""),24220.0)</f>
        <v>24220</v>
      </c>
      <c r="N126" s="214">
        <f>IFERROR(__xludf.DUMMYFUNCTION("""COMPUTED_VALUE"""),0.4093)</f>
        <v>0.4093</v>
      </c>
      <c r="O126" s="213">
        <f>IFERROR(__xludf.DUMMYFUNCTION("""COMPUTED_VALUE"""),1082.0)</f>
        <v>1082</v>
      </c>
      <c r="P126" s="213">
        <f>IFERROR(__xludf.DUMMYFUNCTION("""COMPUTED_VALUE"""),1008.0)</f>
        <v>1008</v>
      </c>
      <c r="Q126" s="214">
        <f>IFERROR(__xludf.DUMMYFUNCTION("""COMPUTED_VALUE"""),0.0171)</f>
        <v>0.0171</v>
      </c>
      <c r="R126" s="214">
        <f>IFERROR(__xludf.DUMMYFUNCTION("""COMPUTED_VALUE"""),0.0417)</f>
        <v>0.0417</v>
      </c>
      <c r="S126" s="101">
        <f>IFERROR(__xludf.DUMMYFUNCTION("""COMPUTED_VALUE"""),15.0)</f>
        <v>15</v>
      </c>
      <c r="T126" s="101">
        <f>IFERROR(__xludf.DUMMYFUNCTION("""COMPUTED_VALUE"""),62.0)</f>
        <v>62</v>
      </c>
      <c r="U126" s="213">
        <f>IFERROR(__xludf.DUMMYFUNCTION("""COMPUTED_VALUE"""),55587.0)</f>
        <v>55587</v>
      </c>
      <c r="V126" s="271" t="str">
        <f>IFERROR(__xludf.DUMMYFUNCTION("""COMPUTED_VALUE"""),"overall")</f>
        <v>overall</v>
      </c>
      <c r="W126" s="98" t="str">
        <f>IFERROR(__xludf.DUMMYFUNCTION("""COMPUTED_VALUE"""),"carousel")</f>
        <v>carousel</v>
      </c>
      <c r="X126" s="98" t="str">
        <f>IFERROR(__xludf.DUMMYFUNCTION("""COMPUTED_VALUE"""),"Loyal")</f>
        <v>Loyal</v>
      </c>
      <c r="Y126" s="98" t="str">
        <f>IFERROR(__xludf.DUMMYFUNCTION("""COMPUTED_VALUE"""),"11th Feb - 15th Feb")</f>
        <v>11th Feb - 15th Feb</v>
      </c>
      <c r="Z126" s="98" t="str">
        <f>IFERROR(__xludf.DUMMYFUNCTION("""COMPUTED_VALUE"""),"698c06dc79a569402e94f55e")</f>
        <v>698c06dc79a569402e94f55e</v>
      </c>
      <c r="AA126" s="98">
        <f>IFERROR(__xludf.DUMMYFUNCTION("""COMPUTED_VALUE"""),397.0)</f>
        <v>397</v>
      </c>
      <c r="AB126" s="98">
        <f>IFERROR(__xludf.DUMMYFUNCTION("""COMPUTED_VALUE"""),74.0)</f>
        <v>74</v>
      </c>
      <c r="AC126" s="98">
        <f>IFERROR(__xludf.DUMMYFUNCTION("""COMPUTED_VALUE"""),323.0)</f>
        <v>323</v>
      </c>
      <c r="AD126" s="98">
        <f>IFERROR(__xludf.DUMMYFUNCTION("""COMPUTED_VALUE"""),2037282.0)</f>
        <v>2037282</v>
      </c>
      <c r="AE126" s="98">
        <f>IFERROR(__xludf.DUMMYFUNCTION("""COMPUTED_VALUE"""),306880.0)</f>
        <v>306880</v>
      </c>
      <c r="AF126" s="98">
        <f>IFERROR(__xludf.DUMMYFUNCTION("""COMPUTED_VALUE"""),1730402.0)</f>
        <v>1730402</v>
      </c>
      <c r="AG126" s="208"/>
      <c r="AH126" s="208"/>
      <c r="AI126" s="208"/>
      <c r="AJ126" s="208"/>
      <c r="AK126" s="208"/>
    </row>
    <row r="127" hidden="1">
      <c r="A127" s="245">
        <f>IFERROR(__xludf.DUMMYFUNCTION("""COMPUTED_VALUE"""),46064.0)</f>
        <v>46064</v>
      </c>
      <c r="B127" s="246">
        <f>IFERROR(__xludf.DUMMYFUNCTION("""COMPUTED_VALUE"""),0.4375)</f>
        <v>0.4375</v>
      </c>
      <c r="C127" s="221" t="str">
        <f>IFERROR(__xludf.DUMMYFUNCTION("""COMPUTED_VALUE"""),"Whatsapp")</f>
        <v>Whatsapp</v>
      </c>
      <c r="D127" s="221" t="str">
        <f>IFERROR(__xludf.DUMMYFUNCTION("""COMPUTED_VALUE"""),"Promotional")</f>
        <v>Promotional</v>
      </c>
      <c r="E127" s="221" t="str">
        <f>IFERROR(__xludf.DUMMYFUNCTION("""COMPUTED_VALUE"""),"BBW")</f>
        <v>BBW</v>
      </c>
      <c r="F127" s="222" t="str">
        <f>IFERROR(__xludf.DUMMYFUNCTION("""COMPUTED_VALUE"""),"Valentine's Day")</f>
        <v>Valentine's Day</v>
      </c>
      <c r="G127" s="221" t="str">
        <f>IFERROR(__xludf.DUMMYFUNCTION("""COMPUTED_VALUE"""),"bbw_vdayedit11.2_fullPRWA")</f>
        <v>bbw_vdayedit11.2_fullPRWA</v>
      </c>
      <c r="H127" s="269" t="str">
        <f>IFERROR(__xludf.DUMMYFUNCTION("""COMPUTED_VALUE"""),"Full_Price_BC_Giftsets_LipCare")</f>
        <v>Full_Price_BC_Giftsets_LipCare</v>
      </c>
      <c r="I127" s="223" t="str">
        <f>IFERROR(__xludf.DUMMYFUNCTION("""COMPUTED_VALUE"""),"Customers who have purchased Cat L2 LipCare, Body Care, Giftsets with Agg Order_Disc_Val I equal to 0")</f>
        <v>Customers who have purchased Cat L2 LipCare, Body Care, Giftsets with Agg Order_Disc_Val I equal to 0</v>
      </c>
      <c r="J127" s="213">
        <f>IFERROR(__xludf.DUMMYFUNCTION("""COMPUTED_VALUE"""),24450.0)</f>
        <v>24450</v>
      </c>
      <c r="K127" s="213">
        <f>IFERROR(__xludf.DUMMYFUNCTION("""COMPUTED_VALUE"""),7785.0)</f>
        <v>7785</v>
      </c>
      <c r="L127" s="214">
        <f>IFERROR(__xludf.DUMMYFUNCTION("""COMPUTED_VALUE"""),0.3184)</f>
        <v>0.3184</v>
      </c>
      <c r="M127" s="213">
        <f>IFERROR(__xludf.DUMMYFUNCTION("""COMPUTED_VALUE"""),3177.0)</f>
        <v>3177</v>
      </c>
      <c r="N127" s="214">
        <f>IFERROR(__xludf.DUMMYFUNCTION("""COMPUTED_VALUE"""),0.407)</f>
        <v>0.407</v>
      </c>
      <c r="O127" s="213">
        <f>IFERROR(__xludf.DUMMYFUNCTION("""COMPUTED_VALUE"""),65.0)</f>
        <v>65</v>
      </c>
      <c r="P127" s="213">
        <f>IFERROR(__xludf.DUMMYFUNCTION("""COMPUTED_VALUE"""),60.0)</f>
        <v>60</v>
      </c>
      <c r="Q127" s="214">
        <f>IFERROR(__xludf.DUMMYFUNCTION("""COMPUTED_VALUE"""),0.0077)</f>
        <v>0.0077</v>
      </c>
      <c r="R127" s="214">
        <f>IFERROR(__xludf.DUMMYFUNCTION("""COMPUTED_VALUE"""),0.0189)</f>
        <v>0.0189</v>
      </c>
      <c r="S127" s="101">
        <f>IFERROR(__xludf.DUMMYFUNCTION("""COMPUTED_VALUE"""),1.0)</f>
        <v>1</v>
      </c>
      <c r="T127" s="101">
        <f>IFERROR(__xludf.DUMMYFUNCTION("""COMPUTED_VALUE"""),3.0)</f>
        <v>3</v>
      </c>
      <c r="U127" s="213">
        <f>IFERROR(__xludf.DUMMYFUNCTION("""COMPUTED_VALUE"""),4948.0)</f>
        <v>4948</v>
      </c>
      <c r="V127" s="271" t="str">
        <f>IFERROR(__xludf.DUMMYFUNCTION("""COMPUTED_VALUE"""),"overall")</f>
        <v>overall</v>
      </c>
      <c r="W127" s="98" t="str">
        <f>IFERROR(__xludf.DUMMYFUNCTION("""COMPUTED_VALUE"""),"carousel")</f>
        <v>carousel</v>
      </c>
      <c r="X127" s="98" t="str">
        <f>IFERROR(__xludf.DUMMYFUNCTION("""COMPUTED_VALUE"""),"Full Price Shopper")</f>
        <v>Full Price Shopper</v>
      </c>
      <c r="Y127" s="98" t="str">
        <f>IFERROR(__xludf.DUMMYFUNCTION("""COMPUTED_VALUE"""),"11th Feb - 15th Feb")</f>
        <v>11th Feb - 15th Feb</v>
      </c>
      <c r="Z127" s="98" t="str">
        <f>IFERROR(__xludf.DUMMYFUNCTION("""COMPUTED_VALUE"""),"698c06e3efd9f09de39ff882")</f>
        <v>698c06e3efd9f09de39ff882</v>
      </c>
      <c r="AA127" s="98">
        <f>IFERROR(__xludf.DUMMYFUNCTION("""COMPUTED_VALUE"""),16.0)</f>
        <v>16</v>
      </c>
      <c r="AB127" s="98">
        <f>IFERROR(__xludf.DUMMYFUNCTION("""COMPUTED_VALUE"""),1.0)</f>
        <v>1</v>
      </c>
      <c r="AC127" s="98">
        <f>IFERROR(__xludf.DUMMYFUNCTION("""COMPUTED_VALUE"""),15.0)</f>
        <v>15</v>
      </c>
      <c r="AD127" s="98">
        <f>IFERROR(__xludf.DUMMYFUNCTION("""COMPUTED_VALUE"""),52174.0)</f>
        <v>52174</v>
      </c>
      <c r="AE127" s="98">
        <f>IFERROR(__xludf.DUMMYFUNCTION("""COMPUTED_VALUE"""),1798.0)</f>
        <v>1798</v>
      </c>
      <c r="AF127" s="98">
        <f>IFERROR(__xludf.DUMMYFUNCTION("""COMPUTED_VALUE"""),50376.0)</f>
        <v>50376</v>
      </c>
      <c r="AG127" s="208"/>
      <c r="AH127" s="208"/>
      <c r="AI127" s="208"/>
      <c r="AJ127" s="208"/>
      <c r="AK127" s="208"/>
    </row>
    <row r="128" hidden="1">
      <c r="A128" s="245">
        <f>IFERROR(__xludf.DUMMYFUNCTION("""COMPUTED_VALUE"""),46064.0)</f>
        <v>46064</v>
      </c>
      <c r="B128" s="246">
        <f>IFERROR(__xludf.DUMMYFUNCTION("""COMPUTED_VALUE"""),0.5208333333321207)</f>
        <v>0.5208333333</v>
      </c>
      <c r="C128" s="221" t="str">
        <f>IFERROR(__xludf.DUMMYFUNCTION("""COMPUTED_VALUE"""),"Sms")</f>
        <v>Sms</v>
      </c>
      <c r="D128" s="221" t="str">
        <f>IFERROR(__xludf.DUMMYFUNCTION("""COMPUTED_VALUE"""),"Fallback Campaign")</f>
        <v>Fallback Campaign</v>
      </c>
      <c r="E128" s="221" t="str">
        <f>IFERROR(__xludf.DUMMYFUNCTION("""COMPUTED_VALUE"""),"BBW")</f>
        <v>BBW</v>
      </c>
      <c r="F128" s="222" t="str">
        <f>IFERROR(__xludf.DUMMYFUNCTION("""COMPUTED_VALUE"""),"Valentine's Day")</f>
        <v>Valentine's Day</v>
      </c>
      <c r="G128" s="221" t="str">
        <f>IFERROR(__xludf.DUMMYFUNCTION("""COMPUTED_VALUE"""),"bbw_vdayedit11.2_fullPRWAFB")</f>
        <v>bbw_vdayedit11.2_fullPRWAFB</v>
      </c>
      <c r="H128" s="269" t="str">
        <f>IFERROR(__xludf.DUMMYFUNCTION("""COMPUTED_VALUE"""),"Full_Price_BC_Giftsets_LipCare")</f>
        <v>Full_Price_BC_Giftsets_LipCare</v>
      </c>
      <c r="I128" s="223" t="str">
        <f>IFERROR(__xludf.DUMMYFUNCTION("""COMPUTED_VALUE"""),"WA Undelivered")</f>
        <v>WA Undelivered</v>
      </c>
      <c r="J128" s="213">
        <f>IFERROR(__xludf.DUMMYFUNCTION("""COMPUTED_VALUE"""),15965.0)</f>
        <v>15965</v>
      </c>
      <c r="K128" s="213">
        <f>IFERROR(__xludf.DUMMYFUNCTION("""COMPUTED_VALUE"""),9689.0)</f>
        <v>9689</v>
      </c>
      <c r="L128" s="214">
        <f>IFERROR(__xludf.DUMMYFUNCTION("""COMPUTED_VALUE"""),0.6069)</f>
        <v>0.6069</v>
      </c>
      <c r="M128" s="213"/>
      <c r="N128" s="214"/>
      <c r="O128" s="213">
        <f>IFERROR(__xludf.DUMMYFUNCTION("""COMPUTED_VALUE"""),1.0)</f>
        <v>1</v>
      </c>
      <c r="P128" s="213"/>
      <c r="Q128" s="214">
        <f>IFERROR(__xludf.DUMMYFUNCTION("""COMPUTED_VALUE"""),1.0E-4)</f>
        <v>0.0001</v>
      </c>
      <c r="R128" s="214"/>
      <c r="S128" s="101">
        <f>IFERROR(__xludf.DUMMYFUNCTION("""COMPUTED_VALUE"""),1.0)</f>
        <v>1</v>
      </c>
      <c r="T128" s="101">
        <f>IFERROR(__xludf.DUMMYFUNCTION("""COMPUTED_VALUE"""),2.0)</f>
        <v>2</v>
      </c>
      <c r="U128" s="213">
        <f>IFERROR(__xludf.DUMMYFUNCTION("""COMPUTED_VALUE"""),2338.0)</f>
        <v>2338</v>
      </c>
      <c r="V128" s="271" t="str">
        <f>IFERROR(__xludf.DUMMYFUNCTION("""COMPUTED_VALUE"""),"overall")</f>
        <v>overall</v>
      </c>
      <c r="W128" s="98" t="str">
        <f>IFERROR(__xludf.DUMMYFUNCTION("""COMPUTED_VALUE"""),"SMS")</f>
        <v>SMS</v>
      </c>
      <c r="X128" s="98" t="str">
        <f>IFERROR(__xludf.DUMMYFUNCTION("""COMPUTED_VALUE"""),"Full Price Shopper")</f>
        <v>Full Price Shopper</v>
      </c>
      <c r="Y128" s="98" t="str">
        <f>IFERROR(__xludf.DUMMYFUNCTION("""COMPUTED_VALUE"""),"11th Feb - 15th Feb")</f>
        <v>11th Feb - 15th Feb</v>
      </c>
      <c r="Z128" s="98" t="str">
        <f>IFERROR(__xludf.DUMMYFUNCTION("""COMPUTED_VALUE"""),"698c0ca21cbd7d09b85ef7db")</f>
        <v>698c0ca21cbd7d09b85ef7db</v>
      </c>
      <c r="AA128" s="98">
        <f>IFERROR(__xludf.DUMMYFUNCTION("""COMPUTED_VALUE"""),18.0)</f>
        <v>18</v>
      </c>
      <c r="AB128" s="98">
        <f>IFERROR(__xludf.DUMMYFUNCTION("""COMPUTED_VALUE"""),1.0)</f>
        <v>1</v>
      </c>
      <c r="AC128" s="98">
        <f>IFERROR(__xludf.DUMMYFUNCTION("""COMPUTED_VALUE"""),17.0)</f>
        <v>17</v>
      </c>
      <c r="AD128" s="98">
        <f>IFERROR(__xludf.DUMMYFUNCTION("""COMPUTED_VALUE"""),97835.0)</f>
        <v>97835</v>
      </c>
      <c r="AE128" s="98">
        <f>IFERROR(__xludf.DUMMYFUNCTION("""COMPUTED_VALUE"""),2398.0)</f>
        <v>2398</v>
      </c>
      <c r="AF128" s="98">
        <f>IFERROR(__xludf.DUMMYFUNCTION("""COMPUTED_VALUE"""),95437.0)</f>
        <v>95437</v>
      </c>
      <c r="AG128" s="208"/>
      <c r="AH128" s="208"/>
      <c r="AI128" s="208"/>
      <c r="AJ128" s="208"/>
      <c r="AK128" s="208"/>
    </row>
    <row r="129" hidden="1">
      <c r="A129" s="245">
        <f>IFERROR(__xludf.DUMMYFUNCTION("""COMPUTED_VALUE"""),46064.0)</f>
        <v>46064</v>
      </c>
      <c r="B129" s="246">
        <f>IFERROR(__xludf.DUMMYFUNCTION("""COMPUTED_VALUE"""),0.5208333333321207)</f>
        <v>0.5208333333</v>
      </c>
      <c r="C129" s="221" t="str">
        <f>IFERROR(__xludf.DUMMYFUNCTION("""COMPUTED_VALUE"""),"Sms")</f>
        <v>Sms</v>
      </c>
      <c r="D129" s="221" t="str">
        <f>IFERROR(__xludf.DUMMYFUNCTION("""COMPUTED_VALUE"""),"Fallback Campaign")</f>
        <v>Fallback Campaign</v>
      </c>
      <c r="E129" s="221" t="str">
        <f>IFERROR(__xludf.DUMMYFUNCTION("""COMPUTED_VALUE"""),"BBW")</f>
        <v>BBW</v>
      </c>
      <c r="F129" s="222" t="str">
        <f>IFERROR(__xludf.DUMMYFUNCTION("""COMPUTED_VALUE"""),"Valentine's Day")</f>
        <v>Valentine's Day</v>
      </c>
      <c r="G129" s="221" t="str">
        <f>IFERROR(__xludf.DUMMYFUNCTION("""COMPUTED_VALUE"""),"bbw_vdayedit11.2_loyalWAFB")</f>
        <v>bbw_vdayedit11.2_loyalWAFB</v>
      </c>
      <c r="H129" s="269" t="str">
        <f>IFERROR(__xludf.DUMMYFUNCTION("""COMPUTED_VALUE"""),"Loyal_BC_GiftSets_LipCare_OnOff OR AGIPL_Internal OR BBW_Internal")</f>
        <v>Loyal_BC_GiftSets_LipCare_OnOff OR AGIPL_Internal OR BBW_Internal</v>
      </c>
      <c r="I129" s="223" t="str">
        <f>IFERROR(__xludf.DUMMYFUNCTION("""COMPUTED_VALUE"""),"WA Undelivered")</f>
        <v>WA Undelivered</v>
      </c>
      <c r="J129" s="213">
        <f>IFERROR(__xludf.DUMMYFUNCTION("""COMPUTED_VALUE"""),116966.0)</f>
        <v>116966</v>
      </c>
      <c r="K129" s="213">
        <f>IFERROR(__xludf.DUMMYFUNCTION("""COMPUTED_VALUE"""),64699.0)</f>
        <v>64699</v>
      </c>
      <c r="L129" s="214">
        <f>IFERROR(__xludf.DUMMYFUNCTION("""COMPUTED_VALUE"""),0.5531)</f>
        <v>0.5531</v>
      </c>
      <c r="M129" s="213"/>
      <c r="N129" s="214"/>
      <c r="O129" s="213">
        <f>IFERROR(__xludf.DUMMYFUNCTION("""COMPUTED_VALUE"""),51.0)</f>
        <v>51</v>
      </c>
      <c r="P129" s="213"/>
      <c r="Q129" s="214">
        <f>IFERROR(__xludf.DUMMYFUNCTION("""COMPUTED_VALUE"""),8.0E-4)</f>
        <v>0.0008</v>
      </c>
      <c r="R129" s="214"/>
      <c r="S129" s="101">
        <f>IFERROR(__xludf.DUMMYFUNCTION("""COMPUTED_VALUE"""),13.0)</f>
        <v>13</v>
      </c>
      <c r="T129" s="101">
        <f>IFERROR(__xludf.DUMMYFUNCTION("""COMPUTED_VALUE"""),47.0)</f>
        <v>47</v>
      </c>
      <c r="U129" s="213">
        <f>IFERROR(__xludf.DUMMYFUNCTION("""COMPUTED_VALUE"""),70193.0)</f>
        <v>70193</v>
      </c>
      <c r="V129" s="271" t="str">
        <f>IFERROR(__xludf.DUMMYFUNCTION("""COMPUTED_VALUE"""),"overall")</f>
        <v>overall</v>
      </c>
      <c r="W129" s="98" t="str">
        <f>IFERROR(__xludf.DUMMYFUNCTION("""COMPUTED_VALUE"""),"SMS")</f>
        <v>SMS</v>
      </c>
      <c r="X129" s="98" t="str">
        <f>IFERROR(__xludf.DUMMYFUNCTION("""COMPUTED_VALUE"""),"Loyal")</f>
        <v>Loyal</v>
      </c>
      <c r="Y129" s="98" t="str">
        <f>IFERROR(__xludf.DUMMYFUNCTION("""COMPUTED_VALUE"""),"11th Feb - 15th Feb")</f>
        <v>11th Feb - 15th Feb</v>
      </c>
      <c r="Z129" s="98" t="str">
        <f>IFERROR(__xludf.DUMMYFUNCTION("""COMPUTED_VALUE"""),"698c0d1674ed5cad00864212")</f>
        <v>698c0d1674ed5cad00864212</v>
      </c>
      <c r="AA129" s="98">
        <f>IFERROR(__xludf.DUMMYFUNCTION("""COMPUTED_VALUE"""),442.0)</f>
        <v>442</v>
      </c>
      <c r="AB129" s="98">
        <f>IFERROR(__xludf.DUMMYFUNCTION("""COMPUTED_VALUE"""),60.0)</f>
        <v>60</v>
      </c>
      <c r="AC129" s="98">
        <f>IFERROR(__xludf.DUMMYFUNCTION("""COMPUTED_VALUE"""),382.0)</f>
        <v>382</v>
      </c>
      <c r="AD129" s="98">
        <f>IFERROR(__xludf.DUMMYFUNCTION("""COMPUTED_VALUE"""),2381066.0)</f>
        <v>2381066</v>
      </c>
      <c r="AE129" s="98">
        <f>IFERROR(__xludf.DUMMYFUNCTION("""COMPUTED_VALUE"""),250205.0)</f>
        <v>250205</v>
      </c>
      <c r="AF129" s="98">
        <f>IFERROR(__xludf.DUMMYFUNCTION("""COMPUTED_VALUE"""),2130861.0)</f>
        <v>2130861</v>
      </c>
      <c r="AG129" s="208"/>
      <c r="AH129" s="208"/>
      <c r="AI129" s="208"/>
      <c r="AJ129" s="208"/>
      <c r="AK129" s="208"/>
    </row>
    <row r="130" hidden="1">
      <c r="A130" s="245">
        <f>IFERROR(__xludf.DUMMYFUNCTION("""COMPUTED_VALUE"""),46064.0)</f>
        <v>46064</v>
      </c>
      <c r="B130" s="246">
        <f>IFERROR(__xludf.DUMMYFUNCTION("""COMPUTED_VALUE"""),0.5208333333321207)</f>
        <v>0.5208333333</v>
      </c>
      <c r="C130" s="221" t="str">
        <f>IFERROR(__xludf.DUMMYFUNCTION("""COMPUTED_VALUE"""),"Sms")</f>
        <v>Sms</v>
      </c>
      <c r="D130" s="221" t="str">
        <f>IFERROR(__xludf.DUMMYFUNCTION("""COMPUTED_VALUE"""),"Fallback Campaign")</f>
        <v>Fallback Campaign</v>
      </c>
      <c r="E130" s="221" t="str">
        <f>IFERROR(__xludf.DUMMYFUNCTION("""COMPUTED_VALUE"""),"BBW")</f>
        <v>BBW</v>
      </c>
      <c r="F130" s="222" t="str">
        <f>IFERROR(__xludf.DUMMYFUNCTION("""COMPUTED_VALUE"""),"Valentine's Day")</f>
        <v>Valentine's Day</v>
      </c>
      <c r="G130" s="221" t="str">
        <f>IFERROR(__xludf.DUMMYFUNCTION("""COMPUTED_VALUE"""),"bbw_vdayedit11.2_eventbuyRCSFB")</f>
        <v>bbw_vdayedit11.2_eventbuyRCSFB</v>
      </c>
      <c r="H130" s="269" t="str">
        <f>IFERROR(__xludf.DUMMYFUNCTION("""COMPUTED_VALUE"""),"Valentine_Buyers_OnOff")</f>
        <v>Valentine_Buyers_OnOff</v>
      </c>
      <c r="I130" s="223" t="str">
        <f>IFERROR(__xludf.DUMMYFUNCTION("""COMPUTED_VALUE"""),"RCS Delivery Failed")</f>
        <v>RCS Delivery Failed</v>
      </c>
      <c r="J130" s="213">
        <f>IFERROR(__xludf.DUMMYFUNCTION("""COMPUTED_VALUE"""),12674.0)</f>
        <v>12674</v>
      </c>
      <c r="K130" s="213">
        <f>IFERROR(__xludf.DUMMYFUNCTION("""COMPUTED_VALUE"""),7844.0)</f>
        <v>7844</v>
      </c>
      <c r="L130" s="214">
        <f>IFERROR(__xludf.DUMMYFUNCTION("""COMPUTED_VALUE"""),0.6189)</f>
        <v>0.6189</v>
      </c>
      <c r="M130" s="213"/>
      <c r="N130" s="214"/>
      <c r="O130" s="213">
        <f>IFERROR(__xludf.DUMMYFUNCTION("""COMPUTED_VALUE"""),1.0)</f>
        <v>1</v>
      </c>
      <c r="P130" s="213"/>
      <c r="Q130" s="214">
        <f>IFERROR(__xludf.DUMMYFUNCTION("""COMPUTED_VALUE"""),1.0E-4)</f>
        <v>0.0001</v>
      </c>
      <c r="R130" s="214"/>
      <c r="S130" s="101">
        <f>IFERROR(__xludf.DUMMYFUNCTION("""COMPUTED_VALUE"""),1.0)</f>
        <v>1</v>
      </c>
      <c r="T130" s="101">
        <f>IFERROR(__xludf.DUMMYFUNCTION("""COMPUTED_VALUE"""),2.0)</f>
        <v>2</v>
      </c>
      <c r="U130" s="213">
        <f>IFERROR(__xludf.DUMMYFUNCTION("""COMPUTED_VALUE"""),5396.0)</f>
        <v>5396</v>
      </c>
      <c r="V130" s="271" t="str">
        <f>IFERROR(__xludf.DUMMYFUNCTION("""COMPUTED_VALUE"""),"overall")</f>
        <v>overall</v>
      </c>
      <c r="W130" s="98" t="str">
        <f>IFERROR(__xludf.DUMMYFUNCTION("""COMPUTED_VALUE"""),"SMS")</f>
        <v>SMS</v>
      </c>
      <c r="X130" s="98" t="str">
        <f>IFERROR(__xludf.DUMMYFUNCTION("""COMPUTED_VALUE"""),"Event Buyers")</f>
        <v>Event Buyers</v>
      </c>
      <c r="Y130" s="98" t="str">
        <f>IFERROR(__xludf.DUMMYFUNCTION("""COMPUTED_VALUE"""),"11th Feb - 15th Feb")</f>
        <v>11th Feb - 15th Feb</v>
      </c>
      <c r="Z130" s="98" t="str">
        <f>IFERROR(__xludf.DUMMYFUNCTION("""COMPUTED_VALUE"""),"698c0d74e253ff0b4767fdd5")</f>
        <v>698c0d74e253ff0b4767fdd5</v>
      </c>
      <c r="AA130" s="98">
        <f>IFERROR(__xludf.DUMMYFUNCTION("""COMPUTED_VALUE"""),25.0)</f>
        <v>25</v>
      </c>
      <c r="AB130" s="98">
        <f>IFERROR(__xludf.DUMMYFUNCTION("""COMPUTED_VALUE"""),4.0)</f>
        <v>4</v>
      </c>
      <c r="AC130" s="98">
        <f>IFERROR(__xludf.DUMMYFUNCTION("""COMPUTED_VALUE"""),21.0)</f>
        <v>21</v>
      </c>
      <c r="AD130" s="98">
        <f>IFERROR(__xludf.DUMMYFUNCTION("""COMPUTED_VALUE"""),108331.0)</f>
        <v>108331</v>
      </c>
      <c r="AE130" s="98">
        <f>IFERROR(__xludf.DUMMYFUNCTION("""COMPUTED_VALUE"""),10980.0)</f>
        <v>10980</v>
      </c>
      <c r="AF130" s="98">
        <f>IFERROR(__xludf.DUMMYFUNCTION("""COMPUTED_VALUE"""),97351.0)</f>
        <v>97351</v>
      </c>
      <c r="AG130" s="208"/>
      <c r="AH130" s="208"/>
      <c r="AI130" s="208"/>
      <c r="AJ130" s="208"/>
      <c r="AK130" s="208"/>
    </row>
    <row r="131" hidden="1">
      <c r="A131" s="245">
        <f>IFERROR(__xludf.DUMMYFUNCTION("""COMPUTED_VALUE"""),46064.0)</f>
        <v>46064</v>
      </c>
      <c r="B131" s="246">
        <f>IFERROR(__xludf.DUMMYFUNCTION("""COMPUTED_VALUE"""),0.5208333333321207)</f>
        <v>0.5208333333</v>
      </c>
      <c r="C131" s="221" t="str">
        <f>IFERROR(__xludf.DUMMYFUNCTION("""COMPUTED_VALUE"""),"Sms")</f>
        <v>Sms</v>
      </c>
      <c r="D131" s="221" t="str">
        <f>IFERROR(__xludf.DUMMYFUNCTION("""COMPUTED_VALUE"""),"Fallback Campaign")</f>
        <v>Fallback Campaign</v>
      </c>
      <c r="E131" s="221" t="str">
        <f>IFERROR(__xludf.DUMMYFUNCTION("""COMPUTED_VALUE"""),"BBW")</f>
        <v>BBW</v>
      </c>
      <c r="F131" s="222" t="str">
        <f>IFERROR(__xludf.DUMMYFUNCTION("""COMPUTED_VALUE"""),"Valentine's Day")</f>
        <v>Valentine's Day</v>
      </c>
      <c r="G131" s="221" t="str">
        <f>IFERROR(__xludf.DUMMYFUNCTION("""COMPUTED_VALUE"""),"bbw_vdayedit11.2_recRCSFB")</f>
        <v>bbw_vdayedit11.2_recRCSFB</v>
      </c>
      <c r="H131" s="269" t="str">
        <f>IFERROR(__xludf.DUMMYFUNCTION("""COMPUTED_VALUE"""),"Recent_BC_Gifsets_Lipcare_OnOff")</f>
        <v>Recent_BC_Gifsets_Lipcare_OnOff</v>
      </c>
      <c r="I131" s="223" t="str">
        <f>IFERROR(__xludf.DUMMYFUNCTION("""COMPUTED_VALUE"""),"RCS Delivery Failed")</f>
        <v>RCS Delivery Failed</v>
      </c>
      <c r="J131" s="213">
        <f>IFERROR(__xludf.DUMMYFUNCTION("""COMPUTED_VALUE"""),58088.0)</f>
        <v>58088</v>
      </c>
      <c r="K131" s="213">
        <f>IFERROR(__xludf.DUMMYFUNCTION("""COMPUTED_VALUE"""),35608.0)</f>
        <v>35608</v>
      </c>
      <c r="L131" s="214">
        <f>IFERROR(__xludf.DUMMYFUNCTION("""COMPUTED_VALUE"""),0.613)</f>
        <v>0.613</v>
      </c>
      <c r="M131" s="213"/>
      <c r="N131" s="214"/>
      <c r="O131" s="213">
        <f>IFERROR(__xludf.DUMMYFUNCTION("""COMPUTED_VALUE"""),28.0)</f>
        <v>28</v>
      </c>
      <c r="P131" s="213"/>
      <c r="Q131" s="214">
        <f>IFERROR(__xludf.DUMMYFUNCTION("""COMPUTED_VALUE"""),8.0E-4)</f>
        <v>0.0008</v>
      </c>
      <c r="R131" s="214"/>
      <c r="S131" s="101">
        <f>IFERROR(__xludf.DUMMYFUNCTION("""COMPUTED_VALUE"""),5.0)</f>
        <v>5</v>
      </c>
      <c r="T131" s="101">
        <f>IFERROR(__xludf.DUMMYFUNCTION("""COMPUTED_VALUE"""),28.0)</f>
        <v>28</v>
      </c>
      <c r="U131" s="213">
        <f>IFERROR(__xludf.DUMMYFUNCTION("""COMPUTED_VALUE"""),14517.0)</f>
        <v>14517</v>
      </c>
      <c r="V131" s="271" t="str">
        <f>IFERROR(__xludf.DUMMYFUNCTION("""COMPUTED_VALUE"""),"overall")</f>
        <v>overall</v>
      </c>
      <c r="W131" s="98" t="str">
        <f>IFERROR(__xludf.DUMMYFUNCTION("""COMPUTED_VALUE"""),"SMS")</f>
        <v>SMS</v>
      </c>
      <c r="X131" s="98" t="str">
        <f>IFERROR(__xludf.DUMMYFUNCTION("""COMPUTED_VALUE"""),"Recent")</f>
        <v>Recent</v>
      </c>
      <c r="Y131" s="98" t="str">
        <f>IFERROR(__xludf.DUMMYFUNCTION("""COMPUTED_VALUE"""),"11th Feb - 15th Feb")</f>
        <v>11th Feb - 15th Feb</v>
      </c>
      <c r="Z131" s="98" t="str">
        <f>IFERROR(__xludf.DUMMYFUNCTION("""COMPUTED_VALUE"""),"698c0e1ac858765e7b397820")</f>
        <v>698c0e1ac858765e7b397820</v>
      </c>
      <c r="AA131" s="98">
        <f>IFERROR(__xludf.DUMMYFUNCTION("""COMPUTED_VALUE"""),112.0)</f>
        <v>112</v>
      </c>
      <c r="AB131" s="98">
        <f>IFERROR(__xludf.DUMMYFUNCTION("""COMPUTED_VALUE"""),20.0)</f>
        <v>20</v>
      </c>
      <c r="AC131" s="98">
        <f>IFERROR(__xludf.DUMMYFUNCTION("""COMPUTED_VALUE"""),92.0)</f>
        <v>92</v>
      </c>
      <c r="AD131" s="98">
        <f>IFERROR(__xludf.DUMMYFUNCTION("""COMPUTED_VALUE"""),480043.0)</f>
        <v>480043</v>
      </c>
      <c r="AE131" s="98">
        <f>IFERROR(__xludf.DUMMYFUNCTION("""COMPUTED_VALUE"""),73421.0)</f>
        <v>73421</v>
      </c>
      <c r="AF131" s="98">
        <f>IFERROR(__xludf.DUMMYFUNCTION("""COMPUTED_VALUE"""),406622.0)</f>
        <v>406622</v>
      </c>
      <c r="AG131" s="208"/>
      <c r="AH131" s="208"/>
      <c r="AI131" s="208"/>
      <c r="AJ131" s="208"/>
      <c r="AK131" s="208"/>
    </row>
    <row r="132" hidden="1">
      <c r="A132" s="245">
        <f>IFERROR(__xludf.DUMMYFUNCTION("""COMPUTED_VALUE"""),46064.0)</f>
        <v>46064</v>
      </c>
      <c r="B132" s="246">
        <f>IFERROR(__xludf.DUMMYFUNCTION("""COMPUTED_VALUE"""),0.4375)</f>
        <v>0.4375</v>
      </c>
      <c r="C132" s="221" t="str">
        <f>IFERROR(__xludf.DUMMYFUNCTION("""COMPUTED_VALUE"""),"Rcs")</f>
        <v>Rcs</v>
      </c>
      <c r="D132" s="221" t="str">
        <f>IFERROR(__xludf.DUMMYFUNCTION("""COMPUTED_VALUE"""),"Promotional")</f>
        <v>Promotional</v>
      </c>
      <c r="E132" s="221" t="str">
        <f>IFERROR(__xludf.DUMMYFUNCTION("""COMPUTED_VALUE"""),"BBW")</f>
        <v>BBW</v>
      </c>
      <c r="F132" s="222" t="str">
        <f>IFERROR(__xludf.DUMMYFUNCTION("""COMPUTED_VALUE"""),"Valentine's Day")</f>
        <v>Valentine's Day</v>
      </c>
      <c r="G132" s="221" t="str">
        <f>IFERROR(__xludf.DUMMYFUNCTION("""COMPUTED_VALUE"""),"bbw_vdayedit11.2_recRCS")</f>
        <v>bbw_vdayedit11.2_recRCS</v>
      </c>
      <c r="H132" s="269" t="str">
        <f>IFERROR(__xludf.DUMMYFUNCTION("""COMPUTED_VALUE"""),"Recent_BC_Gifsets_Lipcare_OnOff")</f>
        <v>Recent_BC_Gifsets_Lipcare_OnOff</v>
      </c>
      <c r="I132" s="223" t="str">
        <f>IFERROR(__xludf.DUMMYFUNCTION("""COMPUTED_VALUE"""),"Customers who have purchased atleat 1 time in the last 90 days with Cat L2 contains Lip Care, Body Care and Giftsets AND Excluding Full Price, Loyal, Event Buyers")</f>
        <v>Customers who have purchased atleat 1 time in the last 90 days with Cat L2 contains Lip Care, Body Care and Giftsets AND Excluding Full Price, Loyal, Event Buyers</v>
      </c>
      <c r="J132" s="213">
        <f>IFERROR(__xludf.DUMMYFUNCTION("""COMPUTED_VALUE"""),69788.0)</f>
        <v>69788</v>
      </c>
      <c r="K132" s="213">
        <f>IFERROR(__xludf.DUMMYFUNCTION("""COMPUTED_VALUE"""),11381.0)</f>
        <v>11381</v>
      </c>
      <c r="L132" s="214">
        <f>IFERROR(__xludf.DUMMYFUNCTION("""COMPUTED_VALUE"""),0.163)</f>
        <v>0.163</v>
      </c>
      <c r="M132" s="213">
        <f>IFERROR(__xludf.DUMMYFUNCTION("""COMPUTED_VALUE"""),1509.0)</f>
        <v>1509</v>
      </c>
      <c r="N132" s="214">
        <f>IFERROR(__xludf.DUMMYFUNCTION("""COMPUTED_VALUE"""),0.133)</f>
        <v>0.133</v>
      </c>
      <c r="O132" s="213">
        <f>IFERROR(__xludf.DUMMYFUNCTION("""COMPUTED_VALUE"""),64.0)</f>
        <v>64</v>
      </c>
      <c r="P132" s="213"/>
      <c r="Q132" s="214">
        <f>IFERROR(__xludf.DUMMYFUNCTION("""COMPUTED_VALUE"""),0.006)</f>
        <v>0.006</v>
      </c>
      <c r="R132" s="214"/>
      <c r="S132" s="101">
        <f>IFERROR(__xludf.DUMMYFUNCTION("""COMPUTED_VALUE"""),1.0)</f>
        <v>1</v>
      </c>
      <c r="T132" s="101">
        <f>IFERROR(__xludf.DUMMYFUNCTION("""COMPUTED_VALUE"""),9.0)</f>
        <v>9</v>
      </c>
      <c r="U132" s="213">
        <f>IFERROR(__xludf.DUMMYFUNCTION("""COMPUTED_VALUE"""),3776.0)</f>
        <v>3776</v>
      </c>
      <c r="V132" s="271" t="str">
        <f>IFERROR(__xludf.DUMMYFUNCTION("""COMPUTED_VALUE"""),"overall")</f>
        <v>overall</v>
      </c>
      <c r="W132" s="98" t="str">
        <f>IFERROR(__xludf.DUMMYFUNCTION("""COMPUTED_VALUE"""),"RCS")</f>
        <v>RCS</v>
      </c>
      <c r="X132" s="98" t="str">
        <f>IFERROR(__xludf.DUMMYFUNCTION("""COMPUTED_VALUE"""),"Recent")</f>
        <v>Recent</v>
      </c>
      <c r="Y132" s="98" t="str">
        <f>IFERROR(__xludf.DUMMYFUNCTION("""COMPUTED_VALUE"""),"11th Feb - 15th Feb")</f>
        <v>11th Feb - 15th Feb</v>
      </c>
      <c r="Z132" s="98" t="str">
        <f>IFERROR(__xludf.DUMMYFUNCTION("""COMPUTED_VALUE"""),"698c099308eba6009909febf")</f>
        <v>698c099308eba6009909febf</v>
      </c>
      <c r="AA132" s="98">
        <f>IFERROR(__xludf.DUMMYFUNCTION("""COMPUTED_VALUE"""),20.0)</f>
        <v>20</v>
      </c>
      <c r="AB132" s="98">
        <f>IFERROR(__xludf.DUMMYFUNCTION("""COMPUTED_VALUE"""),4.0)</f>
        <v>4</v>
      </c>
      <c r="AC132" s="98">
        <f>IFERROR(__xludf.DUMMYFUNCTION("""COMPUTED_VALUE"""),16.0)</f>
        <v>16</v>
      </c>
      <c r="AD132" s="98">
        <f>IFERROR(__xludf.DUMMYFUNCTION("""COMPUTED_VALUE"""),124642.0)</f>
        <v>124642</v>
      </c>
      <c r="AE132" s="98">
        <f>IFERROR(__xludf.DUMMYFUNCTION("""COMPUTED_VALUE"""),7594.0)</f>
        <v>7594</v>
      </c>
      <c r="AF132" s="98">
        <f>IFERROR(__xludf.DUMMYFUNCTION("""COMPUTED_VALUE"""),117048.0)</f>
        <v>117048</v>
      </c>
      <c r="AG132" s="208"/>
      <c r="AH132" s="208"/>
      <c r="AI132" s="208"/>
      <c r="AJ132" s="208"/>
      <c r="AK132" s="208"/>
    </row>
    <row r="133" hidden="1">
      <c r="A133" s="245">
        <f>IFERROR(__xludf.DUMMYFUNCTION("""COMPUTED_VALUE"""),46064.0)</f>
        <v>46064</v>
      </c>
      <c r="B133" s="246">
        <f>IFERROR(__xludf.DUMMYFUNCTION("""COMPUTED_VALUE"""),0.4375)</f>
        <v>0.4375</v>
      </c>
      <c r="C133" s="221" t="str">
        <f>IFERROR(__xludf.DUMMYFUNCTION("""COMPUTED_VALUE"""),"Rcs")</f>
        <v>Rcs</v>
      </c>
      <c r="D133" s="221" t="str">
        <f>IFERROR(__xludf.DUMMYFUNCTION("""COMPUTED_VALUE"""),"Promotional")</f>
        <v>Promotional</v>
      </c>
      <c r="E133" s="221" t="str">
        <f>IFERROR(__xludf.DUMMYFUNCTION("""COMPUTED_VALUE"""),"BBW")</f>
        <v>BBW</v>
      </c>
      <c r="F133" s="222" t="str">
        <f>IFERROR(__xludf.DUMMYFUNCTION("""COMPUTED_VALUE"""),"Valentine's Day")</f>
        <v>Valentine's Day</v>
      </c>
      <c r="G133" s="221" t="str">
        <f>IFERROR(__xludf.DUMMYFUNCTION("""COMPUTED_VALUE"""),"bbw_vdayedit11.2_eventbuyRCS")</f>
        <v>bbw_vdayedit11.2_eventbuyRCS</v>
      </c>
      <c r="H133" s="269" t="str">
        <f>IFERROR(__xludf.DUMMYFUNCTION("""COMPUTED_VALUE"""),"Valentine_Buyers_OnOff")</f>
        <v>Valentine_Buyers_OnOff</v>
      </c>
      <c r="I133" s="223" t="str">
        <f>IFERROR(__xludf.DUMMYFUNCTION("""COMPUTED_VALUE"""),"Customers who have purchased from 10th Feb 2023 to 14th Feb 2023 , 6th Feb 2024 to 14th Feb 2024, 6th Feb 2025 to 14th Feb 2025 AND Excluding Full Price and Loyal")</f>
        <v>Customers who have purchased from 10th Feb 2023 to 14th Feb 2023 , 6th Feb 2024 to 14th Feb 2024, 6th Feb 2025 to 14th Feb 2025 AND Excluding Full Price and Loyal</v>
      </c>
      <c r="J133" s="213">
        <f>IFERROR(__xludf.DUMMYFUNCTION("""COMPUTED_VALUE"""),13987.0)</f>
        <v>13987</v>
      </c>
      <c r="K133" s="213">
        <f>IFERROR(__xludf.DUMMYFUNCTION("""COMPUTED_VALUE"""),1088.0)</f>
        <v>1088</v>
      </c>
      <c r="L133" s="214">
        <f>IFERROR(__xludf.DUMMYFUNCTION("""COMPUTED_VALUE"""),0.078)</f>
        <v>0.078</v>
      </c>
      <c r="M133" s="213">
        <f>IFERROR(__xludf.DUMMYFUNCTION("""COMPUTED_VALUE"""),136.0)</f>
        <v>136</v>
      </c>
      <c r="N133" s="214">
        <f>IFERROR(__xludf.DUMMYFUNCTION("""COMPUTED_VALUE"""),0.125)</f>
        <v>0.125</v>
      </c>
      <c r="O133" s="213">
        <f>IFERROR(__xludf.DUMMYFUNCTION("""COMPUTED_VALUE"""),3.0)</f>
        <v>3</v>
      </c>
      <c r="P133" s="213"/>
      <c r="Q133" s="214">
        <f>IFERROR(__xludf.DUMMYFUNCTION("""COMPUTED_VALUE"""),0.003)</f>
        <v>0.003</v>
      </c>
      <c r="R133" s="214"/>
      <c r="S133" s="101">
        <f>IFERROR(__xludf.DUMMYFUNCTION("""COMPUTED_VALUE"""),0.0)</f>
        <v>0</v>
      </c>
      <c r="T133" s="101">
        <f>IFERROR(__xludf.DUMMYFUNCTION("""COMPUTED_VALUE"""),1.0)</f>
        <v>1</v>
      </c>
      <c r="U133" s="213">
        <f>IFERROR(__xludf.DUMMYFUNCTION("""COMPUTED_VALUE"""),0.0)</f>
        <v>0</v>
      </c>
      <c r="V133" s="271" t="str">
        <f>IFERROR(__xludf.DUMMYFUNCTION("""COMPUTED_VALUE"""),"overall")</f>
        <v>overall</v>
      </c>
      <c r="W133" s="98" t="str">
        <f>IFERROR(__xludf.DUMMYFUNCTION("""COMPUTED_VALUE"""),"RCS")</f>
        <v>RCS</v>
      </c>
      <c r="X133" s="98" t="str">
        <f>IFERROR(__xludf.DUMMYFUNCTION("""COMPUTED_VALUE"""),"Event Buyers")</f>
        <v>Event Buyers</v>
      </c>
      <c r="Y133" s="98" t="str">
        <f>IFERROR(__xludf.DUMMYFUNCTION("""COMPUTED_VALUE"""),"11th Feb - 15th Feb")</f>
        <v>11th Feb - 15th Feb</v>
      </c>
      <c r="Z133" s="98" t="str">
        <f>IFERROR(__xludf.DUMMYFUNCTION("""COMPUTED_VALUE"""),"698c098bfcccbe4c631fdb47")</f>
        <v>698c098bfcccbe4c631fdb47</v>
      </c>
      <c r="AA133" s="98">
        <f>IFERROR(__xludf.DUMMYFUNCTION("""COMPUTED_VALUE"""),3.0)</f>
        <v>3</v>
      </c>
      <c r="AB133" s="98">
        <f>IFERROR(__xludf.DUMMYFUNCTION("""COMPUTED_VALUE"""),0.0)</f>
        <v>0</v>
      </c>
      <c r="AC133" s="98">
        <f>IFERROR(__xludf.DUMMYFUNCTION("""COMPUTED_VALUE"""),3.0)</f>
        <v>3</v>
      </c>
      <c r="AD133" s="98">
        <f>IFERROR(__xludf.DUMMYFUNCTION("""COMPUTED_VALUE"""),13694.0)</f>
        <v>13694</v>
      </c>
      <c r="AE133" s="98">
        <f>IFERROR(__xludf.DUMMYFUNCTION("""COMPUTED_VALUE"""),0.0)</f>
        <v>0</v>
      </c>
      <c r="AF133" s="98">
        <f>IFERROR(__xludf.DUMMYFUNCTION("""COMPUTED_VALUE"""),13694.0)</f>
        <v>13694</v>
      </c>
      <c r="AG133" s="208"/>
      <c r="AH133" s="208"/>
      <c r="AI133" s="208"/>
      <c r="AJ133" s="208"/>
      <c r="AK133" s="208"/>
    </row>
    <row r="134" hidden="1">
      <c r="A134" s="245">
        <f>IFERROR(__xludf.DUMMYFUNCTION("""COMPUTED_VALUE"""),46065.0)</f>
        <v>46065</v>
      </c>
      <c r="B134" s="246">
        <f>IFERROR(__xludf.DUMMYFUNCTION("""COMPUTED_VALUE"""),0.75)</f>
        <v>0.75</v>
      </c>
      <c r="C134" s="221" t="str">
        <f>IFERROR(__xludf.DUMMYFUNCTION("""COMPUTED_VALUE"""),"Whatsapp")</f>
        <v>Whatsapp</v>
      </c>
      <c r="D134" s="221" t="str">
        <f>IFERROR(__xludf.DUMMYFUNCTION("""COMPUTED_VALUE"""),"Promotional")</f>
        <v>Promotional</v>
      </c>
      <c r="E134" s="221" t="str">
        <f>IFERROR(__xludf.DUMMYFUNCTION("""COMPUTED_VALUE"""),"BBW")</f>
        <v>BBW</v>
      </c>
      <c r="F134" s="222" t="str">
        <f>IFERROR(__xludf.DUMMYFUNCTION("""COMPUTED_VALUE"""),"Valentine's Day")</f>
        <v>Valentine's Day</v>
      </c>
      <c r="G134" s="221" t="str">
        <f>IFERROR(__xludf.DUMMYFUNCTION("""COMPUTED_VALUE"""),"bbw_vdayb2g212.2_eventbuyWA")</f>
        <v>bbw_vdayb2g212.2_eventbuyWA</v>
      </c>
      <c r="H134" s="269" t="str">
        <f>IFERROR(__xludf.DUMMYFUNCTION("""COMPUTED_VALUE"""),"B2G2_EventBuyers2025_ON OR AGIPL_Internal OR BBW_Internal")</f>
        <v>B2G2_EventBuyers2025_ON OR AGIPL_Internal OR BBW_Internal</v>
      </c>
      <c r="I134" s="223" t="str">
        <f>IFERROR(__xludf.DUMMYFUNCTION("""COMPUTED_VALUE"""),"Online customers who have purchased in 26th July to 27th July, 6th Aug - 10th Aug, 15th Aug - 17th Aug, 18th Oct - 22nd Oct, 22nd Jan 26th Jan")</f>
        <v>Online customers who have purchased in 26th July to 27th July, 6th Aug - 10th Aug, 15th Aug - 17th Aug, 18th Oct - 22nd Oct, 22nd Jan 26th Jan</v>
      </c>
      <c r="J134" s="213">
        <f>IFERROR(__xludf.DUMMYFUNCTION("""COMPUTED_VALUE"""),6464.0)</f>
        <v>6464</v>
      </c>
      <c r="K134" s="213">
        <f>IFERROR(__xludf.DUMMYFUNCTION("""COMPUTED_VALUE"""),1783.0)</f>
        <v>1783</v>
      </c>
      <c r="L134" s="279">
        <f>IFERROR(__xludf.DUMMYFUNCTION("""COMPUTED_VALUE"""),0.2758)</f>
        <v>0.2758</v>
      </c>
      <c r="M134" s="213">
        <f>IFERROR(__xludf.DUMMYFUNCTION("""COMPUTED_VALUE"""),778.0)</f>
        <v>778</v>
      </c>
      <c r="N134" s="214">
        <f>IFERROR(__xludf.DUMMYFUNCTION("""COMPUTED_VALUE"""),0.4366)</f>
        <v>0.4366</v>
      </c>
      <c r="O134" s="213">
        <f>IFERROR(__xludf.DUMMYFUNCTION("""COMPUTED_VALUE"""),72.0)</f>
        <v>72</v>
      </c>
      <c r="P134" s="213">
        <f>IFERROR(__xludf.DUMMYFUNCTION("""COMPUTED_VALUE"""),71.0)</f>
        <v>71</v>
      </c>
      <c r="Q134" s="214">
        <f>IFERROR(__xludf.DUMMYFUNCTION("""COMPUTED_VALUE"""),0.0398)</f>
        <v>0.0398</v>
      </c>
      <c r="R134" s="214">
        <f>IFERROR(__xludf.DUMMYFUNCTION("""COMPUTED_VALUE"""),0.0913)</f>
        <v>0.0913</v>
      </c>
      <c r="S134" s="101">
        <f>IFERROR(__xludf.DUMMYFUNCTION("""COMPUTED_VALUE"""),0.0)</f>
        <v>0</v>
      </c>
      <c r="T134" s="101">
        <f>IFERROR(__xludf.DUMMYFUNCTION("""COMPUTED_VALUE"""),4.0)</f>
        <v>4</v>
      </c>
      <c r="U134" s="213">
        <f>IFERROR(__xludf.DUMMYFUNCTION("""COMPUTED_VALUE"""),0.0)</f>
        <v>0</v>
      </c>
      <c r="V134" s="271" t="str">
        <f>IFERROR(__xludf.DUMMYFUNCTION("""COMPUTED_VALUE"""),"online")</f>
        <v>online</v>
      </c>
      <c r="W134" s="98" t="str">
        <f>IFERROR(__xludf.DUMMYFUNCTION("""COMPUTED_VALUE"""),"simple")</f>
        <v>simple</v>
      </c>
      <c r="X134" s="98" t="str">
        <f>IFERROR(__xludf.DUMMYFUNCTION("""COMPUTED_VALUE"""),"Event Buyers")</f>
        <v>Event Buyers</v>
      </c>
      <c r="Y134" s="98" t="str">
        <f>IFERROR(__xludf.DUMMYFUNCTION("""COMPUTED_VALUE"""),"12th Feb - 15th Feb")</f>
        <v>12th Feb - 15th Feb</v>
      </c>
      <c r="Z134" s="98" t="str">
        <f>IFERROR(__xludf.DUMMYFUNCTION("""COMPUTED_VALUE"""),"698d957a76b689f1d2c1fced")</f>
        <v>698d957a76b689f1d2c1fced</v>
      </c>
      <c r="AA134" s="98">
        <f>IFERROR(__xludf.DUMMYFUNCTION("""COMPUTED_VALUE"""),4.0)</f>
        <v>4</v>
      </c>
      <c r="AB134" s="98">
        <f>IFERROR(__xludf.DUMMYFUNCTION("""COMPUTED_VALUE"""),4.0)</f>
        <v>4</v>
      </c>
      <c r="AC134" s="98"/>
      <c r="AD134" s="98">
        <f>IFERROR(__xludf.DUMMYFUNCTION("""COMPUTED_VALUE"""),15588.0)</f>
        <v>15588</v>
      </c>
      <c r="AE134" s="98">
        <f>IFERROR(__xludf.DUMMYFUNCTION("""COMPUTED_VALUE"""),15588.0)</f>
        <v>15588</v>
      </c>
      <c r="AF134" s="98"/>
      <c r="AG134" s="208"/>
      <c r="AH134" s="208"/>
      <c r="AI134" s="208"/>
      <c r="AJ134" s="208"/>
      <c r="AK134" s="208"/>
    </row>
    <row r="135" hidden="1">
      <c r="A135" s="216">
        <f>IFERROR(__xludf.DUMMYFUNCTION("""COMPUTED_VALUE"""),46065.0)</f>
        <v>46065</v>
      </c>
      <c r="B135" s="210">
        <f>IFERROR(__xludf.DUMMYFUNCTION("""COMPUTED_VALUE"""),0.75)</f>
        <v>0.75</v>
      </c>
      <c r="C135" s="210" t="str">
        <f>IFERROR(__xludf.DUMMYFUNCTION("""COMPUTED_VALUE"""),"Whatsapp")</f>
        <v>Whatsapp</v>
      </c>
      <c r="D135" s="210" t="str">
        <f>IFERROR(__xludf.DUMMYFUNCTION("""COMPUTED_VALUE"""),"Promotional")</f>
        <v>Promotional</v>
      </c>
      <c r="E135" s="211" t="str">
        <f>IFERROR(__xludf.DUMMYFUNCTION("""COMPUTED_VALUE"""),"BBW")</f>
        <v>BBW</v>
      </c>
      <c r="F135" s="211" t="str">
        <f>IFERROR(__xludf.DUMMYFUNCTION("""COMPUTED_VALUE"""),"Valentine's Day")</f>
        <v>Valentine's Day</v>
      </c>
      <c r="G135" s="211" t="str">
        <f>IFERROR(__xludf.DUMMYFUNCTION("""COMPUTED_VALUE"""),"bbw_vdayb2g212.2_repeatWA")</f>
        <v>bbw_vdayb2g212.2_repeatWA</v>
      </c>
      <c r="H135" s="211" t="str">
        <f>IFERROR(__xludf.DUMMYFUNCTION("""COMPUTED_VALUE"""),"B2G2_Repeat_ON")</f>
        <v>B2G2_Repeat_ON</v>
      </c>
      <c r="I135" s="223" t="str">
        <f>IFERROR(__xludf.DUMMYFUNCTION("""COMPUTED_VALUE"""),"Online customers who have purchased atleast 2 times in the last 1 year AND Excluding B2G2 Event Buyers")</f>
        <v>Online customers who have purchased atleast 2 times in the last 1 year AND Excluding B2G2 Event Buyers</v>
      </c>
      <c r="J135" s="213">
        <f>IFERROR(__xludf.DUMMYFUNCTION("""COMPUTED_VALUE"""),28762.0)</f>
        <v>28762</v>
      </c>
      <c r="K135" s="213">
        <f>IFERROR(__xludf.DUMMYFUNCTION("""COMPUTED_VALUE"""),7369.0)</f>
        <v>7369</v>
      </c>
      <c r="L135" s="214">
        <f>IFERROR(__xludf.DUMMYFUNCTION("""COMPUTED_VALUE"""),0.2562)</f>
        <v>0.2562</v>
      </c>
      <c r="M135" s="213">
        <f>IFERROR(__xludf.DUMMYFUNCTION("""COMPUTED_VALUE"""),3381.0)</f>
        <v>3381</v>
      </c>
      <c r="N135" s="214">
        <f>IFERROR(__xludf.DUMMYFUNCTION("""COMPUTED_VALUE"""),0.459)</f>
        <v>0.459</v>
      </c>
      <c r="O135" s="213">
        <f>IFERROR(__xludf.DUMMYFUNCTION("""COMPUTED_VALUE"""),367.0)</f>
        <v>367</v>
      </c>
      <c r="P135" s="213">
        <f>IFERROR(__xludf.DUMMYFUNCTION("""COMPUTED_VALUE"""),351.0)</f>
        <v>351</v>
      </c>
      <c r="Q135" s="214">
        <f>IFERROR(__xludf.DUMMYFUNCTION("""COMPUTED_VALUE"""),0.0477)</f>
        <v>0.0477</v>
      </c>
      <c r="R135" s="214">
        <f>IFERROR(__xludf.DUMMYFUNCTION("""COMPUTED_VALUE"""),0.1038)</f>
        <v>0.1038</v>
      </c>
      <c r="S135" s="101">
        <f>IFERROR(__xludf.DUMMYFUNCTION("""COMPUTED_VALUE"""),5.0)</f>
        <v>5</v>
      </c>
      <c r="T135" s="101">
        <f>IFERROR(__xludf.DUMMYFUNCTION("""COMPUTED_VALUE"""),17.0)</f>
        <v>17</v>
      </c>
      <c r="U135" s="213">
        <f>IFERROR(__xludf.DUMMYFUNCTION("""COMPUTED_VALUE"""),30110.0)</f>
        <v>30110</v>
      </c>
      <c r="V135" s="271" t="str">
        <f>IFERROR(__xludf.DUMMYFUNCTION("""COMPUTED_VALUE"""),"online")</f>
        <v>online</v>
      </c>
      <c r="W135" s="98" t="str">
        <f>IFERROR(__xludf.DUMMYFUNCTION("""COMPUTED_VALUE"""),"simple")</f>
        <v>simple</v>
      </c>
      <c r="X135" s="98" t="str">
        <f>IFERROR(__xludf.DUMMYFUNCTION("""COMPUTED_VALUE"""),"Repeat")</f>
        <v>Repeat</v>
      </c>
      <c r="Y135" s="98" t="str">
        <f>IFERROR(__xludf.DUMMYFUNCTION("""COMPUTED_VALUE"""),"12th Feb - 15th Feb")</f>
        <v>12th Feb - 15th Feb</v>
      </c>
      <c r="Z135" s="98" t="str">
        <f>IFERROR(__xludf.DUMMYFUNCTION("""COMPUTED_VALUE"""),"698d95b53401f7c7c0e49669")</f>
        <v>698d95b53401f7c7c0e49669</v>
      </c>
      <c r="AA135" s="98">
        <f>IFERROR(__xludf.DUMMYFUNCTION("""COMPUTED_VALUE"""),19.0)</f>
        <v>19</v>
      </c>
      <c r="AB135" s="98">
        <f>IFERROR(__xludf.DUMMYFUNCTION("""COMPUTED_VALUE"""),19.0)</f>
        <v>19</v>
      </c>
      <c r="AC135" s="98"/>
      <c r="AD135" s="98">
        <f>IFERROR(__xludf.DUMMYFUNCTION("""COMPUTED_VALUE"""),89767.0)</f>
        <v>89767</v>
      </c>
      <c r="AE135" s="98">
        <f>IFERROR(__xludf.DUMMYFUNCTION("""COMPUTED_VALUE"""),89767.0)</f>
        <v>89767</v>
      </c>
      <c r="AF135" s="98"/>
      <c r="AG135" s="208"/>
      <c r="AH135" s="208"/>
      <c r="AI135" s="208"/>
      <c r="AJ135" s="208"/>
      <c r="AK135" s="208"/>
    </row>
    <row r="136" hidden="1">
      <c r="A136" s="216">
        <f>IFERROR(__xludf.DUMMYFUNCTION("""COMPUTED_VALUE"""),46065.0)</f>
        <v>46065</v>
      </c>
      <c r="B136" s="217">
        <f>IFERROR(__xludf.DUMMYFUNCTION("""COMPUTED_VALUE"""),0.8333333333321207)</f>
        <v>0.8333333333</v>
      </c>
      <c r="C136" s="211" t="str">
        <f>IFERROR(__xludf.DUMMYFUNCTION("""COMPUTED_VALUE"""),"Sms")</f>
        <v>Sms</v>
      </c>
      <c r="D136" s="211" t="str">
        <f>IFERROR(__xludf.DUMMYFUNCTION("""COMPUTED_VALUE"""),"Fallback Campaign")</f>
        <v>Fallback Campaign</v>
      </c>
      <c r="E136" s="211" t="str">
        <f>IFERROR(__xludf.DUMMYFUNCTION("""COMPUTED_VALUE"""),"BBW")</f>
        <v>BBW</v>
      </c>
      <c r="F136" s="211" t="str">
        <f>IFERROR(__xludf.DUMMYFUNCTION("""COMPUTED_VALUE"""),"Valentine's Day")</f>
        <v>Valentine's Day</v>
      </c>
      <c r="G136" s="211" t="str">
        <f>IFERROR(__xludf.DUMMYFUNCTION("""COMPUTED_VALUE"""),"bbw_vdayb2g212.2_eventbuyWAFB")</f>
        <v>bbw_vdayb2g212.2_eventbuyWAFB</v>
      </c>
      <c r="H136" s="112" t="str">
        <f>IFERROR(__xludf.DUMMYFUNCTION("""COMPUTED_VALUE"""),"B2G2_EventBuyers2025_ON OR AGIPL_Internal OR BBW_Internal")</f>
        <v>B2G2_EventBuyers2025_ON OR AGIPL_Internal OR BBW_Internal</v>
      </c>
      <c r="I136" s="212" t="str">
        <f>IFERROR(__xludf.DUMMYFUNCTION("""COMPUTED_VALUE"""),"WA Undelivered")</f>
        <v>WA Undelivered</v>
      </c>
      <c r="J136" s="213">
        <f>IFERROR(__xludf.DUMMYFUNCTION("""COMPUTED_VALUE"""),4606.0)</f>
        <v>4606</v>
      </c>
      <c r="K136" s="213">
        <f>IFERROR(__xludf.DUMMYFUNCTION("""COMPUTED_VALUE"""),2428.0)</f>
        <v>2428</v>
      </c>
      <c r="L136" s="214">
        <f>IFERROR(__xludf.DUMMYFUNCTION("""COMPUTED_VALUE"""),0.5271)</f>
        <v>0.5271</v>
      </c>
      <c r="M136" s="213"/>
      <c r="N136" s="214"/>
      <c r="O136" s="213">
        <f>IFERROR(__xludf.DUMMYFUNCTION("""COMPUTED_VALUE"""),12.0)</f>
        <v>12</v>
      </c>
      <c r="P136" s="213"/>
      <c r="Q136" s="214">
        <f>IFERROR(__xludf.DUMMYFUNCTION("""COMPUTED_VALUE"""),0.0049)</f>
        <v>0.0049</v>
      </c>
      <c r="R136" s="214"/>
      <c r="S136" s="101">
        <f>IFERROR(__xludf.DUMMYFUNCTION("""COMPUTED_VALUE"""),3.0)</f>
        <v>3</v>
      </c>
      <c r="T136" s="101">
        <f>IFERROR(__xludf.DUMMYFUNCTION("""COMPUTED_VALUE"""),9.0)</f>
        <v>9</v>
      </c>
      <c r="U136" s="213">
        <f>IFERROR(__xludf.DUMMYFUNCTION("""COMPUTED_VALUE"""),21158.0)</f>
        <v>21158</v>
      </c>
      <c r="V136" s="271" t="str">
        <f>IFERROR(__xludf.DUMMYFUNCTION("""COMPUTED_VALUE"""),"online")</f>
        <v>online</v>
      </c>
      <c r="W136" s="98" t="str">
        <f>IFERROR(__xludf.DUMMYFUNCTION("""COMPUTED_VALUE"""),"SMS")</f>
        <v>SMS</v>
      </c>
      <c r="X136" s="98" t="str">
        <f>IFERROR(__xludf.DUMMYFUNCTION("""COMPUTED_VALUE"""),"Event Buyers")</f>
        <v>Event Buyers</v>
      </c>
      <c r="Y136" s="98" t="str">
        <f>IFERROR(__xludf.DUMMYFUNCTION("""COMPUTED_VALUE"""),"12th Feb - 15th Feb")</f>
        <v>12th Feb - 15th Feb</v>
      </c>
      <c r="Z136" s="98" t="str">
        <f>IFERROR(__xludf.DUMMYFUNCTION("""COMPUTED_VALUE"""),"698d9595c46504f83dbccb20")</f>
        <v>698d9595c46504f83dbccb20</v>
      </c>
      <c r="AA136" s="98">
        <f>IFERROR(__xludf.DUMMYFUNCTION("""COMPUTED_VALUE"""),11.0)</f>
        <v>11</v>
      </c>
      <c r="AB136" s="98">
        <f>IFERROR(__xludf.DUMMYFUNCTION("""COMPUTED_VALUE"""),11.0)</f>
        <v>11</v>
      </c>
      <c r="AC136" s="98"/>
      <c r="AD136" s="98">
        <f>IFERROR(__xludf.DUMMYFUNCTION("""COMPUTED_VALUE"""),70277.0)</f>
        <v>70277</v>
      </c>
      <c r="AE136" s="98">
        <f>IFERROR(__xludf.DUMMYFUNCTION("""COMPUTED_VALUE"""),70277.0)</f>
        <v>70277</v>
      </c>
      <c r="AF136" s="98"/>
      <c r="AG136" s="208"/>
      <c r="AH136" s="208"/>
      <c r="AI136" s="208"/>
      <c r="AJ136" s="208"/>
      <c r="AK136" s="208"/>
    </row>
    <row r="137" hidden="1">
      <c r="A137" s="216">
        <f>IFERROR(__xludf.DUMMYFUNCTION("""COMPUTED_VALUE"""),46065.0)</f>
        <v>46065</v>
      </c>
      <c r="B137" s="217">
        <f>IFERROR(__xludf.DUMMYFUNCTION("""COMPUTED_VALUE"""),0.8333333333321207)</f>
        <v>0.8333333333</v>
      </c>
      <c r="C137" s="211" t="str">
        <f>IFERROR(__xludf.DUMMYFUNCTION("""COMPUTED_VALUE"""),"Sms")</f>
        <v>Sms</v>
      </c>
      <c r="D137" s="211" t="str">
        <f>IFERROR(__xludf.DUMMYFUNCTION("""COMPUTED_VALUE"""),"Fallback Campaign")</f>
        <v>Fallback Campaign</v>
      </c>
      <c r="E137" s="211" t="str">
        <f>IFERROR(__xludf.DUMMYFUNCTION("""COMPUTED_VALUE"""),"BBW")</f>
        <v>BBW</v>
      </c>
      <c r="F137" s="211" t="str">
        <f>IFERROR(__xludf.DUMMYFUNCTION("""COMPUTED_VALUE"""),"Valentine's Day")</f>
        <v>Valentine's Day</v>
      </c>
      <c r="G137" s="211" t="str">
        <f>IFERROR(__xludf.DUMMYFUNCTION("""COMPUTED_VALUE"""),"bbw_vdayb2g212.2_repeatWAFB")</f>
        <v>bbw_vdayb2g212.2_repeatWAFB</v>
      </c>
      <c r="H137" s="112" t="str">
        <f>IFERROR(__xludf.DUMMYFUNCTION("""COMPUTED_VALUE"""),"B2G2_Repeat_ON")</f>
        <v>B2G2_Repeat_ON</v>
      </c>
      <c r="I137" s="212" t="str">
        <f>IFERROR(__xludf.DUMMYFUNCTION("""COMPUTED_VALUE"""),"WA Undelivered")</f>
        <v>WA Undelivered</v>
      </c>
      <c r="J137" s="213">
        <f>IFERROR(__xludf.DUMMYFUNCTION("""COMPUTED_VALUE"""),21109.0)</f>
        <v>21109</v>
      </c>
      <c r="K137" s="213">
        <f>IFERROR(__xludf.DUMMYFUNCTION("""COMPUTED_VALUE"""),11255.0)</f>
        <v>11255</v>
      </c>
      <c r="L137" s="214">
        <f>IFERROR(__xludf.DUMMYFUNCTION("""COMPUTED_VALUE"""),0.5332)</f>
        <v>0.5332</v>
      </c>
      <c r="M137" s="213"/>
      <c r="N137" s="214"/>
      <c r="O137" s="213">
        <f>IFERROR(__xludf.DUMMYFUNCTION("""COMPUTED_VALUE"""),81.0)</f>
        <v>81</v>
      </c>
      <c r="P137" s="213"/>
      <c r="Q137" s="214">
        <f>IFERROR(__xludf.DUMMYFUNCTION("""COMPUTED_VALUE"""),0.0072)</f>
        <v>0.0072</v>
      </c>
      <c r="R137" s="214"/>
      <c r="S137" s="101">
        <f>IFERROR(__xludf.DUMMYFUNCTION("""COMPUTED_VALUE"""),7.0)</f>
        <v>7</v>
      </c>
      <c r="T137" s="101">
        <f>IFERROR(__xludf.DUMMYFUNCTION("""COMPUTED_VALUE"""),19.0)</f>
        <v>19</v>
      </c>
      <c r="U137" s="213">
        <f>IFERROR(__xludf.DUMMYFUNCTION("""COMPUTED_VALUE"""),33698.0)</f>
        <v>33698</v>
      </c>
      <c r="V137" s="271" t="str">
        <f>IFERROR(__xludf.DUMMYFUNCTION("""COMPUTED_VALUE"""),"online")</f>
        <v>online</v>
      </c>
      <c r="W137" s="98" t="str">
        <f>IFERROR(__xludf.DUMMYFUNCTION("""COMPUTED_VALUE"""),"SMS")</f>
        <v>SMS</v>
      </c>
      <c r="X137" s="98" t="str">
        <f>IFERROR(__xludf.DUMMYFUNCTION("""COMPUTED_VALUE"""),"Repeat")</f>
        <v>Repeat</v>
      </c>
      <c r="Y137" s="98" t="str">
        <f>IFERROR(__xludf.DUMMYFUNCTION("""COMPUTED_VALUE"""),"12th Feb - 15th Feb")</f>
        <v>12th Feb - 15th Feb</v>
      </c>
      <c r="Z137" s="98" t="str">
        <f>IFERROR(__xludf.DUMMYFUNCTION("""COMPUTED_VALUE"""),"698d95cfe1a8d382a584f3c2")</f>
        <v>698d95cfe1a8d382a584f3c2</v>
      </c>
      <c r="AA137" s="98">
        <f>IFERROR(__xludf.DUMMYFUNCTION("""COMPUTED_VALUE"""),29.0)</f>
        <v>29</v>
      </c>
      <c r="AB137" s="98">
        <f>IFERROR(__xludf.DUMMYFUNCTION("""COMPUTED_VALUE"""),29.0)</f>
        <v>29</v>
      </c>
      <c r="AC137" s="98"/>
      <c r="AD137" s="98">
        <f>IFERROR(__xludf.DUMMYFUNCTION("""COMPUTED_VALUE"""),120316.0)</f>
        <v>120316</v>
      </c>
      <c r="AE137" s="98">
        <f>IFERROR(__xludf.DUMMYFUNCTION("""COMPUTED_VALUE"""),120316.0)</f>
        <v>120316</v>
      </c>
      <c r="AF137" s="98"/>
      <c r="AG137" s="208"/>
      <c r="AH137" s="208"/>
      <c r="AI137" s="208"/>
      <c r="AJ137" s="208"/>
      <c r="AK137" s="208"/>
    </row>
    <row r="138" hidden="1">
      <c r="A138" s="216">
        <f>IFERROR(__xludf.DUMMYFUNCTION("""COMPUTED_VALUE"""),46065.0)</f>
        <v>46065</v>
      </c>
      <c r="B138" s="217">
        <f>IFERROR(__xludf.DUMMYFUNCTION("""COMPUTED_VALUE"""),0.8333333333321207)</f>
        <v>0.8333333333</v>
      </c>
      <c r="C138" s="211" t="str">
        <f>IFERROR(__xludf.DUMMYFUNCTION("""COMPUTED_VALUE"""),"Sms")</f>
        <v>Sms</v>
      </c>
      <c r="D138" s="211" t="str">
        <f>IFERROR(__xludf.DUMMYFUNCTION("""COMPUTED_VALUE"""),"Fallback Campaign")</f>
        <v>Fallback Campaign</v>
      </c>
      <c r="E138" s="211" t="str">
        <f>IFERROR(__xludf.DUMMYFUNCTION("""COMPUTED_VALUE"""),"BBW")</f>
        <v>BBW</v>
      </c>
      <c r="F138" s="211" t="str">
        <f>IFERROR(__xludf.DUMMYFUNCTION("""COMPUTED_VALUE"""),"Valentine's Day")</f>
        <v>Valentine's Day</v>
      </c>
      <c r="G138" s="211" t="str">
        <f>IFERROR(__xludf.DUMMYFUNCTION("""COMPUTED_VALUE"""),"bbw_vdayb2g212.2_recRCSFB")</f>
        <v>bbw_vdayb2g212.2_recRCSFB</v>
      </c>
      <c r="H138" s="112" t="str">
        <f>IFERROR(__xludf.DUMMYFUNCTION("""COMPUTED_VALUE"""),"B2G2_Recent89_ON")</f>
        <v>B2G2_Recent89_ON</v>
      </c>
      <c r="I138" s="212" t="str">
        <f>IFERROR(__xludf.DUMMYFUNCTION("""COMPUTED_VALUE"""),"RCS Delivery Failed")</f>
        <v>RCS Delivery Failed</v>
      </c>
      <c r="J138" s="213">
        <f>IFERROR(__xludf.DUMMYFUNCTION("""COMPUTED_VALUE"""),28241.0)</f>
        <v>28241</v>
      </c>
      <c r="K138" s="213">
        <f>IFERROR(__xludf.DUMMYFUNCTION("""COMPUTED_VALUE"""),17176.0)</f>
        <v>17176</v>
      </c>
      <c r="L138" s="214">
        <f>IFERROR(__xludf.DUMMYFUNCTION("""COMPUTED_VALUE"""),0.6082)</f>
        <v>0.6082</v>
      </c>
      <c r="M138" s="213"/>
      <c r="N138" s="214"/>
      <c r="O138" s="213">
        <f>IFERROR(__xludf.DUMMYFUNCTION("""COMPUTED_VALUE"""),62.0)</f>
        <v>62</v>
      </c>
      <c r="P138" s="213"/>
      <c r="Q138" s="214">
        <f>IFERROR(__xludf.DUMMYFUNCTION("""COMPUTED_VALUE"""),0.0036)</f>
        <v>0.0036</v>
      </c>
      <c r="R138" s="214"/>
      <c r="S138" s="101">
        <f>IFERROR(__xludf.DUMMYFUNCTION("""COMPUTED_VALUE"""),1.0)</f>
        <v>1</v>
      </c>
      <c r="T138" s="101">
        <f>IFERROR(__xludf.DUMMYFUNCTION("""COMPUTED_VALUE"""),23.0)</f>
        <v>23</v>
      </c>
      <c r="U138" s="213">
        <f>IFERROR(__xludf.DUMMYFUNCTION("""COMPUTED_VALUE"""),2499.0)</f>
        <v>2499</v>
      </c>
      <c r="V138" s="271" t="str">
        <f>IFERROR(__xludf.DUMMYFUNCTION("""COMPUTED_VALUE"""),"online")</f>
        <v>online</v>
      </c>
      <c r="W138" s="98" t="str">
        <f>IFERROR(__xludf.DUMMYFUNCTION("""COMPUTED_VALUE"""),"SMS")</f>
        <v>SMS</v>
      </c>
      <c r="X138" s="98" t="str">
        <f>IFERROR(__xludf.DUMMYFUNCTION("""COMPUTED_VALUE"""),"Recent")</f>
        <v>Recent</v>
      </c>
      <c r="Y138" s="98" t="str">
        <f>IFERROR(__xludf.DUMMYFUNCTION("""COMPUTED_VALUE"""),"12th Feb - 15th Feb")</f>
        <v>12th Feb - 15th Feb</v>
      </c>
      <c r="Z138" s="98" t="str">
        <f>IFERROR(__xludf.DUMMYFUNCTION("""COMPUTED_VALUE"""),"698dacf801a8ede429c921cf")</f>
        <v>698dacf801a8ede429c921cf</v>
      </c>
      <c r="AA138" s="98">
        <f>IFERROR(__xludf.DUMMYFUNCTION("""COMPUTED_VALUE"""),14.0)</f>
        <v>14</v>
      </c>
      <c r="AB138" s="98">
        <f>IFERROR(__xludf.DUMMYFUNCTION("""COMPUTED_VALUE"""),14.0)</f>
        <v>14</v>
      </c>
      <c r="AC138" s="98"/>
      <c r="AD138" s="98">
        <f>IFERROR(__xludf.DUMMYFUNCTION("""COMPUTED_VALUE"""),47366.0)</f>
        <v>47366</v>
      </c>
      <c r="AE138" s="98">
        <f>IFERROR(__xludf.DUMMYFUNCTION("""COMPUTED_VALUE"""),47366.0)</f>
        <v>47366</v>
      </c>
      <c r="AF138" s="98"/>
      <c r="AG138" s="208"/>
      <c r="AH138" s="208"/>
      <c r="AI138" s="208"/>
      <c r="AJ138" s="208"/>
      <c r="AK138" s="208"/>
    </row>
    <row r="139" hidden="1">
      <c r="A139" s="209">
        <f>IFERROR(__xludf.DUMMYFUNCTION("""COMPUTED_VALUE"""),46065.0)</f>
        <v>46065</v>
      </c>
      <c r="B139" s="210">
        <f>IFERROR(__xludf.DUMMYFUNCTION("""COMPUTED_VALUE"""),0.75)</f>
        <v>0.75</v>
      </c>
      <c r="C139" s="211" t="str">
        <f>IFERROR(__xludf.DUMMYFUNCTION("""COMPUTED_VALUE"""),"Rcs")</f>
        <v>Rcs</v>
      </c>
      <c r="D139" s="211" t="str">
        <f>IFERROR(__xludf.DUMMYFUNCTION("""COMPUTED_VALUE"""),"Promotional")</f>
        <v>Promotional</v>
      </c>
      <c r="E139" s="211" t="str">
        <f>IFERROR(__xludf.DUMMYFUNCTION("""COMPUTED_VALUE"""),"BBW")</f>
        <v>BBW</v>
      </c>
      <c r="F139" s="211" t="str">
        <f>IFERROR(__xludf.DUMMYFUNCTION("""COMPUTED_VALUE"""),"Valentine's Day")</f>
        <v>Valentine's Day</v>
      </c>
      <c r="G139" s="212" t="str">
        <f>IFERROR(__xludf.DUMMYFUNCTION("""COMPUTED_VALUE"""),"bbw_vdayb2g212.2_recRCS")</f>
        <v>bbw_vdayb2g212.2_recRCS</v>
      </c>
      <c r="H139" s="212" t="str">
        <f>IFERROR(__xludf.DUMMYFUNCTION("""COMPUTED_VALUE"""),"B2G2_Recent89_ON")</f>
        <v>B2G2_Recent89_ON</v>
      </c>
      <c r="I139" s="212" t="str">
        <f>IFERROR(__xludf.DUMMYFUNCTION("""COMPUTED_VALUE"""),"Online customers who have purchased in the last 89 days AND Excluding B2G2 Event Buyers and Repeat Buyers")</f>
        <v>Online customers who have purchased in the last 89 days AND Excluding B2G2 Event Buyers and Repeat Buyers</v>
      </c>
      <c r="J139" s="213">
        <f>IFERROR(__xludf.DUMMYFUNCTION("""COMPUTED_VALUE"""),33088.0)</f>
        <v>33088</v>
      </c>
      <c r="K139" s="213">
        <f>IFERROR(__xludf.DUMMYFUNCTION("""COMPUTED_VALUE"""),4620.0)</f>
        <v>4620</v>
      </c>
      <c r="L139" s="214">
        <f>IFERROR(__xludf.DUMMYFUNCTION("""COMPUTED_VALUE"""),0.14)</f>
        <v>0.14</v>
      </c>
      <c r="M139" s="213">
        <f>IFERROR(__xludf.DUMMYFUNCTION("""COMPUTED_VALUE"""),620.0)</f>
        <v>620</v>
      </c>
      <c r="N139" s="214">
        <f>IFERROR(__xludf.DUMMYFUNCTION("""COMPUTED_VALUE"""),0.134)</f>
        <v>0.134</v>
      </c>
      <c r="O139" s="101">
        <f>IFERROR(__xludf.DUMMYFUNCTION("""COMPUTED_VALUE"""),48.0)</f>
        <v>48</v>
      </c>
      <c r="P139" s="101"/>
      <c r="Q139" s="214">
        <f>IFERROR(__xludf.DUMMYFUNCTION("""COMPUTED_VALUE"""),0.01)</f>
        <v>0.01</v>
      </c>
      <c r="R139" s="214"/>
      <c r="S139" s="101">
        <f>IFERROR(__xludf.DUMMYFUNCTION("""COMPUTED_VALUE"""),2.0)</f>
        <v>2</v>
      </c>
      <c r="T139" s="218">
        <f>IFERROR(__xludf.DUMMYFUNCTION("""COMPUTED_VALUE"""),6.0)</f>
        <v>6</v>
      </c>
      <c r="U139" s="270">
        <f>IFERROR(__xludf.DUMMYFUNCTION("""COMPUTED_VALUE"""),10525.0)</f>
        <v>10525</v>
      </c>
      <c r="V139" s="271" t="str">
        <f>IFERROR(__xludf.DUMMYFUNCTION("""COMPUTED_VALUE"""),"online")</f>
        <v>online</v>
      </c>
      <c r="W139" s="272" t="str">
        <f>IFERROR(__xludf.DUMMYFUNCTION("""COMPUTED_VALUE"""),"RCS")</f>
        <v>RCS</v>
      </c>
      <c r="X139" s="272" t="str">
        <f>IFERROR(__xludf.DUMMYFUNCTION("""COMPUTED_VALUE"""),"Recent")</f>
        <v>Recent</v>
      </c>
      <c r="Y139" s="272" t="str">
        <f>IFERROR(__xludf.DUMMYFUNCTION("""COMPUTED_VALUE"""),"12th Feb - 15th Feb")</f>
        <v>12th Feb - 15th Feb</v>
      </c>
      <c r="Z139" s="272" t="str">
        <f>IFERROR(__xludf.DUMMYFUNCTION("""COMPUTED_VALUE"""),"698daccca49f2fcc3e366525")</f>
        <v>698daccca49f2fcc3e366525</v>
      </c>
      <c r="AA139" s="272">
        <f>IFERROR(__xludf.DUMMYFUNCTION("""COMPUTED_VALUE"""),4.0)</f>
        <v>4</v>
      </c>
      <c r="AB139" s="272">
        <f>IFERROR(__xludf.DUMMYFUNCTION("""COMPUTED_VALUE"""),4.0)</f>
        <v>4</v>
      </c>
      <c r="AC139" s="272"/>
      <c r="AD139" s="272">
        <f>IFERROR(__xludf.DUMMYFUNCTION("""COMPUTED_VALUE"""),12423.0)</f>
        <v>12423</v>
      </c>
      <c r="AE139" s="272">
        <f>IFERROR(__xludf.DUMMYFUNCTION("""COMPUTED_VALUE"""),12423.0)</f>
        <v>12423</v>
      </c>
      <c r="AF139" s="272"/>
      <c r="AG139" s="208"/>
      <c r="AH139" s="208"/>
      <c r="AI139" s="208"/>
      <c r="AJ139" s="208"/>
      <c r="AK139" s="208"/>
    </row>
    <row r="140" hidden="1">
      <c r="A140" s="215">
        <f>IFERROR(__xludf.DUMMYFUNCTION("""COMPUTED_VALUE"""),46068.0)</f>
        <v>46068</v>
      </c>
      <c r="B140" s="210">
        <f>IFERROR(__xludf.DUMMYFUNCTION("""COMPUTED_VALUE"""),0.5)</f>
        <v>0.5</v>
      </c>
      <c r="C140" s="211" t="str">
        <f>IFERROR(__xludf.DUMMYFUNCTION("""COMPUTED_VALUE"""),"Sms")</f>
        <v>Sms</v>
      </c>
      <c r="D140" s="211" t="str">
        <f>IFERROR(__xludf.DUMMYFUNCTION("""COMPUTED_VALUE"""),"Promotional")</f>
        <v>Promotional</v>
      </c>
      <c r="E140" s="211" t="str">
        <f>IFERROR(__xludf.DUMMYFUNCTION("""COMPUTED_VALUE"""),"BBW")</f>
        <v>BBW</v>
      </c>
      <c r="F140" s="211" t="str">
        <f>IFERROR(__xludf.DUMMYFUNCTION("""COMPUTED_VALUE"""),"B2G2")</f>
        <v>B2G2</v>
      </c>
      <c r="G140" s="211" t="str">
        <f>IFERROR(__xludf.DUMMYFUNCTION("""COMPUTED_VALUE"""),"bbw_15.2_ldB2G2_eventbuy")</f>
        <v>bbw_15.2_ldB2G2_eventbuy</v>
      </c>
      <c r="H140" s="212" t="str">
        <f>IFERROR(__xludf.DUMMYFUNCTION("""COMPUTED_VALUE"""),"B2G2_EventBuyers2025_ON OR AGIPL_Internal OR BBW_Internal")</f>
        <v>B2G2_EventBuyers2025_ON OR AGIPL_Internal OR BBW_Internal</v>
      </c>
      <c r="I140" s="223" t="str">
        <f>IFERROR(__xludf.DUMMYFUNCTION("""COMPUTED_VALUE"""),"Online customers who have purchased in 26th July to 27th July, 6th Aug - 10th Aug, 15th Aug - 17th Aug, 18th Oct - 22nd Oct, 22nd Jan 26th Jan")</f>
        <v>Online customers who have purchased in 26th July to 27th July, 6th Aug - 10th Aug, 15th Aug - 17th Aug, 18th Oct - 22nd Oct, 22nd Jan 26th Jan</v>
      </c>
      <c r="J140" s="213">
        <f>IFERROR(__xludf.DUMMYFUNCTION("""COMPUTED_VALUE"""),6494.0)</f>
        <v>6494</v>
      </c>
      <c r="K140" s="213">
        <f>IFERROR(__xludf.DUMMYFUNCTION("""COMPUTED_VALUE"""),3570.0)</f>
        <v>3570</v>
      </c>
      <c r="L140" s="214">
        <f>IFERROR(__xludf.DUMMYFUNCTION("""COMPUTED_VALUE"""),0.5497)</f>
        <v>0.5497</v>
      </c>
      <c r="M140" s="213"/>
      <c r="N140" s="214"/>
      <c r="O140" s="101">
        <f>IFERROR(__xludf.DUMMYFUNCTION("""COMPUTED_VALUE"""),8.0)</f>
        <v>8</v>
      </c>
      <c r="P140" s="101"/>
      <c r="Q140" s="214">
        <f>IFERROR(__xludf.DUMMYFUNCTION("""COMPUTED_VALUE"""),0.0022)</f>
        <v>0.0022</v>
      </c>
      <c r="R140" s="214"/>
      <c r="S140" s="101">
        <f>IFERROR(__xludf.DUMMYFUNCTION("""COMPUTED_VALUE"""),1.0)</f>
        <v>1</v>
      </c>
      <c r="T140" s="101">
        <f>IFERROR(__xludf.DUMMYFUNCTION("""COMPUTED_VALUE"""),5.0)</f>
        <v>5</v>
      </c>
      <c r="U140" s="213">
        <f>IFERROR(__xludf.DUMMYFUNCTION("""COMPUTED_VALUE"""),4598.0)</f>
        <v>4598</v>
      </c>
      <c r="V140" s="271" t="str">
        <f>IFERROR(__xludf.DUMMYFUNCTION("""COMPUTED_VALUE"""),"online")</f>
        <v>online</v>
      </c>
      <c r="W140" s="98" t="str">
        <f>IFERROR(__xludf.DUMMYFUNCTION("""COMPUTED_VALUE"""),"SMS")</f>
        <v>SMS</v>
      </c>
      <c r="X140" s="98" t="str">
        <f>IFERROR(__xludf.DUMMYFUNCTION("""COMPUTED_VALUE"""),"Event Buyers")</f>
        <v>Event Buyers</v>
      </c>
      <c r="Y140" s="98" t="str">
        <f>IFERROR(__xludf.DUMMYFUNCTION("""COMPUTED_VALUE"""),"15th Feb")</f>
        <v>15th Feb</v>
      </c>
      <c r="Z140" s="98" t="str">
        <f>IFERROR(__xludf.DUMMYFUNCTION("""COMPUTED_VALUE"""),"698db25f0e3d400bac4a64ff")</f>
        <v>698db25f0e3d400bac4a64ff</v>
      </c>
      <c r="AA140" s="98">
        <f>IFERROR(__xludf.DUMMYFUNCTION("""COMPUTED_VALUE"""),4.0)</f>
        <v>4</v>
      </c>
      <c r="AB140" s="98">
        <f>IFERROR(__xludf.DUMMYFUNCTION("""COMPUTED_VALUE"""),4.0)</f>
        <v>4</v>
      </c>
      <c r="AC140" s="98"/>
      <c r="AD140" s="98">
        <f>IFERROR(__xludf.DUMMYFUNCTION("""COMPUTED_VALUE"""),24584.0)</f>
        <v>24584</v>
      </c>
      <c r="AE140" s="98">
        <f>IFERROR(__xludf.DUMMYFUNCTION("""COMPUTED_VALUE"""),24584.0)</f>
        <v>24584</v>
      </c>
      <c r="AF140" s="98"/>
      <c r="AG140" s="208"/>
      <c r="AH140" s="208"/>
      <c r="AI140" s="208"/>
      <c r="AJ140" s="208"/>
      <c r="AK140" s="208"/>
    </row>
    <row r="141" hidden="1">
      <c r="A141" s="216">
        <f>IFERROR(__xludf.DUMMYFUNCTION("""COMPUTED_VALUE"""),46068.0)</f>
        <v>46068</v>
      </c>
      <c r="B141" s="217">
        <f>IFERROR(__xludf.DUMMYFUNCTION("""COMPUTED_VALUE"""),0.5)</f>
        <v>0.5</v>
      </c>
      <c r="C141" s="211" t="str">
        <f>IFERROR(__xludf.DUMMYFUNCTION("""COMPUTED_VALUE"""),"Sms")</f>
        <v>Sms</v>
      </c>
      <c r="D141" s="211" t="str">
        <f>IFERROR(__xludf.DUMMYFUNCTION("""COMPUTED_VALUE"""),"Promotional")</f>
        <v>Promotional</v>
      </c>
      <c r="E141" s="211" t="str">
        <f>IFERROR(__xludf.DUMMYFUNCTION("""COMPUTED_VALUE"""),"BBW")</f>
        <v>BBW</v>
      </c>
      <c r="F141" s="211" t="str">
        <f>IFERROR(__xludf.DUMMYFUNCTION("""COMPUTED_VALUE"""),"B2G2")</f>
        <v>B2G2</v>
      </c>
      <c r="G141" s="211" t="str">
        <f>IFERROR(__xludf.DUMMYFUNCTION("""COMPUTED_VALUE"""),"bbw_15.2_ldB2G2_rep")</f>
        <v>bbw_15.2_ldB2G2_rep</v>
      </c>
      <c r="H141" s="112" t="str">
        <f>IFERROR(__xludf.DUMMYFUNCTION("""COMPUTED_VALUE"""),"B2G2_Repeat_ON")</f>
        <v>B2G2_Repeat_ON</v>
      </c>
      <c r="I141" s="212" t="str">
        <f>IFERROR(__xludf.DUMMYFUNCTION("""COMPUTED_VALUE"""),"Online customers who have purchased atleast 2 times in the last 1 year AND Excluding B2G2 Event Buyers")</f>
        <v>Online customers who have purchased atleast 2 times in the last 1 year AND Excluding B2G2 Event Buyers</v>
      </c>
      <c r="J141" s="213">
        <f>IFERROR(__xludf.DUMMYFUNCTION("""COMPUTED_VALUE"""),28931.0)</f>
        <v>28931</v>
      </c>
      <c r="K141" s="213">
        <f>IFERROR(__xludf.DUMMYFUNCTION("""COMPUTED_VALUE"""),15718.0)</f>
        <v>15718</v>
      </c>
      <c r="L141" s="214">
        <f>IFERROR(__xludf.DUMMYFUNCTION("""COMPUTED_VALUE"""),0.5433)</f>
        <v>0.5433</v>
      </c>
      <c r="M141" s="213"/>
      <c r="N141" s="214"/>
      <c r="O141" s="213">
        <f>IFERROR(__xludf.DUMMYFUNCTION("""COMPUTED_VALUE"""),51.0)</f>
        <v>51</v>
      </c>
      <c r="P141" s="213"/>
      <c r="Q141" s="214">
        <f>IFERROR(__xludf.DUMMYFUNCTION("""COMPUTED_VALUE"""),0.0032)</f>
        <v>0.0032</v>
      </c>
      <c r="R141" s="214"/>
      <c r="S141" s="101">
        <f>IFERROR(__xludf.DUMMYFUNCTION("""COMPUTED_VALUE"""),2.0)</f>
        <v>2</v>
      </c>
      <c r="T141" s="101">
        <f>IFERROR(__xludf.DUMMYFUNCTION("""COMPUTED_VALUE"""),10.0)</f>
        <v>10</v>
      </c>
      <c r="U141" s="213">
        <f>IFERROR(__xludf.DUMMYFUNCTION("""COMPUTED_VALUE"""),10793.0)</f>
        <v>10793</v>
      </c>
      <c r="V141" s="271" t="str">
        <f>IFERROR(__xludf.DUMMYFUNCTION("""COMPUTED_VALUE"""),"online")</f>
        <v>online</v>
      </c>
      <c r="W141" s="98" t="str">
        <f>IFERROR(__xludf.DUMMYFUNCTION("""COMPUTED_VALUE"""),"SMS")</f>
        <v>SMS</v>
      </c>
      <c r="X141" s="98" t="str">
        <f>IFERROR(__xludf.DUMMYFUNCTION("""COMPUTED_VALUE"""),"Repeat")</f>
        <v>Repeat</v>
      </c>
      <c r="Y141" s="98" t="str">
        <f>IFERROR(__xludf.DUMMYFUNCTION("""COMPUTED_VALUE"""),"15th Feb")</f>
        <v>15th Feb</v>
      </c>
      <c r="Z141" s="98" t="str">
        <f>IFERROR(__xludf.DUMMYFUNCTION("""COMPUTED_VALUE"""),"698db27c08a0b5d8066c41ee")</f>
        <v>698db27c08a0b5d8066c41ee</v>
      </c>
      <c r="AA141" s="98">
        <f>IFERROR(__xludf.DUMMYFUNCTION("""COMPUTED_VALUE"""),8.0)</f>
        <v>8</v>
      </c>
      <c r="AB141" s="98">
        <f>IFERROR(__xludf.DUMMYFUNCTION("""COMPUTED_VALUE"""),8.0)</f>
        <v>8</v>
      </c>
      <c r="AC141" s="98"/>
      <c r="AD141" s="98">
        <f>IFERROR(__xludf.DUMMYFUNCTION("""COMPUTED_VALUE"""),34764.0)</f>
        <v>34764</v>
      </c>
      <c r="AE141" s="98">
        <f>IFERROR(__xludf.DUMMYFUNCTION("""COMPUTED_VALUE"""),34764.0)</f>
        <v>34764</v>
      </c>
      <c r="AF141" s="98"/>
      <c r="AG141" s="208"/>
      <c r="AH141" s="208"/>
      <c r="AI141" s="208"/>
      <c r="AJ141" s="208"/>
      <c r="AK141" s="208"/>
    </row>
    <row r="142" hidden="1">
      <c r="A142" s="209">
        <f>IFERROR(__xludf.DUMMYFUNCTION("""COMPUTED_VALUE"""),46068.0)</f>
        <v>46068</v>
      </c>
      <c r="B142" s="210">
        <f>IFERROR(__xludf.DUMMYFUNCTION("""COMPUTED_VALUE"""),0.5)</f>
        <v>0.5</v>
      </c>
      <c r="C142" s="211" t="str">
        <f>IFERROR(__xludf.DUMMYFUNCTION("""COMPUTED_VALUE"""),"Sms")</f>
        <v>Sms</v>
      </c>
      <c r="D142" s="211" t="str">
        <f>IFERROR(__xludf.DUMMYFUNCTION("""COMPUTED_VALUE"""),"Promotional")</f>
        <v>Promotional</v>
      </c>
      <c r="E142" s="211" t="str">
        <f>IFERROR(__xludf.DUMMYFUNCTION("""COMPUTED_VALUE"""),"BBW")</f>
        <v>BBW</v>
      </c>
      <c r="F142" s="211" t="str">
        <f>IFERROR(__xludf.DUMMYFUNCTION("""COMPUTED_VALUE"""),"B2G2")</f>
        <v>B2G2</v>
      </c>
      <c r="G142" s="212" t="str">
        <f>IFERROR(__xludf.DUMMYFUNCTION("""COMPUTED_VALUE"""),"bbw_15.2_ldB2G2_rec")</f>
        <v>bbw_15.2_ldB2G2_rec</v>
      </c>
      <c r="H142" s="212" t="str">
        <f>IFERROR(__xludf.DUMMYFUNCTION("""COMPUTED_VALUE"""),"B2G2_Recent89_ON")</f>
        <v>B2G2_Recent89_ON</v>
      </c>
      <c r="I142" s="212" t="str">
        <f>IFERROR(__xludf.DUMMYFUNCTION("""COMPUTED_VALUE"""),"Online customers who have purchased in the last 89 days AND Excluding B2G2 Event Buyers and Repeat Buyers")</f>
        <v>Online customers who have purchased in the last 89 days AND Excluding B2G2 Event Buyers and Repeat Buyers</v>
      </c>
      <c r="J142" s="213">
        <f>IFERROR(__xludf.DUMMYFUNCTION("""COMPUTED_VALUE"""),32303.0)</f>
        <v>32303</v>
      </c>
      <c r="K142" s="213">
        <f>IFERROR(__xludf.DUMMYFUNCTION("""COMPUTED_VALUE"""),19672.0)</f>
        <v>19672</v>
      </c>
      <c r="L142" s="214">
        <f>IFERROR(__xludf.DUMMYFUNCTION("""COMPUTED_VALUE"""),0.609)</f>
        <v>0.609</v>
      </c>
      <c r="M142" s="213"/>
      <c r="N142" s="214"/>
      <c r="O142" s="101">
        <f>IFERROR(__xludf.DUMMYFUNCTION("""COMPUTED_VALUE"""),17.0)</f>
        <v>17</v>
      </c>
      <c r="P142" s="101"/>
      <c r="Q142" s="214">
        <f>IFERROR(__xludf.DUMMYFUNCTION("""COMPUTED_VALUE"""),9.0E-4)</f>
        <v>0.0009</v>
      </c>
      <c r="R142" s="214"/>
      <c r="S142" s="101">
        <f>IFERROR(__xludf.DUMMYFUNCTION("""COMPUTED_VALUE"""),0.0)</f>
        <v>0</v>
      </c>
      <c r="T142" s="101">
        <f>IFERROR(__xludf.DUMMYFUNCTION("""COMPUTED_VALUE"""),3.0)</f>
        <v>3</v>
      </c>
      <c r="U142" s="270">
        <f>IFERROR(__xludf.DUMMYFUNCTION("""COMPUTED_VALUE"""),0.0)</f>
        <v>0</v>
      </c>
      <c r="V142" s="271" t="str">
        <f>IFERROR(__xludf.DUMMYFUNCTION("""COMPUTED_VALUE"""),"online")</f>
        <v>online</v>
      </c>
      <c r="W142" s="272" t="str">
        <f>IFERROR(__xludf.DUMMYFUNCTION("""COMPUTED_VALUE"""),"SMS")</f>
        <v>SMS</v>
      </c>
      <c r="X142" s="272" t="str">
        <f>IFERROR(__xludf.DUMMYFUNCTION("""COMPUTED_VALUE"""),"Recent")</f>
        <v>Recent</v>
      </c>
      <c r="Y142" s="272" t="str">
        <f>IFERROR(__xludf.DUMMYFUNCTION("""COMPUTED_VALUE"""),"15th Feb")</f>
        <v>15th Feb</v>
      </c>
      <c r="Z142" s="272" t="str">
        <f>IFERROR(__xludf.DUMMYFUNCTION("""COMPUTED_VALUE"""),"698db28f79f831b517e3eb64")</f>
        <v>698db28f79f831b517e3eb64</v>
      </c>
      <c r="AA142" s="272">
        <f>IFERROR(__xludf.DUMMYFUNCTION("""COMPUTED_VALUE"""),3.0)</f>
        <v>3</v>
      </c>
      <c r="AB142" s="272">
        <f>IFERROR(__xludf.DUMMYFUNCTION("""COMPUTED_VALUE"""),3.0)</f>
        <v>3</v>
      </c>
      <c r="AC142" s="272"/>
      <c r="AD142" s="272">
        <f>IFERROR(__xludf.DUMMYFUNCTION("""COMPUTED_VALUE"""),17691.0)</f>
        <v>17691</v>
      </c>
      <c r="AE142" s="272">
        <f>IFERROR(__xludf.DUMMYFUNCTION("""COMPUTED_VALUE"""),17691.0)</f>
        <v>17691</v>
      </c>
      <c r="AF142" s="272"/>
      <c r="AG142" s="208"/>
      <c r="AH142" s="208"/>
      <c r="AI142" s="208"/>
      <c r="AJ142" s="208"/>
      <c r="AK142" s="208"/>
    </row>
    <row r="143" hidden="1">
      <c r="A143" s="245">
        <f>IFERROR(__xludf.DUMMYFUNCTION("""COMPUTED_VALUE"""),46069.0)</f>
        <v>46069</v>
      </c>
      <c r="B143" s="246">
        <f>IFERROR(__xludf.DUMMYFUNCTION("""COMPUTED_VALUE"""),0.75)</f>
        <v>0.75</v>
      </c>
      <c r="C143" s="221" t="str">
        <f>IFERROR(__xludf.DUMMYFUNCTION("""COMPUTED_VALUE"""),"Whatsapp")</f>
        <v>Whatsapp</v>
      </c>
      <c r="D143" s="221" t="str">
        <f>IFERROR(__xludf.DUMMYFUNCTION("""COMPUTED_VALUE"""),"Promotional")</f>
        <v>Promotional</v>
      </c>
      <c r="E143" s="221" t="str">
        <f>IFERROR(__xludf.DUMMYFUNCTION("""COMPUTED_VALUE"""),"BBW")</f>
        <v>BBW</v>
      </c>
      <c r="F143" s="221" t="str">
        <f>IFERROR(__xludf.DUMMYFUNCTION("""COMPUTED_VALUE"""),"899")</f>
        <v>899</v>
      </c>
      <c r="G143" s="221" t="str">
        <f>IFERROR(__xludf.DUMMYFUNCTION("""COMPUTED_VALUE"""),"bbw_16.2ffmsg899_predomWA")</f>
        <v>bbw_16.2ffmsg899_predomWA</v>
      </c>
      <c r="H143" s="269" t="str">
        <f>IFERROR(__xludf.DUMMYFUNCTION("""COMPUTED_VALUE"""),"AGIPL_Internal OR BBW_Internal OR Predom_Mist_ShowerGel_18months_On")</f>
        <v>AGIPL_Internal OR BBW_Internal OR Predom_Mist_ShowerGel_18months_On</v>
      </c>
      <c r="I143" s="223" t="str">
        <f>IFERROR(__xludf.DUMMYFUNCTION("""COMPUTED_VALUE"""),"Online customers who are predominantly buying L3 Mist , SHower Gel in the last 18 months")</f>
        <v>Online customers who are predominantly buying L3 Mist , SHower Gel in the last 18 months</v>
      </c>
      <c r="J143" s="213">
        <f>IFERROR(__xludf.DUMMYFUNCTION("""COMPUTED_VALUE"""),106506.0)</f>
        <v>106506</v>
      </c>
      <c r="K143" s="213">
        <f>IFERROR(__xludf.DUMMYFUNCTION("""COMPUTED_VALUE"""),37639.0)</f>
        <v>37639</v>
      </c>
      <c r="L143" s="214">
        <f>IFERROR(__xludf.DUMMYFUNCTION("""COMPUTED_VALUE"""),0.3534)</f>
        <v>0.3534</v>
      </c>
      <c r="M143" s="213">
        <f>IFERROR(__xludf.DUMMYFUNCTION("""COMPUTED_VALUE"""),15204.0)</f>
        <v>15204</v>
      </c>
      <c r="N143" s="214">
        <f>IFERROR(__xludf.DUMMYFUNCTION("""COMPUTED_VALUE"""),0.4038)</f>
        <v>0.4038</v>
      </c>
      <c r="O143" s="213">
        <f>IFERROR(__xludf.DUMMYFUNCTION("""COMPUTED_VALUE"""),1464.0)</f>
        <v>1464</v>
      </c>
      <c r="P143" s="213">
        <f>IFERROR(__xludf.DUMMYFUNCTION("""COMPUTED_VALUE"""),1297.0)</f>
        <v>1297</v>
      </c>
      <c r="Q143" s="214">
        <f>IFERROR(__xludf.DUMMYFUNCTION("""COMPUTED_VALUE"""),0.0345)</f>
        <v>0.0345</v>
      </c>
      <c r="R143" s="214">
        <f>IFERROR(__xludf.DUMMYFUNCTION("""COMPUTED_VALUE"""),0.0854)</f>
        <v>0.0854</v>
      </c>
      <c r="S143" s="101">
        <f>IFERROR(__xludf.DUMMYFUNCTION("""COMPUTED_VALUE"""),21.0)</f>
        <v>21</v>
      </c>
      <c r="T143" s="101">
        <f>IFERROR(__xludf.DUMMYFUNCTION("""COMPUTED_VALUE"""),54.0)</f>
        <v>54</v>
      </c>
      <c r="U143" s="213">
        <f>IFERROR(__xludf.DUMMYFUNCTION("""COMPUTED_VALUE"""),67390.0)</f>
        <v>67390</v>
      </c>
      <c r="V143" s="271" t="str">
        <f>IFERROR(__xludf.DUMMYFUNCTION("""COMPUTED_VALUE"""),"online")</f>
        <v>online</v>
      </c>
      <c r="W143" s="98" t="str">
        <f>IFERROR(__xludf.DUMMYFUNCTION("""COMPUTED_VALUE"""),"simple")</f>
        <v>simple</v>
      </c>
      <c r="X143" s="98" t="str">
        <f>IFERROR(__xludf.DUMMYFUNCTION("""COMPUTED_VALUE"""),"Predominantly Mist, Shower Gel Buyers")</f>
        <v>Predominantly Mist, Shower Gel Buyers</v>
      </c>
      <c r="Y143" s="98" t="str">
        <f>IFERROR(__xludf.DUMMYFUNCTION("""COMPUTED_VALUE"""),"16th Feb - 18th Feb")</f>
        <v>16th Feb - 18th Feb</v>
      </c>
      <c r="Z143" s="98" t="str">
        <f>IFERROR(__xludf.DUMMYFUNCTION("""COMPUTED_VALUE"""),"698edbf9831115de40b972c1")</f>
        <v>698edbf9831115de40b972c1</v>
      </c>
      <c r="AA143" s="98">
        <f>IFERROR(__xludf.DUMMYFUNCTION("""COMPUTED_VALUE"""),116.0)</f>
        <v>116</v>
      </c>
      <c r="AB143" s="98">
        <f>IFERROR(__xludf.DUMMYFUNCTION("""COMPUTED_VALUE"""),116.0)</f>
        <v>116</v>
      </c>
      <c r="AC143" s="98"/>
      <c r="AD143" s="98">
        <f>IFERROR(__xludf.DUMMYFUNCTION("""COMPUTED_VALUE"""),271058.0)</f>
        <v>271058</v>
      </c>
      <c r="AE143" s="98">
        <f>IFERROR(__xludf.DUMMYFUNCTION("""COMPUTED_VALUE"""),271058.0)</f>
        <v>271058</v>
      </c>
      <c r="AF143" s="98"/>
      <c r="AG143" s="208"/>
      <c r="AH143" s="208"/>
      <c r="AI143" s="208"/>
      <c r="AJ143" s="208"/>
      <c r="AK143" s="208"/>
    </row>
    <row r="144" hidden="1">
      <c r="A144" s="215">
        <f>IFERROR(__xludf.DUMMYFUNCTION("""COMPUTED_VALUE"""),46069.0)</f>
        <v>46069</v>
      </c>
      <c r="B144" s="210">
        <f>IFERROR(__xludf.DUMMYFUNCTION("""COMPUTED_VALUE"""),0.8125)</f>
        <v>0.8125</v>
      </c>
      <c r="C144" s="211" t="str">
        <f>IFERROR(__xludf.DUMMYFUNCTION("""COMPUTED_VALUE"""),"Sms")</f>
        <v>Sms</v>
      </c>
      <c r="D144" s="211" t="str">
        <f>IFERROR(__xludf.DUMMYFUNCTION("""COMPUTED_VALUE"""),"Promotional")</f>
        <v>Promotional</v>
      </c>
      <c r="E144" s="211" t="str">
        <f>IFERROR(__xludf.DUMMYFUNCTION("""COMPUTED_VALUE"""),"BBW")</f>
        <v>BBW</v>
      </c>
      <c r="F144" s="211" t="str">
        <f>IFERROR(__xludf.DUMMYFUNCTION("""COMPUTED_VALUE"""),"899")</f>
        <v>899</v>
      </c>
      <c r="G144" s="211" t="str">
        <f>IFERROR(__xludf.DUMMYFUNCTION("""COMPUTED_VALUE"""),"bbw_16.2ffmsg899_predomWAFB")</f>
        <v>bbw_16.2ffmsg899_predomWAFB</v>
      </c>
      <c r="H144" s="112" t="str">
        <f>IFERROR(__xludf.DUMMYFUNCTION("""COMPUTED_VALUE"""),"AGIPL_Internal OR BBW_Internal OR Predom_Mist_ShowerGel_18months_On")</f>
        <v>AGIPL_Internal OR BBW_Internal OR Predom_Mist_ShowerGel_18months_On</v>
      </c>
      <c r="I144" s="212" t="str">
        <f>IFERROR(__xludf.DUMMYFUNCTION("""COMPUTED_VALUE"""),"WA Undelivered")</f>
        <v>WA Undelivered</v>
      </c>
      <c r="J144" s="213">
        <f>IFERROR(__xludf.DUMMYFUNCTION("""COMPUTED_VALUE"""),66948.0)</f>
        <v>66948</v>
      </c>
      <c r="K144" s="213">
        <f>IFERROR(__xludf.DUMMYFUNCTION("""COMPUTED_VALUE"""),42345.0)</f>
        <v>42345</v>
      </c>
      <c r="L144" s="214">
        <f>IFERROR(__xludf.DUMMYFUNCTION("""COMPUTED_VALUE"""),0.6325)</f>
        <v>0.6325</v>
      </c>
      <c r="M144" s="213"/>
      <c r="N144" s="214"/>
      <c r="O144" s="101">
        <f>IFERROR(__xludf.DUMMYFUNCTION("""COMPUTED_VALUE"""),95.0)</f>
        <v>95</v>
      </c>
      <c r="P144" s="101"/>
      <c r="Q144" s="214">
        <f>IFERROR(__xludf.DUMMYFUNCTION("""COMPUTED_VALUE"""),0.0022)</f>
        <v>0.0022</v>
      </c>
      <c r="R144" s="214"/>
      <c r="S144" s="101">
        <f>IFERROR(__xludf.DUMMYFUNCTION("""COMPUTED_VALUE"""),17.0)</f>
        <v>17</v>
      </c>
      <c r="T144" s="101">
        <f>IFERROR(__xludf.DUMMYFUNCTION("""COMPUTED_VALUE"""),38.0)</f>
        <v>38</v>
      </c>
      <c r="U144" s="213">
        <f>IFERROR(__xludf.DUMMYFUNCTION("""COMPUTED_VALUE"""),39405.0)</f>
        <v>39405</v>
      </c>
      <c r="V144" s="271" t="str">
        <f>IFERROR(__xludf.DUMMYFUNCTION("""COMPUTED_VALUE"""),"online")</f>
        <v>online</v>
      </c>
      <c r="W144" s="98" t="str">
        <f>IFERROR(__xludf.DUMMYFUNCTION("""COMPUTED_VALUE"""),"SMS")</f>
        <v>SMS</v>
      </c>
      <c r="X144" s="98" t="str">
        <f>IFERROR(__xludf.DUMMYFUNCTION("""COMPUTED_VALUE"""),"Predominantly Mist, Shower Gel Buyers")</f>
        <v>Predominantly Mist, Shower Gel Buyers</v>
      </c>
      <c r="Y144" s="98" t="str">
        <f>IFERROR(__xludf.DUMMYFUNCTION("""COMPUTED_VALUE"""),"16th Feb - 18th Feb")</f>
        <v>16th Feb - 18th Feb</v>
      </c>
      <c r="Z144" s="98" t="str">
        <f>IFERROR(__xludf.DUMMYFUNCTION("""COMPUTED_VALUE"""),"698edcbe6235cc8a02235d81")</f>
        <v>698edcbe6235cc8a02235d81</v>
      </c>
      <c r="AA144" s="98">
        <f>IFERROR(__xludf.DUMMYFUNCTION("""COMPUTED_VALUE"""),94.0)</f>
        <v>94</v>
      </c>
      <c r="AB144" s="98">
        <f>IFERROR(__xludf.DUMMYFUNCTION("""COMPUTED_VALUE"""),94.0)</f>
        <v>94</v>
      </c>
      <c r="AC144" s="98"/>
      <c r="AD144" s="98">
        <f>IFERROR(__xludf.DUMMYFUNCTION("""COMPUTED_VALUE"""),193894.0)</f>
        <v>193894</v>
      </c>
      <c r="AE144" s="98">
        <f>IFERROR(__xludf.DUMMYFUNCTION("""COMPUTED_VALUE"""),193894.0)</f>
        <v>193894</v>
      </c>
      <c r="AF144" s="98"/>
      <c r="AG144" s="208"/>
      <c r="AH144" s="208"/>
      <c r="AI144" s="208"/>
      <c r="AJ144" s="208"/>
      <c r="AK144" s="208"/>
    </row>
    <row r="145" hidden="1">
      <c r="A145" s="215">
        <f>IFERROR(__xludf.DUMMYFUNCTION("""COMPUTED_VALUE"""),46069.0)</f>
        <v>46069</v>
      </c>
      <c r="B145" s="210">
        <f>IFERROR(__xludf.DUMMYFUNCTION("""COMPUTED_VALUE"""),0.75)</f>
        <v>0.75</v>
      </c>
      <c r="C145" s="211" t="str">
        <f>IFERROR(__xludf.DUMMYFUNCTION("""COMPUTED_VALUE"""),"Sms")</f>
        <v>Sms</v>
      </c>
      <c r="D145" s="211" t="str">
        <f>IFERROR(__xludf.DUMMYFUNCTION("""COMPUTED_VALUE"""),"Promotional")</f>
        <v>Promotional</v>
      </c>
      <c r="E145" s="211" t="str">
        <f>IFERROR(__xludf.DUMMYFUNCTION("""COMPUTED_VALUE"""),"BBW")</f>
        <v>BBW</v>
      </c>
      <c r="F145" s="211" t="str">
        <f>IFERROR(__xludf.DUMMYFUNCTION("""COMPUTED_VALUE"""),"899")</f>
        <v>899</v>
      </c>
      <c r="G145" s="211" t="str">
        <f>IFERROR(__xludf.DUMMYFUNCTION("""COMPUTED_VALUE"""),"bbw_16.2ffmsg899_repSMS")</f>
        <v>bbw_16.2ffmsg899_repSMS</v>
      </c>
      <c r="H145" s="212" t="str">
        <f>IFERROR(__xludf.DUMMYFUNCTION("""COMPUTED_VALUE"""),"Repeat_Mist_ShowerGel_On")</f>
        <v>Repeat_Mist_ShowerGel_On</v>
      </c>
      <c r="I145" s="223" t="str">
        <f>IFERROR(__xludf.DUMMYFUNCTION("""COMPUTED_VALUE"""),"Online customers purchasing Cat L3 Mist, Shower Gel atleast 2 times in the entire date range AND Excluding Predom Mist, Shower Gel Buyers")</f>
        <v>Online customers purchasing Cat L3 Mist, Shower Gel atleast 2 times in the entire date range AND Excluding Predom Mist, Shower Gel Buyers</v>
      </c>
      <c r="J145" s="213">
        <f>IFERROR(__xludf.DUMMYFUNCTION("""COMPUTED_VALUE"""),23740.0)</f>
        <v>23740</v>
      </c>
      <c r="K145" s="213">
        <f>IFERROR(__xludf.DUMMYFUNCTION("""COMPUTED_VALUE"""),13668.0)</f>
        <v>13668</v>
      </c>
      <c r="L145" s="214">
        <f>IFERROR(__xludf.DUMMYFUNCTION("""COMPUTED_VALUE"""),0.5757)</f>
        <v>0.5757</v>
      </c>
      <c r="M145" s="213"/>
      <c r="N145" s="214"/>
      <c r="O145" s="101">
        <f>IFERROR(__xludf.DUMMYFUNCTION("""COMPUTED_VALUE"""),33.0)</f>
        <v>33</v>
      </c>
      <c r="P145" s="101"/>
      <c r="Q145" s="214">
        <f>IFERROR(__xludf.DUMMYFUNCTION("""COMPUTED_VALUE"""),0.0024)</f>
        <v>0.0024</v>
      </c>
      <c r="R145" s="214"/>
      <c r="S145" s="101">
        <f>IFERROR(__xludf.DUMMYFUNCTION("""COMPUTED_VALUE"""),6.0)</f>
        <v>6</v>
      </c>
      <c r="T145" s="101">
        <f>IFERROR(__xludf.DUMMYFUNCTION("""COMPUTED_VALUE"""),16.0)</f>
        <v>16</v>
      </c>
      <c r="U145" s="213">
        <f>IFERROR(__xludf.DUMMYFUNCTION("""COMPUTED_VALUE"""),15984.0)</f>
        <v>15984</v>
      </c>
      <c r="V145" s="271" t="str">
        <f>IFERROR(__xludf.DUMMYFUNCTION("""COMPUTED_VALUE"""),"online")</f>
        <v>online</v>
      </c>
      <c r="W145" s="98" t="str">
        <f>IFERROR(__xludf.DUMMYFUNCTION("""COMPUTED_VALUE"""),"SMS")</f>
        <v>SMS</v>
      </c>
      <c r="X145" s="98" t="str">
        <f>IFERROR(__xludf.DUMMYFUNCTION("""COMPUTED_VALUE"""),"Repeat")</f>
        <v>Repeat</v>
      </c>
      <c r="Y145" s="98" t="str">
        <f>IFERROR(__xludf.DUMMYFUNCTION("""COMPUTED_VALUE"""),"16th Feb - 18th Feb")</f>
        <v>16th Feb - 18th Feb</v>
      </c>
      <c r="Z145" s="98" t="str">
        <f>IFERROR(__xludf.DUMMYFUNCTION("""COMPUTED_VALUE"""),"698edd2d6235cc8a02235da3")</f>
        <v>698edd2d6235cc8a02235da3</v>
      </c>
      <c r="AA145" s="98">
        <f>IFERROR(__xludf.DUMMYFUNCTION("""COMPUTED_VALUE"""),21.0)</f>
        <v>21</v>
      </c>
      <c r="AB145" s="98">
        <f>IFERROR(__xludf.DUMMYFUNCTION("""COMPUTED_VALUE"""),21.0)</f>
        <v>21</v>
      </c>
      <c r="AC145" s="98"/>
      <c r="AD145" s="98">
        <f>IFERROR(__xludf.DUMMYFUNCTION("""COMPUTED_VALUE"""),51664.0)</f>
        <v>51664</v>
      </c>
      <c r="AE145" s="98">
        <f>IFERROR(__xludf.DUMMYFUNCTION("""COMPUTED_VALUE"""),51664.0)</f>
        <v>51664</v>
      </c>
      <c r="AF145" s="98"/>
      <c r="AG145" s="208"/>
      <c r="AH145" s="208"/>
      <c r="AI145" s="208"/>
      <c r="AJ145" s="208"/>
      <c r="AK145" s="208"/>
    </row>
    <row r="146" hidden="1">
      <c r="A146" s="245">
        <f>IFERROR(__xludf.DUMMYFUNCTION("""COMPUTED_VALUE"""),46069.0)</f>
        <v>46069</v>
      </c>
      <c r="B146" s="246">
        <f>IFERROR(__xludf.DUMMYFUNCTION("""COMPUTED_VALUE"""),0.75)</f>
        <v>0.75</v>
      </c>
      <c r="C146" s="221" t="str">
        <f>IFERROR(__xludf.DUMMYFUNCTION("""COMPUTED_VALUE"""),"Sms")</f>
        <v>Sms</v>
      </c>
      <c r="D146" s="221" t="str">
        <f>IFERROR(__xludf.DUMMYFUNCTION("""COMPUTED_VALUE"""),"Promotional")</f>
        <v>Promotional</v>
      </c>
      <c r="E146" s="221" t="str">
        <f>IFERROR(__xludf.DUMMYFUNCTION("""COMPUTED_VALUE"""),"BBW")</f>
        <v>BBW</v>
      </c>
      <c r="F146" s="222" t="str">
        <f>IFERROR(__xludf.DUMMYFUNCTION("""COMPUTED_VALUE"""),"899")</f>
        <v>899</v>
      </c>
      <c r="G146" s="221" t="str">
        <f>IFERROR(__xludf.DUMMYFUNCTION("""COMPUTED_VALUE"""),"bbw_16.2ffmsg899_avgSMS")</f>
        <v>bbw_16.2ffmsg899_avgSMS</v>
      </c>
      <c r="H146" s="269" t="str">
        <f>IFERROR(__xludf.DUMMYFUNCTION("""COMPUTED_VALUE"""),"OrderNet_LessThan1000_Mist_ShowerGel_On")</f>
        <v>OrderNet_LessThan1000_Mist_ShowerGel_On</v>
      </c>
      <c r="I146" s="223" t="str">
        <f>IFERROR(__xludf.DUMMYFUNCTION("""COMPUTED_VALUE"""),"Online Customers whose Agg Order_Net_Val is less than 1000 and whose Cat L3 is Mist, Shower Gel")</f>
        <v>Online Customers whose Agg Order_Net_Val is less than 1000 and whose Cat L3 is Mist, Shower Gel</v>
      </c>
      <c r="J146" s="213">
        <f>IFERROR(__xludf.DUMMYFUNCTION("""COMPUTED_VALUE"""),35272.0)</f>
        <v>35272</v>
      </c>
      <c r="K146" s="213">
        <f>IFERROR(__xludf.DUMMYFUNCTION("""COMPUTED_VALUE"""),24900.0)</f>
        <v>24900</v>
      </c>
      <c r="L146" s="214">
        <f>IFERROR(__xludf.DUMMYFUNCTION("""COMPUTED_VALUE"""),0.7059)</f>
        <v>0.7059</v>
      </c>
      <c r="M146" s="213"/>
      <c r="N146" s="214"/>
      <c r="O146" s="213">
        <f>IFERROR(__xludf.DUMMYFUNCTION("""COMPUTED_VALUE"""),30.0)</f>
        <v>30</v>
      </c>
      <c r="P146" s="213"/>
      <c r="Q146" s="214">
        <f>IFERROR(__xludf.DUMMYFUNCTION("""COMPUTED_VALUE"""),0.0012)</f>
        <v>0.0012</v>
      </c>
      <c r="R146" s="214"/>
      <c r="S146" s="101">
        <f>IFERROR(__xludf.DUMMYFUNCTION("""COMPUTED_VALUE"""),1.0)</f>
        <v>1</v>
      </c>
      <c r="T146" s="101">
        <f>IFERROR(__xludf.DUMMYFUNCTION("""COMPUTED_VALUE"""),4.0)</f>
        <v>4</v>
      </c>
      <c r="U146" s="213">
        <f>IFERROR(__xludf.DUMMYFUNCTION("""COMPUTED_VALUE"""),647.0)</f>
        <v>647</v>
      </c>
      <c r="V146" s="271" t="str">
        <f>IFERROR(__xludf.DUMMYFUNCTION("""COMPUTED_VALUE"""),"online")</f>
        <v>online</v>
      </c>
      <c r="W146" s="98" t="str">
        <f>IFERROR(__xludf.DUMMYFUNCTION("""COMPUTED_VALUE"""),"SMS")</f>
        <v>SMS</v>
      </c>
      <c r="X146" s="98" t="str">
        <f>IFERROR(__xludf.DUMMYFUNCTION("""COMPUTED_VALUE"""),"Agg Order Net Val &lt;1000")</f>
        <v>Agg Order Net Val &lt;1000</v>
      </c>
      <c r="Y146" s="98" t="str">
        <f>IFERROR(__xludf.DUMMYFUNCTION("""COMPUTED_VALUE"""),"16th Feb - 18th Feb")</f>
        <v>16th Feb - 18th Feb</v>
      </c>
      <c r="Z146" s="98" t="str">
        <f>IFERROR(__xludf.DUMMYFUNCTION("""COMPUTED_VALUE"""),"698eddafdc6a955634e8b6a6")</f>
        <v>698eddafdc6a955634e8b6a6</v>
      </c>
      <c r="AA146" s="98">
        <f>IFERROR(__xludf.DUMMYFUNCTION("""COMPUTED_VALUE"""),11.0)</f>
        <v>11</v>
      </c>
      <c r="AB146" s="98">
        <f>IFERROR(__xludf.DUMMYFUNCTION("""COMPUTED_VALUE"""),11.0)</f>
        <v>11</v>
      </c>
      <c r="AC146" s="98"/>
      <c r="AD146" s="98">
        <f>IFERROR(__xludf.DUMMYFUNCTION("""COMPUTED_VALUE"""),15782.0)</f>
        <v>15782</v>
      </c>
      <c r="AE146" s="98">
        <f>IFERROR(__xludf.DUMMYFUNCTION("""COMPUTED_VALUE"""),15782.0)</f>
        <v>15782</v>
      </c>
      <c r="AF146" s="98"/>
      <c r="AG146" s="208"/>
      <c r="AH146" s="208"/>
      <c r="AI146" s="208"/>
      <c r="AJ146" s="208"/>
      <c r="AK146" s="208"/>
    </row>
    <row r="147" hidden="1">
      <c r="A147" s="216">
        <f>IFERROR(__xludf.DUMMYFUNCTION("""COMPUTED_VALUE"""),46071.0)</f>
        <v>46071</v>
      </c>
      <c r="B147" s="217">
        <f>IFERROR(__xludf.DUMMYFUNCTION("""COMPUTED_VALUE"""),0.75)</f>
        <v>0.75</v>
      </c>
      <c r="C147" s="211" t="str">
        <f>IFERROR(__xludf.DUMMYFUNCTION("""COMPUTED_VALUE"""),"Whatsapp")</f>
        <v>Whatsapp</v>
      </c>
      <c r="D147" s="211" t="str">
        <f>IFERROR(__xludf.DUMMYFUNCTION("""COMPUTED_VALUE"""),"Promotional")</f>
        <v>Promotional</v>
      </c>
      <c r="E147" s="211" t="str">
        <f>IFERROR(__xludf.DUMMYFUNCTION("""COMPUTED_VALUE"""),"BBW")</f>
        <v>BBW</v>
      </c>
      <c r="F147" s="211" t="str">
        <f>IFERROR(__xludf.DUMMYFUNCTION("""COMPUTED_VALUE"""),"B1G1")</f>
        <v>B1G1</v>
      </c>
      <c r="G147" s="211" t="str">
        <f>IFERROR(__xludf.DUMMYFUNCTION("""COMPUTED_VALUE"""),"bbw_oemenathf_b1g1atc_WA")</f>
        <v>bbw_oemenathf_b1g1atc_WA</v>
      </c>
      <c r="H147" s="112" t="str">
        <f>IFERROR(__xludf.DUMMYFUNCTION("""COMPUTED_VALUE"""),"AddToCart_NotPurchased_Last60Days OR AGIPL_Internal OR BBW_Internal")</f>
        <v>AddToCart_NotPurchased_Last60Days OR AGIPL_Internal OR BBW_Internal</v>
      </c>
      <c r="I147" s="212" t="str">
        <f>IFERROR(__xludf.DUMMYFUNCTION("""COMPUTED_VALUE"""),"Customers who have done Add To Cart but have not purchased in last 60 days category Candles, Hand Cleansers, Air Fresheners, Mens, Wallflowers, Wellness")</f>
        <v>Customers who have done Add To Cart but have not purchased in last 60 days category Candles, Hand Cleansers, Air Fresheners, Mens, Wallflowers, Wellness</v>
      </c>
      <c r="J147" s="213">
        <f>IFERROR(__xludf.DUMMYFUNCTION("""COMPUTED_VALUE"""),854.0)</f>
        <v>854</v>
      </c>
      <c r="K147" s="213">
        <f>IFERROR(__xludf.DUMMYFUNCTION("""COMPUTED_VALUE"""),302.0)</f>
        <v>302</v>
      </c>
      <c r="L147" s="214">
        <f>IFERROR(__xludf.DUMMYFUNCTION("""COMPUTED_VALUE"""),0.3536)</f>
        <v>0.3536</v>
      </c>
      <c r="M147" s="213">
        <f>IFERROR(__xludf.DUMMYFUNCTION("""COMPUTED_VALUE"""),145.0)</f>
        <v>145</v>
      </c>
      <c r="N147" s="214">
        <f>IFERROR(__xludf.DUMMYFUNCTION("""COMPUTED_VALUE"""),0.4801)</f>
        <v>0.4801</v>
      </c>
      <c r="O147" s="213">
        <f>IFERROR(__xludf.DUMMYFUNCTION("""COMPUTED_VALUE"""),21.0)</f>
        <v>21</v>
      </c>
      <c r="P147" s="213">
        <f>IFERROR(__xludf.DUMMYFUNCTION("""COMPUTED_VALUE"""),20.0)</f>
        <v>20</v>
      </c>
      <c r="Q147" s="214">
        <f>IFERROR(__xludf.DUMMYFUNCTION("""COMPUTED_VALUE"""),0.0662)</f>
        <v>0.0662</v>
      </c>
      <c r="R147" s="214">
        <f>IFERROR(__xludf.DUMMYFUNCTION("""COMPUTED_VALUE"""),0.1379)</f>
        <v>0.1379</v>
      </c>
      <c r="S147" s="101">
        <f>IFERROR(__xludf.DUMMYFUNCTION("""COMPUTED_VALUE"""),1.0)</f>
        <v>1</v>
      </c>
      <c r="T147" s="101">
        <f>IFERROR(__xludf.DUMMYFUNCTION("""COMPUTED_VALUE"""),3.0)</f>
        <v>3</v>
      </c>
      <c r="U147" s="213">
        <f>IFERROR(__xludf.DUMMYFUNCTION("""COMPUTED_VALUE"""),548.0)</f>
        <v>548</v>
      </c>
      <c r="V147" s="271" t="str">
        <f>IFERROR(__xludf.DUMMYFUNCTION("""COMPUTED_VALUE"""),"online")</f>
        <v>online</v>
      </c>
      <c r="W147" s="98" t="str">
        <f>IFERROR(__xludf.DUMMYFUNCTION("""COMPUTED_VALUE"""),"simple")</f>
        <v>simple</v>
      </c>
      <c r="X147" s="98" t="str">
        <f>IFERROR(__xludf.DUMMYFUNCTION("""COMPUTED_VALUE"""),"Add TO Cart Event")</f>
        <v>Add TO Cart Event</v>
      </c>
      <c r="Y147" s="98" t="str">
        <f>IFERROR(__xludf.DUMMYFUNCTION("""COMPUTED_VALUE"""),"18th Feb to 20th Feb")</f>
        <v>18th Feb to 20th Feb</v>
      </c>
      <c r="Z147" s="98" t="str">
        <f>IFERROR(__xludf.DUMMYFUNCTION("""COMPUTED_VALUE"""),"6995a215823c420e9ab8a64d")</f>
        <v>6995a215823c420e9ab8a64d</v>
      </c>
      <c r="AA147" s="98">
        <f>IFERROR(__xludf.DUMMYFUNCTION("""COMPUTED_VALUE"""),1.0)</f>
        <v>1</v>
      </c>
      <c r="AB147" s="98">
        <f>IFERROR(__xludf.DUMMYFUNCTION("""COMPUTED_VALUE"""),1.0)</f>
        <v>1</v>
      </c>
      <c r="AC147" s="98"/>
      <c r="AD147" s="98">
        <f>IFERROR(__xludf.DUMMYFUNCTION("""COMPUTED_VALUE"""),899.0)</f>
        <v>899</v>
      </c>
      <c r="AE147" s="98">
        <f>IFERROR(__xludf.DUMMYFUNCTION("""COMPUTED_VALUE"""),899.0)</f>
        <v>899</v>
      </c>
      <c r="AF147" s="98"/>
      <c r="AG147" s="208"/>
      <c r="AH147" s="208"/>
      <c r="AI147" s="208"/>
      <c r="AJ147" s="208"/>
      <c r="AK147" s="208"/>
    </row>
    <row r="148" hidden="1">
      <c r="A148" s="216">
        <f>IFERROR(__xludf.DUMMYFUNCTION("""COMPUTED_VALUE"""),46071.0)</f>
        <v>46071</v>
      </c>
      <c r="B148" s="210">
        <f>IFERROR(__xludf.DUMMYFUNCTION("""COMPUTED_VALUE"""),0.75)</f>
        <v>0.75</v>
      </c>
      <c r="C148" s="210" t="str">
        <f>IFERROR(__xludf.DUMMYFUNCTION("""COMPUTED_VALUE"""),"Whatsapp")</f>
        <v>Whatsapp</v>
      </c>
      <c r="D148" s="210" t="str">
        <f>IFERROR(__xludf.DUMMYFUNCTION("""COMPUTED_VALUE"""),"Promotional")</f>
        <v>Promotional</v>
      </c>
      <c r="E148" s="211" t="str">
        <f>IFERROR(__xludf.DUMMYFUNCTION("""COMPUTED_VALUE"""),"BBW")</f>
        <v>BBW</v>
      </c>
      <c r="F148" s="211" t="str">
        <f>IFERROR(__xludf.DUMMYFUNCTION("""COMPUTED_VALUE"""),"B1G1")</f>
        <v>B1G1</v>
      </c>
      <c r="G148" s="211" t="str">
        <f>IFERROR(__xludf.DUMMYFUNCTION("""COMPUTED_VALUE"""),"bbw_oemenathf_b1g1view_WA")</f>
        <v>bbw_oemenathf_b1g1view_WA</v>
      </c>
      <c r="H148" s="211" t="str">
        <f>IFERROR(__xludf.DUMMYFUNCTION("""COMPUTED_VALUE"""),"ViewItemList_Last30Days")</f>
        <v>ViewItemList_Last30Days</v>
      </c>
      <c r="I148" s="223" t="str">
        <f>IFERROR(__xludf.DUMMYFUNCTION("""COMPUTED_VALUE"""),"Customers who have view the item in the last 30 days Candles, Hand Cleansers, Air Fresheners, Mens, Wallflowers, Wellness")</f>
        <v>Customers who have view the item in the last 30 days Candles, Hand Cleansers, Air Fresheners, Mens, Wallflowers, Wellness</v>
      </c>
      <c r="J148" s="213">
        <f>IFERROR(__xludf.DUMMYFUNCTION("""COMPUTED_VALUE"""),817.0)</f>
        <v>817</v>
      </c>
      <c r="K148" s="213">
        <f>IFERROR(__xludf.DUMMYFUNCTION("""COMPUTED_VALUE"""),313.0)</f>
        <v>313</v>
      </c>
      <c r="L148" s="214">
        <f>IFERROR(__xludf.DUMMYFUNCTION("""COMPUTED_VALUE"""),0.3831)</f>
        <v>0.3831</v>
      </c>
      <c r="M148" s="213">
        <f>IFERROR(__xludf.DUMMYFUNCTION("""COMPUTED_VALUE"""),155.0)</f>
        <v>155</v>
      </c>
      <c r="N148" s="214">
        <f>IFERROR(__xludf.DUMMYFUNCTION("""COMPUTED_VALUE"""),0.4952)</f>
        <v>0.4952</v>
      </c>
      <c r="O148" s="213">
        <f>IFERROR(__xludf.DUMMYFUNCTION("""COMPUTED_VALUE"""),21.0)</f>
        <v>21</v>
      </c>
      <c r="P148" s="213">
        <f>IFERROR(__xludf.DUMMYFUNCTION("""COMPUTED_VALUE"""),21.0)</f>
        <v>21</v>
      </c>
      <c r="Q148" s="214">
        <f>IFERROR(__xludf.DUMMYFUNCTION("""COMPUTED_VALUE"""),0.0671)</f>
        <v>0.0671</v>
      </c>
      <c r="R148" s="214">
        <f>IFERROR(__xludf.DUMMYFUNCTION("""COMPUTED_VALUE"""),0.1355)</f>
        <v>0.1355</v>
      </c>
      <c r="S148" s="101">
        <f>IFERROR(__xludf.DUMMYFUNCTION("""COMPUTED_VALUE"""),0.0)</f>
        <v>0</v>
      </c>
      <c r="T148" s="101">
        <f>IFERROR(__xludf.DUMMYFUNCTION("""COMPUTED_VALUE"""),3.0)</f>
        <v>3</v>
      </c>
      <c r="U148" s="213">
        <f>IFERROR(__xludf.DUMMYFUNCTION("""COMPUTED_VALUE"""),0.0)</f>
        <v>0</v>
      </c>
      <c r="V148" s="271" t="str">
        <f>IFERROR(__xludf.DUMMYFUNCTION("""COMPUTED_VALUE"""),"online")</f>
        <v>online</v>
      </c>
      <c r="W148" s="98" t="str">
        <f>IFERROR(__xludf.DUMMYFUNCTION("""COMPUTED_VALUE"""),"simple")</f>
        <v>simple</v>
      </c>
      <c r="X148" s="98" t="str">
        <f>IFERROR(__xludf.DUMMYFUNCTION("""COMPUTED_VALUE"""),"View Item Event")</f>
        <v>View Item Event</v>
      </c>
      <c r="Y148" s="98" t="str">
        <f>IFERROR(__xludf.DUMMYFUNCTION("""COMPUTED_VALUE"""),"18th Feb to 20th Feb")</f>
        <v>18th Feb to 20th Feb</v>
      </c>
      <c r="Z148" s="98" t="str">
        <f>IFERROR(__xludf.DUMMYFUNCTION("""COMPUTED_VALUE"""),"6995a24dbb49fbdddaf67054")</f>
        <v>6995a24dbb49fbdddaf67054</v>
      </c>
      <c r="AA148" s="98">
        <f>IFERROR(__xludf.DUMMYFUNCTION("""COMPUTED_VALUE"""),0.0)</f>
        <v>0</v>
      </c>
      <c r="AB148" s="98">
        <f>IFERROR(__xludf.DUMMYFUNCTION("""COMPUTED_VALUE"""),0.0)</f>
        <v>0</v>
      </c>
      <c r="AC148" s="98"/>
      <c r="AD148" s="98">
        <f>IFERROR(__xludf.DUMMYFUNCTION("""COMPUTED_VALUE"""),0.0)</f>
        <v>0</v>
      </c>
      <c r="AE148" s="98">
        <f>IFERROR(__xludf.DUMMYFUNCTION("""COMPUTED_VALUE"""),0.0)</f>
        <v>0</v>
      </c>
      <c r="AF148" s="98"/>
      <c r="AG148" s="208"/>
      <c r="AH148" s="208"/>
      <c r="AI148" s="208"/>
      <c r="AJ148" s="208"/>
      <c r="AK148" s="208"/>
    </row>
    <row r="149" hidden="1">
      <c r="A149" s="216">
        <f>IFERROR(__xludf.DUMMYFUNCTION("""COMPUTED_VALUE"""),46071.0)</f>
        <v>46071</v>
      </c>
      <c r="B149" s="210">
        <f>IFERROR(__xludf.DUMMYFUNCTION("""COMPUTED_VALUE"""),0.75)</f>
        <v>0.75</v>
      </c>
      <c r="C149" s="210" t="str">
        <f>IFERROR(__xludf.DUMMYFUNCTION("""COMPUTED_VALUE"""),"Whatsapp")</f>
        <v>Whatsapp</v>
      </c>
      <c r="D149" s="210" t="str">
        <f>IFERROR(__xludf.DUMMYFUNCTION("""COMPUTED_VALUE"""),"Promotional")</f>
        <v>Promotional</v>
      </c>
      <c r="E149" s="211" t="str">
        <f>IFERROR(__xludf.DUMMYFUNCTION("""COMPUTED_VALUE"""),"BBW")</f>
        <v>BBW</v>
      </c>
      <c r="F149" s="211" t="str">
        <f>IFERROR(__xludf.DUMMYFUNCTION("""COMPUTED_VALUE"""),"B1G1")</f>
        <v>B1G1</v>
      </c>
      <c r="G149" s="211" t="str">
        <f>IFERROR(__xludf.DUMMYFUNCTION("""COMPUTED_VALUE"""),"bbw_oemenathf_b1g1eventbuy_WA")</f>
        <v>bbw_oemenathf_b1g1eventbuy_WA</v>
      </c>
      <c r="H149" s="211" t="str">
        <f>IFERROR(__xludf.DUMMYFUNCTION("""COMPUTED_VALUE"""),"B1G1_EventBuyers_ON")</f>
        <v>B1G1_EventBuyers_ON</v>
      </c>
      <c r="I149" s="223" t="str">
        <f>IFERROR(__xludf.DUMMYFUNCTION("""COMPUTED_VALUE"""),"Customers who have purchased in 2025 B1G1 events in past and channel online")</f>
        <v>Customers who have purchased in 2025 B1G1 events in past and channel online</v>
      </c>
      <c r="J149" s="213">
        <f>IFERROR(__xludf.DUMMYFUNCTION("""COMPUTED_VALUE"""),16839.0)</f>
        <v>16839</v>
      </c>
      <c r="K149" s="213">
        <f>IFERROR(__xludf.DUMMYFUNCTION("""COMPUTED_VALUE"""),5377.0)</f>
        <v>5377</v>
      </c>
      <c r="L149" s="214">
        <f>IFERROR(__xludf.DUMMYFUNCTION("""COMPUTED_VALUE"""),0.3193)</f>
        <v>0.3193</v>
      </c>
      <c r="M149" s="213">
        <f>IFERROR(__xludf.DUMMYFUNCTION("""COMPUTED_VALUE"""),2424.0)</f>
        <v>2424</v>
      </c>
      <c r="N149" s="214">
        <f>IFERROR(__xludf.DUMMYFUNCTION("""COMPUTED_VALUE"""),0.451)</f>
        <v>0.451</v>
      </c>
      <c r="O149" s="213">
        <f>IFERROR(__xludf.DUMMYFUNCTION("""COMPUTED_VALUE"""),313.0)</f>
        <v>313</v>
      </c>
      <c r="P149" s="213">
        <f>IFERROR(__xludf.DUMMYFUNCTION("""COMPUTED_VALUE"""),299.0)</f>
        <v>299</v>
      </c>
      <c r="Q149" s="214">
        <f>IFERROR(__xludf.DUMMYFUNCTION("""COMPUTED_VALUE"""),0.0556)</f>
        <v>0.0556</v>
      </c>
      <c r="R149" s="214">
        <f>IFERROR(__xludf.DUMMYFUNCTION("""COMPUTED_VALUE"""),0.1233)</f>
        <v>0.1233</v>
      </c>
      <c r="S149" s="101">
        <f>IFERROR(__xludf.DUMMYFUNCTION("""COMPUTED_VALUE"""),0.0)</f>
        <v>0</v>
      </c>
      <c r="T149" s="101">
        <f>IFERROR(__xludf.DUMMYFUNCTION("""COMPUTED_VALUE"""),4.0)</f>
        <v>4</v>
      </c>
      <c r="U149" s="213">
        <f>IFERROR(__xludf.DUMMYFUNCTION("""COMPUTED_VALUE"""),0.0)</f>
        <v>0</v>
      </c>
      <c r="V149" s="271" t="str">
        <f>IFERROR(__xludf.DUMMYFUNCTION("""COMPUTED_VALUE"""),"online")</f>
        <v>online</v>
      </c>
      <c r="W149" s="98" t="str">
        <f>IFERROR(__xludf.DUMMYFUNCTION("""COMPUTED_VALUE"""),"simple")</f>
        <v>simple</v>
      </c>
      <c r="X149" s="98" t="str">
        <f>IFERROR(__xludf.DUMMYFUNCTION("""COMPUTED_VALUE"""),"Event Buyers")</f>
        <v>Event Buyers</v>
      </c>
      <c r="Y149" s="98" t="str">
        <f>IFERROR(__xludf.DUMMYFUNCTION("""COMPUTED_VALUE"""),"18th Feb to 20th Feb")</f>
        <v>18th Feb to 20th Feb</v>
      </c>
      <c r="Z149" s="98" t="str">
        <f>IFERROR(__xludf.DUMMYFUNCTION("""COMPUTED_VALUE"""),"6995a29027955f4552dea4c7")</f>
        <v>6995a29027955f4552dea4c7</v>
      </c>
      <c r="AA149" s="98">
        <f>IFERROR(__xludf.DUMMYFUNCTION("""COMPUTED_VALUE"""),12.0)</f>
        <v>12</v>
      </c>
      <c r="AB149" s="98">
        <f>IFERROR(__xludf.DUMMYFUNCTION("""COMPUTED_VALUE"""),12.0)</f>
        <v>12</v>
      </c>
      <c r="AC149" s="98"/>
      <c r="AD149" s="98">
        <f>IFERROR(__xludf.DUMMYFUNCTION("""COMPUTED_VALUE"""),42403.0)</f>
        <v>42403</v>
      </c>
      <c r="AE149" s="98">
        <f>IFERROR(__xludf.DUMMYFUNCTION("""COMPUTED_VALUE"""),42403.0)</f>
        <v>42403</v>
      </c>
      <c r="AF149" s="98"/>
      <c r="AG149" s="208"/>
      <c r="AH149" s="208"/>
      <c r="AI149" s="208"/>
      <c r="AJ149" s="208"/>
      <c r="AK149" s="208"/>
    </row>
    <row r="150" hidden="1">
      <c r="A150" s="209">
        <f>IFERROR(__xludf.DUMMYFUNCTION("""COMPUTED_VALUE"""),46071.0)</f>
        <v>46071</v>
      </c>
      <c r="B150" s="210">
        <f>IFERROR(__xludf.DUMMYFUNCTION("""COMPUTED_VALUE"""),0.75)</f>
        <v>0.75</v>
      </c>
      <c r="C150" s="211" t="str">
        <f>IFERROR(__xludf.DUMMYFUNCTION("""COMPUTED_VALUE"""),"Rcs")</f>
        <v>Rcs</v>
      </c>
      <c r="D150" s="211" t="str">
        <f>IFERROR(__xludf.DUMMYFUNCTION("""COMPUTED_VALUE"""),"Promotional")</f>
        <v>Promotional</v>
      </c>
      <c r="E150" s="211" t="str">
        <f>IFERROR(__xludf.DUMMYFUNCTION("""COMPUTED_VALUE"""),"BBW")</f>
        <v>BBW</v>
      </c>
      <c r="F150" s="211" t="str">
        <f>IFERROR(__xludf.DUMMYFUNCTION("""COMPUTED_VALUE"""),"B1G1")</f>
        <v>B1G1</v>
      </c>
      <c r="G150" s="212" t="str">
        <f>IFERROR(__xludf.DUMMYFUNCTION("""COMPUTED_VALUE"""),"bbw_oemenathf_b1g1predom_rcs")</f>
        <v>bbw_oemenathf_b1g1predom_rcs</v>
      </c>
      <c r="H150" s="212" t="str">
        <f>IFERROR(__xludf.DUMMYFUNCTION("""COMPUTED_VALUE"""),"B1G1_PreCatBuyers_ON")</f>
        <v>B1G1_PreCatBuyers_ON</v>
      </c>
      <c r="I150" s="212" t="str">
        <f>IFERROR(__xludf.DUMMYFUNCTION("""COMPUTED_VALUE"""),"Customers who predominantly buys Living Accessories, Mens, Aromatheraphy")</f>
        <v>Customers who predominantly buys Living Accessories, Mens, Aromatheraphy</v>
      </c>
      <c r="J150" s="213">
        <f>IFERROR(__xludf.DUMMYFUNCTION("""COMPUTED_VALUE"""),83445.0)</f>
        <v>83445</v>
      </c>
      <c r="K150" s="213">
        <f>IFERROR(__xludf.DUMMYFUNCTION("""COMPUTED_VALUE"""),14018.0)</f>
        <v>14018</v>
      </c>
      <c r="L150" s="279">
        <f>IFERROR(__xludf.DUMMYFUNCTION("""COMPUTED_VALUE"""),0.168)</f>
        <v>0.168</v>
      </c>
      <c r="M150" s="213">
        <f>IFERROR(__xludf.DUMMYFUNCTION("""COMPUTED_VALUE"""),1727.0)</f>
        <v>1727</v>
      </c>
      <c r="N150" s="214">
        <f>IFERROR(__xludf.DUMMYFUNCTION("""COMPUTED_VALUE"""),0.123)</f>
        <v>0.123</v>
      </c>
      <c r="O150" s="101">
        <f>IFERROR(__xludf.DUMMYFUNCTION("""COMPUTED_VALUE"""),82.0)</f>
        <v>82</v>
      </c>
      <c r="P150" s="101"/>
      <c r="Q150" s="214">
        <f>IFERROR(__xludf.DUMMYFUNCTION("""COMPUTED_VALUE"""),0.0058)</f>
        <v>0.0058</v>
      </c>
      <c r="R150" s="214"/>
      <c r="S150" s="101">
        <f>IFERROR(__xludf.DUMMYFUNCTION("""COMPUTED_VALUE"""),3.0)</f>
        <v>3</v>
      </c>
      <c r="T150" s="101">
        <f>IFERROR(__xludf.DUMMYFUNCTION("""COMPUTED_VALUE"""),4.0)</f>
        <v>4</v>
      </c>
      <c r="U150" s="270">
        <f>IFERROR(__xludf.DUMMYFUNCTION("""COMPUTED_VALUE"""),4640.0)</f>
        <v>4640</v>
      </c>
      <c r="V150" s="271" t="str">
        <f>IFERROR(__xludf.DUMMYFUNCTION("""COMPUTED_VALUE"""),"online")</f>
        <v>online</v>
      </c>
      <c r="W150" s="272" t="str">
        <f>IFERROR(__xludf.DUMMYFUNCTION("""COMPUTED_VALUE"""),"RCS")</f>
        <v>RCS</v>
      </c>
      <c r="X150" s="272" t="str">
        <f>IFERROR(__xludf.DUMMYFUNCTION("""COMPUTED_VALUE"""),"Predominant LA, Mens, Aroma")</f>
        <v>Predominant LA, Mens, Aroma</v>
      </c>
      <c r="Y150" s="272" t="str">
        <f>IFERROR(__xludf.DUMMYFUNCTION("""COMPUTED_VALUE"""),"18th Feb to 20th Feb")</f>
        <v>18th Feb to 20th Feb</v>
      </c>
      <c r="Z150" s="272" t="str">
        <f>IFERROR(__xludf.DUMMYFUNCTION("""COMPUTED_VALUE"""),"69958baa74074406957f6cf0")</f>
        <v>69958baa74074406957f6cf0</v>
      </c>
      <c r="AA150" s="272">
        <f>IFERROR(__xludf.DUMMYFUNCTION("""COMPUTED_VALUE"""),16.0)</f>
        <v>16</v>
      </c>
      <c r="AB150" s="272">
        <f>IFERROR(__xludf.DUMMYFUNCTION("""COMPUTED_VALUE"""),16.0)</f>
        <v>16</v>
      </c>
      <c r="AC150" s="272"/>
      <c r="AD150" s="272">
        <f>IFERROR(__xludf.DUMMYFUNCTION("""COMPUTED_VALUE"""),38977.0)</f>
        <v>38977</v>
      </c>
      <c r="AE150" s="272">
        <f>IFERROR(__xludf.DUMMYFUNCTION("""COMPUTED_VALUE"""),38977.0)</f>
        <v>38977</v>
      </c>
      <c r="AF150" s="272"/>
      <c r="AG150" s="208"/>
      <c r="AH150" s="208"/>
      <c r="AI150" s="208"/>
      <c r="AJ150" s="208"/>
      <c r="AK150" s="208"/>
    </row>
    <row r="151" hidden="1">
      <c r="A151" s="219">
        <f>IFERROR(__xludf.DUMMYFUNCTION("""COMPUTED_VALUE"""),46071.0)</f>
        <v>46071</v>
      </c>
      <c r="B151" s="220">
        <f>IFERROR(__xludf.DUMMYFUNCTION("""COMPUTED_VALUE"""),0.75)</f>
        <v>0.75</v>
      </c>
      <c r="C151" s="221" t="str">
        <f>IFERROR(__xludf.DUMMYFUNCTION("""COMPUTED_VALUE"""),"Rcs")</f>
        <v>Rcs</v>
      </c>
      <c r="D151" s="221" t="str">
        <f>IFERROR(__xludf.DUMMYFUNCTION("""COMPUTED_VALUE"""),"Promotional")</f>
        <v>Promotional</v>
      </c>
      <c r="E151" s="221" t="str">
        <f>IFERROR(__xludf.DUMMYFUNCTION("""COMPUTED_VALUE"""),"BBW")</f>
        <v>BBW</v>
      </c>
      <c r="F151" s="221" t="str">
        <f>IFERROR(__xludf.DUMMYFUNCTION("""COMPUTED_VALUE"""),"B1G1")</f>
        <v>B1G1</v>
      </c>
      <c r="G151" s="221" t="str">
        <f>IFERROR(__xludf.DUMMYFUNCTION("""COMPUTED_VALUE"""),"bbw_oemenathf_b1g1repcat_rcs")</f>
        <v>bbw_oemenathf_b1g1repcat_rcs</v>
      </c>
      <c r="H151" s="223" t="str">
        <f>IFERROR(__xludf.DUMMYFUNCTION("""COMPUTED_VALUE"""),"B1G1_RepeatCatBuyers_ON")</f>
        <v>B1G1_RepeatCatBuyers_ON</v>
      </c>
      <c r="I151" s="223" t="str">
        <f>IFERROR(__xludf.DUMMYFUNCTION("""COMPUTED_VALUE"""),"Customers who have purchased atleast 2 times Living Accessories, Mens, Aromatheraphy online")</f>
        <v>Customers who have purchased atleast 2 times Living Accessories, Mens, Aromatheraphy online</v>
      </c>
      <c r="J151" s="224">
        <f>IFERROR(__xludf.DUMMYFUNCTION("""COMPUTED_VALUE"""),62516.0)</f>
        <v>62516</v>
      </c>
      <c r="K151" s="224">
        <f>IFERROR(__xludf.DUMMYFUNCTION("""COMPUTED_VALUE"""),11281.0)</f>
        <v>11281</v>
      </c>
      <c r="L151" s="225">
        <f>IFERROR(__xludf.DUMMYFUNCTION("""COMPUTED_VALUE"""),0.1804)</f>
        <v>0.1804</v>
      </c>
      <c r="M151" s="224">
        <f>IFERROR(__xludf.DUMMYFUNCTION("""COMPUTED_VALUE"""),1440.0)</f>
        <v>1440</v>
      </c>
      <c r="N151" s="225">
        <f>IFERROR(__xludf.DUMMYFUNCTION("""COMPUTED_VALUE"""),0.128)</f>
        <v>0.128</v>
      </c>
      <c r="O151" s="226">
        <f>IFERROR(__xludf.DUMMYFUNCTION("""COMPUTED_VALUE"""),117.0)</f>
        <v>117</v>
      </c>
      <c r="P151" s="226"/>
      <c r="Q151" s="225">
        <f>IFERROR(__xludf.DUMMYFUNCTION("""COMPUTED_VALUE"""),0.0104)</f>
        <v>0.0104</v>
      </c>
      <c r="R151" s="225"/>
      <c r="S151" s="226">
        <f>IFERROR(__xludf.DUMMYFUNCTION("""COMPUTED_VALUE"""),2.0)</f>
        <v>2</v>
      </c>
      <c r="T151" s="226">
        <f>IFERROR(__xludf.DUMMYFUNCTION("""COMPUTED_VALUE"""),4.0)</f>
        <v>4</v>
      </c>
      <c r="U151" s="224">
        <f>IFERROR(__xludf.DUMMYFUNCTION("""COMPUTED_VALUE"""),4137.0)</f>
        <v>4137</v>
      </c>
      <c r="V151" s="221" t="str">
        <f>IFERROR(__xludf.DUMMYFUNCTION("""COMPUTED_VALUE"""),"online")</f>
        <v>online</v>
      </c>
      <c r="W151" s="231" t="str">
        <f>IFERROR(__xludf.DUMMYFUNCTION("""COMPUTED_VALUE"""),"RCS")</f>
        <v>RCS</v>
      </c>
      <c r="X151" s="231" t="str">
        <f>IFERROR(__xludf.DUMMYFUNCTION("""COMPUTED_VALUE"""),"Repeat")</f>
        <v>Repeat</v>
      </c>
      <c r="Y151" s="231" t="str">
        <f>IFERROR(__xludf.DUMMYFUNCTION("""COMPUTED_VALUE"""),"18th Feb to 20th Feb")</f>
        <v>18th Feb to 20th Feb</v>
      </c>
      <c r="Z151" s="231" t="str">
        <f>IFERROR(__xludf.DUMMYFUNCTION("""COMPUTED_VALUE"""),"69958bd1b18b6198d1d07d8f")</f>
        <v>69958bd1b18b6198d1d07d8f</v>
      </c>
      <c r="AA151" s="229">
        <f>IFERROR(__xludf.DUMMYFUNCTION("""COMPUTED_VALUE"""),10.0)</f>
        <v>10</v>
      </c>
      <c r="AB151" s="229">
        <f>IFERROR(__xludf.DUMMYFUNCTION("""COMPUTED_VALUE"""),10.0)</f>
        <v>10</v>
      </c>
      <c r="AC151" s="229"/>
      <c r="AD151" s="229">
        <f>IFERROR(__xludf.DUMMYFUNCTION("""COMPUTED_VALUE"""),29618.0)</f>
        <v>29618</v>
      </c>
      <c r="AE151" s="229">
        <f>IFERROR(__xludf.DUMMYFUNCTION("""COMPUTED_VALUE"""),29618.0)</f>
        <v>29618</v>
      </c>
      <c r="AF151" s="229"/>
      <c r="AG151" s="208"/>
      <c r="AH151" s="208"/>
      <c r="AI151" s="208"/>
      <c r="AJ151" s="208"/>
      <c r="AK151" s="208"/>
    </row>
    <row r="152" hidden="1">
      <c r="A152" s="219">
        <f>IFERROR(__xludf.DUMMYFUNCTION("""COMPUTED_VALUE"""),46071.0)</f>
        <v>46071</v>
      </c>
      <c r="B152" s="220">
        <f>IFERROR(__xludf.DUMMYFUNCTION("""COMPUTED_VALUE"""),0.8333333333321207)</f>
        <v>0.8333333333</v>
      </c>
      <c r="C152" s="221" t="str">
        <f>IFERROR(__xludf.DUMMYFUNCTION("""COMPUTED_VALUE"""),"Sms")</f>
        <v>Sms</v>
      </c>
      <c r="D152" s="221" t="str">
        <f>IFERROR(__xludf.DUMMYFUNCTION("""COMPUTED_VALUE"""),"Fallback Campaign")</f>
        <v>Fallback Campaign</v>
      </c>
      <c r="E152" s="221" t="str">
        <f>IFERROR(__xludf.DUMMYFUNCTION("""COMPUTED_VALUE"""),"BBW")</f>
        <v>BBW</v>
      </c>
      <c r="F152" s="221" t="str">
        <f>IFERROR(__xludf.DUMMYFUNCTION("""COMPUTED_VALUE"""),"B1G1")</f>
        <v>B1G1</v>
      </c>
      <c r="G152" s="221" t="str">
        <f>IFERROR(__xludf.DUMMYFUNCTION("""COMPUTED_VALUE"""),"bbw_oemenathf_b1g1repcat_rcsfb")</f>
        <v>bbw_oemenathf_b1g1repcat_rcsfb</v>
      </c>
      <c r="H152" s="223" t="str">
        <f>IFERROR(__xludf.DUMMYFUNCTION("""COMPUTED_VALUE"""),"B1G1_RepeatCatBuyers_ON")</f>
        <v>B1G1_RepeatCatBuyers_ON</v>
      </c>
      <c r="I152" s="223" t="str">
        <f>IFERROR(__xludf.DUMMYFUNCTION("""COMPUTED_VALUE"""),"RCS Delivery Failed")</f>
        <v>RCS Delivery Failed</v>
      </c>
      <c r="J152" s="224">
        <f>IFERROR(__xludf.DUMMYFUNCTION("""COMPUTED_VALUE"""),51197.0)</f>
        <v>51197</v>
      </c>
      <c r="K152" s="224">
        <f>IFERROR(__xludf.DUMMYFUNCTION("""COMPUTED_VALUE"""),31476.0)</f>
        <v>31476</v>
      </c>
      <c r="L152" s="225">
        <f>IFERROR(__xludf.DUMMYFUNCTION("""COMPUTED_VALUE"""),0.6148)</f>
        <v>0.6148</v>
      </c>
      <c r="M152" s="224"/>
      <c r="N152" s="225"/>
      <c r="O152" s="226">
        <f>IFERROR(__xludf.DUMMYFUNCTION("""COMPUTED_VALUE"""),66.0)</f>
        <v>66</v>
      </c>
      <c r="P152" s="226"/>
      <c r="Q152" s="225">
        <f>IFERROR(__xludf.DUMMYFUNCTION("""COMPUTED_VALUE"""),0.0021)</f>
        <v>0.0021</v>
      </c>
      <c r="R152" s="225"/>
      <c r="S152" s="226">
        <f>IFERROR(__xludf.DUMMYFUNCTION("""COMPUTED_VALUE"""),9.0)</f>
        <v>9</v>
      </c>
      <c r="T152" s="226">
        <f>IFERROR(__xludf.DUMMYFUNCTION("""COMPUTED_VALUE"""),7.0)</f>
        <v>7</v>
      </c>
      <c r="U152" s="224">
        <f>IFERROR(__xludf.DUMMYFUNCTION("""COMPUTED_VALUE"""),91793.0)</f>
        <v>91793</v>
      </c>
      <c r="V152" s="221" t="str">
        <f>IFERROR(__xludf.DUMMYFUNCTION("""COMPUTED_VALUE"""),"online")</f>
        <v>online</v>
      </c>
      <c r="W152" s="231" t="str">
        <f>IFERROR(__xludf.DUMMYFUNCTION("""COMPUTED_VALUE"""),"SMS")</f>
        <v>SMS</v>
      </c>
      <c r="X152" s="231" t="str">
        <f>IFERROR(__xludf.DUMMYFUNCTION("""COMPUTED_VALUE"""),"Repeat")</f>
        <v>Repeat</v>
      </c>
      <c r="Y152" s="231" t="str">
        <f>IFERROR(__xludf.DUMMYFUNCTION("""COMPUTED_VALUE"""),"18th Feb to 20th Feb")</f>
        <v>18th Feb to 20th Feb</v>
      </c>
      <c r="Z152" s="231" t="str">
        <f>IFERROR(__xludf.DUMMYFUNCTION("""COMPUTED_VALUE"""),"69958c79b17391e0ad2a3798")</f>
        <v>69958c79b17391e0ad2a3798</v>
      </c>
      <c r="AA152" s="229">
        <f>IFERROR(__xludf.DUMMYFUNCTION("""COMPUTED_VALUE"""),31.0)</f>
        <v>31</v>
      </c>
      <c r="AB152" s="229">
        <f>IFERROR(__xludf.DUMMYFUNCTION("""COMPUTED_VALUE"""),31.0)</f>
        <v>31</v>
      </c>
      <c r="AC152" s="229"/>
      <c r="AD152" s="229">
        <f>IFERROR(__xludf.DUMMYFUNCTION("""COMPUTED_VALUE"""),120397.0)</f>
        <v>120397</v>
      </c>
      <c r="AE152" s="229">
        <f>IFERROR(__xludf.DUMMYFUNCTION("""COMPUTED_VALUE"""),120397.0)</f>
        <v>120397</v>
      </c>
      <c r="AF152" s="229"/>
      <c r="AG152" s="208"/>
      <c r="AH152" s="208"/>
      <c r="AI152" s="208"/>
      <c r="AJ152" s="208"/>
      <c r="AK152" s="208"/>
    </row>
    <row r="153" hidden="1">
      <c r="A153" s="219">
        <f>IFERROR(__xludf.DUMMYFUNCTION("""COMPUTED_VALUE"""),46071.0)</f>
        <v>46071</v>
      </c>
      <c r="B153" s="220">
        <f>IFERROR(__xludf.DUMMYFUNCTION("""COMPUTED_VALUE"""),0.8333333333321207)</f>
        <v>0.8333333333</v>
      </c>
      <c r="C153" s="221" t="str">
        <f>IFERROR(__xludf.DUMMYFUNCTION("""COMPUTED_VALUE"""),"Sms")</f>
        <v>Sms</v>
      </c>
      <c r="D153" s="221" t="str">
        <f>IFERROR(__xludf.DUMMYFUNCTION("""COMPUTED_VALUE"""),"Fallback Campaign")</f>
        <v>Fallback Campaign</v>
      </c>
      <c r="E153" s="221" t="str">
        <f>IFERROR(__xludf.DUMMYFUNCTION("""COMPUTED_VALUE"""),"BBW")</f>
        <v>BBW</v>
      </c>
      <c r="F153" s="221" t="str">
        <f>IFERROR(__xludf.DUMMYFUNCTION("""COMPUTED_VALUE"""),"B1G1")</f>
        <v>B1G1</v>
      </c>
      <c r="G153" s="221" t="str">
        <f>IFERROR(__xludf.DUMMYFUNCTION("""COMPUTED_VALUE"""),"bbw_oemenathf_b1g1predom_rcsfb")</f>
        <v>bbw_oemenathf_b1g1predom_rcsfb</v>
      </c>
      <c r="H153" s="223" t="str">
        <f>IFERROR(__xludf.DUMMYFUNCTION("""COMPUTED_VALUE"""),"B1G1_PreCatBuyers_ON")</f>
        <v>B1G1_PreCatBuyers_ON</v>
      </c>
      <c r="I153" s="223" t="str">
        <f>IFERROR(__xludf.DUMMYFUNCTION("""COMPUTED_VALUE"""),"RCS Delivery Failed")</f>
        <v>RCS Delivery Failed</v>
      </c>
      <c r="J153" s="224">
        <f>IFERROR(__xludf.DUMMYFUNCTION("""COMPUTED_VALUE"""),69246.0)</f>
        <v>69246</v>
      </c>
      <c r="K153" s="224">
        <f>IFERROR(__xludf.DUMMYFUNCTION("""COMPUTED_VALUE"""),36777.0)</f>
        <v>36777</v>
      </c>
      <c r="L153" s="225">
        <f>IFERROR(__xludf.DUMMYFUNCTION("""COMPUTED_VALUE"""),0.5311)</f>
        <v>0.5311</v>
      </c>
      <c r="M153" s="224"/>
      <c r="N153" s="225"/>
      <c r="O153" s="226">
        <f>IFERROR(__xludf.DUMMYFUNCTION("""COMPUTED_VALUE"""),54.0)</f>
        <v>54</v>
      </c>
      <c r="P153" s="226"/>
      <c r="Q153" s="225">
        <f>IFERROR(__xludf.DUMMYFUNCTION("""COMPUTED_VALUE"""),0.0015)</f>
        <v>0.0015</v>
      </c>
      <c r="R153" s="225"/>
      <c r="S153" s="226">
        <f>IFERROR(__xludf.DUMMYFUNCTION("""COMPUTED_VALUE"""),5.0)</f>
        <v>5</v>
      </c>
      <c r="T153" s="226">
        <f>IFERROR(__xludf.DUMMYFUNCTION("""COMPUTED_VALUE"""),11.0)</f>
        <v>11</v>
      </c>
      <c r="U153" s="224">
        <f>IFERROR(__xludf.DUMMYFUNCTION("""COMPUTED_VALUE"""),8394.0)</f>
        <v>8394</v>
      </c>
      <c r="V153" s="221" t="str">
        <f>IFERROR(__xludf.DUMMYFUNCTION("""COMPUTED_VALUE"""),"online")</f>
        <v>online</v>
      </c>
      <c r="W153" s="231" t="str">
        <f>IFERROR(__xludf.DUMMYFUNCTION("""COMPUTED_VALUE"""),"SMS")</f>
        <v>SMS</v>
      </c>
      <c r="X153" s="231" t="str">
        <f>IFERROR(__xludf.DUMMYFUNCTION("""COMPUTED_VALUE"""),"Predominant LA, Mens, Aroma")</f>
        <v>Predominant LA, Mens, Aroma</v>
      </c>
      <c r="Y153" s="231" t="str">
        <f>IFERROR(__xludf.DUMMYFUNCTION("""COMPUTED_VALUE"""),"18th Feb to 20th Feb")</f>
        <v>18th Feb to 20th Feb</v>
      </c>
      <c r="Z153" s="231" t="str">
        <f>IFERROR(__xludf.DUMMYFUNCTION("""COMPUTED_VALUE"""),"69958cb4d1924832159731a3")</f>
        <v>69958cb4d1924832159731a3</v>
      </c>
      <c r="AA153" s="229">
        <f>IFERROR(__xludf.DUMMYFUNCTION("""COMPUTED_VALUE"""),31.0)</f>
        <v>31</v>
      </c>
      <c r="AB153" s="229">
        <f>IFERROR(__xludf.DUMMYFUNCTION("""COMPUTED_VALUE"""),31.0)</f>
        <v>31</v>
      </c>
      <c r="AC153" s="229"/>
      <c r="AD153" s="229">
        <f>IFERROR(__xludf.DUMMYFUNCTION("""COMPUTED_VALUE"""),93923.0)</f>
        <v>93923</v>
      </c>
      <c r="AE153" s="229">
        <f>IFERROR(__xludf.DUMMYFUNCTION("""COMPUTED_VALUE"""),93923.0)</f>
        <v>93923</v>
      </c>
      <c r="AF153" s="229"/>
      <c r="AG153" s="208"/>
      <c r="AH153" s="208"/>
      <c r="AI153" s="208"/>
      <c r="AJ153" s="208"/>
      <c r="AK153" s="208"/>
    </row>
    <row r="154" hidden="1">
      <c r="A154" s="216">
        <f>IFERROR(__xludf.DUMMYFUNCTION("""COMPUTED_VALUE"""),46071.0)</f>
        <v>46071</v>
      </c>
      <c r="B154" s="210">
        <f>IFERROR(__xludf.DUMMYFUNCTION("""COMPUTED_VALUE"""),0.8333333333321207)</f>
        <v>0.8333333333</v>
      </c>
      <c r="C154" s="210" t="str">
        <f>IFERROR(__xludf.DUMMYFUNCTION("""COMPUTED_VALUE"""),"Sms")</f>
        <v>Sms</v>
      </c>
      <c r="D154" s="210" t="str">
        <f>IFERROR(__xludf.DUMMYFUNCTION("""COMPUTED_VALUE"""),"Fallback Campaign")</f>
        <v>Fallback Campaign</v>
      </c>
      <c r="E154" s="211" t="str">
        <f>IFERROR(__xludf.DUMMYFUNCTION("""COMPUTED_VALUE"""),"BBW")</f>
        <v>BBW</v>
      </c>
      <c r="F154" s="211" t="str">
        <f>IFERROR(__xludf.DUMMYFUNCTION("""COMPUTED_VALUE"""),"B1G1")</f>
        <v>B1G1</v>
      </c>
      <c r="G154" s="211" t="str">
        <f>IFERROR(__xludf.DUMMYFUNCTION("""COMPUTED_VALUE"""),"bbw_oemenathf_b1g1atc_WAfb")</f>
        <v>bbw_oemenathf_b1g1atc_WAfb</v>
      </c>
      <c r="H154" s="211" t="str">
        <f>IFERROR(__xludf.DUMMYFUNCTION("""COMPUTED_VALUE"""),"AddToCart_NotPurchased_Last60Days OR AGIPL_Internal OR BBW_Internal")</f>
        <v>AddToCart_NotPurchased_Last60Days OR AGIPL_Internal OR BBW_Internal</v>
      </c>
      <c r="I154" s="223" t="str">
        <f>IFERROR(__xludf.DUMMYFUNCTION("""COMPUTED_VALUE"""),"WA Undelivered")</f>
        <v>WA Undelivered</v>
      </c>
      <c r="J154" s="213">
        <f>IFERROR(__xludf.DUMMYFUNCTION("""COMPUTED_VALUE"""),552.0)</f>
        <v>552</v>
      </c>
      <c r="K154" s="213">
        <f>IFERROR(__xludf.DUMMYFUNCTION("""COMPUTED_VALUE"""),354.0)</f>
        <v>354</v>
      </c>
      <c r="L154" s="214">
        <f>IFERROR(__xludf.DUMMYFUNCTION("""COMPUTED_VALUE"""),0.6413)</f>
        <v>0.6413</v>
      </c>
      <c r="M154" s="213"/>
      <c r="N154" s="214"/>
      <c r="O154" s="213">
        <f>IFERROR(__xludf.DUMMYFUNCTION("""COMPUTED_VALUE"""),1.0)</f>
        <v>1</v>
      </c>
      <c r="P154" s="213"/>
      <c r="Q154" s="214">
        <f>IFERROR(__xludf.DUMMYFUNCTION("""COMPUTED_VALUE"""),0.0028)</f>
        <v>0.0028</v>
      </c>
      <c r="R154" s="214"/>
      <c r="S154" s="101">
        <f>IFERROR(__xludf.DUMMYFUNCTION("""COMPUTED_VALUE"""),2.0)</f>
        <v>2</v>
      </c>
      <c r="T154" s="101">
        <f>IFERROR(__xludf.DUMMYFUNCTION("""COMPUTED_VALUE"""),6.0)</f>
        <v>6</v>
      </c>
      <c r="U154" s="213">
        <f>IFERROR(__xludf.DUMMYFUNCTION("""COMPUTED_VALUE"""),9279.0)</f>
        <v>9279</v>
      </c>
      <c r="V154" s="271" t="str">
        <f>IFERROR(__xludf.DUMMYFUNCTION("""COMPUTED_VALUE"""),"overall")</f>
        <v>overall</v>
      </c>
      <c r="W154" s="98" t="str">
        <f>IFERROR(__xludf.DUMMYFUNCTION("""COMPUTED_VALUE"""),"SMS")</f>
        <v>SMS</v>
      </c>
      <c r="X154" s="98" t="str">
        <f>IFERROR(__xludf.DUMMYFUNCTION("""COMPUTED_VALUE"""),"Add TO Cart Event")</f>
        <v>Add TO Cart Event</v>
      </c>
      <c r="Y154" s="98" t="str">
        <f>IFERROR(__xludf.DUMMYFUNCTION("""COMPUTED_VALUE"""),"18th Feb to 20th Feb")</f>
        <v>18th Feb to 20th Feb</v>
      </c>
      <c r="Z154" s="98" t="str">
        <f>IFERROR(__xludf.DUMMYFUNCTION("""COMPUTED_VALUE"""),"6995a24222256119810175a9")</f>
        <v>6995a24222256119810175a9</v>
      </c>
      <c r="AA154" s="98">
        <f>IFERROR(__xludf.DUMMYFUNCTION("""COMPUTED_VALUE"""),3.0)</f>
        <v>3</v>
      </c>
      <c r="AB154" s="98">
        <f>IFERROR(__xludf.DUMMYFUNCTION("""COMPUTED_VALUE"""),3.0)</f>
        <v>3</v>
      </c>
      <c r="AC154" s="98"/>
      <c r="AD154" s="98">
        <f>IFERROR(__xludf.DUMMYFUNCTION("""COMPUTED_VALUE"""),15327.0)</f>
        <v>15327</v>
      </c>
      <c r="AE154" s="98">
        <f>IFERROR(__xludf.DUMMYFUNCTION("""COMPUTED_VALUE"""),15327.0)</f>
        <v>15327</v>
      </c>
      <c r="AF154" s="98"/>
      <c r="AG154" s="208"/>
      <c r="AH154" s="208"/>
      <c r="AI154" s="208"/>
      <c r="AJ154" s="208"/>
      <c r="AK154" s="208"/>
    </row>
    <row r="155" hidden="1">
      <c r="A155" s="245">
        <f>IFERROR(__xludf.DUMMYFUNCTION("""COMPUTED_VALUE"""),46071.0)</f>
        <v>46071</v>
      </c>
      <c r="B155" s="246">
        <f>IFERROR(__xludf.DUMMYFUNCTION("""COMPUTED_VALUE"""),0.8333333333321207)</f>
        <v>0.8333333333</v>
      </c>
      <c r="C155" s="221" t="str">
        <f>IFERROR(__xludf.DUMMYFUNCTION("""COMPUTED_VALUE"""),"Sms")</f>
        <v>Sms</v>
      </c>
      <c r="D155" s="221" t="str">
        <f>IFERROR(__xludf.DUMMYFUNCTION("""COMPUTED_VALUE"""),"Fallback Campaign")</f>
        <v>Fallback Campaign</v>
      </c>
      <c r="E155" s="221" t="str">
        <f>IFERROR(__xludf.DUMMYFUNCTION("""COMPUTED_VALUE"""),"BBW")</f>
        <v>BBW</v>
      </c>
      <c r="F155" s="221" t="str">
        <f>IFERROR(__xludf.DUMMYFUNCTION("""COMPUTED_VALUE"""),"B1G1")</f>
        <v>B1G1</v>
      </c>
      <c r="G155" s="221" t="str">
        <f>IFERROR(__xludf.DUMMYFUNCTION("""COMPUTED_VALUE"""),"bbw_oemenathf_b1g1view_WAfb")</f>
        <v>bbw_oemenathf_b1g1view_WAfb</v>
      </c>
      <c r="H155" s="269" t="str">
        <f>IFERROR(__xludf.DUMMYFUNCTION("""COMPUTED_VALUE"""),"ViewItemList_Last30Days")</f>
        <v>ViewItemList_Last30Days</v>
      </c>
      <c r="I155" s="223" t="str">
        <f>IFERROR(__xludf.DUMMYFUNCTION("""COMPUTED_VALUE"""),"WA Undelivered")</f>
        <v>WA Undelivered</v>
      </c>
      <c r="J155" s="213">
        <f>IFERROR(__xludf.DUMMYFUNCTION("""COMPUTED_VALUE"""),501.0)</f>
        <v>501</v>
      </c>
      <c r="K155" s="213">
        <f>IFERROR(__xludf.DUMMYFUNCTION("""COMPUTED_VALUE"""),339.0)</f>
        <v>339</v>
      </c>
      <c r="L155" s="214">
        <f>IFERROR(__xludf.DUMMYFUNCTION("""COMPUTED_VALUE"""),0.6766)</f>
        <v>0.6766</v>
      </c>
      <c r="M155" s="213"/>
      <c r="N155" s="214"/>
      <c r="O155" s="213">
        <f>IFERROR(__xludf.DUMMYFUNCTION("""COMPUTED_VALUE"""),0.0)</f>
        <v>0</v>
      </c>
      <c r="P155" s="101"/>
      <c r="Q155" s="214">
        <f>IFERROR(__xludf.DUMMYFUNCTION("""COMPUTED_VALUE"""),0.0)</f>
        <v>0</v>
      </c>
      <c r="R155" s="214"/>
      <c r="S155" s="101">
        <f>IFERROR(__xludf.DUMMYFUNCTION("""COMPUTED_VALUE"""),1.0)</f>
        <v>1</v>
      </c>
      <c r="T155" s="101">
        <f>IFERROR(__xludf.DUMMYFUNCTION("""COMPUTED_VALUE"""),5.0)</f>
        <v>5</v>
      </c>
      <c r="U155" s="213">
        <f>IFERROR(__xludf.DUMMYFUNCTION("""COMPUTED_VALUE"""),647.0)</f>
        <v>647</v>
      </c>
      <c r="V155" s="271" t="str">
        <f>IFERROR(__xludf.DUMMYFUNCTION("""COMPUTED_VALUE"""),"overall")</f>
        <v>overall</v>
      </c>
      <c r="W155" s="98" t="str">
        <f>IFERROR(__xludf.DUMMYFUNCTION("""COMPUTED_VALUE"""),"SMS")</f>
        <v>SMS</v>
      </c>
      <c r="X155" s="98" t="str">
        <f>IFERROR(__xludf.DUMMYFUNCTION("""COMPUTED_VALUE"""),"View Item Event")</f>
        <v>View Item Event</v>
      </c>
      <c r="Y155" s="98" t="str">
        <f>IFERROR(__xludf.DUMMYFUNCTION("""COMPUTED_VALUE"""),"18th Feb to 20th Feb")</f>
        <v>18th Feb to 20th Feb</v>
      </c>
      <c r="Z155" s="98" t="str">
        <f>IFERROR(__xludf.DUMMYFUNCTION("""COMPUTED_VALUE"""),"6995a27b823c420e9ab8a658")</f>
        <v>6995a27b823c420e9ab8a658</v>
      </c>
      <c r="AA155" s="98">
        <f>IFERROR(__xludf.DUMMYFUNCTION("""COMPUTED_VALUE"""),2.0)</f>
        <v>2</v>
      </c>
      <c r="AB155" s="98">
        <f>IFERROR(__xludf.DUMMYFUNCTION("""COMPUTED_VALUE"""),2.0)</f>
        <v>2</v>
      </c>
      <c r="AC155" s="98"/>
      <c r="AD155" s="98">
        <f>IFERROR(__xludf.DUMMYFUNCTION("""COMPUTED_VALUE"""),1497.0)</f>
        <v>1497</v>
      </c>
      <c r="AE155" s="98">
        <f>IFERROR(__xludf.DUMMYFUNCTION("""COMPUTED_VALUE"""),1497.0)</f>
        <v>1497</v>
      </c>
      <c r="AF155" s="98"/>
      <c r="AG155" s="208"/>
      <c r="AH155" s="208"/>
      <c r="AI155" s="208"/>
      <c r="AJ155" s="208"/>
      <c r="AK155" s="208"/>
    </row>
    <row r="156" hidden="1">
      <c r="A156" s="219">
        <f>IFERROR(__xludf.DUMMYFUNCTION("""COMPUTED_VALUE"""),46071.0)</f>
        <v>46071</v>
      </c>
      <c r="B156" s="220">
        <f>IFERROR(__xludf.DUMMYFUNCTION("""COMPUTED_VALUE"""),0.8333333333321207)</f>
        <v>0.8333333333</v>
      </c>
      <c r="C156" s="221" t="str">
        <f>IFERROR(__xludf.DUMMYFUNCTION("""COMPUTED_VALUE"""),"Sms")</f>
        <v>Sms</v>
      </c>
      <c r="D156" s="221" t="str">
        <f>IFERROR(__xludf.DUMMYFUNCTION("""COMPUTED_VALUE"""),"Fallback Campaign")</f>
        <v>Fallback Campaign</v>
      </c>
      <c r="E156" s="221" t="str">
        <f>IFERROR(__xludf.DUMMYFUNCTION("""COMPUTED_VALUE"""),"BBW")</f>
        <v>BBW</v>
      </c>
      <c r="F156" s="221" t="str">
        <f>IFERROR(__xludf.DUMMYFUNCTION("""COMPUTED_VALUE"""),"B1G1")</f>
        <v>B1G1</v>
      </c>
      <c r="G156" s="221" t="str">
        <f>IFERROR(__xludf.DUMMYFUNCTION("""COMPUTED_VALUE"""),"bbw_oemenathf_b1g1eventbuy_WAfb")</f>
        <v>bbw_oemenathf_b1g1eventbuy_WAfb</v>
      </c>
      <c r="H156" s="223" t="str">
        <f>IFERROR(__xludf.DUMMYFUNCTION("""COMPUTED_VALUE"""),"B1G1_EventBuyers_ON")</f>
        <v>B1G1_EventBuyers_ON</v>
      </c>
      <c r="I156" s="223" t="str">
        <f>IFERROR(__xludf.DUMMYFUNCTION("""COMPUTED_VALUE"""),"WA Undelivered")</f>
        <v>WA Undelivered</v>
      </c>
      <c r="J156" s="224">
        <f>IFERROR(__xludf.DUMMYFUNCTION("""COMPUTED_VALUE"""),11262.0)</f>
        <v>11262</v>
      </c>
      <c r="K156" s="224">
        <f>IFERROR(__xludf.DUMMYFUNCTION("""COMPUTED_VALUE"""),6386.0)</f>
        <v>6386</v>
      </c>
      <c r="L156" s="225">
        <f>IFERROR(__xludf.DUMMYFUNCTION("""COMPUTED_VALUE"""),0.567)</f>
        <v>0.567</v>
      </c>
      <c r="M156" s="224"/>
      <c r="N156" s="225"/>
      <c r="O156" s="226">
        <f>IFERROR(__xludf.DUMMYFUNCTION("""COMPUTED_VALUE"""),19.0)</f>
        <v>19</v>
      </c>
      <c r="P156" s="226"/>
      <c r="Q156" s="225">
        <f>IFERROR(__xludf.DUMMYFUNCTION("""COMPUTED_VALUE"""),0.003)</f>
        <v>0.003</v>
      </c>
      <c r="R156" s="225"/>
      <c r="S156" s="226">
        <f>IFERROR(__xludf.DUMMYFUNCTION("""COMPUTED_VALUE"""),1.0)</f>
        <v>1</v>
      </c>
      <c r="T156" s="226">
        <f>IFERROR(__xludf.DUMMYFUNCTION("""COMPUTED_VALUE"""),2.0)</f>
        <v>2</v>
      </c>
      <c r="U156" s="224">
        <f>IFERROR(__xludf.DUMMYFUNCTION("""COMPUTED_VALUE"""),2397.0)</f>
        <v>2397</v>
      </c>
      <c r="V156" s="221" t="str">
        <f>IFERROR(__xludf.DUMMYFUNCTION("""COMPUTED_VALUE"""),"online")</f>
        <v>online</v>
      </c>
      <c r="W156" s="231" t="str">
        <f>IFERROR(__xludf.DUMMYFUNCTION("""COMPUTED_VALUE"""),"SMS")</f>
        <v>SMS</v>
      </c>
      <c r="X156" s="231" t="str">
        <f>IFERROR(__xludf.DUMMYFUNCTION("""COMPUTED_VALUE"""),"Event Buyers")</f>
        <v>Event Buyers</v>
      </c>
      <c r="Y156" s="231" t="str">
        <f>IFERROR(__xludf.DUMMYFUNCTION("""COMPUTED_VALUE"""),"18th Feb to 20th Feb")</f>
        <v>18th Feb to 20th Feb</v>
      </c>
      <c r="Z156" s="231" t="str">
        <f>IFERROR(__xludf.DUMMYFUNCTION("""COMPUTED_VALUE"""),"6995a2aec12abc8a4a1cfa22")</f>
        <v>6995a2aec12abc8a4a1cfa22</v>
      </c>
      <c r="AA156" s="229">
        <f>IFERROR(__xludf.DUMMYFUNCTION("""COMPUTED_VALUE"""),16.0)</f>
        <v>16</v>
      </c>
      <c r="AB156" s="229">
        <f>IFERROR(__xludf.DUMMYFUNCTION("""COMPUTED_VALUE"""),16.0)</f>
        <v>16</v>
      </c>
      <c r="AC156" s="229"/>
      <c r="AD156" s="229">
        <f>IFERROR(__xludf.DUMMYFUNCTION("""COMPUTED_VALUE"""),47976.0)</f>
        <v>47976</v>
      </c>
      <c r="AE156" s="229">
        <f>IFERROR(__xludf.DUMMYFUNCTION("""COMPUTED_VALUE"""),47976.0)</f>
        <v>47976</v>
      </c>
      <c r="AF156" s="229"/>
      <c r="AG156" s="208"/>
      <c r="AH156" s="208"/>
      <c r="AI156" s="208"/>
      <c r="AJ156" s="208"/>
      <c r="AK156" s="208"/>
    </row>
    <row r="157" hidden="1">
      <c r="A157" s="245">
        <f>IFERROR(__xludf.DUMMYFUNCTION("""COMPUTED_VALUE"""),46073.0)</f>
        <v>46073</v>
      </c>
      <c r="B157" s="220">
        <f>IFERROR(__xludf.DUMMYFUNCTION("""COMPUTED_VALUE"""),0.75)</f>
        <v>0.75</v>
      </c>
      <c r="C157" s="221" t="str">
        <f>IFERROR(__xludf.DUMMYFUNCTION("""COMPUTED_VALUE"""),"Whatsapp")</f>
        <v>Whatsapp</v>
      </c>
      <c r="D157" s="221" t="str">
        <f>IFERROR(__xludf.DUMMYFUNCTION("""COMPUTED_VALUE"""),"Promotional")</f>
        <v>Promotional</v>
      </c>
      <c r="E157" s="221" t="str">
        <f>IFERROR(__xludf.DUMMYFUNCTION("""COMPUTED_VALUE"""),"BBW")</f>
        <v>BBW</v>
      </c>
      <c r="F157" s="221" t="str">
        <f>IFERROR(__xludf.DUMMYFUNCTION("""COMPUTED_VALUE"""),"B2G1")</f>
        <v>B2G1</v>
      </c>
      <c r="G157" s="221" t="str">
        <f>IFERROR(__xludf.DUMMYFUNCTION("""COMPUTED_VALUE"""),"bbw_20.1b2g1_eventbuyWA")</f>
        <v>bbw_20.1b2g1_eventbuyWA</v>
      </c>
      <c r="H157" s="223" t="str">
        <f>IFERROR(__xludf.DUMMYFUNCTION("""COMPUTED_VALUE"""),"Event_Buyers-B2G1-Nov25")</f>
        <v>Event_Buyers-B2G1-Nov25</v>
      </c>
      <c r="I157" s="223" t="str">
        <f>IFERROR(__xludf.DUMMYFUNCTION("""COMPUTED_VALUE"""),"Customers who have purchased between 29 Oct, 2025 - 2 Nov, 2025")</f>
        <v>Customers who have purchased between 29 Oct, 2025 - 2 Nov, 2025</v>
      </c>
      <c r="J157" s="224">
        <f>IFERROR(__xludf.DUMMYFUNCTION("""COMPUTED_VALUE"""),5207.0)</f>
        <v>5207</v>
      </c>
      <c r="K157" s="224">
        <f>IFERROR(__xludf.DUMMYFUNCTION("""COMPUTED_VALUE"""),1722.0)</f>
        <v>1722</v>
      </c>
      <c r="L157" s="225">
        <f>IFERROR(__xludf.DUMMYFUNCTION("""COMPUTED_VALUE"""),0.3307)</f>
        <v>0.3307</v>
      </c>
      <c r="M157" s="224">
        <f>IFERROR(__xludf.DUMMYFUNCTION("""COMPUTED_VALUE"""),743.0)</f>
        <v>743</v>
      </c>
      <c r="N157" s="225">
        <f>IFERROR(__xludf.DUMMYFUNCTION("""COMPUTED_VALUE"""),0.4315)</f>
        <v>0.4315</v>
      </c>
      <c r="O157" s="224">
        <f>IFERROR(__xludf.DUMMYFUNCTION("""COMPUTED_VALUE"""),15.0)</f>
        <v>15</v>
      </c>
      <c r="P157" s="224">
        <f>IFERROR(__xludf.DUMMYFUNCTION("""COMPUTED_VALUE"""),15.0)</f>
        <v>15</v>
      </c>
      <c r="Q157" s="225">
        <f>IFERROR(__xludf.DUMMYFUNCTION("""COMPUTED_VALUE"""),0.0087)</f>
        <v>0.0087</v>
      </c>
      <c r="R157" s="225">
        <f>IFERROR(__xludf.DUMMYFUNCTION("""COMPUTED_VALUE"""),0.0202)</f>
        <v>0.0202</v>
      </c>
      <c r="S157" s="226">
        <f>IFERROR(__xludf.DUMMYFUNCTION("""COMPUTED_VALUE"""),0.0)</f>
        <v>0</v>
      </c>
      <c r="T157" s="226">
        <f>IFERROR(__xludf.DUMMYFUNCTION("""COMPUTED_VALUE"""),0.0)</f>
        <v>0</v>
      </c>
      <c r="U157" s="224">
        <f>IFERROR(__xludf.DUMMYFUNCTION("""COMPUTED_VALUE"""),0.0)</f>
        <v>0</v>
      </c>
      <c r="V157" s="221" t="str">
        <f>IFERROR(__xludf.DUMMYFUNCTION("""COMPUTED_VALUE"""),"online")</f>
        <v>online</v>
      </c>
      <c r="W157" s="231" t="str">
        <f>IFERROR(__xludf.DUMMYFUNCTION("""COMPUTED_VALUE"""),"simple")</f>
        <v>simple</v>
      </c>
      <c r="X157" s="231" t="str">
        <f>IFERROR(__xludf.DUMMYFUNCTION("""COMPUTED_VALUE"""),"Event Buyers")</f>
        <v>Event Buyers</v>
      </c>
      <c r="Y157" s="231" t="str">
        <f>IFERROR(__xludf.DUMMYFUNCTION("""COMPUTED_VALUE"""),"20th Feb to 22nd Feb")</f>
        <v>20th Feb to 22nd Feb</v>
      </c>
      <c r="Z157" s="231" t="str">
        <f>IFERROR(__xludf.DUMMYFUNCTION("""COMPUTED_VALUE"""),"69981da8b5c71ba3c7d5f16b")</f>
        <v>69981da8b5c71ba3c7d5f16b</v>
      </c>
      <c r="AA157" s="229">
        <f>IFERROR(__xludf.DUMMYFUNCTION("""COMPUTED_VALUE"""),0.0)</f>
        <v>0</v>
      </c>
      <c r="AB157" s="229">
        <f>IFERROR(__xludf.DUMMYFUNCTION("""COMPUTED_VALUE"""),0.0)</f>
        <v>0</v>
      </c>
      <c r="AC157" s="229"/>
      <c r="AD157" s="229">
        <f>IFERROR(__xludf.DUMMYFUNCTION("""COMPUTED_VALUE"""),0.0)</f>
        <v>0</v>
      </c>
      <c r="AE157" s="229">
        <f>IFERROR(__xludf.DUMMYFUNCTION("""COMPUTED_VALUE"""),0.0)</f>
        <v>0</v>
      </c>
      <c r="AF157" s="229"/>
      <c r="AG157" s="208"/>
      <c r="AH157" s="208"/>
      <c r="AI157" s="208"/>
      <c r="AJ157" s="208"/>
      <c r="AK157" s="208"/>
    </row>
    <row r="158" hidden="1">
      <c r="A158" s="245">
        <f>IFERROR(__xludf.DUMMYFUNCTION("""COMPUTED_VALUE"""),46073.0)</f>
        <v>46073</v>
      </c>
      <c r="B158" s="220">
        <f>IFERROR(__xludf.DUMMYFUNCTION("""COMPUTED_VALUE"""),0.75)</f>
        <v>0.75</v>
      </c>
      <c r="C158" s="221" t="str">
        <f>IFERROR(__xludf.DUMMYFUNCTION("""COMPUTED_VALUE"""),"Whatsapp")</f>
        <v>Whatsapp</v>
      </c>
      <c r="D158" s="221" t="str">
        <f>IFERROR(__xludf.DUMMYFUNCTION("""COMPUTED_VALUE"""),"Promotional")</f>
        <v>Promotional</v>
      </c>
      <c r="E158" s="221" t="str">
        <f>IFERROR(__xludf.DUMMYFUNCTION("""COMPUTED_VALUE"""),"BBW")</f>
        <v>BBW</v>
      </c>
      <c r="F158" s="221" t="str">
        <f>IFERROR(__xludf.DUMMYFUNCTION("""COMPUTED_VALUE"""),"B2G1")</f>
        <v>B2G1</v>
      </c>
      <c r="G158" s="221" t="str">
        <f>IFERROR(__xludf.DUMMYFUNCTION("""COMPUTED_VALUE"""),"bbw_20.1b2g1_loyalWA")</f>
        <v>bbw_20.1b2g1_loyalWA</v>
      </c>
      <c r="H158" s="223" t="str">
        <f>IFERROR(__xludf.DUMMYFUNCTION("""COMPUTED_VALUE"""),"Loyal_Min3Orders_ON OR BBW_Internal OR AGIPL_Internal")</f>
        <v>Loyal_Min3Orders_ON OR BBW_Internal OR AGIPL_Internal</v>
      </c>
      <c r="I158" s="223" t="str">
        <f>IFERROR(__xludf.DUMMYFUNCTION("""COMPUTED_VALUE"""),"Online Customers who have purchased min. 3 orders in last 3 Years")</f>
        <v>Online Customers who have purchased min. 3 orders in last 3 Years</v>
      </c>
      <c r="J158" s="224">
        <f>IFERROR(__xludf.DUMMYFUNCTION("""COMPUTED_VALUE"""),18210.0)</f>
        <v>18210</v>
      </c>
      <c r="K158" s="224">
        <f>IFERROR(__xludf.DUMMYFUNCTION("""COMPUTED_VALUE"""),5023.0)</f>
        <v>5023</v>
      </c>
      <c r="L158" s="225">
        <f>IFERROR(__xludf.DUMMYFUNCTION("""COMPUTED_VALUE"""),0.2758)</f>
        <v>0.2758</v>
      </c>
      <c r="M158" s="224">
        <f>IFERROR(__xludf.DUMMYFUNCTION("""COMPUTED_VALUE"""),1889.0)</f>
        <v>1889</v>
      </c>
      <c r="N158" s="225">
        <f>IFERROR(__xludf.DUMMYFUNCTION("""COMPUTED_VALUE"""),0.3761)</f>
        <v>0.3761</v>
      </c>
      <c r="O158" s="224">
        <f>IFERROR(__xludf.DUMMYFUNCTION("""COMPUTED_VALUE"""),110.0)</f>
        <v>110</v>
      </c>
      <c r="P158" s="224">
        <f>IFERROR(__xludf.DUMMYFUNCTION("""COMPUTED_VALUE"""),106.0)</f>
        <v>106</v>
      </c>
      <c r="Q158" s="225">
        <f>IFERROR(__xludf.DUMMYFUNCTION("""COMPUTED_VALUE"""),0.0211)</f>
        <v>0.0211</v>
      </c>
      <c r="R158" s="225">
        <f>IFERROR(__xludf.DUMMYFUNCTION("""COMPUTED_VALUE"""),0.0561)</f>
        <v>0.0561</v>
      </c>
      <c r="S158" s="226">
        <f>IFERROR(__xludf.DUMMYFUNCTION("""COMPUTED_VALUE"""),1.0)</f>
        <v>1</v>
      </c>
      <c r="T158" s="226">
        <f>IFERROR(__xludf.DUMMYFUNCTION("""COMPUTED_VALUE"""),1.0)</f>
        <v>1</v>
      </c>
      <c r="U158" s="224">
        <f>IFERROR(__xludf.DUMMYFUNCTION("""COMPUTED_VALUE"""),6475.0)</f>
        <v>6475</v>
      </c>
      <c r="V158" s="221" t="str">
        <f>IFERROR(__xludf.DUMMYFUNCTION("""COMPUTED_VALUE"""),"online")</f>
        <v>online</v>
      </c>
      <c r="W158" s="231" t="str">
        <f>IFERROR(__xludf.DUMMYFUNCTION("""COMPUTED_VALUE"""),"simple")</f>
        <v>simple</v>
      </c>
      <c r="X158" s="231" t="str">
        <f>IFERROR(__xludf.DUMMYFUNCTION("""COMPUTED_VALUE"""),"Loyal")</f>
        <v>Loyal</v>
      </c>
      <c r="Y158" s="231" t="str">
        <f>IFERROR(__xludf.DUMMYFUNCTION("""COMPUTED_VALUE"""),"20th Feb to 22nd Feb")</f>
        <v>20th Feb to 22nd Feb</v>
      </c>
      <c r="Z158" s="231" t="str">
        <f>IFERROR(__xludf.DUMMYFUNCTION("""COMPUTED_VALUE"""),"69981e6db91bb8255206be6a")</f>
        <v>69981e6db91bb8255206be6a</v>
      </c>
      <c r="AA158" s="229">
        <f>IFERROR(__xludf.DUMMYFUNCTION("""COMPUTED_VALUE"""),2.0)</f>
        <v>2</v>
      </c>
      <c r="AB158" s="229">
        <f>IFERROR(__xludf.DUMMYFUNCTION("""COMPUTED_VALUE"""),2.0)</f>
        <v>2</v>
      </c>
      <c r="AC158" s="229"/>
      <c r="AD158" s="229">
        <f>IFERROR(__xludf.DUMMYFUNCTION("""COMPUTED_VALUE"""),10224.0)</f>
        <v>10224</v>
      </c>
      <c r="AE158" s="229">
        <f>IFERROR(__xludf.DUMMYFUNCTION("""COMPUTED_VALUE"""),10224.0)</f>
        <v>10224</v>
      </c>
      <c r="AF158" s="229"/>
      <c r="AG158" s="208"/>
      <c r="AH158" s="208"/>
      <c r="AI158" s="208"/>
      <c r="AJ158" s="208"/>
      <c r="AK158" s="208"/>
    </row>
    <row r="159" hidden="1">
      <c r="A159" s="245">
        <f>IFERROR(__xludf.DUMMYFUNCTION("""COMPUTED_VALUE"""),46073.0)</f>
        <v>46073</v>
      </c>
      <c r="B159" s="220">
        <f>IFERROR(__xludf.DUMMYFUNCTION("""COMPUTED_VALUE"""),0.8333333333321207)</f>
        <v>0.8333333333</v>
      </c>
      <c r="C159" s="221" t="str">
        <f>IFERROR(__xludf.DUMMYFUNCTION("""COMPUTED_VALUE"""),"Sms")</f>
        <v>Sms</v>
      </c>
      <c r="D159" s="221" t="str">
        <f>IFERROR(__xludf.DUMMYFUNCTION("""COMPUTED_VALUE"""),"Fallback Campaign")</f>
        <v>Fallback Campaign</v>
      </c>
      <c r="E159" s="221" t="str">
        <f>IFERROR(__xludf.DUMMYFUNCTION("""COMPUTED_VALUE"""),"BBW")</f>
        <v>BBW</v>
      </c>
      <c r="F159" s="221" t="str">
        <f>IFERROR(__xludf.DUMMYFUNCTION("""COMPUTED_VALUE"""),"B2G1")</f>
        <v>B2G1</v>
      </c>
      <c r="G159" s="221" t="str">
        <f>IFERROR(__xludf.DUMMYFUNCTION("""COMPUTED_VALUE"""),"bbw_20.1b2g1_eventbuyWAFB")</f>
        <v>bbw_20.1b2g1_eventbuyWAFB</v>
      </c>
      <c r="H159" s="223" t="str">
        <f>IFERROR(__xludf.DUMMYFUNCTION("""COMPUTED_VALUE"""),"Event_Buyers-B2G1-Nov25")</f>
        <v>Event_Buyers-B2G1-Nov25</v>
      </c>
      <c r="I159" s="223" t="str">
        <f>IFERROR(__xludf.DUMMYFUNCTION("""COMPUTED_VALUE"""),"WA Undelivered")</f>
        <v>WA Undelivered</v>
      </c>
      <c r="J159" s="224">
        <f>IFERROR(__xludf.DUMMYFUNCTION("""COMPUTED_VALUE"""),3407.0)</f>
        <v>3407</v>
      </c>
      <c r="K159" s="224">
        <f>IFERROR(__xludf.DUMMYFUNCTION("""COMPUTED_VALUE"""),1989.0)</f>
        <v>1989</v>
      </c>
      <c r="L159" s="225">
        <f>IFERROR(__xludf.DUMMYFUNCTION("""COMPUTED_VALUE"""),0.5838)</f>
        <v>0.5838</v>
      </c>
      <c r="M159" s="224"/>
      <c r="N159" s="225"/>
      <c r="O159" s="224">
        <f>IFERROR(__xludf.DUMMYFUNCTION("""COMPUTED_VALUE"""),0.0)</f>
        <v>0</v>
      </c>
      <c r="P159" s="224"/>
      <c r="Q159" s="225">
        <f>IFERROR(__xludf.DUMMYFUNCTION("""COMPUTED_VALUE"""),0.0)</f>
        <v>0</v>
      </c>
      <c r="R159" s="225"/>
      <c r="S159" s="226">
        <f>IFERROR(__xludf.DUMMYFUNCTION("""COMPUTED_VALUE"""),0.0)</f>
        <v>0</v>
      </c>
      <c r="T159" s="226">
        <f>IFERROR(__xludf.DUMMYFUNCTION("""COMPUTED_VALUE"""),0.0)</f>
        <v>0</v>
      </c>
      <c r="U159" s="224">
        <f>IFERROR(__xludf.DUMMYFUNCTION("""COMPUTED_VALUE"""),0.0)</f>
        <v>0</v>
      </c>
      <c r="V159" s="221" t="str">
        <f>IFERROR(__xludf.DUMMYFUNCTION("""COMPUTED_VALUE"""),"online")</f>
        <v>online</v>
      </c>
      <c r="W159" s="231" t="str">
        <f>IFERROR(__xludf.DUMMYFUNCTION("""COMPUTED_VALUE"""),"SMS")</f>
        <v>SMS</v>
      </c>
      <c r="X159" s="231" t="str">
        <f>IFERROR(__xludf.DUMMYFUNCTION("""COMPUTED_VALUE"""),"Event Buyers")</f>
        <v>Event Buyers</v>
      </c>
      <c r="Y159" s="231" t="str">
        <f>IFERROR(__xludf.DUMMYFUNCTION("""COMPUTED_VALUE"""),"20th Feb to 22nd Feb")</f>
        <v>20th Feb to 22nd Feb</v>
      </c>
      <c r="Z159" s="231" t="str">
        <f>IFERROR(__xludf.DUMMYFUNCTION("""COMPUTED_VALUE"""),"69981de255a51a58c8f8c621")</f>
        <v>69981de255a51a58c8f8c621</v>
      </c>
      <c r="AA159" s="229">
        <f>IFERROR(__xludf.DUMMYFUNCTION("""COMPUTED_VALUE"""),0.0)</f>
        <v>0</v>
      </c>
      <c r="AB159" s="229">
        <f>IFERROR(__xludf.DUMMYFUNCTION("""COMPUTED_VALUE"""),0.0)</f>
        <v>0</v>
      </c>
      <c r="AC159" s="229"/>
      <c r="AD159" s="229">
        <f>IFERROR(__xludf.DUMMYFUNCTION("""COMPUTED_VALUE"""),0.0)</f>
        <v>0</v>
      </c>
      <c r="AE159" s="229">
        <f>IFERROR(__xludf.DUMMYFUNCTION("""COMPUTED_VALUE"""),0.0)</f>
        <v>0</v>
      </c>
      <c r="AF159" s="229"/>
      <c r="AG159" s="208"/>
      <c r="AH159" s="208"/>
      <c r="AI159" s="208"/>
      <c r="AJ159" s="208"/>
      <c r="AK159" s="208"/>
    </row>
    <row r="160" hidden="1">
      <c r="A160" s="216">
        <f>IFERROR(__xludf.DUMMYFUNCTION("""COMPUTED_VALUE"""),46073.0)</f>
        <v>46073</v>
      </c>
      <c r="B160" s="210">
        <f>IFERROR(__xludf.DUMMYFUNCTION("""COMPUTED_VALUE"""),0.8333333333321207)</f>
        <v>0.8333333333</v>
      </c>
      <c r="C160" s="210" t="str">
        <f>IFERROR(__xludf.DUMMYFUNCTION("""COMPUTED_VALUE"""),"Sms")</f>
        <v>Sms</v>
      </c>
      <c r="D160" s="210" t="str">
        <f>IFERROR(__xludf.DUMMYFUNCTION("""COMPUTED_VALUE"""),"Fallback Campaign")</f>
        <v>Fallback Campaign</v>
      </c>
      <c r="E160" s="211" t="str">
        <f>IFERROR(__xludf.DUMMYFUNCTION("""COMPUTED_VALUE"""),"BBW")</f>
        <v>BBW</v>
      </c>
      <c r="F160" s="211" t="str">
        <f>IFERROR(__xludf.DUMMYFUNCTION("""COMPUTED_VALUE"""),"B2G1")</f>
        <v>B2G1</v>
      </c>
      <c r="G160" s="211" t="str">
        <f>IFERROR(__xludf.DUMMYFUNCTION("""COMPUTED_VALUE"""),"bbw_20.1b2g1_loyalWAFB")</f>
        <v>bbw_20.1b2g1_loyalWAFB</v>
      </c>
      <c r="H160" s="211" t="str">
        <f>IFERROR(__xludf.DUMMYFUNCTION("""COMPUTED_VALUE"""),"Loyal_Min3Orders_ON OR BBW_Internal OR AGIPL_Internal")</f>
        <v>Loyal_Min3Orders_ON OR BBW_Internal OR AGIPL_Internal</v>
      </c>
      <c r="I160" s="223" t="str">
        <f>IFERROR(__xludf.DUMMYFUNCTION("""COMPUTED_VALUE"""),"WA Undelivered")</f>
        <v>WA Undelivered</v>
      </c>
      <c r="J160" s="213">
        <f>IFERROR(__xludf.DUMMYFUNCTION("""COMPUTED_VALUE"""),12826.0)</f>
        <v>12826</v>
      </c>
      <c r="K160" s="213">
        <f>IFERROR(__xludf.DUMMYFUNCTION("""COMPUTED_VALUE"""),7083.0)</f>
        <v>7083</v>
      </c>
      <c r="L160" s="214">
        <f>IFERROR(__xludf.DUMMYFUNCTION("""COMPUTED_VALUE"""),0.5522)</f>
        <v>0.5522</v>
      </c>
      <c r="M160" s="213"/>
      <c r="N160" s="214"/>
      <c r="O160" s="213">
        <f>IFERROR(__xludf.DUMMYFUNCTION("""COMPUTED_VALUE"""),6.0)</f>
        <v>6</v>
      </c>
      <c r="P160" s="213"/>
      <c r="Q160" s="214">
        <f>IFERROR(__xludf.DUMMYFUNCTION("""COMPUTED_VALUE"""),8.0E-4)</f>
        <v>0.0008</v>
      </c>
      <c r="R160" s="214"/>
      <c r="S160" s="101">
        <f>IFERROR(__xludf.DUMMYFUNCTION("""COMPUTED_VALUE"""),1.0)</f>
        <v>1</v>
      </c>
      <c r="T160" s="101">
        <f>IFERROR(__xludf.DUMMYFUNCTION("""COMPUTED_VALUE"""),0.0)</f>
        <v>0</v>
      </c>
      <c r="U160" s="213">
        <f>IFERROR(__xludf.DUMMYFUNCTION("""COMPUTED_VALUE"""),2397.0)</f>
        <v>2397</v>
      </c>
      <c r="V160" s="271" t="str">
        <f>IFERROR(__xludf.DUMMYFUNCTION("""COMPUTED_VALUE"""),"online")</f>
        <v>online</v>
      </c>
      <c r="W160" s="98" t="str">
        <f>IFERROR(__xludf.DUMMYFUNCTION("""COMPUTED_VALUE"""),"SMS")</f>
        <v>SMS</v>
      </c>
      <c r="X160" s="98" t="str">
        <f>IFERROR(__xludf.DUMMYFUNCTION("""COMPUTED_VALUE"""),"Loyal")</f>
        <v>Loyal</v>
      </c>
      <c r="Y160" s="98" t="str">
        <f>IFERROR(__xludf.DUMMYFUNCTION("""COMPUTED_VALUE"""),"20th Feb to 22nd Feb")</f>
        <v>20th Feb to 22nd Feb</v>
      </c>
      <c r="Z160" s="98" t="str">
        <f>IFERROR(__xludf.DUMMYFUNCTION("""COMPUTED_VALUE"""),"69981ea04f48b5eaa6789f87")</f>
        <v>69981ea04f48b5eaa6789f87</v>
      </c>
      <c r="AA160" s="98">
        <f>IFERROR(__xludf.DUMMYFUNCTION("""COMPUTED_VALUE"""),2.0)</f>
        <v>2</v>
      </c>
      <c r="AB160" s="98">
        <f>IFERROR(__xludf.DUMMYFUNCTION("""COMPUTED_VALUE"""),2.0)</f>
        <v>2</v>
      </c>
      <c r="AC160" s="98"/>
      <c r="AD160" s="98">
        <f>IFERROR(__xludf.DUMMYFUNCTION("""COMPUTED_VALUE"""),7191.0)</f>
        <v>7191</v>
      </c>
      <c r="AE160" s="98">
        <f>IFERROR(__xludf.DUMMYFUNCTION("""COMPUTED_VALUE"""),7191.0)</f>
        <v>7191</v>
      </c>
      <c r="AF160" s="98"/>
      <c r="AG160" s="208"/>
      <c r="AH160" s="208"/>
      <c r="AI160" s="208"/>
      <c r="AJ160" s="208"/>
      <c r="AK160" s="208"/>
    </row>
    <row r="161" hidden="1">
      <c r="A161" s="216">
        <f>IFERROR(__xludf.DUMMYFUNCTION("""COMPUTED_VALUE"""),46073.0)</f>
        <v>46073</v>
      </c>
      <c r="B161" s="210">
        <f>IFERROR(__xludf.DUMMYFUNCTION("""COMPUTED_VALUE"""),0.75)</f>
        <v>0.75</v>
      </c>
      <c r="C161" s="210" t="str">
        <f>IFERROR(__xludf.DUMMYFUNCTION("""COMPUTED_VALUE"""),"Rcs")</f>
        <v>Rcs</v>
      </c>
      <c r="D161" s="210" t="str">
        <f>IFERROR(__xludf.DUMMYFUNCTION("""COMPUTED_VALUE"""),"Promotional")</f>
        <v>Promotional</v>
      </c>
      <c r="E161" s="211" t="str">
        <f>IFERROR(__xludf.DUMMYFUNCTION("""COMPUTED_VALUE"""),"BBW")</f>
        <v>BBW</v>
      </c>
      <c r="F161" s="211" t="str">
        <f>IFERROR(__xludf.DUMMYFUNCTION("""COMPUTED_VALUE"""),"B2G1")</f>
        <v>B2G1</v>
      </c>
      <c r="G161" s="211" t="str">
        <f>IFERROR(__xludf.DUMMYFUNCTION("""COMPUTED_VALUE"""),"bbw_20.1b2g1_discbuyRCS")</f>
        <v>bbw_20.1b2g1_discbuyRCS</v>
      </c>
      <c r="H161" s="211" t="str">
        <f>IFERROR(__xludf.DUMMYFUNCTION("""COMPUTED_VALUE"""),"Disc_Buyers_33perc")</f>
        <v>Disc_Buyers_33perc</v>
      </c>
      <c r="I161" s="223" t="str">
        <f>IFERROR(__xludf.DUMMYFUNCTION("""COMPUTED_VALUE"""),"Online Customers who have purchased at &gt;33%off in last 1 Year")</f>
        <v>Online Customers who have purchased at &gt;33%off in last 1 Year</v>
      </c>
      <c r="J161" s="213">
        <f>IFERROR(__xludf.DUMMYFUNCTION("""COMPUTED_VALUE"""),130892.0)</f>
        <v>130892</v>
      </c>
      <c r="K161" s="213">
        <f>IFERROR(__xludf.DUMMYFUNCTION("""COMPUTED_VALUE"""),23721.0)</f>
        <v>23721</v>
      </c>
      <c r="L161" s="214">
        <f>IFERROR(__xludf.DUMMYFUNCTION("""COMPUTED_VALUE"""),0.1812)</f>
        <v>0.1812</v>
      </c>
      <c r="M161" s="213">
        <f>IFERROR(__xludf.DUMMYFUNCTION("""COMPUTED_VALUE"""),2453.0)</f>
        <v>2453</v>
      </c>
      <c r="N161" s="214">
        <f>IFERROR(__xludf.DUMMYFUNCTION("""COMPUTED_VALUE"""),0.103)</f>
        <v>0.103</v>
      </c>
      <c r="O161" s="213">
        <f>IFERROR(__xludf.DUMMYFUNCTION("""COMPUTED_VALUE"""),110.0)</f>
        <v>110</v>
      </c>
      <c r="P161" s="213"/>
      <c r="Q161" s="214">
        <f>IFERROR(__xludf.DUMMYFUNCTION("""COMPUTED_VALUE"""),0.0046)</f>
        <v>0.0046</v>
      </c>
      <c r="R161" s="214"/>
      <c r="S161" s="101">
        <f>IFERROR(__xludf.DUMMYFUNCTION("""COMPUTED_VALUE"""),2.0)</f>
        <v>2</v>
      </c>
      <c r="T161" s="101">
        <f>IFERROR(__xludf.DUMMYFUNCTION("""COMPUTED_VALUE"""),15.0)</f>
        <v>15</v>
      </c>
      <c r="U161" s="213">
        <f>IFERROR(__xludf.DUMMYFUNCTION("""COMPUTED_VALUE"""),5544.0)</f>
        <v>5544</v>
      </c>
      <c r="V161" s="271" t="str">
        <f>IFERROR(__xludf.DUMMYFUNCTION("""COMPUTED_VALUE"""),"online")</f>
        <v>online</v>
      </c>
      <c r="W161" s="98" t="str">
        <f>IFERROR(__xludf.DUMMYFUNCTION("""COMPUTED_VALUE"""),"RCS")</f>
        <v>RCS</v>
      </c>
      <c r="X161" s="98" t="str">
        <f>IFERROR(__xludf.DUMMYFUNCTION("""COMPUTED_VALUE"""),"Discount Shopper")</f>
        <v>Discount Shopper</v>
      </c>
      <c r="Y161" s="98" t="str">
        <f>IFERROR(__xludf.DUMMYFUNCTION("""COMPUTED_VALUE"""),"20th Feb to 22nd Feb")</f>
        <v>20th Feb to 22nd Feb</v>
      </c>
      <c r="Z161" s="98" t="str">
        <f>IFERROR(__xludf.DUMMYFUNCTION("""COMPUTED_VALUE"""),"69981f6150cfbd7d092b8050")</f>
        <v>69981f6150cfbd7d092b8050</v>
      </c>
      <c r="AA161" s="98">
        <f>IFERROR(__xludf.DUMMYFUNCTION("""COMPUTED_VALUE"""),10.0)</f>
        <v>10</v>
      </c>
      <c r="AB161" s="98">
        <f>IFERROR(__xludf.DUMMYFUNCTION("""COMPUTED_VALUE"""),10.0)</f>
        <v>10</v>
      </c>
      <c r="AC161" s="98"/>
      <c r="AD161" s="98">
        <f>IFERROR(__xludf.DUMMYFUNCTION("""COMPUTED_VALUE"""),51062.0)</f>
        <v>51062</v>
      </c>
      <c r="AE161" s="98">
        <f>IFERROR(__xludf.DUMMYFUNCTION("""COMPUTED_VALUE"""),51062.0)</f>
        <v>51062</v>
      </c>
      <c r="AF161" s="98"/>
      <c r="AG161" s="208"/>
      <c r="AH161" s="208"/>
      <c r="AI161" s="208"/>
      <c r="AJ161" s="208"/>
      <c r="AK161" s="208"/>
    </row>
    <row r="162" hidden="1">
      <c r="A162" s="245">
        <f>IFERROR(__xludf.DUMMYFUNCTION("""COMPUTED_VALUE"""),46073.0)</f>
        <v>46073</v>
      </c>
      <c r="B162" s="220">
        <f>IFERROR(__xludf.DUMMYFUNCTION("""COMPUTED_VALUE"""),0.8333333333321207)</f>
        <v>0.8333333333</v>
      </c>
      <c r="C162" s="221" t="str">
        <f>IFERROR(__xludf.DUMMYFUNCTION("""COMPUTED_VALUE"""),"Sms")</f>
        <v>Sms</v>
      </c>
      <c r="D162" s="221" t="str">
        <f>IFERROR(__xludf.DUMMYFUNCTION("""COMPUTED_VALUE"""),"Fallback Campaign")</f>
        <v>Fallback Campaign</v>
      </c>
      <c r="E162" s="221" t="str">
        <f>IFERROR(__xludf.DUMMYFUNCTION("""COMPUTED_VALUE"""),"BBW")</f>
        <v>BBW</v>
      </c>
      <c r="F162" s="221" t="str">
        <f>IFERROR(__xludf.DUMMYFUNCTION("""COMPUTED_VALUE"""),"B2G1")</f>
        <v>B2G1</v>
      </c>
      <c r="G162" s="221" t="str">
        <f>IFERROR(__xludf.DUMMYFUNCTION("""COMPUTED_VALUE"""),"bbw_20.1b2g1_discbuyRCSFB")</f>
        <v>bbw_20.1b2g1_discbuyRCSFB</v>
      </c>
      <c r="H162" s="223" t="str">
        <f>IFERROR(__xludf.DUMMYFUNCTION("""COMPUTED_VALUE"""),"Disc_Buyers_33perc")</f>
        <v>Disc_Buyers_33perc</v>
      </c>
      <c r="I162" s="223" t="str">
        <f>IFERROR(__xludf.DUMMYFUNCTION("""COMPUTED_VALUE"""),"RCS Delivery Failed")</f>
        <v>RCS Delivery Failed</v>
      </c>
      <c r="J162" s="224">
        <f>IFERROR(__xludf.DUMMYFUNCTION("""COMPUTED_VALUE"""),106418.0)</f>
        <v>106418</v>
      </c>
      <c r="K162" s="224">
        <f>IFERROR(__xludf.DUMMYFUNCTION("""COMPUTED_VALUE"""),63278.0)</f>
        <v>63278</v>
      </c>
      <c r="L162" s="225">
        <f>IFERROR(__xludf.DUMMYFUNCTION("""COMPUTED_VALUE"""),0.5946)</f>
        <v>0.5946</v>
      </c>
      <c r="M162" s="224"/>
      <c r="N162" s="225"/>
      <c r="O162" s="224">
        <f>IFERROR(__xludf.DUMMYFUNCTION("""COMPUTED_VALUE"""),88.0)</f>
        <v>88</v>
      </c>
      <c r="P162" s="224"/>
      <c r="Q162" s="225">
        <f>IFERROR(__xludf.DUMMYFUNCTION("""COMPUTED_VALUE"""),0.0014)</f>
        <v>0.0014</v>
      </c>
      <c r="R162" s="225"/>
      <c r="S162" s="226">
        <f>IFERROR(__xludf.DUMMYFUNCTION("""COMPUTED_VALUE"""),3.0)</f>
        <v>3</v>
      </c>
      <c r="T162" s="226">
        <f>IFERROR(__xludf.DUMMYFUNCTION("""COMPUTED_VALUE"""),17.0)</f>
        <v>17</v>
      </c>
      <c r="U162" s="224">
        <f>IFERROR(__xludf.DUMMYFUNCTION("""COMPUTED_VALUE"""),10332.0)</f>
        <v>10332</v>
      </c>
      <c r="V162" s="221" t="str">
        <f>IFERROR(__xludf.DUMMYFUNCTION("""COMPUTED_VALUE"""),"online")</f>
        <v>online</v>
      </c>
      <c r="W162" s="231" t="str">
        <f>IFERROR(__xludf.DUMMYFUNCTION("""COMPUTED_VALUE"""),"SMS")</f>
        <v>SMS</v>
      </c>
      <c r="X162" s="231" t="str">
        <f>IFERROR(__xludf.DUMMYFUNCTION("""COMPUTED_VALUE"""),"Discount Shopper")</f>
        <v>Discount Shopper</v>
      </c>
      <c r="Y162" s="231" t="str">
        <f>IFERROR(__xludf.DUMMYFUNCTION("""COMPUTED_VALUE"""),"20th Feb to 22nd Feb")</f>
        <v>20th Feb to 22nd Feb</v>
      </c>
      <c r="Z162" s="231" t="str">
        <f>IFERROR(__xludf.DUMMYFUNCTION("""COMPUTED_VALUE"""),"69981f83c0cf52015f84bdb4")</f>
        <v>69981f83c0cf52015f84bdb4</v>
      </c>
      <c r="AA162" s="229">
        <f>IFERROR(__xludf.DUMMYFUNCTION("""COMPUTED_VALUE"""),35.0)</f>
        <v>35</v>
      </c>
      <c r="AB162" s="229">
        <f>IFERROR(__xludf.DUMMYFUNCTION("""COMPUTED_VALUE"""),35.0)</f>
        <v>35</v>
      </c>
      <c r="AC162" s="229"/>
      <c r="AD162" s="229">
        <f>IFERROR(__xludf.DUMMYFUNCTION("""COMPUTED_VALUE"""),122273.0)</f>
        <v>122273</v>
      </c>
      <c r="AE162" s="229">
        <f>IFERROR(__xludf.DUMMYFUNCTION("""COMPUTED_VALUE"""),122273.0)</f>
        <v>122273</v>
      </c>
      <c r="AF162" s="229"/>
      <c r="AG162" s="208"/>
      <c r="AH162" s="208"/>
      <c r="AI162" s="208"/>
      <c r="AJ162" s="208"/>
      <c r="AK162" s="208"/>
    </row>
    <row r="163" hidden="1">
      <c r="A163" s="284">
        <f>IFERROR(__xludf.DUMMYFUNCTION("""COMPUTED_VALUE"""),46073.0)</f>
        <v>46073</v>
      </c>
      <c r="B163" s="244">
        <f>IFERROR(__xludf.DUMMYFUNCTION("""COMPUTED_VALUE"""),0.75)</f>
        <v>0.75</v>
      </c>
      <c r="C163" s="222" t="str">
        <f>IFERROR(__xludf.DUMMYFUNCTION("""COMPUTED_VALUE"""),"Rcs")</f>
        <v>Rcs</v>
      </c>
      <c r="D163" s="222" t="str">
        <f>IFERROR(__xludf.DUMMYFUNCTION("""COMPUTED_VALUE"""),"Promotional")</f>
        <v>Promotional</v>
      </c>
      <c r="E163" s="222" t="str">
        <f>IFERROR(__xludf.DUMMYFUNCTION("""COMPUTED_VALUE"""),"BBW")</f>
        <v>BBW</v>
      </c>
      <c r="F163" s="222" t="str">
        <f>IFERROR(__xludf.DUMMYFUNCTION("""COMPUTED_VALUE"""),"B2G1")</f>
        <v>B2G1</v>
      </c>
      <c r="G163" s="222" t="str">
        <f>IFERROR(__xludf.DUMMYFUNCTION("""COMPUTED_VALUE"""),"bbw_20.1b2g1_churnRCS")</f>
        <v>bbw_20.1b2g1_churnRCS</v>
      </c>
      <c r="H163" s="269" t="str">
        <f>IFERROR(__xludf.DUMMYFUNCTION("""COMPUTED_VALUE"""),"2024_Churned_18-2-25")</f>
        <v>2024_Churned_18-2-25</v>
      </c>
      <c r="I163" s="223" t="str">
        <f>IFERROR(__xludf.DUMMYFUNCTION("""COMPUTED_VALUE"""),"Online Customers who have purchased in 2024 but have not purchased since 2025")</f>
        <v>Online Customers who have purchased in 2024 but have not purchased since 2025</v>
      </c>
      <c r="J163" s="242">
        <f>IFERROR(__xludf.DUMMYFUNCTION("""COMPUTED_VALUE"""),88055.0)</f>
        <v>88055</v>
      </c>
      <c r="K163" s="242">
        <f>IFERROR(__xludf.DUMMYFUNCTION("""COMPUTED_VALUE"""),21241.0)</f>
        <v>21241</v>
      </c>
      <c r="L163" s="268">
        <f>IFERROR(__xludf.DUMMYFUNCTION("""COMPUTED_VALUE"""),0.2412)</f>
        <v>0.2412</v>
      </c>
      <c r="M163" s="242">
        <f>IFERROR(__xludf.DUMMYFUNCTION("""COMPUTED_VALUE"""),1803.0)</f>
        <v>1803</v>
      </c>
      <c r="N163" s="268">
        <f>IFERROR(__xludf.DUMMYFUNCTION("""COMPUTED_VALUE"""),0.085)</f>
        <v>0.085</v>
      </c>
      <c r="O163" s="222">
        <f>IFERROR(__xludf.DUMMYFUNCTION("""COMPUTED_VALUE"""),56.0)</f>
        <v>56</v>
      </c>
      <c r="P163" s="222"/>
      <c r="Q163" s="268">
        <f>IFERROR(__xludf.DUMMYFUNCTION("""COMPUTED_VALUE"""),0.0026)</f>
        <v>0.0026</v>
      </c>
      <c r="R163" s="268"/>
      <c r="S163" s="222">
        <f>IFERROR(__xludf.DUMMYFUNCTION("""COMPUTED_VALUE"""),0.0)</f>
        <v>0</v>
      </c>
      <c r="T163" s="222">
        <f>IFERROR(__xludf.DUMMYFUNCTION("""COMPUTED_VALUE"""),1.0)</f>
        <v>1</v>
      </c>
      <c r="U163" s="242">
        <f>IFERROR(__xludf.DUMMYFUNCTION("""COMPUTED_VALUE"""),0.0)</f>
        <v>0</v>
      </c>
      <c r="V163" s="221" t="str">
        <f>IFERROR(__xludf.DUMMYFUNCTION("""COMPUTED_VALUE"""),"online")</f>
        <v>online</v>
      </c>
      <c r="W163" s="269" t="str">
        <f>IFERROR(__xludf.DUMMYFUNCTION("""COMPUTED_VALUE"""),"RCS")</f>
        <v>RCS</v>
      </c>
      <c r="X163" s="269" t="str">
        <f>IFERROR(__xludf.DUMMYFUNCTION("""COMPUTED_VALUE"""),"Churned")</f>
        <v>Churned</v>
      </c>
      <c r="Y163" s="269" t="str">
        <f>IFERROR(__xludf.DUMMYFUNCTION("""COMPUTED_VALUE"""),"20th Feb to 22nd Feb")</f>
        <v>20th Feb to 22nd Feb</v>
      </c>
      <c r="Z163" s="269" t="str">
        <f>IFERROR(__xludf.DUMMYFUNCTION("""COMPUTED_VALUE"""),"69981fcb4ac2f60b4b3d803f")</f>
        <v>69981fcb4ac2f60b4b3d803f</v>
      </c>
      <c r="AA163" s="243">
        <f>IFERROR(__xludf.DUMMYFUNCTION("""COMPUTED_VALUE"""),2.0)</f>
        <v>2</v>
      </c>
      <c r="AB163" s="243">
        <f>IFERROR(__xludf.DUMMYFUNCTION("""COMPUTED_VALUE"""),2.0)</f>
        <v>2</v>
      </c>
      <c r="AC163" s="243"/>
      <c r="AD163" s="243">
        <f>IFERROR(__xludf.DUMMYFUNCTION("""COMPUTED_VALUE"""),6095.0)</f>
        <v>6095</v>
      </c>
      <c r="AE163" s="243">
        <f>IFERROR(__xludf.DUMMYFUNCTION("""COMPUTED_VALUE"""),6095.0)</f>
        <v>6095</v>
      </c>
      <c r="AF163" s="243"/>
      <c r="AG163" s="208"/>
      <c r="AH163" s="208"/>
      <c r="AI163" s="208"/>
      <c r="AJ163" s="208"/>
      <c r="AK163" s="208"/>
    </row>
    <row r="164" hidden="1">
      <c r="A164" s="284">
        <f>IFERROR(__xludf.DUMMYFUNCTION("""COMPUTED_VALUE"""),46073.0)</f>
        <v>46073</v>
      </c>
      <c r="B164" s="244">
        <f>IFERROR(__xludf.DUMMYFUNCTION("""COMPUTED_VALUE"""),0.8333333333321207)</f>
        <v>0.8333333333</v>
      </c>
      <c r="C164" s="222" t="str">
        <f>IFERROR(__xludf.DUMMYFUNCTION("""COMPUTED_VALUE"""),"Sms")</f>
        <v>Sms</v>
      </c>
      <c r="D164" s="222" t="str">
        <f>IFERROR(__xludf.DUMMYFUNCTION("""COMPUTED_VALUE"""),"Fallback Campaign")</f>
        <v>Fallback Campaign</v>
      </c>
      <c r="E164" s="222" t="str">
        <f>IFERROR(__xludf.DUMMYFUNCTION("""COMPUTED_VALUE"""),"BBW")</f>
        <v>BBW</v>
      </c>
      <c r="F164" s="222" t="str">
        <f>IFERROR(__xludf.DUMMYFUNCTION("""COMPUTED_VALUE"""),"B2G1")</f>
        <v>B2G1</v>
      </c>
      <c r="G164" s="222" t="str">
        <f>IFERROR(__xludf.DUMMYFUNCTION("""COMPUTED_VALUE"""),"bbw_20.1b2g1_churnRCSFB")</f>
        <v>bbw_20.1b2g1_churnRCSFB</v>
      </c>
      <c r="H164" s="269" t="str">
        <f>IFERROR(__xludf.DUMMYFUNCTION("""COMPUTED_VALUE"""),"2024_Churned_18-2-25")</f>
        <v>2024_Churned_18-2-25</v>
      </c>
      <c r="I164" s="223" t="str">
        <f>IFERROR(__xludf.DUMMYFUNCTION("""COMPUTED_VALUE"""),"RCS Delivery Failed")</f>
        <v>RCS Delivery Failed</v>
      </c>
      <c r="J164" s="242">
        <f>IFERROR(__xludf.DUMMYFUNCTION("""COMPUTED_VALUE"""),65895.0)</f>
        <v>65895</v>
      </c>
      <c r="K164" s="242">
        <f>IFERROR(__xludf.DUMMYFUNCTION("""COMPUTED_VALUE"""),41409.0)</f>
        <v>41409</v>
      </c>
      <c r="L164" s="268">
        <f>IFERROR(__xludf.DUMMYFUNCTION("""COMPUTED_VALUE"""),0.6284)</f>
        <v>0.6284</v>
      </c>
      <c r="M164" s="242"/>
      <c r="N164" s="268"/>
      <c r="O164" s="222">
        <f>IFERROR(__xludf.DUMMYFUNCTION("""COMPUTED_VALUE"""),23.0)</f>
        <v>23</v>
      </c>
      <c r="P164" s="222"/>
      <c r="Q164" s="268">
        <f>IFERROR(__xludf.DUMMYFUNCTION("""COMPUTED_VALUE"""),6.0E-4)</f>
        <v>0.0006</v>
      </c>
      <c r="R164" s="268"/>
      <c r="S164" s="222">
        <f>IFERROR(__xludf.DUMMYFUNCTION("""COMPUTED_VALUE"""),0.0)</f>
        <v>0</v>
      </c>
      <c r="T164" s="222">
        <f>IFERROR(__xludf.DUMMYFUNCTION("""COMPUTED_VALUE"""),3.0)</f>
        <v>3</v>
      </c>
      <c r="U164" s="242">
        <f>IFERROR(__xludf.DUMMYFUNCTION("""COMPUTED_VALUE"""),0.0)</f>
        <v>0</v>
      </c>
      <c r="V164" s="221" t="str">
        <f>IFERROR(__xludf.DUMMYFUNCTION("""COMPUTED_VALUE"""),"online")</f>
        <v>online</v>
      </c>
      <c r="W164" s="269" t="str">
        <f>IFERROR(__xludf.DUMMYFUNCTION("""COMPUTED_VALUE"""),"SMS")</f>
        <v>SMS</v>
      </c>
      <c r="X164" s="269" t="str">
        <f>IFERROR(__xludf.DUMMYFUNCTION("""COMPUTED_VALUE"""),"Churned")</f>
        <v>Churned</v>
      </c>
      <c r="Y164" s="269" t="str">
        <f>IFERROR(__xludf.DUMMYFUNCTION("""COMPUTED_VALUE"""),"20th Feb to 22nd Feb")</f>
        <v>20th Feb to 22nd Feb</v>
      </c>
      <c r="Z164" s="269" t="str">
        <f>IFERROR(__xludf.DUMMYFUNCTION("""COMPUTED_VALUE"""),"69982001793488003b9163b5")</f>
        <v>69982001793488003b9163b5</v>
      </c>
      <c r="AA164" s="243">
        <f>IFERROR(__xludf.DUMMYFUNCTION("""COMPUTED_VALUE"""),4.0)</f>
        <v>4</v>
      </c>
      <c r="AB164" s="243">
        <f>IFERROR(__xludf.DUMMYFUNCTION("""COMPUTED_VALUE"""),4.0)</f>
        <v>4</v>
      </c>
      <c r="AC164" s="243"/>
      <c r="AD164" s="243">
        <f>IFERROR(__xludf.DUMMYFUNCTION("""COMPUTED_VALUE"""),14190.0)</f>
        <v>14190</v>
      </c>
      <c r="AE164" s="243">
        <f>IFERROR(__xludf.DUMMYFUNCTION("""COMPUTED_VALUE"""),14190.0)</f>
        <v>14190</v>
      </c>
      <c r="AF164" s="243"/>
      <c r="AG164" s="208"/>
      <c r="AH164" s="208"/>
      <c r="AI164" s="208"/>
      <c r="AJ164" s="208"/>
      <c r="AK164" s="208"/>
    </row>
    <row r="165" hidden="1">
      <c r="A165" s="284">
        <f>IFERROR(__xludf.DUMMYFUNCTION("""COMPUTED_VALUE"""),46075.0)</f>
        <v>46075</v>
      </c>
      <c r="B165" s="244">
        <f>IFERROR(__xludf.DUMMYFUNCTION("""COMPUTED_VALUE"""),0.5)</f>
        <v>0.5</v>
      </c>
      <c r="C165" s="222" t="str">
        <f>IFERROR(__xludf.DUMMYFUNCTION("""COMPUTED_VALUE"""),"Sms")</f>
        <v>Sms</v>
      </c>
      <c r="D165" s="222" t="str">
        <f>IFERROR(__xludf.DUMMYFUNCTION("""COMPUTED_VALUE"""),"Promotional")</f>
        <v>Promotional</v>
      </c>
      <c r="E165" s="222" t="str">
        <f>IFERROR(__xludf.DUMMYFUNCTION("""COMPUTED_VALUE"""),"BBW")</f>
        <v>BBW</v>
      </c>
      <c r="F165" s="222" t="str">
        <f>IFERROR(__xludf.DUMMYFUNCTION("""COMPUTED_VALUE"""),"B2G1")</f>
        <v>B2G1</v>
      </c>
      <c r="G165" s="222" t="str">
        <f>IFERROR(__xludf.DUMMYFUNCTION("""COMPUTED_VALUE"""),"bbw_22.2b2g1_eventbuyEND")</f>
        <v>bbw_22.2b2g1_eventbuyEND</v>
      </c>
      <c r="H165" s="269" t="str">
        <f>IFERROR(__xludf.DUMMYFUNCTION("""COMPUTED_VALUE"""),"Event_Buyers-B2G1-Nov25")</f>
        <v>Event_Buyers-B2G1-Nov25</v>
      </c>
      <c r="I165" s="223" t="str">
        <f>IFERROR(__xludf.DUMMYFUNCTION("""COMPUTED_VALUE"""),"Customers who have purchased between 29 Oct, 2025 - 2 Nov, 2025")</f>
        <v>Customers who have purchased between 29 Oct, 2025 - 2 Nov, 2025</v>
      </c>
      <c r="J165" s="242">
        <f>IFERROR(__xludf.DUMMYFUNCTION("""COMPUTED_VALUE"""),5212.0)</f>
        <v>5212</v>
      </c>
      <c r="K165" s="242">
        <f>IFERROR(__xludf.DUMMYFUNCTION("""COMPUTED_VALUE"""),3085.0)</f>
        <v>3085</v>
      </c>
      <c r="L165" s="268">
        <f>IFERROR(__xludf.DUMMYFUNCTION("""COMPUTED_VALUE"""),0.5919)</f>
        <v>0.5919</v>
      </c>
      <c r="M165" s="242"/>
      <c r="N165" s="268"/>
      <c r="O165" s="222">
        <f>IFERROR(__xludf.DUMMYFUNCTION("""COMPUTED_VALUE"""),0.0)</f>
        <v>0</v>
      </c>
      <c r="P165" s="222"/>
      <c r="Q165" s="268">
        <f>IFERROR(__xludf.DUMMYFUNCTION("""COMPUTED_VALUE"""),0.0)</f>
        <v>0</v>
      </c>
      <c r="R165" s="268"/>
      <c r="S165" s="222">
        <f>IFERROR(__xludf.DUMMYFUNCTION("""COMPUTED_VALUE"""),0.0)</f>
        <v>0</v>
      </c>
      <c r="T165" s="222">
        <f>IFERROR(__xludf.DUMMYFUNCTION("""COMPUTED_VALUE"""),0.0)</f>
        <v>0</v>
      </c>
      <c r="U165" s="242">
        <f>IFERROR(__xludf.DUMMYFUNCTION("""COMPUTED_VALUE"""),0.0)</f>
        <v>0</v>
      </c>
      <c r="V165" s="221" t="str">
        <f>IFERROR(__xludf.DUMMYFUNCTION("""COMPUTED_VALUE"""),"online")</f>
        <v>online</v>
      </c>
      <c r="W165" s="269" t="str">
        <f>IFERROR(__xludf.DUMMYFUNCTION("""COMPUTED_VALUE"""),"SMS")</f>
        <v>SMS</v>
      </c>
      <c r="X165" s="269" t="str">
        <f>IFERROR(__xludf.DUMMYFUNCTION("""COMPUTED_VALUE"""),"Event Buyers")</f>
        <v>Event Buyers</v>
      </c>
      <c r="Y165" s="269" t="str">
        <f>IFERROR(__xludf.DUMMYFUNCTION("""COMPUTED_VALUE"""),"22nd Feb ")</f>
        <v>22nd Feb </v>
      </c>
      <c r="Z165" s="269" t="str">
        <f>IFERROR(__xludf.DUMMYFUNCTION("""COMPUTED_VALUE"""),"6998402211fc68f9542867f4")</f>
        <v>6998402211fc68f9542867f4</v>
      </c>
      <c r="AA165" s="243">
        <f>IFERROR(__xludf.DUMMYFUNCTION("""COMPUTED_VALUE"""),0.0)</f>
        <v>0</v>
      </c>
      <c r="AB165" s="243">
        <f>IFERROR(__xludf.DUMMYFUNCTION("""COMPUTED_VALUE"""),0.0)</f>
        <v>0</v>
      </c>
      <c r="AC165" s="243"/>
      <c r="AD165" s="243">
        <f>IFERROR(__xludf.DUMMYFUNCTION("""COMPUTED_VALUE"""),0.0)</f>
        <v>0</v>
      </c>
      <c r="AE165" s="243">
        <f>IFERROR(__xludf.DUMMYFUNCTION("""COMPUTED_VALUE"""),0.0)</f>
        <v>0</v>
      </c>
      <c r="AF165" s="243"/>
      <c r="AG165" s="208"/>
      <c r="AH165" s="208"/>
      <c r="AI165" s="208"/>
      <c r="AJ165" s="208"/>
      <c r="AK165" s="208"/>
    </row>
    <row r="166" hidden="1">
      <c r="A166" s="284">
        <f>IFERROR(__xludf.DUMMYFUNCTION("""COMPUTED_VALUE"""),46075.0)</f>
        <v>46075</v>
      </c>
      <c r="B166" s="244">
        <f>IFERROR(__xludf.DUMMYFUNCTION("""COMPUTED_VALUE"""),0.5)</f>
        <v>0.5</v>
      </c>
      <c r="C166" s="222" t="str">
        <f>IFERROR(__xludf.DUMMYFUNCTION("""COMPUTED_VALUE"""),"Sms")</f>
        <v>Sms</v>
      </c>
      <c r="D166" s="222" t="str">
        <f>IFERROR(__xludf.DUMMYFUNCTION("""COMPUTED_VALUE"""),"Promotional")</f>
        <v>Promotional</v>
      </c>
      <c r="E166" s="222" t="str">
        <f>IFERROR(__xludf.DUMMYFUNCTION("""COMPUTED_VALUE"""),"BBW")</f>
        <v>BBW</v>
      </c>
      <c r="F166" s="222" t="str">
        <f>IFERROR(__xludf.DUMMYFUNCTION("""COMPUTED_VALUE"""),"B2G1")</f>
        <v>B2G1</v>
      </c>
      <c r="G166" s="222" t="str">
        <f>IFERROR(__xludf.DUMMYFUNCTION("""COMPUTED_VALUE"""),"bbw_22.2b2g1_loyalEND")</f>
        <v>bbw_22.2b2g1_loyalEND</v>
      </c>
      <c r="H166" s="269" t="str">
        <f>IFERROR(__xludf.DUMMYFUNCTION("""COMPUTED_VALUE"""),"Loyal_Min3Orders_ON")</f>
        <v>Loyal_Min3Orders_ON</v>
      </c>
      <c r="I166" s="223" t="str">
        <f>IFERROR(__xludf.DUMMYFUNCTION("""COMPUTED_VALUE"""),"Online Customers who have purchased min. 3 orders in last 3 Years")</f>
        <v>Online Customers who have purchased min. 3 orders in last 3 Years</v>
      </c>
      <c r="J166" s="242">
        <f>IFERROR(__xludf.DUMMYFUNCTION("""COMPUTED_VALUE"""),18273.0)</f>
        <v>18273</v>
      </c>
      <c r="K166" s="242">
        <f>IFERROR(__xludf.DUMMYFUNCTION("""COMPUTED_VALUE"""),10256.0)</f>
        <v>10256</v>
      </c>
      <c r="L166" s="268">
        <f>IFERROR(__xludf.DUMMYFUNCTION("""COMPUTED_VALUE"""),0.5613)</f>
        <v>0.5613</v>
      </c>
      <c r="M166" s="242"/>
      <c r="N166" s="268"/>
      <c r="O166" s="222">
        <f>IFERROR(__xludf.DUMMYFUNCTION("""COMPUTED_VALUE"""),7.0)</f>
        <v>7</v>
      </c>
      <c r="P166" s="222"/>
      <c r="Q166" s="268">
        <f>IFERROR(__xludf.DUMMYFUNCTION("""COMPUTED_VALUE"""),7.0E-4)</f>
        <v>0.0007</v>
      </c>
      <c r="R166" s="268"/>
      <c r="S166" s="222">
        <f>IFERROR(__xludf.DUMMYFUNCTION("""COMPUTED_VALUE"""),0.0)</f>
        <v>0</v>
      </c>
      <c r="T166" s="222">
        <f>IFERROR(__xludf.DUMMYFUNCTION("""COMPUTED_VALUE"""),0.0)</f>
        <v>0</v>
      </c>
      <c r="U166" s="242">
        <f>IFERROR(__xludf.DUMMYFUNCTION("""COMPUTED_VALUE"""),0.0)</f>
        <v>0</v>
      </c>
      <c r="V166" s="221" t="str">
        <f>IFERROR(__xludf.DUMMYFUNCTION("""COMPUTED_VALUE"""),"online")</f>
        <v>online</v>
      </c>
      <c r="W166" s="269" t="str">
        <f>IFERROR(__xludf.DUMMYFUNCTION("""COMPUTED_VALUE"""),"SMS")</f>
        <v>SMS</v>
      </c>
      <c r="X166" s="269" t="str">
        <f>IFERROR(__xludf.DUMMYFUNCTION("""COMPUTED_VALUE"""),"Loyal")</f>
        <v>Loyal</v>
      </c>
      <c r="Y166" s="269" t="str">
        <f>IFERROR(__xludf.DUMMYFUNCTION("""COMPUTED_VALUE"""),"22nd Feb ")</f>
        <v>22nd Feb </v>
      </c>
      <c r="Z166" s="269" t="str">
        <f>IFERROR(__xludf.DUMMYFUNCTION("""COMPUTED_VALUE"""),"69984090cf3b1101c230f6a4")</f>
        <v>69984090cf3b1101c230f6a4</v>
      </c>
      <c r="AA166" s="243">
        <f>IFERROR(__xludf.DUMMYFUNCTION("""COMPUTED_VALUE"""),3.0)</f>
        <v>3</v>
      </c>
      <c r="AB166" s="243">
        <f>IFERROR(__xludf.DUMMYFUNCTION("""COMPUTED_VALUE"""),3.0)</f>
        <v>3</v>
      </c>
      <c r="AC166" s="243"/>
      <c r="AD166" s="243">
        <f>IFERROR(__xludf.DUMMYFUNCTION("""COMPUTED_VALUE"""),8390.0)</f>
        <v>8390</v>
      </c>
      <c r="AE166" s="243">
        <f>IFERROR(__xludf.DUMMYFUNCTION("""COMPUTED_VALUE"""),8390.0)</f>
        <v>8390</v>
      </c>
      <c r="AF166" s="243"/>
      <c r="AG166" s="208"/>
      <c r="AH166" s="208"/>
      <c r="AI166" s="208"/>
      <c r="AJ166" s="208"/>
      <c r="AK166" s="208"/>
    </row>
    <row r="167" hidden="1">
      <c r="A167" s="245">
        <f>IFERROR(__xludf.DUMMYFUNCTION("""COMPUTED_VALUE"""),46075.0)</f>
        <v>46075</v>
      </c>
      <c r="B167" s="246">
        <f>IFERROR(__xludf.DUMMYFUNCTION("""COMPUTED_VALUE"""),0.5)</f>
        <v>0.5</v>
      </c>
      <c r="C167" s="221" t="str">
        <f>IFERROR(__xludf.DUMMYFUNCTION("""COMPUTED_VALUE"""),"Sms")</f>
        <v>Sms</v>
      </c>
      <c r="D167" s="221" t="str">
        <f>IFERROR(__xludf.DUMMYFUNCTION("""COMPUTED_VALUE"""),"Promotional")</f>
        <v>Promotional</v>
      </c>
      <c r="E167" s="221" t="str">
        <f>IFERROR(__xludf.DUMMYFUNCTION("""COMPUTED_VALUE"""),"BBW")</f>
        <v>BBW</v>
      </c>
      <c r="F167" s="222" t="str">
        <f>IFERROR(__xludf.DUMMYFUNCTION("""COMPUTED_VALUE"""),"B2G1")</f>
        <v>B2G1</v>
      </c>
      <c r="G167" s="221" t="str">
        <f>IFERROR(__xludf.DUMMYFUNCTION("""COMPUTED_VALUE"""),"bbw_22.2b2g1_churnEND")</f>
        <v>bbw_22.2b2g1_churnEND</v>
      </c>
      <c r="H167" s="269" t="str">
        <f>IFERROR(__xludf.DUMMYFUNCTION("""COMPUTED_VALUE"""),"2024_Churned_18-2-25")</f>
        <v>2024_Churned_18-2-25</v>
      </c>
      <c r="I167" s="223" t="str">
        <f>IFERROR(__xludf.DUMMYFUNCTION("""COMPUTED_VALUE"""),"Online Customers who have purchased in 2024 but have not purchased since 2025")</f>
        <v>Online Customers who have purchased in 2024 but have not purchased since 2025</v>
      </c>
      <c r="J167" s="213">
        <f>IFERROR(__xludf.DUMMYFUNCTION("""COMPUTED_VALUE"""),87981.0)</f>
        <v>87981</v>
      </c>
      <c r="K167" s="213">
        <f>IFERROR(__xludf.DUMMYFUNCTION("""COMPUTED_VALUE"""),55451.0)</f>
        <v>55451</v>
      </c>
      <c r="L167" s="214">
        <f>IFERROR(__xludf.DUMMYFUNCTION("""COMPUTED_VALUE"""),0.6303)</f>
        <v>0.6303</v>
      </c>
      <c r="M167" s="213"/>
      <c r="N167" s="214"/>
      <c r="O167" s="213">
        <f>IFERROR(__xludf.DUMMYFUNCTION("""COMPUTED_VALUE"""),14.0)</f>
        <v>14</v>
      </c>
      <c r="P167" s="213"/>
      <c r="Q167" s="214">
        <f>IFERROR(__xludf.DUMMYFUNCTION("""COMPUTED_VALUE"""),3.0E-4)</f>
        <v>0.0003</v>
      </c>
      <c r="R167" s="214"/>
      <c r="S167" s="101">
        <f>IFERROR(__xludf.DUMMYFUNCTION("""COMPUTED_VALUE"""),0.0)</f>
        <v>0</v>
      </c>
      <c r="T167" s="101">
        <f>IFERROR(__xludf.DUMMYFUNCTION("""COMPUTED_VALUE"""),0.0)</f>
        <v>0</v>
      </c>
      <c r="U167" s="213">
        <f>IFERROR(__xludf.DUMMYFUNCTION("""COMPUTED_VALUE"""),0.0)</f>
        <v>0</v>
      </c>
      <c r="V167" s="271" t="str">
        <f>IFERROR(__xludf.DUMMYFUNCTION("""COMPUTED_VALUE"""),"online")</f>
        <v>online</v>
      </c>
      <c r="W167" s="98" t="str">
        <f>IFERROR(__xludf.DUMMYFUNCTION("""COMPUTED_VALUE"""),"SMS")</f>
        <v>SMS</v>
      </c>
      <c r="X167" s="98" t="str">
        <f>IFERROR(__xludf.DUMMYFUNCTION("""COMPUTED_VALUE"""),"Churned")</f>
        <v>Churned</v>
      </c>
      <c r="Y167" s="98" t="str">
        <f>IFERROR(__xludf.DUMMYFUNCTION("""COMPUTED_VALUE"""),"22nd Feb ")</f>
        <v>22nd Feb </v>
      </c>
      <c r="Z167" s="98" t="str">
        <f>IFERROR(__xludf.DUMMYFUNCTION("""COMPUTED_VALUE"""),"6998410788dc2a7adf8e6ef6")</f>
        <v>6998410788dc2a7adf8e6ef6</v>
      </c>
      <c r="AA167" s="98">
        <f>IFERROR(__xludf.DUMMYFUNCTION("""COMPUTED_VALUE"""),1.0)</f>
        <v>1</v>
      </c>
      <c r="AB167" s="98">
        <f>IFERROR(__xludf.DUMMYFUNCTION("""COMPUTED_VALUE"""),1.0)</f>
        <v>1</v>
      </c>
      <c r="AC167" s="98"/>
      <c r="AD167" s="98">
        <f>IFERROR(__xludf.DUMMYFUNCTION("""COMPUTED_VALUE"""),3597.0)</f>
        <v>3597</v>
      </c>
      <c r="AE167" s="98">
        <f>IFERROR(__xludf.DUMMYFUNCTION("""COMPUTED_VALUE"""),3597.0)</f>
        <v>3597</v>
      </c>
      <c r="AF167" s="98"/>
      <c r="AG167" s="208"/>
      <c r="AH167" s="208"/>
      <c r="AI167" s="208"/>
      <c r="AJ167" s="208"/>
      <c r="AK167" s="208"/>
    </row>
    <row r="168" hidden="1">
      <c r="A168" s="216">
        <f>IFERROR(__xludf.DUMMYFUNCTION("""COMPUTED_VALUE"""),46075.0)</f>
        <v>46075</v>
      </c>
      <c r="B168" s="210">
        <f>IFERROR(__xludf.DUMMYFUNCTION("""COMPUTED_VALUE"""),0.5)</f>
        <v>0.5</v>
      </c>
      <c r="C168" s="210" t="str">
        <f>IFERROR(__xludf.DUMMYFUNCTION("""COMPUTED_VALUE"""),"Sms")</f>
        <v>Sms</v>
      </c>
      <c r="D168" s="210" t="str">
        <f>IFERROR(__xludf.DUMMYFUNCTION("""COMPUTED_VALUE"""),"Promotional")</f>
        <v>Promotional</v>
      </c>
      <c r="E168" s="211" t="str">
        <f>IFERROR(__xludf.DUMMYFUNCTION("""COMPUTED_VALUE"""),"BBW")</f>
        <v>BBW</v>
      </c>
      <c r="F168" s="211" t="str">
        <f>IFERROR(__xludf.DUMMYFUNCTION("""COMPUTED_VALUE"""),"B2G1")</f>
        <v>B2G1</v>
      </c>
      <c r="G168" s="211" t="str">
        <f>IFERROR(__xludf.DUMMYFUNCTION("""COMPUTED_VALUE"""),"bbw_22.2b2g1_discbuyEND")</f>
        <v>bbw_22.2b2g1_discbuyEND</v>
      </c>
      <c r="H168" s="211" t="str">
        <f>IFERROR(__xludf.DUMMYFUNCTION("""COMPUTED_VALUE"""),"Disc_Buyers_33perc OR AGIPL_Internal OR BBW_Internal")</f>
        <v>Disc_Buyers_33perc OR AGIPL_Internal OR BBW_Internal</v>
      </c>
      <c r="I168" s="223" t="str">
        <f>IFERROR(__xludf.DUMMYFUNCTION("""COMPUTED_VALUE"""),"Online Customers who have purchased at &gt;33%off in last 1 Year")</f>
        <v>Online Customers who have purchased at &gt;33%off in last 1 Year</v>
      </c>
      <c r="J168" s="213">
        <f>IFERROR(__xludf.DUMMYFUNCTION("""COMPUTED_VALUE"""),130556.0)</f>
        <v>130556</v>
      </c>
      <c r="K168" s="213">
        <f>IFERROR(__xludf.DUMMYFUNCTION("""COMPUTED_VALUE"""),77670.0)</f>
        <v>77670</v>
      </c>
      <c r="L168" s="214">
        <f>IFERROR(__xludf.DUMMYFUNCTION("""COMPUTED_VALUE"""),0.5949)</f>
        <v>0.5949</v>
      </c>
      <c r="M168" s="213"/>
      <c r="N168" s="214"/>
      <c r="O168" s="213">
        <f>IFERROR(__xludf.DUMMYFUNCTION("""COMPUTED_VALUE"""),79.0)</f>
        <v>79</v>
      </c>
      <c r="P168" s="213"/>
      <c r="Q168" s="214">
        <f>IFERROR(__xludf.DUMMYFUNCTION("""COMPUTED_VALUE"""),0.001)</f>
        <v>0.001</v>
      </c>
      <c r="R168" s="214"/>
      <c r="S168" s="101">
        <f>IFERROR(__xludf.DUMMYFUNCTION("""COMPUTED_VALUE"""),0.0)</f>
        <v>0</v>
      </c>
      <c r="T168" s="101">
        <f>IFERROR(__xludf.DUMMYFUNCTION("""COMPUTED_VALUE"""),10.0)</f>
        <v>10</v>
      </c>
      <c r="U168" s="213">
        <f>IFERROR(__xludf.DUMMYFUNCTION("""COMPUTED_VALUE"""),0.0)</f>
        <v>0</v>
      </c>
      <c r="V168" s="271" t="str">
        <f>IFERROR(__xludf.DUMMYFUNCTION("""COMPUTED_VALUE"""),"online")</f>
        <v>online</v>
      </c>
      <c r="W168" s="98" t="str">
        <f>IFERROR(__xludf.DUMMYFUNCTION("""COMPUTED_VALUE"""),"SMS")</f>
        <v>SMS</v>
      </c>
      <c r="X168" s="98" t="str">
        <f>IFERROR(__xludf.DUMMYFUNCTION("""COMPUTED_VALUE"""),"Discount Shopper")</f>
        <v>Discount Shopper</v>
      </c>
      <c r="Y168" s="98" t="str">
        <f>IFERROR(__xludf.DUMMYFUNCTION("""COMPUTED_VALUE"""),"22nd Feb ")</f>
        <v>22nd Feb </v>
      </c>
      <c r="Z168" s="98" t="str">
        <f>IFERROR(__xludf.DUMMYFUNCTION("""COMPUTED_VALUE"""),"699852cfb0044d08d8d8d5ac")</f>
        <v>699852cfb0044d08d8d8d5ac</v>
      </c>
      <c r="AA168" s="98">
        <f>IFERROR(__xludf.DUMMYFUNCTION("""COMPUTED_VALUE"""),13.0)</f>
        <v>13</v>
      </c>
      <c r="AB168" s="98">
        <f>IFERROR(__xludf.DUMMYFUNCTION("""COMPUTED_VALUE"""),13.0)</f>
        <v>13</v>
      </c>
      <c r="AC168" s="98"/>
      <c r="AD168" s="98">
        <f>IFERROR(__xludf.DUMMYFUNCTION("""COMPUTED_VALUE"""),30069.0)</f>
        <v>30069</v>
      </c>
      <c r="AE168" s="98">
        <f>IFERROR(__xludf.DUMMYFUNCTION("""COMPUTED_VALUE"""),30069.0)</f>
        <v>30069</v>
      </c>
      <c r="AF168" s="98"/>
      <c r="AG168" s="208"/>
      <c r="AH168" s="208"/>
      <c r="AI168" s="208"/>
      <c r="AJ168" s="208"/>
      <c r="AK168" s="208"/>
    </row>
    <row r="169" hidden="1">
      <c r="A169" s="284">
        <f>IFERROR(__xludf.DUMMYFUNCTION("""COMPUTED_VALUE"""),46077.0)</f>
        <v>46077</v>
      </c>
      <c r="B169" s="244">
        <f>IFERROR(__xludf.DUMMYFUNCTION("""COMPUTED_VALUE"""),0.7083333333321207)</f>
        <v>0.7083333333</v>
      </c>
      <c r="C169" s="222" t="str">
        <f>IFERROR(__xludf.DUMMYFUNCTION("""COMPUTED_VALUE"""),"Whatsapp")</f>
        <v>Whatsapp</v>
      </c>
      <c r="D169" s="222" t="str">
        <f>IFERROR(__xludf.DUMMYFUNCTION("""COMPUTED_VALUE"""),"Promotional")</f>
        <v>Promotional</v>
      </c>
      <c r="E169" s="222" t="str">
        <f>IFERROR(__xludf.DUMMYFUNCTION("""COMPUTED_VALUE"""),"BBW")</f>
        <v>BBW</v>
      </c>
      <c r="F169" s="222" t="str">
        <f>IFERROR(__xludf.DUMMYFUNCTION("""COMPUTED_VALUE"""),"Travel Size Body Care")</f>
        <v>Travel Size Body Care</v>
      </c>
      <c r="G169" s="222" t="str">
        <f>IFERROR(__xludf.DUMMYFUNCTION("""COMPUTED_VALUE"""),"bbw_24.2_travelbc_549_lapsed_buyers")</f>
        <v>bbw_24.2_travelbc_549_lapsed_buyers</v>
      </c>
      <c r="H169" s="269" t="str">
        <f>IFERROR(__xludf.DUMMYFUNCTION("""COMPUTED_VALUE"""),"Predom_Cat_Sub999_ON")</f>
        <v>Predom_Cat_Sub999_ON</v>
      </c>
      <c r="I169" s="223" t="str">
        <f>IFERROR(__xludf.DUMMYFUNCTION("""COMPUTED_VALUE"""),"Online Customers who have PREDOM purchased from Cat: Liquid Soap or Cat: Travel Size with every Order Net Val below 999 in last 3 Years excl. online customers who have purchased in TTR (111 days)")</f>
        <v>Online Customers who have PREDOM purchased from Cat: Liquid Soap or Cat: Travel Size with every Order Net Val below 999 in last 3 Years excl. online customers who have purchased in TTR (111 days)</v>
      </c>
      <c r="J169" s="242">
        <f>IFERROR(__xludf.DUMMYFUNCTION("""COMPUTED_VALUE"""),13954.0)</f>
        <v>13954</v>
      </c>
      <c r="K169" s="242">
        <f>IFERROR(__xludf.DUMMYFUNCTION("""COMPUTED_VALUE"""),4351.0)</f>
        <v>4351</v>
      </c>
      <c r="L169" s="268">
        <f>IFERROR(__xludf.DUMMYFUNCTION("""COMPUTED_VALUE"""),0.3118)</f>
        <v>0.3118</v>
      </c>
      <c r="M169" s="242">
        <f>IFERROR(__xludf.DUMMYFUNCTION("""COMPUTED_VALUE"""),1719.0)</f>
        <v>1719</v>
      </c>
      <c r="N169" s="268">
        <f>IFERROR(__xludf.DUMMYFUNCTION("""COMPUTED_VALUE"""),0.3948)</f>
        <v>0.3948</v>
      </c>
      <c r="O169" s="222">
        <f>IFERROR(__xludf.DUMMYFUNCTION("""COMPUTED_VALUE"""),135.0)</f>
        <v>135</v>
      </c>
      <c r="P169" s="222">
        <f>IFERROR(__xludf.DUMMYFUNCTION("""COMPUTED_VALUE"""),122.0)</f>
        <v>122</v>
      </c>
      <c r="Q169" s="268">
        <f>IFERROR(__xludf.DUMMYFUNCTION("""COMPUTED_VALUE"""),0.0281)</f>
        <v>0.0281</v>
      </c>
      <c r="R169" s="268">
        <f>IFERROR(__xludf.DUMMYFUNCTION("""COMPUTED_VALUE"""),0.0711)</f>
        <v>0.0711</v>
      </c>
      <c r="S169" s="222">
        <f>IFERROR(__xludf.DUMMYFUNCTION("""COMPUTED_VALUE"""),0.0)</f>
        <v>0</v>
      </c>
      <c r="T169" s="222">
        <f>IFERROR(__xludf.DUMMYFUNCTION("""COMPUTED_VALUE"""),3.0)</f>
        <v>3</v>
      </c>
      <c r="U169" s="242">
        <f>IFERROR(__xludf.DUMMYFUNCTION("""COMPUTED_VALUE"""),0.0)</f>
        <v>0</v>
      </c>
      <c r="V169" s="221" t="str">
        <f>IFERROR(__xludf.DUMMYFUNCTION("""COMPUTED_VALUE"""),"online")</f>
        <v>online</v>
      </c>
      <c r="W169" s="269" t="str">
        <f>IFERROR(__xludf.DUMMYFUNCTION("""COMPUTED_VALUE"""),"simple")</f>
        <v>simple</v>
      </c>
      <c r="X169" s="269" t="str">
        <f>IFERROR(__xludf.DUMMYFUNCTION("""COMPUTED_VALUE"""),"Predom Cat Buyers, ONV &lt; 999")</f>
        <v>Predom Cat Buyers, ONV &lt; 999</v>
      </c>
      <c r="Y169" s="269" t="str">
        <f>IFERROR(__xludf.DUMMYFUNCTION("""COMPUTED_VALUE"""),"24-26 Feb")</f>
        <v>24-26 Feb</v>
      </c>
      <c r="Z169" s="269" t="str">
        <f>IFERROR(__xludf.DUMMYFUNCTION("""COMPUTED_VALUE"""),"699d67153f3c48569ca5abf0")</f>
        <v>699d67153f3c48569ca5abf0</v>
      </c>
      <c r="AA169" s="243">
        <f>IFERROR(__xludf.DUMMYFUNCTION("""COMPUTED_VALUE"""),10.0)</f>
        <v>10</v>
      </c>
      <c r="AB169" s="243">
        <f>IFERROR(__xludf.DUMMYFUNCTION("""COMPUTED_VALUE"""),10.0)</f>
        <v>10</v>
      </c>
      <c r="AC169" s="243"/>
      <c r="AD169" s="243">
        <f>IFERROR(__xludf.DUMMYFUNCTION("""COMPUTED_VALUE"""),13106.0)</f>
        <v>13106</v>
      </c>
      <c r="AE169" s="243">
        <f>IFERROR(__xludf.DUMMYFUNCTION("""COMPUTED_VALUE"""),13106.0)</f>
        <v>13106</v>
      </c>
      <c r="AF169" s="243"/>
      <c r="AG169" s="208"/>
      <c r="AH169" s="208"/>
      <c r="AI169" s="208"/>
      <c r="AJ169" s="208"/>
      <c r="AK169" s="208"/>
    </row>
    <row r="170" hidden="1">
      <c r="A170" s="284">
        <f>IFERROR(__xludf.DUMMYFUNCTION("""COMPUTED_VALUE"""),46077.0)</f>
        <v>46077</v>
      </c>
      <c r="B170" s="244">
        <f>IFERROR(__xludf.DUMMYFUNCTION("""COMPUTED_VALUE"""),0.7083333333321207)</f>
        <v>0.7083333333</v>
      </c>
      <c r="C170" s="222" t="str">
        <f>IFERROR(__xludf.DUMMYFUNCTION("""COMPUTED_VALUE"""),"Whatsapp")</f>
        <v>Whatsapp</v>
      </c>
      <c r="D170" s="222" t="str">
        <f>IFERROR(__xludf.DUMMYFUNCTION("""COMPUTED_VALUE"""),"Promotional")</f>
        <v>Promotional</v>
      </c>
      <c r="E170" s="222" t="str">
        <f>IFERROR(__xludf.DUMMYFUNCTION("""COMPUTED_VALUE"""),"BBW")</f>
        <v>BBW</v>
      </c>
      <c r="F170" s="222" t="str">
        <f>IFERROR(__xludf.DUMMYFUNCTION("""COMPUTED_VALUE"""),"Travel Size Body Care")</f>
        <v>Travel Size Body Care</v>
      </c>
      <c r="G170" s="222" t="str">
        <f>IFERROR(__xludf.DUMMYFUNCTION("""COMPUTED_VALUE"""),"bbw_24.2_travelbc_549_repeat_cat_buyers")</f>
        <v>bbw_24.2_travelbc_549_repeat_cat_buyers</v>
      </c>
      <c r="H170" s="269" t="str">
        <f>IFERROR(__xludf.DUMMYFUNCTION("""COMPUTED_VALUE"""),"Loyal_Cat_Travel&amp;LqSoap_ON")</f>
        <v>Loyal_Cat_Travel&amp;LqSoap_ON</v>
      </c>
      <c r="I170" s="223" t="str">
        <f>IFERROR(__xludf.DUMMYFUNCTION("""COMPUTED_VALUE"""),"Online Customers who have purchased at least 2 times from Cat: Liquid Soap OR Cat: Travel Size in the last 3 years excl. online customers who have purchased in TTR (111 days)")</f>
        <v>Online Customers who have purchased at least 2 times from Cat: Liquid Soap OR Cat: Travel Size in the last 3 years excl. online customers who have purchased in TTR (111 days)</v>
      </c>
      <c r="J170" s="242">
        <f>IFERROR(__xludf.DUMMYFUNCTION("""COMPUTED_VALUE"""),2370.0)</f>
        <v>2370</v>
      </c>
      <c r="K170" s="242">
        <f>IFERROR(__xludf.DUMMYFUNCTION("""COMPUTED_VALUE"""),513.0)</f>
        <v>513</v>
      </c>
      <c r="L170" s="268">
        <f>IFERROR(__xludf.DUMMYFUNCTION("""COMPUTED_VALUE"""),0.2165)</f>
        <v>0.2165</v>
      </c>
      <c r="M170" s="242">
        <f>IFERROR(__xludf.DUMMYFUNCTION("""COMPUTED_VALUE"""),211.0)</f>
        <v>211</v>
      </c>
      <c r="N170" s="268">
        <f>IFERROR(__xludf.DUMMYFUNCTION("""COMPUTED_VALUE"""),0.4074)</f>
        <v>0.4074</v>
      </c>
      <c r="O170" s="222">
        <f>IFERROR(__xludf.DUMMYFUNCTION("""COMPUTED_VALUE"""),28.0)</f>
        <v>28</v>
      </c>
      <c r="P170" s="222">
        <f>IFERROR(__xludf.DUMMYFUNCTION("""COMPUTED_VALUE"""),26.0)</f>
        <v>26</v>
      </c>
      <c r="Q170" s="268">
        <f>IFERROR(__xludf.DUMMYFUNCTION("""COMPUTED_VALUE"""),0.0507)</f>
        <v>0.0507</v>
      </c>
      <c r="R170" s="268">
        <f>IFERROR(__xludf.DUMMYFUNCTION("""COMPUTED_VALUE"""),0.1244)</f>
        <v>0.1244</v>
      </c>
      <c r="S170" s="222">
        <f>IFERROR(__xludf.DUMMYFUNCTION("""COMPUTED_VALUE"""),1.0)</f>
        <v>1</v>
      </c>
      <c r="T170" s="222">
        <f>IFERROR(__xludf.DUMMYFUNCTION("""COMPUTED_VALUE"""),2.0)</f>
        <v>2</v>
      </c>
      <c r="U170" s="242">
        <f>IFERROR(__xludf.DUMMYFUNCTION("""COMPUTED_VALUE"""),1097.0)</f>
        <v>1097</v>
      </c>
      <c r="V170" s="221" t="str">
        <f>IFERROR(__xludf.DUMMYFUNCTION("""COMPUTED_VALUE"""),"online")</f>
        <v>online</v>
      </c>
      <c r="W170" s="269" t="str">
        <f>IFERROR(__xludf.DUMMYFUNCTION("""COMPUTED_VALUE"""),"simple")</f>
        <v>simple</v>
      </c>
      <c r="X170" s="269" t="str">
        <f>IFERROR(__xludf.DUMMYFUNCTION("""COMPUTED_VALUE"""),"Repeat")</f>
        <v>Repeat</v>
      </c>
      <c r="Y170" s="269" t="str">
        <f>IFERROR(__xludf.DUMMYFUNCTION("""COMPUTED_VALUE"""),"24-26 Feb")</f>
        <v>24-26 Feb</v>
      </c>
      <c r="Z170" s="269" t="str">
        <f>IFERROR(__xludf.DUMMYFUNCTION("""COMPUTED_VALUE"""),"699d67416ef79b0d0dc25740")</f>
        <v>699d67416ef79b0d0dc25740</v>
      </c>
      <c r="AA170" s="243">
        <f>IFERROR(__xludf.DUMMYFUNCTION("""COMPUTED_VALUE"""),6.0)</f>
        <v>6</v>
      </c>
      <c r="AB170" s="243">
        <f>IFERROR(__xludf.DUMMYFUNCTION("""COMPUTED_VALUE"""),6.0)</f>
        <v>6</v>
      </c>
      <c r="AC170" s="243"/>
      <c r="AD170" s="243">
        <f>IFERROR(__xludf.DUMMYFUNCTION("""COMPUTED_VALUE"""),14228.0)</f>
        <v>14228</v>
      </c>
      <c r="AE170" s="243">
        <f>IFERROR(__xludf.DUMMYFUNCTION("""COMPUTED_VALUE"""),14228.0)</f>
        <v>14228</v>
      </c>
      <c r="AF170" s="243"/>
      <c r="AG170" s="208"/>
      <c r="AH170" s="208"/>
      <c r="AI170" s="208"/>
      <c r="AJ170" s="208"/>
      <c r="AK170" s="208"/>
    </row>
    <row r="171" hidden="1">
      <c r="A171" s="216">
        <f>IFERROR(__xludf.DUMMYFUNCTION("""COMPUTED_VALUE"""),46077.0)</f>
        <v>46077</v>
      </c>
      <c r="B171" s="210">
        <f>IFERROR(__xludf.DUMMYFUNCTION("""COMPUTED_VALUE"""),0.7083333333321207)</f>
        <v>0.7083333333</v>
      </c>
      <c r="C171" s="210" t="str">
        <f>IFERROR(__xludf.DUMMYFUNCTION("""COMPUTED_VALUE"""),"Whatsapp")</f>
        <v>Whatsapp</v>
      </c>
      <c r="D171" s="210" t="str">
        <f>IFERROR(__xludf.DUMMYFUNCTION("""COMPUTED_VALUE"""),"Promotional")</f>
        <v>Promotional</v>
      </c>
      <c r="E171" s="211" t="str">
        <f>IFERROR(__xludf.DUMMYFUNCTION("""COMPUTED_VALUE"""),"BBW")</f>
        <v>BBW</v>
      </c>
      <c r="F171" s="211" t="str">
        <f>IFERROR(__xludf.DUMMYFUNCTION("""COMPUTED_VALUE"""),"Travel Size Body Care")</f>
        <v>Travel Size Body Care</v>
      </c>
      <c r="G171" s="211" t="str">
        <f>IFERROR(__xludf.DUMMYFUNCTION("""COMPUTED_VALUE"""),"bbw_24.2_travelbc_549_active_buyers_recent")</f>
        <v>bbw_24.2_travelbc_549_active_buyers_recent</v>
      </c>
      <c r="H171" s="211" t="str">
        <f>IFERROR(__xludf.DUMMYFUNCTION("""COMPUTED_VALUE"""),"Recent_Cat_88D")</f>
        <v>Recent_Cat_88D</v>
      </c>
      <c r="I171" s="223" t="str">
        <f>IFERROR(__xludf.DUMMYFUNCTION("""COMPUTED_VALUE"""),"Online customers who have purchased from Cat: Liquid Soap or Cat: Travel Size in last 111 days excl. purchasers in last 14 days")</f>
        <v>Online customers who have purchased from Cat: Liquid Soap or Cat: Travel Size in last 111 days excl. purchasers in last 14 days</v>
      </c>
      <c r="J171" s="213">
        <f>IFERROR(__xludf.DUMMYFUNCTION("""COMPUTED_VALUE"""),15646.0)</f>
        <v>15646</v>
      </c>
      <c r="K171" s="213">
        <f>IFERROR(__xludf.DUMMYFUNCTION("""COMPUTED_VALUE"""),4099.0)</f>
        <v>4099</v>
      </c>
      <c r="L171" s="214">
        <f>IFERROR(__xludf.DUMMYFUNCTION("""COMPUTED_VALUE"""),0.262)</f>
        <v>0.262</v>
      </c>
      <c r="M171" s="213">
        <f>IFERROR(__xludf.DUMMYFUNCTION("""COMPUTED_VALUE"""),1921.0)</f>
        <v>1921</v>
      </c>
      <c r="N171" s="214">
        <f>IFERROR(__xludf.DUMMYFUNCTION("""COMPUTED_VALUE"""),0.4679)</f>
        <v>0.4679</v>
      </c>
      <c r="O171" s="213">
        <f>IFERROR(__xludf.DUMMYFUNCTION("""COMPUTED_VALUE"""),180.0)</f>
        <v>180</v>
      </c>
      <c r="P171" s="213">
        <f>IFERROR(__xludf.DUMMYFUNCTION("""COMPUTED_VALUE"""),166.0)</f>
        <v>166</v>
      </c>
      <c r="Q171" s="214">
        <f>IFERROR(__xludf.DUMMYFUNCTION("""COMPUTED_VALUE"""),0.0405)</f>
        <v>0.0405</v>
      </c>
      <c r="R171" s="214">
        <f>IFERROR(__xludf.DUMMYFUNCTION("""COMPUTED_VALUE"""),0.0865)</f>
        <v>0.0865</v>
      </c>
      <c r="S171" s="101">
        <f>IFERROR(__xludf.DUMMYFUNCTION("""COMPUTED_VALUE"""),8.0)</f>
        <v>8</v>
      </c>
      <c r="T171" s="101">
        <f>IFERROR(__xludf.DUMMYFUNCTION("""COMPUTED_VALUE"""),15.0)</f>
        <v>15</v>
      </c>
      <c r="U171" s="213">
        <f>IFERROR(__xludf.DUMMYFUNCTION("""COMPUTED_VALUE"""),33126.0)</f>
        <v>33126</v>
      </c>
      <c r="V171" s="271" t="str">
        <f>IFERROR(__xludf.DUMMYFUNCTION("""COMPUTED_VALUE"""),"online")</f>
        <v>online</v>
      </c>
      <c r="W171" s="98" t="str">
        <f>IFERROR(__xludf.DUMMYFUNCTION("""COMPUTED_VALUE"""),"simple")</f>
        <v>simple</v>
      </c>
      <c r="X171" s="98" t="str">
        <f>IFERROR(__xludf.DUMMYFUNCTION("""COMPUTED_VALUE"""),"Recent")</f>
        <v>Recent</v>
      </c>
      <c r="Y171" s="98" t="str">
        <f>IFERROR(__xludf.DUMMYFUNCTION("""COMPUTED_VALUE"""),"24-26 Feb")</f>
        <v>24-26 Feb</v>
      </c>
      <c r="Z171" s="98" t="str">
        <f>IFERROR(__xludf.DUMMYFUNCTION("""COMPUTED_VALUE"""),"699d6769980fa207108bdfcf")</f>
        <v>699d6769980fa207108bdfcf</v>
      </c>
      <c r="AA171" s="98">
        <f>IFERROR(__xludf.DUMMYFUNCTION("""COMPUTED_VALUE"""),33.0)</f>
        <v>33</v>
      </c>
      <c r="AB171" s="98">
        <f>IFERROR(__xludf.DUMMYFUNCTION("""COMPUTED_VALUE"""),33.0)</f>
        <v>33</v>
      </c>
      <c r="AC171" s="98"/>
      <c r="AD171" s="98">
        <f>IFERROR(__xludf.DUMMYFUNCTION("""COMPUTED_VALUE"""),76910.0)</f>
        <v>76910</v>
      </c>
      <c r="AE171" s="98">
        <f>IFERROR(__xludf.DUMMYFUNCTION("""COMPUTED_VALUE"""),76910.0)</f>
        <v>76910</v>
      </c>
      <c r="AF171" s="98"/>
      <c r="AG171" s="208"/>
      <c r="AH171" s="208"/>
      <c r="AI171" s="208"/>
      <c r="AJ171" s="208"/>
      <c r="AK171" s="208"/>
    </row>
    <row r="172" hidden="1">
      <c r="A172" s="284">
        <f>IFERROR(__xludf.DUMMYFUNCTION("""COMPUTED_VALUE"""),46077.0)</f>
        <v>46077</v>
      </c>
      <c r="B172" s="244">
        <f>IFERROR(__xludf.DUMMYFUNCTION("""COMPUTED_VALUE"""),0.7916666666678793)</f>
        <v>0.7916666667</v>
      </c>
      <c r="C172" s="222" t="str">
        <f>IFERROR(__xludf.DUMMYFUNCTION("""COMPUTED_VALUE"""),"Sms")</f>
        <v>Sms</v>
      </c>
      <c r="D172" s="222" t="str">
        <f>IFERROR(__xludf.DUMMYFUNCTION("""COMPUTED_VALUE"""),"Fallback Campaign")</f>
        <v>Fallback Campaign</v>
      </c>
      <c r="E172" s="222" t="str">
        <f>IFERROR(__xludf.DUMMYFUNCTION("""COMPUTED_VALUE"""),"BBW")</f>
        <v>BBW</v>
      </c>
      <c r="F172" s="222" t="str">
        <f>IFERROR(__xludf.DUMMYFUNCTION("""COMPUTED_VALUE"""),"Travel Size Body Care")</f>
        <v>Travel Size Body Care</v>
      </c>
      <c r="G172" s="222" t="str">
        <f>IFERROR(__xludf.DUMMYFUNCTION("""COMPUTED_VALUE"""),"bbw_24.2_Predom_Cat_Sub999_ON_wa_fb")</f>
        <v>bbw_24.2_Predom_Cat_Sub999_ON_wa_fb</v>
      </c>
      <c r="H172" s="269" t="str">
        <f>IFERROR(__xludf.DUMMYFUNCTION("""COMPUTED_VALUE"""),"Predom_Cat_Sub999_ON")</f>
        <v>Predom_Cat_Sub999_ON</v>
      </c>
      <c r="I172" s="223" t="str">
        <f>IFERROR(__xludf.DUMMYFUNCTION("""COMPUTED_VALUE"""),"WA Undelivered")</f>
        <v>WA Undelivered</v>
      </c>
      <c r="J172" s="242">
        <f>IFERROR(__xludf.DUMMYFUNCTION("""COMPUTED_VALUE"""),9242.0)</f>
        <v>9242</v>
      </c>
      <c r="K172" s="242">
        <f>IFERROR(__xludf.DUMMYFUNCTION("""COMPUTED_VALUE"""),6122.0)</f>
        <v>6122</v>
      </c>
      <c r="L172" s="268">
        <f>IFERROR(__xludf.DUMMYFUNCTION("""COMPUTED_VALUE"""),0.6624)</f>
        <v>0.6624</v>
      </c>
      <c r="M172" s="242"/>
      <c r="N172" s="268"/>
      <c r="O172" s="222">
        <f>IFERROR(__xludf.DUMMYFUNCTION("""COMPUTED_VALUE"""),16.0)</f>
        <v>16</v>
      </c>
      <c r="P172" s="222"/>
      <c r="Q172" s="268">
        <f>IFERROR(__xludf.DUMMYFUNCTION("""COMPUTED_VALUE"""),0.0026)</f>
        <v>0.0026</v>
      </c>
      <c r="R172" s="268"/>
      <c r="S172" s="222">
        <f>IFERROR(__xludf.DUMMYFUNCTION("""COMPUTED_VALUE"""),1.0)</f>
        <v>1</v>
      </c>
      <c r="T172" s="222">
        <f>IFERROR(__xludf.DUMMYFUNCTION("""COMPUTED_VALUE"""),4.0)</f>
        <v>4</v>
      </c>
      <c r="U172" s="242">
        <f>IFERROR(__xludf.DUMMYFUNCTION("""COMPUTED_VALUE"""),1037.0)</f>
        <v>1037</v>
      </c>
      <c r="V172" s="221" t="str">
        <f>IFERROR(__xludf.DUMMYFUNCTION("""COMPUTED_VALUE"""),"online")</f>
        <v>online</v>
      </c>
      <c r="W172" s="269" t="str">
        <f>IFERROR(__xludf.DUMMYFUNCTION("""COMPUTED_VALUE"""),"SMS")</f>
        <v>SMS</v>
      </c>
      <c r="X172" s="269" t="str">
        <f>IFERROR(__xludf.DUMMYFUNCTION("""COMPUTED_VALUE"""),"Predom Cat Buyers, ONV &lt; 999")</f>
        <v>Predom Cat Buyers, ONV &lt; 999</v>
      </c>
      <c r="Y172" s="269" t="str">
        <f>IFERROR(__xludf.DUMMYFUNCTION("""COMPUTED_VALUE"""),"24th Feb")</f>
        <v>24th Feb</v>
      </c>
      <c r="Z172" s="269" t="str">
        <f>IFERROR(__xludf.DUMMYFUNCTION("""COMPUTED_VALUE"""),"699d8b21e7f9fa516ecf7b0d")</f>
        <v>699d8b21e7f9fa516ecf7b0d</v>
      </c>
      <c r="AA172" s="243">
        <f>IFERROR(__xludf.DUMMYFUNCTION("""COMPUTED_VALUE"""),1.0)</f>
        <v>1</v>
      </c>
      <c r="AB172" s="243">
        <f>IFERROR(__xludf.DUMMYFUNCTION("""COMPUTED_VALUE"""),1.0)</f>
        <v>1</v>
      </c>
      <c r="AC172" s="243"/>
      <c r="AD172" s="243">
        <f>IFERROR(__xludf.DUMMYFUNCTION("""COMPUTED_VALUE"""),1048.0)</f>
        <v>1048</v>
      </c>
      <c r="AE172" s="243">
        <f>IFERROR(__xludf.DUMMYFUNCTION("""COMPUTED_VALUE"""),1048.0)</f>
        <v>1048</v>
      </c>
      <c r="AF172" s="243"/>
      <c r="AG172" s="208"/>
      <c r="AH172" s="208"/>
      <c r="AI172" s="208"/>
      <c r="AJ172" s="208"/>
      <c r="AK172" s="208"/>
    </row>
    <row r="173" hidden="1">
      <c r="A173" s="284">
        <f>IFERROR(__xludf.DUMMYFUNCTION("""COMPUTED_VALUE"""),46077.0)</f>
        <v>46077</v>
      </c>
      <c r="B173" s="244">
        <f>IFERROR(__xludf.DUMMYFUNCTION("""COMPUTED_VALUE"""),0.7916666666678793)</f>
        <v>0.7916666667</v>
      </c>
      <c r="C173" s="222" t="str">
        <f>IFERROR(__xludf.DUMMYFUNCTION("""COMPUTED_VALUE"""),"Sms")</f>
        <v>Sms</v>
      </c>
      <c r="D173" s="222" t="str">
        <f>IFERROR(__xludf.DUMMYFUNCTION("""COMPUTED_VALUE"""),"Fallback Campaign")</f>
        <v>Fallback Campaign</v>
      </c>
      <c r="E173" s="222" t="str">
        <f>IFERROR(__xludf.DUMMYFUNCTION("""COMPUTED_VALUE"""),"BBW")</f>
        <v>BBW</v>
      </c>
      <c r="F173" s="222" t="str">
        <f>IFERROR(__xludf.DUMMYFUNCTION("""COMPUTED_VALUE"""),"Travel Size Body Care")</f>
        <v>Travel Size Body Care</v>
      </c>
      <c r="G173" s="222" t="str">
        <f>IFERROR(__xludf.DUMMYFUNCTION("""COMPUTED_VALUE"""),"bbw_24.2_Predom_Cat_ONl0_rcs_fb")</f>
        <v>bbw_24.2_Predom_Cat_ONl0_rcs_fb</v>
      </c>
      <c r="H173" s="269" t="str">
        <f>IFERROR(__xludf.DUMMYFUNCTION("""COMPUTED_VALUE"""),"Predom_Cat_ONl0")</f>
        <v>Predom_Cat_ONl0</v>
      </c>
      <c r="I173" s="223" t="str">
        <f>IFERROR(__xludf.DUMMYFUNCTION("""COMPUTED_VALUE"""),"RCS Delivery Failed")</f>
        <v>RCS Delivery Failed</v>
      </c>
      <c r="J173" s="242">
        <f>IFERROR(__xludf.DUMMYFUNCTION("""COMPUTED_VALUE"""),24623.0)</f>
        <v>24623</v>
      </c>
      <c r="K173" s="242">
        <f>IFERROR(__xludf.DUMMYFUNCTION("""COMPUTED_VALUE"""),13059.0)</f>
        <v>13059</v>
      </c>
      <c r="L173" s="268">
        <f>IFERROR(__xludf.DUMMYFUNCTION("""COMPUTED_VALUE"""),0.5304)</f>
        <v>0.5304</v>
      </c>
      <c r="M173" s="242"/>
      <c r="N173" s="268"/>
      <c r="O173" s="222">
        <f>IFERROR(__xludf.DUMMYFUNCTION("""COMPUTED_VALUE"""),25.0)</f>
        <v>25</v>
      </c>
      <c r="P173" s="222"/>
      <c r="Q173" s="268">
        <f>IFERROR(__xludf.DUMMYFUNCTION("""COMPUTED_VALUE"""),0.0019)</f>
        <v>0.0019</v>
      </c>
      <c r="R173" s="268"/>
      <c r="S173" s="222"/>
      <c r="T173" s="222">
        <f>IFERROR(__xludf.DUMMYFUNCTION("""COMPUTED_VALUE"""),5.0)</f>
        <v>5</v>
      </c>
      <c r="U173" s="242">
        <f>IFERROR(__xludf.DUMMYFUNCTION("""COMPUTED_VALUE"""),5478.0)</f>
        <v>5478</v>
      </c>
      <c r="V173" s="221" t="str">
        <f>IFERROR(__xludf.DUMMYFUNCTION("""COMPUTED_VALUE"""),"online")</f>
        <v>online</v>
      </c>
      <c r="W173" s="269" t="str">
        <f>IFERROR(__xludf.DUMMYFUNCTION("""COMPUTED_VALUE"""),"SMS")</f>
        <v>SMS</v>
      </c>
      <c r="X173" s="269"/>
      <c r="Y173" s="269" t="str">
        <f>IFERROR(__xludf.DUMMYFUNCTION("""COMPUTED_VALUE"""),"24th Feb")</f>
        <v>24th Feb</v>
      </c>
      <c r="Z173" s="269" t="str">
        <f>IFERROR(__xludf.DUMMYFUNCTION("""COMPUTED_VALUE"""),"699d8b4b239d6bc79b032db4")</f>
        <v>699d8b4b239d6bc79b032db4</v>
      </c>
      <c r="AA173" s="243">
        <f>IFERROR(__xludf.DUMMYFUNCTION("""COMPUTED_VALUE"""),11.0)</f>
        <v>11</v>
      </c>
      <c r="AB173" s="243">
        <f>IFERROR(__xludf.DUMMYFUNCTION("""COMPUTED_VALUE"""),11.0)</f>
        <v>11</v>
      </c>
      <c r="AC173" s="243"/>
      <c r="AD173" s="243">
        <f>IFERROR(__xludf.DUMMYFUNCTION("""COMPUTED_VALUE"""),25194.0)</f>
        <v>25194</v>
      </c>
      <c r="AE173" s="243">
        <f>IFERROR(__xludf.DUMMYFUNCTION("""COMPUTED_VALUE"""),25194.0)</f>
        <v>25194</v>
      </c>
      <c r="AF173" s="243"/>
      <c r="AG173" s="208"/>
      <c r="AH173" s="208"/>
      <c r="AI173" s="208"/>
      <c r="AJ173" s="208"/>
      <c r="AK173" s="208"/>
    </row>
    <row r="174" hidden="1">
      <c r="A174" s="216">
        <f>IFERROR(__xludf.DUMMYFUNCTION("""COMPUTED_VALUE"""),46077.0)</f>
        <v>46077</v>
      </c>
      <c r="B174" s="210">
        <f>IFERROR(__xludf.DUMMYFUNCTION("""COMPUTED_VALUE"""),0.7916666666678793)</f>
        <v>0.7916666667</v>
      </c>
      <c r="C174" s="210" t="str">
        <f>IFERROR(__xludf.DUMMYFUNCTION("""COMPUTED_VALUE"""),"Sms")</f>
        <v>Sms</v>
      </c>
      <c r="D174" s="210" t="str">
        <f>IFERROR(__xludf.DUMMYFUNCTION("""COMPUTED_VALUE"""),"Fallback Campaign")</f>
        <v>Fallback Campaign</v>
      </c>
      <c r="E174" s="211" t="str">
        <f>IFERROR(__xludf.DUMMYFUNCTION("""COMPUTED_VALUE"""),"BBW")</f>
        <v>BBW</v>
      </c>
      <c r="F174" s="211" t="str">
        <f>IFERROR(__xludf.DUMMYFUNCTION("""COMPUTED_VALUE"""),"Travel Size Body Care")</f>
        <v>Travel Size Body Care</v>
      </c>
      <c r="G174" s="211" t="str">
        <f>IFERROR(__xludf.DUMMYFUNCTION("""COMPUTED_VALUE"""),"bbw_24.2_Loyal_Cat_Travel&amp;LqSoap_ON_wa_fb")</f>
        <v>bbw_24.2_Loyal_Cat_Travel&amp;LqSoap_ON_wa_fb</v>
      </c>
      <c r="H174" s="211" t="str">
        <f>IFERROR(__xludf.DUMMYFUNCTION("""COMPUTED_VALUE"""),"Loyal_Cat_Travel&amp;LqSoap_ON")</f>
        <v>Loyal_Cat_Travel&amp;LqSoap_ON</v>
      </c>
      <c r="I174" s="223" t="str">
        <f>IFERROR(__xludf.DUMMYFUNCTION("""COMPUTED_VALUE"""),"WA Undelivered")</f>
        <v>WA Undelivered</v>
      </c>
      <c r="J174" s="213">
        <f>IFERROR(__xludf.DUMMYFUNCTION("""COMPUTED_VALUE"""),1811.0)</f>
        <v>1811</v>
      </c>
      <c r="K174" s="213">
        <f>IFERROR(__xludf.DUMMYFUNCTION("""COMPUTED_VALUE"""),846.0)</f>
        <v>846</v>
      </c>
      <c r="L174" s="214">
        <f>IFERROR(__xludf.DUMMYFUNCTION("""COMPUTED_VALUE"""),0.4671)</f>
        <v>0.4671</v>
      </c>
      <c r="M174" s="213"/>
      <c r="N174" s="214"/>
      <c r="O174" s="213">
        <f>IFERROR(__xludf.DUMMYFUNCTION("""COMPUTED_VALUE"""),4.0)</f>
        <v>4</v>
      </c>
      <c r="P174" s="213"/>
      <c r="Q174" s="214">
        <f>IFERROR(__xludf.DUMMYFUNCTION("""COMPUTED_VALUE"""),0.0047)</f>
        <v>0.0047</v>
      </c>
      <c r="R174" s="214"/>
      <c r="S174" s="101">
        <f>IFERROR(__xludf.DUMMYFUNCTION("""COMPUTED_VALUE"""),0.0)</f>
        <v>0</v>
      </c>
      <c r="T174" s="101">
        <f>IFERROR(__xludf.DUMMYFUNCTION("""COMPUTED_VALUE"""),0.0)</f>
        <v>0</v>
      </c>
      <c r="U174" s="213">
        <f>IFERROR(__xludf.DUMMYFUNCTION("""COMPUTED_VALUE"""),0.0)</f>
        <v>0</v>
      </c>
      <c r="V174" s="271" t="str">
        <f>IFERROR(__xludf.DUMMYFUNCTION("""COMPUTED_VALUE"""),"online")</f>
        <v>online</v>
      </c>
      <c r="W174" s="98" t="str">
        <f>IFERROR(__xludf.DUMMYFUNCTION("""COMPUTED_VALUE"""),"SMS")</f>
        <v>SMS</v>
      </c>
      <c r="X174" s="98" t="str">
        <f>IFERROR(__xludf.DUMMYFUNCTION("""COMPUTED_VALUE"""),"Repeat")</f>
        <v>Repeat</v>
      </c>
      <c r="Y174" s="98" t="str">
        <f>IFERROR(__xludf.DUMMYFUNCTION("""COMPUTED_VALUE"""),"24th Feb")</f>
        <v>24th Feb</v>
      </c>
      <c r="Z174" s="98" t="str">
        <f>IFERROR(__xludf.DUMMYFUNCTION("""COMPUTED_VALUE"""),"699d8b845101adf6d7e890f2")</f>
        <v>699d8b845101adf6d7e890f2</v>
      </c>
      <c r="AA174" s="98">
        <f>IFERROR(__xludf.DUMMYFUNCTION("""COMPUTED_VALUE"""),1.0)</f>
        <v>1</v>
      </c>
      <c r="AB174" s="98">
        <f>IFERROR(__xludf.DUMMYFUNCTION("""COMPUTED_VALUE"""),1.0)</f>
        <v>1</v>
      </c>
      <c r="AC174" s="98"/>
      <c r="AD174" s="98">
        <f>IFERROR(__xludf.DUMMYFUNCTION("""COMPUTED_VALUE"""),998.0)</f>
        <v>998</v>
      </c>
      <c r="AE174" s="98">
        <f>IFERROR(__xludf.DUMMYFUNCTION("""COMPUTED_VALUE"""),998.0)</f>
        <v>998</v>
      </c>
      <c r="AF174" s="98"/>
      <c r="AG174" s="208"/>
      <c r="AH174" s="208"/>
      <c r="AI174" s="208"/>
      <c r="AJ174" s="208"/>
      <c r="AK174" s="208"/>
    </row>
    <row r="175" hidden="1">
      <c r="A175" s="284">
        <f>IFERROR(__xludf.DUMMYFUNCTION("""COMPUTED_VALUE"""),46077.0)</f>
        <v>46077</v>
      </c>
      <c r="B175" s="244">
        <f>IFERROR(__xludf.DUMMYFUNCTION("""COMPUTED_VALUE"""),0.7916666666678793)</f>
        <v>0.7916666667</v>
      </c>
      <c r="C175" s="222" t="str">
        <f>IFERROR(__xludf.DUMMYFUNCTION("""COMPUTED_VALUE"""),"Sms")</f>
        <v>Sms</v>
      </c>
      <c r="D175" s="222" t="str">
        <f>IFERROR(__xludf.DUMMYFUNCTION("""COMPUTED_VALUE"""),"Fallback Campaign")</f>
        <v>Fallback Campaign</v>
      </c>
      <c r="E175" s="222" t="str">
        <f>IFERROR(__xludf.DUMMYFUNCTION("""COMPUTED_VALUE"""),"BBW")</f>
        <v>BBW</v>
      </c>
      <c r="F175" s="222" t="str">
        <f>IFERROR(__xludf.DUMMYFUNCTION("""COMPUTED_VALUE"""),"Travel Size Body Care")</f>
        <v>Travel Size Body Care</v>
      </c>
      <c r="G175" s="222" t="str">
        <f>IFERROR(__xludf.DUMMYFUNCTION("""COMPUTED_VALUE"""),"bbw_24.2_Cat_AOV_999_ON_rcs_fb")</f>
        <v>bbw_24.2_Cat_AOV_999_ON_rcs_fb</v>
      </c>
      <c r="H175" s="269" t="str">
        <f>IFERROR(__xludf.DUMMYFUNCTION("""COMPUTED_VALUE"""),"Cat_AOV_999_ON")</f>
        <v>Cat_AOV_999_ON</v>
      </c>
      <c r="I175" s="223" t="str">
        <f>IFERROR(__xludf.DUMMYFUNCTION("""COMPUTED_VALUE"""),"RCS Delivery Failed")</f>
        <v>RCS Delivery Failed</v>
      </c>
      <c r="J175" s="242">
        <f>IFERROR(__xludf.DUMMYFUNCTION("""COMPUTED_VALUE"""),1639.0)</f>
        <v>1639</v>
      </c>
      <c r="K175" s="242">
        <f>IFERROR(__xludf.DUMMYFUNCTION("""COMPUTED_VALUE"""),1013.0)</f>
        <v>1013</v>
      </c>
      <c r="L175" s="268">
        <f>IFERROR(__xludf.DUMMYFUNCTION("""COMPUTED_VALUE"""),0.6181)</f>
        <v>0.6181</v>
      </c>
      <c r="M175" s="242"/>
      <c r="N175" s="268"/>
      <c r="O175" s="222">
        <f>IFERROR(__xludf.DUMMYFUNCTION("""COMPUTED_VALUE"""),6.0)</f>
        <v>6</v>
      </c>
      <c r="P175" s="222"/>
      <c r="Q175" s="268">
        <f>IFERROR(__xludf.DUMMYFUNCTION("""COMPUTED_VALUE"""),0.0059)</f>
        <v>0.0059</v>
      </c>
      <c r="R175" s="268"/>
      <c r="S175" s="222">
        <f>IFERROR(__xludf.DUMMYFUNCTION("""COMPUTED_VALUE"""),0.0)</f>
        <v>0</v>
      </c>
      <c r="T175" s="222">
        <f>IFERROR(__xludf.DUMMYFUNCTION("""COMPUTED_VALUE"""),0.0)</f>
        <v>0</v>
      </c>
      <c r="U175" s="242">
        <f>IFERROR(__xludf.DUMMYFUNCTION("""COMPUTED_VALUE"""),0.0)</f>
        <v>0</v>
      </c>
      <c r="V175" s="221" t="str">
        <f>IFERROR(__xludf.DUMMYFUNCTION("""COMPUTED_VALUE"""),"online")</f>
        <v>online</v>
      </c>
      <c r="W175" s="269" t="str">
        <f>IFERROR(__xludf.DUMMYFUNCTION("""COMPUTED_VALUE"""),"SMS")</f>
        <v>SMS</v>
      </c>
      <c r="X175" s="269" t="str">
        <f>IFERROR(__xludf.DUMMYFUNCTION("""COMPUTED_VALUE"""),"AOV &lt; 999")</f>
        <v>AOV &lt; 999</v>
      </c>
      <c r="Y175" s="269" t="str">
        <f>IFERROR(__xludf.DUMMYFUNCTION("""COMPUTED_VALUE"""),"24th Feb")</f>
        <v>24th Feb</v>
      </c>
      <c r="Z175" s="269" t="str">
        <f>IFERROR(__xludf.DUMMYFUNCTION("""COMPUTED_VALUE"""),"699d8ba5980fa207108bf0e4")</f>
        <v>699d8ba5980fa207108bf0e4</v>
      </c>
      <c r="AA175" s="243">
        <f>IFERROR(__xludf.DUMMYFUNCTION("""COMPUTED_VALUE"""),0.0)</f>
        <v>0</v>
      </c>
      <c r="AB175" s="243">
        <f>IFERROR(__xludf.DUMMYFUNCTION("""COMPUTED_VALUE"""),0.0)</f>
        <v>0</v>
      </c>
      <c r="AC175" s="243"/>
      <c r="AD175" s="243">
        <f>IFERROR(__xludf.DUMMYFUNCTION("""COMPUTED_VALUE"""),0.0)</f>
        <v>0</v>
      </c>
      <c r="AE175" s="243">
        <f>IFERROR(__xludf.DUMMYFUNCTION("""COMPUTED_VALUE"""),0.0)</f>
        <v>0</v>
      </c>
      <c r="AF175" s="243"/>
      <c r="AG175" s="208"/>
      <c r="AH175" s="208"/>
      <c r="AI175" s="208"/>
      <c r="AJ175" s="208"/>
      <c r="AK175" s="208"/>
    </row>
    <row r="176" hidden="1">
      <c r="A176" s="284">
        <f>IFERROR(__xludf.DUMMYFUNCTION("""COMPUTED_VALUE"""),46077.0)</f>
        <v>46077</v>
      </c>
      <c r="B176" s="244">
        <f>IFERROR(__xludf.DUMMYFUNCTION("""COMPUTED_VALUE"""),0.7916666666678793)</f>
        <v>0.7916666667</v>
      </c>
      <c r="C176" s="222" t="str">
        <f>IFERROR(__xludf.DUMMYFUNCTION("""COMPUTED_VALUE"""),"Sms")</f>
        <v>Sms</v>
      </c>
      <c r="D176" s="222" t="str">
        <f>IFERROR(__xludf.DUMMYFUNCTION("""COMPUTED_VALUE"""),"Fallback Campaign")</f>
        <v>Fallback Campaign</v>
      </c>
      <c r="E176" s="222" t="str">
        <f>IFERROR(__xludf.DUMMYFUNCTION("""COMPUTED_VALUE"""),"BBW")</f>
        <v>BBW</v>
      </c>
      <c r="F176" s="222" t="str">
        <f>IFERROR(__xludf.DUMMYFUNCTION("""COMPUTED_VALUE"""),"Travel Size Body Care")</f>
        <v>Travel Size Body Care</v>
      </c>
      <c r="G176" s="222" t="str">
        <f>IFERROR(__xludf.DUMMYFUNCTION("""COMPUTED_VALUE"""),"bbw_24.2_recent_Cat_88D_wa_fb")</f>
        <v>bbw_24.2_recent_Cat_88D_wa_fb</v>
      </c>
      <c r="H176" s="269" t="str">
        <f>IFERROR(__xludf.DUMMYFUNCTION("""COMPUTED_VALUE"""),"Recent_Cat_88D")</f>
        <v>Recent_Cat_88D</v>
      </c>
      <c r="I176" s="223" t="str">
        <f>IFERROR(__xludf.DUMMYFUNCTION("""COMPUTED_VALUE"""),"WA Undelivered")</f>
        <v>WA Undelivered</v>
      </c>
      <c r="J176" s="242">
        <f>IFERROR(__xludf.DUMMYFUNCTION("""COMPUTED_VALUE"""),11418.0)</f>
        <v>11418</v>
      </c>
      <c r="K176" s="242">
        <f>IFERROR(__xludf.DUMMYFUNCTION("""COMPUTED_VALUE"""),5856.0)</f>
        <v>5856</v>
      </c>
      <c r="L176" s="268">
        <f>IFERROR(__xludf.DUMMYFUNCTION("""COMPUTED_VALUE"""),0.5129)</f>
        <v>0.5129</v>
      </c>
      <c r="M176" s="242"/>
      <c r="N176" s="268"/>
      <c r="O176" s="222">
        <f>IFERROR(__xludf.DUMMYFUNCTION("""COMPUTED_VALUE"""),20.0)</f>
        <v>20</v>
      </c>
      <c r="P176" s="222"/>
      <c r="Q176" s="268">
        <f>IFERROR(__xludf.DUMMYFUNCTION("""COMPUTED_VALUE"""),0.0034)</f>
        <v>0.0034</v>
      </c>
      <c r="R176" s="268"/>
      <c r="S176" s="222">
        <f>IFERROR(__xludf.DUMMYFUNCTION("""COMPUTED_VALUE"""),2.0)</f>
        <v>2</v>
      </c>
      <c r="T176" s="222">
        <f>IFERROR(__xludf.DUMMYFUNCTION("""COMPUTED_VALUE"""),9.0)</f>
        <v>9</v>
      </c>
      <c r="U176" s="242">
        <f>IFERROR(__xludf.DUMMYFUNCTION("""COMPUTED_VALUE"""),11887.0)</f>
        <v>11887</v>
      </c>
      <c r="V176" s="221" t="str">
        <f>IFERROR(__xludf.DUMMYFUNCTION("""COMPUTED_VALUE"""),"online")</f>
        <v>online</v>
      </c>
      <c r="W176" s="269" t="str">
        <f>IFERROR(__xludf.DUMMYFUNCTION("""COMPUTED_VALUE"""),"SMS")</f>
        <v>SMS</v>
      </c>
      <c r="X176" s="269" t="str">
        <f>IFERROR(__xludf.DUMMYFUNCTION("""COMPUTED_VALUE"""),"Recent")</f>
        <v>Recent</v>
      </c>
      <c r="Y176" s="269" t="str">
        <f>IFERROR(__xludf.DUMMYFUNCTION("""COMPUTED_VALUE"""),"24th Feb")</f>
        <v>24th Feb</v>
      </c>
      <c r="Z176" s="269" t="str">
        <f>IFERROR(__xludf.DUMMYFUNCTION("""COMPUTED_VALUE"""),"699d9d39a402a3f7d273e773")</f>
        <v>699d9d39a402a3f7d273e773</v>
      </c>
      <c r="AA176" s="243">
        <f>IFERROR(__xludf.DUMMYFUNCTION("""COMPUTED_VALUE"""),9.0)</f>
        <v>9</v>
      </c>
      <c r="AB176" s="243">
        <f>IFERROR(__xludf.DUMMYFUNCTION("""COMPUTED_VALUE"""),9.0)</f>
        <v>9</v>
      </c>
      <c r="AC176" s="243"/>
      <c r="AD176" s="243">
        <f>IFERROR(__xludf.DUMMYFUNCTION("""COMPUTED_VALUE"""),26711.0)</f>
        <v>26711</v>
      </c>
      <c r="AE176" s="243">
        <f>IFERROR(__xludf.DUMMYFUNCTION("""COMPUTED_VALUE"""),26711.0)</f>
        <v>26711</v>
      </c>
      <c r="AF176" s="243"/>
      <c r="AG176" s="208"/>
      <c r="AH176" s="208"/>
      <c r="AI176" s="208"/>
      <c r="AJ176" s="208"/>
      <c r="AK176" s="208"/>
    </row>
    <row r="177" hidden="1">
      <c r="A177" s="284">
        <f>IFERROR(__xludf.DUMMYFUNCTION("""COMPUTED_VALUE"""),46077.0)</f>
        <v>46077</v>
      </c>
      <c r="B177" s="244">
        <f>IFERROR(__xludf.DUMMYFUNCTION("""COMPUTED_VALUE"""),0.7083333333321207)</f>
        <v>0.7083333333</v>
      </c>
      <c r="C177" s="222" t="str">
        <f>IFERROR(__xludf.DUMMYFUNCTION("""COMPUTED_VALUE"""),"Rcs")</f>
        <v>Rcs</v>
      </c>
      <c r="D177" s="222" t="str">
        <f>IFERROR(__xludf.DUMMYFUNCTION("""COMPUTED_VALUE"""),"Promotional")</f>
        <v>Promotional</v>
      </c>
      <c r="E177" s="222" t="str">
        <f>IFERROR(__xludf.DUMMYFUNCTION("""COMPUTED_VALUE"""),"BBW")</f>
        <v>BBW</v>
      </c>
      <c r="F177" s="222" t="str">
        <f>IFERROR(__xludf.DUMMYFUNCTION("""COMPUTED_VALUE"""),"Travel Size Body Care")</f>
        <v>Travel Size Body Care</v>
      </c>
      <c r="G177" s="222" t="str">
        <f>IFERROR(__xludf.DUMMYFUNCTION("""COMPUTED_VALUE"""),"bbw_24.2_travelbc_549_lapsed_buyers")</f>
        <v>bbw_24.2_travelbc_549_lapsed_buyers</v>
      </c>
      <c r="H177" s="269" t="str">
        <f>IFERROR(__xludf.DUMMYFUNCTION("""COMPUTED_VALUE"""),"Predom_Cat_ONl0")</f>
        <v>Predom_Cat_ONl0</v>
      </c>
      <c r="I177" s="223" t="str">
        <f>IFERROR(__xludf.DUMMYFUNCTION("""COMPUTED_VALUE"""),"Online Customers who have PREDOM purchased from Cat: Liquid Soap or Cat: Travel Size with in last 3 Years excl. online customers who have purchased in TTR (111 days)")</f>
        <v>Online Customers who have PREDOM purchased from Cat: Liquid Soap or Cat: Travel Size with in last 3 Years excl. online customers who have purchased in TTR (111 days)</v>
      </c>
      <c r="J177" s="242">
        <f>IFERROR(__xludf.DUMMYFUNCTION("""COMPUTED_VALUE"""),30761.0)</f>
        <v>30761</v>
      </c>
      <c r="K177" s="242">
        <f>IFERROR(__xludf.DUMMYFUNCTION("""COMPUTED_VALUE"""),6011.0)</f>
        <v>6011</v>
      </c>
      <c r="L177" s="268">
        <f>IFERROR(__xludf.DUMMYFUNCTION("""COMPUTED_VALUE"""),0.195)</f>
        <v>0.195</v>
      </c>
      <c r="M177" s="242">
        <f>IFERROR(__xludf.DUMMYFUNCTION("""COMPUTED_VALUE"""),752.0)</f>
        <v>752</v>
      </c>
      <c r="N177" s="268">
        <f>IFERROR(__xludf.DUMMYFUNCTION("""COMPUTED_VALUE"""),0.125)</f>
        <v>0.125</v>
      </c>
      <c r="O177" s="222">
        <f>IFERROR(__xludf.DUMMYFUNCTION("""COMPUTED_VALUE"""),29.0)</f>
        <v>29</v>
      </c>
      <c r="P177" s="222"/>
      <c r="Q177" s="268">
        <f>IFERROR(__xludf.DUMMYFUNCTION("""COMPUTED_VALUE"""),0.005)</f>
        <v>0.005</v>
      </c>
      <c r="R177" s="268"/>
      <c r="S177" s="222">
        <f>IFERROR(__xludf.DUMMYFUNCTION("""COMPUTED_VALUE"""),2.0)</f>
        <v>2</v>
      </c>
      <c r="T177" s="222">
        <f>IFERROR(__xludf.DUMMYFUNCTION("""COMPUTED_VALUE"""),3.0)</f>
        <v>3</v>
      </c>
      <c r="U177" s="242">
        <f>IFERROR(__xludf.DUMMYFUNCTION("""COMPUTED_VALUE"""),1794.0)</f>
        <v>1794</v>
      </c>
      <c r="V177" s="221" t="str">
        <f>IFERROR(__xludf.DUMMYFUNCTION("""COMPUTED_VALUE"""),"online")</f>
        <v>online</v>
      </c>
      <c r="W177" s="269" t="str">
        <f>IFERROR(__xludf.DUMMYFUNCTION("""COMPUTED_VALUE"""),"RCS")</f>
        <v>RCS</v>
      </c>
      <c r="X177" s="269" t="str">
        <f>IFERROR(__xludf.DUMMYFUNCTION("""COMPUTED_VALUE"""),"Predom Cat Buyers")</f>
        <v>Predom Cat Buyers</v>
      </c>
      <c r="Y177" s="269" t="str">
        <f>IFERROR(__xludf.DUMMYFUNCTION("""COMPUTED_VALUE"""),"24-26 Feb")</f>
        <v>24-26 Feb</v>
      </c>
      <c r="Z177" s="269" t="str">
        <f>IFERROR(__xludf.DUMMYFUNCTION("""COMPUTED_VALUE"""),"699d7d804bc71ac0ad7e43c8")</f>
        <v>699d7d804bc71ac0ad7e43c8</v>
      </c>
      <c r="AA177" s="243">
        <f>IFERROR(__xludf.DUMMYFUNCTION("""COMPUTED_VALUE"""),13.0)</f>
        <v>13</v>
      </c>
      <c r="AB177" s="243">
        <f>IFERROR(__xludf.DUMMYFUNCTION("""COMPUTED_VALUE"""),13.0)</f>
        <v>13</v>
      </c>
      <c r="AC177" s="243"/>
      <c r="AD177" s="243">
        <f>IFERROR(__xludf.DUMMYFUNCTION("""COMPUTED_VALUE"""),21065.0)</f>
        <v>21065</v>
      </c>
      <c r="AE177" s="243">
        <f>IFERROR(__xludf.DUMMYFUNCTION("""COMPUTED_VALUE"""),21065.0)</f>
        <v>21065</v>
      </c>
      <c r="AF177" s="243"/>
      <c r="AG177" s="208"/>
      <c r="AH177" s="208"/>
      <c r="AI177" s="208"/>
      <c r="AJ177" s="208"/>
      <c r="AK177" s="208"/>
    </row>
    <row r="178" hidden="1">
      <c r="A178" s="284">
        <f>IFERROR(__xludf.DUMMYFUNCTION("""COMPUTED_VALUE"""),46077.0)</f>
        <v>46077</v>
      </c>
      <c r="B178" s="244">
        <f>IFERROR(__xludf.DUMMYFUNCTION("""COMPUTED_VALUE"""),0.7083333333321207)</f>
        <v>0.7083333333</v>
      </c>
      <c r="C178" s="222" t="str">
        <f>IFERROR(__xludf.DUMMYFUNCTION("""COMPUTED_VALUE"""),"Rcs")</f>
        <v>Rcs</v>
      </c>
      <c r="D178" s="222" t="str">
        <f>IFERROR(__xludf.DUMMYFUNCTION("""COMPUTED_VALUE"""),"Promotional")</f>
        <v>Promotional</v>
      </c>
      <c r="E178" s="222" t="str">
        <f>IFERROR(__xludf.DUMMYFUNCTION("""COMPUTED_VALUE"""),"BBW")</f>
        <v>BBW</v>
      </c>
      <c r="F178" s="222" t="str">
        <f>IFERROR(__xludf.DUMMYFUNCTION("""COMPUTED_VALUE"""),"Travel Size Body Care")</f>
        <v>Travel Size Body Care</v>
      </c>
      <c r="G178" s="222" t="str">
        <f>IFERROR(__xludf.DUMMYFUNCTION("""COMPUTED_VALUE"""),"bbw_24.2_travelbc_549_repeat_cat_buyers")</f>
        <v>bbw_24.2_travelbc_549_repeat_cat_buyers</v>
      </c>
      <c r="H178" s="269" t="str">
        <f>IFERROR(__xludf.DUMMYFUNCTION("""COMPUTED_VALUE"""),"Cat_AOV_999_ON")</f>
        <v>Cat_AOV_999_ON</v>
      </c>
      <c r="I178" s="223" t="str">
        <f>IFERROR(__xludf.DUMMYFUNCTION("""COMPUTED_VALUE"""),"Online customers who have purchased from Cat: Liquid Soap or Cat: Travel Size with Average Order Net Val below 999 excl. online customers who have purchased in TTR (111 days)")</f>
        <v>Online customers who have purchased from Cat: Liquid Soap or Cat: Travel Size with Average Order Net Val below 999 excl. online customers who have purchased in TTR (111 days)</v>
      </c>
      <c r="J178" s="242">
        <f>IFERROR(__xludf.DUMMYFUNCTION("""COMPUTED_VALUE"""),1946.0)</f>
        <v>1946</v>
      </c>
      <c r="K178" s="242">
        <f>IFERROR(__xludf.DUMMYFUNCTION("""COMPUTED_VALUE"""),297.0)</f>
        <v>297</v>
      </c>
      <c r="L178" s="268">
        <f>IFERROR(__xludf.DUMMYFUNCTION("""COMPUTED_VALUE"""),0.153)</f>
        <v>0.153</v>
      </c>
      <c r="M178" s="242">
        <f>IFERROR(__xludf.DUMMYFUNCTION("""COMPUTED_VALUE"""),37.0)</f>
        <v>37</v>
      </c>
      <c r="N178" s="268">
        <f>IFERROR(__xludf.DUMMYFUNCTION("""COMPUTED_VALUE"""),0.125)</f>
        <v>0.125</v>
      </c>
      <c r="O178" s="222">
        <f>IFERROR(__xludf.DUMMYFUNCTION("""COMPUTED_VALUE"""),5.0)</f>
        <v>5</v>
      </c>
      <c r="P178" s="222"/>
      <c r="Q178" s="268">
        <f>IFERROR(__xludf.DUMMYFUNCTION("""COMPUTED_VALUE"""),0.017)</f>
        <v>0.017</v>
      </c>
      <c r="R178" s="268"/>
      <c r="S178" s="222"/>
      <c r="T178" s="222"/>
      <c r="U178" s="242"/>
      <c r="V178" s="221" t="str">
        <f>IFERROR(__xludf.DUMMYFUNCTION("""COMPUTED_VALUE"""),"online")</f>
        <v>online</v>
      </c>
      <c r="W178" s="269" t="str">
        <f>IFERROR(__xludf.DUMMYFUNCTION("""COMPUTED_VALUE"""),"RCS")</f>
        <v>RCS</v>
      </c>
      <c r="X178" s="269" t="str">
        <f>IFERROR(__xludf.DUMMYFUNCTION("""COMPUTED_VALUE"""),"AOV &lt; 999")</f>
        <v>AOV &lt; 999</v>
      </c>
      <c r="Y178" s="269" t="str">
        <f>IFERROR(__xludf.DUMMYFUNCTION("""COMPUTED_VALUE"""),"24-26 Feb")</f>
        <v>24-26 Feb</v>
      </c>
      <c r="Z178" s="269" t="str">
        <f>IFERROR(__xludf.DUMMYFUNCTION("""COMPUTED_VALUE"""),"699d7d8e997ee4ee97c170a2")</f>
        <v>699d7d8e997ee4ee97c170a2</v>
      </c>
      <c r="AA178" s="243">
        <f>IFERROR(__xludf.DUMMYFUNCTION("""COMPUTED_VALUE"""),0.0)</f>
        <v>0</v>
      </c>
      <c r="AB178" s="243">
        <f>IFERROR(__xludf.DUMMYFUNCTION("""COMPUTED_VALUE"""),0.0)</f>
        <v>0</v>
      </c>
      <c r="AC178" s="243"/>
      <c r="AD178" s="243">
        <f>IFERROR(__xludf.DUMMYFUNCTION("""COMPUTED_VALUE"""),0.0)</f>
        <v>0</v>
      </c>
      <c r="AE178" s="243">
        <f>IFERROR(__xludf.DUMMYFUNCTION("""COMPUTED_VALUE"""),0.0)</f>
        <v>0</v>
      </c>
      <c r="AF178" s="243"/>
      <c r="AG178" s="208"/>
      <c r="AH178" s="208"/>
      <c r="AI178" s="208"/>
      <c r="AJ178" s="208"/>
      <c r="AK178" s="208"/>
    </row>
    <row r="179" hidden="1">
      <c r="A179" s="216">
        <f>IFERROR(__xludf.DUMMYFUNCTION("""COMPUTED_VALUE"""),46079.0)</f>
        <v>46079</v>
      </c>
      <c r="B179" s="210">
        <f>IFERROR(__xludf.DUMMYFUNCTION("""COMPUTED_VALUE"""),0.7708333333321207)</f>
        <v>0.7708333333</v>
      </c>
      <c r="C179" s="210" t="str">
        <f>IFERROR(__xludf.DUMMYFUNCTION("""COMPUTED_VALUE"""),"Whatsapp")</f>
        <v>Whatsapp</v>
      </c>
      <c r="D179" s="210" t="str">
        <f>IFERROR(__xludf.DUMMYFUNCTION("""COMPUTED_VALUE"""),"Promotional")</f>
        <v>Promotional</v>
      </c>
      <c r="E179" s="211" t="str">
        <f>IFERROR(__xludf.DUMMYFUNCTION("""COMPUTED_VALUE"""),"BBW")</f>
        <v>BBW</v>
      </c>
      <c r="F179" s="211" t="str">
        <f>IFERROR(__xludf.DUMMYFUNCTION("""COMPUTED_VALUE"""),"Body care")</f>
        <v>Body care</v>
      </c>
      <c r="G179" s="211" t="str">
        <f>IFERROR(__xludf.DUMMYFUNCTION("""COMPUTED_VALUE"""),"bbw_26.2_bc999_recent_wa")</f>
        <v>bbw_26.2_bc999_recent_wa</v>
      </c>
      <c r="H179" s="211" t="str">
        <f>IFERROR(__xludf.DUMMYFUNCTION("""COMPUTED_VALUE"""),"Recent_BodyCare_On")</f>
        <v>Recent_BodyCare_On</v>
      </c>
      <c r="I179" s="223" t="str">
        <f>IFERROR(__xludf.DUMMYFUNCTION("""COMPUTED_VALUE"""),"Online customers purchasing Body Care in the last 97 days(Time to Repeat).")</f>
        <v>Online customers purchasing Body Care in the last 97 days(Time to Repeat).</v>
      </c>
      <c r="J179" s="213">
        <f>IFERROR(__xludf.DUMMYFUNCTION("""COMPUTED_VALUE"""),8997.0)</f>
        <v>8997</v>
      </c>
      <c r="K179" s="213">
        <f>IFERROR(__xludf.DUMMYFUNCTION("""COMPUTED_VALUE"""),2769.0)</f>
        <v>2769</v>
      </c>
      <c r="L179" s="214">
        <f>IFERROR(__xludf.DUMMYFUNCTION("""COMPUTED_VALUE"""),0.3078)</f>
        <v>0.3078</v>
      </c>
      <c r="M179" s="213">
        <f>IFERROR(__xludf.DUMMYFUNCTION("""COMPUTED_VALUE"""),1406.0)</f>
        <v>1406</v>
      </c>
      <c r="N179" s="214">
        <f>IFERROR(__xludf.DUMMYFUNCTION("""COMPUTED_VALUE"""),0.5078)</f>
        <v>0.5078</v>
      </c>
      <c r="O179" s="213">
        <f>IFERROR(__xludf.DUMMYFUNCTION("""COMPUTED_VALUE"""),168.0)</f>
        <v>168</v>
      </c>
      <c r="P179" s="213">
        <f>IFERROR(__xludf.DUMMYFUNCTION("""COMPUTED_VALUE"""),152.0)</f>
        <v>152</v>
      </c>
      <c r="Q179" s="214">
        <f>IFERROR(__xludf.DUMMYFUNCTION("""COMPUTED_VALUE"""),0.0549)</f>
        <v>0.0549</v>
      </c>
      <c r="R179" s="214">
        <f>IFERROR(__xludf.DUMMYFUNCTION("""COMPUTED_VALUE"""),0.1081)</f>
        <v>0.1081</v>
      </c>
      <c r="S179" s="101">
        <f>IFERROR(__xludf.DUMMYFUNCTION("""COMPUTED_VALUE"""),3.0)</f>
        <v>3</v>
      </c>
      <c r="T179" s="101">
        <f>IFERROR(__xludf.DUMMYFUNCTION("""COMPUTED_VALUE"""),8.0)</f>
        <v>8</v>
      </c>
      <c r="U179" s="213">
        <f>IFERROR(__xludf.DUMMYFUNCTION("""COMPUTED_VALUE"""),10231.0)</f>
        <v>10231</v>
      </c>
      <c r="V179" s="271" t="str">
        <f>IFERROR(__xludf.DUMMYFUNCTION("""COMPUTED_VALUE"""),"online")</f>
        <v>online</v>
      </c>
      <c r="W179" s="98" t="str">
        <f>IFERROR(__xludf.DUMMYFUNCTION("""COMPUTED_VALUE"""),"simple")</f>
        <v>simple</v>
      </c>
      <c r="X179" s="98" t="str">
        <f>IFERROR(__xludf.DUMMYFUNCTION("""COMPUTED_VALUE"""),"Recent")</f>
        <v>Recent</v>
      </c>
      <c r="Y179" s="98" t="str">
        <f>IFERROR(__xludf.DUMMYFUNCTION("""COMPUTED_VALUE"""),"26-28 Feb")</f>
        <v>26-28 Feb</v>
      </c>
      <c r="Z179" s="98" t="str">
        <f>IFERROR(__xludf.DUMMYFUNCTION("""COMPUTED_VALUE"""),"69a03d6d3732ceb82c3c1f98")</f>
        <v>69a03d6d3732ceb82c3c1f98</v>
      </c>
      <c r="AA179" s="98">
        <f>IFERROR(__xludf.DUMMYFUNCTION("""COMPUTED_VALUE"""),12.0)</f>
        <v>12</v>
      </c>
      <c r="AB179" s="98">
        <f>IFERROR(__xludf.DUMMYFUNCTION("""COMPUTED_VALUE"""),12.0)</f>
        <v>12</v>
      </c>
      <c r="AC179" s="98"/>
      <c r="AD179" s="98">
        <f>IFERROR(__xludf.DUMMYFUNCTION("""COMPUTED_VALUE"""),33407.0)</f>
        <v>33407</v>
      </c>
      <c r="AE179" s="98">
        <f>IFERROR(__xludf.DUMMYFUNCTION("""COMPUTED_VALUE"""),33407.0)</f>
        <v>33407</v>
      </c>
      <c r="AF179" s="98"/>
      <c r="AG179" s="208"/>
      <c r="AH179" s="208"/>
      <c r="AI179" s="208"/>
      <c r="AJ179" s="208"/>
      <c r="AK179" s="208"/>
    </row>
    <row r="180" hidden="1">
      <c r="A180" s="216">
        <f>IFERROR(__xludf.DUMMYFUNCTION("""COMPUTED_VALUE"""),46079.0)</f>
        <v>46079</v>
      </c>
      <c r="B180" s="210">
        <f>IFERROR(__xludf.DUMMYFUNCTION("""COMPUTED_VALUE"""),0.7708333333321207)</f>
        <v>0.7708333333</v>
      </c>
      <c r="C180" s="210" t="str">
        <f>IFERROR(__xludf.DUMMYFUNCTION("""COMPUTED_VALUE"""),"Whatsapp")</f>
        <v>Whatsapp</v>
      </c>
      <c r="D180" s="210" t="str">
        <f>IFERROR(__xludf.DUMMYFUNCTION("""COMPUTED_VALUE"""),"Promotional")</f>
        <v>Promotional</v>
      </c>
      <c r="E180" s="211" t="str">
        <f>IFERROR(__xludf.DUMMYFUNCTION("""COMPUTED_VALUE"""),"BBW")</f>
        <v>BBW</v>
      </c>
      <c r="F180" s="211" t="str">
        <f>IFERROR(__xludf.DUMMYFUNCTION("""COMPUTED_VALUE"""),"Body care")</f>
        <v>Body care</v>
      </c>
      <c r="G180" s="211" t="str">
        <f>IFERROR(__xludf.DUMMYFUNCTION("""COMPUTED_VALUE"""),"bbw_26.2_bc999_event_wa")</f>
        <v>bbw_26.2_bc999_event_wa</v>
      </c>
      <c r="H180" s="211" t="str">
        <f>IFERROR(__xludf.DUMMYFUNCTION("""COMPUTED_VALUE"""),"BC_999_EventBuyers_On")</f>
        <v>BC_999_EventBuyers_On</v>
      </c>
      <c r="I180" s="223" t="str">
        <f>IFERROR(__xludf.DUMMYFUNCTION("""COMPUTED_VALUE"""),"Online Customers who are purchasing from 2nd Oct to 5th Oct 2025, Oct 16th to Oct 27th 2025, Jan 9th 2026 to Jan 18th 2026.")</f>
        <v>Online Customers who are purchasing from 2nd Oct to 5th Oct 2025, Oct 16th to Oct 27th 2025, Jan 9th 2026 to Jan 18th 2026.</v>
      </c>
      <c r="J180" s="213">
        <f>IFERROR(__xludf.DUMMYFUNCTION("""COMPUTED_VALUE"""),5646.0)</f>
        <v>5646</v>
      </c>
      <c r="K180" s="213">
        <f>IFERROR(__xludf.DUMMYFUNCTION("""COMPUTED_VALUE"""),1575.0)</f>
        <v>1575</v>
      </c>
      <c r="L180" s="214">
        <f>IFERROR(__xludf.DUMMYFUNCTION("""COMPUTED_VALUE"""),0.279)</f>
        <v>0.279</v>
      </c>
      <c r="M180" s="213">
        <f>IFERROR(__xludf.DUMMYFUNCTION("""COMPUTED_VALUE"""),701.0)</f>
        <v>701</v>
      </c>
      <c r="N180" s="214">
        <f>IFERROR(__xludf.DUMMYFUNCTION("""COMPUTED_VALUE"""),0.4451)</f>
        <v>0.4451</v>
      </c>
      <c r="O180" s="213">
        <f>IFERROR(__xludf.DUMMYFUNCTION("""COMPUTED_VALUE"""),82.0)</f>
        <v>82</v>
      </c>
      <c r="P180" s="213">
        <f>IFERROR(__xludf.DUMMYFUNCTION("""COMPUTED_VALUE"""),71.0)</f>
        <v>71</v>
      </c>
      <c r="Q180" s="214">
        <f>IFERROR(__xludf.DUMMYFUNCTION("""COMPUTED_VALUE"""),0.0451)</f>
        <v>0.0451</v>
      </c>
      <c r="R180" s="214">
        <f>IFERROR(__xludf.DUMMYFUNCTION("""COMPUTED_VALUE"""),0.1013)</f>
        <v>0.1013</v>
      </c>
      <c r="S180" s="101">
        <f>IFERROR(__xludf.DUMMYFUNCTION("""COMPUTED_VALUE"""),2.0)</f>
        <v>2</v>
      </c>
      <c r="T180" s="101">
        <f>IFERROR(__xludf.DUMMYFUNCTION("""COMPUTED_VALUE"""),5.0)</f>
        <v>5</v>
      </c>
      <c r="U180" s="213">
        <f>IFERROR(__xludf.DUMMYFUNCTION("""COMPUTED_VALUE"""),3996.0)</f>
        <v>3996</v>
      </c>
      <c r="V180" s="271" t="str">
        <f>IFERROR(__xludf.DUMMYFUNCTION("""COMPUTED_VALUE"""),"online")</f>
        <v>online</v>
      </c>
      <c r="W180" s="98" t="str">
        <f>IFERROR(__xludf.DUMMYFUNCTION("""COMPUTED_VALUE"""),"simple")</f>
        <v>simple</v>
      </c>
      <c r="X180" s="98" t="str">
        <f>IFERROR(__xludf.DUMMYFUNCTION("""COMPUTED_VALUE"""),"Event Buyers")</f>
        <v>Event Buyers</v>
      </c>
      <c r="Y180" s="98" t="str">
        <f>IFERROR(__xludf.DUMMYFUNCTION("""COMPUTED_VALUE"""),"26-28 Feb")</f>
        <v>26-28 Feb</v>
      </c>
      <c r="Z180" s="98" t="str">
        <f>IFERROR(__xludf.DUMMYFUNCTION("""COMPUTED_VALUE"""),"69a03d9916125dd6cf564e51")</f>
        <v>69a03d9916125dd6cf564e51</v>
      </c>
      <c r="AA180" s="98">
        <f>IFERROR(__xludf.DUMMYFUNCTION("""COMPUTED_VALUE"""),4.0)</f>
        <v>4</v>
      </c>
      <c r="AB180" s="98">
        <f>IFERROR(__xludf.DUMMYFUNCTION("""COMPUTED_VALUE"""),4.0)</f>
        <v>4</v>
      </c>
      <c r="AC180" s="98"/>
      <c r="AD180" s="98">
        <f>IFERROR(__xludf.DUMMYFUNCTION("""COMPUTED_VALUE"""),6993.0)</f>
        <v>6993</v>
      </c>
      <c r="AE180" s="98">
        <f>IFERROR(__xludf.DUMMYFUNCTION("""COMPUTED_VALUE"""),6993.0)</f>
        <v>6993</v>
      </c>
      <c r="AF180" s="98"/>
      <c r="AG180" s="208"/>
      <c r="AH180" s="208"/>
      <c r="AI180" s="208"/>
      <c r="AJ180" s="208"/>
      <c r="AK180" s="208"/>
    </row>
    <row r="181" hidden="1">
      <c r="A181" s="284">
        <f>IFERROR(__xludf.DUMMYFUNCTION("""COMPUTED_VALUE"""),46079.0)</f>
        <v>46079</v>
      </c>
      <c r="B181" s="244">
        <f>IFERROR(__xludf.DUMMYFUNCTION("""COMPUTED_VALUE"""),0.7708333333321207)</f>
        <v>0.7708333333</v>
      </c>
      <c r="C181" s="222" t="str">
        <f>IFERROR(__xludf.DUMMYFUNCTION("""COMPUTED_VALUE"""),"Whatsapp")</f>
        <v>Whatsapp</v>
      </c>
      <c r="D181" s="222" t="str">
        <f>IFERROR(__xludf.DUMMYFUNCTION("""COMPUTED_VALUE"""),"Promotional")</f>
        <v>Promotional</v>
      </c>
      <c r="E181" s="222" t="str">
        <f>IFERROR(__xludf.DUMMYFUNCTION("""COMPUTED_VALUE"""),"BBW")</f>
        <v>BBW</v>
      </c>
      <c r="F181" s="222" t="str">
        <f>IFERROR(__xludf.DUMMYFUNCTION("""COMPUTED_VALUE"""),"Body care")</f>
        <v>Body care</v>
      </c>
      <c r="G181" s="222" t="str">
        <f>IFERROR(__xludf.DUMMYFUNCTION("""COMPUTED_VALUE"""),"bbw_26.2_bc999_loyal_wa")</f>
        <v>bbw_26.2_bc999_loyal_wa</v>
      </c>
      <c r="H181" s="269" t="str">
        <f>IFERROR(__xludf.DUMMYFUNCTION("""COMPUTED_VALUE"""),"Loyal_BodyCare_999_On OR AGIPL_Internal OR BBW_Internal")</f>
        <v>Loyal_BodyCare_999_On OR AGIPL_Internal OR BBW_Internal</v>
      </c>
      <c r="I181" s="223" t="str">
        <f>IFERROR(__xludf.DUMMYFUNCTION("""COMPUTED_VALUE"""),"Online customers at least 3 times purchasing Body Care.")</f>
        <v>Online customers at least 3 times purchasing Body Care.</v>
      </c>
      <c r="J181" s="242">
        <f>IFERROR(__xludf.DUMMYFUNCTION("""COMPUTED_VALUE"""),22071.0)</f>
        <v>22071</v>
      </c>
      <c r="K181" s="242">
        <f>IFERROR(__xludf.DUMMYFUNCTION("""COMPUTED_VALUE"""),5204.0)</f>
        <v>5204</v>
      </c>
      <c r="L181" s="268">
        <f>IFERROR(__xludf.DUMMYFUNCTION("""COMPUTED_VALUE"""),0.2358)</f>
        <v>0.2358</v>
      </c>
      <c r="M181" s="242">
        <f>IFERROR(__xludf.DUMMYFUNCTION("""COMPUTED_VALUE"""),2427.0)</f>
        <v>2427</v>
      </c>
      <c r="N181" s="268">
        <f>IFERROR(__xludf.DUMMYFUNCTION("""COMPUTED_VALUE"""),0.4666)</f>
        <v>0.4666</v>
      </c>
      <c r="O181" s="222">
        <f>IFERROR(__xludf.DUMMYFUNCTION("""COMPUTED_VALUE"""),238.0)</f>
        <v>238</v>
      </c>
      <c r="P181" s="222">
        <f>IFERROR(__xludf.DUMMYFUNCTION("""COMPUTED_VALUE"""),212.0)</f>
        <v>212</v>
      </c>
      <c r="Q181" s="268">
        <f>IFERROR(__xludf.DUMMYFUNCTION("""COMPUTED_VALUE"""),0.0408)</f>
        <v>0.0408</v>
      </c>
      <c r="R181" s="268">
        <f>IFERROR(__xludf.DUMMYFUNCTION("""COMPUTED_VALUE"""),0.0874)</f>
        <v>0.0874</v>
      </c>
      <c r="S181" s="222">
        <f>IFERROR(__xludf.DUMMYFUNCTION("""COMPUTED_VALUE"""),5.0)</f>
        <v>5</v>
      </c>
      <c r="T181" s="222">
        <f>IFERROR(__xludf.DUMMYFUNCTION("""COMPUTED_VALUE"""),26.0)</f>
        <v>26</v>
      </c>
      <c r="U181" s="242">
        <f>IFERROR(__xludf.DUMMYFUNCTION("""COMPUTED_VALUE"""),17482.0)</f>
        <v>17482</v>
      </c>
      <c r="V181" s="221" t="str">
        <f>IFERROR(__xludf.DUMMYFUNCTION("""COMPUTED_VALUE"""),"online")</f>
        <v>online</v>
      </c>
      <c r="W181" s="269" t="str">
        <f>IFERROR(__xludf.DUMMYFUNCTION("""COMPUTED_VALUE"""),"simple")</f>
        <v>simple</v>
      </c>
      <c r="X181" s="269" t="str">
        <f>IFERROR(__xludf.DUMMYFUNCTION("""COMPUTED_VALUE"""),"Loyal")</f>
        <v>Loyal</v>
      </c>
      <c r="Y181" s="269" t="str">
        <f>IFERROR(__xludf.DUMMYFUNCTION("""COMPUTED_VALUE"""),"26-28 Feb")</f>
        <v>26-28 Feb</v>
      </c>
      <c r="Z181" s="269" t="str">
        <f>IFERROR(__xludf.DUMMYFUNCTION("""COMPUTED_VALUE"""),"69a03ddb491efeabd67fb81d")</f>
        <v>69a03ddb491efeabd67fb81d</v>
      </c>
      <c r="AA181" s="243">
        <f>IFERROR(__xludf.DUMMYFUNCTION("""COMPUTED_VALUE"""),56.0)</f>
        <v>56</v>
      </c>
      <c r="AB181" s="243">
        <f>IFERROR(__xludf.DUMMYFUNCTION("""COMPUTED_VALUE"""),56.0)</f>
        <v>56</v>
      </c>
      <c r="AC181" s="243"/>
      <c r="AD181" s="243">
        <f>IFERROR(__xludf.DUMMYFUNCTION("""COMPUTED_VALUE"""),146714.0)</f>
        <v>146714</v>
      </c>
      <c r="AE181" s="243">
        <f>IFERROR(__xludf.DUMMYFUNCTION("""COMPUTED_VALUE"""),146714.0)</f>
        <v>146714</v>
      </c>
      <c r="AF181" s="243"/>
      <c r="AG181" s="208"/>
      <c r="AH181" s="208"/>
      <c r="AI181" s="208"/>
      <c r="AJ181" s="208"/>
      <c r="AK181" s="208"/>
    </row>
    <row r="182" hidden="1">
      <c r="A182" s="284">
        <f>IFERROR(__xludf.DUMMYFUNCTION("""COMPUTED_VALUE"""),46079.0)</f>
        <v>46079</v>
      </c>
      <c r="B182" s="244">
        <f>IFERROR(__xludf.DUMMYFUNCTION("""COMPUTED_VALUE"""),0.7708333333321207)</f>
        <v>0.7708333333</v>
      </c>
      <c r="C182" s="222" t="str">
        <f>IFERROR(__xludf.DUMMYFUNCTION("""COMPUTED_VALUE"""),"Whatsapp")</f>
        <v>Whatsapp</v>
      </c>
      <c r="D182" s="222" t="str">
        <f>IFERROR(__xludf.DUMMYFUNCTION("""COMPUTED_VALUE"""),"Promotional")</f>
        <v>Promotional</v>
      </c>
      <c r="E182" s="222" t="str">
        <f>IFERROR(__xludf.DUMMYFUNCTION("""COMPUTED_VALUE"""),"BBW")</f>
        <v>BBW</v>
      </c>
      <c r="F182" s="222" t="str">
        <f>IFERROR(__xludf.DUMMYFUNCTION("""COMPUTED_VALUE"""),"Body care")</f>
        <v>Body care</v>
      </c>
      <c r="G182" s="222" t="str">
        <f>IFERROR(__xludf.DUMMYFUNCTION("""COMPUTED_VALUE"""),"bbw_26.2_bc999_view_np_wa")</f>
        <v>bbw_26.2_bc999_view_np_wa</v>
      </c>
      <c r="H182" s="269" t="str">
        <f>IFERROR(__xludf.DUMMYFUNCTION("""COMPUTED_VALUE"""),"ViewItem_NoPr_BodyCare_On")</f>
        <v>ViewItem_NoPr_BodyCare_On</v>
      </c>
      <c r="I182" s="223" t="str">
        <f>IFERROR(__xludf.DUMMYFUNCTION("""COMPUTED_VALUE"""),"Online customers who have view Body Care but not purchased in the last 60 days.")</f>
        <v>Online customers who have view Body Care but not purchased in the last 60 days.</v>
      </c>
      <c r="J182" s="242">
        <f>IFERROR(__xludf.DUMMYFUNCTION("""COMPUTED_VALUE"""),910.0)</f>
        <v>910</v>
      </c>
      <c r="K182" s="242">
        <f>IFERROR(__xludf.DUMMYFUNCTION("""COMPUTED_VALUE"""),351.0)</f>
        <v>351</v>
      </c>
      <c r="L182" s="268">
        <f>IFERROR(__xludf.DUMMYFUNCTION("""COMPUTED_VALUE"""),0.3857)</f>
        <v>0.3857</v>
      </c>
      <c r="M182" s="242">
        <f>IFERROR(__xludf.DUMMYFUNCTION("""COMPUTED_VALUE"""),195.0)</f>
        <v>195</v>
      </c>
      <c r="N182" s="268">
        <f>IFERROR(__xludf.DUMMYFUNCTION("""COMPUTED_VALUE"""),0.5556)</f>
        <v>0.5556</v>
      </c>
      <c r="O182" s="222">
        <f>IFERROR(__xludf.DUMMYFUNCTION("""COMPUTED_VALUE"""),40.0)</f>
        <v>40</v>
      </c>
      <c r="P182" s="222">
        <f>IFERROR(__xludf.DUMMYFUNCTION("""COMPUTED_VALUE"""),36.0)</f>
        <v>36</v>
      </c>
      <c r="Q182" s="268">
        <f>IFERROR(__xludf.DUMMYFUNCTION("""COMPUTED_VALUE"""),0.1026)</f>
        <v>0.1026</v>
      </c>
      <c r="R182" s="268">
        <f>IFERROR(__xludf.DUMMYFUNCTION("""COMPUTED_VALUE"""),0.1846)</f>
        <v>0.1846</v>
      </c>
      <c r="S182" s="222">
        <f>IFERROR(__xludf.DUMMYFUNCTION("""COMPUTED_VALUE"""),2.0)</f>
        <v>2</v>
      </c>
      <c r="T182" s="222">
        <f>IFERROR(__xludf.DUMMYFUNCTION("""COMPUTED_VALUE"""),6.0)</f>
        <v>6</v>
      </c>
      <c r="U182" s="242">
        <f>IFERROR(__xludf.DUMMYFUNCTION("""COMPUTED_VALUE"""),2075.0)</f>
        <v>2075</v>
      </c>
      <c r="V182" s="221" t="str">
        <f>IFERROR(__xludf.DUMMYFUNCTION("""COMPUTED_VALUE"""),"online")</f>
        <v>online</v>
      </c>
      <c r="W182" s="269" t="str">
        <f>IFERROR(__xludf.DUMMYFUNCTION("""COMPUTED_VALUE"""),"simple")</f>
        <v>simple</v>
      </c>
      <c r="X182" s="269" t="str">
        <f>IFERROR(__xludf.DUMMYFUNCTION("""COMPUTED_VALUE"""),"View Item but not purchased")</f>
        <v>View Item but not purchased</v>
      </c>
      <c r="Y182" s="269" t="str">
        <f>IFERROR(__xludf.DUMMYFUNCTION("""COMPUTED_VALUE"""),"26-28 Feb")</f>
        <v>26-28 Feb</v>
      </c>
      <c r="Z182" s="269" t="str">
        <f>IFERROR(__xludf.DUMMYFUNCTION("""COMPUTED_VALUE"""),"69a03e30491efeabd67fb82f")</f>
        <v>69a03e30491efeabd67fb82f</v>
      </c>
      <c r="AA182" s="243">
        <f>IFERROR(__xludf.DUMMYFUNCTION("""COMPUTED_VALUE"""),3.0)</f>
        <v>3</v>
      </c>
      <c r="AB182" s="243">
        <f>IFERROR(__xludf.DUMMYFUNCTION("""COMPUTED_VALUE"""),3.0)</f>
        <v>3</v>
      </c>
      <c r="AC182" s="243"/>
      <c r="AD182" s="243">
        <f>IFERROR(__xludf.DUMMYFUNCTION("""COMPUTED_VALUE"""),3775.0)</f>
        <v>3775</v>
      </c>
      <c r="AE182" s="243">
        <f>IFERROR(__xludf.DUMMYFUNCTION("""COMPUTED_VALUE"""),3775.0)</f>
        <v>3775</v>
      </c>
      <c r="AF182" s="243"/>
      <c r="AG182" s="208"/>
      <c r="AH182" s="208"/>
      <c r="AI182" s="208"/>
      <c r="AJ182" s="208"/>
      <c r="AK182" s="208"/>
    </row>
    <row r="183" hidden="1">
      <c r="A183" s="216">
        <f>IFERROR(__xludf.DUMMYFUNCTION("""COMPUTED_VALUE"""),46079.0)</f>
        <v>46079</v>
      </c>
      <c r="B183" s="210">
        <f>IFERROR(__xludf.DUMMYFUNCTION("""COMPUTED_VALUE"""),0.7708333333321207)</f>
        <v>0.7708333333</v>
      </c>
      <c r="C183" s="210" t="str">
        <f>IFERROR(__xludf.DUMMYFUNCTION("""COMPUTED_VALUE"""),"Whatsapp")</f>
        <v>Whatsapp</v>
      </c>
      <c r="D183" s="210" t="str">
        <f>IFERROR(__xludf.DUMMYFUNCTION("""COMPUTED_VALUE"""),"Promotional")</f>
        <v>Promotional</v>
      </c>
      <c r="E183" s="211" t="str">
        <f>IFERROR(__xludf.DUMMYFUNCTION("""COMPUTED_VALUE"""),"BBW")</f>
        <v>BBW</v>
      </c>
      <c r="F183" s="211" t="str">
        <f>IFERROR(__xludf.DUMMYFUNCTION("""COMPUTED_VALUE"""),"Body care")</f>
        <v>Body care</v>
      </c>
      <c r="G183" s="211" t="str">
        <f>IFERROR(__xludf.DUMMYFUNCTION("""COMPUTED_VALUE"""),"bbw_26.2_bc999_atc_np_wa")</f>
        <v>bbw_26.2_bc999_atc_np_wa</v>
      </c>
      <c r="H183" s="211" t="str">
        <f>IFERROR(__xludf.DUMMYFUNCTION("""COMPUTED_VALUE"""),"ATC_NoPr_BodyCare_On")</f>
        <v>ATC_NoPr_BodyCare_On</v>
      </c>
      <c r="I183" s="223" t="str">
        <f>IFERROR(__xludf.DUMMYFUNCTION("""COMPUTED_VALUE"""),"Online customers who have added Body Care to the cart but have not purchased in the last 60 days.")</f>
        <v>Online customers who have added Body Care to the cart but have not purchased in the last 60 days.</v>
      </c>
      <c r="J183" s="213">
        <f>IFERROR(__xludf.DUMMYFUNCTION("""COMPUTED_VALUE"""),3534.0)</f>
        <v>3534</v>
      </c>
      <c r="K183" s="213">
        <f>IFERROR(__xludf.DUMMYFUNCTION("""COMPUTED_VALUE"""),1172.0)</f>
        <v>1172</v>
      </c>
      <c r="L183" s="214">
        <f>IFERROR(__xludf.DUMMYFUNCTION("""COMPUTED_VALUE"""),0.3316)</f>
        <v>0.3316</v>
      </c>
      <c r="M183" s="213">
        <f>IFERROR(__xludf.DUMMYFUNCTION("""COMPUTED_VALUE"""),559.0)</f>
        <v>559</v>
      </c>
      <c r="N183" s="214">
        <f>IFERROR(__xludf.DUMMYFUNCTION("""COMPUTED_VALUE"""),0.4778)</f>
        <v>0.4778</v>
      </c>
      <c r="O183" s="213">
        <f>IFERROR(__xludf.DUMMYFUNCTION("""COMPUTED_VALUE"""),92.0)</f>
        <v>92</v>
      </c>
      <c r="P183" s="213">
        <f>IFERROR(__xludf.DUMMYFUNCTION("""COMPUTED_VALUE"""),83.0)</f>
        <v>83</v>
      </c>
      <c r="Q183" s="214">
        <f>IFERROR(__xludf.DUMMYFUNCTION("""COMPUTED_VALUE"""),0.0709)</f>
        <v>0.0709</v>
      </c>
      <c r="R183" s="214">
        <f>IFERROR(__xludf.DUMMYFUNCTION("""COMPUTED_VALUE"""),0.1485)</f>
        <v>0.1485</v>
      </c>
      <c r="S183" s="101">
        <f>IFERROR(__xludf.DUMMYFUNCTION("""COMPUTED_VALUE"""),12.0)</f>
        <v>12</v>
      </c>
      <c r="T183" s="101">
        <f>IFERROR(__xludf.DUMMYFUNCTION("""COMPUTED_VALUE"""),48.0)</f>
        <v>48</v>
      </c>
      <c r="U183" s="213">
        <f>IFERROR(__xludf.DUMMYFUNCTION("""COMPUTED_VALUE"""),23199.0)</f>
        <v>23199</v>
      </c>
      <c r="V183" s="271" t="str">
        <f>IFERROR(__xludf.DUMMYFUNCTION("""COMPUTED_VALUE"""),"online")</f>
        <v>online</v>
      </c>
      <c r="W183" s="98" t="str">
        <f>IFERROR(__xludf.DUMMYFUNCTION("""COMPUTED_VALUE"""),"simple")</f>
        <v>simple</v>
      </c>
      <c r="X183" s="98" t="str">
        <f>IFERROR(__xludf.DUMMYFUNCTION("""COMPUTED_VALUE"""),"ATC but not purchased")</f>
        <v>ATC but not purchased</v>
      </c>
      <c r="Y183" s="98" t="str">
        <f>IFERROR(__xludf.DUMMYFUNCTION("""COMPUTED_VALUE"""),"26-28 Feb")</f>
        <v>26-28 Feb</v>
      </c>
      <c r="Z183" s="98" t="str">
        <f>IFERROR(__xludf.DUMMYFUNCTION("""COMPUTED_VALUE"""),"69a03e81733fe60ba1fa25fa")</f>
        <v>69a03e81733fe60ba1fa25fa</v>
      </c>
      <c r="AA183" s="98">
        <f>IFERROR(__xludf.DUMMYFUNCTION("""COMPUTED_VALUE"""),22.0)</f>
        <v>22</v>
      </c>
      <c r="AB183" s="98">
        <f>IFERROR(__xludf.DUMMYFUNCTION("""COMPUTED_VALUE"""),22.0)</f>
        <v>22</v>
      </c>
      <c r="AC183" s="98"/>
      <c r="AD183" s="98">
        <f>IFERROR(__xludf.DUMMYFUNCTION("""COMPUTED_VALUE"""),45771.0)</f>
        <v>45771</v>
      </c>
      <c r="AE183" s="98">
        <f>IFERROR(__xludf.DUMMYFUNCTION("""COMPUTED_VALUE"""),45771.0)</f>
        <v>45771</v>
      </c>
      <c r="AF183" s="98"/>
      <c r="AG183" s="208"/>
      <c r="AH183" s="208"/>
      <c r="AI183" s="208"/>
      <c r="AJ183" s="208"/>
      <c r="AK183" s="208"/>
    </row>
    <row r="184" hidden="1">
      <c r="A184" s="216">
        <f>IFERROR(__xludf.DUMMYFUNCTION("""COMPUTED_VALUE"""),46079.0)</f>
        <v>46079</v>
      </c>
      <c r="B184" s="210">
        <f>IFERROR(__xludf.DUMMYFUNCTION("""COMPUTED_VALUE"""),0.8541666666678793)</f>
        <v>0.8541666667</v>
      </c>
      <c r="C184" s="210" t="str">
        <f>IFERROR(__xludf.DUMMYFUNCTION("""COMPUTED_VALUE"""),"Sms")</f>
        <v>Sms</v>
      </c>
      <c r="D184" s="210" t="str">
        <f>IFERROR(__xludf.DUMMYFUNCTION("""COMPUTED_VALUE"""),"Fallback Campaign")</f>
        <v>Fallback Campaign</v>
      </c>
      <c r="E184" s="211" t="str">
        <f>IFERROR(__xludf.DUMMYFUNCTION("""COMPUTED_VALUE"""),"BBW")</f>
        <v>BBW</v>
      </c>
      <c r="F184" s="211" t="str">
        <f>IFERROR(__xludf.DUMMYFUNCTION("""COMPUTED_VALUE"""),"Body care")</f>
        <v>Body care</v>
      </c>
      <c r="G184" s="211" t="str">
        <f>IFERROR(__xludf.DUMMYFUNCTION("""COMPUTED_VALUE"""),"bbw_26.2_bc999_recent_wa_smsfb")</f>
        <v>bbw_26.2_bc999_recent_wa_smsfb</v>
      </c>
      <c r="H184" s="211" t="str">
        <f>IFERROR(__xludf.DUMMYFUNCTION("""COMPUTED_VALUE"""),"Recent_BodyCare_On")</f>
        <v>Recent_BodyCare_On</v>
      </c>
      <c r="I184" s="223" t="str">
        <f>IFERROR(__xludf.DUMMYFUNCTION("""COMPUTED_VALUE"""),"WA Undelivered")</f>
        <v>WA Undelivered</v>
      </c>
      <c r="J184" s="213">
        <f>IFERROR(__xludf.DUMMYFUNCTION("""COMPUTED_VALUE"""),2732.0)</f>
        <v>2732</v>
      </c>
      <c r="K184" s="213">
        <f>IFERROR(__xludf.DUMMYFUNCTION("""COMPUTED_VALUE"""),1672.0)</f>
        <v>1672</v>
      </c>
      <c r="L184" s="214">
        <f>IFERROR(__xludf.DUMMYFUNCTION("""COMPUTED_VALUE"""),0.612)</f>
        <v>0.612</v>
      </c>
      <c r="M184" s="213"/>
      <c r="N184" s="214"/>
      <c r="O184" s="213">
        <f>IFERROR(__xludf.DUMMYFUNCTION("""COMPUTED_VALUE"""),3.0)</f>
        <v>3</v>
      </c>
      <c r="P184" s="213"/>
      <c r="Q184" s="214">
        <f>IFERROR(__xludf.DUMMYFUNCTION("""COMPUTED_VALUE"""),0.0018)</f>
        <v>0.0018</v>
      </c>
      <c r="R184" s="214"/>
      <c r="S184" s="101">
        <f>IFERROR(__xludf.DUMMYFUNCTION("""COMPUTED_VALUE"""),1.0)</f>
        <v>1</v>
      </c>
      <c r="T184" s="101">
        <f>IFERROR(__xludf.DUMMYFUNCTION("""COMPUTED_VALUE"""),3.0)</f>
        <v>3</v>
      </c>
      <c r="U184" s="213">
        <f>IFERROR(__xludf.DUMMYFUNCTION("""COMPUTED_VALUE"""),2498.0)</f>
        <v>2498</v>
      </c>
      <c r="V184" s="271" t="str">
        <f>IFERROR(__xludf.DUMMYFUNCTION("""COMPUTED_VALUE"""),"online")</f>
        <v>online</v>
      </c>
      <c r="W184" s="98" t="str">
        <f>IFERROR(__xludf.DUMMYFUNCTION("""COMPUTED_VALUE"""),"SMS")</f>
        <v>SMS</v>
      </c>
      <c r="X184" s="98" t="str">
        <f>IFERROR(__xludf.DUMMYFUNCTION("""COMPUTED_VALUE"""),"Recent")</f>
        <v>Recent</v>
      </c>
      <c r="Y184" s="98" t="str">
        <f>IFERROR(__xludf.DUMMYFUNCTION("""COMPUTED_VALUE"""),"26th Feb")</f>
        <v>26th Feb</v>
      </c>
      <c r="Z184" s="98" t="str">
        <f>IFERROR(__xludf.DUMMYFUNCTION("""COMPUTED_VALUE"""),"69a0429c60600a1e7055229f")</f>
        <v>69a0429c60600a1e7055229f</v>
      </c>
      <c r="AA184" s="98">
        <f>IFERROR(__xludf.DUMMYFUNCTION("""COMPUTED_VALUE"""),4.0)</f>
        <v>4</v>
      </c>
      <c r="AB184" s="98">
        <f>IFERROR(__xludf.DUMMYFUNCTION("""COMPUTED_VALUE"""),4.0)</f>
        <v>4</v>
      </c>
      <c r="AC184" s="98"/>
      <c r="AD184" s="98">
        <f>IFERROR(__xludf.DUMMYFUNCTION("""COMPUTED_VALUE"""),10490.0)</f>
        <v>10490</v>
      </c>
      <c r="AE184" s="98">
        <f>IFERROR(__xludf.DUMMYFUNCTION("""COMPUTED_VALUE"""),10490.0)</f>
        <v>10490</v>
      </c>
      <c r="AF184" s="98"/>
      <c r="AG184" s="208"/>
      <c r="AH184" s="208"/>
      <c r="AI184" s="208"/>
      <c r="AJ184" s="208"/>
      <c r="AK184" s="208"/>
    </row>
    <row r="185" hidden="1">
      <c r="A185" s="216">
        <f>IFERROR(__xludf.DUMMYFUNCTION("""COMPUTED_VALUE"""),46079.0)</f>
        <v>46079</v>
      </c>
      <c r="B185" s="210">
        <f>IFERROR(__xludf.DUMMYFUNCTION("""COMPUTED_VALUE"""),0.8541666666678793)</f>
        <v>0.8541666667</v>
      </c>
      <c r="C185" s="210" t="str">
        <f>IFERROR(__xludf.DUMMYFUNCTION("""COMPUTED_VALUE"""),"Sms")</f>
        <v>Sms</v>
      </c>
      <c r="D185" s="210" t="str">
        <f>IFERROR(__xludf.DUMMYFUNCTION("""COMPUTED_VALUE"""),"Fallback Campaign")</f>
        <v>Fallback Campaign</v>
      </c>
      <c r="E185" s="211" t="str">
        <f>IFERROR(__xludf.DUMMYFUNCTION("""COMPUTED_VALUE"""),"BBW")</f>
        <v>BBW</v>
      </c>
      <c r="F185" s="211" t="str">
        <f>IFERROR(__xludf.DUMMYFUNCTION("""COMPUTED_VALUE"""),"Body care")</f>
        <v>Body care</v>
      </c>
      <c r="G185" s="211" t="str">
        <f>IFERROR(__xludf.DUMMYFUNCTION("""COMPUTED_VALUE"""),"bbw_26.2_bc999_event_wa_smsfb")</f>
        <v>bbw_26.2_bc999_event_wa_smsfb</v>
      </c>
      <c r="H185" s="211" t="str">
        <f>IFERROR(__xludf.DUMMYFUNCTION("""COMPUTED_VALUE"""),"BC_999_EventBuyers_On")</f>
        <v>BC_999_EventBuyers_On</v>
      </c>
      <c r="I185" s="223" t="str">
        <f>IFERROR(__xludf.DUMMYFUNCTION("""COMPUTED_VALUE"""),"WA Undelivered")</f>
        <v>WA Undelivered</v>
      </c>
      <c r="J185" s="213">
        <f>IFERROR(__xludf.DUMMYFUNCTION("""COMPUTED_VALUE"""),1552.0)</f>
        <v>1552</v>
      </c>
      <c r="K185" s="213">
        <f>IFERROR(__xludf.DUMMYFUNCTION("""COMPUTED_VALUE"""),996.0)</f>
        <v>996</v>
      </c>
      <c r="L185" s="214">
        <f>IFERROR(__xludf.DUMMYFUNCTION("""COMPUTED_VALUE"""),0.6418)</f>
        <v>0.6418</v>
      </c>
      <c r="M185" s="213"/>
      <c r="N185" s="214"/>
      <c r="O185" s="213">
        <f>IFERROR(__xludf.DUMMYFUNCTION("""COMPUTED_VALUE"""),1.0)</f>
        <v>1</v>
      </c>
      <c r="P185" s="213"/>
      <c r="Q185" s="214">
        <f>IFERROR(__xludf.DUMMYFUNCTION("""COMPUTED_VALUE"""),0.001)</f>
        <v>0.001</v>
      </c>
      <c r="R185" s="214"/>
      <c r="S185" s="101">
        <f>IFERROR(__xludf.DUMMYFUNCTION("""COMPUTED_VALUE"""),0.0)</f>
        <v>0</v>
      </c>
      <c r="T185" s="101">
        <f>IFERROR(__xludf.DUMMYFUNCTION("""COMPUTED_VALUE"""),2.0)</f>
        <v>2</v>
      </c>
      <c r="U185" s="213">
        <f>IFERROR(__xludf.DUMMYFUNCTION("""COMPUTED_VALUE"""),0.0)</f>
        <v>0</v>
      </c>
      <c r="V185" s="271" t="str">
        <f>IFERROR(__xludf.DUMMYFUNCTION("""COMPUTED_VALUE"""),"online")</f>
        <v>online</v>
      </c>
      <c r="W185" s="98" t="str">
        <f>IFERROR(__xludf.DUMMYFUNCTION("""COMPUTED_VALUE"""),"SMS")</f>
        <v>SMS</v>
      </c>
      <c r="X185" s="98" t="str">
        <f>IFERROR(__xludf.DUMMYFUNCTION("""COMPUTED_VALUE"""),"Event Buyers")</f>
        <v>Event Buyers</v>
      </c>
      <c r="Y185" s="98" t="str">
        <f>IFERROR(__xludf.DUMMYFUNCTION("""COMPUTED_VALUE"""),"26th Feb")</f>
        <v>26th Feb</v>
      </c>
      <c r="Z185" s="98" t="str">
        <f>IFERROR(__xludf.DUMMYFUNCTION("""COMPUTED_VALUE"""),"69a042ad717ea4faa79df696")</f>
        <v>69a042ad717ea4faa79df696</v>
      </c>
      <c r="AA185" s="98">
        <f>IFERROR(__xludf.DUMMYFUNCTION("""COMPUTED_VALUE"""),1.0)</f>
        <v>1</v>
      </c>
      <c r="AB185" s="98">
        <f>IFERROR(__xludf.DUMMYFUNCTION("""COMPUTED_VALUE"""),1.0)</f>
        <v>1</v>
      </c>
      <c r="AC185" s="98"/>
      <c r="AD185" s="98">
        <f>IFERROR(__xludf.DUMMYFUNCTION("""COMPUTED_VALUE"""),999.0)</f>
        <v>999</v>
      </c>
      <c r="AE185" s="98">
        <f>IFERROR(__xludf.DUMMYFUNCTION("""COMPUTED_VALUE"""),999.0)</f>
        <v>999</v>
      </c>
      <c r="AF185" s="98"/>
      <c r="AG185" s="208"/>
      <c r="AH185" s="208"/>
      <c r="AI185" s="208"/>
      <c r="AJ185" s="208"/>
      <c r="AK185" s="208"/>
    </row>
    <row r="186" hidden="1">
      <c r="A186" s="216">
        <f>IFERROR(__xludf.DUMMYFUNCTION("""COMPUTED_VALUE"""),46079.0)</f>
        <v>46079</v>
      </c>
      <c r="B186" s="210">
        <f>IFERROR(__xludf.DUMMYFUNCTION("""COMPUTED_VALUE"""),0.8541666666678793)</f>
        <v>0.8541666667</v>
      </c>
      <c r="C186" s="210" t="str">
        <f>IFERROR(__xludf.DUMMYFUNCTION("""COMPUTED_VALUE"""),"Sms")</f>
        <v>Sms</v>
      </c>
      <c r="D186" s="210" t="str">
        <f>IFERROR(__xludf.DUMMYFUNCTION("""COMPUTED_VALUE"""),"Fallback Campaign")</f>
        <v>Fallback Campaign</v>
      </c>
      <c r="E186" s="211" t="str">
        <f>IFERROR(__xludf.DUMMYFUNCTION("""COMPUTED_VALUE"""),"BBW")</f>
        <v>BBW</v>
      </c>
      <c r="F186" s="211" t="str">
        <f>IFERROR(__xludf.DUMMYFUNCTION("""COMPUTED_VALUE"""),"Body care")</f>
        <v>Body care</v>
      </c>
      <c r="G186" s="211" t="str">
        <f>IFERROR(__xludf.DUMMYFUNCTION("""COMPUTED_VALUE"""),"bbw_26.2_bc999_rep_disc_rcs_smsfb")</f>
        <v>bbw_26.2_bc999_rep_disc_rcs_smsfb</v>
      </c>
      <c r="H186" s="211" t="str">
        <f>IFERROR(__xludf.DUMMYFUNCTION("""COMPUTED_VALUE"""),"Repeat_DiscountSeeker_BodyCare_On")</f>
        <v>Repeat_DiscountSeeker_BodyCare_On</v>
      </c>
      <c r="I186" s="223" t="str">
        <f>IFERROR(__xludf.DUMMYFUNCTION("""COMPUTED_VALUE"""),"RCS Delivery Failed")</f>
        <v>RCS Delivery Failed</v>
      </c>
      <c r="J186" s="213">
        <f>IFERROR(__xludf.DUMMYFUNCTION("""COMPUTED_VALUE"""),22855.0)</f>
        <v>22855</v>
      </c>
      <c r="K186" s="213">
        <f>IFERROR(__xludf.DUMMYFUNCTION("""COMPUTED_VALUE"""),12513.0)</f>
        <v>12513</v>
      </c>
      <c r="L186" s="214">
        <f>IFERROR(__xludf.DUMMYFUNCTION("""COMPUTED_VALUE"""),0.5475)</f>
        <v>0.5475</v>
      </c>
      <c r="M186" s="213"/>
      <c r="N186" s="214"/>
      <c r="O186" s="213">
        <f>IFERROR(__xludf.DUMMYFUNCTION("""COMPUTED_VALUE"""),26.0)</f>
        <v>26</v>
      </c>
      <c r="P186" s="213"/>
      <c r="Q186" s="214">
        <f>IFERROR(__xludf.DUMMYFUNCTION("""COMPUTED_VALUE"""),0.0021)</f>
        <v>0.0021</v>
      </c>
      <c r="R186" s="214"/>
      <c r="S186" s="101">
        <f>IFERROR(__xludf.DUMMYFUNCTION("""COMPUTED_VALUE"""),5.0)</f>
        <v>5</v>
      </c>
      <c r="T186" s="101">
        <f>IFERROR(__xludf.DUMMYFUNCTION("""COMPUTED_VALUE"""),3.0)</f>
        <v>3</v>
      </c>
      <c r="U186" s="213">
        <f>IFERROR(__xludf.DUMMYFUNCTION("""COMPUTED_VALUE"""),9361.0)</f>
        <v>9361</v>
      </c>
      <c r="V186" s="271" t="str">
        <f>IFERROR(__xludf.DUMMYFUNCTION("""COMPUTED_VALUE"""),"online")</f>
        <v>online</v>
      </c>
      <c r="W186" s="98" t="str">
        <f>IFERROR(__xludf.DUMMYFUNCTION("""COMPUTED_VALUE"""),"RCS")</f>
        <v>RCS</v>
      </c>
      <c r="X186" s="98" t="str">
        <f>IFERROR(__xludf.DUMMYFUNCTION("""COMPUTED_VALUE"""),"Repeat")</f>
        <v>Repeat</v>
      </c>
      <c r="Y186" s="98" t="str">
        <f>IFERROR(__xludf.DUMMYFUNCTION("""COMPUTED_VALUE"""),"26th Feb")</f>
        <v>26th Feb</v>
      </c>
      <c r="Z186" s="98" t="str">
        <f>IFERROR(__xludf.DUMMYFUNCTION("""COMPUTED_VALUE"""),"69a042babca3955be0143fb3")</f>
        <v>69a042babca3955be0143fb3</v>
      </c>
      <c r="AA186" s="98">
        <f>IFERROR(__xludf.DUMMYFUNCTION("""COMPUTED_VALUE"""),16.0)</f>
        <v>16</v>
      </c>
      <c r="AB186" s="98">
        <f>IFERROR(__xludf.DUMMYFUNCTION("""COMPUTED_VALUE"""),16.0)</f>
        <v>16</v>
      </c>
      <c r="AC186" s="98"/>
      <c r="AD186" s="98">
        <f>IFERROR(__xludf.DUMMYFUNCTION("""COMPUTED_VALUE"""),31540.0)</f>
        <v>31540</v>
      </c>
      <c r="AE186" s="98">
        <f>IFERROR(__xludf.DUMMYFUNCTION("""COMPUTED_VALUE"""),31540.0)</f>
        <v>31540</v>
      </c>
      <c r="AF186" s="98"/>
      <c r="AG186" s="208"/>
      <c r="AH186" s="208"/>
      <c r="AI186" s="208"/>
      <c r="AJ186" s="208"/>
      <c r="AK186" s="208"/>
    </row>
    <row r="187" hidden="1">
      <c r="A187" s="284">
        <f>IFERROR(__xludf.DUMMYFUNCTION("""COMPUTED_VALUE"""),46079.0)</f>
        <v>46079</v>
      </c>
      <c r="B187" s="244">
        <f>IFERROR(__xludf.DUMMYFUNCTION("""COMPUTED_VALUE"""),0.8541666666678793)</f>
        <v>0.8541666667</v>
      </c>
      <c r="C187" s="222" t="str">
        <f>IFERROR(__xludf.DUMMYFUNCTION("""COMPUTED_VALUE"""),"Sms")</f>
        <v>Sms</v>
      </c>
      <c r="D187" s="222" t="str">
        <f>IFERROR(__xludf.DUMMYFUNCTION("""COMPUTED_VALUE"""),"Fallback Campaign")</f>
        <v>Fallback Campaign</v>
      </c>
      <c r="E187" s="222" t="str">
        <f>IFERROR(__xludf.DUMMYFUNCTION("""COMPUTED_VALUE"""),"BBW")</f>
        <v>BBW</v>
      </c>
      <c r="F187" s="222" t="str">
        <f>IFERROR(__xludf.DUMMYFUNCTION("""COMPUTED_VALUE"""),"Body care")</f>
        <v>Body care</v>
      </c>
      <c r="G187" s="222" t="str">
        <f>IFERROR(__xludf.DUMMYFUNCTION("""COMPUTED_VALUE"""),"bbw_26.2_bc999_loyal_wa_smsfb")</f>
        <v>bbw_26.2_bc999_loyal_wa_smsfb</v>
      </c>
      <c r="H187" s="269" t="str">
        <f>IFERROR(__xludf.DUMMYFUNCTION("""COMPUTED_VALUE"""),"Loyal_BodyCare_999_On OR AGIPL_Internal OR BBW_Internal")</f>
        <v>Loyal_BodyCare_999_On OR AGIPL_Internal OR BBW_Internal</v>
      </c>
      <c r="I187" s="223" t="str">
        <f>IFERROR(__xludf.DUMMYFUNCTION("""COMPUTED_VALUE"""),"WA Undelivered")</f>
        <v>WA Undelivered</v>
      </c>
      <c r="J187" s="242">
        <f>IFERROR(__xludf.DUMMYFUNCTION("""COMPUTED_VALUE"""),5152.0)</f>
        <v>5152</v>
      </c>
      <c r="K187" s="242">
        <f>IFERROR(__xludf.DUMMYFUNCTION("""COMPUTED_VALUE"""),2730.0)</f>
        <v>2730</v>
      </c>
      <c r="L187" s="268">
        <f>IFERROR(__xludf.DUMMYFUNCTION("""COMPUTED_VALUE"""),0.5299)</f>
        <v>0.5299</v>
      </c>
      <c r="M187" s="242"/>
      <c r="N187" s="268"/>
      <c r="O187" s="222">
        <f>IFERROR(__xludf.DUMMYFUNCTION("""COMPUTED_VALUE"""),11.0)</f>
        <v>11</v>
      </c>
      <c r="P187" s="222"/>
      <c r="Q187" s="268">
        <f>IFERROR(__xludf.DUMMYFUNCTION("""COMPUTED_VALUE"""),0.004)</f>
        <v>0.004</v>
      </c>
      <c r="R187" s="268"/>
      <c r="S187" s="222">
        <f>IFERROR(__xludf.DUMMYFUNCTION("""COMPUTED_VALUE"""),1.0)</f>
        <v>1</v>
      </c>
      <c r="T187" s="222">
        <f>IFERROR(__xludf.DUMMYFUNCTION("""COMPUTED_VALUE"""),7.0)</f>
        <v>7</v>
      </c>
      <c r="U187" s="242">
        <f>IFERROR(__xludf.DUMMYFUNCTION("""COMPUTED_VALUE"""),2697.0)</f>
        <v>2697</v>
      </c>
      <c r="V187" s="221" t="str">
        <f>IFERROR(__xludf.DUMMYFUNCTION("""COMPUTED_VALUE"""),"online")</f>
        <v>online</v>
      </c>
      <c r="W187" s="269" t="str">
        <f>IFERROR(__xludf.DUMMYFUNCTION("""COMPUTED_VALUE"""),"SMS")</f>
        <v>SMS</v>
      </c>
      <c r="X187" s="269" t="str">
        <f>IFERROR(__xludf.DUMMYFUNCTION("""COMPUTED_VALUE"""),"Loyal")</f>
        <v>Loyal</v>
      </c>
      <c r="Y187" s="269" t="str">
        <f>IFERROR(__xludf.DUMMYFUNCTION("""COMPUTED_VALUE"""),"26th Feb")</f>
        <v>26th Feb</v>
      </c>
      <c r="Z187" s="269" t="str">
        <f>IFERROR(__xludf.DUMMYFUNCTION("""COMPUTED_VALUE"""),"69a042c5e97aaa509dc074c3")</f>
        <v>69a042c5e97aaa509dc074c3</v>
      </c>
      <c r="AA187" s="243">
        <f>IFERROR(__xludf.DUMMYFUNCTION("""COMPUTED_VALUE"""),18.0)</f>
        <v>18</v>
      </c>
      <c r="AB187" s="243">
        <f>IFERROR(__xludf.DUMMYFUNCTION("""COMPUTED_VALUE"""),18.0)</f>
        <v>18</v>
      </c>
      <c r="AC187" s="243"/>
      <c r="AD187" s="243">
        <f>IFERROR(__xludf.DUMMYFUNCTION("""COMPUTED_VALUE"""),57738.0)</f>
        <v>57738</v>
      </c>
      <c r="AE187" s="243">
        <f>IFERROR(__xludf.DUMMYFUNCTION("""COMPUTED_VALUE"""),57738.0)</f>
        <v>57738</v>
      </c>
      <c r="AF187" s="243"/>
      <c r="AG187" s="208"/>
      <c r="AH187" s="208"/>
      <c r="AI187" s="208"/>
      <c r="AJ187" s="208"/>
      <c r="AK187" s="208"/>
    </row>
    <row r="188" hidden="1">
      <c r="A188" s="284">
        <f>IFERROR(__xludf.DUMMYFUNCTION("""COMPUTED_VALUE"""),46079.0)</f>
        <v>46079</v>
      </c>
      <c r="B188" s="244">
        <f>IFERROR(__xludf.DUMMYFUNCTION("""COMPUTED_VALUE"""),0.8541666666678793)</f>
        <v>0.8541666667</v>
      </c>
      <c r="C188" s="222" t="str">
        <f>IFERROR(__xludf.DUMMYFUNCTION("""COMPUTED_VALUE"""),"Sms")</f>
        <v>Sms</v>
      </c>
      <c r="D188" s="222" t="str">
        <f>IFERROR(__xludf.DUMMYFUNCTION("""COMPUTED_VALUE"""),"Fallback Campaign")</f>
        <v>Fallback Campaign</v>
      </c>
      <c r="E188" s="222" t="str">
        <f>IFERROR(__xludf.DUMMYFUNCTION("""COMPUTED_VALUE"""),"BBW")</f>
        <v>BBW</v>
      </c>
      <c r="F188" s="222" t="str">
        <f>IFERROR(__xludf.DUMMYFUNCTION("""COMPUTED_VALUE"""),"Body care")</f>
        <v>Body care</v>
      </c>
      <c r="G188" s="222" t="str">
        <f>IFERROR(__xludf.DUMMYFUNCTION("""COMPUTED_VALUE"""),"bbw_26.2_bc999_aov_lt1k_rcs_smsfb")</f>
        <v>bbw_26.2_bc999_aov_lt1k_rcs_smsfb</v>
      </c>
      <c r="H188" s="269" t="str">
        <f>IFERROR(__xludf.DUMMYFUNCTION("""COMPUTED_VALUE"""),"BodyCare_AOV_LT1000_Oni")</f>
        <v>BodyCare_AOV_LT1000_Oni</v>
      </c>
      <c r="I188" s="223" t="str">
        <f>IFERROR(__xludf.DUMMYFUNCTION("""COMPUTED_VALUE"""),"RCS Delivery Failed")</f>
        <v>RCS Delivery Failed</v>
      </c>
      <c r="J188" s="242">
        <f>IFERROR(__xludf.DUMMYFUNCTION("""COMPUTED_VALUE"""),27484.0)</f>
        <v>27484</v>
      </c>
      <c r="K188" s="242">
        <f>IFERROR(__xludf.DUMMYFUNCTION("""COMPUTED_VALUE"""),17797.0)</f>
        <v>17797</v>
      </c>
      <c r="L188" s="268">
        <f>IFERROR(__xludf.DUMMYFUNCTION("""COMPUTED_VALUE"""),0.6475)</f>
        <v>0.6475</v>
      </c>
      <c r="M188" s="242"/>
      <c r="N188" s="268"/>
      <c r="O188" s="222">
        <f>IFERROR(__xludf.DUMMYFUNCTION("""COMPUTED_VALUE"""),35.0)</f>
        <v>35</v>
      </c>
      <c r="P188" s="222"/>
      <c r="Q188" s="268">
        <f>IFERROR(__xludf.DUMMYFUNCTION("""COMPUTED_VALUE"""),0.002)</f>
        <v>0.002</v>
      </c>
      <c r="R188" s="268"/>
      <c r="S188" s="222">
        <f>IFERROR(__xludf.DUMMYFUNCTION("""COMPUTED_VALUE"""),3.0)</f>
        <v>3</v>
      </c>
      <c r="T188" s="222">
        <f>IFERROR(__xludf.DUMMYFUNCTION("""COMPUTED_VALUE"""),4.0)</f>
        <v>4</v>
      </c>
      <c r="U188" s="242">
        <f>IFERROR(__xludf.DUMMYFUNCTION("""COMPUTED_VALUE"""),7395.0)</f>
        <v>7395</v>
      </c>
      <c r="V188" s="221" t="str">
        <f>IFERROR(__xludf.DUMMYFUNCTION("""COMPUTED_VALUE"""),"online")</f>
        <v>online</v>
      </c>
      <c r="W188" s="269" t="str">
        <f>IFERROR(__xludf.DUMMYFUNCTION("""COMPUTED_VALUE"""),"SMS")</f>
        <v>SMS</v>
      </c>
      <c r="X188" s="269" t="str">
        <f>IFERROR(__xludf.DUMMYFUNCTION("""COMPUTED_VALUE"""),"AOV less than 1000")</f>
        <v>AOV less than 1000</v>
      </c>
      <c r="Y188" s="269" t="str">
        <f>IFERROR(__xludf.DUMMYFUNCTION("""COMPUTED_VALUE"""),"26th Feb")</f>
        <v>26th Feb</v>
      </c>
      <c r="Z188" s="269" t="str">
        <f>IFERROR(__xludf.DUMMYFUNCTION("""COMPUTED_VALUE"""),"69a042d96af01c9dbcf723ed")</f>
        <v>69a042d96af01c9dbcf723ed</v>
      </c>
      <c r="AA188" s="243">
        <f>IFERROR(__xludf.DUMMYFUNCTION("""COMPUTED_VALUE"""),19.0)</f>
        <v>19</v>
      </c>
      <c r="AB188" s="243">
        <f>IFERROR(__xludf.DUMMYFUNCTION("""COMPUTED_VALUE"""),19.0)</f>
        <v>19</v>
      </c>
      <c r="AC188" s="243"/>
      <c r="AD188" s="243">
        <f>IFERROR(__xludf.DUMMYFUNCTION("""COMPUTED_VALUE"""),36999.0)</f>
        <v>36999</v>
      </c>
      <c r="AE188" s="243">
        <f>IFERROR(__xludf.DUMMYFUNCTION("""COMPUTED_VALUE"""),36999.0)</f>
        <v>36999</v>
      </c>
      <c r="AF188" s="243"/>
      <c r="AG188" s="208"/>
      <c r="AH188" s="208"/>
      <c r="AI188" s="208"/>
      <c r="AJ188" s="208"/>
      <c r="AK188" s="208"/>
    </row>
    <row r="189" hidden="1">
      <c r="A189" s="216">
        <f>IFERROR(__xludf.DUMMYFUNCTION("""COMPUTED_VALUE"""),46079.0)</f>
        <v>46079</v>
      </c>
      <c r="B189" s="210">
        <f>IFERROR(__xludf.DUMMYFUNCTION("""COMPUTED_VALUE"""),0.8541666666678793)</f>
        <v>0.8541666667</v>
      </c>
      <c r="C189" s="210" t="str">
        <f>IFERROR(__xludf.DUMMYFUNCTION("""COMPUTED_VALUE"""),"Sms")</f>
        <v>Sms</v>
      </c>
      <c r="D189" s="210" t="str">
        <f>IFERROR(__xludf.DUMMYFUNCTION("""COMPUTED_VALUE"""),"Fallback Campaign")</f>
        <v>Fallback Campaign</v>
      </c>
      <c r="E189" s="211" t="str">
        <f>IFERROR(__xludf.DUMMYFUNCTION("""COMPUTED_VALUE"""),"BBW")</f>
        <v>BBW</v>
      </c>
      <c r="F189" s="211" t="str">
        <f>IFERROR(__xludf.DUMMYFUNCTION("""COMPUTED_VALUE"""),"Body care")</f>
        <v>Body care</v>
      </c>
      <c r="G189" s="211" t="str">
        <f>IFERROR(__xludf.DUMMYFUNCTION("""COMPUTED_VALUE"""),"bbw_26.2_bc999_view_np_wa_smsfb")</f>
        <v>bbw_26.2_bc999_view_np_wa_smsfb</v>
      </c>
      <c r="H189" s="211" t="str">
        <f>IFERROR(__xludf.DUMMYFUNCTION("""COMPUTED_VALUE"""),"ViewItem_NoPr_BodyCare_On")</f>
        <v>ViewItem_NoPr_BodyCare_On</v>
      </c>
      <c r="I189" s="223" t="str">
        <f>IFERROR(__xludf.DUMMYFUNCTION("""COMPUTED_VALUE"""),"WA Undelivered")</f>
        <v>WA Undelivered</v>
      </c>
      <c r="J189" s="213">
        <f>IFERROR(__xludf.DUMMYFUNCTION("""COMPUTED_VALUE"""),343.0)</f>
        <v>343</v>
      </c>
      <c r="K189" s="213">
        <f>IFERROR(__xludf.DUMMYFUNCTION("""COMPUTED_VALUE"""),263.0)</f>
        <v>263</v>
      </c>
      <c r="L189" s="214">
        <f>IFERROR(__xludf.DUMMYFUNCTION("""COMPUTED_VALUE"""),0.7668)</f>
        <v>0.7668</v>
      </c>
      <c r="M189" s="213"/>
      <c r="N189" s="214"/>
      <c r="O189" s="213">
        <f>IFERROR(__xludf.DUMMYFUNCTION("""COMPUTED_VALUE"""),1.0)</f>
        <v>1</v>
      </c>
      <c r="P189" s="213"/>
      <c r="Q189" s="214">
        <f>IFERROR(__xludf.DUMMYFUNCTION("""COMPUTED_VALUE"""),0.0038)</f>
        <v>0.0038</v>
      </c>
      <c r="R189" s="214"/>
      <c r="S189" s="101">
        <f>IFERROR(__xludf.DUMMYFUNCTION("""COMPUTED_VALUE"""),1.0)</f>
        <v>1</v>
      </c>
      <c r="T189" s="101">
        <f>IFERROR(__xludf.DUMMYFUNCTION("""COMPUTED_VALUE"""),2.0)</f>
        <v>2</v>
      </c>
      <c r="U189" s="213">
        <f>IFERROR(__xludf.DUMMYFUNCTION("""COMPUTED_VALUE"""),948.0)</f>
        <v>948</v>
      </c>
      <c r="V189" s="271" t="str">
        <f>IFERROR(__xludf.DUMMYFUNCTION("""COMPUTED_VALUE"""),"online")</f>
        <v>online</v>
      </c>
      <c r="W189" s="98" t="str">
        <f>IFERROR(__xludf.DUMMYFUNCTION("""COMPUTED_VALUE"""),"SMS")</f>
        <v>SMS</v>
      </c>
      <c r="X189" s="98" t="str">
        <f>IFERROR(__xludf.DUMMYFUNCTION("""COMPUTED_VALUE"""),"View Item but not purchased")</f>
        <v>View Item but not purchased</v>
      </c>
      <c r="Y189" s="98" t="str">
        <f>IFERROR(__xludf.DUMMYFUNCTION("""COMPUTED_VALUE"""),"26th Feb")</f>
        <v>26th Feb</v>
      </c>
      <c r="Z189" s="98" t="str">
        <f>IFERROR(__xludf.DUMMYFUNCTION("""COMPUTED_VALUE"""),"69a042e87f31ef599a4cd709")</f>
        <v>69a042e87f31ef599a4cd709</v>
      </c>
      <c r="AA189" s="98">
        <f>IFERROR(__xludf.DUMMYFUNCTION("""COMPUTED_VALUE"""),2.0)</f>
        <v>2</v>
      </c>
      <c r="AB189" s="98">
        <f>IFERROR(__xludf.DUMMYFUNCTION("""COMPUTED_VALUE"""),2.0)</f>
        <v>2</v>
      </c>
      <c r="AC189" s="98"/>
      <c r="AD189" s="98">
        <f>IFERROR(__xludf.DUMMYFUNCTION("""COMPUTED_VALUE"""),1798.0)</f>
        <v>1798</v>
      </c>
      <c r="AE189" s="98">
        <f>IFERROR(__xludf.DUMMYFUNCTION("""COMPUTED_VALUE"""),1798.0)</f>
        <v>1798</v>
      </c>
      <c r="AF189" s="98"/>
      <c r="AG189" s="208"/>
      <c r="AH189" s="208"/>
      <c r="AI189" s="208"/>
      <c r="AJ189" s="208"/>
      <c r="AK189" s="208"/>
    </row>
    <row r="190" hidden="1">
      <c r="A190" s="284">
        <f>IFERROR(__xludf.DUMMYFUNCTION("""COMPUTED_VALUE"""),46079.0)</f>
        <v>46079</v>
      </c>
      <c r="B190" s="244">
        <f>IFERROR(__xludf.DUMMYFUNCTION("""COMPUTED_VALUE"""),0.8541666666678793)</f>
        <v>0.8541666667</v>
      </c>
      <c r="C190" s="222" t="str">
        <f>IFERROR(__xludf.DUMMYFUNCTION("""COMPUTED_VALUE"""),"Sms")</f>
        <v>Sms</v>
      </c>
      <c r="D190" s="222" t="str">
        <f>IFERROR(__xludf.DUMMYFUNCTION("""COMPUTED_VALUE"""),"Fallback Campaign")</f>
        <v>Fallback Campaign</v>
      </c>
      <c r="E190" s="222" t="str">
        <f>IFERROR(__xludf.DUMMYFUNCTION("""COMPUTED_VALUE"""),"BBW")</f>
        <v>BBW</v>
      </c>
      <c r="F190" s="222" t="str">
        <f>IFERROR(__xludf.DUMMYFUNCTION("""COMPUTED_VALUE"""),"Body care")</f>
        <v>Body care</v>
      </c>
      <c r="G190" s="222" t="str">
        <f>IFERROR(__xludf.DUMMYFUNCTION("""COMPUTED_VALUE"""),"bbw_26.2_bc999_atc_np_wa_smsfb")</f>
        <v>bbw_26.2_bc999_atc_np_wa_smsfb</v>
      </c>
      <c r="H190" s="269" t="str">
        <f>IFERROR(__xludf.DUMMYFUNCTION("""COMPUTED_VALUE"""),"ATC_NoPr_BodyCare_On")</f>
        <v>ATC_NoPr_BodyCare_On</v>
      </c>
      <c r="I190" s="223" t="str">
        <f>IFERROR(__xludf.DUMMYFUNCTION("""COMPUTED_VALUE"""),"WA Undelivered")</f>
        <v>WA Undelivered</v>
      </c>
      <c r="J190" s="242">
        <f>IFERROR(__xludf.DUMMYFUNCTION("""COMPUTED_VALUE"""),2351.0)</f>
        <v>2351</v>
      </c>
      <c r="K190" s="242">
        <f>IFERROR(__xludf.DUMMYFUNCTION("""COMPUTED_VALUE"""),1654.0)</f>
        <v>1654</v>
      </c>
      <c r="L190" s="268">
        <f>IFERROR(__xludf.DUMMYFUNCTION("""COMPUTED_VALUE"""),0.7035)</f>
        <v>0.7035</v>
      </c>
      <c r="M190" s="242"/>
      <c r="N190" s="268"/>
      <c r="O190" s="222">
        <f>IFERROR(__xludf.DUMMYFUNCTION("""COMPUTED_VALUE"""),7.0)</f>
        <v>7</v>
      </c>
      <c r="P190" s="222"/>
      <c r="Q190" s="268">
        <f>IFERROR(__xludf.DUMMYFUNCTION("""COMPUTED_VALUE"""),0.0042)</f>
        <v>0.0042</v>
      </c>
      <c r="R190" s="268"/>
      <c r="S190" s="222">
        <f>IFERROR(__xludf.DUMMYFUNCTION("""COMPUTED_VALUE"""),7.0)</f>
        <v>7</v>
      </c>
      <c r="T190" s="222">
        <f>IFERROR(__xludf.DUMMYFUNCTION("""COMPUTED_VALUE"""),32.0)</f>
        <v>32</v>
      </c>
      <c r="U190" s="242">
        <f>IFERROR(__xludf.DUMMYFUNCTION("""COMPUTED_VALUE"""),9835.0)</f>
        <v>9835</v>
      </c>
      <c r="V190" s="221" t="str">
        <f>IFERROR(__xludf.DUMMYFUNCTION("""COMPUTED_VALUE"""),"online")</f>
        <v>online</v>
      </c>
      <c r="W190" s="269"/>
      <c r="X190" s="269" t="str">
        <f>IFERROR(__xludf.DUMMYFUNCTION("""COMPUTED_VALUE"""),"ATC but not purchased")</f>
        <v>ATC but not purchased</v>
      </c>
      <c r="Y190" s="269" t="str">
        <f>IFERROR(__xludf.DUMMYFUNCTION("""COMPUTED_VALUE"""),"26th Feb")</f>
        <v>26th Feb</v>
      </c>
      <c r="Z190" s="269" t="str">
        <f>IFERROR(__xludf.DUMMYFUNCTION("""COMPUTED_VALUE"""),"69a04301e97aaa509dc074ca")</f>
        <v>69a04301e97aaa509dc074ca</v>
      </c>
      <c r="AA190" s="243">
        <f>IFERROR(__xludf.DUMMYFUNCTION("""COMPUTED_VALUE"""),25.0)</f>
        <v>25</v>
      </c>
      <c r="AB190" s="243">
        <f>IFERROR(__xludf.DUMMYFUNCTION("""COMPUTED_VALUE"""),25.0)</f>
        <v>25</v>
      </c>
      <c r="AC190" s="243"/>
      <c r="AD190" s="243">
        <f>IFERROR(__xludf.DUMMYFUNCTION("""COMPUTED_VALUE"""),41249.0)</f>
        <v>41249</v>
      </c>
      <c r="AE190" s="243">
        <f>IFERROR(__xludf.DUMMYFUNCTION("""COMPUTED_VALUE"""),41249.0)</f>
        <v>41249</v>
      </c>
      <c r="AF190" s="243"/>
      <c r="AG190" s="208"/>
      <c r="AH190" s="208"/>
      <c r="AI190" s="208"/>
      <c r="AJ190" s="208"/>
      <c r="AK190" s="208"/>
    </row>
    <row r="191" hidden="1">
      <c r="A191" s="216">
        <f>IFERROR(__xludf.DUMMYFUNCTION("""COMPUTED_VALUE"""),46079.0)</f>
        <v>46079</v>
      </c>
      <c r="B191" s="210">
        <f>IFERROR(__xludf.DUMMYFUNCTION("""COMPUTED_VALUE"""),0.7708333333321207)</f>
        <v>0.7708333333</v>
      </c>
      <c r="C191" s="210" t="str">
        <f>IFERROR(__xludf.DUMMYFUNCTION("""COMPUTED_VALUE"""),"Rcs")</f>
        <v>Rcs</v>
      </c>
      <c r="D191" s="210" t="str">
        <f>IFERROR(__xludf.DUMMYFUNCTION("""COMPUTED_VALUE"""),"Promotional")</f>
        <v>Promotional</v>
      </c>
      <c r="E191" s="211" t="str">
        <f>IFERROR(__xludf.DUMMYFUNCTION("""COMPUTED_VALUE"""),"BBW")</f>
        <v>BBW</v>
      </c>
      <c r="F191" s="211" t="str">
        <f>IFERROR(__xludf.DUMMYFUNCTION("""COMPUTED_VALUE"""),"Body care")</f>
        <v>Body care</v>
      </c>
      <c r="G191" s="211" t="str">
        <f>IFERROR(__xludf.DUMMYFUNCTION("""COMPUTED_VALUE"""),"bbw_26.2_bc999_aov_lt1k_rcs")</f>
        <v>bbw_26.2_bc999_aov_lt1k_rcs</v>
      </c>
      <c r="H191" s="211" t="str">
        <f>IFERROR(__xludf.DUMMYFUNCTION("""COMPUTED_VALUE"""),"BodyCare_AOV_LT1000_Oni")</f>
        <v>BodyCare_AOV_LT1000_Oni</v>
      </c>
      <c r="I191" s="223" t="str">
        <f>IFERROR(__xludf.DUMMYFUNCTION("""COMPUTED_VALUE"""),"Online Customers who have purchased Body Care and whose avg Order net value is less than 1000.")</f>
        <v>Online Customers who have purchased Body Care and whose avg Order net value is less than 1000.</v>
      </c>
      <c r="J191" s="213">
        <f>IFERROR(__xludf.DUMMYFUNCTION("""COMPUTED_VALUE"""),34247.0)</f>
        <v>34247</v>
      </c>
      <c r="K191" s="213">
        <f>IFERROR(__xludf.DUMMYFUNCTION("""COMPUTED_VALUE"""),6516.0)</f>
        <v>6516</v>
      </c>
      <c r="L191" s="214">
        <f>IFERROR(__xludf.DUMMYFUNCTION("""COMPUTED_VALUE"""),0.19)</f>
        <v>0.19</v>
      </c>
      <c r="M191" s="213">
        <f>IFERROR(__xludf.DUMMYFUNCTION("""COMPUTED_VALUE"""),734.0)</f>
        <v>734</v>
      </c>
      <c r="N191" s="214">
        <f>IFERROR(__xludf.DUMMYFUNCTION("""COMPUTED_VALUE"""),0.113)</f>
        <v>0.113</v>
      </c>
      <c r="O191" s="213">
        <f>IFERROR(__xludf.DUMMYFUNCTION("""COMPUTED_VALUE"""),37.0)</f>
        <v>37</v>
      </c>
      <c r="P191" s="213"/>
      <c r="Q191" s="214">
        <f>IFERROR(__xludf.DUMMYFUNCTION("""COMPUTED_VALUE"""),0.006)</f>
        <v>0.006</v>
      </c>
      <c r="R191" s="214"/>
      <c r="S191" s="101">
        <f>IFERROR(__xludf.DUMMYFUNCTION("""COMPUTED_VALUE"""),3.0)</f>
        <v>3</v>
      </c>
      <c r="T191" s="101">
        <f>IFERROR(__xludf.DUMMYFUNCTION("""COMPUTED_VALUE"""),10.0)</f>
        <v>10</v>
      </c>
      <c r="U191" s="213">
        <f>IFERROR(__xludf.DUMMYFUNCTION("""COMPUTED_VALUE"""),9539.0)</f>
        <v>9539</v>
      </c>
      <c r="V191" s="271" t="str">
        <f>IFERROR(__xludf.DUMMYFUNCTION("""COMPUTED_VALUE"""),"online")</f>
        <v>online</v>
      </c>
      <c r="W191" s="98" t="str">
        <f>IFERROR(__xludf.DUMMYFUNCTION("""COMPUTED_VALUE"""),"RCS")</f>
        <v>RCS</v>
      </c>
      <c r="X191" s="98" t="str">
        <f>IFERROR(__xludf.DUMMYFUNCTION("""COMPUTED_VALUE"""),"AOV less than 1000")</f>
        <v>AOV less than 1000</v>
      </c>
      <c r="Y191" s="98" t="str">
        <f>IFERROR(__xludf.DUMMYFUNCTION("""COMPUTED_VALUE"""),"26-28 Feb")</f>
        <v>26-28 Feb</v>
      </c>
      <c r="Z191" s="98" t="str">
        <f>IFERROR(__xludf.DUMMYFUNCTION("""COMPUTED_VALUE"""),"69a03109fcb1f83abdca680d")</f>
        <v>69a03109fcb1f83abdca680d</v>
      </c>
      <c r="AA191" s="98">
        <f>IFERROR(__xludf.DUMMYFUNCTION("""COMPUTED_VALUE"""),9.0)</f>
        <v>9</v>
      </c>
      <c r="AB191" s="98">
        <f>IFERROR(__xludf.DUMMYFUNCTION("""COMPUTED_VALUE"""),9.0)</f>
        <v>9</v>
      </c>
      <c r="AC191" s="98"/>
      <c r="AD191" s="98">
        <f>IFERROR(__xludf.DUMMYFUNCTION("""COMPUTED_VALUE"""),13285.0)</f>
        <v>13285</v>
      </c>
      <c r="AE191" s="98">
        <f>IFERROR(__xludf.DUMMYFUNCTION("""COMPUTED_VALUE"""),13285.0)</f>
        <v>13285</v>
      </c>
      <c r="AF191" s="98"/>
      <c r="AG191" s="208"/>
      <c r="AH191" s="208"/>
      <c r="AI191" s="208"/>
      <c r="AJ191" s="208"/>
      <c r="AK191" s="208"/>
    </row>
    <row r="192" hidden="1">
      <c r="A192" s="284">
        <f>IFERROR(__xludf.DUMMYFUNCTION("""COMPUTED_VALUE"""),46079.0)</f>
        <v>46079</v>
      </c>
      <c r="B192" s="244">
        <f>IFERROR(__xludf.DUMMYFUNCTION("""COMPUTED_VALUE"""),0.7708333333321207)</f>
        <v>0.7708333333</v>
      </c>
      <c r="C192" s="222" t="str">
        <f>IFERROR(__xludf.DUMMYFUNCTION("""COMPUTED_VALUE"""),"Rcs")</f>
        <v>Rcs</v>
      </c>
      <c r="D192" s="222" t="str">
        <f>IFERROR(__xludf.DUMMYFUNCTION("""COMPUTED_VALUE"""),"Promotional")</f>
        <v>Promotional</v>
      </c>
      <c r="E192" s="222" t="str">
        <f>IFERROR(__xludf.DUMMYFUNCTION("""COMPUTED_VALUE"""),"BBW")</f>
        <v>BBW</v>
      </c>
      <c r="F192" s="222" t="str">
        <f>IFERROR(__xludf.DUMMYFUNCTION("""COMPUTED_VALUE"""),"Body care")</f>
        <v>Body care</v>
      </c>
      <c r="G192" s="222" t="str">
        <f>IFERROR(__xludf.DUMMYFUNCTION("""COMPUTED_VALUE"""),"bbw_26.2_bc999_rep_disc_rcs")</f>
        <v>bbw_26.2_bc999_rep_disc_rcs</v>
      </c>
      <c r="H192" s="269" t="str">
        <f>IFERROR(__xludf.DUMMYFUNCTION("""COMPUTED_VALUE"""),"Repeat_DiscountSeeker_BodyCare_On")</f>
        <v>Repeat_DiscountSeeker_BodyCare_On</v>
      </c>
      <c r="I192" s="223" t="str">
        <f>IFERROR(__xludf.DUMMYFUNCTION("""COMPUTED_VALUE"""),"Online customers alteast 2 times purchasing Body Care having Agg Order_Disc_Val is greater than 0.")</f>
        <v>Online customers alteast 2 times purchasing Body Care having Agg Order_Disc_Val is greater than 0.</v>
      </c>
      <c r="J192" s="242">
        <f>IFERROR(__xludf.DUMMYFUNCTION("""COMPUTED_VALUE"""),25405.0)</f>
        <v>25405</v>
      </c>
      <c r="K192" s="242">
        <f>IFERROR(__xludf.DUMMYFUNCTION("""COMPUTED_VALUE"""),2463.0)</f>
        <v>2463</v>
      </c>
      <c r="L192" s="268">
        <f>IFERROR(__xludf.DUMMYFUNCTION("""COMPUTED_VALUE"""),0.097)</f>
        <v>0.097</v>
      </c>
      <c r="M192" s="242">
        <f>IFERROR(__xludf.DUMMYFUNCTION("""COMPUTED_VALUE"""),348.0)</f>
        <v>348</v>
      </c>
      <c r="N192" s="268">
        <f>IFERROR(__xludf.DUMMYFUNCTION("""COMPUTED_VALUE"""),0.141)</f>
        <v>0.141</v>
      </c>
      <c r="O192" s="222">
        <f>IFERROR(__xludf.DUMMYFUNCTION("""COMPUTED_VALUE"""),19.0)</f>
        <v>19</v>
      </c>
      <c r="P192" s="222"/>
      <c r="Q192" s="268">
        <f>IFERROR(__xludf.DUMMYFUNCTION("""COMPUTED_VALUE"""),0.008)</f>
        <v>0.008</v>
      </c>
      <c r="R192" s="268"/>
      <c r="S192" s="222">
        <f>IFERROR(__xludf.DUMMYFUNCTION("""COMPUTED_VALUE"""),1.0)</f>
        <v>1</v>
      </c>
      <c r="T192" s="222">
        <f>IFERROR(__xludf.DUMMYFUNCTION("""COMPUTED_VALUE"""),3.0)</f>
        <v>3</v>
      </c>
      <c r="U192" s="242">
        <f>IFERROR(__xludf.DUMMYFUNCTION("""COMPUTED_VALUE"""),1048.0)</f>
        <v>1048</v>
      </c>
      <c r="V192" s="221" t="str">
        <f>IFERROR(__xludf.DUMMYFUNCTION("""COMPUTED_VALUE"""),"online")</f>
        <v>online</v>
      </c>
      <c r="W192" s="269" t="str">
        <f>IFERROR(__xludf.DUMMYFUNCTION("""COMPUTED_VALUE"""),"RCS")</f>
        <v>RCS</v>
      </c>
      <c r="X192" s="269" t="str">
        <f>IFERROR(__xludf.DUMMYFUNCTION("""COMPUTED_VALUE"""),"Repeat + Discount Seeker")</f>
        <v>Repeat + Discount Seeker</v>
      </c>
      <c r="Y192" s="269" t="str">
        <f>IFERROR(__xludf.DUMMYFUNCTION("""COMPUTED_VALUE"""),"26-28 Feb")</f>
        <v>26-28 Feb</v>
      </c>
      <c r="Z192" s="269" t="str">
        <f>IFERROR(__xludf.DUMMYFUNCTION("""COMPUTED_VALUE"""),"69a030dd2d589ba28a715d4c")</f>
        <v>69a030dd2d589ba28a715d4c</v>
      </c>
      <c r="AA192" s="243">
        <f>IFERROR(__xludf.DUMMYFUNCTION("""COMPUTED_VALUE"""),8.0)</f>
        <v>8</v>
      </c>
      <c r="AB192" s="243">
        <f>IFERROR(__xludf.DUMMYFUNCTION("""COMPUTED_VALUE"""),8.0)</f>
        <v>8</v>
      </c>
      <c r="AC192" s="243"/>
      <c r="AD192" s="243">
        <f>IFERROR(__xludf.DUMMYFUNCTION("""COMPUTED_VALUE"""),21175.0)</f>
        <v>21175</v>
      </c>
      <c r="AE192" s="243">
        <f>IFERROR(__xludf.DUMMYFUNCTION("""COMPUTED_VALUE"""),21175.0)</f>
        <v>21175</v>
      </c>
      <c r="AF192" s="243"/>
      <c r="AG192" s="208"/>
      <c r="AH192" s="208"/>
      <c r="AI192" s="208"/>
      <c r="AJ192" s="208"/>
      <c r="AK192" s="208"/>
    </row>
    <row r="193" hidden="1">
      <c r="A193" s="284">
        <f>IFERROR(__xludf.DUMMYFUNCTION("""COMPUTED_VALUE"""),46082.0)</f>
        <v>46082</v>
      </c>
      <c r="B193" s="244">
        <f>IFERROR(__xludf.DUMMYFUNCTION("""COMPUTED_VALUE"""),0.5)</f>
        <v>0.5</v>
      </c>
      <c r="C193" s="222" t="str">
        <f>IFERROR(__xludf.DUMMYFUNCTION("""COMPUTED_VALUE"""),"Whatsapp")</f>
        <v>Whatsapp</v>
      </c>
      <c r="D193" s="222" t="str">
        <f>IFERROR(__xludf.DUMMYFUNCTION("""COMPUTED_VALUE"""),"Promotional")</f>
        <v>Promotional</v>
      </c>
      <c r="E193" s="222" t="str">
        <f>IFERROR(__xludf.DUMMYFUNCTION("""COMPUTED_VALUE"""),"BBW")</f>
        <v>BBW</v>
      </c>
      <c r="F193" s="222" t="str">
        <f>IFERROR(__xludf.DUMMYFUNCTION("""COMPUTED_VALUE"""),"Body care")</f>
        <v>Body care</v>
      </c>
      <c r="G193" s="222" t="str">
        <f>IFERROR(__xludf.DUMMYFUNCTION("""COMPUTED_VALUE"""),"bbw_1.3_bc999_event_wa_fu")</f>
        <v>bbw_1.3_bc999_event_wa_fu</v>
      </c>
      <c r="H193" s="269" t="str">
        <f>IFERROR(__xludf.DUMMYFUNCTION("""COMPUTED_VALUE"""),"BC_999_EventBuyers_On")</f>
        <v>BC_999_EventBuyers_On</v>
      </c>
      <c r="I193" s="223" t="str">
        <f>IFERROR(__xludf.DUMMYFUNCTION("""COMPUTED_VALUE"""),"Online Customers who are purchasing from 2nd Oct to 5th Oct 2025, Oct 16th to Oct 27th 2025, Jan 9th 2026 to Jan 18th 2026.")</f>
        <v>Online Customers who are purchasing from 2nd Oct to 5th Oct 2025, Oct 16th to Oct 27th 2025, Jan 9th 2026 to Jan 18th 2026.</v>
      </c>
      <c r="J193" s="242">
        <f>IFERROR(__xludf.DUMMYFUNCTION("""COMPUTED_VALUE"""),5620.0)</f>
        <v>5620</v>
      </c>
      <c r="K193" s="242">
        <f>IFERROR(__xludf.DUMMYFUNCTION("""COMPUTED_VALUE"""),1211.0)</f>
        <v>1211</v>
      </c>
      <c r="L193" s="268">
        <f>IFERROR(__xludf.DUMMYFUNCTION("""COMPUTED_VALUE"""),0.2155)</f>
        <v>0.2155</v>
      </c>
      <c r="M193" s="242">
        <f>IFERROR(__xludf.DUMMYFUNCTION("""COMPUTED_VALUE"""),500.0)</f>
        <v>500</v>
      </c>
      <c r="N193" s="268">
        <f>IFERROR(__xludf.DUMMYFUNCTION("""COMPUTED_VALUE"""),0.4129)</f>
        <v>0.4129</v>
      </c>
      <c r="O193" s="222">
        <f>IFERROR(__xludf.DUMMYFUNCTION("""COMPUTED_VALUE"""),47.0)</f>
        <v>47</v>
      </c>
      <c r="P193" s="222">
        <f>IFERROR(__xludf.DUMMYFUNCTION("""COMPUTED_VALUE"""),39.0)</f>
        <v>39</v>
      </c>
      <c r="Q193" s="268">
        <f>IFERROR(__xludf.DUMMYFUNCTION("""COMPUTED_VALUE"""),0.0322)</f>
        <v>0.0322</v>
      </c>
      <c r="R193" s="268">
        <f>IFERROR(__xludf.DUMMYFUNCTION("""COMPUTED_VALUE"""),0.078)</f>
        <v>0.078</v>
      </c>
      <c r="S193" s="222">
        <f>IFERROR(__xludf.DUMMYFUNCTION("""COMPUTED_VALUE"""),0.0)</f>
        <v>0</v>
      </c>
      <c r="T193" s="222">
        <f>IFERROR(__xludf.DUMMYFUNCTION("""COMPUTED_VALUE"""),1.0)</f>
        <v>1</v>
      </c>
      <c r="U193" s="242">
        <f>IFERROR(__xludf.DUMMYFUNCTION("""COMPUTED_VALUE"""),0.0)</f>
        <v>0</v>
      </c>
      <c r="V193" s="221" t="str">
        <f>IFERROR(__xludf.DUMMYFUNCTION("""COMPUTED_VALUE"""),"online")</f>
        <v>online</v>
      </c>
      <c r="W193" s="269" t="str">
        <f>IFERROR(__xludf.DUMMYFUNCTION("""COMPUTED_VALUE"""),"simple")</f>
        <v>simple</v>
      </c>
      <c r="X193" s="269" t="str">
        <f>IFERROR(__xludf.DUMMYFUNCTION("""COMPUTED_VALUE"""),"Event Buyers")</f>
        <v>Event Buyers</v>
      </c>
      <c r="Y193" s="269" t="str">
        <f>IFERROR(__xludf.DUMMYFUNCTION("""COMPUTED_VALUE"""),"1st- 3rd Mar")</f>
        <v>1st- 3rd Mar</v>
      </c>
      <c r="Z193" s="269" t="str">
        <f>IFERROR(__xludf.DUMMYFUNCTION("""COMPUTED_VALUE"""),"69a180b515fa328fecd20afc")</f>
        <v>69a180b515fa328fecd20afc</v>
      </c>
      <c r="AA193" s="243">
        <f>IFERROR(__xludf.DUMMYFUNCTION("""COMPUTED_VALUE"""),6.0)</f>
        <v>6</v>
      </c>
      <c r="AB193" s="243">
        <f>IFERROR(__xludf.DUMMYFUNCTION("""COMPUTED_VALUE"""),6.0)</f>
        <v>6</v>
      </c>
      <c r="AC193" s="243"/>
      <c r="AD193" s="243">
        <f>IFERROR(__xludf.DUMMYFUNCTION("""COMPUTED_VALUE"""),19579.0)</f>
        <v>19579</v>
      </c>
      <c r="AE193" s="243">
        <f>IFERROR(__xludf.DUMMYFUNCTION("""COMPUTED_VALUE"""),19579.0)</f>
        <v>19579</v>
      </c>
      <c r="AF193" s="243"/>
      <c r="AG193" s="208"/>
      <c r="AH193" s="208"/>
      <c r="AI193" s="208"/>
      <c r="AJ193" s="208"/>
      <c r="AK193" s="208"/>
    </row>
    <row r="194" hidden="1">
      <c r="A194" s="216">
        <f>IFERROR(__xludf.DUMMYFUNCTION("""COMPUTED_VALUE"""),46082.0)</f>
        <v>46082</v>
      </c>
      <c r="B194" s="210">
        <f>IFERROR(__xludf.DUMMYFUNCTION("""COMPUTED_VALUE"""),0.5)</f>
        <v>0.5</v>
      </c>
      <c r="C194" s="210" t="str">
        <f>IFERROR(__xludf.DUMMYFUNCTION("""COMPUTED_VALUE"""),"Whatsapp")</f>
        <v>Whatsapp</v>
      </c>
      <c r="D194" s="210" t="str">
        <f>IFERROR(__xludf.DUMMYFUNCTION("""COMPUTED_VALUE"""),"Promotional")</f>
        <v>Promotional</v>
      </c>
      <c r="E194" s="211" t="str">
        <f>IFERROR(__xludf.DUMMYFUNCTION("""COMPUTED_VALUE"""),"BBW")</f>
        <v>BBW</v>
      </c>
      <c r="F194" s="211" t="str">
        <f>IFERROR(__xludf.DUMMYFUNCTION("""COMPUTED_VALUE"""),"Body care")</f>
        <v>Body care</v>
      </c>
      <c r="G194" s="211" t="str">
        <f>IFERROR(__xludf.DUMMYFUNCTION("""COMPUTED_VALUE"""),"bbw_1.3_bc999_loyal_wa_fu")</f>
        <v>bbw_1.3_bc999_loyal_wa_fu</v>
      </c>
      <c r="H194" s="211" t="str">
        <f>IFERROR(__xludf.DUMMYFUNCTION("""COMPUTED_VALUE"""),"Loyal_BodyCare_999_On OR AGIPL_Internal OR BBW_Internal")</f>
        <v>Loyal_BodyCare_999_On OR AGIPL_Internal OR BBW_Internal</v>
      </c>
      <c r="I194" s="223" t="str">
        <f>IFERROR(__xludf.DUMMYFUNCTION("""COMPUTED_VALUE"""),"Online customers at least 3 times purchasing Body Care.")</f>
        <v>Online customers at least 3 times purchasing Body Care.</v>
      </c>
      <c r="J194" s="213">
        <f>IFERROR(__xludf.DUMMYFUNCTION("""COMPUTED_VALUE"""),21835.0)</f>
        <v>21835</v>
      </c>
      <c r="K194" s="213">
        <f>IFERROR(__xludf.DUMMYFUNCTION("""COMPUTED_VALUE"""),4033.0)</f>
        <v>4033</v>
      </c>
      <c r="L194" s="214">
        <f>IFERROR(__xludf.DUMMYFUNCTION("""COMPUTED_VALUE"""),0.1847)</f>
        <v>0.1847</v>
      </c>
      <c r="M194" s="213">
        <f>IFERROR(__xludf.DUMMYFUNCTION("""COMPUTED_VALUE"""),1681.0)</f>
        <v>1681</v>
      </c>
      <c r="N194" s="214">
        <f>IFERROR(__xludf.DUMMYFUNCTION("""COMPUTED_VALUE"""),0.4168)</f>
        <v>0.4168</v>
      </c>
      <c r="O194" s="213">
        <f>IFERROR(__xludf.DUMMYFUNCTION("""COMPUTED_VALUE"""),130.0)</f>
        <v>130</v>
      </c>
      <c r="P194" s="213">
        <f>IFERROR(__xludf.DUMMYFUNCTION("""COMPUTED_VALUE"""),123.0)</f>
        <v>123</v>
      </c>
      <c r="Q194" s="214">
        <f>IFERROR(__xludf.DUMMYFUNCTION("""COMPUTED_VALUE"""),0.0305)</f>
        <v>0.0305</v>
      </c>
      <c r="R194" s="214">
        <f>IFERROR(__xludf.DUMMYFUNCTION("""COMPUTED_VALUE"""),0.0732)</f>
        <v>0.0732</v>
      </c>
      <c r="S194" s="101">
        <f>IFERROR(__xludf.DUMMYFUNCTION("""COMPUTED_VALUE"""),1.0)</f>
        <v>1</v>
      </c>
      <c r="T194" s="101">
        <f>IFERROR(__xludf.DUMMYFUNCTION("""COMPUTED_VALUE"""),6.0)</f>
        <v>6</v>
      </c>
      <c r="U194" s="213">
        <f>IFERROR(__xludf.DUMMYFUNCTION("""COMPUTED_VALUE"""),2997.0)</f>
        <v>2997</v>
      </c>
      <c r="V194" s="271" t="str">
        <f>IFERROR(__xludf.DUMMYFUNCTION("""COMPUTED_VALUE"""),"online")</f>
        <v>online</v>
      </c>
      <c r="W194" s="98" t="str">
        <f>IFERROR(__xludf.DUMMYFUNCTION("""COMPUTED_VALUE"""),"simple")</f>
        <v>simple</v>
      </c>
      <c r="X194" s="98" t="str">
        <f>IFERROR(__xludf.DUMMYFUNCTION("""COMPUTED_VALUE"""),"Loyal")</f>
        <v>Loyal</v>
      </c>
      <c r="Y194" s="98" t="str">
        <f>IFERROR(__xludf.DUMMYFUNCTION("""COMPUTED_VALUE"""),"1st- 3rd Mar")</f>
        <v>1st- 3rd Mar</v>
      </c>
      <c r="Z194" s="98" t="str">
        <f>IFERROR(__xludf.DUMMYFUNCTION("""COMPUTED_VALUE"""),"69a1810f3a5c72885f9ac803")</f>
        <v>69a1810f3a5c72885f9ac803</v>
      </c>
      <c r="AA194" s="98">
        <f>IFERROR(__xludf.DUMMYFUNCTION("""COMPUTED_VALUE"""),16.0)</f>
        <v>16</v>
      </c>
      <c r="AB194" s="98">
        <f>IFERROR(__xludf.DUMMYFUNCTION("""COMPUTED_VALUE"""),16.0)</f>
        <v>16</v>
      </c>
      <c r="AC194" s="98"/>
      <c r="AD194" s="98">
        <f>IFERROR(__xludf.DUMMYFUNCTION("""COMPUTED_VALUE"""),46358.0)</f>
        <v>46358</v>
      </c>
      <c r="AE194" s="98">
        <f>IFERROR(__xludf.DUMMYFUNCTION("""COMPUTED_VALUE"""),46358.0)</f>
        <v>46358</v>
      </c>
      <c r="AF194" s="98"/>
      <c r="AG194" s="208"/>
      <c r="AH194" s="208"/>
      <c r="AI194" s="208"/>
      <c r="AJ194" s="208"/>
      <c r="AK194" s="208"/>
    </row>
    <row r="195" hidden="1">
      <c r="A195" s="216">
        <f>IFERROR(__xludf.DUMMYFUNCTION("""COMPUTED_VALUE"""),46082.0)</f>
        <v>46082</v>
      </c>
      <c r="B195" s="210">
        <f>IFERROR(__xludf.DUMMYFUNCTION("""COMPUTED_VALUE"""),0.5)</f>
        <v>0.5</v>
      </c>
      <c r="C195" s="210" t="str">
        <f>IFERROR(__xludf.DUMMYFUNCTION("""COMPUTED_VALUE"""),"Whatsapp")</f>
        <v>Whatsapp</v>
      </c>
      <c r="D195" s="210" t="str">
        <f>IFERROR(__xludf.DUMMYFUNCTION("""COMPUTED_VALUE"""),"Promotional")</f>
        <v>Promotional</v>
      </c>
      <c r="E195" s="211" t="str">
        <f>IFERROR(__xludf.DUMMYFUNCTION("""COMPUTED_VALUE"""),"BBW")</f>
        <v>BBW</v>
      </c>
      <c r="F195" s="211" t="str">
        <f>IFERROR(__xludf.DUMMYFUNCTION("""COMPUTED_VALUE"""),"Body care")</f>
        <v>Body care</v>
      </c>
      <c r="G195" s="211" t="str">
        <f>IFERROR(__xludf.DUMMYFUNCTION("""COMPUTED_VALUE"""),"bbw_1.3_bc999_view_np_wa_fu")</f>
        <v>bbw_1.3_bc999_view_np_wa_fu</v>
      </c>
      <c r="H195" s="211" t="str">
        <f>IFERROR(__xludf.DUMMYFUNCTION("""COMPUTED_VALUE"""),"ViewItem_NoPr_BodyCare_On")</f>
        <v>ViewItem_NoPr_BodyCare_On</v>
      </c>
      <c r="I195" s="223" t="str">
        <f>IFERROR(__xludf.DUMMYFUNCTION("""COMPUTED_VALUE"""),"Online customers who have view Body Care but not purchased in the last 60 days.")</f>
        <v>Online customers who have view Body Care but not purchased in the last 60 days.</v>
      </c>
      <c r="J195" s="213">
        <f>IFERROR(__xludf.DUMMYFUNCTION("""COMPUTED_VALUE"""),947.0)</f>
        <v>947</v>
      </c>
      <c r="K195" s="213">
        <f>IFERROR(__xludf.DUMMYFUNCTION("""COMPUTED_VALUE"""),244.0)</f>
        <v>244</v>
      </c>
      <c r="L195" s="214">
        <f>IFERROR(__xludf.DUMMYFUNCTION("""COMPUTED_VALUE"""),0.2577)</f>
        <v>0.2577</v>
      </c>
      <c r="M195" s="213">
        <f>IFERROR(__xludf.DUMMYFUNCTION("""COMPUTED_VALUE"""),120.0)</f>
        <v>120</v>
      </c>
      <c r="N195" s="214">
        <f>IFERROR(__xludf.DUMMYFUNCTION("""COMPUTED_VALUE"""),0.4918)</f>
        <v>0.4918</v>
      </c>
      <c r="O195" s="213">
        <f>IFERROR(__xludf.DUMMYFUNCTION("""COMPUTED_VALUE"""),17.0)</f>
        <v>17</v>
      </c>
      <c r="P195" s="213">
        <f>IFERROR(__xludf.DUMMYFUNCTION("""COMPUTED_VALUE"""),16.0)</f>
        <v>16</v>
      </c>
      <c r="Q195" s="214">
        <f>IFERROR(__xludf.DUMMYFUNCTION("""COMPUTED_VALUE"""),0.0656)</f>
        <v>0.0656</v>
      </c>
      <c r="R195" s="214">
        <f>IFERROR(__xludf.DUMMYFUNCTION("""COMPUTED_VALUE"""),0.1333)</f>
        <v>0.1333</v>
      </c>
      <c r="S195" s="101">
        <f>IFERROR(__xludf.DUMMYFUNCTION("""COMPUTED_VALUE"""),2.0)</f>
        <v>2</v>
      </c>
      <c r="T195" s="101">
        <f>IFERROR(__xludf.DUMMYFUNCTION("""COMPUTED_VALUE"""),3.0)</f>
        <v>3</v>
      </c>
      <c r="U195" s="213">
        <f>IFERROR(__xludf.DUMMYFUNCTION("""COMPUTED_VALUE"""),2908.0)</f>
        <v>2908</v>
      </c>
      <c r="V195" s="271" t="str">
        <f>IFERROR(__xludf.DUMMYFUNCTION("""COMPUTED_VALUE"""),"online")</f>
        <v>online</v>
      </c>
      <c r="W195" s="98" t="str">
        <f>IFERROR(__xludf.DUMMYFUNCTION("""COMPUTED_VALUE"""),"simple")</f>
        <v>simple</v>
      </c>
      <c r="X195" s="98" t="str">
        <f>IFERROR(__xludf.DUMMYFUNCTION("""COMPUTED_VALUE"""),"View Item but not purchased")</f>
        <v>View Item but not purchased</v>
      </c>
      <c r="Y195" s="98" t="str">
        <f>IFERROR(__xludf.DUMMYFUNCTION("""COMPUTED_VALUE"""),"1st- 3rd Mar")</f>
        <v>1st- 3rd Mar</v>
      </c>
      <c r="Z195" s="98" t="str">
        <f>IFERROR(__xludf.DUMMYFUNCTION("""COMPUTED_VALUE"""),"69a1813b9481ae154bf78499")</f>
        <v>69a1813b9481ae154bf78499</v>
      </c>
      <c r="AA195" s="98">
        <f>IFERROR(__xludf.DUMMYFUNCTION("""COMPUTED_VALUE"""),2.0)</f>
        <v>2</v>
      </c>
      <c r="AB195" s="98">
        <f>IFERROR(__xludf.DUMMYFUNCTION("""COMPUTED_VALUE"""),2.0)</f>
        <v>2</v>
      </c>
      <c r="AC195" s="98"/>
      <c r="AD195" s="98">
        <f>IFERROR(__xludf.DUMMYFUNCTION("""COMPUTED_VALUE"""),2897.0)</f>
        <v>2897</v>
      </c>
      <c r="AE195" s="98">
        <f>IFERROR(__xludf.DUMMYFUNCTION("""COMPUTED_VALUE"""),2897.0)</f>
        <v>2897</v>
      </c>
      <c r="AF195" s="98"/>
      <c r="AG195" s="208"/>
      <c r="AH195" s="208"/>
      <c r="AI195" s="208"/>
      <c r="AJ195" s="208"/>
      <c r="AK195" s="208"/>
    </row>
    <row r="196" hidden="1">
      <c r="A196" s="216">
        <f>IFERROR(__xludf.DUMMYFUNCTION("""COMPUTED_VALUE"""),46082.0)</f>
        <v>46082</v>
      </c>
      <c r="B196" s="210">
        <f>IFERROR(__xludf.DUMMYFUNCTION("""COMPUTED_VALUE"""),0.5)</f>
        <v>0.5</v>
      </c>
      <c r="C196" s="210" t="str">
        <f>IFERROR(__xludf.DUMMYFUNCTION("""COMPUTED_VALUE"""),"Whatsapp")</f>
        <v>Whatsapp</v>
      </c>
      <c r="D196" s="210" t="str">
        <f>IFERROR(__xludf.DUMMYFUNCTION("""COMPUTED_VALUE"""),"Promotional")</f>
        <v>Promotional</v>
      </c>
      <c r="E196" s="211" t="str">
        <f>IFERROR(__xludf.DUMMYFUNCTION("""COMPUTED_VALUE"""),"BBW")</f>
        <v>BBW</v>
      </c>
      <c r="F196" s="211" t="str">
        <f>IFERROR(__xludf.DUMMYFUNCTION("""COMPUTED_VALUE"""),"Body care")</f>
        <v>Body care</v>
      </c>
      <c r="G196" s="211" t="str">
        <f>IFERROR(__xludf.DUMMYFUNCTION("""COMPUTED_VALUE"""),"bbw_1.3_bc999_atc_np_wa_fu")</f>
        <v>bbw_1.3_bc999_atc_np_wa_fu</v>
      </c>
      <c r="H196" s="211" t="str">
        <f>IFERROR(__xludf.DUMMYFUNCTION("""COMPUTED_VALUE"""),"ATC_NoPr_BodyCare_On")</f>
        <v>ATC_NoPr_BodyCare_On</v>
      </c>
      <c r="I196" s="223" t="str">
        <f>IFERROR(__xludf.DUMMYFUNCTION("""COMPUTED_VALUE"""),"Online customers who have added Body Care to the cart but have not purchased in the last 60 days.")</f>
        <v>Online customers who have added Body Care to the cart but have not purchased in the last 60 days.</v>
      </c>
      <c r="J196" s="213">
        <f>IFERROR(__xludf.DUMMYFUNCTION("""COMPUTED_VALUE"""),3699.0)</f>
        <v>3699</v>
      </c>
      <c r="K196" s="213">
        <f>IFERROR(__xludf.DUMMYFUNCTION("""COMPUTED_VALUE"""),872.0)</f>
        <v>872</v>
      </c>
      <c r="L196" s="214">
        <f>IFERROR(__xludf.DUMMYFUNCTION("""COMPUTED_VALUE"""),0.2357)</f>
        <v>0.2357</v>
      </c>
      <c r="M196" s="213">
        <f>IFERROR(__xludf.DUMMYFUNCTION("""COMPUTED_VALUE"""),417.0)</f>
        <v>417</v>
      </c>
      <c r="N196" s="214">
        <f>IFERROR(__xludf.DUMMYFUNCTION("""COMPUTED_VALUE"""),0.4782)</f>
        <v>0.4782</v>
      </c>
      <c r="O196" s="213">
        <f>IFERROR(__xludf.DUMMYFUNCTION("""COMPUTED_VALUE"""),50.0)</f>
        <v>50</v>
      </c>
      <c r="P196" s="213">
        <f>IFERROR(__xludf.DUMMYFUNCTION("""COMPUTED_VALUE"""),47.0)</f>
        <v>47</v>
      </c>
      <c r="Q196" s="214">
        <f>IFERROR(__xludf.DUMMYFUNCTION("""COMPUTED_VALUE"""),0.0539)</f>
        <v>0.0539</v>
      </c>
      <c r="R196" s="214">
        <f>IFERROR(__xludf.DUMMYFUNCTION("""COMPUTED_VALUE"""),0.1127)</f>
        <v>0.1127</v>
      </c>
      <c r="S196" s="101">
        <f>IFERROR(__xludf.DUMMYFUNCTION("""COMPUTED_VALUE"""),6.0)</f>
        <v>6</v>
      </c>
      <c r="T196" s="101">
        <f>IFERROR(__xludf.DUMMYFUNCTION("""COMPUTED_VALUE"""),15.0)</f>
        <v>15</v>
      </c>
      <c r="U196" s="213">
        <f>IFERROR(__xludf.DUMMYFUNCTION("""COMPUTED_VALUE"""),23344.0)</f>
        <v>23344</v>
      </c>
      <c r="V196" s="271" t="str">
        <f>IFERROR(__xludf.DUMMYFUNCTION("""COMPUTED_VALUE"""),"online")</f>
        <v>online</v>
      </c>
      <c r="W196" s="98" t="str">
        <f>IFERROR(__xludf.DUMMYFUNCTION("""COMPUTED_VALUE"""),"simple")</f>
        <v>simple</v>
      </c>
      <c r="X196" s="98" t="str">
        <f>IFERROR(__xludf.DUMMYFUNCTION("""COMPUTED_VALUE"""),"ATC but not purchased")</f>
        <v>ATC but not purchased</v>
      </c>
      <c r="Y196" s="98" t="str">
        <f>IFERROR(__xludf.DUMMYFUNCTION("""COMPUTED_VALUE"""),"1st- 3rd Mar")</f>
        <v>1st- 3rd Mar</v>
      </c>
      <c r="Z196" s="98" t="str">
        <f>IFERROR(__xludf.DUMMYFUNCTION("""COMPUTED_VALUE"""),"69a1818a4e6d7ca4c198b612")</f>
        <v>69a1818a4e6d7ca4c198b612</v>
      </c>
      <c r="AA196" s="98">
        <f>IFERROR(__xludf.DUMMYFUNCTION("""COMPUTED_VALUE"""),13.0)</f>
        <v>13</v>
      </c>
      <c r="AB196" s="98">
        <f>IFERROR(__xludf.DUMMYFUNCTION("""COMPUTED_VALUE"""),13.0)</f>
        <v>13</v>
      </c>
      <c r="AC196" s="98"/>
      <c r="AD196" s="98">
        <f>IFERROR(__xludf.DUMMYFUNCTION("""COMPUTED_VALUE"""),32863.0)</f>
        <v>32863</v>
      </c>
      <c r="AE196" s="98">
        <f>IFERROR(__xludf.DUMMYFUNCTION("""COMPUTED_VALUE"""),32863.0)</f>
        <v>32863</v>
      </c>
      <c r="AF196" s="98"/>
      <c r="AG196" s="208"/>
      <c r="AH196" s="208"/>
      <c r="AI196" s="208"/>
      <c r="AJ196" s="208"/>
      <c r="AK196" s="208"/>
    </row>
    <row r="197" hidden="1">
      <c r="A197" s="284">
        <f>IFERROR(__xludf.DUMMYFUNCTION("""COMPUTED_VALUE"""),46082.0)</f>
        <v>46082</v>
      </c>
      <c r="B197" s="244">
        <f>IFERROR(__xludf.DUMMYFUNCTION("""COMPUTED_VALUE"""),0.5)</f>
        <v>0.5</v>
      </c>
      <c r="C197" s="222" t="str">
        <f>IFERROR(__xludf.DUMMYFUNCTION("""COMPUTED_VALUE"""),"Whatsapp")</f>
        <v>Whatsapp</v>
      </c>
      <c r="D197" s="222" t="str">
        <f>IFERROR(__xludf.DUMMYFUNCTION("""COMPUTED_VALUE"""),"Promotional")</f>
        <v>Promotional</v>
      </c>
      <c r="E197" s="222" t="str">
        <f>IFERROR(__xludf.DUMMYFUNCTION("""COMPUTED_VALUE"""),"BBW")</f>
        <v>BBW</v>
      </c>
      <c r="F197" s="222" t="str">
        <f>IFERROR(__xludf.DUMMYFUNCTION("""COMPUTED_VALUE"""),"Body care")</f>
        <v>Body care</v>
      </c>
      <c r="G197" s="222" t="str">
        <f>IFERROR(__xludf.DUMMYFUNCTION("""COMPUTED_VALUE"""),"bbw_1.3_bc999_recent_wa_fu")</f>
        <v>bbw_1.3_bc999_recent_wa_fu</v>
      </c>
      <c r="H197" s="269" t="str">
        <f>IFERROR(__xludf.DUMMYFUNCTION("""COMPUTED_VALUE"""),"Recent_BodyCare_On")</f>
        <v>Recent_BodyCare_On</v>
      </c>
      <c r="I197" s="223" t="str">
        <f>IFERROR(__xludf.DUMMYFUNCTION("""COMPUTED_VALUE"""),"Online customers purchasing Body Care in the last 97 days(Time to Repeat).")</f>
        <v>Online customers purchasing Body Care in the last 97 days(Time to Repeat).</v>
      </c>
      <c r="J197" s="242">
        <f>IFERROR(__xludf.DUMMYFUNCTION("""COMPUTED_VALUE"""),8037.0)</f>
        <v>8037</v>
      </c>
      <c r="K197" s="242">
        <f>IFERROR(__xludf.DUMMYFUNCTION("""COMPUTED_VALUE"""),1882.0)</f>
        <v>1882</v>
      </c>
      <c r="L197" s="268">
        <f>IFERROR(__xludf.DUMMYFUNCTION("""COMPUTED_VALUE"""),0.2342)</f>
        <v>0.2342</v>
      </c>
      <c r="M197" s="242">
        <f>IFERROR(__xludf.DUMMYFUNCTION("""COMPUTED_VALUE"""),873.0)</f>
        <v>873</v>
      </c>
      <c r="N197" s="268">
        <f>IFERROR(__xludf.DUMMYFUNCTION("""COMPUTED_VALUE"""),0.4641)</f>
        <v>0.4641</v>
      </c>
      <c r="O197" s="222">
        <f>IFERROR(__xludf.DUMMYFUNCTION("""COMPUTED_VALUE"""),70.0)</f>
        <v>70</v>
      </c>
      <c r="P197" s="222">
        <f>IFERROR(__xludf.DUMMYFUNCTION("""COMPUTED_VALUE"""),66.0)</f>
        <v>66</v>
      </c>
      <c r="Q197" s="268">
        <f>IFERROR(__xludf.DUMMYFUNCTION("""COMPUTED_VALUE"""),0.0351)</f>
        <v>0.0351</v>
      </c>
      <c r="R197" s="268">
        <f>IFERROR(__xludf.DUMMYFUNCTION("""COMPUTED_VALUE"""),0.0756)</f>
        <v>0.0756</v>
      </c>
      <c r="S197" s="222">
        <f>IFERROR(__xludf.DUMMYFUNCTION("""COMPUTED_VALUE"""),0.0)</f>
        <v>0</v>
      </c>
      <c r="T197" s="222">
        <f>IFERROR(__xludf.DUMMYFUNCTION("""COMPUTED_VALUE"""),0.0)</f>
        <v>0</v>
      </c>
      <c r="U197" s="242">
        <f>IFERROR(__xludf.DUMMYFUNCTION("""COMPUTED_VALUE"""),0.0)</f>
        <v>0</v>
      </c>
      <c r="V197" s="221" t="str">
        <f>IFERROR(__xludf.DUMMYFUNCTION("""COMPUTED_VALUE"""),"online")</f>
        <v>online</v>
      </c>
      <c r="W197" s="269" t="str">
        <f>IFERROR(__xludf.DUMMYFUNCTION("""COMPUTED_VALUE"""),"simple")</f>
        <v>simple</v>
      </c>
      <c r="X197" s="269" t="str">
        <f>IFERROR(__xludf.DUMMYFUNCTION("""COMPUTED_VALUE"""),"Recent")</f>
        <v>Recent</v>
      </c>
      <c r="Y197" s="269" t="str">
        <f>IFERROR(__xludf.DUMMYFUNCTION("""COMPUTED_VALUE"""),"1st- 3rd Mar")</f>
        <v>1st- 3rd Mar</v>
      </c>
      <c r="Z197" s="269" t="str">
        <f>IFERROR(__xludf.DUMMYFUNCTION("""COMPUTED_VALUE"""),"69a18bedf249499c593f486d")</f>
        <v>69a18bedf249499c593f486d</v>
      </c>
      <c r="AA197" s="243">
        <f>IFERROR(__xludf.DUMMYFUNCTION("""COMPUTED_VALUE"""),3.0)</f>
        <v>3</v>
      </c>
      <c r="AB197" s="243">
        <f>IFERROR(__xludf.DUMMYFUNCTION("""COMPUTED_VALUE"""),3.0)</f>
        <v>3</v>
      </c>
      <c r="AC197" s="243"/>
      <c r="AD197" s="243">
        <f>IFERROR(__xludf.DUMMYFUNCTION("""COMPUTED_VALUE"""),4791.0)</f>
        <v>4791</v>
      </c>
      <c r="AE197" s="243">
        <f>IFERROR(__xludf.DUMMYFUNCTION("""COMPUTED_VALUE"""),4791.0)</f>
        <v>4791</v>
      </c>
      <c r="AF197" s="243"/>
      <c r="AG197" s="208"/>
      <c r="AH197" s="208"/>
      <c r="AI197" s="208"/>
      <c r="AJ197" s="208"/>
      <c r="AK197" s="208"/>
    </row>
    <row r="198" hidden="1">
      <c r="A198" s="216">
        <f>IFERROR(__xludf.DUMMYFUNCTION("""COMPUTED_VALUE"""),46082.0)</f>
        <v>46082</v>
      </c>
      <c r="B198" s="210">
        <f>IFERROR(__xludf.DUMMYFUNCTION("""COMPUTED_VALUE"""),0.5833333333321207)</f>
        <v>0.5833333333</v>
      </c>
      <c r="C198" s="210" t="str">
        <f>IFERROR(__xludf.DUMMYFUNCTION("""COMPUTED_VALUE"""),"Sms")</f>
        <v>Sms</v>
      </c>
      <c r="D198" s="210" t="str">
        <f>IFERROR(__xludf.DUMMYFUNCTION("""COMPUTED_VALUE"""),"Fallback Campaign")</f>
        <v>Fallback Campaign</v>
      </c>
      <c r="E198" s="211" t="str">
        <f>IFERROR(__xludf.DUMMYFUNCTION("""COMPUTED_VALUE"""),"BBW")</f>
        <v>BBW</v>
      </c>
      <c r="F198" s="211" t="str">
        <f>IFERROR(__xludf.DUMMYFUNCTION("""COMPUTED_VALUE"""),"Body care")</f>
        <v>Body care</v>
      </c>
      <c r="G198" s="211" t="str">
        <f>IFERROR(__xludf.DUMMYFUNCTION("""COMPUTED_VALUE"""),"bbw_1.3_bc999_aov_lt1k_rcs_fu_smsfb")</f>
        <v>bbw_1.3_bc999_aov_lt1k_rcs_fu_smsfb</v>
      </c>
      <c r="H198" s="211" t="str">
        <f>IFERROR(__xludf.DUMMYFUNCTION("""COMPUTED_VALUE"""),"BodyCare_AOV_LT1000_On")</f>
        <v>BodyCare_AOV_LT1000_On</v>
      </c>
      <c r="I198" s="223" t="str">
        <f>IFERROR(__xludf.DUMMYFUNCTION("""COMPUTED_VALUE"""),"RCS Delivery Failed")</f>
        <v>RCS Delivery Failed</v>
      </c>
      <c r="J198" s="213">
        <f>IFERROR(__xludf.DUMMYFUNCTION("""COMPUTED_VALUE"""),31244.0)</f>
        <v>31244</v>
      </c>
      <c r="K198" s="213">
        <f>IFERROR(__xludf.DUMMYFUNCTION("""COMPUTED_VALUE"""),20326.0)</f>
        <v>20326</v>
      </c>
      <c r="L198" s="214">
        <f>IFERROR(__xludf.DUMMYFUNCTION("""COMPUTED_VALUE"""),0.6506)</f>
        <v>0.6506</v>
      </c>
      <c r="M198" s="213"/>
      <c r="N198" s="214"/>
      <c r="O198" s="213">
        <f>IFERROR(__xludf.DUMMYFUNCTION("""COMPUTED_VALUE"""),16.0)</f>
        <v>16</v>
      </c>
      <c r="P198" s="213"/>
      <c r="Q198" s="214">
        <f>IFERROR(__xludf.DUMMYFUNCTION("""COMPUTED_VALUE"""),8.0E-4)</f>
        <v>0.0008</v>
      </c>
      <c r="R198" s="214"/>
      <c r="S198" s="101">
        <f>IFERROR(__xludf.DUMMYFUNCTION("""COMPUTED_VALUE"""),0.0)</f>
        <v>0</v>
      </c>
      <c r="T198" s="101">
        <f>IFERROR(__xludf.DUMMYFUNCTION("""COMPUTED_VALUE"""),1.0)</f>
        <v>1</v>
      </c>
      <c r="U198" s="213">
        <f>IFERROR(__xludf.DUMMYFUNCTION("""COMPUTED_VALUE"""),0.0)</f>
        <v>0</v>
      </c>
      <c r="V198" s="271" t="str">
        <f>IFERROR(__xludf.DUMMYFUNCTION("""COMPUTED_VALUE"""),"online")</f>
        <v>online</v>
      </c>
      <c r="W198" s="98" t="str">
        <f>IFERROR(__xludf.DUMMYFUNCTION("""COMPUTED_VALUE"""),"SMS")</f>
        <v>SMS</v>
      </c>
      <c r="X198" s="98" t="str">
        <f>IFERROR(__xludf.DUMMYFUNCTION("""COMPUTED_VALUE"""),"AOV less than 1000")</f>
        <v>AOV less than 1000</v>
      </c>
      <c r="Y198" s="98" t="str">
        <f>IFERROR(__xludf.DUMMYFUNCTION("""COMPUTED_VALUE"""),"1st March")</f>
        <v>1st March</v>
      </c>
      <c r="Z198" s="98" t="str">
        <f>IFERROR(__xludf.DUMMYFUNCTION("""COMPUTED_VALUE"""),"69a17e3ce4f2d57151dad7f3")</f>
        <v>69a17e3ce4f2d57151dad7f3</v>
      </c>
      <c r="AA198" s="98">
        <f>IFERROR(__xludf.DUMMYFUNCTION("""COMPUTED_VALUE"""),8.0)</f>
        <v>8</v>
      </c>
      <c r="AB198" s="98">
        <f>IFERROR(__xludf.DUMMYFUNCTION("""COMPUTED_VALUE"""),8.0)</f>
        <v>8</v>
      </c>
      <c r="AC198" s="98"/>
      <c r="AD198" s="98">
        <f>IFERROR(__xludf.DUMMYFUNCTION("""COMPUTED_VALUE"""),9486.0)</f>
        <v>9486</v>
      </c>
      <c r="AE198" s="98">
        <f>IFERROR(__xludf.DUMMYFUNCTION("""COMPUTED_VALUE"""),9486.0)</f>
        <v>9486</v>
      </c>
      <c r="AF198" s="98"/>
      <c r="AG198" s="208"/>
      <c r="AH198" s="208"/>
      <c r="AI198" s="208"/>
      <c r="AJ198" s="208"/>
      <c r="AK198" s="208"/>
    </row>
    <row r="199" hidden="1">
      <c r="A199" s="216">
        <f>IFERROR(__xludf.DUMMYFUNCTION("""COMPUTED_VALUE"""),46082.0)</f>
        <v>46082</v>
      </c>
      <c r="B199" s="210">
        <f>IFERROR(__xludf.DUMMYFUNCTION("""COMPUTED_VALUE"""),0.5833333333321207)</f>
        <v>0.5833333333</v>
      </c>
      <c r="C199" s="210" t="str">
        <f>IFERROR(__xludf.DUMMYFUNCTION("""COMPUTED_VALUE"""),"Sms")</f>
        <v>Sms</v>
      </c>
      <c r="D199" s="210" t="str">
        <f>IFERROR(__xludf.DUMMYFUNCTION("""COMPUTED_VALUE"""),"Fallback Campaign")</f>
        <v>Fallback Campaign</v>
      </c>
      <c r="E199" s="211" t="str">
        <f>IFERROR(__xludf.DUMMYFUNCTION("""COMPUTED_VALUE"""),"BBW")</f>
        <v>BBW</v>
      </c>
      <c r="F199" s="211" t="str">
        <f>IFERROR(__xludf.DUMMYFUNCTION("""COMPUTED_VALUE"""),"Body care")</f>
        <v>Body care</v>
      </c>
      <c r="G199" s="211" t="str">
        <f>IFERROR(__xludf.DUMMYFUNCTION("""COMPUTED_VALUE"""),"bbw_1.3_bc999_rep_disc_rcs_fu_smsfb")</f>
        <v>bbw_1.3_bc999_rep_disc_rcs_fu_smsfb</v>
      </c>
      <c r="H199" s="211" t="str">
        <f>IFERROR(__xludf.DUMMYFUNCTION("""COMPUTED_VALUE"""),"Repeat_DiscountSeeker_BodyCare_On")</f>
        <v>Repeat_DiscountSeeker_BodyCare_On</v>
      </c>
      <c r="I199" s="223" t="str">
        <f>IFERROR(__xludf.DUMMYFUNCTION("""COMPUTED_VALUE"""),"RCS Delivery Failed")</f>
        <v>RCS Delivery Failed</v>
      </c>
      <c r="J199" s="213">
        <f>IFERROR(__xludf.DUMMYFUNCTION("""COMPUTED_VALUE"""),24318.0)</f>
        <v>24318</v>
      </c>
      <c r="K199" s="213">
        <f>IFERROR(__xludf.DUMMYFUNCTION("""COMPUTED_VALUE"""),13340.0)</f>
        <v>13340</v>
      </c>
      <c r="L199" s="214">
        <f>IFERROR(__xludf.DUMMYFUNCTION("""COMPUTED_VALUE"""),0.5486)</f>
        <v>0.5486</v>
      </c>
      <c r="M199" s="213"/>
      <c r="N199" s="214"/>
      <c r="O199" s="213">
        <f>IFERROR(__xludf.DUMMYFUNCTION("""COMPUTED_VALUE"""),13.0)</f>
        <v>13</v>
      </c>
      <c r="P199" s="213"/>
      <c r="Q199" s="214">
        <f>IFERROR(__xludf.DUMMYFUNCTION("""COMPUTED_VALUE"""),0.001)</f>
        <v>0.001</v>
      </c>
      <c r="R199" s="214"/>
      <c r="S199" s="101">
        <f>IFERROR(__xludf.DUMMYFUNCTION("""COMPUTED_VALUE"""),0.0)</f>
        <v>0</v>
      </c>
      <c r="T199" s="101">
        <f>IFERROR(__xludf.DUMMYFUNCTION("""COMPUTED_VALUE"""),1.0)</f>
        <v>1</v>
      </c>
      <c r="U199" s="213">
        <f>IFERROR(__xludf.DUMMYFUNCTION("""COMPUTED_VALUE"""),0.0)</f>
        <v>0</v>
      </c>
      <c r="V199" s="271" t="str">
        <f>IFERROR(__xludf.DUMMYFUNCTION("""COMPUTED_VALUE"""),"online")</f>
        <v>online</v>
      </c>
      <c r="W199" s="98" t="str">
        <f>IFERROR(__xludf.DUMMYFUNCTION("""COMPUTED_VALUE"""),"SMS")</f>
        <v>SMS</v>
      </c>
      <c r="X199" s="98" t="str">
        <f>IFERROR(__xludf.DUMMYFUNCTION("""COMPUTED_VALUE"""),"Repeat")</f>
        <v>Repeat</v>
      </c>
      <c r="Y199" s="98" t="str">
        <f>IFERROR(__xludf.DUMMYFUNCTION("""COMPUTED_VALUE"""),"1st March")</f>
        <v>1st March</v>
      </c>
      <c r="Z199" s="98" t="str">
        <f>IFERROR(__xludf.DUMMYFUNCTION("""COMPUTED_VALUE"""),"69a17f0f9c889c43e0b4b2b9")</f>
        <v>69a17f0f9c889c43e0b4b2b9</v>
      </c>
      <c r="AA199" s="98">
        <f>IFERROR(__xludf.DUMMYFUNCTION("""COMPUTED_VALUE"""),14.0)</f>
        <v>14</v>
      </c>
      <c r="AB199" s="98">
        <f>IFERROR(__xludf.DUMMYFUNCTION("""COMPUTED_VALUE"""),14.0)</f>
        <v>14</v>
      </c>
      <c r="AC199" s="98"/>
      <c r="AD199" s="98">
        <f>IFERROR(__xludf.DUMMYFUNCTION("""COMPUTED_VALUE"""),47299.0)</f>
        <v>47299</v>
      </c>
      <c r="AE199" s="98">
        <f>IFERROR(__xludf.DUMMYFUNCTION("""COMPUTED_VALUE"""),47299.0)</f>
        <v>47299</v>
      </c>
      <c r="AF199" s="98"/>
      <c r="AG199" s="208"/>
      <c r="AH199" s="208"/>
      <c r="AI199" s="208"/>
      <c r="AJ199" s="208"/>
      <c r="AK199" s="208"/>
    </row>
    <row r="200" hidden="1">
      <c r="A200" s="219">
        <f>IFERROR(__xludf.DUMMYFUNCTION("""COMPUTED_VALUE"""),46082.0)</f>
        <v>46082</v>
      </c>
      <c r="B200" s="220">
        <f>IFERROR(__xludf.DUMMYFUNCTION("""COMPUTED_VALUE"""),0.5833333333321207)</f>
        <v>0.5833333333</v>
      </c>
      <c r="C200" s="221" t="str">
        <f>IFERROR(__xludf.DUMMYFUNCTION("""COMPUTED_VALUE"""),"Sms")</f>
        <v>Sms</v>
      </c>
      <c r="D200" s="221" t="str">
        <f>IFERROR(__xludf.DUMMYFUNCTION("""COMPUTED_VALUE"""),"Fallback Campaign")</f>
        <v>Fallback Campaign</v>
      </c>
      <c r="E200" s="221" t="str">
        <f>IFERROR(__xludf.DUMMYFUNCTION("""COMPUTED_VALUE"""),"BBW")</f>
        <v>BBW</v>
      </c>
      <c r="F200" s="221" t="str">
        <f>IFERROR(__xludf.DUMMYFUNCTION("""COMPUTED_VALUE"""),"Body care")</f>
        <v>Body care</v>
      </c>
      <c r="G200" s="221" t="str">
        <f>IFERROR(__xludf.DUMMYFUNCTION("""COMPUTED_VALUE"""),"bbw_1.3_bc999_recent_wa_fu_smsfb")</f>
        <v>bbw_1.3_bc999_recent_wa_fu_smsfb</v>
      </c>
      <c r="H200" s="223" t="str">
        <f>IFERROR(__xludf.DUMMYFUNCTION("""COMPUTED_VALUE"""),"Recent_BodyCare_On")</f>
        <v>Recent_BodyCare_On</v>
      </c>
      <c r="I200" s="223" t="str">
        <f>IFERROR(__xludf.DUMMYFUNCTION("""COMPUTED_VALUE"""),"WA Undelivered")</f>
        <v>WA Undelivered</v>
      </c>
      <c r="J200" s="224">
        <f>IFERROR(__xludf.DUMMYFUNCTION("""COMPUTED_VALUE"""),6092.0)</f>
        <v>6092</v>
      </c>
      <c r="K200" s="224">
        <f>IFERROR(__xludf.DUMMYFUNCTION("""COMPUTED_VALUE"""),3695.0)</f>
        <v>3695</v>
      </c>
      <c r="L200" s="225">
        <f>IFERROR(__xludf.DUMMYFUNCTION("""COMPUTED_VALUE"""),0.6065)</f>
        <v>0.6065</v>
      </c>
      <c r="M200" s="224"/>
      <c r="N200" s="225"/>
      <c r="O200" s="226">
        <f>IFERROR(__xludf.DUMMYFUNCTION("""COMPUTED_VALUE"""),7.0)</f>
        <v>7</v>
      </c>
      <c r="P200" s="226"/>
      <c r="Q200" s="225">
        <f>IFERROR(__xludf.DUMMYFUNCTION("""COMPUTED_VALUE"""),0.0019)</f>
        <v>0.0019</v>
      </c>
      <c r="R200" s="225"/>
      <c r="S200" s="226">
        <f>IFERROR(__xludf.DUMMYFUNCTION("""COMPUTED_VALUE"""),0.0)</f>
        <v>0</v>
      </c>
      <c r="T200" s="226">
        <f>IFERROR(__xludf.DUMMYFUNCTION("""COMPUTED_VALUE"""),0.0)</f>
        <v>0</v>
      </c>
      <c r="U200" s="224">
        <f>IFERROR(__xludf.DUMMYFUNCTION("""COMPUTED_VALUE"""),0.0)</f>
        <v>0</v>
      </c>
      <c r="V200" s="221" t="str">
        <f>IFERROR(__xludf.DUMMYFUNCTION("""COMPUTED_VALUE"""),"online")</f>
        <v>online</v>
      </c>
      <c r="W200" s="231" t="str">
        <f>IFERROR(__xludf.DUMMYFUNCTION("""COMPUTED_VALUE"""),"SMS")</f>
        <v>SMS</v>
      </c>
      <c r="X200" s="231" t="str">
        <f>IFERROR(__xludf.DUMMYFUNCTION("""COMPUTED_VALUE"""),"Recent")</f>
        <v>Recent</v>
      </c>
      <c r="Y200" s="231" t="str">
        <f>IFERROR(__xludf.DUMMYFUNCTION("""COMPUTED_VALUE"""),"1st March")</f>
        <v>1st March</v>
      </c>
      <c r="Z200" s="231" t="str">
        <f>IFERROR(__xludf.DUMMYFUNCTION("""COMPUTED_VALUE"""),"69a18218c11e5f274cb665d2")</f>
        <v>69a18218c11e5f274cb665d2</v>
      </c>
      <c r="AA200" s="229">
        <f>IFERROR(__xludf.DUMMYFUNCTION("""COMPUTED_VALUE"""),4.0)</f>
        <v>4</v>
      </c>
      <c r="AB200" s="229">
        <f>IFERROR(__xludf.DUMMYFUNCTION("""COMPUTED_VALUE"""),4.0)</f>
        <v>4</v>
      </c>
      <c r="AC200" s="229"/>
      <c r="AD200" s="229">
        <f>IFERROR(__xludf.DUMMYFUNCTION("""COMPUTED_VALUE"""),25864.0)</f>
        <v>25864</v>
      </c>
      <c r="AE200" s="229">
        <f>IFERROR(__xludf.DUMMYFUNCTION("""COMPUTED_VALUE"""),25864.0)</f>
        <v>25864</v>
      </c>
      <c r="AF200" s="229"/>
      <c r="AG200" s="208"/>
      <c r="AH200" s="208"/>
      <c r="AI200" s="208"/>
      <c r="AJ200" s="208"/>
      <c r="AK200" s="208"/>
    </row>
    <row r="201" hidden="1">
      <c r="A201" s="219">
        <f>IFERROR(__xludf.DUMMYFUNCTION("""COMPUTED_VALUE"""),46082.0)</f>
        <v>46082</v>
      </c>
      <c r="B201" s="220">
        <f>IFERROR(__xludf.DUMMYFUNCTION("""COMPUTED_VALUE"""),0.5833333333321207)</f>
        <v>0.5833333333</v>
      </c>
      <c r="C201" s="221" t="str">
        <f>IFERROR(__xludf.DUMMYFUNCTION("""COMPUTED_VALUE"""),"Sms")</f>
        <v>Sms</v>
      </c>
      <c r="D201" s="221" t="str">
        <f>IFERROR(__xludf.DUMMYFUNCTION("""COMPUTED_VALUE"""),"Fallback Campaign")</f>
        <v>Fallback Campaign</v>
      </c>
      <c r="E201" s="221" t="str">
        <f>IFERROR(__xludf.DUMMYFUNCTION("""COMPUTED_VALUE"""),"BBW")</f>
        <v>BBW</v>
      </c>
      <c r="F201" s="221" t="str">
        <f>IFERROR(__xludf.DUMMYFUNCTION("""COMPUTED_VALUE"""),"Body care")</f>
        <v>Body care</v>
      </c>
      <c r="G201" s="221" t="str">
        <f>IFERROR(__xludf.DUMMYFUNCTION("""COMPUTED_VALUE"""),"bbw_1.3_bc999_event_wa_fu_smsfb")</f>
        <v>bbw_1.3_bc999_event_wa_fu_smsfb</v>
      </c>
      <c r="H201" s="223" t="str">
        <f>IFERROR(__xludf.DUMMYFUNCTION("""COMPUTED_VALUE"""),"BC_999_EventBuyers_On")</f>
        <v>BC_999_EventBuyers_On</v>
      </c>
      <c r="I201" s="223" t="str">
        <f>IFERROR(__xludf.DUMMYFUNCTION("""COMPUTED_VALUE"""),"WA Undelivered")</f>
        <v>WA Undelivered</v>
      </c>
      <c r="J201" s="224">
        <f>IFERROR(__xludf.DUMMYFUNCTION("""COMPUTED_VALUE"""),4339.0)</f>
        <v>4339</v>
      </c>
      <c r="K201" s="224">
        <f>IFERROR(__xludf.DUMMYFUNCTION("""COMPUTED_VALUE"""),2611.0)</f>
        <v>2611</v>
      </c>
      <c r="L201" s="225">
        <f>IFERROR(__xludf.DUMMYFUNCTION("""COMPUTED_VALUE"""),0.6018)</f>
        <v>0.6018</v>
      </c>
      <c r="M201" s="224"/>
      <c r="N201" s="225"/>
      <c r="O201" s="226">
        <f>IFERROR(__xludf.DUMMYFUNCTION("""COMPUTED_VALUE"""),9.0)</f>
        <v>9</v>
      </c>
      <c r="P201" s="226"/>
      <c r="Q201" s="225">
        <f>IFERROR(__xludf.DUMMYFUNCTION("""COMPUTED_VALUE"""),0.0034)</f>
        <v>0.0034</v>
      </c>
      <c r="R201" s="225"/>
      <c r="S201" s="226">
        <f>IFERROR(__xludf.DUMMYFUNCTION("""COMPUTED_VALUE"""),0.0)</f>
        <v>0</v>
      </c>
      <c r="T201" s="226">
        <f>IFERROR(__xludf.DUMMYFUNCTION("""COMPUTED_VALUE"""),1.0)</f>
        <v>1</v>
      </c>
      <c r="U201" s="224">
        <f>IFERROR(__xludf.DUMMYFUNCTION("""COMPUTED_VALUE"""),0.0)</f>
        <v>0</v>
      </c>
      <c r="V201" s="221" t="str">
        <f>IFERROR(__xludf.DUMMYFUNCTION("""COMPUTED_VALUE"""),"online")</f>
        <v>online</v>
      </c>
      <c r="W201" s="231" t="str">
        <f>IFERROR(__xludf.DUMMYFUNCTION("""COMPUTED_VALUE"""),"SMS")</f>
        <v>SMS</v>
      </c>
      <c r="X201" s="231" t="str">
        <f>IFERROR(__xludf.DUMMYFUNCTION("""COMPUTED_VALUE"""),"Event Buyers")</f>
        <v>Event Buyers</v>
      </c>
      <c r="Y201" s="231" t="str">
        <f>IFERROR(__xludf.DUMMYFUNCTION("""COMPUTED_VALUE"""),"1st March")</f>
        <v>1st March</v>
      </c>
      <c r="Z201" s="231" t="str">
        <f>IFERROR(__xludf.DUMMYFUNCTION("""COMPUTED_VALUE"""),"69a1827c15fa328fecd20b32")</f>
        <v>69a1827c15fa328fecd20b32</v>
      </c>
      <c r="AA201" s="229">
        <f>IFERROR(__xludf.DUMMYFUNCTION("""COMPUTED_VALUE"""),2.0)</f>
        <v>2</v>
      </c>
      <c r="AB201" s="229">
        <f>IFERROR(__xludf.DUMMYFUNCTION("""COMPUTED_VALUE"""),2.0)</f>
        <v>2</v>
      </c>
      <c r="AC201" s="229"/>
      <c r="AD201" s="229">
        <f>IFERROR(__xludf.DUMMYFUNCTION("""COMPUTED_VALUE"""),6393.0)</f>
        <v>6393</v>
      </c>
      <c r="AE201" s="229">
        <f>IFERROR(__xludf.DUMMYFUNCTION("""COMPUTED_VALUE"""),6393.0)</f>
        <v>6393</v>
      </c>
      <c r="AF201" s="229"/>
      <c r="AG201" s="208"/>
      <c r="AH201" s="208"/>
      <c r="AI201" s="208"/>
      <c r="AJ201" s="208"/>
      <c r="AK201" s="208"/>
    </row>
    <row r="202" hidden="1">
      <c r="A202" s="219">
        <f>IFERROR(__xludf.DUMMYFUNCTION("""COMPUTED_VALUE"""),46082.0)</f>
        <v>46082</v>
      </c>
      <c r="B202" s="220">
        <f>IFERROR(__xludf.DUMMYFUNCTION("""COMPUTED_VALUE"""),0.5833333333321207)</f>
        <v>0.5833333333</v>
      </c>
      <c r="C202" s="221" t="str">
        <f>IFERROR(__xludf.DUMMYFUNCTION("""COMPUTED_VALUE"""),"Sms")</f>
        <v>Sms</v>
      </c>
      <c r="D202" s="221" t="str">
        <f>IFERROR(__xludf.DUMMYFUNCTION("""COMPUTED_VALUE"""),"Fallback Campaign")</f>
        <v>Fallback Campaign</v>
      </c>
      <c r="E202" s="221" t="str">
        <f>IFERROR(__xludf.DUMMYFUNCTION("""COMPUTED_VALUE"""),"BBW")</f>
        <v>BBW</v>
      </c>
      <c r="F202" s="221" t="str">
        <f>IFERROR(__xludf.DUMMYFUNCTION("""COMPUTED_VALUE"""),"Body care")</f>
        <v>Body care</v>
      </c>
      <c r="G202" s="221" t="str">
        <f>IFERROR(__xludf.DUMMYFUNCTION("""COMPUTED_VALUE"""),"bbw_1.3_bc999_loyal_wa_fu_smsfb")</f>
        <v>bbw_1.3_bc999_loyal_wa_fu_smsfb</v>
      </c>
      <c r="H202" s="223" t="str">
        <f>IFERROR(__xludf.DUMMYFUNCTION("""COMPUTED_VALUE"""),"Loyal_BodyCare_999_On OR AGIPL_Internal OR BBW_Internal")</f>
        <v>Loyal_BodyCare_999_On OR AGIPL_Internal OR BBW_Internal</v>
      </c>
      <c r="I202" s="223" t="str">
        <f>IFERROR(__xludf.DUMMYFUNCTION("""COMPUTED_VALUE"""),"WA Undelivered")</f>
        <v>WA Undelivered</v>
      </c>
      <c r="J202" s="224">
        <f>IFERROR(__xludf.DUMMYFUNCTION("""COMPUTED_VALUE"""),17526.0)</f>
        <v>17526</v>
      </c>
      <c r="K202" s="224">
        <f>IFERROR(__xludf.DUMMYFUNCTION("""COMPUTED_VALUE"""),8691.0)</f>
        <v>8691</v>
      </c>
      <c r="L202" s="225">
        <f>IFERROR(__xludf.DUMMYFUNCTION("""COMPUTED_VALUE"""),0.4959)</f>
        <v>0.4959</v>
      </c>
      <c r="M202" s="224"/>
      <c r="N202" s="225"/>
      <c r="O202" s="226">
        <f>IFERROR(__xludf.DUMMYFUNCTION("""COMPUTED_VALUE"""),29.0)</f>
        <v>29</v>
      </c>
      <c r="P202" s="226"/>
      <c r="Q202" s="225">
        <f>IFERROR(__xludf.DUMMYFUNCTION("""COMPUTED_VALUE"""),0.0033)</f>
        <v>0.0033</v>
      </c>
      <c r="R202" s="225"/>
      <c r="S202" s="226">
        <f>IFERROR(__xludf.DUMMYFUNCTION("""COMPUTED_VALUE"""),1.0)</f>
        <v>1</v>
      </c>
      <c r="T202" s="226">
        <f>IFERROR(__xludf.DUMMYFUNCTION("""COMPUTED_VALUE"""),3.0)</f>
        <v>3</v>
      </c>
      <c r="U202" s="224">
        <f>IFERROR(__xludf.DUMMYFUNCTION("""COMPUTED_VALUE"""),3996.0)</f>
        <v>3996</v>
      </c>
      <c r="V202" s="221" t="str">
        <f>IFERROR(__xludf.DUMMYFUNCTION("""COMPUTED_VALUE"""),"online")</f>
        <v>online</v>
      </c>
      <c r="W202" s="231" t="str">
        <f>IFERROR(__xludf.DUMMYFUNCTION("""COMPUTED_VALUE"""),"SMS")</f>
        <v>SMS</v>
      </c>
      <c r="X202" s="231" t="str">
        <f>IFERROR(__xludf.DUMMYFUNCTION("""COMPUTED_VALUE"""),"Loyal")</f>
        <v>Loyal</v>
      </c>
      <c r="Y202" s="231" t="str">
        <f>IFERROR(__xludf.DUMMYFUNCTION("""COMPUTED_VALUE"""),"1st March")</f>
        <v>1st March</v>
      </c>
      <c r="Z202" s="231" t="str">
        <f>IFERROR(__xludf.DUMMYFUNCTION("""COMPUTED_VALUE"""),"69a182e970fe3816f54f4e2a")</f>
        <v>69a182e970fe3816f54f4e2a</v>
      </c>
      <c r="AA202" s="229">
        <f>IFERROR(__xludf.DUMMYFUNCTION("""COMPUTED_VALUE"""),21.0)</f>
        <v>21</v>
      </c>
      <c r="AB202" s="229">
        <f>IFERROR(__xludf.DUMMYFUNCTION("""COMPUTED_VALUE"""),21.0)</f>
        <v>21</v>
      </c>
      <c r="AC202" s="229"/>
      <c r="AD202" s="229">
        <f>IFERROR(__xludf.DUMMYFUNCTION("""COMPUTED_VALUE"""),72254.0)</f>
        <v>72254</v>
      </c>
      <c r="AE202" s="229">
        <f>IFERROR(__xludf.DUMMYFUNCTION("""COMPUTED_VALUE"""),72254.0)</f>
        <v>72254</v>
      </c>
      <c r="AF202" s="229"/>
      <c r="AG202" s="208"/>
      <c r="AH202" s="208"/>
      <c r="AI202" s="208"/>
      <c r="AJ202" s="208"/>
      <c r="AK202" s="208"/>
    </row>
    <row r="203" hidden="1">
      <c r="A203" s="219">
        <f>IFERROR(__xludf.DUMMYFUNCTION("""COMPUTED_VALUE"""),46082.0)</f>
        <v>46082</v>
      </c>
      <c r="B203" s="220">
        <f>IFERROR(__xludf.DUMMYFUNCTION("""COMPUTED_VALUE"""),0.5833333333321207)</f>
        <v>0.5833333333</v>
      </c>
      <c r="C203" s="221" t="str">
        <f>IFERROR(__xludf.DUMMYFUNCTION("""COMPUTED_VALUE"""),"Sms")</f>
        <v>Sms</v>
      </c>
      <c r="D203" s="221" t="str">
        <f>IFERROR(__xludf.DUMMYFUNCTION("""COMPUTED_VALUE"""),"Fallback Campaign")</f>
        <v>Fallback Campaign</v>
      </c>
      <c r="E203" s="221" t="str">
        <f>IFERROR(__xludf.DUMMYFUNCTION("""COMPUTED_VALUE"""),"BBW")</f>
        <v>BBW</v>
      </c>
      <c r="F203" s="221" t="str">
        <f>IFERROR(__xludf.DUMMYFUNCTION("""COMPUTED_VALUE"""),"Body care")</f>
        <v>Body care</v>
      </c>
      <c r="G203" s="221" t="str">
        <f>IFERROR(__xludf.DUMMYFUNCTION("""COMPUTED_VALUE"""),"bbw_1.3_bc999_view_np_wa_fu_smsfb")</f>
        <v>bbw_1.3_bc999_view_np_wa_fu_smsfb</v>
      </c>
      <c r="H203" s="223" t="str">
        <f>IFERROR(__xludf.DUMMYFUNCTION("""COMPUTED_VALUE"""),"ViewItem_NoPr_BodyCare_On")</f>
        <v>ViewItem_NoPr_BodyCare_On</v>
      </c>
      <c r="I203" s="223" t="str">
        <f>IFERROR(__xludf.DUMMYFUNCTION("""COMPUTED_VALUE"""),"WA Undelivered")</f>
        <v>WA Undelivered</v>
      </c>
      <c r="J203" s="224">
        <f>IFERROR(__xludf.DUMMYFUNCTION("""COMPUTED_VALUE"""),689.0)</f>
        <v>689</v>
      </c>
      <c r="K203" s="224">
        <f>IFERROR(__xludf.DUMMYFUNCTION("""COMPUTED_VALUE"""),484.0)</f>
        <v>484</v>
      </c>
      <c r="L203" s="225">
        <f>IFERROR(__xludf.DUMMYFUNCTION("""COMPUTED_VALUE"""),0.7025)</f>
        <v>0.7025</v>
      </c>
      <c r="M203" s="224"/>
      <c r="N203" s="225"/>
      <c r="O203" s="226">
        <f>IFERROR(__xludf.DUMMYFUNCTION("""COMPUTED_VALUE"""),1.0)</f>
        <v>1</v>
      </c>
      <c r="P203" s="226"/>
      <c r="Q203" s="225">
        <f>IFERROR(__xludf.DUMMYFUNCTION("""COMPUTED_VALUE"""),0.0021)</f>
        <v>0.0021</v>
      </c>
      <c r="R203" s="225"/>
      <c r="S203" s="226">
        <f>IFERROR(__xludf.DUMMYFUNCTION("""COMPUTED_VALUE"""),0.0)</f>
        <v>0</v>
      </c>
      <c r="T203" s="226">
        <f>IFERROR(__xludf.DUMMYFUNCTION("""COMPUTED_VALUE"""),1.0)</f>
        <v>1</v>
      </c>
      <c r="U203" s="224">
        <f>IFERROR(__xludf.DUMMYFUNCTION("""COMPUTED_VALUE"""),0.0)</f>
        <v>0</v>
      </c>
      <c r="V203" s="221" t="str">
        <f>IFERROR(__xludf.DUMMYFUNCTION("""COMPUTED_VALUE"""),"online")</f>
        <v>online</v>
      </c>
      <c r="W203" s="231" t="str">
        <f>IFERROR(__xludf.DUMMYFUNCTION("""COMPUTED_VALUE"""),"SMS")</f>
        <v>SMS</v>
      </c>
      <c r="X203" s="231" t="str">
        <f>IFERROR(__xludf.DUMMYFUNCTION("""COMPUTED_VALUE"""),"View Item but not purchased")</f>
        <v>View Item but not purchased</v>
      </c>
      <c r="Y203" s="231" t="str">
        <f>IFERROR(__xludf.DUMMYFUNCTION("""COMPUTED_VALUE"""),"1st March")</f>
        <v>1st March</v>
      </c>
      <c r="Z203" s="231" t="str">
        <f>IFERROR(__xludf.DUMMYFUNCTION("""COMPUTED_VALUE"""),"69a1838115fa328fecd20b77")</f>
        <v>69a1838115fa328fecd20b77</v>
      </c>
      <c r="AA203" s="229">
        <f>IFERROR(__xludf.DUMMYFUNCTION("""COMPUTED_VALUE"""),0.0)</f>
        <v>0</v>
      </c>
      <c r="AB203" s="229">
        <f>IFERROR(__xludf.DUMMYFUNCTION("""COMPUTED_VALUE"""),0.0)</f>
        <v>0</v>
      </c>
      <c r="AC203" s="229"/>
      <c r="AD203" s="229">
        <f>IFERROR(__xludf.DUMMYFUNCTION("""COMPUTED_VALUE"""),0.0)</f>
        <v>0</v>
      </c>
      <c r="AE203" s="229">
        <f>IFERROR(__xludf.DUMMYFUNCTION("""COMPUTED_VALUE"""),0.0)</f>
        <v>0</v>
      </c>
      <c r="AF203" s="229"/>
      <c r="AG203" s="208"/>
      <c r="AH203" s="208"/>
      <c r="AI203" s="208"/>
      <c r="AJ203" s="208"/>
      <c r="AK203" s="208"/>
    </row>
    <row r="204" hidden="1">
      <c r="A204" s="284">
        <f>IFERROR(__xludf.DUMMYFUNCTION("""COMPUTED_VALUE"""),46082.0)</f>
        <v>46082</v>
      </c>
      <c r="B204" s="244">
        <f>IFERROR(__xludf.DUMMYFUNCTION("""COMPUTED_VALUE"""),0.5833333333321207)</f>
        <v>0.5833333333</v>
      </c>
      <c r="C204" s="222" t="str">
        <f>IFERROR(__xludf.DUMMYFUNCTION("""COMPUTED_VALUE"""),"Sms")</f>
        <v>Sms</v>
      </c>
      <c r="D204" s="222" t="str">
        <f>IFERROR(__xludf.DUMMYFUNCTION("""COMPUTED_VALUE"""),"Fallback Campaign")</f>
        <v>Fallback Campaign</v>
      </c>
      <c r="E204" s="222" t="str">
        <f>IFERROR(__xludf.DUMMYFUNCTION("""COMPUTED_VALUE"""),"BBW")</f>
        <v>BBW</v>
      </c>
      <c r="F204" s="222" t="str">
        <f>IFERROR(__xludf.DUMMYFUNCTION("""COMPUTED_VALUE"""),"Body care")</f>
        <v>Body care</v>
      </c>
      <c r="G204" s="222" t="str">
        <f>IFERROR(__xludf.DUMMYFUNCTION("""COMPUTED_VALUE"""),"bbw_1.3_bc999_atc_np_wa_fu_smsfb")</f>
        <v>bbw_1.3_bc999_atc_np_wa_fu_smsfb</v>
      </c>
      <c r="H204" s="269" t="str">
        <f>IFERROR(__xludf.DUMMYFUNCTION("""COMPUTED_VALUE"""),"ATC_NoPr_BodyCare_On")</f>
        <v>ATC_NoPr_BodyCare_On</v>
      </c>
      <c r="I204" s="223" t="str">
        <f>IFERROR(__xludf.DUMMYFUNCTION("""COMPUTED_VALUE"""),"WA Undelivered")</f>
        <v>WA Undelivered</v>
      </c>
      <c r="J204" s="242">
        <f>IFERROR(__xludf.DUMMYFUNCTION("""COMPUTED_VALUE"""),2806.0)</f>
        <v>2806</v>
      </c>
      <c r="K204" s="242">
        <f>IFERROR(__xludf.DUMMYFUNCTION("""COMPUTED_VALUE"""),1996.0)</f>
        <v>1996</v>
      </c>
      <c r="L204" s="268">
        <f>IFERROR(__xludf.DUMMYFUNCTION("""COMPUTED_VALUE"""),0.7113)</f>
        <v>0.7113</v>
      </c>
      <c r="M204" s="242"/>
      <c r="N204" s="268"/>
      <c r="O204" s="222">
        <f>IFERROR(__xludf.DUMMYFUNCTION("""COMPUTED_VALUE"""),10.0)</f>
        <v>10</v>
      </c>
      <c r="P204" s="222"/>
      <c r="Q204" s="268">
        <f>IFERROR(__xludf.DUMMYFUNCTION("""COMPUTED_VALUE"""),0.005)</f>
        <v>0.005</v>
      </c>
      <c r="R204" s="268"/>
      <c r="S204" s="222">
        <f>IFERROR(__xludf.DUMMYFUNCTION("""COMPUTED_VALUE"""),3.0)</f>
        <v>3</v>
      </c>
      <c r="T204" s="222">
        <f>IFERROR(__xludf.DUMMYFUNCTION("""COMPUTED_VALUE"""),11.0)</f>
        <v>11</v>
      </c>
      <c r="U204" s="242">
        <f>IFERROR(__xludf.DUMMYFUNCTION("""COMPUTED_VALUE"""),3562.0)</f>
        <v>3562</v>
      </c>
      <c r="V204" s="221" t="str">
        <f>IFERROR(__xludf.DUMMYFUNCTION("""COMPUTED_VALUE"""),"online")</f>
        <v>online</v>
      </c>
      <c r="W204" s="269" t="str">
        <f>IFERROR(__xludf.DUMMYFUNCTION("""COMPUTED_VALUE"""),"SMS")</f>
        <v>SMS</v>
      </c>
      <c r="X204" s="269" t="str">
        <f>IFERROR(__xludf.DUMMYFUNCTION("""COMPUTED_VALUE"""),"ATC but not purchased")</f>
        <v>ATC but not purchased</v>
      </c>
      <c r="Y204" s="269" t="str">
        <f>IFERROR(__xludf.DUMMYFUNCTION("""COMPUTED_VALUE"""),"1st March")</f>
        <v>1st March</v>
      </c>
      <c r="Z204" s="269" t="str">
        <f>IFERROR(__xludf.DUMMYFUNCTION("""COMPUTED_VALUE"""),"69a183d39481ae154bf78538")</f>
        <v>69a183d39481ae154bf78538</v>
      </c>
      <c r="AA204" s="243">
        <f>IFERROR(__xludf.DUMMYFUNCTION("""COMPUTED_VALUE"""),10.0)</f>
        <v>10</v>
      </c>
      <c r="AB204" s="243">
        <f>IFERROR(__xludf.DUMMYFUNCTION("""COMPUTED_VALUE"""),10.0)</f>
        <v>10</v>
      </c>
      <c r="AC204" s="243"/>
      <c r="AD204" s="243">
        <f>IFERROR(__xludf.DUMMYFUNCTION("""COMPUTED_VALUE"""),18778.0)</f>
        <v>18778</v>
      </c>
      <c r="AE204" s="243">
        <f>IFERROR(__xludf.DUMMYFUNCTION("""COMPUTED_VALUE"""),18778.0)</f>
        <v>18778</v>
      </c>
      <c r="AF204" s="243"/>
      <c r="AG204" s="208"/>
      <c r="AH204" s="208"/>
      <c r="AI204" s="208"/>
      <c r="AJ204" s="208"/>
      <c r="AK204" s="208"/>
    </row>
    <row r="205" hidden="1">
      <c r="A205" s="219">
        <f>IFERROR(__xludf.DUMMYFUNCTION("""COMPUTED_VALUE"""),46082.0)</f>
        <v>46082</v>
      </c>
      <c r="B205" s="220">
        <f>IFERROR(__xludf.DUMMYFUNCTION("""COMPUTED_VALUE"""),0.5)</f>
        <v>0.5</v>
      </c>
      <c r="C205" s="221" t="str">
        <f>IFERROR(__xludf.DUMMYFUNCTION("""COMPUTED_VALUE"""),"Rcs")</f>
        <v>Rcs</v>
      </c>
      <c r="D205" s="221" t="str">
        <f>IFERROR(__xludf.DUMMYFUNCTION("""COMPUTED_VALUE"""),"Promotional")</f>
        <v>Promotional</v>
      </c>
      <c r="E205" s="221" t="str">
        <f>IFERROR(__xludf.DUMMYFUNCTION("""COMPUTED_VALUE"""),"BBW")</f>
        <v>BBW</v>
      </c>
      <c r="F205" s="221" t="str">
        <f>IFERROR(__xludf.DUMMYFUNCTION("""COMPUTED_VALUE"""),"Body care")</f>
        <v>Body care</v>
      </c>
      <c r="G205" s="221" t="str">
        <f>IFERROR(__xludf.DUMMYFUNCTION("""COMPUTED_VALUE"""),"bbw_1.3_bc999_aov_lt1k_rcs_fu")</f>
        <v>bbw_1.3_bc999_aov_lt1k_rcs_fu</v>
      </c>
      <c r="H205" s="223" t="str">
        <f>IFERROR(__xludf.DUMMYFUNCTION("""COMPUTED_VALUE"""),"BodyCare_AOV_LT1000_On")</f>
        <v>BodyCare_AOV_LT1000_On</v>
      </c>
      <c r="I205" s="223" t="str">
        <f>IFERROR(__xludf.DUMMYFUNCTION("""COMPUTED_VALUE"""),"Online Customers who have purchased Body Care and whose avg Order net value is less than 1000.")</f>
        <v>Online Customers who have purchased Body Care and whose avg Order net value is less than 1000.</v>
      </c>
      <c r="J205" s="224">
        <f>IFERROR(__xludf.DUMMYFUNCTION("""COMPUTED_VALUE"""),34140.0)</f>
        <v>34140</v>
      </c>
      <c r="K205" s="224">
        <f>IFERROR(__xludf.DUMMYFUNCTION("""COMPUTED_VALUE"""),2787.0)</f>
        <v>2787</v>
      </c>
      <c r="L205" s="225">
        <f>IFERROR(__xludf.DUMMYFUNCTION("""COMPUTED_VALUE"""),0.082)</f>
        <v>0.082</v>
      </c>
      <c r="M205" s="224">
        <f>IFERROR(__xludf.DUMMYFUNCTION("""COMPUTED_VALUE"""),252.0)</f>
        <v>252</v>
      </c>
      <c r="N205" s="225">
        <f>IFERROR(__xludf.DUMMYFUNCTION("""COMPUTED_VALUE"""),0.09)</f>
        <v>0.09</v>
      </c>
      <c r="O205" s="226">
        <f>IFERROR(__xludf.DUMMYFUNCTION("""COMPUTED_VALUE"""),16.0)</f>
        <v>16</v>
      </c>
      <c r="P205" s="226"/>
      <c r="Q205" s="225">
        <f>IFERROR(__xludf.DUMMYFUNCTION("""COMPUTED_VALUE"""),0.006)</f>
        <v>0.006</v>
      </c>
      <c r="R205" s="225"/>
      <c r="S205" s="226">
        <f>IFERROR(__xludf.DUMMYFUNCTION("""COMPUTED_VALUE"""),1.0)</f>
        <v>1</v>
      </c>
      <c r="T205" s="226">
        <f>IFERROR(__xludf.DUMMYFUNCTION("""COMPUTED_VALUE"""),3.0)</f>
        <v>3</v>
      </c>
      <c r="U205" s="224">
        <f>IFERROR(__xludf.DUMMYFUNCTION("""COMPUTED_VALUE"""),4995.0)</f>
        <v>4995</v>
      </c>
      <c r="V205" s="221" t="str">
        <f>IFERROR(__xludf.DUMMYFUNCTION("""COMPUTED_VALUE"""),"online")</f>
        <v>online</v>
      </c>
      <c r="W205" s="231" t="str">
        <f>IFERROR(__xludf.DUMMYFUNCTION("""COMPUTED_VALUE"""),"RCS")</f>
        <v>RCS</v>
      </c>
      <c r="X205" s="231" t="str">
        <f>IFERROR(__xludf.DUMMYFUNCTION("""COMPUTED_VALUE"""),"AOV less than 1000")</f>
        <v>AOV less than 1000</v>
      </c>
      <c r="Y205" s="231" t="str">
        <f>IFERROR(__xludf.DUMMYFUNCTION("""COMPUTED_VALUE"""),"1st- 3rd Mar")</f>
        <v>1st- 3rd Mar</v>
      </c>
      <c r="Z205" s="231" t="str">
        <f>IFERROR(__xludf.DUMMYFUNCTION("""COMPUTED_VALUE"""),"69a17dd36da031e7a37e075d")</f>
        <v>69a17dd36da031e7a37e075d</v>
      </c>
      <c r="AA205" s="229">
        <f>IFERROR(__xludf.DUMMYFUNCTION("""COMPUTED_VALUE"""),4.0)</f>
        <v>4</v>
      </c>
      <c r="AB205" s="229">
        <f>IFERROR(__xludf.DUMMYFUNCTION("""COMPUTED_VALUE"""),4.0)</f>
        <v>4</v>
      </c>
      <c r="AC205" s="229"/>
      <c r="AD205" s="229">
        <f>IFERROR(__xludf.DUMMYFUNCTION("""COMPUTED_VALUE"""),9292.0)</f>
        <v>9292</v>
      </c>
      <c r="AE205" s="229">
        <f>IFERROR(__xludf.DUMMYFUNCTION("""COMPUTED_VALUE"""),9292.0)</f>
        <v>9292</v>
      </c>
      <c r="AF205" s="229"/>
      <c r="AG205" s="208"/>
      <c r="AH205" s="208"/>
      <c r="AI205" s="208"/>
      <c r="AJ205" s="208"/>
      <c r="AK205" s="208"/>
    </row>
    <row r="206" hidden="1">
      <c r="A206" s="245">
        <f>IFERROR(__xludf.DUMMYFUNCTION("""COMPUTED_VALUE"""),46082.0)</f>
        <v>46082</v>
      </c>
      <c r="B206" s="246">
        <f>IFERROR(__xludf.DUMMYFUNCTION("""COMPUTED_VALUE"""),0.5)</f>
        <v>0.5</v>
      </c>
      <c r="C206" s="221" t="str">
        <f>IFERROR(__xludf.DUMMYFUNCTION("""COMPUTED_VALUE"""),"Rcs")</f>
        <v>Rcs</v>
      </c>
      <c r="D206" s="221" t="str">
        <f>IFERROR(__xludf.DUMMYFUNCTION("""COMPUTED_VALUE"""),"Promotional")</f>
        <v>Promotional</v>
      </c>
      <c r="E206" s="221" t="str">
        <f>IFERROR(__xludf.DUMMYFUNCTION("""COMPUTED_VALUE"""),"BBW")</f>
        <v>BBW</v>
      </c>
      <c r="F206" s="222" t="str">
        <f>IFERROR(__xludf.DUMMYFUNCTION("""COMPUTED_VALUE"""),"Body care")</f>
        <v>Body care</v>
      </c>
      <c r="G206" s="221" t="str">
        <f>IFERROR(__xludf.DUMMYFUNCTION("""COMPUTED_VALUE"""),"bbw_1.3_bc999_rep_disc_rcs_fu")</f>
        <v>bbw_1.3_bc999_rep_disc_rcs_fu</v>
      </c>
      <c r="H206" s="269" t="str">
        <f>IFERROR(__xludf.DUMMYFUNCTION("""COMPUTED_VALUE"""),"Repeat_DiscountSeeker_BodyCare_On")</f>
        <v>Repeat_DiscountSeeker_BodyCare_On</v>
      </c>
      <c r="I206" s="223" t="str">
        <f>IFERROR(__xludf.DUMMYFUNCTION("""COMPUTED_VALUE"""),"Online customers alteast 2 times purchasing Body Care having Agg Order_Disc_Val is greater than 0.")</f>
        <v>Online customers alteast 2 times purchasing Body Care having Agg Order_Disc_Val is greater than 0.</v>
      </c>
      <c r="J206" s="213">
        <f>IFERROR(__xludf.DUMMYFUNCTION("""COMPUTED_VALUE"""),25313.0)</f>
        <v>25313</v>
      </c>
      <c r="K206" s="213">
        <f>IFERROR(__xludf.DUMMYFUNCTION("""COMPUTED_VALUE"""),945.0)</f>
        <v>945</v>
      </c>
      <c r="L206" s="214">
        <f>IFERROR(__xludf.DUMMYFUNCTION("""COMPUTED_VALUE"""),0.037)</f>
        <v>0.037</v>
      </c>
      <c r="M206" s="213">
        <f>IFERROR(__xludf.DUMMYFUNCTION("""COMPUTED_VALUE"""),103.0)</f>
        <v>103</v>
      </c>
      <c r="N206" s="214">
        <f>IFERROR(__xludf.DUMMYFUNCTION("""COMPUTED_VALUE"""),0.109)</f>
        <v>0.109</v>
      </c>
      <c r="O206" s="213">
        <f>IFERROR(__xludf.DUMMYFUNCTION("""COMPUTED_VALUE"""),4.0)</f>
        <v>4</v>
      </c>
      <c r="P206" s="213"/>
      <c r="Q206" s="214">
        <f>IFERROR(__xludf.DUMMYFUNCTION("""COMPUTED_VALUE"""),0.004)</f>
        <v>0.004</v>
      </c>
      <c r="R206" s="214"/>
      <c r="S206" s="101"/>
      <c r="T206" s="101"/>
      <c r="U206" s="213"/>
      <c r="V206" s="271" t="str">
        <f>IFERROR(__xludf.DUMMYFUNCTION("""COMPUTED_VALUE"""),"online")</f>
        <v>online</v>
      </c>
      <c r="W206" s="98" t="str">
        <f>IFERROR(__xludf.DUMMYFUNCTION("""COMPUTED_VALUE"""),"RCS")</f>
        <v>RCS</v>
      </c>
      <c r="X206" s="98" t="str">
        <f>IFERROR(__xludf.DUMMYFUNCTION("""COMPUTED_VALUE"""),"Repeat + Discount Seeker")</f>
        <v>Repeat + Discount Seeker</v>
      </c>
      <c r="Y206" s="98" t="str">
        <f>IFERROR(__xludf.DUMMYFUNCTION("""COMPUTED_VALUE"""),"1st- 3rd Mar")</f>
        <v>1st- 3rd Mar</v>
      </c>
      <c r="Z206" s="98" t="str">
        <f>IFERROR(__xludf.DUMMYFUNCTION("""COMPUTED_VALUE"""),"69a17ee6aac57c69c8ee31f7")</f>
        <v>69a17ee6aac57c69c8ee31f7</v>
      </c>
      <c r="AA206" s="98">
        <f>IFERROR(__xludf.DUMMYFUNCTION("""COMPUTED_VALUE"""),1.0)</f>
        <v>1</v>
      </c>
      <c r="AB206" s="98">
        <f>IFERROR(__xludf.DUMMYFUNCTION("""COMPUTED_VALUE"""),1.0)</f>
        <v>1</v>
      </c>
      <c r="AC206" s="98"/>
      <c r="AD206" s="98">
        <f>IFERROR(__xludf.DUMMYFUNCTION("""COMPUTED_VALUE"""),2398.0)</f>
        <v>2398</v>
      </c>
      <c r="AE206" s="98">
        <f>IFERROR(__xludf.DUMMYFUNCTION("""COMPUTED_VALUE"""),2398.0)</f>
        <v>2398</v>
      </c>
      <c r="AF206" s="98"/>
      <c r="AG206" s="208"/>
      <c r="AH206" s="208"/>
      <c r="AI206" s="208"/>
      <c r="AJ206" s="208"/>
      <c r="AK206" s="208"/>
    </row>
    <row r="207" hidden="1">
      <c r="A207" s="216">
        <f>IFERROR(__xludf.DUMMYFUNCTION("""COMPUTED_VALUE"""),46084.0)</f>
        <v>46084</v>
      </c>
      <c r="B207" s="210">
        <f>IFERROR(__xludf.DUMMYFUNCTION("""COMPUTED_VALUE"""),0.75)</f>
        <v>0.75</v>
      </c>
      <c r="C207" s="210" t="str">
        <f>IFERROR(__xludf.DUMMYFUNCTION("""COMPUTED_VALUE"""),"Sms")</f>
        <v>Sms</v>
      </c>
      <c r="D207" s="210" t="str">
        <f>IFERROR(__xludf.DUMMYFUNCTION("""COMPUTED_VALUE"""),"Promotional")</f>
        <v>Promotional</v>
      </c>
      <c r="E207" s="211" t="str">
        <f>IFERROR(__xludf.DUMMYFUNCTION("""COMPUTED_VALUE"""),"BBW")</f>
        <v>BBW</v>
      </c>
      <c r="F207" s="211" t="str">
        <f>IFERROR(__xludf.DUMMYFUNCTION("""COMPUTED_VALUE"""),"B2G2")</f>
        <v>B2G2</v>
      </c>
      <c r="G207" s="211" t="str">
        <f>IFERROR(__xludf.DUMMYFUNCTION("""COMPUTED_VALUE"""),"bbw_3.3_b2g2_loyal_sms")</f>
        <v>bbw_3.3_b2g2_loyal_sms</v>
      </c>
      <c r="H207" s="211" t="str">
        <f>IFERROR(__xludf.DUMMYFUNCTION("""COMPUTED_VALUE"""),"Loyal_B2G2_On")</f>
        <v>Loyal_B2G2_On</v>
      </c>
      <c r="I207" s="223" t="str">
        <f>IFERROR(__xludf.DUMMYFUNCTION("""COMPUTED_VALUE"""),"Customers who are purchasing atleast 3 times in the last 36 months where Cat L1 does not contains Gifting And Exclude customers who have purchased in the last 3 months")</f>
        <v>Customers who are purchasing atleast 3 times in the last 36 months where Cat L1 does not contains Gifting And Exclude customers who have purchased in the last 3 months</v>
      </c>
      <c r="J207" s="213">
        <f>IFERROR(__xludf.DUMMYFUNCTION("""COMPUTED_VALUE"""),51833.0)</f>
        <v>51833</v>
      </c>
      <c r="K207" s="213">
        <f>IFERROR(__xludf.DUMMYFUNCTION("""COMPUTED_VALUE"""),27580.0)</f>
        <v>27580</v>
      </c>
      <c r="L207" s="214">
        <f>IFERROR(__xludf.DUMMYFUNCTION("""COMPUTED_VALUE"""),0.5321)</f>
        <v>0.5321</v>
      </c>
      <c r="M207" s="213"/>
      <c r="N207" s="214"/>
      <c r="O207" s="213">
        <f>IFERROR(__xludf.DUMMYFUNCTION("""COMPUTED_VALUE"""),113.0)</f>
        <v>113</v>
      </c>
      <c r="P207" s="213"/>
      <c r="Q207" s="214">
        <f>IFERROR(__xludf.DUMMYFUNCTION("""COMPUTED_VALUE"""),0.0041)</f>
        <v>0.0041</v>
      </c>
      <c r="R207" s="214"/>
      <c r="S207" s="101">
        <f>IFERROR(__xludf.DUMMYFUNCTION("""COMPUTED_VALUE"""),3.0)</f>
        <v>3</v>
      </c>
      <c r="T207" s="101">
        <f>IFERROR(__xludf.DUMMYFUNCTION("""COMPUTED_VALUE"""),16.0)</f>
        <v>16</v>
      </c>
      <c r="U207" s="213">
        <f>IFERROR(__xludf.DUMMYFUNCTION("""COMPUTED_VALUE"""),9988.0)</f>
        <v>9988</v>
      </c>
      <c r="V207" s="271" t="str">
        <f>IFERROR(__xludf.DUMMYFUNCTION("""COMPUTED_VALUE"""),"online")</f>
        <v>online</v>
      </c>
      <c r="W207" s="98" t="str">
        <f>IFERROR(__xludf.DUMMYFUNCTION("""COMPUTED_VALUE"""),"SMS")</f>
        <v>SMS</v>
      </c>
      <c r="X207" s="98" t="str">
        <f>IFERROR(__xludf.DUMMYFUNCTION("""COMPUTED_VALUE"""),"No brief")</f>
        <v>No brief</v>
      </c>
      <c r="Y207" s="98" t="str">
        <f>IFERROR(__xludf.DUMMYFUNCTION("""COMPUTED_VALUE"""),"3rd March")</f>
        <v>3rd March</v>
      </c>
      <c r="Z207" s="98" t="str">
        <f>IFERROR(__xludf.DUMMYFUNCTION("""COMPUTED_VALUE"""),"69a58bfefcb500e8b55deea2")</f>
        <v>69a58bfefcb500e8b55deea2</v>
      </c>
      <c r="AA207" s="98">
        <f>IFERROR(__xludf.DUMMYFUNCTION("""COMPUTED_VALUE"""),16.0)</f>
        <v>16</v>
      </c>
      <c r="AB207" s="98">
        <f>IFERROR(__xludf.DUMMYFUNCTION("""COMPUTED_VALUE"""),16.0)</f>
        <v>16</v>
      </c>
      <c r="AC207" s="98"/>
      <c r="AD207" s="98">
        <f>IFERROR(__xludf.DUMMYFUNCTION("""COMPUTED_VALUE"""),64192.0)</f>
        <v>64192</v>
      </c>
      <c r="AE207" s="98">
        <f>IFERROR(__xludf.DUMMYFUNCTION("""COMPUTED_VALUE"""),64192.0)</f>
        <v>64192</v>
      </c>
      <c r="AF207" s="98"/>
      <c r="AG207" s="208"/>
      <c r="AH207" s="208"/>
      <c r="AI207" s="208"/>
      <c r="AJ207" s="208"/>
      <c r="AK207" s="208"/>
    </row>
    <row r="208" hidden="1">
      <c r="A208" s="219">
        <f>IFERROR(__xludf.DUMMYFUNCTION("""COMPUTED_VALUE"""),46084.0)</f>
        <v>46084</v>
      </c>
      <c r="B208" s="220">
        <f>IFERROR(__xludf.DUMMYFUNCTION("""COMPUTED_VALUE"""),0.75)</f>
        <v>0.75</v>
      </c>
      <c r="C208" s="221" t="str">
        <f>IFERROR(__xludf.DUMMYFUNCTION("""COMPUTED_VALUE"""),"Sms")</f>
        <v>Sms</v>
      </c>
      <c r="D208" s="221" t="str">
        <f>IFERROR(__xludf.DUMMYFUNCTION("""COMPUTED_VALUE"""),"Promotional")</f>
        <v>Promotional</v>
      </c>
      <c r="E208" s="221" t="str">
        <f>IFERROR(__xludf.DUMMYFUNCTION("""COMPUTED_VALUE"""),"BBW")</f>
        <v>BBW</v>
      </c>
      <c r="F208" s="221" t="str">
        <f>IFERROR(__xludf.DUMMYFUNCTION("""COMPUTED_VALUE"""),"B2G2")</f>
        <v>B2G2</v>
      </c>
      <c r="G208" s="221" t="str">
        <f>IFERROR(__xludf.DUMMYFUNCTION("""COMPUTED_VALUE"""),"bbw_3.3_b2g2_view_np_sms")</f>
        <v>bbw_3.3_b2g2_view_np_sms</v>
      </c>
      <c r="H208" s="223" t="str">
        <f>IFERROR(__xludf.DUMMYFUNCTION("""COMPUTED_VALUE"""),"PLP_View_No_Purchase")</f>
        <v>PLP_View_No_Purchase</v>
      </c>
      <c r="I208" s="223" t="str">
        <f>IFERROR(__xludf.DUMMYFUNCTION("""COMPUTED_VALUE"""),"Online customers who view PLP in the last 60 days but not purchase")</f>
        <v>Online customers who view PLP in the last 60 days but not purchase</v>
      </c>
      <c r="J208" s="224">
        <f>IFERROR(__xludf.DUMMYFUNCTION("""COMPUTED_VALUE"""),6634.0)</f>
        <v>6634</v>
      </c>
      <c r="K208" s="224">
        <f>IFERROR(__xludf.DUMMYFUNCTION("""COMPUTED_VALUE"""),4601.0)</f>
        <v>4601</v>
      </c>
      <c r="L208" s="225">
        <f>IFERROR(__xludf.DUMMYFUNCTION("""COMPUTED_VALUE"""),0.6935)</f>
        <v>0.6935</v>
      </c>
      <c r="M208" s="224"/>
      <c r="N208" s="225"/>
      <c r="O208" s="226">
        <f>IFERROR(__xludf.DUMMYFUNCTION("""COMPUTED_VALUE"""),22.0)</f>
        <v>22</v>
      </c>
      <c r="P208" s="226"/>
      <c r="Q208" s="225">
        <f>IFERROR(__xludf.DUMMYFUNCTION("""COMPUTED_VALUE"""),0.0048)</f>
        <v>0.0048</v>
      </c>
      <c r="R208" s="225"/>
      <c r="S208" s="226">
        <f>IFERROR(__xludf.DUMMYFUNCTION("""COMPUTED_VALUE"""),2.0)</f>
        <v>2</v>
      </c>
      <c r="T208" s="226">
        <f>IFERROR(__xludf.DUMMYFUNCTION("""COMPUTED_VALUE"""),20.0)</f>
        <v>20</v>
      </c>
      <c r="U208" s="224">
        <f>IFERROR(__xludf.DUMMYFUNCTION("""COMPUTED_VALUE"""),4316.0)</f>
        <v>4316</v>
      </c>
      <c r="V208" s="221" t="str">
        <f>IFERROR(__xludf.DUMMYFUNCTION("""COMPUTED_VALUE"""),"online")</f>
        <v>online</v>
      </c>
      <c r="W208" s="231" t="str">
        <f>IFERROR(__xludf.DUMMYFUNCTION("""COMPUTED_VALUE"""),"SMS")</f>
        <v>SMS</v>
      </c>
      <c r="X208" s="231" t="str">
        <f>IFERROR(__xludf.DUMMYFUNCTION("""COMPUTED_VALUE"""),"No brief")</f>
        <v>No brief</v>
      </c>
      <c r="Y208" s="231" t="str">
        <f>IFERROR(__xludf.DUMMYFUNCTION("""COMPUTED_VALUE"""),"3rd March")</f>
        <v>3rd March</v>
      </c>
      <c r="Z208" s="231" t="str">
        <f>IFERROR(__xludf.DUMMYFUNCTION("""COMPUTED_VALUE"""),"69a58d30af1847002a8bc696")</f>
        <v>69a58d30af1847002a8bc696</v>
      </c>
      <c r="AA208" s="229">
        <f>IFERROR(__xludf.DUMMYFUNCTION("""COMPUTED_VALUE"""),2.0)</f>
        <v>2</v>
      </c>
      <c r="AB208" s="229">
        <f>IFERROR(__xludf.DUMMYFUNCTION("""COMPUTED_VALUE"""),2.0)</f>
        <v>2</v>
      </c>
      <c r="AC208" s="229"/>
      <c r="AD208" s="229">
        <f>IFERROR(__xludf.DUMMYFUNCTION("""COMPUTED_VALUE"""),7015.0)</f>
        <v>7015</v>
      </c>
      <c r="AE208" s="229">
        <f>IFERROR(__xludf.DUMMYFUNCTION("""COMPUTED_VALUE"""),7015.0)</f>
        <v>7015</v>
      </c>
      <c r="AF208" s="229"/>
      <c r="AG208" s="208"/>
      <c r="AH208" s="208"/>
      <c r="AI208" s="208"/>
      <c r="AJ208" s="208"/>
      <c r="AK208" s="208"/>
    </row>
    <row r="209" hidden="1">
      <c r="A209" s="245">
        <f>IFERROR(__xludf.DUMMYFUNCTION("""COMPUTED_VALUE"""),46084.0)</f>
        <v>46084</v>
      </c>
      <c r="B209" s="246">
        <f>IFERROR(__xludf.DUMMYFUNCTION("""COMPUTED_VALUE"""),0.75)</f>
        <v>0.75</v>
      </c>
      <c r="C209" s="221" t="str">
        <f>IFERROR(__xludf.DUMMYFUNCTION("""COMPUTED_VALUE"""),"Sms")</f>
        <v>Sms</v>
      </c>
      <c r="D209" s="221" t="str">
        <f>IFERROR(__xludf.DUMMYFUNCTION("""COMPUTED_VALUE"""),"Promotional")</f>
        <v>Promotional</v>
      </c>
      <c r="E209" s="221" t="str">
        <f>IFERROR(__xludf.DUMMYFUNCTION("""COMPUTED_VALUE"""),"BBW")</f>
        <v>BBW</v>
      </c>
      <c r="F209" s="222" t="str">
        <f>IFERROR(__xludf.DUMMYFUNCTION("""COMPUTED_VALUE"""),"B2G2")</f>
        <v>B2G2</v>
      </c>
      <c r="G209" s="221" t="str">
        <f>IFERROR(__xludf.DUMMYFUNCTION("""COMPUTED_VALUE"""),"bbw_3.3_b2g2_repeat_discount_sms")</f>
        <v>bbw_3.3_b2g2_repeat_discount_sms</v>
      </c>
      <c r="H209" s="269" t="str">
        <f>IFERROR(__xludf.DUMMYFUNCTION("""COMPUTED_VALUE"""),"Repeat_Discount_On_B2G2")</f>
        <v>Repeat_Discount_On_B2G2</v>
      </c>
      <c r="I209" s="223" t="str">
        <f>IFERROR(__xludf.DUMMYFUNCTION("""COMPUTED_VALUE"""),"Online Customers who have purchased at least 2 (excluding L1: Gifting) times in the last 36 month with discount value exceeding 0")</f>
        <v>Online Customers who have purchased at least 2 (excluding L1: Gifting) times in the last 36 month with discount value exceeding 0</v>
      </c>
      <c r="J209" s="213">
        <f>IFERROR(__xludf.DUMMYFUNCTION("""COMPUTED_VALUE"""),55883.0)</f>
        <v>55883</v>
      </c>
      <c r="K209" s="213">
        <f>IFERROR(__xludf.DUMMYFUNCTION("""COMPUTED_VALUE"""),33179.0)</f>
        <v>33179</v>
      </c>
      <c r="L209" s="214">
        <f>IFERROR(__xludf.DUMMYFUNCTION("""COMPUTED_VALUE"""),0.5937)</f>
        <v>0.5937</v>
      </c>
      <c r="M209" s="213"/>
      <c r="N209" s="214"/>
      <c r="O209" s="213">
        <f>IFERROR(__xludf.DUMMYFUNCTION("""COMPUTED_VALUE"""),47.0)</f>
        <v>47</v>
      </c>
      <c r="P209" s="213"/>
      <c r="Q209" s="214">
        <f>IFERROR(__xludf.DUMMYFUNCTION("""COMPUTED_VALUE"""),0.0014)</f>
        <v>0.0014</v>
      </c>
      <c r="R209" s="214"/>
      <c r="S209" s="101">
        <f>IFERROR(__xludf.DUMMYFUNCTION("""COMPUTED_VALUE"""),1.0)</f>
        <v>1</v>
      </c>
      <c r="T209" s="101">
        <f>IFERROR(__xludf.DUMMYFUNCTION("""COMPUTED_VALUE"""),8.0)</f>
        <v>8</v>
      </c>
      <c r="U209" s="213">
        <f>IFERROR(__xludf.DUMMYFUNCTION("""COMPUTED_VALUE"""),2787.0)</f>
        <v>2787</v>
      </c>
      <c r="V209" s="271" t="str">
        <f>IFERROR(__xludf.DUMMYFUNCTION("""COMPUTED_VALUE"""),"online")</f>
        <v>online</v>
      </c>
      <c r="W209" s="98" t="str">
        <f>IFERROR(__xludf.DUMMYFUNCTION("""COMPUTED_VALUE"""),"SMS")</f>
        <v>SMS</v>
      </c>
      <c r="X209" s="98" t="str">
        <f>IFERROR(__xludf.DUMMYFUNCTION("""COMPUTED_VALUE"""),"No brief")</f>
        <v>No brief</v>
      </c>
      <c r="Y209" s="98" t="str">
        <f>IFERROR(__xludf.DUMMYFUNCTION("""COMPUTED_VALUE"""),"3rd March")</f>
        <v>3rd March</v>
      </c>
      <c r="Z209" s="98" t="str">
        <f>IFERROR(__xludf.DUMMYFUNCTION("""COMPUTED_VALUE"""),"69a58d923fe30cc11902a907")</f>
        <v>69a58d923fe30cc11902a907</v>
      </c>
      <c r="AA209" s="98">
        <f>IFERROR(__xludf.DUMMYFUNCTION("""COMPUTED_VALUE"""),7.0)</f>
        <v>7</v>
      </c>
      <c r="AB209" s="98">
        <f>IFERROR(__xludf.DUMMYFUNCTION("""COMPUTED_VALUE"""),7.0)</f>
        <v>7</v>
      </c>
      <c r="AC209" s="98"/>
      <c r="AD209" s="98">
        <f>IFERROR(__xludf.DUMMYFUNCTION("""COMPUTED_VALUE"""),14138.0)</f>
        <v>14138</v>
      </c>
      <c r="AE209" s="98">
        <f>IFERROR(__xludf.DUMMYFUNCTION("""COMPUTED_VALUE"""),14138.0)</f>
        <v>14138</v>
      </c>
      <c r="AF209" s="98"/>
      <c r="AG209" s="208"/>
      <c r="AH209" s="208"/>
      <c r="AI209" s="208"/>
      <c r="AJ209" s="208"/>
      <c r="AK209" s="208"/>
    </row>
    <row r="210" hidden="1">
      <c r="A210" s="219">
        <f>IFERROR(__xludf.DUMMYFUNCTION("""COMPUTED_VALUE"""),46084.0)</f>
        <v>46084</v>
      </c>
      <c r="B210" s="220">
        <f>IFERROR(__xludf.DUMMYFUNCTION("""COMPUTED_VALUE"""),0.75)</f>
        <v>0.75</v>
      </c>
      <c r="C210" s="221" t="str">
        <f>IFERROR(__xludf.DUMMYFUNCTION("""COMPUTED_VALUE"""),"Sms")</f>
        <v>Sms</v>
      </c>
      <c r="D210" s="221" t="str">
        <f>IFERROR(__xludf.DUMMYFUNCTION("""COMPUTED_VALUE"""),"Promotional")</f>
        <v>Promotional</v>
      </c>
      <c r="E210" s="221" t="str">
        <f>IFERROR(__xludf.DUMMYFUNCTION("""COMPUTED_VALUE"""),"BBW")</f>
        <v>BBW</v>
      </c>
      <c r="F210" s="221" t="str">
        <f>IFERROR(__xludf.DUMMYFUNCTION("""COMPUTED_VALUE"""),"B2G2")</f>
        <v>B2G2</v>
      </c>
      <c r="G210" s="221" t="str">
        <f>IFERROR(__xludf.DUMMYFUNCTION("""COMPUTED_VALUE"""),"bbw_3.3_b2g2_view_promo_sms")</f>
        <v>bbw_3.3_b2g2_view_promo_sms</v>
      </c>
      <c r="H210" s="223" t="str">
        <f>IFERROR(__xludf.DUMMYFUNCTION("""COMPUTED_VALUE"""),"B2G2_View Promo_ON OR AGIPL_Internal OR BBW_Internal")</f>
        <v>B2G2_View Promo_ON OR AGIPL_Internal OR BBW_Internal</v>
      </c>
      <c r="I210" s="223" t="str">
        <f>IFERROR(__xludf.DUMMYFUNCTION("""COMPUTED_VALUE"""),"Online Customers viewing item whose Promo name contains B2G2")</f>
        <v>Online Customers viewing item whose Promo name contains B2G2</v>
      </c>
      <c r="J210" s="224">
        <f>IFERROR(__xludf.DUMMYFUNCTION("""COMPUTED_VALUE"""),2787.0)</f>
        <v>2787</v>
      </c>
      <c r="K210" s="224">
        <f>IFERROR(__xludf.DUMMYFUNCTION("""COMPUTED_VALUE"""),1946.0)</f>
        <v>1946</v>
      </c>
      <c r="L210" s="225">
        <f>IFERROR(__xludf.DUMMYFUNCTION("""COMPUTED_VALUE"""),0.6982)</f>
        <v>0.6982</v>
      </c>
      <c r="M210" s="224"/>
      <c r="N210" s="225"/>
      <c r="O210" s="226">
        <f>IFERROR(__xludf.DUMMYFUNCTION("""COMPUTED_VALUE"""),13.0)</f>
        <v>13</v>
      </c>
      <c r="P210" s="226"/>
      <c r="Q210" s="225">
        <f>IFERROR(__xludf.DUMMYFUNCTION("""COMPUTED_VALUE"""),0.0067)</f>
        <v>0.0067</v>
      </c>
      <c r="R210" s="225"/>
      <c r="S210" s="226">
        <f>IFERROR(__xludf.DUMMYFUNCTION("""COMPUTED_VALUE"""),2.0)</f>
        <v>2</v>
      </c>
      <c r="T210" s="226">
        <f>IFERROR(__xludf.DUMMYFUNCTION("""COMPUTED_VALUE"""),22.0)</f>
        <v>22</v>
      </c>
      <c r="U210" s="224">
        <f>IFERROR(__xludf.DUMMYFUNCTION("""COMPUTED_VALUE"""),9945.0)</f>
        <v>9945</v>
      </c>
      <c r="V210" s="221" t="str">
        <f>IFERROR(__xludf.DUMMYFUNCTION("""COMPUTED_VALUE"""),"online")</f>
        <v>online</v>
      </c>
      <c r="W210" s="231" t="str">
        <f>IFERROR(__xludf.DUMMYFUNCTION("""COMPUTED_VALUE"""),"SMS")</f>
        <v>SMS</v>
      </c>
      <c r="X210" s="231" t="str">
        <f>IFERROR(__xludf.DUMMYFUNCTION("""COMPUTED_VALUE"""),"No brief")</f>
        <v>No brief</v>
      </c>
      <c r="Y210" s="231" t="str">
        <f>IFERROR(__xludf.DUMMYFUNCTION("""COMPUTED_VALUE"""),"3rd March")</f>
        <v>3rd March</v>
      </c>
      <c r="Z210" s="231" t="str">
        <f>IFERROR(__xludf.DUMMYFUNCTION("""COMPUTED_VALUE"""),"69a58e08da8cd3ddc9d88f4c")</f>
        <v>69a58e08da8cd3ddc9d88f4c</v>
      </c>
      <c r="AA210" s="229">
        <f>IFERROR(__xludf.DUMMYFUNCTION("""COMPUTED_VALUE"""),3.0)</f>
        <v>3</v>
      </c>
      <c r="AB210" s="229">
        <f>IFERROR(__xludf.DUMMYFUNCTION("""COMPUTED_VALUE"""),3.0)</f>
        <v>3</v>
      </c>
      <c r="AC210" s="229"/>
      <c r="AD210" s="229">
        <f>IFERROR(__xludf.DUMMYFUNCTION("""COMPUTED_VALUE"""),11154.0)</f>
        <v>11154</v>
      </c>
      <c r="AE210" s="229">
        <f>IFERROR(__xludf.DUMMYFUNCTION("""COMPUTED_VALUE"""),11154.0)</f>
        <v>11154</v>
      </c>
      <c r="AF210" s="229"/>
      <c r="AG210" s="208"/>
      <c r="AH210" s="208"/>
      <c r="AI210" s="208"/>
      <c r="AJ210" s="208"/>
      <c r="AK210" s="208"/>
    </row>
    <row r="211" hidden="1">
      <c r="A211" s="219">
        <f>IFERROR(__xludf.DUMMYFUNCTION("""COMPUTED_VALUE"""),46086.0)</f>
        <v>46086</v>
      </c>
      <c r="B211" s="220">
        <f>IFERROR(__xludf.DUMMYFUNCTION("""COMPUTED_VALUE"""),0.4375)</f>
        <v>0.4375</v>
      </c>
      <c r="C211" s="221" t="str">
        <f>IFERROR(__xludf.DUMMYFUNCTION("""COMPUTED_VALUE"""),"Whatsapp")</f>
        <v>Whatsapp</v>
      </c>
      <c r="D211" s="221" t="str">
        <f>IFERROR(__xludf.DUMMYFUNCTION("""COMPUTED_VALUE"""),"Promotional")</f>
        <v>Promotional</v>
      </c>
      <c r="E211" s="221" t="str">
        <f>IFERROR(__xludf.DUMMYFUNCTION("""COMPUTED_VALUE"""),"BBW")</f>
        <v>BBW</v>
      </c>
      <c r="F211" s="221" t="str">
        <f>IFERROR(__xludf.DUMMYFUNCTION("""COMPUTED_VALUE"""),"B2G2")</f>
        <v>B2G2</v>
      </c>
      <c r="G211" s="221" t="str">
        <f>IFERROR(__xludf.DUMMYFUNCTION("""COMPUTED_VALUE"""),"bbw_03.3_B2G2_View Promo_wa")</f>
        <v>bbw_03.3_B2G2_View Promo_wa</v>
      </c>
      <c r="H211" s="223" t="str">
        <f>IFERROR(__xludf.DUMMYFUNCTION("""COMPUTED_VALUE"""),"B2G2_View Promo_ON")</f>
        <v>B2G2_View Promo_ON</v>
      </c>
      <c r="I211" s="223" t="str">
        <f>IFERROR(__xludf.DUMMYFUNCTION("""COMPUTED_VALUE"""),"Online Customers viewing item whose Promo name contains B2G2")</f>
        <v>Online Customers viewing item whose Promo name contains B2G2</v>
      </c>
      <c r="J211" s="224">
        <f>IFERROR(__xludf.DUMMYFUNCTION("""COMPUTED_VALUE"""),2735.0)</f>
        <v>2735</v>
      </c>
      <c r="K211" s="224">
        <f>IFERROR(__xludf.DUMMYFUNCTION("""COMPUTED_VALUE"""),1201.0)</f>
        <v>1201</v>
      </c>
      <c r="L211" s="225">
        <f>IFERROR(__xludf.DUMMYFUNCTION("""COMPUTED_VALUE"""),0.4391)</f>
        <v>0.4391</v>
      </c>
      <c r="M211" s="224">
        <f>IFERROR(__xludf.DUMMYFUNCTION("""COMPUTED_VALUE"""),610.0)</f>
        <v>610</v>
      </c>
      <c r="N211" s="225">
        <f>IFERROR(__xludf.DUMMYFUNCTION("""COMPUTED_VALUE"""),0.5079)</f>
        <v>0.5079</v>
      </c>
      <c r="O211" s="226">
        <f>IFERROR(__xludf.DUMMYFUNCTION("""COMPUTED_VALUE"""),92.0)</f>
        <v>92</v>
      </c>
      <c r="P211" s="226">
        <f>IFERROR(__xludf.DUMMYFUNCTION("""COMPUTED_VALUE"""),87.0)</f>
        <v>87</v>
      </c>
      <c r="Q211" s="225">
        <f>IFERROR(__xludf.DUMMYFUNCTION("""COMPUTED_VALUE"""),0.0724)</f>
        <v>0.0724</v>
      </c>
      <c r="R211" s="225">
        <f>IFERROR(__xludf.DUMMYFUNCTION("""COMPUTED_VALUE"""),0.1426)</f>
        <v>0.1426</v>
      </c>
      <c r="S211" s="226">
        <f>IFERROR(__xludf.DUMMYFUNCTION("""COMPUTED_VALUE"""),6.0)</f>
        <v>6</v>
      </c>
      <c r="T211" s="226">
        <f>IFERROR(__xludf.DUMMYFUNCTION("""COMPUTED_VALUE"""),37.0)</f>
        <v>37</v>
      </c>
      <c r="U211" s="224">
        <f>IFERROR(__xludf.DUMMYFUNCTION("""COMPUTED_VALUE"""),47630.0)</f>
        <v>47630</v>
      </c>
      <c r="V211" s="221" t="str">
        <f>IFERROR(__xludf.DUMMYFUNCTION("""COMPUTED_VALUE"""),"online")</f>
        <v>online</v>
      </c>
      <c r="W211" s="231" t="str">
        <f>IFERROR(__xludf.DUMMYFUNCTION("""COMPUTED_VALUE"""),"simple")</f>
        <v>simple</v>
      </c>
      <c r="X211" s="231" t="str">
        <f>IFERROR(__xludf.DUMMYFUNCTION("""COMPUTED_VALUE"""),"No Brief")</f>
        <v>No Brief</v>
      </c>
      <c r="Y211" s="231" t="str">
        <f>IFERROR(__xludf.DUMMYFUNCTION("""COMPUTED_VALUE"""),"5-7 March")</f>
        <v>5-7 March</v>
      </c>
      <c r="Z211" s="231" t="str">
        <f>IFERROR(__xludf.DUMMYFUNCTION("""COMPUTED_VALUE"""),"69a6c4b5516592ffeac622a1")</f>
        <v>69a6c4b5516592ffeac622a1</v>
      </c>
      <c r="AA211" s="229">
        <f>IFERROR(__xludf.DUMMYFUNCTION("""COMPUTED_VALUE"""),9.0)</f>
        <v>9</v>
      </c>
      <c r="AB211" s="229">
        <f>IFERROR(__xludf.DUMMYFUNCTION("""COMPUTED_VALUE"""),9.0)</f>
        <v>9</v>
      </c>
      <c r="AC211" s="229"/>
      <c r="AD211" s="229">
        <f>IFERROR(__xludf.DUMMYFUNCTION("""COMPUTED_VALUE"""),57085.0)</f>
        <v>57085</v>
      </c>
      <c r="AE211" s="229">
        <f>IFERROR(__xludf.DUMMYFUNCTION("""COMPUTED_VALUE"""),57085.0)</f>
        <v>57085</v>
      </c>
      <c r="AF211" s="229"/>
      <c r="AG211" s="208"/>
      <c r="AH211" s="208"/>
      <c r="AI211" s="208"/>
      <c r="AJ211" s="208"/>
      <c r="AK211" s="208"/>
    </row>
    <row r="212" hidden="1">
      <c r="A212" s="216">
        <f>IFERROR(__xludf.DUMMYFUNCTION("""COMPUTED_VALUE"""),46086.0)</f>
        <v>46086</v>
      </c>
      <c r="B212" s="210">
        <f>IFERROR(__xludf.DUMMYFUNCTION("""COMPUTED_VALUE"""),0.4375)</f>
        <v>0.4375</v>
      </c>
      <c r="C212" s="210" t="str">
        <f>IFERROR(__xludf.DUMMYFUNCTION("""COMPUTED_VALUE"""),"Whatsapp")</f>
        <v>Whatsapp</v>
      </c>
      <c r="D212" s="210" t="str">
        <f>IFERROR(__xludf.DUMMYFUNCTION("""COMPUTED_VALUE"""),"Promotional")</f>
        <v>Promotional</v>
      </c>
      <c r="E212" s="211" t="str">
        <f>IFERROR(__xludf.DUMMYFUNCTION("""COMPUTED_VALUE"""),"BBW")</f>
        <v>BBW</v>
      </c>
      <c r="F212" s="211" t="str">
        <f>IFERROR(__xludf.DUMMYFUNCTION("""COMPUTED_VALUE"""),"B2G2")</f>
        <v>B2G2</v>
      </c>
      <c r="G212" s="211" t="str">
        <f>IFERROR(__xludf.DUMMYFUNCTION("""COMPUTED_VALUE"""),"bbw_03.3_Loyal_B2G2_wa")</f>
        <v>bbw_03.3_Loyal_B2G2_wa</v>
      </c>
      <c r="H212" s="211" t="str">
        <f>IFERROR(__xludf.DUMMYFUNCTION("""COMPUTED_VALUE"""),"Loyal_B2G2_ONOFF")</f>
        <v>Loyal_B2G2_ONOFF</v>
      </c>
      <c r="I212" s="223" t="str">
        <f>IFERROR(__xludf.DUMMYFUNCTION("""COMPUTED_VALUE"""),"Customers who are purchasing atleast 3 times in the last 36 months where Cat L1 does not contains Gifting And Exclude customers who have purchased in the last 3 months")</f>
        <v>Customers who are purchasing atleast 3 times in the last 36 months where Cat L1 does not contains Gifting And Exclude customers who have purchased in the last 3 months</v>
      </c>
      <c r="J212" s="213">
        <f>IFERROR(__xludf.DUMMYFUNCTION("""COMPUTED_VALUE"""),93522.0)</f>
        <v>93522</v>
      </c>
      <c r="K212" s="213">
        <f>IFERROR(__xludf.DUMMYFUNCTION("""COMPUTED_VALUE"""),33808.0)</f>
        <v>33808</v>
      </c>
      <c r="L212" s="214">
        <f>IFERROR(__xludf.DUMMYFUNCTION("""COMPUTED_VALUE"""),0.3615)</f>
        <v>0.3615</v>
      </c>
      <c r="M212" s="213">
        <f>IFERROR(__xludf.DUMMYFUNCTION("""COMPUTED_VALUE"""),13424.0)</f>
        <v>13424</v>
      </c>
      <c r="N212" s="214">
        <f>IFERROR(__xludf.DUMMYFUNCTION("""COMPUTED_VALUE"""),0.3971)</f>
        <v>0.3971</v>
      </c>
      <c r="O212" s="213">
        <f>IFERROR(__xludf.DUMMYFUNCTION("""COMPUTED_VALUE"""),1436.0)</f>
        <v>1436</v>
      </c>
      <c r="P212" s="213">
        <f>IFERROR(__xludf.DUMMYFUNCTION("""COMPUTED_VALUE"""),1328.0)</f>
        <v>1328</v>
      </c>
      <c r="Q212" s="214">
        <f>IFERROR(__xludf.DUMMYFUNCTION("""COMPUTED_VALUE"""),0.0393)</f>
        <v>0.0393</v>
      </c>
      <c r="R212" s="214">
        <f>IFERROR(__xludf.DUMMYFUNCTION("""COMPUTED_VALUE"""),0.0989)</f>
        <v>0.0989</v>
      </c>
      <c r="S212" s="101">
        <f>IFERROR(__xludf.DUMMYFUNCTION("""COMPUTED_VALUE"""),15.0)</f>
        <v>15</v>
      </c>
      <c r="T212" s="101">
        <f>IFERROR(__xludf.DUMMYFUNCTION("""COMPUTED_VALUE"""),31.0)</f>
        <v>31</v>
      </c>
      <c r="U212" s="213">
        <f>IFERROR(__xludf.DUMMYFUNCTION("""COMPUTED_VALUE"""),72185.0)</f>
        <v>72185</v>
      </c>
      <c r="V212" s="271" t="str">
        <f>IFERROR(__xludf.DUMMYFUNCTION("""COMPUTED_VALUE"""),"overall")</f>
        <v>overall</v>
      </c>
      <c r="W212" s="98" t="str">
        <f>IFERROR(__xludf.DUMMYFUNCTION("""COMPUTED_VALUE"""),"simple")</f>
        <v>simple</v>
      </c>
      <c r="X212" s="98" t="str">
        <f>IFERROR(__xludf.DUMMYFUNCTION("""COMPUTED_VALUE"""),"No brief")</f>
        <v>No brief</v>
      </c>
      <c r="Y212" s="98" t="str">
        <f>IFERROR(__xludf.DUMMYFUNCTION("""COMPUTED_VALUE"""),"5-7 March")</f>
        <v>5-7 March</v>
      </c>
      <c r="Z212" s="98" t="str">
        <f>IFERROR(__xludf.DUMMYFUNCTION("""COMPUTED_VALUE"""),"69a6c4bc76e5cac39f0c3675")</f>
        <v>69a6c4bc76e5cac39f0c3675</v>
      </c>
      <c r="AA212" s="98">
        <f>IFERROR(__xludf.DUMMYFUNCTION("""COMPUTED_VALUE"""),204.0)</f>
        <v>204</v>
      </c>
      <c r="AB212" s="98">
        <f>IFERROR(__xludf.DUMMYFUNCTION("""COMPUTED_VALUE"""),69.0)</f>
        <v>69</v>
      </c>
      <c r="AC212" s="98">
        <f>IFERROR(__xludf.DUMMYFUNCTION("""COMPUTED_VALUE"""),135.0)</f>
        <v>135</v>
      </c>
      <c r="AD212" s="98">
        <f>IFERROR(__xludf.DUMMYFUNCTION("""COMPUTED_VALUE"""),1060832.0)</f>
        <v>1060832</v>
      </c>
      <c r="AE212" s="98">
        <f>IFERROR(__xludf.DUMMYFUNCTION("""COMPUTED_VALUE"""),322446.0)</f>
        <v>322446</v>
      </c>
      <c r="AF212" s="98">
        <f>IFERROR(__xludf.DUMMYFUNCTION("""COMPUTED_VALUE"""),738386.0)</f>
        <v>738386</v>
      </c>
      <c r="AG212" s="208"/>
      <c r="AH212" s="208"/>
      <c r="AI212" s="208"/>
      <c r="AJ212" s="208"/>
      <c r="AK212" s="208"/>
    </row>
    <row r="213" hidden="1">
      <c r="A213" s="219">
        <f>IFERROR(__xludf.DUMMYFUNCTION("""COMPUTED_VALUE"""),46086.0)</f>
        <v>46086</v>
      </c>
      <c r="B213" s="220">
        <f>IFERROR(__xludf.DUMMYFUNCTION("""COMPUTED_VALUE"""),0.4375)</f>
        <v>0.4375</v>
      </c>
      <c r="C213" s="221" t="str">
        <f>IFERROR(__xludf.DUMMYFUNCTION("""COMPUTED_VALUE"""),"Whatsapp")</f>
        <v>Whatsapp</v>
      </c>
      <c r="D213" s="221" t="str">
        <f>IFERROR(__xludf.DUMMYFUNCTION("""COMPUTED_VALUE"""),"Promotional")</f>
        <v>Promotional</v>
      </c>
      <c r="E213" s="221" t="str">
        <f>IFERROR(__xludf.DUMMYFUNCTION("""COMPUTED_VALUE"""),"BBW")</f>
        <v>BBW</v>
      </c>
      <c r="F213" s="221" t="str">
        <f>IFERROR(__xludf.DUMMYFUNCTION("""COMPUTED_VALUE"""),"B2G2")</f>
        <v>B2G2</v>
      </c>
      <c r="G213" s="221" t="str">
        <f>IFERROR(__xludf.DUMMYFUNCTION("""COMPUTED_VALUE"""),"bbw_3.3_UPT_3_B2G2_wa")</f>
        <v>bbw_3.3_UPT_3_B2G2_wa</v>
      </c>
      <c r="H213" s="223" t="str">
        <f>IFERROR(__xludf.DUMMYFUNCTION("""COMPUTED_VALUE"""),"UPT_3_ONOFF_B2G2")</f>
        <v>UPT_3_ONOFF_B2G2</v>
      </c>
      <c r="I213" s="223" t="str">
        <f>IFERROR(__xludf.DUMMYFUNCTION("""COMPUTED_VALUE"""),"Customers who have purchased in the last 18 months with UPT greater than 3 in single order And Exclude customers who have purchased in the last 3 months")</f>
        <v>Customers who have purchased in the last 18 months with UPT greater than 3 in single order And Exclude customers who have purchased in the last 3 months</v>
      </c>
      <c r="J213" s="224">
        <f>IFERROR(__xludf.DUMMYFUNCTION("""COMPUTED_VALUE"""),205454.0)</f>
        <v>205454</v>
      </c>
      <c r="K213" s="224">
        <f>IFERROR(__xludf.DUMMYFUNCTION("""COMPUTED_VALUE"""),92928.0)</f>
        <v>92928</v>
      </c>
      <c r="L213" s="225">
        <f>IFERROR(__xludf.DUMMYFUNCTION("""COMPUTED_VALUE"""),0.4523)</f>
        <v>0.4523</v>
      </c>
      <c r="M213" s="224">
        <f>IFERROR(__xludf.DUMMYFUNCTION("""COMPUTED_VALUE"""),35328.0)</f>
        <v>35328</v>
      </c>
      <c r="N213" s="225">
        <f>IFERROR(__xludf.DUMMYFUNCTION("""COMPUTED_VALUE"""),0.3802)</f>
        <v>0.3802</v>
      </c>
      <c r="O213" s="226">
        <f>IFERROR(__xludf.DUMMYFUNCTION("""COMPUTED_VALUE"""),2896.0)</f>
        <v>2896</v>
      </c>
      <c r="P213" s="226">
        <f>IFERROR(__xludf.DUMMYFUNCTION("""COMPUTED_VALUE"""),2750.0)</f>
        <v>2750</v>
      </c>
      <c r="Q213" s="225">
        <f>IFERROR(__xludf.DUMMYFUNCTION("""COMPUTED_VALUE"""),0.0296)</f>
        <v>0.0296</v>
      </c>
      <c r="R213" s="225">
        <f>IFERROR(__xludf.DUMMYFUNCTION("""COMPUTED_VALUE"""),0.0778)</f>
        <v>0.0778</v>
      </c>
      <c r="S213" s="226">
        <f>IFERROR(__xludf.DUMMYFUNCTION("""COMPUTED_VALUE"""),16.0)</f>
        <v>16</v>
      </c>
      <c r="T213" s="226">
        <f>IFERROR(__xludf.DUMMYFUNCTION("""COMPUTED_VALUE"""),27.0)</f>
        <v>27</v>
      </c>
      <c r="U213" s="224">
        <f>IFERROR(__xludf.DUMMYFUNCTION("""COMPUTED_VALUE"""),73885.0)</f>
        <v>73885</v>
      </c>
      <c r="V213" s="221" t="str">
        <f>IFERROR(__xludf.DUMMYFUNCTION("""COMPUTED_VALUE"""),"overall")</f>
        <v>overall</v>
      </c>
      <c r="W213" s="231" t="str">
        <f>IFERROR(__xludf.DUMMYFUNCTION("""COMPUTED_VALUE"""),"simple")</f>
        <v>simple</v>
      </c>
      <c r="X213" s="231" t="str">
        <f>IFERROR(__xludf.DUMMYFUNCTION("""COMPUTED_VALUE"""),"No brief")</f>
        <v>No brief</v>
      </c>
      <c r="Y213" s="231" t="str">
        <f>IFERROR(__xludf.DUMMYFUNCTION("""COMPUTED_VALUE"""),"5-7 March")</f>
        <v>5-7 March</v>
      </c>
      <c r="Z213" s="231" t="str">
        <f>IFERROR(__xludf.DUMMYFUNCTION("""COMPUTED_VALUE"""),"69a6c4c2c492c934d729fbe0")</f>
        <v>69a6c4c2c492c934d729fbe0</v>
      </c>
      <c r="AA213" s="229">
        <f>IFERROR(__xludf.DUMMYFUNCTION("""COMPUTED_VALUE"""),234.0)</f>
        <v>234</v>
      </c>
      <c r="AB213" s="229">
        <f>IFERROR(__xludf.DUMMYFUNCTION("""COMPUTED_VALUE"""),54.0)</f>
        <v>54</v>
      </c>
      <c r="AC213" s="229">
        <f>IFERROR(__xludf.DUMMYFUNCTION("""COMPUTED_VALUE"""),180.0)</f>
        <v>180</v>
      </c>
      <c r="AD213" s="229">
        <f>IFERROR(__xludf.DUMMYFUNCTION("""COMPUTED_VALUE"""),1218661.0)</f>
        <v>1218661</v>
      </c>
      <c r="AE213" s="229">
        <f>IFERROR(__xludf.DUMMYFUNCTION("""COMPUTED_VALUE"""),255655.0)</f>
        <v>255655</v>
      </c>
      <c r="AF213" s="229">
        <f>IFERROR(__xludf.DUMMYFUNCTION("""COMPUTED_VALUE"""),963006.0)</f>
        <v>963006</v>
      </c>
      <c r="AG213" s="208"/>
      <c r="AH213" s="208"/>
      <c r="AI213" s="208"/>
      <c r="AJ213" s="208"/>
      <c r="AK213" s="208"/>
    </row>
    <row r="214" hidden="1">
      <c r="A214" s="219">
        <f>IFERROR(__xludf.DUMMYFUNCTION("""COMPUTED_VALUE"""),46086.0)</f>
        <v>46086</v>
      </c>
      <c r="B214" s="220">
        <f>IFERROR(__xludf.DUMMYFUNCTION("""COMPUTED_VALUE"""),0.4375)</f>
        <v>0.4375</v>
      </c>
      <c r="C214" s="221" t="str">
        <f>IFERROR(__xludf.DUMMYFUNCTION("""COMPUTED_VALUE"""),"Whatsapp")</f>
        <v>Whatsapp</v>
      </c>
      <c r="D214" s="221" t="str">
        <f>IFERROR(__xludf.DUMMYFUNCTION("""COMPUTED_VALUE"""),"Promotional")</f>
        <v>Promotional</v>
      </c>
      <c r="E214" s="221" t="str">
        <f>IFERROR(__xludf.DUMMYFUNCTION("""COMPUTED_VALUE"""),"BBW")</f>
        <v>BBW</v>
      </c>
      <c r="F214" s="221" t="str">
        <f>IFERROR(__xludf.DUMMYFUNCTION("""COMPUTED_VALUE"""),"B2G2")</f>
        <v>B2G2</v>
      </c>
      <c r="G214" s="221" t="str">
        <f>IFERROR(__xludf.DUMMYFUNCTION("""COMPUTED_VALUE"""),"bbw_3.3_AOV_3499_wa")</f>
        <v>bbw_3.3_AOV_3499_wa</v>
      </c>
      <c r="H214" s="223" t="str">
        <f>IFERROR(__xludf.DUMMYFUNCTION("""COMPUTED_VALUE"""),"AOV_3499_OnOff")</f>
        <v>AOV_3499_OnOff</v>
      </c>
      <c r="I214" s="223" t="str">
        <f>IFERROR(__xludf.DUMMYFUNCTION("""COMPUTED_VALUE"""),"Customers who have purchased at least once in the last 18 months with AOV of min 3499 And Exclude customers who have purchased in the last 3 months")</f>
        <v>Customers who have purchased at least once in the last 18 months with AOV of min 3499 And Exclude customers who have purchased in the last 3 months</v>
      </c>
      <c r="J214" s="224">
        <f>IFERROR(__xludf.DUMMYFUNCTION("""COMPUTED_VALUE"""),8912.0)</f>
        <v>8912</v>
      </c>
      <c r="K214" s="224">
        <f>IFERROR(__xludf.DUMMYFUNCTION("""COMPUTED_VALUE"""),3480.0)</f>
        <v>3480</v>
      </c>
      <c r="L214" s="225">
        <f>IFERROR(__xludf.DUMMYFUNCTION("""COMPUTED_VALUE"""),0.3905)</f>
        <v>0.3905</v>
      </c>
      <c r="M214" s="224">
        <f>IFERROR(__xludf.DUMMYFUNCTION("""COMPUTED_VALUE"""),1318.0)</f>
        <v>1318</v>
      </c>
      <c r="N214" s="225">
        <f>IFERROR(__xludf.DUMMYFUNCTION("""COMPUTED_VALUE"""),0.3787)</f>
        <v>0.3787</v>
      </c>
      <c r="O214" s="226">
        <f>IFERROR(__xludf.DUMMYFUNCTION("""COMPUTED_VALUE"""),81.0)</f>
        <v>81</v>
      </c>
      <c r="P214" s="226">
        <f>IFERROR(__xludf.DUMMYFUNCTION("""COMPUTED_VALUE"""),74.0)</f>
        <v>74</v>
      </c>
      <c r="Q214" s="225">
        <f>IFERROR(__xludf.DUMMYFUNCTION("""COMPUTED_VALUE"""),0.0213)</f>
        <v>0.0213</v>
      </c>
      <c r="R214" s="225">
        <f>IFERROR(__xludf.DUMMYFUNCTION("""COMPUTED_VALUE"""),0.0561)</f>
        <v>0.0561</v>
      </c>
      <c r="S214" s="226">
        <f>IFERROR(__xludf.DUMMYFUNCTION("""COMPUTED_VALUE"""),0.0)</f>
        <v>0</v>
      </c>
      <c r="T214" s="226">
        <f>IFERROR(__xludf.DUMMYFUNCTION("""COMPUTED_VALUE"""),0.0)</f>
        <v>0</v>
      </c>
      <c r="U214" s="224">
        <f>IFERROR(__xludf.DUMMYFUNCTION("""COMPUTED_VALUE"""),0.0)</f>
        <v>0</v>
      </c>
      <c r="V214" s="221" t="str">
        <f>IFERROR(__xludf.DUMMYFUNCTION("""COMPUTED_VALUE"""),"overall")</f>
        <v>overall</v>
      </c>
      <c r="W214" s="231" t="str">
        <f>IFERROR(__xludf.DUMMYFUNCTION("""COMPUTED_VALUE"""),"simple")</f>
        <v>simple</v>
      </c>
      <c r="X214" s="231" t="str">
        <f>IFERROR(__xludf.DUMMYFUNCTION("""COMPUTED_VALUE"""),"No brief")</f>
        <v>No brief</v>
      </c>
      <c r="Y214" s="231" t="str">
        <f>IFERROR(__xludf.DUMMYFUNCTION("""COMPUTED_VALUE"""),"5-7 March")</f>
        <v>5-7 March</v>
      </c>
      <c r="Z214" s="231" t="str">
        <f>IFERROR(__xludf.DUMMYFUNCTION("""COMPUTED_VALUE"""),"69a6c4c983556178d43f29fe")</f>
        <v>69a6c4c983556178d43f29fe</v>
      </c>
      <c r="AA214" s="229">
        <f>IFERROR(__xludf.DUMMYFUNCTION("""COMPUTED_VALUE"""),7.0)</f>
        <v>7</v>
      </c>
      <c r="AB214" s="229">
        <f>IFERROR(__xludf.DUMMYFUNCTION("""COMPUTED_VALUE"""),2.0)</f>
        <v>2</v>
      </c>
      <c r="AC214" s="229">
        <f>IFERROR(__xludf.DUMMYFUNCTION("""COMPUTED_VALUE"""),5.0)</f>
        <v>5</v>
      </c>
      <c r="AD214" s="229">
        <f>IFERROR(__xludf.DUMMYFUNCTION("""COMPUTED_VALUE"""),31386.0)</f>
        <v>31386</v>
      </c>
      <c r="AE214" s="229">
        <f>IFERROR(__xludf.DUMMYFUNCTION("""COMPUTED_VALUE"""),8396.0)</f>
        <v>8396</v>
      </c>
      <c r="AF214" s="229">
        <f>IFERROR(__xludf.DUMMYFUNCTION("""COMPUTED_VALUE"""),22990.0)</f>
        <v>22990</v>
      </c>
      <c r="AG214" s="208"/>
      <c r="AH214" s="208"/>
      <c r="AI214" s="208"/>
      <c r="AJ214" s="208"/>
      <c r="AK214" s="208"/>
    </row>
    <row r="215" hidden="1">
      <c r="A215" s="245">
        <f>IFERROR(__xludf.DUMMYFUNCTION("""COMPUTED_VALUE"""),46086.0)</f>
        <v>46086</v>
      </c>
      <c r="B215" s="246">
        <f>IFERROR(__xludf.DUMMYFUNCTION("""COMPUTED_VALUE"""),0.5)</f>
        <v>0.5</v>
      </c>
      <c r="C215" s="221" t="str">
        <f>IFERROR(__xludf.DUMMYFUNCTION("""COMPUTED_VALUE"""),"Rcs")</f>
        <v>Rcs</v>
      </c>
      <c r="D215" s="221" t="str">
        <f>IFERROR(__xludf.DUMMYFUNCTION("""COMPUTED_VALUE"""),"Fallback Campaign")</f>
        <v>Fallback Campaign</v>
      </c>
      <c r="E215" s="221" t="str">
        <f>IFERROR(__xludf.DUMMYFUNCTION("""COMPUTED_VALUE"""),"BBW")</f>
        <v>BBW</v>
      </c>
      <c r="F215" s="222" t="str">
        <f>IFERROR(__xludf.DUMMYFUNCTION("""COMPUTED_VALUE"""),"B2G2")</f>
        <v>B2G2</v>
      </c>
      <c r="G215" s="221" t="str">
        <f>IFERROR(__xludf.DUMMYFUNCTION("""COMPUTED_VALUE"""),"bbw_3.3_UPT_3_B2G2_rc_fb")</f>
        <v>bbw_3.3_UPT_3_B2G2_rc_fb</v>
      </c>
      <c r="H215" s="269" t="str">
        <f>IFERROR(__xludf.DUMMYFUNCTION("""COMPUTED_VALUE"""),"UPT_3_ONOFF_B2G2")</f>
        <v>UPT_3_ONOFF_B2G2</v>
      </c>
      <c r="I215" s="223" t="str">
        <f>IFERROR(__xludf.DUMMYFUNCTION("""COMPUTED_VALUE"""),"WA Undelivered")</f>
        <v>WA Undelivered</v>
      </c>
      <c r="J215" s="213">
        <f>IFERROR(__xludf.DUMMYFUNCTION("""COMPUTED_VALUE"""),106206.0)</f>
        <v>106206</v>
      </c>
      <c r="K215" s="213">
        <f>IFERROR(__xludf.DUMMYFUNCTION("""COMPUTED_VALUE"""),21364.0)</f>
        <v>21364</v>
      </c>
      <c r="L215" s="214">
        <f>IFERROR(__xludf.DUMMYFUNCTION("""COMPUTED_VALUE"""),0.2012)</f>
        <v>0.2012</v>
      </c>
      <c r="M215" s="213"/>
      <c r="N215" s="214"/>
      <c r="O215" s="213">
        <f>IFERROR(__xludf.DUMMYFUNCTION("""COMPUTED_VALUE"""),84.0)</f>
        <v>84</v>
      </c>
      <c r="P215" s="213"/>
      <c r="Q215" s="214">
        <f>IFERROR(__xludf.DUMMYFUNCTION("""COMPUTED_VALUE"""),0.0039)</f>
        <v>0.0039</v>
      </c>
      <c r="R215" s="214"/>
      <c r="S215" s="101">
        <f>IFERROR(__xludf.DUMMYFUNCTION("""COMPUTED_VALUE"""),0.0)</f>
        <v>0</v>
      </c>
      <c r="T215" s="101">
        <f>IFERROR(__xludf.DUMMYFUNCTION("""COMPUTED_VALUE"""),0.0)</f>
        <v>0</v>
      </c>
      <c r="U215" s="213">
        <f>IFERROR(__xludf.DUMMYFUNCTION("""COMPUTED_VALUE"""),0.0)</f>
        <v>0</v>
      </c>
      <c r="V215" s="271" t="str">
        <f>IFERROR(__xludf.DUMMYFUNCTION("""COMPUTED_VALUE"""),"overall")</f>
        <v>overall</v>
      </c>
      <c r="W215" s="98" t="str">
        <f>IFERROR(__xludf.DUMMYFUNCTION("""COMPUTED_VALUE"""),"RCS")</f>
        <v>RCS</v>
      </c>
      <c r="X215" s="98" t="str">
        <f>IFERROR(__xludf.DUMMYFUNCTION("""COMPUTED_VALUE"""),"No brief")</f>
        <v>No brief</v>
      </c>
      <c r="Y215" s="98" t="str">
        <f>IFERROR(__xludf.DUMMYFUNCTION("""COMPUTED_VALUE"""),"5-7 March")</f>
        <v>5-7 March</v>
      </c>
      <c r="Z215" s="98" t="str">
        <f>IFERROR(__xludf.DUMMYFUNCTION("""COMPUTED_VALUE"""),"69a9177d85b474b3ae0bee0c")</f>
        <v>69a9177d85b474b3ae0bee0c</v>
      </c>
      <c r="AA215" s="98">
        <f>IFERROR(__xludf.DUMMYFUNCTION("""COMPUTED_VALUE"""),37.0)</f>
        <v>37</v>
      </c>
      <c r="AB215" s="98">
        <f>IFERROR(__xludf.DUMMYFUNCTION("""COMPUTED_VALUE"""),3.0)</f>
        <v>3</v>
      </c>
      <c r="AC215" s="98">
        <f>IFERROR(__xludf.DUMMYFUNCTION("""COMPUTED_VALUE"""),34.0)</f>
        <v>34</v>
      </c>
      <c r="AD215" s="98">
        <f>IFERROR(__xludf.DUMMYFUNCTION("""COMPUTED_VALUE"""),229992.0)</f>
        <v>229992</v>
      </c>
      <c r="AE215" s="98">
        <f>IFERROR(__xludf.DUMMYFUNCTION("""COMPUTED_VALUE"""),10888.0)</f>
        <v>10888</v>
      </c>
      <c r="AF215" s="98">
        <f>IFERROR(__xludf.DUMMYFUNCTION("""COMPUTED_VALUE"""),219104.0)</f>
        <v>219104</v>
      </c>
      <c r="AG215" s="208"/>
      <c r="AH215" s="208"/>
      <c r="AI215" s="208"/>
      <c r="AJ215" s="208"/>
      <c r="AK215" s="208"/>
    </row>
    <row r="216" hidden="1">
      <c r="A216" s="216">
        <f>IFERROR(__xludf.DUMMYFUNCTION("""COMPUTED_VALUE"""),46086.0)</f>
        <v>46086</v>
      </c>
      <c r="B216" s="217">
        <f>IFERROR(__xludf.DUMMYFUNCTION("""COMPUTED_VALUE"""),0.5)</f>
        <v>0.5</v>
      </c>
      <c r="C216" s="211" t="str">
        <f>IFERROR(__xludf.DUMMYFUNCTION("""COMPUTED_VALUE"""),"Rcs")</f>
        <v>Rcs</v>
      </c>
      <c r="D216" s="211" t="str">
        <f>IFERROR(__xludf.DUMMYFUNCTION("""COMPUTED_VALUE"""),"Fallback Campaign")</f>
        <v>Fallback Campaign</v>
      </c>
      <c r="E216" s="211" t="str">
        <f>IFERROR(__xludf.DUMMYFUNCTION("""COMPUTED_VALUE"""),"BBW")</f>
        <v>BBW</v>
      </c>
      <c r="F216" s="211" t="str">
        <f>IFERROR(__xludf.DUMMYFUNCTION("""COMPUTED_VALUE"""),"B2G2")</f>
        <v>B2G2</v>
      </c>
      <c r="G216" s="211" t="str">
        <f>IFERROR(__xludf.DUMMYFUNCTION("""COMPUTED_VALUE"""),"bbw_03.3_Loyal_B2G2_rcs_fb")</f>
        <v>bbw_03.3_Loyal_B2G2_rcs_fb</v>
      </c>
      <c r="H216" s="112" t="str">
        <f>IFERROR(__xludf.DUMMYFUNCTION("""COMPUTED_VALUE"""),"Loyal_B2G2_ONOFF")</f>
        <v>Loyal_B2G2_ONOFF</v>
      </c>
      <c r="I216" s="212" t="str">
        <f>IFERROR(__xludf.DUMMYFUNCTION("""COMPUTED_VALUE"""),"WA Undelivered")</f>
        <v>WA Undelivered</v>
      </c>
      <c r="J216" s="213">
        <f>IFERROR(__xludf.DUMMYFUNCTION("""COMPUTED_VALUE"""),57708.0)</f>
        <v>57708</v>
      </c>
      <c r="K216" s="213">
        <f>IFERROR(__xludf.DUMMYFUNCTION("""COMPUTED_VALUE"""),7680.0)</f>
        <v>7680</v>
      </c>
      <c r="L216" s="214">
        <f>IFERROR(__xludf.DUMMYFUNCTION("""COMPUTED_VALUE"""),0.1331)</f>
        <v>0.1331</v>
      </c>
      <c r="M216" s="213"/>
      <c r="N216" s="214"/>
      <c r="O216" s="213">
        <f>IFERROR(__xludf.DUMMYFUNCTION("""COMPUTED_VALUE"""),72.0)</f>
        <v>72</v>
      </c>
      <c r="P216" s="213"/>
      <c r="Q216" s="214">
        <f>IFERROR(__xludf.DUMMYFUNCTION("""COMPUTED_VALUE"""),0.0094)</f>
        <v>0.0094</v>
      </c>
      <c r="R216" s="214"/>
      <c r="S216" s="101">
        <f>IFERROR(__xludf.DUMMYFUNCTION("""COMPUTED_VALUE"""),2.0)</f>
        <v>2</v>
      </c>
      <c r="T216" s="101">
        <f>IFERROR(__xludf.DUMMYFUNCTION("""COMPUTED_VALUE"""),10.0)</f>
        <v>10</v>
      </c>
      <c r="U216" s="213">
        <f>IFERROR(__xludf.DUMMYFUNCTION("""COMPUTED_VALUE"""),8846.0)</f>
        <v>8846</v>
      </c>
      <c r="V216" s="271" t="str">
        <f>IFERROR(__xludf.DUMMYFUNCTION("""COMPUTED_VALUE"""),"overall")</f>
        <v>overall</v>
      </c>
      <c r="W216" s="98" t="str">
        <f>IFERROR(__xludf.DUMMYFUNCTION("""COMPUTED_VALUE"""),"RCS")</f>
        <v>RCS</v>
      </c>
      <c r="X216" s="98" t="str">
        <f>IFERROR(__xludf.DUMMYFUNCTION("""COMPUTED_VALUE"""),"No brief")</f>
        <v>No brief</v>
      </c>
      <c r="Y216" s="98" t="str">
        <f>IFERROR(__xludf.DUMMYFUNCTION("""COMPUTED_VALUE"""),"5-7 March")</f>
        <v>5-7 March</v>
      </c>
      <c r="Z216" s="98" t="str">
        <f>IFERROR(__xludf.DUMMYFUNCTION("""COMPUTED_VALUE"""),"69a917907751511454797aed")</f>
        <v>69a917907751511454797aed</v>
      </c>
      <c r="AA216" s="98">
        <f>IFERROR(__xludf.DUMMYFUNCTION("""COMPUTED_VALUE"""),44.0)</f>
        <v>44</v>
      </c>
      <c r="AB216" s="98">
        <f>IFERROR(__xludf.DUMMYFUNCTION("""COMPUTED_VALUE"""),11.0)</f>
        <v>11</v>
      </c>
      <c r="AC216" s="98">
        <f>IFERROR(__xludf.DUMMYFUNCTION("""COMPUTED_VALUE"""),33.0)</f>
        <v>33</v>
      </c>
      <c r="AD216" s="98">
        <f>IFERROR(__xludf.DUMMYFUNCTION("""COMPUTED_VALUE"""),217671.0)</f>
        <v>217671</v>
      </c>
      <c r="AE216" s="98">
        <f>IFERROR(__xludf.DUMMYFUNCTION("""COMPUTED_VALUE"""),43824.0)</f>
        <v>43824</v>
      </c>
      <c r="AF216" s="98">
        <f>IFERROR(__xludf.DUMMYFUNCTION("""COMPUTED_VALUE"""),173847.0)</f>
        <v>173847</v>
      </c>
      <c r="AG216" s="208"/>
      <c r="AH216" s="208"/>
      <c r="AI216" s="208"/>
      <c r="AJ216" s="208"/>
      <c r="AK216" s="208"/>
    </row>
    <row r="217" hidden="1">
      <c r="A217" s="215">
        <f>IFERROR(__xludf.DUMMYFUNCTION("""COMPUTED_VALUE"""),46086.0)</f>
        <v>46086</v>
      </c>
      <c r="B217" s="210">
        <f>IFERROR(__xludf.DUMMYFUNCTION("""COMPUTED_VALUE"""),0.5)</f>
        <v>0.5</v>
      </c>
      <c r="C217" s="211" t="str">
        <f>IFERROR(__xludf.DUMMYFUNCTION("""COMPUTED_VALUE"""),"Rcs")</f>
        <v>Rcs</v>
      </c>
      <c r="D217" s="211" t="str">
        <f>IFERROR(__xludf.DUMMYFUNCTION("""COMPUTED_VALUE"""),"Fallback Campaign")</f>
        <v>Fallback Campaign</v>
      </c>
      <c r="E217" s="211" t="str">
        <f>IFERROR(__xludf.DUMMYFUNCTION("""COMPUTED_VALUE"""),"BBW")</f>
        <v>BBW</v>
      </c>
      <c r="F217" s="211" t="str">
        <f>IFERROR(__xludf.DUMMYFUNCTION("""COMPUTED_VALUE"""),"B2G2")</f>
        <v>B2G2</v>
      </c>
      <c r="G217" s="211" t="str">
        <f>IFERROR(__xludf.DUMMYFUNCTION("""COMPUTED_VALUE"""),"bbw_03.3_B2G2_View Promo_rcs_fb")</f>
        <v>bbw_03.3_B2G2_View Promo_rcs_fb</v>
      </c>
      <c r="H217" s="212" t="str">
        <f>IFERROR(__xludf.DUMMYFUNCTION("""COMPUTED_VALUE"""),"B2G2_View Promo_ON")</f>
        <v>B2G2_View Promo_ON</v>
      </c>
      <c r="I217" s="223" t="str">
        <f>IFERROR(__xludf.DUMMYFUNCTION("""COMPUTED_VALUE"""),"WA Undelivered")</f>
        <v>WA Undelivered</v>
      </c>
      <c r="J217" s="213">
        <f>IFERROR(__xludf.DUMMYFUNCTION("""COMPUTED_VALUE"""),1515.0)</f>
        <v>1515</v>
      </c>
      <c r="K217" s="213">
        <f>IFERROR(__xludf.DUMMYFUNCTION("""COMPUTED_VALUE"""),373.0)</f>
        <v>373</v>
      </c>
      <c r="L217" s="214">
        <f>IFERROR(__xludf.DUMMYFUNCTION("""COMPUTED_VALUE"""),0.2462)</f>
        <v>0.2462</v>
      </c>
      <c r="M217" s="213"/>
      <c r="N217" s="214"/>
      <c r="O217" s="101">
        <f>IFERROR(__xludf.DUMMYFUNCTION("""COMPUTED_VALUE"""),4.0)</f>
        <v>4</v>
      </c>
      <c r="P217" s="101"/>
      <c r="Q217" s="214">
        <f>IFERROR(__xludf.DUMMYFUNCTION("""COMPUTED_VALUE"""),0.0107)</f>
        <v>0.0107</v>
      </c>
      <c r="R217" s="214"/>
      <c r="S217" s="101">
        <f>IFERROR(__xludf.DUMMYFUNCTION("""COMPUTED_VALUE"""),3.0)</f>
        <v>3</v>
      </c>
      <c r="T217" s="101">
        <f>IFERROR(__xludf.DUMMYFUNCTION("""COMPUTED_VALUE"""),9.0)</f>
        <v>9</v>
      </c>
      <c r="U217" s="213">
        <f>IFERROR(__xludf.DUMMYFUNCTION("""COMPUTED_VALUE"""),5791.0)</f>
        <v>5791</v>
      </c>
      <c r="V217" s="271" t="str">
        <f>IFERROR(__xludf.DUMMYFUNCTION("""COMPUTED_VALUE"""),"online")</f>
        <v>online</v>
      </c>
      <c r="W217" s="98" t="str">
        <f>IFERROR(__xludf.DUMMYFUNCTION("""COMPUTED_VALUE"""),"RCS")</f>
        <v>RCS</v>
      </c>
      <c r="X217" s="98" t="str">
        <f>IFERROR(__xludf.DUMMYFUNCTION("""COMPUTED_VALUE"""),"No brief")</f>
        <v>No brief</v>
      </c>
      <c r="Y217" s="98" t="str">
        <f>IFERROR(__xludf.DUMMYFUNCTION("""COMPUTED_VALUE"""),"5-7 March")</f>
        <v>5-7 March</v>
      </c>
      <c r="Z217" s="98" t="str">
        <f>IFERROR(__xludf.DUMMYFUNCTION("""COMPUTED_VALUE"""),"69a917a8c8110f0c68947a4f")</f>
        <v>69a917a8c8110f0c68947a4f</v>
      </c>
      <c r="AA217" s="98">
        <f>IFERROR(__xludf.DUMMYFUNCTION("""COMPUTED_VALUE"""),2.0)</f>
        <v>2</v>
      </c>
      <c r="AB217" s="98">
        <f>IFERROR(__xludf.DUMMYFUNCTION("""COMPUTED_VALUE"""),2.0)</f>
        <v>2</v>
      </c>
      <c r="AC217" s="98">
        <f>IFERROR(__xludf.DUMMYFUNCTION("""COMPUTED_VALUE"""),0.0)</f>
        <v>0</v>
      </c>
      <c r="AD217" s="98">
        <f>IFERROR(__xludf.DUMMYFUNCTION("""COMPUTED_VALUE"""),10377.0)</f>
        <v>10377</v>
      </c>
      <c r="AE217" s="98">
        <f>IFERROR(__xludf.DUMMYFUNCTION("""COMPUTED_VALUE"""),10377.0)</f>
        <v>10377</v>
      </c>
      <c r="AF217" s="98">
        <f>IFERROR(__xludf.DUMMYFUNCTION("""COMPUTED_VALUE"""),0.0)</f>
        <v>0</v>
      </c>
      <c r="AG217" s="208"/>
      <c r="AH217" s="208"/>
      <c r="AI217" s="208"/>
      <c r="AJ217" s="208"/>
      <c r="AK217" s="208"/>
    </row>
    <row r="218" hidden="1">
      <c r="A218" s="215">
        <f>IFERROR(__xludf.DUMMYFUNCTION("""COMPUTED_VALUE"""),46086.0)</f>
        <v>46086</v>
      </c>
      <c r="B218" s="210">
        <f>IFERROR(__xludf.DUMMYFUNCTION("""COMPUTED_VALUE"""),0.5)</f>
        <v>0.5</v>
      </c>
      <c r="C218" s="211" t="str">
        <f>IFERROR(__xludf.DUMMYFUNCTION("""COMPUTED_VALUE"""),"Rcs")</f>
        <v>Rcs</v>
      </c>
      <c r="D218" s="211" t="str">
        <f>IFERROR(__xludf.DUMMYFUNCTION("""COMPUTED_VALUE"""),"Fallback Campaign")</f>
        <v>Fallback Campaign</v>
      </c>
      <c r="E218" s="211" t="str">
        <f>IFERROR(__xludf.DUMMYFUNCTION("""COMPUTED_VALUE"""),"BBW")</f>
        <v>BBW</v>
      </c>
      <c r="F218" s="211" t="str">
        <f>IFERROR(__xludf.DUMMYFUNCTION("""COMPUTED_VALUE"""),"B2G2")</f>
        <v>B2G2</v>
      </c>
      <c r="G218" s="211" t="str">
        <f>IFERROR(__xludf.DUMMYFUNCTION("""COMPUTED_VALUE"""),"bbw_3.3_AOV_3499_rcs_fb")</f>
        <v>bbw_3.3_AOV_3499_rcs_fb</v>
      </c>
      <c r="H218" s="212" t="str">
        <f>IFERROR(__xludf.DUMMYFUNCTION("""COMPUTED_VALUE"""),"AOV_3499_OnOff")</f>
        <v>AOV_3499_OnOff</v>
      </c>
      <c r="I218" s="223" t="str">
        <f>IFERROR(__xludf.DUMMYFUNCTION("""COMPUTED_VALUE"""),"WA Undelivered")</f>
        <v>WA Undelivered</v>
      </c>
      <c r="J218" s="213">
        <f>IFERROR(__xludf.DUMMYFUNCTION("""COMPUTED_VALUE"""),5121.0)</f>
        <v>5121</v>
      </c>
      <c r="K218" s="213">
        <f>IFERROR(__xludf.DUMMYFUNCTION("""COMPUTED_VALUE"""),1107.0)</f>
        <v>1107</v>
      </c>
      <c r="L218" s="214">
        <f>IFERROR(__xludf.DUMMYFUNCTION("""COMPUTED_VALUE"""),0.2162)</f>
        <v>0.2162</v>
      </c>
      <c r="M218" s="213"/>
      <c r="N218" s="214"/>
      <c r="O218" s="101">
        <f>IFERROR(__xludf.DUMMYFUNCTION("""COMPUTED_VALUE"""),3.0)</f>
        <v>3</v>
      </c>
      <c r="P218" s="101"/>
      <c r="Q218" s="214">
        <f>IFERROR(__xludf.DUMMYFUNCTION("""COMPUTED_VALUE"""),0.0027)</f>
        <v>0.0027</v>
      </c>
      <c r="R218" s="214"/>
      <c r="S218" s="101">
        <f>IFERROR(__xludf.DUMMYFUNCTION("""COMPUTED_VALUE"""),0.0)</f>
        <v>0</v>
      </c>
      <c r="T218" s="101">
        <f>IFERROR(__xludf.DUMMYFUNCTION("""COMPUTED_VALUE"""),0.0)</f>
        <v>0</v>
      </c>
      <c r="U218" s="213">
        <f>IFERROR(__xludf.DUMMYFUNCTION("""COMPUTED_VALUE"""),0.0)</f>
        <v>0</v>
      </c>
      <c r="V218" s="271" t="str">
        <f>IFERROR(__xludf.DUMMYFUNCTION("""COMPUTED_VALUE"""),"overall")</f>
        <v>overall</v>
      </c>
      <c r="W218" s="98" t="str">
        <f>IFERROR(__xludf.DUMMYFUNCTION("""COMPUTED_VALUE"""),"RCS")</f>
        <v>RCS</v>
      </c>
      <c r="X218" s="98" t="str">
        <f>IFERROR(__xludf.DUMMYFUNCTION("""COMPUTED_VALUE"""),"No brief")</f>
        <v>No brief</v>
      </c>
      <c r="Y218" s="98" t="str">
        <f>IFERROR(__xludf.DUMMYFUNCTION("""COMPUTED_VALUE"""),"5-7 March")</f>
        <v>5-7 March</v>
      </c>
      <c r="Z218" s="98" t="str">
        <f>IFERROR(__xludf.DUMMYFUNCTION("""COMPUTED_VALUE"""),"69a917fe3ea54a7353f4bda0")</f>
        <v>69a917fe3ea54a7353f4bda0</v>
      </c>
      <c r="AA218" s="98">
        <f>IFERROR(__xludf.DUMMYFUNCTION("""COMPUTED_VALUE"""),2.0)</f>
        <v>2</v>
      </c>
      <c r="AB218" s="98">
        <f>IFERROR(__xludf.DUMMYFUNCTION("""COMPUTED_VALUE"""),0.0)</f>
        <v>0</v>
      </c>
      <c r="AC218" s="98">
        <f>IFERROR(__xludf.DUMMYFUNCTION("""COMPUTED_VALUE"""),2.0)</f>
        <v>2</v>
      </c>
      <c r="AD218" s="98">
        <f>IFERROR(__xludf.DUMMYFUNCTION("""COMPUTED_VALUE"""),9436.0)</f>
        <v>9436</v>
      </c>
      <c r="AE218" s="98">
        <f>IFERROR(__xludf.DUMMYFUNCTION("""COMPUTED_VALUE"""),0.0)</f>
        <v>0</v>
      </c>
      <c r="AF218" s="98">
        <f>IFERROR(__xludf.DUMMYFUNCTION("""COMPUTED_VALUE"""),9436.0)</f>
        <v>9436</v>
      </c>
      <c r="AG218" s="208"/>
      <c r="AH218" s="208"/>
      <c r="AI218" s="208"/>
      <c r="AJ218" s="208"/>
      <c r="AK218" s="208"/>
    </row>
    <row r="219" hidden="1">
      <c r="A219" s="216">
        <f>IFERROR(__xludf.DUMMYFUNCTION("""COMPUTED_VALUE"""),46086.0)</f>
        <v>46086</v>
      </c>
      <c r="B219" s="210">
        <f>IFERROR(__xludf.DUMMYFUNCTION("""COMPUTED_VALUE"""),0.5625)</f>
        <v>0.5625</v>
      </c>
      <c r="C219" s="210" t="str">
        <f>IFERROR(__xludf.DUMMYFUNCTION("""COMPUTED_VALUE"""),"Sms")</f>
        <v>Sms</v>
      </c>
      <c r="D219" s="210" t="str">
        <f>IFERROR(__xludf.DUMMYFUNCTION("""COMPUTED_VALUE"""),"Fallback Campaign")</f>
        <v>Fallback Campaign</v>
      </c>
      <c r="E219" s="211" t="str">
        <f>IFERROR(__xludf.DUMMYFUNCTION("""COMPUTED_VALUE"""),"BBW")</f>
        <v>BBW</v>
      </c>
      <c r="F219" s="211" t="str">
        <f>IFERROR(__xludf.DUMMYFUNCTION("""COMPUTED_VALUE"""),"B2G2")</f>
        <v>B2G2</v>
      </c>
      <c r="G219" s="211" t="str">
        <f>IFERROR(__xludf.DUMMYFUNCTION("""COMPUTED_VALUE"""),"bbw_03.3_Loyal_B2G2_sms_fb")</f>
        <v>bbw_03.3_Loyal_B2G2_sms_fb</v>
      </c>
      <c r="H219" s="211" t="str">
        <f>IFERROR(__xludf.DUMMYFUNCTION("""COMPUTED_VALUE"""),"Loyal_B2G2_On")</f>
        <v>Loyal_B2G2_On</v>
      </c>
      <c r="I219" s="223" t="str">
        <f>IFERROR(__xludf.DUMMYFUNCTION("""COMPUTED_VALUE"""),"RCS Delivery Failed")</f>
        <v>RCS Delivery Failed</v>
      </c>
      <c r="J219" s="213">
        <f>IFERROR(__xludf.DUMMYFUNCTION("""COMPUTED_VALUE"""),49737.0)</f>
        <v>49737</v>
      </c>
      <c r="K219" s="213">
        <f>IFERROR(__xludf.DUMMYFUNCTION("""COMPUTED_VALUE"""),27566.0)</f>
        <v>27566</v>
      </c>
      <c r="L219" s="214">
        <f>IFERROR(__xludf.DUMMYFUNCTION("""COMPUTED_VALUE"""),0.5542)</f>
        <v>0.5542</v>
      </c>
      <c r="M219" s="213"/>
      <c r="N219" s="214"/>
      <c r="O219" s="213">
        <f>IFERROR(__xludf.DUMMYFUNCTION("""COMPUTED_VALUE"""),13.0)</f>
        <v>13</v>
      </c>
      <c r="P219" s="213"/>
      <c r="Q219" s="214">
        <f>IFERROR(__xludf.DUMMYFUNCTION("""COMPUTED_VALUE"""),5.0E-4)</f>
        <v>0.0005</v>
      </c>
      <c r="R219" s="214"/>
      <c r="S219" s="101">
        <f>IFERROR(__xludf.DUMMYFUNCTION("""COMPUTED_VALUE"""),3.0)</f>
        <v>3</v>
      </c>
      <c r="T219" s="101">
        <f>IFERROR(__xludf.DUMMYFUNCTION("""COMPUTED_VALUE"""),4.0)</f>
        <v>4</v>
      </c>
      <c r="U219" s="213">
        <f>IFERROR(__xludf.DUMMYFUNCTION("""COMPUTED_VALUE"""),10970.0)</f>
        <v>10970</v>
      </c>
      <c r="V219" s="271" t="str">
        <f>IFERROR(__xludf.DUMMYFUNCTION("""COMPUTED_VALUE"""),"online")</f>
        <v>online</v>
      </c>
      <c r="W219" s="98" t="str">
        <f>IFERROR(__xludf.DUMMYFUNCTION("""COMPUTED_VALUE"""),"SMS")</f>
        <v>SMS</v>
      </c>
      <c r="X219" s="98" t="str">
        <f>IFERROR(__xludf.DUMMYFUNCTION("""COMPUTED_VALUE"""),"No brief")</f>
        <v>No brief</v>
      </c>
      <c r="Y219" s="98" t="str">
        <f>IFERROR(__xludf.DUMMYFUNCTION("""COMPUTED_VALUE"""),"5th March")</f>
        <v>5th March</v>
      </c>
      <c r="Z219" s="98" t="str">
        <f>IFERROR(__xludf.DUMMYFUNCTION("""COMPUTED_VALUE"""),"69a9230da1960553936ff2aa")</f>
        <v>69a9230da1960553936ff2aa</v>
      </c>
      <c r="AA219" s="98">
        <f>IFERROR(__xludf.DUMMYFUNCTION("""COMPUTED_VALUE"""),10.0)</f>
        <v>10</v>
      </c>
      <c r="AB219" s="98">
        <f>IFERROR(__xludf.DUMMYFUNCTION("""COMPUTED_VALUE"""),10.0)</f>
        <v>10</v>
      </c>
      <c r="AC219" s="98"/>
      <c r="AD219" s="98">
        <f>IFERROR(__xludf.DUMMYFUNCTION("""COMPUTED_VALUE"""),34172.0)</f>
        <v>34172</v>
      </c>
      <c r="AE219" s="98">
        <f>IFERROR(__xludf.DUMMYFUNCTION("""COMPUTED_VALUE"""),34172.0)</f>
        <v>34172</v>
      </c>
      <c r="AF219" s="98"/>
      <c r="AG219" s="208"/>
      <c r="AH219" s="208"/>
      <c r="AI219" s="208"/>
      <c r="AJ219" s="208"/>
      <c r="AK219" s="208"/>
    </row>
    <row r="220" hidden="1">
      <c r="A220" s="216">
        <f>IFERROR(__xludf.DUMMYFUNCTION("""COMPUTED_VALUE"""),46086.0)</f>
        <v>46086</v>
      </c>
      <c r="B220" s="217">
        <f>IFERROR(__xludf.DUMMYFUNCTION("""COMPUTED_VALUE"""),0.5625)</f>
        <v>0.5625</v>
      </c>
      <c r="C220" s="211" t="str">
        <f>IFERROR(__xludf.DUMMYFUNCTION("""COMPUTED_VALUE"""),"Sms")</f>
        <v>Sms</v>
      </c>
      <c r="D220" s="211" t="str">
        <f>IFERROR(__xludf.DUMMYFUNCTION("""COMPUTED_VALUE"""),"Fallback Campaign")</f>
        <v>Fallback Campaign</v>
      </c>
      <c r="E220" s="211" t="str">
        <f>IFERROR(__xludf.DUMMYFUNCTION("""COMPUTED_VALUE"""),"BBW")</f>
        <v>BBW</v>
      </c>
      <c r="F220" s="211" t="str">
        <f>IFERROR(__xludf.DUMMYFUNCTION("""COMPUTED_VALUE"""),"B2G2")</f>
        <v>B2G2</v>
      </c>
      <c r="G220" s="211" t="str">
        <f>IFERROR(__xludf.DUMMYFUNCTION("""COMPUTED_VALUE"""),"bbw_3.3_UPT_3_B2G2_sms_fb")</f>
        <v>bbw_3.3_UPT_3_B2G2_sms_fb</v>
      </c>
      <c r="H220" s="112" t="str">
        <f>IFERROR(__xludf.DUMMYFUNCTION("""COMPUTED_VALUE"""),"UPT_3_ONOFF_B2G2")</f>
        <v>UPT_3_ONOFF_B2G2</v>
      </c>
      <c r="I220" s="212" t="str">
        <f>IFERROR(__xludf.DUMMYFUNCTION("""COMPUTED_VALUE"""),"RCS Delivery Failed")</f>
        <v>RCS Delivery Failed</v>
      </c>
      <c r="J220" s="213">
        <f>IFERROR(__xludf.DUMMYFUNCTION("""COMPUTED_VALUE"""),83731.0)</f>
        <v>83731</v>
      </c>
      <c r="K220" s="213">
        <f>IFERROR(__xludf.DUMMYFUNCTION("""COMPUTED_VALUE"""),47133.0)</f>
        <v>47133</v>
      </c>
      <c r="L220" s="214">
        <f>IFERROR(__xludf.DUMMYFUNCTION("""COMPUTED_VALUE"""),0.5629)</f>
        <v>0.5629</v>
      </c>
      <c r="M220" s="213"/>
      <c r="N220" s="214"/>
      <c r="O220" s="213">
        <f>IFERROR(__xludf.DUMMYFUNCTION("""COMPUTED_VALUE"""),9.0)</f>
        <v>9</v>
      </c>
      <c r="P220" s="213"/>
      <c r="Q220" s="214">
        <f>IFERROR(__xludf.DUMMYFUNCTION("""COMPUTED_VALUE"""),2.0E-4)</f>
        <v>0.0002</v>
      </c>
      <c r="R220" s="214"/>
      <c r="S220" s="101">
        <f>IFERROR(__xludf.DUMMYFUNCTION("""COMPUTED_VALUE"""),1.0)</f>
        <v>1</v>
      </c>
      <c r="T220" s="101">
        <f>IFERROR(__xludf.DUMMYFUNCTION("""COMPUTED_VALUE"""),2.0)</f>
        <v>2</v>
      </c>
      <c r="U220" s="213">
        <f>IFERROR(__xludf.DUMMYFUNCTION("""COMPUTED_VALUE"""),3958.0)</f>
        <v>3958</v>
      </c>
      <c r="V220" s="271" t="str">
        <f>IFERROR(__xludf.DUMMYFUNCTION("""COMPUTED_VALUE"""),"overall")</f>
        <v>overall</v>
      </c>
      <c r="W220" s="98" t="str">
        <f>IFERROR(__xludf.DUMMYFUNCTION("""COMPUTED_VALUE"""),"SMS")</f>
        <v>SMS</v>
      </c>
      <c r="X220" s="98" t="str">
        <f>IFERROR(__xludf.DUMMYFUNCTION("""COMPUTED_VALUE"""),"No brief")</f>
        <v>No brief</v>
      </c>
      <c r="Y220" s="98" t="str">
        <f>IFERROR(__xludf.DUMMYFUNCTION("""COMPUTED_VALUE"""),"5th March")</f>
        <v>5th March</v>
      </c>
      <c r="Z220" s="98" t="str">
        <f>IFERROR(__xludf.DUMMYFUNCTION("""COMPUTED_VALUE"""),"69a9238d564117baf6c05f1d")</f>
        <v>69a9238d564117baf6c05f1d</v>
      </c>
      <c r="AA220" s="98">
        <f>IFERROR(__xludf.DUMMYFUNCTION("""COMPUTED_VALUE"""),1.0)</f>
        <v>1</v>
      </c>
      <c r="AB220" s="98">
        <f>IFERROR(__xludf.DUMMYFUNCTION("""COMPUTED_VALUE"""),1.0)</f>
        <v>1</v>
      </c>
      <c r="AC220" s="98"/>
      <c r="AD220" s="98">
        <f>IFERROR(__xludf.DUMMYFUNCTION("""COMPUTED_VALUE"""),4398.0)</f>
        <v>4398</v>
      </c>
      <c r="AE220" s="98">
        <f>IFERROR(__xludf.DUMMYFUNCTION("""COMPUTED_VALUE"""),4398.0)</f>
        <v>4398</v>
      </c>
      <c r="AF220" s="98"/>
      <c r="AG220" s="208"/>
      <c r="AH220" s="208"/>
      <c r="AI220" s="208"/>
      <c r="AJ220" s="208"/>
      <c r="AK220" s="208"/>
    </row>
    <row r="221" hidden="1">
      <c r="A221" s="219">
        <f>IFERROR(__xludf.DUMMYFUNCTION("""COMPUTED_VALUE"""),46086.0)</f>
        <v>46086</v>
      </c>
      <c r="B221" s="220">
        <f>IFERROR(__xludf.DUMMYFUNCTION("""COMPUTED_VALUE"""),0.5625)</f>
        <v>0.5625</v>
      </c>
      <c r="C221" s="221" t="str">
        <f>IFERROR(__xludf.DUMMYFUNCTION("""COMPUTED_VALUE"""),"Sms")</f>
        <v>Sms</v>
      </c>
      <c r="D221" s="221" t="str">
        <f>IFERROR(__xludf.DUMMYFUNCTION("""COMPUTED_VALUE"""),"Fallback Campaign")</f>
        <v>Fallback Campaign</v>
      </c>
      <c r="E221" s="221" t="str">
        <f>IFERROR(__xludf.DUMMYFUNCTION("""COMPUTED_VALUE"""),"BBW")</f>
        <v>BBW</v>
      </c>
      <c r="F221" s="221" t="str">
        <f>IFERROR(__xludf.DUMMYFUNCTION("""COMPUTED_VALUE"""),"B2G2")</f>
        <v>B2G2</v>
      </c>
      <c r="G221" s="221" t="str">
        <f>IFERROR(__xludf.DUMMYFUNCTION("""COMPUTED_VALUE"""),"bbw_3.3_AOV_3499_sms_fb")</f>
        <v>bbw_3.3_AOV_3499_sms_fb</v>
      </c>
      <c r="H221" s="223" t="str">
        <f>IFERROR(__xludf.DUMMYFUNCTION("""COMPUTED_VALUE"""),"AOV_3499_OnOff")</f>
        <v>AOV_3499_OnOff</v>
      </c>
      <c r="I221" s="223" t="str">
        <f>IFERROR(__xludf.DUMMYFUNCTION("""COMPUTED_VALUE"""),"RCS Delivery Failed")</f>
        <v>RCS Delivery Failed</v>
      </c>
      <c r="J221" s="224">
        <f>IFERROR(__xludf.DUMMYFUNCTION("""COMPUTED_VALUE"""),3969.0)</f>
        <v>3969</v>
      </c>
      <c r="K221" s="224">
        <f>IFERROR(__xludf.DUMMYFUNCTION("""COMPUTED_VALUE"""),2249.0)</f>
        <v>2249</v>
      </c>
      <c r="L221" s="225">
        <f>IFERROR(__xludf.DUMMYFUNCTION("""COMPUTED_VALUE"""),0.5666)</f>
        <v>0.5666</v>
      </c>
      <c r="M221" s="224"/>
      <c r="N221" s="225"/>
      <c r="O221" s="226">
        <f>IFERROR(__xludf.DUMMYFUNCTION("""COMPUTED_VALUE"""),1.0)</f>
        <v>1</v>
      </c>
      <c r="P221" s="226"/>
      <c r="Q221" s="225">
        <f>IFERROR(__xludf.DUMMYFUNCTION("""COMPUTED_VALUE"""),4.0E-4)</f>
        <v>0.0004</v>
      </c>
      <c r="R221" s="225"/>
      <c r="S221" s="226">
        <f>IFERROR(__xludf.DUMMYFUNCTION("""COMPUTED_VALUE"""),0.0)</f>
        <v>0</v>
      </c>
      <c r="T221" s="226">
        <f>IFERROR(__xludf.DUMMYFUNCTION("""COMPUTED_VALUE"""),0.0)</f>
        <v>0</v>
      </c>
      <c r="U221" s="224">
        <f>IFERROR(__xludf.DUMMYFUNCTION("""COMPUTED_VALUE"""),0.0)</f>
        <v>0</v>
      </c>
      <c r="V221" s="221" t="str">
        <f>IFERROR(__xludf.DUMMYFUNCTION("""COMPUTED_VALUE"""),"overall")</f>
        <v>overall</v>
      </c>
      <c r="W221" s="231" t="str">
        <f>IFERROR(__xludf.DUMMYFUNCTION("""COMPUTED_VALUE"""),"SMS")</f>
        <v>SMS</v>
      </c>
      <c r="X221" s="231" t="str">
        <f>IFERROR(__xludf.DUMMYFUNCTION("""COMPUTED_VALUE"""),"No brief")</f>
        <v>No brief</v>
      </c>
      <c r="Y221" s="231" t="str">
        <f>IFERROR(__xludf.DUMMYFUNCTION("""COMPUTED_VALUE"""),"5th March")</f>
        <v>5th March</v>
      </c>
      <c r="Z221" s="231" t="str">
        <f>IFERROR(__xludf.DUMMYFUNCTION("""COMPUTED_VALUE"""),"69a923c822fd70da7420daf5")</f>
        <v>69a923c822fd70da7420daf5</v>
      </c>
      <c r="AA221" s="229">
        <f>IFERROR(__xludf.DUMMYFUNCTION("""COMPUTED_VALUE"""),1.0)</f>
        <v>1</v>
      </c>
      <c r="AB221" s="229">
        <f>IFERROR(__xludf.DUMMYFUNCTION("""COMPUTED_VALUE"""),0.0)</f>
        <v>0</v>
      </c>
      <c r="AC221" s="229">
        <f>IFERROR(__xludf.DUMMYFUNCTION("""COMPUTED_VALUE"""),1.0)</f>
        <v>1</v>
      </c>
      <c r="AD221" s="229">
        <f>IFERROR(__xludf.DUMMYFUNCTION("""COMPUTED_VALUE"""),4598.0)</f>
        <v>4598</v>
      </c>
      <c r="AE221" s="229">
        <f>IFERROR(__xludf.DUMMYFUNCTION("""COMPUTED_VALUE"""),0.0)</f>
        <v>0</v>
      </c>
      <c r="AF221" s="229">
        <f>IFERROR(__xludf.DUMMYFUNCTION("""COMPUTED_VALUE"""),4598.0)</f>
        <v>4598</v>
      </c>
      <c r="AG221" s="208"/>
      <c r="AH221" s="208"/>
      <c r="AI221" s="208"/>
      <c r="AJ221" s="208"/>
      <c r="AK221" s="208"/>
    </row>
    <row r="222" hidden="1">
      <c r="A222" s="209">
        <f>IFERROR(__xludf.DUMMYFUNCTION("""COMPUTED_VALUE"""),46086.0)</f>
        <v>46086</v>
      </c>
      <c r="B222" s="210">
        <f>IFERROR(__xludf.DUMMYFUNCTION("""COMPUTED_VALUE"""),0.7083333333321207)</f>
        <v>0.7083333333</v>
      </c>
      <c r="C222" s="211" t="str">
        <f>IFERROR(__xludf.DUMMYFUNCTION("""COMPUTED_VALUE"""),"Sms")</f>
        <v>Sms</v>
      </c>
      <c r="D222" s="211" t="str">
        <f>IFERROR(__xludf.DUMMYFUNCTION("""COMPUTED_VALUE"""),"Fallback Campaign")</f>
        <v>Fallback Campaign</v>
      </c>
      <c r="E222" s="211" t="str">
        <f>IFERROR(__xludf.DUMMYFUNCTION("""COMPUTED_VALUE"""),"BBW")</f>
        <v>BBW</v>
      </c>
      <c r="F222" s="281" t="str">
        <f>IFERROR(__xludf.DUMMYFUNCTION("""COMPUTED_VALUE"""),"B2G2")</f>
        <v>B2G2</v>
      </c>
      <c r="G222" s="212" t="str">
        <f>IFERROR(__xludf.DUMMYFUNCTION("""COMPUTED_VALUE"""),"bbw_03.3_B2G2_View Promo_sms_fb")</f>
        <v>bbw_03.3_B2G2_View Promo_sms_fb</v>
      </c>
      <c r="H222" s="212" t="str">
        <f>IFERROR(__xludf.DUMMYFUNCTION("""COMPUTED_VALUE"""),"B2G2_View Promo_ON")</f>
        <v>B2G2_View Promo_ON</v>
      </c>
      <c r="I222" s="212" t="str">
        <f>IFERROR(__xludf.DUMMYFUNCTION("""COMPUTED_VALUE"""),"RCS Delivery Failed")</f>
        <v>RCS Delivery Failed</v>
      </c>
      <c r="J222" s="213">
        <f>IFERROR(__xludf.DUMMYFUNCTION("""COMPUTED_VALUE"""),1084.0)</f>
        <v>1084</v>
      </c>
      <c r="K222" s="213">
        <f>IFERROR(__xludf.DUMMYFUNCTION("""COMPUTED_VALUE"""),772.0)</f>
        <v>772</v>
      </c>
      <c r="L222" s="214">
        <f>IFERROR(__xludf.DUMMYFUNCTION("""COMPUTED_VALUE"""),0.7122)</f>
        <v>0.7122</v>
      </c>
      <c r="M222" s="213"/>
      <c r="N222" s="214"/>
      <c r="O222" s="101">
        <f>IFERROR(__xludf.DUMMYFUNCTION("""COMPUTED_VALUE"""),1.0)</f>
        <v>1</v>
      </c>
      <c r="P222" s="101"/>
      <c r="Q222" s="214">
        <f>IFERROR(__xludf.DUMMYFUNCTION("""COMPUTED_VALUE"""),0.0013)</f>
        <v>0.0013</v>
      </c>
      <c r="R222" s="214"/>
      <c r="S222" s="101">
        <f>IFERROR(__xludf.DUMMYFUNCTION("""COMPUTED_VALUE"""),0.0)</f>
        <v>0</v>
      </c>
      <c r="T222" s="101">
        <f>IFERROR(__xludf.DUMMYFUNCTION("""COMPUTED_VALUE"""),6.0)</f>
        <v>6</v>
      </c>
      <c r="U222" s="270">
        <f>IFERROR(__xludf.DUMMYFUNCTION("""COMPUTED_VALUE"""),0.0)</f>
        <v>0</v>
      </c>
      <c r="V222" s="271" t="str">
        <f>IFERROR(__xludf.DUMMYFUNCTION("""COMPUTED_VALUE"""),"online")</f>
        <v>online</v>
      </c>
      <c r="W222" s="272" t="str">
        <f>IFERROR(__xludf.DUMMYFUNCTION("""COMPUTED_VALUE"""),"SMS")</f>
        <v>SMS</v>
      </c>
      <c r="X222" s="272" t="str">
        <f>IFERROR(__xludf.DUMMYFUNCTION("""COMPUTED_VALUE"""),"No brief")</f>
        <v>No brief</v>
      </c>
      <c r="Y222" s="272" t="str">
        <f>IFERROR(__xludf.DUMMYFUNCTION("""COMPUTED_VALUE"""),"5th March")</f>
        <v>5th March</v>
      </c>
      <c r="Z222" s="272" t="str">
        <f>IFERROR(__xludf.DUMMYFUNCTION("""COMPUTED_VALUE"""),"69a953ad2de045014d7e974d")</f>
        <v>69a953ad2de045014d7e974d</v>
      </c>
      <c r="AA222" s="272">
        <f>IFERROR(__xludf.DUMMYFUNCTION("""COMPUTED_VALUE"""),1.0)</f>
        <v>1</v>
      </c>
      <c r="AB222" s="272">
        <f>IFERROR(__xludf.DUMMYFUNCTION("""COMPUTED_VALUE"""),1.0)</f>
        <v>1</v>
      </c>
      <c r="AC222" s="272"/>
      <c r="AD222" s="272">
        <f>IFERROR(__xludf.DUMMYFUNCTION("""COMPUTED_VALUE"""),2159.0)</f>
        <v>2159</v>
      </c>
      <c r="AE222" s="272">
        <f>IFERROR(__xludf.DUMMYFUNCTION("""COMPUTED_VALUE"""),2159.0)</f>
        <v>2159</v>
      </c>
      <c r="AF222" s="272"/>
      <c r="AG222" s="208"/>
      <c r="AH222" s="208"/>
      <c r="AI222" s="208"/>
      <c r="AJ222" s="208"/>
      <c r="AK222" s="208"/>
    </row>
    <row r="223" hidden="1">
      <c r="A223" s="216">
        <f>IFERROR(__xludf.DUMMYFUNCTION("""COMPUTED_VALUE"""),46088.0)</f>
        <v>46088</v>
      </c>
      <c r="B223" s="210">
        <f>IFERROR(__xludf.DUMMYFUNCTION("""COMPUTED_VALUE"""),0.5)</f>
        <v>0.5</v>
      </c>
      <c r="C223" s="210" t="str">
        <f>IFERROR(__xludf.DUMMYFUNCTION("""COMPUTED_VALUE"""),"Whatsapp")</f>
        <v>Whatsapp</v>
      </c>
      <c r="D223" s="210" t="str">
        <f>IFERROR(__xludf.DUMMYFUNCTION("""COMPUTED_VALUE"""),"Promotional")</f>
        <v>Promotional</v>
      </c>
      <c r="E223" s="211" t="str">
        <f>IFERROR(__xludf.DUMMYFUNCTION("""COMPUTED_VALUE"""),"BBW")</f>
        <v>BBW</v>
      </c>
      <c r="F223" s="211" t="str">
        <f>IFERROR(__xludf.DUMMYFUNCTION("""COMPUTED_VALUE"""),"B2G2")</f>
        <v>B2G2</v>
      </c>
      <c r="G223" s="211" t="str">
        <f>IFERROR(__xludf.DUMMYFUNCTION("""COMPUTED_VALUE"""),"bbw_wa_b2g2_08.3_lapsed9to14")</f>
        <v>bbw_wa_b2g2_08.3_lapsed9to14</v>
      </c>
      <c r="H223" s="211" t="str">
        <f>IFERROR(__xludf.DUMMYFUNCTION("""COMPUTED_VALUE"""),"Lapsed_9_To_14_Months")</f>
        <v>Lapsed_9_To_14_Months</v>
      </c>
      <c r="I223" s="223" t="str">
        <f>IFERROR(__xludf.DUMMYFUNCTION("""COMPUTED_VALUE"""),"Customers who have not purchasedin the last 9 months but have purchased before 9 - 14 months")</f>
        <v>Customers who have not purchasedin the last 9 months but have purchased before 9 - 14 months</v>
      </c>
      <c r="J223" s="213">
        <f>IFERROR(__xludf.DUMMYFUNCTION("""COMPUTED_VALUE"""),82775.0)</f>
        <v>82775</v>
      </c>
      <c r="K223" s="213">
        <f>IFERROR(__xludf.DUMMYFUNCTION("""COMPUTED_VALUE"""),29498.0)</f>
        <v>29498</v>
      </c>
      <c r="L223" s="214">
        <f>IFERROR(__xludf.DUMMYFUNCTION("""COMPUTED_VALUE"""),0.3564)</f>
        <v>0.3564</v>
      </c>
      <c r="M223" s="213">
        <f>IFERROR(__xludf.DUMMYFUNCTION("""COMPUTED_VALUE"""),10793.0)</f>
        <v>10793</v>
      </c>
      <c r="N223" s="214">
        <f>IFERROR(__xludf.DUMMYFUNCTION("""COMPUTED_VALUE"""),0.3659)</f>
        <v>0.3659</v>
      </c>
      <c r="O223" s="213">
        <f>IFERROR(__xludf.DUMMYFUNCTION("""COMPUTED_VALUE"""),829.0)</f>
        <v>829</v>
      </c>
      <c r="P223" s="213">
        <f>IFERROR(__xludf.DUMMYFUNCTION("""COMPUTED_VALUE"""),796.0)</f>
        <v>796</v>
      </c>
      <c r="Q223" s="214">
        <f>IFERROR(__xludf.DUMMYFUNCTION("""COMPUTED_VALUE"""),0.027)</f>
        <v>0.027</v>
      </c>
      <c r="R223" s="214">
        <f>IFERROR(__xludf.DUMMYFUNCTION("""COMPUTED_VALUE"""),0.0738)</f>
        <v>0.0738</v>
      </c>
      <c r="S223" s="101">
        <f>IFERROR(__xludf.DUMMYFUNCTION("""COMPUTED_VALUE"""),1.0)</f>
        <v>1</v>
      </c>
      <c r="T223" s="101">
        <f>IFERROR(__xludf.DUMMYFUNCTION("""COMPUTED_VALUE"""),4.0)</f>
        <v>4</v>
      </c>
      <c r="U223" s="213">
        <f>IFERROR(__xludf.DUMMYFUNCTION("""COMPUTED_VALUE"""),3958.0)</f>
        <v>3958</v>
      </c>
      <c r="V223" s="271" t="str">
        <f>IFERROR(__xludf.DUMMYFUNCTION("""COMPUTED_VALUE"""),"overall")</f>
        <v>overall</v>
      </c>
      <c r="W223" s="98" t="str">
        <f>IFERROR(__xludf.DUMMYFUNCTION("""COMPUTED_VALUE"""),"simple")</f>
        <v>simple</v>
      </c>
      <c r="X223" s="98" t="str">
        <f>IFERROR(__xludf.DUMMYFUNCTION("""COMPUTED_VALUE"""),"Lapsed Customers (9-14)")</f>
        <v>Lapsed Customers (9-14)</v>
      </c>
      <c r="Y223" s="98" t="str">
        <f>IFERROR(__xludf.DUMMYFUNCTION("""COMPUTED_VALUE"""),"7-9 march")</f>
        <v>7-9 march</v>
      </c>
      <c r="Z223" s="98" t="str">
        <f>IFERROR(__xludf.DUMMYFUNCTION("""COMPUTED_VALUE"""),"69aac405a60bd02cb5b3e6ff")</f>
        <v>69aac405a60bd02cb5b3e6ff</v>
      </c>
      <c r="AA223" s="98">
        <f>IFERROR(__xludf.DUMMYFUNCTION("""COMPUTED_VALUE"""),31.0)</f>
        <v>31</v>
      </c>
      <c r="AB223" s="98">
        <f>IFERROR(__xludf.DUMMYFUNCTION("""COMPUTED_VALUE"""),7.0)</f>
        <v>7</v>
      </c>
      <c r="AC223" s="98">
        <f>IFERROR(__xludf.DUMMYFUNCTION("""COMPUTED_VALUE"""),24.0)</f>
        <v>24</v>
      </c>
      <c r="AD223" s="98">
        <f>IFERROR(__xludf.DUMMYFUNCTION("""COMPUTED_VALUE"""),154354.0)</f>
        <v>154354</v>
      </c>
      <c r="AE223" s="98">
        <f>IFERROR(__xludf.DUMMYFUNCTION("""COMPUTED_VALUE"""),23842.0)</f>
        <v>23842</v>
      </c>
      <c r="AF223" s="98">
        <f>IFERROR(__xludf.DUMMYFUNCTION("""COMPUTED_VALUE"""),130512.0)</f>
        <v>130512</v>
      </c>
      <c r="AG223" s="208"/>
      <c r="AH223" s="208"/>
      <c r="AI223" s="208"/>
      <c r="AJ223" s="208"/>
      <c r="AK223" s="208"/>
    </row>
    <row r="224" hidden="1">
      <c r="A224" s="216">
        <f>IFERROR(__xludf.DUMMYFUNCTION("""COMPUTED_VALUE"""),46088.0)</f>
        <v>46088</v>
      </c>
      <c r="B224" s="210">
        <f>IFERROR(__xludf.DUMMYFUNCTION("""COMPUTED_VALUE"""),0.5)</f>
        <v>0.5</v>
      </c>
      <c r="C224" s="210" t="str">
        <f>IFERROR(__xludf.DUMMYFUNCTION("""COMPUTED_VALUE"""),"Whatsapp")</f>
        <v>Whatsapp</v>
      </c>
      <c r="D224" s="210" t="str">
        <f>IFERROR(__xludf.DUMMYFUNCTION("""COMPUTED_VALUE"""),"Promotional")</f>
        <v>Promotional</v>
      </c>
      <c r="E224" s="211" t="str">
        <f>IFERROR(__xludf.DUMMYFUNCTION("""COMPUTED_VALUE"""),"BBW")</f>
        <v>BBW</v>
      </c>
      <c r="F224" s="211" t="str">
        <f>IFERROR(__xludf.DUMMYFUNCTION("""COMPUTED_VALUE"""),"B2G2")</f>
        <v>B2G2</v>
      </c>
      <c r="G224" s="211" t="str">
        <f>IFERROR(__xludf.DUMMYFUNCTION("""COMPUTED_VALUE"""),"bbw_wa_b2g2_08.3_lapsed15to19")</f>
        <v>bbw_wa_b2g2_08.3_lapsed15to19</v>
      </c>
      <c r="H224" s="211" t="str">
        <f>IFERROR(__xludf.DUMMYFUNCTION("""COMPUTED_VALUE"""),"Lapsed_15_To_19_Months")</f>
        <v>Lapsed_15_To_19_Months</v>
      </c>
      <c r="I224" s="223" t="str">
        <f>IFERROR(__xludf.DUMMYFUNCTION("""COMPUTED_VALUE"""),"Customers who have not purchasedin the last 9 months but have purchased before 15 - 19 months")</f>
        <v>Customers who have not purchasedin the last 9 months but have purchased before 15 - 19 months</v>
      </c>
      <c r="J224" s="213">
        <f>IFERROR(__xludf.DUMMYFUNCTION("""COMPUTED_VALUE"""),135439.0)</f>
        <v>135439</v>
      </c>
      <c r="K224" s="213">
        <f>IFERROR(__xludf.DUMMYFUNCTION("""COMPUTED_VALUE"""),44719.0)</f>
        <v>44719</v>
      </c>
      <c r="L224" s="214">
        <f>IFERROR(__xludf.DUMMYFUNCTION("""COMPUTED_VALUE"""),0.3302)</f>
        <v>0.3302</v>
      </c>
      <c r="M224" s="213">
        <f>IFERROR(__xludf.DUMMYFUNCTION("""COMPUTED_VALUE"""),16315.0)</f>
        <v>16315</v>
      </c>
      <c r="N224" s="214">
        <f>IFERROR(__xludf.DUMMYFUNCTION("""COMPUTED_VALUE"""),0.3648)</f>
        <v>0.3648</v>
      </c>
      <c r="O224" s="213">
        <f>IFERROR(__xludf.DUMMYFUNCTION("""COMPUTED_VALUE"""),1013.0)</f>
        <v>1013</v>
      </c>
      <c r="P224" s="213">
        <f>IFERROR(__xludf.DUMMYFUNCTION("""COMPUTED_VALUE"""),981.0)</f>
        <v>981</v>
      </c>
      <c r="Q224" s="214">
        <f>IFERROR(__xludf.DUMMYFUNCTION("""COMPUTED_VALUE"""),0.0219)</f>
        <v>0.0219</v>
      </c>
      <c r="R224" s="214">
        <f>IFERROR(__xludf.DUMMYFUNCTION("""COMPUTED_VALUE"""),0.0601)</f>
        <v>0.0601</v>
      </c>
      <c r="S224" s="101">
        <f>IFERROR(__xludf.DUMMYFUNCTION("""COMPUTED_VALUE"""),0.0)</f>
        <v>0</v>
      </c>
      <c r="T224" s="101">
        <f>IFERROR(__xludf.DUMMYFUNCTION("""COMPUTED_VALUE"""),3.0)</f>
        <v>3</v>
      </c>
      <c r="U224" s="213">
        <f>IFERROR(__xludf.DUMMYFUNCTION("""COMPUTED_VALUE"""),0.0)</f>
        <v>0</v>
      </c>
      <c r="V224" s="271" t="str">
        <f>IFERROR(__xludf.DUMMYFUNCTION("""COMPUTED_VALUE"""),"overall")</f>
        <v>overall</v>
      </c>
      <c r="W224" s="98" t="str">
        <f>IFERROR(__xludf.DUMMYFUNCTION("""COMPUTED_VALUE"""),"simple")</f>
        <v>simple</v>
      </c>
      <c r="X224" s="98" t="str">
        <f>IFERROR(__xludf.DUMMYFUNCTION("""COMPUTED_VALUE"""),"Lapsed_15_To_19_Months")</f>
        <v>Lapsed_15_To_19_Months</v>
      </c>
      <c r="Y224" s="98" t="str">
        <f>IFERROR(__xludf.DUMMYFUNCTION("""COMPUTED_VALUE"""),"7-9 march")</f>
        <v>7-9 march</v>
      </c>
      <c r="Z224" s="98" t="str">
        <f>IFERROR(__xludf.DUMMYFUNCTION("""COMPUTED_VALUE"""),"69aac445a62e38002df213bc")</f>
        <v>69aac445a62e38002df213bc</v>
      </c>
      <c r="AA224" s="98">
        <f>IFERROR(__xludf.DUMMYFUNCTION("""COMPUTED_VALUE"""),44.0)</f>
        <v>44</v>
      </c>
      <c r="AB224" s="98">
        <f>IFERROR(__xludf.DUMMYFUNCTION("""COMPUTED_VALUE"""),5.0)</f>
        <v>5</v>
      </c>
      <c r="AC224" s="98">
        <f>IFERROR(__xludf.DUMMYFUNCTION("""COMPUTED_VALUE"""),39.0)</f>
        <v>39</v>
      </c>
      <c r="AD224" s="98">
        <f>IFERROR(__xludf.DUMMYFUNCTION("""COMPUTED_VALUE"""),217959.0)</f>
        <v>217959</v>
      </c>
      <c r="AE224" s="98">
        <f>IFERROR(__xludf.DUMMYFUNCTION("""COMPUTED_VALUE"""),20089.0)</f>
        <v>20089</v>
      </c>
      <c r="AF224" s="98">
        <f>IFERROR(__xludf.DUMMYFUNCTION("""COMPUTED_VALUE"""),197870.0)</f>
        <v>197870</v>
      </c>
      <c r="AG224" s="208"/>
      <c r="AH224" s="208"/>
      <c r="AI224" s="208"/>
      <c r="AJ224" s="208"/>
      <c r="AK224" s="208"/>
    </row>
    <row r="225" hidden="1">
      <c r="A225" s="216">
        <f>IFERROR(__xludf.DUMMYFUNCTION("""COMPUTED_VALUE"""),46088.0)</f>
        <v>46088</v>
      </c>
      <c r="B225" s="210">
        <f>IFERROR(__xludf.DUMMYFUNCTION("""COMPUTED_VALUE"""),0.5)</f>
        <v>0.5</v>
      </c>
      <c r="C225" s="210" t="str">
        <f>IFERROR(__xludf.DUMMYFUNCTION("""COMPUTED_VALUE"""),"Whatsapp")</f>
        <v>Whatsapp</v>
      </c>
      <c r="D225" s="210" t="str">
        <f>IFERROR(__xludf.DUMMYFUNCTION("""COMPUTED_VALUE"""),"Promotional")</f>
        <v>Promotional</v>
      </c>
      <c r="E225" s="211" t="str">
        <f>IFERROR(__xludf.DUMMYFUNCTION("""COMPUTED_VALUE"""),"BBW")</f>
        <v>BBW</v>
      </c>
      <c r="F225" s="211" t="str">
        <f>IFERROR(__xludf.DUMMYFUNCTION("""COMPUTED_VALUE"""),"B2G2")</f>
        <v>B2G2</v>
      </c>
      <c r="G225" s="211" t="str">
        <f>IFERROR(__xludf.DUMMYFUNCTION("""COMPUTED_VALUE"""),"bbw_wa_b2g2_08.3_high_basket_size")</f>
        <v>bbw_wa_b2g2_08.3_high_basket_size</v>
      </c>
      <c r="H225" s="211" t="str">
        <f>IFERROR(__xludf.DUMMYFUNCTION("""COMPUTED_VALUE"""),"Big_Basket_36_Months")</f>
        <v>Big_Basket_36_Months</v>
      </c>
      <c r="I225" s="223" t="str">
        <f>IFERROR(__xludf.DUMMYFUNCTION("""COMPUTED_VALUE"""),"Customers with AOV greater than ₹3,000 and UPT greater than 2 in the last 36 months.")</f>
        <v>Customers with AOV greater than ₹3,000 and UPT greater than 2 in the last 36 months.</v>
      </c>
      <c r="J225" s="213">
        <f>IFERROR(__xludf.DUMMYFUNCTION("""COMPUTED_VALUE"""),72709.0)</f>
        <v>72709</v>
      </c>
      <c r="K225" s="213">
        <f>IFERROR(__xludf.DUMMYFUNCTION("""COMPUTED_VALUE"""),13914.0)</f>
        <v>13914</v>
      </c>
      <c r="L225" s="214">
        <f>IFERROR(__xludf.DUMMYFUNCTION("""COMPUTED_VALUE"""),0.1914)</f>
        <v>0.1914</v>
      </c>
      <c r="M225" s="213">
        <f>IFERROR(__xludf.DUMMYFUNCTION("""COMPUTED_VALUE"""),5095.0)</f>
        <v>5095</v>
      </c>
      <c r="N225" s="214">
        <f>IFERROR(__xludf.DUMMYFUNCTION("""COMPUTED_VALUE"""),0.3662)</f>
        <v>0.3662</v>
      </c>
      <c r="O225" s="213">
        <f>IFERROR(__xludf.DUMMYFUNCTION("""COMPUTED_VALUE"""),478.0)</f>
        <v>478</v>
      </c>
      <c r="P225" s="213">
        <f>IFERROR(__xludf.DUMMYFUNCTION("""COMPUTED_VALUE"""),459.0)</f>
        <v>459</v>
      </c>
      <c r="Q225" s="214">
        <f>IFERROR(__xludf.DUMMYFUNCTION("""COMPUTED_VALUE"""),0.033)</f>
        <v>0.033</v>
      </c>
      <c r="R225" s="214">
        <f>IFERROR(__xludf.DUMMYFUNCTION("""COMPUTED_VALUE"""),0.0901)</f>
        <v>0.0901</v>
      </c>
      <c r="S225" s="101">
        <f>IFERROR(__xludf.DUMMYFUNCTION("""COMPUTED_VALUE"""),3.0)</f>
        <v>3</v>
      </c>
      <c r="T225" s="101">
        <f>IFERROR(__xludf.DUMMYFUNCTION("""COMPUTED_VALUE"""),7.0)</f>
        <v>7</v>
      </c>
      <c r="U225" s="213">
        <f>IFERROR(__xludf.DUMMYFUNCTION("""COMPUTED_VALUE"""),15163.0)</f>
        <v>15163</v>
      </c>
      <c r="V225" s="271" t="str">
        <f>IFERROR(__xludf.DUMMYFUNCTION("""COMPUTED_VALUE"""),"overall")</f>
        <v>overall</v>
      </c>
      <c r="W225" s="98" t="str">
        <f>IFERROR(__xludf.DUMMYFUNCTION("""COMPUTED_VALUE"""),"simple")</f>
        <v>simple</v>
      </c>
      <c r="X225" s="98" t="str">
        <f>IFERROR(__xludf.DUMMYFUNCTION("""COMPUTED_VALUE"""),"High Basket Size Customers")</f>
        <v>High Basket Size Customers</v>
      </c>
      <c r="Y225" s="98" t="str">
        <f>IFERROR(__xludf.DUMMYFUNCTION("""COMPUTED_VALUE"""),"7-9 march")</f>
        <v>7-9 march</v>
      </c>
      <c r="Z225" s="98" t="str">
        <f>IFERROR(__xludf.DUMMYFUNCTION("""COMPUTED_VALUE"""),"69aac49e7ba74bc7b771a65d")</f>
        <v>69aac49e7ba74bc7b771a65d</v>
      </c>
      <c r="AA225" s="98">
        <f>IFERROR(__xludf.DUMMYFUNCTION("""COMPUTED_VALUE"""),81.0)</f>
        <v>81</v>
      </c>
      <c r="AB225" s="98">
        <f>IFERROR(__xludf.DUMMYFUNCTION("""COMPUTED_VALUE"""),15.0)</f>
        <v>15</v>
      </c>
      <c r="AC225" s="98">
        <f>IFERROR(__xludf.DUMMYFUNCTION("""COMPUTED_VALUE"""),66.0)</f>
        <v>66</v>
      </c>
      <c r="AD225" s="98">
        <f>IFERROR(__xludf.DUMMYFUNCTION("""COMPUTED_VALUE"""),535462.0)</f>
        <v>535462</v>
      </c>
      <c r="AE225" s="98">
        <f>IFERROR(__xludf.DUMMYFUNCTION("""COMPUTED_VALUE"""),74313.0)</f>
        <v>74313</v>
      </c>
      <c r="AF225" s="98">
        <f>IFERROR(__xludf.DUMMYFUNCTION("""COMPUTED_VALUE"""),461149.0)</f>
        <v>461149</v>
      </c>
      <c r="AG225" s="208"/>
      <c r="AH225" s="208"/>
      <c r="AI225" s="208"/>
      <c r="AJ225" s="208"/>
      <c r="AK225" s="208"/>
    </row>
    <row r="226" hidden="1">
      <c r="A226" s="216">
        <f>IFERROR(__xludf.DUMMYFUNCTION("""COMPUTED_VALUE"""),46088.0)</f>
        <v>46088</v>
      </c>
      <c r="B226" s="210">
        <f>IFERROR(__xludf.DUMMYFUNCTION("""COMPUTED_VALUE"""),0.5)</f>
        <v>0.5</v>
      </c>
      <c r="C226" s="210" t="str">
        <f>IFERROR(__xludf.DUMMYFUNCTION("""COMPUTED_VALUE"""),"Whatsapp")</f>
        <v>Whatsapp</v>
      </c>
      <c r="D226" s="210" t="str">
        <f>IFERROR(__xludf.DUMMYFUNCTION("""COMPUTED_VALUE"""),"Promotional")</f>
        <v>Promotional</v>
      </c>
      <c r="E226" s="211" t="str">
        <f>IFERROR(__xludf.DUMMYFUNCTION("""COMPUTED_VALUE"""),"BBW")</f>
        <v>BBW</v>
      </c>
      <c r="F226" s="211" t="str">
        <f>IFERROR(__xludf.DUMMYFUNCTION("""COMPUTED_VALUE"""),"B2G2")</f>
        <v>B2G2</v>
      </c>
      <c r="G226" s="211" t="str">
        <f>IFERROR(__xludf.DUMMYFUNCTION("""COMPUTED_VALUE"""),"bbw_wa_b2g2_08.3_dormant_high_value")</f>
        <v>bbw_wa_b2g2_08.3_dormant_high_value</v>
      </c>
      <c r="H226" s="211" t="str">
        <f>IFERROR(__xludf.DUMMYFUNCTION("""COMPUTED_VALUE"""),"Dormant_LTV_10000")</f>
        <v>Dormant_LTV_10000</v>
      </c>
      <c r="I226" s="223" t="str">
        <f>IFERROR(__xludf.DUMMYFUNCTION("""COMPUTED_VALUE"""),"Customers with LTV greater than 10,000 but no purchase in the last 9 months")</f>
        <v>Customers with LTV greater than 10,000 but no purchase in the last 9 months</v>
      </c>
      <c r="J226" s="213">
        <f>IFERROR(__xludf.DUMMYFUNCTION("""COMPUTED_VALUE"""),3546.0)</f>
        <v>3546</v>
      </c>
      <c r="K226" s="213">
        <f>IFERROR(__xludf.DUMMYFUNCTION("""COMPUTED_VALUE"""),370.0)</f>
        <v>370</v>
      </c>
      <c r="L226" s="214">
        <f>IFERROR(__xludf.DUMMYFUNCTION("""COMPUTED_VALUE"""),0.1043)</f>
        <v>0.1043</v>
      </c>
      <c r="M226" s="213">
        <f>IFERROR(__xludf.DUMMYFUNCTION("""COMPUTED_VALUE"""),145.0)</f>
        <v>145</v>
      </c>
      <c r="N226" s="214">
        <f>IFERROR(__xludf.DUMMYFUNCTION("""COMPUTED_VALUE"""),0.3919)</f>
        <v>0.3919</v>
      </c>
      <c r="O226" s="213">
        <f>IFERROR(__xludf.DUMMYFUNCTION("""COMPUTED_VALUE"""),24.0)</f>
        <v>24</v>
      </c>
      <c r="P226" s="213">
        <f>IFERROR(__xludf.DUMMYFUNCTION("""COMPUTED_VALUE"""),24.0)</f>
        <v>24</v>
      </c>
      <c r="Q226" s="214">
        <f>IFERROR(__xludf.DUMMYFUNCTION("""COMPUTED_VALUE"""),0.0649)</f>
        <v>0.0649</v>
      </c>
      <c r="R226" s="214">
        <f>IFERROR(__xludf.DUMMYFUNCTION("""COMPUTED_VALUE"""),0.1655)</f>
        <v>0.1655</v>
      </c>
      <c r="S226" s="101">
        <f>IFERROR(__xludf.DUMMYFUNCTION("""COMPUTED_VALUE"""),0.0)</f>
        <v>0</v>
      </c>
      <c r="T226" s="101">
        <f>IFERROR(__xludf.DUMMYFUNCTION("""COMPUTED_VALUE"""),0.0)</f>
        <v>0</v>
      </c>
      <c r="U226" s="213">
        <f>IFERROR(__xludf.DUMMYFUNCTION("""COMPUTED_VALUE"""),0.0)</f>
        <v>0</v>
      </c>
      <c r="V226" s="271" t="str">
        <f>IFERROR(__xludf.DUMMYFUNCTION("""COMPUTED_VALUE"""),"overall")</f>
        <v>overall</v>
      </c>
      <c r="W226" s="98" t="str">
        <f>IFERROR(__xludf.DUMMYFUNCTION("""COMPUTED_VALUE"""),"simple")</f>
        <v>simple</v>
      </c>
      <c r="X226" s="98" t="str">
        <f>IFERROR(__xludf.DUMMYFUNCTION("""COMPUTED_VALUE"""),"Dormant High-Value Customers")</f>
        <v>Dormant High-Value Customers</v>
      </c>
      <c r="Y226" s="98" t="str">
        <f>IFERROR(__xludf.DUMMYFUNCTION("""COMPUTED_VALUE"""),"7-9 march")</f>
        <v>7-9 march</v>
      </c>
      <c r="Z226" s="98" t="str">
        <f>IFERROR(__xludf.DUMMYFUNCTION("""COMPUTED_VALUE"""),"69aac55b3e39e36673f3f336")</f>
        <v>69aac55b3e39e36673f3f336</v>
      </c>
      <c r="AA226" s="98">
        <f>IFERROR(__xludf.DUMMYFUNCTION("""COMPUTED_VALUE"""),3.0)</f>
        <v>3</v>
      </c>
      <c r="AB226" s="98">
        <f>IFERROR(__xludf.DUMMYFUNCTION("""COMPUTED_VALUE"""),2.0)</f>
        <v>2</v>
      </c>
      <c r="AC226" s="98">
        <f>IFERROR(__xludf.DUMMYFUNCTION("""COMPUTED_VALUE"""),1.0)</f>
        <v>1</v>
      </c>
      <c r="AD226" s="98">
        <f>IFERROR(__xludf.DUMMYFUNCTION("""COMPUTED_VALUE"""),3392.0)</f>
        <v>3392</v>
      </c>
      <c r="AE226" s="98">
        <f>IFERROR(__xludf.DUMMYFUNCTION("""COMPUTED_VALUE"""),2794.0)</f>
        <v>2794</v>
      </c>
      <c r="AF226" s="98">
        <f>IFERROR(__xludf.DUMMYFUNCTION("""COMPUTED_VALUE"""),598.0)</f>
        <v>598</v>
      </c>
      <c r="AG226" s="208"/>
      <c r="AH226" s="208"/>
      <c r="AI226" s="208"/>
      <c r="AJ226" s="208"/>
      <c r="AK226" s="208"/>
    </row>
    <row r="227" hidden="1">
      <c r="A227" s="216">
        <f>IFERROR(__xludf.DUMMYFUNCTION("""COMPUTED_VALUE"""),46088.0)</f>
        <v>46088</v>
      </c>
      <c r="B227" s="210">
        <f>IFERROR(__xludf.DUMMYFUNCTION("""COMPUTED_VALUE"""),0.5)</f>
        <v>0.5</v>
      </c>
      <c r="C227" s="210" t="str">
        <f>IFERROR(__xludf.DUMMYFUNCTION("""COMPUTED_VALUE"""),"Whatsapp")</f>
        <v>Whatsapp</v>
      </c>
      <c r="D227" s="210" t="str">
        <f>IFERROR(__xludf.DUMMYFUNCTION("""COMPUTED_VALUE"""),"Promotional")</f>
        <v>Promotional</v>
      </c>
      <c r="E227" s="211" t="str">
        <f>IFERROR(__xludf.DUMMYFUNCTION("""COMPUTED_VALUE"""),"BBW")</f>
        <v>BBW</v>
      </c>
      <c r="F227" s="211" t="str">
        <f>IFERROR(__xludf.DUMMYFUNCTION("""COMPUTED_VALUE"""),"B2G2")</f>
        <v>B2G2</v>
      </c>
      <c r="G227" s="211" t="str">
        <f>IFERROR(__xludf.DUMMYFUNCTION("""COMPUTED_VALUE"""),"bbw_wa_b2g2_08.3_b2g2_cart_abandoners")</f>
        <v>bbw_wa_b2g2_08.3_b2g2_cart_abandoners</v>
      </c>
      <c r="H227" s="211" t="str">
        <f>IFERROR(__xludf.DUMMYFUNCTION("""COMPUTED_VALUE"""),"B2G2_Cart_Abandoners")</f>
        <v>B2G2_Cart_Abandoners</v>
      </c>
      <c r="I227" s="223" t="str">
        <f>IFERROR(__xludf.DUMMYFUNCTION("""COMPUTED_VALUE"""),"Customers who added B2G2 eligible products to their cart but did not complete the purchase")</f>
        <v>Customers who added B2G2 eligible products to their cart but did not complete the purchase</v>
      </c>
      <c r="J227" s="213">
        <f>IFERROR(__xludf.DUMMYFUNCTION("""COMPUTED_VALUE"""),321.0)</f>
        <v>321</v>
      </c>
      <c r="K227" s="213">
        <f>IFERROR(__xludf.DUMMYFUNCTION("""COMPUTED_VALUE"""),50.0)</f>
        <v>50</v>
      </c>
      <c r="L227" s="214">
        <f>IFERROR(__xludf.DUMMYFUNCTION("""COMPUTED_VALUE"""),0.1558)</f>
        <v>0.1558</v>
      </c>
      <c r="M227" s="213">
        <f>IFERROR(__xludf.DUMMYFUNCTION("""COMPUTED_VALUE"""),23.0)</f>
        <v>23</v>
      </c>
      <c r="N227" s="214">
        <f>IFERROR(__xludf.DUMMYFUNCTION("""COMPUTED_VALUE"""),0.46)</f>
        <v>0.46</v>
      </c>
      <c r="O227" s="213">
        <f>IFERROR(__xludf.DUMMYFUNCTION("""COMPUTED_VALUE"""),2.0)</f>
        <v>2</v>
      </c>
      <c r="P227" s="213">
        <f>IFERROR(__xludf.DUMMYFUNCTION("""COMPUTED_VALUE"""),2.0)</f>
        <v>2</v>
      </c>
      <c r="Q227" s="214">
        <f>IFERROR(__xludf.DUMMYFUNCTION("""COMPUTED_VALUE"""),0.04)</f>
        <v>0.04</v>
      </c>
      <c r="R227" s="214">
        <f>IFERROR(__xludf.DUMMYFUNCTION("""COMPUTED_VALUE"""),0.087)</f>
        <v>0.087</v>
      </c>
      <c r="S227" s="101">
        <f>IFERROR(__xludf.DUMMYFUNCTION("""COMPUTED_VALUE"""),0.0)</f>
        <v>0</v>
      </c>
      <c r="T227" s="101">
        <f>IFERROR(__xludf.DUMMYFUNCTION("""COMPUTED_VALUE"""),4.0)</f>
        <v>4</v>
      </c>
      <c r="U227" s="213">
        <f>IFERROR(__xludf.DUMMYFUNCTION("""COMPUTED_VALUE"""),0.0)</f>
        <v>0</v>
      </c>
      <c r="V227" s="271" t="str">
        <f>IFERROR(__xludf.DUMMYFUNCTION("""COMPUTED_VALUE"""),"overall")</f>
        <v>overall</v>
      </c>
      <c r="W227" s="98" t="str">
        <f>IFERROR(__xludf.DUMMYFUNCTION("""COMPUTED_VALUE"""),"simple")</f>
        <v>simple</v>
      </c>
      <c r="X227" s="98" t="str">
        <f>IFERROR(__xludf.DUMMYFUNCTION("""COMPUTED_VALUE"""),"B2G2 Cart Abandoners")</f>
        <v>B2G2 Cart Abandoners</v>
      </c>
      <c r="Y227" s="98" t="str">
        <f>IFERROR(__xludf.DUMMYFUNCTION("""COMPUTED_VALUE"""),"7-9 march")</f>
        <v>7-9 march</v>
      </c>
      <c r="Z227" s="98" t="str">
        <f>IFERROR(__xludf.DUMMYFUNCTION("""COMPUTED_VALUE"""),"69aac6534fdc618eac75b9b3")</f>
        <v>69aac6534fdc618eac75b9b3</v>
      </c>
      <c r="AA227" s="98">
        <f>IFERROR(__xludf.DUMMYFUNCTION("""COMPUTED_VALUE"""),0.0)</f>
        <v>0</v>
      </c>
      <c r="AB227" s="98">
        <f>IFERROR(__xludf.DUMMYFUNCTION("""COMPUTED_VALUE"""),0.0)</f>
        <v>0</v>
      </c>
      <c r="AC227" s="98">
        <f>IFERROR(__xludf.DUMMYFUNCTION("""COMPUTED_VALUE"""),0.0)</f>
        <v>0</v>
      </c>
      <c r="AD227" s="98">
        <f>IFERROR(__xludf.DUMMYFUNCTION("""COMPUTED_VALUE"""),0.0)</f>
        <v>0</v>
      </c>
      <c r="AE227" s="98">
        <f>IFERROR(__xludf.DUMMYFUNCTION("""COMPUTED_VALUE"""),0.0)</f>
        <v>0</v>
      </c>
      <c r="AF227" s="98">
        <f>IFERROR(__xludf.DUMMYFUNCTION("""COMPUTED_VALUE"""),0.0)</f>
        <v>0</v>
      </c>
      <c r="AG227" s="208"/>
      <c r="AH227" s="208"/>
      <c r="AI227" s="208"/>
      <c r="AJ227" s="208"/>
      <c r="AK227" s="208"/>
    </row>
    <row r="228" hidden="1">
      <c r="A228" s="216">
        <f>IFERROR(__xludf.DUMMYFUNCTION("""COMPUTED_VALUE"""),46088.0)</f>
        <v>46088</v>
      </c>
      <c r="B228" s="210">
        <f>IFERROR(__xludf.DUMMYFUNCTION("""COMPUTED_VALUE"""),0.5)</f>
        <v>0.5</v>
      </c>
      <c r="C228" s="210" t="str">
        <f>IFERROR(__xludf.DUMMYFUNCTION("""COMPUTED_VALUE"""),"Whatsapp")</f>
        <v>Whatsapp</v>
      </c>
      <c r="D228" s="210" t="str">
        <f>IFERROR(__xludf.DUMMYFUNCTION("""COMPUTED_VALUE"""),"Promotional")</f>
        <v>Promotional</v>
      </c>
      <c r="E228" s="211" t="str">
        <f>IFERROR(__xludf.DUMMYFUNCTION("""COMPUTED_VALUE"""),"BBW")</f>
        <v>BBW</v>
      </c>
      <c r="F228" s="211" t="str">
        <f>IFERROR(__xludf.DUMMYFUNCTION("""COMPUTED_VALUE"""),"B2G2")</f>
        <v>B2G2</v>
      </c>
      <c r="G228" s="211" t="str">
        <f>IFERROR(__xludf.DUMMYFUNCTION("""COMPUTED_VALUE"""),"bbw_wa_b2g2_08.3_bodycare_cat")</f>
        <v>bbw_wa_b2g2_08.3_bodycare_cat</v>
      </c>
      <c r="H228" s="211" t="str">
        <f>IFERROR(__xludf.DUMMYFUNCTION("""COMPUTED_VALUE"""),"BodyCare_AOV_3000")</f>
        <v>BodyCare_AOV_3000</v>
      </c>
      <c r="I228" s="223" t="str">
        <f>IFERROR(__xludf.DUMMYFUNCTION("""COMPUTED_VALUE"""),"Customers who previously purchased from the Body Care category with a minimum order value of ₹3,000 – Create similar ones for other categories.")</f>
        <v>Customers who previously purchased from the Body Care category with a minimum order value of ₹3,000 – Create similar ones for other categories.</v>
      </c>
      <c r="J228" s="213">
        <f>IFERROR(__xludf.DUMMYFUNCTION("""COMPUTED_VALUE"""),1416.0)</f>
        <v>1416</v>
      </c>
      <c r="K228" s="213">
        <f>IFERROR(__xludf.DUMMYFUNCTION("""COMPUTED_VALUE"""),177.0)</f>
        <v>177</v>
      </c>
      <c r="L228" s="214">
        <f>IFERROR(__xludf.DUMMYFUNCTION("""COMPUTED_VALUE"""),0.125)</f>
        <v>0.125</v>
      </c>
      <c r="M228" s="213">
        <f>IFERROR(__xludf.DUMMYFUNCTION("""COMPUTED_VALUE"""),65.0)</f>
        <v>65</v>
      </c>
      <c r="N228" s="214">
        <f>IFERROR(__xludf.DUMMYFUNCTION("""COMPUTED_VALUE"""),0.3672)</f>
        <v>0.3672</v>
      </c>
      <c r="O228" s="213">
        <f>IFERROR(__xludf.DUMMYFUNCTION("""COMPUTED_VALUE"""),13.0)</f>
        <v>13</v>
      </c>
      <c r="P228" s="213">
        <f>IFERROR(__xludf.DUMMYFUNCTION("""COMPUTED_VALUE"""),11.0)</f>
        <v>11</v>
      </c>
      <c r="Q228" s="214">
        <f>IFERROR(__xludf.DUMMYFUNCTION("""COMPUTED_VALUE"""),0.0621)</f>
        <v>0.0621</v>
      </c>
      <c r="R228" s="214">
        <f>IFERROR(__xludf.DUMMYFUNCTION("""COMPUTED_VALUE"""),0.1692)</f>
        <v>0.1692</v>
      </c>
      <c r="S228" s="101">
        <f>IFERROR(__xludf.DUMMYFUNCTION("""COMPUTED_VALUE"""),0.0)</f>
        <v>0</v>
      </c>
      <c r="T228" s="101">
        <f>IFERROR(__xludf.DUMMYFUNCTION("""COMPUTED_VALUE"""),0.0)</f>
        <v>0</v>
      </c>
      <c r="U228" s="213">
        <f>IFERROR(__xludf.DUMMYFUNCTION("""COMPUTED_VALUE"""),0.0)</f>
        <v>0</v>
      </c>
      <c r="V228" s="271" t="str">
        <f>IFERROR(__xludf.DUMMYFUNCTION("""COMPUTED_VALUE"""),"overall")</f>
        <v>overall</v>
      </c>
      <c r="W228" s="98" t="str">
        <f>IFERROR(__xludf.DUMMYFUNCTION("""COMPUTED_VALUE"""),"simple")</f>
        <v>simple</v>
      </c>
      <c r="X228" s="98" t="str">
        <f>IFERROR(__xludf.DUMMYFUNCTION("""COMPUTED_VALUE"""),"Category Cohorts like Body Care")</f>
        <v>Category Cohorts like Body Care</v>
      </c>
      <c r="Y228" s="98" t="str">
        <f>IFERROR(__xludf.DUMMYFUNCTION("""COMPUTED_VALUE"""),"7-9 march")</f>
        <v>7-9 march</v>
      </c>
      <c r="Z228" s="98" t="str">
        <f>IFERROR(__xludf.DUMMYFUNCTION("""COMPUTED_VALUE"""),"69aac802cf826a1d057fa3ba")</f>
        <v>69aac802cf826a1d057fa3ba</v>
      </c>
      <c r="AA228" s="98">
        <f>IFERROR(__xludf.DUMMYFUNCTION("""COMPUTED_VALUE"""),1.0)</f>
        <v>1</v>
      </c>
      <c r="AB228" s="98">
        <f>IFERROR(__xludf.DUMMYFUNCTION("""COMPUTED_VALUE"""),0.0)</f>
        <v>0</v>
      </c>
      <c r="AC228" s="98">
        <f>IFERROR(__xludf.DUMMYFUNCTION("""COMPUTED_VALUE"""),1.0)</f>
        <v>1</v>
      </c>
      <c r="AD228" s="98">
        <f>IFERROR(__xludf.DUMMYFUNCTION("""COMPUTED_VALUE"""),2398.0)</f>
        <v>2398</v>
      </c>
      <c r="AE228" s="98">
        <f>IFERROR(__xludf.DUMMYFUNCTION("""COMPUTED_VALUE"""),0.0)</f>
        <v>0</v>
      </c>
      <c r="AF228" s="98">
        <f>IFERROR(__xludf.DUMMYFUNCTION("""COMPUTED_VALUE"""),2398.0)</f>
        <v>2398</v>
      </c>
      <c r="AG228" s="208"/>
      <c r="AH228" s="208"/>
      <c r="AI228" s="208"/>
      <c r="AJ228" s="208"/>
      <c r="AK228" s="208"/>
    </row>
    <row r="229" hidden="1">
      <c r="A229" s="216">
        <f>IFERROR(__xludf.DUMMYFUNCTION("""COMPUTED_VALUE"""),46088.0)</f>
        <v>46088</v>
      </c>
      <c r="B229" s="210">
        <f>IFERROR(__xludf.DUMMYFUNCTION("""COMPUTED_VALUE"""),0.5)</f>
        <v>0.5</v>
      </c>
      <c r="C229" s="210" t="str">
        <f>IFERROR(__xludf.DUMMYFUNCTION("""COMPUTED_VALUE"""),"Whatsapp")</f>
        <v>Whatsapp</v>
      </c>
      <c r="D229" s="210" t="str">
        <f>IFERROR(__xludf.DUMMYFUNCTION("""COMPUTED_VALUE"""),"Promotional")</f>
        <v>Promotional</v>
      </c>
      <c r="E229" s="211" t="str">
        <f>IFERROR(__xludf.DUMMYFUNCTION("""COMPUTED_VALUE"""),"BBW")</f>
        <v>BBW</v>
      </c>
      <c r="F229" s="211" t="str">
        <f>IFERROR(__xludf.DUMMYFUNCTION("""COMPUTED_VALUE"""),"B2G2")</f>
        <v>B2G2</v>
      </c>
      <c r="G229" s="211" t="str">
        <f>IFERROR(__xludf.DUMMYFUNCTION("""COMPUTED_VALUE"""),"bbw_wa_b2g2_08.3_travelsize_cat")</f>
        <v>bbw_wa_b2g2_08.3_travelsize_cat</v>
      </c>
      <c r="H229" s="211" t="str">
        <f>IFERROR(__xludf.DUMMYFUNCTION("""COMPUTED_VALUE"""),"TS_AOV_3000")</f>
        <v>TS_AOV_3000</v>
      </c>
      <c r="I229" s="223" t="str">
        <f>IFERROR(__xludf.DUMMYFUNCTION("""COMPUTED_VALUE"""),"Customers who previously purchased from the Travel Size category with a minimum order value of ₹3,000 – Create similar ones for other categories.")</f>
        <v>Customers who previously purchased from the Travel Size category with a minimum order value of ₹3,000 – Create similar ones for other categories.</v>
      </c>
      <c r="J229" s="213">
        <f>IFERROR(__xludf.DUMMYFUNCTION("""COMPUTED_VALUE"""),931.0)</f>
        <v>931</v>
      </c>
      <c r="K229" s="213">
        <f>IFERROR(__xludf.DUMMYFUNCTION("""COMPUTED_VALUE"""),131.0)</f>
        <v>131</v>
      </c>
      <c r="L229" s="214">
        <f>IFERROR(__xludf.DUMMYFUNCTION("""COMPUTED_VALUE"""),0.1407)</f>
        <v>0.1407</v>
      </c>
      <c r="M229" s="213">
        <f>IFERROR(__xludf.DUMMYFUNCTION("""COMPUTED_VALUE"""),50.0)</f>
        <v>50</v>
      </c>
      <c r="N229" s="214">
        <f>IFERROR(__xludf.DUMMYFUNCTION("""COMPUTED_VALUE"""),0.3817)</f>
        <v>0.3817</v>
      </c>
      <c r="O229" s="213">
        <f>IFERROR(__xludf.DUMMYFUNCTION("""COMPUTED_VALUE"""),1.0)</f>
        <v>1</v>
      </c>
      <c r="P229" s="213">
        <f>IFERROR(__xludf.DUMMYFUNCTION("""COMPUTED_VALUE"""),1.0)</f>
        <v>1</v>
      </c>
      <c r="Q229" s="214">
        <f>IFERROR(__xludf.DUMMYFUNCTION("""COMPUTED_VALUE"""),0.0076)</f>
        <v>0.0076</v>
      </c>
      <c r="R229" s="214">
        <f>IFERROR(__xludf.DUMMYFUNCTION("""COMPUTED_VALUE"""),0.02)</f>
        <v>0.02</v>
      </c>
      <c r="S229" s="101">
        <f>IFERROR(__xludf.DUMMYFUNCTION("""COMPUTED_VALUE"""),0.0)</f>
        <v>0</v>
      </c>
      <c r="T229" s="101">
        <f>IFERROR(__xludf.DUMMYFUNCTION("""COMPUTED_VALUE"""),0.0)</f>
        <v>0</v>
      </c>
      <c r="U229" s="213">
        <f>IFERROR(__xludf.DUMMYFUNCTION("""COMPUTED_VALUE"""),0.0)</f>
        <v>0</v>
      </c>
      <c r="V229" s="271" t="str">
        <f>IFERROR(__xludf.DUMMYFUNCTION("""COMPUTED_VALUE"""),"overall")</f>
        <v>overall</v>
      </c>
      <c r="W229" s="98" t="str">
        <f>IFERROR(__xludf.DUMMYFUNCTION("""COMPUTED_VALUE"""),"simple")</f>
        <v>simple</v>
      </c>
      <c r="X229" s="98" t="str">
        <f>IFERROR(__xludf.DUMMYFUNCTION("""COMPUTED_VALUE"""),"Category Cohorts like Travel Size")</f>
        <v>Category Cohorts like Travel Size</v>
      </c>
      <c r="Y229" s="98" t="str">
        <f>IFERROR(__xludf.DUMMYFUNCTION("""COMPUTED_VALUE"""),"7-9 march")</f>
        <v>7-9 march</v>
      </c>
      <c r="Z229" s="98" t="str">
        <f>IFERROR(__xludf.DUMMYFUNCTION("""COMPUTED_VALUE"""),"69aac80ea30b31f6e0b10639")</f>
        <v>69aac80ea30b31f6e0b10639</v>
      </c>
      <c r="AA229" s="98">
        <f>IFERROR(__xludf.DUMMYFUNCTION("""COMPUTED_VALUE"""),0.0)</f>
        <v>0</v>
      </c>
      <c r="AB229" s="98">
        <f>IFERROR(__xludf.DUMMYFUNCTION("""COMPUTED_VALUE"""),0.0)</f>
        <v>0</v>
      </c>
      <c r="AC229" s="98">
        <f>IFERROR(__xludf.DUMMYFUNCTION("""COMPUTED_VALUE"""),0.0)</f>
        <v>0</v>
      </c>
      <c r="AD229" s="98">
        <f>IFERROR(__xludf.DUMMYFUNCTION("""COMPUTED_VALUE"""),0.0)</f>
        <v>0</v>
      </c>
      <c r="AE229" s="98">
        <f>IFERROR(__xludf.DUMMYFUNCTION("""COMPUTED_VALUE"""),0.0)</f>
        <v>0</v>
      </c>
      <c r="AF229" s="98">
        <f>IFERROR(__xludf.DUMMYFUNCTION("""COMPUTED_VALUE"""),0.0)</f>
        <v>0</v>
      </c>
      <c r="AG229" s="208"/>
      <c r="AH229" s="208"/>
      <c r="AI229" s="208"/>
      <c r="AJ229" s="208"/>
      <c r="AK229" s="208"/>
    </row>
    <row r="230" hidden="1">
      <c r="A230" s="216">
        <f>IFERROR(__xludf.DUMMYFUNCTION("""COMPUTED_VALUE"""),46088.0)</f>
        <v>46088</v>
      </c>
      <c r="B230" s="210">
        <f>IFERROR(__xludf.DUMMYFUNCTION("""COMPUTED_VALUE"""),0.5)</f>
        <v>0.5</v>
      </c>
      <c r="C230" s="210" t="str">
        <f>IFERROR(__xludf.DUMMYFUNCTION("""COMPUTED_VALUE"""),"Whatsapp")</f>
        <v>Whatsapp</v>
      </c>
      <c r="D230" s="210" t="str">
        <f>IFERROR(__xludf.DUMMYFUNCTION("""COMPUTED_VALUE"""),"Promotional")</f>
        <v>Promotional</v>
      </c>
      <c r="E230" s="211" t="str">
        <f>IFERROR(__xludf.DUMMYFUNCTION("""COMPUTED_VALUE"""),"BBW")</f>
        <v>BBW</v>
      </c>
      <c r="F230" s="211" t="str">
        <f>IFERROR(__xludf.DUMMYFUNCTION("""COMPUTED_VALUE"""),"B2G2")</f>
        <v>B2G2</v>
      </c>
      <c r="G230" s="211" t="str">
        <f>IFERROR(__xludf.DUMMYFUNCTION("""COMPUTED_VALUE"""),"bbw_wa_b2g2_08.3_fragrance_cat")</f>
        <v>bbw_wa_b2g2_08.3_fragrance_cat</v>
      </c>
      <c r="H230" s="211" t="str">
        <f>IFERROR(__xludf.DUMMYFUNCTION("""COMPUTED_VALUE"""),"Fragra_AOV_3000")</f>
        <v>Fragra_AOV_3000</v>
      </c>
      <c r="I230" s="223" t="str">
        <f>IFERROR(__xludf.DUMMYFUNCTION("""COMPUTED_VALUE"""),"Customers who previously purchased from the Fragrances category with a minimum order value of ₹3,000 – Create similar ones for other categories.")</f>
        <v>Customers who previously purchased from the Fragrances category with a minimum order value of ₹3,000 – Create similar ones for other categories.</v>
      </c>
      <c r="J230" s="213">
        <f>IFERROR(__xludf.DUMMYFUNCTION("""COMPUTED_VALUE"""),2000.0)</f>
        <v>2000</v>
      </c>
      <c r="K230" s="213">
        <f>IFERROR(__xludf.DUMMYFUNCTION("""COMPUTED_VALUE"""),366.0)</f>
        <v>366</v>
      </c>
      <c r="L230" s="214">
        <f>IFERROR(__xludf.DUMMYFUNCTION("""COMPUTED_VALUE"""),0.183)</f>
        <v>0.183</v>
      </c>
      <c r="M230" s="213">
        <f>IFERROR(__xludf.DUMMYFUNCTION("""COMPUTED_VALUE"""),146.0)</f>
        <v>146</v>
      </c>
      <c r="N230" s="214">
        <f>IFERROR(__xludf.DUMMYFUNCTION("""COMPUTED_VALUE"""),0.3989)</f>
        <v>0.3989</v>
      </c>
      <c r="O230" s="213">
        <f>IFERROR(__xludf.DUMMYFUNCTION("""COMPUTED_VALUE"""),12.0)</f>
        <v>12</v>
      </c>
      <c r="P230" s="213">
        <f>IFERROR(__xludf.DUMMYFUNCTION("""COMPUTED_VALUE"""),11.0)</f>
        <v>11</v>
      </c>
      <c r="Q230" s="214">
        <f>IFERROR(__xludf.DUMMYFUNCTION("""COMPUTED_VALUE"""),0.0301)</f>
        <v>0.0301</v>
      </c>
      <c r="R230" s="214">
        <f>IFERROR(__xludf.DUMMYFUNCTION("""COMPUTED_VALUE"""),0.0753)</f>
        <v>0.0753</v>
      </c>
      <c r="S230" s="101">
        <f>IFERROR(__xludf.DUMMYFUNCTION("""COMPUTED_VALUE"""),0.0)</f>
        <v>0</v>
      </c>
      <c r="T230" s="101">
        <f>IFERROR(__xludf.DUMMYFUNCTION("""COMPUTED_VALUE"""),0.0)</f>
        <v>0</v>
      </c>
      <c r="U230" s="213">
        <f>IFERROR(__xludf.DUMMYFUNCTION("""COMPUTED_VALUE"""),0.0)</f>
        <v>0</v>
      </c>
      <c r="V230" s="271" t="str">
        <f>IFERROR(__xludf.DUMMYFUNCTION("""COMPUTED_VALUE"""),"overall")</f>
        <v>overall</v>
      </c>
      <c r="W230" s="98" t="str">
        <f>IFERROR(__xludf.DUMMYFUNCTION("""COMPUTED_VALUE"""),"simple")</f>
        <v>simple</v>
      </c>
      <c r="X230" s="98" t="str">
        <f>IFERROR(__xludf.DUMMYFUNCTION("""COMPUTED_VALUE"""),"Category Cohorts like Fragrances")</f>
        <v>Category Cohorts like Fragrances</v>
      </c>
      <c r="Y230" s="98" t="str">
        <f>IFERROR(__xludf.DUMMYFUNCTION("""COMPUTED_VALUE"""),"7-9 march")</f>
        <v>7-9 march</v>
      </c>
      <c r="Z230" s="98" t="str">
        <f>IFERROR(__xludf.DUMMYFUNCTION("""COMPUTED_VALUE"""),"69aac81c85dada1d06c3f2d2")</f>
        <v>69aac81c85dada1d06c3f2d2</v>
      </c>
      <c r="AA230" s="98">
        <f>IFERROR(__xludf.DUMMYFUNCTION("""COMPUTED_VALUE"""),1.0)</f>
        <v>1</v>
      </c>
      <c r="AB230" s="98">
        <f>IFERROR(__xludf.DUMMYFUNCTION("""COMPUTED_VALUE"""),0.0)</f>
        <v>0</v>
      </c>
      <c r="AC230" s="98">
        <f>IFERROR(__xludf.DUMMYFUNCTION("""COMPUTED_VALUE"""),1.0)</f>
        <v>1</v>
      </c>
      <c r="AD230" s="98">
        <f>IFERROR(__xludf.DUMMYFUNCTION("""COMPUTED_VALUE"""),3398.0)</f>
        <v>3398</v>
      </c>
      <c r="AE230" s="98">
        <f>IFERROR(__xludf.DUMMYFUNCTION("""COMPUTED_VALUE"""),0.0)</f>
        <v>0</v>
      </c>
      <c r="AF230" s="98">
        <f>IFERROR(__xludf.DUMMYFUNCTION("""COMPUTED_VALUE"""),3398.0)</f>
        <v>3398</v>
      </c>
      <c r="AG230" s="208"/>
      <c r="AH230" s="208"/>
      <c r="AI230" s="208"/>
      <c r="AJ230" s="208"/>
      <c r="AK230" s="208"/>
    </row>
    <row r="231" hidden="1">
      <c r="A231" s="216">
        <f>IFERROR(__xludf.DUMMYFUNCTION("""COMPUTED_VALUE"""),46088.0)</f>
        <v>46088</v>
      </c>
      <c r="B231" s="210">
        <f>IFERROR(__xludf.DUMMYFUNCTION("""COMPUTED_VALUE"""),0.5)</f>
        <v>0.5</v>
      </c>
      <c r="C231" s="210" t="str">
        <f>IFERROR(__xludf.DUMMYFUNCTION("""COMPUTED_VALUE"""),"Whatsapp")</f>
        <v>Whatsapp</v>
      </c>
      <c r="D231" s="210" t="str">
        <f>IFERROR(__xludf.DUMMYFUNCTION("""COMPUTED_VALUE"""),"Promotional")</f>
        <v>Promotional</v>
      </c>
      <c r="E231" s="211" t="str">
        <f>IFERROR(__xludf.DUMMYFUNCTION("""COMPUTED_VALUE"""),"BBW")</f>
        <v>BBW</v>
      </c>
      <c r="F231" s="211" t="str">
        <f>IFERROR(__xludf.DUMMYFUNCTION("""COMPUTED_VALUE"""),"B2G2")</f>
        <v>B2G2</v>
      </c>
      <c r="G231" s="211" t="str">
        <f>IFERROR(__xludf.DUMMYFUNCTION("""COMPUTED_VALUE"""),"bbw_wa_b2g2_08.3_soaps_n_sanitizers_cat")</f>
        <v>bbw_wa_b2g2_08.3_soaps_n_sanitizers_cat</v>
      </c>
      <c r="H231" s="211" t="str">
        <f>IFERROR(__xludf.DUMMYFUNCTION("""COMPUTED_VALUE"""),"Soaps&amp;S_AOV_3000")</f>
        <v>Soaps&amp;S_AOV_3000</v>
      </c>
      <c r="I231" s="223" t="str">
        <f>IFERROR(__xludf.DUMMYFUNCTION("""COMPUTED_VALUE"""),"Customers who previously purchased from the Soaps and Sanitisers category with a minimum order value of ₹3,000 – Create similar ones for other categories.")</f>
        <v>Customers who previously purchased from the Soaps and Sanitisers category with a minimum order value of ₹3,000 – Create similar ones for other categories.</v>
      </c>
      <c r="J231" s="213">
        <f>IFERROR(__xludf.DUMMYFUNCTION("""COMPUTED_VALUE"""),844.0)</f>
        <v>844</v>
      </c>
      <c r="K231" s="213">
        <f>IFERROR(__xludf.DUMMYFUNCTION("""COMPUTED_VALUE"""),108.0)</f>
        <v>108</v>
      </c>
      <c r="L231" s="214">
        <f>IFERROR(__xludf.DUMMYFUNCTION("""COMPUTED_VALUE"""),0.128)</f>
        <v>0.128</v>
      </c>
      <c r="M231" s="213">
        <f>IFERROR(__xludf.DUMMYFUNCTION("""COMPUTED_VALUE"""),43.0)</f>
        <v>43</v>
      </c>
      <c r="N231" s="214">
        <f>IFERROR(__xludf.DUMMYFUNCTION("""COMPUTED_VALUE"""),0.3981)</f>
        <v>0.3981</v>
      </c>
      <c r="O231" s="213">
        <f>IFERROR(__xludf.DUMMYFUNCTION("""COMPUTED_VALUE"""),4.0)</f>
        <v>4</v>
      </c>
      <c r="P231" s="213">
        <f>IFERROR(__xludf.DUMMYFUNCTION("""COMPUTED_VALUE"""),3.0)</f>
        <v>3</v>
      </c>
      <c r="Q231" s="214">
        <f>IFERROR(__xludf.DUMMYFUNCTION("""COMPUTED_VALUE"""),0.0278)</f>
        <v>0.0278</v>
      </c>
      <c r="R231" s="214">
        <f>IFERROR(__xludf.DUMMYFUNCTION("""COMPUTED_VALUE"""),0.0698)</f>
        <v>0.0698</v>
      </c>
      <c r="S231" s="101">
        <f>IFERROR(__xludf.DUMMYFUNCTION("""COMPUTED_VALUE"""),0.0)</f>
        <v>0</v>
      </c>
      <c r="T231" s="101">
        <f>IFERROR(__xludf.DUMMYFUNCTION("""COMPUTED_VALUE"""),0.0)</f>
        <v>0</v>
      </c>
      <c r="U231" s="213">
        <f>IFERROR(__xludf.DUMMYFUNCTION("""COMPUTED_VALUE"""),0.0)</f>
        <v>0</v>
      </c>
      <c r="V231" s="271" t="str">
        <f>IFERROR(__xludf.DUMMYFUNCTION("""COMPUTED_VALUE"""),"overall")</f>
        <v>overall</v>
      </c>
      <c r="W231" s="98" t="str">
        <f>IFERROR(__xludf.DUMMYFUNCTION("""COMPUTED_VALUE"""),"simple")</f>
        <v>simple</v>
      </c>
      <c r="X231" s="98" t="str">
        <f>IFERROR(__xludf.DUMMYFUNCTION("""COMPUTED_VALUE"""),"Category Cohorts like Soaps and Sanitisers")</f>
        <v>Category Cohorts like Soaps and Sanitisers</v>
      </c>
      <c r="Y231" s="98" t="str">
        <f>IFERROR(__xludf.DUMMYFUNCTION("""COMPUTED_VALUE"""),"7-9 march")</f>
        <v>7-9 march</v>
      </c>
      <c r="Z231" s="98" t="str">
        <f>IFERROR(__xludf.DUMMYFUNCTION("""COMPUTED_VALUE"""),"69aac9b13cf917bdbc053ed3")</f>
        <v>69aac9b13cf917bdbc053ed3</v>
      </c>
      <c r="AA231" s="98">
        <f>IFERROR(__xludf.DUMMYFUNCTION("""COMPUTED_VALUE"""),0.0)</f>
        <v>0</v>
      </c>
      <c r="AB231" s="98">
        <f>IFERROR(__xludf.DUMMYFUNCTION("""COMPUTED_VALUE"""),0.0)</f>
        <v>0</v>
      </c>
      <c r="AC231" s="98">
        <f>IFERROR(__xludf.DUMMYFUNCTION("""COMPUTED_VALUE"""),0.0)</f>
        <v>0</v>
      </c>
      <c r="AD231" s="98">
        <f>IFERROR(__xludf.DUMMYFUNCTION("""COMPUTED_VALUE"""),0.0)</f>
        <v>0</v>
      </c>
      <c r="AE231" s="98">
        <f>IFERROR(__xludf.DUMMYFUNCTION("""COMPUTED_VALUE"""),0.0)</f>
        <v>0</v>
      </c>
      <c r="AF231" s="98">
        <f>IFERROR(__xludf.DUMMYFUNCTION("""COMPUTED_VALUE"""),0.0)</f>
        <v>0</v>
      </c>
      <c r="AG231" s="208"/>
      <c r="AH231" s="208"/>
      <c r="AI231" s="208"/>
      <c r="AJ231" s="208"/>
      <c r="AK231" s="208"/>
    </row>
    <row r="232" hidden="1">
      <c r="A232" s="216">
        <f>IFERROR(__xludf.DUMMYFUNCTION("""COMPUTED_VALUE"""),46088.0)</f>
        <v>46088</v>
      </c>
      <c r="B232" s="210">
        <f>IFERROR(__xludf.DUMMYFUNCTION("""COMPUTED_VALUE"""),0.5)</f>
        <v>0.5</v>
      </c>
      <c r="C232" s="210" t="str">
        <f>IFERROR(__xludf.DUMMYFUNCTION("""COMPUTED_VALUE"""),"Whatsapp")</f>
        <v>Whatsapp</v>
      </c>
      <c r="D232" s="210" t="str">
        <f>IFERROR(__xludf.DUMMYFUNCTION("""COMPUTED_VALUE"""),"Promotional")</f>
        <v>Promotional</v>
      </c>
      <c r="E232" s="211" t="str">
        <f>IFERROR(__xludf.DUMMYFUNCTION("""COMPUTED_VALUE"""),"BBW")</f>
        <v>BBW</v>
      </c>
      <c r="F232" s="211" t="str">
        <f>IFERROR(__xludf.DUMMYFUNCTION("""COMPUTED_VALUE"""),"B2G2")</f>
        <v>B2G2</v>
      </c>
      <c r="G232" s="211" t="str">
        <f>IFERROR(__xludf.DUMMYFUNCTION("""COMPUTED_VALUE"""),"bbw_wa_b2g2_08.3_recent_new_cust")</f>
        <v>bbw_wa_b2g2_08.3_recent_new_cust</v>
      </c>
      <c r="H232" s="211" t="str">
        <f>IFERROR(__xludf.DUMMYFUNCTION("""COMPUTED_VALUE"""),"Recent_40D_AOV_3K")</f>
        <v>Recent_40D_AOV_3K</v>
      </c>
      <c r="I232" s="223" t="str">
        <f>IFERROR(__xludf.DUMMYFUNCTION("""COMPUTED_VALUE"""),"Customers who made their first purchase around 40 days ago with a minimum order value of ₹3,000.")</f>
        <v>Customers who made their first purchase around 40 days ago with a minimum order value of ₹3,000.</v>
      </c>
      <c r="J232" s="213">
        <f>IFERROR(__xludf.DUMMYFUNCTION("""COMPUTED_VALUE"""),20068.0)</f>
        <v>20068</v>
      </c>
      <c r="K232" s="213">
        <f>IFERROR(__xludf.DUMMYFUNCTION("""COMPUTED_VALUE"""),6710.0)</f>
        <v>6710</v>
      </c>
      <c r="L232" s="214">
        <f>IFERROR(__xludf.DUMMYFUNCTION("""COMPUTED_VALUE"""),0.3344)</f>
        <v>0.3344</v>
      </c>
      <c r="M232" s="213">
        <f>IFERROR(__xludf.DUMMYFUNCTION("""COMPUTED_VALUE"""),3220.0)</f>
        <v>3220</v>
      </c>
      <c r="N232" s="214">
        <f>IFERROR(__xludf.DUMMYFUNCTION("""COMPUTED_VALUE"""),0.4799)</f>
        <v>0.4799</v>
      </c>
      <c r="O232" s="213">
        <f>IFERROR(__xludf.DUMMYFUNCTION("""COMPUTED_VALUE"""),398.0)</f>
        <v>398</v>
      </c>
      <c r="P232" s="213">
        <f>IFERROR(__xludf.DUMMYFUNCTION("""COMPUTED_VALUE"""),374.0)</f>
        <v>374</v>
      </c>
      <c r="Q232" s="214">
        <f>IFERROR(__xludf.DUMMYFUNCTION("""COMPUTED_VALUE"""),0.0557)</f>
        <v>0.0557</v>
      </c>
      <c r="R232" s="214">
        <f>IFERROR(__xludf.DUMMYFUNCTION("""COMPUTED_VALUE"""),0.1161)</f>
        <v>0.1161</v>
      </c>
      <c r="S232" s="101">
        <f>IFERROR(__xludf.DUMMYFUNCTION("""COMPUTED_VALUE"""),0.0)</f>
        <v>0</v>
      </c>
      <c r="T232" s="101">
        <f>IFERROR(__xludf.DUMMYFUNCTION("""COMPUTED_VALUE"""),4.0)</f>
        <v>4</v>
      </c>
      <c r="U232" s="213">
        <f>IFERROR(__xludf.DUMMYFUNCTION("""COMPUTED_VALUE"""),0.0)</f>
        <v>0</v>
      </c>
      <c r="V232" s="271" t="str">
        <f>IFERROR(__xludf.DUMMYFUNCTION("""COMPUTED_VALUE"""),"overall")</f>
        <v>overall</v>
      </c>
      <c r="W232" s="98" t="str">
        <f>IFERROR(__xludf.DUMMYFUNCTION("""COMPUTED_VALUE"""),"simple")</f>
        <v>simple</v>
      </c>
      <c r="X232" s="98" t="str">
        <f>IFERROR(__xludf.DUMMYFUNCTION("""COMPUTED_VALUE"""),"Recent New Customers")</f>
        <v>Recent New Customers</v>
      </c>
      <c r="Y232" s="98" t="str">
        <f>IFERROR(__xludf.DUMMYFUNCTION("""COMPUTED_VALUE"""),"7-9 march")</f>
        <v>7-9 march</v>
      </c>
      <c r="Z232" s="98" t="str">
        <f>IFERROR(__xludf.DUMMYFUNCTION("""COMPUTED_VALUE"""),"69aacb039a9a45e9166e7dd4")</f>
        <v>69aacb039a9a45e9166e7dd4</v>
      </c>
      <c r="AA232" s="98">
        <f>IFERROR(__xludf.DUMMYFUNCTION("""COMPUTED_VALUE"""),35.0)</f>
        <v>35</v>
      </c>
      <c r="AB232" s="98">
        <f>IFERROR(__xludf.DUMMYFUNCTION("""COMPUTED_VALUE"""),2.0)</f>
        <v>2</v>
      </c>
      <c r="AC232" s="98">
        <f>IFERROR(__xludf.DUMMYFUNCTION("""COMPUTED_VALUE"""),33.0)</f>
        <v>33</v>
      </c>
      <c r="AD232" s="98">
        <f>IFERROR(__xludf.DUMMYFUNCTION("""COMPUTED_VALUE"""),276492.0)</f>
        <v>276492</v>
      </c>
      <c r="AE232" s="98">
        <f>IFERROR(__xludf.DUMMYFUNCTION("""COMPUTED_VALUE"""),10895.0)</f>
        <v>10895</v>
      </c>
      <c r="AF232" s="98">
        <f>IFERROR(__xludf.DUMMYFUNCTION("""COMPUTED_VALUE"""),265597.0)</f>
        <v>265597</v>
      </c>
      <c r="AG232" s="208"/>
      <c r="AH232" s="208"/>
      <c r="AI232" s="208"/>
      <c r="AJ232" s="208"/>
      <c r="AK232" s="208"/>
    </row>
    <row r="233" hidden="1">
      <c r="A233" s="216">
        <f>IFERROR(__xludf.DUMMYFUNCTION("""COMPUTED_VALUE"""),46088.0)</f>
        <v>46088</v>
      </c>
      <c r="B233" s="210">
        <f>IFERROR(__xludf.DUMMYFUNCTION("""COMPUTED_VALUE"""),0.5)</f>
        <v>0.5</v>
      </c>
      <c r="C233" s="210" t="str">
        <f>IFERROR(__xludf.DUMMYFUNCTION("""COMPUTED_VALUE"""),"Whatsapp")</f>
        <v>Whatsapp</v>
      </c>
      <c r="D233" s="210" t="str">
        <f>IFERROR(__xludf.DUMMYFUNCTION("""COMPUTED_VALUE"""),"Promotional")</f>
        <v>Promotional</v>
      </c>
      <c r="E233" s="211" t="str">
        <f>IFERROR(__xludf.DUMMYFUNCTION("""COMPUTED_VALUE"""),"BBW")</f>
        <v>BBW</v>
      </c>
      <c r="F233" s="211" t="str">
        <f>IFERROR(__xludf.DUMMYFUNCTION("""COMPUTED_VALUE"""),"B2G2")</f>
        <v>B2G2</v>
      </c>
      <c r="G233" s="211" t="str">
        <f>IFERROR(__xludf.DUMMYFUNCTION("""COMPUTED_VALUE"""),"bbw_wa_b2g2_08.3_loyal_net_morethan3000")</f>
        <v>bbw_wa_b2g2_08.3_loyal_net_morethan3000</v>
      </c>
      <c r="H233" s="211" t="str">
        <f>IFERROR(__xludf.DUMMYFUNCTION("""COMPUTED_VALUE"""),"Loyal_AOV_3000")</f>
        <v>Loyal_AOV_3000</v>
      </c>
      <c r="I233" s="223" t="str">
        <f>IFERROR(__xludf.DUMMYFUNCTION("""COMPUTED_VALUE"""),"Customers who have purchased atleast 3 times in the last 36  months with Net Value greater than 3000")</f>
        <v>Customers who have purchased atleast 3 times in the last 36  months with Net Value greater than 3000</v>
      </c>
      <c r="J233" s="213">
        <f>IFERROR(__xludf.DUMMYFUNCTION("""COMPUTED_VALUE"""),24115.0)</f>
        <v>24115</v>
      </c>
      <c r="K233" s="213">
        <f>IFERROR(__xludf.DUMMYFUNCTION("""COMPUTED_VALUE"""),7135.0)</f>
        <v>7135</v>
      </c>
      <c r="L233" s="214">
        <f>IFERROR(__xludf.DUMMYFUNCTION("""COMPUTED_VALUE"""),0.2959)</f>
        <v>0.2959</v>
      </c>
      <c r="M233" s="213">
        <f>IFERROR(__xludf.DUMMYFUNCTION("""COMPUTED_VALUE"""),3166.0)</f>
        <v>3166</v>
      </c>
      <c r="N233" s="214">
        <f>IFERROR(__xludf.DUMMYFUNCTION("""COMPUTED_VALUE"""),0.4438)</f>
        <v>0.4438</v>
      </c>
      <c r="O233" s="213">
        <f>IFERROR(__xludf.DUMMYFUNCTION("""COMPUTED_VALUE"""),266.0)</f>
        <v>266</v>
      </c>
      <c r="P233" s="213">
        <f>IFERROR(__xludf.DUMMYFUNCTION("""COMPUTED_VALUE"""),252.0)</f>
        <v>252</v>
      </c>
      <c r="Q233" s="214">
        <f>IFERROR(__xludf.DUMMYFUNCTION("""COMPUTED_VALUE"""),0.0353)</f>
        <v>0.0353</v>
      </c>
      <c r="R233" s="214">
        <f>IFERROR(__xludf.DUMMYFUNCTION("""COMPUTED_VALUE"""),0.0796)</f>
        <v>0.0796</v>
      </c>
      <c r="S233" s="101">
        <f>IFERROR(__xludf.DUMMYFUNCTION("""COMPUTED_VALUE"""),1.0)</f>
        <v>1</v>
      </c>
      <c r="T233" s="101">
        <f>IFERROR(__xludf.DUMMYFUNCTION("""COMPUTED_VALUE"""),11.0)</f>
        <v>11</v>
      </c>
      <c r="U233" s="213">
        <f>IFERROR(__xludf.DUMMYFUNCTION("""COMPUTED_VALUE"""),9998.0)</f>
        <v>9998</v>
      </c>
      <c r="V233" s="271" t="str">
        <f>IFERROR(__xludf.DUMMYFUNCTION("""COMPUTED_VALUE"""),"overall")</f>
        <v>overall</v>
      </c>
      <c r="W233" s="98" t="str">
        <f>IFERROR(__xludf.DUMMYFUNCTION("""COMPUTED_VALUE"""),"simple")</f>
        <v>simple</v>
      </c>
      <c r="X233" s="98" t="str">
        <f>IFERROR(__xludf.DUMMYFUNCTION("""COMPUTED_VALUE"""),"Loyal with Net Value greater than 3000")</f>
        <v>Loyal with Net Value greater than 3000</v>
      </c>
      <c r="Y233" s="98" t="str">
        <f>IFERROR(__xludf.DUMMYFUNCTION("""COMPUTED_VALUE"""),"7-9 march")</f>
        <v>7-9 march</v>
      </c>
      <c r="Z233" s="98" t="str">
        <f>IFERROR(__xludf.DUMMYFUNCTION("""COMPUTED_VALUE"""),"69aacbbaf679c282bdcaeb0e")</f>
        <v>69aacbbaf679c282bdcaeb0e</v>
      </c>
      <c r="AA233" s="98">
        <f>IFERROR(__xludf.DUMMYFUNCTION("""COMPUTED_VALUE"""),91.0)</f>
        <v>91</v>
      </c>
      <c r="AB233" s="98">
        <f>IFERROR(__xludf.DUMMYFUNCTION("""COMPUTED_VALUE"""),15.0)</f>
        <v>15</v>
      </c>
      <c r="AC233" s="98">
        <f>IFERROR(__xludf.DUMMYFUNCTION("""COMPUTED_VALUE"""),76.0)</f>
        <v>76</v>
      </c>
      <c r="AD233" s="98">
        <f>IFERROR(__xludf.DUMMYFUNCTION("""COMPUTED_VALUE"""),567946.0)</f>
        <v>567946</v>
      </c>
      <c r="AE233" s="98">
        <f>IFERROR(__xludf.DUMMYFUNCTION("""COMPUTED_VALUE"""),122849.0)</f>
        <v>122849</v>
      </c>
      <c r="AF233" s="98">
        <f>IFERROR(__xludf.DUMMYFUNCTION("""COMPUTED_VALUE"""),445097.0)</f>
        <v>445097</v>
      </c>
      <c r="AG233" s="208"/>
      <c r="AH233" s="208"/>
      <c r="AI233" s="208"/>
      <c r="AJ233" s="208"/>
      <c r="AK233" s="208"/>
    </row>
    <row r="234" hidden="1">
      <c r="A234" s="216">
        <f>IFERROR(__xludf.DUMMYFUNCTION("""COMPUTED_VALUE"""),46092.0)</f>
        <v>46092</v>
      </c>
      <c r="B234" s="210">
        <f>IFERROR(__xludf.DUMMYFUNCTION("""COMPUTED_VALUE"""),0.4375)</f>
        <v>0.4375</v>
      </c>
      <c r="C234" s="210" t="str">
        <f>IFERROR(__xludf.DUMMYFUNCTION("""COMPUTED_VALUE"""),"Whatsapp")</f>
        <v>Whatsapp</v>
      </c>
      <c r="D234" s="210" t="str">
        <f>IFERROR(__xludf.DUMMYFUNCTION("""COMPUTED_VALUE"""),"Promotional")</f>
        <v>Promotional</v>
      </c>
      <c r="E234" s="211" t="str">
        <f>IFERROR(__xludf.DUMMYFUNCTION("""COMPUTED_VALUE"""),"BBW")</f>
        <v>BBW</v>
      </c>
      <c r="F234" s="211" t="str">
        <f>IFERROR(__xludf.DUMMYFUNCTION("""COMPUTED_VALUE"""),"Flashsale")</f>
        <v>Flashsale</v>
      </c>
      <c r="G234" s="211" t="str">
        <f>IFERROR(__xludf.DUMMYFUNCTION("""COMPUTED_VALUE"""),"bbw_wa_flashsale_113_ffm_bl_bcr_predom_on")</f>
        <v>bbw_wa_flashsale_113_ffm_bl_bcr_predom_on</v>
      </c>
      <c r="H234" s="211" t="str">
        <f>IFERROR(__xludf.DUMMYFUNCTION("""COMPUTED_VALUE"""),"FFM_BL_BCr_Predom_On OR AGIPL_Internal OR BBW_Internal")</f>
        <v>FFM_BL_BCr_Predom_On OR AGIPL_Internal OR BBW_Internal</v>
      </c>
      <c r="I234" s="223" t="str">
        <f>IFERROR(__xludf.DUMMYFUNCTION("""COMPUTED_VALUE"""),"Customers who are predominantly buying Body Lotion, Body Cream and Mist in the lst 36 months")</f>
        <v>Customers who are predominantly buying Body Lotion, Body Cream and Mist in the lst 36 months</v>
      </c>
      <c r="J234" s="213">
        <f>IFERROR(__xludf.DUMMYFUNCTION("""COMPUTED_VALUE"""),98424.0)</f>
        <v>98424</v>
      </c>
      <c r="K234" s="213">
        <f>IFERROR(__xludf.DUMMYFUNCTION("""COMPUTED_VALUE"""),34212.0)</f>
        <v>34212</v>
      </c>
      <c r="L234" s="214">
        <f>IFERROR(__xludf.DUMMYFUNCTION("""COMPUTED_VALUE"""),0.3476)</f>
        <v>0.3476</v>
      </c>
      <c r="M234" s="213">
        <f>IFERROR(__xludf.DUMMYFUNCTION("""COMPUTED_VALUE"""),13208.0)</f>
        <v>13208</v>
      </c>
      <c r="N234" s="214">
        <f>IFERROR(__xludf.DUMMYFUNCTION("""COMPUTED_VALUE"""),0.3861)</f>
        <v>0.3861</v>
      </c>
      <c r="O234" s="213">
        <f>IFERROR(__xludf.DUMMYFUNCTION("""COMPUTED_VALUE"""),1446.0)</f>
        <v>1446</v>
      </c>
      <c r="P234" s="213">
        <f>IFERROR(__xludf.DUMMYFUNCTION("""COMPUTED_VALUE"""),1316.0)</f>
        <v>1316</v>
      </c>
      <c r="Q234" s="214">
        <f>IFERROR(__xludf.DUMMYFUNCTION("""COMPUTED_VALUE"""),0.0385)</f>
        <v>0.0385</v>
      </c>
      <c r="R234" s="214">
        <f>IFERROR(__xludf.DUMMYFUNCTION("""COMPUTED_VALUE"""),0.0996)</f>
        <v>0.0996</v>
      </c>
      <c r="S234" s="101">
        <f>IFERROR(__xludf.DUMMYFUNCTION("""COMPUTED_VALUE"""),9.0)</f>
        <v>9</v>
      </c>
      <c r="T234" s="101">
        <f>IFERROR(__xludf.DUMMYFUNCTION("""COMPUTED_VALUE"""),26.0)</f>
        <v>26</v>
      </c>
      <c r="U234" s="213">
        <f>IFERROR(__xludf.DUMMYFUNCTION("""COMPUTED_VALUE"""),18146.0)</f>
        <v>18146</v>
      </c>
      <c r="V234" s="271" t="str">
        <f>IFERROR(__xludf.DUMMYFUNCTION("""COMPUTED_VALUE"""),"online")</f>
        <v>online</v>
      </c>
      <c r="W234" s="98" t="str">
        <f>IFERROR(__xludf.DUMMYFUNCTION("""COMPUTED_VALUE"""),"simple")</f>
        <v>simple</v>
      </c>
      <c r="X234" s="98" t="str">
        <f>IFERROR(__xludf.DUMMYFUNCTION("""COMPUTED_VALUE"""),"Predominantly Body Cream, Body Lotion, Mist")</f>
        <v>Predominantly Body Cream, Body Lotion, Mist</v>
      </c>
      <c r="Y234" s="98" t="str">
        <f>IFERROR(__xludf.DUMMYFUNCTION("""COMPUTED_VALUE"""),"11-12th march")</f>
        <v>11-12th march</v>
      </c>
      <c r="Z234" s="98" t="str">
        <f>IFERROR(__xludf.DUMMYFUNCTION("""COMPUTED_VALUE"""),"69aff821fb9ef227c50f9912")</f>
        <v>69aff821fb9ef227c50f9912</v>
      </c>
      <c r="AA234" s="98">
        <f>IFERROR(__xludf.DUMMYFUNCTION("""COMPUTED_VALUE"""),78.0)</f>
        <v>78</v>
      </c>
      <c r="AB234" s="98">
        <f>IFERROR(__xludf.DUMMYFUNCTION("""COMPUTED_VALUE"""),78.0)</f>
        <v>78</v>
      </c>
      <c r="AC234" s="98"/>
      <c r="AD234" s="98">
        <f>IFERROR(__xludf.DUMMYFUNCTION("""COMPUTED_VALUE"""),147704.0)</f>
        <v>147704</v>
      </c>
      <c r="AE234" s="98">
        <f>IFERROR(__xludf.DUMMYFUNCTION("""COMPUTED_VALUE"""),147704.0)</f>
        <v>147704</v>
      </c>
      <c r="AF234" s="98"/>
      <c r="AG234" s="208"/>
      <c r="AH234" s="208"/>
      <c r="AI234" s="208"/>
      <c r="AJ234" s="208"/>
      <c r="AK234" s="208"/>
    </row>
    <row r="235" hidden="1">
      <c r="A235" s="216">
        <f>IFERROR(__xludf.DUMMYFUNCTION("""COMPUTED_VALUE"""),46092.0)</f>
        <v>46092</v>
      </c>
      <c r="B235" s="210">
        <f>IFERROR(__xludf.DUMMYFUNCTION("""COMPUTED_VALUE"""),0.4375)</f>
        <v>0.4375</v>
      </c>
      <c r="C235" s="210" t="str">
        <f>IFERROR(__xludf.DUMMYFUNCTION("""COMPUTED_VALUE"""),"Whatsapp")</f>
        <v>Whatsapp</v>
      </c>
      <c r="D235" s="210" t="str">
        <f>IFERROR(__xludf.DUMMYFUNCTION("""COMPUTED_VALUE"""),"Promotional")</f>
        <v>Promotional</v>
      </c>
      <c r="E235" s="211" t="str">
        <f>IFERROR(__xludf.DUMMYFUNCTION("""COMPUTED_VALUE"""),"BBW")</f>
        <v>BBW</v>
      </c>
      <c r="F235" s="211" t="str">
        <f>IFERROR(__xludf.DUMMYFUNCTION("""COMPUTED_VALUE"""),"Flashsale")</f>
        <v>Flashsale</v>
      </c>
      <c r="G235" s="211" t="str">
        <f>IFERROR(__xludf.DUMMYFUNCTION("""COMPUTED_VALUE"""),"bbw_wa_flashsale_113_repeat_ffm_bl_bcr_on")</f>
        <v>bbw_wa_flashsale_113_repeat_ffm_bl_bcr_on</v>
      </c>
      <c r="H235" s="211" t="str">
        <f>IFERROR(__xludf.DUMMYFUNCTION("""COMPUTED_VALUE"""),"Repeat_FFM_BL_Bcr_On")</f>
        <v>Repeat_FFM_BL_Bcr_On</v>
      </c>
      <c r="I235" s="223" t="str">
        <f>IFERROR(__xludf.DUMMYFUNCTION("""COMPUTED_VALUE"""),"Customers who are atleast 2 times with Cat L3 contains Body Lotion, Body Cream and Mist in the last 36 months")</f>
        <v>Customers who are atleast 2 times with Cat L3 contains Body Lotion, Body Cream and Mist in the last 36 months</v>
      </c>
      <c r="J235" s="213">
        <f>IFERROR(__xludf.DUMMYFUNCTION("""COMPUTED_VALUE"""),1238.0)</f>
        <v>1238</v>
      </c>
      <c r="K235" s="213">
        <f>IFERROR(__xludf.DUMMYFUNCTION("""COMPUTED_VALUE"""),331.0)</f>
        <v>331</v>
      </c>
      <c r="L235" s="214">
        <f>IFERROR(__xludf.DUMMYFUNCTION("""COMPUTED_VALUE"""),0.2674)</f>
        <v>0.2674</v>
      </c>
      <c r="M235" s="213">
        <f>IFERROR(__xludf.DUMMYFUNCTION("""COMPUTED_VALUE"""),149.0)</f>
        <v>149</v>
      </c>
      <c r="N235" s="214">
        <f>IFERROR(__xludf.DUMMYFUNCTION("""COMPUTED_VALUE"""),0.4502)</f>
        <v>0.4502</v>
      </c>
      <c r="O235" s="213">
        <f>IFERROR(__xludf.DUMMYFUNCTION("""COMPUTED_VALUE"""),26.0)</f>
        <v>26</v>
      </c>
      <c r="P235" s="213">
        <f>IFERROR(__xludf.DUMMYFUNCTION("""COMPUTED_VALUE"""),25.0)</f>
        <v>25</v>
      </c>
      <c r="Q235" s="214">
        <f>IFERROR(__xludf.DUMMYFUNCTION("""COMPUTED_VALUE"""),0.0755)</f>
        <v>0.0755</v>
      </c>
      <c r="R235" s="214">
        <f>IFERROR(__xludf.DUMMYFUNCTION("""COMPUTED_VALUE"""),0.1678)</f>
        <v>0.1678</v>
      </c>
      <c r="S235" s="101">
        <f>IFERROR(__xludf.DUMMYFUNCTION("""COMPUTED_VALUE"""),3.0)</f>
        <v>3</v>
      </c>
      <c r="T235" s="101">
        <f>IFERROR(__xludf.DUMMYFUNCTION("""COMPUTED_VALUE"""),2.0)</f>
        <v>2</v>
      </c>
      <c r="U235" s="213">
        <f>IFERROR(__xludf.DUMMYFUNCTION("""COMPUTED_VALUE"""),2643.0)</f>
        <v>2643</v>
      </c>
      <c r="V235" s="271" t="str">
        <f>IFERROR(__xludf.DUMMYFUNCTION("""COMPUTED_VALUE"""),"online")</f>
        <v>online</v>
      </c>
      <c r="W235" s="98" t="str">
        <f>IFERROR(__xludf.DUMMYFUNCTION("""COMPUTED_VALUE"""),"simple")</f>
        <v>simple</v>
      </c>
      <c r="X235" s="98" t="str">
        <f>IFERROR(__xludf.DUMMYFUNCTION("""COMPUTED_VALUE"""),"Repeat")</f>
        <v>Repeat</v>
      </c>
      <c r="Y235" s="98" t="str">
        <f>IFERROR(__xludf.DUMMYFUNCTION("""COMPUTED_VALUE"""),"11-12th march")</f>
        <v>11-12th march</v>
      </c>
      <c r="Z235" s="98" t="str">
        <f>IFERROR(__xludf.DUMMYFUNCTION("""COMPUTED_VALUE"""),"69aff862eb8be4ebeaafe518")</f>
        <v>69aff862eb8be4ebeaafe518</v>
      </c>
      <c r="AA235" s="98">
        <f>IFERROR(__xludf.DUMMYFUNCTION("""COMPUTED_VALUE"""),4.0)</f>
        <v>4</v>
      </c>
      <c r="AB235" s="98">
        <f>IFERROR(__xludf.DUMMYFUNCTION("""COMPUTED_VALUE"""),4.0)</f>
        <v>4</v>
      </c>
      <c r="AC235" s="98"/>
      <c r="AD235" s="98">
        <f>IFERROR(__xludf.DUMMYFUNCTION("""COMPUTED_VALUE"""),5193.0)</f>
        <v>5193</v>
      </c>
      <c r="AE235" s="98">
        <f>IFERROR(__xludf.DUMMYFUNCTION("""COMPUTED_VALUE"""),5193.0)</f>
        <v>5193</v>
      </c>
      <c r="AF235" s="98"/>
      <c r="AG235" s="208"/>
      <c r="AH235" s="208"/>
      <c r="AI235" s="208"/>
      <c r="AJ235" s="208"/>
      <c r="AK235" s="208"/>
    </row>
    <row r="236" hidden="1">
      <c r="A236" s="216">
        <f>IFERROR(__xludf.DUMMYFUNCTION("""COMPUTED_VALUE"""),46092.0)</f>
        <v>46092</v>
      </c>
      <c r="B236" s="210">
        <f>IFERROR(__xludf.DUMMYFUNCTION("""COMPUTED_VALUE"""),0.4375)</f>
        <v>0.4375</v>
      </c>
      <c r="C236" s="210" t="str">
        <f>IFERROR(__xludf.DUMMYFUNCTION("""COMPUTED_VALUE"""),"Whatsapp")</f>
        <v>Whatsapp</v>
      </c>
      <c r="D236" s="210" t="str">
        <f>IFERROR(__xludf.DUMMYFUNCTION("""COMPUTED_VALUE"""),"Promotional")</f>
        <v>Promotional</v>
      </c>
      <c r="E236" s="211" t="str">
        <f>IFERROR(__xludf.DUMMYFUNCTION("""COMPUTED_VALUE"""),"BBW")</f>
        <v>BBW</v>
      </c>
      <c r="F236" s="211" t="str">
        <f>IFERROR(__xludf.DUMMYFUNCTION("""COMPUTED_VALUE"""),"Flashsale")</f>
        <v>Flashsale</v>
      </c>
      <c r="G236" s="211" t="str">
        <f>IFERROR(__xludf.DUMMYFUNCTION("""COMPUTED_VALUE"""),"bbw_wa_flashsale_113_recent_ffm_bcr_bl_on")</f>
        <v>bbw_wa_flashsale_113_recent_ffm_bcr_bl_on</v>
      </c>
      <c r="H236" s="211" t="str">
        <f>IFERROR(__xludf.DUMMYFUNCTION("""COMPUTED_VALUE"""),"Recent_FFM_BCr_BL_On")</f>
        <v>Recent_FFM_BCr_BL_On</v>
      </c>
      <c r="I236" s="223" t="str">
        <f>IFERROR(__xludf.DUMMYFUNCTION("""COMPUTED_VALUE"""),"Customers who have purchased in the last 90 days with Cat Body Lotion, Body Cream and Mist")</f>
        <v>Customers who have purchased in the last 90 days with Cat Body Lotion, Body Cream and Mist</v>
      </c>
      <c r="J236" s="213">
        <f>IFERROR(__xludf.DUMMYFUNCTION("""COMPUTED_VALUE"""),218.0)</f>
        <v>218</v>
      </c>
      <c r="K236" s="213">
        <f>IFERROR(__xludf.DUMMYFUNCTION("""COMPUTED_VALUE"""),87.0)</f>
        <v>87</v>
      </c>
      <c r="L236" s="214">
        <f>IFERROR(__xludf.DUMMYFUNCTION("""COMPUTED_VALUE"""),0.3991)</f>
        <v>0.3991</v>
      </c>
      <c r="M236" s="213">
        <f>IFERROR(__xludf.DUMMYFUNCTION("""COMPUTED_VALUE"""),45.0)</f>
        <v>45</v>
      </c>
      <c r="N236" s="214">
        <f>IFERROR(__xludf.DUMMYFUNCTION("""COMPUTED_VALUE"""),0.5172)</f>
        <v>0.5172</v>
      </c>
      <c r="O236" s="213">
        <f>IFERROR(__xludf.DUMMYFUNCTION("""COMPUTED_VALUE"""),5.0)</f>
        <v>5</v>
      </c>
      <c r="P236" s="213">
        <f>IFERROR(__xludf.DUMMYFUNCTION("""COMPUTED_VALUE"""),3.0)</f>
        <v>3</v>
      </c>
      <c r="Q236" s="214">
        <f>IFERROR(__xludf.DUMMYFUNCTION("""COMPUTED_VALUE"""),0.0345)</f>
        <v>0.0345</v>
      </c>
      <c r="R236" s="214">
        <f>IFERROR(__xludf.DUMMYFUNCTION("""COMPUTED_VALUE"""),0.0667)</f>
        <v>0.0667</v>
      </c>
      <c r="S236" s="101">
        <f>IFERROR(__xludf.DUMMYFUNCTION("""COMPUTED_VALUE"""),0.0)</f>
        <v>0</v>
      </c>
      <c r="T236" s="101">
        <f>IFERROR(__xludf.DUMMYFUNCTION("""COMPUTED_VALUE"""),0.0)</f>
        <v>0</v>
      </c>
      <c r="U236" s="213">
        <f>IFERROR(__xludf.DUMMYFUNCTION("""COMPUTED_VALUE"""),0.0)</f>
        <v>0</v>
      </c>
      <c r="V236" s="271" t="str">
        <f>IFERROR(__xludf.DUMMYFUNCTION("""COMPUTED_VALUE"""),"online")</f>
        <v>online</v>
      </c>
      <c r="W236" s="98" t="str">
        <f>IFERROR(__xludf.DUMMYFUNCTION("""COMPUTED_VALUE"""),"simple")</f>
        <v>simple</v>
      </c>
      <c r="X236" s="98" t="str">
        <f>IFERROR(__xludf.DUMMYFUNCTION("""COMPUTED_VALUE"""),"Repeat")</f>
        <v>Repeat</v>
      </c>
      <c r="Y236" s="98" t="str">
        <f>IFERROR(__xludf.DUMMYFUNCTION("""COMPUTED_VALUE"""),"11-12th march")</f>
        <v>11-12th march</v>
      </c>
      <c r="Z236" s="98" t="str">
        <f>IFERROR(__xludf.DUMMYFUNCTION("""COMPUTED_VALUE"""),"69aff8a6e49c90836597cd68")</f>
        <v>69aff8a6e49c90836597cd68</v>
      </c>
      <c r="AA236" s="98">
        <f>IFERROR(__xludf.DUMMYFUNCTION("""COMPUTED_VALUE"""),1.0)</f>
        <v>1</v>
      </c>
      <c r="AB236" s="98">
        <f>IFERROR(__xludf.DUMMYFUNCTION("""COMPUTED_VALUE"""),1.0)</f>
        <v>1</v>
      </c>
      <c r="AC236" s="98"/>
      <c r="AD236" s="98">
        <f>IFERROR(__xludf.DUMMYFUNCTION("""COMPUTED_VALUE"""),1798.0)</f>
        <v>1798</v>
      </c>
      <c r="AE236" s="98">
        <f>IFERROR(__xludf.DUMMYFUNCTION("""COMPUTED_VALUE"""),1798.0)</f>
        <v>1798</v>
      </c>
      <c r="AF236" s="98"/>
      <c r="AG236" s="208"/>
      <c r="AH236" s="208"/>
      <c r="AI236" s="208"/>
      <c r="AJ236" s="208"/>
      <c r="AK236" s="208"/>
    </row>
    <row r="237" hidden="1">
      <c r="A237" s="216">
        <f>IFERROR(__xludf.DUMMYFUNCTION("""COMPUTED_VALUE"""),46092.0)</f>
        <v>46092</v>
      </c>
      <c r="B237" s="210">
        <f>IFERROR(__xludf.DUMMYFUNCTION("""COMPUTED_VALUE"""),0.4375)</f>
        <v>0.4375</v>
      </c>
      <c r="C237" s="210" t="str">
        <f>IFERROR(__xludf.DUMMYFUNCTION("""COMPUTED_VALUE"""),"Whatsapp")</f>
        <v>Whatsapp</v>
      </c>
      <c r="D237" s="210" t="str">
        <f>IFERROR(__xludf.DUMMYFUNCTION("""COMPUTED_VALUE"""),"Promotional")</f>
        <v>Promotional</v>
      </c>
      <c r="E237" s="211" t="str">
        <f>IFERROR(__xludf.DUMMYFUNCTION("""COMPUTED_VALUE"""),"BBW")</f>
        <v>BBW</v>
      </c>
      <c r="F237" s="211" t="str">
        <f>IFERROR(__xludf.DUMMYFUNCTION("""COMPUTED_VALUE"""),"Flashsale")</f>
        <v>Flashsale</v>
      </c>
      <c r="G237" s="211" t="str">
        <f>IFERROR(__xludf.DUMMYFUNCTION("""COMPUTED_VALUE"""),"bbw_wa_flashsale_113_viewitem_bcr_ffm_bl_on")</f>
        <v>bbw_wa_flashsale_113_viewitem_bcr_ffm_bl_on</v>
      </c>
      <c r="H237" s="211" t="str">
        <f>IFERROR(__xludf.DUMMYFUNCTION("""COMPUTED_VALUE"""),"ViewItem_BCr_FFM_BL_On")</f>
        <v>ViewItem_BCr_FFM_BL_On</v>
      </c>
      <c r="I237" s="223" t="str">
        <f>IFERROR(__xludf.DUMMYFUNCTION("""COMPUTED_VALUE"""),"Customers who are viewing Body Cream, Body Lotion and Mist in the last 60 days and has not purchased in the last 60 days")</f>
        <v>Customers who are viewing Body Cream, Body Lotion and Mist in the last 60 days and has not purchased in the last 60 days</v>
      </c>
      <c r="J237" s="213">
        <f>IFERROR(__xludf.DUMMYFUNCTION("""COMPUTED_VALUE"""),2102.0)</f>
        <v>2102</v>
      </c>
      <c r="K237" s="213">
        <f>IFERROR(__xludf.DUMMYFUNCTION("""COMPUTED_VALUE"""),708.0)</f>
        <v>708</v>
      </c>
      <c r="L237" s="214">
        <f>IFERROR(__xludf.DUMMYFUNCTION("""COMPUTED_VALUE"""),0.3368)</f>
        <v>0.3368</v>
      </c>
      <c r="M237" s="213">
        <f>IFERROR(__xludf.DUMMYFUNCTION("""COMPUTED_VALUE"""),344.0)</f>
        <v>344</v>
      </c>
      <c r="N237" s="214">
        <f>IFERROR(__xludf.DUMMYFUNCTION("""COMPUTED_VALUE"""),0.4859)</f>
        <v>0.4859</v>
      </c>
      <c r="O237" s="213">
        <f>IFERROR(__xludf.DUMMYFUNCTION("""COMPUTED_VALUE"""),54.0)</f>
        <v>54</v>
      </c>
      <c r="P237" s="213">
        <f>IFERROR(__xludf.DUMMYFUNCTION("""COMPUTED_VALUE"""),49.0)</f>
        <v>49</v>
      </c>
      <c r="Q237" s="214">
        <f>IFERROR(__xludf.DUMMYFUNCTION("""COMPUTED_VALUE"""),0.0692)</f>
        <v>0.0692</v>
      </c>
      <c r="R237" s="214">
        <f>IFERROR(__xludf.DUMMYFUNCTION("""COMPUTED_VALUE"""),0.1424)</f>
        <v>0.1424</v>
      </c>
      <c r="S237" s="101">
        <f>IFERROR(__xludf.DUMMYFUNCTION("""COMPUTED_VALUE"""),4.0)</f>
        <v>4</v>
      </c>
      <c r="T237" s="101">
        <f>IFERROR(__xludf.DUMMYFUNCTION("""COMPUTED_VALUE"""),17.0)</f>
        <v>17</v>
      </c>
      <c r="U237" s="213">
        <f>IFERROR(__xludf.DUMMYFUNCTION("""COMPUTED_VALUE"""),5841.0)</f>
        <v>5841</v>
      </c>
      <c r="V237" s="271" t="str">
        <f>IFERROR(__xludf.DUMMYFUNCTION("""COMPUTED_VALUE"""),"online")</f>
        <v>online</v>
      </c>
      <c r="W237" s="98" t="str">
        <f>IFERROR(__xludf.DUMMYFUNCTION("""COMPUTED_VALUE"""),"simple")</f>
        <v>simple</v>
      </c>
      <c r="X237" s="98" t="str">
        <f>IFERROR(__xludf.DUMMYFUNCTION("""COMPUTED_VALUE"""),"View Body Cream, Body Lotion and Mist")</f>
        <v>View Body Cream, Body Lotion and Mist</v>
      </c>
      <c r="Y237" s="98" t="str">
        <f>IFERROR(__xludf.DUMMYFUNCTION("""COMPUTED_VALUE"""),"11-12th march")</f>
        <v>11-12th march</v>
      </c>
      <c r="Z237" s="98" t="str">
        <f>IFERROR(__xludf.DUMMYFUNCTION("""COMPUTED_VALUE"""),"69aff8d386e4d1fcab758c60")</f>
        <v>69aff8d386e4d1fcab758c60</v>
      </c>
      <c r="AA237" s="98">
        <f>IFERROR(__xludf.DUMMYFUNCTION("""COMPUTED_VALUE"""),7.0)</f>
        <v>7</v>
      </c>
      <c r="AB237" s="98">
        <f>IFERROR(__xludf.DUMMYFUNCTION("""COMPUTED_VALUE"""),7.0)</f>
        <v>7</v>
      </c>
      <c r="AC237" s="98"/>
      <c r="AD237" s="98">
        <f>IFERROR(__xludf.DUMMYFUNCTION("""COMPUTED_VALUE"""),8491.0)</f>
        <v>8491</v>
      </c>
      <c r="AE237" s="98">
        <f>IFERROR(__xludf.DUMMYFUNCTION("""COMPUTED_VALUE"""),8491.0)</f>
        <v>8491</v>
      </c>
      <c r="AF237" s="98"/>
      <c r="AG237" s="208"/>
      <c r="AH237" s="208"/>
      <c r="AI237" s="208"/>
      <c r="AJ237" s="208"/>
      <c r="AK237" s="208"/>
    </row>
    <row r="238" hidden="1">
      <c r="A238" s="216">
        <f>IFERROR(__xludf.DUMMYFUNCTION("""COMPUTED_VALUE"""),46092.0)</f>
        <v>46092</v>
      </c>
      <c r="B238" s="210">
        <f>IFERROR(__xludf.DUMMYFUNCTION("""COMPUTED_VALUE"""),0.4375)</f>
        <v>0.4375</v>
      </c>
      <c r="C238" s="210" t="str">
        <f>IFERROR(__xludf.DUMMYFUNCTION("""COMPUTED_VALUE"""),"Whatsapp")</f>
        <v>Whatsapp</v>
      </c>
      <c r="D238" s="210" t="str">
        <f>IFERROR(__xludf.DUMMYFUNCTION("""COMPUTED_VALUE"""),"Promotional")</f>
        <v>Promotional</v>
      </c>
      <c r="E238" s="211" t="str">
        <f>IFERROR(__xludf.DUMMYFUNCTION("""COMPUTED_VALUE"""),"BBW")</f>
        <v>BBW</v>
      </c>
      <c r="F238" s="211" t="str">
        <f>IFERROR(__xludf.DUMMYFUNCTION("""COMPUTED_VALUE"""),"Flashsale")</f>
        <v>Flashsale</v>
      </c>
      <c r="G238" s="211" t="str">
        <f>IFERROR(__xludf.DUMMYFUNCTION("""COMPUTED_VALUE"""),"bbw_wa_flashsale_113_atc_ffm_bcr_bl_on")</f>
        <v>bbw_wa_flashsale_113_atc_ffm_bcr_bl_on</v>
      </c>
      <c r="H238" s="211" t="str">
        <f>IFERROR(__xludf.DUMMYFUNCTION("""COMPUTED_VALUE"""),"ATC_FFM_BCr_BL_On")</f>
        <v>ATC_FFM_BCr_BL_On</v>
      </c>
      <c r="I238" s="223" t="str">
        <f>IFERROR(__xludf.DUMMYFUNCTION("""COMPUTED_VALUE"""),"Customers who have added to cart in the last 40 days and have not purchased in the last 40 days")</f>
        <v>Customers who have added to cart in the last 40 days and have not purchased in the last 40 days</v>
      </c>
      <c r="J238" s="213">
        <f>IFERROR(__xludf.DUMMYFUNCTION("""COMPUTED_VALUE"""),331.0)</f>
        <v>331</v>
      </c>
      <c r="K238" s="213">
        <f>IFERROR(__xludf.DUMMYFUNCTION("""COMPUTED_VALUE"""),124.0)</f>
        <v>124</v>
      </c>
      <c r="L238" s="214">
        <f>IFERROR(__xludf.DUMMYFUNCTION("""COMPUTED_VALUE"""),0.3746)</f>
        <v>0.3746</v>
      </c>
      <c r="M238" s="213">
        <f>IFERROR(__xludf.DUMMYFUNCTION("""COMPUTED_VALUE"""),55.0)</f>
        <v>55</v>
      </c>
      <c r="N238" s="214">
        <f>IFERROR(__xludf.DUMMYFUNCTION("""COMPUTED_VALUE"""),0.4435)</f>
        <v>0.4435</v>
      </c>
      <c r="O238" s="213">
        <f>IFERROR(__xludf.DUMMYFUNCTION("""COMPUTED_VALUE"""),12.0)</f>
        <v>12</v>
      </c>
      <c r="P238" s="213">
        <f>IFERROR(__xludf.DUMMYFUNCTION("""COMPUTED_VALUE"""),10.0)</f>
        <v>10</v>
      </c>
      <c r="Q238" s="214">
        <f>IFERROR(__xludf.DUMMYFUNCTION("""COMPUTED_VALUE"""),0.0806)</f>
        <v>0.0806</v>
      </c>
      <c r="R238" s="214">
        <f>IFERROR(__xludf.DUMMYFUNCTION("""COMPUTED_VALUE"""),0.1818)</f>
        <v>0.1818</v>
      </c>
      <c r="S238" s="101">
        <f>IFERROR(__xludf.DUMMYFUNCTION("""COMPUTED_VALUE"""),1.0)</f>
        <v>1</v>
      </c>
      <c r="T238" s="101">
        <f>IFERROR(__xludf.DUMMYFUNCTION("""COMPUTED_VALUE"""),3.0)</f>
        <v>3</v>
      </c>
      <c r="U238" s="213">
        <f>IFERROR(__xludf.DUMMYFUNCTION("""COMPUTED_VALUE"""),1618.0)</f>
        <v>1618</v>
      </c>
      <c r="V238" s="271" t="str">
        <f>IFERROR(__xludf.DUMMYFUNCTION("""COMPUTED_VALUE"""),"online")</f>
        <v>online</v>
      </c>
      <c r="W238" s="98" t="str">
        <f>IFERROR(__xludf.DUMMYFUNCTION("""COMPUTED_VALUE"""),"simple")</f>
        <v>simple</v>
      </c>
      <c r="X238" s="98" t="str">
        <f>IFERROR(__xludf.DUMMYFUNCTION("""COMPUTED_VALUE"""),"ATC in the last 40 days and not purchased")</f>
        <v>ATC in the last 40 days and not purchased</v>
      </c>
      <c r="Y238" s="98" t="str">
        <f>IFERROR(__xludf.DUMMYFUNCTION("""COMPUTED_VALUE"""),"11-12th march")</f>
        <v>11-12th march</v>
      </c>
      <c r="Z238" s="98" t="str">
        <f>IFERROR(__xludf.DUMMYFUNCTION("""COMPUTED_VALUE"""),"69aff8fd783203d118605121")</f>
        <v>69aff8fd783203d118605121</v>
      </c>
      <c r="AA238" s="98">
        <f>IFERROR(__xludf.DUMMYFUNCTION("""COMPUTED_VALUE"""),2.0)</f>
        <v>2</v>
      </c>
      <c r="AB238" s="98">
        <f>IFERROR(__xludf.DUMMYFUNCTION("""COMPUTED_VALUE"""),2.0)</f>
        <v>2</v>
      </c>
      <c r="AC238" s="98"/>
      <c r="AD238" s="98">
        <f>IFERROR(__xludf.DUMMYFUNCTION("""COMPUTED_VALUE"""),4615.0)</f>
        <v>4615</v>
      </c>
      <c r="AE238" s="98">
        <f>IFERROR(__xludf.DUMMYFUNCTION("""COMPUTED_VALUE"""),4615.0)</f>
        <v>4615</v>
      </c>
      <c r="AF238" s="98"/>
      <c r="AG238" s="208"/>
      <c r="AH238" s="208"/>
      <c r="AI238" s="208"/>
      <c r="AJ238" s="208"/>
      <c r="AK238" s="208"/>
    </row>
    <row r="239" hidden="1">
      <c r="A239" s="216">
        <f>IFERROR(__xludf.DUMMYFUNCTION("""COMPUTED_VALUE"""),46092.0)</f>
        <v>46092</v>
      </c>
      <c r="B239" s="210">
        <f>IFERROR(__xludf.DUMMYFUNCTION("""COMPUTED_VALUE"""),0.4375)</f>
        <v>0.4375</v>
      </c>
      <c r="C239" s="210" t="str">
        <f>IFERROR(__xludf.DUMMYFUNCTION("""COMPUTED_VALUE"""),"Whatsapp")</f>
        <v>Whatsapp</v>
      </c>
      <c r="D239" s="210" t="str">
        <f>IFERROR(__xludf.DUMMYFUNCTION("""COMPUTED_VALUE"""),"Promotional")</f>
        <v>Promotional</v>
      </c>
      <c r="E239" s="211" t="str">
        <f>IFERROR(__xludf.DUMMYFUNCTION("""COMPUTED_VALUE"""),"BBW")</f>
        <v>BBW</v>
      </c>
      <c r="F239" s="211" t="str">
        <f>IFERROR(__xludf.DUMMYFUNCTION("""COMPUTED_VALUE"""),"Flashsale")</f>
        <v>Flashsale</v>
      </c>
      <c r="G239" s="211" t="str">
        <f>IFERROR(__xludf.DUMMYFUNCTION("""COMPUTED_VALUE"""),"bbw_wa_flashsale_113_aov_700_1200_ffm_bcr_bl_on")</f>
        <v>bbw_wa_flashsale_113_aov_700_1200_ffm_bcr_bl_on</v>
      </c>
      <c r="H239" s="211" t="str">
        <f>IFERROR(__xludf.DUMMYFUNCTION("""COMPUTED_VALUE"""),"AOV_700_1200_FFM_BCr_BL_On")</f>
        <v>AOV_700_1200_FFM_BCr_BL_On</v>
      </c>
      <c r="I239" s="223" t="str">
        <f>IFERROR(__xludf.DUMMYFUNCTION("""COMPUTED_VALUE"""),"Customers who have purchased in the last 6 months with AOV between 700 to 1200")</f>
        <v>Customers who have purchased in the last 6 months with AOV between 700 to 1200</v>
      </c>
      <c r="J239" s="213">
        <f>IFERROR(__xludf.DUMMYFUNCTION("""COMPUTED_VALUE"""),21471.0)</f>
        <v>21471</v>
      </c>
      <c r="K239" s="213">
        <f>IFERROR(__xludf.DUMMYFUNCTION("""COMPUTED_VALUE"""),8389.0)</f>
        <v>8389</v>
      </c>
      <c r="L239" s="214">
        <f>IFERROR(__xludf.DUMMYFUNCTION("""COMPUTED_VALUE"""),0.3907)</f>
        <v>0.3907</v>
      </c>
      <c r="M239" s="213">
        <f>IFERROR(__xludf.DUMMYFUNCTION("""COMPUTED_VALUE"""),3619.0)</f>
        <v>3619</v>
      </c>
      <c r="N239" s="214">
        <f>IFERROR(__xludf.DUMMYFUNCTION("""COMPUTED_VALUE"""),0.4313)</f>
        <v>0.4313</v>
      </c>
      <c r="O239" s="213">
        <f>IFERROR(__xludf.DUMMYFUNCTION("""COMPUTED_VALUE"""),474.0)</f>
        <v>474</v>
      </c>
      <c r="P239" s="213">
        <f>IFERROR(__xludf.DUMMYFUNCTION("""COMPUTED_VALUE"""),414.0)</f>
        <v>414</v>
      </c>
      <c r="Q239" s="214">
        <f>IFERROR(__xludf.DUMMYFUNCTION("""COMPUTED_VALUE"""),0.0494)</f>
        <v>0.0494</v>
      </c>
      <c r="R239" s="214">
        <f>IFERROR(__xludf.DUMMYFUNCTION("""COMPUTED_VALUE"""),0.1144)</f>
        <v>0.1144</v>
      </c>
      <c r="S239" s="101">
        <f>IFERROR(__xludf.DUMMYFUNCTION("""COMPUTED_VALUE"""),4.0)</f>
        <v>4</v>
      </c>
      <c r="T239" s="101">
        <f>IFERROR(__xludf.DUMMYFUNCTION("""COMPUTED_VALUE"""),9.0)</f>
        <v>9</v>
      </c>
      <c r="U239" s="213">
        <f>IFERROR(__xludf.DUMMYFUNCTION("""COMPUTED_VALUE"""),6742.0)</f>
        <v>6742</v>
      </c>
      <c r="V239" s="271" t="str">
        <f>IFERROR(__xludf.DUMMYFUNCTION("""COMPUTED_VALUE"""),"online")</f>
        <v>online</v>
      </c>
      <c r="W239" s="98" t="str">
        <f>IFERROR(__xludf.DUMMYFUNCTION("""COMPUTED_VALUE"""),"simple")</f>
        <v>simple</v>
      </c>
      <c r="X239" s="98" t="str">
        <f>IFERROR(__xludf.DUMMYFUNCTION("""COMPUTED_VALUE"""),"AOV between 700 and 1200")</f>
        <v>AOV between 700 and 1200</v>
      </c>
      <c r="Y239" s="98" t="str">
        <f>IFERROR(__xludf.DUMMYFUNCTION("""COMPUTED_VALUE"""),"11-12th march")</f>
        <v>11-12th march</v>
      </c>
      <c r="Z239" s="98" t="str">
        <f>IFERROR(__xludf.DUMMYFUNCTION("""COMPUTED_VALUE"""),"69aff9a131bb80558f0222f7")</f>
        <v>69aff9a131bb80558f0222f7</v>
      </c>
      <c r="AA239" s="98">
        <f>IFERROR(__xludf.DUMMYFUNCTION("""COMPUTED_VALUE"""),36.0)</f>
        <v>36</v>
      </c>
      <c r="AB239" s="98">
        <f>IFERROR(__xludf.DUMMYFUNCTION("""COMPUTED_VALUE"""),36.0)</f>
        <v>36</v>
      </c>
      <c r="AC239" s="98"/>
      <c r="AD239" s="98">
        <f>IFERROR(__xludf.DUMMYFUNCTION("""COMPUTED_VALUE"""),71767.0)</f>
        <v>71767</v>
      </c>
      <c r="AE239" s="98">
        <f>IFERROR(__xludf.DUMMYFUNCTION("""COMPUTED_VALUE"""),71767.0)</f>
        <v>71767</v>
      </c>
      <c r="AF239" s="98"/>
      <c r="AG239" s="208"/>
      <c r="AH239" s="208"/>
      <c r="AI239" s="208"/>
      <c r="AJ239" s="208"/>
      <c r="AK239" s="208"/>
    </row>
    <row r="240" hidden="1">
      <c r="A240" s="216">
        <f>IFERROR(__xludf.DUMMYFUNCTION("""COMPUTED_VALUE"""),46092.0)</f>
        <v>46092</v>
      </c>
      <c r="B240" s="210">
        <f>IFERROR(__xludf.DUMMYFUNCTION("""COMPUTED_VALUE"""),0.4375)</f>
        <v>0.4375</v>
      </c>
      <c r="C240" s="210" t="str">
        <f>IFERROR(__xludf.DUMMYFUNCTION("""COMPUTED_VALUE"""),"Whatsapp")</f>
        <v>Whatsapp</v>
      </c>
      <c r="D240" s="210" t="str">
        <f>IFERROR(__xludf.DUMMYFUNCTION("""COMPUTED_VALUE"""),"Promotional")</f>
        <v>Promotional</v>
      </c>
      <c r="E240" s="211" t="str">
        <f>IFERROR(__xludf.DUMMYFUNCTION("""COMPUTED_VALUE"""),"BBW")</f>
        <v>BBW</v>
      </c>
      <c r="F240" s="211" t="str">
        <f>IFERROR(__xludf.DUMMYFUNCTION("""COMPUTED_VALUE"""),"Flashsale")</f>
        <v>Flashsale</v>
      </c>
      <c r="G240" s="211" t="str">
        <f>IFERROR(__xludf.DUMMYFUNCTION("""COMPUTED_VALUE"""),"bbw_wa_flashsale_113_discount_seeker")</f>
        <v>bbw_wa_flashsale_113_discount_seeker</v>
      </c>
      <c r="H240" s="211" t="str">
        <f>IFERROR(__xludf.DUMMYFUNCTION("""COMPUTED_VALUE"""),"Discount_Seeker_Last_Flash_Sale_On")</f>
        <v>Discount_Seeker_Last_Flash_Sale_On</v>
      </c>
      <c r="I240" s="223" t="str">
        <f>IFERROR(__xludf.DUMMYFUNCTION("""COMPUTED_VALUE"""),"Customers who have purchased on Last Flash Sale(27th Jan - 28th Jan) with Agg Order Disc Val is equal to 0")</f>
        <v>Customers who have purchased on Last Flash Sale(27th Jan - 28th Jan) with Agg Order Disc Val is equal to 0</v>
      </c>
      <c r="J240" s="213">
        <f>IFERROR(__xludf.DUMMYFUNCTION("""COMPUTED_VALUE"""),162.0)</f>
        <v>162</v>
      </c>
      <c r="K240" s="213">
        <f>IFERROR(__xludf.DUMMYFUNCTION("""COMPUTED_VALUE"""),48.0)</f>
        <v>48</v>
      </c>
      <c r="L240" s="214">
        <f>IFERROR(__xludf.DUMMYFUNCTION("""COMPUTED_VALUE"""),0.2963)</f>
        <v>0.2963</v>
      </c>
      <c r="M240" s="213">
        <f>IFERROR(__xludf.DUMMYFUNCTION("""COMPUTED_VALUE"""),22.0)</f>
        <v>22</v>
      </c>
      <c r="N240" s="214">
        <f>IFERROR(__xludf.DUMMYFUNCTION("""COMPUTED_VALUE"""),0.4583)</f>
        <v>0.4583</v>
      </c>
      <c r="O240" s="213">
        <f>IFERROR(__xludf.DUMMYFUNCTION("""COMPUTED_VALUE"""),4.0)</f>
        <v>4</v>
      </c>
      <c r="P240" s="213">
        <f>IFERROR(__xludf.DUMMYFUNCTION("""COMPUTED_VALUE"""),4.0)</f>
        <v>4</v>
      </c>
      <c r="Q240" s="214">
        <f>IFERROR(__xludf.DUMMYFUNCTION("""COMPUTED_VALUE"""),0.0833)</f>
        <v>0.0833</v>
      </c>
      <c r="R240" s="214">
        <f>IFERROR(__xludf.DUMMYFUNCTION("""COMPUTED_VALUE"""),0.1818)</f>
        <v>0.1818</v>
      </c>
      <c r="S240" s="101">
        <f>IFERROR(__xludf.DUMMYFUNCTION("""COMPUTED_VALUE"""),0.0)</f>
        <v>0</v>
      </c>
      <c r="T240" s="101">
        <f>IFERROR(__xludf.DUMMYFUNCTION("""COMPUTED_VALUE"""),0.0)</f>
        <v>0</v>
      </c>
      <c r="U240" s="213">
        <f>IFERROR(__xludf.DUMMYFUNCTION("""COMPUTED_VALUE"""),0.0)</f>
        <v>0</v>
      </c>
      <c r="V240" s="271" t="str">
        <f>IFERROR(__xludf.DUMMYFUNCTION("""COMPUTED_VALUE"""),"online")</f>
        <v>online</v>
      </c>
      <c r="W240" s="98" t="str">
        <f>IFERROR(__xludf.DUMMYFUNCTION("""COMPUTED_VALUE"""),"simple")</f>
        <v>simple</v>
      </c>
      <c r="X240" s="98" t="str">
        <f>IFERROR(__xludf.DUMMYFUNCTION("""COMPUTED_VALUE"""),"Discount Seekers")</f>
        <v>Discount Seekers</v>
      </c>
      <c r="Y240" s="98" t="str">
        <f>IFERROR(__xludf.DUMMYFUNCTION("""COMPUTED_VALUE"""),"11-12th march")</f>
        <v>11-12th march</v>
      </c>
      <c r="Z240" s="98" t="str">
        <f>IFERROR(__xludf.DUMMYFUNCTION("""COMPUTED_VALUE"""),"69affeeb9652ebaeabe59547")</f>
        <v>69affeeb9652ebaeabe59547</v>
      </c>
      <c r="AA240" s="98">
        <f>IFERROR(__xludf.DUMMYFUNCTION("""COMPUTED_VALUE"""),0.0)</f>
        <v>0</v>
      </c>
      <c r="AB240" s="98">
        <f>IFERROR(__xludf.DUMMYFUNCTION("""COMPUTED_VALUE"""),0.0)</f>
        <v>0</v>
      </c>
      <c r="AC240" s="98"/>
      <c r="AD240" s="98">
        <f>IFERROR(__xludf.DUMMYFUNCTION("""COMPUTED_VALUE"""),0.0)</f>
        <v>0</v>
      </c>
      <c r="AE240" s="98">
        <f>IFERROR(__xludf.DUMMYFUNCTION("""COMPUTED_VALUE"""),0.0)</f>
        <v>0</v>
      </c>
      <c r="AF240" s="98"/>
      <c r="AG240" s="208"/>
      <c r="AH240" s="208"/>
      <c r="AI240" s="208"/>
      <c r="AJ240" s="208"/>
      <c r="AK240" s="208"/>
    </row>
    <row r="241" hidden="1">
      <c r="A241" s="216">
        <f>IFERROR(__xludf.DUMMYFUNCTION("""COMPUTED_VALUE"""),46092.0)</f>
        <v>46092</v>
      </c>
      <c r="B241" s="210">
        <f>IFERROR(__xludf.DUMMYFUNCTION("""COMPUTED_VALUE"""),0.5208333333321207)</f>
        <v>0.5208333333</v>
      </c>
      <c r="C241" s="210" t="str">
        <f>IFERROR(__xludf.DUMMYFUNCTION("""COMPUTED_VALUE"""),"Sms")</f>
        <v>Sms</v>
      </c>
      <c r="D241" s="210" t="str">
        <f>IFERROR(__xludf.DUMMYFUNCTION("""COMPUTED_VALUE"""),"Fallback Campaign")</f>
        <v>Fallback Campaign</v>
      </c>
      <c r="E241" s="211" t="str">
        <f>IFERROR(__xludf.DUMMYFUNCTION("""COMPUTED_VALUE"""),"BBW")</f>
        <v>BBW</v>
      </c>
      <c r="F241" s="211" t="str">
        <f>IFERROR(__xludf.DUMMYFUNCTION("""COMPUTED_VALUE"""),"Flashsale")</f>
        <v>Flashsale</v>
      </c>
      <c r="G241" s="211" t="str">
        <f>IFERROR(__xludf.DUMMYFUNCTION("""COMPUTED_VALUE"""),"bbw_smsfb_flashsale_113_recent_ffm_bcr_bl_on")</f>
        <v>bbw_smsfb_flashsale_113_recent_ffm_bcr_bl_on</v>
      </c>
      <c r="H241" s="211" t="str">
        <f>IFERROR(__xludf.DUMMYFUNCTION("""COMPUTED_VALUE"""),"Recent_FFM_BCr_BL_On")</f>
        <v>Recent_FFM_BCr_BL_On</v>
      </c>
      <c r="I241" s="223" t="str">
        <f>IFERROR(__xludf.DUMMYFUNCTION("""COMPUTED_VALUE"""),"Recent_FFM_BCr_BL_On")</f>
        <v>Recent_FFM_BCr_BL_On</v>
      </c>
      <c r="J241" s="213">
        <f>IFERROR(__xludf.DUMMYFUNCTION("""COMPUTED_VALUE"""),129.0)</f>
        <v>129</v>
      </c>
      <c r="K241" s="213">
        <f>IFERROR(__xludf.DUMMYFUNCTION("""COMPUTED_VALUE"""),66.0)</f>
        <v>66</v>
      </c>
      <c r="L241" s="214">
        <f>IFERROR(__xludf.DUMMYFUNCTION("""COMPUTED_VALUE"""),0.5116)</f>
        <v>0.5116</v>
      </c>
      <c r="M241" s="213"/>
      <c r="N241" s="214"/>
      <c r="O241" s="213">
        <f>IFERROR(__xludf.DUMMYFUNCTION("""COMPUTED_VALUE"""),1.0)</f>
        <v>1</v>
      </c>
      <c r="P241" s="213"/>
      <c r="Q241" s="214">
        <f>IFERROR(__xludf.DUMMYFUNCTION("""COMPUTED_VALUE"""),0.0152)</f>
        <v>0.0152</v>
      </c>
      <c r="R241" s="214"/>
      <c r="S241" s="101">
        <f>IFERROR(__xludf.DUMMYFUNCTION("""COMPUTED_VALUE"""),0.0)</f>
        <v>0</v>
      </c>
      <c r="T241" s="101">
        <f>IFERROR(__xludf.DUMMYFUNCTION("""COMPUTED_VALUE"""),0.0)</f>
        <v>0</v>
      </c>
      <c r="U241" s="213">
        <f>IFERROR(__xludf.DUMMYFUNCTION("""COMPUTED_VALUE"""),0.0)</f>
        <v>0</v>
      </c>
      <c r="V241" s="271" t="str">
        <f>IFERROR(__xludf.DUMMYFUNCTION("""COMPUTED_VALUE"""),"online")</f>
        <v>online</v>
      </c>
      <c r="W241" s="98" t="str">
        <f>IFERROR(__xludf.DUMMYFUNCTION("""COMPUTED_VALUE"""),"SMS")</f>
        <v>SMS</v>
      </c>
      <c r="X241" s="98" t="str">
        <f>IFERROR(__xludf.DUMMYFUNCTION("""COMPUTED_VALUE"""),"Repeat")</f>
        <v>Repeat</v>
      </c>
      <c r="Y241" s="98" t="str">
        <f>IFERROR(__xludf.DUMMYFUNCTION("""COMPUTED_VALUE"""),"11-16thmarch")</f>
        <v>11-16thmarch</v>
      </c>
      <c r="Z241" s="98" t="str">
        <f>IFERROR(__xludf.DUMMYFUNCTION("""COMPUTED_VALUE"""),"69affa7b5993103b314ae8ec")</f>
        <v>69affa7b5993103b314ae8ec</v>
      </c>
      <c r="AA241" s="98">
        <f>IFERROR(__xludf.DUMMYFUNCTION("""COMPUTED_VALUE"""),1.0)</f>
        <v>1</v>
      </c>
      <c r="AB241" s="98">
        <f>IFERROR(__xludf.DUMMYFUNCTION("""COMPUTED_VALUE"""),1.0)</f>
        <v>1</v>
      </c>
      <c r="AC241" s="98"/>
      <c r="AD241" s="98">
        <f>IFERROR(__xludf.DUMMYFUNCTION("""COMPUTED_VALUE"""),598.0)</f>
        <v>598</v>
      </c>
      <c r="AE241" s="98">
        <f>IFERROR(__xludf.DUMMYFUNCTION("""COMPUTED_VALUE"""),598.0)</f>
        <v>598</v>
      </c>
      <c r="AF241" s="98"/>
      <c r="AG241" s="208"/>
      <c r="AH241" s="208"/>
      <c r="AI241" s="208"/>
      <c r="AJ241" s="208"/>
      <c r="AK241" s="208"/>
    </row>
    <row r="242" hidden="1">
      <c r="A242" s="216">
        <f>IFERROR(__xludf.DUMMYFUNCTION("""COMPUTED_VALUE"""),46092.0)</f>
        <v>46092</v>
      </c>
      <c r="B242" s="210">
        <f>IFERROR(__xludf.DUMMYFUNCTION("""COMPUTED_VALUE"""),0.5208333333321207)</f>
        <v>0.5208333333</v>
      </c>
      <c r="C242" s="210" t="str">
        <f>IFERROR(__xludf.DUMMYFUNCTION("""COMPUTED_VALUE"""),"Sms")</f>
        <v>Sms</v>
      </c>
      <c r="D242" s="210" t="str">
        <f>IFERROR(__xludf.DUMMYFUNCTION("""COMPUTED_VALUE"""),"Fallback Campaign")</f>
        <v>Fallback Campaign</v>
      </c>
      <c r="E242" s="211" t="str">
        <f>IFERROR(__xludf.DUMMYFUNCTION("""COMPUTED_VALUE"""),"BBW")</f>
        <v>BBW</v>
      </c>
      <c r="F242" s="211" t="str">
        <f>IFERROR(__xludf.DUMMYFUNCTION("""COMPUTED_VALUE"""),"Flashsale")</f>
        <v>Flashsale</v>
      </c>
      <c r="G242" s="211" t="str">
        <f>IFERROR(__xludf.DUMMYFUNCTION("""COMPUTED_VALUE"""),"bbw_smsfb_flashsale_113_ffm_bl_bcr_predom_on")</f>
        <v>bbw_smsfb_flashsale_113_ffm_bl_bcr_predom_on</v>
      </c>
      <c r="H242" s="211" t="str">
        <f>IFERROR(__xludf.DUMMYFUNCTION("""COMPUTED_VALUE"""),"FFM_BL_BCr_Predom_On OR AGIPL_Internal OR BBW_Internal")</f>
        <v>FFM_BL_BCr_Predom_On OR AGIPL_Internal OR BBW_Internal</v>
      </c>
      <c r="I242" s="223" t="str">
        <f>IFERROR(__xludf.DUMMYFUNCTION("""COMPUTED_VALUE"""),"WA Undelivered")</f>
        <v>WA Undelivered</v>
      </c>
      <c r="J242" s="213">
        <f>IFERROR(__xludf.DUMMYFUNCTION("""COMPUTED_VALUE"""),60932.0)</f>
        <v>60932</v>
      </c>
      <c r="K242" s="213">
        <f>IFERROR(__xludf.DUMMYFUNCTION("""COMPUTED_VALUE"""),39178.0)</f>
        <v>39178</v>
      </c>
      <c r="L242" s="214">
        <f>IFERROR(__xludf.DUMMYFUNCTION("""COMPUTED_VALUE"""),0.643)</f>
        <v>0.643</v>
      </c>
      <c r="M242" s="213"/>
      <c r="N242" s="214"/>
      <c r="O242" s="213">
        <f>IFERROR(__xludf.DUMMYFUNCTION("""COMPUTED_VALUE"""),72.0)</f>
        <v>72</v>
      </c>
      <c r="P242" s="213"/>
      <c r="Q242" s="214">
        <f>IFERROR(__xludf.DUMMYFUNCTION("""COMPUTED_VALUE"""),0.0018)</f>
        <v>0.0018</v>
      </c>
      <c r="R242" s="214"/>
      <c r="S242" s="101">
        <f>IFERROR(__xludf.DUMMYFUNCTION("""COMPUTED_VALUE"""),5.0)</f>
        <v>5</v>
      </c>
      <c r="T242" s="101">
        <f>IFERROR(__xludf.DUMMYFUNCTION("""COMPUTED_VALUE"""),12.0)</f>
        <v>12</v>
      </c>
      <c r="U242" s="213">
        <f>IFERROR(__xludf.DUMMYFUNCTION("""COMPUTED_VALUE"""),6740.0)</f>
        <v>6740</v>
      </c>
      <c r="V242" s="271" t="str">
        <f>IFERROR(__xludf.DUMMYFUNCTION("""COMPUTED_VALUE"""),"online")</f>
        <v>online</v>
      </c>
      <c r="W242" s="98" t="str">
        <f>IFERROR(__xludf.DUMMYFUNCTION("""COMPUTED_VALUE"""),"SMS")</f>
        <v>SMS</v>
      </c>
      <c r="X242" s="98" t="str">
        <f>IFERROR(__xludf.DUMMYFUNCTION("""COMPUTED_VALUE"""),"Predominantly Body Cream, Body Lotion, Mist")</f>
        <v>Predominantly Body Cream, Body Lotion, Mist</v>
      </c>
      <c r="Y242" s="98" t="str">
        <f>IFERROR(__xludf.DUMMYFUNCTION("""COMPUTED_VALUE"""),"11-16thmarch")</f>
        <v>11-16thmarch</v>
      </c>
      <c r="Z242" s="98" t="str">
        <f>IFERROR(__xludf.DUMMYFUNCTION("""COMPUTED_VALUE"""),"69affabddde6369c9a3eca13")</f>
        <v>69affabddde6369c9a3eca13</v>
      </c>
      <c r="AA242" s="98">
        <f>IFERROR(__xludf.DUMMYFUNCTION("""COMPUTED_VALUE"""),96.0)</f>
        <v>96</v>
      </c>
      <c r="AB242" s="98">
        <f>IFERROR(__xludf.DUMMYFUNCTION("""COMPUTED_VALUE"""),96.0)</f>
        <v>96</v>
      </c>
      <c r="AC242" s="98"/>
      <c r="AD242" s="98">
        <f>IFERROR(__xludf.DUMMYFUNCTION("""COMPUTED_VALUE"""),222410.0)</f>
        <v>222410</v>
      </c>
      <c r="AE242" s="98">
        <f>IFERROR(__xludf.DUMMYFUNCTION("""COMPUTED_VALUE"""),222410.0)</f>
        <v>222410</v>
      </c>
      <c r="AF242" s="98"/>
      <c r="AG242" s="208"/>
      <c r="AH242" s="208"/>
      <c r="AI242" s="208"/>
      <c r="AJ242" s="208"/>
      <c r="AK242" s="208"/>
    </row>
    <row r="243" hidden="1">
      <c r="A243" s="216">
        <f>IFERROR(__xludf.DUMMYFUNCTION("""COMPUTED_VALUE"""),46092.0)</f>
        <v>46092</v>
      </c>
      <c r="B243" s="210">
        <f>IFERROR(__xludf.DUMMYFUNCTION("""COMPUTED_VALUE"""),0.5208333333321207)</f>
        <v>0.5208333333</v>
      </c>
      <c r="C243" s="210" t="str">
        <f>IFERROR(__xludf.DUMMYFUNCTION("""COMPUTED_VALUE"""),"Sms")</f>
        <v>Sms</v>
      </c>
      <c r="D243" s="210" t="str">
        <f>IFERROR(__xludf.DUMMYFUNCTION("""COMPUTED_VALUE"""),"Fallback Campaign")</f>
        <v>Fallback Campaign</v>
      </c>
      <c r="E243" s="211" t="str">
        <f>IFERROR(__xludf.DUMMYFUNCTION("""COMPUTED_VALUE"""),"BBW")</f>
        <v>BBW</v>
      </c>
      <c r="F243" s="211" t="str">
        <f>IFERROR(__xludf.DUMMYFUNCTION("""COMPUTED_VALUE"""),"Flashsale")</f>
        <v>Flashsale</v>
      </c>
      <c r="G243" s="211" t="str">
        <f>IFERROR(__xludf.DUMMYFUNCTION("""COMPUTED_VALUE"""),"bbw_smsfb_flashsale_113_repeat_ffm_bl_bcr_on")</f>
        <v>bbw_smsfb_flashsale_113_repeat_ffm_bl_bcr_on</v>
      </c>
      <c r="H243" s="211" t="str">
        <f>IFERROR(__xludf.DUMMYFUNCTION("""COMPUTED_VALUE"""),"Repeat_FFM_BL_Bcr_On")</f>
        <v>Repeat_FFM_BL_Bcr_On</v>
      </c>
      <c r="I243" s="223" t="str">
        <f>IFERROR(__xludf.DUMMYFUNCTION("""COMPUTED_VALUE"""),"WA Undelivered")</f>
        <v>WA Undelivered</v>
      </c>
      <c r="J243" s="213">
        <f>IFERROR(__xludf.DUMMYFUNCTION("""COMPUTED_VALUE"""),886.0)</f>
        <v>886</v>
      </c>
      <c r="K243" s="213">
        <f>IFERROR(__xludf.DUMMYFUNCTION("""COMPUTED_VALUE"""),419.0)</f>
        <v>419</v>
      </c>
      <c r="L243" s="214">
        <f>IFERROR(__xludf.DUMMYFUNCTION("""COMPUTED_VALUE"""),0.4729)</f>
        <v>0.4729</v>
      </c>
      <c r="M243" s="213"/>
      <c r="N243" s="214"/>
      <c r="O243" s="213">
        <f>IFERROR(__xludf.DUMMYFUNCTION("""COMPUTED_VALUE"""),4.0)</f>
        <v>4</v>
      </c>
      <c r="P243" s="213"/>
      <c r="Q243" s="214">
        <f>IFERROR(__xludf.DUMMYFUNCTION("""COMPUTED_VALUE"""),0.0095)</f>
        <v>0.0095</v>
      </c>
      <c r="R243" s="214"/>
      <c r="S243" s="101">
        <f>IFERROR(__xludf.DUMMYFUNCTION("""COMPUTED_VALUE"""),1.0)</f>
        <v>1</v>
      </c>
      <c r="T243" s="101">
        <f>IFERROR(__xludf.DUMMYFUNCTION("""COMPUTED_VALUE"""),1.0)</f>
        <v>1</v>
      </c>
      <c r="U243" s="213">
        <f>IFERROR(__xludf.DUMMYFUNCTION("""COMPUTED_VALUE"""),2997.0)</f>
        <v>2997</v>
      </c>
      <c r="V243" s="271" t="str">
        <f>IFERROR(__xludf.DUMMYFUNCTION("""COMPUTED_VALUE"""),"online")</f>
        <v>online</v>
      </c>
      <c r="W243" s="98" t="str">
        <f>IFERROR(__xludf.DUMMYFUNCTION("""COMPUTED_VALUE"""),"SMS")</f>
        <v>SMS</v>
      </c>
      <c r="X243" s="98" t="str">
        <f>IFERROR(__xludf.DUMMYFUNCTION("""COMPUTED_VALUE"""),"Repeat")</f>
        <v>Repeat</v>
      </c>
      <c r="Y243" s="98" t="str">
        <f>IFERROR(__xludf.DUMMYFUNCTION("""COMPUTED_VALUE"""),"11-16thmarch")</f>
        <v>11-16thmarch</v>
      </c>
      <c r="Z243" s="98" t="str">
        <f>IFERROR(__xludf.DUMMYFUNCTION("""COMPUTED_VALUE"""),"69affafecb893e53cfca5c23")</f>
        <v>69affafecb893e53cfca5c23</v>
      </c>
      <c r="AA243" s="98">
        <f>IFERROR(__xludf.DUMMYFUNCTION("""COMPUTED_VALUE"""),21.0)</f>
        <v>21</v>
      </c>
      <c r="AB243" s="98">
        <f>IFERROR(__xludf.DUMMYFUNCTION("""COMPUTED_VALUE"""),21.0)</f>
        <v>21</v>
      </c>
      <c r="AC243" s="98"/>
      <c r="AD243" s="98">
        <f>IFERROR(__xludf.DUMMYFUNCTION("""COMPUTED_VALUE"""),56633.0)</f>
        <v>56633</v>
      </c>
      <c r="AE243" s="98">
        <f>IFERROR(__xludf.DUMMYFUNCTION("""COMPUTED_VALUE"""),56633.0)</f>
        <v>56633</v>
      </c>
      <c r="AF243" s="98"/>
      <c r="AG243" s="208"/>
      <c r="AH243" s="208"/>
      <c r="AI243" s="208"/>
      <c r="AJ243" s="208"/>
      <c r="AK243" s="208"/>
    </row>
    <row r="244" hidden="1">
      <c r="A244" s="216">
        <f>IFERROR(__xludf.DUMMYFUNCTION("""COMPUTED_VALUE"""),46092.0)</f>
        <v>46092</v>
      </c>
      <c r="B244" s="210">
        <f>IFERROR(__xludf.DUMMYFUNCTION("""COMPUTED_VALUE"""),0.5208333333321207)</f>
        <v>0.5208333333</v>
      </c>
      <c r="C244" s="210" t="str">
        <f>IFERROR(__xludf.DUMMYFUNCTION("""COMPUTED_VALUE"""),"Sms")</f>
        <v>Sms</v>
      </c>
      <c r="D244" s="210" t="str">
        <f>IFERROR(__xludf.DUMMYFUNCTION("""COMPUTED_VALUE"""),"Fallback Campaign")</f>
        <v>Fallback Campaign</v>
      </c>
      <c r="E244" s="211" t="str">
        <f>IFERROR(__xludf.DUMMYFUNCTION("""COMPUTED_VALUE"""),"BBW")</f>
        <v>BBW</v>
      </c>
      <c r="F244" s="211" t="str">
        <f>IFERROR(__xludf.DUMMYFUNCTION("""COMPUTED_VALUE"""),"Flashsale")</f>
        <v>Flashsale</v>
      </c>
      <c r="G244" s="211" t="str">
        <f>IFERROR(__xludf.DUMMYFUNCTION("""COMPUTED_VALUE"""),"bbw_smsfb_flashsale_113_viewitem_bcr_ffm_bl_on")</f>
        <v>bbw_smsfb_flashsale_113_viewitem_bcr_ffm_bl_on</v>
      </c>
      <c r="H244" s="211" t="str">
        <f>IFERROR(__xludf.DUMMYFUNCTION("""COMPUTED_VALUE"""),"ViewItem_BCr_FFM_BL_On")</f>
        <v>ViewItem_BCr_FFM_BL_On</v>
      </c>
      <c r="I244" s="223" t="str">
        <f>IFERROR(__xludf.DUMMYFUNCTION("""COMPUTED_VALUE"""),"WA Undelivered")</f>
        <v>WA Undelivered</v>
      </c>
      <c r="J244" s="213">
        <f>IFERROR(__xludf.DUMMYFUNCTION("""COMPUTED_VALUE"""),1373.0)</f>
        <v>1373</v>
      </c>
      <c r="K244" s="213">
        <f>IFERROR(__xludf.DUMMYFUNCTION("""COMPUTED_VALUE"""),989.0)</f>
        <v>989</v>
      </c>
      <c r="L244" s="214">
        <f>IFERROR(__xludf.DUMMYFUNCTION("""COMPUTED_VALUE"""),0.7203)</f>
        <v>0.7203</v>
      </c>
      <c r="M244" s="213"/>
      <c r="N244" s="214"/>
      <c r="O244" s="213">
        <f>IFERROR(__xludf.DUMMYFUNCTION("""COMPUTED_VALUE"""),8.0)</f>
        <v>8</v>
      </c>
      <c r="P244" s="213"/>
      <c r="Q244" s="214">
        <f>IFERROR(__xludf.DUMMYFUNCTION("""COMPUTED_VALUE"""),0.0081)</f>
        <v>0.0081</v>
      </c>
      <c r="R244" s="214"/>
      <c r="S244" s="101">
        <f>IFERROR(__xludf.DUMMYFUNCTION("""COMPUTED_VALUE"""),0.0)</f>
        <v>0</v>
      </c>
      <c r="T244" s="101">
        <f>IFERROR(__xludf.DUMMYFUNCTION("""COMPUTED_VALUE"""),11.0)</f>
        <v>11</v>
      </c>
      <c r="U244" s="213">
        <f>IFERROR(__xludf.DUMMYFUNCTION("""COMPUTED_VALUE"""),0.0)</f>
        <v>0</v>
      </c>
      <c r="V244" s="271" t="str">
        <f>IFERROR(__xludf.DUMMYFUNCTION("""COMPUTED_VALUE"""),"online")</f>
        <v>online</v>
      </c>
      <c r="W244" s="98" t="str">
        <f>IFERROR(__xludf.DUMMYFUNCTION("""COMPUTED_VALUE"""),"SMS")</f>
        <v>SMS</v>
      </c>
      <c r="X244" s="98" t="str">
        <f>IFERROR(__xludf.DUMMYFUNCTION("""COMPUTED_VALUE"""),"View Body Cream, Body Lotion and Mist")</f>
        <v>View Body Cream, Body Lotion and Mist</v>
      </c>
      <c r="Y244" s="98" t="str">
        <f>IFERROR(__xludf.DUMMYFUNCTION("""COMPUTED_VALUE"""),"11-16thmarch")</f>
        <v>11-16thmarch</v>
      </c>
      <c r="Z244" s="98" t="str">
        <f>IFERROR(__xludf.DUMMYFUNCTION("""COMPUTED_VALUE"""),"69affb6d1d371af81cfeac05")</f>
        <v>69affb6d1d371af81cfeac05</v>
      </c>
      <c r="AA244" s="98">
        <f>IFERROR(__xludf.DUMMYFUNCTION("""COMPUTED_VALUE"""),5.0)</f>
        <v>5</v>
      </c>
      <c r="AB244" s="98">
        <f>IFERROR(__xludf.DUMMYFUNCTION("""COMPUTED_VALUE"""),5.0)</f>
        <v>5</v>
      </c>
      <c r="AC244" s="98"/>
      <c r="AD244" s="98">
        <f>IFERROR(__xludf.DUMMYFUNCTION("""COMPUTED_VALUE"""),2306.33)</f>
        <v>2306.33</v>
      </c>
      <c r="AE244" s="98">
        <f>IFERROR(__xludf.DUMMYFUNCTION("""COMPUTED_VALUE"""),2306.33)</f>
        <v>2306.33</v>
      </c>
      <c r="AF244" s="98"/>
      <c r="AG244" s="208"/>
      <c r="AH244" s="208"/>
      <c r="AI244" s="208"/>
      <c r="AJ244" s="208"/>
      <c r="AK244" s="208"/>
    </row>
    <row r="245" hidden="1">
      <c r="A245" s="216">
        <f>IFERROR(__xludf.DUMMYFUNCTION("""COMPUTED_VALUE"""),46092.0)</f>
        <v>46092</v>
      </c>
      <c r="B245" s="210">
        <f>IFERROR(__xludf.DUMMYFUNCTION("""COMPUTED_VALUE"""),0.5208333333321207)</f>
        <v>0.5208333333</v>
      </c>
      <c r="C245" s="210" t="str">
        <f>IFERROR(__xludf.DUMMYFUNCTION("""COMPUTED_VALUE"""),"Sms")</f>
        <v>Sms</v>
      </c>
      <c r="D245" s="210" t="str">
        <f>IFERROR(__xludf.DUMMYFUNCTION("""COMPUTED_VALUE"""),"Fallback Campaign")</f>
        <v>Fallback Campaign</v>
      </c>
      <c r="E245" s="211" t="str">
        <f>IFERROR(__xludf.DUMMYFUNCTION("""COMPUTED_VALUE"""),"BBW")</f>
        <v>BBW</v>
      </c>
      <c r="F245" s="211" t="str">
        <f>IFERROR(__xludf.DUMMYFUNCTION("""COMPUTED_VALUE"""),"Flashsale")</f>
        <v>Flashsale</v>
      </c>
      <c r="G245" s="211" t="str">
        <f>IFERROR(__xludf.DUMMYFUNCTION("""COMPUTED_VALUE"""),"bbw_smsfb_flashsale_113_atc_ffm_bcr_bl_on")</f>
        <v>bbw_smsfb_flashsale_113_atc_ffm_bcr_bl_on</v>
      </c>
      <c r="H245" s="211" t="str">
        <f>IFERROR(__xludf.DUMMYFUNCTION("""COMPUTED_VALUE"""),"ATC_FFM_BCr_BL_On")</f>
        <v>ATC_FFM_BCr_BL_On</v>
      </c>
      <c r="I245" s="223" t="str">
        <f>IFERROR(__xludf.DUMMYFUNCTION("""COMPUTED_VALUE"""),"WA Undelivered")</f>
        <v>WA Undelivered</v>
      </c>
      <c r="J245" s="213">
        <f>IFERROR(__xludf.DUMMYFUNCTION("""COMPUTED_VALUE"""),204.0)</f>
        <v>204</v>
      </c>
      <c r="K245" s="213">
        <f>IFERROR(__xludf.DUMMYFUNCTION("""COMPUTED_VALUE"""),142.0)</f>
        <v>142</v>
      </c>
      <c r="L245" s="214">
        <f>IFERROR(__xludf.DUMMYFUNCTION("""COMPUTED_VALUE"""),0.6961)</f>
        <v>0.6961</v>
      </c>
      <c r="M245" s="213"/>
      <c r="N245" s="214"/>
      <c r="O245" s="213">
        <f>IFERROR(__xludf.DUMMYFUNCTION("""COMPUTED_VALUE"""),1.0)</f>
        <v>1</v>
      </c>
      <c r="P245" s="213"/>
      <c r="Q245" s="214">
        <f>IFERROR(__xludf.DUMMYFUNCTION("""COMPUTED_VALUE"""),0.007)</f>
        <v>0.007</v>
      </c>
      <c r="R245" s="214"/>
      <c r="S245" s="101">
        <f>IFERROR(__xludf.DUMMYFUNCTION("""COMPUTED_VALUE"""),0.0)</f>
        <v>0</v>
      </c>
      <c r="T245" s="101">
        <f>IFERROR(__xludf.DUMMYFUNCTION("""COMPUTED_VALUE"""),2.0)</f>
        <v>2</v>
      </c>
      <c r="U245" s="213">
        <f>IFERROR(__xludf.DUMMYFUNCTION("""COMPUTED_VALUE"""),0.0)</f>
        <v>0</v>
      </c>
      <c r="V245" s="271" t="str">
        <f>IFERROR(__xludf.DUMMYFUNCTION("""COMPUTED_VALUE"""),"online")</f>
        <v>online</v>
      </c>
      <c r="W245" s="98" t="str">
        <f>IFERROR(__xludf.DUMMYFUNCTION("""COMPUTED_VALUE"""),"SMS")</f>
        <v>SMS</v>
      </c>
      <c r="X245" s="98" t="str">
        <f>IFERROR(__xludf.DUMMYFUNCTION("""COMPUTED_VALUE"""),"ATC in the last 40 days and not purchased")</f>
        <v>ATC in the last 40 days and not purchased</v>
      </c>
      <c r="Y245" s="98" t="str">
        <f>IFERROR(__xludf.DUMMYFUNCTION("""COMPUTED_VALUE"""),"11-16thmarch")</f>
        <v>11-16thmarch</v>
      </c>
      <c r="Z245" s="98" t="str">
        <f>IFERROR(__xludf.DUMMYFUNCTION("""COMPUTED_VALUE"""),"69affbc839dd523ed434b269")</f>
        <v>69affbc839dd523ed434b269</v>
      </c>
      <c r="AA245" s="98">
        <f>IFERROR(__xludf.DUMMYFUNCTION("""COMPUTED_VALUE"""),3.0)</f>
        <v>3</v>
      </c>
      <c r="AB245" s="98">
        <f>IFERROR(__xludf.DUMMYFUNCTION("""COMPUTED_VALUE"""),3.0)</f>
        <v>3</v>
      </c>
      <c r="AC245" s="98"/>
      <c r="AD245" s="98">
        <f>IFERROR(__xludf.DUMMYFUNCTION("""COMPUTED_VALUE"""),6393.0)</f>
        <v>6393</v>
      </c>
      <c r="AE245" s="98">
        <f>IFERROR(__xludf.DUMMYFUNCTION("""COMPUTED_VALUE"""),6393.0)</f>
        <v>6393</v>
      </c>
      <c r="AF245" s="98"/>
      <c r="AG245" s="208"/>
      <c r="AH245" s="208"/>
      <c r="AI245" s="208"/>
      <c r="AJ245" s="208"/>
      <c r="AK245" s="208"/>
    </row>
    <row r="246" hidden="1">
      <c r="A246" s="216">
        <f>IFERROR(__xludf.DUMMYFUNCTION("""COMPUTED_VALUE"""),46092.0)</f>
        <v>46092</v>
      </c>
      <c r="B246" s="210">
        <f>IFERROR(__xludf.DUMMYFUNCTION("""COMPUTED_VALUE"""),0.5208333333321207)</f>
        <v>0.5208333333</v>
      </c>
      <c r="C246" s="210" t="str">
        <f>IFERROR(__xludf.DUMMYFUNCTION("""COMPUTED_VALUE"""),"Sms")</f>
        <v>Sms</v>
      </c>
      <c r="D246" s="210" t="str">
        <f>IFERROR(__xludf.DUMMYFUNCTION("""COMPUTED_VALUE"""),"Fallback Campaign")</f>
        <v>Fallback Campaign</v>
      </c>
      <c r="E246" s="211" t="str">
        <f>IFERROR(__xludf.DUMMYFUNCTION("""COMPUTED_VALUE"""),"BBW")</f>
        <v>BBW</v>
      </c>
      <c r="F246" s="211" t="str">
        <f>IFERROR(__xludf.DUMMYFUNCTION("""COMPUTED_VALUE"""),"Flashsale")</f>
        <v>Flashsale</v>
      </c>
      <c r="G246" s="211" t="str">
        <f>IFERROR(__xludf.DUMMYFUNCTION("""COMPUTED_VALUE"""),"bbw_smsfb_flashsale_113_aov_700_1200_ffm_bcr_bl_on")</f>
        <v>bbw_smsfb_flashsale_113_aov_700_1200_ffm_bcr_bl_on</v>
      </c>
      <c r="H246" s="211" t="str">
        <f>IFERROR(__xludf.DUMMYFUNCTION("""COMPUTED_VALUE"""),"AOV_700_1200_FFM_BCr_BL_On")</f>
        <v>AOV_700_1200_FFM_BCr_BL_On</v>
      </c>
      <c r="I246" s="223" t="str">
        <f>IFERROR(__xludf.DUMMYFUNCTION("""COMPUTED_VALUE"""),"WA Undelivered")</f>
        <v>WA Undelivered</v>
      </c>
      <c r="J246" s="213">
        <f>IFERROR(__xludf.DUMMYFUNCTION("""COMPUTED_VALUE"""),12693.0)</f>
        <v>12693</v>
      </c>
      <c r="K246" s="213">
        <f>IFERROR(__xludf.DUMMYFUNCTION("""COMPUTED_VALUE"""),8027.0)</f>
        <v>8027</v>
      </c>
      <c r="L246" s="214">
        <f>IFERROR(__xludf.DUMMYFUNCTION("""COMPUTED_VALUE"""),0.6324)</f>
        <v>0.6324</v>
      </c>
      <c r="M246" s="213"/>
      <c r="N246" s="214"/>
      <c r="O246" s="213">
        <f>IFERROR(__xludf.DUMMYFUNCTION("""COMPUTED_VALUE"""),42.0)</f>
        <v>42</v>
      </c>
      <c r="P246" s="213"/>
      <c r="Q246" s="214">
        <f>IFERROR(__xludf.DUMMYFUNCTION("""COMPUTED_VALUE"""),0.0052)</f>
        <v>0.0052</v>
      </c>
      <c r="R246" s="214"/>
      <c r="S246" s="101">
        <f>IFERROR(__xludf.DUMMYFUNCTION("""COMPUTED_VALUE"""),1.0)</f>
        <v>1</v>
      </c>
      <c r="T246" s="101">
        <f>IFERROR(__xludf.DUMMYFUNCTION("""COMPUTED_VALUE"""),5.0)</f>
        <v>5</v>
      </c>
      <c r="U246" s="213">
        <f>IFERROR(__xludf.DUMMYFUNCTION("""COMPUTED_VALUE"""),1998.0)</f>
        <v>1998</v>
      </c>
      <c r="V246" s="271" t="str">
        <f>IFERROR(__xludf.DUMMYFUNCTION("""COMPUTED_VALUE"""),"online")</f>
        <v>online</v>
      </c>
      <c r="W246" s="98" t="str">
        <f>IFERROR(__xludf.DUMMYFUNCTION("""COMPUTED_VALUE"""),"SMS")</f>
        <v>SMS</v>
      </c>
      <c r="X246" s="98" t="str">
        <f>IFERROR(__xludf.DUMMYFUNCTION("""COMPUTED_VALUE"""),"AOV between 700 and 1200")</f>
        <v>AOV between 700 and 1200</v>
      </c>
      <c r="Y246" s="98" t="str">
        <f>IFERROR(__xludf.DUMMYFUNCTION("""COMPUTED_VALUE"""),"11-16thmarch")</f>
        <v>11-16thmarch</v>
      </c>
      <c r="Z246" s="98" t="str">
        <f>IFERROR(__xludf.DUMMYFUNCTION("""COMPUTED_VALUE"""),"69affc0494cd833b0bf86325")</f>
        <v>69affc0494cd833b0bf86325</v>
      </c>
      <c r="AA246" s="98">
        <f>IFERROR(__xludf.DUMMYFUNCTION("""COMPUTED_VALUE"""),67.0)</f>
        <v>67</v>
      </c>
      <c r="AB246" s="98">
        <f>IFERROR(__xludf.DUMMYFUNCTION("""COMPUTED_VALUE"""),67.0)</f>
        <v>67</v>
      </c>
      <c r="AC246" s="98"/>
      <c r="AD246" s="98">
        <f>IFERROR(__xludf.DUMMYFUNCTION("""COMPUTED_VALUE"""),133868.0)</f>
        <v>133868</v>
      </c>
      <c r="AE246" s="98">
        <f>IFERROR(__xludf.DUMMYFUNCTION("""COMPUTED_VALUE"""),133868.0)</f>
        <v>133868</v>
      </c>
      <c r="AF246" s="98"/>
      <c r="AG246" s="208"/>
      <c r="AH246" s="208"/>
      <c r="AI246" s="208"/>
      <c r="AJ246" s="208"/>
      <c r="AK246" s="208"/>
    </row>
    <row r="247" hidden="1">
      <c r="A247" s="216">
        <f>IFERROR(__xludf.DUMMYFUNCTION("""COMPUTED_VALUE"""),46092.0)</f>
        <v>46092</v>
      </c>
      <c r="B247" s="210">
        <f>IFERROR(__xludf.DUMMYFUNCTION("""COMPUTED_VALUE"""),0.5208333333321207)</f>
        <v>0.5208333333</v>
      </c>
      <c r="C247" s="210" t="str">
        <f>IFERROR(__xludf.DUMMYFUNCTION("""COMPUTED_VALUE"""),"Sms")</f>
        <v>Sms</v>
      </c>
      <c r="D247" s="210" t="str">
        <f>IFERROR(__xludf.DUMMYFUNCTION("""COMPUTED_VALUE"""),"Fallback Campaign")</f>
        <v>Fallback Campaign</v>
      </c>
      <c r="E247" s="211" t="str">
        <f>IFERROR(__xludf.DUMMYFUNCTION("""COMPUTED_VALUE"""),"BBW")</f>
        <v>BBW</v>
      </c>
      <c r="F247" s="211" t="str">
        <f>IFERROR(__xludf.DUMMYFUNCTION("""COMPUTED_VALUE"""),"Flashsale")</f>
        <v>Flashsale</v>
      </c>
      <c r="G247" s="211" t="str">
        <f>IFERROR(__xludf.DUMMYFUNCTION("""COMPUTED_VALUE"""),"bbw_smsfb_flashsale_113_discount_seeker")</f>
        <v>bbw_smsfb_flashsale_113_discount_seeker</v>
      </c>
      <c r="H247" s="211" t="str">
        <f>IFERROR(__xludf.DUMMYFUNCTION("""COMPUTED_VALUE"""),"Discount_Seeker_Last_Flash_Sale_On")</f>
        <v>Discount_Seeker_Last_Flash_Sale_On</v>
      </c>
      <c r="I247" s="223" t="str">
        <f>IFERROR(__xludf.DUMMYFUNCTION("""COMPUTED_VALUE"""),"WA Undelivered")</f>
        <v>WA Undelivered</v>
      </c>
      <c r="J247" s="213">
        <f>IFERROR(__xludf.DUMMYFUNCTION("""COMPUTED_VALUE"""),111.0)</f>
        <v>111</v>
      </c>
      <c r="K247" s="213">
        <f>IFERROR(__xludf.DUMMYFUNCTION("""COMPUTED_VALUE"""),44.0)</f>
        <v>44</v>
      </c>
      <c r="L247" s="214">
        <f>IFERROR(__xludf.DUMMYFUNCTION("""COMPUTED_VALUE"""),0.3964)</f>
        <v>0.3964</v>
      </c>
      <c r="M247" s="213"/>
      <c r="N247" s="214"/>
      <c r="O247" s="213">
        <f>IFERROR(__xludf.DUMMYFUNCTION("""COMPUTED_VALUE"""),0.0)</f>
        <v>0</v>
      </c>
      <c r="P247" s="213"/>
      <c r="Q247" s="214">
        <f>IFERROR(__xludf.DUMMYFUNCTION("""COMPUTED_VALUE"""),0.0)</f>
        <v>0</v>
      </c>
      <c r="R247" s="214"/>
      <c r="S247" s="101">
        <f>IFERROR(__xludf.DUMMYFUNCTION("""COMPUTED_VALUE"""),0.0)</f>
        <v>0</v>
      </c>
      <c r="T247" s="101">
        <f>IFERROR(__xludf.DUMMYFUNCTION("""COMPUTED_VALUE"""),0.0)</f>
        <v>0</v>
      </c>
      <c r="U247" s="213">
        <f>IFERROR(__xludf.DUMMYFUNCTION("""COMPUTED_VALUE"""),0.0)</f>
        <v>0</v>
      </c>
      <c r="V247" s="271" t="str">
        <f>IFERROR(__xludf.DUMMYFUNCTION("""COMPUTED_VALUE"""),"online")</f>
        <v>online</v>
      </c>
      <c r="W247" s="98" t="str">
        <f>IFERROR(__xludf.DUMMYFUNCTION("""COMPUTED_VALUE"""),"SMS")</f>
        <v>SMS</v>
      </c>
      <c r="X247" s="98" t="str">
        <f>IFERROR(__xludf.DUMMYFUNCTION("""COMPUTED_VALUE"""),"Discount Seekers")</f>
        <v>Discount Seekers</v>
      </c>
      <c r="Y247" s="98" t="str">
        <f>IFERROR(__xludf.DUMMYFUNCTION("""COMPUTED_VALUE"""),"11-16thmarch")</f>
        <v>11-16thmarch</v>
      </c>
      <c r="Z247" s="98" t="str">
        <f>IFERROR(__xludf.DUMMYFUNCTION("""COMPUTED_VALUE"""),"69afff28251b26b789f45127")</f>
        <v>69afff28251b26b789f45127</v>
      </c>
      <c r="AA247" s="98">
        <f>IFERROR(__xludf.DUMMYFUNCTION("""COMPUTED_VALUE"""),0.0)</f>
        <v>0</v>
      </c>
      <c r="AB247" s="98">
        <f>IFERROR(__xludf.DUMMYFUNCTION("""COMPUTED_VALUE"""),0.0)</f>
        <v>0</v>
      </c>
      <c r="AC247" s="98"/>
      <c r="AD247" s="98">
        <f>IFERROR(__xludf.DUMMYFUNCTION("""COMPUTED_VALUE"""),0.0)</f>
        <v>0</v>
      </c>
      <c r="AE247" s="98">
        <f>IFERROR(__xludf.DUMMYFUNCTION("""COMPUTED_VALUE"""),0.0)</f>
        <v>0</v>
      </c>
      <c r="AF247" s="98"/>
      <c r="AG247" s="208"/>
      <c r="AH247" s="208"/>
      <c r="AI247" s="208"/>
      <c r="AJ247" s="208"/>
      <c r="AK247" s="208"/>
    </row>
    <row r="248" hidden="1">
      <c r="A248" s="216">
        <f>IFERROR(__xludf.DUMMYFUNCTION("""COMPUTED_VALUE"""),46093.0)</f>
        <v>46093</v>
      </c>
      <c r="B248" s="210">
        <f>IFERROR(__xludf.DUMMYFUNCTION("""COMPUTED_VALUE"""),0.7708333333321207)</f>
        <v>0.7708333333</v>
      </c>
      <c r="C248" s="210" t="str">
        <f>IFERROR(__xludf.DUMMYFUNCTION("""COMPUTED_VALUE"""),"Whatsapp")</f>
        <v>Whatsapp</v>
      </c>
      <c r="D248" s="210" t="str">
        <f>IFERROR(__xludf.DUMMYFUNCTION("""COMPUTED_VALUE"""),"Promotional")</f>
        <v>Promotional</v>
      </c>
      <c r="E248" s="211" t="str">
        <f>IFERROR(__xludf.DUMMYFUNCTION("""COMPUTED_VALUE"""),"BBW")</f>
        <v>BBW</v>
      </c>
      <c r="F248" s="211" t="str">
        <f>IFERROR(__xludf.DUMMYFUNCTION("""COMPUTED_VALUE"""),"sgTITBI")</f>
        <v>sgTITBI</v>
      </c>
      <c r="G248" s="211" t="str">
        <f>IFERROR(__xludf.DUMMYFUNCTION("""COMPUTED_VALUE"""),"bbw_wa_sgtitbi_12_3_predom_sg_6m_on")</f>
        <v>bbw_wa_sgtitbi_12_3_predom_sg_6m_on</v>
      </c>
      <c r="H248" s="211" t="str">
        <f>IFERROR(__xludf.DUMMYFUNCTION("""COMPUTED_VALUE"""),"Predom_SG_6M_On")</f>
        <v>Predom_SG_6M_On</v>
      </c>
      <c r="I248" s="223" t="str">
        <f>IFERROR(__xludf.DUMMYFUNCTION("""COMPUTED_VALUE"""),"Online Customers who have PREDOM purchased from L3 Shower Gel in the last 6 months")</f>
        <v>Online Customers who have PREDOM purchased from L3 Shower Gel in the last 6 months</v>
      </c>
      <c r="J248" s="213">
        <f>IFERROR(__xludf.DUMMYFUNCTION("""COMPUTED_VALUE"""),10064.0)</f>
        <v>10064</v>
      </c>
      <c r="K248" s="213">
        <f>IFERROR(__xludf.DUMMYFUNCTION("""COMPUTED_VALUE"""),2179.0)</f>
        <v>2179</v>
      </c>
      <c r="L248" s="214">
        <f>IFERROR(__xludf.DUMMYFUNCTION("""COMPUTED_VALUE"""),0.2165)</f>
        <v>0.2165</v>
      </c>
      <c r="M248" s="213">
        <f>IFERROR(__xludf.DUMMYFUNCTION("""COMPUTED_VALUE"""),1070.0)</f>
        <v>1070</v>
      </c>
      <c r="N248" s="214">
        <f>IFERROR(__xludf.DUMMYFUNCTION("""COMPUTED_VALUE"""),0.4911)</f>
        <v>0.4911</v>
      </c>
      <c r="O248" s="213">
        <f>IFERROR(__xludf.DUMMYFUNCTION("""COMPUTED_VALUE"""),143.0)</f>
        <v>143</v>
      </c>
      <c r="P248" s="213">
        <f>IFERROR(__xludf.DUMMYFUNCTION("""COMPUTED_VALUE"""),118.0)</f>
        <v>118</v>
      </c>
      <c r="Q248" s="214">
        <f>IFERROR(__xludf.DUMMYFUNCTION("""COMPUTED_VALUE"""),0.0542)</f>
        <v>0.0542</v>
      </c>
      <c r="R248" s="214">
        <f>IFERROR(__xludf.DUMMYFUNCTION("""COMPUTED_VALUE"""),0.1103)</f>
        <v>0.1103</v>
      </c>
      <c r="S248" s="101">
        <f>IFERROR(__xludf.DUMMYFUNCTION("""COMPUTED_VALUE"""),4.0)</f>
        <v>4</v>
      </c>
      <c r="T248" s="101">
        <f>IFERROR(__xludf.DUMMYFUNCTION("""COMPUTED_VALUE"""),7.0)</f>
        <v>7</v>
      </c>
      <c r="U248" s="213">
        <f>IFERROR(__xludf.DUMMYFUNCTION("""COMPUTED_VALUE"""),7600.0)</f>
        <v>7600</v>
      </c>
      <c r="V248" s="271" t="str">
        <f>IFERROR(__xludf.DUMMYFUNCTION("""COMPUTED_VALUE"""),"online")</f>
        <v>online</v>
      </c>
      <c r="W248" s="98" t="str">
        <f>IFERROR(__xludf.DUMMYFUNCTION("""COMPUTED_VALUE"""),"simple")</f>
        <v>simple</v>
      </c>
      <c r="X248" s="98" t="str">
        <f>IFERROR(__xludf.DUMMYFUNCTION("""COMPUTED_VALUE"""),"Predom Category")</f>
        <v>Predom Category</v>
      </c>
      <c r="Y248" s="98" t="str">
        <f>IFERROR(__xludf.DUMMYFUNCTION("""COMPUTED_VALUE"""),"12-13th march")</f>
        <v>12-13th march</v>
      </c>
      <c r="Z248" s="98" t="str">
        <f>IFERROR(__xludf.DUMMYFUNCTION("""COMPUTED_VALUE"""),"69b2b1df2d0b7d6343f31bc5")</f>
        <v>69b2b1df2d0b7d6343f31bc5</v>
      </c>
      <c r="AA248" s="98">
        <f>IFERROR(__xludf.DUMMYFUNCTION("""COMPUTED_VALUE"""),36.0)</f>
        <v>36</v>
      </c>
      <c r="AB248" s="98">
        <f>IFERROR(__xludf.DUMMYFUNCTION("""COMPUTED_VALUE"""),36.0)</f>
        <v>36</v>
      </c>
      <c r="AC248" s="98"/>
      <c r="AD248" s="98">
        <f>IFERROR(__xludf.DUMMYFUNCTION("""COMPUTED_VALUE"""),89930.0)</f>
        <v>89930</v>
      </c>
      <c r="AE248" s="98">
        <f>IFERROR(__xludf.DUMMYFUNCTION("""COMPUTED_VALUE"""),89930.0)</f>
        <v>89930</v>
      </c>
      <c r="AF248" s="98"/>
      <c r="AG248" s="208"/>
      <c r="AH248" s="208"/>
      <c r="AI248" s="208"/>
      <c r="AJ248" s="208"/>
      <c r="AK248" s="208"/>
    </row>
    <row r="249" hidden="1">
      <c r="A249" s="216">
        <f>IFERROR(__xludf.DUMMYFUNCTION("""COMPUTED_VALUE"""),46093.0)</f>
        <v>46093</v>
      </c>
      <c r="B249" s="210">
        <f>IFERROR(__xludf.DUMMYFUNCTION("""COMPUTED_VALUE"""),0.7708333333321207)</f>
        <v>0.7708333333</v>
      </c>
      <c r="C249" s="210" t="str">
        <f>IFERROR(__xludf.DUMMYFUNCTION("""COMPUTED_VALUE"""),"Whatsapp")</f>
        <v>Whatsapp</v>
      </c>
      <c r="D249" s="210" t="str">
        <f>IFERROR(__xludf.DUMMYFUNCTION("""COMPUTED_VALUE"""),"Promotional")</f>
        <v>Promotional</v>
      </c>
      <c r="E249" s="211" t="str">
        <f>IFERROR(__xludf.DUMMYFUNCTION("""COMPUTED_VALUE"""),"BBW")</f>
        <v>BBW</v>
      </c>
      <c r="F249" s="211" t="str">
        <f>IFERROR(__xludf.DUMMYFUNCTION("""COMPUTED_VALUE"""),"sgTITBI")</f>
        <v>sgTITBI</v>
      </c>
      <c r="G249" s="211" t="str">
        <f>IFERROR(__xludf.DUMMYFUNCTION("""COMPUTED_VALUE"""),"bbw_wa_sgtitbi_12_3_sg_replenish_on")</f>
        <v>bbw_wa_sgtitbi_12_3_sg_replenish_on</v>
      </c>
      <c r="H249" s="211" t="str">
        <f>IFERROR(__xludf.DUMMYFUNCTION("""COMPUTED_VALUE"""),"SG_Replenish_On")</f>
        <v>SG_Replenish_On</v>
      </c>
      <c r="I249" s="223" t="str">
        <f>IFERROR(__xludf.DUMMYFUNCTION("""COMPUTED_VALUE"""),"Online Customers who have purchased in the last 1 year but have not purchased in TTR (106d) from L3: Shower Gel")</f>
        <v>Online Customers who have purchased in the last 1 year but have not purchased in TTR (106d) from L3: Shower Gel</v>
      </c>
      <c r="J249" s="213">
        <f>IFERROR(__xludf.DUMMYFUNCTION("""COMPUTED_VALUE"""),46599.0)</f>
        <v>46599</v>
      </c>
      <c r="K249" s="213">
        <f>IFERROR(__xludf.DUMMYFUNCTION("""COMPUTED_VALUE"""),9503.0)</f>
        <v>9503</v>
      </c>
      <c r="L249" s="214">
        <f>IFERROR(__xludf.DUMMYFUNCTION("""COMPUTED_VALUE"""),0.2039)</f>
        <v>0.2039</v>
      </c>
      <c r="M249" s="213">
        <f>IFERROR(__xludf.DUMMYFUNCTION("""COMPUTED_VALUE"""),4072.0)</f>
        <v>4072</v>
      </c>
      <c r="N249" s="214">
        <f>IFERROR(__xludf.DUMMYFUNCTION("""COMPUTED_VALUE"""),0.4282)</f>
        <v>0.4282</v>
      </c>
      <c r="O249" s="213">
        <f>IFERROR(__xludf.DUMMYFUNCTION("""COMPUTED_VALUE"""),426.0)</f>
        <v>426</v>
      </c>
      <c r="P249" s="213">
        <f>IFERROR(__xludf.DUMMYFUNCTION("""COMPUTED_VALUE"""),379.0)</f>
        <v>379</v>
      </c>
      <c r="Q249" s="214">
        <f>IFERROR(__xludf.DUMMYFUNCTION("""COMPUTED_VALUE"""),0.0399)</f>
        <v>0.0399</v>
      </c>
      <c r="R249" s="214">
        <f>IFERROR(__xludf.DUMMYFUNCTION("""COMPUTED_VALUE"""),0.0931)</f>
        <v>0.0931</v>
      </c>
      <c r="S249" s="101">
        <f>IFERROR(__xludf.DUMMYFUNCTION("""COMPUTED_VALUE"""),4.0)</f>
        <v>4</v>
      </c>
      <c r="T249" s="101">
        <f>IFERROR(__xludf.DUMMYFUNCTION("""COMPUTED_VALUE"""),7.0)</f>
        <v>7</v>
      </c>
      <c r="U249" s="213">
        <f>IFERROR(__xludf.DUMMYFUNCTION("""COMPUTED_VALUE"""),13316.0)</f>
        <v>13316</v>
      </c>
      <c r="V249" s="271" t="str">
        <f>IFERROR(__xludf.DUMMYFUNCTION("""COMPUTED_VALUE"""),"online")</f>
        <v>online</v>
      </c>
      <c r="W249" s="98" t="str">
        <f>IFERROR(__xludf.DUMMYFUNCTION("""COMPUTED_VALUE"""),"simple")</f>
        <v>simple</v>
      </c>
      <c r="X249" s="98" t="str">
        <f>IFERROR(__xludf.DUMMYFUNCTION("""COMPUTED_VALUE"""),"Dormant")</f>
        <v>Dormant</v>
      </c>
      <c r="Y249" s="98" t="str">
        <f>IFERROR(__xludf.DUMMYFUNCTION("""COMPUTED_VALUE"""),"12-13th march")</f>
        <v>12-13th march</v>
      </c>
      <c r="Z249" s="98" t="str">
        <f>IFERROR(__xludf.DUMMYFUNCTION("""COMPUTED_VALUE"""),"69b2b1fc8265b0b9157c2b18")</f>
        <v>69b2b1fc8265b0b9157c2b18</v>
      </c>
      <c r="AA249" s="98">
        <f>IFERROR(__xludf.DUMMYFUNCTION("""COMPUTED_VALUE"""),22.0)</f>
        <v>22</v>
      </c>
      <c r="AB249" s="98">
        <f>IFERROR(__xludf.DUMMYFUNCTION("""COMPUTED_VALUE"""),22.0)</f>
        <v>22</v>
      </c>
      <c r="AC249" s="98"/>
      <c r="AD249" s="98">
        <f>IFERROR(__xludf.DUMMYFUNCTION("""COMPUTED_VALUE"""),66660.0)</f>
        <v>66660</v>
      </c>
      <c r="AE249" s="98">
        <f>IFERROR(__xludf.DUMMYFUNCTION("""COMPUTED_VALUE"""),66660.0)</f>
        <v>66660</v>
      </c>
      <c r="AF249" s="98"/>
      <c r="AG249" s="208"/>
      <c r="AH249" s="208"/>
      <c r="AI249" s="208"/>
      <c r="AJ249" s="208"/>
      <c r="AK249" s="208"/>
    </row>
    <row r="250" hidden="1">
      <c r="A250" s="216">
        <f>IFERROR(__xludf.DUMMYFUNCTION("""COMPUTED_VALUE"""),46093.0)</f>
        <v>46093</v>
      </c>
      <c r="B250" s="210">
        <f>IFERROR(__xludf.DUMMYFUNCTION("""COMPUTED_VALUE"""),0.7708333333321207)</f>
        <v>0.7708333333</v>
      </c>
      <c r="C250" s="210" t="str">
        <f>IFERROR(__xludf.DUMMYFUNCTION("""COMPUTED_VALUE"""),"Whatsapp")</f>
        <v>Whatsapp</v>
      </c>
      <c r="D250" s="210" t="str">
        <f>IFERROR(__xludf.DUMMYFUNCTION("""COMPUTED_VALUE"""),"Promotional")</f>
        <v>Promotional</v>
      </c>
      <c r="E250" s="211" t="str">
        <f>IFERROR(__xludf.DUMMYFUNCTION("""COMPUTED_VALUE"""),"BBW")</f>
        <v>BBW</v>
      </c>
      <c r="F250" s="211" t="str">
        <f>IFERROR(__xludf.DUMMYFUNCTION("""COMPUTED_VALUE"""),"sgTITBI")</f>
        <v>sgTITBI</v>
      </c>
      <c r="G250" s="211" t="str">
        <f>IFERROR(__xludf.DUMMYFUNCTION("""COMPUTED_VALUE"""),"bbw_wa_sgtitbi_12_3_sg_titbi_buyers_on")</f>
        <v>bbw_wa_sgtitbi_12_3_sg_titbi_buyers_on</v>
      </c>
      <c r="H250" s="211" t="str">
        <f>IFERROR(__xludf.DUMMYFUNCTION("""COMPUTED_VALUE"""),"SG_TITBI_Buyers_On")</f>
        <v>SG_TITBI_Buyers_On</v>
      </c>
      <c r="I250" s="223" t="str">
        <f>IFERROR(__xludf.DUMMYFUNCTION("""COMPUTED_VALUE"""),"Online Customers who have purchased in the last SG TITBI offer (March 6-9, 2025 and Sept 4-7, 2025)")</f>
        <v>Online Customers who have purchased in the last SG TITBI offer (March 6-9, 2025 and Sept 4-7, 2025)</v>
      </c>
      <c r="J250" s="213">
        <f>IFERROR(__xludf.DUMMYFUNCTION("""COMPUTED_VALUE"""),962.0)</f>
        <v>962</v>
      </c>
      <c r="K250" s="213">
        <f>IFERROR(__xludf.DUMMYFUNCTION("""COMPUTED_VALUE"""),220.0)</f>
        <v>220</v>
      </c>
      <c r="L250" s="214">
        <f>IFERROR(__xludf.DUMMYFUNCTION("""COMPUTED_VALUE"""),0.2287)</f>
        <v>0.2287</v>
      </c>
      <c r="M250" s="213">
        <f>IFERROR(__xludf.DUMMYFUNCTION("""COMPUTED_VALUE"""),91.0)</f>
        <v>91</v>
      </c>
      <c r="N250" s="214">
        <f>IFERROR(__xludf.DUMMYFUNCTION("""COMPUTED_VALUE"""),0.4136)</f>
        <v>0.4136</v>
      </c>
      <c r="O250" s="213">
        <f>IFERROR(__xludf.DUMMYFUNCTION("""COMPUTED_VALUE"""),14.0)</f>
        <v>14</v>
      </c>
      <c r="P250" s="213">
        <f>IFERROR(__xludf.DUMMYFUNCTION("""COMPUTED_VALUE"""),8.0)</f>
        <v>8</v>
      </c>
      <c r="Q250" s="214">
        <f>IFERROR(__xludf.DUMMYFUNCTION("""COMPUTED_VALUE"""),0.0364)</f>
        <v>0.0364</v>
      </c>
      <c r="R250" s="214">
        <f>IFERROR(__xludf.DUMMYFUNCTION("""COMPUTED_VALUE"""),0.0879)</f>
        <v>0.0879</v>
      </c>
      <c r="S250" s="101">
        <f>IFERROR(__xludf.DUMMYFUNCTION("""COMPUTED_VALUE"""),0.0)</f>
        <v>0</v>
      </c>
      <c r="T250" s="101">
        <f>IFERROR(__xludf.DUMMYFUNCTION("""COMPUTED_VALUE"""),1.0)</f>
        <v>1</v>
      </c>
      <c r="U250" s="213">
        <f>IFERROR(__xludf.DUMMYFUNCTION("""COMPUTED_VALUE"""),0.0)</f>
        <v>0</v>
      </c>
      <c r="V250" s="271" t="str">
        <f>IFERROR(__xludf.DUMMYFUNCTION("""COMPUTED_VALUE"""),"online")</f>
        <v>online</v>
      </c>
      <c r="W250" s="98" t="str">
        <f>IFERROR(__xludf.DUMMYFUNCTION("""COMPUTED_VALUE"""),"simple")</f>
        <v>simple</v>
      </c>
      <c r="X250" s="98" t="str">
        <f>IFERROR(__xludf.DUMMYFUNCTION("""COMPUTED_VALUE"""),"Event Buyers")</f>
        <v>Event Buyers</v>
      </c>
      <c r="Y250" s="98" t="str">
        <f>IFERROR(__xludf.DUMMYFUNCTION("""COMPUTED_VALUE"""),"12-13th march")</f>
        <v>12-13th march</v>
      </c>
      <c r="Z250" s="98" t="str">
        <f>IFERROR(__xludf.DUMMYFUNCTION("""COMPUTED_VALUE"""),"69b2b21bc9434820fcbbf396")</f>
        <v>69b2b21bc9434820fcbbf396</v>
      </c>
      <c r="AA250" s="98">
        <f>IFERROR(__xludf.DUMMYFUNCTION("""COMPUTED_VALUE"""),3.0)</f>
        <v>3</v>
      </c>
      <c r="AB250" s="98">
        <f>IFERROR(__xludf.DUMMYFUNCTION("""COMPUTED_VALUE"""),3.0)</f>
        <v>3</v>
      </c>
      <c r="AC250" s="98"/>
      <c r="AD250" s="98">
        <f>IFERROR(__xludf.DUMMYFUNCTION("""COMPUTED_VALUE"""),6293.0)</f>
        <v>6293</v>
      </c>
      <c r="AE250" s="98">
        <f>IFERROR(__xludf.DUMMYFUNCTION("""COMPUTED_VALUE"""),6293.0)</f>
        <v>6293</v>
      </c>
      <c r="AF250" s="98"/>
      <c r="AG250" s="208"/>
      <c r="AH250" s="208"/>
      <c r="AI250" s="208"/>
      <c r="AJ250" s="208"/>
      <c r="AK250" s="208"/>
    </row>
    <row r="251" hidden="1">
      <c r="A251" s="216">
        <f>IFERROR(__xludf.DUMMYFUNCTION("""COMPUTED_VALUE"""),46093.0)</f>
        <v>46093</v>
      </c>
      <c r="B251" s="210">
        <f>IFERROR(__xludf.DUMMYFUNCTION("""COMPUTED_VALUE"""),0.8125)</f>
        <v>0.8125</v>
      </c>
      <c r="C251" s="210" t="str">
        <f>IFERROR(__xludf.DUMMYFUNCTION("""COMPUTED_VALUE"""),"Sms")</f>
        <v>Sms</v>
      </c>
      <c r="D251" s="210" t="str">
        <f>IFERROR(__xludf.DUMMYFUNCTION("""COMPUTED_VALUE"""),"Fallback Campaign")</f>
        <v>Fallback Campaign</v>
      </c>
      <c r="E251" s="211" t="str">
        <f>IFERROR(__xludf.DUMMYFUNCTION("""COMPUTED_VALUE"""),"BBW")</f>
        <v>BBW</v>
      </c>
      <c r="F251" s="211" t="str">
        <f>IFERROR(__xludf.DUMMYFUNCTION("""COMPUTED_VALUE"""),"sgTITBI")</f>
        <v>sgTITBI</v>
      </c>
      <c r="G251" s="211" t="str">
        <f>IFERROR(__xludf.DUMMYFUNCTION("""COMPUTED_VALUE"""),"bbw_smsfb_sgtitbi_12_3_sg_titbi_buyers_on")</f>
        <v>bbw_smsfb_sgtitbi_12_3_sg_titbi_buyers_on</v>
      </c>
      <c r="H251" s="211" t="str">
        <f>IFERROR(__xludf.DUMMYFUNCTION("""COMPUTED_VALUE"""),"SG_TITBI_Buyers_On")</f>
        <v>SG_TITBI_Buyers_On</v>
      </c>
      <c r="I251" s="223" t="str">
        <f>IFERROR(__xludf.DUMMYFUNCTION("""COMPUTED_VALUE"""),"WA Undelivered")</f>
        <v>WA Undelivered</v>
      </c>
      <c r="J251" s="213">
        <f>IFERROR(__xludf.DUMMYFUNCTION("""COMPUTED_VALUE"""),723.0)</f>
        <v>723</v>
      </c>
      <c r="K251" s="213">
        <f>IFERROR(__xludf.DUMMYFUNCTION("""COMPUTED_VALUE"""),399.0)</f>
        <v>399</v>
      </c>
      <c r="L251" s="214">
        <f>IFERROR(__xludf.DUMMYFUNCTION("""COMPUTED_VALUE"""),0.5519)</f>
        <v>0.5519</v>
      </c>
      <c r="M251" s="213"/>
      <c r="N251" s="214"/>
      <c r="O251" s="213">
        <f>IFERROR(__xludf.DUMMYFUNCTION("""COMPUTED_VALUE"""),0.0)</f>
        <v>0</v>
      </c>
      <c r="P251" s="213"/>
      <c r="Q251" s="214">
        <f>IFERROR(__xludf.DUMMYFUNCTION("""COMPUTED_VALUE"""),0.0)</f>
        <v>0</v>
      </c>
      <c r="R251" s="214"/>
      <c r="S251" s="101">
        <f>IFERROR(__xludf.DUMMYFUNCTION("""COMPUTED_VALUE"""),0.0)</f>
        <v>0</v>
      </c>
      <c r="T251" s="101">
        <f>IFERROR(__xludf.DUMMYFUNCTION("""COMPUTED_VALUE"""),1.0)</f>
        <v>1</v>
      </c>
      <c r="U251" s="213">
        <f>IFERROR(__xludf.DUMMYFUNCTION("""COMPUTED_VALUE"""),0.0)</f>
        <v>0</v>
      </c>
      <c r="V251" s="271" t="str">
        <f>IFERROR(__xludf.DUMMYFUNCTION("""COMPUTED_VALUE"""),"online")</f>
        <v>online</v>
      </c>
      <c r="W251" s="98" t="str">
        <f>IFERROR(__xludf.DUMMYFUNCTION("""COMPUTED_VALUE"""),"SMS")</f>
        <v>SMS</v>
      </c>
      <c r="X251" s="98" t="str">
        <f>IFERROR(__xludf.DUMMYFUNCTION("""COMPUTED_VALUE"""),"Event Buyers")</f>
        <v>Event Buyers</v>
      </c>
      <c r="Y251" s="98" t="str">
        <f>IFERROR(__xludf.DUMMYFUNCTION("""COMPUTED_VALUE"""),"12th march")</f>
        <v>12th march</v>
      </c>
      <c r="Z251" s="98" t="str">
        <f>IFERROR(__xludf.DUMMYFUNCTION("""COMPUTED_VALUE"""),"69b2bb7f5347ef836564d49b")</f>
        <v>69b2bb7f5347ef836564d49b</v>
      </c>
      <c r="AA251" s="98">
        <f>IFERROR(__xludf.DUMMYFUNCTION("""COMPUTED_VALUE"""),0.0)</f>
        <v>0</v>
      </c>
      <c r="AB251" s="98">
        <f>IFERROR(__xludf.DUMMYFUNCTION("""COMPUTED_VALUE"""),0.0)</f>
        <v>0</v>
      </c>
      <c r="AC251" s="98"/>
      <c r="AD251" s="98">
        <f>IFERROR(__xludf.DUMMYFUNCTION("""COMPUTED_VALUE"""),0.0)</f>
        <v>0</v>
      </c>
      <c r="AE251" s="98">
        <f>IFERROR(__xludf.DUMMYFUNCTION("""COMPUTED_VALUE"""),0.0)</f>
        <v>0</v>
      </c>
      <c r="AF251" s="98"/>
      <c r="AG251" s="208"/>
      <c r="AH251" s="208"/>
      <c r="AI251" s="208"/>
      <c r="AJ251" s="208"/>
      <c r="AK251" s="208"/>
    </row>
    <row r="252" hidden="1">
      <c r="A252" s="216">
        <f>IFERROR(__xludf.DUMMYFUNCTION("""COMPUTED_VALUE"""),46093.0)</f>
        <v>46093</v>
      </c>
      <c r="B252" s="210">
        <f>IFERROR(__xludf.DUMMYFUNCTION("""COMPUTED_VALUE"""),0.8125)</f>
        <v>0.8125</v>
      </c>
      <c r="C252" s="210" t="str">
        <f>IFERROR(__xludf.DUMMYFUNCTION("""COMPUTED_VALUE"""),"Sms")</f>
        <v>Sms</v>
      </c>
      <c r="D252" s="210" t="str">
        <f>IFERROR(__xludf.DUMMYFUNCTION("""COMPUTED_VALUE"""),"Fallback Campaign")</f>
        <v>Fallback Campaign</v>
      </c>
      <c r="E252" s="211" t="str">
        <f>IFERROR(__xludf.DUMMYFUNCTION("""COMPUTED_VALUE"""),"BBW")</f>
        <v>BBW</v>
      </c>
      <c r="F252" s="211" t="str">
        <f>IFERROR(__xludf.DUMMYFUNCTION("""COMPUTED_VALUE"""),"sgTITBI")</f>
        <v>sgTITBI</v>
      </c>
      <c r="G252" s="211" t="str">
        <f>IFERROR(__xludf.DUMMYFUNCTION("""COMPUTED_VALUE"""),"bbw_smsfb_sgtitbi_12_3_sg_replenish_on")</f>
        <v>bbw_smsfb_sgtitbi_12_3_sg_replenish_on</v>
      </c>
      <c r="H252" s="211" t="str">
        <f>IFERROR(__xludf.DUMMYFUNCTION("""COMPUTED_VALUE"""),"SG_Replenish_On")</f>
        <v>SG_Replenish_On</v>
      </c>
      <c r="I252" s="223" t="str">
        <f>IFERROR(__xludf.DUMMYFUNCTION("""COMPUTED_VALUE"""),"WA Undelivered")</f>
        <v>WA Undelivered</v>
      </c>
      <c r="J252" s="213">
        <f>IFERROR(__xludf.DUMMYFUNCTION("""COMPUTED_VALUE"""),35719.0)</f>
        <v>35719</v>
      </c>
      <c r="K252" s="213">
        <f>IFERROR(__xludf.DUMMYFUNCTION("""COMPUTED_VALUE"""),20252.0)</f>
        <v>20252</v>
      </c>
      <c r="L252" s="214">
        <f>IFERROR(__xludf.DUMMYFUNCTION("""COMPUTED_VALUE"""),0.567)</f>
        <v>0.567</v>
      </c>
      <c r="M252" s="213"/>
      <c r="N252" s="214"/>
      <c r="O252" s="213">
        <f>IFERROR(__xludf.DUMMYFUNCTION("""COMPUTED_VALUE"""),48.0)</f>
        <v>48</v>
      </c>
      <c r="P252" s="213"/>
      <c r="Q252" s="214">
        <f>IFERROR(__xludf.DUMMYFUNCTION("""COMPUTED_VALUE"""),0.0024)</f>
        <v>0.0024</v>
      </c>
      <c r="R252" s="214"/>
      <c r="S252" s="101">
        <f>IFERROR(__xludf.DUMMYFUNCTION("""COMPUTED_VALUE"""),7.0)</f>
        <v>7</v>
      </c>
      <c r="T252" s="101">
        <f>IFERROR(__xludf.DUMMYFUNCTION("""COMPUTED_VALUE"""),9.0)</f>
        <v>9</v>
      </c>
      <c r="U252" s="213">
        <f>IFERROR(__xludf.DUMMYFUNCTION("""COMPUTED_VALUE"""),26057.0)</f>
        <v>26057</v>
      </c>
      <c r="V252" s="271" t="str">
        <f>IFERROR(__xludf.DUMMYFUNCTION("""COMPUTED_VALUE"""),"online")</f>
        <v>online</v>
      </c>
      <c r="W252" s="98" t="str">
        <f>IFERROR(__xludf.DUMMYFUNCTION("""COMPUTED_VALUE"""),"SMS")</f>
        <v>SMS</v>
      </c>
      <c r="X252" s="98" t="str">
        <f>IFERROR(__xludf.DUMMYFUNCTION("""COMPUTED_VALUE"""),"Dormant")</f>
        <v>Dormant</v>
      </c>
      <c r="Y252" s="98" t="str">
        <f>IFERROR(__xludf.DUMMYFUNCTION("""COMPUTED_VALUE"""),"12th march")</f>
        <v>12th march</v>
      </c>
      <c r="Z252" s="98" t="str">
        <f>IFERROR(__xludf.DUMMYFUNCTION("""COMPUTED_VALUE"""),"69b2bb9414c5f96d1fde46af")</f>
        <v>69b2bb9414c5f96d1fde46af</v>
      </c>
      <c r="AA252" s="98">
        <f>IFERROR(__xludf.DUMMYFUNCTION("""COMPUTED_VALUE"""),12.0)</f>
        <v>12</v>
      </c>
      <c r="AB252" s="98">
        <f>IFERROR(__xludf.DUMMYFUNCTION("""COMPUTED_VALUE"""),12.0)</f>
        <v>12</v>
      </c>
      <c r="AC252" s="98"/>
      <c r="AD252" s="98">
        <f>IFERROR(__xludf.DUMMYFUNCTION("""COMPUTED_VALUE"""),25102.0)</f>
        <v>25102</v>
      </c>
      <c r="AE252" s="98">
        <f>IFERROR(__xludf.DUMMYFUNCTION("""COMPUTED_VALUE"""),25102.0)</f>
        <v>25102</v>
      </c>
      <c r="AF252" s="98"/>
      <c r="AG252" s="208"/>
      <c r="AH252" s="208"/>
      <c r="AI252" s="208"/>
      <c r="AJ252" s="208"/>
      <c r="AK252" s="208"/>
    </row>
    <row r="253" hidden="1">
      <c r="A253" s="216">
        <f>IFERROR(__xludf.DUMMYFUNCTION("""COMPUTED_VALUE"""),46093.0)</f>
        <v>46093</v>
      </c>
      <c r="B253" s="210">
        <f>IFERROR(__xludf.DUMMYFUNCTION("""COMPUTED_VALUE"""),0.8125)</f>
        <v>0.8125</v>
      </c>
      <c r="C253" s="210" t="str">
        <f>IFERROR(__xludf.DUMMYFUNCTION("""COMPUTED_VALUE"""),"Sms")</f>
        <v>Sms</v>
      </c>
      <c r="D253" s="210" t="str">
        <f>IFERROR(__xludf.DUMMYFUNCTION("""COMPUTED_VALUE"""),"Fallback Campaign")</f>
        <v>Fallback Campaign</v>
      </c>
      <c r="E253" s="211" t="str">
        <f>IFERROR(__xludf.DUMMYFUNCTION("""COMPUTED_VALUE"""),"BBW")</f>
        <v>BBW</v>
      </c>
      <c r="F253" s="211" t="str">
        <f>IFERROR(__xludf.DUMMYFUNCTION("""COMPUTED_VALUE"""),"sgTITBI")</f>
        <v>sgTITBI</v>
      </c>
      <c r="G253" s="211" t="str">
        <f>IFERROR(__xludf.DUMMYFUNCTION("""COMPUTED_VALUE"""),"bbw_smsfb_sgtitbi_12_3_predom_sg_6m_on")</f>
        <v>bbw_smsfb_sgtitbi_12_3_predom_sg_6m_on</v>
      </c>
      <c r="H253" s="211" t="str">
        <f>IFERROR(__xludf.DUMMYFUNCTION("""COMPUTED_VALUE"""),"Predom_SG_6M_On")</f>
        <v>Predom_SG_6M_On</v>
      </c>
      <c r="I253" s="223" t="str">
        <f>IFERROR(__xludf.DUMMYFUNCTION("""COMPUTED_VALUE"""),"WA Undelivered")</f>
        <v>WA Undelivered</v>
      </c>
      <c r="J253" s="213">
        <f>IFERROR(__xludf.DUMMYFUNCTION("""COMPUTED_VALUE"""),7693.0)</f>
        <v>7693</v>
      </c>
      <c r="K253" s="213">
        <f>IFERROR(__xludf.DUMMYFUNCTION("""COMPUTED_VALUE"""),4217.0)</f>
        <v>4217</v>
      </c>
      <c r="L253" s="214">
        <f>IFERROR(__xludf.DUMMYFUNCTION("""COMPUTED_VALUE"""),0.5482)</f>
        <v>0.5482</v>
      </c>
      <c r="M253" s="213"/>
      <c r="N253" s="214"/>
      <c r="O253" s="213">
        <f>IFERROR(__xludf.DUMMYFUNCTION("""COMPUTED_VALUE"""),13.0)</f>
        <v>13</v>
      </c>
      <c r="P253" s="213"/>
      <c r="Q253" s="214">
        <f>IFERROR(__xludf.DUMMYFUNCTION("""COMPUTED_VALUE"""),0.0031)</f>
        <v>0.0031</v>
      </c>
      <c r="R253" s="214"/>
      <c r="S253" s="101">
        <f>IFERROR(__xludf.DUMMYFUNCTION("""COMPUTED_VALUE"""),7.0)</f>
        <v>7</v>
      </c>
      <c r="T253" s="101">
        <f>IFERROR(__xludf.DUMMYFUNCTION("""COMPUTED_VALUE"""),6.0)</f>
        <v>6</v>
      </c>
      <c r="U253" s="213">
        <f>IFERROR(__xludf.DUMMYFUNCTION("""COMPUTED_VALUE"""),16361.0)</f>
        <v>16361</v>
      </c>
      <c r="V253" s="271" t="str">
        <f>IFERROR(__xludf.DUMMYFUNCTION("""COMPUTED_VALUE"""),"online")</f>
        <v>online</v>
      </c>
      <c r="W253" s="98" t="str">
        <f>IFERROR(__xludf.DUMMYFUNCTION("""COMPUTED_VALUE"""),"SMS")</f>
        <v>SMS</v>
      </c>
      <c r="X253" s="98" t="str">
        <f>IFERROR(__xludf.DUMMYFUNCTION("""COMPUTED_VALUE"""),"Predom Category")</f>
        <v>Predom Category</v>
      </c>
      <c r="Y253" s="98" t="str">
        <f>IFERROR(__xludf.DUMMYFUNCTION("""COMPUTED_VALUE"""),"12th march")</f>
        <v>12th march</v>
      </c>
      <c r="Z253" s="98" t="str">
        <f>IFERROR(__xludf.DUMMYFUNCTION("""COMPUTED_VALUE"""),"69b2bbbb74c9e462ab64d758")</f>
        <v>69b2bbbb74c9e462ab64d758</v>
      </c>
      <c r="AA253" s="98">
        <f>IFERROR(__xludf.DUMMYFUNCTION("""COMPUTED_VALUE"""),12.0)</f>
        <v>12</v>
      </c>
      <c r="AB253" s="98">
        <f>IFERROR(__xludf.DUMMYFUNCTION("""COMPUTED_VALUE"""),12.0)</f>
        <v>12</v>
      </c>
      <c r="AC253" s="98"/>
      <c r="AD253" s="98">
        <f>IFERROR(__xludf.DUMMYFUNCTION("""COMPUTED_VALUE"""),26071.0)</f>
        <v>26071</v>
      </c>
      <c r="AE253" s="98">
        <f>IFERROR(__xludf.DUMMYFUNCTION("""COMPUTED_VALUE"""),26071.0)</f>
        <v>26071</v>
      </c>
      <c r="AF253" s="98"/>
      <c r="AG253" s="208"/>
      <c r="AH253" s="208"/>
      <c r="AI253" s="208"/>
      <c r="AJ253" s="208"/>
      <c r="AK253" s="208"/>
    </row>
    <row r="254" hidden="1">
      <c r="A254" s="216">
        <f>IFERROR(__xludf.DUMMYFUNCTION("""COMPUTED_VALUE"""),46094.0)</f>
        <v>46094</v>
      </c>
      <c r="B254" s="210">
        <f>IFERROR(__xludf.DUMMYFUNCTION("""COMPUTED_VALUE"""),0.4375)</f>
        <v>0.4375</v>
      </c>
      <c r="C254" s="210" t="str">
        <f>IFERROR(__xludf.DUMMYFUNCTION("""COMPUTED_VALUE"""),"Whatsapp")</f>
        <v>Whatsapp</v>
      </c>
      <c r="D254" s="210" t="str">
        <f>IFERROR(__xludf.DUMMYFUNCTION("""COMPUTED_VALUE"""),"Promotional")</f>
        <v>Promotional</v>
      </c>
      <c r="E254" s="211" t="str">
        <f>IFERROR(__xludf.DUMMYFUNCTION("""COMPUTED_VALUE"""),"BBW")</f>
        <v>BBW</v>
      </c>
      <c r="F254" s="211" t="str">
        <f>IFERROR(__xludf.DUMMYFUNCTION("""COMPUTED_VALUE"""),"sgTITBI")</f>
        <v>sgTITBI</v>
      </c>
      <c r="G254" s="211" t="str">
        <f>IFERROR(__xludf.DUMMYFUNCTION("""COMPUTED_VALUE"""),"bbw_wa_sgtitbi_133_plp_view_sg_90d")</f>
        <v>bbw_wa_sgtitbi_133_plp_view_sg_90d</v>
      </c>
      <c r="H254" s="211" t="str">
        <f>IFERROR(__xludf.DUMMYFUNCTION("""COMPUTED_VALUE"""),"PLP_View_SG_90D")</f>
        <v>PLP_View_SG_90D</v>
      </c>
      <c r="I254" s="223" t="str">
        <f>IFERROR(__xludf.DUMMYFUNCTION("""COMPUTED_VALUE"""),"Online customers who have viewed item in category: Body Wash &amp; Shower Gel at least 2 times in the past 90 days")</f>
        <v>Online customers who have viewed item in category: Body Wash &amp; Shower Gel at least 2 times in the past 90 days</v>
      </c>
      <c r="J254" s="213">
        <f>IFERROR(__xludf.DUMMYFUNCTION("""COMPUTED_VALUE"""),487.0)</f>
        <v>487</v>
      </c>
      <c r="K254" s="213">
        <f>IFERROR(__xludf.DUMMYFUNCTION("""COMPUTED_VALUE"""),179.0)</f>
        <v>179</v>
      </c>
      <c r="L254" s="214">
        <f>IFERROR(__xludf.DUMMYFUNCTION("""COMPUTED_VALUE"""),0.3676)</f>
        <v>0.3676</v>
      </c>
      <c r="M254" s="213">
        <f>IFERROR(__xludf.DUMMYFUNCTION("""COMPUTED_VALUE"""),79.0)</f>
        <v>79</v>
      </c>
      <c r="N254" s="214">
        <f>IFERROR(__xludf.DUMMYFUNCTION("""COMPUTED_VALUE"""),0.4413)</f>
        <v>0.4413</v>
      </c>
      <c r="O254" s="213">
        <f>IFERROR(__xludf.DUMMYFUNCTION("""COMPUTED_VALUE"""),20.0)</f>
        <v>20</v>
      </c>
      <c r="P254" s="213">
        <f>IFERROR(__xludf.DUMMYFUNCTION("""COMPUTED_VALUE"""),18.0)</f>
        <v>18</v>
      </c>
      <c r="Q254" s="214">
        <f>IFERROR(__xludf.DUMMYFUNCTION("""COMPUTED_VALUE"""),0.1006)</f>
        <v>0.1006</v>
      </c>
      <c r="R254" s="214">
        <f>IFERROR(__xludf.DUMMYFUNCTION("""COMPUTED_VALUE"""),0.2278)</f>
        <v>0.2278</v>
      </c>
      <c r="S254" s="101">
        <f>IFERROR(__xludf.DUMMYFUNCTION("""COMPUTED_VALUE"""),2.0)</f>
        <v>2</v>
      </c>
      <c r="T254" s="101">
        <f>IFERROR(__xludf.DUMMYFUNCTION("""COMPUTED_VALUE"""),5.0)</f>
        <v>5</v>
      </c>
      <c r="U254" s="213">
        <f>IFERROR(__xludf.DUMMYFUNCTION("""COMPUTED_VALUE"""),1896.0)</f>
        <v>1896</v>
      </c>
      <c r="V254" s="271" t="str">
        <f>IFERROR(__xludf.DUMMYFUNCTION("""COMPUTED_VALUE"""),"online")</f>
        <v>online</v>
      </c>
      <c r="W254" s="98" t="str">
        <f>IFERROR(__xludf.DUMMYFUNCTION("""COMPUTED_VALUE"""),"simple")</f>
        <v>simple</v>
      </c>
      <c r="X254" s="98" t="str">
        <f>IFERROR(__xludf.DUMMYFUNCTION("""COMPUTED_VALUE"""),"Page View")</f>
        <v>Page View</v>
      </c>
      <c r="Y254" s="98" t="str">
        <f>IFERROR(__xludf.DUMMYFUNCTION("""COMPUTED_VALUE"""),"13-14th march")</f>
        <v>13-14th march</v>
      </c>
      <c r="Z254" s="98" t="str">
        <f>IFERROR(__xludf.DUMMYFUNCTION("""COMPUTED_VALUE"""),"69b2bd1f19ac4278e17635b3")</f>
        <v>69b2bd1f19ac4278e17635b3</v>
      </c>
      <c r="AA254" s="98">
        <f>IFERROR(__xludf.DUMMYFUNCTION("""COMPUTED_VALUE"""),1.0)</f>
        <v>1</v>
      </c>
      <c r="AB254" s="98">
        <f>IFERROR(__xludf.DUMMYFUNCTION("""COMPUTED_VALUE"""),1.0)</f>
        <v>1</v>
      </c>
      <c r="AC254" s="98"/>
      <c r="AD254" s="98">
        <f>IFERROR(__xludf.DUMMYFUNCTION("""COMPUTED_VALUE"""),899.0)</f>
        <v>899</v>
      </c>
      <c r="AE254" s="98">
        <f>IFERROR(__xludf.DUMMYFUNCTION("""COMPUTED_VALUE"""),899.0)</f>
        <v>899</v>
      </c>
      <c r="AF254" s="98"/>
      <c r="AG254" s="208"/>
      <c r="AH254" s="208"/>
      <c r="AI254" s="208"/>
      <c r="AJ254" s="208"/>
      <c r="AK254" s="208"/>
    </row>
    <row r="255" hidden="1">
      <c r="A255" s="216">
        <f>IFERROR(__xludf.DUMMYFUNCTION("""COMPUTED_VALUE"""),46094.0)</f>
        <v>46094</v>
      </c>
      <c r="B255" s="210">
        <f>IFERROR(__xludf.DUMMYFUNCTION("""COMPUTED_VALUE"""),0.4375)</f>
        <v>0.4375</v>
      </c>
      <c r="C255" s="210" t="str">
        <f>IFERROR(__xludf.DUMMYFUNCTION("""COMPUTED_VALUE"""),"Whatsapp")</f>
        <v>Whatsapp</v>
      </c>
      <c r="D255" s="210" t="str">
        <f>IFERROR(__xludf.DUMMYFUNCTION("""COMPUTED_VALUE"""),"Promotional")</f>
        <v>Promotional</v>
      </c>
      <c r="E255" s="211" t="str">
        <f>IFERROR(__xludf.DUMMYFUNCTION("""COMPUTED_VALUE"""),"BBW")</f>
        <v>BBW</v>
      </c>
      <c r="F255" s="211" t="str">
        <f>IFERROR(__xludf.DUMMYFUNCTION("""COMPUTED_VALUE"""),"sgTITBI")</f>
        <v>sgTITBI</v>
      </c>
      <c r="G255" s="211" t="str">
        <f>IFERROR(__xludf.DUMMYFUNCTION("""COMPUTED_VALUE"""),"bbw_wa_sgtitbi_133_sg_repeat_on")</f>
        <v>bbw_wa_sgtitbi_133_sg_repeat_on</v>
      </c>
      <c r="H255" s="211" t="str">
        <f>IFERROR(__xludf.DUMMYFUNCTION("""COMPUTED_VALUE"""),"SG_Repeat_On")</f>
        <v>SG_Repeat_On</v>
      </c>
      <c r="I255" s="223" t="str">
        <f>IFERROR(__xludf.DUMMYFUNCTION("""COMPUTED_VALUE"""),"Online Customers who have purchased from L3 Shower Gel at least 2 times in the last 1095 days")</f>
        <v>Online Customers who have purchased from L3 Shower Gel at least 2 times in the last 1095 days</v>
      </c>
      <c r="J255" s="213">
        <f>IFERROR(__xludf.DUMMYFUNCTION("""COMPUTED_VALUE"""),5573.0)</f>
        <v>5573</v>
      </c>
      <c r="K255" s="213">
        <f>IFERROR(__xludf.DUMMYFUNCTION("""COMPUTED_VALUE"""),1670.0)</f>
        <v>1670</v>
      </c>
      <c r="L255" s="214">
        <f>IFERROR(__xludf.DUMMYFUNCTION("""COMPUTED_VALUE"""),0.2997)</f>
        <v>0.2997</v>
      </c>
      <c r="M255" s="213">
        <f>IFERROR(__xludf.DUMMYFUNCTION("""COMPUTED_VALUE"""),795.0)</f>
        <v>795</v>
      </c>
      <c r="N255" s="214">
        <f>IFERROR(__xludf.DUMMYFUNCTION("""COMPUTED_VALUE"""),0.4763)</f>
        <v>0.4763</v>
      </c>
      <c r="O255" s="213">
        <f>IFERROR(__xludf.DUMMYFUNCTION("""COMPUTED_VALUE"""),127.0)</f>
        <v>127</v>
      </c>
      <c r="P255" s="213">
        <f>IFERROR(__xludf.DUMMYFUNCTION("""COMPUTED_VALUE"""),116.0)</f>
        <v>116</v>
      </c>
      <c r="Q255" s="214">
        <f>IFERROR(__xludf.DUMMYFUNCTION("""COMPUTED_VALUE"""),0.0695)</f>
        <v>0.0695</v>
      </c>
      <c r="R255" s="214">
        <f>IFERROR(__xludf.DUMMYFUNCTION("""COMPUTED_VALUE"""),0.1459)</f>
        <v>0.1459</v>
      </c>
      <c r="S255" s="101">
        <f>IFERROR(__xludf.DUMMYFUNCTION("""COMPUTED_VALUE"""),7.0)</f>
        <v>7</v>
      </c>
      <c r="T255" s="101">
        <f>IFERROR(__xludf.DUMMYFUNCTION("""COMPUTED_VALUE"""),12.0)</f>
        <v>12</v>
      </c>
      <c r="U255" s="213">
        <f>IFERROR(__xludf.DUMMYFUNCTION("""COMPUTED_VALUE"""),22096.0)</f>
        <v>22096</v>
      </c>
      <c r="V255" s="271" t="str">
        <f>IFERROR(__xludf.DUMMYFUNCTION("""COMPUTED_VALUE"""),"online")</f>
        <v>online</v>
      </c>
      <c r="W255" s="98" t="str">
        <f>IFERROR(__xludf.DUMMYFUNCTION("""COMPUTED_VALUE"""),"simple")</f>
        <v>simple</v>
      </c>
      <c r="X255" s="98" t="str">
        <f>IFERROR(__xludf.DUMMYFUNCTION("""COMPUTED_VALUE"""),"Repeat")</f>
        <v>Repeat</v>
      </c>
      <c r="Y255" s="98" t="str">
        <f>IFERROR(__xludf.DUMMYFUNCTION("""COMPUTED_VALUE"""),"13-14th march")</f>
        <v>13-14th march</v>
      </c>
      <c r="Z255" s="98" t="str">
        <f>IFERROR(__xludf.DUMMYFUNCTION("""COMPUTED_VALUE"""),"69b2bd5119ac4278e17635c0")</f>
        <v>69b2bd5119ac4278e17635c0</v>
      </c>
      <c r="AA255" s="98">
        <f>IFERROR(__xludf.DUMMYFUNCTION("""COMPUTED_VALUE"""),45.0)</f>
        <v>45</v>
      </c>
      <c r="AB255" s="98">
        <f>IFERROR(__xludf.DUMMYFUNCTION("""COMPUTED_VALUE"""),45.0)</f>
        <v>45</v>
      </c>
      <c r="AC255" s="98"/>
      <c r="AD255" s="98">
        <f>IFERROR(__xludf.DUMMYFUNCTION("""COMPUTED_VALUE"""),128844.0)</f>
        <v>128844</v>
      </c>
      <c r="AE255" s="98">
        <f>IFERROR(__xludf.DUMMYFUNCTION("""COMPUTED_VALUE"""),128844.0)</f>
        <v>128844</v>
      </c>
      <c r="AF255" s="98"/>
      <c r="AG255" s="208"/>
      <c r="AH255" s="208"/>
      <c r="AI255" s="208"/>
      <c r="AJ255" s="208"/>
      <c r="AK255" s="208"/>
    </row>
    <row r="256" hidden="1">
      <c r="A256" s="216">
        <f>IFERROR(__xludf.DUMMYFUNCTION("""COMPUTED_VALUE"""),46094.0)</f>
        <v>46094</v>
      </c>
      <c r="B256" s="210">
        <f>IFERROR(__xludf.DUMMYFUNCTION("""COMPUTED_VALUE"""),0.4375)</f>
        <v>0.4375</v>
      </c>
      <c r="C256" s="210" t="str">
        <f>IFERROR(__xludf.DUMMYFUNCTION("""COMPUTED_VALUE"""),"Whatsapp")</f>
        <v>Whatsapp</v>
      </c>
      <c r="D256" s="210" t="str">
        <f>IFERROR(__xludf.DUMMYFUNCTION("""COMPUTED_VALUE"""),"Promotional")</f>
        <v>Promotional</v>
      </c>
      <c r="E256" s="211" t="str">
        <f>IFERROR(__xludf.DUMMYFUNCTION("""COMPUTED_VALUE"""),"BBW")</f>
        <v>BBW</v>
      </c>
      <c r="F256" s="211" t="str">
        <f>IFERROR(__xludf.DUMMYFUNCTION("""COMPUTED_VALUE"""),"sgTITBI")</f>
        <v>sgTITBI</v>
      </c>
      <c r="G256" s="211" t="str">
        <f>IFERROR(__xludf.DUMMYFUNCTION("""COMPUTED_VALUE"""),"bbw_wa_sgtitbi_133_sg_disc_32_perc")</f>
        <v>bbw_wa_sgtitbi_133_sg_disc_32_perc</v>
      </c>
      <c r="H256" s="211" t="str">
        <f>IFERROR(__xludf.DUMMYFUNCTION("""COMPUTED_VALUE"""),"SG_Disc_32_Perc")</f>
        <v>SG_Disc_32_Perc</v>
      </c>
      <c r="I256" s="223" t="str">
        <f>IFERROR(__xludf.DUMMYFUNCTION("""COMPUTED_VALUE"""),"Customers who have purchased from L3 Shower Gel at least 2 times in the last 1095 days with min. discount % greater than 32%")</f>
        <v>Customers who have purchased from L3 Shower Gel at least 2 times in the last 1095 days with min. discount % greater than 32%</v>
      </c>
      <c r="J256" s="213">
        <f>IFERROR(__xludf.DUMMYFUNCTION("""COMPUTED_VALUE"""),19291.0)</f>
        <v>19291</v>
      </c>
      <c r="K256" s="213">
        <f>IFERROR(__xludf.DUMMYFUNCTION("""COMPUTED_VALUE"""),5081.0)</f>
        <v>5081</v>
      </c>
      <c r="L256" s="214">
        <f>IFERROR(__xludf.DUMMYFUNCTION("""COMPUTED_VALUE"""),0.2634)</f>
        <v>0.2634</v>
      </c>
      <c r="M256" s="213">
        <f>IFERROR(__xludf.DUMMYFUNCTION("""COMPUTED_VALUE"""),2291.0)</f>
        <v>2291</v>
      </c>
      <c r="N256" s="214">
        <f>IFERROR(__xludf.DUMMYFUNCTION("""COMPUTED_VALUE"""),0.451)</f>
        <v>0.451</v>
      </c>
      <c r="O256" s="213">
        <f>IFERROR(__xludf.DUMMYFUNCTION("""COMPUTED_VALUE"""),285.0)</f>
        <v>285</v>
      </c>
      <c r="P256" s="213">
        <f>IFERROR(__xludf.DUMMYFUNCTION("""COMPUTED_VALUE"""),255.0)</f>
        <v>255</v>
      </c>
      <c r="Q256" s="214">
        <f>IFERROR(__xludf.DUMMYFUNCTION("""COMPUTED_VALUE"""),0.0502)</f>
        <v>0.0502</v>
      </c>
      <c r="R256" s="214">
        <f>IFERROR(__xludf.DUMMYFUNCTION("""COMPUTED_VALUE"""),0.1113)</f>
        <v>0.1113</v>
      </c>
      <c r="S256" s="101">
        <f>IFERROR(__xludf.DUMMYFUNCTION("""COMPUTED_VALUE"""),12.0)</f>
        <v>12</v>
      </c>
      <c r="T256" s="101">
        <f>IFERROR(__xludf.DUMMYFUNCTION("""COMPUTED_VALUE"""),20.0)</f>
        <v>20</v>
      </c>
      <c r="U256" s="213">
        <f>IFERROR(__xludf.DUMMYFUNCTION("""COMPUTED_VALUE"""),45797.0)</f>
        <v>45797</v>
      </c>
      <c r="V256" s="271" t="str">
        <f>IFERROR(__xludf.DUMMYFUNCTION("""COMPUTED_VALUE"""),"online")</f>
        <v>online</v>
      </c>
      <c r="W256" s="98" t="str">
        <f>IFERROR(__xludf.DUMMYFUNCTION("""COMPUTED_VALUE"""),"simple")</f>
        <v>simple</v>
      </c>
      <c r="X256" s="98" t="str">
        <f>IFERROR(__xludf.DUMMYFUNCTION("""COMPUTED_VALUE"""),"Discount")</f>
        <v>Discount</v>
      </c>
      <c r="Y256" s="98" t="str">
        <f>IFERROR(__xludf.DUMMYFUNCTION("""COMPUTED_VALUE"""),"13-14th march")</f>
        <v>13-14th march</v>
      </c>
      <c r="Z256" s="98" t="str">
        <f>IFERROR(__xludf.DUMMYFUNCTION("""COMPUTED_VALUE"""),"69b2bdd981100ad7ee1f689a")</f>
        <v>69b2bdd981100ad7ee1f689a</v>
      </c>
      <c r="AA256" s="98">
        <f>IFERROR(__xludf.DUMMYFUNCTION("""COMPUTED_VALUE"""),52.0)</f>
        <v>52</v>
      </c>
      <c r="AB256" s="98">
        <f>IFERROR(__xludf.DUMMYFUNCTION("""COMPUTED_VALUE"""),52.0)</f>
        <v>52</v>
      </c>
      <c r="AC256" s="98"/>
      <c r="AD256" s="98">
        <f>IFERROR(__xludf.DUMMYFUNCTION("""COMPUTED_VALUE"""),151703.0)</f>
        <v>151703</v>
      </c>
      <c r="AE256" s="98">
        <f>IFERROR(__xludf.DUMMYFUNCTION("""COMPUTED_VALUE"""),151703.0)</f>
        <v>151703</v>
      </c>
      <c r="AF256" s="98"/>
      <c r="AG256" s="208"/>
      <c r="AH256" s="208"/>
      <c r="AI256" s="208"/>
      <c r="AJ256" s="208"/>
      <c r="AK256" s="208"/>
    </row>
    <row r="257" hidden="1">
      <c r="A257" s="216">
        <f>IFERROR(__xludf.DUMMYFUNCTION("""COMPUTED_VALUE"""),46094.0)</f>
        <v>46094</v>
      </c>
      <c r="B257" s="210">
        <f>IFERROR(__xludf.DUMMYFUNCTION("""COMPUTED_VALUE"""),0.4375)</f>
        <v>0.4375</v>
      </c>
      <c r="C257" s="210" t="str">
        <f>IFERROR(__xludf.DUMMYFUNCTION("""COMPUTED_VALUE"""),"Whatsapp")</f>
        <v>Whatsapp</v>
      </c>
      <c r="D257" s="210" t="str">
        <f>IFERROR(__xludf.DUMMYFUNCTION("""COMPUTED_VALUE"""),"Promotional")</f>
        <v>Promotional</v>
      </c>
      <c r="E257" s="211" t="str">
        <f>IFERROR(__xludf.DUMMYFUNCTION("""COMPUTED_VALUE"""),"BBW")</f>
        <v>BBW</v>
      </c>
      <c r="F257" s="211" t="str">
        <f>IFERROR(__xludf.DUMMYFUNCTION("""COMPUTED_VALUE"""),"sgTITBI")</f>
        <v>sgTITBI</v>
      </c>
      <c r="G257" s="211" t="str">
        <f>IFERROR(__xludf.DUMMYFUNCTION("""COMPUTED_VALUE"""),"bbw_wa_sgtitbi_133_sg_upt3_on")</f>
        <v>bbw_wa_sgtitbi_133_sg_upt3_on</v>
      </c>
      <c r="H257" s="211" t="str">
        <f>IFERROR(__xludf.DUMMYFUNCTION("""COMPUTED_VALUE"""),"SG_UPT3_On")</f>
        <v>SG_UPT3_On</v>
      </c>
      <c r="I257" s="223" t="str">
        <f>IFERROR(__xludf.DUMMYFUNCTION("""COMPUTED_VALUE"""),"Online Customers who have purchased from L3 Shower Gel at least 1 time in the last 1095 days with order quantity more than 3")</f>
        <v>Online Customers who have purchased from L3 Shower Gel at least 1 time in the last 1095 days with order quantity more than 3</v>
      </c>
      <c r="J257" s="213">
        <f>IFERROR(__xludf.DUMMYFUNCTION("""COMPUTED_VALUE"""),287.0)</f>
        <v>287</v>
      </c>
      <c r="K257" s="213">
        <f>IFERROR(__xludf.DUMMYFUNCTION("""COMPUTED_VALUE"""),77.0)</f>
        <v>77</v>
      </c>
      <c r="L257" s="214">
        <f>IFERROR(__xludf.DUMMYFUNCTION("""COMPUTED_VALUE"""),0.2683)</f>
        <v>0.2683</v>
      </c>
      <c r="M257" s="213">
        <f>IFERROR(__xludf.DUMMYFUNCTION("""COMPUTED_VALUE"""),32.0)</f>
        <v>32</v>
      </c>
      <c r="N257" s="214">
        <f>IFERROR(__xludf.DUMMYFUNCTION("""COMPUTED_VALUE"""),0.4156)</f>
        <v>0.4156</v>
      </c>
      <c r="O257" s="213">
        <f>IFERROR(__xludf.DUMMYFUNCTION("""COMPUTED_VALUE"""),1.0)</f>
        <v>1</v>
      </c>
      <c r="P257" s="213">
        <f>IFERROR(__xludf.DUMMYFUNCTION("""COMPUTED_VALUE"""),1.0)</f>
        <v>1</v>
      </c>
      <c r="Q257" s="214">
        <f>IFERROR(__xludf.DUMMYFUNCTION("""COMPUTED_VALUE"""),0.013)</f>
        <v>0.013</v>
      </c>
      <c r="R257" s="214">
        <f>IFERROR(__xludf.DUMMYFUNCTION("""COMPUTED_VALUE"""),0.0312)</f>
        <v>0.0312</v>
      </c>
      <c r="S257" s="101">
        <f>IFERROR(__xludf.DUMMYFUNCTION("""COMPUTED_VALUE"""),0.0)</f>
        <v>0</v>
      </c>
      <c r="T257" s="101">
        <f>IFERROR(__xludf.DUMMYFUNCTION("""COMPUTED_VALUE"""),0.0)</f>
        <v>0</v>
      </c>
      <c r="U257" s="213">
        <f>IFERROR(__xludf.DUMMYFUNCTION("""COMPUTED_VALUE"""),0.0)</f>
        <v>0</v>
      </c>
      <c r="V257" s="271" t="str">
        <f>IFERROR(__xludf.DUMMYFUNCTION("""COMPUTED_VALUE"""),"online")</f>
        <v>online</v>
      </c>
      <c r="W257" s="98" t="str">
        <f>IFERROR(__xludf.DUMMYFUNCTION("""COMPUTED_VALUE"""),"simple")</f>
        <v>simple</v>
      </c>
      <c r="X257" s="98" t="str">
        <f>IFERROR(__xludf.DUMMYFUNCTION("""COMPUTED_VALUE"""),"Cart Qty")</f>
        <v>Cart Qty</v>
      </c>
      <c r="Y257" s="98" t="str">
        <f>IFERROR(__xludf.DUMMYFUNCTION("""COMPUTED_VALUE"""),"13-14th march")</f>
        <v>13-14th march</v>
      </c>
      <c r="Z257" s="98" t="str">
        <f>IFERROR(__xludf.DUMMYFUNCTION("""COMPUTED_VALUE"""),"69b2be0360d406caa8fb0666")</f>
        <v>69b2be0360d406caa8fb0666</v>
      </c>
      <c r="AA257" s="98">
        <f>IFERROR(__xludf.DUMMYFUNCTION("""COMPUTED_VALUE"""),0.0)</f>
        <v>0</v>
      </c>
      <c r="AB257" s="98">
        <f>IFERROR(__xludf.DUMMYFUNCTION("""COMPUTED_VALUE"""),0.0)</f>
        <v>0</v>
      </c>
      <c r="AC257" s="98"/>
      <c r="AD257" s="98">
        <f>IFERROR(__xludf.DUMMYFUNCTION("""COMPUTED_VALUE"""),0.0)</f>
        <v>0</v>
      </c>
      <c r="AE257" s="98">
        <f>IFERROR(__xludf.DUMMYFUNCTION("""COMPUTED_VALUE"""),0.0)</f>
        <v>0</v>
      </c>
      <c r="AF257" s="98"/>
      <c r="AG257" s="208"/>
      <c r="AH257" s="208"/>
      <c r="AI257" s="208"/>
      <c r="AJ257" s="208"/>
      <c r="AK257" s="208"/>
    </row>
    <row r="258" hidden="1">
      <c r="A258" s="209">
        <f>IFERROR(__xludf.DUMMYFUNCTION("""COMPUTED_VALUE"""),46094.0)</f>
        <v>46094</v>
      </c>
      <c r="B258" s="210">
        <f>IFERROR(__xludf.DUMMYFUNCTION("""COMPUTED_VALUE"""),0.4375)</f>
        <v>0.4375</v>
      </c>
      <c r="C258" s="211" t="str">
        <f>IFERROR(__xludf.DUMMYFUNCTION("""COMPUTED_VALUE"""),"Whatsapp")</f>
        <v>Whatsapp</v>
      </c>
      <c r="D258" s="211" t="str">
        <f>IFERROR(__xludf.DUMMYFUNCTION("""COMPUTED_VALUE"""),"Promotional")</f>
        <v>Promotional</v>
      </c>
      <c r="E258" s="211" t="str">
        <f>IFERROR(__xludf.DUMMYFUNCTION("""COMPUTED_VALUE"""),"BBW")</f>
        <v>BBW</v>
      </c>
      <c r="F258" s="211" t="str">
        <f>IFERROR(__xludf.DUMMYFUNCTION("""COMPUTED_VALUE"""),"sgTITBI")</f>
        <v>sgTITBI</v>
      </c>
      <c r="G258" s="212" t="str">
        <f>IFERROR(__xludf.DUMMYFUNCTION("""COMPUTED_VALUE"""),"bbw_wa_sgtitbi_133_sg_predom_under1199_on")</f>
        <v>bbw_wa_sgtitbi_133_sg_predom_under1199_on</v>
      </c>
      <c r="H258" s="212" t="str">
        <f>IFERROR(__xludf.DUMMYFUNCTION("""COMPUTED_VALUE"""),"SG_Predom_Under1199_On")</f>
        <v>SG_Predom_Under1199_On</v>
      </c>
      <c r="I258" s="212" t="str">
        <f>IFERROR(__xludf.DUMMYFUNCTION("""COMPUTED_VALUE"""),"Online Customers who have PREDOM purchased from L3 Shower Gel and Order Net Value is less than ₹1,199")</f>
        <v>Online Customers who have PREDOM purchased from L3 Shower Gel and Order Net Value is less than ₹1,199</v>
      </c>
      <c r="J258" s="213">
        <f>IFERROR(__xludf.DUMMYFUNCTION("""COMPUTED_VALUE"""),34115.0)</f>
        <v>34115</v>
      </c>
      <c r="K258" s="213">
        <f>IFERROR(__xludf.DUMMYFUNCTION("""COMPUTED_VALUE"""),10649.0)</f>
        <v>10649</v>
      </c>
      <c r="L258" s="214">
        <f>IFERROR(__xludf.DUMMYFUNCTION("""COMPUTED_VALUE"""),0.3122)</f>
        <v>0.3122</v>
      </c>
      <c r="M258" s="213">
        <f>IFERROR(__xludf.DUMMYFUNCTION("""COMPUTED_VALUE"""),4064.0)</f>
        <v>4064</v>
      </c>
      <c r="N258" s="214">
        <f>IFERROR(__xludf.DUMMYFUNCTION("""COMPUTED_VALUE"""),0.3817)</f>
        <v>0.3817</v>
      </c>
      <c r="O258" s="213">
        <f>IFERROR(__xludf.DUMMYFUNCTION("""COMPUTED_VALUE"""),295.0)</f>
        <v>295</v>
      </c>
      <c r="P258" s="213">
        <f>IFERROR(__xludf.DUMMYFUNCTION("""COMPUTED_VALUE"""),272.0)</f>
        <v>272</v>
      </c>
      <c r="Q258" s="214">
        <f>IFERROR(__xludf.DUMMYFUNCTION("""COMPUTED_VALUE"""),0.0255)</f>
        <v>0.0255</v>
      </c>
      <c r="R258" s="214">
        <f>IFERROR(__xludf.DUMMYFUNCTION("""COMPUTED_VALUE"""),0.0669)</f>
        <v>0.0669</v>
      </c>
      <c r="S258" s="101">
        <f>IFERROR(__xludf.DUMMYFUNCTION("""COMPUTED_VALUE"""),4.0)</f>
        <v>4</v>
      </c>
      <c r="T258" s="101">
        <f>IFERROR(__xludf.DUMMYFUNCTION("""COMPUTED_VALUE"""),10.0)</f>
        <v>10</v>
      </c>
      <c r="U258" s="270">
        <f>IFERROR(__xludf.DUMMYFUNCTION("""COMPUTED_VALUE"""),9038.0)</f>
        <v>9038</v>
      </c>
      <c r="V258" s="271" t="str">
        <f>IFERROR(__xludf.DUMMYFUNCTION("""COMPUTED_VALUE"""),"online")</f>
        <v>online</v>
      </c>
      <c r="W258" s="272" t="str">
        <f>IFERROR(__xludf.DUMMYFUNCTION("""COMPUTED_VALUE"""),"simple")</f>
        <v>simple</v>
      </c>
      <c r="X258" s="272" t="str">
        <f>IFERROR(__xludf.DUMMYFUNCTION("""COMPUTED_VALUE"""),"Predom Category")</f>
        <v>Predom Category</v>
      </c>
      <c r="Y258" s="272" t="str">
        <f>IFERROR(__xludf.DUMMYFUNCTION("""COMPUTED_VALUE"""),"13-14th march")</f>
        <v>13-14th march</v>
      </c>
      <c r="Z258" s="272" t="str">
        <f>IFERROR(__xludf.DUMMYFUNCTION("""COMPUTED_VALUE"""),"69b2be3722980945ad6c58c7")</f>
        <v>69b2be3722980945ad6c58c7</v>
      </c>
      <c r="AA258" s="272">
        <f>IFERROR(__xludf.DUMMYFUNCTION("""COMPUTED_VALUE"""),35.0)</f>
        <v>35</v>
      </c>
      <c r="AB258" s="272">
        <f>IFERROR(__xludf.DUMMYFUNCTION("""COMPUTED_VALUE"""),35.0)</f>
        <v>35</v>
      </c>
      <c r="AC258" s="272"/>
      <c r="AD258" s="272">
        <f>IFERROR(__xludf.DUMMYFUNCTION("""COMPUTED_VALUE"""),92563.0)</f>
        <v>92563</v>
      </c>
      <c r="AE258" s="272">
        <f>IFERROR(__xludf.DUMMYFUNCTION("""COMPUTED_VALUE"""),92563.0)</f>
        <v>92563</v>
      </c>
      <c r="AF258" s="272"/>
      <c r="AG258" s="208"/>
      <c r="AH258" s="208"/>
      <c r="AI258" s="208"/>
      <c r="AJ258" s="208"/>
      <c r="AK258" s="208"/>
    </row>
    <row r="259" hidden="1">
      <c r="A259" s="209">
        <f>IFERROR(__xludf.DUMMYFUNCTION("""COMPUTED_VALUE"""),46094.0)</f>
        <v>46094</v>
      </c>
      <c r="B259" s="210">
        <f>IFERROR(__xludf.DUMMYFUNCTION("""COMPUTED_VALUE"""),0.4375)</f>
        <v>0.4375</v>
      </c>
      <c r="C259" s="211" t="str">
        <f>IFERROR(__xludf.DUMMYFUNCTION("""COMPUTED_VALUE"""),"Whatsapp")</f>
        <v>Whatsapp</v>
      </c>
      <c r="D259" s="211" t="str">
        <f>IFERROR(__xludf.DUMMYFUNCTION("""COMPUTED_VALUE"""),"Promotional")</f>
        <v>Promotional</v>
      </c>
      <c r="E259" s="211" t="str">
        <f>IFERROR(__xludf.DUMMYFUNCTION("""COMPUTED_VALUE"""),"BBW")</f>
        <v>BBW</v>
      </c>
      <c r="F259" s="211" t="str">
        <f>IFERROR(__xludf.DUMMYFUNCTION("""COMPUTED_VALUE"""),"sgTITBI")</f>
        <v>sgTITBI</v>
      </c>
      <c r="G259" s="212" t="str">
        <f>IFERROR(__xludf.DUMMYFUNCTION("""COMPUTED_VALUE"""),"bbw_wa_sgtitbi_133_high_freq_personal_care_on")</f>
        <v>bbw_wa_sgtitbi_133_high_freq_personal_care_on</v>
      </c>
      <c r="H259" s="212" t="str">
        <f>IFERROR(__xludf.DUMMYFUNCTION("""COMPUTED_VALUE"""),"High_Freq_Personal_Care_On")</f>
        <v>High_Freq_Personal_Care_On</v>
      </c>
      <c r="I259" s="212" t="str">
        <f>IFERROR(__xludf.DUMMYFUNCTION("""COMPUTED_VALUE"""),"Online customers who have purchased from L1: Personal Care at least 3 times in the last 180 days")</f>
        <v>Online customers who have purchased from L1: Personal Care at least 3 times in the last 180 days</v>
      </c>
      <c r="J259" s="213">
        <f>IFERROR(__xludf.DUMMYFUNCTION("""COMPUTED_VALUE"""),585.0)</f>
        <v>585</v>
      </c>
      <c r="K259" s="213">
        <f>IFERROR(__xludf.DUMMYFUNCTION("""COMPUTED_VALUE"""),172.0)</f>
        <v>172</v>
      </c>
      <c r="L259" s="214">
        <f>IFERROR(__xludf.DUMMYFUNCTION("""COMPUTED_VALUE"""),0.294)</f>
        <v>0.294</v>
      </c>
      <c r="M259" s="213">
        <f>IFERROR(__xludf.DUMMYFUNCTION("""COMPUTED_VALUE"""),82.0)</f>
        <v>82</v>
      </c>
      <c r="N259" s="214">
        <f>IFERROR(__xludf.DUMMYFUNCTION("""COMPUTED_VALUE"""),0.4767)</f>
        <v>0.4767</v>
      </c>
      <c r="O259" s="213">
        <f>IFERROR(__xludf.DUMMYFUNCTION("""COMPUTED_VALUE"""),8.0)</f>
        <v>8</v>
      </c>
      <c r="P259" s="213">
        <f>IFERROR(__xludf.DUMMYFUNCTION("""COMPUTED_VALUE"""),6.0)</f>
        <v>6</v>
      </c>
      <c r="Q259" s="214">
        <f>IFERROR(__xludf.DUMMYFUNCTION("""COMPUTED_VALUE"""),0.0349)</f>
        <v>0.0349</v>
      </c>
      <c r="R259" s="214">
        <f>IFERROR(__xludf.DUMMYFUNCTION("""COMPUTED_VALUE"""),0.0732)</f>
        <v>0.0732</v>
      </c>
      <c r="S259" s="101">
        <f>IFERROR(__xludf.DUMMYFUNCTION("""COMPUTED_VALUE"""),0.0)</f>
        <v>0</v>
      </c>
      <c r="T259" s="101">
        <f>IFERROR(__xludf.DUMMYFUNCTION("""COMPUTED_VALUE"""),0.0)</f>
        <v>0</v>
      </c>
      <c r="U259" s="270">
        <f>IFERROR(__xludf.DUMMYFUNCTION("""COMPUTED_VALUE"""),0.0)</f>
        <v>0</v>
      </c>
      <c r="V259" s="271" t="str">
        <f>IFERROR(__xludf.DUMMYFUNCTION("""COMPUTED_VALUE"""),"online")</f>
        <v>online</v>
      </c>
      <c r="W259" s="272" t="str">
        <f>IFERROR(__xludf.DUMMYFUNCTION("""COMPUTED_VALUE"""),"simple")</f>
        <v>simple</v>
      </c>
      <c r="X259" s="272" t="str">
        <f>IFERROR(__xludf.DUMMYFUNCTION("""COMPUTED_VALUE"""),"Category Loyalist")</f>
        <v>Category Loyalist</v>
      </c>
      <c r="Y259" s="272" t="str">
        <f>IFERROR(__xludf.DUMMYFUNCTION("""COMPUTED_VALUE"""),"13-14th march")</f>
        <v>13-14th march</v>
      </c>
      <c r="Z259" s="272" t="str">
        <f>IFERROR(__xludf.DUMMYFUNCTION("""COMPUTED_VALUE"""),"69b2be6520b32e8db781dc11")</f>
        <v>69b2be6520b32e8db781dc11</v>
      </c>
      <c r="AA259" s="272">
        <f>IFERROR(__xludf.DUMMYFUNCTION("""COMPUTED_VALUE"""),0.0)</f>
        <v>0</v>
      </c>
      <c r="AB259" s="272">
        <f>IFERROR(__xludf.DUMMYFUNCTION("""COMPUTED_VALUE"""),0.0)</f>
        <v>0</v>
      </c>
      <c r="AC259" s="272"/>
      <c r="AD259" s="272">
        <f>IFERROR(__xludf.DUMMYFUNCTION("""COMPUTED_VALUE"""),0.0)</f>
        <v>0</v>
      </c>
      <c r="AE259" s="272">
        <f>IFERROR(__xludf.DUMMYFUNCTION("""COMPUTED_VALUE"""),0.0)</f>
        <v>0</v>
      </c>
      <c r="AF259" s="272"/>
      <c r="AG259" s="208"/>
      <c r="AH259" s="208"/>
      <c r="AI259" s="208"/>
      <c r="AJ259" s="208"/>
      <c r="AK259" s="208"/>
    </row>
    <row r="260" hidden="1">
      <c r="A260" s="209">
        <f>IFERROR(__xludf.DUMMYFUNCTION("""COMPUTED_VALUE"""),46094.0)</f>
        <v>46094</v>
      </c>
      <c r="B260" s="210">
        <f>IFERROR(__xludf.DUMMYFUNCTION("""COMPUTED_VALUE"""),0.4375)</f>
        <v>0.4375</v>
      </c>
      <c r="C260" s="211" t="str">
        <f>IFERROR(__xludf.DUMMYFUNCTION("""COMPUTED_VALUE"""),"Whatsapp")</f>
        <v>Whatsapp</v>
      </c>
      <c r="D260" s="211" t="str">
        <f>IFERROR(__xludf.DUMMYFUNCTION("""COMPUTED_VALUE"""),"Promotional")</f>
        <v>Promotional</v>
      </c>
      <c r="E260" s="211" t="str">
        <f>IFERROR(__xludf.DUMMYFUNCTION("""COMPUTED_VALUE"""),"BBW")</f>
        <v>BBW</v>
      </c>
      <c r="F260" s="211" t="str">
        <f>IFERROR(__xludf.DUMMYFUNCTION("""COMPUTED_VALUE"""),"sgTITBI")</f>
        <v>sgTITBI</v>
      </c>
      <c r="G260" s="212" t="str">
        <f>IFERROR(__xludf.DUMMYFUNCTION("""COMPUTED_VALUE"""),"bbw_wa_sgtitbi_133_sg_atc_30d")</f>
        <v>bbw_wa_sgtitbi_133_sg_atc_30d</v>
      </c>
      <c r="H260" s="212" t="str">
        <f>IFERROR(__xludf.DUMMYFUNCTION("""COMPUTED_VALUE"""),"SG_ATC_30D")</f>
        <v>SG_ATC_30D</v>
      </c>
      <c r="I260" s="212" t="str">
        <f>IFERROR(__xludf.DUMMYFUNCTION("""COMPUTED_VALUE"""),"Online customers who have added to cart from item category Body Wash &amp; Shower Gel")</f>
        <v>Online customers who have added to cart from item category Body Wash &amp; Shower Gel</v>
      </c>
      <c r="J260" s="213">
        <f>IFERROR(__xludf.DUMMYFUNCTION("""COMPUTED_VALUE"""),216.0)</f>
        <v>216</v>
      </c>
      <c r="K260" s="213">
        <f>IFERROR(__xludf.DUMMYFUNCTION("""COMPUTED_VALUE"""),77.0)</f>
        <v>77</v>
      </c>
      <c r="L260" s="214">
        <f>IFERROR(__xludf.DUMMYFUNCTION("""COMPUTED_VALUE"""),0.3565)</f>
        <v>0.3565</v>
      </c>
      <c r="M260" s="213">
        <f>IFERROR(__xludf.DUMMYFUNCTION("""COMPUTED_VALUE"""),34.0)</f>
        <v>34</v>
      </c>
      <c r="N260" s="214">
        <f>IFERROR(__xludf.DUMMYFUNCTION("""COMPUTED_VALUE"""),0.4416)</f>
        <v>0.4416</v>
      </c>
      <c r="O260" s="213">
        <f>IFERROR(__xludf.DUMMYFUNCTION("""COMPUTED_VALUE"""),5.0)</f>
        <v>5</v>
      </c>
      <c r="P260" s="213">
        <f>IFERROR(__xludf.DUMMYFUNCTION("""COMPUTED_VALUE"""),5.0)</f>
        <v>5</v>
      </c>
      <c r="Q260" s="214">
        <f>IFERROR(__xludf.DUMMYFUNCTION("""COMPUTED_VALUE"""),0.0649)</f>
        <v>0.0649</v>
      </c>
      <c r="R260" s="214">
        <f>IFERROR(__xludf.DUMMYFUNCTION("""COMPUTED_VALUE"""),0.1471)</f>
        <v>0.1471</v>
      </c>
      <c r="S260" s="101">
        <f>IFERROR(__xludf.DUMMYFUNCTION("""COMPUTED_VALUE"""),1.0)</f>
        <v>1</v>
      </c>
      <c r="T260" s="101">
        <f>IFERROR(__xludf.DUMMYFUNCTION("""COMPUTED_VALUE"""),3.0)</f>
        <v>3</v>
      </c>
      <c r="U260" s="270">
        <f>IFERROR(__xludf.DUMMYFUNCTION("""COMPUTED_VALUE"""),2427.0)</f>
        <v>2427</v>
      </c>
      <c r="V260" s="271" t="str">
        <f>IFERROR(__xludf.DUMMYFUNCTION("""COMPUTED_VALUE"""),"online")</f>
        <v>online</v>
      </c>
      <c r="W260" s="272" t="str">
        <f>IFERROR(__xludf.DUMMYFUNCTION("""COMPUTED_VALUE"""),"simple")</f>
        <v>simple</v>
      </c>
      <c r="X260" s="272" t="str">
        <f>IFERROR(__xludf.DUMMYFUNCTION("""COMPUTED_VALUE"""),"Add to Cart")</f>
        <v>Add to Cart</v>
      </c>
      <c r="Y260" s="272" t="str">
        <f>IFERROR(__xludf.DUMMYFUNCTION("""COMPUTED_VALUE"""),"13-14th march")</f>
        <v>13-14th march</v>
      </c>
      <c r="Z260" s="272" t="str">
        <f>IFERROR(__xludf.DUMMYFUNCTION("""COMPUTED_VALUE"""),"69b2be8c72b61018fe23c975")</f>
        <v>69b2be8c72b61018fe23c975</v>
      </c>
      <c r="AA260" s="272">
        <f>IFERROR(__xludf.DUMMYFUNCTION("""COMPUTED_VALUE"""),1.0)</f>
        <v>1</v>
      </c>
      <c r="AB260" s="272">
        <f>IFERROR(__xludf.DUMMYFUNCTION("""COMPUTED_VALUE"""),1.0)</f>
        <v>1</v>
      </c>
      <c r="AC260" s="272"/>
      <c r="AD260" s="272">
        <f>IFERROR(__xludf.DUMMYFUNCTION("""COMPUTED_VALUE"""),2427.0)</f>
        <v>2427</v>
      </c>
      <c r="AE260" s="272">
        <f>IFERROR(__xludf.DUMMYFUNCTION("""COMPUTED_VALUE"""),2427.0)</f>
        <v>2427</v>
      </c>
      <c r="AF260" s="272"/>
      <c r="AG260" s="208"/>
      <c r="AH260" s="208"/>
      <c r="AI260" s="208"/>
      <c r="AJ260" s="208"/>
      <c r="AK260" s="208"/>
    </row>
    <row r="261" hidden="1">
      <c r="A261" s="209">
        <f>IFERROR(__xludf.DUMMYFUNCTION("""COMPUTED_VALUE"""),46094.0)</f>
        <v>46094</v>
      </c>
      <c r="B261" s="210">
        <f>IFERROR(__xludf.DUMMYFUNCTION("""COMPUTED_VALUE"""),0.5208333333321207)</f>
        <v>0.5208333333</v>
      </c>
      <c r="C261" s="211" t="str">
        <f>IFERROR(__xludf.DUMMYFUNCTION("""COMPUTED_VALUE"""),"Sms")</f>
        <v>Sms</v>
      </c>
      <c r="D261" s="211" t="str">
        <f>IFERROR(__xludf.DUMMYFUNCTION("""COMPUTED_VALUE"""),"Fallback Campaign")</f>
        <v>Fallback Campaign</v>
      </c>
      <c r="E261" s="211" t="str">
        <f>IFERROR(__xludf.DUMMYFUNCTION("""COMPUTED_VALUE"""),"BBW")</f>
        <v>BBW</v>
      </c>
      <c r="F261" s="211" t="str">
        <f>IFERROR(__xludf.DUMMYFUNCTION("""COMPUTED_VALUE"""),"sgTITBI")</f>
        <v>sgTITBI</v>
      </c>
      <c r="G261" s="212" t="str">
        <f>IFERROR(__xludf.DUMMYFUNCTION("""COMPUTED_VALUE"""),"bbw_wa_sgtitbi_133_plp_view_sg_90d_fb")</f>
        <v>bbw_wa_sgtitbi_133_plp_view_sg_90d_fb</v>
      </c>
      <c r="H261" s="212" t="str">
        <f>IFERROR(__xludf.DUMMYFUNCTION("""COMPUTED_VALUE"""),"PLP_View_SG_90D")</f>
        <v>PLP_View_SG_90D</v>
      </c>
      <c r="I261" s="212" t="str">
        <f>IFERROR(__xludf.DUMMYFUNCTION("""COMPUTED_VALUE"""),"WA Undelivered")</f>
        <v>WA Undelivered</v>
      </c>
      <c r="J261" s="213">
        <f>IFERROR(__xludf.DUMMYFUNCTION("""COMPUTED_VALUE"""),305.0)</f>
        <v>305</v>
      </c>
      <c r="K261" s="213">
        <f>IFERROR(__xludf.DUMMYFUNCTION("""COMPUTED_VALUE"""),212.0)</f>
        <v>212</v>
      </c>
      <c r="L261" s="214">
        <f>IFERROR(__xludf.DUMMYFUNCTION("""COMPUTED_VALUE"""),0.6951)</f>
        <v>0.6951</v>
      </c>
      <c r="M261" s="213"/>
      <c r="N261" s="214"/>
      <c r="O261" s="213">
        <f>IFERROR(__xludf.DUMMYFUNCTION("""COMPUTED_VALUE"""),0.0)</f>
        <v>0</v>
      </c>
      <c r="P261" s="213"/>
      <c r="Q261" s="214">
        <f>IFERROR(__xludf.DUMMYFUNCTION("""COMPUTED_VALUE"""),0.0)</f>
        <v>0</v>
      </c>
      <c r="R261" s="214"/>
      <c r="S261" s="101">
        <f>IFERROR(__xludf.DUMMYFUNCTION("""COMPUTED_VALUE"""),0.0)</f>
        <v>0</v>
      </c>
      <c r="T261" s="101">
        <f>IFERROR(__xludf.DUMMYFUNCTION("""COMPUTED_VALUE"""),4.0)</f>
        <v>4</v>
      </c>
      <c r="U261" s="270">
        <f>IFERROR(__xludf.DUMMYFUNCTION("""COMPUTED_VALUE"""),0.0)</f>
        <v>0</v>
      </c>
      <c r="V261" s="271" t="str">
        <f>IFERROR(__xludf.DUMMYFUNCTION("""COMPUTED_VALUE"""),"online")</f>
        <v>online</v>
      </c>
      <c r="W261" s="272" t="str">
        <f>IFERROR(__xludf.DUMMYFUNCTION("""COMPUTED_VALUE"""),"SMS")</f>
        <v>SMS</v>
      </c>
      <c r="X261" s="272" t="str">
        <f>IFERROR(__xludf.DUMMYFUNCTION("""COMPUTED_VALUE"""),"Page View")</f>
        <v>Page View</v>
      </c>
      <c r="Y261" s="272" t="str">
        <f>IFERROR(__xludf.DUMMYFUNCTION("""COMPUTED_VALUE"""),"13th march")</f>
        <v>13th march</v>
      </c>
      <c r="Z261" s="272" t="str">
        <f>IFERROR(__xludf.DUMMYFUNCTION("""COMPUTED_VALUE"""),"69b2c0e0c45c051f69ac6374")</f>
        <v>69b2c0e0c45c051f69ac6374</v>
      </c>
      <c r="AA261" s="272">
        <f>IFERROR(__xludf.DUMMYFUNCTION("""COMPUTED_VALUE"""),1.0)</f>
        <v>1</v>
      </c>
      <c r="AB261" s="272">
        <f>IFERROR(__xludf.DUMMYFUNCTION("""COMPUTED_VALUE"""),1.0)</f>
        <v>1</v>
      </c>
      <c r="AC261" s="272"/>
      <c r="AD261" s="272">
        <f>IFERROR(__xludf.DUMMYFUNCTION("""COMPUTED_VALUE"""),2427.0)</f>
        <v>2427</v>
      </c>
      <c r="AE261" s="272">
        <f>IFERROR(__xludf.DUMMYFUNCTION("""COMPUTED_VALUE"""),2427.0)</f>
        <v>2427</v>
      </c>
      <c r="AF261" s="272"/>
      <c r="AG261" s="208"/>
      <c r="AH261" s="208"/>
      <c r="AI261" s="208"/>
      <c r="AJ261" s="208"/>
      <c r="AK261" s="208"/>
    </row>
    <row r="262" hidden="1">
      <c r="A262" s="209">
        <f>IFERROR(__xludf.DUMMYFUNCTION("""COMPUTED_VALUE"""),46094.0)</f>
        <v>46094</v>
      </c>
      <c r="B262" s="210">
        <f>IFERROR(__xludf.DUMMYFUNCTION("""COMPUTED_VALUE"""),0.5208333333321207)</f>
        <v>0.5208333333</v>
      </c>
      <c r="C262" s="211" t="str">
        <f>IFERROR(__xludf.DUMMYFUNCTION("""COMPUTED_VALUE"""),"Sms")</f>
        <v>Sms</v>
      </c>
      <c r="D262" s="211" t="str">
        <f>IFERROR(__xludf.DUMMYFUNCTION("""COMPUTED_VALUE"""),"Fallback Campaign")</f>
        <v>Fallback Campaign</v>
      </c>
      <c r="E262" s="211" t="str">
        <f>IFERROR(__xludf.DUMMYFUNCTION("""COMPUTED_VALUE"""),"BBW")</f>
        <v>BBW</v>
      </c>
      <c r="F262" s="211" t="str">
        <f>IFERROR(__xludf.DUMMYFUNCTION("""COMPUTED_VALUE"""),"sgTITBI")</f>
        <v>sgTITBI</v>
      </c>
      <c r="G262" s="212" t="str">
        <f>IFERROR(__xludf.DUMMYFUNCTION("""COMPUTED_VALUE"""),"bbw_wa_sgtitbi_133_sg_repeat_on_fb")</f>
        <v>bbw_wa_sgtitbi_133_sg_repeat_on_fb</v>
      </c>
      <c r="H262" s="212" t="str">
        <f>IFERROR(__xludf.DUMMYFUNCTION("""COMPUTED_VALUE"""),"SG_Repeat_On")</f>
        <v>SG_Repeat_On</v>
      </c>
      <c r="I262" s="212" t="str">
        <f>IFERROR(__xludf.DUMMYFUNCTION("""COMPUTED_VALUE"""),"WA Undelivered")</f>
        <v>WA Undelivered</v>
      </c>
      <c r="J262" s="213">
        <f>IFERROR(__xludf.DUMMYFUNCTION("""COMPUTED_VALUE"""),3775.0)</f>
        <v>3775</v>
      </c>
      <c r="K262" s="213">
        <f>IFERROR(__xludf.DUMMYFUNCTION("""COMPUTED_VALUE"""),1955.0)</f>
        <v>1955</v>
      </c>
      <c r="L262" s="214">
        <f>IFERROR(__xludf.DUMMYFUNCTION("""COMPUTED_VALUE"""),0.5179)</f>
        <v>0.5179</v>
      </c>
      <c r="M262" s="213"/>
      <c r="N262" s="214"/>
      <c r="O262" s="213">
        <f>IFERROR(__xludf.DUMMYFUNCTION("""COMPUTED_VALUE"""),13.0)</f>
        <v>13</v>
      </c>
      <c r="P262" s="213"/>
      <c r="Q262" s="214">
        <f>IFERROR(__xludf.DUMMYFUNCTION("""COMPUTED_VALUE"""),0.0066)</f>
        <v>0.0066</v>
      </c>
      <c r="R262" s="214"/>
      <c r="S262" s="101">
        <f>IFERROR(__xludf.DUMMYFUNCTION("""COMPUTED_VALUE"""),4.0)</f>
        <v>4</v>
      </c>
      <c r="T262" s="101">
        <f>IFERROR(__xludf.DUMMYFUNCTION("""COMPUTED_VALUE"""),5.0)</f>
        <v>5</v>
      </c>
      <c r="U262" s="270">
        <f>IFERROR(__xludf.DUMMYFUNCTION("""COMPUTED_VALUE"""),7461.0)</f>
        <v>7461</v>
      </c>
      <c r="V262" s="271" t="str">
        <f>IFERROR(__xludf.DUMMYFUNCTION("""COMPUTED_VALUE"""),"online")</f>
        <v>online</v>
      </c>
      <c r="W262" s="272" t="str">
        <f>IFERROR(__xludf.DUMMYFUNCTION("""COMPUTED_VALUE"""),"SMS")</f>
        <v>SMS</v>
      </c>
      <c r="X262" s="272" t="str">
        <f>IFERROR(__xludf.DUMMYFUNCTION("""COMPUTED_VALUE"""),"Repeat")</f>
        <v>Repeat</v>
      </c>
      <c r="Y262" s="272" t="str">
        <f>IFERROR(__xludf.DUMMYFUNCTION("""COMPUTED_VALUE"""),"13th march")</f>
        <v>13th march</v>
      </c>
      <c r="Z262" s="272" t="str">
        <f>IFERROR(__xludf.DUMMYFUNCTION("""COMPUTED_VALUE"""),"69b2c11e3deb5d5ed90bb66b")</f>
        <v>69b2c11e3deb5d5ed90bb66b</v>
      </c>
      <c r="AA262" s="272">
        <f>IFERROR(__xludf.DUMMYFUNCTION("""COMPUTED_VALUE"""),22.0)</f>
        <v>22</v>
      </c>
      <c r="AB262" s="272">
        <f>IFERROR(__xludf.DUMMYFUNCTION("""COMPUTED_VALUE"""),22.0)</f>
        <v>22</v>
      </c>
      <c r="AC262" s="272"/>
      <c r="AD262" s="272">
        <f>IFERROR(__xludf.DUMMYFUNCTION("""COMPUTED_VALUE"""),50140.0)</f>
        <v>50140</v>
      </c>
      <c r="AE262" s="272">
        <f>IFERROR(__xludf.DUMMYFUNCTION("""COMPUTED_VALUE"""),50140.0)</f>
        <v>50140</v>
      </c>
      <c r="AF262" s="272"/>
      <c r="AG262" s="208"/>
      <c r="AH262" s="208"/>
      <c r="AI262" s="208"/>
      <c r="AJ262" s="208"/>
      <c r="AK262" s="208"/>
    </row>
    <row r="263" hidden="1">
      <c r="A263" s="209">
        <f>IFERROR(__xludf.DUMMYFUNCTION("""COMPUTED_VALUE"""),46094.0)</f>
        <v>46094</v>
      </c>
      <c r="B263" s="210">
        <f>IFERROR(__xludf.DUMMYFUNCTION("""COMPUTED_VALUE"""),0.5208333333321207)</f>
        <v>0.5208333333</v>
      </c>
      <c r="C263" s="211" t="str">
        <f>IFERROR(__xludf.DUMMYFUNCTION("""COMPUTED_VALUE"""),"Sms")</f>
        <v>Sms</v>
      </c>
      <c r="D263" s="211" t="str">
        <f>IFERROR(__xludf.DUMMYFUNCTION("""COMPUTED_VALUE"""),"Fallback Campaign")</f>
        <v>Fallback Campaign</v>
      </c>
      <c r="E263" s="211" t="str">
        <f>IFERROR(__xludf.DUMMYFUNCTION("""COMPUTED_VALUE"""),"BBW")</f>
        <v>BBW</v>
      </c>
      <c r="F263" s="211" t="str">
        <f>IFERROR(__xludf.DUMMYFUNCTION("""COMPUTED_VALUE"""),"sgTITBI")</f>
        <v>sgTITBI</v>
      </c>
      <c r="G263" s="212" t="str">
        <f>IFERROR(__xludf.DUMMYFUNCTION("""COMPUTED_VALUE"""),"bbw_wa_sgtitbi_133_high_freq_personal_care_on_fb")</f>
        <v>bbw_wa_sgtitbi_133_high_freq_personal_care_on_fb</v>
      </c>
      <c r="H263" s="212" t="str">
        <f>IFERROR(__xludf.DUMMYFUNCTION("""COMPUTED_VALUE"""),"High_Freq_Personal_Care_On")</f>
        <v>High_Freq_Personal_Care_On</v>
      </c>
      <c r="I263" s="212" t="str">
        <f>IFERROR(__xludf.DUMMYFUNCTION("""COMPUTED_VALUE"""),"WA Undelivered")</f>
        <v>WA Undelivered</v>
      </c>
      <c r="J263" s="213">
        <f>IFERROR(__xludf.DUMMYFUNCTION("""COMPUTED_VALUE"""),400.0)</f>
        <v>400</v>
      </c>
      <c r="K263" s="213">
        <f>IFERROR(__xludf.DUMMYFUNCTION("""COMPUTED_VALUE"""),214.0)</f>
        <v>214</v>
      </c>
      <c r="L263" s="214">
        <f>IFERROR(__xludf.DUMMYFUNCTION("""COMPUTED_VALUE"""),0.535)</f>
        <v>0.535</v>
      </c>
      <c r="M263" s="213"/>
      <c r="N263" s="214"/>
      <c r="O263" s="213">
        <f>IFERROR(__xludf.DUMMYFUNCTION("""COMPUTED_VALUE"""),1.0)</f>
        <v>1</v>
      </c>
      <c r="P263" s="213"/>
      <c r="Q263" s="214">
        <f>IFERROR(__xludf.DUMMYFUNCTION("""COMPUTED_VALUE"""),0.0047)</f>
        <v>0.0047</v>
      </c>
      <c r="R263" s="214"/>
      <c r="S263" s="101">
        <f>IFERROR(__xludf.DUMMYFUNCTION("""COMPUTED_VALUE"""),0.0)</f>
        <v>0</v>
      </c>
      <c r="T263" s="101">
        <f>IFERROR(__xludf.DUMMYFUNCTION("""COMPUTED_VALUE"""),1.0)</f>
        <v>1</v>
      </c>
      <c r="U263" s="270">
        <f>IFERROR(__xludf.DUMMYFUNCTION("""COMPUTED_VALUE"""),0.0)</f>
        <v>0</v>
      </c>
      <c r="V263" s="271" t="str">
        <f>IFERROR(__xludf.DUMMYFUNCTION("""COMPUTED_VALUE"""),"online")</f>
        <v>online</v>
      </c>
      <c r="W263" s="272" t="str">
        <f>IFERROR(__xludf.DUMMYFUNCTION("""COMPUTED_VALUE"""),"SMS")</f>
        <v>SMS</v>
      </c>
      <c r="X263" s="272" t="str">
        <f>IFERROR(__xludf.DUMMYFUNCTION("""COMPUTED_VALUE"""),"Category Loyalist")</f>
        <v>Category Loyalist</v>
      </c>
      <c r="Y263" s="272" t="str">
        <f>IFERROR(__xludf.DUMMYFUNCTION("""COMPUTED_VALUE"""),"13th march")</f>
        <v>13th march</v>
      </c>
      <c r="Z263" s="272" t="str">
        <f>IFERROR(__xludf.DUMMYFUNCTION("""COMPUTED_VALUE"""),"69b2c20e783866d2ac306a4d")</f>
        <v>69b2c20e783866d2ac306a4d</v>
      </c>
      <c r="AA263" s="272">
        <f>IFERROR(__xludf.DUMMYFUNCTION("""COMPUTED_VALUE"""),0.0)</f>
        <v>0</v>
      </c>
      <c r="AB263" s="272">
        <f>IFERROR(__xludf.DUMMYFUNCTION("""COMPUTED_VALUE"""),0.0)</f>
        <v>0</v>
      </c>
      <c r="AC263" s="272"/>
      <c r="AD263" s="272">
        <f>IFERROR(__xludf.DUMMYFUNCTION("""COMPUTED_VALUE"""),0.0)</f>
        <v>0</v>
      </c>
      <c r="AE263" s="272">
        <f>IFERROR(__xludf.DUMMYFUNCTION("""COMPUTED_VALUE"""),0.0)</f>
        <v>0</v>
      </c>
      <c r="AF263" s="272"/>
      <c r="AG263" s="208"/>
      <c r="AH263" s="208"/>
      <c r="AI263" s="208"/>
      <c r="AJ263" s="208"/>
      <c r="AK263" s="208"/>
    </row>
    <row r="264" hidden="1">
      <c r="A264" s="209">
        <f>IFERROR(__xludf.DUMMYFUNCTION("""COMPUTED_VALUE"""),46094.0)</f>
        <v>46094</v>
      </c>
      <c r="B264" s="210">
        <f>IFERROR(__xludf.DUMMYFUNCTION("""COMPUTED_VALUE"""),0.5208333333321207)</f>
        <v>0.5208333333</v>
      </c>
      <c r="C264" s="211" t="str">
        <f>IFERROR(__xludf.DUMMYFUNCTION("""COMPUTED_VALUE"""),"Sms")</f>
        <v>Sms</v>
      </c>
      <c r="D264" s="211" t="str">
        <f>IFERROR(__xludf.DUMMYFUNCTION("""COMPUTED_VALUE"""),"Fallback Campaign")</f>
        <v>Fallback Campaign</v>
      </c>
      <c r="E264" s="211" t="str">
        <f>IFERROR(__xludf.DUMMYFUNCTION("""COMPUTED_VALUE"""),"BBW")</f>
        <v>BBW</v>
      </c>
      <c r="F264" s="211" t="str">
        <f>IFERROR(__xludf.DUMMYFUNCTION("""COMPUTED_VALUE"""),"sgTITBI")</f>
        <v>sgTITBI</v>
      </c>
      <c r="G264" s="212" t="str">
        <f>IFERROR(__xludf.DUMMYFUNCTION("""COMPUTED_VALUE"""),"bbw_wa_sgtitbi_133_sg_atc_30d_fb")</f>
        <v>bbw_wa_sgtitbi_133_sg_atc_30d_fb</v>
      </c>
      <c r="H264" s="212" t="str">
        <f>IFERROR(__xludf.DUMMYFUNCTION("""COMPUTED_VALUE"""),"SG_ATC_30D")</f>
        <v>SG_ATC_30D</v>
      </c>
      <c r="I264" s="212" t="str">
        <f>IFERROR(__xludf.DUMMYFUNCTION("""COMPUTED_VALUE"""),"WA Undelivered")</f>
        <v>WA Undelivered</v>
      </c>
      <c r="J264" s="213">
        <f>IFERROR(__xludf.DUMMYFUNCTION("""COMPUTED_VALUE"""),135.0)</f>
        <v>135</v>
      </c>
      <c r="K264" s="213">
        <f>IFERROR(__xludf.DUMMYFUNCTION("""COMPUTED_VALUE"""),100.0)</f>
        <v>100</v>
      </c>
      <c r="L264" s="214">
        <f>IFERROR(__xludf.DUMMYFUNCTION("""COMPUTED_VALUE"""),0.7407)</f>
        <v>0.7407</v>
      </c>
      <c r="M264" s="213"/>
      <c r="N264" s="214"/>
      <c r="O264" s="213">
        <f>IFERROR(__xludf.DUMMYFUNCTION("""COMPUTED_VALUE"""),2.0)</f>
        <v>2</v>
      </c>
      <c r="P264" s="213"/>
      <c r="Q264" s="214">
        <f>IFERROR(__xludf.DUMMYFUNCTION("""COMPUTED_VALUE"""),0.02)</f>
        <v>0.02</v>
      </c>
      <c r="R264" s="214"/>
      <c r="S264" s="101">
        <f>IFERROR(__xludf.DUMMYFUNCTION("""COMPUTED_VALUE"""),0.0)</f>
        <v>0</v>
      </c>
      <c r="T264" s="101">
        <f>IFERROR(__xludf.DUMMYFUNCTION("""COMPUTED_VALUE"""),1.0)</f>
        <v>1</v>
      </c>
      <c r="U264" s="270">
        <f>IFERROR(__xludf.DUMMYFUNCTION("""COMPUTED_VALUE"""),0.0)</f>
        <v>0</v>
      </c>
      <c r="V264" s="271" t="str">
        <f>IFERROR(__xludf.DUMMYFUNCTION("""COMPUTED_VALUE"""),"online")</f>
        <v>online</v>
      </c>
      <c r="W264" s="272" t="str">
        <f>IFERROR(__xludf.DUMMYFUNCTION("""COMPUTED_VALUE"""),"SMS")</f>
        <v>SMS</v>
      </c>
      <c r="X264" s="272" t="str">
        <f>IFERROR(__xludf.DUMMYFUNCTION("""COMPUTED_VALUE"""),"Add to Cart")</f>
        <v>Add to Cart</v>
      </c>
      <c r="Y264" s="272" t="str">
        <f>IFERROR(__xludf.DUMMYFUNCTION("""COMPUTED_VALUE"""),"13th march")</f>
        <v>13th march</v>
      </c>
      <c r="Z264" s="272" t="str">
        <f>IFERROR(__xludf.DUMMYFUNCTION("""COMPUTED_VALUE"""),"69b2c25eca94956be3673c88")</f>
        <v>69b2c25eca94956be3673c88</v>
      </c>
      <c r="AA264" s="272">
        <f>IFERROR(__xludf.DUMMYFUNCTION("""COMPUTED_VALUE"""),0.0)</f>
        <v>0</v>
      </c>
      <c r="AB264" s="272">
        <f>IFERROR(__xludf.DUMMYFUNCTION("""COMPUTED_VALUE"""),0.0)</f>
        <v>0</v>
      </c>
      <c r="AC264" s="272"/>
      <c r="AD264" s="272">
        <f>IFERROR(__xludf.DUMMYFUNCTION("""COMPUTED_VALUE"""),0.0)</f>
        <v>0</v>
      </c>
      <c r="AE264" s="272">
        <f>IFERROR(__xludf.DUMMYFUNCTION("""COMPUTED_VALUE"""),0.0)</f>
        <v>0</v>
      </c>
      <c r="AF264" s="272"/>
      <c r="AG264" s="208"/>
      <c r="AH264" s="208"/>
      <c r="AI264" s="208"/>
      <c r="AJ264" s="208"/>
      <c r="AK264" s="208"/>
    </row>
    <row r="265" hidden="1">
      <c r="A265" s="209">
        <f>IFERROR(__xludf.DUMMYFUNCTION("""COMPUTED_VALUE"""),46094.0)</f>
        <v>46094</v>
      </c>
      <c r="B265" s="210">
        <f>IFERROR(__xludf.DUMMYFUNCTION("""COMPUTED_VALUE"""),0.5208333333321207)</f>
        <v>0.5208333333</v>
      </c>
      <c r="C265" s="211" t="str">
        <f>IFERROR(__xludf.DUMMYFUNCTION("""COMPUTED_VALUE"""),"Sms")</f>
        <v>Sms</v>
      </c>
      <c r="D265" s="211" t="str">
        <f>IFERROR(__xludf.DUMMYFUNCTION("""COMPUTED_VALUE"""),"Fallback Campaign")</f>
        <v>Fallback Campaign</v>
      </c>
      <c r="E265" s="211" t="str">
        <f>IFERROR(__xludf.DUMMYFUNCTION("""COMPUTED_VALUE"""),"BBW")</f>
        <v>BBW</v>
      </c>
      <c r="F265" s="211" t="str">
        <f>IFERROR(__xludf.DUMMYFUNCTION("""COMPUTED_VALUE"""),"sgTITBI")</f>
        <v>sgTITBI</v>
      </c>
      <c r="G265" s="212" t="str">
        <f>IFERROR(__xludf.DUMMYFUNCTION("""COMPUTED_VALUE"""),"bbw_wa_sgtitbi_133_sg_disc_32_perc_fb_v1")</f>
        <v>bbw_wa_sgtitbi_133_sg_disc_32_perc_fb_v1</v>
      </c>
      <c r="H265" s="212" t="str">
        <f>IFERROR(__xludf.DUMMYFUNCTION("""COMPUTED_VALUE"""),"SG_Disc_32_Perc")</f>
        <v>SG_Disc_32_Perc</v>
      </c>
      <c r="I265" s="212" t="str">
        <f>IFERROR(__xludf.DUMMYFUNCTION("""COMPUTED_VALUE"""),"WA Undelivered")</f>
        <v>WA Undelivered</v>
      </c>
      <c r="J265" s="213">
        <f>IFERROR(__xludf.DUMMYFUNCTION("""COMPUTED_VALUE"""),13753.0)</f>
        <v>13753</v>
      </c>
      <c r="K265" s="213">
        <f>IFERROR(__xludf.DUMMYFUNCTION("""COMPUTED_VALUE"""),7557.0)</f>
        <v>7557</v>
      </c>
      <c r="L265" s="214">
        <f>IFERROR(__xludf.DUMMYFUNCTION("""COMPUTED_VALUE"""),0.5495)</f>
        <v>0.5495</v>
      </c>
      <c r="M265" s="213"/>
      <c r="N265" s="214"/>
      <c r="O265" s="213">
        <f>IFERROR(__xludf.DUMMYFUNCTION("""COMPUTED_VALUE"""),9.0)</f>
        <v>9</v>
      </c>
      <c r="P265" s="213"/>
      <c r="Q265" s="214">
        <f>IFERROR(__xludf.DUMMYFUNCTION("""COMPUTED_VALUE"""),0.0012)</f>
        <v>0.0012</v>
      </c>
      <c r="R265" s="214"/>
      <c r="S265" s="101">
        <f>IFERROR(__xludf.DUMMYFUNCTION("""COMPUTED_VALUE"""),3.0)</f>
        <v>3</v>
      </c>
      <c r="T265" s="101">
        <f>IFERROR(__xludf.DUMMYFUNCTION("""COMPUTED_VALUE"""),4.0)</f>
        <v>4</v>
      </c>
      <c r="U265" s="270">
        <f>IFERROR(__xludf.DUMMYFUNCTION("""COMPUTED_VALUE"""),7461.0)</f>
        <v>7461</v>
      </c>
      <c r="V265" s="271" t="str">
        <f>IFERROR(__xludf.DUMMYFUNCTION("""COMPUTED_VALUE"""),"online")</f>
        <v>online</v>
      </c>
      <c r="W265" s="272" t="str">
        <f>IFERROR(__xludf.DUMMYFUNCTION("""COMPUTED_VALUE"""),"SMS")</f>
        <v>SMS</v>
      </c>
      <c r="X265" s="272" t="str">
        <f>IFERROR(__xludf.DUMMYFUNCTION("""COMPUTED_VALUE"""),"Discount")</f>
        <v>Discount</v>
      </c>
      <c r="Y265" s="272" t="str">
        <f>IFERROR(__xludf.DUMMYFUNCTION("""COMPUTED_VALUE"""),"13th march")</f>
        <v>13th march</v>
      </c>
      <c r="Z265" s="272" t="str">
        <f>IFERROR(__xludf.DUMMYFUNCTION("""COMPUTED_VALUE"""),"69b3a6c84c94cd2af30d2cd8")</f>
        <v>69b3a6c84c94cd2af30d2cd8</v>
      </c>
      <c r="AA265" s="272">
        <f>IFERROR(__xludf.DUMMYFUNCTION("""COMPUTED_VALUE"""),22.0)</f>
        <v>22</v>
      </c>
      <c r="AB265" s="272">
        <f>IFERROR(__xludf.DUMMYFUNCTION("""COMPUTED_VALUE"""),22.0)</f>
        <v>22</v>
      </c>
      <c r="AC265" s="272"/>
      <c r="AD265" s="272">
        <f>IFERROR(__xludf.DUMMYFUNCTION("""COMPUTED_VALUE"""),48994.0)</f>
        <v>48994</v>
      </c>
      <c r="AE265" s="272">
        <f>IFERROR(__xludf.DUMMYFUNCTION("""COMPUTED_VALUE"""),48994.0)</f>
        <v>48994</v>
      </c>
      <c r="AF265" s="272"/>
      <c r="AG265" s="208"/>
      <c r="AH265" s="208"/>
      <c r="AI265" s="208"/>
      <c r="AJ265" s="208"/>
      <c r="AK265" s="208"/>
    </row>
    <row r="266" hidden="1">
      <c r="A266" s="209">
        <f>IFERROR(__xludf.DUMMYFUNCTION("""COMPUTED_VALUE"""),46094.0)</f>
        <v>46094</v>
      </c>
      <c r="B266" s="210">
        <f>IFERROR(__xludf.DUMMYFUNCTION("""COMPUTED_VALUE"""),0.5208333333321207)</f>
        <v>0.5208333333</v>
      </c>
      <c r="C266" s="211" t="str">
        <f>IFERROR(__xludf.DUMMYFUNCTION("""COMPUTED_VALUE"""),"Sms")</f>
        <v>Sms</v>
      </c>
      <c r="D266" s="211" t="str">
        <f>IFERROR(__xludf.DUMMYFUNCTION("""COMPUTED_VALUE"""),"Fallback Campaign")</f>
        <v>Fallback Campaign</v>
      </c>
      <c r="E266" s="211" t="str">
        <f>IFERROR(__xludf.DUMMYFUNCTION("""COMPUTED_VALUE"""),"BBW")</f>
        <v>BBW</v>
      </c>
      <c r="F266" s="211" t="str">
        <f>IFERROR(__xludf.DUMMYFUNCTION("""COMPUTED_VALUE"""),"sgTITBI")</f>
        <v>sgTITBI</v>
      </c>
      <c r="G266" s="212" t="str">
        <f>IFERROR(__xludf.DUMMYFUNCTION("""COMPUTED_VALUE"""),"bbw_wa_sgtitbi_133_sg_predom_under1199_on_fb_v1")</f>
        <v>bbw_wa_sgtitbi_133_sg_predom_under1199_on_fb_v1</v>
      </c>
      <c r="H266" s="212" t="str">
        <f>IFERROR(__xludf.DUMMYFUNCTION("""COMPUTED_VALUE"""),"SG_Predom_Under1199_On")</f>
        <v>SG_Predom_Under1199_On</v>
      </c>
      <c r="I266" s="212" t="str">
        <f>IFERROR(__xludf.DUMMYFUNCTION("""COMPUTED_VALUE"""),"WA Undelivered")</f>
        <v>WA Undelivered</v>
      </c>
      <c r="J266" s="213">
        <f>IFERROR(__xludf.DUMMYFUNCTION("""COMPUTED_VALUE"""),22109.0)</f>
        <v>22109</v>
      </c>
      <c r="K266" s="213">
        <f>IFERROR(__xludf.DUMMYFUNCTION("""COMPUTED_VALUE"""),12391.0)</f>
        <v>12391</v>
      </c>
      <c r="L266" s="214">
        <f>IFERROR(__xludf.DUMMYFUNCTION("""COMPUTED_VALUE"""),0.5605)</f>
        <v>0.5605</v>
      </c>
      <c r="M266" s="213"/>
      <c r="N266" s="214"/>
      <c r="O266" s="213">
        <f>IFERROR(__xludf.DUMMYFUNCTION("""COMPUTED_VALUE"""),25.0)</f>
        <v>25</v>
      </c>
      <c r="P266" s="213"/>
      <c r="Q266" s="214">
        <f>IFERROR(__xludf.DUMMYFUNCTION("""COMPUTED_VALUE"""),0.002)</f>
        <v>0.002</v>
      </c>
      <c r="R266" s="214"/>
      <c r="S266" s="101">
        <f>IFERROR(__xludf.DUMMYFUNCTION("""COMPUTED_VALUE"""),1.0)</f>
        <v>1</v>
      </c>
      <c r="T266" s="101">
        <f>IFERROR(__xludf.DUMMYFUNCTION("""COMPUTED_VALUE"""),2.0)</f>
        <v>2</v>
      </c>
      <c r="U266" s="270">
        <f>IFERROR(__xludf.DUMMYFUNCTION("""COMPUTED_VALUE"""),4675.0)</f>
        <v>4675</v>
      </c>
      <c r="V266" s="271" t="str">
        <f>IFERROR(__xludf.DUMMYFUNCTION("""COMPUTED_VALUE"""),"online")</f>
        <v>online</v>
      </c>
      <c r="W266" s="272" t="str">
        <f>IFERROR(__xludf.DUMMYFUNCTION("""COMPUTED_VALUE"""),"SMS")</f>
        <v>SMS</v>
      </c>
      <c r="X266" s="272" t="str">
        <f>IFERROR(__xludf.DUMMYFUNCTION("""COMPUTED_VALUE"""),"Predom Category")</f>
        <v>Predom Category</v>
      </c>
      <c r="Y266" s="272" t="str">
        <f>IFERROR(__xludf.DUMMYFUNCTION("""COMPUTED_VALUE"""),"13th march")</f>
        <v>13th march</v>
      </c>
      <c r="Z266" s="272" t="str">
        <f>IFERROR(__xludf.DUMMYFUNCTION("""COMPUTED_VALUE"""),"69b3a71a0e9c7d8d081f3ced")</f>
        <v>69b3a71a0e9c7d8d081f3ced</v>
      </c>
      <c r="AA266" s="272">
        <f>IFERROR(__xludf.DUMMYFUNCTION("""COMPUTED_VALUE"""),17.0)</f>
        <v>17</v>
      </c>
      <c r="AB266" s="272">
        <f>IFERROR(__xludf.DUMMYFUNCTION("""COMPUTED_VALUE"""),17.0)</f>
        <v>17</v>
      </c>
      <c r="AC266" s="272"/>
      <c r="AD266" s="272">
        <f>IFERROR(__xludf.DUMMYFUNCTION("""COMPUTED_VALUE"""),49997.0)</f>
        <v>49997</v>
      </c>
      <c r="AE266" s="272">
        <f>IFERROR(__xludf.DUMMYFUNCTION("""COMPUTED_VALUE"""),49997.0)</f>
        <v>49997</v>
      </c>
      <c r="AF266" s="272"/>
      <c r="AG266" s="208"/>
      <c r="AH266" s="208"/>
      <c r="AI266" s="208"/>
      <c r="AJ266" s="208"/>
      <c r="AK266" s="208"/>
    </row>
    <row r="267" hidden="1">
      <c r="A267" s="209">
        <f>IFERROR(__xludf.DUMMYFUNCTION("""COMPUTED_VALUE"""),46094.0)</f>
        <v>46094</v>
      </c>
      <c r="B267" s="210">
        <f>IFERROR(__xludf.DUMMYFUNCTION("""COMPUTED_VALUE"""),0.5208333333321207)</f>
        <v>0.5208333333</v>
      </c>
      <c r="C267" s="211" t="str">
        <f>IFERROR(__xludf.DUMMYFUNCTION("""COMPUTED_VALUE"""),"Sms")</f>
        <v>Sms</v>
      </c>
      <c r="D267" s="211" t="str">
        <f>IFERROR(__xludf.DUMMYFUNCTION("""COMPUTED_VALUE"""),"Fallback Campaign")</f>
        <v>Fallback Campaign</v>
      </c>
      <c r="E267" s="211" t="str">
        <f>IFERROR(__xludf.DUMMYFUNCTION("""COMPUTED_VALUE"""),"BBW")</f>
        <v>BBW</v>
      </c>
      <c r="F267" s="211" t="str">
        <f>IFERROR(__xludf.DUMMYFUNCTION("""COMPUTED_VALUE"""),"sgTITBI")</f>
        <v>sgTITBI</v>
      </c>
      <c r="G267" s="212" t="str">
        <f>IFERROR(__xludf.DUMMYFUNCTION("""COMPUTED_VALUE"""),"bbw_wa_sgtitbi_133_sg_upt3_on_fb_v1")</f>
        <v>bbw_wa_sgtitbi_133_sg_upt3_on_fb_v1</v>
      </c>
      <c r="H267" s="212" t="str">
        <f>IFERROR(__xludf.DUMMYFUNCTION("""COMPUTED_VALUE"""),"SG_UPT3_On")</f>
        <v>SG_UPT3_On</v>
      </c>
      <c r="I267" s="212" t="str">
        <f>IFERROR(__xludf.DUMMYFUNCTION("""COMPUTED_VALUE"""),"WA Undelivered")</f>
        <v>WA Undelivered</v>
      </c>
      <c r="J267" s="213">
        <f>IFERROR(__xludf.DUMMYFUNCTION("""COMPUTED_VALUE"""),203.0)</f>
        <v>203</v>
      </c>
      <c r="K267" s="213">
        <f>IFERROR(__xludf.DUMMYFUNCTION("""COMPUTED_VALUE"""),96.0)</f>
        <v>96</v>
      </c>
      <c r="L267" s="214">
        <f>IFERROR(__xludf.DUMMYFUNCTION("""COMPUTED_VALUE"""),0.4729)</f>
        <v>0.4729</v>
      </c>
      <c r="M267" s="213"/>
      <c r="N267" s="214"/>
      <c r="O267" s="213">
        <f>IFERROR(__xludf.DUMMYFUNCTION("""COMPUTED_VALUE"""),0.0)</f>
        <v>0</v>
      </c>
      <c r="P267" s="213"/>
      <c r="Q267" s="214">
        <f>IFERROR(__xludf.DUMMYFUNCTION("""COMPUTED_VALUE"""),0.0)</f>
        <v>0</v>
      </c>
      <c r="R267" s="214"/>
      <c r="S267" s="101">
        <f>IFERROR(__xludf.DUMMYFUNCTION("""COMPUTED_VALUE"""),0.0)</f>
        <v>0</v>
      </c>
      <c r="T267" s="101">
        <f>IFERROR(__xludf.DUMMYFUNCTION("""COMPUTED_VALUE"""),0.0)</f>
        <v>0</v>
      </c>
      <c r="U267" s="270">
        <f>IFERROR(__xludf.DUMMYFUNCTION("""COMPUTED_VALUE"""),0.0)</f>
        <v>0</v>
      </c>
      <c r="V267" s="271" t="str">
        <f>IFERROR(__xludf.DUMMYFUNCTION("""COMPUTED_VALUE"""),"online")</f>
        <v>online</v>
      </c>
      <c r="W267" s="272" t="str">
        <f>IFERROR(__xludf.DUMMYFUNCTION("""COMPUTED_VALUE"""),"SMS")</f>
        <v>SMS</v>
      </c>
      <c r="X267" s="272" t="str">
        <f>IFERROR(__xludf.DUMMYFUNCTION("""COMPUTED_VALUE"""),"Cart Qty")</f>
        <v>Cart Qty</v>
      </c>
      <c r="Y267" s="272" t="str">
        <f>IFERROR(__xludf.DUMMYFUNCTION("""COMPUTED_VALUE"""),"13th march")</f>
        <v>13th march</v>
      </c>
      <c r="Z267" s="272" t="str">
        <f>IFERROR(__xludf.DUMMYFUNCTION("""COMPUTED_VALUE"""),"69b3a76fcfcaef0abb38491f")</f>
        <v>69b3a76fcfcaef0abb38491f</v>
      </c>
      <c r="AA267" s="272">
        <f>IFERROR(__xludf.DUMMYFUNCTION("""COMPUTED_VALUE"""),0.0)</f>
        <v>0</v>
      </c>
      <c r="AB267" s="272">
        <f>IFERROR(__xludf.DUMMYFUNCTION("""COMPUTED_VALUE"""),0.0)</f>
        <v>0</v>
      </c>
      <c r="AC267" s="272"/>
      <c r="AD267" s="272">
        <f>IFERROR(__xludf.DUMMYFUNCTION("""COMPUTED_VALUE"""),0.0)</f>
        <v>0</v>
      </c>
      <c r="AE267" s="272">
        <f>IFERROR(__xludf.DUMMYFUNCTION("""COMPUTED_VALUE"""),0.0)</f>
        <v>0</v>
      </c>
      <c r="AF267" s="272"/>
      <c r="AG267" s="208"/>
      <c r="AH267" s="208"/>
      <c r="AI267" s="208"/>
      <c r="AJ267" s="208"/>
      <c r="AK267" s="208"/>
    </row>
    <row r="268" hidden="1">
      <c r="A268" s="209">
        <f>IFERROR(__xludf.DUMMYFUNCTION("""COMPUTED_VALUE"""),46096.0)</f>
        <v>46096</v>
      </c>
      <c r="B268" s="210">
        <f>IFERROR(__xludf.DUMMYFUNCTION("""COMPUTED_VALUE"""),0.5)</f>
        <v>0.5</v>
      </c>
      <c r="C268" s="211" t="str">
        <f>IFERROR(__xludf.DUMMYFUNCTION("""COMPUTED_VALUE"""),"Whatsapp")</f>
        <v>Whatsapp</v>
      </c>
      <c r="D268" s="211" t="str">
        <f>IFERROR(__xludf.DUMMYFUNCTION("""COMPUTED_VALUE"""),"Promotional")</f>
        <v>Promotional</v>
      </c>
      <c r="E268" s="211" t="str">
        <f>IFERROR(__xludf.DUMMYFUNCTION("""COMPUTED_VALUE"""),"BBW")</f>
        <v>BBW</v>
      </c>
      <c r="F268" s="211" t="str">
        <f>IFERROR(__xludf.DUMMYFUNCTION("""COMPUTED_VALUE"""),"sgTITBI")</f>
        <v>sgTITBI</v>
      </c>
      <c r="G268" s="212" t="str">
        <f>IFERROR(__xludf.DUMMYFUNCTION("""COMPUTED_VALUE"""),"bbw_wa_sgtitbi_15.3_Predom_SG_6M_On_reminder")</f>
        <v>bbw_wa_sgtitbi_15.3_Predom_SG_6M_On_reminder</v>
      </c>
      <c r="H268" s="212" t="str">
        <f>IFERROR(__xludf.DUMMYFUNCTION("""COMPUTED_VALUE"""),"Predom_SG_6M_On")</f>
        <v>Predom_SG_6M_On</v>
      </c>
      <c r="I268" s="212" t="str">
        <f>IFERROR(__xludf.DUMMYFUNCTION("""COMPUTED_VALUE"""),"Online Customers who have PREDOM purchased from L3 Shower Gel in the last 6 months excluding customers who have purchased in last 14 days and customers who did not read WA Comms on 12th and 13th March")</f>
        <v>Online Customers who have PREDOM purchased from L3 Shower Gel in the last 6 months excluding customers who have purchased in last 14 days and customers who did not read WA Comms on 12th and 13th March</v>
      </c>
      <c r="J268" s="213">
        <f>IFERROR(__xludf.DUMMYFUNCTION("""COMPUTED_VALUE"""),813.0)</f>
        <v>813</v>
      </c>
      <c r="K268" s="213">
        <f>IFERROR(__xludf.DUMMYFUNCTION("""COMPUTED_VALUE"""),524.0)</f>
        <v>524</v>
      </c>
      <c r="L268" s="214">
        <f>IFERROR(__xludf.DUMMYFUNCTION("""COMPUTED_VALUE"""),0.6445)</f>
        <v>0.6445</v>
      </c>
      <c r="M268" s="213">
        <f>IFERROR(__xludf.DUMMYFUNCTION("""COMPUTED_VALUE"""),415.0)</f>
        <v>415</v>
      </c>
      <c r="N268" s="214">
        <f>IFERROR(__xludf.DUMMYFUNCTION("""COMPUTED_VALUE"""),0.792)</f>
        <v>0.792</v>
      </c>
      <c r="O268" s="213">
        <f>IFERROR(__xludf.DUMMYFUNCTION("""COMPUTED_VALUE"""),11.0)</f>
        <v>11</v>
      </c>
      <c r="P268" s="213">
        <f>IFERROR(__xludf.DUMMYFUNCTION("""COMPUTED_VALUE"""),11.0)</f>
        <v>11</v>
      </c>
      <c r="Q268" s="214">
        <f>IFERROR(__xludf.DUMMYFUNCTION("""COMPUTED_VALUE"""),0.021)</f>
        <v>0.021</v>
      </c>
      <c r="R268" s="214">
        <f>IFERROR(__xludf.DUMMYFUNCTION("""COMPUTED_VALUE"""),0.0265)</f>
        <v>0.0265</v>
      </c>
      <c r="S268" s="101">
        <f>IFERROR(__xludf.DUMMYFUNCTION("""COMPUTED_VALUE"""),0.0)</f>
        <v>0</v>
      </c>
      <c r="T268" s="101">
        <f>IFERROR(__xludf.DUMMYFUNCTION("""COMPUTED_VALUE"""),0.0)</f>
        <v>0</v>
      </c>
      <c r="U268" s="270">
        <f>IFERROR(__xludf.DUMMYFUNCTION("""COMPUTED_VALUE"""),0.0)</f>
        <v>0</v>
      </c>
      <c r="V268" s="271" t="str">
        <f>IFERROR(__xludf.DUMMYFUNCTION("""COMPUTED_VALUE"""),"online")</f>
        <v>online</v>
      </c>
      <c r="W268" s="272" t="str">
        <f>IFERROR(__xludf.DUMMYFUNCTION("""COMPUTED_VALUE"""),"simple")</f>
        <v>simple</v>
      </c>
      <c r="X268" s="272" t="str">
        <f>IFERROR(__xludf.DUMMYFUNCTION("""COMPUTED_VALUE"""),"Predom Category")</f>
        <v>Predom Category</v>
      </c>
      <c r="Y268" s="272" t="str">
        <f>IFERROR(__xludf.DUMMYFUNCTION("""COMPUTED_VALUE"""),"15-16th march")</f>
        <v>15-16th march</v>
      </c>
      <c r="Z268" s="272" t="str">
        <f>IFERROR(__xludf.DUMMYFUNCTION("""COMPUTED_VALUE"""),"69b406a9611b3510c52e55cb")</f>
        <v>69b406a9611b3510c52e55cb</v>
      </c>
      <c r="AA268" s="272">
        <f>IFERROR(__xludf.DUMMYFUNCTION("""COMPUTED_VALUE"""),3.0)</f>
        <v>3</v>
      </c>
      <c r="AB268" s="272">
        <f>IFERROR(__xludf.DUMMYFUNCTION("""COMPUTED_VALUE"""),3.0)</f>
        <v>3</v>
      </c>
      <c r="AC268" s="272"/>
      <c r="AD268" s="272">
        <f>IFERROR(__xludf.DUMMYFUNCTION("""COMPUTED_VALUE"""),10487.0)</f>
        <v>10487</v>
      </c>
      <c r="AE268" s="272">
        <f>IFERROR(__xludf.DUMMYFUNCTION("""COMPUTED_VALUE"""),10487.0)</f>
        <v>10487</v>
      </c>
      <c r="AF268" s="272"/>
      <c r="AG268" s="208"/>
      <c r="AH268" s="208"/>
      <c r="AI268" s="208"/>
      <c r="AJ268" s="208"/>
      <c r="AK268" s="208"/>
    </row>
    <row r="269" hidden="1">
      <c r="A269" s="209">
        <f>IFERROR(__xludf.DUMMYFUNCTION("""COMPUTED_VALUE"""),46096.0)</f>
        <v>46096</v>
      </c>
      <c r="B269" s="210">
        <f>IFERROR(__xludf.DUMMYFUNCTION("""COMPUTED_VALUE"""),0.5)</f>
        <v>0.5</v>
      </c>
      <c r="C269" s="211" t="str">
        <f>IFERROR(__xludf.DUMMYFUNCTION("""COMPUTED_VALUE"""),"Whatsapp")</f>
        <v>Whatsapp</v>
      </c>
      <c r="D269" s="211" t="str">
        <f>IFERROR(__xludf.DUMMYFUNCTION("""COMPUTED_VALUE"""),"Promotional")</f>
        <v>Promotional</v>
      </c>
      <c r="E269" s="211" t="str">
        <f>IFERROR(__xludf.DUMMYFUNCTION("""COMPUTED_VALUE"""),"BBW")</f>
        <v>BBW</v>
      </c>
      <c r="F269" s="211" t="str">
        <f>IFERROR(__xludf.DUMMYFUNCTION("""COMPUTED_VALUE"""),"sgTITBI")</f>
        <v>sgTITBI</v>
      </c>
      <c r="G269" s="212" t="str">
        <f>IFERROR(__xludf.DUMMYFUNCTION("""COMPUTED_VALUE"""),"bbw_wa_sgtitbi_15.3_SG_Replenish_On_reminder")</f>
        <v>bbw_wa_sgtitbi_15.3_SG_Replenish_On_reminder</v>
      </c>
      <c r="H269" s="212" t="str">
        <f>IFERROR(__xludf.DUMMYFUNCTION("""COMPUTED_VALUE"""),"SG_Replenish_On")</f>
        <v>SG_Replenish_On</v>
      </c>
      <c r="I269" s="212" t="str">
        <f>IFERROR(__xludf.DUMMYFUNCTION("""COMPUTED_VALUE"""),"Online Customers who have purchased in the last 1 year but have not purchased in TTR (106d) from L3: Shower Gel excluding customers who have purchased in last 14 days and customers who did not read WA Comms on 12th and 13th March")</f>
        <v>Online Customers who have purchased in the last 1 year but have not purchased in TTR (106d) from L3: Shower Gel excluding customers who have purchased in last 14 days and customers who did not read WA Comms on 12th and 13th March</v>
      </c>
      <c r="J269" s="213">
        <f>IFERROR(__xludf.DUMMYFUNCTION("""COMPUTED_VALUE"""),4424.0)</f>
        <v>4424</v>
      </c>
      <c r="K269" s="213">
        <f>IFERROR(__xludf.DUMMYFUNCTION("""COMPUTED_VALUE"""),2765.0)</f>
        <v>2765</v>
      </c>
      <c r="L269" s="214">
        <f>IFERROR(__xludf.DUMMYFUNCTION("""COMPUTED_VALUE"""),0.625)</f>
        <v>0.625</v>
      </c>
      <c r="M269" s="213">
        <f>IFERROR(__xludf.DUMMYFUNCTION("""COMPUTED_VALUE"""),2133.0)</f>
        <v>2133</v>
      </c>
      <c r="N269" s="214">
        <f>IFERROR(__xludf.DUMMYFUNCTION("""COMPUTED_VALUE"""),0.7717)</f>
        <v>0.7717</v>
      </c>
      <c r="O269" s="213">
        <f>IFERROR(__xludf.DUMMYFUNCTION("""COMPUTED_VALUE"""),87.0)</f>
        <v>87</v>
      </c>
      <c r="P269" s="213">
        <f>IFERROR(__xludf.DUMMYFUNCTION("""COMPUTED_VALUE"""),75.0)</f>
        <v>75</v>
      </c>
      <c r="Q269" s="214">
        <f>IFERROR(__xludf.DUMMYFUNCTION("""COMPUTED_VALUE"""),0.0271)</f>
        <v>0.0271</v>
      </c>
      <c r="R269" s="214">
        <f>IFERROR(__xludf.DUMMYFUNCTION("""COMPUTED_VALUE"""),0.0352)</f>
        <v>0.0352</v>
      </c>
      <c r="S269" s="101">
        <f>IFERROR(__xludf.DUMMYFUNCTION("""COMPUTED_VALUE"""),2.0)</f>
        <v>2</v>
      </c>
      <c r="T269" s="101">
        <f>IFERROR(__xludf.DUMMYFUNCTION("""COMPUTED_VALUE"""),2.0)</f>
        <v>2</v>
      </c>
      <c r="U269" s="270">
        <f>IFERROR(__xludf.DUMMYFUNCTION("""COMPUTED_VALUE"""),4839.0)</f>
        <v>4839</v>
      </c>
      <c r="V269" s="271" t="str">
        <f>IFERROR(__xludf.DUMMYFUNCTION("""COMPUTED_VALUE"""),"online")</f>
        <v>online</v>
      </c>
      <c r="W269" s="272" t="str">
        <f>IFERROR(__xludf.DUMMYFUNCTION("""COMPUTED_VALUE"""),"simple")</f>
        <v>simple</v>
      </c>
      <c r="X269" s="272" t="str">
        <f>IFERROR(__xludf.DUMMYFUNCTION("""COMPUTED_VALUE"""),"Dormant")</f>
        <v>Dormant</v>
      </c>
      <c r="Y269" s="272" t="str">
        <f>IFERROR(__xludf.DUMMYFUNCTION("""COMPUTED_VALUE"""),"15-16th march")</f>
        <v>15-16th march</v>
      </c>
      <c r="Z269" s="272" t="str">
        <f>IFERROR(__xludf.DUMMYFUNCTION("""COMPUTED_VALUE"""),"69b406f231978260bee40457")</f>
        <v>69b406f231978260bee40457</v>
      </c>
      <c r="AA269" s="272">
        <f>IFERROR(__xludf.DUMMYFUNCTION("""COMPUTED_VALUE"""),6.0)</f>
        <v>6</v>
      </c>
      <c r="AB269" s="272">
        <f>IFERROR(__xludf.DUMMYFUNCTION("""COMPUTED_VALUE"""),6.0)</f>
        <v>6</v>
      </c>
      <c r="AC269" s="272"/>
      <c r="AD269" s="272">
        <f>IFERROR(__xludf.DUMMYFUNCTION("""COMPUTED_VALUE"""),14444.0)</f>
        <v>14444</v>
      </c>
      <c r="AE269" s="272">
        <f>IFERROR(__xludf.DUMMYFUNCTION("""COMPUTED_VALUE"""),14444.0)</f>
        <v>14444</v>
      </c>
      <c r="AF269" s="272"/>
      <c r="AG269" s="208"/>
      <c r="AH269" s="208"/>
      <c r="AI269" s="208"/>
      <c r="AJ269" s="208"/>
      <c r="AK269" s="208"/>
    </row>
    <row r="270" hidden="1">
      <c r="A270" s="209">
        <f>IFERROR(__xludf.DUMMYFUNCTION("""COMPUTED_VALUE"""),46096.0)</f>
        <v>46096</v>
      </c>
      <c r="B270" s="210">
        <f>IFERROR(__xludf.DUMMYFUNCTION("""COMPUTED_VALUE"""),0.5)</f>
        <v>0.5</v>
      </c>
      <c r="C270" s="211" t="str">
        <f>IFERROR(__xludf.DUMMYFUNCTION("""COMPUTED_VALUE"""),"Whatsapp")</f>
        <v>Whatsapp</v>
      </c>
      <c r="D270" s="211" t="str">
        <f>IFERROR(__xludf.DUMMYFUNCTION("""COMPUTED_VALUE"""),"Promotional")</f>
        <v>Promotional</v>
      </c>
      <c r="E270" s="211" t="str">
        <f>IFERROR(__xludf.DUMMYFUNCTION("""COMPUTED_VALUE"""),"BBW")</f>
        <v>BBW</v>
      </c>
      <c r="F270" s="211" t="str">
        <f>IFERROR(__xludf.DUMMYFUNCTION("""COMPUTED_VALUE"""),"sgTITBI")</f>
        <v>sgTITBI</v>
      </c>
      <c r="G270" s="212" t="str">
        <f>IFERROR(__xludf.DUMMYFUNCTION("""COMPUTED_VALUE"""),"bbw_wa_sgtitbi_15.3_PLP_View_SG_90D_reminder")</f>
        <v>bbw_wa_sgtitbi_15.3_PLP_View_SG_90D_reminder</v>
      </c>
      <c r="H270" s="212" t="str">
        <f>IFERROR(__xludf.DUMMYFUNCTION("""COMPUTED_VALUE"""),"PLP_View_SG_90D")</f>
        <v>PLP_View_SG_90D</v>
      </c>
      <c r="I270" s="212" t="str">
        <f>IFERROR(__xludf.DUMMYFUNCTION("""COMPUTED_VALUE"""),"Online customers who have viewed item in category: Body Wash &amp; Shower Gel at least 2 times in the past 90 days excluding customers who have purchased in last 14 days and customers who did not read WA Comms on 12th and 13th March")</f>
        <v>Online customers who have viewed item in category: Body Wash &amp; Shower Gel at least 2 times in the past 90 days excluding customers who have purchased in last 14 days and customers who did not read WA Comms on 12th and 13th March</v>
      </c>
      <c r="J270" s="213">
        <f>IFERROR(__xludf.DUMMYFUNCTION("""COMPUTED_VALUE"""),115.0)</f>
        <v>115</v>
      </c>
      <c r="K270" s="213">
        <f>IFERROR(__xludf.DUMMYFUNCTION("""COMPUTED_VALUE"""),79.0)</f>
        <v>79</v>
      </c>
      <c r="L270" s="214">
        <f>IFERROR(__xludf.DUMMYFUNCTION("""COMPUTED_VALUE"""),0.687)</f>
        <v>0.687</v>
      </c>
      <c r="M270" s="213">
        <f>IFERROR(__xludf.DUMMYFUNCTION("""COMPUTED_VALUE"""),56.0)</f>
        <v>56</v>
      </c>
      <c r="N270" s="214">
        <f>IFERROR(__xludf.DUMMYFUNCTION("""COMPUTED_VALUE"""),0.7089)</f>
        <v>0.7089</v>
      </c>
      <c r="O270" s="213">
        <f>IFERROR(__xludf.DUMMYFUNCTION("""COMPUTED_VALUE"""),5.0)</f>
        <v>5</v>
      </c>
      <c r="P270" s="213">
        <f>IFERROR(__xludf.DUMMYFUNCTION("""COMPUTED_VALUE"""),5.0)</f>
        <v>5</v>
      </c>
      <c r="Q270" s="214">
        <f>IFERROR(__xludf.DUMMYFUNCTION("""COMPUTED_VALUE"""),0.0633)</f>
        <v>0.0633</v>
      </c>
      <c r="R270" s="214">
        <f>IFERROR(__xludf.DUMMYFUNCTION("""COMPUTED_VALUE"""),0.0893)</f>
        <v>0.0893</v>
      </c>
      <c r="S270" s="101">
        <f>IFERROR(__xludf.DUMMYFUNCTION("""COMPUTED_VALUE"""),1.0)</f>
        <v>1</v>
      </c>
      <c r="T270" s="101">
        <f>IFERROR(__xludf.DUMMYFUNCTION("""COMPUTED_VALUE"""),1.0)</f>
        <v>1</v>
      </c>
      <c r="U270" s="270">
        <f>IFERROR(__xludf.DUMMYFUNCTION("""COMPUTED_VALUE"""),948.0)</f>
        <v>948</v>
      </c>
      <c r="V270" s="271" t="str">
        <f>IFERROR(__xludf.DUMMYFUNCTION("""COMPUTED_VALUE"""),"online")</f>
        <v>online</v>
      </c>
      <c r="W270" s="272" t="str">
        <f>IFERROR(__xludf.DUMMYFUNCTION("""COMPUTED_VALUE"""),"simple")</f>
        <v>simple</v>
      </c>
      <c r="X270" s="272" t="str">
        <f>IFERROR(__xludf.DUMMYFUNCTION("""COMPUTED_VALUE"""),"Page View")</f>
        <v>Page View</v>
      </c>
      <c r="Y270" s="272" t="str">
        <f>IFERROR(__xludf.DUMMYFUNCTION("""COMPUTED_VALUE"""),"15-16th march")</f>
        <v>15-16th march</v>
      </c>
      <c r="Z270" s="272" t="str">
        <f>IFERROR(__xludf.DUMMYFUNCTION("""COMPUTED_VALUE"""),"69b407f5c2de2c0e024b0846")</f>
        <v>69b407f5c2de2c0e024b0846</v>
      </c>
      <c r="AA270" s="272">
        <f>IFERROR(__xludf.DUMMYFUNCTION("""COMPUTED_VALUE"""),2.0)</f>
        <v>2</v>
      </c>
      <c r="AB270" s="272">
        <f>IFERROR(__xludf.DUMMYFUNCTION("""COMPUTED_VALUE"""),2.0)</f>
        <v>2</v>
      </c>
      <c r="AC270" s="272"/>
      <c r="AD270" s="272">
        <f>IFERROR(__xludf.DUMMYFUNCTION("""COMPUTED_VALUE"""),2697.0)</f>
        <v>2697</v>
      </c>
      <c r="AE270" s="272">
        <f>IFERROR(__xludf.DUMMYFUNCTION("""COMPUTED_VALUE"""),2697.0)</f>
        <v>2697</v>
      </c>
      <c r="AF270" s="272"/>
      <c r="AG270" s="208"/>
      <c r="AH270" s="208"/>
      <c r="AI270" s="208"/>
      <c r="AJ270" s="208"/>
      <c r="AK270" s="208"/>
    </row>
    <row r="271" hidden="1">
      <c r="A271" s="209">
        <f>IFERROR(__xludf.DUMMYFUNCTION("""COMPUTED_VALUE"""),46096.0)</f>
        <v>46096</v>
      </c>
      <c r="B271" s="210">
        <f>IFERROR(__xludf.DUMMYFUNCTION("""COMPUTED_VALUE"""),0.5)</f>
        <v>0.5</v>
      </c>
      <c r="C271" s="211" t="str">
        <f>IFERROR(__xludf.DUMMYFUNCTION("""COMPUTED_VALUE"""),"Whatsapp")</f>
        <v>Whatsapp</v>
      </c>
      <c r="D271" s="211" t="str">
        <f>IFERROR(__xludf.DUMMYFUNCTION("""COMPUTED_VALUE"""),"Promotional")</f>
        <v>Promotional</v>
      </c>
      <c r="E271" s="211" t="str">
        <f>IFERROR(__xludf.DUMMYFUNCTION("""COMPUTED_VALUE"""),"BBW")</f>
        <v>BBW</v>
      </c>
      <c r="F271" s="211" t="str">
        <f>IFERROR(__xludf.DUMMYFUNCTION("""COMPUTED_VALUE"""),"sgTITBI")</f>
        <v>sgTITBI</v>
      </c>
      <c r="G271" s="212" t="str">
        <f>IFERROR(__xludf.DUMMYFUNCTION("""COMPUTED_VALUE"""),"bbw_wa_sgtitbi_15.3_SG_ATC_30D_reminder")</f>
        <v>bbw_wa_sgtitbi_15.3_SG_ATC_30D_reminder</v>
      </c>
      <c r="H271" s="212" t="str">
        <f>IFERROR(__xludf.DUMMYFUNCTION("""COMPUTED_VALUE"""),"SG_ATC_30D")</f>
        <v>SG_ATC_30D</v>
      </c>
      <c r="I271" s="212" t="str">
        <f>IFERROR(__xludf.DUMMYFUNCTION("""COMPUTED_VALUE"""),"Online customers who have added to cart from item category Body Wash &amp; Shower Gel excluding customers who have purchased in last 14 days and customers who did not read WA Comms on 12th and 13th March")</f>
        <v>Online customers who have added to cart from item category Body Wash &amp; Shower Gel excluding customers who have purchased in last 14 days and customers who did not read WA Comms on 12th and 13th March</v>
      </c>
      <c r="J271" s="213">
        <f>IFERROR(__xludf.DUMMYFUNCTION("""COMPUTED_VALUE"""),46.0)</f>
        <v>46</v>
      </c>
      <c r="K271" s="213">
        <f>IFERROR(__xludf.DUMMYFUNCTION("""COMPUTED_VALUE"""),35.0)</f>
        <v>35</v>
      </c>
      <c r="L271" s="214">
        <f>IFERROR(__xludf.DUMMYFUNCTION("""COMPUTED_VALUE"""),0.7609)</f>
        <v>0.7609</v>
      </c>
      <c r="M271" s="213">
        <f>IFERROR(__xludf.DUMMYFUNCTION("""COMPUTED_VALUE"""),27.0)</f>
        <v>27</v>
      </c>
      <c r="N271" s="214">
        <f>IFERROR(__xludf.DUMMYFUNCTION("""COMPUTED_VALUE"""),0.7714)</f>
        <v>0.7714</v>
      </c>
      <c r="O271" s="213">
        <f>IFERROR(__xludf.DUMMYFUNCTION("""COMPUTED_VALUE"""),2.0)</f>
        <v>2</v>
      </c>
      <c r="P271" s="213">
        <f>IFERROR(__xludf.DUMMYFUNCTION("""COMPUTED_VALUE"""),2.0)</f>
        <v>2</v>
      </c>
      <c r="Q271" s="214">
        <f>IFERROR(__xludf.DUMMYFUNCTION("""COMPUTED_VALUE"""),0.0571)</f>
        <v>0.0571</v>
      </c>
      <c r="R271" s="214">
        <f>IFERROR(__xludf.DUMMYFUNCTION("""COMPUTED_VALUE"""),0.0741)</f>
        <v>0.0741</v>
      </c>
      <c r="S271" s="101">
        <f>IFERROR(__xludf.DUMMYFUNCTION("""COMPUTED_VALUE"""),0.0)</f>
        <v>0</v>
      </c>
      <c r="T271" s="101">
        <f>IFERROR(__xludf.DUMMYFUNCTION("""COMPUTED_VALUE"""),0.0)</f>
        <v>0</v>
      </c>
      <c r="U271" s="270">
        <f>IFERROR(__xludf.DUMMYFUNCTION("""COMPUTED_VALUE"""),0.0)</f>
        <v>0</v>
      </c>
      <c r="V271" s="271" t="str">
        <f>IFERROR(__xludf.DUMMYFUNCTION("""COMPUTED_VALUE"""),"online")</f>
        <v>online</v>
      </c>
      <c r="W271" s="272" t="str">
        <f>IFERROR(__xludf.DUMMYFUNCTION("""COMPUTED_VALUE"""),"simple")</f>
        <v>simple</v>
      </c>
      <c r="X271" s="272" t="str">
        <f>IFERROR(__xludf.DUMMYFUNCTION("""COMPUTED_VALUE"""),"Add to Cart")</f>
        <v>Add to Cart</v>
      </c>
      <c r="Y271" s="272" t="str">
        <f>IFERROR(__xludf.DUMMYFUNCTION("""COMPUTED_VALUE"""),"15-16th march")</f>
        <v>15-16th march</v>
      </c>
      <c r="Z271" s="272" t="str">
        <f>IFERROR(__xludf.DUMMYFUNCTION("""COMPUTED_VALUE"""),"69b412aa1f02e0685f11d609")</f>
        <v>69b412aa1f02e0685f11d609</v>
      </c>
      <c r="AA271" s="272">
        <f>IFERROR(__xludf.DUMMYFUNCTION("""COMPUTED_VALUE"""),1.0)</f>
        <v>1</v>
      </c>
      <c r="AB271" s="272">
        <f>IFERROR(__xludf.DUMMYFUNCTION("""COMPUTED_VALUE"""),1.0)</f>
        <v>1</v>
      </c>
      <c r="AC271" s="272"/>
      <c r="AD271" s="272">
        <f>IFERROR(__xludf.DUMMYFUNCTION("""COMPUTED_VALUE"""),3236.0)</f>
        <v>3236</v>
      </c>
      <c r="AE271" s="272">
        <f>IFERROR(__xludf.DUMMYFUNCTION("""COMPUTED_VALUE"""),3236.0)</f>
        <v>3236</v>
      </c>
      <c r="AF271" s="272"/>
      <c r="AG271" s="208"/>
      <c r="AH271" s="208"/>
      <c r="AI271" s="208"/>
      <c r="AJ271" s="208"/>
      <c r="AK271" s="208"/>
    </row>
    <row r="272" hidden="1">
      <c r="A272" s="209">
        <f>IFERROR(__xludf.DUMMYFUNCTION("""COMPUTED_VALUE"""),46096.0)</f>
        <v>46096</v>
      </c>
      <c r="B272" s="210">
        <f>IFERROR(__xludf.DUMMYFUNCTION("""COMPUTED_VALUE"""),0.5)</f>
        <v>0.5</v>
      </c>
      <c r="C272" s="211" t="str">
        <f>IFERROR(__xludf.DUMMYFUNCTION("""COMPUTED_VALUE"""),"Whatsapp")</f>
        <v>Whatsapp</v>
      </c>
      <c r="D272" s="211" t="str">
        <f>IFERROR(__xludf.DUMMYFUNCTION("""COMPUTED_VALUE"""),"Promotional")</f>
        <v>Promotional</v>
      </c>
      <c r="E272" s="211" t="str">
        <f>IFERROR(__xludf.DUMMYFUNCTION("""COMPUTED_VALUE"""),"BBW")</f>
        <v>BBW</v>
      </c>
      <c r="F272" s="211" t="str">
        <f>IFERROR(__xludf.DUMMYFUNCTION("""COMPUTED_VALUE"""),"sgTITBI")</f>
        <v>sgTITBI</v>
      </c>
      <c r="G272" s="212" t="str">
        <f>IFERROR(__xludf.DUMMYFUNCTION("""COMPUTED_VALUE"""),"bbw_wa_sgtitbi_15.3_SG_TITBI_Buyers_On_reminder")</f>
        <v>bbw_wa_sgtitbi_15.3_SG_TITBI_Buyers_On_reminder</v>
      </c>
      <c r="H272" s="212" t="str">
        <f>IFERROR(__xludf.DUMMYFUNCTION("""COMPUTED_VALUE"""),"SG_TITBI_Buyers_On")</f>
        <v>SG_TITBI_Buyers_On</v>
      </c>
      <c r="I272" s="212" t="str">
        <f>IFERROR(__xludf.DUMMYFUNCTION("""COMPUTED_VALUE"""),"Online Customers who have purchased in the last SG TITBI offer (March 6-9, 2025 and Sept 4-7, 2025) excluding customers who have purchased in last 14 days and customers who did not read WA Comms on 12th and 13th March")</f>
        <v>Online Customers who have purchased in the last SG TITBI offer (March 6-9, 2025 and Sept 4-7, 2025) excluding customers who have purchased in last 14 days and customers who did not read WA Comms on 12th and 13th March</v>
      </c>
      <c r="J272" s="213">
        <f>IFERROR(__xludf.DUMMYFUNCTION("""COMPUTED_VALUE"""),104.0)</f>
        <v>104</v>
      </c>
      <c r="K272" s="213">
        <f>IFERROR(__xludf.DUMMYFUNCTION("""COMPUTED_VALUE"""),68.0)</f>
        <v>68</v>
      </c>
      <c r="L272" s="214">
        <f>IFERROR(__xludf.DUMMYFUNCTION("""COMPUTED_VALUE"""),0.6538)</f>
        <v>0.6538</v>
      </c>
      <c r="M272" s="213">
        <f>IFERROR(__xludf.DUMMYFUNCTION("""COMPUTED_VALUE"""),50.0)</f>
        <v>50</v>
      </c>
      <c r="N272" s="214">
        <f>IFERROR(__xludf.DUMMYFUNCTION("""COMPUTED_VALUE"""),0.7353)</f>
        <v>0.7353</v>
      </c>
      <c r="O272" s="213">
        <f>IFERROR(__xludf.DUMMYFUNCTION("""COMPUTED_VALUE"""),0.0)</f>
        <v>0</v>
      </c>
      <c r="P272" s="213">
        <f>IFERROR(__xludf.DUMMYFUNCTION("""COMPUTED_VALUE"""),0.0)</f>
        <v>0</v>
      </c>
      <c r="Q272" s="214">
        <f>IFERROR(__xludf.DUMMYFUNCTION("""COMPUTED_VALUE"""),0.0)</f>
        <v>0</v>
      </c>
      <c r="R272" s="214">
        <f>IFERROR(__xludf.DUMMYFUNCTION("""COMPUTED_VALUE"""),0.0)</f>
        <v>0</v>
      </c>
      <c r="S272" s="101">
        <f>IFERROR(__xludf.DUMMYFUNCTION("""COMPUTED_VALUE"""),0.0)</f>
        <v>0</v>
      </c>
      <c r="T272" s="101">
        <f>IFERROR(__xludf.DUMMYFUNCTION("""COMPUTED_VALUE"""),0.0)</f>
        <v>0</v>
      </c>
      <c r="U272" s="270">
        <f>IFERROR(__xludf.DUMMYFUNCTION("""COMPUTED_VALUE"""),0.0)</f>
        <v>0</v>
      </c>
      <c r="V272" s="271" t="str">
        <f>IFERROR(__xludf.DUMMYFUNCTION("""COMPUTED_VALUE"""),"online")</f>
        <v>online</v>
      </c>
      <c r="W272" s="272" t="str">
        <f>IFERROR(__xludf.DUMMYFUNCTION("""COMPUTED_VALUE"""),"simple")</f>
        <v>simple</v>
      </c>
      <c r="X272" s="272" t="str">
        <f>IFERROR(__xludf.DUMMYFUNCTION("""COMPUTED_VALUE"""),"Event Buyers")</f>
        <v>Event Buyers</v>
      </c>
      <c r="Y272" s="272" t="str">
        <f>IFERROR(__xludf.DUMMYFUNCTION("""COMPUTED_VALUE"""),"15-16th march")</f>
        <v>15-16th march</v>
      </c>
      <c r="Z272" s="272" t="str">
        <f>IFERROR(__xludf.DUMMYFUNCTION("""COMPUTED_VALUE"""),"69b412aaf7a59fbee0330cf4")</f>
        <v>69b412aaf7a59fbee0330cf4</v>
      </c>
      <c r="AA272" s="272">
        <f>IFERROR(__xludf.DUMMYFUNCTION("""COMPUTED_VALUE"""),0.0)</f>
        <v>0</v>
      </c>
      <c r="AB272" s="272">
        <f>IFERROR(__xludf.DUMMYFUNCTION("""COMPUTED_VALUE"""),0.0)</f>
        <v>0</v>
      </c>
      <c r="AC272" s="272"/>
      <c r="AD272" s="272">
        <f>IFERROR(__xludf.DUMMYFUNCTION("""COMPUTED_VALUE"""),0.0)</f>
        <v>0</v>
      </c>
      <c r="AE272" s="272">
        <f>IFERROR(__xludf.DUMMYFUNCTION("""COMPUTED_VALUE"""),0.0)</f>
        <v>0</v>
      </c>
      <c r="AF272" s="272"/>
      <c r="AG272" s="208"/>
      <c r="AH272" s="208"/>
      <c r="AI272" s="208"/>
      <c r="AJ272" s="208"/>
      <c r="AK272" s="208"/>
    </row>
    <row r="273" hidden="1">
      <c r="A273" s="209">
        <f>IFERROR(__xludf.DUMMYFUNCTION("""COMPUTED_VALUE"""),46096.0)</f>
        <v>46096</v>
      </c>
      <c r="B273" s="210">
        <f>IFERROR(__xludf.DUMMYFUNCTION("""COMPUTED_VALUE"""),0.5)</f>
        <v>0.5</v>
      </c>
      <c r="C273" s="211" t="str">
        <f>IFERROR(__xludf.DUMMYFUNCTION("""COMPUTED_VALUE"""),"Whatsapp")</f>
        <v>Whatsapp</v>
      </c>
      <c r="D273" s="211" t="str">
        <f>IFERROR(__xludf.DUMMYFUNCTION("""COMPUTED_VALUE"""),"Promotional")</f>
        <v>Promotional</v>
      </c>
      <c r="E273" s="211" t="str">
        <f>IFERROR(__xludf.DUMMYFUNCTION("""COMPUTED_VALUE"""),"BBW")</f>
        <v>BBW</v>
      </c>
      <c r="F273" s="211" t="str">
        <f>IFERROR(__xludf.DUMMYFUNCTION("""COMPUTED_VALUE"""),"sgTITBI")</f>
        <v>sgTITBI</v>
      </c>
      <c r="G273" s="212" t="str">
        <f>IFERROR(__xludf.DUMMYFUNCTION("""COMPUTED_VALUE"""),"bbw_wa_sgtitbi_15.3_High_Freq_Personal_Care_On_reminder")</f>
        <v>bbw_wa_sgtitbi_15.3_High_Freq_Personal_Care_On_reminder</v>
      </c>
      <c r="H273" s="212" t="str">
        <f>IFERROR(__xludf.DUMMYFUNCTION("""COMPUTED_VALUE"""),"High_Freq_Personal_Care_On")</f>
        <v>High_Freq_Personal_Care_On</v>
      </c>
      <c r="I273" s="212" t="str">
        <f>IFERROR(__xludf.DUMMYFUNCTION("""COMPUTED_VALUE"""),"Online customers who have purchased from L1: Personal Care at least 3 times in the last 180 days excluding customers who have purchased in last 14 days and customers who did not read WA Comms on 12th and 13th March")</f>
        <v>Online customers who have purchased from L1: Personal Care at least 3 times in the last 180 days excluding customers who have purchased in last 14 days and customers who did not read WA Comms on 12th and 13th March</v>
      </c>
      <c r="J273" s="213">
        <f>IFERROR(__xludf.DUMMYFUNCTION("""COMPUTED_VALUE"""),78.0)</f>
        <v>78</v>
      </c>
      <c r="K273" s="213">
        <f>IFERROR(__xludf.DUMMYFUNCTION("""COMPUTED_VALUE"""),38.0)</f>
        <v>38</v>
      </c>
      <c r="L273" s="214">
        <f>IFERROR(__xludf.DUMMYFUNCTION("""COMPUTED_VALUE"""),0.4872)</f>
        <v>0.4872</v>
      </c>
      <c r="M273" s="213">
        <f>IFERROR(__xludf.DUMMYFUNCTION("""COMPUTED_VALUE"""),27.0)</f>
        <v>27</v>
      </c>
      <c r="N273" s="214">
        <f>IFERROR(__xludf.DUMMYFUNCTION("""COMPUTED_VALUE"""),0.7105)</f>
        <v>0.7105</v>
      </c>
      <c r="O273" s="213">
        <f>IFERROR(__xludf.DUMMYFUNCTION("""COMPUTED_VALUE"""),0.0)</f>
        <v>0</v>
      </c>
      <c r="P273" s="213">
        <f>IFERROR(__xludf.DUMMYFUNCTION("""COMPUTED_VALUE"""),0.0)</f>
        <v>0</v>
      </c>
      <c r="Q273" s="214">
        <f>IFERROR(__xludf.DUMMYFUNCTION("""COMPUTED_VALUE"""),0.0)</f>
        <v>0</v>
      </c>
      <c r="R273" s="214">
        <f>IFERROR(__xludf.DUMMYFUNCTION("""COMPUTED_VALUE"""),0.0)</f>
        <v>0</v>
      </c>
      <c r="S273" s="101">
        <f>IFERROR(__xludf.DUMMYFUNCTION("""COMPUTED_VALUE"""),0.0)</f>
        <v>0</v>
      </c>
      <c r="T273" s="101">
        <f>IFERROR(__xludf.DUMMYFUNCTION("""COMPUTED_VALUE"""),0.0)</f>
        <v>0</v>
      </c>
      <c r="U273" s="270">
        <f>IFERROR(__xludf.DUMMYFUNCTION("""COMPUTED_VALUE"""),0.0)</f>
        <v>0</v>
      </c>
      <c r="V273" s="271" t="str">
        <f>IFERROR(__xludf.DUMMYFUNCTION("""COMPUTED_VALUE"""),"online")</f>
        <v>online</v>
      </c>
      <c r="W273" s="272" t="str">
        <f>IFERROR(__xludf.DUMMYFUNCTION("""COMPUTED_VALUE"""),"simple")</f>
        <v>simple</v>
      </c>
      <c r="X273" s="272" t="str">
        <f>IFERROR(__xludf.DUMMYFUNCTION("""COMPUTED_VALUE"""),"Category Loyalist")</f>
        <v>Category Loyalist</v>
      </c>
      <c r="Y273" s="272" t="str">
        <f>IFERROR(__xludf.DUMMYFUNCTION("""COMPUTED_VALUE"""),"15-16th march")</f>
        <v>15-16th march</v>
      </c>
      <c r="Z273" s="272" t="str">
        <f>IFERROR(__xludf.DUMMYFUNCTION("""COMPUTED_VALUE"""),"69b41380f44df1d217fbcc6c")</f>
        <v>69b41380f44df1d217fbcc6c</v>
      </c>
      <c r="AA273" s="272">
        <f>IFERROR(__xludf.DUMMYFUNCTION("""COMPUTED_VALUE"""),0.0)</f>
        <v>0</v>
      </c>
      <c r="AB273" s="272">
        <f>IFERROR(__xludf.DUMMYFUNCTION("""COMPUTED_VALUE"""),0.0)</f>
        <v>0</v>
      </c>
      <c r="AC273" s="272"/>
      <c r="AD273" s="272">
        <f>IFERROR(__xludf.DUMMYFUNCTION("""COMPUTED_VALUE"""),0.0)</f>
        <v>0</v>
      </c>
      <c r="AE273" s="272">
        <f>IFERROR(__xludf.DUMMYFUNCTION("""COMPUTED_VALUE"""),0.0)</f>
        <v>0</v>
      </c>
      <c r="AF273" s="272"/>
      <c r="AG273" s="208"/>
      <c r="AH273" s="208"/>
      <c r="AI273" s="208"/>
      <c r="AJ273" s="208"/>
      <c r="AK273" s="208"/>
    </row>
    <row r="274" hidden="1">
      <c r="A274" s="209">
        <f>IFERROR(__xludf.DUMMYFUNCTION("""COMPUTED_VALUE"""),46096.0)</f>
        <v>46096</v>
      </c>
      <c r="B274" s="210">
        <f>IFERROR(__xludf.DUMMYFUNCTION("""COMPUTED_VALUE"""),0.5)</f>
        <v>0.5</v>
      </c>
      <c r="C274" s="211" t="str">
        <f>IFERROR(__xludf.DUMMYFUNCTION("""COMPUTED_VALUE"""),"Whatsapp")</f>
        <v>Whatsapp</v>
      </c>
      <c r="D274" s="211" t="str">
        <f>IFERROR(__xludf.DUMMYFUNCTION("""COMPUTED_VALUE"""),"Promotional")</f>
        <v>Promotional</v>
      </c>
      <c r="E274" s="211" t="str">
        <f>IFERROR(__xludf.DUMMYFUNCTION("""COMPUTED_VALUE"""),"BBW")</f>
        <v>BBW</v>
      </c>
      <c r="F274" s="211" t="str">
        <f>IFERROR(__xludf.DUMMYFUNCTION("""COMPUTED_VALUE"""),"sgTITBI")</f>
        <v>sgTITBI</v>
      </c>
      <c r="G274" s="212" t="str">
        <f>IFERROR(__xludf.DUMMYFUNCTION("""COMPUTED_VALUE"""),"bbw_wa_sgtitbi_15.3_SG_Predom_Under1199_On_reminder")</f>
        <v>bbw_wa_sgtitbi_15.3_SG_Predom_Under1199_On_reminder</v>
      </c>
      <c r="H274" s="212" t="str">
        <f>IFERROR(__xludf.DUMMYFUNCTION("""COMPUTED_VALUE"""),"SG_Predom_Under1199_On")</f>
        <v>SG_Predom_Under1199_On</v>
      </c>
      <c r="I274" s="212" t="str">
        <f>IFERROR(__xludf.DUMMYFUNCTION("""COMPUTED_VALUE"""),"Online Customers who have PREDOM purchased from L3 Shower Gel and Order Net Value is less than ₹1,199 excluding customers who have purchased in last 14 days and customers who did not read WA Comms on 12th and 13th March")</f>
        <v>Online Customers who have PREDOM purchased from L3 Shower Gel and Order Net Value is less than ₹1,199 excluding customers who have purchased in last 14 days and customers who did not read WA Comms on 12th and 13th March</v>
      </c>
      <c r="J274" s="213">
        <f>IFERROR(__xludf.DUMMYFUNCTION("""COMPUTED_VALUE"""),3728.0)</f>
        <v>3728</v>
      </c>
      <c r="K274" s="213">
        <f>IFERROR(__xludf.DUMMYFUNCTION("""COMPUTED_VALUE"""),2421.0)</f>
        <v>2421</v>
      </c>
      <c r="L274" s="214">
        <f>IFERROR(__xludf.DUMMYFUNCTION("""COMPUTED_VALUE"""),0.6494)</f>
        <v>0.6494</v>
      </c>
      <c r="M274" s="213">
        <f>IFERROR(__xludf.DUMMYFUNCTION("""COMPUTED_VALUE"""),1903.0)</f>
        <v>1903</v>
      </c>
      <c r="N274" s="214">
        <f>IFERROR(__xludf.DUMMYFUNCTION("""COMPUTED_VALUE"""),0.786)</f>
        <v>0.786</v>
      </c>
      <c r="O274" s="213">
        <f>IFERROR(__xludf.DUMMYFUNCTION("""COMPUTED_VALUE"""),60.0)</f>
        <v>60</v>
      </c>
      <c r="P274" s="213">
        <f>IFERROR(__xludf.DUMMYFUNCTION("""COMPUTED_VALUE"""),58.0)</f>
        <v>58</v>
      </c>
      <c r="Q274" s="214">
        <f>IFERROR(__xludf.DUMMYFUNCTION("""COMPUTED_VALUE"""),0.024)</f>
        <v>0.024</v>
      </c>
      <c r="R274" s="214">
        <f>IFERROR(__xludf.DUMMYFUNCTION("""COMPUTED_VALUE"""),0.0305)</f>
        <v>0.0305</v>
      </c>
      <c r="S274" s="101">
        <f>IFERROR(__xludf.DUMMYFUNCTION("""COMPUTED_VALUE"""),0.0)</f>
        <v>0</v>
      </c>
      <c r="T274" s="101">
        <f>IFERROR(__xludf.DUMMYFUNCTION("""COMPUTED_VALUE"""),1.0)</f>
        <v>1</v>
      </c>
      <c r="U274" s="270">
        <f>IFERROR(__xludf.DUMMYFUNCTION("""COMPUTED_VALUE"""),0.0)</f>
        <v>0</v>
      </c>
      <c r="V274" s="271" t="str">
        <f>IFERROR(__xludf.DUMMYFUNCTION("""COMPUTED_VALUE"""),"online")</f>
        <v>online</v>
      </c>
      <c r="W274" s="272" t="str">
        <f>IFERROR(__xludf.DUMMYFUNCTION("""COMPUTED_VALUE"""),"simple")</f>
        <v>simple</v>
      </c>
      <c r="X274" s="272" t="str">
        <f>IFERROR(__xludf.DUMMYFUNCTION("""COMPUTED_VALUE"""),"Predom Category")</f>
        <v>Predom Category</v>
      </c>
      <c r="Y274" s="272" t="str">
        <f>IFERROR(__xludf.DUMMYFUNCTION("""COMPUTED_VALUE"""),"15-16th march")</f>
        <v>15-16th march</v>
      </c>
      <c r="Z274" s="272" t="str">
        <f>IFERROR(__xludf.DUMMYFUNCTION("""COMPUTED_VALUE"""),"69b4147d67e48c4fd6ffe59e")</f>
        <v>69b4147d67e48c4fd6ffe59e</v>
      </c>
      <c r="AA274" s="272">
        <f>IFERROR(__xludf.DUMMYFUNCTION("""COMPUTED_VALUE"""),7.0)</f>
        <v>7</v>
      </c>
      <c r="AB274" s="272">
        <f>IFERROR(__xludf.DUMMYFUNCTION("""COMPUTED_VALUE"""),7.0)</f>
        <v>7</v>
      </c>
      <c r="AC274" s="272"/>
      <c r="AD274" s="272">
        <f>IFERROR(__xludf.DUMMYFUNCTION("""COMPUTED_VALUE"""),20497.0)</f>
        <v>20497</v>
      </c>
      <c r="AE274" s="272">
        <f>IFERROR(__xludf.DUMMYFUNCTION("""COMPUTED_VALUE"""),20497.0)</f>
        <v>20497</v>
      </c>
      <c r="AF274" s="272"/>
      <c r="AG274" s="208"/>
      <c r="AH274" s="208"/>
      <c r="AI274" s="208"/>
      <c r="AJ274" s="208"/>
      <c r="AK274" s="208"/>
    </row>
    <row r="275" hidden="1">
      <c r="A275" s="209">
        <f>IFERROR(__xludf.DUMMYFUNCTION("""COMPUTED_VALUE"""),46096.0)</f>
        <v>46096</v>
      </c>
      <c r="B275" s="210">
        <f>IFERROR(__xludf.DUMMYFUNCTION("""COMPUTED_VALUE"""),0.5)</f>
        <v>0.5</v>
      </c>
      <c r="C275" s="211" t="str">
        <f>IFERROR(__xludf.DUMMYFUNCTION("""COMPUTED_VALUE"""),"Whatsapp")</f>
        <v>Whatsapp</v>
      </c>
      <c r="D275" s="211" t="str">
        <f>IFERROR(__xludf.DUMMYFUNCTION("""COMPUTED_VALUE"""),"Promotional")</f>
        <v>Promotional</v>
      </c>
      <c r="E275" s="211" t="str">
        <f>IFERROR(__xludf.DUMMYFUNCTION("""COMPUTED_VALUE"""),"BBW")</f>
        <v>BBW</v>
      </c>
      <c r="F275" s="211" t="str">
        <f>IFERROR(__xludf.DUMMYFUNCTION("""COMPUTED_VALUE"""),"sgTITBI")</f>
        <v>sgTITBI</v>
      </c>
      <c r="G275" s="212" t="str">
        <f>IFERROR(__xludf.DUMMYFUNCTION("""COMPUTED_VALUE"""),"bbw_wa_sgtitbi_15.3_SG_Disc_32_Perc_reminder")</f>
        <v>bbw_wa_sgtitbi_15.3_SG_Disc_32_Perc_reminder</v>
      </c>
      <c r="H275" s="212" t="str">
        <f>IFERROR(__xludf.DUMMYFUNCTION("""COMPUTED_VALUE"""),"SG_Disc_32_Perc")</f>
        <v>SG_Disc_32_Perc</v>
      </c>
      <c r="I275" s="212" t="str">
        <f>IFERROR(__xludf.DUMMYFUNCTION("""COMPUTED_VALUE"""),"Customers who have purchased from L3 Shower Gel at least 2 times in the last 1095 days with min. discount % greater than 32% excluding customers who have purchased in last 14 days and customers who did not read WA Comms on 12th and 13th March")</f>
        <v>Customers who have purchased from L3 Shower Gel at least 2 times in the last 1095 days with min. discount % greater than 32% excluding customers who have purchased in last 14 days and customers who did not read WA Comms on 12th and 13th March</v>
      </c>
      <c r="J275" s="213">
        <f>IFERROR(__xludf.DUMMYFUNCTION("""COMPUTED_VALUE"""),1874.0)</f>
        <v>1874</v>
      </c>
      <c r="K275" s="213">
        <f>IFERROR(__xludf.DUMMYFUNCTION("""COMPUTED_VALUE"""),1122.0)</f>
        <v>1122</v>
      </c>
      <c r="L275" s="214">
        <f>IFERROR(__xludf.DUMMYFUNCTION("""COMPUTED_VALUE"""),0.5987)</f>
        <v>0.5987</v>
      </c>
      <c r="M275" s="213">
        <f>IFERROR(__xludf.DUMMYFUNCTION("""COMPUTED_VALUE"""),877.0)</f>
        <v>877</v>
      </c>
      <c r="N275" s="214">
        <f>IFERROR(__xludf.DUMMYFUNCTION("""COMPUTED_VALUE"""),0.7816)</f>
        <v>0.7816</v>
      </c>
      <c r="O275" s="213">
        <f>IFERROR(__xludf.DUMMYFUNCTION("""COMPUTED_VALUE"""),56.0)</f>
        <v>56</v>
      </c>
      <c r="P275" s="213">
        <f>IFERROR(__xludf.DUMMYFUNCTION("""COMPUTED_VALUE"""),51.0)</f>
        <v>51</v>
      </c>
      <c r="Q275" s="214">
        <f>IFERROR(__xludf.DUMMYFUNCTION("""COMPUTED_VALUE"""),0.0455)</f>
        <v>0.0455</v>
      </c>
      <c r="R275" s="214">
        <f>IFERROR(__xludf.DUMMYFUNCTION("""COMPUTED_VALUE"""),0.0582)</f>
        <v>0.0582</v>
      </c>
      <c r="S275" s="101">
        <f>IFERROR(__xludf.DUMMYFUNCTION("""COMPUTED_VALUE"""),0.0)</f>
        <v>0</v>
      </c>
      <c r="T275" s="101">
        <f>IFERROR(__xludf.DUMMYFUNCTION("""COMPUTED_VALUE"""),0.0)</f>
        <v>0</v>
      </c>
      <c r="U275" s="270">
        <f>IFERROR(__xludf.DUMMYFUNCTION("""COMPUTED_VALUE"""),0.0)</f>
        <v>0</v>
      </c>
      <c r="V275" s="271" t="str">
        <f>IFERROR(__xludf.DUMMYFUNCTION("""COMPUTED_VALUE"""),"online")</f>
        <v>online</v>
      </c>
      <c r="W275" s="272" t="str">
        <f>IFERROR(__xludf.DUMMYFUNCTION("""COMPUTED_VALUE"""),"simple")</f>
        <v>simple</v>
      </c>
      <c r="X275" s="272" t="str">
        <f>IFERROR(__xludf.DUMMYFUNCTION("""COMPUTED_VALUE"""),"Discount")</f>
        <v>Discount</v>
      </c>
      <c r="Y275" s="272" t="str">
        <f>IFERROR(__xludf.DUMMYFUNCTION("""COMPUTED_VALUE"""),"15-16th march")</f>
        <v>15-16th march</v>
      </c>
      <c r="Z275" s="272" t="str">
        <f>IFERROR(__xludf.DUMMYFUNCTION("""COMPUTED_VALUE"""),"69b41488bf13688f00fca0a7")</f>
        <v>69b41488bf13688f00fca0a7</v>
      </c>
      <c r="AA275" s="272">
        <f>IFERROR(__xludf.DUMMYFUNCTION("""COMPUTED_VALUE"""),4.0)</f>
        <v>4</v>
      </c>
      <c r="AB275" s="272">
        <f>IFERROR(__xludf.DUMMYFUNCTION("""COMPUTED_VALUE"""),4.0)</f>
        <v>4</v>
      </c>
      <c r="AC275" s="272"/>
      <c r="AD275" s="272">
        <f>IFERROR(__xludf.DUMMYFUNCTION("""COMPUTED_VALUE"""),7012.0)</f>
        <v>7012</v>
      </c>
      <c r="AE275" s="272">
        <f>IFERROR(__xludf.DUMMYFUNCTION("""COMPUTED_VALUE"""),7012.0)</f>
        <v>7012</v>
      </c>
      <c r="AF275" s="272"/>
      <c r="AG275" s="208"/>
      <c r="AH275" s="208"/>
      <c r="AI275" s="208"/>
      <c r="AJ275" s="208"/>
      <c r="AK275" s="208"/>
    </row>
    <row r="276" hidden="1">
      <c r="A276" s="209">
        <f>IFERROR(__xludf.DUMMYFUNCTION("""COMPUTED_VALUE"""),46096.0)</f>
        <v>46096</v>
      </c>
      <c r="B276" s="210">
        <f>IFERROR(__xludf.DUMMYFUNCTION("""COMPUTED_VALUE"""),0.5)</f>
        <v>0.5</v>
      </c>
      <c r="C276" s="211" t="str">
        <f>IFERROR(__xludf.DUMMYFUNCTION("""COMPUTED_VALUE"""),"Whatsapp")</f>
        <v>Whatsapp</v>
      </c>
      <c r="D276" s="211" t="str">
        <f>IFERROR(__xludf.DUMMYFUNCTION("""COMPUTED_VALUE"""),"Promotional")</f>
        <v>Promotional</v>
      </c>
      <c r="E276" s="211" t="str">
        <f>IFERROR(__xludf.DUMMYFUNCTION("""COMPUTED_VALUE"""),"BBW")</f>
        <v>BBW</v>
      </c>
      <c r="F276" s="211" t="str">
        <f>IFERROR(__xludf.DUMMYFUNCTION("""COMPUTED_VALUE"""),"sgTITBI")</f>
        <v>sgTITBI</v>
      </c>
      <c r="G276" s="212" t="str">
        <f>IFERROR(__xludf.DUMMYFUNCTION("""COMPUTED_VALUE"""),"bbw_wa_sgtitbi_15.3_SG_UPT3_On_reminder")</f>
        <v>bbw_wa_sgtitbi_15.3_SG_UPT3_On_reminder</v>
      </c>
      <c r="H276" s="212" t="str">
        <f>IFERROR(__xludf.DUMMYFUNCTION("""COMPUTED_VALUE"""),"SG_UPT3_On")</f>
        <v>SG_UPT3_On</v>
      </c>
      <c r="I276" s="212" t="str">
        <f>IFERROR(__xludf.DUMMYFUNCTION("""COMPUTED_VALUE"""),"Online Customers who have purchased from L3 Shower Gel at least 1 time in the last 1095 days with order quantity more than 3 excluding customers who have purchased in last 14 days and customers who did not read WA Comms on 12th and 13th March")</f>
        <v>Online Customers who have purchased from L3 Shower Gel at least 1 time in the last 1095 days with order quantity more than 3 excluding customers who have purchased in last 14 days and customers who did not read WA Comms on 12th and 13th March</v>
      </c>
      <c r="J276" s="213">
        <f>IFERROR(__xludf.DUMMYFUNCTION("""COMPUTED_VALUE"""),11.0)</f>
        <v>11</v>
      </c>
      <c r="K276" s="213">
        <f>IFERROR(__xludf.DUMMYFUNCTION("""COMPUTED_VALUE"""),5.0)</f>
        <v>5</v>
      </c>
      <c r="L276" s="214">
        <f>IFERROR(__xludf.DUMMYFUNCTION("""COMPUTED_VALUE"""),0.4545)</f>
        <v>0.4545</v>
      </c>
      <c r="M276" s="213">
        <f>IFERROR(__xludf.DUMMYFUNCTION("""COMPUTED_VALUE"""),4.0)</f>
        <v>4</v>
      </c>
      <c r="N276" s="214">
        <f>IFERROR(__xludf.DUMMYFUNCTION("""COMPUTED_VALUE"""),0.8)</f>
        <v>0.8</v>
      </c>
      <c r="O276" s="213">
        <f>IFERROR(__xludf.DUMMYFUNCTION("""COMPUTED_VALUE"""),0.0)</f>
        <v>0</v>
      </c>
      <c r="P276" s="213">
        <f>IFERROR(__xludf.DUMMYFUNCTION("""COMPUTED_VALUE"""),0.0)</f>
        <v>0</v>
      </c>
      <c r="Q276" s="214">
        <f>IFERROR(__xludf.DUMMYFUNCTION("""COMPUTED_VALUE"""),0.0)</f>
        <v>0</v>
      </c>
      <c r="R276" s="214">
        <f>IFERROR(__xludf.DUMMYFUNCTION("""COMPUTED_VALUE"""),0.0)</f>
        <v>0</v>
      </c>
      <c r="S276" s="101">
        <f>IFERROR(__xludf.DUMMYFUNCTION("""COMPUTED_VALUE"""),0.0)</f>
        <v>0</v>
      </c>
      <c r="T276" s="101">
        <f>IFERROR(__xludf.DUMMYFUNCTION("""COMPUTED_VALUE"""),0.0)</f>
        <v>0</v>
      </c>
      <c r="U276" s="270">
        <f>IFERROR(__xludf.DUMMYFUNCTION("""COMPUTED_VALUE"""),0.0)</f>
        <v>0</v>
      </c>
      <c r="V276" s="271" t="str">
        <f>IFERROR(__xludf.DUMMYFUNCTION("""COMPUTED_VALUE"""),"online")</f>
        <v>online</v>
      </c>
      <c r="W276" s="272" t="str">
        <f>IFERROR(__xludf.DUMMYFUNCTION("""COMPUTED_VALUE"""),"simple")</f>
        <v>simple</v>
      </c>
      <c r="X276" s="272" t="str">
        <f>IFERROR(__xludf.DUMMYFUNCTION("""COMPUTED_VALUE"""),"Cart Qty")</f>
        <v>Cart Qty</v>
      </c>
      <c r="Y276" s="272" t="str">
        <f>IFERROR(__xludf.DUMMYFUNCTION("""COMPUTED_VALUE"""),"15-16th march")</f>
        <v>15-16th march</v>
      </c>
      <c r="Z276" s="272" t="str">
        <f>IFERROR(__xludf.DUMMYFUNCTION("""COMPUTED_VALUE"""),"69b415b018d5303f8c3c060a")</f>
        <v>69b415b018d5303f8c3c060a</v>
      </c>
      <c r="AA276" s="272">
        <f>IFERROR(__xludf.DUMMYFUNCTION("""COMPUTED_VALUE"""),0.0)</f>
        <v>0</v>
      </c>
      <c r="AB276" s="272">
        <f>IFERROR(__xludf.DUMMYFUNCTION("""COMPUTED_VALUE"""),0.0)</f>
        <v>0</v>
      </c>
      <c r="AC276" s="272"/>
      <c r="AD276" s="272">
        <f>IFERROR(__xludf.DUMMYFUNCTION("""COMPUTED_VALUE"""),0.0)</f>
        <v>0</v>
      </c>
      <c r="AE276" s="272">
        <f>IFERROR(__xludf.DUMMYFUNCTION("""COMPUTED_VALUE"""),0.0)</f>
        <v>0</v>
      </c>
      <c r="AF276" s="272"/>
      <c r="AG276" s="208"/>
      <c r="AH276" s="208"/>
      <c r="AI276" s="208"/>
      <c r="AJ276" s="208"/>
      <c r="AK276" s="208"/>
    </row>
    <row r="277" hidden="1">
      <c r="A277" s="209">
        <f>IFERROR(__xludf.DUMMYFUNCTION("""COMPUTED_VALUE"""),46096.0)</f>
        <v>46096</v>
      </c>
      <c r="B277" s="210">
        <f>IFERROR(__xludf.DUMMYFUNCTION("""COMPUTED_VALUE"""),0.5)</f>
        <v>0.5</v>
      </c>
      <c r="C277" s="211" t="str">
        <f>IFERROR(__xludf.DUMMYFUNCTION("""COMPUTED_VALUE"""),"Whatsapp")</f>
        <v>Whatsapp</v>
      </c>
      <c r="D277" s="211" t="str">
        <f>IFERROR(__xludf.DUMMYFUNCTION("""COMPUTED_VALUE"""),"Promotional")</f>
        <v>Promotional</v>
      </c>
      <c r="E277" s="211" t="str">
        <f>IFERROR(__xludf.DUMMYFUNCTION("""COMPUTED_VALUE"""),"BBW")</f>
        <v>BBW</v>
      </c>
      <c r="F277" s="211" t="str">
        <f>IFERROR(__xludf.DUMMYFUNCTION("""COMPUTED_VALUE"""),"sgTITBI")</f>
        <v>sgTITBI</v>
      </c>
      <c r="G277" s="212" t="str">
        <f>IFERROR(__xludf.DUMMYFUNCTION("""COMPUTED_VALUE"""),"bbw_wa_sgtitbi_15.3_SG_Repeat_On_reminder")</f>
        <v>bbw_wa_sgtitbi_15.3_SG_Repeat_On_reminder</v>
      </c>
      <c r="H277" s="212" t="str">
        <f>IFERROR(__xludf.DUMMYFUNCTION("""COMPUTED_VALUE"""),"SG_Repeat_On")</f>
        <v>SG_Repeat_On</v>
      </c>
      <c r="I277" s="212" t="str">
        <f>IFERROR(__xludf.DUMMYFUNCTION("""COMPUTED_VALUE"""),"Online Customers who have purchased from L3 Shower Gel at least 2 times in the last 1095 days excluding customers who have purchased in last 14 days and customers who did not read WA Comms on 12th and 13th March")</f>
        <v>Online Customers who have purchased from L3 Shower Gel at least 2 times in the last 1095 days excluding customers who have purchased in last 14 days and customers who did not read WA Comms on 12th and 13th March</v>
      </c>
      <c r="J277" s="213">
        <f>IFERROR(__xludf.DUMMYFUNCTION("""COMPUTED_VALUE"""),1020.0)</f>
        <v>1020</v>
      </c>
      <c r="K277" s="213">
        <f>IFERROR(__xludf.DUMMYFUNCTION("""COMPUTED_VALUE"""),607.0)</f>
        <v>607</v>
      </c>
      <c r="L277" s="214">
        <f>IFERROR(__xludf.DUMMYFUNCTION("""COMPUTED_VALUE"""),0.5951)</f>
        <v>0.5951</v>
      </c>
      <c r="M277" s="213">
        <f>IFERROR(__xludf.DUMMYFUNCTION("""COMPUTED_VALUE"""),486.0)</f>
        <v>486</v>
      </c>
      <c r="N277" s="214">
        <f>IFERROR(__xludf.DUMMYFUNCTION("""COMPUTED_VALUE"""),0.8007)</f>
        <v>0.8007</v>
      </c>
      <c r="O277" s="213">
        <f>IFERROR(__xludf.DUMMYFUNCTION("""COMPUTED_VALUE"""),30.0)</f>
        <v>30</v>
      </c>
      <c r="P277" s="213">
        <f>IFERROR(__xludf.DUMMYFUNCTION("""COMPUTED_VALUE"""),28.0)</f>
        <v>28</v>
      </c>
      <c r="Q277" s="214">
        <f>IFERROR(__xludf.DUMMYFUNCTION("""COMPUTED_VALUE"""),0.0461)</f>
        <v>0.0461</v>
      </c>
      <c r="R277" s="214">
        <f>IFERROR(__xludf.DUMMYFUNCTION("""COMPUTED_VALUE"""),0.0576)</f>
        <v>0.0576</v>
      </c>
      <c r="S277" s="101">
        <f>IFERROR(__xludf.DUMMYFUNCTION("""COMPUTED_VALUE"""),1.0)</f>
        <v>1</v>
      </c>
      <c r="T277" s="101">
        <f>IFERROR(__xludf.DUMMYFUNCTION("""COMPUTED_VALUE"""),0.0)</f>
        <v>0</v>
      </c>
      <c r="U277" s="270">
        <f>IFERROR(__xludf.DUMMYFUNCTION("""COMPUTED_VALUE"""),4495.0)</f>
        <v>4495</v>
      </c>
      <c r="V277" s="271" t="str">
        <f>IFERROR(__xludf.DUMMYFUNCTION("""COMPUTED_VALUE"""),"online")</f>
        <v>online</v>
      </c>
      <c r="W277" s="272" t="str">
        <f>IFERROR(__xludf.DUMMYFUNCTION("""COMPUTED_VALUE"""),"simple")</f>
        <v>simple</v>
      </c>
      <c r="X277" s="272" t="str">
        <f>IFERROR(__xludf.DUMMYFUNCTION("""COMPUTED_VALUE"""),"Repeat")</f>
        <v>Repeat</v>
      </c>
      <c r="Y277" s="272" t="str">
        <f>IFERROR(__xludf.DUMMYFUNCTION("""COMPUTED_VALUE"""),"15-16th march")</f>
        <v>15-16th march</v>
      </c>
      <c r="Z277" s="272" t="str">
        <f>IFERROR(__xludf.DUMMYFUNCTION("""COMPUTED_VALUE"""),"69b416b73c236b554fdd9451")</f>
        <v>69b416b73c236b554fdd9451</v>
      </c>
      <c r="AA277" s="272">
        <f>IFERROR(__xludf.DUMMYFUNCTION("""COMPUTED_VALUE"""),10.0)</f>
        <v>10</v>
      </c>
      <c r="AB277" s="272">
        <f>IFERROR(__xludf.DUMMYFUNCTION("""COMPUTED_VALUE"""),10.0)</f>
        <v>10</v>
      </c>
      <c r="AC277" s="272"/>
      <c r="AD277" s="272">
        <f>IFERROR(__xludf.DUMMYFUNCTION("""COMPUTED_VALUE"""),14024.0)</f>
        <v>14024</v>
      </c>
      <c r="AE277" s="272">
        <f>IFERROR(__xludf.DUMMYFUNCTION("""COMPUTED_VALUE"""),14024.0)</f>
        <v>14024</v>
      </c>
      <c r="AF277" s="272"/>
      <c r="AG277" s="208"/>
      <c r="AH277" s="208"/>
      <c r="AI277" s="208"/>
      <c r="AJ277" s="208"/>
      <c r="AK277" s="208"/>
    </row>
    <row r="278" hidden="1">
      <c r="A278" s="209">
        <f>IFERROR(__xludf.DUMMYFUNCTION("""COMPUTED_VALUE"""),46099.0)</f>
        <v>46099</v>
      </c>
      <c r="B278" s="210">
        <f>IFERROR(__xludf.DUMMYFUNCTION("""COMPUTED_VALUE"""),0.7708333333321207)</f>
        <v>0.7708333333</v>
      </c>
      <c r="C278" s="211" t="str">
        <f>IFERROR(__xludf.DUMMYFUNCTION("""COMPUTED_VALUE"""),"Whatsapp")</f>
        <v>Whatsapp</v>
      </c>
      <c r="D278" s="211" t="str">
        <f>IFERROR(__xludf.DUMMYFUNCTION("""COMPUTED_VALUE"""),"Promotional")</f>
        <v>Promotional</v>
      </c>
      <c r="E278" s="211" t="str">
        <f>IFERROR(__xludf.DUMMYFUNCTION("""COMPUTED_VALUE"""),"BBW")</f>
        <v>BBW</v>
      </c>
      <c r="F278" s="211" t="str">
        <f>IFERROR(__xludf.DUMMYFUNCTION("""COMPUTED_VALUE"""),"International Fragrance Week")</f>
        <v>International Fragrance Week</v>
      </c>
      <c r="G278" s="212" t="str">
        <f>IFERROR(__xludf.DUMMYFUNCTION("""COMPUTED_VALUE"""),"bbw_wa_ifw_ea_online_atc")</f>
        <v>bbw_wa_ifw_ea_online_atc</v>
      </c>
      <c r="H278" s="212" t="str">
        <f>IFERROR(__xludf.DUMMYFUNCTION("""COMPUTED_VALUE"""),"ATC_NoPr_Last45Days_On")</f>
        <v>ATC_NoPr_Last45Days_On</v>
      </c>
      <c r="I278" s="212" t="str">
        <f>IFERROR(__xludf.DUMMYFUNCTION("""COMPUTED_VALUE"""),"Website Visited 2 or more times or ATC once &gt; Last 45 days AND Not purchased in the last 45 days AND Exclude Last 15 days purchasers Online OR Loyal_Atleast4Times_IFW_On OR Repeat_IFW_On OR AOV_LessThan_2999_IFW_On OR UPT_GreaterThan3_IFW_On OR Recent_Las"&amp;"t90Days_IFW_On OR Dormant_On_IFW")</f>
        <v>Website Visited 2 or more times or ATC once &gt; Last 45 days AND Not purchased in the last 45 days AND Exclude Last 15 days purchasers Online OR Loyal_Atleast4Times_IFW_On OR Repeat_IFW_On OR AOV_LessThan_2999_IFW_On OR UPT_GreaterThan3_IFW_On OR Recent_Last90Days_IFW_On OR Dormant_On_IFW</v>
      </c>
      <c r="J278" s="213">
        <f>IFERROR(__xludf.DUMMYFUNCTION("""COMPUTED_VALUE"""),2845.0)</f>
        <v>2845</v>
      </c>
      <c r="K278" s="213">
        <f>IFERROR(__xludf.DUMMYFUNCTION("""COMPUTED_VALUE"""),1421.0)</f>
        <v>1421</v>
      </c>
      <c r="L278" s="214">
        <f>IFERROR(__xludf.DUMMYFUNCTION("""COMPUTED_VALUE"""),0.4995)</f>
        <v>0.4995</v>
      </c>
      <c r="M278" s="213">
        <f>IFERROR(__xludf.DUMMYFUNCTION("""COMPUTED_VALUE"""),686.0)</f>
        <v>686</v>
      </c>
      <c r="N278" s="214">
        <f>IFERROR(__xludf.DUMMYFUNCTION("""COMPUTED_VALUE"""),0.4828)</f>
        <v>0.4828</v>
      </c>
      <c r="O278" s="213">
        <f>IFERROR(__xludf.DUMMYFUNCTION("""COMPUTED_VALUE"""),175.0)</f>
        <v>175</v>
      </c>
      <c r="P278" s="213">
        <f>IFERROR(__xludf.DUMMYFUNCTION("""COMPUTED_VALUE"""),169.0)</f>
        <v>169</v>
      </c>
      <c r="Q278" s="214">
        <f>IFERROR(__xludf.DUMMYFUNCTION("""COMPUTED_VALUE"""),0.1189)</f>
        <v>0.1189</v>
      </c>
      <c r="R278" s="214">
        <f>IFERROR(__xludf.DUMMYFUNCTION("""COMPUTED_VALUE"""),0.2464)</f>
        <v>0.2464</v>
      </c>
      <c r="S278" s="101">
        <f>IFERROR(__xludf.DUMMYFUNCTION("""COMPUTED_VALUE"""),10.0)</f>
        <v>10</v>
      </c>
      <c r="T278" s="101">
        <f>IFERROR(__xludf.DUMMYFUNCTION("""COMPUTED_VALUE"""),38.0)</f>
        <v>38</v>
      </c>
      <c r="U278" s="270">
        <f>IFERROR(__xludf.DUMMYFUNCTION("""COMPUTED_VALUE"""),18102.0)</f>
        <v>18102</v>
      </c>
      <c r="V278" s="271" t="str">
        <f>IFERROR(__xludf.DUMMYFUNCTION("""COMPUTED_VALUE"""),"online")</f>
        <v>online</v>
      </c>
      <c r="W278" s="272" t="str">
        <f>IFERROR(__xludf.DUMMYFUNCTION("""COMPUTED_VALUE"""),"simple")</f>
        <v>simple</v>
      </c>
      <c r="X278" s="272" t="str">
        <f>IFERROR(__xludf.DUMMYFUNCTION("""COMPUTED_VALUE"""),"ATC")</f>
        <v>ATC</v>
      </c>
      <c r="Y278" s="272" t="str">
        <f>IFERROR(__xludf.DUMMYFUNCTION("""COMPUTED_VALUE"""),"18-20 March")</f>
        <v>18-20 March</v>
      </c>
      <c r="Z278" s="272" t="str">
        <f>IFERROR(__xludf.DUMMYFUNCTION("""COMPUTED_VALUE"""),"69ba8d8d914ecb4f77622e7c")</f>
        <v>69ba8d8d914ecb4f77622e7c</v>
      </c>
      <c r="AA278" s="272">
        <f>IFERROR(__xludf.DUMMYFUNCTION("""COMPUTED_VALUE"""),12.0)</f>
        <v>12</v>
      </c>
      <c r="AB278" s="272">
        <f>IFERROR(__xludf.DUMMYFUNCTION("""COMPUTED_VALUE"""),12.0)</f>
        <v>12</v>
      </c>
      <c r="AC278" s="272"/>
      <c r="AD278" s="272">
        <f>IFERROR(__xludf.DUMMYFUNCTION("""COMPUTED_VALUE"""),27450.0)</f>
        <v>27450</v>
      </c>
      <c r="AE278" s="272">
        <f>IFERROR(__xludf.DUMMYFUNCTION("""COMPUTED_VALUE"""),27450.0)</f>
        <v>27450</v>
      </c>
      <c r="AF278" s="272"/>
      <c r="AG278" s="208"/>
      <c r="AH278" s="208"/>
      <c r="AI278" s="208"/>
      <c r="AJ278" s="208"/>
      <c r="AK278" s="208"/>
    </row>
    <row r="279" hidden="1">
      <c r="A279" s="209">
        <f>IFERROR(__xludf.DUMMYFUNCTION("""COMPUTED_VALUE"""),46099.0)</f>
        <v>46099</v>
      </c>
      <c r="B279" s="210">
        <f>IFERROR(__xludf.DUMMYFUNCTION("""COMPUTED_VALUE"""),0.7708333333321207)</f>
        <v>0.7708333333</v>
      </c>
      <c r="C279" s="211" t="str">
        <f>IFERROR(__xludf.DUMMYFUNCTION("""COMPUTED_VALUE"""),"Whatsapp")</f>
        <v>Whatsapp</v>
      </c>
      <c r="D279" s="211" t="str">
        <f>IFERROR(__xludf.DUMMYFUNCTION("""COMPUTED_VALUE"""),"Promotional")</f>
        <v>Promotional</v>
      </c>
      <c r="E279" s="211" t="str">
        <f>IFERROR(__xludf.DUMMYFUNCTION("""COMPUTED_VALUE"""),"BBW")</f>
        <v>BBW</v>
      </c>
      <c r="F279" s="211" t="str">
        <f>IFERROR(__xludf.DUMMYFUNCTION("""COMPUTED_VALUE"""),"International Fragrance Week")</f>
        <v>International Fragrance Week</v>
      </c>
      <c r="G279" s="212" t="str">
        <f>IFERROR(__xludf.DUMMYFUNCTION("""COMPUTED_VALUE"""),"bbw_wa_ifw_ea_online_loyal")</f>
        <v>bbw_wa_ifw_ea_online_loyal</v>
      </c>
      <c r="H279" s="212" t="str">
        <f>IFERROR(__xludf.DUMMYFUNCTION("""COMPUTED_VALUE"""),"Loyal_Atleast4Times_IFW_On OR AGIPL_Internal OR BBW_Internal")</f>
        <v>Loyal_Atleast4Times_IFW_On OR AGIPL_Internal OR BBW_Internal</v>
      </c>
      <c r="I279" s="212" t="str">
        <f>IFERROR(__xludf.DUMMYFUNCTION("""COMPUTED_VALUE"""),"Online Customers purchased atleast 4 in the last 12 Months AND Exclude Last 15 days purchasers Online")</f>
        <v>Online Customers purchased atleast 4 in the last 12 Months AND Exclude Last 15 days purchasers Online</v>
      </c>
      <c r="J279" s="213">
        <f>IFERROR(__xludf.DUMMYFUNCTION("""COMPUTED_VALUE"""),4381.0)</f>
        <v>4381</v>
      </c>
      <c r="K279" s="213">
        <f>IFERROR(__xludf.DUMMYFUNCTION("""COMPUTED_VALUE"""),1132.0)</f>
        <v>1132</v>
      </c>
      <c r="L279" s="214">
        <f>IFERROR(__xludf.DUMMYFUNCTION("""COMPUTED_VALUE"""),0.2584)</f>
        <v>0.2584</v>
      </c>
      <c r="M279" s="213">
        <f>IFERROR(__xludf.DUMMYFUNCTION("""COMPUTED_VALUE"""),582.0)</f>
        <v>582</v>
      </c>
      <c r="N279" s="214">
        <f>IFERROR(__xludf.DUMMYFUNCTION("""COMPUTED_VALUE"""),0.5141)</f>
        <v>0.5141</v>
      </c>
      <c r="O279" s="213">
        <f>IFERROR(__xludf.DUMMYFUNCTION("""COMPUTED_VALUE"""),159.0)</f>
        <v>159</v>
      </c>
      <c r="P279" s="213">
        <f>IFERROR(__xludf.DUMMYFUNCTION("""COMPUTED_VALUE"""),154.0)</f>
        <v>154</v>
      </c>
      <c r="Q279" s="214">
        <f>IFERROR(__xludf.DUMMYFUNCTION("""COMPUTED_VALUE"""),0.136)</f>
        <v>0.136</v>
      </c>
      <c r="R279" s="214">
        <f>IFERROR(__xludf.DUMMYFUNCTION("""COMPUTED_VALUE"""),0.2646)</f>
        <v>0.2646</v>
      </c>
      <c r="S279" s="101">
        <f>IFERROR(__xludf.DUMMYFUNCTION("""COMPUTED_VALUE"""),4.0)</f>
        <v>4</v>
      </c>
      <c r="T279" s="101">
        <f>IFERROR(__xludf.DUMMYFUNCTION("""COMPUTED_VALUE"""),5.0)</f>
        <v>5</v>
      </c>
      <c r="U279" s="270">
        <f>IFERROR(__xludf.DUMMYFUNCTION("""COMPUTED_VALUE"""),10012.0)</f>
        <v>10012</v>
      </c>
      <c r="V279" s="271" t="str">
        <f>IFERROR(__xludf.DUMMYFUNCTION("""COMPUTED_VALUE"""),"online")</f>
        <v>online</v>
      </c>
      <c r="W279" s="272" t="str">
        <f>IFERROR(__xludf.DUMMYFUNCTION("""COMPUTED_VALUE"""),"simple")</f>
        <v>simple</v>
      </c>
      <c r="X279" s="272" t="str">
        <f>IFERROR(__xludf.DUMMYFUNCTION("""COMPUTED_VALUE"""),"Loyal")</f>
        <v>Loyal</v>
      </c>
      <c r="Y279" s="272" t="str">
        <f>IFERROR(__xludf.DUMMYFUNCTION("""COMPUTED_VALUE"""),"18-20 March")</f>
        <v>18-20 March</v>
      </c>
      <c r="Z279" s="272" t="str">
        <f>IFERROR(__xludf.DUMMYFUNCTION("""COMPUTED_VALUE"""),"69ba8ea8a8b3b9b2cad5fc6c")</f>
        <v>69ba8ea8a8b3b9b2cad5fc6c</v>
      </c>
      <c r="AA279" s="272">
        <f>IFERROR(__xludf.DUMMYFUNCTION("""COMPUTED_VALUE"""),17.0)</f>
        <v>17</v>
      </c>
      <c r="AB279" s="272">
        <f>IFERROR(__xludf.DUMMYFUNCTION("""COMPUTED_VALUE"""),17.0)</f>
        <v>17</v>
      </c>
      <c r="AC279" s="272"/>
      <c r="AD279" s="272">
        <f>IFERROR(__xludf.DUMMYFUNCTION("""COMPUTED_VALUE"""),46974.0)</f>
        <v>46974</v>
      </c>
      <c r="AE279" s="272">
        <f>IFERROR(__xludf.DUMMYFUNCTION("""COMPUTED_VALUE"""),46974.0)</f>
        <v>46974</v>
      </c>
      <c r="AF279" s="272"/>
      <c r="AG279" s="208"/>
      <c r="AH279" s="208"/>
      <c r="AI279" s="208"/>
      <c r="AJ279" s="208"/>
      <c r="AK279" s="208"/>
    </row>
    <row r="280" hidden="1">
      <c r="A280" s="209">
        <f>IFERROR(__xludf.DUMMYFUNCTION("""COMPUTED_VALUE"""),46099.0)</f>
        <v>46099</v>
      </c>
      <c r="B280" s="210">
        <f>IFERROR(__xludf.DUMMYFUNCTION("""COMPUTED_VALUE"""),0.7708333333321207)</f>
        <v>0.7708333333</v>
      </c>
      <c r="C280" s="211" t="str">
        <f>IFERROR(__xludf.DUMMYFUNCTION("""COMPUTED_VALUE"""),"Whatsapp")</f>
        <v>Whatsapp</v>
      </c>
      <c r="D280" s="211" t="str">
        <f>IFERROR(__xludf.DUMMYFUNCTION("""COMPUTED_VALUE"""),"Promotional")</f>
        <v>Promotional</v>
      </c>
      <c r="E280" s="211" t="str">
        <f>IFERROR(__xludf.DUMMYFUNCTION("""COMPUTED_VALUE"""),"BBW")</f>
        <v>BBW</v>
      </c>
      <c r="F280" s="211" t="str">
        <f>IFERROR(__xludf.DUMMYFUNCTION("""COMPUTED_VALUE"""),"International Fragrance Week")</f>
        <v>International Fragrance Week</v>
      </c>
      <c r="G280" s="212" t="str">
        <f>IFERROR(__xludf.DUMMYFUNCTION("""COMPUTED_VALUE"""),"bbw_wa_ifw_ea_online_repeat")</f>
        <v>bbw_wa_ifw_ea_online_repeat</v>
      </c>
      <c r="H280" s="212" t="str">
        <f>IFERROR(__xludf.DUMMYFUNCTION("""COMPUTED_VALUE"""),"Repeat_IFW_On")</f>
        <v>Repeat_IFW_On</v>
      </c>
      <c r="I280" s="212" t="str">
        <f>IFERROR(__xludf.DUMMYFUNCTION("""COMPUTED_VALUE"""),"Online Customers purchased at least 2 times in the last 24 Months AND Exclude Last 15 days purchasers Online OR Loyal_Atleast4Times_IFW_On")</f>
        <v>Online Customers purchased at least 2 times in the last 24 Months AND Exclude Last 15 days purchasers Online OR Loyal_Atleast4Times_IFW_On</v>
      </c>
      <c r="J280" s="213">
        <f>IFERROR(__xludf.DUMMYFUNCTION("""COMPUTED_VALUE"""),61385.0)</f>
        <v>61385</v>
      </c>
      <c r="K280" s="213">
        <f>IFERROR(__xludf.DUMMYFUNCTION("""COMPUTED_VALUE"""),21972.0)</f>
        <v>21972</v>
      </c>
      <c r="L280" s="214">
        <f>IFERROR(__xludf.DUMMYFUNCTION("""COMPUTED_VALUE"""),0.3579)</f>
        <v>0.3579</v>
      </c>
      <c r="M280" s="213">
        <f>IFERROR(__xludf.DUMMYFUNCTION("""COMPUTED_VALUE"""),8610.0)</f>
        <v>8610</v>
      </c>
      <c r="N280" s="214">
        <f>IFERROR(__xludf.DUMMYFUNCTION("""COMPUTED_VALUE"""),0.3919)</f>
        <v>0.3919</v>
      </c>
      <c r="O280" s="213">
        <f>IFERROR(__xludf.DUMMYFUNCTION("""COMPUTED_VALUE"""),1625.0)</f>
        <v>1625</v>
      </c>
      <c r="P280" s="213">
        <f>IFERROR(__xludf.DUMMYFUNCTION("""COMPUTED_VALUE"""),1537.0)</f>
        <v>1537</v>
      </c>
      <c r="Q280" s="214">
        <f>IFERROR(__xludf.DUMMYFUNCTION("""COMPUTED_VALUE"""),0.07)</f>
        <v>0.07</v>
      </c>
      <c r="R280" s="214">
        <f>IFERROR(__xludf.DUMMYFUNCTION("""COMPUTED_VALUE"""),0.1785)</f>
        <v>0.1785</v>
      </c>
      <c r="S280" s="101">
        <f>IFERROR(__xludf.DUMMYFUNCTION("""COMPUTED_VALUE"""),25.0)</f>
        <v>25</v>
      </c>
      <c r="T280" s="101">
        <f>IFERROR(__xludf.DUMMYFUNCTION("""COMPUTED_VALUE"""),51.0)</f>
        <v>51</v>
      </c>
      <c r="U280" s="270">
        <f>IFERROR(__xludf.DUMMYFUNCTION("""COMPUTED_VALUE"""),63888.0)</f>
        <v>63888</v>
      </c>
      <c r="V280" s="271" t="str">
        <f>IFERROR(__xludf.DUMMYFUNCTION("""COMPUTED_VALUE"""),"online")</f>
        <v>online</v>
      </c>
      <c r="W280" s="272" t="str">
        <f>IFERROR(__xludf.DUMMYFUNCTION("""COMPUTED_VALUE"""),"simple")</f>
        <v>simple</v>
      </c>
      <c r="X280" s="272" t="str">
        <f>IFERROR(__xludf.DUMMYFUNCTION("""COMPUTED_VALUE"""),"Repeat")</f>
        <v>Repeat</v>
      </c>
      <c r="Y280" s="272" t="str">
        <f>IFERROR(__xludf.DUMMYFUNCTION("""COMPUTED_VALUE"""),"18-20 March")</f>
        <v>18-20 March</v>
      </c>
      <c r="Z280" s="272" t="str">
        <f>IFERROR(__xludf.DUMMYFUNCTION("""COMPUTED_VALUE"""),"69ba8f33affd649490c9b8db")</f>
        <v>69ba8f33affd649490c9b8db</v>
      </c>
      <c r="AA280" s="272">
        <f>IFERROR(__xludf.DUMMYFUNCTION("""COMPUTED_VALUE"""),113.0)</f>
        <v>113</v>
      </c>
      <c r="AB280" s="272">
        <f>IFERROR(__xludf.DUMMYFUNCTION("""COMPUTED_VALUE"""),113.0)</f>
        <v>113</v>
      </c>
      <c r="AC280" s="272"/>
      <c r="AD280" s="272">
        <f>IFERROR(__xludf.DUMMYFUNCTION("""COMPUTED_VALUE"""),355037.0)</f>
        <v>355037</v>
      </c>
      <c r="AE280" s="272">
        <f>IFERROR(__xludf.DUMMYFUNCTION("""COMPUTED_VALUE"""),355037.0)</f>
        <v>355037</v>
      </c>
      <c r="AF280" s="272"/>
      <c r="AG280" s="208"/>
      <c r="AH280" s="208"/>
      <c r="AI280" s="208"/>
      <c r="AJ280" s="208"/>
      <c r="AK280" s="208"/>
    </row>
    <row r="281" hidden="1">
      <c r="A281" s="209">
        <f>IFERROR(__xludf.DUMMYFUNCTION("""COMPUTED_VALUE"""),46099.0)</f>
        <v>46099</v>
      </c>
      <c r="B281" s="210">
        <f>IFERROR(__xludf.DUMMYFUNCTION("""COMPUTED_VALUE"""),0.7708333333321207)</f>
        <v>0.7708333333</v>
      </c>
      <c r="C281" s="211" t="str">
        <f>IFERROR(__xludf.DUMMYFUNCTION("""COMPUTED_VALUE"""),"Whatsapp")</f>
        <v>Whatsapp</v>
      </c>
      <c r="D281" s="211" t="str">
        <f>IFERROR(__xludf.DUMMYFUNCTION("""COMPUTED_VALUE"""),"Promotional")</f>
        <v>Promotional</v>
      </c>
      <c r="E281" s="211" t="str">
        <f>IFERROR(__xludf.DUMMYFUNCTION("""COMPUTED_VALUE"""),"BBW")</f>
        <v>BBW</v>
      </c>
      <c r="F281" s="211" t="str">
        <f>IFERROR(__xludf.DUMMYFUNCTION("""COMPUTED_VALUE"""),"International Fragrance Week")</f>
        <v>International Fragrance Week</v>
      </c>
      <c r="G281" s="212" t="str">
        <f>IFERROR(__xludf.DUMMYFUNCTION("""COMPUTED_VALUE"""),"bbw_wa_ifw_ea_online_aov_less_than_2999")</f>
        <v>bbw_wa_ifw_ea_online_aov_less_than_2999</v>
      </c>
      <c r="H281" s="212" t="str">
        <f>IFERROR(__xludf.DUMMYFUNCTION("""COMPUTED_VALUE"""),"AOV_LessThan_2999_IFW_On")</f>
        <v>AOV_LessThan_2999_IFW_On</v>
      </c>
      <c r="I281" s="212" t="str">
        <f>IFERROR(__xludf.DUMMYFUNCTION("""COMPUTED_VALUE"""),"Online Customers who have purchased in the last 12 months having AOV less than 2999 AND Exclude Last 15 days purchasers Online OR Loyal_Atleast4Times_IFW_On OR Repeat_IFW_On")</f>
        <v>Online Customers who have purchased in the last 12 months having AOV less than 2999 AND Exclude Last 15 days purchasers Online OR Loyal_Atleast4Times_IFW_On OR Repeat_IFW_On</v>
      </c>
      <c r="J281" s="213">
        <f>IFERROR(__xludf.DUMMYFUNCTION("""COMPUTED_VALUE"""),65241.0)</f>
        <v>65241</v>
      </c>
      <c r="K281" s="213">
        <f>IFERROR(__xludf.DUMMYFUNCTION("""COMPUTED_VALUE"""),24413.0)</f>
        <v>24413</v>
      </c>
      <c r="L281" s="214">
        <f>IFERROR(__xludf.DUMMYFUNCTION("""COMPUTED_VALUE"""),0.3742)</f>
        <v>0.3742</v>
      </c>
      <c r="M281" s="213">
        <f>IFERROR(__xludf.DUMMYFUNCTION("""COMPUTED_VALUE"""),9962.0)</f>
        <v>9962</v>
      </c>
      <c r="N281" s="214">
        <f>IFERROR(__xludf.DUMMYFUNCTION("""COMPUTED_VALUE"""),0.4081)</f>
        <v>0.4081</v>
      </c>
      <c r="O281" s="213">
        <f>IFERROR(__xludf.DUMMYFUNCTION("""COMPUTED_VALUE"""),1561.0)</f>
        <v>1561</v>
      </c>
      <c r="P281" s="213">
        <f>IFERROR(__xludf.DUMMYFUNCTION("""COMPUTED_VALUE"""),1455.0)</f>
        <v>1455</v>
      </c>
      <c r="Q281" s="214">
        <f>IFERROR(__xludf.DUMMYFUNCTION("""COMPUTED_VALUE"""),0.0596)</f>
        <v>0.0596</v>
      </c>
      <c r="R281" s="214">
        <f>IFERROR(__xludf.DUMMYFUNCTION("""COMPUTED_VALUE"""),0.1461)</f>
        <v>0.1461</v>
      </c>
      <c r="S281" s="101">
        <f>IFERROR(__xludf.DUMMYFUNCTION("""COMPUTED_VALUE"""),12.0)</f>
        <v>12</v>
      </c>
      <c r="T281" s="101">
        <f>IFERROR(__xludf.DUMMYFUNCTION("""COMPUTED_VALUE"""),26.0)</f>
        <v>26</v>
      </c>
      <c r="U281" s="270">
        <f>IFERROR(__xludf.DUMMYFUNCTION("""COMPUTED_VALUE"""),21464.0)</f>
        <v>21464</v>
      </c>
      <c r="V281" s="271" t="str">
        <f>IFERROR(__xludf.DUMMYFUNCTION("""COMPUTED_VALUE"""),"online")</f>
        <v>online</v>
      </c>
      <c r="W281" s="272" t="str">
        <f>IFERROR(__xludf.DUMMYFUNCTION("""COMPUTED_VALUE"""),"simple")</f>
        <v>simple</v>
      </c>
      <c r="X281" s="272" t="str">
        <f>IFERROR(__xludf.DUMMYFUNCTION("""COMPUTED_VALUE"""),"AOV Less than 2999")</f>
        <v>AOV Less than 2999</v>
      </c>
      <c r="Y281" s="272" t="str">
        <f>IFERROR(__xludf.DUMMYFUNCTION("""COMPUTED_VALUE"""),"18-20 March")</f>
        <v>18-20 March</v>
      </c>
      <c r="Z281" s="272" t="str">
        <f>IFERROR(__xludf.DUMMYFUNCTION("""COMPUTED_VALUE"""),"69ba90258905318635937264")</f>
        <v>69ba90258905318635937264</v>
      </c>
      <c r="AA281" s="272">
        <f>IFERROR(__xludf.DUMMYFUNCTION("""COMPUTED_VALUE"""),49.0)</f>
        <v>49</v>
      </c>
      <c r="AB281" s="272">
        <f>IFERROR(__xludf.DUMMYFUNCTION("""COMPUTED_VALUE"""),49.0)</f>
        <v>49</v>
      </c>
      <c r="AC281" s="272"/>
      <c r="AD281" s="272">
        <f>IFERROR(__xludf.DUMMYFUNCTION("""COMPUTED_VALUE"""),83604.0)</f>
        <v>83604</v>
      </c>
      <c r="AE281" s="272">
        <f>IFERROR(__xludf.DUMMYFUNCTION("""COMPUTED_VALUE"""),83604.0)</f>
        <v>83604</v>
      </c>
      <c r="AF281" s="272"/>
      <c r="AG281" s="208"/>
      <c r="AH281" s="208"/>
      <c r="AI281" s="208"/>
      <c r="AJ281" s="208"/>
      <c r="AK281" s="208"/>
    </row>
    <row r="282" hidden="1">
      <c r="A282" s="209">
        <f>IFERROR(__xludf.DUMMYFUNCTION("""COMPUTED_VALUE"""),46099.0)</f>
        <v>46099</v>
      </c>
      <c r="B282" s="210">
        <f>IFERROR(__xludf.DUMMYFUNCTION("""COMPUTED_VALUE"""),0.7708333333321207)</f>
        <v>0.7708333333</v>
      </c>
      <c r="C282" s="211" t="str">
        <f>IFERROR(__xludf.DUMMYFUNCTION("""COMPUTED_VALUE"""),"Whatsapp")</f>
        <v>Whatsapp</v>
      </c>
      <c r="D282" s="211" t="str">
        <f>IFERROR(__xludf.DUMMYFUNCTION("""COMPUTED_VALUE"""),"Promotional")</f>
        <v>Promotional</v>
      </c>
      <c r="E282" s="211" t="str">
        <f>IFERROR(__xludf.DUMMYFUNCTION("""COMPUTED_VALUE"""),"BBW")</f>
        <v>BBW</v>
      </c>
      <c r="F282" s="211" t="str">
        <f>IFERROR(__xludf.DUMMYFUNCTION("""COMPUTED_VALUE"""),"International Fragrance Week")</f>
        <v>International Fragrance Week</v>
      </c>
      <c r="G282" s="212" t="str">
        <f>IFERROR(__xludf.DUMMYFUNCTION("""COMPUTED_VALUE"""),"bbw_wa_ifw_ea_online_UTP_greater_than_3")</f>
        <v>bbw_wa_ifw_ea_online_UTP_greater_than_3</v>
      </c>
      <c r="H282" s="212" t="str">
        <f>IFERROR(__xludf.DUMMYFUNCTION("""COMPUTED_VALUE"""),"UPT_GreaterThan3_IFW_On")</f>
        <v>UPT_GreaterThan3_IFW_On</v>
      </c>
      <c r="I282" s="212" t="str">
        <f>IFERROR(__xludf.DUMMYFUNCTION("""COMPUTED_VALUE"""),"Online customers purchasing 3+ products in one purchase in the last 36 months AND Exclude Last 15 days purchasers Online OR Loyal_Atleast4Times_IFW_On OR Repeat_IFW_On OR AOV_LessThan_2999_IFW_On")</f>
        <v>Online customers purchasing 3+ products in one purchase in the last 36 months AND Exclude Last 15 days purchasers Online OR Loyal_Atleast4Times_IFW_On OR Repeat_IFW_On OR AOV_LessThan_2999_IFW_On</v>
      </c>
      <c r="J282" s="213">
        <f>IFERROR(__xludf.DUMMYFUNCTION("""COMPUTED_VALUE"""),53675.0)</f>
        <v>53675</v>
      </c>
      <c r="K282" s="213">
        <f>IFERROR(__xludf.DUMMYFUNCTION("""COMPUTED_VALUE"""),18988.0)</f>
        <v>18988</v>
      </c>
      <c r="L282" s="214">
        <f>IFERROR(__xludf.DUMMYFUNCTION("""COMPUTED_VALUE"""),0.3538)</f>
        <v>0.3538</v>
      </c>
      <c r="M282" s="213">
        <f>IFERROR(__xludf.DUMMYFUNCTION("""COMPUTED_VALUE"""),6805.0)</f>
        <v>6805</v>
      </c>
      <c r="N282" s="214">
        <f>IFERROR(__xludf.DUMMYFUNCTION("""COMPUTED_VALUE"""),0.3586)</f>
        <v>0.3586</v>
      </c>
      <c r="O282" s="213">
        <f>IFERROR(__xludf.DUMMYFUNCTION("""COMPUTED_VALUE"""),882.0)</f>
        <v>882</v>
      </c>
      <c r="P282" s="213">
        <f>IFERROR(__xludf.DUMMYFUNCTION("""COMPUTED_VALUE"""),836.0)</f>
        <v>836</v>
      </c>
      <c r="Q282" s="214">
        <f>IFERROR(__xludf.DUMMYFUNCTION("""COMPUTED_VALUE"""),0.0441)</f>
        <v>0.0441</v>
      </c>
      <c r="R282" s="214">
        <f>IFERROR(__xludf.DUMMYFUNCTION("""COMPUTED_VALUE"""),0.1229)</f>
        <v>0.1229</v>
      </c>
      <c r="S282" s="101">
        <f>IFERROR(__xludf.DUMMYFUNCTION("""COMPUTED_VALUE"""),7.0)</f>
        <v>7</v>
      </c>
      <c r="T282" s="101">
        <f>IFERROR(__xludf.DUMMYFUNCTION("""COMPUTED_VALUE"""),13.0)</f>
        <v>13</v>
      </c>
      <c r="U282" s="270">
        <f>IFERROR(__xludf.DUMMYFUNCTION("""COMPUTED_VALUE"""),15825.0)</f>
        <v>15825</v>
      </c>
      <c r="V282" s="271" t="str">
        <f>IFERROR(__xludf.DUMMYFUNCTION("""COMPUTED_VALUE"""),"online")</f>
        <v>online</v>
      </c>
      <c r="W282" s="272" t="str">
        <f>IFERROR(__xludf.DUMMYFUNCTION("""COMPUTED_VALUE"""),"simple")</f>
        <v>simple</v>
      </c>
      <c r="X282" s="272" t="str">
        <f>IFERROR(__xludf.DUMMYFUNCTION("""COMPUTED_VALUE"""),"UPT Greater than 3")</f>
        <v>UPT Greater than 3</v>
      </c>
      <c r="Y282" s="272" t="str">
        <f>IFERROR(__xludf.DUMMYFUNCTION("""COMPUTED_VALUE"""),"18-20 March")</f>
        <v>18-20 March</v>
      </c>
      <c r="Z282" s="272" t="str">
        <f>IFERROR(__xludf.DUMMYFUNCTION("""COMPUTED_VALUE"""),"69ba9104510d4df39917c9a1")</f>
        <v>69ba9104510d4df39917c9a1</v>
      </c>
      <c r="AA282" s="272">
        <f>IFERROR(__xludf.DUMMYFUNCTION("""COMPUTED_VALUE"""),33.0)</f>
        <v>33</v>
      </c>
      <c r="AB282" s="272">
        <f>IFERROR(__xludf.DUMMYFUNCTION("""COMPUTED_VALUE"""),33.0)</f>
        <v>33</v>
      </c>
      <c r="AC282" s="272"/>
      <c r="AD282" s="272">
        <f>IFERROR(__xludf.DUMMYFUNCTION("""COMPUTED_VALUE"""),98399.0)</f>
        <v>98399</v>
      </c>
      <c r="AE282" s="272">
        <f>IFERROR(__xludf.DUMMYFUNCTION("""COMPUTED_VALUE"""),98399.0)</f>
        <v>98399</v>
      </c>
      <c r="AF282" s="272"/>
      <c r="AG282" s="208"/>
      <c r="AH282" s="208"/>
      <c r="AI282" s="208"/>
      <c r="AJ282" s="208"/>
      <c r="AK282" s="208"/>
    </row>
    <row r="283" hidden="1">
      <c r="A283" s="209">
        <f>IFERROR(__xludf.DUMMYFUNCTION("""COMPUTED_VALUE"""),46099.0)</f>
        <v>46099</v>
      </c>
      <c r="B283" s="210">
        <f>IFERROR(__xludf.DUMMYFUNCTION("""COMPUTED_VALUE"""),0.7708333333321207)</f>
        <v>0.7708333333</v>
      </c>
      <c r="C283" s="211" t="str">
        <f>IFERROR(__xludf.DUMMYFUNCTION("""COMPUTED_VALUE"""),"Whatsapp")</f>
        <v>Whatsapp</v>
      </c>
      <c r="D283" s="211" t="str">
        <f>IFERROR(__xludf.DUMMYFUNCTION("""COMPUTED_VALUE"""),"Promotional")</f>
        <v>Promotional</v>
      </c>
      <c r="E283" s="211" t="str">
        <f>IFERROR(__xludf.DUMMYFUNCTION("""COMPUTED_VALUE"""),"BBW")</f>
        <v>BBW</v>
      </c>
      <c r="F283" s="211" t="str">
        <f>IFERROR(__xludf.DUMMYFUNCTION("""COMPUTED_VALUE"""),"International Fragrance Week")</f>
        <v>International Fragrance Week</v>
      </c>
      <c r="G283" s="212" t="str">
        <f>IFERROR(__xludf.DUMMYFUNCTION("""COMPUTED_VALUE"""),"bbw_wa_ifw_ea_online_recent")</f>
        <v>bbw_wa_ifw_ea_online_recent</v>
      </c>
      <c r="H283" s="212" t="str">
        <f>IFERROR(__xludf.DUMMYFUNCTION("""COMPUTED_VALUE"""),"Recent_Last90Days_IFW_On")</f>
        <v>Recent_Last90Days_IFW_On</v>
      </c>
      <c r="I283" s="212" t="str">
        <f>IFERROR(__xludf.DUMMYFUNCTION("""COMPUTED_VALUE"""),"Online Customers purchasing in the last 90 days AND Exclude Last 15 days purchasers Online OR Loyal_Atleast4Times_IFW_On OR Repeat_IFW_On OR AOV_LessThan_2999_IFW_On OR UPT_GreaterThan3_IFW_On")</f>
        <v>Online Customers purchasing in the last 90 days AND Exclude Last 15 days purchasers Online OR Loyal_Atleast4Times_IFW_On OR Repeat_IFW_On OR AOV_LessThan_2999_IFW_On OR UPT_GreaterThan3_IFW_On</v>
      </c>
      <c r="J283" s="213">
        <f>IFERROR(__xludf.DUMMYFUNCTION("""COMPUTED_VALUE"""),712.0)</f>
        <v>712</v>
      </c>
      <c r="K283" s="213">
        <f>IFERROR(__xludf.DUMMYFUNCTION("""COMPUTED_VALUE"""),312.0)</f>
        <v>312</v>
      </c>
      <c r="L283" s="214">
        <f>IFERROR(__xludf.DUMMYFUNCTION("""COMPUTED_VALUE"""),0.4382)</f>
        <v>0.4382</v>
      </c>
      <c r="M283" s="213">
        <f>IFERROR(__xludf.DUMMYFUNCTION("""COMPUTED_VALUE"""),126.0)</f>
        <v>126</v>
      </c>
      <c r="N283" s="214">
        <f>IFERROR(__xludf.DUMMYFUNCTION("""COMPUTED_VALUE"""),0.4038)</f>
        <v>0.4038</v>
      </c>
      <c r="O283" s="213">
        <f>IFERROR(__xludf.DUMMYFUNCTION("""COMPUTED_VALUE"""),22.0)</f>
        <v>22</v>
      </c>
      <c r="P283" s="213">
        <f>IFERROR(__xludf.DUMMYFUNCTION("""COMPUTED_VALUE"""),21.0)</f>
        <v>21</v>
      </c>
      <c r="Q283" s="214">
        <f>IFERROR(__xludf.DUMMYFUNCTION("""COMPUTED_VALUE"""),0.0673)</f>
        <v>0.0673</v>
      </c>
      <c r="R283" s="214">
        <f>IFERROR(__xludf.DUMMYFUNCTION("""COMPUTED_VALUE"""),0.1667)</f>
        <v>0.1667</v>
      </c>
      <c r="S283" s="101">
        <f>IFERROR(__xludf.DUMMYFUNCTION("""COMPUTED_VALUE"""),0.0)</f>
        <v>0</v>
      </c>
      <c r="T283" s="101">
        <f>IFERROR(__xludf.DUMMYFUNCTION("""COMPUTED_VALUE"""),0.0)</f>
        <v>0</v>
      </c>
      <c r="U283" s="270">
        <f>IFERROR(__xludf.DUMMYFUNCTION("""COMPUTED_VALUE"""),0.0)</f>
        <v>0</v>
      </c>
      <c r="V283" s="271" t="str">
        <f>IFERROR(__xludf.DUMMYFUNCTION("""COMPUTED_VALUE"""),"online")</f>
        <v>online</v>
      </c>
      <c r="W283" s="272" t="str">
        <f>IFERROR(__xludf.DUMMYFUNCTION("""COMPUTED_VALUE"""),"simple")</f>
        <v>simple</v>
      </c>
      <c r="X283" s="272" t="str">
        <f>IFERROR(__xludf.DUMMYFUNCTION("""COMPUTED_VALUE"""),"Recent")</f>
        <v>Recent</v>
      </c>
      <c r="Y283" s="272" t="str">
        <f>IFERROR(__xludf.DUMMYFUNCTION("""COMPUTED_VALUE"""),"18-20 March")</f>
        <v>18-20 March</v>
      </c>
      <c r="Z283" s="272" t="str">
        <f>IFERROR(__xludf.DUMMYFUNCTION("""COMPUTED_VALUE"""),"69ba91c6867170a0d0070ce8")</f>
        <v>69ba91c6867170a0d0070ce8</v>
      </c>
      <c r="AA283" s="272">
        <f>IFERROR(__xludf.DUMMYFUNCTION("""COMPUTED_VALUE"""),0.0)</f>
        <v>0</v>
      </c>
      <c r="AB283" s="272">
        <f>IFERROR(__xludf.DUMMYFUNCTION("""COMPUTED_VALUE"""),0.0)</f>
        <v>0</v>
      </c>
      <c r="AC283" s="272"/>
      <c r="AD283" s="272">
        <f>IFERROR(__xludf.DUMMYFUNCTION("""COMPUTED_VALUE"""),0.0)</f>
        <v>0</v>
      </c>
      <c r="AE283" s="272">
        <f>IFERROR(__xludf.DUMMYFUNCTION("""COMPUTED_VALUE"""),0.0)</f>
        <v>0</v>
      </c>
      <c r="AF283" s="272"/>
      <c r="AG283" s="208"/>
      <c r="AH283" s="208"/>
      <c r="AI283" s="208"/>
      <c r="AJ283" s="208"/>
      <c r="AK283" s="208"/>
    </row>
    <row r="284" hidden="1">
      <c r="A284" s="209">
        <f>IFERROR(__xludf.DUMMYFUNCTION("""COMPUTED_VALUE"""),46099.0)</f>
        <v>46099</v>
      </c>
      <c r="B284" s="210">
        <f>IFERROR(__xludf.DUMMYFUNCTION("""COMPUTED_VALUE"""),0.7708333333321207)</f>
        <v>0.7708333333</v>
      </c>
      <c r="C284" s="211" t="str">
        <f>IFERROR(__xludf.DUMMYFUNCTION("""COMPUTED_VALUE"""),"Whatsapp")</f>
        <v>Whatsapp</v>
      </c>
      <c r="D284" s="211" t="str">
        <f>IFERROR(__xludf.DUMMYFUNCTION("""COMPUTED_VALUE"""),"Promotional")</f>
        <v>Promotional</v>
      </c>
      <c r="E284" s="211" t="str">
        <f>IFERROR(__xludf.DUMMYFUNCTION("""COMPUTED_VALUE"""),"BBW")</f>
        <v>BBW</v>
      </c>
      <c r="F284" s="211" t="str">
        <f>IFERROR(__xludf.DUMMYFUNCTION("""COMPUTED_VALUE"""),"International Fragrance Week")</f>
        <v>International Fragrance Week</v>
      </c>
      <c r="G284" s="212" t="str">
        <f>IFERROR(__xludf.DUMMYFUNCTION("""COMPUTED_VALUE"""),"bbw_wa_ifw_ea_online_dormant")</f>
        <v>bbw_wa_ifw_ea_online_dormant</v>
      </c>
      <c r="H284" s="212" t="str">
        <f>IFERROR(__xludf.DUMMYFUNCTION("""COMPUTED_VALUE"""),"Dormant_On_IFW")</f>
        <v>Dormant_On_IFW</v>
      </c>
      <c r="I284" s="212" t="str">
        <f>IFERROR(__xludf.DUMMYFUNCTION("""COMPUTED_VALUE"""),"Customers who have not purchased withing 90 - 365 days AND Exclude Last 15 days purchasers Online OR Loyal_Atleast4Times_IFW_On OR Repeat_IFW_On OR AOV_LessThan_2999_IFW_On OR UPT_GreaterThan3_IFW_On OR Recent_Last90Days_IFW_On")</f>
        <v>Customers who have not purchased withing 90 - 365 days AND Exclude Last 15 days purchasers Online OR Loyal_Atleast4Times_IFW_On OR Repeat_IFW_On OR AOV_LessThan_2999_IFW_On OR UPT_GreaterThan3_IFW_On OR Recent_Last90Days_IFW_On</v>
      </c>
      <c r="J284" s="213">
        <f>IFERROR(__xludf.DUMMYFUNCTION("""COMPUTED_VALUE"""),3564.0)</f>
        <v>3564</v>
      </c>
      <c r="K284" s="213">
        <f>IFERROR(__xludf.DUMMYFUNCTION("""COMPUTED_VALUE"""),1551.0)</f>
        <v>1551</v>
      </c>
      <c r="L284" s="214">
        <f>IFERROR(__xludf.DUMMYFUNCTION("""COMPUTED_VALUE"""),0.4352)</f>
        <v>0.4352</v>
      </c>
      <c r="M284" s="213">
        <f>IFERROR(__xludf.DUMMYFUNCTION("""COMPUTED_VALUE"""),545.0)</f>
        <v>545</v>
      </c>
      <c r="N284" s="214">
        <f>IFERROR(__xludf.DUMMYFUNCTION("""COMPUTED_VALUE"""),0.3516)</f>
        <v>0.3516</v>
      </c>
      <c r="O284" s="213">
        <f>IFERROR(__xludf.DUMMYFUNCTION("""COMPUTED_VALUE"""),57.0)</f>
        <v>57</v>
      </c>
      <c r="P284" s="213">
        <f>IFERROR(__xludf.DUMMYFUNCTION("""COMPUTED_VALUE"""),55.0)</f>
        <v>55</v>
      </c>
      <c r="Q284" s="214">
        <f>IFERROR(__xludf.DUMMYFUNCTION("""COMPUTED_VALUE"""),0.0355)</f>
        <v>0.0355</v>
      </c>
      <c r="R284" s="214">
        <f>IFERROR(__xludf.DUMMYFUNCTION("""COMPUTED_VALUE"""),0.1009)</f>
        <v>0.1009</v>
      </c>
      <c r="S284" s="101">
        <f>IFERROR(__xludf.DUMMYFUNCTION("""COMPUTED_VALUE"""),0.0)</f>
        <v>0</v>
      </c>
      <c r="T284" s="101">
        <f>IFERROR(__xludf.DUMMYFUNCTION("""COMPUTED_VALUE"""),0.0)</f>
        <v>0</v>
      </c>
      <c r="U284" s="270">
        <f>IFERROR(__xludf.DUMMYFUNCTION("""COMPUTED_VALUE"""),0.0)</f>
        <v>0</v>
      </c>
      <c r="V284" s="271" t="str">
        <f>IFERROR(__xludf.DUMMYFUNCTION("""COMPUTED_VALUE"""),"online")</f>
        <v>online</v>
      </c>
      <c r="W284" s="272" t="str">
        <f>IFERROR(__xludf.DUMMYFUNCTION("""COMPUTED_VALUE"""),"simple")</f>
        <v>simple</v>
      </c>
      <c r="X284" s="272" t="str">
        <f>IFERROR(__xludf.DUMMYFUNCTION("""COMPUTED_VALUE"""),"Dormant")</f>
        <v>Dormant</v>
      </c>
      <c r="Y284" s="272" t="str">
        <f>IFERROR(__xludf.DUMMYFUNCTION("""COMPUTED_VALUE"""),"18-20 March")</f>
        <v>18-20 March</v>
      </c>
      <c r="Z284" s="272" t="str">
        <f>IFERROR(__xludf.DUMMYFUNCTION("""COMPUTED_VALUE"""),"69ba9268a23503ed1f2dfd51")</f>
        <v>69ba9268a23503ed1f2dfd51</v>
      </c>
      <c r="AA284" s="272">
        <f>IFERROR(__xludf.DUMMYFUNCTION("""COMPUTED_VALUE"""),2.0)</f>
        <v>2</v>
      </c>
      <c r="AB284" s="272">
        <f>IFERROR(__xludf.DUMMYFUNCTION("""COMPUTED_VALUE"""),2.0)</f>
        <v>2</v>
      </c>
      <c r="AC284" s="272"/>
      <c r="AD284" s="272">
        <f>IFERROR(__xludf.DUMMYFUNCTION("""COMPUTED_VALUE"""),6289.0)</f>
        <v>6289</v>
      </c>
      <c r="AE284" s="272">
        <f>IFERROR(__xludf.DUMMYFUNCTION("""COMPUTED_VALUE"""),6289.0)</f>
        <v>6289</v>
      </c>
      <c r="AF284" s="272"/>
      <c r="AG284" s="208"/>
      <c r="AH284" s="208"/>
      <c r="AI284" s="208"/>
      <c r="AJ284" s="208"/>
      <c r="AK284" s="208"/>
    </row>
    <row r="285" hidden="1">
      <c r="A285" s="209">
        <f>IFERROR(__xludf.DUMMYFUNCTION("""COMPUTED_VALUE"""),46099.0)</f>
        <v>46099</v>
      </c>
      <c r="B285" s="210">
        <f>IFERROR(__xludf.DUMMYFUNCTION("""COMPUTED_VALUE"""),0.7708333333321207)</f>
        <v>0.7708333333</v>
      </c>
      <c r="C285" s="211" t="str">
        <f>IFERROR(__xludf.DUMMYFUNCTION("""COMPUTED_VALUE"""),"Whatsapp")</f>
        <v>Whatsapp</v>
      </c>
      <c r="D285" s="211" t="str">
        <f>IFERROR(__xludf.DUMMYFUNCTION("""COMPUTED_VALUE"""),"Promotional")</f>
        <v>Promotional</v>
      </c>
      <c r="E285" s="211" t="str">
        <f>IFERROR(__xludf.DUMMYFUNCTION("""COMPUTED_VALUE"""),"BBW")</f>
        <v>BBW</v>
      </c>
      <c r="F285" s="211" t="str">
        <f>IFERROR(__xludf.DUMMYFUNCTION("""COMPUTED_VALUE"""),"International Fragrance Week")</f>
        <v>International Fragrance Week</v>
      </c>
      <c r="G285" s="212" t="str">
        <f>IFERROR(__xludf.DUMMYFUNCTION("""COMPUTED_VALUE"""),"bbw_wa_ifw_ea_online_wa_clicked")</f>
        <v>bbw_wa_ifw_ea_online_wa_clicked</v>
      </c>
      <c r="H285" s="212" t="str">
        <f>IFERROR(__xludf.DUMMYFUNCTION("""COMPUTED_VALUE"""),"WA_Clicked_IFW_last12Months_v2")</f>
        <v>WA_Clicked_IFW_last12Months_v2</v>
      </c>
      <c r="I285" s="212" t="str">
        <f>IFERROR(__xludf.DUMMYFUNCTION("""COMPUTED_VALUE"""),"WA message clicked in the last 3 months and not purchased in the last 3 months AND Exclude Last 15 days purchasers Online OR Loyal_Atleast4Times_IFW_On OR Repeat_IFW_On OR AOV_LessThan_2999_IFW_On OR UPT_GreaterThan3_IFW_On OR Recent_Last90Days_IFW_On OR "&amp;"Dormant_On_IFW")</f>
        <v>WA message clicked in the last 3 months and not purchased in the last 3 months AND Exclude Last 15 days purchasers Online OR Loyal_Atleast4Times_IFW_On OR Repeat_IFW_On OR AOV_LessThan_2999_IFW_On OR UPT_GreaterThan3_IFW_On OR Recent_Last90Days_IFW_On OR Dormant_On_IFW</v>
      </c>
      <c r="J285" s="213">
        <f>IFERROR(__xludf.DUMMYFUNCTION("""COMPUTED_VALUE"""),8334.0)</f>
        <v>8334</v>
      </c>
      <c r="K285" s="213">
        <f>IFERROR(__xludf.DUMMYFUNCTION("""COMPUTED_VALUE"""),5248.0)</f>
        <v>5248</v>
      </c>
      <c r="L285" s="214">
        <f>IFERROR(__xludf.DUMMYFUNCTION("""COMPUTED_VALUE"""),0.6297)</f>
        <v>0.6297</v>
      </c>
      <c r="M285" s="213">
        <f>IFERROR(__xludf.DUMMYFUNCTION("""COMPUTED_VALUE"""),2703.0)</f>
        <v>2703</v>
      </c>
      <c r="N285" s="214">
        <f>IFERROR(__xludf.DUMMYFUNCTION("""COMPUTED_VALUE"""),0.5151)</f>
        <v>0.5151</v>
      </c>
      <c r="O285" s="213">
        <f>IFERROR(__xludf.DUMMYFUNCTION("""COMPUTED_VALUE"""),778.0)</f>
        <v>778</v>
      </c>
      <c r="P285" s="213">
        <f>IFERROR(__xludf.DUMMYFUNCTION("""COMPUTED_VALUE"""),717.0)</f>
        <v>717</v>
      </c>
      <c r="Q285" s="214">
        <f>IFERROR(__xludf.DUMMYFUNCTION("""COMPUTED_VALUE"""),0.1367)</f>
        <v>0.1367</v>
      </c>
      <c r="R285" s="214">
        <f>IFERROR(__xludf.DUMMYFUNCTION("""COMPUTED_VALUE"""),0.2654)</f>
        <v>0.2654</v>
      </c>
      <c r="S285" s="101">
        <f>IFERROR(__xludf.DUMMYFUNCTION("""COMPUTED_VALUE"""),6.0)</f>
        <v>6</v>
      </c>
      <c r="T285" s="101">
        <f>IFERROR(__xludf.DUMMYFUNCTION("""COMPUTED_VALUE"""),20.0)</f>
        <v>20</v>
      </c>
      <c r="U285" s="270">
        <f>IFERROR(__xludf.DUMMYFUNCTION("""COMPUTED_VALUE"""),8148.0)</f>
        <v>8148</v>
      </c>
      <c r="V285" s="271" t="str">
        <f>IFERROR(__xludf.DUMMYFUNCTION("""COMPUTED_VALUE"""),"online")</f>
        <v>online</v>
      </c>
      <c r="W285" s="272" t="str">
        <f>IFERROR(__xludf.DUMMYFUNCTION("""COMPUTED_VALUE"""),"simple")</f>
        <v>simple</v>
      </c>
      <c r="X285" s="272" t="str">
        <f>IFERROR(__xludf.DUMMYFUNCTION("""COMPUTED_VALUE"""),"WA clicked")</f>
        <v>WA clicked</v>
      </c>
      <c r="Y285" s="272" t="str">
        <f>IFERROR(__xludf.DUMMYFUNCTION("""COMPUTED_VALUE"""),"18-20 March")</f>
        <v>18-20 March</v>
      </c>
      <c r="Z285" s="272" t="str">
        <f>IFERROR(__xludf.DUMMYFUNCTION("""COMPUTED_VALUE"""),"69ba92dd402e688352d08c02")</f>
        <v>69ba92dd402e688352d08c02</v>
      </c>
      <c r="AA285" s="272">
        <f>IFERROR(__xludf.DUMMYFUNCTION("""COMPUTED_VALUE"""),11.0)</f>
        <v>11</v>
      </c>
      <c r="AB285" s="272">
        <f>IFERROR(__xludf.DUMMYFUNCTION("""COMPUTED_VALUE"""),11.0)</f>
        <v>11</v>
      </c>
      <c r="AC285" s="272"/>
      <c r="AD285" s="272">
        <f>IFERROR(__xludf.DUMMYFUNCTION("""COMPUTED_VALUE"""),15376.0)</f>
        <v>15376</v>
      </c>
      <c r="AE285" s="272">
        <f>IFERROR(__xludf.DUMMYFUNCTION("""COMPUTED_VALUE"""),15376.0)</f>
        <v>15376</v>
      </c>
      <c r="AF285" s="272"/>
      <c r="AG285" s="208"/>
      <c r="AH285" s="208"/>
      <c r="AI285" s="208"/>
      <c r="AJ285" s="208"/>
      <c r="AK285" s="208"/>
    </row>
    <row r="286" hidden="1">
      <c r="A286" s="209">
        <f>IFERROR(__xludf.DUMMYFUNCTION("""COMPUTED_VALUE"""),46099.0)</f>
        <v>46099</v>
      </c>
      <c r="B286" s="210">
        <f>IFERROR(__xludf.DUMMYFUNCTION("""COMPUTED_VALUE"""),0.8125)</f>
        <v>0.8125</v>
      </c>
      <c r="C286" s="211" t="str">
        <f>IFERROR(__xludf.DUMMYFUNCTION("""COMPUTED_VALUE"""),"Sms")</f>
        <v>Sms</v>
      </c>
      <c r="D286" s="211" t="str">
        <f>IFERROR(__xludf.DUMMYFUNCTION("""COMPUTED_VALUE"""),"Fallback Campaign")</f>
        <v>Fallback Campaign</v>
      </c>
      <c r="E286" s="211" t="str">
        <f>IFERROR(__xludf.DUMMYFUNCTION("""COMPUTED_VALUE"""),"BBW")</f>
        <v>BBW</v>
      </c>
      <c r="F286" s="211" t="str">
        <f>IFERROR(__xludf.DUMMYFUNCTION("""COMPUTED_VALUE"""),"International Fragrance Week")</f>
        <v>International Fragrance Week</v>
      </c>
      <c r="G286" s="212" t="str">
        <f>IFERROR(__xludf.DUMMYFUNCTION("""COMPUTED_VALUE"""),"bbw_ifw_smsfb_ea_online")</f>
        <v>bbw_ifw_smsfb_ea_online</v>
      </c>
      <c r="H286" s="212" t="str">
        <f>IFERROR(__xludf.DUMMYFUNCTION("""COMPUTED_VALUE"""),"Has executed WhatsApp Message Delivery Failed atleast 1 time in the last 3 days with attributes Readable Campaign Id contains any of [69ba8ea8a8b3b9b2cad5fc6c, 69ba8f33affd649490c9b8db, 69ba90258905318635937264, 69ba9104510d4df39917c9a1, 69ba91c6867170a0d"&amp;"0070ce8, 69ba9268a23503ed1f2dfd51, 69ba8d8d914ecb4f77622e7c, 69ba92dd402e688352d08c02] case insensitive")</f>
        <v>Has executed WhatsApp Message Delivery Failed atleast 1 time in the last 3 days with attributes Readable Campaign Id contains any of [69ba8ea8a8b3b9b2cad5fc6c, 69ba8f33affd649490c9b8db, 69ba90258905318635937264, 69ba9104510d4df39917c9a1, 69ba91c6867170a0d0070ce8, 69ba9268a23503ed1f2dfd51, 69ba8d8d914ecb4f77622e7c, 69ba92dd402e688352d08c02] case insensitive</v>
      </c>
      <c r="I286" s="212" t="str">
        <f>IFERROR(__xludf.DUMMYFUNCTION("""COMPUTED_VALUE"""),"Has executed WhatsApp Message Delivery Failed atleast 1 time in the last 3 days with attributes Readable Campaign Id contains any of [69ba8ea8a8b3b9b2cad5fc6c, 69ba8f33affd649490c9b8db, 69ba90258905318635937264, 69ba9104510d4df39917c9a1, 69ba91c6867170a0d"&amp;"0070ce8, 69ba9268a23503ed1f2dfd51, 69ba8d8d914ecb4f77622e7c, 69ba92dd402e688352d08c02] case insensitive")</f>
        <v>Has executed WhatsApp Message Delivery Failed atleast 1 time in the last 3 days with attributes Readable Campaign Id contains any of [69ba8ea8a8b3b9b2cad5fc6c, 69ba8f33affd649490c9b8db, 69ba90258905318635937264, 69ba9104510d4df39917c9a1, 69ba91c6867170a0d0070ce8, 69ba9268a23503ed1f2dfd51, 69ba8d8d914ecb4f77622e7c, 69ba92dd402e688352d08c02] case insensitive</v>
      </c>
      <c r="J286" s="213">
        <f>IFERROR(__xludf.DUMMYFUNCTION("""COMPUTED_VALUE"""),121278.0)</f>
        <v>121278</v>
      </c>
      <c r="K286" s="213">
        <f>IFERROR(__xludf.DUMMYFUNCTION("""COMPUTED_VALUE"""),67470.0)</f>
        <v>67470</v>
      </c>
      <c r="L286" s="214">
        <f>IFERROR(__xludf.DUMMYFUNCTION("""COMPUTED_VALUE"""),0.5563)</f>
        <v>0.5563</v>
      </c>
      <c r="M286" s="213"/>
      <c r="N286" s="214"/>
      <c r="O286" s="213">
        <f>IFERROR(__xludf.DUMMYFUNCTION("""COMPUTED_VALUE"""),253.0)</f>
        <v>253</v>
      </c>
      <c r="P286" s="213"/>
      <c r="Q286" s="214">
        <f>IFERROR(__xludf.DUMMYFUNCTION("""COMPUTED_VALUE"""),0.0037)</f>
        <v>0.0037</v>
      </c>
      <c r="R286" s="214"/>
      <c r="S286" s="101">
        <f>IFERROR(__xludf.DUMMYFUNCTION("""COMPUTED_VALUE"""),11.0)</f>
        <v>11</v>
      </c>
      <c r="T286" s="101">
        <f>IFERROR(__xludf.DUMMYFUNCTION("""COMPUTED_VALUE"""),42.0)</f>
        <v>42</v>
      </c>
      <c r="U286" s="270">
        <f>IFERROR(__xludf.DUMMYFUNCTION("""COMPUTED_VALUE"""),35603.0)</f>
        <v>35603</v>
      </c>
      <c r="V286" s="271" t="str">
        <f>IFERROR(__xludf.DUMMYFUNCTION("""COMPUTED_VALUE"""),"online")</f>
        <v>online</v>
      </c>
      <c r="W286" s="272" t="str">
        <f>IFERROR(__xludf.DUMMYFUNCTION("""COMPUTED_VALUE"""),"SMS")</f>
        <v>SMS</v>
      </c>
      <c r="X286" s="272" t="str">
        <f>IFERROR(__xludf.DUMMYFUNCTION("""COMPUTED_VALUE"""),"-")</f>
        <v>-</v>
      </c>
      <c r="Y286" s="272" t="str">
        <f>IFERROR(__xludf.DUMMYFUNCTION("""COMPUTED_VALUE"""),"18 March")</f>
        <v>18 March</v>
      </c>
      <c r="Z286" s="272" t="str">
        <f>IFERROR(__xludf.DUMMYFUNCTION("""COMPUTED_VALUE"""),"69ba99ef1fdc6e2613a234ed")</f>
        <v>69ba99ef1fdc6e2613a234ed</v>
      </c>
      <c r="AA286" s="272">
        <f>IFERROR(__xludf.DUMMYFUNCTION("""COMPUTED_VALUE"""),50.0)</f>
        <v>50</v>
      </c>
      <c r="AB286" s="272">
        <f>IFERROR(__xludf.DUMMYFUNCTION("""COMPUTED_VALUE"""),50.0)</f>
        <v>50</v>
      </c>
      <c r="AC286" s="272"/>
      <c r="AD286" s="272">
        <f>IFERROR(__xludf.DUMMYFUNCTION("""COMPUTED_VALUE"""),119632.0)</f>
        <v>119632</v>
      </c>
      <c r="AE286" s="272">
        <f>IFERROR(__xludf.DUMMYFUNCTION("""COMPUTED_VALUE"""),119632.0)</f>
        <v>119632</v>
      </c>
      <c r="AF286" s="272"/>
      <c r="AG286" s="208"/>
      <c r="AH286" s="208"/>
      <c r="AI286" s="208"/>
      <c r="AJ286" s="208"/>
      <c r="AK286" s="208"/>
    </row>
    <row r="287" hidden="1">
      <c r="A287" s="209">
        <f>IFERROR(__xludf.DUMMYFUNCTION("""COMPUTED_VALUE"""),46100.0)</f>
        <v>46100</v>
      </c>
      <c r="B287" s="210">
        <f>IFERROR(__xludf.DUMMYFUNCTION("""COMPUTED_VALUE"""),0.5)</f>
        <v>0.5</v>
      </c>
      <c r="C287" s="211" t="str">
        <f>IFERROR(__xludf.DUMMYFUNCTION("""COMPUTED_VALUE"""),"Whatsapp")</f>
        <v>Whatsapp</v>
      </c>
      <c r="D287" s="211" t="str">
        <f>IFERROR(__xludf.DUMMYFUNCTION("""COMPUTED_VALUE"""),"Promotional")</f>
        <v>Promotional</v>
      </c>
      <c r="E287" s="211" t="str">
        <f>IFERROR(__xludf.DUMMYFUNCTION("""COMPUTED_VALUE"""),"BBW")</f>
        <v>BBW</v>
      </c>
      <c r="F287" s="211" t="str">
        <f>IFERROR(__xludf.DUMMYFUNCTION("""COMPUTED_VALUE"""),"International Fragrance Week")</f>
        <v>International Fragrance Week</v>
      </c>
      <c r="G287" s="212" t="str">
        <f>IFERROR(__xludf.DUMMYFUNCTION("""COMPUTED_VALUE"""),"bbw_wa_ifw_offline_193_loyal")</f>
        <v>bbw_wa_ifw_offline_193_loyal</v>
      </c>
      <c r="H287" s="212" t="str">
        <f>IFERROR(__xludf.DUMMYFUNCTION("""COMPUTED_VALUE"""),"Loyal_Atleast4Times_IFW_Off")</f>
        <v>Loyal_Atleast4Times_IFW_Off</v>
      </c>
      <c r="I287" s="212" t="str">
        <f>IFERROR(__xludf.DUMMYFUNCTION("""COMPUTED_VALUE"""),"Offline Customers purchased atleast 4 in the last 12 Months AND Exclude Last 15 days purchasers Offline")</f>
        <v>Offline Customers purchased atleast 4 in the last 12 Months AND Exclude Last 15 days purchasers Offline</v>
      </c>
      <c r="J287" s="213">
        <f>IFERROR(__xludf.DUMMYFUNCTION("""COMPUTED_VALUE"""),11696.0)</f>
        <v>11696</v>
      </c>
      <c r="K287" s="213">
        <f>IFERROR(__xludf.DUMMYFUNCTION("""COMPUTED_VALUE"""),4840.0)</f>
        <v>4840</v>
      </c>
      <c r="L287" s="214">
        <f>IFERROR(__xludf.DUMMYFUNCTION("""COMPUTED_VALUE"""),0.4138)</f>
        <v>0.4138</v>
      </c>
      <c r="M287" s="213">
        <f>IFERROR(__xludf.DUMMYFUNCTION("""COMPUTED_VALUE"""),1917.0)</f>
        <v>1917</v>
      </c>
      <c r="N287" s="214">
        <f>IFERROR(__xludf.DUMMYFUNCTION("""COMPUTED_VALUE"""),0.3961)</f>
        <v>0.3961</v>
      </c>
      <c r="O287" s="213">
        <f>IFERROR(__xludf.DUMMYFUNCTION("""COMPUTED_VALUE"""),291.0)</f>
        <v>291</v>
      </c>
      <c r="P287" s="213">
        <f>IFERROR(__xludf.DUMMYFUNCTION("""COMPUTED_VALUE"""),280.0)</f>
        <v>280</v>
      </c>
      <c r="Q287" s="214">
        <f>IFERROR(__xludf.DUMMYFUNCTION("""COMPUTED_VALUE"""),0.0579)</f>
        <v>0.0579</v>
      </c>
      <c r="R287" s="214">
        <f>IFERROR(__xludf.DUMMYFUNCTION("""COMPUTED_VALUE"""),0.1461)</f>
        <v>0.1461</v>
      </c>
      <c r="S287" s="101">
        <f>IFERROR(__xludf.DUMMYFUNCTION("""COMPUTED_VALUE"""),0.0)</f>
        <v>0</v>
      </c>
      <c r="T287" s="101">
        <f>IFERROR(__xludf.DUMMYFUNCTION("""COMPUTED_VALUE"""),2.0)</f>
        <v>2</v>
      </c>
      <c r="U287" s="270">
        <f>IFERROR(__xludf.DUMMYFUNCTION("""COMPUTED_VALUE"""),0.0)</f>
        <v>0</v>
      </c>
      <c r="V287" s="271" t="str">
        <f>IFERROR(__xludf.DUMMYFUNCTION("""COMPUTED_VALUE"""),"offline")</f>
        <v>offline</v>
      </c>
      <c r="W287" s="272" t="str">
        <f>IFERROR(__xludf.DUMMYFUNCTION("""COMPUTED_VALUE"""),"simple")</f>
        <v>simple</v>
      </c>
      <c r="X287" s="272" t="str">
        <f>IFERROR(__xludf.DUMMYFUNCTION("""COMPUTED_VALUE"""),"Loyal")</f>
        <v>Loyal</v>
      </c>
      <c r="Y287" s="272" t="str">
        <f>IFERROR(__xludf.DUMMYFUNCTION("""COMPUTED_VALUE"""),"19-21 March")</f>
        <v>19-21 March</v>
      </c>
      <c r="Z287" s="272" t="str">
        <f>IFERROR(__xludf.DUMMYFUNCTION("""COMPUTED_VALUE"""),"69ba7c415ba1aa1dce9c8e2d")</f>
        <v>69ba7c415ba1aa1dce9c8e2d</v>
      </c>
      <c r="AA287" s="272">
        <f>IFERROR(__xludf.DUMMYFUNCTION("""COMPUTED_VALUE"""),125.0)</f>
        <v>125</v>
      </c>
      <c r="AB287" s="272"/>
      <c r="AC287" s="272">
        <f>IFERROR(__xludf.DUMMYFUNCTION("""COMPUTED_VALUE"""),125.0)</f>
        <v>125</v>
      </c>
      <c r="AD287" s="272">
        <f>IFERROR(__xludf.DUMMYFUNCTION("""COMPUTED_VALUE"""),564787.0)</f>
        <v>564787</v>
      </c>
      <c r="AE287" s="272"/>
      <c r="AF287" s="272">
        <f>IFERROR(__xludf.DUMMYFUNCTION("""COMPUTED_VALUE"""),564787.0)</f>
        <v>564787</v>
      </c>
      <c r="AG287" s="208"/>
      <c r="AH287" s="208"/>
      <c r="AI287" s="208"/>
      <c r="AJ287" s="208"/>
      <c r="AK287" s="208"/>
    </row>
    <row r="288" hidden="1">
      <c r="A288" s="209">
        <f>IFERROR(__xludf.DUMMYFUNCTION("""COMPUTED_VALUE"""),46100.0)</f>
        <v>46100</v>
      </c>
      <c r="B288" s="210">
        <f>IFERROR(__xludf.DUMMYFUNCTION("""COMPUTED_VALUE"""),0.5)</f>
        <v>0.5</v>
      </c>
      <c r="C288" s="211" t="str">
        <f>IFERROR(__xludf.DUMMYFUNCTION("""COMPUTED_VALUE"""),"Whatsapp")</f>
        <v>Whatsapp</v>
      </c>
      <c r="D288" s="211" t="str">
        <f>IFERROR(__xludf.DUMMYFUNCTION("""COMPUTED_VALUE"""),"Promotional")</f>
        <v>Promotional</v>
      </c>
      <c r="E288" s="211" t="str">
        <f>IFERROR(__xludf.DUMMYFUNCTION("""COMPUTED_VALUE"""),"BBW")</f>
        <v>BBW</v>
      </c>
      <c r="F288" s="211" t="str">
        <f>IFERROR(__xludf.DUMMYFUNCTION("""COMPUTED_VALUE"""),"International Fragrance Week")</f>
        <v>International Fragrance Week</v>
      </c>
      <c r="G288" s="212" t="str">
        <f>IFERROR(__xludf.DUMMYFUNCTION("""COMPUTED_VALUE"""),"bbw_wa_ifw_offline_193_repeat")</f>
        <v>bbw_wa_ifw_offline_193_repeat</v>
      </c>
      <c r="H288" s="212" t="str">
        <f>IFERROR(__xludf.DUMMYFUNCTION("""COMPUTED_VALUE"""),"Repeat_Off_IFW")</f>
        <v>Repeat_Off_IFW</v>
      </c>
      <c r="I288" s="212" t="str">
        <f>IFERROR(__xludf.DUMMYFUNCTION("""COMPUTED_VALUE"""),"Offline Customers purchased at least 2 times in the last 6 Months AND Exclude Last 15 days purchasers Offline OR Loyal_Atleast4Times_IFW_Off")</f>
        <v>Offline Customers purchased at least 2 times in the last 6 Months AND Exclude Last 15 days purchasers Offline OR Loyal_Atleast4Times_IFW_Off</v>
      </c>
      <c r="J288" s="213">
        <f>IFERROR(__xludf.DUMMYFUNCTION("""COMPUTED_VALUE"""),25029.0)</f>
        <v>25029</v>
      </c>
      <c r="K288" s="213">
        <f>IFERROR(__xludf.DUMMYFUNCTION("""COMPUTED_VALUE"""),11457.0)</f>
        <v>11457</v>
      </c>
      <c r="L288" s="214">
        <f>IFERROR(__xludf.DUMMYFUNCTION("""COMPUTED_VALUE"""),0.4577)</f>
        <v>0.4577</v>
      </c>
      <c r="M288" s="213">
        <f>IFERROR(__xludf.DUMMYFUNCTION("""COMPUTED_VALUE"""),4484.0)</f>
        <v>4484</v>
      </c>
      <c r="N288" s="214">
        <f>IFERROR(__xludf.DUMMYFUNCTION("""COMPUTED_VALUE"""),0.3914)</f>
        <v>0.3914</v>
      </c>
      <c r="O288" s="213">
        <f>IFERROR(__xludf.DUMMYFUNCTION("""COMPUTED_VALUE"""),637.0)</f>
        <v>637</v>
      </c>
      <c r="P288" s="213">
        <f>IFERROR(__xludf.DUMMYFUNCTION("""COMPUTED_VALUE"""),606.0)</f>
        <v>606</v>
      </c>
      <c r="Q288" s="214">
        <f>IFERROR(__xludf.DUMMYFUNCTION("""COMPUTED_VALUE"""),0.0529)</f>
        <v>0.0529</v>
      </c>
      <c r="R288" s="214">
        <f>IFERROR(__xludf.DUMMYFUNCTION("""COMPUTED_VALUE"""),0.1351)</f>
        <v>0.1351</v>
      </c>
      <c r="S288" s="101">
        <f>IFERROR(__xludf.DUMMYFUNCTION("""COMPUTED_VALUE"""),8.0)</f>
        <v>8</v>
      </c>
      <c r="T288" s="101">
        <f>IFERROR(__xludf.DUMMYFUNCTION("""COMPUTED_VALUE"""),13.0)</f>
        <v>13</v>
      </c>
      <c r="U288" s="270">
        <f>IFERROR(__xludf.DUMMYFUNCTION("""COMPUTED_VALUE"""),22498.0)</f>
        <v>22498</v>
      </c>
      <c r="V288" s="271" t="str">
        <f>IFERROR(__xludf.DUMMYFUNCTION("""COMPUTED_VALUE"""),"offline")</f>
        <v>offline</v>
      </c>
      <c r="W288" s="272" t="str">
        <f>IFERROR(__xludf.DUMMYFUNCTION("""COMPUTED_VALUE"""),"simple")</f>
        <v>simple</v>
      </c>
      <c r="X288" s="272" t="str">
        <f>IFERROR(__xludf.DUMMYFUNCTION("""COMPUTED_VALUE"""),"Repeat")</f>
        <v>Repeat</v>
      </c>
      <c r="Y288" s="272" t="str">
        <f>IFERROR(__xludf.DUMMYFUNCTION("""COMPUTED_VALUE"""),"19-21 March")</f>
        <v>19-21 March</v>
      </c>
      <c r="Z288" s="272" t="str">
        <f>IFERROR(__xludf.DUMMYFUNCTION("""COMPUTED_VALUE"""),"69ba7dcda88b0be57cd3ae81")</f>
        <v>69ba7dcda88b0be57cd3ae81</v>
      </c>
      <c r="AA288" s="272">
        <f>IFERROR(__xludf.DUMMYFUNCTION("""COMPUTED_VALUE"""),99.0)</f>
        <v>99</v>
      </c>
      <c r="AB288" s="272"/>
      <c r="AC288" s="272">
        <f>IFERROR(__xludf.DUMMYFUNCTION("""COMPUTED_VALUE"""),99.0)</f>
        <v>99</v>
      </c>
      <c r="AD288" s="272">
        <f>IFERROR(__xludf.DUMMYFUNCTION("""COMPUTED_VALUE"""),361150.0)</f>
        <v>361150</v>
      </c>
      <c r="AE288" s="272"/>
      <c r="AF288" s="272">
        <f>IFERROR(__xludf.DUMMYFUNCTION("""COMPUTED_VALUE"""),361150.0)</f>
        <v>361150</v>
      </c>
      <c r="AG288" s="208"/>
      <c r="AH288" s="208"/>
      <c r="AI288" s="208"/>
      <c r="AJ288" s="208"/>
      <c r="AK288" s="208"/>
    </row>
    <row r="289" hidden="1">
      <c r="A289" s="209">
        <f>IFERROR(__xludf.DUMMYFUNCTION("""COMPUTED_VALUE"""),46100.0)</f>
        <v>46100</v>
      </c>
      <c r="B289" s="210">
        <f>IFERROR(__xludf.DUMMYFUNCTION("""COMPUTED_VALUE"""),0.5)</f>
        <v>0.5</v>
      </c>
      <c r="C289" s="211" t="str">
        <f>IFERROR(__xludf.DUMMYFUNCTION("""COMPUTED_VALUE"""),"Whatsapp")</f>
        <v>Whatsapp</v>
      </c>
      <c r="D289" s="211" t="str">
        <f>IFERROR(__xludf.DUMMYFUNCTION("""COMPUTED_VALUE"""),"Promotional")</f>
        <v>Promotional</v>
      </c>
      <c r="E289" s="211" t="str">
        <f>IFERROR(__xludf.DUMMYFUNCTION("""COMPUTED_VALUE"""),"BBW")</f>
        <v>BBW</v>
      </c>
      <c r="F289" s="211" t="str">
        <f>IFERROR(__xludf.DUMMYFUNCTION("""COMPUTED_VALUE"""),"International Fragrance Week")</f>
        <v>International Fragrance Week</v>
      </c>
      <c r="G289" s="212" t="str">
        <f>IFERROR(__xludf.DUMMYFUNCTION("""COMPUTED_VALUE"""),"bbw_wa_ifw_offline_193_aov_less_than_2999")</f>
        <v>bbw_wa_ifw_offline_193_aov_less_than_2999</v>
      </c>
      <c r="H289" s="212" t="str">
        <f>IFERROR(__xludf.DUMMYFUNCTION("""COMPUTED_VALUE"""),"AOV_LessThan2999_IFW_Off")</f>
        <v>AOV_LessThan2999_IFW_Off</v>
      </c>
      <c r="I289" s="212" t="str">
        <f>IFERROR(__xludf.DUMMYFUNCTION("""COMPUTED_VALUE"""),"Offline Customers who have purchased in the last 12 months having AOV less than 2999 AND Exclude Last 15 days purchasers Offline OR Loyal_Atleast4Times_IFW_Off OR Repeat_Off_IFW")</f>
        <v>Offline Customers who have purchased in the last 12 months having AOV less than 2999 AND Exclude Last 15 days purchasers Offline OR Loyal_Atleast4Times_IFW_Off OR Repeat_Off_IFW</v>
      </c>
      <c r="J289" s="213">
        <f>IFERROR(__xludf.DUMMYFUNCTION("""COMPUTED_VALUE"""),124358.0)</f>
        <v>124358</v>
      </c>
      <c r="K289" s="213">
        <f>IFERROR(__xludf.DUMMYFUNCTION("""COMPUTED_VALUE"""),62356.0)</f>
        <v>62356</v>
      </c>
      <c r="L289" s="214">
        <f>IFERROR(__xludf.DUMMYFUNCTION("""COMPUTED_VALUE"""),0.5014)</f>
        <v>0.5014</v>
      </c>
      <c r="M289" s="213">
        <f>IFERROR(__xludf.DUMMYFUNCTION("""COMPUTED_VALUE"""),24989.0)</f>
        <v>24989</v>
      </c>
      <c r="N289" s="214">
        <f>IFERROR(__xludf.DUMMYFUNCTION("""COMPUTED_VALUE"""),0.4008)</f>
        <v>0.4008</v>
      </c>
      <c r="O289" s="213">
        <f>IFERROR(__xludf.DUMMYFUNCTION("""COMPUTED_VALUE"""),3616.0)</f>
        <v>3616</v>
      </c>
      <c r="P289" s="213">
        <f>IFERROR(__xludf.DUMMYFUNCTION("""COMPUTED_VALUE"""),3393.0)</f>
        <v>3393</v>
      </c>
      <c r="Q289" s="214">
        <f>IFERROR(__xludf.DUMMYFUNCTION("""COMPUTED_VALUE"""),0.0544)</f>
        <v>0.0544</v>
      </c>
      <c r="R289" s="214">
        <f>IFERROR(__xludf.DUMMYFUNCTION("""COMPUTED_VALUE"""),0.1358)</f>
        <v>0.1358</v>
      </c>
      <c r="S289" s="101">
        <f>IFERROR(__xludf.DUMMYFUNCTION("""COMPUTED_VALUE"""),12.0)</f>
        <v>12</v>
      </c>
      <c r="T289" s="101">
        <f>IFERROR(__xludf.DUMMYFUNCTION("""COMPUTED_VALUE"""),28.0)</f>
        <v>28</v>
      </c>
      <c r="U289" s="270">
        <f>IFERROR(__xludf.DUMMYFUNCTION("""COMPUTED_VALUE"""),28372.0)</f>
        <v>28372</v>
      </c>
      <c r="V289" s="271" t="str">
        <f>IFERROR(__xludf.DUMMYFUNCTION("""COMPUTED_VALUE"""),"offline")</f>
        <v>offline</v>
      </c>
      <c r="W289" s="272" t="str">
        <f>IFERROR(__xludf.DUMMYFUNCTION("""COMPUTED_VALUE"""),"simple")</f>
        <v>simple</v>
      </c>
      <c r="X289" s="272" t="str">
        <f>IFERROR(__xludf.DUMMYFUNCTION("""COMPUTED_VALUE"""),"AOV Less than 2999")</f>
        <v>AOV Less than 2999</v>
      </c>
      <c r="Y289" s="272" t="str">
        <f>IFERROR(__xludf.DUMMYFUNCTION("""COMPUTED_VALUE"""),"19-21 March")</f>
        <v>19-21 March</v>
      </c>
      <c r="Z289" s="272" t="str">
        <f>IFERROR(__xludf.DUMMYFUNCTION("""COMPUTED_VALUE"""),"69ba7e442b0cb53aacf49ff4")</f>
        <v>69ba7e442b0cb53aacf49ff4</v>
      </c>
      <c r="AA289" s="272">
        <f>IFERROR(__xludf.DUMMYFUNCTION("""COMPUTED_VALUE"""),209.0)</f>
        <v>209</v>
      </c>
      <c r="AB289" s="272"/>
      <c r="AC289" s="272">
        <f>IFERROR(__xludf.DUMMYFUNCTION("""COMPUTED_VALUE"""),209.0)</f>
        <v>209</v>
      </c>
      <c r="AD289" s="272">
        <f>IFERROR(__xludf.DUMMYFUNCTION("""COMPUTED_VALUE"""),544294.0)</f>
        <v>544294</v>
      </c>
      <c r="AE289" s="272"/>
      <c r="AF289" s="272">
        <f>IFERROR(__xludf.DUMMYFUNCTION("""COMPUTED_VALUE"""),544294.0)</f>
        <v>544294</v>
      </c>
      <c r="AG289" s="208"/>
      <c r="AH289" s="208"/>
      <c r="AI289" s="208"/>
      <c r="AJ289" s="208"/>
      <c r="AK289" s="208"/>
    </row>
    <row r="290" hidden="1">
      <c r="A290" s="209">
        <f>IFERROR(__xludf.DUMMYFUNCTION("""COMPUTED_VALUE"""),46100.0)</f>
        <v>46100</v>
      </c>
      <c r="B290" s="210">
        <f>IFERROR(__xludf.DUMMYFUNCTION("""COMPUTED_VALUE"""),0.5)</f>
        <v>0.5</v>
      </c>
      <c r="C290" s="211" t="str">
        <f>IFERROR(__xludf.DUMMYFUNCTION("""COMPUTED_VALUE"""),"Whatsapp")</f>
        <v>Whatsapp</v>
      </c>
      <c r="D290" s="211" t="str">
        <f>IFERROR(__xludf.DUMMYFUNCTION("""COMPUTED_VALUE"""),"Promotional")</f>
        <v>Promotional</v>
      </c>
      <c r="E290" s="211" t="str">
        <f>IFERROR(__xludf.DUMMYFUNCTION("""COMPUTED_VALUE"""),"BBW")</f>
        <v>BBW</v>
      </c>
      <c r="F290" s="211" t="str">
        <f>IFERROR(__xludf.DUMMYFUNCTION("""COMPUTED_VALUE"""),"International Fragrance Week")</f>
        <v>International Fragrance Week</v>
      </c>
      <c r="G290" s="212" t="str">
        <f>IFERROR(__xludf.DUMMYFUNCTION("""COMPUTED_VALUE"""),"bbw_wa_ifw_offline_193_utp_greater_than_3")</f>
        <v>bbw_wa_ifw_offline_193_utp_greater_than_3</v>
      </c>
      <c r="H290" s="212" t="str">
        <f>IFERROR(__xludf.DUMMYFUNCTION("""COMPUTED_VALUE"""),"UPT_GreaterThan3_IFW_Off")</f>
        <v>UPT_GreaterThan3_IFW_Off</v>
      </c>
      <c r="I290" s="212" t="str">
        <f>IFERROR(__xludf.DUMMYFUNCTION("""COMPUTED_VALUE"""),"Offline customers purchasing 3+ products in one purchase in the last 36 months AND Exclude Last 15 days purchasers Offline OR Loyal_Atleast4Times_IFW_Off OR Repeat_Off_IFW OR AOV_LessThan2999_IFW_Off")</f>
        <v>Offline customers purchasing 3+ products in one purchase in the last 36 months AND Exclude Last 15 days purchasers Offline OR Loyal_Atleast4Times_IFW_Off OR Repeat_Off_IFW OR AOV_LessThan2999_IFW_Off</v>
      </c>
      <c r="J290" s="213">
        <f>IFERROR(__xludf.DUMMYFUNCTION("""COMPUTED_VALUE"""),76684.0)</f>
        <v>76684</v>
      </c>
      <c r="K290" s="213">
        <f>IFERROR(__xludf.DUMMYFUNCTION("""COMPUTED_VALUE"""),35309.0)</f>
        <v>35309</v>
      </c>
      <c r="L290" s="214">
        <f>IFERROR(__xludf.DUMMYFUNCTION("""COMPUTED_VALUE"""),0.4604)</f>
        <v>0.4604</v>
      </c>
      <c r="M290" s="213">
        <f>IFERROR(__xludf.DUMMYFUNCTION("""COMPUTED_VALUE"""),13896.0)</f>
        <v>13896</v>
      </c>
      <c r="N290" s="214">
        <f>IFERROR(__xludf.DUMMYFUNCTION("""COMPUTED_VALUE"""),0.3935)</f>
        <v>0.3935</v>
      </c>
      <c r="O290" s="213">
        <f>IFERROR(__xludf.DUMMYFUNCTION("""COMPUTED_VALUE"""),1504.0)</f>
        <v>1504</v>
      </c>
      <c r="P290" s="213">
        <f>IFERROR(__xludf.DUMMYFUNCTION("""COMPUTED_VALUE"""),1441.0)</f>
        <v>1441</v>
      </c>
      <c r="Q290" s="214">
        <f>IFERROR(__xludf.DUMMYFUNCTION("""COMPUTED_VALUE"""),0.0408)</f>
        <v>0.0408</v>
      </c>
      <c r="R290" s="214">
        <f>IFERROR(__xludf.DUMMYFUNCTION("""COMPUTED_VALUE"""),0.1037)</f>
        <v>0.1037</v>
      </c>
      <c r="S290" s="101">
        <f>IFERROR(__xludf.DUMMYFUNCTION("""COMPUTED_VALUE"""),3.0)</f>
        <v>3</v>
      </c>
      <c r="T290" s="101">
        <f>IFERROR(__xludf.DUMMYFUNCTION("""COMPUTED_VALUE"""),14.0)</f>
        <v>14</v>
      </c>
      <c r="U290" s="270">
        <f>IFERROR(__xludf.DUMMYFUNCTION("""COMPUTED_VALUE"""),13522.0)</f>
        <v>13522</v>
      </c>
      <c r="V290" s="271" t="str">
        <f>IFERROR(__xludf.DUMMYFUNCTION("""COMPUTED_VALUE"""),"offline")</f>
        <v>offline</v>
      </c>
      <c r="W290" s="272" t="str">
        <f>IFERROR(__xludf.DUMMYFUNCTION("""COMPUTED_VALUE"""),"simple")</f>
        <v>simple</v>
      </c>
      <c r="X290" s="272" t="str">
        <f>IFERROR(__xludf.DUMMYFUNCTION("""COMPUTED_VALUE"""),"UPT Greater than 3")</f>
        <v>UPT Greater than 3</v>
      </c>
      <c r="Y290" s="272" t="str">
        <f>IFERROR(__xludf.DUMMYFUNCTION("""COMPUTED_VALUE"""),"19-21 March")</f>
        <v>19-21 March</v>
      </c>
      <c r="Z290" s="272" t="str">
        <f>IFERROR(__xludf.DUMMYFUNCTION("""COMPUTED_VALUE"""),"69ba7e9d2d975739a52fd303")</f>
        <v>69ba7e9d2d975739a52fd303</v>
      </c>
      <c r="AA290" s="272">
        <f>IFERROR(__xludf.DUMMYFUNCTION("""COMPUTED_VALUE"""),162.0)</f>
        <v>162</v>
      </c>
      <c r="AB290" s="272"/>
      <c r="AC290" s="272">
        <f>IFERROR(__xludf.DUMMYFUNCTION("""COMPUTED_VALUE"""),162.0)</f>
        <v>162</v>
      </c>
      <c r="AD290" s="272">
        <f>IFERROR(__xludf.DUMMYFUNCTION("""COMPUTED_VALUE"""),865743.0)</f>
        <v>865743</v>
      </c>
      <c r="AE290" s="272"/>
      <c r="AF290" s="272">
        <f>IFERROR(__xludf.DUMMYFUNCTION("""COMPUTED_VALUE"""),865743.0)</f>
        <v>865743</v>
      </c>
      <c r="AG290" s="208"/>
      <c r="AH290" s="208"/>
      <c r="AI290" s="208"/>
      <c r="AJ290" s="208"/>
      <c r="AK290" s="208"/>
    </row>
    <row r="291" hidden="1">
      <c r="A291" s="209">
        <f>IFERROR(__xludf.DUMMYFUNCTION("""COMPUTED_VALUE"""),46100.0)</f>
        <v>46100</v>
      </c>
      <c r="B291" s="210">
        <f>IFERROR(__xludf.DUMMYFUNCTION("""COMPUTED_VALUE"""),0.5)</f>
        <v>0.5</v>
      </c>
      <c r="C291" s="211" t="str">
        <f>IFERROR(__xludf.DUMMYFUNCTION("""COMPUTED_VALUE"""),"Whatsapp")</f>
        <v>Whatsapp</v>
      </c>
      <c r="D291" s="211" t="str">
        <f>IFERROR(__xludf.DUMMYFUNCTION("""COMPUTED_VALUE"""),"Promotional")</f>
        <v>Promotional</v>
      </c>
      <c r="E291" s="211" t="str">
        <f>IFERROR(__xludf.DUMMYFUNCTION("""COMPUTED_VALUE"""),"BBW")</f>
        <v>BBW</v>
      </c>
      <c r="F291" s="211" t="str">
        <f>IFERROR(__xludf.DUMMYFUNCTION("""COMPUTED_VALUE"""),"International Fragrance Week")</f>
        <v>International Fragrance Week</v>
      </c>
      <c r="G291" s="212" t="str">
        <f>IFERROR(__xludf.DUMMYFUNCTION("""COMPUTED_VALUE"""),"bbw_wa_ifw_offline_193_Recent")</f>
        <v>bbw_wa_ifw_offline_193_Recent</v>
      </c>
      <c r="H291" s="212" t="str">
        <f>IFERROR(__xludf.DUMMYFUNCTION("""COMPUTED_VALUE"""),"Recent_IFW_Off")</f>
        <v>Recent_IFW_Off</v>
      </c>
      <c r="I291" s="212" t="str">
        <f>IFERROR(__xludf.DUMMYFUNCTION("""COMPUTED_VALUE"""),"Offline Customers purchasing in the last 90 days AND Exclude Last 15 days purchasers Offline OR Loyal_Atleast4Times_IFW_Off OR Repeat_Off_IFW OR AOV_LessThan2999_IFW_Off OR UPT_GreaterThan3_IFW_Off")</f>
        <v>Offline Customers purchasing in the last 90 days AND Exclude Last 15 days purchasers Offline OR Loyal_Atleast4Times_IFW_Off OR Repeat_Off_IFW OR AOV_LessThan2999_IFW_Off OR UPT_GreaterThan3_IFW_Off</v>
      </c>
      <c r="J291" s="213">
        <f>IFERROR(__xludf.DUMMYFUNCTION("""COMPUTED_VALUE"""),1937.0)</f>
        <v>1937</v>
      </c>
      <c r="K291" s="213">
        <f>IFERROR(__xludf.DUMMYFUNCTION("""COMPUTED_VALUE"""),976.0)</f>
        <v>976</v>
      </c>
      <c r="L291" s="214">
        <f>IFERROR(__xludf.DUMMYFUNCTION("""COMPUTED_VALUE"""),0.5039)</f>
        <v>0.5039</v>
      </c>
      <c r="M291" s="213">
        <f>IFERROR(__xludf.DUMMYFUNCTION("""COMPUTED_VALUE"""),388.0)</f>
        <v>388</v>
      </c>
      <c r="N291" s="214">
        <f>IFERROR(__xludf.DUMMYFUNCTION("""COMPUTED_VALUE"""),0.3975)</f>
        <v>0.3975</v>
      </c>
      <c r="O291" s="213">
        <f>IFERROR(__xludf.DUMMYFUNCTION("""COMPUTED_VALUE"""),41.0)</f>
        <v>41</v>
      </c>
      <c r="P291" s="213">
        <f>IFERROR(__xludf.DUMMYFUNCTION("""COMPUTED_VALUE"""),40.0)</f>
        <v>40</v>
      </c>
      <c r="Q291" s="214">
        <f>IFERROR(__xludf.DUMMYFUNCTION("""COMPUTED_VALUE"""),0.041)</f>
        <v>0.041</v>
      </c>
      <c r="R291" s="214">
        <f>IFERROR(__xludf.DUMMYFUNCTION("""COMPUTED_VALUE"""),0.1031)</f>
        <v>0.1031</v>
      </c>
      <c r="S291" s="101">
        <f>IFERROR(__xludf.DUMMYFUNCTION("""COMPUTED_VALUE"""),0.0)</f>
        <v>0</v>
      </c>
      <c r="T291" s="101">
        <f>IFERROR(__xludf.DUMMYFUNCTION("""COMPUTED_VALUE"""),0.0)</f>
        <v>0</v>
      </c>
      <c r="U291" s="270">
        <f>IFERROR(__xludf.DUMMYFUNCTION("""COMPUTED_VALUE"""),0.0)</f>
        <v>0</v>
      </c>
      <c r="V291" s="271" t="str">
        <f>IFERROR(__xludf.DUMMYFUNCTION("""COMPUTED_VALUE"""),"offline")</f>
        <v>offline</v>
      </c>
      <c r="W291" s="272" t="str">
        <f>IFERROR(__xludf.DUMMYFUNCTION("""COMPUTED_VALUE"""),"simple")</f>
        <v>simple</v>
      </c>
      <c r="X291" s="272" t="str">
        <f>IFERROR(__xludf.DUMMYFUNCTION("""COMPUTED_VALUE"""),"Recent")</f>
        <v>Recent</v>
      </c>
      <c r="Y291" s="272" t="str">
        <f>IFERROR(__xludf.DUMMYFUNCTION("""COMPUTED_VALUE"""),"19-21 March")</f>
        <v>19-21 March</v>
      </c>
      <c r="Z291" s="272" t="str">
        <f>IFERROR(__xludf.DUMMYFUNCTION("""COMPUTED_VALUE"""),"69ba7f24a88b0be57cd3aeec")</f>
        <v>69ba7f24a88b0be57cd3aeec</v>
      </c>
      <c r="AA291" s="272">
        <f>IFERROR(__xludf.DUMMYFUNCTION("""COMPUTED_VALUE"""),1.0)</f>
        <v>1</v>
      </c>
      <c r="AB291" s="272"/>
      <c r="AC291" s="272">
        <f>IFERROR(__xludf.DUMMYFUNCTION("""COMPUTED_VALUE"""),1.0)</f>
        <v>1</v>
      </c>
      <c r="AD291" s="272">
        <f>IFERROR(__xludf.DUMMYFUNCTION("""COMPUTED_VALUE"""),1379.0)</f>
        <v>1379</v>
      </c>
      <c r="AE291" s="272"/>
      <c r="AF291" s="272">
        <f>IFERROR(__xludf.DUMMYFUNCTION("""COMPUTED_VALUE"""),1379.0)</f>
        <v>1379</v>
      </c>
      <c r="AG291" s="208"/>
      <c r="AH291" s="208"/>
      <c r="AI291" s="208"/>
      <c r="AJ291" s="208"/>
      <c r="AK291" s="208"/>
    </row>
    <row r="292" hidden="1">
      <c r="A292" s="209">
        <f>IFERROR(__xludf.DUMMYFUNCTION("""COMPUTED_VALUE"""),46100.0)</f>
        <v>46100</v>
      </c>
      <c r="B292" s="210">
        <f>IFERROR(__xludf.DUMMYFUNCTION("""COMPUTED_VALUE"""),0.5)</f>
        <v>0.5</v>
      </c>
      <c r="C292" s="211" t="str">
        <f>IFERROR(__xludf.DUMMYFUNCTION("""COMPUTED_VALUE"""),"Whatsapp")</f>
        <v>Whatsapp</v>
      </c>
      <c r="D292" s="211" t="str">
        <f>IFERROR(__xludf.DUMMYFUNCTION("""COMPUTED_VALUE"""),"Promotional")</f>
        <v>Promotional</v>
      </c>
      <c r="E292" s="211" t="str">
        <f>IFERROR(__xludf.DUMMYFUNCTION("""COMPUTED_VALUE"""),"BBW")</f>
        <v>BBW</v>
      </c>
      <c r="F292" s="211" t="str">
        <f>IFERROR(__xludf.DUMMYFUNCTION("""COMPUTED_VALUE"""),"International Fragrance Week")</f>
        <v>International Fragrance Week</v>
      </c>
      <c r="G292" s="212" t="str">
        <f>IFERROR(__xludf.DUMMYFUNCTION("""COMPUTED_VALUE"""),"bbw_wa_ifw_offline_193_high_ltv")</f>
        <v>bbw_wa_ifw_offline_193_high_ltv</v>
      </c>
      <c r="H292" s="212" t="str">
        <f>IFERROR(__xludf.DUMMYFUNCTION("""COMPUTED_VALUE"""),"High_LTV_GreaterThan15K_IFW_Off")</f>
        <v>High_LTV_GreaterThan15K_IFW_Off</v>
      </c>
      <c r="I292" s="212" t="str">
        <f>IFERROR(__xludf.DUMMYFUNCTION("""COMPUTED_VALUE"""),"Offline Customers purchasing whose LTV is greater than 14999 in the last 36 months  AND Exclude Last 15 days purchasers Offline OR Loyal_Atleast4Times_IFW_Off OR Repeat_Off_IFW OR AOV_LessThan2999_IFW_Off OR UPT_GreaterThan3_IFW_Off OR Recent_IFW_Off")</f>
        <v>Offline Customers purchasing whose LTV is greater than 14999 in the last 36 months  AND Exclude Last 15 days purchasers Offline OR Loyal_Atleast4Times_IFW_Off OR Repeat_Off_IFW OR AOV_LessThan2999_IFW_Off OR UPT_GreaterThan3_IFW_Off OR Recent_IFW_Off</v>
      </c>
      <c r="J292" s="213">
        <f>IFERROR(__xludf.DUMMYFUNCTION("""COMPUTED_VALUE"""),2798.0)</f>
        <v>2798</v>
      </c>
      <c r="K292" s="213">
        <f>IFERROR(__xludf.DUMMYFUNCTION("""COMPUTED_VALUE"""),1041.0)</f>
        <v>1041</v>
      </c>
      <c r="L292" s="214">
        <f>IFERROR(__xludf.DUMMYFUNCTION("""COMPUTED_VALUE"""),0.3721)</f>
        <v>0.3721</v>
      </c>
      <c r="M292" s="213">
        <f>IFERROR(__xludf.DUMMYFUNCTION("""COMPUTED_VALUE"""),336.0)</f>
        <v>336</v>
      </c>
      <c r="N292" s="214">
        <f>IFERROR(__xludf.DUMMYFUNCTION("""COMPUTED_VALUE"""),0.3228)</f>
        <v>0.3228</v>
      </c>
      <c r="O292" s="213">
        <f>IFERROR(__xludf.DUMMYFUNCTION("""COMPUTED_VALUE"""),23.0)</f>
        <v>23</v>
      </c>
      <c r="P292" s="213">
        <f>IFERROR(__xludf.DUMMYFUNCTION("""COMPUTED_VALUE"""),23.0)</f>
        <v>23</v>
      </c>
      <c r="Q292" s="214">
        <f>IFERROR(__xludf.DUMMYFUNCTION("""COMPUTED_VALUE"""),0.0221)</f>
        <v>0.0221</v>
      </c>
      <c r="R292" s="214">
        <f>IFERROR(__xludf.DUMMYFUNCTION("""COMPUTED_VALUE"""),0.0685)</f>
        <v>0.0685</v>
      </c>
      <c r="S292" s="101">
        <f>IFERROR(__xludf.DUMMYFUNCTION("""COMPUTED_VALUE"""),1.0)</f>
        <v>1</v>
      </c>
      <c r="T292" s="101">
        <f>IFERROR(__xludf.DUMMYFUNCTION("""COMPUTED_VALUE"""),0.0)</f>
        <v>0</v>
      </c>
      <c r="U292" s="270">
        <f>IFERROR(__xludf.DUMMYFUNCTION("""COMPUTED_VALUE"""),3075.0)</f>
        <v>3075</v>
      </c>
      <c r="V292" s="271" t="str">
        <f>IFERROR(__xludf.DUMMYFUNCTION("""COMPUTED_VALUE"""),"offline")</f>
        <v>offline</v>
      </c>
      <c r="W292" s="272" t="str">
        <f>IFERROR(__xludf.DUMMYFUNCTION("""COMPUTED_VALUE"""),"simple")</f>
        <v>simple</v>
      </c>
      <c r="X292" s="272" t="str">
        <f>IFERROR(__xludf.DUMMYFUNCTION("""COMPUTED_VALUE"""),"AOV Greater than 4000")</f>
        <v>AOV Greater than 4000</v>
      </c>
      <c r="Y292" s="272" t="str">
        <f>IFERROR(__xludf.DUMMYFUNCTION("""COMPUTED_VALUE"""),"19-21 March")</f>
        <v>19-21 March</v>
      </c>
      <c r="Z292" s="272" t="str">
        <f>IFERROR(__xludf.DUMMYFUNCTION("""COMPUTED_VALUE"""),"69ba94b9914ecb4f77623120")</f>
        <v>69ba94b9914ecb4f77623120</v>
      </c>
      <c r="AA292" s="272">
        <f>IFERROR(__xludf.DUMMYFUNCTION("""COMPUTED_VALUE"""),7.0)</f>
        <v>7</v>
      </c>
      <c r="AB292" s="272"/>
      <c r="AC292" s="272">
        <f>IFERROR(__xludf.DUMMYFUNCTION("""COMPUTED_VALUE"""),7.0)</f>
        <v>7</v>
      </c>
      <c r="AD292" s="272">
        <f>IFERROR(__xludf.DUMMYFUNCTION("""COMPUTED_VALUE"""),36198.0)</f>
        <v>36198</v>
      </c>
      <c r="AE292" s="272"/>
      <c r="AF292" s="272">
        <f>IFERROR(__xludf.DUMMYFUNCTION("""COMPUTED_VALUE"""),36198.0)</f>
        <v>36198</v>
      </c>
      <c r="AG292" s="208"/>
      <c r="AH292" s="208"/>
      <c r="AI292" s="208"/>
      <c r="AJ292" s="208"/>
      <c r="AK292" s="208"/>
    </row>
    <row r="293" hidden="1">
      <c r="A293" s="209">
        <f>IFERROR(__xludf.DUMMYFUNCTION("""COMPUTED_VALUE"""),46100.0)</f>
        <v>46100</v>
      </c>
      <c r="B293" s="210">
        <f>IFERROR(__xludf.DUMMYFUNCTION("""COMPUTED_VALUE"""),0.5)</f>
        <v>0.5</v>
      </c>
      <c r="C293" s="211" t="str">
        <f>IFERROR(__xludf.DUMMYFUNCTION("""COMPUTED_VALUE"""),"Whatsapp")</f>
        <v>Whatsapp</v>
      </c>
      <c r="D293" s="211" t="str">
        <f>IFERROR(__xludf.DUMMYFUNCTION("""COMPUTED_VALUE"""),"Promotional")</f>
        <v>Promotional</v>
      </c>
      <c r="E293" s="211" t="str">
        <f>IFERROR(__xludf.DUMMYFUNCTION("""COMPUTED_VALUE"""),"BBW")</f>
        <v>BBW</v>
      </c>
      <c r="F293" s="211" t="str">
        <f>IFERROR(__xludf.DUMMYFUNCTION("""COMPUTED_VALUE"""),"International Fragrance Week")</f>
        <v>International Fragrance Week</v>
      </c>
      <c r="G293" s="212" t="str">
        <f>IFERROR(__xludf.DUMMYFUNCTION("""COMPUTED_VALUE"""),"bbw_wa_ifw_offline_193_aov_greater_than_4k")</f>
        <v>bbw_wa_ifw_offline_193_aov_greater_than_4k</v>
      </c>
      <c r="H293" s="212" t="str">
        <f>IFERROR(__xludf.DUMMYFUNCTION("""COMPUTED_VALUE"""),"AOV_GreaterThan4K_IFW_Off_v2")</f>
        <v>AOV_GreaterThan4K_IFW_Off_v2</v>
      </c>
      <c r="I293" s="212" t="str">
        <f>IFERROR(__xludf.DUMMYFUNCTION("""COMPUTED_VALUE"""),"Offline Customers who have purchased atleast 2 times with AOV greater than 4000 AND Exclude Last 15 days purchasers Offline OR Loyal_Atleast4Times_IFW_Off OR Repeat_Off_IFW OR AOV_LessThan2999_IFW_Off OR UPT_GreaterThan3_IFW_Off OR Recent_IFW_Off OR High_"&amp;"LTV_GreaterThan15K_IFW_Off")</f>
        <v>Offline Customers who have purchased atleast 2 times with AOV greater than 4000 AND Exclude Last 15 days purchasers Offline OR Loyal_Atleast4Times_IFW_Off OR Repeat_Off_IFW OR AOV_LessThan2999_IFW_Off OR UPT_GreaterThan3_IFW_Off OR Recent_IFW_Off OR High_LTV_GreaterThan15K_IFW_Off</v>
      </c>
      <c r="J293" s="213">
        <f>IFERROR(__xludf.DUMMYFUNCTION("""COMPUTED_VALUE"""),2529.0)</f>
        <v>2529</v>
      </c>
      <c r="K293" s="213">
        <f>IFERROR(__xludf.DUMMYFUNCTION("""COMPUTED_VALUE"""),976.0)</f>
        <v>976</v>
      </c>
      <c r="L293" s="214">
        <f>IFERROR(__xludf.DUMMYFUNCTION("""COMPUTED_VALUE"""),0.3859)</f>
        <v>0.3859</v>
      </c>
      <c r="M293" s="213">
        <f>IFERROR(__xludf.DUMMYFUNCTION("""COMPUTED_VALUE"""),307.0)</f>
        <v>307</v>
      </c>
      <c r="N293" s="214">
        <f>IFERROR(__xludf.DUMMYFUNCTION("""COMPUTED_VALUE"""),0.3145)</f>
        <v>0.3145</v>
      </c>
      <c r="O293" s="213">
        <f>IFERROR(__xludf.DUMMYFUNCTION("""COMPUTED_VALUE"""),12.0)</f>
        <v>12</v>
      </c>
      <c r="P293" s="213">
        <f>IFERROR(__xludf.DUMMYFUNCTION("""COMPUTED_VALUE"""),12.0)</f>
        <v>12</v>
      </c>
      <c r="Q293" s="214">
        <f>IFERROR(__xludf.DUMMYFUNCTION("""COMPUTED_VALUE"""),0.0123)</f>
        <v>0.0123</v>
      </c>
      <c r="R293" s="214">
        <f>IFERROR(__xludf.DUMMYFUNCTION("""COMPUTED_VALUE"""),0.0391)</f>
        <v>0.0391</v>
      </c>
      <c r="S293" s="101">
        <f>IFERROR(__xludf.DUMMYFUNCTION("""COMPUTED_VALUE"""),1.0)</f>
        <v>1</v>
      </c>
      <c r="T293" s="101">
        <f>IFERROR(__xludf.DUMMYFUNCTION("""COMPUTED_VALUE"""),1.0)</f>
        <v>1</v>
      </c>
      <c r="U293" s="270">
        <f>IFERROR(__xludf.DUMMYFUNCTION("""COMPUTED_VALUE"""),4371.0)</f>
        <v>4371</v>
      </c>
      <c r="V293" s="271" t="str">
        <f>IFERROR(__xludf.DUMMYFUNCTION("""COMPUTED_VALUE"""),"offline")</f>
        <v>offline</v>
      </c>
      <c r="W293" s="272" t="str">
        <f>IFERROR(__xludf.DUMMYFUNCTION("""COMPUTED_VALUE"""),"simple")</f>
        <v>simple</v>
      </c>
      <c r="X293" s="272" t="str">
        <f>IFERROR(__xludf.DUMMYFUNCTION("""COMPUTED_VALUE"""),"AOV Greater than 4000")</f>
        <v>AOV Greater than 4000</v>
      </c>
      <c r="Y293" s="272" t="str">
        <f>IFERROR(__xludf.DUMMYFUNCTION("""COMPUTED_VALUE"""),"19-21 March")</f>
        <v>19-21 March</v>
      </c>
      <c r="Z293" s="272" t="str">
        <f>IFERROR(__xludf.DUMMYFUNCTION("""COMPUTED_VALUE"""),"69ba94f68905318635937417")</f>
        <v>69ba94f68905318635937417</v>
      </c>
      <c r="AA293" s="272">
        <f>IFERROR(__xludf.DUMMYFUNCTION("""COMPUTED_VALUE"""),1.0)</f>
        <v>1</v>
      </c>
      <c r="AB293" s="272"/>
      <c r="AC293" s="272">
        <f>IFERROR(__xludf.DUMMYFUNCTION("""COMPUTED_VALUE"""),1.0)</f>
        <v>1</v>
      </c>
      <c r="AD293" s="272">
        <f>IFERROR(__xludf.DUMMYFUNCTION("""COMPUTED_VALUE"""),539.0)</f>
        <v>539</v>
      </c>
      <c r="AE293" s="272"/>
      <c r="AF293" s="272">
        <f>IFERROR(__xludf.DUMMYFUNCTION("""COMPUTED_VALUE"""),539.0)</f>
        <v>539</v>
      </c>
      <c r="AG293" s="208"/>
      <c r="AH293" s="208"/>
      <c r="AI293" s="208"/>
      <c r="AJ293" s="208"/>
      <c r="AK293" s="208"/>
    </row>
    <row r="294" hidden="1">
      <c r="A294" s="209">
        <f>IFERROR(__xludf.DUMMYFUNCTION("""COMPUTED_VALUE"""),46100.0)</f>
        <v>46100</v>
      </c>
      <c r="B294" s="210">
        <f>IFERROR(__xludf.DUMMYFUNCTION("""COMPUTED_VALUE"""),0.5416666666678793)</f>
        <v>0.5416666667</v>
      </c>
      <c r="C294" s="211" t="str">
        <f>IFERROR(__xludf.DUMMYFUNCTION("""COMPUTED_VALUE"""),"Sms")</f>
        <v>Sms</v>
      </c>
      <c r="D294" s="211" t="str">
        <f>IFERROR(__xludf.DUMMYFUNCTION("""COMPUTED_VALUE"""),"Fallback Campaign")</f>
        <v>Fallback Campaign</v>
      </c>
      <c r="E294" s="211" t="str">
        <f>IFERROR(__xludf.DUMMYFUNCTION("""COMPUTED_VALUE"""),"BBW")</f>
        <v>BBW</v>
      </c>
      <c r="F294" s="211" t="str">
        <f>IFERROR(__xludf.DUMMYFUNCTION("""COMPUTED_VALUE"""),"International Fragrance Week")</f>
        <v>International Fragrance Week</v>
      </c>
      <c r="G294" s="212" t="str">
        <f>IFERROR(__xludf.DUMMYFUNCTION("""COMPUTED_VALUE"""),"bbw_ifw_smsfb_offline")</f>
        <v>bbw_ifw_smsfb_offline</v>
      </c>
      <c r="H294" s="212" t="str">
        <f>IFERROR(__xludf.DUMMYFUNCTION("""COMPUTED_VALUE"""),"Has executed WhatsApp Message Delivery Failed atleast 1 time in the last 3 days with attributes Readable Campaign Id contains any of [69ba7c415ba1aa1dce9c8e2d, 69ba7e442b0cb53aacf49ff4, 69ba7dcda88b0be57cd3ae81, 69ba7e9d2d975739a52fd303, 69ba7f24a88b0be57"&amp;"cd3aeec, 69ba94b9914ecb4f77623120, 69ba94f68905318635937417] case insensitive")</f>
        <v>Has executed WhatsApp Message Delivery Failed atleast 1 time in the last 3 days with attributes Readable Campaign Id contains any of [69ba7c415ba1aa1dce9c8e2d, 69ba7e442b0cb53aacf49ff4, 69ba7dcda88b0be57cd3ae81, 69ba7e9d2d975739a52fd303, 69ba7f24a88b0be57cd3aeec, 69ba94b9914ecb4f77623120, 69ba94f68905318635937417] case insensitive</v>
      </c>
      <c r="I294" s="212" t="str">
        <f>IFERROR(__xludf.DUMMYFUNCTION("""COMPUTED_VALUE"""),"Has executed WhatsApp Message Delivery Failed atleast 1 time in the last 3 days with attributes Readable Campaign Id contains any of [69ba7c415ba1aa1dce9c8e2d, 69ba7e442b0cb53aacf49ff4, 69ba7dcda88b0be57cd3ae81, 69ba7e9d2d975739a52fd303, 69ba7f24a88b0be57"&amp;"cd3aeec, 69ba94b9914ecb4f77623120, 69ba94f68905318635937417] case insensitive")</f>
        <v>Has executed WhatsApp Message Delivery Failed atleast 1 time in the last 3 days with attributes Readable Campaign Id contains any of [69ba7c415ba1aa1dce9c8e2d, 69ba7e442b0cb53aacf49ff4, 69ba7dcda88b0be57cd3ae81, 69ba7e9d2d975739a52fd303, 69ba7f24a88b0be57cd3aeec, 69ba94b9914ecb4f77623120, 69ba94f68905318635937417] case insensitive</v>
      </c>
      <c r="J294" s="213">
        <f>IFERROR(__xludf.DUMMYFUNCTION("""COMPUTED_VALUE"""),122119.0)</f>
        <v>122119</v>
      </c>
      <c r="K294" s="213">
        <f>IFERROR(__xludf.DUMMYFUNCTION("""COMPUTED_VALUE"""),69871.0)</f>
        <v>69871</v>
      </c>
      <c r="L294" s="214">
        <f>IFERROR(__xludf.DUMMYFUNCTION("""COMPUTED_VALUE"""),0.5722)</f>
        <v>0.5722</v>
      </c>
      <c r="M294" s="213"/>
      <c r="N294" s="214"/>
      <c r="O294" s="213">
        <f>IFERROR(__xludf.DUMMYFUNCTION("""COMPUTED_VALUE"""),173.0)</f>
        <v>173</v>
      </c>
      <c r="P294" s="213"/>
      <c r="Q294" s="214">
        <f>IFERROR(__xludf.DUMMYFUNCTION("""COMPUTED_VALUE"""),0.0025)</f>
        <v>0.0025</v>
      </c>
      <c r="R294" s="214"/>
      <c r="S294" s="101">
        <f>IFERROR(__xludf.DUMMYFUNCTION("""COMPUTED_VALUE"""),3.0)</f>
        <v>3</v>
      </c>
      <c r="T294" s="101">
        <f>IFERROR(__xludf.DUMMYFUNCTION("""COMPUTED_VALUE"""),5.0)</f>
        <v>5</v>
      </c>
      <c r="U294" s="270">
        <f>IFERROR(__xludf.DUMMYFUNCTION("""COMPUTED_VALUE"""),26011.0)</f>
        <v>26011</v>
      </c>
      <c r="V294" s="271" t="str">
        <f>IFERROR(__xludf.DUMMYFUNCTION("""COMPUTED_VALUE"""),"offline")</f>
        <v>offline</v>
      </c>
      <c r="W294" s="272" t="str">
        <f>IFERROR(__xludf.DUMMYFUNCTION("""COMPUTED_VALUE"""),"SMS")</f>
        <v>SMS</v>
      </c>
      <c r="X294" s="272" t="str">
        <f>IFERROR(__xludf.DUMMYFUNCTION("""COMPUTED_VALUE"""),"-")</f>
        <v>-</v>
      </c>
      <c r="Y294" s="272" t="str">
        <f>IFERROR(__xludf.DUMMYFUNCTION("""COMPUTED_VALUE"""),"19 March")</f>
        <v>19 March</v>
      </c>
      <c r="Z294" s="272" t="str">
        <f>IFERROR(__xludf.DUMMYFUNCTION("""COMPUTED_VALUE"""),"69ba9dacc4ab1133797916ce")</f>
        <v>69ba9dacc4ab1133797916ce</v>
      </c>
      <c r="AA294" s="272">
        <f>IFERROR(__xludf.DUMMYFUNCTION("""COMPUTED_VALUE"""),121.0)</f>
        <v>121</v>
      </c>
      <c r="AB294" s="272"/>
      <c r="AC294" s="272">
        <f>IFERROR(__xludf.DUMMYFUNCTION("""COMPUTED_VALUE"""),121.0)</f>
        <v>121</v>
      </c>
      <c r="AD294" s="272">
        <f>IFERROR(__xludf.DUMMYFUNCTION("""COMPUTED_VALUE"""),533170.0)</f>
        <v>533170</v>
      </c>
      <c r="AE294" s="272"/>
      <c r="AF294" s="272">
        <f>IFERROR(__xludf.DUMMYFUNCTION("""COMPUTED_VALUE"""),533170.0)</f>
        <v>533170</v>
      </c>
      <c r="AG294" s="208"/>
      <c r="AH294" s="208"/>
      <c r="AI294" s="208"/>
      <c r="AJ294" s="208"/>
      <c r="AK294" s="208"/>
    </row>
    <row r="295" hidden="1">
      <c r="A295" s="209">
        <f>IFERROR(__xludf.DUMMYFUNCTION("""COMPUTED_VALUE"""),46102.0)</f>
        <v>46102</v>
      </c>
      <c r="B295" s="210">
        <f>IFERROR(__xludf.DUMMYFUNCTION("""COMPUTED_VALUE"""),0.4583333333321207)</f>
        <v>0.4583333333</v>
      </c>
      <c r="C295" s="211" t="str">
        <f>IFERROR(__xludf.DUMMYFUNCTION("""COMPUTED_VALUE"""),"Whatsapp")</f>
        <v>Whatsapp</v>
      </c>
      <c r="D295" s="211" t="str">
        <f>IFERROR(__xludf.DUMMYFUNCTION("""COMPUTED_VALUE"""),"Promotional")</f>
        <v>Promotional</v>
      </c>
      <c r="E295" s="211" t="str">
        <f>IFERROR(__xludf.DUMMYFUNCTION("""COMPUTED_VALUE"""),"BBW")</f>
        <v>BBW</v>
      </c>
      <c r="F295" s="211" t="str">
        <f>IFERROR(__xludf.DUMMYFUNCTION("""COMPUTED_VALUE"""),"International Fragrance Week")</f>
        <v>International Fragrance Week</v>
      </c>
      <c r="G295" s="212" t="str">
        <f>IFERROR(__xludf.DUMMYFUNCTION("""COMPUTED_VALUE"""),"bbw_wa_ifw_213_bc_catspecific")</f>
        <v>bbw_wa_ifw_213_bc_catspecific</v>
      </c>
      <c r="H295" s="212" t="str">
        <f>IFERROR(__xludf.DUMMYFUNCTION("""COMPUTED_VALUE"""),"Cat_BC_2times_9months OR AGIPL_Internal OR BBW_Internal")</f>
        <v>Cat_BC_2times_9months OR AGIPL_Internal OR BBW_Internal</v>
      </c>
      <c r="I295" s="212" t="str">
        <f>IFERROR(__xludf.DUMMYFUNCTION("""COMPUTED_VALUE"""),"Customers who have purchased from L2 Body Care at least 2 times in the last 9 months")</f>
        <v>Customers who have purchased from L2 Body Care at least 2 times in the last 9 months</v>
      </c>
      <c r="J295" s="213">
        <f>IFERROR(__xludf.DUMMYFUNCTION("""COMPUTED_VALUE"""),39604.0)</f>
        <v>39604</v>
      </c>
      <c r="K295" s="213">
        <f>IFERROR(__xludf.DUMMYFUNCTION("""COMPUTED_VALUE"""),14279.0)</f>
        <v>14279</v>
      </c>
      <c r="L295" s="214">
        <f>IFERROR(__xludf.DUMMYFUNCTION("""COMPUTED_VALUE"""),0.3605)</f>
        <v>0.3605</v>
      </c>
      <c r="M295" s="213">
        <f>IFERROR(__xludf.DUMMYFUNCTION("""COMPUTED_VALUE"""),6771.0)</f>
        <v>6771</v>
      </c>
      <c r="N295" s="214">
        <f>IFERROR(__xludf.DUMMYFUNCTION("""COMPUTED_VALUE"""),0.4742)</f>
        <v>0.4742</v>
      </c>
      <c r="O295" s="213">
        <f>IFERROR(__xludf.DUMMYFUNCTION("""COMPUTED_VALUE"""),563.0)</f>
        <v>563</v>
      </c>
      <c r="P295" s="213">
        <f>IFERROR(__xludf.DUMMYFUNCTION("""COMPUTED_VALUE"""),532.0)</f>
        <v>532</v>
      </c>
      <c r="Q295" s="214">
        <f>IFERROR(__xludf.DUMMYFUNCTION("""COMPUTED_VALUE"""),0.0373)</f>
        <v>0.0373</v>
      </c>
      <c r="R295" s="214">
        <f>IFERROR(__xludf.DUMMYFUNCTION("""COMPUTED_VALUE"""),0.0786)</f>
        <v>0.0786</v>
      </c>
      <c r="S295" s="101">
        <f>IFERROR(__xludf.DUMMYFUNCTION("""COMPUTED_VALUE"""),6.0)</f>
        <v>6</v>
      </c>
      <c r="T295" s="101">
        <f>IFERROR(__xludf.DUMMYFUNCTION("""COMPUTED_VALUE"""),15.0)</f>
        <v>15</v>
      </c>
      <c r="U295" s="270">
        <f>IFERROR(__xludf.DUMMYFUNCTION("""COMPUTED_VALUE"""),21903.0)</f>
        <v>21903</v>
      </c>
      <c r="V295" s="271" t="str">
        <f>IFERROR(__xludf.DUMMYFUNCTION("""COMPUTED_VALUE"""),"overall")</f>
        <v>overall</v>
      </c>
      <c r="W295" s="272" t="str">
        <f>IFERROR(__xludf.DUMMYFUNCTION("""COMPUTED_VALUE"""),"simple")</f>
        <v>simple</v>
      </c>
      <c r="X295" s="272" t="str">
        <f>IFERROR(__xludf.DUMMYFUNCTION("""COMPUTED_VALUE"""),"Category Specific :- BodyCare - Repeat")</f>
        <v>Category Specific :- BodyCare - Repeat</v>
      </c>
      <c r="Y295" s="272" t="str">
        <f>IFERROR(__xludf.DUMMYFUNCTION("""COMPUTED_VALUE"""),"21-23 March")</f>
        <v>21-23 March</v>
      </c>
      <c r="Z295" s="272" t="str">
        <f>IFERROR(__xludf.DUMMYFUNCTION("""COMPUTED_VALUE"""),"69bce7e8542c5257429dc41f")</f>
        <v>69bce7e8542c5257429dc41f</v>
      </c>
      <c r="AA295" s="272">
        <f>IFERROR(__xludf.DUMMYFUNCTION("""COMPUTED_VALUE"""),205.0)</f>
        <v>205</v>
      </c>
      <c r="AB295" s="272">
        <f>IFERROR(__xludf.DUMMYFUNCTION("""COMPUTED_VALUE"""),37.0)</f>
        <v>37</v>
      </c>
      <c r="AC295" s="272">
        <f>IFERROR(__xludf.DUMMYFUNCTION("""COMPUTED_VALUE"""),168.0)</f>
        <v>168</v>
      </c>
      <c r="AD295" s="272">
        <f>IFERROR(__xludf.DUMMYFUNCTION("""COMPUTED_VALUE"""),954540.0)</f>
        <v>954540</v>
      </c>
      <c r="AE295" s="272">
        <f>IFERROR(__xludf.DUMMYFUNCTION("""COMPUTED_VALUE"""),116261.0)</f>
        <v>116261</v>
      </c>
      <c r="AF295" s="272">
        <f>IFERROR(__xludf.DUMMYFUNCTION("""COMPUTED_VALUE"""),838279.0)</f>
        <v>838279</v>
      </c>
      <c r="AG295" s="208"/>
      <c r="AH295" s="208"/>
      <c r="AI295" s="208"/>
      <c r="AJ295" s="208"/>
      <c r="AK295" s="208"/>
    </row>
    <row r="296" hidden="1">
      <c r="A296" s="209">
        <f>IFERROR(__xludf.DUMMYFUNCTION("""COMPUTED_VALUE"""),46102.0)</f>
        <v>46102</v>
      </c>
      <c r="B296" s="210">
        <f>IFERROR(__xludf.DUMMYFUNCTION("""COMPUTED_VALUE"""),0.4583333333321207)</f>
        <v>0.4583333333</v>
      </c>
      <c r="C296" s="211" t="str">
        <f>IFERROR(__xludf.DUMMYFUNCTION("""COMPUTED_VALUE"""),"Whatsapp")</f>
        <v>Whatsapp</v>
      </c>
      <c r="D296" s="211" t="str">
        <f>IFERROR(__xludf.DUMMYFUNCTION("""COMPUTED_VALUE"""),"Promotional")</f>
        <v>Promotional</v>
      </c>
      <c r="E296" s="211" t="str">
        <f>IFERROR(__xludf.DUMMYFUNCTION("""COMPUTED_VALUE"""),"BBW")</f>
        <v>BBW</v>
      </c>
      <c r="F296" s="211" t="str">
        <f>IFERROR(__xludf.DUMMYFUNCTION("""COMPUTED_VALUE"""),"International Fragrance Week")</f>
        <v>International Fragrance Week</v>
      </c>
      <c r="G296" s="212" t="str">
        <f>IFERROR(__xludf.DUMMYFUNCTION("""COMPUTED_VALUE"""),"bbw_wa_ifw_213_candles_catspecific")</f>
        <v>bbw_wa_ifw_213_candles_catspecific</v>
      </c>
      <c r="H296" s="212" t="str">
        <f>IFERROR(__xludf.DUMMYFUNCTION("""COMPUTED_VALUE"""),"Cat_Candles_1time_9months")</f>
        <v>Cat_Candles_1time_9months</v>
      </c>
      <c r="I296" s="212" t="str">
        <f>IFERROR(__xludf.DUMMYFUNCTION("""COMPUTED_VALUE"""),"Customers who have purchased from L3 Candles at least 1 time in the last 9 months")</f>
        <v>Customers who have purchased from L3 Candles at least 1 time in the last 9 months</v>
      </c>
      <c r="J296" s="213">
        <f>IFERROR(__xludf.DUMMYFUNCTION("""COMPUTED_VALUE"""),41725.0)</f>
        <v>41725</v>
      </c>
      <c r="K296" s="213">
        <f>IFERROR(__xludf.DUMMYFUNCTION("""COMPUTED_VALUE"""),15703.0)</f>
        <v>15703</v>
      </c>
      <c r="L296" s="214">
        <f>IFERROR(__xludf.DUMMYFUNCTION("""COMPUTED_VALUE"""),0.3763)</f>
        <v>0.3763</v>
      </c>
      <c r="M296" s="213">
        <f>IFERROR(__xludf.DUMMYFUNCTION("""COMPUTED_VALUE"""),5526.0)</f>
        <v>5526</v>
      </c>
      <c r="N296" s="214">
        <f>IFERROR(__xludf.DUMMYFUNCTION("""COMPUTED_VALUE"""),0.3519)</f>
        <v>0.3519</v>
      </c>
      <c r="O296" s="213">
        <f>IFERROR(__xludf.DUMMYFUNCTION("""COMPUTED_VALUE"""),512.0)</f>
        <v>512</v>
      </c>
      <c r="P296" s="213">
        <f>IFERROR(__xludf.DUMMYFUNCTION("""COMPUTED_VALUE"""),488.0)</f>
        <v>488</v>
      </c>
      <c r="Q296" s="214">
        <f>IFERROR(__xludf.DUMMYFUNCTION("""COMPUTED_VALUE"""),0.0311)</f>
        <v>0.0311</v>
      </c>
      <c r="R296" s="214">
        <f>IFERROR(__xludf.DUMMYFUNCTION("""COMPUTED_VALUE"""),0.0883)</f>
        <v>0.0883</v>
      </c>
      <c r="S296" s="101">
        <f>IFERROR(__xludf.DUMMYFUNCTION("""COMPUTED_VALUE"""),7.0)</f>
        <v>7</v>
      </c>
      <c r="T296" s="101">
        <f>IFERROR(__xludf.DUMMYFUNCTION("""COMPUTED_VALUE"""),11.0)</f>
        <v>11</v>
      </c>
      <c r="U296" s="270">
        <f>IFERROR(__xludf.DUMMYFUNCTION("""COMPUTED_VALUE"""),17279.0)</f>
        <v>17279</v>
      </c>
      <c r="V296" s="271" t="str">
        <f>IFERROR(__xludf.DUMMYFUNCTION("""COMPUTED_VALUE"""),"overall")</f>
        <v>overall</v>
      </c>
      <c r="W296" s="272" t="str">
        <f>IFERROR(__xludf.DUMMYFUNCTION("""COMPUTED_VALUE"""),"simple")</f>
        <v>simple</v>
      </c>
      <c r="X296" s="272" t="str">
        <f>IFERROR(__xludf.DUMMYFUNCTION("""COMPUTED_VALUE"""),"Category Specific :- Candles")</f>
        <v>Category Specific :- Candles</v>
      </c>
      <c r="Y296" s="272" t="str">
        <f>IFERROR(__xludf.DUMMYFUNCTION("""COMPUTED_VALUE"""),"21-23 March")</f>
        <v>21-23 March</v>
      </c>
      <c r="Z296" s="272" t="str">
        <f>IFERROR(__xludf.DUMMYFUNCTION("""COMPUTED_VALUE"""),"69bce821ed927584fe128a76")</f>
        <v>69bce821ed927584fe128a76</v>
      </c>
      <c r="AA296" s="272">
        <f>IFERROR(__xludf.DUMMYFUNCTION("""COMPUTED_VALUE"""),92.0)</f>
        <v>92</v>
      </c>
      <c r="AB296" s="272">
        <f>IFERROR(__xludf.DUMMYFUNCTION("""COMPUTED_VALUE"""),25.0)</f>
        <v>25</v>
      </c>
      <c r="AC296" s="272">
        <f>IFERROR(__xludf.DUMMYFUNCTION("""COMPUTED_VALUE"""),67.0)</f>
        <v>67</v>
      </c>
      <c r="AD296" s="272">
        <f>IFERROR(__xludf.DUMMYFUNCTION("""COMPUTED_VALUE"""),365220.0)</f>
        <v>365220</v>
      </c>
      <c r="AE296" s="272">
        <f>IFERROR(__xludf.DUMMYFUNCTION("""COMPUTED_VALUE"""),61209.0)</f>
        <v>61209</v>
      </c>
      <c r="AF296" s="272">
        <f>IFERROR(__xludf.DUMMYFUNCTION("""COMPUTED_VALUE"""),304011.0)</f>
        <v>304011</v>
      </c>
      <c r="AG296" s="208"/>
      <c r="AH296" s="208"/>
      <c r="AI296" s="208"/>
      <c r="AJ296" s="208"/>
      <c r="AK296" s="208"/>
    </row>
    <row r="297" hidden="1">
      <c r="A297" s="209">
        <f>IFERROR(__xludf.DUMMYFUNCTION("""COMPUTED_VALUE"""),46102.0)</f>
        <v>46102</v>
      </c>
      <c r="B297" s="210">
        <f>IFERROR(__xludf.DUMMYFUNCTION("""COMPUTED_VALUE"""),0.4583333333321207)</f>
        <v>0.4583333333</v>
      </c>
      <c r="C297" s="211" t="str">
        <f>IFERROR(__xludf.DUMMYFUNCTION("""COMPUTED_VALUE"""),"Whatsapp")</f>
        <v>Whatsapp</v>
      </c>
      <c r="D297" s="211" t="str">
        <f>IFERROR(__xludf.DUMMYFUNCTION("""COMPUTED_VALUE"""),"Promotional")</f>
        <v>Promotional</v>
      </c>
      <c r="E297" s="211" t="str">
        <f>IFERROR(__xludf.DUMMYFUNCTION("""COMPUTED_VALUE"""),"BBW")</f>
        <v>BBW</v>
      </c>
      <c r="F297" s="211" t="str">
        <f>IFERROR(__xludf.DUMMYFUNCTION("""COMPUTED_VALUE"""),"International Fragrance Week")</f>
        <v>International Fragrance Week</v>
      </c>
      <c r="G297" s="212" t="str">
        <f>IFERROR(__xludf.DUMMYFUNCTION("""COMPUTED_VALUE"""),"bbw_wa_ifw_213_hs_catspecific")</f>
        <v>bbw_wa_ifw_213_hs_catspecific</v>
      </c>
      <c r="H297" s="212" t="str">
        <f>IFERROR(__xludf.DUMMYFUNCTION("""COMPUTED_VALUE"""),"Cat_Soaps_1time_9months")</f>
        <v>Cat_Soaps_1time_9months</v>
      </c>
      <c r="I297" s="212" t="str">
        <f>IFERROR(__xludf.DUMMYFUNCTION("""COMPUTED_VALUE"""),"Customers who have purchased from L2 Soaps &amp; Sanitizers at least 1 time in the last 9 months")</f>
        <v>Customers who have purchased from L2 Soaps &amp; Sanitizers at least 1 time in the last 9 months</v>
      </c>
      <c r="J297" s="213">
        <f>IFERROR(__xludf.DUMMYFUNCTION("""COMPUTED_VALUE"""),53567.0)</f>
        <v>53567</v>
      </c>
      <c r="K297" s="213">
        <f>IFERROR(__xludf.DUMMYFUNCTION("""COMPUTED_VALUE"""),19735.0)</f>
        <v>19735</v>
      </c>
      <c r="L297" s="214">
        <f>IFERROR(__xludf.DUMMYFUNCTION("""COMPUTED_VALUE"""),0.3684)</f>
        <v>0.3684</v>
      </c>
      <c r="M297" s="213">
        <f>IFERROR(__xludf.DUMMYFUNCTION("""COMPUTED_VALUE"""),8324.0)</f>
        <v>8324</v>
      </c>
      <c r="N297" s="214">
        <f>IFERROR(__xludf.DUMMYFUNCTION("""COMPUTED_VALUE"""),0.4218)</f>
        <v>0.4218</v>
      </c>
      <c r="O297" s="213">
        <f>IFERROR(__xludf.DUMMYFUNCTION("""COMPUTED_VALUE"""),771.0)</f>
        <v>771</v>
      </c>
      <c r="P297" s="213">
        <f>IFERROR(__xludf.DUMMYFUNCTION("""COMPUTED_VALUE"""),723.0)</f>
        <v>723</v>
      </c>
      <c r="Q297" s="214">
        <f>IFERROR(__xludf.DUMMYFUNCTION("""COMPUTED_VALUE"""),0.0366)</f>
        <v>0.0366</v>
      </c>
      <c r="R297" s="214">
        <f>IFERROR(__xludf.DUMMYFUNCTION("""COMPUTED_VALUE"""),0.0869)</f>
        <v>0.0869</v>
      </c>
      <c r="S297" s="101">
        <f>IFERROR(__xludf.DUMMYFUNCTION("""COMPUTED_VALUE"""),8.0)</f>
        <v>8</v>
      </c>
      <c r="T297" s="101">
        <f>IFERROR(__xludf.DUMMYFUNCTION("""COMPUTED_VALUE"""),15.0)</f>
        <v>15</v>
      </c>
      <c r="U297" s="270">
        <f>IFERROR(__xludf.DUMMYFUNCTION("""COMPUTED_VALUE"""),16389.0)</f>
        <v>16389</v>
      </c>
      <c r="V297" s="271" t="str">
        <f>IFERROR(__xludf.DUMMYFUNCTION("""COMPUTED_VALUE"""),"overall")</f>
        <v>overall</v>
      </c>
      <c r="W297" s="272" t="str">
        <f>IFERROR(__xludf.DUMMYFUNCTION("""COMPUTED_VALUE"""),"simple")</f>
        <v>simple</v>
      </c>
      <c r="X297" s="272" t="str">
        <f>IFERROR(__xludf.DUMMYFUNCTION("""COMPUTED_VALUE"""),"Category Specific :- Soaps and Sanitisers")</f>
        <v>Category Specific :- Soaps and Sanitisers</v>
      </c>
      <c r="Y297" s="272" t="str">
        <f>IFERROR(__xludf.DUMMYFUNCTION("""COMPUTED_VALUE"""),"21-23 March")</f>
        <v>21-23 March</v>
      </c>
      <c r="Z297" s="272" t="str">
        <f>IFERROR(__xludf.DUMMYFUNCTION("""COMPUTED_VALUE"""),"69bce8338cbfdf196cc62192")</f>
        <v>69bce8338cbfdf196cc62192</v>
      </c>
      <c r="AA297" s="272">
        <f>IFERROR(__xludf.DUMMYFUNCTION("""COMPUTED_VALUE"""),168.0)</f>
        <v>168</v>
      </c>
      <c r="AB297" s="272">
        <f>IFERROR(__xludf.DUMMYFUNCTION("""COMPUTED_VALUE"""),59.0)</f>
        <v>59</v>
      </c>
      <c r="AC297" s="272">
        <f>IFERROR(__xludf.DUMMYFUNCTION("""COMPUTED_VALUE"""),109.0)</f>
        <v>109</v>
      </c>
      <c r="AD297" s="272">
        <f>IFERROR(__xludf.DUMMYFUNCTION("""COMPUTED_VALUE"""),565627.0)</f>
        <v>565627</v>
      </c>
      <c r="AE297" s="272">
        <f>IFERROR(__xludf.DUMMYFUNCTION("""COMPUTED_VALUE"""),146066.0)</f>
        <v>146066</v>
      </c>
      <c r="AF297" s="272">
        <f>IFERROR(__xludf.DUMMYFUNCTION("""COMPUTED_VALUE"""),419561.0)</f>
        <v>419561</v>
      </c>
      <c r="AG297" s="208"/>
      <c r="AH297" s="208"/>
      <c r="AI297" s="208"/>
      <c r="AJ297" s="208"/>
      <c r="AK297" s="208"/>
    </row>
    <row r="298" hidden="1">
      <c r="A298" s="209">
        <f>IFERROR(__xludf.DUMMYFUNCTION("""COMPUTED_VALUE"""),46103.0)</f>
        <v>46103</v>
      </c>
      <c r="B298" s="210">
        <f>IFERROR(__xludf.DUMMYFUNCTION("""COMPUTED_VALUE"""),0.5)</f>
        <v>0.5</v>
      </c>
      <c r="C298" s="211" t="str">
        <f>IFERROR(__xludf.DUMMYFUNCTION("""COMPUTED_VALUE"""),"Whatsapp")</f>
        <v>Whatsapp</v>
      </c>
      <c r="D298" s="211" t="str">
        <f>IFERROR(__xludf.DUMMYFUNCTION("""COMPUTED_VALUE"""),"Promotional")</f>
        <v>Promotional</v>
      </c>
      <c r="E298" s="211" t="str">
        <f>IFERROR(__xludf.DUMMYFUNCTION("""COMPUTED_VALUE"""),"BBW")</f>
        <v>BBW</v>
      </c>
      <c r="F298" s="211" t="str">
        <f>IFERROR(__xludf.DUMMYFUNCTION("""COMPUTED_VALUE"""),"International Fragrance Week")</f>
        <v>International Fragrance Week</v>
      </c>
      <c r="G298" s="212" t="str">
        <f>IFERROR(__xludf.DUMMYFUNCTION("""COMPUTED_VALUE"""),"bbw_wa_ifw_223_atc_7days")</f>
        <v>bbw_wa_ifw_223_atc_7days</v>
      </c>
      <c r="H298" s="212" t="str">
        <f>IFERROR(__xludf.DUMMYFUNCTION("""COMPUTED_VALUE"""),"ATC_7Days")</f>
        <v>ATC_7Days</v>
      </c>
      <c r="I298" s="212" t="str">
        <f>IFERROR(__xludf.DUMMYFUNCTION("""COMPUTED_VALUE"""),"Customers who have ATC in the last 7 days")</f>
        <v>Customers who have ATC in the last 7 days</v>
      </c>
      <c r="J298" s="213">
        <f>IFERROR(__xludf.DUMMYFUNCTION("""COMPUTED_VALUE"""),540.0)</f>
        <v>540</v>
      </c>
      <c r="K298" s="213">
        <f>IFERROR(__xludf.DUMMYFUNCTION("""COMPUTED_VALUE"""),248.0)</f>
        <v>248</v>
      </c>
      <c r="L298" s="214">
        <f>IFERROR(__xludf.DUMMYFUNCTION("""COMPUTED_VALUE"""),0.4593)</f>
        <v>0.4593</v>
      </c>
      <c r="M298" s="213">
        <f>IFERROR(__xludf.DUMMYFUNCTION("""COMPUTED_VALUE"""),125.0)</f>
        <v>125</v>
      </c>
      <c r="N298" s="214">
        <f>IFERROR(__xludf.DUMMYFUNCTION("""COMPUTED_VALUE"""),0.504)</f>
        <v>0.504</v>
      </c>
      <c r="O298" s="213">
        <f>IFERROR(__xludf.DUMMYFUNCTION("""COMPUTED_VALUE"""),27.0)</f>
        <v>27</v>
      </c>
      <c r="P298" s="213">
        <f>IFERROR(__xludf.DUMMYFUNCTION("""COMPUTED_VALUE"""),27.0)</f>
        <v>27</v>
      </c>
      <c r="Q298" s="214">
        <f>IFERROR(__xludf.DUMMYFUNCTION("""COMPUTED_VALUE"""),0.1089)</f>
        <v>0.1089</v>
      </c>
      <c r="R298" s="214">
        <f>IFERROR(__xludf.DUMMYFUNCTION("""COMPUTED_VALUE"""),0.216)</f>
        <v>0.216</v>
      </c>
      <c r="S298" s="101">
        <f>IFERROR(__xludf.DUMMYFUNCTION("""COMPUTED_VALUE"""),5.0)</f>
        <v>5</v>
      </c>
      <c r="T298" s="101">
        <f>IFERROR(__xludf.DUMMYFUNCTION("""COMPUTED_VALUE"""),9.0)</f>
        <v>9</v>
      </c>
      <c r="U298" s="270">
        <f>IFERROR(__xludf.DUMMYFUNCTION("""COMPUTED_VALUE"""),11144.0)</f>
        <v>11144</v>
      </c>
      <c r="V298" s="271" t="str">
        <f>IFERROR(__xludf.DUMMYFUNCTION("""COMPUTED_VALUE"""),"online")</f>
        <v>online</v>
      </c>
      <c r="W298" s="272" t="str">
        <f>IFERROR(__xludf.DUMMYFUNCTION("""COMPUTED_VALUE"""),"simple")</f>
        <v>simple</v>
      </c>
      <c r="X298" s="272" t="str">
        <f>IFERROR(__xludf.DUMMYFUNCTION("""COMPUTED_VALUE"""),"ATC")</f>
        <v>ATC</v>
      </c>
      <c r="Y298" s="272" t="str">
        <f>IFERROR(__xludf.DUMMYFUNCTION("""COMPUTED_VALUE"""),"22-24 March")</f>
        <v>22-24 March</v>
      </c>
      <c r="Z298" s="272" t="str">
        <f>IFERROR(__xludf.DUMMYFUNCTION("""COMPUTED_VALUE"""),"69bced59d3de9560735fe9fa")</f>
        <v>69bced59d3de9560735fe9fa</v>
      </c>
      <c r="AA298" s="272">
        <f>IFERROR(__xludf.DUMMYFUNCTION("""COMPUTED_VALUE"""),12.0)</f>
        <v>12</v>
      </c>
      <c r="AB298" s="272">
        <f>IFERROR(__xludf.DUMMYFUNCTION("""COMPUTED_VALUE"""),12.0)</f>
        <v>12</v>
      </c>
      <c r="AC298" s="272"/>
      <c r="AD298" s="272">
        <f>IFERROR(__xludf.DUMMYFUNCTION("""COMPUTED_VALUE"""),19874.0)</f>
        <v>19874</v>
      </c>
      <c r="AE298" s="272">
        <f>IFERROR(__xludf.DUMMYFUNCTION("""COMPUTED_VALUE"""),19874.0)</f>
        <v>19874</v>
      </c>
      <c r="AF298" s="272"/>
      <c r="AG298" s="208"/>
      <c r="AH298" s="208"/>
      <c r="AI298" s="208"/>
      <c r="AJ298" s="208"/>
      <c r="AK298" s="208"/>
    </row>
    <row r="299" hidden="1">
      <c r="A299" s="209">
        <f>IFERROR(__xludf.DUMMYFUNCTION("""COMPUTED_VALUE"""),46103.0)</f>
        <v>46103</v>
      </c>
      <c r="B299" s="210">
        <f>IFERROR(__xludf.DUMMYFUNCTION("""COMPUTED_VALUE"""),0.5)</f>
        <v>0.5</v>
      </c>
      <c r="C299" s="211" t="str">
        <f>IFERROR(__xludf.DUMMYFUNCTION("""COMPUTED_VALUE"""),"Whatsapp")</f>
        <v>Whatsapp</v>
      </c>
      <c r="D299" s="211" t="str">
        <f>IFERROR(__xludf.DUMMYFUNCTION("""COMPUTED_VALUE"""),"Promotional")</f>
        <v>Promotional</v>
      </c>
      <c r="E299" s="211" t="str">
        <f>IFERROR(__xludf.DUMMYFUNCTION("""COMPUTED_VALUE"""),"BBW")</f>
        <v>BBW</v>
      </c>
      <c r="F299" s="211" t="str">
        <f>IFERROR(__xludf.DUMMYFUNCTION("""COMPUTED_VALUE"""),"International Fragrance Week")</f>
        <v>International Fragrance Week</v>
      </c>
      <c r="G299" s="212" t="str">
        <f>IFERROR(__xludf.DUMMYFUNCTION("""COMPUTED_VALUE"""),"bbw_wa_ifw_223_wa_clicked_5D")</f>
        <v>bbw_wa_ifw_223_wa_clicked_5D</v>
      </c>
      <c r="H299" s="212" t="str">
        <f>IFERROR(__xludf.DUMMYFUNCTION("""COMPUTED_VALUE"""),"WA_Click_5Days")</f>
        <v>WA_Click_5Days</v>
      </c>
      <c r="I299" s="212" t="str">
        <f>IFERROR(__xludf.DUMMYFUNCTION("""COMPUTED_VALUE"""),"Customers who have engaged with WA Message in the last 5 days")</f>
        <v>Customers who have engaged with WA Message in the last 5 days</v>
      </c>
      <c r="J299" s="213">
        <f>IFERROR(__xludf.DUMMYFUNCTION("""COMPUTED_VALUE"""),7057.0)</f>
        <v>7057</v>
      </c>
      <c r="K299" s="213">
        <f>IFERROR(__xludf.DUMMYFUNCTION("""COMPUTED_VALUE"""),4914.0)</f>
        <v>4914</v>
      </c>
      <c r="L299" s="214">
        <f>IFERROR(__xludf.DUMMYFUNCTION("""COMPUTED_VALUE"""),0.6963)</f>
        <v>0.6963</v>
      </c>
      <c r="M299" s="213">
        <f>IFERROR(__xludf.DUMMYFUNCTION("""COMPUTED_VALUE"""),2336.0)</f>
        <v>2336</v>
      </c>
      <c r="N299" s="214">
        <f>IFERROR(__xludf.DUMMYFUNCTION("""COMPUTED_VALUE"""),0.4754)</f>
        <v>0.4754</v>
      </c>
      <c r="O299" s="213">
        <f>IFERROR(__xludf.DUMMYFUNCTION("""COMPUTED_VALUE"""),621.0)</f>
        <v>621</v>
      </c>
      <c r="P299" s="213">
        <f>IFERROR(__xludf.DUMMYFUNCTION("""COMPUTED_VALUE"""),583.0)</f>
        <v>583</v>
      </c>
      <c r="Q299" s="214">
        <f>IFERROR(__xludf.DUMMYFUNCTION("""COMPUTED_VALUE"""),0.1186)</f>
        <v>0.1186</v>
      </c>
      <c r="R299" s="214">
        <f>IFERROR(__xludf.DUMMYFUNCTION("""COMPUTED_VALUE"""),0.2496)</f>
        <v>0.2496</v>
      </c>
      <c r="S299" s="101">
        <f>IFERROR(__xludf.DUMMYFUNCTION("""COMPUTED_VALUE"""),0.0)</f>
        <v>0</v>
      </c>
      <c r="T299" s="101">
        <f>IFERROR(__xludf.DUMMYFUNCTION("""COMPUTED_VALUE"""),2.0)</f>
        <v>2</v>
      </c>
      <c r="U299" s="270">
        <f>IFERROR(__xludf.DUMMYFUNCTION("""COMPUTED_VALUE"""),0.0)</f>
        <v>0</v>
      </c>
      <c r="V299" s="271" t="str">
        <f>IFERROR(__xludf.DUMMYFUNCTION("""COMPUTED_VALUE"""),"online")</f>
        <v>online</v>
      </c>
      <c r="W299" s="272" t="str">
        <f>IFERROR(__xludf.DUMMYFUNCTION("""COMPUTED_VALUE"""),"simple")</f>
        <v>simple</v>
      </c>
      <c r="X299" s="272" t="str">
        <f>IFERROR(__xludf.DUMMYFUNCTION("""COMPUTED_VALUE"""),"WA Engage")</f>
        <v>WA Engage</v>
      </c>
      <c r="Y299" s="272" t="str">
        <f>IFERROR(__xludf.DUMMYFUNCTION("""COMPUTED_VALUE"""),"22-24 March")</f>
        <v>22-24 March</v>
      </c>
      <c r="Z299" s="272" t="str">
        <f>IFERROR(__xludf.DUMMYFUNCTION("""COMPUTED_VALUE"""),"69bced66d11871026fea6021")</f>
        <v>69bced66d11871026fea6021</v>
      </c>
      <c r="AA299" s="272">
        <f>IFERROR(__xludf.DUMMYFUNCTION("""COMPUTED_VALUE"""),14.0)</f>
        <v>14</v>
      </c>
      <c r="AB299" s="272">
        <f>IFERROR(__xludf.DUMMYFUNCTION("""COMPUTED_VALUE"""),14.0)</f>
        <v>14</v>
      </c>
      <c r="AC299" s="272"/>
      <c r="AD299" s="272">
        <f>IFERROR(__xludf.DUMMYFUNCTION("""COMPUTED_VALUE"""),35776.0)</f>
        <v>35776</v>
      </c>
      <c r="AE299" s="272">
        <f>IFERROR(__xludf.DUMMYFUNCTION("""COMPUTED_VALUE"""),35776.0)</f>
        <v>35776</v>
      </c>
      <c r="AF299" s="272"/>
      <c r="AG299" s="208"/>
      <c r="AH299" s="208"/>
      <c r="AI299" s="208"/>
      <c r="AJ299" s="208"/>
      <c r="AK299" s="208"/>
    </row>
    <row r="300" hidden="1">
      <c r="A300" s="209">
        <f>IFERROR(__xludf.DUMMYFUNCTION("""COMPUTED_VALUE"""),46103.0)</f>
        <v>46103</v>
      </c>
      <c r="B300" s="210">
        <f>IFERROR(__xludf.DUMMYFUNCTION("""COMPUTED_VALUE"""),0.5)</f>
        <v>0.5</v>
      </c>
      <c r="C300" s="211" t="str">
        <f>IFERROR(__xludf.DUMMYFUNCTION("""COMPUTED_VALUE"""),"Whatsapp")</f>
        <v>Whatsapp</v>
      </c>
      <c r="D300" s="211" t="str">
        <f>IFERROR(__xludf.DUMMYFUNCTION("""COMPUTED_VALUE"""),"Promotional")</f>
        <v>Promotional</v>
      </c>
      <c r="E300" s="211" t="str">
        <f>IFERROR(__xludf.DUMMYFUNCTION("""COMPUTED_VALUE"""),"BBW")</f>
        <v>BBW</v>
      </c>
      <c r="F300" s="211" t="str">
        <f>IFERROR(__xludf.DUMMYFUNCTION("""COMPUTED_VALUE"""),"International Fragrance Week")</f>
        <v>International Fragrance Week</v>
      </c>
      <c r="G300" s="212" t="str">
        <f>IFERROR(__xludf.DUMMYFUNCTION("""COMPUTED_VALUE"""),"bbw_wa_ifw_223_item_viewed_30D")</f>
        <v>bbw_wa_ifw_223_item_viewed_30D</v>
      </c>
      <c r="H300" s="212" t="str">
        <f>IFERROR(__xludf.DUMMYFUNCTION("""COMPUTED_VALUE"""),"Item_View_30Days")</f>
        <v>Item_View_30Days</v>
      </c>
      <c r="I300" s="212" t="str">
        <f>IFERROR(__xludf.DUMMYFUNCTION("""COMPUTED_VALUE"""),"Customers who have viewed the website in the last 30 days")</f>
        <v>Customers who have viewed the website in the last 30 days</v>
      </c>
      <c r="J300" s="213">
        <f>IFERROR(__xludf.DUMMYFUNCTION("""COMPUTED_VALUE"""),2409.0)</f>
        <v>2409</v>
      </c>
      <c r="K300" s="213">
        <f>IFERROR(__xludf.DUMMYFUNCTION("""COMPUTED_VALUE"""),1076.0)</f>
        <v>1076</v>
      </c>
      <c r="L300" s="214">
        <f>IFERROR(__xludf.DUMMYFUNCTION("""COMPUTED_VALUE"""),0.4467)</f>
        <v>0.4467</v>
      </c>
      <c r="M300" s="213">
        <f>IFERROR(__xludf.DUMMYFUNCTION("""COMPUTED_VALUE"""),501.0)</f>
        <v>501</v>
      </c>
      <c r="N300" s="214">
        <f>IFERROR(__xludf.DUMMYFUNCTION("""COMPUTED_VALUE"""),0.466)</f>
        <v>0.466</v>
      </c>
      <c r="O300" s="213">
        <f>IFERROR(__xludf.DUMMYFUNCTION("""COMPUTED_VALUE"""),75.0)</f>
        <v>75</v>
      </c>
      <c r="P300" s="213">
        <f>IFERROR(__xludf.DUMMYFUNCTION("""COMPUTED_VALUE"""),72.0)</f>
        <v>72</v>
      </c>
      <c r="Q300" s="214">
        <f>IFERROR(__xludf.DUMMYFUNCTION("""COMPUTED_VALUE"""),0.067)</f>
        <v>0.067</v>
      </c>
      <c r="R300" s="214">
        <f>IFERROR(__xludf.DUMMYFUNCTION("""COMPUTED_VALUE"""),0.1437)</f>
        <v>0.1437</v>
      </c>
      <c r="S300" s="101">
        <f>IFERROR(__xludf.DUMMYFUNCTION("""COMPUTED_VALUE"""),1.0)</f>
        <v>1</v>
      </c>
      <c r="T300" s="101">
        <f>IFERROR(__xludf.DUMMYFUNCTION("""COMPUTED_VALUE"""),22.0)</f>
        <v>22</v>
      </c>
      <c r="U300" s="270">
        <f>IFERROR(__xludf.DUMMYFUNCTION("""COMPUTED_VALUE"""),1379.0)</f>
        <v>1379</v>
      </c>
      <c r="V300" s="271" t="str">
        <f>IFERROR(__xludf.DUMMYFUNCTION("""COMPUTED_VALUE"""),"online")</f>
        <v>online</v>
      </c>
      <c r="W300" s="272" t="str">
        <f>IFERROR(__xludf.DUMMYFUNCTION("""COMPUTED_VALUE"""),"simple")</f>
        <v>simple</v>
      </c>
      <c r="X300" s="272" t="str">
        <f>IFERROR(__xludf.DUMMYFUNCTION("""COMPUTED_VALUE"""),"Web View")</f>
        <v>Web View</v>
      </c>
      <c r="Y300" s="272" t="str">
        <f>IFERROR(__xludf.DUMMYFUNCTION("""COMPUTED_VALUE"""),"22-24 March")</f>
        <v>22-24 March</v>
      </c>
      <c r="Z300" s="272" t="str">
        <f>IFERROR(__xludf.DUMMYFUNCTION("""COMPUTED_VALUE"""),"69bced7bed927584fe128bb7")</f>
        <v>69bced7bed927584fe128bb7</v>
      </c>
      <c r="AA300" s="272">
        <f>IFERROR(__xludf.DUMMYFUNCTION("""COMPUTED_VALUE"""),2.0)</f>
        <v>2</v>
      </c>
      <c r="AB300" s="272">
        <f>IFERROR(__xludf.DUMMYFUNCTION("""COMPUTED_VALUE"""),2.0)</f>
        <v>2</v>
      </c>
      <c r="AC300" s="272"/>
      <c r="AD300" s="272">
        <f>IFERROR(__xludf.DUMMYFUNCTION("""COMPUTED_VALUE"""),3861.0)</f>
        <v>3861</v>
      </c>
      <c r="AE300" s="272">
        <f>IFERROR(__xludf.DUMMYFUNCTION("""COMPUTED_VALUE"""),3861.0)</f>
        <v>3861</v>
      </c>
      <c r="AF300" s="272"/>
      <c r="AG300" s="208"/>
      <c r="AH300" s="208"/>
      <c r="AI300" s="208"/>
      <c r="AJ300" s="208"/>
      <c r="AK300" s="208"/>
    </row>
    <row r="301" hidden="1">
      <c r="A301" s="209">
        <f>IFERROR(__xludf.DUMMYFUNCTION("""COMPUTED_VALUE"""),46103.0)</f>
        <v>46103</v>
      </c>
      <c r="B301" s="210">
        <f>IFERROR(__xludf.DUMMYFUNCTION("""COMPUTED_VALUE"""),0.5)</f>
        <v>0.5</v>
      </c>
      <c r="C301" s="211" t="str">
        <f>IFERROR(__xludf.DUMMYFUNCTION("""COMPUTED_VALUE"""),"Whatsapp")</f>
        <v>Whatsapp</v>
      </c>
      <c r="D301" s="211" t="str">
        <f>IFERROR(__xludf.DUMMYFUNCTION("""COMPUTED_VALUE"""),"Fallback Campaign")</f>
        <v>Fallback Campaign</v>
      </c>
      <c r="E301" s="211" t="str">
        <f>IFERROR(__xludf.DUMMYFUNCTION("""COMPUTED_VALUE"""),"BBW")</f>
        <v>BBW</v>
      </c>
      <c r="F301" s="211" t="str">
        <f>IFERROR(__xludf.DUMMYFUNCTION("""COMPUTED_VALUE"""),"International Fragrance Week")</f>
        <v>International Fragrance Week</v>
      </c>
      <c r="G301" s="212" t="str">
        <f>IFERROR(__xludf.DUMMYFUNCTION("""COMPUTED_VALUE"""),"bbw_wa_ifw_223_wa_delivered_all_18to21")</f>
        <v>bbw_wa_ifw_223_wa_delivered_all_18to21</v>
      </c>
      <c r="H301" s="212" t="str">
        <f>IFERROR(__xludf.DUMMYFUNCTION("""COMPUTED_VALUE"""),"Has executed WhatsApp Message Sent atleast 1 time in the last 5 days with attributes Readable Campaign Id is in [69ba8ea8a8b3b9b2cad5fc6c, 69ba8f33affd649490c9b8db, 69ba90258905318635937264, 69ba9104510d4df39917c9a1, 69ba91c6867170a0d0070ce8, 69ba9268a235"&amp;"03ed1f2dfd51, 69ba8d8d914ecb4f77622e7c, 69ba92dd402e688352d08c02, 69ba7c415ba1aa1dce9c8e2d, 69ba7dcda88b0be57cd3ae81, 69ba7e442b0cb53aacf49ff4, 69ba7e9d2d975739a52fd303, 69ba7f24a88b0be57cd3aeec, 69ba94b9914ecb4f77623120, 69ba94f68905318635937417, 69bce7e"&amp;"8542c5257429dc41f, 69bce821ed927584fe128a76, 69bce8338cbfdf196cc62192] case insensitive")</f>
        <v>Has executed WhatsApp Message Sent atleast 1 time in the last 5 days with attributes Readable Campaign Id is in [69ba8ea8a8b3b9b2cad5fc6c, 69ba8f33affd649490c9b8db, 69ba90258905318635937264, 69ba9104510d4df39917c9a1, 69ba91c6867170a0d0070ce8, 69ba9268a23503ed1f2dfd51, 69ba8d8d914ecb4f77622e7c, 69ba92dd402e688352d08c02, 69ba7c415ba1aa1dce9c8e2d, 69ba7dcda88b0be57cd3ae81, 69ba7e442b0cb53aacf49ff4, 69ba7e9d2d975739a52fd303, 69ba7f24a88b0be57cd3aeec, 69ba94b9914ecb4f77623120, 69ba94f68905318635937417, 69bce7e8542c5257429dc41f, 69bce821ed927584fe128a76, 69bce8338cbfdf196cc62192] case insensitive</v>
      </c>
      <c r="I301" s="212" t="str">
        <f>IFERROR(__xludf.DUMMYFUNCTION("""COMPUTED_VALUE"""),"Has executed WhatsApp Message Sent atleast 1 time in the last 5 days with attributes Readable Campaign Id is in [69ba8ea8a8b3b9b2cad5fc6c, 69ba8f33affd649490c9b8db, 69ba90258905318635937264, 69ba9104510d4df39917c9a1, 69ba91c6867170a0d0070ce8, 69ba9268a235"&amp;"03ed1f2dfd51, 69ba8d8d914ecb4f77622e7c, 69ba92dd402e688352d08c02, 69ba7c415ba1aa1dce9c8e2d, 69ba7dcda88b0be57cd3ae81, 69ba7e442b0cb53aacf49ff4, 69ba7e9d2d975739a52fd303, 69ba7f24a88b0be57cd3aeec, 69ba94b9914ecb4f77623120, 69ba94f68905318635937417, 69bce7e"&amp;"8542c5257429dc41f, 69bce821ed927584fe128a76, 69bce8338cbfdf196cc62192] case insensitive")</f>
        <v>Has executed WhatsApp Message Sent atleast 1 time in the last 5 days with attributes Readable Campaign Id is in [69ba8ea8a8b3b9b2cad5fc6c, 69ba8f33affd649490c9b8db, 69ba90258905318635937264, 69ba9104510d4df39917c9a1, 69ba91c6867170a0d0070ce8, 69ba9268a23503ed1f2dfd51, 69ba8d8d914ecb4f77622e7c, 69ba92dd402e688352d08c02, 69ba7c415ba1aa1dce9c8e2d, 69ba7dcda88b0be57cd3ae81, 69ba7e442b0cb53aacf49ff4, 69ba7e9d2d975739a52fd303, 69ba7f24a88b0be57cd3aeec, 69ba94b9914ecb4f77623120, 69ba94f68905318635937417, 69bce7e8542c5257429dc41f, 69bce821ed927584fe128a76, 69bce8338cbfdf196cc62192] case insensitive</v>
      </c>
      <c r="J301" s="213">
        <f>IFERROR(__xludf.DUMMYFUNCTION("""COMPUTED_VALUE"""),435910.0)</f>
        <v>435910</v>
      </c>
      <c r="K301" s="213">
        <f>IFERROR(__xludf.DUMMYFUNCTION("""COMPUTED_VALUE"""),187558.0)</f>
        <v>187558</v>
      </c>
      <c r="L301" s="214">
        <f>IFERROR(__xludf.DUMMYFUNCTION("""COMPUTED_VALUE"""),0.4303)</f>
        <v>0.4303</v>
      </c>
      <c r="M301" s="213">
        <f>IFERROR(__xludf.DUMMYFUNCTION("""COMPUTED_VALUE"""),65477.0)</f>
        <v>65477</v>
      </c>
      <c r="N301" s="214">
        <f>IFERROR(__xludf.DUMMYFUNCTION("""COMPUTED_VALUE"""),0.3491)</f>
        <v>0.3491</v>
      </c>
      <c r="O301" s="213">
        <f>IFERROR(__xludf.DUMMYFUNCTION("""COMPUTED_VALUE"""),5991.0)</f>
        <v>5991</v>
      </c>
      <c r="P301" s="213">
        <f>IFERROR(__xludf.DUMMYFUNCTION("""COMPUTED_VALUE"""),5774.0)</f>
        <v>5774</v>
      </c>
      <c r="Q301" s="214">
        <f>IFERROR(__xludf.DUMMYFUNCTION("""COMPUTED_VALUE"""),0.0308)</f>
        <v>0.0308</v>
      </c>
      <c r="R301" s="214">
        <f>IFERROR(__xludf.DUMMYFUNCTION("""COMPUTED_VALUE"""),0.0882)</f>
        <v>0.0882</v>
      </c>
      <c r="S301" s="101">
        <f>IFERROR(__xludf.DUMMYFUNCTION("""COMPUTED_VALUE"""),28.0)</f>
        <v>28</v>
      </c>
      <c r="T301" s="101">
        <f>IFERROR(__xludf.DUMMYFUNCTION("""COMPUTED_VALUE"""),47.0)</f>
        <v>47</v>
      </c>
      <c r="U301" s="270">
        <f>IFERROR(__xludf.DUMMYFUNCTION("""COMPUTED_VALUE"""),63536.0)</f>
        <v>63536</v>
      </c>
      <c r="V301" s="271" t="str">
        <f>IFERROR(__xludf.DUMMYFUNCTION("""COMPUTED_VALUE"""),"overall ")</f>
        <v>overall </v>
      </c>
      <c r="W301" s="272" t="str">
        <f>IFERROR(__xludf.DUMMYFUNCTION("""COMPUTED_VALUE"""),"simple")</f>
        <v>simple</v>
      </c>
      <c r="X301" s="272" t="str">
        <f>IFERROR(__xludf.DUMMYFUNCTION("""COMPUTED_VALUE"""),"-")</f>
        <v>-</v>
      </c>
      <c r="Y301" s="272" t="str">
        <f>IFERROR(__xludf.DUMMYFUNCTION("""COMPUTED_VALUE"""),"22-24 March")</f>
        <v>22-24 March</v>
      </c>
      <c r="Z301" s="272" t="str">
        <f>IFERROR(__xludf.DUMMYFUNCTION("""COMPUTED_VALUE"""),"69bcf1fc0959d4c36344b1f8")</f>
        <v>69bcf1fc0959d4c36344b1f8</v>
      </c>
      <c r="AA301" s="272">
        <f>IFERROR(__xludf.DUMMYFUNCTION("""COMPUTED_VALUE"""),756.0)</f>
        <v>756</v>
      </c>
      <c r="AB301" s="272">
        <f>IFERROR(__xludf.DUMMYFUNCTION("""COMPUTED_VALUE"""),278.0)</f>
        <v>278</v>
      </c>
      <c r="AC301" s="272">
        <f>IFERROR(__xludf.DUMMYFUNCTION("""COMPUTED_VALUE"""),480.0)</f>
        <v>480</v>
      </c>
      <c r="AD301" s="272">
        <f>IFERROR(__xludf.DUMMYFUNCTION("""COMPUTED_VALUE"""),2684889.0)</f>
        <v>2684889</v>
      </c>
      <c r="AE301" s="272">
        <f>IFERROR(__xludf.DUMMYFUNCTION("""COMPUTED_VALUE"""),665484.0)</f>
        <v>665484</v>
      </c>
      <c r="AF301" s="272">
        <f>IFERROR(__xludf.DUMMYFUNCTION("""COMPUTED_VALUE"""),2019405.0)</f>
        <v>2019405</v>
      </c>
      <c r="AG301" s="208"/>
      <c r="AH301" s="208"/>
      <c r="AI301" s="208"/>
      <c r="AJ301" s="208"/>
      <c r="AK301" s="208"/>
    </row>
    <row r="302" hidden="1">
      <c r="A302" s="209">
        <f>IFERROR(__xludf.DUMMYFUNCTION("""COMPUTED_VALUE"""),46103.0)</f>
        <v>46103</v>
      </c>
      <c r="B302" s="210">
        <f>IFERROR(__xludf.DUMMYFUNCTION("""COMPUTED_VALUE"""),0.5416666666678793)</f>
        <v>0.5416666667</v>
      </c>
      <c r="C302" s="211" t="str">
        <f>IFERROR(__xludf.DUMMYFUNCTION("""COMPUTED_VALUE"""),"Sms")</f>
        <v>Sms</v>
      </c>
      <c r="D302" s="211" t="str">
        <f>IFERROR(__xludf.DUMMYFUNCTION("""COMPUTED_VALUE"""),"Fallback Campaign")</f>
        <v>Fallback Campaign</v>
      </c>
      <c r="E302" s="211" t="str">
        <f>IFERROR(__xludf.DUMMYFUNCTION("""COMPUTED_VALUE"""),"BBW")</f>
        <v>BBW</v>
      </c>
      <c r="F302" s="211" t="str">
        <f>IFERROR(__xludf.DUMMYFUNCTION("""COMPUTED_VALUE"""),"International Fragrance Week")</f>
        <v>International Fragrance Week</v>
      </c>
      <c r="G302" s="212" t="str">
        <f>IFERROR(__xludf.DUMMYFUNCTION("""COMPUTED_VALUE"""),"bbw_smsfb_ifw_223_atc_7days")</f>
        <v>bbw_smsfb_ifw_223_atc_7days</v>
      </c>
      <c r="H302" s="212" t="str">
        <f>IFERROR(__xludf.DUMMYFUNCTION("""COMPUTED_VALUE"""),"ATC_7Days")</f>
        <v>ATC_7Days</v>
      </c>
      <c r="I302" s="212" t="str">
        <f>IFERROR(__xludf.DUMMYFUNCTION("""COMPUTED_VALUE"""),"WA Undelivered")</f>
        <v>WA Undelivered</v>
      </c>
      <c r="J302" s="213">
        <f>IFERROR(__xludf.DUMMYFUNCTION("""COMPUTED_VALUE"""),288.0)</f>
        <v>288</v>
      </c>
      <c r="K302" s="213">
        <f>IFERROR(__xludf.DUMMYFUNCTION("""COMPUTED_VALUE"""),189.0)</f>
        <v>189</v>
      </c>
      <c r="L302" s="214">
        <f>IFERROR(__xludf.DUMMYFUNCTION("""COMPUTED_VALUE"""),0.6563)</f>
        <v>0.6563</v>
      </c>
      <c r="M302" s="213"/>
      <c r="N302" s="214"/>
      <c r="O302" s="213">
        <f>IFERROR(__xludf.DUMMYFUNCTION("""COMPUTED_VALUE"""),1.0)</f>
        <v>1</v>
      </c>
      <c r="P302" s="213"/>
      <c r="Q302" s="214">
        <f>IFERROR(__xludf.DUMMYFUNCTION("""COMPUTED_VALUE"""),0.0053)</f>
        <v>0.0053</v>
      </c>
      <c r="R302" s="214"/>
      <c r="S302" s="101">
        <f>IFERROR(__xludf.DUMMYFUNCTION("""COMPUTED_VALUE"""),1.0)</f>
        <v>1</v>
      </c>
      <c r="T302" s="101">
        <f>IFERROR(__xludf.DUMMYFUNCTION("""COMPUTED_VALUE"""),5.0)</f>
        <v>5</v>
      </c>
      <c r="U302" s="270">
        <f>IFERROR(__xludf.DUMMYFUNCTION("""COMPUTED_VALUE"""),2050.0)</f>
        <v>2050</v>
      </c>
      <c r="V302" s="271" t="str">
        <f>IFERROR(__xludf.DUMMYFUNCTION("""COMPUTED_VALUE"""),"online")</f>
        <v>online</v>
      </c>
      <c r="W302" s="272" t="str">
        <f>IFERROR(__xludf.DUMMYFUNCTION("""COMPUTED_VALUE"""),"SMS")</f>
        <v>SMS</v>
      </c>
      <c r="X302" s="272" t="str">
        <f>IFERROR(__xludf.DUMMYFUNCTION("""COMPUTED_VALUE"""),"ATC")</f>
        <v>ATC</v>
      </c>
      <c r="Y302" s="272" t="str">
        <f>IFERROR(__xludf.DUMMYFUNCTION("""COMPUTED_VALUE"""),"22 March")</f>
        <v>22 March</v>
      </c>
      <c r="Z302" s="272" t="str">
        <f>IFERROR(__xludf.DUMMYFUNCTION("""COMPUTED_VALUE"""),"69bcf28f096da3b90d76f58b")</f>
        <v>69bcf28f096da3b90d76f58b</v>
      </c>
      <c r="AA302" s="272">
        <f>IFERROR(__xludf.DUMMYFUNCTION("""COMPUTED_VALUE"""),1.0)</f>
        <v>1</v>
      </c>
      <c r="AB302" s="272">
        <f>IFERROR(__xludf.DUMMYFUNCTION("""COMPUTED_VALUE"""),1.0)</f>
        <v>1</v>
      </c>
      <c r="AC302" s="272"/>
      <c r="AD302" s="272">
        <f>IFERROR(__xludf.DUMMYFUNCTION("""COMPUTED_VALUE"""),2050.0)</f>
        <v>2050</v>
      </c>
      <c r="AE302" s="272">
        <f>IFERROR(__xludf.DUMMYFUNCTION("""COMPUTED_VALUE"""),2050.0)</f>
        <v>2050</v>
      </c>
      <c r="AF302" s="272"/>
      <c r="AG302" s="208"/>
      <c r="AH302" s="208"/>
      <c r="AI302" s="208"/>
      <c r="AJ302" s="208"/>
      <c r="AK302" s="208"/>
    </row>
    <row r="303" hidden="1">
      <c r="A303" s="209">
        <f>IFERROR(__xludf.DUMMYFUNCTION("""COMPUTED_VALUE"""),46103.0)</f>
        <v>46103</v>
      </c>
      <c r="B303" s="210">
        <f>IFERROR(__xludf.DUMMYFUNCTION("""COMPUTED_VALUE"""),0.5416666666678793)</f>
        <v>0.5416666667</v>
      </c>
      <c r="C303" s="211" t="str">
        <f>IFERROR(__xludf.DUMMYFUNCTION("""COMPUTED_VALUE"""),"Sms")</f>
        <v>Sms</v>
      </c>
      <c r="D303" s="211" t="str">
        <f>IFERROR(__xludf.DUMMYFUNCTION("""COMPUTED_VALUE"""),"Fallback Campaign")</f>
        <v>Fallback Campaign</v>
      </c>
      <c r="E303" s="211" t="str">
        <f>IFERROR(__xludf.DUMMYFUNCTION("""COMPUTED_VALUE"""),"BBW")</f>
        <v>BBW</v>
      </c>
      <c r="F303" s="211" t="str">
        <f>IFERROR(__xludf.DUMMYFUNCTION("""COMPUTED_VALUE"""),"International Fragrance Week")</f>
        <v>International Fragrance Week</v>
      </c>
      <c r="G303" s="212" t="str">
        <f>IFERROR(__xludf.DUMMYFUNCTION("""COMPUTED_VALUE"""),"bbw_smsfb_ifw_223_wa_clicked_5D")</f>
        <v>bbw_smsfb_ifw_223_wa_clicked_5D</v>
      </c>
      <c r="H303" s="212" t="str">
        <f>IFERROR(__xludf.DUMMYFUNCTION("""COMPUTED_VALUE"""),"WA_Click_5Days")</f>
        <v>WA_Click_5Days</v>
      </c>
      <c r="I303" s="212" t="str">
        <f>IFERROR(__xludf.DUMMYFUNCTION("""COMPUTED_VALUE"""),"WA Undelivered")</f>
        <v>WA Undelivered</v>
      </c>
      <c r="J303" s="213">
        <f>IFERROR(__xludf.DUMMYFUNCTION("""COMPUTED_VALUE"""),2127.0)</f>
        <v>2127</v>
      </c>
      <c r="K303" s="213">
        <f>IFERROR(__xludf.DUMMYFUNCTION("""COMPUTED_VALUE"""),1270.0)</f>
        <v>1270</v>
      </c>
      <c r="L303" s="214">
        <f>IFERROR(__xludf.DUMMYFUNCTION("""COMPUTED_VALUE"""),0.5971)</f>
        <v>0.5971</v>
      </c>
      <c r="M303" s="213"/>
      <c r="N303" s="214"/>
      <c r="O303" s="213">
        <f>IFERROR(__xludf.DUMMYFUNCTION("""COMPUTED_VALUE"""),2.0)</f>
        <v>2</v>
      </c>
      <c r="P303" s="213"/>
      <c r="Q303" s="214">
        <f>IFERROR(__xludf.DUMMYFUNCTION("""COMPUTED_VALUE"""),0.0016)</f>
        <v>0.0016</v>
      </c>
      <c r="R303" s="214"/>
      <c r="S303" s="101">
        <f>IFERROR(__xludf.DUMMYFUNCTION("""COMPUTED_VALUE"""),0.0)</f>
        <v>0</v>
      </c>
      <c r="T303" s="101">
        <f>IFERROR(__xludf.DUMMYFUNCTION("""COMPUTED_VALUE"""),0.0)</f>
        <v>0</v>
      </c>
      <c r="U303" s="270">
        <f>IFERROR(__xludf.DUMMYFUNCTION("""COMPUTED_VALUE"""),0.0)</f>
        <v>0</v>
      </c>
      <c r="V303" s="271" t="str">
        <f>IFERROR(__xludf.DUMMYFUNCTION("""COMPUTED_VALUE"""),"online")</f>
        <v>online</v>
      </c>
      <c r="W303" s="272" t="str">
        <f>IFERROR(__xludf.DUMMYFUNCTION("""COMPUTED_VALUE"""),"SMS")</f>
        <v>SMS</v>
      </c>
      <c r="X303" s="272" t="str">
        <f>IFERROR(__xludf.DUMMYFUNCTION("""COMPUTED_VALUE"""),"WA Engage")</f>
        <v>WA Engage</v>
      </c>
      <c r="Y303" s="272" t="str">
        <f>IFERROR(__xludf.DUMMYFUNCTION("""COMPUTED_VALUE"""),"22 March")</f>
        <v>22 March</v>
      </c>
      <c r="Z303" s="272" t="str">
        <f>IFERROR(__xludf.DUMMYFUNCTION("""COMPUTED_VALUE"""),"69bcf2f11b6cf7e19256a144")</f>
        <v>69bcf2f11b6cf7e19256a144</v>
      </c>
      <c r="AA303" s="272">
        <f>IFERROR(__xludf.DUMMYFUNCTION("""COMPUTED_VALUE"""),0.0)</f>
        <v>0</v>
      </c>
      <c r="AB303" s="272">
        <f>IFERROR(__xludf.DUMMYFUNCTION("""COMPUTED_VALUE"""),0.0)</f>
        <v>0</v>
      </c>
      <c r="AC303" s="272"/>
      <c r="AD303" s="272">
        <f>IFERROR(__xludf.DUMMYFUNCTION("""COMPUTED_VALUE"""),0.0)</f>
        <v>0</v>
      </c>
      <c r="AE303" s="272">
        <f>IFERROR(__xludf.DUMMYFUNCTION("""COMPUTED_VALUE"""),0.0)</f>
        <v>0</v>
      </c>
      <c r="AF303" s="272"/>
      <c r="AG303" s="208"/>
      <c r="AH303" s="208"/>
      <c r="AI303" s="208"/>
      <c r="AJ303" s="208"/>
      <c r="AK303" s="208"/>
    </row>
    <row r="304" hidden="1">
      <c r="A304" s="209">
        <f>IFERROR(__xludf.DUMMYFUNCTION("""COMPUTED_VALUE"""),46103.0)</f>
        <v>46103</v>
      </c>
      <c r="B304" s="210">
        <f>IFERROR(__xludf.DUMMYFUNCTION("""COMPUTED_VALUE"""),0.5416666666678793)</f>
        <v>0.5416666667</v>
      </c>
      <c r="C304" s="211" t="str">
        <f>IFERROR(__xludf.DUMMYFUNCTION("""COMPUTED_VALUE"""),"Sms")</f>
        <v>Sms</v>
      </c>
      <c r="D304" s="211" t="str">
        <f>IFERROR(__xludf.DUMMYFUNCTION("""COMPUTED_VALUE"""),"Fallback Campaign")</f>
        <v>Fallback Campaign</v>
      </c>
      <c r="E304" s="211" t="str">
        <f>IFERROR(__xludf.DUMMYFUNCTION("""COMPUTED_VALUE"""),"BBW")</f>
        <v>BBW</v>
      </c>
      <c r="F304" s="211" t="str">
        <f>IFERROR(__xludf.DUMMYFUNCTION("""COMPUTED_VALUE"""),"International Fragrance Week")</f>
        <v>International Fragrance Week</v>
      </c>
      <c r="G304" s="212" t="str">
        <f>IFERROR(__xludf.DUMMYFUNCTION("""COMPUTED_VALUE"""),"bbw_smsfb_ifw_223_item_viewed_30D")</f>
        <v>bbw_smsfb_ifw_223_item_viewed_30D</v>
      </c>
      <c r="H304" s="212" t="str">
        <f>IFERROR(__xludf.DUMMYFUNCTION("""COMPUTED_VALUE"""),"Item_View_30Days")</f>
        <v>Item_View_30Days</v>
      </c>
      <c r="I304" s="212" t="str">
        <f>IFERROR(__xludf.DUMMYFUNCTION("""COMPUTED_VALUE"""),"WA Undelivered")</f>
        <v>WA Undelivered</v>
      </c>
      <c r="J304" s="213">
        <f>IFERROR(__xludf.DUMMYFUNCTION("""COMPUTED_VALUE"""),1310.0)</f>
        <v>1310</v>
      </c>
      <c r="K304" s="213">
        <f>IFERROR(__xludf.DUMMYFUNCTION("""COMPUTED_VALUE"""),906.0)</f>
        <v>906</v>
      </c>
      <c r="L304" s="214">
        <f>IFERROR(__xludf.DUMMYFUNCTION("""COMPUTED_VALUE"""),0.6916)</f>
        <v>0.6916</v>
      </c>
      <c r="M304" s="213"/>
      <c r="N304" s="214"/>
      <c r="O304" s="213">
        <f>IFERROR(__xludf.DUMMYFUNCTION("""COMPUTED_VALUE"""),2.0)</f>
        <v>2</v>
      </c>
      <c r="P304" s="213"/>
      <c r="Q304" s="214">
        <f>IFERROR(__xludf.DUMMYFUNCTION("""COMPUTED_VALUE"""),0.0022)</f>
        <v>0.0022</v>
      </c>
      <c r="R304" s="214"/>
      <c r="S304" s="101">
        <f>IFERROR(__xludf.DUMMYFUNCTION("""COMPUTED_VALUE"""),0.0)</f>
        <v>0</v>
      </c>
      <c r="T304" s="101">
        <f>IFERROR(__xludf.DUMMYFUNCTION("""COMPUTED_VALUE"""),3.0)</f>
        <v>3</v>
      </c>
      <c r="U304" s="270">
        <f>IFERROR(__xludf.DUMMYFUNCTION("""COMPUTED_VALUE"""),0.0)</f>
        <v>0</v>
      </c>
      <c r="V304" s="271" t="str">
        <f>IFERROR(__xludf.DUMMYFUNCTION("""COMPUTED_VALUE"""),"online")</f>
        <v>online</v>
      </c>
      <c r="W304" s="272" t="str">
        <f>IFERROR(__xludf.DUMMYFUNCTION("""COMPUTED_VALUE"""),"SMS")</f>
        <v>SMS</v>
      </c>
      <c r="X304" s="272" t="str">
        <f>IFERROR(__xludf.DUMMYFUNCTION("""COMPUTED_VALUE"""),"Web View")</f>
        <v>Web View</v>
      </c>
      <c r="Y304" s="272" t="str">
        <f>IFERROR(__xludf.DUMMYFUNCTION("""COMPUTED_VALUE"""),"22 March")</f>
        <v>22 March</v>
      </c>
      <c r="Z304" s="272" t="str">
        <f>IFERROR(__xludf.DUMMYFUNCTION("""COMPUTED_VALUE"""),"69bcf31f60c37dc062dd73b2")</f>
        <v>69bcf31f60c37dc062dd73b2</v>
      </c>
      <c r="AA304" s="272">
        <f>IFERROR(__xludf.DUMMYFUNCTION("""COMPUTED_VALUE"""),1.0)</f>
        <v>1</v>
      </c>
      <c r="AB304" s="272">
        <f>IFERROR(__xludf.DUMMYFUNCTION("""COMPUTED_VALUE"""),1.0)</f>
        <v>1</v>
      </c>
      <c r="AC304" s="272"/>
      <c r="AD304" s="272">
        <f>IFERROR(__xludf.DUMMYFUNCTION("""COMPUTED_VALUE"""),1833.0)</f>
        <v>1833</v>
      </c>
      <c r="AE304" s="272">
        <f>IFERROR(__xludf.DUMMYFUNCTION("""COMPUTED_VALUE"""),1833.0)</f>
        <v>1833</v>
      </c>
      <c r="AF304" s="272"/>
      <c r="AG304" s="208"/>
      <c r="AH304" s="208"/>
      <c r="AI304" s="208"/>
      <c r="AJ304" s="208"/>
      <c r="AK304" s="208"/>
    </row>
    <row r="305" hidden="1">
      <c r="A305" s="209">
        <f>IFERROR(__xludf.DUMMYFUNCTION("""COMPUTED_VALUE"""),46103.0)</f>
        <v>46103</v>
      </c>
      <c r="B305" s="210">
        <f>IFERROR(__xludf.DUMMYFUNCTION("""COMPUTED_VALUE"""),0.5416666666678793)</f>
        <v>0.5416666667</v>
      </c>
      <c r="C305" s="211" t="str">
        <f>IFERROR(__xludf.DUMMYFUNCTION("""COMPUTED_VALUE"""),"Sms")</f>
        <v>Sms</v>
      </c>
      <c r="D305" s="211" t="str">
        <f>IFERROR(__xludf.DUMMYFUNCTION("""COMPUTED_VALUE"""),"Fallback Campaign")</f>
        <v>Fallback Campaign</v>
      </c>
      <c r="E305" s="211" t="str">
        <f>IFERROR(__xludf.DUMMYFUNCTION("""COMPUTED_VALUE"""),"BBW")</f>
        <v>BBW</v>
      </c>
      <c r="F305" s="211" t="str">
        <f>IFERROR(__xludf.DUMMYFUNCTION("""COMPUTED_VALUE"""),"International Fragrance Week")</f>
        <v>International Fragrance Week</v>
      </c>
      <c r="G305" s="212" t="str">
        <f>IFERROR(__xludf.DUMMYFUNCTION("""COMPUTED_VALUE"""),"bbw_smsfb_ifw_223_wa_delivered_all_18to21")</f>
        <v>bbw_smsfb_ifw_223_wa_delivered_all_18to21</v>
      </c>
      <c r="H305" s="212" t="str">
        <f>IFERROR(__xludf.DUMMYFUNCTION("""COMPUTED_VALUE"""),"Has executed WhatsApp Message Sent atleast 1 time in the last 5 days with attributes Readable Campaign Id is in [69ba8ea8a8b3b9b2cad5fc6c, 69ba8f33affd649490c9b8db, 69ba90258905318635937264, 69ba9104510d4df39917c9a1, 69ba91c6867170a0d0070ce8, 69ba9268a235"&amp;"03ed1f2dfd51, 69ba8d8d914ecb4f77622e7c, 69ba92dd402e688352d08c02, 69ba7c415ba1aa1dce9c8e2d, 69ba7dcda88b0be57cd3ae81, 69ba7e442b0cb53aacf49ff4, 69ba7e9d2d975739a52fd303, 69ba7f24a88b0be57cd3aeec, 69ba94b9914ecb4f77623120, 69ba94f68905318635937417, 69bce7e"&amp;"8542c5257429dc41f, 69bce821ed927584fe128a76, 69bce8338cbfdf196cc62192] case insensitive")</f>
        <v>Has executed WhatsApp Message Sent atleast 1 time in the last 5 days with attributes Readable Campaign Id is in [69ba8ea8a8b3b9b2cad5fc6c, 69ba8f33affd649490c9b8db, 69ba90258905318635937264, 69ba9104510d4df39917c9a1, 69ba91c6867170a0d0070ce8, 69ba9268a23503ed1f2dfd51, 69ba8d8d914ecb4f77622e7c, 69ba92dd402e688352d08c02, 69ba7c415ba1aa1dce9c8e2d, 69ba7dcda88b0be57cd3ae81, 69ba7e442b0cb53aacf49ff4, 69ba7e9d2d975739a52fd303, 69ba7f24a88b0be57cd3aeec, 69ba94b9914ecb4f77623120, 69ba94f68905318635937417, 69bce7e8542c5257429dc41f, 69bce821ed927584fe128a76, 69bce8338cbfdf196cc62192] case insensitive</v>
      </c>
      <c r="I305" s="212" t="str">
        <f>IFERROR(__xludf.DUMMYFUNCTION("""COMPUTED_VALUE"""),"WA Undelivered")</f>
        <v>WA Undelivered</v>
      </c>
      <c r="J305" s="213">
        <f>IFERROR(__xludf.DUMMYFUNCTION("""COMPUTED_VALUE"""),238838.0)</f>
        <v>238838</v>
      </c>
      <c r="K305" s="213">
        <f>IFERROR(__xludf.DUMMYFUNCTION("""COMPUTED_VALUE"""),136943.0)</f>
        <v>136943</v>
      </c>
      <c r="L305" s="214">
        <f>IFERROR(__xludf.DUMMYFUNCTION("""COMPUTED_VALUE"""),0.5734)</f>
        <v>0.5734</v>
      </c>
      <c r="M305" s="213"/>
      <c r="N305" s="214"/>
      <c r="O305" s="213">
        <f>IFERROR(__xludf.DUMMYFUNCTION("""COMPUTED_VALUE"""),92.0)</f>
        <v>92</v>
      </c>
      <c r="P305" s="213"/>
      <c r="Q305" s="214">
        <f>IFERROR(__xludf.DUMMYFUNCTION("""COMPUTED_VALUE"""),7.0E-4)</f>
        <v>0.0007</v>
      </c>
      <c r="R305" s="214"/>
      <c r="S305" s="101">
        <f>IFERROR(__xludf.DUMMYFUNCTION("""COMPUTED_VALUE"""),3.0)</f>
        <v>3</v>
      </c>
      <c r="T305" s="101">
        <f>IFERROR(__xludf.DUMMYFUNCTION("""COMPUTED_VALUE"""),14.0)</f>
        <v>14</v>
      </c>
      <c r="U305" s="270">
        <f>IFERROR(__xludf.DUMMYFUNCTION("""COMPUTED_VALUE"""),7835.0)</f>
        <v>7835</v>
      </c>
      <c r="V305" s="271" t="str">
        <f>IFERROR(__xludf.DUMMYFUNCTION("""COMPUTED_VALUE"""),"overall ")</f>
        <v>overall </v>
      </c>
      <c r="W305" s="272" t="str">
        <f>IFERROR(__xludf.DUMMYFUNCTION("""COMPUTED_VALUE"""),"SMS")</f>
        <v>SMS</v>
      </c>
      <c r="X305" s="272" t="str">
        <f>IFERROR(__xludf.DUMMYFUNCTION("""COMPUTED_VALUE"""),"-")</f>
        <v>-</v>
      </c>
      <c r="Y305" s="272" t="str">
        <f>IFERROR(__xludf.DUMMYFUNCTION("""COMPUTED_VALUE"""),"22 March")</f>
        <v>22 March</v>
      </c>
      <c r="Z305" s="272" t="str">
        <f>IFERROR(__xludf.DUMMYFUNCTION("""COMPUTED_VALUE"""),"69bcf360096da3b90d76f5b3")</f>
        <v>69bcf360096da3b90d76f5b3</v>
      </c>
      <c r="AA305" s="272">
        <f>IFERROR(__xludf.DUMMYFUNCTION("""COMPUTED_VALUE"""),236.0)</f>
        <v>236</v>
      </c>
      <c r="AB305" s="272">
        <f>IFERROR(__xludf.DUMMYFUNCTION("""COMPUTED_VALUE"""),16.0)</f>
        <v>16</v>
      </c>
      <c r="AC305" s="272">
        <f>IFERROR(__xludf.DUMMYFUNCTION("""COMPUTED_VALUE"""),220.0)</f>
        <v>220</v>
      </c>
      <c r="AD305" s="272">
        <f>IFERROR(__xludf.DUMMYFUNCTION("""COMPUTED_VALUE"""),940182.0)</f>
        <v>940182</v>
      </c>
      <c r="AE305" s="272">
        <f>IFERROR(__xludf.DUMMYFUNCTION("""COMPUTED_VALUE"""),59183.0)</f>
        <v>59183</v>
      </c>
      <c r="AF305" s="272">
        <f>IFERROR(__xludf.DUMMYFUNCTION("""COMPUTED_VALUE"""),880999.0)</f>
        <v>880999</v>
      </c>
      <c r="AG305" s="208"/>
      <c r="AH305" s="208"/>
      <c r="AI305" s="208"/>
      <c r="AJ305" s="208"/>
      <c r="AK305" s="208"/>
    </row>
    <row r="306" hidden="1">
      <c r="A306" s="209">
        <f>IFERROR(__xludf.DUMMYFUNCTION("""COMPUTED_VALUE"""),46105.0)</f>
        <v>46105</v>
      </c>
      <c r="B306" s="210">
        <f>IFERROR(__xludf.DUMMYFUNCTION("""COMPUTED_VALUE"""),0.8333333333321207)</f>
        <v>0.8333333333</v>
      </c>
      <c r="C306" s="211" t="str">
        <f>IFERROR(__xludf.DUMMYFUNCTION("""COMPUTED_VALUE"""),"Sms")</f>
        <v>Sms</v>
      </c>
      <c r="D306" s="211" t="str">
        <f>IFERROR(__xludf.DUMMYFUNCTION("""COMPUTED_VALUE"""),"Promotional")</f>
        <v>Promotional</v>
      </c>
      <c r="E306" s="211" t="str">
        <f>IFERROR(__xludf.DUMMYFUNCTION("""COMPUTED_VALUE"""),"BBW")</f>
        <v>BBW</v>
      </c>
      <c r="F306" s="211" t="str">
        <f>IFERROR(__xludf.DUMMYFUNCTION("""COMPUTED_VALUE"""),"minis")</f>
        <v>minis</v>
      </c>
      <c r="G306" s="212" t="str">
        <f>IFERROR(__xludf.DUMMYFUNCTION("""COMPUTED_VALUE"""),"bbw_sms_hs_hc_minis_599_243_2times_30D")</f>
        <v>bbw_sms_hs_hc_minis_599_243_2times_30D</v>
      </c>
      <c r="H306" s="212" t="str">
        <f>IFERROR(__xludf.DUMMYFUNCTION("""COMPUTED_VALUE"""),"HS_HC_ATC_2times_30D")</f>
        <v>HS_HC_ATC_2times_30D</v>
      </c>
      <c r="I306" s="212" t="str">
        <f>IFERROR(__xludf.DUMMYFUNCTION("""COMPUTED_VALUE"""),"Customers who have added to cqart at least 2 times in the last 30 days from L2: Hand Soaps or L3: Hand Creams or Cart Value below 999")</f>
        <v>Customers who have added to cqart at least 2 times in the last 30 days from L2: Hand Soaps or L3: Hand Creams or Cart Value below 999</v>
      </c>
      <c r="J306" s="213">
        <f>IFERROR(__xludf.DUMMYFUNCTION("""COMPUTED_VALUE"""),830.0)</f>
        <v>830</v>
      </c>
      <c r="K306" s="213">
        <f>IFERROR(__xludf.DUMMYFUNCTION("""COMPUTED_VALUE"""),441.0)</f>
        <v>441</v>
      </c>
      <c r="L306" s="214">
        <f>IFERROR(__xludf.DUMMYFUNCTION("""COMPUTED_VALUE"""),0.5313)</f>
        <v>0.5313</v>
      </c>
      <c r="M306" s="213"/>
      <c r="N306" s="214"/>
      <c r="O306" s="213">
        <f>IFERROR(__xludf.DUMMYFUNCTION("""COMPUTED_VALUE"""),1.0)</f>
        <v>1</v>
      </c>
      <c r="P306" s="213"/>
      <c r="Q306" s="214">
        <f>IFERROR(__xludf.DUMMYFUNCTION("""COMPUTED_VALUE"""),0.0023)</f>
        <v>0.0023</v>
      </c>
      <c r="R306" s="214"/>
      <c r="S306" s="101">
        <f>IFERROR(__xludf.DUMMYFUNCTION("""COMPUTED_VALUE"""),8.0)</f>
        <v>8</v>
      </c>
      <c r="T306" s="101">
        <f>IFERROR(__xludf.DUMMYFUNCTION("""COMPUTED_VALUE"""),15.0)</f>
        <v>15</v>
      </c>
      <c r="U306" s="270">
        <f>IFERROR(__xludf.DUMMYFUNCTION("""COMPUTED_VALUE"""),28344.0)</f>
        <v>28344</v>
      </c>
      <c r="V306" s="271" t="str">
        <f>IFERROR(__xludf.DUMMYFUNCTION("""COMPUTED_VALUE"""),"online")</f>
        <v>online</v>
      </c>
      <c r="W306" s="272" t="str">
        <f>IFERROR(__xludf.DUMMYFUNCTION("""COMPUTED_VALUE"""),"SMS")</f>
        <v>SMS</v>
      </c>
      <c r="X306" s="272" t="str">
        <f>IFERROR(__xludf.DUMMYFUNCTION("""COMPUTED_VALUE"""),"Add to Cart")</f>
        <v>Add to Cart</v>
      </c>
      <c r="Y306" s="272" t="str">
        <f>IFERROR(__xludf.DUMMYFUNCTION("""COMPUTED_VALUE"""),"24 March")</f>
        <v>24 March</v>
      </c>
      <c r="Z306" s="272" t="str">
        <f>IFERROR(__xludf.DUMMYFUNCTION("""COMPUTED_VALUE"""),"69c26d28e673af54b9a75606")</f>
        <v>69c26d28e673af54b9a75606</v>
      </c>
      <c r="AA306" s="272">
        <f>IFERROR(__xludf.DUMMYFUNCTION("""COMPUTED_VALUE"""),7.0)</f>
        <v>7</v>
      </c>
      <c r="AB306" s="272">
        <f>IFERROR(__xludf.DUMMYFUNCTION("""COMPUTED_VALUE"""),7.0)</f>
        <v>7</v>
      </c>
      <c r="AC306" s="272"/>
      <c r="AD306" s="272">
        <f>IFERROR(__xludf.DUMMYFUNCTION("""COMPUTED_VALUE"""),8045.0)</f>
        <v>8045</v>
      </c>
      <c r="AE306" s="272">
        <f>IFERROR(__xludf.DUMMYFUNCTION("""COMPUTED_VALUE"""),8045.0)</f>
        <v>8045</v>
      </c>
      <c r="AF306" s="272"/>
      <c r="AG306" s="208"/>
      <c r="AH306" s="208"/>
      <c r="AI306" s="208"/>
      <c r="AJ306" s="208"/>
      <c r="AK306" s="208"/>
    </row>
    <row r="307" hidden="1">
      <c r="A307" s="209">
        <f>IFERROR(__xludf.DUMMYFUNCTION("""COMPUTED_VALUE"""),46105.0)</f>
        <v>46105</v>
      </c>
      <c r="B307" s="210">
        <f>IFERROR(__xludf.DUMMYFUNCTION("""COMPUTED_VALUE"""),0.8333333333321207)</f>
        <v>0.8333333333</v>
      </c>
      <c r="C307" s="211" t="str">
        <f>IFERROR(__xludf.DUMMYFUNCTION("""COMPUTED_VALUE"""),"Sms")</f>
        <v>Sms</v>
      </c>
      <c r="D307" s="211" t="str">
        <f>IFERROR(__xludf.DUMMYFUNCTION("""COMPUTED_VALUE"""),"Promotional")</f>
        <v>Promotional</v>
      </c>
      <c r="E307" s="211" t="str">
        <f>IFERROR(__xludf.DUMMYFUNCTION("""COMPUTED_VALUE"""),"BBW")</f>
        <v>BBW</v>
      </c>
      <c r="F307" s="211" t="str">
        <f>IFERROR(__xludf.DUMMYFUNCTION("""COMPUTED_VALUE"""),"minis")</f>
        <v>minis</v>
      </c>
      <c r="G307" s="212" t="str">
        <f>IFERROR(__xludf.DUMMYFUNCTION("""COMPUTED_VALUE"""),"bbw_sms_hs_hc_minis_599_243_predom_repeat")</f>
        <v>bbw_sms_hs_hc_minis_599_243_predom_repeat</v>
      </c>
      <c r="H307" s="212" t="str">
        <f>IFERROR(__xludf.DUMMYFUNCTION("""COMPUTED_VALUE"""),"HS_HC_Minis_Predom_Repeat")</f>
        <v>HS_HC_Minis_Predom_Repeat</v>
      </c>
      <c r="I307" s="212" t="str">
        <f>IFERROR(__xludf.DUMMYFUNCTION("""COMPUTED_VALUE"""),"Customers who have purchased at least 2 times PREDOM from L2: Travel Size or L3: Hand Cream or L3: Liquid Soaps in the last 730 days")</f>
        <v>Customers who have purchased at least 2 times PREDOM from L2: Travel Size or L3: Hand Cream or L3: Liquid Soaps in the last 730 days</v>
      </c>
      <c r="J307" s="213">
        <f>IFERROR(__xludf.DUMMYFUNCTION("""COMPUTED_VALUE"""),17961.0)</f>
        <v>17961</v>
      </c>
      <c r="K307" s="213">
        <f>IFERROR(__xludf.DUMMYFUNCTION("""COMPUTED_VALUE"""),10116.0)</f>
        <v>10116</v>
      </c>
      <c r="L307" s="214">
        <f>IFERROR(__xludf.DUMMYFUNCTION("""COMPUTED_VALUE"""),0.5632)</f>
        <v>0.5632</v>
      </c>
      <c r="M307" s="213"/>
      <c r="N307" s="214"/>
      <c r="O307" s="213">
        <f>IFERROR(__xludf.DUMMYFUNCTION("""COMPUTED_VALUE"""),10.0)</f>
        <v>10</v>
      </c>
      <c r="P307" s="213"/>
      <c r="Q307" s="214">
        <f>IFERROR(__xludf.DUMMYFUNCTION("""COMPUTED_VALUE"""),0.001)</f>
        <v>0.001</v>
      </c>
      <c r="R307" s="214"/>
      <c r="S307" s="101">
        <f>IFERROR(__xludf.DUMMYFUNCTION("""COMPUTED_VALUE"""),0.0)</f>
        <v>0</v>
      </c>
      <c r="T307" s="101">
        <f>IFERROR(__xludf.DUMMYFUNCTION("""COMPUTED_VALUE"""),2.0)</f>
        <v>2</v>
      </c>
      <c r="U307" s="270">
        <f>IFERROR(__xludf.DUMMYFUNCTION("""COMPUTED_VALUE"""),0.0)</f>
        <v>0</v>
      </c>
      <c r="V307" s="271" t="str">
        <f>IFERROR(__xludf.DUMMYFUNCTION("""COMPUTED_VALUE"""),"overall")</f>
        <v>overall</v>
      </c>
      <c r="W307" s="272" t="str">
        <f>IFERROR(__xludf.DUMMYFUNCTION("""COMPUTED_VALUE"""),"SMS")</f>
        <v>SMS</v>
      </c>
      <c r="X307" s="272" t="str">
        <f>IFERROR(__xludf.DUMMYFUNCTION("""COMPUTED_VALUE"""),"Repeat  Predom Cat")</f>
        <v>Repeat  Predom Cat</v>
      </c>
      <c r="Y307" s="272" t="str">
        <f>IFERROR(__xludf.DUMMYFUNCTION("""COMPUTED_VALUE"""),"24 March")</f>
        <v>24 March</v>
      </c>
      <c r="Z307" s="272" t="str">
        <f>IFERROR(__xludf.DUMMYFUNCTION("""COMPUTED_VALUE"""),"69c26d39aed8e2a5aef16111")</f>
        <v>69c26d39aed8e2a5aef16111</v>
      </c>
      <c r="AA307" s="272">
        <f>IFERROR(__xludf.DUMMYFUNCTION("""COMPUTED_VALUE"""),3.0)</f>
        <v>3</v>
      </c>
      <c r="AB307" s="272">
        <f>IFERROR(__xludf.DUMMYFUNCTION("""COMPUTED_VALUE"""),1.0)</f>
        <v>1</v>
      </c>
      <c r="AC307" s="272">
        <f>IFERROR(__xludf.DUMMYFUNCTION("""COMPUTED_VALUE"""),2.0)</f>
        <v>2</v>
      </c>
      <c r="AD307" s="272">
        <f>IFERROR(__xludf.DUMMYFUNCTION("""COMPUTED_VALUE"""),13294.0)</f>
        <v>13294</v>
      </c>
      <c r="AE307" s="272">
        <f>IFERROR(__xludf.DUMMYFUNCTION("""COMPUTED_VALUE"""),1999.0)</f>
        <v>1999</v>
      </c>
      <c r="AF307" s="272">
        <f>IFERROR(__xludf.DUMMYFUNCTION("""COMPUTED_VALUE"""),11295.0)</f>
        <v>11295</v>
      </c>
      <c r="AG307" s="208"/>
      <c r="AH307" s="208"/>
      <c r="AI307" s="208"/>
      <c r="AJ307" s="208"/>
      <c r="AK307" s="208"/>
    </row>
    <row r="308" hidden="1">
      <c r="A308" s="209">
        <f>IFERROR(__xludf.DUMMYFUNCTION("""COMPUTED_VALUE"""),46105.0)</f>
        <v>46105</v>
      </c>
      <c r="B308" s="210">
        <f>IFERROR(__xludf.DUMMYFUNCTION("""COMPUTED_VALUE"""),0.8333333333321207)</f>
        <v>0.8333333333</v>
      </c>
      <c r="C308" s="211" t="str">
        <f>IFERROR(__xludf.DUMMYFUNCTION("""COMPUTED_VALUE"""),"Sms")</f>
        <v>Sms</v>
      </c>
      <c r="D308" s="211" t="str">
        <f>IFERROR(__xludf.DUMMYFUNCTION("""COMPUTED_VALUE"""),"Promotional")</f>
        <v>Promotional</v>
      </c>
      <c r="E308" s="211" t="str">
        <f>IFERROR(__xludf.DUMMYFUNCTION("""COMPUTED_VALUE"""),"BBW")</f>
        <v>BBW</v>
      </c>
      <c r="F308" s="211" t="str">
        <f>IFERROR(__xludf.DUMMYFUNCTION("""COMPUTED_VALUE"""),"minis")</f>
        <v>minis</v>
      </c>
      <c r="G308" s="212" t="str">
        <f>IFERROR(__xludf.DUMMYFUNCTION("""COMPUTED_VALUE"""),"bbw_sms_hs_hc_minis_599_243_value_less_than_899")</f>
        <v>bbw_sms_hs_hc_minis_599_243_value_less_than_899</v>
      </c>
      <c r="H308" s="212" t="str">
        <f>IFERROR(__xludf.DUMMYFUNCTION("""COMPUTED_VALUE"""),"Repeat_Predom_Value_Less_Than_899")</f>
        <v>Repeat_Predom_Value_Less_Than_899</v>
      </c>
      <c r="I308" s="212" t="str">
        <f>IFERROR(__xludf.DUMMYFUNCTION("""COMPUTED_VALUE"""),"Customers who have purchased at least 2 times PREDOM with cart value &lt;899 in the last 730 days")</f>
        <v>Customers who have purchased at least 2 times PREDOM with cart value &lt;899 in the last 730 days</v>
      </c>
      <c r="J308" s="213">
        <f>IFERROR(__xludf.DUMMYFUNCTION("""COMPUTED_VALUE"""),30371.0)</f>
        <v>30371</v>
      </c>
      <c r="K308" s="213">
        <f>IFERROR(__xludf.DUMMYFUNCTION("""COMPUTED_VALUE"""),18687.0)</f>
        <v>18687</v>
      </c>
      <c r="L308" s="214">
        <f>IFERROR(__xludf.DUMMYFUNCTION("""COMPUTED_VALUE"""),0.6153)</f>
        <v>0.6153</v>
      </c>
      <c r="M308" s="213"/>
      <c r="N308" s="214"/>
      <c r="O308" s="213">
        <f>IFERROR(__xludf.DUMMYFUNCTION("""COMPUTED_VALUE"""),25.0)</f>
        <v>25</v>
      </c>
      <c r="P308" s="213"/>
      <c r="Q308" s="214">
        <f>IFERROR(__xludf.DUMMYFUNCTION("""COMPUTED_VALUE"""),0.0013)</f>
        <v>0.0013</v>
      </c>
      <c r="R308" s="214"/>
      <c r="S308" s="101">
        <f>IFERROR(__xludf.DUMMYFUNCTION("""COMPUTED_VALUE"""),0.0)</f>
        <v>0</v>
      </c>
      <c r="T308" s="101">
        <f>IFERROR(__xludf.DUMMYFUNCTION("""COMPUTED_VALUE"""),0.0)</f>
        <v>0</v>
      </c>
      <c r="U308" s="270">
        <f>IFERROR(__xludf.DUMMYFUNCTION("""COMPUTED_VALUE"""),0.0)</f>
        <v>0</v>
      </c>
      <c r="V308" s="271" t="str">
        <f>IFERROR(__xludf.DUMMYFUNCTION("""COMPUTED_VALUE"""),"overall")</f>
        <v>overall</v>
      </c>
      <c r="W308" s="272" t="str">
        <f>IFERROR(__xludf.DUMMYFUNCTION("""COMPUTED_VALUE"""),"SMS")</f>
        <v>SMS</v>
      </c>
      <c r="X308" s="272" t="str">
        <f>IFERROR(__xludf.DUMMYFUNCTION("""COMPUTED_VALUE"""),"Predom Item Value")</f>
        <v>Predom Item Value</v>
      </c>
      <c r="Y308" s="272" t="str">
        <f>IFERROR(__xludf.DUMMYFUNCTION("""COMPUTED_VALUE"""),"24 March")</f>
        <v>24 March</v>
      </c>
      <c r="Z308" s="272" t="str">
        <f>IFERROR(__xludf.DUMMYFUNCTION("""COMPUTED_VALUE"""),"69c26d4afbe99720060ddded")</f>
        <v>69c26d4afbe99720060ddded</v>
      </c>
      <c r="AA308" s="272">
        <f>IFERROR(__xludf.DUMMYFUNCTION("""COMPUTED_VALUE"""),5.0)</f>
        <v>5</v>
      </c>
      <c r="AB308" s="272">
        <f>IFERROR(__xludf.DUMMYFUNCTION("""COMPUTED_VALUE"""),1.0)</f>
        <v>1</v>
      </c>
      <c r="AC308" s="272">
        <f>IFERROR(__xludf.DUMMYFUNCTION("""COMPUTED_VALUE"""),4.0)</f>
        <v>4</v>
      </c>
      <c r="AD308" s="272">
        <f>IFERROR(__xludf.DUMMYFUNCTION("""COMPUTED_VALUE"""),7792.0)</f>
        <v>7792</v>
      </c>
      <c r="AE308" s="272">
        <f>IFERROR(__xludf.DUMMYFUNCTION("""COMPUTED_VALUE"""),299.0)</f>
        <v>299</v>
      </c>
      <c r="AF308" s="272">
        <f>IFERROR(__xludf.DUMMYFUNCTION("""COMPUTED_VALUE"""),7493.0)</f>
        <v>7493</v>
      </c>
      <c r="AG308" s="208"/>
      <c r="AH308" s="208"/>
      <c r="AI308" s="208"/>
      <c r="AJ308" s="208"/>
      <c r="AK308" s="208"/>
    </row>
    <row r="309" hidden="1">
      <c r="A309" s="209">
        <f>IFERROR(__xludf.DUMMYFUNCTION("""COMPUTED_VALUE"""),46105.0)</f>
        <v>46105</v>
      </c>
      <c r="B309" s="210">
        <f>IFERROR(__xludf.DUMMYFUNCTION("""COMPUTED_VALUE"""),0.8333333333321207)</f>
        <v>0.8333333333</v>
      </c>
      <c r="C309" s="211" t="str">
        <f>IFERROR(__xludf.DUMMYFUNCTION("""COMPUTED_VALUE"""),"Sms")</f>
        <v>Sms</v>
      </c>
      <c r="D309" s="211" t="str">
        <f>IFERROR(__xludf.DUMMYFUNCTION("""COMPUTED_VALUE"""),"Promotional")</f>
        <v>Promotional</v>
      </c>
      <c r="E309" s="211" t="str">
        <f>IFERROR(__xludf.DUMMYFUNCTION("""COMPUTED_VALUE"""),"BBW")</f>
        <v>BBW</v>
      </c>
      <c r="F309" s="211" t="str">
        <f>IFERROR(__xludf.DUMMYFUNCTION("""COMPUTED_VALUE"""),"minis")</f>
        <v>minis</v>
      </c>
      <c r="G309" s="212" t="str">
        <f>IFERROR(__xludf.DUMMYFUNCTION("""COMPUTED_VALUE"""),"bbw_sms_hs_hc_minis_599_243_fullprice")</f>
        <v>bbw_sms_hs_hc_minis_599_243_fullprice</v>
      </c>
      <c r="H309" s="212" t="str">
        <f>IFERROR(__xludf.DUMMYFUNCTION("""COMPUTED_VALUE"""),"HC_HS_Minis_FullPrice")</f>
        <v>HC_HS_Minis_FullPrice</v>
      </c>
      <c r="I309" s="212" t="str">
        <f>IFERROR(__xludf.DUMMYFUNCTION("""COMPUTED_VALUE"""),"Customers who have purchased at least 1 time from L2: Travel Size or L3: Hand Cream or L3: Liquid Soaps in the last 1095 days at full price")</f>
        <v>Customers who have purchased at least 1 time from L2: Travel Size or L3: Hand Cream or L3: Liquid Soaps in the last 1095 days at full price</v>
      </c>
      <c r="J309" s="213">
        <f>IFERROR(__xludf.DUMMYFUNCTION("""COMPUTED_VALUE"""),2670.0)</f>
        <v>2670</v>
      </c>
      <c r="K309" s="213">
        <f>IFERROR(__xludf.DUMMYFUNCTION("""COMPUTED_VALUE"""),1715.0)</f>
        <v>1715</v>
      </c>
      <c r="L309" s="214">
        <f>IFERROR(__xludf.DUMMYFUNCTION("""COMPUTED_VALUE"""),0.6423)</f>
        <v>0.6423</v>
      </c>
      <c r="M309" s="213"/>
      <c r="N309" s="214"/>
      <c r="O309" s="213">
        <f>IFERROR(__xludf.DUMMYFUNCTION("""COMPUTED_VALUE"""),1.0)</f>
        <v>1</v>
      </c>
      <c r="P309" s="213"/>
      <c r="Q309" s="214">
        <f>IFERROR(__xludf.DUMMYFUNCTION("""COMPUTED_VALUE"""),6.0E-4)</f>
        <v>0.0006</v>
      </c>
      <c r="R309" s="214"/>
      <c r="S309" s="101">
        <f>IFERROR(__xludf.DUMMYFUNCTION("""COMPUTED_VALUE"""),0.0)</f>
        <v>0</v>
      </c>
      <c r="T309" s="101">
        <f>IFERROR(__xludf.DUMMYFUNCTION("""COMPUTED_VALUE"""),0.0)</f>
        <v>0</v>
      </c>
      <c r="U309" s="270">
        <f>IFERROR(__xludf.DUMMYFUNCTION("""COMPUTED_VALUE"""),0.0)</f>
        <v>0</v>
      </c>
      <c r="V309" s="271" t="str">
        <f>IFERROR(__xludf.DUMMYFUNCTION("""COMPUTED_VALUE"""),"overall")</f>
        <v>overall</v>
      </c>
      <c r="W309" s="272" t="str">
        <f>IFERROR(__xludf.DUMMYFUNCTION("""COMPUTED_VALUE"""),"SMS")</f>
        <v>SMS</v>
      </c>
      <c r="X309" s="272" t="str">
        <f>IFERROR(__xludf.DUMMYFUNCTION("""COMPUTED_VALUE"""),"Full Price Cat")</f>
        <v>Full Price Cat</v>
      </c>
      <c r="Y309" s="272" t="str">
        <f>IFERROR(__xludf.DUMMYFUNCTION("""COMPUTED_VALUE"""),"24 March")</f>
        <v>24 March</v>
      </c>
      <c r="Z309" s="272" t="str">
        <f>IFERROR(__xludf.DUMMYFUNCTION("""COMPUTED_VALUE"""),"69c26d591fb6aab2a58644e3")</f>
        <v>69c26d591fb6aab2a58644e3</v>
      </c>
      <c r="AA309" s="272">
        <f>IFERROR(__xludf.DUMMYFUNCTION("""COMPUTED_VALUE"""),0.0)</f>
        <v>0</v>
      </c>
      <c r="AB309" s="272">
        <f>IFERROR(__xludf.DUMMYFUNCTION("""COMPUTED_VALUE"""),0.0)</f>
        <v>0</v>
      </c>
      <c r="AC309" s="272">
        <f>IFERROR(__xludf.DUMMYFUNCTION("""COMPUTED_VALUE"""),0.0)</f>
        <v>0</v>
      </c>
      <c r="AD309" s="272">
        <f>IFERROR(__xludf.DUMMYFUNCTION("""COMPUTED_VALUE"""),0.0)</f>
        <v>0</v>
      </c>
      <c r="AE309" s="272">
        <f>IFERROR(__xludf.DUMMYFUNCTION("""COMPUTED_VALUE"""),0.0)</f>
        <v>0</v>
      </c>
      <c r="AF309" s="272">
        <f>IFERROR(__xludf.DUMMYFUNCTION("""COMPUTED_VALUE"""),0.0)</f>
        <v>0</v>
      </c>
      <c r="AG309" s="208"/>
      <c r="AH309" s="208"/>
      <c r="AI309" s="208"/>
      <c r="AJ309" s="208"/>
      <c r="AK309" s="208"/>
    </row>
    <row r="310" hidden="1">
      <c r="A310" s="209">
        <f>IFERROR(__xludf.DUMMYFUNCTION("""COMPUTED_VALUE"""),46105.0)</f>
        <v>46105</v>
      </c>
      <c r="B310" s="210">
        <f>IFERROR(__xludf.DUMMYFUNCTION("""COMPUTED_VALUE"""),0.8333333333321207)</f>
        <v>0.8333333333</v>
      </c>
      <c r="C310" s="211" t="str">
        <f>IFERROR(__xludf.DUMMYFUNCTION("""COMPUTED_VALUE"""),"Sms")</f>
        <v>Sms</v>
      </c>
      <c r="D310" s="211" t="str">
        <f>IFERROR(__xludf.DUMMYFUNCTION("""COMPUTED_VALUE"""),"Promotional")</f>
        <v>Promotional</v>
      </c>
      <c r="E310" s="211" t="str">
        <f>IFERROR(__xludf.DUMMYFUNCTION("""COMPUTED_VALUE"""),"BBW")</f>
        <v>BBW</v>
      </c>
      <c r="F310" s="211" t="str">
        <f>IFERROR(__xludf.DUMMYFUNCTION("""COMPUTED_VALUE"""),"minis")</f>
        <v>minis</v>
      </c>
      <c r="G310" s="212" t="str">
        <f>IFERROR(__xludf.DUMMYFUNCTION("""COMPUTED_VALUE"""),"bbw_sms_hs_hc_minis_599_243_dormant")</f>
        <v>bbw_sms_hs_hc_minis_599_243_dormant</v>
      </c>
      <c r="H310" s="212" t="str">
        <f>IFERROR(__xludf.DUMMYFUNCTION("""COMPUTED_VALUE"""),"HS_HC_Minis_Dormant")</f>
        <v>HS_HC_Minis_Dormant</v>
      </c>
      <c r="I310" s="212" t="str">
        <f>IFERROR(__xludf.DUMMYFUNCTION("""COMPUTED_VALUE"""),"Customers who have purchased at least 1 time from L2: Travel Size or L3: Hand Cream or L3: Liquid Soaps in the last 365 days")</f>
        <v>Customers who have purchased at least 1 time from L2: Travel Size or L3: Hand Cream or L3: Liquid Soaps in the last 365 days</v>
      </c>
      <c r="J310" s="213">
        <f>IFERROR(__xludf.DUMMYFUNCTION("""COMPUTED_VALUE"""),40291.0)</f>
        <v>40291</v>
      </c>
      <c r="K310" s="213">
        <f>IFERROR(__xludf.DUMMYFUNCTION("""COMPUTED_VALUE"""),22389.0)</f>
        <v>22389</v>
      </c>
      <c r="L310" s="214">
        <f>IFERROR(__xludf.DUMMYFUNCTION("""COMPUTED_VALUE"""),0.5557)</f>
        <v>0.5557</v>
      </c>
      <c r="M310" s="213"/>
      <c r="N310" s="214"/>
      <c r="O310" s="213">
        <f>IFERROR(__xludf.DUMMYFUNCTION("""COMPUTED_VALUE"""),23.0)</f>
        <v>23</v>
      </c>
      <c r="P310" s="213"/>
      <c r="Q310" s="214">
        <f>IFERROR(__xludf.DUMMYFUNCTION("""COMPUTED_VALUE"""),0.001)</f>
        <v>0.001</v>
      </c>
      <c r="R310" s="214"/>
      <c r="S310" s="101">
        <f>IFERROR(__xludf.DUMMYFUNCTION("""COMPUTED_VALUE"""),1.0)</f>
        <v>1</v>
      </c>
      <c r="T310" s="101">
        <f>IFERROR(__xludf.DUMMYFUNCTION("""COMPUTED_VALUE"""),3.0)</f>
        <v>3</v>
      </c>
      <c r="U310" s="270">
        <f>IFERROR(__xludf.DUMMYFUNCTION("""COMPUTED_VALUE"""),1076.0)</f>
        <v>1076</v>
      </c>
      <c r="V310" s="271" t="str">
        <f>IFERROR(__xludf.DUMMYFUNCTION("""COMPUTED_VALUE"""),"overall")</f>
        <v>overall</v>
      </c>
      <c r="W310" s="272" t="str">
        <f>IFERROR(__xludf.DUMMYFUNCTION("""COMPUTED_VALUE"""),"SMS")</f>
        <v>SMS</v>
      </c>
      <c r="X310" s="272" t="str">
        <f>IFERROR(__xludf.DUMMYFUNCTION("""COMPUTED_VALUE"""),"Dormant Repeat")</f>
        <v>Dormant Repeat</v>
      </c>
      <c r="Y310" s="272" t="str">
        <f>IFERROR(__xludf.DUMMYFUNCTION("""COMPUTED_VALUE"""),"24 March")</f>
        <v>24 March</v>
      </c>
      <c r="Z310" s="272" t="str">
        <f>IFERROR(__xludf.DUMMYFUNCTION("""COMPUTED_VALUE"""),"69c26d6dc772c594c4af0589")</f>
        <v>69c26d6dc772c594c4af0589</v>
      </c>
      <c r="AA310" s="272">
        <f>IFERROR(__xludf.DUMMYFUNCTION("""COMPUTED_VALUE"""),14.0)</f>
        <v>14</v>
      </c>
      <c r="AB310" s="272">
        <f>IFERROR(__xludf.DUMMYFUNCTION("""COMPUTED_VALUE"""),6.0)</f>
        <v>6</v>
      </c>
      <c r="AC310" s="272">
        <f>IFERROR(__xludf.DUMMYFUNCTION("""COMPUTED_VALUE"""),8.0)</f>
        <v>8</v>
      </c>
      <c r="AD310" s="272">
        <f>IFERROR(__xludf.DUMMYFUNCTION("""COMPUTED_VALUE"""),45779.0)</f>
        <v>45779</v>
      </c>
      <c r="AE310" s="272">
        <f>IFERROR(__xludf.DUMMYFUNCTION("""COMPUTED_VALUE"""),8462.0)</f>
        <v>8462</v>
      </c>
      <c r="AF310" s="272">
        <f>IFERROR(__xludf.DUMMYFUNCTION("""COMPUTED_VALUE"""),37317.0)</f>
        <v>37317</v>
      </c>
      <c r="AG310" s="208"/>
      <c r="AH310" s="208"/>
      <c r="AI310" s="208"/>
      <c r="AJ310" s="208"/>
      <c r="AK310" s="208"/>
    </row>
    <row r="311" hidden="1">
      <c r="A311" s="209">
        <f>IFERROR(__xludf.DUMMYFUNCTION("""COMPUTED_VALUE"""),46105.0)</f>
        <v>46105</v>
      </c>
      <c r="B311" s="210">
        <f>IFERROR(__xludf.DUMMYFUNCTION("""COMPUTED_VALUE"""),0.8333333333321207)</f>
        <v>0.8333333333</v>
      </c>
      <c r="C311" s="211" t="str">
        <f>IFERROR(__xludf.DUMMYFUNCTION("""COMPUTED_VALUE"""),"Sms")</f>
        <v>Sms</v>
      </c>
      <c r="D311" s="211" t="str">
        <f>IFERROR(__xludf.DUMMYFUNCTION("""COMPUTED_VALUE"""),"Promotional")</f>
        <v>Promotional</v>
      </c>
      <c r="E311" s="211" t="str">
        <f>IFERROR(__xludf.DUMMYFUNCTION("""COMPUTED_VALUE"""),"BBW")</f>
        <v>BBW</v>
      </c>
      <c r="F311" s="211" t="str">
        <f>IFERROR(__xludf.DUMMYFUNCTION("""COMPUTED_VALUE"""),"minis")</f>
        <v>minis</v>
      </c>
      <c r="G311" s="212" t="str">
        <f>IFERROR(__xludf.DUMMYFUNCTION("""COMPUTED_VALUE"""),"bbw_sms_hs_hc_minis_599_243_active")</f>
        <v>bbw_sms_hs_hc_minis_599_243_active</v>
      </c>
      <c r="H311" s="212" t="str">
        <f>IFERROR(__xludf.DUMMYFUNCTION("""COMPUTED_VALUE"""),"HS_HC_Minis_Active")</f>
        <v>HS_HC_Minis_Active</v>
      </c>
      <c r="I311" s="212" t="str">
        <f>IFERROR(__xludf.DUMMYFUNCTION("""COMPUTED_VALUE"""),"Customers who have purchased at least 1 time from L2: Travel Size or L3: Hand Cream or L3: Liquid Soaps in the last 109 days")</f>
        <v>Customers who have purchased at least 1 time from L2: Travel Size or L3: Hand Cream or L3: Liquid Soaps in the last 109 days</v>
      </c>
      <c r="J311" s="213">
        <f>IFERROR(__xludf.DUMMYFUNCTION("""COMPUTED_VALUE"""),23186.0)</f>
        <v>23186</v>
      </c>
      <c r="K311" s="213">
        <f>IFERROR(__xludf.DUMMYFUNCTION("""COMPUTED_VALUE"""),12502.0)</f>
        <v>12502</v>
      </c>
      <c r="L311" s="214">
        <f>IFERROR(__xludf.DUMMYFUNCTION("""COMPUTED_VALUE"""),0.5392)</f>
        <v>0.5392</v>
      </c>
      <c r="M311" s="213"/>
      <c r="N311" s="214"/>
      <c r="O311" s="213">
        <f>IFERROR(__xludf.DUMMYFUNCTION("""COMPUTED_VALUE"""),21.0)</f>
        <v>21</v>
      </c>
      <c r="P311" s="213"/>
      <c r="Q311" s="214">
        <f>IFERROR(__xludf.DUMMYFUNCTION("""COMPUTED_VALUE"""),0.0017)</f>
        <v>0.0017</v>
      </c>
      <c r="R311" s="214"/>
      <c r="S311" s="101">
        <f>IFERROR(__xludf.DUMMYFUNCTION("""COMPUTED_VALUE"""),3.0)</f>
        <v>3</v>
      </c>
      <c r="T311" s="101">
        <f>IFERROR(__xludf.DUMMYFUNCTION("""COMPUTED_VALUE"""),4.0)</f>
        <v>4</v>
      </c>
      <c r="U311" s="270">
        <f>IFERROR(__xludf.DUMMYFUNCTION("""COMPUTED_VALUE"""),8901.0)</f>
        <v>8901</v>
      </c>
      <c r="V311" s="271" t="str">
        <f>IFERROR(__xludf.DUMMYFUNCTION("""COMPUTED_VALUE"""),"overall")</f>
        <v>overall</v>
      </c>
      <c r="W311" s="272" t="str">
        <f>IFERROR(__xludf.DUMMYFUNCTION("""COMPUTED_VALUE"""),"SMS")</f>
        <v>SMS</v>
      </c>
      <c r="X311" s="272" t="str">
        <f>IFERROR(__xludf.DUMMYFUNCTION("""COMPUTED_VALUE"""),"Active")</f>
        <v>Active</v>
      </c>
      <c r="Y311" s="272" t="str">
        <f>IFERROR(__xludf.DUMMYFUNCTION("""COMPUTED_VALUE"""),"24 March")</f>
        <v>24 March</v>
      </c>
      <c r="Z311" s="272" t="str">
        <f>IFERROR(__xludf.DUMMYFUNCTION("""COMPUTED_VALUE"""),"69c26d7bdbf111226389292b")</f>
        <v>69c26d7bdbf111226389292b</v>
      </c>
      <c r="AA311" s="272">
        <f>IFERROR(__xludf.DUMMYFUNCTION("""COMPUTED_VALUE"""),17.0)</f>
        <v>17</v>
      </c>
      <c r="AB311" s="272">
        <f>IFERROR(__xludf.DUMMYFUNCTION("""COMPUTED_VALUE"""),5.0)</f>
        <v>5</v>
      </c>
      <c r="AC311" s="272">
        <f>IFERROR(__xludf.DUMMYFUNCTION("""COMPUTED_VALUE"""),12.0)</f>
        <v>12</v>
      </c>
      <c r="AD311" s="272">
        <f>IFERROR(__xludf.DUMMYFUNCTION("""COMPUTED_VALUE"""),110770.0)</f>
        <v>110770</v>
      </c>
      <c r="AE311" s="272">
        <f>IFERROR(__xludf.DUMMYFUNCTION("""COMPUTED_VALUE"""),14999.0)</f>
        <v>14999</v>
      </c>
      <c r="AF311" s="272">
        <f>IFERROR(__xludf.DUMMYFUNCTION("""COMPUTED_VALUE"""),95771.0)</f>
        <v>95771</v>
      </c>
      <c r="AG311" s="208"/>
      <c r="AH311" s="208"/>
      <c r="AI311" s="208"/>
      <c r="AJ311" s="208"/>
      <c r="AK311" s="208"/>
    </row>
    <row r="312" hidden="1">
      <c r="A312" s="209">
        <f>IFERROR(__xludf.DUMMYFUNCTION("""COMPUTED_VALUE"""),46107.0)</f>
        <v>46107</v>
      </c>
      <c r="B312" s="210">
        <f>IFERROR(__xludf.DUMMYFUNCTION("""COMPUTED_VALUE"""),0.7916666666678793)</f>
        <v>0.7916666667</v>
      </c>
      <c r="C312" s="211" t="str">
        <f>IFERROR(__xludf.DUMMYFUNCTION("""COMPUTED_VALUE"""),"Whatsapp")</f>
        <v>Whatsapp</v>
      </c>
      <c r="D312" s="211" t="str">
        <f>IFERROR(__xludf.DUMMYFUNCTION("""COMPUTED_VALUE"""),"Promotional")</f>
        <v>Promotional</v>
      </c>
      <c r="E312" s="211" t="str">
        <f>IFERROR(__xludf.DUMMYFUNCTION("""COMPUTED_VALUE"""),"BBW")</f>
        <v>BBW</v>
      </c>
      <c r="F312" s="211" t="str">
        <f>IFERROR(__xludf.DUMMYFUNCTION("""COMPUTED_VALUE"""),"bcat999")</f>
        <v>bcat999</v>
      </c>
      <c r="G312" s="212" t="str">
        <f>IFERROR(__xludf.DUMMYFUNCTION("""COMPUTED_VALUE"""),"bbw_wa_bcat999_26mar_repeat_on")</f>
        <v>bbw_wa_bcat999_26mar_repeat_on</v>
      </c>
      <c r="H312" s="212" t="str">
        <f>IFERROR(__xludf.DUMMYFUNCTION("""COMPUTED_VALUE"""),"BodyCare_Repeat_180D_ON OR AGIPL_Internal OR BBW_Internal")</f>
        <v>BodyCare_Repeat_180D_ON OR AGIPL_Internal OR BBW_Internal</v>
      </c>
      <c r="I312" s="212" t="str">
        <f>IFERROR(__xludf.DUMMYFUNCTION("""COMPUTED_VALUE"""),"Online Customers who have purchased from BodyCare at least 2 times in the last 180 days")</f>
        <v>Online Customers who have purchased from BodyCare at least 2 times in the last 180 days</v>
      </c>
      <c r="J312" s="213">
        <f>IFERROR(__xludf.DUMMYFUNCTION("""COMPUTED_VALUE"""),2278.0)</f>
        <v>2278</v>
      </c>
      <c r="K312" s="213">
        <f>IFERROR(__xludf.DUMMYFUNCTION("""COMPUTED_VALUE"""),408.0)</f>
        <v>408</v>
      </c>
      <c r="L312" s="214">
        <f>IFERROR(__xludf.DUMMYFUNCTION("""COMPUTED_VALUE"""),0.1791)</f>
        <v>0.1791</v>
      </c>
      <c r="M312" s="213">
        <f>IFERROR(__xludf.DUMMYFUNCTION("""COMPUTED_VALUE"""),215.0)</f>
        <v>215</v>
      </c>
      <c r="N312" s="214">
        <f>IFERROR(__xludf.DUMMYFUNCTION("""COMPUTED_VALUE"""),0.527)</f>
        <v>0.527</v>
      </c>
      <c r="O312" s="213">
        <f>IFERROR(__xludf.DUMMYFUNCTION("""COMPUTED_VALUE"""),40.0)</f>
        <v>40</v>
      </c>
      <c r="P312" s="213">
        <f>IFERROR(__xludf.DUMMYFUNCTION("""COMPUTED_VALUE"""),36.0)</f>
        <v>36</v>
      </c>
      <c r="Q312" s="214">
        <f>IFERROR(__xludf.DUMMYFUNCTION("""COMPUTED_VALUE"""),0.0882)</f>
        <v>0.0882</v>
      </c>
      <c r="R312" s="214">
        <f>IFERROR(__xludf.DUMMYFUNCTION("""COMPUTED_VALUE"""),0.1674)</f>
        <v>0.1674</v>
      </c>
      <c r="S312" s="101">
        <f>IFERROR(__xludf.DUMMYFUNCTION("""COMPUTED_VALUE"""),2.0)</f>
        <v>2</v>
      </c>
      <c r="T312" s="101">
        <f>IFERROR(__xludf.DUMMYFUNCTION("""COMPUTED_VALUE"""),6.0)</f>
        <v>6</v>
      </c>
      <c r="U312" s="270">
        <f>IFERROR(__xludf.DUMMYFUNCTION("""COMPUTED_VALUE"""),4045.0)</f>
        <v>4045</v>
      </c>
      <c r="V312" s="271" t="str">
        <f>IFERROR(__xludf.DUMMYFUNCTION("""COMPUTED_VALUE"""),"online")</f>
        <v>online</v>
      </c>
      <c r="W312" s="272" t="str">
        <f>IFERROR(__xludf.DUMMYFUNCTION("""COMPUTED_VALUE"""),"simple")</f>
        <v>simple</v>
      </c>
      <c r="X312" s="272" t="str">
        <f>IFERROR(__xludf.DUMMYFUNCTION("""COMPUTED_VALUE"""),"Cat Repeat")</f>
        <v>Cat Repeat</v>
      </c>
      <c r="Y312" s="272" t="str">
        <f>IFERROR(__xludf.DUMMYFUNCTION("""COMPUTED_VALUE"""),"26-28 March")</f>
        <v>26-28 March</v>
      </c>
      <c r="Z312" s="272" t="str">
        <f>IFERROR(__xludf.DUMMYFUNCTION("""COMPUTED_VALUE"""),"69c517d4d06ffcc54f97fd4d")</f>
        <v>69c517d4d06ffcc54f97fd4d</v>
      </c>
      <c r="AA312" s="272">
        <f>IFERROR(__xludf.DUMMYFUNCTION("""COMPUTED_VALUE"""),9.0)</f>
        <v>9</v>
      </c>
      <c r="AB312" s="272">
        <f>IFERROR(__xludf.DUMMYFUNCTION("""COMPUTED_VALUE"""),9.0)</f>
        <v>9</v>
      </c>
      <c r="AC312" s="272"/>
      <c r="AD312" s="272">
        <f>IFERROR(__xludf.DUMMYFUNCTION("""COMPUTED_VALUE"""),20080.0)</f>
        <v>20080</v>
      </c>
      <c r="AE312" s="272">
        <f>IFERROR(__xludf.DUMMYFUNCTION("""COMPUTED_VALUE"""),20080.0)</f>
        <v>20080</v>
      </c>
      <c r="AF312" s="272"/>
      <c r="AG312" s="208"/>
      <c r="AH312" s="208"/>
      <c r="AI312" s="208"/>
      <c r="AJ312" s="208"/>
      <c r="AK312" s="208"/>
    </row>
    <row r="313" hidden="1">
      <c r="A313" s="209">
        <f>IFERROR(__xludf.DUMMYFUNCTION("""COMPUTED_VALUE"""),46107.0)</f>
        <v>46107</v>
      </c>
      <c r="B313" s="210">
        <f>IFERROR(__xludf.DUMMYFUNCTION("""COMPUTED_VALUE"""),0.7916666666678793)</f>
        <v>0.7916666667</v>
      </c>
      <c r="C313" s="211" t="str">
        <f>IFERROR(__xludf.DUMMYFUNCTION("""COMPUTED_VALUE"""),"Whatsapp")</f>
        <v>Whatsapp</v>
      </c>
      <c r="D313" s="211" t="str">
        <f>IFERROR(__xludf.DUMMYFUNCTION("""COMPUTED_VALUE"""),"Promotional")</f>
        <v>Promotional</v>
      </c>
      <c r="E313" s="211" t="str">
        <f>IFERROR(__xludf.DUMMYFUNCTION("""COMPUTED_VALUE"""),"BBW")</f>
        <v>BBW</v>
      </c>
      <c r="F313" s="211" t="str">
        <f>IFERROR(__xludf.DUMMYFUNCTION("""COMPUTED_VALUE"""),"bcat999")</f>
        <v>bcat999</v>
      </c>
      <c r="G313" s="212" t="str">
        <f>IFERROR(__xludf.DUMMYFUNCTION("""COMPUTED_VALUE"""),"bbw_wa_bcat999_26mar_atc_on")</f>
        <v>bbw_wa_bcat999_26mar_atc_on</v>
      </c>
      <c r="H313" s="212" t="str">
        <f>IFERROR(__xludf.DUMMYFUNCTION("""COMPUTED_VALUE"""),"ATC_BC_90D_ON")</f>
        <v>ATC_BC_90D_ON</v>
      </c>
      <c r="I313" s="212" t="str">
        <f>IFERROR(__xludf.DUMMYFUNCTION("""COMPUTED_VALUE"""),"Online Customers who have added to cart at least 1 time from BodyCare in the last 90 days")</f>
        <v>Online Customers who have added to cart at least 1 time from BodyCare in the last 90 days</v>
      </c>
      <c r="J313" s="213">
        <f>IFERROR(__xludf.DUMMYFUNCTION("""COMPUTED_VALUE"""),4507.0)</f>
        <v>4507</v>
      </c>
      <c r="K313" s="213">
        <f>IFERROR(__xludf.DUMMYFUNCTION("""COMPUTED_VALUE"""),1242.0)</f>
        <v>1242</v>
      </c>
      <c r="L313" s="214">
        <f>IFERROR(__xludf.DUMMYFUNCTION("""COMPUTED_VALUE"""),0.2756)</f>
        <v>0.2756</v>
      </c>
      <c r="M313" s="213">
        <f>IFERROR(__xludf.DUMMYFUNCTION("""COMPUTED_VALUE"""),580.0)</f>
        <v>580</v>
      </c>
      <c r="N313" s="214">
        <f>IFERROR(__xludf.DUMMYFUNCTION("""COMPUTED_VALUE"""),0.467)</f>
        <v>0.467</v>
      </c>
      <c r="O313" s="213">
        <f>IFERROR(__xludf.DUMMYFUNCTION("""COMPUTED_VALUE"""),104.0)</f>
        <v>104</v>
      </c>
      <c r="P313" s="213">
        <f>IFERROR(__xludf.DUMMYFUNCTION("""COMPUTED_VALUE"""),94.0)</f>
        <v>94</v>
      </c>
      <c r="Q313" s="214">
        <f>IFERROR(__xludf.DUMMYFUNCTION("""COMPUTED_VALUE"""),0.0757)</f>
        <v>0.0757</v>
      </c>
      <c r="R313" s="214">
        <f>IFERROR(__xludf.DUMMYFUNCTION("""COMPUTED_VALUE"""),0.1621)</f>
        <v>0.1621</v>
      </c>
      <c r="S313" s="101">
        <f>IFERROR(__xludf.DUMMYFUNCTION("""COMPUTED_VALUE"""),6.0)</f>
        <v>6</v>
      </c>
      <c r="T313" s="101">
        <f>IFERROR(__xludf.DUMMYFUNCTION("""COMPUTED_VALUE"""),40.0)</f>
        <v>40</v>
      </c>
      <c r="U313" s="270">
        <f>IFERROR(__xludf.DUMMYFUNCTION("""COMPUTED_VALUE"""),11836.0)</f>
        <v>11836</v>
      </c>
      <c r="V313" s="271" t="str">
        <f>IFERROR(__xludf.DUMMYFUNCTION("""COMPUTED_VALUE"""),"online")</f>
        <v>online</v>
      </c>
      <c r="W313" s="272" t="str">
        <f>IFERROR(__xludf.DUMMYFUNCTION("""COMPUTED_VALUE"""),"simple")</f>
        <v>simple</v>
      </c>
      <c r="X313" s="272" t="str">
        <f>IFERROR(__xludf.DUMMYFUNCTION("""COMPUTED_VALUE"""),"ATC")</f>
        <v>ATC</v>
      </c>
      <c r="Y313" s="272" t="str">
        <f>IFERROR(__xludf.DUMMYFUNCTION("""COMPUTED_VALUE"""),"26-28 March")</f>
        <v>26-28 March</v>
      </c>
      <c r="Z313" s="272" t="str">
        <f>IFERROR(__xludf.DUMMYFUNCTION("""COMPUTED_VALUE"""),"69c5180a5680d056b78d54ce")</f>
        <v>69c5180a5680d056b78d54ce</v>
      </c>
      <c r="AA313" s="272">
        <f>IFERROR(__xludf.DUMMYFUNCTION("""COMPUTED_VALUE"""),9.0)</f>
        <v>9</v>
      </c>
      <c r="AB313" s="272">
        <f>IFERROR(__xludf.DUMMYFUNCTION("""COMPUTED_VALUE"""),9.0)</f>
        <v>9</v>
      </c>
      <c r="AC313" s="272"/>
      <c r="AD313" s="272">
        <f>IFERROR(__xludf.DUMMYFUNCTION("""COMPUTED_VALUE"""),14586.0)</f>
        <v>14586</v>
      </c>
      <c r="AE313" s="272">
        <f>IFERROR(__xludf.DUMMYFUNCTION("""COMPUTED_VALUE"""),14586.0)</f>
        <v>14586</v>
      </c>
      <c r="AF313" s="272"/>
      <c r="AG313" s="208"/>
      <c r="AH313" s="208"/>
      <c r="AI313" s="208"/>
      <c r="AJ313" s="208"/>
      <c r="AK313" s="208"/>
    </row>
    <row r="314" hidden="1">
      <c r="A314" s="209">
        <f>IFERROR(__xludf.DUMMYFUNCTION("""COMPUTED_VALUE"""),46107.0)</f>
        <v>46107</v>
      </c>
      <c r="B314" s="210">
        <f>IFERROR(__xludf.DUMMYFUNCTION("""COMPUTED_VALUE"""),0.7916666666678793)</f>
        <v>0.7916666667</v>
      </c>
      <c r="C314" s="211" t="str">
        <f>IFERROR(__xludf.DUMMYFUNCTION("""COMPUTED_VALUE"""),"Whatsapp")</f>
        <v>Whatsapp</v>
      </c>
      <c r="D314" s="211" t="str">
        <f>IFERROR(__xludf.DUMMYFUNCTION("""COMPUTED_VALUE"""),"Promotional")</f>
        <v>Promotional</v>
      </c>
      <c r="E314" s="211" t="str">
        <f>IFERROR(__xludf.DUMMYFUNCTION("""COMPUTED_VALUE"""),"BBW")</f>
        <v>BBW</v>
      </c>
      <c r="F314" s="211" t="str">
        <f>IFERROR(__xludf.DUMMYFUNCTION("""COMPUTED_VALUE"""),"bcat999")</f>
        <v>bcat999</v>
      </c>
      <c r="G314" s="212" t="str">
        <f>IFERROR(__xludf.DUMMYFUNCTION("""COMPUTED_VALUE"""),"bbw_wa_bcat999_26mar_item_viewed_on")</f>
        <v>bbw_wa_bcat999_26mar_item_viewed_on</v>
      </c>
      <c r="H314" s="212" t="str">
        <f>IFERROR(__xludf.DUMMYFUNCTION("""COMPUTED_VALUE"""),"View_BC_1time_60D_ON")</f>
        <v>View_BC_1time_60D_ON</v>
      </c>
      <c r="I314" s="212" t="str">
        <f>IFERROR(__xludf.DUMMYFUNCTION("""COMPUTED_VALUE"""),"Online Customers who have viewed items at least 1 time from BodyCare in the last 60 days")</f>
        <v>Online Customers who have viewed items at least 1 time from BodyCare in the last 60 days</v>
      </c>
      <c r="J314" s="213">
        <f>IFERROR(__xludf.DUMMYFUNCTION("""COMPUTED_VALUE"""),643.0)</f>
        <v>643</v>
      </c>
      <c r="K314" s="213">
        <f>IFERROR(__xludf.DUMMYFUNCTION("""COMPUTED_VALUE"""),225.0)</f>
        <v>225</v>
      </c>
      <c r="L314" s="214">
        <f>IFERROR(__xludf.DUMMYFUNCTION("""COMPUTED_VALUE"""),0.3499)</f>
        <v>0.3499</v>
      </c>
      <c r="M314" s="213">
        <f>IFERROR(__xludf.DUMMYFUNCTION("""COMPUTED_VALUE"""),106.0)</f>
        <v>106</v>
      </c>
      <c r="N314" s="214">
        <f>IFERROR(__xludf.DUMMYFUNCTION("""COMPUTED_VALUE"""),0.4711)</f>
        <v>0.4711</v>
      </c>
      <c r="O314" s="213">
        <f>IFERROR(__xludf.DUMMYFUNCTION("""COMPUTED_VALUE"""),23.0)</f>
        <v>23</v>
      </c>
      <c r="P314" s="213">
        <f>IFERROR(__xludf.DUMMYFUNCTION("""COMPUTED_VALUE"""),23.0)</f>
        <v>23</v>
      </c>
      <c r="Q314" s="214">
        <f>IFERROR(__xludf.DUMMYFUNCTION("""COMPUTED_VALUE"""),0.1022)</f>
        <v>0.1022</v>
      </c>
      <c r="R314" s="214">
        <f>IFERROR(__xludf.DUMMYFUNCTION("""COMPUTED_VALUE"""),0.217)</f>
        <v>0.217</v>
      </c>
      <c r="S314" s="101">
        <f>IFERROR(__xludf.DUMMYFUNCTION("""COMPUTED_VALUE"""),3.0)</f>
        <v>3</v>
      </c>
      <c r="T314" s="101">
        <f>IFERROR(__xludf.DUMMYFUNCTION("""COMPUTED_VALUE"""),6.0)</f>
        <v>6</v>
      </c>
      <c r="U314" s="270">
        <f>IFERROR(__xludf.DUMMYFUNCTION("""COMPUTED_VALUE"""),4293.0)</f>
        <v>4293</v>
      </c>
      <c r="V314" s="271" t="str">
        <f>IFERROR(__xludf.DUMMYFUNCTION("""COMPUTED_VALUE"""),"online")</f>
        <v>online</v>
      </c>
      <c r="W314" s="272" t="str">
        <f>IFERROR(__xludf.DUMMYFUNCTION("""COMPUTED_VALUE"""),"simple")</f>
        <v>simple</v>
      </c>
      <c r="X314" s="272" t="str">
        <f>IFERROR(__xludf.DUMMYFUNCTION("""COMPUTED_VALUE"""),"View Item")</f>
        <v>View Item</v>
      </c>
      <c r="Y314" s="272" t="str">
        <f>IFERROR(__xludf.DUMMYFUNCTION("""COMPUTED_VALUE"""),"26-28 March")</f>
        <v>26-28 March</v>
      </c>
      <c r="Z314" s="272" t="str">
        <f>IFERROR(__xludf.DUMMYFUNCTION("""COMPUTED_VALUE"""),"69c51838f8d8a66d90bf2484")</f>
        <v>69c51838f8d8a66d90bf2484</v>
      </c>
      <c r="AA314" s="272">
        <f>IFERROR(__xludf.DUMMYFUNCTION("""COMPUTED_VALUE"""),2.0)</f>
        <v>2</v>
      </c>
      <c r="AB314" s="272">
        <f>IFERROR(__xludf.DUMMYFUNCTION("""COMPUTED_VALUE"""),2.0)</f>
        <v>2</v>
      </c>
      <c r="AC314" s="272"/>
      <c r="AD314" s="272">
        <f>IFERROR(__xludf.DUMMYFUNCTION("""COMPUTED_VALUE"""),5994.0)</f>
        <v>5994</v>
      </c>
      <c r="AE314" s="272">
        <f>IFERROR(__xludf.DUMMYFUNCTION("""COMPUTED_VALUE"""),5994.0)</f>
        <v>5994</v>
      </c>
      <c r="AF314" s="272"/>
      <c r="AG314" s="208"/>
      <c r="AH314" s="208"/>
      <c r="AI314" s="208"/>
      <c r="AJ314" s="208"/>
      <c r="AK314" s="208"/>
    </row>
    <row r="315" hidden="1">
      <c r="A315" s="209">
        <f>IFERROR(__xludf.DUMMYFUNCTION("""COMPUTED_VALUE"""),46107.0)</f>
        <v>46107</v>
      </c>
      <c r="B315" s="210">
        <f>IFERROR(__xludf.DUMMYFUNCTION("""COMPUTED_VALUE"""),0.7916666666678793)</f>
        <v>0.7916666667</v>
      </c>
      <c r="C315" s="211" t="str">
        <f>IFERROR(__xludf.DUMMYFUNCTION("""COMPUTED_VALUE"""),"Whatsapp")</f>
        <v>Whatsapp</v>
      </c>
      <c r="D315" s="211" t="str">
        <f>IFERROR(__xludf.DUMMYFUNCTION("""COMPUTED_VALUE"""),"Promotional")</f>
        <v>Promotional</v>
      </c>
      <c r="E315" s="211" t="str">
        <f>IFERROR(__xludf.DUMMYFUNCTION("""COMPUTED_VALUE"""),"BBW")</f>
        <v>BBW</v>
      </c>
      <c r="F315" s="211" t="str">
        <f>IFERROR(__xludf.DUMMYFUNCTION("""COMPUTED_VALUE"""),"bcat999")</f>
        <v>bcat999</v>
      </c>
      <c r="G315" s="212" t="str">
        <f>IFERROR(__xludf.DUMMYFUNCTION("""COMPUTED_VALUE"""),"bbw_wa_bcat999_26mar_bcpastbuyer_on")</f>
        <v>bbw_wa_bcat999_26mar_bcpastbuyer_on</v>
      </c>
      <c r="H315" s="212" t="str">
        <f>IFERROR(__xludf.DUMMYFUNCTION("""COMPUTED_VALUE"""),"BC_999max_1Y_ON")</f>
        <v>BC_999max_1Y_ON</v>
      </c>
      <c r="I315" s="212" t="str">
        <f>IFERROR(__xludf.DUMMYFUNCTION("""COMPUTED_VALUE"""),"Online Customers who have purchased from BodyCare at least 1 times with max order value ₹999 in the last 365 days")</f>
        <v>Online Customers who have purchased from BodyCare at least 1 times with max order value ₹999 in the last 365 days</v>
      </c>
      <c r="J315" s="213">
        <f>IFERROR(__xludf.DUMMYFUNCTION("""COMPUTED_VALUE"""),6195.0)</f>
        <v>6195</v>
      </c>
      <c r="K315" s="213">
        <f>IFERROR(__xludf.DUMMYFUNCTION("""COMPUTED_VALUE"""),1449.0)</f>
        <v>1449</v>
      </c>
      <c r="L315" s="214">
        <f>IFERROR(__xludf.DUMMYFUNCTION("""COMPUTED_VALUE"""),0.2339)</f>
        <v>0.2339</v>
      </c>
      <c r="M315" s="213">
        <f>IFERROR(__xludf.DUMMYFUNCTION("""COMPUTED_VALUE"""),557.0)</f>
        <v>557</v>
      </c>
      <c r="N315" s="214">
        <f>IFERROR(__xludf.DUMMYFUNCTION("""COMPUTED_VALUE"""),0.3844)</f>
        <v>0.3844</v>
      </c>
      <c r="O315" s="213">
        <f>IFERROR(__xludf.DUMMYFUNCTION("""COMPUTED_VALUE"""),66.0)</f>
        <v>66</v>
      </c>
      <c r="P315" s="213">
        <f>IFERROR(__xludf.DUMMYFUNCTION("""COMPUTED_VALUE"""),58.0)</f>
        <v>58</v>
      </c>
      <c r="Q315" s="214">
        <f>IFERROR(__xludf.DUMMYFUNCTION("""COMPUTED_VALUE"""),0.04)</f>
        <v>0.04</v>
      </c>
      <c r="R315" s="214">
        <f>IFERROR(__xludf.DUMMYFUNCTION("""COMPUTED_VALUE"""),0.1041)</f>
        <v>0.1041</v>
      </c>
      <c r="S315" s="101">
        <f>IFERROR(__xludf.DUMMYFUNCTION("""COMPUTED_VALUE"""),1.0)</f>
        <v>1</v>
      </c>
      <c r="T315" s="101">
        <f>IFERROR(__xludf.DUMMYFUNCTION("""COMPUTED_VALUE"""),2.0)</f>
        <v>2</v>
      </c>
      <c r="U315" s="270">
        <f>IFERROR(__xludf.DUMMYFUNCTION("""COMPUTED_VALUE"""),1048.0)</f>
        <v>1048</v>
      </c>
      <c r="V315" s="271" t="str">
        <f>IFERROR(__xludf.DUMMYFUNCTION("""COMPUTED_VALUE"""),"online")</f>
        <v>online</v>
      </c>
      <c r="W315" s="272" t="str">
        <f>IFERROR(__xludf.DUMMYFUNCTION("""COMPUTED_VALUE"""),"simple")</f>
        <v>simple</v>
      </c>
      <c r="X315" s="272" t="str">
        <f>IFERROR(__xludf.DUMMYFUNCTION("""COMPUTED_VALUE"""),"Cart Value")</f>
        <v>Cart Value</v>
      </c>
      <c r="Y315" s="272" t="str">
        <f>IFERROR(__xludf.DUMMYFUNCTION("""COMPUTED_VALUE"""),"26-28 March")</f>
        <v>26-28 March</v>
      </c>
      <c r="Z315" s="272" t="str">
        <f>IFERROR(__xludf.DUMMYFUNCTION("""COMPUTED_VALUE"""),"69c5185ccc87011ed03c716e")</f>
        <v>69c5185ccc87011ed03c716e</v>
      </c>
      <c r="AA315" s="272">
        <f>IFERROR(__xludf.DUMMYFUNCTION("""COMPUTED_VALUE"""),11.0)</f>
        <v>11</v>
      </c>
      <c r="AB315" s="272">
        <f>IFERROR(__xludf.DUMMYFUNCTION("""COMPUTED_VALUE"""),11.0)</f>
        <v>11</v>
      </c>
      <c r="AC315" s="272"/>
      <c r="AD315" s="272">
        <f>IFERROR(__xludf.DUMMYFUNCTION("""COMPUTED_VALUE"""),12486.0)</f>
        <v>12486</v>
      </c>
      <c r="AE315" s="272">
        <f>IFERROR(__xludf.DUMMYFUNCTION("""COMPUTED_VALUE"""),12486.0)</f>
        <v>12486</v>
      </c>
      <c r="AF315" s="272"/>
      <c r="AG315" s="208"/>
      <c r="AH315" s="208"/>
      <c r="AI315" s="208"/>
      <c r="AJ315" s="208"/>
      <c r="AK315" s="208"/>
    </row>
    <row r="316" hidden="1">
      <c r="A316" s="209">
        <f>IFERROR(__xludf.DUMMYFUNCTION("""COMPUTED_VALUE"""),46107.0)</f>
        <v>46107</v>
      </c>
      <c r="B316" s="210">
        <f>IFERROR(__xludf.DUMMYFUNCTION("""COMPUTED_VALUE"""),0.7916666666678793)</f>
        <v>0.7916666667</v>
      </c>
      <c r="C316" s="211" t="str">
        <f>IFERROR(__xludf.DUMMYFUNCTION("""COMPUTED_VALUE"""),"Whatsapp")</f>
        <v>Whatsapp</v>
      </c>
      <c r="D316" s="211" t="str">
        <f>IFERROR(__xludf.DUMMYFUNCTION("""COMPUTED_VALUE"""),"Promotional")</f>
        <v>Promotional</v>
      </c>
      <c r="E316" s="211" t="str">
        <f>IFERROR(__xludf.DUMMYFUNCTION("""COMPUTED_VALUE"""),"BBW")</f>
        <v>BBW</v>
      </c>
      <c r="F316" s="211" t="str">
        <f>IFERROR(__xludf.DUMMYFUNCTION("""COMPUTED_VALUE"""),"bcat999")</f>
        <v>bcat999</v>
      </c>
      <c r="G316" s="212" t="str">
        <f>IFERROR(__xludf.DUMMYFUNCTION("""COMPUTED_VALUE"""),"bbw_wa_bcat999_26mar_event_buyers_on")</f>
        <v>bbw_wa_bcat999_26mar_event_buyers_on</v>
      </c>
      <c r="H316" s="212" t="str">
        <f>IFERROR(__xludf.DUMMYFUNCTION("""COMPUTED_VALUE"""),"BC_EventBuyers_ON")</f>
        <v>BC_EventBuyers_ON</v>
      </c>
      <c r="I316" s="212" t="str">
        <f>IFERROR(__xludf.DUMMYFUNCTION("""COMPUTED_VALUE"""),"Online Customers who have purchased at least 1 time from BodyCare in between 2-5 Oct 2025, 16-27 Oct 2025, 9-18 Jan 2026, 26 Feb - 3 Mar 2026")</f>
        <v>Online Customers who have purchased at least 1 time from BodyCare in between 2-5 Oct 2025, 16-27 Oct 2025, 9-18 Jan 2026, 26 Feb - 3 Mar 2026</v>
      </c>
      <c r="J316" s="213">
        <f>IFERROR(__xludf.DUMMYFUNCTION("""COMPUTED_VALUE"""),1697.0)</f>
        <v>1697</v>
      </c>
      <c r="K316" s="213">
        <f>IFERROR(__xludf.DUMMYFUNCTION("""COMPUTED_VALUE"""),328.0)</f>
        <v>328</v>
      </c>
      <c r="L316" s="214">
        <f>IFERROR(__xludf.DUMMYFUNCTION("""COMPUTED_VALUE"""),0.1933)</f>
        <v>0.1933</v>
      </c>
      <c r="M316" s="213">
        <f>IFERROR(__xludf.DUMMYFUNCTION("""COMPUTED_VALUE"""),138.0)</f>
        <v>138</v>
      </c>
      <c r="N316" s="214">
        <f>IFERROR(__xludf.DUMMYFUNCTION("""COMPUTED_VALUE"""),0.4207)</f>
        <v>0.4207</v>
      </c>
      <c r="O316" s="213">
        <f>IFERROR(__xludf.DUMMYFUNCTION("""COMPUTED_VALUE"""),21.0)</f>
        <v>21</v>
      </c>
      <c r="P316" s="213">
        <f>IFERROR(__xludf.DUMMYFUNCTION("""COMPUTED_VALUE"""),18.0)</f>
        <v>18</v>
      </c>
      <c r="Q316" s="214">
        <f>IFERROR(__xludf.DUMMYFUNCTION("""COMPUTED_VALUE"""),0.0549)</f>
        <v>0.0549</v>
      </c>
      <c r="R316" s="214">
        <f>IFERROR(__xludf.DUMMYFUNCTION("""COMPUTED_VALUE"""),0.1304)</f>
        <v>0.1304</v>
      </c>
      <c r="S316" s="101">
        <f>IFERROR(__xludf.DUMMYFUNCTION("""COMPUTED_VALUE"""),0.0)</f>
        <v>0</v>
      </c>
      <c r="T316" s="101">
        <f>IFERROR(__xludf.DUMMYFUNCTION("""COMPUTED_VALUE"""),1.0)</f>
        <v>1</v>
      </c>
      <c r="U316" s="270">
        <f>IFERROR(__xludf.DUMMYFUNCTION("""COMPUTED_VALUE"""),0.0)</f>
        <v>0</v>
      </c>
      <c r="V316" s="271" t="str">
        <f>IFERROR(__xludf.DUMMYFUNCTION("""COMPUTED_VALUE"""),"online")</f>
        <v>online</v>
      </c>
      <c r="W316" s="272" t="str">
        <f>IFERROR(__xludf.DUMMYFUNCTION("""COMPUTED_VALUE"""),"simple")</f>
        <v>simple</v>
      </c>
      <c r="X316" s="272" t="str">
        <f>IFERROR(__xludf.DUMMYFUNCTION("""COMPUTED_VALUE"""),"Event Buyers")</f>
        <v>Event Buyers</v>
      </c>
      <c r="Y316" s="272" t="str">
        <f>IFERROR(__xludf.DUMMYFUNCTION("""COMPUTED_VALUE"""),"26-28 March")</f>
        <v>26-28 March</v>
      </c>
      <c r="Z316" s="272" t="str">
        <f>IFERROR(__xludf.DUMMYFUNCTION("""COMPUTED_VALUE"""),"69c518824b8454ecf623884f")</f>
        <v>69c518824b8454ecf623884f</v>
      </c>
      <c r="AA316" s="272">
        <f>IFERROR(__xludf.DUMMYFUNCTION("""COMPUTED_VALUE"""),3.0)</f>
        <v>3</v>
      </c>
      <c r="AB316" s="272">
        <f>IFERROR(__xludf.DUMMYFUNCTION("""COMPUTED_VALUE"""),3.0)</f>
        <v>3</v>
      </c>
      <c r="AC316" s="272"/>
      <c r="AD316" s="272">
        <f>IFERROR(__xludf.DUMMYFUNCTION("""COMPUTED_VALUE"""),12987.0)</f>
        <v>12987</v>
      </c>
      <c r="AE316" s="272">
        <f>IFERROR(__xludf.DUMMYFUNCTION("""COMPUTED_VALUE"""),12987.0)</f>
        <v>12987</v>
      </c>
      <c r="AF316" s="272"/>
      <c r="AG316" s="208"/>
      <c r="AH316" s="208"/>
      <c r="AI316" s="208"/>
      <c r="AJ316" s="208"/>
      <c r="AK316" s="208"/>
    </row>
    <row r="317" hidden="1">
      <c r="A317" s="209">
        <f>IFERROR(__xludf.DUMMYFUNCTION("""COMPUTED_VALUE"""),46107.0)</f>
        <v>46107</v>
      </c>
      <c r="B317" s="210">
        <f>IFERROR(__xludf.DUMMYFUNCTION("""COMPUTED_VALUE"""),0.7916666666678793)</f>
        <v>0.7916666667</v>
      </c>
      <c r="C317" s="211" t="str">
        <f>IFERROR(__xludf.DUMMYFUNCTION("""COMPUTED_VALUE"""),"Whatsapp")</f>
        <v>Whatsapp</v>
      </c>
      <c r="D317" s="211" t="str">
        <f>IFERROR(__xludf.DUMMYFUNCTION("""COMPUTED_VALUE"""),"Promotional")</f>
        <v>Promotional</v>
      </c>
      <c r="E317" s="211" t="str">
        <f>IFERROR(__xludf.DUMMYFUNCTION("""COMPUTED_VALUE"""),"BBW")</f>
        <v>BBW</v>
      </c>
      <c r="F317" s="211" t="str">
        <f>IFERROR(__xludf.DUMMYFUNCTION("""COMPUTED_VALUE"""),"bcat999")</f>
        <v>bcat999</v>
      </c>
      <c r="G317" s="212" t="str">
        <f>IFERROR(__xludf.DUMMYFUNCTION("""COMPUTED_VALUE"""),"bbw_wa_bcat999_26mar_dormant_on")</f>
        <v>bbw_wa_bcat999_26mar_dormant_on</v>
      </c>
      <c r="H317" s="212" t="str">
        <f>IFERROR(__xludf.DUMMYFUNCTION("""COMPUTED_VALUE"""),"BC_Dormant_1Y_ON")</f>
        <v>BC_Dormant_1Y_ON</v>
      </c>
      <c r="I317" s="212" t="str">
        <f>IFERROR(__xludf.DUMMYFUNCTION("""COMPUTED_VALUE"""),"Online Customers who have purchased at least 1 time from BodyCare between 90 days and 365 days ago")</f>
        <v>Online Customers who have purchased at least 1 time from BodyCare between 90 days and 365 days ago</v>
      </c>
      <c r="J317" s="213">
        <f>IFERROR(__xludf.DUMMYFUNCTION("""COMPUTED_VALUE"""),19088.0)</f>
        <v>19088</v>
      </c>
      <c r="K317" s="213">
        <f>IFERROR(__xludf.DUMMYFUNCTION("""COMPUTED_VALUE"""),3687.0)</f>
        <v>3687</v>
      </c>
      <c r="L317" s="214">
        <f>IFERROR(__xludf.DUMMYFUNCTION("""COMPUTED_VALUE"""),0.1932)</f>
        <v>0.1932</v>
      </c>
      <c r="M317" s="213">
        <f>IFERROR(__xludf.DUMMYFUNCTION("""COMPUTED_VALUE"""),1543.0)</f>
        <v>1543</v>
      </c>
      <c r="N317" s="214">
        <f>IFERROR(__xludf.DUMMYFUNCTION("""COMPUTED_VALUE"""),0.4185)</f>
        <v>0.4185</v>
      </c>
      <c r="O317" s="213">
        <f>IFERROR(__xludf.DUMMYFUNCTION("""COMPUTED_VALUE"""),199.0)</f>
        <v>199</v>
      </c>
      <c r="P317" s="213">
        <f>IFERROR(__xludf.DUMMYFUNCTION("""COMPUTED_VALUE"""),179.0)</f>
        <v>179</v>
      </c>
      <c r="Q317" s="214">
        <f>IFERROR(__xludf.DUMMYFUNCTION("""COMPUTED_VALUE"""),0.0485)</f>
        <v>0.0485</v>
      </c>
      <c r="R317" s="214">
        <f>IFERROR(__xludf.DUMMYFUNCTION("""COMPUTED_VALUE"""),0.116)</f>
        <v>0.116</v>
      </c>
      <c r="S317" s="101">
        <f>IFERROR(__xludf.DUMMYFUNCTION("""COMPUTED_VALUE"""),4.0)</f>
        <v>4</v>
      </c>
      <c r="T317" s="101">
        <f>IFERROR(__xludf.DUMMYFUNCTION("""COMPUTED_VALUE"""),9.0)</f>
        <v>9</v>
      </c>
      <c r="U317" s="270">
        <f>IFERROR(__xludf.DUMMYFUNCTION("""COMPUTED_VALUE"""),9255.0)</f>
        <v>9255</v>
      </c>
      <c r="V317" s="271" t="str">
        <f>IFERROR(__xludf.DUMMYFUNCTION("""COMPUTED_VALUE"""),"online")</f>
        <v>online</v>
      </c>
      <c r="W317" s="272" t="str">
        <f>IFERROR(__xludf.DUMMYFUNCTION("""COMPUTED_VALUE"""),"simple")</f>
        <v>simple</v>
      </c>
      <c r="X317" s="272" t="str">
        <f>IFERROR(__xludf.DUMMYFUNCTION("""COMPUTED_VALUE"""),"Cat Dormant")</f>
        <v>Cat Dormant</v>
      </c>
      <c r="Y317" s="272" t="str">
        <f>IFERROR(__xludf.DUMMYFUNCTION("""COMPUTED_VALUE"""),"26-28 March")</f>
        <v>26-28 March</v>
      </c>
      <c r="Z317" s="272" t="str">
        <f>IFERROR(__xludf.DUMMYFUNCTION("""COMPUTED_VALUE"""),"69c518bd18bbe28b14d723db")</f>
        <v>69c518bd18bbe28b14d723db</v>
      </c>
      <c r="AA317" s="272">
        <f>IFERROR(__xludf.DUMMYFUNCTION("""COMPUTED_VALUE"""),32.0)</f>
        <v>32</v>
      </c>
      <c r="AB317" s="272">
        <f>IFERROR(__xludf.DUMMYFUNCTION("""COMPUTED_VALUE"""),32.0)</f>
        <v>32</v>
      </c>
      <c r="AC317" s="272"/>
      <c r="AD317" s="272">
        <f>IFERROR(__xludf.DUMMYFUNCTION("""COMPUTED_VALUE"""),89360.0)</f>
        <v>89360</v>
      </c>
      <c r="AE317" s="272">
        <f>IFERROR(__xludf.DUMMYFUNCTION("""COMPUTED_VALUE"""),89360.0)</f>
        <v>89360</v>
      </c>
      <c r="AF317" s="272"/>
      <c r="AG317" s="208"/>
      <c r="AH317" s="208"/>
      <c r="AI317" s="208"/>
      <c r="AJ317" s="208"/>
      <c r="AK317" s="208"/>
    </row>
    <row r="318" hidden="1">
      <c r="A318" s="209">
        <f>IFERROR(__xludf.DUMMYFUNCTION("""COMPUTED_VALUE"""),46107.0)</f>
        <v>46107</v>
      </c>
      <c r="B318" s="210">
        <f>IFERROR(__xludf.DUMMYFUNCTION("""COMPUTED_VALUE"""),0.7916666666678793)</f>
        <v>0.7916666667</v>
      </c>
      <c r="C318" s="211" t="str">
        <f>IFERROR(__xludf.DUMMYFUNCTION("""COMPUTED_VALUE"""),"Whatsapp")</f>
        <v>Whatsapp</v>
      </c>
      <c r="D318" s="211" t="str">
        <f>IFERROR(__xludf.DUMMYFUNCTION("""COMPUTED_VALUE"""),"Promotional")</f>
        <v>Promotional</v>
      </c>
      <c r="E318" s="211" t="str">
        <f>IFERROR(__xludf.DUMMYFUNCTION("""COMPUTED_VALUE"""),"BBW")</f>
        <v>BBW</v>
      </c>
      <c r="F318" s="211" t="str">
        <f>IFERROR(__xludf.DUMMYFUNCTION("""COMPUTED_VALUE"""),"bcat999")</f>
        <v>bcat999</v>
      </c>
      <c r="G318" s="212" t="str">
        <f>IFERROR(__xludf.DUMMYFUNCTION("""COMPUTED_VALUE"""),"bbw_wa_bcat999_26mar_disc_buyers_on")</f>
        <v>bbw_wa_bcat999_26mar_disc_buyers_on</v>
      </c>
      <c r="H318" s="212" t="str">
        <f>IFERROR(__xludf.DUMMYFUNCTION("""COMPUTED_VALUE"""),"Disc_Buyer_365D_ON")</f>
        <v>Disc_Buyer_365D_ON</v>
      </c>
      <c r="I318" s="212" t="str">
        <f>IFERROR(__xludf.DUMMYFUNCTION("""COMPUTED_VALUE"""),"Online Customers who have purchased at least 1 time with discount in the last 365 days")</f>
        <v>Online Customers who have purchased at least 1 time with discount in the last 365 days</v>
      </c>
      <c r="J318" s="213">
        <f>IFERROR(__xludf.DUMMYFUNCTION("""COMPUTED_VALUE"""),39023.0)</f>
        <v>39023</v>
      </c>
      <c r="K318" s="213">
        <f>IFERROR(__xludf.DUMMYFUNCTION("""COMPUTED_VALUE"""),9180.0)</f>
        <v>9180</v>
      </c>
      <c r="L318" s="214">
        <f>IFERROR(__xludf.DUMMYFUNCTION("""COMPUTED_VALUE"""),0.2352)</f>
        <v>0.2352</v>
      </c>
      <c r="M318" s="213">
        <f>IFERROR(__xludf.DUMMYFUNCTION("""COMPUTED_VALUE"""),3352.0)</f>
        <v>3352</v>
      </c>
      <c r="N318" s="214">
        <f>IFERROR(__xludf.DUMMYFUNCTION("""COMPUTED_VALUE"""),0.3652)</f>
        <v>0.3652</v>
      </c>
      <c r="O318" s="213">
        <f>IFERROR(__xludf.DUMMYFUNCTION("""COMPUTED_VALUE"""),519.0)</f>
        <v>519</v>
      </c>
      <c r="P318" s="213">
        <f>IFERROR(__xludf.DUMMYFUNCTION("""COMPUTED_VALUE"""),476.0)</f>
        <v>476</v>
      </c>
      <c r="Q318" s="214">
        <f>IFERROR(__xludf.DUMMYFUNCTION("""COMPUTED_VALUE"""),0.0519)</f>
        <v>0.0519</v>
      </c>
      <c r="R318" s="214">
        <f>IFERROR(__xludf.DUMMYFUNCTION("""COMPUTED_VALUE"""),0.142)</f>
        <v>0.142</v>
      </c>
      <c r="S318" s="101">
        <f>IFERROR(__xludf.DUMMYFUNCTION("""COMPUTED_VALUE"""),3.0)</f>
        <v>3</v>
      </c>
      <c r="T318" s="101">
        <f>IFERROR(__xludf.DUMMYFUNCTION("""COMPUTED_VALUE"""),14.0)</f>
        <v>14</v>
      </c>
      <c r="U318" s="270">
        <f>IFERROR(__xludf.DUMMYFUNCTION("""COMPUTED_VALUE"""),11891.0)</f>
        <v>11891</v>
      </c>
      <c r="V318" s="271" t="str">
        <f>IFERROR(__xludf.DUMMYFUNCTION("""COMPUTED_VALUE"""),"online")</f>
        <v>online</v>
      </c>
      <c r="W318" s="272" t="str">
        <f>IFERROR(__xludf.DUMMYFUNCTION("""COMPUTED_VALUE"""),"simple")</f>
        <v>simple</v>
      </c>
      <c r="X318" s="272" t="str">
        <f>IFERROR(__xludf.DUMMYFUNCTION("""COMPUTED_VALUE"""),"Discount Buyers")</f>
        <v>Discount Buyers</v>
      </c>
      <c r="Y318" s="272" t="str">
        <f>IFERROR(__xludf.DUMMYFUNCTION("""COMPUTED_VALUE"""),"26-28 March")</f>
        <v>26-28 March</v>
      </c>
      <c r="Z318" s="272" t="str">
        <f>IFERROR(__xludf.DUMMYFUNCTION("""COMPUTED_VALUE"""),"69c51902d06ffcc54f97fdfa")</f>
        <v>69c51902d06ffcc54f97fdfa</v>
      </c>
      <c r="AA318" s="272">
        <f>IFERROR(__xludf.DUMMYFUNCTION("""COMPUTED_VALUE"""),41.0)</f>
        <v>41</v>
      </c>
      <c r="AB318" s="272">
        <f>IFERROR(__xludf.DUMMYFUNCTION("""COMPUTED_VALUE"""),41.0)</f>
        <v>41</v>
      </c>
      <c r="AC318" s="272"/>
      <c r="AD318" s="272">
        <f>IFERROR(__xludf.DUMMYFUNCTION("""COMPUTED_VALUE"""),101636.0)</f>
        <v>101636</v>
      </c>
      <c r="AE318" s="272">
        <f>IFERROR(__xludf.DUMMYFUNCTION("""COMPUTED_VALUE"""),101636.0)</f>
        <v>101636</v>
      </c>
      <c r="AF318" s="272"/>
      <c r="AG318" s="208"/>
      <c r="AH318" s="208"/>
      <c r="AI318" s="208"/>
      <c r="AJ318" s="208"/>
      <c r="AK318" s="208"/>
    </row>
    <row r="319" hidden="1">
      <c r="A319" s="209">
        <f>IFERROR(__xludf.DUMMYFUNCTION("""COMPUTED_VALUE"""),46107.0)</f>
        <v>46107</v>
      </c>
      <c r="B319" s="210">
        <f>IFERROR(__xludf.DUMMYFUNCTION("""COMPUTED_VALUE"""),0.7916666666678793)</f>
        <v>0.7916666667</v>
      </c>
      <c r="C319" s="211" t="str">
        <f>IFERROR(__xludf.DUMMYFUNCTION("""COMPUTED_VALUE"""),"Whatsapp")</f>
        <v>Whatsapp</v>
      </c>
      <c r="D319" s="211" t="str">
        <f>IFERROR(__xludf.DUMMYFUNCTION("""COMPUTED_VALUE"""),"Promotional")</f>
        <v>Promotional</v>
      </c>
      <c r="E319" s="211" t="str">
        <f>IFERROR(__xludf.DUMMYFUNCTION("""COMPUTED_VALUE"""),"BBW")</f>
        <v>BBW</v>
      </c>
      <c r="F319" s="211" t="str">
        <f>IFERROR(__xludf.DUMMYFUNCTION("""COMPUTED_VALUE"""),"bcat999")</f>
        <v>bcat999</v>
      </c>
      <c r="G319" s="212" t="str">
        <f>IFERROR(__xludf.DUMMYFUNCTION("""COMPUTED_VALUE"""),"bbw_wa_bcat999_26mar_appinstalled_nopurch_on")</f>
        <v>bbw_wa_bcat999_26mar_appinstalled_nopurch_on</v>
      </c>
      <c r="H319" s="212" t="str">
        <f>IFERROR(__xludf.DUMMYFUNCTION("""COMPUTED_VALUE"""),"App_Install_No_Buy_60D")</f>
        <v>App_Install_No_Buy_60D</v>
      </c>
      <c r="I319" s="212" t="str">
        <f>IFERROR(__xludf.DUMMYFUNCTION("""COMPUTED_VALUE"""),"Online Users who have signed up to the app in the last 60 days but have not purchased")</f>
        <v>Online Users who have signed up to the app in the last 60 days but have not purchased</v>
      </c>
      <c r="J319" s="213">
        <f>IFERROR(__xludf.DUMMYFUNCTION("""COMPUTED_VALUE"""),1329.0)</f>
        <v>1329</v>
      </c>
      <c r="K319" s="213">
        <f>IFERROR(__xludf.DUMMYFUNCTION("""COMPUTED_VALUE"""),808.0)</f>
        <v>808</v>
      </c>
      <c r="L319" s="214">
        <f>IFERROR(__xludf.DUMMYFUNCTION("""COMPUTED_VALUE"""),0.608)</f>
        <v>0.608</v>
      </c>
      <c r="M319" s="213">
        <f>IFERROR(__xludf.DUMMYFUNCTION("""COMPUTED_VALUE"""),340.0)</f>
        <v>340</v>
      </c>
      <c r="N319" s="214">
        <f>IFERROR(__xludf.DUMMYFUNCTION("""COMPUTED_VALUE"""),0.4208)</f>
        <v>0.4208</v>
      </c>
      <c r="O319" s="213">
        <f>IFERROR(__xludf.DUMMYFUNCTION("""COMPUTED_VALUE"""),79.0)</f>
        <v>79</v>
      </c>
      <c r="P319" s="213">
        <f>IFERROR(__xludf.DUMMYFUNCTION("""COMPUTED_VALUE"""),72.0)</f>
        <v>72</v>
      </c>
      <c r="Q319" s="214">
        <f>IFERROR(__xludf.DUMMYFUNCTION("""COMPUTED_VALUE"""),0.0891)</f>
        <v>0.0891</v>
      </c>
      <c r="R319" s="214">
        <f>IFERROR(__xludf.DUMMYFUNCTION("""COMPUTED_VALUE"""),0.2118)</f>
        <v>0.2118</v>
      </c>
      <c r="S319" s="101">
        <f>IFERROR(__xludf.DUMMYFUNCTION("""COMPUTED_VALUE"""),1.0)</f>
        <v>1</v>
      </c>
      <c r="T319" s="101">
        <f>IFERROR(__xludf.DUMMYFUNCTION("""COMPUTED_VALUE"""),15.0)</f>
        <v>15</v>
      </c>
      <c r="U319" s="270">
        <f>IFERROR(__xludf.DUMMYFUNCTION("""COMPUTED_VALUE"""),1998.0)</f>
        <v>1998</v>
      </c>
      <c r="V319" s="271" t="str">
        <f>IFERROR(__xludf.DUMMYFUNCTION("""COMPUTED_VALUE"""),"online")</f>
        <v>online</v>
      </c>
      <c r="W319" s="272" t="str">
        <f>IFERROR(__xludf.DUMMYFUNCTION("""COMPUTED_VALUE"""),"simple")</f>
        <v>simple</v>
      </c>
      <c r="X319" s="272" t="str">
        <f>IFERROR(__xludf.DUMMYFUNCTION("""COMPUTED_VALUE"""),"App Users")</f>
        <v>App Users</v>
      </c>
      <c r="Y319" s="272" t="str">
        <f>IFERROR(__xludf.DUMMYFUNCTION("""COMPUTED_VALUE"""),"26-28 March")</f>
        <v>26-28 March</v>
      </c>
      <c r="Z319" s="272" t="str">
        <f>IFERROR(__xludf.DUMMYFUNCTION("""COMPUTED_VALUE"""),"69c51924c9fdb77549f63972")</f>
        <v>69c51924c9fdb77549f63972</v>
      </c>
      <c r="AA319" s="272">
        <f>IFERROR(__xludf.DUMMYFUNCTION("""COMPUTED_VALUE"""),4.0)</f>
        <v>4</v>
      </c>
      <c r="AB319" s="272">
        <f>IFERROR(__xludf.DUMMYFUNCTION("""COMPUTED_VALUE"""),4.0)</f>
        <v>4</v>
      </c>
      <c r="AC319" s="272"/>
      <c r="AD319" s="272">
        <f>IFERROR(__xludf.DUMMYFUNCTION("""COMPUTED_VALUE"""),6943.0)</f>
        <v>6943</v>
      </c>
      <c r="AE319" s="272">
        <f>IFERROR(__xludf.DUMMYFUNCTION("""COMPUTED_VALUE"""),6943.0)</f>
        <v>6943</v>
      </c>
      <c r="AF319" s="272"/>
      <c r="AG319" s="208"/>
      <c r="AH319" s="208"/>
      <c r="AI319" s="208"/>
      <c r="AJ319" s="208"/>
      <c r="AK319" s="208"/>
    </row>
    <row r="320" hidden="1">
      <c r="A320" s="209">
        <f>IFERROR(__xludf.DUMMYFUNCTION("""COMPUTED_VALUE"""),46107.0)</f>
        <v>46107</v>
      </c>
      <c r="B320" s="210">
        <f>IFERROR(__xludf.DUMMYFUNCTION("""COMPUTED_VALUE"""),0.8333333333321207)</f>
        <v>0.8333333333</v>
      </c>
      <c r="C320" s="211" t="str">
        <f>IFERROR(__xludf.DUMMYFUNCTION("""COMPUTED_VALUE"""),"Sms")</f>
        <v>Sms</v>
      </c>
      <c r="D320" s="211" t="str">
        <f>IFERROR(__xludf.DUMMYFUNCTION("""COMPUTED_VALUE"""),"Fallback Campaign")</f>
        <v>Fallback Campaign</v>
      </c>
      <c r="E320" s="211" t="str">
        <f>IFERROR(__xludf.DUMMYFUNCTION("""COMPUTED_VALUE"""),"BBW")</f>
        <v>BBW</v>
      </c>
      <c r="F320" s="211" t="str">
        <f>IFERROR(__xludf.DUMMYFUNCTION("""COMPUTED_VALUE"""),"bcat999")</f>
        <v>bcat999</v>
      </c>
      <c r="G320" s="212" t="str">
        <f>IFERROR(__xludf.DUMMYFUNCTION("""COMPUTED_VALUE"""),"bbw_smsfb_bcat999_26mar_repeat_on")</f>
        <v>bbw_smsfb_bcat999_26mar_repeat_on</v>
      </c>
      <c r="H320" s="212" t="str">
        <f>IFERROR(__xludf.DUMMYFUNCTION("""COMPUTED_VALUE"""),"BodyCare_Repeat_180D_ON OR AGIPL_Internal OR BBW_Internal")</f>
        <v>BodyCare_Repeat_180D_ON OR AGIPL_Internal OR BBW_Internal</v>
      </c>
      <c r="I320" s="212" t="str">
        <f>IFERROR(__xludf.DUMMYFUNCTION("""COMPUTED_VALUE"""),"WA Undelivered")</f>
        <v>WA Undelivered</v>
      </c>
      <c r="J320" s="213">
        <f>IFERROR(__xludf.DUMMYFUNCTION("""COMPUTED_VALUE"""),1811.0)</f>
        <v>1811</v>
      </c>
      <c r="K320" s="213">
        <f>IFERROR(__xludf.DUMMYFUNCTION("""COMPUTED_VALUE"""),901.0)</f>
        <v>901</v>
      </c>
      <c r="L320" s="214">
        <f>IFERROR(__xludf.DUMMYFUNCTION("""COMPUTED_VALUE"""),0.4975)</f>
        <v>0.4975</v>
      </c>
      <c r="M320" s="213"/>
      <c r="N320" s="214"/>
      <c r="O320" s="213">
        <f>IFERROR(__xludf.DUMMYFUNCTION("""COMPUTED_VALUE"""),6.0)</f>
        <v>6</v>
      </c>
      <c r="P320" s="213"/>
      <c r="Q320" s="214">
        <f>IFERROR(__xludf.DUMMYFUNCTION("""COMPUTED_VALUE"""),0.0067)</f>
        <v>0.0067</v>
      </c>
      <c r="R320" s="214"/>
      <c r="S320" s="101">
        <f>IFERROR(__xludf.DUMMYFUNCTION("""COMPUTED_VALUE"""),2.0)</f>
        <v>2</v>
      </c>
      <c r="T320" s="101">
        <f>IFERROR(__xludf.DUMMYFUNCTION("""COMPUTED_VALUE"""),7.0)</f>
        <v>7</v>
      </c>
      <c r="U320" s="270">
        <f>IFERROR(__xludf.DUMMYFUNCTION("""COMPUTED_VALUE"""),23576.0)</f>
        <v>23576</v>
      </c>
      <c r="V320" s="271" t="str">
        <f>IFERROR(__xludf.DUMMYFUNCTION("""COMPUTED_VALUE"""),"online")</f>
        <v>online</v>
      </c>
      <c r="W320" s="272" t="str">
        <f>IFERROR(__xludf.DUMMYFUNCTION("""COMPUTED_VALUE"""),"SMS")</f>
        <v>SMS</v>
      </c>
      <c r="X320" s="272" t="str">
        <f>IFERROR(__xludf.DUMMYFUNCTION("""COMPUTED_VALUE"""),"Cat Repeat")</f>
        <v>Cat Repeat</v>
      </c>
      <c r="Y320" s="272" t="str">
        <f>IFERROR(__xludf.DUMMYFUNCTION("""COMPUTED_VALUE"""),"26 March")</f>
        <v>26 March</v>
      </c>
      <c r="Z320" s="272" t="str">
        <f>IFERROR(__xludf.DUMMYFUNCTION("""COMPUTED_VALUE"""),"69c51d09aa996185d28cf18a")</f>
        <v>69c51d09aa996185d28cf18a</v>
      </c>
      <c r="AA320" s="272">
        <f>IFERROR(__xludf.DUMMYFUNCTION("""COMPUTED_VALUE"""),4.0)</f>
        <v>4</v>
      </c>
      <c r="AB320" s="272">
        <f>IFERROR(__xludf.DUMMYFUNCTION("""COMPUTED_VALUE"""),4.0)</f>
        <v>4</v>
      </c>
      <c r="AC320" s="272"/>
      <c r="AD320" s="272">
        <f>IFERROR(__xludf.DUMMYFUNCTION("""COMPUTED_VALUE"""),23576.0)</f>
        <v>23576</v>
      </c>
      <c r="AE320" s="272">
        <f>IFERROR(__xludf.DUMMYFUNCTION("""COMPUTED_VALUE"""),23576.0)</f>
        <v>23576</v>
      </c>
      <c r="AF320" s="272"/>
      <c r="AG320" s="208"/>
      <c r="AH320" s="208"/>
      <c r="AI320" s="208"/>
      <c r="AJ320" s="208"/>
      <c r="AK320" s="208"/>
    </row>
    <row r="321" hidden="1">
      <c r="A321" s="209">
        <f>IFERROR(__xludf.DUMMYFUNCTION("""COMPUTED_VALUE"""),46107.0)</f>
        <v>46107</v>
      </c>
      <c r="B321" s="210">
        <f>IFERROR(__xludf.DUMMYFUNCTION("""COMPUTED_VALUE"""),0.8333333333321207)</f>
        <v>0.8333333333</v>
      </c>
      <c r="C321" s="211" t="str">
        <f>IFERROR(__xludf.DUMMYFUNCTION("""COMPUTED_VALUE"""),"Sms")</f>
        <v>Sms</v>
      </c>
      <c r="D321" s="211" t="str">
        <f>IFERROR(__xludf.DUMMYFUNCTION("""COMPUTED_VALUE"""),"Fallback Campaign")</f>
        <v>Fallback Campaign</v>
      </c>
      <c r="E321" s="211" t="str">
        <f>IFERROR(__xludf.DUMMYFUNCTION("""COMPUTED_VALUE"""),"BBW")</f>
        <v>BBW</v>
      </c>
      <c r="F321" s="211" t="str">
        <f>IFERROR(__xludf.DUMMYFUNCTION("""COMPUTED_VALUE"""),"bcat999")</f>
        <v>bcat999</v>
      </c>
      <c r="G321" s="212" t="str">
        <f>IFERROR(__xludf.DUMMYFUNCTION("""COMPUTED_VALUE"""),"bbw_smsfb_bcat999_26mar_atc_on")</f>
        <v>bbw_smsfb_bcat999_26mar_atc_on</v>
      </c>
      <c r="H321" s="212" t="str">
        <f>IFERROR(__xludf.DUMMYFUNCTION("""COMPUTED_VALUE"""),"ATC_BC_90D_ON")</f>
        <v>ATC_BC_90D_ON</v>
      </c>
      <c r="I321" s="212" t="str">
        <f>IFERROR(__xludf.DUMMYFUNCTION("""COMPUTED_VALUE"""),"WA Undelivered")</f>
        <v>WA Undelivered</v>
      </c>
      <c r="J321" s="213">
        <f>IFERROR(__xludf.DUMMYFUNCTION("""COMPUTED_VALUE"""),3208.0)</f>
        <v>3208</v>
      </c>
      <c r="K321" s="213">
        <f>IFERROR(__xludf.DUMMYFUNCTION("""COMPUTED_VALUE"""),2168.0)</f>
        <v>2168</v>
      </c>
      <c r="L321" s="214">
        <f>IFERROR(__xludf.DUMMYFUNCTION("""COMPUTED_VALUE"""),0.6758)</f>
        <v>0.6758</v>
      </c>
      <c r="M321" s="213"/>
      <c r="N321" s="214"/>
      <c r="O321" s="213">
        <f>IFERROR(__xludf.DUMMYFUNCTION("""COMPUTED_VALUE"""),11.0)</f>
        <v>11</v>
      </c>
      <c r="P321" s="213"/>
      <c r="Q321" s="214">
        <f>IFERROR(__xludf.DUMMYFUNCTION("""COMPUTED_VALUE"""),0.0051)</f>
        <v>0.0051</v>
      </c>
      <c r="R321" s="214"/>
      <c r="S321" s="101">
        <f>IFERROR(__xludf.DUMMYFUNCTION("""COMPUTED_VALUE"""),8.0)</f>
        <v>8</v>
      </c>
      <c r="T321" s="101">
        <f>IFERROR(__xludf.DUMMYFUNCTION("""COMPUTED_VALUE"""),33.0)</f>
        <v>33</v>
      </c>
      <c r="U321" s="270">
        <f>IFERROR(__xludf.DUMMYFUNCTION("""COMPUTED_VALUE"""),18017.0)</f>
        <v>18017</v>
      </c>
      <c r="V321" s="271" t="str">
        <f>IFERROR(__xludf.DUMMYFUNCTION("""COMPUTED_VALUE"""),"online")</f>
        <v>online</v>
      </c>
      <c r="W321" s="272" t="str">
        <f>IFERROR(__xludf.DUMMYFUNCTION("""COMPUTED_VALUE"""),"SMS")</f>
        <v>SMS</v>
      </c>
      <c r="X321" s="272" t="str">
        <f>IFERROR(__xludf.DUMMYFUNCTION("""COMPUTED_VALUE"""),"ATC")</f>
        <v>ATC</v>
      </c>
      <c r="Y321" s="272" t="str">
        <f>IFERROR(__xludf.DUMMYFUNCTION("""COMPUTED_VALUE"""),"26 March")</f>
        <v>26 March</v>
      </c>
      <c r="Z321" s="272" t="str">
        <f>IFERROR(__xludf.DUMMYFUNCTION("""COMPUTED_VALUE"""),"69c51d609539854be51f4ba2")</f>
        <v>69c51d609539854be51f4ba2</v>
      </c>
      <c r="AA321" s="272">
        <f>IFERROR(__xludf.DUMMYFUNCTION("""COMPUTED_VALUE"""),6.0)</f>
        <v>6</v>
      </c>
      <c r="AB321" s="272">
        <f>IFERROR(__xludf.DUMMYFUNCTION("""COMPUTED_VALUE"""),6.0)</f>
        <v>6</v>
      </c>
      <c r="AC321" s="272"/>
      <c r="AD321" s="272">
        <f>IFERROR(__xludf.DUMMYFUNCTION("""COMPUTED_VALUE"""),23700.0)</f>
        <v>23700</v>
      </c>
      <c r="AE321" s="272">
        <f>IFERROR(__xludf.DUMMYFUNCTION("""COMPUTED_VALUE"""),23700.0)</f>
        <v>23700</v>
      </c>
      <c r="AF321" s="272"/>
      <c r="AG321" s="208"/>
      <c r="AH321" s="208"/>
      <c r="AI321" s="208"/>
      <c r="AJ321" s="208"/>
      <c r="AK321" s="208"/>
    </row>
    <row r="322" hidden="1">
      <c r="A322" s="209">
        <f>IFERROR(__xludf.DUMMYFUNCTION("""COMPUTED_VALUE"""),46107.0)</f>
        <v>46107</v>
      </c>
      <c r="B322" s="210">
        <f>IFERROR(__xludf.DUMMYFUNCTION("""COMPUTED_VALUE"""),0.8333333333321207)</f>
        <v>0.8333333333</v>
      </c>
      <c r="C322" s="211" t="str">
        <f>IFERROR(__xludf.DUMMYFUNCTION("""COMPUTED_VALUE"""),"Sms")</f>
        <v>Sms</v>
      </c>
      <c r="D322" s="211" t="str">
        <f>IFERROR(__xludf.DUMMYFUNCTION("""COMPUTED_VALUE"""),"Fallback Campaign")</f>
        <v>Fallback Campaign</v>
      </c>
      <c r="E322" s="211" t="str">
        <f>IFERROR(__xludf.DUMMYFUNCTION("""COMPUTED_VALUE"""),"BBW")</f>
        <v>BBW</v>
      </c>
      <c r="F322" s="211" t="str">
        <f>IFERROR(__xludf.DUMMYFUNCTION("""COMPUTED_VALUE"""),"bcat999")</f>
        <v>bcat999</v>
      </c>
      <c r="G322" s="212" t="str">
        <f>IFERROR(__xludf.DUMMYFUNCTION("""COMPUTED_VALUE"""),"bbw_smsfb_bcat999_26mar_item_viewed_on")</f>
        <v>bbw_smsfb_bcat999_26mar_item_viewed_on</v>
      </c>
      <c r="H322" s="212" t="str">
        <f>IFERROR(__xludf.DUMMYFUNCTION("""COMPUTED_VALUE"""),"View_BC_1time_60D_ON")</f>
        <v>View_BC_1time_60D_ON</v>
      </c>
      <c r="I322" s="212" t="str">
        <f>IFERROR(__xludf.DUMMYFUNCTION("""COMPUTED_VALUE"""),"WA Undelivered")</f>
        <v>WA Undelivered</v>
      </c>
      <c r="J322" s="213">
        <f>IFERROR(__xludf.DUMMYFUNCTION("""COMPUTED_VALUE"""),405.0)</f>
        <v>405</v>
      </c>
      <c r="K322" s="213">
        <f>IFERROR(__xludf.DUMMYFUNCTION("""COMPUTED_VALUE"""),284.0)</f>
        <v>284</v>
      </c>
      <c r="L322" s="214">
        <f>IFERROR(__xludf.DUMMYFUNCTION("""COMPUTED_VALUE"""),0.7012)</f>
        <v>0.7012</v>
      </c>
      <c r="M322" s="213"/>
      <c r="N322" s="214"/>
      <c r="O322" s="213">
        <f>IFERROR(__xludf.DUMMYFUNCTION("""COMPUTED_VALUE"""),1.0)</f>
        <v>1</v>
      </c>
      <c r="P322" s="213"/>
      <c r="Q322" s="214">
        <f>IFERROR(__xludf.DUMMYFUNCTION("""COMPUTED_VALUE"""),0.0035)</f>
        <v>0.0035</v>
      </c>
      <c r="R322" s="214"/>
      <c r="S322" s="101">
        <f>IFERROR(__xludf.DUMMYFUNCTION("""COMPUTED_VALUE"""),0.0)</f>
        <v>0</v>
      </c>
      <c r="T322" s="101">
        <f>IFERROR(__xludf.DUMMYFUNCTION("""COMPUTED_VALUE"""),1.0)</f>
        <v>1</v>
      </c>
      <c r="U322" s="270">
        <f>IFERROR(__xludf.DUMMYFUNCTION("""COMPUTED_VALUE"""),0.0)</f>
        <v>0</v>
      </c>
      <c r="V322" s="271" t="str">
        <f>IFERROR(__xludf.DUMMYFUNCTION("""COMPUTED_VALUE"""),"online")</f>
        <v>online</v>
      </c>
      <c r="W322" s="272" t="str">
        <f>IFERROR(__xludf.DUMMYFUNCTION("""COMPUTED_VALUE"""),"SMS")</f>
        <v>SMS</v>
      </c>
      <c r="X322" s="272" t="str">
        <f>IFERROR(__xludf.DUMMYFUNCTION("""COMPUTED_VALUE"""),"View Item")</f>
        <v>View Item</v>
      </c>
      <c r="Y322" s="272" t="str">
        <f>IFERROR(__xludf.DUMMYFUNCTION("""COMPUTED_VALUE"""),"26 March")</f>
        <v>26 March</v>
      </c>
      <c r="Z322" s="272" t="str">
        <f>IFERROR(__xludf.DUMMYFUNCTION("""COMPUTED_VALUE"""),"69c51e100bb4a7bf1f47cf75")</f>
        <v>69c51e100bb4a7bf1f47cf75</v>
      </c>
      <c r="AA322" s="272">
        <f>IFERROR(__xludf.DUMMYFUNCTION("""COMPUTED_VALUE"""),0.0)</f>
        <v>0</v>
      </c>
      <c r="AB322" s="272">
        <f>IFERROR(__xludf.DUMMYFUNCTION("""COMPUTED_VALUE"""),0.0)</f>
        <v>0</v>
      </c>
      <c r="AC322" s="272"/>
      <c r="AD322" s="272">
        <f>IFERROR(__xludf.DUMMYFUNCTION("""COMPUTED_VALUE"""),0.0)</f>
        <v>0</v>
      </c>
      <c r="AE322" s="272">
        <f>IFERROR(__xludf.DUMMYFUNCTION("""COMPUTED_VALUE"""),0.0)</f>
        <v>0</v>
      </c>
      <c r="AF322" s="272"/>
      <c r="AG322" s="208"/>
      <c r="AH322" s="208"/>
      <c r="AI322" s="208"/>
      <c r="AJ322" s="208"/>
      <c r="AK322" s="208"/>
    </row>
    <row r="323" hidden="1">
      <c r="A323" s="209">
        <f>IFERROR(__xludf.DUMMYFUNCTION("""COMPUTED_VALUE"""),46107.0)</f>
        <v>46107</v>
      </c>
      <c r="B323" s="210">
        <f>IFERROR(__xludf.DUMMYFUNCTION("""COMPUTED_VALUE"""),0.8333333333321207)</f>
        <v>0.8333333333</v>
      </c>
      <c r="C323" s="211" t="str">
        <f>IFERROR(__xludf.DUMMYFUNCTION("""COMPUTED_VALUE"""),"Sms")</f>
        <v>Sms</v>
      </c>
      <c r="D323" s="211" t="str">
        <f>IFERROR(__xludf.DUMMYFUNCTION("""COMPUTED_VALUE"""),"Fallback Campaign")</f>
        <v>Fallback Campaign</v>
      </c>
      <c r="E323" s="211" t="str">
        <f>IFERROR(__xludf.DUMMYFUNCTION("""COMPUTED_VALUE"""),"BBW")</f>
        <v>BBW</v>
      </c>
      <c r="F323" s="211" t="str">
        <f>IFERROR(__xludf.DUMMYFUNCTION("""COMPUTED_VALUE"""),"bcat999")</f>
        <v>bcat999</v>
      </c>
      <c r="G323" s="212" t="str">
        <f>IFERROR(__xludf.DUMMYFUNCTION("""COMPUTED_VALUE"""),"bbw_smsfb_bcat999_26mar_bcpastbuyer_on")</f>
        <v>bbw_smsfb_bcat999_26mar_bcpastbuyer_on</v>
      </c>
      <c r="H323" s="212" t="str">
        <f>IFERROR(__xludf.DUMMYFUNCTION("""COMPUTED_VALUE"""),"BC_999max_1Y_ON")</f>
        <v>BC_999max_1Y_ON</v>
      </c>
      <c r="I323" s="212" t="str">
        <f>IFERROR(__xludf.DUMMYFUNCTION("""COMPUTED_VALUE"""),"WA Undelivered")</f>
        <v>WA Undelivered</v>
      </c>
      <c r="J323" s="213">
        <f>IFERROR(__xludf.DUMMYFUNCTION("""COMPUTED_VALUE"""),4517.0)</f>
        <v>4517</v>
      </c>
      <c r="K323" s="213">
        <f>IFERROR(__xludf.DUMMYFUNCTION("""COMPUTED_VALUE"""),2914.0)</f>
        <v>2914</v>
      </c>
      <c r="L323" s="214">
        <f>IFERROR(__xludf.DUMMYFUNCTION("""COMPUTED_VALUE"""),0.6451)</f>
        <v>0.6451</v>
      </c>
      <c r="M323" s="213"/>
      <c r="N323" s="214"/>
      <c r="O323" s="213">
        <f>IFERROR(__xludf.DUMMYFUNCTION("""COMPUTED_VALUE"""),8.0)</f>
        <v>8</v>
      </c>
      <c r="P323" s="213"/>
      <c r="Q323" s="214">
        <f>IFERROR(__xludf.DUMMYFUNCTION("""COMPUTED_VALUE"""),0.0027)</f>
        <v>0.0027</v>
      </c>
      <c r="R323" s="214"/>
      <c r="S323" s="101">
        <f>IFERROR(__xludf.DUMMYFUNCTION("""COMPUTED_VALUE"""),1.0)</f>
        <v>1</v>
      </c>
      <c r="T323" s="101">
        <f>IFERROR(__xludf.DUMMYFUNCTION("""COMPUTED_VALUE"""),1.0)</f>
        <v>1</v>
      </c>
      <c r="U323" s="270">
        <f>IFERROR(__xludf.DUMMYFUNCTION("""COMPUTED_VALUE"""),1798.0)</f>
        <v>1798</v>
      </c>
      <c r="V323" s="271" t="str">
        <f>IFERROR(__xludf.DUMMYFUNCTION("""COMPUTED_VALUE"""),"online")</f>
        <v>online</v>
      </c>
      <c r="W323" s="272" t="str">
        <f>IFERROR(__xludf.DUMMYFUNCTION("""COMPUTED_VALUE"""),"SMS")</f>
        <v>SMS</v>
      </c>
      <c r="X323" s="272" t="str">
        <f>IFERROR(__xludf.DUMMYFUNCTION("""COMPUTED_VALUE"""),"Cart Value")</f>
        <v>Cart Value</v>
      </c>
      <c r="Y323" s="272" t="str">
        <f>IFERROR(__xludf.DUMMYFUNCTION("""COMPUTED_VALUE"""),"26 March")</f>
        <v>26 March</v>
      </c>
      <c r="Z323" s="272" t="str">
        <f>IFERROR(__xludf.DUMMYFUNCTION("""COMPUTED_VALUE"""),"69c51e7dd9f182dff6dcaf7e")</f>
        <v>69c51e7dd9f182dff6dcaf7e</v>
      </c>
      <c r="AA323" s="272">
        <f>IFERROR(__xludf.DUMMYFUNCTION("""COMPUTED_VALUE"""),4.0)</f>
        <v>4</v>
      </c>
      <c r="AB323" s="272">
        <f>IFERROR(__xludf.DUMMYFUNCTION("""COMPUTED_VALUE"""),4.0)</f>
        <v>4</v>
      </c>
      <c r="AC323" s="272"/>
      <c r="AD323" s="272">
        <f>IFERROR(__xludf.DUMMYFUNCTION("""COMPUTED_VALUE"""),5994.0)</f>
        <v>5994</v>
      </c>
      <c r="AE323" s="272">
        <f>IFERROR(__xludf.DUMMYFUNCTION("""COMPUTED_VALUE"""),5994.0)</f>
        <v>5994</v>
      </c>
      <c r="AF323" s="272"/>
      <c r="AG323" s="208"/>
      <c r="AH323" s="208"/>
      <c r="AI323" s="208"/>
      <c r="AJ323" s="208"/>
      <c r="AK323" s="208"/>
    </row>
    <row r="324" hidden="1">
      <c r="A324" s="209">
        <f>IFERROR(__xludf.DUMMYFUNCTION("""COMPUTED_VALUE"""),46107.0)</f>
        <v>46107</v>
      </c>
      <c r="B324" s="210">
        <f>IFERROR(__xludf.DUMMYFUNCTION("""COMPUTED_VALUE"""),0.8333333333321207)</f>
        <v>0.8333333333</v>
      </c>
      <c r="C324" s="211" t="str">
        <f>IFERROR(__xludf.DUMMYFUNCTION("""COMPUTED_VALUE"""),"Sms")</f>
        <v>Sms</v>
      </c>
      <c r="D324" s="211" t="str">
        <f>IFERROR(__xludf.DUMMYFUNCTION("""COMPUTED_VALUE"""),"Fallback Campaign")</f>
        <v>Fallback Campaign</v>
      </c>
      <c r="E324" s="211" t="str">
        <f>IFERROR(__xludf.DUMMYFUNCTION("""COMPUTED_VALUE"""),"BBW")</f>
        <v>BBW</v>
      </c>
      <c r="F324" s="211" t="str">
        <f>IFERROR(__xludf.DUMMYFUNCTION("""COMPUTED_VALUE"""),"bcat999")</f>
        <v>bcat999</v>
      </c>
      <c r="G324" s="212" t="str">
        <f>IFERROR(__xludf.DUMMYFUNCTION("""COMPUTED_VALUE"""),"bbw_smsfb_bcat999_26mar_event_buyers_on")</f>
        <v>bbw_smsfb_bcat999_26mar_event_buyers_on</v>
      </c>
      <c r="H324" s="212" t="str">
        <f>IFERROR(__xludf.DUMMYFUNCTION("""COMPUTED_VALUE"""),"BC_EventBuyers_ON")</f>
        <v>BC_EventBuyers_ON</v>
      </c>
      <c r="I324" s="212" t="str">
        <f>IFERROR(__xludf.DUMMYFUNCTION("""COMPUTED_VALUE"""),"WA Undelivered")</f>
        <v>WA Undelivered</v>
      </c>
      <c r="J324" s="213">
        <f>IFERROR(__xludf.DUMMYFUNCTION("""COMPUTED_VALUE"""),1325.0)</f>
        <v>1325</v>
      </c>
      <c r="K324" s="213">
        <f>IFERROR(__xludf.DUMMYFUNCTION("""COMPUTED_VALUE"""),707.0)</f>
        <v>707</v>
      </c>
      <c r="L324" s="214">
        <f>IFERROR(__xludf.DUMMYFUNCTION("""COMPUTED_VALUE"""),0.5336)</f>
        <v>0.5336</v>
      </c>
      <c r="M324" s="213"/>
      <c r="N324" s="214"/>
      <c r="O324" s="213">
        <f>IFERROR(__xludf.DUMMYFUNCTION("""COMPUTED_VALUE"""),1.0)</f>
        <v>1</v>
      </c>
      <c r="P324" s="213"/>
      <c r="Q324" s="214">
        <f>IFERROR(__xludf.DUMMYFUNCTION("""COMPUTED_VALUE"""),0.0014)</f>
        <v>0.0014</v>
      </c>
      <c r="R324" s="214"/>
      <c r="S324" s="101">
        <f>IFERROR(__xludf.DUMMYFUNCTION("""COMPUTED_VALUE"""),0.0)</f>
        <v>0</v>
      </c>
      <c r="T324" s="101">
        <f>IFERROR(__xludf.DUMMYFUNCTION("""COMPUTED_VALUE"""),1.0)</f>
        <v>1</v>
      </c>
      <c r="U324" s="270">
        <f>IFERROR(__xludf.DUMMYFUNCTION("""COMPUTED_VALUE"""),0.0)</f>
        <v>0</v>
      </c>
      <c r="V324" s="271" t="str">
        <f>IFERROR(__xludf.DUMMYFUNCTION("""COMPUTED_VALUE"""),"online")</f>
        <v>online</v>
      </c>
      <c r="W324" s="272" t="str">
        <f>IFERROR(__xludf.DUMMYFUNCTION("""COMPUTED_VALUE"""),"SMS")</f>
        <v>SMS</v>
      </c>
      <c r="X324" s="272" t="str">
        <f>IFERROR(__xludf.DUMMYFUNCTION("""COMPUTED_VALUE"""),"Event Buyers")</f>
        <v>Event Buyers</v>
      </c>
      <c r="Y324" s="272" t="str">
        <f>IFERROR(__xludf.DUMMYFUNCTION("""COMPUTED_VALUE"""),"26 March")</f>
        <v>26 March</v>
      </c>
      <c r="Z324" s="272" t="str">
        <f>IFERROR(__xludf.DUMMYFUNCTION("""COMPUTED_VALUE"""),"69c51ebd537d3f499fb45e8f")</f>
        <v>69c51ebd537d3f499fb45e8f</v>
      </c>
      <c r="AA324" s="272">
        <f>IFERROR(__xludf.DUMMYFUNCTION("""COMPUTED_VALUE"""),0.0)</f>
        <v>0</v>
      </c>
      <c r="AB324" s="272">
        <f>IFERROR(__xludf.DUMMYFUNCTION("""COMPUTED_VALUE"""),0.0)</f>
        <v>0</v>
      </c>
      <c r="AC324" s="272"/>
      <c r="AD324" s="272">
        <f>IFERROR(__xludf.DUMMYFUNCTION("""COMPUTED_VALUE"""),0.0)</f>
        <v>0</v>
      </c>
      <c r="AE324" s="272">
        <f>IFERROR(__xludf.DUMMYFUNCTION("""COMPUTED_VALUE"""),0.0)</f>
        <v>0</v>
      </c>
      <c r="AF324" s="272"/>
      <c r="AG324" s="208"/>
      <c r="AH324" s="208"/>
      <c r="AI324" s="208"/>
      <c r="AJ324" s="208"/>
      <c r="AK324" s="208"/>
    </row>
    <row r="325" hidden="1">
      <c r="A325" s="209">
        <f>IFERROR(__xludf.DUMMYFUNCTION("""COMPUTED_VALUE"""),46107.0)</f>
        <v>46107</v>
      </c>
      <c r="B325" s="210">
        <f>IFERROR(__xludf.DUMMYFUNCTION("""COMPUTED_VALUE"""),0.8333333333321207)</f>
        <v>0.8333333333</v>
      </c>
      <c r="C325" s="211" t="str">
        <f>IFERROR(__xludf.DUMMYFUNCTION("""COMPUTED_VALUE"""),"Sms")</f>
        <v>Sms</v>
      </c>
      <c r="D325" s="211" t="str">
        <f>IFERROR(__xludf.DUMMYFUNCTION("""COMPUTED_VALUE"""),"Fallback Campaign")</f>
        <v>Fallback Campaign</v>
      </c>
      <c r="E325" s="211" t="str">
        <f>IFERROR(__xludf.DUMMYFUNCTION("""COMPUTED_VALUE"""),"BBW")</f>
        <v>BBW</v>
      </c>
      <c r="F325" s="211" t="str">
        <f>IFERROR(__xludf.DUMMYFUNCTION("""COMPUTED_VALUE"""),"bcat999")</f>
        <v>bcat999</v>
      </c>
      <c r="G325" s="212" t="str">
        <f>IFERROR(__xludf.DUMMYFUNCTION("""COMPUTED_VALUE"""),"bbw_smsfb_bcat999_26mar_dormant_on")</f>
        <v>bbw_smsfb_bcat999_26mar_dormant_on</v>
      </c>
      <c r="H325" s="212" t="str">
        <f>IFERROR(__xludf.DUMMYFUNCTION("""COMPUTED_VALUE"""),"BC_Dormant_1Y_ON")</f>
        <v>BC_Dormant_1Y_ON</v>
      </c>
      <c r="I325" s="212" t="str">
        <f>IFERROR(__xludf.DUMMYFUNCTION("""COMPUTED_VALUE"""),"WA Undelivered")</f>
        <v>WA Undelivered</v>
      </c>
      <c r="J325" s="213">
        <f>IFERROR(__xludf.DUMMYFUNCTION("""COMPUTED_VALUE"""),14845.0)</f>
        <v>14845</v>
      </c>
      <c r="K325" s="213">
        <f>IFERROR(__xludf.DUMMYFUNCTION("""COMPUTED_VALUE"""),7982.0)</f>
        <v>7982</v>
      </c>
      <c r="L325" s="214">
        <f>IFERROR(__xludf.DUMMYFUNCTION("""COMPUTED_VALUE"""),0.5377)</f>
        <v>0.5377</v>
      </c>
      <c r="M325" s="213"/>
      <c r="N325" s="214"/>
      <c r="O325" s="213">
        <f>IFERROR(__xludf.DUMMYFUNCTION("""COMPUTED_VALUE"""),18.0)</f>
        <v>18</v>
      </c>
      <c r="P325" s="213"/>
      <c r="Q325" s="214">
        <f>IFERROR(__xludf.DUMMYFUNCTION("""COMPUTED_VALUE"""),0.0023)</f>
        <v>0.0023</v>
      </c>
      <c r="R325" s="214"/>
      <c r="S325" s="101">
        <f>IFERROR(__xludf.DUMMYFUNCTION("""COMPUTED_VALUE"""),1.0)</f>
        <v>1</v>
      </c>
      <c r="T325" s="101">
        <f>IFERROR(__xludf.DUMMYFUNCTION("""COMPUTED_VALUE"""),4.0)</f>
        <v>4</v>
      </c>
      <c r="U325" s="270">
        <f>IFERROR(__xludf.DUMMYFUNCTION("""COMPUTED_VALUE"""),1998.0)</f>
        <v>1998</v>
      </c>
      <c r="V325" s="271" t="str">
        <f>IFERROR(__xludf.DUMMYFUNCTION("""COMPUTED_VALUE"""),"online")</f>
        <v>online</v>
      </c>
      <c r="W325" s="272" t="str">
        <f>IFERROR(__xludf.DUMMYFUNCTION("""COMPUTED_VALUE"""),"SMS")</f>
        <v>SMS</v>
      </c>
      <c r="X325" s="272" t="str">
        <f>IFERROR(__xludf.DUMMYFUNCTION("""COMPUTED_VALUE"""),"Cat Dormant")</f>
        <v>Cat Dormant</v>
      </c>
      <c r="Y325" s="272" t="str">
        <f>IFERROR(__xludf.DUMMYFUNCTION("""COMPUTED_VALUE"""),"26 March")</f>
        <v>26 March</v>
      </c>
      <c r="Z325" s="272" t="str">
        <f>IFERROR(__xludf.DUMMYFUNCTION("""COMPUTED_VALUE"""),"69c51f0f640d16a4a0ae1b2f")</f>
        <v>69c51f0f640d16a4a0ae1b2f</v>
      </c>
      <c r="AA325" s="272">
        <f>IFERROR(__xludf.DUMMYFUNCTION("""COMPUTED_VALUE"""),7.0)</f>
        <v>7</v>
      </c>
      <c r="AB325" s="272">
        <f>IFERROR(__xludf.DUMMYFUNCTION("""COMPUTED_VALUE"""),7.0)</f>
        <v>7</v>
      </c>
      <c r="AC325" s="272"/>
      <c r="AD325" s="272">
        <f>IFERROR(__xludf.DUMMYFUNCTION("""COMPUTED_VALUE"""),16383.0)</f>
        <v>16383</v>
      </c>
      <c r="AE325" s="272">
        <f>IFERROR(__xludf.DUMMYFUNCTION("""COMPUTED_VALUE"""),16383.0)</f>
        <v>16383</v>
      </c>
      <c r="AF325" s="272"/>
      <c r="AG325" s="208"/>
      <c r="AH325" s="208"/>
      <c r="AI325" s="208"/>
      <c r="AJ325" s="208"/>
      <c r="AK325" s="208"/>
    </row>
    <row r="326" hidden="1">
      <c r="A326" s="209">
        <f>IFERROR(__xludf.DUMMYFUNCTION("""COMPUTED_VALUE"""),46107.0)</f>
        <v>46107</v>
      </c>
      <c r="B326" s="210">
        <f>IFERROR(__xludf.DUMMYFUNCTION("""COMPUTED_VALUE"""),0.8333333333321207)</f>
        <v>0.8333333333</v>
      </c>
      <c r="C326" s="211" t="str">
        <f>IFERROR(__xludf.DUMMYFUNCTION("""COMPUTED_VALUE"""),"Sms")</f>
        <v>Sms</v>
      </c>
      <c r="D326" s="211" t="str">
        <f>IFERROR(__xludf.DUMMYFUNCTION("""COMPUTED_VALUE"""),"Fallback Campaign")</f>
        <v>Fallback Campaign</v>
      </c>
      <c r="E326" s="211" t="str">
        <f>IFERROR(__xludf.DUMMYFUNCTION("""COMPUTED_VALUE"""),"BBW")</f>
        <v>BBW</v>
      </c>
      <c r="F326" s="211" t="str">
        <f>IFERROR(__xludf.DUMMYFUNCTION("""COMPUTED_VALUE"""),"bcat999")</f>
        <v>bcat999</v>
      </c>
      <c r="G326" s="212" t="str">
        <f>IFERROR(__xludf.DUMMYFUNCTION("""COMPUTED_VALUE"""),"bbw_smsfb_bcat999_26mar_disc_buyers_on")</f>
        <v>bbw_smsfb_bcat999_26mar_disc_buyers_on</v>
      </c>
      <c r="H326" s="212" t="str">
        <f>IFERROR(__xludf.DUMMYFUNCTION("""COMPUTED_VALUE"""),"Disc_Buyer_365D_ON")</f>
        <v>Disc_Buyer_365D_ON</v>
      </c>
      <c r="I326" s="212" t="str">
        <f>IFERROR(__xludf.DUMMYFUNCTION("""COMPUTED_VALUE"""),"WA Undelivered")</f>
        <v>WA Undelivered</v>
      </c>
      <c r="J326" s="213">
        <f>IFERROR(__xludf.DUMMYFUNCTION("""COMPUTED_VALUE"""),28470.0)</f>
        <v>28470</v>
      </c>
      <c r="K326" s="213">
        <f>IFERROR(__xludf.DUMMYFUNCTION("""COMPUTED_VALUE"""),16917.0)</f>
        <v>16917</v>
      </c>
      <c r="L326" s="214">
        <f>IFERROR(__xludf.DUMMYFUNCTION("""COMPUTED_VALUE"""),0.5942)</f>
        <v>0.5942</v>
      </c>
      <c r="M326" s="213"/>
      <c r="N326" s="214"/>
      <c r="O326" s="213">
        <f>IFERROR(__xludf.DUMMYFUNCTION("""COMPUTED_VALUE"""),48.0)</f>
        <v>48</v>
      </c>
      <c r="P326" s="213"/>
      <c r="Q326" s="214">
        <f>IFERROR(__xludf.DUMMYFUNCTION("""COMPUTED_VALUE"""),0.0028)</f>
        <v>0.0028</v>
      </c>
      <c r="R326" s="214"/>
      <c r="S326" s="101">
        <f>IFERROR(__xludf.DUMMYFUNCTION("""COMPUTED_VALUE"""),9.0)</f>
        <v>9</v>
      </c>
      <c r="T326" s="101">
        <f>IFERROR(__xludf.DUMMYFUNCTION("""COMPUTED_VALUE"""),13.0)</f>
        <v>13</v>
      </c>
      <c r="U326" s="270">
        <f>IFERROR(__xludf.DUMMYFUNCTION("""COMPUTED_VALUE"""),23077.0)</f>
        <v>23077</v>
      </c>
      <c r="V326" s="271" t="str">
        <f>IFERROR(__xludf.DUMMYFUNCTION("""COMPUTED_VALUE"""),"online")</f>
        <v>online</v>
      </c>
      <c r="W326" s="272" t="str">
        <f>IFERROR(__xludf.DUMMYFUNCTION("""COMPUTED_VALUE"""),"SMS")</f>
        <v>SMS</v>
      </c>
      <c r="X326" s="272" t="str">
        <f>IFERROR(__xludf.DUMMYFUNCTION("""COMPUTED_VALUE"""),"Discount Buyers")</f>
        <v>Discount Buyers</v>
      </c>
      <c r="Y326" s="272" t="str">
        <f>IFERROR(__xludf.DUMMYFUNCTION("""COMPUTED_VALUE"""),"26 March")</f>
        <v>26 March</v>
      </c>
      <c r="Z326" s="272" t="str">
        <f>IFERROR(__xludf.DUMMYFUNCTION("""COMPUTED_VALUE"""),"69c51f6188bce3b3c3caa14b")</f>
        <v>69c51f6188bce3b3c3caa14b</v>
      </c>
      <c r="AA326" s="272">
        <f>IFERROR(__xludf.DUMMYFUNCTION("""COMPUTED_VALUE"""),23.0)</f>
        <v>23</v>
      </c>
      <c r="AB326" s="272">
        <f>IFERROR(__xludf.DUMMYFUNCTION("""COMPUTED_VALUE"""),23.0)</f>
        <v>23</v>
      </c>
      <c r="AC326" s="272"/>
      <c r="AD326" s="272">
        <f>IFERROR(__xludf.DUMMYFUNCTION("""COMPUTED_VALUE"""),37907.0)</f>
        <v>37907</v>
      </c>
      <c r="AE326" s="272">
        <f>IFERROR(__xludf.DUMMYFUNCTION("""COMPUTED_VALUE"""),37907.0)</f>
        <v>37907</v>
      </c>
      <c r="AF326" s="272"/>
      <c r="AG326" s="208"/>
      <c r="AH326" s="208"/>
      <c r="AI326" s="208"/>
      <c r="AJ326" s="208"/>
      <c r="AK326" s="208"/>
    </row>
    <row r="327" hidden="1">
      <c r="A327" s="209">
        <f>IFERROR(__xludf.DUMMYFUNCTION("""COMPUTED_VALUE"""),46107.0)</f>
        <v>46107</v>
      </c>
      <c r="B327" s="210">
        <f>IFERROR(__xludf.DUMMYFUNCTION("""COMPUTED_VALUE"""),0.8333333333321207)</f>
        <v>0.8333333333</v>
      </c>
      <c r="C327" s="211" t="str">
        <f>IFERROR(__xludf.DUMMYFUNCTION("""COMPUTED_VALUE"""),"Sms")</f>
        <v>Sms</v>
      </c>
      <c r="D327" s="211" t="str">
        <f>IFERROR(__xludf.DUMMYFUNCTION("""COMPUTED_VALUE"""),"Fallback Campaign")</f>
        <v>Fallback Campaign</v>
      </c>
      <c r="E327" s="211" t="str">
        <f>IFERROR(__xludf.DUMMYFUNCTION("""COMPUTED_VALUE"""),"BBW")</f>
        <v>BBW</v>
      </c>
      <c r="F327" s="211" t="str">
        <f>IFERROR(__xludf.DUMMYFUNCTION("""COMPUTED_VALUE"""),"bcat999")</f>
        <v>bcat999</v>
      </c>
      <c r="G327" s="212" t="str">
        <f>IFERROR(__xludf.DUMMYFUNCTION("""COMPUTED_VALUE"""),"bbw_smsfb_bcat999_26mar_appinstalled_nopurch_on")</f>
        <v>bbw_smsfb_bcat999_26mar_appinstalled_nopurch_on</v>
      </c>
      <c r="H327" s="212" t="str">
        <f>IFERROR(__xludf.DUMMYFUNCTION("""COMPUTED_VALUE"""),"App_Install_No_Buy_60D")</f>
        <v>App_Install_No_Buy_60D</v>
      </c>
      <c r="I327" s="212" t="str">
        <f>IFERROR(__xludf.DUMMYFUNCTION("""COMPUTED_VALUE"""),"WA Undelivered")</f>
        <v>WA Undelivered</v>
      </c>
      <c r="J327" s="213">
        <f>IFERROR(__xludf.DUMMYFUNCTION("""COMPUTED_VALUE"""),503.0)</f>
        <v>503</v>
      </c>
      <c r="K327" s="213">
        <f>IFERROR(__xludf.DUMMYFUNCTION("""COMPUTED_VALUE"""),321.0)</f>
        <v>321</v>
      </c>
      <c r="L327" s="214">
        <f>IFERROR(__xludf.DUMMYFUNCTION("""COMPUTED_VALUE"""),0.6382)</f>
        <v>0.6382</v>
      </c>
      <c r="M327" s="213"/>
      <c r="N327" s="214"/>
      <c r="O327" s="213">
        <f>IFERROR(__xludf.DUMMYFUNCTION("""COMPUTED_VALUE"""),0.0)</f>
        <v>0</v>
      </c>
      <c r="P327" s="213"/>
      <c r="Q327" s="214">
        <f>IFERROR(__xludf.DUMMYFUNCTION("""COMPUTED_VALUE"""),0.0)</f>
        <v>0</v>
      </c>
      <c r="R327" s="214"/>
      <c r="S327" s="101">
        <f>IFERROR(__xludf.DUMMYFUNCTION("""COMPUTED_VALUE"""),1.0)</f>
        <v>1</v>
      </c>
      <c r="T327" s="101">
        <f>IFERROR(__xludf.DUMMYFUNCTION("""COMPUTED_VALUE"""),4.0)</f>
        <v>4</v>
      </c>
      <c r="U327" s="270">
        <f>IFERROR(__xludf.DUMMYFUNCTION("""COMPUTED_VALUE"""),948.0)</f>
        <v>948</v>
      </c>
      <c r="V327" s="271" t="str">
        <f>IFERROR(__xludf.DUMMYFUNCTION("""COMPUTED_VALUE"""),"online")</f>
        <v>online</v>
      </c>
      <c r="W327" s="272" t="str">
        <f>IFERROR(__xludf.DUMMYFUNCTION("""COMPUTED_VALUE"""),"SMS")</f>
        <v>SMS</v>
      </c>
      <c r="X327" s="272" t="str">
        <f>IFERROR(__xludf.DUMMYFUNCTION("""COMPUTED_VALUE"""),"App Users")</f>
        <v>App Users</v>
      </c>
      <c r="Y327" s="272" t="str">
        <f>IFERROR(__xludf.DUMMYFUNCTION("""COMPUTED_VALUE"""),"26 March")</f>
        <v>26 March</v>
      </c>
      <c r="Z327" s="272" t="str">
        <f>IFERROR(__xludf.DUMMYFUNCTION("""COMPUTED_VALUE"""),"69c51f887074f1cd06c8456b")</f>
        <v>69c51f887074f1cd06c8456b</v>
      </c>
      <c r="AA327" s="272">
        <f>IFERROR(__xludf.DUMMYFUNCTION("""COMPUTED_VALUE"""),0.0)</f>
        <v>0</v>
      </c>
      <c r="AB327" s="272">
        <f>IFERROR(__xludf.DUMMYFUNCTION("""COMPUTED_VALUE"""),0.0)</f>
        <v>0</v>
      </c>
      <c r="AC327" s="272"/>
      <c r="AD327" s="272">
        <f>IFERROR(__xludf.DUMMYFUNCTION("""COMPUTED_VALUE"""),0.0)</f>
        <v>0</v>
      </c>
      <c r="AE327" s="272">
        <f>IFERROR(__xludf.DUMMYFUNCTION("""COMPUTED_VALUE"""),0.0)</f>
        <v>0</v>
      </c>
      <c r="AF327" s="272"/>
      <c r="AG327" s="208"/>
      <c r="AH327" s="208"/>
      <c r="AI327" s="208"/>
      <c r="AJ327" s="208"/>
      <c r="AK327" s="208"/>
    </row>
    <row r="328" hidden="1">
      <c r="A328" s="209">
        <f>IFERROR(__xludf.DUMMYFUNCTION("""COMPUTED_VALUE"""),46108.0)</f>
        <v>46108</v>
      </c>
      <c r="B328" s="210">
        <f>IFERROR(__xludf.DUMMYFUNCTION("""COMPUTED_VALUE"""),0.5)</f>
        <v>0.5</v>
      </c>
      <c r="C328" s="211" t="str">
        <f>IFERROR(__xludf.DUMMYFUNCTION("""COMPUTED_VALUE"""),"Whatsapp")</f>
        <v>Whatsapp</v>
      </c>
      <c r="D328" s="211" t="str">
        <f>IFERROR(__xludf.DUMMYFUNCTION("""COMPUTED_VALUE"""),"Promotional")</f>
        <v>Promotional</v>
      </c>
      <c r="E328" s="211" t="str">
        <f>IFERROR(__xludf.DUMMYFUNCTION("""COMPUTED_VALUE"""),"BBW")</f>
        <v>BBW</v>
      </c>
      <c r="F328" s="211" t="str">
        <f>IFERROR(__xludf.DUMMYFUNCTION("""COMPUTED_VALUE"""),"bcat999 ")</f>
        <v>bcat999 </v>
      </c>
      <c r="G328" s="212" t="str">
        <f>IFERROR(__xludf.DUMMYFUNCTION("""COMPUTED_VALUE"""),"bbw_wa_bcat999_26mar_repeat_off")</f>
        <v>bbw_wa_bcat999_26mar_repeat_off</v>
      </c>
      <c r="H328" s="212" t="str">
        <f>IFERROR(__xludf.DUMMYFUNCTION("""COMPUTED_VALUE"""),"BodyCare_Repeat_180D_OFF OR AGIPL_Internal OR BBW_Internal")</f>
        <v>BodyCare_Repeat_180D_OFF OR AGIPL_Internal OR BBW_Internal</v>
      </c>
      <c r="I328" s="212" t="str">
        <f>IFERROR(__xludf.DUMMYFUNCTION("""COMPUTED_VALUE"""),"Offline Customers who have purchased from BodyCare at least 2 times in the last 180 days")</f>
        <v>Offline Customers who have purchased from BodyCare at least 2 times in the last 180 days</v>
      </c>
      <c r="J328" s="213">
        <f>IFERROR(__xludf.DUMMYFUNCTION("""COMPUTED_VALUE"""),9207.0)</f>
        <v>9207</v>
      </c>
      <c r="K328" s="213">
        <f>IFERROR(__xludf.DUMMYFUNCTION("""COMPUTED_VALUE"""),2282.0)</f>
        <v>2282</v>
      </c>
      <c r="L328" s="214">
        <f>IFERROR(__xludf.DUMMYFUNCTION("""COMPUTED_VALUE"""),0.2479)</f>
        <v>0.2479</v>
      </c>
      <c r="M328" s="213">
        <f>IFERROR(__xludf.DUMMYFUNCTION("""COMPUTED_VALUE"""),988.0)</f>
        <v>988</v>
      </c>
      <c r="N328" s="214">
        <f>IFERROR(__xludf.DUMMYFUNCTION("""COMPUTED_VALUE"""),0.4331)</f>
        <v>0.4331</v>
      </c>
      <c r="O328" s="213">
        <f>IFERROR(__xludf.DUMMYFUNCTION("""COMPUTED_VALUE"""),102.0)</f>
        <v>102</v>
      </c>
      <c r="P328" s="213">
        <f>IFERROR(__xludf.DUMMYFUNCTION("""COMPUTED_VALUE"""),91.0)</f>
        <v>91</v>
      </c>
      <c r="Q328" s="214">
        <f>IFERROR(__xludf.DUMMYFUNCTION("""COMPUTED_VALUE"""),0.0399)</f>
        <v>0.0399</v>
      </c>
      <c r="R328" s="214">
        <f>IFERROR(__xludf.DUMMYFUNCTION("""COMPUTED_VALUE"""),0.0921)</f>
        <v>0.0921</v>
      </c>
      <c r="S328" s="101">
        <f>IFERROR(__xludf.DUMMYFUNCTION("""COMPUTED_VALUE"""),1.0)</f>
        <v>1</v>
      </c>
      <c r="T328" s="101">
        <f>IFERROR(__xludf.DUMMYFUNCTION("""COMPUTED_VALUE"""),2.0)</f>
        <v>2</v>
      </c>
      <c r="U328" s="270">
        <f>IFERROR(__xludf.DUMMYFUNCTION("""COMPUTED_VALUE"""),948.0)</f>
        <v>948</v>
      </c>
      <c r="V328" s="271" t="str">
        <f>IFERROR(__xludf.DUMMYFUNCTION("""COMPUTED_VALUE"""),"offline")</f>
        <v>offline</v>
      </c>
      <c r="W328" s="272" t="str">
        <f>IFERROR(__xludf.DUMMYFUNCTION("""COMPUTED_VALUE"""),"simple")</f>
        <v>simple</v>
      </c>
      <c r="X328" s="272" t="str">
        <f>IFERROR(__xludf.DUMMYFUNCTION("""COMPUTED_VALUE"""),"Cat Repeat")</f>
        <v>Cat Repeat</v>
      </c>
      <c r="Y328" s="272" t="str">
        <f>IFERROR(__xludf.DUMMYFUNCTION("""COMPUTED_VALUE"""),"27-29 March")</f>
        <v>27-29 March</v>
      </c>
      <c r="Z328" s="272" t="str">
        <f>IFERROR(__xludf.DUMMYFUNCTION("""COMPUTED_VALUE"""),"69c519f54b8454ecf62388a4")</f>
        <v>69c519f54b8454ecf62388a4</v>
      </c>
      <c r="AA328" s="272">
        <f>IFERROR(__xludf.DUMMYFUNCTION("""COMPUTED_VALUE"""),45.0)</f>
        <v>45</v>
      </c>
      <c r="AB328" s="272"/>
      <c r="AC328" s="272">
        <f>IFERROR(__xludf.DUMMYFUNCTION("""COMPUTED_VALUE"""),45.0)</f>
        <v>45</v>
      </c>
      <c r="AD328" s="272">
        <f>IFERROR(__xludf.DUMMYFUNCTION("""COMPUTED_VALUE"""),212010.0)</f>
        <v>212010</v>
      </c>
      <c r="AE328" s="272"/>
      <c r="AF328" s="272">
        <f>IFERROR(__xludf.DUMMYFUNCTION("""COMPUTED_VALUE"""),212010.0)</f>
        <v>212010</v>
      </c>
      <c r="AG328" s="208"/>
      <c r="AH328" s="208"/>
      <c r="AI328" s="208"/>
      <c r="AJ328" s="208"/>
      <c r="AK328" s="208"/>
    </row>
    <row r="329" hidden="1">
      <c r="A329" s="209">
        <f>IFERROR(__xludf.DUMMYFUNCTION("""COMPUTED_VALUE"""),46108.0)</f>
        <v>46108</v>
      </c>
      <c r="B329" s="210">
        <f>IFERROR(__xludf.DUMMYFUNCTION("""COMPUTED_VALUE"""),0.5)</f>
        <v>0.5</v>
      </c>
      <c r="C329" s="211" t="str">
        <f>IFERROR(__xludf.DUMMYFUNCTION("""COMPUTED_VALUE"""),"Whatsapp")</f>
        <v>Whatsapp</v>
      </c>
      <c r="D329" s="211" t="str">
        <f>IFERROR(__xludf.DUMMYFUNCTION("""COMPUTED_VALUE"""),"Promotional")</f>
        <v>Promotional</v>
      </c>
      <c r="E329" s="211" t="str">
        <f>IFERROR(__xludf.DUMMYFUNCTION("""COMPUTED_VALUE"""),"BBW")</f>
        <v>BBW</v>
      </c>
      <c r="F329" s="211" t="str">
        <f>IFERROR(__xludf.DUMMYFUNCTION("""COMPUTED_VALUE"""),"bcat999")</f>
        <v>bcat999</v>
      </c>
      <c r="G329" s="212" t="str">
        <f>IFERROR(__xludf.DUMMYFUNCTION("""COMPUTED_VALUE"""),"bbw_wa_bcat999_26mar_atc_off")</f>
        <v>bbw_wa_bcat999_26mar_atc_off</v>
      </c>
      <c r="H329" s="212" t="str">
        <f>IFERROR(__xludf.DUMMYFUNCTION("""COMPUTED_VALUE"""),"BC_999max_1Y_OFF")</f>
        <v>BC_999max_1Y_OFF</v>
      </c>
      <c r="I329" s="212" t="str">
        <f>IFERROR(__xludf.DUMMYFUNCTION("""COMPUTED_VALUE"""),"Offline Customers who have purchased from BodyCare at least 1 times with max order value ₹999 in the last 365 days")</f>
        <v>Offline Customers who have purchased from BodyCare at least 1 times with max order value ₹999 in the last 365 days</v>
      </c>
      <c r="J329" s="213">
        <f>IFERROR(__xludf.DUMMYFUNCTION("""COMPUTED_VALUE"""),15508.0)</f>
        <v>15508</v>
      </c>
      <c r="K329" s="213">
        <f>IFERROR(__xludf.DUMMYFUNCTION("""COMPUTED_VALUE"""),5960.0)</f>
        <v>5960</v>
      </c>
      <c r="L329" s="214">
        <f>IFERROR(__xludf.DUMMYFUNCTION("""COMPUTED_VALUE"""),0.3843)</f>
        <v>0.3843</v>
      </c>
      <c r="M329" s="213">
        <f>IFERROR(__xludf.DUMMYFUNCTION("""COMPUTED_VALUE"""),2286.0)</f>
        <v>2286</v>
      </c>
      <c r="N329" s="214">
        <f>IFERROR(__xludf.DUMMYFUNCTION("""COMPUTED_VALUE"""),0.3834)</f>
        <v>0.3834</v>
      </c>
      <c r="O329" s="213">
        <f>IFERROR(__xludf.DUMMYFUNCTION("""COMPUTED_VALUE"""),219.0)</f>
        <v>219</v>
      </c>
      <c r="P329" s="213">
        <f>IFERROR(__xludf.DUMMYFUNCTION("""COMPUTED_VALUE"""),197.0)</f>
        <v>197</v>
      </c>
      <c r="Q329" s="214">
        <f>IFERROR(__xludf.DUMMYFUNCTION("""COMPUTED_VALUE"""),0.0331)</f>
        <v>0.0331</v>
      </c>
      <c r="R329" s="214">
        <f>IFERROR(__xludf.DUMMYFUNCTION("""COMPUTED_VALUE"""),0.0863)</f>
        <v>0.0863</v>
      </c>
      <c r="S329" s="101">
        <f>IFERROR(__xludf.DUMMYFUNCTION("""COMPUTED_VALUE"""),1.0)</f>
        <v>1</v>
      </c>
      <c r="T329" s="101">
        <f>IFERROR(__xludf.DUMMYFUNCTION("""COMPUTED_VALUE"""),4.0)</f>
        <v>4</v>
      </c>
      <c r="U329" s="270">
        <f>IFERROR(__xludf.DUMMYFUNCTION("""COMPUTED_VALUE"""),3596.0)</f>
        <v>3596</v>
      </c>
      <c r="V329" s="271" t="str">
        <f>IFERROR(__xludf.DUMMYFUNCTION("""COMPUTED_VALUE"""),"offline")</f>
        <v>offline</v>
      </c>
      <c r="W329" s="272" t="str">
        <f>IFERROR(__xludf.DUMMYFUNCTION("""COMPUTED_VALUE"""),"simple")</f>
        <v>simple</v>
      </c>
      <c r="X329" s="272" t="str">
        <f>IFERROR(__xludf.DUMMYFUNCTION("""COMPUTED_VALUE"""),"Cart Value")</f>
        <v>Cart Value</v>
      </c>
      <c r="Y329" s="272" t="str">
        <f>IFERROR(__xludf.DUMMYFUNCTION("""COMPUTED_VALUE"""),"27-29 March")</f>
        <v>27-29 March</v>
      </c>
      <c r="Z329" s="272" t="str">
        <f>IFERROR(__xludf.DUMMYFUNCTION("""COMPUTED_VALUE"""),"69c51a2cc648b64f739062b9")</f>
        <v>69c51a2cc648b64f739062b9</v>
      </c>
      <c r="AA329" s="272">
        <f>IFERROR(__xludf.DUMMYFUNCTION("""COMPUTED_VALUE"""),26.0)</f>
        <v>26</v>
      </c>
      <c r="AB329" s="272"/>
      <c r="AC329" s="272">
        <f>IFERROR(__xludf.DUMMYFUNCTION("""COMPUTED_VALUE"""),26.0)</f>
        <v>26</v>
      </c>
      <c r="AD329" s="272">
        <f>IFERROR(__xludf.DUMMYFUNCTION("""COMPUTED_VALUE"""),57940.0)</f>
        <v>57940</v>
      </c>
      <c r="AE329" s="272"/>
      <c r="AF329" s="272">
        <f>IFERROR(__xludf.DUMMYFUNCTION("""COMPUTED_VALUE"""),57940.0)</f>
        <v>57940</v>
      </c>
      <c r="AG329" s="208"/>
      <c r="AH329" s="208"/>
      <c r="AI329" s="208"/>
      <c r="AJ329" s="208"/>
      <c r="AK329" s="208"/>
    </row>
    <row r="330" hidden="1">
      <c r="A330" s="209">
        <f>IFERROR(__xludf.DUMMYFUNCTION("""COMPUTED_VALUE"""),46108.0)</f>
        <v>46108</v>
      </c>
      <c r="B330" s="210">
        <f>IFERROR(__xludf.DUMMYFUNCTION("""COMPUTED_VALUE"""),0.5)</f>
        <v>0.5</v>
      </c>
      <c r="C330" s="211" t="str">
        <f>IFERROR(__xludf.DUMMYFUNCTION("""COMPUTED_VALUE"""),"Whatsapp")</f>
        <v>Whatsapp</v>
      </c>
      <c r="D330" s="211" t="str">
        <f>IFERROR(__xludf.DUMMYFUNCTION("""COMPUTED_VALUE"""),"Promotional")</f>
        <v>Promotional</v>
      </c>
      <c r="E330" s="211" t="str">
        <f>IFERROR(__xludf.DUMMYFUNCTION("""COMPUTED_VALUE"""),"BBW")</f>
        <v>BBW</v>
      </c>
      <c r="F330" s="211" t="str">
        <f>IFERROR(__xludf.DUMMYFUNCTION("""COMPUTED_VALUE"""),"bcat999")</f>
        <v>bcat999</v>
      </c>
      <c r="G330" s="212" t="str">
        <f>IFERROR(__xludf.DUMMYFUNCTION("""COMPUTED_VALUE"""),"bbw_wa_bcat999_26mar_dormant_off")</f>
        <v>bbw_wa_bcat999_26mar_dormant_off</v>
      </c>
      <c r="H330" s="212" t="str">
        <f>IFERROR(__xludf.DUMMYFUNCTION("""COMPUTED_VALUE"""),"BC_Dormant_1Y_OFF")</f>
        <v>BC_Dormant_1Y_OFF</v>
      </c>
      <c r="I330" s="212" t="str">
        <f>IFERROR(__xludf.DUMMYFUNCTION("""COMPUTED_VALUE"""),"Offline Customers who have purchased at least 1 time from BodyCare between 90 days and 365 days ago")</f>
        <v>Offline Customers who have purchased at least 1 time from BodyCare between 90 days and 365 days ago</v>
      </c>
      <c r="J330" s="213">
        <f>IFERROR(__xludf.DUMMYFUNCTION("""COMPUTED_VALUE"""),76227.0)</f>
        <v>76227</v>
      </c>
      <c r="K330" s="213">
        <f>IFERROR(__xludf.DUMMYFUNCTION("""COMPUTED_VALUE"""),28932.0)</f>
        <v>28932</v>
      </c>
      <c r="L330" s="214">
        <f>IFERROR(__xludf.DUMMYFUNCTION("""COMPUTED_VALUE"""),0.3796)</f>
        <v>0.3796</v>
      </c>
      <c r="M330" s="213">
        <f>IFERROR(__xludf.DUMMYFUNCTION("""COMPUTED_VALUE"""),9895.0)</f>
        <v>9895</v>
      </c>
      <c r="N330" s="214">
        <f>IFERROR(__xludf.DUMMYFUNCTION("""COMPUTED_VALUE"""),0.342)</f>
        <v>0.342</v>
      </c>
      <c r="O330" s="213">
        <f>IFERROR(__xludf.DUMMYFUNCTION("""COMPUTED_VALUE"""),897.0)</f>
        <v>897</v>
      </c>
      <c r="P330" s="213">
        <f>IFERROR(__xludf.DUMMYFUNCTION("""COMPUTED_VALUE"""),836.0)</f>
        <v>836</v>
      </c>
      <c r="Q330" s="214">
        <f>IFERROR(__xludf.DUMMYFUNCTION("""COMPUTED_VALUE"""),0.0289)</f>
        <v>0.0289</v>
      </c>
      <c r="R330" s="214">
        <f>IFERROR(__xludf.DUMMYFUNCTION("""COMPUTED_VALUE"""),0.0845)</f>
        <v>0.0845</v>
      </c>
      <c r="S330" s="101">
        <f>IFERROR(__xludf.DUMMYFUNCTION("""COMPUTED_VALUE"""),7.0)</f>
        <v>7</v>
      </c>
      <c r="T330" s="101">
        <f>IFERROR(__xludf.DUMMYFUNCTION("""COMPUTED_VALUE"""),19.0)</f>
        <v>19</v>
      </c>
      <c r="U330" s="270">
        <f>IFERROR(__xludf.DUMMYFUNCTION("""COMPUTED_VALUE"""),18581.0)</f>
        <v>18581</v>
      </c>
      <c r="V330" s="271" t="str">
        <f>IFERROR(__xludf.DUMMYFUNCTION("""COMPUTED_VALUE"""),"offline")</f>
        <v>offline</v>
      </c>
      <c r="W330" s="272" t="str">
        <f>IFERROR(__xludf.DUMMYFUNCTION("""COMPUTED_VALUE"""),"simple")</f>
        <v>simple</v>
      </c>
      <c r="X330" s="272" t="str">
        <f>IFERROR(__xludf.DUMMYFUNCTION("""COMPUTED_VALUE"""),"Cat Dormant")</f>
        <v>Cat Dormant</v>
      </c>
      <c r="Y330" s="272" t="str">
        <f>IFERROR(__xludf.DUMMYFUNCTION("""COMPUTED_VALUE"""),"27-29 March")</f>
        <v>27-29 March</v>
      </c>
      <c r="Z330" s="272" t="str">
        <f>IFERROR(__xludf.DUMMYFUNCTION("""COMPUTED_VALUE"""),"69c51a5bc9fdb77549f639ed")</f>
        <v>69c51a5bc9fdb77549f639ed</v>
      </c>
      <c r="AA330" s="272">
        <f>IFERROR(__xludf.DUMMYFUNCTION("""COMPUTED_VALUE"""),171.0)</f>
        <v>171</v>
      </c>
      <c r="AB330" s="272"/>
      <c r="AC330" s="272">
        <f>IFERROR(__xludf.DUMMYFUNCTION("""COMPUTED_VALUE"""),171.0)</f>
        <v>171</v>
      </c>
      <c r="AD330" s="272">
        <f>IFERROR(__xludf.DUMMYFUNCTION("""COMPUTED_VALUE"""),632698.0)</f>
        <v>632698</v>
      </c>
      <c r="AE330" s="272"/>
      <c r="AF330" s="272">
        <f>IFERROR(__xludf.DUMMYFUNCTION("""COMPUTED_VALUE"""),632698.0)</f>
        <v>632698</v>
      </c>
      <c r="AG330" s="208"/>
      <c r="AH330" s="208"/>
      <c r="AI330" s="208"/>
      <c r="AJ330" s="208"/>
      <c r="AK330" s="208"/>
    </row>
    <row r="331" hidden="1">
      <c r="A331" s="209">
        <f>IFERROR(__xludf.DUMMYFUNCTION("""COMPUTED_VALUE"""),46108.0)</f>
        <v>46108</v>
      </c>
      <c r="B331" s="210">
        <f>IFERROR(__xludf.DUMMYFUNCTION("""COMPUTED_VALUE"""),0.5)</f>
        <v>0.5</v>
      </c>
      <c r="C331" s="211" t="str">
        <f>IFERROR(__xludf.DUMMYFUNCTION("""COMPUTED_VALUE"""),"Whatsapp")</f>
        <v>Whatsapp</v>
      </c>
      <c r="D331" s="211" t="str">
        <f>IFERROR(__xludf.DUMMYFUNCTION("""COMPUTED_VALUE"""),"Promotional")</f>
        <v>Promotional</v>
      </c>
      <c r="E331" s="211" t="str">
        <f>IFERROR(__xludf.DUMMYFUNCTION("""COMPUTED_VALUE"""),"BBW")</f>
        <v>BBW</v>
      </c>
      <c r="F331" s="211" t="str">
        <f>IFERROR(__xludf.DUMMYFUNCTION("""COMPUTED_VALUE"""),"bcat999")</f>
        <v>bcat999</v>
      </c>
      <c r="G331" s="212" t="str">
        <f>IFERROR(__xludf.DUMMYFUNCTION("""COMPUTED_VALUE"""),"bbw_wa_bcat999_26mar_cat_off")</f>
        <v>bbw_wa_bcat999_26mar_cat_off</v>
      </c>
      <c r="H331" s="212" t="str">
        <f>IFERROR(__xludf.DUMMYFUNCTION("""COMPUTED_VALUE"""),"Cat_Excl_BC_OFF")</f>
        <v>Cat_Excl_BC_OFF</v>
      </c>
      <c r="I331" s="212" t="str">
        <f>IFERROR(__xludf.DUMMYFUNCTION("""COMPUTED_VALUE"""),"Offline Customers who have purchased between 30 days and 90 days ago excl. BodyCare buyers")</f>
        <v>Offline Customers who have purchased between 30 days and 90 days ago excl. BodyCare buyers</v>
      </c>
      <c r="J331" s="213">
        <f>IFERROR(__xludf.DUMMYFUNCTION("""COMPUTED_VALUE"""),28223.0)</f>
        <v>28223</v>
      </c>
      <c r="K331" s="213">
        <f>IFERROR(__xludf.DUMMYFUNCTION("""COMPUTED_VALUE"""),7282.0)</f>
        <v>7282</v>
      </c>
      <c r="L331" s="214">
        <f>IFERROR(__xludf.DUMMYFUNCTION("""COMPUTED_VALUE"""),0.258)</f>
        <v>0.258</v>
      </c>
      <c r="M331" s="213">
        <f>IFERROR(__xludf.DUMMYFUNCTION("""COMPUTED_VALUE"""),2786.0)</f>
        <v>2786</v>
      </c>
      <c r="N331" s="214">
        <f>IFERROR(__xludf.DUMMYFUNCTION("""COMPUTED_VALUE"""),0.3823)</f>
        <v>0.3823</v>
      </c>
      <c r="O331" s="213">
        <f>IFERROR(__xludf.DUMMYFUNCTION("""COMPUTED_VALUE"""),327.0)</f>
        <v>327</v>
      </c>
      <c r="P331" s="213">
        <f>IFERROR(__xludf.DUMMYFUNCTION("""COMPUTED_VALUE"""),310.0)</f>
        <v>310</v>
      </c>
      <c r="Q331" s="214">
        <f>IFERROR(__xludf.DUMMYFUNCTION("""COMPUTED_VALUE"""),0.0426)</f>
        <v>0.0426</v>
      </c>
      <c r="R331" s="214">
        <f>IFERROR(__xludf.DUMMYFUNCTION("""COMPUTED_VALUE"""),0.1114)</f>
        <v>0.1114</v>
      </c>
      <c r="S331" s="101">
        <f>IFERROR(__xludf.DUMMYFUNCTION("""COMPUTED_VALUE"""),1.0)</f>
        <v>1</v>
      </c>
      <c r="T331" s="101">
        <f>IFERROR(__xludf.DUMMYFUNCTION("""COMPUTED_VALUE"""),2.0)</f>
        <v>2</v>
      </c>
      <c r="U331" s="270">
        <f>IFERROR(__xludf.DUMMYFUNCTION("""COMPUTED_VALUE"""),3596.0)</f>
        <v>3596</v>
      </c>
      <c r="V331" s="271" t="str">
        <f>IFERROR(__xludf.DUMMYFUNCTION("""COMPUTED_VALUE"""),"offline")</f>
        <v>offline</v>
      </c>
      <c r="W331" s="272" t="str">
        <f>IFERROR(__xludf.DUMMYFUNCTION("""COMPUTED_VALUE"""),"simple")</f>
        <v>simple</v>
      </c>
      <c r="X331" s="272" t="str">
        <f>IFERROR(__xludf.DUMMYFUNCTION("""COMPUTED_VALUE"""),"Dormant")</f>
        <v>Dormant</v>
      </c>
      <c r="Y331" s="272" t="str">
        <f>IFERROR(__xludf.DUMMYFUNCTION("""COMPUTED_VALUE"""),"27-29 March")</f>
        <v>27-29 March</v>
      </c>
      <c r="Z331" s="272" t="str">
        <f>IFERROR(__xludf.DUMMYFUNCTION("""COMPUTED_VALUE"""),"69c51aa2c9ffb0bf825a5346")</f>
        <v>69c51aa2c9ffb0bf825a5346</v>
      </c>
      <c r="AA331" s="272">
        <f>IFERROR(__xludf.DUMMYFUNCTION("""COMPUTED_VALUE"""),41.0)</f>
        <v>41</v>
      </c>
      <c r="AB331" s="272"/>
      <c r="AC331" s="272">
        <f>IFERROR(__xludf.DUMMYFUNCTION("""COMPUTED_VALUE"""),41.0)</f>
        <v>41</v>
      </c>
      <c r="AD331" s="272">
        <f>IFERROR(__xludf.DUMMYFUNCTION("""COMPUTED_VALUE"""),113304.0)</f>
        <v>113304</v>
      </c>
      <c r="AE331" s="272"/>
      <c r="AF331" s="272">
        <f>IFERROR(__xludf.DUMMYFUNCTION("""COMPUTED_VALUE"""),113304.0)</f>
        <v>113304</v>
      </c>
      <c r="AG331" s="208"/>
      <c r="AH331" s="208"/>
      <c r="AI331" s="208"/>
      <c r="AJ331" s="208"/>
      <c r="AK331" s="208"/>
    </row>
    <row r="332" hidden="1">
      <c r="A332" s="209">
        <f>IFERROR(__xludf.DUMMYFUNCTION("""COMPUTED_VALUE"""),46108.0)</f>
        <v>46108</v>
      </c>
      <c r="B332" s="210">
        <f>IFERROR(__xludf.DUMMYFUNCTION("""COMPUTED_VALUE"""),0.5)</f>
        <v>0.5</v>
      </c>
      <c r="C332" s="211" t="str">
        <f>IFERROR(__xludf.DUMMYFUNCTION("""COMPUTED_VALUE"""),"Whatsapp")</f>
        <v>Whatsapp</v>
      </c>
      <c r="D332" s="211" t="str">
        <f>IFERROR(__xludf.DUMMYFUNCTION("""COMPUTED_VALUE"""),"Promotional")</f>
        <v>Promotional</v>
      </c>
      <c r="E332" s="211" t="str">
        <f>IFERROR(__xludf.DUMMYFUNCTION("""COMPUTED_VALUE"""),"BBW")</f>
        <v>BBW</v>
      </c>
      <c r="F332" s="211" t="str">
        <f>IFERROR(__xludf.DUMMYFUNCTION("""COMPUTED_VALUE"""),"bcat999")</f>
        <v>bcat999</v>
      </c>
      <c r="G332" s="212" t="str">
        <f>IFERROR(__xludf.DUMMYFUNCTION("""COMPUTED_VALUE"""),"bbw_wa_recent_26mar_dormant_off")</f>
        <v>bbw_wa_recent_26mar_dormant_off</v>
      </c>
      <c r="H332" s="212" t="str">
        <f>IFERROR(__xludf.DUMMYFUNCTION("""COMPUTED_VALUE"""),"Recent_30D_OFF")</f>
        <v>Recent_30D_OFF</v>
      </c>
      <c r="I332" s="212" t="str">
        <f>IFERROR(__xludf.DUMMYFUNCTION("""COMPUTED_VALUE"""),"Offline Customers who have purchased in the last 30 days")</f>
        <v>Offline Customers who have purchased in the last 30 days</v>
      </c>
      <c r="J332" s="213">
        <f>IFERROR(__xludf.DUMMYFUNCTION("""COMPUTED_VALUE"""),11413.0)</f>
        <v>11413</v>
      </c>
      <c r="K332" s="213">
        <f>IFERROR(__xludf.DUMMYFUNCTION("""COMPUTED_VALUE"""),5692.0)</f>
        <v>5692</v>
      </c>
      <c r="L332" s="214">
        <f>IFERROR(__xludf.DUMMYFUNCTION("""COMPUTED_VALUE"""),0.4987)</f>
        <v>0.4987</v>
      </c>
      <c r="M332" s="213">
        <f>IFERROR(__xludf.DUMMYFUNCTION("""COMPUTED_VALUE"""),2497.0)</f>
        <v>2497</v>
      </c>
      <c r="N332" s="214">
        <f>IFERROR(__xludf.DUMMYFUNCTION("""COMPUTED_VALUE"""),0.4383)</f>
        <v>0.4383</v>
      </c>
      <c r="O332" s="213">
        <f>IFERROR(__xludf.DUMMYFUNCTION("""COMPUTED_VALUE"""),593.0)</f>
        <v>593</v>
      </c>
      <c r="P332" s="213">
        <f>IFERROR(__xludf.DUMMYFUNCTION("""COMPUTED_VALUE"""),525.0)</f>
        <v>525</v>
      </c>
      <c r="Q332" s="214">
        <f>IFERROR(__xludf.DUMMYFUNCTION("""COMPUTED_VALUE"""),0.0922)</f>
        <v>0.0922</v>
      </c>
      <c r="R332" s="214">
        <f>IFERROR(__xludf.DUMMYFUNCTION("""COMPUTED_VALUE"""),0.2104)</f>
        <v>0.2104</v>
      </c>
      <c r="S332" s="101">
        <f>IFERROR(__xludf.DUMMYFUNCTION("""COMPUTED_VALUE"""),2.0)</f>
        <v>2</v>
      </c>
      <c r="T332" s="101">
        <f>IFERROR(__xludf.DUMMYFUNCTION("""COMPUTED_VALUE"""),4.0)</f>
        <v>4</v>
      </c>
      <c r="U332" s="270">
        <f>IFERROR(__xludf.DUMMYFUNCTION("""COMPUTED_VALUE"""),6293.0)</f>
        <v>6293</v>
      </c>
      <c r="V332" s="271" t="str">
        <f>IFERROR(__xludf.DUMMYFUNCTION("""COMPUTED_VALUE"""),"offline")</f>
        <v>offline</v>
      </c>
      <c r="W332" s="272" t="str">
        <f>IFERROR(__xludf.DUMMYFUNCTION("""COMPUTED_VALUE"""),"simple")</f>
        <v>simple</v>
      </c>
      <c r="X332" s="272" t="str">
        <f>IFERROR(__xludf.DUMMYFUNCTION("""COMPUTED_VALUE"""),"Active")</f>
        <v>Active</v>
      </c>
      <c r="Y332" s="272" t="str">
        <f>IFERROR(__xludf.DUMMYFUNCTION("""COMPUTED_VALUE"""),"27-29 March")</f>
        <v>27-29 March</v>
      </c>
      <c r="Z332" s="272" t="str">
        <f>IFERROR(__xludf.DUMMYFUNCTION("""COMPUTED_VALUE"""),"69c51ad5c01b4a24f88e8915")</f>
        <v>69c51ad5c01b4a24f88e8915</v>
      </c>
      <c r="AA332" s="272">
        <f>IFERROR(__xludf.DUMMYFUNCTION("""COMPUTED_VALUE"""),17.0)</f>
        <v>17</v>
      </c>
      <c r="AB332" s="272"/>
      <c r="AC332" s="272">
        <f>IFERROR(__xludf.DUMMYFUNCTION("""COMPUTED_VALUE"""),17.0)</f>
        <v>17</v>
      </c>
      <c r="AD332" s="272">
        <f>IFERROR(__xludf.DUMMYFUNCTION("""COMPUTED_VALUE"""),59650.0)</f>
        <v>59650</v>
      </c>
      <c r="AE332" s="272"/>
      <c r="AF332" s="272">
        <f>IFERROR(__xludf.DUMMYFUNCTION("""COMPUTED_VALUE"""),59650.0)</f>
        <v>59650</v>
      </c>
      <c r="AG332" s="208"/>
      <c r="AH332" s="208"/>
      <c r="AI332" s="208"/>
      <c r="AJ332" s="208"/>
      <c r="AK332" s="208"/>
    </row>
    <row r="333" hidden="1">
      <c r="A333" s="209">
        <f>IFERROR(__xludf.DUMMYFUNCTION("""COMPUTED_VALUE"""),46108.0)</f>
        <v>46108</v>
      </c>
      <c r="B333" s="210">
        <f>IFERROR(__xludf.DUMMYFUNCTION("""COMPUTED_VALUE"""),0.5)</f>
        <v>0.5</v>
      </c>
      <c r="C333" s="211" t="str">
        <f>IFERROR(__xludf.DUMMYFUNCTION("""COMPUTED_VALUE"""),"Whatsapp")</f>
        <v>Whatsapp</v>
      </c>
      <c r="D333" s="211" t="str">
        <f>IFERROR(__xludf.DUMMYFUNCTION("""COMPUTED_VALUE"""),"Promotional")</f>
        <v>Promotional</v>
      </c>
      <c r="E333" s="211" t="str">
        <f>IFERROR(__xludf.DUMMYFUNCTION("""COMPUTED_VALUE"""),"BBW")</f>
        <v>BBW</v>
      </c>
      <c r="F333" s="211" t="str">
        <f>IFERROR(__xludf.DUMMYFUNCTION("""COMPUTED_VALUE"""),"bcat999")</f>
        <v>bcat999</v>
      </c>
      <c r="G333" s="212" t="str">
        <f>IFERROR(__xludf.DUMMYFUNCTION("""COMPUTED_VALUE"""),"bbw_wa_bcat999_26mar_event_off")</f>
        <v>bbw_wa_bcat999_26mar_event_off</v>
      </c>
      <c r="H333" s="212" t="str">
        <f>IFERROR(__xludf.DUMMYFUNCTION("""COMPUTED_VALUE"""),"BC_EventBuyers_OFF")</f>
        <v>BC_EventBuyers_OFF</v>
      </c>
      <c r="I333" s="212" t="str">
        <f>IFERROR(__xludf.DUMMYFUNCTION("""COMPUTED_VALUE"""),"Offline Customers who have purchased at least 1 time from BodyCare in between 2-5 Oct 2025, 16-27 Oct 2025, 9-18 Jan 2026, 26 Feb - 3 Mar 2026")</f>
        <v>Offline Customers who have purchased at least 1 time from BodyCare in between 2-5 Oct 2025, 16-27 Oct 2025, 9-18 Jan 2026, 26 Feb - 3 Mar 2026</v>
      </c>
      <c r="J333" s="213">
        <f>IFERROR(__xludf.DUMMYFUNCTION("""COMPUTED_VALUE"""),13091.0)</f>
        <v>13091</v>
      </c>
      <c r="K333" s="213">
        <f>IFERROR(__xludf.DUMMYFUNCTION("""COMPUTED_VALUE"""),3012.0)</f>
        <v>3012</v>
      </c>
      <c r="L333" s="214">
        <f>IFERROR(__xludf.DUMMYFUNCTION("""COMPUTED_VALUE"""),0.2301)</f>
        <v>0.2301</v>
      </c>
      <c r="M333" s="213">
        <f>IFERROR(__xludf.DUMMYFUNCTION("""COMPUTED_VALUE"""),1182.0)</f>
        <v>1182</v>
      </c>
      <c r="N333" s="214">
        <f>IFERROR(__xludf.DUMMYFUNCTION("""COMPUTED_VALUE"""),0.3924)</f>
        <v>0.3924</v>
      </c>
      <c r="O333" s="213">
        <f>IFERROR(__xludf.DUMMYFUNCTION("""COMPUTED_VALUE"""),106.0)</f>
        <v>106</v>
      </c>
      <c r="P333" s="213">
        <f>IFERROR(__xludf.DUMMYFUNCTION("""COMPUTED_VALUE"""),95.0)</f>
        <v>95</v>
      </c>
      <c r="Q333" s="214">
        <f>IFERROR(__xludf.DUMMYFUNCTION("""COMPUTED_VALUE"""),0.0315)</f>
        <v>0.0315</v>
      </c>
      <c r="R333" s="214">
        <f>IFERROR(__xludf.DUMMYFUNCTION("""COMPUTED_VALUE"""),0.0804)</f>
        <v>0.0804</v>
      </c>
      <c r="S333" s="101">
        <f>IFERROR(__xludf.DUMMYFUNCTION("""COMPUTED_VALUE"""),2.0)</f>
        <v>2</v>
      </c>
      <c r="T333" s="101">
        <f>IFERROR(__xludf.DUMMYFUNCTION("""COMPUTED_VALUE"""),2.0)</f>
        <v>2</v>
      </c>
      <c r="U333" s="270">
        <f>IFERROR(__xludf.DUMMYFUNCTION("""COMPUTED_VALUE"""),5295.0)</f>
        <v>5295</v>
      </c>
      <c r="V333" s="271" t="str">
        <f>IFERROR(__xludf.DUMMYFUNCTION("""COMPUTED_VALUE"""),"offline")</f>
        <v>offline</v>
      </c>
      <c r="W333" s="272" t="str">
        <f>IFERROR(__xludf.DUMMYFUNCTION("""COMPUTED_VALUE"""),"simple")</f>
        <v>simple</v>
      </c>
      <c r="X333" s="272" t="str">
        <f>IFERROR(__xludf.DUMMYFUNCTION("""COMPUTED_VALUE"""),"Event Buyers")</f>
        <v>Event Buyers</v>
      </c>
      <c r="Y333" s="272" t="str">
        <f>IFERROR(__xludf.DUMMYFUNCTION("""COMPUTED_VALUE"""),"27-29 March")</f>
        <v>27-29 March</v>
      </c>
      <c r="Z333" s="272" t="str">
        <f>IFERROR(__xludf.DUMMYFUNCTION("""COMPUTED_VALUE"""),"69c51b49c7a812edea0566f3")</f>
        <v>69c51b49c7a812edea0566f3</v>
      </c>
      <c r="AA333" s="272">
        <f>IFERROR(__xludf.DUMMYFUNCTION("""COMPUTED_VALUE"""),20.0)</f>
        <v>20</v>
      </c>
      <c r="AB333" s="272"/>
      <c r="AC333" s="272">
        <f>IFERROR(__xludf.DUMMYFUNCTION("""COMPUTED_VALUE"""),20.0)</f>
        <v>20</v>
      </c>
      <c r="AD333" s="272">
        <f>IFERROR(__xludf.DUMMYFUNCTION("""COMPUTED_VALUE"""),83071.0)</f>
        <v>83071</v>
      </c>
      <c r="AE333" s="272"/>
      <c r="AF333" s="272">
        <f>IFERROR(__xludf.DUMMYFUNCTION("""COMPUTED_VALUE"""),83071.0)</f>
        <v>83071</v>
      </c>
      <c r="AG333" s="208"/>
      <c r="AH333" s="208"/>
      <c r="AI333" s="208"/>
      <c r="AJ333" s="208"/>
      <c r="AK333" s="208"/>
    </row>
    <row r="334" hidden="1">
      <c r="A334" s="209">
        <f>IFERROR(__xludf.DUMMYFUNCTION("""COMPUTED_VALUE"""),46108.0)</f>
        <v>46108</v>
      </c>
      <c r="B334" s="210">
        <f>IFERROR(__xludf.DUMMYFUNCTION("""COMPUTED_VALUE"""),0.5416666666678793)</f>
        <v>0.5416666667</v>
      </c>
      <c r="C334" s="211" t="str">
        <f>IFERROR(__xludf.DUMMYFUNCTION("""COMPUTED_VALUE"""),"Sms")</f>
        <v>Sms</v>
      </c>
      <c r="D334" s="211" t="str">
        <f>IFERROR(__xludf.DUMMYFUNCTION("""COMPUTED_VALUE"""),"Fallback Campaign")</f>
        <v>Fallback Campaign</v>
      </c>
      <c r="E334" s="211" t="str">
        <f>IFERROR(__xludf.DUMMYFUNCTION("""COMPUTED_VALUE"""),"BBW")</f>
        <v>BBW</v>
      </c>
      <c r="F334" s="211" t="str">
        <f>IFERROR(__xludf.DUMMYFUNCTION("""COMPUTED_VALUE"""),"bcat999")</f>
        <v>bcat999</v>
      </c>
      <c r="G334" s="212" t="str">
        <f>IFERROR(__xludf.DUMMYFUNCTION("""COMPUTED_VALUE"""),"bbw_smsfb_bcat999_27mar_repeat")</f>
        <v>bbw_smsfb_bcat999_27mar_repeat</v>
      </c>
      <c r="H334" s="212" t="str">
        <f>IFERROR(__xludf.DUMMYFUNCTION("""COMPUTED_VALUE"""),"BodyCare_Repeat_180D_OFF OR AGIPL_Internal OR BBW_Internal")</f>
        <v>BodyCare_Repeat_180D_OFF OR AGIPL_Internal OR BBW_Internal</v>
      </c>
      <c r="I334" s="212" t="str">
        <f>IFERROR(__xludf.DUMMYFUNCTION("""COMPUTED_VALUE"""),"WA Undelivered")</f>
        <v>WA Undelivered</v>
      </c>
      <c r="J334" s="213">
        <f>IFERROR(__xludf.DUMMYFUNCTION("""COMPUTED_VALUE"""),6665.0)</f>
        <v>6665</v>
      </c>
      <c r="K334" s="213">
        <f>IFERROR(__xludf.DUMMYFUNCTION("""COMPUTED_VALUE"""),3738.0)</f>
        <v>3738</v>
      </c>
      <c r="L334" s="214">
        <f>IFERROR(__xludf.DUMMYFUNCTION("""COMPUTED_VALUE"""),0.5608)</f>
        <v>0.5608</v>
      </c>
      <c r="M334" s="213"/>
      <c r="N334" s="214"/>
      <c r="O334" s="213">
        <f>IFERROR(__xludf.DUMMYFUNCTION("""COMPUTED_VALUE"""),7.0)</f>
        <v>7</v>
      </c>
      <c r="P334" s="213"/>
      <c r="Q334" s="214">
        <f>IFERROR(__xludf.DUMMYFUNCTION("""COMPUTED_VALUE"""),0.0019)</f>
        <v>0.0019</v>
      </c>
      <c r="R334" s="214"/>
      <c r="S334" s="101">
        <f>IFERROR(__xludf.DUMMYFUNCTION("""COMPUTED_VALUE"""),0.0)</f>
        <v>0</v>
      </c>
      <c r="T334" s="101">
        <f>IFERROR(__xludf.DUMMYFUNCTION("""COMPUTED_VALUE"""),1.0)</f>
        <v>1</v>
      </c>
      <c r="U334" s="270">
        <f>IFERROR(__xludf.DUMMYFUNCTION("""COMPUTED_VALUE"""),0.0)</f>
        <v>0</v>
      </c>
      <c r="V334" s="271" t="str">
        <f>IFERROR(__xludf.DUMMYFUNCTION("""COMPUTED_VALUE"""),"offline")</f>
        <v>offline</v>
      </c>
      <c r="W334" s="272" t="str">
        <f>IFERROR(__xludf.DUMMYFUNCTION("""COMPUTED_VALUE"""),"SMS")</f>
        <v>SMS</v>
      </c>
      <c r="X334" s="272" t="str">
        <f>IFERROR(__xludf.DUMMYFUNCTION("""COMPUTED_VALUE"""),"Cat Repeat")</f>
        <v>Cat Repeat</v>
      </c>
      <c r="Y334" s="272" t="str">
        <f>IFERROR(__xludf.DUMMYFUNCTION("""COMPUTED_VALUE"""),"27 March")</f>
        <v>27 March</v>
      </c>
      <c r="Z334" s="272" t="str">
        <f>IFERROR(__xludf.DUMMYFUNCTION("""COMPUTED_VALUE"""),"69c52000c7a812edea056953")</f>
        <v>69c52000c7a812edea056953</v>
      </c>
      <c r="AA334" s="272">
        <f>IFERROR(__xludf.DUMMYFUNCTION("""COMPUTED_VALUE"""),16.0)</f>
        <v>16</v>
      </c>
      <c r="AB334" s="272"/>
      <c r="AC334" s="272">
        <f>IFERROR(__xludf.DUMMYFUNCTION("""COMPUTED_VALUE"""),16.0)</f>
        <v>16</v>
      </c>
      <c r="AD334" s="272">
        <f>IFERROR(__xludf.DUMMYFUNCTION("""COMPUTED_VALUE"""),74530.0)</f>
        <v>74530</v>
      </c>
      <c r="AE334" s="272"/>
      <c r="AF334" s="272">
        <f>IFERROR(__xludf.DUMMYFUNCTION("""COMPUTED_VALUE"""),74530.0)</f>
        <v>74530</v>
      </c>
      <c r="AG334" s="208"/>
      <c r="AH334" s="208"/>
      <c r="AI334" s="208"/>
      <c r="AJ334" s="208"/>
      <c r="AK334" s="208"/>
    </row>
    <row r="335" hidden="1">
      <c r="A335" s="209">
        <f>IFERROR(__xludf.DUMMYFUNCTION("""COMPUTED_VALUE"""),46108.0)</f>
        <v>46108</v>
      </c>
      <c r="B335" s="210">
        <f>IFERROR(__xludf.DUMMYFUNCTION("""COMPUTED_VALUE"""),0.5416666666678793)</f>
        <v>0.5416666667</v>
      </c>
      <c r="C335" s="211" t="str">
        <f>IFERROR(__xludf.DUMMYFUNCTION("""COMPUTED_VALUE"""),"Sms")</f>
        <v>Sms</v>
      </c>
      <c r="D335" s="211" t="str">
        <f>IFERROR(__xludf.DUMMYFUNCTION("""COMPUTED_VALUE"""),"Fallback Campaign")</f>
        <v>Fallback Campaign</v>
      </c>
      <c r="E335" s="211" t="str">
        <f>IFERROR(__xludf.DUMMYFUNCTION("""COMPUTED_VALUE"""),"BBW")</f>
        <v>BBW</v>
      </c>
      <c r="F335" s="211" t="str">
        <f>IFERROR(__xludf.DUMMYFUNCTION("""COMPUTED_VALUE"""),"bcat999")</f>
        <v>bcat999</v>
      </c>
      <c r="G335" s="212" t="str">
        <f>IFERROR(__xludf.DUMMYFUNCTION("""COMPUTED_VALUE"""),"bbw_smsfb_bcat999_27mar_bc999max_1year")</f>
        <v>bbw_smsfb_bcat999_27mar_bc999max_1year</v>
      </c>
      <c r="H335" s="212" t="str">
        <f>IFERROR(__xludf.DUMMYFUNCTION("""COMPUTED_VALUE"""),"BC_999max_1Y_OFF")</f>
        <v>BC_999max_1Y_OFF</v>
      </c>
      <c r="I335" s="212" t="str">
        <f>IFERROR(__xludf.DUMMYFUNCTION("""COMPUTED_VALUE"""),"WA Undelivered")</f>
        <v>WA Undelivered</v>
      </c>
      <c r="J335" s="213">
        <f>IFERROR(__xludf.DUMMYFUNCTION("""COMPUTED_VALUE"""),8962.0)</f>
        <v>8962</v>
      </c>
      <c r="K335" s="213">
        <f>IFERROR(__xludf.DUMMYFUNCTION("""COMPUTED_VALUE"""),5439.0)</f>
        <v>5439</v>
      </c>
      <c r="L335" s="214">
        <f>IFERROR(__xludf.DUMMYFUNCTION("""COMPUTED_VALUE"""),0.6069)</f>
        <v>0.6069</v>
      </c>
      <c r="M335" s="213"/>
      <c r="N335" s="214"/>
      <c r="O335" s="213">
        <f>IFERROR(__xludf.DUMMYFUNCTION("""COMPUTED_VALUE"""),2.0)</f>
        <v>2</v>
      </c>
      <c r="P335" s="213"/>
      <c r="Q335" s="214">
        <f>IFERROR(__xludf.DUMMYFUNCTION("""COMPUTED_VALUE"""),4.0E-4)</f>
        <v>0.0004</v>
      </c>
      <c r="R335" s="214"/>
      <c r="S335" s="101">
        <f>IFERROR(__xludf.DUMMYFUNCTION("""COMPUTED_VALUE"""),0.0)</f>
        <v>0</v>
      </c>
      <c r="T335" s="101">
        <f>IFERROR(__xludf.DUMMYFUNCTION("""COMPUTED_VALUE"""),0.0)</f>
        <v>0</v>
      </c>
      <c r="U335" s="270">
        <f>IFERROR(__xludf.DUMMYFUNCTION("""COMPUTED_VALUE"""),0.0)</f>
        <v>0</v>
      </c>
      <c r="V335" s="271" t="str">
        <f>IFERROR(__xludf.DUMMYFUNCTION("""COMPUTED_VALUE"""),"offline")</f>
        <v>offline</v>
      </c>
      <c r="W335" s="272" t="str">
        <f>IFERROR(__xludf.DUMMYFUNCTION("""COMPUTED_VALUE"""),"SMS")</f>
        <v>SMS</v>
      </c>
      <c r="X335" s="272" t="str">
        <f>IFERROR(__xludf.DUMMYFUNCTION("""COMPUTED_VALUE"""),"Cart Value")</f>
        <v>Cart Value</v>
      </c>
      <c r="Y335" s="272" t="str">
        <f>IFERROR(__xludf.DUMMYFUNCTION("""COMPUTED_VALUE"""),"27 March")</f>
        <v>27 March</v>
      </c>
      <c r="Z335" s="272" t="str">
        <f>IFERROR(__xludf.DUMMYFUNCTION("""COMPUTED_VALUE"""),"69c52097c9fdb77549f63c7a")</f>
        <v>69c52097c9fdb77549f63c7a</v>
      </c>
      <c r="AA335" s="272">
        <f>IFERROR(__xludf.DUMMYFUNCTION("""COMPUTED_VALUE"""),4.0)</f>
        <v>4</v>
      </c>
      <c r="AB335" s="272"/>
      <c r="AC335" s="272">
        <f>IFERROR(__xludf.DUMMYFUNCTION("""COMPUTED_VALUE"""),4.0)</f>
        <v>4</v>
      </c>
      <c r="AD335" s="272">
        <f>IFERROR(__xludf.DUMMYFUNCTION("""COMPUTED_VALUE"""),4995.0)</f>
        <v>4995</v>
      </c>
      <c r="AE335" s="272"/>
      <c r="AF335" s="272">
        <f>IFERROR(__xludf.DUMMYFUNCTION("""COMPUTED_VALUE"""),4995.0)</f>
        <v>4995</v>
      </c>
      <c r="AG335" s="208"/>
      <c r="AH335" s="208"/>
      <c r="AI335" s="208"/>
      <c r="AJ335" s="208"/>
      <c r="AK335" s="208"/>
    </row>
    <row r="336" hidden="1">
      <c r="A336" s="209">
        <f>IFERROR(__xludf.DUMMYFUNCTION("""COMPUTED_VALUE"""),46108.0)</f>
        <v>46108</v>
      </c>
      <c r="B336" s="210">
        <f>IFERROR(__xludf.DUMMYFUNCTION("""COMPUTED_VALUE"""),0.5416666666678793)</f>
        <v>0.5416666667</v>
      </c>
      <c r="C336" s="211" t="str">
        <f>IFERROR(__xludf.DUMMYFUNCTION("""COMPUTED_VALUE"""),"Sms")</f>
        <v>Sms</v>
      </c>
      <c r="D336" s="211" t="str">
        <f>IFERROR(__xludf.DUMMYFUNCTION("""COMPUTED_VALUE"""),"Fallback Campaign")</f>
        <v>Fallback Campaign</v>
      </c>
      <c r="E336" s="211" t="str">
        <f>IFERROR(__xludf.DUMMYFUNCTION("""COMPUTED_VALUE"""),"BBW")</f>
        <v>BBW</v>
      </c>
      <c r="F336" s="211" t="str">
        <f>IFERROR(__xludf.DUMMYFUNCTION("""COMPUTED_VALUE"""),"bcat999")</f>
        <v>bcat999</v>
      </c>
      <c r="G336" s="212" t="str">
        <f>IFERROR(__xludf.DUMMYFUNCTION("""COMPUTED_VALUE"""),"bbw_smsfb_bcat999_27mar_event_buyer")</f>
        <v>bbw_smsfb_bcat999_27mar_event_buyer</v>
      </c>
      <c r="H336" s="212" t="str">
        <f>IFERROR(__xludf.DUMMYFUNCTION("""COMPUTED_VALUE"""),"BC_EventBuyers_OFF")</f>
        <v>BC_EventBuyers_OFF</v>
      </c>
      <c r="I336" s="212" t="str">
        <f>IFERROR(__xludf.DUMMYFUNCTION("""COMPUTED_VALUE"""),"WA Undelivered")</f>
        <v>WA Undelivered</v>
      </c>
      <c r="J336" s="213">
        <f>IFERROR(__xludf.DUMMYFUNCTION("""COMPUTED_VALUE"""),9689.0)</f>
        <v>9689</v>
      </c>
      <c r="K336" s="213">
        <f>IFERROR(__xludf.DUMMYFUNCTION("""COMPUTED_VALUE"""),5556.0)</f>
        <v>5556</v>
      </c>
      <c r="L336" s="214">
        <f>IFERROR(__xludf.DUMMYFUNCTION("""COMPUTED_VALUE"""),0.5734)</f>
        <v>0.5734</v>
      </c>
      <c r="M336" s="213"/>
      <c r="N336" s="214"/>
      <c r="O336" s="213">
        <f>IFERROR(__xludf.DUMMYFUNCTION("""COMPUTED_VALUE"""),2.0)</f>
        <v>2</v>
      </c>
      <c r="P336" s="213"/>
      <c r="Q336" s="214">
        <f>IFERROR(__xludf.DUMMYFUNCTION("""COMPUTED_VALUE"""),4.0E-4)</f>
        <v>0.0004</v>
      </c>
      <c r="R336" s="214"/>
      <c r="S336" s="101">
        <f>IFERROR(__xludf.DUMMYFUNCTION("""COMPUTED_VALUE"""),0.0)</f>
        <v>0</v>
      </c>
      <c r="T336" s="101">
        <f>IFERROR(__xludf.DUMMYFUNCTION("""COMPUTED_VALUE"""),1.0)</f>
        <v>1</v>
      </c>
      <c r="U336" s="270">
        <f>IFERROR(__xludf.DUMMYFUNCTION("""COMPUTED_VALUE"""),0.0)</f>
        <v>0</v>
      </c>
      <c r="V336" s="271" t="str">
        <f>IFERROR(__xludf.DUMMYFUNCTION("""COMPUTED_VALUE"""),"offline")</f>
        <v>offline</v>
      </c>
      <c r="W336" s="272" t="str">
        <f>IFERROR(__xludf.DUMMYFUNCTION("""COMPUTED_VALUE"""),"SMS")</f>
        <v>SMS</v>
      </c>
      <c r="X336" s="272" t="str">
        <f>IFERROR(__xludf.DUMMYFUNCTION("""COMPUTED_VALUE"""),"Event Buyers")</f>
        <v>Event Buyers</v>
      </c>
      <c r="Y336" s="272" t="str">
        <f>IFERROR(__xludf.DUMMYFUNCTION("""COMPUTED_VALUE"""),"27 March")</f>
        <v>27 March</v>
      </c>
      <c r="Z336" s="272" t="str">
        <f>IFERROR(__xludf.DUMMYFUNCTION("""COMPUTED_VALUE"""),"69c520cadee1a723342f0023")</f>
        <v>69c520cadee1a723342f0023</v>
      </c>
      <c r="AA336" s="272">
        <f>IFERROR(__xludf.DUMMYFUNCTION("""COMPUTED_VALUE"""),7.0)</f>
        <v>7</v>
      </c>
      <c r="AB336" s="272"/>
      <c r="AC336" s="272">
        <f>IFERROR(__xludf.DUMMYFUNCTION("""COMPUTED_VALUE"""),7.0)</f>
        <v>7</v>
      </c>
      <c r="AD336" s="272">
        <f>IFERROR(__xludf.DUMMYFUNCTION("""COMPUTED_VALUE"""),26421.0)</f>
        <v>26421</v>
      </c>
      <c r="AE336" s="272"/>
      <c r="AF336" s="272">
        <f>IFERROR(__xludf.DUMMYFUNCTION("""COMPUTED_VALUE"""),26421.0)</f>
        <v>26421</v>
      </c>
      <c r="AG336" s="208"/>
      <c r="AH336" s="208"/>
      <c r="AI336" s="208"/>
      <c r="AJ336" s="208"/>
      <c r="AK336" s="208"/>
    </row>
    <row r="337" hidden="1">
      <c r="A337" s="209">
        <f>IFERROR(__xludf.DUMMYFUNCTION("""COMPUTED_VALUE"""),46108.0)</f>
        <v>46108</v>
      </c>
      <c r="B337" s="210">
        <f>IFERROR(__xludf.DUMMYFUNCTION("""COMPUTED_VALUE"""),0.5416666666678793)</f>
        <v>0.5416666667</v>
      </c>
      <c r="C337" s="211" t="str">
        <f>IFERROR(__xludf.DUMMYFUNCTION("""COMPUTED_VALUE"""),"Sms")</f>
        <v>Sms</v>
      </c>
      <c r="D337" s="211" t="str">
        <f>IFERROR(__xludf.DUMMYFUNCTION("""COMPUTED_VALUE"""),"Fallback Campaign")</f>
        <v>Fallback Campaign</v>
      </c>
      <c r="E337" s="211" t="str">
        <f>IFERROR(__xludf.DUMMYFUNCTION("""COMPUTED_VALUE"""),"BBW")</f>
        <v>BBW</v>
      </c>
      <c r="F337" s="211" t="str">
        <f>IFERROR(__xludf.DUMMYFUNCTION("""COMPUTED_VALUE"""),"bcat999")</f>
        <v>bcat999</v>
      </c>
      <c r="G337" s="212" t="str">
        <f>IFERROR(__xludf.DUMMYFUNCTION("""COMPUTED_VALUE"""),"bbw_smsfb_bcat999_27mar_dormant")</f>
        <v>bbw_smsfb_bcat999_27mar_dormant</v>
      </c>
      <c r="H337" s="212" t="str">
        <f>IFERROR(__xludf.DUMMYFUNCTION("""COMPUTED_VALUE"""),"BC_Dormant_1Y_OFF")</f>
        <v>BC_Dormant_1Y_OFF</v>
      </c>
      <c r="I337" s="212" t="str">
        <f>IFERROR(__xludf.DUMMYFUNCTION("""COMPUTED_VALUE"""),"WA Undelivered")</f>
        <v>WA Undelivered</v>
      </c>
      <c r="J337" s="213">
        <f>IFERROR(__xludf.DUMMYFUNCTION("""COMPUTED_VALUE"""),44611.0)</f>
        <v>44611</v>
      </c>
      <c r="K337" s="213">
        <f>IFERROR(__xludf.DUMMYFUNCTION("""COMPUTED_VALUE"""),25382.0)</f>
        <v>25382</v>
      </c>
      <c r="L337" s="214">
        <f>IFERROR(__xludf.DUMMYFUNCTION("""COMPUTED_VALUE"""),0.569)</f>
        <v>0.569</v>
      </c>
      <c r="M337" s="213"/>
      <c r="N337" s="214"/>
      <c r="O337" s="213">
        <f>IFERROR(__xludf.DUMMYFUNCTION("""COMPUTED_VALUE"""),20.0)</f>
        <v>20</v>
      </c>
      <c r="P337" s="213"/>
      <c r="Q337" s="214">
        <f>IFERROR(__xludf.DUMMYFUNCTION("""COMPUTED_VALUE"""),8.0E-4)</f>
        <v>0.0008</v>
      </c>
      <c r="R337" s="214"/>
      <c r="S337" s="101">
        <f>IFERROR(__xludf.DUMMYFUNCTION("""COMPUTED_VALUE"""),1.0)</f>
        <v>1</v>
      </c>
      <c r="T337" s="101">
        <f>IFERROR(__xludf.DUMMYFUNCTION("""COMPUTED_VALUE"""),1.0)</f>
        <v>1</v>
      </c>
      <c r="U337" s="270">
        <f>IFERROR(__xludf.DUMMYFUNCTION("""COMPUTED_VALUE"""),1998.0)</f>
        <v>1998</v>
      </c>
      <c r="V337" s="271" t="str">
        <f>IFERROR(__xludf.DUMMYFUNCTION("""COMPUTED_VALUE"""),"offline")</f>
        <v>offline</v>
      </c>
      <c r="W337" s="272" t="str">
        <f>IFERROR(__xludf.DUMMYFUNCTION("""COMPUTED_VALUE"""),"SMS")</f>
        <v>SMS</v>
      </c>
      <c r="X337" s="272" t="str">
        <f>IFERROR(__xludf.DUMMYFUNCTION("""COMPUTED_VALUE"""),"Cat Dormant")</f>
        <v>Cat Dormant</v>
      </c>
      <c r="Y337" s="272" t="str">
        <f>IFERROR(__xludf.DUMMYFUNCTION("""COMPUTED_VALUE"""),"27 March")</f>
        <v>27 March</v>
      </c>
      <c r="Z337" s="272" t="str">
        <f>IFERROR(__xludf.DUMMYFUNCTION("""COMPUTED_VALUE"""),"69c520fa88bce3b3c3caa163")</f>
        <v>69c520fa88bce3b3c3caa163</v>
      </c>
      <c r="AA337" s="272">
        <f>IFERROR(__xludf.DUMMYFUNCTION("""COMPUTED_VALUE"""),24.0)</f>
        <v>24</v>
      </c>
      <c r="AB337" s="272"/>
      <c r="AC337" s="272">
        <f>IFERROR(__xludf.DUMMYFUNCTION("""COMPUTED_VALUE"""),24.0)</f>
        <v>24</v>
      </c>
      <c r="AD337" s="272">
        <f>IFERROR(__xludf.DUMMYFUNCTION("""COMPUTED_VALUE"""),103647.0)</f>
        <v>103647</v>
      </c>
      <c r="AE337" s="272"/>
      <c r="AF337" s="272">
        <f>IFERROR(__xludf.DUMMYFUNCTION("""COMPUTED_VALUE"""),103647.0)</f>
        <v>103647</v>
      </c>
      <c r="AG337" s="208"/>
      <c r="AH337" s="208"/>
      <c r="AI337" s="208"/>
      <c r="AJ337" s="208"/>
      <c r="AK337" s="208"/>
    </row>
    <row r="338" hidden="1">
      <c r="A338" s="209">
        <f>IFERROR(__xludf.DUMMYFUNCTION("""COMPUTED_VALUE"""),46108.0)</f>
        <v>46108</v>
      </c>
      <c r="B338" s="210">
        <f>IFERROR(__xludf.DUMMYFUNCTION("""COMPUTED_VALUE"""),0.5416666666678793)</f>
        <v>0.5416666667</v>
      </c>
      <c r="C338" s="211" t="str">
        <f>IFERROR(__xludf.DUMMYFUNCTION("""COMPUTED_VALUE"""),"Sms")</f>
        <v>Sms</v>
      </c>
      <c r="D338" s="211" t="str">
        <f>IFERROR(__xludf.DUMMYFUNCTION("""COMPUTED_VALUE"""),"Fallback Campaign")</f>
        <v>Fallback Campaign</v>
      </c>
      <c r="E338" s="211" t="str">
        <f>IFERROR(__xludf.DUMMYFUNCTION("""COMPUTED_VALUE"""),"BBW")</f>
        <v>BBW</v>
      </c>
      <c r="F338" s="211" t="str">
        <f>IFERROR(__xludf.DUMMYFUNCTION("""COMPUTED_VALUE"""),"bcat999")</f>
        <v>bcat999</v>
      </c>
      <c r="G338" s="212" t="str">
        <f>IFERROR(__xludf.DUMMYFUNCTION("""COMPUTED_VALUE"""),"bbw_smsfb_bcat999_27mar_allcat_minusbc")</f>
        <v>bbw_smsfb_bcat999_27mar_allcat_minusbc</v>
      </c>
      <c r="H338" s="212" t="str">
        <f>IFERROR(__xludf.DUMMYFUNCTION("""COMPUTED_VALUE"""),"Cat_Excl_BC_OFF")</f>
        <v>Cat_Excl_BC_OFF</v>
      </c>
      <c r="I338" s="212" t="str">
        <f>IFERROR(__xludf.DUMMYFUNCTION("""COMPUTED_VALUE"""),"WA Undelivered")</f>
        <v>WA Undelivered</v>
      </c>
      <c r="J338" s="213">
        <f>IFERROR(__xludf.DUMMYFUNCTION("""COMPUTED_VALUE"""),20059.0)</f>
        <v>20059</v>
      </c>
      <c r="K338" s="213">
        <f>IFERROR(__xludf.DUMMYFUNCTION("""COMPUTED_VALUE"""),11646.0)</f>
        <v>11646</v>
      </c>
      <c r="L338" s="214">
        <f>IFERROR(__xludf.DUMMYFUNCTION("""COMPUTED_VALUE"""),0.5806)</f>
        <v>0.5806</v>
      </c>
      <c r="M338" s="213"/>
      <c r="N338" s="214"/>
      <c r="O338" s="213">
        <f>IFERROR(__xludf.DUMMYFUNCTION("""COMPUTED_VALUE"""),14.0)</f>
        <v>14</v>
      </c>
      <c r="P338" s="213"/>
      <c r="Q338" s="214">
        <f>IFERROR(__xludf.DUMMYFUNCTION("""COMPUTED_VALUE"""),0.0012)</f>
        <v>0.0012</v>
      </c>
      <c r="R338" s="214"/>
      <c r="S338" s="101">
        <f>IFERROR(__xludf.DUMMYFUNCTION("""COMPUTED_VALUE"""),0.0)</f>
        <v>0</v>
      </c>
      <c r="T338" s="101">
        <f>IFERROR(__xludf.DUMMYFUNCTION("""COMPUTED_VALUE"""),2.0)</f>
        <v>2</v>
      </c>
      <c r="U338" s="270">
        <f>IFERROR(__xludf.DUMMYFUNCTION("""COMPUTED_VALUE"""),0.0)</f>
        <v>0</v>
      </c>
      <c r="V338" s="271" t="str">
        <f>IFERROR(__xludf.DUMMYFUNCTION("""COMPUTED_VALUE"""),"offline")</f>
        <v>offline</v>
      </c>
      <c r="W338" s="272" t="str">
        <f>IFERROR(__xludf.DUMMYFUNCTION("""COMPUTED_VALUE"""),"SMS")</f>
        <v>SMS</v>
      </c>
      <c r="X338" s="272" t="str">
        <f>IFERROR(__xludf.DUMMYFUNCTION("""COMPUTED_VALUE"""),"Dormant")</f>
        <v>Dormant</v>
      </c>
      <c r="Y338" s="272" t="str">
        <f>IFERROR(__xludf.DUMMYFUNCTION("""COMPUTED_VALUE"""),"27 March")</f>
        <v>27 March</v>
      </c>
      <c r="Z338" s="272" t="str">
        <f>IFERROR(__xludf.DUMMYFUNCTION("""COMPUTED_VALUE"""),"69c52140cd7d0e33e661daa1")</f>
        <v>69c52140cd7d0e33e661daa1</v>
      </c>
      <c r="AA338" s="272">
        <f>IFERROR(__xludf.DUMMYFUNCTION("""COMPUTED_VALUE"""),7.0)</f>
        <v>7</v>
      </c>
      <c r="AB338" s="272"/>
      <c r="AC338" s="272">
        <f>IFERROR(__xludf.DUMMYFUNCTION("""COMPUTED_VALUE"""),7.0)</f>
        <v>7</v>
      </c>
      <c r="AD338" s="272">
        <f>IFERROR(__xludf.DUMMYFUNCTION("""COMPUTED_VALUE"""),28670.0)</f>
        <v>28670</v>
      </c>
      <c r="AE338" s="272"/>
      <c r="AF338" s="272">
        <f>IFERROR(__xludf.DUMMYFUNCTION("""COMPUTED_VALUE"""),28670.0)</f>
        <v>28670</v>
      </c>
      <c r="AG338" s="208"/>
      <c r="AH338" s="208"/>
      <c r="AI338" s="208"/>
      <c r="AJ338" s="208"/>
      <c r="AK338" s="208"/>
    </row>
    <row r="339" hidden="1">
      <c r="A339" s="209">
        <f>IFERROR(__xludf.DUMMYFUNCTION("""COMPUTED_VALUE"""),46108.0)</f>
        <v>46108</v>
      </c>
      <c r="B339" s="210">
        <f>IFERROR(__xludf.DUMMYFUNCTION("""COMPUTED_VALUE"""),0.5416666666678793)</f>
        <v>0.5416666667</v>
      </c>
      <c r="C339" s="211" t="str">
        <f>IFERROR(__xludf.DUMMYFUNCTION("""COMPUTED_VALUE"""),"Sms")</f>
        <v>Sms</v>
      </c>
      <c r="D339" s="211" t="str">
        <f>IFERROR(__xludf.DUMMYFUNCTION("""COMPUTED_VALUE"""),"Fallback Campaign")</f>
        <v>Fallback Campaign</v>
      </c>
      <c r="E339" s="211" t="str">
        <f>IFERROR(__xludf.DUMMYFUNCTION("""COMPUTED_VALUE"""),"BBW")</f>
        <v>BBW</v>
      </c>
      <c r="F339" s="211" t="str">
        <f>IFERROR(__xludf.DUMMYFUNCTION("""COMPUTED_VALUE"""),"bcat999")</f>
        <v>bcat999</v>
      </c>
      <c r="G339" s="212" t="str">
        <f>IFERROR(__xludf.DUMMYFUNCTION("""COMPUTED_VALUE"""),"bbw_smsfb_bcat999_27mar_recent")</f>
        <v>bbw_smsfb_bcat999_27mar_recent</v>
      </c>
      <c r="H339" s="212" t="str">
        <f>IFERROR(__xludf.DUMMYFUNCTION("""COMPUTED_VALUE"""),"Recent_30D_OFF")</f>
        <v>Recent_30D_OFF</v>
      </c>
      <c r="I339" s="212" t="str">
        <f>IFERROR(__xludf.DUMMYFUNCTION("""COMPUTED_VALUE"""),"WA Undelivered")</f>
        <v>WA Undelivered</v>
      </c>
      <c r="J339" s="213">
        <f>IFERROR(__xludf.DUMMYFUNCTION("""COMPUTED_VALUE"""),5530.0)</f>
        <v>5530</v>
      </c>
      <c r="K339" s="213">
        <f>IFERROR(__xludf.DUMMYFUNCTION("""COMPUTED_VALUE"""),3344.0)</f>
        <v>3344</v>
      </c>
      <c r="L339" s="214">
        <f>IFERROR(__xludf.DUMMYFUNCTION("""COMPUTED_VALUE"""),0.6047)</f>
        <v>0.6047</v>
      </c>
      <c r="M339" s="213"/>
      <c r="N339" s="214"/>
      <c r="O339" s="213">
        <f>IFERROR(__xludf.DUMMYFUNCTION("""COMPUTED_VALUE"""),8.0)</f>
        <v>8</v>
      </c>
      <c r="P339" s="213"/>
      <c r="Q339" s="214">
        <f>IFERROR(__xludf.DUMMYFUNCTION("""COMPUTED_VALUE"""),0.0024)</f>
        <v>0.0024</v>
      </c>
      <c r="R339" s="214"/>
      <c r="S339" s="101">
        <f>IFERROR(__xludf.DUMMYFUNCTION("""COMPUTED_VALUE"""),0.0)</f>
        <v>0</v>
      </c>
      <c r="T339" s="101">
        <f>IFERROR(__xludf.DUMMYFUNCTION("""COMPUTED_VALUE"""),1.0)</f>
        <v>1</v>
      </c>
      <c r="U339" s="270">
        <f>IFERROR(__xludf.DUMMYFUNCTION("""COMPUTED_VALUE"""),0.0)</f>
        <v>0</v>
      </c>
      <c r="V339" s="271" t="str">
        <f>IFERROR(__xludf.DUMMYFUNCTION("""COMPUTED_VALUE"""),"offline")</f>
        <v>offline</v>
      </c>
      <c r="W339" s="272" t="str">
        <f>IFERROR(__xludf.DUMMYFUNCTION("""COMPUTED_VALUE"""),"SMS")</f>
        <v>SMS</v>
      </c>
      <c r="X339" s="272" t="str">
        <f>IFERROR(__xludf.DUMMYFUNCTION("""COMPUTED_VALUE"""),"Active")</f>
        <v>Active</v>
      </c>
      <c r="Y339" s="272" t="str">
        <f>IFERROR(__xludf.DUMMYFUNCTION("""COMPUTED_VALUE"""),"27 March")</f>
        <v>27 March</v>
      </c>
      <c r="Z339" s="272" t="str">
        <f>IFERROR(__xludf.DUMMYFUNCTION("""COMPUTED_VALUE"""),"69c5217601f1acbc045a549a")</f>
        <v>69c5217601f1acbc045a549a</v>
      </c>
      <c r="AA339" s="272">
        <f>IFERROR(__xludf.DUMMYFUNCTION("""COMPUTED_VALUE"""),2.0)</f>
        <v>2</v>
      </c>
      <c r="AB339" s="272"/>
      <c r="AC339" s="272">
        <f>IFERROR(__xludf.DUMMYFUNCTION("""COMPUTED_VALUE"""),2.0)</f>
        <v>2</v>
      </c>
      <c r="AD339" s="272">
        <f>IFERROR(__xludf.DUMMYFUNCTION("""COMPUTED_VALUE"""),12817.0)</f>
        <v>12817</v>
      </c>
      <c r="AE339" s="272"/>
      <c r="AF339" s="272">
        <f>IFERROR(__xludf.DUMMYFUNCTION("""COMPUTED_VALUE"""),12817.0)</f>
        <v>12817</v>
      </c>
      <c r="AG339" s="208"/>
      <c r="AH339" s="208"/>
      <c r="AI339" s="208"/>
      <c r="AJ339" s="208"/>
      <c r="AK339" s="208"/>
    </row>
    <row r="340" hidden="1">
      <c r="A340" s="209">
        <f>IFERROR(__xludf.DUMMYFUNCTION("""COMPUTED_VALUE"""),46110.0)</f>
        <v>46110</v>
      </c>
      <c r="B340" s="210">
        <f>IFERROR(__xludf.DUMMYFUNCTION("""COMPUTED_VALUE"""),0.4583333333321207)</f>
        <v>0.4583333333</v>
      </c>
      <c r="C340" s="211" t="str">
        <f>IFERROR(__xludf.DUMMYFUNCTION("""COMPUTED_VALUE"""),"Whatsapp")</f>
        <v>Whatsapp</v>
      </c>
      <c r="D340" s="211" t="str">
        <f>IFERROR(__xludf.DUMMYFUNCTION("""COMPUTED_VALUE"""),"Promotional")</f>
        <v>Promotional</v>
      </c>
      <c r="E340" s="211" t="str">
        <f>IFERROR(__xludf.DUMMYFUNCTION("""COMPUTED_VALUE"""),"BBW")</f>
        <v>BBW</v>
      </c>
      <c r="F340" s="211" t="str">
        <f>IFERROR(__xludf.DUMMYFUNCTION("""COMPUTED_VALUE"""),"bcat999")</f>
        <v>bcat999</v>
      </c>
      <c r="G340" s="212" t="str">
        <f>IFERROR(__xludf.DUMMYFUNCTION("""COMPUTED_VALUE"""),"bbw_wa_29mar_bcat999_bc_lastreminder_repeat_on")</f>
        <v>bbw_wa_29mar_bcat999_bc_lastreminder_repeat_on</v>
      </c>
      <c r="H340" s="212" t="str">
        <f>IFERROR(__xludf.DUMMYFUNCTION("""COMPUTED_VALUE"""),"BodyCare_Repeat_180D_ON OR AGIPL_Internal OR BBW_Internal")</f>
        <v>BodyCare_Repeat_180D_ON OR AGIPL_Internal OR BBW_Internal</v>
      </c>
      <c r="I340" s="212" t="str">
        <f>IFERROR(__xludf.DUMMYFUNCTION("""COMPUTED_VALUE"""),"Online Customers who have purchased from BodyCare at least 2 times in the last 180 days")</f>
        <v>Online Customers who have purchased from BodyCare at least 2 times in the last 180 days</v>
      </c>
      <c r="J340" s="213">
        <f>IFERROR(__xludf.DUMMYFUNCTION("""COMPUTED_VALUE"""),4232.0)</f>
        <v>4232</v>
      </c>
      <c r="K340" s="213">
        <f>IFERROR(__xludf.DUMMYFUNCTION("""COMPUTED_VALUE"""),1384.0)</f>
        <v>1384</v>
      </c>
      <c r="L340" s="214">
        <f>IFERROR(__xludf.DUMMYFUNCTION("""COMPUTED_VALUE"""),0.327)</f>
        <v>0.327</v>
      </c>
      <c r="M340" s="213">
        <f>IFERROR(__xludf.DUMMYFUNCTION("""COMPUTED_VALUE"""),680.0)</f>
        <v>680</v>
      </c>
      <c r="N340" s="214">
        <f>IFERROR(__xludf.DUMMYFUNCTION("""COMPUTED_VALUE"""),0.5305)</f>
        <v>0.5305</v>
      </c>
      <c r="O340" s="213">
        <f>IFERROR(__xludf.DUMMYFUNCTION("""COMPUTED_VALUE"""),125.0)</f>
        <v>125</v>
      </c>
      <c r="P340" s="213">
        <f>IFERROR(__xludf.DUMMYFUNCTION("""COMPUTED_VALUE"""),111.0)</f>
        <v>111</v>
      </c>
      <c r="Q340" s="214">
        <f>IFERROR(__xludf.DUMMYFUNCTION("""COMPUTED_VALUE"""),0.0869)</f>
        <v>0.0869</v>
      </c>
      <c r="R340" s="214">
        <f>IFERROR(__xludf.DUMMYFUNCTION("""COMPUTED_VALUE"""),0.1637)</f>
        <v>0.1637</v>
      </c>
      <c r="S340" s="101">
        <f>IFERROR(__xludf.DUMMYFUNCTION("""COMPUTED_VALUE"""),2.0)</f>
        <v>2</v>
      </c>
      <c r="T340" s="101">
        <f>IFERROR(__xludf.DUMMYFUNCTION("""COMPUTED_VALUE"""),7.0)</f>
        <v>7</v>
      </c>
      <c r="U340" s="270">
        <f>IFERROR(__xludf.DUMMYFUNCTION("""COMPUTED_VALUE"""),3645.0)</f>
        <v>3645</v>
      </c>
      <c r="V340" s="271" t="str">
        <f>IFERROR(__xludf.DUMMYFUNCTION("""COMPUTED_VALUE"""),"online")</f>
        <v>online</v>
      </c>
      <c r="W340" s="272" t="str">
        <f>IFERROR(__xludf.DUMMYFUNCTION("""COMPUTED_VALUE"""),"simple")</f>
        <v>simple</v>
      </c>
      <c r="X340" s="272" t="str">
        <f>IFERROR(__xludf.DUMMYFUNCTION("""COMPUTED_VALUE"""),"Cat Repeat")</f>
        <v>Cat Repeat</v>
      </c>
      <c r="Y340" s="272" t="str">
        <f>IFERROR(__xludf.DUMMYFUNCTION("""COMPUTED_VALUE"""),"29-30 March")</f>
        <v>29-30 March</v>
      </c>
      <c r="Z340" s="272" t="str">
        <f>IFERROR(__xludf.DUMMYFUNCTION("""COMPUTED_VALUE"""),"69c6531e67f0e62027821b25")</f>
        <v>69c6531e67f0e62027821b25</v>
      </c>
      <c r="AA340" s="272">
        <f>IFERROR(__xludf.DUMMYFUNCTION("""COMPUTED_VALUE"""),17.0)</f>
        <v>17</v>
      </c>
      <c r="AB340" s="272">
        <f>IFERROR(__xludf.DUMMYFUNCTION("""COMPUTED_VALUE"""),17.0)</f>
        <v>17</v>
      </c>
      <c r="AC340" s="272"/>
      <c r="AD340" s="272">
        <f>IFERROR(__xludf.DUMMYFUNCTION("""COMPUTED_VALUE"""),58044.0)</f>
        <v>58044</v>
      </c>
      <c r="AE340" s="272">
        <f>IFERROR(__xludf.DUMMYFUNCTION("""COMPUTED_VALUE"""),58044.0)</f>
        <v>58044</v>
      </c>
      <c r="AF340" s="272"/>
      <c r="AG340" s="208"/>
      <c r="AH340" s="208"/>
      <c r="AI340" s="208"/>
      <c r="AJ340" s="208"/>
      <c r="AK340" s="208"/>
    </row>
    <row r="341" hidden="1">
      <c r="A341" s="209">
        <f>IFERROR(__xludf.DUMMYFUNCTION("""COMPUTED_VALUE"""),46110.0)</f>
        <v>46110</v>
      </c>
      <c r="B341" s="210">
        <f>IFERROR(__xludf.DUMMYFUNCTION("""COMPUTED_VALUE"""),0.4583333333321207)</f>
        <v>0.4583333333</v>
      </c>
      <c r="C341" s="211" t="str">
        <f>IFERROR(__xludf.DUMMYFUNCTION("""COMPUTED_VALUE"""),"Whatsapp")</f>
        <v>Whatsapp</v>
      </c>
      <c r="D341" s="211" t="str">
        <f>IFERROR(__xludf.DUMMYFUNCTION("""COMPUTED_VALUE"""),"Promotional")</f>
        <v>Promotional</v>
      </c>
      <c r="E341" s="211" t="str">
        <f>IFERROR(__xludf.DUMMYFUNCTION("""COMPUTED_VALUE"""),"BBW")</f>
        <v>BBW</v>
      </c>
      <c r="F341" s="211" t="str">
        <f>IFERROR(__xludf.DUMMYFUNCTION("""COMPUTED_VALUE"""),"bcat999")</f>
        <v>bcat999</v>
      </c>
      <c r="G341" s="212" t="str">
        <f>IFERROR(__xludf.DUMMYFUNCTION("""COMPUTED_VALUE"""),"bbw_wa_29mar_bcat999_bc_lastreminder_atc_on")</f>
        <v>bbw_wa_29mar_bcat999_bc_lastreminder_atc_on</v>
      </c>
      <c r="H341" s="212" t="str">
        <f>IFERROR(__xludf.DUMMYFUNCTION("""COMPUTED_VALUE"""),"ATC_BC_90D_ON")</f>
        <v>ATC_BC_90D_ON</v>
      </c>
      <c r="I341" s="212" t="str">
        <f>IFERROR(__xludf.DUMMYFUNCTION("""COMPUTED_VALUE"""),"Online Customers who have added to cart at least 1 time from BodyCare in the last 90 days")</f>
        <v>Online Customers who have added to cart at least 1 time from BodyCare in the last 90 days</v>
      </c>
      <c r="J341" s="213">
        <f>IFERROR(__xludf.DUMMYFUNCTION("""COMPUTED_VALUE"""),6460.0)</f>
        <v>6460</v>
      </c>
      <c r="K341" s="213">
        <f>IFERROR(__xludf.DUMMYFUNCTION("""COMPUTED_VALUE"""),2218.0)</f>
        <v>2218</v>
      </c>
      <c r="L341" s="214">
        <f>IFERROR(__xludf.DUMMYFUNCTION("""COMPUTED_VALUE"""),0.3433)</f>
        <v>0.3433</v>
      </c>
      <c r="M341" s="213">
        <f>IFERROR(__xludf.DUMMYFUNCTION("""COMPUTED_VALUE"""),933.0)</f>
        <v>933</v>
      </c>
      <c r="N341" s="214">
        <f>IFERROR(__xludf.DUMMYFUNCTION("""COMPUTED_VALUE"""),0.4912)</f>
        <v>0.4912</v>
      </c>
      <c r="O341" s="213">
        <f>IFERROR(__xludf.DUMMYFUNCTION("""COMPUTED_VALUE"""),127.0)</f>
        <v>127</v>
      </c>
      <c r="P341" s="213">
        <f>IFERROR(__xludf.DUMMYFUNCTION("""COMPUTED_VALUE"""),118.0)</f>
        <v>118</v>
      </c>
      <c r="Q341" s="214">
        <f>IFERROR(__xludf.DUMMYFUNCTION("""COMPUTED_VALUE"""),0.0628)</f>
        <v>0.0628</v>
      </c>
      <c r="R341" s="214">
        <f>IFERROR(__xludf.DUMMYFUNCTION("""COMPUTED_VALUE"""),0.1278)</f>
        <v>0.1278</v>
      </c>
      <c r="S341" s="101">
        <f>IFERROR(__xludf.DUMMYFUNCTION("""COMPUTED_VALUE"""),1.0)</f>
        <v>1</v>
      </c>
      <c r="T341" s="101">
        <f>IFERROR(__xludf.DUMMYFUNCTION("""COMPUTED_VALUE"""),21.0)</f>
        <v>21</v>
      </c>
      <c r="U341" s="270">
        <f>IFERROR(__xludf.DUMMYFUNCTION("""COMPUTED_VALUE"""),1998.0)</f>
        <v>1998</v>
      </c>
      <c r="V341" s="271" t="str">
        <f>IFERROR(__xludf.DUMMYFUNCTION("""COMPUTED_VALUE"""),"online")</f>
        <v>online</v>
      </c>
      <c r="W341" s="272" t="str">
        <f>IFERROR(__xludf.DUMMYFUNCTION("""COMPUTED_VALUE"""),"simple")</f>
        <v>simple</v>
      </c>
      <c r="X341" s="272" t="str">
        <f>IFERROR(__xludf.DUMMYFUNCTION("""COMPUTED_VALUE"""),"ATC")</f>
        <v>ATC</v>
      </c>
      <c r="Y341" s="272" t="str">
        <f>IFERROR(__xludf.DUMMYFUNCTION("""COMPUTED_VALUE"""),"29-30 March")</f>
        <v>29-30 March</v>
      </c>
      <c r="Z341" s="272" t="str">
        <f>IFERROR(__xludf.DUMMYFUNCTION("""COMPUTED_VALUE"""),"69c6532b0d5ffa33dee4d19c")</f>
        <v>69c6532b0d5ffa33dee4d19c</v>
      </c>
      <c r="AA341" s="272">
        <f>IFERROR(__xludf.DUMMYFUNCTION("""COMPUTED_VALUE"""),4.0)</f>
        <v>4</v>
      </c>
      <c r="AB341" s="272">
        <f>IFERROR(__xludf.DUMMYFUNCTION("""COMPUTED_VALUE"""),4.0)</f>
        <v>4</v>
      </c>
      <c r="AC341" s="272"/>
      <c r="AD341" s="272">
        <f>IFERROR(__xludf.DUMMYFUNCTION("""COMPUTED_VALUE"""),9990.0)</f>
        <v>9990</v>
      </c>
      <c r="AE341" s="272">
        <f>IFERROR(__xludf.DUMMYFUNCTION("""COMPUTED_VALUE"""),9990.0)</f>
        <v>9990</v>
      </c>
      <c r="AF341" s="272"/>
      <c r="AG341" s="208"/>
      <c r="AH341" s="208"/>
      <c r="AI341" s="208"/>
      <c r="AJ341" s="208"/>
      <c r="AK341" s="208"/>
    </row>
    <row r="342" hidden="1">
      <c r="A342" s="209">
        <f>IFERROR(__xludf.DUMMYFUNCTION("""COMPUTED_VALUE"""),46110.0)</f>
        <v>46110</v>
      </c>
      <c r="B342" s="210">
        <f>IFERROR(__xludf.DUMMYFUNCTION("""COMPUTED_VALUE"""),0.4583333333321207)</f>
        <v>0.4583333333</v>
      </c>
      <c r="C342" s="211" t="str">
        <f>IFERROR(__xludf.DUMMYFUNCTION("""COMPUTED_VALUE"""),"Whatsapp")</f>
        <v>Whatsapp</v>
      </c>
      <c r="D342" s="211" t="str">
        <f>IFERROR(__xludf.DUMMYFUNCTION("""COMPUTED_VALUE"""),"Promotional")</f>
        <v>Promotional</v>
      </c>
      <c r="E342" s="211" t="str">
        <f>IFERROR(__xludf.DUMMYFUNCTION("""COMPUTED_VALUE"""),"BBW")</f>
        <v>BBW</v>
      </c>
      <c r="F342" s="211" t="str">
        <f>IFERROR(__xludf.DUMMYFUNCTION("""COMPUTED_VALUE"""),"bcat999")</f>
        <v>bcat999</v>
      </c>
      <c r="G342" s="212" t="str">
        <f>IFERROR(__xludf.DUMMYFUNCTION("""COMPUTED_VALUE"""),"bbw_wa_29mar_bcat999_bc_lastreminder_itemviewed")</f>
        <v>bbw_wa_29mar_bcat999_bc_lastreminder_itemviewed</v>
      </c>
      <c r="H342" s="212" t="str">
        <f>IFERROR(__xludf.DUMMYFUNCTION("""COMPUTED_VALUE"""),"View_BC_1time_60D_ON")</f>
        <v>View_BC_1time_60D_ON</v>
      </c>
      <c r="I342" s="212" t="str">
        <f>IFERROR(__xludf.DUMMYFUNCTION("""COMPUTED_VALUE"""),"Online Customers who have viewed items at least 1 time from BodyCare in the last 60 days")</f>
        <v>Online Customers who have viewed items at least 1 time from BodyCare in the last 60 days</v>
      </c>
      <c r="J342" s="213">
        <f>IFERROR(__xludf.DUMMYFUNCTION("""COMPUTED_VALUE"""),784.0)</f>
        <v>784</v>
      </c>
      <c r="K342" s="213">
        <f>IFERROR(__xludf.DUMMYFUNCTION("""COMPUTED_VALUE"""),299.0)</f>
        <v>299</v>
      </c>
      <c r="L342" s="214">
        <f>IFERROR(__xludf.DUMMYFUNCTION("""COMPUTED_VALUE"""),0.3814)</f>
        <v>0.3814</v>
      </c>
      <c r="M342" s="213">
        <f>IFERROR(__xludf.DUMMYFUNCTION("""COMPUTED_VALUE"""),147.0)</f>
        <v>147</v>
      </c>
      <c r="N342" s="214">
        <f>IFERROR(__xludf.DUMMYFUNCTION("""COMPUTED_VALUE"""),0.5902)</f>
        <v>0.5902</v>
      </c>
      <c r="O342" s="213">
        <f>IFERROR(__xludf.DUMMYFUNCTION("""COMPUTED_VALUE"""),25.0)</f>
        <v>25</v>
      </c>
      <c r="P342" s="213">
        <f>IFERROR(__xludf.DUMMYFUNCTION("""COMPUTED_VALUE"""),23.0)</f>
        <v>23</v>
      </c>
      <c r="Q342" s="214">
        <f>IFERROR(__xludf.DUMMYFUNCTION("""COMPUTED_VALUE"""),0.0943)</f>
        <v>0.0943</v>
      </c>
      <c r="R342" s="214">
        <f>IFERROR(__xludf.DUMMYFUNCTION("""COMPUTED_VALUE"""),0.1597)</f>
        <v>0.1597</v>
      </c>
      <c r="S342" s="101">
        <f>IFERROR(__xludf.DUMMYFUNCTION("""COMPUTED_VALUE"""),1.0)</f>
        <v>1</v>
      </c>
      <c r="T342" s="101">
        <f>IFERROR(__xludf.DUMMYFUNCTION("""COMPUTED_VALUE"""),6.0)</f>
        <v>6</v>
      </c>
      <c r="U342" s="270">
        <f>IFERROR(__xludf.DUMMYFUNCTION("""COMPUTED_VALUE"""),1798.0)</f>
        <v>1798</v>
      </c>
      <c r="V342" s="271" t="str">
        <f>IFERROR(__xludf.DUMMYFUNCTION("""COMPUTED_VALUE"""),"online")</f>
        <v>online</v>
      </c>
      <c r="W342" s="272" t="str">
        <f>IFERROR(__xludf.DUMMYFUNCTION("""COMPUTED_VALUE"""),"simple")</f>
        <v>simple</v>
      </c>
      <c r="X342" s="272" t="str">
        <f>IFERROR(__xludf.DUMMYFUNCTION("""COMPUTED_VALUE"""),"View Item")</f>
        <v>View Item</v>
      </c>
      <c r="Y342" s="272" t="str">
        <f>IFERROR(__xludf.DUMMYFUNCTION("""COMPUTED_VALUE"""),"29-30 March")</f>
        <v>29-30 March</v>
      </c>
      <c r="Z342" s="272" t="str">
        <f>IFERROR(__xludf.DUMMYFUNCTION("""COMPUTED_VALUE"""),"69c65334fa260e6810d143c4")</f>
        <v>69c65334fa260e6810d143c4</v>
      </c>
      <c r="AA342" s="272">
        <f>IFERROR(__xludf.DUMMYFUNCTION("""COMPUTED_VALUE"""),0.0)</f>
        <v>0</v>
      </c>
      <c r="AB342" s="272">
        <f>IFERROR(__xludf.DUMMYFUNCTION("""COMPUTED_VALUE"""),0.0)</f>
        <v>0</v>
      </c>
      <c r="AC342" s="272"/>
      <c r="AD342" s="272">
        <f>IFERROR(__xludf.DUMMYFUNCTION("""COMPUTED_VALUE"""),0.0)</f>
        <v>0</v>
      </c>
      <c r="AE342" s="272">
        <f>IFERROR(__xludf.DUMMYFUNCTION("""COMPUTED_VALUE"""),0.0)</f>
        <v>0</v>
      </c>
      <c r="AF342" s="272"/>
      <c r="AG342" s="208"/>
      <c r="AH342" s="208"/>
      <c r="AI342" s="208"/>
      <c r="AJ342" s="208"/>
      <c r="AK342" s="208"/>
    </row>
    <row r="343" hidden="1">
      <c r="A343" s="209">
        <f>IFERROR(__xludf.DUMMYFUNCTION("""COMPUTED_VALUE"""),46110.0)</f>
        <v>46110</v>
      </c>
      <c r="B343" s="210">
        <f>IFERROR(__xludf.DUMMYFUNCTION("""COMPUTED_VALUE"""),0.4583333333321207)</f>
        <v>0.4583333333</v>
      </c>
      <c r="C343" s="211" t="str">
        <f>IFERROR(__xludf.DUMMYFUNCTION("""COMPUTED_VALUE"""),"Whatsapp")</f>
        <v>Whatsapp</v>
      </c>
      <c r="D343" s="211" t="str">
        <f>IFERROR(__xludf.DUMMYFUNCTION("""COMPUTED_VALUE"""),"Promotional")</f>
        <v>Promotional</v>
      </c>
      <c r="E343" s="211" t="str">
        <f>IFERROR(__xludf.DUMMYFUNCTION("""COMPUTED_VALUE"""),"BBW")</f>
        <v>BBW</v>
      </c>
      <c r="F343" s="211" t="str">
        <f>IFERROR(__xludf.DUMMYFUNCTION("""COMPUTED_VALUE"""),"bcat999")</f>
        <v>bcat999</v>
      </c>
      <c r="G343" s="212" t="str">
        <f>IFERROR(__xludf.DUMMYFUNCTION("""COMPUTED_VALUE"""),"bbw_wa_29mar_bcat999_bc_lastreminder_bcmax_on")</f>
        <v>bbw_wa_29mar_bcat999_bc_lastreminder_bcmax_on</v>
      </c>
      <c r="H343" s="212" t="str">
        <f>IFERROR(__xludf.DUMMYFUNCTION("""COMPUTED_VALUE"""),"BC_999max_1Y_ON")</f>
        <v>BC_999max_1Y_ON</v>
      </c>
      <c r="I343" s="212" t="str">
        <f>IFERROR(__xludf.DUMMYFUNCTION("""COMPUTED_VALUE"""),"Online Customers who have purchased from BodyCare at least 1 times with max order value ₹999 in the last 365 days")</f>
        <v>Online Customers who have purchased from BodyCare at least 1 times with max order value ₹999 in the last 365 days</v>
      </c>
      <c r="J343" s="213">
        <f>IFERROR(__xludf.DUMMYFUNCTION("""COMPUTED_VALUE"""),10515.0)</f>
        <v>10515</v>
      </c>
      <c r="K343" s="213">
        <f>IFERROR(__xludf.DUMMYFUNCTION("""COMPUTED_VALUE"""),3841.0)</f>
        <v>3841</v>
      </c>
      <c r="L343" s="214">
        <f>IFERROR(__xludf.DUMMYFUNCTION("""COMPUTED_VALUE"""),0.3653)</f>
        <v>0.3653</v>
      </c>
      <c r="M343" s="213">
        <f>IFERROR(__xludf.DUMMYFUNCTION("""COMPUTED_VALUE"""),1631.0)</f>
        <v>1631</v>
      </c>
      <c r="N343" s="214">
        <f>IFERROR(__xludf.DUMMYFUNCTION("""COMPUTED_VALUE"""),0.5033)</f>
        <v>0.5033</v>
      </c>
      <c r="O343" s="213">
        <f>IFERROR(__xludf.DUMMYFUNCTION("""COMPUTED_VALUE"""),157.0)</f>
        <v>157</v>
      </c>
      <c r="P343" s="213">
        <f>IFERROR(__xludf.DUMMYFUNCTION("""COMPUTED_VALUE"""),142.0)</f>
        <v>142</v>
      </c>
      <c r="Q343" s="214">
        <f>IFERROR(__xludf.DUMMYFUNCTION("""COMPUTED_VALUE"""),0.0444)</f>
        <v>0.0444</v>
      </c>
      <c r="R343" s="214">
        <f>IFERROR(__xludf.DUMMYFUNCTION("""COMPUTED_VALUE"""),0.0883)</f>
        <v>0.0883</v>
      </c>
      <c r="S343" s="101">
        <f>IFERROR(__xludf.DUMMYFUNCTION("""COMPUTED_VALUE"""),3.0)</f>
        <v>3</v>
      </c>
      <c r="T343" s="101">
        <f>IFERROR(__xludf.DUMMYFUNCTION("""COMPUTED_VALUE"""),3.0)</f>
        <v>3</v>
      </c>
      <c r="U343" s="270">
        <f>IFERROR(__xludf.DUMMYFUNCTION("""COMPUTED_VALUE"""),3894.0)</f>
        <v>3894</v>
      </c>
      <c r="V343" s="271" t="str">
        <f>IFERROR(__xludf.DUMMYFUNCTION("""COMPUTED_VALUE"""),"online")</f>
        <v>online</v>
      </c>
      <c r="W343" s="272" t="str">
        <f>IFERROR(__xludf.DUMMYFUNCTION("""COMPUTED_VALUE"""),"simple")</f>
        <v>simple</v>
      </c>
      <c r="X343" s="272" t="str">
        <f>IFERROR(__xludf.DUMMYFUNCTION("""COMPUTED_VALUE"""),"Cart Value")</f>
        <v>Cart Value</v>
      </c>
      <c r="Y343" s="272" t="str">
        <f>IFERROR(__xludf.DUMMYFUNCTION("""COMPUTED_VALUE"""),"29-30 March")</f>
        <v>29-30 March</v>
      </c>
      <c r="Z343" s="272" t="str">
        <f>IFERROR(__xludf.DUMMYFUNCTION("""COMPUTED_VALUE"""),"69c653b3d6fd9ff4f3b16bc3")</f>
        <v>69c653b3d6fd9ff4f3b16bc3</v>
      </c>
      <c r="AA343" s="272">
        <f>IFERROR(__xludf.DUMMYFUNCTION("""COMPUTED_VALUE"""),13.0)</f>
        <v>13</v>
      </c>
      <c r="AB343" s="272">
        <f>IFERROR(__xludf.DUMMYFUNCTION("""COMPUTED_VALUE"""),13.0)</f>
        <v>13</v>
      </c>
      <c r="AC343" s="272"/>
      <c r="AD343" s="272">
        <f>IFERROR(__xludf.DUMMYFUNCTION("""COMPUTED_VALUE"""),20979.0)</f>
        <v>20979</v>
      </c>
      <c r="AE343" s="272">
        <f>IFERROR(__xludf.DUMMYFUNCTION("""COMPUTED_VALUE"""),20979.0)</f>
        <v>20979</v>
      </c>
      <c r="AF343" s="272"/>
      <c r="AG343" s="208"/>
      <c r="AH343" s="208"/>
      <c r="AI343" s="208"/>
      <c r="AJ343" s="208"/>
      <c r="AK343" s="208"/>
    </row>
    <row r="344" hidden="1">
      <c r="A344" s="209">
        <f>IFERROR(__xludf.DUMMYFUNCTION("""COMPUTED_VALUE"""),46110.0)</f>
        <v>46110</v>
      </c>
      <c r="B344" s="210">
        <f>IFERROR(__xludf.DUMMYFUNCTION("""COMPUTED_VALUE"""),0.4583333333321207)</f>
        <v>0.4583333333</v>
      </c>
      <c r="C344" s="211" t="str">
        <f>IFERROR(__xludf.DUMMYFUNCTION("""COMPUTED_VALUE"""),"Whatsapp")</f>
        <v>Whatsapp</v>
      </c>
      <c r="D344" s="211" t="str">
        <f>IFERROR(__xludf.DUMMYFUNCTION("""COMPUTED_VALUE"""),"Promotional")</f>
        <v>Promotional</v>
      </c>
      <c r="E344" s="211" t="str">
        <f>IFERROR(__xludf.DUMMYFUNCTION("""COMPUTED_VALUE"""),"BBW")</f>
        <v>BBW</v>
      </c>
      <c r="F344" s="211" t="str">
        <f>IFERROR(__xludf.DUMMYFUNCTION("""COMPUTED_VALUE"""),"bcat999")</f>
        <v>bcat999</v>
      </c>
      <c r="G344" s="212" t="str">
        <f>IFERROR(__xludf.DUMMYFUNCTION("""COMPUTED_VALUE"""),"bbw_wa_29mar_bcat999_bc_lastreminder_event_on")</f>
        <v>bbw_wa_29mar_bcat999_bc_lastreminder_event_on</v>
      </c>
      <c r="H344" s="212" t="str">
        <f>IFERROR(__xludf.DUMMYFUNCTION("""COMPUTED_VALUE"""),"BC_EventBuyers_ON")</f>
        <v>BC_EventBuyers_ON</v>
      </c>
      <c r="I344" s="212" t="str">
        <f>IFERROR(__xludf.DUMMYFUNCTION("""COMPUTED_VALUE"""),"Online Customers who have purchased at least 1 time from BodyCare in between 2-5 Oct 2025, 16-27 Oct 2025, 9-18 Jan 2026, 26 Feb - 3 Mar 2026")</f>
        <v>Online Customers who have purchased at least 1 time from BodyCare in between 2-5 Oct 2025, 16-27 Oct 2025, 9-18 Jan 2026, 26 Feb - 3 Mar 2026</v>
      </c>
      <c r="J344" s="213">
        <f>IFERROR(__xludf.DUMMYFUNCTION("""COMPUTED_VALUE"""),2852.0)</f>
        <v>2852</v>
      </c>
      <c r="K344" s="213">
        <f>IFERROR(__xludf.DUMMYFUNCTION("""COMPUTED_VALUE"""),979.0)</f>
        <v>979</v>
      </c>
      <c r="L344" s="214">
        <f>IFERROR(__xludf.DUMMYFUNCTION("""COMPUTED_VALUE"""),0.3433)</f>
        <v>0.3433</v>
      </c>
      <c r="M344" s="213">
        <f>IFERROR(__xludf.DUMMYFUNCTION("""COMPUTED_VALUE"""),396.0)</f>
        <v>396</v>
      </c>
      <c r="N344" s="214">
        <f>IFERROR(__xludf.DUMMYFUNCTION("""COMPUTED_VALUE"""),0.4723)</f>
        <v>0.4723</v>
      </c>
      <c r="O344" s="213">
        <f>IFERROR(__xludf.DUMMYFUNCTION("""COMPUTED_VALUE"""),42.0)</f>
        <v>42</v>
      </c>
      <c r="P344" s="213">
        <f>IFERROR(__xludf.DUMMYFUNCTION("""COMPUTED_VALUE"""),35.0)</f>
        <v>35</v>
      </c>
      <c r="Q344" s="214">
        <f>IFERROR(__xludf.DUMMYFUNCTION("""COMPUTED_VALUE"""),0.0422)</f>
        <v>0.0422</v>
      </c>
      <c r="R344" s="214">
        <f>IFERROR(__xludf.DUMMYFUNCTION("""COMPUTED_VALUE"""),0.0893)</f>
        <v>0.0893</v>
      </c>
      <c r="S344" s="101">
        <f>IFERROR(__xludf.DUMMYFUNCTION("""COMPUTED_VALUE"""),1.0)</f>
        <v>1</v>
      </c>
      <c r="T344" s="101">
        <f>IFERROR(__xludf.DUMMYFUNCTION("""COMPUTED_VALUE"""),2.0)</f>
        <v>2</v>
      </c>
      <c r="U344" s="270">
        <f>IFERROR(__xludf.DUMMYFUNCTION("""COMPUTED_VALUE"""),3996.0)</f>
        <v>3996</v>
      </c>
      <c r="V344" s="271" t="str">
        <f>IFERROR(__xludf.DUMMYFUNCTION("""COMPUTED_VALUE"""),"online")</f>
        <v>online</v>
      </c>
      <c r="W344" s="272" t="str">
        <f>IFERROR(__xludf.DUMMYFUNCTION("""COMPUTED_VALUE"""),"simple")</f>
        <v>simple</v>
      </c>
      <c r="X344" s="272" t="str">
        <f>IFERROR(__xludf.DUMMYFUNCTION("""COMPUTED_VALUE"""),"Event Buyers")</f>
        <v>Event Buyers</v>
      </c>
      <c r="Y344" s="272" t="str">
        <f>IFERROR(__xludf.DUMMYFUNCTION("""COMPUTED_VALUE"""),"29-30 March")</f>
        <v>29-30 March</v>
      </c>
      <c r="Z344" s="272" t="str">
        <f>IFERROR(__xludf.DUMMYFUNCTION("""COMPUTED_VALUE"""),"69c653cdd9cb75f9e7cb8064")</f>
        <v>69c653cdd9cb75f9e7cb8064</v>
      </c>
      <c r="AA344" s="272">
        <f>IFERROR(__xludf.DUMMYFUNCTION("""COMPUTED_VALUE"""),8.0)</f>
        <v>8</v>
      </c>
      <c r="AB344" s="272">
        <f>IFERROR(__xludf.DUMMYFUNCTION("""COMPUTED_VALUE"""),8.0)</f>
        <v>8</v>
      </c>
      <c r="AC344" s="272"/>
      <c r="AD344" s="272">
        <f>IFERROR(__xludf.DUMMYFUNCTION("""COMPUTED_VALUE"""),30364.0)</f>
        <v>30364</v>
      </c>
      <c r="AE344" s="272">
        <f>IFERROR(__xludf.DUMMYFUNCTION("""COMPUTED_VALUE"""),30364.0)</f>
        <v>30364</v>
      </c>
      <c r="AF344" s="272"/>
      <c r="AG344" s="208"/>
      <c r="AH344" s="208"/>
      <c r="AI344" s="208"/>
      <c r="AJ344" s="208"/>
      <c r="AK344" s="208"/>
    </row>
    <row r="345" hidden="1">
      <c r="A345" s="209">
        <f>IFERROR(__xludf.DUMMYFUNCTION("""COMPUTED_VALUE"""),46110.0)</f>
        <v>46110</v>
      </c>
      <c r="B345" s="210">
        <f>IFERROR(__xludf.DUMMYFUNCTION("""COMPUTED_VALUE"""),0.4583333333321207)</f>
        <v>0.4583333333</v>
      </c>
      <c r="C345" s="211" t="str">
        <f>IFERROR(__xludf.DUMMYFUNCTION("""COMPUTED_VALUE"""),"Whatsapp")</f>
        <v>Whatsapp</v>
      </c>
      <c r="D345" s="211" t="str">
        <f>IFERROR(__xludf.DUMMYFUNCTION("""COMPUTED_VALUE"""),"Promotional")</f>
        <v>Promotional</v>
      </c>
      <c r="E345" s="211" t="str">
        <f>IFERROR(__xludf.DUMMYFUNCTION("""COMPUTED_VALUE"""),"BBW")</f>
        <v>BBW</v>
      </c>
      <c r="F345" s="211" t="str">
        <f>IFERROR(__xludf.DUMMYFUNCTION("""COMPUTED_VALUE"""),"bcat999")</f>
        <v>bcat999</v>
      </c>
      <c r="G345" s="212" t="str">
        <f>IFERROR(__xludf.DUMMYFUNCTION("""COMPUTED_VALUE"""),"bbw_wa_29mar_bcat999_bc_lastreminder_discount_on")</f>
        <v>bbw_wa_29mar_bcat999_bc_lastreminder_discount_on</v>
      </c>
      <c r="H345" s="212" t="str">
        <f>IFERROR(__xludf.DUMMYFUNCTION("""COMPUTED_VALUE"""),"Disc_Buyer_365D_ON")</f>
        <v>Disc_Buyer_365D_ON</v>
      </c>
      <c r="I345" s="212" t="str">
        <f>IFERROR(__xludf.DUMMYFUNCTION("""COMPUTED_VALUE"""),"Online Customers who have purchased at least 1 time with discount in the last 365 days")</f>
        <v>Online Customers who have purchased at least 1 time with discount in the last 365 days</v>
      </c>
      <c r="J345" s="213">
        <f>IFERROR(__xludf.DUMMYFUNCTION("""COMPUTED_VALUE"""),61689.0)</f>
        <v>61689</v>
      </c>
      <c r="K345" s="213">
        <f>IFERROR(__xludf.DUMMYFUNCTION("""COMPUTED_VALUE"""),22390.0)</f>
        <v>22390</v>
      </c>
      <c r="L345" s="214">
        <f>IFERROR(__xludf.DUMMYFUNCTION("""COMPUTED_VALUE"""),0.3629)</f>
        <v>0.3629</v>
      </c>
      <c r="M345" s="213">
        <f>IFERROR(__xludf.DUMMYFUNCTION("""COMPUTED_VALUE"""),8231.0)</f>
        <v>8231</v>
      </c>
      <c r="N345" s="214">
        <f>IFERROR(__xludf.DUMMYFUNCTION("""COMPUTED_VALUE"""),0.4053)</f>
        <v>0.4053</v>
      </c>
      <c r="O345" s="213">
        <f>IFERROR(__xludf.DUMMYFUNCTION("""COMPUTED_VALUE"""),736.0)</f>
        <v>736</v>
      </c>
      <c r="P345" s="213">
        <f>IFERROR(__xludf.DUMMYFUNCTION("""COMPUTED_VALUE"""),681.0)</f>
        <v>681</v>
      </c>
      <c r="Q345" s="214">
        <f>IFERROR(__xludf.DUMMYFUNCTION("""COMPUTED_VALUE"""),0.0339)</f>
        <v>0.0339</v>
      </c>
      <c r="R345" s="214">
        <f>IFERROR(__xludf.DUMMYFUNCTION("""COMPUTED_VALUE"""),0.0836)</f>
        <v>0.0836</v>
      </c>
      <c r="S345" s="101">
        <f>IFERROR(__xludf.DUMMYFUNCTION("""COMPUTED_VALUE"""),4.0)</f>
        <v>4</v>
      </c>
      <c r="T345" s="101">
        <f>IFERROR(__xludf.DUMMYFUNCTION("""COMPUTED_VALUE"""),12.0)</f>
        <v>12</v>
      </c>
      <c r="U345" s="270">
        <f>IFERROR(__xludf.DUMMYFUNCTION("""COMPUTED_VALUE"""),4742.0)</f>
        <v>4742</v>
      </c>
      <c r="V345" s="271" t="str">
        <f>IFERROR(__xludf.DUMMYFUNCTION("""COMPUTED_VALUE"""),"online")</f>
        <v>online</v>
      </c>
      <c r="W345" s="272" t="str">
        <f>IFERROR(__xludf.DUMMYFUNCTION("""COMPUTED_VALUE"""),"simple")</f>
        <v>simple</v>
      </c>
      <c r="X345" s="272" t="str">
        <f>IFERROR(__xludf.DUMMYFUNCTION("""COMPUTED_VALUE"""),"Discount Buyers")</f>
        <v>Discount Buyers</v>
      </c>
      <c r="Y345" s="272" t="str">
        <f>IFERROR(__xludf.DUMMYFUNCTION("""COMPUTED_VALUE"""),"29-30 March")</f>
        <v>29-30 March</v>
      </c>
      <c r="Z345" s="272" t="str">
        <f>IFERROR(__xludf.DUMMYFUNCTION("""COMPUTED_VALUE"""),"69c656353e1ea68cd79f334e")</f>
        <v>69c656353e1ea68cd79f334e</v>
      </c>
      <c r="AA345" s="272">
        <f>IFERROR(__xludf.DUMMYFUNCTION("""COMPUTED_VALUE"""),41.0)</f>
        <v>41</v>
      </c>
      <c r="AB345" s="272">
        <f>IFERROR(__xludf.DUMMYFUNCTION("""COMPUTED_VALUE"""),41.0)</f>
        <v>41</v>
      </c>
      <c r="AC345" s="272"/>
      <c r="AD345" s="272">
        <f>IFERROR(__xludf.DUMMYFUNCTION("""COMPUTED_VALUE"""),107892.0)</f>
        <v>107892</v>
      </c>
      <c r="AE345" s="272">
        <f>IFERROR(__xludf.DUMMYFUNCTION("""COMPUTED_VALUE"""),107892.0)</f>
        <v>107892</v>
      </c>
      <c r="AF345" s="272"/>
      <c r="AG345" s="208"/>
      <c r="AH345" s="208"/>
      <c r="AI345" s="208"/>
      <c r="AJ345" s="208"/>
      <c r="AK345" s="208"/>
    </row>
    <row r="346" hidden="1">
      <c r="A346" s="209">
        <f>IFERROR(__xludf.DUMMYFUNCTION("""COMPUTED_VALUE"""),46110.0)</f>
        <v>46110</v>
      </c>
      <c r="B346" s="210">
        <f>IFERROR(__xludf.DUMMYFUNCTION("""COMPUTED_VALUE"""),0.4583333333321207)</f>
        <v>0.4583333333</v>
      </c>
      <c r="C346" s="211" t="str">
        <f>IFERROR(__xludf.DUMMYFUNCTION("""COMPUTED_VALUE"""),"Whatsapp")</f>
        <v>Whatsapp</v>
      </c>
      <c r="D346" s="211" t="str">
        <f>IFERROR(__xludf.DUMMYFUNCTION("""COMPUTED_VALUE"""),"Promotional")</f>
        <v>Promotional</v>
      </c>
      <c r="E346" s="211" t="str">
        <f>IFERROR(__xludf.DUMMYFUNCTION("""COMPUTED_VALUE"""),"BBW")</f>
        <v>BBW</v>
      </c>
      <c r="F346" s="211" t="str">
        <f>IFERROR(__xludf.DUMMYFUNCTION("""COMPUTED_VALUE"""),"bcat999")</f>
        <v>bcat999</v>
      </c>
      <c r="G346" s="212" t="str">
        <f>IFERROR(__xludf.DUMMYFUNCTION("""COMPUTED_VALUE"""),"bbw_wa_29mar_bcat999_bc_lastreminder_appinstall_on")</f>
        <v>bbw_wa_29mar_bcat999_bc_lastreminder_appinstall_on</v>
      </c>
      <c r="H346" s="212" t="str">
        <f>IFERROR(__xludf.DUMMYFUNCTION("""COMPUTED_VALUE"""),"App_Install_No_Buy_60D")</f>
        <v>App_Install_No_Buy_60D</v>
      </c>
      <c r="I346" s="212" t="str">
        <f>IFERROR(__xludf.DUMMYFUNCTION("""COMPUTED_VALUE"""),"Online Users who have signed up to the app in the last 60 days but have not purchased")</f>
        <v>Online Users who have signed up to the app in the last 60 days but have not purchased</v>
      </c>
      <c r="J346" s="213">
        <f>IFERROR(__xludf.DUMMYFUNCTION("""COMPUTED_VALUE"""),939.0)</f>
        <v>939</v>
      </c>
      <c r="K346" s="213">
        <f>IFERROR(__xludf.DUMMYFUNCTION("""COMPUTED_VALUE"""),334.0)</f>
        <v>334</v>
      </c>
      <c r="L346" s="214">
        <f>IFERROR(__xludf.DUMMYFUNCTION("""COMPUTED_VALUE"""),0.3557)</f>
        <v>0.3557</v>
      </c>
      <c r="M346" s="213">
        <f>IFERROR(__xludf.DUMMYFUNCTION("""COMPUTED_VALUE"""),143.0)</f>
        <v>143</v>
      </c>
      <c r="N346" s="214">
        <f>IFERROR(__xludf.DUMMYFUNCTION("""COMPUTED_VALUE"""),0.542)</f>
        <v>0.542</v>
      </c>
      <c r="O346" s="213">
        <f>IFERROR(__xludf.DUMMYFUNCTION("""COMPUTED_VALUE"""),26.0)</f>
        <v>26</v>
      </c>
      <c r="P346" s="213">
        <f>IFERROR(__xludf.DUMMYFUNCTION("""COMPUTED_VALUE"""),20.0)</f>
        <v>20</v>
      </c>
      <c r="Q346" s="214">
        <f>IFERROR(__xludf.DUMMYFUNCTION("""COMPUTED_VALUE"""),0.0763)</f>
        <v>0.0763</v>
      </c>
      <c r="R346" s="214">
        <f>IFERROR(__xludf.DUMMYFUNCTION("""COMPUTED_VALUE"""),0.1408)</f>
        <v>0.1408</v>
      </c>
      <c r="S346" s="101">
        <f>IFERROR(__xludf.DUMMYFUNCTION("""COMPUTED_VALUE"""),0.0)</f>
        <v>0</v>
      </c>
      <c r="T346" s="101">
        <f>IFERROR(__xludf.DUMMYFUNCTION("""COMPUTED_VALUE"""),3.0)</f>
        <v>3</v>
      </c>
      <c r="U346" s="270">
        <f>IFERROR(__xludf.DUMMYFUNCTION("""COMPUTED_VALUE"""),0.0)</f>
        <v>0</v>
      </c>
      <c r="V346" s="271" t="str">
        <f>IFERROR(__xludf.DUMMYFUNCTION("""COMPUTED_VALUE"""),"online")</f>
        <v>online</v>
      </c>
      <c r="W346" s="272" t="str">
        <f>IFERROR(__xludf.DUMMYFUNCTION("""COMPUTED_VALUE"""),"simple")</f>
        <v>simple</v>
      </c>
      <c r="X346" s="272" t="str">
        <f>IFERROR(__xludf.DUMMYFUNCTION("""COMPUTED_VALUE"""),"App Users")</f>
        <v>App Users</v>
      </c>
      <c r="Y346" s="272" t="str">
        <f>IFERROR(__xludf.DUMMYFUNCTION("""COMPUTED_VALUE"""),"29-30 March")</f>
        <v>29-30 March</v>
      </c>
      <c r="Z346" s="272" t="str">
        <f>IFERROR(__xludf.DUMMYFUNCTION("""COMPUTED_VALUE"""),"69c657241f755ed7b1cd01b4")</f>
        <v>69c657241f755ed7b1cd01b4</v>
      </c>
      <c r="AA346" s="272">
        <f>IFERROR(__xludf.DUMMYFUNCTION("""COMPUTED_VALUE"""),0.0)</f>
        <v>0</v>
      </c>
      <c r="AB346" s="272">
        <f>IFERROR(__xludf.DUMMYFUNCTION("""COMPUTED_VALUE"""),0.0)</f>
        <v>0</v>
      </c>
      <c r="AC346" s="272"/>
      <c r="AD346" s="272">
        <f>IFERROR(__xludf.DUMMYFUNCTION("""COMPUTED_VALUE"""),0.0)</f>
        <v>0</v>
      </c>
      <c r="AE346" s="272">
        <f>IFERROR(__xludf.DUMMYFUNCTION("""COMPUTED_VALUE"""),0.0)</f>
        <v>0</v>
      </c>
      <c r="AF346" s="272"/>
      <c r="AG346" s="208"/>
      <c r="AH346" s="208"/>
      <c r="AI346" s="208"/>
      <c r="AJ346" s="208"/>
      <c r="AK346" s="208"/>
    </row>
    <row r="347" hidden="1">
      <c r="A347" s="209">
        <f>IFERROR(__xludf.DUMMYFUNCTION("""COMPUTED_VALUE"""),46110.0)</f>
        <v>46110</v>
      </c>
      <c r="B347" s="210">
        <f>IFERROR(__xludf.DUMMYFUNCTION("""COMPUTED_VALUE"""),0.4791666666678793)</f>
        <v>0.4791666667</v>
      </c>
      <c r="C347" s="211" t="str">
        <f>IFERROR(__xludf.DUMMYFUNCTION("""COMPUTED_VALUE"""),"Whatsapp")</f>
        <v>Whatsapp</v>
      </c>
      <c r="D347" s="211" t="str">
        <f>IFERROR(__xludf.DUMMYFUNCTION("""COMPUTED_VALUE"""),"Promotional")</f>
        <v>Promotional</v>
      </c>
      <c r="E347" s="211" t="str">
        <f>IFERROR(__xludf.DUMMYFUNCTION("""COMPUTED_VALUE"""),"BBW")</f>
        <v>BBW</v>
      </c>
      <c r="F347" s="211" t="str">
        <f>IFERROR(__xludf.DUMMYFUNCTION("""COMPUTED_VALUE"""),"bcat999")</f>
        <v>bcat999</v>
      </c>
      <c r="G347" s="212" t="str">
        <f>IFERROR(__xludf.DUMMYFUNCTION("""COMPUTED_VALUE"""),"bbw_wa_29mar_bcat999_bc_lastreminder_repeat_off")</f>
        <v>bbw_wa_29mar_bcat999_bc_lastreminder_repeat_off</v>
      </c>
      <c r="H347" s="212" t="str">
        <f>IFERROR(__xludf.DUMMYFUNCTION("""COMPUTED_VALUE"""),"BodyCare_Repeat_180D_OFF")</f>
        <v>BodyCare_Repeat_180D_OFF</v>
      </c>
      <c r="I347" s="212" t="str">
        <f>IFERROR(__xludf.DUMMYFUNCTION("""COMPUTED_VALUE"""),"Offline Customers who have purchased from BodyCare at least 2 times in the last 180 days")</f>
        <v>Offline Customers who have purchased from BodyCare at least 2 times in the last 180 days</v>
      </c>
      <c r="J347" s="213">
        <f>IFERROR(__xludf.DUMMYFUNCTION("""COMPUTED_VALUE"""),12023.0)</f>
        <v>12023</v>
      </c>
      <c r="K347" s="213">
        <f>IFERROR(__xludf.DUMMYFUNCTION("""COMPUTED_VALUE"""),3382.0)</f>
        <v>3382</v>
      </c>
      <c r="L347" s="214">
        <f>IFERROR(__xludf.DUMMYFUNCTION("""COMPUTED_VALUE"""),0.2813)</f>
        <v>0.2813</v>
      </c>
      <c r="M347" s="213">
        <f>IFERROR(__xludf.DUMMYFUNCTION("""COMPUTED_VALUE"""),1575.0)</f>
        <v>1575</v>
      </c>
      <c r="N347" s="214">
        <f>IFERROR(__xludf.DUMMYFUNCTION("""COMPUTED_VALUE"""),0.4657)</f>
        <v>0.4657</v>
      </c>
      <c r="O347" s="213">
        <f>IFERROR(__xludf.DUMMYFUNCTION("""COMPUTED_VALUE"""),176.0)</f>
        <v>176</v>
      </c>
      <c r="P347" s="213">
        <f>IFERROR(__xludf.DUMMYFUNCTION("""COMPUTED_VALUE"""),164.0)</f>
        <v>164</v>
      </c>
      <c r="Q347" s="214">
        <f>IFERROR(__xludf.DUMMYFUNCTION("""COMPUTED_VALUE"""),0.0485)</f>
        <v>0.0485</v>
      </c>
      <c r="R347" s="214">
        <f>IFERROR(__xludf.DUMMYFUNCTION("""COMPUTED_VALUE"""),0.1041)</f>
        <v>0.1041</v>
      </c>
      <c r="S347" s="101">
        <f>IFERROR(__xludf.DUMMYFUNCTION("""COMPUTED_VALUE"""),0.0)</f>
        <v>0</v>
      </c>
      <c r="T347" s="101">
        <f>IFERROR(__xludf.DUMMYFUNCTION("""COMPUTED_VALUE"""),1.0)</f>
        <v>1</v>
      </c>
      <c r="U347" s="270">
        <f>IFERROR(__xludf.DUMMYFUNCTION("""COMPUTED_VALUE"""),0.0)</f>
        <v>0</v>
      </c>
      <c r="V347" s="271" t="str">
        <f>IFERROR(__xludf.DUMMYFUNCTION("""COMPUTED_VALUE"""),"offline")</f>
        <v>offline</v>
      </c>
      <c r="W347" s="272" t="str">
        <f>IFERROR(__xludf.DUMMYFUNCTION("""COMPUTED_VALUE"""),"simple")</f>
        <v>simple</v>
      </c>
      <c r="X347" s="272" t="str">
        <f>IFERROR(__xludf.DUMMYFUNCTION("""COMPUTED_VALUE"""),"Cat Repeat")</f>
        <v>Cat Repeat</v>
      </c>
      <c r="Y347" s="272" t="str">
        <f>IFERROR(__xludf.DUMMYFUNCTION("""COMPUTED_VALUE"""),"29-30 March")</f>
        <v>29-30 March</v>
      </c>
      <c r="Z347" s="272" t="str">
        <f>IFERROR(__xludf.DUMMYFUNCTION("""COMPUTED_VALUE"""),"69c65f8cd6fd9ff4f3b16fce")</f>
        <v>69c65f8cd6fd9ff4f3b16fce</v>
      </c>
      <c r="AA347" s="272">
        <f>IFERROR(__xludf.DUMMYFUNCTION("""COMPUTED_VALUE"""),41.0)</f>
        <v>41</v>
      </c>
      <c r="AB347" s="272"/>
      <c r="AC347" s="272">
        <f>IFERROR(__xludf.DUMMYFUNCTION("""COMPUTED_VALUE"""),41.0)</f>
        <v>41</v>
      </c>
      <c r="AD347" s="272">
        <f>IFERROR(__xludf.DUMMYFUNCTION("""COMPUTED_VALUE"""),197386.0)</f>
        <v>197386</v>
      </c>
      <c r="AE347" s="272"/>
      <c r="AF347" s="272">
        <f>IFERROR(__xludf.DUMMYFUNCTION("""COMPUTED_VALUE"""),197386.0)</f>
        <v>197386</v>
      </c>
      <c r="AG347" s="208"/>
      <c r="AH347" s="208"/>
      <c r="AI347" s="208"/>
      <c r="AJ347" s="208"/>
      <c r="AK347" s="208"/>
    </row>
    <row r="348" hidden="1">
      <c r="A348" s="209">
        <f>IFERROR(__xludf.DUMMYFUNCTION("""COMPUTED_VALUE"""),46110.0)</f>
        <v>46110</v>
      </c>
      <c r="B348" s="210">
        <f>IFERROR(__xludf.DUMMYFUNCTION("""COMPUTED_VALUE"""),0.4791666666678793)</f>
        <v>0.4791666667</v>
      </c>
      <c r="C348" s="211" t="str">
        <f>IFERROR(__xludf.DUMMYFUNCTION("""COMPUTED_VALUE"""),"Whatsapp")</f>
        <v>Whatsapp</v>
      </c>
      <c r="D348" s="211" t="str">
        <f>IFERROR(__xludf.DUMMYFUNCTION("""COMPUTED_VALUE"""),"Promotional")</f>
        <v>Promotional</v>
      </c>
      <c r="E348" s="211" t="str">
        <f>IFERROR(__xludf.DUMMYFUNCTION("""COMPUTED_VALUE"""),"BBW")</f>
        <v>BBW</v>
      </c>
      <c r="F348" s="211" t="str">
        <f>IFERROR(__xludf.DUMMYFUNCTION("""COMPUTED_VALUE"""),"bcat999")</f>
        <v>bcat999</v>
      </c>
      <c r="G348" s="212" t="str">
        <f>IFERROR(__xludf.DUMMYFUNCTION("""COMPUTED_VALUE"""),"bbw_wa_29mar_bcat999_bc_lastreminder_bcmax_off")</f>
        <v>bbw_wa_29mar_bcat999_bc_lastreminder_bcmax_off</v>
      </c>
      <c r="H348" s="212" t="str">
        <f>IFERROR(__xludf.DUMMYFUNCTION("""COMPUTED_VALUE"""),"BC_999max_1Y_OFF")</f>
        <v>BC_999max_1Y_OFF</v>
      </c>
      <c r="I348" s="212" t="str">
        <f>IFERROR(__xludf.DUMMYFUNCTION("""COMPUTED_VALUE"""),"Offline Customers who have purchased from BodyCare at least 1 times with max order value ₹999 in the last 365 days")</f>
        <v>Offline Customers who have purchased from BodyCare at least 1 times with max order value ₹999 in the last 365 days</v>
      </c>
      <c r="J348" s="213">
        <f>IFERROR(__xludf.DUMMYFUNCTION("""COMPUTED_VALUE"""),18692.0)</f>
        <v>18692</v>
      </c>
      <c r="K348" s="213">
        <f>IFERROR(__xludf.DUMMYFUNCTION("""COMPUTED_VALUE"""),6370.0)</f>
        <v>6370</v>
      </c>
      <c r="L348" s="214">
        <f>IFERROR(__xludf.DUMMYFUNCTION("""COMPUTED_VALUE"""),0.3408)</f>
        <v>0.3408</v>
      </c>
      <c r="M348" s="213">
        <f>IFERROR(__xludf.DUMMYFUNCTION("""COMPUTED_VALUE"""),2764.0)</f>
        <v>2764</v>
      </c>
      <c r="N348" s="214">
        <f>IFERROR(__xludf.DUMMYFUNCTION("""COMPUTED_VALUE"""),0.4339)</f>
        <v>0.4339</v>
      </c>
      <c r="O348" s="213">
        <f>IFERROR(__xludf.DUMMYFUNCTION("""COMPUTED_VALUE"""),239.0)</f>
        <v>239</v>
      </c>
      <c r="P348" s="213">
        <f>IFERROR(__xludf.DUMMYFUNCTION("""COMPUTED_VALUE"""),222.0)</f>
        <v>222</v>
      </c>
      <c r="Q348" s="214">
        <f>IFERROR(__xludf.DUMMYFUNCTION("""COMPUTED_VALUE"""),0.0349)</f>
        <v>0.0349</v>
      </c>
      <c r="R348" s="214">
        <f>IFERROR(__xludf.DUMMYFUNCTION("""COMPUTED_VALUE"""),0.0803)</f>
        <v>0.0803</v>
      </c>
      <c r="S348" s="101">
        <f>IFERROR(__xludf.DUMMYFUNCTION("""COMPUTED_VALUE"""),0.0)</f>
        <v>0</v>
      </c>
      <c r="T348" s="101">
        <f>IFERROR(__xludf.DUMMYFUNCTION("""COMPUTED_VALUE"""),0.0)</f>
        <v>0</v>
      </c>
      <c r="U348" s="270">
        <f>IFERROR(__xludf.DUMMYFUNCTION("""COMPUTED_VALUE"""),0.0)</f>
        <v>0</v>
      </c>
      <c r="V348" s="271" t="str">
        <f>IFERROR(__xludf.DUMMYFUNCTION("""COMPUTED_VALUE"""),"offline")</f>
        <v>offline</v>
      </c>
      <c r="W348" s="272" t="str">
        <f>IFERROR(__xludf.DUMMYFUNCTION("""COMPUTED_VALUE"""),"simple")</f>
        <v>simple</v>
      </c>
      <c r="X348" s="272" t="str">
        <f>IFERROR(__xludf.DUMMYFUNCTION("""COMPUTED_VALUE"""),"Cart Value")</f>
        <v>Cart Value</v>
      </c>
      <c r="Y348" s="272" t="str">
        <f>IFERROR(__xludf.DUMMYFUNCTION("""COMPUTED_VALUE"""),"29-30 March")</f>
        <v>29-30 March</v>
      </c>
      <c r="Z348" s="272" t="str">
        <f>IFERROR(__xludf.DUMMYFUNCTION("""COMPUTED_VALUE"""),"69c65fbb84b161e710ce776a")</f>
        <v>69c65fbb84b161e710ce776a</v>
      </c>
      <c r="AA348" s="272">
        <f>IFERROR(__xludf.DUMMYFUNCTION("""COMPUTED_VALUE"""),17.0)</f>
        <v>17</v>
      </c>
      <c r="AB348" s="272"/>
      <c r="AC348" s="272">
        <f>IFERROR(__xludf.DUMMYFUNCTION("""COMPUTED_VALUE"""),17.0)</f>
        <v>17</v>
      </c>
      <c r="AD348" s="272">
        <f>IFERROR(__xludf.DUMMYFUNCTION("""COMPUTED_VALUE"""),27869.0)</f>
        <v>27869</v>
      </c>
      <c r="AE348" s="272"/>
      <c r="AF348" s="272">
        <f>IFERROR(__xludf.DUMMYFUNCTION("""COMPUTED_VALUE"""),27869.0)</f>
        <v>27869</v>
      </c>
      <c r="AG348" s="208"/>
      <c r="AH348" s="208"/>
      <c r="AI348" s="208"/>
      <c r="AJ348" s="208"/>
      <c r="AK348" s="208"/>
    </row>
    <row r="349" hidden="1">
      <c r="A349" s="209">
        <f>IFERROR(__xludf.DUMMYFUNCTION("""COMPUTED_VALUE"""),46110.0)</f>
        <v>46110</v>
      </c>
      <c r="B349" s="210">
        <f>IFERROR(__xludf.DUMMYFUNCTION("""COMPUTED_VALUE"""),0.4791666666678793)</f>
        <v>0.4791666667</v>
      </c>
      <c r="C349" s="211" t="str">
        <f>IFERROR(__xludf.DUMMYFUNCTION("""COMPUTED_VALUE"""),"Whatsapp")</f>
        <v>Whatsapp</v>
      </c>
      <c r="D349" s="211" t="str">
        <f>IFERROR(__xludf.DUMMYFUNCTION("""COMPUTED_VALUE"""),"Promotional")</f>
        <v>Promotional</v>
      </c>
      <c r="E349" s="211" t="str">
        <f>IFERROR(__xludf.DUMMYFUNCTION("""COMPUTED_VALUE"""),"BBW")</f>
        <v>BBW</v>
      </c>
      <c r="F349" s="211" t="str">
        <f>IFERROR(__xludf.DUMMYFUNCTION("""COMPUTED_VALUE"""),"bcat999")</f>
        <v>bcat999</v>
      </c>
      <c r="G349" s="212" t="str">
        <f>IFERROR(__xludf.DUMMYFUNCTION("""COMPUTED_VALUE"""),"bbw_wa_29mar_bcat999_bc_lastreminder_event_off")</f>
        <v>bbw_wa_29mar_bcat999_bc_lastreminder_event_off</v>
      </c>
      <c r="H349" s="212" t="str">
        <f>IFERROR(__xludf.DUMMYFUNCTION("""COMPUTED_VALUE"""),"BC_EventBuyers_OFF")</f>
        <v>BC_EventBuyers_OFF</v>
      </c>
      <c r="I349" s="212" t="str">
        <f>IFERROR(__xludf.DUMMYFUNCTION("""COMPUTED_VALUE"""),"Offline Customers who have purchased at least 1 time from BodyCare in between 2-5 Oct 2025, 16-27 Oct 2025, 9-18 Jan 2026, 26 Feb - 3 Mar 2026")</f>
        <v>Offline Customers who have purchased at least 1 time from BodyCare in between 2-5 Oct 2025, 16-27 Oct 2025, 9-18 Jan 2026, 26 Feb - 3 Mar 2026</v>
      </c>
      <c r="J349" s="213">
        <f>IFERROR(__xludf.DUMMYFUNCTION("""COMPUTED_VALUE"""),19720.0)</f>
        <v>19720</v>
      </c>
      <c r="K349" s="213">
        <f>IFERROR(__xludf.DUMMYFUNCTION("""COMPUTED_VALUE"""),7274.0)</f>
        <v>7274</v>
      </c>
      <c r="L349" s="214">
        <f>IFERROR(__xludf.DUMMYFUNCTION("""COMPUTED_VALUE"""),0.3689)</f>
        <v>0.3689</v>
      </c>
      <c r="M349" s="213">
        <f>IFERROR(__xludf.DUMMYFUNCTION("""COMPUTED_VALUE"""),2838.0)</f>
        <v>2838</v>
      </c>
      <c r="N349" s="214">
        <f>IFERROR(__xludf.DUMMYFUNCTION("""COMPUTED_VALUE"""),0.3902)</f>
        <v>0.3902</v>
      </c>
      <c r="O349" s="213">
        <f>IFERROR(__xludf.DUMMYFUNCTION("""COMPUTED_VALUE"""),267.0)</f>
        <v>267</v>
      </c>
      <c r="P349" s="213">
        <f>IFERROR(__xludf.DUMMYFUNCTION("""COMPUTED_VALUE"""),240.0)</f>
        <v>240</v>
      </c>
      <c r="Q349" s="214">
        <f>IFERROR(__xludf.DUMMYFUNCTION("""COMPUTED_VALUE"""),0.033)</f>
        <v>0.033</v>
      </c>
      <c r="R349" s="214">
        <f>IFERROR(__xludf.DUMMYFUNCTION("""COMPUTED_VALUE"""),0.0846)</f>
        <v>0.0846</v>
      </c>
      <c r="S349" s="101">
        <f>IFERROR(__xludf.DUMMYFUNCTION("""COMPUTED_VALUE"""),5.0)</f>
        <v>5</v>
      </c>
      <c r="T349" s="101">
        <f>IFERROR(__xludf.DUMMYFUNCTION("""COMPUTED_VALUE"""),4.0)</f>
        <v>4</v>
      </c>
      <c r="U349" s="270">
        <f>IFERROR(__xludf.DUMMYFUNCTION("""COMPUTED_VALUE"""),12066.0)</f>
        <v>12066</v>
      </c>
      <c r="V349" s="271" t="str">
        <f>IFERROR(__xludf.DUMMYFUNCTION("""COMPUTED_VALUE"""),"offline")</f>
        <v>offline</v>
      </c>
      <c r="W349" s="272" t="str">
        <f>IFERROR(__xludf.DUMMYFUNCTION("""COMPUTED_VALUE"""),"simple")</f>
        <v>simple</v>
      </c>
      <c r="X349" s="272" t="str">
        <f>IFERROR(__xludf.DUMMYFUNCTION("""COMPUTED_VALUE"""),"Event Buyers")</f>
        <v>Event Buyers</v>
      </c>
      <c r="Y349" s="272" t="str">
        <f>IFERROR(__xludf.DUMMYFUNCTION("""COMPUTED_VALUE"""),"29-30 March")</f>
        <v>29-30 March</v>
      </c>
      <c r="Z349" s="272" t="str">
        <f>IFERROR(__xludf.DUMMYFUNCTION("""COMPUTED_VALUE"""),"69c65fe2b1ed61233224436a")</f>
        <v>69c65fe2b1ed61233224436a</v>
      </c>
      <c r="AA349" s="272">
        <f>IFERROR(__xludf.DUMMYFUNCTION("""COMPUTED_VALUE"""),26.0)</f>
        <v>26</v>
      </c>
      <c r="AB349" s="272"/>
      <c r="AC349" s="272">
        <f>IFERROR(__xludf.DUMMYFUNCTION("""COMPUTED_VALUE"""),26.0)</f>
        <v>26</v>
      </c>
      <c r="AD349" s="272">
        <f>IFERROR(__xludf.DUMMYFUNCTION("""COMPUTED_VALUE"""),98533.0)</f>
        <v>98533</v>
      </c>
      <c r="AE349" s="272"/>
      <c r="AF349" s="272">
        <f>IFERROR(__xludf.DUMMYFUNCTION("""COMPUTED_VALUE"""),98533.0)</f>
        <v>98533</v>
      </c>
      <c r="AG349" s="208"/>
      <c r="AH349" s="208"/>
      <c r="AI349" s="208"/>
      <c r="AJ349" s="208"/>
      <c r="AK349" s="208"/>
    </row>
    <row r="350" hidden="1">
      <c r="A350" s="209">
        <f>IFERROR(__xludf.DUMMYFUNCTION("""COMPUTED_VALUE"""),46110.0)</f>
        <v>46110</v>
      </c>
      <c r="B350" s="210">
        <f>IFERROR(__xludf.DUMMYFUNCTION("""COMPUTED_VALUE"""),0.4791666666678793)</f>
        <v>0.4791666667</v>
      </c>
      <c r="C350" s="211" t="str">
        <f>IFERROR(__xludf.DUMMYFUNCTION("""COMPUTED_VALUE"""),"Whatsapp")</f>
        <v>Whatsapp</v>
      </c>
      <c r="D350" s="211" t="str">
        <f>IFERROR(__xludf.DUMMYFUNCTION("""COMPUTED_VALUE"""),"Promotional")</f>
        <v>Promotional</v>
      </c>
      <c r="E350" s="211" t="str">
        <f>IFERROR(__xludf.DUMMYFUNCTION("""COMPUTED_VALUE"""),"BBW")</f>
        <v>BBW</v>
      </c>
      <c r="F350" s="211" t="str">
        <f>IFERROR(__xludf.DUMMYFUNCTION("""COMPUTED_VALUE"""),"bcat999")</f>
        <v>bcat999</v>
      </c>
      <c r="G350" s="212" t="str">
        <f>IFERROR(__xludf.DUMMYFUNCTION("""COMPUTED_VALUE"""),"bbw_wa_29mar_bcat999_bc_lastreminder_allcat_except_bc_off")</f>
        <v>bbw_wa_29mar_bcat999_bc_lastreminder_allcat_except_bc_off</v>
      </c>
      <c r="H350" s="212" t="str">
        <f>IFERROR(__xludf.DUMMYFUNCTION("""COMPUTED_VALUE"""),"Cat_Excl_BC_OFF")</f>
        <v>Cat_Excl_BC_OFF</v>
      </c>
      <c r="I350" s="212" t="str">
        <f>IFERROR(__xludf.DUMMYFUNCTION("""COMPUTED_VALUE"""),"Offline Customers who have purchased between 30 days and 90 days ago excl. BodyCare buyers")</f>
        <v>Offline Customers who have purchased between 30 days and 90 days ago excl. BodyCare buyers</v>
      </c>
      <c r="J350" s="213">
        <f>IFERROR(__xludf.DUMMYFUNCTION("""COMPUTED_VALUE"""),39839.0)</f>
        <v>39839</v>
      </c>
      <c r="K350" s="213">
        <f>IFERROR(__xludf.DUMMYFUNCTION("""COMPUTED_VALUE"""),19695.0)</f>
        <v>19695</v>
      </c>
      <c r="L350" s="214">
        <f>IFERROR(__xludf.DUMMYFUNCTION("""COMPUTED_VALUE"""),0.4944)</f>
        <v>0.4944</v>
      </c>
      <c r="M350" s="213">
        <f>IFERROR(__xludf.DUMMYFUNCTION("""COMPUTED_VALUE"""),7057.0)</f>
        <v>7057</v>
      </c>
      <c r="N350" s="214">
        <f>IFERROR(__xludf.DUMMYFUNCTION("""COMPUTED_VALUE"""),0.3584)</f>
        <v>0.3584</v>
      </c>
      <c r="O350" s="213">
        <f>IFERROR(__xludf.DUMMYFUNCTION("""COMPUTED_VALUE"""),746.0)</f>
        <v>746</v>
      </c>
      <c r="P350" s="213">
        <f>IFERROR(__xludf.DUMMYFUNCTION("""COMPUTED_VALUE"""),710.0)</f>
        <v>710</v>
      </c>
      <c r="Q350" s="214">
        <f>IFERROR(__xludf.DUMMYFUNCTION("""COMPUTED_VALUE"""),0.0361)</f>
        <v>0.0361</v>
      </c>
      <c r="R350" s="214">
        <f>IFERROR(__xludf.DUMMYFUNCTION("""COMPUTED_VALUE"""),0.1006)</f>
        <v>0.1006</v>
      </c>
      <c r="S350" s="101">
        <f>IFERROR(__xludf.DUMMYFUNCTION("""COMPUTED_VALUE"""),1.0)</f>
        <v>1</v>
      </c>
      <c r="T350" s="101">
        <f>IFERROR(__xludf.DUMMYFUNCTION("""COMPUTED_VALUE"""),3.0)</f>
        <v>3</v>
      </c>
      <c r="U350" s="270">
        <f>IFERROR(__xludf.DUMMYFUNCTION("""COMPUTED_VALUE"""),1998.0)</f>
        <v>1998</v>
      </c>
      <c r="V350" s="271" t="str">
        <f>IFERROR(__xludf.DUMMYFUNCTION("""COMPUTED_VALUE"""),"offline")</f>
        <v>offline</v>
      </c>
      <c r="W350" s="272" t="str">
        <f>IFERROR(__xludf.DUMMYFUNCTION("""COMPUTED_VALUE"""),"simple")</f>
        <v>simple</v>
      </c>
      <c r="X350" s="272" t="str">
        <f>IFERROR(__xludf.DUMMYFUNCTION("""COMPUTED_VALUE"""),"Dormant")</f>
        <v>Dormant</v>
      </c>
      <c r="Y350" s="272" t="str">
        <f>IFERROR(__xludf.DUMMYFUNCTION("""COMPUTED_VALUE"""),"29-30 March")</f>
        <v>29-30 March</v>
      </c>
      <c r="Z350" s="272" t="str">
        <f>IFERROR(__xludf.DUMMYFUNCTION("""COMPUTED_VALUE"""),"69c6600b2ffd0b4aaa03f02e")</f>
        <v>69c6600b2ffd0b4aaa03f02e</v>
      </c>
      <c r="AA350" s="272">
        <f>IFERROR(__xludf.DUMMYFUNCTION("""COMPUTED_VALUE"""),46.0)</f>
        <v>46</v>
      </c>
      <c r="AB350" s="272"/>
      <c r="AC350" s="272">
        <f>IFERROR(__xludf.DUMMYFUNCTION("""COMPUTED_VALUE"""),46.0)</f>
        <v>46</v>
      </c>
      <c r="AD350" s="272">
        <f>IFERROR(__xludf.DUMMYFUNCTION("""COMPUTED_VALUE"""),153665.0)</f>
        <v>153665</v>
      </c>
      <c r="AE350" s="272"/>
      <c r="AF350" s="272">
        <f>IFERROR(__xludf.DUMMYFUNCTION("""COMPUTED_VALUE"""),153665.0)</f>
        <v>153665</v>
      </c>
      <c r="AG350" s="208"/>
      <c r="AH350" s="208"/>
      <c r="AI350" s="208"/>
      <c r="AJ350" s="208"/>
      <c r="AK350" s="208"/>
    </row>
    <row r="351" hidden="1">
      <c r="A351" s="209">
        <f>IFERROR(__xludf.DUMMYFUNCTION("""COMPUTED_VALUE"""),46110.0)</f>
        <v>46110</v>
      </c>
      <c r="B351" s="210">
        <f>IFERROR(__xludf.DUMMYFUNCTION("""COMPUTED_VALUE"""),0.4791666666678793)</f>
        <v>0.4791666667</v>
      </c>
      <c r="C351" s="211" t="str">
        <f>IFERROR(__xludf.DUMMYFUNCTION("""COMPUTED_VALUE"""),"Whatsapp")</f>
        <v>Whatsapp</v>
      </c>
      <c r="D351" s="211" t="str">
        <f>IFERROR(__xludf.DUMMYFUNCTION("""COMPUTED_VALUE"""),"Promotional")</f>
        <v>Promotional</v>
      </c>
      <c r="E351" s="211" t="str">
        <f>IFERROR(__xludf.DUMMYFUNCTION("""COMPUTED_VALUE"""),"BBW")</f>
        <v>BBW</v>
      </c>
      <c r="F351" s="211" t="str">
        <f>IFERROR(__xludf.DUMMYFUNCTION("""COMPUTED_VALUE"""),"bcat999")</f>
        <v>bcat999</v>
      </c>
      <c r="G351" s="212" t="str">
        <f>IFERROR(__xludf.DUMMYFUNCTION("""COMPUTED_VALUE"""),"bbw_wa_29mar_bcat999_bc_lastreminder_recent")</f>
        <v>bbw_wa_29mar_bcat999_bc_lastreminder_recent</v>
      </c>
      <c r="H351" s="212" t="str">
        <f>IFERROR(__xludf.DUMMYFUNCTION("""COMPUTED_VALUE"""),"Recent_30D_OFF")</f>
        <v>Recent_30D_OFF</v>
      </c>
      <c r="I351" s="212" t="str">
        <f>IFERROR(__xludf.DUMMYFUNCTION("""COMPUTED_VALUE"""),"Offline Customers who have purchased in the last 30 days")</f>
        <v>Offline Customers who have purchased in the last 30 days</v>
      </c>
      <c r="J351" s="213">
        <f>IFERROR(__xludf.DUMMYFUNCTION("""COMPUTED_VALUE"""),7810.0)</f>
        <v>7810</v>
      </c>
      <c r="K351" s="213">
        <f>IFERROR(__xludf.DUMMYFUNCTION("""COMPUTED_VALUE"""),2412.0)</f>
        <v>2412</v>
      </c>
      <c r="L351" s="214">
        <f>IFERROR(__xludf.DUMMYFUNCTION("""COMPUTED_VALUE"""),0.3088)</f>
        <v>0.3088</v>
      </c>
      <c r="M351" s="213">
        <f>IFERROR(__xludf.DUMMYFUNCTION("""COMPUTED_VALUE"""),901.0)</f>
        <v>901</v>
      </c>
      <c r="N351" s="214">
        <f>IFERROR(__xludf.DUMMYFUNCTION("""COMPUTED_VALUE"""),0.3735)</f>
        <v>0.3735</v>
      </c>
      <c r="O351" s="213">
        <f>IFERROR(__xludf.DUMMYFUNCTION("""COMPUTED_VALUE"""),159.0)</f>
        <v>159</v>
      </c>
      <c r="P351" s="213">
        <f>IFERROR(__xludf.DUMMYFUNCTION("""COMPUTED_VALUE"""),153.0)</f>
        <v>153</v>
      </c>
      <c r="Q351" s="214">
        <f>IFERROR(__xludf.DUMMYFUNCTION("""COMPUTED_VALUE"""),0.0634)</f>
        <v>0.0634</v>
      </c>
      <c r="R351" s="214">
        <f>IFERROR(__xludf.DUMMYFUNCTION("""COMPUTED_VALUE"""),0.1698)</f>
        <v>0.1698</v>
      </c>
      <c r="S351" s="101">
        <f>IFERROR(__xludf.DUMMYFUNCTION("""COMPUTED_VALUE"""),1.0)</f>
        <v>1</v>
      </c>
      <c r="T351" s="101">
        <f>IFERROR(__xludf.DUMMYFUNCTION("""COMPUTED_VALUE"""),1.0)</f>
        <v>1</v>
      </c>
      <c r="U351" s="270">
        <f>IFERROR(__xludf.DUMMYFUNCTION("""COMPUTED_VALUE"""),3596.0)</f>
        <v>3596</v>
      </c>
      <c r="V351" s="271" t="str">
        <f>IFERROR(__xludf.DUMMYFUNCTION("""COMPUTED_VALUE"""),"offline")</f>
        <v>offline</v>
      </c>
      <c r="W351" s="272" t="str">
        <f>IFERROR(__xludf.DUMMYFUNCTION("""COMPUTED_VALUE"""),"simple")</f>
        <v>simple</v>
      </c>
      <c r="X351" s="272" t="str">
        <f>IFERROR(__xludf.DUMMYFUNCTION("""COMPUTED_VALUE"""),"Active")</f>
        <v>Active</v>
      </c>
      <c r="Y351" s="272" t="str">
        <f>IFERROR(__xludf.DUMMYFUNCTION("""COMPUTED_VALUE"""),"29-30 March")</f>
        <v>29-30 March</v>
      </c>
      <c r="Z351" s="272" t="str">
        <f>IFERROR(__xludf.DUMMYFUNCTION("""COMPUTED_VALUE"""),"69c6606f325ffbc92b75d935")</f>
        <v>69c6606f325ffbc92b75d935</v>
      </c>
      <c r="AA351" s="272">
        <f>IFERROR(__xludf.DUMMYFUNCTION("""COMPUTED_VALUE"""),9.0)</f>
        <v>9</v>
      </c>
      <c r="AB351" s="272"/>
      <c r="AC351" s="272">
        <f>IFERROR(__xludf.DUMMYFUNCTION("""COMPUTED_VALUE"""),9.0)</f>
        <v>9</v>
      </c>
      <c r="AD351" s="272">
        <f>IFERROR(__xludf.DUMMYFUNCTION("""COMPUTED_VALUE"""),24534.0)</f>
        <v>24534</v>
      </c>
      <c r="AE351" s="272"/>
      <c r="AF351" s="272">
        <f>IFERROR(__xludf.DUMMYFUNCTION("""COMPUTED_VALUE"""),24534.0)</f>
        <v>24534</v>
      </c>
      <c r="AG351" s="208"/>
      <c r="AH351" s="208"/>
      <c r="AI351" s="208"/>
      <c r="AJ351" s="208"/>
      <c r="AK351" s="208"/>
    </row>
    <row r="352" hidden="1">
      <c r="A352" s="209">
        <f>IFERROR(__xludf.DUMMYFUNCTION("""COMPUTED_VALUE"""),46110.0)</f>
        <v>46110</v>
      </c>
      <c r="B352" s="210">
        <f>IFERROR(__xludf.DUMMYFUNCTION("""COMPUTED_VALUE"""),0.5208333333321207)</f>
        <v>0.5208333333</v>
      </c>
      <c r="C352" s="211" t="str">
        <f>IFERROR(__xludf.DUMMYFUNCTION("""COMPUTED_VALUE"""),"Sms")</f>
        <v>Sms</v>
      </c>
      <c r="D352" s="211" t="str">
        <f>IFERROR(__xludf.DUMMYFUNCTION("""COMPUTED_VALUE"""),"Fallback Campaign")</f>
        <v>Fallback Campaign</v>
      </c>
      <c r="E352" s="211" t="str">
        <f>IFERROR(__xludf.DUMMYFUNCTION("""COMPUTED_VALUE"""),"BBW")</f>
        <v>BBW</v>
      </c>
      <c r="F352" s="211" t="str">
        <f>IFERROR(__xludf.DUMMYFUNCTION("""COMPUTED_VALUE"""),"bcat999")</f>
        <v>bcat999</v>
      </c>
      <c r="G352" s="212" t="str">
        <f>IFERROR(__xludf.DUMMYFUNCTION("""COMPUTED_VALUE"""),"bbw_smsfb_29mar_bcat999_bc_lastreminder_repeat_on")</f>
        <v>bbw_smsfb_29mar_bcat999_bc_lastreminder_repeat_on</v>
      </c>
      <c r="H352" s="212" t="str">
        <f>IFERROR(__xludf.DUMMYFUNCTION("""COMPUTED_VALUE"""),"BodyCare_Repeat_180D_ON OR AGIPL_Internal OR BBW_Internal")</f>
        <v>BodyCare_Repeat_180D_ON OR AGIPL_Internal OR BBW_Internal</v>
      </c>
      <c r="I352" s="212" t="str">
        <f>IFERROR(__xludf.DUMMYFUNCTION("""COMPUTED_VALUE"""),"WA Undelivered")</f>
        <v>WA Undelivered</v>
      </c>
      <c r="J352" s="213">
        <f>IFERROR(__xludf.DUMMYFUNCTION("""COMPUTED_VALUE"""),2793.0)</f>
        <v>2793</v>
      </c>
      <c r="K352" s="213">
        <f>IFERROR(__xludf.DUMMYFUNCTION("""COMPUTED_VALUE"""),1426.0)</f>
        <v>1426</v>
      </c>
      <c r="L352" s="214">
        <f>IFERROR(__xludf.DUMMYFUNCTION("""COMPUTED_VALUE"""),0.5106)</f>
        <v>0.5106</v>
      </c>
      <c r="M352" s="213"/>
      <c r="N352" s="214"/>
      <c r="O352" s="213">
        <f>IFERROR(__xludf.DUMMYFUNCTION("""COMPUTED_VALUE"""),5.0)</f>
        <v>5</v>
      </c>
      <c r="P352" s="213"/>
      <c r="Q352" s="214">
        <f>IFERROR(__xludf.DUMMYFUNCTION("""COMPUTED_VALUE"""),0.0035)</f>
        <v>0.0035</v>
      </c>
      <c r="R352" s="214"/>
      <c r="S352" s="101">
        <f>IFERROR(__xludf.DUMMYFUNCTION("""COMPUTED_VALUE"""),0.0)</f>
        <v>0</v>
      </c>
      <c r="T352" s="101">
        <f>IFERROR(__xludf.DUMMYFUNCTION("""COMPUTED_VALUE"""),1.0)</f>
        <v>1</v>
      </c>
      <c r="U352" s="270">
        <f>IFERROR(__xludf.DUMMYFUNCTION("""COMPUTED_VALUE"""),0.0)</f>
        <v>0</v>
      </c>
      <c r="V352" s="271" t="str">
        <f>IFERROR(__xludf.DUMMYFUNCTION("""COMPUTED_VALUE"""),"online")</f>
        <v>online</v>
      </c>
      <c r="W352" s="272" t="str">
        <f>IFERROR(__xludf.DUMMYFUNCTION("""COMPUTED_VALUE"""),"SMS")</f>
        <v>SMS</v>
      </c>
      <c r="X352" s="272" t="str">
        <f>IFERROR(__xludf.DUMMYFUNCTION("""COMPUTED_VALUE"""),"Cat Repeat")</f>
        <v>Cat Repeat</v>
      </c>
      <c r="Y352" s="272" t="str">
        <f>IFERROR(__xludf.DUMMYFUNCTION("""COMPUTED_VALUE"""),"29 March")</f>
        <v>29 March</v>
      </c>
      <c r="Z352" s="272" t="str">
        <f>IFERROR(__xludf.DUMMYFUNCTION("""COMPUTED_VALUE"""),"69c65d39a2bd1a11c1e8145e")</f>
        <v>69c65d39a2bd1a11c1e8145e</v>
      </c>
      <c r="AA352" s="272">
        <f>IFERROR(__xludf.DUMMYFUNCTION("""COMPUTED_VALUE"""),7.0)</f>
        <v>7</v>
      </c>
      <c r="AB352" s="272">
        <f>IFERROR(__xludf.DUMMYFUNCTION("""COMPUTED_VALUE"""),7.0)</f>
        <v>7</v>
      </c>
      <c r="AC352" s="272"/>
      <c r="AD352" s="272">
        <f>IFERROR(__xludf.DUMMYFUNCTION("""COMPUTED_VALUE"""),23376.0)</f>
        <v>23376</v>
      </c>
      <c r="AE352" s="272">
        <f>IFERROR(__xludf.DUMMYFUNCTION("""COMPUTED_VALUE"""),23376.0)</f>
        <v>23376</v>
      </c>
      <c r="AF352" s="272"/>
      <c r="AG352" s="208"/>
      <c r="AH352" s="208"/>
      <c r="AI352" s="208"/>
      <c r="AJ352" s="208"/>
      <c r="AK352" s="208"/>
    </row>
    <row r="353" hidden="1">
      <c r="A353" s="209">
        <f>IFERROR(__xludf.DUMMYFUNCTION("""COMPUTED_VALUE"""),46110.0)</f>
        <v>46110</v>
      </c>
      <c r="B353" s="210">
        <f>IFERROR(__xludf.DUMMYFUNCTION("""COMPUTED_VALUE"""),0.5208333333321207)</f>
        <v>0.5208333333</v>
      </c>
      <c r="C353" s="211" t="str">
        <f>IFERROR(__xludf.DUMMYFUNCTION("""COMPUTED_VALUE"""),"Sms")</f>
        <v>Sms</v>
      </c>
      <c r="D353" s="211" t="str">
        <f>IFERROR(__xludf.DUMMYFUNCTION("""COMPUTED_VALUE"""),"Fallback Campaign")</f>
        <v>Fallback Campaign</v>
      </c>
      <c r="E353" s="211" t="str">
        <f>IFERROR(__xludf.DUMMYFUNCTION("""COMPUTED_VALUE"""),"BBW")</f>
        <v>BBW</v>
      </c>
      <c r="F353" s="211" t="str">
        <f>IFERROR(__xludf.DUMMYFUNCTION("""COMPUTED_VALUE"""),"bcat999")</f>
        <v>bcat999</v>
      </c>
      <c r="G353" s="212" t="str">
        <f>IFERROR(__xludf.DUMMYFUNCTION("""COMPUTED_VALUE"""),"bbw_smsfb_29mar_bcat999_bc_lastreminder_atc_on")</f>
        <v>bbw_smsfb_29mar_bcat999_bc_lastreminder_atc_on</v>
      </c>
      <c r="H353" s="212" t="str">
        <f>IFERROR(__xludf.DUMMYFUNCTION("""COMPUTED_VALUE"""),"ATC_BC_90D_ON")</f>
        <v>ATC_BC_90D_ON</v>
      </c>
      <c r="I353" s="212" t="str">
        <f>IFERROR(__xludf.DUMMYFUNCTION("""COMPUTED_VALUE"""),"WA Undelivered")</f>
        <v>WA Undelivered</v>
      </c>
      <c r="J353" s="213">
        <f>IFERROR(__xludf.DUMMYFUNCTION("""COMPUTED_VALUE"""),4171.0)</f>
        <v>4171</v>
      </c>
      <c r="K353" s="213">
        <f>IFERROR(__xludf.DUMMYFUNCTION("""COMPUTED_VALUE"""),2773.0)</f>
        <v>2773</v>
      </c>
      <c r="L353" s="214">
        <f>IFERROR(__xludf.DUMMYFUNCTION("""COMPUTED_VALUE"""),0.6648)</f>
        <v>0.6648</v>
      </c>
      <c r="M353" s="213"/>
      <c r="N353" s="214"/>
      <c r="O353" s="213">
        <f>IFERROR(__xludf.DUMMYFUNCTION("""COMPUTED_VALUE"""),3.0)</f>
        <v>3</v>
      </c>
      <c r="P353" s="213"/>
      <c r="Q353" s="214">
        <f>IFERROR(__xludf.DUMMYFUNCTION("""COMPUTED_VALUE"""),0.0011)</f>
        <v>0.0011</v>
      </c>
      <c r="R353" s="214"/>
      <c r="S353" s="101">
        <f>IFERROR(__xludf.DUMMYFUNCTION("""COMPUTED_VALUE"""),13.0)</f>
        <v>13</v>
      </c>
      <c r="T353" s="101">
        <f>IFERROR(__xludf.DUMMYFUNCTION("""COMPUTED_VALUE"""),13.0)</f>
        <v>13</v>
      </c>
      <c r="U353" s="270">
        <f>IFERROR(__xludf.DUMMYFUNCTION("""COMPUTED_VALUE"""),27267.0)</f>
        <v>27267</v>
      </c>
      <c r="V353" s="271" t="str">
        <f>IFERROR(__xludf.DUMMYFUNCTION("""COMPUTED_VALUE"""),"online")</f>
        <v>online</v>
      </c>
      <c r="W353" s="272" t="str">
        <f>IFERROR(__xludf.DUMMYFUNCTION("""COMPUTED_VALUE"""),"SMS")</f>
        <v>SMS</v>
      </c>
      <c r="X353" s="272" t="str">
        <f>IFERROR(__xludf.DUMMYFUNCTION("""COMPUTED_VALUE"""),"ATC")</f>
        <v>ATC</v>
      </c>
      <c r="Y353" s="272" t="str">
        <f>IFERROR(__xludf.DUMMYFUNCTION("""COMPUTED_VALUE"""),"29 March")</f>
        <v>29 March</v>
      </c>
      <c r="Z353" s="272" t="str">
        <f>IFERROR(__xludf.DUMMYFUNCTION("""COMPUTED_VALUE"""),"69c65d66d4c03cb820a2611c")</f>
        <v>69c65d66d4c03cb820a2611c</v>
      </c>
      <c r="AA353" s="272">
        <f>IFERROR(__xludf.DUMMYFUNCTION("""COMPUTED_VALUE"""),2.0)</f>
        <v>2</v>
      </c>
      <c r="AB353" s="272">
        <f>IFERROR(__xludf.DUMMYFUNCTION("""COMPUTED_VALUE"""),2.0)</f>
        <v>2</v>
      </c>
      <c r="AC353" s="272"/>
      <c r="AD353" s="272">
        <f>IFERROR(__xludf.DUMMYFUNCTION("""COMPUTED_VALUE"""),2997.0)</f>
        <v>2997</v>
      </c>
      <c r="AE353" s="272">
        <f>IFERROR(__xludf.DUMMYFUNCTION("""COMPUTED_VALUE"""),2997.0)</f>
        <v>2997</v>
      </c>
      <c r="AF353" s="272"/>
      <c r="AG353" s="208"/>
      <c r="AH353" s="208"/>
      <c r="AI353" s="208"/>
      <c r="AJ353" s="208"/>
      <c r="AK353" s="208"/>
    </row>
    <row r="354" hidden="1">
      <c r="A354" s="209">
        <f>IFERROR(__xludf.DUMMYFUNCTION("""COMPUTED_VALUE"""),46110.0)</f>
        <v>46110</v>
      </c>
      <c r="B354" s="210">
        <f>IFERROR(__xludf.DUMMYFUNCTION("""COMPUTED_VALUE"""),0.5208333333321207)</f>
        <v>0.5208333333</v>
      </c>
      <c r="C354" s="211" t="str">
        <f>IFERROR(__xludf.DUMMYFUNCTION("""COMPUTED_VALUE"""),"Sms")</f>
        <v>Sms</v>
      </c>
      <c r="D354" s="211" t="str">
        <f>IFERROR(__xludf.DUMMYFUNCTION("""COMPUTED_VALUE"""),"Fallback Campaign")</f>
        <v>Fallback Campaign</v>
      </c>
      <c r="E354" s="211" t="str">
        <f>IFERROR(__xludf.DUMMYFUNCTION("""COMPUTED_VALUE"""),"BBW")</f>
        <v>BBW</v>
      </c>
      <c r="F354" s="211" t="str">
        <f>IFERROR(__xludf.DUMMYFUNCTION("""COMPUTED_VALUE"""),"bcat999")</f>
        <v>bcat999</v>
      </c>
      <c r="G354" s="212" t="str">
        <f>IFERROR(__xludf.DUMMYFUNCTION("""COMPUTED_VALUE"""),"bbw_smsfb_29mar_bcat999_bc_lastreminder_itemviewed")</f>
        <v>bbw_smsfb_29mar_bcat999_bc_lastreminder_itemviewed</v>
      </c>
      <c r="H354" s="212" t="str">
        <f>IFERROR(__xludf.DUMMYFUNCTION("""COMPUTED_VALUE"""),"View_BC_1time_60D_ON")</f>
        <v>View_BC_1time_60D_ON</v>
      </c>
      <c r="I354" s="212" t="str">
        <f>IFERROR(__xludf.DUMMYFUNCTION("""COMPUTED_VALUE"""),"WA Undelivered")</f>
        <v>WA Undelivered</v>
      </c>
      <c r="J354" s="213">
        <f>IFERROR(__xludf.DUMMYFUNCTION("""COMPUTED_VALUE"""),474.0)</f>
        <v>474</v>
      </c>
      <c r="K354" s="213">
        <f>IFERROR(__xludf.DUMMYFUNCTION("""COMPUTED_VALUE"""),318.0)</f>
        <v>318</v>
      </c>
      <c r="L354" s="214">
        <f>IFERROR(__xludf.DUMMYFUNCTION("""COMPUTED_VALUE"""),0.6709)</f>
        <v>0.6709</v>
      </c>
      <c r="M354" s="213"/>
      <c r="N354" s="214"/>
      <c r="O354" s="213">
        <f>IFERROR(__xludf.DUMMYFUNCTION("""COMPUTED_VALUE"""),2.0)</f>
        <v>2</v>
      </c>
      <c r="P354" s="213"/>
      <c r="Q354" s="214">
        <f>IFERROR(__xludf.DUMMYFUNCTION("""COMPUTED_VALUE"""),0.0063)</f>
        <v>0.0063</v>
      </c>
      <c r="R354" s="214"/>
      <c r="S354" s="101">
        <f>IFERROR(__xludf.DUMMYFUNCTION("""COMPUTED_VALUE"""),0.0)</f>
        <v>0</v>
      </c>
      <c r="T354" s="101">
        <f>IFERROR(__xludf.DUMMYFUNCTION("""COMPUTED_VALUE"""),2.0)</f>
        <v>2</v>
      </c>
      <c r="U354" s="270">
        <f>IFERROR(__xludf.DUMMYFUNCTION("""COMPUTED_VALUE"""),0.0)</f>
        <v>0</v>
      </c>
      <c r="V354" s="271" t="str">
        <f>IFERROR(__xludf.DUMMYFUNCTION("""COMPUTED_VALUE"""),"online")</f>
        <v>online</v>
      </c>
      <c r="W354" s="272" t="str">
        <f>IFERROR(__xludf.DUMMYFUNCTION("""COMPUTED_VALUE"""),"SMS")</f>
        <v>SMS</v>
      </c>
      <c r="X354" s="272" t="str">
        <f>IFERROR(__xludf.DUMMYFUNCTION("""COMPUTED_VALUE"""),"View Item")</f>
        <v>View Item</v>
      </c>
      <c r="Y354" s="272" t="str">
        <f>IFERROR(__xludf.DUMMYFUNCTION("""COMPUTED_VALUE"""),"29 March")</f>
        <v>29 March</v>
      </c>
      <c r="Z354" s="272" t="str">
        <f>IFERROR(__xludf.DUMMYFUNCTION("""COMPUTED_VALUE"""),"69c65d9e50d2bc85d5f8c8ff")</f>
        <v>69c65d9e50d2bc85d5f8c8ff</v>
      </c>
      <c r="AA354" s="272">
        <f>IFERROR(__xludf.DUMMYFUNCTION("""COMPUTED_VALUE"""),1.0)</f>
        <v>1</v>
      </c>
      <c r="AB354" s="272">
        <f>IFERROR(__xludf.DUMMYFUNCTION("""COMPUTED_VALUE"""),1.0)</f>
        <v>1</v>
      </c>
      <c r="AC354" s="272"/>
      <c r="AD354" s="272">
        <f>IFERROR(__xludf.DUMMYFUNCTION("""COMPUTED_VALUE"""),598.0)</f>
        <v>598</v>
      </c>
      <c r="AE354" s="272">
        <f>IFERROR(__xludf.DUMMYFUNCTION("""COMPUTED_VALUE"""),598.0)</f>
        <v>598</v>
      </c>
      <c r="AF354" s="272"/>
      <c r="AG354" s="208"/>
      <c r="AH354" s="208"/>
      <c r="AI354" s="208"/>
      <c r="AJ354" s="208"/>
      <c r="AK354" s="208"/>
    </row>
    <row r="355" hidden="1">
      <c r="A355" s="209">
        <f>IFERROR(__xludf.DUMMYFUNCTION("""COMPUTED_VALUE"""),46110.0)</f>
        <v>46110</v>
      </c>
      <c r="B355" s="210">
        <f>IFERROR(__xludf.DUMMYFUNCTION("""COMPUTED_VALUE"""),0.5208333333321207)</f>
        <v>0.5208333333</v>
      </c>
      <c r="C355" s="211" t="str">
        <f>IFERROR(__xludf.DUMMYFUNCTION("""COMPUTED_VALUE"""),"Sms")</f>
        <v>Sms</v>
      </c>
      <c r="D355" s="211" t="str">
        <f>IFERROR(__xludf.DUMMYFUNCTION("""COMPUTED_VALUE"""),"Fallback Campaign")</f>
        <v>Fallback Campaign</v>
      </c>
      <c r="E355" s="211" t="str">
        <f>IFERROR(__xludf.DUMMYFUNCTION("""COMPUTED_VALUE"""),"BBW")</f>
        <v>BBW</v>
      </c>
      <c r="F355" s="211" t="str">
        <f>IFERROR(__xludf.DUMMYFUNCTION("""COMPUTED_VALUE"""),"bcat999")</f>
        <v>bcat999</v>
      </c>
      <c r="G355" s="212" t="str">
        <f>IFERROR(__xludf.DUMMYFUNCTION("""COMPUTED_VALUE"""),"bbw_smsfb_29mar_bcat999_bc_lastreminder_bcmax_on")</f>
        <v>bbw_smsfb_29mar_bcat999_bc_lastreminder_bcmax_on</v>
      </c>
      <c r="H355" s="212" t="str">
        <f>IFERROR(__xludf.DUMMYFUNCTION("""COMPUTED_VALUE"""),"BC_999max_1Y_ON")</f>
        <v>BC_999max_1Y_ON</v>
      </c>
      <c r="I355" s="212" t="str">
        <f>IFERROR(__xludf.DUMMYFUNCTION("""COMPUTED_VALUE"""),"WA Undelivered")</f>
        <v>WA Undelivered</v>
      </c>
      <c r="J355" s="213">
        <f>IFERROR(__xludf.DUMMYFUNCTION("""COMPUTED_VALUE"""),6429.0)</f>
        <v>6429</v>
      </c>
      <c r="K355" s="213">
        <f>IFERROR(__xludf.DUMMYFUNCTION("""COMPUTED_VALUE"""),4108.0)</f>
        <v>4108</v>
      </c>
      <c r="L355" s="214">
        <f>IFERROR(__xludf.DUMMYFUNCTION("""COMPUTED_VALUE"""),0.639)</f>
        <v>0.639</v>
      </c>
      <c r="M355" s="213"/>
      <c r="N355" s="214"/>
      <c r="O355" s="213">
        <f>IFERROR(__xludf.DUMMYFUNCTION("""COMPUTED_VALUE"""),4.0)</f>
        <v>4</v>
      </c>
      <c r="P355" s="213"/>
      <c r="Q355" s="214">
        <f>IFERROR(__xludf.DUMMYFUNCTION("""COMPUTED_VALUE"""),0.001)</f>
        <v>0.001</v>
      </c>
      <c r="R355" s="214"/>
      <c r="S355" s="101">
        <f>IFERROR(__xludf.DUMMYFUNCTION("""COMPUTED_VALUE"""),0.0)</f>
        <v>0</v>
      </c>
      <c r="T355" s="101">
        <f>IFERROR(__xludf.DUMMYFUNCTION("""COMPUTED_VALUE"""),1.0)</f>
        <v>1</v>
      </c>
      <c r="U355" s="270">
        <f>IFERROR(__xludf.DUMMYFUNCTION("""COMPUTED_VALUE"""),0.0)</f>
        <v>0</v>
      </c>
      <c r="V355" s="271" t="str">
        <f>IFERROR(__xludf.DUMMYFUNCTION("""COMPUTED_VALUE"""),"online")</f>
        <v>online</v>
      </c>
      <c r="W355" s="272" t="str">
        <f>IFERROR(__xludf.DUMMYFUNCTION("""COMPUTED_VALUE"""),"SMS")</f>
        <v>SMS</v>
      </c>
      <c r="X355" s="272" t="str">
        <f>IFERROR(__xludf.DUMMYFUNCTION("""COMPUTED_VALUE"""),"Cart Value")</f>
        <v>Cart Value</v>
      </c>
      <c r="Y355" s="272" t="str">
        <f>IFERROR(__xludf.DUMMYFUNCTION("""COMPUTED_VALUE"""),"29 March")</f>
        <v>29 March</v>
      </c>
      <c r="Z355" s="272" t="str">
        <f>IFERROR(__xludf.DUMMYFUNCTION("""COMPUTED_VALUE"""),"69c65dd0e04e640fb6c5f552")</f>
        <v>69c65dd0e04e640fb6c5f552</v>
      </c>
      <c r="AA355" s="272">
        <f>IFERROR(__xludf.DUMMYFUNCTION("""COMPUTED_VALUE"""),6.0)</f>
        <v>6</v>
      </c>
      <c r="AB355" s="272">
        <f>IFERROR(__xludf.DUMMYFUNCTION("""COMPUTED_VALUE"""),6.0)</f>
        <v>6</v>
      </c>
      <c r="AC355" s="272"/>
      <c r="AD355" s="272">
        <f>IFERROR(__xludf.DUMMYFUNCTION("""COMPUTED_VALUE"""),11489.0)</f>
        <v>11489</v>
      </c>
      <c r="AE355" s="272">
        <f>IFERROR(__xludf.DUMMYFUNCTION("""COMPUTED_VALUE"""),11489.0)</f>
        <v>11489</v>
      </c>
      <c r="AF355" s="272"/>
      <c r="AG355" s="208"/>
      <c r="AH355" s="208"/>
      <c r="AI355" s="208"/>
      <c r="AJ355" s="208"/>
      <c r="AK355" s="208"/>
    </row>
    <row r="356" hidden="1">
      <c r="A356" s="209">
        <f>IFERROR(__xludf.DUMMYFUNCTION("""COMPUTED_VALUE"""),46110.0)</f>
        <v>46110</v>
      </c>
      <c r="B356" s="210">
        <f>IFERROR(__xludf.DUMMYFUNCTION("""COMPUTED_VALUE"""),0.5208333333321207)</f>
        <v>0.5208333333</v>
      </c>
      <c r="C356" s="211" t="str">
        <f>IFERROR(__xludf.DUMMYFUNCTION("""COMPUTED_VALUE"""),"Sms")</f>
        <v>Sms</v>
      </c>
      <c r="D356" s="211" t="str">
        <f>IFERROR(__xludf.DUMMYFUNCTION("""COMPUTED_VALUE"""),"Fallback Campaign")</f>
        <v>Fallback Campaign</v>
      </c>
      <c r="E356" s="211" t="str">
        <f>IFERROR(__xludf.DUMMYFUNCTION("""COMPUTED_VALUE"""),"BBW")</f>
        <v>BBW</v>
      </c>
      <c r="F356" s="211" t="str">
        <f>IFERROR(__xludf.DUMMYFUNCTION("""COMPUTED_VALUE"""),"bcat999")</f>
        <v>bcat999</v>
      </c>
      <c r="G356" s="212" t="str">
        <f>IFERROR(__xludf.DUMMYFUNCTION("""COMPUTED_VALUE"""),"bbw_smsfb_29mar_bcat999_bc_lastreminder_event_on")</f>
        <v>bbw_smsfb_29mar_bcat999_bc_lastreminder_event_on</v>
      </c>
      <c r="H356" s="212" t="str">
        <f>IFERROR(__xludf.DUMMYFUNCTION("""COMPUTED_VALUE"""),"BC_EventBuyers_ON")</f>
        <v>BC_EventBuyers_ON</v>
      </c>
      <c r="I356" s="212" t="str">
        <f>IFERROR(__xludf.DUMMYFUNCTION("""COMPUTED_VALUE"""),"WA Undelivered")</f>
        <v>WA Undelivered</v>
      </c>
      <c r="J356" s="213">
        <f>IFERROR(__xludf.DUMMYFUNCTION("""COMPUTED_VALUE"""),1830.0)</f>
        <v>1830</v>
      </c>
      <c r="K356" s="213">
        <f>IFERROR(__xludf.DUMMYFUNCTION("""COMPUTED_VALUE"""),980.0)</f>
        <v>980</v>
      </c>
      <c r="L356" s="214">
        <f>IFERROR(__xludf.DUMMYFUNCTION("""COMPUTED_VALUE"""),0.5355)</f>
        <v>0.5355</v>
      </c>
      <c r="M356" s="213"/>
      <c r="N356" s="214"/>
      <c r="O356" s="213">
        <f>IFERROR(__xludf.DUMMYFUNCTION("""COMPUTED_VALUE"""),1.0)</f>
        <v>1</v>
      </c>
      <c r="P356" s="213"/>
      <c r="Q356" s="214">
        <f>IFERROR(__xludf.DUMMYFUNCTION("""COMPUTED_VALUE"""),0.001)</f>
        <v>0.001</v>
      </c>
      <c r="R356" s="214"/>
      <c r="S356" s="101">
        <f>IFERROR(__xludf.DUMMYFUNCTION("""COMPUTED_VALUE"""),0.0)</f>
        <v>0</v>
      </c>
      <c r="T356" s="101">
        <f>IFERROR(__xludf.DUMMYFUNCTION("""COMPUTED_VALUE"""),0.0)</f>
        <v>0</v>
      </c>
      <c r="U356" s="270">
        <f>IFERROR(__xludf.DUMMYFUNCTION("""COMPUTED_VALUE"""),0.0)</f>
        <v>0</v>
      </c>
      <c r="V356" s="271" t="str">
        <f>IFERROR(__xludf.DUMMYFUNCTION("""COMPUTED_VALUE"""),"online")</f>
        <v>online</v>
      </c>
      <c r="W356" s="272" t="str">
        <f>IFERROR(__xludf.DUMMYFUNCTION("""COMPUTED_VALUE"""),"SMS")</f>
        <v>SMS</v>
      </c>
      <c r="X356" s="272" t="str">
        <f>IFERROR(__xludf.DUMMYFUNCTION("""COMPUTED_VALUE"""),"Event Buyers")</f>
        <v>Event Buyers</v>
      </c>
      <c r="Y356" s="272" t="str">
        <f>IFERROR(__xludf.DUMMYFUNCTION("""COMPUTED_VALUE"""),"29 March")</f>
        <v>29 March</v>
      </c>
      <c r="Z356" s="272" t="str">
        <f>IFERROR(__xludf.DUMMYFUNCTION("""COMPUTED_VALUE"""),"69c65e12a2bd1a11c1e814aa")</f>
        <v>69c65e12a2bd1a11c1e814aa</v>
      </c>
      <c r="AA356" s="272">
        <f>IFERROR(__xludf.DUMMYFUNCTION("""COMPUTED_VALUE"""),4.0)</f>
        <v>4</v>
      </c>
      <c r="AB356" s="272">
        <f>IFERROR(__xludf.DUMMYFUNCTION("""COMPUTED_VALUE"""),4.0)</f>
        <v>4</v>
      </c>
      <c r="AC356" s="272"/>
      <c r="AD356" s="272">
        <f>IFERROR(__xludf.DUMMYFUNCTION("""COMPUTED_VALUE"""),12987.0)</f>
        <v>12987</v>
      </c>
      <c r="AE356" s="272">
        <f>IFERROR(__xludf.DUMMYFUNCTION("""COMPUTED_VALUE"""),12987.0)</f>
        <v>12987</v>
      </c>
      <c r="AF356" s="272"/>
      <c r="AG356" s="208"/>
      <c r="AH356" s="208"/>
      <c r="AI356" s="208"/>
      <c r="AJ356" s="208"/>
      <c r="AK356" s="208"/>
    </row>
    <row r="357" hidden="1">
      <c r="A357" s="209">
        <f>IFERROR(__xludf.DUMMYFUNCTION("""COMPUTED_VALUE"""),46110.0)</f>
        <v>46110</v>
      </c>
      <c r="B357" s="210">
        <f>IFERROR(__xludf.DUMMYFUNCTION("""COMPUTED_VALUE"""),0.5208333333321207)</f>
        <v>0.5208333333</v>
      </c>
      <c r="C357" s="211" t="str">
        <f>IFERROR(__xludf.DUMMYFUNCTION("""COMPUTED_VALUE"""),"Sms")</f>
        <v>Sms</v>
      </c>
      <c r="D357" s="211" t="str">
        <f>IFERROR(__xludf.DUMMYFUNCTION("""COMPUTED_VALUE"""),"Fallback Campaign")</f>
        <v>Fallback Campaign</v>
      </c>
      <c r="E357" s="211" t="str">
        <f>IFERROR(__xludf.DUMMYFUNCTION("""COMPUTED_VALUE"""),"BBW")</f>
        <v>BBW</v>
      </c>
      <c r="F357" s="211" t="str">
        <f>IFERROR(__xludf.DUMMYFUNCTION("""COMPUTED_VALUE"""),"bcat999")</f>
        <v>bcat999</v>
      </c>
      <c r="G357" s="212" t="str">
        <f>IFERROR(__xludf.DUMMYFUNCTION("""COMPUTED_VALUE"""),"bbw_smsfb_29mar_bcat999_bc_lastreminder_discount_on")</f>
        <v>bbw_smsfb_29mar_bcat999_bc_lastreminder_discount_on</v>
      </c>
      <c r="H357" s="212" t="str">
        <f>IFERROR(__xludf.DUMMYFUNCTION("""COMPUTED_VALUE"""),"Disc_Buyer_365D_ON")</f>
        <v>Disc_Buyer_365D_ON</v>
      </c>
      <c r="I357" s="212" t="str">
        <f>IFERROR(__xludf.DUMMYFUNCTION("""COMPUTED_VALUE"""),"WA Undelivered")</f>
        <v>WA Undelivered</v>
      </c>
      <c r="J357" s="213">
        <f>IFERROR(__xludf.DUMMYFUNCTION("""COMPUTED_VALUE"""),37885.0)</f>
        <v>37885</v>
      </c>
      <c r="K357" s="213">
        <f>IFERROR(__xludf.DUMMYFUNCTION("""COMPUTED_VALUE"""),22664.0)</f>
        <v>22664</v>
      </c>
      <c r="L357" s="214">
        <f>IFERROR(__xludf.DUMMYFUNCTION("""COMPUTED_VALUE"""),0.5982)</f>
        <v>0.5982</v>
      </c>
      <c r="M357" s="213"/>
      <c r="N357" s="214"/>
      <c r="O357" s="213">
        <f>IFERROR(__xludf.DUMMYFUNCTION("""COMPUTED_VALUE"""),35.0)</f>
        <v>35</v>
      </c>
      <c r="P357" s="213"/>
      <c r="Q357" s="214">
        <f>IFERROR(__xludf.DUMMYFUNCTION("""COMPUTED_VALUE"""),0.0015)</f>
        <v>0.0015</v>
      </c>
      <c r="R357" s="214"/>
      <c r="S357" s="101">
        <f>IFERROR(__xludf.DUMMYFUNCTION("""COMPUTED_VALUE"""),2.0)</f>
        <v>2</v>
      </c>
      <c r="T357" s="101">
        <f>IFERROR(__xludf.DUMMYFUNCTION("""COMPUTED_VALUE"""),2.0)</f>
        <v>2</v>
      </c>
      <c r="U357" s="270">
        <f>IFERROR(__xludf.DUMMYFUNCTION("""COMPUTED_VALUE"""),14985.0)</f>
        <v>14985</v>
      </c>
      <c r="V357" s="271" t="str">
        <f>IFERROR(__xludf.DUMMYFUNCTION("""COMPUTED_VALUE"""),"online")</f>
        <v>online</v>
      </c>
      <c r="W357" s="272" t="str">
        <f>IFERROR(__xludf.DUMMYFUNCTION("""COMPUTED_VALUE"""),"SMS")</f>
        <v>SMS</v>
      </c>
      <c r="X357" s="272" t="str">
        <f>IFERROR(__xludf.DUMMYFUNCTION("""COMPUTED_VALUE"""),"Discount Buyers")</f>
        <v>Discount Buyers</v>
      </c>
      <c r="Y357" s="272" t="str">
        <f>IFERROR(__xludf.DUMMYFUNCTION("""COMPUTED_VALUE"""),"29 March")</f>
        <v>29 March</v>
      </c>
      <c r="Z357" s="272" t="str">
        <f>IFERROR(__xludf.DUMMYFUNCTION("""COMPUTED_VALUE"""),"69c65e43355c46dbb6567321")</f>
        <v>69c65e43355c46dbb6567321</v>
      </c>
      <c r="AA357" s="272">
        <f>IFERROR(__xludf.DUMMYFUNCTION("""COMPUTED_VALUE"""),17.0)</f>
        <v>17</v>
      </c>
      <c r="AB357" s="272">
        <f>IFERROR(__xludf.DUMMYFUNCTION("""COMPUTED_VALUE"""),17.0)</f>
        <v>17</v>
      </c>
      <c r="AC357" s="272"/>
      <c r="AD357" s="272">
        <f>IFERROR(__xludf.DUMMYFUNCTION("""COMPUTED_VALUE"""),12987.0)</f>
        <v>12987</v>
      </c>
      <c r="AE357" s="272">
        <f>IFERROR(__xludf.DUMMYFUNCTION("""COMPUTED_VALUE"""),12987.0)</f>
        <v>12987</v>
      </c>
      <c r="AF357" s="272"/>
      <c r="AG357" s="208"/>
      <c r="AH357" s="208"/>
      <c r="AI357" s="208"/>
      <c r="AJ357" s="208"/>
      <c r="AK357" s="208"/>
    </row>
    <row r="358" hidden="1">
      <c r="A358" s="209">
        <f>IFERROR(__xludf.DUMMYFUNCTION("""COMPUTED_VALUE"""),46110.0)</f>
        <v>46110</v>
      </c>
      <c r="B358" s="210">
        <f>IFERROR(__xludf.DUMMYFUNCTION("""COMPUTED_VALUE"""),0.5208333333321207)</f>
        <v>0.5208333333</v>
      </c>
      <c r="C358" s="211" t="str">
        <f>IFERROR(__xludf.DUMMYFUNCTION("""COMPUTED_VALUE"""),"Sms")</f>
        <v>Sms</v>
      </c>
      <c r="D358" s="211" t="str">
        <f>IFERROR(__xludf.DUMMYFUNCTION("""COMPUTED_VALUE"""),"Fallback Campaign")</f>
        <v>Fallback Campaign</v>
      </c>
      <c r="E358" s="211" t="str">
        <f>IFERROR(__xludf.DUMMYFUNCTION("""COMPUTED_VALUE"""),"BBW")</f>
        <v>BBW</v>
      </c>
      <c r="F358" s="211" t="str">
        <f>IFERROR(__xludf.DUMMYFUNCTION("""COMPUTED_VALUE"""),"bcat999")</f>
        <v>bcat999</v>
      </c>
      <c r="G358" s="212" t="str">
        <f>IFERROR(__xludf.DUMMYFUNCTION("""COMPUTED_VALUE"""),"bbw_smsfb_29mar_bcat999_bc_lastreminder_appinstall_on")</f>
        <v>bbw_smsfb_29mar_bcat999_bc_lastreminder_appinstall_on</v>
      </c>
      <c r="H358" s="212" t="str">
        <f>IFERROR(__xludf.DUMMYFUNCTION("""COMPUTED_VALUE"""),"App_Install_No_Buy_60D")</f>
        <v>App_Install_No_Buy_60D</v>
      </c>
      <c r="I358" s="212" t="str">
        <f>IFERROR(__xludf.DUMMYFUNCTION("""COMPUTED_VALUE"""),"WA Undelivered")</f>
        <v>WA Undelivered</v>
      </c>
      <c r="J358" s="213">
        <f>IFERROR(__xludf.DUMMYFUNCTION("""COMPUTED_VALUE"""),587.0)</f>
        <v>587</v>
      </c>
      <c r="K358" s="213">
        <f>IFERROR(__xludf.DUMMYFUNCTION("""COMPUTED_VALUE"""),380.0)</f>
        <v>380</v>
      </c>
      <c r="L358" s="214">
        <f>IFERROR(__xludf.DUMMYFUNCTION("""COMPUTED_VALUE"""),0.6474)</f>
        <v>0.6474</v>
      </c>
      <c r="M358" s="213"/>
      <c r="N358" s="214"/>
      <c r="O358" s="213">
        <f>IFERROR(__xludf.DUMMYFUNCTION("""COMPUTED_VALUE"""),0.0)</f>
        <v>0</v>
      </c>
      <c r="P358" s="213"/>
      <c r="Q358" s="214">
        <f>IFERROR(__xludf.DUMMYFUNCTION("""COMPUTED_VALUE"""),0.0)</f>
        <v>0</v>
      </c>
      <c r="R358" s="214"/>
      <c r="S358" s="101">
        <f>IFERROR(__xludf.DUMMYFUNCTION("""COMPUTED_VALUE"""),0.0)</f>
        <v>0</v>
      </c>
      <c r="T358" s="101">
        <f>IFERROR(__xludf.DUMMYFUNCTION("""COMPUTED_VALUE"""),1.0)</f>
        <v>1</v>
      </c>
      <c r="U358" s="270">
        <f>IFERROR(__xludf.DUMMYFUNCTION("""COMPUTED_VALUE"""),0.0)</f>
        <v>0</v>
      </c>
      <c r="V358" s="271" t="str">
        <f>IFERROR(__xludf.DUMMYFUNCTION("""COMPUTED_VALUE"""),"online")</f>
        <v>online</v>
      </c>
      <c r="W358" s="272" t="str">
        <f>IFERROR(__xludf.DUMMYFUNCTION("""COMPUTED_VALUE"""),"SMS")</f>
        <v>SMS</v>
      </c>
      <c r="X358" s="272" t="str">
        <f>IFERROR(__xludf.DUMMYFUNCTION("""COMPUTED_VALUE"""),"App Users")</f>
        <v>App Users</v>
      </c>
      <c r="Y358" s="272" t="str">
        <f>IFERROR(__xludf.DUMMYFUNCTION("""COMPUTED_VALUE"""),"29 March")</f>
        <v>29 March</v>
      </c>
      <c r="Z358" s="272" t="str">
        <f>IFERROR(__xludf.DUMMYFUNCTION("""COMPUTED_VALUE"""),"69c65e7ab886ab24c6762d28")</f>
        <v>69c65e7ab886ab24c6762d28</v>
      </c>
      <c r="AA358" s="272">
        <f>IFERROR(__xludf.DUMMYFUNCTION("""COMPUTED_VALUE"""),1.0)</f>
        <v>1</v>
      </c>
      <c r="AB358" s="272">
        <f>IFERROR(__xludf.DUMMYFUNCTION("""COMPUTED_VALUE"""),1.0)</f>
        <v>1</v>
      </c>
      <c r="AC358" s="272"/>
      <c r="AD358" s="272">
        <f>IFERROR(__xludf.DUMMYFUNCTION("""COMPUTED_VALUE"""),4097.0)</f>
        <v>4097</v>
      </c>
      <c r="AE358" s="272">
        <f>IFERROR(__xludf.DUMMYFUNCTION("""COMPUTED_VALUE"""),4097.0)</f>
        <v>4097</v>
      </c>
      <c r="AF358" s="272"/>
      <c r="AG358" s="208"/>
      <c r="AH358" s="208"/>
      <c r="AI358" s="208"/>
      <c r="AJ358" s="208"/>
      <c r="AK358" s="208"/>
    </row>
    <row r="359" hidden="1">
      <c r="A359" s="209">
        <f>IFERROR(__xludf.DUMMYFUNCTION("""COMPUTED_VALUE"""),46110.0)</f>
        <v>46110</v>
      </c>
      <c r="B359" s="210">
        <f>IFERROR(__xludf.DUMMYFUNCTION("""COMPUTED_VALUE"""),0.5208333333321207)</f>
        <v>0.5208333333</v>
      </c>
      <c r="C359" s="211" t="str">
        <f>IFERROR(__xludf.DUMMYFUNCTION("""COMPUTED_VALUE"""),"Sms")</f>
        <v>Sms</v>
      </c>
      <c r="D359" s="211" t="str">
        <f>IFERROR(__xludf.DUMMYFUNCTION("""COMPUTED_VALUE"""),"Fallback Campaign")</f>
        <v>Fallback Campaign</v>
      </c>
      <c r="E359" s="211" t="str">
        <f>IFERROR(__xludf.DUMMYFUNCTION("""COMPUTED_VALUE"""),"BBW")</f>
        <v>BBW</v>
      </c>
      <c r="F359" s="211" t="str">
        <f>IFERROR(__xludf.DUMMYFUNCTION("""COMPUTED_VALUE"""),"bcat999")</f>
        <v>bcat999</v>
      </c>
      <c r="G359" s="212" t="str">
        <f>IFERROR(__xludf.DUMMYFUNCTION("""COMPUTED_VALUE"""),"bbw_smsfb_29mar_bcat999_bc_lastreminder_repeat_off")</f>
        <v>bbw_smsfb_29mar_bcat999_bc_lastreminder_repeat_off</v>
      </c>
      <c r="H359" s="212" t="str">
        <f>IFERROR(__xludf.DUMMYFUNCTION("""COMPUTED_VALUE"""),"BodyCare_Repeat_180D_OFF")</f>
        <v>BodyCare_Repeat_180D_OFF</v>
      </c>
      <c r="I359" s="212" t="str">
        <f>IFERROR(__xludf.DUMMYFUNCTION("""COMPUTED_VALUE"""),"WA Undelivered")</f>
        <v>WA Undelivered</v>
      </c>
      <c r="J359" s="213">
        <f>IFERROR(__xludf.DUMMYFUNCTION("""COMPUTED_VALUE"""),8425.0)</f>
        <v>8425</v>
      </c>
      <c r="K359" s="213">
        <f>IFERROR(__xludf.DUMMYFUNCTION("""COMPUTED_VALUE"""),4694.0)</f>
        <v>4694</v>
      </c>
      <c r="L359" s="214">
        <f>IFERROR(__xludf.DUMMYFUNCTION("""COMPUTED_VALUE"""),0.5572)</f>
        <v>0.5572</v>
      </c>
      <c r="M359" s="213"/>
      <c r="N359" s="214"/>
      <c r="O359" s="213">
        <f>IFERROR(__xludf.DUMMYFUNCTION("""COMPUTED_VALUE"""),4.0)</f>
        <v>4</v>
      </c>
      <c r="P359" s="213"/>
      <c r="Q359" s="214">
        <f>IFERROR(__xludf.DUMMYFUNCTION("""COMPUTED_VALUE"""),9.0E-4)</f>
        <v>0.0009</v>
      </c>
      <c r="R359" s="214"/>
      <c r="S359" s="101">
        <f>IFERROR(__xludf.DUMMYFUNCTION("""COMPUTED_VALUE"""),1.0)</f>
        <v>1</v>
      </c>
      <c r="T359" s="101">
        <f>IFERROR(__xludf.DUMMYFUNCTION("""COMPUTED_VALUE"""),1.0)</f>
        <v>1</v>
      </c>
      <c r="U359" s="270">
        <f>IFERROR(__xludf.DUMMYFUNCTION("""COMPUTED_VALUE"""),948.0)</f>
        <v>948</v>
      </c>
      <c r="V359" s="271" t="str">
        <f>IFERROR(__xludf.DUMMYFUNCTION("""COMPUTED_VALUE"""),"offline ")</f>
        <v>offline </v>
      </c>
      <c r="W359" s="272" t="str">
        <f>IFERROR(__xludf.DUMMYFUNCTION("""COMPUTED_VALUE"""),"SMS")</f>
        <v>SMS</v>
      </c>
      <c r="X359" s="272" t="str">
        <f>IFERROR(__xludf.DUMMYFUNCTION("""COMPUTED_VALUE"""),"Cat Repeat")</f>
        <v>Cat Repeat</v>
      </c>
      <c r="Y359" s="272" t="str">
        <f>IFERROR(__xludf.DUMMYFUNCTION("""COMPUTED_VALUE"""),"29 March")</f>
        <v>29 March</v>
      </c>
      <c r="Z359" s="272" t="str">
        <f>IFERROR(__xludf.DUMMYFUNCTION("""COMPUTED_VALUE"""),"69c660a43be73838c071db99")</f>
        <v>69c660a43be73838c071db99</v>
      </c>
      <c r="AA359" s="272">
        <f>IFERROR(__xludf.DUMMYFUNCTION("""COMPUTED_VALUE"""),33.0)</f>
        <v>33</v>
      </c>
      <c r="AB359" s="272"/>
      <c r="AC359" s="272">
        <f>IFERROR(__xludf.DUMMYFUNCTION("""COMPUTED_VALUE"""),33.0)</f>
        <v>33</v>
      </c>
      <c r="AD359" s="272">
        <f>IFERROR(__xludf.DUMMYFUNCTION("""COMPUTED_VALUE"""),119931.0)</f>
        <v>119931</v>
      </c>
      <c r="AE359" s="272"/>
      <c r="AF359" s="272">
        <f>IFERROR(__xludf.DUMMYFUNCTION("""COMPUTED_VALUE"""),119931.0)</f>
        <v>119931</v>
      </c>
      <c r="AG359" s="208"/>
      <c r="AH359" s="208"/>
      <c r="AI359" s="208"/>
      <c r="AJ359" s="208"/>
      <c r="AK359" s="208"/>
    </row>
    <row r="360" hidden="1">
      <c r="A360" s="209">
        <f>IFERROR(__xludf.DUMMYFUNCTION("""COMPUTED_VALUE"""),46110.0)</f>
        <v>46110</v>
      </c>
      <c r="B360" s="210">
        <f>IFERROR(__xludf.DUMMYFUNCTION("""COMPUTED_VALUE"""),0.5208333333321207)</f>
        <v>0.5208333333</v>
      </c>
      <c r="C360" s="211" t="str">
        <f>IFERROR(__xludf.DUMMYFUNCTION("""COMPUTED_VALUE"""),"Sms")</f>
        <v>Sms</v>
      </c>
      <c r="D360" s="211" t="str">
        <f>IFERROR(__xludf.DUMMYFUNCTION("""COMPUTED_VALUE"""),"Fallback Campaign")</f>
        <v>Fallback Campaign</v>
      </c>
      <c r="E360" s="211" t="str">
        <f>IFERROR(__xludf.DUMMYFUNCTION("""COMPUTED_VALUE"""),"BBW")</f>
        <v>BBW</v>
      </c>
      <c r="F360" s="211" t="str">
        <f>IFERROR(__xludf.DUMMYFUNCTION("""COMPUTED_VALUE"""),"bcat999")</f>
        <v>bcat999</v>
      </c>
      <c r="G360" s="212" t="str">
        <f>IFERROR(__xludf.DUMMYFUNCTION("""COMPUTED_VALUE"""),"bbw_smsfb_29mar_bcat999_bc_lastreminder_bcmax_off")</f>
        <v>bbw_smsfb_29mar_bcat999_bc_lastreminder_bcmax_off</v>
      </c>
      <c r="H360" s="212" t="str">
        <f>IFERROR(__xludf.DUMMYFUNCTION("""COMPUTED_VALUE"""),"BC_999max_1Y_OFF")</f>
        <v>BC_999max_1Y_OFF</v>
      </c>
      <c r="I360" s="212" t="str">
        <f>IFERROR(__xludf.DUMMYFUNCTION("""COMPUTED_VALUE"""),"WA Undelivered")</f>
        <v>WA Undelivered</v>
      </c>
      <c r="J360" s="213">
        <f>IFERROR(__xludf.DUMMYFUNCTION("""COMPUTED_VALUE"""),11873.0)</f>
        <v>11873</v>
      </c>
      <c r="K360" s="213">
        <f>IFERROR(__xludf.DUMMYFUNCTION("""COMPUTED_VALUE"""),7306.0)</f>
        <v>7306</v>
      </c>
      <c r="L360" s="214">
        <f>IFERROR(__xludf.DUMMYFUNCTION("""COMPUTED_VALUE"""),0.6153)</f>
        <v>0.6153</v>
      </c>
      <c r="M360" s="213"/>
      <c r="N360" s="214"/>
      <c r="O360" s="213">
        <f>IFERROR(__xludf.DUMMYFUNCTION("""COMPUTED_VALUE"""),5.0)</f>
        <v>5</v>
      </c>
      <c r="P360" s="213"/>
      <c r="Q360" s="214">
        <f>IFERROR(__xludf.DUMMYFUNCTION("""COMPUTED_VALUE"""),7.0E-4)</f>
        <v>0.0007</v>
      </c>
      <c r="R360" s="214"/>
      <c r="S360" s="101">
        <f>IFERROR(__xludf.DUMMYFUNCTION("""COMPUTED_VALUE"""),0.0)</f>
        <v>0</v>
      </c>
      <c r="T360" s="101">
        <f>IFERROR(__xludf.DUMMYFUNCTION("""COMPUTED_VALUE"""),0.0)</f>
        <v>0</v>
      </c>
      <c r="U360" s="270">
        <f>IFERROR(__xludf.DUMMYFUNCTION("""COMPUTED_VALUE"""),0.0)</f>
        <v>0</v>
      </c>
      <c r="V360" s="271" t="str">
        <f>IFERROR(__xludf.DUMMYFUNCTION("""COMPUTED_VALUE"""),"offline ")</f>
        <v>offline </v>
      </c>
      <c r="W360" s="272" t="str">
        <f>IFERROR(__xludf.DUMMYFUNCTION("""COMPUTED_VALUE"""),"SMS")</f>
        <v>SMS</v>
      </c>
      <c r="X360" s="272" t="str">
        <f>IFERROR(__xludf.DUMMYFUNCTION("""COMPUTED_VALUE"""),"Cart Value")</f>
        <v>Cart Value</v>
      </c>
      <c r="Y360" s="272" t="str">
        <f>IFERROR(__xludf.DUMMYFUNCTION("""COMPUTED_VALUE"""),"29 March")</f>
        <v>29 March</v>
      </c>
      <c r="Z360" s="272" t="str">
        <f>IFERROR(__xludf.DUMMYFUNCTION("""COMPUTED_VALUE"""),"69c660d6b958210203df0841")</f>
        <v>69c660d6b958210203df0841</v>
      </c>
      <c r="AA360" s="272">
        <f>IFERROR(__xludf.DUMMYFUNCTION("""COMPUTED_VALUE"""),10.0)</f>
        <v>10</v>
      </c>
      <c r="AB360" s="272"/>
      <c r="AC360" s="272">
        <f>IFERROR(__xludf.DUMMYFUNCTION("""COMPUTED_VALUE"""),10.0)</f>
        <v>10</v>
      </c>
      <c r="AD360" s="272">
        <f>IFERROR(__xludf.DUMMYFUNCTION("""COMPUTED_VALUE"""),17581.0)</f>
        <v>17581</v>
      </c>
      <c r="AE360" s="272"/>
      <c r="AF360" s="272">
        <f>IFERROR(__xludf.DUMMYFUNCTION("""COMPUTED_VALUE"""),17581.0)</f>
        <v>17581</v>
      </c>
      <c r="AG360" s="208"/>
      <c r="AH360" s="208"/>
      <c r="AI360" s="208"/>
      <c r="AJ360" s="208"/>
      <c r="AK360" s="208"/>
    </row>
    <row r="361" hidden="1">
      <c r="A361" s="209">
        <f>IFERROR(__xludf.DUMMYFUNCTION("""COMPUTED_VALUE"""),46110.0)</f>
        <v>46110</v>
      </c>
      <c r="B361" s="210">
        <f>IFERROR(__xludf.DUMMYFUNCTION("""COMPUTED_VALUE"""),0.5208333333321207)</f>
        <v>0.5208333333</v>
      </c>
      <c r="C361" s="211" t="str">
        <f>IFERROR(__xludf.DUMMYFUNCTION("""COMPUTED_VALUE"""),"Sms")</f>
        <v>Sms</v>
      </c>
      <c r="D361" s="211" t="str">
        <f>IFERROR(__xludf.DUMMYFUNCTION("""COMPUTED_VALUE"""),"Fallback Campaign")</f>
        <v>Fallback Campaign</v>
      </c>
      <c r="E361" s="211" t="str">
        <f>IFERROR(__xludf.DUMMYFUNCTION("""COMPUTED_VALUE"""),"BBW")</f>
        <v>BBW</v>
      </c>
      <c r="F361" s="211" t="str">
        <f>IFERROR(__xludf.DUMMYFUNCTION("""COMPUTED_VALUE"""),"bcat999")</f>
        <v>bcat999</v>
      </c>
      <c r="G361" s="212" t="str">
        <f>IFERROR(__xludf.DUMMYFUNCTION("""COMPUTED_VALUE"""),"bbw_smsfb_29mar_bcat999_bc_lastreminder_event_off")</f>
        <v>bbw_smsfb_29mar_bcat999_bc_lastreminder_event_off</v>
      </c>
      <c r="H361" s="212" t="str">
        <f>IFERROR(__xludf.DUMMYFUNCTION("""COMPUTED_VALUE"""),"BC_EventBuyers_OFF")</f>
        <v>BC_EventBuyers_OFF</v>
      </c>
      <c r="I361" s="212" t="str">
        <f>IFERROR(__xludf.DUMMYFUNCTION("""COMPUTED_VALUE"""),"WA Undelivered")</f>
        <v>WA Undelivered</v>
      </c>
      <c r="J361" s="213">
        <f>IFERROR(__xludf.DUMMYFUNCTION("""COMPUTED_VALUE"""),12078.0)</f>
        <v>12078</v>
      </c>
      <c r="K361" s="213">
        <f>IFERROR(__xludf.DUMMYFUNCTION("""COMPUTED_VALUE"""),6932.0)</f>
        <v>6932</v>
      </c>
      <c r="L361" s="214">
        <f>IFERROR(__xludf.DUMMYFUNCTION("""COMPUTED_VALUE"""),0.5739)</f>
        <v>0.5739</v>
      </c>
      <c r="M361" s="213"/>
      <c r="N361" s="214"/>
      <c r="O361" s="213">
        <f>IFERROR(__xludf.DUMMYFUNCTION("""COMPUTED_VALUE"""),8.0)</f>
        <v>8</v>
      </c>
      <c r="P361" s="213"/>
      <c r="Q361" s="214">
        <f>IFERROR(__xludf.DUMMYFUNCTION("""COMPUTED_VALUE"""),0.0012)</f>
        <v>0.0012</v>
      </c>
      <c r="R361" s="214"/>
      <c r="S361" s="101">
        <f>IFERROR(__xludf.DUMMYFUNCTION("""COMPUTED_VALUE"""),0.0)</f>
        <v>0</v>
      </c>
      <c r="T361" s="101">
        <f>IFERROR(__xludf.DUMMYFUNCTION("""COMPUTED_VALUE"""),0.0)</f>
        <v>0</v>
      </c>
      <c r="U361" s="270">
        <f>IFERROR(__xludf.DUMMYFUNCTION("""COMPUTED_VALUE"""),0.0)</f>
        <v>0</v>
      </c>
      <c r="V361" s="271" t="str">
        <f>IFERROR(__xludf.DUMMYFUNCTION("""COMPUTED_VALUE"""),"offline ")</f>
        <v>offline </v>
      </c>
      <c r="W361" s="272" t="str">
        <f>IFERROR(__xludf.DUMMYFUNCTION("""COMPUTED_VALUE"""),"SMS")</f>
        <v>SMS</v>
      </c>
      <c r="X361" s="272" t="str">
        <f>IFERROR(__xludf.DUMMYFUNCTION("""COMPUTED_VALUE"""),"Event Buyers")</f>
        <v>Event Buyers</v>
      </c>
      <c r="Y361" s="272" t="str">
        <f>IFERROR(__xludf.DUMMYFUNCTION("""COMPUTED_VALUE"""),"29 March")</f>
        <v>29 March</v>
      </c>
      <c r="Z361" s="272" t="str">
        <f>IFERROR(__xludf.DUMMYFUNCTION("""COMPUTED_VALUE"""),"69c66113467661c4620f0a65")</f>
        <v>69c66113467661c4620f0a65</v>
      </c>
      <c r="AA361" s="272">
        <f>IFERROR(__xludf.DUMMYFUNCTION("""COMPUTED_VALUE"""),16.0)</f>
        <v>16</v>
      </c>
      <c r="AB361" s="272"/>
      <c r="AC361" s="272">
        <f>IFERROR(__xludf.DUMMYFUNCTION("""COMPUTED_VALUE"""),16.0)</f>
        <v>16</v>
      </c>
      <c r="AD361" s="272">
        <f>IFERROR(__xludf.DUMMYFUNCTION("""COMPUTED_VALUE"""),58749.0)</f>
        <v>58749</v>
      </c>
      <c r="AE361" s="272"/>
      <c r="AF361" s="272">
        <f>IFERROR(__xludf.DUMMYFUNCTION("""COMPUTED_VALUE"""),58749.0)</f>
        <v>58749</v>
      </c>
      <c r="AG361" s="208"/>
      <c r="AH361" s="208"/>
      <c r="AI361" s="208"/>
      <c r="AJ361" s="208"/>
      <c r="AK361" s="208"/>
    </row>
    <row r="362" hidden="1">
      <c r="A362" s="209">
        <f>IFERROR(__xludf.DUMMYFUNCTION("""COMPUTED_VALUE"""),46110.0)</f>
        <v>46110</v>
      </c>
      <c r="B362" s="210">
        <f>IFERROR(__xludf.DUMMYFUNCTION("""COMPUTED_VALUE"""),0.5208333333321207)</f>
        <v>0.5208333333</v>
      </c>
      <c r="C362" s="211" t="str">
        <f>IFERROR(__xludf.DUMMYFUNCTION("""COMPUTED_VALUE"""),"Sms")</f>
        <v>Sms</v>
      </c>
      <c r="D362" s="211" t="str">
        <f>IFERROR(__xludf.DUMMYFUNCTION("""COMPUTED_VALUE"""),"Fallback Campaign")</f>
        <v>Fallback Campaign</v>
      </c>
      <c r="E362" s="211" t="str">
        <f>IFERROR(__xludf.DUMMYFUNCTION("""COMPUTED_VALUE"""),"BBW")</f>
        <v>BBW</v>
      </c>
      <c r="F362" s="211" t="str">
        <f>IFERROR(__xludf.DUMMYFUNCTION("""COMPUTED_VALUE"""),"bcat999")</f>
        <v>bcat999</v>
      </c>
      <c r="G362" s="212" t="str">
        <f>IFERROR(__xludf.DUMMYFUNCTION("""COMPUTED_VALUE"""),"bbw_smsfb_29mar_bcat999_bc_lastreminder_allcat_except_bc_off")</f>
        <v>bbw_smsfb_29mar_bcat999_bc_lastreminder_allcat_except_bc_off</v>
      </c>
      <c r="H362" s="212" t="str">
        <f>IFERROR(__xludf.DUMMYFUNCTION("""COMPUTED_VALUE"""),"Cat_Excl_BC_OFF")</f>
        <v>Cat_Excl_BC_OFF</v>
      </c>
      <c r="I362" s="212" t="str">
        <f>IFERROR(__xludf.DUMMYFUNCTION("""COMPUTED_VALUE"""),"WA Undelivered")</f>
        <v>WA Undelivered</v>
      </c>
      <c r="J362" s="213">
        <f>IFERROR(__xludf.DUMMYFUNCTION("""COMPUTED_VALUE"""),19324.0)</f>
        <v>19324</v>
      </c>
      <c r="K362" s="213">
        <f>IFERROR(__xludf.DUMMYFUNCTION("""COMPUTED_VALUE"""),11022.0)</f>
        <v>11022</v>
      </c>
      <c r="L362" s="214">
        <f>IFERROR(__xludf.DUMMYFUNCTION("""COMPUTED_VALUE"""),0.5704)</f>
        <v>0.5704</v>
      </c>
      <c r="M362" s="213"/>
      <c r="N362" s="214"/>
      <c r="O362" s="213">
        <f>IFERROR(__xludf.DUMMYFUNCTION("""COMPUTED_VALUE"""),10.0)</f>
        <v>10</v>
      </c>
      <c r="P362" s="213"/>
      <c r="Q362" s="214">
        <f>IFERROR(__xludf.DUMMYFUNCTION("""COMPUTED_VALUE"""),9.0E-4)</f>
        <v>0.0009</v>
      </c>
      <c r="R362" s="214"/>
      <c r="S362" s="101">
        <f>IFERROR(__xludf.DUMMYFUNCTION("""COMPUTED_VALUE"""),0.0)</f>
        <v>0</v>
      </c>
      <c r="T362" s="101">
        <f>IFERROR(__xludf.DUMMYFUNCTION("""COMPUTED_VALUE"""),2.0)</f>
        <v>2</v>
      </c>
      <c r="U362" s="270">
        <f>IFERROR(__xludf.DUMMYFUNCTION("""COMPUTED_VALUE"""),0.0)</f>
        <v>0</v>
      </c>
      <c r="V362" s="271" t="str">
        <f>IFERROR(__xludf.DUMMYFUNCTION("""COMPUTED_VALUE"""),"offline ")</f>
        <v>offline </v>
      </c>
      <c r="W362" s="272" t="str">
        <f>IFERROR(__xludf.DUMMYFUNCTION("""COMPUTED_VALUE"""),"SMS")</f>
        <v>SMS</v>
      </c>
      <c r="X362" s="272" t="str">
        <f>IFERROR(__xludf.DUMMYFUNCTION("""COMPUTED_VALUE"""),"Dormant")</f>
        <v>Dormant</v>
      </c>
      <c r="Y362" s="272" t="str">
        <f>IFERROR(__xludf.DUMMYFUNCTION("""COMPUTED_VALUE"""),"29 March")</f>
        <v>29 March</v>
      </c>
      <c r="Z362" s="272" t="str">
        <f>IFERROR(__xludf.DUMMYFUNCTION("""COMPUTED_VALUE"""),"69c6614cd257d62ee8334da4")</f>
        <v>69c6614cd257d62ee8334da4</v>
      </c>
      <c r="AA362" s="272">
        <f>IFERROR(__xludf.DUMMYFUNCTION("""COMPUTED_VALUE"""),17.0)</f>
        <v>17</v>
      </c>
      <c r="AB362" s="272"/>
      <c r="AC362" s="272">
        <f>IFERROR(__xludf.DUMMYFUNCTION("""COMPUTED_VALUE"""),17.0)</f>
        <v>17</v>
      </c>
      <c r="AD362" s="272">
        <f>IFERROR(__xludf.DUMMYFUNCTION("""COMPUTED_VALUE"""),45462.0)</f>
        <v>45462</v>
      </c>
      <c r="AE362" s="272"/>
      <c r="AF362" s="272">
        <f>IFERROR(__xludf.DUMMYFUNCTION("""COMPUTED_VALUE"""),45462.0)</f>
        <v>45462</v>
      </c>
      <c r="AG362" s="208"/>
      <c r="AH362" s="208"/>
      <c r="AI362" s="208"/>
      <c r="AJ362" s="208"/>
      <c r="AK362" s="208"/>
    </row>
    <row r="363" hidden="1">
      <c r="A363" s="209">
        <f>IFERROR(__xludf.DUMMYFUNCTION("""COMPUTED_VALUE"""),46110.0)</f>
        <v>46110</v>
      </c>
      <c r="B363" s="210">
        <f>IFERROR(__xludf.DUMMYFUNCTION("""COMPUTED_VALUE"""),0.5208333333321207)</f>
        <v>0.5208333333</v>
      </c>
      <c r="C363" s="211" t="str">
        <f>IFERROR(__xludf.DUMMYFUNCTION("""COMPUTED_VALUE"""),"Sms")</f>
        <v>Sms</v>
      </c>
      <c r="D363" s="211" t="str">
        <f>IFERROR(__xludf.DUMMYFUNCTION("""COMPUTED_VALUE"""),"Fallback Campaign")</f>
        <v>Fallback Campaign</v>
      </c>
      <c r="E363" s="211" t="str">
        <f>IFERROR(__xludf.DUMMYFUNCTION("""COMPUTED_VALUE"""),"BBW")</f>
        <v>BBW</v>
      </c>
      <c r="F363" s="211" t="str">
        <f>IFERROR(__xludf.DUMMYFUNCTION("""COMPUTED_VALUE"""),"bcat999")</f>
        <v>bcat999</v>
      </c>
      <c r="G363" s="212" t="str">
        <f>IFERROR(__xludf.DUMMYFUNCTION("""COMPUTED_VALUE"""),"bbw_smsfb_29mar_bcat999_bc_lastreminder_recent")</f>
        <v>bbw_smsfb_29mar_bcat999_bc_lastreminder_recent</v>
      </c>
      <c r="H363" s="212" t="str">
        <f>IFERROR(__xludf.DUMMYFUNCTION("""COMPUTED_VALUE"""),"Recent_30D_OFF")</f>
        <v>Recent_30D_OFF</v>
      </c>
      <c r="I363" s="212" t="str">
        <f>IFERROR(__xludf.DUMMYFUNCTION("""COMPUTED_VALUE"""),"WA Undelivered")</f>
        <v>WA Undelivered</v>
      </c>
      <c r="J363" s="213">
        <f>IFERROR(__xludf.DUMMYFUNCTION("""COMPUTED_VALUE"""),5229.0)</f>
        <v>5229</v>
      </c>
      <c r="K363" s="213">
        <f>IFERROR(__xludf.DUMMYFUNCTION("""COMPUTED_VALUE"""),3154.0)</f>
        <v>3154</v>
      </c>
      <c r="L363" s="214">
        <f>IFERROR(__xludf.DUMMYFUNCTION("""COMPUTED_VALUE"""),0.6032)</f>
        <v>0.6032</v>
      </c>
      <c r="M363" s="213"/>
      <c r="N363" s="214"/>
      <c r="O363" s="213">
        <f>IFERROR(__xludf.DUMMYFUNCTION("""COMPUTED_VALUE"""),6.0)</f>
        <v>6</v>
      </c>
      <c r="P363" s="213"/>
      <c r="Q363" s="214">
        <f>IFERROR(__xludf.DUMMYFUNCTION("""COMPUTED_VALUE"""),0.0019)</f>
        <v>0.0019</v>
      </c>
      <c r="R363" s="214"/>
      <c r="S363" s="101">
        <f>IFERROR(__xludf.DUMMYFUNCTION("""COMPUTED_VALUE"""),0.0)</f>
        <v>0</v>
      </c>
      <c r="T363" s="101">
        <f>IFERROR(__xludf.DUMMYFUNCTION("""COMPUTED_VALUE"""),0.0)</f>
        <v>0</v>
      </c>
      <c r="U363" s="270">
        <f>IFERROR(__xludf.DUMMYFUNCTION("""COMPUTED_VALUE"""),0.0)</f>
        <v>0</v>
      </c>
      <c r="V363" s="271" t="str">
        <f>IFERROR(__xludf.DUMMYFUNCTION("""COMPUTED_VALUE"""),"offline ")</f>
        <v>offline </v>
      </c>
      <c r="W363" s="272" t="str">
        <f>IFERROR(__xludf.DUMMYFUNCTION("""COMPUTED_VALUE"""),"SMS")</f>
        <v>SMS</v>
      </c>
      <c r="X363" s="272" t="str">
        <f>IFERROR(__xludf.DUMMYFUNCTION("""COMPUTED_VALUE"""),"Active")</f>
        <v>Active</v>
      </c>
      <c r="Y363" s="272" t="str">
        <f>IFERROR(__xludf.DUMMYFUNCTION("""COMPUTED_VALUE"""),"29 March")</f>
        <v>29 March</v>
      </c>
      <c r="Z363" s="272" t="str">
        <f>IFERROR(__xludf.DUMMYFUNCTION("""COMPUTED_VALUE"""),"69c6617a4ffe0b34f969c7c1")</f>
        <v>69c6617a4ffe0b34f969c7c1</v>
      </c>
      <c r="AA363" s="272">
        <f>IFERROR(__xludf.DUMMYFUNCTION("""COMPUTED_VALUE"""),3.0)</f>
        <v>3</v>
      </c>
      <c r="AB363" s="272"/>
      <c r="AC363" s="272">
        <f>IFERROR(__xludf.DUMMYFUNCTION("""COMPUTED_VALUE"""),3.0)</f>
        <v>3</v>
      </c>
      <c r="AD363" s="272">
        <f>IFERROR(__xludf.DUMMYFUNCTION("""COMPUTED_VALUE"""),15984.0)</f>
        <v>15984</v>
      </c>
      <c r="AE363" s="272"/>
      <c r="AF363" s="272">
        <f>IFERROR(__xludf.DUMMYFUNCTION("""COMPUTED_VALUE"""),15984.0)</f>
        <v>15984</v>
      </c>
      <c r="AG363" s="208"/>
      <c r="AH363" s="208"/>
      <c r="AI363" s="208"/>
      <c r="AJ363" s="208"/>
      <c r="AK363" s="208"/>
    </row>
    <row r="364" hidden="1">
      <c r="A364" s="209">
        <f>IFERROR(__xludf.DUMMYFUNCTION("""COMPUTED_VALUE"""),46113.0)</f>
        <v>46113</v>
      </c>
      <c r="B364" s="210">
        <f>IFERROR(__xludf.DUMMYFUNCTION("""COMPUTED_VALUE"""),0.7708333333321207)</f>
        <v>0.7708333333</v>
      </c>
      <c r="C364" s="211" t="str">
        <f>IFERROR(__xludf.DUMMYFUNCTION("""COMPUTED_VALUE"""),"Whatsapp")</f>
        <v>Whatsapp</v>
      </c>
      <c r="D364" s="211" t="str">
        <f>IFERROR(__xludf.DUMMYFUNCTION("""COMPUTED_VALUE"""),"Promotional")</f>
        <v>Promotional</v>
      </c>
      <c r="E364" s="211" t="str">
        <f>IFERROR(__xludf.DUMMYFUNCTION("""COMPUTED_VALUE"""),"BBW")</f>
        <v>BBW</v>
      </c>
      <c r="F364" s="211" t="str">
        <f>IFERROR(__xludf.DUMMYFUNCTION("""COMPUTED_VALUE"""),"B1G1")</f>
        <v>B1G1</v>
      </c>
      <c r="G364" s="212" t="str">
        <f>IFERROR(__xludf.DUMMYFUNCTION("""COMPUTED_VALUE"""),"bbw_online_wa_1april_buy1get1_loyal")</f>
        <v>bbw_online_wa_1april_buy1get1_loyal</v>
      </c>
      <c r="H364" s="212" t="str">
        <f>IFERROR(__xludf.DUMMYFUNCTION("""COMPUTED_VALUE"""),"Loyal_ON OR AGIPL_Internal OR BBW_Internal")</f>
        <v>Loyal_ON OR AGIPL_Internal OR BBW_Internal</v>
      </c>
      <c r="I364" s="212" t="str">
        <f>IFERROR(__xludf.DUMMYFUNCTION("""COMPUTED_VALUE"""),"Online Customers who have 4 or more purchases in last 12 Months")</f>
        <v>Online Customers who have 4 or more purchases in last 12 Months</v>
      </c>
      <c r="J364" s="213">
        <f>IFERROR(__xludf.DUMMYFUNCTION("""COMPUTED_VALUE"""),4052.0)</f>
        <v>4052</v>
      </c>
      <c r="K364" s="213">
        <f>IFERROR(__xludf.DUMMYFUNCTION("""COMPUTED_VALUE"""),1331.0)</f>
        <v>1331</v>
      </c>
      <c r="L364" s="214">
        <f>IFERROR(__xludf.DUMMYFUNCTION("""COMPUTED_VALUE"""),0.3285)</f>
        <v>0.3285</v>
      </c>
      <c r="M364" s="214">
        <f>IFERROR(__xludf.DUMMYFUNCTION("""COMPUTED_VALUE"""),670.0)</f>
        <v>670</v>
      </c>
      <c r="N364" s="214">
        <f>IFERROR(__xludf.DUMMYFUNCTION("""COMPUTED_VALUE"""),0.5045)</f>
        <v>0.5045</v>
      </c>
      <c r="O364" s="213">
        <f>IFERROR(__xludf.DUMMYFUNCTION("""COMPUTED_VALUE"""),169.0)</f>
        <v>169</v>
      </c>
      <c r="P364" s="213">
        <f>IFERROR(__xludf.DUMMYFUNCTION("""COMPUTED_VALUE"""),155.0)</f>
        <v>155</v>
      </c>
      <c r="Q364" s="214">
        <f>IFERROR(__xludf.DUMMYFUNCTION("""COMPUTED_VALUE"""),0.1167)</f>
        <v>0.1167</v>
      </c>
      <c r="R364" s="214">
        <f>IFERROR(__xludf.DUMMYFUNCTION("""COMPUTED_VALUE"""),0.2313)</f>
        <v>0.2313</v>
      </c>
      <c r="S364" s="101">
        <f>IFERROR(__xludf.DUMMYFUNCTION("""COMPUTED_VALUE"""),8.0)</f>
        <v>8</v>
      </c>
      <c r="T364" s="101">
        <f>IFERROR(__xludf.DUMMYFUNCTION("""COMPUTED_VALUE"""),13.0)</f>
        <v>13</v>
      </c>
      <c r="U364" s="270">
        <f>IFERROR(__xludf.DUMMYFUNCTION("""COMPUTED_VALUE"""),40875.0)</f>
        <v>40875</v>
      </c>
      <c r="V364" s="271" t="str">
        <f>IFERROR(__xludf.DUMMYFUNCTION("""COMPUTED_VALUE"""),"online")</f>
        <v>online</v>
      </c>
      <c r="W364" s="272" t="str">
        <f>IFERROR(__xludf.DUMMYFUNCTION("""COMPUTED_VALUE"""),"simple")</f>
        <v>simple</v>
      </c>
      <c r="X364" s="272" t="str">
        <f>IFERROR(__xludf.DUMMYFUNCTION("""COMPUTED_VALUE"""),"Loyal")</f>
        <v>Loyal</v>
      </c>
      <c r="Y364" s="272" t="str">
        <f>IFERROR(__xludf.DUMMYFUNCTION("""COMPUTED_VALUE"""),"1-3 April")</f>
        <v>1-3 April</v>
      </c>
      <c r="Z364" s="272" t="str">
        <f>IFERROR(__xludf.DUMMYFUNCTION("""COMPUTED_VALUE"""),"69ccf2de5a3adbe14d5ccd16")</f>
        <v>69ccf2de5a3adbe14d5ccd16</v>
      </c>
      <c r="AA364" s="272">
        <f>IFERROR(__xludf.DUMMYFUNCTION("""COMPUTED_VALUE"""),28.0)</f>
        <v>28</v>
      </c>
      <c r="AB364" s="272">
        <f>IFERROR(__xludf.DUMMYFUNCTION("""COMPUTED_VALUE"""),28.0)</f>
        <v>28</v>
      </c>
      <c r="AC364" s="272"/>
      <c r="AD364" s="272">
        <f>IFERROR(__xludf.DUMMYFUNCTION("""COMPUTED_VALUE"""),139818.0)</f>
        <v>139818</v>
      </c>
      <c r="AE364" s="272">
        <f>IFERROR(__xludf.DUMMYFUNCTION("""COMPUTED_VALUE"""),139818.0)</f>
        <v>139818</v>
      </c>
      <c r="AF364" s="272"/>
      <c r="AG364" s="208"/>
      <c r="AH364" s="208"/>
      <c r="AI364" s="208"/>
      <c r="AJ364" s="208"/>
      <c r="AK364" s="208"/>
    </row>
    <row r="365" hidden="1">
      <c r="A365" s="209">
        <f>IFERROR(__xludf.DUMMYFUNCTION("""COMPUTED_VALUE"""),46113.0)</f>
        <v>46113</v>
      </c>
      <c r="B365" s="210">
        <f>IFERROR(__xludf.DUMMYFUNCTION("""COMPUTED_VALUE"""),0.7708333333321207)</f>
        <v>0.7708333333</v>
      </c>
      <c r="C365" s="211" t="str">
        <f>IFERROR(__xludf.DUMMYFUNCTION("""COMPUTED_VALUE"""),"Whatsapp")</f>
        <v>Whatsapp</v>
      </c>
      <c r="D365" s="211" t="str">
        <f>IFERROR(__xludf.DUMMYFUNCTION("""COMPUTED_VALUE"""),"Promotional")</f>
        <v>Promotional</v>
      </c>
      <c r="E365" s="211" t="str">
        <f>IFERROR(__xludf.DUMMYFUNCTION("""COMPUTED_VALUE"""),"BBW")</f>
        <v>BBW</v>
      </c>
      <c r="F365" s="211" t="str">
        <f>IFERROR(__xludf.DUMMYFUNCTION("""COMPUTED_VALUE"""),"B1G1")</f>
        <v>B1G1</v>
      </c>
      <c r="G365" s="212" t="str">
        <f>IFERROR(__xludf.DUMMYFUNCTION("""COMPUTED_VALUE"""),"bbw_online_wa_1april_buy1get1_repeat")</f>
        <v>bbw_online_wa_1april_buy1get1_repeat</v>
      </c>
      <c r="H365" s="212" t="str">
        <f>IFERROR(__xludf.DUMMYFUNCTION("""COMPUTED_VALUE"""),"Repeat_ON")</f>
        <v>Repeat_ON</v>
      </c>
      <c r="I365" s="212" t="str">
        <f>IFERROR(__xludf.DUMMYFUNCTION("""COMPUTED_VALUE"""),"Online Customers who have purchased at least 2 times in the last 24 Months")</f>
        <v>Online Customers who have purchased at least 2 times in the last 24 Months</v>
      </c>
      <c r="J365" s="213">
        <f>IFERROR(__xludf.DUMMYFUNCTION("""COMPUTED_VALUE"""),60159.0)</f>
        <v>60159</v>
      </c>
      <c r="K365" s="213">
        <f>IFERROR(__xludf.DUMMYFUNCTION("""COMPUTED_VALUE"""),23142.0)</f>
        <v>23142</v>
      </c>
      <c r="L365" s="214">
        <f>IFERROR(__xludf.DUMMYFUNCTION("""COMPUTED_VALUE"""),0.3847)</f>
        <v>0.3847</v>
      </c>
      <c r="M365" s="214">
        <f>IFERROR(__xludf.DUMMYFUNCTION("""COMPUTED_VALUE"""),9389.0)</f>
        <v>9389</v>
      </c>
      <c r="N365" s="214">
        <f>IFERROR(__xludf.DUMMYFUNCTION("""COMPUTED_VALUE"""),0.4057)</f>
        <v>0.4057</v>
      </c>
      <c r="O365" s="213">
        <f>IFERROR(__xludf.DUMMYFUNCTION("""COMPUTED_VALUE"""),1617.0)</f>
        <v>1617</v>
      </c>
      <c r="P365" s="213">
        <f>IFERROR(__xludf.DUMMYFUNCTION("""COMPUTED_VALUE"""),1528.0)</f>
        <v>1528</v>
      </c>
      <c r="Q365" s="214">
        <f>IFERROR(__xludf.DUMMYFUNCTION("""COMPUTED_VALUE"""),0.066)</f>
        <v>0.066</v>
      </c>
      <c r="R365" s="214">
        <f>IFERROR(__xludf.DUMMYFUNCTION("""COMPUTED_VALUE"""),0.1628)</f>
        <v>0.1628</v>
      </c>
      <c r="S365" s="101">
        <f>IFERROR(__xludf.DUMMYFUNCTION("""COMPUTED_VALUE"""),27.0)</f>
        <v>27</v>
      </c>
      <c r="T365" s="101">
        <f>IFERROR(__xludf.DUMMYFUNCTION("""COMPUTED_VALUE"""),54.0)</f>
        <v>54</v>
      </c>
      <c r="U365" s="270">
        <f>IFERROR(__xludf.DUMMYFUNCTION("""COMPUTED_VALUE"""),98574.0)</f>
        <v>98574</v>
      </c>
      <c r="V365" s="271" t="str">
        <f>IFERROR(__xludf.DUMMYFUNCTION("""COMPUTED_VALUE"""),"online")</f>
        <v>online</v>
      </c>
      <c r="W365" s="272" t="str">
        <f>IFERROR(__xludf.DUMMYFUNCTION("""COMPUTED_VALUE"""),"simple")</f>
        <v>simple</v>
      </c>
      <c r="X365" s="272" t="str">
        <f>IFERROR(__xludf.DUMMYFUNCTION("""COMPUTED_VALUE"""),"Repeat")</f>
        <v>Repeat</v>
      </c>
      <c r="Y365" s="272" t="str">
        <f>IFERROR(__xludf.DUMMYFUNCTION("""COMPUTED_VALUE"""),"1-3 April")</f>
        <v>1-3 April</v>
      </c>
      <c r="Z365" s="272" t="str">
        <f>IFERROR(__xludf.DUMMYFUNCTION("""COMPUTED_VALUE"""),"69ccf6d1bd178c1c218bf0f4")</f>
        <v>69ccf6d1bd178c1c218bf0f4</v>
      </c>
      <c r="AA365" s="272">
        <f>IFERROR(__xludf.DUMMYFUNCTION("""COMPUTED_VALUE"""),132.0)</f>
        <v>132</v>
      </c>
      <c r="AB365" s="272">
        <f>IFERROR(__xludf.DUMMYFUNCTION("""COMPUTED_VALUE"""),132.0)</f>
        <v>132</v>
      </c>
      <c r="AC365" s="272"/>
      <c r="AD365" s="272">
        <f>IFERROR(__xludf.DUMMYFUNCTION("""COMPUTED_VALUE"""),467437.0)</f>
        <v>467437</v>
      </c>
      <c r="AE365" s="272">
        <f>IFERROR(__xludf.DUMMYFUNCTION("""COMPUTED_VALUE"""),467437.0)</f>
        <v>467437</v>
      </c>
      <c r="AF365" s="272"/>
      <c r="AG365" s="208"/>
      <c r="AH365" s="208"/>
      <c r="AI365" s="208"/>
      <c r="AJ365" s="208"/>
      <c r="AK365" s="208"/>
    </row>
    <row r="366" hidden="1">
      <c r="A366" s="209">
        <f>IFERROR(__xludf.DUMMYFUNCTION("""COMPUTED_VALUE"""),46113.0)</f>
        <v>46113</v>
      </c>
      <c r="B366" s="210">
        <f>IFERROR(__xludf.DUMMYFUNCTION("""COMPUTED_VALUE"""),0.7708333333321207)</f>
        <v>0.7708333333</v>
      </c>
      <c r="C366" s="211" t="str">
        <f>IFERROR(__xludf.DUMMYFUNCTION("""COMPUTED_VALUE"""),"Whatsapp")</f>
        <v>Whatsapp</v>
      </c>
      <c r="D366" s="211" t="str">
        <f>IFERROR(__xludf.DUMMYFUNCTION("""COMPUTED_VALUE"""),"Promotional")</f>
        <v>Promotional</v>
      </c>
      <c r="E366" s="211" t="str">
        <f>IFERROR(__xludf.DUMMYFUNCTION("""COMPUTED_VALUE"""),"BBW")</f>
        <v>BBW</v>
      </c>
      <c r="F366" s="211" t="str">
        <f>IFERROR(__xludf.DUMMYFUNCTION("""COMPUTED_VALUE"""),"B1G1")</f>
        <v>B1G1</v>
      </c>
      <c r="G366" s="212" t="str">
        <f>IFERROR(__xludf.DUMMYFUNCTION("""COMPUTED_VALUE"""),"bbw_online_wa_1april_buy1get1_aov_relevant")</f>
        <v>bbw_online_wa_1april_buy1get1_aov_relevant</v>
      </c>
      <c r="H366" s="212" t="str">
        <f>IFERROR(__xludf.DUMMYFUNCTION("""COMPUTED_VALUE"""),"AOV_Max_2699_365D_ON")</f>
        <v>AOV_Max_2699_365D_ON</v>
      </c>
      <c r="I366" s="212" t="str">
        <f>IFERROR(__xludf.DUMMYFUNCTION("""COMPUTED_VALUE"""),"Online Customers with AOV less than 2699 &gt; Last 12 Months")</f>
        <v>Online Customers with AOV less than 2699 &gt; Last 12 Months</v>
      </c>
      <c r="J366" s="213">
        <f>IFERROR(__xludf.DUMMYFUNCTION("""COMPUTED_VALUE"""),59730.0)</f>
        <v>59730</v>
      </c>
      <c r="K366" s="213">
        <f>IFERROR(__xludf.DUMMYFUNCTION("""COMPUTED_VALUE"""),26599.0)</f>
        <v>26599</v>
      </c>
      <c r="L366" s="214">
        <f>IFERROR(__xludf.DUMMYFUNCTION("""COMPUTED_VALUE"""),0.4453)</f>
        <v>0.4453</v>
      </c>
      <c r="M366" s="214">
        <f>IFERROR(__xludf.DUMMYFUNCTION("""COMPUTED_VALUE"""),10680.0)</f>
        <v>10680</v>
      </c>
      <c r="N366" s="214">
        <f>IFERROR(__xludf.DUMMYFUNCTION("""COMPUTED_VALUE"""),0.4015)</f>
        <v>0.4015</v>
      </c>
      <c r="O366" s="213">
        <f>IFERROR(__xludf.DUMMYFUNCTION("""COMPUTED_VALUE"""),1726.0)</f>
        <v>1726</v>
      </c>
      <c r="P366" s="213">
        <f>IFERROR(__xludf.DUMMYFUNCTION("""COMPUTED_VALUE"""),1627.0)</f>
        <v>1627</v>
      </c>
      <c r="Q366" s="214">
        <f>IFERROR(__xludf.DUMMYFUNCTION("""COMPUTED_VALUE"""),0.0612)</f>
        <v>0.0612</v>
      </c>
      <c r="R366" s="214">
        <f>IFERROR(__xludf.DUMMYFUNCTION("""COMPUTED_VALUE"""),0.1524)</f>
        <v>0.1524</v>
      </c>
      <c r="S366" s="101">
        <f>IFERROR(__xludf.DUMMYFUNCTION("""COMPUTED_VALUE"""),11.0)</f>
        <v>11</v>
      </c>
      <c r="T366" s="101">
        <f>IFERROR(__xludf.DUMMYFUNCTION("""COMPUTED_VALUE"""),30.0)</f>
        <v>30</v>
      </c>
      <c r="U366" s="270">
        <f>IFERROR(__xludf.DUMMYFUNCTION("""COMPUTED_VALUE"""),23869.0)</f>
        <v>23869</v>
      </c>
      <c r="V366" s="271" t="str">
        <f>IFERROR(__xludf.DUMMYFUNCTION("""COMPUTED_VALUE"""),"online")</f>
        <v>online</v>
      </c>
      <c r="W366" s="272" t="str">
        <f>IFERROR(__xludf.DUMMYFUNCTION("""COMPUTED_VALUE"""),"simple")</f>
        <v>simple</v>
      </c>
      <c r="X366" s="272" t="str">
        <f>IFERROR(__xludf.DUMMYFUNCTION("""COMPUTED_VALUE"""),"Cart Value")</f>
        <v>Cart Value</v>
      </c>
      <c r="Y366" s="272" t="str">
        <f>IFERROR(__xludf.DUMMYFUNCTION("""COMPUTED_VALUE"""),"1-3 April")</f>
        <v>1-3 April</v>
      </c>
      <c r="Z366" s="272" t="str">
        <f>IFERROR(__xludf.DUMMYFUNCTION("""COMPUTED_VALUE"""),"69ccf7084ca90169300461df")</f>
        <v>69ccf7084ca90169300461df</v>
      </c>
      <c r="AA366" s="272">
        <f>IFERROR(__xludf.DUMMYFUNCTION("""COMPUTED_VALUE"""),58.0)</f>
        <v>58</v>
      </c>
      <c r="AB366" s="272">
        <f>IFERROR(__xludf.DUMMYFUNCTION("""COMPUTED_VALUE"""),58.0)</f>
        <v>58</v>
      </c>
      <c r="AC366" s="272"/>
      <c r="AD366" s="272">
        <f>IFERROR(__xludf.DUMMYFUNCTION("""COMPUTED_VALUE"""),126905.0)</f>
        <v>126905</v>
      </c>
      <c r="AE366" s="272">
        <f>IFERROR(__xludf.DUMMYFUNCTION("""COMPUTED_VALUE"""),126905.0)</f>
        <v>126905</v>
      </c>
      <c r="AF366" s="272"/>
      <c r="AG366" s="208"/>
      <c r="AH366" s="208"/>
      <c r="AI366" s="208"/>
      <c r="AJ366" s="208"/>
      <c r="AK366" s="208"/>
    </row>
    <row r="367" hidden="1">
      <c r="A367" s="209">
        <f>IFERROR(__xludf.DUMMYFUNCTION("""COMPUTED_VALUE"""),46113.0)</f>
        <v>46113</v>
      </c>
      <c r="B367" s="210">
        <f>IFERROR(__xludf.DUMMYFUNCTION("""COMPUTED_VALUE"""),0.7708333333321207)</f>
        <v>0.7708333333</v>
      </c>
      <c r="C367" s="211" t="str">
        <f>IFERROR(__xludf.DUMMYFUNCTION("""COMPUTED_VALUE"""),"Whatsapp")</f>
        <v>Whatsapp</v>
      </c>
      <c r="D367" s="211" t="str">
        <f>IFERROR(__xludf.DUMMYFUNCTION("""COMPUTED_VALUE"""),"Promotional")</f>
        <v>Promotional</v>
      </c>
      <c r="E367" s="211" t="str">
        <f>IFERROR(__xludf.DUMMYFUNCTION("""COMPUTED_VALUE"""),"BBW")</f>
        <v>BBW</v>
      </c>
      <c r="F367" s="211" t="str">
        <f>IFERROR(__xludf.DUMMYFUNCTION("""COMPUTED_VALUE"""),"B1G1")</f>
        <v>B1G1</v>
      </c>
      <c r="G367" s="212" t="str">
        <f>IFERROR(__xludf.DUMMYFUNCTION("""COMPUTED_VALUE"""),"bbw_online_wa_1april_buy1get1_bundle buyers")</f>
        <v>bbw_online_wa_1april_buy1get1_bundle buyers</v>
      </c>
      <c r="H367" s="212" t="str">
        <f>IFERROR(__xludf.DUMMYFUNCTION("""COMPUTED_VALUE"""),"UPT_Min_3_ON")</f>
        <v>UPT_Min_3_ON</v>
      </c>
      <c r="I367" s="212" t="str">
        <f>IFERROR(__xludf.DUMMYFUNCTION("""COMPUTED_VALUE"""),"Online Customers who bought 3+ products during each purchase in the last 365 days")</f>
        <v>Online Customers who bought 3+ products during each purchase in the last 365 days</v>
      </c>
      <c r="J367" s="213">
        <f>IFERROR(__xludf.DUMMYFUNCTION("""COMPUTED_VALUE"""),13059.0)</f>
        <v>13059</v>
      </c>
      <c r="K367" s="213">
        <f>IFERROR(__xludf.DUMMYFUNCTION("""COMPUTED_VALUE"""),4626.0)</f>
        <v>4626</v>
      </c>
      <c r="L367" s="214">
        <f>IFERROR(__xludf.DUMMYFUNCTION("""COMPUTED_VALUE"""),0.3542)</f>
        <v>0.3542</v>
      </c>
      <c r="M367" s="214">
        <f>IFERROR(__xludf.DUMMYFUNCTION("""COMPUTED_VALUE"""),2031.0)</f>
        <v>2031</v>
      </c>
      <c r="N367" s="214">
        <f>IFERROR(__xludf.DUMMYFUNCTION("""COMPUTED_VALUE"""),0.439)</f>
        <v>0.439</v>
      </c>
      <c r="O367" s="213">
        <f>IFERROR(__xludf.DUMMYFUNCTION("""COMPUTED_VALUE"""),271.0)</f>
        <v>271</v>
      </c>
      <c r="P367" s="213">
        <f>IFERROR(__xludf.DUMMYFUNCTION("""COMPUTED_VALUE"""),262.0)</f>
        <v>262</v>
      </c>
      <c r="Q367" s="214">
        <f>IFERROR(__xludf.DUMMYFUNCTION("""COMPUTED_VALUE"""),0.0566)</f>
        <v>0.0566</v>
      </c>
      <c r="R367" s="214">
        <f>IFERROR(__xludf.DUMMYFUNCTION("""COMPUTED_VALUE"""),0.129)</f>
        <v>0.129</v>
      </c>
      <c r="S367" s="101">
        <f>IFERROR(__xludf.DUMMYFUNCTION("""COMPUTED_VALUE"""),9.0)</f>
        <v>9</v>
      </c>
      <c r="T367" s="101">
        <f>IFERROR(__xludf.DUMMYFUNCTION("""COMPUTED_VALUE"""),14.0)</f>
        <v>14</v>
      </c>
      <c r="U367" s="270">
        <f>IFERROR(__xludf.DUMMYFUNCTION("""COMPUTED_VALUE"""),36805.0)</f>
        <v>36805</v>
      </c>
      <c r="V367" s="271" t="str">
        <f>IFERROR(__xludf.DUMMYFUNCTION("""COMPUTED_VALUE"""),"online")</f>
        <v>online</v>
      </c>
      <c r="W367" s="272" t="str">
        <f>IFERROR(__xludf.DUMMYFUNCTION("""COMPUTED_VALUE"""),"simple")</f>
        <v>simple</v>
      </c>
      <c r="X367" s="272" t="str">
        <f>IFERROR(__xludf.DUMMYFUNCTION("""COMPUTED_VALUE"""),"Cart Qty")</f>
        <v>Cart Qty</v>
      </c>
      <c r="Y367" s="272" t="str">
        <f>IFERROR(__xludf.DUMMYFUNCTION("""COMPUTED_VALUE"""),"1-3 April")</f>
        <v>1-3 April</v>
      </c>
      <c r="Z367" s="272" t="str">
        <f>IFERROR(__xludf.DUMMYFUNCTION("""COMPUTED_VALUE"""),"69ccf994ca47345a178485b6")</f>
        <v>69ccf994ca47345a178485b6</v>
      </c>
      <c r="AA367" s="272">
        <f>IFERROR(__xludf.DUMMYFUNCTION("""COMPUTED_VALUE"""),24.0)</f>
        <v>24</v>
      </c>
      <c r="AB367" s="272">
        <f>IFERROR(__xludf.DUMMYFUNCTION("""COMPUTED_VALUE"""),24.0)</f>
        <v>24</v>
      </c>
      <c r="AC367" s="272"/>
      <c r="AD367" s="272">
        <f>IFERROR(__xludf.DUMMYFUNCTION("""COMPUTED_VALUE"""),128980.0)</f>
        <v>128980</v>
      </c>
      <c r="AE367" s="272">
        <f>IFERROR(__xludf.DUMMYFUNCTION("""COMPUTED_VALUE"""),128980.0)</f>
        <v>128980</v>
      </c>
      <c r="AF367" s="272"/>
      <c r="AG367" s="208"/>
      <c r="AH367" s="208"/>
      <c r="AI367" s="208"/>
      <c r="AJ367" s="208"/>
      <c r="AK367" s="208"/>
    </row>
    <row r="368" hidden="1">
      <c r="A368" s="209">
        <f>IFERROR(__xludf.DUMMYFUNCTION("""COMPUTED_VALUE"""),46113.0)</f>
        <v>46113</v>
      </c>
      <c r="B368" s="210">
        <f>IFERROR(__xludf.DUMMYFUNCTION("""COMPUTED_VALUE"""),0.7708333333321207)</f>
        <v>0.7708333333</v>
      </c>
      <c r="C368" s="211" t="str">
        <f>IFERROR(__xludf.DUMMYFUNCTION("""COMPUTED_VALUE"""),"Whatsapp")</f>
        <v>Whatsapp</v>
      </c>
      <c r="D368" s="211" t="str">
        <f>IFERROR(__xludf.DUMMYFUNCTION("""COMPUTED_VALUE"""),"Promotional")</f>
        <v>Promotional</v>
      </c>
      <c r="E368" s="211" t="str">
        <f>IFERROR(__xludf.DUMMYFUNCTION("""COMPUTED_VALUE"""),"BBW")</f>
        <v>BBW</v>
      </c>
      <c r="F368" s="211" t="str">
        <f>IFERROR(__xludf.DUMMYFUNCTION("""COMPUTED_VALUE"""),"B1G1")</f>
        <v>B1G1</v>
      </c>
      <c r="G368" s="212" t="str">
        <f>IFERROR(__xludf.DUMMYFUNCTION("""COMPUTED_VALUE"""),"bbw_online_wa_1april_buy1get1_dormant")</f>
        <v>bbw_online_wa_1april_buy1get1_dormant</v>
      </c>
      <c r="H368" s="212" t="str">
        <f>IFERROR(__xludf.DUMMYFUNCTION("""COMPUTED_VALUE"""),"Dorm_90_365_ON")</f>
        <v>Dorm_90_365_ON</v>
      </c>
      <c r="I368" s="212" t="str">
        <f>IFERROR(__xludf.DUMMYFUNCTION("""COMPUTED_VALUE"""),"Online Customers who placed at least 1 order in between 90 days ago and 365 days ago")</f>
        <v>Online Customers who placed at least 1 order in between 90 days ago and 365 days ago</v>
      </c>
      <c r="J368" s="213">
        <f>IFERROR(__xludf.DUMMYFUNCTION("""COMPUTED_VALUE"""),5427.0)</f>
        <v>5427</v>
      </c>
      <c r="K368" s="213">
        <f>IFERROR(__xludf.DUMMYFUNCTION("""COMPUTED_VALUE"""),2304.0)</f>
        <v>2304</v>
      </c>
      <c r="L368" s="214">
        <f>IFERROR(__xludf.DUMMYFUNCTION("""COMPUTED_VALUE"""),0.4245)</f>
        <v>0.4245</v>
      </c>
      <c r="M368" s="214">
        <f>IFERROR(__xludf.DUMMYFUNCTION("""COMPUTED_VALUE"""),877.0)</f>
        <v>877</v>
      </c>
      <c r="N368" s="214">
        <f>IFERROR(__xludf.DUMMYFUNCTION("""COMPUTED_VALUE"""),0.3808)</f>
        <v>0.3808</v>
      </c>
      <c r="O368" s="213">
        <f>IFERROR(__xludf.DUMMYFUNCTION("""COMPUTED_VALUE"""),91.0)</f>
        <v>91</v>
      </c>
      <c r="P368" s="213">
        <f>IFERROR(__xludf.DUMMYFUNCTION("""COMPUTED_VALUE"""),88.0)</f>
        <v>88</v>
      </c>
      <c r="Q368" s="214">
        <f>IFERROR(__xludf.DUMMYFUNCTION("""COMPUTED_VALUE"""),0.0382)</f>
        <v>0.0382</v>
      </c>
      <c r="R368" s="214">
        <f>IFERROR(__xludf.DUMMYFUNCTION("""COMPUTED_VALUE"""),0.1003)</f>
        <v>0.1003</v>
      </c>
      <c r="S368" s="101">
        <f>IFERROR(__xludf.DUMMYFUNCTION("""COMPUTED_VALUE"""),1.0)</f>
        <v>1</v>
      </c>
      <c r="T368" s="101">
        <f>IFERROR(__xludf.DUMMYFUNCTION("""COMPUTED_VALUE"""),4.0)</f>
        <v>4</v>
      </c>
      <c r="U368" s="270">
        <f>IFERROR(__xludf.DUMMYFUNCTION("""COMPUTED_VALUE"""),1248.0)</f>
        <v>1248</v>
      </c>
      <c r="V368" s="271" t="str">
        <f>IFERROR(__xludf.DUMMYFUNCTION("""COMPUTED_VALUE"""),"online")</f>
        <v>online</v>
      </c>
      <c r="W368" s="272" t="str">
        <f>IFERROR(__xludf.DUMMYFUNCTION("""COMPUTED_VALUE"""),"simple")</f>
        <v>simple</v>
      </c>
      <c r="X368" s="272" t="str">
        <f>IFERROR(__xludf.DUMMYFUNCTION("""COMPUTED_VALUE"""),"Dormant")</f>
        <v>Dormant</v>
      </c>
      <c r="Y368" s="272" t="str">
        <f>IFERROR(__xludf.DUMMYFUNCTION("""COMPUTED_VALUE"""),"1-3 April")</f>
        <v>1-3 April</v>
      </c>
      <c r="Z368" s="272" t="str">
        <f>IFERROR(__xludf.DUMMYFUNCTION("""COMPUTED_VALUE"""),"69ccfca6c5a201a147720608")</f>
        <v>69ccfca6c5a201a147720608</v>
      </c>
      <c r="AA368" s="272">
        <f>IFERROR(__xludf.DUMMYFUNCTION("""COMPUTED_VALUE"""),7.0)</f>
        <v>7</v>
      </c>
      <c r="AB368" s="272">
        <f>IFERROR(__xludf.DUMMYFUNCTION("""COMPUTED_VALUE"""),7.0)</f>
        <v>7</v>
      </c>
      <c r="AC368" s="272"/>
      <c r="AD368" s="272">
        <f>IFERROR(__xludf.DUMMYFUNCTION("""COMPUTED_VALUE"""),16069.0)</f>
        <v>16069</v>
      </c>
      <c r="AE368" s="272">
        <f>IFERROR(__xludf.DUMMYFUNCTION("""COMPUTED_VALUE"""),16069.0)</f>
        <v>16069</v>
      </c>
      <c r="AF368" s="272"/>
      <c r="AG368" s="208"/>
      <c r="AH368" s="208"/>
      <c r="AI368" s="208"/>
      <c r="AJ368" s="208"/>
      <c r="AK368" s="208"/>
    </row>
    <row r="369" hidden="1">
      <c r="A369" s="209">
        <f>IFERROR(__xludf.DUMMYFUNCTION("""COMPUTED_VALUE"""),46113.0)</f>
        <v>46113</v>
      </c>
      <c r="B369" s="210">
        <f>IFERROR(__xludf.DUMMYFUNCTION("""COMPUTED_VALUE"""),0.7708333333321207)</f>
        <v>0.7708333333</v>
      </c>
      <c r="C369" s="211" t="str">
        <f>IFERROR(__xludf.DUMMYFUNCTION("""COMPUTED_VALUE"""),"Whatsapp")</f>
        <v>Whatsapp</v>
      </c>
      <c r="D369" s="211" t="str">
        <f>IFERROR(__xludf.DUMMYFUNCTION("""COMPUTED_VALUE"""),"Promotional")</f>
        <v>Promotional</v>
      </c>
      <c r="E369" s="211" t="str">
        <f>IFERROR(__xludf.DUMMYFUNCTION("""COMPUTED_VALUE"""),"BBW")</f>
        <v>BBW</v>
      </c>
      <c r="F369" s="211" t="str">
        <f>IFERROR(__xludf.DUMMYFUNCTION("""COMPUTED_VALUE"""),"B1G1")</f>
        <v>B1G1</v>
      </c>
      <c r="G369" s="212" t="str">
        <f>IFERROR(__xludf.DUMMYFUNCTION("""COMPUTED_VALUE"""),"bbw_online_wa_1april_buy1get1_atc")</f>
        <v>bbw_online_wa_1april_buy1get1_atc</v>
      </c>
      <c r="H369" s="212" t="str">
        <f>IFERROR(__xludf.DUMMYFUNCTION("""COMPUTED_VALUE"""),"Web_View_ATC_45D")</f>
        <v>Web_View_ATC_45D</v>
      </c>
      <c r="I369" s="212" t="str">
        <f>IFERROR(__xludf.DUMMYFUNCTION("""COMPUTED_VALUE"""),"Users who have Visited  the Website 2 or more times or ATC once &gt; Last 45 days")</f>
        <v>Users who have Visited  the Website 2 or more times or ATC once &gt; Last 45 days</v>
      </c>
      <c r="J369" s="213">
        <f>IFERROR(__xludf.DUMMYFUNCTION("""COMPUTED_VALUE"""),3736.0)</f>
        <v>3736</v>
      </c>
      <c r="K369" s="213">
        <f>IFERROR(__xludf.DUMMYFUNCTION("""COMPUTED_VALUE"""),1636.0)</f>
        <v>1636</v>
      </c>
      <c r="L369" s="214">
        <f>IFERROR(__xludf.DUMMYFUNCTION("""COMPUTED_VALUE"""),0.4379)</f>
        <v>0.4379</v>
      </c>
      <c r="M369" s="214">
        <f>IFERROR(__xludf.DUMMYFUNCTION("""COMPUTED_VALUE"""),863.0)</f>
        <v>863</v>
      </c>
      <c r="N369" s="214">
        <f>IFERROR(__xludf.DUMMYFUNCTION("""COMPUTED_VALUE"""),0.5269)</f>
        <v>0.5269</v>
      </c>
      <c r="O369" s="213">
        <f>IFERROR(__xludf.DUMMYFUNCTION("""COMPUTED_VALUE"""),228.0)</f>
        <v>228</v>
      </c>
      <c r="P369" s="213">
        <f>IFERROR(__xludf.DUMMYFUNCTION("""COMPUTED_VALUE"""),203.0)</f>
        <v>203</v>
      </c>
      <c r="Q369" s="214">
        <f>IFERROR(__xludf.DUMMYFUNCTION("""COMPUTED_VALUE"""),0.1241)</f>
        <v>0.1241</v>
      </c>
      <c r="R369" s="214">
        <f>IFERROR(__xludf.DUMMYFUNCTION("""COMPUTED_VALUE"""),0.2355)</f>
        <v>0.2355</v>
      </c>
      <c r="S369" s="101">
        <f>IFERROR(__xludf.DUMMYFUNCTION("""COMPUTED_VALUE"""),13.0)</f>
        <v>13</v>
      </c>
      <c r="T369" s="101">
        <f>IFERROR(__xludf.DUMMYFUNCTION("""COMPUTED_VALUE"""),74.0)</f>
        <v>74</v>
      </c>
      <c r="U369" s="270">
        <f>IFERROR(__xludf.DUMMYFUNCTION("""COMPUTED_VALUE"""),33629.0)</f>
        <v>33629</v>
      </c>
      <c r="V369" s="271" t="str">
        <f>IFERROR(__xludf.DUMMYFUNCTION("""COMPUTED_VALUE"""),"online")</f>
        <v>online</v>
      </c>
      <c r="W369" s="272" t="str">
        <f>IFERROR(__xludf.DUMMYFUNCTION("""COMPUTED_VALUE"""),"simple")</f>
        <v>simple</v>
      </c>
      <c r="X369" s="272" t="str">
        <f>IFERROR(__xludf.DUMMYFUNCTION("""COMPUTED_VALUE"""),"Web View")</f>
        <v>Web View</v>
      </c>
      <c r="Y369" s="272" t="str">
        <f>IFERROR(__xludf.DUMMYFUNCTION("""COMPUTED_VALUE"""),"1-3 April")</f>
        <v>1-3 April</v>
      </c>
      <c r="Z369" s="272" t="str">
        <f>IFERROR(__xludf.DUMMYFUNCTION("""COMPUTED_VALUE"""),"69ccfcdc18e69e3436411a5b")</f>
        <v>69ccfcdc18e69e3436411a5b</v>
      </c>
      <c r="AA369" s="272">
        <f>IFERROR(__xludf.DUMMYFUNCTION("""COMPUTED_VALUE"""),17.0)</f>
        <v>17</v>
      </c>
      <c r="AB369" s="272">
        <f>IFERROR(__xludf.DUMMYFUNCTION("""COMPUTED_VALUE"""),17.0)</f>
        <v>17</v>
      </c>
      <c r="AC369" s="272"/>
      <c r="AD369" s="272">
        <f>IFERROR(__xludf.DUMMYFUNCTION("""COMPUTED_VALUE"""),43334.0)</f>
        <v>43334</v>
      </c>
      <c r="AE369" s="272">
        <f>IFERROR(__xludf.DUMMYFUNCTION("""COMPUTED_VALUE"""),43334.0)</f>
        <v>43334</v>
      </c>
      <c r="AF369" s="272"/>
      <c r="AG369" s="208"/>
      <c r="AH369" s="208"/>
      <c r="AI369" s="208"/>
      <c r="AJ369" s="208"/>
      <c r="AK369" s="208"/>
    </row>
    <row r="370" hidden="1">
      <c r="A370" s="209">
        <f>IFERROR(__xludf.DUMMYFUNCTION("""COMPUTED_VALUE"""),46113.0)</f>
        <v>46113</v>
      </c>
      <c r="B370" s="210">
        <f>IFERROR(__xludf.DUMMYFUNCTION("""COMPUTED_VALUE"""),0.7708333333321207)</f>
        <v>0.7708333333</v>
      </c>
      <c r="C370" s="211" t="str">
        <f>IFERROR(__xludf.DUMMYFUNCTION("""COMPUTED_VALUE"""),"Whatsapp")</f>
        <v>Whatsapp</v>
      </c>
      <c r="D370" s="211" t="str">
        <f>IFERROR(__xludf.DUMMYFUNCTION("""COMPUTED_VALUE"""),"Promotional")</f>
        <v>Promotional</v>
      </c>
      <c r="E370" s="211" t="str">
        <f>IFERROR(__xludf.DUMMYFUNCTION("""COMPUTED_VALUE"""),"BBW")</f>
        <v>BBW</v>
      </c>
      <c r="F370" s="211" t="str">
        <f>IFERROR(__xludf.DUMMYFUNCTION("""COMPUTED_VALUE"""),"B1G1")</f>
        <v>B1G1</v>
      </c>
      <c r="G370" s="212" t="str">
        <f>IFERROR(__xludf.DUMMYFUNCTION("""COMPUTED_VALUE"""),"bbw_online_wa_1april_buy1get1_wa_clicked")</f>
        <v>bbw_online_wa_1april_buy1get1_wa_clicked</v>
      </c>
      <c r="H370" s="212" t="str">
        <f>IFERROR(__xludf.DUMMYFUNCTION("""COMPUTED_VALUE"""),"WA_Clicked_90D")</f>
        <v>WA_Clicked_90D</v>
      </c>
      <c r="I370" s="212" t="str">
        <f>IFERROR(__xludf.DUMMYFUNCTION("""COMPUTED_VALUE"""),"Users who have Message clicked &gt; at least 1 &gt; Last 3 months")</f>
        <v>Users who have Message clicked &gt; at least 1 &gt; Last 3 months</v>
      </c>
      <c r="J370" s="213">
        <f>IFERROR(__xludf.DUMMYFUNCTION("""COMPUTED_VALUE"""),31701.0)</f>
        <v>31701</v>
      </c>
      <c r="K370" s="213">
        <f>IFERROR(__xludf.DUMMYFUNCTION("""COMPUTED_VALUE"""),20504.0)</f>
        <v>20504</v>
      </c>
      <c r="L370" s="214">
        <f>IFERROR(__xludf.DUMMYFUNCTION("""COMPUTED_VALUE"""),0.6468)</f>
        <v>0.6468</v>
      </c>
      <c r="M370" s="214">
        <f>IFERROR(__xludf.DUMMYFUNCTION("""COMPUTED_VALUE"""),11485.0)</f>
        <v>11485</v>
      </c>
      <c r="N370" s="214">
        <f>IFERROR(__xludf.DUMMYFUNCTION("""COMPUTED_VALUE"""),0.56)</f>
        <v>0.56</v>
      </c>
      <c r="O370" s="213">
        <f>IFERROR(__xludf.DUMMYFUNCTION("""COMPUTED_VALUE"""),3187.0)</f>
        <v>3187</v>
      </c>
      <c r="P370" s="213">
        <f>IFERROR(__xludf.DUMMYFUNCTION("""COMPUTED_VALUE"""),3012.0)</f>
        <v>3012</v>
      </c>
      <c r="Q370" s="214">
        <f>IFERROR(__xludf.DUMMYFUNCTION("""COMPUTED_VALUE"""),0.147)</f>
        <v>0.147</v>
      </c>
      <c r="R370" s="214">
        <f>IFERROR(__xludf.DUMMYFUNCTION("""COMPUTED_VALUE"""),0.2624)</f>
        <v>0.2624</v>
      </c>
      <c r="S370" s="101">
        <f>IFERROR(__xludf.DUMMYFUNCTION("""COMPUTED_VALUE"""),14.0)</f>
        <v>14</v>
      </c>
      <c r="T370" s="101">
        <f>IFERROR(__xludf.DUMMYFUNCTION("""COMPUTED_VALUE"""),27.0)</f>
        <v>27</v>
      </c>
      <c r="U370" s="270">
        <f>IFERROR(__xludf.DUMMYFUNCTION("""COMPUTED_VALUE"""),41809.0)</f>
        <v>41809</v>
      </c>
      <c r="V370" s="271" t="str">
        <f>IFERROR(__xludf.DUMMYFUNCTION("""COMPUTED_VALUE"""),"online")</f>
        <v>online</v>
      </c>
      <c r="W370" s="272" t="str">
        <f>IFERROR(__xludf.DUMMYFUNCTION("""COMPUTED_VALUE"""),"simple")</f>
        <v>simple</v>
      </c>
      <c r="X370" s="272" t="str">
        <f>IFERROR(__xludf.DUMMYFUNCTION("""COMPUTED_VALUE"""),"WhatsApp Engage")</f>
        <v>WhatsApp Engage</v>
      </c>
      <c r="Y370" s="272" t="str">
        <f>IFERROR(__xludf.DUMMYFUNCTION("""COMPUTED_VALUE"""),"1-3 April")</f>
        <v>1-3 April</v>
      </c>
      <c r="Z370" s="272" t="str">
        <f>IFERROR(__xludf.DUMMYFUNCTION("""COMPUTED_VALUE"""),"69ccfcff30c19dbe924e4150")</f>
        <v>69ccfcff30c19dbe924e4150</v>
      </c>
      <c r="AA370" s="272">
        <f>IFERROR(__xludf.DUMMYFUNCTION("""COMPUTED_VALUE"""),44.0)</f>
        <v>44</v>
      </c>
      <c r="AB370" s="272">
        <f>IFERROR(__xludf.DUMMYFUNCTION("""COMPUTED_VALUE"""),44.0)</f>
        <v>44</v>
      </c>
      <c r="AC370" s="272"/>
      <c r="AD370" s="272">
        <f>IFERROR(__xludf.DUMMYFUNCTION("""COMPUTED_VALUE"""),136174.0)</f>
        <v>136174</v>
      </c>
      <c r="AE370" s="272">
        <f>IFERROR(__xludf.DUMMYFUNCTION("""COMPUTED_VALUE"""),136174.0)</f>
        <v>136174</v>
      </c>
      <c r="AF370" s="272"/>
      <c r="AG370" s="208"/>
      <c r="AH370" s="208"/>
      <c r="AI370" s="208"/>
      <c r="AJ370" s="208"/>
      <c r="AK370" s="208"/>
    </row>
    <row r="371" hidden="1">
      <c r="A371" s="209">
        <f>IFERROR(__xludf.DUMMYFUNCTION("""COMPUTED_VALUE"""),46113.0)</f>
        <v>46113</v>
      </c>
      <c r="B371" s="210">
        <f>IFERROR(__xludf.DUMMYFUNCTION("""COMPUTED_VALUE"""),0.8333333333321207)</f>
        <v>0.8333333333</v>
      </c>
      <c r="C371" s="211" t="str">
        <f>IFERROR(__xludf.DUMMYFUNCTION("""COMPUTED_VALUE"""),"Sms")</f>
        <v>Sms</v>
      </c>
      <c r="D371" s="211" t="str">
        <f>IFERROR(__xludf.DUMMYFUNCTION("""COMPUTED_VALUE"""),"Fallback Campaign")</f>
        <v>Fallback Campaign</v>
      </c>
      <c r="E371" s="211" t="str">
        <f>IFERROR(__xludf.DUMMYFUNCTION("""COMPUTED_VALUE"""),"BBW")</f>
        <v>BBW</v>
      </c>
      <c r="F371" s="211" t="str">
        <f>IFERROR(__xludf.DUMMYFUNCTION("""COMPUTED_VALUE"""),"B1G1")</f>
        <v>B1G1</v>
      </c>
      <c r="G371" s="212" t="str">
        <f>IFERROR(__xludf.DUMMYFUNCTION("""COMPUTED_VALUE"""),"bbw_online_smsfb_1april_buy1get1_loyal")</f>
        <v>bbw_online_smsfb_1april_buy1get1_loyal</v>
      </c>
      <c r="H371" s="212" t="str">
        <f>IFERROR(__xludf.DUMMYFUNCTION("""COMPUTED_VALUE"""),"Loyal_ON OR AGIPL_Internal OR BBW_Internal")</f>
        <v>Loyal_ON OR AGIPL_Internal OR BBW_Internal</v>
      </c>
      <c r="I371" s="212" t="str">
        <f>IFERROR(__xludf.DUMMYFUNCTION("""COMPUTED_VALUE"""),"WA Undelivered")</f>
        <v>WA Undelivered</v>
      </c>
      <c r="J371" s="213">
        <f>IFERROR(__xludf.DUMMYFUNCTION("""COMPUTED_VALUE"""),2672.0)</f>
        <v>2672</v>
      </c>
      <c r="K371" s="213">
        <f>IFERROR(__xludf.DUMMYFUNCTION("""COMPUTED_VALUE"""),1251.0)</f>
        <v>1251</v>
      </c>
      <c r="L371" s="214">
        <f>IFERROR(__xludf.DUMMYFUNCTION("""COMPUTED_VALUE"""),0.4682)</f>
        <v>0.4682</v>
      </c>
      <c r="M371" s="214"/>
      <c r="N371" s="214"/>
      <c r="O371" s="213">
        <f>IFERROR(__xludf.DUMMYFUNCTION("""COMPUTED_VALUE"""),25.0)</f>
        <v>25</v>
      </c>
      <c r="P371" s="213"/>
      <c r="Q371" s="214">
        <f>IFERROR(__xludf.DUMMYFUNCTION("""COMPUTED_VALUE"""),0.02)</f>
        <v>0.02</v>
      </c>
      <c r="R371" s="214"/>
      <c r="S371" s="101">
        <f>IFERROR(__xludf.DUMMYFUNCTION("""COMPUTED_VALUE"""),1.0)</f>
        <v>1</v>
      </c>
      <c r="T371" s="101">
        <f>IFERROR(__xludf.DUMMYFUNCTION("""COMPUTED_VALUE"""),3.0)</f>
        <v>3</v>
      </c>
      <c r="U371" s="270">
        <f>IFERROR(__xludf.DUMMYFUNCTION("""COMPUTED_VALUE"""),6210.0)</f>
        <v>6210</v>
      </c>
      <c r="V371" s="271" t="str">
        <f>IFERROR(__xludf.DUMMYFUNCTION("""COMPUTED_VALUE"""),"online")</f>
        <v>online</v>
      </c>
      <c r="W371" s="272" t="str">
        <f>IFERROR(__xludf.DUMMYFUNCTION("""COMPUTED_VALUE"""),"SMS")</f>
        <v>SMS</v>
      </c>
      <c r="X371" s="272" t="str">
        <f>IFERROR(__xludf.DUMMYFUNCTION("""COMPUTED_VALUE"""),"Loyal")</f>
        <v>Loyal</v>
      </c>
      <c r="Y371" s="272" t="str">
        <f>IFERROR(__xludf.DUMMYFUNCTION("""COMPUTED_VALUE"""),"1 April")</f>
        <v>1 April</v>
      </c>
      <c r="Z371" s="272" t="str">
        <f>IFERROR(__xludf.DUMMYFUNCTION("""COMPUTED_VALUE"""),"69cd0231803b3a52b4bef933")</f>
        <v>69cd0231803b3a52b4bef933</v>
      </c>
      <c r="AA371" s="272">
        <f>IFERROR(__xludf.DUMMYFUNCTION("""COMPUTED_VALUE"""),9.0)</f>
        <v>9</v>
      </c>
      <c r="AB371" s="272">
        <f>IFERROR(__xludf.DUMMYFUNCTION("""COMPUTED_VALUE"""),9.0)</f>
        <v>9</v>
      </c>
      <c r="AC371" s="272"/>
      <c r="AD371" s="272">
        <f>IFERROR(__xludf.DUMMYFUNCTION("""COMPUTED_VALUE"""),40047.0)</f>
        <v>40047</v>
      </c>
      <c r="AE371" s="272">
        <f>IFERROR(__xludf.DUMMYFUNCTION("""COMPUTED_VALUE"""),40047.0)</f>
        <v>40047</v>
      </c>
      <c r="AF371" s="272"/>
      <c r="AG371" s="208"/>
      <c r="AH371" s="208"/>
      <c r="AI371" s="208"/>
      <c r="AJ371" s="208"/>
      <c r="AK371" s="208"/>
    </row>
    <row r="372" hidden="1">
      <c r="A372" s="209">
        <f>IFERROR(__xludf.DUMMYFUNCTION("""COMPUTED_VALUE"""),46113.0)</f>
        <v>46113</v>
      </c>
      <c r="B372" s="210">
        <f>IFERROR(__xludf.DUMMYFUNCTION("""COMPUTED_VALUE"""),0.8333333333321207)</f>
        <v>0.8333333333</v>
      </c>
      <c r="C372" s="211" t="str">
        <f>IFERROR(__xludf.DUMMYFUNCTION("""COMPUTED_VALUE"""),"Sms")</f>
        <v>Sms</v>
      </c>
      <c r="D372" s="211" t="str">
        <f>IFERROR(__xludf.DUMMYFUNCTION("""COMPUTED_VALUE"""),"Fallback Campaign")</f>
        <v>Fallback Campaign</v>
      </c>
      <c r="E372" s="211" t="str">
        <f>IFERROR(__xludf.DUMMYFUNCTION("""COMPUTED_VALUE"""),"BBW")</f>
        <v>BBW</v>
      </c>
      <c r="F372" s="211" t="str">
        <f>IFERROR(__xludf.DUMMYFUNCTION("""COMPUTED_VALUE"""),"B1G1")</f>
        <v>B1G1</v>
      </c>
      <c r="G372" s="212" t="str">
        <f>IFERROR(__xludf.DUMMYFUNCTION("""COMPUTED_VALUE"""),"bbw_online_smsfb_1april_buy1get1_repeat")</f>
        <v>bbw_online_smsfb_1april_buy1get1_repeat</v>
      </c>
      <c r="H372" s="212" t="str">
        <f>IFERROR(__xludf.DUMMYFUNCTION("""COMPUTED_VALUE"""),"Repeat_ON")</f>
        <v>Repeat_ON</v>
      </c>
      <c r="I372" s="212" t="str">
        <f>IFERROR(__xludf.DUMMYFUNCTION("""COMPUTED_VALUE"""),"WA Undelivered")</f>
        <v>WA Undelivered</v>
      </c>
      <c r="J372" s="213">
        <f>IFERROR(__xludf.DUMMYFUNCTION("""COMPUTED_VALUE"""),35835.0)</f>
        <v>35835</v>
      </c>
      <c r="K372" s="213">
        <f>IFERROR(__xludf.DUMMYFUNCTION("""COMPUTED_VALUE"""),19388.0)</f>
        <v>19388</v>
      </c>
      <c r="L372" s="214">
        <f>IFERROR(__xludf.DUMMYFUNCTION("""COMPUTED_VALUE"""),0.541)</f>
        <v>0.541</v>
      </c>
      <c r="M372" s="214"/>
      <c r="N372" s="214"/>
      <c r="O372" s="213">
        <f>IFERROR(__xludf.DUMMYFUNCTION("""COMPUTED_VALUE"""),144.0)</f>
        <v>144</v>
      </c>
      <c r="P372" s="213"/>
      <c r="Q372" s="214">
        <f>IFERROR(__xludf.DUMMYFUNCTION("""COMPUTED_VALUE"""),0.0074)</f>
        <v>0.0074</v>
      </c>
      <c r="R372" s="214"/>
      <c r="S372" s="101">
        <f>IFERROR(__xludf.DUMMYFUNCTION("""COMPUTED_VALUE"""),8.0)</f>
        <v>8</v>
      </c>
      <c r="T372" s="101">
        <f>IFERROR(__xludf.DUMMYFUNCTION("""COMPUTED_VALUE"""),19.0)</f>
        <v>19</v>
      </c>
      <c r="U372" s="270">
        <f>IFERROR(__xludf.DUMMYFUNCTION("""COMPUTED_VALUE"""),21656.0)</f>
        <v>21656</v>
      </c>
      <c r="V372" s="271" t="str">
        <f>IFERROR(__xludf.DUMMYFUNCTION("""COMPUTED_VALUE"""),"online")</f>
        <v>online</v>
      </c>
      <c r="W372" s="272" t="str">
        <f>IFERROR(__xludf.DUMMYFUNCTION("""COMPUTED_VALUE"""),"SMS")</f>
        <v>SMS</v>
      </c>
      <c r="X372" s="272" t="str">
        <f>IFERROR(__xludf.DUMMYFUNCTION("""COMPUTED_VALUE"""),"Repeat")</f>
        <v>Repeat</v>
      </c>
      <c r="Y372" s="272" t="str">
        <f>IFERROR(__xludf.DUMMYFUNCTION("""COMPUTED_VALUE"""),"1 April")</f>
        <v>1 April</v>
      </c>
      <c r="Z372" s="272" t="str">
        <f>IFERROR(__xludf.DUMMYFUNCTION("""COMPUTED_VALUE"""),"69cd028c669af137c847e6fc")</f>
        <v>69cd028c669af137c847e6fc</v>
      </c>
      <c r="AA372" s="272">
        <f>IFERROR(__xludf.DUMMYFUNCTION("""COMPUTED_VALUE"""),25.0)</f>
        <v>25</v>
      </c>
      <c r="AB372" s="272">
        <f>IFERROR(__xludf.DUMMYFUNCTION("""COMPUTED_VALUE"""),25.0)</f>
        <v>25</v>
      </c>
      <c r="AC372" s="272"/>
      <c r="AD372" s="272">
        <f>IFERROR(__xludf.DUMMYFUNCTION("""COMPUTED_VALUE"""),62419.0)</f>
        <v>62419</v>
      </c>
      <c r="AE372" s="272">
        <f>IFERROR(__xludf.DUMMYFUNCTION("""COMPUTED_VALUE"""),62419.0)</f>
        <v>62419</v>
      </c>
      <c r="AF372" s="272"/>
      <c r="AG372" s="208"/>
      <c r="AH372" s="208"/>
      <c r="AI372" s="208"/>
      <c r="AJ372" s="208"/>
      <c r="AK372" s="208"/>
    </row>
    <row r="373" hidden="1">
      <c r="A373" s="209">
        <f>IFERROR(__xludf.DUMMYFUNCTION("""COMPUTED_VALUE"""),46113.0)</f>
        <v>46113</v>
      </c>
      <c r="B373" s="210">
        <f>IFERROR(__xludf.DUMMYFUNCTION("""COMPUTED_VALUE"""),0.8333333333321207)</f>
        <v>0.8333333333</v>
      </c>
      <c r="C373" s="211" t="str">
        <f>IFERROR(__xludf.DUMMYFUNCTION("""COMPUTED_VALUE"""),"Sms")</f>
        <v>Sms</v>
      </c>
      <c r="D373" s="211" t="str">
        <f>IFERROR(__xludf.DUMMYFUNCTION("""COMPUTED_VALUE"""),"Fallback Campaign")</f>
        <v>Fallback Campaign</v>
      </c>
      <c r="E373" s="211" t="str">
        <f>IFERROR(__xludf.DUMMYFUNCTION("""COMPUTED_VALUE"""),"BBW")</f>
        <v>BBW</v>
      </c>
      <c r="F373" s="211" t="str">
        <f>IFERROR(__xludf.DUMMYFUNCTION("""COMPUTED_VALUE"""),"B1G1")</f>
        <v>B1G1</v>
      </c>
      <c r="G373" s="212" t="str">
        <f>IFERROR(__xludf.DUMMYFUNCTION("""COMPUTED_VALUE"""),"bbw_online_smsfb_1april_buy1get1_aov_relevant")</f>
        <v>bbw_online_smsfb_1april_buy1get1_aov_relevant</v>
      </c>
      <c r="H373" s="212" t="str">
        <f>IFERROR(__xludf.DUMMYFUNCTION("""COMPUTED_VALUE"""),"AOV_Max_2699_365D_ON")</f>
        <v>AOV_Max_2699_365D_ON</v>
      </c>
      <c r="I373" s="212" t="str">
        <f>IFERROR(__xludf.DUMMYFUNCTION("""COMPUTED_VALUE"""),"WA Undelivered")</f>
        <v>WA Undelivered</v>
      </c>
      <c r="J373" s="213">
        <f>IFERROR(__xludf.DUMMYFUNCTION("""COMPUTED_VALUE"""),31953.0)</f>
        <v>31953</v>
      </c>
      <c r="K373" s="213">
        <f>IFERROR(__xludf.DUMMYFUNCTION("""COMPUTED_VALUE"""),20342.0)</f>
        <v>20342</v>
      </c>
      <c r="L373" s="214">
        <f>IFERROR(__xludf.DUMMYFUNCTION("""COMPUTED_VALUE"""),0.6366)</f>
        <v>0.6366</v>
      </c>
      <c r="M373" s="214"/>
      <c r="N373" s="214"/>
      <c r="O373" s="213">
        <f>IFERROR(__xludf.DUMMYFUNCTION("""COMPUTED_VALUE"""),109.0)</f>
        <v>109</v>
      </c>
      <c r="P373" s="213"/>
      <c r="Q373" s="214">
        <f>IFERROR(__xludf.DUMMYFUNCTION("""COMPUTED_VALUE"""),0.0054)</f>
        <v>0.0054</v>
      </c>
      <c r="R373" s="214"/>
      <c r="S373" s="101">
        <f>IFERROR(__xludf.DUMMYFUNCTION("""COMPUTED_VALUE"""),2.0)</f>
        <v>2</v>
      </c>
      <c r="T373" s="101">
        <f>IFERROR(__xludf.DUMMYFUNCTION("""COMPUTED_VALUE"""),12.0)</f>
        <v>12</v>
      </c>
      <c r="U373" s="270">
        <f>IFERROR(__xludf.DUMMYFUNCTION("""COMPUTED_VALUE"""),3778.0)</f>
        <v>3778</v>
      </c>
      <c r="V373" s="271" t="str">
        <f>IFERROR(__xludf.DUMMYFUNCTION("""COMPUTED_VALUE"""),"online")</f>
        <v>online</v>
      </c>
      <c r="W373" s="272" t="str">
        <f>IFERROR(__xludf.DUMMYFUNCTION("""COMPUTED_VALUE"""),"SMS")</f>
        <v>SMS</v>
      </c>
      <c r="X373" s="272" t="str">
        <f>IFERROR(__xludf.DUMMYFUNCTION("""COMPUTED_VALUE"""),"Cart Value")</f>
        <v>Cart Value</v>
      </c>
      <c r="Y373" s="272" t="str">
        <f>IFERROR(__xludf.DUMMYFUNCTION("""COMPUTED_VALUE"""),"1 April")</f>
        <v>1 April</v>
      </c>
      <c r="Z373" s="272" t="str">
        <f>IFERROR(__xludf.DUMMYFUNCTION("""COMPUTED_VALUE"""),"69cd02baa11d274608577c28")</f>
        <v>69cd02baa11d274608577c28</v>
      </c>
      <c r="AA373" s="272">
        <f>IFERROR(__xludf.DUMMYFUNCTION("""COMPUTED_VALUE"""),11.0)</f>
        <v>11</v>
      </c>
      <c r="AB373" s="272">
        <f>IFERROR(__xludf.DUMMYFUNCTION("""COMPUTED_VALUE"""),11.0)</f>
        <v>11</v>
      </c>
      <c r="AC373" s="272"/>
      <c r="AD373" s="272">
        <f>IFERROR(__xludf.DUMMYFUNCTION("""COMPUTED_VALUE"""),21415.0)</f>
        <v>21415</v>
      </c>
      <c r="AE373" s="272">
        <f>IFERROR(__xludf.DUMMYFUNCTION("""COMPUTED_VALUE"""),21415.0)</f>
        <v>21415</v>
      </c>
      <c r="AF373" s="272"/>
      <c r="AG373" s="208"/>
      <c r="AH373" s="208"/>
      <c r="AI373" s="208"/>
      <c r="AJ373" s="208"/>
      <c r="AK373" s="208"/>
    </row>
    <row r="374" hidden="1">
      <c r="A374" s="209">
        <f>IFERROR(__xludf.DUMMYFUNCTION("""COMPUTED_VALUE"""),46113.0)</f>
        <v>46113</v>
      </c>
      <c r="B374" s="210">
        <f>IFERROR(__xludf.DUMMYFUNCTION("""COMPUTED_VALUE"""),0.8333333333321207)</f>
        <v>0.8333333333</v>
      </c>
      <c r="C374" s="211" t="str">
        <f>IFERROR(__xludf.DUMMYFUNCTION("""COMPUTED_VALUE"""),"Sms")</f>
        <v>Sms</v>
      </c>
      <c r="D374" s="211" t="str">
        <f>IFERROR(__xludf.DUMMYFUNCTION("""COMPUTED_VALUE"""),"Fallback Campaign")</f>
        <v>Fallback Campaign</v>
      </c>
      <c r="E374" s="211" t="str">
        <f>IFERROR(__xludf.DUMMYFUNCTION("""COMPUTED_VALUE"""),"BBW")</f>
        <v>BBW</v>
      </c>
      <c r="F374" s="211" t="str">
        <f>IFERROR(__xludf.DUMMYFUNCTION("""COMPUTED_VALUE"""),"B1G1")</f>
        <v>B1G1</v>
      </c>
      <c r="G374" s="212" t="str">
        <f>IFERROR(__xludf.DUMMYFUNCTION("""COMPUTED_VALUE"""),"bbw_online_smsfb_1april_buy1get1_bundle buyers")</f>
        <v>bbw_online_smsfb_1april_buy1get1_bundle buyers</v>
      </c>
      <c r="H374" s="212" t="str">
        <f>IFERROR(__xludf.DUMMYFUNCTION("""COMPUTED_VALUE"""),"UPT_Min_3_ON")</f>
        <v>UPT_Min_3_ON</v>
      </c>
      <c r="I374" s="212" t="str">
        <f>IFERROR(__xludf.DUMMYFUNCTION("""COMPUTED_VALUE"""),"WA Undelivered")</f>
        <v>WA Undelivered</v>
      </c>
      <c r="J374" s="213">
        <f>IFERROR(__xludf.DUMMYFUNCTION("""COMPUTED_VALUE"""),8228.0)</f>
        <v>8228</v>
      </c>
      <c r="K374" s="213">
        <f>IFERROR(__xludf.DUMMYFUNCTION("""COMPUTED_VALUE"""),4141.0)</f>
        <v>4141</v>
      </c>
      <c r="L374" s="214">
        <f>IFERROR(__xludf.DUMMYFUNCTION("""COMPUTED_VALUE"""),0.5033)</f>
        <v>0.5033</v>
      </c>
      <c r="M374" s="214"/>
      <c r="N374" s="214"/>
      <c r="O374" s="213">
        <f>IFERROR(__xludf.DUMMYFUNCTION("""COMPUTED_VALUE"""),24.0)</f>
        <v>24</v>
      </c>
      <c r="P374" s="213"/>
      <c r="Q374" s="214">
        <f>IFERROR(__xludf.DUMMYFUNCTION("""COMPUTED_VALUE"""),0.0058)</f>
        <v>0.0058</v>
      </c>
      <c r="R374" s="214"/>
      <c r="S374" s="101">
        <f>IFERROR(__xludf.DUMMYFUNCTION("""COMPUTED_VALUE"""),0.0)</f>
        <v>0</v>
      </c>
      <c r="T374" s="101">
        <f>IFERROR(__xludf.DUMMYFUNCTION("""COMPUTED_VALUE"""),1.0)</f>
        <v>1</v>
      </c>
      <c r="U374" s="270">
        <f>IFERROR(__xludf.DUMMYFUNCTION("""COMPUTED_VALUE"""),0.0)</f>
        <v>0</v>
      </c>
      <c r="V374" s="271" t="str">
        <f>IFERROR(__xludf.DUMMYFUNCTION("""COMPUTED_VALUE"""),"online")</f>
        <v>online</v>
      </c>
      <c r="W374" s="272" t="str">
        <f>IFERROR(__xludf.DUMMYFUNCTION("""COMPUTED_VALUE"""),"SMS")</f>
        <v>SMS</v>
      </c>
      <c r="X374" s="272" t="str">
        <f>IFERROR(__xludf.DUMMYFUNCTION("""COMPUTED_VALUE"""),"Cart Qty")</f>
        <v>Cart Qty</v>
      </c>
      <c r="Y374" s="272" t="str">
        <f>IFERROR(__xludf.DUMMYFUNCTION("""COMPUTED_VALUE"""),"1 April")</f>
        <v>1 April</v>
      </c>
      <c r="Z374" s="272" t="str">
        <f>IFERROR(__xludf.DUMMYFUNCTION("""COMPUTED_VALUE"""),"69cd03165c5aba4217ed5dc0")</f>
        <v>69cd03165c5aba4217ed5dc0</v>
      </c>
      <c r="AA374" s="272">
        <f>IFERROR(__xludf.DUMMYFUNCTION("""COMPUTED_VALUE"""),3.0)</f>
        <v>3</v>
      </c>
      <c r="AB374" s="272">
        <f>IFERROR(__xludf.DUMMYFUNCTION("""COMPUTED_VALUE"""),3.0)</f>
        <v>3</v>
      </c>
      <c r="AC374" s="272"/>
      <c r="AD374" s="272">
        <f>IFERROR(__xludf.DUMMYFUNCTION("""COMPUTED_VALUE"""),12786.0)</f>
        <v>12786</v>
      </c>
      <c r="AE374" s="272">
        <f>IFERROR(__xludf.DUMMYFUNCTION("""COMPUTED_VALUE"""),12786.0)</f>
        <v>12786</v>
      </c>
      <c r="AF374" s="272"/>
      <c r="AG374" s="208"/>
      <c r="AH374" s="208"/>
      <c r="AI374" s="208"/>
      <c r="AJ374" s="208"/>
      <c r="AK374" s="208"/>
    </row>
    <row r="375" hidden="1">
      <c r="A375" s="209">
        <f>IFERROR(__xludf.DUMMYFUNCTION("""COMPUTED_VALUE"""),46113.0)</f>
        <v>46113</v>
      </c>
      <c r="B375" s="210">
        <f>IFERROR(__xludf.DUMMYFUNCTION("""COMPUTED_VALUE"""),0.8333333333321207)</f>
        <v>0.8333333333</v>
      </c>
      <c r="C375" s="211" t="str">
        <f>IFERROR(__xludf.DUMMYFUNCTION("""COMPUTED_VALUE"""),"Sms")</f>
        <v>Sms</v>
      </c>
      <c r="D375" s="211" t="str">
        <f>IFERROR(__xludf.DUMMYFUNCTION("""COMPUTED_VALUE"""),"Fallback Campaign")</f>
        <v>Fallback Campaign</v>
      </c>
      <c r="E375" s="211" t="str">
        <f>IFERROR(__xludf.DUMMYFUNCTION("""COMPUTED_VALUE"""),"BBW")</f>
        <v>BBW</v>
      </c>
      <c r="F375" s="211" t="str">
        <f>IFERROR(__xludf.DUMMYFUNCTION("""COMPUTED_VALUE"""),"B1G1")</f>
        <v>B1G1</v>
      </c>
      <c r="G375" s="212" t="str">
        <f>IFERROR(__xludf.DUMMYFUNCTION("""COMPUTED_VALUE"""),"bbw_online_smsfb_1april_buy1get1_dormant")</f>
        <v>bbw_online_smsfb_1april_buy1get1_dormant</v>
      </c>
      <c r="H375" s="212" t="str">
        <f>IFERROR(__xludf.DUMMYFUNCTION("""COMPUTED_VALUE"""),"Dorm_90_365_ON")</f>
        <v>Dorm_90_365_ON</v>
      </c>
      <c r="I375" s="212" t="str">
        <f>IFERROR(__xludf.DUMMYFUNCTION("""COMPUTED_VALUE"""),"WA Undelivered")</f>
        <v>WA Undelivered</v>
      </c>
      <c r="J375" s="213">
        <f>IFERROR(__xludf.DUMMYFUNCTION("""COMPUTED_VALUE"""),3004.0)</f>
        <v>3004</v>
      </c>
      <c r="K375" s="213">
        <f>IFERROR(__xludf.DUMMYFUNCTION("""COMPUTED_VALUE"""),1723.0)</f>
        <v>1723</v>
      </c>
      <c r="L375" s="214">
        <f>IFERROR(__xludf.DUMMYFUNCTION("""COMPUTED_VALUE"""),0.5736)</f>
        <v>0.5736</v>
      </c>
      <c r="M375" s="214"/>
      <c r="N375" s="214"/>
      <c r="O375" s="213">
        <f>IFERROR(__xludf.DUMMYFUNCTION("""COMPUTED_VALUE"""),2.0)</f>
        <v>2</v>
      </c>
      <c r="P375" s="213"/>
      <c r="Q375" s="214">
        <f>IFERROR(__xludf.DUMMYFUNCTION("""COMPUTED_VALUE"""),0.0012)</f>
        <v>0.0012</v>
      </c>
      <c r="R375" s="214"/>
      <c r="S375" s="101">
        <f>IFERROR(__xludf.DUMMYFUNCTION("""COMPUTED_VALUE"""),0.0)</f>
        <v>0</v>
      </c>
      <c r="T375" s="101">
        <f>IFERROR(__xludf.DUMMYFUNCTION("""COMPUTED_VALUE"""),0.0)</f>
        <v>0</v>
      </c>
      <c r="U375" s="270">
        <f>IFERROR(__xludf.DUMMYFUNCTION("""COMPUTED_VALUE"""),0.0)</f>
        <v>0</v>
      </c>
      <c r="V375" s="271" t="str">
        <f>IFERROR(__xludf.DUMMYFUNCTION("""COMPUTED_VALUE"""),"online")</f>
        <v>online</v>
      </c>
      <c r="W375" s="272" t="str">
        <f>IFERROR(__xludf.DUMMYFUNCTION("""COMPUTED_VALUE"""),"SMS")</f>
        <v>SMS</v>
      </c>
      <c r="X375" s="272" t="str">
        <f>IFERROR(__xludf.DUMMYFUNCTION("""COMPUTED_VALUE"""),"Dormant")</f>
        <v>Dormant</v>
      </c>
      <c r="Y375" s="272" t="str">
        <f>IFERROR(__xludf.DUMMYFUNCTION("""COMPUTED_VALUE"""),"1 April")</f>
        <v>1 April</v>
      </c>
      <c r="Z375" s="272" t="str">
        <f>IFERROR(__xludf.DUMMYFUNCTION("""COMPUTED_VALUE"""),"69cd0349c5a201a1477208a7")</f>
        <v>69cd0349c5a201a1477208a7</v>
      </c>
      <c r="AA375" s="272">
        <f>IFERROR(__xludf.DUMMYFUNCTION("""COMPUTED_VALUE"""),2.0)</f>
        <v>2</v>
      </c>
      <c r="AB375" s="272">
        <f>IFERROR(__xludf.DUMMYFUNCTION("""COMPUTED_VALUE"""),2.0)</f>
        <v>2</v>
      </c>
      <c r="AC375" s="272"/>
      <c r="AD375" s="272">
        <f>IFERROR(__xludf.DUMMYFUNCTION("""COMPUTED_VALUE"""),2898.0)</f>
        <v>2898</v>
      </c>
      <c r="AE375" s="272">
        <f>IFERROR(__xludf.DUMMYFUNCTION("""COMPUTED_VALUE"""),2898.0)</f>
        <v>2898</v>
      </c>
      <c r="AF375" s="272"/>
      <c r="AG375" s="208"/>
      <c r="AH375" s="208"/>
      <c r="AI375" s="208"/>
      <c r="AJ375" s="208"/>
      <c r="AK375" s="208"/>
    </row>
    <row r="376" hidden="1">
      <c r="A376" s="209">
        <f>IFERROR(__xludf.DUMMYFUNCTION("""COMPUTED_VALUE"""),46113.0)</f>
        <v>46113</v>
      </c>
      <c r="B376" s="210">
        <f>IFERROR(__xludf.DUMMYFUNCTION("""COMPUTED_VALUE"""),0.8333333333321207)</f>
        <v>0.8333333333</v>
      </c>
      <c r="C376" s="211" t="str">
        <f>IFERROR(__xludf.DUMMYFUNCTION("""COMPUTED_VALUE"""),"Sms")</f>
        <v>Sms</v>
      </c>
      <c r="D376" s="211" t="str">
        <f>IFERROR(__xludf.DUMMYFUNCTION("""COMPUTED_VALUE"""),"Fallback Campaign")</f>
        <v>Fallback Campaign</v>
      </c>
      <c r="E376" s="211" t="str">
        <f>IFERROR(__xludf.DUMMYFUNCTION("""COMPUTED_VALUE"""),"BBW")</f>
        <v>BBW</v>
      </c>
      <c r="F376" s="211" t="str">
        <f>IFERROR(__xludf.DUMMYFUNCTION("""COMPUTED_VALUE"""),"B1G1")</f>
        <v>B1G1</v>
      </c>
      <c r="G376" s="212" t="str">
        <f>IFERROR(__xludf.DUMMYFUNCTION("""COMPUTED_VALUE"""),"bbw_online_smsfb_1april_buy1get1_atc")</f>
        <v>bbw_online_smsfb_1april_buy1get1_atc</v>
      </c>
      <c r="H376" s="212" t="str">
        <f>IFERROR(__xludf.DUMMYFUNCTION("""COMPUTED_VALUE"""),"Web_View_ATC_45D")</f>
        <v>Web_View_ATC_45D</v>
      </c>
      <c r="I376" s="212" t="str">
        <f>IFERROR(__xludf.DUMMYFUNCTION("""COMPUTED_VALUE"""),"WA Undelivered")</f>
        <v>WA Undelivered</v>
      </c>
      <c r="J376" s="213">
        <f>IFERROR(__xludf.DUMMYFUNCTION("""COMPUTED_VALUE"""),2072.0)</f>
        <v>2072</v>
      </c>
      <c r="K376" s="213">
        <f>IFERROR(__xludf.DUMMYFUNCTION("""COMPUTED_VALUE"""),1422.0)</f>
        <v>1422</v>
      </c>
      <c r="L376" s="214">
        <f>IFERROR(__xludf.DUMMYFUNCTION("""COMPUTED_VALUE"""),0.6863)</f>
        <v>0.6863</v>
      </c>
      <c r="M376" s="214"/>
      <c r="N376" s="214"/>
      <c r="O376" s="213">
        <f>IFERROR(__xludf.DUMMYFUNCTION("""COMPUTED_VALUE"""),17.0)</f>
        <v>17</v>
      </c>
      <c r="P376" s="213"/>
      <c r="Q376" s="214">
        <f>IFERROR(__xludf.DUMMYFUNCTION("""COMPUTED_VALUE"""),0.012)</f>
        <v>0.012</v>
      </c>
      <c r="R376" s="214"/>
      <c r="S376" s="101">
        <f>IFERROR(__xludf.DUMMYFUNCTION("""COMPUTED_VALUE"""),7.0)</f>
        <v>7</v>
      </c>
      <c r="T376" s="101">
        <f>IFERROR(__xludf.DUMMYFUNCTION("""COMPUTED_VALUE"""),31.0)</f>
        <v>31</v>
      </c>
      <c r="U376" s="270">
        <f>IFERROR(__xludf.DUMMYFUNCTION("""COMPUTED_VALUE"""),18342.0)</f>
        <v>18342</v>
      </c>
      <c r="V376" s="271" t="str">
        <f>IFERROR(__xludf.DUMMYFUNCTION("""COMPUTED_VALUE"""),"online")</f>
        <v>online</v>
      </c>
      <c r="W376" s="272" t="str">
        <f>IFERROR(__xludf.DUMMYFUNCTION("""COMPUTED_VALUE"""),"SMS")</f>
        <v>SMS</v>
      </c>
      <c r="X376" s="272" t="str">
        <f>IFERROR(__xludf.DUMMYFUNCTION("""COMPUTED_VALUE"""),"Web View")</f>
        <v>Web View</v>
      </c>
      <c r="Y376" s="272" t="str">
        <f>IFERROR(__xludf.DUMMYFUNCTION("""COMPUTED_VALUE"""),"1 April")</f>
        <v>1 April</v>
      </c>
      <c r="Z376" s="272" t="str">
        <f>IFERROR(__xludf.DUMMYFUNCTION("""COMPUTED_VALUE"""),"69cd03b0d7120e9233efcac5")</f>
        <v>69cd03b0d7120e9233efcac5</v>
      </c>
      <c r="AA376" s="272">
        <f>IFERROR(__xludf.DUMMYFUNCTION("""COMPUTED_VALUE"""),5.0)</f>
        <v>5</v>
      </c>
      <c r="AB376" s="272">
        <f>IFERROR(__xludf.DUMMYFUNCTION("""COMPUTED_VALUE"""),5.0)</f>
        <v>5</v>
      </c>
      <c r="AC376" s="272"/>
      <c r="AD376" s="272">
        <f>IFERROR(__xludf.DUMMYFUNCTION("""COMPUTED_VALUE"""),20036.0)</f>
        <v>20036</v>
      </c>
      <c r="AE376" s="272">
        <f>IFERROR(__xludf.DUMMYFUNCTION("""COMPUTED_VALUE"""),20036.0)</f>
        <v>20036</v>
      </c>
      <c r="AF376" s="272"/>
      <c r="AG376" s="208"/>
      <c r="AH376" s="208"/>
      <c r="AI376" s="208"/>
      <c r="AJ376" s="208"/>
      <c r="AK376" s="208"/>
    </row>
    <row r="377" hidden="1">
      <c r="A377" s="209">
        <f>IFERROR(__xludf.DUMMYFUNCTION("""COMPUTED_VALUE"""),46113.0)</f>
        <v>46113</v>
      </c>
      <c r="B377" s="210">
        <f>IFERROR(__xludf.DUMMYFUNCTION("""COMPUTED_VALUE"""),0.8333333333321207)</f>
        <v>0.8333333333</v>
      </c>
      <c r="C377" s="211" t="str">
        <f>IFERROR(__xludf.DUMMYFUNCTION("""COMPUTED_VALUE"""),"Sms")</f>
        <v>Sms</v>
      </c>
      <c r="D377" s="211" t="str">
        <f>IFERROR(__xludf.DUMMYFUNCTION("""COMPUTED_VALUE"""),"Fallback Campaign")</f>
        <v>Fallback Campaign</v>
      </c>
      <c r="E377" s="211" t="str">
        <f>IFERROR(__xludf.DUMMYFUNCTION("""COMPUTED_VALUE"""),"BBW")</f>
        <v>BBW</v>
      </c>
      <c r="F377" s="211" t="str">
        <f>IFERROR(__xludf.DUMMYFUNCTION("""COMPUTED_VALUE"""),"B1G1")</f>
        <v>B1G1</v>
      </c>
      <c r="G377" s="212" t="str">
        <f>IFERROR(__xludf.DUMMYFUNCTION("""COMPUTED_VALUE"""),"bbw_online_smsfb_1april_buy1get1_smsfb_clicked")</f>
        <v>bbw_online_smsfb_1april_buy1get1_smsfb_clicked</v>
      </c>
      <c r="H377" s="212" t="str">
        <f>IFERROR(__xludf.DUMMYFUNCTION("""COMPUTED_VALUE"""),"WA_Clicked_90D")</f>
        <v>WA_Clicked_90D</v>
      </c>
      <c r="I377" s="212" t="str">
        <f>IFERROR(__xludf.DUMMYFUNCTION("""COMPUTED_VALUE"""),"WA Undelivered")</f>
        <v>WA Undelivered</v>
      </c>
      <c r="J377" s="213">
        <f>IFERROR(__xludf.DUMMYFUNCTION("""COMPUTED_VALUE"""),11117.0)</f>
        <v>11117</v>
      </c>
      <c r="K377" s="213">
        <f>IFERROR(__xludf.DUMMYFUNCTION("""COMPUTED_VALUE"""),6076.0)</f>
        <v>6076</v>
      </c>
      <c r="L377" s="214">
        <f>IFERROR(__xludf.DUMMYFUNCTION("""COMPUTED_VALUE"""),0.5466)</f>
        <v>0.5466</v>
      </c>
      <c r="M377" s="214"/>
      <c r="N377" s="214"/>
      <c r="O377" s="213">
        <f>IFERROR(__xludf.DUMMYFUNCTION("""COMPUTED_VALUE"""),74.0)</f>
        <v>74</v>
      </c>
      <c r="P377" s="213"/>
      <c r="Q377" s="214">
        <f>IFERROR(__xludf.DUMMYFUNCTION("""COMPUTED_VALUE"""),0.0122)</f>
        <v>0.0122</v>
      </c>
      <c r="R377" s="214"/>
      <c r="S377" s="101">
        <f>IFERROR(__xludf.DUMMYFUNCTION("""COMPUTED_VALUE"""),0.0)</f>
        <v>0</v>
      </c>
      <c r="T377" s="101">
        <f>IFERROR(__xludf.DUMMYFUNCTION("""COMPUTED_VALUE"""),4.0)</f>
        <v>4</v>
      </c>
      <c r="U377" s="270">
        <f>IFERROR(__xludf.DUMMYFUNCTION("""COMPUTED_VALUE"""),0.0)</f>
        <v>0</v>
      </c>
      <c r="V377" s="271" t="str">
        <f>IFERROR(__xludf.DUMMYFUNCTION("""COMPUTED_VALUE"""),"online")</f>
        <v>online</v>
      </c>
      <c r="W377" s="272" t="str">
        <f>IFERROR(__xludf.DUMMYFUNCTION("""COMPUTED_VALUE"""),"SMS")</f>
        <v>SMS</v>
      </c>
      <c r="X377" s="272" t="str">
        <f>IFERROR(__xludf.DUMMYFUNCTION("""COMPUTED_VALUE"""),"WhatsApp Engage")</f>
        <v>WhatsApp Engage</v>
      </c>
      <c r="Y377" s="272" t="str">
        <f>IFERROR(__xludf.DUMMYFUNCTION("""COMPUTED_VALUE"""),"1 April")</f>
        <v>1 April</v>
      </c>
      <c r="Z377" s="272" t="str">
        <f>IFERROR(__xludf.DUMMYFUNCTION("""COMPUTED_VALUE"""),"69cd03dc9d9d4430d286a35a")</f>
        <v>69cd03dc9d9d4430d286a35a</v>
      </c>
      <c r="AA377" s="272">
        <f>IFERROR(__xludf.DUMMYFUNCTION("""COMPUTED_VALUE"""),2.0)</f>
        <v>2</v>
      </c>
      <c r="AB377" s="272">
        <f>IFERROR(__xludf.DUMMYFUNCTION("""COMPUTED_VALUE"""),2.0)</f>
        <v>2</v>
      </c>
      <c r="AC377" s="272"/>
      <c r="AD377" s="272">
        <f>IFERROR(__xludf.DUMMYFUNCTION("""COMPUTED_VALUE"""),5390.0)</f>
        <v>5390</v>
      </c>
      <c r="AE377" s="272">
        <f>IFERROR(__xludf.DUMMYFUNCTION("""COMPUTED_VALUE"""),5390.0)</f>
        <v>5390</v>
      </c>
      <c r="AF377" s="272"/>
      <c r="AG377" s="208"/>
      <c r="AH377" s="208"/>
      <c r="AI377" s="208"/>
      <c r="AJ377" s="208"/>
      <c r="AK377" s="208"/>
    </row>
    <row r="378" hidden="1">
      <c r="A378" s="209">
        <f>IFERROR(__xludf.DUMMYFUNCTION("""COMPUTED_VALUE"""),46114.0)</f>
        <v>46114</v>
      </c>
      <c r="B378" s="210">
        <f>IFERROR(__xludf.DUMMYFUNCTION("""COMPUTED_VALUE"""),0.4166666666678793)</f>
        <v>0.4166666667</v>
      </c>
      <c r="C378" s="211" t="str">
        <f>IFERROR(__xludf.DUMMYFUNCTION("""COMPUTED_VALUE"""),"Whatsapp")</f>
        <v>Whatsapp</v>
      </c>
      <c r="D378" s="211" t="str">
        <f>IFERROR(__xludf.DUMMYFUNCTION("""COMPUTED_VALUE"""),"Promotional")</f>
        <v>Promotional</v>
      </c>
      <c r="E378" s="211" t="str">
        <f>IFERROR(__xludf.DUMMYFUNCTION("""COMPUTED_VALUE"""),"BBW")</f>
        <v>BBW</v>
      </c>
      <c r="F378" s="211" t="str">
        <f>IFERROR(__xludf.DUMMYFUNCTION("""COMPUTED_VALUE"""),"B1G1")</f>
        <v>B1G1</v>
      </c>
      <c r="G378" s="212" t="str">
        <f>IFERROR(__xludf.DUMMYFUNCTION("""COMPUTED_VALUE"""),"bbw_offline_wa_2april_buy1get1_loyal")</f>
        <v>bbw_offline_wa_2april_buy1get1_loyal</v>
      </c>
      <c r="H378" s="212" t="str">
        <f>IFERROR(__xludf.DUMMYFUNCTION("""COMPUTED_VALUE"""),"Loyal_OFF")</f>
        <v>Loyal_OFF</v>
      </c>
      <c r="I378" s="212" t="str">
        <f>IFERROR(__xludf.DUMMYFUNCTION("""COMPUTED_VALUE"""),"Offline Customers who have 4 or more purchases in last 12 Months")</f>
        <v>Offline Customers who have 4 or more purchases in last 12 Months</v>
      </c>
      <c r="J378" s="213">
        <f>IFERROR(__xludf.DUMMYFUNCTION("""COMPUTED_VALUE"""),10822.0)</f>
        <v>10822</v>
      </c>
      <c r="K378" s="213">
        <f>IFERROR(__xludf.DUMMYFUNCTION("""COMPUTED_VALUE"""),5477.0)</f>
        <v>5477</v>
      </c>
      <c r="L378" s="214">
        <f>IFERROR(__xludf.DUMMYFUNCTION("""COMPUTED_VALUE"""),0.5061)</f>
        <v>0.5061</v>
      </c>
      <c r="M378" s="214">
        <f>IFERROR(__xludf.DUMMYFUNCTION("""COMPUTED_VALUE"""),2146.0)</f>
        <v>2146</v>
      </c>
      <c r="N378" s="214">
        <f>IFERROR(__xludf.DUMMYFUNCTION("""COMPUTED_VALUE"""),0.3919)</f>
        <v>0.3919</v>
      </c>
      <c r="O378" s="213">
        <f>IFERROR(__xludf.DUMMYFUNCTION("""COMPUTED_VALUE"""),282.0)</f>
        <v>282</v>
      </c>
      <c r="P378" s="213">
        <f>IFERROR(__xludf.DUMMYFUNCTION("""COMPUTED_VALUE"""),264.0)</f>
        <v>264</v>
      </c>
      <c r="Q378" s="214">
        <f>IFERROR(__xludf.DUMMYFUNCTION("""COMPUTED_VALUE"""),0.0482)</f>
        <v>0.0482</v>
      </c>
      <c r="R378" s="214">
        <f>IFERROR(__xludf.DUMMYFUNCTION("""COMPUTED_VALUE"""),0.123)</f>
        <v>0.123</v>
      </c>
      <c r="S378" s="101">
        <f>IFERROR(__xludf.DUMMYFUNCTION("""COMPUTED_VALUE"""),2.0)</f>
        <v>2</v>
      </c>
      <c r="T378" s="101">
        <f>IFERROR(__xludf.DUMMYFUNCTION("""COMPUTED_VALUE"""),10.0)</f>
        <v>10</v>
      </c>
      <c r="U378" s="270">
        <f>IFERROR(__xludf.DUMMYFUNCTION("""COMPUTED_VALUE"""),11471.0)</f>
        <v>11471</v>
      </c>
      <c r="V378" s="271" t="str">
        <f>IFERROR(__xludf.DUMMYFUNCTION("""COMPUTED_VALUE"""),"offline")</f>
        <v>offline</v>
      </c>
      <c r="W378" s="272" t="str">
        <f>IFERROR(__xludf.DUMMYFUNCTION("""COMPUTED_VALUE"""),"simple")</f>
        <v>simple</v>
      </c>
      <c r="X378" s="272" t="str">
        <f>IFERROR(__xludf.DUMMYFUNCTION("""COMPUTED_VALUE"""),"Loyal")</f>
        <v>Loyal</v>
      </c>
      <c r="Y378" s="272" t="str">
        <f>IFERROR(__xludf.DUMMYFUNCTION("""COMPUTED_VALUE"""),"2-4 April")</f>
        <v>2-4 April</v>
      </c>
      <c r="Z378" s="272" t="str">
        <f>IFERROR(__xludf.DUMMYFUNCTION("""COMPUTED_VALUE"""),"69ccfdff3608f6f43d1d8030")</f>
        <v>69ccfdff3608f6f43d1d8030</v>
      </c>
      <c r="AA378" s="272">
        <f>IFERROR(__xludf.DUMMYFUNCTION("""COMPUTED_VALUE"""),56.0)</f>
        <v>56</v>
      </c>
      <c r="AB378" s="272"/>
      <c r="AC378" s="272">
        <f>IFERROR(__xludf.DUMMYFUNCTION("""COMPUTED_VALUE"""),56.0)</f>
        <v>56</v>
      </c>
      <c r="AD378" s="272">
        <f>IFERROR(__xludf.DUMMYFUNCTION("""COMPUTED_VALUE"""),898542.0)</f>
        <v>898542</v>
      </c>
      <c r="AE378" s="272"/>
      <c r="AF378" s="272">
        <f>IFERROR(__xludf.DUMMYFUNCTION("""COMPUTED_VALUE"""),898542.0)</f>
        <v>898542</v>
      </c>
      <c r="AG378" s="208"/>
      <c r="AH378" s="208"/>
      <c r="AI378" s="208"/>
      <c r="AJ378" s="208"/>
      <c r="AK378" s="208"/>
    </row>
    <row r="379" hidden="1">
      <c r="A379" s="209">
        <f>IFERROR(__xludf.DUMMYFUNCTION("""COMPUTED_VALUE"""),46114.0)</f>
        <v>46114</v>
      </c>
      <c r="B379" s="210">
        <f>IFERROR(__xludf.DUMMYFUNCTION("""COMPUTED_VALUE"""),0.4166666666678793)</f>
        <v>0.4166666667</v>
      </c>
      <c r="C379" s="211" t="str">
        <f>IFERROR(__xludf.DUMMYFUNCTION("""COMPUTED_VALUE"""),"Whatsapp")</f>
        <v>Whatsapp</v>
      </c>
      <c r="D379" s="211" t="str">
        <f>IFERROR(__xludf.DUMMYFUNCTION("""COMPUTED_VALUE"""),"Promotional")</f>
        <v>Promotional</v>
      </c>
      <c r="E379" s="211" t="str">
        <f>IFERROR(__xludf.DUMMYFUNCTION("""COMPUTED_VALUE"""),"BBW")</f>
        <v>BBW</v>
      </c>
      <c r="F379" s="211" t="str">
        <f>IFERROR(__xludf.DUMMYFUNCTION("""COMPUTED_VALUE"""),"B1G1")</f>
        <v>B1G1</v>
      </c>
      <c r="G379" s="212" t="str">
        <f>IFERROR(__xludf.DUMMYFUNCTION("""COMPUTED_VALUE"""),"bbw_offline_wa_2april_buy1get1_repeat")</f>
        <v>bbw_offline_wa_2april_buy1get1_repeat</v>
      </c>
      <c r="H379" s="212" t="str">
        <f>IFERROR(__xludf.DUMMYFUNCTION("""COMPUTED_VALUE"""),"Repeat_OFF")</f>
        <v>Repeat_OFF</v>
      </c>
      <c r="I379" s="212" t="str">
        <f>IFERROR(__xludf.DUMMYFUNCTION("""COMPUTED_VALUE"""),"Offline Customers who have purchased at least 2 times in the last 6 Months")</f>
        <v>Offline Customers who have purchased at least 2 times in the last 6 Months</v>
      </c>
      <c r="J379" s="213">
        <f>IFERROR(__xludf.DUMMYFUNCTION("""COMPUTED_VALUE"""),21462.0)</f>
        <v>21462</v>
      </c>
      <c r="K379" s="213">
        <f>IFERROR(__xludf.DUMMYFUNCTION("""COMPUTED_VALUE"""),11692.0)</f>
        <v>11692</v>
      </c>
      <c r="L379" s="214">
        <f>IFERROR(__xludf.DUMMYFUNCTION("""COMPUTED_VALUE"""),0.5448)</f>
        <v>0.5448</v>
      </c>
      <c r="M379" s="213">
        <f>IFERROR(__xludf.DUMMYFUNCTION("""COMPUTED_VALUE"""),4444.0)</f>
        <v>4444</v>
      </c>
      <c r="N379" s="214">
        <f>IFERROR(__xludf.DUMMYFUNCTION("""COMPUTED_VALUE"""),0.3801)</f>
        <v>0.3801</v>
      </c>
      <c r="O379" s="213">
        <f>IFERROR(__xludf.DUMMYFUNCTION("""COMPUTED_VALUE"""),529.0)</f>
        <v>529</v>
      </c>
      <c r="P379" s="213">
        <f>IFERROR(__xludf.DUMMYFUNCTION("""COMPUTED_VALUE"""),501.0)</f>
        <v>501</v>
      </c>
      <c r="Q379" s="214">
        <f>IFERROR(__xludf.DUMMYFUNCTION("""COMPUTED_VALUE"""),0.0429)</f>
        <v>0.0429</v>
      </c>
      <c r="R379" s="214">
        <f>IFERROR(__xludf.DUMMYFUNCTION("""COMPUTED_VALUE"""),0.1127)</f>
        <v>0.1127</v>
      </c>
      <c r="S379" s="101">
        <f>IFERROR(__xludf.DUMMYFUNCTION("""COMPUTED_VALUE"""),3.0)</f>
        <v>3</v>
      </c>
      <c r="T379" s="101">
        <f>IFERROR(__xludf.DUMMYFUNCTION("""COMPUTED_VALUE"""),10.0)</f>
        <v>10</v>
      </c>
      <c r="U379" s="270">
        <f>IFERROR(__xludf.DUMMYFUNCTION("""COMPUTED_VALUE"""),8273.0)</f>
        <v>8273</v>
      </c>
      <c r="V379" s="271" t="str">
        <f>IFERROR(__xludf.DUMMYFUNCTION("""COMPUTED_VALUE"""),"offline")</f>
        <v>offline</v>
      </c>
      <c r="W379" s="272" t="str">
        <f>IFERROR(__xludf.DUMMYFUNCTION("""COMPUTED_VALUE"""),"simple")</f>
        <v>simple</v>
      </c>
      <c r="X379" s="272" t="str">
        <f>IFERROR(__xludf.DUMMYFUNCTION("""COMPUTED_VALUE"""),"Repeat")</f>
        <v>Repeat</v>
      </c>
      <c r="Y379" s="272" t="str">
        <f>IFERROR(__xludf.DUMMYFUNCTION("""COMPUTED_VALUE"""),"2-4 April")</f>
        <v>2-4 April</v>
      </c>
      <c r="Z379" s="272" t="str">
        <f>IFERROR(__xludf.DUMMYFUNCTION("""COMPUTED_VALUE"""),"69ccfe253608f6f43d1d803f")</f>
        <v>69ccfe253608f6f43d1d803f</v>
      </c>
      <c r="AA379" s="272">
        <f>IFERROR(__xludf.DUMMYFUNCTION("""COMPUTED_VALUE"""),106.0)</f>
        <v>106</v>
      </c>
      <c r="AB379" s="272"/>
      <c r="AC379" s="272">
        <f>IFERROR(__xludf.DUMMYFUNCTION("""COMPUTED_VALUE"""),106.0)</f>
        <v>106</v>
      </c>
      <c r="AD379" s="272">
        <f>IFERROR(__xludf.DUMMYFUNCTION("""COMPUTED_VALUE"""),389279.0)</f>
        <v>389279</v>
      </c>
      <c r="AE379" s="272"/>
      <c r="AF379" s="272">
        <f>IFERROR(__xludf.DUMMYFUNCTION("""COMPUTED_VALUE"""),389279.0)</f>
        <v>389279</v>
      </c>
      <c r="AG379" s="208"/>
      <c r="AH379" s="208"/>
      <c r="AI379" s="208"/>
      <c r="AJ379" s="208"/>
      <c r="AK379" s="208"/>
    </row>
    <row r="380" hidden="1">
      <c r="A380" s="209">
        <f>IFERROR(__xludf.DUMMYFUNCTION("""COMPUTED_VALUE"""),46114.0)</f>
        <v>46114</v>
      </c>
      <c r="B380" s="210">
        <f>IFERROR(__xludf.DUMMYFUNCTION("""COMPUTED_VALUE"""),0.4166666666678793)</f>
        <v>0.4166666667</v>
      </c>
      <c r="C380" s="211" t="str">
        <f>IFERROR(__xludf.DUMMYFUNCTION("""COMPUTED_VALUE"""),"Whatsapp")</f>
        <v>Whatsapp</v>
      </c>
      <c r="D380" s="211" t="str">
        <f>IFERROR(__xludf.DUMMYFUNCTION("""COMPUTED_VALUE"""),"Promotional")</f>
        <v>Promotional</v>
      </c>
      <c r="E380" s="211" t="str">
        <f>IFERROR(__xludf.DUMMYFUNCTION("""COMPUTED_VALUE"""),"BBW")</f>
        <v>BBW</v>
      </c>
      <c r="F380" s="211" t="str">
        <f>IFERROR(__xludf.DUMMYFUNCTION("""COMPUTED_VALUE"""),"B1G1")</f>
        <v>B1G1</v>
      </c>
      <c r="G380" s="212" t="str">
        <f>IFERROR(__xludf.DUMMYFUNCTION("""COMPUTED_VALUE"""),"bbw_offline_wa_2april_buy1get1_aov_relevant")</f>
        <v>bbw_offline_wa_2april_buy1get1_aov_relevant</v>
      </c>
      <c r="H380" s="212" t="str">
        <f>IFERROR(__xludf.DUMMYFUNCTION("""COMPUTED_VALUE"""),"AOV_Max_2699_365D_OFF")</f>
        <v>AOV_Max_2699_365D_OFF</v>
      </c>
      <c r="I380" s="212" t="str">
        <f>IFERROR(__xludf.DUMMYFUNCTION("""COMPUTED_VALUE"""),"Offline Customers with AOV less than 2999 &gt; Last 6 Months")</f>
        <v>Offline Customers with AOV less than 2999 &gt; Last 6 Months</v>
      </c>
      <c r="J380" s="213">
        <f>IFERROR(__xludf.DUMMYFUNCTION("""COMPUTED_VALUE"""),113722.0)</f>
        <v>113722</v>
      </c>
      <c r="K380" s="213">
        <f>IFERROR(__xludf.DUMMYFUNCTION("""COMPUTED_VALUE"""),65529.0)</f>
        <v>65529</v>
      </c>
      <c r="L380" s="214">
        <f>IFERROR(__xludf.DUMMYFUNCTION("""COMPUTED_VALUE"""),0.5762)</f>
        <v>0.5762</v>
      </c>
      <c r="M380" s="214">
        <f>IFERROR(__xludf.DUMMYFUNCTION("""COMPUTED_VALUE"""),25195.0)</f>
        <v>25195</v>
      </c>
      <c r="N380" s="214">
        <f>IFERROR(__xludf.DUMMYFUNCTION("""COMPUTED_VALUE"""),0.3845)</f>
        <v>0.3845</v>
      </c>
      <c r="O380" s="213">
        <f>IFERROR(__xludf.DUMMYFUNCTION("""COMPUTED_VALUE"""),2883.0)</f>
        <v>2883</v>
      </c>
      <c r="P380" s="213">
        <f>IFERROR(__xludf.DUMMYFUNCTION("""COMPUTED_VALUE"""),2734.0)</f>
        <v>2734</v>
      </c>
      <c r="Q380" s="214">
        <f>IFERROR(__xludf.DUMMYFUNCTION("""COMPUTED_VALUE"""),0.0417)</f>
        <v>0.0417</v>
      </c>
      <c r="R380" s="214">
        <f>IFERROR(__xludf.DUMMYFUNCTION("""COMPUTED_VALUE"""),0.1085)</f>
        <v>0.1085</v>
      </c>
      <c r="S380" s="101">
        <f>IFERROR(__xludf.DUMMYFUNCTION("""COMPUTED_VALUE"""),17.0)</f>
        <v>17</v>
      </c>
      <c r="T380" s="101">
        <f>IFERROR(__xludf.DUMMYFUNCTION("""COMPUTED_VALUE"""),40.0)</f>
        <v>40</v>
      </c>
      <c r="U380" s="270">
        <f>IFERROR(__xludf.DUMMYFUNCTION("""COMPUTED_VALUE"""),56217.0)</f>
        <v>56217</v>
      </c>
      <c r="V380" s="271" t="str">
        <f>IFERROR(__xludf.DUMMYFUNCTION("""COMPUTED_VALUE"""),"offline")</f>
        <v>offline</v>
      </c>
      <c r="W380" s="272" t="str">
        <f>IFERROR(__xludf.DUMMYFUNCTION("""COMPUTED_VALUE"""),"simple")</f>
        <v>simple</v>
      </c>
      <c r="X380" s="272" t="str">
        <f>IFERROR(__xludf.DUMMYFUNCTION("""COMPUTED_VALUE"""),"AOV &gt; 2699")</f>
        <v>AOV &gt; 2699</v>
      </c>
      <c r="Y380" s="272" t="str">
        <f>IFERROR(__xludf.DUMMYFUNCTION("""COMPUTED_VALUE"""),"2-4 April")</f>
        <v>2-4 April</v>
      </c>
      <c r="Z380" s="272" t="str">
        <f>IFERROR(__xludf.DUMMYFUNCTION("""COMPUTED_VALUE"""),"69ccfe52cb66cd50e89ee22f")</f>
        <v>69ccfe52cb66cd50e89ee22f</v>
      </c>
      <c r="AA380" s="272">
        <f>IFERROR(__xludf.DUMMYFUNCTION("""COMPUTED_VALUE"""),280.0)</f>
        <v>280</v>
      </c>
      <c r="AB380" s="272"/>
      <c r="AC380" s="272">
        <f>IFERROR(__xludf.DUMMYFUNCTION("""COMPUTED_VALUE"""),280.0)</f>
        <v>280</v>
      </c>
      <c r="AD380" s="272">
        <f>IFERROR(__xludf.DUMMYFUNCTION("""COMPUTED_VALUE"""),799235.0)</f>
        <v>799235</v>
      </c>
      <c r="AE380" s="272"/>
      <c r="AF380" s="272">
        <f>IFERROR(__xludf.DUMMYFUNCTION("""COMPUTED_VALUE"""),799235.0)</f>
        <v>799235</v>
      </c>
      <c r="AG380" s="208"/>
      <c r="AH380" s="208"/>
      <c r="AI380" s="208"/>
      <c r="AJ380" s="208"/>
      <c r="AK380" s="208"/>
    </row>
    <row r="381" hidden="1">
      <c r="A381" s="209">
        <f>IFERROR(__xludf.DUMMYFUNCTION("""COMPUTED_VALUE"""),46114.0)</f>
        <v>46114</v>
      </c>
      <c r="B381" s="210">
        <f>IFERROR(__xludf.DUMMYFUNCTION("""COMPUTED_VALUE"""),0.4166666666678793)</f>
        <v>0.4166666667</v>
      </c>
      <c r="C381" s="211" t="str">
        <f>IFERROR(__xludf.DUMMYFUNCTION("""COMPUTED_VALUE"""),"Whatsapp")</f>
        <v>Whatsapp</v>
      </c>
      <c r="D381" s="211" t="str">
        <f>IFERROR(__xludf.DUMMYFUNCTION("""COMPUTED_VALUE"""),"Promotional")</f>
        <v>Promotional</v>
      </c>
      <c r="E381" s="211" t="str">
        <f>IFERROR(__xludf.DUMMYFUNCTION("""COMPUTED_VALUE"""),"BBW")</f>
        <v>BBW</v>
      </c>
      <c r="F381" s="211" t="str">
        <f>IFERROR(__xludf.DUMMYFUNCTION("""COMPUTED_VALUE"""),"B1G1")</f>
        <v>B1G1</v>
      </c>
      <c r="G381" s="212" t="str">
        <f>IFERROR(__xludf.DUMMYFUNCTION("""COMPUTED_VALUE"""),"bbw_offline_wa_2april_buy1get1_bundle_buyers")</f>
        <v>bbw_offline_wa_2april_buy1get1_bundle_buyers</v>
      </c>
      <c r="H381" s="212" t="str">
        <f>IFERROR(__xludf.DUMMYFUNCTION("""COMPUTED_VALUE"""),"UPT_Min_3_OFF")</f>
        <v>UPT_Min_3_OFF</v>
      </c>
      <c r="I381" s="212" t="str">
        <f>IFERROR(__xludf.DUMMYFUNCTION("""COMPUTED_VALUE"""),"Offline Customers who bought 3+ products during each purchase in the last 6 months")</f>
        <v>Offline Customers who bought 3+ products during each purchase in the last 6 months</v>
      </c>
      <c r="J381" s="213">
        <f>IFERROR(__xludf.DUMMYFUNCTION("""COMPUTED_VALUE"""),73804.0)</f>
        <v>73804</v>
      </c>
      <c r="K381" s="213">
        <f>IFERROR(__xludf.DUMMYFUNCTION("""COMPUTED_VALUE"""),40134.0)</f>
        <v>40134</v>
      </c>
      <c r="L381" s="214">
        <f>IFERROR(__xludf.DUMMYFUNCTION("""COMPUTED_VALUE"""),0.5438)</f>
        <v>0.5438</v>
      </c>
      <c r="M381" s="214">
        <f>IFERROR(__xludf.DUMMYFUNCTION("""COMPUTED_VALUE"""),15383.0)</f>
        <v>15383</v>
      </c>
      <c r="N381" s="214">
        <f>IFERROR(__xludf.DUMMYFUNCTION("""COMPUTED_VALUE"""),0.3833)</f>
        <v>0.3833</v>
      </c>
      <c r="O381" s="213">
        <f>IFERROR(__xludf.DUMMYFUNCTION("""COMPUTED_VALUE"""),1521.0)</f>
        <v>1521</v>
      </c>
      <c r="P381" s="213">
        <f>IFERROR(__xludf.DUMMYFUNCTION("""COMPUTED_VALUE"""),1434.0)</f>
        <v>1434</v>
      </c>
      <c r="Q381" s="214">
        <f>IFERROR(__xludf.DUMMYFUNCTION("""COMPUTED_VALUE"""),0.0357)</f>
        <v>0.0357</v>
      </c>
      <c r="R381" s="214">
        <f>IFERROR(__xludf.DUMMYFUNCTION("""COMPUTED_VALUE"""),0.0932)</f>
        <v>0.0932</v>
      </c>
      <c r="S381" s="101">
        <f>IFERROR(__xludf.DUMMYFUNCTION("""COMPUTED_VALUE"""),7.0)</f>
        <v>7</v>
      </c>
      <c r="T381" s="101">
        <f>IFERROR(__xludf.DUMMYFUNCTION("""COMPUTED_VALUE"""),17.0)</f>
        <v>17</v>
      </c>
      <c r="U381" s="270">
        <f>IFERROR(__xludf.DUMMYFUNCTION("""COMPUTED_VALUE"""),28493.0)</f>
        <v>28493</v>
      </c>
      <c r="V381" s="271" t="str">
        <f>IFERROR(__xludf.DUMMYFUNCTION("""COMPUTED_VALUE"""),"offline")</f>
        <v>offline</v>
      </c>
      <c r="W381" s="272" t="str">
        <f>IFERROR(__xludf.DUMMYFUNCTION("""COMPUTED_VALUE"""),"simple")</f>
        <v>simple</v>
      </c>
      <c r="X381" s="272" t="str">
        <f>IFERROR(__xludf.DUMMYFUNCTION("""COMPUTED_VALUE"""),"Cart Qty")</f>
        <v>Cart Qty</v>
      </c>
      <c r="Y381" s="272" t="str">
        <f>IFERROR(__xludf.DUMMYFUNCTION("""COMPUTED_VALUE"""),"2-4 April")</f>
        <v>2-4 April</v>
      </c>
      <c r="Z381" s="272" t="str">
        <f>IFERROR(__xludf.DUMMYFUNCTION("""COMPUTED_VALUE"""),"69ccfe807d0762a6bbec2a3e")</f>
        <v>69ccfe807d0762a6bbec2a3e</v>
      </c>
      <c r="AA381" s="272">
        <f>IFERROR(__xludf.DUMMYFUNCTION("""COMPUTED_VALUE"""),218.0)</f>
        <v>218</v>
      </c>
      <c r="AB381" s="272"/>
      <c r="AC381" s="272">
        <f>IFERROR(__xludf.DUMMYFUNCTION("""COMPUTED_VALUE"""),218.0)</f>
        <v>218</v>
      </c>
      <c r="AD381" s="272">
        <f>IFERROR(__xludf.DUMMYFUNCTION("""COMPUTED_VALUE"""),963345.0)</f>
        <v>963345</v>
      </c>
      <c r="AE381" s="272"/>
      <c r="AF381" s="272">
        <f>IFERROR(__xludf.DUMMYFUNCTION("""COMPUTED_VALUE"""),963345.0)</f>
        <v>963345</v>
      </c>
      <c r="AG381" s="208"/>
      <c r="AH381" s="208"/>
      <c r="AI381" s="208"/>
      <c r="AJ381" s="208"/>
      <c r="AK381" s="208"/>
    </row>
    <row r="382" hidden="1">
      <c r="A382" s="209">
        <f>IFERROR(__xludf.DUMMYFUNCTION("""COMPUTED_VALUE"""),46114.0)</f>
        <v>46114</v>
      </c>
      <c r="B382" s="210">
        <f>IFERROR(__xludf.DUMMYFUNCTION("""COMPUTED_VALUE"""),0.4166666666678793)</f>
        <v>0.4166666667</v>
      </c>
      <c r="C382" s="211" t="str">
        <f>IFERROR(__xludf.DUMMYFUNCTION("""COMPUTED_VALUE"""),"Whatsapp")</f>
        <v>Whatsapp</v>
      </c>
      <c r="D382" s="211" t="str">
        <f>IFERROR(__xludf.DUMMYFUNCTION("""COMPUTED_VALUE"""),"Promotional")</f>
        <v>Promotional</v>
      </c>
      <c r="E382" s="211" t="str">
        <f>IFERROR(__xludf.DUMMYFUNCTION("""COMPUTED_VALUE"""),"BBW")</f>
        <v>BBW</v>
      </c>
      <c r="F382" s="211" t="str">
        <f>IFERROR(__xludf.DUMMYFUNCTION("""COMPUTED_VALUE"""),"B1G1")</f>
        <v>B1G1</v>
      </c>
      <c r="G382" s="212" t="str">
        <f>IFERROR(__xludf.DUMMYFUNCTION("""COMPUTED_VALUE"""),"bbw_offline_wa_2april_buy1get1_dormant")</f>
        <v>bbw_offline_wa_2april_buy1get1_dormant</v>
      </c>
      <c r="H382" s="212" t="str">
        <f>IFERROR(__xludf.DUMMYFUNCTION("""COMPUTED_VALUE"""),"Dorm_90_365_OFF")</f>
        <v>Dorm_90_365_OFF</v>
      </c>
      <c r="I382" s="212" t="str">
        <f>IFERROR(__xludf.DUMMYFUNCTION("""COMPUTED_VALUE"""),"Offline Customers who placed at least 1 order in between 90 days ago and 365 days ago")</f>
        <v>Offline Customers who placed at least 1 order in between 90 days ago and 365 days ago</v>
      </c>
      <c r="J382" s="213">
        <f>IFERROR(__xludf.DUMMYFUNCTION("""COMPUTED_VALUE"""),206652.0)</f>
        <v>206652</v>
      </c>
      <c r="K382" s="213">
        <f>IFERROR(__xludf.DUMMYFUNCTION("""COMPUTED_VALUE"""),112240.0)</f>
        <v>112240</v>
      </c>
      <c r="L382" s="214">
        <f>IFERROR(__xludf.DUMMYFUNCTION("""COMPUTED_VALUE"""),0.5431)</f>
        <v>0.5431</v>
      </c>
      <c r="M382" s="214">
        <f>IFERROR(__xludf.DUMMYFUNCTION("""COMPUTED_VALUE"""),40301.0)</f>
        <v>40301</v>
      </c>
      <c r="N382" s="214">
        <f>IFERROR(__xludf.DUMMYFUNCTION("""COMPUTED_VALUE"""),0.3591)</f>
        <v>0.3591</v>
      </c>
      <c r="O382" s="213">
        <f>IFERROR(__xludf.DUMMYFUNCTION("""COMPUTED_VALUE"""),4089.0)</f>
        <v>4089</v>
      </c>
      <c r="P382" s="213">
        <f>IFERROR(__xludf.DUMMYFUNCTION("""COMPUTED_VALUE"""),3867.0)</f>
        <v>3867</v>
      </c>
      <c r="Q382" s="214">
        <f>IFERROR(__xludf.DUMMYFUNCTION("""COMPUTED_VALUE"""),0.0345)</f>
        <v>0.0345</v>
      </c>
      <c r="R382" s="214">
        <f>IFERROR(__xludf.DUMMYFUNCTION("""COMPUTED_VALUE"""),0.096)</f>
        <v>0.096</v>
      </c>
      <c r="S382" s="101">
        <f>IFERROR(__xludf.DUMMYFUNCTION("""COMPUTED_VALUE"""),26.0)</f>
        <v>26</v>
      </c>
      <c r="T382" s="101">
        <f>IFERROR(__xludf.DUMMYFUNCTION("""COMPUTED_VALUE"""),48.0)</f>
        <v>48</v>
      </c>
      <c r="U382" s="270">
        <f>IFERROR(__xludf.DUMMYFUNCTION("""COMPUTED_VALUE"""),70159.0)</f>
        <v>70159</v>
      </c>
      <c r="V382" s="271" t="str">
        <f>IFERROR(__xludf.DUMMYFUNCTION("""COMPUTED_VALUE"""),"offline")</f>
        <v>offline</v>
      </c>
      <c r="W382" s="272" t="str">
        <f>IFERROR(__xludf.DUMMYFUNCTION("""COMPUTED_VALUE"""),"simple")</f>
        <v>simple</v>
      </c>
      <c r="X382" s="272" t="str">
        <f>IFERROR(__xludf.DUMMYFUNCTION("""COMPUTED_VALUE"""),"Dormant")</f>
        <v>Dormant</v>
      </c>
      <c r="Y382" s="272" t="str">
        <f>IFERROR(__xludf.DUMMYFUNCTION("""COMPUTED_VALUE"""),"2-4 April")</f>
        <v>2-4 April</v>
      </c>
      <c r="Z382" s="272" t="str">
        <f>IFERROR(__xludf.DUMMYFUNCTION("""COMPUTED_VALUE"""),"69ccfebc6c4a8bd9391bd098")</f>
        <v>69ccfebc6c4a8bd9391bd098</v>
      </c>
      <c r="AA382" s="272">
        <f>IFERROR(__xludf.DUMMYFUNCTION("""COMPUTED_VALUE"""),455.0)</f>
        <v>455</v>
      </c>
      <c r="AB382" s="272"/>
      <c r="AC382" s="272">
        <f>IFERROR(__xludf.DUMMYFUNCTION("""COMPUTED_VALUE"""),455.0)</f>
        <v>455</v>
      </c>
      <c r="AD382" s="272">
        <f>IFERROR(__xludf.DUMMYFUNCTION("""COMPUTED_VALUE"""),1580644.0)</f>
        <v>1580644</v>
      </c>
      <c r="AE382" s="272"/>
      <c r="AF382" s="272">
        <f>IFERROR(__xludf.DUMMYFUNCTION("""COMPUTED_VALUE"""),1580644.0)</f>
        <v>1580644</v>
      </c>
      <c r="AG382" s="208"/>
      <c r="AH382" s="208"/>
      <c r="AI382" s="208"/>
      <c r="AJ382" s="208"/>
      <c r="AK382" s="208"/>
    </row>
    <row r="383" hidden="1">
      <c r="A383" s="209">
        <f>IFERROR(__xludf.DUMMYFUNCTION("""COMPUTED_VALUE"""),46114.0)</f>
        <v>46114</v>
      </c>
      <c r="B383" s="210">
        <f>IFERROR(__xludf.DUMMYFUNCTION("""COMPUTED_VALUE"""),0.4166666666678793)</f>
        <v>0.4166666667</v>
      </c>
      <c r="C383" s="211" t="str">
        <f>IFERROR(__xludf.DUMMYFUNCTION("""COMPUTED_VALUE"""),"Whatsapp")</f>
        <v>Whatsapp</v>
      </c>
      <c r="D383" s="211" t="str">
        <f>IFERROR(__xludf.DUMMYFUNCTION("""COMPUTED_VALUE"""),"Promotional")</f>
        <v>Promotional</v>
      </c>
      <c r="E383" s="211" t="str">
        <f>IFERROR(__xludf.DUMMYFUNCTION("""COMPUTED_VALUE"""),"BBW")</f>
        <v>BBW</v>
      </c>
      <c r="F383" s="211" t="str">
        <f>IFERROR(__xludf.DUMMYFUNCTION("""COMPUTED_VALUE"""),"B1G1")</f>
        <v>B1G1</v>
      </c>
      <c r="G383" s="212" t="str">
        <f>IFERROR(__xludf.DUMMYFUNCTION("""COMPUTED_VALUE"""),"bbw_offline_wa_2april_buy1get1_high_ltv")</f>
        <v>bbw_offline_wa_2april_buy1get1_high_ltv</v>
      </c>
      <c r="H383" s="212" t="str">
        <f>IFERROR(__xludf.DUMMYFUNCTION("""COMPUTED_VALUE"""),"LTV_15k_OFF")</f>
        <v>LTV_15k_OFF</v>
      </c>
      <c r="I383" s="212" t="str">
        <f>IFERROR(__xludf.DUMMYFUNCTION("""COMPUTED_VALUE"""),"Offline Customers with LTV &gt; 15k in the last 1095 days")</f>
        <v>Offline Customers with LTV &gt; 15k in the last 1095 days</v>
      </c>
      <c r="J383" s="213">
        <f>IFERROR(__xludf.DUMMYFUNCTION("""COMPUTED_VALUE"""),6145.0)</f>
        <v>6145</v>
      </c>
      <c r="K383" s="213">
        <f>IFERROR(__xludf.DUMMYFUNCTION("""COMPUTED_VALUE"""),2868.0)</f>
        <v>2868</v>
      </c>
      <c r="L383" s="214">
        <f>IFERROR(__xludf.DUMMYFUNCTION("""COMPUTED_VALUE"""),0.4667)</f>
        <v>0.4667</v>
      </c>
      <c r="M383" s="214">
        <f>IFERROR(__xludf.DUMMYFUNCTION("""COMPUTED_VALUE"""),963.0)</f>
        <v>963</v>
      </c>
      <c r="N383" s="214">
        <f>IFERROR(__xludf.DUMMYFUNCTION("""COMPUTED_VALUE"""),0.3358)</f>
        <v>0.3358</v>
      </c>
      <c r="O383" s="213">
        <f>IFERROR(__xludf.DUMMYFUNCTION("""COMPUTED_VALUE"""),87.0)</f>
        <v>87</v>
      </c>
      <c r="P383" s="213">
        <f>IFERROR(__xludf.DUMMYFUNCTION("""COMPUTED_VALUE"""),76.0)</f>
        <v>76</v>
      </c>
      <c r="Q383" s="214">
        <f>IFERROR(__xludf.DUMMYFUNCTION("""COMPUTED_VALUE"""),0.0265)</f>
        <v>0.0265</v>
      </c>
      <c r="R383" s="214">
        <f>IFERROR(__xludf.DUMMYFUNCTION("""COMPUTED_VALUE"""),0.0789)</f>
        <v>0.0789</v>
      </c>
      <c r="S383" s="101">
        <f>IFERROR(__xludf.DUMMYFUNCTION("""COMPUTED_VALUE"""),0.0)</f>
        <v>0</v>
      </c>
      <c r="T383" s="101">
        <f>IFERROR(__xludf.DUMMYFUNCTION("""COMPUTED_VALUE"""),1.0)</f>
        <v>1</v>
      </c>
      <c r="U383" s="270">
        <f>IFERROR(__xludf.DUMMYFUNCTION("""COMPUTED_VALUE"""),0.0)</f>
        <v>0</v>
      </c>
      <c r="V383" s="271" t="str">
        <f>IFERROR(__xludf.DUMMYFUNCTION("""COMPUTED_VALUE"""),"offline")</f>
        <v>offline</v>
      </c>
      <c r="W383" s="272" t="str">
        <f>IFERROR(__xludf.DUMMYFUNCTION("""COMPUTED_VALUE"""),"simple")</f>
        <v>simple</v>
      </c>
      <c r="X383" s="272" t="str">
        <f>IFERROR(__xludf.DUMMYFUNCTION("""COMPUTED_VALUE"""),"LTV")</f>
        <v>LTV</v>
      </c>
      <c r="Y383" s="272" t="str">
        <f>IFERROR(__xludf.DUMMYFUNCTION("""COMPUTED_VALUE"""),"2-4 April")</f>
        <v>2-4 April</v>
      </c>
      <c r="Z383" s="272" t="str">
        <f>IFERROR(__xludf.DUMMYFUNCTION("""COMPUTED_VALUE"""),"69ccfee91868df20ff51dbc1")</f>
        <v>69ccfee91868df20ff51dbc1</v>
      </c>
      <c r="AA383" s="272">
        <f>IFERROR(__xludf.DUMMYFUNCTION("""COMPUTED_VALUE"""),14.0)</f>
        <v>14</v>
      </c>
      <c r="AB383" s="272"/>
      <c r="AC383" s="272">
        <f>IFERROR(__xludf.DUMMYFUNCTION("""COMPUTED_VALUE"""),14.0)</f>
        <v>14</v>
      </c>
      <c r="AD383" s="272">
        <f>IFERROR(__xludf.DUMMYFUNCTION("""COMPUTED_VALUE"""),75564.0)</f>
        <v>75564</v>
      </c>
      <c r="AE383" s="272"/>
      <c r="AF383" s="272">
        <f>IFERROR(__xludf.DUMMYFUNCTION("""COMPUTED_VALUE"""),75564.0)</f>
        <v>75564</v>
      </c>
      <c r="AG383" s="208"/>
      <c r="AH383" s="208"/>
      <c r="AI383" s="208"/>
      <c r="AJ383" s="208"/>
      <c r="AK383" s="208"/>
    </row>
    <row r="384" hidden="1">
      <c r="A384" s="209">
        <f>IFERROR(__xludf.DUMMYFUNCTION("""COMPUTED_VALUE"""),46114.0)</f>
        <v>46114</v>
      </c>
      <c r="B384" s="210">
        <f>IFERROR(__xludf.DUMMYFUNCTION("""COMPUTED_VALUE"""),0.4166666666678793)</f>
        <v>0.4166666667</v>
      </c>
      <c r="C384" s="211" t="str">
        <f>IFERROR(__xludf.DUMMYFUNCTION("""COMPUTED_VALUE"""),"Whatsapp")</f>
        <v>Whatsapp</v>
      </c>
      <c r="D384" s="211" t="str">
        <f>IFERROR(__xludf.DUMMYFUNCTION("""COMPUTED_VALUE"""),"Promotional")</f>
        <v>Promotional</v>
      </c>
      <c r="E384" s="211" t="str">
        <f>IFERROR(__xludf.DUMMYFUNCTION("""COMPUTED_VALUE"""),"BBW")</f>
        <v>BBW</v>
      </c>
      <c r="F384" s="211" t="str">
        <f>IFERROR(__xludf.DUMMYFUNCTION("""COMPUTED_VALUE"""),"B1G1")</f>
        <v>B1G1</v>
      </c>
      <c r="G384" s="212" t="str">
        <f>IFERROR(__xludf.DUMMYFUNCTION("""COMPUTED_VALUE"""),"bbw_offline_wa_2april_buy1get1_high_pocket_size")</f>
        <v>bbw_offline_wa_2april_buy1get1_high_pocket_size</v>
      </c>
      <c r="H384" s="212" t="str">
        <f>IFERROR(__xludf.DUMMYFUNCTION("""COMPUTED_VALUE"""),"AOV_3999_Min_2_Order_OFF")</f>
        <v>AOV_3999_Min_2_Order_OFF</v>
      </c>
      <c r="I384" s="212" t="str">
        <f>IFERROR(__xludf.DUMMYFUNCTION("""COMPUTED_VALUE"""),"Offline Customers with AOV &gt; 4k and purchased - 2 or more in the last 1095 days")</f>
        <v>Offline Customers with AOV &gt; 4k and purchased - 2 or more in the last 1095 days</v>
      </c>
      <c r="J384" s="213">
        <f>IFERROR(__xludf.DUMMYFUNCTION("""COMPUTED_VALUE"""),8163.0)</f>
        <v>8163</v>
      </c>
      <c r="K384" s="213">
        <f>IFERROR(__xludf.DUMMYFUNCTION("""COMPUTED_VALUE"""),4084.0)</f>
        <v>4084</v>
      </c>
      <c r="L384" s="214">
        <f>IFERROR(__xludf.DUMMYFUNCTION("""COMPUTED_VALUE"""),0.5003)</f>
        <v>0.5003</v>
      </c>
      <c r="M384" s="213">
        <f>IFERROR(__xludf.DUMMYFUNCTION("""COMPUTED_VALUE"""),1467.0)</f>
        <v>1467</v>
      </c>
      <c r="N384" s="214">
        <f>IFERROR(__xludf.DUMMYFUNCTION("""COMPUTED_VALUE"""),0.3592)</f>
        <v>0.3592</v>
      </c>
      <c r="O384" s="213">
        <f>IFERROR(__xludf.DUMMYFUNCTION("""COMPUTED_VALUE"""),136.0)</f>
        <v>136</v>
      </c>
      <c r="P384" s="213">
        <f>IFERROR(__xludf.DUMMYFUNCTION("""COMPUTED_VALUE"""),129.0)</f>
        <v>129</v>
      </c>
      <c r="Q384" s="214">
        <f>IFERROR(__xludf.DUMMYFUNCTION("""COMPUTED_VALUE"""),0.0316)</f>
        <v>0.0316</v>
      </c>
      <c r="R384" s="214">
        <f>IFERROR(__xludf.DUMMYFUNCTION("""COMPUTED_VALUE"""),0.0879)</f>
        <v>0.0879</v>
      </c>
      <c r="S384" s="101">
        <f>IFERROR(__xludf.DUMMYFUNCTION("""COMPUTED_VALUE"""),1.0)</f>
        <v>1</v>
      </c>
      <c r="T384" s="101">
        <f>IFERROR(__xludf.DUMMYFUNCTION("""COMPUTED_VALUE"""),2.0)</f>
        <v>2</v>
      </c>
      <c r="U384" s="270">
        <f>IFERROR(__xludf.DUMMYFUNCTION("""COMPUTED_VALUE"""),4595.0)</f>
        <v>4595</v>
      </c>
      <c r="V384" s="271" t="str">
        <f>IFERROR(__xludf.DUMMYFUNCTION("""COMPUTED_VALUE"""),"offline")</f>
        <v>offline</v>
      </c>
      <c r="W384" s="272" t="str">
        <f>IFERROR(__xludf.DUMMYFUNCTION("""COMPUTED_VALUE"""),"simple")</f>
        <v>simple</v>
      </c>
      <c r="X384" s="272" t="str">
        <f>IFERROR(__xludf.DUMMYFUNCTION("""COMPUTED_VALUE"""),"Cart Value")</f>
        <v>Cart Value</v>
      </c>
      <c r="Y384" s="272" t="str">
        <f>IFERROR(__xludf.DUMMYFUNCTION("""COMPUTED_VALUE"""),"2-4 April")</f>
        <v>2-4 April</v>
      </c>
      <c r="Z384" s="272" t="str">
        <f>IFERROR(__xludf.DUMMYFUNCTION("""COMPUTED_VALUE"""),"69ccff2d6c015e1546f3d0b2")</f>
        <v>69ccff2d6c015e1546f3d0b2</v>
      </c>
      <c r="AA384" s="272">
        <f>IFERROR(__xludf.DUMMYFUNCTION("""COMPUTED_VALUE"""),21.0)</f>
        <v>21</v>
      </c>
      <c r="AB384" s="272"/>
      <c r="AC384" s="272">
        <f>IFERROR(__xludf.DUMMYFUNCTION("""COMPUTED_VALUE"""),21.0)</f>
        <v>21</v>
      </c>
      <c r="AD384" s="272">
        <f>IFERROR(__xludf.DUMMYFUNCTION("""COMPUTED_VALUE"""),66967.0)</f>
        <v>66967</v>
      </c>
      <c r="AE384" s="272"/>
      <c r="AF384" s="272">
        <f>IFERROR(__xludf.DUMMYFUNCTION("""COMPUTED_VALUE"""),66967.0)</f>
        <v>66967</v>
      </c>
      <c r="AG384" s="208"/>
      <c r="AH384" s="208"/>
      <c r="AI384" s="208"/>
      <c r="AJ384" s="208"/>
      <c r="AK384" s="208"/>
    </row>
    <row r="385" hidden="1">
      <c r="A385" s="209">
        <f>IFERROR(__xludf.DUMMYFUNCTION("""COMPUTED_VALUE"""),46114.0)</f>
        <v>46114</v>
      </c>
      <c r="B385" s="210">
        <f>IFERROR(__xludf.DUMMYFUNCTION("""COMPUTED_VALUE"""),0.4791666666678793)</f>
        <v>0.4791666667</v>
      </c>
      <c r="C385" s="211" t="str">
        <f>IFERROR(__xludf.DUMMYFUNCTION("""COMPUTED_VALUE"""),"Sms")</f>
        <v>Sms</v>
      </c>
      <c r="D385" s="211" t="str">
        <f>IFERROR(__xludf.DUMMYFUNCTION("""COMPUTED_VALUE"""),"Fallback Campaign")</f>
        <v>Fallback Campaign</v>
      </c>
      <c r="E385" s="211" t="str">
        <f>IFERROR(__xludf.DUMMYFUNCTION("""COMPUTED_VALUE"""),"BBW")</f>
        <v>BBW</v>
      </c>
      <c r="F385" s="211" t="str">
        <f>IFERROR(__xludf.DUMMYFUNCTION("""COMPUTED_VALUE"""),"B1G1")</f>
        <v>B1G1</v>
      </c>
      <c r="G385" s="212" t="str">
        <f>IFERROR(__xludf.DUMMYFUNCTION("""COMPUTED_VALUE"""),"bbw_offline_smsfb_2april_buy1get1_loyal")</f>
        <v>bbw_offline_smsfb_2april_buy1get1_loyal</v>
      </c>
      <c r="H385" s="212" t="str">
        <f>IFERROR(__xludf.DUMMYFUNCTION("""COMPUTED_VALUE"""),"Loyal_OFF")</f>
        <v>Loyal_OFF</v>
      </c>
      <c r="I385" s="212" t="str">
        <f>IFERROR(__xludf.DUMMYFUNCTION("""COMPUTED_VALUE"""),"WA Undelivered")</f>
        <v>WA Undelivered</v>
      </c>
      <c r="J385" s="213">
        <f>IFERROR(__xludf.DUMMYFUNCTION("""COMPUTED_VALUE"""),3120.0)</f>
        <v>3120</v>
      </c>
      <c r="K385" s="213">
        <f>IFERROR(__xludf.DUMMYFUNCTION("""COMPUTED_VALUE"""),1647.0)</f>
        <v>1647</v>
      </c>
      <c r="L385" s="214">
        <f>IFERROR(__xludf.DUMMYFUNCTION("""COMPUTED_VALUE"""),0.5279)</f>
        <v>0.5279</v>
      </c>
      <c r="M385" s="213"/>
      <c r="N385" s="214"/>
      <c r="O385" s="213">
        <f>IFERROR(__xludf.DUMMYFUNCTION("""COMPUTED_VALUE"""),6.0)</f>
        <v>6</v>
      </c>
      <c r="P385" s="213"/>
      <c r="Q385" s="214">
        <f>IFERROR(__xludf.DUMMYFUNCTION("""COMPUTED_VALUE"""),0.0036)</f>
        <v>0.0036</v>
      </c>
      <c r="R385" s="214"/>
      <c r="S385" s="101">
        <f>IFERROR(__xludf.DUMMYFUNCTION("""COMPUTED_VALUE"""),0.0)</f>
        <v>0</v>
      </c>
      <c r="T385" s="101">
        <f>IFERROR(__xludf.DUMMYFUNCTION("""COMPUTED_VALUE"""),0.0)</f>
        <v>0</v>
      </c>
      <c r="U385" s="270">
        <f>IFERROR(__xludf.DUMMYFUNCTION("""COMPUTED_VALUE"""),0.0)</f>
        <v>0</v>
      </c>
      <c r="V385" s="271" t="str">
        <f>IFERROR(__xludf.DUMMYFUNCTION("""COMPUTED_VALUE"""),"offline")</f>
        <v>offline</v>
      </c>
      <c r="W385" s="272" t="str">
        <f>IFERROR(__xludf.DUMMYFUNCTION("""COMPUTED_VALUE"""),"SMS")</f>
        <v>SMS</v>
      </c>
      <c r="X385" s="272" t="str">
        <f>IFERROR(__xludf.DUMMYFUNCTION("""COMPUTED_VALUE"""),"Loyal")</f>
        <v>Loyal</v>
      </c>
      <c r="Y385" s="272" t="str">
        <f>IFERROR(__xludf.DUMMYFUNCTION("""COMPUTED_VALUE"""),"2nd April")</f>
        <v>2nd April</v>
      </c>
      <c r="Z385" s="272" t="str">
        <f>IFERROR(__xludf.DUMMYFUNCTION("""COMPUTED_VALUE"""),"69cd073f4dcfa17116605d30")</f>
        <v>69cd073f4dcfa17116605d30</v>
      </c>
      <c r="AA385" s="272">
        <f>IFERROR(__xludf.DUMMYFUNCTION("""COMPUTED_VALUE"""),13.0)</f>
        <v>13</v>
      </c>
      <c r="AB385" s="272"/>
      <c r="AC385" s="272">
        <f>IFERROR(__xludf.DUMMYFUNCTION("""COMPUTED_VALUE"""),13.0)</f>
        <v>13</v>
      </c>
      <c r="AD385" s="272">
        <f>IFERROR(__xludf.DUMMYFUNCTION("""COMPUTED_VALUE"""),57201.0)</f>
        <v>57201</v>
      </c>
      <c r="AE385" s="272"/>
      <c r="AF385" s="272">
        <f>IFERROR(__xludf.DUMMYFUNCTION("""COMPUTED_VALUE"""),57201.0)</f>
        <v>57201</v>
      </c>
      <c r="AG385" s="208"/>
      <c r="AH385" s="208"/>
      <c r="AI385" s="208"/>
      <c r="AJ385" s="208"/>
      <c r="AK385" s="208"/>
    </row>
    <row r="386" hidden="1">
      <c r="A386" s="209">
        <f>IFERROR(__xludf.DUMMYFUNCTION("""COMPUTED_VALUE"""),46114.0)</f>
        <v>46114</v>
      </c>
      <c r="B386" s="210">
        <f>IFERROR(__xludf.DUMMYFUNCTION("""COMPUTED_VALUE"""),0.4791666666678793)</f>
        <v>0.4791666667</v>
      </c>
      <c r="C386" s="211" t="str">
        <f>IFERROR(__xludf.DUMMYFUNCTION("""COMPUTED_VALUE"""),"Sms")</f>
        <v>Sms</v>
      </c>
      <c r="D386" s="211" t="str">
        <f>IFERROR(__xludf.DUMMYFUNCTION("""COMPUTED_VALUE"""),"Fallback Campaign")</f>
        <v>Fallback Campaign</v>
      </c>
      <c r="E386" s="211" t="str">
        <f>IFERROR(__xludf.DUMMYFUNCTION("""COMPUTED_VALUE"""),"BBW")</f>
        <v>BBW</v>
      </c>
      <c r="F386" s="211" t="str">
        <f>IFERROR(__xludf.DUMMYFUNCTION("""COMPUTED_VALUE"""),"B1G1")</f>
        <v>B1G1</v>
      </c>
      <c r="G386" s="212" t="str">
        <f>IFERROR(__xludf.DUMMYFUNCTION("""COMPUTED_VALUE"""),"bbw_offline_smsfb_2april_buy1get1_repeat")</f>
        <v>bbw_offline_smsfb_2april_buy1get1_repeat</v>
      </c>
      <c r="H386" s="212" t="str">
        <f>IFERROR(__xludf.DUMMYFUNCTION("""COMPUTED_VALUE"""),"Repeat_OFF")</f>
        <v>Repeat_OFF</v>
      </c>
      <c r="I386" s="212" t="str">
        <f>IFERROR(__xludf.DUMMYFUNCTION("""COMPUTED_VALUE"""),"WA Undelivered")</f>
        <v>WA Undelivered</v>
      </c>
      <c r="J386" s="213">
        <f>IFERROR(__xludf.DUMMYFUNCTION("""COMPUTED_VALUE"""),7472.0)</f>
        <v>7472</v>
      </c>
      <c r="K386" s="213">
        <f>IFERROR(__xludf.DUMMYFUNCTION("""COMPUTED_VALUE"""),4264.0)</f>
        <v>4264</v>
      </c>
      <c r="L386" s="214">
        <f>IFERROR(__xludf.DUMMYFUNCTION("""COMPUTED_VALUE"""),0.5707)</f>
        <v>0.5707</v>
      </c>
      <c r="M386" s="213"/>
      <c r="N386" s="214"/>
      <c r="O386" s="213">
        <f>IFERROR(__xludf.DUMMYFUNCTION("""COMPUTED_VALUE"""),20.0)</f>
        <v>20</v>
      </c>
      <c r="P386" s="213"/>
      <c r="Q386" s="214">
        <f>IFERROR(__xludf.DUMMYFUNCTION("""COMPUTED_VALUE"""),0.0047)</f>
        <v>0.0047</v>
      </c>
      <c r="R386" s="214"/>
      <c r="S386" s="101">
        <f>IFERROR(__xludf.DUMMYFUNCTION("""COMPUTED_VALUE"""),0.0)</f>
        <v>0</v>
      </c>
      <c r="T386" s="101">
        <f>IFERROR(__xludf.DUMMYFUNCTION("""COMPUTED_VALUE"""),3.0)</f>
        <v>3</v>
      </c>
      <c r="U386" s="270">
        <f>IFERROR(__xludf.DUMMYFUNCTION("""COMPUTED_VALUE"""),0.0)</f>
        <v>0</v>
      </c>
      <c r="V386" s="271" t="str">
        <f>IFERROR(__xludf.DUMMYFUNCTION("""COMPUTED_VALUE"""),"offline")</f>
        <v>offline</v>
      </c>
      <c r="W386" s="272" t="str">
        <f>IFERROR(__xludf.DUMMYFUNCTION("""COMPUTED_VALUE"""),"SMS")</f>
        <v>SMS</v>
      </c>
      <c r="X386" s="272" t="str">
        <f>IFERROR(__xludf.DUMMYFUNCTION("""COMPUTED_VALUE"""),"Repeat")</f>
        <v>Repeat</v>
      </c>
      <c r="Y386" s="272" t="str">
        <f>IFERROR(__xludf.DUMMYFUNCTION("""COMPUTED_VALUE"""),"2nd April")</f>
        <v>2nd April</v>
      </c>
      <c r="Z386" s="272" t="str">
        <f>IFERROR(__xludf.DUMMYFUNCTION("""COMPUTED_VALUE"""),"69cd079804d539839aa1a36a")</f>
        <v>69cd079804d539839aa1a36a</v>
      </c>
      <c r="AA386" s="272">
        <f>IFERROR(__xludf.DUMMYFUNCTION("""COMPUTED_VALUE"""),8.0)</f>
        <v>8</v>
      </c>
      <c r="AB386" s="272"/>
      <c r="AC386" s="272">
        <f>IFERROR(__xludf.DUMMYFUNCTION("""COMPUTED_VALUE"""),8.0)</f>
        <v>8</v>
      </c>
      <c r="AD386" s="272">
        <f>IFERROR(__xludf.DUMMYFUNCTION("""COMPUTED_VALUE"""),25483.0)</f>
        <v>25483</v>
      </c>
      <c r="AE386" s="272"/>
      <c r="AF386" s="272">
        <f>IFERROR(__xludf.DUMMYFUNCTION("""COMPUTED_VALUE"""),25483.0)</f>
        <v>25483</v>
      </c>
      <c r="AG386" s="208"/>
      <c r="AH386" s="208"/>
      <c r="AI386" s="208"/>
      <c r="AJ386" s="208"/>
      <c r="AK386" s="208"/>
    </row>
    <row r="387" hidden="1">
      <c r="A387" s="209">
        <f>IFERROR(__xludf.DUMMYFUNCTION("""COMPUTED_VALUE"""),46114.0)</f>
        <v>46114</v>
      </c>
      <c r="B387" s="210">
        <f>IFERROR(__xludf.DUMMYFUNCTION("""COMPUTED_VALUE"""),0.4791666666678793)</f>
        <v>0.4791666667</v>
      </c>
      <c r="C387" s="211" t="str">
        <f>IFERROR(__xludf.DUMMYFUNCTION("""COMPUTED_VALUE"""),"Sms")</f>
        <v>Sms</v>
      </c>
      <c r="D387" s="211" t="str">
        <f>IFERROR(__xludf.DUMMYFUNCTION("""COMPUTED_VALUE"""),"Fallback Campaign")</f>
        <v>Fallback Campaign</v>
      </c>
      <c r="E387" s="211" t="str">
        <f>IFERROR(__xludf.DUMMYFUNCTION("""COMPUTED_VALUE"""),"BBW")</f>
        <v>BBW</v>
      </c>
      <c r="F387" s="211" t="str">
        <f>IFERROR(__xludf.DUMMYFUNCTION("""COMPUTED_VALUE"""),"B1G1")</f>
        <v>B1G1</v>
      </c>
      <c r="G387" s="212" t="str">
        <f>IFERROR(__xludf.DUMMYFUNCTION("""COMPUTED_VALUE"""),"bbw_offline_smsfb_2april_buy1get1_aov_relevant")</f>
        <v>bbw_offline_smsfb_2april_buy1get1_aov_relevant</v>
      </c>
      <c r="H387" s="212" t="str">
        <f>IFERROR(__xludf.DUMMYFUNCTION("""COMPUTED_VALUE"""),"AOV_Max_2699_365D_OFF")</f>
        <v>AOV_Max_2699_365D_OFF</v>
      </c>
      <c r="I387" s="212" t="str">
        <f>IFERROR(__xludf.DUMMYFUNCTION("""COMPUTED_VALUE"""),"WA Undelivered")</f>
        <v>WA Undelivered</v>
      </c>
      <c r="J387" s="213">
        <f>IFERROR(__xludf.DUMMYFUNCTION("""COMPUTED_VALUE"""),21709.0)</f>
        <v>21709</v>
      </c>
      <c r="K387" s="213">
        <f>IFERROR(__xludf.DUMMYFUNCTION("""COMPUTED_VALUE"""),13166.0)</f>
        <v>13166</v>
      </c>
      <c r="L387" s="214">
        <f>IFERROR(__xludf.DUMMYFUNCTION("""COMPUTED_VALUE"""),0.6065)</f>
        <v>0.6065</v>
      </c>
      <c r="M387" s="214"/>
      <c r="N387" s="214"/>
      <c r="O387" s="213">
        <f>IFERROR(__xludf.DUMMYFUNCTION("""COMPUTED_VALUE"""),37.0)</f>
        <v>37</v>
      </c>
      <c r="P387" s="213"/>
      <c r="Q387" s="214">
        <f>IFERROR(__xludf.DUMMYFUNCTION("""COMPUTED_VALUE"""),0.0028)</f>
        <v>0.0028</v>
      </c>
      <c r="R387" s="214"/>
      <c r="S387" s="101">
        <f>IFERROR(__xludf.DUMMYFUNCTION("""COMPUTED_VALUE"""),1.0)</f>
        <v>1</v>
      </c>
      <c r="T387" s="101">
        <f>IFERROR(__xludf.DUMMYFUNCTION("""COMPUTED_VALUE"""),3.0)</f>
        <v>3</v>
      </c>
      <c r="U387" s="270">
        <f>IFERROR(__xludf.DUMMYFUNCTION("""COMPUTED_VALUE"""),1248.0)</f>
        <v>1248</v>
      </c>
      <c r="V387" s="271" t="str">
        <f>IFERROR(__xludf.DUMMYFUNCTION("""COMPUTED_VALUE"""),"offline")</f>
        <v>offline</v>
      </c>
      <c r="W387" s="272" t="str">
        <f>IFERROR(__xludf.DUMMYFUNCTION("""COMPUTED_VALUE"""),"SMS")</f>
        <v>SMS</v>
      </c>
      <c r="X387" s="272" t="str">
        <f>IFERROR(__xludf.DUMMYFUNCTION("""COMPUTED_VALUE"""),"AOV &gt; 2699")</f>
        <v>AOV &gt; 2699</v>
      </c>
      <c r="Y387" s="272" t="str">
        <f>IFERROR(__xludf.DUMMYFUNCTION("""COMPUTED_VALUE"""),"2nd April")</f>
        <v>2nd April</v>
      </c>
      <c r="Z387" s="272" t="str">
        <f>IFERROR(__xludf.DUMMYFUNCTION("""COMPUTED_VALUE"""),"69cd07d0669af137c847e890")</f>
        <v>69cd07d0669af137c847e890</v>
      </c>
      <c r="AA387" s="272">
        <f>IFERROR(__xludf.DUMMYFUNCTION("""COMPUTED_VALUE"""),7.0)</f>
        <v>7</v>
      </c>
      <c r="AB387" s="272"/>
      <c r="AC387" s="272">
        <f>IFERROR(__xludf.DUMMYFUNCTION("""COMPUTED_VALUE"""),7.0)</f>
        <v>7</v>
      </c>
      <c r="AD387" s="272">
        <f>IFERROR(__xludf.DUMMYFUNCTION("""COMPUTED_VALUE"""),27486.0)</f>
        <v>27486</v>
      </c>
      <c r="AE387" s="272"/>
      <c r="AF387" s="272">
        <f>IFERROR(__xludf.DUMMYFUNCTION("""COMPUTED_VALUE"""),27486.0)</f>
        <v>27486</v>
      </c>
      <c r="AG387" s="208"/>
      <c r="AH387" s="208"/>
      <c r="AI387" s="208"/>
      <c r="AJ387" s="208"/>
      <c r="AK387" s="208"/>
    </row>
    <row r="388" hidden="1">
      <c r="A388" s="209">
        <f>IFERROR(__xludf.DUMMYFUNCTION("""COMPUTED_VALUE"""),46114.0)</f>
        <v>46114</v>
      </c>
      <c r="B388" s="210">
        <f>IFERROR(__xludf.DUMMYFUNCTION("""COMPUTED_VALUE"""),0.4791666666678793)</f>
        <v>0.4791666667</v>
      </c>
      <c r="C388" s="211" t="str">
        <f>IFERROR(__xludf.DUMMYFUNCTION("""COMPUTED_VALUE"""),"Sms")</f>
        <v>Sms</v>
      </c>
      <c r="D388" s="211" t="str">
        <f>IFERROR(__xludf.DUMMYFUNCTION("""COMPUTED_VALUE"""),"Fallback Campaign")</f>
        <v>Fallback Campaign</v>
      </c>
      <c r="E388" s="211" t="str">
        <f>IFERROR(__xludf.DUMMYFUNCTION("""COMPUTED_VALUE"""),"BBW")</f>
        <v>BBW</v>
      </c>
      <c r="F388" s="211" t="str">
        <f>IFERROR(__xludf.DUMMYFUNCTION("""COMPUTED_VALUE"""),"B1G1")</f>
        <v>B1G1</v>
      </c>
      <c r="G388" s="212" t="str">
        <f>IFERROR(__xludf.DUMMYFUNCTION("""COMPUTED_VALUE"""),"bbw_offline_smsfb_2april_buy1get1_bundle_buyers")</f>
        <v>bbw_offline_smsfb_2april_buy1get1_bundle_buyers</v>
      </c>
      <c r="H388" s="212" t="str">
        <f>IFERROR(__xludf.DUMMYFUNCTION("""COMPUTED_VALUE"""),"UPT_Min_3_OFF")</f>
        <v>UPT_Min_3_OFF</v>
      </c>
      <c r="I388" s="212" t="str">
        <f>IFERROR(__xludf.DUMMYFUNCTION("""COMPUTED_VALUE"""),"WA Undelivered")</f>
        <v>WA Undelivered</v>
      </c>
      <c r="J388" s="213">
        <f>IFERROR(__xludf.DUMMYFUNCTION("""COMPUTED_VALUE"""),17304.0)</f>
        <v>17304</v>
      </c>
      <c r="K388" s="213">
        <f>IFERROR(__xludf.DUMMYFUNCTION("""COMPUTED_VALUE"""),9750.0)</f>
        <v>9750</v>
      </c>
      <c r="L388" s="214">
        <f>IFERROR(__xludf.DUMMYFUNCTION("""COMPUTED_VALUE"""),0.5635)</f>
        <v>0.5635</v>
      </c>
      <c r="M388" s="214"/>
      <c r="N388" s="214"/>
      <c r="O388" s="213">
        <f>IFERROR(__xludf.DUMMYFUNCTION("""COMPUTED_VALUE"""),17.0)</f>
        <v>17</v>
      </c>
      <c r="P388" s="213"/>
      <c r="Q388" s="214">
        <f>IFERROR(__xludf.DUMMYFUNCTION("""COMPUTED_VALUE"""),0.0017)</f>
        <v>0.0017</v>
      </c>
      <c r="R388" s="214"/>
      <c r="S388" s="101">
        <f>IFERROR(__xludf.DUMMYFUNCTION("""COMPUTED_VALUE"""),0.0)</f>
        <v>0</v>
      </c>
      <c r="T388" s="101">
        <f>IFERROR(__xludf.DUMMYFUNCTION("""COMPUTED_VALUE"""),2.0)</f>
        <v>2</v>
      </c>
      <c r="U388" s="270">
        <f>IFERROR(__xludf.DUMMYFUNCTION("""COMPUTED_VALUE"""),0.0)</f>
        <v>0</v>
      </c>
      <c r="V388" s="271" t="str">
        <f>IFERROR(__xludf.DUMMYFUNCTION("""COMPUTED_VALUE"""),"offline")</f>
        <v>offline</v>
      </c>
      <c r="W388" s="272" t="str">
        <f>IFERROR(__xludf.DUMMYFUNCTION("""COMPUTED_VALUE"""),"SMS")</f>
        <v>SMS</v>
      </c>
      <c r="X388" s="272" t="str">
        <f>IFERROR(__xludf.DUMMYFUNCTION("""COMPUTED_VALUE"""),"Cart Qty")</f>
        <v>Cart Qty</v>
      </c>
      <c r="Y388" s="272" t="str">
        <f>IFERROR(__xludf.DUMMYFUNCTION("""COMPUTED_VALUE"""),"2nd April")</f>
        <v>2nd April</v>
      </c>
      <c r="Z388" s="272" t="str">
        <f>IFERROR(__xludf.DUMMYFUNCTION("""COMPUTED_VALUE"""),"69cd0819aec6ad38199887a8")</f>
        <v>69cd0819aec6ad38199887a8</v>
      </c>
      <c r="AA388" s="272">
        <f>IFERROR(__xludf.DUMMYFUNCTION("""COMPUTED_VALUE"""),15.0)</f>
        <v>15</v>
      </c>
      <c r="AB388" s="272"/>
      <c r="AC388" s="272">
        <f>IFERROR(__xludf.DUMMYFUNCTION("""COMPUTED_VALUE"""),15.0)</f>
        <v>15</v>
      </c>
      <c r="AD388" s="272">
        <f>IFERROR(__xludf.DUMMYFUNCTION("""COMPUTED_VALUE"""),53971.0)</f>
        <v>53971</v>
      </c>
      <c r="AE388" s="272"/>
      <c r="AF388" s="272">
        <f>IFERROR(__xludf.DUMMYFUNCTION("""COMPUTED_VALUE"""),53971.0)</f>
        <v>53971</v>
      </c>
      <c r="AG388" s="208"/>
      <c r="AH388" s="208"/>
      <c r="AI388" s="208"/>
      <c r="AJ388" s="208"/>
      <c r="AK388" s="208"/>
    </row>
    <row r="389" hidden="1">
      <c r="A389" s="209">
        <f>IFERROR(__xludf.DUMMYFUNCTION("""COMPUTED_VALUE"""),46114.0)</f>
        <v>46114</v>
      </c>
      <c r="B389" s="210">
        <f>IFERROR(__xludf.DUMMYFUNCTION("""COMPUTED_VALUE"""),0.4791666666678793)</f>
        <v>0.4791666667</v>
      </c>
      <c r="C389" s="211" t="str">
        <f>IFERROR(__xludf.DUMMYFUNCTION("""COMPUTED_VALUE"""),"Sms")</f>
        <v>Sms</v>
      </c>
      <c r="D389" s="211" t="str">
        <f>IFERROR(__xludf.DUMMYFUNCTION("""COMPUTED_VALUE"""),"Fallback Campaign")</f>
        <v>Fallback Campaign</v>
      </c>
      <c r="E389" s="211" t="str">
        <f>IFERROR(__xludf.DUMMYFUNCTION("""COMPUTED_VALUE"""),"BBW")</f>
        <v>BBW</v>
      </c>
      <c r="F389" s="211" t="str">
        <f>IFERROR(__xludf.DUMMYFUNCTION("""COMPUTED_VALUE"""),"B1G1")</f>
        <v>B1G1</v>
      </c>
      <c r="G389" s="212" t="str">
        <f>IFERROR(__xludf.DUMMYFUNCTION("""COMPUTED_VALUE"""),"bbw_offline_smsfb_2april_buy1get1_dormant")</f>
        <v>bbw_offline_smsfb_2april_buy1get1_dormant</v>
      </c>
      <c r="H389" s="212" t="str">
        <f>IFERROR(__xludf.DUMMYFUNCTION("""COMPUTED_VALUE"""),"Dorm_90_365_OFF")</f>
        <v>Dorm_90_365_OFF</v>
      </c>
      <c r="I389" s="212" t="str">
        <f>IFERROR(__xludf.DUMMYFUNCTION("""COMPUTED_VALUE"""),"WA Undelivered")</f>
        <v>WA Undelivered</v>
      </c>
      <c r="J389" s="213">
        <f>IFERROR(__xludf.DUMMYFUNCTION("""COMPUTED_VALUE"""),14969.0)</f>
        <v>14969</v>
      </c>
      <c r="K389" s="213">
        <f>IFERROR(__xludf.DUMMYFUNCTION("""COMPUTED_VALUE"""),8723.0)</f>
        <v>8723</v>
      </c>
      <c r="L389" s="214">
        <f>IFERROR(__xludf.DUMMYFUNCTION("""COMPUTED_VALUE"""),0.5827)</f>
        <v>0.5827</v>
      </c>
      <c r="M389" s="214"/>
      <c r="N389" s="214"/>
      <c r="O389" s="213">
        <f>IFERROR(__xludf.DUMMYFUNCTION("""COMPUTED_VALUE"""),23.0)</f>
        <v>23</v>
      </c>
      <c r="P389" s="213"/>
      <c r="Q389" s="214">
        <f>IFERROR(__xludf.DUMMYFUNCTION("""COMPUTED_VALUE"""),0.0026)</f>
        <v>0.0026</v>
      </c>
      <c r="R389" s="214"/>
      <c r="S389" s="101">
        <f>IFERROR(__xludf.DUMMYFUNCTION("""COMPUTED_VALUE"""),2.0)</f>
        <v>2</v>
      </c>
      <c r="T389" s="101">
        <f>IFERROR(__xludf.DUMMYFUNCTION("""COMPUTED_VALUE"""),2.0)</f>
        <v>2</v>
      </c>
      <c r="U389" s="270">
        <f>IFERROR(__xludf.DUMMYFUNCTION("""COMPUTED_VALUE"""),6207.0)</f>
        <v>6207</v>
      </c>
      <c r="V389" s="271" t="str">
        <f>IFERROR(__xludf.DUMMYFUNCTION("""COMPUTED_VALUE"""),"offline")</f>
        <v>offline</v>
      </c>
      <c r="W389" s="272" t="str">
        <f>IFERROR(__xludf.DUMMYFUNCTION("""COMPUTED_VALUE"""),"SMS")</f>
        <v>SMS</v>
      </c>
      <c r="X389" s="272" t="str">
        <f>IFERROR(__xludf.DUMMYFUNCTION("""COMPUTED_VALUE"""),"Dormant")</f>
        <v>Dormant</v>
      </c>
      <c r="Y389" s="272" t="str">
        <f>IFERROR(__xludf.DUMMYFUNCTION("""COMPUTED_VALUE"""),"2nd April")</f>
        <v>2nd April</v>
      </c>
      <c r="Z389" s="272" t="str">
        <f>IFERROR(__xludf.DUMMYFUNCTION("""COMPUTED_VALUE"""),"69cd08671aea31e088f86567")</f>
        <v>69cd08671aea31e088f86567</v>
      </c>
      <c r="AA389" s="272">
        <f>IFERROR(__xludf.DUMMYFUNCTION("""COMPUTED_VALUE"""),4.0)</f>
        <v>4</v>
      </c>
      <c r="AB389" s="272"/>
      <c r="AC389" s="272">
        <f>IFERROR(__xludf.DUMMYFUNCTION("""COMPUTED_VALUE"""),4.0)</f>
        <v>4</v>
      </c>
      <c r="AD389" s="272">
        <f>IFERROR(__xludf.DUMMYFUNCTION("""COMPUTED_VALUE"""),20492.0)</f>
        <v>20492</v>
      </c>
      <c r="AE389" s="272"/>
      <c r="AF389" s="272">
        <f>IFERROR(__xludf.DUMMYFUNCTION("""COMPUTED_VALUE"""),20492.0)</f>
        <v>20492</v>
      </c>
      <c r="AG389" s="208"/>
      <c r="AH389" s="208"/>
      <c r="AI389" s="208"/>
      <c r="AJ389" s="208"/>
      <c r="AK389" s="208"/>
    </row>
    <row r="390" hidden="1">
      <c r="A390" s="209">
        <f>IFERROR(__xludf.DUMMYFUNCTION("""COMPUTED_VALUE"""),46114.0)</f>
        <v>46114</v>
      </c>
      <c r="B390" s="210">
        <f>IFERROR(__xludf.DUMMYFUNCTION("""COMPUTED_VALUE"""),0.4791666666678793)</f>
        <v>0.4791666667</v>
      </c>
      <c r="C390" s="211" t="str">
        <f>IFERROR(__xludf.DUMMYFUNCTION("""COMPUTED_VALUE"""),"Sms")</f>
        <v>Sms</v>
      </c>
      <c r="D390" s="211" t="str">
        <f>IFERROR(__xludf.DUMMYFUNCTION("""COMPUTED_VALUE"""),"Fallback Campaign")</f>
        <v>Fallback Campaign</v>
      </c>
      <c r="E390" s="211" t="str">
        <f>IFERROR(__xludf.DUMMYFUNCTION("""COMPUTED_VALUE"""),"BBW")</f>
        <v>BBW</v>
      </c>
      <c r="F390" s="211" t="str">
        <f>IFERROR(__xludf.DUMMYFUNCTION("""COMPUTED_VALUE"""),"B1G1")</f>
        <v>B1G1</v>
      </c>
      <c r="G390" s="212" t="str">
        <f>IFERROR(__xludf.DUMMYFUNCTION("""COMPUTED_VALUE"""),"bbw_offline_smsfb_2april_buy1get1_high_ltv")</f>
        <v>bbw_offline_smsfb_2april_buy1get1_high_ltv</v>
      </c>
      <c r="H390" s="212" t="str">
        <f>IFERROR(__xludf.DUMMYFUNCTION("""COMPUTED_VALUE"""),"LTV_15k_OFF")</f>
        <v>LTV_15k_OFF</v>
      </c>
      <c r="I390" s="212" t="str">
        <f>IFERROR(__xludf.DUMMYFUNCTION("""COMPUTED_VALUE"""),"WA Undelivered")</f>
        <v>WA Undelivered</v>
      </c>
      <c r="J390" s="213">
        <f>IFERROR(__xludf.DUMMYFUNCTION("""COMPUTED_VALUE"""),1509.0)</f>
        <v>1509</v>
      </c>
      <c r="K390" s="213">
        <f>IFERROR(__xludf.DUMMYFUNCTION("""COMPUTED_VALUE"""),748.0)</f>
        <v>748</v>
      </c>
      <c r="L390" s="214">
        <f>IFERROR(__xludf.DUMMYFUNCTION("""COMPUTED_VALUE"""),0.4957)</f>
        <v>0.4957</v>
      </c>
      <c r="M390" s="214"/>
      <c r="N390" s="214"/>
      <c r="O390" s="213">
        <f>IFERROR(__xludf.DUMMYFUNCTION("""COMPUTED_VALUE"""),1.0)</f>
        <v>1</v>
      </c>
      <c r="P390" s="213"/>
      <c r="Q390" s="214">
        <f>IFERROR(__xludf.DUMMYFUNCTION("""COMPUTED_VALUE"""),0.0013)</f>
        <v>0.0013</v>
      </c>
      <c r="R390" s="214"/>
      <c r="S390" s="101">
        <f>IFERROR(__xludf.DUMMYFUNCTION("""COMPUTED_VALUE"""),0.0)</f>
        <v>0</v>
      </c>
      <c r="T390" s="101">
        <f>IFERROR(__xludf.DUMMYFUNCTION("""COMPUTED_VALUE"""),0.0)</f>
        <v>0</v>
      </c>
      <c r="U390" s="270">
        <f>IFERROR(__xludf.DUMMYFUNCTION("""COMPUTED_VALUE"""),0.0)</f>
        <v>0</v>
      </c>
      <c r="V390" s="271" t="str">
        <f>IFERROR(__xludf.DUMMYFUNCTION("""COMPUTED_VALUE"""),"offline")</f>
        <v>offline</v>
      </c>
      <c r="W390" s="272" t="str">
        <f>IFERROR(__xludf.DUMMYFUNCTION("""COMPUTED_VALUE"""),"SMS")</f>
        <v>SMS</v>
      </c>
      <c r="X390" s="272" t="str">
        <f>IFERROR(__xludf.DUMMYFUNCTION("""COMPUTED_VALUE"""),"LTV")</f>
        <v>LTV</v>
      </c>
      <c r="Y390" s="272" t="str">
        <f>IFERROR(__xludf.DUMMYFUNCTION("""COMPUTED_VALUE"""),"2nd April")</f>
        <v>2nd April</v>
      </c>
      <c r="Z390" s="272" t="str">
        <f>IFERROR(__xludf.DUMMYFUNCTION("""COMPUTED_VALUE"""),"69cd0897543c5e1701d7f6d9")</f>
        <v>69cd0897543c5e1701d7f6d9</v>
      </c>
      <c r="AA390" s="272">
        <f>IFERROR(__xludf.DUMMYFUNCTION("""COMPUTED_VALUE"""),0.0)</f>
        <v>0</v>
      </c>
      <c r="AB390" s="272"/>
      <c r="AC390" s="272">
        <f>IFERROR(__xludf.DUMMYFUNCTION("""COMPUTED_VALUE"""),0.0)</f>
        <v>0</v>
      </c>
      <c r="AD390" s="272">
        <f>IFERROR(__xludf.DUMMYFUNCTION("""COMPUTED_VALUE"""),0.0)</f>
        <v>0</v>
      </c>
      <c r="AE390" s="272"/>
      <c r="AF390" s="272">
        <f>IFERROR(__xludf.DUMMYFUNCTION("""COMPUTED_VALUE"""),0.0)</f>
        <v>0</v>
      </c>
      <c r="AG390" s="208"/>
      <c r="AH390" s="208"/>
      <c r="AI390" s="208"/>
      <c r="AJ390" s="208"/>
      <c r="AK390" s="208"/>
    </row>
    <row r="391" hidden="1">
      <c r="A391" s="209">
        <f>IFERROR(__xludf.DUMMYFUNCTION("""COMPUTED_VALUE"""),46114.0)</f>
        <v>46114</v>
      </c>
      <c r="B391" s="210">
        <f>IFERROR(__xludf.DUMMYFUNCTION("""COMPUTED_VALUE"""),0.4791666666678793)</f>
        <v>0.4791666667</v>
      </c>
      <c r="C391" s="211" t="str">
        <f>IFERROR(__xludf.DUMMYFUNCTION("""COMPUTED_VALUE"""),"Sms")</f>
        <v>Sms</v>
      </c>
      <c r="D391" s="211" t="str">
        <f>IFERROR(__xludf.DUMMYFUNCTION("""COMPUTED_VALUE"""),"Fallback Campaign")</f>
        <v>Fallback Campaign</v>
      </c>
      <c r="E391" s="211" t="str">
        <f>IFERROR(__xludf.DUMMYFUNCTION("""COMPUTED_VALUE"""),"BBW")</f>
        <v>BBW</v>
      </c>
      <c r="F391" s="211" t="str">
        <f>IFERROR(__xludf.DUMMYFUNCTION("""COMPUTED_VALUE"""),"B1G1")</f>
        <v>B1G1</v>
      </c>
      <c r="G391" s="212" t="str">
        <f>IFERROR(__xludf.DUMMYFUNCTION("""COMPUTED_VALUE"""),"bbw_offline_smsfb_2april_buy1get1_high_pocket_size")</f>
        <v>bbw_offline_smsfb_2april_buy1get1_high_pocket_size</v>
      </c>
      <c r="H391" s="212" t="str">
        <f>IFERROR(__xludf.DUMMYFUNCTION("""COMPUTED_VALUE"""),"AOV_3999_Min_2_Order_OFF")</f>
        <v>AOV_3999_Min_2_Order_OFF</v>
      </c>
      <c r="I391" s="212" t="str">
        <f>IFERROR(__xludf.DUMMYFUNCTION("""COMPUTED_VALUE"""),"WA Undelivered")</f>
        <v>WA Undelivered</v>
      </c>
      <c r="J391" s="213">
        <f>IFERROR(__xludf.DUMMYFUNCTION("""COMPUTED_VALUE"""),1616.0)</f>
        <v>1616</v>
      </c>
      <c r="K391" s="213">
        <f>IFERROR(__xludf.DUMMYFUNCTION("""COMPUTED_VALUE"""),806.0)</f>
        <v>806</v>
      </c>
      <c r="L391" s="214">
        <f>IFERROR(__xludf.DUMMYFUNCTION("""COMPUTED_VALUE"""),0.4988)</f>
        <v>0.4988</v>
      </c>
      <c r="M391" s="214"/>
      <c r="N391" s="214"/>
      <c r="O391" s="213">
        <f>IFERROR(__xludf.DUMMYFUNCTION("""COMPUTED_VALUE"""),1.0)</f>
        <v>1</v>
      </c>
      <c r="P391" s="213"/>
      <c r="Q391" s="214">
        <f>IFERROR(__xludf.DUMMYFUNCTION("""COMPUTED_VALUE"""),0.0012)</f>
        <v>0.0012</v>
      </c>
      <c r="R391" s="214"/>
      <c r="S391" s="101">
        <f>IFERROR(__xludf.DUMMYFUNCTION("""COMPUTED_VALUE"""),0.0)</f>
        <v>0</v>
      </c>
      <c r="T391" s="101">
        <f>IFERROR(__xludf.DUMMYFUNCTION("""COMPUTED_VALUE"""),1.0)</f>
        <v>1</v>
      </c>
      <c r="U391" s="270">
        <f>IFERROR(__xludf.DUMMYFUNCTION("""COMPUTED_VALUE"""),0.0)</f>
        <v>0</v>
      </c>
      <c r="V391" s="271" t="str">
        <f>IFERROR(__xludf.DUMMYFUNCTION("""COMPUTED_VALUE"""),"offline")</f>
        <v>offline</v>
      </c>
      <c r="W391" s="272" t="str">
        <f>IFERROR(__xludf.DUMMYFUNCTION("""COMPUTED_VALUE"""),"SMS")</f>
        <v>SMS</v>
      </c>
      <c r="X391" s="272" t="str">
        <f>IFERROR(__xludf.DUMMYFUNCTION("""COMPUTED_VALUE"""),"Cart Value")</f>
        <v>Cart Value</v>
      </c>
      <c r="Y391" s="272" t="str">
        <f>IFERROR(__xludf.DUMMYFUNCTION("""COMPUTED_VALUE"""),"2nd April")</f>
        <v>2nd April</v>
      </c>
      <c r="Z391" s="272" t="str">
        <f>IFERROR(__xludf.DUMMYFUNCTION("""COMPUTED_VALUE"""),"69cd0997082fb5ccf466b9bf")</f>
        <v>69cd0997082fb5ccf466b9bf</v>
      </c>
      <c r="AA391" s="272">
        <f>IFERROR(__xludf.DUMMYFUNCTION("""COMPUTED_VALUE"""),0.0)</f>
        <v>0</v>
      </c>
      <c r="AB391" s="272"/>
      <c r="AC391" s="272">
        <f>IFERROR(__xludf.DUMMYFUNCTION("""COMPUTED_VALUE"""),0.0)</f>
        <v>0</v>
      </c>
      <c r="AD391" s="272">
        <f>IFERROR(__xludf.DUMMYFUNCTION("""COMPUTED_VALUE"""),0.0)</f>
        <v>0</v>
      </c>
      <c r="AE391" s="272"/>
      <c r="AF391" s="272">
        <f>IFERROR(__xludf.DUMMYFUNCTION("""COMPUTED_VALUE"""),0.0)</f>
        <v>0</v>
      </c>
      <c r="AG391" s="208"/>
      <c r="AH391" s="208"/>
      <c r="AI391" s="208"/>
      <c r="AJ391" s="208"/>
      <c r="AK391" s="208"/>
    </row>
    <row r="392" hidden="1">
      <c r="A392" s="209">
        <f>IFERROR(__xludf.DUMMYFUNCTION("""COMPUTED_VALUE"""),46116.0)</f>
        <v>46116</v>
      </c>
      <c r="B392" s="210">
        <f>IFERROR(__xludf.DUMMYFUNCTION("""COMPUTED_VALUE"""),0.8125)</f>
        <v>0.8125</v>
      </c>
      <c r="C392" s="211" t="str">
        <f>IFERROR(__xludf.DUMMYFUNCTION("""COMPUTED_VALUE"""),"Whatsapp")</f>
        <v>Whatsapp</v>
      </c>
      <c r="D392" s="211" t="str">
        <f>IFERROR(__xludf.DUMMYFUNCTION("""COMPUTED_VALUE"""),"Promotional")</f>
        <v>Promotional</v>
      </c>
      <c r="E392" s="211" t="str">
        <f>IFERROR(__xludf.DUMMYFUNCTION("""COMPUTED_VALUE"""),"BBW")</f>
        <v>BBW</v>
      </c>
      <c r="F392" s="211" t="str">
        <f>IFERROR(__xludf.DUMMYFUNCTION("""COMPUTED_VALUE"""),"B1G1")</f>
        <v>B1G1</v>
      </c>
      <c r="G392" s="212" t="str">
        <f>IFERROR(__xludf.DUMMYFUNCTION("""COMPUTED_VALUE"""),"bbw_offline_wa_4april_buy1get1_loyal_lastreminder")</f>
        <v>bbw_offline_wa_4april_buy1get1_loyal_lastreminder</v>
      </c>
      <c r="H392" s="212" t="str">
        <f>IFERROR(__xludf.DUMMYFUNCTION("""COMPUTED_VALUE"""),"Loyal_OFF OR AGIPL_Internal OR BBW_Internal")</f>
        <v>Loyal_OFF OR AGIPL_Internal OR BBW_Internal</v>
      </c>
      <c r="I392" s="212" t="str">
        <f>IFERROR(__xludf.DUMMYFUNCTION("""COMPUTED_VALUE"""),"Offline Customers who have 4 or more purchases in last 12 Months")</f>
        <v>Offline Customers who have 4 or more purchases in last 12 Months</v>
      </c>
      <c r="J392" s="213">
        <f>IFERROR(__xludf.DUMMYFUNCTION("""COMPUTED_VALUE"""),10342.0)</f>
        <v>10342</v>
      </c>
      <c r="K392" s="213">
        <f>IFERROR(__xludf.DUMMYFUNCTION("""COMPUTED_VALUE"""),3894.0)</f>
        <v>3894</v>
      </c>
      <c r="L392" s="214">
        <f>IFERROR(__xludf.DUMMYFUNCTION("""COMPUTED_VALUE"""),0.3765)</f>
        <v>0.3765</v>
      </c>
      <c r="M392" s="214">
        <f>IFERROR(__xludf.DUMMYFUNCTION("""COMPUTED_VALUE"""),1537.0)</f>
        <v>1537</v>
      </c>
      <c r="N392" s="214">
        <f>IFERROR(__xludf.DUMMYFUNCTION("""COMPUTED_VALUE"""),0.3947)</f>
        <v>0.3947</v>
      </c>
      <c r="O392" s="213">
        <f>IFERROR(__xludf.DUMMYFUNCTION("""COMPUTED_VALUE"""),147.0)</f>
        <v>147</v>
      </c>
      <c r="P392" s="213">
        <f>IFERROR(__xludf.DUMMYFUNCTION("""COMPUTED_VALUE"""),142.0)</f>
        <v>142</v>
      </c>
      <c r="Q392" s="214">
        <f>IFERROR(__xludf.DUMMYFUNCTION("""COMPUTED_VALUE"""),0.0365)</f>
        <v>0.0365</v>
      </c>
      <c r="R392" s="214">
        <f>IFERROR(__xludf.DUMMYFUNCTION("""COMPUTED_VALUE"""),0.0924)</f>
        <v>0.0924</v>
      </c>
      <c r="S392" s="101">
        <f>IFERROR(__xludf.DUMMYFUNCTION("""COMPUTED_VALUE"""),1.0)</f>
        <v>1</v>
      </c>
      <c r="T392" s="101">
        <f>IFERROR(__xludf.DUMMYFUNCTION("""COMPUTED_VALUE"""),3.0)</f>
        <v>3</v>
      </c>
      <c r="U392" s="270">
        <f>IFERROR(__xludf.DUMMYFUNCTION("""COMPUTED_VALUE"""),3598.0)</f>
        <v>3598</v>
      </c>
      <c r="V392" s="271" t="str">
        <f>IFERROR(__xludf.DUMMYFUNCTION("""COMPUTED_VALUE"""),"offline")</f>
        <v>offline</v>
      </c>
      <c r="W392" s="272" t="str">
        <f>IFERROR(__xludf.DUMMYFUNCTION("""COMPUTED_VALUE"""),"simple")</f>
        <v>simple</v>
      </c>
      <c r="X392" s="272" t="str">
        <f>IFERROR(__xludf.DUMMYFUNCTION("""COMPUTED_VALUE"""),"Loyal")</f>
        <v>Loyal</v>
      </c>
      <c r="Y392" s="272" t="str">
        <f>IFERROR(__xludf.DUMMYFUNCTION("""COMPUTED_VALUE"""),"4-6 April")</f>
        <v>4-6 April</v>
      </c>
      <c r="Z392" s="272" t="str">
        <f>IFERROR(__xludf.DUMMYFUNCTION("""COMPUTED_VALUE"""),"69cd0e3acc7aa7ad11fc1573")</f>
        <v>69cd0e3acc7aa7ad11fc1573</v>
      </c>
      <c r="AA392" s="272">
        <f>IFERROR(__xludf.DUMMYFUNCTION("""COMPUTED_VALUE"""),0.0)</f>
        <v>0</v>
      </c>
      <c r="AB392" s="272"/>
      <c r="AC392" s="272">
        <f>IFERROR(__xludf.DUMMYFUNCTION("""COMPUTED_VALUE"""),0.0)</f>
        <v>0</v>
      </c>
      <c r="AD392" s="272">
        <f>IFERROR(__xludf.DUMMYFUNCTION("""COMPUTED_VALUE"""),0.0)</f>
        <v>0</v>
      </c>
      <c r="AE392" s="272"/>
      <c r="AF392" s="272">
        <f>IFERROR(__xludf.DUMMYFUNCTION("""COMPUTED_VALUE"""),0.0)</f>
        <v>0</v>
      </c>
      <c r="AG392" s="208"/>
      <c r="AH392" s="208"/>
      <c r="AI392" s="208"/>
      <c r="AJ392" s="208"/>
      <c r="AK392" s="208"/>
    </row>
    <row r="393" hidden="1">
      <c r="A393" s="209">
        <f>IFERROR(__xludf.DUMMYFUNCTION("""COMPUTED_VALUE"""),46116.0)</f>
        <v>46116</v>
      </c>
      <c r="B393" s="210">
        <f>IFERROR(__xludf.DUMMYFUNCTION("""COMPUTED_VALUE"""),0.8125)</f>
        <v>0.8125</v>
      </c>
      <c r="C393" s="211" t="str">
        <f>IFERROR(__xludf.DUMMYFUNCTION("""COMPUTED_VALUE"""),"Whatsapp")</f>
        <v>Whatsapp</v>
      </c>
      <c r="D393" s="211" t="str">
        <f>IFERROR(__xludf.DUMMYFUNCTION("""COMPUTED_VALUE"""),"Promotional")</f>
        <v>Promotional</v>
      </c>
      <c r="E393" s="211" t="str">
        <f>IFERROR(__xludf.DUMMYFUNCTION("""COMPUTED_VALUE"""),"BBW")</f>
        <v>BBW</v>
      </c>
      <c r="F393" s="211" t="str">
        <f>IFERROR(__xludf.DUMMYFUNCTION("""COMPUTED_VALUE"""),"B1G1")</f>
        <v>B1G1</v>
      </c>
      <c r="G393" s="212" t="str">
        <f>IFERROR(__xludf.DUMMYFUNCTION("""COMPUTED_VALUE"""),"bbw_offline_wa_4april_buy1get1_repeat_lastreminder")</f>
        <v>bbw_offline_wa_4april_buy1get1_repeat_lastreminder</v>
      </c>
      <c r="H393" s="212" t="str">
        <f>IFERROR(__xludf.DUMMYFUNCTION("""COMPUTED_VALUE"""),"Repeat_OFF")</f>
        <v>Repeat_OFF</v>
      </c>
      <c r="I393" s="212" t="str">
        <f>IFERROR(__xludf.DUMMYFUNCTION("""COMPUTED_VALUE"""),"Offline Customers who have purchased at least 2 times in the last 6 Months")</f>
        <v>Offline Customers who have purchased at least 2 times in the last 6 Months</v>
      </c>
      <c r="J393" s="213">
        <f>IFERROR(__xludf.DUMMYFUNCTION("""COMPUTED_VALUE"""),20823.0)</f>
        <v>20823</v>
      </c>
      <c r="K393" s="213">
        <f>IFERROR(__xludf.DUMMYFUNCTION("""COMPUTED_VALUE"""),8870.0)</f>
        <v>8870</v>
      </c>
      <c r="L393" s="214">
        <f>IFERROR(__xludf.DUMMYFUNCTION("""COMPUTED_VALUE"""),0.426)</f>
        <v>0.426</v>
      </c>
      <c r="M393" s="214">
        <f>IFERROR(__xludf.DUMMYFUNCTION("""COMPUTED_VALUE"""),3371.0)</f>
        <v>3371</v>
      </c>
      <c r="N393" s="214">
        <f>IFERROR(__xludf.DUMMYFUNCTION("""COMPUTED_VALUE"""),0.38)</f>
        <v>0.38</v>
      </c>
      <c r="O393" s="213">
        <f>IFERROR(__xludf.DUMMYFUNCTION("""COMPUTED_VALUE"""),331.0)</f>
        <v>331</v>
      </c>
      <c r="P393" s="213">
        <f>IFERROR(__xludf.DUMMYFUNCTION("""COMPUTED_VALUE"""),313.0)</f>
        <v>313</v>
      </c>
      <c r="Q393" s="214">
        <f>IFERROR(__xludf.DUMMYFUNCTION("""COMPUTED_VALUE"""),0.0353)</f>
        <v>0.0353</v>
      </c>
      <c r="R393" s="214">
        <f>IFERROR(__xludf.DUMMYFUNCTION("""COMPUTED_VALUE"""),0.0929)</f>
        <v>0.0929</v>
      </c>
      <c r="S393" s="101">
        <f>IFERROR(__xludf.DUMMYFUNCTION("""COMPUTED_VALUE"""),2.0)</f>
        <v>2</v>
      </c>
      <c r="T393" s="101">
        <f>IFERROR(__xludf.DUMMYFUNCTION("""COMPUTED_VALUE"""),4.0)</f>
        <v>4</v>
      </c>
      <c r="U393" s="270">
        <f>IFERROR(__xludf.DUMMYFUNCTION("""COMPUTED_VALUE"""),4588.0)</f>
        <v>4588</v>
      </c>
      <c r="V393" s="271" t="str">
        <f>IFERROR(__xludf.DUMMYFUNCTION("""COMPUTED_VALUE"""),"offline")</f>
        <v>offline</v>
      </c>
      <c r="W393" s="272" t="str">
        <f>IFERROR(__xludf.DUMMYFUNCTION("""COMPUTED_VALUE"""),"simple")</f>
        <v>simple</v>
      </c>
      <c r="X393" s="272" t="str">
        <f>IFERROR(__xludf.DUMMYFUNCTION("""COMPUTED_VALUE"""),"Repeat")</f>
        <v>Repeat</v>
      </c>
      <c r="Y393" s="272" t="str">
        <f>IFERROR(__xludf.DUMMYFUNCTION("""COMPUTED_VALUE"""),"4-6 April")</f>
        <v>4-6 April</v>
      </c>
      <c r="Z393" s="272" t="str">
        <f>IFERROR(__xludf.DUMMYFUNCTION("""COMPUTED_VALUE"""),"69ce00c08d846bf6fb367c7d")</f>
        <v>69ce00c08d846bf6fb367c7d</v>
      </c>
      <c r="AA393" s="272">
        <f>IFERROR(__xludf.DUMMYFUNCTION("""COMPUTED_VALUE"""),106.0)</f>
        <v>106</v>
      </c>
      <c r="AB393" s="272"/>
      <c r="AC393" s="272">
        <f>IFERROR(__xludf.DUMMYFUNCTION("""COMPUTED_VALUE"""),106.0)</f>
        <v>106</v>
      </c>
      <c r="AD393" s="272">
        <f>IFERROR(__xludf.DUMMYFUNCTION("""COMPUTED_VALUE"""),526326.0)</f>
        <v>526326</v>
      </c>
      <c r="AE393" s="272"/>
      <c r="AF393" s="272">
        <f>IFERROR(__xludf.DUMMYFUNCTION("""COMPUTED_VALUE"""),526326.0)</f>
        <v>526326</v>
      </c>
      <c r="AG393" s="208"/>
      <c r="AH393" s="208"/>
      <c r="AI393" s="208"/>
      <c r="AJ393" s="208"/>
      <c r="AK393" s="208"/>
    </row>
    <row r="394" hidden="1">
      <c r="A394" s="209">
        <f>IFERROR(__xludf.DUMMYFUNCTION("""COMPUTED_VALUE"""),46116.0)</f>
        <v>46116</v>
      </c>
      <c r="B394" s="210">
        <f>IFERROR(__xludf.DUMMYFUNCTION("""COMPUTED_VALUE"""),0.8125)</f>
        <v>0.8125</v>
      </c>
      <c r="C394" s="211" t="str">
        <f>IFERROR(__xludf.DUMMYFUNCTION("""COMPUTED_VALUE"""),"Whatsapp")</f>
        <v>Whatsapp</v>
      </c>
      <c r="D394" s="211" t="str">
        <f>IFERROR(__xludf.DUMMYFUNCTION("""COMPUTED_VALUE"""),"Promotional")</f>
        <v>Promotional</v>
      </c>
      <c r="E394" s="211" t="str">
        <f>IFERROR(__xludf.DUMMYFUNCTION("""COMPUTED_VALUE"""),"BBW")</f>
        <v>BBW</v>
      </c>
      <c r="F394" s="211" t="str">
        <f>IFERROR(__xludf.DUMMYFUNCTION("""COMPUTED_VALUE"""),"B1G1")</f>
        <v>B1G1</v>
      </c>
      <c r="G394" s="212" t="str">
        <f>IFERROR(__xludf.DUMMYFUNCTION("""COMPUTED_VALUE"""),"bbw_offline_wa_4april_buy1get1_bundle_buyers_lastreminder")</f>
        <v>bbw_offline_wa_4april_buy1get1_bundle_buyers_lastreminder</v>
      </c>
      <c r="H394" s="212" t="str">
        <f>IFERROR(__xludf.DUMMYFUNCTION("""COMPUTED_VALUE"""),"UPT_Min_3_OFF")</f>
        <v>UPT_Min_3_OFF</v>
      </c>
      <c r="I394" s="212" t="str">
        <f>IFERROR(__xludf.DUMMYFUNCTION("""COMPUTED_VALUE"""),"Offline Customers who bought 3+ products during each purchase in the last 6 months")</f>
        <v>Offline Customers who bought 3+ products during each purchase in the last 6 months</v>
      </c>
      <c r="J394" s="213">
        <f>IFERROR(__xludf.DUMMYFUNCTION("""COMPUTED_VALUE"""),71815.0)</f>
        <v>71815</v>
      </c>
      <c r="K394" s="213">
        <f>IFERROR(__xludf.DUMMYFUNCTION("""COMPUTED_VALUE"""),31105.0)</f>
        <v>31105</v>
      </c>
      <c r="L394" s="214">
        <f>IFERROR(__xludf.DUMMYFUNCTION("""COMPUTED_VALUE"""),0.4331)</f>
        <v>0.4331</v>
      </c>
      <c r="M394" s="214">
        <f>IFERROR(__xludf.DUMMYFUNCTION("""COMPUTED_VALUE"""),12130.0)</f>
        <v>12130</v>
      </c>
      <c r="N394" s="214">
        <f>IFERROR(__xludf.DUMMYFUNCTION("""COMPUTED_VALUE"""),0.3901)</f>
        <v>0.3901</v>
      </c>
      <c r="O394" s="213">
        <f>IFERROR(__xludf.DUMMYFUNCTION("""COMPUTED_VALUE"""),1051.0)</f>
        <v>1051</v>
      </c>
      <c r="P394" s="213">
        <f>IFERROR(__xludf.DUMMYFUNCTION("""COMPUTED_VALUE"""),983.0)</f>
        <v>983</v>
      </c>
      <c r="Q394" s="214">
        <f>IFERROR(__xludf.DUMMYFUNCTION("""COMPUTED_VALUE"""),0.0316)</f>
        <v>0.0316</v>
      </c>
      <c r="R394" s="214">
        <f>IFERROR(__xludf.DUMMYFUNCTION("""COMPUTED_VALUE"""),0.081)</f>
        <v>0.081</v>
      </c>
      <c r="S394" s="101">
        <f>IFERROR(__xludf.DUMMYFUNCTION("""COMPUTED_VALUE"""),3.0)</f>
        <v>3</v>
      </c>
      <c r="T394" s="101">
        <f>IFERROR(__xludf.DUMMYFUNCTION("""COMPUTED_VALUE"""),14.0)</f>
        <v>14</v>
      </c>
      <c r="U394" s="270">
        <f>IFERROR(__xludf.DUMMYFUNCTION("""COMPUTED_VALUE"""),17312.0)</f>
        <v>17312</v>
      </c>
      <c r="V394" s="271" t="str">
        <f>IFERROR(__xludf.DUMMYFUNCTION("""COMPUTED_VALUE"""),"offline")</f>
        <v>offline</v>
      </c>
      <c r="W394" s="272" t="str">
        <f>IFERROR(__xludf.DUMMYFUNCTION("""COMPUTED_VALUE"""),"simple")</f>
        <v>simple</v>
      </c>
      <c r="X394" s="272" t="str">
        <f>IFERROR(__xludf.DUMMYFUNCTION("""COMPUTED_VALUE"""),"Cart Qty")</f>
        <v>Cart Qty</v>
      </c>
      <c r="Y394" s="272" t="str">
        <f>IFERROR(__xludf.DUMMYFUNCTION("""COMPUTED_VALUE"""),"4-6 April")</f>
        <v>4-6 April</v>
      </c>
      <c r="Z394" s="272" t="str">
        <f>IFERROR(__xludf.DUMMYFUNCTION("""COMPUTED_VALUE"""),"69ce013f639d3ad3b4ffbbfb")</f>
        <v>69ce013f639d3ad3b4ffbbfb</v>
      </c>
      <c r="AA394" s="272">
        <f>IFERROR(__xludf.DUMMYFUNCTION("""COMPUTED_VALUE"""),71.0)</f>
        <v>71</v>
      </c>
      <c r="AB394" s="272"/>
      <c r="AC394" s="272">
        <f>IFERROR(__xludf.DUMMYFUNCTION("""COMPUTED_VALUE"""),71.0)</f>
        <v>71</v>
      </c>
      <c r="AD394" s="272">
        <f>IFERROR(__xludf.DUMMYFUNCTION("""COMPUTED_VALUE"""),254141.0)</f>
        <v>254141</v>
      </c>
      <c r="AE394" s="272"/>
      <c r="AF394" s="272">
        <f>IFERROR(__xludf.DUMMYFUNCTION("""COMPUTED_VALUE"""),254141.0)</f>
        <v>254141</v>
      </c>
      <c r="AG394" s="208"/>
      <c r="AH394" s="208"/>
      <c r="AI394" s="208"/>
      <c r="AJ394" s="208"/>
      <c r="AK394" s="208"/>
    </row>
    <row r="395" hidden="1">
      <c r="A395" s="209">
        <f>IFERROR(__xludf.DUMMYFUNCTION("""COMPUTED_VALUE"""),46116.0)</f>
        <v>46116</v>
      </c>
      <c r="B395" s="210">
        <f>IFERROR(__xludf.DUMMYFUNCTION("""COMPUTED_VALUE"""),0.8125)</f>
        <v>0.8125</v>
      </c>
      <c r="C395" s="211" t="str">
        <f>IFERROR(__xludf.DUMMYFUNCTION("""COMPUTED_VALUE"""),"Whatsapp")</f>
        <v>Whatsapp</v>
      </c>
      <c r="D395" s="211" t="str">
        <f>IFERROR(__xludf.DUMMYFUNCTION("""COMPUTED_VALUE"""),"Promotional")</f>
        <v>Promotional</v>
      </c>
      <c r="E395" s="211" t="str">
        <f>IFERROR(__xludf.DUMMYFUNCTION("""COMPUTED_VALUE"""),"BBW")</f>
        <v>BBW</v>
      </c>
      <c r="F395" s="211" t="str">
        <f>IFERROR(__xludf.DUMMYFUNCTION("""COMPUTED_VALUE"""),"B1G1")</f>
        <v>B1G1</v>
      </c>
      <c r="G395" s="212" t="str">
        <f>IFERROR(__xludf.DUMMYFUNCTION("""COMPUTED_VALUE"""),"bbw_offline_wa_4april_buy1get1_dormant_lastreminder")</f>
        <v>bbw_offline_wa_4april_buy1get1_dormant_lastreminder</v>
      </c>
      <c r="H395" s="212" t="str">
        <f>IFERROR(__xludf.DUMMYFUNCTION("""COMPUTED_VALUE"""),"Dorm_90_365_OFF")</f>
        <v>Dorm_90_365_OFF</v>
      </c>
      <c r="I395" s="212" t="str">
        <f>IFERROR(__xludf.DUMMYFUNCTION("""COMPUTED_VALUE"""),"Offline Customers who placed at least 1 order in between 90 days ago and 365 days ago")</f>
        <v>Offline Customers who placed at least 1 order in between 90 days ago and 365 days ago</v>
      </c>
      <c r="J395" s="213">
        <f>IFERROR(__xludf.DUMMYFUNCTION("""COMPUTED_VALUE"""),205155.0)</f>
        <v>205155</v>
      </c>
      <c r="K395" s="213">
        <f>IFERROR(__xludf.DUMMYFUNCTION("""COMPUTED_VALUE"""),89912.0)</f>
        <v>89912</v>
      </c>
      <c r="L395" s="214">
        <f>IFERROR(__xludf.DUMMYFUNCTION("""COMPUTED_VALUE"""),0.4383)</f>
        <v>0.4383</v>
      </c>
      <c r="M395" s="214">
        <f>IFERROR(__xludf.DUMMYFUNCTION("""COMPUTED_VALUE"""),31953.0)</f>
        <v>31953</v>
      </c>
      <c r="N395" s="214">
        <f>IFERROR(__xludf.DUMMYFUNCTION("""COMPUTED_VALUE"""),0.3554)</f>
        <v>0.3554</v>
      </c>
      <c r="O395" s="213">
        <f>IFERROR(__xludf.DUMMYFUNCTION("""COMPUTED_VALUE"""),2818.0)</f>
        <v>2818</v>
      </c>
      <c r="P395" s="213">
        <f>IFERROR(__xludf.DUMMYFUNCTION("""COMPUTED_VALUE"""),2683.0)</f>
        <v>2683</v>
      </c>
      <c r="Q395" s="214">
        <f>IFERROR(__xludf.DUMMYFUNCTION("""COMPUTED_VALUE"""),0.0299)</f>
        <v>0.0299</v>
      </c>
      <c r="R395" s="214">
        <f>IFERROR(__xludf.DUMMYFUNCTION("""COMPUTED_VALUE"""),0.084)</f>
        <v>0.084</v>
      </c>
      <c r="S395" s="101">
        <f>IFERROR(__xludf.DUMMYFUNCTION("""COMPUTED_VALUE"""),13.0)</f>
        <v>13</v>
      </c>
      <c r="T395" s="101">
        <f>IFERROR(__xludf.DUMMYFUNCTION("""COMPUTED_VALUE"""),24.0)</f>
        <v>24</v>
      </c>
      <c r="U395" s="270">
        <f>IFERROR(__xludf.DUMMYFUNCTION("""COMPUTED_VALUE"""),33709.0)</f>
        <v>33709</v>
      </c>
      <c r="V395" s="271" t="str">
        <f>IFERROR(__xludf.DUMMYFUNCTION("""COMPUTED_VALUE"""),"offline")</f>
        <v>offline</v>
      </c>
      <c r="W395" s="272" t="str">
        <f>IFERROR(__xludf.DUMMYFUNCTION("""COMPUTED_VALUE"""),"simple")</f>
        <v>simple</v>
      </c>
      <c r="X395" s="272" t="str">
        <f>IFERROR(__xludf.DUMMYFUNCTION("""COMPUTED_VALUE"""),"Dormant")</f>
        <v>Dormant</v>
      </c>
      <c r="Y395" s="272" t="str">
        <f>IFERROR(__xludf.DUMMYFUNCTION("""COMPUTED_VALUE"""),"4-6 April")</f>
        <v>4-6 April</v>
      </c>
      <c r="Z395" s="272" t="str">
        <f>IFERROR(__xludf.DUMMYFUNCTION("""COMPUTED_VALUE"""),"69ce01d552f40c4e88945fa9")</f>
        <v>69ce01d552f40c4e88945fa9</v>
      </c>
      <c r="AA395" s="272">
        <f>IFERROR(__xludf.DUMMYFUNCTION("""COMPUTED_VALUE"""),175.0)</f>
        <v>175</v>
      </c>
      <c r="AB395" s="272"/>
      <c r="AC395" s="272">
        <f>IFERROR(__xludf.DUMMYFUNCTION("""COMPUTED_VALUE"""),175.0)</f>
        <v>175</v>
      </c>
      <c r="AD395" s="272">
        <f>IFERROR(__xludf.DUMMYFUNCTION("""COMPUTED_VALUE"""),856309.0)</f>
        <v>856309</v>
      </c>
      <c r="AE395" s="272"/>
      <c r="AF395" s="272">
        <f>IFERROR(__xludf.DUMMYFUNCTION("""COMPUTED_VALUE"""),856309.0)</f>
        <v>856309</v>
      </c>
      <c r="AG395" s="208"/>
      <c r="AH395" s="208"/>
      <c r="AI395" s="208"/>
      <c r="AJ395" s="208"/>
      <c r="AK395" s="208"/>
    </row>
    <row r="396" hidden="1">
      <c r="A396" s="209">
        <f>IFERROR(__xludf.DUMMYFUNCTION("""COMPUTED_VALUE"""),46116.0)</f>
        <v>46116</v>
      </c>
      <c r="B396" s="210">
        <f>IFERROR(__xludf.DUMMYFUNCTION("""COMPUTED_VALUE"""),0.8125)</f>
        <v>0.8125</v>
      </c>
      <c r="C396" s="211" t="str">
        <f>IFERROR(__xludf.DUMMYFUNCTION("""COMPUTED_VALUE"""),"Whatsapp")</f>
        <v>Whatsapp</v>
      </c>
      <c r="D396" s="211" t="str">
        <f>IFERROR(__xludf.DUMMYFUNCTION("""COMPUTED_VALUE"""),"Promotional")</f>
        <v>Promotional</v>
      </c>
      <c r="E396" s="211" t="str">
        <f>IFERROR(__xludf.DUMMYFUNCTION("""COMPUTED_VALUE"""),"BBW")</f>
        <v>BBW</v>
      </c>
      <c r="F396" s="211" t="str">
        <f>IFERROR(__xludf.DUMMYFUNCTION("""COMPUTED_VALUE"""),"B1G1")</f>
        <v>B1G1</v>
      </c>
      <c r="G396" s="212" t="str">
        <f>IFERROR(__xludf.DUMMYFUNCTION("""COMPUTED_VALUE"""),"bbw_offline_wa_4april_buy1get1_high_ltv_lastreminder")</f>
        <v>bbw_offline_wa_4april_buy1get1_high_ltv_lastreminder</v>
      </c>
      <c r="H396" s="212" t="str">
        <f>IFERROR(__xludf.DUMMYFUNCTION("""COMPUTED_VALUE"""),"LTV_15k_OFF")</f>
        <v>LTV_15k_OFF</v>
      </c>
      <c r="I396" s="212" t="str">
        <f>IFERROR(__xludf.DUMMYFUNCTION("""COMPUTED_VALUE"""),"Offline Customers with LTV &gt; 15k in the last 1095 days")</f>
        <v>Offline Customers with LTV &gt; 15k in the last 1095 days</v>
      </c>
      <c r="J396" s="213">
        <f>IFERROR(__xludf.DUMMYFUNCTION("""COMPUTED_VALUE"""),6016.0)</f>
        <v>6016</v>
      </c>
      <c r="K396" s="213">
        <f>IFERROR(__xludf.DUMMYFUNCTION("""COMPUTED_VALUE"""),2009.0)</f>
        <v>2009</v>
      </c>
      <c r="L396" s="214">
        <f>IFERROR(__xludf.DUMMYFUNCTION("""COMPUTED_VALUE"""),0.3339)</f>
        <v>0.3339</v>
      </c>
      <c r="M396" s="214">
        <f>IFERROR(__xludf.DUMMYFUNCTION("""COMPUTED_VALUE"""),671.0)</f>
        <v>671</v>
      </c>
      <c r="N396" s="214">
        <f>IFERROR(__xludf.DUMMYFUNCTION("""COMPUTED_VALUE"""),0.334)</f>
        <v>0.334</v>
      </c>
      <c r="O396" s="213">
        <f>IFERROR(__xludf.DUMMYFUNCTION("""COMPUTED_VALUE"""),69.0)</f>
        <v>69</v>
      </c>
      <c r="P396" s="213">
        <f>IFERROR(__xludf.DUMMYFUNCTION("""COMPUTED_VALUE"""),66.0)</f>
        <v>66</v>
      </c>
      <c r="Q396" s="214">
        <f>IFERROR(__xludf.DUMMYFUNCTION("""COMPUTED_VALUE"""),0.0329)</f>
        <v>0.0329</v>
      </c>
      <c r="R396" s="214">
        <f>IFERROR(__xludf.DUMMYFUNCTION("""COMPUTED_VALUE"""),0.0984)</f>
        <v>0.0984</v>
      </c>
      <c r="S396" s="101">
        <f>IFERROR(__xludf.DUMMYFUNCTION("""COMPUTED_VALUE"""),0.0)</f>
        <v>0</v>
      </c>
      <c r="T396" s="101">
        <f>IFERROR(__xludf.DUMMYFUNCTION("""COMPUTED_VALUE"""),1.0)</f>
        <v>1</v>
      </c>
      <c r="U396" s="270">
        <f>IFERROR(__xludf.DUMMYFUNCTION("""COMPUTED_VALUE"""),0.0)</f>
        <v>0</v>
      </c>
      <c r="V396" s="271" t="str">
        <f>IFERROR(__xludf.DUMMYFUNCTION("""COMPUTED_VALUE"""),"offline")</f>
        <v>offline</v>
      </c>
      <c r="W396" s="272" t="str">
        <f>IFERROR(__xludf.DUMMYFUNCTION("""COMPUTED_VALUE"""),"simple")</f>
        <v>simple</v>
      </c>
      <c r="X396" s="272" t="str">
        <f>IFERROR(__xludf.DUMMYFUNCTION("""COMPUTED_VALUE"""),"LTV")</f>
        <v>LTV</v>
      </c>
      <c r="Y396" s="272" t="str">
        <f>IFERROR(__xludf.DUMMYFUNCTION("""COMPUTED_VALUE"""),"4-6 April")</f>
        <v>4-6 April</v>
      </c>
      <c r="Z396" s="272" t="str">
        <f>IFERROR(__xludf.DUMMYFUNCTION("""COMPUTED_VALUE"""),"69ce022820b648ae0462f8d0")</f>
        <v>69ce022820b648ae0462f8d0</v>
      </c>
      <c r="AA396" s="272">
        <f>IFERROR(__xludf.DUMMYFUNCTION("""COMPUTED_VALUE"""),385.0)</f>
        <v>385</v>
      </c>
      <c r="AB396" s="272"/>
      <c r="AC396" s="272">
        <f>IFERROR(__xludf.DUMMYFUNCTION("""COMPUTED_VALUE"""),385.0)</f>
        <v>385</v>
      </c>
      <c r="AD396" s="272">
        <f>IFERROR(__xludf.DUMMYFUNCTION("""COMPUTED_VALUE"""),1413715.0)</f>
        <v>1413715</v>
      </c>
      <c r="AE396" s="272"/>
      <c r="AF396" s="272">
        <f>IFERROR(__xludf.DUMMYFUNCTION("""COMPUTED_VALUE"""),1413715.0)</f>
        <v>1413715</v>
      </c>
      <c r="AG396" s="208"/>
      <c r="AH396" s="208"/>
      <c r="AI396" s="208"/>
      <c r="AJ396" s="208"/>
      <c r="AK396" s="208"/>
    </row>
    <row r="397" hidden="1">
      <c r="A397" s="209">
        <f>IFERROR(__xludf.DUMMYFUNCTION("""COMPUTED_VALUE"""),46116.0)</f>
        <v>46116</v>
      </c>
      <c r="B397" s="210">
        <f>IFERROR(__xludf.DUMMYFUNCTION("""COMPUTED_VALUE"""),0.8125)</f>
        <v>0.8125</v>
      </c>
      <c r="C397" s="211" t="str">
        <f>IFERROR(__xludf.DUMMYFUNCTION("""COMPUTED_VALUE"""),"Whatsapp")</f>
        <v>Whatsapp</v>
      </c>
      <c r="D397" s="211" t="str">
        <f>IFERROR(__xludf.DUMMYFUNCTION("""COMPUTED_VALUE"""),"Promotional")</f>
        <v>Promotional</v>
      </c>
      <c r="E397" s="211" t="str">
        <f>IFERROR(__xludf.DUMMYFUNCTION("""COMPUTED_VALUE"""),"BBW")</f>
        <v>BBW</v>
      </c>
      <c r="F397" s="211" t="str">
        <f>IFERROR(__xludf.DUMMYFUNCTION("""COMPUTED_VALUE"""),"B1G1")</f>
        <v>B1G1</v>
      </c>
      <c r="G397" s="212" t="str">
        <f>IFERROR(__xludf.DUMMYFUNCTION("""COMPUTED_VALUE"""),"bbw_offline_wa_4april_buy1get1_high_pocket_size_lastreminder")</f>
        <v>bbw_offline_wa_4april_buy1get1_high_pocket_size_lastreminder</v>
      </c>
      <c r="H397" s="212" t="str">
        <f>IFERROR(__xludf.DUMMYFUNCTION("""COMPUTED_VALUE"""),"AOV_3999_Min_2_Order_OFF")</f>
        <v>AOV_3999_Min_2_Order_OFF</v>
      </c>
      <c r="I397" s="212" t="str">
        <f>IFERROR(__xludf.DUMMYFUNCTION("""COMPUTED_VALUE"""),"Offline Customers with AOV &gt; 4k and purchased - 2 or more in the last 1095 days")</f>
        <v>Offline Customers with AOV &gt; 4k and purchased - 2 or more in the last 1095 days</v>
      </c>
      <c r="J397" s="213">
        <f>IFERROR(__xludf.DUMMYFUNCTION("""COMPUTED_VALUE"""),7978.0)</f>
        <v>7978</v>
      </c>
      <c r="K397" s="213">
        <f>IFERROR(__xludf.DUMMYFUNCTION("""COMPUTED_VALUE"""),2865.0)</f>
        <v>2865</v>
      </c>
      <c r="L397" s="214">
        <f>IFERROR(__xludf.DUMMYFUNCTION("""COMPUTED_VALUE"""),0.3591)</f>
        <v>0.3591</v>
      </c>
      <c r="M397" s="214">
        <f>IFERROR(__xludf.DUMMYFUNCTION("""COMPUTED_VALUE"""),986.0)</f>
        <v>986</v>
      </c>
      <c r="N397" s="214">
        <f>IFERROR(__xludf.DUMMYFUNCTION("""COMPUTED_VALUE"""),0.3438)</f>
        <v>0.3438</v>
      </c>
      <c r="O397" s="213">
        <f>IFERROR(__xludf.DUMMYFUNCTION("""COMPUTED_VALUE"""),88.0)</f>
        <v>88</v>
      </c>
      <c r="P397" s="213">
        <f>IFERROR(__xludf.DUMMYFUNCTION("""COMPUTED_VALUE"""),81.0)</f>
        <v>81</v>
      </c>
      <c r="Q397" s="214">
        <f>IFERROR(__xludf.DUMMYFUNCTION("""COMPUTED_VALUE"""),0.0283)</f>
        <v>0.0283</v>
      </c>
      <c r="R397" s="214">
        <f>IFERROR(__xludf.DUMMYFUNCTION("""COMPUTED_VALUE"""),0.0822)</f>
        <v>0.0822</v>
      </c>
      <c r="S397" s="101">
        <f>IFERROR(__xludf.DUMMYFUNCTION("""COMPUTED_VALUE"""),0.0)</f>
        <v>0</v>
      </c>
      <c r="T397" s="101">
        <f>IFERROR(__xludf.DUMMYFUNCTION("""COMPUTED_VALUE"""),0.0)</f>
        <v>0</v>
      </c>
      <c r="U397" s="270">
        <f>IFERROR(__xludf.DUMMYFUNCTION("""COMPUTED_VALUE"""),0.0)</f>
        <v>0</v>
      </c>
      <c r="V397" s="271" t="str">
        <f>IFERROR(__xludf.DUMMYFUNCTION("""COMPUTED_VALUE"""),"offline")</f>
        <v>offline</v>
      </c>
      <c r="W397" s="272" t="str">
        <f>IFERROR(__xludf.DUMMYFUNCTION("""COMPUTED_VALUE"""),"simple")</f>
        <v>simple</v>
      </c>
      <c r="X397" s="272" t="str">
        <f>IFERROR(__xludf.DUMMYFUNCTION("""COMPUTED_VALUE"""),"Cart Value")</f>
        <v>Cart Value</v>
      </c>
      <c r="Y397" s="272" t="str">
        <f>IFERROR(__xludf.DUMMYFUNCTION("""COMPUTED_VALUE"""),"4-6 April")</f>
        <v>4-6 April</v>
      </c>
      <c r="Z397" s="272" t="str">
        <f>IFERROR(__xludf.DUMMYFUNCTION("""COMPUTED_VALUE"""),"69ce0274dbd718c2782dbc47")</f>
        <v>69ce0274dbd718c2782dbc47</v>
      </c>
      <c r="AA397" s="272">
        <f>IFERROR(__xludf.DUMMYFUNCTION("""COMPUTED_VALUE"""),10.0)</f>
        <v>10</v>
      </c>
      <c r="AB397" s="272"/>
      <c r="AC397" s="272">
        <f>IFERROR(__xludf.DUMMYFUNCTION("""COMPUTED_VALUE"""),10.0)</f>
        <v>10</v>
      </c>
      <c r="AD397" s="272">
        <f>IFERROR(__xludf.DUMMYFUNCTION("""COMPUTED_VALUE"""),56776.0)</f>
        <v>56776</v>
      </c>
      <c r="AE397" s="272"/>
      <c r="AF397" s="272">
        <f>IFERROR(__xludf.DUMMYFUNCTION("""COMPUTED_VALUE"""),56776.0)</f>
        <v>56776</v>
      </c>
      <c r="AG397" s="208"/>
      <c r="AH397" s="208"/>
      <c r="AI397" s="208"/>
      <c r="AJ397" s="208"/>
      <c r="AK397" s="208"/>
    </row>
    <row r="398" hidden="1">
      <c r="A398" s="209">
        <f>IFERROR(__xludf.DUMMYFUNCTION("""COMPUTED_VALUE"""),46116.0)</f>
        <v>46116</v>
      </c>
      <c r="B398" s="210">
        <f>IFERROR(__xludf.DUMMYFUNCTION("""COMPUTED_VALUE"""),0.8125)</f>
        <v>0.8125</v>
      </c>
      <c r="C398" s="211" t="str">
        <f>IFERROR(__xludf.DUMMYFUNCTION("""COMPUTED_VALUE"""),"Whatsapp")</f>
        <v>Whatsapp</v>
      </c>
      <c r="D398" s="211" t="str">
        <f>IFERROR(__xludf.DUMMYFUNCTION("""COMPUTED_VALUE"""),"Promotional")</f>
        <v>Promotional</v>
      </c>
      <c r="E398" s="211" t="str">
        <f>IFERROR(__xludf.DUMMYFUNCTION("""COMPUTED_VALUE"""),"BBW")</f>
        <v>BBW</v>
      </c>
      <c r="F398" s="211" t="str">
        <f>IFERROR(__xludf.DUMMYFUNCTION("""COMPUTED_VALUE"""),"B1G1")</f>
        <v>B1G1</v>
      </c>
      <c r="G398" s="212" t="str">
        <f>IFERROR(__xludf.DUMMYFUNCTION("""COMPUTED_VALUE"""),"bbw_offline_wa_4april_buy1get1_aov_relevant_lastreminder")</f>
        <v>bbw_offline_wa_4april_buy1get1_aov_relevant_lastreminder</v>
      </c>
      <c r="H398" s="212" t="str">
        <f>IFERROR(__xludf.DUMMYFUNCTION("""COMPUTED_VALUE"""),"AOV_Max_2699_365D_OFF")</f>
        <v>AOV_Max_2699_365D_OFF</v>
      </c>
      <c r="I398" s="212" t="str">
        <f>IFERROR(__xludf.DUMMYFUNCTION("""COMPUTED_VALUE"""),"Offline Customers with AOV less than 2999 &gt; Last 6 Months")</f>
        <v>Offline Customers with AOV less than 2999 &gt; Last 6 Months</v>
      </c>
      <c r="J398" s="213">
        <f>IFERROR(__xludf.DUMMYFUNCTION("""COMPUTED_VALUE"""),112321.0)</f>
        <v>112321</v>
      </c>
      <c r="K398" s="213">
        <f>IFERROR(__xludf.DUMMYFUNCTION("""COMPUTED_VALUE"""),53106.0)</f>
        <v>53106</v>
      </c>
      <c r="L398" s="214">
        <f>IFERROR(__xludf.DUMMYFUNCTION("""COMPUTED_VALUE"""),0.4727)</f>
        <v>0.4727</v>
      </c>
      <c r="M398" s="214">
        <f>IFERROR(__xludf.DUMMYFUNCTION("""COMPUTED_VALUE"""),20864.0)</f>
        <v>20864</v>
      </c>
      <c r="N398" s="214">
        <f>IFERROR(__xludf.DUMMYFUNCTION("""COMPUTED_VALUE"""),0.3929)</f>
        <v>0.3929</v>
      </c>
      <c r="O398" s="213">
        <f>IFERROR(__xludf.DUMMYFUNCTION("""COMPUTED_VALUE"""),1966.0)</f>
        <v>1966</v>
      </c>
      <c r="P398" s="213">
        <f>IFERROR(__xludf.DUMMYFUNCTION("""COMPUTED_VALUE"""),1885.0)</f>
        <v>1885</v>
      </c>
      <c r="Q398" s="214">
        <f>IFERROR(__xludf.DUMMYFUNCTION("""COMPUTED_VALUE"""),0.04)</f>
        <v>0.04</v>
      </c>
      <c r="R398" s="214">
        <f>IFERROR(__xludf.DUMMYFUNCTION("""COMPUTED_VALUE"""),0.09)</f>
        <v>0.09</v>
      </c>
      <c r="S398" s="101">
        <f>IFERROR(__xludf.DUMMYFUNCTION("""COMPUTED_VALUE"""),11.0)</f>
        <v>11</v>
      </c>
      <c r="T398" s="101">
        <f>IFERROR(__xludf.DUMMYFUNCTION("""COMPUTED_VALUE"""),18.0)</f>
        <v>18</v>
      </c>
      <c r="U398" s="270">
        <f>IFERROR(__xludf.DUMMYFUNCTION("""COMPUTED_VALUE"""),28139.0)</f>
        <v>28139</v>
      </c>
      <c r="V398" s="271" t="str">
        <f>IFERROR(__xludf.DUMMYFUNCTION("""COMPUTED_VALUE"""),"offline")</f>
        <v>offline</v>
      </c>
      <c r="W398" s="272" t="str">
        <f>IFERROR(__xludf.DUMMYFUNCTION("""COMPUTED_VALUE"""),"simple")</f>
        <v>simple</v>
      </c>
      <c r="X398" s="272" t="str">
        <f>IFERROR(__xludf.DUMMYFUNCTION("""COMPUTED_VALUE"""),"AOV &gt; 2699")</f>
        <v>AOV &gt; 2699</v>
      </c>
      <c r="Y398" s="272" t="str">
        <f>IFERROR(__xludf.DUMMYFUNCTION("""COMPUTED_VALUE"""),"4-6 April")</f>
        <v>4-6 April</v>
      </c>
      <c r="Z398" s="272" t="str">
        <f>IFERROR(__xludf.DUMMYFUNCTION("""COMPUTED_VALUE"""),"69ce02da639d3ad3b4ffbcac")</f>
        <v>69ce02da639d3ad3b4ffbcac</v>
      </c>
      <c r="AA398" s="272">
        <f>IFERROR(__xludf.DUMMYFUNCTION("""COMPUTED_VALUE"""),14.0)</f>
        <v>14</v>
      </c>
      <c r="AB398" s="272"/>
      <c r="AC398" s="272">
        <f>IFERROR(__xludf.DUMMYFUNCTION("""COMPUTED_VALUE"""),14.0)</f>
        <v>14</v>
      </c>
      <c r="AD398" s="272">
        <f>IFERROR(__xludf.DUMMYFUNCTION("""COMPUTED_VALUE"""),63572.0)</f>
        <v>63572</v>
      </c>
      <c r="AE398" s="272"/>
      <c r="AF398" s="272">
        <f>IFERROR(__xludf.DUMMYFUNCTION("""COMPUTED_VALUE"""),63572.0)</f>
        <v>63572</v>
      </c>
      <c r="AG398" s="208"/>
      <c r="AH398" s="208"/>
      <c r="AI398" s="208"/>
      <c r="AJ398" s="208"/>
      <c r="AK398" s="208"/>
    </row>
    <row r="399" hidden="1">
      <c r="A399" s="209">
        <f>IFERROR(__xludf.DUMMYFUNCTION("""COMPUTED_VALUE"""),46116.0)</f>
        <v>46116</v>
      </c>
      <c r="B399" s="210">
        <f>IFERROR(__xludf.DUMMYFUNCTION("""COMPUTED_VALUE"""),0.5)</f>
        <v>0.5</v>
      </c>
      <c r="C399" s="211" t="str">
        <f>IFERROR(__xludf.DUMMYFUNCTION("""COMPUTED_VALUE"""),"Whatsapp")</f>
        <v>Whatsapp</v>
      </c>
      <c r="D399" s="211" t="str">
        <f>IFERROR(__xludf.DUMMYFUNCTION("""COMPUTED_VALUE"""),"Promotional")</f>
        <v>Promotional</v>
      </c>
      <c r="E399" s="211" t="str">
        <f>IFERROR(__xludf.DUMMYFUNCTION("""COMPUTED_VALUE"""),"BBW")</f>
        <v>BBW</v>
      </c>
      <c r="F399" s="211" t="str">
        <f>IFERROR(__xludf.DUMMYFUNCTION("""COMPUTED_VALUE"""),"B1G1")</f>
        <v>B1G1</v>
      </c>
      <c r="G399" s="212" t="str">
        <f>IFERROR(__xludf.DUMMYFUNCTION("""COMPUTED_VALUE"""),"bbw_on_wa_4april_buy1get1_bc_carousel")</f>
        <v>bbw_on_wa_4april_buy1get1_bc_carousel</v>
      </c>
      <c r="H399" s="212" t="str">
        <f>IFERROR(__xludf.DUMMYFUNCTION("""COMPUTED_VALUE"""),"BC_2_Times_ON OR AGIPL_Internal OR BBW_Internal")</f>
        <v>BC_2_Times_ON OR AGIPL_Internal OR BBW_Internal</v>
      </c>
      <c r="I399" s="212" t="str">
        <f>IFERROR(__xludf.DUMMYFUNCTION("""COMPUTED_VALUE"""),"No brief")</f>
        <v>No brief</v>
      </c>
      <c r="J399" s="213">
        <f>IFERROR(__xludf.DUMMYFUNCTION("""COMPUTED_VALUE"""),19016.0)</f>
        <v>19016</v>
      </c>
      <c r="K399" s="213">
        <f>IFERROR(__xludf.DUMMYFUNCTION("""COMPUTED_VALUE"""),8329.0)</f>
        <v>8329</v>
      </c>
      <c r="L399" s="214">
        <f>IFERROR(__xludf.DUMMYFUNCTION("""COMPUTED_VALUE"""),0.438)</f>
        <v>0.438</v>
      </c>
      <c r="M399" s="214">
        <f>IFERROR(__xludf.DUMMYFUNCTION("""COMPUTED_VALUE"""),3712.0)</f>
        <v>3712</v>
      </c>
      <c r="N399" s="214">
        <f>IFERROR(__xludf.DUMMYFUNCTION("""COMPUTED_VALUE"""),0.4456)</f>
        <v>0.4456</v>
      </c>
      <c r="O399" s="213">
        <f>IFERROR(__xludf.DUMMYFUNCTION("""COMPUTED_VALUE"""),399.0)</f>
        <v>399</v>
      </c>
      <c r="P399" s="213">
        <f>IFERROR(__xludf.DUMMYFUNCTION("""COMPUTED_VALUE"""),373.0)</f>
        <v>373</v>
      </c>
      <c r="Q399" s="214">
        <f>IFERROR(__xludf.DUMMYFUNCTION("""COMPUTED_VALUE"""),0.0448)</f>
        <v>0.0448</v>
      </c>
      <c r="R399" s="214">
        <f>IFERROR(__xludf.DUMMYFUNCTION("""COMPUTED_VALUE"""),0.1006)</f>
        <v>0.1006</v>
      </c>
      <c r="S399" s="101">
        <f>IFERROR(__xludf.DUMMYFUNCTION("""COMPUTED_VALUE"""),10.0)</f>
        <v>10</v>
      </c>
      <c r="T399" s="101">
        <f>IFERROR(__xludf.DUMMYFUNCTION("""COMPUTED_VALUE"""),17.0)</f>
        <v>17</v>
      </c>
      <c r="U399" s="270">
        <f>IFERROR(__xludf.DUMMYFUNCTION("""COMPUTED_VALUE"""),35399.0)</f>
        <v>35399</v>
      </c>
      <c r="V399" s="271" t="str">
        <f>IFERROR(__xludf.DUMMYFUNCTION("""COMPUTED_VALUE"""),"online")</f>
        <v>online</v>
      </c>
      <c r="W399" s="272" t="str">
        <f>IFERROR(__xludf.DUMMYFUNCTION("""COMPUTED_VALUE"""),"carousel")</f>
        <v>carousel</v>
      </c>
      <c r="X399" s="272" t="str">
        <f>IFERROR(__xludf.DUMMYFUNCTION("""COMPUTED_VALUE"""),"No brief")</f>
        <v>No brief</v>
      </c>
      <c r="Y399" s="272" t="str">
        <f>IFERROR(__xludf.DUMMYFUNCTION("""COMPUTED_VALUE"""),"4-6 April")</f>
        <v>4-6 April</v>
      </c>
      <c r="Z399" s="272" t="str">
        <f>IFERROR(__xludf.DUMMYFUNCTION("""COMPUTED_VALUE"""),"69ce083c93ed432806795ff6")</f>
        <v>69ce083c93ed432806795ff6</v>
      </c>
      <c r="AA399" s="272">
        <f>IFERROR(__xludf.DUMMYFUNCTION("""COMPUTED_VALUE"""),4.0)</f>
        <v>4</v>
      </c>
      <c r="AB399" s="272">
        <f>IFERROR(__xludf.DUMMYFUNCTION("""COMPUTED_VALUE"""),4.0)</f>
        <v>4</v>
      </c>
      <c r="AC399" s="272"/>
      <c r="AD399" s="272">
        <f>IFERROR(__xludf.DUMMYFUNCTION("""COMPUTED_VALUE"""),13246.0)</f>
        <v>13246</v>
      </c>
      <c r="AE399" s="272">
        <f>IFERROR(__xludf.DUMMYFUNCTION("""COMPUTED_VALUE"""),13246.0)</f>
        <v>13246</v>
      </c>
      <c r="AF399" s="272"/>
      <c r="AG399" s="208"/>
      <c r="AH399" s="208"/>
      <c r="AI399" s="208"/>
      <c r="AJ399" s="208"/>
      <c r="AK399" s="208"/>
    </row>
    <row r="400" hidden="1">
      <c r="A400" s="209">
        <f>IFERROR(__xludf.DUMMYFUNCTION("""COMPUTED_VALUE"""),46116.0)</f>
        <v>46116</v>
      </c>
      <c r="B400" s="210">
        <f>IFERROR(__xludf.DUMMYFUNCTION("""COMPUTED_VALUE"""),0.5)</f>
        <v>0.5</v>
      </c>
      <c r="C400" s="211" t="str">
        <f>IFERROR(__xludf.DUMMYFUNCTION("""COMPUTED_VALUE"""),"Whatsapp")</f>
        <v>Whatsapp</v>
      </c>
      <c r="D400" s="211" t="str">
        <f>IFERROR(__xludf.DUMMYFUNCTION("""COMPUTED_VALUE"""),"Promotional")</f>
        <v>Promotional</v>
      </c>
      <c r="E400" s="211" t="str">
        <f>IFERROR(__xludf.DUMMYFUNCTION("""COMPUTED_VALUE"""),"BBW")</f>
        <v>BBW</v>
      </c>
      <c r="F400" s="211" t="str">
        <f>IFERROR(__xludf.DUMMYFUNCTION("""COMPUTED_VALUE"""),"B1G1")</f>
        <v>B1G1</v>
      </c>
      <c r="G400" s="212" t="str">
        <f>IFERROR(__xludf.DUMMYFUNCTION("""COMPUTED_VALUE"""),"bbw_on_wa_4april_buy1get1_soaps_carousel")</f>
        <v>bbw_on_wa_4april_buy1get1_soaps_carousel</v>
      </c>
      <c r="H400" s="212" t="str">
        <f>IFERROR(__xludf.DUMMYFUNCTION("""COMPUTED_VALUE"""),"Soaps_Sanitisers_2_Times_ON")</f>
        <v>Soaps_Sanitisers_2_Times_ON</v>
      </c>
      <c r="I400" s="212" t="str">
        <f>IFERROR(__xludf.DUMMYFUNCTION("""COMPUTED_VALUE"""),"No brief")</f>
        <v>No brief</v>
      </c>
      <c r="J400" s="213">
        <f>IFERROR(__xludf.DUMMYFUNCTION("""COMPUTED_VALUE"""),2891.0)</f>
        <v>2891</v>
      </c>
      <c r="K400" s="213">
        <f>IFERROR(__xludf.DUMMYFUNCTION("""COMPUTED_VALUE"""),984.0)</f>
        <v>984</v>
      </c>
      <c r="L400" s="214">
        <f>IFERROR(__xludf.DUMMYFUNCTION("""COMPUTED_VALUE"""),0.3404)</f>
        <v>0.3404</v>
      </c>
      <c r="M400" s="214">
        <f>IFERROR(__xludf.DUMMYFUNCTION("""COMPUTED_VALUE"""),429.0)</f>
        <v>429</v>
      </c>
      <c r="N400" s="214">
        <f>IFERROR(__xludf.DUMMYFUNCTION("""COMPUTED_VALUE"""),0.436)</f>
        <v>0.436</v>
      </c>
      <c r="O400" s="213">
        <f>IFERROR(__xludf.DUMMYFUNCTION("""COMPUTED_VALUE"""),62.0)</f>
        <v>62</v>
      </c>
      <c r="P400" s="213">
        <f>IFERROR(__xludf.DUMMYFUNCTION("""COMPUTED_VALUE"""),55.0)</f>
        <v>55</v>
      </c>
      <c r="Q400" s="214">
        <f>IFERROR(__xludf.DUMMYFUNCTION("""COMPUTED_VALUE"""),0.0559)</f>
        <v>0.0559</v>
      </c>
      <c r="R400" s="214">
        <f>IFERROR(__xludf.DUMMYFUNCTION("""COMPUTED_VALUE"""),0.1282)</f>
        <v>0.1282</v>
      </c>
      <c r="S400" s="101">
        <f>IFERROR(__xludf.DUMMYFUNCTION("""COMPUTED_VALUE"""),3.0)</f>
        <v>3</v>
      </c>
      <c r="T400" s="101">
        <f>IFERROR(__xludf.DUMMYFUNCTION("""COMPUTED_VALUE"""),4.0)</f>
        <v>4</v>
      </c>
      <c r="U400" s="270">
        <f>IFERROR(__xludf.DUMMYFUNCTION("""COMPUTED_VALUE"""),4924.0)</f>
        <v>4924</v>
      </c>
      <c r="V400" s="271" t="str">
        <f>IFERROR(__xludf.DUMMYFUNCTION("""COMPUTED_VALUE"""),"online")</f>
        <v>online</v>
      </c>
      <c r="W400" s="272" t="str">
        <f>IFERROR(__xludf.DUMMYFUNCTION("""COMPUTED_VALUE"""),"carousel")</f>
        <v>carousel</v>
      </c>
      <c r="X400" s="272" t="str">
        <f>IFERROR(__xludf.DUMMYFUNCTION("""COMPUTED_VALUE"""),"No brief")</f>
        <v>No brief</v>
      </c>
      <c r="Y400" s="272" t="str">
        <f>IFERROR(__xludf.DUMMYFUNCTION("""COMPUTED_VALUE"""),"4-6 April")</f>
        <v>4-6 April</v>
      </c>
      <c r="Z400" s="272" t="str">
        <f>IFERROR(__xludf.DUMMYFUNCTION("""COMPUTED_VALUE"""),"69ce418d5bc083dd48351883")</f>
        <v>69ce418d5bc083dd48351883</v>
      </c>
      <c r="AA400" s="272">
        <f>IFERROR(__xludf.DUMMYFUNCTION("""COMPUTED_VALUE"""),56.0)</f>
        <v>56</v>
      </c>
      <c r="AB400" s="272">
        <f>IFERROR(__xludf.DUMMYFUNCTION("""COMPUTED_VALUE"""),56.0)</f>
        <v>56</v>
      </c>
      <c r="AC400" s="272"/>
      <c r="AD400" s="272">
        <f>IFERROR(__xludf.DUMMYFUNCTION("""COMPUTED_VALUE"""),175809.0)</f>
        <v>175809</v>
      </c>
      <c r="AE400" s="272">
        <f>IFERROR(__xludf.DUMMYFUNCTION("""COMPUTED_VALUE"""),175809.0)</f>
        <v>175809</v>
      </c>
      <c r="AF400" s="272"/>
      <c r="AG400" s="208"/>
      <c r="AH400" s="208"/>
      <c r="AI400" s="208"/>
      <c r="AJ400" s="208"/>
      <c r="AK400" s="208"/>
    </row>
    <row r="401" hidden="1">
      <c r="A401" s="209">
        <f>IFERROR(__xludf.DUMMYFUNCTION("""COMPUTED_VALUE"""),46116.0)</f>
        <v>46116</v>
      </c>
      <c r="B401" s="210">
        <f>IFERROR(__xludf.DUMMYFUNCTION("""COMPUTED_VALUE"""),0.5)</f>
        <v>0.5</v>
      </c>
      <c r="C401" s="211" t="str">
        <f>IFERROR(__xludf.DUMMYFUNCTION("""COMPUTED_VALUE"""),"Whatsapp")</f>
        <v>Whatsapp</v>
      </c>
      <c r="D401" s="211" t="str">
        <f>IFERROR(__xludf.DUMMYFUNCTION("""COMPUTED_VALUE"""),"Promotional")</f>
        <v>Promotional</v>
      </c>
      <c r="E401" s="211" t="str">
        <f>IFERROR(__xludf.DUMMYFUNCTION("""COMPUTED_VALUE"""),"BBW")</f>
        <v>BBW</v>
      </c>
      <c r="F401" s="211" t="str">
        <f>IFERROR(__xludf.DUMMYFUNCTION("""COMPUTED_VALUE"""),"B1G1")</f>
        <v>B1G1</v>
      </c>
      <c r="G401" s="212" t="str">
        <f>IFERROR(__xludf.DUMMYFUNCTION("""COMPUTED_VALUE"""),"bbw_on_wa_4april_buy1get1_mens_carousel")</f>
        <v>bbw_on_wa_4april_buy1get1_mens_carousel</v>
      </c>
      <c r="H401" s="212" t="str">
        <f>IFERROR(__xludf.DUMMYFUNCTION("""COMPUTED_VALUE"""),"Mens_2_Times_ON")</f>
        <v>Mens_2_Times_ON</v>
      </c>
      <c r="I401" s="212" t="str">
        <f>IFERROR(__xludf.DUMMYFUNCTION("""COMPUTED_VALUE"""),"No brief")</f>
        <v>No brief</v>
      </c>
      <c r="J401" s="213">
        <f>IFERROR(__xludf.DUMMYFUNCTION("""COMPUTED_VALUE"""),1142.0)</f>
        <v>1142</v>
      </c>
      <c r="K401" s="213">
        <f>IFERROR(__xludf.DUMMYFUNCTION("""COMPUTED_VALUE"""),500.0)</f>
        <v>500</v>
      </c>
      <c r="L401" s="214">
        <f>IFERROR(__xludf.DUMMYFUNCTION("""COMPUTED_VALUE"""),0.4378)</f>
        <v>0.4378</v>
      </c>
      <c r="M401" s="214">
        <f>IFERROR(__xludf.DUMMYFUNCTION("""COMPUTED_VALUE"""),194.0)</f>
        <v>194</v>
      </c>
      <c r="N401" s="214">
        <f>IFERROR(__xludf.DUMMYFUNCTION("""COMPUTED_VALUE"""),0.388)</f>
        <v>0.388</v>
      </c>
      <c r="O401" s="213">
        <f>IFERROR(__xludf.DUMMYFUNCTION("""COMPUTED_VALUE"""),23.0)</f>
        <v>23</v>
      </c>
      <c r="P401" s="213">
        <f>IFERROR(__xludf.DUMMYFUNCTION("""COMPUTED_VALUE"""),22.0)</f>
        <v>22</v>
      </c>
      <c r="Q401" s="214">
        <f>IFERROR(__xludf.DUMMYFUNCTION("""COMPUTED_VALUE"""),0.044)</f>
        <v>0.044</v>
      </c>
      <c r="R401" s="214">
        <f>IFERROR(__xludf.DUMMYFUNCTION("""COMPUTED_VALUE"""),0.1134)</f>
        <v>0.1134</v>
      </c>
      <c r="S401" s="101">
        <f>IFERROR(__xludf.DUMMYFUNCTION("""COMPUTED_VALUE"""),0.0)</f>
        <v>0</v>
      </c>
      <c r="T401" s="101">
        <f>IFERROR(__xludf.DUMMYFUNCTION("""COMPUTED_VALUE"""),1.0)</f>
        <v>1</v>
      </c>
      <c r="U401" s="270">
        <f>IFERROR(__xludf.DUMMYFUNCTION("""COMPUTED_VALUE"""),0.0)</f>
        <v>0</v>
      </c>
      <c r="V401" s="271" t="str">
        <f>IFERROR(__xludf.DUMMYFUNCTION("""COMPUTED_VALUE"""),"online")</f>
        <v>online</v>
      </c>
      <c r="W401" s="272" t="str">
        <f>IFERROR(__xludf.DUMMYFUNCTION("""COMPUTED_VALUE"""),"carousel")</f>
        <v>carousel</v>
      </c>
      <c r="X401" s="272" t="str">
        <f>IFERROR(__xludf.DUMMYFUNCTION("""COMPUTED_VALUE"""),"No brief")</f>
        <v>No brief</v>
      </c>
      <c r="Y401" s="272" t="str">
        <f>IFERROR(__xludf.DUMMYFUNCTION("""COMPUTED_VALUE"""),"4-6 April")</f>
        <v>4-6 April</v>
      </c>
      <c r="Z401" s="272" t="str">
        <f>IFERROR(__xludf.DUMMYFUNCTION("""COMPUTED_VALUE"""),"69ce42894040d387e5e9da5b")</f>
        <v>69ce42894040d387e5e9da5b</v>
      </c>
      <c r="AA401" s="272">
        <f>IFERROR(__xludf.DUMMYFUNCTION("""COMPUTED_VALUE"""),22.0)</f>
        <v>22</v>
      </c>
      <c r="AB401" s="272">
        <f>IFERROR(__xludf.DUMMYFUNCTION("""COMPUTED_VALUE"""),22.0)</f>
        <v>22</v>
      </c>
      <c r="AC401" s="272"/>
      <c r="AD401" s="272">
        <f>IFERROR(__xludf.DUMMYFUNCTION("""COMPUTED_VALUE"""),100268.0)</f>
        <v>100268</v>
      </c>
      <c r="AE401" s="272">
        <f>IFERROR(__xludf.DUMMYFUNCTION("""COMPUTED_VALUE"""),100268.0)</f>
        <v>100268</v>
      </c>
      <c r="AF401" s="272"/>
      <c r="AG401" s="208"/>
      <c r="AH401" s="208"/>
      <c r="AI401" s="208"/>
      <c r="AJ401" s="208"/>
      <c r="AK401" s="208"/>
    </row>
    <row r="402" hidden="1">
      <c r="A402" s="209">
        <f>IFERROR(__xludf.DUMMYFUNCTION("""COMPUTED_VALUE"""),46116.0)</f>
        <v>46116</v>
      </c>
      <c r="B402" s="210">
        <f>IFERROR(__xludf.DUMMYFUNCTION("""COMPUTED_VALUE"""),0.5)</f>
        <v>0.5</v>
      </c>
      <c r="C402" s="211" t="str">
        <f>IFERROR(__xludf.DUMMYFUNCTION("""COMPUTED_VALUE"""),"Whatsapp")</f>
        <v>Whatsapp</v>
      </c>
      <c r="D402" s="211" t="str">
        <f>IFERROR(__xludf.DUMMYFUNCTION("""COMPUTED_VALUE"""),"Promotional")</f>
        <v>Promotional</v>
      </c>
      <c r="E402" s="211" t="str">
        <f>IFERROR(__xludf.DUMMYFUNCTION("""COMPUTED_VALUE"""),"BBW")</f>
        <v>BBW</v>
      </c>
      <c r="F402" s="211" t="str">
        <f>IFERROR(__xludf.DUMMYFUNCTION("""COMPUTED_VALUE"""),"B1G1")</f>
        <v>B1G1</v>
      </c>
      <c r="G402" s="212" t="str">
        <f>IFERROR(__xludf.DUMMYFUNCTION("""COMPUTED_VALUE"""),"bbw_on_wa_4april_buy1get1_candles_carousel")</f>
        <v>bbw_on_wa_4april_buy1get1_candles_carousel</v>
      </c>
      <c r="H402" s="212" t="str">
        <f>IFERROR(__xludf.DUMMYFUNCTION("""COMPUTED_VALUE"""),"Candles_2_Times_ON")</f>
        <v>Candles_2_Times_ON</v>
      </c>
      <c r="I402" s="212" t="str">
        <f>IFERROR(__xludf.DUMMYFUNCTION("""COMPUTED_VALUE"""),"No brief")</f>
        <v>No brief</v>
      </c>
      <c r="J402" s="213">
        <f>IFERROR(__xludf.DUMMYFUNCTION("""COMPUTED_VALUE"""),2447.0)</f>
        <v>2447</v>
      </c>
      <c r="K402" s="213">
        <f>IFERROR(__xludf.DUMMYFUNCTION("""COMPUTED_VALUE"""),916.0)</f>
        <v>916</v>
      </c>
      <c r="L402" s="214">
        <f>IFERROR(__xludf.DUMMYFUNCTION("""COMPUTED_VALUE"""),0.3745)</f>
        <v>0.3745</v>
      </c>
      <c r="M402" s="214">
        <f>IFERROR(__xludf.DUMMYFUNCTION("""COMPUTED_VALUE"""),287.0)</f>
        <v>287</v>
      </c>
      <c r="N402" s="214">
        <f>IFERROR(__xludf.DUMMYFUNCTION("""COMPUTED_VALUE"""),0.3133)</f>
        <v>0.3133</v>
      </c>
      <c r="O402" s="213">
        <f>IFERROR(__xludf.DUMMYFUNCTION("""COMPUTED_VALUE"""),46.0)</f>
        <v>46</v>
      </c>
      <c r="P402" s="213">
        <f>IFERROR(__xludf.DUMMYFUNCTION("""COMPUTED_VALUE"""),43.0)</f>
        <v>43</v>
      </c>
      <c r="Q402" s="214">
        <f>IFERROR(__xludf.DUMMYFUNCTION("""COMPUTED_VALUE"""),0.05)</f>
        <v>0.05</v>
      </c>
      <c r="R402" s="214">
        <f>IFERROR(__xludf.DUMMYFUNCTION("""COMPUTED_VALUE"""),0.15)</f>
        <v>0.15</v>
      </c>
      <c r="S402" s="101">
        <f>IFERROR(__xludf.DUMMYFUNCTION("""COMPUTED_VALUE"""),1.0)</f>
        <v>1</v>
      </c>
      <c r="T402" s="101">
        <f>IFERROR(__xludf.DUMMYFUNCTION("""COMPUTED_VALUE"""),2.0)</f>
        <v>2</v>
      </c>
      <c r="U402" s="270">
        <f>IFERROR(__xludf.DUMMYFUNCTION("""COMPUTED_VALUE"""),2069.0)</f>
        <v>2069</v>
      </c>
      <c r="V402" s="271" t="str">
        <f>IFERROR(__xludf.DUMMYFUNCTION("""COMPUTED_VALUE"""),"online")</f>
        <v>online</v>
      </c>
      <c r="W402" s="272" t="str">
        <f>IFERROR(__xludf.DUMMYFUNCTION("""COMPUTED_VALUE"""),"carousel")</f>
        <v>carousel</v>
      </c>
      <c r="X402" s="272" t="str">
        <f>IFERROR(__xludf.DUMMYFUNCTION("""COMPUTED_VALUE"""),"No brief")</f>
        <v>No brief</v>
      </c>
      <c r="Y402" s="272" t="str">
        <f>IFERROR(__xludf.DUMMYFUNCTION("""COMPUTED_VALUE"""),"4-6 April")</f>
        <v>4-6 April</v>
      </c>
      <c r="Z402" s="272" t="str">
        <f>IFERROR(__xludf.DUMMYFUNCTION("""COMPUTED_VALUE"""),"69ce43285c8f15e62612d522")</f>
        <v>69ce43285c8f15e62612d522</v>
      </c>
      <c r="AA402" s="272">
        <f>IFERROR(__xludf.DUMMYFUNCTION("""COMPUTED_VALUE"""),1.0)</f>
        <v>1</v>
      </c>
      <c r="AB402" s="272">
        <f>IFERROR(__xludf.DUMMYFUNCTION("""COMPUTED_VALUE"""),1.0)</f>
        <v>1</v>
      </c>
      <c r="AC402" s="272"/>
      <c r="AD402" s="272">
        <f>IFERROR(__xludf.DUMMYFUNCTION("""COMPUTED_VALUE"""),4999.0)</f>
        <v>4999</v>
      </c>
      <c r="AE402" s="272">
        <f>IFERROR(__xludf.DUMMYFUNCTION("""COMPUTED_VALUE"""),4999.0)</f>
        <v>4999</v>
      </c>
      <c r="AF402" s="272"/>
      <c r="AG402" s="208"/>
      <c r="AH402" s="208"/>
      <c r="AI402" s="208"/>
      <c r="AJ402" s="208"/>
      <c r="AK402" s="208"/>
    </row>
    <row r="403" hidden="1">
      <c r="A403" s="209">
        <f>IFERROR(__xludf.DUMMYFUNCTION("""COMPUTED_VALUE"""),46116.0)</f>
        <v>46116</v>
      </c>
      <c r="B403" s="210">
        <f>IFERROR(__xludf.DUMMYFUNCTION("""COMPUTED_VALUE"""),0.8333333333321207)</f>
        <v>0.8333333333</v>
      </c>
      <c r="C403" s="211" t="str">
        <f>IFERROR(__xludf.DUMMYFUNCTION("""COMPUTED_VALUE"""),"Sms")</f>
        <v>Sms</v>
      </c>
      <c r="D403" s="211" t="str">
        <f>IFERROR(__xludf.DUMMYFUNCTION("""COMPUTED_VALUE"""),"Fallback Campaign")</f>
        <v>Fallback Campaign</v>
      </c>
      <c r="E403" s="211" t="str">
        <f>IFERROR(__xludf.DUMMYFUNCTION("""COMPUTED_VALUE"""),"BBW")</f>
        <v>BBW</v>
      </c>
      <c r="F403" s="211" t="str">
        <f>IFERROR(__xludf.DUMMYFUNCTION("""COMPUTED_VALUE"""),"B1G1")</f>
        <v>B1G1</v>
      </c>
      <c r="G403" s="212" t="str">
        <f>IFERROR(__xludf.DUMMYFUNCTION("""COMPUTED_VALUE"""),"bbw_offline_smsfb_4april_buy1get1_loyal_lastreminder")</f>
        <v>bbw_offline_smsfb_4april_buy1get1_loyal_lastreminder</v>
      </c>
      <c r="H403" s="212" t="str">
        <f>IFERROR(__xludf.DUMMYFUNCTION("""COMPUTED_VALUE"""),"Loyal_OFF OR AGIPL_Internal OR BBW_Internal")</f>
        <v>Loyal_OFF OR AGIPL_Internal OR BBW_Internal</v>
      </c>
      <c r="I403" s="212" t="str">
        <f>IFERROR(__xludf.DUMMYFUNCTION("""COMPUTED_VALUE"""),"WA Undelivered")</f>
        <v>WA Undelivered</v>
      </c>
      <c r="J403" s="213">
        <f>IFERROR(__xludf.DUMMYFUNCTION("""COMPUTED_VALUE"""),6256.0)</f>
        <v>6256</v>
      </c>
      <c r="K403" s="213">
        <f>IFERROR(__xludf.DUMMYFUNCTION("""COMPUTED_VALUE"""),3328.0)</f>
        <v>3328</v>
      </c>
      <c r="L403" s="214">
        <f>IFERROR(__xludf.DUMMYFUNCTION("""COMPUTED_VALUE"""),0.532)</f>
        <v>0.532</v>
      </c>
      <c r="M403" s="213"/>
      <c r="N403" s="214"/>
      <c r="O403" s="213">
        <f>IFERROR(__xludf.DUMMYFUNCTION("""COMPUTED_VALUE"""),6.0)</f>
        <v>6</v>
      </c>
      <c r="P403" s="213"/>
      <c r="Q403" s="214">
        <f>IFERROR(__xludf.DUMMYFUNCTION("""COMPUTED_VALUE"""),0.0018)</f>
        <v>0.0018</v>
      </c>
      <c r="R403" s="214"/>
      <c r="S403" s="101">
        <f>IFERROR(__xludf.DUMMYFUNCTION("""COMPUTED_VALUE"""),0.0)</f>
        <v>0</v>
      </c>
      <c r="T403" s="101">
        <f>IFERROR(__xludf.DUMMYFUNCTION("""COMPUTED_VALUE"""),0.0)</f>
        <v>0</v>
      </c>
      <c r="U403" s="270">
        <f>IFERROR(__xludf.DUMMYFUNCTION("""COMPUTED_VALUE"""),0.0)</f>
        <v>0</v>
      </c>
      <c r="V403" s="271" t="str">
        <f>IFERROR(__xludf.DUMMYFUNCTION("""COMPUTED_VALUE"""),"offline")</f>
        <v>offline</v>
      </c>
      <c r="W403" s="272" t="str">
        <f>IFERROR(__xludf.DUMMYFUNCTION("""COMPUTED_VALUE"""),"SMS")</f>
        <v>SMS</v>
      </c>
      <c r="X403" s="272" t="str">
        <f>IFERROR(__xludf.DUMMYFUNCTION("""COMPUTED_VALUE"""),"Loyal")</f>
        <v>Loyal</v>
      </c>
      <c r="Y403" s="272" t="str">
        <f>IFERROR(__xludf.DUMMYFUNCTION("""COMPUTED_VALUE"""),"4 April")</f>
        <v>4 April</v>
      </c>
      <c r="Z403" s="272" t="str">
        <f>IFERROR(__xludf.DUMMYFUNCTION("""COMPUTED_VALUE"""),"69ce01336c9016be54122891")</f>
        <v>69ce01336c9016be54122891</v>
      </c>
      <c r="AA403" s="272">
        <f>IFERROR(__xludf.DUMMYFUNCTION("""COMPUTED_VALUE"""),40.0)</f>
        <v>40</v>
      </c>
      <c r="AB403" s="272"/>
      <c r="AC403" s="272">
        <f>IFERROR(__xludf.DUMMYFUNCTION("""COMPUTED_VALUE"""),40.0)</f>
        <v>40</v>
      </c>
      <c r="AD403" s="272">
        <f>IFERROR(__xludf.DUMMYFUNCTION("""COMPUTED_VALUE"""),192091.0)</f>
        <v>192091</v>
      </c>
      <c r="AE403" s="272"/>
      <c r="AF403" s="272">
        <f>IFERROR(__xludf.DUMMYFUNCTION("""COMPUTED_VALUE"""),192091.0)</f>
        <v>192091</v>
      </c>
      <c r="AG403" s="208"/>
      <c r="AH403" s="208"/>
      <c r="AI403" s="208"/>
      <c r="AJ403" s="208"/>
      <c r="AK403" s="208"/>
    </row>
    <row r="404" hidden="1">
      <c r="A404" s="209">
        <f>IFERROR(__xludf.DUMMYFUNCTION("""COMPUTED_VALUE"""),46116.0)</f>
        <v>46116</v>
      </c>
      <c r="B404" s="210">
        <f>IFERROR(__xludf.DUMMYFUNCTION("""COMPUTED_VALUE"""),0.8333333333321207)</f>
        <v>0.8333333333</v>
      </c>
      <c r="C404" s="211" t="str">
        <f>IFERROR(__xludf.DUMMYFUNCTION("""COMPUTED_VALUE"""),"Sms")</f>
        <v>Sms</v>
      </c>
      <c r="D404" s="211" t="str">
        <f>IFERROR(__xludf.DUMMYFUNCTION("""COMPUTED_VALUE"""),"Fallback Campaign")</f>
        <v>Fallback Campaign</v>
      </c>
      <c r="E404" s="211" t="str">
        <f>IFERROR(__xludf.DUMMYFUNCTION("""COMPUTED_VALUE"""),"BBW")</f>
        <v>BBW</v>
      </c>
      <c r="F404" s="211" t="str">
        <f>IFERROR(__xludf.DUMMYFUNCTION("""COMPUTED_VALUE"""),"B1G1")</f>
        <v>B1G1</v>
      </c>
      <c r="G404" s="212" t="str">
        <f>IFERROR(__xludf.DUMMYFUNCTION("""COMPUTED_VALUE"""),"bbw_offline_smsfb_4april_buy1get1_repeat_lastreminder")</f>
        <v>bbw_offline_smsfb_4april_buy1get1_repeat_lastreminder</v>
      </c>
      <c r="H404" s="212" t="str">
        <f>IFERROR(__xludf.DUMMYFUNCTION("""COMPUTED_VALUE"""),"Repeat_OFF")</f>
        <v>Repeat_OFF</v>
      </c>
      <c r="I404" s="212" t="str">
        <f>IFERROR(__xludf.DUMMYFUNCTION("""COMPUTED_VALUE"""),"WA Undelivered")</f>
        <v>WA Undelivered</v>
      </c>
      <c r="J404" s="213">
        <f>IFERROR(__xludf.DUMMYFUNCTION("""COMPUTED_VALUE"""),11617.0)</f>
        <v>11617</v>
      </c>
      <c r="K404" s="213">
        <f>IFERROR(__xludf.DUMMYFUNCTION("""COMPUTED_VALUE"""),6457.0)</f>
        <v>6457</v>
      </c>
      <c r="L404" s="214">
        <f>IFERROR(__xludf.DUMMYFUNCTION("""COMPUTED_VALUE"""),0.5558)</f>
        <v>0.5558</v>
      </c>
      <c r="M404" s="213"/>
      <c r="N404" s="214"/>
      <c r="O404" s="213">
        <f>IFERROR(__xludf.DUMMYFUNCTION("""COMPUTED_VALUE"""),7.0)</f>
        <v>7</v>
      </c>
      <c r="P404" s="213"/>
      <c r="Q404" s="214">
        <f>IFERROR(__xludf.DUMMYFUNCTION("""COMPUTED_VALUE"""),0.0011)</f>
        <v>0.0011</v>
      </c>
      <c r="R404" s="214"/>
      <c r="S404" s="101">
        <f>IFERROR(__xludf.DUMMYFUNCTION("""COMPUTED_VALUE"""),1.0)</f>
        <v>1</v>
      </c>
      <c r="T404" s="101">
        <f>IFERROR(__xludf.DUMMYFUNCTION("""COMPUTED_VALUE"""),2.0)</f>
        <v>2</v>
      </c>
      <c r="U404" s="270">
        <f>IFERROR(__xludf.DUMMYFUNCTION("""COMPUTED_VALUE"""),748.0)</f>
        <v>748</v>
      </c>
      <c r="V404" s="271" t="str">
        <f>IFERROR(__xludf.DUMMYFUNCTION("""COMPUTED_VALUE"""),"offline")</f>
        <v>offline</v>
      </c>
      <c r="W404" s="272" t="str">
        <f>IFERROR(__xludf.DUMMYFUNCTION("""COMPUTED_VALUE"""),"SMS")</f>
        <v>SMS</v>
      </c>
      <c r="X404" s="272" t="str">
        <f>IFERROR(__xludf.DUMMYFUNCTION("""COMPUTED_VALUE"""),"Repeat")</f>
        <v>Repeat</v>
      </c>
      <c r="Y404" s="272" t="str">
        <f>IFERROR(__xludf.DUMMYFUNCTION("""COMPUTED_VALUE"""),"4 April")</f>
        <v>4 April</v>
      </c>
      <c r="Z404" s="272" t="str">
        <f>IFERROR(__xludf.DUMMYFUNCTION("""COMPUTED_VALUE"""),"69ce020554e0559a2a48a457")</f>
        <v>69ce020554e0559a2a48a457</v>
      </c>
      <c r="AA404" s="272">
        <f>IFERROR(__xludf.DUMMYFUNCTION("""COMPUTED_VALUE"""),31.0)</f>
        <v>31</v>
      </c>
      <c r="AB404" s="272"/>
      <c r="AC404" s="272">
        <f>IFERROR(__xludf.DUMMYFUNCTION("""COMPUTED_VALUE"""),31.0)</f>
        <v>31</v>
      </c>
      <c r="AD404" s="272">
        <f>IFERROR(__xludf.DUMMYFUNCTION("""COMPUTED_VALUE"""),163653.0)</f>
        <v>163653</v>
      </c>
      <c r="AE404" s="272"/>
      <c r="AF404" s="272">
        <f>IFERROR(__xludf.DUMMYFUNCTION("""COMPUTED_VALUE"""),163653.0)</f>
        <v>163653</v>
      </c>
      <c r="AG404" s="208"/>
      <c r="AH404" s="208"/>
      <c r="AI404" s="208"/>
      <c r="AJ404" s="208"/>
      <c r="AK404" s="208"/>
    </row>
    <row r="405" hidden="1">
      <c r="A405" s="209">
        <f>IFERROR(__xludf.DUMMYFUNCTION("""COMPUTED_VALUE"""),46116.0)</f>
        <v>46116</v>
      </c>
      <c r="B405" s="210">
        <f>IFERROR(__xludf.DUMMYFUNCTION("""COMPUTED_VALUE"""),0.8333333333321207)</f>
        <v>0.8333333333</v>
      </c>
      <c r="C405" s="211" t="str">
        <f>IFERROR(__xludf.DUMMYFUNCTION("""COMPUTED_VALUE"""),"Sms")</f>
        <v>Sms</v>
      </c>
      <c r="D405" s="211" t="str">
        <f>IFERROR(__xludf.DUMMYFUNCTION("""COMPUTED_VALUE"""),"Fallback Campaign")</f>
        <v>Fallback Campaign</v>
      </c>
      <c r="E405" s="211" t="str">
        <f>IFERROR(__xludf.DUMMYFUNCTION("""COMPUTED_VALUE"""),"BBW")</f>
        <v>BBW</v>
      </c>
      <c r="F405" s="211" t="str">
        <f>IFERROR(__xludf.DUMMYFUNCTION("""COMPUTED_VALUE"""),"B1G1")</f>
        <v>B1G1</v>
      </c>
      <c r="G405" s="212" t="str">
        <f>IFERROR(__xludf.DUMMYFUNCTION("""COMPUTED_VALUE"""),"bbw_offline_smsfb_4april_buy1get1_bundle_buyers_lastreminder")</f>
        <v>bbw_offline_smsfb_4april_buy1get1_bundle_buyers_lastreminder</v>
      </c>
      <c r="H405" s="212" t="str">
        <f>IFERROR(__xludf.DUMMYFUNCTION("""COMPUTED_VALUE"""),"UPT_Min_3_OFF")</f>
        <v>UPT_Min_3_OFF</v>
      </c>
      <c r="I405" s="212" t="str">
        <f>IFERROR(__xludf.DUMMYFUNCTION("""COMPUTED_VALUE"""),"WA Undelivered")</f>
        <v>WA Undelivered</v>
      </c>
      <c r="J405" s="213">
        <f>IFERROR(__xludf.DUMMYFUNCTION("""COMPUTED_VALUE"""),39436.0)</f>
        <v>39436</v>
      </c>
      <c r="K405" s="213">
        <f>IFERROR(__xludf.DUMMYFUNCTION("""COMPUTED_VALUE"""),21753.0)</f>
        <v>21753</v>
      </c>
      <c r="L405" s="214">
        <f>IFERROR(__xludf.DUMMYFUNCTION("""COMPUTED_VALUE"""),0.5516)</f>
        <v>0.5516</v>
      </c>
      <c r="M405" s="213"/>
      <c r="N405" s="214"/>
      <c r="O405" s="213">
        <f>IFERROR(__xludf.DUMMYFUNCTION("""COMPUTED_VALUE"""),34.0)</f>
        <v>34</v>
      </c>
      <c r="P405" s="213"/>
      <c r="Q405" s="214">
        <f>IFERROR(__xludf.DUMMYFUNCTION("""COMPUTED_VALUE"""),0.0016)</f>
        <v>0.0016</v>
      </c>
      <c r="R405" s="214"/>
      <c r="S405" s="101">
        <f>IFERROR(__xludf.DUMMYFUNCTION("""COMPUTED_VALUE"""),0.0)</f>
        <v>0</v>
      </c>
      <c r="T405" s="101">
        <f>IFERROR(__xludf.DUMMYFUNCTION("""COMPUTED_VALUE"""),1.0)</f>
        <v>1</v>
      </c>
      <c r="U405" s="270">
        <f>IFERROR(__xludf.DUMMYFUNCTION("""COMPUTED_VALUE"""),0.0)</f>
        <v>0</v>
      </c>
      <c r="V405" s="271" t="str">
        <f>IFERROR(__xludf.DUMMYFUNCTION("""COMPUTED_VALUE"""),"offline")</f>
        <v>offline</v>
      </c>
      <c r="W405" s="272" t="str">
        <f>IFERROR(__xludf.DUMMYFUNCTION("""COMPUTED_VALUE"""),"SMS")</f>
        <v>SMS</v>
      </c>
      <c r="X405" s="272" t="str">
        <f>IFERROR(__xludf.DUMMYFUNCTION("""COMPUTED_VALUE"""),"Cart Qty")</f>
        <v>Cart Qty</v>
      </c>
      <c r="Y405" s="272" t="str">
        <f>IFERROR(__xludf.DUMMYFUNCTION("""COMPUTED_VALUE"""),"4 April")</f>
        <v>4 April</v>
      </c>
      <c r="Z405" s="272" t="str">
        <f>IFERROR(__xludf.DUMMYFUNCTION("""COMPUTED_VALUE"""),"69ce02c5ca10c7691f63b7f8")</f>
        <v>69ce02c5ca10c7691f63b7f8</v>
      </c>
      <c r="AA405" s="272">
        <f>IFERROR(__xludf.DUMMYFUNCTION("""COMPUTED_VALUE"""),49.0)</f>
        <v>49</v>
      </c>
      <c r="AB405" s="272"/>
      <c r="AC405" s="272">
        <f>IFERROR(__xludf.DUMMYFUNCTION("""COMPUTED_VALUE"""),49.0)</f>
        <v>49</v>
      </c>
      <c r="AD405" s="272">
        <f>IFERROR(__xludf.DUMMYFUNCTION("""COMPUTED_VALUE"""),190894.0)</f>
        <v>190894</v>
      </c>
      <c r="AE405" s="272"/>
      <c r="AF405" s="272">
        <f>IFERROR(__xludf.DUMMYFUNCTION("""COMPUTED_VALUE"""),190894.0)</f>
        <v>190894</v>
      </c>
      <c r="AG405" s="208"/>
      <c r="AH405" s="208"/>
      <c r="AI405" s="208"/>
      <c r="AJ405" s="208"/>
      <c r="AK405" s="208"/>
    </row>
    <row r="406" hidden="1">
      <c r="A406" s="209">
        <f>IFERROR(__xludf.DUMMYFUNCTION("""COMPUTED_VALUE"""),46116.0)</f>
        <v>46116</v>
      </c>
      <c r="B406" s="210">
        <f>IFERROR(__xludf.DUMMYFUNCTION("""COMPUTED_VALUE"""),0.8333333333321207)</f>
        <v>0.8333333333</v>
      </c>
      <c r="C406" s="211" t="str">
        <f>IFERROR(__xludf.DUMMYFUNCTION("""COMPUTED_VALUE"""),"Sms")</f>
        <v>Sms</v>
      </c>
      <c r="D406" s="211" t="str">
        <f>IFERROR(__xludf.DUMMYFUNCTION("""COMPUTED_VALUE"""),"Fallback Campaign")</f>
        <v>Fallback Campaign</v>
      </c>
      <c r="E406" s="211" t="str">
        <f>IFERROR(__xludf.DUMMYFUNCTION("""COMPUTED_VALUE"""),"BBW")</f>
        <v>BBW</v>
      </c>
      <c r="F406" s="211" t="str">
        <f>IFERROR(__xludf.DUMMYFUNCTION("""COMPUTED_VALUE"""),"B1G1")</f>
        <v>B1G1</v>
      </c>
      <c r="G406" s="212" t="str">
        <f>IFERROR(__xludf.DUMMYFUNCTION("""COMPUTED_VALUE"""),"bbw_offline_smsfb_4april_buy1get1_dormant_lastreminder")</f>
        <v>bbw_offline_smsfb_4april_buy1get1_dormant_lastreminder</v>
      </c>
      <c r="H406" s="212" t="str">
        <f>IFERROR(__xludf.DUMMYFUNCTION("""COMPUTED_VALUE"""),"Dorm_90_365_OFF")</f>
        <v>Dorm_90_365_OFF</v>
      </c>
      <c r="I406" s="212" t="str">
        <f>IFERROR(__xludf.DUMMYFUNCTION("""COMPUTED_VALUE"""),"WA Undelivered")</f>
        <v>WA Undelivered</v>
      </c>
      <c r="J406" s="213">
        <f>IFERROR(__xludf.DUMMYFUNCTION("""COMPUTED_VALUE"""),105725.0)</f>
        <v>105725</v>
      </c>
      <c r="K406" s="213">
        <f>IFERROR(__xludf.DUMMYFUNCTION("""COMPUTED_VALUE"""),61055.0)</f>
        <v>61055</v>
      </c>
      <c r="L406" s="214">
        <f>IFERROR(__xludf.DUMMYFUNCTION("""COMPUTED_VALUE"""),0.5775)</f>
        <v>0.5775</v>
      </c>
      <c r="M406" s="214"/>
      <c r="N406" s="214"/>
      <c r="O406" s="213">
        <f>IFERROR(__xludf.DUMMYFUNCTION("""COMPUTED_VALUE"""),70.0)</f>
        <v>70</v>
      </c>
      <c r="P406" s="213"/>
      <c r="Q406" s="214">
        <f>IFERROR(__xludf.DUMMYFUNCTION("""COMPUTED_VALUE"""),0.0011)</f>
        <v>0.0011</v>
      </c>
      <c r="R406" s="214"/>
      <c r="S406" s="101">
        <f>IFERROR(__xludf.DUMMYFUNCTION("""COMPUTED_VALUE"""),0.0)</f>
        <v>0</v>
      </c>
      <c r="T406" s="101">
        <f>IFERROR(__xludf.DUMMYFUNCTION("""COMPUTED_VALUE"""),3.0)</f>
        <v>3</v>
      </c>
      <c r="U406" s="270">
        <f>IFERROR(__xludf.DUMMYFUNCTION("""COMPUTED_VALUE"""),0.0)</f>
        <v>0</v>
      </c>
      <c r="V406" s="271" t="str">
        <f>IFERROR(__xludf.DUMMYFUNCTION("""COMPUTED_VALUE"""),"offline")</f>
        <v>offline</v>
      </c>
      <c r="W406" s="272" t="str">
        <f>IFERROR(__xludf.DUMMYFUNCTION("""COMPUTED_VALUE"""),"SMS")</f>
        <v>SMS</v>
      </c>
      <c r="X406" s="272" t="str">
        <f>IFERROR(__xludf.DUMMYFUNCTION("""COMPUTED_VALUE"""),"Dormant")</f>
        <v>Dormant</v>
      </c>
      <c r="Y406" s="272" t="str">
        <f>IFERROR(__xludf.DUMMYFUNCTION("""COMPUTED_VALUE"""),"4 April")</f>
        <v>4 April</v>
      </c>
      <c r="Z406" s="272" t="str">
        <f>IFERROR(__xludf.DUMMYFUNCTION("""COMPUTED_VALUE"""),"69ce032fb349bfcfe4028f1c")</f>
        <v>69ce032fb349bfcfe4028f1c</v>
      </c>
      <c r="AA406" s="272">
        <f>IFERROR(__xludf.DUMMYFUNCTION("""COMPUTED_VALUE"""),95.0)</f>
        <v>95</v>
      </c>
      <c r="AB406" s="272"/>
      <c r="AC406" s="272">
        <f>IFERROR(__xludf.DUMMYFUNCTION("""COMPUTED_VALUE"""),95.0)</f>
        <v>95</v>
      </c>
      <c r="AD406" s="272">
        <f>IFERROR(__xludf.DUMMYFUNCTION("""COMPUTED_VALUE"""),313832.0)</f>
        <v>313832</v>
      </c>
      <c r="AE406" s="272"/>
      <c r="AF406" s="272">
        <f>IFERROR(__xludf.DUMMYFUNCTION("""COMPUTED_VALUE"""),313832.0)</f>
        <v>313832</v>
      </c>
      <c r="AG406" s="208"/>
      <c r="AH406" s="208"/>
      <c r="AI406" s="208"/>
      <c r="AJ406" s="208"/>
      <c r="AK406" s="208"/>
    </row>
    <row r="407" hidden="1">
      <c r="A407" s="209">
        <f>IFERROR(__xludf.DUMMYFUNCTION("""COMPUTED_VALUE"""),46116.0)</f>
        <v>46116</v>
      </c>
      <c r="B407" s="210">
        <f>IFERROR(__xludf.DUMMYFUNCTION("""COMPUTED_VALUE"""),0.8333333333321207)</f>
        <v>0.8333333333</v>
      </c>
      <c r="C407" s="211" t="str">
        <f>IFERROR(__xludf.DUMMYFUNCTION("""COMPUTED_VALUE"""),"Sms")</f>
        <v>Sms</v>
      </c>
      <c r="D407" s="211" t="str">
        <f>IFERROR(__xludf.DUMMYFUNCTION("""COMPUTED_VALUE"""),"Fallback Campaign")</f>
        <v>Fallback Campaign</v>
      </c>
      <c r="E407" s="211" t="str">
        <f>IFERROR(__xludf.DUMMYFUNCTION("""COMPUTED_VALUE"""),"BBW")</f>
        <v>BBW</v>
      </c>
      <c r="F407" s="211" t="str">
        <f>IFERROR(__xludf.DUMMYFUNCTION("""COMPUTED_VALUE"""),"B1G1")</f>
        <v>B1G1</v>
      </c>
      <c r="G407" s="212" t="str">
        <f>IFERROR(__xludf.DUMMYFUNCTION("""COMPUTED_VALUE"""),"bbw_offline_smsfb_4april_buy1get1_high_ltv_lastreminder")</f>
        <v>bbw_offline_smsfb_4april_buy1get1_high_ltv_lastreminder</v>
      </c>
      <c r="H407" s="212" t="str">
        <f>IFERROR(__xludf.DUMMYFUNCTION("""COMPUTED_VALUE"""),"LTV_15k_OFF")</f>
        <v>LTV_15k_OFF</v>
      </c>
      <c r="I407" s="212" t="str">
        <f>IFERROR(__xludf.DUMMYFUNCTION("""COMPUTED_VALUE"""),"WA Undelivered")</f>
        <v>WA Undelivered</v>
      </c>
      <c r="J407" s="213">
        <f>IFERROR(__xludf.DUMMYFUNCTION("""COMPUTED_VALUE"""),3835.0)</f>
        <v>3835</v>
      </c>
      <c r="K407" s="213">
        <f>IFERROR(__xludf.DUMMYFUNCTION("""COMPUTED_VALUE"""),1844.0)</f>
        <v>1844</v>
      </c>
      <c r="L407" s="214">
        <f>IFERROR(__xludf.DUMMYFUNCTION("""COMPUTED_VALUE"""),0.4808)</f>
        <v>0.4808</v>
      </c>
      <c r="M407" s="213"/>
      <c r="N407" s="214"/>
      <c r="O407" s="213">
        <f>IFERROR(__xludf.DUMMYFUNCTION("""COMPUTED_VALUE"""),1.0)</f>
        <v>1</v>
      </c>
      <c r="P407" s="213"/>
      <c r="Q407" s="214">
        <f>IFERROR(__xludf.DUMMYFUNCTION("""COMPUTED_VALUE"""),5.0E-4)</f>
        <v>0.0005</v>
      </c>
      <c r="R407" s="214"/>
      <c r="S407" s="101">
        <f>IFERROR(__xludf.DUMMYFUNCTION("""COMPUTED_VALUE"""),0.0)</f>
        <v>0</v>
      </c>
      <c r="T407" s="101">
        <f>IFERROR(__xludf.DUMMYFUNCTION("""COMPUTED_VALUE"""),0.0)</f>
        <v>0</v>
      </c>
      <c r="U407" s="270">
        <f>IFERROR(__xludf.DUMMYFUNCTION("""COMPUTED_VALUE"""),0.0)</f>
        <v>0</v>
      </c>
      <c r="V407" s="271" t="str">
        <f>IFERROR(__xludf.DUMMYFUNCTION("""COMPUTED_VALUE"""),"offline")</f>
        <v>offline</v>
      </c>
      <c r="W407" s="272" t="str">
        <f>IFERROR(__xludf.DUMMYFUNCTION("""COMPUTED_VALUE"""),"SMS")</f>
        <v>SMS</v>
      </c>
      <c r="X407" s="272" t="str">
        <f>IFERROR(__xludf.DUMMYFUNCTION("""COMPUTED_VALUE"""),"LTV")</f>
        <v>LTV</v>
      </c>
      <c r="Y407" s="272" t="str">
        <f>IFERROR(__xludf.DUMMYFUNCTION("""COMPUTED_VALUE"""),"4 April")</f>
        <v>4 April</v>
      </c>
      <c r="Z407" s="272" t="str">
        <f>IFERROR(__xludf.DUMMYFUNCTION("""COMPUTED_VALUE"""),"69ce039dfdd78cb502c532e0")</f>
        <v>69ce039dfdd78cb502c532e0</v>
      </c>
      <c r="AA407" s="272">
        <f>IFERROR(__xludf.DUMMYFUNCTION("""COMPUTED_VALUE"""),0.0)</f>
        <v>0</v>
      </c>
      <c r="AB407" s="272"/>
      <c r="AC407" s="272">
        <f>IFERROR(__xludf.DUMMYFUNCTION("""COMPUTED_VALUE"""),0.0)</f>
        <v>0</v>
      </c>
      <c r="AD407" s="272">
        <f>IFERROR(__xludf.DUMMYFUNCTION("""COMPUTED_VALUE"""),0.0)</f>
        <v>0</v>
      </c>
      <c r="AE407" s="272"/>
      <c r="AF407" s="272">
        <f>IFERROR(__xludf.DUMMYFUNCTION("""COMPUTED_VALUE"""),0.0)</f>
        <v>0</v>
      </c>
      <c r="AG407" s="208"/>
      <c r="AH407" s="208"/>
      <c r="AI407" s="208"/>
      <c r="AJ407" s="208"/>
      <c r="AK407" s="208"/>
    </row>
    <row r="408" hidden="1">
      <c r="A408" s="209">
        <f>IFERROR(__xludf.DUMMYFUNCTION("""COMPUTED_VALUE"""),46116.0)</f>
        <v>46116</v>
      </c>
      <c r="B408" s="210">
        <f>IFERROR(__xludf.DUMMYFUNCTION("""COMPUTED_VALUE"""),0.8333333333321207)</f>
        <v>0.8333333333</v>
      </c>
      <c r="C408" s="211" t="str">
        <f>IFERROR(__xludf.DUMMYFUNCTION("""COMPUTED_VALUE"""),"Sms")</f>
        <v>Sms</v>
      </c>
      <c r="D408" s="211" t="str">
        <f>IFERROR(__xludf.DUMMYFUNCTION("""COMPUTED_VALUE"""),"Fallback Campaign")</f>
        <v>Fallback Campaign</v>
      </c>
      <c r="E408" s="211" t="str">
        <f>IFERROR(__xludf.DUMMYFUNCTION("""COMPUTED_VALUE"""),"BBW")</f>
        <v>BBW</v>
      </c>
      <c r="F408" s="211" t="str">
        <f>IFERROR(__xludf.DUMMYFUNCTION("""COMPUTED_VALUE"""),"B1G1")</f>
        <v>B1G1</v>
      </c>
      <c r="G408" s="212" t="str">
        <f>IFERROR(__xludf.DUMMYFUNCTION("""COMPUTED_VALUE"""),"bbw_offline_smsfb_4april_buy1get1_high_pocket_size_lastreminder")</f>
        <v>bbw_offline_smsfb_4april_buy1get1_high_pocket_size_lastreminder</v>
      </c>
      <c r="H408" s="212" t="str">
        <f>IFERROR(__xludf.DUMMYFUNCTION("""COMPUTED_VALUE"""),"AOV_3999_Min_2_Order_OFF")</f>
        <v>AOV_3999_Min_2_Order_OFF</v>
      </c>
      <c r="I408" s="212" t="str">
        <f>IFERROR(__xludf.DUMMYFUNCTION("""COMPUTED_VALUE"""),"WA Undelivered")</f>
        <v>WA Undelivered</v>
      </c>
      <c r="J408" s="213">
        <f>IFERROR(__xludf.DUMMYFUNCTION("""COMPUTED_VALUE"""),4903.0)</f>
        <v>4903</v>
      </c>
      <c r="K408" s="213">
        <f>IFERROR(__xludf.DUMMYFUNCTION("""COMPUTED_VALUE"""),2503.0)</f>
        <v>2503</v>
      </c>
      <c r="L408" s="214">
        <f>IFERROR(__xludf.DUMMYFUNCTION("""COMPUTED_VALUE"""),0.5105)</f>
        <v>0.5105</v>
      </c>
      <c r="M408" s="213"/>
      <c r="N408" s="214"/>
      <c r="O408" s="213">
        <f>IFERROR(__xludf.DUMMYFUNCTION("""COMPUTED_VALUE"""),3.0)</f>
        <v>3</v>
      </c>
      <c r="P408" s="213"/>
      <c r="Q408" s="214">
        <f>IFERROR(__xludf.DUMMYFUNCTION("""COMPUTED_VALUE"""),0.0012)</f>
        <v>0.0012</v>
      </c>
      <c r="R408" s="214"/>
      <c r="S408" s="101">
        <f>IFERROR(__xludf.DUMMYFUNCTION("""COMPUTED_VALUE"""),0.0)</f>
        <v>0</v>
      </c>
      <c r="T408" s="101">
        <f>IFERROR(__xludf.DUMMYFUNCTION("""COMPUTED_VALUE"""),0.0)</f>
        <v>0</v>
      </c>
      <c r="U408" s="270">
        <f>IFERROR(__xludf.DUMMYFUNCTION("""COMPUTED_VALUE"""),0.0)</f>
        <v>0</v>
      </c>
      <c r="V408" s="271" t="str">
        <f>IFERROR(__xludf.DUMMYFUNCTION("""COMPUTED_VALUE"""),"offline")</f>
        <v>offline</v>
      </c>
      <c r="W408" s="272" t="str">
        <f>IFERROR(__xludf.DUMMYFUNCTION("""COMPUTED_VALUE"""),"SMS")</f>
        <v>SMS</v>
      </c>
      <c r="X408" s="272" t="str">
        <f>IFERROR(__xludf.DUMMYFUNCTION("""COMPUTED_VALUE"""),"Cart Value")</f>
        <v>Cart Value</v>
      </c>
      <c r="Y408" s="272" t="str">
        <f>IFERROR(__xludf.DUMMYFUNCTION("""COMPUTED_VALUE"""),"4 April")</f>
        <v>4 April</v>
      </c>
      <c r="Z408" s="272" t="str">
        <f>IFERROR(__xludf.DUMMYFUNCTION("""COMPUTED_VALUE"""),"69ce04066bbb42d9e2f2da15")</f>
        <v>69ce04066bbb42d9e2f2da15</v>
      </c>
      <c r="AA408" s="272">
        <f>IFERROR(__xludf.DUMMYFUNCTION("""COMPUTED_VALUE"""),6.0)</f>
        <v>6</v>
      </c>
      <c r="AB408" s="272"/>
      <c r="AC408" s="272">
        <f>IFERROR(__xludf.DUMMYFUNCTION("""COMPUTED_VALUE"""),6.0)</f>
        <v>6</v>
      </c>
      <c r="AD408" s="272">
        <f>IFERROR(__xludf.DUMMYFUNCTION("""COMPUTED_VALUE"""),20687.0)</f>
        <v>20687</v>
      </c>
      <c r="AE408" s="272"/>
      <c r="AF408" s="272">
        <f>IFERROR(__xludf.DUMMYFUNCTION("""COMPUTED_VALUE"""),20687.0)</f>
        <v>20687</v>
      </c>
      <c r="AG408" s="208"/>
      <c r="AH408" s="208"/>
      <c r="AI408" s="208"/>
      <c r="AJ408" s="208"/>
      <c r="AK408" s="208"/>
    </row>
    <row r="409" hidden="1">
      <c r="A409" s="209">
        <f>IFERROR(__xludf.DUMMYFUNCTION("""COMPUTED_VALUE"""),46116.0)</f>
        <v>46116</v>
      </c>
      <c r="B409" s="210">
        <f>IFERROR(__xludf.DUMMYFUNCTION("""COMPUTED_VALUE"""),0.8333333333321207)</f>
        <v>0.8333333333</v>
      </c>
      <c r="C409" s="211" t="str">
        <f>IFERROR(__xludf.DUMMYFUNCTION("""COMPUTED_VALUE"""),"Sms")</f>
        <v>Sms</v>
      </c>
      <c r="D409" s="211" t="str">
        <f>IFERROR(__xludf.DUMMYFUNCTION("""COMPUTED_VALUE"""),"Fallback Campaign")</f>
        <v>Fallback Campaign</v>
      </c>
      <c r="E409" s="211" t="str">
        <f>IFERROR(__xludf.DUMMYFUNCTION("""COMPUTED_VALUE"""),"BBW")</f>
        <v>BBW</v>
      </c>
      <c r="F409" s="211" t="str">
        <f>IFERROR(__xludf.DUMMYFUNCTION("""COMPUTED_VALUE"""),"B1G1")</f>
        <v>B1G1</v>
      </c>
      <c r="G409" s="212" t="str">
        <f>IFERROR(__xludf.DUMMYFUNCTION("""COMPUTED_VALUE"""),"bbw_offline_smsfb_4april_buy1get1_aov_relevant_lastreminder")</f>
        <v>bbw_offline_smsfb_4april_buy1get1_aov_relevant_lastreminder</v>
      </c>
      <c r="H409" s="212" t="str">
        <f>IFERROR(__xludf.DUMMYFUNCTION("""COMPUTED_VALUE"""),"AOV_Max_2699_365D_OFF")</f>
        <v>AOV_Max_2699_365D_OFF</v>
      </c>
      <c r="I409" s="212" t="str">
        <f>IFERROR(__xludf.DUMMYFUNCTION("""COMPUTED_VALUE"""),"WA Undelivered")</f>
        <v>WA Undelivered</v>
      </c>
      <c r="J409" s="213">
        <f>IFERROR(__xludf.DUMMYFUNCTION("""COMPUTED_VALUE"""),57023.0)</f>
        <v>57023</v>
      </c>
      <c r="K409" s="213">
        <f>IFERROR(__xludf.DUMMYFUNCTION("""COMPUTED_VALUE"""),34056.0)</f>
        <v>34056</v>
      </c>
      <c r="L409" s="214">
        <f>IFERROR(__xludf.DUMMYFUNCTION("""COMPUTED_VALUE"""),0.5972)</f>
        <v>0.5972</v>
      </c>
      <c r="M409" s="213"/>
      <c r="N409" s="214"/>
      <c r="O409" s="213">
        <f>IFERROR(__xludf.DUMMYFUNCTION("""COMPUTED_VALUE"""),62.0)</f>
        <v>62</v>
      </c>
      <c r="P409" s="213"/>
      <c r="Q409" s="214">
        <f>IFERROR(__xludf.DUMMYFUNCTION("""COMPUTED_VALUE"""),0.0018)</f>
        <v>0.0018</v>
      </c>
      <c r="R409" s="214"/>
      <c r="S409" s="101">
        <f>IFERROR(__xludf.DUMMYFUNCTION("""COMPUTED_VALUE"""),0.0)</f>
        <v>0</v>
      </c>
      <c r="T409" s="101">
        <f>IFERROR(__xludf.DUMMYFUNCTION("""COMPUTED_VALUE"""),1.0)</f>
        <v>1</v>
      </c>
      <c r="U409" s="270">
        <f>IFERROR(__xludf.DUMMYFUNCTION("""COMPUTED_VALUE"""),0.0)</f>
        <v>0</v>
      </c>
      <c r="V409" s="271" t="str">
        <f>IFERROR(__xludf.DUMMYFUNCTION("""COMPUTED_VALUE"""),"offline")</f>
        <v>offline</v>
      </c>
      <c r="W409" s="272" t="str">
        <f>IFERROR(__xludf.DUMMYFUNCTION("""COMPUTED_VALUE"""),"SMS")</f>
        <v>SMS</v>
      </c>
      <c r="X409" s="272" t="str">
        <f>IFERROR(__xludf.DUMMYFUNCTION("""COMPUTED_VALUE"""),"AOV &gt; 2699")</f>
        <v>AOV &gt; 2699</v>
      </c>
      <c r="Y409" s="272" t="str">
        <f>IFERROR(__xludf.DUMMYFUNCTION("""COMPUTED_VALUE"""),"4 April")</f>
        <v>4 April</v>
      </c>
      <c r="Z409" s="272" t="str">
        <f>IFERROR(__xludf.DUMMYFUNCTION("""COMPUTED_VALUE"""),"69ce0475368b576da2e4e45a")</f>
        <v>69ce0475368b576da2e4e45a</v>
      </c>
      <c r="AA409" s="272">
        <f>IFERROR(__xludf.DUMMYFUNCTION("""COMPUTED_VALUE"""),53.0)</f>
        <v>53</v>
      </c>
      <c r="AB409" s="272"/>
      <c r="AC409" s="272">
        <f>IFERROR(__xludf.DUMMYFUNCTION("""COMPUTED_VALUE"""),53.0)</f>
        <v>53</v>
      </c>
      <c r="AD409" s="272">
        <f>IFERROR(__xludf.DUMMYFUNCTION("""COMPUTED_VALUE"""),155008.0)</f>
        <v>155008</v>
      </c>
      <c r="AE409" s="272"/>
      <c r="AF409" s="272">
        <f>IFERROR(__xludf.DUMMYFUNCTION("""COMPUTED_VALUE"""),155008.0)</f>
        <v>155008</v>
      </c>
      <c r="AG409" s="208"/>
      <c r="AH409" s="208"/>
      <c r="AI409" s="208"/>
      <c r="AJ409" s="208"/>
      <c r="AK409" s="208"/>
    </row>
    <row r="410" hidden="1">
      <c r="A410" s="209">
        <f>IFERROR(__xludf.DUMMYFUNCTION("""COMPUTED_VALUE"""),46117.0)</f>
        <v>46117</v>
      </c>
      <c r="B410" s="210">
        <f>IFERROR(__xludf.DUMMYFUNCTION("""COMPUTED_VALUE"""),0.75)</f>
        <v>0.75</v>
      </c>
      <c r="C410" s="211" t="str">
        <f>IFERROR(__xludf.DUMMYFUNCTION("""COMPUTED_VALUE"""),"Whatsapp")</f>
        <v>Whatsapp</v>
      </c>
      <c r="D410" s="211" t="str">
        <f>IFERROR(__xludf.DUMMYFUNCTION("""COMPUTED_VALUE"""),"Promotional")</f>
        <v>Promotional</v>
      </c>
      <c r="E410" s="211" t="str">
        <f>IFERROR(__xludf.DUMMYFUNCTION("""COMPUTED_VALUE"""),"BBW")</f>
        <v>BBW</v>
      </c>
      <c r="F410" s="211" t="str">
        <f>IFERROR(__xludf.DUMMYFUNCTION("""COMPUTED_VALUE"""),"B1G1")</f>
        <v>B1G1</v>
      </c>
      <c r="G410" s="212" t="str">
        <f>IFERROR(__xludf.DUMMYFUNCTION("""COMPUTED_VALUE"""),"bbw_online_wa_5april_buy1get1_loyal_lastreminder")</f>
        <v>bbw_online_wa_5april_buy1get1_loyal_lastreminder</v>
      </c>
      <c r="H410" s="212" t="str">
        <f>IFERROR(__xludf.DUMMYFUNCTION("""COMPUTED_VALUE"""),"Loyal_ON OR AGIPL_Internal OR BBW_Internal")</f>
        <v>Loyal_ON OR AGIPL_Internal OR BBW_Internal</v>
      </c>
      <c r="I410" s="212" t="str">
        <f>IFERROR(__xludf.DUMMYFUNCTION("""COMPUTED_VALUE"""),"Online Customers who have 4 or more purchases in last 12 Months")</f>
        <v>Online Customers who have 4 or more purchases in last 12 Months</v>
      </c>
      <c r="J410" s="213">
        <f>IFERROR(__xludf.DUMMYFUNCTION("""COMPUTED_VALUE"""),4008.0)</f>
        <v>4008</v>
      </c>
      <c r="K410" s="213">
        <f>IFERROR(__xludf.DUMMYFUNCTION("""COMPUTED_VALUE"""),1383.0)</f>
        <v>1383</v>
      </c>
      <c r="L410" s="214">
        <f>IFERROR(__xludf.DUMMYFUNCTION("""COMPUTED_VALUE"""),0.3451)</f>
        <v>0.3451</v>
      </c>
      <c r="M410" s="214">
        <f>IFERROR(__xludf.DUMMYFUNCTION("""COMPUTED_VALUE"""),560.0)</f>
        <v>560</v>
      </c>
      <c r="N410" s="214">
        <f>IFERROR(__xludf.DUMMYFUNCTION("""COMPUTED_VALUE"""),0.4049)</f>
        <v>0.4049</v>
      </c>
      <c r="O410" s="213">
        <f>IFERROR(__xludf.DUMMYFUNCTION("""COMPUTED_VALUE"""),86.0)</f>
        <v>86</v>
      </c>
      <c r="P410" s="213">
        <f>IFERROR(__xludf.DUMMYFUNCTION("""COMPUTED_VALUE"""),84.0)</f>
        <v>84</v>
      </c>
      <c r="Q410" s="214">
        <f>IFERROR(__xludf.DUMMYFUNCTION("""COMPUTED_VALUE"""),0.0607)</f>
        <v>0.0607</v>
      </c>
      <c r="R410" s="214">
        <f>IFERROR(__xludf.DUMMYFUNCTION("""COMPUTED_VALUE"""),0.15)</f>
        <v>0.15</v>
      </c>
      <c r="S410" s="101">
        <f>IFERROR(__xludf.DUMMYFUNCTION("""COMPUTED_VALUE"""),1.0)</f>
        <v>1</v>
      </c>
      <c r="T410" s="101">
        <f>IFERROR(__xludf.DUMMYFUNCTION("""COMPUTED_VALUE"""),3.0)</f>
        <v>3</v>
      </c>
      <c r="U410" s="270">
        <f>IFERROR(__xludf.DUMMYFUNCTION("""COMPUTED_VALUE"""),8395.0)</f>
        <v>8395</v>
      </c>
      <c r="V410" s="271" t="str">
        <f>IFERROR(__xludf.DUMMYFUNCTION("""COMPUTED_VALUE"""),"online")</f>
        <v>online</v>
      </c>
      <c r="W410" s="272" t="str">
        <f>IFERROR(__xludf.DUMMYFUNCTION("""COMPUTED_VALUE"""),"simple")</f>
        <v>simple</v>
      </c>
      <c r="X410" s="272" t="str">
        <f>IFERROR(__xludf.DUMMYFUNCTION("""COMPUTED_VALUE"""),"Loyal")</f>
        <v>Loyal</v>
      </c>
      <c r="Y410" s="272" t="str">
        <f>IFERROR(__xludf.DUMMYFUNCTION("""COMPUTED_VALUE"""),"5-7 April")</f>
        <v>5-7 April</v>
      </c>
      <c r="Z410" s="272" t="str">
        <f>IFERROR(__xludf.DUMMYFUNCTION("""COMPUTED_VALUE"""),"69ce03c792e167b1287287f5")</f>
        <v>69ce03c792e167b1287287f5</v>
      </c>
      <c r="AA410" s="272">
        <f>IFERROR(__xludf.DUMMYFUNCTION("""COMPUTED_VALUE"""),21.0)</f>
        <v>21</v>
      </c>
      <c r="AB410" s="272">
        <f>IFERROR(__xludf.DUMMYFUNCTION("""COMPUTED_VALUE"""),21.0)</f>
        <v>21</v>
      </c>
      <c r="AC410" s="272"/>
      <c r="AD410" s="272">
        <f>IFERROR(__xludf.DUMMYFUNCTION("""COMPUTED_VALUE"""),62030.0)</f>
        <v>62030</v>
      </c>
      <c r="AE410" s="272">
        <f>IFERROR(__xludf.DUMMYFUNCTION("""COMPUTED_VALUE"""),62030.0)</f>
        <v>62030</v>
      </c>
      <c r="AF410" s="272"/>
      <c r="AG410" s="208"/>
      <c r="AH410" s="208"/>
      <c r="AI410" s="208"/>
      <c r="AJ410" s="208"/>
      <c r="AK410" s="208"/>
    </row>
    <row r="411" hidden="1">
      <c r="A411" s="209">
        <f>IFERROR(__xludf.DUMMYFUNCTION("""COMPUTED_VALUE"""),46117.0)</f>
        <v>46117</v>
      </c>
      <c r="B411" s="210">
        <f>IFERROR(__xludf.DUMMYFUNCTION("""COMPUTED_VALUE"""),0.75)</f>
        <v>0.75</v>
      </c>
      <c r="C411" s="211" t="str">
        <f>IFERROR(__xludf.DUMMYFUNCTION("""COMPUTED_VALUE"""),"Whatsapp")</f>
        <v>Whatsapp</v>
      </c>
      <c r="D411" s="211" t="str">
        <f>IFERROR(__xludf.DUMMYFUNCTION("""COMPUTED_VALUE"""),"Promotional")</f>
        <v>Promotional</v>
      </c>
      <c r="E411" s="211" t="str">
        <f>IFERROR(__xludf.DUMMYFUNCTION("""COMPUTED_VALUE"""),"BBW")</f>
        <v>BBW</v>
      </c>
      <c r="F411" s="211" t="str">
        <f>IFERROR(__xludf.DUMMYFUNCTION("""COMPUTED_VALUE"""),"B1G1")</f>
        <v>B1G1</v>
      </c>
      <c r="G411" s="212" t="str">
        <f>IFERROR(__xludf.DUMMYFUNCTION("""COMPUTED_VALUE"""),"bbw_online_wa_5april_buy1get1_repeat_lastreminder")</f>
        <v>bbw_online_wa_5april_buy1get1_repeat_lastreminder</v>
      </c>
      <c r="H411" s="212" t="str">
        <f>IFERROR(__xludf.DUMMYFUNCTION("""COMPUTED_VALUE"""),"Repeat_ON")</f>
        <v>Repeat_ON</v>
      </c>
      <c r="I411" s="212" t="str">
        <f>IFERROR(__xludf.DUMMYFUNCTION("""COMPUTED_VALUE"""),"Online Customers who have purchased at least 2 times in the last 24 Months")</f>
        <v>Online Customers who have purchased at least 2 times in the last 24 Months</v>
      </c>
      <c r="J411" s="213">
        <f>IFERROR(__xludf.DUMMYFUNCTION("""COMPUTED_VALUE"""),59988.0)</f>
        <v>59988</v>
      </c>
      <c r="K411" s="213">
        <f>IFERROR(__xludf.DUMMYFUNCTION("""COMPUTED_VALUE"""),23315.0)</f>
        <v>23315</v>
      </c>
      <c r="L411" s="214">
        <f>IFERROR(__xludf.DUMMYFUNCTION("""COMPUTED_VALUE"""),0.3887)</f>
        <v>0.3887</v>
      </c>
      <c r="M411" s="214">
        <f>IFERROR(__xludf.DUMMYFUNCTION("""COMPUTED_VALUE"""),7712.0)</f>
        <v>7712</v>
      </c>
      <c r="N411" s="214">
        <f>IFERROR(__xludf.DUMMYFUNCTION("""COMPUTED_VALUE"""),0.3309)</f>
        <v>0.3309</v>
      </c>
      <c r="O411" s="213">
        <f>IFERROR(__xludf.DUMMYFUNCTION("""COMPUTED_VALUE"""),1083.0)</f>
        <v>1083</v>
      </c>
      <c r="P411" s="213">
        <f>IFERROR(__xludf.DUMMYFUNCTION("""COMPUTED_VALUE"""),1051.0)</f>
        <v>1051</v>
      </c>
      <c r="Q411" s="214">
        <f>IFERROR(__xludf.DUMMYFUNCTION("""COMPUTED_VALUE"""),0.0451)</f>
        <v>0.0451</v>
      </c>
      <c r="R411" s="214">
        <f>IFERROR(__xludf.DUMMYFUNCTION("""COMPUTED_VALUE"""),0.1363)</f>
        <v>0.1363</v>
      </c>
      <c r="S411" s="101">
        <f>IFERROR(__xludf.DUMMYFUNCTION("""COMPUTED_VALUE"""),12.0)</f>
        <v>12</v>
      </c>
      <c r="T411" s="101">
        <f>IFERROR(__xludf.DUMMYFUNCTION("""COMPUTED_VALUE"""),16.0)</f>
        <v>16</v>
      </c>
      <c r="U411" s="270">
        <f>IFERROR(__xludf.DUMMYFUNCTION("""COMPUTED_VALUE"""),33371.0)</f>
        <v>33371</v>
      </c>
      <c r="V411" s="271" t="str">
        <f>IFERROR(__xludf.DUMMYFUNCTION("""COMPUTED_VALUE"""),"online")</f>
        <v>online</v>
      </c>
      <c r="W411" s="272" t="str">
        <f>IFERROR(__xludf.DUMMYFUNCTION("""COMPUTED_VALUE"""),"simple")</f>
        <v>simple</v>
      </c>
      <c r="X411" s="272" t="str">
        <f>IFERROR(__xludf.DUMMYFUNCTION("""COMPUTED_VALUE"""),"Repeat")</f>
        <v>Repeat</v>
      </c>
      <c r="Y411" s="272" t="str">
        <f>IFERROR(__xludf.DUMMYFUNCTION("""COMPUTED_VALUE"""),"5-7 April")</f>
        <v>5-7 April</v>
      </c>
      <c r="Z411" s="272" t="str">
        <f>IFERROR(__xludf.DUMMYFUNCTION("""COMPUTED_VALUE"""),"69ce05f393ed432806795f3f")</f>
        <v>69ce05f393ed432806795f3f</v>
      </c>
      <c r="AA411" s="272">
        <f>IFERROR(__xludf.DUMMYFUNCTION("""COMPUTED_VALUE"""),17.0)</f>
        <v>17</v>
      </c>
      <c r="AB411" s="272">
        <f>IFERROR(__xludf.DUMMYFUNCTION("""COMPUTED_VALUE"""),17.0)</f>
        <v>17</v>
      </c>
      <c r="AC411" s="272"/>
      <c r="AD411" s="272">
        <f>IFERROR(__xludf.DUMMYFUNCTION("""COMPUTED_VALUE"""),136012.0)</f>
        <v>136012</v>
      </c>
      <c r="AE411" s="272">
        <f>IFERROR(__xludf.DUMMYFUNCTION("""COMPUTED_VALUE"""),136012.0)</f>
        <v>136012</v>
      </c>
      <c r="AF411" s="272"/>
      <c r="AG411" s="208"/>
      <c r="AH411" s="208"/>
      <c r="AI411" s="208"/>
      <c r="AJ411" s="208"/>
      <c r="AK411" s="208"/>
    </row>
    <row r="412" hidden="1">
      <c r="A412" s="209">
        <f>IFERROR(__xludf.DUMMYFUNCTION("""COMPUTED_VALUE"""),46117.0)</f>
        <v>46117</v>
      </c>
      <c r="B412" s="210">
        <f>IFERROR(__xludf.DUMMYFUNCTION("""COMPUTED_VALUE"""),0.75)</f>
        <v>0.75</v>
      </c>
      <c r="C412" s="211" t="str">
        <f>IFERROR(__xludf.DUMMYFUNCTION("""COMPUTED_VALUE"""),"Whatsapp")</f>
        <v>Whatsapp</v>
      </c>
      <c r="D412" s="211" t="str">
        <f>IFERROR(__xludf.DUMMYFUNCTION("""COMPUTED_VALUE"""),"Promotional")</f>
        <v>Promotional</v>
      </c>
      <c r="E412" s="211" t="str">
        <f>IFERROR(__xludf.DUMMYFUNCTION("""COMPUTED_VALUE"""),"BBW")</f>
        <v>BBW</v>
      </c>
      <c r="F412" s="211" t="str">
        <f>IFERROR(__xludf.DUMMYFUNCTION("""COMPUTED_VALUE"""),"B1G1")</f>
        <v>B1G1</v>
      </c>
      <c r="G412" s="212" t="str">
        <f>IFERROR(__xludf.DUMMYFUNCTION("""COMPUTED_VALUE"""),"bbw_online_wa_5april_buy1get1_aov_relevant_lastreminder")</f>
        <v>bbw_online_wa_5april_buy1get1_aov_relevant_lastreminder</v>
      </c>
      <c r="H412" s="212" t="str">
        <f>IFERROR(__xludf.DUMMYFUNCTION("""COMPUTED_VALUE"""),"AOV_Max_2699_365D_ON")</f>
        <v>AOV_Max_2699_365D_ON</v>
      </c>
      <c r="I412" s="212" t="str">
        <f>IFERROR(__xludf.DUMMYFUNCTION("""COMPUTED_VALUE"""),"Online Customers with AOV less than 2699 &gt; Last 12 Months")</f>
        <v>Online Customers with AOV less than 2699 &gt; Last 12 Months</v>
      </c>
      <c r="J412" s="213">
        <f>IFERROR(__xludf.DUMMYFUNCTION("""COMPUTED_VALUE"""),59504.0)</f>
        <v>59504</v>
      </c>
      <c r="K412" s="213">
        <f>IFERROR(__xludf.DUMMYFUNCTION("""COMPUTED_VALUE"""),27726.0)</f>
        <v>27726</v>
      </c>
      <c r="L412" s="214">
        <f>IFERROR(__xludf.DUMMYFUNCTION("""COMPUTED_VALUE"""),0.466)</f>
        <v>0.466</v>
      </c>
      <c r="M412" s="214">
        <f>IFERROR(__xludf.DUMMYFUNCTION("""COMPUTED_VALUE"""),9141.0)</f>
        <v>9141</v>
      </c>
      <c r="N412" s="214">
        <f>IFERROR(__xludf.DUMMYFUNCTION("""COMPUTED_VALUE"""),0.3297)</f>
        <v>0.3297</v>
      </c>
      <c r="O412" s="213">
        <f>IFERROR(__xludf.DUMMYFUNCTION("""COMPUTED_VALUE"""),1201.0)</f>
        <v>1201</v>
      </c>
      <c r="P412" s="213">
        <f>IFERROR(__xludf.DUMMYFUNCTION("""COMPUTED_VALUE"""),1168.0)</f>
        <v>1168</v>
      </c>
      <c r="Q412" s="214">
        <f>IFERROR(__xludf.DUMMYFUNCTION("""COMPUTED_VALUE"""),0.0421)</f>
        <v>0.0421</v>
      </c>
      <c r="R412" s="214">
        <f>IFERROR(__xludf.DUMMYFUNCTION("""COMPUTED_VALUE"""),0.1278)</f>
        <v>0.1278</v>
      </c>
      <c r="S412" s="101">
        <f>IFERROR(__xludf.DUMMYFUNCTION("""COMPUTED_VALUE"""),6.0)</f>
        <v>6</v>
      </c>
      <c r="T412" s="101">
        <f>IFERROR(__xludf.DUMMYFUNCTION("""COMPUTED_VALUE"""),15.0)</f>
        <v>15</v>
      </c>
      <c r="U412" s="270">
        <f>IFERROR(__xludf.DUMMYFUNCTION("""COMPUTED_VALUE"""),13792.0)</f>
        <v>13792</v>
      </c>
      <c r="V412" s="271" t="str">
        <f>IFERROR(__xludf.DUMMYFUNCTION("""COMPUTED_VALUE"""),"online")</f>
        <v>online</v>
      </c>
      <c r="W412" s="272" t="str">
        <f>IFERROR(__xludf.DUMMYFUNCTION("""COMPUTED_VALUE"""),"simple")</f>
        <v>simple</v>
      </c>
      <c r="X412" s="272" t="str">
        <f>IFERROR(__xludf.DUMMYFUNCTION("""COMPUTED_VALUE"""),"Cart Value")</f>
        <v>Cart Value</v>
      </c>
      <c r="Y412" s="272" t="str">
        <f>IFERROR(__xludf.DUMMYFUNCTION("""COMPUTED_VALUE"""),"5-7 April")</f>
        <v>5-7 April</v>
      </c>
      <c r="Z412" s="272" t="str">
        <f>IFERROR(__xludf.DUMMYFUNCTION("""COMPUTED_VALUE"""),"69ce063a324bd928d81aced0")</f>
        <v>69ce063a324bd928d81aced0</v>
      </c>
      <c r="AA412" s="272">
        <f>IFERROR(__xludf.DUMMYFUNCTION("""COMPUTED_VALUE"""),96.0)</f>
        <v>96</v>
      </c>
      <c r="AB412" s="272">
        <f>IFERROR(__xludf.DUMMYFUNCTION("""COMPUTED_VALUE"""),96.0)</f>
        <v>96</v>
      </c>
      <c r="AC412" s="272"/>
      <c r="AD412" s="272">
        <f>IFERROR(__xludf.DUMMYFUNCTION("""COMPUTED_VALUE"""),280881.0)</f>
        <v>280881</v>
      </c>
      <c r="AE412" s="272">
        <f>IFERROR(__xludf.DUMMYFUNCTION("""COMPUTED_VALUE"""),280881.0)</f>
        <v>280881</v>
      </c>
      <c r="AF412" s="272"/>
      <c r="AG412" s="208"/>
      <c r="AH412" s="208"/>
      <c r="AI412" s="208"/>
      <c r="AJ412" s="208"/>
      <c r="AK412" s="208"/>
    </row>
    <row r="413" hidden="1">
      <c r="A413" s="209">
        <f>IFERROR(__xludf.DUMMYFUNCTION("""COMPUTED_VALUE"""),46117.0)</f>
        <v>46117</v>
      </c>
      <c r="B413" s="210">
        <f>IFERROR(__xludf.DUMMYFUNCTION("""COMPUTED_VALUE"""),0.75)</f>
        <v>0.75</v>
      </c>
      <c r="C413" s="211" t="str">
        <f>IFERROR(__xludf.DUMMYFUNCTION("""COMPUTED_VALUE"""),"Whatsapp")</f>
        <v>Whatsapp</v>
      </c>
      <c r="D413" s="211" t="str">
        <f>IFERROR(__xludf.DUMMYFUNCTION("""COMPUTED_VALUE"""),"Promotional")</f>
        <v>Promotional</v>
      </c>
      <c r="E413" s="211" t="str">
        <f>IFERROR(__xludf.DUMMYFUNCTION("""COMPUTED_VALUE"""),"BBW")</f>
        <v>BBW</v>
      </c>
      <c r="F413" s="211" t="str">
        <f>IFERROR(__xludf.DUMMYFUNCTION("""COMPUTED_VALUE"""),"B1G1")</f>
        <v>B1G1</v>
      </c>
      <c r="G413" s="212" t="str">
        <f>IFERROR(__xludf.DUMMYFUNCTION("""COMPUTED_VALUE"""),"bbw_online_wa_5april_buy1get1_bundle buyers_lastreminder")</f>
        <v>bbw_online_wa_5april_buy1get1_bundle buyers_lastreminder</v>
      </c>
      <c r="H413" s="212" t="str">
        <f>IFERROR(__xludf.DUMMYFUNCTION("""COMPUTED_VALUE"""),"UPT_Min_3_ON")</f>
        <v>UPT_Min_3_ON</v>
      </c>
      <c r="I413" s="212" t="str">
        <f>IFERROR(__xludf.DUMMYFUNCTION("""COMPUTED_VALUE"""),"Online Customers who bought 3+ products during each purchase in the last 365 days")</f>
        <v>Online Customers who bought 3+ products during each purchase in the last 365 days</v>
      </c>
      <c r="J413" s="213">
        <f>IFERROR(__xludf.DUMMYFUNCTION("""COMPUTED_VALUE"""),13009.0)</f>
        <v>13009</v>
      </c>
      <c r="K413" s="213">
        <f>IFERROR(__xludf.DUMMYFUNCTION("""COMPUTED_VALUE"""),5042.0)</f>
        <v>5042</v>
      </c>
      <c r="L413" s="214">
        <f>IFERROR(__xludf.DUMMYFUNCTION("""COMPUTED_VALUE"""),0.3876)</f>
        <v>0.3876</v>
      </c>
      <c r="M413" s="214">
        <f>IFERROR(__xludf.DUMMYFUNCTION("""COMPUTED_VALUE"""),1699.0)</f>
        <v>1699</v>
      </c>
      <c r="N413" s="214">
        <f>IFERROR(__xludf.DUMMYFUNCTION("""COMPUTED_VALUE"""),0.337)</f>
        <v>0.337</v>
      </c>
      <c r="O413" s="213">
        <f>IFERROR(__xludf.DUMMYFUNCTION("""COMPUTED_VALUE"""),202.0)</f>
        <v>202</v>
      </c>
      <c r="P413" s="213">
        <f>IFERROR(__xludf.DUMMYFUNCTION("""COMPUTED_VALUE"""),198.0)</f>
        <v>198</v>
      </c>
      <c r="Q413" s="214">
        <f>IFERROR(__xludf.DUMMYFUNCTION("""COMPUTED_VALUE"""),0.0393)</f>
        <v>0.0393</v>
      </c>
      <c r="R413" s="214">
        <f>IFERROR(__xludf.DUMMYFUNCTION("""COMPUTED_VALUE"""),0.1165)</f>
        <v>0.1165</v>
      </c>
      <c r="S413" s="101">
        <f>IFERROR(__xludf.DUMMYFUNCTION("""COMPUTED_VALUE"""),1.0)</f>
        <v>1</v>
      </c>
      <c r="T413" s="101">
        <f>IFERROR(__xludf.DUMMYFUNCTION("""COMPUTED_VALUE"""),1.0)</f>
        <v>1</v>
      </c>
      <c r="U413" s="270">
        <f>IFERROR(__xludf.DUMMYFUNCTION("""COMPUTED_VALUE"""),3598.0)</f>
        <v>3598</v>
      </c>
      <c r="V413" s="271" t="str">
        <f>IFERROR(__xludf.DUMMYFUNCTION("""COMPUTED_VALUE"""),"online")</f>
        <v>online</v>
      </c>
      <c r="W413" s="272" t="str">
        <f>IFERROR(__xludf.DUMMYFUNCTION("""COMPUTED_VALUE"""),"simple")</f>
        <v>simple</v>
      </c>
      <c r="X413" s="272" t="str">
        <f>IFERROR(__xludf.DUMMYFUNCTION("""COMPUTED_VALUE"""),"Cart Qty")</f>
        <v>Cart Qty</v>
      </c>
      <c r="Y413" s="272" t="str">
        <f>IFERROR(__xludf.DUMMYFUNCTION("""COMPUTED_VALUE"""),"5-7 April")</f>
        <v>5-7 April</v>
      </c>
      <c r="Z413" s="272" t="str">
        <f>IFERROR(__xludf.DUMMYFUNCTION("""COMPUTED_VALUE"""),"69ce0684d3514a5be6907c3d")</f>
        <v>69ce0684d3514a5be6907c3d</v>
      </c>
      <c r="AA413" s="272">
        <f>IFERROR(__xludf.DUMMYFUNCTION("""COMPUTED_VALUE"""),40.0)</f>
        <v>40</v>
      </c>
      <c r="AB413" s="272">
        <f>IFERROR(__xludf.DUMMYFUNCTION("""COMPUTED_VALUE"""),40.0)</f>
        <v>40</v>
      </c>
      <c r="AC413" s="272"/>
      <c r="AD413" s="272">
        <f>IFERROR(__xludf.DUMMYFUNCTION("""COMPUTED_VALUE"""),86477.0)</f>
        <v>86477</v>
      </c>
      <c r="AE413" s="272">
        <f>IFERROR(__xludf.DUMMYFUNCTION("""COMPUTED_VALUE"""),86477.0)</f>
        <v>86477</v>
      </c>
      <c r="AF413" s="272"/>
      <c r="AG413" s="208"/>
      <c r="AH413" s="208"/>
      <c r="AI413" s="208"/>
      <c r="AJ413" s="208"/>
      <c r="AK413" s="208"/>
    </row>
    <row r="414" hidden="1">
      <c r="A414" s="209">
        <f>IFERROR(__xludf.DUMMYFUNCTION("""COMPUTED_VALUE"""),46117.0)</f>
        <v>46117</v>
      </c>
      <c r="B414" s="210">
        <f>IFERROR(__xludf.DUMMYFUNCTION("""COMPUTED_VALUE"""),0.75)</f>
        <v>0.75</v>
      </c>
      <c r="C414" s="211" t="str">
        <f>IFERROR(__xludf.DUMMYFUNCTION("""COMPUTED_VALUE"""),"Whatsapp")</f>
        <v>Whatsapp</v>
      </c>
      <c r="D414" s="211" t="str">
        <f>IFERROR(__xludf.DUMMYFUNCTION("""COMPUTED_VALUE"""),"Promotional")</f>
        <v>Promotional</v>
      </c>
      <c r="E414" s="211" t="str">
        <f>IFERROR(__xludf.DUMMYFUNCTION("""COMPUTED_VALUE"""),"BBW")</f>
        <v>BBW</v>
      </c>
      <c r="F414" s="211" t="str">
        <f>IFERROR(__xludf.DUMMYFUNCTION("""COMPUTED_VALUE"""),"B1G1")</f>
        <v>B1G1</v>
      </c>
      <c r="G414" s="212" t="str">
        <f>IFERROR(__xludf.DUMMYFUNCTION("""COMPUTED_VALUE"""),"bbw_online_wa_5april_buy1get1_atc_lastreminder")</f>
        <v>bbw_online_wa_5april_buy1get1_atc_lastreminder</v>
      </c>
      <c r="H414" s="212" t="str">
        <f>IFERROR(__xludf.DUMMYFUNCTION("""COMPUTED_VALUE"""),"Web_View_ATC_45D")</f>
        <v>Web_View_ATC_45D</v>
      </c>
      <c r="I414" s="212" t="str">
        <f>IFERROR(__xludf.DUMMYFUNCTION("""COMPUTED_VALUE"""),"Users who have Visited  the Website 2 or more times or ATC once &gt; Last 45 days")</f>
        <v>Users who have Visited  the Website 2 or more times or ATC once &gt; Last 45 days</v>
      </c>
      <c r="J414" s="213">
        <f>IFERROR(__xludf.DUMMYFUNCTION("""COMPUTED_VALUE"""),3743.0)</f>
        <v>3743</v>
      </c>
      <c r="K414" s="213">
        <f>IFERROR(__xludf.DUMMYFUNCTION("""COMPUTED_VALUE"""),1944.0)</f>
        <v>1944</v>
      </c>
      <c r="L414" s="214">
        <f>IFERROR(__xludf.DUMMYFUNCTION("""COMPUTED_VALUE"""),0.5194)</f>
        <v>0.5194</v>
      </c>
      <c r="M414" s="214">
        <f>IFERROR(__xludf.DUMMYFUNCTION("""COMPUTED_VALUE"""),803.0)</f>
        <v>803</v>
      </c>
      <c r="N414" s="214">
        <f>IFERROR(__xludf.DUMMYFUNCTION("""COMPUTED_VALUE"""),0.4133)</f>
        <v>0.4133</v>
      </c>
      <c r="O414" s="213">
        <f>IFERROR(__xludf.DUMMYFUNCTION("""COMPUTED_VALUE"""),141.0)</f>
        <v>141</v>
      </c>
      <c r="P414" s="213">
        <f>IFERROR(__xludf.DUMMYFUNCTION("""COMPUTED_VALUE"""),139.0)</f>
        <v>139</v>
      </c>
      <c r="Q414" s="214">
        <f>IFERROR(__xludf.DUMMYFUNCTION("""COMPUTED_VALUE"""),0.0715)</f>
        <v>0.0715</v>
      </c>
      <c r="R414" s="214">
        <f>IFERROR(__xludf.DUMMYFUNCTION("""COMPUTED_VALUE"""),0.1731)</f>
        <v>0.1731</v>
      </c>
      <c r="S414" s="101">
        <f>IFERROR(__xludf.DUMMYFUNCTION("""COMPUTED_VALUE"""),0.0)</f>
        <v>0</v>
      </c>
      <c r="T414" s="101">
        <f>IFERROR(__xludf.DUMMYFUNCTION("""COMPUTED_VALUE"""),19.0)</f>
        <v>19</v>
      </c>
      <c r="U414" s="270">
        <f>IFERROR(__xludf.DUMMYFUNCTION("""COMPUTED_VALUE"""),0.0)</f>
        <v>0</v>
      </c>
      <c r="V414" s="271" t="str">
        <f>IFERROR(__xludf.DUMMYFUNCTION("""COMPUTED_VALUE"""),"online")</f>
        <v>online</v>
      </c>
      <c r="W414" s="272" t="str">
        <f>IFERROR(__xludf.DUMMYFUNCTION("""COMPUTED_VALUE"""),"simple")</f>
        <v>simple</v>
      </c>
      <c r="X414" s="272" t="str">
        <f>IFERROR(__xludf.DUMMYFUNCTION("""COMPUTED_VALUE"""),"Web View")</f>
        <v>Web View</v>
      </c>
      <c r="Y414" s="272" t="str">
        <f>IFERROR(__xludf.DUMMYFUNCTION("""COMPUTED_VALUE"""),"5-7 April")</f>
        <v>5-7 April</v>
      </c>
      <c r="Z414" s="272" t="str">
        <f>IFERROR(__xludf.DUMMYFUNCTION("""COMPUTED_VALUE"""),"69ce07072bf3958a9a698609")</f>
        <v>69ce07072bf3958a9a698609</v>
      </c>
      <c r="AA414" s="272">
        <f>IFERROR(__xludf.DUMMYFUNCTION("""COMPUTED_VALUE"""),10.0)</f>
        <v>10</v>
      </c>
      <c r="AB414" s="272">
        <f>IFERROR(__xludf.DUMMYFUNCTION("""COMPUTED_VALUE"""),10.0)</f>
        <v>10</v>
      </c>
      <c r="AC414" s="272"/>
      <c r="AD414" s="272">
        <f>IFERROR(__xludf.DUMMYFUNCTION("""COMPUTED_VALUE"""),34481.0)</f>
        <v>34481</v>
      </c>
      <c r="AE414" s="272">
        <f>IFERROR(__xludf.DUMMYFUNCTION("""COMPUTED_VALUE"""),34481.0)</f>
        <v>34481</v>
      </c>
      <c r="AF414" s="272"/>
      <c r="AG414" s="208"/>
      <c r="AH414" s="208"/>
      <c r="AI414" s="208"/>
      <c r="AJ414" s="208"/>
      <c r="AK414" s="208"/>
    </row>
    <row r="415" hidden="1">
      <c r="A415" s="209">
        <f>IFERROR(__xludf.DUMMYFUNCTION("""COMPUTED_VALUE"""),46117.0)</f>
        <v>46117</v>
      </c>
      <c r="B415" s="210">
        <f>IFERROR(__xludf.DUMMYFUNCTION("""COMPUTED_VALUE"""),0.75)</f>
        <v>0.75</v>
      </c>
      <c r="C415" s="211" t="str">
        <f>IFERROR(__xludf.DUMMYFUNCTION("""COMPUTED_VALUE"""),"Whatsapp")</f>
        <v>Whatsapp</v>
      </c>
      <c r="D415" s="211" t="str">
        <f>IFERROR(__xludf.DUMMYFUNCTION("""COMPUTED_VALUE"""),"Promotional")</f>
        <v>Promotional</v>
      </c>
      <c r="E415" s="211" t="str">
        <f>IFERROR(__xludf.DUMMYFUNCTION("""COMPUTED_VALUE"""),"BBW")</f>
        <v>BBW</v>
      </c>
      <c r="F415" s="211" t="str">
        <f>IFERROR(__xludf.DUMMYFUNCTION("""COMPUTED_VALUE"""),"B1G1")</f>
        <v>B1G1</v>
      </c>
      <c r="G415" s="212" t="str">
        <f>IFERROR(__xludf.DUMMYFUNCTION("""COMPUTED_VALUE"""),"bbw_online_wa_5april_buy1get1_wa_clicked_lastreminder")</f>
        <v>bbw_online_wa_5april_buy1get1_wa_clicked_lastreminder</v>
      </c>
      <c r="H415" s="212" t="str">
        <f>IFERROR(__xludf.DUMMYFUNCTION("""COMPUTED_VALUE"""),"WA_Clicked_90D")</f>
        <v>WA_Clicked_90D</v>
      </c>
      <c r="I415" s="212" t="str">
        <f>IFERROR(__xludf.DUMMYFUNCTION("""COMPUTED_VALUE"""),"Users who have Message clicked &gt; at least 1 &gt; Last 3 months")</f>
        <v>Users who have Message clicked &gt; at least 1 &gt; Last 3 months</v>
      </c>
      <c r="J415" s="213">
        <f>IFERROR(__xludf.DUMMYFUNCTION("""COMPUTED_VALUE"""),38927.0)</f>
        <v>38927</v>
      </c>
      <c r="K415" s="213">
        <f>IFERROR(__xludf.DUMMYFUNCTION("""COMPUTED_VALUE"""),24788.0)</f>
        <v>24788</v>
      </c>
      <c r="L415" s="214">
        <f>IFERROR(__xludf.DUMMYFUNCTION("""COMPUTED_VALUE"""),0.6367)</f>
        <v>0.6367</v>
      </c>
      <c r="M415" s="214">
        <f>IFERROR(__xludf.DUMMYFUNCTION("""COMPUTED_VALUE"""),12085.0)</f>
        <v>12085</v>
      </c>
      <c r="N415" s="214">
        <f>IFERROR(__xludf.DUMMYFUNCTION("""COMPUTED_VALUE"""),0.4876)</f>
        <v>0.4876</v>
      </c>
      <c r="O415" s="213">
        <f>IFERROR(__xludf.DUMMYFUNCTION("""COMPUTED_VALUE"""),1929.0)</f>
        <v>1929</v>
      </c>
      <c r="P415" s="213">
        <f>IFERROR(__xludf.DUMMYFUNCTION("""COMPUTED_VALUE"""),1818.0)</f>
        <v>1818</v>
      </c>
      <c r="Q415" s="214">
        <f>IFERROR(__xludf.DUMMYFUNCTION("""COMPUTED_VALUE"""),0.07)</f>
        <v>0.07</v>
      </c>
      <c r="R415" s="214">
        <f>IFERROR(__xludf.DUMMYFUNCTION("""COMPUTED_VALUE"""),0.15)</f>
        <v>0.15</v>
      </c>
      <c r="S415" s="101"/>
      <c r="T415" s="101"/>
      <c r="U415" s="270"/>
      <c r="V415" s="271" t="str">
        <f>IFERROR(__xludf.DUMMYFUNCTION("""COMPUTED_VALUE"""),"online")</f>
        <v>online</v>
      </c>
      <c r="W415" s="272" t="str">
        <f>IFERROR(__xludf.DUMMYFUNCTION("""COMPUTED_VALUE"""),"simple")</f>
        <v>simple</v>
      </c>
      <c r="X415" s="272" t="str">
        <f>IFERROR(__xludf.DUMMYFUNCTION("""COMPUTED_VALUE"""),"WhatsApp Engage")</f>
        <v>WhatsApp Engage</v>
      </c>
      <c r="Y415" s="272" t="str">
        <f>IFERROR(__xludf.DUMMYFUNCTION("""COMPUTED_VALUE"""),"5-7 April")</f>
        <v>5-7 April</v>
      </c>
      <c r="Z415" s="272" t="str">
        <f>IFERROR(__xludf.DUMMYFUNCTION("""COMPUTED_VALUE"""),"69ce07655bc083dd48350785")</f>
        <v>69ce07655bc083dd48350785</v>
      </c>
      <c r="AA415" s="272">
        <f>IFERROR(__xludf.DUMMYFUNCTION("""COMPUTED_VALUE"""),12.0)</f>
        <v>12</v>
      </c>
      <c r="AB415" s="272">
        <f>IFERROR(__xludf.DUMMYFUNCTION("""COMPUTED_VALUE"""),12.0)</f>
        <v>12</v>
      </c>
      <c r="AC415" s="272"/>
      <c r="AD415" s="272">
        <f>IFERROR(__xludf.DUMMYFUNCTION("""COMPUTED_VALUE"""),33844.0)</f>
        <v>33844</v>
      </c>
      <c r="AE415" s="272">
        <f>IFERROR(__xludf.DUMMYFUNCTION("""COMPUTED_VALUE"""),33844.0)</f>
        <v>33844</v>
      </c>
      <c r="AF415" s="272"/>
      <c r="AG415" s="208"/>
      <c r="AH415" s="208"/>
      <c r="AI415" s="208"/>
      <c r="AJ415" s="208"/>
      <c r="AK415" s="208"/>
    </row>
    <row r="416" hidden="1">
      <c r="A416" s="209">
        <f>IFERROR(__xludf.DUMMYFUNCTION("""COMPUTED_VALUE"""),46117.0)</f>
        <v>46117</v>
      </c>
      <c r="B416" s="210">
        <f>IFERROR(__xludf.DUMMYFUNCTION("""COMPUTED_VALUE"""),0.75)</f>
        <v>0.75</v>
      </c>
      <c r="C416" s="211" t="str">
        <f>IFERROR(__xludf.DUMMYFUNCTION("""COMPUTED_VALUE"""),"Whatsapp")</f>
        <v>Whatsapp</v>
      </c>
      <c r="D416" s="211" t="str">
        <f>IFERROR(__xludf.DUMMYFUNCTION("""COMPUTED_VALUE"""),"Promotional")</f>
        <v>Promotional</v>
      </c>
      <c r="E416" s="211" t="str">
        <f>IFERROR(__xludf.DUMMYFUNCTION("""COMPUTED_VALUE"""),"BBW")</f>
        <v>BBW</v>
      </c>
      <c r="F416" s="211" t="str">
        <f>IFERROR(__xludf.DUMMYFUNCTION("""COMPUTED_VALUE"""),"B1G1")</f>
        <v>B1G1</v>
      </c>
      <c r="G416" s="212" t="str">
        <f>IFERROR(__xludf.DUMMYFUNCTION("""COMPUTED_VALUE"""),"bbw_online_wa_5april_buy1get1_dormant_lastreminder")</f>
        <v>bbw_online_wa_5april_buy1get1_dormant_lastreminder</v>
      </c>
      <c r="H416" s="212" t="str">
        <f>IFERROR(__xludf.DUMMYFUNCTION("""COMPUTED_VALUE"""),"Dorm_90_365_ON")</f>
        <v>Dorm_90_365_ON</v>
      </c>
      <c r="I416" s="212" t="str">
        <f>IFERROR(__xludf.DUMMYFUNCTION("""COMPUTED_VALUE"""),"Online Customers who placed at least 1 order in between 90 days ago and 365 days ago")</f>
        <v>Online Customers who placed at least 1 order in between 90 days ago and 365 days ago</v>
      </c>
      <c r="J416" s="213">
        <f>IFERROR(__xludf.DUMMYFUNCTION("""COMPUTED_VALUE"""),5417.0)</f>
        <v>5417</v>
      </c>
      <c r="K416" s="213">
        <f>IFERROR(__xludf.DUMMYFUNCTION("""COMPUTED_VALUE"""),2346.0)</f>
        <v>2346</v>
      </c>
      <c r="L416" s="214">
        <f>IFERROR(__xludf.DUMMYFUNCTION("""COMPUTED_VALUE"""),0.4329)</f>
        <v>0.4329</v>
      </c>
      <c r="M416" s="214">
        <f>IFERROR(__xludf.DUMMYFUNCTION("""COMPUTED_VALUE"""),831.0)</f>
        <v>831</v>
      </c>
      <c r="N416" s="214">
        <f>IFERROR(__xludf.DUMMYFUNCTION("""COMPUTED_VALUE"""),0.3544)</f>
        <v>0.3544</v>
      </c>
      <c r="O416" s="213">
        <f>IFERROR(__xludf.DUMMYFUNCTION("""COMPUTED_VALUE"""),86.0)</f>
        <v>86</v>
      </c>
      <c r="P416" s="213">
        <f>IFERROR(__xludf.DUMMYFUNCTION("""COMPUTED_VALUE"""),85.0)</f>
        <v>85</v>
      </c>
      <c r="Q416" s="214">
        <f>IFERROR(__xludf.DUMMYFUNCTION("""COMPUTED_VALUE"""),0.04)</f>
        <v>0.04</v>
      </c>
      <c r="R416" s="214">
        <f>IFERROR(__xludf.DUMMYFUNCTION("""COMPUTED_VALUE"""),0.1)</f>
        <v>0.1</v>
      </c>
      <c r="S416" s="101">
        <f>IFERROR(__xludf.DUMMYFUNCTION("""COMPUTED_VALUE"""),1.0)</f>
        <v>1</v>
      </c>
      <c r="T416" s="101">
        <f>IFERROR(__xludf.DUMMYFUNCTION("""COMPUTED_VALUE"""),0.0)</f>
        <v>0</v>
      </c>
      <c r="U416" s="270">
        <f>IFERROR(__xludf.DUMMYFUNCTION("""COMPUTED_VALUE"""),1979.0)</f>
        <v>1979</v>
      </c>
      <c r="V416" s="271" t="str">
        <f>IFERROR(__xludf.DUMMYFUNCTION("""COMPUTED_VALUE"""),"online")</f>
        <v>online</v>
      </c>
      <c r="W416" s="272" t="str">
        <f>IFERROR(__xludf.DUMMYFUNCTION("""COMPUTED_VALUE"""),"simple")</f>
        <v>simple</v>
      </c>
      <c r="X416" s="272" t="str">
        <f>IFERROR(__xludf.DUMMYFUNCTION("""COMPUTED_VALUE"""),"Dormant")</f>
        <v>Dormant</v>
      </c>
      <c r="Y416" s="272" t="str">
        <f>IFERROR(__xludf.DUMMYFUNCTION("""COMPUTED_VALUE"""),"5-7 April")</f>
        <v>5-7 April</v>
      </c>
      <c r="Z416" s="272" t="str">
        <f>IFERROR(__xludf.DUMMYFUNCTION("""COMPUTED_VALUE"""),"69ce07cae45100c9d2be575c")</f>
        <v>69ce07cae45100c9d2be575c</v>
      </c>
      <c r="AA416" s="272">
        <f>IFERROR(__xludf.DUMMYFUNCTION("""COMPUTED_VALUE"""),36.0)</f>
        <v>36</v>
      </c>
      <c r="AB416" s="272">
        <f>IFERROR(__xludf.DUMMYFUNCTION("""COMPUTED_VALUE"""),36.0)</f>
        <v>36</v>
      </c>
      <c r="AC416" s="272"/>
      <c r="AD416" s="272">
        <f>IFERROR(__xludf.DUMMYFUNCTION("""COMPUTED_VALUE"""),105098.0)</f>
        <v>105098</v>
      </c>
      <c r="AE416" s="272">
        <f>IFERROR(__xludf.DUMMYFUNCTION("""COMPUTED_VALUE"""),105098.0)</f>
        <v>105098</v>
      </c>
      <c r="AF416" s="272"/>
      <c r="AG416" s="208"/>
      <c r="AH416" s="208"/>
      <c r="AI416" s="208"/>
      <c r="AJ416" s="208"/>
      <c r="AK416" s="208"/>
    </row>
    <row r="417" hidden="1">
      <c r="A417" s="209">
        <f>IFERROR(__xludf.DUMMYFUNCTION("""COMPUTED_VALUE"""),46117.0)</f>
        <v>46117</v>
      </c>
      <c r="B417" s="210">
        <f>IFERROR(__xludf.DUMMYFUNCTION("""COMPUTED_VALUE"""),0.7916666666678793)</f>
        <v>0.7916666667</v>
      </c>
      <c r="C417" s="211" t="str">
        <f>IFERROR(__xludf.DUMMYFUNCTION("""COMPUTED_VALUE"""),"Sms")</f>
        <v>Sms</v>
      </c>
      <c r="D417" s="211" t="str">
        <f>IFERROR(__xludf.DUMMYFUNCTION("""COMPUTED_VALUE"""),"Fallback Campaign")</f>
        <v>Fallback Campaign</v>
      </c>
      <c r="E417" s="211" t="str">
        <f>IFERROR(__xludf.DUMMYFUNCTION("""COMPUTED_VALUE"""),"BBW")</f>
        <v>BBW</v>
      </c>
      <c r="F417" s="211" t="str">
        <f>IFERROR(__xludf.DUMMYFUNCTION("""COMPUTED_VALUE"""),"B1G1")</f>
        <v>B1G1</v>
      </c>
      <c r="G417" s="212" t="str">
        <f>IFERROR(__xludf.DUMMYFUNCTION("""COMPUTED_VALUE"""),"bbw_online_smsfb_5april_buy1get1_loyal_lastreminder")</f>
        <v>bbw_online_smsfb_5april_buy1get1_loyal_lastreminder</v>
      </c>
      <c r="H417" s="212" t="str">
        <f>IFERROR(__xludf.DUMMYFUNCTION("""COMPUTED_VALUE"""),"Loyal_ON OR AGIPL_Internal OR BBW_Internal")</f>
        <v>Loyal_ON OR AGIPL_Internal OR BBW_Internal</v>
      </c>
      <c r="I417" s="212" t="str">
        <f>IFERROR(__xludf.DUMMYFUNCTION("""COMPUTED_VALUE"""),"WA Undelivered")</f>
        <v>WA Undelivered</v>
      </c>
      <c r="J417" s="213">
        <f>IFERROR(__xludf.DUMMYFUNCTION("""COMPUTED_VALUE"""),2558.0)</f>
        <v>2558</v>
      </c>
      <c r="K417" s="213">
        <f>IFERROR(__xludf.DUMMYFUNCTION("""COMPUTED_VALUE"""),1180.0)</f>
        <v>1180</v>
      </c>
      <c r="L417" s="214">
        <f>IFERROR(__xludf.DUMMYFUNCTION("""COMPUTED_VALUE"""),0.4613)</f>
        <v>0.4613</v>
      </c>
      <c r="M417" s="214"/>
      <c r="N417" s="214"/>
      <c r="O417" s="213">
        <f>IFERROR(__xludf.DUMMYFUNCTION("""COMPUTED_VALUE"""),6.0)</f>
        <v>6</v>
      </c>
      <c r="P417" s="213"/>
      <c r="Q417" s="214">
        <f>IFERROR(__xludf.DUMMYFUNCTION("""COMPUTED_VALUE"""),0.0051)</f>
        <v>0.0051</v>
      </c>
      <c r="R417" s="214"/>
      <c r="S417" s="101">
        <f>IFERROR(__xludf.DUMMYFUNCTION("""COMPUTED_VALUE"""),0.0)</f>
        <v>0</v>
      </c>
      <c r="T417" s="101">
        <f>IFERROR(__xludf.DUMMYFUNCTION("""COMPUTED_VALUE"""),0.0)</f>
        <v>0</v>
      </c>
      <c r="U417" s="270">
        <f>IFERROR(__xludf.DUMMYFUNCTION("""COMPUTED_VALUE"""),0.0)</f>
        <v>0</v>
      </c>
      <c r="V417" s="271" t="str">
        <f>IFERROR(__xludf.DUMMYFUNCTION("""COMPUTED_VALUE"""),"online")</f>
        <v>online</v>
      </c>
      <c r="W417" s="272" t="str">
        <f>IFERROR(__xludf.DUMMYFUNCTION("""COMPUTED_VALUE"""),"SMS")</f>
        <v>SMS</v>
      </c>
      <c r="X417" s="272" t="str">
        <f>IFERROR(__xludf.DUMMYFUNCTION("""COMPUTED_VALUE"""),"Loyal")</f>
        <v>Loyal</v>
      </c>
      <c r="Y417" s="272" t="str">
        <f>IFERROR(__xludf.DUMMYFUNCTION("""COMPUTED_VALUE"""),"5 April")</f>
        <v>5 April</v>
      </c>
      <c r="Z417" s="272" t="str">
        <f>IFERROR(__xludf.DUMMYFUNCTION("""COMPUTED_VALUE"""),"69ce06f42c9398742c07a2ab")</f>
        <v>69ce06f42c9398742c07a2ab</v>
      </c>
      <c r="AA417" s="272">
        <f>IFERROR(__xludf.DUMMYFUNCTION("""COMPUTED_VALUE"""),5.0)</f>
        <v>5</v>
      </c>
      <c r="AB417" s="272">
        <f>IFERROR(__xludf.DUMMYFUNCTION("""COMPUTED_VALUE"""),5.0)</f>
        <v>5</v>
      </c>
      <c r="AC417" s="272"/>
      <c r="AD417" s="272">
        <f>IFERROR(__xludf.DUMMYFUNCTION("""COMPUTED_VALUE"""),18990.0)</f>
        <v>18990</v>
      </c>
      <c r="AE417" s="272">
        <f>IFERROR(__xludf.DUMMYFUNCTION("""COMPUTED_VALUE"""),18990.0)</f>
        <v>18990</v>
      </c>
      <c r="AF417" s="272"/>
      <c r="AG417" s="208"/>
      <c r="AH417" s="208"/>
      <c r="AI417" s="208"/>
      <c r="AJ417" s="208"/>
      <c r="AK417" s="208"/>
    </row>
    <row r="418" hidden="1">
      <c r="A418" s="209">
        <f>IFERROR(__xludf.DUMMYFUNCTION("""COMPUTED_VALUE"""),46117.0)</f>
        <v>46117</v>
      </c>
      <c r="B418" s="210">
        <f>IFERROR(__xludf.DUMMYFUNCTION("""COMPUTED_VALUE"""),0.7916666666678793)</f>
        <v>0.7916666667</v>
      </c>
      <c r="C418" s="211" t="str">
        <f>IFERROR(__xludf.DUMMYFUNCTION("""COMPUTED_VALUE"""),"Sms")</f>
        <v>Sms</v>
      </c>
      <c r="D418" s="211" t="str">
        <f>IFERROR(__xludf.DUMMYFUNCTION("""COMPUTED_VALUE"""),"Fallback Campaign")</f>
        <v>Fallback Campaign</v>
      </c>
      <c r="E418" s="211" t="str">
        <f>IFERROR(__xludf.DUMMYFUNCTION("""COMPUTED_VALUE"""),"BBW")</f>
        <v>BBW</v>
      </c>
      <c r="F418" s="211" t="str">
        <f>IFERROR(__xludf.DUMMYFUNCTION("""COMPUTED_VALUE"""),"B1G1")</f>
        <v>B1G1</v>
      </c>
      <c r="G418" s="212" t="str">
        <f>IFERROR(__xludf.DUMMYFUNCTION("""COMPUTED_VALUE"""),"bbw_online_smsfb_5april_buy1get1_repeat_lastreminder")</f>
        <v>bbw_online_smsfb_5april_buy1get1_repeat_lastreminder</v>
      </c>
      <c r="H418" s="212" t="str">
        <f>IFERROR(__xludf.DUMMYFUNCTION("""COMPUTED_VALUE"""),"Repeat_ON")</f>
        <v>Repeat_ON</v>
      </c>
      <c r="I418" s="212" t="str">
        <f>IFERROR(__xludf.DUMMYFUNCTION("""COMPUTED_VALUE"""),"WA Undelivered")</f>
        <v>WA Undelivered</v>
      </c>
      <c r="J418" s="213">
        <f>IFERROR(__xludf.DUMMYFUNCTION("""COMPUTED_VALUE"""),35427.0)</f>
        <v>35427</v>
      </c>
      <c r="K418" s="213">
        <f>IFERROR(__xludf.DUMMYFUNCTION("""COMPUTED_VALUE"""),19032.0)</f>
        <v>19032</v>
      </c>
      <c r="L418" s="214">
        <f>IFERROR(__xludf.DUMMYFUNCTION("""COMPUTED_VALUE"""),0.5372)</f>
        <v>0.5372</v>
      </c>
      <c r="M418" s="214"/>
      <c r="N418" s="214"/>
      <c r="O418" s="213">
        <f>IFERROR(__xludf.DUMMYFUNCTION("""COMPUTED_VALUE"""),62.0)</f>
        <v>62</v>
      </c>
      <c r="P418" s="213"/>
      <c r="Q418" s="214">
        <f>IFERROR(__xludf.DUMMYFUNCTION("""COMPUTED_VALUE"""),0.0033)</f>
        <v>0.0033</v>
      </c>
      <c r="R418" s="214"/>
      <c r="S418" s="101">
        <f>IFERROR(__xludf.DUMMYFUNCTION("""COMPUTED_VALUE"""),1.0)</f>
        <v>1</v>
      </c>
      <c r="T418" s="101">
        <f>IFERROR(__xludf.DUMMYFUNCTION("""COMPUTED_VALUE"""),2.0)</f>
        <v>2</v>
      </c>
      <c r="U418" s="270">
        <f>IFERROR(__xludf.DUMMYFUNCTION("""COMPUTED_VALUE"""),2599.0)</f>
        <v>2599</v>
      </c>
      <c r="V418" s="271" t="str">
        <f>IFERROR(__xludf.DUMMYFUNCTION("""COMPUTED_VALUE"""),"online")</f>
        <v>online</v>
      </c>
      <c r="W418" s="272" t="str">
        <f>IFERROR(__xludf.DUMMYFUNCTION("""COMPUTED_VALUE"""),"SMS")</f>
        <v>SMS</v>
      </c>
      <c r="X418" s="272" t="str">
        <f>IFERROR(__xludf.DUMMYFUNCTION("""COMPUTED_VALUE"""),"Repeat")</f>
        <v>Repeat</v>
      </c>
      <c r="Y418" s="272" t="str">
        <f>IFERROR(__xludf.DUMMYFUNCTION("""COMPUTED_VALUE"""),"5 April")</f>
        <v>5 April</v>
      </c>
      <c r="Z418" s="272" t="str">
        <f>IFERROR(__xludf.DUMMYFUNCTION("""COMPUTED_VALUE"""),"69ce077b93ed432806795fb5")</f>
        <v>69ce077b93ed432806795fb5</v>
      </c>
      <c r="AA418" s="272">
        <f>IFERROR(__xludf.DUMMYFUNCTION("""COMPUTED_VALUE"""),27.0)</f>
        <v>27</v>
      </c>
      <c r="AB418" s="272">
        <f>IFERROR(__xludf.DUMMYFUNCTION("""COMPUTED_VALUE"""),27.0)</f>
        <v>27</v>
      </c>
      <c r="AC418" s="272"/>
      <c r="AD418" s="272">
        <f>IFERROR(__xludf.DUMMYFUNCTION("""COMPUTED_VALUE"""),76703.0)</f>
        <v>76703</v>
      </c>
      <c r="AE418" s="272">
        <f>IFERROR(__xludf.DUMMYFUNCTION("""COMPUTED_VALUE"""),76703.0)</f>
        <v>76703</v>
      </c>
      <c r="AF418" s="272"/>
      <c r="AG418" s="208"/>
      <c r="AH418" s="208"/>
      <c r="AI418" s="208"/>
      <c r="AJ418" s="208"/>
      <c r="AK418" s="208"/>
    </row>
    <row r="419" hidden="1">
      <c r="A419" s="209">
        <f>IFERROR(__xludf.DUMMYFUNCTION("""COMPUTED_VALUE"""),46117.0)</f>
        <v>46117</v>
      </c>
      <c r="B419" s="210">
        <f>IFERROR(__xludf.DUMMYFUNCTION("""COMPUTED_VALUE"""),0.7916666666678793)</f>
        <v>0.7916666667</v>
      </c>
      <c r="C419" s="211" t="str">
        <f>IFERROR(__xludf.DUMMYFUNCTION("""COMPUTED_VALUE"""),"Sms")</f>
        <v>Sms</v>
      </c>
      <c r="D419" s="211" t="str">
        <f>IFERROR(__xludf.DUMMYFUNCTION("""COMPUTED_VALUE"""),"Fallback Campaign")</f>
        <v>Fallback Campaign</v>
      </c>
      <c r="E419" s="211" t="str">
        <f>IFERROR(__xludf.DUMMYFUNCTION("""COMPUTED_VALUE"""),"BBW")</f>
        <v>BBW</v>
      </c>
      <c r="F419" s="211" t="str">
        <f>IFERROR(__xludf.DUMMYFUNCTION("""COMPUTED_VALUE"""),"B1G1")</f>
        <v>B1G1</v>
      </c>
      <c r="G419" s="212" t="str">
        <f>IFERROR(__xludf.DUMMYFUNCTION("""COMPUTED_VALUE"""),"bbw_online_smsfb_5april_buy1get1_aov_relevant_lastreminder")</f>
        <v>bbw_online_smsfb_5april_buy1get1_aov_relevant_lastreminder</v>
      </c>
      <c r="H419" s="212" t="str">
        <f>IFERROR(__xludf.DUMMYFUNCTION("""COMPUTED_VALUE"""),"AOV_Max_2699_365D_ON")</f>
        <v>AOV_Max_2699_365D_ON</v>
      </c>
      <c r="I419" s="212" t="str">
        <f>IFERROR(__xludf.DUMMYFUNCTION("""COMPUTED_VALUE"""),"WA Undelivered")</f>
        <v>WA Undelivered</v>
      </c>
      <c r="J419" s="213">
        <f>IFERROR(__xludf.DUMMYFUNCTION("""COMPUTED_VALUE"""),30406.0)</f>
        <v>30406</v>
      </c>
      <c r="K419" s="213">
        <f>IFERROR(__xludf.DUMMYFUNCTION("""COMPUTED_VALUE"""),19146.0)</f>
        <v>19146</v>
      </c>
      <c r="L419" s="214">
        <f>IFERROR(__xludf.DUMMYFUNCTION("""COMPUTED_VALUE"""),0.6297)</f>
        <v>0.6297</v>
      </c>
      <c r="M419" s="214"/>
      <c r="N419" s="214"/>
      <c r="O419" s="213">
        <f>IFERROR(__xludf.DUMMYFUNCTION("""COMPUTED_VALUE"""),41.0)</f>
        <v>41</v>
      </c>
      <c r="P419" s="213"/>
      <c r="Q419" s="214">
        <f>IFERROR(__xludf.DUMMYFUNCTION("""COMPUTED_VALUE"""),0.0021)</f>
        <v>0.0021</v>
      </c>
      <c r="R419" s="214"/>
      <c r="S419" s="101">
        <f>IFERROR(__xludf.DUMMYFUNCTION("""COMPUTED_VALUE"""),1.0)</f>
        <v>1</v>
      </c>
      <c r="T419" s="101">
        <f>IFERROR(__xludf.DUMMYFUNCTION("""COMPUTED_VALUE"""),1.0)</f>
        <v>1</v>
      </c>
      <c r="U419" s="270">
        <f>IFERROR(__xludf.DUMMYFUNCTION("""COMPUTED_VALUE"""),1128.0)</f>
        <v>1128</v>
      </c>
      <c r="V419" s="271" t="str">
        <f>IFERROR(__xludf.DUMMYFUNCTION("""COMPUTED_VALUE"""),"online")</f>
        <v>online</v>
      </c>
      <c r="W419" s="272" t="str">
        <f>IFERROR(__xludf.DUMMYFUNCTION("""COMPUTED_VALUE"""),"SMS")</f>
        <v>SMS</v>
      </c>
      <c r="X419" s="272" t="str">
        <f>IFERROR(__xludf.DUMMYFUNCTION("""COMPUTED_VALUE"""),"Cart Value")</f>
        <v>Cart Value</v>
      </c>
      <c r="Y419" s="272" t="str">
        <f>IFERROR(__xludf.DUMMYFUNCTION("""COMPUTED_VALUE"""),"5 April")</f>
        <v>5 April</v>
      </c>
      <c r="Z419" s="272" t="str">
        <f>IFERROR(__xludf.DUMMYFUNCTION("""COMPUTED_VALUE"""),"69ce0804639d3ad3b4ffbdf6")</f>
        <v>69ce0804639d3ad3b4ffbdf6</v>
      </c>
      <c r="AA419" s="272">
        <f>IFERROR(__xludf.DUMMYFUNCTION("""COMPUTED_VALUE"""),13.0)</f>
        <v>13</v>
      </c>
      <c r="AB419" s="272">
        <f>IFERROR(__xludf.DUMMYFUNCTION("""COMPUTED_VALUE"""),13.0)</f>
        <v>13</v>
      </c>
      <c r="AC419" s="272"/>
      <c r="AD419" s="272">
        <f>IFERROR(__xludf.DUMMYFUNCTION("""COMPUTED_VALUE"""),24604.0)</f>
        <v>24604</v>
      </c>
      <c r="AE419" s="272">
        <f>IFERROR(__xludf.DUMMYFUNCTION("""COMPUTED_VALUE"""),24604.0)</f>
        <v>24604</v>
      </c>
      <c r="AF419" s="272"/>
      <c r="AG419" s="208"/>
      <c r="AH419" s="208"/>
      <c r="AI419" s="208"/>
      <c r="AJ419" s="208"/>
      <c r="AK419" s="208"/>
    </row>
    <row r="420" hidden="1">
      <c r="A420" s="209">
        <f>IFERROR(__xludf.DUMMYFUNCTION("""COMPUTED_VALUE"""),46117.0)</f>
        <v>46117</v>
      </c>
      <c r="B420" s="210">
        <f>IFERROR(__xludf.DUMMYFUNCTION("""COMPUTED_VALUE"""),0.7916666666678793)</f>
        <v>0.7916666667</v>
      </c>
      <c r="C420" s="211" t="str">
        <f>IFERROR(__xludf.DUMMYFUNCTION("""COMPUTED_VALUE"""),"Sms")</f>
        <v>Sms</v>
      </c>
      <c r="D420" s="211" t="str">
        <f>IFERROR(__xludf.DUMMYFUNCTION("""COMPUTED_VALUE"""),"Fallback Campaign")</f>
        <v>Fallback Campaign</v>
      </c>
      <c r="E420" s="211" t="str">
        <f>IFERROR(__xludf.DUMMYFUNCTION("""COMPUTED_VALUE"""),"BBW")</f>
        <v>BBW</v>
      </c>
      <c r="F420" s="211" t="str">
        <f>IFERROR(__xludf.DUMMYFUNCTION("""COMPUTED_VALUE"""),"B1G1")</f>
        <v>B1G1</v>
      </c>
      <c r="G420" s="212" t="str">
        <f>IFERROR(__xludf.DUMMYFUNCTION("""COMPUTED_VALUE"""),"bbw_online_smsfb_5april_buy1get1_bundle buyers_lastreminder")</f>
        <v>bbw_online_smsfb_5april_buy1get1_bundle buyers_lastreminder</v>
      </c>
      <c r="H420" s="212" t="str">
        <f>IFERROR(__xludf.DUMMYFUNCTION("""COMPUTED_VALUE"""),"UPT_Min_3_ON")</f>
        <v>UPT_Min_3_ON</v>
      </c>
      <c r="I420" s="212" t="str">
        <f>IFERROR(__xludf.DUMMYFUNCTION("""COMPUTED_VALUE"""),"WA Undelivered")</f>
        <v>WA Undelivered</v>
      </c>
      <c r="J420" s="213">
        <f>IFERROR(__xludf.DUMMYFUNCTION("""COMPUTED_VALUE"""),7714.0)</f>
        <v>7714</v>
      </c>
      <c r="K420" s="213">
        <f>IFERROR(__xludf.DUMMYFUNCTION("""COMPUTED_VALUE"""),3812.0)</f>
        <v>3812</v>
      </c>
      <c r="L420" s="214">
        <f>IFERROR(__xludf.DUMMYFUNCTION("""COMPUTED_VALUE"""),0.4942)</f>
        <v>0.4942</v>
      </c>
      <c r="M420" s="214"/>
      <c r="N420" s="214"/>
      <c r="O420" s="213">
        <f>IFERROR(__xludf.DUMMYFUNCTION("""COMPUTED_VALUE"""),4.0)</f>
        <v>4</v>
      </c>
      <c r="P420" s="213"/>
      <c r="Q420" s="214">
        <f>IFERROR(__xludf.DUMMYFUNCTION("""COMPUTED_VALUE"""),0.001)</f>
        <v>0.001</v>
      </c>
      <c r="R420" s="214"/>
      <c r="S420" s="101">
        <f>IFERROR(__xludf.DUMMYFUNCTION("""COMPUTED_VALUE"""),0.0)</f>
        <v>0</v>
      </c>
      <c r="T420" s="101">
        <f>IFERROR(__xludf.DUMMYFUNCTION("""COMPUTED_VALUE"""),0.0)</f>
        <v>0</v>
      </c>
      <c r="U420" s="270">
        <f>IFERROR(__xludf.DUMMYFUNCTION("""COMPUTED_VALUE"""),0.0)</f>
        <v>0</v>
      </c>
      <c r="V420" s="271" t="str">
        <f>IFERROR(__xludf.DUMMYFUNCTION("""COMPUTED_VALUE"""),"online")</f>
        <v>online</v>
      </c>
      <c r="W420" s="272" t="str">
        <f>IFERROR(__xludf.DUMMYFUNCTION("""COMPUTED_VALUE"""),"SMS")</f>
        <v>SMS</v>
      </c>
      <c r="X420" s="272" t="str">
        <f>IFERROR(__xludf.DUMMYFUNCTION("""COMPUTED_VALUE"""),"Cart Qty")</f>
        <v>Cart Qty</v>
      </c>
      <c r="Y420" s="272" t="str">
        <f>IFERROR(__xludf.DUMMYFUNCTION("""COMPUTED_VALUE"""),"5 April")</f>
        <v>5 April</v>
      </c>
      <c r="Z420" s="272" t="str">
        <f>IFERROR(__xludf.DUMMYFUNCTION("""COMPUTED_VALUE"""),"69ce0872368b576da2e4e592")</f>
        <v>69ce0872368b576da2e4e592</v>
      </c>
      <c r="AA420" s="272">
        <f>IFERROR(__xludf.DUMMYFUNCTION("""COMPUTED_VALUE"""),8.0)</f>
        <v>8</v>
      </c>
      <c r="AB420" s="272">
        <f>IFERROR(__xludf.DUMMYFUNCTION("""COMPUTED_VALUE"""),8.0)</f>
        <v>8</v>
      </c>
      <c r="AC420" s="272"/>
      <c r="AD420" s="272">
        <f>IFERROR(__xludf.DUMMYFUNCTION("""COMPUTED_VALUE"""),21877.0)</f>
        <v>21877</v>
      </c>
      <c r="AE420" s="272">
        <f>IFERROR(__xludf.DUMMYFUNCTION("""COMPUTED_VALUE"""),21877.0)</f>
        <v>21877</v>
      </c>
      <c r="AF420" s="272"/>
      <c r="AG420" s="208"/>
      <c r="AH420" s="208"/>
      <c r="AI420" s="208"/>
      <c r="AJ420" s="208"/>
      <c r="AK420" s="208"/>
    </row>
    <row r="421" hidden="1">
      <c r="A421" s="209">
        <f>IFERROR(__xludf.DUMMYFUNCTION("""COMPUTED_VALUE"""),46117.0)</f>
        <v>46117</v>
      </c>
      <c r="B421" s="210">
        <f>IFERROR(__xludf.DUMMYFUNCTION("""COMPUTED_VALUE"""),0.7916666666678793)</f>
        <v>0.7916666667</v>
      </c>
      <c r="C421" s="211" t="str">
        <f>IFERROR(__xludf.DUMMYFUNCTION("""COMPUTED_VALUE"""),"Sms")</f>
        <v>Sms</v>
      </c>
      <c r="D421" s="211" t="str">
        <f>IFERROR(__xludf.DUMMYFUNCTION("""COMPUTED_VALUE"""),"Fallback Campaign")</f>
        <v>Fallback Campaign</v>
      </c>
      <c r="E421" s="211" t="str">
        <f>IFERROR(__xludf.DUMMYFUNCTION("""COMPUTED_VALUE"""),"BBW")</f>
        <v>BBW</v>
      </c>
      <c r="F421" s="211" t="str">
        <f>IFERROR(__xludf.DUMMYFUNCTION("""COMPUTED_VALUE"""),"B1G1")</f>
        <v>B1G1</v>
      </c>
      <c r="G421" s="212" t="str">
        <f>IFERROR(__xludf.DUMMYFUNCTION("""COMPUTED_VALUE"""),"bbw_online_smsfb_5april_buy1get1_dormant_lastreminder")</f>
        <v>bbw_online_smsfb_5april_buy1get1_dormant_lastreminder</v>
      </c>
      <c r="H421" s="212" t="str">
        <f>IFERROR(__xludf.DUMMYFUNCTION("""COMPUTED_VALUE"""),"Dorm_90_365_ON")</f>
        <v>Dorm_90_365_ON</v>
      </c>
      <c r="I421" s="212" t="str">
        <f>IFERROR(__xludf.DUMMYFUNCTION("""COMPUTED_VALUE"""),"WA Undelivered")</f>
        <v>WA Undelivered</v>
      </c>
      <c r="J421" s="213">
        <f>IFERROR(__xludf.DUMMYFUNCTION("""COMPUTED_VALUE"""),2941.0)</f>
        <v>2941</v>
      </c>
      <c r="K421" s="213">
        <f>IFERROR(__xludf.DUMMYFUNCTION("""COMPUTED_VALUE"""),1675.0)</f>
        <v>1675</v>
      </c>
      <c r="L421" s="214">
        <f>IFERROR(__xludf.DUMMYFUNCTION("""COMPUTED_VALUE"""),0.5695)</f>
        <v>0.5695</v>
      </c>
      <c r="M421" s="214"/>
      <c r="N421" s="214"/>
      <c r="O421" s="213">
        <f>IFERROR(__xludf.DUMMYFUNCTION("""COMPUTED_VALUE"""),4.0)</f>
        <v>4</v>
      </c>
      <c r="P421" s="213"/>
      <c r="Q421" s="214">
        <f>IFERROR(__xludf.DUMMYFUNCTION("""COMPUTED_VALUE"""),0.0024)</f>
        <v>0.0024</v>
      </c>
      <c r="R421" s="214"/>
      <c r="S421" s="101">
        <f>IFERROR(__xludf.DUMMYFUNCTION("""COMPUTED_VALUE"""),0.0)</f>
        <v>0</v>
      </c>
      <c r="T421" s="101">
        <f>IFERROR(__xludf.DUMMYFUNCTION("""COMPUTED_VALUE"""),0.0)</f>
        <v>0</v>
      </c>
      <c r="U421" s="270">
        <f>IFERROR(__xludf.DUMMYFUNCTION("""COMPUTED_VALUE"""),0.0)</f>
        <v>0</v>
      </c>
      <c r="V421" s="271" t="str">
        <f>IFERROR(__xludf.DUMMYFUNCTION("""COMPUTED_VALUE"""),"online")</f>
        <v>online</v>
      </c>
      <c r="W421" s="272" t="str">
        <f>IFERROR(__xludf.DUMMYFUNCTION("""COMPUTED_VALUE"""),"SMS")</f>
        <v>SMS</v>
      </c>
      <c r="X421" s="272" t="str">
        <f>IFERROR(__xludf.DUMMYFUNCTION("""COMPUTED_VALUE"""),"Dormant")</f>
        <v>Dormant</v>
      </c>
      <c r="Y421" s="272" t="str">
        <f>IFERROR(__xludf.DUMMYFUNCTION("""COMPUTED_VALUE"""),"5 April")</f>
        <v>5 April</v>
      </c>
      <c r="Z421" s="272" t="str">
        <f>IFERROR(__xludf.DUMMYFUNCTION("""COMPUTED_VALUE"""),"69ce0930ef5dde37ce70067e")</f>
        <v>69ce0930ef5dde37ce70067e</v>
      </c>
      <c r="AA421" s="272">
        <f>IFERROR(__xludf.DUMMYFUNCTION("""COMPUTED_VALUE"""),1.0)</f>
        <v>1</v>
      </c>
      <c r="AB421" s="272">
        <f>IFERROR(__xludf.DUMMYFUNCTION("""COMPUTED_VALUE"""),1.0)</f>
        <v>1</v>
      </c>
      <c r="AC421" s="272"/>
      <c r="AD421" s="272">
        <f>IFERROR(__xludf.DUMMYFUNCTION("""COMPUTED_VALUE"""),4898.0)</f>
        <v>4898</v>
      </c>
      <c r="AE421" s="272">
        <f>IFERROR(__xludf.DUMMYFUNCTION("""COMPUTED_VALUE"""),4898.0)</f>
        <v>4898</v>
      </c>
      <c r="AF421" s="272"/>
      <c r="AG421" s="208"/>
      <c r="AH421" s="208"/>
      <c r="AI421" s="208"/>
      <c r="AJ421" s="208"/>
      <c r="AK421" s="208"/>
    </row>
    <row r="422" hidden="1">
      <c r="A422" s="209">
        <f>IFERROR(__xludf.DUMMYFUNCTION("""COMPUTED_VALUE"""),46117.0)</f>
        <v>46117</v>
      </c>
      <c r="B422" s="210">
        <f>IFERROR(__xludf.DUMMYFUNCTION("""COMPUTED_VALUE"""),0.7916666666678793)</f>
        <v>0.7916666667</v>
      </c>
      <c r="C422" s="211" t="str">
        <f>IFERROR(__xludf.DUMMYFUNCTION("""COMPUTED_VALUE"""),"Sms")</f>
        <v>Sms</v>
      </c>
      <c r="D422" s="211" t="str">
        <f>IFERROR(__xludf.DUMMYFUNCTION("""COMPUTED_VALUE"""),"Fallback Campaign")</f>
        <v>Fallback Campaign</v>
      </c>
      <c r="E422" s="211" t="str">
        <f>IFERROR(__xludf.DUMMYFUNCTION("""COMPUTED_VALUE"""),"BBW")</f>
        <v>BBW</v>
      </c>
      <c r="F422" s="211" t="str">
        <f>IFERROR(__xludf.DUMMYFUNCTION("""COMPUTED_VALUE"""),"B1G1")</f>
        <v>B1G1</v>
      </c>
      <c r="G422" s="212" t="str">
        <f>IFERROR(__xludf.DUMMYFUNCTION("""COMPUTED_VALUE"""),"bbw_online_smsfb_5april_buy1get1_atc_lastreminder")</f>
        <v>bbw_online_smsfb_5april_buy1get1_atc_lastreminder</v>
      </c>
      <c r="H422" s="212" t="str">
        <f>IFERROR(__xludf.DUMMYFUNCTION("""COMPUTED_VALUE"""),"Web_View_ATC_45D")</f>
        <v>Web_View_ATC_45D</v>
      </c>
      <c r="I422" s="212" t="str">
        <f>IFERROR(__xludf.DUMMYFUNCTION("""COMPUTED_VALUE"""),"WA Undelivered")</f>
        <v>WA Undelivered</v>
      </c>
      <c r="J422" s="213">
        <f>IFERROR(__xludf.DUMMYFUNCTION("""COMPUTED_VALUE"""),1751.0)</f>
        <v>1751</v>
      </c>
      <c r="K422" s="213">
        <f>IFERROR(__xludf.DUMMYFUNCTION("""COMPUTED_VALUE"""),1166.0)</f>
        <v>1166</v>
      </c>
      <c r="L422" s="214">
        <f>IFERROR(__xludf.DUMMYFUNCTION("""COMPUTED_VALUE"""),0.6659)</f>
        <v>0.6659</v>
      </c>
      <c r="M422" s="214"/>
      <c r="N422" s="214"/>
      <c r="O422" s="213">
        <f>IFERROR(__xludf.DUMMYFUNCTION("""COMPUTED_VALUE"""),2.0)</f>
        <v>2</v>
      </c>
      <c r="P422" s="213"/>
      <c r="Q422" s="214">
        <f>IFERROR(__xludf.DUMMYFUNCTION("""COMPUTED_VALUE"""),0.0017)</f>
        <v>0.0017</v>
      </c>
      <c r="R422" s="214"/>
      <c r="S422" s="101">
        <f>IFERROR(__xludf.DUMMYFUNCTION("""COMPUTED_VALUE"""),0.0)</f>
        <v>0</v>
      </c>
      <c r="T422" s="101">
        <f>IFERROR(__xludf.DUMMYFUNCTION("""COMPUTED_VALUE"""),4.0)</f>
        <v>4</v>
      </c>
      <c r="U422" s="270">
        <f>IFERROR(__xludf.DUMMYFUNCTION("""COMPUTED_VALUE"""),0.0)</f>
        <v>0</v>
      </c>
      <c r="V422" s="271" t="str">
        <f>IFERROR(__xludf.DUMMYFUNCTION("""COMPUTED_VALUE"""),"online")</f>
        <v>online</v>
      </c>
      <c r="W422" s="272" t="str">
        <f>IFERROR(__xludf.DUMMYFUNCTION("""COMPUTED_VALUE"""),"SMS")</f>
        <v>SMS</v>
      </c>
      <c r="X422" s="272" t="str">
        <f>IFERROR(__xludf.DUMMYFUNCTION("""COMPUTED_VALUE"""),"Web View")</f>
        <v>Web View</v>
      </c>
      <c r="Y422" s="272" t="str">
        <f>IFERROR(__xludf.DUMMYFUNCTION("""COMPUTED_VALUE"""),"5 April")</f>
        <v>5 April</v>
      </c>
      <c r="Z422" s="272" t="str">
        <f>IFERROR(__xludf.DUMMYFUNCTION("""COMPUTED_VALUE"""),"69ce0995639d3ad3b4ffbf47")</f>
        <v>69ce0995639d3ad3b4ffbf47</v>
      </c>
      <c r="AA422" s="272">
        <f>IFERROR(__xludf.DUMMYFUNCTION("""COMPUTED_VALUE"""),6.0)</f>
        <v>6</v>
      </c>
      <c r="AB422" s="272">
        <f>IFERROR(__xludf.DUMMYFUNCTION("""COMPUTED_VALUE"""),6.0)</f>
        <v>6</v>
      </c>
      <c r="AC422" s="272"/>
      <c r="AD422" s="272">
        <f>IFERROR(__xludf.DUMMYFUNCTION("""COMPUTED_VALUE"""),9184.0)</f>
        <v>9184</v>
      </c>
      <c r="AE422" s="272">
        <f>IFERROR(__xludf.DUMMYFUNCTION("""COMPUTED_VALUE"""),9184.0)</f>
        <v>9184</v>
      </c>
      <c r="AF422" s="272"/>
      <c r="AG422" s="208"/>
      <c r="AH422" s="208"/>
      <c r="AI422" s="208"/>
      <c r="AJ422" s="208"/>
      <c r="AK422" s="208"/>
    </row>
    <row r="423" hidden="1">
      <c r="A423" s="209">
        <f>IFERROR(__xludf.DUMMYFUNCTION("""COMPUTED_VALUE"""),46117.0)</f>
        <v>46117</v>
      </c>
      <c r="B423" s="210">
        <f>IFERROR(__xludf.DUMMYFUNCTION("""COMPUTED_VALUE"""),0.7916666666678793)</f>
        <v>0.7916666667</v>
      </c>
      <c r="C423" s="211" t="str">
        <f>IFERROR(__xludf.DUMMYFUNCTION("""COMPUTED_VALUE"""),"Sms")</f>
        <v>Sms</v>
      </c>
      <c r="D423" s="211" t="str">
        <f>IFERROR(__xludf.DUMMYFUNCTION("""COMPUTED_VALUE"""),"Fallback Campaign")</f>
        <v>Fallback Campaign</v>
      </c>
      <c r="E423" s="211" t="str">
        <f>IFERROR(__xludf.DUMMYFUNCTION("""COMPUTED_VALUE"""),"BBW")</f>
        <v>BBW</v>
      </c>
      <c r="F423" s="211" t="str">
        <f>IFERROR(__xludf.DUMMYFUNCTION("""COMPUTED_VALUE"""),"B1G1")</f>
        <v>B1G1</v>
      </c>
      <c r="G423" s="212" t="str">
        <f>IFERROR(__xludf.DUMMYFUNCTION("""COMPUTED_VALUE"""),"bbw_online_smsfb_5april_buy1get1_smsfb_clicked_lastreminder")</f>
        <v>bbw_online_smsfb_5april_buy1get1_smsfb_clicked_lastreminder</v>
      </c>
      <c r="H423" s="212" t="str">
        <f>IFERROR(__xludf.DUMMYFUNCTION("""COMPUTED_VALUE"""),"WA_Clicked_90D")</f>
        <v>WA_Clicked_90D</v>
      </c>
      <c r="I423" s="212" t="str">
        <f>IFERROR(__xludf.DUMMYFUNCTION("""COMPUTED_VALUE"""),"WA Undelivered")</f>
        <v>WA Undelivered</v>
      </c>
      <c r="J423" s="213">
        <f>IFERROR(__xludf.DUMMYFUNCTION("""COMPUTED_VALUE"""),14029.0)</f>
        <v>14029</v>
      </c>
      <c r="K423" s="213">
        <f>IFERROR(__xludf.DUMMYFUNCTION("""COMPUTED_VALUE"""),7723.0)</f>
        <v>7723</v>
      </c>
      <c r="L423" s="214">
        <f>IFERROR(__xludf.DUMMYFUNCTION("""COMPUTED_VALUE"""),0.5505)</f>
        <v>0.5505</v>
      </c>
      <c r="M423" s="214"/>
      <c r="N423" s="214"/>
      <c r="O423" s="213">
        <f>IFERROR(__xludf.DUMMYFUNCTION("""COMPUTED_VALUE"""),33.0)</f>
        <v>33</v>
      </c>
      <c r="P423" s="213"/>
      <c r="Q423" s="214">
        <f>IFERROR(__xludf.DUMMYFUNCTION("""COMPUTED_VALUE"""),0.0043)</f>
        <v>0.0043</v>
      </c>
      <c r="R423" s="214"/>
      <c r="S423" s="101">
        <f>IFERROR(__xludf.DUMMYFUNCTION("""COMPUTED_VALUE"""),0.0)</f>
        <v>0</v>
      </c>
      <c r="T423" s="101">
        <f>IFERROR(__xludf.DUMMYFUNCTION("""COMPUTED_VALUE"""),1.0)</f>
        <v>1</v>
      </c>
      <c r="U423" s="270">
        <f>IFERROR(__xludf.DUMMYFUNCTION("""COMPUTED_VALUE"""),0.0)</f>
        <v>0</v>
      </c>
      <c r="V423" s="271" t="str">
        <f>IFERROR(__xludf.DUMMYFUNCTION("""COMPUTED_VALUE"""),"online")</f>
        <v>online</v>
      </c>
      <c r="W423" s="272" t="str">
        <f>IFERROR(__xludf.DUMMYFUNCTION("""COMPUTED_VALUE"""),"SMS")</f>
        <v>SMS</v>
      </c>
      <c r="X423" s="272" t="str">
        <f>IFERROR(__xludf.DUMMYFUNCTION("""COMPUTED_VALUE"""),"WhatsApp Engage")</f>
        <v>WhatsApp Engage</v>
      </c>
      <c r="Y423" s="272" t="str">
        <f>IFERROR(__xludf.DUMMYFUNCTION("""COMPUTED_VALUE"""),"5 April")</f>
        <v>5 April</v>
      </c>
      <c r="Z423" s="272" t="str">
        <f>IFERROR(__xludf.DUMMYFUNCTION("""COMPUTED_VALUE"""),"69ce0a006bbb42d9e2f2dc6c")</f>
        <v>69ce0a006bbb42d9e2f2dc6c</v>
      </c>
      <c r="AA423" s="272">
        <f>IFERROR(__xludf.DUMMYFUNCTION("""COMPUTED_VALUE"""),3.0)</f>
        <v>3</v>
      </c>
      <c r="AB423" s="272">
        <f>IFERROR(__xludf.DUMMYFUNCTION("""COMPUTED_VALUE"""),3.0)</f>
        <v>3</v>
      </c>
      <c r="AC423" s="272"/>
      <c r="AD423" s="272">
        <f>IFERROR(__xludf.DUMMYFUNCTION("""COMPUTED_VALUE"""),7497.0)</f>
        <v>7497</v>
      </c>
      <c r="AE423" s="272">
        <f>IFERROR(__xludf.DUMMYFUNCTION("""COMPUTED_VALUE"""),7497.0)</f>
        <v>7497</v>
      </c>
      <c r="AF423" s="272"/>
      <c r="AG423" s="208"/>
      <c r="AH423" s="208"/>
      <c r="AI423" s="208"/>
      <c r="AJ423" s="208"/>
      <c r="AK423" s="208"/>
    </row>
    <row r="424" hidden="1">
      <c r="A424" s="209">
        <f>IFERROR(__xludf.DUMMYFUNCTION("""COMPUTED_VALUE"""),46120.0)</f>
        <v>46120</v>
      </c>
      <c r="B424" s="210">
        <f>IFERROR(__xludf.DUMMYFUNCTION("""COMPUTED_VALUE"""),0.8229166666678793)</f>
        <v>0.8229166667</v>
      </c>
      <c r="C424" s="211" t="str">
        <f>IFERROR(__xludf.DUMMYFUNCTION("""COMPUTED_VALUE"""),"Whatsapp")</f>
        <v>Whatsapp</v>
      </c>
      <c r="D424" s="211" t="str">
        <f>IFERROR(__xludf.DUMMYFUNCTION("""COMPUTED_VALUE"""),"Promotional")</f>
        <v>Promotional</v>
      </c>
      <c r="E424" s="211" t="str">
        <f>IFERROR(__xludf.DUMMYFUNCTION("""COMPUTED_VALUE"""),"BBW")</f>
        <v>BBW</v>
      </c>
      <c r="F424" s="211" t="str">
        <f>IFERROR(__xludf.DUMMYFUNCTION("""COMPUTED_VALUE"""),"Flashsale")</f>
        <v>Flashsale</v>
      </c>
      <c r="G424" s="212" t="str">
        <f>IFERROR(__xludf.DUMMYFUNCTION("""COMPUTED_VALUE"""),"bbw_wa_online_7april_flashsale_catrepeat")</f>
        <v>bbw_wa_online_7april_flashsale_catrepeat</v>
      </c>
      <c r="H424" s="212" t="str">
        <f>IFERROR(__xludf.DUMMYFUNCTION("""COMPUTED_VALUE"""),"LS_Repeat_ON")</f>
        <v>LS_Repeat_ON</v>
      </c>
      <c r="I424" s="212" t="str">
        <f>IFERROR(__xludf.DUMMYFUNCTION("""COMPUTED_VALUE"""),"Online Customers who have purchased at least 2 times from L3: Liquid Soap; L2: Travel Size in the last 1095 days")</f>
        <v>Online Customers who have purchased at least 2 times from L3: Liquid Soap; L2: Travel Size in the last 1095 days</v>
      </c>
      <c r="J424" s="213">
        <f>IFERROR(__xludf.DUMMYFUNCTION("""COMPUTED_VALUE"""),1982.0)</f>
        <v>1982</v>
      </c>
      <c r="K424" s="213">
        <f>IFERROR(__xludf.DUMMYFUNCTION("""COMPUTED_VALUE"""),354.0)</f>
        <v>354</v>
      </c>
      <c r="L424" s="214">
        <f>IFERROR(__xludf.DUMMYFUNCTION("""COMPUTED_VALUE"""),0.1788)</f>
        <v>0.1788</v>
      </c>
      <c r="M424" s="214">
        <f>IFERROR(__xludf.DUMMYFUNCTION("""COMPUTED_VALUE"""),146.0)</f>
        <v>146</v>
      </c>
      <c r="N424" s="214">
        <f>IFERROR(__xludf.DUMMYFUNCTION("""COMPUTED_VALUE"""),0.4124)</f>
        <v>0.4124</v>
      </c>
      <c r="O424" s="213">
        <f>IFERROR(__xludf.DUMMYFUNCTION("""COMPUTED_VALUE"""),47.0)</f>
        <v>47</v>
      </c>
      <c r="P424" s="213">
        <f>IFERROR(__xludf.DUMMYFUNCTION("""COMPUTED_VALUE"""),39.0)</f>
        <v>39</v>
      </c>
      <c r="Q424" s="214">
        <f>IFERROR(__xludf.DUMMYFUNCTION("""COMPUTED_VALUE"""),0.1102)</f>
        <v>0.1102</v>
      </c>
      <c r="R424" s="214">
        <f>IFERROR(__xludf.DUMMYFUNCTION("""COMPUTED_VALUE"""),0.2671)</f>
        <v>0.2671</v>
      </c>
      <c r="S424" s="101">
        <f>IFERROR(__xludf.DUMMYFUNCTION("""COMPUTED_VALUE"""),4.0)</f>
        <v>4</v>
      </c>
      <c r="T424" s="101">
        <f>IFERROR(__xludf.DUMMYFUNCTION("""COMPUTED_VALUE"""),4.0)</f>
        <v>4</v>
      </c>
      <c r="U424" s="270">
        <f>IFERROR(__xludf.DUMMYFUNCTION("""COMPUTED_VALUE"""),13251.0)</f>
        <v>13251</v>
      </c>
      <c r="V424" s="271" t="str">
        <f>IFERROR(__xludf.DUMMYFUNCTION("""COMPUTED_VALUE"""),"online")</f>
        <v>online</v>
      </c>
      <c r="W424" s="272" t="str">
        <f>IFERROR(__xludf.DUMMYFUNCTION("""COMPUTED_VALUE"""),"carousel")</f>
        <v>carousel</v>
      </c>
      <c r="X424" s="272" t="str">
        <f>IFERROR(__xludf.DUMMYFUNCTION("""COMPUTED_VALUE"""),"Repeat - Travel Size")</f>
        <v>Repeat - Travel Size</v>
      </c>
      <c r="Y424" s="272" t="str">
        <f>IFERROR(__xludf.DUMMYFUNCTION("""COMPUTED_VALUE"""),"8-10 April")</f>
        <v>8-10 April</v>
      </c>
      <c r="Z424" s="272" t="str">
        <f>IFERROR(__xludf.DUMMYFUNCTION("""COMPUTED_VALUE"""),"69d61b57689bb4bc1ae3cd1f")</f>
        <v>69d61b57689bb4bc1ae3cd1f</v>
      </c>
      <c r="AA424" s="272">
        <f>IFERROR(__xludf.DUMMYFUNCTION("""COMPUTED_VALUE"""),7.0)</f>
        <v>7</v>
      </c>
      <c r="AB424" s="272">
        <f>IFERROR(__xludf.DUMMYFUNCTION("""COMPUTED_VALUE"""),7.0)</f>
        <v>7</v>
      </c>
      <c r="AC424" s="272"/>
      <c r="AD424" s="272">
        <f>IFERROR(__xludf.DUMMYFUNCTION("""COMPUTED_VALUE"""),16545.0)</f>
        <v>16545</v>
      </c>
      <c r="AE424" s="272">
        <f>IFERROR(__xludf.DUMMYFUNCTION("""COMPUTED_VALUE"""),16545.0)</f>
        <v>16545</v>
      </c>
      <c r="AF424" s="272"/>
      <c r="AG424" s="208"/>
      <c r="AH424" s="208"/>
      <c r="AI424" s="208"/>
      <c r="AJ424" s="208"/>
      <c r="AK424" s="208"/>
    </row>
    <row r="425" hidden="1">
      <c r="A425" s="209">
        <f>IFERROR(__xludf.DUMMYFUNCTION("""COMPUTED_VALUE"""),46120.0)</f>
        <v>46120</v>
      </c>
      <c r="B425" s="210">
        <f>IFERROR(__xludf.DUMMYFUNCTION("""COMPUTED_VALUE"""),0.8229166666678793)</f>
        <v>0.8229166667</v>
      </c>
      <c r="C425" s="211" t="str">
        <f>IFERROR(__xludf.DUMMYFUNCTION("""COMPUTED_VALUE"""),"Whatsapp")</f>
        <v>Whatsapp</v>
      </c>
      <c r="D425" s="211" t="str">
        <f>IFERROR(__xludf.DUMMYFUNCTION("""COMPUTED_VALUE"""),"Promotional")</f>
        <v>Promotional</v>
      </c>
      <c r="E425" s="211" t="str">
        <f>IFERROR(__xludf.DUMMYFUNCTION("""COMPUTED_VALUE"""),"BBW")</f>
        <v>BBW</v>
      </c>
      <c r="F425" s="211" t="str">
        <f>IFERROR(__xludf.DUMMYFUNCTION("""COMPUTED_VALUE"""),"Flashsale")</f>
        <v>Flashsale</v>
      </c>
      <c r="G425" s="212" t="str">
        <f>IFERROR(__xludf.DUMMYFUNCTION("""COMPUTED_VALUE"""),"bbw_wa_online_7april_flashsale_livinacc_repeat")</f>
        <v>bbw_wa_online_7april_flashsale_livinacc_repeat</v>
      </c>
      <c r="H425" s="212" t="str">
        <f>IFERROR(__xludf.DUMMYFUNCTION("""COMPUTED_VALUE"""),"Living_Accs_Repeat_ON")</f>
        <v>Living_Accs_Repeat_ON</v>
      </c>
      <c r="I425" s="212" t="str">
        <f>IFERROR(__xludf.DUMMYFUNCTION("""COMPUTED_VALUE"""),"Online Customers who have purchased at least 2 times from L2: Living Accessories in the last 1095 days, 
Customers who have added to cart in the last 90 days from Liquid Soap, Hand Soap, Travel Size, Wallflowers, 
Customers who have viewed items in the la"&amp;"st 30 days from Liquid Soap, Hand Soap, Travel Size, Wallflowers")</f>
        <v>Online Customers who have purchased at least 2 times from L2: Living Accessories in the last 1095 days, 
Customers who have added to cart in the last 90 days from Liquid Soap, Hand Soap, Travel Size, Wallflowers, 
Customers who have viewed items in the last 30 days from Liquid Soap, Hand Soap, Travel Size, Wallflowers</v>
      </c>
      <c r="J425" s="213">
        <f>IFERROR(__xludf.DUMMYFUNCTION("""COMPUTED_VALUE"""),2157.0)</f>
        <v>2157</v>
      </c>
      <c r="K425" s="213">
        <f>IFERROR(__xludf.DUMMYFUNCTION("""COMPUTED_VALUE"""),424.0)</f>
        <v>424</v>
      </c>
      <c r="L425" s="214">
        <f>IFERROR(__xludf.DUMMYFUNCTION("""COMPUTED_VALUE"""),0.1968)</f>
        <v>0.1968</v>
      </c>
      <c r="M425" s="214">
        <f>IFERROR(__xludf.DUMMYFUNCTION("""COMPUTED_VALUE"""),161.0)</f>
        <v>161</v>
      </c>
      <c r="N425" s="214">
        <f>IFERROR(__xludf.DUMMYFUNCTION("""COMPUTED_VALUE"""),0.3797)</f>
        <v>0.3797</v>
      </c>
      <c r="O425" s="213">
        <f>IFERROR(__xludf.DUMMYFUNCTION("""COMPUTED_VALUE"""),57.0)</f>
        <v>57</v>
      </c>
      <c r="P425" s="213">
        <f>IFERROR(__xludf.DUMMYFUNCTION("""COMPUTED_VALUE"""),51.0)</f>
        <v>51</v>
      </c>
      <c r="Q425" s="214">
        <f>IFERROR(__xludf.DUMMYFUNCTION("""COMPUTED_VALUE"""),0.1203)</f>
        <v>0.1203</v>
      </c>
      <c r="R425" s="214">
        <f>IFERROR(__xludf.DUMMYFUNCTION("""COMPUTED_VALUE"""),0.3168)</f>
        <v>0.3168</v>
      </c>
      <c r="S425" s="101">
        <f>IFERROR(__xludf.DUMMYFUNCTION("""COMPUTED_VALUE"""),3.0)</f>
        <v>3</v>
      </c>
      <c r="T425" s="101">
        <f>IFERROR(__xludf.DUMMYFUNCTION("""COMPUTED_VALUE"""),3.0)</f>
        <v>3</v>
      </c>
      <c r="U425" s="270">
        <f>IFERROR(__xludf.DUMMYFUNCTION("""COMPUTED_VALUE"""),19789.0)</f>
        <v>19789</v>
      </c>
      <c r="V425" s="271" t="str">
        <f>IFERROR(__xludf.DUMMYFUNCTION("""COMPUTED_VALUE"""),"online")</f>
        <v>online</v>
      </c>
      <c r="W425" s="272" t="str">
        <f>IFERROR(__xludf.DUMMYFUNCTION("""COMPUTED_VALUE"""),"carousel")</f>
        <v>carousel</v>
      </c>
      <c r="X425" s="272" t="str">
        <f>IFERROR(__xludf.DUMMYFUNCTION("""COMPUTED_VALUE"""),"Repeat - Living Accessories")</f>
        <v>Repeat - Living Accessories</v>
      </c>
      <c r="Y425" s="272" t="str">
        <f>IFERROR(__xludf.DUMMYFUNCTION("""COMPUTED_VALUE"""),"8-10 April")</f>
        <v>8-10 April</v>
      </c>
      <c r="Z425" s="272" t="str">
        <f>IFERROR(__xludf.DUMMYFUNCTION("""COMPUTED_VALUE"""),"69d61bed734aa2b9ba1753a3")</f>
        <v>69d61bed734aa2b9ba1753a3</v>
      </c>
      <c r="AA425" s="272">
        <f>IFERROR(__xludf.DUMMYFUNCTION("""COMPUTED_VALUE"""),6.0)</f>
        <v>6</v>
      </c>
      <c r="AB425" s="272">
        <f>IFERROR(__xludf.DUMMYFUNCTION("""COMPUTED_VALUE"""),6.0)</f>
        <v>6</v>
      </c>
      <c r="AC425" s="272"/>
      <c r="AD425" s="272">
        <f>IFERROR(__xludf.DUMMYFUNCTION("""COMPUTED_VALUE"""),25170.0)</f>
        <v>25170</v>
      </c>
      <c r="AE425" s="272">
        <f>IFERROR(__xludf.DUMMYFUNCTION("""COMPUTED_VALUE"""),25170.0)</f>
        <v>25170</v>
      </c>
      <c r="AF425" s="272"/>
      <c r="AG425" s="208"/>
      <c r="AH425" s="208"/>
      <c r="AI425" s="208"/>
      <c r="AJ425" s="208"/>
      <c r="AK425" s="208"/>
    </row>
    <row r="426" hidden="1">
      <c r="A426" s="209">
        <f>IFERROR(__xludf.DUMMYFUNCTION("""COMPUTED_VALUE"""),46120.0)</f>
        <v>46120</v>
      </c>
      <c r="B426" s="210">
        <f>IFERROR(__xludf.DUMMYFUNCTION("""COMPUTED_VALUE"""),0.8229166666678793)</f>
        <v>0.8229166667</v>
      </c>
      <c r="C426" s="211" t="str">
        <f>IFERROR(__xludf.DUMMYFUNCTION("""COMPUTED_VALUE"""),"Whatsapp")</f>
        <v>Whatsapp</v>
      </c>
      <c r="D426" s="211" t="str">
        <f>IFERROR(__xludf.DUMMYFUNCTION("""COMPUTED_VALUE"""),"Promotional")</f>
        <v>Promotional</v>
      </c>
      <c r="E426" s="211" t="str">
        <f>IFERROR(__xludf.DUMMYFUNCTION("""COMPUTED_VALUE"""),"BBW")</f>
        <v>BBW</v>
      </c>
      <c r="F426" s="211" t="str">
        <f>IFERROR(__xludf.DUMMYFUNCTION("""COMPUTED_VALUE"""),"Flashsale")</f>
        <v>Flashsale</v>
      </c>
      <c r="G426" s="212" t="str">
        <f>IFERROR(__xludf.DUMMYFUNCTION("""COMPUTED_VALUE"""),"bbw_wa_online_7april_flashsale_recent")</f>
        <v>bbw_wa_online_7april_flashsale_recent</v>
      </c>
      <c r="H426" s="212" t="str">
        <f>IFERROR(__xludf.DUMMYFUNCTION("""COMPUTED_VALUE"""),"Recent_HS_Minis_Wallflowers_ON")</f>
        <v>Recent_HS_Minis_Wallflowers_ON</v>
      </c>
      <c r="I426" s="212" t="str">
        <f>IFERROR(__xludf.DUMMYFUNCTION("""COMPUTED_VALUE"""),"Online Customers who have purchased in the last 113 days from L3: Liquid Soap, L2: Travel Size, L2: Living Accessories")</f>
        <v>Online Customers who have purchased in the last 113 days from L3: Liquid Soap, L2: Travel Size, L2: Living Accessories</v>
      </c>
      <c r="J426" s="213">
        <f>IFERROR(__xludf.DUMMYFUNCTION("""COMPUTED_VALUE"""),3795.0)</f>
        <v>3795</v>
      </c>
      <c r="K426" s="213">
        <f>IFERROR(__xludf.DUMMYFUNCTION("""COMPUTED_VALUE"""),856.0)</f>
        <v>856</v>
      </c>
      <c r="L426" s="214">
        <f>IFERROR(__xludf.DUMMYFUNCTION("""COMPUTED_VALUE"""),0.2255)</f>
        <v>0.2255</v>
      </c>
      <c r="M426" s="214">
        <f>IFERROR(__xludf.DUMMYFUNCTION("""COMPUTED_VALUE"""),338.0)</f>
        <v>338</v>
      </c>
      <c r="N426" s="214">
        <f>IFERROR(__xludf.DUMMYFUNCTION("""COMPUTED_VALUE"""),0.3953)</f>
        <v>0.3953</v>
      </c>
      <c r="O426" s="213">
        <f>IFERROR(__xludf.DUMMYFUNCTION("""COMPUTED_VALUE"""),86.0)</f>
        <v>86</v>
      </c>
      <c r="P426" s="213">
        <f>IFERROR(__xludf.DUMMYFUNCTION("""COMPUTED_VALUE"""),77.0)</f>
        <v>77</v>
      </c>
      <c r="Q426" s="214">
        <f>IFERROR(__xludf.DUMMYFUNCTION("""COMPUTED_VALUE"""),0.0901)</f>
        <v>0.0901</v>
      </c>
      <c r="R426" s="214">
        <f>IFERROR(__xludf.DUMMYFUNCTION("""COMPUTED_VALUE"""),0.2278)</f>
        <v>0.2278</v>
      </c>
      <c r="S426" s="101">
        <f>IFERROR(__xludf.DUMMYFUNCTION("""COMPUTED_VALUE"""),0.0)</f>
        <v>0</v>
      </c>
      <c r="T426" s="101">
        <f>IFERROR(__xludf.DUMMYFUNCTION("""COMPUTED_VALUE"""),3.0)</f>
        <v>3</v>
      </c>
      <c r="U426" s="270">
        <f>IFERROR(__xludf.DUMMYFUNCTION("""COMPUTED_VALUE"""),0.0)</f>
        <v>0</v>
      </c>
      <c r="V426" s="271" t="str">
        <f>IFERROR(__xludf.DUMMYFUNCTION("""COMPUTED_VALUE"""),"online")</f>
        <v>online</v>
      </c>
      <c r="W426" s="272" t="str">
        <f>IFERROR(__xludf.DUMMYFUNCTION("""COMPUTED_VALUE"""),"carousel")</f>
        <v>carousel</v>
      </c>
      <c r="X426" s="272" t="str">
        <f>IFERROR(__xludf.DUMMYFUNCTION("""COMPUTED_VALUE"""),"Recent")</f>
        <v>Recent</v>
      </c>
      <c r="Y426" s="272" t="str">
        <f>IFERROR(__xludf.DUMMYFUNCTION("""COMPUTED_VALUE"""),"8-10 April")</f>
        <v>8-10 April</v>
      </c>
      <c r="Z426" s="272" t="str">
        <f>IFERROR(__xludf.DUMMYFUNCTION("""COMPUTED_VALUE"""),"69d61c808c12e1ae205ff66d")</f>
        <v>69d61c808c12e1ae205ff66d</v>
      </c>
      <c r="AA426" s="272">
        <f>IFERROR(__xludf.DUMMYFUNCTION("""COMPUTED_VALUE"""),4.0)</f>
        <v>4</v>
      </c>
      <c r="AB426" s="272">
        <f>IFERROR(__xludf.DUMMYFUNCTION("""COMPUTED_VALUE"""),4.0)</f>
        <v>4</v>
      </c>
      <c r="AC426" s="272"/>
      <c r="AD426" s="272">
        <f>IFERROR(__xludf.DUMMYFUNCTION("""COMPUTED_VALUE"""),5695.0)</f>
        <v>5695</v>
      </c>
      <c r="AE426" s="272">
        <f>IFERROR(__xludf.DUMMYFUNCTION("""COMPUTED_VALUE"""),5695.0)</f>
        <v>5695</v>
      </c>
      <c r="AF426" s="272"/>
      <c r="AG426" s="208"/>
      <c r="AH426" s="208"/>
      <c r="AI426" s="208"/>
      <c r="AJ426" s="208"/>
      <c r="AK426" s="208"/>
    </row>
    <row r="427" hidden="1">
      <c r="A427" s="209">
        <f>IFERROR(__xludf.DUMMYFUNCTION("""COMPUTED_VALUE"""),46120.0)</f>
        <v>46120</v>
      </c>
      <c r="B427" s="210">
        <f>IFERROR(__xludf.DUMMYFUNCTION("""COMPUTED_VALUE"""),0.8229166666678793)</f>
        <v>0.8229166667</v>
      </c>
      <c r="C427" s="211" t="str">
        <f>IFERROR(__xludf.DUMMYFUNCTION("""COMPUTED_VALUE"""),"Whatsapp")</f>
        <v>Whatsapp</v>
      </c>
      <c r="D427" s="211" t="str">
        <f>IFERROR(__xludf.DUMMYFUNCTION("""COMPUTED_VALUE"""),"Promotional")</f>
        <v>Promotional</v>
      </c>
      <c r="E427" s="211" t="str">
        <f>IFERROR(__xludf.DUMMYFUNCTION("""COMPUTED_VALUE"""),"BBW")</f>
        <v>BBW</v>
      </c>
      <c r="F427" s="211" t="str">
        <f>IFERROR(__xludf.DUMMYFUNCTION("""COMPUTED_VALUE"""),"Flashsale")</f>
        <v>Flashsale</v>
      </c>
      <c r="G427" s="212" t="str">
        <f>IFERROR(__xludf.DUMMYFUNCTION("""COMPUTED_VALUE"""),"bbw_wa_online_7april_flashsale_predom_below899")</f>
        <v>bbw_wa_online_7april_flashsale_predom_below899</v>
      </c>
      <c r="H427" s="212" t="str">
        <f>IFERROR(__xludf.DUMMYFUNCTION("""COMPUTED_VALUE"""),"Predom_Below_899_ON")</f>
        <v>Predom_Below_899_ON</v>
      </c>
      <c r="I427" s="212" t="str">
        <f>IFERROR(__xludf.DUMMYFUNCTION("""COMPUTED_VALUE"""),"Online Customers who have predom purchased with cart value below 899")</f>
        <v>Online Customers who have predom purchased with cart value below 899</v>
      </c>
      <c r="J427" s="213">
        <f>IFERROR(__xludf.DUMMYFUNCTION("""COMPUTED_VALUE"""),63552.0)</f>
        <v>63552</v>
      </c>
      <c r="K427" s="213">
        <f>IFERROR(__xludf.DUMMYFUNCTION("""COMPUTED_VALUE"""),27612.0)</f>
        <v>27612</v>
      </c>
      <c r="L427" s="214">
        <f>IFERROR(__xludf.DUMMYFUNCTION("""COMPUTED_VALUE"""),0.4347)</f>
        <v>0.4347</v>
      </c>
      <c r="M427" s="214">
        <f>IFERROR(__xludf.DUMMYFUNCTION("""COMPUTED_VALUE"""),10459.0)</f>
        <v>10459</v>
      </c>
      <c r="N427" s="214">
        <f>IFERROR(__xludf.DUMMYFUNCTION("""COMPUTED_VALUE"""),0.3789)</f>
        <v>0.3789</v>
      </c>
      <c r="O427" s="213">
        <f>IFERROR(__xludf.DUMMYFUNCTION("""COMPUTED_VALUE"""),1259.0)</f>
        <v>1259</v>
      </c>
      <c r="P427" s="213">
        <f>IFERROR(__xludf.DUMMYFUNCTION("""COMPUTED_VALUE"""),1185.0)</f>
        <v>1185</v>
      </c>
      <c r="Q427" s="214">
        <f>IFERROR(__xludf.DUMMYFUNCTION("""COMPUTED_VALUE"""),0.0429)</f>
        <v>0.0429</v>
      </c>
      <c r="R427" s="214">
        <f>IFERROR(__xludf.DUMMYFUNCTION("""COMPUTED_VALUE"""),0.1133)</f>
        <v>0.1133</v>
      </c>
      <c r="S427" s="101">
        <f>IFERROR(__xludf.DUMMYFUNCTION("""COMPUTED_VALUE"""),4.0)</f>
        <v>4</v>
      </c>
      <c r="T427" s="101">
        <f>IFERROR(__xludf.DUMMYFUNCTION("""COMPUTED_VALUE"""),19.0)</f>
        <v>19</v>
      </c>
      <c r="U427" s="270">
        <f>IFERROR(__xludf.DUMMYFUNCTION("""COMPUTED_VALUE"""),9173.0)</f>
        <v>9173</v>
      </c>
      <c r="V427" s="271" t="str">
        <f>IFERROR(__xludf.DUMMYFUNCTION("""COMPUTED_VALUE"""),"online")</f>
        <v>online</v>
      </c>
      <c r="W427" s="272" t="str">
        <f>IFERROR(__xludf.DUMMYFUNCTION("""COMPUTED_VALUE"""),"carousel")</f>
        <v>carousel</v>
      </c>
      <c r="X427" s="272" t="str">
        <f>IFERROR(__xludf.DUMMYFUNCTION("""COMPUTED_VALUE"""),"Predom 899 Below")</f>
        <v>Predom 899 Below</v>
      </c>
      <c r="Y427" s="272" t="str">
        <f>IFERROR(__xludf.DUMMYFUNCTION("""COMPUTED_VALUE"""),"8-10 April")</f>
        <v>8-10 April</v>
      </c>
      <c r="Z427" s="272" t="str">
        <f>IFERROR(__xludf.DUMMYFUNCTION("""COMPUTED_VALUE"""),"69d61cd023870daab3c61651")</f>
        <v>69d61cd023870daab3c61651</v>
      </c>
      <c r="AA427" s="272">
        <f>IFERROR(__xludf.DUMMYFUNCTION("""COMPUTED_VALUE"""),24.0)</f>
        <v>24</v>
      </c>
      <c r="AB427" s="272">
        <f>IFERROR(__xludf.DUMMYFUNCTION("""COMPUTED_VALUE"""),24.0)</f>
        <v>24</v>
      </c>
      <c r="AC427" s="272"/>
      <c r="AD427" s="272">
        <f>IFERROR(__xludf.DUMMYFUNCTION("""COMPUTED_VALUE"""),46576.0)</f>
        <v>46576</v>
      </c>
      <c r="AE427" s="272">
        <f>IFERROR(__xludf.DUMMYFUNCTION("""COMPUTED_VALUE"""),46576.0)</f>
        <v>46576</v>
      </c>
      <c r="AF427" s="272"/>
      <c r="AG427" s="208"/>
      <c r="AH427" s="208"/>
      <c r="AI427" s="208"/>
      <c r="AJ427" s="208"/>
      <c r="AK427" s="208"/>
    </row>
    <row r="428" hidden="1">
      <c r="A428" s="209">
        <f>IFERROR(__xludf.DUMMYFUNCTION("""COMPUTED_VALUE"""),46121.0)</f>
        <v>46121</v>
      </c>
      <c r="B428" s="210">
        <f>IFERROR(__xludf.DUMMYFUNCTION("""COMPUTED_VALUE"""),0.7708333333321207)</f>
        <v>0.7708333333</v>
      </c>
      <c r="C428" s="211" t="str">
        <f>IFERROR(__xludf.DUMMYFUNCTION("""COMPUTED_VALUE"""),"Whatsapp")</f>
        <v>Whatsapp</v>
      </c>
      <c r="D428" s="211" t="str">
        <f>IFERROR(__xludf.DUMMYFUNCTION("""COMPUTED_VALUE"""),"Promotional")</f>
        <v>Promotional</v>
      </c>
      <c r="E428" s="211" t="str">
        <f>IFERROR(__xludf.DUMMYFUNCTION("""COMPUTED_VALUE"""),"BBW")</f>
        <v>BBW</v>
      </c>
      <c r="F428" s="211" t="str">
        <f>IFERROR(__xludf.DUMMYFUNCTION("""COMPUTED_VALUE"""),"Bodycare")</f>
        <v>Bodycare</v>
      </c>
      <c r="G428" s="212" t="str">
        <f>IFERROR(__xludf.DUMMYFUNCTION("""COMPUTED_VALUE"""),"bbw_on_wa_bcat1099_9april_atc&amp;viewitem")</f>
        <v>bbw_on_wa_bcat1099_9april_atc&amp;viewitem</v>
      </c>
      <c r="H428" s="212" t="str">
        <f>IFERROR(__xludf.DUMMYFUNCTION("""COMPUTED_VALUE"""),"BBW_ON_BC_ATC_View_Item_8_Apr_26")</f>
        <v>BBW_ON_BC_ATC_View_Item_8_Apr_26</v>
      </c>
      <c r="I428" s="212" t="str">
        <f>IFERROR(__xludf.DUMMYFUNCTION("""COMPUTED_VALUE"""),"Customers who have ATC in last 45 days or viewed items in the last 30 days from BC")</f>
        <v>Customers who have ATC in last 45 days or viewed items in the last 30 days from BC</v>
      </c>
      <c r="J428" s="213">
        <f>IFERROR(__xludf.DUMMYFUNCTION("""COMPUTED_VALUE"""),858.0)</f>
        <v>858</v>
      </c>
      <c r="K428" s="213">
        <f>IFERROR(__xludf.DUMMYFUNCTION("""COMPUTED_VALUE"""),456.0)</f>
        <v>456</v>
      </c>
      <c r="L428" s="214">
        <f>IFERROR(__xludf.DUMMYFUNCTION("""COMPUTED_VALUE"""),0.5315)</f>
        <v>0.5315</v>
      </c>
      <c r="M428" s="214">
        <f>IFERROR(__xludf.DUMMYFUNCTION("""COMPUTED_VALUE"""),241.0)</f>
        <v>241</v>
      </c>
      <c r="N428" s="214">
        <f>IFERROR(__xludf.DUMMYFUNCTION("""COMPUTED_VALUE"""),0.5285)</f>
        <v>0.5285</v>
      </c>
      <c r="O428" s="213">
        <f>IFERROR(__xludf.DUMMYFUNCTION("""COMPUTED_VALUE"""),32.0)</f>
        <v>32</v>
      </c>
      <c r="P428" s="213">
        <f>IFERROR(__xludf.DUMMYFUNCTION("""COMPUTED_VALUE"""),31.0)</f>
        <v>31</v>
      </c>
      <c r="Q428" s="214">
        <f>IFERROR(__xludf.DUMMYFUNCTION("""COMPUTED_VALUE"""),0.068)</f>
        <v>0.068</v>
      </c>
      <c r="R428" s="214">
        <f>IFERROR(__xludf.DUMMYFUNCTION("""COMPUTED_VALUE"""),0.1286)</f>
        <v>0.1286</v>
      </c>
      <c r="S428" s="101">
        <f>IFERROR(__xludf.DUMMYFUNCTION("""COMPUTED_VALUE"""),4.0)</f>
        <v>4</v>
      </c>
      <c r="T428" s="101">
        <f>IFERROR(__xludf.DUMMYFUNCTION("""COMPUTED_VALUE"""),11.0)</f>
        <v>11</v>
      </c>
      <c r="U428" s="270">
        <f>IFERROR(__xludf.DUMMYFUNCTION("""COMPUTED_VALUE"""),10512.0)</f>
        <v>10512</v>
      </c>
      <c r="V428" s="271" t="str">
        <f>IFERROR(__xludf.DUMMYFUNCTION("""COMPUTED_VALUE"""),"online")</f>
        <v>online</v>
      </c>
      <c r="W428" s="272" t="str">
        <f>IFERROR(__xludf.DUMMYFUNCTION("""COMPUTED_VALUE"""),"simple")</f>
        <v>simple</v>
      </c>
      <c r="X428" s="272" t="str">
        <f>IFERROR(__xludf.DUMMYFUNCTION("""COMPUTED_VALUE"""),"Online Event - ATC;  View Item")</f>
        <v>Online Event - ATC;  View Item</v>
      </c>
      <c r="Y428" s="272" t="str">
        <f>IFERROR(__xludf.DUMMYFUNCTION("""COMPUTED_VALUE"""),"9-11 April")</f>
        <v>9-11 April</v>
      </c>
      <c r="Z428" s="272" t="str">
        <f>IFERROR(__xludf.DUMMYFUNCTION("""COMPUTED_VALUE"""),"69d785c34f045e3d26e2e35d")</f>
        <v>69d785c34f045e3d26e2e35d</v>
      </c>
      <c r="AA428" s="272">
        <f>IFERROR(__xludf.DUMMYFUNCTION("""COMPUTED_VALUE"""),5.0)</f>
        <v>5</v>
      </c>
      <c r="AB428" s="272">
        <f>IFERROR(__xludf.DUMMYFUNCTION("""COMPUTED_VALUE"""),5.0)</f>
        <v>5</v>
      </c>
      <c r="AC428" s="272"/>
      <c r="AD428" s="272">
        <f>IFERROR(__xludf.DUMMYFUNCTION("""COMPUTED_VALUE"""),11513.0)</f>
        <v>11513</v>
      </c>
      <c r="AE428" s="272">
        <f>IFERROR(__xludf.DUMMYFUNCTION("""COMPUTED_VALUE"""),11513.0)</f>
        <v>11513</v>
      </c>
      <c r="AF428" s="272"/>
      <c r="AG428" s="208"/>
      <c r="AH428" s="208"/>
      <c r="AI428" s="208"/>
      <c r="AJ428" s="208"/>
      <c r="AK428" s="208"/>
    </row>
    <row r="429" hidden="1">
      <c r="A429" s="209">
        <f>IFERROR(__xludf.DUMMYFUNCTION("""COMPUTED_VALUE"""),46121.0)</f>
        <v>46121</v>
      </c>
      <c r="B429" s="210">
        <f>IFERROR(__xludf.DUMMYFUNCTION("""COMPUTED_VALUE"""),0.7708333333321207)</f>
        <v>0.7708333333</v>
      </c>
      <c r="C429" s="211" t="str">
        <f>IFERROR(__xludf.DUMMYFUNCTION("""COMPUTED_VALUE"""),"Whatsapp")</f>
        <v>Whatsapp</v>
      </c>
      <c r="D429" s="211" t="str">
        <f>IFERROR(__xludf.DUMMYFUNCTION("""COMPUTED_VALUE"""),"Promotional")</f>
        <v>Promotional</v>
      </c>
      <c r="E429" s="211" t="str">
        <f>IFERROR(__xludf.DUMMYFUNCTION("""COMPUTED_VALUE"""),"BBW")</f>
        <v>BBW</v>
      </c>
      <c r="F429" s="211" t="str">
        <f>IFERROR(__xludf.DUMMYFUNCTION("""COMPUTED_VALUE"""),"Bodycare")</f>
        <v>Bodycare</v>
      </c>
      <c r="G429" s="212" t="str">
        <f>IFERROR(__xludf.DUMMYFUNCTION("""COMPUTED_VALUE"""),"bbw_on_wa_bcat1099_9april_recent")</f>
        <v>bbw_on_wa_bcat1099_9april_recent</v>
      </c>
      <c r="H429" s="212" t="str">
        <f>IFERROR(__xludf.DUMMYFUNCTION("""COMPUTED_VALUE"""),"BBW_ON_BC_Recent_8_Apr_26")</f>
        <v>BBW_ON_BC_Recent_8_Apr_26</v>
      </c>
      <c r="I429" s="212" t="str">
        <f>IFERROR(__xludf.DUMMYFUNCTION("""COMPUTED_VALUE"""),"Online Customers have purchased in TTR (113 days) from BC")</f>
        <v>Online Customers have purchased in TTR (113 days) from BC</v>
      </c>
      <c r="J429" s="213">
        <f>IFERROR(__xludf.DUMMYFUNCTION("""COMPUTED_VALUE"""),12768.0)</f>
        <v>12768</v>
      </c>
      <c r="K429" s="213">
        <f>IFERROR(__xludf.DUMMYFUNCTION("""COMPUTED_VALUE"""),6379.0)</f>
        <v>6379</v>
      </c>
      <c r="L429" s="214">
        <f>IFERROR(__xludf.DUMMYFUNCTION("""COMPUTED_VALUE"""),0.4996)</f>
        <v>0.4996</v>
      </c>
      <c r="M429" s="214">
        <f>IFERROR(__xludf.DUMMYFUNCTION("""COMPUTED_VALUE"""),2974.0)</f>
        <v>2974</v>
      </c>
      <c r="N429" s="214">
        <f>IFERROR(__xludf.DUMMYFUNCTION("""COMPUTED_VALUE"""),0.4662)</f>
        <v>0.4662</v>
      </c>
      <c r="O429" s="213">
        <f>IFERROR(__xludf.DUMMYFUNCTION("""COMPUTED_VALUE"""),335.0)</f>
        <v>335</v>
      </c>
      <c r="P429" s="213">
        <f>IFERROR(__xludf.DUMMYFUNCTION("""COMPUTED_VALUE"""),316.0)</f>
        <v>316</v>
      </c>
      <c r="Q429" s="214">
        <f>IFERROR(__xludf.DUMMYFUNCTION("""COMPUTED_VALUE"""),0.0495)</f>
        <v>0.0495</v>
      </c>
      <c r="R429" s="214">
        <f>IFERROR(__xludf.DUMMYFUNCTION("""COMPUTED_VALUE"""),0.1063)</f>
        <v>0.1063</v>
      </c>
      <c r="S429" s="101">
        <f>IFERROR(__xludf.DUMMYFUNCTION("""COMPUTED_VALUE"""),6.0)</f>
        <v>6</v>
      </c>
      <c r="T429" s="101">
        <f>IFERROR(__xludf.DUMMYFUNCTION("""COMPUTED_VALUE"""),17.0)</f>
        <v>17</v>
      </c>
      <c r="U429" s="270">
        <f>IFERROR(__xludf.DUMMYFUNCTION("""COMPUTED_VALUE"""),12300.0)</f>
        <v>12300</v>
      </c>
      <c r="V429" s="271" t="str">
        <f>IFERROR(__xludf.DUMMYFUNCTION("""COMPUTED_VALUE"""),"online")</f>
        <v>online</v>
      </c>
      <c r="W429" s="272" t="str">
        <f>IFERROR(__xludf.DUMMYFUNCTION("""COMPUTED_VALUE"""),"simple")</f>
        <v>simple</v>
      </c>
      <c r="X429" s="272" t="str">
        <f>IFERROR(__xludf.DUMMYFUNCTION("""COMPUTED_VALUE"""),"Recent")</f>
        <v>Recent</v>
      </c>
      <c r="Y429" s="272" t="str">
        <f>IFERROR(__xludf.DUMMYFUNCTION("""COMPUTED_VALUE"""),"9-11 April")</f>
        <v>9-11 April</v>
      </c>
      <c r="Z429" s="272" t="str">
        <f>IFERROR(__xludf.DUMMYFUNCTION("""COMPUTED_VALUE"""),"69d786ba276fe0fcd4f7c95f")</f>
        <v>69d786ba276fe0fcd4f7c95f</v>
      </c>
      <c r="AA429" s="272">
        <f>IFERROR(__xludf.DUMMYFUNCTION("""COMPUTED_VALUE"""),46.0)</f>
        <v>46</v>
      </c>
      <c r="AB429" s="272">
        <f>IFERROR(__xludf.DUMMYFUNCTION("""COMPUTED_VALUE"""),46.0)</f>
        <v>46</v>
      </c>
      <c r="AC429" s="272"/>
      <c r="AD429" s="272">
        <f>IFERROR(__xludf.DUMMYFUNCTION("""COMPUTED_VALUE"""),129117.0)</f>
        <v>129117</v>
      </c>
      <c r="AE429" s="272">
        <f>IFERROR(__xludf.DUMMYFUNCTION("""COMPUTED_VALUE"""),129117.0)</f>
        <v>129117</v>
      </c>
      <c r="AF429" s="272"/>
      <c r="AG429" s="208"/>
      <c r="AH429" s="208"/>
      <c r="AI429" s="208"/>
      <c r="AJ429" s="208"/>
      <c r="AK429" s="208"/>
    </row>
    <row r="430" hidden="1">
      <c r="A430" s="209">
        <f>IFERROR(__xludf.DUMMYFUNCTION("""COMPUTED_VALUE"""),46121.0)</f>
        <v>46121</v>
      </c>
      <c r="B430" s="210">
        <f>IFERROR(__xludf.DUMMYFUNCTION("""COMPUTED_VALUE"""),0.7708333333321207)</f>
        <v>0.7708333333</v>
      </c>
      <c r="C430" s="211" t="str">
        <f>IFERROR(__xludf.DUMMYFUNCTION("""COMPUTED_VALUE"""),"Whatsapp")</f>
        <v>Whatsapp</v>
      </c>
      <c r="D430" s="211" t="str">
        <f>IFERROR(__xludf.DUMMYFUNCTION("""COMPUTED_VALUE"""),"Promotional")</f>
        <v>Promotional</v>
      </c>
      <c r="E430" s="211" t="str">
        <f>IFERROR(__xludf.DUMMYFUNCTION("""COMPUTED_VALUE"""),"BBW")</f>
        <v>BBW</v>
      </c>
      <c r="F430" s="211" t="str">
        <f>IFERROR(__xludf.DUMMYFUNCTION("""COMPUTED_VALUE"""),"Bodycare")</f>
        <v>Bodycare</v>
      </c>
      <c r="G430" s="212" t="str">
        <f>IFERROR(__xludf.DUMMYFUNCTION("""COMPUTED_VALUE"""),"bbw_on_wa_bcat1099_9april_repeat")</f>
        <v>bbw_on_wa_bcat1099_9april_repeat</v>
      </c>
      <c r="H430" s="212" t="str">
        <f>IFERROR(__xludf.DUMMYFUNCTION("""COMPUTED_VALUE"""),"BBW_ON_BC_Repeat_8_Apr_26")</f>
        <v>BBW_ON_BC_Repeat_8_Apr_26</v>
      </c>
      <c r="I430" s="212" t="str">
        <f>IFERROR(__xludf.DUMMYFUNCTION("""COMPUTED_VALUE"""),"Online Customers have purchased in at least 2 times from BC")</f>
        <v>Online Customers have purchased in at least 2 times from BC</v>
      </c>
      <c r="J430" s="213">
        <f>IFERROR(__xludf.DUMMYFUNCTION("""COMPUTED_VALUE"""),13084.0)</f>
        <v>13084</v>
      </c>
      <c r="K430" s="213">
        <f>IFERROR(__xludf.DUMMYFUNCTION("""COMPUTED_VALUE"""),6322.0)</f>
        <v>6322</v>
      </c>
      <c r="L430" s="214">
        <f>IFERROR(__xludf.DUMMYFUNCTION("""COMPUTED_VALUE"""),0.4831)</f>
        <v>0.4831</v>
      </c>
      <c r="M430" s="214">
        <f>IFERROR(__xludf.DUMMYFUNCTION("""COMPUTED_VALUE"""),2776.0)</f>
        <v>2776</v>
      </c>
      <c r="N430" s="214">
        <f>IFERROR(__xludf.DUMMYFUNCTION("""COMPUTED_VALUE"""),0.439)</f>
        <v>0.439</v>
      </c>
      <c r="O430" s="213">
        <f>IFERROR(__xludf.DUMMYFUNCTION("""COMPUTED_VALUE"""),286.0)</f>
        <v>286</v>
      </c>
      <c r="P430" s="213">
        <f>IFERROR(__xludf.DUMMYFUNCTION("""COMPUTED_VALUE"""),270.0)</f>
        <v>270</v>
      </c>
      <c r="Q430" s="214">
        <f>IFERROR(__xludf.DUMMYFUNCTION("""COMPUTED_VALUE"""),0.0427)</f>
        <v>0.0427</v>
      </c>
      <c r="R430" s="214">
        <f>IFERROR(__xludf.DUMMYFUNCTION("""COMPUTED_VALUE"""),0.0973)</f>
        <v>0.0973</v>
      </c>
      <c r="S430" s="101">
        <f>IFERROR(__xludf.DUMMYFUNCTION("""COMPUTED_VALUE"""),10.0)</f>
        <v>10</v>
      </c>
      <c r="T430" s="101">
        <f>IFERROR(__xludf.DUMMYFUNCTION("""COMPUTED_VALUE"""),15.0)</f>
        <v>15</v>
      </c>
      <c r="U430" s="270">
        <f>IFERROR(__xludf.DUMMYFUNCTION("""COMPUTED_VALUE"""),21855.0)</f>
        <v>21855</v>
      </c>
      <c r="V430" s="271" t="str">
        <f>IFERROR(__xludf.DUMMYFUNCTION("""COMPUTED_VALUE"""),"online")</f>
        <v>online</v>
      </c>
      <c r="W430" s="272" t="str">
        <f>IFERROR(__xludf.DUMMYFUNCTION("""COMPUTED_VALUE"""),"simple")</f>
        <v>simple</v>
      </c>
      <c r="X430" s="272" t="str">
        <f>IFERROR(__xludf.DUMMYFUNCTION("""COMPUTED_VALUE"""),"Repeat")</f>
        <v>Repeat</v>
      </c>
      <c r="Y430" s="272" t="str">
        <f>IFERROR(__xludf.DUMMYFUNCTION("""COMPUTED_VALUE"""),"9-11 April")</f>
        <v>9-11 April</v>
      </c>
      <c r="Z430" s="272" t="str">
        <f>IFERROR(__xludf.DUMMYFUNCTION("""COMPUTED_VALUE"""),"69d787549104b3141de2ccd7")</f>
        <v>69d787549104b3141de2ccd7</v>
      </c>
      <c r="AA430" s="272">
        <f>IFERROR(__xludf.DUMMYFUNCTION("""COMPUTED_VALUE"""),36.0)</f>
        <v>36</v>
      </c>
      <c r="AB430" s="272">
        <f>IFERROR(__xludf.DUMMYFUNCTION("""COMPUTED_VALUE"""),36.0)</f>
        <v>36</v>
      </c>
      <c r="AC430" s="272"/>
      <c r="AD430" s="272">
        <f>IFERROR(__xludf.DUMMYFUNCTION("""COMPUTED_VALUE"""),86813.0)</f>
        <v>86813</v>
      </c>
      <c r="AE430" s="272">
        <f>IFERROR(__xludf.DUMMYFUNCTION("""COMPUTED_VALUE"""),86813.0)</f>
        <v>86813</v>
      </c>
      <c r="AF430" s="272"/>
      <c r="AG430" s="208"/>
      <c r="AH430" s="208"/>
      <c r="AI430" s="208"/>
      <c r="AJ430" s="208"/>
      <c r="AK430" s="208"/>
    </row>
    <row r="431" hidden="1">
      <c r="A431" s="209">
        <f>IFERROR(__xludf.DUMMYFUNCTION("""COMPUTED_VALUE"""),46121.0)</f>
        <v>46121</v>
      </c>
      <c r="B431" s="210">
        <f>IFERROR(__xludf.DUMMYFUNCTION("""COMPUTED_VALUE"""),0.7708333333321207)</f>
        <v>0.7708333333</v>
      </c>
      <c r="C431" s="211" t="str">
        <f>IFERROR(__xludf.DUMMYFUNCTION("""COMPUTED_VALUE"""),"Whatsapp")</f>
        <v>Whatsapp</v>
      </c>
      <c r="D431" s="211" t="str">
        <f>IFERROR(__xludf.DUMMYFUNCTION("""COMPUTED_VALUE"""),"Promotional")</f>
        <v>Promotional</v>
      </c>
      <c r="E431" s="211" t="str">
        <f>IFERROR(__xludf.DUMMYFUNCTION("""COMPUTED_VALUE"""),"BBW")</f>
        <v>BBW</v>
      </c>
      <c r="F431" s="211" t="str">
        <f>IFERROR(__xludf.DUMMYFUNCTION("""COMPUTED_VALUE"""),"Bodycare")</f>
        <v>Bodycare</v>
      </c>
      <c r="G431" s="212" t="str">
        <f>IFERROR(__xludf.DUMMYFUNCTION("""COMPUTED_VALUE"""),"bbw_on_wa_bcat1099_9april_predombelow1299")</f>
        <v>bbw_on_wa_bcat1099_9april_predombelow1299</v>
      </c>
      <c r="H431" s="212" t="str">
        <f>IFERROR(__xludf.DUMMYFUNCTION("""COMPUTED_VALUE"""),"BBW_ON_BC_Price_Predom_Below_1299_8_Apr_26")</f>
        <v>BBW_ON_BC_Price_Predom_Below_1299_8_Apr_26</v>
      </c>
      <c r="I431" s="212" t="str">
        <f>IFERROR(__xludf.DUMMYFUNCTION("""COMPUTED_VALUE"""),"Online Customers who have predom purchased with cart value below 1299")</f>
        <v>Online Customers who have predom purchased with cart value below 1299</v>
      </c>
      <c r="J431" s="213">
        <f>IFERROR(__xludf.DUMMYFUNCTION("""COMPUTED_VALUE"""),126827.0)</f>
        <v>126827</v>
      </c>
      <c r="K431" s="213">
        <f>IFERROR(__xludf.DUMMYFUNCTION("""COMPUTED_VALUE"""),64595.0)</f>
        <v>64595</v>
      </c>
      <c r="L431" s="214">
        <f>IFERROR(__xludf.DUMMYFUNCTION("""COMPUTED_VALUE"""),0.5092)</f>
        <v>0.5092</v>
      </c>
      <c r="M431" s="214">
        <f>IFERROR(__xludf.DUMMYFUNCTION("""COMPUTED_VALUE"""),23516.0)</f>
        <v>23516</v>
      </c>
      <c r="N431" s="214">
        <f>IFERROR(__xludf.DUMMYFUNCTION("""COMPUTED_VALUE"""),0.3641)</f>
        <v>0.3641</v>
      </c>
      <c r="O431" s="213">
        <f>IFERROR(__xludf.DUMMYFUNCTION("""COMPUTED_VALUE"""),1749.0)</f>
        <v>1749</v>
      </c>
      <c r="P431" s="213">
        <f>IFERROR(__xludf.DUMMYFUNCTION("""COMPUTED_VALUE"""),1686.0)</f>
        <v>1686</v>
      </c>
      <c r="Q431" s="214">
        <f>IFERROR(__xludf.DUMMYFUNCTION("""COMPUTED_VALUE"""),0.0261)</f>
        <v>0.0261</v>
      </c>
      <c r="R431" s="214">
        <f>IFERROR(__xludf.DUMMYFUNCTION("""COMPUTED_VALUE"""),0.0717)</f>
        <v>0.0717</v>
      </c>
      <c r="S431" s="101">
        <f>IFERROR(__xludf.DUMMYFUNCTION("""COMPUTED_VALUE"""),15.0)</f>
        <v>15</v>
      </c>
      <c r="T431" s="101">
        <f>IFERROR(__xludf.DUMMYFUNCTION("""COMPUTED_VALUE"""),33.0)</f>
        <v>33</v>
      </c>
      <c r="U431" s="270">
        <f>IFERROR(__xludf.DUMMYFUNCTION("""COMPUTED_VALUE"""),31646.0)</f>
        <v>31646</v>
      </c>
      <c r="V431" s="271" t="str">
        <f>IFERROR(__xludf.DUMMYFUNCTION("""COMPUTED_VALUE"""),"online")</f>
        <v>online</v>
      </c>
      <c r="W431" s="272" t="str">
        <f>IFERROR(__xludf.DUMMYFUNCTION("""COMPUTED_VALUE"""),"simple")</f>
        <v>simple</v>
      </c>
      <c r="X431" s="272" t="str">
        <f>IFERROR(__xludf.DUMMYFUNCTION("""COMPUTED_VALUE"""),"Price Predom")</f>
        <v>Price Predom</v>
      </c>
      <c r="Y431" s="272" t="str">
        <f>IFERROR(__xludf.DUMMYFUNCTION("""COMPUTED_VALUE"""),"9-11 April")</f>
        <v>9-11 April</v>
      </c>
      <c r="Z431" s="272" t="str">
        <f>IFERROR(__xludf.DUMMYFUNCTION("""COMPUTED_VALUE"""),"69d788b8294f4d7e3ec3076e")</f>
        <v>69d788b8294f4d7e3ec3076e</v>
      </c>
      <c r="AA431" s="272">
        <f>IFERROR(__xludf.DUMMYFUNCTION("""COMPUTED_VALUE"""),74.0)</f>
        <v>74</v>
      </c>
      <c r="AB431" s="272">
        <f>IFERROR(__xludf.DUMMYFUNCTION("""COMPUTED_VALUE"""),74.0)</f>
        <v>74</v>
      </c>
      <c r="AC431" s="272"/>
      <c r="AD431" s="272">
        <f>IFERROR(__xludf.DUMMYFUNCTION("""COMPUTED_VALUE"""),145775.0)</f>
        <v>145775</v>
      </c>
      <c r="AE431" s="272">
        <f>IFERROR(__xludf.DUMMYFUNCTION("""COMPUTED_VALUE"""),145775.0)</f>
        <v>145775</v>
      </c>
      <c r="AF431" s="272"/>
      <c r="AG431" s="208"/>
      <c r="AH431" s="208"/>
      <c r="AI431" s="208"/>
      <c r="AJ431" s="208"/>
      <c r="AK431" s="208"/>
    </row>
    <row r="432" hidden="1">
      <c r="A432" s="209">
        <f>IFERROR(__xludf.DUMMYFUNCTION("""COMPUTED_VALUE"""),46121.0)</f>
        <v>46121</v>
      </c>
      <c r="B432" s="210">
        <f>IFERROR(__xludf.DUMMYFUNCTION("""COMPUTED_VALUE"""),0.7708333333321207)</f>
        <v>0.7708333333</v>
      </c>
      <c r="C432" s="211" t="str">
        <f>IFERROR(__xludf.DUMMYFUNCTION("""COMPUTED_VALUE"""),"Whatsapp")</f>
        <v>Whatsapp</v>
      </c>
      <c r="D432" s="211" t="str">
        <f>IFERROR(__xludf.DUMMYFUNCTION("""COMPUTED_VALUE"""),"Promotional")</f>
        <v>Promotional</v>
      </c>
      <c r="E432" s="211" t="str">
        <f>IFERROR(__xludf.DUMMYFUNCTION("""COMPUTED_VALUE"""),"BBW")</f>
        <v>BBW</v>
      </c>
      <c r="F432" s="211" t="str">
        <f>IFERROR(__xludf.DUMMYFUNCTION("""COMPUTED_VALUE"""),"Bodycare")</f>
        <v>Bodycare</v>
      </c>
      <c r="G432" s="212" t="str">
        <f>IFERROR(__xludf.DUMMYFUNCTION("""COMPUTED_VALUE"""),"bbw_on_wa_bcat1099_9april_qty2")</f>
        <v>bbw_on_wa_bcat1099_9april_qty2</v>
      </c>
      <c r="H432" s="212" t="str">
        <f>IFERROR(__xludf.DUMMYFUNCTION("""COMPUTED_VALUE"""),"BBW_ON_Qty2_Predom_8_Apr_26")</f>
        <v>BBW_ON_Qty2_Predom_8_Apr_26</v>
      </c>
      <c r="I432" s="212" t="str">
        <f>IFERROR(__xludf.DUMMYFUNCTION("""COMPUTED_VALUE"""),"Online Customers whose predom UPT is &gt;2")</f>
        <v>Online Customers whose predom UPT is &gt;2</v>
      </c>
      <c r="J432" s="213">
        <f>IFERROR(__xludf.DUMMYFUNCTION("""COMPUTED_VALUE"""),85049.0)</f>
        <v>85049</v>
      </c>
      <c r="K432" s="213">
        <f>IFERROR(__xludf.DUMMYFUNCTION("""COMPUTED_VALUE"""),39618.0)</f>
        <v>39618</v>
      </c>
      <c r="L432" s="214">
        <f>IFERROR(__xludf.DUMMYFUNCTION("""COMPUTED_VALUE"""),0.4658)</f>
        <v>0.4658</v>
      </c>
      <c r="M432" s="214">
        <f>IFERROR(__xludf.DUMMYFUNCTION("""COMPUTED_VALUE"""),15242.0)</f>
        <v>15242</v>
      </c>
      <c r="N432" s="214">
        <f>IFERROR(__xludf.DUMMYFUNCTION("""COMPUTED_VALUE"""),0.3847)</f>
        <v>0.3847</v>
      </c>
      <c r="O432" s="213">
        <f>IFERROR(__xludf.DUMMYFUNCTION("""COMPUTED_VALUE"""),1100.0)</f>
        <v>1100</v>
      </c>
      <c r="P432" s="213">
        <f>IFERROR(__xludf.DUMMYFUNCTION("""COMPUTED_VALUE"""),1045.0)</f>
        <v>1045</v>
      </c>
      <c r="Q432" s="214">
        <f>IFERROR(__xludf.DUMMYFUNCTION("""COMPUTED_VALUE"""),0.0264)</f>
        <v>0.0264</v>
      </c>
      <c r="R432" s="214">
        <f>IFERROR(__xludf.DUMMYFUNCTION("""COMPUTED_VALUE"""),0.0686)</f>
        <v>0.0686</v>
      </c>
      <c r="S432" s="101">
        <f>IFERROR(__xludf.DUMMYFUNCTION("""COMPUTED_VALUE"""),21.0)</f>
        <v>21</v>
      </c>
      <c r="T432" s="101">
        <f>IFERROR(__xludf.DUMMYFUNCTION("""COMPUTED_VALUE"""),30.0)</f>
        <v>30</v>
      </c>
      <c r="U432" s="270">
        <f>IFERROR(__xludf.DUMMYFUNCTION("""COMPUTED_VALUE"""),79123.0)</f>
        <v>79123</v>
      </c>
      <c r="V432" s="271" t="str">
        <f>IFERROR(__xludf.DUMMYFUNCTION("""COMPUTED_VALUE"""),"online")</f>
        <v>online</v>
      </c>
      <c r="W432" s="272" t="str">
        <f>IFERROR(__xludf.DUMMYFUNCTION("""COMPUTED_VALUE"""),"simple")</f>
        <v>simple</v>
      </c>
      <c r="X432" s="272" t="str">
        <f>IFERROR(__xludf.DUMMYFUNCTION("""COMPUTED_VALUE"""),"Cart Qty Predom")</f>
        <v>Cart Qty Predom</v>
      </c>
      <c r="Y432" s="272" t="str">
        <f>IFERROR(__xludf.DUMMYFUNCTION("""COMPUTED_VALUE"""),"9-11 April")</f>
        <v>9-11 April</v>
      </c>
      <c r="Z432" s="272" t="str">
        <f>IFERROR(__xludf.DUMMYFUNCTION("""COMPUTED_VALUE"""),"69d789368b3b27103b78b556")</f>
        <v>69d789368b3b27103b78b556</v>
      </c>
      <c r="AA432" s="272">
        <f>IFERROR(__xludf.DUMMYFUNCTION("""COMPUTED_VALUE"""),76.0)</f>
        <v>76</v>
      </c>
      <c r="AB432" s="272">
        <f>IFERROR(__xludf.DUMMYFUNCTION("""COMPUTED_VALUE"""),76.0)</f>
        <v>76</v>
      </c>
      <c r="AC432" s="272"/>
      <c r="AD432" s="272">
        <f>IFERROR(__xludf.DUMMYFUNCTION("""COMPUTED_VALUE"""),316007.0)</f>
        <v>316007</v>
      </c>
      <c r="AE432" s="272">
        <f>IFERROR(__xludf.DUMMYFUNCTION("""COMPUTED_VALUE"""),316007.0)</f>
        <v>316007</v>
      </c>
      <c r="AF432" s="272"/>
      <c r="AG432" s="208"/>
      <c r="AH432" s="208"/>
      <c r="AI432" s="208"/>
      <c r="AJ432" s="208"/>
      <c r="AK432" s="208"/>
    </row>
    <row r="433" hidden="1">
      <c r="A433" s="209">
        <f>IFERROR(__xludf.DUMMYFUNCTION("""COMPUTED_VALUE"""),46121.0)</f>
        <v>46121</v>
      </c>
      <c r="B433" s="210">
        <f>IFERROR(__xludf.DUMMYFUNCTION("""COMPUTED_VALUE"""),0.8333333333321207)</f>
        <v>0.8333333333</v>
      </c>
      <c r="C433" s="211" t="str">
        <f>IFERROR(__xludf.DUMMYFUNCTION("""COMPUTED_VALUE"""),"Sms")</f>
        <v>Sms</v>
      </c>
      <c r="D433" s="211" t="str">
        <f>IFERROR(__xludf.DUMMYFUNCTION("""COMPUTED_VALUE"""),"Fallback campaign")</f>
        <v>Fallback campaign</v>
      </c>
      <c r="E433" s="211" t="str">
        <f>IFERROR(__xludf.DUMMYFUNCTION("""COMPUTED_VALUE"""),"BBW")</f>
        <v>BBW</v>
      </c>
      <c r="F433" s="211" t="str">
        <f>IFERROR(__xludf.DUMMYFUNCTION("""COMPUTED_VALUE"""),"Bodycare")</f>
        <v>Bodycare</v>
      </c>
      <c r="G433" s="212" t="str">
        <f>IFERROR(__xludf.DUMMYFUNCTION("""COMPUTED_VALUE"""),"bbw_on_smsfb_bcat1099_9april_atc&amp;viewitem")</f>
        <v>bbw_on_smsfb_bcat1099_9april_atc&amp;viewitem</v>
      </c>
      <c r="H433" s="212" t="str">
        <f>IFERROR(__xludf.DUMMYFUNCTION("""COMPUTED_VALUE"""),"BBW_ON_BC_ATC_View_Item_8_Apr_26")</f>
        <v>BBW_ON_BC_ATC_View_Item_8_Apr_26</v>
      </c>
      <c r="I433" s="212" t="str">
        <f>IFERROR(__xludf.DUMMYFUNCTION("""COMPUTED_VALUE"""),"WA Undelivered")</f>
        <v>WA Undelivered</v>
      </c>
      <c r="J433" s="213">
        <f>IFERROR(__xludf.DUMMYFUNCTION("""COMPUTED_VALUE"""),383.0)</f>
        <v>383</v>
      </c>
      <c r="K433" s="213">
        <f>IFERROR(__xludf.DUMMYFUNCTION("""COMPUTED_VALUE"""),198.0)</f>
        <v>198</v>
      </c>
      <c r="L433" s="214">
        <f>IFERROR(__xludf.DUMMYFUNCTION("""COMPUTED_VALUE"""),0.517)</f>
        <v>0.517</v>
      </c>
      <c r="M433" s="214"/>
      <c r="N433" s="214"/>
      <c r="O433" s="213">
        <f>IFERROR(__xludf.DUMMYFUNCTION("""COMPUTED_VALUE"""),2.0)</f>
        <v>2</v>
      </c>
      <c r="P433" s="213"/>
      <c r="Q433" s="214">
        <f>IFERROR(__xludf.DUMMYFUNCTION("""COMPUTED_VALUE"""),0.0101)</f>
        <v>0.0101</v>
      </c>
      <c r="R433" s="214"/>
      <c r="S433" s="101">
        <f>IFERROR(__xludf.DUMMYFUNCTION("""COMPUTED_VALUE"""),0.0)</f>
        <v>0</v>
      </c>
      <c r="T433" s="101">
        <f>IFERROR(__xludf.DUMMYFUNCTION("""COMPUTED_VALUE"""),4.0)</f>
        <v>4</v>
      </c>
      <c r="U433" s="270">
        <f>IFERROR(__xludf.DUMMYFUNCTION("""COMPUTED_VALUE"""),0.0)</f>
        <v>0</v>
      </c>
      <c r="V433" s="271" t="str">
        <f>IFERROR(__xludf.DUMMYFUNCTION("""COMPUTED_VALUE"""),"online")</f>
        <v>online</v>
      </c>
      <c r="W433" s="272" t="str">
        <f>IFERROR(__xludf.DUMMYFUNCTION("""COMPUTED_VALUE"""),"SMS")</f>
        <v>SMS</v>
      </c>
      <c r="X433" s="272" t="str">
        <f>IFERROR(__xludf.DUMMYFUNCTION("""COMPUTED_VALUE"""),"Online Event - ATC;  View Item")</f>
        <v>Online Event - ATC;  View Item</v>
      </c>
      <c r="Y433" s="272" t="str">
        <f>IFERROR(__xludf.DUMMYFUNCTION("""COMPUTED_VALUE"""),"9-11 April")</f>
        <v>9-11 April</v>
      </c>
      <c r="Z433" s="272" t="str">
        <f>IFERROR(__xludf.DUMMYFUNCTION("""COMPUTED_VALUE"""),"69d793275fc6a34acc7ff92d")</f>
        <v>69d793275fc6a34acc7ff92d</v>
      </c>
      <c r="AA433" s="272">
        <f>IFERROR(__xludf.DUMMYFUNCTION("""COMPUTED_VALUE"""),2.0)</f>
        <v>2</v>
      </c>
      <c r="AB433" s="272">
        <f>IFERROR(__xludf.DUMMYFUNCTION("""COMPUTED_VALUE"""),2.0)</f>
        <v>2</v>
      </c>
      <c r="AC433" s="272"/>
      <c r="AD433" s="272">
        <f>IFERROR(__xludf.DUMMYFUNCTION("""COMPUTED_VALUE"""),2088.0)</f>
        <v>2088</v>
      </c>
      <c r="AE433" s="272">
        <f>IFERROR(__xludf.DUMMYFUNCTION("""COMPUTED_VALUE"""),2088.0)</f>
        <v>2088</v>
      </c>
      <c r="AF433" s="272"/>
      <c r="AG433" s="208"/>
      <c r="AH433" s="208"/>
      <c r="AI433" s="208"/>
      <c r="AJ433" s="208"/>
      <c r="AK433" s="208"/>
    </row>
    <row r="434" hidden="1">
      <c r="A434" s="209">
        <f>IFERROR(__xludf.DUMMYFUNCTION("""COMPUTED_VALUE"""),46121.0)</f>
        <v>46121</v>
      </c>
      <c r="B434" s="210">
        <f>IFERROR(__xludf.DUMMYFUNCTION("""COMPUTED_VALUE"""),0.8333333333321207)</f>
        <v>0.8333333333</v>
      </c>
      <c r="C434" s="211" t="str">
        <f>IFERROR(__xludf.DUMMYFUNCTION("""COMPUTED_VALUE"""),"Sms")</f>
        <v>Sms</v>
      </c>
      <c r="D434" s="211" t="str">
        <f>IFERROR(__xludf.DUMMYFUNCTION("""COMPUTED_VALUE"""),"Fallback campaign")</f>
        <v>Fallback campaign</v>
      </c>
      <c r="E434" s="211" t="str">
        <f>IFERROR(__xludf.DUMMYFUNCTION("""COMPUTED_VALUE"""),"BBW")</f>
        <v>BBW</v>
      </c>
      <c r="F434" s="211" t="str">
        <f>IFERROR(__xludf.DUMMYFUNCTION("""COMPUTED_VALUE"""),"Bodycare")</f>
        <v>Bodycare</v>
      </c>
      <c r="G434" s="212" t="str">
        <f>IFERROR(__xludf.DUMMYFUNCTION("""COMPUTED_VALUE"""),"bbw_on_smsfb_bcat1099_9april_recent")</f>
        <v>bbw_on_smsfb_bcat1099_9april_recent</v>
      </c>
      <c r="H434" s="212" t="str">
        <f>IFERROR(__xludf.DUMMYFUNCTION("""COMPUTED_VALUE"""),"BBW_ON_BC_Recent_8_Apr_26")</f>
        <v>BBW_ON_BC_Recent_8_Apr_26</v>
      </c>
      <c r="I434" s="212" t="str">
        <f>IFERROR(__xludf.DUMMYFUNCTION("""COMPUTED_VALUE"""),"WA Undelivered")</f>
        <v>WA Undelivered</v>
      </c>
      <c r="J434" s="213">
        <f>IFERROR(__xludf.DUMMYFUNCTION("""COMPUTED_VALUE"""),6191.0)</f>
        <v>6191</v>
      </c>
      <c r="K434" s="213">
        <f>IFERROR(__xludf.DUMMYFUNCTION("""COMPUTED_VALUE"""),3304.0)</f>
        <v>3304</v>
      </c>
      <c r="L434" s="214">
        <f>IFERROR(__xludf.DUMMYFUNCTION("""COMPUTED_VALUE"""),0.5337)</f>
        <v>0.5337</v>
      </c>
      <c r="M434" s="214"/>
      <c r="N434" s="214"/>
      <c r="O434" s="213">
        <f>IFERROR(__xludf.DUMMYFUNCTION("""COMPUTED_VALUE"""),8.0)</f>
        <v>8</v>
      </c>
      <c r="P434" s="213"/>
      <c r="Q434" s="214">
        <f>IFERROR(__xludf.DUMMYFUNCTION("""COMPUTED_VALUE"""),0.0024)</f>
        <v>0.0024</v>
      </c>
      <c r="R434" s="214"/>
      <c r="S434" s="101">
        <f>IFERROR(__xludf.DUMMYFUNCTION("""COMPUTED_VALUE"""),3.0)</f>
        <v>3</v>
      </c>
      <c r="T434" s="101">
        <f>IFERROR(__xludf.DUMMYFUNCTION("""COMPUTED_VALUE"""),5.0)</f>
        <v>5</v>
      </c>
      <c r="U434" s="270">
        <f>IFERROR(__xludf.DUMMYFUNCTION("""COMPUTED_VALUE"""),13435.0)</f>
        <v>13435</v>
      </c>
      <c r="V434" s="271" t="str">
        <f>IFERROR(__xludf.DUMMYFUNCTION("""COMPUTED_VALUE"""),"online")</f>
        <v>online</v>
      </c>
      <c r="W434" s="272" t="str">
        <f>IFERROR(__xludf.DUMMYFUNCTION("""COMPUTED_VALUE"""),"SMS")</f>
        <v>SMS</v>
      </c>
      <c r="X434" s="272" t="str">
        <f>IFERROR(__xludf.DUMMYFUNCTION("""COMPUTED_VALUE"""),"Recent")</f>
        <v>Recent</v>
      </c>
      <c r="Y434" s="272" t="str">
        <f>IFERROR(__xludf.DUMMYFUNCTION("""COMPUTED_VALUE"""),"9-11 April")</f>
        <v>9-11 April</v>
      </c>
      <c r="Z434" s="272" t="str">
        <f>IFERROR(__xludf.DUMMYFUNCTION("""COMPUTED_VALUE"""),"69d793623d0feebc8074a1bc")</f>
        <v>69d793623d0feebc8074a1bc</v>
      </c>
      <c r="AA434" s="272">
        <f>IFERROR(__xludf.DUMMYFUNCTION("""COMPUTED_VALUE"""),32.0)</f>
        <v>32</v>
      </c>
      <c r="AB434" s="272">
        <f>IFERROR(__xludf.DUMMYFUNCTION("""COMPUTED_VALUE"""),32.0)</f>
        <v>32</v>
      </c>
      <c r="AC434" s="272"/>
      <c r="AD434" s="272">
        <f>IFERROR(__xludf.DUMMYFUNCTION("""COMPUTED_VALUE"""),127977.0)</f>
        <v>127977</v>
      </c>
      <c r="AE434" s="272">
        <f>IFERROR(__xludf.DUMMYFUNCTION("""COMPUTED_VALUE"""),127977.0)</f>
        <v>127977</v>
      </c>
      <c r="AF434" s="272"/>
      <c r="AG434" s="208"/>
      <c r="AH434" s="208"/>
      <c r="AI434" s="208"/>
      <c r="AJ434" s="208"/>
      <c r="AK434" s="208"/>
    </row>
    <row r="435" hidden="1">
      <c r="A435" s="209">
        <f>IFERROR(__xludf.DUMMYFUNCTION("""COMPUTED_VALUE"""),46121.0)</f>
        <v>46121</v>
      </c>
      <c r="B435" s="210">
        <f>IFERROR(__xludf.DUMMYFUNCTION("""COMPUTED_VALUE"""),0.8333333333321207)</f>
        <v>0.8333333333</v>
      </c>
      <c r="C435" s="211" t="str">
        <f>IFERROR(__xludf.DUMMYFUNCTION("""COMPUTED_VALUE"""),"Sms")</f>
        <v>Sms</v>
      </c>
      <c r="D435" s="211" t="str">
        <f>IFERROR(__xludf.DUMMYFUNCTION("""COMPUTED_VALUE"""),"Fallback campaign")</f>
        <v>Fallback campaign</v>
      </c>
      <c r="E435" s="211" t="str">
        <f>IFERROR(__xludf.DUMMYFUNCTION("""COMPUTED_VALUE"""),"BBW")</f>
        <v>BBW</v>
      </c>
      <c r="F435" s="211" t="str">
        <f>IFERROR(__xludf.DUMMYFUNCTION("""COMPUTED_VALUE"""),"Bodycare")</f>
        <v>Bodycare</v>
      </c>
      <c r="G435" s="212" t="str">
        <f>IFERROR(__xludf.DUMMYFUNCTION("""COMPUTED_VALUE"""),"bbw_on_smsfb_bcat1099_9april_repeat")</f>
        <v>bbw_on_smsfb_bcat1099_9april_repeat</v>
      </c>
      <c r="H435" s="212" t="str">
        <f>IFERROR(__xludf.DUMMYFUNCTION("""COMPUTED_VALUE"""),"BBW_ON_BC_Repeat_8_Apr_26")</f>
        <v>BBW_ON_BC_Repeat_8_Apr_26</v>
      </c>
      <c r="I435" s="212" t="str">
        <f>IFERROR(__xludf.DUMMYFUNCTION("""COMPUTED_VALUE"""),"WA Undelivered")</f>
        <v>WA Undelivered</v>
      </c>
      <c r="J435" s="213">
        <f>IFERROR(__xludf.DUMMYFUNCTION("""COMPUTED_VALUE"""),6495.0)</f>
        <v>6495</v>
      </c>
      <c r="K435" s="213">
        <f>IFERROR(__xludf.DUMMYFUNCTION("""COMPUTED_VALUE"""),3602.0)</f>
        <v>3602</v>
      </c>
      <c r="L435" s="214">
        <f>IFERROR(__xludf.DUMMYFUNCTION("""COMPUTED_VALUE"""),0.5546)</f>
        <v>0.5546</v>
      </c>
      <c r="M435" s="214"/>
      <c r="N435" s="214"/>
      <c r="O435" s="213">
        <f>IFERROR(__xludf.DUMMYFUNCTION("""COMPUTED_VALUE"""),20.0)</f>
        <v>20</v>
      </c>
      <c r="P435" s="213"/>
      <c r="Q435" s="214">
        <f>IFERROR(__xludf.DUMMYFUNCTION("""COMPUTED_VALUE"""),0.0056)</f>
        <v>0.0056</v>
      </c>
      <c r="R435" s="214"/>
      <c r="S435" s="101">
        <f>IFERROR(__xludf.DUMMYFUNCTION("""COMPUTED_VALUE"""),1.0)</f>
        <v>1</v>
      </c>
      <c r="T435" s="101">
        <f>IFERROR(__xludf.DUMMYFUNCTION("""COMPUTED_VALUE"""),1.0)</f>
        <v>1</v>
      </c>
      <c r="U435" s="270">
        <f>IFERROR(__xludf.DUMMYFUNCTION("""COMPUTED_VALUE"""),1799.0)</f>
        <v>1799</v>
      </c>
      <c r="V435" s="271" t="str">
        <f>IFERROR(__xludf.DUMMYFUNCTION("""COMPUTED_VALUE"""),"online")</f>
        <v>online</v>
      </c>
      <c r="W435" s="272" t="str">
        <f>IFERROR(__xludf.DUMMYFUNCTION("""COMPUTED_VALUE"""),"SMS")</f>
        <v>SMS</v>
      </c>
      <c r="X435" s="272" t="str">
        <f>IFERROR(__xludf.DUMMYFUNCTION("""COMPUTED_VALUE"""),"Repeat")</f>
        <v>Repeat</v>
      </c>
      <c r="Y435" s="272" t="str">
        <f>IFERROR(__xludf.DUMMYFUNCTION("""COMPUTED_VALUE"""),"9-11 April")</f>
        <v>9-11 April</v>
      </c>
      <c r="Z435" s="272" t="str">
        <f>IFERROR(__xludf.DUMMYFUNCTION("""COMPUTED_VALUE"""),"69d7939b3a42b2f8f9fefd73")</f>
        <v>69d7939b3a42b2f8f9fefd73</v>
      </c>
      <c r="AA435" s="272">
        <f>IFERROR(__xludf.DUMMYFUNCTION("""COMPUTED_VALUE"""),20.0)</f>
        <v>20</v>
      </c>
      <c r="AB435" s="272">
        <f>IFERROR(__xludf.DUMMYFUNCTION("""COMPUTED_VALUE"""),20.0)</f>
        <v>20</v>
      </c>
      <c r="AC435" s="272"/>
      <c r="AD435" s="272">
        <f>IFERROR(__xludf.DUMMYFUNCTION("""COMPUTED_VALUE"""),38724.0)</f>
        <v>38724</v>
      </c>
      <c r="AE435" s="272">
        <f>IFERROR(__xludf.DUMMYFUNCTION("""COMPUTED_VALUE"""),38724.0)</f>
        <v>38724</v>
      </c>
      <c r="AF435" s="272"/>
      <c r="AG435" s="208"/>
      <c r="AH435" s="208"/>
      <c r="AI435" s="208"/>
      <c r="AJ435" s="208"/>
      <c r="AK435" s="208"/>
    </row>
    <row r="436" hidden="1">
      <c r="A436" s="209">
        <f>IFERROR(__xludf.DUMMYFUNCTION("""COMPUTED_VALUE"""),46121.0)</f>
        <v>46121</v>
      </c>
      <c r="B436" s="210">
        <f>IFERROR(__xludf.DUMMYFUNCTION("""COMPUTED_VALUE"""),0.8333333333321207)</f>
        <v>0.8333333333</v>
      </c>
      <c r="C436" s="211" t="str">
        <f>IFERROR(__xludf.DUMMYFUNCTION("""COMPUTED_VALUE"""),"Sms")</f>
        <v>Sms</v>
      </c>
      <c r="D436" s="211" t="str">
        <f>IFERROR(__xludf.DUMMYFUNCTION("""COMPUTED_VALUE"""),"Fallback campaign")</f>
        <v>Fallback campaign</v>
      </c>
      <c r="E436" s="211" t="str">
        <f>IFERROR(__xludf.DUMMYFUNCTION("""COMPUTED_VALUE"""),"BBW")</f>
        <v>BBW</v>
      </c>
      <c r="F436" s="211" t="str">
        <f>IFERROR(__xludf.DUMMYFUNCTION("""COMPUTED_VALUE"""),"Bodycare")</f>
        <v>Bodycare</v>
      </c>
      <c r="G436" s="212" t="str">
        <f>IFERROR(__xludf.DUMMYFUNCTION("""COMPUTED_VALUE"""),"bbw_on_smsfb_bcat1099_9april_predombelow1299")</f>
        <v>bbw_on_smsfb_bcat1099_9april_predombelow1299</v>
      </c>
      <c r="H436" s="212" t="str">
        <f>IFERROR(__xludf.DUMMYFUNCTION("""COMPUTED_VALUE"""),"BBW_ON_BC_Price_Predom_Below_1299_8_Apr_26")</f>
        <v>BBW_ON_BC_Price_Predom_Below_1299_8_Apr_26</v>
      </c>
      <c r="I436" s="212" t="str">
        <f>IFERROR(__xludf.DUMMYFUNCTION("""COMPUTED_VALUE"""),"WA Undelivered")</f>
        <v>WA Undelivered</v>
      </c>
      <c r="J436" s="213">
        <f>IFERROR(__xludf.DUMMYFUNCTION("""COMPUTED_VALUE"""),57500.0)</f>
        <v>57500</v>
      </c>
      <c r="K436" s="213">
        <f>IFERROR(__xludf.DUMMYFUNCTION("""COMPUTED_VALUE"""),37909.0)</f>
        <v>37909</v>
      </c>
      <c r="L436" s="214">
        <f>IFERROR(__xludf.DUMMYFUNCTION("""COMPUTED_VALUE"""),0.6593)</f>
        <v>0.6593</v>
      </c>
      <c r="M436" s="214"/>
      <c r="N436" s="214"/>
      <c r="O436" s="213">
        <f>IFERROR(__xludf.DUMMYFUNCTION("""COMPUTED_VALUE"""),30.0)</f>
        <v>30</v>
      </c>
      <c r="P436" s="213"/>
      <c r="Q436" s="214">
        <f>IFERROR(__xludf.DUMMYFUNCTION("""COMPUTED_VALUE"""),8.0E-4)</f>
        <v>0.0008</v>
      </c>
      <c r="R436" s="214"/>
      <c r="S436" s="101">
        <f>IFERROR(__xludf.DUMMYFUNCTION("""COMPUTED_VALUE"""),0.0)</f>
        <v>0</v>
      </c>
      <c r="T436" s="101">
        <f>IFERROR(__xludf.DUMMYFUNCTION("""COMPUTED_VALUE"""),8.0)</f>
        <v>8</v>
      </c>
      <c r="U436" s="270">
        <f>IFERROR(__xludf.DUMMYFUNCTION("""COMPUTED_VALUE"""),0.0)</f>
        <v>0</v>
      </c>
      <c r="V436" s="271" t="str">
        <f>IFERROR(__xludf.DUMMYFUNCTION("""COMPUTED_VALUE"""),"online")</f>
        <v>online</v>
      </c>
      <c r="W436" s="272" t="str">
        <f>IFERROR(__xludf.DUMMYFUNCTION("""COMPUTED_VALUE"""),"SMS")</f>
        <v>SMS</v>
      </c>
      <c r="X436" s="272" t="str">
        <f>IFERROR(__xludf.DUMMYFUNCTION("""COMPUTED_VALUE"""),"Price Predom")</f>
        <v>Price Predom</v>
      </c>
      <c r="Y436" s="272" t="str">
        <f>IFERROR(__xludf.DUMMYFUNCTION("""COMPUTED_VALUE"""),"9-11 April")</f>
        <v>9-11 April</v>
      </c>
      <c r="Z436" s="272" t="str">
        <f>IFERROR(__xludf.DUMMYFUNCTION("""COMPUTED_VALUE"""),"69d793d969f23fcef00d8da7")</f>
        <v>69d793d969f23fcef00d8da7</v>
      </c>
      <c r="AA436" s="272">
        <f>IFERROR(__xludf.DUMMYFUNCTION("""COMPUTED_VALUE"""),25.0)</f>
        <v>25</v>
      </c>
      <c r="AB436" s="272">
        <f>IFERROR(__xludf.DUMMYFUNCTION("""COMPUTED_VALUE"""),25.0)</f>
        <v>25</v>
      </c>
      <c r="AC436" s="272"/>
      <c r="AD436" s="272">
        <f>IFERROR(__xludf.DUMMYFUNCTION("""COMPUTED_VALUE"""),48306.0)</f>
        <v>48306</v>
      </c>
      <c r="AE436" s="272">
        <f>IFERROR(__xludf.DUMMYFUNCTION("""COMPUTED_VALUE"""),48306.0)</f>
        <v>48306</v>
      </c>
      <c r="AF436" s="272"/>
      <c r="AG436" s="208"/>
      <c r="AH436" s="208"/>
      <c r="AI436" s="208"/>
      <c r="AJ436" s="208"/>
      <c r="AK436" s="208"/>
    </row>
    <row r="437" hidden="1">
      <c r="A437" s="209">
        <f>IFERROR(__xludf.DUMMYFUNCTION("""COMPUTED_VALUE"""),46121.0)</f>
        <v>46121</v>
      </c>
      <c r="B437" s="210">
        <f>IFERROR(__xludf.DUMMYFUNCTION("""COMPUTED_VALUE"""),0.8333333333321207)</f>
        <v>0.8333333333</v>
      </c>
      <c r="C437" s="211" t="str">
        <f>IFERROR(__xludf.DUMMYFUNCTION("""COMPUTED_VALUE"""),"Sms")</f>
        <v>Sms</v>
      </c>
      <c r="D437" s="211" t="str">
        <f>IFERROR(__xludf.DUMMYFUNCTION("""COMPUTED_VALUE"""),"Fallback campaign")</f>
        <v>Fallback campaign</v>
      </c>
      <c r="E437" s="211" t="str">
        <f>IFERROR(__xludf.DUMMYFUNCTION("""COMPUTED_VALUE"""),"BBW")</f>
        <v>BBW</v>
      </c>
      <c r="F437" s="211" t="str">
        <f>IFERROR(__xludf.DUMMYFUNCTION("""COMPUTED_VALUE"""),"Bodycare")</f>
        <v>Bodycare</v>
      </c>
      <c r="G437" s="212" t="str">
        <f>IFERROR(__xludf.DUMMYFUNCTION("""COMPUTED_VALUE"""),"bbw_on_smsfb_bcat1099_9april_qty2")</f>
        <v>bbw_on_smsfb_bcat1099_9april_qty2</v>
      </c>
      <c r="H437" s="212" t="str">
        <f>IFERROR(__xludf.DUMMYFUNCTION("""COMPUTED_VALUE"""),"BBW_ON_Qty2_Predom_8_Apr_26")</f>
        <v>BBW_ON_Qty2_Predom_8_Apr_26</v>
      </c>
      <c r="I437" s="212" t="str">
        <f>IFERROR(__xludf.DUMMYFUNCTION("""COMPUTED_VALUE"""),"WA Undelivered")</f>
        <v>WA Undelivered</v>
      </c>
      <c r="J437" s="213">
        <f>IFERROR(__xludf.DUMMYFUNCTION("""COMPUTED_VALUE"""),42422.0)</f>
        <v>42422</v>
      </c>
      <c r="K437" s="213">
        <f>IFERROR(__xludf.DUMMYFUNCTION("""COMPUTED_VALUE"""),21877.0)</f>
        <v>21877</v>
      </c>
      <c r="L437" s="214">
        <f>IFERROR(__xludf.DUMMYFUNCTION("""COMPUTED_VALUE"""),0.5157)</f>
        <v>0.5157</v>
      </c>
      <c r="M437" s="214"/>
      <c r="N437" s="214"/>
      <c r="O437" s="213">
        <f>IFERROR(__xludf.DUMMYFUNCTION("""COMPUTED_VALUE"""),21.0)</f>
        <v>21</v>
      </c>
      <c r="P437" s="213"/>
      <c r="Q437" s="214">
        <f>IFERROR(__xludf.DUMMYFUNCTION("""COMPUTED_VALUE"""),0.001)</f>
        <v>0.001</v>
      </c>
      <c r="R437" s="214"/>
      <c r="S437" s="101">
        <f>IFERROR(__xludf.DUMMYFUNCTION("""COMPUTED_VALUE"""),1.0)</f>
        <v>1</v>
      </c>
      <c r="T437" s="101">
        <f>IFERROR(__xludf.DUMMYFUNCTION("""COMPUTED_VALUE"""),1.0)</f>
        <v>1</v>
      </c>
      <c r="U437" s="270">
        <f>IFERROR(__xludf.DUMMYFUNCTION("""COMPUTED_VALUE"""),2519.0)</f>
        <v>2519</v>
      </c>
      <c r="V437" s="271" t="str">
        <f>IFERROR(__xludf.DUMMYFUNCTION("""COMPUTED_VALUE"""),"online")</f>
        <v>online</v>
      </c>
      <c r="W437" s="272" t="str">
        <f>IFERROR(__xludf.DUMMYFUNCTION("""COMPUTED_VALUE"""),"SMS")</f>
        <v>SMS</v>
      </c>
      <c r="X437" s="272" t="str">
        <f>IFERROR(__xludf.DUMMYFUNCTION("""COMPUTED_VALUE"""),"Cart Qty Predom")</f>
        <v>Cart Qty Predom</v>
      </c>
      <c r="Y437" s="272" t="str">
        <f>IFERROR(__xludf.DUMMYFUNCTION("""COMPUTED_VALUE"""),"9-11 April")</f>
        <v>9-11 April</v>
      </c>
      <c r="Z437" s="272" t="str">
        <f>IFERROR(__xludf.DUMMYFUNCTION("""COMPUTED_VALUE"""),"69d794279d383182cd074a41")</f>
        <v>69d794279d383182cd074a41</v>
      </c>
      <c r="AA437" s="272">
        <f>IFERROR(__xludf.DUMMYFUNCTION("""COMPUTED_VALUE"""),27.0)</f>
        <v>27</v>
      </c>
      <c r="AB437" s="272">
        <f>IFERROR(__xludf.DUMMYFUNCTION("""COMPUTED_VALUE"""),27.0)</f>
        <v>27</v>
      </c>
      <c r="AC437" s="272"/>
      <c r="AD437" s="272">
        <f>IFERROR(__xludf.DUMMYFUNCTION("""COMPUTED_VALUE"""),94236.0)</f>
        <v>94236</v>
      </c>
      <c r="AE437" s="272">
        <f>IFERROR(__xludf.DUMMYFUNCTION("""COMPUTED_VALUE"""),94236.0)</f>
        <v>94236</v>
      </c>
      <c r="AF437" s="272"/>
      <c r="AG437" s="208"/>
      <c r="AH437" s="208"/>
      <c r="AI437" s="208"/>
      <c r="AJ437" s="208"/>
      <c r="AK437" s="208"/>
    </row>
    <row r="438" hidden="1">
      <c r="A438" s="209">
        <f>IFERROR(__xludf.DUMMYFUNCTION("""COMPUTED_VALUE"""),46122.0)</f>
        <v>46122</v>
      </c>
      <c r="B438" s="210">
        <f>IFERROR(__xludf.DUMMYFUNCTION("""COMPUTED_VALUE"""),0.5)</f>
        <v>0.5</v>
      </c>
      <c r="C438" s="211" t="str">
        <f>IFERROR(__xludf.DUMMYFUNCTION("""COMPUTED_VALUE"""),"Whatsapp")</f>
        <v>Whatsapp</v>
      </c>
      <c r="D438" s="211" t="str">
        <f>IFERROR(__xludf.DUMMYFUNCTION("""COMPUTED_VALUE"""),"Promotional")</f>
        <v>Promotional</v>
      </c>
      <c r="E438" s="211" t="str">
        <f>IFERROR(__xludf.DUMMYFUNCTION("""COMPUTED_VALUE"""),"BBW")</f>
        <v>BBW</v>
      </c>
      <c r="F438" s="211" t="str">
        <f>IFERROR(__xludf.DUMMYFUNCTION("""COMPUTED_VALUE"""),"Bodycare")</f>
        <v>Bodycare</v>
      </c>
      <c r="G438" s="212" t="str">
        <f>IFERROR(__xludf.DUMMYFUNCTION("""COMPUTED_VALUE"""),"bbw_on_wa_bcat1099_9april_disc_buyer_V1")</f>
        <v>bbw_on_wa_bcat1099_9april_disc_buyer_V1</v>
      </c>
      <c r="H438" s="212" t="str">
        <f>IFERROR(__xludf.DUMMYFUNCTION("""COMPUTED_VALUE"""),"BBW_ON_Disc_Buyers_8_Apr_26")</f>
        <v>BBW_ON_Disc_Buyers_8_Apr_26</v>
      </c>
      <c r="I438" s="212" t="str">
        <f>IFERROR(__xludf.DUMMYFUNCTION("""COMPUTED_VALUE"""),"Online Customers who have purchased at least 2 times with disc value &gt; 0")</f>
        <v>Online Customers who have purchased at least 2 times with disc value &gt; 0</v>
      </c>
      <c r="J438" s="213">
        <f>IFERROR(__xludf.DUMMYFUNCTION("""COMPUTED_VALUE"""),5212.0)</f>
        <v>5212</v>
      </c>
      <c r="K438" s="213">
        <f>IFERROR(__xludf.DUMMYFUNCTION("""COMPUTED_VALUE"""),2645.0)</f>
        <v>2645</v>
      </c>
      <c r="L438" s="214">
        <f>IFERROR(__xludf.DUMMYFUNCTION("""COMPUTED_VALUE"""),0.5073)</f>
        <v>0.5073</v>
      </c>
      <c r="M438" s="214">
        <f>IFERROR(__xludf.DUMMYFUNCTION("""COMPUTED_VALUE"""),948.0)</f>
        <v>948</v>
      </c>
      <c r="N438" s="214">
        <f>IFERROR(__xludf.DUMMYFUNCTION("""COMPUTED_VALUE"""),0.3585)</f>
        <v>0.3585</v>
      </c>
      <c r="O438" s="213">
        <f>IFERROR(__xludf.DUMMYFUNCTION("""COMPUTED_VALUE"""),77.0)</f>
        <v>77</v>
      </c>
      <c r="P438" s="213">
        <f>IFERROR(__xludf.DUMMYFUNCTION("""COMPUTED_VALUE"""),73.0)</f>
        <v>73</v>
      </c>
      <c r="Q438" s="214">
        <f>IFERROR(__xludf.DUMMYFUNCTION("""COMPUTED_VALUE"""),0.0276)</f>
        <v>0.0276</v>
      </c>
      <c r="R438" s="214">
        <f>IFERROR(__xludf.DUMMYFUNCTION("""COMPUTED_VALUE"""),0.077)</f>
        <v>0.077</v>
      </c>
      <c r="S438" s="101">
        <f>IFERROR(__xludf.DUMMYFUNCTION("""COMPUTED_VALUE"""),3.0)</f>
        <v>3</v>
      </c>
      <c r="T438" s="101">
        <f>IFERROR(__xludf.DUMMYFUNCTION("""COMPUTED_VALUE"""),1.0)</f>
        <v>1</v>
      </c>
      <c r="U438" s="270">
        <f>IFERROR(__xludf.DUMMYFUNCTION("""COMPUTED_VALUE"""),7116.0)</f>
        <v>7116</v>
      </c>
      <c r="V438" s="271" t="str">
        <f>IFERROR(__xludf.DUMMYFUNCTION("""COMPUTED_VALUE"""),"online")</f>
        <v>online</v>
      </c>
      <c r="W438" s="272" t="str">
        <f>IFERROR(__xludf.DUMMYFUNCTION("""COMPUTED_VALUE"""),"simple")</f>
        <v>simple</v>
      </c>
      <c r="X438" s="272" t="str">
        <f>IFERROR(__xludf.DUMMYFUNCTION("""COMPUTED_VALUE"""),"Repeat - Living Accessories")</f>
        <v>Repeat - Living Accessories</v>
      </c>
      <c r="Y438" s="272" t="str">
        <f>IFERROR(__xludf.DUMMYFUNCTION("""COMPUTED_VALUE"""),"10-12 April")</f>
        <v>10-12 April</v>
      </c>
      <c r="Z438" s="272" t="str">
        <f>IFERROR(__xludf.DUMMYFUNCTION("""COMPUTED_VALUE"""),"69d8849ba819a1ee451ccafd")</f>
        <v>69d8849ba819a1ee451ccafd</v>
      </c>
      <c r="AA438" s="272">
        <f>IFERROR(__xludf.DUMMYFUNCTION("""COMPUTED_VALUE"""),11.0)</f>
        <v>11</v>
      </c>
      <c r="AB438" s="272">
        <f>IFERROR(__xludf.DUMMYFUNCTION("""COMPUTED_VALUE"""),11.0)</f>
        <v>11</v>
      </c>
      <c r="AC438" s="272"/>
      <c r="AD438" s="272">
        <f>IFERROR(__xludf.DUMMYFUNCTION("""COMPUTED_VALUE"""),13109.0)</f>
        <v>13109</v>
      </c>
      <c r="AE438" s="272">
        <f>IFERROR(__xludf.DUMMYFUNCTION("""COMPUTED_VALUE"""),13109.0)</f>
        <v>13109</v>
      </c>
      <c r="AF438" s="272"/>
      <c r="AG438" s="208"/>
      <c r="AH438" s="208"/>
      <c r="AI438" s="208"/>
      <c r="AJ438" s="208"/>
      <c r="AK438" s="208"/>
    </row>
    <row r="439" hidden="1">
      <c r="A439" s="209">
        <f>IFERROR(__xludf.DUMMYFUNCTION("""COMPUTED_VALUE"""),46122.0)</f>
        <v>46122</v>
      </c>
      <c r="B439" s="210">
        <f>IFERROR(__xludf.DUMMYFUNCTION("""COMPUTED_VALUE"""),0.5)</f>
        <v>0.5</v>
      </c>
      <c r="C439" s="211" t="str">
        <f>IFERROR(__xludf.DUMMYFUNCTION("""COMPUTED_VALUE"""),"Whatsapp")</f>
        <v>Whatsapp</v>
      </c>
      <c r="D439" s="211" t="str">
        <f>IFERROR(__xludf.DUMMYFUNCTION("""COMPUTED_VALUE"""),"Promotional")</f>
        <v>Promotional</v>
      </c>
      <c r="E439" s="211" t="str">
        <f>IFERROR(__xludf.DUMMYFUNCTION("""COMPUTED_VALUE"""),"BBW")</f>
        <v>BBW</v>
      </c>
      <c r="F439" s="211" t="str">
        <f>IFERROR(__xludf.DUMMYFUNCTION("""COMPUTED_VALUE"""),"Bodycare")</f>
        <v>Bodycare</v>
      </c>
      <c r="G439" s="212" t="str">
        <f>IFERROR(__xludf.DUMMYFUNCTION("""COMPUTED_VALUE"""),"bbw_on_wa_bcat1099_9april_bc_last_180d_V1")</f>
        <v>bbw_on_wa_bcat1099_9april_bc_last_180d_V1</v>
      </c>
      <c r="H439" s="212" t="str">
        <f>IFERROR(__xludf.DUMMYFUNCTION("""COMPUTED_VALUE"""),"BBW_OFF_BC_Buyers_180D_8_Apr_26")</f>
        <v>BBW_OFF_BC_Buyers_180D_8_Apr_26</v>
      </c>
      <c r="I439" s="212" t="str">
        <f>IFERROR(__xludf.DUMMYFUNCTION("""COMPUTED_VALUE"""),"Offline Customers have purchased in at least 1 time from BC in the last 180 Days")</f>
        <v>Offline Customers have purchased in at least 1 time from BC in the last 180 Days</v>
      </c>
      <c r="J439" s="213">
        <f>IFERROR(__xludf.DUMMYFUNCTION("""COMPUTED_VALUE"""),143032.0)</f>
        <v>143032</v>
      </c>
      <c r="K439" s="213">
        <f>IFERROR(__xludf.DUMMYFUNCTION("""COMPUTED_VALUE"""),76427.0)</f>
        <v>76427</v>
      </c>
      <c r="L439" s="214">
        <f>IFERROR(__xludf.DUMMYFUNCTION("""COMPUTED_VALUE"""),0.5343)</f>
        <v>0.5343</v>
      </c>
      <c r="M439" s="213">
        <f>IFERROR(__xludf.DUMMYFUNCTION("""COMPUTED_VALUE"""),32025.0)</f>
        <v>32025</v>
      </c>
      <c r="N439" s="214">
        <f>IFERROR(__xludf.DUMMYFUNCTION("""COMPUTED_VALUE"""),0.419)</f>
        <v>0.419</v>
      </c>
      <c r="O439" s="213">
        <f>IFERROR(__xludf.DUMMYFUNCTION("""COMPUTED_VALUE"""),2417.0)</f>
        <v>2417</v>
      </c>
      <c r="P439" s="213">
        <f>IFERROR(__xludf.DUMMYFUNCTION("""COMPUTED_VALUE"""),2282.0)</f>
        <v>2282</v>
      </c>
      <c r="Q439" s="214">
        <f>IFERROR(__xludf.DUMMYFUNCTION("""COMPUTED_VALUE"""),0.0299)</f>
        <v>0.0299</v>
      </c>
      <c r="R439" s="214">
        <f>IFERROR(__xludf.DUMMYFUNCTION("""COMPUTED_VALUE"""),0.0713)</f>
        <v>0.0713</v>
      </c>
      <c r="S439" s="101">
        <f>IFERROR(__xludf.DUMMYFUNCTION("""COMPUTED_VALUE"""),16.0)</f>
        <v>16</v>
      </c>
      <c r="T439" s="101">
        <f>IFERROR(__xludf.DUMMYFUNCTION("""COMPUTED_VALUE"""),40.0)</f>
        <v>40</v>
      </c>
      <c r="U439" s="270">
        <f>IFERROR(__xludf.DUMMYFUNCTION("""COMPUTED_VALUE"""),34871.0)</f>
        <v>34871</v>
      </c>
      <c r="V439" s="271" t="str">
        <f>IFERROR(__xludf.DUMMYFUNCTION("""COMPUTED_VALUE"""),"offline")</f>
        <v>offline</v>
      </c>
      <c r="W439" s="272" t="str">
        <f>IFERROR(__xludf.DUMMYFUNCTION("""COMPUTED_VALUE"""),"simple")</f>
        <v>simple</v>
      </c>
      <c r="X439" s="272" t="str">
        <f>IFERROR(__xludf.DUMMYFUNCTION("""COMPUTED_VALUE"""),"Recent")</f>
        <v>Recent</v>
      </c>
      <c r="Y439" s="272" t="str">
        <f>IFERROR(__xludf.DUMMYFUNCTION("""COMPUTED_VALUE"""),"10-12 April")</f>
        <v>10-12 April</v>
      </c>
      <c r="Z439" s="272" t="str">
        <f>IFERROR(__xludf.DUMMYFUNCTION("""COMPUTED_VALUE"""),"69d884d30a9d55394a57066e")</f>
        <v>69d884d30a9d55394a57066e</v>
      </c>
      <c r="AA439" s="272">
        <f>IFERROR(__xludf.DUMMYFUNCTION("""COMPUTED_VALUE"""),497.0)</f>
        <v>497</v>
      </c>
      <c r="AB439" s="272"/>
      <c r="AC439" s="272">
        <f>IFERROR(__xludf.DUMMYFUNCTION("""COMPUTED_VALUE"""),497.0)</f>
        <v>497</v>
      </c>
      <c r="AD439" s="272">
        <f>IFERROR(__xludf.DUMMYFUNCTION("""COMPUTED_VALUE"""),2033694.0)</f>
        <v>2033694</v>
      </c>
      <c r="AE439" s="272"/>
      <c r="AF439" s="272">
        <f>IFERROR(__xludf.DUMMYFUNCTION("""COMPUTED_VALUE"""),2033694.0)</f>
        <v>2033694</v>
      </c>
      <c r="AG439" s="208"/>
      <c r="AH439" s="208"/>
      <c r="AI439" s="208"/>
      <c r="AJ439" s="208"/>
      <c r="AK439" s="208"/>
    </row>
    <row r="440" hidden="1">
      <c r="A440" s="209">
        <f>IFERROR(__xludf.DUMMYFUNCTION("""COMPUTED_VALUE"""),46122.0)</f>
        <v>46122</v>
      </c>
      <c r="B440" s="210">
        <f>IFERROR(__xludf.DUMMYFUNCTION("""COMPUTED_VALUE"""),0.5)</f>
        <v>0.5</v>
      </c>
      <c r="C440" s="211" t="str">
        <f>IFERROR(__xludf.DUMMYFUNCTION("""COMPUTED_VALUE"""),"Whatsapp")</f>
        <v>Whatsapp</v>
      </c>
      <c r="D440" s="211" t="str">
        <f>IFERROR(__xludf.DUMMYFUNCTION("""COMPUTED_VALUE"""),"Promotional")</f>
        <v>Promotional</v>
      </c>
      <c r="E440" s="211" t="str">
        <f>IFERROR(__xludf.DUMMYFUNCTION("""COMPUTED_VALUE"""),"BBW")</f>
        <v>BBW</v>
      </c>
      <c r="F440" s="211" t="str">
        <f>IFERROR(__xludf.DUMMYFUNCTION("""COMPUTED_VALUE"""),"Bodycare")</f>
        <v>Bodycare</v>
      </c>
      <c r="G440" s="212" t="str">
        <f>IFERROR(__xludf.DUMMYFUNCTION("""COMPUTED_VALUE"""),"bbw_on_wa_bcat1099_9april_cat_averse_V1")</f>
        <v>bbw_on_wa_bcat1099_9april_cat_averse_V1</v>
      </c>
      <c r="H440" s="212" t="str">
        <f>IFERROR(__xludf.DUMMYFUNCTION("""COMPUTED_VALUE"""),"BBW_ON_BC_Category_Averse_8_Apr_26")</f>
        <v>BBW_ON_BC_Category_Averse_8_Apr_26</v>
      </c>
      <c r="I440" s="212" t="str">
        <f>IFERROR(__xludf.DUMMYFUNCTION("""COMPUTED_VALUE"""),"Online Customers have purchased in at least 3 times but not from BC")</f>
        <v>Online Customers have purchased in at least 3 times but not from BC</v>
      </c>
      <c r="J440" s="213">
        <f>IFERROR(__xludf.DUMMYFUNCTION("""COMPUTED_VALUE"""),31234.0)</f>
        <v>31234</v>
      </c>
      <c r="K440" s="213">
        <f>IFERROR(__xludf.DUMMYFUNCTION("""COMPUTED_VALUE"""),14262.0)</f>
        <v>14262</v>
      </c>
      <c r="L440" s="214">
        <f>IFERROR(__xludf.DUMMYFUNCTION("""COMPUTED_VALUE"""),0.4566)</f>
        <v>0.4566</v>
      </c>
      <c r="M440" s="213">
        <f>IFERROR(__xludf.DUMMYFUNCTION("""COMPUTED_VALUE"""),5567.0)</f>
        <v>5567</v>
      </c>
      <c r="N440" s="214">
        <f>IFERROR(__xludf.DUMMYFUNCTION("""COMPUTED_VALUE"""),0.3903)</f>
        <v>0.3903</v>
      </c>
      <c r="O440" s="213">
        <f>IFERROR(__xludf.DUMMYFUNCTION("""COMPUTED_VALUE"""),559.0)</f>
        <v>559</v>
      </c>
      <c r="P440" s="213">
        <f>IFERROR(__xludf.DUMMYFUNCTION("""COMPUTED_VALUE"""),535.0)</f>
        <v>535</v>
      </c>
      <c r="Q440" s="214">
        <f>IFERROR(__xludf.DUMMYFUNCTION("""COMPUTED_VALUE"""),0.0375)</f>
        <v>0.0375</v>
      </c>
      <c r="R440" s="214">
        <f>IFERROR(__xludf.DUMMYFUNCTION("""COMPUTED_VALUE"""),0.0961)</f>
        <v>0.0961</v>
      </c>
      <c r="S440" s="101">
        <f>IFERROR(__xludf.DUMMYFUNCTION("""COMPUTED_VALUE"""),10.0)</f>
        <v>10</v>
      </c>
      <c r="T440" s="101">
        <f>IFERROR(__xludf.DUMMYFUNCTION("""COMPUTED_VALUE"""),14.0)</f>
        <v>14</v>
      </c>
      <c r="U440" s="270">
        <f>IFERROR(__xludf.DUMMYFUNCTION("""COMPUTED_VALUE"""),35277.0)</f>
        <v>35277</v>
      </c>
      <c r="V440" s="271" t="str">
        <f>IFERROR(__xludf.DUMMYFUNCTION("""COMPUTED_VALUE"""),"offline")</f>
        <v>offline</v>
      </c>
      <c r="W440" s="272" t="str">
        <f>IFERROR(__xludf.DUMMYFUNCTION("""COMPUTED_VALUE"""),"simple")</f>
        <v>simple</v>
      </c>
      <c r="X440" s="272" t="str">
        <f>IFERROR(__xludf.DUMMYFUNCTION("""COMPUTED_VALUE"""),"Category")</f>
        <v>Category</v>
      </c>
      <c r="Y440" s="272" t="str">
        <f>IFERROR(__xludf.DUMMYFUNCTION("""COMPUTED_VALUE"""),"10-12 April")</f>
        <v>10-12 April</v>
      </c>
      <c r="Z440" s="272" t="str">
        <f>IFERROR(__xludf.DUMMYFUNCTION("""COMPUTED_VALUE"""),"69d88527ec016993da90e6c5")</f>
        <v>69d88527ec016993da90e6c5</v>
      </c>
      <c r="AA440" s="272">
        <f>IFERROR(__xludf.DUMMYFUNCTION("""COMPUTED_VALUE"""),32.0)</f>
        <v>32</v>
      </c>
      <c r="AB440" s="272"/>
      <c r="AC440" s="272">
        <f>IFERROR(__xludf.DUMMYFUNCTION("""COMPUTED_VALUE"""),32.0)</f>
        <v>32</v>
      </c>
      <c r="AD440" s="272">
        <f>IFERROR(__xludf.DUMMYFUNCTION("""COMPUTED_VALUE"""),102957.0)</f>
        <v>102957</v>
      </c>
      <c r="AE440" s="272"/>
      <c r="AF440" s="272">
        <f>IFERROR(__xludf.DUMMYFUNCTION("""COMPUTED_VALUE"""),102957.0)</f>
        <v>102957</v>
      </c>
      <c r="AG440" s="208"/>
      <c r="AH440" s="208"/>
      <c r="AI440" s="208"/>
      <c r="AJ440" s="208"/>
      <c r="AK440" s="208"/>
    </row>
    <row r="441" hidden="1">
      <c r="A441" s="209">
        <f>IFERROR(__xludf.DUMMYFUNCTION("""COMPUTED_VALUE"""),46122.0)</f>
        <v>46122</v>
      </c>
      <c r="B441" s="210">
        <f>IFERROR(__xludf.DUMMYFUNCTION("""COMPUTED_VALUE"""),0.5416666666678793)</f>
        <v>0.5416666667</v>
      </c>
      <c r="C441" s="211" t="str">
        <f>IFERROR(__xludf.DUMMYFUNCTION("""COMPUTED_VALUE"""),"Sms")</f>
        <v>Sms</v>
      </c>
      <c r="D441" s="211" t="str">
        <f>IFERROR(__xludf.DUMMYFUNCTION("""COMPUTED_VALUE"""),"Fallback campaign")</f>
        <v>Fallback campaign</v>
      </c>
      <c r="E441" s="211" t="str">
        <f>IFERROR(__xludf.DUMMYFUNCTION("""COMPUTED_VALUE"""),"BBW")</f>
        <v>BBW</v>
      </c>
      <c r="F441" s="211" t="str">
        <f>IFERROR(__xludf.DUMMYFUNCTION("""COMPUTED_VALUE"""),"Bodycare")</f>
        <v>Bodycare</v>
      </c>
      <c r="G441" s="212" t="str">
        <f>IFERROR(__xludf.DUMMYFUNCTION("""COMPUTED_VALUE"""),"bbw_on_smsfb_bcat1099_9april_cat_averse")</f>
        <v>bbw_on_smsfb_bcat1099_9april_cat_averse</v>
      </c>
      <c r="H441" s="212" t="str">
        <f>IFERROR(__xludf.DUMMYFUNCTION("""COMPUTED_VALUE"""),"BBW_ON_BC_Category_Averse_8_Apr_26")</f>
        <v>BBW_ON_BC_Category_Averse_8_Apr_26</v>
      </c>
      <c r="I441" s="212" t="str">
        <f>IFERROR(__xludf.DUMMYFUNCTION("""COMPUTED_VALUE"""),"WA Undelivered")</f>
        <v>WA Undelivered</v>
      </c>
      <c r="J441" s="213">
        <f>IFERROR(__xludf.DUMMYFUNCTION("""COMPUTED_VALUE"""),16132.0)</f>
        <v>16132</v>
      </c>
      <c r="K441" s="213">
        <f>IFERROR(__xludf.DUMMYFUNCTION("""COMPUTED_VALUE"""),8356.0)</f>
        <v>8356</v>
      </c>
      <c r="L441" s="214">
        <f>IFERROR(__xludf.DUMMYFUNCTION("""COMPUTED_VALUE"""),0.1788)</f>
        <v>0.1788</v>
      </c>
      <c r="M441" s="214"/>
      <c r="N441" s="214"/>
      <c r="O441" s="213">
        <f>IFERROR(__xludf.DUMMYFUNCTION("""COMPUTED_VALUE"""),19.0)</f>
        <v>19</v>
      </c>
      <c r="P441" s="213"/>
      <c r="Q441" s="214">
        <f>IFERROR(__xludf.DUMMYFUNCTION("""COMPUTED_VALUE"""),0.0023)</f>
        <v>0.0023</v>
      </c>
      <c r="R441" s="214"/>
      <c r="S441" s="101">
        <f>IFERROR(__xludf.DUMMYFUNCTION("""COMPUTED_VALUE"""),1.0)</f>
        <v>1</v>
      </c>
      <c r="T441" s="101">
        <f>IFERROR(__xludf.DUMMYFUNCTION("""COMPUTED_VALUE"""),3.0)</f>
        <v>3</v>
      </c>
      <c r="U441" s="270">
        <f>IFERROR(__xludf.DUMMYFUNCTION("""COMPUTED_VALUE"""),3374.0)</f>
        <v>3374</v>
      </c>
      <c r="V441" s="271" t="str">
        <f>IFERROR(__xludf.DUMMYFUNCTION("""COMPUTED_VALUE"""),"online")</f>
        <v>online</v>
      </c>
      <c r="W441" s="272" t="str">
        <f>IFERROR(__xludf.DUMMYFUNCTION("""COMPUTED_VALUE"""),"SMS")</f>
        <v>SMS</v>
      </c>
      <c r="X441" s="272" t="str">
        <f>IFERROR(__xludf.DUMMYFUNCTION("""COMPUTED_VALUE"""),"Repeat - Living Accessories")</f>
        <v>Repeat - Living Accessories</v>
      </c>
      <c r="Y441" s="272" t="str">
        <f>IFERROR(__xludf.DUMMYFUNCTION("""COMPUTED_VALUE"""),"10-12 April")</f>
        <v>10-12 April</v>
      </c>
      <c r="Z441" s="272" t="str">
        <f>IFERROR(__xludf.DUMMYFUNCTION("""COMPUTED_VALUE"""),"69d794b4f3d7faf9451709e5")</f>
        <v>69d794b4f3d7faf9451709e5</v>
      </c>
      <c r="AA441" s="272">
        <f>IFERROR(__xludf.DUMMYFUNCTION("""COMPUTED_VALUE"""),30.0)</f>
        <v>30</v>
      </c>
      <c r="AB441" s="272">
        <f>IFERROR(__xludf.DUMMYFUNCTION("""COMPUTED_VALUE"""),30.0)</f>
        <v>30</v>
      </c>
      <c r="AC441" s="272"/>
      <c r="AD441" s="272">
        <f>IFERROR(__xludf.DUMMYFUNCTION("""COMPUTED_VALUE"""),76864.0)</f>
        <v>76864</v>
      </c>
      <c r="AE441" s="272">
        <f>IFERROR(__xludf.DUMMYFUNCTION("""COMPUTED_VALUE"""),76864.0)</f>
        <v>76864</v>
      </c>
      <c r="AF441" s="272"/>
      <c r="AG441" s="208"/>
      <c r="AH441" s="208"/>
      <c r="AI441" s="208"/>
      <c r="AJ441" s="208"/>
      <c r="AK441" s="208"/>
    </row>
    <row r="442" hidden="1">
      <c r="A442" s="209">
        <f>IFERROR(__xludf.DUMMYFUNCTION("""COMPUTED_VALUE"""),46122.0)</f>
        <v>46122</v>
      </c>
      <c r="B442" s="210">
        <f>IFERROR(__xludf.DUMMYFUNCTION("""COMPUTED_VALUE"""),0.5416666666678793)</f>
        <v>0.5416666667</v>
      </c>
      <c r="C442" s="211" t="str">
        <f>IFERROR(__xludf.DUMMYFUNCTION("""COMPUTED_VALUE"""),"Sms")</f>
        <v>Sms</v>
      </c>
      <c r="D442" s="211" t="str">
        <f>IFERROR(__xludf.DUMMYFUNCTION("""COMPUTED_VALUE"""),"Fallback campaign")</f>
        <v>Fallback campaign</v>
      </c>
      <c r="E442" s="211" t="str">
        <f>IFERROR(__xludf.DUMMYFUNCTION("""COMPUTED_VALUE"""),"BBW")</f>
        <v>BBW</v>
      </c>
      <c r="F442" s="211" t="str">
        <f>IFERROR(__xludf.DUMMYFUNCTION("""COMPUTED_VALUE"""),"Bodycare")</f>
        <v>Bodycare</v>
      </c>
      <c r="G442" s="212" t="str">
        <f>IFERROR(__xludf.DUMMYFUNCTION("""COMPUTED_VALUE"""),"bbw_on_smsfb_bcat1099_9april_bc_last_180d")</f>
        <v>bbw_on_smsfb_bcat1099_9april_bc_last_180d</v>
      </c>
      <c r="H442" s="212" t="str">
        <f>IFERROR(__xludf.DUMMYFUNCTION("""COMPUTED_VALUE"""),"BBW_OFF_BC_Buyers_180D_8_Apr_26")</f>
        <v>BBW_OFF_BC_Buyers_180D_8_Apr_26</v>
      </c>
      <c r="I442" s="212" t="str">
        <f>IFERROR(__xludf.DUMMYFUNCTION("""COMPUTED_VALUE"""),"WA Undelivered")</f>
        <v>WA Undelivered</v>
      </c>
      <c r="J442" s="213">
        <f>IFERROR(__xludf.DUMMYFUNCTION("""COMPUTED_VALUE"""),63752.0)</f>
        <v>63752</v>
      </c>
      <c r="K442" s="213">
        <f>IFERROR(__xludf.DUMMYFUNCTION("""COMPUTED_VALUE"""),36954.0)</f>
        <v>36954</v>
      </c>
      <c r="L442" s="214">
        <f>IFERROR(__xludf.DUMMYFUNCTION("""COMPUTED_VALUE"""),0.5797)</f>
        <v>0.5797</v>
      </c>
      <c r="M442" s="214"/>
      <c r="N442" s="214"/>
      <c r="O442" s="213">
        <f>IFERROR(__xludf.DUMMYFUNCTION("""COMPUTED_VALUE"""),32.0)</f>
        <v>32</v>
      </c>
      <c r="P442" s="213"/>
      <c r="Q442" s="214">
        <f>IFERROR(__xludf.DUMMYFUNCTION("""COMPUTED_VALUE"""),9.0E-4)</f>
        <v>0.0009</v>
      </c>
      <c r="R442" s="214"/>
      <c r="S442" s="101">
        <f>IFERROR(__xludf.DUMMYFUNCTION("""COMPUTED_VALUE"""),3.0)</f>
        <v>3</v>
      </c>
      <c r="T442" s="101">
        <f>IFERROR(__xludf.DUMMYFUNCTION("""COMPUTED_VALUE"""),8.0)</f>
        <v>8</v>
      </c>
      <c r="U442" s="270">
        <f>IFERROR(__xludf.DUMMYFUNCTION("""COMPUTED_VALUE"""),6845.0)</f>
        <v>6845</v>
      </c>
      <c r="V442" s="271" t="str">
        <f>IFERROR(__xludf.DUMMYFUNCTION("""COMPUTED_VALUE"""),"offline")</f>
        <v>offline</v>
      </c>
      <c r="W442" s="272" t="str">
        <f>IFERROR(__xludf.DUMMYFUNCTION("""COMPUTED_VALUE"""),"SMS")</f>
        <v>SMS</v>
      </c>
      <c r="X442" s="272" t="str">
        <f>IFERROR(__xludf.DUMMYFUNCTION("""COMPUTED_VALUE"""),"Recent")</f>
        <v>Recent</v>
      </c>
      <c r="Y442" s="272" t="str">
        <f>IFERROR(__xludf.DUMMYFUNCTION("""COMPUTED_VALUE"""),"10-12 April")</f>
        <v>10-12 April</v>
      </c>
      <c r="Z442" s="272" t="str">
        <f>IFERROR(__xludf.DUMMYFUNCTION("""COMPUTED_VALUE"""),"69d7951a335ae7c01f19da39")</f>
        <v>69d7951a335ae7c01f19da39</v>
      </c>
      <c r="AA442" s="272">
        <f>IFERROR(__xludf.DUMMYFUNCTION("""COMPUTED_VALUE"""),213.0)</f>
        <v>213</v>
      </c>
      <c r="AB442" s="272"/>
      <c r="AC442" s="272">
        <f>IFERROR(__xludf.DUMMYFUNCTION("""COMPUTED_VALUE"""),213.0)</f>
        <v>213</v>
      </c>
      <c r="AD442" s="272">
        <f>IFERROR(__xludf.DUMMYFUNCTION("""COMPUTED_VALUE"""),945503.0)</f>
        <v>945503</v>
      </c>
      <c r="AE442" s="272"/>
      <c r="AF442" s="272">
        <f>IFERROR(__xludf.DUMMYFUNCTION("""COMPUTED_VALUE"""),945503.0)</f>
        <v>945503</v>
      </c>
      <c r="AG442" s="208"/>
      <c r="AH442" s="208"/>
      <c r="AI442" s="208"/>
      <c r="AJ442" s="208"/>
      <c r="AK442" s="208"/>
    </row>
    <row r="443" hidden="1">
      <c r="A443" s="209">
        <f>IFERROR(__xludf.DUMMYFUNCTION("""COMPUTED_VALUE"""),46122.0)</f>
        <v>46122</v>
      </c>
      <c r="B443" s="210">
        <f>IFERROR(__xludf.DUMMYFUNCTION("""COMPUTED_VALUE"""),0.5416666666678793)</f>
        <v>0.5416666667</v>
      </c>
      <c r="C443" s="211" t="str">
        <f>IFERROR(__xludf.DUMMYFUNCTION("""COMPUTED_VALUE"""),"Sms")</f>
        <v>Sms</v>
      </c>
      <c r="D443" s="211" t="str">
        <f>IFERROR(__xludf.DUMMYFUNCTION("""COMPUTED_VALUE"""),"Fallback campaign")</f>
        <v>Fallback campaign</v>
      </c>
      <c r="E443" s="211" t="str">
        <f>IFERROR(__xludf.DUMMYFUNCTION("""COMPUTED_VALUE"""),"BBW")</f>
        <v>BBW</v>
      </c>
      <c r="F443" s="211" t="str">
        <f>IFERROR(__xludf.DUMMYFUNCTION("""COMPUTED_VALUE"""),"Bodycare")</f>
        <v>Bodycare</v>
      </c>
      <c r="G443" s="212" t="str">
        <f>IFERROR(__xludf.DUMMYFUNCTION("""COMPUTED_VALUE"""),"bbw_on_smsfb_bcat1099_9april_disc_buyer")</f>
        <v>bbw_on_smsfb_bcat1099_9april_disc_buyer</v>
      </c>
      <c r="H443" s="212" t="str">
        <f>IFERROR(__xludf.DUMMYFUNCTION("""COMPUTED_VALUE"""),"BBW_ON_Disc_Buyers_8_Apr_26")</f>
        <v>BBW_ON_Disc_Buyers_8_Apr_26</v>
      </c>
      <c r="I443" s="212" t="str">
        <f>IFERROR(__xludf.DUMMYFUNCTION("""COMPUTED_VALUE"""),"WA Undelivered")</f>
        <v>WA Undelivered</v>
      </c>
      <c r="J443" s="213">
        <f>IFERROR(__xludf.DUMMYFUNCTION("""COMPUTED_VALUE"""),2419.0)</f>
        <v>2419</v>
      </c>
      <c r="K443" s="213">
        <f>IFERROR(__xludf.DUMMYFUNCTION("""COMPUTED_VALUE"""),1451.0)</f>
        <v>1451</v>
      </c>
      <c r="L443" s="214">
        <f>IFERROR(__xludf.DUMMYFUNCTION("""COMPUTED_VALUE"""),0.5998)</f>
        <v>0.5998</v>
      </c>
      <c r="M443" s="214"/>
      <c r="N443" s="214"/>
      <c r="O443" s="213">
        <f>IFERROR(__xludf.DUMMYFUNCTION("""COMPUTED_VALUE"""),3.0)</f>
        <v>3</v>
      </c>
      <c r="P443" s="213"/>
      <c r="Q443" s="214">
        <f>IFERROR(__xludf.DUMMYFUNCTION("""COMPUTED_VALUE"""),0.0021)</f>
        <v>0.0021</v>
      </c>
      <c r="R443" s="214"/>
      <c r="S443" s="101">
        <f>IFERROR(__xludf.DUMMYFUNCTION("""COMPUTED_VALUE"""),0.0)</f>
        <v>0</v>
      </c>
      <c r="T443" s="101">
        <f>IFERROR(__xludf.DUMMYFUNCTION("""COMPUTED_VALUE"""),0.0)</f>
        <v>0</v>
      </c>
      <c r="U443" s="270">
        <f>IFERROR(__xludf.DUMMYFUNCTION("""COMPUTED_VALUE"""),0.0)</f>
        <v>0</v>
      </c>
      <c r="V443" s="271" t="str">
        <f>IFERROR(__xludf.DUMMYFUNCTION("""COMPUTED_VALUE"""),"online")</f>
        <v>online</v>
      </c>
      <c r="W443" s="272" t="str">
        <f>IFERROR(__xludf.DUMMYFUNCTION("""COMPUTED_VALUE"""),"SMS")</f>
        <v>SMS</v>
      </c>
      <c r="X443" s="272" t="str">
        <f>IFERROR(__xludf.DUMMYFUNCTION("""COMPUTED_VALUE"""),"Category")</f>
        <v>Category</v>
      </c>
      <c r="Y443" s="272" t="str">
        <f>IFERROR(__xludf.DUMMYFUNCTION("""COMPUTED_VALUE"""),"10-12 April")</f>
        <v>10-12 April</v>
      </c>
      <c r="Z443" s="272" t="str">
        <f>IFERROR(__xludf.DUMMYFUNCTION("""COMPUTED_VALUE"""),"69d88634f21f3a30b1f18ef0")</f>
        <v>69d88634f21f3a30b1f18ef0</v>
      </c>
      <c r="AA443" s="272">
        <f>IFERROR(__xludf.DUMMYFUNCTION("""COMPUTED_VALUE"""),3.0)</f>
        <v>3</v>
      </c>
      <c r="AB443" s="272">
        <f>IFERROR(__xludf.DUMMYFUNCTION("""COMPUTED_VALUE"""),3.0)</f>
        <v>3</v>
      </c>
      <c r="AC443" s="272"/>
      <c r="AD443" s="272">
        <f>IFERROR(__xludf.DUMMYFUNCTION("""COMPUTED_VALUE"""),7996.0)</f>
        <v>7996</v>
      </c>
      <c r="AE443" s="272">
        <f>IFERROR(__xludf.DUMMYFUNCTION("""COMPUTED_VALUE"""),7996.0)</f>
        <v>7996</v>
      </c>
      <c r="AF443" s="272"/>
      <c r="AG443" s="208"/>
      <c r="AH443" s="208"/>
      <c r="AI443" s="208"/>
      <c r="AJ443" s="208"/>
      <c r="AK443" s="208"/>
    </row>
    <row r="444" hidden="1">
      <c r="A444" s="209">
        <f>IFERROR(__xludf.DUMMYFUNCTION("""COMPUTED_VALUE"""),46124.0)</f>
        <v>46124</v>
      </c>
      <c r="B444" s="210">
        <f>IFERROR(__xludf.DUMMYFUNCTION("""COMPUTED_VALUE"""),0.75)</f>
        <v>0.75</v>
      </c>
      <c r="C444" s="211" t="str">
        <f>IFERROR(__xludf.DUMMYFUNCTION("""COMPUTED_VALUE"""),"Whatsapp")</f>
        <v>Whatsapp</v>
      </c>
      <c r="D444" s="211" t="str">
        <f>IFERROR(__xludf.DUMMYFUNCTION("""COMPUTED_VALUE"""),"Promotional")</f>
        <v>Promotional</v>
      </c>
      <c r="E444" s="211" t="str">
        <f>IFERROR(__xludf.DUMMYFUNCTION("""COMPUTED_VALUE"""),"BBW")</f>
        <v>BBW</v>
      </c>
      <c r="F444" s="211" t="str">
        <f>IFERROR(__xludf.DUMMYFUNCTION("""COMPUTED_VALUE"""),"Bodycare")</f>
        <v>Bodycare</v>
      </c>
      <c r="G444" s="212" t="str">
        <f>IFERROR(__xludf.DUMMYFUNCTION("""COMPUTED_VALUE"""),"bbw_on_wa_bcat1099_9april_atc&amp;viewitem_lastreminder")</f>
        <v>bbw_on_wa_bcat1099_9april_atc&amp;viewitem_lastreminder</v>
      </c>
      <c r="H444" s="212" t="str">
        <f>IFERROR(__xludf.DUMMYFUNCTION("""COMPUTED_VALUE"""),"BBW_ON_BC_ATC_View_Item_8_Apr_26")</f>
        <v>BBW_ON_BC_ATC_View_Item_8_Apr_26</v>
      </c>
      <c r="I444" s="212" t="str">
        <f>IFERROR(__xludf.DUMMYFUNCTION("""COMPUTED_VALUE"""),"Customers who have ATC in last 45 days or viewed items in the last 30 days from BC")</f>
        <v>Customers who have ATC in last 45 days or viewed items in the last 30 days from BC</v>
      </c>
      <c r="J444" s="213">
        <f>IFERROR(__xludf.DUMMYFUNCTION("""COMPUTED_VALUE"""),879.0)</f>
        <v>879</v>
      </c>
      <c r="K444" s="213">
        <f>IFERROR(__xludf.DUMMYFUNCTION("""COMPUTED_VALUE"""),357.0)</f>
        <v>357</v>
      </c>
      <c r="L444" s="214">
        <f>IFERROR(__xludf.DUMMYFUNCTION("""COMPUTED_VALUE"""),0.4061)</f>
        <v>0.4061</v>
      </c>
      <c r="M444" s="214">
        <f>IFERROR(__xludf.DUMMYFUNCTION("""COMPUTED_VALUE"""),148.0)</f>
        <v>148</v>
      </c>
      <c r="N444" s="214">
        <f>IFERROR(__xludf.DUMMYFUNCTION("""COMPUTED_VALUE"""),0.4146)</f>
        <v>0.4146</v>
      </c>
      <c r="O444" s="213">
        <f>IFERROR(__xludf.DUMMYFUNCTION("""COMPUTED_VALUE"""),16.0)</f>
        <v>16</v>
      </c>
      <c r="P444" s="213">
        <f>IFERROR(__xludf.DUMMYFUNCTION("""COMPUTED_VALUE"""),15.0)</f>
        <v>15</v>
      </c>
      <c r="Q444" s="214">
        <f>IFERROR(__xludf.DUMMYFUNCTION("""COMPUTED_VALUE"""),0.042)</f>
        <v>0.042</v>
      </c>
      <c r="R444" s="214">
        <f>IFERROR(__xludf.DUMMYFUNCTION("""COMPUTED_VALUE"""),0.1014)</f>
        <v>0.1014</v>
      </c>
      <c r="S444" s="101">
        <f>IFERROR(__xludf.DUMMYFUNCTION("""COMPUTED_VALUE"""),0.0)</f>
        <v>0</v>
      </c>
      <c r="T444" s="101">
        <f>IFERROR(__xludf.DUMMYFUNCTION("""COMPUTED_VALUE"""),2.0)</f>
        <v>2</v>
      </c>
      <c r="U444" s="270">
        <f>IFERROR(__xludf.DUMMYFUNCTION("""COMPUTED_VALUE"""),0.0)</f>
        <v>0</v>
      </c>
      <c r="V444" s="271" t="str">
        <f>IFERROR(__xludf.DUMMYFUNCTION("""COMPUTED_VALUE"""),"online")</f>
        <v>online</v>
      </c>
      <c r="W444" s="272" t="str">
        <f>IFERROR(__xludf.DUMMYFUNCTION("""COMPUTED_VALUE"""),"simple")</f>
        <v>simple</v>
      </c>
      <c r="X444" s="272" t="str">
        <f>IFERROR(__xludf.DUMMYFUNCTION("""COMPUTED_VALUE"""),"Online Event - ATC;  View Item")</f>
        <v>Online Event - ATC;  View Item</v>
      </c>
      <c r="Y444" s="272" t="str">
        <f>IFERROR(__xludf.DUMMYFUNCTION("""COMPUTED_VALUE"""),"12-14 April")</f>
        <v>12-14 April</v>
      </c>
      <c r="Z444" s="272" t="str">
        <f>IFERROR(__xludf.DUMMYFUNCTION("""COMPUTED_VALUE"""),"69d8c58ef41994e7c40d08e9")</f>
        <v>69d8c58ef41994e7c40d08e9</v>
      </c>
      <c r="AA444" s="272">
        <f>IFERROR(__xludf.DUMMYFUNCTION("""COMPUTED_VALUE"""),3.0)</f>
        <v>3</v>
      </c>
      <c r="AB444" s="272">
        <f>IFERROR(__xludf.DUMMYFUNCTION("""COMPUTED_VALUE"""),3.0)</f>
        <v>3</v>
      </c>
      <c r="AC444" s="272"/>
      <c r="AD444" s="272">
        <f>IFERROR(__xludf.DUMMYFUNCTION("""COMPUTED_VALUE"""),20712.0)</f>
        <v>20712</v>
      </c>
      <c r="AE444" s="272">
        <f>IFERROR(__xludf.DUMMYFUNCTION("""COMPUTED_VALUE"""),20712.0)</f>
        <v>20712</v>
      </c>
      <c r="AF444" s="272"/>
      <c r="AG444" s="208"/>
      <c r="AH444" s="208"/>
      <c r="AI444" s="208"/>
      <c r="AJ444" s="208"/>
      <c r="AK444" s="208"/>
    </row>
    <row r="445" hidden="1">
      <c r="A445" s="209">
        <f>IFERROR(__xludf.DUMMYFUNCTION("""COMPUTED_VALUE"""),46124.0)</f>
        <v>46124</v>
      </c>
      <c r="B445" s="210">
        <f>IFERROR(__xludf.DUMMYFUNCTION("""COMPUTED_VALUE"""),0.75)</f>
        <v>0.75</v>
      </c>
      <c r="C445" s="211" t="str">
        <f>IFERROR(__xludf.DUMMYFUNCTION("""COMPUTED_VALUE"""),"Whatsapp")</f>
        <v>Whatsapp</v>
      </c>
      <c r="D445" s="211" t="str">
        <f>IFERROR(__xludf.DUMMYFUNCTION("""COMPUTED_VALUE"""),"Promotional")</f>
        <v>Promotional</v>
      </c>
      <c r="E445" s="211" t="str">
        <f>IFERROR(__xludf.DUMMYFUNCTION("""COMPUTED_VALUE"""),"BBW")</f>
        <v>BBW</v>
      </c>
      <c r="F445" s="211" t="str">
        <f>IFERROR(__xludf.DUMMYFUNCTION("""COMPUTED_VALUE"""),"Bodycare")</f>
        <v>Bodycare</v>
      </c>
      <c r="G445" s="212" t="str">
        <f>IFERROR(__xludf.DUMMYFUNCTION("""COMPUTED_VALUE"""),"bbw_on_wa_bcat1099_9april_recent_lastreminder")</f>
        <v>bbw_on_wa_bcat1099_9april_recent_lastreminder</v>
      </c>
      <c r="H445" s="212" t="str">
        <f>IFERROR(__xludf.DUMMYFUNCTION("""COMPUTED_VALUE"""),"BBW_ON_BC_Recent_8_Apr_26")</f>
        <v>BBW_ON_BC_Recent_8_Apr_26</v>
      </c>
      <c r="I445" s="212" t="str">
        <f>IFERROR(__xludf.DUMMYFUNCTION("""COMPUTED_VALUE"""),"Online Customers have purchased in TTR (113 days) from BC")</f>
        <v>Online Customers have purchased in TTR (113 days) from BC</v>
      </c>
      <c r="J445" s="213">
        <f>IFERROR(__xludf.DUMMYFUNCTION("""COMPUTED_VALUE"""),12605.0)</f>
        <v>12605</v>
      </c>
      <c r="K445" s="213">
        <f>IFERROR(__xludf.DUMMYFUNCTION("""COMPUTED_VALUE"""),5371.0)</f>
        <v>5371</v>
      </c>
      <c r="L445" s="214">
        <f>IFERROR(__xludf.DUMMYFUNCTION("""COMPUTED_VALUE"""),0.4261)</f>
        <v>0.4261</v>
      </c>
      <c r="M445" s="214">
        <f>IFERROR(__xludf.DUMMYFUNCTION("""COMPUTED_VALUE"""),1970.0)</f>
        <v>1970</v>
      </c>
      <c r="N445" s="214">
        <f>IFERROR(__xludf.DUMMYFUNCTION("""COMPUTED_VALUE"""),0.3668)</f>
        <v>0.3668</v>
      </c>
      <c r="O445" s="213">
        <f>IFERROR(__xludf.DUMMYFUNCTION("""COMPUTED_VALUE"""),184.0)</f>
        <v>184</v>
      </c>
      <c r="P445" s="213">
        <f>IFERROR(__xludf.DUMMYFUNCTION("""COMPUTED_VALUE"""),175.0)</f>
        <v>175</v>
      </c>
      <c r="Q445" s="214">
        <f>IFERROR(__xludf.DUMMYFUNCTION("""COMPUTED_VALUE"""),0.0326)</f>
        <v>0.0326</v>
      </c>
      <c r="R445" s="214">
        <f>IFERROR(__xludf.DUMMYFUNCTION("""COMPUTED_VALUE"""),0.0888)</f>
        <v>0.0888</v>
      </c>
      <c r="S445" s="101">
        <f>IFERROR(__xludf.DUMMYFUNCTION("""COMPUTED_VALUE"""),1.0)</f>
        <v>1</v>
      </c>
      <c r="T445" s="101">
        <f>IFERROR(__xludf.DUMMYFUNCTION("""COMPUTED_VALUE"""),8.0)</f>
        <v>8</v>
      </c>
      <c r="U445" s="270">
        <f>IFERROR(__xludf.DUMMYFUNCTION("""COMPUTED_VALUE"""),2799.0)</f>
        <v>2799</v>
      </c>
      <c r="V445" s="271" t="str">
        <f>IFERROR(__xludf.DUMMYFUNCTION("""COMPUTED_VALUE"""),"online")</f>
        <v>online</v>
      </c>
      <c r="W445" s="272" t="str">
        <f>IFERROR(__xludf.DUMMYFUNCTION("""COMPUTED_VALUE"""),"simple")</f>
        <v>simple</v>
      </c>
      <c r="X445" s="272" t="str">
        <f>IFERROR(__xludf.DUMMYFUNCTION("""COMPUTED_VALUE"""),"Recent")</f>
        <v>Recent</v>
      </c>
      <c r="Y445" s="272" t="str">
        <f>IFERROR(__xludf.DUMMYFUNCTION("""COMPUTED_VALUE"""),"12-14 April")</f>
        <v>12-14 April</v>
      </c>
      <c r="Z445" s="272" t="str">
        <f>IFERROR(__xludf.DUMMYFUNCTION("""COMPUTED_VALUE"""),"69d8c9627187327729a140fc")</f>
        <v>69d8c9627187327729a140fc</v>
      </c>
      <c r="AA445" s="272">
        <f>IFERROR(__xludf.DUMMYFUNCTION("""COMPUTED_VALUE"""),17.0)</f>
        <v>17</v>
      </c>
      <c r="AB445" s="272">
        <f>IFERROR(__xludf.DUMMYFUNCTION("""COMPUTED_VALUE"""),17.0)</f>
        <v>17</v>
      </c>
      <c r="AC445" s="272"/>
      <c r="AD445" s="272">
        <f>IFERROR(__xludf.DUMMYFUNCTION("""COMPUTED_VALUE"""),36201.0)</f>
        <v>36201</v>
      </c>
      <c r="AE445" s="272">
        <f>IFERROR(__xludf.DUMMYFUNCTION("""COMPUTED_VALUE"""),36201.0)</f>
        <v>36201</v>
      </c>
      <c r="AF445" s="272"/>
      <c r="AG445" s="208"/>
      <c r="AH445" s="208"/>
      <c r="AI445" s="208"/>
      <c r="AJ445" s="208"/>
      <c r="AK445" s="208"/>
    </row>
    <row r="446" hidden="1">
      <c r="A446" s="209">
        <f>IFERROR(__xludf.DUMMYFUNCTION("""COMPUTED_VALUE"""),46124.0)</f>
        <v>46124</v>
      </c>
      <c r="B446" s="210">
        <f>IFERROR(__xludf.DUMMYFUNCTION("""COMPUTED_VALUE"""),0.75)</f>
        <v>0.75</v>
      </c>
      <c r="C446" s="211" t="str">
        <f>IFERROR(__xludf.DUMMYFUNCTION("""COMPUTED_VALUE"""),"Whatsapp")</f>
        <v>Whatsapp</v>
      </c>
      <c r="D446" s="211" t="str">
        <f>IFERROR(__xludf.DUMMYFUNCTION("""COMPUTED_VALUE"""),"Promotional")</f>
        <v>Promotional</v>
      </c>
      <c r="E446" s="211" t="str">
        <f>IFERROR(__xludf.DUMMYFUNCTION("""COMPUTED_VALUE"""),"BBW")</f>
        <v>BBW</v>
      </c>
      <c r="F446" s="211" t="str">
        <f>IFERROR(__xludf.DUMMYFUNCTION("""COMPUTED_VALUE"""),"Bodycare")</f>
        <v>Bodycare</v>
      </c>
      <c r="G446" s="212" t="str">
        <f>IFERROR(__xludf.DUMMYFUNCTION("""COMPUTED_VALUE"""),"bbw_on_wa_bcat1099_9april_repeat_lastreminder")</f>
        <v>bbw_on_wa_bcat1099_9april_repeat_lastreminder</v>
      </c>
      <c r="H446" s="212" t="str">
        <f>IFERROR(__xludf.DUMMYFUNCTION("""COMPUTED_VALUE"""),"BBW_ON_BC_Repeat_8_Apr_26")</f>
        <v>BBW_ON_BC_Repeat_8_Apr_26</v>
      </c>
      <c r="I446" s="212" t="str">
        <f>IFERROR(__xludf.DUMMYFUNCTION("""COMPUTED_VALUE"""),"Online Customers have purchased in at least 2 times from BC")</f>
        <v>Online Customers have purchased in at least 2 times from BC</v>
      </c>
      <c r="J446" s="213">
        <f>IFERROR(__xludf.DUMMYFUNCTION("""COMPUTED_VALUE"""),13182.0)</f>
        <v>13182</v>
      </c>
      <c r="K446" s="213">
        <f>IFERROR(__xludf.DUMMYFUNCTION("""COMPUTED_VALUE"""),4982.0)</f>
        <v>4982</v>
      </c>
      <c r="L446" s="214">
        <f>IFERROR(__xludf.DUMMYFUNCTION("""COMPUTED_VALUE"""),0.3777)</f>
        <v>0.3777</v>
      </c>
      <c r="M446" s="214">
        <f>IFERROR(__xludf.DUMMYFUNCTION("""COMPUTED_VALUE"""),1830.0)</f>
        <v>1830</v>
      </c>
      <c r="N446" s="214">
        <f>IFERROR(__xludf.DUMMYFUNCTION("""COMPUTED_VALUE"""),0.3675)</f>
        <v>0.3675</v>
      </c>
      <c r="O446" s="213">
        <f>IFERROR(__xludf.DUMMYFUNCTION("""COMPUTED_VALUE"""),124.0)</f>
        <v>124</v>
      </c>
      <c r="P446" s="213">
        <f>IFERROR(__xludf.DUMMYFUNCTION("""COMPUTED_VALUE"""),123.0)</f>
        <v>123</v>
      </c>
      <c r="Q446" s="214">
        <f>IFERROR(__xludf.DUMMYFUNCTION("""COMPUTED_VALUE"""),0.0247)</f>
        <v>0.0247</v>
      </c>
      <c r="R446" s="214">
        <f>IFERROR(__xludf.DUMMYFUNCTION("""COMPUTED_VALUE"""),0.0672)</f>
        <v>0.0672</v>
      </c>
      <c r="S446" s="101">
        <f>IFERROR(__xludf.DUMMYFUNCTION("""COMPUTED_VALUE"""),1.0)</f>
        <v>1</v>
      </c>
      <c r="T446" s="101">
        <f>IFERROR(__xludf.DUMMYFUNCTION("""COMPUTED_VALUE"""),3.0)</f>
        <v>3</v>
      </c>
      <c r="U446" s="270">
        <f>IFERROR(__xludf.DUMMYFUNCTION("""COMPUTED_VALUE"""),1799.0)</f>
        <v>1799</v>
      </c>
      <c r="V446" s="271" t="str">
        <f>IFERROR(__xludf.DUMMYFUNCTION("""COMPUTED_VALUE"""),"online")</f>
        <v>online</v>
      </c>
      <c r="W446" s="272" t="str">
        <f>IFERROR(__xludf.DUMMYFUNCTION("""COMPUTED_VALUE"""),"simple")</f>
        <v>simple</v>
      </c>
      <c r="X446" s="272" t="str">
        <f>IFERROR(__xludf.DUMMYFUNCTION("""COMPUTED_VALUE"""),"Repeat")</f>
        <v>Repeat</v>
      </c>
      <c r="Y446" s="272" t="str">
        <f>IFERROR(__xludf.DUMMYFUNCTION("""COMPUTED_VALUE"""),"12-14 April")</f>
        <v>12-14 April</v>
      </c>
      <c r="Z446" s="272" t="str">
        <f>IFERROR(__xludf.DUMMYFUNCTION("""COMPUTED_VALUE"""),"69d8c9b99dae670d18cb3b3f")</f>
        <v>69d8c9b99dae670d18cb3b3f</v>
      </c>
      <c r="AA446" s="272">
        <f>IFERROR(__xludf.DUMMYFUNCTION("""COMPUTED_VALUE"""),14.0)</f>
        <v>14</v>
      </c>
      <c r="AB446" s="272">
        <f>IFERROR(__xludf.DUMMYFUNCTION("""COMPUTED_VALUE"""),14.0)</f>
        <v>14</v>
      </c>
      <c r="AC446" s="272"/>
      <c r="AD446" s="272">
        <f>IFERROR(__xludf.DUMMYFUNCTION("""COMPUTED_VALUE"""),43651.0)</f>
        <v>43651</v>
      </c>
      <c r="AE446" s="272">
        <f>IFERROR(__xludf.DUMMYFUNCTION("""COMPUTED_VALUE"""),43651.0)</f>
        <v>43651</v>
      </c>
      <c r="AF446" s="272"/>
      <c r="AG446" s="208"/>
      <c r="AH446" s="208"/>
      <c r="AI446" s="208"/>
      <c r="AJ446" s="208"/>
      <c r="AK446" s="208"/>
    </row>
    <row r="447" hidden="1">
      <c r="A447" s="209">
        <f>IFERROR(__xludf.DUMMYFUNCTION("""COMPUTED_VALUE"""),46124.0)</f>
        <v>46124</v>
      </c>
      <c r="B447" s="210">
        <f>IFERROR(__xludf.DUMMYFUNCTION("""COMPUTED_VALUE"""),0.75)</f>
        <v>0.75</v>
      </c>
      <c r="C447" s="211" t="str">
        <f>IFERROR(__xludf.DUMMYFUNCTION("""COMPUTED_VALUE"""),"Whatsapp")</f>
        <v>Whatsapp</v>
      </c>
      <c r="D447" s="211" t="str">
        <f>IFERROR(__xludf.DUMMYFUNCTION("""COMPUTED_VALUE"""),"Promotional")</f>
        <v>Promotional</v>
      </c>
      <c r="E447" s="211" t="str">
        <f>IFERROR(__xludf.DUMMYFUNCTION("""COMPUTED_VALUE"""),"BBW")</f>
        <v>BBW</v>
      </c>
      <c r="F447" s="211" t="str">
        <f>IFERROR(__xludf.DUMMYFUNCTION("""COMPUTED_VALUE"""),"Bodycare")</f>
        <v>Bodycare</v>
      </c>
      <c r="G447" s="212" t="str">
        <f>IFERROR(__xludf.DUMMYFUNCTION("""COMPUTED_VALUE"""),"bbw_on_wa_bcat1099_9april_predombelow1299_lastreminder")</f>
        <v>bbw_on_wa_bcat1099_9april_predombelow1299_lastreminder</v>
      </c>
      <c r="H447" s="212" t="str">
        <f>IFERROR(__xludf.DUMMYFUNCTION("""COMPUTED_VALUE"""),"BBW_ON_BC_Price_Predom_Below_1299_8_Apr_26")</f>
        <v>BBW_ON_BC_Price_Predom_Below_1299_8_Apr_26</v>
      </c>
      <c r="I447" s="212" t="str">
        <f>IFERROR(__xludf.DUMMYFUNCTION("""COMPUTED_VALUE"""),"Online Customers who have predom purchased with cart value below 1299")</f>
        <v>Online Customers who have predom purchased with cart value below 1299</v>
      </c>
      <c r="J447" s="213">
        <f>IFERROR(__xludf.DUMMYFUNCTION("""COMPUTED_VALUE"""),126203.0)</f>
        <v>126203</v>
      </c>
      <c r="K447" s="213">
        <f>IFERROR(__xludf.DUMMYFUNCTION("""COMPUTED_VALUE"""),53877.0)</f>
        <v>53877</v>
      </c>
      <c r="L447" s="214">
        <f>IFERROR(__xludf.DUMMYFUNCTION("""COMPUTED_VALUE"""),0.4267)</f>
        <v>0.4267</v>
      </c>
      <c r="M447" s="214">
        <f>IFERROR(__xludf.DUMMYFUNCTION("""COMPUTED_VALUE"""),15587.0)</f>
        <v>15587</v>
      </c>
      <c r="N447" s="214">
        <f>IFERROR(__xludf.DUMMYFUNCTION("""COMPUTED_VALUE"""),0.2894)</f>
        <v>0.2894</v>
      </c>
      <c r="O447" s="213">
        <f>IFERROR(__xludf.DUMMYFUNCTION("""COMPUTED_VALUE"""),868.0)</f>
        <v>868</v>
      </c>
      <c r="P447" s="213">
        <f>IFERROR(__xludf.DUMMYFUNCTION("""COMPUTED_VALUE"""),828.0)</f>
        <v>828</v>
      </c>
      <c r="Q447" s="214">
        <f>IFERROR(__xludf.DUMMYFUNCTION("""COMPUTED_VALUE"""),0.0154)</f>
        <v>0.0154</v>
      </c>
      <c r="R447" s="214">
        <f>IFERROR(__xludf.DUMMYFUNCTION("""COMPUTED_VALUE"""),0.0531)</f>
        <v>0.0531</v>
      </c>
      <c r="S447" s="101">
        <f>IFERROR(__xludf.DUMMYFUNCTION("""COMPUTED_VALUE"""),1.0)</f>
        <v>1</v>
      </c>
      <c r="T447" s="101">
        <f>IFERROR(__xludf.DUMMYFUNCTION("""COMPUTED_VALUE"""),9.0)</f>
        <v>9</v>
      </c>
      <c r="U447" s="270">
        <f>IFERROR(__xludf.DUMMYFUNCTION("""COMPUTED_VALUE"""),1999.0)</f>
        <v>1999</v>
      </c>
      <c r="V447" s="271" t="str">
        <f>IFERROR(__xludf.DUMMYFUNCTION("""COMPUTED_VALUE"""),"online")</f>
        <v>online</v>
      </c>
      <c r="W447" s="272" t="str">
        <f>IFERROR(__xludf.DUMMYFUNCTION("""COMPUTED_VALUE"""),"simple")</f>
        <v>simple</v>
      </c>
      <c r="X447" s="272" t="str">
        <f>IFERROR(__xludf.DUMMYFUNCTION("""COMPUTED_VALUE"""),"Price Predom")</f>
        <v>Price Predom</v>
      </c>
      <c r="Y447" s="272" t="str">
        <f>IFERROR(__xludf.DUMMYFUNCTION("""COMPUTED_VALUE"""),"12-14 April")</f>
        <v>12-14 April</v>
      </c>
      <c r="Z447" s="272" t="str">
        <f>IFERROR(__xludf.DUMMYFUNCTION("""COMPUTED_VALUE"""),"69d8ca291716efdd792b2ef6")</f>
        <v>69d8ca291716efdd792b2ef6</v>
      </c>
      <c r="AA447" s="272">
        <f>IFERROR(__xludf.DUMMYFUNCTION("""COMPUTED_VALUE"""),36.0)</f>
        <v>36</v>
      </c>
      <c r="AB447" s="272">
        <f>IFERROR(__xludf.DUMMYFUNCTION("""COMPUTED_VALUE"""),36.0)</f>
        <v>36</v>
      </c>
      <c r="AC447" s="272"/>
      <c r="AD447" s="272">
        <f>IFERROR(__xludf.DUMMYFUNCTION("""COMPUTED_VALUE"""),69070.0)</f>
        <v>69070</v>
      </c>
      <c r="AE447" s="272">
        <f>IFERROR(__xludf.DUMMYFUNCTION("""COMPUTED_VALUE"""),69070.0)</f>
        <v>69070</v>
      </c>
      <c r="AF447" s="272"/>
      <c r="AG447" s="208"/>
      <c r="AH447" s="208"/>
      <c r="AI447" s="208"/>
      <c r="AJ447" s="208"/>
      <c r="AK447" s="208"/>
    </row>
    <row r="448" hidden="1">
      <c r="A448" s="209">
        <f>IFERROR(__xludf.DUMMYFUNCTION("""COMPUTED_VALUE"""),46124.0)</f>
        <v>46124</v>
      </c>
      <c r="B448" s="210">
        <f>IFERROR(__xludf.DUMMYFUNCTION("""COMPUTED_VALUE"""),0.75)</f>
        <v>0.75</v>
      </c>
      <c r="C448" s="211" t="str">
        <f>IFERROR(__xludf.DUMMYFUNCTION("""COMPUTED_VALUE"""),"Whatsapp")</f>
        <v>Whatsapp</v>
      </c>
      <c r="D448" s="211" t="str">
        <f>IFERROR(__xludf.DUMMYFUNCTION("""COMPUTED_VALUE"""),"Promotional")</f>
        <v>Promotional</v>
      </c>
      <c r="E448" s="211" t="str">
        <f>IFERROR(__xludf.DUMMYFUNCTION("""COMPUTED_VALUE"""),"BBW")</f>
        <v>BBW</v>
      </c>
      <c r="F448" s="211" t="str">
        <f>IFERROR(__xludf.DUMMYFUNCTION("""COMPUTED_VALUE"""),"Bodycare")</f>
        <v>Bodycare</v>
      </c>
      <c r="G448" s="212" t="str">
        <f>IFERROR(__xludf.DUMMYFUNCTION("""COMPUTED_VALUE"""),"bbw_on_wa_bcat1099_9april_qty2_lastreminder")</f>
        <v>bbw_on_wa_bcat1099_9april_qty2_lastreminder</v>
      </c>
      <c r="H448" s="212" t="str">
        <f>IFERROR(__xludf.DUMMYFUNCTION("""COMPUTED_VALUE"""),"BBW_ON_Qty2_Predom_8_Apr_26")</f>
        <v>BBW_ON_Qty2_Predom_8_Apr_26</v>
      </c>
      <c r="I448" s="212" t="str">
        <f>IFERROR(__xludf.DUMMYFUNCTION("""COMPUTED_VALUE"""),"Online Customers whose predom UPT is &gt;2")</f>
        <v>Online Customers whose predom UPT is &gt;2</v>
      </c>
      <c r="J448" s="213">
        <f>IFERROR(__xludf.DUMMYFUNCTION("""COMPUTED_VALUE"""),84555.0)</f>
        <v>84555</v>
      </c>
      <c r="K448" s="213">
        <f>IFERROR(__xludf.DUMMYFUNCTION("""COMPUTED_VALUE"""),29106.0)</f>
        <v>29106</v>
      </c>
      <c r="L448" s="214">
        <f>IFERROR(__xludf.DUMMYFUNCTION("""COMPUTED_VALUE"""),0.3442)</f>
        <v>0.3442</v>
      </c>
      <c r="M448" s="214">
        <f>IFERROR(__xludf.DUMMYFUNCTION("""COMPUTED_VALUE"""),8921.0)</f>
        <v>8921</v>
      </c>
      <c r="N448" s="214">
        <f>IFERROR(__xludf.DUMMYFUNCTION("""COMPUTED_VALUE"""),0.3065)</f>
        <v>0.3065</v>
      </c>
      <c r="O448" s="213">
        <f>IFERROR(__xludf.DUMMYFUNCTION("""COMPUTED_VALUE"""),519.0)</f>
        <v>519</v>
      </c>
      <c r="P448" s="213">
        <f>IFERROR(__xludf.DUMMYFUNCTION("""COMPUTED_VALUE"""),500.0)</f>
        <v>500</v>
      </c>
      <c r="Q448" s="214">
        <f>IFERROR(__xludf.DUMMYFUNCTION("""COMPUTED_VALUE"""),0.0172)</f>
        <v>0.0172</v>
      </c>
      <c r="R448" s="214">
        <f>IFERROR(__xludf.DUMMYFUNCTION("""COMPUTED_VALUE"""),0.0561)</f>
        <v>0.0561</v>
      </c>
      <c r="S448" s="101">
        <f>IFERROR(__xludf.DUMMYFUNCTION("""COMPUTED_VALUE"""),2.0)</f>
        <v>2</v>
      </c>
      <c r="T448" s="101">
        <f>IFERROR(__xludf.DUMMYFUNCTION("""COMPUTED_VALUE"""),5.0)</f>
        <v>5</v>
      </c>
      <c r="U448" s="270">
        <f>IFERROR(__xludf.DUMMYFUNCTION("""COMPUTED_VALUE"""),6117.0)</f>
        <v>6117</v>
      </c>
      <c r="V448" s="271" t="str">
        <f>IFERROR(__xludf.DUMMYFUNCTION("""COMPUTED_VALUE"""),"online")</f>
        <v>online</v>
      </c>
      <c r="W448" s="272" t="str">
        <f>IFERROR(__xludf.DUMMYFUNCTION("""COMPUTED_VALUE"""),"simple")</f>
        <v>simple</v>
      </c>
      <c r="X448" s="272" t="str">
        <f>IFERROR(__xludf.DUMMYFUNCTION("""COMPUTED_VALUE"""),"Cart Qty Predom")</f>
        <v>Cart Qty Predom</v>
      </c>
      <c r="Y448" s="272" t="str">
        <f>IFERROR(__xludf.DUMMYFUNCTION("""COMPUTED_VALUE"""),"12-14 April")</f>
        <v>12-14 April</v>
      </c>
      <c r="Z448" s="272" t="str">
        <f>IFERROR(__xludf.DUMMYFUNCTION("""COMPUTED_VALUE"""),"69d8cad16fdcccf84ec9a1d7")</f>
        <v>69d8cad16fdcccf84ec9a1d7</v>
      </c>
      <c r="AA448" s="272">
        <f>IFERROR(__xludf.DUMMYFUNCTION("""COMPUTED_VALUE"""),34.0)</f>
        <v>34</v>
      </c>
      <c r="AB448" s="272">
        <f>IFERROR(__xludf.DUMMYFUNCTION("""COMPUTED_VALUE"""),34.0)</f>
        <v>34</v>
      </c>
      <c r="AC448" s="272"/>
      <c r="AD448" s="272">
        <f>IFERROR(__xludf.DUMMYFUNCTION("""COMPUTED_VALUE"""),109316.0)</f>
        <v>109316</v>
      </c>
      <c r="AE448" s="272">
        <f>IFERROR(__xludf.DUMMYFUNCTION("""COMPUTED_VALUE"""),109316.0)</f>
        <v>109316</v>
      </c>
      <c r="AF448" s="272"/>
      <c r="AG448" s="208"/>
      <c r="AH448" s="208"/>
      <c r="AI448" s="208"/>
      <c r="AJ448" s="208"/>
      <c r="AK448" s="208"/>
    </row>
    <row r="449" hidden="1">
      <c r="A449" s="209">
        <f>IFERROR(__xludf.DUMMYFUNCTION("""COMPUTED_VALUE"""),46124.0)</f>
        <v>46124</v>
      </c>
      <c r="B449" s="210">
        <f>IFERROR(__xludf.DUMMYFUNCTION("""COMPUTED_VALUE"""),0.75)</f>
        <v>0.75</v>
      </c>
      <c r="C449" s="211" t="str">
        <f>IFERROR(__xludf.DUMMYFUNCTION("""COMPUTED_VALUE"""),"Whatsapp")</f>
        <v>Whatsapp</v>
      </c>
      <c r="D449" s="211" t="str">
        <f>IFERROR(__xludf.DUMMYFUNCTION("""COMPUTED_VALUE"""),"Promotional")</f>
        <v>Promotional</v>
      </c>
      <c r="E449" s="211" t="str">
        <f>IFERROR(__xludf.DUMMYFUNCTION("""COMPUTED_VALUE"""),"BBW")</f>
        <v>BBW</v>
      </c>
      <c r="F449" s="211" t="str">
        <f>IFERROR(__xludf.DUMMYFUNCTION("""COMPUTED_VALUE"""),"Bodycare")</f>
        <v>Bodycare</v>
      </c>
      <c r="G449" s="212" t="str">
        <f>IFERROR(__xludf.DUMMYFUNCTION("""COMPUTED_VALUE"""),"bbw_on_wa_bcat1099_9april_cat_averse_lastreminder")</f>
        <v>bbw_on_wa_bcat1099_9april_cat_averse_lastreminder</v>
      </c>
      <c r="H449" s="212" t="str">
        <f>IFERROR(__xludf.DUMMYFUNCTION("""COMPUTED_VALUE"""),"BBW_ON_BC_Category_Averse_8_Apr_26")</f>
        <v>BBW_ON_BC_Category_Averse_8_Apr_26</v>
      </c>
      <c r="I449" s="212" t="str">
        <f>IFERROR(__xludf.DUMMYFUNCTION("""COMPUTED_VALUE"""),"Online Customers have purchased in at least 3 times but not from BC")</f>
        <v>Online Customers have purchased in at least 3 times but not from BC</v>
      </c>
      <c r="J449" s="213">
        <f>IFERROR(__xludf.DUMMYFUNCTION("""COMPUTED_VALUE"""),31335.0)</f>
        <v>31335</v>
      </c>
      <c r="K449" s="213">
        <f>IFERROR(__xludf.DUMMYFUNCTION("""COMPUTED_VALUE"""),10564.0)</f>
        <v>10564</v>
      </c>
      <c r="L449" s="214">
        <f>IFERROR(__xludf.DUMMYFUNCTION("""COMPUTED_VALUE"""),0.3371)</f>
        <v>0.3371</v>
      </c>
      <c r="M449" s="214">
        <f>IFERROR(__xludf.DUMMYFUNCTION("""COMPUTED_VALUE"""),3214.0)</f>
        <v>3214</v>
      </c>
      <c r="N449" s="214">
        <f>IFERROR(__xludf.DUMMYFUNCTION("""COMPUTED_VALUE"""),0.3041)</f>
        <v>0.3041</v>
      </c>
      <c r="O449" s="213">
        <f>IFERROR(__xludf.DUMMYFUNCTION("""COMPUTED_VALUE"""),249.0)</f>
        <v>249</v>
      </c>
      <c r="P449" s="213">
        <f>IFERROR(__xludf.DUMMYFUNCTION("""COMPUTED_VALUE"""),243.0)</f>
        <v>243</v>
      </c>
      <c r="Q449" s="214">
        <f>IFERROR(__xludf.DUMMYFUNCTION("""COMPUTED_VALUE"""),0.023)</f>
        <v>0.023</v>
      </c>
      <c r="R449" s="214">
        <f>IFERROR(__xludf.DUMMYFUNCTION("""COMPUTED_VALUE"""),0.0756)</f>
        <v>0.0756</v>
      </c>
      <c r="S449" s="101">
        <f>IFERROR(__xludf.DUMMYFUNCTION("""COMPUTED_VALUE"""),1.0)</f>
        <v>1</v>
      </c>
      <c r="T449" s="101">
        <f>IFERROR(__xludf.DUMMYFUNCTION("""COMPUTED_VALUE"""),2.0)</f>
        <v>2</v>
      </c>
      <c r="U449" s="270">
        <f>IFERROR(__xludf.DUMMYFUNCTION("""COMPUTED_VALUE"""),4796.0)</f>
        <v>4796</v>
      </c>
      <c r="V449" s="271" t="str">
        <f>IFERROR(__xludf.DUMMYFUNCTION("""COMPUTED_VALUE"""),"online")</f>
        <v>online</v>
      </c>
      <c r="W449" s="272" t="str">
        <f>IFERROR(__xludf.DUMMYFUNCTION("""COMPUTED_VALUE"""),"simple")</f>
        <v>simple</v>
      </c>
      <c r="X449" s="272" t="str">
        <f>IFERROR(__xludf.DUMMYFUNCTION("""COMPUTED_VALUE"""),"Category")</f>
        <v>Category</v>
      </c>
      <c r="Y449" s="272" t="str">
        <f>IFERROR(__xludf.DUMMYFUNCTION("""COMPUTED_VALUE"""),"12-14 April")</f>
        <v>12-14 April</v>
      </c>
      <c r="Z449" s="272" t="str">
        <f>IFERROR(__xludf.DUMMYFUNCTION("""COMPUTED_VALUE"""),"69d8cb6bb9d4f4556e6a01b2")</f>
        <v>69d8cb6bb9d4f4556e6a01b2</v>
      </c>
      <c r="AA449" s="272">
        <f>IFERROR(__xludf.DUMMYFUNCTION("""COMPUTED_VALUE"""),28.0)</f>
        <v>28</v>
      </c>
      <c r="AB449" s="272">
        <f>IFERROR(__xludf.DUMMYFUNCTION("""COMPUTED_VALUE"""),28.0)</f>
        <v>28</v>
      </c>
      <c r="AC449" s="272"/>
      <c r="AD449" s="272">
        <f>IFERROR(__xludf.DUMMYFUNCTION("""COMPUTED_VALUE"""),96202.0)</f>
        <v>96202</v>
      </c>
      <c r="AE449" s="272">
        <f>IFERROR(__xludf.DUMMYFUNCTION("""COMPUTED_VALUE"""),96202.0)</f>
        <v>96202</v>
      </c>
      <c r="AF449" s="272"/>
      <c r="AG449" s="208"/>
      <c r="AH449" s="208"/>
      <c r="AI449" s="208"/>
      <c r="AJ449" s="208"/>
      <c r="AK449" s="208"/>
    </row>
    <row r="450" hidden="1">
      <c r="A450" s="209">
        <f>IFERROR(__xludf.DUMMYFUNCTION("""COMPUTED_VALUE"""),46124.0)</f>
        <v>46124</v>
      </c>
      <c r="B450" s="210">
        <f>IFERROR(__xludf.DUMMYFUNCTION("""COMPUTED_VALUE"""),0.75)</f>
        <v>0.75</v>
      </c>
      <c r="C450" s="211" t="str">
        <f>IFERROR(__xludf.DUMMYFUNCTION("""COMPUTED_VALUE"""),"Whatsapp")</f>
        <v>Whatsapp</v>
      </c>
      <c r="D450" s="211" t="str">
        <f>IFERROR(__xludf.DUMMYFUNCTION("""COMPUTED_VALUE"""),"Promotional")</f>
        <v>Promotional</v>
      </c>
      <c r="E450" s="211" t="str">
        <f>IFERROR(__xludf.DUMMYFUNCTION("""COMPUTED_VALUE"""),"BBW")</f>
        <v>BBW</v>
      </c>
      <c r="F450" s="211" t="str">
        <f>IFERROR(__xludf.DUMMYFUNCTION("""COMPUTED_VALUE"""),"Bodycare")</f>
        <v>Bodycare</v>
      </c>
      <c r="G450" s="212" t="str">
        <f>IFERROR(__xludf.DUMMYFUNCTION("""COMPUTED_VALUE"""),"bbw_on_wa_bcat1099_9april_disc_buyer_lastreminder")</f>
        <v>bbw_on_wa_bcat1099_9april_disc_buyer_lastreminder</v>
      </c>
      <c r="H450" s="212" t="str">
        <f>IFERROR(__xludf.DUMMYFUNCTION("""COMPUTED_VALUE"""),"BBW_ON_Disc_Buyers_8_Apr_26")</f>
        <v>BBW_ON_Disc_Buyers_8_Apr_26</v>
      </c>
      <c r="I450" s="212" t="str">
        <f>IFERROR(__xludf.DUMMYFUNCTION("""COMPUTED_VALUE"""),"Online Customers have purchased in at least 3 times but not from BC")</f>
        <v>Online Customers have purchased in at least 3 times but not from BC</v>
      </c>
      <c r="J450" s="213">
        <f>IFERROR(__xludf.DUMMYFUNCTION("""COMPUTED_VALUE"""),5432.0)</f>
        <v>5432</v>
      </c>
      <c r="K450" s="213">
        <f>IFERROR(__xludf.DUMMYFUNCTION("""COMPUTED_VALUE"""),2226.0)</f>
        <v>2226</v>
      </c>
      <c r="L450" s="214">
        <f>IFERROR(__xludf.DUMMYFUNCTION("""COMPUTED_VALUE"""),0.4096)</f>
        <v>0.4096</v>
      </c>
      <c r="M450" s="214">
        <f>IFERROR(__xludf.DUMMYFUNCTION("""COMPUTED_VALUE"""),630.0)</f>
        <v>630</v>
      </c>
      <c r="N450" s="214">
        <f>IFERROR(__xludf.DUMMYFUNCTION("""COMPUTED_VALUE"""),0.2831)</f>
        <v>0.2831</v>
      </c>
      <c r="O450" s="213">
        <f>IFERROR(__xludf.DUMMYFUNCTION("""COMPUTED_VALUE"""),40.0)</f>
        <v>40</v>
      </c>
      <c r="P450" s="213">
        <f>IFERROR(__xludf.DUMMYFUNCTION("""COMPUTED_VALUE"""),40.0)</f>
        <v>40</v>
      </c>
      <c r="Q450" s="214">
        <f>IFERROR(__xludf.DUMMYFUNCTION("""COMPUTED_VALUE"""),0.018)</f>
        <v>0.018</v>
      </c>
      <c r="R450" s="214">
        <f>IFERROR(__xludf.DUMMYFUNCTION("""COMPUTED_VALUE"""),0.0635)</f>
        <v>0.0635</v>
      </c>
      <c r="S450" s="101">
        <f>IFERROR(__xludf.DUMMYFUNCTION("""COMPUTED_VALUE"""),2.0)</f>
        <v>2</v>
      </c>
      <c r="T450" s="101">
        <f>IFERROR(__xludf.DUMMYFUNCTION("""COMPUTED_VALUE"""),1.0)</f>
        <v>1</v>
      </c>
      <c r="U450" s="270">
        <f>IFERROR(__xludf.DUMMYFUNCTION("""COMPUTED_VALUE"""),4518.0)</f>
        <v>4518</v>
      </c>
      <c r="V450" s="271" t="str">
        <f>IFERROR(__xludf.DUMMYFUNCTION("""COMPUTED_VALUE"""),"online")</f>
        <v>online</v>
      </c>
      <c r="W450" s="272" t="str">
        <f>IFERROR(__xludf.DUMMYFUNCTION("""COMPUTED_VALUE"""),"simple")</f>
        <v>simple</v>
      </c>
      <c r="X450" s="272" t="str">
        <f>IFERROR(__xludf.DUMMYFUNCTION("""COMPUTED_VALUE"""),"Discount Buyers")</f>
        <v>Discount Buyers</v>
      </c>
      <c r="Y450" s="272" t="str">
        <f>IFERROR(__xludf.DUMMYFUNCTION("""COMPUTED_VALUE"""),"12-14 April")</f>
        <v>12-14 April</v>
      </c>
      <c r="Z450" s="272" t="str">
        <f>IFERROR(__xludf.DUMMYFUNCTION("""COMPUTED_VALUE"""),"69d8cbe68175228933be4347")</f>
        <v>69d8cbe68175228933be4347</v>
      </c>
      <c r="AA450" s="272">
        <f>IFERROR(__xludf.DUMMYFUNCTION("""COMPUTED_VALUE"""),6.0)</f>
        <v>6</v>
      </c>
      <c r="AB450" s="272">
        <f>IFERROR(__xludf.DUMMYFUNCTION("""COMPUTED_VALUE"""),6.0)</f>
        <v>6</v>
      </c>
      <c r="AC450" s="272"/>
      <c r="AD450" s="272">
        <f>IFERROR(__xludf.DUMMYFUNCTION("""COMPUTED_VALUE"""),16312.0)</f>
        <v>16312</v>
      </c>
      <c r="AE450" s="272">
        <f>IFERROR(__xludf.DUMMYFUNCTION("""COMPUTED_VALUE"""),16312.0)</f>
        <v>16312</v>
      </c>
      <c r="AF450" s="272"/>
      <c r="AG450" s="208"/>
      <c r="AH450" s="208"/>
      <c r="AI450" s="208"/>
      <c r="AJ450" s="208"/>
      <c r="AK450" s="208"/>
    </row>
    <row r="451" hidden="1">
      <c r="A451" s="209">
        <f>IFERROR(__xludf.DUMMYFUNCTION("""COMPUTED_VALUE"""),46124.0)</f>
        <v>46124</v>
      </c>
      <c r="B451" s="210">
        <f>IFERROR(__xludf.DUMMYFUNCTION("""COMPUTED_VALUE"""),0.7916666666678793)</f>
        <v>0.7916666667</v>
      </c>
      <c r="C451" s="211" t="str">
        <f>IFERROR(__xludf.DUMMYFUNCTION("""COMPUTED_VALUE"""),"Sms")</f>
        <v>Sms</v>
      </c>
      <c r="D451" s="211" t="str">
        <f>IFERROR(__xludf.DUMMYFUNCTION("""COMPUTED_VALUE"""),"Fallback campaign")</f>
        <v>Fallback campaign</v>
      </c>
      <c r="E451" s="211" t="str">
        <f>IFERROR(__xludf.DUMMYFUNCTION("""COMPUTED_VALUE"""),"BBW")</f>
        <v>BBW</v>
      </c>
      <c r="F451" s="211" t="str">
        <f>IFERROR(__xludf.DUMMYFUNCTION("""COMPUTED_VALUE"""),"Bodycare")</f>
        <v>Bodycare</v>
      </c>
      <c r="G451" s="212" t="str">
        <f>IFERROR(__xludf.DUMMYFUNCTION("""COMPUTED_VALUE"""),"bbw_on_smsfb_bcat101212_12april_atc&amp;viewitem_lastreminder")</f>
        <v>bbw_on_smsfb_bcat101212_12april_atc&amp;viewitem_lastreminder</v>
      </c>
      <c r="H451" s="212" t="str">
        <f>IFERROR(__xludf.DUMMYFUNCTION("""COMPUTED_VALUE"""),"BBW_ON_BC_ATC_View_Item_8_Apr_26")</f>
        <v>BBW_ON_BC_ATC_View_Item_8_Apr_26</v>
      </c>
      <c r="I451" s="212" t="str">
        <f>IFERROR(__xludf.DUMMYFUNCTION("""COMPUTED_VALUE"""),"WA Undelivered")</f>
        <v>WA Undelivered</v>
      </c>
      <c r="J451" s="213">
        <f>IFERROR(__xludf.DUMMYFUNCTION("""COMPUTED_VALUE"""),510.0)</f>
        <v>510</v>
      </c>
      <c r="K451" s="213">
        <f>IFERROR(__xludf.DUMMYFUNCTION("""COMPUTED_VALUE"""),266.0)</f>
        <v>266</v>
      </c>
      <c r="L451" s="214">
        <f>IFERROR(__xludf.DUMMYFUNCTION("""COMPUTED_VALUE"""),0.5216)</f>
        <v>0.5216</v>
      </c>
      <c r="M451" s="214"/>
      <c r="N451" s="214"/>
      <c r="O451" s="213">
        <f>IFERROR(__xludf.DUMMYFUNCTION("""COMPUTED_VALUE"""),1.0)</f>
        <v>1</v>
      </c>
      <c r="P451" s="213"/>
      <c r="Q451" s="214">
        <f>IFERROR(__xludf.DUMMYFUNCTION("""COMPUTED_VALUE"""),0.0038)</f>
        <v>0.0038</v>
      </c>
      <c r="R451" s="214"/>
      <c r="S451" s="101">
        <f>IFERROR(__xludf.DUMMYFUNCTION("""COMPUTED_VALUE"""),0.0)</f>
        <v>0</v>
      </c>
      <c r="T451" s="101">
        <f>IFERROR(__xludf.DUMMYFUNCTION("""COMPUTED_VALUE"""),0.0)</f>
        <v>0</v>
      </c>
      <c r="U451" s="270">
        <f>IFERROR(__xludf.DUMMYFUNCTION("""COMPUTED_VALUE"""),0.0)</f>
        <v>0</v>
      </c>
      <c r="V451" s="271" t="str">
        <f>IFERROR(__xludf.DUMMYFUNCTION("""COMPUTED_VALUE"""),"online")</f>
        <v>online</v>
      </c>
      <c r="W451" s="272" t="str">
        <f>IFERROR(__xludf.DUMMYFUNCTION("""COMPUTED_VALUE"""),"SMS")</f>
        <v>SMS</v>
      </c>
      <c r="X451" s="272" t="str">
        <f>IFERROR(__xludf.DUMMYFUNCTION("""COMPUTED_VALUE"""),"Online Event - ATC;  View Item")</f>
        <v>Online Event - ATC;  View Item</v>
      </c>
      <c r="Y451" s="272" t="str">
        <f>IFERROR(__xludf.DUMMYFUNCTION("""COMPUTED_VALUE"""),"12th April")</f>
        <v>12th April</v>
      </c>
      <c r="Z451" s="272" t="str">
        <f>IFERROR(__xludf.DUMMYFUNCTION("""COMPUTED_VALUE"""),"69d8cd2533ec21f9f7672ee6")</f>
        <v>69d8cd2533ec21f9f7672ee6</v>
      </c>
      <c r="AA451" s="272">
        <f>IFERROR(__xludf.DUMMYFUNCTION("""COMPUTED_VALUE"""),0.0)</f>
        <v>0</v>
      </c>
      <c r="AB451" s="272">
        <f>IFERROR(__xludf.DUMMYFUNCTION("""COMPUTED_VALUE"""),0.0)</f>
        <v>0</v>
      </c>
      <c r="AC451" s="272"/>
      <c r="AD451" s="272">
        <f>IFERROR(__xludf.DUMMYFUNCTION("""COMPUTED_VALUE"""),0.0)</f>
        <v>0</v>
      </c>
      <c r="AE451" s="272">
        <f>IFERROR(__xludf.DUMMYFUNCTION("""COMPUTED_VALUE"""),0.0)</f>
        <v>0</v>
      </c>
      <c r="AF451" s="272"/>
      <c r="AG451" s="208"/>
      <c r="AH451" s="208"/>
      <c r="AI451" s="208"/>
      <c r="AJ451" s="208"/>
      <c r="AK451" s="208"/>
    </row>
    <row r="452" hidden="1">
      <c r="A452" s="209">
        <f>IFERROR(__xludf.DUMMYFUNCTION("""COMPUTED_VALUE"""),46124.0)</f>
        <v>46124</v>
      </c>
      <c r="B452" s="210">
        <f>IFERROR(__xludf.DUMMYFUNCTION("""COMPUTED_VALUE"""),0.7916666666678793)</f>
        <v>0.7916666667</v>
      </c>
      <c r="C452" s="211" t="str">
        <f>IFERROR(__xludf.DUMMYFUNCTION("""COMPUTED_VALUE"""),"Sms")</f>
        <v>Sms</v>
      </c>
      <c r="D452" s="211" t="str">
        <f>IFERROR(__xludf.DUMMYFUNCTION("""COMPUTED_VALUE"""),"Fallback campaign")</f>
        <v>Fallback campaign</v>
      </c>
      <c r="E452" s="211" t="str">
        <f>IFERROR(__xludf.DUMMYFUNCTION("""COMPUTED_VALUE"""),"BBW")</f>
        <v>BBW</v>
      </c>
      <c r="F452" s="211" t="str">
        <f>IFERROR(__xludf.DUMMYFUNCTION("""COMPUTED_VALUE"""),"Bodycare")</f>
        <v>Bodycare</v>
      </c>
      <c r="G452" s="212" t="str">
        <f>IFERROR(__xludf.DUMMYFUNCTION("""COMPUTED_VALUE"""),"bbw_on_smsfb_bcat101212_12april_recent_lastreminder")</f>
        <v>bbw_on_smsfb_bcat101212_12april_recent_lastreminder</v>
      </c>
      <c r="H452" s="212" t="str">
        <f>IFERROR(__xludf.DUMMYFUNCTION("""COMPUTED_VALUE"""),"BBW_ON_BC_Recent_8_Apr_26")</f>
        <v>BBW_ON_BC_Recent_8_Apr_26</v>
      </c>
      <c r="I452" s="212" t="str">
        <f>IFERROR(__xludf.DUMMYFUNCTION("""COMPUTED_VALUE"""),"WA Undelivered")</f>
        <v>WA Undelivered</v>
      </c>
      <c r="J452" s="213">
        <f>IFERROR(__xludf.DUMMYFUNCTION("""COMPUTED_VALUE"""),7063.0)</f>
        <v>7063</v>
      </c>
      <c r="K452" s="213">
        <f>IFERROR(__xludf.DUMMYFUNCTION("""COMPUTED_VALUE"""),3743.0)</f>
        <v>3743</v>
      </c>
      <c r="L452" s="214">
        <f>IFERROR(__xludf.DUMMYFUNCTION("""COMPUTED_VALUE"""),0.5299)</f>
        <v>0.5299</v>
      </c>
      <c r="M452" s="214"/>
      <c r="N452" s="214"/>
      <c r="O452" s="213">
        <f>IFERROR(__xludf.DUMMYFUNCTION("""COMPUTED_VALUE"""),5.0)</f>
        <v>5</v>
      </c>
      <c r="P452" s="213"/>
      <c r="Q452" s="214">
        <f>IFERROR(__xludf.DUMMYFUNCTION("""COMPUTED_VALUE"""),0.0013)</f>
        <v>0.0013</v>
      </c>
      <c r="R452" s="214"/>
      <c r="S452" s="101">
        <f>IFERROR(__xludf.DUMMYFUNCTION("""COMPUTED_VALUE"""),1.0)</f>
        <v>1</v>
      </c>
      <c r="T452" s="101">
        <f>IFERROR(__xludf.DUMMYFUNCTION("""COMPUTED_VALUE"""),1.0)</f>
        <v>1</v>
      </c>
      <c r="U452" s="270">
        <f>IFERROR(__xludf.DUMMYFUNCTION("""COMPUTED_VALUE"""),5598.0)</f>
        <v>5598</v>
      </c>
      <c r="V452" s="271" t="str">
        <f>IFERROR(__xludf.DUMMYFUNCTION("""COMPUTED_VALUE"""),"online")</f>
        <v>online</v>
      </c>
      <c r="W452" s="272" t="str">
        <f>IFERROR(__xludf.DUMMYFUNCTION("""COMPUTED_VALUE"""),"SMS")</f>
        <v>SMS</v>
      </c>
      <c r="X452" s="272" t="str">
        <f>IFERROR(__xludf.DUMMYFUNCTION("""COMPUTED_VALUE"""),"Recent")</f>
        <v>Recent</v>
      </c>
      <c r="Y452" s="272" t="str">
        <f>IFERROR(__xludf.DUMMYFUNCTION("""COMPUTED_VALUE"""),"12th April")</f>
        <v>12th April</v>
      </c>
      <c r="Z452" s="272" t="str">
        <f>IFERROR(__xludf.DUMMYFUNCTION("""COMPUTED_VALUE"""),"69d8ce129b074ad28f691c49")</f>
        <v>69d8ce129b074ad28f691c49</v>
      </c>
      <c r="AA452" s="272">
        <f>IFERROR(__xludf.DUMMYFUNCTION("""COMPUTED_VALUE"""),6.0)</f>
        <v>6</v>
      </c>
      <c r="AB452" s="272">
        <f>IFERROR(__xludf.DUMMYFUNCTION("""COMPUTED_VALUE"""),6.0)</f>
        <v>6</v>
      </c>
      <c r="AC452" s="272"/>
      <c r="AD452" s="272">
        <f>IFERROR(__xludf.DUMMYFUNCTION("""COMPUTED_VALUE"""),18422.0)</f>
        <v>18422</v>
      </c>
      <c r="AE452" s="272">
        <f>IFERROR(__xludf.DUMMYFUNCTION("""COMPUTED_VALUE"""),18422.0)</f>
        <v>18422</v>
      </c>
      <c r="AF452" s="272"/>
      <c r="AG452" s="208"/>
      <c r="AH452" s="208"/>
      <c r="AI452" s="208"/>
      <c r="AJ452" s="208"/>
      <c r="AK452" s="208"/>
    </row>
    <row r="453" hidden="1">
      <c r="A453" s="209">
        <f>IFERROR(__xludf.DUMMYFUNCTION("""COMPUTED_VALUE"""),46124.0)</f>
        <v>46124</v>
      </c>
      <c r="B453" s="210">
        <f>IFERROR(__xludf.DUMMYFUNCTION("""COMPUTED_VALUE"""),0.7916666666678793)</f>
        <v>0.7916666667</v>
      </c>
      <c r="C453" s="211" t="str">
        <f>IFERROR(__xludf.DUMMYFUNCTION("""COMPUTED_VALUE"""),"Sms")</f>
        <v>Sms</v>
      </c>
      <c r="D453" s="211" t="str">
        <f>IFERROR(__xludf.DUMMYFUNCTION("""COMPUTED_VALUE"""),"Fallback campaign")</f>
        <v>Fallback campaign</v>
      </c>
      <c r="E453" s="211" t="str">
        <f>IFERROR(__xludf.DUMMYFUNCTION("""COMPUTED_VALUE"""),"BBW")</f>
        <v>BBW</v>
      </c>
      <c r="F453" s="211" t="str">
        <f>IFERROR(__xludf.DUMMYFUNCTION("""COMPUTED_VALUE"""),"Bodycare")</f>
        <v>Bodycare</v>
      </c>
      <c r="G453" s="212" t="str">
        <f>IFERROR(__xludf.DUMMYFUNCTION("""COMPUTED_VALUE"""),"bbw_on_smsfb_bcat101212_12april_repeat_lastreminder")</f>
        <v>bbw_on_smsfb_bcat101212_12april_repeat_lastreminder</v>
      </c>
      <c r="H453" s="212" t="str">
        <f>IFERROR(__xludf.DUMMYFUNCTION("""COMPUTED_VALUE"""),"BBW_ON_BC_Repeat_8_Apr_26")</f>
        <v>BBW_ON_BC_Repeat_8_Apr_26</v>
      </c>
      <c r="I453" s="212" t="str">
        <f>IFERROR(__xludf.DUMMYFUNCTION("""COMPUTED_VALUE"""),"WA Undelivered")</f>
        <v>WA Undelivered</v>
      </c>
      <c r="J453" s="213">
        <f>IFERROR(__xludf.DUMMYFUNCTION("""COMPUTED_VALUE"""),7968.0)</f>
        <v>7968</v>
      </c>
      <c r="K453" s="213">
        <f>IFERROR(__xludf.DUMMYFUNCTION("""COMPUTED_VALUE"""),4346.0)</f>
        <v>4346</v>
      </c>
      <c r="L453" s="214">
        <f>IFERROR(__xludf.DUMMYFUNCTION("""COMPUTED_VALUE"""),0.5454)</f>
        <v>0.5454</v>
      </c>
      <c r="M453" s="214"/>
      <c r="N453" s="214"/>
      <c r="O453" s="213">
        <f>IFERROR(__xludf.DUMMYFUNCTION("""COMPUTED_VALUE"""),5.0)</f>
        <v>5</v>
      </c>
      <c r="P453" s="213"/>
      <c r="Q453" s="214">
        <f>IFERROR(__xludf.DUMMYFUNCTION("""COMPUTED_VALUE"""),0.0012)</f>
        <v>0.0012</v>
      </c>
      <c r="R453" s="214"/>
      <c r="S453" s="101">
        <f>IFERROR(__xludf.DUMMYFUNCTION("""COMPUTED_VALUE"""),1.0)</f>
        <v>1</v>
      </c>
      <c r="T453" s="101">
        <f>IFERROR(__xludf.DUMMYFUNCTION("""COMPUTED_VALUE"""),1.0)</f>
        <v>1</v>
      </c>
      <c r="U453" s="270">
        <f>IFERROR(__xludf.DUMMYFUNCTION("""COMPUTED_VALUE"""),6297.0)</f>
        <v>6297</v>
      </c>
      <c r="V453" s="271" t="str">
        <f>IFERROR(__xludf.DUMMYFUNCTION("""COMPUTED_VALUE"""),"online")</f>
        <v>online</v>
      </c>
      <c r="W453" s="272" t="str">
        <f>IFERROR(__xludf.DUMMYFUNCTION("""COMPUTED_VALUE"""),"SMS")</f>
        <v>SMS</v>
      </c>
      <c r="X453" s="272" t="str">
        <f>IFERROR(__xludf.DUMMYFUNCTION("""COMPUTED_VALUE"""),"Repeat")</f>
        <v>Repeat</v>
      </c>
      <c r="Y453" s="272" t="str">
        <f>IFERROR(__xludf.DUMMYFUNCTION("""COMPUTED_VALUE"""),"12th April")</f>
        <v>12th April</v>
      </c>
      <c r="Z453" s="272" t="str">
        <f>IFERROR(__xludf.DUMMYFUNCTION("""COMPUTED_VALUE"""),"69d8ce512ba57e2ce9eab25b")</f>
        <v>69d8ce512ba57e2ce9eab25b</v>
      </c>
      <c r="AA453" s="272">
        <f>IFERROR(__xludf.DUMMYFUNCTION("""COMPUTED_VALUE"""),5.0)</f>
        <v>5</v>
      </c>
      <c r="AB453" s="272">
        <f>IFERROR(__xludf.DUMMYFUNCTION("""COMPUTED_VALUE"""),5.0)</f>
        <v>5</v>
      </c>
      <c r="AC453" s="272"/>
      <c r="AD453" s="272">
        <f>IFERROR(__xludf.DUMMYFUNCTION("""COMPUTED_VALUE"""),15881.0)</f>
        <v>15881</v>
      </c>
      <c r="AE453" s="272">
        <f>IFERROR(__xludf.DUMMYFUNCTION("""COMPUTED_VALUE"""),15881.0)</f>
        <v>15881</v>
      </c>
      <c r="AF453" s="272"/>
      <c r="AG453" s="208"/>
      <c r="AH453" s="208"/>
      <c r="AI453" s="208"/>
      <c r="AJ453" s="208"/>
      <c r="AK453" s="208"/>
    </row>
    <row r="454" hidden="1">
      <c r="A454" s="209">
        <f>IFERROR(__xludf.DUMMYFUNCTION("""COMPUTED_VALUE"""),46124.0)</f>
        <v>46124</v>
      </c>
      <c r="B454" s="210">
        <f>IFERROR(__xludf.DUMMYFUNCTION("""COMPUTED_VALUE"""),0.7916666666678793)</f>
        <v>0.7916666667</v>
      </c>
      <c r="C454" s="211" t="str">
        <f>IFERROR(__xludf.DUMMYFUNCTION("""COMPUTED_VALUE"""),"Sms")</f>
        <v>Sms</v>
      </c>
      <c r="D454" s="211" t="str">
        <f>IFERROR(__xludf.DUMMYFUNCTION("""COMPUTED_VALUE"""),"Fallback campaign")</f>
        <v>Fallback campaign</v>
      </c>
      <c r="E454" s="211" t="str">
        <f>IFERROR(__xludf.DUMMYFUNCTION("""COMPUTED_VALUE"""),"BBW")</f>
        <v>BBW</v>
      </c>
      <c r="F454" s="211" t="str">
        <f>IFERROR(__xludf.DUMMYFUNCTION("""COMPUTED_VALUE"""),"Bodycare")</f>
        <v>Bodycare</v>
      </c>
      <c r="G454" s="212" t="str">
        <f>IFERROR(__xludf.DUMMYFUNCTION("""COMPUTED_VALUE"""),"bbw_on_smsfb_bcat101212_12april_predombelow121212_lastreminder")</f>
        <v>bbw_on_smsfb_bcat101212_12april_predombelow121212_lastreminder</v>
      </c>
      <c r="H454" s="212" t="str">
        <f>IFERROR(__xludf.DUMMYFUNCTION("""COMPUTED_VALUE"""),"BBW_ON_BC_Price_Predom_Below_1299_8_Apr_26")</f>
        <v>BBW_ON_BC_Price_Predom_Below_1299_8_Apr_26</v>
      </c>
      <c r="I454" s="212" t="str">
        <f>IFERROR(__xludf.DUMMYFUNCTION("""COMPUTED_VALUE"""),"WA Undelivered")</f>
        <v>WA Undelivered</v>
      </c>
      <c r="J454" s="213">
        <f>IFERROR(__xludf.DUMMYFUNCTION("""COMPUTED_VALUE"""),68426.0)</f>
        <v>68426</v>
      </c>
      <c r="K454" s="213">
        <f>IFERROR(__xludf.DUMMYFUNCTION("""COMPUTED_VALUE"""),44143.0)</f>
        <v>44143</v>
      </c>
      <c r="L454" s="214">
        <f>IFERROR(__xludf.DUMMYFUNCTION("""COMPUTED_VALUE"""),0.6451)</f>
        <v>0.6451</v>
      </c>
      <c r="M454" s="214"/>
      <c r="N454" s="214"/>
      <c r="O454" s="213">
        <f>IFERROR(__xludf.DUMMYFUNCTION("""COMPUTED_VALUE"""),22.0)</f>
        <v>22</v>
      </c>
      <c r="P454" s="213"/>
      <c r="Q454" s="214">
        <f>IFERROR(__xludf.DUMMYFUNCTION("""COMPUTED_VALUE"""),5.0E-4)</f>
        <v>0.0005</v>
      </c>
      <c r="R454" s="214"/>
      <c r="S454" s="101">
        <f>IFERROR(__xludf.DUMMYFUNCTION("""COMPUTED_VALUE"""),1.0)</f>
        <v>1</v>
      </c>
      <c r="T454" s="101">
        <f>IFERROR(__xludf.DUMMYFUNCTION("""COMPUTED_VALUE"""),1.0)</f>
        <v>1</v>
      </c>
      <c r="U454" s="270">
        <f>IFERROR(__xludf.DUMMYFUNCTION("""COMPUTED_VALUE"""),4397.0)</f>
        <v>4397</v>
      </c>
      <c r="V454" s="271" t="str">
        <f>IFERROR(__xludf.DUMMYFUNCTION("""COMPUTED_VALUE"""),"online")</f>
        <v>online</v>
      </c>
      <c r="W454" s="272" t="str">
        <f>IFERROR(__xludf.DUMMYFUNCTION("""COMPUTED_VALUE"""),"SMS")</f>
        <v>SMS</v>
      </c>
      <c r="X454" s="272" t="str">
        <f>IFERROR(__xludf.DUMMYFUNCTION("""COMPUTED_VALUE"""),"Price Predom")</f>
        <v>Price Predom</v>
      </c>
      <c r="Y454" s="272" t="str">
        <f>IFERROR(__xludf.DUMMYFUNCTION("""COMPUTED_VALUE"""),"12th April")</f>
        <v>12th April</v>
      </c>
      <c r="Z454" s="272" t="str">
        <f>IFERROR(__xludf.DUMMYFUNCTION("""COMPUTED_VALUE"""),"69d8ce9ddca85d67866871fc")</f>
        <v>69d8ce9ddca85d67866871fc</v>
      </c>
      <c r="AA454" s="272">
        <f>IFERROR(__xludf.DUMMYFUNCTION("""COMPUTED_VALUE"""),5.0)</f>
        <v>5</v>
      </c>
      <c r="AB454" s="272">
        <f>IFERROR(__xludf.DUMMYFUNCTION("""COMPUTED_VALUE"""),5.0)</f>
        <v>5</v>
      </c>
      <c r="AC454" s="272"/>
      <c r="AD454" s="272">
        <f>IFERROR(__xludf.DUMMYFUNCTION("""COMPUTED_VALUE"""),11003.0)</f>
        <v>11003</v>
      </c>
      <c r="AE454" s="272">
        <f>IFERROR(__xludf.DUMMYFUNCTION("""COMPUTED_VALUE"""),11003.0)</f>
        <v>11003</v>
      </c>
      <c r="AF454" s="272"/>
      <c r="AG454" s="208"/>
      <c r="AH454" s="208"/>
      <c r="AI454" s="208"/>
      <c r="AJ454" s="208"/>
      <c r="AK454" s="208"/>
    </row>
    <row r="455" hidden="1">
      <c r="A455" s="209">
        <f>IFERROR(__xludf.DUMMYFUNCTION("""COMPUTED_VALUE"""),46124.0)</f>
        <v>46124</v>
      </c>
      <c r="B455" s="210">
        <f>IFERROR(__xludf.DUMMYFUNCTION("""COMPUTED_VALUE"""),0.7916666666678793)</f>
        <v>0.7916666667</v>
      </c>
      <c r="C455" s="211" t="str">
        <f>IFERROR(__xludf.DUMMYFUNCTION("""COMPUTED_VALUE"""),"Sms")</f>
        <v>Sms</v>
      </c>
      <c r="D455" s="211" t="str">
        <f>IFERROR(__xludf.DUMMYFUNCTION("""COMPUTED_VALUE"""),"Fallback campaign")</f>
        <v>Fallback campaign</v>
      </c>
      <c r="E455" s="211" t="str">
        <f>IFERROR(__xludf.DUMMYFUNCTION("""COMPUTED_VALUE"""),"BBW")</f>
        <v>BBW</v>
      </c>
      <c r="F455" s="211" t="str">
        <f>IFERROR(__xludf.DUMMYFUNCTION("""COMPUTED_VALUE"""),"Bodycare")</f>
        <v>Bodycare</v>
      </c>
      <c r="G455" s="212" t="str">
        <f>IFERROR(__xludf.DUMMYFUNCTION("""COMPUTED_VALUE"""),"bbw_on_smsfb_bcat101212_12april_qty2_lastreminder")</f>
        <v>bbw_on_smsfb_bcat101212_12april_qty2_lastreminder</v>
      </c>
      <c r="H455" s="212" t="str">
        <f>IFERROR(__xludf.DUMMYFUNCTION("""COMPUTED_VALUE"""),"BBW_ON_Qty2_Predom_8_Apr_26")</f>
        <v>BBW_ON_Qty2_Predom_8_Apr_26</v>
      </c>
      <c r="I455" s="212" t="str">
        <f>IFERROR(__xludf.DUMMYFUNCTION("""COMPUTED_VALUE"""),"WA Undelivered")</f>
        <v>WA Undelivered</v>
      </c>
      <c r="J455" s="213">
        <f>IFERROR(__xludf.DUMMYFUNCTION("""COMPUTED_VALUE"""),53204.0)</f>
        <v>53204</v>
      </c>
      <c r="K455" s="213">
        <f>IFERROR(__xludf.DUMMYFUNCTION("""COMPUTED_VALUE"""),27055.0)</f>
        <v>27055</v>
      </c>
      <c r="L455" s="214">
        <f>IFERROR(__xludf.DUMMYFUNCTION("""COMPUTED_VALUE"""),0.5085)</f>
        <v>0.5085</v>
      </c>
      <c r="M455" s="214"/>
      <c r="N455" s="214"/>
      <c r="O455" s="213">
        <f>IFERROR(__xludf.DUMMYFUNCTION("""COMPUTED_VALUE"""),31.0)</f>
        <v>31</v>
      </c>
      <c r="P455" s="213"/>
      <c r="Q455" s="214">
        <f>IFERROR(__xludf.DUMMYFUNCTION("""COMPUTED_VALUE"""),0.0011)</f>
        <v>0.0011</v>
      </c>
      <c r="R455" s="214"/>
      <c r="S455" s="101">
        <f>IFERROR(__xludf.DUMMYFUNCTION("""COMPUTED_VALUE"""),2.0)</f>
        <v>2</v>
      </c>
      <c r="T455" s="101">
        <f>IFERROR(__xludf.DUMMYFUNCTION("""COMPUTED_VALUE"""),2.0)</f>
        <v>2</v>
      </c>
      <c r="U455" s="270">
        <f>IFERROR(__xludf.DUMMYFUNCTION("""COMPUTED_VALUE"""),10635.0)</f>
        <v>10635</v>
      </c>
      <c r="V455" s="271" t="str">
        <f>IFERROR(__xludf.DUMMYFUNCTION("""COMPUTED_VALUE"""),"online")</f>
        <v>online</v>
      </c>
      <c r="W455" s="272" t="str">
        <f>IFERROR(__xludf.DUMMYFUNCTION("""COMPUTED_VALUE"""),"SMS")</f>
        <v>SMS</v>
      </c>
      <c r="X455" s="272" t="str">
        <f>IFERROR(__xludf.DUMMYFUNCTION("""COMPUTED_VALUE"""),"Cart Qty Predom")</f>
        <v>Cart Qty Predom</v>
      </c>
      <c r="Y455" s="272" t="str">
        <f>IFERROR(__xludf.DUMMYFUNCTION("""COMPUTED_VALUE"""),"12th April")</f>
        <v>12th April</v>
      </c>
      <c r="Z455" s="272" t="str">
        <f>IFERROR(__xludf.DUMMYFUNCTION("""COMPUTED_VALUE"""),"69d8cf2ec61b4431e759c3bd")</f>
        <v>69d8cf2ec61b4431e759c3bd</v>
      </c>
      <c r="AA455" s="272">
        <f>IFERROR(__xludf.DUMMYFUNCTION("""COMPUTED_VALUE"""),8.0)</f>
        <v>8</v>
      </c>
      <c r="AB455" s="272">
        <f>IFERROR(__xludf.DUMMYFUNCTION("""COMPUTED_VALUE"""),8.0)</f>
        <v>8</v>
      </c>
      <c r="AC455" s="272"/>
      <c r="AD455" s="272">
        <f>IFERROR(__xludf.DUMMYFUNCTION("""COMPUTED_VALUE"""),30862.0)</f>
        <v>30862</v>
      </c>
      <c r="AE455" s="272">
        <f>IFERROR(__xludf.DUMMYFUNCTION("""COMPUTED_VALUE"""),30862.0)</f>
        <v>30862</v>
      </c>
      <c r="AF455" s="272"/>
      <c r="AG455" s="208"/>
      <c r="AH455" s="208"/>
      <c r="AI455" s="208"/>
      <c r="AJ455" s="208"/>
      <c r="AK455" s="208"/>
    </row>
    <row r="456" hidden="1">
      <c r="A456" s="209">
        <f>IFERROR(__xludf.DUMMYFUNCTION("""COMPUTED_VALUE"""),46124.0)</f>
        <v>46124</v>
      </c>
      <c r="B456" s="210">
        <f>IFERROR(__xludf.DUMMYFUNCTION("""COMPUTED_VALUE"""),0.7916666666678793)</f>
        <v>0.7916666667</v>
      </c>
      <c r="C456" s="211" t="str">
        <f>IFERROR(__xludf.DUMMYFUNCTION("""COMPUTED_VALUE"""),"Sms")</f>
        <v>Sms</v>
      </c>
      <c r="D456" s="211" t="str">
        <f>IFERROR(__xludf.DUMMYFUNCTION("""COMPUTED_VALUE"""),"Fallback campaign")</f>
        <v>Fallback campaign</v>
      </c>
      <c r="E456" s="211" t="str">
        <f>IFERROR(__xludf.DUMMYFUNCTION("""COMPUTED_VALUE"""),"BBW")</f>
        <v>BBW</v>
      </c>
      <c r="F456" s="211" t="str">
        <f>IFERROR(__xludf.DUMMYFUNCTION("""COMPUTED_VALUE"""),"Bodycare")</f>
        <v>Bodycare</v>
      </c>
      <c r="G456" s="212" t="str">
        <f>IFERROR(__xludf.DUMMYFUNCTION("""COMPUTED_VALUE"""),"bbw_on_smsfb_bcat101212_12april_cat_averse_lastreminder")</f>
        <v>bbw_on_smsfb_bcat101212_12april_cat_averse_lastreminder</v>
      </c>
      <c r="H456" s="212" t="str">
        <f>IFERROR(__xludf.DUMMYFUNCTION("""COMPUTED_VALUE"""),"BBW_ON_BC_Category_Averse_8_Apr_26")</f>
        <v>BBW_ON_BC_Category_Averse_8_Apr_26</v>
      </c>
      <c r="I456" s="212" t="str">
        <f>IFERROR(__xludf.DUMMYFUNCTION("""COMPUTED_VALUE"""),"WA Undelivered")</f>
        <v>WA Undelivered</v>
      </c>
      <c r="J456" s="213">
        <f>IFERROR(__xludf.DUMMYFUNCTION("""COMPUTED_VALUE"""),20120.0)</f>
        <v>20120</v>
      </c>
      <c r="K456" s="213">
        <f>IFERROR(__xludf.DUMMYFUNCTION("""COMPUTED_VALUE"""),9957.0)</f>
        <v>9957</v>
      </c>
      <c r="L456" s="214">
        <f>IFERROR(__xludf.DUMMYFUNCTION("""COMPUTED_VALUE"""),0.4949)</f>
        <v>0.4949</v>
      </c>
      <c r="M456" s="214"/>
      <c r="N456" s="214"/>
      <c r="O456" s="213">
        <f>IFERROR(__xludf.DUMMYFUNCTION("""COMPUTED_VALUE"""),12.0)</f>
        <v>12</v>
      </c>
      <c r="P456" s="213"/>
      <c r="Q456" s="214">
        <f>IFERROR(__xludf.DUMMYFUNCTION("""COMPUTED_VALUE"""),0.0012)</f>
        <v>0.0012</v>
      </c>
      <c r="R456" s="214"/>
      <c r="S456" s="101">
        <f>IFERROR(__xludf.DUMMYFUNCTION("""COMPUTED_VALUE"""),1.0)</f>
        <v>1</v>
      </c>
      <c r="T456" s="101">
        <f>IFERROR(__xludf.DUMMYFUNCTION("""COMPUTED_VALUE"""),1.0)</f>
        <v>1</v>
      </c>
      <c r="U456" s="270">
        <f>IFERROR(__xludf.DUMMYFUNCTION("""COMPUTED_VALUE"""),1799.0)</f>
        <v>1799</v>
      </c>
      <c r="V456" s="271" t="str">
        <f>IFERROR(__xludf.DUMMYFUNCTION("""COMPUTED_VALUE"""),"online")</f>
        <v>online</v>
      </c>
      <c r="W456" s="272" t="str">
        <f>IFERROR(__xludf.DUMMYFUNCTION("""COMPUTED_VALUE"""),"SMS")</f>
        <v>SMS</v>
      </c>
      <c r="X456" s="272" t="str">
        <f>IFERROR(__xludf.DUMMYFUNCTION("""COMPUTED_VALUE"""),"Category")</f>
        <v>Category</v>
      </c>
      <c r="Y456" s="272" t="str">
        <f>IFERROR(__xludf.DUMMYFUNCTION("""COMPUTED_VALUE"""),"12th April")</f>
        <v>12th April</v>
      </c>
      <c r="Z456" s="272" t="str">
        <f>IFERROR(__xludf.DUMMYFUNCTION("""COMPUTED_VALUE"""),"69d8cfc60044f948c7db7673")</f>
        <v>69d8cfc60044f948c7db7673</v>
      </c>
      <c r="AA456" s="272">
        <f>IFERROR(__xludf.DUMMYFUNCTION("""COMPUTED_VALUE"""),11.0)</f>
        <v>11</v>
      </c>
      <c r="AB456" s="272">
        <f>IFERROR(__xludf.DUMMYFUNCTION("""COMPUTED_VALUE"""),11.0)</f>
        <v>11</v>
      </c>
      <c r="AC456" s="272"/>
      <c r="AD456" s="272">
        <f>IFERROR(__xludf.DUMMYFUNCTION("""COMPUTED_VALUE"""),33266.0)</f>
        <v>33266</v>
      </c>
      <c r="AE456" s="272">
        <f>IFERROR(__xludf.DUMMYFUNCTION("""COMPUTED_VALUE"""),33266.0)</f>
        <v>33266</v>
      </c>
      <c r="AF456" s="272"/>
      <c r="AG456" s="208"/>
      <c r="AH456" s="208"/>
      <c r="AI456" s="208"/>
      <c r="AJ456" s="208"/>
      <c r="AK456" s="208"/>
    </row>
    <row r="457" hidden="1">
      <c r="A457" s="209">
        <f>IFERROR(__xludf.DUMMYFUNCTION("""COMPUTED_VALUE"""),46124.0)</f>
        <v>46124</v>
      </c>
      <c r="B457" s="210">
        <f>IFERROR(__xludf.DUMMYFUNCTION("""COMPUTED_VALUE"""),0.7916666666678793)</f>
        <v>0.7916666667</v>
      </c>
      <c r="C457" s="211" t="str">
        <f>IFERROR(__xludf.DUMMYFUNCTION("""COMPUTED_VALUE"""),"Sms")</f>
        <v>Sms</v>
      </c>
      <c r="D457" s="211" t="str">
        <f>IFERROR(__xludf.DUMMYFUNCTION("""COMPUTED_VALUE"""),"Fallback campaign")</f>
        <v>Fallback campaign</v>
      </c>
      <c r="E457" s="211" t="str">
        <f>IFERROR(__xludf.DUMMYFUNCTION("""COMPUTED_VALUE"""),"BBW")</f>
        <v>BBW</v>
      </c>
      <c r="F457" s="211" t="str">
        <f>IFERROR(__xludf.DUMMYFUNCTION("""COMPUTED_VALUE"""),"Bodycare")</f>
        <v>Bodycare</v>
      </c>
      <c r="G457" s="212" t="str">
        <f>IFERROR(__xludf.DUMMYFUNCTION("""COMPUTED_VALUE"""),"bbw_on_smsfb_bcat101212_12april_disc_buyer_lastreminder")</f>
        <v>bbw_on_smsfb_bcat101212_12april_disc_buyer_lastreminder</v>
      </c>
      <c r="H457" s="212" t="str">
        <f>IFERROR(__xludf.DUMMYFUNCTION("""COMPUTED_VALUE"""),"BBW_ON_Disc_Buyers_8_Apr_26")</f>
        <v>BBW_ON_Disc_Buyers_8_Apr_26</v>
      </c>
      <c r="I457" s="212" t="str">
        <f>IFERROR(__xludf.DUMMYFUNCTION("""COMPUTED_VALUE"""),"WA Undelivered")</f>
        <v>WA Undelivered</v>
      </c>
      <c r="J457" s="213">
        <f>IFERROR(__xludf.DUMMYFUNCTION("""COMPUTED_VALUE"""),3073.0)</f>
        <v>3073</v>
      </c>
      <c r="K457" s="213">
        <f>IFERROR(__xludf.DUMMYFUNCTION("""COMPUTED_VALUE"""),1791.0)</f>
        <v>1791</v>
      </c>
      <c r="L457" s="214">
        <f>IFERROR(__xludf.DUMMYFUNCTION("""COMPUTED_VALUE"""),0.5828)</f>
        <v>0.5828</v>
      </c>
      <c r="M457" s="214"/>
      <c r="N457" s="214"/>
      <c r="O457" s="213">
        <f>IFERROR(__xludf.DUMMYFUNCTION("""COMPUTED_VALUE"""),3.0)</f>
        <v>3</v>
      </c>
      <c r="P457" s="213"/>
      <c r="Q457" s="214">
        <f>IFERROR(__xludf.DUMMYFUNCTION("""COMPUTED_VALUE"""),0.0017)</f>
        <v>0.0017</v>
      </c>
      <c r="R457" s="214"/>
      <c r="S457" s="101">
        <f>IFERROR(__xludf.DUMMYFUNCTION("""COMPUTED_VALUE"""),0.0)</f>
        <v>0</v>
      </c>
      <c r="T457" s="101">
        <f>IFERROR(__xludf.DUMMYFUNCTION("""COMPUTED_VALUE"""),0.0)</f>
        <v>0</v>
      </c>
      <c r="U457" s="270">
        <f>IFERROR(__xludf.DUMMYFUNCTION("""COMPUTED_VALUE"""),0.0)</f>
        <v>0</v>
      </c>
      <c r="V457" s="271" t="str">
        <f>IFERROR(__xludf.DUMMYFUNCTION("""COMPUTED_VALUE"""),"online")</f>
        <v>online</v>
      </c>
      <c r="W457" s="272" t="str">
        <f>IFERROR(__xludf.DUMMYFUNCTION("""COMPUTED_VALUE"""),"SMS")</f>
        <v>SMS</v>
      </c>
      <c r="X457" s="272" t="str">
        <f>IFERROR(__xludf.DUMMYFUNCTION("""COMPUTED_VALUE"""),"Discount Buyers")</f>
        <v>Discount Buyers</v>
      </c>
      <c r="Y457" s="272" t="str">
        <f>IFERROR(__xludf.DUMMYFUNCTION("""COMPUTED_VALUE"""),"12th April")</f>
        <v>12th April</v>
      </c>
      <c r="Z457" s="272" t="str">
        <f>IFERROR(__xludf.DUMMYFUNCTION("""COMPUTED_VALUE"""),"69d8d04ffe168aa6d014514a")</f>
        <v>69d8d04ffe168aa6d014514a</v>
      </c>
      <c r="AA457" s="272">
        <f>IFERROR(__xludf.DUMMYFUNCTION("""COMPUTED_VALUE"""),0.0)</f>
        <v>0</v>
      </c>
      <c r="AB457" s="272">
        <f>IFERROR(__xludf.DUMMYFUNCTION("""COMPUTED_VALUE"""),0.0)</f>
        <v>0</v>
      </c>
      <c r="AC457" s="272"/>
      <c r="AD457" s="272">
        <f>IFERROR(__xludf.DUMMYFUNCTION("""COMPUTED_VALUE"""),0.0)</f>
        <v>0</v>
      </c>
      <c r="AE457" s="272">
        <f>IFERROR(__xludf.DUMMYFUNCTION("""COMPUTED_VALUE"""),0.0)</f>
        <v>0</v>
      </c>
      <c r="AF457" s="272"/>
      <c r="AG457" s="208"/>
      <c r="AH457" s="208"/>
      <c r="AI457" s="208"/>
      <c r="AJ457" s="208"/>
      <c r="AK457" s="208"/>
    </row>
    <row r="458" hidden="1">
      <c r="A458" s="209">
        <f>IFERROR(__xludf.DUMMYFUNCTION("""COMPUTED_VALUE"""),46127.0)</f>
        <v>46127</v>
      </c>
      <c r="B458" s="210">
        <f>IFERROR(__xludf.DUMMYFUNCTION("""COMPUTED_VALUE"""),0.7083333333321207)</f>
        <v>0.7083333333</v>
      </c>
      <c r="C458" s="211" t="str">
        <f>IFERROR(__xludf.DUMMYFUNCTION("""COMPUTED_VALUE"""),"Whatsapp")</f>
        <v>Whatsapp</v>
      </c>
      <c r="D458" s="211" t="str">
        <f>IFERROR(__xludf.DUMMYFUNCTION("""COMPUTED_VALUE"""),"Promtional")</f>
        <v>Promtional</v>
      </c>
      <c r="E458" s="211" t="str">
        <f>IFERROR(__xludf.DUMMYFUNCTION("""COMPUTED_VALUE"""),"BBW")</f>
        <v>BBW</v>
      </c>
      <c r="F458" s="211" t="str">
        <f>IFERROR(__xludf.DUMMYFUNCTION("""COMPUTED_VALUE"""),"MSS Campaigns")</f>
        <v>MSS Campaigns</v>
      </c>
      <c r="G458" s="212" t="str">
        <f>IFERROR(__xludf.DUMMYFUNCTION("""COMPUTED_VALUE"""),"bbw_mss_15april_wa_active_online")</f>
        <v>bbw_mss_15april_wa_active_online</v>
      </c>
      <c r="H458" s="212" t="str">
        <f>IFERROR(__xludf.DUMMYFUNCTION("""COMPUTED_VALUE"""),"BBW_Active_Base_Online")</f>
        <v>BBW_Active_Base_Online</v>
      </c>
      <c r="I458" s="212" t="str">
        <f>IFERROR(__xludf.DUMMYFUNCTION("""COMPUTED_VALUE"""),"Online Customers who have purchased in TTR (90 days)")</f>
        <v>Online Customers who have purchased in TTR (90 days)</v>
      </c>
      <c r="J458" s="213">
        <f>IFERROR(__xludf.DUMMYFUNCTION("""COMPUTED_VALUE"""),23880.0)</f>
        <v>23880</v>
      </c>
      <c r="K458" s="213">
        <f>IFERROR(__xludf.DUMMYFUNCTION("""COMPUTED_VALUE"""),10929.0)</f>
        <v>10929</v>
      </c>
      <c r="L458" s="214">
        <f>IFERROR(__xludf.DUMMYFUNCTION("""COMPUTED_VALUE"""),0.4574)</f>
        <v>0.4574</v>
      </c>
      <c r="M458" s="214">
        <f>IFERROR(__xludf.DUMMYFUNCTION("""COMPUTED_VALUE"""),4707.0)</f>
        <v>4707</v>
      </c>
      <c r="N458" s="214">
        <f>IFERROR(__xludf.DUMMYFUNCTION("""COMPUTED_VALUE"""),0.4307)</f>
        <v>0.4307</v>
      </c>
      <c r="O458" s="213">
        <f>IFERROR(__xludf.DUMMYFUNCTION("""COMPUTED_VALUE"""),1217.0)</f>
        <v>1217</v>
      </c>
      <c r="P458" s="213">
        <f>IFERROR(__xludf.DUMMYFUNCTION("""COMPUTED_VALUE"""),1052.0)</f>
        <v>1052</v>
      </c>
      <c r="Q458" s="214">
        <f>IFERROR(__xludf.DUMMYFUNCTION("""COMPUTED_VALUE"""),0.0963)</f>
        <v>0.0963</v>
      </c>
      <c r="R458" s="214">
        <f>IFERROR(__xludf.DUMMYFUNCTION("""COMPUTED_VALUE"""),0.2236)</f>
        <v>0.2236</v>
      </c>
      <c r="S458" s="101">
        <f>IFERROR(__xludf.DUMMYFUNCTION("""COMPUTED_VALUE"""),59.0)</f>
        <v>59</v>
      </c>
      <c r="T458" s="101">
        <f>IFERROR(__xludf.DUMMYFUNCTION("""COMPUTED_VALUE"""),173.0)</f>
        <v>173</v>
      </c>
      <c r="U458" s="270">
        <f>IFERROR(__xludf.DUMMYFUNCTION("""COMPUTED_VALUE"""),134515.0)</f>
        <v>134515</v>
      </c>
      <c r="V458" s="271" t="str">
        <f>IFERROR(__xludf.DUMMYFUNCTION("""COMPUTED_VALUE"""),"online")</f>
        <v>online</v>
      </c>
      <c r="W458" s="272" t="str">
        <f>IFERROR(__xludf.DUMMYFUNCTION("""COMPUTED_VALUE"""),"simple")</f>
        <v>simple</v>
      </c>
      <c r="X458" s="272" t="str">
        <f>IFERROR(__xludf.DUMMYFUNCTION("""COMPUTED_VALUE"""),"Active")</f>
        <v>Active</v>
      </c>
      <c r="Y458" s="272" t="str">
        <f>IFERROR(__xludf.DUMMYFUNCTION("""COMPUTED_VALUE"""),"15-17 April")</f>
        <v>15-17 April</v>
      </c>
      <c r="Z458" s="272" t="str">
        <f>IFERROR(__xludf.DUMMYFUNCTION("""COMPUTED_VALUE"""),"69df69780527a0648e84fef4")</f>
        <v>69df69780527a0648e84fef4</v>
      </c>
      <c r="AA458" s="272">
        <f>IFERROR(__xludf.DUMMYFUNCTION("""COMPUTED_VALUE"""),264.0)</f>
        <v>264</v>
      </c>
      <c r="AB458" s="272">
        <f>IFERROR(__xludf.DUMMYFUNCTION("""COMPUTED_VALUE"""),264.0)</f>
        <v>264</v>
      </c>
      <c r="AC458" s="272"/>
      <c r="AD458" s="272">
        <f>IFERROR(__xludf.DUMMYFUNCTION("""COMPUTED_VALUE"""),222404.0)</f>
        <v>222404</v>
      </c>
      <c r="AE458" s="272">
        <f>IFERROR(__xludf.DUMMYFUNCTION("""COMPUTED_VALUE"""),222404.0)</f>
        <v>222404</v>
      </c>
      <c r="AF458" s="272"/>
      <c r="AG458" s="208"/>
      <c r="AH458" s="208"/>
      <c r="AI458" s="208"/>
      <c r="AJ458" s="208"/>
      <c r="AK458" s="208"/>
    </row>
    <row r="459" hidden="1">
      <c r="A459" s="209">
        <f>IFERROR(__xludf.DUMMYFUNCTION("""COMPUTED_VALUE"""),46127.0)</f>
        <v>46127</v>
      </c>
      <c r="B459" s="210">
        <f>IFERROR(__xludf.DUMMYFUNCTION("""COMPUTED_VALUE"""),0.7083333333321207)</f>
        <v>0.7083333333</v>
      </c>
      <c r="C459" s="211" t="str">
        <f>IFERROR(__xludf.DUMMYFUNCTION("""COMPUTED_VALUE"""),"Whatsapp")</f>
        <v>Whatsapp</v>
      </c>
      <c r="D459" s="211" t="str">
        <f>IFERROR(__xludf.DUMMYFUNCTION("""COMPUTED_VALUE"""),"Promtional")</f>
        <v>Promtional</v>
      </c>
      <c r="E459" s="211" t="str">
        <f>IFERROR(__xludf.DUMMYFUNCTION("""COMPUTED_VALUE"""),"BBW")</f>
        <v>BBW</v>
      </c>
      <c r="F459" s="211" t="str">
        <f>IFERROR(__xludf.DUMMYFUNCTION("""COMPUTED_VALUE"""),"MSS Campaigns")</f>
        <v>MSS Campaigns</v>
      </c>
      <c r="G459" s="212" t="str">
        <f>IFERROR(__xludf.DUMMYFUNCTION("""COMPUTED_VALUE"""),"bbw_mss_15april_wa_dormant_online")</f>
        <v>bbw_mss_15april_wa_dormant_online</v>
      </c>
      <c r="H459" s="212" t="str">
        <f>IFERROR(__xludf.DUMMYFUNCTION("""COMPUTED_VALUE"""),"BBW_Dormant_Base_Online")</f>
        <v>BBW_Dormant_Base_Online</v>
      </c>
      <c r="I459" s="212" t="str">
        <f>IFERROR(__xludf.DUMMYFUNCTION("""COMPUTED_VALUE"""),"Online Customers who have purchased in last 365 days but not in TTR (90 days)")</f>
        <v>Online Customers who have purchased in last 365 days but not in TTR (90 days)</v>
      </c>
      <c r="J459" s="213">
        <f>IFERROR(__xludf.DUMMYFUNCTION("""COMPUTED_VALUE"""),110287.0)</f>
        <v>110287</v>
      </c>
      <c r="K459" s="213">
        <f>IFERROR(__xludf.DUMMYFUNCTION("""COMPUTED_VALUE"""),49253.0)</f>
        <v>49253</v>
      </c>
      <c r="L459" s="214">
        <f>IFERROR(__xludf.DUMMYFUNCTION("""COMPUTED_VALUE"""),0.4463)</f>
        <v>0.4463</v>
      </c>
      <c r="M459" s="214">
        <f>IFERROR(__xludf.DUMMYFUNCTION("""COMPUTED_VALUE"""),18324.0)</f>
        <v>18324</v>
      </c>
      <c r="N459" s="214">
        <f>IFERROR(__xludf.DUMMYFUNCTION("""COMPUTED_VALUE"""),0.3722)</f>
        <v>0.3722</v>
      </c>
      <c r="O459" s="213">
        <f>IFERROR(__xludf.DUMMYFUNCTION("""COMPUTED_VALUE"""),3591.0)</f>
        <v>3591</v>
      </c>
      <c r="P459" s="213">
        <f>IFERROR(__xludf.DUMMYFUNCTION("""COMPUTED_VALUE"""),3205.0)</f>
        <v>3205</v>
      </c>
      <c r="Q459" s="214">
        <f>IFERROR(__xludf.DUMMYFUNCTION("""COMPUTED_VALUE"""),0.0651)</f>
        <v>0.0651</v>
      </c>
      <c r="R459" s="214">
        <f>IFERROR(__xludf.DUMMYFUNCTION("""COMPUTED_VALUE"""),0.1749)</f>
        <v>0.1749</v>
      </c>
      <c r="S459" s="101">
        <f>IFERROR(__xludf.DUMMYFUNCTION("""COMPUTED_VALUE"""),105.0)</f>
        <v>105</v>
      </c>
      <c r="T459" s="101">
        <f>IFERROR(__xludf.DUMMYFUNCTION("""COMPUTED_VALUE"""),230.0)</f>
        <v>230</v>
      </c>
      <c r="U459" s="270">
        <f>IFERROR(__xludf.DUMMYFUNCTION("""COMPUTED_VALUE"""),272576.0)</f>
        <v>272576</v>
      </c>
      <c r="V459" s="271" t="str">
        <f>IFERROR(__xludf.DUMMYFUNCTION("""COMPUTED_VALUE"""),"online")</f>
        <v>online</v>
      </c>
      <c r="W459" s="272" t="str">
        <f>IFERROR(__xludf.DUMMYFUNCTION("""COMPUTED_VALUE"""),"simple")</f>
        <v>simple</v>
      </c>
      <c r="X459" s="272" t="str">
        <f>IFERROR(__xludf.DUMMYFUNCTION("""COMPUTED_VALUE"""),"Dormant")</f>
        <v>Dormant</v>
      </c>
      <c r="Y459" s="272" t="str">
        <f>IFERROR(__xludf.DUMMYFUNCTION("""COMPUTED_VALUE"""),"15-17 April")</f>
        <v>15-17 April</v>
      </c>
      <c r="Z459" s="272" t="str">
        <f>IFERROR(__xludf.DUMMYFUNCTION("""COMPUTED_VALUE"""),"69df69aefed1f5ac43f3c71f")</f>
        <v>69df69aefed1f5ac43f3c71f</v>
      </c>
      <c r="AA459" s="272">
        <f>IFERROR(__xludf.DUMMYFUNCTION("""COMPUTED_VALUE"""),597.0)</f>
        <v>597</v>
      </c>
      <c r="AB459" s="272">
        <f>IFERROR(__xludf.DUMMYFUNCTION("""COMPUTED_VALUE"""),597.0)</f>
        <v>597</v>
      </c>
      <c r="AC459" s="272"/>
      <c r="AD459" s="272">
        <f>IFERROR(__xludf.DUMMYFUNCTION("""COMPUTED_VALUE"""),1517315.0)</f>
        <v>1517315</v>
      </c>
      <c r="AE459" s="272">
        <f>IFERROR(__xludf.DUMMYFUNCTION("""COMPUTED_VALUE"""),1517315.0)</f>
        <v>1517315</v>
      </c>
      <c r="AF459" s="272"/>
      <c r="AG459" s="208"/>
      <c r="AH459" s="208"/>
      <c r="AI459" s="208"/>
      <c r="AJ459" s="208"/>
      <c r="AK459" s="208"/>
    </row>
    <row r="460" hidden="1">
      <c r="A460" s="209">
        <f>IFERROR(__xludf.DUMMYFUNCTION("""COMPUTED_VALUE"""),46127.0)</f>
        <v>46127</v>
      </c>
      <c r="B460" s="210">
        <f>IFERROR(__xludf.DUMMYFUNCTION("""COMPUTED_VALUE"""),0.7083333333321207)</f>
        <v>0.7083333333</v>
      </c>
      <c r="C460" s="211" t="str">
        <f>IFERROR(__xludf.DUMMYFUNCTION("""COMPUTED_VALUE"""),"Whatsapp")</f>
        <v>Whatsapp</v>
      </c>
      <c r="D460" s="211" t="str">
        <f>IFERROR(__xludf.DUMMYFUNCTION("""COMPUTED_VALUE"""),"Promtional")</f>
        <v>Promtional</v>
      </c>
      <c r="E460" s="211" t="str">
        <f>IFERROR(__xludf.DUMMYFUNCTION("""COMPUTED_VALUE"""),"BBW")</f>
        <v>BBW</v>
      </c>
      <c r="F460" s="211" t="str">
        <f>IFERROR(__xludf.DUMMYFUNCTION("""COMPUTED_VALUE"""),"MSS Campaigns")</f>
        <v>MSS Campaigns</v>
      </c>
      <c r="G460" s="212" t="str">
        <f>IFERROR(__xludf.DUMMYFUNCTION("""COMPUTED_VALUE"""),"bbw_mss_15april_wa_atc_item_viewed_online")</f>
        <v>bbw_mss_15april_wa_atc_item_viewed_online</v>
      </c>
      <c r="H460" s="212" t="str">
        <f>IFERROR(__xludf.DUMMYFUNCTION("""COMPUTED_VALUE"""),"BBW_ATC_View_Item_Base_40D")</f>
        <v>BBW_ATC_View_Item_Base_40D</v>
      </c>
      <c r="I460" s="212" t="str">
        <f>IFERROR(__xludf.DUMMYFUNCTION("""COMPUTED_VALUE"""),"Online Customers who have ATC or Viewed Item in last 40 days excl. purchasers in last 365 days")</f>
        <v>Online Customers who have ATC or Viewed Item in last 40 days excl. purchasers in last 365 days</v>
      </c>
      <c r="J460" s="213">
        <f>IFERROR(__xludf.DUMMYFUNCTION("""COMPUTED_VALUE"""),4037.0)</f>
        <v>4037</v>
      </c>
      <c r="K460" s="213">
        <f>IFERROR(__xludf.DUMMYFUNCTION("""COMPUTED_VALUE"""),2137.0)</f>
        <v>2137</v>
      </c>
      <c r="L460" s="214">
        <f>IFERROR(__xludf.DUMMYFUNCTION("""COMPUTED_VALUE"""),0.5294)</f>
        <v>0.5294</v>
      </c>
      <c r="M460" s="214">
        <f>IFERROR(__xludf.DUMMYFUNCTION("""COMPUTED_VALUE"""),986.0)</f>
        <v>986</v>
      </c>
      <c r="N460" s="214">
        <f>IFERROR(__xludf.DUMMYFUNCTION("""COMPUTED_VALUE"""),0.4614)</f>
        <v>0.4614</v>
      </c>
      <c r="O460" s="213">
        <f>IFERROR(__xludf.DUMMYFUNCTION("""COMPUTED_VALUE"""),345.0)</f>
        <v>345</v>
      </c>
      <c r="P460" s="213">
        <f>IFERROR(__xludf.DUMMYFUNCTION("""COMPUTED_VALUE"""),295.0)</f>
        <v>295</v>
      </c>
      <c r="Q460" s="214">
        <f>IFERROR(__xludf.DUMMYFUNCTION("""COMPUTED_VALUE"""),0.138)</f>
        <v>0.138</v>
      </c>
      <c r="R460" s="214">
        <f>IFERROR(__xludf.DUMMYFUNCTION("""COMPUTED_VALUE"""),0.2992)</f>
        <v>0.2992</v>
      </c>
      <c r="S460" s="101">
        <f>IFERROR(__xludf.DUMMYFUNCTION("""COMPUTED_VALUE"""),33.0)</f>
        <v>33</v>
      </c>
      <c r="T460" s="101">
        <f>IFERROR(__xludf.DUMMYFUNCTION("""COMPUTED_VALUE"""),149.0)</f>
        <v>149</v>
      </c>
      <c r="U460" s="270">
        <f>IFERROR(__xludf.DUMMYFUNCTION("""COMPUTED_VALUE"""),68413.0)</f>
        <v>68413</v>
      </c>
      <c r="V460" s="271" t="str">
        <f>IFERROR(__xludf.DUMMYFUNCTION("""COMPUTED_VALUE"""),"online")</f>
        <v>online</v>
      </c>
      <c r="W460" s="272" t="str">
        <f>IFERROR(__xludf.DUMMYFUNCTION("""COMPUTED_VALUE"""),"simple")</f>
        <v>simple</v>
      </c>
      <c r="X460" s="272" t="str">
        <f>IFERROR(__xludf.DUMMYFUNCTION("""COMPUTED_VALUE"""),"Online Event - ATC;  View Item")</f>
        <v>Online Event - ATC;  View Item</v>
      </c>
      <c r="Y460" s="272" t="str">
        <f>IFERROR(__xludf.DUMMYFUNCTION("""COMPUTED_VALUE"""),"15-17 April")</f>
        <v>15-17 April</v>
      </c>
      <c r="Z460" s="272" t="str">
        <f>IFERROR(__xludf.DUMMYFUNCTION("""COMPUTED_VALUE"""),"69df69e2f439d87012d3b846")</f>
        <v>69df69e2f439d87012d3b846</v>
      </c>
      <c r="AA460" s="272">
        <f>IFERROR(__xludf.DUMMYFUNCTION("""COMPUTED_VALUE"""),46.0)</f>
        <v>46</v>
      </c>
      <c r="AB460" s="272">
        <f>IFERROR(__xludf.DUMMYFUNCTION("""COMPUTED_VALUE"""),46.0)</f>
        <v>46</v>
      </c>
      <c r="AC460" s="272"/>
      <c r="AD460" s="272">
        <f>IFERROR(__xludf.DUMMYFUNCTION("""COMPUTED_VALUE"""),89461.0)</f>
        <v>89461</v>
      </c>
      <c r="AE460" s="272">
        <f>IFERROR(__xludf.DUMMYFUNCTION("""COMPUTED_VALUE"""),89461.0)</f>
        <v>89461</v>
      </c>
      <c r="AF460" s="272"/>
      <c r="AG460" s="208"/>
      <c r="AH460" s="208"/>
      <c r="AI460" s="208"/>
      <c r="AJ460" s="208"/>
      <c r="AK460" s="208"/>
    </row>
    <row r="461" hidden="1">
      <c r="A461" s="209">
        <f>IFERROR(__xludf.DUMMYFUNCTION("""COMPUTED_VALUE"""),46127.0)</f>
        <v>46127</v>
      </c>
      <c r="B461" s="210">
        <f>IFERROR(__xludf.DUMMYFUNCTION("""COMPUTED_VALUE"""),0.8125)</f>
        <v>0.8125</v>
      </c>
      <c r="C461" s="211" t="str">
        <f>IFERROR(__xludf.DUMMYFUNCTION("""COMPUTED_VALUE"""),"Sms")</f>
        <v>Sms</v>
      </c>
      <c r="D461" s="211" t="str">
        <f>IFERROR(__xludf.DUMMYFUNCTION("""COMPUTED_VALUE"""),"Fallback campaign")</f>
        <v>Fallback campaign</v>
      </c>
      <c r="E461" s="211" t="str">
        <f>IFERROR(__xludf.DUMMYFUNCTION("""COMPUTED_VALUE"""),"BBW")</f>
        <v>BBW</v>
      </c>
      <c r="F461" s="211" t="str">
        <f>IFERROR(__xludf.DUMMYFUNCTION("""COMPUTED_VALUE"""),"MSS Campaigns")</f>
        <v>MSS Campaigns</v>
      </c>
      <c r="G461" s="212" t="str">
        <f>IFERROR(__xludf.DUMMYFUNCTION("""COMPUTED_VALUE"""),"bbw_mss_15april_smsfb_active_online")</f>
        <v>bbw_mss_15april_smsfb_active_online</v>
      </c>
      <c r="H461" s="212" t="str">
        <f>IFERROR(__xludf.DUMMYFUNCTION("""COMPUTED_VALUE"""),"BBW_Active_Base_Online")</f>
        <v>BBW_Active_Base_Online</v>
      </c>
      <c r="I461" s="212" t="str">
        <f>IFERROR(__xludf.DUMMYFUNCTION("""COMPUTED_VALUE"""),"WA Undelivered")</f>
        <v>WA Undelivered</v>
      </c>
      <c r="J461" s="213">
        <f>IFERROR(__xludf.DUMMYFUNCTION("""COMPUTED_VALUE"""),12662.0)</f>
        <v>12662</v>
      </c>
      <c r="K461" s="213">
        <f>IFERROR(__xludf.DUMMYFUNCTION("""COMPUTED_VALUE"""),6928.0)</f>
        <v>6928</v>
      </c>
      <c r="L461" s="214">
        <f>IFERROR(__xludf.DUMMYFUNCTION("""COMPUTED_VALUE"""),0.5471)</f>
        <v>0.5471</v>
      </c>
      <c r="M461" s="214">
        <f>IFERROR(__xludf.DUMMYFUNCTION("""COMPUTED_VALUE"""),0.0)</f>
        <v>0</v>
      </c>
      <c r="N461" s="214">
        <f>IFERROR(__xludf.DUMMYFUNCTION("""COMPUTED_VALUE"""),0.0)</f>
        <v>0</v>
      </c>
      <c r="O461" s="213">
        <f>IFERROR(__xludf.DUMMYFUNCTION("""COMPUTED_VALUE"""),70.0)</f>
        <v>70</v>
      </c>
      <c r="P461" s="213">
        <f>IFERROR(__xludf.DUMMYFUNCTION("""COMPUTED_VALUE"""),0.0)</f>
        <v>0</v>
      </c>
      <c r="Q461" s="214">
        <f>IFERROR(__xludf.DUMMYFUNCTION("""COMPUTED_VALUE"""),0.0101)</f>
        <v>0.0101</v>
      </c>
      <c r="R461" s="214">
        <f>IFERROR(__xludf.DUMMYFUNCTION("""COMPUTED_VALUE"""),0.0)</f>
        <v>0</v>
      </c>
      <c r="S461" s="101">
        <f>IFERROR(__xludf.DUMMYFUNCTION("""COMPUTED_VALUE"""),15.0)</f>
        <v>15</v>
      </c>
      <c r="T461" s="101">
        <f>IFERROR(__xludf.DUMMYFUNCTION("""COMPUTED_VALUE"""),54.0)</f>
        <v>54</v>
      </c>
      <c r="U461" s="270">
        <f>IFERROR(__xludf.DUMMYFUNCTION("""COMPUTED_VALUE"""),52370.0)</f>
        <v>52370</v>
      </c>
      <c r="V461" s="271" t="str">
        <f>IFERROR(__xludf.DUMMYFUNCTION("""COMPUTED_VALUE"""),"online")</f>
        <v>online</v>
      </c>
      <c r="W461" s="272" t="str">
        <f>IFERROR(__xludf.DUMMYFUNCTION("""COMPUTED_VALUE"""),"sms")</f>
        <v>sms</v>
      </c>
      <c r="X461" s="272" t="str">
        <f>IFERROR(__xludf.DUMMYFUNCTION("""COMPUTED_VALUE"""),"Active")</f>
        <v>Active</v>
      </c>
      <c r="Y461" s="272" t="str">
        <f>IFERROR(__xludf.DUMMYFUNCTION("""COMPUTED_VALUE"""),"15 April")</f>
        <v>15 April</v>
      </c>
      <c r="Z461" s="272" t="str">
        <f>IFERROR(__xludf.DUMMYFUNCTION("""COMPUTED_VALUE"""),"69df6ca5086402c8657f8f9c")</f>
        <v>69df6ca5086402c8657f8f9c</v>
      </c>
      <c r="AA461" s="272">
        <f>IFERROR(__xludf.DUMMYFUNCTION("""COMPUTED_VALUE"""),76.0)</f>
        <v>76</v>
      </c>
      <c r="AB461" s="272">
        <f>IFERROR(__xludf.DUMMYFUNCTION("""COMPUTED_VALUE"""),76.0)</f>
        <v>76</v>
      </c>
      <c r="AC461" s="272"/>
      <c r="AD461" s="272">
        <f>IFERROR(__xludf.DUMMYFUNCTION("""COMPUTED_VALUE"""),230643.0)</f>
        <v>230643</v>
      </c>
      <c r="AE461" s="272">
        <f>IFERROR(__xludf.DUMMYFUNCTION("""COMPUTED_VALUE"""),230643.0)</f>
        <v>230643</v>
      </c>
      <c r="AF461" s="272"/>
      <c r="AG461" s="208"/>
      <c r="AH461" s="208"/>
      <c r="AI461" s="208"/>
      <c r="AJ461" s="208"/>
      <c r="AK461" s="208"/>
    </row>
    <row r="462" hidden="1">
      <c r="A462" s="209">
        <f>IFERROR(__xludf.DUMMYFUNCTION("""COMPUTED_VALUE"""),46127.0)</f>
        <v>46127</v>
      </c>
      <c r="B462" s="210">
        <f>IFERROR(__xludf.DUMMYFUNCTION("""COMPUTED_VALUE"""),0.8125)</f>
        <v>0.8125</v>
      </c>
      <c r="C462" s="211" t="str">
        <f>IFERROR(__xludf.DUMMYFUNCTION("""COMPUTED_VALUE"""),"Sms")</f>
        <v>Sms</v>
      </c>
      <c r="D462" s="211" t="str">
        <f>IFERROR(__xludf.DUMMYFUNCTION("""COMPUTED_VALUE"""),"Fallback campaign")</f>
        <v>Fallback campaign</v>
      </c>
      <c r="E462" s="211" t="str">
        <f>IFERROR(__xludf.DUMMYFUNCTION("""COMPUTED_VALUE"""),"BBW")</f>
        <v>BBW</v>
      </c>
      <c r="F462" s="211" t="str">
        <f>IFERROR(__xludf.DUMMYFUNCTION("""COMPUTED_VALUE"""),"MSS Campaigns")</f>
        <v>MSS Campaigns</v>
      </c>
      <c r="G462" s="212" t="str">
        <f>IFERROR(__xludf.DUMMYFUNCTION("""COMPUTED_VALUE"""),"bbw_mss_15april_smsfb_dormant_online")</f>
        <v>bbw_mss_15april_smsfb_dormant_online</v>
      </c>
      <c r="H462" s="212" t="str">
        <f>IFERROR(__xludf.DUMMYFUNCTION("""COMPUTED_VALUE"""),"BBW_Dormant_Base_Online")</f>
        <v>BBW_Dormant_Base_Online</v>
      </c>
      <c r="I462" s="212" t="str">
        <f>IFERROR(__xludf.DUMMYFUNCTION("""COMPUTED_VALUE"""),"WA Undelivered")</f>
        <v>WA Undelivered</v>
      </c>
      <c r="J462" s="213">
        <f>IFERROR(__xludf.DUMMYFUNCTION("""COMPUTED_VALUE"""),58856.0)</f>
        <v>58856</v>
      </c>
      <c r="K462" s="213">
        <f>IFERROR(__xludf.DUMMYFUNCTION("""COMPUTED_VALUE"""),33762.0)</f>
        <v>33762</v>
      </c>
      <c r="L462" s="214">
        <f>IFERROR(__xludf.DUMMYFUNCTION("""COMPUTED_VALUE"""),0.5736)</f>
        <v>0.5736</v>
      </c>
      <c r="M462" s="214">
        <f>IFERROR(__xludf.DUMMYFUNCTION("""COMPUTED_VALUE"""),0.0)</f>
        <v>0</v>
      </c>
      <c r="N462" s="214">
        <f>IFERROR(__xludf.DUMMYFUNCTION("""COMPUTED_VALUE"""),0.0)</f>
        <v>0</v>
      </c>
      <c r="O462" s="213">
        <f>IFERROR(__xludf.DUMMYFUNCTION("""COMPUTED_VALUE"""),140.0)</f>
        <v>140</v>
      </c>
      <c r="P462" s="213">
        <f>IFERROR(__xludf.DUMMYFUNCTION("""COMPUTED_VALUE"""),0.0)</f>
        <v>0</v>
      </c>
      <c r="Q462" s="214">
        <f>IFERROR(__xludf.DUMMYFUNCTION("""COMPUTED_VALUE"""),0.0041)</f>
        <v>0.0041</v>
      </c>
      <c r="R462" s="214">
        <f>IFERROR(__xludf.DUMMYFUNCTION("""COMPUTED_VALUE"""),0.0)</f>
        <v>0</v>
      </c>
      <c r="S462" s="101">
        <f>IFERROR(__xludf.DUMMYFUNCTION("""COMPUTED_VALUE"""),25.0)</f>
        <v>25</v>
      </c>
      <c r="T462" s="101">
        <f>IFERROR(__xludf.DUMMYFUNCTION("""COMPUTED_VALUE"""),58.0)</f>
        <v>58</v>
      </c>
      <c r="U462" s="270">
        <f>IFERROR(__xludf.DUMMYFUNCTION("""COMPUTED_VALUE"""),47032.0)</f>
        <v>47032</v>
      </c>
      <c r="V462" s="271" t="str">
        <f>IFERROR(__xludf.DUMMYFUNCTION("""COMPUTED_VALUE"""),"online")</f>
        <v>online</v>
      </c>
      <c r="W462" s="272" t="str">
        <f>IFERROR(__xludf.DUMMYFUNCTION("""COMPUTED_VALUE"""),"sms")</f>
        <v>sms</v>
      </c>
      <c r="X462" s="272" t="str">
        <f>IFERROR(__xludf.DUMMYFUNCTION("""COMPUTED_VALUE"""),"Dormant")</f>
        <v>Dormant</v>
      </c>
      <c r="Y462" s="272" t="str">
        <f>IFERROR(__xludf.DUMMYFUNCTION("""COMPUTED_VALUE"""),"15 April")</f>
        <v>15 April</v>
      </c>
      <c r="Z462" s="272" t="str">
        <f>IFERROR(__xludf.DUMMYFUNCTION("""COMPUTED_VALUE"""),"69df6d223410e2acb5919fac")</f>
        <v>69df6d223410e2acb5919fac</v>
      </c>
      <c r="AA462" s="272">
        <f>IFERROR(__xludf.DUMMYFUNCTION("""COMPUTED_VALUE"""),112.0)</f>
        <v>112</v>
      </c>
      <c r="AB462" s="272">
        <f>IFERROR(__xludf.DUMMYFUNCTION("""COMPUTED_VALUE"""),112.0)</f>
        <v>112</v>
      </c>
      <c r="AC462" s="272"/>
      <c r="AD462" s="272">
        <f>IFERROR(__xludf.DUMMYFUNCTION("""COMPUTED_VALUE"""),282788.0)</f>
        <v>282788</v>
      </c>
      <c r="AE462" s="272">
        <f>IFERROR(__xludf.DUMMYFUNCTION("""COMPUTED_VALUE"""),282788.0)</f>
        <v>282788</v>
      </c>
      <c r="AF462" s="272"/>
      <c r="AG462" s="208"/>
      <c r="AH462" s="208"/>
      <c r="AI462" s="208"/>
      <c r="AJ462" s="208"/>
      <c r="AK462" s="208"/>
    </row>
    <row r="463" hidden="1">
      <c r="A463" s="209">
        <f>IFERROR(__xludf.DUMMYFUNCTION("""COMPUTED_VALUE"""),46127.0)</f>
        <v>46127</v>
      </c>
      <c r="B463" s="210">
        <f>IFERROR(__xludf.DUMMYFUNCTION("""COMPUTED_VALUE"""),0.8125)</f>
        <v>0.8125</v>
      </c>
      <c r="C463" s="211" t="str">
        <f>IFERROR(__xludf.DUMMYFUNCTION("""COMPUTED_VALUE"""),"Sms")</f>
        <v>Sms</v>
      </c>
      <c r="D463" s="211" t="str">
        <f>IFERROR(__xludf.DUMMYFUNCTION("""COMPUTED_VALUE"""),"Fallback campaign")</f>
        <v>Fallback campaign</v>
      </c>
      <c r="E463" s="211" t="str">
        <f>IFERROR(__xludf.DUMMYFUNCTION("""COMPUTED_VALUE"""),"BBW")</f>
        <v>BBW</v>
      </c>
      <c r="F463" s="211" t="str">
        <f>IFERROR(__xludf.DUMMYFUNCTION("""COMPUTED_VALUE"""),"MSS Campaigns")</f>
        <v>MSS Campaigns</v>
      </c>
      <c r="G463" s="212" t="str">
        <f>IFERROR(__xludf.DUMMYFUNCTION("""COMPUTED_VALUE"""),"bbw_mss_15april_smsfb_atc_item_viewed_online")</f>
        <v>bbw_mss_15april_smsfb_atc_item_viewed_online</v>
      </c>
      <c r="H463" s="212" t="str">
        <f>IFERROR(__xludf.DUMMYFUNCTION("""COMPUTED_VALUE"""),"BBW_ATC_View_Item_Base_40D")</f>
        <v>BBW_ATC_View_Item_Base_40D</v>
      </c>
      <c r="I463" s="212" t="str">
        <f>IFERROR(__xludf.DUMMYFUNCTION("""COMPUTED_VALUE"""),"WA Undelivered")</f>
        <v>WA Undelivered</v>
      </c>
      <c r="J463" s="213">
        <f>IFERROR(__xludf.DUMMYFUNCTION("""COMPUTED_VALUE"""),1867.0)</f>
        <v>1867</v>
      </c>
      <c r="K463" s="213">
        <f>IFERROR(__xludf.DUMMYFUNCTION("""COMPUTED_VALUE"""),1244.0)</f>
        <v>1244</v>
      </c>
      <c r="L463" s="214">
        <f>IFERROR(__xludf.DUMMYFUNCTION("""COMPUTED_VALUE"""),0.6663)</f>
        <v>0.6663</v>
      </c>
      <c r="M463" s="214">
        <f>IFERROR(__xludf.DUMMYFUNCTION("""COMPUTED_VALUE"""),0.0)</f>
        <v>0</v>
      </c>
      <c r="N463" s="214">
        <f>IFERROR(__xludf.DUMMYFUNCTION("""COMPUTED_VALUE"""),0.0)</f>
        <v>0</v>
      </c>
      <c r="O463" s="213">
        <f>IFERROR(__xludf.DUMMYFUNCTION("""COMPUTED_VALUE"""),13.0)</f>
        <v>13</v>
      </c>
      <c r="P463" s="213">
        <f>IFERROR(__xludf.DUMMYFUNCTION("""COMPUTED_VALUE"""),0.0)</f>
        <v>0</v>
      </c>
      <c r="Q463" s="214">
        <f>IFERROR(__xludf.DUMMYFUNCTION("""COMPUTED_VALUE"""),0.0105)</f>
        <v>0.0105</v>
      </c>
      <c r="R463" s="214">
        <f>IFERROR(__xludf.DUMMYFUNCTION("""COMPUTED_VALUE"""),0.0)</f>
        <v>0</v>
      </c>
      <c r="S463" s="101">
        <f>IFERROR(__xludf.DUMMYFUNCTION("""COMPUTED_VALUE"""),9.0)</f>
        <v>9</v>
      </c>
      <c r="T463" s="101">
        <f>IFERROR(__xludf.DUMMYFUNCTION("""COMPUTED_VALUE"""),36.0)</f>
        <v>36</v>
      </c>
      <c r="U463" s="270">
        <f>IFERROR(__xludf.DUMMYFUNCTION("""COMPUTED_VALUE"""),20813.0)</f>
        <v>20813</v>
      </c>
      <c r="V463" s="271" t="str">
        <f>IFERROR(__xludf.DUMMYFUNCTION("""COMPUTED_VALUE"""),"online")</f>
        <v>online</v>
      </c>
      <c r="W463" s="272" t="str">
        <f>IFERROR(__xludf.DUMMYFUNCTION("""COMPUTED_VALUE"""),"sms")</f>
        <v>sms</v>
      </c>
      <c r="X463" s="272" t="str">
        <f>IFERROR(__xludf.DUMMYFUNCTION("""COMPUTED_VALUE"""),"Online Event - ATC;  View Item")</f>
        <v>Online Event - ATC;  View Item</v>
      </c>
      <c r="Y463" s="272" t="str">
        <f>IFERROR(__xludf.DUMMYFUNCTION("""COMPUTED_VALUE"""),"15 April")</f>
        <v>15 April</v>
      </c>
      <c r="Z463" s="272" t="str">
        <f>IFERROR(__xludf.DUMMYFUNCTION("""COMPUTED_VALUE"""),"69df6deaec2623f3a90649bf")</f>
        <v>69df6deaec2623f3a90649bf</v>
      </c>
      <c r="AA463" s="272">
        <f>IFERROR(__xludf.DUMMYFUNCTION("""COMPUTED_VALUE"""),19.0)</f>
        <v>19</v>
      </c>
      <c r="AB463" s="272">
        <f>IFERROR(__xludf.DUMMYFUNCTION("""COMPUTED_VALUE"""),19.0)</f>
        <v>19</v>
      </c>
      <c r="AC463" s="272"/>
      <c r="AD463" s="272">
        <f>IFERROR(__xludf.DUMMYFUNCTION("""COMPUTED_VALUE"""),41275.0)</f>
        <v>41275</v>
      </c>
      <c r="AE463" s="272">
        <f>IFERROR(__xludf.DUMMYFUNCTION("""COMPUTED_VALUE"""),41275.0)</f>
        <v>41275</v>
      </c>
      <c r="AF463" s="272"/>
      <c r="AG463" s="208"/>
      <c r="AH463" s="208"/>
      <c r="AI463" s="208"/>
      <c r="AJ463" s="208"/>
      <c r="AK463" s="208"/>
    </row>
    <row r="464" hidden="1">
      <c r="A464" s="209">
        <f>IFERROR(__xludf.DUMMYFUNCTION("""COMPUTED_VALUE"""),46128.0)</f>
        <v>46128</v>
      </c>
      <c r="B464" s="210">
        <f>IFERROR(__xludf.DUMMYFUNCTION("""COMPUTED_VALUE"""),0.4791666666678793)</f>
        <v>0.4791666667</v>
      </c>
      <c r="C464" s="211" t="str">
        <f>IFERROR(__xludf.DUMMYFUNCTION("""COMPUTED_VALUE"""),"Whatsapp")</f>
        <v>Whatsapp</v>
      </c>
      <c r="D464" s="211" t="str">
        <f>IFERROR(__xludf.DUMMYFUNCTION("""COMPUTED_VALUE"""),"Promtional")</f>
        <v>Promtional</v>
      </c>
      <c r="E464" s="211" t="str">
        <f>IFERROR(__xludf.DUMMYFUNCTION("""COMPUTED_VALUE"""),"BBW")</f>
        <v>BBW</v>
      </c>
      <c r="F464" s="211" t="str">
        <f>IFERROR(__xludf.DUMMYFUNCTION("""COMPUTED_VALUE"""),"MSS Campaigns")</f>
        <v>MSS Campaigns</v>
      </c>
      <c r="G464" s="212" t="str">
        <f>IFERROR(__xludf.DUMMYFUNCTION("""COMPUTED_VALUE"""),"bbw_mss_16april_wa_active_offline")</f>
        <v>bbw_mss_16april_wa_active_offline</v>
      </c>
      <c r="H464" s="212" t="str">
        <f>IFERROR(__xludf.DUMMYFUNCTION("""COMPUTED_VALUE"""),"BBW_Active_Base_Offline")</f>
        <v>BBW_Active_Base_Offline</v>
      </c>
      <c r="I464" s="212" t="str">
        <f>IFERROR(__xludf.DUMMYFUNCTION("""COMPUTED_VALUE"""),"Offline Customers who have purchased in TTR (110 days)")</f>
        <v>Offline Customers who have purchased in TTR (110 days)</v>
      </c>
      <c r="J464" s="213">
        <f>IFERROR(__xludf.DUMMYFUNCTION("""COMPUTED_VALUE"""),138933.0)</f>
        <v>138933</v>
      </c>
      <c r="K464" s="213">
        <f>IFERROR(__xludf.DUMMYFUNCTION("""COMPUTED_VALUE"""),74980.0)</f>
        <v>74980</v>
      </c>
      <c r="L464" s="214">
        <f>IFERROR(__xludf.DUMMYFUNCTION("""COMPUTED_VALUE"""),0.5396)</f>
        <v>0.5396</v>
      </c>
      <c r="M464" s="213">
        <f>IFERROR(__xludf.DUMMYFUNCTION("""COMPUTED_VALUE"""),29553.0)</f>
        <v>29553</v>
      </c>
      <c r="N464" s="214">
        <f>IFERROR(__xludf.DUMMYFUNCTION("""COMPUTED_VALUE"""),0.394)</f>
        <v>0.394</v>
      </c>
      <c r="O464" s="213">
        <f>IFERROR(__xludf.DUMMYFUNCTION("""COMPUTED_VALUE"""),5006.0)</f>
        <v>5006</v>
      </c>
      <c r="P464" s="213">
        <f>IFERROR(__xludf.DUMMYFUNCTION("""COMPUTED_VALUE"""),4433.0)</f>
        <v>4433</v>
      </c>
      <c r="Q464" s="214">
        <f>IFERROR(__xludf.DUMMYFUNCTION("""COMPUTED_VALUE"""),0.0591)</f>
        <v>0.0591</v>
      </c>
      <c r="R464" s="214">
        <f>IFERROR(__xludf.DUMMYFUNCTION("""COMPUTED_VALUE"""),0.1501)</f>
        <v>0.1501</v>
      </c>
      <c r="S464" s="101">
        <f>IFERROR(__xludf.DUMMYFUNCTION("""COMPUTED_VALUE"""),44.0)</f>
        <v>44</v>
      </c>
      <c r="T464" s="101">
        <f>IFERROR(__xludf.DUMMYFUNCTION("""COMPUTED_VALUE"""),118.0)</f>
        <v>118</v>
      </c>
      <c r="U464" s="270">
        <f>IFERROR(__xludf.DUMMYFUNCTION("""COMPUTED_VALUE"""),88499.0)</f>
        <v>88499</v>
      </c>
      <c r="V464" s="271" t="str">
        <f>IFERROR(__xludf.DUMMYFUNCTION("""COMPUTED_VALUE"""),"offline")</f>
        <v>offline</v>
      </c>
      <c r="W464" s="272" t="str">
        <f>IFERROR(__xludf.DUMMYFUNCTION("""COMPUTED_VALUE"""),"simple")</f>
        <v>simple</v>
      </c>
      <c r="X464" s="272" t="str">
        <f>IFERROR(__xludf.DUMMYFUNCTION("""COMPUTED_VALUE"""),"Active")</f>
        <v>Active</v>
      </c>
      <c r="Y464" s="272" t="str">
        <f>IFERROR(__xludf.DUMMYFUNCTION("""COMPUTED_VALUE"""),"16-18 April")</f>
        <v>16-18 April</v>
      </c>
      <c r="Z464" s="272" t="str">
        <f>IFERROR(__xludf.DUMMYFUNCTION("""COMPUTED_VALUE"""),"69df6a5c91891266bc588436")</f>
        <v>69df6a5c91891266bc588436</v>
      </c>
      <c r="AA464" s="272">
        <f>IFERROR(__xludf.DUMMYFUNCTION("""COMPUTED_VALUE"""),445.0)</f>
        <v>445</v>
      </c>
      <c r="AB464" s="272"/>
      <c r="AC464" s="272">
        <f>IFERROR(__xludf.DUMMYFUNCTION("""COMPUTED_VALUE"""),445.0)</f>
        <v>445</v>
      </c>
      <c r="AD464" s="272">
        <f>IFERROR(__xludf.DUMMYFUNCTION("""COMPUTED_VALUE"""),1636852.0)</f>
        <v>1636852</v>
      </c>
      <c r="AE464" s="272"/>
      <c r="AF464" s="272">
        <f>IFERROR(__xludf.DUMMYFUNCTION("""COMPUTED_VALUE"""),1636852.0)</f>
        <v>1636852</v>
      </c>
      <c r="AG464" s="208"/>
      <c r="AH464" s="208"/>
      <c r="AI464" s="208"/>
      <c r="AJ464" s="208"/>
      <c r="AK464" s="208"/>
    </row>
    <row r="465" hidden="1">
      <c r="A465" s="209">
        <f>IFERROR(__xludf.DUMMYFUNCTION("""COMPUTED_VALUE"""),46128.0)</f>
        <v>46128</v>
      </c>
      <c r="B465" s="210">
        <f>IFERROR(__xludf.DUMMYFUNCTION("""COMPUTED_VALUE"""),0.4791666666678793)</f>
        <v>0.4791666667</v>
      </c>
      <c r="C465" s="211" t="str">
        <f>IFERROR(__xludf.DUMMYFUNCTION("""COMPUTED_VALUE"""),"Whatsapp")</f>
        <v>Whatsapp</v>
      </c>
      <c r="D465" s="211" t="str">
        <f>IFERROR(__xludf.DUMMYFUNCTION("""COMPUTED_VALUE"""),"Promtional")</f>
        <v>Promtional</v>
      </c>
      <c r="E465" s="211" t="str">
        <f>IFERROR(__xludf.DUMMYFUNCTION("""COMPUTED_VALUE"""),"BBW")</f>
        <v>BBW</v>
      </c>
      <c r="F465" s="211" t="str">
        <f>IFERROR(__xludf.DUMMYFUNCTION("""COMPUTED_VALUE"""),"MSS Campaigns")</f>
        <v>MSS Campaigns</v>
      </c>
      <c r="G465" s="212" t="str">
        <f>IFERROR(__xludf.DUMMYFUNCTION("""COMPUTED_VALUE"""),"bbw_mss_16april_wa_dormant_6m_offline")</f>
        <v>bbw_mss_16april_wa_dormant_6m_offline</v>
      </c>
      <c r="H465" s="212" t="str">
        <f>IFERROR(__xludf.DUMMYFUNCTION("""COMPUTED_VALUE"""),"BBW_Dormant_6M_Offline")</f>
        <v>BBW_Dormant_6M_Offline</v>
      </c>
      <c r="I465" s="212" t="str">
        <f>IFERROR(__xludf.DUMMYFUNCTION("""COMPUTED_VALUE"""),"Offline Customers who have purchased in the last 180 days excl. BBW_Active_Base_Offline")</f>
        <v>Offline Customers who have purchased in the last 180 days excl. BBW_Active_Base_Offline</v>
      </c>
      <c r="J465" s="213">
        <f>IFERROR(__xludf.DUMMYFUNCTION("""COMPUTED_VALUE"""),106968.0)</f>
        <v>106968</v>
      </c>
      <c r="K465" s="213">
        <f>IFERROR(__xludf.DUMMYFUNCTION("""COMPUTED_VALUE"""),56657.0)</f>
        <v>56657</v>
      </c>
      <c r="L465" s="214">
        <f>IFERROR(__xludf.DUMMYFUNCTION("""COMPUTED_VALUE"""),0.5296)</f>
        <v>0.5296</v>
      </c>
      <c r="M465" s="213">
        <f>IFERROR(__xludf.DUMMYFUNCTION("""COMPUTED_VALUE"""),20918.0)</f>
        <v>20918</v>
      </c>
      <c r="N465" s="214">
        <f>IFERROR(__xludf.DUMMYFUNCTION("""COMPUTED_VALUE"""),0.369)</f>
        <v>0.369</v>
      </c>
      <c r="O465" s="213">
        <f>IFERROR(__xludf.DUMMYFUNCTION("""COMPUTED_VALUE"""),2626.0)</f>
        <v>2626</v>
      </c>
      <c r="P465" s="213">
        <f>IFERROR(__xludf.DUMMYFUNCTION("""COMPUTED_VALUE"""),2378.0)</f>
        <v>2378</v>
      </c>
      <c r="Q465" s="214">
        <f>IFERROR(__xludf.DUMMYFUNCTION("""COMPUTED_VALUE"""),0.042)</f>
        <v>0.042</v>
      </c>
      <c r="R465" s="214">
        <f>IFERROR(__xludf.DUMMYFUNCTION("""COMPUTED_VALUE"""),0.1137)</f>
        <v>0.1137</v>
      </c>
      <c r="S465" s="101">
        <f>IFERROR(__xludf.DUMMYFUNCTION("""COMPUTED_VALUE"""),26.0)</f>
        <v>26</v>
      </c>
      <c r="T465" s="101">
        <f>IFERROR(__xludf.DUMMYFUNCTION("""COMPUTED_VALUE"""),73.0)</f>
        <v>73</v>
      </c>
      <c r="U465" s="270">
        <f>IFERROR(__xludf.DUMMYFUNCTION("""COMPUTED_VALUE"""),54051.0)</f>
        <v>54051</v>
      </c>
      <c r="V465" s="271" t="str">
        <f>IFERROR(__xludf.DUMMYFUNCTION("""COMPUTED_VALUE"""),"offline")</f>
        <v>offline</v>
      </c>
      <c r="W465" s="272" t="str">
        <f>IFERROR(__xludf.DUMMYFUNCTION("""COMPUTED_VALUE"""),"simple")</f>
        <v>simple</v>
      </c>
      <c r="X465" s="272" t="str">
        <f>IFERROR(__xludf.DUMMYFUNCTION("""COMPUTED_VALUE"""),"Dormant")</f>
        <v>Dormant</v>
      </c>
      <c r="Y465" s="272" t="str">
        <f>IFERROR(__xludf.DUMMYFUNCTION("""COMPUTED_VALUE"""),"16-18 April")</f>
        <v>16-18 April</v>
      </c>
      <c r="Z465" s="272" t="str">
        <f>IFERROR(__xludf.DUMMYFUNCTION("""COMPUTED_VALUE"""),"69df6a8dddef902d261e564e")</f>
        <v>69df6a8dddef902d261e564e</v>
      </c>
      <c r="AA465" s="272">
        <f>IFERROR(__xludf.DUMMYFUNCTION("""COMPUTED_VALUE"""),310.0)</f>
        <v>310</v>
      </c>
      <c r="AB465" s="272"/>
      <c r="AC465" s="272">
        <f>IFERROR(__xludf.DUMMYFUNCTION("""COMPUTED_VALUE"""),310.0)</f>
        <v>310</v>
      </c>
      <c r="AD465" s="272">
        <f>IFERROR(__xludf.DUMMYFUNCTION("""COMPUTED_VALUE"""),1201313.0)</f>
        <v>1201313</v>
      </c>
      <c r="AE465" s="272"/>
      <c r="AF465" s="272">
        <f>IFERROR(__xludf.DUMMYFUNCTION("""COMPUTED_VALUE"""),1201313.0)</f>
        <v>1201313</v>
      </c>
      <c r="AG465" s="208"/>
      <c r="AH465" s="208"/>
      <c r="AI465" s="208"/>
      <c r="AJ465" s="208"/>
      <c r="AK465" s="208"/>
    </row>
    <row r="466" hidden="1">
      <c r="A466" s="209">
        <f>IFERROR(__xludf.DUMMYFUNCTION("""COMPUTED_VALUE"""),46128.0)</f>
        <v>46128</v>
      </c>
      <c r="B466" s="210">
        <f>IFERROR(__xludf.DUMMYFUNCTION("""COMPUTED_VALUE"""),0.4791666666678793)</f>
        <v>0.4791666667</v>
      </c>
      <c r="C466" s="211" t="str">
        <f>IFERROR(__xludf.DUMMYFUNCTION("""COMPUTED_VALUE"""),"Whatsapp")</f>
        <v>Whatsapp</v>
      </c>
      <c r="D466" s="211" t="str">
        <f>IFERROR(__xludf.DUMMYFUNCTION("""COMPUTED_VALUE"""),"Promtional")</f>
        <v>Promtional</v>
      </c>
      <c r="E466" s="211" t="str">
        <f>IFERROR(__xludf.DUMMYFUNCTION("""COMPUTED_VALUE"""),"BBW")</f>
        <v>BBW</v>
      </c>
      <c r="F466" s="211" t="str">
        <f>IFERROR(__xludf.DUMMYFUNCTION("""COMPUTED_VALUE"""),"MSS Campaigns")</f>
        <v>MSS Campaigns</v>
      </c>
      <c r="G466" s="212" t="str">
        <f>IFERROR(__xludf.DUMMYFUNCTION("""COMPUTED_VALUE"""),"bbw_mss_16april_wa_dormant6to12_offline")</f>
        <v>bbw_mss_16april_wa_dormant6to12_offline</v>
      </c>
      <c r="H466" s="212" t="str">
        <f>IFERROR(__xludf.DUMMYFUNCTION("""COMPUTED_VALUE"""),"BBW_Dormant_6M_to_12M_Offline")</f>
        <v>BBW_Dormant_6M_to_12M_Offline</v>
      </c>
      <c r="I466" s="212" t="str">
        <f>IFERROR(__xludf.DUMMYFUNCTION("""COMPUTED_VALUE"""),"Offline Customers who have purchased in between the last 181 and 365 days excl. BBW_Active_Base_Offline")</f>
        <v>Offline Customers who have purchased in between the last 181 and 365 days excl. BBW_Active_Base_Offline</v>
      </c>
      <c r="J466" s="213">
        <f>IFERROR(__xludf.DUMMYFUNCTION("""COMPUTED_VALUE"""),200797.0)</f>
        <v>200797</v>
      </c>
      <c r="K466" s="213">
        <f>IFERROR(__xludf.DUMMYFUNCTION("""COMPUTED_VALUE"""),103466.0)</f>
        <v>103466</v>
      </c>
      <c r="L466" s="214">
        <f>IFERROR(__xludf.DUMMYFUNCTION("""COMPUTED_VALUE"""),0.5152)</f>
        <v>0.5152</v>
      </c>
      <c r="M466" s="214">
        <f>IFERROR(__xludf.DUMMYFUNCTION("""COMPUTED_VALUE"""),36056.0)</f>
        <v>36056</v>
      </c>
      <c r="N466" s="214">
        <f>IFERROR(__xludf.DUMMYFUNCTION("""COMPUTED_VALUE"""),0.3484)</f>
        <v>0.3484</v>
      </c>
      <c r="O466" s="213">
        <f>IFERROR(__xludf.DUMMYFUNCTION("""COMPUTED_VALUE"""),4173.0)</f>
        <v>4173</v>
      </c>
      <c r="P466" s="213">
        <f>IFERROR(__xludf.DUMMYFUNCTION("""COMPUTED_VALUE"""),3713.0)</f>
        <v>3713</v>
      </c>
      <c r="Q466" s="214">
        <f>IFERROR(__xludf.DUMMYFUNCTION("""COMPUTED_VALUE"""),0.0359)</f>
        <v>0.0359</v>
      </c>
      <c r="R466" s="214">
        <f>IFERROR(__xludf.DUMMYFUNCTION("""COMPUTED_VALUE"""),0.103)</f>
        <v>0.103</v>
      </c>
      <c r="S466" s="101">
        <f>IFERROR(__xludf.DUMMYFUNCTION("""COMPUTED_VALUE"""),48.0)</f>
        <v>48</v>
      </c>
      <c r="T466" s="101">
        <f>IFERROR(__xludf.DUMMYFUNCTION("""COMPUTED_VALUE"""),111.0)</f>
        <v>111</v>
      </c>
      <c r="U466" s="270">
        <f>IFERROR(__xludf.DUMMYFUNCTION("""COMPUTED_VALUE"""),93408.0)</f>
        <v>93408</v>
      </c>
      <c r="V466" s="271" t="str">
        <f>IFERROR(__xludf.DUMMYFUNCTION("""COMPUTED_VALUE"""),"offline")</f>
        <v>offline</v>
      </c>
      <c r="W466" s="272" t="str">
        <f>IFERROR(__xludf.DUMMYFUNCTION("""COMPUTED_VALUE"""),"simple")</f>
        <v>simple</v>
      </c>
      <c r="X466" s="272" t="str">
        <f>IFERROR(__xludf.DUMMYFUNCTION("""COMPUTED_VALUE"""),"Dormant")</f>
        <v>Dormant</v>
      </c>
      <c r="Y466" s="272" t="str">
        <f>IFERROR(__xludf.DUMMYFUNCTION("""COMPUTED_VALUE"""),"16-18 April")</f>
        <v>16-18 April</v>
      </c>
      <c r="Z466" s="272" t="str">
        <f>IFERROR(__xludf.DUMMYFUNCTION("""COMPUTED_VALUE"""),"69df6ae88a617342ba595bc9")</f>
        <v>69df6ae88a617342ba595bc9</v>
      </c>
      <c r="AA466" s="272">
        <f>IFERROR(__xludf.DUMMYFUNCTION("""COMPUTED_VALUE"""),344.0)</f>
        <v>344</v>
      </c>
      <c r="AB466" s="272"/>
      <c r="AC466" s="272">
        <f>IFERROR(__xludf.DUMMYFUNCTION("""COMPUTED_VALUE"""),344.0)</f>
        <v>344</v>
      </c>
      <c r="AD466" s="272">
        <f>IFERROR(__xludf.DUMMYFUNCTION("""COMPUTED_VALUE"""),1233987.0)</f>
        <v>1233987</v>
      </c>
      <c r="AE466" s="272"/>
      <c r="AF466" s="272">
        <f>IFERROR(__xludf.DUMMYFUNCTION("""COMPUTED_VALUE"""),1233987.0)</f>
        <v>1233987</v>
      </c>
      <c r="AG466" s="208"/>
      <c r="AH466" s="208"/>
      <c r="AI466" s="208"/>
      <c r="AJ466" s="208"/>
      <c r="AK466" s="208"/>
    </row>
    <row r="467" hidden="1">
      <c r="A467" s="209">
        <f>IFERROR(__xludf.DUMMYFUNCTION("""COMPUTED_VALUE"""),46128.0)</f>
        <v>46128</v>
      </c>
      <c r="B467" s="210">
        <f>IFERROR(__xludf.DUMMYFUNCTION("""COMPUTED_VALUE"""),0.5416666666678793)</f>
        <v>0.5416666667</v>
      </c>
      <c r="C467" s="211" t="str">
        <f>IFERROR(__xludf.DUMMYFUNCTION("""COMPUTED_VALUE"""),"Sms")</f>
        <v>Sms</v>
      </c>
      <c r="D467" s="211" t="str">
        <f>IFERROR(__xludf.DUMMYFUNCTION("""COMPUTED_VALUE"""),"Fallback campaign")</f>
        <v>Fallback campaign</v>
      </c>
      <c r="E467" s="211" t="str">
        <f>IFERROR(__xludf.DUMMYFUNCTION("""COMPUTED_VALUE"""),"BBW")</f>
        <v>BBW</v>
      </c>
      <c r="F467" s="211" t="str">
        <f>IFERROR(__xludf.DUMMYFUNCTION("""COMPUTED_VALUE"""),"MSS Campaigns")</f>
        <v>MSS Campaigns</v>
      </c>
      <c r="G467" s="212" t="str">
        <f>IFERROR(__xludf.DUMMYFUNCTION("""COMPUTED_VALUE"""),"bbw_mss_16april_smsfb_active_offline")</f>
        <v>bbw_mss_16april_smsfb_active_offline</v>
      </c>
      <c r="H467" s="212" t="str">
        <f>IFERROR(__xludf.DUMMYFUNCTION("""COMPUTED_VALUE"""),"BBW_Active_Base_Offline")</f>
        <v>BBW_Active_Base_Offline</v>
      </c>
      <c r="I467" s="212" t="str">
        <f>IFERROR(__xludf.DUMMYFUNCTION("""COMPUTED_VALUE"""),"WA Undelivered")</f>
        <v>WA Undelivered</v>
      </c>
      <c r="J467" s="213">
        <f>IFERROR(__xludf.DUMMYFUNCTION("""COMPUTED_VALUE"""),61494.0)</f>
        <v>61494</v>
      </c>
      <c r="K467" s="213">
        <f>IFERROR(__xludf.DUMMYFUNCTION("""COMPUTED_VALUE"""),35920.0)</f>
        <v>35920</v>
      </c>
      <c r="L467" s="214">
        <f>IFERROR(__xludf.DUMMYFUNCTION("""COMPUTED_VALUE"""),0.5841)</f>
        <v>0.5841</v>
      </c>
      <c r="M467" s="214">
        <f>IFERROR(__xludf.DUMMYFUNCTION("""COMPUTED_VALUE"""),0.0)</f>
        <v>0</v>
      </c>
      <c r="N467" s="214">
        <f>IFERROR(__xludf.DUMMYFUNCTION("""COMPUTED_VALUE"""),0.0)</f>
        <v>0</v>
      </c>
      <c r="O467" s="213">
        <f>IFERROR(__xludf.DUMMYFUNCTION("""COMPUTED_VALUE"""),103.0)</f>
        <v>103</v>
      </c>
      <c r="P467" s="213">
        <f>IFERROR(__xludf.DUMMYFUNCTION("""COMPUTED_VALUE"""),0.0)</f>
        <v>0</v>
      </c>
      <c r="Q467" s="214">
        <f>IFERROR(__xludf.DUMMYFUNCTION("""COMPUTED_VALUE"""),0.0029)</f>
        <v>0.0029</v>
      </c>
      <c r="R467" s="214">
        <f>IFERROR(__xludf.DUMMYFUNCTION("""COMPUTED_VALUE"""),0.0)</f>
        <v>0</v>
      </c>
      <c r="S467" s="101">
        <f>IFERROR(__xludf.DUMMYFUNCTION("""COMPUTED_VALUE"""),2.0)</f>
        <v>2</v>
      </c>
      <c r="T467" s="101">
        <f>IFERROR(__xludf.DUMMYFUNCTION("""COMPUTED_VALUE"""),19.0)</f>
        <v>19</v>
      </c>
      <c r="U467" s="270">
        <f>IFERROR(__xludf.DUMMYFUNCTION("""COMPUTED_VALUE"""),2906.0)</f>
        <v>2906</v>
      </c>
      <c r="V467" s="271" t="str">
        <f>IFERROR(__xludf.DUMMYFUNCTION("""COMPUTED_VALUE"""),"offline")</f>
        <v>offline</v>
      </c>
      <c r="W467" s="272" t="str">
        <f>IFERROR(__xludf.DUMMYFUNCTION("""COMPUTED_VALUE"""),"sms")</f>
        <v>sms</v>
      </c>
      <c r="X467" s="272" t="str">
        <f>IFERROR(__xludf.DUMMYFUNCTION("""COMPUTED_VALUE"""),"Active")</f>
        <v>Active</v>
      </c>
      <c r="Y467" s="272" t="str">
        <f>IFERROR(__xludf.DUMMYFUNCTION("""COMPUTED_VALUE"""),"16 April")</f>
        <v>16 April</v>
      </c>
      <c r="Z467" s="272" t="str">
        <f>IFERROR(__xludf.DUMMYFUNCTION("""COMPUTED_VALUE"""),"69df73eeb6dd3a2b1051e65a")</f>
        <v>69df73eeb6dd3a2b1051e65a</v>
      </c>
      <c r="AA467" s="272">
        <f>IFERROR(__xludf.DUMMYFUNCTION("""COMPUTED_VALUE"""),74.0)</f>
        <v>74</v>
      </c>
      <c r="AB467" s="272"/>
      <c r="AC467" s="272">
        <f>IFERROR(__xludf.DUMMYFUNCTION("""COMPUTED_VALUE"""),74.0)</f>
        <v>74</v>
      </c>
      <c r="AD467" s="272">
        <f>IFERROR(__xludf.DUMMYFUNCTION("""COMPUTED_VALUE"""),264319.0)</f>
        <v>264319</v>
      </c>
      <c r="AE467" s="272"/>
      <c r="AF467" s="272">
        <f>IFERROR(__xludf.DUMMYFUNCTION("""COMPUTED_VALUE"""),264319.0)</f>
        <v>264319</v>
      </c>
      <c r="AG467" s="208"/>
      <c r="AH467" s="208"/>
      <c r="AI467" s="208"/>
      <c r="AJ467" s="208"/>
      <c r="AK467" s="208"/>
    </row>
    <row r="468" hidden="1">
      <c r="A468" s="209">
        <f>IFERROR(__xludf.DUMMYFUNCTION("""COMPUTED_VALUE"""),46128.0)</f>
        <v>46128</v>
      </c>
      <c r="B468" s="210">
        <f>IFERROR(__xludf.DUMMYFUNCTION("""COMPUTED_VALUE"""),0.5416666666678793)</f>
        <v>0.5416666667</v>
      </c>
      <c r="C468" s="211" t="str">
        <f>IFERROR(__xludf.DUMMYFUNCTION("""COMPUTED_VALUE"""),"Sms")</f>
        <v>Sms</v>
      </c>
      <c r="D468" s="211" t="str">
        <f>IFERROR(__xludf.DUMMYFUNCTION("""COMPUTED_VALUE"""),"Fallback campaign")</f>
        <v>Fallback campaign</v>
      </c>
      <c r="E468" s="211" t="str">
        <f>IFERROR(__xludf.DUMMYFUNCTION("""COMPUTED_VALUE"""),"BBW")</f>
        <v>BBW</v>
      </c>
      <c r="F468" s="211" t="str">
        <f>IFERROR(__xludf.DUMMYFUNCTION("""COMPUTED_VALUE"""),"MSS Campaigns")</f>
        <v>MSS Campaigns</v>
      </c>
      <c r="G468" s="212" t="str">
        <f>IFERROR(__xludf.DUMMYFUNCTION("""COMPUTED_VALUE"""),"bbw_mss_16april_smsfb_dormant_6m_offline")</f>
        <v>bbw_mss_16april_smsfb_dormant_6m_offline</v>
      </c>
      <c r="H468" s="212" t="str">
        <f>IFERROR(__xludf.DUMMYFUNCTION("""COMPUTED_VALUE"""),"BBW_Dormant_6M_Offline")</f>
        <v>BBW_Dormant_6M_Offline</v>
      </c>
      <c r="I468" s="212" t="str">
        <f>IFERROR(__xludf.DUMMYFUNCTION("""COMPUTED_VALUE"""),"WA Undelivered")</f>
        <v>WA Undelivered</v>
      </c>
      <c r="J468" s="213">
        <f>IFERROR(__xludf.DUMMYFUNCTION("""COMPUTED_VALUE"""),48130.0)</f>
        <v>48130</v>
      </c>
      <c r="K468" s="213">
        <f>IFERROR(__xludf.DUMMYFUNCTION("""COMPUTED_VALUE"""),27690.0)</f>
        <v>27690</v>
      </c>
      <c r="L468" s="214">
        <f>IFERROR(__xludf.DUMMYFUNCTION("""COMPUTED_VALUE"""),0.5753)</f>
        <v>0.5753</v>
      </c>
      <c r="M468" s="214">
        <f>IFERROR(__xludf.DUMMYFUNCTION("""COMPUTED_VALUE"""),0.0)</f>
        <v>0</v>
      </c>
      <c r="N468" s="214">
        <f>IFERROR(__xludf.DUMMYFUNCTION("""COMPUTED_VALUE"""),0.0)</f>
        <v>0</v>
      </c>
      <c r="O468" s="213">
        <f>IFERROR(__xludf.DUMMYFUNCTION("""COMPUTED_VALUE"""),49.0)</f>
        <v>49</v>
      </c>
      <c r="P468" s="213">
        <f>IFERROR(__xludf.DUMMYFUNCTION("""COMPUTED_VALUE"""),0.0)</f>
        <v>0</v>
      </c>
      <c r="Q468" s="214">
        <f>IFERROR(__xludf.DUMMYFUNCTION("""COMPUTED_VALUE"""),0.0018)</f>
        <v>0.0018</v>
      </c>
      <c r="R468" s="214">
        <f>IFERROR(__xludf.DUMMYFUNCTION("""COMPUTED_VALUE"""),0.0)</f>
        <v>0</v>
      </c>
      <c r="S468" s="101">
        <f>IFERROR(__xludf.DUMMYFUNCTION("""COMPUTED_VALUE"""),5.0)</f>
        <v>5</v>
      </c>
      <c r="T468" s="101">
        <f>IFERROR(__xludf.DUMMYFUNCTION("""COMPUTED_VALUE"""),14.0)</f>
        <v>14</v>
      </c>
      <c r="U468" s="270">
        <f>IFERROR(__xludf.DUMMYFUNCTION("""COMPUTED_VALUE"""),17233.0)</f>
        <v>17233</v>
      </c>
      <c r="V468" s="271" t="str">
        <f>IFERROR(__xludf.DUMMYFUNCTION("""COMPUTED_VALUE"""),"offline")</f>
        <v>offline</v>
      </c>
      <c r="W468" s="272" t="str">
        <f>IFERROR(__xludf.DUMMYFUNCTION("""COMPUTED_VALUE"""),"sms")</f>
        <v>sms</v>
      </c>
      <c r="X468" s="272" t="str">
        <f>IFERROR(__xludf.DUMMYFUNCTION("""COMPUTED_VALUE"""),"Dormant")</f>
        <v>Dormant</v>
      </c>
      <c r="Y468" s="272" t="str">
        <f>IFERROR(__xludf.DUMMYFUNCTION("""COMPUTED_VALUE"""),"16 April")</f>
        <v>16 April</v>
      </c>
      <c r="Z468" s="272" t="str">
        <f>IFERROR(__xludf.DUMMYFUNCTION("""COMPUTED_VALUE"""),"69df74af562318f95561ec6d")</f>
        <v>69df74af562318f95561ec6d</v>
      </c>
      <c r="AA468" s="272">
        <f>IFERROR(__xludf.DUMMYFUNCTION("""COMPUTED_VALUE"""),34.0)</f>
        <v>34</v>
      </c>
      <c r="AB468" s="272"/>
      <c r="AC468" s="272">
        <f>IFERROR(__xludf.DUMMYFUNCTION("""COMPUTED_VALUE"""),34.0)</f>
        <v>34</v>
      </c>
      <c r="AD468" s="272">
        <f>IFERROR(__xludf.DUMMYFUNCTION("""COMPUTED_VALUE"""),133939.0)</f>
        <v>133939</v>
      </c>
      <c r="AE468" s="272"/>
      <c r="AF468" s="272">
        <f>IFERROR(__xludf.DUMMYFUNCTION("""COMPUTED_VALUE"""),133939.0)</f>
        <v>133939</v>
      </c>
      <c r="AG468" s="208"/>
      <c r="AH468" s="208"/>
      <c r="AI468" s="208"/>
      <c r="AJ468" s="208"/>
      <c r="AK468" s="208"/>
    </row>
    <row r="469" hidden="1">
      <c r="A469" s="209">
        <f>IFERROR(__xludf.DUMMYFUNCTION("""COMPUTED_VALUE"""),46128.0)</f>
        <v>46128</v>
      </c>
      <c r="B469" s="210">
        <f>IFERROR(__xludf.DUMMYFUNCTION("""COMPUTED_VALUE"""),0.5416666666678793)</f>
        <v>0.5416666667</v>
      </c>
      <c r="C469" s="211" t="str">
        <f>IFERROR(__xludf.DUMMYFUNCTION("""COMPUTED_VALUE"""),"Sms")</f>
        <v>Sms</v>
      </c>
      <c r="D469" s="211" t="str">
        <f>IFERROR(__xludf.DUMMYFUNCTION("""COMPUTED_VALUE"""),"Fallback campaign")</f>
        <v>Fallback campaign</v>
      </c>
      <c r="E469" s="211" t="str">
        <f>IFERROR(__xludf.DUMMYFUNCTION("""COMPUTED_VALUE"""),"BBW")</f>
        <v>BBW</v>
      </c>
      <c r="F469" s="211" t="str">
        <f>IFERROR(__xludf.DUMMYFUNCTION("""COMPUTED_VALUE"""),"MSS Campaigns")</f>
        <v>MSS Campaigns</v>
      </c>
      <c r="G469" s="212" t="str">
        <f>IFERROR(__xludf.DUMMYFUNCTION("""COMPUTED_VALUE"""),"bbw_mss_16april_smsfb_dormant6to12_offline")</f>
        <v>bbw_mss_16april_smsfb_dormant6to12_offline</v>
      </c>
      <c r="H469" s="212" t="str">
        <f>IFERROR(__xludf.DUMMYFUNCTION("""COMPUTED_VALUE"""),"BBW_Dormant_6M_to_12M_Offline")</f>
        <v>BBW_Dormant_6M_to_12M_Offline</v>
      </c>
      <c r="I469" s="212" t="str">
        <f>IFERROR(__xludf.DUMMYFUNCTION("""COMPUTED_VALUE"""),"WA Undelivered")</f>
        <v>WA Undelivered</v>
      </c>
      <c r="J469" s="213">
        <f>IFERROR(__xludf.DUMMYFUNCTION("""COMPUTED_VALUE"""),91100.0)</f>
        <v>91100</v>
      </c>
      <c r="K469" s="213">
        <f>IFERROR(__xludf.DUMMYFUNCTION("""COMPUTED_VALUE"""),53335.0)</f>
        <v>53335</v>
      </c>
      <c r="L469" s="214">
        <f>IFERROR(__xludf.DUMMYFUNCTION("""COMPUTED_VALUE"""),0.5855)</f>
        <v>0.5855</v>
      </c>
      <c r="M469" s="214">
        <f>IFERROR(__xludf.DUMMYFUNCTION("""COMPUTED_VALUE"""),0.0)</f>
        <v>0</v>
      </c>
      <c r="N469" s="214">
        <f>IFERROR(__xludf.DUMMYFUNCTION("""COMPUTED_VALUE"""),0.0)</f>
        <v>0</v>
      </c>
      <c r="O469" s="213">
        <f>IFERROR(__xludf.DUMMYFUNCTION("""COMPUTED_VALUE"""),94.0)</f>
        <v>94</v>
      </c>
      <c r="P469" s="213">
        <f>IFERROR(__xludf.DUMMYFUNCTION("""COMPUTED_VALUE"""),0.0)</f>
        <v>0</v>
      </c>
      <c r="Q469" s="214">
        <f>IFERROR(__xludf.DUMMYFUNCTION("""COMPUTED_VALUE"""),0.0018)</f>
        <v>0.0018</v>
      </c>
      <c r="R469" s="214">
        <f>IFERROR(__xludf.DUMMYFUNCTION("""COMPUTED_VALUE"""),0.0)</f>
        <v>0</v>
      </c>
      <c r="S469" s="101">
        <f>IFERROR(__xludf.DUMMYFUNCTION("""COMPUTED_VALUE"""),5.0)</f>
        <v>5</v>
      </c>
      <c r="T469" s="101">
        <f>IFERROR(__xludf.DUMMYFUNCTION("""COMPUTED_VALUE"""),11.0)</f>
        <v>11</v>
      </c>
      <c r="U469" s="270">
        <f>IFERROR(__xludf.DUMMYFUNCTION("""COMPUTED_VALUE"""),9967.0)</f>
        <v>9967</v>
      </c>
      <c r="V469" s="271" t="str">
        <f>IFERROR(__xludf.DUMMYFUNCTION("""COMPUTED_VALUE"""),"offline")</f>
        <v>offline</v>
      </c>
      <c r="W469" s="272" t="str">
        <f>IFERROR(__xludf.DUMMYFUNCTION("""COMPUTED_VALUE"""),"sms")</f>
        <v>sms</v>
      </c>
      <c r="X469" s="272" t="str">
        <f>IFERROR(__xludf.DUMMYFUNCTION("""COMPUTED_VALUE"""),"Dormant")</f>
        <v>Dormant</v>
      </c>
      <c r="Y469" s="272" t="str">
        <f>IFERROR(__xludf.DUMMYFUNCTION("""COMPUTED_VALUE"""),"16 April")</f>
        <v>16 April</v>
      </c>
      <c r="Z469" s="272" t="str">
        <f>IFERROR(__xludf.DUMMYFUNCTION("""COMPUTED_VALUE"""),"69df752e912d8778d4c8b3cd")</f>
        <v>69df752e912d8778d4c8b3cd</v>
      </c>
      <c r="AA469" s="272">
        <f>IFERROR(__xludf.DUMMYFUNCTION("""COMPUTED_VALUE"""),46.0)</f>
        <v>46</v>
      </c>
      <c r="AB469" s="272"/>
      <c r="AC469" s="272">
        <f>IFERROR(__xludf.DUMMYFUNCTION("""COMPUTED_VALUE"""),46.0)</f>
        <v>46</v>
      </c>
      <c r="AD469" s="272">
        <f>IFERROR(__xludf.DUMMYFUNCTION("""COMPUTED_VALUE"""),152852.0)</f>
        <v>152852</v>
      </c>
      <c r="AE469" s="272"/>
      <c r="AF469" s="272">
        <f>IFERROR(__xludf.DUMMYFUNCTION("""COMPUTED_VALUE"""),152852.0)</f>
        <v>152852</v>
      </c>
      <c r="AG469" s="208"/>
      <c r="AH469" s="208"/>
      <c r="AI469" s="208"/>
      <c r="AJ469" s="208"/>
      <c r="AK469" s="208"/>
    </row>
    <row r="470" hidden="1">
      <c r="A470" s="209">
        <f>IFERROR(__xludf.DUMMYFUNCTION("""COMPUTED_VALUE"""),46129.0)</f>
        <v>46129</v>
      </c>
      <c r="B470" s="210">
        <f>IFERROR(__xludf.DUMMYFUNCTION("""COMPUTED_VALUE"""),0.7916666666678793)</f>
        <v>0.7916666667</v>
      </c>
      <c r="C470" s="211" t="str">
        <f>IFERROR(__xludf.DUMMYFUNCTION("""COMPUTED_VALUE"""),"Whatsapp")</f>
        <v>Whatsapp</v>
      </c>
      <c r="D470" s="211" t="str">
        <f>IFERROR(__xludf.DUMMYFUNCTION("""COMPUTED_VALUE"""),"Promtional")</f>
        <v>Promtional</v>
      </c>
      <c r="E470" s="211" t="str">
        <f>IFERROR(__xludf.DUMMYFUNCTION("""COMPUTED_VALUE"""),"BBW")</f>
        <v>BBW</v>
      </c>
      <c r="F470" s="211" t="str">
        <f>IFERROR(__xludf.DUMMYFUNCTION("""COMPUTED_VALUE"""),"MSS Campaigns")</f>
        <v>MSS Campaigns</v>
      </c>
      <c r="G470" s="212" t="str">
        <f>IFERROR(__xludf.DUMMYFUNCTION("""COMPUTED_VALUE"""),"bbw_mss_17april_wa_churned_online_V2")</f>
        <v>bbw_mss_17april_wa_churned_online_V2</v>
      </c>
      <c r="H470" s="212" t="str">
        <f>IFERROR(__xludf.DUMMYFUNCTION("""COMPUTED_VALUE"""),"BBW_Churned_Base_Online")</f>
        <v>BBW_Churned_Base_Online</v>
      </c>
      <c r="I470" s="212" t="str">
        <f>IFERROR(__xludf.DUMMYFUNCTION("""COMPUTED_VALUE"""),"Online Customers who have purchased in last 1095 days but not in last 365 days")</f>
        <v>Online Customers who have purchased in last 1095 days but not in last 365 days</v>
      </c>
      <c r="J470" s="213">
        <f>IFERROR(__xludf.DUMMYFUNCTION("""COMPUTED_VALUE"""),206827.0)</f>
        <v>206827</v>
      </c>
      <c r="K470" s="213">
        <f>IFERROR(__xludf.DUMMYFUNCTION("""COMPUTED_VALUE"""),86649.0)</f>
        <v>86649</v>
      </c>
      <c r="L470" s="214">
        <f>IFERROR(__xludf.DUMMYFUNCTION("""COMPUTED_VALUE"""),0.4188)</f>
        <v>0.4188</v>
      </c>
      <c r="M470" s="214">
        <f>IFERROR(__xludf.DUMMYFUNCTION("""COMPUTED_VALUE"""),29353.0)</f>
        <v>29353</v>
      </c>
      <c r="N470" s="214">
        <f>IFERROR(__xludf.DUMMYFUNCTION("""COMPUTED_VALUE"""),0.3389)</f>
        <v>0.3389</v>
      </c>
      <c r="O470" s="213">
        <f>IFERROR(__xludf.DUMMYFUNCTION("""COMPUTED_VALUE"""),3199.0)</f>
        <v>3199</v>
      </c>
      <c r="P470" s="213">
        <f>IFERROR(__xludf.DUMMYFUNCTION("""COMPUTED_VALUE"""),2909.0)</f>
        <v>2909</v>
      </c>
      <c r="Q470" s="214">
        <f>IFERROR(__xludf.DUMMYFUNCTION("""COMPUTED_VALUE"""),0.0336)</f>
        <v>0.0336</v>
      </c>
      <c r="R470" s="214">
        <f>IFERROR(__xludf.DUMMYFUNCTION("""COMPUTED_VALUE"""),0.0991)</f>
        <v>0.0991</v>
      </c>
      <c r="S470" s="101">
        <f>IFERROR(__xludf.DUMMYFUNCTION("""COMPUTED_VALUE"""),34.0)</f>
        <v>34</v>
      </c>
      <c r="T470" s="101">
        <f>IFERROR(__xludf.DUMMYFUNCTION("""COMPUTED_VALUE"""),82.0)</f>
        <v>82</v>
      </c>
      <c r="U470" s="270">
        <f>IFERROR(__xludf.DUMMYFUNCTION("""COMPUTED_VALUE"""),113378.0)</f>
        <v>113378</v>
      </c>
      <c r="V470" s="271" t="str">
        <f>IFERROR(__xludf.DUMMYFUNCTION("""COMPUTED_VALUE"""),"online")</f>
        <v>online</v>
      </c>
      <c r="W470" s="272" t="str">
        <f>IFERROR(__xludf.DUMMYFUNCTION("""COMPUTED_VALUE"""),"simple")</f>
        <v>simple</v>
      </c>
      <c r="X470" s="272" t="str">
        <f>IFERROR(__xludf.DUMMYFUNCTION("""COMPUTED_VALUE"""),"Churned")</f>
        <v>Churned</v>
      </c>
      <c r="Y470" s="272" t="str">
        <f>IFERROR(__xludf.DUMMYFUNCTION("""COMPUTED_VALUE"""),"17-19 April")</f>
        <v>17-19 April</v>
      </c>
      <c r="Z470" s="272" t="str">
        <f>IFERROR(__xludf.DUMMYFUNCTION("""COMPUTED_VALUE"""),"69e23286b5eca177fd8d57db")</f>
        <v>69e23286b5eca177fd8d57db</v>
      </c>
      <c r="AA470" s="272">
        <f>IFERROR(__xludf.DUMMYFUNCTION("""COMPUTED_VALUE"""),231.0)</f>
        <v>231</v>
      </c>
      <c r="AB470" s="272">
        <f>IFERROR(__xludf.DUMMYFUNCTION("""COMPUTED_VALUE"""),231.0)</f>
        <v>231</v>
      </c>
      <c r="AC470" s="272"/>
      <c r="AD470" s="272">
        <f>IFERROR(__xludf.DUMMYFUNCTION("""COMPUTED_VALUE"""),561456.0)</f>
        <v>561456</v>
      </c>
      <c r="AE470" s="272">
        <f>IFERROR(__xludf.DUMMYFUNCTION("""COMPUTED_VALUE"""),561456.0)</f>
        <v>561456</v>
      </c>
      <c r="AF470" s="272"/>
      <c r="AG470" s="208"/>
      <c r="AH470" s="208"/>
      <c r="AI470" s="208"/>
      <c r="AJ470" s="208"/>
      <c r="AK470" s="208"/>
    </row>
    <row r="471" hidden="1">
      <c r="A471" s="209">
        <f>IFERROR(__xludf.DUMMYFUNCTION("""COMPUTED_VALUE"""),46129.0)</f>
        <v>46129</v>
      </c>
      <c r="B471" s="210">
        <f>IFERROR(__xludf.DUMMYFUNCTION("""COMPUTED_VALUE"""),0.7916666666678793)</f>
        <v>0.7916666667</v>
      </c>
      <c r="C471" s="211" t="str">
        <f>IFERROR(__xludf.DUMMYFUNCTION("""COMPUTED_VALUE"""),"Whatsapp")</f>
        <v>Whatsapp</v>
      </c>
      <c r="D471" s="211" t="str">
        <f>IFERROR(__xludf.DUMMYFUNCTION("""COMPUTED_VALUE"""),"Promtional")</f>
        <v>Promtional</v>
      </c>
      <c r="E471" s="211" t="str">
        <f>IFERROR(__xludf.DUMMYFUNCTION("""COMPUTED_VALUE"""),"BBW")</f>
        <v>BBW</v>
      </c>
      <c r="F471" s="211" t="str">
        <f>IFERROR(__xludf.DUMMYFUNCTION("""COMPUTED_VALUE"""),"MSS Campaigns")</f>
        <v>MSS Campaigns</v>
      </c>
      <c r="G471" s="212" t="str">
        <f>IFERROR(__xludf.DUMMYFUNCTION("""COMPUTED_VALUE"""),"bbw_mss_17april_wa_churned1_offline_V2")</f>
        <v>bbw_mss_17april_wa_churned1_offline_V2</v>
      </c>
      <c r="H471" s="212" t="str">
        <f>IFERROR(__xludf.DUMMYFUNCTION("""COMPUTED_VALUE"""),"BBW_Churned_550_1095D_Offline")</f>
        <v>BBW_Churned_550_1095D_Offline</v>
      </c>
      <c r="I471" s="212" t="str">
        <f>IFERROR(__xludf.DUMMYFUNCTION("""COMPUTED_VALUE"""),"Offline Customers who have purchased in between the last 550 and 1095 days but not in last 365 days")</f>
        <v>Offline Customers who have purchased in between the last 550 and 1095 days but not in last 365 days</v>
      </c>
      <c r="J471" s="213">
        <f>IFERROR(__xludf.DUMMYFUNCTION("""COMPUTED_VALUE"""),151464.0)</f>
        <v>151464</v>
      </c>
      <c r="K471" s="213">
        <f>IFERROR(__xludf.DUMMYFUNCTION("""COMPUTED_VALUE"""),61845.0)</f>
        <v>61845</v>
      </c>
      <c r="L471" s="214">
        <f>IFERROR(__xludf.DUMMYFUNCTION("""COMPUTED_VALUE"""),0.4082)</f>
        <v>0.4082</v>
      </c>
      <c r="M471" s="214">
        <f>IFERROR(__xludf.DUMMYFUNCTION("""COMPUTED_VALUE"""),22639.0)</f>
        <v>22639</v>
      </c>
      <c r="N471" s="214">
        <f>IFERROR(__xludf.DUMMYFUNCTION("""COMPUTED_VALUE"""),0.3662)</f>
        <v>0.3662</v>
      </c>
      <c r="O471" s="213">
        <f>IFERROR(__xludf.DUMMYFUNCTION("""COMPUTED_VALUE"""),1856.0)</f>
        <v>1856</v>
      </c>
      <c r="P471" s="213">
        <f>IFERROR(__xludf.DUMMYFUNCTION("""COMPUTED_VALUE"""),1735.0)</f>
        <v>1735</v>
      </c>
      <c r="Q471" s="214">
        <f>IFERROR(__xludf.DUMMYFUNCTION("""COMPUTED_VALUE"""),0.0281)</f>
        <v>0.0281</v>
      </c>
      <c r="R471" s="214">
        <f>IFERROR(__xludf.DUMMYFUNCTION("""COMPUTED_VALUE"""),0.0766)</f>
        <v>0.0766</v>
      </c>
      <c r="S471" s="101">
        <f>IFERROR(__xludf.DUMMYFUNCTION("""COMPUTED_VALUE"""),18.0)</f>
        <v>18</v>
      </c>
      <c r="T471" s="101">
        <f>IFERROR(__xludf.DUMMYFUNCTION("""COMPUTED_VALUE"""),40.0)</f>
        <v>40</v>
      </c>
      <c r="U471" s="270">
        <f>IFERROR(__xludf.DUMMYFUNCTION("""COMPUTED_VALUE"""),51177.0)</f>
        <v>51177</v>
      </c>
      <c r="V471" s="271" t="str">
        <f>IFERROR(__xludf.DUMMYFUNCTION("""COMPUTED_VALUE"""),"offline")</f>
        <v>offline</v>
      </c>
      <c r="W471" s="272" t="str">
        <f>IFERROR(__xludf.DUMMYFUNCTION("""COMPUTED_VALUE"""),"simple")</f>
        <v>simple</v>
      </c>
      <c r="X471" s="272" t="str">
        <f>IFERROR(__xludf.DUMMYFUNCTION("""COMPUTED_VALUE"""),"Churned")</f>
        <v>Churned</v>
      </c>
      <c r="Y471" s="272" t="str">
        <f>IFERROR(__xludf.DUMMYFUNCTION("""COMPUTED_VALUE"""),"17-19 April")</f>
        <v>17-19 April</v>
      </c>
      <c r="Z471" s="272" t="str">
        <f>IFERROR(__xludf.DUMMYFUNCTION("""COMPUTED_VALUE"""),"69e232a828cd390a4924ae60")</f>
        <v>69e232a828cd390a4924ae60</v>
      </c>
      <c r="AA471" s="272">
        <f>IFERROR(__xludf.DUMMYFUNCTION("""COMPUTED_VALUE"""),149.0)</f>
        <v>149</v>
      </c>
      <c r="AB471" s="272"/>
      <c r="AC471" s="272">
        <f>IFERROR(__xludf.DUMMYFUNCTION("""COMPUTED_VALUE"""),149.0)</f>
        <v>149</v>
      </c>
      <c r="AD471" s="272">
        <f>IFERROR(__xludf.DUMMYFUNCTION("""COMPUTED_VALUE"""),515508.0)</f>
        <v>515508</v>
      </c>
      <c r="AE471" s="272"/>
      <c r="AF471" s="272">
        <f>IFERROR(__xludf.DUMMYFUNCTION("""COMPUTED_VALUE"""),515508.0)</f>
        <v>515508</v>
      </c>
      <c r="AG471" s="208"/>
      <c r="AH471" s="208"/>
      <c r="AI471" s="208"/>
      <c r="AJ471" s="208"/>
      <c r="AK471" s="208"/>
    </row>
    <row r="472" hidden="1">
      <c r="A472" s="209">
        <f>IFERROR(__xludf.DUMMYFUNCTION("""COMPUTED_VALUE"""),46129.0)</f>
        <v>46129</v>
      </c>
      <c r="B472" s="210">
        <f>IFERROR(__xludf.DUMMYFUNCTION("""COMPUTED_VALUE"""),0.7916666666678793)</f>
        <v>0.7916666667</v>
      </c>
      <c r="C472" s="211" t="str">
        <f>IFERROR(__xludf.DUMMYFUNCTION("""COMPUTED_VALUE"""),"Whatsapp")</f>
        <v>Whatsapp</v>
      </c>
      <c r="D472" s="211" t="str">
        <f>IFERROR(__xludf.DUMMYFUNCTION("""COMPUTED_VALUE"""),"Promtional")</f>
        <v>Promtional</v>
      </c>
      <c r="E472" s="211" t="str">
        <f>IFERROR(__xludf.DUMMYFUNCTION("""COMPUTED_VALUE"""),"BBW")</f>
        <v>BBW</v>
      </c>
      <c r="F472" s="211" t="str">
        <f>IFERROR(__xludf.DUMMYFUNCTION("""COMPUTED_VALUE"""),"MSS Campaigns")</f>
        <v>MSS Campaigns</v>
      </c>
      <c r="G472" s="212" t="str">
        <f>IFERROR(__xludf.DUMMYFUNCTION("""COMPUTED_VALUE"""),"bbw_mss_17april_wa_churned2_offline_V2")</f>
        <v>bbw_mss_17april_wa_churned2_offline_V2</v>
      </c>
      <c r="H472" s="212" t="str">
        <f>IFERROR(__xludf.DUMMYFUNCTION("""COMPUTED_VALUE"""),"BBW_Churned_336_549D_Offline")</f>
        <v>BBW_Churned_336_549D_Offline</v>
      </c>
      <c r="I472" s="212" t="str">
        <f>IFERROR(__xludf.DUMMYFUNCTION("""COMPUTED_VALUE"""),"Offline Customers who have purchased in between the last 366 and 549 days but not in last 365 days")</f>
        <v>Offline Customers who have purchased in between the last 366 and 549 days but not in last 365 days</v>
      </c>
      <c r="J472" s="213">
        <f>IFERROR(__xludf.DUMMYFUNCTION("""COMPUTED_VALUE"""),153667.0)</f>
        <v>153667</v>
      </c>
      <c r="K472" s="213">
        <f>IFERROR(__xludf.DUMMYFUNCTION("""COMPUTED_VALUE"""),67092.0)</f>
        <v>67092</v>
      </c>
      <c r="L472" s="214">
        <f>IFERROR(__xludf.DUMMYFUNCTION("""COMPUTED_VALUE"""),0.4365)</f>
        <v>0.4365</v>
      </c>
      <c r="M472" s="213">
        <f>IFERROR(__xludf.DUMMYFUNCTION("""COMPUTED_VALUE"""),25795.0)</f>
        <v>25795</v>
      </c>
      <c r="N472" s="214">
        <f>IFERROR(__xludf.DUMMYFUNCTION("""COMPUTED_VALUE"""),0.3846)</f>
        <v>0.3846</v>
      </c>
      <c r="O472" s="213">
        <f>IFERROR(__xludf.DUMMYFUNCTION("""COMPUTED_VALUE"""),2250.0)</f>
        <v>2250</v>
      </c>
      <c r="P472" s="213">
        <f>IFERROR(__xludf.DUMMYFUNCTION("""COMPUTED_VALUE"""),2093.0)</f>
        <v>2093</v>
      </c>
      <c r="Q472" s="214">
        <f>IFERROR(__xludf.DUMMYFUNCTION("""COMPUTED_VALUE"""),0.0312)</f>
        <v>0.0312</v>
      </c>
      <c r="R472" s="214">
        <f>IFERROR(__xludf.DUMMYFUNCTION("""COMPUTED_VALUE"""),0.0811)</f>
        <v>0.0811</v>
      </c>
      <c r="S472" s="101">
        <f>IFERROR(__xludf.DUMMYFUNCTION("""COMPUTED_VALUE"""),15.0)</f>
        <v>15</v>
      </c>
      <c r="T472" s="101">
        <f>IFERROR(__xludf.DUMMYFUNCTION("""COMPUTED_VALUE"""),30.0)</f>
        <v>30</v>
      </c>
      <c r="U472" s="270">
        <f>IFERROR(__xludf.DUMMYFUNCTION("""COMPUTED_VALUE"""),34969.0)</f>
        <v>34969</v>
      </c>
      <c r="V472" s="271" t="str">
        <f>IFERROR(__xludf.DUMMYFUNCTION("""COMPUTED_VALUE"""),"offline")</f>
        <v>offline</v>
      </c>
      <c r="W472" s="272" t="str">
        <f>IFERROR(__xludf.DUMMYFUNCTION("""COMPUTED_VALUE"""),"simple")</f>
        <v>simple</v>
      </c>
      <c r="X472" s="272" t="str">
        <f>IFERROR(__xludf.DUMMYFUNCTION("""COMPUTED_VALUE"""),"Churned")</f>
        <v>Churned</v>
      </c>
      <c r="Y472" s="272" t="str">
        <f>IFERROR(__xludf.DUMMYFUNCTION("""COMPUTED_VALUE"""),"17-19 April")</f>
        <v>17-19 April</v>
      </c>
      <c r="Z472" s="272" t="str">
        <f>IFERROR(__xludf.DUMMYFUNCTION("""COMPUTED_VALUE"""),"69e232e3b5eca177fd8d57e7")</f>
        <v>69e232e3b5eca177fd8d57e7</v>
      </c>
      <c r="AA472" s="272">
        <f>IFERROR(__xludf.DUMMYFUNCTION("""COMPUTED_VALUE"""),159.0)</f>
        <v>159</v>
      </c>
      <c r="AB472" s="272"/>
      <c r="AC472" s="272">
        <f>IFERROR(__xludf.DUMMYFUNCTION("""COMPUTED_VALUE"""),159.0)</f>
        <v>159</v>
      </c>
      <c r="AD472" s="272">
        <f>IFERROR(__xludf.DUMMYFUNCTION("""COMPUTED_VALUE"""),560476.0)</f>
        <v>560476</v>
      </c>
      <c r="AE472" s="272"/>
      <c r="AF472" s="272">
        <f>IFERROR(__xludf.DUMMYFUNCTION("""COMPUTED_VALUE"""),560476.0)</f>
        <v>560476</v>
      </c>
      <c r="AG472" s="208"/>
      <c r="AH472" s="208"/>
      <c r="AI472" s="208"/>
      <c r="AJ472" s="208"/>
      <c r="AK472" s="208"/>
    </row>
    <row r="473" hidden="1">
      <c r="A473" s="209">
        <f>IFERROR(__xludf.DUMMYFUNCTION("""COMPUTED_VALUE"""),46129.0)</f>
        <v>46129</v>
      </c>
      <c r="B473" s="210">
        <f>IFERROR(__xludf.DUMMYFUNCTION("""COMPUTED_VALUE"""),0.8333333333321207)</f>
        <v>0.8333333333</v>
      </c>
      <c r="C473" s="211" t="str">
        <f>IFERROR(__xludf.DUMMYFUNCTION("""COMPUTED_VALUE"""),"Sms")</f>
        <v>Sms</v>
      </c>
      <c r="D473" s="211" t="str">
        <f>IFERROR(__xludf.DUMMYFUNCTION("""COMPUTED_VALUE"""),"Fallback campaign")</f>
        <v>Fallback campaign</v>
      </c>
      <c r="E473" s="211" t="str">
        <f>IFERROR(__xludf.DUMMYFUNCTION("""COMPUTED_VALUE"""),"BBW")</f>
        <v>BBW</v>
      </c>
      <c r="F473" s="211" t="str">
        <f>IFERROR(__xludf.DUMMYFUNCTION("""COMPUTED_VALUE"""),"MSS Campaigns")</f>
        <v>MSS Campaigns</v>
      </c>
      <c r="G473" s="212" t="str">
        <f>IFERROR(__xludf.DUMMYFUNCTION("""COMPUTED_VALUE"""),"bbw_mss_17april_smsfb_churned_online")</f>
        <v>bbw_mss_17april_smsfb_churned_online</v>
      </c>
      <c r="H473" s="212" t="str">
        <f>IFERROR(__xludf.DUMMYFUNCTION("""COMPUTED_VALUE"""),"BBW_Churned_Base_Online")</f>
        <v>BBW_Churned_Base_Online</v>
      </c>
      <c r="I473" s="212" t="str">
        <f>IFERROR(__xludf.DUMMYFUNCTION("""COMPUTED_VALUE"""),"WA Undelivered")</f>
        <v>WA Undelivered</v>
      </c>
      <c r="J473" s="213">
        <f>IFERROR(__xludf.DUMMYFUNCTION("""COMPUTED_VALUE"""),112815.0)</f>
        <v>112815</v>
      </c>
      <c r="K473" s="213">
        <f>IFERROR(__xludf.DUMMYFUNCTION("""COMPUTED_VALUE"""),66692.0)</f>
        <v>66692</v>
      </c>
      <c r="L473" s="214">
        <f>IFERROR(__xludf.DUMMYFUNCTION("""COMPUTED_VALUE"""),0.5912)</f>
        <v>0.5912</v>
      </c>
      <c r="M473" s="214">
        <f>IFERROR(__xludf.DUMMYFUNCTION("""COMPUTED_VALUE"""),0.0)</f>
        <v>0</v>
      </c>
      <c r="N473" s="214">
        <f>IFERROR(__xludf.DUMMYFUNCTION("""COMPUTED_VALUE"""),0.0)</f>
        <v>0</v>
      </c>
      <c r="O473" s="213">
        <f>IFERROR(__xludf.DUMMYFUNCTION("""COMPUTED_VALUE"""),113.0)</f>
        <v>113</v>
      </c>
      <c r="P473" s="213">
        <f>IFERROR(__xludf.DUMMYFUNCTION("""COMPUTED_VALUE"""),0.0)</f>
        <v>0</v>
      </c>
      <c r="Q473" s="214">
        <f>IFERROR(__xludf.DUMMYFUNCTION("""COMPUTED_VALUE"""),0.0017)</f>
        <v>0.0017</v>
      </c>
      <c r="R473" s="214">
        <f>IFERROR(__xludf.DUMMYFUNCTION("""COMPUTED_VALUE"""),0.0)</f>
        <v>0</v>
      </c>
      <c r="S473" s="101">
        <f>IFERROR(__xludf.DUMMYFUNCTION("""COMPUTED_VALUE"""),11.0)</f>
        <v>11</v>
      </c>
      <c r="T473" s="101">
        <f>IFERROR(__xludf.DUMMYFUNCTION("""COMPUTED_VALUE"""),23.0)</f>
        <v>23</v>
      </c>
      <c r="U473" s="270">
        <f>IFERROR(__xludf.DUMMYFUNCTION("""COMPUTED_VALUE"""),33202.0)</f>
        <v>33202</v>
      </c>
      <c r="V473" s="271" t="str">
        <f>IFERROR(__xludf.DUMMYFUNCTION("""COMPUTED_VALUE"""),"online")</f>
        <v>online</v>
      </c>
      <c r="W473" s="272" t="str">
        <f>IFERROR(__xludf.DUMMYFUNCTION("""COMPUTED_VALUE"""),"sms")</f>
        <v>sms</v>
      </c>
      <c r="X473" s="272" t="str">
        <f>IFERROR(__xludf.DUMMYFUNCTION("""COMPUTED_VALUE"""),"Churned")</f>
        <v>Churned</v>
      </c>
      <c r="Y473" s="272" t="str">
        <f>IFERROR(__xludf.DUMMYFUNCTION("""COMPUTED_VALUE"""),"17 April")</f>
        <v>17 April</v>
      </c>
      <c r="Z473" s="272" t="str">
        <f>IFERROR(__xludf.DUMMYFUNCTION("""COMPUTED_VALUE"""),"69e205acf74188b7f7d44a9f")</f>
        <v>69e205acf74188b7f7d44a9f</v>
      </c>
      <c r="AA473" s="272">
        <f>IFERROR(__xludf.DUMMYFUNCTION("""COMPUTED_VALUE"""),28.0)</f>
        <v>28</v>
      </c>
      <c r="AB473" s="272">
        <f>IFERROR(__xludf.DUMMYFUNCTION("""COMPUTED_VALUE"""),28.0)</f>
        <v>28</v>
      </c>
      <c r="AC473" s="272"/>
      <c r="AD473" s="272">
        <f>IFERROR(__xludf.DUMMYFUNCTION("""COMPUTED_VALUE"""),58785.0)</f>
        <v>58785</v>
      </c>
      <c r="AE473" s="272">
        <f>IFERROR(__xludf.DUMMYFUNCTION("""COMPUTED_VALUE"""),58785.0)</f>
        <v>58785</v>
      </c>
      <c r="AF473" s="272"/>
      <c r="AG473" s="208"/>
      <c r="AH473" s="208"/>
      <c r="AI473" s="208"/>
      <c r="AJ473" s="208"/>
      <c r="AK473" s="208"/>
    </row>
    <row r="474" hidden="1">
      <c r="A474" s="209">
        <f>IFERROR(__xludf.DUMMYFUNCTION("""COMPUTED_VALUE"""),46129.0)</f>
        <v>46129</v>
      </c>
      <c r="B474" s="210">
        <f>IFERROR(__xludf.DUMMYFUNCTION("""COMPUTED_VALUE"""),0.8333333333321207)</f>
        <v>0.8333333333</v>
      </c>
      <c r="C474" s="211" t="str">
        <f>IFERROR(__xludf.DUMMYFUNCTION("""COMPUTED_VALUE"""),"Sms")</f>
        <v>Sms</v>
      </c>
      <c r="D474" s="211" t="str">
        <f>IFERROR(__xludf.DUMMYFUNCTION("""COMPUTED_VALUE"""),"Fallback campaign")</f>
        <v>Fallback campaign</v>
      </c>
      <c r="E474" s="211" t="str">
        <f>IFERROR(__xludf.DUMMYFUNCTION("""COMPUTED_VALUE"""),"BBW")</f>
        <v>BBW</v>
      </c>
      <c r="F474" s="211" t="str">
        <f>IFERROR(__xludf.DUMMYFUNCTION("""COMPUTED_VALUE"""),"MSS Campaigns")</f>
        <v>MSS Campaigns</v>
      </c>
      <c r="G474" s="212" t="str">
        <f>IFERROR(__xludf.DUMMYFUNCTION("""COMPUTED_VALUE"""),"bbw_mss_17april_smsfb_churned1_offline")</f>
        <v>bbw_mss_17april_smsfb_churned1_offline</v>
      </c>
      <c r="H474" s="212" t="str">
        <f>IFERROR(__xludf.DUMMYFUNCTION("""COMPUTED_VALUE"""),"BBW_Churned_550_1095D_Offline")</f>
        <v>BBW_Churned_550_1095D_Offline</v>
      </c>
      <c r="I474" s="212" t="str">
        <f>IFERROR(__xludf.DUMMYFUNCTION("""COMPUTED_VALUE"""),"WA Undelivered")</f>
        <v>WA Undelivered</v>
      </c>
      <c r="J474" s="213">
        <f>IFERROR(__xludf.DUMMYFUNCTION("""COMPUTED_VALUE"""),84356.0)</f>
        <v>84356</v>
      </c>
      <c r="K474" s="213">
        <f>IFERROR(__xludf.DUMMYFUNCTION("""COMPUTED_VALUE"""),46518.0)</f>
        <v>46518</v>
      </c>
      <c r="L474" s="214">
        <f>IFERROR(__xludf.DUMMYFUNCTION("""COMPUTED_VALUE"""),0.5514)</f>
        <v>0.5514</v>
      </c>
      <c r="M474" s="214">
        <f>IFERROR(__xludf.DUMMYFUNCTION("""COMPUTED_VALUE"""),0.0)</f>
        <v>0</v>
      </c>
      <c r="N474" s="214">
        <f>IFERROR(__xludf.DUMMYFUNCTION("""COMPUTED_VALUE"""),0.0)</f>
        <v>0</v>
      </c>
      <c r="O474" s="213">
        <f>IFERROR(__xludf.DUMMYFUNCTION("""COMPUTED_VALUE"""),44.0)</f>
        <v>44</v>
      </c>
      <c r="P474" s="213">
        <f>IFERROR(__xludf.DUMMYFUNCTION("""COMPUTED_VALUE"""),0.0)</f>
        <v>0</v>
      </c>
      <c r="Q474" s="214">
        <f>IFERROR(__xludf.DUMMYFUNCTION("""COMPUTED_VALUE"""),9.0E-4)</f>
        <v>0.0009</v>
      </c>
      <c r="R474" s="214">
        <f>IFERROR(__xludf.DUMMYFUNCTION("""COMPUTED_VALUE"""),0.0)</f>
        <v>0</v>
      </c>
      <c r="S474" s="101">
        <f>IFERROR(__xludf.DUMMYFUNCTION("""COMPUTED_VALUE"""),6.0)</f>
        <v>6</v>
      </c>
      <c r="T474" s="101">
        <f>IFERROR(__xludf.DUMMYFUNCTION("""COMPUTED_VALUE"""),8.0)</f>
        <v>8</v>
      </c>
      <c r="U474" s="270">
        <f>IFERROR(__xludf.DUMMYFUNCTION("""COMPUTED_VALUE"""),24680.0)</f>
        <v>24680</v>
      </c>
      <c r="V474" s="271" t="str">
        <f>IFERROR(__xludf.DUMMYFUNCTION("""COMPUTED_VALUE"""),"offline")</f>
        <v>offline</v>
      </c>
      <c r="W474" s="272" t="str">
        <f>IFERROR(__xludf.DUMMYFUNCTION("""COMPUTED_VALUE"""),"sms")</f>
        <v>sms</v>
      </c>
      <c r="X474" s="272" t="str">
        <f>IFERROR(__xludf.DUMMYFUNCTION("""COMPUTED_VALUE"""),"Churned")</f>
        <v>Churned</v>
      </c>
      <c r="Y474" s="272" t="str">
        <f>IFERROR(__xludf.DUMMYFUNCTION("""COMPUTED_VALUE"""),"17 April")</f>
        <v>17 April</v>
      </c>
      <c r="Z474" s="272" t="str">
        <f>IFERROR(__xludf.DUMMYFUNCTION("""COMPUTED_VALUE"""),"69e205e7da77a1e79d41c97d")</f>
        <v>69e205e7da77a1e79d41c97d</v>
      </c>
      <c r="AA474" s="272">
        <f>IFERROR(__xludf.DUMMYFUNCTION("""COMPUTED_VALUE"""),21.0)</f>
        <v>21</v>
      </c>
      <c r="AB474" s="272"/>
      <c r="AC474" s="272">
        <f>IFERROR(__xludf.DUMMYFUNCTION("""COMPUTED_VALUE"""),21.0)</f>
        <v>21</v>
      </c>
      <c r="AD474" s="272">
        <f>IFERROR(__xludf.DUMMYFUNCTION("""COMPUTED_VALUE"""),59215.0)</f>
        <v>59215</v>
      </c>
      <c r="AE474" s="272"/>
      <c r="AF474" s="272">
        <f>IFERROR(__xludf.DUMMYFUNCTION("""COMPUTED_VALUE"""),59215.0)</f>
        <v>59215</v>
      </c>
      <c r="AG474" s="208"/>
      <c r="AH474" s="208"/>
      <c r="AI474" s="208"/>
      <c r="AJ474" s="208"/>
      <c r="AK474" s="208"/>
    </row>
    <row r="475" hidden="1">
      <c r="A475" s="209">
        <f>IFERROR(__xludf.DUMMYFUNCTION("""COMPUTED_VALUE"""),46129.0)</f>
        <v>46129</v>
      </c>
      <c r="B475" s="210">
        <f>IFERROR(__xludf.DUMMYFUNCTION("""COMPUTED_VALUE"""),0.8333333333321207)</f>
        <v>0.8333333333</v>
      </c>
      <c r="C475" s="211" t="str">
        <f>IFERROR(__xludf.DUMMYFUNCTION("""COMPUTED_VALUE"""),"Sms")</f>
        <v>Sms</v>
      </c>
      <c r="D475" s="211" t="str">
        <f>IFERROR(__xludf.DUMMYFUNCTION("""COMPUTED_VALUE"""),"Fallback campaign")</f>
        <v>Fallback campaign</v>
      </c>
      <c r="E475" s="211" t="str">
        <f>IFERROR(__xludf.DUMMYFUNCTION("""COMPUTED_VALUE"""),"BBW")</f>
        <v>BBW</v>
      </c>
      <c r="F475" s="211" t="str">
        <f>IFERROR(__xludf.DUMMYFUNCTION("""COMPUTED_VALUE"""),"MSS Campaigns")</f>
        <v>MSS Campaigns</v>
      </c>
      <c r="G475" s="212" t="str">
        <f>IFERROR(__xludf.DUMMYFUNCTION("""COMPUTED_VALUE"""),"bbw_mss_17april_smsfb_churned2_offline")</f>
        <v>bbw_mss_17april_smsfb_churned2_offline</v>
      </c>
      <c r="H475" s="212" t="str">
        <f>IFERROR(__xludf.DUMMYFUNCTION("""COMPUTED_VALUE"""),"BBW_Churned_336_549D_Offline")</f>
        <v>BBW_Churned_336_549D_Offline</v>
      </c>
      <c r="I475" s="212" t="str">
        <f>IFERROR(__xludf.DUMMYFUNCTION("""COMPUTED_VALUE"""),"WA Undelivered")</f>
        <v>WA Undelivered</v>
      </c>
      <c r="J475" s="213">
        <f>IFERROR(__xludf.DUMMYFUNCTION("""COMPUTED_VALUE"""),81081.0)</f>
        <v>81081</v>
      </c>
      <c r="K475" s="213">
        <f>IFERROR(__xludf.DUMMYFUNCTION("""COMPUTED_VALUE"""),46131.0)</f>
        <v>46131</v>
      </c>
      <c r="L475" s="214">
        <f>IFERROR(__xludf.DUMMYFUNCTION("""COMPUTED_VALUE"""),0.5689)</f>
        <v>0.5689</v>
      </c>
      <c r="M475" s="214">
        <f>IFERROR(__xludf.DUMMYFUNCTION("""COMPUTED_VALUE"""),0.0)</f>
        <v>0</v>
      </c>
      <c r="N475" s="214">
        <f>IFERROR(__xludf.DUMMYFUNCTION("""COMPUTED_VALUE"""),0.0)</f>
        <v>0</v>
      </c>
      <c r="O475" s="213">
        <f>IFERROR(__xludf.DUMMYFUNCTION("""COMPUTED_VALUE"""),55.0)</f>
        <v>55</v>
      </c>
      <c r="P475" s="213">
        <f>IFERROR(__xludf.DUMMYFUNCTION("""COMPUTED_VALUE"""),0.0)</f>
        <v>0</v>
      </c>
      <c r="Q475" s="214">
        <f>IFERROR(__xludf.DUMMYFUNCTION("""COMPUTED_VALUE"""),0.0012)</f>
        <v>0.0012</v>
      </c>
      <c r="R475" s="214">
        <f>IFERROR(__xludf.DUMMYFUNCTION("""COMPUTED_VALUE"""),0.0)</f>
        <v>0</v>
      </c>
      <c r="S475" s="101">
        <f>IFERROR(__xludf.DUMMYFUNCTION("""COMPUTED_VALUE"""),3.0)</f>
        <v>3</v>
      </c>
      <c r="T475" s="101">
        <f>IFERROR(__xludf.DUMMYFUNCTION("""COMPUTED_VALUE"""),9.0)</f>
        <v>9</v>
      </c>
      <c r="U475" s="270">
        <f>IFERROR(__xludf.DUMMYFUNCTION("""COMPUTED_VALUE"""),5228.0)</f>
        <v>5228</v>
      </c>
      <c r="V475" s="271" t="str">
        <f>IFERROR(__xludf.DUMMYFUNCTION("""COMPUTED_VALUE"""),"offline")</f>
        <v>offline</v>
      </c>
      <c r="W475" s="272" t="str">
        <f>IFERROR(__xludf.DUMMYFUNCTION("""COMPUTED_VALUE"""),"sms")</f>
        <v>sms</v>
      </c>
      <c r="X475" s="272" t="str">
        <f>IFERROR(__xludf.DUMMYFUNCTION("""COMPUTED_VALUE"""),"Churned")</f>
        <v>Churned</v>
      </c>
      <c r="Y475" s="272" t="str">
        <f>IFERROR(__xludf.DUMMYFUNCTION("""COMPUTED_VALUE"""),"17 April")</f>
        <v>17 April</v>
      </c>
      <c r="Z475" s="272" t="str">
        <f>IFERROR(__xludf.DUMMYFUNCTION("""COMPUTED_VALUE"""),"69e20625b01d8abc031867fa")</f>
        <v>69e20625b01d8abc031867fa</v>
      </c>
      <c r="AA475" s="272">
        <f>IFERROR(__xludf.DUMMYFUNCTION("""COMPUTED_VALUE"""),19.0)</f>
        <v>19</v>
      </c>
      <c r="AB475" s="272"/>
      <c r="AC475" s="272">
        <f>IFERROR(__xludf.DUMMYFUNCTION("""COMPUTED_VALUE"""),19.0)</f>
        <v>19</v>
      </c>
      <c r="AD475" s="272">
        <f>IFERROR(__xludf.DUMMYFUNCTION("""COMPUTED_VALUE"""),85179.0)</f>
        <v>85179</v>
      </c>
      <c r="AE475" s="272"/>
      <c r="AF475" s="272">
        <f>IFERROR(__xludf.DUMMYFUNCTION("""COMPUTED_VALUE"""),85179.0)</f>
        <v>85179</v>
      </c>
      <c r="AG475" s="208"/>
      <c r="AH475" s="208"/>
      <c r="AI475" s="208"/>
      <c r="AJ475" s="208"/>
      <c r="AK475" s="208"/>
    </row>
    <row r="476" hidden="1">
      <c r="A476" s="209">
        <f>IFERROR(__xludf.DUMMYFUNCTION("""COMPUTED_VALUE"""),46130.0)</f>
        <v>46130</v>
      </c>
      <c r="B476" s="210">
        <f>IFERROR(__xludf.DUMMYFUNCTION("""COMPUTED_VALUE"""),0.375)</f>
        <v>0.375</v>
      </c>
      <c r="C476" s="211" t="str">
        <f>IFERROR(__xludf.DUMMYFUNCTION("""COMPUTED_VALUE"""),"Whatsapp")</f>
        <v>Whatsapp</v>
      </c>
      <c r="D476" s="211" t="str">
        <f>IFERROR(__xludf.DUMMYFUNCTION("""COMPUTED_VALUE"""),"Promtional")</f>
        <v>Promtional</v>
      </c>
      <c r="E476" s="211" t="str">
        <f>IFERROR(__xludf.DUMMYFUNCTION("""COMPUTED_VALUE"""),"BBW")</f>
        <v>BBW</v>
      </c>
      <c r="F476" s="211" t="str">
        <f>IFERROR(__xludf.DUMMYFUNCTION("""COMPUTED_VALUE"""),"MSS Campaigns")</f>
        <v>MSS Campaigns</v>
      </c>
      <c r="G476" s="212" t="str">
        <f>IFERROR(__xludf.DUMMYFUNCTION("""COMPUTED_VALUE"""),"bbw_mss_18april_wa_candles_online")</f>
        <v>bbw_mss_18april_wa_candles_online</v>
      </c>
      <c r="H476" s="212" t="str">
        <f>IFERROR(__xludf.DUMMYFUNCTION("""COMPUTED_VALUE"""),"BBW_ON_Candle_Cat")</f>
        <v>BBW_ON_Candle_Cat</v>
      </c>
      <c r="I476" s="212" t="str">
        <f>IFERROR(__xludf.DUMMYFUNCTION("""COMPUTED_VALUE"""),"Online Customers who have purchased from L3: Candles at least 1 time in the last 730 days OR purchased at least 2 times in the last 1095 days")</f>
        <v>Online Customers who have purchased from L3: Candles at least 1 time in the last 730 days OR purchased at least 2 times in the last 1095 days</v>
      </c>
      <c r="J476" s="213">
        <f>IFERROR(__xludf.DUMMYFUNCTION("""COMPUTED_VALUE"""),15866.0)</f>
        <v>15866</v>
      </c>
      <c r="K476" s="213">
        <f>IFERROR(__xludf.DUMMYFUNCTION("""COMPUTED_VALUE"""),7135.0)</f>
        <v>7135</v>
      </c>
      <c r="L476" s="214">
        <f>IFERROR(__xludf.DUMMYFUNCTION("""COMPUTED_VALUE"""),0.4497)</f>
        <v>0.4497</v>
      </c>
      <c r="M476" s="214">
        <f>IFERROR(__xludf.DUMMYFUNCTION("""COMPUTED_VALUE"""),2207.0)</f>
        <v>2207</v>
      </c>
      <c r="N476" s="214">
        <f>IFERROR(__xludf.DUMMYFUNCTION("""COMPUTED_VALUE"""),0.3093)</f>
        <v>0.3093</v>
      </c>
      <c r="O476" s="213">
        <f>IFERROR(__xludf.DUMMYFUNCTION("""COMPUTED_VALUE"""),355.0)</f>
        <v>355</v>
      </c>
      <c r="P476" s="213">
        <f>IFERROR(__xludf.DUMMYFUNCTION("""COMPUTED_VALUE"""),317.0)</f>
        <v>317</v>
      </c>
      <c r="Q476" s="214">
        <f>IFERROR(__xludf.DUMMYFUNCTION("""COMPUTED_VALUE"""),0.0444)</f>
        <v>0.0444</v>
      </c>
      <c r="R476" s="214">
        <f>IFERROR(__xludf.DUMMYFUNCTION("""COMPUTED_VALUE"""),0.1436)</f>
        <v>0.1436</v>
      </c>
      <c r="S476" s="101">
        <f>IFERROR(__xludf.DUMMYFUNCTION("""COMPUTED_VALUE"""),14.0)</f>
        <v>14</v>
      </c>
      <c r="T476" s="101">
        <f>IFERROR(__xludf.DUMMYFUNCTION("""COMPUTED_VALUE"""),38.0)</f>
        <v>38</v>
      </c>
      <c r="U476" s="270">
        <f>IFERROR(__xludf.DUMMYFUNCTION("""COMPUTED_VALUE"""),69915.0)</f>
        <v>69915</v>
      </c>
      <c r="V476" s="271" t="str">
        <f>IFERROR(__xludf.DUMMYFUNCTION("""COMPUTED_VALUE"""),"online")</f>
        <v>online</v>
      </c>
      <c r="W476" s="272" t="str">
        <f>IFERROR(__xludf.DUMMYFUNCTION("""COMPUTED_VALUE"""),"simple")</f>
        <v>simple</v>
      </c>
      <c r="X476" s="272" t="str">
        <f>IFERROR(__xludf.DUMMYFUNCTION("""COMPUTED_VALUE"""),"Category Specifc")</f>
        <v>Category Specifc</v>
      </c>
      <c r="Y476" s="272" t="str">
        <f>IFERROR(__xludf.DUMMYFUNCTION("""COMPUTED_VALUE"""),"18-20 April")</f>
        <v>18-20 April</v>
      </c>
      <c r="Z476" s="272" t="str">
        <f>IFERROR(__xludf.DUMMYFUNCTION("""COMPUTED_VALUE"""),"69df7dfa65243fe45c5b8873")</f>
        <v>69df7dfa65243fe45c5b8873</v>
      </c>
      <c r="AA476" s="272">
        <f>IFERROR(__xludf.DUMMYFUNCTION("""COMPUTED_VALUE"""),107.0)</f>
        <v>107</v>
      </c>
      <c r="AB476" s="272">
        <f>IFERROR(__xludf.DUMMYFUNCTION("""COMPUTED_VALUE"""),107.0)</f>
        <v>107</v>
      </c>
      <c r="AC476" s="272"/>
      <c r="AD476" s="272">
        <f>IFERROR(__xludf.DUMMYFUNCTION("""COMPUTED_VALUE"""),394035.0)</f>
        <v>394035</v>
      </c>
      <c r="AE476" s="272">
        <f>IFERROR(__xludf.DUMMYFUNCTION("""COMPUTED_VALUE"""),394035.0)</f>
        <v>394035</v>
      </c>
      <c r="AF476" s="272"/>
      <c r="AG476" s="208"/>
      <c r="AH476" s="208"/>
      <c r="AI476" s="208"/>
      <c r="AJ476" s="208"/>
      <c r="AK476" s="208"/>
    </row>
    <row r="477" hidden="1">
      <c r="A477" s="209">
        <f>IFERROR(__xludf.DUMMYFUNCTION("""COMPUTED_VALUE"""),46130.0)</f>
        <v>46130</v>
      </c>
      <c r="B477" s="210">
        <f>IFERROR(__xludf.DUMMYFUNCTION("""COMPUTED_VALUE"""),0.375)</f>
        <v>0.375</v>
      </c>
      <c r="C477" s="211" t="str">
        <f>IFERROR(__xludf.DUMMYFUNCTION("""COMPUTED_VALUE"""),"Whatsapp")</f>
        <v>Whatsapp</v>
      </c>
      <c r="D477" s="211" t="str">
        <f>IFERROR(__xludf.DUMMYFUNCTION("""COMPUTED_VALUE"""),"Promtional")</f>
        <v>Promtional</v>
      </c>
      <c r="E477" s="211" t="str">
        <f>IFERROR(__xludf.DUMMYFUNCTION("""COMPUTED_VALUE"""),"BBW")</f>
        <v>BBW</v>
      </c>
      <c r="F477" s="211" t="str">
        <f>IFERROR(__xludf.DUMMYFUNCTION("""COMPUTED_VALUE"""),"MSS Campaigns")</f>
        <v>MSS Campaigns</v>
      </c>
      <c r="G477" s="212" t="str">
        <f>IFERROR(__xludf.DUMMYFUNCTION("""COMPUTED_VALUE"""),"bbw_mss_18april_wa_mists_online")</f>
        <v>bbw_mss_18april_wa_mists_online</v>
      </c>
      <c r="H477" s="212" t="str">
        <f>IFERROR(__xludf.DUMMYFUNCTION("""COMPUTED_VALUE"""),"BBW_ON_Mist_Cat")</f>
        <v>BBW_ON_Mist_Cat</v>
      </c>
      <c r="I477" s="212" t="str">
        <f>IFERROR(__xludf.DUMMYFUNCTION("""COMPUTED_VALUE"""),"Online Customers who have purchased from L3: Mist at least 1 time in the last 365 days OR purchased at least 2 times in the last 1095 days")</f>
        <v>Online Customers who have purchased from L3: Mist at least 1 time in the last 365 days OR purchased at least 2 times in the last 1095 days</v>
      </c>
      <c r="J477" s="213">
        <f>IFERROR(__xludf.DUMMYFUNCTION("""COMPUTED_VALUE"""),54353.0)</f>
        <v>54353</v>
      </c>
      <c r="K477" s="213">
        <f>IFERROR(__xludf.DUMMYFUNCTION("""COMPUTED_VALUE"""),25318.0)</f>
        <v>25318</v>
      </c>
      <c r="L477" s="214">
        <f>IFERROR(__xludf.DUMMYFUNCTION("""COMPUTED_VALUE"""),0.4657)</f>
        <v>0.4657</v>
      </c>
      <c r="M477" s="214">
        <f>IFERROR(__xludf.DUMMYFUNCTION("""COMPUTED_VALUE"""),9939.0)</f>
        <v>9939</v>
      </c>
      <c r="N477" s="214">
        <f>IFERROR(__xludf.DUMMYFUNCTION("""COMPUTED_VALUE"""),0.3926)</f>
        <v>0.3926</v>
      </c>
      <c r="O477" s="213">
        <f>IFERROR(__xludf.DUMMYFUNCTION("""COMPUTED_VALUE"""),1203.0)</f>
        <v>1203</v>
      </c>
      <c r="P477" s="213">
        <f>IFERROR(__xludf.DUMMYFUNCTION("""COMPUTED_VALUE"""),1100.0)</f>
        <v>1100</v>
      </c>
      <c r="Q477" s="214">
        <f>IFERROR(__xludf.DUMMYFUNCTION("""COMPUTED_VALUE"""),0.0435)</f>
        <v>0.0435</v>
      </c>
      <c r="R477" s="214">
        <f>IFERROR(__xludf.DUMMYFUNCTION("""COMPUTED_VALUE"""),0.1107)</f>
        <v>0.1107</v>
      </c>
      <c r="S477" s="101">
        <f>IFERROR(__xludf.DUMMYFUNCTION("""COMPUTED_VALUE"""),27.0)</f>
        <v>27</v>
      </c>
      <c r="T477" s="101">
        <f>IFERROR(__xludf.DUMMYFUNCTION("""COMPUTED_VALUE"""),84.0)</f>
        <v>84</v>
      </c>
      <c r="U477" s="270">
        <f>IFERROR(__xludf.DUMMYFUNCTION("""COMPUTED_VALUE"""),60613.0)</f>
        <v>60613</v>
      </c>
      <c r="V477" s="271" t="str">
        <f>IFERROR(__xludf.DUMMYFUNCTION("""COMPUTED_VALUE"""),"online")</f>
        <v>online</v>
      </c>
      <c r="W477" s="272" t="str">
        <f>IFERROR(__xludf.DUMMYFUNCTION("""COMPUTED_VALUE"""),"simple")</f>
        <v>simple</v>
      </c>
      <c r="X477" s="272" t="str">
        <f>IFERROR(__xludf.DUMMYFUNCTION("""COMPUTED_VALUE"""),"Category Specifc")</f>
        <v>Category Specifc</v>
      </c>
      <c r="Y477" s="272" t="str">
        <f>IFERROR(__xludf.DUMMYFUNCTION("""COMPUTED_VALUE"""),"18-20 April")</f>
        <v>18-20 April</v>
      </c>
      <c r="Z477" s="272" t="str">
        <f>IFERROR(__xludf.DUMMYFUNCTION("""COMPUTED_VALUE"""),"69df7e77f5ce141c51f6f441")</f>
        <v>69df7e77f5ce141c51f6f441</v>
      </c>
      <c r="AA477" s="272">
        <f>IFERROR(__xludf.DUMMYFUNCTION("""COMPUTED_VALUE"""),140.0)</f>
        <v>140</v>
      </c>
      <c r="AB477" s="272">
        <f>IFERROR(__xludf.DUMMYFUNCTION("""COMPUTED_VALUE"""),140.0)</f>
        <v>140</v>
      </c>
      <c r="AC477" s="272"/>
      <c r="AD477" s="272">
        <f>IFERROR(__xludf.DUMMYFUNCTION("""COMPUTED_VALUE"""),310528.0)</f>
        <v>310528</v>
      </c>
      <c r="AE477" s="272">
        <f>IFERROR(__xludf.DUMMYFUNCTION("""COMPUTED_VALUE"""),310528.0)</f>
        <v>310528</v>
      </c>
      <c r="AF477" s="272"/>
      <c r="AG477" s="208"/>
      <c r="AH477" s="208"/>
      <c r="AI477" s="208"/>
      <c r="AJ477" s="208"/>
      <c r="AK477" s="208"/>
    </row>
    <row r="478" hidden="1">
      <c r="A478" s="209">
        <f>IFERROR(__xludf.DUMMYFUNCTION("""COMPUTED_VALUE"""),46130.0)</f>
        <v>46130</v>
      </c>
      <c r="B478" s="210">
        <f>IFERROR(__xludf.DUMMYFUNCTION("""COMPUTED_VALUE"""),0.375)</f>
        <v>0.375</v>
      </c>
      <c r="C478" s="211" t="str">
        <f>IFERROR(__xludf.DUMMYFUNCTION("""COMPUTED_VALUE"""),"Whatsapp")</f>
        <v>Whatsapp</v>
      </c>
      <c r="D478" s="211" t="str">
        <f>IFERROR(__xludf.DUMMYFUNCTION("""COMPUTED_VALUE"""),"Promtional")</f>
        <v>Promtional</v>
      </c>
      <c r="E478" s="211" t="str">
        <f>IFERROR(__xludf.DUMMYFUNCTION("""COMPUTED_VALUE"""),"BBW")</f>
        <v>BBW</v>
      </c>
      <c r="F478" s="211" t="str">
        <f>IFERROR(__xludf.DUMMYFUNCTION("""COMPUTED_VALUE"""),"MSS Campaigns")</f>
        <v>MSS Campaigns</v>
      </c>
      <c r="G478" s="212" t="str">
        <f>IFERROR(__xludf.DUMMYFUNCTION("""COMPUTED_VALUE"""),"bbw_mss_18april_wa_showergels_online")</f>
        <v>bbw_mss_18april_wa_showergels_online</v>
      </c>
      <c r="H478" s="212" t="str">
        <f>IFERROR(__xludf.DUMMYFUNCTION("""COMPUTED_VALUE"""),"BBW_ON_Liq_Soap_Cat")</f>
        <v>BBW_ON_Liq_Soap_Cat</v>
      </c>
      <c r="I478" s="212" t="str">
        <f>IFERROR(__xludf.DUMMYFUNCTION("""COMPUTED_VALUE"""),"Online Customers who have purchased from L3: Liquid Soap at least 1 time in the last 180 days OR purchased at least 2 times in the last 1095 days")</f>
        <v>Online Customers who have purchased from L3: Liquid Soap at least 1 time in the last 180 days OR purchased at least 2 times in the last 1095 days</v>
      </c>
      <c r="J478" s="213">
        <f>IFERROR(__xludf.DUMMYFUNCTION("""COMPUTED_VALUE"""),6795.0)</f>
        <v>6795</v>
      </c>
      <c r="K478" s="213">
        <f>IFERROR(__xludf.DUMMYFUNCTION("""COMPUTED_VALUE"""),2968.0)</f>
        <v>2968</v>
      </c>
      <c r="L478" s="214">
        <f>IFERROR(__xludf.DUMMYFUNCTION("""COMPUTED_VALUE"""),0.4368)</f>
        <v>0.4368</v>
      </c>
      <c r="M478" s="214">
        <f>IFERROR(__xludf.DUMMYFUNCTION("""COMPUTED_VALUE"""),1226.0)</f>
        <v>1226</v>
      </c>
      <c r="N478" s="214">
        <f>IFERROR(__xludf.DUMMYFUNCTION("""COMPUTED_VALUE"""),0.4131)</f>
        <v>0.4131</v>
      </c>
      <c r="O478" s="213">
        <f>IFERROR(__xludf.DUMMYFUNCTION("""COMPUTED_VALUE"""),173.0)</f>
        <v>173</v>
      </c>
      <c r="P478" s="213">
        <f>IFERROR(__xludf.DUMMYFUNCTION("""COMPUTED_VALUE"""),160.0)</f>
        <v>160</v>
      </c>
      <c r="Q478" s="214">
        <f>IFERROR(__xludf.DUMMYFUNCTION("""COMPUTED_VALUE"""),0.0539)</f>
        <v>0.0539</v>
      </c>
      <c r="R478" s="214">
        <f>IFERROR(__xludf.DUMMYFUNCTION("""COMPUTED_VALUE"""),0.1305)</f>
        <v>0.1305</v>
      </c>
      <c r="S478" s="101">
        <f>IFERROR(__xludf.DUMMYFUNCTION("""COMPUTED_VALUE"""),5.0)</f>
        <v>5</v>
      </c>
      <c r="T478" s="101">
        <f>IFERROR(__xludf.DUMMYFUNCTION("""COMPUTED_VALUE"""),12.0)</f>
        <v>12</v>
      </c>
      <c r="U478" s="270">
        <f>IFERROR(__xludf.DUMMYFUNCTION("""COMPUTED_VALUE"""),18388.0)</f>
        <v>18388</v>
      </c>
      <c r="V478" s="271" t="str">
        <f>IFERROR(__xludf.DUMMYFUNCTION("""COMPUTED_VALUE"""),"online")</f>
        <v>online</v>
      </c>
      <c r="W478" s="272" t="str">
        <f>IFERROR(__xludf.DUMMYFUNCTION("""COMPUTED_VALUE"""),"simple")</f>
        <v>simple</v>
      </c>
      <c r="X478" s="272" t="str">
        <f>IFERROR(__xludf.DUMMYFUNCTION("""COMPUTED_VALUE"""),"Category Specifc")</f>
        <v>Category Specifc</v>
      </c>
      <c r="Y478" s="272" t="str">
        <f>IFERROR(__xludf.DUMMYFUNCTION("""COMPUTED_VALUE"""),"18-20 April")</f>
        <v>18-20 April</v>
      </c>
      <c r="Z478" s="272" t="str">
        <f>IFERROR(__xludf.DUMMYFUNCTION("""COMPUTED_VALUE"""),"69df7ea091fca74bb9df8740")</f>
        <v>69df7ea091fca74bb9df8740</v>
      </c>
      <c r="AA478" s="272">
        <f>IFERROR(__xludf.DUMMYFUNCTION("""COMPUTED_VALUE"""),50.0)</f>
        <v>50</v>
      </c>
      <c r="AB478" s="272">
        <f>IFERROR(__xludf.DUMMYFUNCTION("""COMPUTED_VALUE"""),50.0)</f>
        <v>50</v>
      </c>
      <c r="AC478" s="272"/>
      <c r="AD478" s="272">
        <f>IFERROR(__xludf.DUMMYFUNCTION("""COMPUTED_VALUE"""),133517.0)</f>
        <v>133517</v>
      </c>
      <c r="AE478" s="272">
        <f>IFERROR(__xludf.DUMMYFUNCTION("""COMPUTED_VALUE"""),133517.0)</f>
        <v>133517</v>
      </c>
      <c r="AF478" s="272"/>
      <c r="AG478" s="208"/>
      <c r="AH478" s="208"/>
      <c r="AI478" s="208"/>
      <c r="AJ478" s="208"/>
      <c r="AK478" s="208"/>
    </row>
    <row r="479" hidden="1">
      <c r="A479" s="209">
        <f>IFERROR(__xludf.DUMMYFUNCTION("""COMPUTED_VALUE"""),46130.0)</f>
        <v>46130</v>
      </c>
      <c r="B479" s="210">
        <f>IFERROR(__xludf.DUMMYFUNCTION("""COMPUTED_VALUE"""),0.375)</f>
        <v>0.375</v>
      </c>
      <c r="C479" s="211" t="str">
        <f>IFERROR(__xludf.DUMMYFUNCTION("""COMPUTED_VALUE"""),"Whatsapp")</f>
        <v>Whatsapp</v>
      </c>
      <c r="D479" s="211" t="str">
        <f>IFERROR(__xludf.DUMMYFUNCTION("""COMPUTED_VALUE"""),"Promtional")</f>
        <v>Promtional</v>
      </c>
      <c r="E479" s="211" t="str">
        <f>IFERROR(__xludf.DUMMYFUNCTION("""COMPUTED_VALUE"""),"BBW")</f>
        <v>BBW</v>
      </c>
      <c r="F479" s="211" t="str">
        <f>IFERROR(__xludf.DUMMYFUNCTION("""COMPUTED_VALUE"""),"MSS Campaigns")</f>
        <v>MSS Campaigns</v>
      </c>
      <c r="G479" s="212" t="str">
        <f>IFERROR(__xludf.DUMMYFUNCTION("""COMPUTED_VALUE"""),"bbw_mss_18april_wa_handsoaps_online")</f>
        <v>bbw_mss_18april_wa_handsoaps_online</v>
      </c>
      <c r="H479" s="212" t="str">
        <f>IFERROR(__xludf.DUMMYFUNCTION("""COMPUTED_VALUE"""),"BBW_ON_Shower_Gel_Cat")</f>
        <v>BBW_ON_Shower_Gel_Cat</v>
      </c>
      <c r="I479" s="212" t="str">
        <f>IFERROR(__xludf.DUMMYFUNCTION("""COMPUTED_VALUE"""),"Online Customers who have purchased from L3: Shower Gel at least 1 time in the last 180 days OR purchased at least 2 times in the last 1095 days")</f>
        <v>Online Customers who have purchased from L3: Shower Gel at least 1 time in the last 180 days OR purchased at least 2 times in the last 1095 days</v>
      </c>
      <c r="J479" s="213">
        <f>IFERROR(__xludf.DUMMYFUNCTION("""COMPUTED_VALUE"""),15303.0)</f>
        <v>15303</v>
      </c>
      <c r="K479" s="213">
        <f>IFERROR(__xludf.DUMMYFUNCTION("""COMPUTED_VALUE"""),7534.0)</f>
        <v>7534</v>
      </c>
      <c r="L479" s="214">
        <f>IFERROR(__xludf.DUMMYFUNCTION("""COMPUTED_VALUE"""),0.4923)</f>
        <v>0.4923</v>
      </c>
      <c r="M479" s="214">
        <f>IFERROR(__xludf.DUMMYFUNCTION("""COMPUTED_VALUE"""),3222.0)</f>
        <v>3222</v>
      </c>
      <c r="N479" s="214">
        <f>IFERROR(__xludf.DUMMYFUNCTION("""COMPUTED_VALUE"""),0.4275)</f>
        <v>0.4275</v>
      </c>
      <c r="O479" s="213">
        <f>IFERROR(__xludf.DUMMYFUNCTION("""COMPUTED_VALUE"""),274.0)</f>
        <v>274</v>
      </c>
      <c r="P479" s="213">
        <f>IFERROR(__xludf.DUMMYFUNCTION("""COMPUTED_VALUE"""),255.0)</f>
        <v>255</v>
      </c>
      <c r="Q479" s="214">
        <f>IFERROR(__xludf.DUMMYFUNCTION("""COMPUTED_VALUE"""),0.0338)</f>
        <v>0.0338</v>
      </c>
      <c r="R479" s="214">
        <f>IFERROR(__xludf.DUMMYFUNCTION("""COMPUTED_VALUE"""),0.0792)</f>
        <v>0.0792</v>
      </c>
      <c r="S479" s="101">
        <f>IFERROR(__xludf.DUMMYFUNCTION("""COMPUTED_VALUE"""),9.0)</f>
        <v>9</v>
      </c>
      <c r="T479" s="101">
        <f>IFERROR(__xludf.DUMMYFUNCTION("""COMPUTED_VALUE"""),34.0)</f>
        <v>34</v>
      </c>
      <c r="U479" s="270">
        <f>IFERROR(__xludf.DUMMYFUNCTION("""COMPUTED_VALUE"""),21395.0)</f>
        <v>21395</v>
      </c>
      <c r="V479" s="271" t="str">
        <f>IFERROR(__xludf.DUMMYFUNCTION("""COMPUTED_VALUE"""),"online")</f>
        <v>online</v>
      </c>
      <c r="W479" s="272" t="str">
        <f>IFERROR(__xludf.DUMMYFUNCTION("""COMPUTED_VALUE"""),"simple")</f>
        <v>simple</v>
      </c>
      <c r="X479" s="272" t="str">
        <f>IFERROR(__xludf.DUMMYFUNCTION("""COMPUTED_VALUE"""),"Category Specifc")</f>
        <v>Category Specifc</v>
      </c>
      <c r="Y479" s="272" t="str">
        <f>IFERROR(__xludf.DUMMYFUNCTION("""COMPUTED_VALUE"""),"18-20 April")</f>
        <v>18-20 April</v>
      </c>
      <c r="Z479" s="272" t="str">
        <f>IFERROR(__xludf.DUMMYFUNCTION("""COMPUTED_VALUE"""),"69df7ee9fbd0b8fcf8d7ef3e")</f>
        <v>69df7ee9fbd0b8fcf8d7ef3e</v>
      </c>
      <c r="AA479" s="272">
        <f>IFERROR(__xludf.DUMMYFUNCTION("""COMPUTED_VALUE"""),68.0)</f>
        <v>68</v>
      </c>
      <c r="AB479" s="272">
        <f>IFERROR(__xludf.DUMMYFUNCTION("""COMPUTED_VALUE"""),68.0)</f>
        <v>68</v>
      </c>
      <c r="AC479" s="272"/>
      <c r="AD479" s="272">
        <f>IFERROR(__xludf.DUMMYFUNCTION("""COMPUTED_VALUE"""),157891.0)</f>
        <v>157891</v>
      </c>
      <c r="AE479" s="272">
        <f>IFERROR(__xludf.DUMMYFUNCTION("""COMPUTED_VALUE"""),157891.0)</f>
        <v>157891</v>
      </c>
      <c r="AF479" s="272"/>
      <c r="AG479" s="208"/>
      <c r="AH479" s="208"/>
      <c r="AI479" s="208"/>
      <c r="AJ479" s="208"/>
      <c r="AK479" s="208"/>
    </row>
    <row r="480" hidden="1">
      <c r="A480" s="209">
        <f>IFERROR(__xludf.DUMMYFUNCTION("""COMPUTED_VALUE"""),46130.0)</f>
        <v>46130</v>
      </c>
      <c r="B480" s="210">
        <f>IFERROR(__xludf.DUMMYFUNCTION("""COMPUTED_VALUE"""),0.375)</f>
        <v>0.375</v>
      </c>
      <c r="C480" s="211" t="str">
        <f>IFERROR(__xludf.DUMMYFUNCTION("""COMPUTED_VALUE"""),"Whatsapp")</f>
        <v>Whatsapp</v>
      </c>
      <c r="D480" s="211" t="str">
        <f>IFERROR(__xludf.DUMMYFUNCTION("""COMPUTED_VALUE"""),"Promtional")</f>
        <v>Promtional</v>
      </c>
      <c r="E480" s="211" t="str">
        <f>IFERROR(__xludf.DUMMYFUNCTION("""COMPUTED_VALUE"""),"BBW")</f>
        <v>BBW</v>
      </c>
      <c r="F480" s="211" t="str">
        <f>IFERROR(__xludf.DUMMYFUNCTION("""COMPUTED_VALUE"""),"MSS Campaigns")</f>
        <v>MSS Campaigns</v>
      </c>
      <c r="G480" s="212" t="str">
        <f>IFERROR(__xludf.DUMMYFUNCTION("""COMPUTED_VALUE"""),"bbw_mss_18april_wa_travelsize_online")</f>
        <v>bbw_mss_18april_wa_travelsize_online</v>
      </c>
      <c r="H480" s="212" t="str">
        <f>IFERROR(__xludf.DUMMYFUNCTION("""COMPUTED_VALUE"""),"BBW_ON_Travel_Size_Cat")</f>
        <v>BBW_ON_Travel_Size_Cat</v>
      </c>
      <c r="I480" s="212" t="str">
        <f>IFERROR(__xludf.DUMMYFUNCTION("""COMPUTED_VALUE"""),"Online Customers who have purchased from L2: Travel Size at least 1 time in the last 365 days OR purchased at least 2 times in the last 1095 days")</f>
        <v>Online Customers who have purchased from L2: Travel Size at least 1 time in the last 365 days OR purchased at least 2 times in the last 1095 days</v>
      </c>
      <c r="J480" s="213">
        <f>IFERROR(__xludf.DUMMYFUNCTION("""COMPUTED_VALUE"""),4193.0)</f>
        <v>4193</v>
      </c>
      <c r="K480" s="213">
        <f>IFERROR(__xludf.DUMMYFUNCTION("""COMPUTED_VALUE"""),2275.0)</f>
        <v>2275</v>
      </c>
      <c r="L480" s="214">
        <f>IFERROR(__xludf.DUMMYFUNCTION("""COMPUTED_VALUE"""),0.5426)</f>
        <v>0.5426</v>
      </c>
      <c r="M480" s="214">
        <f>IFERROR(__xludf.DUMMYFUNCTION("""COMPUTED_VALUE"""),887.0)</f>
        <v>887</v>
      </c>
      <c r="N480" s="214">
        <f>IFERROR(__xludf.DUMMYFUNCTION("""COMPUTED_VALUE"""),0.3899)</f>
        <v>0.3899</v>
      </c>
      <c r="O480" s="213">
        <f>IFERROR(__xludf.DUMMYFUNCTION("""COMPUTED_VALUE"""),108.0)</f>
        <v>108</v>
      </c>
      <c r="P480" s="213">
        <f>IFERROR(__xludf.DUMMYFUNCTION("""COMPUTED_VALUE"""),81.0)</f>
        <v>81</v>
      </c>
      <c r="Q480" s="214">
        <f>IFERROR(__xludf.DUMMYFUNCTION("""COMPUTED_VALUE"""),0.0356)</f>
        <v>0.0356</v>
      </c>
      <c r="R480" s="214">
        <f>IFERROR(__xludf.DUMMYFUNCTION("""COMPUTED_VALUE"""),0.0913)</f>
        <v>0.0913</v>
      </c>
      <c r="S480" s="101">
        <f>IFERROR(__xludf.DUMMYFUNCTION("""COMPUTED_VALUE"""),2.0)</f>
        <v>2</v>
      </c>
      <c r="T480" s="101">
        <f>IFERROR(__xludf.DUMMYFUNCTION("""COMPUTED_VALUE"""),7.0)</f>
        <v>7</v>
      </c>
      <c r="U480" s="270">
        <f>IFERROR(__xludf.DUMMYFUNCTION("""COMPUTED_VALUE"""),1178.0)</f>
        <v>1178</v>
      </c>
      <c r="V480" s="271" t="str">
        <f>IFERROR(__xludf.DUMMYFUNCTION("""COMPUTED_VALUE"""),"online")</f>
        <v>online</v>
      </c>
      <c r="W480" s="272" t="str">
        <f>IFERROR(__xludf.DUMMYFUNCTION("""COMPUTED_VALUE"""),"simple")</f>
        <v>simple</v>
      </c>
      <c r="X480" s="272" t="str">
        <f>IFERROR(__xludf.DUMMYFUNCTION("""COMPUTED_VALUE"""),"Category Specifc")</f>
        <v>Category Specifc</v>
      </c>
      <c r="Y480" s="272" t="str">
        <f>IFERROR(__xludf.DUMMYFUNCTION("""COMPUTED_VALUE"""),"18-20 April")</f>
        <v>18-20 April</v>
      </c>
      <c r="Z480" s="272" t="str">
        <f>IFERROR(__xludf.DUMMYFUNCTION("""COMPUTED_VALUE"""),"69df7f17e370fdcaeece460e")</f>
        <v>69df7f17e370fdcaeece460e</v>
      </c>
      <c r="AA480" s="272">
        <f>IFERROR(__xludf.DUMMYFUNCTION("""COMPUTED_VALUE"""),20.0)</f>
        <v>20</v>
      </c>
      <c r="AB480" s="272">
        <f>IFERROR(__xludf.DUMMYFUNCTION("""COMPUTED_VALUE"""),20.0)</f>
        <v>20</v>
      </c>
      <c r="AC480" s="272"/>
      <c r="AD480" s="272">
        <f>IFERROR(__xludf.DUMMYFUNCTION("""COMPUTED_VALUE"""),43752.0)</f>
        <v>43752</v>
      </c>
      <c r="AE480" s="272">
        <f>IFERROR(__xludf.DUMMYFUNCTION("""COMPUTED_VALUE"""),43752.0)</f>
        <v>43752</v>
      </c>
      <c r="AF480" s="272"/>
      <c r="AG480" s="208"/>
      <c r="AH480" s="208"/>
      <c r="AI480" s="208"/>
      <c r="AJ480" s="208"/>
      <c r="AK480" s="208"/>
    </row>
    <row r="481" hidden="1">
      <c r="A481" s="209">
        <f>IFERROR(__xludf.DUMMYFUNCTION("""COMPUTED_VALUE"""),46130.0)</f>
        <v>46130</v>
      </c>
      <c r="B481" s="210">
        <f>IFERROR(__xludf.DUMMYFUNCTION("""COMPUTED_VALUE"""),0.7708333333321207)</f>
        <v>0.7708333333</v>
      </c>
      <c r="C481" s="211" t="str">
        <f>IFERROR(__xludf.DUMMYFUNCTION("""COMPUTED_VALUE"""),"Whatsapp")</f>
        <v>Whatsapp</v>
      </c>
      <c r="D481" s="211" t="str">
        <f>IFERROR(__xludf.DUMMYFUNCTION("""COMPUTED_VALUE"""),"Promtional")</f>
        <v>Promtional</v>
      </c>
      <c r="E481" s="211" t="str">
        <f>IFERROR(__xludf.DUMMYFUNCTION("""COMPUTED_VALUE"""),"BBW")</f>
        <v>BBW</v>
      </c>
      <c r="F481" s="211" t="str">
        <f>IFERROR(__xludf.DUMMYFUNCTION("""COMPUTED_VALUE"""),"MSS Campaigns")</f>
        <v>MSS Campaigns</v>
      </c>
      <c r="G481" s="212" t="str">
        <f>IFERROR(__xludf.DUMMYFUNCTION("""COMPUTED_VALUE"""),"bbw_mss_18april_wa_lastreminder_active_offline")</f>
        <v>bbw_mss_18april_wa_lastreminder_active_offline</v>
      </c>
      <c r="H481" s="212" t="str">
        <f>IFERROR(__xludf.DUMMYFUNCTION("""COMPUTED_VALUE"""),"BBW_Active_Base_Offline")</f>
        <v>BBW_Active_Base_Offline</v>
      </c>
      <c r="I481" s="212" t="str">
        <f>IFERROR(__xludf.DUMMYFUNCTION("""COMPUTED_VALUE"""),"Offline Customers who have purchased in TTR (110 days)")</f>
        <v>Offline Customers who have purchased in TTR (110 days)</v>
      </c>
      <c r="J481" s="213">
        <f>IFERROR(__xludf.DUMMYFUNCTION("""COMPUTED_VALUE"""),129927.0)</f>
        <v>129927</v>
      </c>
      <c r="K481" s="213">
        <f>IFERROR(__xludf.DUMMYFUNCTION("""COMPUTED_VALUE"""),51187.0)</f>
        <v>51187</v>
      </c>
      <c r="L481" s="214">
        <f>IFERROR(__xludf.DUMMYFUNCTION("""COMPUTED_VALUE"""),0.3939)</f>
        <v>0.3939</v>
      </c>
      <c r="M481" s="214">
        <f>IFERROR(__xludf.DUMMYFUNCTION("""COMPUTED_VALUE"""),19238.0)</f>
        <v>19238</v>
      </c>
      <c r="N481" s="214">
        <f>IFERROR(__xludf.DUMMYFUNCTION("""COMPUTED_VALUE"""),0.3759)</f>
        <v>0.3759</v>
      </c>
      <c r="O481" s="213">
        <f>IFERROR(__xludf.DUMMYFUNCTION("""COMPUTED_VALUE"""),2174.0)</f>
        <v>2174</v>
      </c>
      <c r="P481" s="213">
        <f>IFERROR(__xludf.DUMMYFUNCTION("""COMPUTED_VALUE"""),1991.0)</f>
        <v>1991</v>
      </c>
      <c r="Q481" s="214">
        <f>IFERROR(__xludf.DUMMYFUNCTION("""COMPUTED_VALUE"""),0.0389)</f>
        <v>0.0389</v>
      </c>
      <c r="R481" s="214">
        <f>IFERROR(__xludf.DUMMYFUNCTION("""COMPUTED_VALUE"""),0.1035)</f>
        <v>0.1035</v>
      </c>
      <c r="S481" s="101">
        <f>IFERROR(__xludf.DUMMYFUNCTION("""COMPUTED_VALUE"""),11.0)</f>
        <v>11</v>
      </c>
      <c r="T481" s="101">
        <f>IFERROR(__xludf.DUMMYFUNCTION("""COMPUTED_VALUE"""),30.0)</f>
        <v>30</v>
      </c>
      <c r="U481" s="270">
        <f>IFERROR(__xludf.DUMMYFUNCTION("""COMPUTED_VALUE"""),29900.0)</f>
        <v>29900</v>
      </c>
      <c r="V481" s="271" t="str">
        <f>IFERROR(__xludf.DUMMYFUNCTION("""COMPUTED_VALUE"""),"offline")</f>
        <v>offline</v>
      </c>
      <c r="W481" s="272" t="str">
        <f>IFERROR(__xludf.DUMMYFUNCTION("""COMPUTED_VALUE"""),"simple")</f>
        <v>simple</v>
      </c>
      <c r="X481" s="272" t="str">
        <f>IFERROR(__xludf.DUMMYFUNCTION("""COMPUTED_VALUE"""),"Active")</f>
        <v>Active</v>
      </c>
      <c r="Y481" s="272" t="str">
        <f>IFERROR(__xludf.DUMMYFUNCTION("""COMPUTED_VALUE"""),"18-20 April")</f>
        <v>18-20 April</v>
      </c>
      <c r="Z481" s="272" t="str">
        <f>IFERROR(__xludf.DUMMYFUNCTION("""COMPUTED_VALUE"""),"69e0b11337a3bed3b9a409c7")</f>
        <v>69e0b11337a3bed3b9a409c7</v>
      </c>
      <c r="AA481" s="272">
        <f>IFERROR(__xludf.DUMMYFUNCTION("""COMPUTED_VALUE"""),299.0)</f>
        <v>299</v>
      </c>
      <c r="AB481" s="272"/>
      <c r="AC481" s="272">
        <f>IFERROR(__xludf.DUMMYFUNCTION("""COMPUTED_VALUE"""),299.0)</f>
        <v>299</v>
      </c>
      <c r="AD481" s="272">
        <f>IFERROR(__xludf.DUMMYFUNCTION("""COMPUTED_VALUE"""),1124941.0)</f>
        <v>1124941</v>
      </c>
      <c r="AE481" s="272"/>
      <c r="AF481" s="272">
        <f>IFERROR(__xludf.DUMMYFUNCTION("""COMPUTED_VALUE"""),1124941.0)</f>
        <v>1124941</v>
      </c>
      <c r="AG481" s="208"/>
      <c r="AH481" s="208"/>
      <c r="AI481" s="208"/>
      <c r="AJ481" s="208"/>
      <c r="AK481" s="208"/>
    </row>
    <row r="482" hidden="1">
      <c r="A482" s="209">
        <f>IFERROR(__xludf.DUMMYFUNCTION("""COMPUTED_VALUE"""),46130.0)</f>
        <v>46130</v>
      </c>
      <c r="B482" s="210">
        <f>IFERROR(__xludf.DUMMYFUNCTION("""COMPUTED_VALUE"""),0.7708333333321207)</f>
        <v>0.7708333333</v>
      </c>
      <c r="C482" s="211" t="str">
        <f>IFERROR(__xludf.DUMMYFUNCTION("""COMPUTED_VALUE"""),"Whatsapp")</f>
        <v>Whatsapp</v>
      </c>
      <c r="D482" s="211" t="str">
        <f>IFERROR(__xludf.DUMMYFUNCTION("""COMPUTED_VALUE"""),"Promtional")</f>
        <v>Promtional</v>
      </c>
      <c r="E482" s="211" t="str">
        <f>IFERROR(__xludf.DUMMYFUNCTION("""COMPUTED_VALUE"""),"BBW")</f>
        <v>BBW</v>
      </c>
      <c r="F482" s="211" t="str">
        <f>IFERROR(__xludf.DUMMYFUNCTION("""COMPUTED_VALUE"""),"MSS Campaigns")</f>
        <v>MSS Campaigns</v>
      </c>
      <c r="G482" s="212" t="str">
        <f>IFERROR(__xludf.DUMMYFUNCTION("""COMPUTED_VALUE"""),"bbw_mss_18april_wa_lastreminder_dormant_offline")</f>
        <v>bbw_mss_18april_wa_lastreminder_dormant_offline</v>
      </c>
      <c r="H482" s="212" t="str">
        <f>IFERROR(__xludf.DUMMYFUNCTION("""COMPUTED_VALUE"""),"BBW_Dormant_6M_Offline")</f>
        <v>BBW_Dormant_6M_Offline</v>
      </c>
      <c r="I482" s="212" t="str">
        <f>IFERROR(__xludf.DUMMYFUNCTION("""COMPUTED_VALUE"""),"Offline Customers who have purchased in the last 180 days excl. BBW_Active_Base_Offline")</f>
        <v>Offline Customers who have purchased in the last 180 days excl. BBW_Active_Base_Offline</v>
      </c>
      <c r="J482" s="213">
        <f>IFERROR(__xludf.DUMMYFUNCTION("""COMPUTED_VALUE"""),105165.0)</f>
        <v>105165</v>
      </c>
      <c r="K482" s="213">
        <f>IFERROR(__xludf.DUMMYFUNCTION("""COMPUTED_VALUE"""),41058.0)</f>
        <v>41058</v>
      </c>
      <c r="L482" s="214">
        <f>IFERROR(__xludf.DUMMYFUNCTION("""COMPUTED_VALUE"""),0.3904)</f>
        <v>0.3904</v>
      </c>
      <c r="M482" s="214">
        <f>IFERROR(__xludf.DUMMYFUNCTION("""COMPUTED_VALUE"""),14755.0)</f>
        <v>14755</v>
      </c>
      <c r="N482" s="214">
        <f>IFERROR(__xludf.DUMMYFUNCTION("""COMPUTED_VALUE"""),0.3594)</f>
        <v>0.3594</v>
      </c>
      <c r="O482" s="213">
        <f>IFERROR(__xludf.DUMMYFUNCTION("""COMPUTED_VALUE"""),1400.0)</f>
        <v>1400</v>
      </c>
      <c r="P482" s="213">
        <f>IFERROR(__xludf.DUMMYFUNCTION("""COMPUTED_VALUE"""),1287.0)</f>
        <v>1287</v>
      </c>
      <c r="Q482" s="214">
        <f>IFERROR(__xludf.DUMMYFUNCTION("""COMPUTED_VALUE"""),0.0313)</f>
        <v>0.0313</v>
      </c>
      <c r="R482" s="214">
        <f>IFERROR(__xludf.DUMMYFUNCTION("""COMPUTED_VALUE"""),0.0872)</f>
        <v>0.0872</v>
      </c>
      <c r="S482" s="101">
        <f>IFERROR(__xludf.DUMMYFUNCTION("""COMPUTED_VALUE"""),8.0)</f>
        <v>8</v>
      </c>
      <c r="T482" s="101">
        <f>IFERROR(__xludf.DUMMYFUNCTION("""COMPUTED_VALUE"""),21.0)</f>
        <v>21</v>
      </c>
      <c r="U482" s="270">
        <f>IFERROR(__xludf.DUMMYFUNCTION("""COMPUTED_VALUE"""),34607.0)</f>
        <v>34607</v>
      </c>
      <c r="V482" s="271" t="str">
        <f>IFERROR(__xludf.DUMMYFUNCTION("""COMPUTED_VALUE"""),"offline")</f>
        <v>offline</v>
      </c>
      <c r="W482" s="272" t="str">
        <f>IFERROR(__xludf.DUMMYFUNCTION("""COMPUTED_VALUE"""),"simple")</f>
        <v>simple</v>
      </c>
      <c r="X482" s="272" t="str">
        <f>IFERROR(__xludf.DUMMYFUNCTION("""COMPUTED_VALUE"""),"Dormant")</f>
        <v>Dormant</v>
      </c>
      <c r="Y482" s="272" t="str">
        <f>IFERROR(__xludf.DUMMYFUNCTION("""COMPUTED_VALUE"""),"18-20 April")</f>
        <v>18-20 April</v>
      </c>
      <c r="Z482" s="272" t="str">
        <f>IFERROR(__xludf.DUMMYFUNCTION("""COMPUTED_VALUE"""),"69e0b19505e82830fc6c1f72")</f>
        <v>69e0b19505e82830fc6c1f72</v>
      </c>
      <c r="AA482" s="272">
        <f>IFERROR(__xludf.DUMMYFUNCTION("""COMPUTED_VALUE"""),231.0)</f>
        <v>231</v>
      </c>
      <c r="AB482" s="272"/>
      <c r="AC482" s="272">
        <f>IFERROR(__xludf.DUMMYFUNCTION("""COMPUTED_VALUE"""),231.0)</f>
        <v>231</v>
      </c>
      <c r="AD482" s="272">
        <f>IFERROR(__xludf.DUMMYFUNCTION("""COMPUTED_VALUE"""),914513.0)</f>
        <v>914513</v>
      </c>
      <c r="AE482" s="272"/>
      <c r="AF482" s="272">
        <f>IFERROR(__xludf.DUMMYFUNCTION("""COMPUTED_VALUE"""),914513.0)</f>
        <v>914513</v>
      </c>
      <c r="AG482" s="208"/>
      <c r="AH482" s="208"/>
      <c r="AI482" s="208"/>
      <c r="AJ482" s="208"/>
      <c r="AK482" s="208"/>
    </row>
    <row r="483" hidden="1">
      <c r="A483" s="209">
        <f>IFERROR(__xludf.DUMMYFUNCTION("""COMPUTED_VALUE"""),46130.0)</f>
        <v>46130</v>
      </c>
      <c r="B483" s="210">
        <f>IFERROR(__xludf.DUMMYFUNCTION("""COMPUTED_VALUE"""),0.7708333333321207)</f>
        <v>0.7708333333</v>
      </c>
      <c r="C483" s="211" t="str">
        <f>IFERROR(__xludf.DUMMYFUNCTION("""COMPUTED_VALUE"""),"Whatsapp")</f>
        <v>Whatsapp</v>
      </c>
      <c r="D483" s="211" t="str">
        <f>IFERROR(__xludf.DUMMYFUNCTION("""COMPUTED_VALUE"""),"Promtional")</f>
        <v>Promtional</v>
      </c>
      <c r="E483" s="211" t="str">
        <f>IFERROR(__xludf.DUMMYFUNCTION("""COMPUTED_VALUE"""),"BBW")</f>
        <v>BBW</v>
      </c>
      <c r="F483" s="211" t="str">
        <f>IFERROR(__xludf.DUMMYFUNCTION("""COMPUTED_VALUE"""),"MSS Campaigns")</f>
        <v>MSS Campaigns</v>
      </c>
      <c r="G483" s="212" t="str">
        <f>IFERROR(__xludf.DUMMYFUNCTION("""COMPUTED_VALUE"""),"bbw_mss_18april_wa_lastreminder_dormant_6to12m_offline")</f>
        <v>bbw_mss_18april_wa_lastreminder_dormant_6to12m_offline</v>
      </c>
      <c r="H483" s="212" t="str">
        <f>IFERROR(__xludf.DUMMYFUNCTION("""COMPUTED_VALUE"""),"BBW_Dormant_6M_to_12M_Offline")</f>
        <v>BBW_Dormant_6M_to_12M_Offline</v>
      </c>
      <c r="I483" s="212" t="str">
        <f>IFERROR(__xludf.DUMMYFUNCTION("""COMPUTED_VALUE"""),"Offline Customers who have purchased in between the last 181 and 365 days excl. BBW_Active_Base_Offline")</f>
        <v>Offline Customers who have purchased in between the last 181 and 365 days excl. BBW_Active_Base_Offline</v>
      </c>
      <c r="J483" s="213">
        <f>IFERROR(__xludf.DUMMYFUNCTION("""COMPUTED_VALUE"""),193508.0)</f>
        <v>193508</v>
      </c>
      <c r="K483" s="213">
        <f>IFERROR(__xludf.DUMMYFUNCTION("""COMPUTED_VALUE"""),73336.0)</f>
        <v>73336</v>
      </c>
      <c r="L483" s="214">
        <f>IFERROR(__xludf.DUMMYFUNCTION("""COMPUTED_VALUE"""),0.379)</f>
        <v>0.379</v>
      </c>
      <c r="M483" s="214">
        <f>IFERROR(__xludf.DUMMYFUNCTION("""COMPUTED_VALUE"""),25029.0)</f>
        <v>25029</v>
      </c>
      <c r="N483" s="214">
        <f>IFERROR(__xludf.DUMMYFUNCTION("""COMPUTED_VALUE"""),0.3413)</f>
        <v>0.3413</v>
      </c>
      <c r="O483" s="213">
        <f>IFERROR(__xludf.DUMMYFUNCTION("""COMPUTED_VALUE"""),2082.0)</f>
        <v>2082</v>
      </c>
      <c r="P483" s="213">
        <f>IFERROR(__xludf.DUMMYFUNCTION("""COMPUTED_VALUE"""),1910.0)</f>
        <v>1910</v>
      </c>
      <c r="Q483" s="214">
        <f>IFERROR(__xludf.DUMMYFUNCTION("""COMPUTED_VALUE"""),0.026)</f>
        <v>0.026</v>
      </c>
      <c r="R483" s="214">
        <f>IFERROR(__xludf.DUMMYFUNCTION("""COMPUTED_VALUE"""),0.0763)</f>
        <v>0.0763</v>
      </c>
      <c r="S483" s="101">
        <f>IFERROR(__xludf.DUMMYFUNCTION("""COMPUTED_VALUE"""),19.0)</f>
        <v>19</v>
      </c>
      <c r="T483" s="101">
        <f>IFERROR(__xludf.DUMMYFUNCTION("""COMPUTED_VALUE"""),36.0)</f>
        <v>36</v>
      </c>
      <c r="U483" s="270">
        <f>IFERROR(__xludf.DUMMYFUNCTION("""COMPUTED_VALUE"""),50066.0)</f>
        <v>50066</v>
      </c>
      <c r="V483" s="271" t="str">
        <f>IFERROR(__xludf.DUMMYFUNCTION("""COMPUTED_VALUE"""),"offline")</f>
        <v>offline</v>
      </c>
      <c r="W483" s="272" t="str">
        <f>IFERROR(__xludf.DUMMYFUNCTION("""COMPUTED_VALUE"""),"simple")</f>
        <v>simple</v>
      </c>
      <c r="X483" s="272" t="str">
        <f>IFERROR(__xludf.DUMMYFUNCTION("""COMPUTED_VALUE"""),"Dormant")</f>
        <v>Dormant</v>
      </c>
      <c r="Y483" s="272" t="str">
        <f>IFERROR(__xludf.DUMMYFUNCTION("""COMPUTED_VALUE"""),"18-20 April")</f>
        <v>18-20 April</v>
      </c>
      <c r="Z483" s="272" t="str">
        <f>IFERROR(__xludf.DUMMYFUNCTION("""COMPUTED_VALUE"""),"69e0b1bf4066c75853e641ec")</f>
        <v>69e0b1bf4066c75853e641ec</v>
      </c>
      <c r="AA483" s="272">
        <f>IFERROR(__xludf.DUMMYFUNCTION("""COMPUTED_VALUE"""),266.0)</f>
        <v>266</v>
      </c>
      <c r="AB483" s="272"/>
      <c r="AC483" s="272">
        <f>IFERROR(__xludf.DUMMYFUNCTION("""COMPUTED_VALUE"""),266.0)</f>
        <v>266</v>
      </c>
      <c r="AD483" s="272">
        <f>IFERROR(__xludf.DUMMYFUNCTION("""COMPUTED_VALUE"""),912399.0)</f>
        <v>912399</v>
      </c>
      <c r="AE483" s="272"/>
      <c r="AF483" s="272">
        <f>IFERROR(__xludf.DUMMYFUNCTION("""COMPUTED_VALUE"""),912399.0)</f>
        <v>912399</v>
      </c>
      <c r="AG483" s="208"/>
      <c r="AH483" s="208"/>
      <c r="AI483" s="208"/>
      <c r="AJ483" s="208"/>
      <c r="AK483" s="208"/>
    </row>
    <row r="484" hidden="1">
      <c r="A484" s="209">
        <f>IFERROR(__xludf.DUMMYFUNCTION("""COMPUTED_VALUE"""),46130.0)</f>
        <v>46130</v>
      </c>
      <c r="B484" s="210">
        <f>IFERROR(__xludf.DUMMYFUNCTION("""COMPUTED_VALUE"""),0.7708333333321207)</f>
        <v>0.7708333333</v>
      </c>
      <c r="C484" s="211" t="str">
        <f>IFERROR(__xludf.DUMMYFUNCTION("""COMPUTED_VALUE"""),"Whatsapp")</f>
        <v>Whatsapp</v>
      </c>
      <c r="D484" s="211" t="str">
        <f>IFERROR(__xludf.DUMMYFUNCTION("""COMPUTED_VALUE"""),"Promtional")</f>
        <v>Promtional</v>
      </c>
      <c r="E484" s="211" t="str">
        <f>IFERROR(__xludf.DUMMYFUNCTION("""COMPUTED_VALUE"""),"BBW")</f>
        <v>BBW</v>
      </c>
      <c r="F484" s="211" t="str">
        <f>IFERROR(__xludf.DUMMYFUNCTION("""COMPUTED_VALUE"""),"MSS Campaigns")</f>
        <v>MSS Campaigns</v>
      </c>
      <c r="G484" s="212" t="str">
        <f>IFERROR(__xludf.DUMMYFUNCTION("""COMPUTED_VALUE"""),"bbw_mss_18april_wa_lastreminder_churned_550to1095d_offline")</f>
        <v>bbw_mss_18april_wa_lastreminder_churned_550to1095d_offline</v>
      </c>
      <c r="H484" s="212" t="str">
        <f>IFERROR(__xludf.DUMMYFUNCTION("""COMPUTED_VALUE"""),"BBW_Churned_550_1095D_Offline")</f>
        <v>BBW_Churned_550_1095D_Offline</v>
      </c>
      <c r="I484" s="212" t="str">
        <f>IFERROR(__xludf.DUMMYFUNCTION("""COMPUTED_VALUE"""),"Offline Customers who have purchased in between the last 550 and 1095 days but not in last 365 days")</f>
        <v>Offline Customers who have purchased in between the last 550 and 1095 days but not in last 365 days</v>
      </c>
      <c r="J484" s="213">
        <f>IFERROR(__xludf.DUMMYFUNCTION("""COMPUTED_VALUE"""),147037.0)</f>
        <v>147037</v>
      </c>
      <c r="K484" s="213">
        <f>IFERROR(__xludf.DUMMYFUNCTION("""COMPUTED_VALUE"""),52701.0)</f>
        <v>52701</v>
      </c>
      <c r="L484" s="214">
        <f>IFERROR(__xludf.DUMMYFUNCTION("""COMPUTED_VALUE"""),0.3583)</f>
        <v>0.3583</v>
      </c>
      <c r="M484" s="214">
        <f>IFERROR(__xludf.DUMMYFUNCTION("""COMPUTED_VALUE"""),16929.0)</f>
        <v>16929</v>
      </c>
      <c r="N484" s="214">
        <f>IFERROR(__xludf.DUMMYFUNCTION("""COMPUTED_VALUE"""),0.3213)</f>
        <v>0.3213</v>
      </c>
      <c r="O484" s="213">
        <f>IFERROR(__xludf.DUMMYFUNCTION("""COMPUTED_VALUE"""),1180.0)</f>
        <v>1180</v>
      </c>
      <c r="P484" s="213">
        <f>IFERROR(__xludf.DUMMYFUNCTION("""COMPUTED_VALUE"""),1115.0)</f>
        <v>1115</v>
      </c>
      <c r="Q484" s="214">
        <f>IFERROR(__xludf.DUMMYFUNCTION("""COMPUTED_VALUE"""),0.0212)</f>
        <v>0.0212</v>
      </c>
      <c r="R484" s="214">
        <f>IFERROR(__xludf.DUMMYFUNCTION("""COMPUTED_VALUE"""),0.0659)</f>
        <v>0.0659</v>
      </c>
      <c r="S484" s="101">
        <f>IFERROR(__xludf.DUMMYFUNCTION("""COMPUTED_VALUE"""),7.0)</f>
        <v>7</v>
      </c>
      <c r="T484" s="101">
        <f>IFERROR(__xludf.DUMMYFUNCTION("""COMPUTED_VALUE"""),12.0)</f>
        <v>12</v>
      </c>
      <c r="U484" s="270">
        <f>IFERROR(__xludf.DUMMYFUNCTION("""COMPUTED_VALUE"""),14818.0)</f>
        <v>14818</v>
      </c>
      <c r="V484" s="271" t="str">
        <f>IFERROR(__xludf.DUMMYFUNCTION("""COMPUTED_VALUE"""),"offline")</f>
        <v>offline</v>
      </c>
      <c r="W484" s="272" t="str">
        <f>IFERROR(__xludf.DUMMYFUNCTION("""COMPUTED_VALUE"""),"simple")</f>
        <v>simple</v>
      </c>
      <c r="X484" s="272" t="str">
        <f>IFERROR(__xludf.DUMMYFUNCTION("""COMPUTED_VALUE"""),"Churned")</f>
        <v>Churned</v>
      </c>
      <c r="Y484" s="272" t="str">
        <f>IFERROR(__xludf.DUMMYFUNCTION("""COMPUTED_VALUE"""),"18-20 April")</f>
        <v>18-20 April</v>
      </c>
      <c r="Z484" s="272" t="str">
        <f>IFERROR(__xludf.DUMMYFUNCTION("""COMPUTED_VALUE"""),"69e0b1e9348756bceaec9936")</f>
        <v>69e0b1e9348756bceaec9936</v>
      </c>
      <c r="AA484" s="272">
        <f>IFERROR(__xludf.DUMMYFUNCTION("""COMPUTED_VALUE"""),119.0)</f>
        <v>119</v>
      </c>
      <c r="AB484" s="272"/>
      <c r="AC484" s="272">
        <f>IFERROR(__xludf.DUMMYFUNCTION("""COMPUTED_VALUE"""),119.0)</f>
        <v>119</v>
      </c>
      <c r="AD484" s="272">
        <f>IFERROR(__xludf.DUMMYFUNCTION("""COMPUTED_VALUE"""),393497.0)</f>
        <v>393497</v>
      </c>
      <c r="AE484" s="272"/>
      <c r="AF484" s="272">
        <f>IFERROR(__xludf.DUMMYFUNCTION("""COMPUTED_VALUE"""),393497.0)</f>
        <v>393497</v>
      </c>
      <c r="AG484" s="208"/>
      <c r="AH484" s="208"/>
      <c r="AI484" s="208"/>
      <c r="AJ484" s="208"/>
      <c r="AK484" s="208"/>
    </row>
    <row r="485" hidden="1">
      <c r="A485" s="209">
        <f>IFERROR(__xludf.DUMMYFUNCTION("""COMPUTED_VALUE"""),46130.0)</f>
        <v>46130</v>
      </c>
      <c r="B485" s="210">
        <f>IFERROR(__xludf.DUMMYFUNCTION("""COMPUTED_VALUE"""),0.7708333333321207)</f>
        <v>0.7708333333</v>
      </c>
      <c r="C485" s="211" t="str">
        <f>IFERROR(__xludf.DUMMYFUNCTION("""COMPUTED_VALUE"""),"Whatsapp")</f>
        <v>Whatsapp</v>
      </c>
      <c r="D485" s="211" t="str">
        <f>IFERROR(__xludf.DUMMYFUNCTION("""COMPUTED_VALUE"""),"Promtional")</f>
        <v>Promtional</v>
      </c>
      <c r="E485" s="211" t="str">
        <f>IFERROR(__xludf.DUMMYFUNCTION("""COMPUTED_VALUE"""),"BBW")</f>
        <v>BBW</v>
      </c>
      <c r="F485" s="211" t="str">
        <f>IFERROR(__xludf.DUMMYFUNCTION("""COMPUTED_VALUE"""),"MSS Campaigns")</f>
        <v>MSS Campaigns</v>
      </c>
      <c r="G485" s="212" t="str">
        <f>IFERROR(__xludf.DUMMYFUNCTION("""COMPUTED_VALUE"""),"bbw_mss_18april_wa_lastreminder_churned_336to_549d_offline")</f>
        <v>bbw_mss_18april_wa_lastreminder_churned_336to_549d_offline</v>
      </c>
      <c r="H485" s="212" t="str">
        <f>IFERROR(__xludf.DUMMYFUNCTION("""COMPUTED_VALUE"""),"BBW_Churned_336_549D_Offline")</f>
        <v>BBW_Churned_336_549D_Offline</v>
      </c>
      <c r="I485" s="212" t="str">
        <f>IFERROR(__xludf.DUMMYFUNCTION("""COMPUTED_VALUE"""),"Offline Customers who have purchased in between the last 366 and 549 days but not in last 365 days")</f>
        <v>Offline Customers who have purchased in between the last 366 and 549 days but not in last 365 days</v>
      </c>
      <c r="J485" s="213">
        <f>IFERROR(__xludf.DUMMYFUNCTION("""COMPUTED_VALUE"""),149320.0)</f>
        <v>149320</v>
      </c>
      <c r="K485" s="213">
        <f>IFERROR(__xludf.DUMMYFUNCTION("""COMPUTED_VALUE"""),54616.0)</f>
        <v>54616</v>
      </c>
      <c r="L485" s="214">
        <f>IFERROR(__xludf.DUMMYFUNCTION("""COMPUTED_VALUE"""),0.3658)</f>
        <v>0.3658</v>
      </c>
      <c r="M485" s="213">
        <f>IFERROR(__xludf.DUMMYFUNCTION("""COMPUTED_VALUE"""),18932.0)</f>
        <v>18932</v>
      </c>
      <c r="N485" s="214">
        <f>IFERROR(__xludf.DUMMYFUNCTION("""COMPUTED_VALUE"""),0.3466)</f>
        <v>0.3466</v>
      </c>
      <c r="O485" s="213">
        <f>IFERROR(__xludf.DUMMYFUNCTION("""COMPUTED_VALUE"""),1367.0)</f>
        <v>1367</v>
      </c>
      <c r="P485" s="213">
        <f>IFERROR(__xludf.DUMMYFUNCTION("""COMPUTED_VALUE"""),1260.0)</f>
        <v>1260</v>
      </c>
      <c r="Q485" s="214">
        <f>IFERROR(__xludf.DUMMYFUNCTION("""COMPUTED_VALUE"""),0.0231)</f>
        <v>0.0231</v>
      </c>
      <c r="R485" s="214">
        <f>IFERROR(__xludf.DUMMYFUNCTION("""COMPUTED_VALUE"""),0.0666)</f>
        <v>0.0666</v>
      </c>
      <c r="S485" s="101">
        <f>IFERROR(__xludf.DUMMYFUNCTION("""COMPUTED_VALUE"""),9.0)</f>
        <v>9</v>
      </c>
      <c r="T485" s="101">
        <f>IFERROR(__xludf.DUMMYFUNCTION("""COMPUTED_VALUE"""),13.0)</f>
        <v>13</v>
      </c>
      <c r="U485" s="270">
        <f>IFERROR(__xludf.DUMMYFUNCTION("""COMPUTED_VALUE"""),18678.0)</f>
        <v>18678</v>
      </c>
      <c r="V485" s="271" t="str">
        <f>IFERROR(__xludf.DUMMYFUNCTION("""COMPUTED_VALUE"""),"offline")</f>
        <v>offline</v>
      </c>
      <c r="W485" s="272" t="str">
        <f>IFERROR(__xludf.DUMMYFUNCTION("""COMPUTED_VALUE"""),"simple")</f>
        <v>simple</v>
      </c>
      <c r="X485" s="272" t="str">
        <f>IFERROR(__xludf.DUMMYFUNCTION("""COMPUTED_VALUE"""),"Churned")</f>
        <v>Churned</v>
      </c>
      <c r="Y485" s="272" t="str">
        <f>IFERROR(__xludf.DUMMYFUNCTION("""COMPUTED_VALUE"""),"18-20 April")</f>
        <v>18-20 April</v>
      </c>
      <c r="Z485" s="272" t="str">
        <f>IFERROR(__xludf.DUMMYFUNCTION("""COMPUTED_VALUE"""),"69e0b21fc9a22d17816a4d04")</f>
        <v>69e0b21fc9a22d17816a4d04</v>
      </c>
      <c r="AA485" s="272">
        <f>IFERROR(__xludf.DUMMYFUNCTION("""COMPUTED_VALUE"""),110.0)</f>
        <v>110</v>
      </c>
      <c r="AB485" s="272"/>
      <c r="AC485" s="272">
        <f>IFERROR(__xludf.DUMMYFUNCTION("""COMPUTED_VALUE"""),110.0)</f>
        <v>110</v>
      </c>
      <c r="AD485" s="272">
        <f>IFERROR(__xludf.DUMMYFUNCTION("""COMPUTED_VALUE"""),378690.0)</f>
        <v>378690</v>
      </c>
      <c r="AE485" s="272"/>
      <c r="AF485" s="272">
        <f>IFERROR(__xludf.DUMMYFUNCTION("""COMPUTED_VALUE"""),378690.0)</f>
        <v>378690</v>
      </c>
      <c r="AG485" s="208"/>
      <c r="AH485" s="208"/>
      <c r="AI485" s="208"/>
      <c r="AJ485" s="208"/>
      <c r="AK485" s="208"/>
    </row>
    <row r="486" hidden="1">
      <c r="A486" s="209">
        <f>IFERROR(__xludf.DUMMYFUNCTION("""COMPUTED_VALUE"""),46130.0)</f>
        <v>46130</v>
      </c>
      <c r="B486" s="210">
        <f>IFERROR(__xludf.DUMMYFUNCTION("""COMPUTED_VALUE"""),0.4375)</f>
        <v>0.4375</v>
      </c>
      <c r="C486" s="211" t="str">
        <f>IFERROR(__xludf.DUMMYFUNCTION("""COMPUTED_VALUE"""),"Sms")</f>
        <v>Sms</v>
      </c>
      <c r="D486" s="211" t="str">
        <f>IFERROR(__xludf.DUMMYFUNCTION("""COMPUTED_VALUE"""),"Fallback campaign")</f>
        <v>Fallback campaign</v>
      </c>
      <c r="E486" s="211" t="str">
        <f>IFERROR(__xludf.DUMMYFUNCTION("""COMPUTED_VALUE"""),"BBW")</f>
        <v>BBW</v>
      </c>
      <c r="F486" s="211" t="str">
        <f>IFERROR(__xludf.DUMMYFUNCTION("""COMPUTED_VALUE"""),"MSS Campaigns")</f>
        <v>MSS Campaigns</v>
      </c>
      <c r="G486" s="212" t="str">
        <f>IFERROR(__xludf.DUMMYFUNCTION("""COMPUTED_VALUE"""),"bbw_mss_18april_smsfb_candles_online")</f>
        <v>bbw_mss_18april_smsfb_candles_online</v>
      </c>
      <c r="H486" s="212" t="str">
        <f>IFERROR(__xludf.DUMMYFUNCTION("""COMPUTED_VALUE"""),"BBW_ON_Candle_Cat")</f>
        <v>BBW_ON_Candle_Cat</v>
      </c>
      <c r="I486" s="212" t="str">
        <f>IFERROR(__xludf.DUMMYFUNCTION("""COMPUTED_VALUE"""),"WA Undelivered")</f>
        <v>WA Undelivered</v>
      </c>
      <c r="J486" s="213">
        <f>IFERROR(__xludf.DUMMYFUNCTION("""COMPUTED_VALUE"""),8321.0)</f>
        <v>8321</v>
      </c>
      <c r="K486" s="213">
        <f>IFERROR(__xludf.DUMMYFUNCTION("""COMPUTED_VALUE"""),4463.0)</f>
        <v>4463</v>
      </c>
      <c r="L486" s="214">
        <f>IFERROR(__xludf.DUMMYFUNCTION("""COMPUTED_VALUE"""),0.5364)</f>
        <v>0.5364</v>
      </c>
      <c r="M486" s="214">
        <f>IFERROR(__xludf.DUMMYFUNCTION("""COMPUTED_VALUE"""),0.0)</f>
        <v>0</v>
      </c>
      <c r="N486" s="214">
        <f>IFERROR(__xludf.DUMMYFUNCTION("""COMPUTED_VALUE"""),0.0)</f>
        <v>0</v>
      </c>
      <c r="O486" s="213">
        <f>IFERROR(__xludf.DUMMYFUNCTION("""COMPUTED_VALUE"""),14.0)</f>
        <v>14</v>
      </c>
      <c r="P486" s="213">
        <f>IFERROR(__xludf.DUMMYFUNCTION("""COMPUTED_VALUE"""),0.0)</f>
        <v>0</v>
      </c>
      <c r="Q486" s="214">
        <f>IFERROR(__xludf.DUMMYFUNCTION("""COMPUTED_VALUE"""),0.0031)</f>
        <v>0.0031</v>
      </c>
      <c r="R486" s="214">
        <f>IFERROR(__xludf.DUMMYFUNCTION("""COMPUTED_VALUE"""),0.0)</f>
        <v>0</v>
      </c>
      <c r="S486" s="101">
        <f>IFERROR(__xludf.DUMMYFUNCTION("""COMPUTED_VALUE"""),2.0)</f>
        <v>2</v>
      </c>
      <c r="T486" s="101">
        <f>IFERROR(__xludf.DUMMYFUNCTION("""COMPUTED_VALUE"""),7.0)</f>
        <v>7</v>
      </c>
      <c r="U486" s="270">
        <f>IFERROR(__xludf.DUMMYFUNCTION("""COMPUTED_VALUE"""),7380.0)</f>
        <v>7380</v>
      </c>
      <c r="V486" s="271" t="str">
        <f>IFERROR(__xludf.DUMMYFUNCTION("""COMPUTED_VALUE"""),"online")</f>
        <v>online</v>
      </c>
      <c r="W486" s="272" t="str">
        <f>IFERROR(__xludf.DUMMYFUNCTION("""COMPUTED_VALUE"""),"sms")</f>
        <v>sms</v>
      </c>
      <c r="X486" s="272" t="str">
        <f>IFERROR(__xludf.DUMMYFUNCTION("""COMPUTED_VALUE"""),"Category Specifc")</f>
        <v>Category Specifc</v>
      </c>
      <c r="Y486" s="272" t="str">
        <f>IFERROR(__xludf.DUMMYFUNCTION("""COMPUTED_VALUE"""),"18 April")</f>
        <v>18 April</v>
      </c>
      <c r="Z486" s="272" t="str">
        <f>IFERROR(__xludf.DUMMYFUNCTION("""COMPUTED_VALUE"""),"69e09225183fb2824aa01117")</f>
        <v>69e09225183fb2824aa01117</v>
      </c>
      <c r="AA486" s="272">
        <f>IFERROR(__xludf.DUMMYFUNCTION("""COMPUTED_VALUE"""),15.0)</f>
        <v>15</v>
      </c>
      <c r="AB486" s="272">
        <f>IFERROR(__xludf.DUMMYFUNCTION("""COMPUTED_VALUE"""),15.0)</f>
        <v>15</v>
      </c>
      <c r="AC486" s="272"/>
      <c r="AD486" s="272">
        <f>IFERROR(__xludf.DUMMYFUNCTION("""COMPUTED_VALUE"""),60505.0)</f>
        <v>60505</v>
      </c>
      <c r="AE486" s="272">
        <f>IFERROR(__xludf.DUMMYFUNCTION("""COMPUTED_VALUE"""),60505.0)</f>
        <v>60505</v>
      </c>
      <c r="AF486" s="272"/>
      <c r="AG486" s="208"/>
      <c r="AH486" s="208"/>
      <c r="AI486" s="208"/>
      <c r="AJ486" s="208"/>
      <c r="AK486" s="208"/>
    </row>
    <row r="487" hidden="1">
      <c r="A487" s="209">
        <f>IFERROR(__xludf.DUMMYFUNCTION("""COMPUTED_VALUE"""),46130.0)</f>
        <v>46130</v>
      </c>
      <c r="B487" s="210">
        <f>IFERROR(__xludf.DUMMYFUNCTION("""COMPUTED_VALUE"""),0.4375)</f>
        <v>0.4375</v>
      </c>
      <c r="C487" s="211" t="str">
        <f>IFERROR(__xludf.DUMMYFUNCTION("""COMPUTED_VALUE"""),"Sms")</f>
        <v>Sms</v>
      </c>
      <c r="D487" s="211" t="str">
        <f>IFERROR(__xludf.DUMMYFUNCTION("""COMPUTED_VALUE"""),"Fallback campaign")</f>
        <v>Fallback campaign</v>
      </c>
      <c r="E487" s="211" t="str">
        <f>IFERROR(__xludf.DUMMYFUNCTION("""COMPUTED_VALUE"""),"BBW")</f>
        <v>BBW</v>
      </c>
      <c r="F487" s="211" t="str">
        <f>IFERROR(__xludf.DUMMYFUNCTION("""COMPUTED_VALUE"""),"MSS Campaigns")</f>
        <v>MSS Campaigns</v>
      </c>
      <c r="G487" s="212" t="str">
        <f>IFERROR(__xludf.DUMMYFUNCTION("""COMPUTED_VALUE"""),"bbw_mss_18april_smsfb_mists_online")</f>
        <v>bbw_mss_18april_smsfb_mists_online</v>
      </c>
      <c r="H487" s="212" t="str">
        <f>IFERROR(__xludf.DUMMYFUNCTION("""COMPUTED_VALUE"""),"BBW_ON_Mist_Cat")</f>
        <v>BBW_ON_Mist_Cat</v>
      </c>
      <c r="I487" s="212" t="str">
        <f>IFERROR(__xludf.DUMMYFUNCTION("""COMPUTED_VALUE"""),"WA Undelivered")</f>
        <v>WA Undelivered</v>
      </c>
      <c r="J487" s="213">
        <f>IFERROR(__xludf.DUMMYFUNCTION("""COMPUTED_VALUE"""),28056.0)</f>
        <v>28056</v>
      </c>
      <c r="K487" s="213">
        <f>IFERROR(__xludf.DUMMYFUNCTION("""COMPUTED_VALUE"""),18668.0)</f>
        <v>18668</v>
      </c>
      <c r="L487" s="214">
        <f>IFERROR(__xludf.DUMMYFUNCTION("""COMPUTED_VALUE"""),0.6654)</f>
        <v>0.6654</v>
      </c>
      <c r="M487" s="214">
        <f>IFERROR(__xludf.DUMMYFUNCTION("""COMPUTED_VALUE"""),0.0)</f>
        <v>0</v>
      </c>
      <c r="N487" s="214">
        <f>IFERROR(__xludf.DUMMYFUNCTION("""COMPUTED_VALUE"""),0.0)</f>
        <v>0</v>
      </c>
      <c r="O487" s="213">
        <f>IFERROR(__xludf.DUMMYFUNCTION("""COMPUTED_VALUE"""),22.0)</f>
        <v>22</v>
      </c>
      <c r="P487" s="213">
        <f>IFERROR(__xludf.DUMMYFUNCTION("""COMPUTED_VALUE"""),0.0)</f>
        <v>0</v>
      </c>
      <c r="Q487" s="214">
        <f>IFERROR(__xludf.DUMMYFUNCTION("""COMPUTED_VALUE"""),0.0012)</f>
        <v>0.0012</v>
      </c>
      <c r="R487" s="214">
        <f>IFERROR(__xludf.DUMMYFUNCTION("""COMPUTED_VALUE"""),0.0)</f>
        <v>0</v>
      </c>
      <c r="S487" s="101">
        <f>IFERROR(__xludf.DUMMYFUNCTION("""COMPUTED_VALUE"""),7.0)</f>
        <v>7</v>
      </c>
      <c r="T487" s="101">
        <f>IFERROR(__xludf.DUMMYFUNCTION("""COMPUTED_VALUE"""),25.0)</f>
        <v>25</v>
      </c>
      <c r="U487" s="270">
        <f>IFERROR(__xludf.DUMMYFUNCTION("""COMPUTED_VALUE"""),15139.0)</f>
        <v>15139</v>
      </c>
      <c r="V487" s="271" t="str">
        <f>IFERROR(__xludf.DUMMYFUNCTION("""COMPUTED_VALUE"""),"online")</f>
        <v>online</v>
      </c>
      <c r="W487" s="272" t="str">
        <f>IFERROR(__xludf.DUMMYFUNCTION("""COMPUTED_VALUE"""),"sms")</f>
        <v>sms</v>
      </c>
      <c r="X487" s="272" t="str">
        <f>IFERROR(__xludf.DUMMYFUNCTION("""COMPUTED_VALUE"""),"Category Specifc")</f>
        <v>Category Specifc</v>
      </c>
      <c r="Y487" s="272" t="str">
        <f>IFERROR(__xludf.DUMMYFUNCTION("""COMPUTED_VALUE"""),"18 April")</f>
        <v>18 April</v>
      </c>
      <c r="Z487" s="272" t="str">
        <f>IFERROR(__xludf.DUMMYFUNCTION("""COMPUTED_VALUE"""),"69e09237ef21931260262714")</f>
        <v>69e09237ef21931260262714</v>
      </c>
      <c r="AA487" s="272">
        <f>IFERROR(__xludf.DUMMYFUNCTION("""COMPUTED_VALUE"""),30.0)</f>
        <v>30</v>
      </c>
      <c r="AB487" s="272">
        <f>IFERROR(__xludf.DUMMYFUNCTION("""COMPUTED_VALUE"""),30.0)</f>
        <v>30</v>
      </c>
      <c r="AC487" s="272"/>
      <c r="AD487" s="272">
        <f>IFERROR(__xludf.DUMMYFUNCTION("""COMPUTED_VALUE"""),54506.0)</f>
        <v>54506</v>
      </c>
      <c r="AE487" s="272">
        <f>IFERROR(__xludf.DUMMYFUNCTION("""COMPUTED_VALUE"""),54506.0)</f>
        <v>54506</v>
      </c>
      <c r="AF487" s="272"/>
      <c r="AG487" s="208"/>
      <c r="AH487" s="208"/>
      <c r="AI487" s="208"/>
      <c r="AJ487" s="208"/>
      <c r="AK487" s="208"/>
    </row>
    <row r="488" hidden="1">
      <c r="A488" s="209">
        <f>IFERROR(__xludf.DUMMYFUNCTION("""COMPUTED_VALUE"""),46130.0)</f>
        <v>46130</v>
      </c>
      <c r="B488" s="210">
        <f>IFERROR(__xludf.DUMMYFUNCTION("""COMPUTED_VALUE"""),0.4375)</f>
        <v>0.4375</v>
      </c>
      <c r="C488" s="211" t="str">
        <f>IFERROR(__xludf.DUMMYFUNCTION("""COMPUTED_VALUE"""),"Sms")</f>
        <v>Sms</v>
      </c>
      <c r="D488" s="211" t="str">
        <f>IFERROR(__xludf.DUMMYFUNCTION("""COMPUTED_VALUE"""),"Fallback campaign")</f>
        <v>Fallback campaign</v>
      </c>
      <c r="E488" s="211" t="str">
        <f>IFERROR(__xludf.DUMMYFUNCTION("""COMPUTED_VALUE"""),"BBW")</f>
        <v>BBW</v>
      </c>
      <c r="F488" s="211" t="str">
        <f>IFERROR(__xludf.DUMMYFUNCTION("""COMPUTED_VALUE"""),"MSS Campaigns")</f>
        <v>MSS Campaigns</v>
      </c>
      <c r="G488" s="212" t="str">
        <f>IFERROR(__xludf.DUMMYFUNCTION("""COMPUTED_VALUE"""),"bbw_mss_18april_smsfb_showergels_online")</f>
        <v>bbw_mss_18april_smsfb_showergels_online</v>
      </c>
      <c r="H488" s="212" t="str">
        <f>IFERROR(__xludf.DUMMYFUNCTION("""COMPUTED_VALUE"""),"BBW_ON_Liq_Soap_Cat")</f>
        <v>BBW_ON_Liq_Soap_Cat</v>
      </c>
      <c r="I488" s="212" t="str">
        <f>IFERROR(__xludf.DUMMYFUNCTION("""COMPUTED_VALUE"""),"WA Undelivered")</f>
        <v>WA Undelivered</v>
      </c>
      <c r="J488" s="213">
        <f>IFERROR(__xludf.DUMMYFUNCTION("""COMPUTED_VALUE"""),3696.0)</f>
        <v>3696</v>
      </c>
      <c r="K488" s="213">
        <f>IFERROR(__xludf.DUMMYFUNCTION("""COMPUTED_VALUE"""),1399.0)</f>
        <v>1399</v>
      </c>
      <c r="L488" s="214">
        <f>IFERROR(__xludf.DUMMYFUNCTION("""COMPUTED_VALUE"""),0.3785)</f>
        <v>0.3785</v>
      </c>
      <c r="M488" s="214">
        <f>IFERROR(__xludf.DUMMYFUNCTION("""COMPUTED_VALUE"""),0.0)</f>
        <v>0</v>
      </c>
      <c r="N488" s="214">
        <f>IFERROR(__xludf.DUMMYFUNCTION("""COMPUTED_VALUE"""),0.0)</f>
        <v>0</v>
      </c>
      <c r="O488" s="213">
        <f>IFERROR(__xludf.DUMMYFUNCTION("""COMPUTED_VALUE"""),3.0)</f>
        <v>3</v>
      </c>
      <c r="P488" s="213">
        <f>IFERROR(__xludf.DUMMYFUNCTION("""COMPUTED_VALUE"""),0.0)</f>
        <v>0</v>
      </c>
      <c r="Q488" s="214">
        <f>IFERROR(__xludf.DUMMYFUNCTION("""COMPUTED_VALUE"""),0.0021)</f>
        <v>0.0021</v>
      </c>
      <c r="R488" s="214">
        <f>IFERROR(__xludf.DUMMYFUNCTION("""COMPUTED_VALUE"""),0.0)</f>
        <v>0</v>
      </c>
      <c r="S488" s="101">
        <f>IFERROR(__xludf.DUMMYFUNCTION("""COMPUTED_VALUE"""),1.0)</f>
        <v>1</v>
      </c>
      <c r="T488" s="101">
        <f>IFERROR(__xludf.DUMMYFUNCTION("""COMPUTED_VALUE"""),2.0)</f>
        <v>2</v>
      </c>
      <c r="U488" s="270">
        <f>IFERROR(__xludf.DUMMYFUNCTION("""COMPUTED_VALUE"""),1209.0)</f>
        <v>1209</v>
      </c>
      <c r="V488" s="271" t="str">
        <f>IFERROR(__xludf.DUMMYFUNCTION("""COMPUTED_VALUE"""),"online")</f>
        <v>online</v>
      </c>
      <c r="W488" s="272" t="str">
        <f>IFERROR(__xludf.DUMMYFUNCTION("""COMPUTED_VALUE"""),"sms")</f>
        <v>sms</v>
      </c>
      <c r="X488" s="272" t="str">
        <f>IFERROR(__xludf.DUMMYFUNCTION("""COMPUTED_VALUE"""),"Category Specifc")</f>
        <v>Category Specifc</v>
      </c>
      <c r="Y488" s="272" t="str">
        <f>IFERROR(__xludf.DUMMYFUNCTION("""COMPUTED_VALUE"""),"18 April")</f>
        <v>18 April</v>
      </c>
      <c r="Z488" s="272" t="str">
        <f>IFERROR(__xludf.DUMMYFUNCTION("""COMPUTED_VALUE"""),"69e09247685d17aa551061a5")</f>
        <v>69e09247685d17aa551061a5</v>
      </c>
      <c r="AA488" s="272">
        <f>IFERROR(__xludf.DUMMYFUNCTION("""COMPUTED_VALUE"""),11.0)</f>
        <v>11</v>
      </c>
      <c r="AB488" s="272">
        <f>IFERROR(__xludf.DUMMYFUNCTION("""COMPUTED_VALUE"""),11.0)</f>
        <v>11</v>
      </c>
      <c r="AC488" s="272"/>
      <c r="AD488" s="272">
        <f>IFERROR(__xludf.DUMMYFUNCTION("""COMPUTED_VALUE"""),24602.0)</f>
        <v>24602</v>
      </c>
      <c r="AE488" s="272">
        <f>IFERROR(__xludf.DUMMYFUNCTION("""COMPUTED_VALUE"""),24602.0)</f>
        <v>24602</v>
      </c>
      <c r="AF488" s="272"/>
      <c r="AG488" s="208"/>
      <c r="AH488" s="208"/>
      <c r="AI488" s="208"/>
      <c r="AJ488" s="208"/>
      <c r="AK488" s="208"/>
    </row>
    <row r="489" hidden="1">
      <c r="A489" s="209">
        <f>IFERROR(__xludf.DUMMYFUNCTION("""COMPUTED_VALUE"""),46130.0)</f>
        <v>46130</v>
      </c>
      <c r="B489" s="210">
        <f>IFERROR(__xludf.DUMMYFUNCTION("""COMPUTED_VALUE"""),0.4375)</f>
        <v>0.4375</v>
      </c>
      <c r="C489" s="211" t="str">
        <f>IFERROR(__xludf.DUMMYFUNCTION("""COMPUTED_VALUE"""),"Sms")</f>
        <v>Sms</v>
      </c>
      <c r="D489" s="211" t="str">
        <f>IFERROR(__xludf.DUMMYFUNCTION("""COMPUTED_VALUE"""),"Fallback campaign")</f>
        <v>Fallback campaign</v>
      </c>
      <c r="E489" s="211" t="str">
        <f>IFERROR(__xludf.DUMMYFUNCTION("""COMPUTED_VALUE"""),"BBW")</f>
        <v>BBW</v>
      </c>
      <c r="F489" s="211" t="str">
        <f>IFERROR(__xludf.DUMMYFUNCTION("""COMPUTED_VALUE"""),"MSS Campaigns")</f>
        <v>MSS Campaigns</v>
      </c>
      <c r="G489" s="212" t="str">
        <f>IFERROR(__xludf.DUMMYFUNCTION("""COMPUTED_VALUE"""),"bbw_mss_18april_smsfb_handsoaps_online")</f>
        <v>bbw_mss_18april_smsfb_handsoaps_online</v>
      </c>
      <c r="H489" s="212" t="str">
        <f>IFERROR(__xludf.DUMMYFUNCTION("""COMPUTED_VALUE"""),"BBW_ON_Shower_Gel_Cat")</f>
        <v>BBW_ON_Shower_Gel_Cat</v>
      </c>
      <c r="I489" s="212" t="str">
        <f>IFERROR(__xludf.DUMMYFUNCTION("""COMPUTED_VALUE"""),"WA Undelivered")</f>
        <v>WA Undelivered</v>
      </c>
      <c r="J489" s="213">
        <f>IFERROR(__xludf.DUMMYFUNCTION("""COMPUTED_VALUE"""),7511.0)</f>
        <v>7511</v>
      </c>
      <c r="K489" s="213">
        <f>IFERROR(__xludf.DUMMYFUNCTION("""COMPUTED_VALUE"""),3945.0)</f>
        <v>3945</v>
      </c>
      <c r="L489" s="214">
        <f>IFERROR(__xludf.DUMMYFUNCTION("""COMPUTED_VALUE"""),0.5252)</f>
        <v>0.5252</v>
      </c>
      <c r="M489" s="214">
        <f>IFERROR(__xludf.DUMMYFUNCTION("""COMPUTED_VALUE"""),0.0)</f>
        <v>0</v>
      </c>
      <c r="N489" s="214">
        <f>IFERROR(__xludf.DUMMYFUNCTION("""COMPUTED_VALUE"""),0.0)</f>
        <v>0</v>
      </c>
      <c r="O489" s="213">
        <f>IFERROR(__xludf.DUMMYFUNCTION("""COMPUTED_VALUE"""),7.0)</f>
        <v>7</v>
      </c>
      <c r="P489" s="213">
        <f>IFERROR(__xludf.DUMMYFUNCTION("""COMPUTED_VALUE"""),0.0)</f>
        <v>0</v>
      </c>
      <c r="Q489" s="214">
        <f>IFERROR(__xludf.DUMMYFUNCTION("""COMPUTED_VALUE"""),0.0018)</f>
        <v>0.0018</v>
      </c>
      <c r="R489" s="214">
        <f>IFERROR(__xludf.DUMMYFUNCTION("""COMPUTED_VALUE"""),0.0)</f>
        <v>0</v>
      </c>
      <c r="S489" s="101">
        <f>IFERROR(__xludf.DUMMYFUNCTION("""COMPUTED_VALUE"""),3.0)</f>
        <v>3</v>
      </c>
      <c r="T489" s="101">
        <f>IFERROR(__xludf.DUMMYFUNCTION("""COMPUTED_VALUE"""),4.0)</f>
        <v>4</v>
      </c>
      <c r="U489" s="270">
        <f>IFERROR(__xludf.DUMMYFUNCTION("""COMPUTED_VALUE"""),3808.0)</f>
        <v>3808</v>
      </c>
      <c r="V489" s="271" t="str">
        <f>IFERROR(__xludf.DUMMYFUNCTION("""COMPUTED_VALUE"""),"online")</f>
        <v>online</v>
      </c>
      <c r="W489" s="272" t="str">
        <f>IFERROR(__xludf.DUMMYFUNCTION("""COMPUTED_VALUE"""),"sms")</f>
        <v>sms</v>
      </c>
      <c r="X489" s="272" t="str">
        <f>IFERROR(__xludf.DUMMYFUNCTION("""COMPUTED_VALUE"""),"Category Specifc")</f>
        <v>Category Specifc</v>
      </c>
      <c r="Y489" s="272" t="str">
        <f>IFERROR(__xludf.DUMMYFUNCTION("""COMPUTED_VALUE"""),"18 April")</f>
        <v>18 April</v>
      </c>
      <c r="Z489" s="272" t="str">
        <f>IFERROR(__xludf.DUMMYFUNCTION("""COMPUTED_VALUE"""),"69e09251fdcafe759f29add7")</f>
        <v>69e09251fdcafe759f29add7</v>
      </c>
      <c r="AA489" s="272">
        <f>IFERROR(__xludf.DUMMYFUNCTION("""COMPUTED_VALUE"""),13.0)</f>
        <v>13</v>
      </c>
      <c r="AB489" s="272">
        <f>IFERROR(__xludf.DUMMYFUNCTION("""COMPUTED_VALUE"""),13.0)</f>
        <v>13</v>
      </c>
      <c r="AC489" s="272"/>
      <c r="AD489" s="272">
        <f>IFERROR(__xludf.DUMMYFUNCTION("""COMPUTED_VALUE"""),31680.0)</f>
        <v>31680</v>
      </c>
      <c r="AE489" s="272">
        <f>IFERROR(__xludf.DUMMYFUNCTION("""COMPUTED_VALUE"""),31680.0)</f>
        <v>31680</v>
      </c>
      <c r="AF489" s="272"/>
      <c r="AG489" s="208"/>
      <c r="AH489" s="208"/>
      <c r="AI489" s="208"/>
      <c r="AJ489" s="208"/>
      <c r="AK489" s="208"/>
    </row>
    <row r="490" hidden="1">
      <c r="A490" s="209">
        <f>IFERROR(__xludf.DUMMYFUNCTION("""COMPUTED_VALUE"""),46130.0)</f>
        <v>46130</v>
      </c>
      <c r="B490" s="210">
        <f>IFERROR(__xludf.DUMMYFUNCTION("""COMPUTED_VALUE"""),0.4375)</f>
        <v>0.4375</v>
      </c>
      <c r="C490" s="211" t="str">
        <f>IFERROR(__xludf.DUMMYFUNCTION("""COMPUTED_VALUE"""),"Sms")</f>
        <v>Sms</v>
      </c>
      <c r="D490" s="211" t="str">
        <f>IFERROR(__xludf.DUMMYFUNCTION("""COMPUTED_VALUE"""),"Fallback campaign")</f>
        <v>Fallback campaign</v>
      </c>
      <c r="E490" s="211" t="str">
        <f>IFERROR(__xludf.DUMMYFUNCTION("""COMPUTED_VALUE"""),"BBW")</f>
        <v>BBW</v>
      </c>
      <c r="F490" s="211" t="str">
        <f>IFERROR(__xludf.DUMMYFUNCTION("""COMPUTED_VALUE"""),"MSS Campaigns")</f>
        <v>MSS Campaigns</v>
      </c>
      <c r="G490" s="212" t="str">
        <f>IFERROR(__xludf.DUMMYFUNCTION("""COMPUTED_VALUE"""),"bbw_mss_18april_smsfb_travelsize_online")</f>
        <v>bbw_mss_18april_smsfb_travelsize_online</v>
      </c>
      <c r="H490" s="212" t="str">
        <f>IFERROR(__xludf.DUMMYFUNCTION("""COMPUTED_VALUE"""),"BBW_ON_Travel_Size_Cat")</f>
        <v>BBW_ON_Travel_Size_Cat</v>
      </c>
      <c r="I490" s="212" t="str">
        <f>IFERROR(__xludf.DUMMYFUNCTION("""COMPUTED_VALUE"""),"WA Undelivered")</f>
        <v>WA Undelivered</v>
      </c>
      <c r="J490" s="213">
        <f>IFERROR(__xludf.DUMMYFUNCTION("""COMPUTED_VALUE"""),1813.0)</f>
        <v>1813</v>
      </c>
      <c r="K490" s="213">
        <f>IFERROR(__xludf.DUMMYFUNCTION("""COMPUTED_VALUE"""),993.0)</f>
        <v>993</v>
      </c>
      <c r="L490" s="214">
        <f>IFERROR(__xludf.DUMMYFUNCTION("""COMPUTED_VALUE"""),0.5477)</f>
        <v>0.5477</v>
      </c>
      <c r="M490" s="214">
        <f>IFERROR(__xludf.DUMMYFUNCTION("""COMPUTED_VALUE"""),0.0)</f>
        <v>0</v>
      </c>
      <c r="N490" s="214">
        <f>IFERROR(__xludf.DUMMYFUNCTION("""COMPUTED_VALUE"""),0.0)</f>
        <v>0</v>
      </c>
      <c r="O490" s="213">
        <f>IFERROR(__xludf.DUMMYFUNCTION("""COMPUTED_VALUE"""),0.0)</f>
        <v>0</v>
      </c>
      <c r="P490" s="213">
        <f>IFERROR(__xludf.DUMMYFUNCTION("""COMPUTED_VALUE"""),0.0)</f>
        <v>0</v>
      </c>
      <c r="Q490" s="214">
        <f>IFERROR(__xludf.DUMMYFUNCTION("""COMPUTED_VALUE"""),0.0)</f>
        <v>0</v>
      </c>
      <c r="R490" s="214">
        <f>IFERROR(__xludf.DUMMYFUNCTION("""COMPUTED_VALUE"""),0.0)</f>
        <v>0</v>
      </c>
      <c r="S490" s="101">
        <f>IFERROR(__xludf.DUMMYFUNCTION("""COMPUTED_VALUE"""),1.0)</f>
        <v>1</v>
      </c>
      <c r="T490" s="101">
        <f>IFERROR(__xludf.DUMMYFUNCTION("""COMPUTED_VALUE"""),3.0)</f>
        <v>3</v>
      </c>
      <c r="U490" s="270">
        <f>IFERROR(__xludf.DUMMYFUNCTION("""COMPUTED_VALUE"""),5871.0)</f>
        <v>5871</v>
      </c>
      <c r="V490" s="271" t="str">
        <f>IFERROR(__xludf.DUMMYFUNCTION("""COMPUTED_VALUE"""),"online")</f>
        <v>online</v>
      </c>
      <c r="W490" s="272" t="str">
        <f>IFERROR(__xludf.DUMMYFUNCTION("""COMPUTED_VALUE"""),"sms")</f>
        <v>sms</v>
      </c>
      <c r="X490" s="272" t="str">
        <f>IFERROR(__xludf.DUMMYFUNCTION("""COMPUTED_VALUE"""),"Category Specifc")</f>
        <v>Category Specifc</v>
      </c>
      <c r="Y490" s="272" t="str">
        <f>IFERROR(__xludf.DUMMYFUNCTION("""COMPUTED_VALUE"""),"18 April")</f>
        <v>18 April</v>
      </c>
      <c r="Z490" s="272" t="str">
        <f>IFERROR(__xludf.DUMMYFUNCTION("""COMPUTED_VALUE"""),"69e092593448bc034c6aa79e")</f>
        <v>69e092593448bc034c6aa79e</v>
      </c>
      <c r="AA490" s="272">
        <f>IFERROR(__xludf.DUMMYFUNCTION("""COMPUTED_VALUE"""),4.0)</f>
        <v>4</v>
      </c>
      <c r="AB490" s="272">
        <f>IFERROR(__xludf.DUMMYFUNCTION("""COMPUTED_VALUE"""),4.0)</f>
        <v>4</v>
      </c>
      <c r="AC490" s="272"/>
      <c r="AD490" s="272">
        <f>IFERROR(__xludf.DUMMYFUNCTION("""COMPUTED_VALUE"""),16136.0)</f>
        <v>16136</v>
      </c>
      <c r="AE490" s="272">
        <f>IFERROR(__xludf.DUMMYFUNCTION("""COMPUTED_VALUE"""),16136.0)</f>
        <v>16136</v>
      </c>
      <c r="AF490" s="272"/>
      <c r="AG490" s="208"/>
      <c r="AH490" s="208"/>
      <c r="AI490" s="208"/>
      <c r="AJ490" s="208"/>
      <c r="AK490" s="208"/>
    </row>
    <row r="491" hidden="1">
      <c r="A491" s="209">
        <f>IFERROR(__xludf.DUMMYFUNCTION("""COMPUTED_VALUE"""),46130.0)</f>
        <v>46130</v>
      </c>
      <c r="B491" s="210">
        <f>IFERROR(__xludf.DUMMYFUNCTION("""COMPUTED_VALUE"""),0.8333333333321207)</f>
        <v>0.8333333333</v>
      </c>
      <c r="C491" s="211" t="str">
        <f>IFERROR(__xludf.DUMMYFUNCTION("""COMPUTED_VALUE"""),"Sms")</f>
        <v>Sms</v>
      </c>
      <c r="D491" s="211" t="str">
        <f>IFERROR(__xludf.DUMMYFUNCTION("""COMPUTED_VALUE"""),"Fallback campaign")</f>
        <v>Fallback campaign</v>
      </c>
      <c r="E491" s="211" t="str">
        <f>IFERROR(__xludf.DUMMYFUNCTION("""COMPUTED_VALUE"""),"BBW")</f>
        <v>BBW</v>
      </c>
      <c r="F491" s="211" t="str">
        <f>IFERROR(__xludf.DUMMYFUNCTION("""COMPUTED_VALUE"""),"MSS Campaigns")</f>
        <v>MSS Campaigns</v>
      </c>
      <c r="G491" s="212" t="str">
        <f>IFERROR(__xludf.DUMMYFUNCTION("""COMPUTED_VALUE"""),"bbw_mss_18april_smsfb_lastreminder_active_offline")</f>
        <v>bbw_mss_18april_smsfb_lastreminder_active_offline</v>
      </c>
      <c r="H491" s="212" t="str">
        <f>IFERROR(__xludf.DUMMYFUNCTION("""COMPUTED_VALUE"""),"BBW_Active_Base_Offline")</f>
        <v>BBW_Active_Base_Offline</v>
      </c>
      <c r="I491" s="212" t="str">
        <f>IFERROR(__xludf.DUMMYFUNCTION("""COMPUTED_VALUE"""),"WA Undelivered")</f>
        <v>WA Undelivered</v>
      </c>
      <c r="J491" s="213">
        <f>IFERROR(__xludf.DUMMYFUNCTION("""COMPUTED_VALUE"""),77042.0)</f>
        <v>77042</v>
      </c>
      <c r="K491" s="213">
        <f>IFERROR(__xludf.DUMMYFUNCTION("""COMPUTED_VALUE"""),44101.0)</f>
        <v>44101</v>
      </c>
      <c r="L491" s="214">
        <f>IFERROR(__xludf.DUMMYFUNCTION("""COMPUTED_VALUE"""),0.5724)</f>
        <v>0.5724</v>
      </c>
      <c r="M491" s="214">
        <f>IFERROR(__xludf.DUMMYFUNCTION("""COMPUTED_VALUE"""),0.0)</f>
        <v>0</v>
      </c>
      <c r="N491" s="214">
        <f>IFERROR(__xludf.DUMMYFUNCTION("""COMPUTED_VALUE"""),0.0)</f>
        <v>0</v>
      </c>
      <c r="O491" s="213">
        <f>IFERROR(__xludf.DUMMYFUNCTION("""COMPUTED_VALUE"""),63.0)</f>
        <v>63</v>
      </c>
      <c r="P491" s="213">
        <f>IFERROR(__xludf.DUMMYFUNCTION("""COMPUTED_VALUE"""),0.0)</f>
        <v>0</v>
      </c>
      <c r="Q491" s="214">
        <f>IFERROR(__xludf.DUMMYFUNCTION("""COMPUTED_VALUE"""),0.0014)</f>
        <v>0.0014</v>
      </c>
      <c r="R491" s="214">
        <f>IFERROR(__xludf.DUMMYFUNCTION("""COMPUTED_VALUE"""),0.0)</f>
        <v>0</v>
      </c>
      <c r="S491" s="101">
        <f>IFERROR(__xludf.DUMMYFUNCTION("""COMPUTED_VALUE"""),4.0)</f>
        <v>4</v>
      </c>
      <c r="T491" s="101">
        <f>IFERROR(__xludf.DUMMYFUNCTION("""COMPUTED_VALUE"""),7.0)</f>
        <v>7</v>
      </c>
      <c r="U491" s="270">
        <f>IFERROR(__xludf.DUMMYFUNCTION("""COMPUTED_VALUE"""),10981.0)</f>
        <v>10981</v>
      </c>
      <c r="V491" s="271" t="str">
        <f>IFERROR(__xludf.DUMMYFUNCTION("""COMPUTED_VALUE"""),"offline")</f>
        <v>offline</v>
      </c>
      <c r="W491" s="272" t="str">
        <f>IFERROR(__xludf.DUMMYFUNCTION("""COMPUTED_VALUE"""),"sms")</f>
        <v>sms</v>
      </c>
      <c r="X491" s="272" t="str">
        <f>IFERROR(__xludf.DUMMYFUNCTION("""COMPUTED_VALUE"""),"Active")</f>
        <v>Active</v>
      </c>
      <c r="Y491" s="272" t="str">
        <f>IFERROR(__xludf.DUMMYFUNCTION("""COMPUTED_VALUE"""),"18 April")</f>
        <v>18 April</v>
      </c>
      <c r="Z491" s="272" t="str">
        <f>IFERROR(__xludf.DUMMYFUNCTION("""COMPUTED_VALUE"""),"69e0b4784fe3240eba27e32f")</f>
        <v>69e0b4784fe3240eba27e32f</v>
      </c>
      <c r="AA491" s="272">
        <f>IFERROR(__xludf.DUMMYFUNCTION("""COMPUTED_VALUE"""),98.0)</f>
        <v>98</v>
      </c>
      <c r="AB491" s="272"/>
      <c r="AC491" s="272">
        <f>IFERROR(__xludf.DUMMYFUNCTION("""COMPUTED_VALUE"""),98.0)</f>
        <v>98</v>
      </c>
      <c r="AD491" s="272">
        <f>IFERROR(__xludf.DUMMYFUNCTION("""COMPUTED_VALUE"""),361502.0)</f>
        <v>361502</v>
      </c>
      <c r="AE491" s="272"/>
      <c r="AF491" s="272">
        <f>IFERROR(__xludf.DUMMYFUNCTION("""COMPUTED_VALUE"""),361502.0)</f>
        <v>361502</v>
      </c>
      <c r="AG491" s="208"/>
      <c r="AH491" s="208"/>
      <c r="AI491" s="208"/>
      <c r="AJ491" s="208"/>
      <c r="AK491" s="208"/>
    </row>
    <row r="492" hidden="1">
      <c r="A492" s="209">
        <f>IFERROR(__xludf.DUMMYFUNCTION("""COMPUTED_VALUE"""),46130.0)</f>
        <v>46130</v>
      </c>
      <c r="B492" s="210">
        <f>IFERROR(__xludf.DUMMYFUNCTION("""COMPUTED_VALUE"""),0.8333333333321207)</f>
        <v>0.8333333333</v>
      </c>
      <c r="C492" s="211" t="str">
        <f>IFERROR(__xludf.DUMMYFUNCTION("""COMPUTED_VALUE"""),"Sms")</f>
        <v>Sms</v>
      </c>
      <c r="D492" s="211" t="str">
        <f>IFERROR(__xludf.DUMMYFUNCTION("""COMPUTED_VALUE"""),"Fallback campaign")</f>
        <v>Fallback campaign</v>
      </c>
      <c r="E492" s="211" t="str">
        <f>IFERROR(__xludf.DUMMYFUNCTION("""COMPUTED_VALUE"""),"BBW")</f>
        <v>BBW</v>
      </c>
      <c r="F492" s="211" t="str">
        <f>IFERROR(__xludf.DUMMYFUNCTION("""COMPUTED_VALUE"""),"MSS Campaigns")</f>
        <v>MSS Campaigns</v>
      </c>
      <c r="G492" s="212" t="str">
        <f>IFERROR(__xludf.DUMMYFUNCTION("""COMPUTED_VALUE"""),"bbw_mss_18april_smsfb_lastreminder_dormant_6m_offline")</f>
        <v>bbw_mss_18april_smsfb_lastreminder_dormant_6m_offline</v>
      </c>
      <c r="H492" s="212" t="str">
        <f>IFERROR(__xludf.DUMMYFUNCTION("""COMPUTED_VALUE"""),"BBW_Dormant_6M_Offline")</f>
        <v>BBW_Dormant_6M_Offline</v>
      </c>
      <c r="I492" s="212" t="str">
        <f>IFERROR(__xludf.DUMMYFUNCTION("""COMPUTED_VALUE"""),"WA Undelivered")</f>
        <v>WA Undelivered</v>
      </c>
      <c r="J492" s="213">
        <f>IFERROR(__xludf.DUMMYFUNCTION("""COMPUTED_VALUE"""),62455.0)</f>
        <v>62455</v>
      </c>
      <c r="K492" s="213">
        <f>IFERROR(__xludf.DUMMYFUNCTION("""COMPUTED_VALUE"""),35459.0)</f>
        <v>35459</v>
      </c>
      <c r="L492" s="214">
        <f>IFERROR(__xludf.DUMMYFUNCTION("""COMPUTED_VALUE"""),0.5678)</f>
        <v>0.5678</v>
      </c>
      <c r="M492" s="214">
        <f>IFERROR(__xludf.DUMMYFUNCTION("""COMPUTED_VALUE"""),0.0)</f>
        <v>0</v>
      </c>
      <c r="N492" s="214">
        <f>IFERROR(__xludf.DUMMYFUNCTION("""COMPUTED_VALUE"""),0.0)</f>
        <v>0</v>
      </c>
      <c r="O492" s="213">
        <f>IFERROR(__xludf.DUMMYFUNCTION("""COMPUTED_VALUE"""),44.0)</f>
        <v>44</v>
      </c>
      <c r="P492" s="213">
        <f>IFERROR(__xludf.DUMMYFUNCTION("""COMPUTED_VALUE"""),0.0)</f>
        <v>0</v>
      </c>
      <c r="Q492" s="214">
        <f>IFERROR(__xludf.DUMMYFUNCTION("""COMPUTED_VALUE"""),0.0012)</f>
        <v>0.0012</v>
      </c>
      <c r="R492" s="214">
        <f>IFERROR(__xludf.DUMMYFUNCTION("""COMPUTED_VALUE"""),0.0)</f>
        <v>0</v>
      </c>
      <c r="S492" s="101">
        <f>IFERROR(__xludf.DUMMYFUNCTION("""COMPUTED_VALUE"""),2.0)</f>
        <v>2</v>
      </c>
      <c r="T492" s="101">
        <f>IFERROR(__xludf.DUMMYFUNCTION("""COMPUTED_VALUE"""),5.0)</f>
        <v>5</v>
      </c>
      <c r="U492" s="270">
        <f>IFERROR(__xludf.DUMMYFUNCTION("""COMPUTED_VALUE"""),3100.0)</f>
        <v>3100</v>
      </c>
      <c r="V492" s="271" t="str">
        <f>IFERROR(__xludf.DUMMYFUNCTION("""COMPUTED_VALUE"""),"offline")</f>
        <v>offline</v>
      </c>
      <c r="W492" s="272" t="str">
        <f>IFERROR(__xludf.DUMMYFUNCTION("""COMPUTED_VALUE"""),"sms")</f>
        <v>sms</v>
      </c>
      <c r="X492" s="272" t="str">
        <f>IFERROR(__xludf.DUMMYFUNCTION("""COMPUTED_VALUE"""),"Dormant")</f>
        <v>Dormant</v>
      </c>
      <c r="Y492" s="272" t="str">
        <f>IFERROR(__xludf.DUMMYFUNCTION("""COMPUTED_VALUE"""),"18 April")</f>
        <v>18 April</v>
      </c>
      <c r="Z492" s="272" t="str">
        <f>IFERROR(__xludf.DUMMYFUNCTION("""COMPUTED_VALUE"""),"69e0b4c3ad7000ff20244af9")</f>
        <v>69e0b4c3ad7000ff20244af9</v>
      </c>
      <c r="AA492" s="272">
        <f>IFERROR(__xludf.DUMMYFUNCTION("""COMPUTED_VALUE"""),90.0)</f>
        <v>90</v>
      </c>
      <c r="AB492" s="272"/>
      <c r="AC492" s="272">
        <f>IFERROR(__xludf.DUMMYFUNCTION("""COMPUTED_VALUE"""),90.0)</f>
        <v>90</v>
      </c>
      <c r="AD492" s="272">
        <f>IFERROR(__xludf.DUMMYFUNCTION("""COMPUTED_VALUE"""),323973.0)</f>
        <v>323973</v>
      </c>
      <c r="AE492" s="272"/>
      <c r="AF492" s="272">
        <f>IFERROR(__xludf.DUMMYFUNCTION("""COMPUTED_VALUE"""),323973.0)</f>
        <v>323973</v>
      </c>
      <c r="AG492" s="208"/>
      <c r="AH492" s="208"/>
      <c r="AI492" s="208"/>
      <c r="AJ492" s="208"/>
      <c r="AK492" s="208"/>
    </row>
    <row r="493" hidden="1">
      <c r="A493" s="209">
        <f>IFERROR(__xludf.DUMMYFUNCTION("""COMPUTED_VALUE"""),46130.0)</f>
        <v>46130</v>
      </c>
      <c r="B493" s="210">
        <f>IFERROR(__xludf.DUMMYFUNCTION("""COMPUTED_VALUE"""),0.8333333333321207)</f>
        <v>0.8333333333</v>
      </c>
      <c r="C493" s="211" t="str">
        <f>IFERROR(__xludf.DUMMYFUNCTION("""COMPUTED_VALUE"""),"Sms")</f>
        <v>Sms</v>
      </c>
      <c r="D493" s="211" t="str">
        <f>IFERROR(__xludf.DUMMYFUNCTION("""COMPUTED_VALUE"""),"Fallback campaign")</f>
        <v>Fallback campaign</v>
      </c>
      <c r="E493" s="211" t="str">
        <f>IFERROR(__xludf.DUMMYFUNCTION("""COMPUTED_VALUE"""),"BBW")</f>
        <v>BBW</v>
      </c>
      <c r="F493" s="211" t="str">
        <f>IFERROR(__xludf.DUMMYFUNCTION("""COMPUTED_VALUE"""),"MSS Campaigns")</f>
        <v>MSS Campaigns</v>
      </c>
      <c r="G493" s="212" t="str">
        <f>IFERROR(__xludf.DUMMYFUNCTION("""COMPUTED_VALUE"""),"bbw_mss_18april_smsfb_lastreminder_dormant_6to12m_offline")</f>
        <v>bbw_mss_18april_smsfb_lastreminder_dormant_6to12m_offline</v>
      </c>
      <c r="H493" s="212" t="str">
        <f>IFERROR(__xludf.DUMMYFUNCTION("""COMPUTED_VALUE"""),"BBW_Dormant_6M_to_12M_Offline")</f>
        <v>BBW_Dormant_6M_to_12M_Offline</v>
      </c>
      <c r="I493" s="212" t="str">
        <f>IFERROR(__xludf.DUMMYFUNCTION("""COMPUTED_VALUE"""),"WA Undelivered")</f>
        <v>WA Undelivered</v>
      </c>
      <c r="J493" s="213">
        <f>IFERROR(__xludf.DUMMYFUNCTION("""COMPUTED_VALUE"""),115443.0)</f>
        <v>115443</v>
      </c>
      <c r="K493" s="213">
        <f>IFERROR(__xludf.DUMMYFUNCTION("""COMPUTED_VALUE"""),66454.0)</f>
        <v>66454</v>
      </c>
      <c r="L493" s="214">
        <f>IFERROR(__xludf.DUMMYFUNCTION("""COMPUTED_VALUE"""),0.5756)</f>
        <v>0.5756</v>
      </c>
      <c r="M493" s="214">
        <f>IFERROR(__xludf.DUMMYFUNCTION("""COMPUTED_VALUE"""),0.0)</f>
        <v>0</v>
      </c>
      <c r="N493" s="214">
        <f>IFERROR(__xludf.DUMMYFUNCTION("""COMPUTED_VALUE"""),0.0)</f>
        <v>0</v>
      </c>
      <c r="O493" s="213">
        <f>IFERROR(__xludf.DUMMYFUNCTION("""COMPUTED_VALUE"""),75.0)</f>
        <v>75</v>
      </c>
      <c r="P493" s="213">
        <f>IFERROR(__xludf.DUMMYFUNCTION("""COMPUTED_VALUE"""),0.0)</f>
        <v>0</v>
      </c>
      <c r="Q493" s="214">
        <f>IFERROR(__xludf.DUMMYFUNCTION("""COMPUTED_VALUE"""),0.0011)</f>
        <v>0.0011</v>
      </c>
      <c r="R493" s="214">
        <f>IFERROR(__xludf.DUMMYFUNCTION("""COMPUTED_VALUE"""),0.0)</f>
        <v>0</v>
      </c>
      <c r="S493" s="101">
        <f>IFERROR(__xludf.DUMMYFUNCTION("""COMPUTED_VALUE"""),1.0)</f>
        <v>1</v>
      </c>
      <c r="T493" s="101">
        <f>IFERROR(__xludf.DUMMYFUNCTION("""COMPUTED_VALUE"""),7.0)</f>
        <v>7</v>
      </c>
      <c r="U493" s="270">
        <f>IFERROR(__xludf.DUMMYFUNCTION("""COMPUTED_VALUE"""),849.0)</f>
        <v>849</v>
      </c>
      <c r="V493" s="271" t="str">
        <f>IFERROR(__xludf.DUMMYFUNCTION("""COMPUTED_VALUE"""),"offline")</f>
        <v>offline</v>
      </c>
      <c r="W493" s="272" t="str">
        <f>IFERROR(__xludf.DUMMYFUNCTION("""COMPUTED_VALUE"""),"sms")</f>
        <v>sms</v>
      </c>
      <c r="X493" s="272" t="str">
        <f>IFERROR(__xludf.DUMMYFUNCTION("""COMPUTED_VALUE"""),"Dormant")</f>
        <v>Dormant</v>
      </c>
      <c r="Y493" s="272" t="str">
        <f>IFERROR(__xludf.DUMMYFUNCTION("""COMPUTED_VALUE"""),"18 April")</f>
        <v>18 April</v>
      </c>
      <c r="Z493" s="272" t="str">
        <f>IFERROR(__xludf.DUMMYFUNCTION("""COMPUTED_VALUE"""),"69e0b525d20889c4501c6a20")</f>
        <v>69e0b525d20889c4501c6a20</v>
      </c>
      <c r="AA493" s="272">
        <f>IFERROR(__xludf.DUMMYFUNCTION("""COMPUTED_VALUE"""),98.0)</f>
        <v>98</v>
      </c>
      <c r="AB493" s="272"/>
      <c r="AC493" s="272">
        <f>IFERROR(__xludf.DUMMYFUNCTION("""COMPUTED_VALUE"""),98.0)</f>
        <v>98</v>
      </c>
      <c r="AD493" s="272">
        <f>IFERROR(__xludf.DUMMYFUNCTION("""COMPUTED_VALUE"""),310477.0)</f>
        <v>310477</v>
      </c>
      <c r="AE493" s="272"/>
      <c r="AF493" s="272">
        <f>IFERROR(__xludf.DUMMYFUNCTION("""COMPUTED_VALUE"""),310477.0)</f>
        <v>310477</v>
      </c>
      <c r="AG493" s="208"/>
      <c r="AH493" s="208"/>
      <c r="AI493" s="208"/>
      <c r="AJ493" s="208"/>
      <c r="AK493" s="208"/>
    </row>
    <row r="494" hidden="1">
      <c r="A494" s="209">
        <f>IFERROR(__xludf.DUMMYFUNCTION("""COMPUTED_VALUE"""),46130.0)</f>
        <v>46130</v>
      </c>
      <c r="B494" s="210">
        <f>IFERROR(__xludf.DUMMYFUNCTION("""COMPUTED_VALUE"""),0.8333333333321207)</f>
        <v>0.8333333333</v>
      </c>
      <c r="C494" s="211" t="str">
        <f>IFERROR(__xludf.DUMMYFUNCTION("""COMPUTED_VALUE"""),"Sms")</f>
        <v>Sms</v>
      </c>
      <c r="D494" s="211" t="str">
        <f>IFERROR(__xludf.DUMMYFUNCTION("""COMPUTED_VALUE"""),"Fallback campaign")</f>
        <v>Fallback campaign</v>
      </c>
      <c r="E494" s="211" t="str">
        <f>IFERROR(__xludf.DUMMYFUNCTION("""COMPUTED_VALUE"""),"BBW")</f>
        <v>BBW</v>
      </c>
      <c r="F494" s="211" t="str">
        <f>IFERROR(__xludf.DUMMYFUNCTION("""COMPUTED_VALUE"""),"MSS Campaigns")</f>
        <v>MSS Campaigns</v>
      </c>
      <c r="G494" s="212" t="str">
        <f>IFERROR(__xludf.DUMMYFUNCTION("""COMPUTED_VALUE"""),"bbw_mss_18april_smsfb_lastreminder_churned_550to1095d_offline")</f>
        <v>bbw_mss_18april_smsfb_lastreminder_churned_550to1095d_offline</v>
      </c>
      <c r="H494" s="212" t="str">
        <f>IFERROR(__xludf.DUMMYFUNCTION("""COMPUTED_VALUE"""),"BBW_Churned_550_1095D_Offline")</f>
        <v>BBW_Churned_550_1095D_Offline</v>
      </c>
      <c r="I494" s="212" t="str">
        <f>IFERROR(__xludf.DUMMYFUNCTION("""COMPUTED_VALUE"""),"WA Undelivered")</f>
        <v>WA Undelivered</v>
      </c>
      <c r="J494" s="213">
        <f>IFERROR(__xludf.DUMMYFUNCTION("""COMPUTED_VALUE"""),89666.0)</f>
        <v>89666</v>
      </c>
      <c r="K494" s="213">
        <f>IFERROR(__xludf.DUMMYFUNCTION("""COMPUTED_VALUE"""),49638.0)</f>
        <v>49638</v>
      </c>
      <c r="L494" s="214">
        <f>IFERROR(__xludf.DUMMYFUNCTION("""COMPUTED_VALUE"""),0.5536)</f>
        <v>0.5536</v>
      </c>
      <c r="M494" s="213">
        <f>IFERROR(__xludf.DUMMYFUNCTION("""COMPUTED_VALUE"""),0.0)</f>
        <v>0</v>
      </c>
      <c r="N494" s="214">
        <f>IFERROR(__xludf.DUMMYFUNCTION("""COMPUTED_VALUE"""),0.0)</f>
        <v>0</v>
      </c>
      <c r="O494" s="213">
        <f>IFERROR(__xludf.DUMMYFUNCTION("""COMPUTED_VALUE"""),48.0)</f>
        <v>48</v>
      </c>
      <c r="P494" s="213">
        <f>IFERROR(__xludf.DUMMYFUNCTION("""COMPUTED_VALUE"""),0.0)</f>
        <v>0</v>
      </c>
      <c r="Q494" s="214">
        <f>IFERROR(__xludf.DUMMYFUNCTION("""COMPUTED_VALUE"""),0.001)</f>
        <v>0.001</v>
      </c>
      <c r="R494" s="214">
        <f>IFERROR(__xludf.DUMMYFUNCTION("""COMPUTED_VALUE"""),0.0)</f>
        <v>0</v>
      </c>
      <c r="S494" s="101">
        <f>IFERROR(__xludf.DUMMYFUNCTION("""COMPUTED_VALUE"""),1.0)</f>
        <v>1</v>
      </c>
      <c r="T494" s="101">
        <f>IFERROR(__xludf.DUMMYFUNCTION("""COMPUTED_VALUE"""),1.0)</f>
        <v>1</v>
      </c>
      <c r="U494" s="270">
        <f>IFERROR(__xludf.DUMMYFUNCTION("""COMPUTED_VALUE"""),2913.0)</f>
        <v>2913</v>
      </c>
      <c r="V494" s="271" t="str">
        <f>IFERROR(__xludf.DUMMYFUNCTION("""COMPUTED_VALUE"""),"offline")</f>
        <v>offline</v>
      </c>
      <c r="W494" s="272" t="str">
        <f>IFERROR(__xludf.DUMMYFUNCTION("""COMPUTED_VALUE"""),"sms")</f>
        <v>sms</v>
      </c>
      <c r="X494" s="272" t="str">
        <f>IFERROR(__xludf.DUMMYFUNCTION("""COMPUTED_VALUE"""),"Churned")</f>
        <v>Churned</v>
      </c>
      <c r="Y494" s="272" t="str">
        <f>IFERROR(__xludf.DUMMYFUNCTION("""COMPUTED_VALUE"""),"18 April")</f>
        <v>18 April</v>
      </c>
      <c r="Z494" s="272" t="str">
        <f>IFERROR(__xludf.DUMMYFUNCTION("""COMPUTED_VALUE"""),"69e0b57a195c60290d7ae74e")</f>
        <v>69e0b57a195c60290d7ae74e</v>
      </c>
      <c r="AA494" s="272">
        <f>IFERROR(__xludf.DUMMYFUNCTION("""COMPUTED_VALUE"""),40.0)</f>
        <v>40</v>
      </c>
      <c r="AB494" s="272"/>
      <c r="AC494" s="272">
        <f>IFERROR(__xludf.DUMMYFUNCTION("""COMPUTED_VALUE"""),40.0)</f>
        <v>40</v>
      </c>
      <c r="AD494" s="272">
        <f>IFERROR(__xludf.DUMMYFUNCTION("""COMPUTED_VALUE"""),154919.0)</f>
        <v>154919</v>
      </c>
      <c r="AE494" s="272"/>
      <c r="AF494" s="272">
        <f>IFERROR(__xludf.DUMMYFUNCTION("""COMPUTED_VALUE"""),154919.0)</f>
        <v>154919</v>
      </c>
      <c r="AG494" s="208"/>
      <c r="AH494" s="208"/>
      <c r="AI494" s="208"/>
      <c r="AJ494" s="208"/>
      <c r="AK494" s="208"/>
    </row>
    <row r="495" hidden="1">
      <c r="A495" s="209">
        <f>IFERROR(__xludf.DUMMYFUNCTION("""COMPUTED_VALUE"""),46130.0)</f>
        <v>46130</v>
      </c>
      <c r="B495" s="210">
        <f>IFERROR(__xludf.DUMMYFUNCTION("""COMPUTED_VALUE"""),0.8333333333321207)</f>
        <v>0.8333333333</v>
      </c>
      <c r="C495" s="211" t="str">
        <f>IFERROR(__xludf.DUMMYFUNCTION("""COMPUTED_VALUE"""),"Sms")</f>
        <v>Sms</v>
      </c>
      <c r="D495" s="211" t="str">
        <f>IFERROR(__xludf.DUMMYFUNCTION("""COMPUTED_VALUE"""),"Fallback campaign")</f>
        <v>Fallback campaign</v>
      </c>
      <c r="E495" s="211" t="str">
        <f>IFERROR(__xludf.DUMMYFUNCTION("""COMPUTED_VALUE"""),"BBW")</f>
        <v>BBW</v>
      </c>
      <c r="F495" s="211" t="str">
        <f>IFERROR(__xludf.DUMMYFUNCTION("""COMPUTED_VALUE"""),"MSS Campaigns")</f>
        <v>MSS Campaigns</v>
      </c>
      <c r="G495" s="212" t="str">
        <f>IFERROR(__xludf.DUMMYFUNCTION("""COMPUTED_VALUE"""),"bbw_mss_18april_smsfb_lastreminder_churned_336to549d_offline")</f>
        <v>bbw_mss_18april_smsfb_lastreminder_churned_336to549d_offline</v>
      </c>
      <c r="H495" s="212" t="str">
        <f>IFERROR(__xludf.DUMMYFUNCTION("""COMPUTED_VALUE"""),"BBW_Churned_336_549D_Offline")</f>
        <v>BBW_Churned_336_549D_Offline</v>
      </c>
      <c r="I495" s="212" t="str">
        <f>IFERROR(__xludf.DUMMYFUNCTION("""COMPUTED_VALUE"""),"WA Undelivered")</f>
        <v>WA Undelivered</v>
      </c>
      <c r="J495" s="213">
        <f>IFERROR(__xludf.DUMMYFUNCTION("""COMPUTED_VALUE"""),90198.0)</f>
        <v>90198</v>
      </c>
      <c r="K495" s="213">
        <f>IFERROR(__xludf.DUMMYFUNCTION("""COMPUTED_VALUE"""),51771.0)</f>
        <v>51771</v>
      </c>
      <c r="L495" s="214">
        <f>IFERROR(__xludf.DUMMYFUNCTION("""COMPUTED_VALUE"""),0.574)</f>
        <v>0.574</v>
      </c>
      <c r="M495" s="214">
        <f>IFERROR(__xludf.DUMMYFUNCTION("""COMPUTED_VALUE"""),0.0)</f>
        <v>0</v>
      </c>
      <c r="N495" s="214">
        <f>IFERROR(__xludf.DUMMYFUNCTION("""COMPUTED_VALUE"""),0.0)</f>
        <v>0</v>
      </c>
      <c r="O495" s="213">
        <f>IFERROR(__xludf.DUMMYFUNCTION("""COMPUTED_VALUE"""),53.0)</f>
        <v>53</v>
      </c>
      <c r="P495" s="213">
        <f>IFERROR(__xludf.DUMMYFUNCTION("""COMPUTED_VALUE"""),0.0)</f>
        <v>0</v>
      </c>
      <c r="Q495" s="214">
        <f>IFERROR(__xludf.DUMMYFUNCTION("""COMPUTED_VALUE"""),0.001)</f>
        <v>0.001</v>
      </c>
      <c r="R495" s="214">
        <f>IFERROR(__xludf.DUMMYFUNCTION("""COMPUTED_VALUE"""),0.0)</f>
        <v>0</v>
      </c>
      <c r="S495" s="101">
        <f>IFERROR(__xludf.DUMMYFUNCTION("""COMPUTED_VALUE"""),1.0)</f>
        <v>1</v>
      </c>
      <c r="T495" s="101">
        <f>IFERROR(__xludf.DUMMYFUNCTION("""COMPUTED_VALUE"""),3.0)</f>
        <v>3</v>
      </c>
      <c r="U495" s="270">
        <f>IFERROR(__xludf.DUMMYFUNCTION("""COMPUTED_VALUE"""),4210.0)</f>
        <v>4210</v>
      </c>
      <c r="V495" s="271" t="str">
        <f>IFERROR(__xludf.DUMMYFUNCTION("""COMPUTED_VALUE"""),"offline")</f>
        <v>offline</v>
      </c>
      <c r="W495" s="272" t="str">
        <f>IFERROR(__xludf.DUMMYFUNCTION("""COMPUTED_VALUE"""),"sms")</f>
        <v>sms</v>
      </c>
      <c r="X495" s="272" t="str">
        <f>IFERROR(__xludf.DUMMYFUNCTION("""COMPUTED_VALUE"""),"Churned")</f>
        <v>Churned</v>
      </c>
      <c r="Y495" s="272" t="str">
        <f>IFERROR(__xludf.DUMMYFUNCTION("""COMPUTED_VALUE"""),"18 April")</f>
        <v>18 April</v>
      </c>
      <c r="Z495" s="272" t="str">
        <f>IFERROR(__xludf.DUMMYFUNCTION("""COMPUTED_VALUE"""),"69e0b5b45ec0cadffff85f05")</f>
        <v>69e0b5b45ec0cadffff85f05</v>
      </c>
      <c r="AA495" s="272">
        <f>IFERROR(__xludf.DUMMYFUNCTION("""COMPUTED_VALUE"""),47.0)</f>
        <v>47</v>
      </c>
      <c r="AB495" s="272"/>
      <c r="AC495" s="272">
        <f>IFERROR(__xludf.DUMMYFUNCTION("""COMPUTED_VALUE"""),47.0)</f>
        <v>47</v>
      </c>
      <c r="AD495" s="272">
        <f>IFERROR(__xludf.DUMMYFUNCTION("""COMPUTED_VALUE"""),143591.0)</f>
        <v>143591</v>
      </c>
      <c r="AE495" s="272"/>
      <c r="AF495" s="272">
        <f>IFERROR(__xludf.DUMMYFUNCTION("""COMPUTED_VALUE"""),143591.0)</f>
        <v>143591</v>
      </c>
      <c r="AG495" s="208"/>
      <c r="AH495" s="208"/>
      <c r="AI495" s="208"/>
      <c r="AJ495" s="208"/>
      <c r="AK495" s="208"/>
    </row>
    <row r="496" hidden="1">
      <c r="A496" s="209">
        <f>IFERROR(__xludf.DUMMYFUNCTION("""COMPUTED_VALUE"""),46131.0)</f>
        <v>46131</v>
      </c>
      <c r="B496" s="210">
        <f>IFERROR(__xludf.DUMMYFUNCTION("""COMPUTED_VALUE"""),0.75)</f>
        <v>0.75</v>
      </c>
      <c r="C496" s="211" t="str">
        <f>IFERROR(__xludf.DUMMYFUNCTION("""COMPUTED_VALUE"""),"Whatsapp")</f>
        <v>Whatsapp</v>
      </c>
      <c r="D496" s="211" t="str">
        <f>IFERROR(__xludf.DUMMYFUNCTION("""COMPUTED_VALUE"""),"Promtional")</f>
        <v>Promtional</v>
      </c>
      <c r="E496" s="211" t="str">
        <f>IFERROR(__xludf.DUMMYFUNCTION("""COMPUTED_VALUE"""),"BBW")</f>
        <v>BBW</v>
      </c>
      <c r="F496" s="211" t="str">
        <f>IFERROR(__xludf.DUMMYFUNCTION("""COMPUTED_VALUE"""),"MSS Campaigns")</f>
        <v>MSS Campaigns</v>
      </c>
      <c r="G496" s="212" t="str">
        <f>IFERROR(__xludf.DUMMYFUNCTION("""COMPUTED_VALUE"""),"bbw_mss_19april_wa_lastreminder_active_online")</f>
        <v>bbw_mss_19april_wa_lastreminder_active_online</v>
      </c>
      <c r="H496" s="212" t="str">
        <f>IFERROR(__xludf.DUMMYFUNCTION("""COMPUTED_VALUE"""),"BBW_Active_Base_Online")</f>
        <v>BBW_Active_Base_Online</v>
      </c>
      <c r="I496" s="212" t="str">
        <f>IFERROR(__xludf.DUMMYFUNCTION("""COMPUTED_VALUE"""),"Online Customers who have purchased in TTR (90 days)")</f>
        <v>Online Customers who have purchased in TTR (90 days)</v>
      </c>
      <c r="J496" s="213">
        <f>IFERROR(__xludf.DUMMYFUNCTION("""COMPUTED_VALUE"""),26014.0)</f>
        <v>26014</v>
      </c>
      <c r="K496" s="213">
        <f>IFERROR(__xludf.DUMMYFUNCTION("""COMPUTED_VALUE"""),9865.0)</f>
        <v>9865</v>
      </c>
      <c r="L496" s="214">
        <f>IFERROR(__xludf.DUMMYFUNCTION("""COMPUTED_VALUE"""),0.3792)</f>
        <v>0.3792</v>
      </c>
      <c r="M496" s="214">
        <f>IFERROR(__xludf.DUMMYFUNCTION("""COMPUTED_VALUE"""),3529.0)</f>
        <v>3529</v>
      </c>
      <c r="N496" s="214">
        <f>IFERROR(__xludf.DUMMYFUNCTION("""COMPUTED_VALUE"""),0.3578)</f>
        <v>0.3578</v>
      </c>
      <c r="O496" s="213">
        <f>IFERROR(__xludf.DUMMYFUNCTION("""COMPUTED_VALUE"""),520.0)</f>
        <v>520</v>
      </c>
      <c r="P496" s="213">
        <f>IFERROR(__xludf.DUMMYFUNCTION("""COMPUTED_VALUE"""),476.0)</f>
        <v>476</v>
      </c>
      <c r="Q496" s="214">
        <f>IFERROR(__xludf.DUMMYFUNCTION("""COMPUTED_VALUE"""),0.0483)</f>
        <v>0.0483</v>
      </c>
      <c r="R496" s="214">
        <f>IFERROR(__xludf.DUMMYFUNCTION("""COMPUTED_VALUE"""),0.1349)</f>
        <v>0.1349</v>
      </c>
      <c r="S496" s="101">
        <f>IFERROR(__xludf.DUMMYFUNCTION("""COMPUTED_VALUE"""),8.0)</f>
        <v>8</v>
      </c>
      <c r="T496" s="101">
        <f>IFERROR(__xludf.DUMMYFUNCTION("""COMPUTED_VALUE"""),20.0)</f>
        <v>20</v>
      </c>
      <c r="U496" s="270">
        <f>IFERROR(__xludf.DUMMYFUNCTION("""COMPUTED_VALUE"""),12357.0)</f>
        <v>12357</v>
      </c>
      <c r="V496" s="271" t="str">
        <f>IFERROR(__xludf.DUMMYFUNCTION("""COMPUTED_VALUE"""),"online")</f>
        <v>online</v>
      </c>
      <c r="W496" s="272" t="str">
        <f>IFERROR(__xludf.DUMMYFUNCTION("""COMPUTED_VALUE"""),"simple")</f>
        <v>simple</v>
      </c>
      <c r="X496" s="272" t="str">
        <f>IFERROR(__xludf.DUMMYFUNCTION("""COMPUTED_VALUE"""),"Active")</f>
        <v>Active</v>
      </c>
      <c r="Y496" s="272" t="str">
        <f>IFERROR(__xludf.DUMMYFUNCTION("""COMPUTED_VALUE"""),"19-21 April")</f>
        <v>19-21 April</v>
      </c>
      <c r="Z496" s="272" t="str">
        <f>IFERROR(__xludf.DUMMYFUNCTION("""COMPUTED_VALUE"""),"69e0b28ad7aedd44ba78297a")</f>
        <v>69e0b28ad7aedd44ba78297a</v>
      </c>
      <c r="AA496" s="272">
        <f>IFERROR(__xludf.DUMMYFUNCTION("""COMPUTED_VALUE"""),104.0)</f>
        <v>104</v>
      </c>
      <c r="AB496" s="272">
        <f>IFERROR(__xludf.DUMMYFUNCTION("""COMPUTED_VALUE"""),104.0)</f>
        <v>104</v>
      </c>
      <c r="AC496" s="272"/>
      <c r="AD496" s="272">
        <f>IFERROR(__xludf.DUMMYFUNCTION("""COMPUTED_VALUE"""),211556.0)</f>
        <v>211556</v>
      </c>
      <c r="AE496" s="272">
        <f>IFERROR(__xludf.DUMMYFUNCTION("""COMPUTED_VALUE"""),211556.0)</f>
        <v>211556</v>
      </c>
      <c r="AF496" s="272"/>
      <c r="AG496" s="208"/>
      <c r="AH496" s="208"/>
      <c r="AI496" s="208"/>
      <c r="AJ496" s="208"/>
      <c r="AK496" s="208"/>
    </row>
    <row r="497" hidden="1">
      <c r="A497" s="209">
        <f>IFERROR(__xludf.DUMMYFUNCTION("""COMPUTED_VALUE"""),46131.0)</f>
        <v>46131</v>
      </c>
      <c r="B497" s="210">
        <f>IFERROR(__xludf.DUMMYFUNCTION("""COMPUTED_VALUE"""),0.75)</f>
        <v>0.75</v>
      </c>
      <c r="C497" s="211" t="str">
        <f>IFERROR(__xludf.DUMMYFUNCTION("""COMPUTED_VALUE"""),"Whatsapp")</f>
        <v>Whatsapp</v>
      </c>
      <c r="D497" s="211" t="str">
        <f>IFERROR(__xludf.DUMMYFUNCTION("""COMPUTED_VALUE"""),"Promtional")</f>
        <v>Promtional</v>
      </c>
      <c r="E497" s="211" t="str">
        <f>IFERROR(__xludf.DUMMYFUNCTION("""COMPUTED_VALUE"""),"BBW")</f>
        <v>BBW</v>
      </c>
      <c r="F497" s="211" t="str">
        <f>IFERROR(__xludf.DUMMYFUNCTION("""COMPUTED_VALUE"""),"MSS Campaigns")</f>
        <v>MSS Campaigns</v>
      </c>
      <c r="G497" s="212" t="str">
        <f>IFERROR(__xludf.DUMMYFUNCTION("""COMPUTED_VALUE"""),"bbw_mss_19april_wa_lastreminder_dormant_online")</f>
        <v>bbw_mss_19april_wa_lastreminder_dormant_online</v>
      </c>
      <c r="H497" s="212" t="str">
        <f>IFERROR(__xludf.DUMMYFUNCTION("""COMPUTED_VALUE"""),"BBW_Dormant_Base_Online")</f>
        <v>BBW_Dormant_Base_Online</v>
      </c>
      <c r="I497" s="212" t="str">
        <f>IFERROR(__xludf.DUMMYFUNCTION("""COMPUTED_VALUE"""),"Online Customers who have purchased in last 365 days but not in TTR (90 days)")</f>
        <v>Online Customers who have purchased in last 365 days but not in TTR (90 days)</v>
      </c>
      <c r="J497" s="213">
        <f>IFERROR(__xludf.DUMMYFUNCTION("""COMPUTED_VALUE"""),108275.0)</f>
        <v>108275</v>
      </c>
      <c r="K497" s="213">
        <f>IFERROR(__xludf.DUMMYFUNCTION("""COMPUTED_VALUE"""),40587.0)</f>
        <v>40587</v>
      </c>
      <c r="L497" s="214">
        <f>IFERROR(__xludf.DUMMYFUNCTION("""COMPUTED_VALUE"""),0.3747)</f>
        <v>0.3747</v>
      </c>
      <c r="M497" s="214">
        <f>IFERROR(__xludf.DUMMYFUNCTION("""COMPUTED_VALUE"""),12281.0)</f>
        <v>12281</v>
      </c>
      <c r="N497" s="214">
        <f>IFERROR(__xludf.DUMMYFUNCTION("""COMPUTED_VALUE"""),0.3027)</f>
        <v>0.3027</v>
      </c>
      <c r="O497" s="213">
        <f>IFERROR(__xludf.DUMMYFUNCTION("""COMPUTED_VALUE"""),1542.0)</f>
        <v>1542</v>
      </c>
      <c r="P497" s="213">
        <f>IFERROR(__xludf.DUMMYFUNCTION("""COMPUTED_VALUE"""),1445.0)</f>
        <v>1445</v>
      </c>
      <c r="Q497" s="214">
        <f>IFERROR(__xludf.DUMMYFUNCTION("""COMPUTED_VALUE"""),0.0356)</f>
        <v>0.0356</v>
      </c>
      <c r="R497" s="214">
        <f>IFERROR(__xludf.DUMMYFUNCTION("""COMPUTED_VALUE"""),0.1177)</f>
        <v>0.1177</v>
      </c>
      <c r="S497" s="101">
        <f>IFERROR(__xludf.DUMMYFUNCTION("""COMPUTED_VALUE"""),10.0)</f>
        <v>10</v>
      </c>
      <c r="T497" s="101">
        <f>IFERROR(__xludf.DUMMYFUNCTION("""COMPUTED_VALUE"""),28.0)</f>
        <v>28</v>
      </c>
      <c r="U497" s="270">
        <f>IFERROR(__xludf.DUMMYFUNCTION("""COMPUTED_VALUE"""),25036.0)</f>
        <v>25036</v>
      </c>
      <c r="V497" s="271" t="str">
        <f>IFERROR(__xludf.DUMMYFUNCTION("""COMPUTED_VALUE"""),"online")</f>
        <v>online</v>
      </c>
      <c r="W497" s="272" t="str">
        <f>IFERROR(__xludf.DUMMYFUNCTION("""COMPUTED_VALUE"""),"simple")</f>
        <v>simple</v>
      </c>
      <c r="X497" s="272" t="str">
        <f>IFERROR(__xludf.DUMMYFUNCTION("""COMPUTED_VALUE"""),"Dormant")</f>
        <v>Dormant</v>
      </c>
      <c r="Y497" s="272" t="str">
        <f>IFERROR(__xludf.DUMMYFUNCTION("""COMPUTED_VALUE"""),"19-21 April")</f>
        <v>19-21 April</v>
      </c>
      <c r="Z497" s="272" t="str">
        <f>IFERROR(__xludf.DUMMYFUNCTION("""COMPUTED_VALUE"""),"69e0b2b1ba1226eef3c4ca2b")</f>
        <v>69e0b2b1ba1226eef3c4ca2b</v>
      </c>
      <c r="AA497" s="272">
        <f>IFERROR(__xludf.DUMMYFUNCTION("""COMPUTED_VALUE"""),170.0)</f>
        <v>170</v>
      </c>
      <c r="AB497" s="272">
        <f>IFERROR(__xludf.DUMMYFUNCTION("""COMPUTED_VALUE"""),170.0)</f>
        <v>170</v>
      </c>
      <c r="AC497" s="272"/>
      <c r="AD497" s="272">
        <f>IFERROR(__xludf.DUMMYFUNCTION("""COMPUTED_VALUE"""),477136.0)</f>
        <v>477136</v>
      </c>
      <c r="AE497" s="272">
        <f>IFERROR(__xludf.DUMMYFUNCTION("""COMPUTED_VALUE"""),477136.0)</f>
        <v>477136</v>
      </c>
      <c r="AF497" s="272"/>
      <c r="AG497" s="208"/>
      <c r="AH497" s="208"/>
      <c r="AI497" s="208"/>
      <c r="AJ497" s="208"/>
      <c r="AK497" s="208"/>
    </row>
    <row r="498" hidden="1">
      <c r="A498" s="209">
        <f>IFERROR(__xludf.DUMMYFUNCTION("""COMPUTED_VALUE"""),46131.0)</f>
        <v>46131</v>
      </c>
      <c r="B498" s="210">
        <f>IFERROR(__xludf.DUMMYFUNCTION("""COMPUTED_VALUE"""),0.75)</f>
        <v>0.75</v>
      </c>
      <c r="C498" s="211" t="str">
        <f>IFERROR(__xludf.DUMMYFUNCTION("""COMPUTED_VALUE"""),"Whatsapp")</f>
        <v>Whatsapp</v>
      </c>
      <c r="D498" s="211" t="str">
        <f>IFERROR(__xludf.DUMMYFUNCTION("""COMPUTED_VALUE"""),"Promtional")</f>
        <v>Promtional</v>
      </c>
      <c r="E498" s="211" t="str">
        <f>IFERROR(__xludf.DUMMYFUNCTION("""COMPUTED_VALUE"""),"BBW")</f>
        <v>BBW</v>
      </c>
      <c r="F498" s="211" t="str">
        <f>IFERROR(__xludf.DUMMYFUNCTION("""COMPUTED_VALUE"""),"MSS Campaigns")</f>
        <v>MSS Campaigns</v>
      </c>
      <c r="G498" s="212" t="str">
        <f>IFERROR(__xludf.DUMMYFUNCTION("""COMPUTED_VALUE"""),"bbw_mss_19april_wa_lastreminder_churned_online")</f>
        <v>bbw_mss_19april_wa_lastreminder_churned_online</v>
      </c>
      <c r="H498" s="212" t="str">
        <f>IFERROR(__xludf.DUMMYFUNCTION("""COMPUTED_VALUE"""),"BBW_Churned_Base_Online")</f>
        <v>BBW_Churned_Base_Online</v>
      </c>
      <c r="I498" s="212" t="str">
        <f>IFERROR(__xludf.DUMMYFUNCTION("""COMPUTED_VALUE"""),"Online Customers who have purchased in last 1095 days but not in last 365 days")</f>
        <v>Online Customers who have purchased in last 1095 days but not in last 365 days</v>
      </c>
      <c r="J498" s="213">
        <f>IFERROR(__xludf.DUMMYFUNCTION("""COMPUTED_VALUE"""),201972.0)</f>
        <v>201972</v>
      </c>
      <c r="K498" s="213">
        <f>IFERROR(__xludf.DUMMYFUNCTION("""COMPUTED_VALUE"""),71456.0)</f>
        <v>71456</v>
      </c>
      <c r="L498" s="214">
        <f>IFERROR(__xludf.DUMMYFUNCTION("""COMPUTED_VALUE"""),0.3537)</f>
        <v>0.3537</v>
      </c>
      <c r="M498" s="214">
        <f>IFERROR(__xludf.DUMMYFUNCTION("""COMPUTED_VALUE"""),19142.0)</f>
        <v>19142</v>
      </c>
      <c r="N498" s="214">
        <f>IFERROR(__xludf.DUMMYFUNCTION("""COMPUTED_VALUE"""),0.268)</f>
        <v>0.268</v>
      </c>
      <c r="O498" s="213">
        <f>IFERROR(__xludf.DUMMYFUNCTION("""COMPUTED_VALUE"""),1842.0)</f>
        <v>1842</v>
      </c>
      <c r="P498" s="213">
        <f>IFERROR(__xludf.DUMMYFUNCTION("""COMPUTED_VALUE"""),1753.0)</f>
        <v>1753</v>
      </c>
      <c r="Q498" s="214">
        <f>IFERROR(__xludf.DUMMYFUNCTION("""COMPUTED_VALUE"""),0.0245)</f>
        <v>0.0245</v>
      </c>
      <c r="R498" s="214">
        <f>IFERROR(__xludf.DUMMYFUNCTION("""COMPUTED_VALUE"""),0.0916)</f>
        <v>0.0916</v>
      </c>
      <c r="S498" s="101">
        <f>IFERROR(__xludf.DUMMYFUNCTION("""COMPUTED_VALUE"""),5.0)</f>
        <v>5</v>
      </c>
      <c r="T498" s="101">
        <f>IFERROR(__xludf.DUMMYFUNCTION("""COMPUTED_VALUE"""),13.0)</f>
        <v>13</v>
      </c>
      <c r="U498" s="270">
        <f>IFERROR(__xludf.DUMMYFUNCTION("""COMPUTED_VALUE"""),17035.0)</f>
        <v>17035</v>
      </c>
      <c r="V498" s="271" t="str">
        <f>IFERROR(__xludf.DUMMYFUNCTION("""COMPUTED_VALUE"""),"online")</f>
        <v>online</v>
      </c>
      <c r="W498" s="272" t="str">
        <f>IFERROR(__xludf.DUMMYFUNCTION("""COMPUTED_VALUE"""),"simple")</f>
        <v>simple</v>
      </c>
      <c r="X498" s="272" t="str">
        <f>IFERROR(__xludf.DUMMYFUNCTION("""COMPUTED_VALUE"""),"Churned")</f>
        <v>Churned</v>
      </c>
      <c r="Y498" s="272" t="str">
        <f>IFERROR(__xludf.DUMMYFUNCTION("""COMPUTED_VALUE"""),"19-21 April")</f>
        <v>19-21 April</v>
      </c>
      <c r="Z498" s="272" t="str">
        <f>IFERROR(__xludf.DUMMYFUNCTION("""COMPUTED_VALUE"""),"69e0b2ed330c53486485a611")</f>
        <v>69e0b2ed330c53486485a611</v>
      </c>
      <c r="AA498" s="272">
        <f>IFERROR(__xludf.DUMMYFUNCTION("""COMPUTED_VALUE"""),103.0)</f>
        <v>103</v>
      </c>
      <c r="AB498" s="272">
        <f>IFERROR(__xludf.DUMMYFUNCTION("""COMPUTED_VALUE"""),103.0)</f>
        <v>103</v>
      </c>
      <c r="AC498" s="272"/>
      <c r="AD498" s="272">
        <f>IFERROR(__xludf.DUMMYFUNCTION("""COMPUTED_VALUE"""),261463.0)</f>
        <v>261463</v>
      </c>
      <c r="AE498" s="272">
        <f>IFERROR(__xludf.DUMMYFUNCTION("""COMPUTED_VALUE"""),261463.0)</f>
        <v>261463</v>
      </c>
      <c r="AF498" s="272"/>
      <c r="AG498" s="208"/>
      <c r="AH498" s="208"/>
      <c r="AI498" s="208"/>
      <c r="AJ498" s="208"/>
      <c r="AK498" s="208"/>
    </row>
    <row r="499" hidden="1">
      <c r="A499" s="209">
        <f>IFERROR(__xludf.DUMMYFUNCTION("""COMPUTED_VALUE"""),46131.0)</f>
        <v>46131</v>
      </c>
      <c r="B499" s="210">
        <f>IFERROR(__xludf.DUMMYFUNCTION("""COMPUTED_VALUE"""),0.8125)</f>
        <v>0.8125</v>
      </c>
      <c r="C499" s="211" t="str">
        <f>IFERROR(__xludf.DUMMYFUNCTION("""COMPUTED_VALUE"""),"Sms")</f>
        <v>Sms</v>
      </c>
      <c r="D499" s="211" t="str">
        <f>IFERROR(__xludf.DUMMYFUNCTION("""COMPUTED_VALUE"""),"Fallback campaign")</f>
        <v>Fallback campaign</v>
      </c>
      <c r="E499" s="211" t="str">
        <f>IFERROR(__xludf.DUMMYFUNCTION("""COMPUTED_VALUE"""),"BBW")</f>
        <v>BBW</v>
      </c>
      <c r="F499" s="211" t="str">
        <f>IFERROR(__xludf.DUMMYFUNCTION("""COMPUTED_VALUE"""),"MSS Campaigns")</f>
        <v>MSS Campaigns</v>
      </c>
      <c r="G499" s="212" t="str">
        <f>IFERROR(__xludf.DUMMYFUNCTION("""COMPUTED_VALUE"""),"bbw_mss_19april_smsfb_lastreminder_active_online")</f>
        <v>bbw_mss_19april_smsfb_lastreminder_active_online</v>
      </c>
      <c r="H499" s="212" t="str">
        <f>IFERROR(__xludf.DUMMYFUNCTION("""COMPUTED_VALUE"""),"BBW_Active_Base_Online")</f>
        <v>BBW_Active_Base_Online</v>
      </c>
      <c r="I499" s="212" t="str">
        <f>IFERROR(__xludf.DUMMYFUNCTION("""COMPUTED_VALUE"""),"WA Undelivered")</f>
        <v>WA Undelivered</v>
      </c>
      <c r="J499" s="213">
        <f>IFERROR(__xludf.DUMMYFUNCTION("""COMPUTED_VALUE"""),15845.0)</f>
        <v>15845</v>
      </c>
      <c r="K499" s="213">
        <f>IFERROR(__xludf.DUMMYFUNCTION("""COMPUTED_VALUE"""),8609.0)</f>
        <v>8609</v>
      </c>
      <c r="L499" s="214">
        <f>IFERROR(__xludf.DUMMYFUNCTION("""COMPUTED_VALUE"""),0.5433)</f>
        <v>0.5433</v>
      </c>
      <c r="M499" s="214">
        <f>IFERROR(__xludf.DUMMYFUNCTION("""COMPUTED_VALUE"""),0.0)</f>
        <v>0</v>
      </c>
      <c r="N499" s="214">
        <f>IFERROR(__xludf.DUMMYFUNCTION("""COMPUTED_VALUE"""),0.0)</f>
        <v>0</v>
      </c>
      <c r="O499" s="213">
        <f>IFERROR(__xludf.DUMMYFUNCTION("""COMPUTED_VALUE"""),34.0)</f>
        <v>34</v>
      </c>
      <c r="P499" s="213">
        <f>IFERROR(__xludf.DUMMYFUNCTION("""COMPUTED_VALUE"""),0.0)</f>
        <v>0</v>
      </c>
      <c r="Q499" s="214">
        <f>IFERROR(__xludf.DUMMYFUNCTION("""COMPUTED_VALUE"""),0.0039)</f>
        <v>0.0039</v>
      </c>
      <c r="R499" s="214">
        <f>IFERROR(__xludf.DUMMYFUNCTION("""COMPUTED_VALUE"""),0.0)</f>
        <v>0</v>
      </c>
      <c r="S499" s="101">
        <f>IFERROR(__xludf.DUMMYFUNCTION("""COMPUTED_VALUE"""),1.0)</f>
        <v>1</v>
      </c>
      <c r="T499" s="101">
        <f>IFERROR(__xludf.DUMMYFUNCTION("""COMPUTED_VALUE"""),9.0)</f>
        <v>9</v>
      </c>
      <c r="U499" s="270">
        <f>IFERROR(__xludf.DUMMYFUNCTION("""COMPUTED_VALUE"""),2520.0)</f>
        <v>2520</v>
      </c>
      <c r="V499" s="271" t="str">
        <f>IFERROR(__xludf.DUMMYFUNCTION("""COMPUTED_VALUE"""),"online")</f>
        <v>online</v>
      </c>
      <c r="W499" s="272" t="str">
        <f>IFERROR(__xludf.DUMMYFUNCTION("""COMPUTED_VALUE"""),"sms")</f>
        <v>sms</v>
      </c>
      <c r="X499" s="272" t="str">
        <f>IFERROR(__xludf.DUMMYFUNCTION("""COMPUTED_VALUE"""),"Active")</f>
        <v>Active</v>
      </c>
      <c r="Y499" s="272" t="str">
        <f>IFERROR(__xludf.DUMMYFUNCTION("""COMPUTED_VALUE"""),"19 April")</f>
        <v>19 April</v>
      </c>
      <c r="Z499" s="272" t="str">
        <f>IFERROR(__xludf.DUMMYFUNCTION("""COMPUTED_VALUE"""),"69e0b5f7ad7000ff20244b96")</f>
        <v>69e0b5f7ad7000ff20244b96</v>
      </c>
      <c r="AA499" s="272">
        <f>IFERROR(__xludf.DUMMYFUNCTION("""COMPUTED_VALUE"""),36.0)</f>
        <v>36</v>
      </c>
      <c r="AB499" s="272">
        <f>IFERROR(__xludf.DUMMYFUNCTION("""COMPUTED_VALUE"""),36.0)</f>
        <v>36</v>
      </c>
      <c r="AC499" s="272"/>
      <c r="AD499" s="272">
        <f>IFERROR(__xludf.DUMMYFUNCTION("""COMPUTED_VALUE"""),70145.0)</f>
        <v>70145</v>
      </c>
      <c r="AE499" s="272">
        <f>IFERROR(__xludf.DUMMYFUNCTION("""COMPUTED_VALUE"""),70145.0)</f>
        <v>70145</v>
      </c>
      <c r="AF499" s="272"/>
      <c r="AG499" s="208"/>
      <c r="AH499" s="208"/>
      <c r="AI499" s="208"/>
      <c r="AJ499" s="208"/>
      <c r="AK499" s="208"/>
    </row>
    <row r="500" hidden="1">
      <c r="A500" s="209">
        <f>IFERROR(__xludf.DUMMYFUNCTION("""COMPUTED_VALUE"""),46131.0)</f>
        <v>46131</v>
      </c>
      <c r="B500" s="210">
        <f>IFERROR(__xludf.DUMMYFUNCTION("""COMPUTED_VALUE"""),0.8125)</f>
        <v>0.8125</v>
      </c>
      <c r="C500" s="211" t="str">
        <f>IFERROR(__xludf.DUMMYFUNCTION("""COMPUTED_VALUE"""),"Sms")</f>
        <v>Sms</v>
      </c>
      <c r="D500" s="211" t="str">
        <f>IFERROR(__xludf.DUMMYFUNCTION("""COMPUTED_VALUE"""),"Fallback campaign")</f>
        <v>Fallback campaign</v>
      </c>
      <c r="E500" s="211" t="str">
        <f>IFERROR(__xludf.DUMMYFUNCTION("""COMPUTED_VALUE"""),"BBW")</f>
        <v>BBW</v>
      </c>
      <c r="F500" s="211" t="str">
        <f>IFERROR(__xludf.DUMMYFUNCTION("""COMPUTED_VALUE"""),"MSS Campaigns")</f>
        <v>MSS Campaigns</v>
      </c>
      <c r="G500" s="212" t="str">
        <f>IFERROR(__xludf.DUMMYFUNCTION("""COMPUTED_VALUE"""),"bbw_mss_19april_smsfb_lastreminder_dormant_online")</f>
        <v>bbw_mss_19april_smsfb_lastreminder_dormant_online</v>
      </c>
      <c r="H500" s="212" t="str">
        <f>IFERROR(__xludf.DUMMYFUNCTION("""COMPUTED_VALUE"""),"BBW_Dormant_Base_Online")</f>
        <v>BBW_Dormant_Base_Online</v>
      </c>
      <c r="I500" s="212" t="str">
        <f>IFERROR(__xludf.DUMMYFUNCTION("""COMPUTED_VALUE"""),"WA Undelivered")</f>
        <v>WA Undelivered</v>
      </c>
      <c r="J500" s="213">
        <f>IFERROR(__xludf.DUMMYFUNCTION("""COMPUTED_VALUE"""),65542.0)</f>
        <v>65542</v>
      </c>
      <c r="K500" s="213">
        <f>IFERROR(__xludf.DUMMYFUNCTION("""COMPUTED_VALUE"""),37474.0)</f>
        <v>37474</v>
      </c>
      <c r="L500" s="214">
        <f>IFERROR(__xludf.DUMMYFUNCTION("""COMPUTED_VALUE"""),0.5718)</f>
        <v>0.5718</v>
      </c>
      <c r="M500" s="214">
        <f>IFERROR(__xludf.DUMMYFUNCTION("""COMPUTED_VALUE"""),0.0)</f>
        <v>0</v>
      </c>
      <c r="N500" s="214">
        <f>IFERROR(__xludf.DUMMYFUNCTION("""COMPUTED_VALUE"""),0.0)</f>
        <v>0</v>
      </c>
      <c r="O500" s="213">
        <f>IFERROR(__xludf.DUMMYFUNCTION("""COMPUTED_VALUE"""),58.0)</f>
        <v>58</v>
      </c>
      <c r="P500" s="213">
        <f>IFERROR(__xludf.DUMMYFUNCTION("""COMPUTED_VALUE"""),0.0)</f>
        <v>0</v>
      </c>
      <c r="Q500" s="214">
        <f>IFERROR(__xludf.DUMMYFUNCTION("""COMPUTED_VALUE"""),0.0015)</f>
        <v>0.0015</v>
      </c>
      <c r="R500" s="214">
        <f>IFERROR(__xludf.DUMMYFUNCTION("""COMPUTED_VALUE"""),0.0)</f>
        <v>0</v>
      </c>
      <c r="S500" s="101">
        <f>IFERROR(__xludf.DUMMYFUNCTION("""COMPUTED_VALUE"""),2.0)</f>
        <v>2</v>
      </c>
      <c r="T500" s="101">
        <f>IFERROR(__xludf.DUMMYFUNCTION("""COMPUTED_VALUE"""),10.0)</f>
        <v>10</v>
      </c>
      <c r="U500" s="270">
        <f>IFERROR(__xludf.DUMMYFUNCTION("""COMPUTED_VALUE"""),7069.0)</f>
        <v>7069</v>
      </c>
      <c r="V500" s="271" t="str">
        <f>IFERROR(__xludf.DUMMYFUNCTION("""COMPUTED_VALUE"""),"online")</f>
        <v>online</v>
      </c>
      <c r="W500" s="272" t="str">
        <f>IFERROR(__xludf.DUMMYFUNCTION("""COMPUTED_VALUE"""),"sms")</f>
        <v>sms</v>
      </c>
      <c r="X500" s="272" t="str">
        <f>IFERROR(__xludf.DUMMYFUNCTION("""COMPUTED_VALUE"""),"Dormant")</f>
        <v>Dormant</v>
      </c>
      <c r="Y500" s="272" t="str">
        <f>IFERROR(__xludf.DUMMYFUNCTION("""COMPUTED_VALUE"""),"19 April")</f>
        <v>19 April</v>
      </c>
      <c r="Z500" s="272" t="str">
        <f>IFERROR(__xludf.DUMMYFUNCTION("""COMPUTED_VALUE"""),"69e0b631ba1226eef3c4cb30")</f>
        <v>69e0b631ba1226eef3c4cb30</v>
      </c>
      <c r="AA500" s="272">
        <f>IFERROR(__xludf.DUMMYFUNCTION("""COMPUTED_VALUE"""),72.0)</f>
        <v>72</v>
      </c>
      <c r="AB500" s="272">
        <f>IFERROR(__xludf.DUMMYFUNCTION("""COMPUTED_VALUE"""),72.0)</f>
        <v>72</v>
      </c>
      <c r="AC500" s="272"/>
      <c r="AD500" s="272">
        <f>IFERROR(__xludf.DUMMYFUNCTION("""COMPUTED_VALUE"""),239045.0)</f>
        <v>239045</v>
      </c>
      <c r="AE500" s="272">
        <f>IFERROR(__xludf.DUMMYFUNCTION("""COMPUTED_VALUE"""),239045.0)</f>
        <v>239045</v>
      </c>
      <c r="AF500" s="272"/>
      <c r="AG500" s="208"/>
      <c r="AH500" s="208"/>
      <c r="AI500" s="208"/>
      <c r="AJ500" s="208"/>
      <c r="AK500" s="208"/>
    </row>
    <row r="501" hidden="1">
      <c r="A501" s="209">
        <f>IFERROR(__xludf.DUMMYFUNCTION("""COMPUTED_VALUE"""),46131.0)</f>
        <v>46131</v>
      </c>
      <c r="B501" s="210">
        <f>IFERROR(__xludf.DUMMYFUNCTION("""COMPUTED_VALUE"""),0.8125)</f>
        <v>0.8125</v>
      </c>
      <c r="C501" s="211" t="str">
        <f>IFERROR(__xludf.DUMMYFUNCTION("""COMPUTED_VALUE"""),"Sms")</f>
        <v>Sms</v>
      </c>
      <c r="D501" s="211" t="str">
        <f>IFERROR(__xludf.DUMMYFUNCTION("""COMPUTED_VALUE"""),"Fallback campaign")</f>
        <v>Fallback campaign</v>
      </c>
      <c r="E501" s="211" t="str">
        <f>IFERROR(__xludf.DUMMYFUNCTION("""COMPUTED_VALUE"""),"BBW")</f>
        <v>BBW</v>
      </c>
      <c r="F501" s="211" t="str">
        <f>IFERROR(__xludf.DUMMYFUNCTION("""COMPUTED_VALUE"""),"MSS Campaigns")</f>
        <v>MSS Campaigns</v>
      </c>
      <c r="G501" s="212" t="str">
        <f>IFERROR(__xludf.DUMMYFUNCTION("""COMPUTED_VALUE"""),"bbw_mss_19april_smsfb_lastreminder_churned_online")</f>
        <v>bbw_mss_19april_smsfb_lastreminder_churned_online</v>
      </c>
      <c r="H501" s="212" t="str">
        <f>IFERROR(__xludf.DUMMYFUNCTION("""COMPUTED_VALUE"""),"BBW_Churned_Base_Online")</f>
        <v>BBW_Churned_Base_Online</v>
      </c>
      <c r="I501" s="212" t="str">
        <f>IFERROR(__xludf.DUMMYFUNCTION("""COMPUTED_VALUE"""),"WA Undelivered")</f>
        <v>WA Undelivered</v>
      </c>
      <c r="J501" s="213">
        <f>IFERROR(__xludf.DUMMYFUNCTION("""COMPUTED_VALUE"""),124067.0)</f>
        <v>124067</v>
      </c>
      <c r="K501" s="213">
        <f>IFERROR(__xludf.DUMMYFUNCTION("""COMPUTED_VALUE"""),73338.0)</f>
        <v>73338</v>
      </c>
      <c r="L501" s="214">
        <f>IFERROR(__xludf.DUMMYFUNCTION("""COMPUTED_VALUE"""),0.5911)</f>
        <v>0.5911</v>
      </c>
      <c r="M501" s="214">
        <f>IFERROR(__xludf.DUMMYFUNCTION("""COMPUTED_VALUE"""),0.0)</f>
        <v>0</v>
      </c>
      <c r="N501" s="214">
        <f>IFERROR(__xludf.DUMMYFUNCTION("""COMPUTED_VALUE"""),0.0)</f>
        <v>0</v>
      </c>
      <c r="O501" s="213">
        <f>IFERROR(__xludf.DUMMYFUNCTION("""COMPUTED_VALUE"""),92.0)</f>
        <v>92</v>
      </c>
      <c r="P501" s="213">
        <f>IFERROR(__xludf.DUMMYFUNCTION("""COMPUTED_VALUE"""),0.0)</f>
        <v>0</v>
      </c>
      <c r="Q501" s="214">
        <f>IFERROR(__xludf.DUMMYFUNCTION("""COMPUTED_VALUE"""),0.0013)</f>
        <v>0.0013</v>
      </c>
      <c r="R501" s="214">
        <f>IFERROR(__xludf.DUMMYFUNCTION("""COMPUTED_VALUE"""),0.0)</f>
        <v>0</v>
      </c>
      <c r="S501" s="101">
        <f>IFERROR(__xludf.DUMMYFUNCTION("""COMPUTED_VALUE"""),3.0)</f>
        <v>3</v>
      </c>
      <c r="T501" s="101">
        <f>IFERROR(__xludf.DUMMYFUNCTION("""COMPUTED_VALUE"""),3.0)</f>
        <v>3</v>
      </c>
      <c r="U501" s="270">
        <f>IFERROR(__xludf.DUMMYFUNCTION("""COMPUTED_VALUE"""),14631.0)</f>
        <v>14631</v>
      </c>
      <c r="V501" s="271" t="str">
        <f>IFERROR(__xludf.DUMMYFUNCTION("""COMPUTED_VALUE"""),"online")</f>
        <v>online</v>
      </c>
      <c r="W501" s="272" t="str">
        <f>IFERROR(__xludf.DUMMYFUNCTION("""COMPUTED_VALUE"""),"sms")</f>
        <v>sms</v>
      </c>
      <c r="X501" s="272" t="str">
        <f>IFERROR(__xludf.DUMMYFUNCTION("""COMPUTED_VALUE"""),"Churned")</f>
        <v>Churned</v>
      </c>
      <c r="Y501" s="272" t="str">
        <f>IFERROR(__xludf.DUMMYFUNCTION("""COMPUTED_VALUE"""),"19 April")</f>
        <v>19 April</v>
      </c>
      <c r="Z501" s="272" t="str">
        <f>IFERROR(__xludf.DUMMYFUNCTION("""COMPUTED_VALUE"""),"69e0b66510dfa5d14d9765b4")</f>
        <v>69e0b66510dfa5d14d9765b4</v>
      </c>
      <c r="AA501" s="272">
        <f>IFERROR(__xludf.DUMMYFUNCTION("""COMPUTED_VALUE"""),35.0)</f>
        <v>35</v>
      </c>
      <c r="AB501" s="272">
        <f>IFERROR(__xludf.DUMMYFUNCTION("""COMPUTED_VALUE"""),35.0)</f>
        <v>35</v>
      </c>
      <c r="AC501" s="272"/>
      <c r="AD501" s="272">
        <f>IFERROR(__xludf.DUMMYFUNCTION("""COMPUTED_VALUE"""),93127.0)</f>
        <v>93127</v>
      </c>
      <c r="AE501" s="272">
        <f>IFERROR(__xludf.DUMMYFUNCTION("""COMPUTED_VALUE"""),93127.0)</f>
        <v>93127</v>
      </c>
      <c r="AF501" s="272"/>
      <c r="AG501" s="208"/>
      <c r="AH501" s="208"/>
      <c r="AI501" s="208"/>
      <c r="AJ501" s="208"/>
      <c r="AK501" s="208"/>
    </row>
    <row r="502" hidden="1">
      <c r="A502" s="209">
        <f>IFERROR(__xludf.DUMMYFUNCTION("""COMPUTED_VALUE"""),46132.0)</f>
        <v>46132</v>
      </c>
      <c r="B502" s="210">
        <f>IFERROR(__xludf.DUMMYFUNCTION("""COMPUTED_VALUE"""),0.3958333333321207)</f>
        <v>0.3958333333</v>
      </c>
      <c r="C502" s="211" t="str">
        <f>IFERROR(__xludf.DUMMYFUNCTION("""COMPUTED_VALUE"""),"Whatsapp")</f>
        <v>Whatsapp</v>
      </c>
      <c r="D502" s="211" t="str">
        <f>IFERROR(__xludf.DUMMYFUNCTION("""COMPUTED_VALUE"""),"Promtional")</f>
        <v>Promtional</v>
      </c>
      <c r="E502" s="211" t="str">
        <f>IFERROR(__xludf.DUMMYFUNCTION("""COMPUTED_VALUE"""),"BBW")</f>
        <v>BBW</v>
      </c>
      <c r="F502" s="211" t="str">
        <f>IFERROR(__xludf.DUMMYFUNCTION("""COMPUTED_VALUE"""),"MSS Campaigns")</f>
        <v>MSS Campaigns</v>
      </c>
      <c r="G502" s="212" t="str">
        <f>IFERROR(__xludf.DUMMYFUNCTION("""COMPUTED_VALUE"""),"bbw_mss_18april_wa_atc_onoff")</f>
        <v>bbw_mss_18april_wa_atc_onoff</v>
      </c>
      <c r="H502" s="212" t="str">
        <f>IFERROR(__xludf.DUMMYFUNCTION("""COMPUTED_VALUE"""),"bbw_atc_last7dys_17april26")</f>
        <v>bbw_atc_last7dys_17april26</v>
      </c>
      <c r="I502" s="212" t="str">
        <f>IFERROR(__xludf.DUMMYFUNCTION("""COMPUTED_VALUE"""),"atc last 7 days (7D prior to monday) and has not purchased in the last 15 days")</f>
        <v>atc last 7 days (7D prior to monday) and has not purchased in the last 15 days</v>
      </c>
      <c r="J502" s="213">
        <f>IFERROR(__xludf.DUMMYFUNCTION("""COMPUTED_VALUE"""),2146.0)</f>
        <v>2146</v>
      </c>
      <c r="K502" s="213">
        <f>IFERROR(__xludf.DUMMYFUNCTION("""COMPUTED_VALUE"""),1054.0)</f>
        <v>1054</v>
      </c>
      <c r="L502" s="214">
        <f>IFERROR(__xludf.DUMMYFUNCTION("""COMPUTED_VALUE"""),0.4911)</f>
        <v>0.4911</v>
      </c>
      <c r="M502" s="214">
        <f>IFERROR(__xludf.DUMMYFUNCTION("""COMPUTED_VALUE"""),311.0)</f>
        <v>311</v>
      </c>
      <c r="N502" s="214">
        <f>IFERROR(__xludf.DUMMYFUNCTION("""COMPUTED_VALUE"""),0.2951)</f>
        <v>0.2951</v>
      </c>
      <c r="O502" s="213">
        <f>IFERROR(__xludf.DUMMYFUNCTION("""COMPUTED_VALUE"""),69.0)</f>
        <v>69</v>
      </c>
      <c r="P502" s="213">
        <f>IFERROR(__xludf.DUMMYFUNCTION("""COMPUTED_VALUE"""),68.0)</f>
        <v>68</v>
      </c>
      <c r="Q502" s="214">
        <f>IFERROR(__xludf.DUMMYFUNCTION("""COMPUTED_VALUE"""),0.06)</f>
        <v>0.06</v>
      </c>
      <c r="R502" s="214">
        <f>IFERROR(__xludf.DUMMYFUNCTION("""COMPUTED_VALUE"""),0.22)</f>
        <v>0.22</v>
      </c>
      <c r="S502" s="101">
        <f>IFERROR(__xludf.DUMMYFUNCTION("""COMPUTED_VALUE"""),30.0)</f>
        <v>30</v>
      </c>
      <c r="T502" s="101">
        <f>IFERROR(__xludf.DUMMYFUNCTION("""COMPUTED_VALUE"""),9.0)</f>
        <v>9</v>
      </c>
      <c r="U502" s="270">
        <f>IFERROR(__xludf.DUMMYFUNCTION("""COMPUTED_VALUE"""),21815.0)</f>
        <v>21815</v>
      </c>
      <c r="V502" s="271" t="str">
        <f>IFERROR(__xludf.DUMMYFUNCTION("""COMPUTED_VALUE"""),"overall")</f>
        <v>overall</v>
      </c>
      <c r="W502" s="272" t="str">
        <f>IFERROR(__xludf.DUMMYFUNCTION("""COMPUTED_VALUE"""),"simple")</f>
        <v>simple</v>
      </c>
      <c r="X502" s="272" t="str">
        <f>IFERROR(__xludf.DUMMYFUNCTION("""COMPUTED_VALUE"""),"Add to cart")</f>
        <v>Add to cart</v>
      </c>
      <c r="Y502" s="272" t="str">
        <f>IFERROR(__xludf.DUMMYFUNCTION("""COMPUTED_VALUE"""),"20-22 April")</f>
        <v>20-22 April</v>
      </c>
      <c r="Z502" s="272" t="str">
        <f>IFERROR(__xludf.DUMMYFUNCTION("""COMPUTED_VALUE"""),"69e237c93cfb1a4d4160db8b")</f>
        <v>69e237c93cfb1a4d4160db8b</v>
      </c>
      <c r="AA502" s="272">
        <f>IFERROR(__xludf.DUMMYFUNCTION("""COMPUTED_VALUE"""),20.0)</f>
        <v>20</v>
      </c>
      <c r="AB502" s="272">
        <f>IFERROR(__xludf.DUMMYFUNCTION("""COMPUTED_VALUE"""),18.0)</f>
        <v>18</v>
      </c>
      <c r="AC502" s="272">
        <f>IFERROR(__xludf.DUMMYFUNCTION("""COMPUTED_VALUE"""),2.0)</f>
        <v>2</v>
      </c>
      <c r="AD502" s="272">
        <f>IFERROR(__xludf.DUMMYFUNCTION("""COMPUTED_VALUE"""),42362.0)</f>
        <v>42362</v>
      </c>
      <c r="AE502" s="272">
        <f>IFERROR(__xludf.DUMMYFUNCTION("""COMPUTED_VALUE"""),33768.0)</f>
        <v>33768</v>
      </c>
      <c r="AF502" s="272">
        <f>IFERROR(__xludf.DUMMYFUNCTION("""COMPUTED_VALUE"""),8594.0)</f>
        <v>8594</v>
      </c>
      <c r="AG502" s="208"/>
      <c r="AH502" s="208"/>
      <c r="AI502" s="208"/>
      <c r="AJ502" s="208"/>
      <c r="AK502" s="208"/>
    </row>
    <row r="503" hidden="1">
      <c r="A503" s="209">
        <f>IFERROR(__xludf.DUMMYFUNCTION("""COMPUTED_VALUE"""),46132.0)</f>
        <v>46132</v>
      </c>
      <c r="B503" s="210">
        <f>IFERROR(__xludf.DUMMYFUNCTION("""COMPUTED_VALUE"""),0.4583333333321207)</f>
        <v>0.4583333333</v>
      </c>
      <c r="C503" s="211" t="str">
        <f>IFERROR(__xludf.DUMMYFUNCTION("""COMPUTED_VALUE"""),"Sms")</f>
        <v>Sms</v>
      </c>
      <c r="D503" s="211" t="str">
        <f>IFERROR(__xludf.DUMMYFUNCTION("""COMPUTED_VALUE"""),"Fallback campaign")</f>
        <v>Fallback campaign</v>
      </c>
      <c r="E503" s="211" t="str">
        <f>IFERROR(__xludf.DUMMYFUNCTION("""COMPUTED_VALUE"""),"BBW")</f>
        <v>BBW</v>
      </c>
      <c r="F503" s="211" t="str">
        <f>IFERROR(__xludf.DUMMYFUNCTION("""COMPUTED_VALUE"""),"MSS Campaigns")</f>
        <v>MSS Campaigns</v>
      </c>
      <c r="G503" s="212" t="str">
        <f>IFERROR(__xludf.DUMMYFUNCTION("""COMPUTED_VALUE"""),"bbw_mss_20april_smsfb_atc_onoff")</f>
        <v>bbw_mss_20april_smsfb_atc_onoff</v>
      </c>
      <c r="H503" s="212" t="str">
        <f>IFERROR(__xludf.DUMMYFUNCTION("""COMPUTED_VALUE"""),"bbw_atc_last7dys_17april26")</f>
        <v>bbw_atc_last7dys_17april26</v>
      </c>
      <c r="I503" s="212" t="str">
        <f>IFERROR(__xludf.DUMMYFUNCTION("""COMPUTED_VALUE"""),"WA Undelivered")</f>
        <v>WA Undelivered</v>
      </c>
      <c r="J503" s="213">
        <f>IFERROR(__xludf.DUMMYFUNCTION("""COMPUTED_VALUE"""),1015.0)</f>
        <v>1015</v>
      </c>
      <c r="K503" s="213">
        <f>IFERROR(__xludf.DUMMYFUNCTION("""COMPUTED_VALUE"""),565.0)</f>
        <v>565</v>
      </c>
      <c r="L503" s="214">
        <f>IFERROR(__xludf.DUMMYFUNCTION("""COMPUTED_VALUE"""),0.5567)</f>
        <v>0.5567</v>
      </c>
      <c r="M503" s="213">
        <f>IFERROR(__xludf.DUMMYFUNCTION("""COMPUTED_VALUE"""),0.0)</f>
        <v>0</v>
      </c>
      <c r="N503" s="214">
        <f>IFERROR(__xludf.DUMMYFUNCTION("""COMPUTED_VALUE"""),0.0)</f>
        <v>0</v>
      </c>
      <c r="O503" s="213">
        <f>IFERROR(__xludf.DUMMYFUNCTION("""COMPUTED_VALUE"""),8.0)</f>
        <v>8</v>
      </c>
      <c r="P503" s="213">
        <f>IFERROR(__xludf.DUMMYFUNCTION("""COMPUTED_VALUE"""),0.0)</f>
        <v>0</v>
      </c>
      <c r="Q503" s="214">
        <f>IFERROR(__xludf.DUMMYFUNCTION("""COMPUTED_VALUE"""),0.0142)</f>
        <v>0.0142</v>
      </c>
      <c r="R503" s="214">
        <f>IFERROR(__xludf.DUMMYFUNCTION("""COMPUTED_VALUE"""),0.0)</f>
        <v>0</v>
      </c>
      <c r="S503" s="101">
        <f>IFERROR(__xludf.DUMMYFUNCTION("""COMPUTED_VALUE"""),0.0)</f>
        <v>0</v>
      </c>
      <c r="T503" s="101">
        <f>IFERROR(__xludf.DUMMYFUNCTION("""COMPUTED_VALUE"""),7.0)</f>
        <v>7</v>
      </c>
      <c r="U503" s="270">
        <f>IFERROR(__xludf.DUMMYFUNCTION("""COMPUTED_VALUE"""),0.0)</f>
        <v>0</v>
      </c>
      <c r="V503" s="271" t="str">
        <f>IFERROR(__xludf.DUMMYFUNCTION("""COMPUTED_VALUE"""),"overall")</f>
        <v>overall</v>
      </c>
      <c r="W503" s="272" t="str">
        <f>IFERROR(__xludf.DUMMYFUNCTION("""COMPUTED_VALUE"""),"sms")</f>
        <v>sms</v>
      </c>
      <c r="X503" s="272" t="str">
        <f>IFERROR(__xludf.DUMMYFUNCTION("""COMPUTED_VALUE"""),"Add to cart")</f>
        <v>Add to cart</v>
      </c>
      <c r="Y503" s="272" t="str">
        <f>IFERROR(__xludf.DUMMYFUNCTION("""COMPUTED_VALUE"""),"20 Apr")</f>
        <v>20 Apr</v>
      </c>
      <c r="Z503" s="272" t="str">
        <f>IFERROR(__xludf.DUMMYFUNCTION("""COMPUTED_VALUE"""),"69e23aa8ad4657b636720442")</f>
        <v>69e23aa8ad4657b636720442</v>
      </c>
      <c r="AA503" s="272">
        <f>IFERROR(__xludf.DUMMYFUNCTION("""COMPUTED_VALUE"""),3.0)</f>
        <v>3</v>
      </c>
      <c r="AB503" s="272">
        <f>IFERROR(__xludf.DUMMYFUNCTION("""COMPUTED_VALUE"""),3.0)</f>
        <v>3</v>
      </c>
      <c r="AC503" s="272">
        <f>IFERROR(__xludf.DUMMYFUNCTION("""COMPUTED_VALUE"""),0.0)</f>
        <v>0</v>
      </c>
      <c r="AD503" s="272">
        <f>IFERROR(__xludf.DUMMYFUNCTION("""COMPUTED_VALUE"""),7350.0)</f>
        <v>7350</v>
      </c>
      <c r="AE503" s="272">
        <f>IFERROR(__xludf.DUMMYFUNCTION("""COMPUTED_VALUE"""),7350.0)</f>
        <v>7350</v>
      </c>
      <c r="AF503" s="272">
        <f>IFERROR(__xludf.DUMMYFUNCTION("""COMPUTED_VALUE"""),0.0)</f>
        <v>0</v>
      </c>
      <c r="AG503" s="208"/>
      <c r="AH503" s="208"/>
      <c r="AI503" s="208"/>
      <c r="AJ503" s="208"/>
      <c r="AK503" s="208"/>
    </row>
    <row r="504" hidden="1">
      <c r="A504" s="209">
        <f>IFERROR(__xludf.DUMMYFUNCTION("""COMPUTED_VALUE"""),46135.0)</f>
        <v>46135</v>
      </c>
      <c r="B504" s="210">
        <f>IFERROR(__xludf.DUMMYFUNCTION("""COMPUTED_VALUE"""),0.7708333333321207)</f>
        <v>0.7708333333</v>
      </c>
      <c r="C504" s="211" t="str">
        <f>IFERROR(__xludf.DUMMYFUNCTION("""COMPUTED_VALUE"""),"Whatsapp")</f>
        <v>Whatsapp</v>
      </c>
      <c r="D504" s="211" t="str">
        <f>IFERROR(__xludf.DUMMYFUNCTION("""COMPUTED_VALUE"""),"Promtional")</f>
        <v>Promtional</v>
      </c>
      <c r="E504" s="211" t="str">
        <f>IFERROR(__xludf.DUMMYFUNCTION("""COMPUTED_VALUE"""),"BBW")</f>
        <v>BBW</v>
      </c>
      <c r="F504" s="211" t="str">
        <f>IFERROR(__xludf.DUMMYFUNCTION("""COMPUTED_VALUE"""),"No Brief")</f>
        <v>No Brief</v>
      </c>
      <c r="G504" s="212" t="str">
        <f>IFERROR(__xludf.DUMMYFUNCTION("""COMPUTED_VALUE"""),"bbw_ffmtitbi_23april_wa_online")</f>
        <v>bbw_ffmtitbi_23april_wa_online</v>
      </c>
      <c r="H504" s="212" t="str">
        <f>IFERROR(__xludf.DUMMYFUNCTION("""COMPUTED_VALUE"""),"BBW_ON_FFM_TITBI_23_04_26")</f>
        <v>BBW_ON_FFM_TITBI_23_04_26</v>
      </c>
      <c r="I504" s="212" t="str">
        <f>IFERROR(__xludf.DUMMYFUNCTION("""COMPUTED_VALUE"""),"Online Customers who have purchased at least 1 time in the last 365 days from L3: Mist with Aggregation: Summation of Order_Disc_Value is greater than zero OR Online Customers who have purchased at least 1 time in the last 365 days with Aggregation: Avg o"&amp;"f Order_Net_Value is between 799 and 1299 OR Online Customers who have purchased at least 2 times from L3: Mist  in the last 365 days OR Online Customers who have purchased between 24 - 27 April, 2025 or 28 - 31 August, 2025 OR Online Customers who have a"&amp;"dded to cart or viewed cart with item_category (contains Fragrance) in the last 45 days")</f>
        <v>Online Customers who have purchased at least 1 time in the last 365 days from L3: Mist with Aggregation: Summation of Order_Disc_Value is greater than zero OR Online Customers who have purchased at least 1 time in the last 365 days with Aggregation: Avg of Order_Net_Value is between 799 and 1299 OR Online Customers who have purchased at least 2 times from L3: Mist  in the last 365 days OR Online Customers who have purchased between 24 - 27 April, 2025 or 28 - 31 August, 2025 OR Online Customers who have added to cart or viewed cart with item_category (contains Fragrance) in the last 45 days</v>
      </c>
      <c r="J504" s="213">
        <f>IFERROR(__xludf.DUMMYFUNCTION("""COMPUTED_VALUE"""),128346.0)</f>
        <v>128346</v>
      </c>
      <c r="K504" s="213">
        <f>IFERROR(__xludf.DUMMYFUNCTION("""COMPUTED_VALUE"""),58362.0)</f>
        <v>58362</v>
      </c>
      <c r="L504" s="214">
        <f>IFERROR(__xludf.DUMMYFUNCTION("""COMPUTED_VALUE"""),0.4548)</f>
        <v>0.4548</v>
      </c>
      <c r="M504" s="213">
        <f>IFERROR(__xludf.DUMMYFUNCTION("""COMPUTED_VALUE"""),22249.0)</f>
        <v>22249</v>
      </c>
      <c r="N504" s="214">
        <f>IFERROR(__xludf.DUMMYFUNCTION("""COMPUTED_VALUE"""),0.3813)</f>
        <v>0.3813</v>
      </c>
      <c r="O504" s="213">
        <f>IFERROR(__xludf.DUMMYFUNCTION("""COMPUTED_VALUE"""),3120.0)</f>
        <v>3120</v>
      </c>
      <c r="P504" s="213">
        <f>IFERROR(__xludf.DUMMYFUNCTION("""COMPUTED_VALUE"""),2765.0)</f>
        <v>2765</v>
      </c>
      <c r="Q504" s="214">
        <f>IFERROR(__xludf.DUMMYFUNCTION("""COMPUTED_VALUE"""),0.0474)</f>
        <v>0.0474</v>
      </c>
      <c r="R504" s="214">
        <f>IFERROR(__xludf.DUMMYFUNCTION("""COMPUTED_VALUE"""),0.1243)</f>
        <v>0.1243</v>
      </c>
      <c r="S504" s="101">
        <f>IFERROR(__xludf.DUMMYFUNCTION("""COMPUTED_VALUE"""),82.0)</f>
        <v>82</v>
      </c>
      <c r="T504" s="101">
        <f>IFERROR(__xludf.DUMMYFUNCTION("""COMPUTED_VALUE"""),226.0)</f>
        <v>226</v>
      </c>
      <c r="U504" s="270">
        <f>IFERROR(__xludf.DUMMYFUNCTION("""COMPUTED_VALUE"""),172803.0)</f>
        <v>172803</v>
      </c>
      <c r="V504" s="271" t="str">
        <f>IFERROR(__xludf.DUMMYFUNCTION("""COMPUTED_VALUE"""),"online")</f>
        <v>online</v>
      </c>
      <c r="W504" s="272" t="str">
        <f>IFERROR(__xludf.DUMMYFUNCTION("""COMPUTED_VALUE"""),"simple")</f>
        <v>simple</v>
      </c>
      <c r="X504" s="272" t="str">
        <f>IFERROR(__xludf.DUMMYFUNCTION("""COMPUTED_VALUE"""),"Generic")</f>
        <v>Generic</v>
      </c>
      <c r="Y504" s="272" t="str">
        <f>IFERROR(__xludf.DUMMYFUNCTION("""COMPUTED_VALUE"""),"23-25 April")</f>
        <v>23-25 April</v>
      </c>
      <c r="Z504" s="272" t="str">
        <f>IFERROR(__xludf.DUMMYFUNCTION("""COMPUTED_VALUE"""),"69e9e5a45c315bd89c6cee8f")</f>
        <v>69e9e5a45c315bd89c6cee8f</v>
      </c>
      <c r="AA504" s="272">
        <f>IFERROR(__xludf.DUMMYFUNCTION("""COMPUTED_VALUE"""),435.0)</f>
        <v>435</v>
      </c>
      <c r="AB504" s="272">
        <f>IFERROR(__xludf.DUMMYFUNCTION("""COMPUTED_VALUE"""),435.0)</f>
        <v>435</v>
      </c>
      <c r="AC504" s="272"/>
      <c r="AD504" s="272">
        <f>IFERROR(__xludf.DUMMYFUNCTION("""COMPUTED_VALUE"""),898825.0)</f>
        <v>898825</v>
      </c>
      <c r="AE504" s="272">
        <f>IFERROR(__xludf.DUMMYFUNCTION("""COMPUTED_VALUE"""),898825.0)</f>
        <v>898825</v>
      </c>
      <c r="AF504" s="272"/>
      <c r="AG504" s="208"/>
      <c r="AH504" s="208"/>
      <c r="AI504" s="208"/>
      <c r="AJ504" s="208"/>
      <c r="AK504" s="208"/>
    </row>
    <row r="505" hidden="1">
      <c r="A505" s="209">
        <f>IFERROR(__xludf.DUMMYFUNCTION("""COMPUTED_VALUE"""),46135.0)</f>
        <v>46135</v>
      </c>
      <c r="B505" s="210">
        <f>IFERROR(__xludf.DUMMYFUNCTION("""COMPUTED_VALUE"""),0.8125)</f>
        <v>0.8125</v>
      </c>
      <c r="C505" s="211" t="str">
        <f>IFERROR(__xludf.DUMMYFUNCTION("""COMPUTED_VALUE"""),"Sms")</f>
        <v>Sms</v>
      </c>
      <c r="D505" s="211" t="str">
        <f>IFERROR(__xludf.DUMMYFUNCTION("""COMPUTED_VALUE"""),"Fallback campaign")</f>
        <v>Fallback campaign</v>
      </c>
      <c r="E505" s="211" t="str">
        <f>IFERROR(__xludf.DUMMYFUNCTION("""COMPUTED_VALUE"""),"BBW")</f>
        <v>BBW</v>
      </c>
      <c r="F505" s="211" t="str">
        <f>IFERROR(__xludf.DUMMYFUNCTION("""COMPUTED_VALUE"""),"No Brief")</f>
        <v>No Brief</v>
      </c>
      <c r="G505" s="212" t="str">
        <f>IFERROR(__xludf.DUMMYFUNCTION("""COMPUTED_VALUE"""),"bbw_ffmtitbi_23april_smsfb_online")</f>
        <v>bbw_ffmtitbi_23april_smsfb_online</v>
      </c>
      <c r="H505" s="212" t="str">
        <f>IFERROR(__xludf.DUMMYFUNCTION("""COMPUTED_VALUE"""),"BBW_ON_FFM_TITBI_23_04_26")</f>
        <v>BBW_ON_FFM_TITBI_23_04_26</v>
      </c>
      <c r="I505" s="212" t="str">
        <f>IFERROR(__xludf.DUMMYFUNCTION("""COMPUTED_VALUE"""),"WA Undelivered")</f>
        <v>WA Undelivered</v>
      </c>
      <c r="J505" s="213">
        <f>IFERROR(__xludf.DUMMYFUNCTION("""COMPUTED_VALUE"""),67190.0)</f>
        <v>67190</v>
      </c>
      <c r="K505" s="213">
        <f>IFERROR(__xludf.DUMMYFUNCTION("""COMPUTED_VALUE"""),37898.0)</f>
        <v>37898</v>
      </c>
      <c r="L505" s="214">
        <f>IFERROR(__xludf.DUMMYFUNCTION("""COMPUTED_VALUE"""),0.564)</f>
        <v>0.564</v>
      </c>
      <c r="M505" s="213">
        <f>IFERROR(__xludf.DUMMYFUNCTION("""COMPUTED_VALUE"""),0.0)</f>
        <v>0</v>
      </c>
      <c r="N505" s="214">
        <f>IFERROR(__xludf.DUMMYFUNCTION("""COMPUTED_VALUE"""),0.0)</f>
        <v>0</v>
      </c>
      <c r="O505" s="213">
        <f>IFERROR(__xludf.DUMMYFUNCTION("""COMPUTED_VALUE"""),71.0)</f>
        <v>71</v>
      </c>
      <c r="P505" s="213">
        <f>IFERROR(__xludf.DUMMYFUNCTION("""COMPUTED_VALUE"""),0.0)</f>
        <v>0</v>
      </c>
      <c r="Q505" s="214">
        <f>IFERROR(__xludf.DUMMYFUNCTION("""COMPUTED_VALUE"""),0.0019)</f>
        <v>0.0019</v>
      </c>
      <c r="R505" s="214">
        <f>IFERROR(__xludf.DUMMYFUNCTION("""COMPUTED_VALUE"""),0.0)</f>
        <v>0</v>
      </c>
      <c r="S505" s="101">
        <f>IFERROR(__xludf.DUMMYFUNCTION("""COMPUTED_VALUE"""),14.0)</f>
        <v>14</v>
      </c>
      <c r="T505" s="101">
        <f>IFERROR(__xludf.DUMMYFUNCTION("""COMPUTED_VALUE"""),50.0)</f>
        <v>50</v>
      </c>
      <c r="U505" s="270">
        <f>IFERROR(__xludf.DUMMYFUNCTION("""COMPUTED_VALUE"""),37539.0)</f>
        <v>37539</v>
      </c>
      <c r="V505" s="271" t="str">
        <f>IFERROR(__xludf.DUMMYFUNCTION("""COMPUTED_VALUE"""),"online")</f>
        <v>online</v>
      </c>
      <c r="W505" s="272" t="str">
        <f>IFERROR(__xludf.DUMMYFUNCTION("""COMPUTED_VALUE"""),"sms")</f>
        <v>sms</v>
      </c>
      <c r="X505" s="272" t="str">
        <f>IFERROR(__xludf.DUMMYFUNCTION("""COMPUTED_VALUE"""),"Generic")</f>
        <v>Generic</v>
      </c>
      <c r="Y505" s="272" t="str">
        <f>IFERROR(__xludf.DUMMYFUNCTION("""COMPUTED_VALUE"""),"23 Apr")</f>
        <v>23 Apr</v>
      </c>
      <c r="Z505" s="272" t="str">
        <f>IFERROR(__xludf.DUMMYFUNCTION("""COMPUTED_VALUE"""),"69e9ede85ce05e645aabcdbc")</f>
        <v>69e9ede85ce05e645aabcdbc</v>
      </c>
      <c r="AA505" s="272">
        <f>IFERROR(__xludf.DUMMYFUNCTION("""COMPUTED_VALUE"""),69.0)</f>
        <v>69</v>
      </c>
      <c r="AB505" s="272">
        <f>IFERROR(__xludf.DUMMYFUNCTION("""COMPUTED_VALUE"""),69.0)</f>
        <v>69</v>
      </c>
      <c r="AC505" s="272"/>
      <c r="AD505" s="272">
        <f>IFERROR(__xludf.DUMMYFUNCTION("""COMPUTED_VALUE"""),148490.0)</f>
        <v>148490</v>
      </c>
      <c r="AE505" s="272">
        <f>IFERROR(__xludf.DUMMYFUNCTION("""COMPUTED_VALUE"""),148490.0)</f>
        <v>148490</v>
      </c>
      <c r="AF505" s="272"/>
      <c r="AG505" s="208"/>
      <c r="AH505" s="208"/>
      <c r="AI505" s="208"/>
      <c r="AJ505" s="208"/>
      <c r="AK505" s="208"/>
    </row>
    <row r="506" hidden="1">
      <c r="A506" s="209">
        <f>IFERROR(__xludf.DUMMYFUNCTION("""COMPUTED_VALUE"""),46136.0)</f>
        <v>46136</v>
      </c>
      <c r="B506" s="210">
        <f>IFERROR(__xludf.DUMMYFUNCTION("""COMPUTED_VALUE"""),0.5)</f>
        <v>0.5</v>
      </c>
      <c r="C506" s="211" t="str">
        <f>IFERROR(__xludf.DUMMYFUNCTION("""COMPUTED_VALUE"""),"Whatsapp")</f>
        <v>Whatsapp</v>
      </c>
      <c r="D506" s="211" t="str">
        <f>IFERROR(__xludf.DUMMYFUNCTION("""COMPUTED_VALUE"""),"Promtional")</f>
        <v>Promtional</v>
      </c>
      <c r="E506" s="211" t="str">
        <f>IFERROR(__xludf.DUMMYFUNCTION("""COMPUTED_VALUE"""),"BBW")</f>
        <v>BBW</v>
      </c>
      <c r="F506" s="211" t="str">
        <f>IFERROR(__xludf.DUMMYFUNCTION("""COMPUTED_VALUE"""),"No Brief")</f>
        <v>No Brief</v>
      </c>
      <c r="G506" s="212" t="str">
        <f>IFERROR(__xludf.DUMMYFUNCTION("""COMPUTED_VALUE"""),"bbw_ffmtitbi_24april_wa_disc_buyer_offline")</f>
        <v>bbw_ffmtitbi_24april_wa_disc_buyer_offline</v>
      </c>
      <c r="H506" s="212" t="str">
        <f>IFERROR(__xludf.DUMMYFUNCTION("""COMPUTED_VALUE"""),"BBW_OFF_Mist_Disc_Buyers")</f>
        <v>BBW_OFF_Mist_Disc_Buyers</v>
      </c>
      <c r="I506" s="212" t="str">
        <f>IFERROR(__xludf.DUMMYFUNCTION("""COMPUTED_VALUE"""),"Offline Customers who have purchased at least 1 time in the last 180 days from L3: Mist with Aggregation: Summation of Order_Disc_Value is greater than zero")</f>
        <v>Offline Customers who have purchased at least 1 time in the last 180 days from L3: Mist with Aggregation: Summation of Order_Disc_Value is greater than zero</v>
      </c>
      <c r="J506" s="213">
        <f>IFERROR(__xludf.DUMMYFUNCTION("""COMPUTED_VALUE"""),113992.0)</f>
        <v>113992</v>
      </c>
      <c r="K506" s="213">
        <f>IFERROR(__xludf.DUMMYFUNCTION("""COMPUTED_VALUE"""),62581.0)</f>
        <v>62581</v>
      </c>
      <c r="L506" s="214">
        <f>IFERROR(__xludf.DUMMYFUNCTION("""COMPUTED_VALUE"""),0.5489)</f>
        <v>0.5489</v>
      </c>
      <c r="M506" s="214">
        <f>IFERROR(__xludf.DUMMYFUNCTION("""COMPUTED_VALUE"""),24751.0)</f>
        <v>24751</v>
      </c>
      <c r="N506" s="214">
        <f>IFERROR(__xludf.DUMMYFUNCTION("""COMPUTED_VALUE"""),0.3956)</f>
        <v>0.3956</v>
      </c>
      <c r="O506" s="213">
        <f>IFERROR(__xludf.DUMMYFUNCTION("""COMPUTED_VALUE"""),2802.0)</f>
        <v>2802</v>
      </c>
      <c r="P506" s="213">
        <f>IFERROR(__xludf.DUMMYFUNCTION("""COMPUTED_VALUE"""),2567.0)</f>
        <v>2567</v>
      </c>
      <c r="Q506" s="214">
        <f>IFERROR(__xludf.DUMMYFUNCTION("""COMPUTED_VALUE"""),0.041)</f>
        <v>0.041</v>
      </c>
      <c r="R506" s="214">
        <f>IFERROR(__xludf.DUMMYFUNCTION("""COMPUTED_VALUE"""),0.1037)</f>
        <v>0.1037</v>
      </c>
      <c r="S506" s="101">
        <f>IFERROR(__xludf.DUMMYFUNCTION("""COMPUTED_VALUE"""),16.0)</f>
        <v>16</v>
      </c>
      <c r="T506" s="101">
        <f>IFERROR(__xludf.DUMMYFUNCTION("""COMPUTED_VALUE"""),46.0)</f>
        <v>46</v>
      </c>
      <c r="U506" s="270">
        <f>IFERROR(__xludf.DUMMYFUNCTION("""COMPUTED_VALUE"""),48495.0)</f>
        <v>48495</v>
      </c>
      <c r="V506" s="271" t="str">
        <f>IFERROR(__xludf.DUMMYFUNCTION("""COMPUTED_VALUE"""),"offline")</f>
        <v>offline</v>
      </c>
      <c r="W506" s="272" t="str">
        <f>IFERROR(__xludf.DUMMYFUNCTION("""COMPUTED_VALUE"""),"simple")</f>
        <v>simple</v>
      </c>
      <c r="X506" s="272" t="str">
        <f>IFERROR(__xludf.DUMMYFUNCTION("""COMPUTED_VALUE"""),"Category Specific")</f>
        <v>Category Specific</v>
      </c>
      <c r="Y506" s="272" t="str">
        <f>IFERROR(__xludf.DUMMYFUNCTION("""COMPUTED_VALUE"""),"24-26 April")</f>
        <v>24-26 April</v>
      </c>
      <c r="Z506" s="272" t="str">
        <f>IFERROR(__xludf.DUMMYFUNCTION("""COMPUTED_VALUE"""),"69e9e61e3bcd845de0036376")</f>
        <v>69e9e61e3bcd845de0036376</v>
      </c>
      <c r="AA506" s="272">
        <f>IFERROR(__xludf.DUMMYFUNCTION("""COMPUTED_VALUE"""),425.0)</f>
        <v>425</v>
      </c>
      <c r="AB506" s="272"/>
      <c r="AC506" s="272">
        <f>IFERROR(__xludf.DUMMYFUNCTION("""COMPUTED_VALUE"""),425.0)</f>
        <v>425</v>
      </c>
      <c r="AD506" s="272">
        <f>IFERROR(__xludf.DUMMYFUNCTION("""COMPUTED_VALUE"""),1472072.0)</f>
        <v>1472072</v>
      </c>
      <c r="AE506" s="272"/>
      <c r="AF506" s="272">
        <f>IFERROR(__xludf.DUMMYFUNCTION("""COMPUTED_VALUE"""),1472072.0)</f>
        <v>1472072</v>
      </c>
      <c r="AG506" s="208"/>
      <c r="AH506" s="208"/>
      <c r="AI506" s="208"/>
      <c r="AJ506" s="208"/>
      <c r="AK506" s="208"/>
    </row>
    <row r="507" hidden="1">
      <c r="A507" s="209">
        <f>IFERROR(__xludf.DUMMYFUNCTION("""COMPUTED_VALUE"""),46136.0)</f>
        <v>46136</v>
      </c>
      <c r="B507" s="210">
        <f>IFERROR(__xludf.DUMMYFUNCTION("""COMPUTED_VALUE"""),0.5)</f>
        <v>0.5</v>
      </c>
      <c r="C507" s="211" t="str">
        <f>IFERROR(__xludf.DUMMYFUNCTION("""COMPUTED_VALUE"""),"Whatsapp")</f>
        <v>Whatsapp</v>
      </c>
      <c r="D507" s="211" t="str">
        <f>IFERROR(__xludf.DUMMYFUNCTION("""COMPUTED_VALUE"""),"Promtional")</f>
        <v>Promtional</v>
      </c>
      <c r="E507" s="211" t="str">
        <f>IFERROR(__xludf.DUMMYFUNCTION("""COMPUTED_VALUE"""),"BBW")</f>
        <v>BBW</v>
      </c>
      <c r="F507" s="211" t="str">
        <f>IFERROR(__xludf.DUMMYFUNCTION("""COMPUTED_VALUE"""),"No Brief")</f>
        <v>No Brief</v>
      </c>
      <c r="G507" s="212" t="str">
        <f>IFERROR(__xludf.DUMMYFUNCTION("""COMPUTED_VALUE"""),"bbw_ffmtitbi_24april_wa_aov_offline")</f>
        <v>bbw_ffmtitbi_24april_wa_aov_offline</v>
      </c>
      <c r="H507" s="212" t="str">
        <f>IFERROR(__xludf.DUMMYFUNCTION("""COMPUTED_VALUE"""),"BBW_OFF_AOV_799_1299_1Y")</f>
        <v>BBW_OFF_AOV_799_1299_1Y</v>
      </c>
      <c r="I507" s="212" t="str">
        <f>IFERROR(__xludf.DUMMYFUNCTION("""COMPUTED_VALUE"""),"Offline Customers who have purchased at least 1 time in the last 365 days with Aggregation: Avg of Order_Net_Value is between 799 and 1299")</f>
        <v>Offline Customers who have purchased at least 1 time in the last 365 days with Aggregation: Avg of Order_Net_Value is between 799 and 1299</v>
      </c>
      <c r="J507" s="213">
        <f>IFERROR(__xludf.DUMMYFUNCTION("""COMPUTED_VALUE"""),56763.0)</f>
        <v>56763</v>
      </c>
      <c r="K507" s="213">
        <f>IFERROR(__xludf.DUMMYFUNCTION("""COMPUTED_VALUE"""),30659.0)</f>
        <v>30659</v>
      </c>
      <c r="L507" s="214">
        <f>IFERROR(__xludf.DUMMYFUNCTION("""COMPUTED_VALUE"""),0.54)</f>
        <v>0.54</v>
      </c>
      <c r="M507" s="214">
        <f>IFERROR(__xludf.DUMMYFUNCTION("""COMPUTED_VALUE"""),11971.0)</f>
        <v>11971</v>
      </c>
      <c r="N507" s="214">
        <f>IFERROR(__xludf.DUMMYFUNCTION("""COMPUTED_VALUE"""),0.3906)</f>
        <v>0.3906</v>
      </c>
      <c r="O507" s="213">
        <f>IFERROR(__xludf.DUMMYFUNCTION("""COMPUTED_VALUE"""),888.0)</f>
        <v>888</v>
      </c>
      <c r="P507" s="213">
        <f>IFERROR(__xludf.DUMMYFUNCTION("""COMPUTED_VALUE"""),835.0)</f>
        <v>835</v>
      </c>
      <c r="Q507" s="214">
        <f>IFERROR(__xludf.DUMMYFUNCTION("""COMPUTED_VALUE"""),0.0272)</f>
        <v>0.0272</v>
      </c>
      <c r="R507" s="214">
        <f>IFERROR(__xludf.DUMMYFUNCTION("""COMPUTED_VALUE"""),0.0698)</f>
        <v>0.0698</v>
      </c>
      <c r="S507" s="101">
        <f>IFERROR(__xludf.DUMMYFUNCTION("""COMPUTED_VALUE"""),5.0)</f>
        <v>5</v>
      </c>
      <c r="T507" s="101">
        <f>IFERROR(__xludf.DUMMYFUNCTION("""COMPUTED_VALUE"""),23.0)</f>
        <v>23</v>
      </c>
      <c r="U507" s="270">
        <f>IFERROR(__xludf.DUMMYFUNCTION("""COMPUTED_VALUE"""),7698.0)</f>
        <v>7698</v>
      </c>
      <c r="V507" s="271" t="str">
        <f>IFERROR(__xludf.DUMMYFUNCTION("""COMPUTED_VALUE"""),"offline")</f>
        <v>offline</v>
      </c>
      <c r="W507" s="272" t="str">
        <f>IFERROR(__xludf.DUMMYFUNCTION("""COMPUTED_VALUE"""),"simple")</f>
        <v>simple</v>
      </c>
      <c r="X507" s="272" t="str">
        <f>IFERROR(__xludf.DUMMYFUNCTION("""COMPUTED_VALUE"""),"Cart Value Specific")</f>
        <v>Cart Value Specific</v>
      </c>
      <c r="Y507" s="272" t="str">
        <f>IFERROR(__xludf.DUMMYFUNCTION("""COMPUTED_VALUE"""),"24-26 April")</f>
        <v>24-26 April</v>
      </c>
      <c r="Z507" s="272" t="str">
        <f>IFERROR(__xludf.DUMMYFUNCTION("""COMPUTED_VALUE"""),"69e9e6bf362342a5a9533e11")</f>
        <v>69e9e6bf362342a5a9533e11</v>
      </c>
      <c r="AA507" s="272">
        <f>IFERROR(__xludf.DUMMYFUNCTION("""COMPUTED_VALUE"""),116.0)</f>
        <v>116</v>
      </c>
      <c r="AB507" s="272"/>
      <c r="AC507" s="272">
        <f>IFERROR(__xludf.DUMMYFUNCTION("""COMPUTED_VALUE"""),116.0)</f>
        <v>116</v>
      </c>
      <c r="AD507" s="272">
        <f>IFERROR(__xludf.DUMMYFUNCTION("""COMPUTED_VALUE"""),251696.0)</f>
        <v>251696</v>
      </c>
      <c r="AE507" s="272"/>
      <c r="AF507" s="272">
        <f>IFERROR(__xludf.DUMMYFUNCTION("""COMPUTED_VALUE"""),251696.0)</f>
        <v>251696</v>
      </c>
      <c r="AG507" s="208"/>
      <c r="AH507" s="208"/>
      <c r="AI507" s="208"/>
      <c r="AJ507" s="208"/>
      <c r="AK507" s="208"/>
    </row>
    <row r="508" hidden="1">
      <c r="A508" s="209">
        <f>IFERROR(__xludf.DUMMYFUNCTION("""COMPUTED_VALUE"""),46136.0)</f>
        <v>46136</v>
      </c>
      <c r="B508" s="210">
        <f>IFERROR(__xludf.DUMMYFUNCTION("""COMPUTED_VALUE"""),0.5)</f>
        <v>0.5</v>
      </c>
      <c r="C508" s="211" t="str">
        <f>IFERROR(__xludf.DUMMYFUNCTION("""COMPUTED_VALUE"""),"Whatsapp")</f>
        <v>Whatsapp</v>
      </c>
      <c r="D508" s="211" t="str">
        <f>IFERROR(__xludf.DUMMYFUNCTION("""COMPUTED_VALUE"""),"Promtional")</f>
        <v>Promtional</v>
      </c>
      <c r="E508" s="211" t="str">
        <f>IFERROR(__xludf.DUMMYFUNCTION("""COMPUTED_VALUE"""),"BBW")</f>
        <v>BBW</v>
      </c>
      <c r="F508" s="211" t="str">
        <f>IFERROR(__xludf.DUMMYFUNCTION("""COMPUTED_VALUE"""),"No Brief")</f>
        <v>No Brief</v>
      </c>
      <c r="G508" s="212" t="str">
        <f>IFERROR(__xludf.DUMMYFUNCTION("""COMPUTED_VALUE"""),"bbw_ffmtitbi_24april_wa_mist_repeat_offline")</f>
        <v>bbw_ffmtitbi_24april_wa_mist_repeat_offline</v>
      </c>
      <c r="H508" s="212" t="str">
        <f>IFERROR(__xludf.DUMMYFUNCTION("""COMPUTED_VALUE"""),"BBW_OFF_Mist_Repeat_1Y")</f>
        <v>BBW_OFF_Mist_Repeat_1Y</v>
      </c>
      <c r="I508" s="212" t="str">
        <f>IFERROR(__xludf.DUMMYFUNCTION("""COMPUTED_VALUE"""),"Offline Customers who have purchased at least 2 times from L3: Mist  in the last 365 days")</f>
        <v>Offline Customers who have purchased at least 2 times from L3: Mist  in the last 365 days</v>
      </c>
      <c r="J508" s="213">
        <f>IFERROR(__xludf.DUMMYFUNCTION("""COMPUTED_VALUE"""),2267.0)</f>
        <v>2267</v>
      </c>
      <c r="K508" s="213">
        <f>IFERROR(__xludf.DUMMYFUNCTION("""COMPUTED_VALUE"""),1155.0)</f>
        <v>1155</v>
      </c>
      <c r="L508" s="214">
        <f>IFERROR(__xludf.DUMMYFUNCTION("""COMPUTED_VALUE"""),0.5095)</f>
        <v>0.5095</v>
      </c>
      <c r="M508" s="214">
        <f>IFERROR(__xludf.DUMMYFUNCTION("""COMPUTED_VALUE"""),449.0)</f>
        <v>449</v>
      </c>
      <c r="N508" s="214">
        <f>IFERROR(__xludf.DUMMYFUNCTION("""COMPUTED_VALUE"""),0.3887)</f>
        <v>0.3887</v>
      </c>
      <c r="O508" s="213">
        <f>IFERROR(__xludf.DUMMYFUNCTION("""COMPUTED_VALUE"""),51.0)</f>
        <v>51</v>
      </c>
      <c r="P508" s="213">
        <f>IFERROR(__xludf.DUMMYFUNCTION("""COMPUTED_VALUE"""),46.0)</f>
        <v>46</v>
      </c>
      <c r="Q508" s="214">
        <f>IFERROR(__xludf.DUMMYFUNCTION("""COMPUTED_VALUE"""),0.0398)</f>
        <v>0.0398</v>
      </c>
      <c r="R508" s="214">
        <f>IFERROR(__xludf.DUMMYFUNCTION("""COMPUTED_VALUE"""),0.1024)</f>
        <v>0.1024</v>
      </c>
      <c r="S508" s="101">
        <f>IFERROR(__xludf.DUMMYFUNCTION("""COMPUTED_VALUE"""),1.0)</f>
        <v>1</v>
      </c>
      <c r="T508" s="101">
        <f>IFERROR(__xludf.DUMMYFUNCTION("""COMPUTED_VALUE"""),0.0)</f>
        <v>0</v>
      </c>
      <c r="U508" s="270">
        <f>IFERROR(__xludf.DUMMYFUNCTION("""COMPUTED_VALUE"""),5664.0)</f>
        <v>5664</v>
      </c>
      <c r="V508" s="271" t="str">
        <f>IFERROR(__xludf.DUMMYFUNCTION("""COMPUTED_VALUE"""),"offline")</f>
        <v>offline</v>
      </c>
      <c r="W508" s="272" t="str">
        <f>IFERROR(__xludf.DUMMYFUNCTION("""COMPUTED_VALUE"""),"simple")</f>
        <v>simple</v>
      </c>
      <c r="X508" s="272" t="str">
        <f>IFERROR(__xludf.DUMMYFUNCTION("""COMPUTED_VALUE"""),"Category Specific")</f>
        <v>Category Specific</v>
      </c>
      <c r="Y508" s="272" t="str">
        <f>IFERROR(__xludf.DUMMYFUNCTION("""COMPUTED_VALUE"""),"24-26 April")</f>
        <v>24-26 April</v>
      </c>
      <c r="Z508" s="272" t="str">
        <f>IFERROR(__xludf.DUMMYFUNCTION("""COMPUTED_VALUE"""),"69e9e6fc71f7a6d8346c055b")</f>
        <v>69e9e6fc71f7a6d8346c055b</v>
      </c>
      <c r="AA508" s="272">
        <f>IFERROR(__xludf.DUMMYFUNCTION("""COMPUTED_VALUE"""),14.0)</f>
        <v>14</v>
      </c>
      <c r="AB508" s="272"/>
      <c r="AC508" s="272">
        <f>IFERROR(__xludf.DUMMYFUNCTION("""COMPUTED_VALUE"""),14.0)</f>
        <v>14</v>
      </c>
      <c r="AD508" s="272">
        <f>IFERROR(__xludf.DUMMYFUNCTION("""COMPUTED_VALUE"""),56039.0)</f>
        <v>56039</v>
      </c>
      <c r="AE508" s="272"/>
      <c r="AF508" s="272">
        <f>IFERROR(__xludf.DUMMYFUNCTION("""COMPUTED_VALUE"""),56039.0)</f>
        <v>56039</v>
      </c>
      <c r="AG508" s="208"/>
      <c r="AH508" s="208"/>
      <c r="AI508" s="208"/>
      <c r="AJ508" s="208"/>
      <c r="AK508" s="208"/>
    </row>
    <row r="509" hidden="1">
      <c r="A509" s="209">
        <f>IFERROR(__xludf.DUMMYFUNCTION("""COMPUTED_VALUE"""),46136.0)</f>
        <v>46136</v>
      </c>
      <c r="B509" s="210">
        <f>IFERROR(__xludf.DUMMYFUNCTION("""COMPUTED_VALUE"""),0.5)</f>
        <v>0.5</v>
      </c>
      <c r="C509" s="211" t="str">
        <f>IFERROR(__xludf.DUMMYFUNCTION("""COMPUTED_VALUE"""),"Whatsapp")</f>
        <v>Whatsapp</v>
      </c>
      <c r="D509" s="211" t="str">
        <f>IFERROR(__xludf.DUMMYFUNCTION("""COMPUTED_VALUE"""),"Promtional")</f>
        <v>Promtional</v>
      </c>
      <c r="E509" s="211" t="str">
        <f>IFERROR(__xludf.DUMMYFUNCTION("""COMPUTED_VALUE"""),"BBW")</f>
        <v>BBW</v>
      </c>
      <c r="F509" s="211" t="str">
        <f>IFERROR(__xludf.DUMMYFUNCTION("""COMPUTED_VALUE"""),"No Brief")</f>
        <v>No Brief</v>
      </c>
      <c r="G509" s="212" t="str">
        <f>IFERROR(__xludf.DUMMYFUNCTION("""COMPUTED_VALUE"""),"bbw_ffmtitbi_24april_wa_event_buyer_offline")</f>
        <v>bbw_ffmtitbi_24april_wa_event_buyer_offline</v>
      </c>
      <c r="H509" s="212" t="str">
        <f>IFERROR(__xludf.DUMMYFUNCTION("""COMPUTED_VALUE"""),"BBW_OFF_Event_Buyers_TITBI")</f>
        <v>BBW_OFF_Event_Buyers_TITBI</v>
      </c>
      <c r="I509" s="212" t="str">
        <f>IFERROR(__xludf.DUMMYFUNCTION("""COMPUTED_VALUE"""),"Offline Customers who have purchased between 24 - 27 April, 2025 or 28 - 31 August, 2025")</f>
        <v>Offline Customers who have purchased between 24 - 27 April, 2025 or 28 - 31 August, 2025</v>
      </c>
      <c r="J509" s="213">
        <f>IFERROR(__xludf.DUMMYFUNCTION("""COMPUTED_VALUE"""),10058.0)</f>
        <v>10058</v>
      </c>
      <c r="K509" s="213">
        <f>IFERROR(__xludf.DUMMYFUNCTION("""COMPUTED_VALUE"""),5071.0)</f>
        <v>5071</v>
      </c>
      <c r="L509" s="214">
        <f>IFERROR(__xludf.DUMMYFUNCTION("""COMPUTED_VALUE"""),0.5041)</f>
        <v>0.5041</v>
      </c>
      <c r="M509" s="214">
        <f>IFERROR(__xludf.DUMMYFUNCTION("""COMPUTED_VALUE"""),1842.0)</f>
        <v>1842</v>
      </c>
      <c r="N509" s="214">
        <f>IFERROR(__xludf.DUMMYFUNCTION("""COMPUTED_VALUE"""),0.3633)</f>
        <v>0.3633</v>
      </c>
      <c r="O509" s="213">
        <f>IFERROR(__xludf.DUMMYFUNCTION("""COMPUTED_VALUE"""),164.0)</f>
        <v>164</v>
      </c>
      <c r="P509" s="213">
        <f>IFERROR(__xludf.DUMMYFUNCTION("""COMPUTED_VALUE"""),151.0)</f>
        <v>151</v>
      </c>
      <c r="Q509" s="214">
        <f>IFERROR(__xludf.DUMMYFUNCTION("""COMPUTED_VALUE"""),0.0298)</f>
        <v>0.0298</v>
      </c>
      <c r="R509" s="214">
        <f>IFERROR(__xludf.DUMMYFUNCTION("""COMPUTED_VALUE"""),0.082)</f>
        <v>0.082</v>
      </c>
      <c r="S509" s="101">
        <f>IFERROR(__xludf.DUMMYFUNCTION("""COMPUTED_VALUE"""),2.0)</f>
        <v>2</v>
      </c>
      <c r="T509" s="101">
        <f>IFERROR(__xludf.DUMMYFUNCTION("""COMPUTED_VALUE"""),4.0)</f>
        <v>4</v>
      </c>
      <c r="U509" s="270">
        <f>IFERROR(__xludf.DUMMYFUNCTION("""COMPUTED_VALUE"""),3236.0)</f>
        <v>3236</v>
      </c>
      <c r="V509" s="271" t="str">
        <f>IFERROR(__xludf.DUMMYFUNCTION("""COMPUTED_VALUE"""),"offline")</f>
        <v>offline</v>
      </c>
      <c r="W509" s="272" t="str">
        <f>IFERROR(__xludf.DUMMYFUNCTION("""COMPUTED_VALUE"""),"simple")</f>
        <v>simple</v>
      </c>
      <c r="X509" s="272" t="str">
        <f>IFERROR(__xludf.DUMMYFUNCTION("""COMPUTED_VALUE"""),"Event Buyers")</f>
        <v>Event Buyers</v>
      </c>
      <c r="Y509" s="272" t="str">
        <f>IFERROR(__xludf.DUMMYFUNCTION("""COMPUTED_VALUE"""),"24-26 April")</f>
        <v>24-26 April</v>
      </c>
      <c r="Z509" s="272" t="str">
        <f>IFERROR(__xludf.DUMMYFUNCTION("""COMPUTED_VALUE"""),"69e9e7347e26ed746e0ccab2")</f>
        <v>69e9e7347e26ed746e0ccab2</v>
      </c>
      <c r="AA509" s="272">
        <f>IFERROR(__xludf.DUMMYFUNCTION("""COMPUTED_VALUE"""),38.0)</f>
        <v>38</v>
      </c>
      <c r="AB509" s="272"/>
      <c r="AC509" s="272">
        <f>IFERROR(__xludf.DUMMYFUNCTION("""COMPUTED_VALUE"""),38.0)</f>
        <v>38</v>
      </c>
      <c r="AD509" s="272">
        <f>IFERROR(__xludf.DUMMYFUNCTION("""COMPUTED_VALUE"""),123134.0)</f>
        <v>123134</v>
      </c>
      <c r="AE509" s="272"/>
      <c r="AF509" s="272">
        <f>IFERROR(__xludf.DUMMYFUNCTION("""COMPUTED_VALUE"""),123134.0)</f>
        <v>123134</v>
      </c>
      <c r="AG509" s="208"/>
      <c r="AH509" s="208"/>
      <c r="AI509" s="208"/>
      <c r="AJ509" s="208"/>
      <c r="AK509" s="208"/>
    </row>
    <row r="510" hidden="1">
      <c r="A510" s="209">
        <f>IFERROR(__xludf.DUMMYFUNCTION("""COMPUTED_VALUE"""),46136.0)</f>
        <v>46136</v>
      </c>
      <c r="B510" s="210">
        <f>IFERROR(__xludf.DUMMYFUNCTION("""COMPUTED_VALUE"""),0.5416666666678793)</f>
        <v>0.5416666667</v>
      </c>
      <c r="C510" s="211" t="str">
        <f>IFERROR(__xludf.DUMMYFUNCTION("""COMPUTED_VALUE"""),"Sms")</f>
        <v>Sms</v>
      </c>
      <c r="D510" s="211" t="str">
        <f>IFERROR(__xludf.DUMMYFUNCTION("""COMPUTED_VALUE"""),"Fallback campaign")</f>
        <v>Fallback campaign</v>
      </c>
      <c r="E510" s="211" t="str">
        <f>IFERROR(__xludf.DUMMYFUNCTION("""COMPUTED_VALUE"""),"BBW")</f>
        <v>BBW</v>
      </c>
      <c r="F510" s="211" t="str">
        <f>IFERROR(__xludf.DUMMYFUNCTION("""COMPUTED_VALUE"""),"No Brief")</f>
        <v>No Brief</v>
      </c>
      <c r="G510" s="212" t="str">
        <f>IFERROR(__xludf.DUMMYFUNCTION("""COMPUTED_VALUE"""),"bbw_ffmtitbi_24april_smsfb_disc_buyer_offline")</f>
        <v>bbw_ffmtitbi_24april_smsfb_disc_buyer_offline</v>
      </c>
      <c r="H510" s="212" t="str">
        <f>IFERROR(__xludf.DUMMYFUNCTION("""COMPUTED_VALUE"""),"BBW_OFF_Mist_Disc_Buyers")</f>
        <v>BBW_OFF_Mist_Disc_Buyers</v>
      </c>
      <c r="I510" s="212" t="str">
        <f>IFERROR(__xludf.DUMMYFUNCTION("""COMPUTED_VALUE"""),"WA Undelivered")</f>
        <v>WA Undelivered</v>
      </c>
      <c r="J510" s="213">
        <f>IFERROR(__xludf.DUMMYFUNCTION("""COMPUTED_VALUE"""),49293.0)</f>
        <v>49293</v>
      </c>
      <c r="K510" s="213">
        <f>IFERROR(__xludf.DUMMYFUNCTION("""COMPUTED_VALUE"""),30019.0)</f>
        <v>30019</v>
      </c>
      <c r="L510" s="214">
        <f>IFERROR(__xludf.DUMMYFUNCTION("""COMPUTED_VALUE"""),0.609)</f>
        <v>0.609</v>
      </c>
      <c r="M510" s="213">
        <f>IFERROR(__xludf.DUMMYFUNCTION("""COMPUTED_VALUE"""),0.0)</f>
        <v>0</v>
      </c>
      <c r="N510" s="214">
        <f>IFERROR(__xludf.DUMMYFUNCTION("""COMPUTED_VALUE"""),0.0)</f>
        <v>0</v>
      </c>
      <c r="O510" s="213">
        <f>IFERROR(__xludf.DUMMYFUNCTION("""COMPUTED_VALUE"""),25.0)</f>
        <v>25</v>
      </c>
      <c r="P510" s="213">
        <f>IFERROR(__xludf.DUMMYFUNCTION("""COMPUTED_VALUE"""),0.0)</f>
        <v>0</v>
      </c>
      <c r="Q510" s="214">
        <f>IFERROR(__xludf.DUMMYFUNCTION("""COMPUTED_VALUE"""),8.0E-4)</f>
        <v>0.0008</v>
      </c>
      <c r="R510" s="214">
        <f>IFERROR(__xludf.DUMMYFUNCTION("""COMPUTED_VALUE"""),0.0)</f>
        <v>0</v>
      </c>
      <c r="S510" s="101">
        <f>IFERROR(__xludf.DUMMYFUNCTION("""COMPUTED_VALUE"""),0.0)</f>
        <v>0</v>
      </c>
      <c r="T510" s="101">
        <f>IFERROR(__xludf.DUMMYFUNCTION("""COMPUTED_VALUE"""),6.0)</f>
        <v>6</v>
      </c>
      <c r="U510" s="270">
        <f>IFERROR(__xludf.DUMMYFUNCTION("""COMPUTED_VALUE"""),0.0)</f>
        <v>0</v>
      </c>
      <c r="V510" s="271" t="str">
        <f>IFERROR(__xludf.DUMMYFUNCTION("""COMPUTED_VALUE"""),"offline")</f>
        <v>offline</v>
      </c>
      <c r="W510" s="272" t="str">
        <f>IFERROR(__xludf.DUMMYFUNCTION("""COMPUTED_VALUE"""),"sms")</f>
        <v>sms</v>
      </c>
      <c r="X510" s="272" t="str">
        <f>IFERROR(__xludf.DUMMYFUNCTION("""COMPUTED_VALUE"""),"Category Specific")</f>
        <v>Category Specific</v>
      </c>
      <c r="Y510" s="272" t="str">
        <f>IFERROR(__xludf.DUMMYFUNCTION("""COMPUTED_VALUE"""),"24 Apr")</f>
        <v>24 Apr</v>
      </c>
      <c r="Z510" s="272" t="str">
        <f>IFERROR(__xludf.DUMMYFUNCTION("""COMPUTED_VALUE"""),"69e9ee5473f54f7d598065b6")</f>
        <v>69e9ee5473f54f7d598065b6</v>
      </c>
      <c r="AA510" s="272">
        <f>IFERROR(__xludf.DUMMYFUNCTION("""COMPUTED_VALUE"""),39.0)</f>
        <v>39</v>
      </c>
      <c r="AB510" s="272"/>
      <c r="AC510" s="272">
        <f>IFERROR(__xludf.DUMMYFUNCTION("""COMPUTED_VALUE"""),39.0)</f>
        <v>39</v>
      </c>
      <c r="AD510" s="272">
        <f>IFERROR(__xludf.DUMMYFUNCTION("""COMPUTED_VALUE"""),172977.0)</f>
        <v>172977</v>
      </c>
      <c r="AE510" s="272"/>
      <c r="AF510" s="272">
        <f>IFERROR(__xludf.DUMMYFUNCTION("""COMPUTED_VALUE"""),172977.0)</f>
        <v>172977</v>
      </c>
      <c r="AG510" s="208"/>
      <c r="AH510" s="208"/>
      <c r="AI510" s="208"/>
      <c r="AJ510" s="208"/>
      <c r="AK510" s="208"/>
    </row>
    <row r="511" hidden="1">
      <c r="A511" s="209">
        <f>IFERROR(__xludf.DUMMYFUNCTION("""COMPUTED_VALUE"""),46136.0)</f>
        <v>46136</v>
      </c>
      <c r="B511" s="210">
        <f>IFERROR(__xludf.DUMMYFUNCTION("""COMPUTED_VALUE"""),0.5416666666678793)</f>
        <v>0.5416666667</v>
      </c>
      <c r="C511" s="211" t="str">
        <f>IFERROR(__xludf.DUMMYFUNCTION("""COMPUTED_VALUE"""),"Sms")</f>
        <v>Sms</v>
      </c>
      <c r="D511" s="211" t="str">
        <f>IFERROR(__xludf.DUMMYFUNCTION("""COMPUTED_VALUE"""),"Fallback campaign")</f>
        <v>Fallback campaign</v>
      </c>
      <c r="E511" s="211" t="str">
        <f>IFERROR(__xludf.DUMMYFUNCTION("""COMPUTED_VALUE"""),"BBW")</f>
        <v>BBW</v>
      </c>
      <c r="F511" s="211" t="str">
        <f>IFERROR(__xludf.DUMMYFUNCTION("""COMPUTED_VALUE"""),"No Brief")</f>
        <v>No Brief</v>
      </c>
      <c r="G511" s="212" t="str">
        <f>IFERROR(__xludf.DUMMYFUNCTION("""COMPUTED_VALUE"""),"bbw_ffmtitbi_24april_smsfb_aov_offline")</f>
        <v>bbw_ffmtitbi_24april_smsfb_aov_offline</v>
      </c>
      <c r="H511" s="212" t="str">
        <f>IFERROR(__xludf.DUMMYFUNCTION("""COMPUTED_VALUE"""),"BBW_OFF_AOV_799_1299_1Y")</f>
        <v>BBW_OFF_AOV_799_1299_1Y</v>
      </c>
      <c r="I511" s="212" t="str">
        <f>IFERROR(__xludf.DUMMYFUNCTION("""COMPUTED_VALUE"""),"WA Undelivered")</f>
        <v>WA Undelivered</v>
      </c>
      <c r="J511" s="213">
        <f>IFERROR(__xludf.DUMMYFUNCTION("""COMPUTED_VALUE"""),24557.0)</f>
        <v>24557</v>
      </c>
      <c r="K511" s="213">
        <f>IFERROR(__xludf.DUMMYFUNCTION("""COMPUTED_VALUE"""),14818.0)</f>
        <v>14818</v>
      </c>
      <c r="L511" s="214">
        <f>IFERROR(__xludf.DUMMYFUNCTION("""COMPUTED_VALUE"""),0.6034)</f>
        <v>0.6034</v>
      </c>
      <c r="M511" s="213">
        <f>IFERROR(__xludf.DUMMYFUNCTION("""COMPUTED_VALUE"""),0.0)</f>
        <v>0</v>
      </c>
      <c r="N511" s="214">
        <f>IFERROR(__xludf.DUMMYFUNCTION("""COMPUTED_VALUE"""),0.0)</f>
        <v>0</v>
      </c>
      <c r="O511" s="213">
        <f>IFERROR(__xludf.DUMMYFUNCTION("""COMPUTED_VALUE"""),10.0)</f>
        <v>10</v>
      </c>
      <c r="P511" s="213">
        <f>IFERROR(__xludf.DUMMYFUNCTION("""COMPUTED_VALUE"""),0.0)</f>
        <v>0</v>
      </c>
      <c r="Q511" s="214">
        <f>IFERROR(__xludf.DUMMYFUNCTION("""COMPUTED_VALUE"""),7.0E-4)</f>
        <v>0.0007</v>
      </c>
      <c r="R511" s="214">
        <f>IFERROR(__xludf.DUMMYFUNCTION("""COMPUTED_VALUE"""),0.0)</f>
        <v>0</v>
      </c>
      <c r="S511" s="101">
        <f>IFERROR(__xludf.DUMMYFUNCTION("""COMPUTED_VALUE"""),0.0)</f>
        <v>0</v>
      </c>
      <c r="T511" s="101">
        <f>IFERROR(__xludf.DUMMYFUNCTION("""COMPUTED_VALUE"""),1.0)</f>
        <v>1</v>
      </c>
      <c r="U511" s="270">
        <f>IFERROR(__xludf.DUMMYFUNCTION("""COMPUTED_VALUE"""),0.0)</f>
        <v>0</v>
      </c>
      <c r="V511" s="271" t="str">
        <f>IFERROR(__xludf.DUMMYFUNCTION("""COMPUTED_VALUE"""),"offline")</f>
        <v>offline</v>
      </c>
      <c r="W511" s="272" t="str">
        <f>IFERROR(__xludf.DUMMYFUNCTION("""COMPUTED_VALUE"""),"sms")</f>
        <v>sms</v>
      </c>
      <c r="X511" s="272" t="str">
        <f>IFERROR(__xludf.DUMMYFUNCTION("""COMPUTED_VALUE"""),"Cart Value Specific")</f>
        <v>Cart Value Specific</v>
      </c>
      <c r="Y511" s="272" t="str">
        <f>IFERROR(__xludf.DUMMYFUNCTION("""COMPUTED_VALUE"""),"24 Apr")</f>
        <v>24 Apr</v>
      </c>
      <c r="Z511" s="272" t="str">
        <f>IFERROR(__xludf.DUMMYFUNCTION("""COMPUTED_VALUE"""),"69e9ee7f0a4741860bf27f4e")</f>
        <v>69e9ee7f0a4741860bf27f4e</v>
      </c>
      <c r="AA511" s="272">
        <f>IFERROR(__xludf.DUMMYFUNCTION("""COMPUTED_VALUE"""),3.0)</f>
        <v>3</v>
      </c>
      <c r="AB511" s="272"/>
      <c r="AC511" s="272">
        <f>IFERROR(__xludf.DUMMYFUNCTION("""COMPUTED_VALUE"""),3.0)</f>
        <v>3</v>
      </c>
      <c r="AD511" s="272">
        <f>IFERROR(__xludf.DUMMYFUNCTION("""COMPUTED_VALUE"""),3295.0)</f>
        <v>3295</v>
      </c>
      <c r="AE511" s="272"/>
      <c r="AF511" s="272">
        <f>IFERROR(__xludf.DUMMYFUNCTION("""COMPUTED_VALUE"""),3295.0)</f>
        <v>3295</v>
      </c>
      <c r="AG511" s="208"/>
      <c r="AH511" s="208"/>
      <c r="AI511" s="208"/>
      <c r="AJ511" s="208"/>
      <c r="AK511" s="208"/>
    </row>
    <row r="512" hidden="1">
      <c r="A512" s="209">
        <f>IFERROR(__xludf.DUMMYFUNCTION("""COMPUTED_VALUE"""),46136.0)</f>
        <v>46136</v>
      </c>
      <c r="B512" s="210">
        <f>IFERROR(__xludf.DUMMYFUNCTION("""COMPUTED_VALUE"""),0.5416666666678793)</f>
        <v>0.5416666667</v>
      </c>
      <c r="C512" s="211" t="str">
        <f>IFERROR(__xludf.DUMMYFUNCTION("""COMPUTED_VALUE"""),"Sms")</f>
        <v>Sms</v>
      </c>
      <c r="D512" s="211" t="str">
        <f>IFERROR(__xludf.DUMMYFUNCTION("""COMPUTED_VALUE"""),"Fallback campaign")</f>
        <v>Fallback campaign</v>
      </c>
      <c r="E512" s="211" t="str">
        <f>IFERROR(__xludf.DUMMYFUNCTION("""COMPUTED_VALUE"""),"BBW")</f>
        <v>BBW</v>
      </c>
      <c r="F512" s="211" t="str">
        <f>IFERROR(__xludf.DUMMYFUNCTION("""COMPUTED_VALUE"""),"No Brief")</f>
        <v>No Brief</v>
      </c>
      <c r="G512" s="212" t="str">
        <f>IFERROR(__xludf.DUMMYFUNCTION("""COMPUTED_VALUE"""),"bbw_ffmtitbi_24april_smsfb_mist_repeat_offline")</f>
        <v>bbw_ffmtitbi_24april_smsfb_mist_repeat_offline</v>
      </c>
      <c r="H512" s="212" t="str">
        <f>IFERROR(__xludf.DUMMYFUNCTION("""COMPUTED_VALUE"""),"BBW_OFF_Mist_Repeat_1Y")</f>
        <v>BBW_OFF_Mist_Repeat_1Y</v>
      </c>
      <c r="I512" s="212" t="str">
        <f>IFERROR(__xludf.DUMMYFUNCTION("""COMPUTED_VALUE"""),"WA Undelivered")</f>
        <v>WA Undelivered</v>
      </c>
      <c r="J512" s="213">
        <f>IFERROR(__xludf.DUMMYFUNCTION("""COMPUTED_VALUE"""),1068.0)</f>
        <v>1068</v>
      </c>
      <c r="K512" s="213">
        <f>IFERROR(__xludf.DUMMYFUNCTION("""COMPUTED_VALUE"""),589.0)</f>
        <v>589</v>
      </c>
      <c r="L512" s="214">
        <f>IFERROR(__xludf.DUMMYFUNCTION("""COMPUTED_VALUE"""),0.5515)</f>
        <v>0.5515</v>
      </c>
      <c r="M512" s="214">
        <f>IFERROR(__xludf.DUMMYFUNCTION("""COMPUTED_VALUE"""),0.0)</f>
        <v>0</v>
      </c>
      <c r="N512" s="214">
        <f>IFERROR(__xludf.DUMMYFUNCTION("""COMPUTED_VALUE"""),0.0)</f>
        <v>0</v>
      </c>
      <c r="O512" s="213">
        <f>IFERROR(__xludf.DUMMYFUNCTION("""COMPUTED_VALUE"""),1.0)</f>
        <v>1</v>
      </c>
      <c r="P512" s="213">
        <f>IFERROR(__xludf.DUMMYFUNCTION("""COMPUTED_VALUE"""),0.0)</f>
        <v>0</v>
      </c>
      <c r="Q512" s="214">
        <f>IFERROR(__xludf.DUMMYFUNCTION("""COMPUTED_VALUE"""),0.0017)</f>
        <v>0.0017</v>
      </c>
      <c r="R512" s="214">
        <f>IFERROR(__xludf.DUMMYFUNCTION("""COMPUTED_VALUE"""),0.0)</f>
        <v>0</v>
      </c>
      <c r="S512" s="101">
        <f>IFERROR(__xludf.DUMMYFUNCTION("""COMPUTED_VALUE"""),0.0)</f>
        <v>0</v>
      </c>
      <c r="T512" s="101">
        <f>IFERROR(__xludf.DUMMYFUNCTION("""COMPUTED_VALUE"""),0.0)</f>
        <v>0</v>
      </c>
      <c r="U512" s="270">
        <f>IFERROR(__xludf.DUMMYFUNCTION("""COMPUTED_VALUE"""),0.0)</f>
        <v>0</v>
      </c>
      <c r="V512" s="271" t="str">
        <f>IFERROR(__xludf.DUMMYFUNCTION("""COMPUTED_VALUE"""),"offline")</f>
        <v>offline</v>
      </c>
      <c r="W512" s="272" t="str">
        <f>IFERROR(__xludf.DUMMYFUNCTION("""COMPUTED_VALUE"""),"sms")</f>
        <v>sms</v>
      </c>
      <c r="X512" s="272" t="str">
        <f>IFERROR(__xludf.DUMMYFUNCTION("""COMPUTED_VALUE"""),"Category Specific")</f>
        <v>Category Specific</v>
      </c>
      <c r="Y512" s="272" t="str">
        <f>IFERROR(__xludf.DUMMYFUNCTION("""COMPUTED_VALUE"""),"24 Apr")</f>
        <v>24 Apr</v>
      </c>
      <c r="Z512" s="272" t="str">
        <f>IFERROR(__xludf.DUMMYFUNCTION("""COMPUTED_VALUE"""),"69e9eedb9143217d6e5c0a8c")</f>
        <v>69e9eedb9143217d6e5c0a8c</v>
      </c>
      <c r="AA512" s="272">
        <f>IFERROR(__xludf.DUMMYFUNCTION("""COMPUTED_VALUE"""),1.0)</f>
        <v>1</v>
      </c>
      <c r="AB512" s="272"/>
      <c r="AC512" s="272">
        <f>IFERROR(__xludf.DUMMYFUNCTION("""COMPUTED_VALUE"""),1.0)</f>
        <v>1</v>
      </c>
      <c r="AD512" s="272">
        <f>IFERROR(__xludf.DUMMYFUNCTION("""COMPUTED_VALUE"""),4318.0)</f>
        <v>4318</v>
      </c>
      <c r="AE512" s="272"/>
      <c r="AF512" s="272">
        <f>IFERROR(__xludf.DUMMYFUNCTION("""COMPUTED_VALUE"""),4318.0)</f>
        <v>4318</v>
      </c>
      <c r="AG512" s="208"/>
      <c r="AH512" s="208"/>
      <c r="AI512" s="208"/>
      <c r="AJ512" s="208"/>
      <c r="AK512" s="208"/>
    </row>
    <row r="513" hidden="1">
      <c r="A513" s="209">
        <f>IFERROR(__xludf.DUMMYFUNCTION("""COMPUTED_VALUE"""),46136.0)</f>
        <v>46136</v>
      </c>
      <c r="B513" s="210">
        <f>IFERROR(__xludf.DUMMYFUNCTION("""COMPUTED_VALUE"""),0.5416666666678793)</f>
        <v>0.5416666667</v>
      </c>
      <c r="C513" s="211" t="str">
        <f>IFERROR(__xludf.DUMMYFUNCTION("""COMPUTED_VALUE"""),"Sms")</f>
        <v>Sms</v>
      </c>
      <c r="D513" s="211" t="str">
        <f>IFERROR(__xludf.DUMMYFUNCTION("""COMPUTED_VALUE"""),"Fallback campaign")</f>
        <v>Fallback campaign</v>
      </c>
      <c r="E513" s="211" t="str">
        <f>IFERROR(__xludf.DUMMYFUNCTION("""COMPUTED_VALUE"""),"BBW")</f>
        <v>BBW</v>
      </c>
      <c r="F513" s="211" t="str">
        <f>IFERROR(__xludf.DUMMYFUNCTION("""COMPUTED_VALUE"""),"No Brief")</f>
        <v>No Brief</v>
      </c>
      <c r="G513" s="212" t="str">
        <f>IFERROR(__xludf.DUMMYFUNCTION("""COMPUTED_VALUE"""),"bbw_ffmtitbi_24april_smsfb_event_buyer_offline")</f>
        <v>bbw_ffmtitbi_24april_smsfb_event_buyer_offline</v>
      </c>
      <c r="H513" s="212" t="str">
        <f>IFERROR(__xludf.DUMMYFUNCTION("""COMPUTED_VALUE"""),"BBW_OFF_Event_Buyers_TITBI")</f>
        <v>BBW_OFF_Event_Buyers_TITBI</v>
      </c>
      <c r="I513" s="212" t="str">
        <f>IFERROR(__xludf.DUMMYFUNCTION("""COMPUTED_VALUE"""),"WA Undelivered")</f>
        <v>WA Undelivered</v>
      </c>
      <c r="J513" s="213">
        <f>IFERROR(__xludf.DUMMYFUNCTION("""COMPUTED_VALUE"""),4691.0)</f>
        <v>4691</v>
      </c>
      <c r="K513" s="213">
        <f>IFERROR(__xludf.DUMMYFUNCTION("""COMPUTED_VALUE"""),2647.0)</f>
        <v>2647</v>
      </c>
      <c r="L513" s="214">
        <f>IFERROR(__xludf.DUMMYFUNCTION("""COMPUTED_VALUE"""),0.5643)</f>
        <v>0.5643</v>
      </c>
      <c r="M513" s="213">
        <f>IFERROR(__xludf.DUMMYFUNCTION("""COMPUTED_VALUE"""),0.0)</f>
        <v>0</v>
      </c>
      <c r="N513" s="214">
        <f>IFERROR(__xludf.DUMMYFUNCTION("""COMPUTED_VALUE"""),0.0)</f>
        <v>0</v>
      </c>
      <c r="O513" s="213">
        <f>IFERROR(__xludf.DUMMYFUNCTION("""COMPUTED_VALUE"""),6.0)</f>
        <v>6</v>
      </c>
      <c r="P513" s="213">
        <f>IFERROR(__xludf.DUMMYFUNCTION("""COMPUTED_VALUE"""),0.0)</f>
        <v>0</v>
      </c>
      <c r="Q513" s="214">
        <f>IFERROR(__xludf.DUMMYFUNCTION("""COMPUTED_VALUE"""),0.0023)</f>
        <v>0.0023</v>
      </c>
      <c r="R513" s="214">
        <f>IFERROR(__xludf.DUMMYFUNCTION("""COMPUTED_VALUE"""),0.0)</f>
        <v>0</v>
      </c>
      <c r="S513" s="101">
        <f>IFERROR(__xludf.DUMMYFUNCTION("""COMPUTED_VALUE"""),1.0)</f>
        <v>1</v>
      </c>
      <c r="T513" s="101">
        <f>IFERROR(__xludf.DUMMYFUNCTION("""COMPUTED_VALUE"""),1.0)</f>
        <v>1</v>
      </c>
      <c r="U513" s="270">
        <f>IFERROR(__xludf.DUMMYFUNCTION("""COMPUTED_VALUE"""),1618.0)</f>
        <v>1618</v>
      </c>
      <c r="V513" s="271" t="str">
        <f>IFERROR(__xludf.DUMMYFUNCTION("""COMPUTED_VALUE"""),"offline")</f>
        <v>offline</v>
      </c>
      <c r="W513" s="272" t="str">
        <f>IFERROR(__xludf.DUMMYFUNCTION("""COMPUTED_VALUE"""),"sms")</f>
        <v>sms</v>
      </c>
      <c r="X513" s="272" t="str">
        <f>IFERROR(__xludf.DUMMYFUNCTION("""COMPUTED_VALUE"""),"Event Buyers")</f>
        <v>Event Buyers</v>
      </c>
      <c r="Y513" s="272" t="str">
        <f>IFERROR(__xludf.DUMMYFUNCTION("""COMPUTED_VALUE"""),"24 Apr")</f>
        <v>24 Apr</v>
      </c>
      <c r="Z513" s="272" t="str">
        <f>IFERROR(__xludf.DUMMYFUNCTION("""COMPUTED_VALUE"""),"69e9ef4a87057029496183d1")</f>
        <v>69e9ef4a87057029496183d1</v>
      </c>
      <c r="AA513" s="272">
        <f>IFERROR(__xludf.DUMMYFUNCTION("""COMPUTED_VALUE"""),6.0)</f>
        <v>6</v>
      </c>
      <c r="AB513" s="272"/>
      <c r="AC513" s="272">
        <f>IFERROR(__xludf.DUMMYFUNCTION("""COMPUTED_VALUE"""),6.0)</f>
        <v>6</v>
      </c>
      <c r="AD513" s="272">
        <f>IFERROR(__xludf.DUMMYFUNCTION("""COMPUTED_VALUE"""),31293.0)</f>
        <v>31293</v>
      </c>
      <c r="AE513" s="272"/>
      <c r="AF513" s="272">
        <f>IFERROR(__xludf.DUMMYFUNCTION("""COMPUTED_VALUE"""),31293.0)</f>
        <v>31293</v>
      </c>
      <c r="AG513" s="208"/>
      <c r="AH513" s="208"/>
      <c r="AI513" s="208"/>
      <c r="AJ513" s="208"/>
      <c r="AK513" s="208"/>
    </row>
    <row r="514" hidden="1">
      <c r="A514" s="209">
        <f>IFERROR(__xludf.DUMMYFUNCTION("""COMPUTED_VALUE"""),46137.0)</f>
        <v>46137</v>
      </c>
      <c r="B514" s="210">
        <f>IFERROR(__xludf.DUMMYFUNCTION("""COMPUTED_VALUE"""),0.75)</f>
        <v>0.75</v>
      </c>
      <c r="C514" s="211" t="str">
        <f>IFERROR(__xludf.DUMMYFUNCTION("""COMPUTED_VALUE"""),"Whatsapp")</f>
        <v>Whatsapp</v>
      </c>
      <c r="D514" s="211" t="str">
        <f>IFERROR(__xludf.DUMMYFUNCTION("""COMPUTED_VALUE"""),"Promtional")</f>
        <v>Promtional</v>
      </c>
      <c r="E514" s="211" t="str">
        <f>IFERROR(__xludf.DUMMYFUNCTION("""COMPUTED_VALUE"""),"BBW")</f>
        <v>BBW</v>
      </c>
      <c r="F514" s="211" t="str">
        <f>IFERROR(__xludf.DUMMYFUNCTION("""COMPUTED_VALUE"""),"No Brief")</f>
        <v>No Brief</v>
      </c>
      <c r="G514" s="212" t="str">
        <f>IFERROR(__xludf.DUMMYFUNCTION("""COMPUTED_VALUE"""),"bbw_ffmtitbi_25april_wa_disc_buyer_offline_reminder")</f>
        <v>bbw_ffmtitbi_25april_wa_disc_buyer_offline_reminder</v>
      </c>
      <c r="H514" s="212" t="str">
        <f>IFERROR(__xludf.DUMMYFUNCTION("""COMPUTED_VALUE"""),"BBW_OFF_Mist_Disc_Buyers")</f>
        <v>BBW_OFF_Mist_Disc_Buyers</v>
      </c>
      <c r="I514" s="212" t="str">
        <f>IFERROR(__xludf.DUMMYFUNCTION("""COMPUTED_VALUE"""),"Offline Customers who have purchased at least 1 time in the last 180 days from L3: Mist with Aggregation: Summation of Order_Disc_Value is greater than zero")</f>
        <v>Offline Customers who have purchased at least 1 time in the last 180 days from L3: Mist with Aggregation: Summation of Order_Disc_Value is greater than zero</v>
      </c>
      <c r="J514" s="213">
        <f>IFERROR(__xludf.DUMMYFUNCTION("""COMPUTED_VALUE"""),113705.0)</f>
        <v>113705</v>
      </c>
      <c r="K514" s="213">
        <f>IFERROR(__xludf.DUMMYFUNCTION("""COMPUTED_VALUE"""),53102.0)</f>
        <v>53102</v>
      </c>
      <c r="L514" s="214">
        <f>IFERROR(__xludf.DUMMYFUNCTION("""COMPUTED_VALUE"""),0.4669)</f>
        <v>0.4669</v>
      </c>
      <c r="M514" s="214">
        <f>IFERROR(__xludf.DUMMYFUNCTION("""COMPUTED_VALUE"""),18054.0)</f>
        <v>18054</v>
      </c>
      <c r="N514" s="214">
        <f>IFERROR(__xludf.DUMMYFUNCTION("""COMPUTED_VALUE"""),0.3401)</f>
        <v>0.3401</v>
      </c>
      <c r="O514" s="213">
        <f>IFERROR(__xludf.DUMMYFUNCTION("""COMPUTED_VALUE"""),1414.0)</f>
        <v>1414</v>
      </c>
      <c r="P514" s="213">
        <f>IFERROR(__xludf.DUMMYFUNCTION("""COMPUTED_VALUE"""),1305.0)</f>
        <v>1305</v>
      </c>
      <c r="Q514" s="214">
        <f>IFERROR(__xludf.DUMMYFUNCTION("""COMPUTED_VALUE"""),0.0246)</f>
        <v>0.0246</v>
      </c>
      <c r="R514" s="214">
        <f>IFERROR(__xludf.DUMMYFUNCTION("""COMPUTED_VALUE"""),0.0723)</f>
        <v>0.0723</v>
      </c>
      <c r="S514" s="101">
        <f>IFERROR(__xludf.DUMMYFUNCTION("""COMPUTED_VALUE"""),6.0)</f>
        <v>6</v>
      </c>
      <c r="T514" s="101">
        <f>IFERROR(__xludf.DUMMYFUNCTION("""COMPUTED_VALUE"""),18.0)</f>
        <v>18</v>
      </c>
      <c r="U514" s="270">
        <f>IFERROR(__xludf.DUMMYFUNCTION("""COMPUTED_VALUE"""),26049.0)</f>
        <v>26049</v>
      </c>
      <c r="V514" s="271" t="str">
        <f>IFERROR(__xludf.DUMMYFUNCTION("""COMPUTED_VALUE"""),"offline")</f>
        <v>offline</v>
      </c>
      <c r="W514" s="272" t="str">
        <f>IFERROR(__xludf.DUMMYFUNCTION("""COMPUTED_VALUE"""),"simple")</f>
        <v>simple</v>
      </c>
      <c r="X514" s="272" t="str">
        <f>IFERROR(__xludf.DUMMYFUNCTION("""COMPUTED_VALUE"""),"Category Specific")</f>
        <v>Category Specific</v>
      </c>
      <c r="Y514" s="272" t="str">
        <f>IFERROR(__xludf.DUMMYFUNCTION("""COMPUTED_VALUE"""),"25-27 April")</f>
        <v>25-27 April</v>
      </c>
      <c r="Z514" s="272" t="str">
        <f>IFERROR(__xludf.DUMMYFUNCTION("""COMPUTED_VALUE"""),"69e9f73673f54f7d59806904")</f>
        <v>69e9f73673f54f7d59806904</v>
      </c>
      <c r="AA514" s="272">
        <f>IFERROR(__xludf.DUMMYFUNCTION("""COMPUTED_VALUE"""),269.0)</f>
        <v>269</v>
      </c>
      <c r="AB514" s="272"/>
      <c r="AC514" s="272">
        <f>IFERROR(__xludf.DUMMYFUNCTION("""COMPUTED_VALUE"""),269.0)</f>
        <v>269</v>
      </c>
      <c r="AD514" s="272">
        <f>IFERROR(__xludf.DUMMYFUNCTION("""COMPUTED_VALUE"""),945097.0)</f>
        <v>945097</v>
      </c>
      <c r="AE514" s="272"/>
      <c r="AF514" s="272">
        <f>IFERROR(__xludf.DUMMYFUNCTION("""COMPUTED_VALUE"""),945097.0)</f>
        <v>945097</v>
      </c>
      <c r="AG514" s="208"/>
      <c r="AH514" s="208"/>
      <c r="AI514" s="208"/>
      <c r="AJ514" s="208"/>
      <c r="AK514" s="208"/>
    </row>
    <row r="515" hidden="1">
      <c r="A515" s="209">
        <f>IFERROR(__xludf.DUMMYFUNCTION("""COMPUTED_VALUE"""),46137.0)</f>
        <v>46137</v>
      </c>
      <c r="B515" s="210">
        <f>IFERROR(__xludf.DUMMYFUNCTION("""COMPUTED_VALUE"""),0.75)</f>
        <v>0.75</v>
      </c>
      <c r="C515" s="211" t="str">
        <f>IFERROR(__xludf.DUMMYFUNCTION("""COMPUTED_VALUE"""),"Whatsapp")</f>
        <v>Whatsapp</v>
      </c>
      <c r="D515" s="211" t="str">
        <f>IFERROR(__xludf.DUMMYFUNCTION("""COMPUTED_VALUE"""),"Promtional")</f>
        <v>Promtional</v>
      </c>
      <c r="E515" s="211" t="str">
        <f>IFERROR(__xludf.DUMMYFUNCTION("""COMPUTED_VALUE"""),"BBW")</f>
        <v>BBW</v>
      </c>
      <c r="F515" s="211" t="str">
        <f>IFERROR(__xludf.DUMMYFUNCTION("""COMPUTED_VALUE"""),"No Brief")</f>
        <v>No Brief</v>
      </c>
      <c r="G515" s="212" t="str">
        <f>IFERROR(__xludf.DUMMYFUNCTION("""COMPUTED_VALUE"""),"bbw_ffmtitbi_25april_wa_aov_offline_reminder")</f>
        <v>bbw_ffmtitbi_25april_wa_aov_offline_reminder</v>
      </c>
      <c r="H515" s="212" t="str">
        <f>IFERROR(__xludf.DUMMYFUNCTION("""COMPUTED_VALUE"""),"BBW_OFF_AOV_799_1299_1Y")</f>
        <v>BBW_OFF_AOV_799_1299_1Y</v>
      </c>
      <c r="I515" s="212" t="str">
        <f>IFERROR(__xludf.DUMMYFUNCTION("""COMPUTED_VALUE"""),"Offline Customers who have purchased at least 1 time in the last 365 days with Aggregation: Avg of Order_Net_Value is between 799 and 1299")</f>
        <v>Offline Customers who have purchased at least 1 time in the last 365 days with Aggregation: Avg of Order_Net_Value is between 799 and 1299</v>
      </c>
      <c r="J515" s="213">
        <f>IFERROR(__xludf.DUMMYFUNCTION("""COMPUTED_VALUE"""),56992.0)</f>
        <v>56992</v>
      </c>
      <c r="K515" s="213">
        <f>IFERROR(__xludf.DUMMYFUNCTION("""COMPUTED_VALUE"""),26933.0)</f>
        <v>26933</v>
      </c>
      <c r="L515" s="214">
        <f>IFERROR(__xludf.DUMMYFUNCTION("""COMPUTED_VALUE"""),0.4724)</f>
        <v>0.4724</v>
      </c>
      <c r="M515" s="214">
        <f>IFERROR(__xludf.DUMMYFUNCTION("""COMPUTED_VALUE"""),9176.0)</f>
        <v>9176</v>
      </c>
      <c r="N515" s="214">
        <f>IFERROR(__xludf.DUMMYFUNCTION("""COMPUTED_VALUE"""),0.3408)</f>
        <v>0.3408</v>
      </c>
      <c r="O515" s="213">
        <f>IFERROR(__xludf.DUMMYFUNCTION("""COMPUTED_VALUE"""),456.0)</f>
        <v>456</v>
      </c>
      <c r="P515" s="213">
        <f>IFERROR(__xludf.DUMMYFUNCTION("""COMPUTED_VALUE"""),429.0)</f>
        <v>429</v>
      </c>
      <c r="Q515" s="214">
        <f>IFERROR(__xludf.DUMMYFUNCTION("""COMPUTED_VALUE"""),0.0159)</f>
        <v>0.0159</v>
      </c>
      <c r="R515" s="214">
        <f>IFERROR(__xludf.DUMMYFUNCTION("""COMPUTED_VALUE"""),0.0468)</f>
        <v>0.0468</v>
      </c>
      <c r="S515" s="101">
        <f>IFERROR(__xludf.DUMMYFUNCTION("""COMPUTED_VALUE"""),2.0)</f>
        <v>2</v>
      </c>
      <c r="T515" s="101">
        <f>IFERROR(__xludf.DUMMYFUNCTION("""COMPUTED_VALUE"""),4.0)</f>
        <v>4</v>
      </c>
      <c r="U515" s="270">
        <f>IFERROR(__xludf.DUMMYFUNCTION("""COMPUTED_VALUE"""),4184.0)</f>
        <v>4184</v>
      </c>
      <c r="V515" s="271" t="str">
        <f>IFERROR(__xludf.DUMMYFUNCTION("""COMPUTED_VALUE"""),"offline")</f>
        <v>offline</v>
      </c>
      <c r="W515" s="272" t="str">
        <f>IFERROR(__xludf.DUMMYFUNCTION("""COMPUTED_VALUE"""),"simple")</f>
        <v>simple</v>
      </c>
      <c r="X515" s="272" t="str">
        <f>IFERROR(__xludf.DUMMYFUNCTION("""COMPUTED_VALUE"""),"Cart Value Specific")</f>
        <v>Cart Value Specific</v>
      </c>
      <c r="Y515" s="272" t="str">
        <f>IFERROR(__xludf.DUMMYFUNCTION("""COMPUTED_VALUE"""),"25-27 April")</f>
        <v>25-27 April</v>
      </c>
      <c r="Z515" s="272" t="str">
        <f>IFERROR(__xludf.DUMMYFUNCTION("""COMPUTED_VALUE"""),"69e9f7740c575d0971b2433f")</f>
        <v>69e9f7740c575d0971b2433f</v>
      </c>
      <c r="AA515" s="272">
        <f>IFERROR(__xludf.DUMMYFUNCTION("""COMPUTED_VALUE"""),67.0)</f>
        <v>67</v>
      </c>
      <c r="AB515" s="272"/>
      <c r="AC515" s="272">
        <f>IFERROR(__xludf.DUMMYFUNCTION("""COMPUTED_VALUE"""),67.0)</f>
        <v>67</v>
      </c>
      <c r="AD515" s="272">
        <f>IFERROR(__xludf.DUMMYFUNCTION("""COMPUTED_VALUE"""),130433.0)</f>
        <v>130433</v>
      </c>
      <c r="AE515" s="272"/>
      <c r="AF515" s="272">
        <f>IFERROR(__xludf.DUMMYFUNCTION("""COMPUTED_VALUE"""),130433.0)</f>
        <v>130433</v>
      </c>
      <c r="AG515" s="208"/>
      <c r="AH515" s="208"/>
      <c r="AI515" s="208"/>
      <c r="AJ515" s="208"/>
      <c r="AK515" s="208"/>
    </row>
    <row r="516" hidden="1">
      <c r="A516" s="209">
        <f>IFERROR(__xludf.DUMMYFUNCTION("""COMPUTED_VALUE"""),46137.0)</f>
        <v>46137</v>
      </c>
      <c r="B516" s="210">
        <f>IFERROR(__xludf.DUMMYFUNCTION("""COMPUTED_VALUE"""),0.75)</f>
        <v>0.75</v>
      </c>
      <c r="C516" s="211" t="str">
        <f>IFERROR(__xludf.DUMMYFUNCTION("""COMPUTED_VALUE"""),"Whatsapp")</f>
        <v>Whatsapp</v>
      </c>
      <c r="D516" s="211" t="str">
        <f>IFERROR(__xludf.DUMMYFUNCTION("""COMPUTED_VALUE"""),"Promtional")</f>
        <v>Promtional</v>
      </c>
      <c r="E516" s="211" t="str">
        <f>IFERROR(__xludf.DUMMYFUNCTION("""COMPUTED_VALUE"""),"BBW")</f>
        <v>BBW</v>
      </c>
      <c r="F516" s="211" t="str">
        <f>IFERROR(__xludf.DUMMYFUNCTION("""COMPUTED_VALUE"""),"No Brief")</f>
        <v>No Brief</v>
      </c>
      <c r="G516" s="212" t="str">
        <f>IFERROR(__xludf.DUMMYFUNCTION("""COMPUTED_VALUE"""),"bbw_ffmtitbi_25april_wa_mist_repeat_offline_reminder")</f>
        <v>bbw_ffmtitbi_25april_wa_mist_repeat_offline_reminder</v>
      </c>
      <c r="H516" s="212" t="str">
        <f>IFERROR(__xludf.DUMMYFUNCTION("""COMPUTED_VALUE"""),"BBW_OFF_Mist_Repeat_1Y")</f>
        <v>BBW_OFF_Mist_Repeat_1Y</v>
      </c>
      <c r="I516" s="212" t="str">
        <f>IFERROR(__xludf.DUMMYFUNCTION("""COMPUTED_VALUE"""),"Offline Customers who have purchased at least 2 times from L3: Mist  in the last 365 days")</f>
        <v>Offline Customers who have purchased at least 2 times from L3: Mist  in the last 365 days</v>
      </c>
      <c r="J516" s="213">
        <f>IFERROR(__xludf.DUMMYFUNCTION("""COMPUTED_VALUE"""),2336.0)</f>
        <v>2336</v>
      </c>
      <c r="K516" s="213">
        <f>IFERROR(__xludf.DUMMYFUNCTION("""COMPUTED_VALUE"""),977.0)</f>
        <v>977</v>
      </c>
      <c r="L516" s="214">
        <f>IFERROR(__xludf.DUMMYFUNCTION("""COMPUTED_VALUE"""),0.4178)</f>
        <v>0.4178</v>
      </c>
      <c r="M516" s="213">
        <f>IFERROR(__xludf.DUMMYFUNCTION("""COMPUTED_VALUE"""),329.0)</f>
        <v>329</v>
      </c>
      <c r="N516" s="214">
        <f>IFERROR(__xludf.DUMMYFUNCTION("""COMPUTED_VALUE"""),0.3371)</f>
        <v>0.3371</v>
      </c>
      <c r="O516" s="213">
        <f>IFERROR(__xludf.DUMMYFUNCTION("""COMPUTED_VALUE"""),44.0)</f>
        <v>44</v>
      </c>
      <c r="P516" s="213">
        <f>IFERROR(__xludf.DUMMYFUNCTION("""COMPUTED_VALUE"""),33.0)</f>
        <v>33</v>
      </c>
      <c r="Q516" s="214">
        <f>IFERROR(__xludf.DUMMYFUNCTION("""COMPUTED_VALUE"""),0.0338)</f>
        <v>0.0338</v>
      </c>
      <c r="R516" s="214">
        <f>IFERROR(__xludf.DUMMYFUNCTION("""COMPUTED_VALUE"""),0.1003)</f>
        <v>0.1003</v>
      </c>
      <c r="S516" s="101">
        <f>IFERROR(__xludf.DUMMYFUNCTION("""COMPUTED_VALUE"""),1.0)</f>
        <v>1</v>
      </c>
      <c r="T516" s="101">
        <f>IFERROR(__xludf.DUMMYFUNCTION("""COMPUTED_VALUE"""),0.0)</f>
        <v>0</v>
      </c>
      <c r="U516" s="270">
        <f>IFERROR(__xludf.DUMMYFUNCTION("""COMPUTED_VALUE"""),5664.0)</f>
        <v>5664</v>
      </c>
      <c r="V516" s="271" t="str">
        <f>IFERROR(__xludf.DUMMYFUNCTION("""COMPUTED_VALUE"""),"offline")</f>
        <v>offline</v>
      </c>
      <c r="W516" s="272" t="str">
        <f>IFERROR(__xludf.DUMMYFUNCTION("""COMPUTED_VALUE"""),"simple")</f>
        <v>simple</v>
      </c>
      <c r="X516" s="272" t="str">
        <f>IFERROR(__xludf.DUMMYFUNCTION("""COMPUTED_VALUE"""),"Category Specific")</f>
        <v>Category Specific</v>
      </c>
      <c r="Y516" s="272" t="str">
        <f>IFERROR(__xludf.DUMMYFUNCTION("""COMPUTED_VALUE"""),"25-27 April")</f>
        <v>25-27 April</v>
      </c>
      <c r="Z516" s="272" t="str">
        <f>IFERROR(__xludf.DUMMYFUNCTION("""COMPUTED_VALUE"""),"69e9f7a5bc8fe0c1b2085c3f")</f>
        <v>69e9f7a5bc8fe0c1b2085c3f</v>
      </c>
      <c r="AA516" s="272">
        <f>IFERROR(__xludf.DUMMYFUNCTION("""COMPUTED_VALUE"""),14.0)</f>
        <v>14</v>
      </c>
      <c r="AB516" s="272"/>
      <c r="AC516" s="272">
        <f>IFERROR(__xludf.DUMMYFUNCTION("""COMPUTED_VALUE"""),14.0)</f>
        <v>14</v>
      </c>
      <c r="AD516" s="272">
        <f>IFERROR(__xludf.DUMMYFUNCTION("""COMPUTED_VALUE"""),53893.0)</f>
        <v>53893</v>
      </c>
      <c r="AE516" s="272"/>
      <c r="AF516" s="272">
        <f>IFERROR(__xludf.DUMMYFUNCTION("""COMPUTED_VALUE"""),53893.0)</f>
        <v>53893</v>
      </c>
      <c r="AG516" s="208"/>
      <c r="AH516" s="208"/>
      <c r="AI516" s="208"/>
      <c r="AJ516" s="208"/>
      <c r="AK516" s="208"/>
    </row>
    <row r="517" hidden="1">
      <c r="A517" s="209">
        <f>IFERROR(__xludf.DUMMYFUNCTION("""COMPUTED_VALUE"""),46137.0)</f>
        <v>46137</v>
      </c>
      <c r="B517" s="210">
        <f>IFERROR(__xludf.DUMMYFUNCTION("""COMPUTED_VALUE"""),0.75)</f>
        <v>0.75</v>
      </c>
      <c r="C517" s="211" t="str">
        <f>IFERROR(__xludf.DUMMYFUNCTION("""COMPUTED_VALUE"""),"Whatsapp")</f>
        <v>Whatsapp</v>
      </c>
      <c r="D517" s="211" t="str">
        <f>IFERROR(__xludf.DUMMYFUNCTION("""COMPUTED_VALUE"""),"Promtional")</f>
        <v>Promtional</v>
      </c>
      <c r="E517" s="211" t="str">
        <f>IFERROR(__xludf.DUMMYFUNCTION("""COMPUTED_VALUE"""),"BBW")</f>
        <v>BBW</v>
      </c>
      <c r="F517" s="211" t="str">
        <f>IFERROR(__xludf.DUMMYFUNCTION("""COMPUTED_VALUE"""),"No Brief")</f>
        <v>No Brief</v>
      </c>
      <c r="G517" s="212" t="str">
        <f>IFERROR(__xludf.DUMMYFUNCTION("""COMPUTED_VALUE"""),"bbw_ffmtitbi_25april_wa_event_buyer_offline_reminder")</f>
        <v>bbw_ffmtitbi_25april_wa_event_buyer_offline_reminder</v>
      </c>
      <c r="H517" s="212" t="str">
        <f>IFERROR(__xludf.DUMMYFUNCTION("""COMPUTED_VALUE"""),"BBW_OFF_Event_Buyers_TITBI")</f>
        <v>BBW_OFF_Event_Buyers_TITBI</v>
      </c>
      <c r="I517" s="212" t="str">
        <f>IFERROR(__xludf.DUMMYFUNCTION("""COMPUTED_VALUE"""),"Offline Customers who have purchased between 24 - 27 April, 2025 or 28 - 31 August, 2025")</f>
        <v>Offline Customers who have purchased between 24 - 27 April, 2025 or 28 - 31 August, 2025</v>
      </c>
      <c r="J517" s="213">
        <f>IFERROR(__xludf.DUMMYFUNCTION("""COMPUTED_VALUE"""),10088.0)</f>
        <v>10088</v>
      </c>
      <c r="K517" s="213">
        <f>IFERROR(__xludf.DUMMYFUNCTION("""COMPUTED_VALUE"""),4239.0)</f>
        <v>4239</v>
      </c>
      <c r="L517" s="214">
        <f>IFERROR(__xludf.DUMMYFUNCTION("""COMPUTED_VALUE"""),0.4202)</f>
        <v>0.4202</v>
      </c>
      <c r="M517" s="214">
        <f>IFERROR(__xludf.DUMMYFUNCTION("""COMPUTED_VALUE"""),1372.0)</f>
        <v>1372</v>
      </c>
      <c r="N517" s="214">
        <f>IFERROR(__xludf.DUMMYFUNCTION("""COMPUTED_VALUE"""),0.3237)</f>
        <v>0.3237</v>
      </c>
      <c r="O517" s="213">
        <f>IFERROR(__xludf.DUMMYFUNCTION("""COMPUTED_VALUE"""),72.0)</f>
        <v>72</v>
      </c>
      <c r="P517" s="213">
        <f>IFERROR(__xludf.DUMMYFUNCTION("""COMPUTED_VALUE"""),71.0)</f>
        <v>71</v>
      </c>
      <c r="Q517" s="214">
        <f>IFERROR(__xludf.DUMMYFUNCTION("""COMPUTED_VALUE"""),0.0167)</f>
        <v>0.0167</v>
      </c>
      <c r="R517" s="214">
        <f>IFERROR(__xludf.DUMMYFUNCTION("""COMPUTED_VALUE"""),0.0517)</f>
        <v>0.0517</v>
      </c>
      <c r="S517" s="101">
        <f>IFERROR(__xludf.DUMMYFUNCTION("""COMPUTED_VALUE"""),0.0)</f>
        <v>0</v>
      </c>
      <c r="T517" s="101">
        <f>IFERROR(__xludf.DUMMYFUNCTION("""COMPUTED_VALUE"""),0.0)</f>
        <v>0</v>
      </c>
      <c r="U517" s="270">
        <f>IFERROR(__xludf.DUMMYFUNCTION("""COMPUTED_VALUE"""),0.0)</f>
        <v>0</v>
      </c>
      <c r="V517" s="271" t="str">
        <f>IFERROR(__xludf.DUMMYFUNCTION("""COMPUTED_VALUE"""),"offline")</f>
        <v>offline</v>
      </c>
      <c r="W517" s="272" t="str">
        <f>IFERROR(__xludf.DUMMYFUNCTION("""COMPUTED_VALUE"""),"simple")</f>
        <v>simple</v>
      </c>
      <c r="X517" s="272" t="str">
        <f>IFERROR(__xludf.DUMMYFUNCTION("""COMPUTED_VALUE"""),"Event Buyers")</f>
        <v>Event Buyers</v>
      </c>
      <c r="Y517" s="272" t="str">
        <f>IFERROR(__xludf.DUMMYFUNCTION("""COMPUTED_VALUE"""),"25-27 April")</f>
        <v>25-27 April</v>
      </c>
      <c r="Z517" s="272" t="str">
        <f>IFERROR(__xludf.DUMMYFUNCTION("""COMPUTED_VALUE"""),"69e9f7c4e7b6249d9b0b01ac")</f>
        <v>69e9f7c4e7b6249d9b0b01ac</v>
      </c>
      <c r="AA517" s="272">
        <f>IFERROR(__xludf.DUMMYFUNCTION("""COMPUTED_VALUE"""),26.0)</f>
        <v>26</v>
      </c>
      <c r="AB517" s="272"/>
      <c r="AC517" s="272">
        <f>IFERROR(__xludf.DUMMYFUNCTION("""COMPUTED_VALUE"""),26.0)</f>
        <v>26</v>
      </c>
      <c r="AD517" s="272">
        <f>IFERROR(__xludf.DUMMYFUNCTION("""COMPUTED_VALUE"""),75604.0)</f>
        <v>75604</v>
      </c>
      <c r="AE517" s="272"/>
      <c r="AF517" s="272">
        <f>IFERROR(__xludf.DUMMYFUNCTION("""COMPUTED_VALUE"""),75604.0)</f>
        <v>75604</v>
      </c>
      <c r="AG517" s="208"/>
      <c r="AH517" s="208"/>
      <c r="AI517" s="208"/>
      <c r="AJ517" s="208"/>
      <c r="AK517" s="208"/>
    </row>
    <row r="518" hidden="1">
      <c r="A518" s="209">
        <f>IFERROR(__xludf.DUMMYFUNCTION("""COMPUTED_VALUE"""),46137.0)</f>
        <v>46137</v>
      </c>
      <c r="B518" s="210">
        <f>IFERROR(__xludf.DUMMYFUNCTION("""COMPUTED_VALUE"""),0.7916666666678793)</f>
        <v>0.7916666667</v>
      </c>
      <c r="C518" s="211" t="str">
        <f>IFERROR(__xludf.DUMMYFUNCTION("""COMPUTED_VALUE"""),"Sms")</f>
        <v>Sms</v>
      </c>
      <c r="D518" s="211" t="str">
        <f>IFERROR(__xludf.DUMMYFUNCTION("""COMPUTED_VALUE"""),"Fallback campaign")</f>
        <v>Fallback campaign</v>
      </c>
      <c r="E518" s="211" t="str">
        <f>IFERROR(__xludf.DUMMYFUNCTION("""COMPUTED_VALUE"""),"BBW")</f>
        <v>BBW</v>
      </c>
      <c r="F518" s="211" t="str">
        <f>IFERROR(__xludf.DUMMYFUNCTION("""COMPUTED_VALUE"""),"No Brief")</f>
        <v>No Brief</v>
      </c>
      <c r="G518" s="212" t="str">
        <f>IFERROR(__xludf.DUMMYFUNCTION("""COMPUTED_VALUE"""),"bbw_ffmtitbi_25april_smsfb_disc_buyer_offline_reminder")</f>
        <v>bbw_ffmtitbi_25april_smsfb_disc_buyer_offline_reminder</v>
      </c>
      <c r="H518" s="212" t="str">
        <f>IFERROR(__xludf.DUMMYFUNCTION("""COMPUTED_VALUE"""),"BBW_OFF_Mist_Disc_Buyers")</f>
        <v>BBW_OFF_Mist_Disc_Buyers</v>
      </c>
      <c r="I518" s="212" t="str">
        <f>IFERROR(__xludf.DUMMYFUNCTION("""COMPUTED_VALUE"""),"WA Undelivered")</f>
        <v>WA Undelivered</v>
      </c>
      <c r="J518" s="213">
        <f>IFERROR(__xludf.DUMMYFUNCTION("""COMPUTED_VALUE"""),59154.0)</f>
        <v>59154</v>
      </c>
      <c r="K518" s="213">
        <f>IFERROR(__xludf.DUMMYFUNCTION("""COMPUTED_VALUE"""),35831.0)</f>
        <v>35831</v>
      </c>
      <c r="L518" s="214">
        <f>IFERROR(__xludf.DUMMYFUNCTION("""COMPUTED_VALUE"""),0.6057)</f>
        <v>0.6057</v>
      </c>
      <c r="M518" s="213">
        <f>IFERROR(__xludf.DUMMYFUNCTION("""COMPUTED_VALUE"""),0.0)</f>
        <v>0</v>
      </c>
      <c r="N518" s="214">
        <f>IFERROR(__xludf.DUMMYFUNCTION("""COMPUTED_VALUE"""),0.0)</f>
        <v>0</v>
      </c>
      <c r="O518" s="213">
        <f>IFERROR(__xludf.DUMMYFUNCTION("""COMPUTED_VALUE"""),37.0)</f>
        <v>37</v>
      </c>
      <c r="P518" s="213">
        <f>IFERROR(__xludf.DUMMYFUNCTION("""COMPUTED_VALUE"""),0.0)</f>
        <v>0</v>
      </c>
      <c r="Q518" s="214">
        <f>IFERROR(__xludf.DUMMYFUNCTION("""COMPUTED_VALUE"""),0.001)</f>
        <v>0.001</v>
      </c>
      <c r="R518" s="214">
        <f>IFERROR(__xludf.DUMMYFUNCTION("""COMPUTED_VALUE"""),0.0)</f>
        <v>0</v>
      </c>
      <c r="S518" s="101">
        <f>IFERROR(__xludf.DUMMYFUNCTION("""COMPUTED_VALUE"""),0.0)</f>
        <v>0</v>
      </c>
      <c r="T518" s="101">
        <f>IFERROR(__xludf.DUMMYFUNCTION("""COMPUTED_VALUE"""),3.0)</f>
        <v>3</v>
      </c>
      <c r="U518" s="270">
        <f>IFERROR(__xludf.DUMMYFUNCTION("""COMPUTED_VALUE"""),0.0)</f>
        <v>0</v>
      </c>
      <c r="V518" s="271" t="str">
        <f>IFERROR(__xludf.DUMMYFUNCTION("""COMPUTED_VALUE"""),"offline")</f>
        <v>offline</v>
      </c>
      <c r="W518" s="272" t="str">
        <f>IFERROR(__xludf.DUMMYFUNCTION("""COMPUTED_VALUE"""),"sms")</f>
        <v>sms</v>
      </c>
      <c r="X518" s="272" t="str">
        <f>IFERROR(__xludf.DUMMYFUNCTION("""COMPUTED_VALUE"""),"Category Specific")</f>
        <v>Category Specific</v>
      </c>
      <c r="Y518" s="272" t="str">
        <f>IFERROR(__xludf.DUMMYFUNCTION("""COMPUTED_VALUE"""),"25 Apr")</f>
        <v>25 Apr</v>
      </c>
      <c r="Z518" s="272" t="str">
        <f>IFERROR(__xludf.DUMMYFUNCTION("""COMPUTED_VALUE"""),"69e9f8bc1e9f29147bd1fb77")</f>
        <v>69e9f8bc1e9f29147bd1fb77</v>
      </c>
      <c r="AA518" s="272">
        <f>IFERROR(__xludf.DUMMYFUNCTION("""COMPUTED_VALUE"""),99.0)</f>
        <v>99</v>
      </c>
      <c r="AB518" s="272"/>
      <c r="AC518" s="272">
        <f>IFERROR(__xludf.DUMMYFUNCTION("""COMPUTED_VALUE"""),99.0)</f>
        <v>99</v>
      </c>
      <c r="AD518" s="272">
        <f>IFERROR(__xludf.DUMMYFUNCTION("""COMPUTED_VALUE"""),293053.0)</f>
        <v>293053</v>
      </c>
      <c r="AE518" s="272"/>
      <c r="AF518" s="272">
        <f>IFERROR(__xludf.DUMMYFUNCTION("""COMPUTED_VALUE"""),293053.0)</f>
        <v>293053</v>
      </c>
      <c r="AG518" s="208"/>
      <c r="AH518" s="208"/>
      <c r="AI518" s="208"/>
      <c r="AJ518" s="208"/>
      <c r="AK518" s="208"/>
    </row>
    <row r="519" hidden="1">
      <c r="A519" s="209">
        <f>IFERROR(__xludf.DUMMYFUNCTION("""COMPUTED_VALUE"""),46137.0)</f>
        <v>46137</v>
      </c>
      <c r="B519" s="210">
        <f>IFERROR(__xludf.DUMMYFUNCTION("""COMPUTED_VALUE"""),0.7916666666678793)</f>
        <v>0.7916666667</v>
      </c>
      <c r="C519" s="211" t="str">
        <f>IFERROR(__xludf.DUMMYFUNCTION("""COMPUTED_VALUE"""),"Sms")</f>
        <v>Sms</v>
      </c>
      <c r="D519" s="211" t="str">
        <f>IFERROR(__xludf.DUMMYFUNCTION("""COMPUTED_VALUE"""),"Fallback campaign")</f>
        <v>Fallback campaign</v>
      </c>
      <c r="E519" s="211" t="str">
        <f>IFERROR(__xludf.DUMMYFUNCTION("""COMPUTED_VALUE"""),"BBW")</f>
        <v>BBW</v>
      </c>
      <c r="F519" s="211" t="str">
        <f>IFERROR(__xludf.DUMMYFUNCTION("""COMPUTED_VALUE"""),"No Brief")</f>
        <v>No Brief</v>
      </c>
      <c r="G519" s="212" t="str">
        <f>IFERROR(__xludf.DUMMYFUNCTION("""COMPUTED_VALUE"""),"bbw_ffmtitbi_25april_smsfb_aov_offline_reminder")</f>
        <v>bbw_ffmtitbi_25april_smsfb_aov_offline_reminder</v>
      </c>
      <c r="H519" s="212" t="str">
        <f>IFERROR(__xludf.DUMMYFUNCTION("""COMPUTED_VALUE"""),"BBW_OFF_AOV_799_1299_1Y")</f>
        <v>BBW_OFF_AOV_799_1299_1Y</v>
      </c>
      <c r="I519" s="212" t="str">
        <f>IFERROR(__xludf.DUMMYFUNCTION("""COMPUTED_VALUE"""),"WA Undelivered")</f>
        <v>WA Undelivered</v>
      </c>
      <c r="J519" s="213">
        <f>IFERROR(__xludf.DUMMYFUNCTION("""COMPUTED_VALUE"""),28849.0)</f>
        <v>28849</v>
      </c>
      <c r="K519" s="213">
        <f>IFERROR(__xludf.DUMMYFUNCTION("""COMPUTED_VALUE"""),17365.0)</f>
        <v>17365</v>
      </c>
      <c r="L519" s="214">
        <f>IFERROR(__xludf.DUMMYFUNCTION("""COMPUTED_VALUE"""),0.6019)</f>
        <v>0.6019</v>
      </c>
      <c r="M519" s="214">
        <f>IFERROR(__xludf.DUMMYFUNCTION("""COMPUTED_VALUE"""),0.0)</f>
        <v>0</v>
      </c>
      <c r="N519" s="214">
        <f>IFERROR(__xludf.DUMMYFUNCTION("""COMPUTED_VALUE"""),0.0)</f>
        <v>0</v>
      </c>
      <c r="O519" s="213">
        <f>IFERROR(__xludf.DUMMYFUNCTION("""COMPUTED_VALUE"""),18.0)</f>
        <v>18</v>
      </c>
      <c r="P519" s="213">
        <f>IFERROR(__xludf.DUMMYFUNCTION("""COMPUTED_VALUE"""),0.0)</f>
        <v>0</v>
      </c>
      <c r="Q519" s="214">
        <f>IFERROR(__xludf.DUMMYFUNCTION("""COMPUTED_VALUE"""),0.001)</f>
        <v>0.001</v>
      </c>
      <c r="R519" s="214">
        <f>IFERROR(__xludf.DUMMYFUNCTION("""COMPUTED_VALUE"""),0.0)</f>
        <v>0</v>
      </c>
      <c r="S519" s="101">
        <f>IFERROR(__xludf.DUMMYFUNCTION("""COMPUTED_VALUE"""),2.0)</f>
        <v>2</v>
      </c>
      <c r="T519" s="101">
        <f>IFERROR(__xludf.DUMMYFUNCTION("""COMPUTED_VALUE"""),5.0)</f>
        <v>5</v>
      </c>
      <c r="U519" s="270">
        <f>IFERROR(__xludf.DUMMYFUNCTION("""COMPUTED_VALUE"""),3416.0)</f>
        <v>3416</v>
      </c>
      <c r="V519" s="271" t="str">
        <f>IFERROR(__xludf.DUMMYFUNCTION("""COMPUTED_VALUE"""),"offline")</f>
        <v>offline</v>
      </c>
      <c r="W519" s="272" t="str">
        <f>IFERROR(__xludf.DUMMYFUNCTION("""COMPUTED_VALUE"""),"sms")</f>
        <v>sms</v>
      </c>
      <c r="X519" s="272" t="str">
        <f>IFERROR(__xludf.DUMMYFUNCTION("""COMPUTED_VALUE"""),"Cart Value Specific")</f>
        <v>Cart Value Specific</v>
      </c>
      <c r="Y519" s="272" t="str">
        <f>IFERROR(__xludf.DUMMYFUNCTION("""COMPUTED_VALUE"""),"25 Apr")</f>
        <v>25 Apr</v>
      </c>
      <c r="Z519" s="272" t="str">
        <f>IFERROR(__xludf.DUMMYFUNCTION("""COMPUTED_VALUE"""),"69e9f901a4f6dcc27557ab14")</f>
        <v>69e9f901a4f6dcc27557ab14</v>
      </c>
      <c r="AA519" s="272">
        <f>IFERROR(__xludf.DUMMYFUNCTION("""COMPUTED_VALUE"""),25.0)</f>
        <v>25</v>
      </c>
      <c r="AB519" s="272"/>
      <c r="AC519" s="272">
        <f>IFERROR(__xludf.DUMMYFUNCTION("""COMPUTED_VALUE"""),25.0)</f>
        <v>25</v>
      </c>
      <c r="AD519" s="272">
        <f>IFERROR(__xludf.DUMMYFUNCTION("""COMPUTED_VALUE"""),55272.0)</f>
        <v>55272</v>
      </c>
      <c r="AE519" s="272"/>
      <c r="AF519" s="272">
        <f>IFERROR(__xludf.DUMMYFUNCTION("""COMPUTED_VALUE"""),55272.0)</f>
        <v>55272</v>
      </c>
      <c r="AG519" s="208"/>
      <c r="AH519" s="208"/>
      <c r="AI519" s="208"/>
      <c r="AJ519" s="208"/>
      <c r="AK519" s="208"/>
    </row>
    <row r="520" hidden="1">
      <c r="A520" s="209">
        <f>IFERROR(__xludf.DUMMYFUNCTION("""COMPUTED_VALUE"""),46137.0)</f>
        <v>46137</v>
      </c>
      <c r="B520" s="210">
        <f>IFERROR(__xludf.DUMMYFUNCTION("""COMPUTED_VALUE"""),0.7916666666678793)</f>
        <v>0.7916666667</v>
      </c>
      <c r="C520" s="211" t="str">
        <f>IFERROR(__xludf.DUMMYFUNCTION("""COMPUTED_VALUE"""),"Sms")</f>
        <v>Sms</v>
      </c>
      <c r="D520" s="211" t="str">
        <f>IFERROR(__xludf.DUMMYFUNCTION("""COMPUTED_VALUE"""),"Fallback campaign")</f>
        <v>Fallback campaign</v>
      </c>
      <c r="E520" s="211" t="str">
        <f>IFERROR(__xludf.DUMMYFUNCTION("""COMPUTED_VALUE"""),"BBW")</f>
        <v>BBW</v>
      </c>
      <c r="F520" s="211" t="str">
        <f>IFERROR(__xludf.DUMMYFUNCTION("""COMPUTED_VALUE"""),"No Brief")</f>
        <v>No Brief</v>
      </c>
      <c r="G520" s="212" t="str">
        <f>IFERROR(__xludf.DUMMYFUNCTION("""COMPUTED_VALUE"""),"bbw_ffmtitbi_25april_smsfb_mist_repeat_offline_reminder")</f>
        <v>bbw_ffmtitbi_25april_smsfb_mist_repeat_offline_reminder</v>
      </c>
      <c r="H520" s="212" t="str">
        <f>IFERROR(__xludf.DUMMYFUNCTION("""COMPUTED_VALUE"""),"BBW_OFF_Mist_Repeat_1Y")</f>
        <v>BBW_OFF_Mist_Repeat_1Y</v>
      </c>
      <c r="I520" s="212" t="str">
        <f>IFERROR(__xludf.DUMMYFUNCTION("""COMPUTED_VALUE"""),"WA Undelivered")</f>
        <v>WA Undelivered</v>
      </c>
      <c r="J520" s="213">
        <f>IFERROR(__xludf.DUMMYFUNCTION("""COMPUTED_VALUE"""),1331.0)</f>
        <v>1331</v>
      </c>
      <c r="K520" s="213">
        <f>IFERROR(__xludf.DUMMYFUNCTION("""COMPUTED_VALUE"""),771.0)</f>
        <v>771</v>
      </c>
      <c r="L520" s="214">
        <f>IFERROR(__xludf.DUMMYFUNCTION("""COMPUTED_VALUE"""),0.5793)</f>
        <v>0.5793</v>
      </c>
      <c r="M520" s="214">
        <f>IFERROR(__xludf.DUMMYFUNCTION("""COMPUTED_VALUE"""),0.0)</f>
        <v>0</v>
      </c>
      <c r="N520" s="214">
        <f>IFERROR(__xludf.DUMMYFUNCTION("""COMPUTED_VALUE"""),0.0)</f>
        <v>0</v>
      </c>
      <c r="O520" s="213">
        <f>IFERROR(__xludf.DUMMYFUNCTION("""COMPUTED_VALUE"""),1.0)</f>
        <v>1</v>
      </c>
      <c r="P520" s="213">
        <f>IFERROR(__xludf.DUMMYFUNCTION("""COMPUTED_VALUE"""),0.0)</f>
        <v>0</v>
      </c>
      <c r="Q520" s="214">
        <f>IFERROR(__xludf.DUMMYFUNCTION("""COMPUTED_VALUE"""),0.0013)</f>
        <v>0.0013</v>
      </c>
      <c r="R520" s="214">
        <f>IFERROR(__xludf.DUMMYFUNCTION("""COMPUTED_VALUE"""),0.0)</f>
        <v>0</v>
      </c>
      <c r="S520" s="101">
        <f>IFERROR(__xludf.DUMMYFUNCTION("""COMPUTED_VALUE"""),0.0)</f>
        <v>0</v>
      </c>
      <c r="T520" s="101">
        <f>IFERROR(__xludf.DUMMYFUNCTION("""COMPUTED_VALUE"""),0.0)</f>
        <v>0</v>
      </c>
      <c r="U520" s="270">
        <f>IFERROR(__xludf.DUMMYFUNCTION("""COMPUTED_VALUE"""),0.0)</f>
        <v>0</v>
      </c>
      <c r="V520" s="271" t="str">
        <f>IFERROR(__xludf.DUMMYFUNCTION("""COMPUTED_VALUE"""),"offline")</f>
        <v>offline</v>
      </c>
      <c r="W520" s="272" t="str">
        <f>IFERROR(__xludf.DUMMYFUNCTION("""COMPUTED_VALUE"""),"sms")</f>
        <v>sms</v>
      </c>
      <c r="X520" s="272" t="str">
        <f>IFERROR(__xludf.DUMMYFUNCTION("""COMPUTED_VALUE"""),"Category Specific")</f>
        <v>Category Specific</v>
      </c>
      <c r="Y520" s="272" t="str">
        <f>IFERROR(__xludf.DUMMYFUNCTION("""COMPUTED_VALUE"""),"25 Apr")</f>
        <v>25 Apr</v>
      </c>
      <c r="Z520" s="272" t="str">
        <f>IFERROR(__xludf.DUMMYFUNCTION("""COMPUTED_VALUE"""),"69e9f94bb35ce1b41f22d332")</f>
        <v>69e9f94bb35ce1b41f22d332</v>
      </c>
      <c r="AA520" s="272">
        <f>IFERROR(__xludf.DUMMYFUNCTION("""COMPUTED_VALUE"""),3.0)</f>
        <v>3</v>
      </c>
      <c r="AB520" s="272"/>
      <c r="AC520" s="272">
        <f>IFERROR(__xludf.DUMMYFUNCTION("""COMPUTED_VALUE"""),3.0)</f>
        <v>3</v>
      </c>
      <c r="AD520" s="272">
        <f>IFERROR(__xludf.DUMMYFUNCTION("""COMPUTED_VALUE"""),14577.0)</f>
        <v>14577</v>
      </c>
      <c r="AE520" s="272"/>
      <c r="AF520" s="272">
        <f>IFERROR(__xludf.DUMMYFUNCTION("""COMPUTED_VALUE"""),14577.0)</f>
        <v>14577</v>
      </c>
      <c r="AG520" s="208"/>
      <c r="AH520" s="208"/>
      <c r="AI520" s="208"/>
      <c r="AJ520" s="208"/>
      <c r="AK520" s="208"/>
    </row>
    <row r="521" hidden="1">
      <c r="A521" s="209">
        <f>IFERROR(__xludf.DUMMYFUNCTION("""COMPUTED_VALUE"""),46137.0)</f>
        <v>46137</v>
      </c>
      <c r="B521" s="210">
        <f>IFERROR(__xludf.DUMMYFUNCTION("""COMPUTED_VALUE"""),0.7916666666678793)</f>
        <v>0.7916666667</v>
      </c>
      <c r="C521" s="211" t="str">
        <f>IFERROR(__xludf.DUMMYFUNCTION("""COMPUTED_VALUE"""),"Sms")</f>
        <v>Sms</v>
      </c>
      <c r="D521" s="211" t="str">
        <f>IFERROR(__xludf.DUMMYFUNCTION("""COMPUTED_VALUE"""),"Fallback campaign")</f>
        <v>Fallback campaign</v>
      </c>
      <c r="E521" s="211" t="str">
        <f>IFERROR(__xludf.DUMMYFUNCTION("""COMPUTED_VALUE"""),"BBW")</f>
        <v>BBW</v>
      </c>
      <c r="F521" s="211" t="str">
        <f>IFERROR(__xludf.DUMMYFUNCTION("""COMPUTED_VALUE"""),"No Brief")</f>
        <v>No Brief</v>
      </c>
      <c r="G521" s="212" t="str">
        <f>IFERROR(__xludf.DUMMYFUNCTION("""COMPUTED_VALUE"""),"bbw_ffmtitbi_25april_smsfb_event_buyer_offline_reminder")</f>
        <v>bbw_ffmtitbi_25april_smsfb_event_buyer_offline_reminder</v>
      </c>
      <c r="H521" s="212" t="str">
        <f>IFERROR(__xludf.DUMMYFUNCTION("""COMPUTED_VALUE"""),"BBW_OFF_Event_Buyers_TITBI")</f>
        <v>BBW_OFF_Event_Buyers_TITBI</v>
      </c>
      <c r="I521" s="212" t="str">
        <f>IFERROR(__xludf.DUMMYFUNCTION("""COMPUTED_VALUE"""),"WA Undelivered")</f>
        <v>WA Undelivered</v>
      </c>
      <c r="J521" s="213">
        <f>IFERROR(__xludf.DUMMYFUNCTION("""COMPUTED_VALUE"""),5632.0)</f>
        <v>5632</v>
      </c>
      <c r="K521" s="213">
        <f>IFERROR(__xludf.DUMMYFUNCTION("""COMPUTED_VALUE"""),3224.0)</f>
        <v>3224</v>
      </c>
      <c r="L521" s="214">
        <f>IFERROR(__xludf.DUMMYFUNCTION("""COMPUTED_VALUE"""),0.5724)</f>
        <v>0.5724</v>
      </c>
      <c r="M521" s="214">
        <f>IFERROR(__xludf.DUMMYFUNCTION("""COMPUTED_VALUE"""),0.0)</f>
        <v>0</v>
      </c>
      <c r="N521" s="214">
        <f>IFERROR(__xludf.DUMMYFUNCTION("""COMPUTED_VALUE"""),0.0)</f>
        <v>0</v>
      </c>
      <c r="O521" s="213">
        <f>IFERROR(__xludf.DUMMYFUNCTION("""COMPUTED_VALUE"""),1.0)</f>
        <v>1</v>
      </c>
      <c r="P521" s="213">
        <f>IFERROR(__xludf.DUMMYFUNCTION("""COMPUTED_VALUE"""),0.0)</f>
        <v>0</v>
      </c>
      <c r="Q521" s="214">
        <f>IFERROR(__xludf.DUMMYFUNCTION("""COMPUTED_VALUE"""),3.0E-4)</f>
        <v>0.0003</v>
      </c>
      <c r="R521" s="214">
        <f>IFERROR(__xludf.DUMMYFUNCTION("""COMPUTED_VALUE"""),0.0)</f>
        <v>0</v>
      </c>
      <c r="S521" s="101">
        <f>IFERROR(__xludf.DUMMYFUNCTION("""COMPUTED_VALUE"""),0.0)</f>
        <v>0</v>
      </c>
      <c r="T521" s="101">
        <f>IFERROR(__xludf.DUMMYFUNCTION("""COMPUTED_VALUE"""),0.0)</f>
        <v>0</v>
      </c>
      <c r="U521" s="270">
        <f>IFERROR(__xludf.DUMMYFUNCTION("""COMPUTED_VALUE"""),0.0)</f>
        <v>0</v>
      </c>
      <c r="V521" s="271" t="str">
        <f>IFERROR(__xludf.DUMMYFUNCTION("""COMPUTED_VALUE"""),"offline")</f>
        <v>offline</v>
      </c>
      <c r="W521" s="272" t="str">
        <f>IFERROR(__xludf.DUMMYFUNCTION("""COMPUTED_VALUE"""),"sms")</f>
        <v>sms</v>
      </c>
      <c r="X521" s="272" t="str">
        <f>IFERROR(__xludf.DUMMYFUNCTION("""COMPUTED_VALUE"""),"Event Buyers")</f>
        <v>Event Buyers</v>
      </c>
      <c r="Y521" s="272" t="str">
        <f>IFERROR(__xludf.DUMMYFUNCTION("""COMPUTED_VALUE"""),"25 Apr")</f>
        <v>25 Apr</v>
      </c>
      <c r="Z521" s="272" t="str">
        <f>IFERROR(__xludf.DUMMYFUNCTION("""COMPUTED_VALUE"""),"69e9f98724e375e8ea3a07e3")</f>
        <v>69e9f98724e375e8ea3a07e3</v>
      </c>
      <c r="AA521" s="272">
        <f>IFERROR(__xludf.DUMMYFUNCTION("""COMPUTED_VALUE"""),8.0)</f>
        <v>8</v>
      </c>
      <c r="AB521" s="272"/>
      <c r="AC521" s="272">
        <f>IFERROR(__xludf.DUMMYFUNCTION("""COMPUTED_VALUE"""),8.0)</f>
        <v>8</v>
      </c>
      <c r="AD521" s="272">
        <f>IFERROR(__xludf.DUMMYFUNCTION("""COMPUTED_VALUE"""),46789.0)</f>
        <v>46789</v>
      </c>
      <c r="AE521" s="272"/>
      <c r="AF521" s="272">
        <f>IFERROR(__xludf.DUMMYFUNCTION("""COMPUTED_VALUE"""),46789.0)</f>
        <v>46789</v>
      </c>
      <c r="AG521" s="208"/>
      <c r="AH521" s="208"/>
      <c r="AI521" s="208"/>
      <c r="AJ521" s="208"/>
      <c r="AK521" s="208"/>
    </row>
    <row r="522" hidden="1">
      <c r="A522" s="209">
        <f>IFERROR(__xludf.DUMMYFUNCTION("""COMPUTED_VALUE"""),46138.0)</f>
        <v>46138</v>
      </c>
      <c r="B522" s="210">
        <f>IFERROR(__xludf.DUMMYFUNCTION("""COMPUTED_VALUE"""),0.4583333333321207)</f>
        <v>0.4583333333</v>
      </c>
      <c r="C522" s="211" t="str">
        <f>IFERROR(__xludf.DUMMYFUNCTION("""COMPUTED_VALUE"""),"Whatsapp")</f>
        <v>Whatsapp</v>
      </c>
      <c r="D522" s="211" t="str">
        <f>IFERROR(__xludf.DUMMYFUNCTION("""COMPUTED_VALUE"""),"Promtional")</f>
        <v>Promtional</v>
      </c>
      <c r="E522" s="211" t="str">
        <f>IFERROR(__xludf.DUMMYFUNCTION("""COMPUTED_VALUE"""),"BBW")</f>
        <v>BBW</v>
      </c>
      <c r="F522" s="211" t="str">
        <f>IFERROR(__xludf.DUMMYFUNCTION("""COMPUTED_VALUE"""),"No Brief")</f>
        <v>No Brief</v>
      </c>
      <c r="G522" s="212" t="str">
        <f>IFERROR(__xludf.DUMMYFUNCTION("""COMPUTED_VALUE"""),"bbw_ffmtitbi_26april_wa_online_reminder")</f>
        <v>bbw_ffmtitbi_26april_wa_online_reminder</v>
      </c>
      <c r="H522" s="212" t="str">
        <f>IFERROR(__xludf.DUMMYFUNCTION("""COMPUTED_VALUE"""),"BBW_ON_FFM_TITBI_23_04_26")</f>
        <v>BBW_ON_FFM_TITBI_23_04_26</v>
      </c>
      <c r="I522" s="212" t="str">
        <f>IFERROR(__xludf.DUMMYFUNCTION("""COMPUTED_VALUE"""),"Online Customers who have purchased at least 1 time in the last 365 days from L3: Mist with Aggregation: Summation of Order_Disc_Value is greater than zero OR Online Customers who have purchased at least 1 time in the last 365 days with Aggregation: Avg o"&amp;"f Order_Net_Value is between 799 and 1299 OR Online Customers who have purchased at least 2 times from L3: Mist  in the last 365 days OR Online Customers who have purchased between 24 - 27 April, 2025 or 28 - 31 August, 2025 OR Online Customers who have a"&amp;"dded to cart or viewed cart with item_category (contains Fragrance) in the last 45 days")</f>
        <v>Online Customers who have purchased at least 1 time in the last 365 days from L3: Mist with Aggregation: Summation of Order_Disc_Value is greater than zero OR Online Customers who have purchased at least 1 time in the last 365 days with Aggregation: Avg of Order_Net_Value is between 799 and 1299 OR Online Customers who have purchased at least 2 times from L3: Mist  in the last 365 days OR Online Customers who have purchased between 24 - 27 April, 2025 or 28 - 31 August, 2025 OR Online Customers who have added to cart or viewed cart with item_category (contains Fragrance) in the last 45 days</v>
      </c>
      <c r="J522" s="213">
        <f>IFERROR(__xludf.DUMMYFUNCTION("""COMPUTED_VALUE"""),127397.0)</f>
        <v>127397</v>
      </c>
      <c r="K522" s="213">
        <f>IFERROR(__xludf.DUMMYFUNCTION("""COMPUTED_VALUE"""),63108.0)</f>
        <v>63108</v>
      </c>
      <c r="L522" s="214">
        <f>IFERROR(__xludf.DUMMYFUNCTION("""COMPUTED_VALUE"""),0.4953)</f>
        <v>0.4953</v>
      </c>
      <c r="M522" s="213">
        <f>IFERROR(__xludf.DUMMYFUNCTION("""COMPUTED_VALUE"""),20279.0)</f>
        <v>20279</v>
      </c>
      <c r="N522" s="214">
        <f>IFERROR(__xludf.DUMMYFUNCTION("""COMPUTED_VALUE"""),0.3214)</f>
        <v>0.3214</v>
      </c>
      <c r="O522" s="213">
        <f>IFERROR(__xludf.DUMMYFUNCTION("""COMPUTED_VALUE"""),1892.0)</f>
        <v>1892</v>
      </c>
      <c r="P522" s="213">
        <f>IFERROR(__xludf.DUMMYFUNCTION("""COMPUTED_VALUE"""),1780.0)</f>
        <v>1780</v>
      </c>
      <c r="Q522" s="214">
        <f>IFERROR(__xludf.DUMMYFUNCTION("""COMPUTED_VALUE"""),0.0282)</f>
        <v>0.0282</v>
      </c>
      <c r="R522" s="214">
        <f>IFERROR(__xludf.DUMMYFUNCTION("""COMPUTED_VALUE"""),0.0878)</f>
        <v>0.0878</v>
      </c>
      <c r="S522" s="101">
        <f>IFERROR(__xludf.DUMMYFUNCTION("""COMPUTED_VALUE"""),23.0)</f>
        <v>23</v>
      </c>
      <c r="T522" s="101">
        <f>IFERROR(__xludf.DUMMYFUNCTION("""COMPUTED_VALUE"""),59.0)</f>
        <v>59</v>
      </c>
      <c r="U522" s="270">
        <f>IFERROR(__xludf.DUMMYFUNCTION("""COMPUTED_VALUE"""),56141.0)</f>
        <v>56141</v>
      </c>
      <c r="V522" s="271" t="str">
        <f>IFERROR(__xludf.DUMMYFUNCTION("""COMPUTED_VALUE"""),"online")</f>
        <v>online</v>
      </c>
      <c r="W522" s="272" t="str">
        <f>IFERROR(__xludf.DUMMYFUNCTION("""COMPUTED_VALUE"""),"simple")</f>
        <v>simple</v>
      </c>
      <c r="X522" s="272" t="str">
        <f>IFERROR(__xludf.DUMMYFUNCTION("""COMPUTED_VALUE"""),"Generic")</f>
        <v>Generic</v>
      </c>
      <c r="Y522" s="272" t="str">
        <f>IFERROR(__xludf.DUMMYFUNCTION("""COMPUTED_VALUE"""),"26-28 April")</f>
        <v>26-28 April</v>
      </c>
      <c r="Z522" s="272" t="str">
        <f>IFERROR(__xludf.DUMMYFUNCTION("""COMPUTED_VALUE"""),"69e9f9bfdd1b1c0e775a1165")</f>
        <v>69e9f9bfdd1b1c0e775a1165</v>
      </c>
      <c r="AA522" s="272">
        <f>IFERROR(__xludf.DUMMYFUNCTION("""COMPUTED_VALUE"""),178.0)</f>
        <v>178</v>
      </c>
      <c r="AB522" s="272">
        <f>IFERROR(__xludf.DUMMYFUNCTION("""COMPUTED_VALUE"""),178.0)</f>
        <v>178</v>
      </c>
      <c r="AC522" s="272"/>
      <c r="AD522" s="272">
        <f>IFERROR(__xludf.DUMMYFUNCTION("""COMPUTED_VALUE"""),422300.0)</f>
        <v>422300</v>
      </c>
      <c r="AE522" s="272">
        <f>IFERROR(__xludf.DUMMYFUNCTION("""COMPUTED_VALUE"""),422300.0)</f>
        <v>422300</v>
      </c>
      <c r="AF522" s="272"/>
      <c r="AG522" s="208"/>
      <c r="AH522" s="208"/>
      <c r="AI522" s="208"/>
      <c r="AJ522" s="208"/>
      <c r="AK522" s="208"/>
    </row>
    <row r="523" hidden="1">
      <c r="A523" s="209">
        <f>IFERROR(__xludf.DUMMYFUNCTION("""COMPUTED_VALUE"""),46138.0)</f>
        <v>46138</v>
      </c>
      <c r="B523" s="210">
        <f>IFERROR(__xludf.DUMMYFUNCTION("""COMPUTED_VALUE"""),0.5)</f>
        <v>0.5</v>
      </c>
      <c r="C523" s="211" t="str">
        <f>IFERROR(__xludf.DUMMYFUNCTION("""COMPUTED_VALUE"""),"Sms")</f>
        <v>Sms</v>
      </c>
      <c r="D523" s="211" t="str">
        <f>IFERROR(__xludf.DUMMYFUNCTION("""COMPUTED_VALUE"""),"Fallback campaign")</f>
        <v>Fallback campaign</v>
      </c>
      <c r="E523" s="211" t="str">
        <f>IFERROR(__xludf.DUMMYFUNCTION("""COMPUTED_VALUE"""),"BBW")</f>
        <v>BBW</v>
      </c>
      <c r="F523" s="211" t="str">
        <f>IFERROR(__xludf.DUMMYFUNCTION("""COMPUTED_VALUE"""),"No Brief")</f>
        <v>No Brief</v>
      </c>
      <c r="G523" s="212" t="str">
        <f>IFERROR(__xludf.DUMMYFUNCTION("""COMPUTED_VALUE"""),"bbw_ffmtitbi_26april_smsfb_online_reminder")</f>
        <v>bbw_ffmtitbi_26april_smsfb_online_reminder</v>
      </c>
      <c r="H523" s="212" t="str">
        <f>IFERROR(__xludf.DUMMYFUNCTION("""COMPUTED_VALUE"""),"BBW_ON_FFM_TITBI_23_04_26")</f>
        <v>BBW_ON_FFM_TITBI_23_04_26</v>
      </c>
      <c r="I523" s="212" t="str">
        <f>IFERROR(__xludf.DUMMYFUNCTION("""COMPUTED_VALUE"""),"WA Undelivered")</f>
        <v>WA Undelivered</v>
      </c>
      <c r="J523" s="213">
        <f>IFERROR(__xludf.DUMMYFUNCTION("""COMPUTED_VALUE"""),61896.0)</f>
        <v>61896</v>
      </c>
      <c r="K523" s="213">
        <f>IFERROR(__xludf.DUMMYFUNCTION("""COMPUTED_VALUE"""),34442.0)</f>
        <v>34442</v>
      </c>
      <c r="L523" s="214">
        <f>IFERROR(__xludf.DUMMYFUNCTION("""COMPUTED_VALUE"""),0.5564)</f>
        <v>0.5564</v>
      </c>
      <c r="M523" s="213">
        <f>IFERROR(__xludf.DUMMYFUNCTION("""COMPUTED_VALUE"""),0.0)</f>
        <v>0</v>
      </c>
      <c r="N523" s="214">
        <f>IFERROR(__xludf.DUMMYFUNCTION("""COMPUTED_VALUE"""),0.0)</f>
        <v>0</v>
      </c>
      <c r="O523" s="213">
        <f>IFERROR(__xludf.DUMMYFUNCTION("""COMPUTED_VALUE"""),63.0)</f>
        <v>63</v>
      </c>
      <c r="P523" s="213">
        <f>IFERROR(__xludf.DUMMYFUNCTION("""COMPUTED_VALUE"""),0.0)</f>
        <v>0</v>
      </c>
      <c r="Q523" s="214">
        <f>IFERROR(__xludf.DUMMYFUNCTION("""COMPUTED_VALUE"""),0.0018)</f>
        <v>0.0018</v>
      </c>
      <c r="R523" s="214">
        <f>IFERROR(__xludf.DUMMYFUNCTION("""COMPUTED_VALUE"""),0.0)</f>
        <v>0</v>
      </c>
      <c r="S523" s="101">
        <f>IFERROR(__xludf.DUMMYFUNCTION("""COMPUTED_VALUE"""),4.0)</f>
        <v>4</v>
      </c>
      <c r="T523" s="101">
        <f>IFERROR(__xludf.DUMMYFUNCTION("""COMPUTED_VALUE"""),17.0)</f>
        <v>17</v>
      </c>
      <c r="U523" s="270">
        <f>IFERROR(__xludf.DUMMYFUNCTION("""COMPUTED_VALUE"""),20599.0)</f>
        <v>20599</v>
      </c>
      <c r="V523" s="271" t="str">
        <f>IFERROR(__xludf.DUMMYFUNCTION("""COMPUTED_VALUE"""),"online")</f>
        <v>online</v>
      </c>
      <c r="W523" s="272" t="str">
        <f>IFERROR(__xludf.DUMMYFUNCTION("""COMPUTED_VALUE"""),"sms")</f>
        <v>sms</v>
      </c>
      <c r="X523" s="272" t="str">
        <f>IFERROR(__xludf.DUMMYFUNCTION("""COMPUTED_VALUE"""),"Generic")</f>
        <v>Generic</v>
      </c>
      <c r="Y523" s="272" t="str">
        <f>IFERROR(__xludf.DUMMYFUNCTION("""COMPUTED_VALUE"""),"26-28 April")</f>
        <v>26-28 April</v>
      </c>
      <c r="Z523" s="272" t="str">
        <f>IFERROR(__xludf.DUMMYFUNCTION("""COMPUTED_VALUE"""),"69e9f9f293328acc30ea8d0b")</f>
        <v>69e9f9f293328acc30ea8d0b</v>
      </c>
      <c r="AA523" s="272">
        <f>IFERROR(__xludf.DUMMYFUNCTION("""COMPUTED_VALUE"""),30.0)</f>
        <v>30</v>
      </c>
      <c r="AB523" s="272">
        <f>IFERROR(__xludf.DUMMYFUNCTION("""COMPUTED_VALUE"""),30.0)</f>
        <v>30</v>
      </c>
      <c r="AC523" s="272"/>
      <c r="AD523" s="272">
        <f>IFERROR(__xludf.DUMMYFUNCTION("""COMPUTED_VALUE"""),73976.0)</f>
        <v>73976</v>
      </c>
      <c r="AE523" s="272">
        <f>IFERROR(__xludf.DUMMYFUNCTION("""COMPUTED_VALUE"""),73976.0)</f>
        <v>73976</v>
      </c>
      <c r="AF523" s="272"/>
      <c r="AG523" s="208"/>
      <c r="AH523" s="208"/>
      <c r="AI523" s="208"/>
      <c r="AJ523" s="208"/>
      <c r="AK523" s="208"/>
    </row>
    <row r="524" hidden="1">
      <c r="A524" s="209">
        <f>IFERROR(__xludf.DUMMYFUNCTION("""COMPUTED_VALUE"""),46141.0)</f>
        <v>46141</v>
      </c>
      <c r="B524" s="210">
        <f>IFERROR(__xludf.DUMMYFUNCTION("""COMPUTED_VALUE"""),0.7708333333321207)</f>
        <v>0.7708333333</v>
      </c>
      <c r="C524" s="211" t="str">
        <f>IFERROR(__xludf.DUMMYFUNCTION("""COMPUTED_VALUE"""),"Whatsapp")</f>
        <v>Whatsapp</v>
      </c>
      <c r="D524" s="211" t="str">
        <f>IFERROR(__xludf.DUMMYFUNCTION("""COMPUTED_VALUE"""),"Promtional")</f>
        <v>Promtional</v>
      </c>
      <c r="E524" s="211" t="str">
        <f>IFERROR(__xludf.DUMMYFUNCTION("""COMPUTED_VALUE"""),"BBW")</f>
        <v>BBW</v>
      </c>
      <c r="F524" s="211" t="str">
        <f>IFERROR(__xludf.DUMMYFUNCTION("""COMPUTED_VALUE"""),"B1G1 - Entire Store")</f>
        <v>B1G1 - Entire Store</v>
      </c>
      <c r="G524" s="212" t="str">
        <f>IFERROR(__xludf.DUMMYFUNCTION("""COMPUTED_VALUE"""),"bbw_online_wa_29april_buy1get1_loyal")</f>
        <v>bbw_online_wa_29april_buy1get1_loyal</v>
      </c>
      <c r="H524" s="212" t="str">
        <f>IFERROR(__xludf.DUMMYFUNCTION("""COMPUTED_VALUE"""),"Loyal_ON")</f>
        <v>Loyal_ON</v>
      </c>
      <c r="I524" s="212" t="str">
        <f>IFERROR(__xludf.DUMMYFUNCTION("""COMPUTED_VALUE"""),"Online Customers who have 4 or more purchases in last 12 Months")</f>
        <v>Online Customers who have 4 or more purchases in last 12 Months</v>
      </c>
      <c r="J524" s="213">
        <f>IFERROR(__xludf.DUMMYFUNCTION("""COMPUTED_VALUE"""),3359.0)</f>
        <v>3359</v>
      </c>
      <c r="K524" s="213">
        <f>IFERROR(__xludf.DUMMYFUNCTION("""COMPUTED_VALUE"""),1244.0)</f>
        <v>1244</v>
      </c>
      <c r="L524" s="214">
        <f>IFERROR(__xludf.DUMMYFUNCTION("""COMPUTED_VALUE"""),0.3703)</f>
        <v>0.3703</v>
      </c>
      <c r="M524" s="213">
        <f>IFERROR(__xludf.DUMMYFUNCTION("""COMPUTED_VALUE"""),547.0)</f>
        <v>547</v>
      </c>
      <c r="N524" s="214">
        <f>IFERROR(__xludf.DUMMYFUNCTION("""COMPUTED_VALUE"""),0.4397)</f>
        <v>0.4397</v>
      </c>
      <c r="O524" s="213">
        <f>IFERROR(__xludf.DUMMYFUNCTION("""COMPUTED_VALUE"""),88.0)</f>
        <v>88</v>
      </c>
      <c r="P524" s="213">
        <f>IFERROR(__xludf.DUMMYFUNCTION("""COMPUTED_VALUE"""),86.0)</f>
        <v>86</v>
      </c>
      <c r="Q524" s="214">
        <f>IFERROR(__xludf.DUMMYFUNCTION("""COMPUTED_VALUE"""),0.0691)</f>
        <v>0.0691</v>
      </c>
      <c r="R524" s="214">
        <f>IFERROR(__xludf.DUMMYFUNCTION("""COMPUTED_VALUE"""),0.1572)</f>
        <v>0.1572</v>
      </c>
      <c r="S524" s="101">
        <f>IFERROR(__xludf.DUMMYFUNCTION("""COMPUTED_VALUE"""),3.0)</f>
        <v>3</v>
      </c>
      <c r="T524" s="101">
        <f>IFERROR(__xludf.DUMMYFUNCTION("""COMPUTED_VALUE"""),9.0)</f>
        <v>9</v>
      </c>
      <c r="U524" s="270">
        <f>IFERROR(__xludf.DUMMYFUNCTION("""COMPUTED_VALUE"""),25948.0)</f>
        <v>25948</v>
      </c>
      <c r="V524" s="271" t="str">
        <f>IFERROR(__xludf.DUMMYFUNCTION("""COMPUTED_VALUE"""),"online")</f>
        <v>online</v>
      </c>
      <c r="W524" s="272" t="str">
        <f>IFERROR(__xludf.DUMMYFUNCTION("""COMPUTED_VALUE"""),"simple")</f>
        <v>simple</v>
      </c>
      <c r="X524" s="272" t="str">
        <f>IFERROR(__xludf.DUMMYFUNCTION("""COMPUTED_VALUE"""),"Loyal")</f>
        <v>Loyal</v>
      </c>
      <c r="Y524" s="272" t="str">
        <f>IFERROR(__xludf.DUMMYFUNCTION("""COMPUTED_VALUE"""),"29 - 1 May")</f>
        <v>29 - 1 May</v>
      </c>
      <c r="Z524" s="272" t="str">
        <f>IFERROR(__xludf.DUMMYFUNCTION("""COMPUTED_VALUE"""),"69f1ce6338624504f48a25e4")</f>
        <v>69f1ce6338624504f48a25e4</v>
      </c>
      <c r="AA524" s="272">
        <f>IFERROR(__xludf.DUMMYFUNCTION("""COMPUTED_VALUE"""),28.0)</f>
        <v>28</v>
      </c>
      <c r="AB524" s="272">
        <f>IFERROR(__xludf.DUMMYFUNCTION("""COMPUTED_VALUE"""),28.0)</f>
        <v>28</v>
      </c>
      <c r="AC524" s="272"/>
      <c r="AD524" s="272">
        <f>IFERROR(__xludf.DUMMYFUNCTION("""COMPUTED_VALUE"""),117168.0)</f>
        <v>117168</v>
      </c>
      <c r="AE524" s="272">
        <f>IFERROR(__xludf.DUMMYFUNCTION("""COMPUTED_VALUE"""),117168.0)</f>
        <v>117168</v>
      </c>
      <c r="AF524" s="272"/>
      <c r="AG524" s="208"/>
      <c r="AH524" s="208"/>
      <c r="AI524" s="208"/>
      <c r="AJ524" s="208"/>
      <c r="AK524" s="208"/>
    </row>
    <row r="525" hidden="1">
      <c r="A525" s="209">
        <f>IFERROR(__xludf.DUMMYFUNCTION("""COMPUTED_VALUE"""),46141.0)</f>
        <v>46141</v>
      </c>
      <c r="B525" s="210">
        <f>IFERROR(__xludf.DUMMYFUNCTION("""COMPUTED_VALUE"""),0.7708333333321207)</f>
        <v>0.7708333333</v>
      </c>
      <c r="C525" s="211" t="str">
        <f>IFERROR(__xludf.DUMMYFUNCTION("""COMPUTED_VALUE"""),"Whatsapp")</f>
        <v>Whatsapp</v>
      </c>
      <c r="D525" s="211" t="str">
        <f>IFERROR(__xludf.DUMMYFUNCTION("""COMPUTED_VALUE"""),"Promtional")</f>
        <v>Promtional</v>
      </c>
      <c r="E525" s="211" t="str">
        <f>IFERROR(__xludf.DUMMYFUNCTION("""COMPUTED_VALUE"""),"BBW")</f>
        <v>BBW</v>
      </c>
      <c r="F525" s="211" t="str">
        <f>IFERROR(__xludf.DUMMYFUNCTION("""COMPUTED_VALUE"""),"B1G1 - Entire Store")</f>
        <v>B1G1 - Entire Store</v>
      </c>
      <c r="G525" s="212" t="str">
        <f>IFERROR(__xludf.DUMMYFUNCTION("""COMPUTED_VALUE"""),"bbw_online_wa_29april_buy1get1_repeat")</f>
        <v>bbw_online_wa_29april_buy1get1_repeat</v>
      </c>
      <c r="H525" s="212" t="str">
        <f>IFERROR(__xludf.DUMMYFUNCTION("""COMPUTED_VALUE"""),"Repeat_ON")</f>
        <v>Repeat_ON</v>
      </c>
      <c r="I525" s="212" t="str">
        <f>IFERROR(__xludf.DUMMYFUNCTION("""COMPUTED_VALUE"""),"Online Customers who have purchased at least 2 times in the last 24 Months")</f>
        <v>Online Customers who have purchased at least 2 times in the last 24 Months</v>
      </c>
      <c r="J525" s="213">
        <f>IFERROR(__xludf.DUMMYFUNCTION("""COMPUTED_VALUE"""),57073.0)</f>
        <v>57073</v>
      </c>
      <c r="K525" s="213">
        <f>IFERROR(__xludf.DUMMYFUNCTION("""COMPUTED_VALUE"""),23696.0)</f>
        <v>23696</v>
      </c>
      <c r="L525" s="214">
        <f>IFERROR(__xludf.DUMMYFUNCTION("""COMPUTED_VALUE"""),0.4151)</f>
        <v>0.4151</v>
      </c>
      <c r="M525" s="213">
        <f>IFERROR(__xludf.DUMMYFUNCTION("""COMPUTED_VALUE"""),8856.0)</f>
        <v>8856</v>
      </c>
      <c r="N525" s="214">
        <f>IFERROR(__xludf.DUMMYFUNCTION("""COMPUTED_VALUE"""),0.3738)</f>
        <v>0.3738</v>
      </c>
      <c r="O525" s="213">
        <f>IFERROR(__xludf.DUMMYFUNCTION("""COMPUTED_VALUE"""),1266.0)</f>
        <v>1266</v>
      </c>
      <c r="P525" s="213">
        <f>IFERROR(__xludf.DUMMYFUNCTION("""COMPUTED_VALUE"""),1205.0)</f>
        <v>1205</v>
      </c>
      <c r="Q525" s="214">
        <f>IFERROR(__xludf.DUMMYFUNCTION("""COMPUTED_VALUE"""),0.0509)</f>
        <v>0.0509</v>
      </c>
      <c r="R525" s="214">
        <f>IFERROR(__xludf.DUMMYFUNCTION("""COMPUTED_VALUE"""),0.1361)</f>
        <v>0.1361</v>
      </c>
      <c r="S525" s="101">
        <f>IFERROR(__xludf.DUMMYFUNCTION("""COMPUTED_VALUE"""),24.0)</f>
        <v>24</v>
      </c>
      <c r="T525" s="101">
        <f>IFERROR(__xludf.DUMMYFUNCTION("""COMPUTED_VALUE"""),58.0)</f>
        <v>58</v>
      </c>
      <c r="U525" s="270">
        <f>IFERROR(__xludf.DUMMYFUNCTION("""COMPUTED_VALUE"""),90194.0)</f>
        <v>90194</v>
      </c>
      <c r="V525" s="271" t="str">
        <f>IFERROR(__xludf.DUMMYFUNCTION("""COMPUTED_VALUE"""),"online")</f>
        <v>online</v>
      </c>
      <c r="W525" s="272" t="str">
        <f>IFERROR(__xludf.DUMMYFUNCTION("""COMPUTED_VALUE"""),"simple")</f>
        <v>simple</v>
      </c>
      <c r="X525" s="272" t="str">
        <f>IFERROR(__xludf.DUMMYFUNCTION("""COMPUTED_VALUE"""),"Repeat")</f>
        <v>Repeat</v>
      </c>
      <c r="Y525" s="272" t="str">
        <f>IFERROR(__xludf.DUMMYFUNCTION("""COMPUTED_VALUE"""),"29 - 1 May")</f>
        <v>29 - 1 May</v>
      </c>
      <c r="Z525" s="272" t="str">
        <f>IFERROR(__xludf.DUMMYFUNCTION("""COMPUTED_VALUE"""),"69f1ce85a1f6e971a985bfad")</f>
        <v>69f1ce85a1f6e971a985bfad</v>
      </c>
      <c r="AA525" s="272">
        <f>IFERROR(__xludf.DUMMYFUNCTION("""COMPUTED_VALUE"""),131.0)</f>
        <v>131</v>
      </c>
      <c r="AB525" s="272">
        <f>IFERROR(__xludf.DUMMYFUNCTION("""COMPUTED_VALUE"""),131.0)</f>
        <v>131</v>
      </c>
      <c r="AC525" s="272"/>
      <c r="AD525" s="272">
        <f>IFERROR(__xludf.DUMMYFUNCTION("""COMPUTED_VALUE"""),402124.0)</f>
        <v>402124</v>
      </c>
      <c r="AE525" s="272">
        <f>IFERROR(__xludf.DUMMYFUNCTION("""COMPUTED_VALUE"""),402124.0)</f>
        <v>402124</v>
      </c>
      <c r="AF525" s="272"/>
      <c r="AG525" s="208"/>
      <c r="AH525" s="208"/>
      <c r="AI525" s="208"/>
      <c r="AJ525" s="208"/>
      <c r="AK525" s="208"/>
    </row>
    <row r="526" hidden="1">
      <c r="A526" s="209">
        <f>IFERROR(__xludf.DUMMYFUNCTION("""COMPUTED_VALUE"""),46141.0)</f>
        <v>46141</v>
      </c>
      <c r="B526" s="210">
        <f>IFERROR(__xludf.DUMMYFUNCTION("""COMPUTED_VALUE"""),0.7708333333321207)</f>
        <v>0.7708333333</v>
      </c>
      <c r="C526" s="211" t="str">
        <f>IFERROR(__xludf.DUMMYFUNCTION("""COMPUTED_VALUE"""),"Whatsapp")</f>
        <v>Whatsapp</v>
      </c>
      <c r="D526" s="211" t="str">
        <f>IFERROR(__xludf.DUMMYFUNCTION("""COMPUTED_VALUE"""),"Promtional")</f>
        <v>Promtional</v>
      </c>
      <c r="E526" s="211" t="str">
        <f>IFERROR(__xludf.DUMMYFUNCTION("""COMPUTED_VALUE"""),"BBW")</f>
        <v>BBW</v>
      </c>
      <c r="F526" s="211" t="str">
        <f>IFERROR(__xludf.DUMMYFUNCTION("""COMPUTED_VALUE"""),"B1G1 - Entire Store")</f>
        <v>B1G1 - Entire Store</v>
      </c>
      <c r="G526" s="212" t="str">
        <f>IFERROR(__xludf.DUMMYFUNCTION("""COMPUTED_VALUE"""),"bbw_online_wa_29april_buy1get1_aov_relevant")</f>
        <v>bbw_online_wa_29april_buy1get1_aov_relevant</v>
      </c>
      <c r="H526" s="212" t="str">
        <f>IFERROR(__xludf.DUMMYFUNCTION("""COMPUTED_VALUE"""),"AOV_Max_2699_365D_ON")</f>
        <v>AOV_Max_2699_365D_ON</v>
      </c>
      <c r="I526" s="212" t="str">
        <f>IFERROR(__xludf.DUMMYFUNCTION("""COMPUTED_VALUE"""),"Online Customers with AOV less than 2699 &gt; Last 12 Months")</f>
        <v>Online Customers with AOV less than 2699 &gt; Last 12 Months</v>
      </c>
      <c r="J526" s="239">
        <f>IFERROR(__xludf.DUMMYFUNCTION("""COMPUTED_VALUE"""),56017.0)</f>
        <v>56017</v>
      </c>
      <c r="K526" s="213">
        <f>IFERROR(__xludf.DUMMYFUNCTION("""COMPUTED_VALUE"""),26756.0)</f>
        <v>26756</v>
      </c>
      <c r="L526" s="214">
        <f>IFERROR(__xludf.DUMMYFUNCTION("""COMPUTED_VALUE"""),0.4775)</f>
        <v>0.4775</v>
      </c>
      <c r="M526" s="213">
        <f>IFERROR(__xludf.DUMMYFUNCTION("""COMPUTED_VALUE"""),9823.0)</f>
        <v>9823</v>
      </c>
      <c r="N526" s="214">
        <f>IFERROR(__xludf.DUMMYFUNCTION("""COMPUTED_VALUE"""),0.3672)</f>
        <v>0.3672</v>
      </c>
      <c r="O526" s="213">
        <f>IFERROR(__xludf.DUMMYFUNCTION("""COMPUTED_VALUE"""),1225.0)</f>
        <v>1225</v>
      </c>
      <c r="P526" s="213">
        <f>IFERROR(__xludf.DUMMYFUNCTION("""COMPUTED_VALUE"""),1146.0)</f>
        <v>1146</v>
      </c>
      <c r="Q526" s="214">
        <f>IFERROR(__xludf.DUMMYFUNCTION("""COMPUTED_VALUE"""),0.0428)</f>
        <v>0.0428</v>
      </c>
      <c r="R526" s="214">
        <f>IFERROR(__xludf.DUMMYFUNCTION("""COMPUTED_VALUE"""),0.1167)</f>
        <v>0.1167</v>
      </c>
      <c r="S526" s="101">
        <f>IFERROR(__xludf.DUMMYFUNCTION("""COMPUTED_VALUE"""),12.0)</f>
        <v>12</v>
      </c>
      <c r="T526" s="101">
        <f>IFERROR(__xludf.DUMMYFUNCTION("""COMPUTED_VALUE"""),41.0)</f>
        <v>41</v>
      </c>
      <c r="U526" s="270">
        <f>IFERROR(__xludf.DUMMYFUNCTION("""COMPUTED_VALUE"""),21067.0)</f>
        <v>21067</v>
      </c>
      <c r="V526" s="271" t="str">
        <f>IFERROR(__xludf.DUMMYFUNCTION("""COMPUTED_VALUE"""),"online")</f>
        <v>online</v>
      </c>
      <c r="W526" s="272" t="str">
        <f>IFERROR(__xludf.DUMMYFUNCTION("""COMPUTED_VALUE"""),"simple")</f>
        <v>simple</v>
      </c>
      <c r="X526" s="272" t="str">
        <f>IFERROR(__xludf.DUMMYFUNCTION("""COMPUTED_VALUE"""),"Cart Value")</f>
        <v>Cart Value</v>
      </c>
      <c r="Y526" s="272" t="str">
        <f>IFERROR(__xludf.DUMMYFUNCTION("""COMPUTED_VALUE"""),"29 - 1 May")</f>
        <v>29 - 1 May</v>
      </c>
      <c r="Z526" s="272" t="str">
        <f>IFERROR(__xludf.DUMMYFUNCTION("""COMPUTED_VALUE"""),"69f1ced5f43c000988b6d6ba")</f>
        <v>69f1ced5f43c000988b6d6ba</v>
      </c>
      <c r="AA526" s="272">
        <f>IFERROR(__xludf.DUMMYFUNCTION("""COMPUTED_VALUE"""),60.0)</f>
        <v>60</v>
      </c>
      <c r="AB526" s="272">
        <f>IFERROR(__xludf.DUMMYFUNCTION("""COMPUTED_VALUE"""),60.0)</f>
        <v>60</v>
      </c>
      <c r="AC526" s="272"/>
      <c r="AD526" s="272">
        <f>IFERROR(__xludf.DUMMYFUNCTION("""COMPUTED_VALUE"""),115978.0)</f>
        <v>115978</v>
      </c>
      <c r="AE526" s="272">
        <f>IFERROR(__xludf.DUMMYFUNCTION("""COMPUTED_VALUE"""),115978.0)</f>
        <v>115978</v>
      </c>
      <c r="AF526" s="272"/>
      <c r="AG526" s="208"/>
      <c r="AH526" s="208"/>
      <c r="AI526" s="208"/>
      <c r="AJ526" s="208"/>
      <c r="AK526" s="208"/>
    </row>
    <row r="527" hidden="1">
      <c r="A527" s="209">
        <f>IFERROR(__xludf.DUMMYFUNCTION("""COMPUTED_VALUE"""),46141.0)</f>
        <v>46141</v>
      </c>
      <c r="B527" s="210">
        <f>IFERROR(__xludf.DUMMYFUNCTION("""COMPUTED_VALUE"""),0.7708333333321207)</f>
        <v>0.7708333333</v>
      </c>
      <c r="C527" s="211" t="str">
        <f>IFERROR(__xludf.DUMMYFUNCTION("""COMPUTED_VALUE"""),"Whatsapp")</f>
        <v>Whatsapp</v>
      </c>
      <c r="D527" s="211" t="str">
        <f>IFERROR(__xludf.DUMMYFUNCTION("""COMPUTED_VALUE"""),"Promtional")</f>
        <v>Promtional</v>
      </c>
      <c r="E527" s="211" t="str">
        <f>IFERROR(__xludf.DUMMYFUNCTION("""COMPUTED_VALUE"""),"BBW")</f>
        <v>BBW</v>
      </c>
      <c r="F527" s="211" t="str">
        <f>IFERROR(__xludf.DUMMYFUNCTION("""COMPUTED_VALUE"""),"B1G1 - Entire Store")</f>
        <v>B1G1 - Entire Store</v>
      </c>
      <c r="G527" s="212" t="str">
        <f>IFERROR(__xludf.DUMMYFUNCTION("""COMPUTED_VALUE"""),"bbw_online_wa_29april_buy1get1_bundle buyers")</f>
        <v>bbw_online_wa_29april_buy1get1_bundle buyers</v>
      </c>
      <c r="H527" s="212" t="str">
        <f>IFERROR(__xludf.DUMMYFUNCTION("""COMPUTED_VALUE"""),"UPT_Min_3_ON")</f>
        <v>UPT_Min_3_ON</v>
      </c>
      <c r="I527" s="212" t="str">
        <f>IFERROR(__xludf.DUMMYFUNCTION("""COMPUTED_VALUE"""),"Online Customers who bought 3+ products during each purchase in the last 365 days")</f>
        <v>Online Customers who bought 3+ products during each purchase in the last 365 days</v>
      </c>
      <c r="J527" s="213">
        <f>IFERROR(__xludf.DUMMYFUNCTION("""COMPUTED_VALUE"""),12550.0)</f>
        <v>12550</v>
      </c>
      <c r="K527" s="213">
        <f>IFERROR(__xludf.DUMMYFUNCTION("""COMPUTED_VALUE"""),5127.0)</f>
        <v>5127</v>
      </c>
      <c r="L527" s="214">
        <f>IFERROR(__xludf.DUMMYFUNCTION("""COMPUTED_VALUE"""),0.4084)</f>
        <v>0.4084</v>
      </c>
      <c r="M527" s="213">
        <f>IFERROR(__xludf.DUMMYFUNCTION("""COMPUTED_VALUE"""),1998.0)</f>
        <v>1998</v>
      </c>
      <c r="N527" s="214">
        <f>IFERROR(__xludf.DUMMYFUNCTION("""COMPUTED_VALUE"""),0.3898)</f>
        <v>0.3898</v>
      </c>
      <c r="O527" s="213">
        <f>IFERROR(__xludf.DUMMYFUNCTION("""COMPUTED_VALUE"""),248.0)</f>
        <v>248</v>
      </c>
      <c r="P527" s="213">
        <f>IFERROR(__xludf.DUMMYFUNCTION("""COMPUTED_VALUE"""),236.0)</f>
        <v>236</v>
      </c>
      <c r="Q527" s="214">
        <f>IFERROR(__xludf.DUMMYFUNCTION("""COMPUTED_VALUE"""),0.046)</f>
        <v>0.046</v>
      </c>
      <c r="R527" s="214">
        <f>IFERROR(__xludf.DUMMYFUNCTION("""COMPUTED_VALUE"""),0.1181)</f>
        <v>0.1181</v>
      </c>
      <c r="S527" s="101">
        <f>IFERROR(__xludf.DUMMYFUNCTION("""COMPUTED_VALUE"""),6.0)</f>
        <v>6</v>
      </c>
      <c r="T527" s="101">
        <f>IFERROR(__xludf.DUMMYFUNCTION("""COMPUTED_VALUE"""),9.0)</f>
        <v>9</v>
      </c>
      <c r="U527" s="285">
        <f>IFERROR(__xludf.DUMMYFUNCTION("""COMPUTED_VALUE"""),15936.0)</f>
        <v>15936</v>
      </c>
      <c r="V527" s="271" t="str">
        <f>IFERROR(__xludf.DUMMYFUNCTION("""COMPUTED_VALUE"""),"online")</f>
        <v>online</v>
      </c>
      <c r="W527" s="272" t="str">
        <f>IFERROR(__xludf.DUMMYFUNCTION("""COMPUTED_VALUE"""),"simple")</f>
        <v>simple</v>
      </c>
      <c r="X527" s="272" t="str">
        <f>IFERROR(__xludf.DUMMYFUNCTION("""COMPUTED_VALUE"""),"Cart Qty")</f>
        <v>Cart Qty</v>
      </c>
      <c r="Y527" s="272" t="str">
        <f>IFERROR(__xludf.DUMMYFUNCTION("""COMPUTED_VALUE"""),"29 - 1 May")</f>
        <v>29 - 1 May</v>
      </c>
      <c r="Z527" s="272" t="str">
        <f>IFERROR(__xludf.DUMMYFUNCTION("""COMPUTED_VALUE"""),"69f1cf328c0949b62941a327")</f>
        <v>69f1cf328c0949b62941a327</v>
      </c>
      <c r="AA527" s="272">
        <f>IFERROR(__xludf.DUMMYFUNCTION("""COMPUTED_VALUE"""),22.0)</f>
        <v>22</v>
      </c>
      <c r="AB527" s="272">
        <f>IFERROR(__xludf.DUMMYFUNCTION("""COMPUTED_VALUE"""),22.0)</f>
        <v>22</v>
      </c>
      <c r="AC527" s="272"/>
      <c r="AD527" s="272">
        <f>IFERROR(__xludf.DUMMYFUNCTION("""COMPUTED_VALUE"""),111253.0)</f>
        <v>111253</v>
      </c>
      <c r="AE527" s="272">
        <f>IFERROR(__xludf.DUMMYFUNCTION("""COMPUTED_VALUE"""),111253.0)</f>
        <v>111253</v>
      </c>
      <c r="AF527" s="272"/>
      <c r="AG527" s="208"/>
      <c r="AH527" s="208"/>
      <c r="AI527" s="208"/>
      <c r="AJ527" s="208"/>
      <c r="AK527" s="208"/>
    </row>
    <row r="528" hidden="1">
      <c r="A528" s="209">
        <f>IFERROR(__xludf.DUMMYFUNCTION("""COMPUTED_VALUE"""),46141.0)</f>
        <v>46141</v>
      </c>
      <c r="B528" s="210">
        <f>IFERROR(__xludf.DUMMYFUNCTION("""COMPUTED_VALUE"""),0.7708333333321207)</f>
        <v>0.7708333333</v>
      </c>
      <c r="C528" s="211" t="str">
        <f>IFERROR(__xludf.DUMMYFUNCTION("""COMPUTED_VALUE"""),"Whatsapp")</f>
        <v>Whatsapp</v>
      </c>
      <c r="D528" s="211" t="str">
        <f>IFERROR(__xludf.DUMMYFUNCTION("""COMPUTED_VALUE"""),"Promtional")</f>
        <v>Promtional</v>
      </c>
      <c r="E528" s="211" t="str">
        <f>IFERROR(__xludf.DUMMYFUNCTION("""COMPUTED_VALUE"""),"BBW")</f>
        <v>BBW</v>
      </c>
      <c r="F528" s="211" t="str">
        <f>IFERROR(__xludf.DUMMYFUNCTION("""COMPUTED_VALUE"""),"B1G1 - Entire Store")</f>
        <v>B1G1 - Entire Store</v>
      </c>
      <c r="G528" s="212" t="str">
        <f>IFERROR(__xludf.DUMMYFUNCTION("""COMPUTED_VALUE"""),"bbw_online_wa_29april_buy1get1_dormant")</f>
        <v>bbw_online_wa_29april_buy1get1_dormant</v>
      </c>
      <c r="H528" s="212" t="str">
        <f>IFERROR(__xludf.DUMMYFUNCTION("""COMPUTED_VALUE"""),"Dorm_90_365_ON")</f>
        <v>Dorm_90_365_ON</v>
      </c>
      <c r="I528" s="212" t="str">
        <f>IFERROR(__xludf.DUMMYFUNCTION("""COMPUTED_VALUE"""),"Online Customers who placed at least 1 order in between 90 days ago and 365 days ago")</f>
        <v>Online Customers who placed at least 1 order in between 90 days ago and 365 days ago</v>
      </c>
      <c r="J528" s="213">
        <f>IFERROR(__xludf.DUMMYFUNCTION("""COMPUTED_VALUE"""),5186.0)</f>
        <v>5186</v>
      </c>
      <c r="K528" s="213">
        <f>IFERROR(__xludf.DUMMYFUNCTION("""COMPUTED_VALUE"""),2356.0)</f>
        <v>2356</v>
      </c>
      <c r="L528" s="214">
        <f>IFERROR(__xludf.DUMMYFUNCTION("""COMPUTED_VALUE"""),0.4541)</f>
        <v>0.4541</v>
      </c>
      <c r="M528" s="213">
        <f>IFERROR(__xludf.DUMMYFUNCTION("""COMPUTED_VALUE"""),802.0)</f>
        <v>802</v>
      </c>
      <c r="N528" s="214">
        <f>IFERROR(__xludf.DUMMYFUNCTION("""COMPUTED_VALUE"""),0.3406)</f>
        <v>0.3406</v>
      </c>
      <c r="O528" s="213">
        <f>IFERROR(__xludf.DUMMYFUNCTION("""COMPUTED_VALUE"""),70.0)</f>
        <v>70</v>
      </c>
      <c r="P528" s="213">
        <f>IFERROR(__xludf.DUMMYFUNCTION("""COMPUTED_VALUE"""),68.0)</f>
        <v>68</v>
      </c>
      <c r="Q528" s="214">
        <f>IFERROR(__xludf.DUMMYFUNCTION("""COMPUTED_VALUE"""),0.0289)</f>
        <v>0.0289</v>
      </c>
      <c r="R528" s="214">
        <f>IFERROR(__xludf.DUMMYFUNCTION("""COMPUTED_VALUE"""),0.0848)</f>
        <v>0.0848</v>
      </c>
      <c r="S528" s="101">
        <f>IFERROR(__xludf.DUMMYFUNCTION("""COMPUTED_VALUE"""),2.0)</f>
        <v>2</v>
      </c>
      <c r="T528" s="101">
        <f>IFERROR(__xludf.DUMMYFUNCTION("""COMPUTED_VALUE"""),4.0)</f>
        <v>4</v>
      </c>
      <c r="U528" s="270">
        <f>IFERROR(__xludf.DUMMYFUNCTION("""COMPUTED_VALUE"""),6076.0)</f>
        <v>6076</v>
      </c>
      <c r="V528" s="271" t="str">
        <f>IFERROR(__xludf.DUMMYFUNCTION("""COMPUTED_VALUE"""),"online")</f>
        <v>online</v>
      </c>
      <c r="W528" s="272" t="str">
        <f>IFERROR(__xludf.DUMMYFUNCTION("""COMPUTED_VALUE"""),"simple")</f>
        <v>simple</v>
      </c>
      <c r="X528" s="272" t="str">
        <f>IFERROR(__xludf.DUMMYFUNCTION("""COMPUTED_VALUE"""),"Dormant")</f>
        <v>Dormant</v>
      </c>
      <c r="Y528" s="272" t="str">
        <f>IFERROR(__xludf.DUMMYFUNCTION("""COMPUTED_VALUE"""),"29 - 1 May")</f>
        <v>29 - 1 May</v>
      </c>
      <c r="Z528" s="272" t="str">
        <f>IFERROR(__xludf.DUMMYFUNCTION("""COMPUTED_VALUE"""),"69f1cf806ffe4374f51bebfc")</f>
        <v>69f1cf806ffe4374f51bebfc</v>
      </c>
      <c r="AA528" s="272">
        <f>IFERROR(__xludf.DUMMYFUNCTION("""COMPUTED_VALUE"""),7.0)</f>
        <v>7</v>
      </c>
      <c r="AB528" s="272">
        <f>IFERROR(__xludf.DUMMYFUNCTION("""COMPUTED_VALUE"""),7.0)</f>
        <v>7</v>
      </c>
      <c r="AC528" s="272"/>
      <c r="AD528" s="272">
        <f>IFERROR(__xludf.DUMMYFUNCTION("""COMPUTED_VALUE"""),28225.0)</f>
        <v>28225</v>
      </c>
      <c r="AE528" s="272">
        <f>IFERROR(__xludf.DUMMYFUNCTION("""COMPUTED_VALUE"""),28225.0)</f>
        <v>28225</v>
      </c>
      <c r="AF528" s="272"/>
      <c r="AG528" s="208"/>
      <c r="AH528" s="208"/>
      <c r="AI528" s="208"/>
      <c r="AJ528" s="208"/>
      <c r="AK528" s="208"/>
    </row>
    <row r="529" hidden="1">
      <c r="A529" s="209">
        <f>IFERROR(__xludf.DUMMYFUNCTION("""COMPUTED_VALUE"""),46141.0)</f>
        <v>46141</v>
      </c>
      <c r="B529" s="210">
        <f>IFERROR(__xludf.DUMMYFUNCTION("""COMPUTED_VALUE"""),0.7708333333321207)</f>
        <v>0.7708333333</v>
      </c>
      <c r="C529" s="211" t="str">
        <f>IFERROR(__xludf.DUMMYFUNCTION("""COMPUTED_VALUE"""),"Whatsapp")</f>
        <v>Whatsapp</v>
      </c>
      <c r="D529" s="211" t="str">
        <f>IFERROR(__xludf.DUMMYFUNCTION("""COMPUTED_VALUE"""),"Promtional")</f>
        <v>Promtional</v>
      </c>
      <c r="E529" s="211" t="str">
        <f>IFERROR(__xludf.DUMMYFUNCTION("""COMPUTED_VALUE"""),"BBW")</f>
        <v>BBW</v>
      </c>
      <c r="F529" s="211" t="str">
        <f>IFERROR(__xludf.DUMMYFUNCTION("""COMPUTED_VALUE"""),"B1G1 - Entire Store")</f>
        <v>B1G1 - Entire Store</v>
      </c>
      <c r="G529" s="212" t="str">
        <f>IFERROR(__xludf.DUMMYFUNCTION("""COMPUTED_VALUE"""),"bbw_online_wa_29april_buy1get1_atc")</f>
        <v>bbw_online_wa_29april_buy1get1_atc</v>
      </c>
      <c r="H529" s="212" t="str">
        <f>IFERROR(__xludf.DUMMYFUNCTION("""COMPUTED_VALUE"""),"Web_View_ATC_45D")</f>
        <v>Web_View_ATC_45D</v>
      </c>
      <c r="I529" s="212" t="str">
        <f>IFERROR(__xludf.DUMMYFUNCTION("""COMPUTED_VALUE"""),"Users who have Visited  the Website 2 or more times or ATC once &gt; Last 45 days")</f>
        <v>Users who have Visited  the Website 2 or more times or ATC once &gt; Last 45 days</v>
      </c>
      <c r="J529" s="213">
        <f>IFERROR(__xludf.DUMMYFUNCTION("""COMPUTED_VALUE"""),4841.0)</f>
        <v>4841</v>
      </c>
      <c r="K529" s="213">
        <f>IFERROR(__xludf.DUMMYFUNCTION("""COMPUTED_VALUE"""),2597.0)</f>
        <v>2597</v>
      </c>
      <c r="L529" s="214">
        <f>IFERROR(__xludf.DUMMYFUNCTION("""COMPUTED_VALUE"""),0.5365)</f>
        <v>0.5365</v>
      </c>
      <c r="M529" s="213">
        <f>IFERROR(__xludf.DUMMYFUNCTION("""COMPUTED_VALUE"""),1210.0)</f>
        <v>1210</v>
      </c>
      <c r="N529" s="214">
        <f>IFERROR(__xludf.DUMMYFUNCTION("""COMPUTED_VALUE"""),0.4659)</f>
        <v>0.4659</v>
      </c>
      <c r="O529" s="213">
        <f>IFERROR(__xludf.DUMMYFUNCTION("""COMPUTED_VALUE"""),342.0)</f>
        <v>342</v>
      </c>
      <c r="P529" s="213">
        <f>IFERROR(__xludf.DUMMYFUNCTION("""COMPUTED_VALUE"""),320.0)</f>
        <v>320</v>
      </c>
      <c r="Q529" s="214">
        <f>IFERROR(__xludf.DUMMYFUNCTION("""COMPUTED_VALUE"""),0.1232)</f>
        <v>0.1232</v>
      </c>
      <c r="R529" s="214">
        <f>IFERROR(__xludf.DUMMYFUNCTION("""COMPUTED_VALUE"""),0.2645)</f>
        <v>0.2645</v>
      </c>
      <c r="S529" s="101">
        <f>IFERROR(__xludf.DUMMYFUNCTION("""COMPUTED_VALUE"""),15.0)</f>
        <v>15</v>
      </c>
      <c r="T529" s="101">
        <f>IFERROR(__xludf.DUMMYFUNCTION("""COMPUTED_VALUE"""),95.0)</f>
        <v>95</v>
      </c>
      <c r="U529" s="270">
        <f>IFERROR(__xludf.DUMMYFUNCTION("""COMPUTED_VALUE"""),28423.0)</f>
        <v>28423</v>
      </c>
      <c r="V529" s="271" t="str">
        <f>IFERROR(__xludf.DUMMYFUNCTION("""COMPUTED_VALUE"""),"online")</f>
        <v>online</v>
      </c>
      <c r="W529" s="272" t="str">
        <f>IFERROR(__xludf.DUMMYFUNCTION("""COMPUTED_VALUE"""),"simple")</f>
        <v>simple</v>
      </c>
      <c r="X529" s="272" t="str">
        <f>IFERROR(__xludf.DUMMYFUNCTION("""COMPUTED_VALUE"""),"Web View")</f>
        <v>Web View</v>
      </c>
      <c r="Y529" s="272" t="str">
        <f>IFERROR(__xludf.DUMMYFUNCTION("""COMPUTED_VALUE"""),"29 - 1 May")</f>
        <v>29 - 1 May</v>
      </c>
      <c r="Z529" s="272" t="str">
        <f>IFERROR(__xludf.DUMMYFUNCTION("""COMPUTED_VALUE"""),"69f1cfab8e8714ecd02eeef4")</f>
        <v>69f1cfab8e8714ecd02eeef4</v>
      </c>
      <c r="AA529" s="272">
        <f>IFERROR(__xludf.DUMMYFUNCTION("""COMPUTED_VALUE"""),43.0)</f>
        <v>43</v>
      </c>
      <c r="AB529" s="272">
        <f>IFERROR(__xludf.DUMMYFUNCTION("""COMPUTED_VALUE"""),43.0)</f>
        <v>43</v>
      </c>
      <c r="AC529" s="272"/>
      <c r="AD529" s="272">
        <f>IFERROR(__xludf.DUMMYFUNCTION("""COMPUTED_VALUE"""),83992.0)</f>
        <v>83992</v>
      </c>
      <c r="AE529" s="272">
        <f>IFERROR(__xludf.DUMMYFUNCTION("""COMPUTED_VALUE"""),83992.0)</f>
        <v>83992</v>
      </c>
      <c r="AF529" s="272"/>
      <c r="AG529" s="208"/>
      <c r="AH529" s="208"/>
      <c r="AI529" s="208"/>
      <c r="AJ529" s="208"/>
      <c r="AK529" s="208"/>
    </row>
    <row r="530" hidden="1">
      <c r="A530" s="209">
        <f>IFERROR(__xludf.DUMMYFUNCTION("""COMPUTED_VALUE"""),46141.0)</f>
        <v>46141</v>
      </c>
      <c r="B530" s="210">
        <f>IFERROR(__xludf.DUMMYFUNCTION("""COMPUTED_VALUE"""),0.7708333333321207)</f>
        <v>0.7708333333</v>
      </c>
      <c r="C530" s="211" t="str">
        <f>IFERROR(__xludf.DUMMYFUNCTION("""COMPUTED_VALUE"""),"Whatsapp")</f>
        <v>Whatsapp</v>
      </c>
      <c r="D530" s="211" t="str">
        <f>IFERROR(__xludf.DUMMYFUNCTION("""COMPUTED_VALUE"""),"Promtional")</f>
        <v>Promtional</v>
      </c>
      <c r="E530" s="211" t="str">
        <f>IFERROR(__xludf.DUMMYFUNCTION("""COMPUTED_VALUE"""),"BBW")</f>
        <v>BBW</v>
      </c>
      <c r="F530" s="211" t="str">
        <f>IFERROR(__xludf.DUMMYFUNCTION("""COMPUTED_VALUE"""),"B1G1 - Entire Store")</f>
        <v>B1G1 - Entire Store</v>
      </c>
      <c r="G530" s="212" t="str">
        <f>IFERROR(__xludf.DUMMYFUNCTION("""COMPUTED_VALUE"""),"bbw_online_wa_29april_buy1get1_wa_clicked")</f>
        <v>bbw_online_wa_29april_buy1get1_wa_clicked</v>
      </c>
      <c r="H530" s="212" t="str">
        <f>IFERROR(__xludf.DUMMYFUNCTION("""COMPUTED_VALUE"""),"WA_Clicked_90D")</f>
        <v>WA_Clicked_90D</v>
      </c>
      <c r="I530" s="212" t="str">
        <f>IFERROR(__xludf.DUMMYFUNCTION("""COMPUTED_VALUE"""),"Users who have Message clicked &gt; at least 1 &gt; Last 3 months")</f>
        <v>Users who have Message clicked &gt; at least 1 &gt; Last 3 months</v>
      </c>
      <c r="J530" s="213">
        <f>IFERROR(__xludf.DUMMYFUNCTION("""COMPUTED_VALUE"""),62950.0)</f>
        <v>62950</v>
      </c>
      <c r="K530" s="213">
        <f>IFERROR(__xludf.DUMMYFUNCTION("""COMPUTED_VALUE"""),42920.0)</f>
        <v>42920</v>
      </c>
      <c r="L530" s="214">
        <f>IFERROR(__xludf.DUMMYFUNCTION("""COMPUTED_VALUE"""),0.6816)</f>
        <v>0.6816</v>
      </c>
      <c r="M530" s="213">
        <f>IFERROR(__xludf.DUMMYFUNCTION("""COMPUTED_VALUE"""),22102.0)</f>
        <v>22102</v>
      </c>
      <c r="N530" s="214">
        <f>IFERROR(__xludf.DUMMYFUNCTION("""COMPUTED_VALUE"""),0.5151)</f>
        <v>0.5151</v>
      </c>
      <c r="O530" s="213">
        <f>IFERROR(__xludf.DUMMYFUNCTION("""COMPUTED_VALUE"""),4917.0)</f>
        <v>4917</v>
      </c>
      <c r="P530" s="213">
        <f>IFERROR(__xludf.DUMMYFUNCTION("""COMPUTED_VALUE"""),4619.0)</f>
        <v>4619</v>
      </c>
      <c r="Q530" s="214">
        <f>IFERROR(__xludf.DUMMYFUNCTION("""COMPUTED_VALUE"""),0.1076)</f>
        <v>0.1076</v>
      </c>
      <c r="R530" s="214">
        <f>IFERROR(__xludf.DUMMYFUNCTION("""COMPUTED_VALUE"""),0.209)</f>
        <v>0.209</v>
      </c>
      <c r="S530" s="101">
        <f>IFERROR(__xludf.DUMMYFUNCTION("""COMPUTED_VALUE"""),20.0)</f>
        <v>20</v>
      </c>
      <c r="T530" s="101">
        <f>IFERROR(__xludf.DUMMYFUNCTION("""COMPUTED_VALUE"""),47.0)</f>
        <v>47</v>
      </c>
      <c r="U530" s="270">
        <f>IFERROR(__xludf.DUMMYFUNCTION("""COMPUTED_VALUE"""),56858.0)</f>
        <v>56858</v>
      </c>
      <c r="V530" s="271" t="str">
        <f>IFERROR(__xludf.DUMMYFUNCTION("""COMPUTED_VALUE"""),"online")</f>
        <v>online</v>
      </c>
      <c r="W530" s="272" t="str">
        <f>IFERROR(__xludf.DUMMYFUNCTION("""COMPUTED_VALUE"""),"simple")</f>
        <v>simple</v>
      </c>
      <c r="X530" s="272" t="str">
        <f>IFERROR(__xludf.DUMMYFUNCTION("""COMPUTED_VALUE"""),"WhatsApp Engage")</f>
        <v>WhatsApp Engage</v>
      </c>
      <c r="Y530" s="272" t="str">
        <f>IFERROR(__xludf.DUMMYFUNCTION("""COMPUTED_VALUE"""),"29 - 1 May")</f>
        <v>29 - 1 May</v>
      </c>
      <c r="Z530" s="272" t="str">
        <f>IFERROR(__xludf.DUMMYFUNCTION("""COMPUTED_VALUE"""),"69f1cfe3597e636adf95aab7")</f>
        <v>69f1cfe3597e636adf95aab7</v>
      </c>
      <c r="AA530" s="272">
        <f>IFERROR(__xludf.DUMMYFUNCTION("""COMPUTED_VALUE"""),95.0)</f>
        <v>95</v>
      </c>
      <c r="AB530" s="272">
        <f>IFERROR(__xludf.DUMMYFUNCTION("""COMPUTED_VALUE"""),95.0)</f>
        <v>95</v>
      </c>
      <c r="AC530" s="272"/>
      <c r="AD530" s="272">
        <f>IFERROR(__xludf.DUMMYFUNCTION("""COMPUTED_VALUE"""),248474.0)</f>
        <v>248474</v>
      </c>
      <c r="AE530" s="272">
        <f>IFERROR(__xludf.DUMMYFUNCTION("""COMPUTED_VALUE"""),248474.0)</f>
        <v>248474</v>
      </c>
      <c r="AF530" s="272"/>
      <c r="AG530" s="208"/>
      <c r="AH530" s="208"/>
      <c r="AI530" s="208"/>
      <c r="AJ530" s="208"/>
      <c r="AK530" s="208"/>
    </row>
    <row r="531" hidden="1">
      <c r="A531" s="209">
        <f>IFERROR(__xludf.DUMMYFUNCTION("""COMPUTED_VALUE"""),46141.0)</f>
        <v>46141</v>
      </c>
      <c r="B531" s="210">
        <f>IFERROR(__xludf.DUMMYFUNCTION("""COMPUTED_VALUE"""),0.8125)</f>
        <v>0.8125</v>
      </c>
      <c r="C531" s="211" t="str">
        <f>IFERROR(__xludf.DUMMYFUNCTION("""COMPUTED_VALUE"""),"Sms")</f>
        <v>Sms</v>
      </c>
      <c r="D531" s="211" t="str">
        <f>IFERROR(__xludf.DUMMYFUNCTION("""COMPUTED_VALUE"""),"Fallback campaign")</f>
        <v>Fallback campaign</v>
      </c>
      <c r="E531" s="211" t="str">
        <f>IFERROR(__xludf.DUMMYFUNCTION("""COMPUTED_VALUE"""),"BBW")</f>
        <v>BBW</v>
      </c>
      <c r="F531" s="211" t="str">
        <f>IFERROR(__xludf.DUMMYFUNCTION("""COMPUTED_VALUE"""),"B1G1 - Entire Store")</f>
        <v>B1G1 - Entire Store</v>
      </c>
      <c r="G531" s="212" t="str">
        <f>IFERROR(__xludf.DUMMYFUNCTION("""COMPUTED_VALUE"""),"bbw_online_smsfb_29april_buy1get1_loyal")</f>
        <v>bbw_online_smsfb_29april_buy1get1_loyal</v>
      </c>
      <c r="H531" s="212" t="str">
        <f>IFERROR(__xludf.DUMMYFUNCTION("""COMPUTED_VALUE"""),"Loyal_ON")</f>
        <v>Loyal_ON</v>
      </c>
      <c r="I531" s="212" t="str">
        <f>IFERROR(__xludf.DUMMYFUNCTION("""COMPUTED_VALUE"""),"WA Undelivered")</f>
        <v>WA Undelivered</v>
      </c>
      <c r="J531" s="213">
        <f>IFERROR(__xludf.DUMMYFUNCTION("""COMPUTED_VALUE"""),2072.0)</f>
        <v>2072</v>
      </c>
      <c r="K531" s="213">
        <f>IFERROR(__xludf.DUMMYFUNCTION("""COMPUTED_VALUE"""),915.0)</f>
        <v>915</v>
      </c>
      <c r="L531" s="214">
        <f>IFERROR(__xludf.DUMMYFUNCTION("""COMPUTED_VALUE"""),0.4416)</f>
        <v>0.4416</v>
      </c>
      <c r="M531" s="214">
        <f>IFERROR(__xludf.DUMMYFUNCTION("""COMPUTED_VALUE"""),0.0)</f>
        <v>0</v>
      </c>
      <c r="N531" s="214">
        <f>IFERROR(__xludf.DUMMYFUNCTION("""COMPUTED_VALUE"""),0.0)</f>
        <v>0</v>
      </c>
      <c r="O531" s="213">
        <f>IFERROR(__xludf.DUMMYFUNCTION("""COMPUTED_VALUE"""),13.0)</f>
        <v>13</v>
      </c>
      <c r="P531" s="213">
        <f>IFERROR(__xludf.DUMMYFUNCTION("""COMPUTED_VALUE"""),0.0)</f>
        <v>0</v>
      </c>
      <c r="Q531" s="214">
        <f>IFERROR(__xludf.DUMMYFUNCTION("""COMPUTED_VALUE"""),0.0142)</f>
        <v>0.0142</v>
      </c>
      <c r="R531" s="214">
        <f>IFERROR(__xludf.DUMMYFUNCTION("""COMPUTED_VALUE"""),0.0)</f>
        <v>0</v>
      </c>
      <c r="S531" s="101">
        <f>IFERROR(__xludf.DUMMYFUNCTION("""COMPUTED_VALUE"""),1.0)</f>
        <v>1</v>
      </c>
      <c r="T531" s="101">
        <f>IFERROR(__xludf.DUMMYFUNCTION("""COMPUTED_VALUE"""),1.0)</f>
        <v>1</v>
      </c>
      <c r="U531" s="270">
        <f>IFERROR(__xludf.DUMMYFUNCTION("""COMPUTED_VALUE"""),748.0)</f>
        <v>748</v>
      </c>
      <c r="V531" s="271" t="str">
        <f>IFERROR(__xludf.DUMMYFUNCTION("""COMPUTED_VALUE"""),"online")</f>
        <v>online</v>
      </c>
      <c r="W531" s="272" t="str">
        <f>IFERROR(__xludf.DUMMYFUNCTION("""COMPUTED_VALUE"""),"sms")</f>
        <v>sms</v>
      </c>
      <c r="X531" s="272" t="str">
        <f>IFERROR(__xludf.DUMMYFUNCTION("""COMPUTED_VALUE"""),"Loyal")</f>
        <v>Loyal</v>
      </c>
      <c r="Y531" s="272" t="str">
        <f>IFERROR(__xludf.DUMMYFUNCTION("""COMPUTED_VALUE"""),"29 Apr")</f>
        <v>29 Apr</v>
      </c>
      <c r="Z531" s="272" t="str">
        <f>IFERROR(__xludf.DUMMYFUNCTION("""COMPUTED_VALUE"""),"69f1d422a1f6e971a985c1b7")</f>
        <v>69f1d422a1f6e971a985c1b7</v>
      </c>
      <c r="AA531" s="272">
        <f>IFERROR(__xludf.DUMMYFUNCTION("""COMPUTED_VALUE"""),4.0)</f>
        <v>4</v>
      </c>
      <c r="AB531" s="272">
        <f>IFERROR(__xludf.DUMMYFUNCTION("""COMPUTED_VALUE"""),4.0)</f>
        <v>4</v>
      </c>
      <c r="AC531" s="272"/>
      <c r="AD531" s="272">
        <f>IFERROR(__xludf.DUMMYFUNCTION("""COMPUTED_VALUE"""),18185.0)</f>
        <v>18185</v>
      </c>
      <c r="AE531" s="272">
        <f>IFERROR(__xludf.DUMMYFUNCTION("""COMPUTED_VALUE"""),18185.0)</f>
        <v>18185</v>
      </c>
      <c r="AF531" s="272"/>
      <c r="AG531" s="208"/>
      <c r="AH531" s="208"/>
      <c r="AI531" s="208"/>
      <c r="AJ531" s="208"/>
      <c r="AK531" s="208"/>
    </row>
    <row r="532" hidden="1">
      <c r="A532" s="209">
        <f>IFERROR(__xludf.DUMMYFUNCTION("""COMPUTED_VALUE"""),46141.0)</f>
        <v>46141</v>
      </c>
      <c r="B532" s="210">
        <f>IFERROR(__xludf.DUMMYFUNCTION("""COMPUTED_VALUE"""),0.8125)</f>
        <v>0.8125</v>
      </c>
      <c r="C532" s="211" t="str">
        <f>IFERROR(__xludf.DUMMYFUNCTION("""COMPUTED_VALUE"""),"Sms")</f>
        <v>Sms</v>
      </c>
      <c r="D532" s="211" t="str">
        <f>IFERROR(__xludf.DUMMYFUNCTION("""COMPUTED_VALUE"""),"Fallback campaign")</f>
        <v>Fallback campaign</v>
      </c>
      <c r="E532" s="211" t="str">
        <f>IFERROR(__xludf.DUMMYFUNCTION("""COMPUTED_VALUE"""),"BBW")</f>
        <v>BBW</v>
      </c>
      <c r="F532" s="211" t="str">
        <f>IFERROR(__xludf.DUMMYFUNCTION("""COMPUTED_VALUE"""),"B1G1 - Entire Store")</f>
        <v>B1G1 - Entire Store</v>
      </c>
      <c r="G532" s="212" t="str">
        <f>IFERROR(__xludf.DUMMYFUNCTION("""COMPUTED_VALUE"""),"bbw_online_smsfb_29april_buy1get1_repeat")</f>
        <v>bbw_online_smsfb_29april_buy1get1_repeat</v>
      </c>
      <c r="H532" s="212" t="str">
        <f>IFERROR(__xludf.DUMMYFUNCTION("""COMPUTED_VALUE"""),"Repeat_ON")</f>
        <v>Repeat_ON</v>
      </c>
      <c r="I532" s="212" t="str">
        <f>IFERROR(__xludf.DUMMYFUNCTION("""COMPUTED_VALUE"""),"WA Undelivered")</f>
        <v>WA Undelivered</v>
      </c>
      <c r="J532" s="213">
        <f>IFERROR(__xludf.DUMMYFUNCTION("""COMPUTED_VALUE"""),32363.0)</f>
        <v>32363</v>
      </c>
      <c r="K532" s="213">
        <f>IFERROR(__xludf.DUMMYFUNCTION("""COMPUTED_VALUE"""),16954.0)</f>
        <v>16954</v>
      </c>
      <c r="L532" s="214">
        <f>IFERROR(__xludf.DUMMYFUNCTION("""COMPUTED_VALUE"""),0.5239)</f>
        <v>0.5239</v>
      </c>
      <c r="M532" s="214">
        <f>IFERROR(__xludf.DUMMYFUNCTION("""COMPUTED_VALUE"""),0.0)</f>
        <v>0</v>
      </c>
      <c r="N532" s="214">
        <f>IFERROR(__xludf.DUMMYFUNCTION("""COMPUTED_VALUE"""),0.0)</f>
        <v>0</v>
      </c>
      <c r="O532" s="213">
        <f>IFERROR(__xludf.DUMMYFUNCTION("""COMPUTED_VALUE"""),89.0)</f>
        <v>89</v>
      </c>
      <c r="P532" s="213">
        <f>IFERROR(__xludf.DUMMYFUNCTION("""COMPUTED_VALUE"""),0.0)</f>
        <v>0</v>
      </c>
      <c r="Q532" s="214">
        <f>IFERROR(__xludf.DUMMYFUNCTION("""COMPUTED_VALUE"""),0.0052)</f>
        <v>0.0052</v>
      </c>
      <c r="R532" s="214">
        <f>IFERROR(__xludf.DUMMYFUNCTION("""COMPUTED_VALUE"""),0.0)</f>
        <v>0</v>
      </c>
      <c r="S532" s="101">
        <f>IFERROR(__xludf.DUMMYFUNCTION("""COMPUTED_VALUE"""),9.0)</f>
        <v>9</v>
      </c>
      <c r="T532" s="101">
        <f>IFERROR(__xludf.DUMMYFUNCTION("""COMPUTED_VALUE"""),20.0)</f>
        <v>20</v>
      </c>
      <c r="U532" s="270">
        <f>IFERROR(__xludf.DUMMYFUNCTION("""COMPUTED_VALUE"""),19785.0)</f>
        <v>19785</v>
      </c>
      <c r="V532" s="271" t="str">
        <f>IFERROR(__xludf.DUMMYFUNCTION("""COMPUTED_VALUE"""),"online")</f>
        <v>online</v>
      </c>
      <c r="W532" s="272" t="str">
        <f>IFERROR(__xludf.DUMMYFUNCTION("""COMPUTED_VALUE"""),"sms")</f>
        <v>sms</v>
      </c>
      <c r="X532" s="272" t="str">
        <f>IFERROR(__xludf.DUMMYFUNCTION("""COMPUTED_VALUE"""),"Repeat")</f>
        <v>Repeat</v>
      </c>
      <c r="Y532" s="272" t="str">
        <f>IFERROR(__xludf.DUMMYFUNCTION("""COMPUTED_VALUE"""),"29 Apr")</f>
        <v>29 Apr</v>
      </c>
      <c r="Z532" s="272" t="str">
        <f>IFERROR(__xludf.DUMMYFUNCTION("""COMPUTED_VALUE"""),"69f1d46bce77777c6f7bd866")</f>
        <v>69f1d46bce77777c6f7bd866</v>
      </c>
      <c r="AA532" s="272">
        <f>IFERROR(__xludf.DUMMYFUNCTION("""COMPUTED_VALUE"""),43.0)</f>
        <v>43</v>
      </c>
      <c r="AB532" s="272">
        <f>IFERROR(__xludf.DUMMYFUNCTION("""COMPUTED_VALUE"""),43.0)</f>
        <v>43</v>
      </c>
      <c r="AC532" s="272"/>
      <c r="AD532" s="272">
        <f>IFERROR(__xludf.DUMMYFUNCTION("""COMPUTED_VALUE"""),116897.0)</f>
        <v>116897</v>
      </c>
      <c r="AE532" s="272">
        <f>IFERROR(__xludf.DUMMYFUNCTION("""COMPUTED_VALUE"""),116897.0)</f>
        <v>116897</v>
      </c>
      <c r="AF532" s="272"/>
      <c r="AG532" s="208"/>
      <c r="AH532" s="208"/>
      <c r="AI532" s="208"/>
      <c r="AJ532" s="208"/>
      <c r="AK532" s="208"/>
    </row>
    <row r="533" hidden="1">
      <c r="A533" s="209">
        <f>IFERROR(__xludf.DUMMYFUNCTION("""COMPUTED_VALUE"""),46141.0)</f>
        <v>46141</v>
      </c>
      <c r="B533" s="210">
        <f>IFERROR(__xludf.DUMMYFUNCTION("""COMPUTED_VALUE"""),0.8125)</f>
        <v>0.8125</v>
      </c>
      <c r="C533" s="211" t="str">
        <f>IFERROR(__xludf.DUMMYFUNCTION("""COMPUTED_VALUE"""),"Sms")</f>
        <v>Sms</v>
      </c>
      <c r="D533" s="211" t="str">
        <f>IFERROR(__xludf.DUMMYFUNCTION("""COMPUTED_VALUE"""),"Fallback campaign")</f>
        <v>Fallback campaign</v>
      </c>
      <c r="E533" s="211" t="str">
        <f>IFERROR(__xludf.DUMMYFUNCTION("""COMPUTED_VALUE"""),"BBW")</f>
        <v>BBW</v>
      </c>
      <c r="F533" s="211" t="str">
        <f>IFERROR(__xludf.DUMMYFUNCTION("""COMPUTED_VALUE"""),"B1G1 - Entire Store")</f>
        <v>B1G1 - Entire Store</v>
      </c>
      <c r="G533" s="212" t="str">
        <f>IFERROR(__xludf.DUMMYFUNCTION("""COMPUTED_VALUE"""),"bbw_online_smsfb_29april_buy1get1_aov_relevant")</f>
        <v>bbw_online_smsfb_29april_buy1get1_aov_relevant</v>
      </c>
      <c r="H533" s="212" t="str">
        <f>IFERROR(__xludf.DUMMYFUNCTION("""COMPUTED_VALUE"""),"AOV_Max_2699_365D_ON")</f>
        <v>AOV_Max_2699_365D_ON</v>
      </c>
      <c r="I533" s="212" t="str">
        <f>IFERROR(__xludf.DUMMYFUNCTION("""COMPUTED_VALUE"""),"WA Undelivered")</f>
        <v>WA Undelivered</v>
      </c>
      <c r="J533" s="213">
        <f>IFERROR(__xludf.DUMMYFUNCTION("""COMPUTED_VALUE"""),28264.0)</f>
        <v>28264</v>
      </c>
      <c r="K533" s="213">
        <f>IFERROR(__xludf.DUMMYFUNCTION("""COMPUTED_VALUE"""),17563.0)</f>
        <v>17563</v>
      </c>
      <c r="L533" s="214">
        <f>IFERROR(__xludf.DUMMYFUNCTION("""COMPUTED_VALUE"""),0.6214)</f>
        <v>0.6214</v>
      </c>
      <c r="M533" s="213">
        <f>IFERROR(__xludf.DUMMYFUNCTION("""COMPUTED_VALUE"""),0.0)</f>
        <v>0</v>
      </c>
      <c r="N533" s="214">
        <f>IFERROR(__xludf.DUMMYFUNCTION("""COMPUTED_VALUE"""),0.0)</f>
        <v>0</v>
      </c>
      <c r="O533" s="213">
        <f>IFERROR(__xludf.DUMMYFUNCTION("""COMPUTED_VALUE"""),60.0)</f>
        <v>60</v>
      </c>
      <c r="P533" s="213">
        <f>IFERROR(__xludf.DUMMYFUNCTION("""COMPUTED_VALUE"""),0.0)</f>
        <v>0</v>
      </c>
      <c r="Q533" s="214">
        <f>IFERROR(__xludf.DUMMYFUNCTION("""COMPUTED_VALUE"""),0.0034)</f>
        <v>0.0034</v>
      </c>
      <c r="R533" s="214">
        <f>IFERROR(__xludf.DUMMYFUNCTION("""COMPUTED_VALUE"""),0.0)</f>
        <v>0</v>
      </c>
      <c r="S533" s="101">
        <f>IFERROR(__xludf.DUMMYFUNCTION("""COMPUTED_VALUE"""),2.0)</f>
        <v>2</v>
      </c>
      <c r="T533" s="101">
        <f>IFERROR(__xludf.DUMMYFUNCTION("""COMPUTED_VALUE"""),7.0)</f>
        <v>7</v>
      </c>
      <c r="U533" s="270">
        <f>IFERROR(__xludf.DUMMYFUNCTION("""COMPUTED_VALUE"""),3968.0)</f>
        <v>3968</v>
      </c>
      <c r="V533" s="271" t="str">
        <f>IFERROR(__xludf.DUMMYFUNCTION("""COMPUTED_VALUE"""),"online")</f>
        <v>online</v>
      </c>
      <c r="W533" s="272" t="str">
        <f>IFERROR(__xludf.DUMMYFUNCTION("""COMPUTED_VALUE"""),"sms")</f>
        <v>sms</v>
      </c>
      <c r="X533" s="272" t="str">
        <f>IFERROR(__xludf.DUMMYFUNCTION("""COMPUTED_VALUE"""),"Cart Value")</f>
        <v>Cart Value</v>
      </c>
      <c r="Y533" s="272" t="str">
        <f>IFERROR(__xludf.DUMMYFUNCTION("""COMPUTED_VALUE"""),"29 Apr")</f>
        <v>29 Apr</v>
      </c>
      <c r="Z533" s="272" t="str">
        <f>IFERROR(__xludf.DUMMYFUNCTION("""COMPUTED_VALUE"""),"69f1d49313285e5aa63ad731")</f>
        <v>69f1d49313285e5aa63ad731</v>
      </c>
      <c r="AA533" s="272">
        <f>IFERROR(__xludf.DUMMYFUNCTION("""COMPUTED_VALUE"""),12.0)</f>
        <v>12</v>
      </c>
      <c r="AB533" s="272">
        <f>IFERROR(__xludf.DUMMYFUNCTION("""COMPUTED_VALUE"""),12.0)</f>
        <v>12</v>
      </c>
      <c r="AC533" s="272"/>
      <c r="AD533" s="272">
        <f>IFERROR(__xludf.DUMMYFUNCTION("""COMPUTED_VALUE"""),22083.0)</f>
        <v>22083</v>
      </c>
      <c r="AE533" s="272">
        <f>IFERROR(__xludf.DUMMYFUNCTION("""COMPUTED_VALUE"""),22083.0)</f>
        <v>22083</v>
      </c>
      <c r="AF533" s="272"/>
      <c r="AG533" s="208"/>
      <c r="AH533" s="208"/>
      <c r="AI533" s="208"/>
      <c r="AJ533" s="208"/>
      <c r="AK533" s="208"/>
    </row>
    <row r="534" hidden="1">
      <c r="A534" s="209">
        <f>IFERROR(__xludf.DUMMYFUNCTION("""COMPUTED_VALUE"""),46141.0)</f>
        <v>46141</v>
      </c>
      <c r="B534" s="210">
        <f>IFERROR(__xludf.DUMMYFUNCTION("""COMPUTED_VALUE"""),0.8125)</f>
        <v>0.8125</v>
      </c>
      <c r="C534" s="211" t="str">
        <f>IFERROR(__xludf.DUMMYFUNCTION("""COMPUTED_VALUE"""),"Sms")</f>
        <v>Sms</v>
      </c>
      <c r="D534" s="211" t="str">
        <f>IFERROR(__xludf.DUMMYFUNCTION("""COMPUTED_VALUE"""),"Fallback campaign")</f>
        <v>Fallback campaign</v>
      </c>
      <c r="E534" s="211" t="str">
        <f>IFERROR(__xludf.DUMMYFUNCTION("""COMPUTED_VALUE"""),"BBW")</f>
        <v>BBW</v>
      </c>
      <c r="F534" s="211" t="str">
        <f>IFERROR(__xludf.DUMMYFUNCTION("""COMPUTED_VALUE"""),"B1G1 - Entire Store")</f>
        <v>B1G1 - Entire Store</v>
      </c>
      <c r="G534" s="212" t="str">
        <f>IFERROR(__xludf.DUMMYFUNCTION("""COMPUTED_VALUE"""),"bbw_online_smsfb_29april_buy1get1_bundle buyers")</f>
        <v>bbw_online_smsfb_29april_buy1get1_bundle buyers</v>
      </c>
      <c r="H534" s="212" t="str">
        <f>IFERROR(__xludf.DUMMYFUNCTION("""COMPUTED_VALUE"""),"UPT_Min_3_ON")</f>
        <v>UPT_Min_3_ON</v>
      </c>
      <c r="I534" s="212" t="str">
        <f>IFERROR(__xludf.DUMMYFUNCTION("""COMPUTED_VALUE"""),"WA Undelivered")</f>
        <v>WA Undelivered</v>
      </c>
      <c r="J534" s="213">
        <f>IFERROR(__xludf.DUMMYFUNCTION("""COMPUTED_VALUE"""),7233.0)</f>
        <v>7233</v>
      </c>
      <c r="K534" s="213">
        <f>IFERROR(__xludf.DUMMYFUNCTION("""COMPUTED_VALUE"""),3530.0)</f>
        <v>3530</v>
      </c>
      <c r="L534" s="214">
        <f>IFERROR(__xludf.DUMMYFUNCTION("""COMPUTED_VALUE"""),0.488)</f>
        <v>0.488</v>
      </c>
      <c r="M534" s="214">
        <f>IFERROR(__xludf.DUMMYFUNCTION("""COMPUTED_VALUE"""),0.0)</f>
        <v>0</v>
      </c>
      <c r="N534" s="214">
        <f>IFERROR(__xludf.DUMMYFUNCTION("""COMPUTED_VALUE"""),0.0)</f>
        <v>0</v>
      </c>
      <c r="O534" s="213">
        <f>IFERROR(__xludf.DUMMYFUNCTION("""COMPUTED_VALUE"""),20.0)</f>
        <v>20</v>
      </c>
      <c r="P534" s="213">
        <f>IFERROR(__xludf.DUMMYFUNCTION("""COMPUTED_VALUE"""),0.0)</f>
        <v>0</v>
      </c>
      <c r="Q534" s="214">
        <f>IFERROR(__xludf.DUMMYFUNCTION("""COMPUTED_VALUE"""),0.0057)</f>
        <v>0.0057</v>
      </c>
      <c r="R534" s="214">
        <f>IFERROR(__xludf.DUMMYFUNCTION("""COMPUTED_VALUE"""),0.0)</f>
        <v>0</v>
      </c>
      <c r="S534" s="101">
        <f>IFERROR(__xludf.DUMMYFUNCTION("""COMPUTED_VALUE"""),1.0)</f>
        <v>1</v>
      </c>
      <c r="T534" s="101">
        <f>IFERROR(__xludf.DUMMYFUNCTION("""COMPUTED_VALUE"""),2.0)</f>
        <v>2</v>
      </c>
      <c r="U534" s="270">
        <f>IFERROR(__xludf.DUMMYFUNCTION("""COMPUTED_VALUE"""),1899.0)</f>
        <v>1899</v>
      </c>
      <c r="V534" s="271" t="str">
        <f>IFERROR(__xludf.DUMMYFUNCTION("""COMPUTED_VALUE"""),"online")</f>
        <v>online</v>
      </c>
      <c r="W534" s="272" t="str">
        <f>IFERROR(__xludf.DUMMYFUNCTION("""COMPUTED_VALUE"""),"sms")</f>
        <v>sms</v>
      </c>
      <c r="X534" s="272" t="str">
        <f>IFERROR(__xludf.DUMMYFUNCTION("""COMPUTED_VALUE"""),"Cart Qty")</f>
        <v>Cart Qty</v>
      </c>
      <c r="Y534" s="272" t="str">
        <f>IFERROR(__xludf.DUMMYFUNCTION("""COMPUTED_VALUE"""),"29 Apr")</f>
        <v>29 Apr</v>
      </c>
      <c r="Z534" s="272" t="str">
        <f>IFERROR(__xludf.DUMMYFUNCTION("""COMPUTED_VALUE"""),"69f1d4da10ac6a9aaba55e36")</f>
        <v>69f1d4da10ac6a9aaba55e36</v>
      </c>
      <c r="AA534" s="272">
        <f>IFERROR(__xludf.DUMMYFUNCTION("""COMPUTED_VALUE"""),3.0)</f>
        <v>3</v>
      </c>
      <c r="AB534" s="272">
        <f>IFERROR(__xludf.DUMMYFUNCTION("""COMPUTED_VALUE"""),3.0)</f>
        <v>3</v>
      </c>
      <c r="AC534" s="272"/>
      <c r="AD534" s="272">
        <f>IFERROR(__xludf.DUMMYFUNCTION("""COMPUTED_VALUE"""),54551.0)</f>
        <v>54551</v>
      </c>
      <c r="AE534" s="272">
        <f>IFERROR(__xludf.DUMMYFUNCTION("""COMPUTED_VALUE"""),54551.0)</f>
        <v>54551</v>
      </c>
      <c r="AF534" s="272"/>
      <c r="AG534" s="208"/>
      <c r="AH534" s="208"/>
      <c r="AI534" s="208"/>
      <c r="AJ534" s="208"/>
      <c r="AK534" s="208"/>
    </row>
    <row r="535" hidden="1">
      <c r="A535" s="209">
        <f>IFERROR(__xludf.DUMMYFUNCTION("""COMPUTED_VALUE"""),46141.0)</f>
        <v>46141</v>
      </c>
      <c r="B535" s="210">
        <f>IFERROR(__xludf.DUMMYFUNCTION("""COMPUTED_VALUE"""),0.8125)</f>
        <v>0.8125</v>
      </c>
      <c r="C535" s="211" t="str">
        <f>IFERROR(__xludf.DUMMYFUNCTION("""COMPUTED_VALUE"""),"Sms")</f>
        <v>Sms</v>
      </c>
      <c r="D535" s="211" t="str">
        <f>IFERROR(__xludf.DUMMYFUNCTION("""COMPUTED_VALUE"""),"Fallback campaign")</f>
        <v>Fallback campaign</v>
      </c>
      <c r="E535" s="211" t="str">
        <f>IFERROR(__xludf.DUMMYFUNCTION("""COMPUTED_VALUE"""),"BBW")</f>
        <v>BBW</v>
      </c>
      <c r="F535" s="211" t="str">
        <f>IFERROR(__xludf.DUMMYFUNCTION("""COMPUTED_VALUE"""),"B1G1 - Entire Store")</f>
        <v>B1G1 - Entire Store</v>
      </c>
      <c r="G535" s="212" t="str">
        <f>IFERROR(__xludf.DUMMYFUNCTION("""COMPUTED_VALUE"""),"bbw_online_smsfb_29april_buy1get1_dormant")</f>
        <v>bbw_online_smsfb_29april_buy1get1_dormant</v>
      </c>
      <c r="H535" s="212" t="str">
        <f>IFERROR(__xludf.DUMMYFUNCTION("""COMPUTED_VALUE"""),"Dorm_90_365_ON")</f>
        <v>Dorm_90_365_ON</v>
      </c>
      <c r="I535" s="212" t="str">
        <f>IFERROR(__xludf.DUMMYFUNCTION("""COMPUTED_VALUE"""),"WA Undelivered")</f>
        <v>WA Undelivered</v>
      </c>
      <c r="J535" s="213">
        <f>IFERROR(__xludf.DUMMYFUNCTION("""COMPUTED_VALUE"""),2721.0)</f>
        <v>2721</v>
      </c>
      <c r="K535" s="213">
        <f>IFERROR(__xludf.DUMMYFUNCTION("""COMPUTED_VALUE"""),1519.0)</f>
        <v>1519</v>
      </c>
      <c r="L535" s="214">
        <f>IFERROR(__xludf.DUMMYFUNCTION("""COMPUTED_VALUE"""),0.5583)</f>
        <v>0.5583</v>
      </c>
      <c r="M535" s="214">
        <f>IFERROR(__xludf.DUMMYFUNCTION("""COMPUTED_VALUE"""),0.0)</f>
        <v>0</v>
      </c>
      <c r="N535" s="214">
        <f>IFERROR(__xludf.DUMMYFUNCTION("""COMPUTED_VALUE"""),0.0)</f>
        <v>0</v>
      </c>
      <c r="O535" s="213">
        <f>IFERROR(__xludf.DUMMYFUNCTION("""COMPUTED_VALUE"""),4.0)</f>
        <v>4</v>
      </c>
      <c r="P535" s="213">
        <f>IFERROR(__xludf.DUMMYFUNCTION("""COMPUTED_VALUE"""),0.0)</f>
        <v>0</v>
      </c>
      <c r="Q535" s="214">
        <f>IFERROR(__xludf.DUMMYFUNCTION("""COMPUTED_VALUE"""),0.0026)</f>
        <v>0.0026</v>
      </c>
      <c r="R535" s="214">
        <f>IFERROR(__xludf.DUMMYFUNCTION("""COMPUTED_VALUE"""),0.0)</f>
        <v>0</v>
      </c>
      <c r="S535" s="101">
        <f>IFERROR(__xludf.DUMMYFUNCTION("""COMPUTED_VALUE"""),0.0)</f>
        <v>0</v>
      </c>
      <c r="T535" s="101">
        <f>IFERROR(__xludf.DUMMYFUNCTION("""COMPUTED_VALUE"""),0.0)</f>
        <v>0</v>
      </c>
      <c r="U535" s="270">
        <f>IFERROR(__xludf.DUMMYFUNCTION("""COMPUTED_VALUE"""),0.0)</f>
        <v>0</v>
      </c>
      <c r="V535" s="271" t="str">
        <f>IFERROR(__xludf.DUMMYFUNCTION("""COMPUTED_VALUE"""),"online")</f>
        <v>online</v>
      </c>
      <c r="W535" s="272" t="str">
        <f>IFERROR(__xludf.DUMMYFUNCTION("""COMPUTED_VALUE"""),"sms")</f>
        <v>sms</v>
      </c>
      <c r="X535" s="272" t="str">
        <f>IFERROR(__xludf.DUMMYFUNCTION("""COMPUTED_VALUE"""),"Dormant")</f>
        <v>Dormant</v>
      </c>
      <c r="Y535" s="272" t="str">
        <f>IFERROR(__xludf.DUMMYFUNCTION("""COMPUTED_VALUE"""),"29 Apr")</f>
        <v>29 Apr</v>
      </c>
      <c r="Z535" s="272" t="str">
        <f>IFERROR(__xludf.DUMMYFUNCTION("""COMPUTED_VALUE"""),"69f1d4ed8e8714ecd02ef014")</f>
        <v>69f1d4ed8e8714ecd02ef014</v>
      </c>
      <c r="AA535" s="272">
        <f>IFERROR(__xludf.DUMMYFUNCTION("""COMPUTED_VALUE"""),0.0)</f>
        <v>0</v>
      </c>
      <c r="AB535" s="272">
        <f>IFERROR(__xludf.DUMMYFUNCTION("""COMPUTED_VALUE"""),0.0)</f>
        <v>0</v>
      </c>
      <c r="AC535" s="272"/>
      <c r="AD535" s="272">
        <f>IFERROR(__xludf.DUMMYFUNCTION("""COMPUTED_VALUE"""),0.0)</f>
        <v>0</v>
      </c>
      <c r="AE535" s="272">
        <f>IFERROR(__xludf.DUMMYFUNCTION("""COMPUTED_VALUE"""),0.0)</f>
        <v>0</v>
      </c>
      <c r="AF535" s="272"/>
      <c r="AG535" s="208"/>
      <c r="AH535" s="208"/>
      <c r="AI535" s="208"/>
      <c r="AJ535" s="208"/>
      <c r="AK535" s="208"/>
    </row>
    <row r="536" hidden="1">
      <c r="A536" s="209">
        <f>IFERROR(__xludf.DUMMYFUNCTION("""COMPUTED_VALUE"""),46141.0)</f>
        <v>46141</v>
      </c>
      <c r="B536" s="210">
        <f>IFERROR(__xludf.DUMMYFUNCTION("""COMPUTED_VALUE"""),0.8125)</f>
        <v>0.8125</v>
      </c>
      <c r="C536" s="211" t="str">
        <f>IFERROR(__xludf.DUMMYFUNCTION("""COMPUTED_VALUE"""),"Sms")</f>
        <v>Sms</v>
      </c>
      <c r="D536" s="211" t="str">
        <f>IFERROR(__xludf.DUMMYFUNCTION("""COMPUTED_VALUE"""),"Fallback campaign")</f>
        <v>Fallback campaign</v>
      </c>
      <c r="E536" s="211" t="str">
        <f>IFERROR(__xludf.DUMMYFUNCTION("""COMPUTED_VALUE"""),"BBW")</f>
        <v>BBW</v>
      </c>
      <c r="F536" s="211" t="str">
        <f>IFERROR(__xludf.DUMMYFUNCTION("""COMPUTED_VALUE"""),"B1G1 - Entire Store")</f>
        <v>B1G1 - Entire Store</v>
      </c>
      <c r="G536" s="212" t="str">
        <f>IFERROR(__xludf.DUMMYFUNCTION("""COMPUTED_VALUE"""),"bbw_online_smsfb_29april_buy1get1_atc")</f>
        <v>bbw_online_smsfb_29april_buy1get1_atc</v>
      </c>
      <c r="H536" s="212" t="str">
        <f>IFERROR(__xludf.DUMMYFUNCTION("""COMPUTED_VALUE"""),"Web_View_ATC_45D")</f>
        <v>Web_View_ATC_45D</v>
      </c>
      <c r="I536" s="212" t="str">
        <f>IFERROR(__xludf.DUMMYFUNCTION("""COMPUTED_VALUE"""),"WA Undelivered")</f>
        <v>WA Undelivered</v>
      </c>
      <c r="J536" s="239">
        <f>IFERROR(__xludf.DUMMYFUNCTION("""COMPUTED_VALUE"""),2189.0)</f>
        <v>2189</v>
      </c>
      <c r="K536" s="213">
        <f>IFERROR(__xludf.DUMMYFUNCTION("""COMPUTED_VALUE"""),1417.0)</f>
        <v>1417</v>
      </c>
      <c r="L536" s="214">
        <f>IFERROR(__xludf.DUMMYFUNCTION("""COMPUTED_VALUE"""),0.6473)</f>
        <v>0.6473</v>
      </c>
      <c r="M536" s="213">
        <f>IFERROR(__xludf.DUMMYFUNCTION("""COMPUTED_VALUE"""),0.0)</f>
        <v>0</v>
      </c>
      <c r="N536" s="214">
        <f>IFERROR(__xludf.DUMMYFUNCTION("""COMPUTED_VALUE"""),0.0)</f>
        <v>0</v>
      </c>
      <c r="O536" s="213">
        <f>IFERROR(__xludf.DUMMYFUNCTION("""COMPUTED_VALUE"""),24.0)</f>
        <v>24</v>
      </c>
      <c r="P536" s="213">
        <f>IFERROR(__xludf.DUMMYFUNCTION("""COMPUTED_VALUE"""),0.0)</f>
        <v>0</v>
      </c>
      <c r="Q536" s="214">
        <f>IFERROR(__xludf.DUMMYFUNCTION("""COMPUTED_VALUE"""),0.0169)</f>
        <v>0.0169</v>
      </c>
      <c r="R536" s="214">
        <f>IFERROR(__xludf.DUMMYFUNCTION("""COMPUTED_VALUE"""),0.0)</f>
        <v>0</v>
      </c>
      <c r="S536" s="101">
        <f>IFERROR(__xludf.DUMMYFUNCTION("""COMPUTED_VALUE"""),5.0)</f>
        <v>5</v>
      </c>
      <c r="T536" s="101">
        <f>IFERROR(__xludf.DUMMYFUNCTION("""COMPUTED_VALUE"""),31.0)</f>
        <v>31</v>
      </c>
      <c r="U536" s="270">
        <f>IFERROR(__xludf.DUMMYFUNCTION("""COMPUTED_VALUE"""),20780.0)</f>
        <v>20780</v>
      </c>
      <c r="V536" s="271" t="str">
        <f>IFERROR(__xludf.DUMMYFUNCTION("""COMPUTED_VALUE"""),"online")</f>
        <v>online</v>
      </c>
      <c r="W536" s="272" t="str">
        <f>IFERROR(__xludf.DUMMYFUNCTION("""COMPUTED_VALUE"""),"sms")</f>
        <v>sms</v>
      </c>
      <c r="X536" s="272" t="str">
        <f>IFERROR(__xludf.DUMMYFUNCTION("""COMPUTED_VALUE"""),"Web View")</f>
        <v>Web View</v>
      </c>
      <c r="Y536" s="272" t="str">
        <f>IFERROR(__xludf.DUMMYFUNCTION("""COMPUTED_VALUE"""),"29 Apr")</f>
        <v>29 Apr</v>
      </c>
      <c r="Z536" s="272" t="str">
        <f>IFERROR(__xludf.DUMMYFUNCTION("""COMPUTED_VALUE"""),"69f1d4ff8e8714ecd02ef01b")</f>
        <v>69f1d4ff8e8714ecd02ef01b</v>
      </c>
      <c r="AA536" s="272">
        <f>IFERROR(__xludf.DUMMYFUNCTION("""COMPUTED_VALUE"""),15.0)</f>
        <v>15</v>
      </c>
      <c r="AB536" s="272">
        <f>IFERROR(__xludf.DUMMYFUNCTION("""COMPUTED_VALUE"""),15.0)</f>
        <v>15</v>
      </c>
      <c r="AC536" s="272"/>
      <c r="AD536" s="272">
        <f>IFERROR(__xludf.DUMMYFUNCTION("""COMPUTED_VALUE"""),44130.0)</f>
        <v>44130</v>
      </c>
      <c r="AE536" s="272">
        <f>IFERROR(__xludf.DUMMYFUNCTION("""COMPUTED_VALUE"""),44130.0)</f>
        <v>44130</v>
      </c>
      <c r="AF536" s="272"/>
      <c r="AG536" s="208"/>
      <c r="AH536" s="208"/>
      <c r="AI536" s="208"/>
      <c r="AJ536" s="208"/>
      <c r="AK536" s="208"/>
    </row>
    <row r="537" hidden="1">
      <c r="A537" s="209">
        <f>IFERROR(__xludf.DUMMYFUNCTION("""COMPUTED_VALUE"""),46141.0)</f>
        <v>46141</v>
      </c>
      <c r="B537" s="210">
        <f>IFERROR(__xludf.DUMMYFUNCTION("""COMPUTED_VALUE"""),0.8125)</f>
        <v>0.8125</v>
      </c>
      <c r="C537" s="211" t="str">
        <f>IFERROR(__xludf.DUMMYFUNCTION("""COMPUTED_VALUE"""),"Sms")</f>
        <v>Sms</v>
      </c>
      <c r="D537" s="211" t="str">
        <f>IFERROR(__xludf.DUMMYFUNCTION("""COMPUTED_VALUE"""),"Fallback campaign")</f>
        <v>Fallback campaign</v>
      </c>
      <c r="E537" s="211" t="str">
        <f>IFERROR(__xludf.DUMMYFUNCTION("""COMPUTED_VALUE"""),"BBW")</f>
        <v>BBW</v>
      </c>
      <c r="F537" s="211" t="str">
        <f>IFERROR(__xludf.DUMMYFUNCTION("""COMPUTED_VALUE"""),"B1G1 - Entire Store")</f>
        <v>B1G1 - Entire Store</v>
      </c>
      <c r="G537" s="212" t="str">
        <f>IFERROR(__xludf.DUMMYFUNCTION("""COMPUTED_VALUE"""),"bbw_online_smsfb_29april_buy1get1_smsfb_clicked")</f>
        <v>bbw_online_smsfb_29april_buy1get1_smsfb_clicked</v>
      </c>
      <c r="H537" s="212" t="str">
        <f>IFERROR(__xludf.DUMMYFUNCTION("""COMPUTED_VALUE"""),"WA_Clicked_90D")</f>
        <v>WA_Clicked_90D</v>
      </c>
      <c r="I537" s="212" t="str">
        <f>IFERROR(__xludf.DUMMYFUNCTION("""COMPUTED_VALUE"""),"WA Undelivered")</f>
        <v>WA Undelivered</v>
      </c>
      <c r="J537" s="213">
        <f>IFERROR(__xludf.DUMMYFUNCTION("""COMPUTED_VALUE"""),19855.0)</f>
        <v>19855</v>
      </c>
      <c r="K537" s="213">
        <f>IFERROR(__xludf.DUMMYFUNCTION("""COMPUTED_VALUE"""),10683.0)</f>
        <v>10683</v>
      </c>
      <c r="L537" s="214">
        <f>IFERROR(__xludf.DUMMYFUNCTION("""COMPUTED_VALUE"""),0.5381)</f>
        <v>0.5381</v>
      </c>
      <c r="M537" s="213">
        <f>IFERROR(__xludf.DUMMYFUNCTION("""COMPUTED_VALUE"""),0.0)</f>
        <v>0</v>
      </c>
      <c r="N537" s="214">
        <f>IFERROR(__xludf.DUMMYFUNCTION("""COMPUTED_VALUE"""),0.0)</f>
        <v>0</v>
      </c>
      <c r="O537" s="213">
        <f>IFERROR(__xludf.DUMMYFUNCTION("""COMPUTED_VALUE"""),86.0)</f>
        <v>86</v>
      </c>
      <c r="P537" s="213">
        <f>IFERROR(__xludf.DUMMYFUNCTION("""COMPUTED_VALUE"""),0.0)</f>
        <v>0</v>
      </c>
      <c r="Q537" s="214">
        <f>IFERROR(__xludf.DUMMYFUNCTION("""COMPUTED_VALUE"""),0.0081)</f>
        <v>0.0081</v>
      </c>
      <c r="R537" s="214">
        <f>IFERROR(__xludf.DUMMYFUNCTION("""COMPUTED_VALUE"""),0.0)</f>
        <v>0</v>
      </c>
      <c r="S537" s="101">
        <f>IFERROR(__xludf.DUMMYFUNCTION("""COMPUTED_VALUE"""),2.0)</f>
        <v>2</v>
      </c>
      <c r="T537" s="101">
        <f>IFERROR(__xludf.DUMMYFUNCTION("""COMPUTED_VALUE"""),2.0)</f>
        <v>2</v>
      </c>
      <c r="U537" s="270">
        <f>IFERROR(__xludf.DUMMYFUNCTION("""COMPUTED_VALUE"""),3017.0)</f>
        <v>3017</v>
      </c>
      <c r="V537" s="271" t="str">
        <f>IFERROR(__xludf.DUMMYFUNCTION("""COMPUTED_VALUE"""),"online")</f>
        <v>online</v>
      </c>
      <c r="W537" s="272" t="str">
        <f>IFERROR(__xludf.DUMMYFUNCTION("""COMPUTED_VALUE"""),"sms")</f>
        <v>sms</v>
      </c>
      <c r="X537" s="272" t="str">
        <f>IFERROR(__xludf.DUMMYFUNCTION("""COMPUTED_VALUE"""),"WhatsApp Engage")</f>
        <v>WhatsApp Engage</v>
      </c>
      <c r="Y537" s="272" t="str">
        <f>IFERROR(__xludf.DUMMYFUNCTION("""COMPUTED_VALUE"""),"29 Apr")</f>
        <v>29 Apr</v>
      </c>
      <c r="Z537" s="272" t="str">
        <f>IFERROR(__xludf.DUMMYFUNCTION("""COMPUTED_VALUE"""),"69f1d53e6d0bdc944f71c86d")</f>
        <v>69f1d53e6d0bdc944f71c86d</v>
      </c>
      <c r="AA537" s="272">
        <f>IFERROR(__xludf.DUMMYFUNCTION("""COMPUTED_VALUE"""),8.0)</f>
        <v>8</v>
      </c>
      <c r="AB537" s="272">
        <f>IFERROR(__xludf.DUMMYFUNCTION("""COMPUTED_VALUE"""),8.0)</f>
        <v>8</v>
      </c>
      <c r="AC537" s="272"/>
      <c r="AD537" s="272">
        <f>IFERROR(__xludf.DUMMYFUNCTION("""COMPUTED_VALUE"""),22053.0)</f>
        <v>22053</v>
      </c>
      <c r="AE537" s="272">
        <f>IFERROR(__xludf.DUMMYFUNCTION("""COMPUTED_VALUE"""),22053.0)</f>
        <v>22053</v>
      </c>
      <c r="AF537" s="272"/>
      <c r="AG537" s="208"/>
      <c r="AH537" s="208"/>
      <c r="AI537" s="208"/>
      <c r="AJ537" s="208"/>
      <c r="AK537" s="208"/>
    </row>
    <row r="538" hidden="1">
      <c r="A538" s="209">
        <f>IFERROR(__xludf.DUMMYFUNCTION("""COMPUTED_VALUE"""),46142.0)</f>
        <v>46142</v>
      </c>
      <c r="B538" s="210">
        <f>IFERROR(__xludf.DUMMYFUNCTION("""COMPUTED_VALUE"""),0.4791666666678793)</f>
        <v>0.4791666667</v>
      </c>
      <c r="C538" s="211" t="str">
        <f>IFERROR(__xludf.DUMMYFUNCTION("""COMPUTED_VALUE"""),"Whatsapp")</f>
        <v>Whatsapp</v>
      </c>
      <c r="D538" s="211" t="str">
        <f>IFERROR(__xludf.DUMMYFUNCTION("""COMPUTED_VALUE"""),"Promtional")</f>
        <v>Promtional</v>
      </c>
      <c r="E538" s="211" t="str">
        <f>IFERROR(__xludf.DUMMYFUNCTION("""COMPUTED_VALUE"""),"BBW")</f>
        <v>BBW</v>
      </c>
      <c r="F538" s="211" t="str">
        <f>IFERROR(__xludf.DUMMYFUNCTION("""COMPUTED_VALUE"""),"B1G1 - Entire Store")</f>
        <v>B1G1 - Entire Store</v>
      </c>
      <c r="G538" s="212" t="str">
        <f>IFERROR(__xludf.DUMMYFUNCTION("""COMPUTED_VALUE"""),"bbw_offline_wa_30april_buy1get1_loyal")</f>
        <v>bbw_offline_wa_30april_buy1get1_loyal</v>
      </c>
      <c r="H538" s="212" t="str">
        <f>IFERROR(__xludf.DUMMYFUNCTION("""COMPUTED_VALUE"""),"Loyal_OFF")</f>
        <v>Loyal_OFF</v>
      </c>
      <c r="I538" s="212" t="str">
        <f>IFERROR(__xludf.DUMMYFUNCTION("""COMPUTED_VALUE"""),"Offline Customers who have 4 or more purchases in last 12 Months")</f>
        <v>Offline Customers who have 4 or more purchases in last 12 Months</v>
      </c>
      <c r="J538" s="213">
        <f>IFERROR(__xludf.DUMMYFUNCTION("""COMPUTED_VALUE"""),10691.0)</f>
        <v>10691</v>
      </c>
      <c r="K538" s="213">
        <f>IFERROR(__xludf.DUMMYFUNCTION("""COMPUTED_VALUE"""),5276.0)</f>
        <v>5276</v>
      </c>
      <c r="L538" s="214">
        <f>IFERROR(__xludf.DUMMYFUNCTION("""COMPUTED_VALUE"""),0.4935)</f>
        <v>0.4935</v>
      </c>
      <c r="M538" s="213">
        <f>IFERROR(__xludf.DUMMYFUNCTION("""COMPUTED_VALUE"""),1974.0)</f>
        <v>1974</v>
      </c>
      <c r="N538" s="214">
        <f>IFERROR(__xludf.DUMMYFUNCTION("""COMPUTED_VALUE"""),0.3741)</f>
        <v>0.3741</v>
      </c>
      <c r="O538" s="213">
        <f>IFERROR(__xludf.DUMMYFUNCTION("""COMPUTED_VALUE"""),190.0)</f>
        <v>190</v>
      </c>
      <c r="P538" s="213">
        <f>IFERROR(__xludf.DUMMYFUNCTION("""COMPUTED_VALUE"""),179.0)</f>
        <v>179</v>
      </c>
      <c r="Q538" s="214">
        <f>IFERROR(__xludf.DUMMYFUNCTION("""COMPUTED_VALUE"""),0.0339)</f>
        <v>0.0339</v>
      </c>
      <c r="R538" s="214">
        <f>IFERROR(__xludf.DUMMYFUNCTION("""COMPUTED_VALUE"""),0.0907)</f>
        <v>0.0907</v>
      </c>
      <c r="S538" s="101">
        <f>IFERROR(__xludf.DUMMYFUNCTION("""COMPUTED_VALUE"""),0.0)</f>
        <v>0</v>
      </c>
      <c r="T538" s="101">
        <f>IFERROR(__xludf.DUMMYFUNCTION("""COMPUTED_VALUE"""),3.0)</f>
        <v>3</v>
      </c>
      <c r="U538" s="270">
        <f>IFERROR(__xludf.DUMMYFUNCTION("""COMPUTED_VALUE"""),0.0)</f>
        <v>0</v>
      </c>
      <c r="V538" s="271" t="str">
        <f>IFERROR(__xludf.DUMMYFUNCTION("""COMPUTED_VALUE"""),"offline")</f>
        <v>offline</v>
      </c>
      <c r="W538" s="272" t="str">
        <f>IFERROR(__xludf.DUMMYFUNCTION("""COMPUTED_VALUE"""),"simple")</f>
        <v>simple</v>
      </c>
      <c r="X538" s="272" t="str">
        <f>IFERROR(__xludf.DUMMYFUNCTION("""COMPUTED_VALUE"""),"Loyal")</f>
        <v>Loyal</v>
      </c>
      <c r="Y538" s="272" t="str">
        <f>IFERROR(__xludf.DUMMYFUNCTION("""COMPUTED_VALUE"""),"30 - 2 May")</f>
        <v>30 - 2 May</v>
      </c>
      <c r="Z538" s="272" t="str">
        <f>IFERROR(__xludf.DUMMYFUNCTION("""COMPUTED_VALUE"""),"69f1d19195342413fe0b2694")</f>
        <v>69f1d19195342413fe0b2694</v>
      </c>
      <c r="AA538" s="272">
        <f>IFERROR(__xludf.DUMMYFUNCTION("""COMPUTED_VALUE"""),168.0)</f>
        <v>168</v>
      </c>
      <c r="AB538" s="272"/>
      <c r="AC538" s="272">
        <f>IFERROR(__xludf.DUMMYFUNCTION("""COMPUTED_VALUE"""),168.0)</f>
        <v>168</v>
      </c>
      <c r="AD538" s="272">
        <f>IFERROR(__xludf.DUMMYFUNCTION("""COMPUTED_VALUE"""),741478.0)</f>
        <v>741478</v>
      </c>
      <c r="AE538" s="272"/>
      <c r="AF538" s="272">
        <f>IFERROR(__xludf.DUMMYFUNCTION("""COMPUTED_VALUE"""),741478.0)</f>
        <v>741478</v>
      </c>
      <c r="AG538" s="208"/>
      <c r="AH538" s="208"/>
      <c r="AI538" s="208"/>
      <c r="AJ538" s="208"/>
      <c r="AK538" s="208"/>
    </row>
    <row r="539" hidden="1">
      <c r="A539" s="209">
        <f>IFERROR(__xludf.DUMMYFUNCTION("""COMPUTED_VALUE"""),46142.0)</f>
        <v>46142</v>
      </c>
      <c r="B539" s="210">
        <f>IFERROR(__xludf.DUMMYFUNCTION("""COMPUTED_VALUE"""),0.4791666666678793)</f>
        <v>0.4791666667</v>
      </c>
      <c r="C539" s="211" t="str">
        <f>IFERROR(__xludf.DUMMYFUNCTION("""COMPUTED_VALUE"""),"Whatsapp")</f>
        <v>Whatsapp</v>
      </c>
      <c r="D539" s="211" t="str">
        <f>IFERROR(__xludf.DUMMYFUNCTION("""COMPUTED_VALUE"""),"Promtional")</f>
        <v>Promtional</v>
      </c>
      <c r="E539" s="211" t="str">
        <f>IFERROR(__xludf.DUMMYFUNCTION("""COMPUTED_VALUE"""),"BBW")</f>
        <v>BBW</v>
      </c>
      <c r="F539" s="211" t="str">
        <f>IFERROR(__xludf.DUMMYFUNCTION("""COMPUTED_VALUE"""),"B1G1 - Entire Store")</f>
        <v>B1G1 - Entire Store</v>
      </c>
      <c r="G539" s="212" t="str">
        <f>IFERROR(__xludf.DUMMYFUNCTION("""COMPUTED_VALUE"""),"bbw_offline_wa_30april_buy1get1_bundle_buyers")</f>
        <v>bbw_offline_wa_30april_buy1get1_bundle_buyers</v>
      </c>
      <c r="H539" s="212" t="str">
        <f>IFERROR(__xludf.DUMMYFUNCTION("""COMPUTED_VALUE"""),"UPT_Min_3_OFF")</f>
        <v>UPT_Min_3_OFF</v>
      </c>
      <c r="I539" s="212" t="str">
        <f>IFERROR(__xludf.DUMMYFUNCTION("""COMPUTED_VALUE"""),"Offline Customers who bought 3+ products during each purchase in the last 6 months")</f>
        <v>Offline Customers who bought 3+ products during each purchase in the last 6 months</v>
      </c>
      <c r="J539" s="213">
        <f>IFERROR(__xludf.DUMMYFUNCTION("""COMPUTED_VALUE"""),71583.0)</f>
        <v>71583</v>
      </c>
      <c r="K539" s="213">
        <f>IFERROR(__xludf.DUMMYFUNCTION("""COMPUTED_VALUE"""),37541.0)</f>
        <v>37541</v>
      </c>
      <c r="L539" s="214">
        <f>IFERROR(__xludf.DUMMYFUNCTION("""COMPUTED_VALUE"""),0.5244)</f>
        <v>0.5244</v>
      </c>
      <c r="M539" s="213">
        <f>IFERROR(__xludf.DUMMYFUNCTION("""COMPUTED_VALUE"""),13524.0)</f>
        <v>13524</v>
      </c>
      <c r="N539" s="214">
        <f>IFERROR(__xludf.DUMMYFUNCTION("""COMPUTED_VALUE"""),0.3603)</f>
        <v>0.3603</v>
      </c>
      <c r="O539" s="213">
        <f>IFERROR(__xludf.DUMMYFUNCTION("""COMPUTED_VALUE"""),995.0)</f>
        <v>995</v>
      </c>
      <c r="P539" s="213">
        <f>IFERROR(__xludf.DUMMYFUNCTION("""COMPUTED_VALUE"""),943.0)</f>
        <v>943</v>
      </c>
      <c r="Q539" s="214">
        <f>IFERROR(__xludf.DUMMYFUNCTION("""COMPUTED_VALUE"""),0.0251)</f>
        <v>0.0251</v>
      </c>
      <c r="R539" s="214">
        <f>IFERROR(__xludf.DUMMYFUNCTION("""COMPUTED_VALUE"""),0.0697)</f>
        <v>0.0697</v>
      </c>
      <c r="S539" s="101">
        <f>IFERROR(__xludf.DUMMYFUNCTION("""COMPUTED_VALUE"""),7.0)</f>
        <v>7</v>
      </c>
      <c r="T539" s="101">
        <f>IFERROR(__xludf.DUMMYFUNCTION("""COMPUTED_VALUE"""),23.0)</f>
        <v>23</v>
      </c>
      <c r="U539" s="270">
        <f>IFERROR(__xludf.DUMMYFUNCTION("""COMPUTED_VALUE"""),26904.0)</f>
        <v>26904</v>
      </c>
      <c r="V539" s="271" t="str">
        <f>IFERROR(__xludf.DUMMYFUNCTION("""COMPUTED_VALUE"""),"offline")</f>
        <v>offline</v>
      </c>
      <c r="W539" s="272" t="str">
        <f>IFERROR(__xludf.DUMMYFUNCTION("""COMPUTED_VALUE"""),"simple")</f>
        <v>simple</v>
      </c>
      <c r="X539" s="272" t="str">
        <f>IFERROR(__xludf.DUMMYFUNCTION("""COMPUTED_VALUE"""),"Cart Qty")</f>
        <v>Cart Qty</v>
      </c>
      <c r="Y539" s="272" t="str">
        <f>IFERROR(__xludf.DUMMYFUNCTION("""COMPUTED_VALUE"""),"30 - 2 May")</f>
        <v>30 - 2 May</v>
      </c>
      <c r="Z539" s="272" t="str">
        <f>IFERROR(__xludf.DUMMYFUNCTION("""COMPUTED_VALUE"""),"69f1d2189e9f540c91b08f2d")</f>
        <v>69f1d2189e9f540c91b08f2d</v>
      </c>
      <c r="AA539" s="272">
        <f>IFERROR(__xludf.DUMMYFUNCTION("""COMPUTED_VALUE"""),233.0)</f>
        <v>233</v>
      </c>
      <c r="AB539" s="272"/>
      <c r="AC539" s="272">
        <f>IFERROR(__xludf.DUMMYFUNCTION("""COMPUTED_VALUE"""),233.0)</f>
        <v>233</v>
      </c>
      <c r="AD539" s="272">
        <f>IFERROR(__xludf.DUMMYFUNCTION("""COMPUTED_VALUE"""),1062471.0)</f>
        <v>1062471</v>
      </c>
      <c r="AE539" s="272"/>
      <c r="AF539" s="272">
        <f>IFERROR(__xludf.DUMMYFUNCTION("""COMPUTED_VALUE"""),1062471.0)</f>
        <v>1062471</v>
      </c>
      <c r="AG539" s="208"/>
      <c r="AH539" s="208"/>
      <c r="AI539" s="208"/>
      <c r="AJ539" s="208"/>
      <c r="AK539" s="208"/>
    </row>
    <row r="540" hidden="1">
      <c r="A540" s="209">
        <f>IFERROR(__xludf.DUMMYFUNCTION("""COMPUTED_VALUE"""),46142.0)</f>
        <v>46142</v>
      </c>
      <c r="B540" s="210">
        <f>IFERROR(__xludf.DUMMYFUNCTION("""COMPUTED_VALUE"""),0.4791666666678793)</f>
        <v>0.4791666667</v>
      </c>
      <c r="C540" s="211" t="str">
        <f>IFERROR(__xludf.DUMMYFUNCTION("""COMPUTED_VALUE"""),"Whatsapp")</f>
        <v>Whatsapp</v>
      </c>
      <c r="D540" s="211" t="str">
        <f>IFERROR(__xludf.DUMMYFUNCTION("""COMPUTED_VALUE"""),"Promtional")</f>
        <v>Promtional</v>
      </c>
      <c r="E540" s="211" t="str">
        <f>IFERROR(__xludf.DUMMYFUNCTION("""COMPUTED_VALUE"""),"BBW")</f>
        <v>BBW</v>
      </c>
      <c r="F540" s="211" t="str">
        <f>IFERROR(__xludf.DUMMYFUNCTION("""COMPUTED_VALUE"""),"B1G1 - Entire Store")</f>
        <v>B1G1 - Entire Store</v>
      </c>
      <c r="G540" s="212" t="str">
        <f>IFERROR(__xludf.DUMMYFUNCTION("""COMPUTED_VALUE"""),"bbw_offline_wa_30april_buy1get1_aov_relevant")</f>
        <v>bbw_offline_wa_30april_buy1get1_aov_relevant</v>
      </c>
      <c r="H540" s="212" t="str">
        <f>IFERROR(__xludf.DUMMYFUNCTION("""COMPUTED_VALUE"""),"AOV_Max_2699_365D_OFF")</f>
        <v>AOV_Max_2699_365D_OFF</v>
      </c>
      <c r="I540" s="212" t="str">
        <f>IFERROR(__xludf.DUMMYFUNCTION("""COMPUTED_VALUE"""),"Offline Customers with AOV less than 2999 &gt; Last 6 Months")</f>
        <v>Offline Customers with AOV less than 2999 &gt; Last 6 Months</v>
      </c>
      <c r="J540" s="213">
        <f>IFERROR(__xludf.DUMMYFUNCTION("""COMPUTED_VALUE"""),117057.0)</f>
        <v>117057</v>
      </c>
      <c r="K540" s="213">
        <f>IFERROR(__xludf.DUMMYFUNCTION("""COMPUTED_VALUE"""),64812.0)</f>
        <v>64812</v>
      </c>
      <c r="L540" s="214">
        <f>IFERROR(__xludf.DUMMYFUNCTION("""COMPUTED_VALUE"""),0.5537)</f>
        <v>0.5537</v>
      </c>
      <c r="M540" s="213">
        <f>IFERROR(__xludf.DUMMYFUNCTION("""COMPUTED_VALUE"""),23069.0)</f>
        <v>23069</v>
      </c>
      <c r="N540" s="214">
        <f>IFERROR(__xludf.DUMMYFUNCTION("""COMPUTED_VALUE"""),0.3559)</f>
        <v>0.3559</v>
      </c>
      <c r="O540" s="213">
        <f>IFERROR(__xludf.DUMMYFUNCTION("""COMPUTED_VALUE"""),1967.0)</f>
        <v>1967</v>
      </c>
      <c r="P540" s="213">
        <f>IFERROR(__xludf.DUMMYFUNCTION("""COMPUTED_VALUE"""),1857.0)</f>
        <v>1857</v>
      </c>
      <c r="Q540" s="214">
        <f>IFERROR(__xludf.DUMMYFUNCTION("""COMPUTED_VALUE"""),0.0287)</f>
        <v>0.0287</v>
      </c>
      <c r="R540" s="214">
        <f>IFERROR(__xludf.DUMMYFUNCTION("""COMPUTED_VALUE"""),0.0805)</f>
        <v>0.0805</v>
      </c>
      <c r="S540" s="101">
        <f>IFERROR(__xludf.DUMMYFUNCTION("""COMPUTED_VALUE"""),12.0)</f>
        <v>12</v>
      </c>
      <c r="T540" s="101">
        <f>IFERROR(__xludf.DUMMYFUNCTION("""COMPUTED_VALUE"""),29.0)</f>
        <v>29</v>
      </c>
      <c r="U540" s="270">
        <f>IFERROR(__xludf.DUMMYFUNCTION("""COMPUTED_VALUE"""),50761.0)</f>
        <v>50761</v>
      </c>
      <c r="V540" s="271" t="str">
        <f>IFERROR(__xludf.DUMMYFUNCTION("""COMPUTED_VALUE"""),"offline")</f>
        <v>offline</v>
      </c>
      <c r="W540" s="272" t="str">
        <f>IFERROR(__xludf.DUMMYFUNCTION("""COMPUTED_VALUE"""),"simple")</f>
        <v>simple</v>
      </c>
      <c r="X540" s="272" t="str">
        <f>IFERROR(__xludf.DUMMYFUNCTION("""COMPUTED_VALUE"""),"AOV &gt; 2699")</f>
        <v>AOV &gt; 2699</v>
      </c>
      <c r="Y540" s="272" t="str">
        <f>IFERROR(__xludf.DUMMYFUNCTION("""COMPUTED_VALUE"""),"30 - 2 May")</f>
        <v>30 - 2 May</v>
      </c>
      <c r="Z540" s="272" t="str">
        <f>IFERROR(__xludf.DUMMYFUNCTION("""COMPUTED_VALUE"""),"69f1d23e786c43432d332ddb")</f>
        <v>69f1d23e786c43432d332ddb</v>
      </c>
      <c r="AA540" s="272">
        <f>IFERROR(__xludf.DUMMYFUNCTION("""COMPUTED_VALUE"""),312.0)</f>
        <v>312</v>
      </c>
      <c r="AB540" s="272"/>
      <c r="AC540" s="272">
        <f>IFERROR(__xludf.DUMMYFUNCTION("""COMPUTED_VALUE"""),312.0)</f>
        <v>312</v>
      </c>
      <c r="AD540" s="272">
        <f>IFERROR(__xludf.DUMMYFUNCTION("""COMPUTED_VALUE"""),810302.0)</f>
        <v>810302</v>
      </c>
      <c r="AE540" s="272"/>
      <c r="AF540" s="272">
        <f>IFERROR(__xludf.DUMMYFUNCTION("""COMPUTED_VALUE"""),810302.0)</f>
        <v>810302</v>
      </c>
      <c r="AG540" s="208"/>
      <c r="AH540" s="208"/>
      <c r="AI540" s="208"/>
      <c r="AJ540" s="208"/>
      <c r="AK540" s="208"/>
    </row>
    <row r="541" hidden="1">
      <c r="A541" s="209">
        <f>IFERROR(__xludf.DUMMYFUNCTION("""COMPUTED_VALUE"""),46142.0)</f>
        <v>46142</v>
      </c>
      <c r="B541" s="210">
        <f>IFERROR(__xludf.DUMMYFUNCTION("""COMPUTED_VALUE"""),0.4791666666678793)</f>
        <v>0.4791666667</v>
      </c>
      <c r="C541" s="211" t="str">
        <f>IFERROR(__xludf.DUMMYFUNCTION("""COMPUTED_VALUE"""),"Whatsapp")</f>
        <v>Whatsapp</v>
      </c>
      <c r="D541" s="211" t="str">
        <f>IFERROR(__xludf.DUMMYFUNCTION("""COMPUTED_VALUE"""),"Promtional")</f>
        <v>Promtional</v>
      </c>
      <c r="E541" s="211" t="str">
        <f>IFERROR(__xludf.DUMMYFUNCTION("""COMPUTED_VALUE"""),"BBW")</f>
        <v>BBW</v>
      </c>
      <c r="F541" s="211" t="str">
        <f>IFERROR(__xludf.DUMMYFUNCTION("""COMPUTED_VALUE"""),"B1G1 - Entire Store")</f>
        <v>B1G1 - Entire Store</v>
      </c>
      <c r="G541" s="212" t="str">
        <f>IFERROR(__xludf.DUMMYFUNCTION("""COMPUTED_VALUE"""),"bbw_offline_wa_30april_buy1get1_repeat")</f>
        <v>bbw_offline_wa_30april_buy1get1_repeat</v>
      </c>
      <c r="H541" s="212" t="str">
        <f>IFERROR(__xludf.DUMMYFUNCTION("""COMPUTED_VALUE"""),"Repeat_OFF")</f>
        <v>Repeat_OFF</v>
      </c>
      <c r="I541" s="212" t="str">
        <f>IFERROR(__xludf.DUMMYFUNCTION("""COMPUTED_VALUE"""),"Offline Customers who have purchased at least 2 times in the last 6 Months")</f>
        <v>Offline Customers who have purchased at least 2 times in the last 6 Months</v>
      </c>
      <c r="J541" s="213">
        <f>IFERROR(__xludf.DUMMYFUNCTION("""COMPUTED_VALUE"""),21507.0)</f>
        <v>21507</v>
      </c>
      <c r="K541" s="213">
        <f>IFERROR(__xludf.DUMMYFUNCTION("""COMPUTED_VALUE"""),11286.0)</f>
        <v>11286</v>
      </c>
      <c r="L541" s="214">
        <f>IFERROR(__xludf.DUMMYFUNCTION("""COMPUTED_VALUE"""),0.5247)</f>
        <v>0.5247</v>
      </c>
      <c r="M541" s="213">
        <f>IFERROR(__xludf.DUMMYFUNCTION("""COMPUTED_VALUE"""),4089.0)</f>
        <v>4089</v>
      </c>
      <c r="N541" s="214">
        <f>IFERROR(__xludf.DUMMYFUNCTION("""COMPUTED_VALUE"""),0.3623)</f>
        <v>0.3623</v>
      </c>
      <c r="O541" s="213">
        <f>IFERROR(__xludf.DUMMYFUNCTION("""COMPUTED_VALUE"""),372.0)</f>
        <v>372</v>
      </c>
      <c r="P541" s="213">
        <f>IFERROR(__xludf.DUMMYFUNCTION("""COMPUTED_VALUE"""),340.0)</f>
        <v>340</v>
      </c>
      <c r="Q541" s="214">
        <f>IFERROR(__xludf.DUMMYFUNCTION("""COMPUTED_VALUE"""),0.0301)</f>
        <v>0.0301</v>
      </c>
      <c r="R541" s="214">
        <f>IFERROR(__xludf.DUMMYFUNCTION("""COMPUTED_VALUE"""),0.0831)</f>
        <v>0.0831</v>
      </c>
      <c r="S541" s="101">
        <f>IFERROR(__xludf.DUMMYFUNCTION("""COMPUTED_VALUE"""),3.0)</f>
        <v>3</v>
      </c>
      <c r="T541" s="101">
        <f>IFERROR(__xludf.DUMMYFUNCTION("""COMPUTED_VALUE"""),11.0)</f>
        <v>11</v>
      </c>
      <c r="U541" s="270">
        <f>IFERROR(__xludf.DUMMYFUNCTION("""COMPUTED_VALUE"""),22929.0)</f>
        <v>22929</v>
      </c>
      <c r="V541" s="271" t="str">
        <f>IFERROR(__xludf.DUMMYFUNCTION("""COMPUTED_VALUE"""),"offline")</f>
        <v>offline</v>
      </c>
      <c r="W541" s="272" t="str">
        <f>IFERROR(__xludf.DUMMYFUNCTION("""COMPUTED_VALUE"""),"simple")</f>
        <v>simple</v>
      </c>
      <c r="X541" s="272" t="str">
        <f>IFERROR(__xludf.DUMMYFUNCTION("""COMPUTED_VALUE"""),"Repeat")</f>
        <v>Repeat</v>
      </c>
      <c r="Y541" s="272" t="str">
        <f>IFERROR(__xludf.DUMMYFUNCTION("""COMPUTED_VALUE"""),"30 - 2 May")</f>
        <v>30 - 2 May</v>
      </c>
      <c r="Z541" s="272" t="str">
        <f>IFERROR(__xludf.DUMMYFUNCTION("""COMPUTED_VALUE"""),"69f1d258b228e7382dec5f58")</f>
        <v>69f1d258b228e7382dec5f58</v>
      </c>
      <c r="AA541" s="272">
        <f>IFERROR(__xludf.DUMMYFUNCTION("""COMPUTED_VALUE"""),132.0)</f>
        <v>132</v>
      </c>
      <c r="AB541" s="272"/>
      <c r="AC541" s="272">
        <f>IFERROR(__xludf.DUMMYFUNCTION("""COMPUTED_VALUE"""),132.0)</f>
        <v>132</v>
      </c>
      <c r="AD541" s="272">
        <f>IFERROR(__xludf.DUMMYFUNCTION("""COMPUTED_VALUE"""),521537.0)</f>
        <v>521537</v>
      </c>
      <c r="AE541" s="272"/>
      <c r="AF541" s="272">
        <f>IFERROR(__xludf.DUMMYFUNCTION("""COMPUTED_VALUE"""),521537.0)</f>
        <v>521537</v>
      </c>
      <c r="AG541" s="208"/>
      <c r="AH541" s="208"/>
      <c r="AI541" s="208"/>
      <c r="AJ541" s="208"/>
      <c r="AK541" s="208"/>
    </row>
    <row r="542" hidden="1">
      <c r="A542" s="209">
        <f>IFERROR(__xludf.DUMMYFUNCTION("""COMPUTED_VALUE"""),46142.0)</f>
        <v>46142</v>
      </c>
      <c r="B542" s="210">
        <f>IFERROR(__xludf.DUMMYFUNCTION("""COMPUTED_VALUE"""),0.4791666666678793)</f>
        <v>0.4791666667</v>
      </c>
      <c r="C542" s="211" t="str">
        <f>IFERROR(__xludf.DUMMYFUNCTION("""COMPUTED_VALUE"""),"Whatsapp")</f>
        <v>Whatsapp</v>
      </c>
      <c r="D542" s="211" t="str">
        <f>IFERROR(__xludf.DUMMYFUNCTION("""COMPUTED_VALUE"""),"Promtional")</f>
        <v>Promtional</v>
      </c>
      <c r="E542" s="211" t="str">
        <f>IFERROR(__xludf.DUMMYFUNCTION("""COMPUTED_VALUE"""),"BBW")</f>
        <v>BBW</v>
      </c>
      <c r="F542" s="211" t="str">
        <f>IFERROR(__xludf.DUMMYFUNCTION("""COMPUTED_VALUE"""),"B1G1 - Entire Store")</f>
        <v>B1G1 - Entire Store</v>
      </c>
      <c r="G542" s="212" t="str">
        <f>IFERROR(__xludf.DUMMYFUNCTION("""COMPUTED_VALUE"""),"bbw_offline_wa_30april_buy1get1_dormant")</f>
        <v>bbw_offline_wa_30april_buy1get1_dormant</v>
      </c>
      <c r="H542" s="212" t="str">
        <f>IFERROR(__xludf.DUMMYFUNCTION("""COMPUTED_VALUE"""),"Dorm_90_365_OFF")</f>
        <v>Dorm_90_365_OFF</v>
      </c>
      <c r="I542" s="212" t="str">
        <f>IFERROR(__xludf.DUMMYFUNCTION("""COMPUTED_VALUE"""),"Offline Customers who placed at least 1 order in between 90 days ago and 365 days ago")</f>
        <v>Offline Customers who placed at least 1 order in between 90 days ago and 365 days ago</v>
      </c>
      <c r="J542" s="213">
        <f>IFERROR(__xludf.DUMMYFUNCTION("""COMPUTED_VALUE"""),202959.0)</f>
        <v>202959</v>
      </c>
      <c r="K542" s="213">
        <f>IFERROR(__xludf.DUMMYFUNCTION("""COMPUTED_VALUE"""),107542.0)</f>
        <v>107542</v>
      </c>
      <c r="L542" s="214">
        <f>IFERROR(__xludf.DUMMYFUNCTION("""COMPUTED_VALUE"""),0.5298)</f>
        <v>0.5298</v>
      </c>
      <c r="M542" s="213">
        <f>IFERROR(__xludf.DUMMYFUNCTION("""COMPUTED_VALUE"""),36380.0)</f>
        <v>36380</v>
      </c>
      <c r="N542" s="214">
        <f>IFERROR(__xludf.DUMMYFUNCTION("""COMPUTED_VALUE"""),0.3383)</f>
        <v>0.3383</v>
      </c>
      <c r="O542" s="213">
        <f>IFERROR(__xludf.DUMMYFUNCTION("""COMPUTED_VALUE"""),2734.0)</f>
        <v>2734</v>
      </c>
      <c r="P542" s="213">
        <f>IFERROR(__xludf.DUMMYFUNCTION("""COMPUTED_VALUE"""),2566.0)</f>
        <v>2566</v>
      </c>
      <c r="Q542" s="214">
        <f>IFERROR(__xludf.DUMMYFUNCTION("""COMPUTED_VALUE"""),0.0239)</f>
        <v>0.0239</v>
      </c>
      <c r="R542" s="214">
        <f>IFERROR(__xludf.DUMMYFUNCTION("""COMPUTED_VALUE"""),0.0705)</f>
        <v>0.0705</v>
      </c>
      <c r="S542" s="101">
        <f>IFERROR(__xludf.DUMMYFUNCTION("""COMPUTED_VALUE"""),13.0)</f>
        <v>13</v>
      </c>
      <c r="T542" s="101">
        <f>IFERROR(__xludf.DUMMYFUNCTION("""COMPUTED_VALUE"""),38.0)</f>
        <v>38</v>
      </c>
      <c r="U542" s="270">
        <f>IFERROR(__xludf.DUMMYFUNCTION("""COMPUTED_VALUE"""),54741.0)</f>
        <v>54741</v>
      </c>
      <c r="V542" s="271" t="str">
        <f>IFERROR(__xludf.DUMMYFUNCTION("""COMPUTED_VALUE"""),"offline")</f>
        <v>offline</v>
      </c>
      <c r="W542" s="272" t="str">
        <f>IFERROR(__xludf.DUMMYFUNCTION("""COMPUTED_VALUE"""),"simple")</f>
        <v>simple</v>
      </c>
      <c r="X542" s="272" t="str">
        <f>IFERROR(__xludf.DUMMYFUNCTION("""COMPUTED_VALUE"""),"Dormant")</f>
        <v>Dormant</v>
      </c>
      <c r="Y542" s="272" t="str">
        <f>IFERROR(__xludf.DUMMYFUNCTION("""COMPUTED_VALUE"""),"30 - 2 May")</f>
        <v>30 - 2 May</v>
      </c>
      <c r="Z542" s="272" t="str">
        <f>IFERROR(__xludf.DUMMYFUNCTION("""COMPUTED_VALUE"""),"69f1d29d8e8714ecd02eef73")</f>
        <v>69f1d29d8e8714ecd02eef73</v>
      </c>
      <c r="AA542" s="272">
        <f>IFERROR(__xludf.DUMMYFUNCTION("""COMPUTED_VALUE"""),489.0)</f>
        <v>489</v>
      </c>
      <c r="AB542" s="272"/>
      <c r="AC542" s="272">
        <f>IFERROR(__xludf.DUMMYFUNCTION("""COMPUTED_VALUE"""),489.0)</f>
        <v>489</v>
      </c>
      <c r="AD542" s="272">
        <f>IFERROR(__xludf.DUMMYFUNCTION("""COMPUTED_VALUE"""),1745587.0)</f>
        <v>1745587</v>
      </c>
      <c r="AE542" s="272"/>
      <c r="AF542" s="272">
        <f>IFERROR(__xludf.DUMMYFUNCTION("""COMPUTED_VALUE"""),1745587.0)</f>
        <v>1745587</v>
      </c>
      <c r="AG542" s="208"/>
      <c r="AH542" s="208"/>
      <c r="AI542" s="208"/>
      <c r="AJ542" s="208"/>
      <c r="AK542" s="208"/>
    </row>
    <row r="543" hidden="1">
      <c r="A543" s="209">
        <f>IFERROR(__xludf.DUMMYFUNCTION("""COMPUTED_VALUE"""),46142.0)</f>
        <v>46142</v>
      </c>
      <c r="B543" s="210">
        <f>IFERROR(__xludf.DUMMYFUNCTION("""COMPUTED_VALUE"""),0.5416666666678793)</f>
        <v>0.5416666667</v>
      </c>
      <c r="C543" s="211" t="str">
        <f>IFERROR(__xludf.DUMMYFUNCTION("""COMPUTED_VALUE"""),"Sms")</f>
        <v>Sms</v>
      </c>
      <c r="D543" s="211" t="str">
        <f>IFERROR(__xludf.DUMMYFUNCTION("""COMPUTED_VALUE"""),"Fallback campaign")</f>
        <v>Fallback campaign</v>
      </c>
      <c r="E543" s="211" t="str">
        <f>IFERROR(__xludf.DUMMYFUNCTION("""COMPUTED_VALUE"""),"BBW")</f>
        <v>BBW</v>
      </c>
      <c r="F543" s="211" t="str">
        <f>IFERROR(__xludf.DUMMYFUNCTION("""COMPUTED_VALUE"""),"B1G1 - Entire Store")</f>
        <v>B1G1 - Entire Store</v>
      </c>
      <c r="G543" s="212" t="str">
        <f>IFERROR(__xludf.DUMMYFUNCTION("""COMPUTED_VALUE"""),"bbw_offline_smsfb_2april_buy1get1_loyal")</f>
        <v>bbw_offline_smsfb_2april_buy1get1_loyal</v>
      </c>
      <c r="H543" s="212" t="str">
        <f>IFERROR(__xludf.DUMMYFUNCTION("""COMPUTED_VALUE"""),"Loyal_OFF")</f>
        <v>Loyal_OFF</v>
      </c>
      <c r="I543" s="212" t="str">
        <f>IFERROR(__xludf.DUMMYFUNCTION("""COMPUTED_VALUE"""),"WA Undelivered")</f>
        <v>WA Undelivered</v>
      </c>
      <c r="J543" s="213">
        <f>IFERROR(__xludf.DUMMYFUNCTION("""COMPUTED_VALUE"""),5207.0)</f>
        <v>5207</v>
      </c>
      <c r="K543" s="213">
        <f>IFERROR(__xludf.DUMMYFUNCTION("""COMPUTED_VALUE"""),2674.0)</f>
        <v>2674</v>
      </c>
      <c r="L543" s="214">
        <f>IFERROR(__xludf.DUMMYFUNCTION("""COMPUTED_VALUE"""),0.5135)</f>
        <v>0.5135</v>
      </c>
      <c r="M543" s="213">
        <f>IFERROR(__xludf.DUMMYFUNCTION("""COMPUTED_VALUE"""),0.0)</f>
        <v>0</v>
      </c>
      <c r="N543" s="214">
        <f>IFERROR(__xludf.DUMMYFUNCTION("""COMPUTED_VALUE"""),0.0)</f>
        <v>0</v>
      </c>
      <c r="O543" s="213">
        <f>IFERROR(__xludf.DUMMYFUNCTION("""COMPUTED_VALUE"""),8.0)</f>
        <v>8</v>
      </c>
      <c r="P543" s="213">
        <f>IFERROR(__xludf.DUMMYFUNCTION("""COMPUTED_VALUE"""),0.0)</f>
        <v>0</v>
      </c>
      <c r="Q543" s="214">
        <f>IFERROR(__xludf.DUMMYFUNCTION("""COMPUTED_VALUE"""),0.003)</f>
        <v>0.003</v>
      </c>
      <c r="R543" s="214">
        <f>IFERROR(__xludf.DUMMYFUNCTION("""COMPUTED_VALUE"""),0.0)</f>
        <v>0</v>
      </c>
      <c r="S543" s="101">
        <f>IFERROR(__xludf.DUMMYFUNCTION("""COMPUTED_VALUE"""),1.0)</f>
        <v>1</v>
      </c>
      <c r="T543" s="101">
        <f>IFERROR(__xludf.DUMMYFUNCTION("""COMPUTED_VALUE"""),1.0)</f>
        <v>1</v>
      </c>
      <c r="U543" s="270">
        <f>IFERROR(__xludf.DUMMYFUNCTION("""COMPUTED_VALUE"""),1128.0)</f>
        <v>1128</v>
      </c>
      <c r="V543" s="271" t="str">
        <f>IFERROR(__xludf.DUMMYFUNCTION("""COMPUTED_VALUE"""),"offline")</f>
        <v>offline</v>
      </c>
      <c r="W543" s="272" t="str">
        <f>IFERROR(__xludf.DUMMYFUNCTION("""COMPUTED_VALUE"""),"sms")</f>
        <v>sms</v>
      </c>
      <c r="X543" s="272" t="str">
        <f>IFERROR(__xludf.DUMMYFUNCTION("""COMPUTED_VALUE"""),"Loyal")</f>
        <v>Loyal</v>
      </c>
      <c r="Y543" s="272" t="str">
        <f>IFERROR(__xludf.DUMMYFUNCTION("""COMPUTED_VALUE"""),"30 April")</f>
        <v>30 April</v>
      </c>
      <c r="Z543" s="272" t="str">
        <f>IFERROR(__xludf.DUMMYFUNCTION("""COMPUTED_VALUE"""),"69f1d5e0a1f6e971a985c1e8")</f>
        <v>69f1d5e0a1f6e971a985c1e8</v>
      </c>
      <c r="AA543" s="272">
        <f>IFERROR(__xludf.DUMMYFUNCTION("""COMPUTED_VALUE"""),16.0)</f>
        <v>16</v>
      </c>
      <c r="AB543" s="272"/>
      <c r="AC543" s="272">
        <f>IFERROR(__xludf.DUMMYFUNCTION("""COMPUTED_VALUE"""),16.0)</f>
        <v>16</v>
      </c>
      <c r="AD543" s="272">
        <f>IFERROR(__xludf.DUMMYFUNCTION("""COMPUTED_VALUE"""),53876.0)</f>
        <v>53876</v>
      </c>
      <c r="AE543" s="272"/>
      <c r="AF543" s="272">
        <f>IFERROR(__xludf.DUMMYFUNCTION("""COMPUTED_VALUE"""),53876.0)</f>
        <v>53876</v>
      </c>
      <c r="AG543" s="208"/>
      <c r="AH543" s="208"/>
      <c r="AI543" s="208"/>
      <c r="AJ543" s="208"/>
      <c r="AK543" s="208"/>
    </row>
    <row r="544" hidden="1">
      <c r="A544" s="209">
        <f>IFERROR(__xludf.DUMMYFUNCTION("""COMPUTED_VALUE"""),46142.0)</f>
        <v>46142</v>
      </c>
      <c r="B544" s="210">
        <f>IFERROR(__xludf.DUMMYFUNCTION("""COMPUTED_VALUE"""),0.5416666666678793)</f>
        <v>0.5416666667</v>
      </c>
      <c r="C544" s="211" t="str">
        <f>IFERROR(__xludf.DUMMYFUNCTION("""COMPUTED_VALUE"""),"Sms")</f>
        <v>Sms</v>
      </c>
      <c r="D544" s="211" t="str">
        <f>IFERROR(__xludf.DUMMYFUNCTION("""COMPUTED_VALUE"""),"Fallback campaign")</f>
        <v>Fallback campaign</v>
      </c>
      <c r="E544" s="211" t="str">
        <f>IFERROR(__xludf.DUMMYFUNCTION("""COMPUTED_VALUE"""),"BBW")</f>
        <v>BBW</v>
      </c>
      <c r="F544" s="211" t="str">
        <f>IFERROR(__xludf.DUMMYFUNCTION("""COMPUTED_VALUE"""),"B1G1 - Entire Store")</f>
        <v>B1G1 - Entire Store</v>
      </c>
      <c r="G544" s="212" t="str">
        <f>IFERROR(__xludf.DUMMYFUNCTION("""COMPUTED_VALUE"""),"bbw_offline_smsfb_2april_buy1get1_repeat")</f>
        <v>bbw_offline_smsfb_2april_buy1get1_repeat</v>
      </c>
      <c r="H544" s="212" t="str">
        <f>IFERROR(__xludf.DUMMYFUNCTION("""COMPUTED_VALUE"""),"Repeat_OFF")</f>
        <v>Repeat_OFF</v>
      </c>
      <c r="I544" s="212" t="str">
        <f>IFERROR(__xludf.DUMMYFUNCTION("""COMPUTED_VALUE"""),"WA Undelivered")</f>
        <v>WA Undelivered</v>
      </c>
      <c r="J544" s="213">
        <f>IFERROR(__xludf.DUMMYFUNCTION("""COMPUTED_VALUE"""),9855.0)</f>
        <v>9855</v>
      </c>
      <c r="K544" s="213">
        <f>IFERROR(__xludf.DUMMYFUNCTION("""COMPUTED_VALUE"""),5527.0)</f>
        <v>5527</v>
      </c>
      <c r="L544" s="214">
        <f>IFERROR(__xludf.DUMMYFUNCTION("""COMPUTED_VALUE"""),0.5608)</f>
        <v>0.5608</v>
      </c>
      <c r="M544" s="213">
        <f>IFERROR(__xludf.DUMMYFUNCTION("""COMPUTED_VALUE"""),0.0)</f>
        <v>0</v>
      </c>
      <c r="N544" s="214">
        <f>IFERROR(__xludf.DUMMYFUNCTION("""COMPUTED_VALUE"""),0.0)</f>
        <v>0</v>
      </c>
      <c r="O544" s="213">
        <f>IFERROR(__xludf.DUMMYFUNCTION("""COMPUTED_VALUE"""),16.0)</f>
        <v>16</v>
      </c>
      <c r="P544" s="213">
        <f>IFERROR(__xludf.DUMMYFUNCTION("""COMPUTED_VALUE"""),0.0)</f>
        <v>0</v>
      </c>
      <c r="Q544" s="214">
        <f>IFERROR(__xludf.DUMMYFUNCTION("""COMPUTED_VALUE"""),0.0029)</f>
        <v>0.0029</v>
      </c>
      <c r="R544" s="214">
        <f>IFERROR(__xludf.DUMMYFUNCTION("""COMPUTED_VALUE"""),0.0)</f>
        <v>0</v>
      </c>
      <c r="S544" s="101">
        <f>IFERROR(__xludf.DUMMYFUNCTION("""COMPUTED_VALUE"""),0.0)</f>
        <v>0</v>
      </c>
      <c r="T544" s="101">
        <f>IFERROR(__xludf.DUMMYFUNCTION("""COMPUTED_VALUE"""),2.0)</f>
        <v>2</v>
      </c>
      <c r="U544" s="270">
        <f>IFERROR(__xludf.DUMMYFUNCTION("""COMPUTED_VALUE"""),0.0)</f>
        <v>0</v>
      </c>
      <c r="V544" s="271" t="str">
        <f>IFERROR(__xludf.DUMMYFUNCTION("""COMPUTED_VALUE"""),"offline")</f>
        <v>offline</v>
      </c>
      <c r="W544" s="272" t="str">
        <f>IFERROR(__xludf.DUMMYFUNCTION("""COMPUTED_VALUE"""),"sms")</f>
        <v>sms</v>
      </c>
      <c r="X544" s="272" t="str">
        <f>IFERROR(__xludf.DUMMYFUNCTION("""COMPUTED_VALUE"""),"Repeat")</f>
        <v>Repeat</v>
      </c>
      <c r="Y544" s="272" t="str">
        <f>IFERROR(__xludf.DUMMYFUNCTION("""COMPUTED_VALUE"""),"30 April")</f>
        <v>30 April</v>
      </c>
      <c r="Z544" s="272" t="str">
        <f>IFERROR(__xludf.DUMMYFUNCTION("""COMPUTED_VALUE"""),"69f1d633461c6b5446e8c644")</f>
        <v>69f1d633461c6b5446e8c644</v>
      </c>
      <c r="AA544" s="272">
        <f>IFERROR(__xludf.DUMMYFUNCTION("""COMPUTED_VALUE"""),15.0)</f>
        <v>15</v>
      </c>
      <c r="AB544" s="272"/>
      <c r="AC544" s="272">
        <f>IFERROR(__xludf.DUMMYFUNCTION("""COMPUTED_VALUE"""),15.0)</f>
        <v>15</v>
      </c>
      <c r="AD544" s="272">
        <f>IFERROR(__xludf.DUMMYFUNCTION("""COMPUTED_VALUE"""),37879.0)</f>
        <v>37879</v>
      </c>
      <c r="AE544" s="272"/>
      <c r="AF544" s="272">
        <f>IFERROR(__xludf.DUMMYFUNCTION("""COMPUTED_VALUE"""),37879.0)</f>
        <v>37879</v>
      </c>
      <c r="AG544" s="208"/>
      <c r="AH544" s="208"/>
      <c r="AI544" s="208"/>
      <c r="AJ544" s="208"/>
      <c r="AK544" s="208"/>
    </row>
    <row r="545" hidden="1">
      <c r="A545" s="209">
        <f>IFERROR(__xludf.DUMMYFUNCTION("""COMPUTED_VALUE"""),46142.0)</f>
        <v>46142</v>
      </c>
      <c r="B545" s="210">
        <f>IFERROR(__xludf.DUMMYFUNCTION("""COMPUTED_VALUE"""),0.5416666666678793)</f>
        <v>0.5416666667</v>
      </c>
      <c r="C545" s="211" t="str">
        <f>IFERROR(__xludf.DUMMYFUNCTION("""COMPUTED_VALUE"""),"Sms")</f>
        <v>Sms</v>
      </c>
      <c r="D545" s="211" t="str">
        <f>IFERROR(__xludf.DUMMYFUNCTION("""COMPUTED_VALUE"""),"Fallback campaign")</f>
        <v>Fallback campaign</v>
      </c>
      <c r="E545" s="211" t="str">
        <f>IFERROR(__xludf.DUMMYFUNCTION("""COMPUTED_VALUE"""),"BBW")</f>
        <v>BBW</v>
      </c>
      <c r="F545" s="211" t="str">
        <f>IFERROR(__xludf.DUMMYFUNCTION("""COMPUTED_VALUE"""),"B1G1 - Entire Store")</f>
        <v>B1G1 - Entire Store</v>
      </c>
      <c r="G545" s="212" t="str">
        <f>IFERROR(__xludf.DUMMYFUNCTION("""COMPUTED_VALUE"""),"bbw_offline_smsfb_2april_buy1get1_aov_relevant")</f>
        <v>bbw_offline_smsfb_2april_buy1get1_aov_relevant</v>
      </c>
      <c r="H545" s="212" t="str">
        <f>IFERROR(__xludf.DUMMYFUNCTION("""COMPUTED_VALUE"""),"AOV_Max_2699_365D_OFF")</f>
        <v>AOV_Max_2699_365D_OFF</v>
      </c>
      <c r="I545" s="212" t="str">
        <f>IFERROR(__xludf.DUMMYFUNCTION("""COMPUTED_VALUE"""),"WA Undelivered")</f>
        <v>WA Undelivered</v>
      </c>
      <c r="J545" s="213">
        <f>IFERROR(__xludf.DUMMYFUNCTION("""COMPUTED_VALUE"""),50188.0)</f>
        <v>50188</v>
      </c>
      <c r="K545" s="213">
        <f>IFERROR(__xludf.DUMMYFUNCTION("""COMPUTED_VALUE"""),30035.0)</f>
        <v>30035</v>
      </c>
      <c r="L545" s="214">
        <f>IFERROR(__xludf.DUMMYFUNCTION("""COMPUTED_VALUE"""),0.5984)</f>
        <v>0.5984</v>
      </c>
      <c r="M545" s="213">
        <f>IFERROR(__xludf.DUMMYFUNCTION("""COMPUTED_VALUE"""),0.0)</f>
        <v>0</v>
      </c>
      <c r="N545" s="214">
        <f>IFERROR(__xludf.DUMMYFUNCTION("""COMPUTED_VALUE"""),0.0)</f>
        <v>0</v>
      </c>
      <c r="O545" s="213">
        <f>IFERROR(__xludf.DUMMYFUNCTION("""COMPUTED_VALUE"""),73.0)</f>
        <v>73</v>
      </c>
      <c r="P545" s="213">
        <f>IFERROR(__xludf.DUMMYFUNCTION("""COMPUTED_VALUE"""),0.0)</f>
        <v>0</v>
      </c>
      <c r="Q545" s="214">
        <f>IFERROR(__xludf.DUMMYFUNCTION("""COMPUTED_VALUE"""),0.0024)</f>
        <v>0.0024</v>
      </c>
      <c r="R545" s="214">
        <f>IFERROR(__xludf.DUMMYFUNCTION("""COMPUTED_VALUE"""),0.0)</f>
        <v>0</v>
      </c>
      <c r="S545" s="101">
        <f>IFERROR(__xludf.DUMMYFUNCTION("""COMPUTED_VALUE"""),1.0)</f>
        <v>1</v>
      </c>
      <c r="T545" s="101">
        <f>IFERROR(__xludf.DUMMYFUNCTION("""COMPUTED_VALUE"""),3.0)</f>
        <v>3</v>
      </c>
      <c r="U545" s="270">
        <f>IFERROR(__xludf.DUMMYFUNCTION("""COMPUTED_VALUE"""),1128.0)</f>
        <v>1128</v>
      </c>
      <c r="V545" s="271" t="str">
        <f>IFERROR(__xludf.DUMMYFUNCTION("""COMPUTED_VALUE"""),"offline")</f>
        <v>offline</v>
      </c>
      <c r="W545" s="272" t="str">
        <f>IFERROR(__xludf.DUMMYFUNCTION("""COMPUTED_VALUE"""),"sms")</f>
        <v>sms</v>
      </c>
      <c r="X545" s="272" t="str">
        <f>IFERROR(__xludf.DUMMYFUNCTION("""COMPUTED_VALUE"""),"AOV &gt; 2699")</f>
        <v>AOV &gt; 2699</v>
      </c>
      <c r="Y545" s="272" t="str">
        <f>IFERROR(__xludf.DUMMYFUNCTION("""COMPUTED_VALUE"""),"30 April")</f>
        <v>30 April</v>
      </c>
      <c r="Z545" s="272" t="str">
        <f>IFERROR(__xludf.DUMMYFUNCTION("""COMPUTED_VALUE"""),"69f1d687e7f8c5b87ba2200c")</f>
        <v>69f1d687e7f8c5b87ba2200c</v>
      </c>
      <c r="AA545" s="272">
        <f>IFERROR(__xludf.DUMMYFUNCTION("""COMPUTED_VALUE"""),32.0)</f>
        <v>32</v>
      </c>
      <c r="AB545" s="272"/>
      <c r="AC545" s="272">
        <f>IFERROR(__xludf.DUMMYFUNCTION("""COMPUTED_VALUE"""),32.0)</f>
        <v>32</v>
      </c>
      <c r="AD545" s="272">
        <f>IFERROR(__xludf.DUMMYFUNCTION("""COMPUTED_VALUE"""),90441.0)</f>
        <v>90441</v>
      </c>
      <c r="AE545" s="272"/>
      <c r="AF545" s="272">
        <f>IFERROR(__xludf.DUMMYFUNCTION("""COMPUTED_VALUE"""),90441.0)</f>
        <v>90441</v>
      </c>
      <c r="AG545" s="208"/>
      <c r="AH545" s="208"/>
      <c r="AI545" s="208"/>
      <c r="AJ545" s="208"/>
      <c r="AK545" s="208"/>
    </row>
    <row r="546" hidden="1">
      <c r="A546" s="209">
        <f>IFERROR(__xludf.DUMMYFUNCTION("""COMPUTED_VALUE"""),46142.0)</f>
        <v>46142</v>
      </c>
      <c r="B546" s="210">
        <f>IFERROR(__xludf.DUMMYFUNCTION("""COMPUTED_VALUE"""),0.5416666666678793)</f>
        <v>0.5416666667</v>
      </c>
      <c r="C546" s="211" t="str">
        <f>IFERROR(__xludf.DUMMYFUNCTION("""COMPUTED_VALUE"""),"Sms")</f>
        <v>Sms</v>
      </c>
      <c r="D546" s="211" t="str">
        <f>IFERROR(__xludf.DUMMYFUNCTION("""COMPUTED_VALUE"""),"Fallback campaign")</f>
        <v>Fallback campaign</v>
      </c>
      <c r="E546" s="211" t="str">
        <f>IFERROR(__xludf.DUMMYFUNCTION("""COMPUTED_VALUE"""),"BBW")</f>
        <v>BBW</v>
      </c>
      <c r="F546" s="211" t="str">
        <f>IFERROR(__xludf.DUMMYFUNCTION("""COMPUTED_VALUE"""),"B1G1 - Entire Store")</f>
        <v>B1G1 - Entire Store</v>
      </c>
      <c r="G546" s="212" t="str">
        <f>IFERROR(__xludf.DUMMYFUNCTION("""COMPUTED_VALUE"""),"bbw_offline_smsfb_2april_buy1get1_bundle_buyers")</f>
        <v>bbw_offline_smsfb_2april_buy1get1_bundle_buyers</v>
      </c>
      <c r="H546" s="212" t="str">
        <f>IFERROR(__xludf.DUMMYFUNCTION("""COMPUTED_VALUE"""),"UPT_Min_3_OFF")</f>
        <v>UPT_Min_3_OFF</v>
      </c>
      <c r="I546" s="212" t="str">
        <f>IFERROR(__xludf.DUMMYFUNCTION("""COMPUTED_VALUE"""),"WA Undelivered")</f>
        <v>WA Undelivered</v>
      </c>
      <c r="J546" s="213">
        <f>IFERROR(__xludf.DUMMYFUNCTION("""COMPUTED_VALUE"""),32778.0)</f>
        <v>32778</v>
      </c>
      <c r="K546" s="213">
        <f>IFERROR(__xludf.DUMMYFUNCTION("""COMPUTED_VALUE"""),18046.0)</f>
        <v>18046</v>
      </c>
      <c r="L546" s="214">
        <f>IFERROR(__xludf.DUMMYFUNCTION("""COMPUTED_VALUE"""),0.5506)</f>
        <v>0.5506</v>
      </c>
      <c r="M546" s="213">
        <f>IFERROR(__xludf.DUMMYFUNCTION("""COMPUTED_VALUE"""),0.0)</f>
        <v>0</v>
      </c>
      <c r="N546" s="214">
        <f>IFERROR(__xludf.DUMMYFUNCTION("""COMPUTED_VALUE"""),0.0)</f>
        <v>0</v>
      </c>
      <c r="O546" s="213">
        <f>IFERROR(__xludf.DUMMYFUNCTION("""COMPUTED_VALUE"""),42.0)</f>
        <v>42</v>
      </c>
      <c r="P546" s="213">
        <f>IFERROR(__xludf.DUMMYFUNCTION("""COMPUTED_VALUE"""),0.0)</f>
        <v>0</v>
      </c>
      <c r="Q546" s="214">
        <f>IFERROR(__xludf.DUMMYFUNCTION("""COMPUTED_VALUE"""),0.0023)</f>
        <v>0.0023</v>
      </c>
      <c r="R546" s="214">
        <f>IFERROR(__xludf.DUMMYFUNCTION("""COMPUTED_VALUE"""),0.0)</f>
        <v>0</v>
      </c>
      <c r="S546" s="101">
        <f>IFERROR(__xludf.DUMMYFUNCTION("""COMPUTED_VALUE"""),1.0)</f>
        <v>1</v>
      </c>
      <c r="T546" s="101">
        <f>IFERROR(__xludf.DUMMYFUNCTION("""COMPUTED_VALUE"""),0.0)</f>
        <v>0</v>
      </c>
      <c r="U546" s="270">
        <f>IFERROR(__xludf.DUMMYFUNCTION("""COMPUTED_VALUE"""),1128.0)</f>
        <v>1128</v>
      </c>
      <c r="V546" s="271" t="str">
        <f>IFERROR(__xludf.DUMMYFUNCTION("""COMPUTED_VALUE"""),"offline")</f>
        <v>offline</v>
      </c>
      <c r="W546" s="272" t="str">
        <f>IFERROR(__xludf.DUMMYFUNCTION("""COMPUTED_VALUE"""),"sms")</f>
        <v>sms</v>
      </c>
      <c r="X546" s="272" t="str">
        <f>IFERROR(__xludf.DUMMYFUNCTION("""COMPUTED_VALUE"""),"Cart Qty")</f>
        <v>Cart Qty</v>
      </c>
      <c r="Y546" s="272" t="str">
        <f>IFERROR(__xludf.DUMMYFUNCTION("""COMPUTED_VALUE"""),"30 April")</f>
        <v>30 April</v>
      </c>
      <c r="Z546" s="272" t="str">
        <f>IFERROR(__xludf.DUMMYFUNCTION("""COMPUTED_VALUE"""),"69f1d6d7fb6929fd690ac6ec")</f>
        <v>69f1d6d7fb6929fd690ac6ec</v>
      </c>
      <c r="AA546" s="272">
        <f>IFERROR(__xludf.DUMMYFUNCTION("""COMPUTED_VALUE"""),25.0)</f>
        <v>25</v>
      </c>
      <c r="AB546" s="272"/>
      <c r="AC546" s="272">
        <f>IFERROR(__xludf.DUMMYFUNCTION("""COMPUTED_VALUE"""),25.0)</f>
        <v>25</v>
      </c>
      <c r="AD546" s="272">
        <f>IFERROR(__xludf.DUMMYFUNCTION("""COMPUTED_VALUE"""),92049.0)</f>
        <v>92049</v>
      </c>
      <c r="AE546" s="272"/>
      <c r="AF546" s="272">
        <f>IFERROR(__xludf.DUMMYFUNCTION("""COMPUTED_VALUE"""),92049.0)</f>
        <v>92049</v>
      </c>
      <c r="AG546" s="208"/>
      <c r="AH546" s="208"/>
      <c r="AI546" s="208"/>
      <c r="AJ546" s="208"/>
      <c r="AK546" s="208"/>
    </row>
    <row r="547" hidden="1">
      <c r="A547" s="209">
        <f>IFERROR(__xludf.DUMMYFUNCTION("""COMPUTED_VALUE"""),46142.0)</f>
        <v>46142</v>
      </c>
      <c r="B547" s="210">
        <f>IFERROR(__xludf.DUMMYFUNCTION("""COMPUTED_VALUE"""),0.5416666666678793)</f>
        <v>0.5416666667</v>
      </c>
      <c r="C547" s="211" t="str">
        <f>IFERROR(__xludf.DUMMYFUNCTION("""COMPUTED_VALUE"""),"Sms")</f>
        <v>Sms</v>
      </c>
      <c r="D547" s="211" t="str">
        <f>IFERROR(__xludf.DUMMYFUNCTION("""COMPUTED_VALUE"""),"Fallback campaign")</f>
        <v>Fallback campaign</v>
      </c>
      <c r="E547" s="211" t="str">
        <f>IFERROR(__xludf.DUMMYFUNCTION("""COMPUTED_VALUE"""),"BBW")</f>
        <v>BBW</v>
      </c>
      <c r="F547" s="211" t="str">
        <f>IFERROR(__xludf.DUMMYFUNCTION("""COMPUTED_VALUE"""),"B1G1 - Entire Store")</f>
        <v>B1G1 - Entire Store</v>
      </c>
      <c r="G547" s="212" t="str">
        <f>IFERROR(__xludf.DUMMYFUNCTION("""COMPUTED_VALUE"""),"bbw_offline_smsfb_2april_buy1get1_dormant")</f>
        <v>bbw_offline_smsfb_2april_buy1get1_dormant</v>
      </c>
      <c r="H547" s="212" t="str">
        <f>IFERROR(__xludf.DUMMYFUNCTION("""COMPUTED_VALUE"""),"Dorm_90_365_OFF")</f>
        <v>Dorm_90_365_OFF</v>
      </c>
      <c r="I547" s="212" t="str">
        <f>IFERROR(__xludf.DUMMYFUNCTION("""COMPUTED_VALUE"""),"WA Undelivered")</f>
        <v>WA Undelivered</v>
      </c>
      <c r="J547" s="213">
        <f>IFERROR(__xludf.DUMMYFUNCTION("""COMPUTED_VALUE"""),89668.0)</f>
        <v>89668</v>
      </c>
      <c r="K547" s="213">
        <f>IFERROR(__xludf.DUMMYFUNCTION("""COMPUTED_VALUE"""),51697.0)</f>
        <v>51697</v>
      </c>
      <c r="L547" s="214">
        <f>IFERROR(__xludf.DUMMYFUNCTION("""COMPUTED_VALUE"""),0.5765)</f>
        <v>0.5765</v>
      </c>
      <c r="M547" s="213">
        <f>IFERROR(__xludf.DUMMYFUNCTION("""COMPUTED_VALUE"""),0.0)</f>
        <v>0</v>
      </c>
      <c r="N547" s="214">
        <f>IFERROR(__xludf.DUMMYFUNCTION("""COMPUTED_VALUE"""),0.0)</f>
        <v>0</v>
      </c>
      <c r="O547" s="213">
        <f>IFERROR(__xludf.DUMMYFUNCTION("""COMPUTED_VALUE"""),75.0)</f>
        <v>75</v>
      </c>
      <c r="P547" s="213">
        <f>IFERROR(__xludf.DUMMYFUNCTION("""COMPUTED_VALUE"""),0.0)</f>
        <v>0</v>
      </c>
      <c r="Q547" s="214">
        <f>IFERROR(__xludf.DUMMYFUNCTION("""COMPUTED_VALUE"""),0.0015)</f>
        <v>0.0015</v>
      </c>
      <c r="R547" s="214">
        <f>IFERROR(__xludf.DUMMYFUNCTION("""COMPUTED_VALUE"""),0.0)</f>
        <v>0</v>
      </c>
      <c r="S547" s="101">
        <f>IFERROR(__xludf.DUMMYFUNCTION("""COMPUTED_VALUE"""),0.0)</f>
        <v>0</v>
      </c>
      <c r="T547" s="101">
        <f>IFERROR(__xludf.DUMMYFUNCTION("""COMPUTED_VALUE"""),3.0)</f>
        <v>3</v>
      </c>
      <c r="U547" s="270">
        <f>IFERROR(__xludf.DUMMYFUNCTION("""COMPUTED_VALUE"""),0.0)</f>
        <v>0</v>
      </c>
      <c r="V547" s="271" t="str">
        <f>IFERROR(__xludf.DUMMYFUNCTION("""COMPUTED_VALUE"""),"offline")</f>
        <v>offline</v>
      </c>
      <c r="W547" s="272" t="str">
        <f>IFERROR(__xludf.DUMMYFUNCTION("""COMPUTED_VALUE"""),"sms")</f>
        <v>sms</v>
      </c>
      <c r="X547" s="272" t="str">
        <f>IFERROR(__xludf.DUMMYFUNCTION("""COMPUTED_VALUE"""),"Dormant")</f>
        <v>Dormant</v>
      </c>
      <c r="Y547" s="272" t="str">
        <f>IFERROR(__xludf.DUMMYFUNCTION("""COMPUTED_VALUE"""),"30 April")</f>
        <v>30 April</v>
      </c>
      <c r="Z547" s="272" t="str">
        <f>IFERROR(__xludf.DUMMYFUNCTION("""COMPUTED_VALUE"""),"69f1d70657bdb24c6880fc26")</f>
        <v>69f1d70657bdb24c6880fc26</v>
      </c>
      <c r="AA547" s="272">
        <f>IFERROR(__xludf.DUMMYFUNCTION("""COMPUTED_VALUE"""),38.0)</f>
        <v>38</v>
      </c>
      <c r="AB547" s="272"/>
      <c r="AC547" s="272">
        <f>IFERROR(__xludf.DUMMYFUNCTION("""COMPUTED_VALUE"""),38.0)</f>
        <v>38</v>
      </c>
      <c r="AD547" s="272">
        <f>IFERROR(__xludf.DUMMYFUNCTION("""COMPUTED_VALUE"""),114624.0)</f>
        <v>114624</v>
      </c>
      <c r="AE547" s="272"/>
      <c r="AF547" s="272">
        <f>IFERROR(__xludf.DUMMYFUNCTION("""COMPUTED_VALUE"""),114624.0)</f>
        <v>114624</v>
      </c>
      <c r="AG547" s="208"/>
      <c r="AH547" s="208"/>
      <c r="AI547" s="208"/>
      <c r="AJ547" s="208"/>
      <c r="AK547" s="208"/>
    </row>
    <row r="548" hidden="1">
      <c r="A548" s="209">
        <f>IFERROR(__xludf.DUMMYFUNCTION("""COMPUTED_VALUE"""),46144.0)</f>
        <v>46144</v>
      </c>
      <c r="B548" s="210">
        <f>IFERROR(__xludf.DUMMYFUNCTION("""COMPUTED_VALUE"""),0.7708333333321207)</f>
        <v>0.7708333333</v>
      </c>
      <c r="C548" s="211" t="str">
        <f>IFERROR(__xludf.DUMMYFUNCTION("""COMPUTED_VALUE"""),"Whatsapp")</f>
        <v>Whatsapp</v>
      </c>
      <c r="D548" s="211" t="str">
        <f>IFERROR(__xludf.DUMMYFUNCTION("""COMPUTED_VALUE"""),"Promtional")</f>
        <v>Promtional</v>
      </c>
      <c r="E548" s="211" t="str">
        <f>IFERROR(__xludf.DUMMYFUNCTION("""COMPUTED_VALUE"""),"BBW")</f>
        <v>BBW</v>
      </c>
      <c r="F548" s="211" t="str">
        <f>IFERROR(__xludf.DUMMYFUNCTION("""COMPUTED_VALUE"""),"B1G1 - Entire Store")</f>
        <v>B1G1 - Entire Store</v>
      </c>
      <c r="G548" s="212" t="str">
        <f>IFERROR(__xludf.DUMMYFUNCTION("""COMPUTED_VALUE"""),"bbw_offline_wa_2may_buy1get1_loyal_lastreminder")</f>
        <v>bbw_offline_wa_2may_buy1get1_loyal_lastreminder</v>
      </c>
      <c r="H548" s="212" t="str">
        <f>IFERROR(__xludf.DUMMYFUNCTION("""COMPUTED_VALUE"""),"Loyal_OFF")</f>
        <v>Loyal_OFF</v>
      </c>
      <c r="I548" s="212" t="str">
        <f>IFERROR(__xludf.DUMMYFUNCTION("""COMPUTED_VALUE"""),"Offline Customers who have 4 or more purchases in last 12 Months")</f>
        <v>Offline Customers who have 4 or more purchases in last 12 Months</v>
      </c>
      <c r="J548" s="213">
        <f>IFERROR(__xludf.DUMMYFUNCTION("""COMPUTED_VALUE"""),10628.0)</f>
        <v>10628</v>
      </c>
      <c r="K548" s="213">
        <f>IFERROR(__xludf.DUMMYFUNCTION("""COMPUTED_VALUE"""),3727.0)</f>
        <v>3727</v>
      </c>
      <c r="L548" s="214">
        <f>IFERROR(__xludf.DUMMYFUNCTION("""COMPUTED_VALUE"""),0.3505)</f>
        <v>0.3505</v>
      </c>
      <c r="M548" s="213">
        <f>IFERROR(__xludf.DUMMYFUNCTION("""COMPUTED_VALUE"""),1471.0)</f>
        <v>1471</v>
      </c>
      <c r="N548" s="214">
        <f>IFERROR(__xludf.DUMMYFUNCTION("""COMPUTED_VALUE"""),0.3949)</f>
        <v>0.3949</v>
      </c>
      <c r="O548" s="213">
        <f>IFERROR(__xludf.DUMMYFUNCTION("""COMPUTED_VALUE"""),124.0)</f>
        <v>124</v>
      </c>
      <c r="P548" s="213">
        <f>IFERROR(__xludf.DUMMYFUNCTION("""COMPUTED_VALUE"""),115.0)</f>
        <v>115</v>
      </c>
      <c r="Q548" s="214">
        <f>IFERROR(__xludf.DUMMYFUNCTION("""COMPUTED_VALUE"""),0.0309)</f>
        <v>0.0309</v>
      </c>
      <c r="R548" s="214">
        <f>IFERROR(__xludf.DUMMYFUNCTION("""COMPUTED_VALUE"""),0.0782)</f>
        <v>0.0782</v>
      </c>
      <c r="S548" s="101">
        <f>IFERROR(__xludf.DUMMYFUNCTION("""COMPUTED_VALUE"""),2.0)</f>
        <v>2</v>
      </c>
      <c r="T548" s="101">
        <f>IFERROR(__xludf.DUMMYFUNCTION("""COMPUTED_VALUE"""),4.0)</f>
        <v>4</v>
      </c>
      <c r="U548" s="270">
        <f>IFERROR(__xludf.DUMMYFUNCTION("""COMPUTED_VALUE"""),11387.0)</f>
        <v>11387</v>
      </c>
      <c r="V548" s="271" t="str">
        <f>IFERROR(__xludf.DUMMYFUNCTION("""COMPUTED_VALUE"""),"offline")</f>
        <v>offline</v>
      </c>
      <c r="W548" s="272" t="str">
        <f>IFERROR(__xludf.DUMMYFUNCTION("""COMPUTED_VALUE"""),"simple")</f>
        <v>simple</v>
      </c>
      <c r="X548" s="272" t="str">
        <f>IFERROR(__xludf.DUMMYFUNCTION("""COMPUTED_VALUE"""),"Loyal")</f>
        <v>Loyal</v>
      </c>
      <c r="Y548" s="272" t="str">
        <f>IFERROR(__xludf.DUMMYFUNCTION("""COMPUTED_VALUE"""),"2 - 4 May")</f>
        <v>2 - 4 May</v>
      </c>
      <c r="Z548" s="272" t="str">
        <f>IFERROR(__xludf.DUMMYFUNCTION("""COMPUTED_VALUE"""),"69f302d4dc10475e9e639e8c")</f>
        <v>69f302d4dc10475e9e639e8c</v>
      </c>
      <c r="AA548" s="272">
        <f>IFERROR(__xludf.DUMMYFUNCTION("""COMPUTED_VALUE"""),53.0)</f>
        <v>53</v>
      </c>
      <c r="AB548" s="272"/>
      <c r="AC548" s="272">
        <f>IFERROR(__xludf.DUMMYFUNCTION("""COMPUTED_VALUE"""),53.0)</f>
        <v>53</v>
      </c>
      <c r="AD548" s="272">
        <f>IFERROR(__xludf.DUMMYFUNCTION("""COMPUTED_VALUE"""),265627.0)</f>
        <v>265627</v>
      </c>
      <c r="AE548" s="272"/>
      <c r="AF548" s="272">
        <f>IFERROR(__xludf.DUMMYFUNCTION("""COMPUTED_VALUE"""),265627.0)</f>
        <v>265627</v>
      </c>
      <c r="AG548" s="208"/>
      <c r="AH548" s="208"/>
      <c r="AI548" s="208"/>
      <c r="AJ548" s="208"/>
      <c r="AK548" s="208"/>
    </row>
    <row r="549" hidden="1">
      <c r="A549" s="209">
        <f>IFERROR(__xludf.DUMMYFUNCTION("""COMPUTED_VALUE"""),46144.0)</f>
        <v>46144</v>
      </c>
      <c r="B549" s="210">
        <f>IFERROR(__xludf.DUMMYFUNCTION("""COMPUTED_VALUE"""),0.7708333333321207)</f>
        <v>0.7708333333</v>
      </c>
      <c r="C549" s="211" t="str">
        <f>IFERROR(__xludf.DUMMYFUNCTION("""COMPUTED_VALUE"""),"Whatsapp")</f>
        <v>Whatsapp</v>
      </c>
      <c r="D549" s="211" t="str">
        <f>IFERROR(__xludf.DUMMYFUNCTION("""COMPUTED_VALUE"""),"Promtional")</f>
        <v>Promtional</v>
      </c>
      <c r="E549" s="211" t="str">
        <f>IFERROR(__xludf.DUMMYFUNCTION("""COMPUTED_VALUE"""),"BBW")</f>
        <v>BBW</v>
      </c>
      <c r="F549" s="211" t="str">
        <f>IFERROR(__xludf.DUMMYFUNCTION("""COMPUTED_VALUE"""),"B1G1 - Entire Store")</f>
        <v>B1G1 - Entire Store</v>
      </c>
      <c r="G549" s="212" t="str">
        <f>IFERROR(__xludf.DUMMYFUNCTION("""COMPUTED_VALUE"""),"bbw_offline_wa_2may_buy1get1_repeat_lastreminder")</f>
        <v>bbw_offline_wa_2may_buy1get1_repeat_lastreminder</v>
      </c>
      <c r="H549" s="212" t="str">
        <f>IFERROR(__xludf.DUMMYFUNCTION("""COMPUTED_VALUE"""),"Repeat_OFF")</f>
        <v>Repeat_OFF</v>
      </c>
      <c r="I549" s="212" t="str">
        <f>IFERROR(__xludf.DUMMYFUNCTION("""COMPUTED_VALUE"""),"Offline Customers who have purchased at least 2 times in the last 6 Months")</f>
        <v>Offline Customers who have purchased at least 2 times in the last 6 Months</v>
      </c>
      <c r="J549" s="213">
        <f>IFERROR(__xludf.DUMMYFUNCTION("""COMPUTED_VALUE"""),21311.0)</f>
        <v>21311</v>
      </c>
      <c r="K549" s="213">
        <f>IFERROR(__xludf.DUMMYFUNCTION("""COMPUTED_VALUE"""),8784.0)</f>
        <v>8784</v>
      </c>
      <c r="L549" s="214">
        <f>IFERROR(__xludf.DUMMYFUNCTION("""COMPUTED_VALUE"""),0.412)</f>
        <v>0.412</v>
      </c>
      <c r="M549" s="213">
        <f>IFERROR(__xludf.DUMMYFUNCTION("""COMPUTED_VALUE"""),3245.0)</f>
        <v>3245</v>
      </c>
      <c r="N549" s="214">
        <f>IFERROR(__xludf.DUMMYFUNCTION("""COMPUTED_VALUE"""),0.3693)</f>
        <v>0.3693</v>
      </c>
      <c r="O549" s="213">
        <f>IFERROR(__xludf.DUMMYFUNCTION("""COMPUTED_VALUE"""),239.0)</f>
        <v>239</v>
      </c>
      <c r="P549" s="213">
        <f>IFERROR(__xludf.DUMMYFUNCTION("""COMPUTED_VALUE"""),224.0)</f>
        <v>224</v>
      </c>
      <c r="Q549" s="214">
        <f>IFERROR(__xludf.DUMMYFUNCTION("""COMPUTED_VALUE"""),0.0255)</f>
        <v>0.0255</v>
      </c>
      <c r="R549" s="214">
        <f>IFERROR(__xludf.DUMMYFUNCTION("""COMPUTED_VALUE"""),0.0691)</f>
        <v>0.0691</v>
      </c>
      <c r="S549" s="101">
        <f>IFERROR(__xludf.DUMMYFUNCTION("""COMPUTED_VALUE"""),2.0)</f>
        <v>2</v>
      </c>
      <c r="T549" s="101">
        <f>IFERROR(__xludf.DUMMYFUNCTION("""COMPUTED_VALUE"""),3.0)</f>
        <v>3</v>
      </c>
      <c r="U549" s="270">
        <f>IFERROR(__xludf.DUMMYFUNCTION("""COMPUTED_VALUE"""),3724.0)</f>
        <v>3724</v>
      </c>
      <c r="V549" s="271" t="str">
        <f>IFERROR(__xludf.DUMMYFUNCTION("""COMPUTED_VALUE"""),"offline")</f>
        <v>offline</v>
      </c>
      <c r="W549" s="272" t="str">
        <f>IFERROR(__xludf.DUMMYFUNCTION("""COMPUTED_VALUE"""),"simple")</f>
        <v>simple</v>
      </c>
      <c r="X549" s="272" t="str">
        <f>IFERROR(__xludf.DUMMYFUNCTION("""COMPUTED_VALUE"""),"Repeat")</f>
        <v>Repeat</v>
      </c>
      <c r="Y549" s="272" t="str">
        <f>IFERROR(__xludf.DUMMYFUNCTION("""COMPUTED_VALUE"""),"2 - 4 May")</f>
        <v>2 - 4 May</v>
      </c>
      <c r="Z549" s="272" t="str">
        <f>IFERROR(__xludf.DUMMYFUNCTION("""COMPUTED_VALUE"""),"69f3030985842622fab5a569")</f>
        <v>69f3030985842622fab5a569</v>
      </c>
      <c r="AA549" s="272">
        <f>IFERROR(__xludf.DUMMYFUNCTION("""COMPUTED_VALUE"""),55.0)</f>
        <v>55</v>
      </c>
      <c r="AB549" s="272"/>
      <c r="AC549" s="272">
        <f>IFERROR(__xludf.DUMMYFUNCTION("""COMPUTED_VALUE"""),55.0)</f>
        <v>55</v>
      </c>
      <c r="AD549" s="272">
        <f>IFERROR(__xludf.DUMMYFUNCTION("""COMPUTED_VALUE"""),238820.0)</f>
        <v>238820</v>
      </c>
      <c r="AE549" s="272"/>
      <c r="AF549" s="272">
        <f>IFERROR(__xludf.DUMMYFUNCTION("""COMPUTED_VALUE"""),238820.0)</f>
        <v>238820</v>
      </c>
      <c r="AG549" s="208"/>
      <c r="AH549" s="208"/>
      <c r="AI549" s="208"/>
      <c r="AJ549" s="208"/>
      <c r="AK549" s="208"/>
    </row>
    <row r="550" hidden="1">
      <c r="A550" s="209">
        <f>IFERROR(__xludf.DUMMYFUNCTION("""COMPUTED_VALUE"""),46144.0)</f>
        <v>46144</v>
      </c>
      <c r="B550" s="210">
        <f>IFERROR(__xludf.DUMMYFUNCTION("""COMPUTED_VALUE"""),0.7708333333321207)</f>
        <v>0.7708333333</v>
      </c>
      <c r="C550" s="211" t="str">
        <f>IFERROR(__xludf.DUMMYFUNCTION("""COMPUTED_VALUE"""),"Whatsapp")</f>
        <v>Whatsapp</v>
      </c>
      <c r="D550" s="211" t="str">
        <f>IFERROR(__xludf.DUMMYFUNCTION("""COMPUTED_VALUE"""),"Promtional")</f>
        <v>Promtional</v>
      </c>
      <c r="E550" s="211" t="str">
        <f>IFERROR(__xludf.DUMMYFUNCTION("""COMPUTED_VALUE"""),"BBW")</f>
        <v>BBW</v>
      </c>
      <c r="F550" s="211" t="str">
        <f>IFERROR(__xludf.DUMMYFUNCTION("""COMPUTED_VALUE"""),"B1G1 - Entire Store")</f>
        <v>B1G1 - Entire Store</v>
      </c>
      <c r="G550" s="212" t="str">
        <f>IFERROR(__xludf.DUMMYFUNCTION("""COMPUTED_VALUE"""),"bbw_offline_wa_2may_buy1get1_aov_relevant_lastreminder")</f>
        <v>bbw_offline_wa_2may_buy1get1_aov_relevant_lastreminder</v>
      </c>
      <c r="H550" s="212" t="str">
        <f>IFERROR(__xludf.DUMMYFUNCTION("""COMPUTED_VALUE"""),"AOV_Max_2699_365D_OFF")</f>
        <v>AOV_Max_2699_365D_OFF</v>
      </c>
      <c r="I550" s="212" t="str">
        <f>IFERROR(__xludf.DUMMYFUNCTION("""COMPUTED_VALUE"""),"Offline Customers with AOV less than 2999 &gt; Last 6 Months")</f>
        <v>Offline Customers with AOV less than 2999 &gt; Last 6 Months</v>
      </c>
      <c r="J550" s="213">
        <f>IFERROR(__xludf.DUMMYFUNCTION("""COMPUTED_VALUE"""),117026.0)</f>
        <v>117026</v>
      </c>
      <c r="K550" s="213">
        <f>IFERROR(__xludf.DUMMYFUNCTION("""COMPUTED_VALUE"""),55200.0)</f>
        <v>55200</v>
      </c>
      <c r="L550" s="214">
        <f>IFERROR(__xludf.DUMMYFUNCTION("""COMPUTED_VALUE"""),0.4716)</f>
        <v>0.4716</v>
      </c>
      <c r="M550" s="213">
        <f>IFERROR(__xludf.DUMMYFUNCTION("""COMPUTED_VALUE"""),19702.0)</f>
        <v>19702</v>
      </c>
      <c r="N550" s="214">
        <f>IFERROR(__xludf.DUMMYFUNCTION("""COMPUTED_VALUE"""),0.3567)</f>
        <v>0.3567</v>
      </c>
      <c r="O550" s="213">
        <f>IFERROR(__xludf.DUMMYFUNCTION("""COMPUTED_VALUE"""),1327.0)</f>
        <v>1327</v>
      </c>
      <c r="P550" s="213">
        <f>IFERROR(__xludf.DUMMYFUNCTION("""COMPUTED_VALUE"""),1268.0)</f>
        <v>1268</v>
      </c>
      <c r="Q550" s="214">
        <f>IFERROR(__xludf.DUMMYFUNCTION("""COMPUTED_VALUE"""),0.023)</f>
        <v>0.023</v>
      </c>
      <c r="R550" s="214">
        <f>IFERROR(__xludf.DUMMYFUNCTION("""COMPUTED_VALUE"""),0.0644)</f>
        <v>0.0644</v>
      </c>
      <c r="S550" s="101">
        <f>IFERROR(__xludf.DUMMYFUNCTION("""COMPUTED_VALUE"""),11.0)</f>
        <v>11</v>
      </c>
      <c r="T550" s="101">
        <f>IFERROR(__xludf.DUMMYFUNCTION("""COMPUTED_VALUE"""),25.0)</f>
        <v>25</v>
      </c>
      <c r="U550" s="270">
        <f>IFERROR(__xludf.DUMMYFUNCTION("""COMPUTED_VALUE"""),54629.0)</f>
        <v>54629</v>
      </c>
      <c r="V550" s="271" t="str">
        <f>IFERROR(__xludf.DUMMYFUNCTION("""COMPUTED_VALUE"""),"offline")</f>
        <v>offline</v>
      </c>
      <c r="W550" s="272" t="str">
        <f>IFERROR(__xludf.DUMMYFUNCTION("""COMPUTED_VALUE"""),"simple")</f>
        <v>simple</v>
      </c>
      <c r="X550" s="272" t="str">
        <f>IFERROR(__xludf.DUMMYFUNCTION("""COMPUTED_VALUE"""),"AOV &gt; 2699")</f>
        <v>AOV &gt; 2699</v>
      </c>
      <c r="Y550" s="272" t="str">
        <f>IFERROR(__xludf.DUMMYFUNCTION("""COMPUTED_VALUE"""),"2 - 4 May")</f>
        <v>2 - 4 May</v>
      </c>
      <c r="Z550" s="272" t="str">
        <f>IFERROR(__xludf.DUMMYFUNCTION("""COMPUTED_VALUE"""),"69f3034d0faf9e4a3bcd721e")</f>
        <v>69f3034d0faf9e4a3bcd721e</v>
      </c>
      <c r="AA550" s="272">
        <f>IFERROR(__xludf.DUMMYFUNCTION("""COMPUTED_VALUE"""),149.0)</f>
        <v>149</v>
      </c>
      <c r="AB550" s="272"/>
      <c r="AC550" s="272">
        <f>IFERROR(__xludf.DUMMYFUNCTION("""COMPUTED_VALUE"""),149.0)</f>
        <v>149</v>
      </c>
      <c r="AD550" s="272">
        <f>IFERROR(__xludf.DUMMYFUNCTION("""COMPUTED_VALUE"""),427182.0)</f>
        <v>427182</v>
      </c>
      <c r="AE550" s="272"/>
      <c r="AF550" s="272">
        <f>IFERROR(__xludf.DUMMYFUNCTION("""COMPUTED_VALUE"""),427182.0)</f>
        <v>427182</v>
      </c>
      <c r="AG550" s="208"/>
      <c r="AH550" s="208"/>
      <c r="AI550" s="208"/>
      <c r="AJ550" s="208"/>
      <c r="AK550" s="208"/>
    </row>
    <row r="551" hidden="1">
      <c r="A551" s="209">
        <f>IFERROR(__xludf.DUMMYFUNCTION("""COMPUTED_VALUE"""),46144.0)</f>
        <v>46144</v>
      </c>
      <c r="B551" s="210">
        <f>IFERROR(__xludf.DUMMYFUNCTION("""COMPUTED_VALUE"""),0.7708333333321207)</f>
        <v>0.7708333333</v>
      </c>
      <c r="C551" s="211" t="str">
        <f>IFERROR(__xludf.DUMMYFUNCTION("""COMPUTED_VALUE"""),"Whatsapp")</f>
        <v>Whatsapp</v>
      </c>
      <c r="D551" s="211" t="str">
        <f>IFERROR(__xludf.DUMMYFUNCTION("""COMPUTED_VALUE"""),"Promtional")</f>
        <v>Promtional</v>
      </c>
      <c r="E551" s="211" t="str">
        <f>IFERROR(__xludf.DUMMYFUNCTION("""COMPUTED_VALUE"""),"BBW")</f>
        <v>BBW</v>
      </c>
      <c r="F551" s="211" t="str">
        <f>IFERROR(__xludf.DUMMYFUNCTION("""COMPUTED_VALUE"""),"B1G1 - Entire Store")</f>
        <v>B1G1 - Entire Store</v>
      </c>
      <c r="G551" s="212" t="str">
        <f>IFERROR(__xludf.DUMMYFUNCTION("""COMPUTED_VALUE"""),"bbw_offline_wa_2may_buy1get1_bundle_buyers_lastreminder")</f>
        <v>bbw_offline_wa_2may_buy1get1_bundle_buyers_lastreminder</v>
      </c>
      <c r="H551" s="212" t="str">
        <f>IFERROR(__xludf.DUMMYFUNCTION("""COMPUTED_VALUE"""),"UPT_Min_3_OFF")</f>
        <v>UPT_Min_3_OFF</v>
      </c>
      <c r="I551" s="212" t="str">
        <f>IFERROR(__xludf.DUMMYFUNCTION("""COMPUTED_VALUE"""),"Offline Customers who bought 3+ products during each purchase in the last 6 months")</f>
        <v>Offline Customers who bought 3+ products during each purchase in the last 6 months</v>
      </c>
      <c r="J551" s="213">
        <f>IFERROR(__xludf.DUMMYFUNCTION("""COMPUTED_VALUE"""),70762.0)</f>
        <v>70762</v>
      </c>
      <c r="K551" s="213">
        <f>IFERROR(__xludf.DUMMYFUNCTION("""COMPUTED_VALUE"""),29879.0)</f>
        <v>29879</v>
      </c>
      <c r="L551" s="214">
        <f>IFERROR(__xludf.DUMMYFUNCTION("""COMPUTED_VALUE"""),0.4222)</f>
        <v>0.4222</v>
      </c>
      <c r="M551" s="213">
        <f>IFERROR(__xludf.DUMMYFUNCTION("""COMPUTED_VALUE"""),10859.0)</f>
        <v>10859</v>
      </c>
      <c r="N551" s="214">
        <f>IFERROR(__xludf.DUMMYFUNCTION("""COMPUTED_VALUE"""),0.3633)</f>
        <v>0.3633</v>
      </c>
      <c r="O551" s="213">
        <f>IFERROR(__xludf.DUMMYFUNCTION("""COMPUTED_VALUE"""),662.0)</f>
        <v>662</v>
      </c>
      <c r="P551" s="213">
        <f>IFERROR(__xludf.DUMMYFUNCTION("""COMPUTED_VALUE"""),633.0)</f>
        <v>633</v>
      </c>
      <c r="Q551" s="214">
        <f>IFERROR(__xludf.DUMMYFUNCTION("""COMPUTED_VALUE"""),0.0212)</f>
        <v>0.0212</v>
      </c>
      <c r="R551" s="214">
        <f>IFERROR(__xludf.DUMMYFUNCTION("""COMPUTED_VALUE"""),0.0583)</f>
        <v>0.0583</v>
      </c>
      <c r="S551" s="101">
        <f>IFERROR(__xludf.DUMMYFUNCTION("""COMPUTED_VALUE"""),6.0)</f>
        <v>6</v>
      </c>
      <c r="T551" s="101">
        <f>IFERROR(__xludf.DUMMYFUNCTION("""COMPUTED_VALUE"""),17.0)</f>
        <v>17</v>
      </c>
      <c r="U551" s="270">
        <f>IFERROR(__xludf.DUMMYFUNCTION("""COMPUTED_VALUE"""),17526.0)</f>
        <v>17526</v>
      </c>
      <c r="V551" s="271" t="str">
        <f>IFERROR(__xludf.DUMMYFUNCTION("""COMPUTED_VALUE"""),"offline")</f>
        <v>offline</v>
      </c>
      <c r="W551" s="272" t="str">
        <f>IFERROR(__xludf.DUMMYFUNCTION("""COMPUTED_VALUE"""),"simple")</f>
        <v>simple</v>
      </c>
      <c r="X551" s="272" t="str">
        <f>IFERROR(__xludf.DUMMYFUNCTION("""COMPUTED_VALUE"""),"Cart Qty")</f>
        <v>Cart Qty</v>
      </c>
      <c r="Y551" s="272" t="str">
        <f>IFERROR(__xludf.DUMMYFUNCTION("""COMPUTED_VALUE"""),"2 - 4 May")</f>
        <v>2 - 4 May</v>
      </c>
      <c r="Z551" s="272" t="str">
        <f>IFERROR(__xludf.DUMMYFUNCTION("""COMPUTED_VALUE"""),"69f3037f06de9d3f0459bbbe")</f>
        <v>69f3037f06de9d3f0459bbbe</v>
      </c>
      <c r="AA551" s="272">
        <f>IFERROR(__xludf.DUMMYFUNCTION("""COMPUTED_VALUE"""),89.0)</f>
        <v>89</v>
      </c>
      <c r="AB551" s="272"/>
      <c r="AC551" s="272">
        <f>IFERROR(__xludf.DUMMYFUNCTION("""COMPUTED_VALUE"""),89.0)</f>
        <v>89</v>
      </c>
      <c r="AD551" s="272">
        <f>IFERROR(__xludf.DUMMYFUNCTION("""COMPUTED_VALUE"""),397576.0)</f>
        <v>397576</v>
      </c>
      <c r="AE551" s="272"/>
      <c r="AF551" s="272">
        <f>IFERROR(__xludf.DUMMYFUNCTION("""COMPUTED_VALUE"""),397576.0)</f>
        <v>397576</v>
      </c>
      <c r="AG551" s="208"/>
      <c r="AH551" s="208"/>
      <c r="AI551" s="208"/>
      <c r="AJ551" s="208"/>
      <c r="AK551" s="208"/>
    </row>
    <row r="552" hidden="1">
      <c r="A552" s="209">
        <f>IFERROR(__xludf.DUMMYFUNCTION("""COMPUTED_VALUE"""),46144.0)</f>
        <v>46144</v>
      </c>
      <c r="B552" s="210">
        <f>IFERROR(__xludf.DUMMYFUNCTION("""COMPUTED_VALUE"""),0.7708333333321207)</f>
        <v>0.7708333333</v>
      </c>
      <c r="C552" s="211" t="str">
        <f>IFERROR(__xludf.DUMMYFUNCTION("""COMPUTED_VALUE"""),"Whatsapp")</f>
        <v>Whatsapp</v>
      </c>
      <c r="D552" s="211" t="str">
        <f>IFERROR(__xludf.DUMMYFUNCTION("""COMPUTED_VALUE"""),"Promtional")</f>
        <v>Promtional</v>
      </c>
      <c r="E552" s="211" t="str">
        <f>IFERROR(__xludf.DUMMYFUNCTION("""COMPUTED_VALUE"""),"BBW")</f>
        <v>BBW</v>
      </c>
      <c r="F552" s="211" t="str">
        <f>IFERROR(__xludf.DUMMYFUNCTION("""COMPUTED_VALUE"""),"B1G1 - Entire Store")</f>
        <v>B1G1 - Entire Store</v>
      </c>
      <c r="G552" s="212" t="str">
        <f>IFERROR(__xludf.DUMMYFUNCTION("""COMPUTED_VALUE"""),"bbw_offline_wa_2may_buy1get1_dormant_lastreminder")</f>
        <v>bbw_offline_wa_2may_buy1get1_dormant_lastreminder</v>
      </c>
      <c r="H552" s="212" t="str">
        <f>IFERROR(__xludf.DUMMYFUNCTION("""COMPUTED_VALUE"""),"Dorm_90_365_OFF")</f>
        <v>Dorm_90_365_OFF</v>
      </c>
      <c r="I552" s="212" t="str">
        <f>IFERROR(__xludf.DUMMYFUNCTION("""COMPUTED_VALUE"""),"Offline Customers who placed at least 1 order in between 90 days ago and 365 days ago")</f>
        <v>Offline Customers who placed at least 1 order in between 90 days ago and 365 days ago</v>
      </c>
      <c r="J552" s="213">
        <f>IFERROR(__xludf.DUMMYFUNCTION("""COMPUTED_VALUE"""),203246.0)</f>
        <v>203246</v>
      </c>
      <c r="K552" s="213">
        <f>IFERROR(__xludf.DUMMYFUNCTION("""COMPUTED_VALUE"""),88463.0)</f>
        <v>88463</v>
      </c>
      <c r="L552" s="214">
        <f>IFERROR(__xludf.DUMMYFUNCTION("""COMPUTED_VALUE"""),0.4352)</f>
        <v>0.4352</v>
      </c>
      <c r="M552" s="213">
        <f>IFERROR(__xludf.DUMMYFUNCTION("""COMPUTED_VALUE"""),30364.0)</f>
        <v>30364</v>
      </c>
      <c r="N552" s="214">
        <f>IFERROR(__xludf.DUMMYFUNCTION("""COMPUTED_VALUE"""),0.3431)</f>
        <v>0.3431</v>
      </c>
      <c r="O552" s="213">
        <f>IFERROR(__xludf.DUMMYFUNCTION("""COMPUTED_VALUE"""),1908.0)</f>
        <v>1908</v>
      </c>
      <c r="P552" s="213">
        <f>IFERROR(__xludf.DUMMYFUNCTION("""COMPUTED_VALUE"""),1802.0)</f>
        <v>1802</v>
      </c>
      <c r="Q552" s="214">
        <f>IFERROR(__xludf.DUMMYFUNCTION("""COMPUTED_VALUE"""),0.0204)</f>
        <v>0.0204</v>
      </c>
      <c r="R552" s="214">
        <f>IFERROR(__xludf.DUMMYFUNCTION("""COMPUTED_VALUE"""),0.0594)</f>
        <v>0.0594</v>
      </c>
      <c r="S552" s="101">
        <f>IFERROR(__xludf.DUMMYFUNCTION("""COMPUTED_VALUE"""),12.0)</f>
        <v>12</v>
      </c>
      <c r="T552" s="101">
        <f>IFERROR(__xludf.DUMMYFUNCTION("""COMPUTED_VALUE"""),28.0)</f>
        <v>28</v>
      </c>
      <c r="U552" s="270">
        <f>IFERROR(__xludf.DUMMYFUNCTION("""COMPUTED_VALUE"""),52823.0)</f>
        <v>52823</v>
      </c>
      <c r="V552" s="271" t="str">
        <f>IFERROR(__xludf.DUMMYFUNCTION("""COMPUTED_VALUE"""),"offline")</f>
        <v>offline</v>
      </c>
      <c r="W552" s="272" t="str">
        <f>IFERROR(__xludf.DUMMYFUNCTION("""COMPUTED_VALUE"""),"simple")</f>
        <v>simple</v>
      </c>
      <c r="X552" s="272" t="str">
        <f>IFERROR(__xludf.DUMMYFUNCTION("""COMPUTED_VALUE"""),"Dormant")</f>
        <v>Dormant</v>
      </c>
      <c r="Y552" s="272" t="str">
        <f>IFERROR(__xludf.DUMMYFUNCTION("""COMPUTED_VALUE"""),"2 - 4 May")</f>
        <v>2 - 4 May</v>
      </c>
      <c r="Z552" s="272" t="str">
        <f>IFERROR(__xludf.DUMMYFUNCTION("""COMPUTED_VALUE"""),"69f303b65679c0edbc6c01b0")</f>
        <v>69f303b65679c0edbc6c01b0</v>
      </c>
      <c r="AA552" s="272">
        <f>IFERROR(__xludf.DUMMYFUNCTION("""COMPUTED_VALUE"""),242.0)</f>
        <v>242</v>
      </c>
      <c r="AB552" s="272"/>
      <c r="AC552" s="272">
        <f>IFERROR(__xludf.DUMMYFUNCTION("""COMPUTED_VALUE"""),242.0)</f>
        <v>242</v>
      </c>
      <c r="AD552" s="272">
        <f>IFERROR(__xludf.DUMMYFUNCTION("""COMPUTED_VALUE"""),923141.0)</f>
        <v>923141</v>
      </c>
      <c r="AE552" s="272"/>
      <c r="AF552" s="272">
        <f>IFERROR(__xludf.DUMMYFUNCTION("""COMPUTED_VALUE"""),923141.0)</f>
        <v>923141</v>
      </c>
      <c r="AG552" s="208"/>
      <c r="AH552" s="208"/>
      <c r="AI552" s="208"/>
      <c r="AJ552" s="208"/>
      <c r="AK552" s="208"/>
    </row>
    <row r="553" hidden="1">
      <c r="A553" s="209">
        <f>IFERROR(__xludf.DUMMYFUNCTION("""COMPUTED_VALUE"""),46144.0)</f>
        <v>46144</v>
      </c>
      <c r="B553" s="210">
        <f>IFERROR(__xludf.DUMMYFUNCTION("""COMPUTED_VALUE"""),0.5)</f>
        <v>0.5</v>
      </c>
      <c r="C553" s="211" t="str">
        <f>IFERROR(__xludf.DUMMYFUNCTION("""COMPUTED_VALUE"""),"Whatsapp")</f>
        <v>Whatsapp</v>
      </c>
      <c r="D553" s="211" t="str">
        <f>IFERROR(__xludf.DUMMYFUNCTION("""COMPUTED_VALUE"""),"Promtional")</f>
        <v>Promtional</v>
      </c>
      <c r="E553" s="211" t="str">
        <f>IFERROR(__xludf.DUMMYFUNCTION("""COMPUTED_VALUE"""),"BBW")</f>
        <v>BBW</v>
      </c>
      <c r="F553" s="211" t="str">
        <f>IFERROR(__xludf.DUMMYFUNCTION("""COMPUTED_VALUE"""),"B1G1 - Entire Store")</f>
        <v>B1G1 - Entire Store</v>
      </c>
      <c r="G553" s="212" t="str">
        <f>IFERROR(__xludf.DUMMYFUNCTION("""COMPUTED_VALUE"""),"bbw_on_wa_2may_buy1get1_bc_carousel")</f>
        <v>bbw_on_wa_2may_buy1get1_bc_carousel</v>
      </c>
      <c r="H553" s="212" t="str">
        <f>IFERROR(__xludf.DUMMYFUNCTION("""COMPUTED_VALUE"""),"BC_2_Times_ON")</f>
        <v>BC_2_Times_ON</v>
      </c>
      <c r="I553" s="212" t="str">
        <f>IFERROR(__xludf.DUMMYFUNCTION("""COMPUTED_VALUE"""),"Customers who have 2 or more purchases in last 36 Months from L2 Cat: Body Care")</f>
        <v>Customers who have 2 or more purchases in last 36 Months from L2 Cat: Body Care</v>
      </c>
      <c r="J553" s="213">
        <f>IFERROR(__xludf.DUMMYFUNCTION("""COMPUTED_VALUE"""),20100.0)</f>
        <v>20100</v>
      </c>
      <c r="K553" s="213">
        <f>IFERROR(__xludf.DUMMYFUNCTION("""COMPUTED_VALUE"""),8163.0)</f>
        <v>8163</v>
      </c>
      <c r="L553" s="214">
        <f>IFERROR(__xludf.DUMMYFUNCTION("""COMPUTED_VALUE"""),0.4059)</f>
        <v>0.4059</v>
      </c>
      <c r="M553" s="213">
        <f>IFERROR(__xludf.DUMMYFUNCTION("""COMPUTED_VALUE"""),3401.0)</f>
        <v>3401</v>
      </c>
      <c r="N553" s="214">
        <f>IFERROR(__xludf.DUMMYFUNCTION("""COMPUTED_VALUE"""),0.4166)</f>
        <v>0.4166</v>
      </c>
      <c r="O553" s="213">
        <f>IFERROR(__xludf.DUMMYFUNCTION("""COMPUTED_VALUE"""),292.0)</f>
        <v>292</v>
      </c>
      <c r="P553" s="213">
        <f>IFERROR(__xludf.DUMMYFUNCTION("""COMPUTED_VALUE"""),271.0)</f>
        <v>271</v>
      </c>
      <c r="Q553" s="214">
        <f>IFERROR(__xludf.DUMMYFUNCTION("""COMPUTED_VALUE"""),0.0332)</f>
        <v>0.0332</v>
      </c>
      <c r="R553" s="214">
        <f>IFERROR(__xludf.DUMMYFUNCTION("""COMPUTED_VALUE"""),0.0797)</f>
        <v>0.0797</v>
      </c>
      <c r="S553" s="101">
        <f>IFERROR(__xludf.DUMMYFUNCTION("""COMPUTED_VALUE"""),8.0)</f>
        <v>8</v>
      </c>
      <c r="T553" s="101">
        <f>IFERROR(__xludf.DUMMYFUNCTION("""COMPUTED_VALUE"""),21.0)</f>
        <v>21</v>
      </c>
      <c r="U553" s="270">
        <f>IFERROR(__xludf.DUMMYFUNCTION("""COMPUTED_VALUE"""),38161.0)</f>
        <v>38161</v>
      </c>
      <c r="V553" s="271" t="str">
        <f>IFERROR(__xludf.DUMMYFUNCTION("""COMPUTED_VALUE"""),"online")</f>
        <v>online</v>
      </c>
      <c r="W553" s="272" t="str">
        <f>IFERROR(__xludf.DUMMYFUNCTION("""COMPUTED_VALUE"""),"carousel")</f>
        <v>carousel</v>
      </c>
      <c r="X553" s="272" t="str">
        <f>IFERROR(__xludf.DUMMYFUNCTION("""COMPUTED_VALUE"""),"Repeat - Body Care")</f>
        <v>Repeat - Body Care</v>
      </c>
      <c r="Y553" s="272" t="str">
        <f>IFERROR(__xludf.DUMMYFUNCTION("""COMPUTED_VALUE"""),"2 - 4 May")</f>
        <v>2 - 4 May</v>
      </c>
      <c r="Z553" s="272" t="str">
        <f>IFERROR(__xludf.DUMMYFUNCTION("""COMPUTED_VALUE"""),"69f30fadbaad6bb6ca2deee6")</f>
        <v>69f30fadbaad6bb6ca2deee6</v>
      </c>
      <c r="AA553" s="272">
        <f>IFERROR(__xludf.DUMMYFUNCTION("""COMPUTED_VALUE"""),28.0)</f>
        <v>28</v>
      </c>
      <c r="AB553" s="272">
        <f>IFERROR(__xludf.DUMMYFUNCTION("""COMPUTED_VALUE"""),28.0)</f>
        <v>28</v>
      </c>
      <c r="AC553" s="272"/>
      <c r="AD553" s="272">
        <f>IFERROR(__xludf.DUMMYFUNCTION("""COMPUTED_VALUE"""),92858.0)</f>
        <v>92858</v>
      </c>
      <c r="AE553" s="272">
        <f>IFERROR(__xludf.DUMMYFUNCTION("""COMPUTED_VALUE"""),92858.0)</f>
        <v>92858</v>
      </c>
      <c r="AF553" s="272"/>
      <c r="AG553" s="208"/>
      <c r="AH553" s="208"/>
      <c r="AI553" s="208"/>
      <c r="AJ553" s="208"/>
      <c r="AK553" s="208"/>
    </row>
    <row r="554" hidden="1">
      <c r="A554" s="209">
        <f>IFERROR(__xludf.DUMMYFUNCTION("""COMPUTED_VALUE"""),46144.0)</f>
        <v>46144</v>
      </c>
      <c r="B554" s="210">
        <f>IFERROR(__xludf.DUMMYFUNCTION("""COMPUTED_VALUE"""),0.5)</f>
        <v>0.5</v>
      </c>
      <c r="C554" s="211" t="str">
        <f>IFERROR(__xludf.DUMMYFUNCTION("""COMPUTED_VALUE"""),"Whatsapp")</f>
        <v>Whatsapp</v>
      </c>
      <c r="D554" s="211" t="str">
        <f>IFERROR(__xludf.DUMMYFUNCTION("""COMPUTED_VALUE"""),"Promtional")</f>
        <v>Promtional</v>
      </c>
      <c r="E554" s="211" t="str">
        <f>IFERROR(__xludf.DUMMYFUNCTION("""COMPUTED_VALUE"""),"BBW")</f>
        <v>BBW</v>
      </c>
      <c r="F554" s="211" t="str">
        <f>IFERROR(__xludf.DUMMYFUNCTION("""COMPUTED_VALUE"""),"B1G1 - Entire Store")</f>
        <v>B1G1 - Entire Store</v>
      </c>
      <c r="G554" s="212" t="str">
        <f>IFERROR(__xludf.DUMMYFUNCTION("""COMPUTED_VALUE"""),"bbw_on_wa_2may_buy1get1_soaps_carousel")</f>
        <v>bbw_on_wa_2may_buy1get1_soaps_carousel</v>
      </c>
      <c r="H554" s="212" t="str">
        <f>IFERROR(__xludf.DUMMYFUNCTION("""COMPUTED_VALUE"""),"Soaps_Sanitisers_2_Times_ON")</f>
        <v>Soaps_Sanitisers_2_Times_ON</v>
      </c>
      <c r="I554" s="212" t="str">
        <f>IFERROR(__xludf.DUMMYFUNCTION("""COMPUTED_VALUE"""),"Customers who have 2 or more purchases in last 36 Months from L2 Cat: Soaps &amp; Sanitisers")</f>
        <v>Customers who have 2 or more purchases in last 36 Months from L2 Cat: Soaps &amp; Sanitisers</v>
      </c>
      <c r="J554" s="213">
        <f>IFERROR(__xludf.DUMMYFUNCTION("""COMPUTED_VALUE"""),3241.0)</f>
        <v>3241</v>
      </c>
      <c r="K554" s="213">
        <f>IFERROR(__xludf.DUMMYFUNCTION("""COMPUTED_VALUE"""),1021.0)</f>
        <v>1021</v>
      </c>
      <c r="L554" s="214">
        <f>IFERROR(__xludf.DUMMYFUNCTION("""COMPUTED_VALUE"""),0.3147)</f>
        <v>0.3147</v>
      </c>
      <c r="M554" s="213">
        <f>IFERROR(__xludf.DUMMYFUNCTION("""COMPUTED_VALUE"""),431.0)</f>
        <v>431</v>
      </c>
      <c r="N554" s="214">
        <f>IFERROR(__xludf.DUMMYFUNCTION("""COMPUTED_VALUE"""),0.4225)</f>
        <v>0.4225</v>
      </c>
      <c r="O554" s="213">
        <f>IFERROR(__xludf.DUMMYFUNCTION("""COMPUTED_VALUE"""),50.0)</f>
        <v>50</v>
      </c>
      <c r="P554" s="213">
        <f>IFERROR(__xludf.DUMMYFUNCTION("""COMPUTED_VALUE"""),49.0)</f>
        <v>49</v>
      </c>
      <c r="Q554" s="214">
        <f>IFERROR(__xludf.DUMMYFUNCTION("""COMPUTED_VALUE"""),0.048)</f>
        <v>0.048</v>
      </c>
      <c r="R554" s="214">
        <f>IFERROR(__xludf.DUMMYFUNCTION("""COMPUTED_VALUE"""),0.1137)</f>
        <v>0.1137</v>
      </c>
      <c r="S554" s="101">
        <f>IFERROR(__xludf.DUMMYFUNCTION("""COMPUTED_VALUE"""),2.0)</f>
        <v>2</v>
      </c>
      <c r="T554" s="101">
        <f>IFERROR(__xludf.DUMMYFUNCTION("""COMPUTED_VALUE"""),3.0)</f>
        <v>3</v>
      </c>
      <c r="U554" s="270">
        <f>IFERROR(__xludf.DUMMYFUNCTION("""COMPUTED_VALUE"""),2946.0)</f>
        <v>2946</v>
      </c>
      <c r="V554" s="271" t="str">
        <f>IFERROR(__xludf.DUMMYFUNCTION("""COMPUTED_VALUE"""),"online")</f>
        <v>online</v>
      </c>
      <c r="W554" s="272" t="str">
        <f>IFERROR(__xludf.DUMMYFUNCTION("""COMPUTED_VALUE"""),"carousel")</f>
        <v>carousel</v>
      </c>
      <c r="X554" s="272" t="str">
        <f>IFERROR(__xludf.DUMMYFUNCTION("""COMPUTED_VALUE"""),"Repeat - Soaps and Sanitisers")</f>
        <v>Repeat - Soaps and Sanitisers</v>
      </c>
      <c r="Y554" s="272" t="str">
        <f>IFERROR(__xludf.DUMMYFUNCTION("""COMPUTED_VALUE"""),"2 - 4 May")</f>
        <v>2 - 4 May</v>
      </c>
      <c r="Z554" s="272" t="str">
        <f>IFERROR(__xludf.DUMMYFUNCTION("""COMPUTED_VALUE"""),"69f30fc5ba106ee58de4fe6b")</f>
        <v>69f30fc5ba106ee58de4fe6b</v>
      </c>
      <c r="AA554" s="272">
        <f>IFERROR(__xludf.DUMMYFUNCTION("""COMPUTED_VALUE"""),5.0)</f>
        <v>5</v>
      </c>
      <c r="AB554" s="272">
        <f>IFERROR(__xludf.DUMMYFUNCTION("""COMPUTED_VALUE"""),5.0)</f>
        <v>5</v>
      </c>
      <c r="AC554" s="272"/>
      <c r="AD554" s="272">
        <f>IFERROR(__xludf.DUMMYFUNCTION("""COMPUTED_VALUE"""),18285.0)</f>
        <v>18285</v>
      </c>
      <c r="AE554" s="272">
        <f>IFERROR(__xludf.DUMMYFUNCTION("""COMPUTED_VALUE"""),18285.0)</f>
        <v>18285</v>
      </c>
      <c r="AF554" s="272"/>
      <c r="AG554" s="208"/>
      <c r="AH554" s="208"/>
      <c r="AI554" s="208"/>
      <c r="AJ554" s="208"/>
      <c r="AK554" s="208"/>
    </row>
    <row r="555" hidden="1">
      <c r="A555" s="209">
        <f>IFERROR(__xludf.DUMMYFUNCTION("""COMPUTED_VALUE"""),46144.0)</f>
        <v>46144</v>
      </c>
      <c r="B555" s="210">
        <f>IFERROR(__xludf.DUMMYFUNCTION("""COMPUTED_VALUE"""),0.5)</f>
        <v>0.5</v>
      </c>
      <c r="C555" s="211" t="str">
        <f>IFERROR(__xludf.DUMMYFUNCTION("""COMPUTED_VALUE"""),"Whatsapp")</f>
        <v>Whatsapp</v>
      </c>
      <c r="D555" s="211" t="str">
        <f>IFERROR(__xludf.DUMMYFUNCTION("""COMPUTED_VALUE"""),"Promtional")</f>
        <v>Promtional</v>
      </c>
      <c r="E555" s="211" t="str">
        <f>IFERROR(__xludf.DUMMYFUNCTION("""COMPUTED_VALUE"""),"BBW")</f>
        <v>BBW</v>
      </c>
      <c r="F555" s="211" t="str">
        <f>IFERROR(__xludf.DUMMYFUNCTION("""COMPUTED_VALUE"""),"B1G1 - Entire Store")</f>
        <v>B1G1 - Entire Store</v>
      </c>
      <c r="G555" s="212" t="str">
        <f>IFERROR(__xludf.DUMMYFUNCTION("""COMPUTED_VALUE"""),"bbw_on_wa_2may_buy1get1_mens_carousel")</f>
        <v>bbw_on_wa_2may_buy1get1_mens_carousel</v>
      </c>
      <c r="H555" s="212" t="str">
        <f>IFERROR(__xludf.DUMMYFUNCTION("""COMPUTED_VALUE"""),"Mens_2_Times_ON")</f>
        <v>Mens_2_Times_ON</v>
      </c>
      <c r="I555" s="212" t="str">
        <f>IFERROR(__xludf.DUMMYFUNCTION("""COMPUTED_VALUE"""),"Customers who have 2 or more purchases in last 36 Months from Gender: Men")</f>
        <v>Customers who have 2 or more purchases in last 36 Months from Gender: Men</v>
      </c>
      <c r="J555" s="213">
        <f>IFERROR(__xludf.DUMMYFUNCTION("""COMPUTED_VALUE"""),1322.0)</f>
        <v>1322</v>
      </c>
      <c r="K555" s="213">
        <f>IFERROR(__xludf.DUMMYFUNCTION("""COMPUTED_VALUE"""),519.0)</f>
        <v>519</v>
      </c>
      <c r="L555" s="214">
        <f>IFERROR(__xludf.DUMMYFUNCTION("""COMPUTED_VALUE"""),0.3926)</f>
        <v>0.3926</v>
      </c>
      <c r="M555" s="213">
        <f>IFERROR(__xludf.DUMMYFUNCTION("""COMPUTED_VALUE"""),206.0)</f>
        <v>206</v>
      </c>
      <c r="N555" s="214">
        <f>IFERROR(__xludf.DUMMYFUNCTION("""COMPUTED_VALUE"""),0.3969)</f>
        <v>0.3969</v>
      </c>
      <c r="O555" s="213">
        <f>IFERROR(__xludf.DUMMYFUNCTION("""COMPUTED_VALUE"""),22.0)</f>
        <v>22</v>
      </c>
      <c r="P555" s="213">
        <f>IFERROR(__xludf.DUMMYFUNCTION("""COMPUTED_VALUE"""),22.0)</f>
        <v>22</v>
      </c>
      <c r="Q555" s="214">
        <f>IFERROR(__xludf.DUMMYFUNCTION("""COMPUTED_VALUE"""),0.0424)</f>
        <v>0.0424</v>
      </c>
      <c r="R555" s="214">
        <f>IFERROR(__xludf.DUMMYFUNCTION("""COMPUTED_VALUE"""),0.1068)</f>
        <v>0.1068</v>
      </c>
      <c r="S555" s="101">
        <f>IFERROR(__xludf.DUMMYFUNCTION("""COMPUTED_VALUE"""),0.0)</f>
        <v>0</v>
      </c>
      <c r="T555" s="101">
        <f>IFERROR(__xludf.DUMMYFUNCTION("""COMPUTED_VALUE"""),2.0)</f>
        <v>2</v>
      </c>
      <c r="U555" s="270">
        <f>IFERROR(__xludf.DUMMYFUNCTION("""COMPUTED_VALUE"""),0.0)</f>
        <v>0</v>
      </c>
      <c r="V555" s="271" t="str">
        <f>IFERROR(__xludf.DUMMYFUNCTION("""COMPUTED_VALUE"""),"online")</f>
        <v>online</v>
      </c>
      <c r="W555" s="272" t="str">
        <f>IFERROR(__xludf.DUMMYFUNCTION("""COMPUTED_VALUE"""),"carousel")</f>
        <v>carousel</v>
      </c>
      <c r="X555" s="272" t="str">
        <f>IFERROR(__xludf.DUMMYFUNCTION("""COMPUTED_VALUE"""),"Repeat - Mens Category")</f>
        <v>Repeat - Mens Category</v>
      </c>
      <c r="Y555" s="272" t="str">
        <f>IFERROR(__xludf.DUMMYFUNCTION("""COMPUTED_VALUE"""),"2 - 4 May")</f>
        <v>2 - 4 May</v>
      </c>
      <c r="Z555" s="272" t="str">
        <f>IFERROR(__xludf.DUMMYFUNCTION("""COMPUTED_VALUE"""),"69f30fe9d3603f881275f19a")</f>
        <v>69f30fe9d3603f881275f19a</v>
      </c>
      <c r="AA555" s="272"/>
      <c r="AB555" s="272"/>
      <c r="AC555" s="272"/>
      <c r="AD555" s="272"/>
      <c r="AE555" s="272"/>
      <c r="AF555" s="272"/>
      <c r="AG555" s="208"/>
      <c r="AH555" s="208"/>
      <c r="AI555" s="208"/>
      <c r="AJ555" s="208"/>
      <c r="AK555" s="208"/>
    </row>
    <row r="556" hidden="1">
      <c r="A556" s="209">
        <f>IFERROR(__xludf.DUMMYFUNCTION("""COMPUTED_VALUE"""),46144.0)</f>
        <v>46144</v>
      </c>
      <c r="B556" s="210">
        <f>IFERROR(__xludf.DUMMYFUNCTION("""COMPUTED_VALUE"""),0.5)</f>
        <v>0.5</v>
      </c>
      <c r="C556" s="211" t="str">
        <f>IFERROR(__xludf.DUMMYFUNCTION("""COMPUTED_VALUE"""),"Whatsapp")</f>
        <v>Whatsapp</v>
      </c>
      <c r="D556" s="211" t="str">
        <f>IFERROR(__xludf.DUMMYFUNCTION("""COMPUTED_VALUE"""),"Promtional")</f>
        <v>Promtional</v>
      </c>
      <c r="E556" s="211" t="str">
        <f>IFERROR(__xludf.DUMMYFUNCTION("""COMPUTED_VALUE"""),"BBW")</f>
        <v>BBW</v>
      </c>
      <c r="F556" s="211" t="str">
        <f>IFERROR(__xludf.DUMMYFUNCTION("""COMPUTED_VALUE"""),"B1G1 - Entire Store")</f>
        <v>B1G1 - Entire Store</v>
      </c>
      <c r="G556" s="212" t="str">
        <f>IFERROR(__xludf.DUMMYFUNCTION("""COMPUTED_VALUE"""),"bbw_on_wa_2may_buy1get1_candles_carousel")</f>
        <v>bbw_on_wa_2may_buy1get1_candles_carousel</v>
      </c>
      <c r="H556" s="212" t="str">
        <f>IFERROR(__xludf.DUMMYFUNCTION("""COMPUTED_VALUE"""),"Candles_2_Times_ON")</f>
        <v>Candles_2_Times_ON</v>
      </c>
      <c r="I556" s="212" t="str">
        <f>IFERROR(__xludf.DUMMYFUNCTION("""COMPUTED_VALUE"""),"Customers who have 2 or more purchases in last 36 Months from L3 Cat: Candles")</f>
        <v>Customers who have 2 or more purchases in last 36 Months from L3 Cat: Candles</v>
      </c>
      <c r="J556" s="213">
        <f>IFERROR(__xludf.DUMMYFUNCTION("""COMPUTED_VALUE"""),2474.0)</f>
        <v>2474</v>
      </c>
      <c r="K556" s="213">
        <f>IFERROR(__xludf.DUMMYFUNCTION("""COMPUTED_VALUE"""),922.0)</f>
        <v>922</v>
      </c>
      <c r="L556" s="214">
        <f>IFERROR(__xludf.DUMMYFUNCTION("""COMPUTED_VALUE"""),0.3727)</f>
        <v>0.3727</v>
      </c>
      <c r="M556" s="213">
        <f>IFERROR(__xludf.DUMMYFUNCTION("""COMPUTED_VALUE"""),265.0)</f>
        <v>265</v>
      </c>
      <c r="N556" s="214">
        <f>IFERROR(__xludf.DUMMYFUNCTION("""COMPUTED_VALUE"""),0.2874)</f>
        <v>0.2874</v>
      </c>
      <c r="O556" s="213">
        <f>IFERROR(__xludf.DUMMYFUNCTION("""COMPUTED_VALUE"""),42.0)</f>
        <v>42</v>
      </c>
      <c r="P556" s="213">
        <f>IFERROR(__xludf.DUMMYFUNCTION("""COMPUTED_VALUE"""),41.0)</f>
        <v>41</v>
      </c>
      <c r="Q556" s="214">
        <f>IFERROR(__xludf.DUMMYFUNCTION("""COMPUTED_VALUE"""),0.0445)</f>
        <v>0.0445</v>
      </c>
      <c r="R556" s="214">
        <f>IFERROR(__xludf.DUMMYFUNCTION("""COMPUTED_VALUE"""),0.1547)</f>
        <v>0.1547</v>
      </c>
      <c r="S556" s="101">
        <f>IFERROR(__xludf.DUMMYFUNCTION("""COMPUTED_VALUE"""),0.0)</f>
        <v>0</v>
      </c>
      <c r="T556" s="101">
        <f>IFERROR(__xludf.DUMMYFUNCTION("""COMPUTED_VALUE"""),1.0)</f>
        <v>1</v>
      </c>
      <c r="U556" s="270">
        <f>IFERROR(__xludf.DUMMYFUNCTION("""COMPUTED_VALUE"""),0.0)</f>
        <v>0</v>
      </c>
      <c r="V556" s="271" t="str">
        <f>IFERROR(__xludf.DUMMYFUNCTION("""COMPUTED_VALUE"""),"online")</f>
        <v>online</v>
      </c>
      <c r="W556" s="272" t="str">
        <f>IFERROR(__xludf.DUMMYFUNCTION("""COMPUTED_VALUE"""),"carousel")</f>
        <v>carousel</v>
      </c>
      <c r="X556" s="272" t="str">
        <f>IFERROR(__xludf.DUMMYFUNCTION("""COMPUTED_VALUE"""),"Repeat - Candles")</f>
        <v>Repeat - Candles</v>
      </c>
      <c r="Y556" s="272" t="str">
        <f>IFERROR(__xludf.DUMMYFUNCTION("""COMPUTED_VALUE"""),"2 - 4 May")</f>
        <v>2 - 4 May</v>
      </c>
      <c r="Z556" s="272" t="str">
        <f>IFERROR(__xludf.DUMMYFUNCTION("""COMPUTED_VALUE"""),"69f30ffe048faedb21d92b95")</f>
        <v>69f30ffe048faedb21d92b95</v>
      </c>
      <c r="AA556" s="272">
        <f>IFERROR(__xludf.DUMMYFUNCTION("""COMPUTED_VALUE"""),1.0)</f>
        <v>1</v>
      </c>
      <c r="AB556" s="272">
        <f>IFERROR(__xludf.DUMMYFUNCTION("""COMPUTED_VALUE"""),1.0)</f>
        <v>1</v>
      </c>
      <c r="AC556" s="272"/>
      <c r="AD556" s="272">
        <f>IFERROR(__xludf.DUMMYFUNCTION("""COMPUTED_VALUE"""),3091.0)</f>
        <v>3091</v>
      </c>
      <c r="AE556" s="272">
        <f>IFERROR(__xludf.DUMMYFUNCTION("""COMPUTED_VALUE"""),3091.0)</f>
        <v>3091</v>
      </c>
      <c r="AF556" s="272"/>
      <c r="AG556" s="208"/>
      <c r="AH556" s="208"/>
      <c r="AI556" s="208"/>
      <c r="AJ556" s="208"/>
      <c r="AK556" s="208"/>
    </row>
    <row r="557" hidden="1">
      <c r="A557" s="209">
        <f>IFERROR(__xludf.DUMMYFUNCTION("""COMPUTED_VALUE"""),46144.0)</f>
        <v>46144</v>
      </c>
      <c r="B557" s="210">
        <f>IFERROR(__xludf.DUMMYFUNCTION("""COMPUTED_VALUE"""),0.8333333333321207)</f>
        <v>0.8333333333</v>
      </c>
      <c r="C557" s="211" t="str">
        <f>IFERROR(__xludf.DUMMYFUNCTION("""COMPUTED_VALUE"""),"Sms")</f>
        <v>Sms</v>
      </c>
      <c r="D557" s="211" t="str">
        <f>IFERROR(__xludf.DUMMYFUNCTION("""COMPUTED_VALUE"""),"Fallback campaign")</f>
        <v>Fallback campaign</v>
      </c>
      <c r="E557" s="211" t="str">
        <f>IFERROR(__xludf.DUMMYFUNCTION("""COMPUTED_VALUE"""),"BBW")</f>
        <v>BBW</v>
      </c>
      <c r="F557" s="211" t="str">
        <f>IFERROR(__xludf.DUMMYFUNCTION("""COMPUTED_VALUE"""),"B1G1 - Entire Store")</f>
        <v>B1G1 - Entire Store</v>
      </c>
      <c r="G557" s="212" t="str">
        <f>IFERROR(__xludf.DUMMYFUNCTION("""COMPUTED_VALUE"""),"bbw_offline_smsfb_2may_buy1get1_loyal_lastreminder")</f>
        <v>bbw_offline_smsfb_2may_buy1get1_loyal_lastreminder</v>
      </c>
      <c r="H557" s="212" t="str">
        <f>IFERROR(__xludf.DUMMYFUNCTION("""COMPUTED_VALUE"""),"Loyal_OFF")</f>
        <v>Loyal_OFF</v>
      </c>
      <c r="I557" s="212" t="str">
        <f>IFERROR(__xludf.DUMMYFUNCTION("""COMPUTED_VALUE"""),"WA Undelivered")</f>
        <v>WA Undelivered</v>
      </c>
      <c r="J557" s="213">
        <f>IFERROR(__xludf.DUMMYFUNCTION("""COMPUTED_VALUE"""),6738.0)</f>
        <v>6738</v>
      </c>
      <c r="K557" s="213">
        <f>IFERROR(__xludf.DUMMYFUNCTION("""COMPUTED_VALUE"""),3481.0)</f>
        <v>3481</v>
      </c>
      <c r="L557" s="214">
        <f>IFERROR(__xludf.DUMMYFUNCTION("""COMPUTED_VALUE"""),0.5166)</f>
        <v>0.5166</v>
      </c>
      <c r="M557" s="213">
        <f>IFERROR(__xludf.DUMMYFUNCTION("""COMPUTED_VALUE"""),0.0)</f>
        <v>0</v>
      </c>
      <c r="N557" s="214">
        <f>IFERROR(__xludf.DUMMYFUNCTION("""COMPUTED_VALUE"""),0.0)</f>
        <v>0</v>
      </c>
      <c r="O557" s="213">
        <f>IFERROR(__xludf.DUMMYFUNCTION("""COMPUTED_VALUE"""),7.0)</f>
        <v>7</v>
      </c>
      <c r="P557" s="213">
        <f>IFERROR(__xludf.DUMMYFUNCTION("""COMPUTED_VALUE"""),0.0)</f>
        <v>0</v>
      </c>
      <c r="Q557" s="214">
        <f>IFERROR(__xludf.DUMMYFUNCTION("""COMPUTED_VALUE"""),0.002)</f>
        <v>0.002</v>
      </c>
      <c r="R557" s="214">
        <f>IFERROR(__xludf.DUMMYFUNCTION("""COMPUTED_VALUE"""),0.0)</f>
        <v>0</v>
      </c>
      <c r="S557" s="101">
        <f>IFERROR(__xludf.DUMMYFUNCTION("""COMPUTED_VALUE"""),0.0)</f>
        <v>0</v>
      </c>
      <c r="T557" s="101">
        <f>IFERROR(__xludf.DUMMYFUNCTION("""COMPUTED_VALUE"""),1.0)</f>
        <v>1</v>
      </c>
      <c r="U557" s="270">
        <f>IFERROR(__xludf.DUMMYFUNCTION("""COMPUTED_VALUE"""),0.0)</f>
        <v>0</v>
      </c>
      <c r="V557" s="271" t="str">
        <f>IFERROR(__xludf.DUMMYFUNCTION("""COMPUTED_VALUE"""),"offline")</f>
        <v>offline</v>
      </c>
      <c r="W557" s="272" t="str">
        <f>IFERROR(__xludf.DUMMYFUNCTION("""COMPUTED_VALUE"""),"sms")</f>
        <v>sms</v>
      </c>
      <c r="X557" s="272" t="str">
        <f>IFERROR(__xludf.DUMMYFUNCTION("""COMPUTED_VALUE"""),"Loyal")</f>
        <v>Loyal</v>
      </c>
      <c r="Y557" s="272" t="str">
        <f>IFERROR(__xludf.DUMMYFUNCTION("""COMPUTED_VALUE"""),"02 May")</f>
        <v>02 May</v>
      </c>
      <c r="Z557" s="272" t="str">
        <f>IFERROR(__xludf.DUMMYFUNCTION("""COMPUTED_VALUE"""),"69f3131f047431f2efda9e11")</f>
        <v>69f3131f047431f2efda9e11</v>
      </c>
      <c r="AA557" s="272">
        <f>IFERROR(__xludf.DUMMYFUNCTION("""COMPUTED_VALUE"""),40.0)</f>
        <v>40</v>
      </c>
      <c r="AB557" s="272"/>
      <c r="AC557" s="272">
        <f>IFERROR(__xludf.DUMMYFUNCTION("""COMPUTED_VALUE"""),40.0)</f>
        <v>40</v>
      </c>
      <c r="AD557" s="272">
        <f>IFERROR(__xludf.DUMMYFUNCTION("""COMPUTED_VALUE"""),162402.0)</f>
        <v>162402</v>
      </c>
      <c r="AE557" s="272"/>
      <c r="AF557" s="272">
        <f>IFERROR(__xludf.DUMMYFUNCTION("""COMPUTED_VALUE"""),162402.0)</f>
        <v>162402</v>
      </c>
      <c r="AG557" s="208"/>
      <c r="AH557" s="208"/>
      <c r="AI557" s="208"/>
      <c r="AJ557" s="208"/>
      <c r="AK557" s="208"/>
    </row>
    <row r="558" hidden="1">
      <c r="A558" s="209">
        <f>IFERROR(__xludf.DUMMYFUNCTION("""COMPUTED_VALUE"""),46144.0)</f>
        <v>46144</v>
      </c>
      <c r="B558" s="210">
        <f>IFERROR(__xludf.DUMMYFUNCTION("""COMPUTED_VALUE"""),0.8333333333321207)</f>
        <v>0.8333333333</v>
      </c>
      <c r="C558" s="211" t="str">
        <f>IFERROR(__xludf.DUMMYFUNCTION("""COMPUTED_VALUE"""),"Sms")</f>
        <v>Sms</v>
      </c>
      <c r="D558" s="211" t="str">
        <f>IFERROR(__xludf.DUMMYFUNCTION("""COMPUTED_VALUE"""),"Fallback campaign")</f>
        <v>Fallback campaign</v>
      </c>
      <c r="E558" s="211" t="str">
        <f>IFERROR(__xludf.DUMMYFUNCTION("""COMPUTED_VALUE"""),"BBW")</f>
        <v>BBW</v>
      </c>
      <c r="F558" s="211" t="str">
        <f>IFERROR(__xludf.DUMMYFUNCTION("""COMPUTED_VALUE"""),"B1G1 - Entire Store")</f>
        <v>B1G1 - Entire Store</v>
      </c>
      <c r="G558" s="212" t="str">
        <f>IFERROR(__xludf.DUMMYFUNCTION("""COMPUTED_VALUE"""),"bbw_offline_smsfb_2may_buy1get1_repeat_lastreminder")</f>
        <v>bbw_offline_smsfb_2may_buy1get1_repeat_lastreminder</v>
      </c>
      <c r="H558" s="212" t="str">
        <f>IFERROR(__xludf.DUMMYFUNCTION("""COMPUTED_VALUE"""),"Repeat_OFF")</f>
        <v>Repeat_OFF</v>
      </c>
      <c r="I558" s="212" t="str">
        <f>IFERROR(__xludf.DUMMYFUNCTION("""COMPUTED_VALUE"""),"WA Undelivered")</f>
        <v>WA Undelivered</v>
      </c>
      <c r="J558" s="213">
        <f>IFERROR(__xludf.DUMMYFUNCTION("""COMPUTED_VALUE"""),12254.0)</f>
        <v>12254</v>
      </c>
      <c r="K558" s="213">
        <f>IFERROR(__xludf.DUMMYFUNCTION("""COMPUTED_VALUE"""),6798.0)</f>
        <v>6798</v>
      </c>
      <c r="L558" s="214">
        <f>IFERROR(__xludf.DUMMYFUNCTION("""COMPUTED_VALUE"""),0.5548)</f>
        <v>0.5548</v>
      </c>
      <c r="M558" s="213">
        <f>IFERROR(__xludf.DUMMYFUNCTION("""COMPUTED_VALUE"""),0.0)</f>
        <v>0</v>
      </c>
      <c r="N558" s="214">
        <f>IFERROR(__xludf.DUMMYFUNCTION("""COMPUTED_VALUE"""),0.0)</f>
        <v>0</v>
      </c>
      <c r="O558" s="213">
        <f>IFERROR(__xludf.DUMMYFUNCTION("""COMPUTED_VALUE"""),9.0)</f>
        <v>9</v>
      </c>
      <c r="P558" s="213">
        <f>IFERROR(__xludf.DUMMYFUNCTION("""COMPUTED_VALUE"""),0.0)</f>
        <v>0</v>
      </c>
      <c r="Q558" s="214">
        <f>IFERROR(__xludf.DUMMYFUNCTION("""COMPUTED_VALUE"""),0.0013)</f>
        <v>0.0013</v>
      </c>
      <c r="R558" s="214">
        <f>IFERROR(__xludf.DUMMYFUNCTION("""COMPUTED_VALUE"""),0.0)</f>
        <v>0</v>
      </c>
      <c r="S558" s="101">
        <f>IFERROR(__xludf.DUMMYFUNCTION("""COMPUTED_VALUE"""),3.0)</f>
        <v>3</v>
      </c>
      <c r="T558" s="101">
        <f>IFERROR(__xludf.DUMMYFUNCTION("""COMPUTED_VALUE"""),1.0)</f>
        <v>1</v>
      </c>
      <c r="U558" s="270">
        <f>IFERROR(__xludf.DUMMYFUNCTION("""COMPUTED_VALUE"""),24780.0)</f>
        <v>24780</v>
      </c>
      <c r="V558" s="271" t="str">
        <f>IFERROR(__xludf.DUMMYFUNCTION("""COMPUTED_VALUE"""),"offline")</f>
        <v>offline</v>
      </c>
      <c r="W558" s="272" t="str">
        <f>IFERROR(__xludf.DUMMYFUNCTION("""COMPUTED_VALUE"""),"sms")</f>
        <v>sms</v>
      </c>
      <c r="X558" s="272" t="str">
        <f>IFERROR(__xludf.DUMMYFUNCTION("""COMPUTED_VALUE"""),"Repeat")</f>
        <v>Repeat</v>
      </c>
      <c r="Y558" s="272" t="str">
        <f>IFERROR(__xludf.DUMMYFUNCTION("""COMPUTED_VALUE"""),"02 May")</f>
        <v>02 May</v>
      </c>
      <c r="Z558" s="272" t="str">
        <f>IFERROR(__xludf.DUMMYFUNCTION("""COMPUTED_VALUE"""),"69f31377e278b0bdceac9996")</f>
        <v>69f31377e278b0bdceac9996</v>
      </c>
      <c r="AA558" s="272">
        <f>IFERROR(__xludf.DUMMYFUNCTION("""COMPUTED_VALUE"""),24.0)</f>
        <v>24</v>
      </c>
      <c r="AB558" s="272"/>
      <c r="AC558" s="272">
        <f>IFERROR(__xludf.DUMMYFUNCTION("""COMPUTED_VALUE"""),24.0)</f>
        <v>24</v>
      </c>
      <c r="AD558" s="272">
        <f>IFERROR(__xludf.DUMMYFUNCTION("""COMPUTED_VALUE"""),76157.0)</f>
        <v>76157</v>
      </c>
      <c r="AE558" s="272"/>
      <c r="AF558" s="272">
        <f>IFERROR(__xludf.DUMMYFUNCTION("""COMPUTED_VALUE"""),76157.0)</f>
        <v>76157</v>
      </c>
      <c r="AG558" s="208"/>
      <c r="AH558" s="208"/>
      <c r="AI558" s="208"/>
      <c r="AJ558" s="208"/>
      <c r="AK558" s="208"/>
    </row>
    <row r="559" hidden="1">
      <c r="A559" s="209">
        <f>IFERROR(__xludf.DUMMYFUNCTION("""COMPUTED_VALUE"""),46144.0)</f>
        <v>46144</v>
      </c>
      <c r="B559" s="210">
        <f>IFERROR(__xludf.DUMMYFUNCTION("""COMPUTED_VALUE"""),0.8333333333321207)</f>
        <v>0.8333333333</v>
      </c>
      <c r="C559" s="211" t="str">
        <f>IFERROR(__xludf.DUMMYFUNCTION("""COMPUTED_VALUE"""),"Sms")</f>
        <v>Sms</v>
      </c>
      <c r="D559" s="211" t="str">
        <f>IFERROR(__xludf.DUMMYFUNCTION("""COMPUTED_VALUE"""),"Fallback campaign")</f>
        <v>Fallback campaign</v>
      </c>
      <c r="E559" s="211" t="str">
        <f>IFERROR(__xludf.DUMMYFUNCTION("""COMPUTED_VALUE"""),"BBW")</f>
        <v>BBW</v>
      </c>
      <c r="F559" s="211" t="str">
        <f>IFERROR(__xludf.DUMMYFUNCTION("""COMPUTED_VALUE"""),"B1G1 - Entire Store")</f>
        <v>B1G1 - Entire Store</v>
      </c>
      <c r="G559" s="212" t="str">
        <f>IFERROR(__xludf.DUMMYFUNCTION("""COMPUTED_VALUE"""),"bbw_offline_smsfb_2may_buy1get1_aov_relevant_lastreminder")</f>
        <v>bbw_offline_smsfb_2may_buy1get1_aov_relevant_lastreminder</v>
      </c>
      <c r="H559" s="212" t="str">
        <f>IFERROR(__xludf.DUMMYFUNCTION("""COMPUTED_VALUE"""),"AOV_Max_2699_365D_OFF")</f>
        <v>AOV_Max_2699_365D_OFF</v>
      </c>
      <c r="I559" s="212" t="str">
        <f>IFERROR(__xludf.DUMMYFUNCTION("""COMPUTED_VALUE"""),"WA Undelivered")</f>
        <v>WA Undelivered</v>
      </c>
      <c r="J559" s="213">
        <f>IFERROR(__xludf.DUMMYFUNCTION("""COMPUTED_VALUE"""),60010.0)</f>
        <v>60010</v>
      </c>
      <c r="K559" s="213">
        <f>IFERROR(__xludf.DUMMYFUNCTION("""COMPUTED_VALUE"""),35446.0)</f>
        <v>35446</v>
      </c>
      <c r="L559" s="214">
        <f>IFERROR(__xludf.DUMMYFUNCTION("""COMPUTED_VALUE"""),0.5907)</f>
        <v>0.5907</v>
      </c>
      <c r="M559" s="213">
        <f>IFERROR(__xludf.DUMMYFUNCTION("""COMPUTED_VALUE"""),0.0)</f>
        <v>0</v>
      </c>
      <c r="N559" s="214">
        <f>IFERROR(__xludf.DUMMYFUNCTION("""COMPUTED_VALUE"""),0.0)</f>
        <v>0</v>
      </c>
      <c r="O559" s="213">
        <f>IFERROR(__xludf.DUMMYFUNCTION("""COMPUTED_VALUE"""),49.0)</f>
        <v>49</v>
      </c>
      <c r="P559" s="213">
        <f>IFERROR(__xludf.DUMMYFUNCTION("""COMPUTED_VALUE"""),0.0)</f>
        <v>0</v>
      </c>
      <c r="Q559" s="214">
        <f>IFERROR(__xludf.DUMMYFUNCTION("""COMPUTED_VALUE"""),0.0014)</f>
        <v>0.0014</v>
      </c>
      <c r="R559" s="214">
        <f>IFERROR(__xludf.DUMMYFUNCTION("""COMPUTED_VALUE"""),0.0)</f>
        <v>0</v>
      </c>
      <c r="S559" s="101">
        <f>IFERROR(__xludf.DUMMYFUNCTION("""COMPUTED_VALUE"""),7.0)</f>
        <v>7</v>
      </c>
      <c r="T559" s="101">
        <f>IFERROR(__xludf.DUMMYFUNCTION("""COMPUTED_VALUE"""),3.0)</f>
        <v>3</v>
      </c>
      <c r="U559" s="270">
        <f>IFERROR(__xludf.DUMMYFUNCTION("""COMPUTED_VALUE"""),38467.0)</f>
        <v>38467</v>
      </c>
      <c r="V559" s="271" t="str">
        <f>IFERROR(__xludf.DUMMYFUNCTION("""COMPUTED_VALUE"""),"offline")</f>
        <v>offline</v>
      </c>
      <c r="W559" s="272" t="str">
        <f>IFERROR(__xludf.DUMMYFUNCTION("""COMPUTED_VALUE"""),"sms")</f>
        <v>sms</v>
      </c>
      <c r="X559" s="272" t="str">
        <f>IFERROR(__xludf.DUMMYFUNCTION("""COMPUTED_VALUE"""),"AOV &gt; 2699")</f>
        <v>AOV &gt; 2699</v>
      </c>
      <c r="Y559" s="272" t="str">
        <f>IFERROR(__xludf.DUMMYFUNCTION("""COMPUTED_VALUE"""),"02 May")</f>
        <v>02 May</v>
      </c>
      <c r="Z559" s="272" t="str">
        <f>IFERROR(__xludf.DUMMYFUNCTION("""COMPUTED_VALUE"""),"69f313c3491f1a3b728a3a53")</f>
        <v>69f313c3491f1a3b728a3a53</v>
      </c>
      <c r="AA559" s="272">
        <f>IFERROR(__xludf.DUMMYFUNCTION("""COMPUTED_VALUE"""),64.0)</f>
        <v>64</v>
      </c>
      <c r="AB559" s="272"/>
      <c r="AC559" s="272">
        <f>IFERROR(__xludf.DUMMYFUNCTION("""COMPUTED_VALUE"""),64.0)</f>
        <v>64</v>
      </c>
      <c r="AD559" s="272">
        <f>IFERROR(__xludf.DUMMYFUNCTION("""COMPUTED_VALUE"""),156658.0)</f>
        <v>156658</v>
      </c>
      <c r="AE559" s="272"/>
      <c r="AF559" s="272">
        <f>IFERROR(__xludf.DUMMYFUNCTION("""COMPUTED_VALUE"""),156658.0)</f>
        <v>156658</v>
      </c>
      <c r="AG559" s="208"/>
      <c r="AH559" s="208"/>
      <c r="AI559" s="208"/>
      <c r="AJ559" s="208"/>
      <c r="AK559" s="208"/>
    </row>
    <row r="560" hidden="1">
      <c r="A560" s="209">
        <f>IFERROR(__xludf.DUMMYFUNCTION("""COMPUTED_VALUE"""),46144.0)</f>
        <v>46144</v>
      </c>
      <c r="B560" s="210">
        <f>IFERROR(__xludf.DUMMYFUNCTION("""COMPUTED_VALUE"""),0.8333333333321207)</f>
        <v>0.8333333333</v>
      </c>
      <c r="C560" s="211" t="str">
        <f>IFERROR(__xludf.DUMMYFUNCTION("""COMPUTED_VALUE"""),"Sms")</f>
        <v>Sms</v>
      </c>
      <c r="D560" s="211" t="str">
        <f>IFERROR(__xludf.DUMMYFUNCTION("""COMPUTED_VALUE"""),"Fallback campaign")</f>
        <v>Fallback campaign</v>
      </c>
      <c r="E560" s="211" t="str">
        <f>IFERROR(__xludf.DUMMYFUNCTION("""COMPUTED_VALUE"""),"BBW")</f>
        <v>BBW</v>
      </c>
      <c r="F560" s="211" t="str">
        <f>IFERROR(__xludf.DUMMYFUNCTION("""COMPUTED_VALUE"""),"B1G1 - Entire Store")</f>
        <v>B1G1 - Entire Store</v>
      </c>
      <c r="G560" s="212" t="str">
        <f>IFERROR(__xludf.DUMMYFUNCTION("""COMPUTED_VALUE"""),"bbw_offline_smsfb_2may_buy1get1_bundle_buyers_lastreminder")</f>
        <v>bbw_offline_smsfb_2may_buy1get1_bundle_buyers_lastreminder</v>
      </c>
      <c r="H560" s="212" t="str">
        <f>IFERROR(__xludf.DUMMYFUNCTION("""COMPUTED_VALUE"""),"UPT_Min_3_OFF")</f>
        <v>UPT_Min_3_OFF</v>
      </c>
      <c r="I560" s="212" t="str">
        <f>IFERROR(__xludf.DUMMYFUNCTION("""COMPUTED_VALUE"""),"WA Undelivered")</f>
        <v>WA Undelivered</v>
      </c>
      <c r="J560" s="213">
        <f>IFERROR(__xludf.DUMMYFUNCTION("""COMPUTED_VALUE"""),39845.0)</f>
        <v>39845</v>
      </c>
      <c r="K560" s="213">
        <f>IFERROR(__xludf.DUMMYFUNCTION("""COMPUTED_VALUE"""),21634.0)</f>
        <v>21634</v>
      </c>
      <c r="L560" s="214">
        <f>IFERROR(__xludf.DUMMYFUNCTION("""COMPUTED_VALUE"""),0.543)</f>
        <v>0.543</v>
      </c>
      <c r="M560" s="214">
        <f>IFERROR(__xludf.DUMMYFUNCTION("""COMPUTED_VALUE"""),0.0)</f>
        <v>0</v>
      </c>
      <c r="N560" s="214">
        <f>IFERROR(__xludf.DUMMYFUNCTION("""COMPUTED_VALUE"""),0.0)</f>
        <v>0</v>
      </c>
      <c r="O560" s="213">
        <f>IFERROR(__xludf.DUMMYFUNCTION("""COMPUTED_VALUE"""),26.0)</f>
        <v>26</v>
      </c>
      <c r="P560" s="213">
        <f>IFERROR(__xludf.DUMMYFUNCTION("""COMPUTED_VALUE"""),0.0)</f>
        <v>0</v>
      </c>
      <c r="Q560" s="214">
        <f>IFERROR(__xludf.DUMMYFUNCTION("""COMPUTED_VALUE"""),0.0012)</f>
        <v>0.0012</v>
      </c>
      <c r="R560" s="214">
        <f>IFERROR(__xludf.DUMMYFUNCTION("""COMPUTED_VALUE"""),0.0)</f>
        <v>0</v>
      </c>
      <c r="S560" s="101">
        <f>IFERROR(__xludf.DUMMYFUNCTION("""COMPUTED_VALUE"""),2.0)</f>
        <v>2</v>
      </c>
      <c r="T560" s="101">
        <f>IFERROR(__xludf.DUMMYFUNCTION("""COMPUTED_VALUE"""),0.0)</f>
        <v>0</v>
      </c>
      <c r="U560" s="270">
        <f>IFERROR(__xludf.DUMMYFUNCTION("""COMPUTED_VALUE"""),30385.0)</f>
        <v>30385</v>
      </c>
      <c r="V560" s="271" t="str">
        <f>IFERROR(__xludf.DUMMYFUNCTION("""COMPUTED_VALUE"""),"offline")</f>
        <v>offline</v>
      </c>
      <c r="W560" s="272" t="str">
        <f>IFERROR(__xludf.DUMMYFUNCTION("""COMPUTED_VALUE"""),"sms")</f>
        <v>sms</v>
      </c>
      <c r="X560" s="272" t="str">
        <f>IFERROR(__xludf.DUMMYFUNCTION("""COMPUTED_VALUE"""),"Cart Qty")</f>
        <v>Cart Qty</v>
      </c>
      <c r="Y560" s="272" t="str">
        <f>IFERROR(__xludf.DUMMYFUNCTION("""COMPUTED_VALUE"""),"02 May")</f>
        <v>02 May</v>
      </c>
      <c r="Z560" s="272" t="str">
        <f>IFERROR(__xludf.DUMMYFUNCTION("""COMPUTED_VALUE"""),"69f314085a966da8614a325c")</f>
        <v>69f314085a966da8614a325c</v>
      </c>
      <c r="AA560" s="272">
        <f>IFERROR(__xludf.DUMMYFUNCTION("""COMPUTED_VALUE"""),38.0)</f>
        <v>38</v>
      </c>
      <c r="AB560" s="272"/>
      <c r="AC560" s="272">
        <f>IFERROR(__xludf.DUMMYFUNCTION("""COMPUTED_VALUE"""),38.0)</f>
        <v>38</v>
      </c>
      <c r="AD560" s="272">
        <f>IFERROR(__xludf.DUMMYFUNCTION("""COMPUTED_VALUE"""),154017.0)</f>
        <v>154017</v>
      </c>
      <c r="AE560" s="272"/>
      <c r="AF560" s="272">
        <f>IFERROR(__xludf.DUMMYFUNCTION("""COMPUTED_VALUE"""),154017.0)</f>
        <v>154017</v>
      </c>
      <c r="AG560" s="208"/>
      <c r="AH560" s="208"/>
      <c r="AI560" s="208"/>
      <c r="AJ560" s="208"/>
      <c r="AK560" s="208"/>
    </row>
    <row r="561" hidden="1">
      <c r="A561" s="209">
        <f>IFERROR(__xludf.DUMMYFUNCTION("""COMPUTED_VALUE"""),46144.0)</f>
        <v>46144</v>
      </c>
      <c r="B561" s="210">
        <f>IFERROR(__xludf.DUMMYFUNCTION("""COMPUTED_VALUE"""),0.8333333333321207)</f>
        <v>0.8333333333</v>
      </c>
      <c r="C561" s="211" t="str">
        <f>IFERROR(__xludf.DUMMYFUNCTION("""COMPUTED_VALUE"""),"Sms")</f>
        <v>Sms</v>
      </c>
      <c r="D561" s="211" t="str">
        <f>IFERROR(__xludf.DUMMYFUNCTION("""COMPUTED_VALUE"""),"Fallback campaign")</f>
        <v>Fallback campaign</v>
      </c>
      <c r="E561" s="211" t="str">
        <f>IFERROR(__xludf.DUMMYFUNCTION("""COMPUTED_VALUE"""),"BBW")</f>
        <v>BBW</v>
      </c>
      <c r="F561" s="211" t="str">
        <f>IFERROR(__xludf.DUMMYFUNCTION("""COMPUTED_VALUE"""),"B1G1 - Entire Store")</f>
        <v>B1G1 - Entire Store</v>
      </c>
      <c r="G561" s="212" t="str">
        <f>IFERROR(__xludf.DUMMYFUNCTION("""COMPUTED_VALUE"""),"bbw_offline_smsfb_2may_buy1get1_dormant_lastreminder")</f>
        <v>bbw_offline_smsfb_2may_buy1get1_dormant_lastreminder</v>
      </c>
      <c r="H561" s="212" t="str">
        <f>IFERROR(__xludf.DUMMYFUNCTION("""COMPUTED_VALUE"""),"Dorm_90_365_OFF")</f>
        <v>Dorm_90_365_OFF</v>
      </c>
      <c r="I561" s="212" t="str">
        <f>IFERROR(__xludf.DUMMYFUNCTION("""COMPUTED_VALUE"""),"WA Undelivered")</f>
        <v>WA Undelivered</v>
      </c>
      <c r="J561" s="213">
        <f>IFERROR(__xludf.DUMMYFUNCTION("""COMPUTED_VALUE"""),109939.0)</f>
        <v>109939</v>
      </c>
      <c r="K561" s="213">
        <f>IFERROR(__xludf.DUMMYFUNCTION("""COMPUTED_VALUE"""),62716.0)</f>
        <v>62716</v>
      </c>
      <c r="L561" s="214">
        <f>IFERROR(__xludf.DUMMYFUNCTION("""COMPUTED_VALUE"""),0.5705)</f>
        <v>0.5705</v>
      </c>
      <c r="M561" s="213">
        <f>IFERROR(__xludf.DUMMYFUNCTION("""COMPUTED_VALUE"""),0.0)</f>
        <v>0</v>
      </c>
      <c r="N561" s="214">
        <f>IFERROR(__xludf.DUMMYFUNCTION("""COMPUTED_VALUE"""),0.0)</f>
        <v>0</v>
      </c>
      <c r="O561" s="213">
        <f>IFERROR(__xludf.DUMMYFUNCTION("""COMPUTED_VALUE"""),62.0)</f>
        <v>62</v>
      </c>
      <c r="P561" s="213">
        <f>IFERROR(__xludf.DUMMYFUNCTION("""COMPUTED_VALUE"""),0.0)</f>
        <v>0</v>
      </c>
      <c r="Q561" s="214">
        <f>IFERROR(__xludf.DUMMYFUNCTION("""COMPUTED_VALUE"""),0.001)</f>
        <v>0.001</v>
      </c>
      <c r="R561" s="214">
        <f>IFERROR(__xludf.DUMMYFUNCTION("""COMPUTED_VALUE"""),0.0)</f>
        <v>0</v>
      </c>
      <c r="S561" s="101">
        <f>IFERROR(__xludf.DUMMYFUNCTION("""COMPUTED_VALUE"""),3.0)</f>
        <v>3</v>
      </c>
      <c r="T561" s="101">
        <f>IFERROR(__xludf.DUMMYFUNCTION("""COMPUTED_VALUE"""),2.0)</f>
        <v>2</v>
      </c>
      <c r="U561" s="270">
        <f>IFERROR(__xludf.DUMMYFUNCTION("""COMPUTED_VALUE"""),11289.0)</f>
        <v>11289</v>
      </c>
      <c r="V561" s="271" t="str">
        <f>IFERROR(__xludf.DUMMYFUNCTION("""COMPUTED_VALUE"""),"offline")</f>
        <v>offline</v>
      </c>
      <c r="W561" s="272" t="str">
        <f>IFERROR(__xludf.DUMMYFUNCTION("""COMPUTED_VALUE"""),"sms")</f>
        <v>sms</v>
      </c>
      <c r="X561" s="272" t="str">
        <f>IFERROR(__xludf.DUMMYFUNCTION("""COMPUTED_VALUE"""),"Dormant")</f>
        <v>Dormant</v>
      </c>
      <c r="Y561" s="272" t="str">
        <f>IFERROR(__xludf.DUMMYFUNCTION("""COMPUTED_VALUE"""),"02 May")</f>
        <v>02 May</v>
      </c>
      <c r="Z561" s="272" t="str">
        <f>IFERROR(__xludf.DUMMYFUNCTION("""COMPUTED_VALUE"""),"69f3143e9378cc8254288580")</f>
        <v>69f3143e9378cc8254288580</v>
      </c>
      <c r="AA561" s="272">
        <f>IFERROR(__xludf.DUMMYFUNCTION("""COMPUTED_VALUE"""),112.0)</f>
        <v>112</v>
      </c>
      <c r="AB561" s="272"/>
      <c r="AC561" s="272">
        <f>IFERROR(__xludf.DUMMYFUNCTION("""COMPUTED_VALUE"""),112.0)</f>
        <v>112</v>
      </c>
      <c r="AD561" s="272">
        <f>IFERROR(__xludf.DUMMYFUNCTION("""COMPUTED_VALUE"""),354732.0)</f>
        <v>354732</v>
      </c>
      <c r="AE561" s="272"/>
      <c r="AF561" s="272">
        <f>IFERROR(__xludf.DUMMYFUNCTION("""COMPUTED_VALUE"""),354732.0)</f>
        <v>354732</v>
      </c>
      <c r="AG561" s="208"/>
      <c r="AH561" s="208"/>
      <c r="AI561" s="208"/>
      <c r="AJ561" s="208"/>
      <c r="AK561" s="208"/>
    </row>
    <row r="562" hidden="1">
      <c r="A562" s="209">
        <f>IFERROR(__xludf.DUMMYFUNCTION("""COMPUTED_VALUE"""),46145.0)</f>
        <v>46145</v>
      </c>
      <c r="B562" s="210">
        <f>IFERROR(__xludf.DUMMYFUNCTION("""COMPUTED_VALUE"""),0.75)</f>
        <v>0.75</v>
      </c>
      <c r="C562" s="211" t="str">
        <f>IFERROR(__xludf.DUMMYFUNCTION("""COMPUTED_VALUE"""),"Whatsapp")</f>
        <v>Whatsapp</v>
      </c>
      <c r="D562" s="211" t="str">
        <f>IFERROR(__xludf.DUMMYFUNCTION("""COMPUTED_VALUE"""),"Promtional")</f>
        <v>Promtional</v>
      </c>
      <c r="E562" s="211" t="str">
        <f>IFERROR(__xludf.DUMMYFUNCTION("""COMPUTED_VALUE"""),"BBW")</f>
        <v>BBW</v>
      </c>
      <c r="F562" s="211" t="str">
        <f>IFERROR(__xludf.DUMMYFUNCTION("""COMPUTED_VALUE"""),"B1G1 - Entire Store")</f>
        <v>B1G1 - Entire Store</v>
      </c>
      <c r="G562" s="212" t="str">
        <f>IFERROR(__xludf.DUMMYFUNCTION("""COMPUTED_VALUE"""),"bbw_online_wa_3may_buy1get1_loyal_lastreminder")</f>
        <v>bbw_online_wa_3may_buy1get1_loyal_lastreminder</v>
      </c>
      <c r="H562" s="212" t="str">
        <f>IFERROR(__xludf.DUMMYFUNCTION("""COMPUTED_VALUE"""),"Loyal_ON")</f>
        <v>Loyal_ON</v>
      </c>
      <c r="I562" s="212" t="str">
        <f>IFERROR(__xludf.DUMMYFUNCTION("""COMPUTED_VALUE"""),"Online Customers who have 4 or more purchases in last 12 Months")</f>
        <v>Online Customers who have 4 or more purchases in last 12 Months</v>
      </c>
      <c r="J562" s="213">
        <f>IFERROR(__xludf.DUMMYFUNCTION("""COMPUTED_VALUE"""),3758.0)</f>
        <v>3758</v>
      </c>
      <c r="K562" s="213">
        <f>IFERROR(__xludf.DUMMYFUNCTION("""COMPUTED_VALUE"""),1065.0)</f>
        <v>1065</v>
      </c>
      <c r="L562" s="214">
        <f>IFERROR(__xludf.DUMMYFUNCTION("""COMPUTED_VALUE"""),0.2834)</f>
        <v>0.2834</v>
      </c>
      <c r="M562" s="214">
        <f>IFERROR(__xludf.DUMMYFUNCTION("""COMPUTED_VALUE"""),437.0)</f>
        <v>437</v>
      </c>
      <c r="N562" s="214">
        <f>IFERROR(__xludf.DUMMYFUNCTION("""COMPUTED_VALUE"""),0.4085)</f>
        <v>0.4085</v>
      </c>
      <c r="O562" s="213">
        <f>IFERROR(__xludf.DUMMYFUNCTION("""COMPUTED_VALUE"""),60.0)</f>
        <v>60</v>
      </c>
      <c r="P562" s="213">
        <f>IFERROR(__xludf.DUMMYFUNCTION("""COMPUTED_VALUE"""),56.0)</f>
        <v>56</v>
      </c>
      <c r="Q562" s="214">
        <f>IFERROR(__xludf.DUMMYFUNCTION("""COMPUTED_VALUE"""),0.0526)</f>
        <v>0.0526</v>
      </c>
      <c r="R562" s="214">
        <f>IFERROR(__xludf.DUMMYFUNCTION("""COMPUTED_VALUE"""),0.1287)</f>
        <v>0.1287</v>
      </c>
      <c r="S562" s="101">
        <f>IFERROR(__xludf.DUMMYFUNCTION("""COMPUTED_VALUE"""),1.0)</f>
        <v>1</v>
      </c>
      <c r="T562" s="101">
        <f>IFERROR(__xludf.DUMMYFUNCTION("""COMPUTED_VALUE"""),3.0)</f>
        <v>3</v>
      </c>
      <c r="U562" s="270">
        <f>IFERROR(__xludf.DUMMYFUNCTION("""COMPUTED_VALUE"""),4598.0)</f>
        <v>4598</v>
      </c>
      <c r="V562" s="271" t="str">
        <f>IFERROR(__xludf.DUMMYFUNCTION("""COMPUTED_VALUE"""),"online")</f>
        <v>online</v>
      </c>
      <c r="W562" s="272" t="str">
        <f>IFERROR(__xludf.DUMMYFUNCTION("""COMPUTED_VALUE"""),"simple")</f>
        <v>simple</v>
      </c>
      <c r="X562" s="272" t="str">
        <f>IFERROR(__xludf.DUMMYFUNCTION("""COMPUTED_VALUE"""),"Loyal")</f>
        <v>Loyal</v>
      </c>
      <c r="Y562" s="272" t="str">
        <f>IFERROR(__xludf.DUMMYFUNCTION("""COMPUTED_VALUE"""),"3 - 5 May")</f>
        <v>3 - 5 May</v>
      </c>
      <c r="Z562" s="272" t="str">
        <f>IFERROR(__xludf.DUMMYFUNCTION("""COMPUTED_VALUE"""),"69f30419fae02b9edb12e0cc")</f>
        <v>69f30419fae02b9edb12e0cc</v>
      </c>
      <c r="AA562" s="272">
        <f>IFERROR(__xludf.DUMMYFUNCTION("""COMPUTED_VALUE"""),12.0)</f>
        <v>12</v>
      </c>
      <c r="AB562" s="272">
        <f>IFERROR(__xludf.DUMMYFUNCTION("""COMPUTED_VALUE"""),12.0)</f>
        <v>12</v>
      </c>
      <c r="AC562" s="272"/>
      <c r="AD562" s="272">
        <f>IFERROR(__xludf.DUMMYFUNCTION("""COMPUTED_VALUE"""),55361.0)</f>
        <v>55361</v>
      </c>
      <c r="AE562" s="272">
        <f>IFERROR(__xludf.DUMMYFUNCTION("""COMPUTED_VALUE"""),55361.0)</f>
        <v>55361</v>
      </c>
      <c r="AF562" s="272"/>
      <c r="AG562" s="208"/>
      <c r="AH562" s="208"/>
      <c r="AI562" s="208"/>
      <c r="AJ562" s="208"/>
      <c r="AK562" s="208"/>
    </row>
    <row r="563" hidden="1">
      <c r="A563" s="209">
        <f>IFERROR(__xludf.DUMMYFUNCTION("""COMPUTED_VALUE"""),46145.0)</f>
        <v>46145</v>
      </c>
      <c r="B563" s="210">
        <f>IFERROR(__xludf.DUMMYFUNCTION("""COMPUTED_VALUE"""),0.75)</f>
        <v>0.75</v>
      </c>
      <c r="C563" s="211" t="str">
        <f>IFERROR(__xludf.DUMMYFUNCTION("""COMPUTED_VALUE"""),"Whatsapp")</f>
        <v>Whatsapp</v>
      </c>
      <c r="D563" s="211" t="str">
        <f>IFERROR(__xludf.DUMMYFUNCTION("""COMPUTED_VALUE"""),"Promtional")</f>
        <v>Promtional</v>
      </c>
      <c r="E563" s="211" t="str">
        <f>IFERROR(__xludf.DUMMYFUNCTION("""COMPUTED_VALUE"""),"BBW")</f>
        <v>BBW</v>
      </c>
      <c r="F563" s="211" t="str">
        <f>IFERROR(__xludf.DUMMYFUNCTION("""COMPUTED_VALUE"""),"B1G1 - Entire Store")</f>
        <v>B1G1 - Entire Store</v>
      </c>
      <c r="G563" s="212" t="str">
        <f>IFERROR(__xludf.DUMMYFUNCTION("""COMPUTED_VALUE"""),"bbw_online_wa_3may_buy1get1_repeat_lastreminder")</f>
        <v>bbw_online_wa_3may_buy1get1_repeat_lastreminder</v>
      </c>
      <c r="H563" s="212" t="str">
        <f>IFERROR(__xludf.DUMMYFUNCTION("""COMPUTED_VALUE"""),"Repeat_ON")</f>
        <v>Repeat_ON</v>
      </c>
      <c r="I563" s="212" t="str">
        <f>IFERROR(__xludf.DUMMYFUNCTION("""COMPUTED_VALUE"""),"Online Customers who have purchased at least 2 times in the last 24 Months")</f>
        <v>Online Customers who have purchased at least 2 times in the last 24 Months</v>
      </c>
      <c r="J563" s="213">
        <f>IFERROR(__xludf.DUMMYFUNCTION("""COMPUTED_VALUE"""),57703.0)</f>
        <v>57703</v>
      </c>
      <c r="K563" s="213">
        <f>IFERROR(__xludf.DUMMYFUNCTION("""COMPUTED_VALUE"""),10024.0)</f>
        <v>10024</v>
      </c>
      <c r="L563" s="214">
        <f>IFERROR(__xludf.DUMMYFUNCTION("""COMPUTED_VALUE"""),0.1737)</f>
        <v>0.1737</v>
      </c>
      <c r="M563" s="213">
        <f>IFERROR(__xludf.DUMMYFUNCTION("""COMPUTED_VALUE"""),3396.0)</f>
        <v>3396</v>
      </c>
      <c r="N563" s="214">
        <f>IFERROR(__xludf.DUMMYFUNCTION("""COMPUTED_VALUE"""),0.3359)</f>
        <v>0.3359</v>
      </c>
      <c r="O563" s="213">
        <f>IFERROR(__xludf.DUMMYFUNCTION("""COMPUTED_VALUE"""),409.0)</f>
        <v>409</v>
      </c>
      <c r="P563" s="213">
        <f>IFERROR(__xludf.DUMMYFUNCTION("""COMPUTED_VALUE"""),386.0)</f>
        <v>386</v>
      </c>
      <c r="Q563" s="214">
        <f>IFERROR(__xludf.DUMMYFUNCTION("""COMPUTED_VALUE"""),0.0385)</f>
        <v>0.0385</v>
      </c>
      <c r="R563" s="214">
        <f>IFERROR(__xludf.DUMMYFUNCTION("""COMPUTED_VALUE"""),0.1146)</f>
        <v>0.1146</v>
      </c>
      <c r="S563" s="101">
        <f>IFERROR(__xludf.DUMMYFUNCTION("""COMPUTED_VALUE"""),3.0)</f>
        <v>3</v>
      </c>
      <c r="T563" s="101">
        <f>IFERROR(__xludf.DUMMYFUNCTION("""COMPUTED_VALUE"""),5.0)</f>
        <v>5</v>
      </c>
      <c r="U563" s="270">
        <f>IFERROR(__xludf.DUMMYFUNCTION("""COMPUTED_VALUE"""),7819.0)</f>
        <v>7819</v>
      </c>
      <c r="V563" s="271" t="str">
        <f>IFERROR(__xludf.DUMMYFUNCTION("""COMPUTED_VALUE"""),"online")</f>
        <v>online</v>
      </c>
      <c r="W563" s="272" t="str">
        <f>IFERROR(__xludf.DUMMYFUNCTION("""COMPUTED_VALUE"""),"simple")</f>
        <v>simple</v>
      </c>
      <c r="X563" s="272" t="str">
        <f>IFERROR(__xludf.DUMMYFUNCTION("""COMPUTED_VALUE"""),"Repeat")</f>
        <v>Repeat</v>
      </c>
      <c r="Y563" s="272" t="str">
        <f>IFERROR(__xludf.DUMMYFUNCTION("""COMPUTED_VALUE"""),"3 - 5 May")</f>
        <v>3 - 5 May</v>
      </c>
      <c r="Z563" s="272" t="str">
        <f>IFERROR(__xludf.DUMMYFUNCTION("""COMPUTED_VALUE"""),"69f3045dba106ee58de4fbe4")</f>
        <v>69f3045dba106ee58de4fbe4</v>
      </c>
      <c r="AA563" s="272">
        <f>IFERROR(__xludf.DUMMYFUNCTION("""COMPUTED_VALUE"""),30.0)</f>
        <v>30</v>
      </c>
      <c r="AB563" s="272">
        <f>IFERROR(__xludf.DUMMYFUNCTION("""COMPUTED_VALUE"""),30.0)</f>
        <v>30</v>
      </c>
      <c r="AC563" s="272"/>
      <c r="AD563" s="272">
        <f>IFERROR(__xludf.DUMMYFUNCTION("""COMPUTED_VALUE"""),76569.0)</f>
        <v>76569</v>
      </c>
      <c r="AE563" s="272">
        <f>IFERROR(__xludf.DUMMYFUNCTION("""COMPUTED_VALUE"""),76569.0)</f>
        <v>76569</v>
      </c>
      <c r="AF563" s="272"/>
      <c r="AG563" s="208"/>
      <c r="AH563" s="208"/>
      <c r="AI563" s="208"/>
      <c r="AJ563" s="208"/>
      <c r="AK563" s="208"/>
    </row>
    <row r="564" hidden="1">
      <c r="A564" s="209">
        <f>IFERROR(__xludf.DUMMYFUNCTION("""COMPUTED_VALUE"""),46145.0)</f>
        <v>46145</v>
      </c>
      <c r="B564" s="210">
        <f>IFERROR(__xludf.DUMMYFUNCTION("""COMPUTED_VALUE"""),0.75)</f>
        <v>0.75</v>
      </c>
      <c r="C564" s="211" t="str">
        <f>IFERROR(__xludf.DUMMYFUNCTION("""COMPUTED_VALUE"""),"Whatsapp")</f>
        <v>Whatsapp</v>
      </c>
      <c r="D564" s="211" t="str">
        <f>IFERROR(__xludf.DUMMYFUNCTION("""COMPUTED_VALUE"""),"Promtional")</f>
        <v>Promtional</v>
      </c>
      <c r="E564" s="211" t="str">
        <f>IFERROR(__xludf.DUMMYFUNCTION("""COMPUTED_VALUE"""),"BBW")</f>
        <v>BBW</v>
      </c>
      <c r="F564" s="211" t="str">
        <f>IFERROR(__xludf.DUMMYFUNCTION("""COMPUTED_VALUE"""),"B1G1 - Entire Store")</f>
        <v>B1G1 - Entire Store</v>
      </c>
      <c r="G564" s="212" t="str">
        <f>IFERROR(__xludf.DUMMYFUNCTION("""COMPUTED_VALUE"""),"bbw_online_wa_3may_buy1get1_aov_relevant_lastreminder")</f>
        <v>bbw_online_wa_3may_buy1get1_aov_relevant_lastreminder</v>
      </c>
      <c r="H564" s="212" t="str">
        <f>IFERROR(__xludf.DUMMYFUNCTION("""COMPUTED_VALUE"""),"AOV_Max_2699_365D_ON")</f>
        <v>AOV_Max_2699_365D_ON</v>
      </c>
      <c r="I564" s="212" t="str">
        <f>IFERROR(__xludf.DUMMYFUNCTION("""COMPUTED_VALUE"""),"Online Customers with AOV less than 2699 &gt; Last 12 Months")</f>
        <v>Online Customers with AOV less than 2699 &gt; Last 12 Months</v>
      </c>
      <c r="J564" s="213">
        <f>IFERROR(__xludf.DUMMYFUNCTION("""COMPUTED_VALUE"""),56322.0)</f>
        <v>56322</v>
      </c>
      <c r="K564" s="213">
        <f>IFERROR(__xludf.DUMMYFUNCTION("""COMPUTED_VALUE"""),11181.0)</f>
        <v>11181</v>
      </c>
      <c r="L564" s="214">
        <f>IFERROR(__xludf.DUMMYFUNCTION("""COMPUTED_VALUE"""),0.1984)</f>
        <v>0.1984</v>
      </c>
      <c r="M564" s="213">
        <f>IFERROR(__xludf.DUMMYFUNCTION("""COMPUTED_VALUE"""),3664.0)</f>
        <v>3664</v>
      </c>
      <c r="N564" s="214">
        <f>IFERROR(__xludf.DUMMYFUNCTION("""COMPUTED_VALUE"""),0.3261)</f>
        <v>0.3261</v>
      </c>
      <c r="O564" s="213">
        <f>IFERROR(__xludf.DUMMYFUNCTION("""COMPUTED_VALUE"""),382.0)</f>
        <v>382</v>
      </c>
      <c r="P564" s="213">
        <f>IFERROR(__xludf.DUMMYFUNCTION("""COMPUTED_VALUE"""),360.0)</f>
        <v>360</v>
      </c>
      <c r="Q564" s="214">
        <f>IFERROR(__xludf.DUMMYFUNCTION("""COMPUTED_VALUE"""),0.0322)</f>
        <v>0.0322</v>
      </c>
      <c r="R564" s="214">
        <f>IFERROR(__xludf.DUMMYFUNCTION("""COMPUTED_VALUE"""),0.0988)</f>
        <v>0.0988</v>
      </c>
      <c r="S564" s="101">
        <f>IFERROR(__xludf.DUMMYFUNCTION("""COMPUTED_VALUE"""),2.0)</f>
        <v>2</v>
      </c>
      <c r="T564" s="101">
        <f>IFERROR(__xludf.DUMMYFUNCTION("""COMPUTED_VALUE"""),5.0)</f>
        <v>5</v>
      </c>
      <c r="U564" s="270">
        <f>IFERROR(__xludf.DUMMYFUNCTION("""COMPUTED_VALUE"""),5784.0)</f>
        <v>5784</v>
      </c>
      <c r="V564" s="271" t="str">
        <f>IFERROR(__xludf.DUMMYFUNCTION("""COMPUTED_VALUE"""),"online")</f>
        <v>online</v>
      </c>
      <c r="W564" s="272" t="str">
        <f>IFERROR(__xludf.DUMMYFUNCTION("""COMPUTED_VALUE"""),"simple")</f>
        <v>simple</v>
      </c>
      <c r="X564" s="272" t="str">
        <f>IFERROR(__xludf.DUMMYFUNCTION("""COMPUTED_VALUE"""),"Cart Value")</f>
        <v>Cart Value</v>
      </c>
      <c r="Y564" s="272" t="str">
        <f>IFERROR(__xludf.DUMMYFUNCTION("""COMPUTED_VALUE"""),"3 - 5 May")</f>
        <v>3 - 5 May</v>
      </c>
      <c r="Z564" s="272" t="str">
        <f>IFERROR(__xludf.DUMMYFUNCTION("""COMPUTED_VALUE"""),"69f304908dfd0e453d0c83e9")</f>
        <v>69f304908dfd0e453d0c83e9</v>
      </c>
      <c r="AA564" s="272">
        <f>IFERROR(__xludf.DUMMYFUNCTION("""COMPUTED_VALUE"""),14.0)</f>
        <v>14</v>
      </c>
      <c r="AB564" s="272">
        <f>IFERROR(__xludf.DUMMYFUNCTION("""COMPUTED_VALUE"""),14.0)</f>
        <v>14</v>
      </c>
      <c r="AC564" s="272"/>
      <c r="AD564" s="272">
        <f>IFERROR(__xludf.DUMMYFUNCTION("""COMPUTED_VALUE"""),38017.0)</f>
        <v>38017</v>
      </c>
      <c r="AE564" s="272">
        <f>IFERROR(__xludf.DUMMYFUNCTION("""COMPUTED_VALUE"""),38017.0)</f>
        <v>38017</v>
      </c>
      <c r="AF564" s="272"/>
      <c r="AG564" s="208"/>
      <c r="AH564" s="208"/>
      <c r="AI564" s="208"/>
      <c r="AJ564" s="208"/>
      <c r="AK564" s="208"/>
    </row>
    <row r="565" hidden="1">
      <c r="A565" s="209">
        <f>IFERROR(__xludf.DUMMYFUNCTION("""COMPUTED_VALUE"""),46145.0)</f>
        <v>46145</v>
      </c>
      <c r="B565" s="210">
        <f>IFERROR(__xludf.DUMMYFUNCTION("""COMPUTED_VALUE"""),0.75)</f>
        <v>0.75</v>
      </c>
      <c r="C565" s="211" t="str">
        <f>IFERROR(__xludf.DUMMYFUNCTION("""COMPUTED_VALUE"""),"Whatsapp")</f>
        <v>Whatsapp</v>
      </c>
      <c r="D565" s="211" t="str">
        <f>IFERROR(__xludf.DUMMYFUNCTION("""COMPUTED_VALUE"""),"Promtional")</f>
        <v>Promtional</v>
      </c>
      <c r="E565" s="211" t="str">
        <f>IFERROR(__xludf.DUMMYFUNCTION("""COMPUTED_VALUE"""),"BBW")</f>
        <v>BBW</v>
      </c>
      <c r="F565" s="211" t="str">
        <f>IFERROR(__xludf.DUMMYFUNCTION("""COMPUTED_VALUE"""),"B1G1 - Entire Store")</f>
        <v>B1G1 - Entire Store</v>
      </c>
      <c r="G565" s="212" t="str">
        <f>IFERROR(__xludf.DUMMYFUNCTION("""COMPUTED_VALUE"""),"bbw_online_wa_3may_buy1get1_bundle buyers_lastreminder")</f>
        <v>bbw_online_wa_3may_buy1get1_bundle buyers_lastreminder</v>
      </c>
      <c r="H565" s="212" t="str">
        <f>IFERROR(__xludf.DUMMYFUNCTION("""COMPUTED_VALUE"""),"UPT_Min_3_ON")</f>
        <v>UPT_Min_3_ON</v>
      </c>
      <c r="I565" s="212" t="str">
        <f>IFERROR(__xludf.DUMMYFUNCTION("""COMPUTED_VALUE"""),"Online Customers who bought 3+ products during each purchase in the last 365 days")</f>
        <v>Online Customers who bought 3+ products during each purchase in the last 365 days</v>
      </c>
      <c r="J565" s="213">
        <f>IFERROR(__xludf.DUMMYFUNCTION("""COMPUTED_VALUE"""),12604.0)</f>
        <v>12604</v>
      </c>
      <c r="K565" s="213">
        <f>IFERROR(__xludf.DUMMYFUNCTION("""COMPUTED_VALUE"""),2686.0)</f>
        <v>2686</v>
      </c>
      <c r="L565" s="214">
        <f>IFERROR(__xludf.DUMMYFUNCTION("""COMPUTED_VALUE"""),0.2131)</f>
        <v>0.2131</v>
      </c>
      <c r="M565" s="213">
        <f>IFERROR(__xludf.DUMMYFUNCTION("""COMPUTED_VALUE"""),919.0)</f>
        <v>919</v>
      </c>
      <c r="N565" s="214">
        <f>IFERROR(__xludf.DUMMYFUNCTION("""COMPUTED_VALUE"""),0.3407)</f>
        <v>0.3407</v>
      </c>
      <c r="O565" s="213">
        <f>IFERROR(__xludf.DUMMYFUNCTION("""COMPUTED_VALUE"""),87.0)</f>
        <v>87</v>
      </c>
      <c r="P565" s="213">
        <f>IFERROR(__xludf.DUMMYFUNCTION("""COMPUTED_VALUE"""),82.0)</f>
        <v>82</v>
      </c>
      <c r="Q565" s="214">
        <f>IFERROR(__xludf.DUMMYFUNCTION("""COMPUTED_VALUE"""),0.0305)</f>
        <v>0.0305</v>
      </c>
      <c r="R565" s="214">
        <f>IFERROR(__xludf.DUMMYFUNCTION("""COMPUTED_VALUE"""),0.0896)</f>
        <v>0.0896</v>
      </c>
      <c r="S565" s="101">
        <f>IFERROR(__xludf.DUMMYFUNCTION("""COMPUTED_VALUE"""),2.0)</f>
        <v>2</v>
      </c>
      <c r="T565" s="101">
        <f>IFERROR(__xludf.DUMMYFUNCTION("""COMPUTED_VALUE"""),3.0)</f>
        <v>3</v>
      </c>
      <c r="U565" s="270">
        <f>IFERROR(__xludf.DUMMYFUNCTION("""COMPUTED_VALUE"""),4798.0)</f>
        <v>4798</v>
      </c>
      <c r="V565" s="271" t="str">
        <f>IFERROR(__xludf.DUMMYFUNCTION("""COMPUTED_VALUE"""),"online")</f>
        <v>online</v>
      </c>
      <c r="W565" s="272" t="str">
        <f>IFERROR(__xludf.DUMMYFUNCTION("""COMPUTED_VALUE"""),"simple")</f>
        <v>simple</v>
      </c>
      <c r="X565" s="272" t="str">
        <f>IFERROR(__xludf.DUMMYFUNCTION("""COMPUTED_VALUE"""),"Cart Qty")</f>
        <v>Cart Qty</v>
      </c>
      <c r="Y565" s="272" t="str">
        <f>IFERROR(__xludf.DUMMYFUNCTION("""COMPUTED_VALUE"""),"3 - 5 May")</f>
        <v>3 - 5 May</v>
      </c>
      <c r="Z565" s="272" t="str">
        <f>IFERROR(__xludf.DUMMYFUNCTION("""COMPUTED_VALUE"""),"69f304b91dc1a85a89038fc3")</f>
        <v>69f304b91dc1a85a89038fc3</v>
      </c>
      <c r="AA565" s="272">
        <f>IFERROR(__xludf.DUMMYFUNCTION("""COMPUTED_VALUE"""),8.0)</f>
        <v>8</v>
      </c>
      <c r="AB565" s="272">
        <f>IFERROR(__xludf.DUMMYFUNCTION("""COMPUTED_VALUE"""),8.0)</f>
        <v>8</v>
      </c>
      <c r="AC565" s="272"/>
      <c r="AD565" s="272">
        <f>IFERROR(__xludf.DUMMYFUNCTION("""COMPUTED_VALUE"""),32111.0)</f>
        <v>32111</v>
      </c>
      <c r="AE565" s="272">
        <f>IFERROR(__xludf.DUMMYFUNCTION("""COMPUTED_VALUE"""),32111.0)</f>
        <v>32111</v>
      </c>
      <c r="AF565" s="272"/>
      <c r="AG565" s="208"/>
      <c r="AH565" s="208"/>
      <c r="AI565" s="208"/>
      <c r="AJ565" s="208"/>
      <c r="AK565" s="208"/>
    </row>
    <row r="566" hidden="1">
      <c r="A566" s="209">
        <f>IFERROR(__xludf.DUMMYFUNCTION("""COMPUTED_VALUE"""),46145.0)</f>
        <v>46145</v>
      </c>
      <c r="B566" s="210">
        <f>IFERROR(__xludf.DUMMYFUNCTION("""COMPUTED_VALUE"""),0.75)</f>
        <v>0.75</v>
      </c>
      <c r="C566" s="211" t="str">
        <f>IFERROR(__xludf.DUMMYFUNCTION("""COMPUTED_VALUE"""),"Whatsapp")</f>
        <v>Whatsapp</v>
      </c>
      <c r="D566" s="211" t="str">
        <f>IFERROR(__xludf.DUMMYFUNCTION("""COMPUTED_VALUE"""),"Promtional")</f>
        <v>Promtional</v>
      </c>
      <c r="E566" s="211" t="str">
        <f>IFERROR(__xludf.DUMMYFUNCTION("""COMPUTED_VALUE"""),"BBW")</f>
        <v>BBW</v>
      </c>
      <c r="F566" s="211" t="str">
        <f>IFERROR(__xludf.DUMMYFUNCTION("""COMPUTED_VALUE"""),"B1G1 - Entire Store")</f>
        <v>B1G1 - Entire Store</v>
      </c>
      <c r="G566" s="212" t="str">
        <f>IFERROR(__xludf.DUMMYFUNCTION("""COMPUTED_VALUE"""),"bbw_online_wa_3may_buy1get1_dormant_lastreminder")</f>
        <v>bbw_online_wa_3may_buy1get1_dormant_lastreminder</v>
      </c>
      <c r="H566" s="212" t="str">
        <f>IFERROR(__xludf.DUMMYFUNCTION("""COMPUTED_VALUE"""),"Dorm_90_365_ON")</f>
        <v>Dorm_90_365_ON</v>
      </c>
      <c r="I566" s="212" t="str">
        <f>IFERROR(__xludf.DUMMYFUNCTION("""COMPUTED_VALUE"""),"Online Customers who placed at least 1 order in between 90 days ago and 365 days ago")</f>
        <v>Online Customers who placed at least 1 order in between 90 days ago and 365 days ago</v>
      </c>
      <c r="J566" s="213">
        <f>IFERROR(__xludf.DUMMYFUNCTION("""COMPUTED_VALUE"""),5126.0)</f>
        <v>5126</v>
      </c>
      <c r="K566" s="213">
        <f>IFERROR(__xludf.DUMMYFUNCTION("""COMPUTED_VALUE"""),1831.0)</f>
        <v>1831</v>
      </c>
      <c r="L566" s="214">
        <f>IFERROR(__xludf.DUMMYFUNCTION("""COMPUTED_VALUE"""),0.357)</f>
        <v>0.357</v>
      </c>
      <c r="M566" s="213">
        <f>IFERROR(__xludf.DUMMYFUNCTION("""COMPUTED_VALUE"""),548.0)</f>
        <v>548</v>
      </c>
      <c r="N566" s="214">
        <f>IFERROR(__xludf.DUMMYFUNCTION("""COMPUTED_VALUE"""),0.2978)</f>
        <v>0.2978</v>
      </c>
      <c r="O566" s="213">
        <f>IFERROR(__xludf.DUMMYFUNCTION("""COMPUTED_VALUE"""),44.0)</f>
        <v>44</v>
      </c>
      <c r="P566" s="213">
        <f>IFERROR(__xludf.DUMMYFUNCTION("""COMPUTED_VALUE"""),43.0)</f>
        <v>43</v>
      </c>
      <c r="Q566" s="214">
        <f>IFERROR(__xludf.DUMMYFUNCTION("""COMPUTED_VALUE"""),0.0235)</f>
        <v>0.0235</v>
      </c>
      <c r="R566" s="214">
        <f>IFERROR(__xludf.DUMMYFUNCTION("""COMPUTED_VALUE"""),0.0789)</f>
        <v>0.0789</v>
      </c>
      <c r="S566" s="101">
        <f>IFERROR(__xludf.DUMMYFUNCTION("""COMPUTED_VALUE"""),2.0)</f>
        <v>2</v>
      </c>
      <c r="T566" s="101">
        <f>IFERROR(__xludf.DUMMYFUNCTION("""COMPUTED_VALUE"""),2.0)</f>
        <v>2</v>
      </c>
      <c r="U566" s="270">
        <f>IFERROR(__xludf.DUMMYFUNCTION("""COMPUTED_VALUE"""),6698.0)</f>
        <v>6698</v>
      </c>
      <c r="V566" s="271" t="str">
        <f>IFERROR(__xludf.DUMMYFUNCTION("""COMPUTED_VALUE"""),"online")</f>
        <v>online</v>
      </c>
      <c r="W566" s="272" t="str">
        <f>IFERROR(__xludf.DUMMYFUNCTION("""COMPUTED_VALUE"""),"simple")</f>
        <v>simple</v>
      </c>
      <c r="X566" s="272" t="str">
        <f>IFERROR(__xludf.DUMMYFUNCTION("""COMPUTED_VALUE"""),"Dormant")</f>
        <v>Dormant</v>
      </c>
      <c r="Y566" s="272" t="str">
        <f>IFERROR(__xludf.DUMMYFUNCTION("""COMPUTED_VALUE"""),"3 - 5 May")</f>
        <v>3 - 5 May</v>
      </c>
      <c r="Z566" s="272" t="str">
        <f>IFERROR(__xludf.DUMMYFUNCTION("""COMPUTED_VALUE"""),"69f3050f1dc1a85a89038fd5")</f>
        <v>69f3050f1dc1a85a89038fd5</v>
      </c>
      <c r="AA566" s="272">
        <f>IFERROR(__xludf.DUMMYFUNCTION("""COMPUTED_VALUE"""),6.0)</f>
        <v>6</v>
      </c>
      <c r="AB566" s="272">
        <f>IFERROR(__xludf.DUMMYFUNCTION("""COMPUTED_VALUE"""),6.0)</f>
        <v>6</v>
      </c>
      <c r="AC566" s="272"/>
      <c r="AD566" s="272">
        <f>IFERROR(__xludf.DUMMYFUNCTION("""COMPUTED_VALUE"""),14204.0)</f>
        <v>14204</v>
      </c>
      <c r="AE566" s="272">
        <f>IFERROR(__xludf.DUMMYFUNCTION("""COMPUTED_VALUE"""),14204.0)</f>
        <v>14204</v>
      </c>
      <c r="AF566" s="272"/>
      <c r="AG566" s="208"/>
      <c r="AH566" s="208"/>
      <c r="AI566" s="208"/>
      <c r="AJ566" s="208"/>
      <c r="AK566" s="208"/>
    </row>
    <row r="567" hidden="1">
      <c r="A567" s="209">
        <f>IFERROR(__xludf.DUMMYFUNCTION("""COMPUTED_VALUE"""),46145.0)</f>
        <v>46145</v>
      </c>
      <c r="B567" s="210">
        <f>IFERROR(__xludf.DUMMYFUNCTION("""COMPUTED_VALUE"""),0.75)</f>
        <v>0.75</v>
      </c>
      <c r="C567" s="211" t="str">
        <f>IFERROR(__xludf.DUMMYFUNCTION("""COMPUTED_VALUE"""),"Whatsapp")</f>
        <v>Whatsapp</v>
      </c>
      <c r="D567" s="211" t="str">
        <f>IFERROR(__xludf.DUMMYFUNCTION("""COMPUTED_VALUE"""),"Promtional")</f>
        <v>Promtional</v>
      </c>
      <c r="E567" s="211" t="str">
        <f>IFERROR(__xludf.DUMMYFUNCTION("""COMPUTED_VALUE"""),"BBW")</f>
        <v>BBW</v>
      </c>
      <c r="F567" s="211" t="str">
        <f>IFERROR(__xludf.DUMMYFUNCTION("""COMPUTED_VALUE"""),"B1G1 - Entire Store")</f>
        <v>B1G1 - Entire Store</v>
      </c>
      <c r="G567" s="212" t="str">
        <f>IFERROR(__xludf.DUMMYFUNCTION("""COMPUTED_VALUE"""),"bbw_online_wa_3may_buy1get1_atc_lastreminder")</f>
        <v>bbw_online_wa_3may_buy1get1_atc_lastreminder</v>
      </c>
      <c r="H567" s="212" t="str">
        <f>IFERROR(__xludf.DUMMYFUNCTION("""COMPUTED_VALUE"""),"Web_View_ATC_45D")</f>
        <v>Web_View_ATC_45D</v>
      </c>
      <c r="I567" s="212" t="str">
        <f>IFERROR(__xludf.DUMMYFUNCTION("""COMPUTED_VALUE"""),"Users who have Visited  the Website 2 or more times or ATC once &gt; Last 45 days")</f>
        <v>Users who have Visited  the Website 2 or more times or ATC once &gt; Last 45 days</v>
      </c>
      <c r="J567" s="213">
        <f>IFERROR(__xludf.DUMMYFUNCTION("""COMPUTED_VALUE"""),4663.0)</f>
        <v>4663</v>
      </c>
      <c r="K567" s="213">
        <f>IFERROR(__xludf.DUMMYFUNCTION("""COMPUTED_VALUE"""),2243.0)</f>
        <v>2243</v>
      </c>
      <c r="L567" s="214">
        <f>IFERROR(__xludf.DUMMYFUNCTION("""COMPUTED_VALUE"""),0.481)</f>
        <v>0.481</v>
      </c>
      <c r="M567" s="213">
        <f>IFERROR(__xludf.DUMMYFUNCTION("""COMPUTED_VALUE"""),951.0)</f>
        <v>951</v>
      </c>
      <c r="N567" s="214">
        <f>IFERROR(__xludf.DUMMYFUNCTION("""COMPUTED_VALUE"""),0.4222)</f>
        <v>0.4222</v>
      </c>
      <c r="O567" s="213">
        <f>IFERROR(__xludf.DUMMYFUNCTION("""COMPUTED_VALUE"""),167.0)</f>
        <v>167</v>
      </c>
      <c r="P567" s="213">
        <f>IFERROR(__xludf.DUMMYFUNCTION("""COMPUTED_VALUE"""),149.0)</f>
        <v>149</v>
      </c>
      <c r="Q567" s="214">
        <f>IFERROR(__xludf.DUMMYFUNCTION("""COMPUTED_VALUE"""),0.0664)</f>
        <v>0.0664</v>
      </c>
      <c r="R567" s="214">
        <f>IFERROR(__xludf.DUMMYFUNCTION("""COMPUTED_VALUE"""),0.1573)</f>
        <v>0.1573</v>
      </c>
      <c r="S567" s="101">
        <f>IFERROR(__xludf.DUMMYFUNCTION("""COMPUTED_VALUE"""),5.0)</f>
        <v>5</v>
      </c>
      <c r="T567" s="101">
        <f>IFERROR(__xludf.DUMMYFUNCTION("""COMPUTED_VALUE"""),18.0)</f>
        <v>18</v>
      </c>
      <c r="U567" s="270">
        <f>IFERROR(__xludf.DUMMYFUNCTION("""COMPUTED_VALUE"""),23075.0)</f>
        <v>23075</v>
      </c>
      <c r="V567" s="271" t="str">
        <f>IFERROR(__xludf.DUMMYFUNCTION("""COMPUTED_VALUE"""),"online")</f>
        <v>online</v>
      </c>
      <c r="W567" s="272" t="str">
        <f>IFERROR(__xludf.DUMMYFUNCTION("""COMPUTED_VALUE"""),"simple")</f>
        <v>simple</v>
      </c>
      <c r="X567" s="272" t="str">
        <f>IFERROR(__xludf.DUMMYFUNCTION("""COMPUTED_VALUE"""),"Web View")</f>
        <v>Web View</v>
      </c>
      <c r="Y567" s="272" t="str">
        <f>IFERROR(__xludf.DUMMYFUNCTION("""COMPUTED_VALUE"""),"3 - 5 May")</f>
        <v>3 - 5 May</v>
      </c>
      <c r="Z567" s="272" t="str">
        <f>IFERROR(__xludf.DUMMYFUNCTION("""COMPUTED_VALUE"""),"69f30530094f147294d62d2c")</f>
        <v>69f30530094f147294d62d2c</v>
      </c>
      <c r="AA567" s="272">
        <f>IFERROR(__xludf.DUMMYFUNCTION("""COMPUTED_VALUE"""),19.0)</f>
        <v>19</v>
      </c>
      <c r="AB567" s="272">
        <f>IFERROR(__xludf.DUMMYFUNCTION("""COMPUTED_VALUE"""),19.0)</f>
        <v>19</v>
      </c>
      <c r="AC567" s="272"/>
      <c r="AD567" s="272">
        <f>IFERROR(__xludf.DUMMYFUNCTION("""COMPUTED_VALUE"""),66298.0)</f>
        <v>66298</v>
      </c>
      <c r="AE567" s="272">
        <f>IFERROR(__xludf.DUMMYFUNCTION("""COMPUTED_VALUE"""),66298.0)</f>
        <v>66298</v>
      </c>
      <c r="AF567" s="272"/>
      <c r="AG567" s="208"/>
      <c r="AH567" s="208"/>
      <c r="AI567" s="208"/>
      <c r="AJ567" s="208"/>
      <c r="AK567" s="208"/>
    </row>
    <row r="568" hidden="1">
      <c r="A568" s="209">
        <f>IFERROR(__xludf.DUMMYFUNCTION("""COMPUTED_VALUE"""),46145.0)</f>
        <v>46145</v>
      </c>
      <c r="B568" s="210">
        <f>IFERROR(__xludf.DUMMYFUNCTION("""COMPUTED_VALUE"""),0.75)</f>
        <v>0.75</v>
      </c>
      <c r="C568" s="211" t="str">
        <f>IFERROR(__xludf.DUMMYFUNCTION("""COMPUTED_VALUE"""),"Whatsapp")</f>
        <v>Whatsapp</v>
      </c>
      <c r="D568" s="211" t="str">
        <f>IFERROR(__xludf.DUMMYFUNCTION("""COMPUTED_VALUE"""),"Promtional")</f>
        <v>Promtional</v>
      </c>
      <c r="E568" s="211" t="str">
        <f>IFERROR(__xludf.DUMMYFUNCTION("""COMPUTED_VALUE"""),"BBW")</f>
        <v>BBW</v>
      </c>
      <c r="F568" s="211" t="str">
        <f>IFERROR(__xludf.DUMMYFUNCTION("""COMPUTED_VALUE"""),"B1G1 - Entire Store")</f>
        <v>B1G1 - Entire Store</v>
      </c>
      <c r="G568" s="212" t="str">
        <f>IFERROR(__xludf.DUMMYFUNCTION("""COMPUTED_VALUE"""),"bbw_online_wa_3may_buy1get1_wa_clicked_lastreminder")</f>
        <v>bbw_online_wa_3may_buy1get1_wa_clicked_lastreminder</v>
      </c>
      <c r="H568" s="212" t="str">
        <f>IFERROR(__xludf.DUMMYFUNCTION("""COMPUTED_VALUE"""),"WA_Clicked_90D")</f>
        <v>WA_Clicked_90D</v>
      </c>
      <c r="I568" s="212" t="str">
        <f>IFERROR(__xludf.DUMMYFUNCTION("""COMPUTED_VALUE"""),"Users who have Message clicked &gt; at least 1 &gt; Last 3 months")</f>
        <v>Users who have Message clicked &gt; at least 1 &gt; Last 3 months</v>
      </c>
      <c r="J568" s="213">
        <f>IFERROR(__xludf.DUMMYFUNCTION("""COMPUTED_VALUE"""),67750.0)</f>
        <v>67750</v>
      </c>
      <c r="K568" s="213">
        <f>IFERROR(__xludf.DUMMYFUNCTION("""COMPUTED_VALUE"""),29418.0)</f>
        <v>29418</v>
      </c>
      <c r="L568" s="214">
        <f>IFERROR(__xludf.DUMMYFUNCTION("""COMPUTED_VALUE"""),0.4341)</f>
        <v>0.4341</v>
      </c>
      <c r="M568" s="213">
        <f>IFERROR(__xludf.DUMMYFUNCTION("""COMPUTED_VALUE"""),12592.0)</f>
        <v>12592</v>
      </c>
      <c r="N568" s="214">
        <f>IFERROR(__xludf.DUMMYFUNCTION("""COMPUTED_VALUE"""),0.4256)</f>
        <v>0.4256</v>
      </c>
      <c r="O568" s="213">
        <f>IFERROR(__xludf.DUMMYFUNCTION("""COMPUTED_VALUE"""),1846.0)</f>
        <v>1846</v>
      </c>
      <c r="P568" s="213">
        <f>IFERROR(__xludf.DUMMYFUNCTION("""COMPUTED_VALUE"""),1749.0)</f>
        <v>1749</v>
      </c>
      <c r="Q568" s="214">
        <f>IFERROR(__xludf.DUMMYFUNCTION("""COMPUTED_VALUE"""),0.0595)</f>
        <v>0.0595</v>
      </c>
      <c r="R568" s="214">
        <f>IFERROR(__xludf.DUMMYFUNCTION("""COMPUTED_VALUE"""),0.1397)</f>
        <v>0.1397</v>
      </c>
      <c r="S568" s="101">
        <f>IFERROR(__xludf.DUMMYFUNCTION("""COMPUTED_VALUE"""),9.0)</f>
        <v>9</v>
      </c>
      <c r="T568" s="101">
        <f>IFERROR(__xludf.DUMMYFUNCTION("""COMPUTED_VALUE"""),13.0)</f>
        <v>13</v>
      </c>
      <c r="U568" s="270">
        <f>IFERROR(__xludf.DUMMYFUNCTION("""COMPUTED_VALUE"""),27698.0)</f>
        <v>27698</v>
      </c>
      <c r="V568" s="271" t="str">
        <f>IFERROR(__xludf.DUMMYFUNCTION("""COMPUTED_VALUE"""),"online")</f>
        <v>online</v>
      </c>
      <c r="W568" s="272" t="str">
        <f>IFERROR(__xludf.DUMMYFUNCTION("""COMPUTED_VALUE"""),"simple")</f>
        <v>simple</v>
      </c>
      <c r="X568" s="272" t="str">
        <f>IFERROR(__xludf.DUMMYFUNCTION("""COMPUTED_VALUE"""),"WhatsApp Engage")</f>
        <v>WhatsApp Engage</v>
      </c>
      <c r="Y568" s="272" t="str">
        <f>IFERROR(__xludf.DUMMYFUNCTION("""COMPUTED_VALUE"""),"3 - 5 May")</f>
        <v>3 - 5 May</v>
      </c>
      <c r="Z568" s="272" t="str">
        <f>IFERROR(__xludf.DUMMYFUNCTION("""COMPUTED_VALUE"""),"69f30578f0db59bd01e51310")</f>
        <v>69f30578f0db59bd01e51310</v>
      </c>
      <c r="AA568" s="272">
        <f>IFERROR(__xludf.DUMMYFUNCTION("""COMPUTED_VALUE"""),43.0)</f>
        <v>43</v>
      </c>
      <c r="AB568" s="272">
        <f>IFERROR(__xludf.DUMMYFUNCTION("""COMPUTED_VALUE"""),43.0)</f>
        <v>43</v>
      </c>
      <c r="AC568" s="272"/>
      <c r="AD568" s="272">
        <f>IFERROR(__xludf.DUMMYFUNCTION("""COMPUTED_VALUE"""),115761.0)</f>
        <v>115761</v>
      </c>
      <c r="AE568" s="272">
        <f>IFERROR(__xludf.DUMMYFUNCTION("""COMPUTED_VALUE"""),115761.0)</f>
        <v>115761</v>
      </c>
      <c r="AF568" s="272"/>
      <c r="AG568" s="208"/>
      <c r="AH568" s="208"/>
      <c r="AI568" s="208"/>
      <c r="AJ568" s="208"/>
      <c r="AK568" s="208"/>
    </row>
    <row r="569" hidden="1">
      <c r="A569" s="209">
        <f>IFERROR(__xludf.DUMMYFUNCTION("""COMPUTED_VALUE"""),46145.0)</f>
        <v>46145</v>
      </c>
      <c r="B569" s="210">
        <f>IFERROR(__xludf.DUMMYFUNCTION("""COMPUTED_VALUE"""),0.7916666666678793)</f>
        <v>0.7916666667</v>
      </c>
      <c r="C569" s="211" t="str">
        <f>IFERROR(__xludf.DUMMYFUNCTION("""COMPUTED_VALUE"""),"Sms")</f>
        <v>Sms</v>
      </c>
      <c r="D569" s="211" t="str">
        <f>IFERROR(__xludf.DUMMYFUNCTION("""COMPUTED_VALUE"""),"Fallback campaign")</f>
        <v>Fallback campaign</v>
      </c>
      <c r="E569" s="211" t="str">
        <f>IFERROR(__xludf.DUMMYFUNCTION("""COMPUTED_VALUE"""),"BBW")</f>
        <v>BBW</v>
      </c>
      <c r="F569" s="211" t="str">
        <f>IFERROR(__xludf.DUMMYFUNCTION("""COMPUTED_VALUE"""),"B1G1 - Entire Store")</f>
        <v>B1G1 - Entire Store</v>
      </c>
      <c r="G569" s="212" t="str">
        <f>IFERROR(__xludf.DUMMYFUNCTION("""COMPUTED_VALUE"""),"bbw_online_smsfb_3may_buy1get1_loyal_lastreminder")</f>
        <v>bbw_online_smsfb_3may_buy1get1_loyal_lastreminder</v>
      </c>
      <c r="H569" s="212" t="str">
        <f>IFERROR(__xludf.DUMMYFUNCTION("""COMPUTED_VALUE"""),"Loyal_ON")</f>
        <v>Loyal_ON</v>
      </c>
      <c r="I569" s="212" t="str">
        <f>IFERROR(__xludf.DUMMYFUNCTION("""COMPUTED_VALUE"""),"WA Undelivered")</f>
        <v>WA Undelivered</v>
      </c>
      <c r="J569" s="213">
        <f>IFERROR(__xludf.DUMMYFUNCTION("""COMPUTED_VALUE"""),2664.0)</f>
        <v>2664</v>
      </c>
      <c r="K569" s="213">
        <f>IFERROR(__xludf.DUMMYFUNCTION("""COMPUTED_VALUE"""),1189.0)</f>
        <v>1189</v>
      </c>
      <c r="L569" s="214">
        <f>IFERROR(__xludf.DUMMYFUNCTION("""COMPUTED_VALUE"""),0.4463)</f>
        <v>0.4463</v>
      </c>
      <c r="M569" s="213">
        <f>IFERROR(__xludf.DUMMYFUNCTION("""COMPUTED_VALUE"""),0.0)</f>
        <v>0</v>
      </c>
      <c r="N569" s="214">
        <f>IFERROR(__xludf.DUMMYFUNCTION("""COMPUTED_VALUE"""),0.0)</f>
        <v>0</v>
      </c>
      <c r="O569" s="213">
        <f>IFERROR(__xludf.DUMMYFUNCTION("""COMPUTED_VALUE"""),3.0)</f>
        <v>3</v>
      </c>
      <c r="P569" s="213">
        <f>IFERROR(__xludf.DUMMYFUNCTION("""COMPUTED_VALUE"""),0.0)</f>
        <v>0</v>
      </c>
      <c r="Q569" s="214">
        <f>IFERROR(__xludf.DUMMYFUNCTION("""COMPUTED_VALUE"""),0.0025)</f>
        <v>0.0025</v>
      </c>
      <c r="R569" s="214">
        <f>IFERROR(__xludf.DUMMYFUNCTION("""COMPUTED_VALUE"""),0.0)</f>
        <v>0</v>
      </c>
      <c r="S569" s="101">
        <f>IFERROR(__xludf.DUMMYFUNCTION("""COMPUTED_VALUE"""),2.0)</f>
        <v>2</v>
      </c>
      <c r="T569" s="101">
        <f>IFERROR(__xludf.DUMMYFUNCTION("""COMPUTED_VALUE"""),2.0)</f>
        <v>2</v>
      </c>
      <c r="U569" s="270">
        <f>IFERROR(__xludf.DUMMYFUNCTION("""COMPUTED_VALUE"""),11686.0)</f>
        <v>11686</v>
      </c>
      <c r="V569" s="271" t="str">
        <f>IFERROR(__xludf.DUMMYFUNCTION("""COMPUTED_VALUE"""),"online")</f>
        <v>online</v>
      </c>
      <c r="W569" s="272" t="str">
        <f>IFERROR(__xludf.DUMMYFUNCTION("""COMPUTED_VALUE"""),"sms")</f>
        <v>sms</v>
      </c>
      <c r="X569" s="272" t="str">
        <f>IFERROR(__xludf.DUMMYFUNCTION("""COMPUTED_VALUE"""),"Loyal")</f>
        <v>Loyal</v>
      </c>
      <c r="Y569" s="272" t="str">
        <f>IFERROR(__xludf.DUMMYFUNCTION("""COMPUTED_VALUE"""),"03 May")</f>
        <v>03 May</v>
      </c>
      <c r="Z569" s="272" t="str">
        <f>IFERROR(__xludf.DUMMYFUNCTION("""COMPUTED_VALUE"""),"69f316a5d5e54e42566ee473")</f>
        <v>69f316a5d5e54e42566ee473</v>
      </c>
      <c r="AA569" s="272">
        <f>IFERROR(__xludf.DUMMYFUNCTION("""COMPUTED_VALUE"""),6.0)</f>
        <v>6</v>
      </c>
      <c r="AB569" s="272"/>
      <c r="AC569" s="272"/>
      <c r="AD569" s="272">
        <f>IFERROR(__xludf.DUMMYFUNCTION("""COMPUTED_VALUE"""),20378.0)</f>
        <v>20378</v>
      </c>
      <c r="AE569" s="272">
        <f>IFERROR(__xludf.DUMMYFUNCTION("""COMPUTED_VALUE"""),20378.0)</f>
        <v>20378</v>
      </c>
      <c r="AF569" s="272"/>
      <c r="AG569" s="208"/>
      <c r="AH569" s="208"/>
      <c r="AI569" s="208"/>
      <c r="AJ569" s="208"/>
      <c r="AK569" s="208"/>
    </row>
    <row r="570" hidden="1">
      <c r="A570" s="209">
        <f>IFERROR(__xludf.DUMMYFUNCTION("""COMPUTED_VALUE"""),46145.0)</f>
        <v>46145</v>
      </c>
      <c r="B570" s="210">
        <f>IFERROR(__xludf.DUMMYFUNCTION("""COMPUTED_VALUE"""),0.7916666666678793)</f>
        <v>0.7916666667</v>
      </c>
      <c r="C570" s="211" t="str">
        <f>IFERROR(__xludf.DUMMYFUNCTION("""COMPUTED_VALUE"""),"Sms")</f>
        <v>Sms</v>
      </c>
      <c r="D570" s="211" t="str">
        <f>IFERROR(__xludf.DUMMYFUNCTION("""COMPUTED_VALUE"""),"Fallback campaign")</f>
        <v>Fallback campaign</v>
      </c>
      <c r="E570" s="211" t="str">
        <f>IFERROR(__xludf.DUMMYFUNCTION("""COMPUTED_VALUE"""),"BBW")</f>
        <v>BBW</v>
      </c>
      <c r="F570" s="211" t="str">
        <f>IFERROR(__xludf.DUMMYFUNCTION("""COMPUTED_VALUE"""),"B1G1 - Entire Store")</f>
        <v>B1G1 - Entire Store</v>
      </c>
      <c r="G570" s="212" t="str">
        <f>IFERROR(__xludf.DUMMYFUNCTION("""COMPUTED_VALUE"""),"bbw_online_smsfb_3may_buy1get1_repeat_lastreminder")</f>
        <v>bbw_online_smsfb_3may_buy1get1_repeat_lastreminder</v>
      </c>
      <c r="H570" s="212" t="str">
        <f>IFERROR(__xludf.DUMMYFUNCTION("""COMPUTED_VALUE"""),"Repeat_ON")</f>
        <v>Repeat_ON</v>
      </c>
      <c r="I570" s="212" t="str">
        <f>IFERROR(__xludf.DUMMYFUNCTION("""COMPUTED_VALUE"""),"WA Undelivered")</f>
        <v>WA Undelivered</v>
      </c>
      <c r="J570" s="213">
        <f>IFERROR(__xludf.DUMMYFUNCTION("""COMPUTED_VALUE"""),47216.0)</f>
        <v>47216</v>
      </c>
      <c r="K570" s="213">
        <f>IFERROR(__xludf.DUMMYFUNCTION("""COMPUTED_VALUE"""),25712.0)</f>
        <v>25712</v>
      </c>
      <c r="L570" s="214">
        <f>IFERROR(__xludf.DUMMYFUNCTION("""COMPUTED_VALUE"""),0.5446)</f>
        <v>0.5446</v>
      </c>
      <c r="M570" s="213">
        <f>IFERROR(__xludf.DUMMYFUNCTION("""COMPUTED_VALUE"""),0.0)</f>
        <v>0</v>
      </c>
      <c r="N570" s="214">
        <f>IFERROR(__xludf.DUMMYFUNCTION("""COMPUTED_VALUE"""),0.0)</f>
        <v>0</v>
      </c>
      <c r="O570" s="213">
        <f>IFERROR(__xludf.DUMMYFUNCTION("""COMPUTED_VALUE"""),64.0)</f>
        <v>64</v>
      </c>
      <c r="P570" s="213">
        <f>IFERROR(__xludf.DUMMYFUNCTION("""COMPUTED_VALUE"""),0.0)</f>
        <v>0</v>
      </c>
      <c r="Q570" s="214">
        <f>IFERROR(__xludf.DUMMYFUNCTION("""COMPUTED_VALUE"""),0.0025)</f>
        <v>0.0025</v>
      </c>
      <c r="R570" s="214">
        <f>IFERROR(__xludf.DUMMYFUNCTION("""COMPUTED_VALUE"""),0.0)</f>
        <v>0</v>
      </c>
      <c r="S570" s="101">
        <f>IFERROR(__xludf.DUMMYFUNCTION("""COMPUTED_VALUE"""),7.0)</f>
        <v>7</v>
      </c>
      <c r="T570" s="101">
        <f>IFERROR(__xludf.DUMMYFUNCTION("""COMPUTED_VALUE"""),3.0)</f>
        <v>3</v>
      </c>
      <c r="U570" s="270">
        <f>IFERROR(__xludf.DUMMYFUNCTION("""COMPUTED_VALUE"""),50152.0)</f>
        <v>50152</v>
      </c>
      <c r="V570" s="271" t="str">
        <f>IFERROR(__xludf.DUMMYFUNCTION("""COMPUTED_VALUE"""),"online")</f>
        <v>online</v>
      </c>
      <c r="W570" s="272" t="str">
        <f>IFERROR(__xludf.DUMMYFUNCTION("""COMPUTED_VALUE"""),"sms")</f>
        <v>sms</v>
      </c>
      <c r="X570" s="272" t="str">
        <f>IFERROR(__xludf.DUMMYFUNCTION("""COMPUTED_VALUE"""),"Repeat")</f>
        <v>Repeat</v>
      </c>
      <c r="Y570" s="272" t="str">
        <f>IFERROR(__xludf.DUMMYFUNCTION("""COMPUTED_VALUE"""),"03 May")</f>
        <v>03 May</v>
      </c>
      <c r="Z570" s="272" t="str">
        <f>IFERROR(__xludf.DUMMYFUNCTION("""COMPUTED_VALUE"""),"69f316e08cf98b20f35a63a7")</f>
        <v>69f316e08cf98b20f35a63a7</v>
      </c>
      <c r="AA570" s="272">
        <f>IFERROR(__xludf.DUMMYFUNCTION("""COMPUTED_VALUE"""),26.0)</f>
        <v>26</v>
      </c>
      <c r="AB570" s="272"/>
      <c r="AC570" s="272"/>
      <c r="AD570" s="272">
        <f>IFERROR(__xludf.DUMMYFUNCTION("""COMPUTED_VALUE"""),67186.0)</f>
        <v>67186</v>
      </c>
      <c r="AE570" s="272">
        <f>IFERROR(__xludf.DUMMYFUNCTION("""COMPUTED_VALUE"""),67186.0)</f>
        <v>67186</v>
      </c>
      <c r="AF570" s="272"/>
      <c r="AG570" s="208"/>
      <c r="AH570" s="208"/>
      <c r="AI570" s="208"/>
      <c r="AJ570" s="208"/>
      <c r="AK570" s="208"/>
    </row>
    <row r="571" hidden="1">
      <c r="A571" s="209">
        <f>IFERROR(__xludf.DUMMYFUNCTION("""COMPUTED_VALUE"""),46145.0)</f>
        <v>46145</v>
      </c>
      <c r="B571" s="210">
        <f>IFERROR(__xludf.DUMMYFUNCTION("""COMPUTED_VALUE"""),0.7916666666678793)</f>
        <v>0.7916666667</v>
      </c>
      <c r="C571" s="211" t="str">
        <f>IFERROR(__xludf.DUMMYFUNCTION("""COMPUTED_VALUE"""),"Sms")</f>
        <v>Sms</v>
      </c>
      <c r="D571" s="211" t="str">
        <f>IFERROR(__xludf.DUMMYFUNCTION("""COMPUTED_VALUE"""),"Fallback campaign")</f>
        <v>Fallback campaign</v>
      </c>
      <c r="E571" s="211" t="str">
        <f>IFERROR(__xludf.DUMMYFUNCTION("""COMPUTED_VALUE"""),"BBW")</f>
        <v>BBW</v>
      </c>
      <c r="F571" s="211" t="str">
        <f>IFERROR(__xludf.DUMMYFUNCTION("""COMPUTED_VALUE"""),"B1G1 - Entire Store")</f>
        <v>B1G1 - Entire Store</v>
      </c>
      <c r="G571" s="212" t="str">
        <f>IFERROR(__xludf.DUMMYFUNCTION("""COMPUTED_VALUE"""),"bbw_online_smsfb_3may_buy1get1_aov_relevant_lastreminder")</f>
        <v>bbw_online_smsfb_3may_buy1get1_aov_relevant_lastreminder</v>
      </c>
      <c r="H571" s="212" t="str">
        <f>IFERROR(__xludf.DUMMYFUNCTION("""COMPUTED_VALUE"""),"AOV_Max_2699_365D_ON")</f>
        <v>AOV_Max_2699_365D_ON</v>
      </c>
      <c r="I571" s="212" t="str">
        <f>IFERROR(__xludf.DUMMYFUNCTION("""COMPUTED_VALUE"""),"WA Undelivered")</f>
        <v>WA Undelivered</v>
      </c>
      <c r="J571" s="213">
        <f>IFERROR(__xludf.DUMMYFUNCTION("""COMPUTED_VALUE"""),44613.0)</f>
        <v>44613</v>
      </c>
      <c r="K571" s="213">
        <f>IFERROR(__xludf.DUMMYFUNCTION("""COMPUTED_VALUE"""),28615.0)</f>
        <v>28615</v>
      </c>
      <c r="L571" s="214">
        <f>IFERROR(__xludf.DUMMYFUNCTION("""COMPUTED_VALUE"""),0.6414)</f>
        <v>0.6414</v>
      </c>
      <c r="M571" s="213">
        <f>IFERROR(__xludf.DUMMYFUNCTION("""COMPUTED_VALUE"""),0.0)</f>
        <v>0</v>
      </c>
      <c r="N571" s="214">
        <f>IFERROR(__xludf.DUMMYFUNCTION("""COMPUTED_VALUE"""),0.0)</f>
        <v>0</v>
      </c>
      <c r="O571" s="213">
        <f>IFERROR(__xludf.DUMMYFUNCTION("""COMPUTED_VALUE"""),45.0)</f>
        <v>45</v>
      </c>
      <c r="P571" s="213">
        <f>IFERROR(__xludf.DUMMYFUNCTION("""COMPUTED_VALUE"""),0.0)</f>
        <v>0</v>
      </c>
      <c r="Q571" s="214">
        <f>IFERROR(__xludf.DUMMYFUNCTION("""COMPUTED_VALUE"""),0.0016)</f>
        <v>0.0016</v>
      </c>
      <c r="R571" s="214">
        <f>IFERROR(__xludf.DUMMYFUNCTION("""COMPUTED_VALUE"""),0.0)</f>
        <v>0</v>
      </c>
      <c r="S571" s="101">
        <f>IFERROR(__xludf.DUMMYFUNCTION("""COMPUTED_VALUE"""),4.0)</f>
        <v>4</v>
      </c>
      <c r="T571" s="101">
        <f>IFERROR(__xludf.DUMMYFUNCTION("""COMPUTED_VALUE"""),1.0)</f>
        <v>1</v>
      </c>
      <c r="U571" s="270">
        <f>IFERROR(__xludf.DUMMYFUNCTION("""COMPUTED_VALUE"""),24291.0)</f>
        <v>24291</v>
      </c>
      <c r="V571" s="271" t="str">
        <f>IFERROR(__xludf.DUMMYFUNCTION("""COMPUTED_VALUE"""),"online")</f>
        <v>online</v>
      </c>
      <c r="W571" s="272" t="str">
        <f>IFERROR(__xludf.DUMMYFUNCTION("""COMPUTED_VALUE"""),"sms")</f>
        <v>sms</v>
      </c>
      <c r="X571" s="272" t="str">
        <f>IFERROR(__xludf.DUMMYFUNCTION("""COMPUTED_VALUE"""),"Cart Value")</f>
        <v>Cart Value</v>
      </c>
      <c r="Y571" s="272" t="str">
        <f>IFERROR(__xludf.DUMMYFUNCTION("""COMPUTED_VALUE"""),"03 May")</f>
        <v>03 May</v>
      </c>
      <c r="Z571" s="272" t="str">
        <f>IFERROR(__xludf.DUMMYFUNCTION("""COMPUTED_VALUE"""),"69f3171326bfa5112765ead3")</f>
        <v>69f3171326bfa5112765ead3</v>
      </c>
      <c r="AA571" s="272">
        <f>IFERROR(__xludf.DUMMYFUNCTION("""COMPUTED_VALUE"""),11.0)</f>
        <v>11</v>
      </c>
      <c r="AB571" s="272">
        <f>IFERROR(__xludf.DUMMYFUNCTION("""COMPUTED_VALUE"""),11.0)</f>
        <v>11</v>
      </c>
      <c r="AC571" s="272"/>
      <c r="AD571" s="272">
        <f>IFERROR(__xludf.DUMMYFUNCTION("""COMPUTED_VALUE"""),19903.0)</f>
        <v>19903</v>
      </c>
      <c r="AE571" s="272">
        <f>IFERROR(__xludf.DUMMYFUNCTION("""COMPUTED_VALUE"""),19903.0)</f>
        <v>19903</v>
      </c>
      <c r="AF571" s="272"/>
      <c r="AG571" s="208"/>
      <c r="AH571" s="208"/>
      <c r="AI571" s="208"/>
      <c r="AJ571" s="208"/>
      <c r="AK571" s="208"/>
    </row>
    <row r="572" hidden="1">
      <c r="A572" s="209">
        <f>IFERROR(__xludf.DUMMYFUNCTION("""COMPUTED_VALUE"""),46145.0)</f>
        <v>46145</v>
      </c>
      <c r="B572" s="210">
        <f>IFERROR(__xludf.DUMMYFUNCTION("""COMPUTED_VALUE"""),0.7916666666678793)</f>
        <v>0.7916666667</v>
      </c>
      <c r="C572" s="211" t="str">
        <f>IFERROR(__xludf.DUMMYFUNCTION("""COMPUTED_VALUE"""),"Sms")</f>
        <v>Sms</v>
      </c>
      <c r="D572" s="211" t="str">
        <f>IFERROR(__xludf.DUMMYFUNCTION("""COMPUTED_VALUE"""),"Fallback campaign")</f>
        <v>Fallback campaign</v>
      </c>
      <c r="E572" s="211" t="str">
        <f>IFERROR(__xludf.DUMMYFUNCTION("""COMPUTED_VALUE"""),"BBW")</f>
        <v>BBW</v>
      </c>
      <c r="F572" s="211" t="str">
        <f>IFERROR(__xludf.DUMMYFUNCTION("""COMPUTED_VALUE"""),"B1G1 - Entire Store")</f>
        <v>B1G1 - Entire Store</v>
      </c>
      <c r="G572" s="212" t="str">
        <f>IFERROR(__xludf.DUMMYFUNCTION("""COMPUTED_VALUE"""),"bbw_online_smsfb_3may_buy1get1_bundle buyers_lastreminder")</f>
        <v>bbw_online_smsfb_3may_buy1get1_bundle buyers_lastreminder</v>
      </c>
      <c r="H572" s="212" t="str">
        <f>IFERROR(__xludf.DUMMYFUNCTION("""COMPUTED_VALUE"""),"UPT_Min_3_ON")</f>
        <v>UPT_Min_3_ON</v>
      </c>
      <c r="I572" s="212" t="str">
        <f>IFERROR(__xludf.DUMMYFUNCTION("""COMPUTED_VALUE"""),"WA Undelivered")</f>
        <v>WA Undelivered</v>
      </c>
      <c r="J572" s="213">
        <f>IFERROR(__xludf.DUMMYFUNCTION("""COMPUTED_VALUE"""),9801.0)</f>
        <v>9801</v>
      </c>
      <c r="K572" s="213">
        <f>IFERROR(__xludf.DUMMYFUNCTION("""COMPUTED_VALUE"""),5013.0)</f>
        <v>5013</v>
      </c>
      <c r="L572" s="214">
        <f>IFERROR(__xludf.DUMMYFUNCTION("""COMPUTED_VALUE"""),0.5115)</f>
        <v>0.5115</v>
      </c>
      <c r="M572" s="213">
        <f>IFERROR(__xludf.DUMMYFUNCTION("""COMPUTED_VALUE"""),0.0)</f>
        <v>0</v>
      </c>
      <c r="N572" s="214">
        <f>IFERROR(__xludf.DUMMYFUNCTION("""COMPUTED_VALUE"""),0.0)</f>
        <v>0</v>
      </c>
      <c r="O572" s="213">
        <f>IFERROR(__xludf.DUMMYFUNCTION("""COMPUTED_VALUE"""),2.0)</f>
        <v>2</v>
      </c>
      <c r="P572" s="213">
        <f>IFERROR(__xludf.DUMMYFUNCTION("""COMPUTED_VALUE"""),0.0)</f>
        <v>0</v>
      </c>
      <c r="Q572" s="214">
        <f>IFERROR(__xludf.DUMMYFUNCTION("""COMPUTED_VALUE"""),4.0E-4)</f>
        <v>0.0004</v>
      </c>
      <c r="R572" s="214">
        <f>IFERROR(__xludf.DUMMYFUNCTION("""COMPUTED_VALUE"""),0.0)</f>
        <v>0</v>
      </c>
      <c r="S572" s="101">
        <f>IFERROR(__xludf.DUMMYFUNCTION("""COMPUTED_VALUE"""),2.0)</f>
        <v>2</v>
      </c>
      <c r="T572" s="101">
        <f>IFERROR(__xludf.DUMMYFUNCTION("""COMPUTED_VALUE"""),2.0)</f>
        <v>2</v>
      </c>
      <c r="U572" s="270">
        <f>IFERROR(__xludf.DUMMYFUNCTION("""COMPUTED_VALUE"""),16093.0)</f>
        <v>16093</v>
      </c>
      <c r="V572" s="271" t="str">
        <f>IFERROR(__xludf.DUMMYFUNCTION("""COMPUTED_VALUE"""),"online")</f>
        <v>online</v>
      </c>
      <c r="W572" s="272" t="str">
        <f>IFERROR(__xludf.DUMMYFUNCTION("""COMPUTED_VALUE"""),"sms")</f>
        <v>sms</v>
      </c>
      <c r="X572" s="272" t="str">
        <f>IFERROR(__xludf.DUMMYFUNCTION("""COMPUTED_VALUE"""),"Cart Qty")</f>
        <v>Cart Qty</v>
      </c>
      <c r="Y572" s="272" t="str">
        <f>IFERROR(__xludf.DUMMYFUNCTION("""COMPUTED_VALUE"""),"03 May")</f>
        <v>03 May</v>
      </c>
      <c r="Z572" s="272" t="str">
        <f>IFERROR(__xludf.DUMMYFUNCTION("""COMPUTED_VALUE"""),"69f3175f35e21511ea548880")</f>
        <v>69f3175f35e21511ea548880</v>
      </c>
      <c r="AA572" s="272">
        <f>IFERROR(__xludf.DUMMYFUNCTION("""COMPUTED_VALUE"""),5.0)</f>
        <v>5</v>
      </c>
      <c r="AB572" s="272">
        <f>IFERROR(__xludf.DUMMYFUNCTION("""COMPUTED_VALUE"""),5.0)</f>
        <v>5</v>
      </c>
      <c r="AC572" s="272"/>
      <c r="AD572" s="272">
        <f>IFERROR(__xludf.DUMMYFUNCTION("""COMPUTED_VALUE"""),16130.0)</f>
        <v>16130</v>
      </c>
      <c r="AE572" s="272">
        <f>IFERROR(__xludf.DUMMYFUNCTION("""COMPUTED_VALUE"""),16130.0)</f>
        <v>16130</v>
      </c>
      <c r="AF572" s="272"/>
      <c r="AG572" s="208"/>
      <c r="AH572" s="208"/>
      <c r="AI572" s="208"/>
      <c r="AJ572" s="208"/>
      <c r="AK572" s="208"/>
    </row>
    <row r="573" hidden="1">
      <c r="A573" s="209">
        <f>IFERROR(__xludf.DUMMYFUNCTION("""COMPUTED_VALUE"""),46145.0)</f>
        <v>46145</v>
      </c>
      <c r="B573" s="210">
        <f>IFERROR(__xludf.DUMMYFUNCTION("""COMPUTED_VALUE"""),0.7916666666678793)</f>
        <v>0.7916666667</v>
      </c>
      <c r="C573" s="211" t="str">
        <f>IFERROR(__xludf.DUMMYFUNCTION("""COMPUTED_VALUE"""),"Sms")</f>
        <v>Sms</v>
      </c>
      <c r="D573" s="211" t="str">
        <f>IFERROR(__xludf.DUMMYFUNCTION("""COMPUTED_VALUE"""),"Fallback campaign")</f>
        <v>Fallback campaign</v>
      </c>
      <c r="E573" s="211" t="str">
        <f>IFERROR(__xludf.DUMMYFUNCTION("""COMPUTED_VALUE"""),"BBW")</f>
        <v>BBW</v>
      </c>
      <c r="F573" s="211" t="str">
        <f>IFERROR(__xludf.DUMMYFUNCTION("""COMPUTED_VALUE"""),"B1G1 - Entire Store")</f>
        <v>B1G1 - Entire Store</v>
      </c>
      <c r="G573" s="212" t="str">
        <f>IFERROR(__xludf.DUMMYFUNCTION("""COMPUTED_VALUE"""),"bbw_online_smsfb_3may_buy1get1_dormant_lastreminder")</f>
        <v>bbw_online_smsfb_3may_buy1get1_dormant_lastreminder</v>
      </c>
      <c r="H573" s="212" t="str">
        <f>IFERROR(__xludf.DUMMYFUNCTION("""COMPUTED_VALUE"""),"Dorm_90_365_ON")</f>
        <v>Dorm_90_365_ON</v>
      </c>
      <c r="I573" s="212" t="str">
        <f>IFERROR(__xludf.DUMMYFUNCTION("""COMPUTED_VALUE"""),"WA Undelivered")</f>
        <v>WA Undelivered</v>
      </c>
      <c r="J573" s="213">
        <f>IFERROR(__xludf.DUMMYFUNCTION("""COMPUTED_VALUE"""),3199.0)</f>
        <v>3199</v>
      </c>
      <c r="K573" s="213">
        <f>IFERROR(__xludf.DUMMYFUNCTION("""COMPUTED_VALUE"""),1836.0)</f>
        <v>1836</v>
      </c>
      <c r="L573" s="214">
        <f>IFERROR(__xludf.DUMMYFUNCTION("""COMPUTED_VALUE"""),0.5739)</f>
        <v>0.5739</v>
      </c>
      <c r="M573" s="213">
        <f>IFERROR(__xludf.DUMMYFUNCTION("""COMPUTED_VALUE"""),0.0)</f>
        <v>0</v>
      </c>
      <c r="N573" s="214">
        <f>IFERROR(__xludf.DUMMYFUNCTION("""COMPUTED_VALUE"""),0.0)</f>
        <v>0</v>
      </c>
      <c r="O573" s="213">
        <f>IFERROR(__xludf.DUMMYFUNCTION("""COMPUTED_VALUE"""),2.0)</f>
        <v>2</v>
      </c>
      <c r="P573" s="213">
        <f>IFERROR(__xludf.DUMMYFUNCTION("""COMPUTED_VALUE"""),0.0)</f>
        <v>0</v>
      </c>
      <c r="Q573" s="214">
        <f>IFERROR(__xludf.DUMMYFUNCTION("""COMPUTED_VALUE"""),0.0011)</f>
        <v>0.0011</v>
      </c>
      <c r="R573" s="214">
        <f>IFERROR(__xludf.DUMMYFUNCTION("""COMPUTED_VALUE"""),0.0)</f>
        <v>0</v>
      </c>
      <c r="S573" s="101">
        <f>IFERROR(__xludf.DUMMYFUNCTION("""COMPUTED_VALUE"""),1.0)</f>
        <v>1</v>
      </c>
      <c r="T573" s="101">
        <f>IFERROR(__xludf.DUMMYFUNCTION("""COMPUTED_VALUE"""),0.0)</f>
        <v>0</v>
      </c>
      <c r="U573" s="270">
        <f>IFERROR(__xludf.DUMMYFUNCTION("""COMPUTED_VALUE"""),11395.0)</f>
        <v>11395</v>
      </c>
      <c r="V573" s="271" t="str">
        <f>IFERROR(__xludf.DUMMYFUNCTION("""COMPUTED_VALUE"""),"online")</f>
        <v>online</v>
      </c>
      <c r="W573" s="272" t="str">
        <f>IFERROR(__xludf.DUMMYFUNCTION("""COMPUTED_VALUE"""),"sms")</f>
        <v>sms</v>
      </c>
      <c r="X573" s="272" t="str">
        <f>IFERROR(__xludf.DUMMYFUNCTION("""COMPUTED_VALUE"""),"Dormant")</f>
        <v>Dormant</v>
      </c>
      <c r="Y573" s="272" t="str">
        <f>IFERROR(__xludf.DUMMYFUNCTION("""COMPUTED_VALUE"""),"03 May")</f>
        <v>03 May</v>
      </c>
      <c r="Z573" s="272" t="str">
        <f>IFERROR(__xludf.DUMMYFUNCTION("""COMPUTED_VALUE"""),"69f3179a2bbaec1bb75da118")</f>
        <v>69f3179a2bbaec1bb75da118</v>
      </c>
      <c r="AA573" s="272">
        <f>IFERROR(__xludf.DUMMYFUNCTION("""COMPUTED_VALUE"""),1.0)</f>
        <v>1</v>
      </c>
      <c r="AB573" s="272">
        <f>IFERROR(__xludf.DUMMYFUNCTION("""COMPUTED_VALUE"""),1.0)</f>
        <v>1</v>
      </c>
      <c r="AC573" s="272"/>
      <c r="AD573" s="272">
        <f>IFERROR(__xludf.DUMMYFUNCTION("""COMPUTED_VALUE"""),4138.0)</f>
        <v>4138</v>
      </c>
      <c r="AE573" s="272">
        <f>IFERROR(__xludf.DUMMYFUNCTION("""COMPUTED_VALUE"""),4138.0)</f>
        <v>4138</v>
      </c>
      <c r="AF573" s="272"/>
      <c r="AG573" s="208"/>
      <c r="AH573" s="208"/>
      <c r="AI573" s="208"/>
      <c r="AJ573" s="208"/>
      <c r="AK573" s="208"/>
    </row>
    <row r="574" hidden="1">
      <c r="A574" s="209">
        <f>IFERROR(__xludf.DUMMYFUNCTION("""COMPUTED_VALUE"""),46145.0)</f>
        <v>46145</v>
      </c>
      <c r="B574" s="210">
        <f>IFERROR(__xludf.DUMMYFUNCTION("""COMPUTED_VALUE"""),0.7916666666678793)</f>
        <v>0.7916666667</v>
      </c>
      <c r="C574" s="211" t="str">
        <f>IFERROR(__xludf.DUMMYFUNCTION("""COMPUTED_VALUE"""),"Sms")</f>
        <v>Sms</v>
      </c>
      <c r="D574" s="211" t="str">
        <f>IFERROR(__xludf.DUMMYFUNCTION("""COMPUTED_VALUE"""),"Fallback campaign")</f>
        <v>Fallback campaign</v>
      </c>
      <c r="E574" s="211" t="str">
        <f>IFERROR(__xludf.DUMMYFUNCTION("""COMPUTED_VALUE"""),"BBW")</f>
        <v>BBW</v>
      </c>
      <c r="F574" s="211" t="str">
        <f>IFERROR(__xludf.DUMMYFUNCTION("""COMPUTED_VALUE"""),"B1G1 - Entire Store")</f>
        <v>B1G1 - Entire Store</v>
      </c>
      <c r="G574" s="212" t="str">
        <f>IFERROR(__xludf.DUMMYFUNCTION("""COMPUTED_VALUE"""),"bbw_online_smsfb_3may_buy1get1_atc_lastreminder")</f>
        <v>bbw_online_smsfb_3may_buy1get1_atc_lastreminder</v>
      </c>
      <c r="H574" s="212" t="str">
        <f>IFERROR(__xludf.DUMMYFUNCTION("""COMPUTED_VALUE"""),"Web_View_ATC_45D")</f>
        <v>Web_View_ATC_45D</v>
      </c>
      <c r="I574" s="212" t="str">
        <f>IFERROR(__xludf.DUMMYFUNCTION("""COMPUTED_VALUE"""),"WA Undelivered")</f>
        <v>WA Undelivered</v>
      </c>
      <c r="J574" s="213">
        <f>IFERROR(__xludf.DUMMYFUNCTION("""COMPUTED_VALUE"""),2377.0)</f>
        <v>2377</v>
      </c>
      <c r="K574" s="213">
        <f>IFERROR(__xludf.DUMMYFUNCTION("""COMPUTED_VALUE"""),1575.0)</f>
        <v>1575</v>
      </c>
      <c r="L574" s="214">
        <f>IFERROR(__xludf.DUMMYFUNCTION("""COMPUTED_VALUE"""),0.6626)</f>
        <v>0.6626</v>
      </c>
      <c r="M574" s="213">
        <f>IFERROR(__xludf.DUMMYFUNCTION("""COMPUTED_VALUE"""),0.0)</f>
        <v>0</v>
      </c>
      <c r="N574" s="214">
        <f>IFERROR(__xludf.DUMMYFUNCTION("""COMPUTED_VALUE"""),0.0)</f>
        <v>0</v>
      </c>
      <c r="O574" s="213">
        <f>IFERROR(__xludf.DUMMYFUNCTION("""COMPUTED_VALUE"""),2.0)</f>
        <v>2</v>
      </c>
      <c r="P574" s="213">
        <f>IFERROR(__xludf.DUMMYFUNCTION("""COMPUTED_VALUE"""),0.0)</f>
        <v>0</v>
      </c>
      <c r="Q574" s="214">
        <f>IFERROR(__xludf.DUMMYFUNCTION("""COMPUTED_VALUE"""),0.0013)</f>
        <v>0.0013</v>
      </c>
      <c r="R574" s="214">
        <f>IFERROR(__xludf.DUMMYFUNCTION("""COMPUTED_VALUE"""),0.0)</f>
        <v>0</v>
      </c>
      <c r="S574" s="101">
        <f>IFERROR(__xludf.DUMMYFUNCTION("""COMPUTED_VALUE"""),5.0)</f>
        <v>5</v>
      </c>
      <c r="T574" s="101">
        <f>IFERROR(__xludf.DUMMYFUNCTION("""COMPUTED_VALUE"""),0.0)</f>
        <v>0</v>
      </c>
      <c r="U574" s="270">
        <f>IFERROR(__xludf.DUMMYFUNCTION("""COMPUTED_VALUE"""),24683.0)</f>
        <v>24683</v>
      </c>
      <c r="V574" s="271" t="str">
        <f>IFERROR(__xludf.DUMMYFUNCTION("""COMPUTED_VALUE"""),"online")</f>
        <v>online</v>
      </c>
      <c r="W574" s="272" t="str">
        <f>IFERROR(__xludf.DUMMYFUNCTION("""COMPUTED_VALUE"""),"sms")</f>
        <v>sms</v>
      </c>
      <c r="X574" s="272" t="str">
        <f>IFERROR(__xludf.DUMMYFUNCTION("""COMPUTED_VALUE"""),"Web View")</f>
        <v>Web View</v>
      </c>
      <c r="Y574" s="272" t="str">
        <f>IFERROR(__xludf.DUMMYFUNCTION("""COMPUTED_VALUE"""),"03 May")</f>
        <v>03 May</v>
      </c>
      <c r="Z574" s="272" t="str">
        <f>IFERROR(__xludf.DUMMYFUNCTION("""COMPUTED_VALUE"""),"69f318596df2120013aae70d")</f>
        <v>69f318596df2120013aae70d</v>
      </c>
      <c r="AA574" s="272">
        <f>IFERROR(__xludf.DUMMYFUNCTION("""COMPUTED_VALUE"""),5.0)</f>
        <v>5</v>
      </c>
      <c r="AB574" s="272">
        <f>IFERROR(__xludf.DUMMYFUNCTION("""COMPUTED_VALUE"""),5.0)</f>
        <v>5</v>
      </c>
      <c r="AC574" s="272"/>
      <c r="AD574" s="272">
        <f>IFERROR(__xludf.DUMMYFUNCTION("""COMPUTED_VALUE"""),8762.0)</f>
        <v>8762</v>
      </c>
      <c r="AE574" s="272">
        <f>IFERROR(__xludf.DUMMYFUNCTION("""COMPUTED_VALUE"""),8762.0)</f>
        <v>8762</v>
      </c>
      <c r="AF574" s="272"/>
      <c r="AG574" s="208"/>
      <c r="AH574" s="208"/>
      <c r="AI574" s="208"/>
      <c r="AJ574" s="208"/>
      <c r="AK574" s="208"/>
    </row>
    <row r="575" hidden="1">
      <c r="A575" s="209">
        <f>IFERROR(__xludf.DUMMYFUNCTION("""COMPUTED_VALUE"""),46145.0)</f>
        <v>46145</v>
      </c>
      <c r="B575" s="210">
        <f>IFERROR(__xludf.DUMMYFUNCTION("""COMPUTED_VALUE"""),0.7916666666678793)</f>
        <v>0.7916666667</v>
      </c>
      <c r="C575" s="211" t="str">
        <f>IFERROR(__xludf.DUMMYFUNCTION("""COMPUTED_VALUE"""),"Sms")</f>
        <v>Sms</v>
      </c>
      <c r="D575" s="211" t="str">
        <f>IFERROR(__xludf.DUMMYFUNCTION("""COMPUTED_VALUE"""),"Fallback campaign")</f>
        <v>Fallback campaign</v>
      </c>
      <c r="E575" s="211" t="str">
        <f>IFERROR(__xludf.DUMMYFUNCTION("""COMPUTED_VALUE"""),"BBW")</f>
        <v>BBW</v>
      </c>
      <c r="F575" s="211" t="str">
        <f>IFERROR(__xludf.DUMMYFUNCTION("""COMPUTED_VALUE"""),"B1G1 - Entire Store")</f>
        <v>B1G1 - Entire Store</v>
      </c>
      <c r="G575" s="212" t="str">
        <f>IFERROR(__xludf.DUMMYFUNCTION("""COMPUTED_VALUE"""),"bbw_online_smsfb_3may_buy1get1_smsfb_clicked_lastreminder")</f>
        <v>bbw_online_smsfb_3may_buy1get1_smsfb_clicked_lastreminder</v>
      </c>
      <c r="H575" s="212" t="str">
        <f>IFERROR(__xludf.DUMMYFUNCTION("""COMPUTED_VALUE"""),"WA_Clicked_90D")</f>
        <v>WA_Clicked_90D</v>
      </c>
      <c r="I575" s="212" t="str">
        <f>IFERROR(__xludf.DUMMYFUNCTION("""COMPUTED_VALUE"""),"WA Undelivered")</f>
        <v>WA Undelivered</v>
      </c>
      <c r="J575" s="213">
        <f>IFERROR(__xludf.DUMMYFUNCTION("""COMPUTED_VALUE"""),38018.0)</f>
        <v>38018</v>
      </c>
      <c r="K575" s="213">
        <f>IFERROR(__xludf.DUMMYFUNCTION("""COMPUTED_VALUE"""),22031.0)</f>
        <v>22031</v>
      </c>
      <c r="L575" s="214">
        <f>IFERROR(__xludf.DUMMYFUNCTION("""COMPUTED_VALUE"""),0.5795)</f>
        <v>0.5795</v>
      </c>
      <c r="M575" s="213">
        <f>IFERROR(__xludf.DUMMYFUNCTION("""COMPUTED_VALUE"""),0.0)</f>
        <v>0</v>
      </c>
      <c r="N575" s="214">
        <f>IFERROR(__xludf.DUMMYFUNCTION("""COMPUTED_VALUE"""),0.0)</f>
        <v>0</v>
      </c>
      <c r="O575" s="213">
        <f>IFERROR(__xludf.DUMMYFUNCTION("""COMPUTED_VALUE"""),57.0)</f>
        <v>57</v>
      </c>
      <c r="P575" s="213">
        <f>IFERROR(__xludf.DUMMYFUNCTION("""COMPUTED_VALUE"""),0.0)</f>
        <v>0</v>
      </c>
      <c r="Q575" s="214">
        <f>IFERROR(__xludf.DUMMYFUNCTION("""COMPUTED_VALUE"""),0.0026)</f>
        <v>0.0026</v>
      </c>
      <c r="R575" s="214">
        <f>IFERROR(__xludf.DUMMYFUNCTION("""COMPUTED_VALUE"""),0.0)</f>
        <v>0</v>
      </c>
      <c r="S575" s="101">
        <f>IFERROR(__xludf.DUMMYFUNCTION("""COMPUTED_VALUE"""),3.0)</f>
        <v>3</v>
      </c>
      <c r="T575" s="101">
        <f>IFERROR(__xludf.DUMMYFUNCTION("""COMPUTED_VALUE"""),1.0)</f>
        <v>1</v>
      </c>
      <c r="U575" s="270">
        <f>IFERROR(__xludf.DUMMYFUNCTION("""COMPUTED_VALUE"""),20589.0)</f>
        <v>20589</v>
      </c>
      <c r="V575" s="271" t="str">
        <f>IFERROR(__xludf.DUMMYFUNCTION("""COMPUTED_VALUE"""),"online")</f>
        <v>online</v>
      </c>
      <c r="W575" s="272" t="str">
        <f>IFERROR(__xludf.DUMMYFUNCTION("""COMPUTED_VALUE"""),"sms")</f>
        <v>sms</v>
      </c>
      <c r="X575" s="272" t="str">
        <f>IFERROR(__xludf.DUMMYFUNCTION("""COMPUTED_VALUE"""),"WhatsApp Engage")</f>
        <v>WhatsApp Engage</v>
      </c>
      <c r="Y575" s="272" t="str">
        <f>IFERROR(__xludf.DUMMYFUNCTION("""COMPUTED_VALUE"""),"03 May")</f>
        <v>03 May</v>
      </c>
      <c r="Z575" s="272" t="str">
        <f>IFERROR(__xludf.DUMMYFUNCTION("""COMPUTED_VALUE"""),"69f3188b07cd31356910f952")</f>
        <v>69f3188b07cd31356910f952</v>
      </c>
      <c r="AA575" s="272">
        <f>IFERROR(__xludf.DUMMYFUNCTION("""COMPUTED_VALUE"""),6.0)</f>
        <v>6</v>
      </c>
      <c r="AB575" s="272">
        <f>IFERROR(__xludf.DUMMYFUNCTION("""COMPUTED_VALUE"""),6.0)</f>
        <v>6</v>
      </c>
      <c r="AC575" s="272"/>
      <c r="AD575" s="272">
        <f>IFERROR(__xludf.DUMMYFUNCTION("""COMPUTED_VALUE"""),18882.0)</f>
        <v>18882</v>
      </c>
      <c r="AE575" s="272">
        <f>IFERROR(__xludf.DUMMYFUNCTION("""COMPUTED_VALUE"""),18882.0)</f>
        <v>18882</v>
      </c>
      <c r="AF575" s="272"/>
      <c r="AG575" s="208"/>
      <c r="AH575" s="208"/>
      <c r="AI575" s="208"/>
      <c r="AJ575" s="208"/>
      <c r="AK575" s="208"/>
    </row>
    <row r="576" hidden="1">
      <c r="A576" s="209">
        <f>IFERROR(__xludf.DUMMYFUNCTION("""COMPUTED_VALUE"""),46149.0)</f>
        <v>46149</v>
      </c>
      <c r="B576" s="210">
        <f>IFERROR(__xludf.DUMMYFUNCTION("""COMPUTED_VALUE"""),46149.70833333333)</f>
        <v>46149.70833</v>
      </c>
      <c r="C576" s="211" t="str">
        <f>IFERROR(__xludf.DUMMYFUNCTION("""COMPUTED_VALUE"""),"Whatsapp")</f>
        <v>Whatsapp</v>
      </c>
      <c r="D576" s="211" t="str">
        <f>IFERROR(__xludf.DUMMYFUNCTION("""COMPUTED_VALUE"""),"Promtional")</f>
        <v>Promtional</v>
      </c>
      <c r="E576" s="211" t="str">
        <f>IFERROR(__xludf.DUMMYFUNCTION("""COMPUTED_VALUE"""),"BBW")</f>
        <v>BBW</v>
      </c>
      <c r="F576" s="211" t="str">
        <f>IFERROR(__xludf.DUMMYFUNCTION("""COMPUTED_VALUE"""),"BC @ 999 - Body Care")</f>
        <v>BC @ 999 - Body Care</v>
      </c>
      <c r="G576" s="212" t="str">
        <f>IFERROR(__xludf.DUMMYFUNCTION("""COMPUTED_VALUE"""),"bbw_wa_7may_bcat999_repeat_online")</f>
        <v>bbw_wa_7may_bcat999_repeat_online</v>
      </c>
      <c r="H576" s="212" t="str">
        <f>IFERROR(__xludf.DUMMYFUNCTION("""COMPUTED_VALUE"""),"BodyCare_Repeat_180D_ON")</f>
        <v>BodyCare_Repeat_180D_ON</v>
      </c>
      <c r="I576" s="212" t="str">
        <f>IFERROR(__xludf.DUMMYFUNCTION("""COMPUTED_VALUE"""),"Online Customers who have purchased from BodyCare at least 2 times in the last 180 days")</f>
        <v>Online Customers who have purchased from BodyCare at least 2 times in the last 180 days</v>
      </c>
      <c r="J576" s="213">
        <f>IFERROR(__xludf.DUMMYFUNCTION("""COMPUTED_VALUE"""),38240.0)</f>
        <v>38240</v>
      </c>
      <c r="K576" s="213">
        <f>IFERROR(__xludf.DUMMYFUNCTION("""COMPUTED_VALUE"""),12784.0)</f>
        <v>12784</v>
      </c>
      <c r="L576" s="214">
        <f>IFERROR(__xludf.DUMMYFUNCTION("""COMPUTED_VALUE"""),0.3343)</f>
        <v>0.3343</v>
      </c>
      <c r="M576" s="213">
        <f>IFERROR(__xludf.DUMMYFUNCTION("""COMPUTED_VALUE"""),5742.0)</f>
        <v>5742</v>
      </c>
      <c r="N576" s="214">
        <f>IFERROR(__xludf.DUMMYFUNCTION("""COMPUTED_VALUE"""),0.44920000000000004)</f>
        <v>0.4492</v>
      </c>
      <c r="O576" s="213">
        <f>IFERROR(__xludf.DUMMYFUNCTION("""COMPUTED_VALUE"""),614.0)</f>
        <v>614</v>
      </c>
      <c r="P576" s="213">
        <f>IFERROR(__xludf.DUMMYFUNCTION("""COMPUTED_VALUE"""),560.0)</f>
        <v>560</v>
      </c>
      <c r="Q576" s="214">
        <f>IFERROR(__xludf.DUMMYFUNCTION("""COMPUTED_VALUE"""),0.0438)</f>
        <v>0.0438</v>
      </c>
      <c r="R576" s="214">
        <f>IFERROR(__xludf.DUMMYFUNCTION("""COMPUTED_VALUE"""),0.0975)</f>
        <v>0.0975</v>
      </c>
      <c r="S576" s="101">
        <f>IFERROR(__xludf.DUMMYFUNCTION("""COMPUTED_VALUE"""),32.0)</f>
        <v>32</v>
      </c>
      <c r="T576" s="101">
        <f>IFERROR(__xludf.DUMMYFUNCTION("""COMPUTED_VALUE"""),59.0)</f>
        <v>59</v>
      </c>
      <c r="U576" s="270">
        <f>IFERROR(__xludf.DUMMYFUNCTION("""COMPUTED_VALUE"""),89247.0)</f>
        <v>89247</v>
      </c>
      <c r="V576" s="271" t="str">
        <f>IFERROR(__xludf.DUMMYFUNCTION("""COMPUTED_VALUE"""),"online")</f>
        <v>online</v>
      </c>
      <c r="W576" s="272" t="str">
        <f>IFERROR(__xludf.DUMMYFUNCTION("""COMPUTED_VALUE"""),"simple")</f>
        <v>simple</v>
      </c>
      <c r="X576" s="272" t="str">
        <f>IFERROR(__xludf.DUMMYFUNCTION("""COMPUTED_VALUE"""),"Cat Repeat")</f>
        <v>Cat Repeat</v>
      </c>
      <c r="Y576" s="272" t="str">
        <f>IFERROR(__xludf.DUMMYFUNCTION("""COMPUTED_VALUE"""),"6 - 8 May")</f>
        <v>6 - 8 May</v>
      </c>
      <c r="Z576" s="272" t="str">
        <f>IFERROR(__xludf.DUMMYFUNCTION("""COMPUTED_VALUE"""),"69fc53291e117f8ff337c178")</f>
        <v>69fc53291e117f8ff337c178</v>
      </c>
      <c r="AA576" s="272">
        <f>IFERROR(__xludf.DUMMYFUNCTION("""COMPUTED_VALUE"""),95.0)</f>
        <v>95</v>
      </c>
      <c r="AB576" s="272">
        <f>IFERROR(__xludf.DUMMYFUNCTION("""COMPUTED_VALUE"""),95.0)</f>
        <v>95</v>
      </c>
      <c r="AC576" s="272"/>
      <c r="AD576" s="272">
        <f>IFERROR(__xludf.DUMMYFUNCTION("""COMPUTED_VALUE"""),240018.0)</f>
        <v>240018</v>
      </c>
      <c r="AE576" s="272">
        <f>IFERROR(__xludf.DUMMYFUNCTION("""COMPUTED_VALUE"""),240018.0)</f>
        <v>240018</v>
      </c>
      <c r="AF576" s="272"/>
      <c r="AG576" s="208"/>
      <c r="AH576" s="208"/>
      <c r="AI576" s="208"/>
      <c r="AJ576" s="208"/>
      <c r="AK576" s="208"/>
    </row>
    <row r="577" hidden="1">
      <c r="A577" s="209">
        <f>IFERROR(__xludf.DUMMYFUNCTION("""COMPUTED_VALUE"""),46149.0)</f>
        <v>46149</v>
      </c>
      <c r="B577" s="210">
        <f>IFERROR(__xludf.DUMMYFUNCTION("""COMPUTED_VALUE"""),46149.70833333333)</f>
        <v>46149.70833</v>
      </c>
      <c r="C577" s="211" t="str">
        <f>IFERROR(__xludf.DUMMYFUNCTION("""COMPUTED_VALUE"""),"Whatsapp")</f>
        <v>Whatsapp</v>
      </c>
      <c r="D577" s="211" t="str">
        <f>IFERROR(__xludf.DUMMYFUNCTION("""COMPUTED_VALUE"""),"Promtional")</f>
        <v>Promtional</v>
      </c>
      <c r="E577" s="211" t="str">
        <f>IFERROR(__xludf.DUMMYFUNCTION("""COMPUTED_VALUE"""),"BBW")</f>
        <v>BBW</v>
      </c>
      <c r="F577" s="211" t="str">
        <f>IFERROR(__xludf.DUMMYFUNCTION("""COMPUTED_VALUE"""),"BC @ 999 - Body Care")</f>
        <v>BC @ 999 - Body Care</v>
      </c>
      <c r="G577" s="212" t="str">
        <f>IFERROR(__xludf.DUMMYFUNCTION("""COMPUTED_VALUE"""),"bbw_wa_7may_bcat999_atc_online")</f>
        <v>bbw_wa_7may_bcat999_atc_online</v>
      </c>
      <c r="H577" s="212" t="str">
        <f>IFERROR(__xludf.DUMMYFUNCTION("""COMPUTED_VALUE"""),"ATC_View_NoPr_BodyCare_On")</f>
        <v>ATC_View_NoPr_BodyCare_On</v>
      </c>
      <c r="I577" s="212" t="str">
        <f>IFERROR(__xludf.DUMMYFUNCTION("""COMPUTED_VALUE"""),"Customers who have added to cart but not purchased from L2: BodyCare at least 1 time in the last 60 days OR Customers who have viewed item but not purchased from L2: BodyCare at least 1 time in the last 30 days")</f>
        <v>Customers who have added to cart but not purchased from L2: BodyCare at least 1 time in the last 60 days OR Customers who have viewed item but not purchased from L2: BodyCare at least 1 time in the last 30 days</v>
      </c>
      <c r="J577" s="213">
        <f>IFERROR(__xludf.DUMMYFUNCTION("""COMPUTED_VALUE"""),6236.0)</f>
        <v>6236</v>
      </c>
      <c r="K577" s="213">
        <f>IFERROR(__xludf.DUMMYFUNCTION("""COMPUTED_VALUE"""),2661.0)</f>
        <v>2661</v>
      </c>
      <c r="L577" s="214">
        <f>IFERROR(__xludf.DUMMYFUNCTION("""COMPUTED_VALUE"""),0.4267)</f>
        <v>0.4267</v>
      </c>
      <c r="M577" s="213">
        <f>IFERROR(__xludf.DUMMYFUNCTION("""COMPUTED_VALUE"""),1238.0)</f>
        <v>1238</v>
      </c>
      <c r="N577" s="214">
        <f>IFERROR(__xludf.DUMMYFUNCTION("""COMPUTED_VALUE"""),0.46520000000000006)</f>
        <v>0.4652</v>
      </c>
      <c r="O577" s="213">
        <f>IFERROR(__xludf.DUMMYFUNCTION("""COMPUTED_VALUE"""),224.0)</f>
        <v>224</v>
      </c>
      <c r="P577" s="213">
        <f>IFERROR(__xludf.DUMMYFUNCTION("""COMPUTED_VALUE"""),206.0)</f>
        <v>206</v>
      </c>
      <c r="Q577" s="214">
        <f>IFERROR(__xludf.DUMMYFUNCTION("""COMPUTED_VALUE"""),0.0774)</f>
        <v>0.0774</v>
      </c>
      <c r="R577" s="214">
        <f>IFERROR(__xludf.DUMMYFUNCTION("""COMPUTED_VALUE"""),0.1664)</f>
        <v>0.1664</v>
      </c>
      <c r="S577" s="101">
        <f>IFERROR(__xludf.DUMMYFUNCTION("""COMPUTED_VALUE"""),35.0)</f>
        <v>35</v>
      </c>
      <c r="T577" s="101">
        <f>IFERROR(__xludf.DUMMYFUNCTION("""COMPUTED_VALUE"""),123.0)</f>
        <v>123</v>
      </c>
      <c r="U577" s="270">
        <f>IFERROR(__xludf.DUMMYFUNCTION("""COMPUTED_VALUE"""),81487.0)</f>
        <v>81487</v>
      </c>
      <c r="V577" s="271" t="str">
        <f>IFERROR(__xludf.DUMMYFUNCTION("""COMPUTED_VALUE"""),"online")</f>
        <v>online</v>
      </c>
      <c r="W577" s="272" t="str">
        <f>IFERROR(__xludf.DUMMYFUNCTION("""COMPUTED_VALUE"""),"simple")</f>
        <v>simple</v>
      </c>
      <c r="X577" s="272" t="str">
        <f>IFERROR(__xludf.DUMMYFUNCTION("""COMPUTED_VALUE"""),"Add to Cart/View Item")</f>
        <v>Add to Cart/View Item</v>
      </c>
      <c r="Y577" s="272" t="str">
        <f>IFERROR(__xludf.DUMMYFUNCTION("""COMPUTED_VALUE"""),"6 - 8 May")</f>
        <v>6 - 8 May</v>
      </c>
      <c r="Z577" s="272" t="str">
        <f>IFERROR(__xludf.DUMMYFUNCTION("""COMPUTED_VALUE"""),"69fc535ed3d20285bd5fe463")</f>
        <v>69fc535ed3d20285bd5fe463</v>
      </c>
      <c r="AA577" s="272">
        <f>IFERROR(__xludf.DUMMYFUNCTION("""COMPUTED_VALUE"""),43.0)</f>
        <v>43</v>
      </c>
      <c r="AB577" s="272">
        <f>IFERROR(__xludf.DUMMYFUNCTION("""COMPUTED_VALUE"""),43.0)</f>
        <v>43</v>
      </c>
      <c r="AC577" s="272"/>
      <c r="AD577" s="272">
        <f>IFERROR(__xludf.DUMMYFUNCTION("""COMPUTED_VALUE"""),89260.0)</f>
        <v>89260</v>
      </c>
      <c r="AE577" s="272">
        <f>IFERROR(__xludf.DUMMYFUNCTION("""COMPUTED_VALUE"""),89260.0)</f>
        <v>89260</v>
      </c>
      <c r="AF577" s="272"/>
      <c r="AG577" s="208"/>
      <c r="AH577" s="208"/>
      <c r="AI577" s="208"/>
      <c r="AJ577" s="208"/>
      <c r="AK577" s="208"/>
    </row>
    <row r="578" hidden="1">
      <c r="A578" s="209">
        <f>IFERROR(__xludf.DUMMYFUNCTION("""COMPUTED_VALUE"""),46149.0)</f>
        <v>46149</v>
      </c>
      <c r="B578" s="210">
        <f>IFERROR(__xludf.DUMMYFUNCTION("""COMPUTED_VALUE"""),46149.70833333333)</f>
        <v>46149.70833</v>
      </c>
      <c r="C578" s="211" t="str">
        <f>IFERROR(__xludf.DUMMYFUNCTION("""COMPUTED_VALUE"""),"Whatsapp")</f>
        <v>Whatsapp</v>
      </c>
      <c r="D578" s="211" t="str">
        <f>IFERROR(__xludf.DUMMYFUNCTION("""COMPUTED_VALUE"""),"Promtional")</f>
        <v>Promtional</v>
      </c>
      <c r="E578" s="211" t="str">
        <f>IFERROR(__xludf.DUMMYFUNCTION("""COMPUTED_VALUE"""),"BBW")</f>
        <v>BBW</v>
      </c>
      <c r="F578" s="211" t="str">
        <f>IFERROR(__xludf.DUMMYFUNCTION("""COMPUTED_VALUE"""),"BC @ 999 - Body Care")</f>
        <v>BC @ 999 - Body Care</v>
      </c>
      <c r="G578" s="212" t="str">
        <f>IFERROR(__xludf.DUMMYFUNCTION("""COMPUTED_VALUE"""),"bbw_wa_7may_bcat999_dormant+event_online")</f>
        <v>bbw_wa_7may_bcat999_dormant+event_online</v>
      </c>
      <c r="H578" s="212" t="str">
        <f>IFERROR(__xludf.DUMMYFUNCTION("""COMPUTED_VALUE"""),"BC_EventBuyers+Dormant_ON")</f>
        <v>BC_EventBuyers+Dormant_ON</v>
      </c>
      <c r="I578" s="212" t="str">
        <f>IFERROR(__xludf.DUMMYFUNCTION("""COMPUTED_VALUE"""),"Online customers who have purchased at least 1 time from L2: BodyCare in between Oct 2 - Oct 5, 2025; Oct 16 - Oct 27, 2025; Jan 09- Jan 18, 2026; Feb 26 - Mar 3, 2026; Mar 27 - Mar 29, 2026 OR Online customers who have purchased atleast 1 time from L2: B"&amp;"odyCare in between the last 90-365 Days")</f>
        <v>Online customers who have purchased at least 1 time from L2: BodyCare in between Oct 2 - Oct 5, 2025; Oct 16 - Oct 27, 2025; Jan 09- Jan 18, 2026; Feb 26 - Mar 3, 2026; Mar 27 - Mar 29, 2026 OR Online customers who have purchased atleast 1 time from L2: BodyCare in between the last 90-365 Days</v>
      </c>
      <c r="J578" s="213">
        <f>IFERROR(__xludf.DUMMYFUNCTION("""COMPUTED_VALUE"""),23866.0)</f>
        <v>23866</v>
      </c>
      <c r="K578" s="213">
        <f>IFERROR(__xludf.DUMMYFUNCTION("""COMPUTED_VALUE"""),8807.0)</f>
        <v>8807</v>
      </c>
      <c r="L578" s="214">
        <f>IFERROR(__xludf.DUMMYFUNCTION("""COMPUTED_VALUE"""),0.369)</f>
        <v>0.369</v>
      </c>
      <c r="M578" s="213">
        <f>IFERROR(__xludf.DUMMYFUNCTION("""COMPUTED_VALUE"""),3329.0)</f>
        <v>3329</v>
      </c>
      <c r="N578" s="214">
        <f>IFERROR(__xludf.DUMMYFUNCTION("""COMPUTED_VALUE"""),0.37799999999999995)</f>
        <v>0.378</v>
      </c>
      <c r="O578" s="213">
        <f>IFERROR(__xludf.DUMMYFUNCTION("""COMPUTED_VALUE"""),300.0)</f>
        <v>300</v>
      </c>
      <c r="P578" s="213">
        <f>IFERROR(__xludf.DUMMYFUNCTION("""COMPUTED_VALUE"""),261.0)</f>
        <v>261</v>
      </c>
      <c r="Q578" s="214">
        <f>IFERROR(__xludf.DUMMYFUNCTION("""COMPUTED_VALUE"""),0.0296)</f>
        <v>0.0296</v>
      </c>
      <c r="R578" s="214">
        <f>IFERROR(__xludf.DUMMYFUNCTION("""COMPUTED_VALUE"""),0.0784)</f>
        <v>0.0784</v>
      </c>
      <c r="S578" s="101">
        <f>IFERROR(__xludf.DUMMYFUNCTION("""COMPUTED_VALUE"""),5.0)</f>
        <v>5</v>
      </c>
      <c r="T578" s="101">
        <f>IFERROR(__xludf.DUMMYFUNCTION("""COMPUTED_VALUE"""),9.0)</f>
        <v>9</v>
      </c>
      <c r="U578" s="270">
        <f>IFERROR(__xludf.DUMMYFUNCTION("""COMPUTED_VALUE"""),10211.0)</f>
        <v>10211</v>
      </c>
      <c r="V578" s="271" t="str">
        <f>IFERROR(__xludf.DUMMYFUNCTION("""COMPUTED_VALUE"""),"online")</f>
        <v>online</v>
      </c>
      <c r="W578" s="272" t="str">
        <f>IFERROR(__xludf.DUMMYFUNCTION("""COMPUTED_VALUE"""),"simple")</f>
        <v>simple</v>
      </c>
      <c r="X578" s="272" t="str">
        <f>IFERROR(__xludf.DUMMYFUNCTION("""COMPUTED_VALUE"""),"Event Buyers")</f>
        <v>Event Buyers</v>
      </c>
      <c r="Y578" s="272" t="str">
        <f>IFERROR(__xludf.DUMMYFUNCTION("""COMPUTED_VALUE"""),"6 - 8 May")</f>
        <v>6 - 8 May</v>
      </c>
      <c r="Z578" s="272" t="str">
        <f>IFERROR(__xludf.DUMMYFUNCTION("""COMPUTED_VALUE"""),"69fc53be9692524f6e7532fe")</f>
        <v>69fc53be9692524f6e7532fe</v>
      </c>
      <c r="AA578" s="272">
        <f>IFERROR(__xludf.DUMMYFUNCTION("""COMPUTED_VALUE"""),36.0)</f>
        <v>36</v>
      </c>
      <c r="AB578" s="272">
        <f>IFERROR(__xludf.DUMMYFUNCTION("""COMPUTED_VALUE"""),36.0)</f>
        <v>36</v>
      </c>
      <c r="AC578" s="272"/>
      <c r="AD578" s="272">
        <f>IFERROR(__xludf.DUMMYFUNCTION("""COMPUTED_VALUE"""),121695.0)</f>
        <v>121695</v>
      </c>
      <c r="AE578" s="272">
        <f>IFERROR(__xludf.DUMMYFUNCTION("""COMPUTED_VALUE"""),121695.0)</f>
        <v>121695</v>
      </c>
      <c r="AF578" s="272"/>
      <c r="AG578" s="208"/>
      <c r="AH578" s="208"/>
      <c r="AI578" s="208"/>
      <c r="AJ578" s="208"/>
      <c r="AK578" s="208"/>
    </row>
    <row r="579" hidden="1">
      <c r="A579" s="209">
        <f>IFERROR(__xludf.DUMMYFUNCTION("""COMPUTED_VALUE"""),46149.0)</f>
        <v>46149</v>
      </c>
      <c r="B579" s="210">
        <f>IFERROR(__xludf.DUMMYFUNCTION("""COMPUTED_VALUE"""),46149.83333333333)</f>
        <v>46149.83333</v>
      </c>
      <c r="C579" s="211" t="str">
        <f>IFERROR(__xludf.DUMMYFUNCTION("""COMPUTED_VALUE"""),"Sms")</f>
        <v>Sms</v>
      </c>
      <c r="D579" s="211" t="str">
        <f>IFERROR(__xludf.DUMMYFUNCTION("""COMPUTED_VALUE"""),"Fallback campaign")</f>
        <v>Fallback campaign</v>
      </c>
      <c r="E579" s="211" t="str">
        <f>IFERROR(__xludf.DUMMYFUNCTION("""COMPUTED_VALUE"""),"BBW")</f>
        <v>BBW</v>
      </c>
      <c r="F579" s="211" t="str">
        <f>IFERROR(__xludf.DUMMYFUNCTION("""COMPUTED_VALUE"""),"BC at 999 - Body Care")</f>
        <v>BC at 999 - Body Care</v>
      </c>
      <c r="G579" s="212" t="str">
        <f>IFERROR(__xludf.DUMMYFUNCTION("""COMPUTED_VALUE"""),"bbw_smsfb_7may_bcat999_repeat_online")</f>
        <v>bbw_smsfb_7may_bcat999_repeat_online</v>
      </c>
      <c r="H579" s="212" t="str">
        <f>IFERROR(__xludf.DUMMYFUNCTION("""COMPUTED_VALUE"""),"BodyCare_Repeat_180D_ON")</f>
        <v>BodyCare_Repeat_180D_ON</v>
      </c>
      <c r="I579" s="212" t="str">
        <f>IFERROR(__xludf.DUMMYFUNCTION("""COMPUTED_VALUE"""),"WA Undelivered")</f>
        <v>WA Undelivered</v>
      </c>
      <c r="J579" s="213">
        <f>IFERROR(__xludf.DUMMYFUNCTION("""COMPUTED_VALUE"""),25108.0)</f>
        <v>25108</v>
      </c>
      <c r="K579" s="213">
        <f>IFERROR(__xludf.DUMMYFUNCTION("""COMPUTED_VALUE"""),13782.0)</f>
        <v>13782</v>
      </c>
      <c r="L579" s="214">
        <f>IFERROR(__xludf.DUMMYFUNCTION("""COMPUTED_VALUE"""),0.5489087143539908)</f>
        <v>0.5489087144</v>
      </c>
      <c r="M579" s="213">
        <f>IFERROR(__xludf.DUMMYFUNCTION("""COMPUTED_VALUE"""),0.0)</f>
        <v>0</v>
      </c>
      <c r="N579" s="214">
        <f>IFERROR(__xludf.DUMMYFUNCTION("""COMPUTED_VALUE"""),0.0)</f>
        <v>0</v>
      </c>
      <c r="O579" s="213">
        <f>IFERROR(__xludf.DUMMYFUNCTION("""COMPUTED_VALUE"""),52.0)</f>
        <v>52</v>
      </c>
      <c r="P579" s="213">
        <f>IFERROR(__xludf.DUMMYFUNCTION("""COMPUTED_VALUE"""),0.0)</f>
        <v>0</v>
      </c>
      <c r="Q579" s="214">
        <f>IFERROR(__xludf.DUMMYFUNCTION("""COMPUTED_VALUE"""),0.0038)</f>
        <v>0.0038</v>
      </c>
      <c r="R579" s="214">
        <f>IFERROR(__xludf.DUMMYFUNCTION("""COMPUTED_VALUE"""),0.0)</f>
        <v>0</v>
      </c>
      <c r="S579" s="101">
        <f>IFERROR(__xludf.DUMMYFUNCTION("""COMPUTED_VALUE"""),10.0)</f>
        <v>10</v>
      </c>
      <c r="T579" s="101">
        <f>IFERROR(__xludf.DUMMYFUNCTION("""COMPUTED_VALUE"""),28.0)</f>
        <v>28</v>
      </c>
      <c r="U579" s="270">
        <f>IFERROR(__xludf.DUMMYFUNCTION("""COMPUTED_VALUE"""),26971.0)</f>
        <v>26971</v>
      </c>
      <c r="V579" s="271" t="str">
        <f>IFERROR(__xludf.DUMMYFUNCTION("""COMPUTED_VALUE"""),"online")</f>
        <v>online</v>
      </c>
      <c r="W579" s="272" t="str">
        <f>IFERROR(__xludf.DUMMYFUNCTION("""COMPUTED_VALUE"""),"sms")</f>
        <v>sms</v>
      </c>
      <c r="X579" s="272" t="str">
        <f>IFERROR(__xludf.DUMMYFUNCTION("""COMPUTED_VALUE"""),"Cat Repeat")</f>
        <v>Cat Repeat</v>
      </c>
      <c r="Y579" s="272" t="str">
        <f>IFERROR(__xludf.DUMMYFUNCTION("""COMPUTED_VALUE"""),"07 May")</f>
        <v>07 May</v>
      </c>
      <c r="Z579" s="272" t="str">
        <f>IFERROR(__xludf.DUMMYFUNCTION("""COMPUTED_VALUE"""),"69fc606d873e137c2d6f0e53")</f>
        <v>69fc606d873e137c2d6f0e53</v>
      </c>
      <c r="AA579" s="272">
        <f>IFERROR(__xludf.DUMMYFUNCTION("""COMPUTED_VALUE"""),47.0)</f>
        <v>47</v>
      </c>
      <c r="AB579" s="272">
        <f>IFERROR(__xludf.DUMMYFUNCTION("""COMPUTED_VALUE"""),47.0)</f>
        <v>47</v>
      </c>
      <c r="AC579" s="272"/>
      <c r="AD579" s="272">
        <f>IFERROR(__xludf.DUMMYFUNCTION("""COMPUTED_VALUE"""),104719.0)</f>
        <v>104719</v>
      </c>
      <c r="AE579" s="272">
        <f>IFERROR(__xludf.DUMMYFUNCTION("""COMPUTED_VALUE"""),104719.0)</f>
        <v>104719</v>
      </c>
      <c r="AF579" s="272"/>
      <c r="AG579" s="208"/>
      <c r="AH579" s="208"/>
      <c r="AI579" s="208"/>
      <c r="AJ579" s="208"/>
      <c r="AK579" s="208"/>
    </row>
    <row r="580" hidden="1">
      <c r="A580" s="209">
        <f>IFERROR(__xludf.DUMMYFUNCTION("""COMPUTED_VALUE"""),46149.0)</f>
        <v>46149</v>
      </c>
      <c r="B580" s="210">
        <f>IFERROR(__xludf.DUMMYFUNCTION("""COMPUTED_VALUE"""),46149.83333333333)</f>
        <v>46149.83333</v>
      </c>
      <c r="C580" s="211" t="str">
        <f>IFERROR(__xludf.DUMMYFUNCTION("""COMPUTED_VALUE"""),"Sms")</f>
        <v>Sms</v>
      </c>
      <c r="D580" s="211" t="str">
        <f>IFERROR(__xludf.DUMMYFUNCTION("""COMPUTED_VALUE"""),"Fallback campaign")</f>
        <v>Fallback campaign</v>
      </c>
      <c r="E580" s="211" t="str">
        <f>IFERROR(__xludf.DUMMYFUNCTION("""COMPUTED_VALUE"""),"BBW")</f>
        <v>BBW</v>
      </c>
      <c r="F580" s="211" t="str">
        <f>IFERROR(__xludf.DUMMYFUNCTION("""COMPUTED_VALUE"""),"BC at 999 - Body Care")</f>
        <v>BC at 999 - Body Care</v>
      </c>
      <c r="G580" s="212" t="str">
        <f>IFERROR(__xludf.DUMMYFUNCTION("""COMPUTED_VALUE"""),"bbw_smsfb_7may_bcat999_atc_online")</f>
        <v>bbw_smsfb_7may_bcat999_atc_online</v>
      </c>
      <c r="H580" s="212" t="str">
        <f>IFERROR(__xludf.DUMMYFUNCTION("""COMPUTED_VALUE"""),"ATC_View_NoPr_BodyCare_On")</f>
        <v>ATC_View_NoPr_BodyCare_On</v>
      </c>
      <c r="I580" s="212" t="str">
        <f>IFERROR(__xludf.DUMMYFUNCTION("""COMPUTED_VALUE"""),"WA Undelivered")</f>
        <v>WA Undelivered</v>
      </c>
      <c r="J580" s="213">
        <f>IFERROR(__xludf.DUMMYFUNCTION("""COMPUTED_VALUE"""),3497.0)</f>
        <v>3497</v>
      </c>
      <c r="K580" s="213">
        <f>IFERROR(__xludf.DUMMYFUNCTION("""COMPUTED_VALUE"""),2288.0)</f>
        <v>2288</v>
      </c>
      <c r="L580" s="214">
        <f>IFERROR(__xludf.DUMMYFUNCTION("""COMPUTED_VALUE"""),0.654275092936803)</f>
        <v>0.6542750929</v>
      </c>
      <c r="M580" s="213">
        <f>IFERROR(__xludf.DUMMYFUNCTION("""COMPUTED_VALUE"""),0.0)</f>
        <v>0</v>
      </c>
      <c r="N580" s="214">
        <f>IFERROR(__xludf.DUMMYFUNCTION("""COMPUTED_VALUE"""),0.0)</f>
        <v>0</v>
      </c>
      <c r="O580" s="213">
        <f>IFERROR(__xludf.DUMMYFUNCTION("""COMPUTED_VALUE"""),7.0)</f>
        <v>7</v>
      </c>
      <c r="P580" s="213">
        <f>IFERROR(__xludf.DUMMYFUNCTION("""COMPUTED_VALUE"""),0.0)</f>
        <v>0</v>
      </c>
      <c r="Q580" s="214">
        <f>IFERROR(__xludf.DUMMYFUNCTION("""COMPUTED_VALUE"""),0.0031)</f>
        <v>0.0031</v>
      </c>
      <c r="R580" s="214">
        <f>IFERROR(__xludf.DUMMYFUNCTION("""COMPUTED_VALUE"""),0.0)</f>
        <v>0</v>
      </c>
      <c r="S580" s="101">
        <f>IFERROR(__xludf.DUMMYFUNCTION("""COMPUTED_VALUE"""),8.0)</f>
        <v>8</v>
      </c>
      <c r="T580" s="101">
        <f>IFERROR(__xludf.DUMMYFUNCTION("""COMPUTED_VALUE"""),59.0)</f>
        <v>59</v>
      </c>
      <c r="U580" s="270">
        <f>IFERROR(__xludf.DUMMYFUNCTION("""COMPUTED_VALUE"""),18391.0)</f>
        <v>18391</v>
      </c>
      <c r="V580" s="271" t="str">
        <f>IFERROR(__xludf.DUMMYFUNCTION("""COMPUTED_VALUE"""),"online")</f>
        <v>online</v>
      </c>
      <c r="W580" s="272" t="str">
        <f>IFERROR(__xludf.DUMMYFUNCTION("""COMPUTED_VALUE"""),"sms")</f>
        <v>sms</v>
      </c>
      <c r="X580" s="272" t="str">
        <f>IFERROR(__xludf.DUMMYFUNCTION("""COMPUTED_VALUE"""),"No Brief")</f>
        <v>No Brief</v>
      </c>
      <c r="Y580" s="272" t="str">
        <f>IFERROR(__xludf.DUMMYFUNCTION("""COMPUTED_VALUE"""),"07 May")</f>
        <v>07 May</v>
      </c>
      <c r="Z580" s="272" t="str">
        <f>IFERROR(__xludf.DUMMYFUNCTION("""COMPUTED_VALUE"""),"69fc60e90500848bb4b47c3f")</f>
        <v>69fc60e90500848bb4b47c3f</v>
      </c>
      <c r="AA580" s="272">
        <f>IFERROR(__xludf.DUMMYFUNCTION("""COMPUTED_VALUE"""),13.0)</f>
        <v>13</v>
      </c>
      <c r="AB580" s="272">
        <f>IFERROR(__xludf.DUMMYFUNCTION("""COMPUTED_VALUE"""),13.0)</f>
        <v>13</v>
      </c>
      <c r="AC580" s="272"/>
      <c r="AD580" s="272">
        <f>IFERROR(__xludf.DUMMYFUNCTION("""COMPUTED_VALUE"""),24246.0)</f>
        <v>24246</v>
      </c>
      <c r="AE580" s="272">
        <f>IFERROR(__xludf.DUMMYFUNCTION("""COMPUTED_VALUE"""),24246.0)</f>
        <v>24246</v>
      </c>
      <c r="AF580" s="272"/>
      <c r="AG580" s="208"/>
      <c r="AH580" s="208"/>
      <c r="AI580" s="208"/>
      <c r="AJ580" s="208"/>
      <c r="AK580" s="208"/>
    </row>
    <row r="581" hidden="1">
      <c r="A581" s="209">
        <f>IFERROR(__xludf.DUMMYFUNCTION("""COMPUTED_VALUE"""),46149.0)</f>
        <v>46149</v>
      </c>
      <c r="B581" s="210">
        <f>IFERROR(__xludf.DUMMYFUNCTION("""COMPUTED_VALUE"""),46149.83333333333)</f>
        <v>46149.83333</v>
      </c>
      <c r="C581" s="211" t="str">
        <f>IFERROR(__xludf.DUMMYFUNCTION("""COMPUTED_VALUE"""),"Sms")</f>
        <v>Sms</v>
      </c>
      <c r="D581" s="211" t="str">
        <f>IFERROR(__xludf.DUMMYFUNCTION("""COMPUTED_VALUE"""),"Fallback campaign")</f>
        <v>Fallback campaign</v>
      </c>
      <c r="E581" s="211" t="str">
        <f>IFERROR(__xludf.DUMMYFUNCTION("""COMPUTED_VALUE"""),"BBW")</f>
        <v>BBW</v>
      </c>
      <c r="F581" s="211" t="str">
        <f>IFERROR(__xludf.DUMMYFUNCTION("""COMPUTED_VALUE"""),"BC at 999 - Body Care")</f>
        <v>BC at 999 - Body Care</v>
      </c>
      <c r="G581" s="212" t="str">
        <f>IFERROR(__xludf.DUMMYFUNCTION("""COMPUTED_VALUE"""),"bbw_smsfb_7may_bcat999_dormant+event_online")</f>
        <v>bbw_smsfb_7may_bcat999_dormant+event_online</v>
      </c>
      <c r="H581" s="212" t="str">
        <f>IFERROR(__xludf.DUMMYFUNCTION("""COMPUTED_VALUE"""),"BC_EventBuyers+Dormant_ON")</f>
        <v>BC_EventBuyers+Dormant_ON</v>
      </c>
      <c r="I581" s="212" t="str">
        <f>IFERROR(__xludf.DUMMYFUNCTION("""COMPUTED_VALUE"""),"WA Undelivered")</f>
        <v>WA Undelivered</v>
      </c>
      <c r="J581" s="213">
        <f>IFERROR(__xludf.DUMMYFUNCTION("""COMPUTED_VALUE"""),14594.0)</f>
        <v>14594</v>
      </c>
      <c r="K581" s="213">
        <f>IFERROR(__xludf.DUMMYFUNCTION("""COMPUTED_VALUE"""),8019.0)</f>
        <v>8019</v>
      </c>
      <c r="L581" s="214">
        <f>IFERROR(__xludf.DUMMYFUNCTION("""COMPUTED_VALUE"""),0.5494723859120186)</f>
        <v>0.5494723859</v>
      </c>
      <c r="M581" s="213">
        <f>IFERROR(__xludf.DUMMYFUNCTION("""COMPUTED_VALUE"""),0.0)</f>
        <v>0</v>
      </c>
      <c r="N581" s="214">
        <f>IFERROR(__xludf.DUMMYFUNCTION("""COMPUTED_VALUE"""),0.0)</f>
        <v>0</v>
      </c>
      <c r="O581" s="213">
        <f>IFERROR(__xludf.DUMMYFUNCTION("""COMPUTED_VALUE"""),16.0)</f>
        <v>16</v>
      </c>
      <c r="P581" s="213">
        <f>IFERROR(__xludf.DUMMYFUNCTION("""COMPUTED_VALUE"""),0.0)</f>
        <v>0</v>
      </c>
      <c r="Q581" s="214">
        <f>IFERROR(__xludf.DUMMYFUNCTION("""COMPUTED_VALUE"""),0.002)</f>
        <v>0.002</v>
      </c>
      <c r="R581" s="214">
        <f>IFERROR(__xludf.DUMMYFUNCTION("""COMPUTED_VALUE"""),0.0)</f>
        <v>0</v>
      </c>
      <c r="S581" s="101">
        <f>IFERROR(__xludf.DUMMYFUNCTION("""COMPUTED_VALUE"""),1.0)</f>
        <v>1</v>
      </c>
      <c r="T581" s="101">
        <f>IFERROR(__xludf.DUMMYFUNCTION("""COMPUTED_VALUE"""),3.0)</f>
        <v>3</v>
      </c>
      <c r="U581" s="270">
        <f>IFERROR(__xludf.DUMMYFUNCTION("""COMPUTED_VALUE"""),3396.0)</f>
        <v>3396</v>
      </c>
      <c r="V581" s="271" t="str">
        <f>IFERROR(__xludf.DUMMYFUNCTION("""COMPUTED_VALUE"""),"online")</f>
        <v>online</v>
      </c>
      <c r="W581" s="272" t="str">
        <f>IFERROR(__xludf.DUMMYFUNCTION("""COMPUTED_VALUE"""),"sms")</f>
        <v>sms</v>
      </c>
      <c r="X581" s="272" t="str">
        <f>IFERROR(__xludf.DUMMYFUNCTION("""COMPUTED_VALUE"""),"No Brief")</f>
        <v>No Brief</v>
      </c>
      <c r="Y581" s="272" t="str">
        <f>IFERROR(__xludf.DUMMYFUNCTION("""COMPUTED_VALUE"""),"07 May")</f>
        <v>07 May</v>
      </c>
      <c r="Z581" s="272" t="str">
        <f>IFERROR(__xludf.DUMMYFUNCTION("""COMPUTED_VALUE"""),"69fc612dabbed9dda70a0c48")</f>
        <v>69fc612dabbed9dda70a0c48</v>
      </c>
      <c r="AA581" s="272">
        <f>IFERROR(__xludf.DUMMYFUNCTION("""COMPUTED_VALUE"""),7.0)</f>
        <v>7</v>
      </c>
      <c r="AB581" s="272">
        <f>IFERROR(__xludf.DUMMYFUNCTION("""COMPUTED_VALUE"""),7.0)</f>
        <v>7</v>
      </c>
      <c r="AC581" s="272"/>
      <c r="AD581" s="272">
        <f>IFERROR(__xludf.DUMMYFUNCTION("""COMPUTED_VALUE"""),17076.0)</f>
        <v>17076</v>
      </c>
      <c r="AE581" s="272">
        <f>IFERROR(__xludf.DUMMYFUNCTION("""COMPUTED_VALUE"""),17076.0)</f>
        <v>17076</v>
      </c>
      <c r="AF581" s="272"/>
      <c r="AG581" s="208"/>
      <c r="AH581" s="208"/>
      <c r="AI581" s="208"/>
      <c r="AJ581" s="208"/>
      <c r="AK581" s="208"/>
    </row>
    <row r="582" hidden="1">
      <c r="A582" s="209">
        <f>IFERROR(__xludf.DUMMYFUNCTION("""COMPUTED_VALUE"""),46150.0)</f>
        <v>46150</v>
      </c>
      <c r="B582" s="210">
        <f>IFERROR(__xludf.DUMMYFUNCTION("""COMPUTED_VALUE"""),46150.5)</f>
        <v>46150.5</v>
      </c>
      <c r="C582" s="211" t="str">
        <f>IFERROR(__xludf.DUMMYFUNCTION("""COMPUTED_VALUE"""),"Whatsapp")</f>
        <v>Whatsapp</v>
      </c>
      <c r="D582" s="211" t="str">
        <f>IFERROR(__xludf.DUMMYFUNCTION("""COMPUTED_VALUE"""),"Promtional")</f>
        <v>Promtional</v>
      </c>
      <c r="E582" s="211" t="str">
        <f>IFERROR(__xludf.DUMMYFUNCTION("""COMPUTED_VALUE"""),"BBW")</f>
        <v>BBW</v>
      </c>
      <c r="F582" s="211" t="str">
        <f>IFERROR(__xludf.DUMMYFUNCTION("""COMPUTED_VALUE"""),"BC @ 999 - Body Care")</f>
        <v>BC @ 999 - Body Care</v>
      </c>
      <c r="G582" s="212" t="str">
        <f>IFERROR(__xludf.DUMMYFUNCTION("""COMPUTED_VALUE"""),"bbw_wa_8may_bcat999_repeat_offline")</f>
        <v>bbw_wa_8may_bcat999_repeat_offline</v>
      </c>
      <c r="H582" s="212" t="str">
        <f>IFERROR(__xludf.DUMMYFUNCTION("""COMPUTED_VALUE"""),"BodyCare_Repeat_180D_OFF")</f>
        <v>BodyCare_Repeat_180D_OFF</v>
      </c>
      <c r="I582" s="212" t="str">
        <f>IFERROR(__xludf.DUMMYFUNCTION("""COMPUTED_VALUE"""),"Offline Customers who have purchased from BodyCare at least 2 times in the last 180 days")</f>
        <v>Offline Customers who have purchased from BodyCare at least 2 times in the last 180 days</v>
      </c>
      <c r="J582" s="213">
        <f>IFERROR(__xludf.DUMMYFUNCTION("""COMPUTED_VALUE"""),16666.0)</f>
        <v>16666</v>
      </c>
      <c r="K582" s="213">
        <f>IFERROR(__xludf.DUMMYFUNCTION("""COMPUTED_VALUE"""),7153.0)</f>
        <v>7153</v>
      </c>
      <c r="L582" s="214">
        <f>IFERROR(__xludf.DUMMYFUNCTION("""COMPUTED_VALUE"""),0.4292)</f>
        <v>0.4292</v>
      </c>
      <c r="M582" s="213">
        <f>IFERROR(__xludf.DUMMYFUNCTION("""COMPUTED_VALUE"""),2947.0)</f>
        <v>2947</v>
      </c>
      <c r="N582" s="214">
        <f>IFERROR(__xludf.DUMMYFUNCTION("""COMPUTED_VALUE"""),0.41200000000000003)</f>
        <v>0.412</v>
      </c>
      <c r="O582" s="213">
        <f>IFERROR(__xludf.DUMMYFUNCTION("""COMPUTED_VALUE"""),195.0)</f>
        <v>195</v>
      </c>
      <c r="P582" s="213">
        <f>IFERROR(__xludf.DUMMYFUNCTION("""COMPUTED_VALUE"""),183.0)</f>
        <v>183</v>
      </c>
      <c r="Q582" s="214">
        <f>IFERROR(__xludf.DUMMYFUNCTION("""COMPUTED_VALUE"""),0.0256)</f>
        <v>0.0256</v>
      </c>
      <c r="R582" s="214">
        <f>IFERROR(__xludf.DUMMYFUNCTION("""COMPUTED_VALUE"""),0.0621)</f>
        <v>0.0621</v>
      </c>
      <c r="S582" s="101">
        <f>IFERROR(__xludf.DUMMYFUNCTION("""COMPUTED_VALUE"""),2.0)</f>
        <v>2</v>
      </c>
      <c r="T582" s="101">
        <f>IFERROR(__xludf.DUMMYFUNCTION("""COMPUTED_VALUE"""),3.0)</f>
        <v>3</v>
      </c>
      <c r="U582" s="270">
        <f>IFERROR(__xludf.DUMMYFUNCTION("""COMPUTED_VALUE"""),6665.0)</f>
        <v>6665</v>
      </c>
      <c r="V582" s="271" t="str">
        <f>IFERROR(__xludf.DUMMYFUNCTION("""COMPUTED_VALUE"""),"offline")</f>
        <v>offline</v>
      </c>
      <c r="W582" s="272" t="str">
        <f>IFERROR(__xludf.DUMMYFUNCTION("""COMPUTED_VALUE"""),"simple")</f>
        <v>simple</v>
      </c>
      <c r="X582" s="272" t="str">
        <f>IFERROR(__xludf.DUMMYFUNCTION("""COMPUTED_VALUE"""),"Cat Repeat")</f>
        <v>Cat Repeat</v>
      </c>
      <c r="Y582" s="272" t="str">
        <f>IFERROR(__xludf.DUMMYFUNCTION("""COMPUTED_VALUE"""),"8 - 10 May")</f>
        <v>8 - 10 May</v>
      </c>
      <c r="Z582" s="272" t="str">
        <f>IFERROR(__xludf.DUMMYFUNCTION("""COMPUTED_VALUE"""),"69fc5407ad7caff78b84ff06")</f>
        <v>69fc5407ad7caff78b84ff06</v>
      </c>
      <c r="AA582" s="272">
        <f>IFERROR(__xludf.DUMMYFUNCTION("""COMPUTED_VALUE"""),83.0)</f>
        <v>83</v>
      </c>
      <c r="AB582" s="272"/>
      <c r="AC582" s="272">
        <f>IFERROR(__xludf.DUMMYFUNCTION("""COMPUTED_VALUE"""),83.0)</f>
        <v>83</v>
      </c>
      <c r="AD582" s="272">
        <f>IFERROR(__xludf.DUMMYFUNCTION("""COMPUTED_VALUE"""),430486.0)</f>
        <v>430486</v>
      </c>
      <c r="AE582" s="272"/>
      <c r="AF582" s="272">
        <f>IFERROR(__xludf.DUMMYFUNCTION("""COMPUTED_VALUE"""),430486.0)</f>
        <v>430486</v>
      </c>
      <c r="AG582" s="208"/>
      <c r="AH582" s="208"/>
      <c r="AI582" s="208"/>
      <c r="AJ582" s="208"/>
      <c r="AK582" s="208"/>
    </row>
    <row r="583" hidden="1">
      <c r="A583" s="209">
        <f>IFERROR(__xludf.DUMMYFUNCTION("""COMPUTED_VALUE"""),46150.0)</f>
        <v>46150</v>
      </c>
      <c r="B583" s="210">
        <f>IFERROR(__xludf.DUMMYFUNCTION("""COMPUTED_VALUE"""),46150.5)</f>
        <v>46150.5</v>
      </c>
      <c r="C583" s="211" t="str">
        <f>IFERROR(__xludf.DUMMYFUNCTION("""COMPUTED_VALUE"""),"Whatsapp")</f>
        <v>Whatsapp</v>
      </c>
      <c r="D583" s="211" t="str">
        <f>IFERROR(__xludf.DUMMYFUNCTION("""COMPUTED_VALUE"""),"Promtional")</f>
        <v>Promtional</v>
      </c>
      <c r="E583" s="211" t="str">
        <f>IFERROR(__xludf.DUMMYFUNCTION("""COMPUTED_VALUE"""),"BBW")</f>
        <v>BBW</v>
      </c>
      <c r="F583" s="211" t="str">
        <f>IFERROR(__xludf.DUMMYFUNCTION("""COMPUTED_VALUE"""),"BC @ 999 - Body Care")</f>
        <v>BC @ 999 - Body Care</v>
      </c>
      <c r="G583" s="212" t="str">
        <f>IFERROR(__xludf.DUMMYFUNCTION("""COMPUTED_VALUE"""),"bbw_wa_8may_bcat999_aov_offline")</f>
        <v>bbw_wa_8may_bcat999_aov_offline</v>
      </c>
      <c r="H583" s="212" t="str">
        <f>IFERROR(__xludf.DUMMYFUNCTION("""COMPUTED_VALUE"""),"BodyCare_AOV_1000_OFF")</f>
        <v>BodyCare_AOV_1000_OFF</v>
      </c>
      <c r="I583" s="212" t="str">
        <f>IFERROR(__xludf.DUMMYFUNCTION("""COMPUTED_VALUE"""),"Offline customers who have purchased from L2: BodyCare at least 1 time with aggregation: average Order Net Value: ₹999 in the last 180 days")</f>
        <v>Offline customers who have purchased from L2: BodyCare at least 1 time with aggregation: average Order Net Value: ₹999 in the last 180 days</v>
      </c>
      <c r="J583" s="213">
        <f>IFERROR(__xludf.DUMMYFUNCTION("""COMPUTED_VALUE"""),7306.0)</f>
        <v>7306</v>
      </c>
      <c r="K583" s="213">
        <f>IFERROR(__xludf.DUMMYFUNCTION("""COMPUTED_VALUE"""),2281.0)</f>
        <v>2281</v>
      </c>
      <c r="L583" s="214">
        <f>IFERROR(__xludf.DUMMYFUNCTION("""COMPUTED_VALUE"""),0.3121)</f>
        <v>0.3121</v>
      </c>
      <c r="M583" s="213">
        <f>IFERROR(__xludf.DUMMYFUNCTION("""COMPUTED_VALUE"""),743.0)</f>
        <v>743</v>
      </c>
      <c r="N583" s="214">
        <f>IFERROR(__xludf.DUMMYFUNCTION("""COMPUTED_VALUE"""),0.3259)</f>
        <v>0.3259</v>
      </c>
      <c r="O583" s="213">
        <f>IFERROR(__xludf.DUMMYFUNCTION("""COMPUTED_VALUE"""),50.0)</f>
        <v>50</v>
      </c>
      <c r="P583" s="213">
        <f>IFERROR(__xludf.DUMMYFUNCTION("""COMPUTED_VALUE"""),44.0)</f>
        <v>44</v>
      </c>
      <c r="Q583" s="214">
        <f>IFERROR(__xludf.DUMMYFUNCTION("""COMPUTED_VALUE"""),0.019299999999999998)</f>
        <v>0.0193</v>
      </c>
      <c r="R583" s="214">
        <f>IFERROR(__xludf.DUMMYFUNCTION("""COMPUTED_VALUE"""),0.0592)</f>
        <v>0.0592</v>
      </c>
      <c r="S583" s="101">
        <f>IFERROR(__xludf.DUMMYFUNCTION("""COMPUTED_VALUE"""),0.0)</f>
        <v>0</v>
      </c>
      <c r="T583" s="101">
        <f>IFERROR(__xludf.DUMMYFUNCTION("""COMPUTED_VALUE"""),0.0)</f>
        <v>0</v>
      </c>
      <c r="U583" s="270">
        <f>IFERROR(__xludf.DUMMYFUNCTION("""COMPUTED_VALUE"""),0.0)</f>
        <v>0</v>
      </c>
      <c r="V583" s="271" t="str">
        <f>IFERROR(__xludf.DUMMYFUNCTION("""COMPUTED_VALUE"""),"offline")</f>
        <v>offline</v>
      </c>
      <c r="W583" s="272" t="str">
        <f>IFERROR(__xludf.DUMMYFUNCTION("""COMPUTED_VALUE"""),"simple")</f>
        <v>simple</v>
      </c>
      <c r="X583" s="272" t="str">
        <f>IFERROR(__xludf.DUMMYFUNCTION("""COMPUTED_VALUE"""),"Cat Buyer - Body Care + Cart Value")</f>
        <v>Cat Buyer - Body Care + Cart Value</v>
      </c>
      <c r="Y583" s="272" t="str">
        <f>IFERROR(__xludf.DUMMYFUNCTION("""COMPUTED_VALUE"""),"8 - 10 May")</f>
        <v>8 - 10 May</v>
      </c>
      <c r="Z583" s="272" t="str">
        <f>IFERROR(__xludf.DUMMYFUNCTION("""COMPUTED_VALUE"""),"69fc54331b876eaba8b6c196")</f>
        <v>69fc54331b876eaba8b6c196</v>
      </c>
      <c r="AA583" s="272">
        <f>IFERROR(__xludf.DUMMYFUNCTION("""COMPUTED_VALUE"""),1.0)</f>
        <v>1</v>
      </c>
      <c r="AB583" s="272"/>
      <c r="AC583" s="272">
        <f>IFERROR(__xludf.DUMMYFUNCTION("""COMPUTED_VALUE"""),1.0)</f>
        <v>1</v>
      </c>
      <c r="AD583" s="272">
        <f>IFERROR(__xludf.DUMMYFUNCTION("""COMPUTED_VALUE"""),999.0)</f>
        <v>999</v>
      </c>
      <c r="AE583" s="272"/>
      <c r="AF583" s="272">
        <f>IFERROR(__xludf.DUMMYFUNCTION("""COMPUTED_VALUE"""),999.0)</f>
        <v>999</v>
      </c>
      <c r="AG583" s="208"/>
      <c r="AH583" s="208"/>
      <c r="AI583" s="208"/>
      <c r="AJ583" s="208"/>
      <c r="AK583" s="208"/>
    </row>
    <row r="584" hidden="1">
      <c r="A584" s="209">
        <f>IFERROR(__xludf.DUMMYFUNCTION("""COMPUTED_VALUE"""),46150.0)</f>
        <v>46150</v>
      </c>
      <c r="B584" s="210">
        <f>IFERROR(__xludf.DUMMYFUNCTION("""COMPUTED_VALUE"""),46150.5)</f>
        <v>46150.5</v>
      </c>
      <c r="C584" s="211" t="str">
        <f>IFERROR(__xludf.DUMMYFUNCTION("""COMPUTED_VALUE"""),"Whatsapp")</f>
        <v>Whatsapp</v>
      </c>
      <c r="D584" s="211" t="str">
        <f>IFERROR(__xludf.DUMMYFUNCTION("""COMPUTED_VALUE"""),"Promtional")</f>
        <v>Promtional</v>
      </c>
      <c r="E584" s="211" t="str">
        <f>IFERROR(__xludf.DUMMYFUNCTION("""COMPUTED_VALUE"""),"BBW")</f>
        <v>BBW</v>
      </c>
      <c r="F584" s="211" t="str">
        <f>IFERROR(__xludf.DUMMYFUNCTION("""COMPUTED_VALUE"""),"BC @ 999 - Body Care")</f>
        <v>BC @ 999 - Body Care</v>
      </c>
      <c r="G584" s="212" t="str">
        <f>IFERROR(__xludf.DUMMYFUNCTION("""COMPUTED_VALUE"""),"bbw_wa_8may_bcat999_event_offline")</f>
        <v>bbw_wa_8may_bcat999_event_offline</v>
      </c>
      <c r="H584" s="212" t="str">
        <f>IFERROR(__xludf.DUMMYFUNCTION("""COMPUTED_VALUE"""),"BC_EventBuyers_OFF")</f>
        <v>BC_EventBuyers_OFF</v>
      </c>
      <c r="I584" s="212" t="str">
        <f>IFERROR(__xludf.DUMMYFUNCTION("""COMPUTED_VALUE"""),"Offline Customers who have purchased at least 1 time from BodyCare in between 2-5 Oct 2025, 16-27 Oct 2025, 9-18 Jan 2026, 26 Feb - 3 Mar 2026")</f>
        <v>Offline Customers who have purchased at least 1 time from BodyCare in between 2-5 Oct 2025, 16-27 Oct 2025, 9-18 Jan 2026, 26 Feb - 3 Mar 2026</v>
      </c>
      <c r="J584" s="213">
        <f>IFERROR(__xludf.DUMMYFUNCTION("""COMPUTED_VALUE"""),15305.0)</f>
        <v>15305</v>
      </c>
      <c r="K584" s="213">
        <f>IFERROR(__xludf.DUMMYFUNCTION("""COMPUTED_VALUE"""),4363.0)</f>
        <v>4363</v>
      </c>
      <c r="L584" s="214">
        <f>IFERROR(__xludf.DUMMYFUNCTION("""COMPUTED_VALUE"""),0.2851)</f>
        <v>0.2851</v>
      </c>
      <c r="M584" s="213">
        <f>IFERROR(__xludf.DUMMYFUNCTION("""COMPUTED_VALUE"""),1367.0)</f>
        <v>1367</v>
      </c>
      <c r="N584" s="214">
        <f>IFERROR(__xludf.DUMMYFUNCTION("""COMPUTED_VALUE"""),0.3134)</f>
        <v>0.3134</v>
      </c>
      <c r="O584" s="213">
        <f>IFERROR(__xludf.DUMMYFUNCTION("""COMPUTED_VALUE"""),77.0)</f>
        <v>77</v>
      </c>
      <c r="P584" s="213">
        <f>IFERROR(__xludf.DUMMYFUNCTION("""COMPUTED_VALUE"""),75.0)</f>
        <v>75</v>
      </c>
      <c r="Q584" s="214">
        <f>IFERROR(__xludf.DUMMYFUNCTION("""COMPUTED_VALUE"""),0.0172)</f>
        <v>0.0172</v>
      </c>
      <c r="R584" s="214">
        <f>IFERROR(__xludf.DUMMYFUNCTION("""COMPUTED_VALUE"""),0.054900000000000004)</f>
        <v>0.0549</v>
      </c>
      <c r="S584" s="101">
        <f>IFERROR(__xludf.DUMMYFUNCTION("""COMPUTED_VALUE"""),0.0)</f>
        <v>0</v>
      </c>
      <c r="T584" s="101">
        <f>IFERROR(__xludf.DUMMYFUNCTION("""COMPUTED_VALUE"""),1.0)</f>
        <v>1</v>
      </c>
      <c r="U584" s="270">
        <f>IFERROR(__xludf.DUMMYFUNCTION("""COMPUTED_VALUE"""),0.0)</f>
        <v>0</v>
      </c>
      <c r="V584" s="271" t="str">
        <f>IFERROR(__xludf.DUMMYFUNCTION("""COMPUTED_VALUE"""),"offline")</f>
        <v>offline</v>
      </c>
      <c r="W584" s="272" t="str">
        <f>IFERROR(__xludf.DUMMYFUNCTION("""COMPUTED_VALUE"""),"simple")</f>
        <v>simple</v>
      </c>
      <c r="X584" s="272" t="str">
        <f>IFERROR(__xludf.DUMMYFUNCTION("""COMPUTED_VALUE"""),"Event Buyers")</f>
        <v>Event Buyers</v>
      </c>
      <c r="Y584" s="272" t="str">
        <f>IFERROR(__xludf.DUMMYFUNCTION("""COMPUTED_VALUE"""),"8 - 10 May")</f>
        <v>8 - 10 May</v>
      </c>
      <c r="Z584" s="272" t="str">
        <f>IFERROR(__xludf.DUMMYFUNCTION("""COMPUTED_VALUE"""),"69fc54c0873e137c2d6f0b79")</f>
        <v>69fc54c0873e137c2d6f0b79</v>
      </c>
      <c r="AA584" s="272">
        <f>IFERROR(__xludf.DUMMYFUNCTION("""COMPUTED_VALUE"""),7.0)</f>
        <v>7</v>
      </c>
      <c r="AB584" s="272"/>
      <c r="AC584" s="272">
        <f>IFERROR(__xludf.DUMMYFUNCTION("""COMPUTED_VALUE"""),7.0)</f>
        <v>7</v>
      </c>
      <c r="AD584" s="272">
        <f>IFERROR(__xludf.DUMMYFUNCTION("""COMPUTED_VALUE"""),18380.0)</f>
        <v>18380</v>
      </c>
      <c r="AE584" s="272"/>
      <c r="AF584" s="272">
        <f>IFERROR(__xludf.DUMMYFUNCTION("""COMPUTED_VALUE"""),18380.0)</f>
        <v>18380</v>
      </c>
      <c r="AG584" s="208"/>
      <c r="AH584" s="208"/>
      <c r="AI584" s="208"/>
      <c r="AJ584" s="208"/>
      <c r="AK584" s="208"/>
    </row>
    <row r="585" hidden="1">
      <c r="A585" s="209">
        <f>IFERROR(__xludf.DUMMYFUNCTION("""COMPUTED_VALUE"""),46150.0)</f>
        <v>46150</v>
      </c>
      <c r="B585" s="210">
        <f>IFERROR(__xludf.DUMMYFUNCTION("""COMPUTED_VALUE"""),46150.5)</f>
        <v>46150.5</v>
      </c>
      <c r="C585" s="211" t="str">
        <f>IFERROR(__xludf.DUMMYFUNCTION("""COMPUTED_VALUE"""),"Whatsapp")</f>
        <v>Whatsapp</v>
      </c>
      <c r="D585" s="211" t="str">
        <f>IFERROR(__xludf.DUMMYFUNCTION("""COMPUTED_VALUE"""),"Promtional")</f>
        <v>Promtional</v>
      </c>
      <c r="E585" s="211" t="str">
        <f>IFERROR(__xludf.DUMMYFUNCTION("""COMPUTED_VALUE"""),"BBW")</f>
        <v>BBW</v>
      </c>
      <c r="F585" s="211" t="str">
        <f>IFERROR(__xludf.DUMMYFUNCTION("""COMPUTED_VALUE"""),"BC @ 999 - Body Care")</f>
        <v>BC @ 999 - Body Care</v>
      </c>
      <c r="G585" s="212" t="str">
        <f>IFERROR(__xludf.DUMMYFUNCTION("""COMPUTED_VALUE"""),"bbw_wa_8may_bcat999_dormant_offline")</f>
        <v>bbw_wa_8may_bcat999_dormant_offline</v>
      </c>
      <c r="H585" s="212" t="str">
        <f>IFERROR(__xludf.DUMMYFUNCTION("""COMPUTED_VALUE"""),"BC_Dormant_1Y_OFF")</f>
        <v>BC_Dormant_1Y_OFF</v>
      </c>
      <c r="I585" s="212" t="str">
        <f>IFERROR(__xludf.DUMMYFUNCTION("""COMPUTED_VALUE"""),"Offline Customers who have purchased at least 1 time from BodyCare between 90 days and 365 days ago")</f>
        <v>Offline Customers who have purchased at least 1 time from BodyCare between 90 days and 365 days ago</v>
      </c>
      <c r="J585" s="213">
        <f>IFERROR(__xludf.DUMMYFUNCTION("""COMPUTED_VALUE"""),72906.0)</f>
        <v>72906</v>
      </c>
      <c r="K585" s="213">
        <f>IFERROR(__xludf.DUMMYFUNCTION("""COMPUTED_VALUE"""),18371.0)</f>
        <v>18371</v>
      </c>
      <c r="L585" s="214">
        <f>IFERROR(__xludf.DUMMYFUNCTION("""COMPUTED_VALUE"""),0.2519)</f>
        <v>0.2519</v>
      </c>
      <c r="M585" s="213">
        <f>IFERROR(__xludf.DUMMYFUNCTION("""COMPUTED_VALUE"""),5664.0)</f>
        <v>5664</v>
      </c>
      <c r="N585" s="214">
        <f>IFERROR(__xludf.DUMMYFUNCTION("""COMPUTED_VALUE"""),0.3084)</f>
        <v>0.3084</v>
      </c>
      <c r="O585" s="213">
        <f>IFERROR(__xludf.DUMMYFUNCTION("""COMPUTED_VALUE"""),294.0)</f>
        <v>294</v>
      </c>
      <c r="P585" s="213">
        <f>IFERROR(__xludf.DUMMYFUNCTION("""COMPUTED_VALUE"""),270.0)</f>
        <v>270</v>
      </c>
      <c r="Q585" s="214">
        <f>IFERROR(__xludf.DUMMYFUNCTION("""COMPUTED_VALUE"""),0.0147)</f>
        <v>0.0147</v>
      </c>
      <c r="R585" s="214">
        <f>IFERROR(__xludf.DUMMYFUNCTION("""COMPUTED_VALUE"""),0.04769999999999999)</f>
        <v>0.0477</v>
      </c>
      <c r="S585" s="101">
        <f>IFERROR(__xludf.DUMMYFUNCTION("""COMPUTED_VALUE"""),4.0)</f>
        <v>4</v>
      </c>
      <c r="T585" s="101">
        <f>IFERROR(__xludf.DUMMYFUNCTION("""COMPUTED_VALUE"""),10.0)</f>
        <v>10</v>
      </c>
      <c r="U585" s="270">
        <f>IFERROR(__xludf.DUMMYFUNCTION("""COMPUTED_VALUE"""),7910.0)</f>
        <v>7910</v>
      </c>
      <c r="V585" s="271" t="str">
        <f>IFERROR(__xludf.DUMMYFUNCTION("""COMPUTED_VALUE"""),"offline")</f>
        <v>offline</v>
      </c>
      <c r="W585" s="272" t="str">
        <f>IFERROR(__xludf.DUMMYFUNCTION("""COMPUTED_VALUE"""),"simple")</f>
        <v>simple</v>
      </c>
      <c r="X585" s="272" t="str">
        <f>IFERROR(__xludf.DUMMYFUNCTION("""COMPUTED_VALUE"""),"Cat Dormant")</f>
        <v>Cat Dormant</v>
      </c>
      <c r="Y585" s="272" t="str">
        <f>IFERROR(__xludf.DUMMYFUNCTION("""COMPUTED_VALUE"""),"8 - 10 May")</f>
        <v>8 - 10 May</v>
      </c>
      <c r="Z585" s="272" t="str">
        <f>IFERROR(__xludf.DUMMYFUNCTION("""COMPUTED_VALUE"""),"69fc55065be7a31411318252")</f>
        <v>69fc55065be7a31411318252</v>
      </c>
      <c r="AA585" s="272">
        <f>IFERROR(__xludf.DUMMYFUNCTION("""COMPUTED_VALUE"""),25.0)</f>
        <v>25</v>
      </c>
      <c r="AB585" s="272"/>
      <c r="AC585" s="272">
        <f>IFERROR(__xludf.DUMMYFUNCTION("""COMPUTED_VALUE"""),25.0)</f>
        <v>25</v>
      </c>
      <c r="AD585" s="272">
        <f>IFERROR(__xludf.DUMMYFUNCTION("""COMPUTED_VALUE"""),117258.0)</f>
        <v>117258</v>
      </c>
      <c r="AE585" s="272"/>
      <c r="AF585" s="272">
        <f>IFERROR(__xludf.DUMMYFUNCTION("""COMPUTED_VALUE"""),117258.0)</f>
        <v>117258</v>
      </c>
      <c r="AG585" s="208"/>
      <c r="AH585" s="208"/>
      <c r="AI585" s="208"/>
      <c r="AJ585" s="208"/>
      <c r="AK585" s="208"/>
    </row>
    <row r="586" hidden="1">
      <c r="A586" s="209">
        <f>IFERROR(__xludf.DUMMYFUNCTION("""COMPUTED_VALUE"""),46150.0)</f>
        <v>46150</v>
      </c>
      <c r="B586" s="210">
        <f>IFERROR(__xludf.DUMMYFUNCTION("""COMPUTED_VALUE"""),46150.5)</f>
        <v>46150.5</v>
      </c>
      <c r="C586" s="211" t="str">
        <f>IFERROR(__xludf.DUMMYFUNCTION("""COMPUTED_VALUE"""),"Whatsapp")</f>
        <v>Whatsapp</v>
      </c>
      <c r="D586" s="211" t="str">
        <f>IFERROR(__xludf.DUMMYFUNCTION("""COMPUTED_VALUE"""),"Promtional")</f>
        <v>Promtional</v>
      </c>
      <c r="E586" s="211" t="str">
        <f>IFERROR(__xludf.DUMMYFUNCTION("""COMPUTED_VALUE"""),"BBW")</f>
        <v>BBW</v>
      </c>
      <c r="F586" s="211" t="str">
        <f>IFERROR(__xludf.DUMMYFUNCTION("""COMPUTED_VALUE"""),"BC @ 999 - Body Care")</f>
        <v>BC @ 999 - Body Care</v>
      </c>
      <c r="G586" s="212" t="str">
        <f>IFERROR(__xludf.DUMMYFUNCTION("""COMPUTED_VALUE"""),"bbw_wa_8may_bcat999_disc_buyers_offline")</f>
        <v>bbw_wa_8may_bcat999_disc_buyers_offline</v>
      </c>
      <c r="H586" s="212" t="str">
        <f>IFERROR(__xludf.DUMMYFUNCTION("""COMPUTED_VALUE"""),"BC_Disc_Buyers_OFF")</f>
        <v>BC_Disc_Buyers_OFF</v>
      </c>
      <c r="I586" s="212" t="str">
        <f>IFERROR(__xludf.DUMMYFUNCTION("""COMPUTED_VALUE"""),"Offline customers who have purchased at least 1 time from L2: BodyCare with discount exists in the last 120 days excluding last 30 day disc buyers")</f>
        <v>Offline customers who have purchased at least 1 time from L2: BodyCare with discount exists in the last 120 days excluding last 30 day disc buyers</v>
      </c>
      <c r="J586" s="213">
        <f>IFERROR(__xludf.DUMMYFUNCTION("""COMPUTED_VALUE"""),43300.0)</f>
        <v>43300</v>
      </c>
      <c r="K586" s="213">
        <f>IFERROR(__xludf.DUMMYFUNCTION("""COMPUTED_VALUE"""),10950.0)</f>
        <v>10950</v>
      </c>
      <c r="L586" s="214">
        <f>IFERROR(__xludf.DUMMYFUNCTION("""COMPUTED_VALUE"""),0.2529)</f>
        <v>0.2529</v>
      </c>
      <c r="M586" s="213">
        <f>IFERROR(__xludf.DUMMYFUNCTION("""COMPUTED_VALUE"""),3557.0)</f>
        <v>3557</v>
      </c>
      <c r="N586" s="214">
        <f>IFERROR(__xludf.DUMMYFUNCTION("""COMPUTED_VALUE"""),0.3248)</f>
        <v>0.3248</v>
      </c>
      <c r="O586" s="213">
        <f>IFERROR(__xludf.DUMMYFUNCTION("""COMPUTED_VALUE"""),151.0)</f>
        <v>151</v>
      </c>
      <c r="P586" s="213">
        <f>IFERROR(__xludf.DUMMYFUNCTION("""COMPUTED_VALUE"""),145.0)</f>
        <v>145</v>
      </c>
      <c r="Q586" s="214">
        <f>IFERROR(__xludf.DUMMYFUNCTION("""COMPUTED_VALUE"""),0.0132)</f>
        <v>0.0132</v>
      </c>
      <c r="R586" s="214">
        <f>IFERROR(__xludf.DUMMYFUNCTION("""COMPUTED_VALUE"""),0.0408)</f>
        <v>0.0408</v>
      </c>
      <c r="S586" s="101">
        <f>IFERROR(__xludf.DUMMYFUNCTION("""COMPUTED_VALUE"""),2.0)</f>
        <v>2</v>
      </c>
      <c r="T586" s="101">
        <f>IFERROR(__xludf.DUMMYFUNCTION("""COMPUTED_VALUE"""),3.0)</f>
        <v>3</v>
      </c>
      <c r="U586" s="270">
        <f>IFERROR(__xludf.DUMMYFUNCTION("""COMPUTED_VALUE"""),3518.0)</f>
        <v>3518</v>
      </c>
      <c r="V586" s="271" t="str">
        <f>IFERROR(__xludf.DUMMYFUNCTION("""COMPUTED_VALUE"""),"offline")</f>
        <v>offline</v>
      </c>
      <c r="W586" s="272" t="str">
        <f>IFERROR(__xludf.DUMMYFUNCTION("""COMPUTED_VALUE"""),"simple")</f>
        <v>simple</v>
      </c>
      <c r="X586" s="272" t="str">
        <f>IFERROR(__xludf.DUMMYFUNCTION("""COMPUTED_VALUE"""),"Discount Buyers")</f>
        <v>Discount Buyers</v>
      </c>
      <c r="Y586" s="272" t="str">
        <f>IFERROR(__xludf.DUMMYFUNCTION("""COMPUTED_VALUE"""),"8 - 10 May")</f>
        <v>8 - 10 May</v>
      </c>
      <c r="Z586" s="272" t="str">
        <f>IFERROR(__xludf.DUMMYFUNCTION("""COMPUTED_VALUE"""),"69fc5536535c0243ed61b172")</f>
        <v>69fc5536535c0243ed61b172</v>
      </c>
      <c r="AA586" s="272">
        <f>IFERROR(__xludf.DUMMYFUNCTION("""COMPUTED_VALUE"""),16.0)</f>
        <v>16</v>
      </c>
      <c r="AB586" s="272"/>
      <c r="AC586" s="272">
        <f>IFERROR(__xludf.DUMMYFUNCTION("""COMPUTED_VALUE"""),16.0)</f>
        <v>16</v>
      </c>
      <c r="AD586" s="272">
        <f>IFERROR(__xludf.DUMMYFUNCTION("""COMPUTED_VALUE"""),51920.0)</f>
        <v>51920</v>
      </c>
      <c r="AE586" s="272"/>
      <c r="AF586" s="272">
        <f>IFERROR(__xludf.DUMMYFUNCTION("""COMPUTED_VALUE"""),51920.0)</f>
        <v>51920</v>
      </c>
      <c r="AG586" s="208"/>
      <c r="AH586" s="208"/>
      <c r="AI586" s="208"/>
      <c r="AJ586" s="208"/>
      <c r="AK586" s="208"/>
    </row>
    <row r="587" hidden="1">
      <c r="A587" s="209">
        <f>IFERROR(__xludf.DUMMYFUNCTION("""COMPUTED_VALUE"""),46150.0)</f>
        <v>46150</v>
      </c>
      <c r="B587" s="210">
        <f>IFERROR(__xludf.DUMMYFUNCTION("""COMPUTED_VALUE"""),46150.54166666667)</f>
        <v>46150.54167</v>
      </c>
      <c r="C587" s="211" t="str">
        <f>IFERROR(__xludf.DUMMYFUNCTION("""COMPUTED_VALUE"""),"Sms")</f>
        <v>Sms</v>
      </c>
      <c r="D587" s="211" t="str">
        <f>IFERROR(__xludf.DUMMYFUNCTION("""COMPUTED_VALUE"""),"Fallback campaign")</f>
        <v>Fallback campaign</v>
      </c>
      <c r="E587" s="211" t="str">
        <f>IFERROR(__xludf.DUMMYFUNCTION("""COMPUTED_VALUE"""),"BBW")</f>
        <v>BBW</v>
      </c>
      <c r="F587" s="211" t="str">
        <f>IFERROR(__xludf.DUMMYFUNCTION("""COMPUTED_VALUE"""),"BC at 999 - Body Care")</f>
        <v>BC at 999 - Body Care</v>
      </c>
      <c r="G587" s="212" t="str">
        <f>IFERROR(__xludf.DUMMYFUNCTION("""COMPUTED_VALUE"""),"bbw_smsfb_8may_bcat999_repeat_offline")</f>
        <v>bbw_smsfb_8may_bcat999_repeat_offline</v>
      </c>
      <c r="H587" s="212" t="str">
        <f>IFERROR(__xludf.DUMMYFUNCTION("""COMPUTED_VALUE"""),"BodyCare_Repeat_180D_OFF")</f>
        <v>BodyCare_Repeat_180D_OFF</v>
      </c>
      <c r="I587" s="212" t="str">
        <f>IFERROR(__xludf.DUMMYFUNCTION("""COMPUTED_VALUE"""),"WA Undelivered")</f>
        <v>WA Undelivered</v>
      </c>
      <c r="J587" s="213">
        <f>IFERROR(__xludf.DUMMYFUNCTION("""COMPUTED_VALUE"""),9255.0)</f>
        <v>9255</v>
      </c>
      <c r="K587" s="213">
        <f>IFERROR(__xludf.DUMMYFUNCTION("""COMPUTED_VALUE"""),5048.0)</f>
        <v>5048</v>
      </c>
      <c r="L587" s="214">
        <f>IFERROR(__xludf.DUMMYFUNCTION("""COMPUTED_VALUE"""),0.5454349000540248)</f>
        <v>0.5454349001</v>
      </c>
      <c r="M587" s="213">
        <f>IFERROR(__xludf.DUMMYFUNCTION("""COMPUTED_VALUE"""),0.0)</f>
        <v>0</v>
      </c>
      <c r="N587" s="214">
        <f>IFERROR(__xludf.DUMMYFUNCTION("""COMPUTED_VALUE"""),0.0)</f>
        <v>0</v>
      </c>
      <c r="O587" s="213">
        <f>IFERROR(__xludf.DUMMYFUNCTION("""COMPUTED_VALUE"""),13.0)</f>
        <v>13</v>
      </c>
      <c r="P587" s="213">
        <f>IFERROR(__xludf.DUMMYFUNCTION("""COMPUTED_VALUE"""),0.0)</f>
        <v>0</v>
      </c>
      <c r="Q587" s="214">
        <f>IFERROR(__xludf.DUMMYFUNCTION("""COMPUTED_VALUE"""),0.0026)</f>
        <v>0.0026</v>
      </c>
      <c r="R587" s="214">
        <f>IFERROR(__xludf.DUMMYFUNCTION("""COMPUTED_VALUE"""),0.0)</f>
        <v>0</v>
      </c>
      <c r="S587" s="101">
        <f>IFERROR(__xludf.DUMMYFUNCTION("""COMPUTED_VALUE"""),0.0)</f>
        <v>0</v>
      </c>
      <c r="T587" s="101">
        <f>IFERROR(__xludf.DUMMYFUNCTION("""COMPUTED_VALUE"""),2.0)</f>
        <v>2</v>
      </c>
      <c r="U587" s="270">
        <f>IFERROR(__xludf.DUMMYFUNCTION("""COMPUTED_VALUE"""),0.0)</f>
        <v>0</v>
      </c>
      <c r="V587" s="271" t="str">
        <f>IFERROR(__xludf.DUMMYFUNCTION("""COMPUTED_VALUE"""),"offline")</f>
        <v>offline</v>
      </c>
      <c r="W587" s="272" t="str">
        <f>IFERROR(__xludf.DUMMYFUNCTION("""COMPUTED_VALUE"""),"sms")</f>
        <v>sms</v>
      </c>
      <c r="X587" s="272" t="str">
        <f>IFERROR(__xludf.DUMMYFUNCTION("""COMPUTED_VALUE"""),"Cat Repeat")</f>
        <v>Cat Repeat</v>
      </c>
      <c r="Y587" s="272" t="str">
        <f>IFERROR(__xludf.DUMMYFUNCTION("""COMPUTED_VALUE"""),"08 May")</f>
        <v>08 May</v>
      </c>
      <c r="Z587" s="272" t="str">
        <f>IFERROR(__xludf.DUMMYFUNCTION("""COMPUTED_VALUE"""),"69fc616f24a93a51ef2c6000")</f>
        <v>69fc616f24a93a51ef2c6000</v>
      </c>
      <c r="AA587" s="272">
        <f>IFERROR(__xludf.DUMMYFUNCTION("""COMPUTED_VALUE"""),25.0)</f>
        <v>25</v>
      </c>
      <c r="AB587" s="272"/>
      <c r="AC587" s="272">
        <f>IFERROR(__xludf.DUMMYFUNCTION("""COMPUTED_VALUE"""),25.0)</f>
        <v>25</v>
      </c>
      <c r="AD587" s="272">
        <f>IFERROR(__xludf.DUMMYFUNCTION("""COMPUTED_VALUE"""),88903.0)</f>
        <v>88903</v>
      </c>
      <c r="AE587" s="272"/>
      <c r="AF587" s="272">
        <f>IFERROR(__xludf.DUMMYFUNCTION("""COMPUTED_VALUE"""),88903.0)</f>
        <v>88903</v>
      </c>
      <c r="AG587" s="208"/>
      <c r="AH587" s="208"/>
      <c r="AI587" s="208"/>
      <c r="AJ587" s="208"/>
      <c r="AK587" s="208"/>
    </row>
    <row r="588" hidden="1">
      <c r="A588" s="209">
        <f>IFERROR(__xludf.DUMMYFUNCTION("""COMPUTED_VALUE"""),46150.0)</f>
        <v>46150</v>
      </c>
      <c r="B588" s="210">
        <f>IFERROR(__xludf.DUMMYFUNCTION("""COMPUTED_VALUE"""),46150.54166666667)</f>
        <v>46150.54167</v>
      </c>
      <c r="C588" s="211" t="str">
        <f>IFERROR(__xludf.DUMMYFUNCTION("""COMPUTED_VALUE"""),"Sms")</f>
        <v>Sms</v>
      </c>
      <c r="D588" s="211" t="str">
        <f>IFERROR(__xludf.DUMMYFUNCTION("""COMPUTED_VALUE"""),"Fallback campaign")</f>
        <v>Fallback campaign</v>
      </c>
      <c r="E588" s="211" t="str">
        <f>IFERROR(__xludf.DUMMYFUNCTION("""COMPUTED_VALUE"""),"BBW")</f>
        <v>BBW</v>
      </c>
      <c r="F588" s="211" t="str">
        <f>IFERROR(__xludf.DUMMYFUNCTION("""COMPUTED_VALUE"""),"BC at 999 - Body Care")</f>
        <v>BC at 999 - Body Care</v>
      </c>
      <c r="G588" s="212" t="str">
        <f>IFERROR(__xludf.DUMMYFUNCTION("""COMPUTED_VALUE"""),"bbw_smsfb_8may_bcat999_aov_offline")</f>
        <v>bbw_smsfb_8may_bcat999_aov_offline</v>
      </c>
      <c r="H588" s="212" t="str">
        <f>IFERROR(__xludf.DUMMYFUNCTION("""COMPUTED_VALUE"""),"BodyCare_AOV_1000_OFF")</f>
        <v>BodyCare_AOV_1000_OFF</v>
      </c>
      <c r="I588" s="212" t="str">
        <f>IFERROR(__xludf.DUMMYFUNCTION("""COMPUTED_VALUE"""),"WA Undelivered")</f>
        <v>WA Undelivered</v>
      </c>
      <c r="J588" s="213">
        <f>IFERROR(__xludf.DUMMYFUNCTION("""COMPUTED_VALUE"""),4737.0)</f>
        <v>4737</v>
      </c>
      <c r="K588" s="213">
        <f>IFERROR(__xludf.DUMMYFUNCTION("""COMPUTED_VALUE"""),2798.0)</f>
        <v>2798</v>
      </c>
      <c r="L588" s="214">
        <f>IFERROR(__xludf.DUMMYFUNCTION("""COMPUTED_VALUE"""),0.5906691999155583)</f>
        <v>0.5906691999</v>
      </c>
      <c r="M588" s="213">
        <f>IFERROR(__xludf.DUMMYFUNCTION("""COMPUTED_VALUE"""),0.0)</f>
        <v>0</v>
      </c>
      <c r="N588" s="214">
        <f>IFERROR(__xludf.DUMMYFUNCTION("""COMPUTED_VALUE"""),0.0)</f>
        <v>0</v>
      </c>
      <c r="O588" s="213">
        <f>IFERROR(__xludf.DUMMYFUNCTION("""COMPUTED_VALUE"""),4.0)</f>
        <v>4</v>
      </c>
      <c r="P588" s="213">
        <f>IFERROR(__xludf.DUMMYFUNCTION("""COMPUTED_VALUE"""),0.0)</f>
        <v>0</v>
      </c>
      <c r="Q588" s="214">
        <f>IFERROR(__xludf.DUMMYFUNCTION("""COMPUTED_VALUE"""),0.0014000000000000002)</f>
        <v>0.0014</v>
      </c>
      <c r="R588" s="214">
        <f>IFERROR(__xludf.DUMMYFUNCTION("""COMPUTED_VALUE"""),0.0)</f>
        <v>0</v>
      </c>
      <c r="S588" s="101">
        <f>IFERROR(__xludf.DUMMYFUNCTION("""COMPUTED_VALUE"""),1.0)</f>
        <v>1</v>
      </c>
      <c r="T588" s="101">
        <f>IFERROR(__xludf.DUMMYFUNCTION("""COMPUTED_VALUE"""),1.0)</f>
        <v>1</v>
      </c>
      <c r="U588" s="270">
        <f>IFERROR(__xludf.DUMMYFUNCTION("""COMPUTED_VALUE"""),1168.0)</f>
        <v>1168</v>
      </c>
      <c r="V588" s="271" t="str">
        <f>IFERROR(__xludf.DUMMYFUNCTION("""COMPUTED_VALUE"""),"offline")</f>
        <v>offline</v>
      </c>
      <c r="W588" s="272" t="str">
        <f>IFERROR(__xludf.DUMMYFUNCTION("""COMPUTED_VALUE"""),"sms")</f>
        <v>sms</v>
      </c>
      <c r="X588" s="272" t="str">
        <f>IFERROR(__xludf.DUMMYFUNCTION("""COMPUTED_VALUE"""),"No Brief")</f>
        <v>No Brief</v>
      </c>
      <c r="Y588" s="272" t="str">
        <f>IFERROR(__xludf.DUMMYFUNCTION("""COMPUTED_VALUE"""),"08 May")</f>
        <v>08 May</v>
      </c>
      <c r="Z588" s="272" t="str">
        <f>IFERROR(__xludf.DUMMYFUNCTION("""COMPUTED_VALUE"""),"69fc61a0b04862f75069a5c5")</f>
        <v>69fc61a0b04862f75069a5c5</v>
      </c>
      <c r="AA588" s="272">
        <f>IFERROR(__xludf.DUMMYFUNCTION("""COMPUTED_VALUE"""),4.0)</f>
        <v>4</v>
      </c>
      <c r="AB588" s="272"/>
      <c r="AC588" s="272">
        <f>IFERROR(__xludf.DUMMYFUNCTION("""COMPUTED_VALUE"""),4.0)</f>
        <v>4</v>
      </c>
      <c r="AD588" s="272">
        <f>IFERROR(__xludf.DUMMYFUNCTION("""COMPUTED_VALUE"""),4995.0)</f>
        <v>4995</v>
      </c>
      <c r="AE588" s="272"/>
      <c r="AF588" s="272">
        <f>IFERROR(__xludf.DUMMYFUNCTION("""COMPUTED_VALUE"""),4995.0)</f>
        <v>4995</v>
      </c>
      <c r="AG588" s="208"/>
      <c r="AH588" s="208"/>
      <c r="AI588" s="208"/>
      <c r="AJ588" s="208"/>
      <c r="AK588" s="208"/>
    </row>
    <row r="589" hidden="1">
      <c r="A589" s="209">
        <f>IFERROR(__xludf.DUMMYFUNCTION("""COMPUTED_VALUE"""),46150.0)</f>
        <v>46150</v>
      </c>
      <c r="B589" s="210">
        <f>IFERROR(__xludf.DUMMYFUNCTION("""COMPUTED_VALUE"""),46150.54166666667)</f>
        <v>46150.54167</v>
      </c>
      <c r="C589" s="211" t="str">
        <f>IFERROR(__xludf.DUMMYFUNCTION("""COMPUTED_VALUE"""),"Sms")</f>
        <v>Sms</v>
      </c>
      <c r="D589" s="211" t="str">
        <f>IFERROR(__xludf.DUMMYFUNCTION("""COMPUTED_VALUE"""),"Fallback campaign")</f>
        <v>Fallback campaign</v>
      </c>
      <c r="E589" s="211" t="str">
        <f>IFERROR(__xludf.DUMMYFUNCTION("""COMPUTED_VALUE"""),"BBW")</f>
        <v>BBW</v>
      </c>
      <c r="F589" s="211" t="str">
        <f>IFERROR(__xludf.DUMMYFUNCTION("""COMPUTED_VALUE"""),"BC at 999 - Body Care")</f>
        <v>BC at 999 - Body Care</v>
      </c>
      <c r="G589" s="212" t="str">
        <f>IFERROR(__xludf.DUMMYFUNCTION("""COMPUTED_VALUE"""),"bbw_smsfb_8may_bcat999_event_offline")</f>
        <v>bbw_smsfb_8may_bcat999_event_offline</v>
      </c>
      <c r="H589" s="212" t="str">
        <f>IFERROR(__xludf.DUMMYFUNCTION("""COMPUTED_VALUE"""),"BC_EventBuyers_OFF")</f>
        <v>BC_EventBuyers_OFF</v>
      </c>
      <c r="I589" s="212" t="str">
        <f>IFERROR(__xludf.DUMMYFUNCTION("""COMPUTED_VALUE"""),"WA Undelivered")</f>
        <v>WA Undelivered</v>
      </c>
      <c r="J589" s="213">
        <f>IFERROR(__xludf.DUMMYFUNCTION("""COMPUTED_VALUE"""),10492.0)</f>
        <v>10492</v>
      </c>
      <c r="K589" s="213">
        <f>IFERROR(__xludf.DUMMYFUNCTION("""COMPUTED_VALUE"""),5819.0)</f>
        <v>5819</v>
      </c>
      <c r="L589" s="214">
        <f>IFERROR(__xludf.DUMMYFUNCTION("""COMPUTED_VALUE"""),0.554613038505528)</f>
        <v>0.5546130385</v>
      </c>
      <c r="M589" s="213">
        <f>IFERROR(__xludf.DUMMYFUNCTION("""COMPUTED_VALUE"""),0.0)</f>
        <v>0</v>
      </c>
      <c r="N589" s="214">
        <f>IFERROR(__xludf.DUMMYFUNCTION("""COMPUTED_VALUE"""),0.0)</f>
        <v>0</v>
      </c>
      <c r="O589" s="213">
        <f>IFERROR(__xludf.DUMMYFUNCTION("""COMPUTED_VALUE"""),5.0)</f>
        <v>5</v>
      </c>
      <c r="P589" s="213">
        <f>IFERROR(__xludf.DUMMYFUNCTION("""COMPUTED_VALUE"""),0.0)</f>
        <v>0</v>
      </c>
      <c r="Q589" s="214">
        <f>IFERROR(__xludf.DUMMYFUNCTION("""COMPUTED_VALUE"""),9.0E-4)</f>
        <v>0.0009</v>
      </c>
      <c r="R589" s="214">
        <f>IFERROR(__xludf.DUMMYFUNCTION("""COMPUTED_VALUE"""),0.0)</f>
        <v>0</v>
      </c>
      <c r="S589" s="101">
        <f>IFERROR(__xludf.DUMMYFUNCTION("""COMPUTED_VALUE"""),1.0)</f>
        <v>1</v>
      </c>
      <c r="T589" s="101">
        <f>IFERROR(__xludf.DUMMYFUNCTION("""COMPUTED_VALUE"""),1.0)</f>
        <v>1</v>
      </c>
      <c r="U589" s="270">
        <f>IFERROR(__xludf.DUMMYFUNCTION("""COMPUTED_VALUE"""),999.0)</f>
        <v>999</v>
      </c>
      <c r="V589" s="271" t="str">
        <f>IFERROR(__xludf.DUMMYFUNCTION("""COMPUTED_VALUE"""),"offline")</f>
        <v>offline</v>
      </c>
      <c r="W589" s="272" t="str">
        <f>IFERROR(__xludf.DUMMYFUNCTION("""COMPUTED_VALUE"""),"sms")</f>
        <v>sms</v>
      </c>
      <c r="X589" s="272" t="str">
        <f>IFERROR(__xludf.DUMMYFUNCTION("""COMPUTED_VALUE"""),"Event Buyers")</f>
        <v>Event Buyers</v>
      </c>
      <c r="Y589" s="272" t="str">
        <f>IFERROR(__xludf.DUMMYFUNCTION("""COMPUTED_VALUE"""),"08 May")</f>
        <v>08 May</v>
      </c>
      <c r="Z589" s="272" t="str">
        <f>IFERROR(__xludf.DUMMYFUNCTION("""COMPUTED_VALUE"""),"69fc620632b278643fc0118d")</f>
        <v>69fc620632b278643fc0118d</v>
      </c>
      <c r="AA589" s="272">
        <f>IFERROR(__xludf.DUMMYFUNCTION("""COMPUTED_VALUE"""),4.0)</f>
        <v>4</v>
      </c>
      <c r="AB589" s="272"/>
      <c r="AC589" s="272">
        <f>IFERROR(__xludf.DUMMYFUNCTION("""COMPUTED_VALUE"""),4.0)</f>
        <v>4</v>
      </c>
      <c r="AD589" s="272">
        <f>IFERROR(__xludf.DUMMYFUNCTION("""COMPUTED_VALUE"""),7792.0)</f>
        <v>7792</v>
      </c>
      <c r="AE589" s="272"/>
      <c r="AF589" s="272">
        <f>IFERROR(__xludf.DUMMYFUNCTION("""COMPUTED_VALUE"""),7792.0)</f>
        <v>7792</v>
      </c>
      <c r="AG589" s="208"/>
      <c r="AH589" s="208"/>
      <c r="AI589" s="208"/>
      <c r="AJ589" s="208"/>
      <c r="AK589" s="208"/>
    </row>
    <row r="590" hidden="1">
      <c r="A590" s="209">
        <f>IFERROR(__xludf.DUMMYFUNCTION("""COMPUTED_VALUE"""),46150.0)</f>
        <v>46150</v>
      </c>
      <c r="B590" s="210">
        <f>IFERROR(__xludf.DUMMYFUNCTION("""COMPUTED_VALUE"""),46150.54166666667)</f>
        <v>46150.54167</v>
      </c>
      <c r="C590" s="211" t="str">
        <f>IFERROR(__xludf.DUMMYFUNCTION("""COMPUTED_VALUE"""),"Sms")</f>
        <v>Sms</v>
      </c>
      <c r="D590" s="211" t="str">
        <f>IFERROR(__xludf.DUMMYFUNCTION("""COMPUTED_VALUE"""),"Fallback campaign")</f>
        <v>Fallback campaign</v>
      </c>
      <c r="E590" s="211" t="str">
        <f>IFERROR(__xludf.DUMMYFUNCTION("""COMPUTED_VALUE"""),"BBW")</f>
        <v>BBW</v>
      </c>
      <c r="F590" s="211" t="str">
        <f>IFERROR(__xludf.DUMMYFUNCTION("""COMPUTED_VALUE"""),"BC at 999 - Body Care")</f>
        <v>BC at 999 - Body Care</v>
      </c>
      <c r="G590" s="212" t="str">
        <f>IFERROR(__xludf.DUMMYFUNCTION("""COMPUTED_VALUE"""),"bbw_smsfb_8may_bcat999_dormant_offline")</f>
        <v>bbw_smsfb_8may_bcat999_dormant_offline</v>
      </c>
      <c r="H590" s="212" t="str">
        <f>IFERROR(__xludf.DUMMYFUNCTION("""COMPUTED_VALUE"""),"BC_Dormant_1Y_OFF")</f>
        <v>BC_Dormant_1Y_OFF</v>
      </c>
      <c r="I590" s="212" t="str">
        <f>IFERROR(__xludf.DUMMYFUNCTION("""COMPUTED_VALUE"""),"WA Undelivered")</f>
        <v>WA Undelivered</v>
      </c>
      <c r="J590" s="213">
        <f>IFERROR(__xludf.DUMMYFUNCTION("""COMPUTED_VALUE"""),51897.0)</f>
        <v>51897</v>
      </c>
      <c r="K590" s="213">
        <f>IFERROR(__xludf.DUMMYFUNCTION("""COMPUTED_VALUE"""),28895.0)</f>
        <v>28895</v>
      </c>
      <c r="L590" s="214">
        <f>IFERROR(__xludf.DUMMYFUNCTION("""COMPUTED_VALUE"""),0.5567759215368904)</f>
        <v>0.5567759215</v>
      </c>
      <c r="M590" s="213">
        <f>IFERROR(__xludf.DUMMYFUNCTION("""COMPUTED_VALUE"""),0.0)</f>
        <v>0</v>
      </c>
      <c r="N590" s="214">
        <f>IFERROR(__xludf.DUMMYFUNCTION("""COMPUTED_VALUE"""),0.0)</f>
        <v>0</v>
      </c>
      <c r="O590" s="213">
        <f>IFERROR(__xludf.DUMMYFUNCTION("""COMPUTED_VALUE"""),20.0)</f>
        <v>20</v>
      </c>
      <c r="P590" s="213">
        <f>IFERROR(__xludf.DUMMYFUNCTION("""COMPUTED_VALUE"""),0.0)</f>
        <v>0</v>
      </c>
      <c r="Q590" s="214">
        <f>IFERROR(__xludf.DUMMYFUNCTION("""COMPUTED_VALUE"""),7.000000000000001E-4)</f>
        <v>0.0007</v>
      </c>
      <c r="R590" s="214">
        <f>IFERROR(__xludf.DUMMYFUNCTION("""COMPUTED_VALUE"""),0.0)</f>
        <v>0</v>
      </c>
      <c r="S590" s="101">
        <f>IFERROR(__xludf.DUMMYFUNCTION("""COMPUTED_VALUE"""),2.0)</f>
        <v>2</v>
      </c>
      <c r="T590" s="101">
        <f>IFERROR(__xludf.DUMMYFUNCTION("""COMPUTED_VALUE"""),4.0)</f>
        <v>4</v>
      </c>
      <c r="U590" s="270">
        <f>IFERROR(__xludf.DUMMYFUNCTION("""COMPUTED_VALUE"""),3433.0)</f>
        <v>3433</v>
      </c>
      <c r="V590" s="271" t="str">
        <f>IFERROR(__xludf.DUMMYFUNCTION("""COMPUTED_VALUE"""),"offline")</f>
        <v>offline</v>
      </c>
      <c r="W590" s="272" t="str">
        <f>IFERROR(__xludf.DUMMYFUNCTION("""COMPUTED_VALUE"""),"sms")</f>
        <v>sms</v>
      </c>
      <c r="X590" s="272" t="str">
        <f>IFERROR(__xludf.DUMMYFUNCTION("""COMPUTED_VALUE"""),"Cat Dormant")</f>
        <v>Cat Dormant</v>
      </c>
      <c r="Y590" s="272" t="str">
        <f>IFERROR(__xludf.DUMMYFUNCTION("""COMPUTED_VALUE"""),"08 May")</f>
        <v>08 May</v>
      </c>
      <c r="Z590" s="272" t="str">
        <f>IFERROR(__xludf.DUMMYFUNCTION("""COMPUTED_VALUE"""),"69fc625054f8d42d58ff126c")</f>
        <v>69fc625054f8d42d58ff126c</v>
      </c>
      <c r="AA590" s="272">
        <f>IFERROR(__xludf.DUMMYFUNCTION("""COMPUTED_VALUE"""),39.0)</f>
        <v>39</v>
      </c>
      <c r="AB590" s="272"/>
      <c r="AC590" s="272">
        <f>IFERROR(__xludf.DUMMYFUNCTION("""COMPUTED_VALUE"""),39.0)</f>
        <v>39</v>
      </c>
      <c r="AD590" s="272">
        <f>IFERROR(__xludf.DUMMYFUNCTION("""COMPUTED_VALUE"""),140255.0)</f>
        <v>140255</v>
      </c>
      <c r="AE590" s="272"/>
      <c r="AF590" s="272">
        <f>IFERROR(__xludf.DUMMYFUNCTION("""COMPUTED_VALUE"""),140255.0)</f>
        <v>140255</v>
      </c>
      <c r="AG590" s="208"/>
      <c r="AH590" s="208"/>
      <c r="AI590" s="208"/>
      <c r="AJ590" s="208"/>
      <c r="AK590" s="208"/>
    </row>
    <row r="591" hidden="1">
      <c r="A591" s="209">
        <f>IFERROR(__xludf.DUMMYFUNCTION("""COMPUTED_VALUE"""),46150.0)</f>
        <v>46150</v>
      </c>
      <c r="B591" s="210">
        <f>IFERROR(__xludf.DUMMYFUNCTION("""COMPUTED_VALUE"""),46150.54166666667)</f>
        <v>46150.54167</v>
      </c>
      <c r="C591" s="211" t="str">
        <f>IFERROR(__xludf.DUMMYFUNCTION("""COMPUTED_VALUE"""),"Sms")</f>
        <v>Sms</v>
      </c>
      <c r="D591" s="211" t="str">
        <f>IFERROR(__xludf.DUMMYFUNCTION("""COMPUTED_VALUE"""),"Fallback campaign")</f>
        <v>Fallback campaign</v>
      </c>
      <c r="E591" s="211" t="str">
        <f>IFERROR(__xludf.DUMMYFUNCTION("""COMPUTED_VALUE"""),"BBW")</f>
        <v>BBW</v>
      </c>
      <c r="F591" s="211" t="str">
        <f>IFERROR(__xludf.DUMMYFUNCTION("""COMPUTED_VALUE"""),"BC at 999 - Body Care")</f>
        <v>BC at 999 - Body Care</v>
      </c>
      <c r="G591" s="212" t="str">
        <f>IFERROR(__xludf.DUMMYFUNCTION("""COMPUTED_VALUE"""),"bbw_smsfb_8may_bcat999_disc_buyers_offline")</f>
        <v>bbw_smsfb_8may_bcat999_disc_buyers_offline</v>
      </c>
      <c r="H591" s="212" t="str">
        <f>IFERROR(__xludf.DUMMYFUNCTION("""COMPUTED_VALUE"""),"BC_Disc_Buyers_OFF")</f>
        <v>BC_Disc_Buyers_OFF</v>
      </c>
      <c r="I591" s="212" t="str">
        <f>IFERROR(__xludf.DUMMYFUNCTION("""COMPUTED_VALUE"""),"WA Undelivered")</f>
        <v>WA Undelivered</v>
      </c>
      <c r="J591" s="213">
        <f>IFERROR(__xludf.DUMMYFUNCTION("""COMPUTED_VALUE"""),31101.0)</f>
        <v>31101</v>
      </c>
      <c r="K591" s="213">
        <f>IFERROR(__xludf.DUMMYFUNCTION("""COMPUTED_VALUE"""),17408.0)</f>
        <v>17408</v>
      </c>
      <c r="L591" s="214">
        <f>IFERROR(__xludf.DUMMYFUNCTION("""COMPUTED_VALUE"""),0.5597247676923571)</f>
        <v>0.5597247677</v>
      </c>
      <c r="M591" s="213">
        <f>IFERROR(__xludf.DUMMYFUNCTION("""COMPUTED_VALUE"""),0.0)</f>
        <v>0</v>
      </c>
      <c r="N591" s="214">
        <f>IFERROR(__xludf.DUMMYFUNCTION("""COMPUTED_VALUE"""),0.0)</f>
        <v>0</v>
      </c>
      <c r="O591" s="213">
        <f>IFERROR(__xludf.DUMMYFUNCTION("""COMPUTED_VALUE"""),19.0)</f>
        <v>19</v>
      </c>
      <c r="P591" s="213">
        <f>IFERROR(__xludf.DUMMYFUNCTION("""COMPUTED_VALUE"""),0.0)</f>
        <v>0</v>
      </c>
      <c r="Q591" s="214">
        <f>IFERROR(__xludf.DUMMYFUNCTION("""COMPUTED_VALUE"""),0.0011)</f>
        <v>0.0011</v>
      </c>
      <c r="R591" s="214">
        <f>IFERROR(__xludf.DUMMYFUNCTION("""COMPUTED_VALUE"""),0.0)</f>
        <v>0</v>
      </c>
      <c r="S591" s="101">
        <f>IFERROR(__xludf.DUMMYFUNCTION("""COMPUTED_VALUE"""),1.0)</f>
        <v>1</v>
      </c>
      <c r="T591" s="101">
        <f>IFERROR(__xludf.DUMMYFUNCTION("""COMPUTED_VALUE"""),1.0)</f>
        <v>1</v>
      </c>
      <c r="U591" s="270">
        <f>IFERROR(__xludf.DUMMYFUNCTION("""COMPUTED_VALUE"""),899.0)</f>
        <v>899</v>
      </c>
      <c r="V591" s="271" t="str">
        <f>IFERROR(__xludf.DUMMYFUNCTION("""COMPUTED_VALUE"""),"offline")</f>
        <v>offline</v>
      </c>
      <c r="W591" s="272" t="str">
        <f>IFERROR(__xludf.DUMMYFUNCTION("""COMPUTED_VALUE"""),"sms")</f>
        <v>sms</v>
      </c>
      <c r="X591" s="272" t="str">
        <f>IFERROR(__xludf.DUMMYFUNCTION("""COMPUTED_VALUE"""),"No Brief")</f>
        <v>No Brief</v>
      </c>
      <c r="Y591" s="272" t="str">
        <f>IFERROR(__xludf.DUMMYFUNCTION("""COMPUTED_VALUE"""),"08 May")</f>
        <v>08 May</v>
      </c>
      <c r="Z591" s="272" t="str">
        <f>IFERROR(__xludf.DUMMYFUNCTION("""COMPUTED_VALUE"""),"69fc629f044b2a3b6c298849")</f>
        <v>69fc629f044b2a3b6c298849</v>
      </c>
      <c r="AA591" s="272">
        <f>IFERROR(__xludf.DUMMYFUNCTION("""COMPUTED_VALUE"""),21.0)</f>
        <v>21</v>
      </c>
      <c r="AB591" s="272"/>
      <c r="AC591" s="272">
        <f>IFERROR(__xludf.DUMMYFUNCTION("""COMPUTED_VALUE"""),21.0)</f>
        <v>21</v>
      </c>
      <c r="AD591" s="272">
        <f>IFERROR(__xludf.DUMMYFUNCTION("""COMPUTED_VALUE"""),78921.0)</f>
        <v>78921</v>
      </c>
      <c r="AE591" s="272"/>
      <c r="AF591" s="272">
        <f>IFERROR(__xludf.DUMMYFUNCTION("""COMPUTED_VALUE"""),78921.0)</f>
        <v>78921</v>
      </c>
      <c r="AG591" s="208"/>
      <c r="AH591" s="208"/>
      <c r="AI591" s="208"/>
      <c r="AJ591" s="208"/>
      <c r="AK591" s="208"/>
    </row>
    <row r="592" hidden="1">
      <c r="A592" s="209">
        <f>IFERROR(__xludf.DUMMYFUNCTION("""COMPUTED_VALUE"""),46151.0)</f>
        <v>46151</v>
      </c>
      <c r="B592" s="210">
        <f>IFERROR(__xludf.DUMMYFUNCTION("""COMPUTED_VALUE"""),46151.5)</f>
        <v>46151.5</v>
      </c>
      <c r="C592" s="211" t="str">
        <f>IFERROR(__xludf.DUMMYFUNCTION("""COMPUTED_VALUE"""),"Whatsapp")</f>
        <v>Whatsapp</v>
      </c>
      <c r="D592" s="211" t="str">
        <f>IFERROR(__xludf.DUMMYFUNCTION("""COMPUTED_VALUE"""),"Promtional")</f>
        <v>Promtional</v>
      </c>
      <c r="E592" s="211" t="str">
        <f>IFERROR(__xludf.DUMMYFUNCTION("""COMPUTED_VALUE"""),"BBW")</f>
        <v>BBW</v>
      </c>
      <c r="F592" s="211" t="str">
        <f>IFERROR(__xludf.DUMMYFUNCTION("""COMPUTED_VALUE"""),"BC @ 999 - Body Care")</f>
        <v>BC @ 999 - Body Care</v>
      </c>
      <c r="G592" s="212" t="str">
        <f>IFERROR(__xludf.DUMMYFUNCTION("""COMPUTED_VALUE"""),"bbw_wa_9may_bcat999_lastreminder_repeat_offline")</f>
        <v>bbw_wa_9may_bcat999_lastreminder_repeat_offline</v>
      </c>
      <c r="H592" s="212" t="str">
        <f>IFERROR(__xludf.DUMMYFUNCTION("""COMPUTED_VALUE"""),"BodyCare_Repeat_180D_OFF")</f>
        <v>BodyCare_Repeat_180D_OFF</v>
      </c>
      <c r="I592" s="212" t="str">
        <f>IFERROR(__xludf.DUMMYFUNCTION("""COMPUTED_VALUE"""),"Offline Customers who have purchased from BodyCare at least 2 times in the last 180 days")</f>
        <v>Offline Customers who have purchased from BodyCare at least 2 times in the last 180 days</v>
      </c>
      <c r="J592" s="213">
        <f>IFERROR(__xludf.DUMMYFUNCTION("""COMPUTED_VALUE"""),15707.0)</f>
        <v>15707</v>
      </c>
      <c r="K592" s="213">
        <f>IFERROR(__xludf.DUMMYFUNCTION("""COMPUTED_VALUE"""),3948.0)</f>
        <v>3948</v>
      </c>
      <c r="L592" s="214">
        <f>IFERROR(__xludf.DUMMYFUNCTION("""COMPUTED_VALUE"""),0.25129999999999997)</f>
        <v>0.2513</v>
      </c>
      <c r="M592" s="213">
        <f>IFERROR(__xludf.DUMMYFUNCTION("""COMPUTED_VALUE"""),1627.0)</f>
        <v>1627</v>
      </c>
      <c r="N592" s="214">
        <f>IFERROR(__xludf.DUMMYFUNCTION("""COMPUTED_VALUE"""),0.4121)</f>
        <v>0.4121</v>
      </c>
      <c r="O592" s="213">
        <f>IFERROR(__xludf.DUMMYFUNCTION("""COMPUTED_VALUE"""),88.0)</f>
        <v>88</v>
      </c>
      <c r="P592" s="213">
        <f>IFERROR(__xludf.DUMMYFUNCTION("""COMPUTED_VALUE"""),82.0)</f>
        <v>82</v>
      </c>
      <c r="Q592" s="214">
        <f>IFERROR(__xludf.DUMMYFUNCTION("""COMPUTED_VALUE"""),0.0208)</f>
        <v>0.0208</v>
      </c>
      <c r="R592" s="214">
        <f>IFERROR(__xludf.DUMMYFUNCTION("""COMPUTED_VALUE"""),0.0504)</f>
        <v>0.0504</v>
      </c>
      <c r="S592" s="101">
        <f>IFERROR(__xludf.DUMMYFUNCTION("""COMPUTED_VALUE"""),1.0)</f>
        <v>1</v>
      </c>
      <c r="T592" s="101">
        <f>IFERROR(__xludf.DUMMYFUNCTION("""COMPUTED_VALUE"""),3.0)</f>
        <v>3</v>
      </c>
      <c r="U592" s="270">
        <f>IFERROR(__xludf.DUMMYFUNCTION("""COMPUTED_VALUE"""),5666.0)</f>
        <v>5666</v>
      </c>
      <c r="V592" s="271" t="str">
        <f>IFERROR(__xludf.DUMMYFUNCTION("""COMPUTED_VALUE"""),"offline")</f>
        <v>offline</v>
      </c>
      <c r="W592" s="272" t="str">
        <f>IFERROR(__xludf.DUMMYFUNCTION("""COMPUTED_VALUE"""),"simple")</f>
        <v>simple</v>
      </c>
      <c r="X592" s="272" t="str">
        <f>IFERROR(__xludf.DUMMYFUNCTION("""COMPUTED_VALUE"""),"Cat Repeat")</f>
        <v>Cat Repeat</v>
      </c>
      <c r="Y592" s="272" t="str">
        <f>IFERROR(__xludf.DUMMYFUNCTION("""COMPUTED_VALUE"""),"9 - 11 May")</f>
        <v>9 - 11 May</v>
      </c>
      <c r="Z592" s="272" t="str">
        <f>IFERROR(__xludf.DUMMYFUNCTION("""COMPUTED_VALUE"""),"69fc5574f6b05d23056b3fb9")</f>
        <v>69fc5574f6b05d23056b3fb9</v>
      </c>
      <c r="AA592" s="272">
        <f>IFERROR(__xludf.DUMMYFUNCTION("""COMPUTED_VALUE"""),64.0)</f>
        <v>64</v>
      </c>
      <c r="AB592" s="272"/>
      <c r="AC592" s="272">
        <f>IFERROR(__xludf.DUMMYFUNCTION("""COMPUTED_VALUE"""),64.0)</f>
        <v>64</v>
      </c>
      <c r="AD592" s="272">
        <f>IFERROR(__xludf.DUMMYFUNCTION("""COMPUTED_VALUE"""),233302.0)</f>
        <v>233302</v>
      </c>
      <c r="AE592" s="272"/>
      <c r="AF592" s="272">
        <f>IFERROR(__xludf.DUMMYFUNCTION("""COMPUTED_VALUE"""),233302.0)</f>
        <v>233302</v>
      </c>
      <c r="AG592" s="208"/>
      <c r="AH592" s="208"/>
      <c r="AI592" s="208"/>
      <c r="AJ592" s="208"/>
      <c r="AK592" s="208"/>
    </row>
    <row r="593" hidden="1">
      <c r="A593" s="209">
        <f>IFERROR(__xludf.DUMMYFUNCTION("""COMPUTED_VALUE"""),46151.0)</f>
        <v>46151</v>
      </c>
      <c r="B593" s="210">
        <f>IFERROR(__xludf.DUMMYFUNCTION("""COMPUTED_VALUE"""),46151.5)</f>
        <v>46151.5</v>
      </c>
      <c r="C593" s="211" t="str">
        <f>IFERROR(__xludf.DUMMYFUNCTION("""COMPUTED_VALUE"""),"Whatsapp")</f>
        <v>Whatsapp</v>
      </c>
      <c r="D593" s="211" t="str">
        <f>IFERROR(__xludf.DUMMYFUNCTION("""COMPUTED_VALUE"""),"Promtional")</f>
        <v>Promtional</v>
      </c>
      <c r="E593" s="211" t="str">
        <f>IFERROR(__xludf.DUMMYFUNCTION("""COMPUTED_VALUE"""),"BBW")</f>
        <v>BBW</v>
      </c>
      <c r="F593" s="211" t="str">
        <f>IFERROR(__xludf.DUMMYFUNCTION("""COMPUTED_VALUE"""),"BC @ 999 - Body Care")</f>
        <v>BC @ 999 - Body Care</v>
      </c>
      <c r="G593" s="212" t="str">
        <f>IFERROR(__xludf.DUMMYFUNCTION("""COMPUTED_VALUE"""),"bbw_wa_9may_bcat999_lastreminder_aov_offline")</f>
        <v>bbw_wa_9may_bcat999_lastreminder_aov_offline</v>
      </c>
      <c r="H593" s="212" t="str">
        <f>IFERROR(__xludf.DUMMYFUNCTION("""COMPUTED_VALUE"""),"BodyCare_AOV_1000_OFF")</f>
        <v>BodyCare_AOV_1000_OFF</v>
      </c>
      <c r="I593" s="212" t="str">
        <f>IFERROR(__xludf.DUMMYFUNCTION("""COMPUTED_VALUE"""),"Offline customers who have purchased from L2: BodyCare at least 1 time with aggregation: average Order Net Value: ₹999 in the last 180 days")</f>
        <v>Offline customers who have purchased from L2: BodyCare at least 1 time with aggregation: average Order Net Value: ₹999 in the last 180 days</v>
      </c>
      <c r="J593" s="213">
        <f>IFERROR(__xludf.DUMMYFUNCTION("""COMPUTED_VALUE"""),5002.0)</f>
        <v>5002</v>
      </c>
      <c r="K593" s="213">
        <f>IFERROR(__xludf.DUMMYFUNCTION("""COMPUTED_VALUE"""),383.0)</f>
        <v>383</v>
      </c>
      <c r="L593" s="214">
        <f>IFERROR(__xludf.DUMMYFUNCTION("""COMPUTED_VALUE"""),0.0766)</f>
        <v>0.0766</v>
      </c>
      <c r="M593" s="213">
        <f>IFERROR(__xludf.DUMMYFUNCTION("""COMPUTED_VALUE"""),121.0)</f>
        <v>121</v>
      </c>
      <c r="N593" s="214">
        <f>IFERROR(__xludf.DUMMYFUNCTION("""COMPUTED_VALUE"""),0.3159)</f>
        <v>0.3159</v>
      </c>
      <c r="O593" s="213">
        <f>IFERROR(__xludf.DUMMYFUNCTION("""COMPUTED_VALUE"""),10.0)</f>
        <v>10</v>
      </c>
      <c r="P593" s="213">
        <f>IFERROR(__xludf.DUMMYFUNCTION("""COMPUTED_VALUE"""),8.0)</f>
        <v>8</v>
      </c>
      <c r="Q593" s="214">
        <f>IFERROR(__xludf.DUMMYFUNCTION("""COMPUTED_VALUE"""),0.0209)</f>
        <v>0.0209</v>
      </c>
      <c r="R593" s="214">
        <f>IFERROR(__xludf.DUMMYFUNCTION("""COMPUTED_VALUE"""),0.0661)</f>
        <v>0.0661</v>
      </c>
      <c r="S593" s="101">
        <f>IFERROR(__xludf.DUMMYFUNCTION("""COMPUTED_VALUE"""),0.0)</f>
        <v>0</v>
      </c>
      <c r="T593" s="101">
        <f>IFERROR(__xludf.DUMMYFUNCTION("""COMPUTED_VALUE"""),0.0)</f>
        <v>0</v>
      </c>
      <c r="U593" s="270">
        <f>IFERROR(__xludf.DUMMYFUNCTION("""COMPUTED_VALUE"""),0.0)</f>
        <v>0</v>
      </c>
      <c r="V593" s="271" t="str">
        <f>IFERROR(__xludf.DUMMYFUNCTION("""COMPUTED_VALUE"""),"offline")</f>
        <v>offline</v>
      </c>
      <c r="W593" s="272" t="str">
        <f>IFERROR(__xludf.DUMMYFUNCTION("""COMPUTED_VALUE"""),"simple")</f>
        <v>simple</v>
      </c>
      <c r="X593" s="272" t="str">
        <f>IFERROR(__xludf.DUMMYFUNCTION("""COMPUTED_VALUE"""),"Cat Buyer - Body Care + Cart Value")</f>
        <v>Cat Buyer - Body Care + Cart Value</v>
      </c>
      <c r="Y593" s="272" t="str">
        <f>IFERROR(__xludf.DUMMYFUNCTION("""COMPUTED_VALUE"""),"9 - 11 May")</f>
        <v>9 - 11 May</v>
      </c>
      <c r="Z593" s="272" t="str">
        <f>IFERROR(__xludf.DUMMYFUNCTION("""COMPUTED_VALUE"""),"69fc55a0753aad2c8d9d104e")</f>
        <v>69fc55a0753aad2c8d9d104e</v>
      </c>
      <c r="AA593" s="272">
        <f>IFERROR(__xludf.DUMMYFUNCTION("""COMPUTED_VALUE"""),6.0)</f>
        <v>6</v>
      </c>
      <c r="AB593" s="272"/>
      <c r="AC593" s="272">
        <f>IFERROR(__xludf.DUMMYFUNCTION("""COMPUTED_VALUE"""),6.0)</f>
        <v>6</v>
      </c>
      <c r="AD593" s="272">
        <f>IFERROR(__xludf.DUMMYFUNCTION("""COMPUTED_VALUE"""),13890.0)</f>
        <v>13890</v>
      </c>
      <c r="AE593" s="272"/>
      <c r="AF593" s="272">
        <f>IFERROR(__xludf.DUMMYFUNCTION("""COMPUTED_VALUE"""),13890.0)</f>
        <v>13890</v>
      </c>
      <c r="AG593" s="208"/>
      <c r="AH593" s="208"/>
      <c r="AI593" s="208"/>
      <c r="AJ593" s="208"/>
      <c r="AK593" s="208"/>
    </row>
    <row r="594" hidden="1">
      <c r="A594" s="209">
        <f>IFERROR(__xludf.DUMMYFUNCTION("""COMPUTED_VALUE"""),46151.0)</f>
        <v>46151</v>
      </c>
      <c r="B594" s="210">
        <f>IFERROR(__xludf.DUMMYFUNCTION("""COMPUTED_VALUE"""),46151.5)</f>
        <v>46151.5</v>
      </c>
      <c r="C594" s="211" t="str">
        <f>IFERROR(__xludf.DUMMYFUNCTION("""COMPUTED_VALUE"""),"Whatsapp")</f>
        <v>Whatsapp</v>
      </c>
      <c r="D594" s="211" t="str">
        <f>IFERROR(__xludf.DUMMYFUNCTION("""COMPUTED_VALUE"""),"Promtional")</f>
        <v>Promtional</v>
      </c>
      <c r="E594" s="211" t="str">
        <f>IFERROR(__xludf.DUMMYFUNCTION("""COMPUTED_VALUE"""),"BBW")</f>
        <v>BBW</v>
      </c>
      <c r="F594" s="211" t="str">
        <f>IFERROR(__xludf.DUMMYFUNCTION("""COMPUTED_VALUE"""),"BC @ 999 - Body Care")</f>
        <v>BC @ 999 - Body Care</v>
      </c>
      <c r="G594" s="212" t="str">
        <f>IFERROR(__xludf.DUMMYFUNCTION("""COMPUTED_VALUE"""),"bbw_wa_9may_bcat999_lastreminder_event_offline")</f>
        <v>bbw_wa_9may_bcat999_lastreminder_event_offline</v>
      </c>
      <c r="H594" s="212" t="str">
        <f>IFERROR(__xludf.DUMMYFUNCTION("""COMPUTED_VALUE"""),"BC_EventBuyers_OFF")</f>
        <v>BC_EventBuyers_OFF</v>
      </c>
      <c r="I594" s="212" t="str">
        <f>IFERROR(__xludf.DUMMYFUNCTION("""COMPUTED_VALUE"""),"Offline Customers who have purchased at least 1 time from BodyCare in between 2-5 Oct 2025, 16-27 Oct 2025, 9-18 Jan 2026, 26 Feb - 3 Mar 2026")</f>
        <v>Offline Customers who have purchased at least 1 time from BodyCare in between 2-5 Oct 2025, 16-27 Oct 2025, 9-18 Jan 2026, 26 Feb - 3 Mar 2026</v>
      </c>
      <c r="J594" s="213">
        <f>IFERROR(__xludf.DUMMYFUNCTION("""COMPUTED_VALUE"""),10974.0)</f>
        <v>10974</v>
      </c>
      <c r="K594" s="213">
        <f>IFERROR(__xludf.DUMMYFUNCTION("""COMPUTED_VALUE"""),676.0)</f>
        <v>676</v>
      </c>
      <c r="L594" s="214">
        <f>IFERROR(__xludf.DUMMYFUNCTION("""COMPUTED_VALUE"""),0.061500000000000006)</f>
        <v>0.0615</v>
      </c>
      <c r="M594" s="213">
        <f>IFERROR(__xludf.DUMMYFUNCTION("""COMPUTED_VALUE"""),232.0)</f>
        <v>232</v>
      </c>
      <c r="N594" s="214">
        <f>IFERROR(__xludf.DUMMYFUNCTION("""COMPUTED_VALUE"""),0.34369999999999995)</f>
        <v>0.3437</v>
      </c>
      <c r="O594" s="213">
        <f>IFERROR(__xludf.DUMMYFUNCTION("""COMPUTED_VALUE"""),11.0)</f>
        <v>11</v>
      </c>
      <c r="P594" s="213">
        <f>IFERROR(__xludf.DUMMYFUNCTION("""COMPUTED_VALUE"""),11.0)</f>
        <v>11</v>
      </c>
      <c r="Q594" s="214">
        <f>IFERROR(__xludf.DUMMYFUNCTION("""COMPUTED_VALUE"""),0.0163)</f>
        <v>0.0163</v>
      </c>
      <c r="R594" s="214">
        <f>IFERROR(__xludf.DUMMYFUNCTION("""COMPUTED_VALUE"""),0.047400000000000005)</f>
        <v>0.0474</v>
      </c>
      <c r="S594" s="101">
        <f>IFERROR(__xludf.DUMMYFUNCTION("""COMPUTED_VALUE"""),0.0)</f>
        <v>0</v>
      </c>
      <c r="T594" s="101">
        <f>IFERROR(__xludf.DUMMYFUNCTION("""COMPUTED_VALUE"""),0.0)</f>
        <v>0</v>
      </c>
      <c r="U594" s="270">
        <f>IFERROR(__xludf.DUMMYFUNCTION("""COMPUTED_VALUE"""),0.0)</f>
        <v>0</v>
      </c>
      <c r="V594" s="271" t="str">
        <f>IFERROR(__xludf.DUMMYFUNCTION("""COMPUTED_VALUE"""),"offline")</f>
        <v>offline</v>
      </c>
      <c r="W594" s="272" t="str">
        <f>IFERROR(__xludf.DUMMYFUNCTION("""COMPUTED_VALUE"""),"simple")</f>
        <v>simple</v>
      </c>
      <c r="X594" s="272" t="str">
        <f>IFERROR(__xludf.DUMMYFUNCTION("""COMPUTED_VALUE"""),"Event Buyers")</f>
        <v>Event Buyers</v>
      </c>
      <c r="Y594" s="272" t="str">
        <f>IFERROR(__xludf.DUMMYFUNCTION("""COMPUTED_VALUE"""),"9 - 11 May")</f>
        <v>9 - 11 May</v>
      </c>
      <c r="Z594" s="272" t="str">
        <f>IFERROR(__xludf.DUMMYFUNCTION("""COMPUTED_VALUE"""),"69fc55c7ded63ff9214b2252")</f>
        <v>69fc55c7ded63ff9214b2252</v>
      </c>
      <c r="AA594" s="272">
        <f>IFERROR(__xludf.DUMMYFUNCTION("""COMPUTED_VALUE"""),7.0)</f>
        <v>7</v>
      </c>
      <c r="AB594" s="272"/>
      <c r="AC594" s="272">
        <f>IFERROR(__xludf.DUMMYFUNCTION("""COMPUTED_VALUE"""),7.0)</f>
        <v>7</v>
      </c>
      <c r="AD594" s="272">
        <f>IFERROR(__xludf.DUMMYFUNCTION("""COMPUTED_VALUE"""),22689.0)</f>
        <v>22689</v>
      </c>
      <c r="AE594" s="272"/>
      <c r="AF594" s="272">
        <f>IFERROR(__xludf.DUMMYFUNCTION("""COMPUTED_VALUE"""),22689.0)</f>
        <v>22689</v>
      </c>
      <c r="AG594" s="208"/>
      <c r="AH594" s="208"/>
      <c r="AI594" s="208"/>
      <c r="AJ594" s="208"/>
      <c r="AK594" s="208"/>
    </row>
    <row r="595" hidden="1">
      <c r="A595" s="209">
        <f>IFERROR(__xludf.DUMMYFUNCTION("""COMPUTED_VALUE"""),46151.0)</f>
        <v>46151</v>
      </c>
      <c r="B595" s="210">
        <f>IFERROR(__xludf.DUMMYFUNCTION("""COMPUTED_VALUE"""),46151.5)</f>
        <v>46151.5</v>
      </c>
      <c r="C595" s="211" t="str">
        <f>IFERROR(__xludf.DUMMYFUNCTION("""COMPUTED_VALUE"""),"Whatsapp")</f>
        <v>Whatsapp</v>
      </c>
      <c r="D595" s="211" t="str">
        <f>IFERROR(__xludf.DUMMYFUNCTION("""COMPUTED_VALUE"""),"Promtional")</f>
        <v>Promtional</v>
      </c>
      <c r="E595" s="211" t="str">
        <f>IFERROR(__xludf.DUMMYFUNCTION("""COMPUTED_VALUE"""),"BBW")</f>
        <v>BBW</v>
      </c>
      <c r="F595" s="211" t="str">
        <f>IFERROR(__xludf.DUMMYFUNCTION("""COMPUTED_VALUE"""),"BC @ 999 - Body Care")</f>
        <v>BC @ 999 - Body Care</v>
      </c>
      <c r="G595" s="212" t="str">
        <f>IFERROR(__xludf.DUMMYFUNCTION("""COMPUTED_VALUE"""),"bbw_wa_9may_bcat999_lastreminder_dormant_offline")</f>
        <v>bbw_wa_9may_bcat999_lastreminder_dormant_offline</v>
      </c>
      <c r="H595" s="212" t="str">
        <f>IFERROR(__xludf.DUMMYFUNCTION("""COMPUTED_VALUE"""),"BC_Dormant_1Y_OFF")</f>
        <v>BC_Dormant_1Y_OFF</v>
      </c>
      <c r="I595" s="212" t="str">
        <f>IFERROR(__xludf.DUMMYFUNCTION("""COMPUTED_VALUE"""),"Offline Customers who have purchased at least 1 time from BodyCare between 90 days and 365 days ago")</f>
        <v>Offline Customers who have purchased at least 1 time from BodyCare between 90 days and 365 days ago</v>
      </c>
      <c r="J595" s="213">
        <f>IFERROR(__xludf.DUMMYFUNCTION("""COMPUTED_VALUE"""),52592.0)</f>
        <v>52592</v>
      </c>
      <c r="K595" s="213">
        <f>IFERROR(__xludf.DUMMYFUNCTION("""COMPUTED_VALUE"""),2838.0)</f>
        <v>2838</v>
      </c>
      <c r="L595" s="214">
        <f>IFERROR(__xludf.DUMMYFUNCTION("""COMPUTED_VALUE"""),0.053899999999999997)</f>
        <v>0.0539</v>
      </c>
      <c r="M595" s="213">
        <f>IFERROR(__xludf.DUMMYFUNCTION("""COMPUTED_VALUE"""),965.0)</f>
        <v>965</v>
      </c>
      <c r="N595" s="214">
        <f>IFERROR(__xludf.DUMMYFUNCTION("""COMPUTED_VALUE"""),0.34)</f>
        <v>0.34</v>
      </c>
      <c r="O595" s="213">
        <f>IFERROR(__xludf.DUMMYFUNCTION("""COMPUTED_VALUE"""),47.0)</f>
        <v>47</v>
      </c>
      <c r="P595" s="213">
        <f>IFERROR(__xludf.DUMMYFUNCTION("""COMPUTED_VALUE"""),45.0)</f>
        <v>45</v>
      </c>
      <c r="Q595" s="214">
        <f>IFERROR(__xludf.DUMMYFUNCTION("""COMPUTED_VALUE"""),0.0159)</f>
        <v>0.0159</v>
      </c>
      <c r="R595" s="214">
        <f>IFERROR(__xludf.DUMMYFUNCTION("""COMPUTED_VALUE"""),0.0467)</f>
        <v>0.0467</v>
      </c>
      <c r="S595" s="101">
        <f>IFERROR(__xludf.DUMMYFUNCTION("""COMPUTED_VALUE"""),1.0)</f>
        <v>1</v>
      </c>
      <c r="T595" s="101">
        <f>IFERROR(__xludf.DUMMYFUNCTION("""COMPUTED_VALUE"""),2.0)</f>
        <v>2</v>
      </c>
      <c r="U595" s="270">
        <f>IFERROR(__xludf.DUMMYFUNCTION("""COMPUTED_VALUE"""),2799.0)</f>
        <v>2799</v>
      </c>
      <c r="V595" s="271" t="str">
        <f>IFERROR(__xludf.DUMMYFUNCTION("""COMPUTED_VALUE"""),"offline")</f>
        <v>offline</v>
      </c>
      <c r="W595" s="272" t="str">
        <f>IFERROR(__xludf.DUMMYFUNCTION("""COMPUTED_VALUE"""),"simple")</f>
        <v>simple</v>
      </c>
      <c r="X595" s="272" t="str">
        <f>IFERROR(__xludf.DUMMYFUNCTION("""COMPUTED_VALUE"""),"Cat Dormant")</f>
        <v>Cat Dormant</v>
      </c>
      <c r="Y595" s="272" t="str">
        <f>IFERROR(__xludf.DUMMYFUNCTION("""COMPUTED_VALUE"""),"9 - 11 May")</f>
        <v>9 - 11 May</v>
      </c>
      <c r="Z595" s="272" t="str">
        <f>IFERROR(__xludf.DUMMYFUNCTION("""COMPUTED_VALUE"""),"69fc55f3073d844df88b00f3")</f>
        <v>69fc55f3073d844df88b00f3</v>
      </c>
      <c r="AA595" s="272">
        <f>IFERROR(__xludf.DUMMYFUNCTION("""COMPUTED_VALUE"""),17.0)</f>
        <v>17</v>
      </c>
      <c r="AB595" s="272"/>
      <c r="AC595" s="272">
        <f>IFERROR(__xludf.DUMMYFUNCTION("""COMPUTED_VALUE"""),17.0)</f>
        <v>17</v>
      </c>
      <c r="AD595" s="272">
        <f>IFERROR(__xludf.DUMMYFUNCTION("""COMPUTED_VALUE"""),46267.0)</f>
        <v>46267</v>
      </c>
      <c r="AE595" s="272"/>
      <c r="AF595" s="272">
        <f>IFERROR(__xludf.DUMMYFUNCTION("""COMPUTED_VALUE"""),46267.0)</f>
        <v>46267</v>
      </c>
      <c r="AG595" s="208"/>
      <c r="AH595" s="208"/>
      <c r="AI595" s="208"/>
      <c r="AJ595" s="208"/>
      <c r="AK595" s="208"/>
    </row>
    <row r="596" hidden="1">
      <c r="A596" s="209">
        <f>IFERROR(__xludf.DUMMYFUNCTION("""COMPUTED_VALUE"""),46151.0)</f>
        <v>46151</v>
      </c>
      <c r="B596" s="210">
        <f>IFERROR(__xludf.DUMMYFUNCTION("""COMPUTED_VALUE"""),46151.5)</f>
        <v>46151.5</v>
      </c>
      <c r="C596" s="211" t="str">
        <f>IFERROR(__xludf.DUMMYFUNCTION("""COMPUTED_VALUE"""),"Whatsapp")</f>
        <v>Whatsapp</v>
      </c>
      <c r="D596" s="211" t="str">
        <f>IFERROR(__xludf.DUMMYFUNCTION("""COMPUTED_VALUE"""),"Promtional")</f>
        <v>Promtional</v>
      </c>
      <c r="E596" s="211" t="str">
        <f>IFERROR(__xludf.DUMMYFUNCTION("""COMPUTED_VALUE"""),"BBW")</f>
        <v>BBW</v>
      </c>
      <c r="F596" s="211" t="str">
        <f>IFERROR(__xludf.DUMMYFUNCTION("""COMPUTED_VALUE"""),"BC @ 999 - Body Care")</f>
        <v>BC @ 999 - Body Care</v>
      </c>
      <c r="G596" s="212" t="str">
        <f>IFERROR(__xludf.DUMMYFUNCTION("""COMPUTED_VALUE"""),"bbw_wa_9may_bcat999_lastreminder_disc_buyers_offline")</f>
        <v>bbw_wa_9may_bcat999_lastreminder_disc_buyers_offline</v>
      </c>
      <c r="H596" s="212" t="str">
        <f>IFERROR(__xludf.DUMMYFUNCTION("""COMPUTED_VALUE"""),"BC_Disc_Buyers_OFF")</f>
        <v>BC_Disc_Buyers_OFF</v>
      </c>
      <c r="I596" s="212" t="str">
        <f>IFERROR(__xludf.DUMMYFUNCTION("""COMPUTED_VALUE"""),"Offline customers who have purchased at least 1 time from L2: BodyCare with discount exists in the last 120 days excluding last 30 day disc buyers")</f>
        <v>Offline customers who have purchased at least 1 time from L2: BodyCare with discount exists in the last 120 days excluding last 30 day disc buyers</v>
      </c>
      <c r="J596" s="213">
        <f>IFERROR(__xludf.DUMMYFUNCTION("""COMPUTED_VALUE"""),29640.0)</f>
        <v>29640</v>
      </c>
      <c r="K596" s="213">
        <f>IFERROR(__xludf.DUMMYFUNCTION("""COMPUTED_VALUE"""),1124.0)</f>
        <v>1124</v>
      </c>
      <c r="L596" s="214">
        <f>IFERROR(__xludf.DUMMYFUNCTION("""COMPUTED_VALUE"""),0.0379)</f>
        <v>0.0379</v>
      </c>
      <c r="M596" s="213">
        <f>IFERROR(__xludf.DUMMYFUNCTION("""COMPUTED_VALUE"""),403.0)</f>
        <v>403</v>
      </c>
      <c r="N596" s="214">
        <f>IFERROR(__xludf.DUMMYFUNCTION("""COMPUTED_VALUE"""),0.35850000000000004)</f>
        <v>0.3585</v>
      </c>
      <c r="O596" s="213">
        <f>IFERROR(__xludf.DUMMYFUNCTION("""COMPUTED_VALUE"""),25.0)</f>
        <v>25</v>
      </c>
      <c r="P596" s="213">
        <f>IFERROR(__xludf.DUMMYFUNCTION("""COMPUTED_VALUE"""),25.0)</f>
        <v>25</v>
      </c>
      <c r="Q596" s="214">
        <f>IFERROR(__xludf.DUMMYFUNCTION("""COMPUTED_VALUE"""),0.0222)</f>
        <v>0.0222</v>
      </c>
      <c r="R596" s="214">
        <f>IFERROR(__xludf.DUMMYFUNCTION("""COMPUTED_VALUE"""),0.062)</f>
        <v>0.062</v>
      </c>
      <c r="S596" s="101">
        <f>IFERROR(__xludf.DUMMYFUNCTION("""COMPUTED_VALUE"""),0.0)</f>
        <v>0</v>
      </c>
      <c r="T596" s="101">
        <f>IFERROR(__xludf.DUMMYFUNCTION("""COMPUTED_VALUE"""),0.0)</f>
        <v>0</v>
      </c>
      <c r="U596" s="270">
        <f>IFERROR(__xludf.DUMMYFUNCTION("""COMPUTED_VALUE"""),0.0)</f>
        <v>0</v>
      </c>
      <c r="V596" s="271" t="str">
        <f>IFERROR(__xludf.DUMMYFUNCTION("""COMPUTED_VALUE"""),"offline")</f>
        <v>offline</v>
      </c>
      <c r="W596" s="272" t="str">
        <f>IFERROR(__xludf.DUMMYFUNCTION("""COMPUTED_VALUE"""),"simple")</f>
        <v>simple</v>
      </c>
      <c r="X596" s="272" t="str">
        <f>IFERROR(__xludf.DUMMYFUNCTION("""COMPUTED_VALUE"""),"Discount Buyers")</f>
        <v>Discount Buyers</v>
      </c>
      <c r="Y596" s="272" t="str">
        <f>IFERROR(__xludf.DUMMYFUNCTION("""COMPUTED_VALUE"""),"9 - 11 May")</f>
        <v>9 - 11 May</v>
      </c>
      <c r="Z596" s="272" t="str">
        <f>IFERROR(__xludf.DUMMYFUNCTION("""COMPUTED_VALUE"""),"69fc5759b9ee7e529fed4904")</f>
        <v>69fc5759b9ee7e529fed4904</v>
      </c>
      <c r="AA596" s="272">
        <f>IFERROR(__xludf.DUMMYFUNCTION("""COMPUTED_VALUE"""),4.0)</f>
        <v>4</v>
      </c>
      <c r="AB596" s="272"/>
      <c r="AC596" s="272">
        <f>IFERROR(__xludf.DUMMYFUNCTION("""COMPUTED_VALUE"""),4.0)</f>
        <v>4</v>
      </c>
      <c r="AD596" s="272">
        <f>IFERROR(__xludf.DUMMYFUNCTION("""COMPUTED_VALUE"""),13492.0)</f>
        <v>13492</v>
      </c>
      <c r="AE596" s="272"/>
      <c r="AF596" s="272">
        <f>IFERROR(__xludf.DUMMYFUNCTION("""COMPUTED_VALUE"""),13492.0)</f>
        <v>13492</v>
      </c>
      <c r="AG596" s="208"/>
      <c r="AH596" s="208"/>
      <c r="AI596" s="208"/>
      <c r="AJ596" s="208"/>
      <c r="AK596" s="208"/>
    </row>
    <row r="597" hidden="1">
      <c r="A597" s="209">
        <f>IFERROR(__xludf.DUMMYFUNCTION("""COMPUTED_VALUE"""),46151.0)</f>
        <v>46151</v>
      </c>
      <c r="B597" s="210">
        <f>IFERROR(__xludf.DUMMYFUNCTION("""COMPUTED_VALUE"""),46151.54166666667)</f>
        <v>46151.54167</v>
      </c>
      <c r="C597" s="211" t="str">
        <f>IFERROR(__xludf.DUMMYFUNCTION("""COMPUTED_VALUE"""),"Sms")</f>
        <v>Sms</v>
      </c>
      <c r="D597" s="211" t="str">
        <f>IFERROR(__xludf.DUMMYFUNCTION("""COMPUTED_VALUE"""),"Fallback campaign")</f>
        <v>Fallback campaign</v>
      </c>
      <c r="E597" s="211" t="str">
        <f>IFERROR(__xludf.DUMMYFUNCTION("""COMPUTED_VALUE"""),"BBW")</f>
        <v>BBW</v>
      </c>
      <c r="F597" s="211" t="str">
        <f>IFERROR(__xludf.DUMMYFUNCTION("""COMPUTED_VALUE"""),"BC at 999 - Body Care")</f>
        <v>BC at 999 - Body Care</v>
      </c>
      <c r="G597" s="212" t="str">
        <f>IFERROR(__xludf.DUMMYFUNCTION("""COMPUTED_VALUE"""),"bbw_smsfb_9may_bcat999_lastreminder_repeat_offline")</f>
        <v>bbw_smsfb_9may_bcat999_lastreminder_repeat_offline</v>
      </c>
      <c r="H597" s="212" t="str">
        <f>IFERROR(__xludf.DUMMYFUNCTION("""COMPUTED_VALUE"""),"BodyCare_Repeat_180D_OFF")</f>
        <v>BodyCare_Repeat_180D_OFF</v>
      </c>
      <c r="I597" s="212" t="str">
        <f>IFERROR(__xludf.DUMMYFUNCTION("""COMPUTED_VALUE"""),"WA Undelivered")</f>
        <v>WA Undelivered</v>
      </c>
      <c r="J597" s="213">
        <f>IFERROR(__xludf.DUMMYFUNCTION("""COMPUTED_VALUE"""),11594.0)</f>
        <v>11594</v>
      </c>
      <c r="K597" s="213">
        <f>IFERROR(__xludf.DUMMYFUNCTION("""COMPUTED_VALUE"""),6323.0)</f>
        <v>6323</v>
      </c>
      <c r="L597" s="214">
        <f>IFERROR(__xludf.DUMMYFUNCTION("""COMPUTED_VALUE"""),0.5453682939451441)</f>
        <v>0.5453682939</v>
      </c>
      <c r="M597" s="213">
        <f>IFERROR(__xludf.DUMMYFUNCTION("""COMPUTED_VALUE"""),0.0)</f>
        <v>0</v>
      </c>
      <c r="N597" s="214">
        <f>IFERROR(__xludf.DUMMYFUNCTION("""COMPUTED_VALUE"""),0.0)</f>
        <v>0</v>
      </c>
      <c r="O597" s="213">
        <f>IFERROR(__xludf.DUMMYFUNCTION("""COMPUTED_VALUE"""),14.0)</f>
        <v>14</v>
      </c>
      <c r="P597" s="213">
        <f>IFERROR(__xludf.DUMMYFUNCTION("""COMPUTED_VALUE"""),0.0)</f>
        <v>0</v>
      </c>
      <c r="Q597" s="214">
        <f>IFERROR(__xludf.DUMMYFUNCTION("""COMPUTED_VALUE"""),0.0022)</f>
        <v>0.0022</v>
      </c>
      <c r="R597" s="214">
        <f>IFERROR(__xludf.DUMMYFUNCTION("""COMPUTED_VALUE"""),0.0)</f>
        <v>0</v>
      </c>
      <c r="S597" s="101">
        <f>IFERROR(__xludf.DUMMYFUNCTION("""COMPUTED_VALUE"""),1.0)</f>
        <v>1</v>
      </c>
      <c r="T597" s="101">
        <f>IFERROR(__xludf.DUMMYFUNCTION("""COMPUTED_VALUE"""),0.0)</f>
        <v>0</v>
      </c>
      <c r="U597" s="270">
        <f>IFERROR(__xludf.DUMMYFUNCTION("""COMPUTED_VALUE"""),2799.0)</f>
        <v>2799</v>
      </c>
      <c r="V597" s="271" t="str">
        <f>IFERROR(__xludf.DUMMYFUNCTION("""COMPUTED_VALUE"""),"offline")</f>
        <v>offline</v>
      </c>
      <c r="W597" s="272" t="str">
        <f>IFERROR(__xludf.DUMMYFUNCTION("""COMPUTED_VALUE"""),"sms")</f>
        <v>sms</v>
      </c>
      <c r="X597" s="272" t="str">
        <f>IFERROR(__xludf.DUMMYFUNCTION("""COMPUTED_VALUE"""),"Cat Repeat")</f>
        <v>Cat Repeat</v>
      </c>
      <c r="Y597" s="272" t="str">
        <f>IFERROR(__xludf.DUMMYFUNCTION("""COMPUTED_VALUE"""),"09 May")</f>
        <v>09 May</v>
      </c>
      <c r="Z597" s="272" t="str">
        <f>IFERROR(__xludf.DUMMYFUNCTION("""COMPUTED_VALUE"""),"69fc649516401a66c19aa77a")</f>
        <v>69fc649516401a66c19aa77a</v>
      </c>
      <c r="AA597" s="272">
        <f>IFERROR(__xludf.DUMMYFUNCTION("""COMPUTED_VALUE"""),45.0)</f>
        <v>45</v>
      </c>
      <c r="AB597" s="272"/>
      <c r="AC597" s="272">
        <f>IFERROR(__xludf.DUMMYFUNCTION("""COMPUTED_VALUE"""),45.0)</f>
        <v>45</v>
      </c>
      <c r="AD597" s="272">
        <f>IFERROR(__xludf.DUMMYFUNCTION("""COMPUTED_VALUE"""),196675.0)</f>
        <v>196675</v>
      </c>
      <c r="AE597" s="272"/>
      <c r="AF597" s="272">
        <f>IFERROR(__xludf.DUMMYFUNCTION("""COMPUTED_VALUE"""),196675.0)</f>
        <v>196675</v>
      </c>
      <c r="AG597" s="208"/>
      <c r="AH597" s="208"/>
      <c r="AI597" s="208"/>
      <c r="AJ597" s="208"/>
      <c r="AK597" s="208"/>
    </row>
    <row r="598" hidden="1">
      <c r="A598" s="209">
        <f>IFERROR(__xludf.DUMMYFUNCTION("""COMPUTED_VALUE"""),46151.0)</f>
        <v>46151</v>
      </c>
      <c r="B598" s="210">
        <f>IFERROR(__xludf.DUMMYFUNCTION("""COMPUTED_VALUE"""),46151.54166666667)</f>
        <v>46151.54167</v>
      </c>
      <c r="C598" s="211" t="str">
        <f>IFERROR(__xludf.DUMMYFUNCTION("""COMPUTED_VALUE"""),"Sms")</f>
        <v>Sms</v>
      </c>
      <c r="D598" s="211" t="str">
        <f>IFERROR(__xludf.DUMMYFUNCTION("""COMPUTED_VALUE"""),"Fallback campaign")</f>
        <v>Fallback campaign</v>
      </c>
      <c r="E598" s="211" t="str">
        <f>IFERROR(__xludf.DUMMYFUNCTION("""COMPUTED_VALUE"""),"BBW")</f>
        <v>BBW</v>
      </c>
      <c r="F598" s="211" t="str">
        <f>IFERROR(__xludf.DUMMYFUNCTION("""COMPUTED_VALUE"""),"BC at 999 - Body Care")</f>
        <v>BC at 999 - Body Care</v>
      </c>
      <c r="G598" s="212" t="str">
        <f>IFERROR(__xludf.DUMMYFUNCTION("""COMPUTED_VALUE"""),"bbw_smsfb_9may_bcat999_lastreminder_aov_offline")</f>
        <v>bbw_smsfb_9may_bcat999_lastreminder_aov_offline</v>
      </c>
      <c r="H598" s="212" t="str">
        <f>IFERROR(__xludf.DUMMYFUNCTION("""COMPUTED_VALUE"""),"BodyCare_AOV_1000_OFF")</f>
        <v>BodyCare_AOV_1000_OFF</v>
      </c>
      <c r="I598" s="212" t="str">
        <f>IFERROR(__xludf.DUMMYFUNCTION("""COMPUTED_VALUE"""),"WA Undelivered")</f>
        <v>WA Undelivered</v>
      </c>
      <c r="J598" s="213">
        <f>IFERROR(__xludf.DUMMYFUNCTION("""COMPUTED_VALUE"""),4439.0)</f>
        <v>4439</v>
      </c>
      <c r="K598" s="213">
        <f>IFERROR(__xludf.DUMMYFUNCTION("""COMPUTED_VALUE"""),2589.0)</f>
        <v>2589</v>
      </c>
      <c r="L598" s="214">
        <f>IFERROR(__xludf.DUMMYFUNCTION("""COMPUTED_VALUE"""),0.5832394683487272)</f>
        <v>0.5832394683</v>
      </c>
      <c r="M598" s="213">
        <f>IFERROR(__xludf.DUMMYFUNCTION("""COMPUTED_VALUE"""),0.0)</f>
        <v>0</v>
      </c>
      <c r="N598" s="214">
        <f>IFERROR(__xludf.DUMMYFUNCTION("""COMPUTED_VALUE"""),0.0)</f>
        <v>0</v>
      </c>
      <c r="O598" s="213">
        <f>IFERROR(__xludf.DUMMYFUNCTION("""COMPUTED_VALUE"""),5.0)</f>
        <v>5</v>
      </c>
      <c r="P598" s="213">
        <f>IFERROR(__xludf.DUMMYFUNCTION("""COMPUTED_VALUE"""),0.0)</f>
        <v>0</v>
      </c>
      <c r="Q598" s="214">
        <f>IFERROR(__xludf.DUMMYFUNCTION("""COMPUTED_VALUE"""),0.0019)</f>
        <v>0.0019</v>
      </c>
      <c r="R598" s="214">
        <f>IFERROR(__xludf.DUMMYFUNCTION("""COMPUTED_VALUE"""),0.0)</f>
        <v>0</v>
      </c>
      <c r="S598" s="101">
        <f>IFERROR(__xludf.DUMMYFUNCTION("""COMPUTED_VALUE"""),0.0)</f>
        <v>0</v>
      </c>
      <c r="T598" s="101">
        <f>IFERROR(__xludf.DUMMYFUNCTION("""COMPUTED_VALUE"""),0.0)</f>
        <v>0</v>
      </c>
      <c r="U598" s="270">
        <f>IFERROR(__xludf.DUMMYFUNCTION("""COMPUTED_VALUE"""),0.0)</f>
        <v>0</v>
      </c>
      <c r="V598" s="271" t="str">
        <f>IFERROR(__xludf.DUMMYFUNCTION("""COMPUTED_VALUE"""),"offline")</f>
        <v>offline</v>
      </c>
      <c r="W598" s="272" t="str">
        <f>IFERROR(__xludf.DUMMYFUNCTION("""COMPUTED_VALUE"""),"sms")</f>
        <v>sms</v>
      </c>
      <c r="X598" s="272" t="str">
        <f>IFERROR(__xludf.DUMMYFUNCTION("""COMPUTED_VALUE"""),"No Brief")</f>
        <v>No Brief</v>
      </c>
      <c r="Y598" s="272" t="str">
        <f>IFERROR(__xludf.DUMMYFUNCTION("""COMPUTED_VALUE"""),"09 May")</f>
        <v>09 May</v>
      </c>
      <c r="Z598" s="272" t="str">
        <f>IFERROR(__xludf.DUMMYFUNCTION("""COMPUTED_VALUE"""),"69fc64c255a07ece14640cc4")</f>
        <v>69fc64c255a07ece14640cc4</v>
      </c>
      <c r="AA598" s="272">
        <f>IFERROR(__xludf.DUMMYFUNCTION("""COMPUTED_VALUE"""),9.0)</f>
        <v>9</v>
      </c>
      <c r="AB598" s="272"/>
      <c r="AC598" s="272">
        <f>IFERROR(__xludf.DUMMYFUNCTION("""COMPUTED_VALUE"""),9.0)</f>
        <v>9</v>
      </c>
      <c r="AD598" s="272">
        <f>IFERROR(__xludf.DUMMYFUNCTION("""COMPUTED_VALUE"""),21135.0)</f>
        <v>21135</v>
      </c>
      <c r="AE598" s="272"/>
      <c r="AF598" s="272">
        <f>IFERROR(__xludf.DUMMYFUNCTION("""COMPUTED_VALUE"""),21135.0)</f>
        <v>21135</v>
      </c>
      <c r="AG598" s="208"/>
      <c r="AH598" s="208"/>
      <c r="AI598" s="208"/>
      <c r="AJ598" s="208"/>
      <c r="AK598" s="208"/>
    </row>
    <row r="599" hidden="1">
      <c r="A599" s="209">
        <f>IFERROR(__xludf.DUMMYFUNCTION("""COMPUTED_VALUE"""),46151.0)</f>
        <v>46151</v>
      </c>
      <c r="B599" s="210">
        <f>IFERROR(__xludf.DUMMYFUNCTION("""COMPUTED_VALUE"""),46151.54166666667)</f>
        <v>46151.54167</v>
      </c>
      <c r="C599" s="211" t="str">
        <f>IFERROR(__xludf.DUMMYFUNCTION("""COMPUTED_VALUE"""),"Sms")</f>
        <v>Sms</v>
      </c>
      <c r="D599" s="211" t="str">
        <f>IFERROR(__xludf.DUMMYFUNCTION("""COMPUTED_VALUE"""),"Fallback campaign")</f>
        <v>Fallback campaign</v>
      </c>
      <c r="E599" s="211" t="str">
        <f>IFERROR(__xludf.DUMMYFUNCTION("""COMPUTED_VALUE"""),"BBW")</f>
        <v>BBW</v>
      </c>
      <c r="F599" s="211" t="str">
        <f>IFERROR(__xludf.DUMMYFUNCTION("""COMPUTED_VALUE"""),"BC at 999 - Body Care")</f>
        <v>BC at 999 - Body Care</v>
      </c>
      <c r="G599" s="212" t="str">
        <f>IFERROR(__xludf.DUMMYFUNCTION("""COMPUTED_VALUE"""),"bbw_smsfb_9may_bcat999_lastreminder_event_offline")</f>
        <v>bbw_smsfb_9may_bcat999_lastreminder_event_offline</v>
      </c>
      <c r="H599" s="212" t="str">
        <f>IFERROR(__xludf.DUMMYFUNCTION("""COMPUTED_VALUE"""),"BC_EventBuyers_OFF")</f>
        <v>BC_EventBuyers_OFF</v>
      </c>
      <c r="I599" s="212" t="str">
        <f>IFERROR(__xludf.DUMMYFUNCTION("""COMPUTED_VALUE"""),"WA Undelivered")</f>
        <v>WA Undelivered</v>
      </c>
      <c r="J599" s="213">
        <f>IFERROR(__xludf.DUMMYFUNCTION("""COMPUTED_VALUE"""),10008.0)</f>
        <v>10008</v>
      </c>
      <c r="K599" s="213">
        <f>IFERROR(__xludf.DUMMYFUNCTION("""COMPUTED_VALUE"""),5476.0)</f>
        <v>5476</v>
      </c>
      <c r="L599" s="214">
        <f>IFERROR(__xludf.DUMMYFUNCTION("""COMPUTED_VALUE"""),0.5471622701838529)</f>
        <v>0.5471622702</v>
      </c>
      <c r="M599" s="213">
        <f>IFERROR(__xludf.DUMMYFUNCTION("""COMPUTED_VALUE"""),0.0)</f>
        <v>0</v>
      </c>
      <c r="N599" s="214">
        <f>IFERROR(__xludf.DUMMYFUNCTION("""COMPUTED_VALUE"""),0.0)</f>
        <v>0</v>
      </c>
      <c r="O599" s="213">
        <f>IFERROR(__xludf.DUMMYFUNCTION("""COMPUTED_VALUE"""),9.0)</f>
        <v>9</v>
      </c>
      <c r="P599" s="213">
        <f>IFERROR(__xludf.DUMMYFUNCTION("""COMPUTED_VALUE"""),0.0)</f>
        <v>0</v>
      </c>
      <c r="Q599" s="214">
        <f>IFERROR(__xludf.DUMMYFUNCTION("""COMPUTED_VALUE"""),0.0016)</f>
        <v>0.0016</v>
      </c>
      <c r="R599" s="214">
        <f>IFERROR(__xludf.DUMMYFUNCTION("""COMPUTED_VALUE"""),0.0)</f>
        <v>0</v>
      </c>
      <c r="S599" s="101">
        <f>IFERROR(__xludf.DUMMYFUNCTION("""COMPUTED_VALUE"""),1.0)</f>
        <v>1</v>
      </c>
      <c r="T599" s="101">
        <f>IFERROR(__xludf.DUMMYFUNCTION("""COMPUTED_VALUE"""),1.0)</f>
        <v>1</v>
      </c>
      <c r="U599" s="270">
        <f>IFERROR(__xludf.DUMMYFUNCTION("""COMPUTED_VALUE"""),5576.0)</f>
        <v>5576</v>
      </c>
      <c r="V599" s="271" t="str">
        <f>IFERROR(__xludf.DUMMYFUNCTION("""COMPUTED_VALUE"""),"offline")</f>
        <v>offline</v>
      </c>
      <c r="W599" s="272" t="str">
        <f>IFERROR(__xludf.DUMMYFUNCTION("""COMPUTED_VALUE"""),"sms")</f>
        <v>sms</v>
      </c>
      <c r="X599" s="272" t="str">
        <f>IFERROR(__xludf.DUMMYFUNCTION("""COMPUTED_VALUE"""),"Event Buyers")</f>
        <v>Event Buyers</v>
      </c>
      <c r="Y599" s="272" t="str">
        <f>IFERROR(__xludf.DUMMYFUNCTION("""COMPUTED_VALUE"""),"09 May")</f>
        <v>09 May</v>
      </c>
      <c r="Z599" s="272" t="str">
        <f>IFERROR(__xludf.DUMMYFUNCTION("""COMPUTED_VALUE"""),"69fc64e954f8d42d58ff129d")</f>
        <v>69fc64e954f8d42d58ff129d</v>
      </c>
      <c r="AA599" s="272">
        <f>IFERROR(__xludf.DUMMYFUNCTION("""COMPUTED_VALUE"""),20.0)</f>
        <v>20</v>
      </c>
      <c r="AB599" s="272"/>
      <c r="AC599" s="272">
        <f>IFERROR(__xludf.DUMMYFUNCTION("""COMPUTED_VALUE"""),20.0)</f>
        <v>20</v>
      </c>
      <c r="AD599" s="272">
        <f>IFERROR(__xludf.DUMMYFUNCTION("""COMPUTED_VALUE"""),94296.0)</f>
        <v>94296</v>
      </c>
      <c r="AE599" s="272"/>
      <c r="AF599" s="272">
        <f>IFERROR(__xludf.DUMMYFUNCTION("""COMPUTED_VALUE"""),94296.0)</f>
        <v>94296</v>
      </c>
      <c r="AG599" s="208"/>
      <c r="AH599" s="208"/>
      <c r="AI599" s="208"/>
      <c r="AJ599" s="208"/>
      <c r="AK599" s="208"/>
    </row>
    <row r="600" hidden="1">
      <c r="A600" s="209">
        <f>IFERROR(__xludf.DUMMYFUNCTION("""COMPUTED_VALUE"""),46151.0)</f>
        <v>46151</v>
      </c>
      <c r="B600" s="210">
        <f>IFERROR(__xludf.DUMMYFUNCTION("""COMPUTED_VALUE"""),46151.54166666667)</f>
        <v>46151.54167</v>
      </c>
      <c r="C600" s="211" t="str">
        <f>IFERROR(__xludf.DUMMYFUNCTION("""COMPUTED_VALUE"""),"Sms")</f>
        <v>Sms</v>
      </c>
      <c r="D600" s="211" t="str">
        <f>IFERROR(__xludf.DUMMYFUNCTION("""COMPUTED_VALUE"""),"Fallback campaign")</f>
        <v>Fallback campaign</v>
      </c>
      <c r="E600" s="211" t="str">
        <f>IFERROR(__xludf.DUMMYFUNCTION("""COMPUTED_VALUE"""),"BBW")</f>
        <v>BBW</v>
      </c>
      <c r="F600" s="211" t="str">
        <f>IFERROR(__xludf.DUMMYFUNCTION("""COMPUTED_VALUE"""),"BC at 999 - Body Care")</f>
        <v>BC at 999 - Body Care</v>
      </c>
      <c r="G600" s="212" t="str">
        <f>IFERROR(__xludf.DUMMYFUNCTION("""COMPUTED_VALUE"""),"bbw_smsfb_9may_bcat999_lastreminder_dormant_offline")</f>
        <v>bbw_smsfb_9may_bcat999_lastreminder_dormant_offline</v>
      </c>
      <c r="H600" s="212" t="str">
        <f>IFERROR(__xludf.DUMMYFUNCTION("""COMPUTED_VALUE"""),"BC_Dormant_1Y_OFF")</f>
        <v>BC_Dormant_1Y_OFF</v>
      </c>
      <c r="I600" s="212" t="str">
        <f>IFERROR(__xludf.DUMMYFUNCTION("""COMPUTED_VALUE"""),"WA Undelivered")</f>
        <v>WA Undelivered</v>
      </c>
      <c r="J600" s="213">
        <f>IFERROR(__xludf.DUMMYFUNCTION("""COMPUTED_VALUE"""),48153.0)</f>
        <v>48153</v>
      </c>
      <c r="K600" s="213">
        <f>IFERROR(__xludf.DUMMYFUNCTION("""COMPUTED_VALUE"""),26531.0)</f>
        <v>26531</v>
      </c>
      <c r="L600" s="214">
        <f>IFERROR(__xludf.DUMMYFUNCTION("""COMPUTED_VALUE"""),0.5509729404190808)</f>
        <v>0.5509729404</v>
      </c>
      <c r="M600" s="213">
        <f>IFERROR(__xludf.DUMMYFUNCTION("""COMPUTED_VALUE"""),0.0)</f>
        <v>0</v>
      </c>
      <c r="N600" s="214">
        <f>IFERROR(__xludf.DUMMYFUNCTION("""COMPUTED_VALUE"""),0.0)</f>
        <v>0</v>
      </c>
      <c r="O600" s="213">
        <f>IFERROR(__xludf.DUMMYFUNCTION("""COMPUTED_VALUE"""),20.0)</f>
        <v>20</v>
      </c>
      <c r="P600" s="213">
        <f>IFERROR(__xludf.DUMMYFUNCTION("""COMPUTED_VALUE"""),0.0)</f>
        <v>0</v>
      </c>
      <c r="Q600" s="214">
        <f>IFERROR(__xludf.DUMMYFUNCTION("""COMPUTED_VALUE"""),8.0E-4)</f>
        <v>0.0008</v>
      </c>
      <c r="R600" s="214">
        <f>IFERROR(__xludf.DUMMYFUNCTION("""COMPUTED_VALUE"""),0.0)</f>
        <v>0</v>
      </c>
      <c r="S600" s="101">
        <f>IFERROR(__xludf.DUMMYFUNCTION("""COMPUTED_VALUE"""),1.0)</f>
        <v>1</v>
      </c>
      <c r="T600" s="101">
        <f>IFERROR(__xludf.DUMMYFUNCTION("""COMPUTED_VALUE"""),0.0)</f>
        <v>0</v>
      </c>
      <c r="U600" s="270">
        <f>IFERROR(__xludf.DUMMYFUNCTION("""COMPUTED_VALUE"""),1078.0)</f>
        <v>1078</v>
      </c>
      <c r="V600" s="271" t="str">
        <f>IFERROR(__xludf.DUMMYFUNCTION("""COMPUTED_VALUE"""),"offline")</f>
        <v>offline</v>
      </c>
      <c r="W600" s="272" t="str">
        <f>IFERROR(__xludf.DUMMYFUNCTION("""COMPUTED_VALUE"""),"sms")</f>
        <v>sms</v>
      </c>
      <c r="X600" s="272" t="str">
        <f>IFERROR(__xludf.DUMMYFUNCTION("""COMPUTED_VALUE"""),"Cat Dormant")</f>
        <v>Cat Dormant</v>
      </c>
      <c r="Y600" s="272" t="str">
        <f>IFERROR(__xludf.DUMMYFUNCTION("""COMPUTED_VALUE"""),"09 May")</f>
        <v>09 May</v>
      </c>
      <c r="Z600" s="272" t="str">
        <f>IFERROR(__xludf.DUMMYFUNCTION("""COMPUTED_VALUE"""),"69fc650c930aaea628d9db72")</f>
        <v>69fc650c930aaea628d9db72</v>
      </c>
      <c r="AA600" s="272">
        <f>IFERROR(__xludf.DUMMYFUNCTION("""COMPUTED_VALUE"""),68.0)</f>
        <v>68</v>
      </c>
      <c r="AB600" s="272"/>
      <c r="AC600" s="272">
        <f>IFERROR(__xludf.DUMMYFUNCTION("""COMPUTED_VALUE"""),68.0)</f>
        <v>68</v>
      </c>
      <c r="AD600" s="272">
        <f>IFERROR(__xludf.DUMMYFUNCTION("""COMPUTED_VALUE"""),244560.0)</f>
        <v>244560</v>
      </c>
      <c r="AE600" s="272"/>
      <c r="AF600" s="272">
        <f>IFERROR(__xludf.DUMMYFUNCTION("""COMPUTED_VALUE"""),244560.0)</f>
        <v>244560</v>
      </c>
      <c r="AG600" s="208"/>
      <c r="AH600" s="208"/>
      <c r="AI600" s="208"/>
      <c r="AJ600" s="208"/>
      <c r="AK600" s="208"/>
    </row>
    <row r="601" hidden="1">
      <c r="A601" s="209">
        <f>IFERROR(__xludf.DUMMYFUNCTION("""COMPUTED_VALUE"""),46151.0)</f>
        <v>46151</v>
      </c>
      <c r="B601" s="210">
        <f>IFERROR(__xludf.DUMMYFUNCTION("""COMPUTED_VALUE"""),46151.54166666667)</f>
        <v>46151.54167</v>
      </c>
      <c r="C601" s="211" t="str">
        <f>IFERROR(__xludf.DUMMYFUNCTION("""COMPUTED_VALUE"""),"Sms")</f>
        <v>Sms</v>
      </c>
      <c r="D601" s="211" t="str">
        <f>IFERROR(__xludf.DUMMYFUNCTION("""COMPUTED_VALUE"""),"Fallback campaign")</f>
        <v>Fallback campaign</v>
      </c>
      <c r="E601" s="211" t="str">
        <f>IFERROR(__xludf.DUMMYFUNCTION("""COMPUTED_VALUE"""),"BBW")</f>
        <v>BBW</v>
      </c>
      <c r="F601" s="211" t="str">
        <f>IFERROR(__xludf.DUMMYFUNCTION("""COMPUTED_VALUE"""),"BC at 999 - Body Care")</f>
        <v>BC at 999 - Body Care</v>
      </c>
      <c r="G601" s="212" t="str">
        <f>IFERROR(__xludf.DUMMYFUNCTION("""COMPUTED_VALUE"""),"bbw_smsfb_9may_bcat999_lastreminder_disc_buyers_offline")</f>
        <v>bbw_smsfb_9may_bcat999_lastreminder_disc_buyers_offline</v>
      </c>
      <c r="H601" s="212" t="str">
        <f>IFERROR(__xludf.DUMMYFUNCTION("""COMPUTED_VALUE"""),"BC_Disc_Buyers_OFF")</f>
        <v>BC_Disc_Buyers_OFF</v>
      </c>
      <c r="I601" s="212" t="str">
        <f>IFERROR(__xludf.DUMMYFUNCTION("""COMPUTED_VALUE"""),"WA Undelivered")</f>
        <v>WA Undelivered</v>
      </c>
      <c r="J601" s="213">
        <f>IFERROR(__xludf.DUMMYFUNCTION("""COMPUTED_VALUE"""),27858.0)</f>
        <v>27858</v>
      </c>
      <c r="K601" s="213">
        <f>IFERROR(__xludf.DUMMYFUNCTION("""COMPUTED_VALUE"""),15462.0)</f>
        <v>15462</v>
      </c>
      <c r="L601" s="214">
        <f>IFERROR(__xludf.DUMMYFUNCTION("""COMPUTED_VALUE"""),0.5550290760284299)</f>
        <v>0.555029076</v>
      </c>
      <c r="M601" s="213">
        <f>IFERROR(__xludf.DUMMYFUNCTION("""COMPUTED_VALUE"""),0.0)</f>
        <v>0</v>
      </c>
      <c r="N601" s="214">
        <f>IFERROR(__xludf.DUMMYFUNCTION("""COMPUTED_VALUE"""),0.0)</f>
        <v>0</v>
      </c>
      <c r="O601" s="213">
        <f>IFERROR(__xludf.DUMMYFUNCTION("""COMPUTED_VALUE"""),26.0)</f>
        <v>26</v>
      </c>
      <c r="P601" s="213">
        <f>IFERROR(__xludf.DUMMYFUNCTION("""COMPUTED_VALUE"""),0.0)</f>
        <v>0</v>
      </c>
      <c r="Q601" s="214">
        <f>IFERROR(__xludf.DUMMYFUNCTION("""COMPUTED_VALUE"""),0.0017000000000000001)</f>
        <v>0.0017</v>
      </c>
      <c r="R601" s="214">
        <f>IFERROR(__xludf.DUMMYFUNCTION("""COMPUTED_VALUE"""),0.0)</f>
        <v>0</v>
      </c>
      <c r="S601" s="101">
        <f>IFERROR(__xludf.DUMMYFUNCTION("""COMPUTED_VALUE"""),0.0)</f>
        <v>0</v>
      </c>
      <c r="T601" s="101">
        <f>IFERROR(__xludf.DUMMYFUNCTION("""COMPUTED_VALUE"""),0.0)</f>
        <v>0</v>
      </c>
      <c r="U601" s="270">
        <f>IFERROR(__xludf.DUMMYFUNCTION("""COMPUTED_VALUE"""),0.0)</f>
        <v>0</v>
      </c>
      <c r="V601" s="271" t="str">
        <f>IFERROR(__xludf.DUMMYFUNCTION("""COMPUTED_VALUE"""),"offline")</f>
        <v>offline</v>
      </c>
      <c r="W601" s="272" t="str">
        <f>IFERROR(__xludf.DUMMYFUNCTION("""COMPUTED_VALUE"""),"sms")</f>
        <v>sms</v>
      </c>
      <c r="X601" s="272" t="str">
        <f>IFERROR(__xludf.DUMMYFUNCTION("""COMPUTED_VALUE"""),"No Brief")</f>
        <v>No Brief</v>
      </c>
      <c r="Y601" s="272" t="str">
        <f>IFERROR(__xludf.DUMMYFUNCTION("""COMPUTED_VALUE"""),"09 May")</f>
        <v>09 May</v>
      </c>
      <c r="Z601" s="272" t="str">
        <f>IFERROR(__xludf.DUMMYFUNCTION("""COMPUTED_VALUE"""),"69fc6542e47134b85c0aae01")</f>
        <v>69fc6542e47134b85c0aae01</v>
      </c>
      <c r="AA601" s="272">
        <f>IFERROR(__xludf.DUMMYFUNCTION("""COMPUTED_VALUE"""),27.0)</f>
        <v>27</v>
      </c>
      <c r="AB601" s="272"/>
      <c r="AC601" s="272">
        <f>IFERROR(__xludf.DUMMYFUNCTION("""COMPUTED_VALUE"""),27.0)</f>
        <v>27</v>
      </c>
      <c r="AD601" s="272">
        <f>IFERROR(__xludf.DUMMYFUNCTION("""COMPUTED_VALUE"""),94844.0)</f>
        <v>94844</v>
      </c>
      <c r="AE601" s="272"/>
      <c r="AF601" s="272">
        <f>IFERROR(__xludf.DUMMYFUNCTION("""COMPUTED_VALUE"""),94844.0)</f>
        <v>94844</v>
      </c>
      <c r="AG601" s="208"/>
      <c r="AH601" s="208"/>
      <c r="AI601" s="208"/>
      <c r="AJ601" s="208"/>
      <c r="AK601" s="208"/>
    </row>
    <row r="602" hidden="1">
      <c r="A602" s="209">
        <f>IFERROR(__xludf.DUMMYFUNCTION("""COMPUTED_VALUE"""),46152.0)</f>
        <v>46152</v>
      </c>
      <c r="B602" s="210">
        <f>IFERROR(__xludf.DUMMYFUNCTION("""COMPUTED_VALUE"""),46152.75)</f>
        <v>46152.75</v>
      </c>
      <c r="C602" s="211" t="str">
        <f>IFERROR(__xludf.DUMMYFUNCTION("""COMPUTED_VALUE"""),"Whatsapp")</f>
        <v>Whatsapp</v>
      </c>
      <c r="D602" s="211" t="str">
        <f>IFERROR(__xludf.DUMMYFUNCTION("""COMPUTED_VALUE"""),"Promtional")</f>
        <v>Promtional</v>
      </c>
      <c r="E602" s="211" t="str">
        <f>IFERROR(__xludf.DUMMYFUNCTION("""COMPUTED_VALUE"""),"BBW")</f>
        <v>BBW</v>
      </c>
      <c r="F602" s="211" t="str">
        <f>IFERROR(__xludf.DUMMYFUNCTION("""COMPUTED_VALUE"""),"BC @ 999 - Body Care")</f>
        <v>BC @ 999 - Body Care</v>
      </c>
      <c r="G602" s="212" t="str">
        <f>IFERROR(__xludf.DUMMYFUNCTION("""COMPUTED_VALUE"""),"bbw_wa_10may_bcat999_lastreminder_repeat_online")</f>
        <v>bbw_wa_10may_bcat999_lastreminder_repeat_online</v>
      </c>
      <c r="H602" s="212" t="str">
        <f>IFERROR(__xludf.DUMMYFUNCTION("""COMPUTED_VALUE"""),"BodyCare_Repeat_180D_ON")</f>
        <v>BodyCare_Repeat_180D_ON</v>
      </c>
      <c r="I602" s="212" t="str">
        <f>IFERROR(__xludf.DUMMYFUNCTION("""COMPUTED_VALUE"""),"Online Customers who have purchased from BodyCare at least 2 times in the last 180 days")</f>
        <v>Online Customers who have purchased from BodyCare at least 2 times in the last 180 days</v>
      </c>
      <c r="J602" s="213">
        <f>IFERROR(__xludf.DUMMYFUNCTION("""COMPUTED_VALUE"""),36842.0)</f>
        <v>36842</v>
      </c>
      <c r="K602" s="213">
        <f>IFERROR(__xludf.DUMMYFUNCTION("""COMPUTED_VALUE"""),12507.0)</f>
        <v>12507</v>
      </c>
      <c r="L602" s="214">
        <f>IFERROR(__xludf.DUMMYFUNCTION("""COMPUTED_VALUE"""),0.3394)</f>
        <v>0.3394</v>
      </c>
      <c r="M602" s="213">
        <f>IFERROR(__xludf.DUMMYFUNCTION("""COMPUTED_VALUE"""),4194.0)</f>
        <v>4194</v>
      </c>
      <c r="N602" s="214">
        <f>IFERROR(__xludf.DUMMYFUNCTION("""COMPUTED_VALUE"""),0.3354)</f>
        <v>0.3354</v>
      </c>
      <c r="O602" s="213">
        <f>IFERROR(__xludf.DUMMYFUNCTION("""COMPUTED_VALUE"""),284.0)</f>
        <v>284</v>
      </c>
      <c r="P602" s="213">
        <f>IFERROR(__xludf.DUMMYFUNCTION("""COMPUTED_VALUE"""),265.0)</f>
        <v>265</v>
      </c>
      <c r="Q602" s="214">
        <f>IFERROR(__xludf.DUMMYFUNCTION("""COMPUTED_VALUE"""),0.0212)</f>
        <v>0.0212</v>
      </c>
      <c r="R602" s="214">
        <f>IFERROR(__xludf.DUMMYFUNCTION("""COMPUTED_VALUE"""),0.0632)</f>
        <v>0.0632</v>
      </c>
      <c r="S602" s="101">
        <f>IFERROR(__xludf.DUMMYFUNCTION("""COMPUTED_VALUE"""),2.0)</f>
        <v>2</v>
      </c>
      <c r="T602" s="101">
        <f>IFERROR(__xludf.DUMMYFUNCTION("""COMPUTED_VALUE"""),9.0)</f>
        <v>9</v>
      </c>
      <c r="U602" s="270">
        <f>IFERROR(__xludf.DUMMYFUNCTION("""COMPUTED_VALUE"""),3798.0)</f>
        <v>3798</v>
      </c>
      <c r="V602" s="271" t="str">
        <f>IFERROR(__xludf.DUMMYFUNCTION("""COMPUTED_VALUE"""),"online")</f>
        <v>online</v>
      </c>
      <c r="W602" s="272" t="str">
        <f>IFERROR(__xludf.DUMMYFUNCTION("""COMPUTED_VALUE"""),"simple")</f>
        <v>simple</v>
      </c>
      <c r="X602" s="272" t="str">
        <f>IFERROR(__xludf.DUMMYFUNCTION("""COMPUTED_VALUE"""),"Cat Repeat")</f>
        <v>Cat Repeat</v>
      </c>
      <c r="Y602" s="272" t="str">
        <f>IFERROR(__xludf.DUMMYFUNCTION("""COMPUTED_VALUE"""),"10 - 12 May")</f>
        <v>10 - 12 May</v>
      </c>
      <c r="Z602" s="272" t="str">
        <f>IFERROR(__xludf.DUMMYFUNCTION("""COMPUTED_VALUE"""),"69fc57b172eae695a29c7de9")</f>
        <v>69fc57b172eae695a29c7de9</v>
      </c>
      <c r="AA602" s="272">
        <f>IFERROR(__xludf.DUMMYFUNCTION("""COMPUTED_VALUE"""),75.0)</f>
        <v>75</v>
      </c>
      <c r="AB602" s="272">
        <f>IFERROR(__xludf.DUMMYFUNCTION("""COMPUTED_VALUE"""),75.0)</f>
        <v>75</v>
      </c>
      <c r="AC602" s="272"/>
      <c r="AD602" s="272">
        <f>IFERROR(__xludf.DUMMYFUNCTION("""COMPUTED_VALUE"""),195704.0)</f>
        <v>195704</v>
      </c>
      <c r="AE602" s="272">
        <f>IFERROR(__xludf.DUMMYFUNCTION("""COMPUTED_VALUE"""),195704.0)</f>
        <v>195704</v>
      </c>
      <c r="AF602" s="272"/>
      <c r="AG602" s="208"/>
      <c r="AH602" s="208"/>
      <c r="AI602" s="208"/>
      <c r="AJ602" s="208"/>
      <c r="AK602" s="208"/>
    </row>
    <row r="603" hidden="1">
      <c r="A603" s="209">
        <f>IFERROR(__xludf.DUMMYFUNCTION("""COMPUTED_VALUE"""),46152.0)</f>
        <v>46152</v>
      </c>
      <c r="B603" s="210">
        <f>IFERROR(__xludf.DUMMYFUNCTION("""COMPUTED_VALUE"""),46152.75)</f>
        <v>46152.75</v>
      </c>
      <c r="C603" s="211" t="str">
        <f>IFERROR(__xludf.DUMMYFUNCTION("""COMPUTED_VALUE"""),"Whatsapp")</f>
        <v>Whatsapp</v>
      </c>
      <c r="D603" s="211" t="str">
        <f>IFERROR(__xludf.DUMMYFUNCTION("""COMPUTED_VALUE"""),"Promtional")</f>
        <v>Promtional</v>
      </c>
      <c r="E603" s="211" t="str">
        <f>IFERROR(__xludf.DUMMYFUNCTION("""COMPUTED_VALUE"""),"BBW")</f>
        <v>BBW</v>
      </c>
      <c r="F603" s="211" t="str">
        <f>IFERROR(__xludf.DUMMYFUNCTION("""COMPUTED_VALUE"""),"BC @ 999 - Body Care")</f>
        <v>BC @ 999 - Body Care</v>
      </c>
      <c r="G603" s="212" t="str">
        <f>IFERROR(__xludf.DUMMYFUNCTION("""COMPUTED_VALUE"""),"bbw_wa_10may_bcat999_lastreminder_atc_online")</f>
        <v>bbw_wa_10may_bcat999_lastreminder_atc_online</v>
      </c>
      <c r="H603" s="212" t="str">
        <f>IFERROR(__xludf.DUMMYFUNCTION("""COMPUTED_VALUE"""),"ATC_View_NoPr_BodyCare_On")</f>
        <v>ATC_View_NoPr_BodyCare_On</v>
      </c>
      <c r="I603" s="212" t="str">
        <f>IFERROR(__xludf.DUMMYFUNCTION("""COMPUTED_VALUE"""),"Customers who have added to cart but not purchased from L2: BodyCare at least 1 time in the last 60 days OR Customers who have viewed item but not purchased from L2: BodyCare at least 1 time in the last 30 days")</f>
        <v>Customers who have added to cart but not purchased from L2: BodyCare at least 1 time in the last 60 days OR Customers who have viewed item but not purchased from L2: BodyCare at least 1 time in the last 30 days</v>
      </c>
      <c r="J603" s="213">
        <f>IFERROR(__xludf.DUMMYFUNCTION("""COMPUTED_VALUE"""),6409.0)</f>
        <v>6409</v>
      </c>
      <c r="K603" s="213">
        <f>IFERROR(__xludf.DUMMYFUNCTION("""COMPUTED_VALUE"""),2186.0)</f>
        <v>2186</v>
      </c>
      <c r="L603" s="214">
        <f>IFERROR(__xludf.DUMMYFUNCTION("""COMPUTED_VALUE"""),0.3411)</f>
        <v>0.3411</v>
      </c>
      <c r="M603" s="213">
        <f>IFERROR(__xludf.DUMMYFUNCTION("""COMPUTED_VALUE"""),882.0)</f>
        <v>882</v>
      </c>
      <c r="N603" s="214">
        <f>IFERROR(__xludf.DUMMYFUNCTION("""COMPUTED_VALUE"""),0.4035)</f>
        <v>0.4035</v>
      </c>
      <c r="O603" s="213">
        <f>IFERROR(__xludf.DUMMYFUNCTION("""COMPUTED_VALUE"""),68.0)</f>
        <v>68</v>
      </c>
      <c r="P603" s="213">
        <f>IFERROR(__xludf.DUMMYFUNCTION("""COMPUTED_VALUE"""),65.0)</f>
        <v>65</v>
      </c>
      <c r="Q603" s="214">
        <f>IFERROR(__xludf.DUMMYFUNCTION("""COMPUTED_VALUE"""),0.0297)</f>
        <v>0.0297</v>
      </c>
      <c r="R603" s="214">
        <f>IFERROR(__xludf.DUMMYFUNCTION("""COMPUTED_VALUE"""),0.0737)</f>
        <v>0.0737</v>
      </c>
      <c r="S603" s="101">
        <f>IFERROR(__xludf.DUMMYFUNCTION("""COMPUTED_VALUE"""),4.0)</f>
        <v>4</v>
      </c>
      <c r="T603" s="101">
        <f>IFERROR(__xludf.DUMMYFUNCTION("""COMPUTED_VALUE"""),15.0)</f>
        <v>15</v>
      </c>
      <c r="U603" s="270">
        <f>IFERROR(__xludf.DUMMYFUNCTION("""COMPUTED_VALUE"""),15829.0)</f>
        <v>15829</v>
      </c>
      <c r="V603" s="271" t="str">
        <f>IFERROR(__xludf.DUMMYFUNCTION("""COMPUTED_VALUE"""),"online")</f>
        <v>online</v>
      </c>
      <c r="W603" s="272" t="str">
        <f>IFERROR(__xludf.DUMMYFUNCTION("""COMPUTED_VALUE"""),"simple")</f>
        <v>simple</v>
      </c>
      <c r="X603" s="272" t="str">
        <f>IFERROR(__xludf.DUMMYFUNCTION("""COMPUTED_VALUE"""),"Add to Cart/View Item")</f>
        <v>Add to Cart/View Item</v>
      </c>
      <c r="Y603" s="272" t="str">
        <f>IFERROR(__xludf.DUMMYFUNCTION("""COMPUTED_VALUE"""),"10 - 12 May")</f>
        <v>10 - 12 May</v>
      </c>
      <c r="Z603" s="272" t="str">
        <f>IFERROR(__xludf.DUMMYFUNCTION("""COMPUTED_VALUE"""),"69fc57f90c0da74378376e74")</f>
        <v>69fc57f90c0da74378376e74</v>
      </c>
      <c r="AA603" s="272">
        <f>IFERROR(__xludf.DUMMYFUNCTION("""COMPUTED_VALUE"""),33.0)</f>
        <v>33</v>
      </c>
      <c r="AB603" s="272">
        <f>IFERROR(__xludf.DUMMYFUNCTION("""COMPUTED_VALUE"""),33.0)</f>
        <v>33</v>
      </c>
      <c r="AC603" s="272"/>
      <c r="AD603" s="272">
        <f>IFERROR(__xludf.DUMMYFUNCTION("""COMPUTED_VALUE"""),76501.0)</f>
        <v>76501</v>
      </c>
      <c r="AE603" s="272">
        <f>IFERROR(__xludf.DUMMYFUNCTION("""COMPUTED_VALUE"""),76501.0)</f>
        <v>76501</v>
      </c>
      <c r="AF603" s="272"/>
      <c r="AG603" s="208"/>
      <c r="AH603" s="208"/>
      <c r="AI603" s="208"/>
      <c r="AJ603" s="208"/>
      <c r="AK603" s="208"/>
    </row>
    <row r="604" hidden="1">
      <c r="A604" s="209">
        <f>IFERROR(__xludf.DUMMYFUNCTION("""COMPUTED_VALUE"""),46152.0)</f>
        <v>46152</v>
      </c>
      <c r="B604" s="210">
        <f>IFERROR(__xludf.DUMMYFUNCTION("""COMPUTED_VALUE"""),46152.75)</f>
        <v>46152.75</v>
      </c>
      <c r="C604" s="211" t="str">
        <f>IFERROR(__xludf.DUMMYFUNCTION("""COMPUTED_VALUE"""),"Whatsapp")</f>
        <v>Whatsapp</v>
      </c>
      <c r="D604" s="211" t="str">
        <f>IFERROR(__xludf.DUMMYFUNCTION("""COMPUTED_VALUE"""),"Promtional")</f>
        <v>Promtional</v>
      </c>
      <c r="E604" s="211" t="str">
        <f>IFERROR(__xludf.DUMMYFUNCTION("""COMPUTED_VALUE"""),"BBW")</f>
        <v>BBW</v>
      </c>
      <c r="F604" s="211" t="str">
        <f>IFERROR(__xludf.DUMMYFUNCTION("""COMPUTED_VALUE"""),"BC @ 999 - Body Care")</f>
        <v>BC @ 999 - Body Care</v>
      </c>
      <c r="G604" s="212" t="str">
        <f>IFERROR(__xludf.DUMMYFUNCTION("""COMPUTED_VALUE"""),"bbw_wa_10may_bcat999_lastreminder_dormant+event_online")</f>
        <v>bbw_wa_10may_bcat999_lastreminder_dormant+event_online</v>
      </c>
      <c r="H604" s="212" t="str">
        <f>IFERROR(__xludf.DUMMYFUNCTION("""COMPUTED_VALUE"""),"BC_EventBuyers+Dormant_ON")</f>
        <v>BC_EventBuyers+Dormant_ON</v>
      </c>
      <c r="I604" s="212" t="str">
        <f>IFERROR(__xludf.DUMMYFUNCTION("""COMPUTED_VALUE"""),"Online customers who have purchased at least 1 time from L2: BodyCare in between Oct 2 - Oct 5, 2025; Oct 16 - Oct 27, 2025; Jan 09- Jan 18, 2026; Feb 26 - Mar 3, 2026; Mar 27 - Mar 29, 2026 OR Online customers who have purchased atleast 1 time from L2: B"&amp;"odyCare in between the last 90-365 Days")</f>
        <v>Online customers who have purchased at least 1 time from L2: BodyCare in between Oct 2 - Oct 5, 2025; Oct 16 - Oct 27, 2025; Jan 09- Jan 18, 2026; Feb 26 - Mar 3, 2026; Mar 27 - Mar 29, 2026 OR Online customers who have purchased atleast 1 time from L2: BodyCare in between the last 90-365 Days</v>
      </c>
      <c r="J604" s="213">
        <f>IFERROR(__xludf.DUMMYFUNCTION("""COMPUTED_VALUE"""),24554.0)</f>
        <v>24554</v>
      </c>
      <c r="K604" s="213">
        <f>IFERROR(__xludf.DUMMYFUNCTION("""COMPUTED_VALUE"""),6910.0)</f>
        <v>6910</v>
      </c>
      <c r="L604" s="214">
        <f>IFERROR(__xludf.DUMMYFUNCTION("""COMPUTED_VALUE"""),0.2813)</f>
        <v>0.2813</v>
      </c>
      <c r="M604" s="213">
        <f>IFERROR(__xludf.DUMMYFUNCTION("""COMPUTED_VALUE"""),2277.0)</f>
        <v>2277</v>
      </c>
      <c r="N604" s="214">
        <f>IFERROR(__xludf.DUMMYFUNCTION("""COMPUTED_VALUE"""),0.3296)</f>
        <v>0.3296</v>
      </c>
      <c r="O604" s="213">
        <f>IFERROR(__xludf.DUMMYFUNCTION("""COMPUTED_VALUE"""),112.0)</f>
        <v>112</v>
      </c>
      <c r="P604" s="213">
        <f>IFERROR(__xludf.DUMMYFUNCTION("""COMPUTED_VALUE"""),109.0)</f>
        <v>109</v>
      </c>
      <c r="Q604" s="214">
        <f>IFERROR(__xludf.DUMMYFUNCTION("""COMPUTED_VALUE"""),0.0158)</f>
        <v>0.0158</v>
      </c>
      <c r="R604" s="214">
        <f>IFERROR(__xludf.DUMMYFUNCTION("""COMPUTED_VALUE"""),0.0479)</f>
        <v>0.0479</v>
      </c>
      <c r="S604" s="101">
        <f>IFERROR(__xludf.DUMMYFUNCTION("""COMPUTED_VALUE"""),3.0)</f>
        <v>3</v>
      </c>
      <c r="T604" s="101">
        <f>IFERROR(__xludf.DUMMYFUNCTION("""COMPUTED_VALUE"""),2.0)</f>
        <v>2</v>
      </c>
      <c r="U604" s="270">
        <f>IFERROR(__xludf.DUMMYFUNCTION("""COMPUTED_VALUE"""),8315.0)</f>
        <v>8315</v>
      </c>
      <c r="V604" s="271" t="str">
        <f>IFERROR(__xludf.DUMMYFUNCTION("""COMPUTED_VALUE"""),"online")</f>
        <v>online</v>
      </c>
      <c r="W604" s="272" t="str">
        <f>IFERROR(__xludf.DUMMYFUNCTION("""COMPUTED_VALUE"""),"simple")</f>
        <v>simple</v>
      </c>
      <c r="X604" s="272" t="str">
        <f>IFERROR(__xludf.DUMMYFUNCTION("""COMPUTED_VALUE"""),"Event Buyers")</f>
        <v>Event Buyers</v>
      </c>
      <c r="Y604" s="272" t="str">
        <f>IFERROR(__xludf.DUMMYFUNCTION("""COMPUTED_VALUE"""),"10 - 12 May")</f>
        <v>10 - 12 May</v>
      </c>
      <c r="Z604" s="272" t="str">
        <f>IFERROR(__xludf.DUMMYFUNCTION("""COMPUTED_VALUE"""),"69fc583078477c4eb87d14f3")</f>
        <v>69fc583078477c4eb87d14f3</v>
      </c>
      <c r="AA604" s="272">
        <f>IFERROR(__xludf.DUMMYFUNCTION("""COMPUTED_VALUE"""),25.0)</f>
        <v>25</v>
      </c>
      <c r="AB604" s="272">
        <f>IFERROR(__xludf.DUMMYFUNCTION("""COMPUTED_VALUE"""),25.0)</f>
        <v>25</v>
      </c>
      <c r="AC604" s="272"/>
      <c r="AD604" s="272">
        <f>IFERROR(__xludf.DUMMYFUNCTION("""COMPUTED_VALUE"""),80388.0)</f>
        <v>80388</v>
      </c>
      <c r="AE604" s="272">
        <f>IFERROR(__xludf.DUMMYFUNCTION("""COMPUTED_VALUE"""),80388.0)</f>
        <v>80388</v>
      </c>
      <c r="AF604" s="272"/>
      <c r="AG604" s="208"/>
      <c r="AH604" s="208"/>
      <c r="AI604" s="208"/>
      <c r="AJ604" s="208"/>
      <c r="AK604" s="208"/>
    </row>
    <row r="605" hidden="1">
      <c r="A605" s="209">
        <f>IFERROR(__xludf.DUMMYFUNCTION("""COMPUTED_VALUE"""),46152.0)</f>
        <v>46152</v>
      </c>
      <c r="B605" s="210">
        <f>IFERROR(__xludf.DUMMYFUNCTION("""COMPUTED_VALUE"""),46152.79166666667)</f>
        <v>46152.79167</v>
      </c>
      <c r="C605" s="211" t="str">
        <f>IFERROR(__xludf.DUMMYFUNCTION("""COMPUTED_VALUE"""),"Sms")</f>
        <v>Sms</v>
      </c>
      <c r="D605" s="211" t="str">
        <f>IFERROR(__xludf.DUMMYFUNCTION("""COMPUTED_VALUE"""),"Fallback campaign")</f>
        <v>Fallback campaign</v>
      </c>
      <c r="E605" s="211" t="str">
        <f>IFERROR(__xludf.DUMMYFUNCTION("""COMPUTED_VALUE"""),"BBW")</f>
        <v>BBW</v>
      </c>
      <c r="F605" s="211" t="str">
        <f>IFERROR(__xludf.DUMMYFUNCTION("""COMPUTED_VALUE"""),"BC at 999 - Body Care")</f>
        <v>BC at 999 - Body Care</v>
      </c>
      <c r="G605" s="212" t="str">
        <f>IFERROR(__xludf.DUMMYFUNCTION("""COMPUTED_VALUE"""),"bbw_smsfb_10may_bcat999_lastreminder_repeat_online")</f>
        <v>bbw_smsfb_10may_bcat999_lastreminder_repeat_online</v>
      </c>
      <c r="H605" s="212" t="str">
        <f>IFERROR(__xludf.DUMMYFUNCTION("""COMPUTED_VALUE"""),"BodyCare_Repeat_180D_ON")</f>
        <v>BodyCare_Repeat_180D_ON</v>
      </c>
      <c r="I605" s="212" t="str">
        <f>IFERROR(__xludf.DUMMYFUNCTION("""COMPUTED_VALUE"""),"WA Undelivered")</f>
        <v>WA Undelivered</v>
      </c>
      <c r="J605" s="213">
        <f>IFERROR(__xludf.DUMMYFUNCTION("""COMPUTED_VALUE"""),23925.0)</f>
        <v>23925</v>
      </c>
      <c r="K605" s="213">
        <f>IFERROR(__xludf.DUMMYFUNCTION("""COMPUTED_VALUE"""),12791.0)</f>
        <v>12791</v>
      </c>
      <c r="L605" s="214">
        <f>IFERROR(__xludf.DUMMYFUNCTION("""COMPUTED_VALUE"""),0.5346290491118078)</f>
        <v>0.5346290491</v>
      </c>
      <c r="M605" s="213">
        <f>IFERROR(__xludf.DUMMYFUNCTION("""COMPUTED_VALUE"""),0.0)</f>
        <v>0</v>
      </c>
      <c r="N605" s="214">
        <f>IFERROR(__xludf.DUMMYFUNCTION("""COMPUTED_VALUE"""),0.0)</f>
        <v>0</v>
      </c>
      <c r="O605" s="213">
        <f>IFERROR(__xludf.DUMMYFUNCTION("""COMPUTED_VALUE"""),24.0)</f>
        <v>24</v>
      </c>
      <c r="P605" s="213">
        <f>IFERROR(__xludf.DUMMYFUNCTION("""COMPUTED_VALUE"""),0.0)</f>
        <v>0</v>
      </c>
      <c r="Q605" s="214">
        <f>IFERROR(__xludf.DUMMYFUNCTION("""COMPUTED_VALUE"""),0.0019)</f>
        <v>0.0019</v>
      </c>
      <c r="R605" s="214">
        <f>IFERROR(__xludf.DUMMYFUNCTION("""COMPUTED_VALUE"""),0.0)</f>
        <v>0</v>
      </c>
      <c r="S605" s="101">
        <f>IFERROR(__xludf.DUMMYFUNCTION("""COMPUTED_VALUE"""),2.0)</f>
        <v>2</v>
      </c>
      <c r="T605" s="101">
        <f>IFERROR(__xludf.DUMMYFUNCTION("""COMPUTED_VALUE"""),3.0)</f>
        <v>3</v>
      </c>
      <c r="U605" s="270">
        <f>IFERROR(__xludf.DUMMYFUNCTION("""COMPUTED_VALUE"""),1998.0)</f>
        <v>1998</v>
      </c>
      <c r="V605" s="271" t="str">
        <f>IFERROR(__xludf.DUMMYFUNCTION("""COMPUTED_VALUE"""),"online")</f>
        <v>online</v>
      </c>
      <c r="W605" s="272" t="str">
        <f>IFERROR(__xludf.DUMMYFUNCTION("""COMPUTED_VALUE"""),"sms")</f>
        <v>sms</v>
      </c>
      <c r="X605" s="272" t="str">
        <f>IFERROR(__xludf.DUMMYFUNCTION("""COMPUTED_VALUE"""),"Cat Repeat")</f>
        <v>Cat Repeat</v>
      </c>
      <c r="Y605" s="272" t="str">
        <f>IFERROR(__xludf.DUMMYFUNCTION("""COMPUTED_VALUE"""),"10 May")</f>
        <v>10 May</v>
      </c>
      <c r="Z605" s="272" t="str">
        <f>IFERROR(__xludf.DUMMYFUNCTION("""COMPUTED_VALUE"""),"69fc658417bc6df72d5eb0f5")</f>
        <v>69fc658417bc6df72d5eb0f5</v>
      </c>
      <c r="AA605" s="272">
        <f>IFERROR(__xludf.DUMMYFUNCTION("""COMPUTED_VALUE"""),23.0)</f>
        <v>23</v>
      </c>
      <c r="AB605" s="272">
        <f>IFERROR(__xludf.DUMMYFUNCTION("""COMPUTED_VALUE"""),23.0)</f>
        <v>23</v>
      </c>
      <c r="AC605" s="272"/>
      <c r="AD605" s="272">
        <f>IFERROR(__xludf.DUMMYFUNCTION("""COMPUTED_VALUE"""),62452.0)</f>
        <v>62452</v>
      </c>
      <c r="AE605" s="272">
        <f>IFERROR(__xludf.DUMMYFUNCTION("""COMPUTED_VALUE"""),62452.0)</f>
        <v>62452</v>
      </c>
      <c r="AF605" s="272"/>
      <c r="AG605" s="208"/>
      <c r="AH605" s="208"/>
      <c r="AI605" s="208"/>
      <c r="AJ605" s="208"/>
      <c r="AK605" s="208"/>
    </row>
    <row r="606" hidden="1">
      <c r="A606" s="209">
        <f>IFERROR(__xludf.DUMMYFUNCTION("""COMPUTED_VALUE"""),46152.0)</f>
        <v>46152</v>
      </c>
      <c r="B606" s="210">
        <f>IFERROR(__xludf.DUMMYFUNCTION("""COMPUTED_VALUE"""),46152.79166666667)</f>
        <v>46152.79167</v>
      </c>
      <c r="C606" s="211" t="str">
        <f>IFERROR(__xludf.DUMMYFUNCTION("""COMPUTED_VALUE"""),"Sms")</f>
        <v>Sms</v>
      </c>
      <c r="D606" s="211" t="str">
        <f>IFERROR(__xludf.DUMMYFUNCTION("""COMPUTED_VALUE"""),"Fallback campaign")</f>
        <v>Fallback campaign</v>
      </c>
      <c r="E606" s="211" t="str">
        <f>IFERROR(__xludf.DUMMYFUNCTION("""COMPUTED_VALUE"""),"BBW")</f>
        <v>BBW</v>
      </c>
      <c r="F606" s="211" t="str">
        <f>IFERROR(__xludf.DUMMYFUNCTION("""COMPUTED_VALUE"""),"BC at 999 - Body Care")</f>
        <v>BC at 999 - Body Care</v>
      </c>
      <c r="G606" s="212" t="str">
        <f>IFERROR(__xludf.DUMMYFUNCTION("""COMPUTED_VALUE"""),"bbw_smsfb_10may_bcat999_lastreminder_atc_online")</f>
        <v>bbw_smsfb_10may_bcat999_lastreminder_atc_online</v>
      </c>
      <c r="H606" s="212" t="str">
        <f>IFERROR(__xludf.DUMMYFUNCTION("""COMPUTED_VALUE"""),"ATC_View_NoPr_BodyCare_On")</f>
        <v>ATC_View_NoPr_BodyCare_On</v>
      </c>
      <c r="I606" s="212" t="str">
        <f>IFERROR(__xludf.DUMMYFUNCTION("""COMPUTED_VALUE"""),"WA Undelivered")</f>
        <v>WA Undelivered</v>
      </c>
      <c r="J606" s="213">
        <f>IFERROR(__xludf.DUMMYFUNCTION("""COMPUTED_VALUE"""),4125.0)</f>
        <v>4125</v>
      </c>
      <c r="K606" s="213">
        <f>IFERROR(__xludf.DUMMYFUNCTION("""COMPUTED_VALUE"""),2669.0)</f>
        <v>2669</v>
      </c>
      <c r="L606" s="214">
        <f>IFERROR(__xludf.DUMMYFUNCTION("""COMPUTED_VALUE"""),0.6470303030303031)</f>
        <v>0.647030303</v>
      </c>
      <c r="M606" s="213">
        <f>IFERROR(__xludf.DUMMYFUNCTION("""COMPUTED_VALUE"""),0.0)</f>
        <v>0</v>
      </c>
      <c r="N606" s="214">
        <f>IFERROR(__xludf.DUMMYFUNCTION("""COMPUTED_VALUE"""),0.0)</f>
        <v>0</v>
      </c>
      <c r="O606" s="213">
        <f>IFERROR(__xludf.DUMMYFUNCTION("""COMPUTED_VALUE"""),7.0)</f>
        <v>7</v>
      </c>
      <c r="P606" s="213">
        <f>IFERROR(__xludf.DUMMYFUNCTION("""COMPUTED_VALUE"""),0.0)</f>
        <v>0</v>
      </c>
      <c r="Q606" s="214">
        <f>IFERROR(__xludf.DUMMYFUNCTION("""COMPUTED_VALUE"""),0.0026)</f>
        <v>0.0026</v>
      </c>
      <c r="R606" s="214">
        <f>IFERROR(__xludf.DUMMYFUNCTION("""COMPUTED_VALUE"""),0.0)</f>
        <v>0</v>
      </c>
      <c r="S606" s="101">
        <f>IFERROR(__xludf.DUMMYFUNCTION("""COMPUTED_VALUE"""),6.0)</f>
        <v>6</v>
      </c>
      <c r="T606" s="101">
        <f>IFERROR(__xludf.DUMMYFUNCTION("""COMPUTED_VALUE"""),9.0)</f>
        <v>9</v>
      </c>
      <c r="U606" s="270">
        <f>IFERROR(__xludf.DUMMYFUNCTION("""COMPUTED_VALUE"""),9562.0)</f>
        <v>9562</v>
      </c>
      <c r="V606" s="271" t="str">
        <f>IFERROR(__xludf.DUMMYFUNCTION("""COMPUTED_VALUE"""),"online")</f>
        <v>online</v>
      </c>
      <c r="W606" s="272" t="str">
        <f>IFERROR(__xludf.DUMMYFUNCTION("""COMPUTED_VALUE"""),"sms")</f>
        <v>sms</v>
      </c>
      <c r="X606" s="272" t="str">
        <f>IFERROR(__xludf.DUMMYFUNCTION("""COMPUTED_VALUE"""),"No Brief")</f>
        <v>No Brief</v>
      </c>
      <c r="Y606" s="272" t="str">
        <f>IFERROR(__xludf.DUMMYFUNCTION("""COMPUTED_VALUE"""),"10 May")</f>
        <v>10 May</v>
      </c>
      <c r="Z606" s="272" t="str">
        <f>IFERROR(__xludf.DUMMYFUNCTION("""COMPUTED_VALUE"""),"69fc65a95be7a31411318751")</f>
        <v>69fc65a95be7a31411318751</v>
      </c>
      <c r="AA606" s="272">
        <f>IFERROR(__xludf.DUMMYFUNCTION("""COMPUTED_VALUE"""),19.0)</f>
        <v>19</v>
      </c>
      <c r="AB606" s="272">
        <f>IFERROR(__xludf.DUMMYFUNCTION("""COMPUTED_VALUE"""),19.0)</f>
        <v>19</v>
      </c>
      <c r="AC606" s="272"/>
      <c r="AD606" s="272">
        <f>IFERROR(__xludf.DUMMYFUNCTION("""COMPUTED_VALUE"""),39822.0)</f>
        <v>39822</v>
      </c>
      <c r="AE606" s="272">
        <f>IFERROR(__xludf.DUMMYFUNCTION("""COMPUTED_VALUE"""),39822.0)</f>
        <v>39822</v>
      </c>
      <c r="AF606" s="272"/>
      <c r="AG606" s="208"/>
      <c r="AH606" s="208"/>
      <c r="AI606" s="208"/>
      <c r="AJ606" s="208"/>
      <c r="AK606" s="208"/>
    </row>
    <row r="607" hidden="1">
      <c r="A607" s="209">
        <f>IFERROR(__xludf.DUMMYFUNCTION("""COMPUTED_VALUE"""),46152.0)</f>
        <v>46152</v>
      </c>
      <c r="B607" s="210">
        <f>IFERROR(__xludf.DUMMYFUNCTION("""COMPUTED_VALUE"""),46152.79166666667)</f>
        <v>46152.79167</v>
      </c>
      <c r="C607" s="211" t="str">
        <f>IFERROR(__xludf.DUMMYFUNCTION("""COMPUTED_VALUE"""),"Sms")</f>
        <v>Sms</v>
      </c>
      <c r="D607" s="211" t="str">
        <f>IFERROR(__xludf.DUMMYFUNCTION("""COMPUTED_VALUE"""),"Fallback campaign")</f>
        <v>Fallback campaign</v>
      </c>
      <c r="E607" s="211" t="str">
        <f>IFERROR(__xludf.DUMMYFUNCTION("""COMPUTED_VALUE"""),"BBW")</f>
        <v>BBW</v>
      </c>
      <c r="F607" s="211" t="str">
        <f>IFERROR(__xludf.DUMMYFUNCTION("""COMPUTED_VALUE"""),"BC at 999 - Body Care")</f>
        <v>BC at 999 - Body Care</v>
      </c>
      <c r="G607" s="212" t="str">
        <f>IFERROR(__xludf.DUMMYFUNCTION("""COMPUTED_VALUE"""),"bbw_smsfb_10may_bcat999_lastreminder_dormant+event_online")</f>
        <v>bbw_smsfb_10may_bcat999_lastreminder_dormant+event_online</v>
      </c>
      <c r="H607" s="212" t="str">
        <f>IFERROR(__xludf.DUMMYFUNCTION("""COMPUTED_VALUE"""),"BC_EventBuyers+Dormant_ON")</f>
        <v>BC_EventBuyers+Dormant_ON</v>
      </c>
      <c r="I607" s="212" t="str">
        <f>IFERROR(__xludf.DUMMYFUNCTION("""COMPUTED_VALUE"""),"WA Undelivered")</f>
        <v>WA Undelivered</v>
      </c>
      <c r="J607" s="213">
        <f>IFERROR(__xludf.DUMMYFUNCTION("""COMPUTED_VALUE"""),17267.0)</f>
        <v>17267</v>
      </c>
      <c r="K607" s="213">
        <f>IFERROR(__xludf.DUMMYFUNCTION("""COMPUTED_VALUE"""),9442.0)</f>
        <v>9442</v>
      </c>
      <c r="L607" s="214">
        <f>IFERROR(__xludf.DUMMYFUNCTION("""COMPUTED_VALUE"""),0.5468234203972896)</f>
        <v>0.5468234204</v>
      </c>
      <c r="M607" s="213">
        <f>IFERROR(__xludf.DUMMYFUNCTION("""COMPUTED_VALUE"""),0.0)</f>
        <v>0</v>
      </c>
      <c r="N607" s="214">
        <f>IFERROR(__xludf.DUMMYFUNCTION("""COMPUTED_VALUE"""),0.0)</f>
        <v>0</v>
      </c>
      <c r="O607" s="213">
        <f>IFERROR(__xludf.DUMMYFUNCTION("""COMPUTED_VALUE"""),10.0)</f>
        <v>10</v>
      </c>
      <c r="P607" s="213">
        <f>IFERROR(__xludf.DUMMYFUNCTION("""COMPUTED_VALUE"""),0.0)</f>
        <v>0</v>
      </c>
      <c r="Q607" s="214">
        <f>IFERROR(__xludf.DUMMYFUNCTION("""COMPUTED_VALUE"""),0.0011)</f>
        <v>0.0011</v>
      </c>
      <c r="R607" s="214">
        <f>IFERROR(__xludf.DUMMYFUNCTION("""COMPUTED_VALUE"""),0.0)</f>
        <v>0</v>
      </c>
      <c r="S607" s="101">
        <f>IFERROR(__xludf.DUMMYFUNCTION("""COMPUTED_VALUE"""),2.0)</f>
        <v>2</v>
      </c>
      <c r="T607" s="101">
        <f>IFERROR(__xludf.DUMMYFUNCTION("""COMPUTED_VALUE"""),1.0)</f>
        <v>1</v>
      </c>
      <c r="U607" s="270">
        <f>IFERROR(__xludf.DUMMYFUNCTION("""COMPUTED_VALUE"""),3398.0)</f>
        <v>3398</v>
      </c>
      <c r="V607" s="271" t="str">
        <f>IFERROR(__xludf.DUMMYFUNCTION("""COMPUTED_VALUE"""),"online")</f>
        <v>online</v>
      </c>
      <c r="W607" s="272" t="str">
        <f>IFERROR(__xludf.DUMMYFUNCTION("""COMPUTED_VALUE"""),"sms")</f>
        <v>sms</v>
      </c>
      <c r="X607" s="272" t="str">
        <f>IFERROR(__xludf.DUMMYFUNCTION("""COMPUTED_VALUE"""),"No Brief")</f>
        <v>No Brief</v>
      </c>
      <c r="Y607" s="272" t="str">
        <f>IFERROR(__xludf.DUMMYFUNCTION("""COMPUTED_VALUE"""),"10 May")</f>
        <v>10 May</v>
      </c>
      <c r="Z607" s="272" t="str">
        <f>IFERROR(__xludf.DUMMYFUNCTION("""COMPUTED_VALUE"""),"69fc669955a07ece14640d23")</f>
        <v>69fc669955a07ece14640d23</v>
      </c>
      <c r="AA607" s="272">
        <f>IFERROR(__xludf.DUMMYFUNCTION("""COMPUTED_VALUE"""),10.0)</f>
        <v>10</v>
      </c>
      <c r="AB607" s="272">
        <f>IFERROR(__xludf.DUMMYFUNCTION("""COMPUTED_VALUE"""),10.0)</f>
        <v>10</v>
      </c>
      <c r="AC607" s="272"/>
      <c r="AD607" s="272">
        <f>IFERROR(__xludf.DUMMYFUNCTION("""COMPUTED_VALUE"""),28006.0)</f>
        <v>28006</v>
      </c>
      <c r="AE607" s="272">
        <f>IFERROR(__xludf.DUMMYFUNCTION("""COMPUTED_VALUE"""),28006.0)</f>
        <v>28006</v>
      </c>
      <c r="AF607" s="272"/>
      <c r="AG607" s="208"/>
      <c r="AH607" s="208"/>
      <c r="AI607" s="208"/>
      <c r="AJ607" s="208"/>
      <c r="AK607" s="208"/>
    </row>
    <row r="608" hidden="1">
      <c r="A608" s="209">
        <f>IFERROR(__xludf.DUMMYFUNCTION("""COMPUTED_VALUE"""),46154.0)</f>
        <v>46154</v>
      </c>
      <c r="B608" s="210">
        <f>IFERROR(__xludf.DUMMYFUNCTION("""COMPUTED_VALUE"""),0.7916666666678793)</f>
        <v>0.7916666667</v>
      </c>
      <c r="C608" s="211" t="str">
        <f>IFERROR(__xludf.DUMMYFUNCTION("""COMPUTED_VALUE"""),"Whatsapp")</f>
        <v>Whatsapp</v>
      </c>
      <c r="D608" s="211" t="str">
        <f>IFERROR(__xludf.DUMMYFUNCTION("""COMPUTED_VALUE"""),"Promtional")</f>
        <v>Promtional</v>
      </c>
      <c r="E608" s="211" t="str">
        <f>IFERROR(__xludf.DUMMYFUNCTION("""COMPUTED_VALUE"""),"BBW")</f>
        <v>BBW</v>
      </c>
      <c r="F608" s="211" t="str">
        <f>IFERROR(__xludf.DUMMYFUNCTION("""COMPUTED_VALUE"""),"Store-Specific - Express Avenue")</f>
        <v>Store-Specific - Express Avenue</v>
      </c>
      <c r="G608" s="212" t="str">
        <f>IFERROR(__xludf.DUMMYFUNCTION("""COMPUTED_VALUE"""),"bbw_wa_12may_store_specific_b3g3_expr_aven_offline ")</f>
        <v>bbw_wa_12may_store_specific_b3g3_expr_aven_offline </v>
      </c>
      <c r="H608" s="212" t="str">
        <f>IFERROR(__xludf.DUMMYFUNCTION("""COMPUTED_VALUE"""),"BBW_Express_Ave_Base")</f>
        <v>BBW_Express_Ave_Base</v>
      </c>
      <c r="I608" s="212" t="str">
        <f>IFERROR(__xludf.DUMMYFUNCTION("""COMPUTED_VALUE"""),"Offline Customers who have purchased at least once from Txn_Store_Name: BBW EXPRESS AVENUE MALL")</f>
        <v>Offline Customers who have purchased at least once from Txn_Store_Name: BBW EXPRESS AVENUE MALL</v>
      </c>
      <c r="J608" s="213">
        <f>IFERROR(__xludf.DUMMYFUNCTION("""COMPUTED_VALUE"""),19097.0)</f>
        <v>19097</v>
      </c>
      <c r="K608" s="213">
        <f>IFERROR(__xludf.DUMMYFUNCTION("""COMPUTED_VALUE"""),6737.0)</f>
        <v>6737</v>
      </c>
      <c r="L608" s="214">
        <f>IFERROR(__xludf.DUMMYFUNCTION("""COMPUTED_VALUE"""),0.3527)</f>
        <v>0.3527</v>
      </c>
      <c r="M608" s="213">
        <f>IFERROR(__xludf.DUMMYFUNCTION("""COMPUTED_VALUE"""),2682.0)</f>
        <v>2682</v>
      </c>
      <c r="N608" s="214">
        <f>IFERROR(__xludf.DUMMYFUNCTION("""COMPUTED_VALUE"""),0.3982)</f>
        <v>0.3982</v>
      </c>
      <c r="O608" s="213">
        <f>IFERROR(__xludf.DUMMYFUNCTION("""COMPUTED_VALUE"""),200.0)</f>
        <v>200</v>
      </c>
      <c r="P608" s="213">
        <f>IFERROR(__xludf.DUMMYFUNCTION("""COMPUTED_VALUE"""),163.0)</f>
        <v>163</v>
      </c>
      <c r="Q608" s="214">
        <f>IFERROR(__xludf.DUMMYFUNCTION("""COMPUTED_VALUE"""),0.0242)</f>
        <v>0.0242</v>
      </c>
      <c r="R608" s="214">
        <f>IFERROR(__xludf.DUMMYFUNCTION("""COMPUTED_VALUE"""),0.0608)</f>
        <v>0.0608</v>
      </c>
      <c r="S608" s="101"/>
      <c r="T608" s="101"/>
      <c r="U608" s="270"/>
      <c r="V608" s="271" t="str">
        <f>IFERROR(__xludf.DUMMYFUNCTION("""COMPUTED_VALUE"""),"offline")</f>
        <v>offline</v>
      </c>
      <c r="W608" s="272" t="str">
        <f>IFERROR(__xludf.DUMMYFUNCTION("""COMPUTED_VALUE"""),"simple")</f>
        <v>simple</v>
      </c>
      <c r="X608" s="272" t="str">
        <f>IFERROR(__xludf.DUMMYFUNCTION("""COMPUTED_VALUE"""),"Store Specific")</f>
        <v>Store Specific</v>
      </c>
      <c r="Y608" s="272" t="str">
        <f>IFERROR(__xludf.DUMMYFUNCTION("""COMPUTED_VALUE"""),"12 - 14 May")</f>
        <v>12 - 14 May</v>
      </c>
      <c r="Z608" s="272" t="str">
        <f>IFERROR(__xludf.DUMMYFUNCTION("""COMPUTED_VALUE"""),"6a02c87b99f8d74179fbc2a4")</f>
        <v>6a02c87b99f8d74179fbc2a4</v>
      </c>
      <c r="AA608" s="272">
        <f>IFERROR(__xludf.DUMMYFUNCTION("""COMPUTED_VALUE"""),13.0)</f>
        <v>13</v>
      </c>
      <c r="AB608" s="272"/>
      <c r="AC608" s="272">
        <f>IFERROR(__xludf.DUMMYFUNCTION("""COMPUTED_VALUE"""),13.0)</f>
        <v>13</v>
      </c>
      <c r="AD608" s="272">
        <f>IFERROR(__xludf.DUMMYFUNCTION("""COMPUTED_VALUE"""),114034.0)</f>
        <v>114034</v>
      </c>
      <c r="AE608" s="272"/>
      <c r="AF608" s="272">
        <f>IFERROR(__xludf.DUMMYFUNCTION("""COMPUTED_VALUE"""),114034.0)</f>
        <v>114034</v>
      </c>
      <c r="AG608" s="208"/>
      <c r="AH608" s="208"/>
      <c r="AI608" s="208"/>
      <c r="AJ608" s="208"/>
      <c r="AK608" s="208"/>
    </row>
    <row r="609" hidden="1">
      <c r="A609" s="209">
        <f>IFERROR(__xludf.DUMMYFUNCTION("""COMPUTED_VALUE"""),46154.0)</f>
        <v>46154</v>
      </c>
      <c r="B609" s="210">
        <f>IFERROR(__xludf.DUMMYFUNCTION("""COMPUTED_VALUE"""),0.7083333333321207)</f>
        <v>0.7083333333</v>
      </c>
      <c r="C609" s="211" t="str">
        <f>IFERROR(__xludf.DUMMYFUNCTION("""COMPUTED_VALUE"""),"Sms")</f>
        <v>Sms</v>
      </c>
      <c r="D609" s="211" t="str">
        <f>IFERROR(__xludf.DUMMYFUNCTION("""COMPUTED_VALUE"""),"Promtional")</f>
        <v>Promtional</v>
      </c>
      <c r="E609" s="211" t="str">
        <f>IFERROR(__xludf.DUMMYFUNCTION("""COMPUTED_VALUE"""),"BBW")</f>
        <v>BBW</v>
      </c>
      <c r="F609" s="211" t="str">
        <f>IFERROR(__xludf.DUMMYFUNCTION("""COMPUTED_VALUE"""),"BC @ 1099 - Body Care")</f>
        <v>BC @ 1099 - Body Care</v>
      </c>
      <c r="G609" s="212" t="str">
        <f>IFERROR(__xludf.DUMMYFUNCTION("""COMPUTED_VALUE"""),"bbw_sms_12may_bcat1099_repeat_online")</f>
        <v>bbw_sms_12may_bcat1099_repeat_online</v>
      </c>
      <c r="H609" s="212" t="str">
        <f>IFERROR(__xludf.DUMMYFUNCTION("""COMPUTED_VALUE"""),"BodyCare_Repeat_180D_ON")</f>
        <v>BodyCare_Repeat_180D_ON</v>
      </c>
      <c r="I609" s="212" t="str">
        <f>IFERROR(__xludf.DUMMYFUNCTION("""COMPUTED_VALUE"""),"Online customers who have purchased L2: BodyCare at least 1 times in the last 180 days")</f>
        <v>Online customers who have purchased L2: BodyCare at least 1 times in the last 180 days</v>
      </c>
      <c r="J609" s="213">
        <f>IFERROR(__xludf.DUMMYFUNCTION("""COMPUTED_VALUE"""),36446.0)</f>
        <v>36446</v>
      </c>
      <c r="K609" s="213">
        <f>IFERROR(__xludf.DUMMYFUNCTION("""COMPUTED_VALUE"""),20598.0)</f>
        <v>20598</v>
      </c>
      <c r="L609" s="214">
        <f>IFERROR(__xludf.DUMMYFUNCTION("""COMPUTED_VALUE"""),0.5652)</f>
        <v>0.5652</v>
      </c>
      <c r="M609" s="213">
        <f>IFERROR(__xludf.DUMMYFUNCTION("""COMPUTED_VALUE"""),0.0)</f>
        <v>0</v>
      </c>
      <c r="N609" s="214">
        <f>IFERROR(__xludf.DUMMYFUNCTION("""COMPUTED_VALUE"""),0.0)</f>
        <v>0</v>
      </c>
      <c r="O609" s="213">
        <f>IFERROR(__xludf.DUMMYFUNCTION("""COMPUTED_VALUE"""),29.0)</f>
        <v>29</v>
      </c>
      <c r="P609" s="213">
        <f>IFERROR(__xludf.DUMMYFUNCTION("""COMPUTED_VALUE"""),0.0)</f>
        <v>0</v>
      </c>
      <c r="Q609" s="214">
        <f>IFERROR(__xludf.DUMMYFUNCTION("""COMPUTED_VALUE"""),0.0014)</f>
        <v>0.0014</v>
      </c>
      <c r="R609" s="214">
        <f>IFERROR(__xludf.DUMMYFUNCTION("""COMPUTED_VALUE"""),0.0)</f>
        <v>0</v>
      </c>
      <c r="S609" s="101"/>
      <c r="T609" s="101"/>
      <c r="U609" s="270">
        <f>IFERROR(__xludf.DUMMYFUNCTION("""COMPUTED_VALUE"""),19342.0)</f>
        <v>19342</v>
      </c>
      <c r="V609" s="271" t="str">
        <f>IFERROR(__xludf.DUMMYFUNCTION("""COMPUTED_VALUE"""),"online")</f>
        <v>online</v>
      </c>
      <c r="W609" s="272" t="str">
        <f>IFERROR(__xludf.DUMMYFUNCTION("""COMPUTED_VALUE"""),"Sms")</f>
        <v>Sms</v>
      </c>
      <c r="X609" s="272" t="str">
        <f>IFERROR(__xludf.DUMMYFUNCTION("""COMPUTED_VALUE"""),"Repeat - Body Care")</f>
        <v>Repeat - Body Care</v>
      </c>
      <c r="Y609" s="272" t="str">
        <f>IFERROR(__xludf.DUMMYFUNCTION("""COMPUTED_VALUE"""),"12 May")</f>
        <v>12 May</v>
      </c>
      <c r="Z609" s="272" t="str">
        <f>IFERROR(__xludf.DUMMYFUNCTION("""COMPUTED_VALUE"""),"6a02c122f3e9dc84457fd39e")</f>
        <v>6a02c122f3e9dc84457fd39e</v>
      </c>
      <c r="AA609" s="272">
        <f>IFERROR(__xludf.DUMMYFUNCTION("""COMPUTED_VALUE"""),16.0)</f>
        <v>16</v>
      </c>
      <c r="AB609" s="272">
        <f>IFERROR(__xludf.DUMMYFUNCTION("""COMPUTED_VALUE"""),16.0)</f>
        <v>16</v>
      </c>
      <c r="AC609" s="272"/>
      <c r="AD609" s="272">
        <f>IFERROR(__xludf.DUMMYFUNCTION("""COMPUTED_VALUE"""),57239.0)</f>
        <v>57239</v>
      </c>
      <c r="AE609" s="272">
        <f>IFERROR(__xludf.DUMMYFUNCTION("""COMPUTED_VALUE"""),57239.0)</f>
        <v>57239</v>
      </c>
      <c r="AF609" s="272"/>
      <c r="AG609" s="208"/>
      <c r="AH609" s="208"/>
      <c r="AI609" s="208"/>
      <c r="AJ609" s="208"/>
      <c r="AK609" s="208"/>
    </row>
    <row r="610" hidden="1">
      <c r="A610" s="209">
        <f>IFERROR(__xludf.DUMMYFUNCTION("""COMPUTED_VALUE"""),46154.0)</f>
        <v>46154</v>
      </c>
      <c r="B610" s="210">
        <f>IFERROR(__xludf.DUMMYFUNCTION("""COMPUTED_VALUE"""),0.8333333333321207)</f>
        <v>0.8333333333</v>
      </c>
      <c r="C610" s="211" t="str">
        <f>IFERROR(__xludf.DUMMYFUNCTION("""COMPUTED_VALUE"""),"Sms")</f>
        <v>Sms</v>
      </c>
      <c r="D610" s="211" t="str">
        <f>IFERROR(__xludf.DUMMYFUNCTION("""COMPUTED_VALUE"""),"Fallback campaign")</f>
        <v>Fallback campaign</v>
      </c>
      <c r="E610" s="211" t="str">
        <f>IFERROR(__xludf.DUMMYFUNCTION("""COMPUTED_VALUE"""),"BBW")</f>
        <v>BBW</v>
      </c>
      <c r="F610" s="211" t="str">
        <f>IFERROR(__xludf.DUMMYFUNCTION("""COMPUTED_VALUE"""),"Store-Specific - Express Avenue")</f>
        <v>Store-Specific - Express Avenue</v>
      </c>
      <c r="G610" s="212" t="str">
        <f>IFERROR(__xludf.DUMMYFUNCTION("""COMPUTED_VALUE"""),"bbw_smsfb_12may_store_specific_b3g3_expr_aven_offline ")</f>
        <v>bbw_smsfb_12may_store_specific_b3g3_expr_aven_offline </v>
      </c>
      <c r="H610" s="212" t="str">
        <f>IFERROR(__xludf.DUMMYFUNCTION("""COMPUTED_VALUE"""),"BBW_Express_Ave_Base")</f>
        <v>BBW_Express_Ave_Base</v>
      </c>
      <c r="I610" s="212" t="str">
        <f>IFERROR(__xludf.DUMMYFUNCTION("""COMPUTED_VALUE"""),"WA Undelivered")</f>
        <v>WA Undelivered</v>
      </c>
      <c r="J610" s="213">
        <f>IFERROR(__xludf.DUMMYFUNCTION("""COMPUTED_VALUE"""),11957.0)</f>
        <v>11957</v>
      </c>
      <c r="K610" s="213">
        <f>IFERROR(__xludf.DUMMYFUNCTION("""COMPUTED_VALUE"""),7163.0)</f>
        <v>7163</v>
      </c>
      <c r="L610" s="214">
        <f>IFERROR(__xludf.DUMMYFUNCTION("""COMPUTED_VALUE"""),0.5991)</f>
        <v>0.5991</v>
      </c>
      <c r="M610" s="213">
        <f>IFERROR(__xludf.DUMMYFUNCTION("""COMPUTED_VALUE"""),0.0)</f>
        <v>0</v>
      </c>
      <c r="N610" s="214">
        <f>IFERROR(__xludf.DUMMYFUNCTION("""COMPUTED_VALUE"""),0.0)</f>
        <v>0</v>
      </c>
      <c r="O610" s="213">
        <f>IFERROR(__xludf.DUMMYFUNCTION("""COMPUTED_VALUE"""),9.0)</f>
        <v>9</v>
      </c>
      <c r="P610" s="213">
        <f>IFERROR(__xludf.DUMMYFUNCTION("""COMPUTED_VALUE"""),0.0)</f>
        <v>0</v>
      </c>
      <c r="Q610" s="214">
        <f>IFERROR(__xludf.DUMMYFUNCTION("""COMPUTED_VALUE"""),0.0013)</f>
        <v>0.0013</v>
      </c>
      <c r="R610" s="214">
        <f>IFERROR(__xludf.DUMMYFUNCTION("""COMPUTED_VALUE"""),0.0)</f>
        <v>0</v>
      </c>
      <c r="S610" s="101"/>
      <c r="T610" s="101"/>
      <c r="U610" s="270"/>
      <c r="V610" s="271" t="str">
        <f>IFERROR(__xludf.DUMMYFUNCTION("""COMPUTED_VALUE"""),"offline")</f>
        <v>offline</v>
      </c>
      <c r="W610" s="272" t="str">
        <f>IFERROR(__xludf.DUMMYFUNCTION("""COMPUTED_VALUE"""),"Sms")</f>
        <v>Sms</v>
      </c>
      <c r="X610" s="272" t="str">
        <f>IFERROR(__xludf.DUMMYFUNCTION("""COMPUTED_VALUE"""),"Store Specific")</f>
        <v>Store Specific</v>
      </c>
      <c r="Y610" s="272" t="str">
        <f>IFERROR(__xludf.DUMMYFUNCTION("""COMPUTED_VALUE"""),"12 May")</f>
        <v>12 May</v>
      </c>
      <c r="Z610" s="272" t="str">
        <f>IFERROR(__xludf.DUMMYFUNCTION("""COMPUTED_VALUE"""),"6a02c99202ec4b4b256eeacd")</f>
        <v>6a02c99202ec4b4b256eeacd</v>
      </c>
      <c r="AA610" s="272">
        <f>IFERROR(__xludf.DUMMYFUNCTION("""COMPUTED_VALUE"""),9.0)</f>
        <v>9</v>
      </c>
      <c r="AB610" s="272"/>
      <c r="AC610" s="272">
        <f>IFERROR(__xludf.DUMMYFUNCTION("""COMPUTED_VALUE"""),9.0)</f>
        <v>9</v>
      </c>
      <c r="AD610" s="272">
        <f>IFERROR(__xludf.DUMMYFUNCTION("""COMPUTED_VALUE"""),53273.0)</f>
        <v>53273</v>
      </c>
      <c r="AE610" s="272"/>
      <c r="AF610" s="272">
        <f>IFERROR(__xludf.DUMMYFUNCTION("""COMPUTED_VALUE"""),53273.0)</f>
        <v>53273</v>
      </c>
      <c r="AG610" s="208"/>
      <c r="AH610" s="208"/>
      <c r="AI610" s="208"/>
      <c r="AJ610" s="208"/>
      <c r="AK610" s="208"/>
    </row>
    <row r="611" hidden="1">
      <c r="A611" s="209">
        <f>IFERROR(__xludf.DUMMYFUNCTION("""COMPUTED_VALUE"""),46155.0)</f>
        <v>46155</v>
      </c>
      <c r="B611" s="210">
        <f>IFERROR(__xludf.DUMMYFUNCTION("""COMPUTED_VALUE"""),0.9166666666678793)</f>
        <v>0.9166666667</v>
      </c>
      <c r="C611" s="211" t="str">
        <f>IFERROR(__xludf.DUMMYFUNCTION("""COMPUTED_VALUE"""),"Sms")</f>
        <v>Sms</v>
      </c>
      <c r="D611" s="211" t="str">
        <f>IFERROR(__xludf.DUMMYFUNCTION("""COMPUTED_VALUE"""),"Fallback campaign")</f>
        <v>Fallback campaign</v>
      </c>
      <c r="E611" s="211" t="str">
        <f>IFERROR(__xludf.DUMMYFUNCTION("""COMPUTED_VALUE"""),"BBW")</f>
        <v>BBW</v>
      </c>
      <c r="F611" s="211" t="str">
        <f>IFERROR(__xludf.DUMMYFUNCTION("""COMPUTED_VALUE"""),"BC at 999 - Body Care")</f>
        <v>BC at 999 - Body Care</v>
      </c>
      <c r="G611" s="212" t="str">
        <f>IFERROR(__xludf.DUMMYFUNCTION("""COMPUTED_VALUE"""),"bbw_smsfb_bcat999_online_ea_13may_frequent_buyers")</f>
        <v>bbw_smsfb_bcat999_online_ea_13may_frequent_buyers</v>
      </c>
      <c r="H611" s="212" t="str">
        <f>IFERROR(__xludf.DUMMYFUNCTION("""COMPUTED_VALUE"""),"BBW_ON_BC_3_Times")</f>
        <v>BBW_ON_BC_3_Times</v>
      </c>
      <c r="I611" s="212" t="str">
        <f>IFERROR(__xludf.DUMMYFUNCTION("""COMPUTED_VALUE"""),"WA Undelivered")</f>
        <v>WA Undelivered</v>
      </c>
      <c r="J611" s="213">
        <f>IFERROR(__xludf.DUMMYFUNCTION("""COMPUTED_VALUE"""),3987.0)</f>
        <v>3987</v>
      </c>
      <c r="K611" s="213">
        <f>IFERROR(__xludf.DUMMYFUNCTION("""COMPUTED_VALUE"""),1973.0)</f>
        <v>1973</v>
      </c>
      <c r="L611" s="214">
        <f>IFERROR(__xludf.DUMMYFUNCTION("""COMPUTED_VALUE"""),0.4949)</f>
        <v>0.4949</v>
      </c>
      <c r="M611" s="213">
        <f>IFERROR(__xludf.DUMMYFUNCTION("""COMPUTED_VALUE"""),0.0)</f>
        <v>0</v>
      </c>
      <c r="N611" s="214">
        <f>IFERROR(__xludf.DUMMYFUNCTION("""COMPUTED_VALUE"""),0.0)</f>
        <v>0</v>
      </c>
      <c r="O611" s="213">
        <f>IFERROR(__xludf.DUMMYFUNCTION("""COMPUTED_VALUE"""),6.0)</f>
        <v>6</v>
      </c>
      <c r="P611" s="213">
        <f>IFERROR(__xludf.DUMMYFUNCTION("""COMPUTED_VALUE"""),0.0)</f>
        <v>0</v>
      </c>
      <c r="Q611" s="214">
        <f>IFERROR(__xludf.DUMMYFUNCTION("""COMPUTED_VALUE"""),0.003)</f>
        <v>0.003</v>
      </c>
      <c r="R611" s="214">
        <f>IFERROR(__xludf.DUMMYFUNCTION("""COMPUTED_VALUE"""),0.0)</f>
        <v>0</v>
      </c>
      <c r="S611" s="101"/>
      <c r="T611" s="101"/>
      <c r="U611" s="270">
        <f>IFERROR(__xludf.DUMMYFUNCTION("""COMPUTED_VALUE"""),13705.0)</f>
        <v>13705</v>
      </c>
      <c r="V611" s="271" t="str">
        <f>IFERROR(__xludf.DUMMYFUNCTION("""COMPUTED_VALUE"""),"online")</f>
        <v>online</v>
      </c>
      <c r="W611" s="272" t="str">
        <f>IFERROR(__xludf.DUMMYFUNCTION("""COMPUTED_VALUE"""),"Sms")</f>
        <v>Sms</v>
      </c>
      <c r="X611" s="272" t="str">
        <f>IFERROR(__xludf.DUMMYFUNCTION("""COMPUTED_VALUE"""),"Category Specific")</f>
        <v>Category Specific</v>
      </c>
      <c r="Y611" s="272" t="str">
        <f>IFERROR(__xludf.DUMMYFUNCTION("""COMPUTED_VALUE"""),"13 May")</f>
        <v>13 May</v>
      </c>
      <c r="Z611" s="272" t="str">
        <f>IFERROR(__xludf.DUMMYFUNCTION("""COMPUTED_VALUE"""),"6a04688196a86489ab816cac")</f>
        <v>6a04688196a86489ab816cac</v>
      </c>
      <c r="AA611" s="272">
        <f>IFERROR(__xludf.DUMMYFUNCTION("""COMPUTED_VALUE"""),6.0)</f>
        <v>6</v>
      </c>
      <c r="AB611" s="272">
        <f>IFERROR(__xludf.DUMMYFUNCTION("""COMPUTED_VALUE"""),6.0)</f>
        <v>6</v>
      </c>
      <c r="AC611" s="272"/>
      <c r="AD611" s="272">
        <f>IFERROR(__xludf.DUMMYFUNCTION("""COMPUTED_VALUE"""),10290.0)</f>
        <v>10290</v>
      </c>
      <c r="AE611" s="272">
        <f>IFERROR(__xludf.DUMMYFUNCTION("""COMPUTED_VALUE"""),10290.0)</f>
        <v>10290</v>
      </c>
      <c r="AF611" s="272"/>
      <c r="AG611" s="208"/>
      <c r="AH611" s="208"/>
      <c r="AI611" s="208"/>
      <c r="AJ611" s="208"/>
      <c r="AK611" s="208"/>
    </row>
    <row r="612" hidden="1">
      <c r="A612" s="209">
        <f>IFERROR(__xludf.DUMMYFUNCTION("""COMPUTED_VALUE"""),46155.0)</f>
        <v>46155</v>
      </c>
      <c r="B612" s="210">
        <f>IFERROR(__xludf.DUMMYFUNCTION("""COMPUTED_VALUE"""),0.9166666666678793)</f>
        <v>0.9166666667</v>
      </c>
      <c r="C612" s="211" t="str">
        <f>IFERROR(__xludf.DUMMYFUNCTION("""COMPUTED_VALUE"""),"Sms")</f>
        <v>Sms</v>
      </c>
      <c r="D612" s="211" t="str">
        <f>IFERROR(__xludf.DUMMYFUNCTION("""COMPUTED_VALUE"""),"Fallback campaign")</f>
        <v>Fallback campaign</v>
      </c>
      <c r="E612" s="211" t="str">
        <f>IFERROR(__xludf.DUMMYFUNCTION("""COMPUTED_VALUE"""),"BBW")</f>
        <v>BBW</v>
      </c>
      <c r="F612" s="211" t="str">
        <f>IFERROR(__xludf.DUMMYFUNCTION("""COMPUTED_VALUE"""),"BC at 999 - Body Care")</f>
        <v>BC at 999 - Body Care</v>
      </c>
      <c r="G612" s="212" t="str">
        <f>IFERROR(__xludf.DUMMYFUNCTION("""COMPUTED_VALUE"""),"bbw_smsfb_bcat999_online_ea_13may_atc_viewed")</f>
        <v>bbw_smsfb_bcat999_online_ea_13may_atc_viewed</v>
      </c>
      <c r="H612" s="212" t="str">
        <f>IFERROR(__xludf.DUMMYFUNCTION("""COMPUTED_VALUE"""),"BBW_ATC_View_Wishlist_NoPr_90D_13_May_2026")</f>
        <v>BBW_ATC_View_Wishlist_NoPr_90D_13_May_2026</v>
      </c>
      <c r="I612" s="212" t="str">
        <f>IFERROR(__xludf.DUMMYFUNCTION("""COMPUTED_VALUE"""),"WA Undelivered")</f>
        <v>WA Undelivered</v>
      </c>
      <c r="J612" s="213">
        <f>IFERROR(__xludf.DUMMYFUNCTION("""COMPUTED_VALUE"""),4030.0)</f>
        <v>4030</v>
      </c>
      <c r="K612" s="213">
        <f>IFERROR(__xludf.DUMMYFUNCTION("""COMPUTED_VALUE"""),2746.0)</f>
        <v>2746</v>
      </c>
      <c r="L612" s="214">
        <f>IFERROR(__xludf.DUMMYFUNCTION("""COMPUTED_VALUE"""),0.6814)</f>
        <v>0.6814</v>
      </c>
      <c r="M612" s="213">
        <f>IFERROR(__xludf.DUMMYFUNCTION("""COMPUTED_VALUE"""),0.0)</f>
        <v>0</v>
      </c>
      <c r="N612" s="214">
        <f>IFERROR(__xludf.DUMMYFUNCTION("""COMPUTED_VALUE"""),0.0)</f>
        <v>0</v>
      </c>
      <c r="O612" s="213">
        <f>IFERROR(__xludf.DUMMYFUNCTION("""COMPUTED_VALUE"""),8.0)</f>
        <v>8</v>
      </c>
      <c r="P612" s="213">
        <f>IFERROR(__xludf.DUMMYFUNCTION("""COMPUTED_VALUE"""),0.0)</f>
        <v>0</v>
      </c>
      <c r="Q612" s="214">
        <f>IFERROR(__xludf.DUMMYFUNCTION("""COMPUTED_VALUE"""),0.0029)</f>
        <v>0.0029</v>
      </c>
      <c r="R612" s="214">
        <f>IFERROR(__xludf.DUMMYFUNCTION("""COMPUTED_VALUE"""),0.0)</f>
        <v>0</v>
      </c>
      <c r="S612" s="101"/>
      <c r="T612" s="101"/>
      <c r="U612" s="270">
        <f>IFERROR(__xludf.DUMMYFUNCTION("""COMPUTED_VALUE"""),19231.0)</f>
        <v>19231</v>
      </c>
      <c r="V612" s="271" t="str">
        <f>IFERROR(__xludf.DUMMYFUNCTION("""COMPUTED_VALUE"""),"online")</f>
        <v>online</v>
      </c>
      <c r="W612" s="272" t="str">
        <f>IFERROR(__xludf.DUMMYFUNCTION("""COMPUTED_VALUE"""),"Sms")</f>
        <v>Sms</v>
      </c>
      <c r="X612" s="272" t="str">
        <f>IFERROR(__xludf.DUMMYFUNCTION("""COMPUTED_VALUE"""),"Add To Cart/View Item")</f>
        <v>Add To Cart/View Item</v>
      </c>
      <c r="Y612" s="272" t="str">
        <f>IFERROR(__xludf.DUMMYFUNCTION("""COMPUTED_VALUE"""),"13 May")</f>
        <v>13 May</v>
      </c>
      <c r="Z612" s="272" t="str">
        <f>IFERROR(__xludf.DUMMYFUNCTION("""COMPUTED_VALUE"""),"6a0468b4dd22d354535dc10e")</f>
        <v>6a0468b4dd22d354535dc10e</v>
      </c>
      <c r="AA612" s="272">
        <f>IFERROR(__xludf.DUMMYFUNCTION("""COMPUTED_VALUE"""),13.0)</f>
        <v>13</v>
      </c>
      <c r="AB612" s="272">
        <f>IFERROR(__xludf.DUMMYFUNCTION("""COMPUTED_VALUE"""),13.0)</f>
        <v>13</v>
      </c>
      <c r="AC612" s="272"/>
      <c r="AD612" s="272">
        <f>IFERROR(__xludf.DUMMYFUNCTION("""COMPUTED_VALUE"""),19689.0)</f>
        <v>19689</v>
      </c>
      <c r="AE612" s="272">
        <f>IFERROR(__xludf.DUMMYFUNCTION("""COMPUTED_VALUE"""),19689.0)</f>
        <v>19689</v>
      </c>
      <c r="AF612" s="272"/>
      <c r="AG612" s="208"/>
      <c r="AH612" s="208"/>
      <c r="AI612" s="208"/>
      <c r="AJ612" s="208"/>
      <c r="AK612" s="208"/>
    </row>
    <row r="613" hidden="1">
      <c r="A613" s="209">
        <f>IFERROR(__xludf.DUMMYFUNCTION("""COMPUTED_VALUE"""),46155.0)</f>
        <v>46155</v>
      </c>
      <c r="B613" s="210">
        <f>IFERROR(__xludf.DUMMYFUNCTION("""COMPUTED_VALUE"""),0.9166666666678793)</f>
        <v>0.9166666667</v>
      </c>
      <c r="C613" s="211" t="str">
        <f>IFERROR(__xludf.DUMMYFUNCTION("""COMPUTED_VALUE"""),"Sms")</f>
        <v>Sms</v>
      </c>
      <c r="D613" s="211" t="str">
        <f>IFERROR(__xludf.DUMMYFUNCTION("""COMPUTED_VALUE"""),"Fallback campaign")</f>
        <v>Fallback campaign</v>
      </c>
      <c r="E613" s="211" t="str">
        <f>IFERROR(__xludf.DUMMYFUNCTION("""COMPUTED_VALUE"""),"BBW")</f>
        <v>BBW</v>
      </c>
      <c r="F613" s="211" t="str">
        <f>IFERROR(__xludf.DUMMYFUNCTION("""COMPUTED_VALUE"""),"BC at 999 - Body Care")</f>
        <v>BC at 999 - Body Care</v>
      </c>
      <c r="G613" s="212" t="str">
        <f>IFERROR(__xludf.DUMMYFUNCTION("""COMPUTED_VALUE"""),"bbw_smsfb_bcat999_online_ea_13may_crosssell")</f>
        <v>bbw_smsfb_bcat999_online_ea_13may_crosssell</v>
      </c>
      <c r="H613" s="212" t="str">
        <f>IFERROR(__xludf.DUMMYFUNCTION("""COMPUTED_VALUE"""),"BBW_NoPr_BC_Pr_Candle_Mist_Lotion")</f>
        <v>BBW_NoPr_BC_Pr_Candle_Mist_Lotion</v>
      </c>
      <c r="I613" s="212" t="str">
        <f>IFERROR(__xludf.DUMMYFUNCTION("""COMPUTED_VALUE"""),"WA Undelivered")</f>
        <v>WA Undelivered</v>
      </c>
      <c r="J613" s="213">
        <f>IFERROR(__xludf.DUMMYFUNCTION("""COMPUTED_VALUE"""),20933.0)</f>
        <v>20933</v>
      </c>
      <c r="K613" s="213">
        <f>IFERROR(__xludf.DUMMYFUNCTION("""COMPUTED_VALUE"""),13684.0)</f>
        <v>13684</v>
      </c>
      <c r="L613" s="214">
        <f>IFERROR(__xludf.DUMMYFUNCTION("""COMPUTED_VALUE"""),0.6537)</f>
        <v>0.6537</v>
      </c>
      <c r="M613" s="213">
        <f>IFERROR(__xludf.DUMMYFUNCTION("""COMPUTED_VALUE"""),0.0)</f>
        <v>0</v>
      </c>
      <c r="N613" s="214">
        <f>IFERROR(__xludf.DUMMYFUNCTION("""COMPUTED_VALUE"""),0.0)</f>
        <v>0</v>
      </c>
      <c r="O613" s="213">
        <f>IFERROR(__xludf.DUMMYFUNCTION("""COMPUTED_VALUE"""),25.0)</f>
        <v>25</v>
      </c>
      <c r="P613" s="213">
        <f>IFERROR(__xludf.DUMMYFUNCTION("""COMPUTED_VALUE"""),0.0)</f>
        <v>0</v>
      </c>
      <c r="Q613" s="214">
        <f>IFERROR(__xludf.DUMMYFUNCTION("""COMPUTED_VALUE"""),0.0018)</f>
        <v>0.0018</v>
      </c>
      <c r="R613" s="214">
        <f>IFERROR(__xludf.DUMMYFUNCTION("""COMPUTED_VALUE"""),0.0)</f>
        <v>0</v>
      </c>
      <c r="S613" s="101"/>
      <c r="T613" s="101"/>
      <c r="U613" s="270">
        <f>IFERROR(__xludf.DUMMYFUNCTION("""COMPUTED_VALUE"""),28270.0)</f>
        <v>28270</v>
      </c>
      <c r="V613" s="271" t="str">
        <f>IFERROR(__xludf.DUMMYFUNCTION("""COMPUTED_VALUE"""),"online")</f>
        <v>online</v>
      </c>
      <c r="W613" s="272" t="str">
        <f>IFERROR(__xludf.DUMMYFUNCTION("""COMPUTED_VALUE"""),"Sms")</f>
        <v>Sms</v>
      </c>
      <c r="X613" s="272" t="str">
        <f>IFERROR(__xludf.DUMMYFUNCTION("""COMPUTED_VALUE"""),"Cross Category")</f>
        <v>Cross Category</v>
      </c>
      <c r="Y613" s="272" t="str">
        <f>IFERROR(__xludf.DUMMYFUNCTION("""COMPUTED_VALUE"""),"13 May")</f>
        <v>13 May</v>
      </c>
      <c r="Z613" s="272" t="str">
        <f>IFERROR(__xludf.DUMMYFUNCTION("""COMPUTED_VALUE"""),"6a0468c56f6a142328c765d3")</f>
        <v>6a0468c56f6a142328c765d3</v>
      </c>
      <c r="AA613" s="272">
        <f>IFERROR(__xludf.DUMMYFUNCTION("""COMPUTED_VALUE"""),5.0)</f>
        <v>5</v>
      </c>
      <c r="AB613" s="272">
        <f>IFERROR(__xludf.DUMMYFUNCTION("""COMPUTED_VALUE"""),5.0)</f>
        <v>5</v>
      </c>
      <c r="AC613" s="272"/>
      <c r="AD613" s="272">
        <f>IFERROR(__xludf.DUMMYFUNCTION("""COMPUTED_VALUE"""),7293.0)</f>
        <v>7293</v>
      </c>
      <c r="AE613" s="272">
        <f>IFERROR(__xludf.DUMMYFUNCTION("""COMPUTED_VALUE"""),7293.0)</f>
        <v>7293</v>
      </c>
      <c r="AF613" s="272"/>
      <c r="AG613" s="208"/>
      <c r="AH613" s="208"/>
      <c r="AI613" s="208"/>
      <c r="AJ613" s="208"/>
      <c r="AK613" s="208"/>
    </row>
    <row r="614" hidden="1">
      <c r="A614" s="209">
        <f>IFERROR(__xludf.DUMMYFUNCTION("""COMPUTED_VALUE"""),46155.0)</f>
        <v>46155</v>
      </c>
      <c r="B614" s="210">
        <f>IFERROR(__xludf.DUMMYFUNCTION("""COMPUTED_VALUE"""),0.9166666666678793)</f>
        <v>0.9166666667</v>
      </c>
      <c r="C614" s="211" t="str">
        <f>IFERROR(__xludf.DUMMYFUNCTION("""COMPUTED_VALUE"""),"Sms")</f>
        <v>Sms</v>
      </c>
      <c r="D614" s="211" t="str">
        <f>IFERROR(__xludf.DUMMYFUNCTION("""COMPUTED_VALUE"""),"Fallback campaign")</f>
        <v>Fallback campaign</v>
      </c>
      <c r="E614" s="211" t="str">
        <f>IFERROR(__xludf.DUMMYFUNCTION("""COMPUTED_VALUE"""),"BBW")</f>
        <v>BBW</v>
      </c>
      <c r="F614" s="211" t="str">
        <f>IFERROR(__xludf.DUMMYFUNCTION("""COMPUTED_VALUE"""),"BC at 999 - Body Care")</f>
        <v>BC at 999 - Body Care</v>
      </c>
      <c r="G614" s="212" t="str">
        <f>IFERROR(__xludf.DUMMYFUNCTION("""COMPUTED_VALUE"""),"bbw_smsfb_bcat999_online_ea_13may_new_cust")</f>
        <v>bbw_smsfb_bcat999_online_ea_13may_new_cust</v>
      </c>
      <c r="H614" s="212" t="str">
        <f>IFERROR(__xludf.DUMMYFUNCTION("""COMPUTED_VALUE"""),"BBW_ON_New_Cust_NoPr_BCa")</f>
        <v>BBW_ON_New_Cust_NoPr_BCa</v>
      </c>
      <c r="I614" s="212" t="str">
        <f>IFERROR(__xludf.DUMMYFUNCTION("""COMPUTED_VALUE"""),"WA Undelivered")</f>
        <v>WA Undelivered</v>
      </c>
      <c r="J614" s="213">
        <f>IFERROR(__xludf.DUMMYFUNCTION("""COMPUTED_VALUE"""),1675.0)</f>
        <v>1675</v>
      </c>
      <c r="K614" s="213">
        <f>IFERROR(__xludf.DUMMYFUNCTION("""COMPUTED_VALUE"""),940.0)</f>
        <v>940</v>
      </c>
      <c r="L614" s="214">
        <f>IFERROR(__xludf.DUMMYFUNCTION("""COMPUTED_VALUE"""),0.5612)</f>
        <v>0.5612</v>
      </c>
      <c r="M614" s="213">
        <f>IFERROR(__xludf.DUMMYFUNCTION("""COMPUTED_VALUE"""),0.0)</f>
        <v>0</v>
      </c>
      <c r="N614" s="214">
        <f>IFERROR(__xludf.DUMMYFUNCTION("""COMPUTED_VALUE"""),0.0)</f>
        <v>0</v>
      </c>
      <c r="O614" s="213">
        <f>IFERROR(__xludf.DUMMYFUNCTION("""COMPUTED_VALUE"""),2.0)</f>
        <v>2</v>
      </c>
      <c r="P614" s="213">
        <f>IFERROR(__xludf.DUMMYFUNCTION("""COMPUTED_VALUE"""),0.0)</f>
        <v>0</v>
      </c>
      <c r="Q614" s="214">
        <f>IFERROR(__xludf.DUMMYFUNCTION("""COMPUTED_VALUE"""),0.0021)</f>
        <v>0.0021</v>
      </c>
      <c r="R614" s="214">
        <f>IFERROR(__xludf.DUMMYFUNCTION("""COMPUTED_VALUE"""),0.0)</f>
        <v>0</v>
      </c>
      <c r="S614" s="101"/>
      <c r="T614" s="101"/>
      <c r="U614" s="270">
        <f>IFERROR(__xludf.DUMMYFUNCTION("""COMPUTED_VALUE"""),5894.0)</f>
        <v>5894</v>
      </c>
      <c r="V614" s="271" t="str">
        <f>IFERROR(__xludf.DUMMYFUNCTION("""COMPUTED_VALUE"""),"online")</f>
        <v>online</v>
      </c>
      <c r="W614" s="272" t="str">
        <f>IFERROR(__xludf.DUMMYFUNCTION("""COMPUTED_VALUE"""),"Sms")</f>
        <v>Sms</v>
      </c>
      <c r="X614" s="272" t="str">
        <f>IFERROR(__xludf.DUMMYFUNCTION("""COMPUTED_VALUE"""),"New Customer")</f>
        <v>New Customer</v>
      </c>
      <c r="Y614" s="272" t="str">
        <f>IFERROR(__xludf.DUMMYFUNCTION("""COMPUTED_VALUE"""),"13 May")</f>
        <v>13 May</v>
      </c>
      <c r="Z614" s="272" t="str">
        <f>IFERROR(__xludf.DUMMYFUNCTION("""COMPUTED_VALUE"""),"6a0468f06c2e747af97bf7b3")</f>
        <v>6a0468f06c2e747af97bf7b3</v>
      </c>
      <c r="AA614" s="272">
        <f>IFERROR(__xludf.DUMMYFUNCTION("""COMPUTED_VALUE"""),1.0)</f>
        <v>1</v>
      </c>
      <c r="AB614" s="272">
        <f>IFERROR(__xludf.DUMMYFUNCTION("""COMPUTED_VALUE"""),1.0)</f>
        <v>1</v>
      </c>
      <c r="AC614" s="272"/>
      <c r="AD614" s="272">
        <f>IFERROR(__xludf.DUMMYFUNCTION("""COMPUTED_VALUE"""),1998.0)</f>
        <v>1998</v>
      </c>
      <c r="AE614" s="272">
        <f>IFERROR(__xludf.DUMMYFUNCTION("""COMPUTED_VALUE"""),1998.0)</f>
        <v>1998</v>
      </c>
      <c r="AF614" s="272"/>
      <c r="AG614" s="208"/>
      <c r="AH614" s="208"/>
      <c r="AI614" s="208"/>
      <c r="AJ614" s="208"/>
      <c r="AK614" s="208"/>
    </row>
    <row r="615" hidden="1">
      <c r="A615" s="209">
        <f>IFERROR(__xludf.DUMMYFUNCTION("""COMPUTED_VALUE"""),46155.0)</f>
        <v>46155</v>
      </c>
      <c r="B615" s="210">
        <f>IFERROR(__xludf.DUMMYFUNCTION("""COMPUTED_VALUE"""),0.9166666666678793)</f>
        <v>0.9166666667</v>
      </c>
      <c r="C615" s="211" t="str">
        <f>IFERROR(__xludf.DUMMYFUNCTION("""COMPUTED_VALUE"""),"Sms")</f>
        <v>Sms</v>
      </c>
      <c r="D615" s="211" t="str">
        <f>IFERROR(__xludf.DUMMYFUNCTION("""COMPUTED_VALUE"""),"Fallback campaign")</f>
        <v>Fallback campaign</v>
      </c>
      <c r="E615" s="211" t="str">
        <f>IFERROR(__xludf.DUMMYFUNCTION("""COMPUTED_VALUE"""),"BBW")</f>
        <v>BBW</v>
      </c>
      <c r="F615" s="211" t="str">
        <f>IFERROR(__xludf.DUMMYFUNCTION("""COMPUTED_VALUE"""),"BC at 999 - Body Care")</f>
        <v>BC at 999 - Body Care</v>
      </c>
      <c r="G615" s="212" t="str">
        <f>IFERROR(__xludf.DUMMYFUNCTION("""COMPUTED_VALUE"""),"bbw_smsfb_bcat999_online_ea_13may_engage_no_purch")</f>
        <v>bbw_smsfb_bcat999_online_ea_13may_engage_no_purch</v>
      </c>
      <c r="H615" s="212" t="str">
        <f>IFERROR(__xludf.DUMMYFUNCTION("""COMPUTED_VALUE"""),"BBW_ON_Engage_NoPr_BC_13_May_2026")</f>
        <v>BBW_ON_Engage_NoPr_BC_13_May_2026</v>
      </c>
      <c r="I615" s="212" t="str">
        <f>IFERROR(__xludf.DUMMYFUNCTION("""COMPUTED_VALUE"""),"WA Undelivered")</f>
        <v>WA Undelivered</v>
      </c>
      <c r="J615" s="213">
        <f>IFERROR(__xludf.DUMMYFUNCTION("""COMPUTED_VALUE"""),2041.0)</f>
        <v>2041</v>
      </c>
      <c r="K615" s="213">
        <f>IFERROR(__xludf.DUMMYFUNCTION("""COMPUTED_VALUE"""),1375.0)</f>
        <v>1375</v>
      </c>
      <c r="L615" s="214">
        <f>IFERROR(__xludf.DUMMYFUNCTION("""COMPUTED_VALUE"""),0.6737)</f>
        <v>0.6737</v>
      </c>
      <c r="M615" s="213">
        <f>IFERROR(__xludf.DUMMYFUNCTION("""COMPUTED_VALUE"""),0.0)</f>
        <v>0</v>
      </c>
      <c r="N615" s="214">
        <f>IFERROR(__xludf.DUMMYFUNCTION("""COMPUTED_VALUE"""),0.0)</f>
        <v>0</v>
      </c>
      <c r="O615" s="213">
        <f>IFERROR(__xludf.DUMMYFUNCTION("""COMPUTED_VALUE"""),2.0)</f>
        <v>2</v>
      </c>
      <c r="P615" s="213">
        <f>IFERROR(__xludf.DUMMYFUNCTION("""COMPUTED_VALUE"""),0.0)</f>
        <v>0</v>
      </c>
      <c r="Q615" s="214">
        <f>IFERROR(__xludf.DUMMYFUNCTION("""COMPUTED_VALUE"""),0.0015)</f>
        <v>0.0015</v>
      </c>
      <c r="R615" s="214">
        <f>IFERROR(__xludf.DUMMYFUNCTION("""COMPUTED_VALUE"""),0.0)</f>
        <v>0</v>
      </c>
      <c r="S615" s="101"/>
      <c r="T615" s="101"/>
      <c r="U615" s="270">
        <f>IFERROR(__xludf.DUMMYFUNCTION("""COMPUTED_VALUE"""),7499.0)</f>
        <v>7499</v>
      </c>
      <c r="V615" s="271" t="str">
        <f>IFERROR(__xludf.DUMMYFUNCTION("""COMPUTED_VALUE"""),"online")</f>
        <v>online</v>
      </c>
      <c r="W615" s="272" t="str">
        <f>IFERROR(__xludf.DUMMYFUNCTION("""COMPUTED_VALUE"""),"Sms")</f>
        <v>Sms</v>
      </c>
      <c r="X615" s="272" t="str">
        <f>IFERROR(__xludf.DUMMYFUNCTION("""COMPUTED_VALUE"""),"Non Purchasers")</f>
        <v>Non Purchasers</v>
      </c>
      <c r="Y615" s="272" t="str">
        <f>IFERROR(__xludf.DUMMYFUNCTION("""COMPUTED_VALUE"""),"13 May")</f>
        <v>13 May</v>
      </c>
      <c r="Z615" s="272" t="str">
        <f>IFERROR(__xludf.DUMMYFUNCTION("""COMPUTED_VALUE"""),"6a0469760185598697390bdf")</f>
        <v>6a0469760185598697390bdf</v>
      </c>
      <c r="AA615" s="272">
        <f>IFERROR(__xludf.DUMMYFUNCTION("""COMPUTED_VALUE"""),1.0)</f>
        <v>1</v>
      </c>
      <c r="AB615" s="272">
        <f>IFERROR(__xludf.DUMMYFUNCTION("""COMPUTED_VALUE"""),1.0)</f>
        <v>1</v>
      </c>
      <c r="AC615" s="272"/>
      <c r="AD615" s="272">
        <f>IFERROR(__xludf.DUMMYFUNCTION("""COMPUTED_VALUE"""),1099.0)</f>
        <v>1099</v>
      </c>
      <c r="AE615" s="272">
        <f>IFERROR(__xludf.DUMMYFUNCTION("""COMPUTED_VALUE"""),1099.0)</f>
        <v>1099</v>
      </c>
      <c r="AF615" s="272"/>
      <c r="AG615" s="208"/>
      <c r="AH615" s="208"/>
      <c r="AI615" s="208"/>
      <c r="AJ615" s="208"/>
      <c r="AK615" s="208"/>
    </row>
    <row r="616" hidden="1">
      <c r="A616" s="209">
        <f>IFERROR(__xludf.DUMMYFUNCTION("""COMPUTED_VALUE"""),46155.0)</f>
        <v>46155</v>
      </c>
      <c r="B616" s="210">
        <f>IFERROR(__xludf.DUMMYFUNCTION("""COMPUTED_VALUE"""),0.9166666666678793)</f>
        <v>0.9166666667</v>
      </c>
      <c r="C616" s="211" t="str">
        <f>IFERROR(__xludf.DUMMYFUNCTION("""COMPUTED_VALUE"""),"Sms")</f>
        <v>Sms</v>
      </c>
      <c r="D616" s="211" t="str">
        <f>IFERROR(__xludf.DUMMYFUNCTION("""COMPUTED_VALUE"""),"Fallback campaign")</f>
        <v>Fallback campaign</v>
      </c>
      <c r="E616" s="211" t="str">
        <f>IFERROR(__xludf.DUMMYFUNCTION("""COMPUTED_VALUE"""),"BBW")</f>
        <v>BBW</v>
      </c>
      <c r="F616" s="211" t="str">
        <f>IFERROR(__xludf.DUMMYFUNCTION("""COMPUTED_VALUE"""),"BC at 999 - Body Care")</f>
        <v>BC at 999 - Body Care</v>
      </c>
      <c r="G616" s="212" t="str">
        <f>IFERROR(__xludf.DUMMYFUNCTION("""COMPUTED_VALUE"""),"bbw_smsfb_bcat999_online_ea_13may_event_buyers")</f>
        <v>bbw_smsfb_bcat999_online_ea_13may_event_buyers</v>
      </c>
      <c r="H616" s="212" t="str">
        <f>IFERROR(__xludf.DUMMYFUNCTION("""COMPUTED_VALUE"""),"BBW_ON_EventBuyers_BC_13_May_2026")</f>
        <v>BBW_ON_EventBuyers_BC_13_May_2026</v>
      </c>
      <c r="I616" s="212" t="str">
        <f>IFERROR(__xludf.DUMMYFUNCTION("""COMPUTED_VALUE"""),"WA Undelivered")</f>
        <v>WA Undelivered</v>
      </c>
      <c r="J616" s="213">
        <f>IFERROR(__xludf.DUMMYFUNCTION("""COMPUTED_VALUE"""),21619.0)</f>
        <v>21619</v>
      </c>
      <c r="K616" s="213">
        <f>IFERROR(__xludf.DUMMYFUNCTION("""COMPUTED_VALUE"""),12462.0)</f>
        <v>12462</v>
      </c>
      <c r="L616" s="214">
        <f>IFERROR(__xludf.DUMMYFUNCTION("""COMPUTED_VALUE"""),0.5764)</f>
        <v>0.5764</v>
      </c>
      <c r="M616" s="213">
        <f>IFERROR(__xludf.DUMMYFUNCTION("""COMPUTED_VALUE"""),0.0)</f>
        <v>0</v>
      </c>
      <c r="N616" s="214">
        <f>IFERROR(__xludf.DUMMYFUNCTION("""COMPUTED_VALUE"""),0.0)</f>
        <v>0</v>
      </c>
      <c r="O616" s="213">
        <f>IFERROR(__xludf.DUMMYFUNCTION("""COMPUTED_VALUE"""),13.0)</f>
        <v>13</v>
      </c>
      <c r="P616" s="213">
        <f>IFERROR(__xludf.DUMMYFUNCTION("""COMPUTED_VALUE"""),0.0)</f>
        <v>0</v>
      </c>
      <c r="Q616" s="214">
        <f>IFERROR(__xludf.DUMMYFUNCTION("""COMPUTED_VALUE"""),0.001)</f>
        <v>0.001</v>
      </c>
      <c r="R616" s="214">
        <f>IFERROR(__xludf.DUMMYFUNCTION("""COMPUTED_VALUE"""),0.0)</f>
        <v>0</v>
      </c>
      <c r="S616" s="101"/>
      <c r="T616" s="101"/>
      <c r="U616" s="270">
        <f>IFERROR(__xludf.DUMMYFUNCTION("""COMPUTED_VALUE"""),2298.0)</f>
        <v>2298</v>
      </c>
      <c r="V616" s="271" t="str">
        <f>IFERROR(__xludf.DUMMYFUNCTION("""COMPUTED_VALUE"""),"online")</f>
        <v>online</v>
      </c>
      <c r="W616" s="272" t="str">
        <f>IFERROR(__xludf.DUMMYFUNCTION("""COMPUTED_VALUE"""),"Sms")</f>
        <v>Sms</v>
      </c>
      <c r="X616" s="272" t="str">
        <f>IFERROR(__xludf.DUMMYFUNCTION("""COMPUTED_VALUE"""),"Event Buyers")</f>
        <v>Event Buyers</v>
      </c>
      <c r="Y616" s="272" t="str">
        <f>IFERROR(__xludf.DUMMYFUNCTION("""COMPUTED_VALUE"""),"13 May")</f>
        <v>13 May</v>
      </c>
      <c r="Z616" s="272" t="str">
        <f>IFERROR(__xludf.DUMMYFUNCTION("""COMPUTED_VALUE"""),"6a0469988f62611e61d8a0b0")</f>
        <v>6a0469988f62611e61d8a0b0</v>
      </c>
      <c r="AA616" s="272">
        <f>IFERROR(__xludf.DUMMYFUNCTION("""COMPUTED_VALUE"""),7.0)</f>
        <v>7</v>
      </c>
      <c r="AB616" s="272">
        <f>IFERROR(__xludf.DUMMYFUNCTION("""COMPUTED_VALUE"""),7.0)</f>
        <v>7</v>
      </c>
      <c r="AC616" s="272"/>
      <c r="AD616" s="272">
        <f>IFERROR(__xludf.DUMMYFUNCTION("""COMPUTED_VALUE"""),15704.0)</f>
        <v>15704</v>
      </c>
      <c r="AE616" s="272">
        <f>IFERROR(__xludf.DUMMYFUNCTION("""COMPUTED_VALUE"""),15704.0)</f>
        <v>15704</v>
      </c>
      <c r="AF616" s="272"/>
      <c r="AG616" s="208"/>
      <c r="AH616" s="208"/>
      <c r="AI616" s="208"/>
      <c r="AJ616" s="208"/>
      <c r="AK616" s="208"/>
    </row>
    <row r="617" hidden="1">
      <c r="A617" s="209">
        <f>IFERROR(__xludf.DUMMYFUNCTION("""COMPUTED_VALUE"""),46156.0)</f>
        <v>46156</v>
      </c>
      <c r="B617" s="210">
        <f>IFERROR(__xludf.DUMMYFUNCTION("""COMPUTED_VALUE"""),0.7708333333321207)</f>
        <v>0.7708333333</v>
      </c>
      <c r="C617" s="211" t="str">
        <f>IFERROR(__xludf.DUMMYFUNCTION("""COMPUTED_VALUE"""),"Whatsapp")</f>
        <v>Whatsapp</v>
      </c>
      <c r="D617" s="211" t="str">
        <f>IFERROR(__xludf.DUMMYFUNCTION("""COMPUTED_VALUE"""),"Promtional")</f>
        <v>Promtional</v>
      </c>
      <c r="E617" s="211" t="str">
        <f>IFERROR(__xludf.DUMMYFUNCTION("""COMPUTED_VALUE"""),"BBW")</f>
        <v>BBW</v>
      </c>
      <c r="F617" s="211" t="str">
        <f>IFERROR(__xludf.DUMMYFUNCTION("""COMPUTED_VALUE"""),"BC at 999 - Body Care")</f>
        <v>BC at 999 - Body Care</v>
      </c>
      <c r="G617" s="212" t="str">
        <f>IFERROR(__xludf.DUMMYFUNCTION("""COMPUTED_VALUE"""),"bbw_wa_bcat999_online_ea_13may_frequent_buyers")</f>
        <v>bbw_wa_bcat999_online_ea_13may_frequent_buyers</v>
      </c>
      <c r="H617" s="212" t="str">
        <f>IFERROR(__xludf.DUMMYFUNCTION("""COMPUTED_VALUE"""),"BBW_ON_BC_3_Times")</f>
        <v>BBW_ON_BC_3_Times</v>
      </c>
      <c r="I617" s="212" t="str">
        <f>IFERROR(__xludf.DUMMYFUNCTION("""COMPUTED_VALUE"""),"Online customers who purchased from L2: BodyCare at least 3 times in the last 365 days")</f>
        <v>Online customers who purchased from L2: BodyCare at least 3 times in the last 365 days</v>
      </c>
      <c r="J617" s="213">
        <f>IFERROR(__xludf.DUMMYFUNCTION("""COMPUTED_VALUE"""),3984.0)</f>
        <v>3984</v>
      </c>
      <c r="K617" s="213">
        <f>IFERROR(__xludf.DUMMYFUNCTION("""COMPUTED_VALUE"""),1389.0)</f>
        <v>1389</v>
      </c>
      <c r="L617" s="214">
        <f>IFERROR(__xludf.DUMMYFUNCTION("""COMPUTED_VALUE"""),0.3486)</f>
        <v>0.3486</v>
      </c>
      <c r="M617" s="213">
        <f>IFERROR(__xludf.DUMMYFUNCTION("""COMPUTED_VALUE"""),652.0)</f>
        <v>652</v>
      </c>
      <c r="N617" s="214">
        <f>IFERROR(__xludf.DUMMYFUNCTION("""COMPUTED_VALUE"""),0.4694)</f>
        <v>0.4694</v>
      </c>
      <c r="O617" s="213">
        <f>IFERROR(__xludf.DUMMYFUNCTION("""COMPUTED_VALUE"""),84.0)</f>
        <v>84</v>
      </c>
      <c r="P617" s="213">
        <f>IFERROR(__xludf.DUMMYFUNCTION("""COMPUTED_VALUE"""),73.0)</f>
        <v>73</v>
      </c>
      <c r="Q617" s="214">
        <f>IFERROR(__xludf.DUMMYFUNCTION("""COMPUTED_VALUE"""),0.0526)</f>
        <v>0.0526</v>
      </c>
      <c r="R617" s="214">
        <f>IFERROR(__xludf.DUMMYFUNCTION("""COMPUTED_VALUE"""),0.112)</f>
        <v>0.112</v>
      </c>
      <c r="S617" s="101"/>
      <c r="T617" s="101"/>
      <c r="U617" s="270">
        <f>IFERROR(__xludf.DUMMYFUNCTION("""COMPUTED_VALUE"""),12288.0)</f>
        <v>12288</v>
      </c>
      <c r="V617" s="271" t="str">
        <f>IFERROR(__xludf.DUMMYFUNCTION("""COMPUTED_VALUE"""),"online")</f>
        <v>online</v>
      </c>
      <c r="W617" s="272" t="str">
        <f>IFERROR(__xludf.DUMMYFUNCTION("""COMPUTED_VALUE"""),"simple")</f>
        <v>simple</v>
      </c>
      <c r="X617" s="272" t="str">
        <f>IFERROR(__xludf.DUMMYFUNCTION("""COMPUTED_VALUE"""),"Category Specific")</f>
        <v>Category Specific</v>
      </c>
      <c r="Y617" s="272" t="str">
        <f>IFERROR(__xludf.DUMMYFUNCTION("""COMPUTED_VALUE"""),"13 - 15 may")</f>
        <v>13 - 15 may</v>
      </c>
      <c r="Z617" s="272" t="str">
        <f>IFERROR(__xludf.DUMMYFUNCTION("""COMPUTED_VALUE"""),"6a05bf921922a24b0835f29e")</f>
        <v>6a05bf921922a24b0835f29e</v>
      </c>
      <c r="AA617" s="272">
        <f>IFERROR(__xludf.DUMMYFUNCTION("""COMPUTED_VALUE"""),28.0)</f>
        <v>28</v>
      </c>
      <c r="AB617" s="272">
        <f>IFERROR(__xludf.DUMMYFUNCTION("""COMPUTED_VALUE"""),28.0)</f>
        <v>28</v>
      </c>
      <c r="AC617" s="272"/>
      <c r="AD617" s="272">
        <f>IFERROR(__xludf.DUMMYFUNCTION("""COMPUTED_VALUE"""),81274.0)</f>
        <v>81274</v>
      </c>
      <c r="AE617" s="272">
        <f>IFERROR(__xludf.DUMMYFUNCTION("""COMPUTED_VALUE"""),81274.0)</f>
        <v>81274</v>
      </c>
      <c r="AF617" s="272"/>
      <c r="AG617" s="208"/>
      <c r="AH617" s="208"/>
      <c r="AI617" s="208"/>
      <c r="AJ617" s="208"/>
      <c r="AK617" s="208"/>
    </row>
    <row r="618" hidden="1">
      <c r="A618" s="209">
        <f>IFERROR(__xludf.DUMMYFUNCTION("""COMPUTED_VALUE"""),46156.0)</f>
        <v>46156</v>
      </c>
      <c r="B618" s="210">
        <f>IFERROR(__xludf.DUMMYFUNCTION("""COMPUTED_VALUE"""),0.7708333333321207)</f>
        <v>0.7708333333</v>
      </c>
      <c r="C618" s="211" t="str">
        <f>IFERROR(__xludf.DUMMYFUNCTION("""COMPUTED_VALUE"""),"Whatsapp")</f>
        <v>Whatsapp</v>
      </c>
      <c r="D618" s="211" t="str">
        <f>IFERROR(__xludf.DUMMYFUNCTION("""COMPUTED_VALUE"""),"Promtional")</f>
        <v>Promtional</v>
      </c>
      <c r="E618" s="211" t="str">
        <f>IFERROR(__xludf.DUMMYFUNCTION("""COMPUTED_VALUE"""),"BBW")</f>
        <v>BBW</v>
      </c>
      <c r="F618" s="211" t="str">
        <f>IFERROR(__xludf.DUMMYFUNCTION("""COMPUTED_VALUE"""),"BC at 999 - Body Care")</f>
        <v>BC at 999 - Body Care</v>
      </c>
      <c r="G618" s="212" t="str">
        <f>IFERROR(__xludf.DUMMYFUNCTION("""COMPUTED_VALUE"""),"bbw_wa_bcat999_online_ea_13may_atc_viewed")</f>
        <v>bbw_wa_bcat999_online_ea_13may_atc_viewed</v>
      </c>
      <c r="H618" s="212" t="str">
        <f>IFERROR(__xludf.DUMMYFUNCTION("""COMPUTED_VALUE"""),"BBW_ATC_View_Wishlist_NoPr_90D_13_May_2026")</f>
        <v>BBW_ATC_View_Wishlist_NoPr_90D_13_May_2026</v>
      </c>
      <c r="I618" s="212" t="str">
        <f>IFERROR(__xludf.DUMMYFUNCTION("""COMPUTED_VALUE"""),"Online Customers who viewed L2: BodyCare products at least 2 times in the last 30 days OR added L2: BodyCare products to wishlist/cart in the last 45 days AND have not purchased L2: BodyCare in the last 90 days")</f>
        <v>Online Customers who viewed L2: BodyCare products at least 2 times in the last 30 days OR added L2: BodyCare products to wishlist/cart in the last 45 days AND have not purchased L2: BodyCare in the last 90 days</v>
      </c>
      <c r="J618" s="213">
        <f>IFERROR(__xludf.DUMMYFUNCTION("""COMPUTED_VALUE"""),4039.0)</f>
        <v>4039</v>
      </c>
      <c r="K618" s="213">
        <f>IFERROR(__xludf.DUMMYFUNCTION("""COMPUTED_VALUE"""),1838.0)</f>
        <v>1838</v>
      </c>
      <c r="L618" s="214">
        <f>IFERROR(__xludf.DUMMYFUNCTION("""COMPUTED_VALUE"""),0.4551)</f>
        <v>0.4551</v>
      </c>
      <c r="M618" s="213">
        <f>IFERROR(__xludf.DUMMYFUNCTION("""COMPUTED_VALUE"""),823.0)</f>
        <v>823</v>
      </c>
      <c r="N618" s="214">
        <f>IFERROR(__xludf.DUMMYFUNCTION("""COMPUTED_VALUE"""),0.4478)</f>
        <v>0.4478</v>
      </c>
      <c r="O618" s="213">
        <f>IFERROR(__xludf.DUMMYFUNCTION("""COMPUTED_VALUE"""),124.0)</f>
        <v>124</v>
      </c>
      <c r="P618" s="213">
        <f>IFERROR(__xludf.DUMMYFUNCTION("""COMPUTED_VALUE"""),114.0)</f>
        <v>114</v>
      </c>
      <c r="Q618" s="214">
        <f>IFERROR(__xludf.DUMMYFUNCTION("""COMPUTED_VALUE"""),0.062)</f>
        <v>0.062</v>
      </c>
      <c r="R618" s="214">
        <f>IFERROR(__xludf.DUMMYFUNCTION("""COMPUTED_VALUE"""),0.1385)</f>
        <v>0.1385</v>
      </c>
      <c r="S618" s="101"/>
      <c r="T618" s="101"/>
      <c r="U618" s="270">
        <f>IFERROR(__xludf.DUMMYFUNCTION("""COMPUTED_VALUE"""),23602.0)</f>
        <v>23602</v>
      </c>
      <c r="V618" s="271" t="str">
        <f>IFERROR(__xludf.DUMMYFUNCTION("""COMPUTED_VALUE"""),"online")</f>
        <v>online</v>
      </c>
      <c r="W618" s="272" t="str">
        <f>IFERROR(__xludf.DUMMYFUNCTION("""COMPUTED_VALUE"""),"simple")</f>
        <v>simple</v>
      </c>
      <c r="X618" s="272" t="str">
        <f>IFERROR(__xludf.DUMMYFUNCTION("""COMPUTED_VALUE"""),"Add To Cart/View Item")</f>
        <v>Add To Cart/View Item</v>
      </c>
      <c r="Y618" s="272" t="str">
        <f>IFERROR(__xludf.DUMMYFUNCTION("""COMPUTED_VALUE"""),"13 - 15 may")</f>
        <v>13 - 15 may</v>
      </c>
      <c r="Z618" s="272" t="str">
        <f>IFERROR(__xludf.DUMMYFUNCTION("""COMPUTED_VALUE"""),"6a05bfef8581a289b1957730")</f>
        <v>6a05bfef8581a289b1957730</v>
      </c>
      <c r="AA618" s="272">
        <f>IFERROR(__xludf.DUMMYFUNCTION("""COMPUTED_VALUE"""),28.0)</f>
        <v>28</v>
      </c>
      <c r="AB618" s="272">
        <f>IFERROR(__xludf.DUMMYFUNCTION("""COMPUTED_VALUE"""),28.0)</f>
        <v>28</v>
      </c>
      <c r="AC618" s="272"/>
      <c r="AD618" s="272">
        <f>IFERROR(__xludf.DUMMYFUNCTION("""COMPUTED_VALUE"""),39539.0)</f>
        <v>39539</v>
      </c>
      <c r="AE618" s="272">
        <f>IFERROR(__xludf.DUMMYFUNCTION("""COMPUTED_VALUE"""),39539.0)</f>
        <v>39539</v>
      </c>
      <c r="AF618" s="272"/>
      <c r="AG618" s="208"/>
      <c r="AH618" s="208"/>
      <c r="AI618" s="208"/>
      <c r="AJ618" s="208"/>
      <c r="AK618" s="208"/>
    </row>
    <row r="619" hidden="1">
      <c r="A619" s="209">
        <f>IFERROR(__xludf.DUMMYFUNCTION("""COMPUTED_VALUE"""),46156.0)</f>
        <v>46156</v>
      </c>
      <c r="B619" s="210">
        <f>IFERROR(__xludf.DUMMYFUNCTION("""COMPUTED_VALUE"""),0.7708333333321207)</f>
        <v>0.7708333333</v>
      </c>
      <c r="C619" s="211" t="str">
        <f>IFERROR(__xludf.DUMMYFUNCTION("""COMPUTED_VALUE"""),"Whatsapp")</f>
        <v>Whatsapp</v>
      </c>
      <c r="D619" s="211" t="str">
        <f>IFERROR(__xludf.DUMMYFUNCTION("""COMPUTED_VALUE"""),"Promtional")</f>
        <v>Promtional</v>
      </c>
      <c r="E619" s="211" t="str">
        <f>IFERROR(__xludf.DUMMYFUNCTION("""COMPUTED_VALUE"""),"BBW")</f>
        <v>BBW</v>
      </c>
      <c r="F619" s="211" t="str">
        <f>IFERROR(__xludf.DUMMYFUNCTION("""COMPUTED_VALUE"""),"BC at 999 - Body Care")</f>
        <v>BC at 999 - Body Care</v>
      </c>
      <c r="G619" s="212" t="str">
        <f>IFERROR(__xludf.DUMMYFUNCTION("""COMPUTED_VALUE"""),"bbw_wa_bcat999_online_ea_13may_crosssell")</f>
        <v>bbw_wa_bcat999_online_ea_13may_crosssell</v>
      </c>
      <c r="H619" s="212" t="str">
        <f>IFERROR(__xludf.DUMMYFUNCTION("""COMPUTED_VALUE"""),"BBW_NoPr_BC_Pr_Candle_Mist_Lotion")</f>
        <v>BBW_NoPr_BC_Pr_Candle_Mist_Lotion</v>
      </c>
      <c r="I619" s="212" t="str">
        <f>IFERROR(__xludf.DUMMYFUNCTION("""COMPUTED_VALUE"""),"Online Customers who purchased from any of L3: Mists, Candles, Hand Cream or Body Lotion in the last 180 days BUT not   purchased L2: BodyCare in the last 365 days")</f>
        <v>Online Customers who purchased from any of L3: Mists, Candles, Hand Cream or Body Lotion in the last 180 days BUT not   purchased L2: BodyCare in the last 365 days</v>
      </c>
      <c r="J619" s="213">
        <f>IFERROR(__xludf.DUMMYFUNCTION("""COMPUTED_VALUE"""),20926.0)</f>
        <v>20926</v>
      </c>
      <c r="K619" s="213">
        <f>IFERROR(__xludf.DUMMYFUNCTION("""COMPUTED_VALUE"""),9197.0)</f>
        <v>9197</v>
      </c>
      <c r="L619" s="214">
        <f>IFERROR(__xludf.DUMMYFUNCTION("""COMPUTED_VALUE"""),0.4394)</f>
        <v>0.4394</v>
      </c>
      <c r="M619" s="213">
        <f>IFERROR(__xludf.DUMMYFUNCTION("""COMPUTED_VALUE"""),3539.0)</f>
        <v>3539</v>
      </c>
      <c r="N619" s="214">
        <f>IFERROR(__xludf.DUMMYFUNCTION("""COMPUTED_VALUE"""),0.3849)</f>
        <v>0.3849</v>
      </c>
      <c r="O619" s="213">
        <f>IFERROR(__xludf.DUMMYFUNCTION("""COMPUTED_VALUE"""),359.0)</f>
        <v>359</v>
      </c>
      <c r="P619" s="213">
        <f>IFERROR(__xludf.DUMMYFUNCTION("""COMPUTED_VALUE"""),317.0)</f>
        <v>317</v>
      </c>
      <c r="Q619" s="214">
        <f>IFERROR(__xludf.DUMMYFUNCTION("""COMPUTED_VALUE"""),0.0345)</f>
        <v>0.0345</v>
      </c>
      <c r="R619" s="214">
        <f>IFERROR(__xludf.DUMMYFUNCTION("""COMPUTED_VALUE"""),0.0896)</f>
        <v>0.0896</v>
      </c>
      <c r="S619" s="101"/>
      <c r="T619" s="101"/>
      <c r="U619" s="270">
        <f>IFERROR(__xludf.DUMMYFUNCTION("""COMPUTED_VALUE"""),9979.0)</f>
        <v>9979</v>
      </c>
      <c r="V619" s="271" t="str">
        <f>IFERROR(__xludf.DUMMYFUNCTION("""COMPUTED_VALUE"""),"online")</f>
        <v>online</v>
      </c>
      <c r="W619" s="272" t="str">
        <f>IFERROR(__xludf.DUMMYFUNCTION("""COMPUTED_VALUE"""),"simple")</f>
        <v>simple</v>
      </c>
      <c r="X619" s="272" t="str">
        <f>IFERROR(__xludf.DUMMYFUNCTION("""COMPUTED_VALUE"""),"Cross Category")</f>
        <v>Cross Category</v>
      </c>
      <c r="Y619" s="272" t="str">
        <f>IFERROR(__xludf.DUMMYFUNCTION("""COMPUTED_VALUE"""),"13 - 15 may")</f>
        <v>13 - 15 may</v>
      </c>
      <c r="Z619" s="272" t="str">
        <f>IFERROR(__xludf.DUMMYFUNCTION("""COMPUTED_VALUE"""),"6a05bfff0f3f6022bddbaafe")</f>
        <v>6a05bfff0f3f6022bddbaafe</v>
      </c>
      <c r="AA619" s="272">
        <f>IFERROR(__xludf.DUMMYFUNCTION("""COMPUTED_VALUE"""),18.0)</f>
        <v>18</v>
      </c>
      <c r="AB619" s="272">
        <f>IFERROR(__xludf.DUMMYFUNCTION("""COMPUTED_VALUE"""),18.0)</f>
        <v>18</v>
      </c>
      <c r="AC619" s="272"/>
      <c r="AD619" s="272">
        <f>IFERROR(__xludf.DUMMYFUNCTION("""COMPUTED_VALUE"""),33955.0)</f>
        <v>33955</v>
      </c>
      <c r="AE619" s="272">
        <f>IFERROR(__xludf.DUMMYFUNCTION("""COMPUTED_VALUE"""),33955.0)</f>
        <v>33955</v>
      </c>
      <c r="AF619" s="272"/>
      <c r="AG619" s="208"/>
      <c r="AH619" s="208"/>
      <c r="AI619" s="208"/>
      <c r="AJ619" s="208"/>
      <c r="AK619" s="208"/>
    </row>
    <row r="620" hidden="1">
      <c r="A620" s="209">
        <f>IFERROR(__xludf.DUMMYFUNCTION("""COMPUTED_VALUE"""),46156.0)</f>
        <v>46156</v>
      </c>
      <c r="B620" s="210">
        <f>IFERROR(__xludf.DUMMYFUNCTION("""COMPUTED_VALUE"""),0.7708333333321207)</f>
        <v>0.7708333333</v>
      </c>
      <c r="C620" s="211" t="str">
        <f>IFERROR(__xludf.DUMMYFUNCTION("""COMPUTED_VALUE"""),"Whatsapp")</f>
        <v>Whatsapp</v>
      </c>
      <c r="D620" s="211" t="str">
        <f>IFERROR(__xludf.DUMMYFUNCTION("""COMPUTED_VALUE"""),"Promtional")</f>
        <v>Promtional</v>
      </c>
      <c r="E620" s="211" t="str">
        <f>IFERROR(__xludf.DUMMYFUNCTION("""COMPUTED_VALUE"""),"BBW")</f>
        <v>BBW</v>
      </c>
      <c r="F620" s="211" t="str">
        <f>IFERROR(__xludf.DUMMYFUNCTION("""COMPUTED_VALUE"""),"BC at 999 - Body Care")</f>
        <v>BC at 999 - Body Care</v>
      </c>
      <c r="G620" s="212" t="str">
        <f>IFERROR(__xludf.DUMMYFUNCTION("""COMPUTED_VALUE"""),"bbw_wa_bcat999_online_ea_13may_new_cust")</f>
        <v>bbw_wa_bcat999_online_ea_13may_new_cust</v>
      </c>
      <c r="H620" s="212" t="str">
        <f>IFERROR(__xludf.DUMMYFUNCTION("""COMPUTED_VALUE"""),"BBW_ON_New_Cust_NoPr_BCa")</f>
        <v>BBW_ON_New_Cust_NoPr_BCa</v>
      </c>
      <c r="I620" s="212" t="str">
        <f>IFERROR(__xludf.DUMMYFUNCTION("""COMPUTED_VALUE"""),"Online Customers acquired in the last 30 days who purchased any category online BUT have not yet purchased L2: BodyCare")</f>
        <v>Online Customers acquired in the last 30 days who purchased any category online BUT have not yet purchased L2: BodyCare</v>
      </c>
      <c r="J620" s="213">
        <f>IFERROR(__xludf.DUMMYFUNCTION("""COMPUTED_VALUE"""),1679.0)</f>
        <v>1679</v>
      </c>
      <c r="K620" s="213">
        <f>IFERROR(__xludf.DUMMYFUNCTION("""COMPUTED_VALUE"""),738.0)</f>
        <v>738</v>
      </c>
      <c r="L620" s="214">
        <f>IFERROR(__xludf.DUMMYFUNCTION("""COMPUTED_VALUE"""),0.4395)</f>
        <v>0.4395</v>
      </c>
      <c r="M620" s="213">
        <f>IFERROR(__xludf.DUMMYFUNCTION("""COMPUTED_VALUE"""),366.0)</f>
        <v>366</v>
      </c>
      <c r="N620" s="214">
        <f>IFERROR(__xludf.DUMMYFUNCTION("""COMPUTED_VALUE"""),0.4959)</f>
        <v>0.4959</v>
      </c>
      <c r="O620" s="213">
        <f>IFERROR(__xludf.DUMMYFUNCTION("""COMPUTED_VALUE"""),56.0)</f>
        <v>56</v>
      </c>
      <c r="P620" s="213">
        <f>IFERROR(__xludf.DUMMYFUNCTION("""COMPUTED_VALUE"""),50.0)</f>
        <v>50</v>
      </c>
      <c r="Q620" s="214">
        <f>IFERROR(__xludf.DUMMYFUNCTION("""COMPUTED_VALUE"""),0.0678)</f>
        <v>0.0678</v>
      </c>
      <c r="R620" s="214">
        <f>IFERROR(__xludf.DUMMYFUNCTION("""COMPUTED_VALUE"""),0.1366)</f>
        <v>0.1366</v>
      </c>
      <c r="S620" s="101"/>
      <c r="T620" s="101"/>
      <c r="U620" s="270">
        <f>IFERROR(__xludf.DUMMYFUNCTION("""COMPUTED_VALUE"""),8680.0)</f>
        <v>8680</v>
      </c>
      <c r="V620" s="271" t="str">
        <f>IFERROR(__xludf.DUMMYFUNCTION("""COMPUTED_VALUE"""),"online")</f>
        <v>online</v>
      </c>
      <c r="W620" s="272" t="str">
        <f>IFERROR(__xludf.DUMMYFUNCTION("""COMPUTED_VALUE"""),"simple")</f>
        <v>simple</v>
      </c>
      <c r="X620" s="272" t="str">
        <f>IFERROR(__xludf.DUMMYFUNCTION("""COMPUTED_VALUE"""),"New Customer")</f>
        <v>New Customer</v>
      </c>
      <c r="Y620" s="272" t="str">
        <f>IFERROR(__xludf.DUMMYFUNCTION("""COMPUTED_VALUE"""),"13 - 15 may")</f>
        <v>13 - 15 may</v>
      </c>
      <c r="Z620" s="272" t="str">
        <f>IFERROR(__xludf.DUMMYFUNCTION("""COMPUTED_VALUE"""),"6a05c0146dae3b5370113edc")</f>
        <v>6a05c0146dae3b5370113edc</v>
      </c>
      <c r="AA620" s="272">
        <f>IFERROR(__xludf.DUMMYFUNCTION("""COMPUTED_VALUE"""),12.0)</f>
        <v>12</v>
      </c>
      <c r="AB620" s="272">
        <f>IFERROR(__xludf.DUMMYFUNCTION("""COMPUTED_VALUE"""),12.0)</f>
        <v>12</v>
      </c>
      <c r="AC620" s="272"/>
      <c r="AD620" s="272">
        <f>IFERROR(__xludf.DUMMYFUNCTION("""COMPUTED_VALUE"""),21467.0)</f>
        <v>21467</v>
      </c>
      <c r="AE620" s="272">
        <f>IFERROR(__xludf.DUMMYFUNCTION("""COMPUTED_VALUE"""),21467.0)</f>
        <v>21467</v>
      </c>
      <c r="AF620" s="272"/>
      <c r="AG620" s="208"/>
      <c r="AH620" s="208"/>
      <c r="AI620" s="208"/>
      <c r="AJ620" s="208"/>
      <c r="AK620" s="208"/>
    </row>
    <row r="621" hidden="1">
      <c r="A621" s="209">
        <f>IFERROR(__xludf.DUMMYFUNCTION("""COMPUTED_VALUE"""),46156.0)</f>
        <v>46156</v>
      </c>
      <c r="B621" s="210">
        <f>IFERROR(__xludf.DUMMYFUNCTION("""COMPUTED_VALUE"""),0.7708333333321207)</f>
        <v>0.7708333333</v>
      </c>
      <c r="C621" s="211" t="str">
        <f>IFERROR(__xludf.DUMMYFUNCTION("""COMPUTED_VALUE"""),"Whatsapp")</f>
        <v>Whatsapp</v>
      </c>
      <c r="D621" s="211" t="str">
        <f>IFERROR(__xludf.DUMMYFUNCTION("""COMPUTED_VALUE"""),"Promtional")</f>
        <v>Promtional</v>
      </c>
      <c r="E621" s="211" t="str">
        <f>IFERROR(__xludf.DUMMYFUNCTION("""COMPUTED_VALUE"""),"BBW")</f>
        <v>BBW</v>
      </c>
      <c r="F621" s="211" t="str">
        <f>IFERROR(__xludf.DUMMYFUNCTION("""COMPUTED_VALUE"""),"BC at 999 - Body Care")</f>
        <v>BC at 999 - Body Care</v>
      </c>
      <c r="G621" s="212" t="str">
        <f>IFERROR(__xludf.DUMMYFUNCTION("""COMPUTED_VALUE"""),"bbw_wa_bcat999_online_ea_13may_engage_no_purch")</f>
        <v>bbw_wa_bcat999_online_ea_13may_engage_no_purch</v>
      </c>
      <c r="H621" s="212" t="str">
        <f>IFERROR(__xludf.DUMMYFUNCTION("""COMPUTED_VALUE"""),"BBW_ON_Engage_NoPr_BC_13_May_2026")</f>
        <v>BBW_ON_Engage_NoPr_BC_13_May_2026</v>
      </c>
      <c r="I621" s="212" t="str">
        <f>IFERROR(__xludf.DUMMYFUNCTION("""COMPUTED_VALUE"""),"Online Customers who opened/clicked CRM campaigns at least 3 times in the last 60 days OR active app/web users in the last 30 days BUT never purchased.")</f>
        <v>Online Customers who opened/clicked CRM campaigns at least 3 times in the last 60 days OR active app/web users in the last 30 days BUT never purchased.</v>
      </c>
      <c r="J621" s="213">
        <f>IFERROR(__xludf.DUMMYFUNCTION("""COMPUTED_VALUE"""),2064.0)</f>
        <v>2064</v>
      </c>
      <c r="K621" s="213">
        <f>IFERROR(__xludf.DUMMYFUNCTION("""COMPUTED_VALUE"""),1411.0)</f>
        <v>1411</v>
      </c>
      <c r="L621" s="214">
        <f>IFERROR(__xludf.DUMMYFUNCTION("""COMPUTED_VALUE"""),0.6836)</f>
        <v>0.6836</v>
      </c>
      <c r="M621" s="213">
        <f>IFERROR(__xludf.DUMMYFUNCTION("""COMPUTED_VALUE"""),1056.0)</f>
        <v>1056</v>
      </c>
      <c r="N621" s="214">
        <f>IFERROR(__xludf.DUMMYFUNCTION("""COMPUTED_VALUE"""),0.7484)</f>
        <v>0.7484</v>
      </c>
      <c r="O621" s="213">
        <f>IFERROR(__xludf.DUMMYFUNCTION("""COMPUTED_VALUE"""),86.0)</f>
        <v>86</v>
      </c>
      <c r="P621" s="213">
        <f>IFERROR(__xludf.DUMMYFUNCTION("""COMPUTED_VALUE"""),77.0)</f>
        <v>77</v>
      </c>
      <c r="Q621" s="214">
        <f>IFERROR(__xludf.DUMMYFUNCTION("""COMPUTED_VALUE"""),0.0546)</f>
        <v>0.0546</v>
      </c>
      <c r="R621" s="214">
        <f>IFERROR(__xludf.DUMMYFUNCTION("""COMPUTED_VALUE"""),0.0729)</f>
        <v>0.0729</v>
      </c>
      <c r="S621" s="101"/>
      <c r="T621" s="101"/>
      <c r="U621" s="270">
        <f>IFERROR(__xludf.DUMMYFUNCTION("""COMPUTED_VALUE"""),2967.0)</f>
        <v>2967</v>
      </c>
      <c r="V621" s="271" t="str">
        <f>IFERROR(__xludf.DUMMYFUNCTION("""COMPUTED_VALUE"""),"online")</f>
        <v>online</v>
      </c>
      <c r="W621" s="272" t="str">
        <f>IFERROR(__xludf.DUMMYFUNCTION("""COMPUTED_VALUE"""),"simple")</f>
        <v>simple</v>
      </c>
      <c r="X621" s="272" t="str">
        <f>IFERROR(__xludf.DUMMYFUNCTION("""COMPUTED_VALUE"""),"Non Purchasers")</f>
        <v>Non Purchasers</v>
      </c>
      <c r="Y621" s="272" t="str">
        <f>IFERROR(__xludf.DUMMYFUNCTION("""COMPUTED_VALUE"""),"13 - 15 may")</f>
        <v>13 - 15 may</v>
      </c>
      <c r="Z621" s="272" t="str">
        <f>IFERROR(__xludf.DUMMYFUNCTION("""COMPUTED_VALUE"""),"6a05c0290ce5bc1c11b7bfd1")</f>
        <v>6a05c0290ce5bc1c11b7bfd1</v>
      </c>
      <c r="AA621" s="272">
        <f>IFERROR(__xludf.DUMMYFUNCTION("""COMPUTED_VALUE"""),1.0)</f>
        <v>1</v>
      </c>
      <c r="AB621" s="272">
        <f>IFERROR(__xludf.DUMMYFUNCTION("""COMPUTED_VALUE"""),1.0)</f>
        <v>1</v>
      </c>
      <c r="AC621" s="272"/>
      <c r="AD621" s="272">
        <f>IFERROR(__xludf.DUMMYFUNCTION("""COMPUTED_VALUE"""),2967.0)</f>
        <v>2967</v>
      </c>
      <c r="AE621" s="272">
        <f>IFERROR(__xludf.DUMMYFUNCTION("""COMPUTED_VALUE"""),2967.0)</f>
        <v>2967</v>
      </c>
      <c r="AF621" s="272"/>
      <c r="AG621" s="208"/>
      <c r="AH621" s="208"/>
      <c r="AI621" s="208"/>
      <c r="AJ621" s="208"/>
      <c r="AK621" s="208"/>
    </row>
    <row r="622" hidden="1">
      <c r="A622" s="209">
        <f>IFERROR(__xludf.DUMMYFUNCTION("""COMPUTED_VALUE"""),46156.0)</f>
        <v>46156</v>
      </c>
      <c r="B622" s="210">
        <f>IFERROR(__xludf.DUMMYFUNCTION("""COMPUTED_VALUE"""),0.7708333333321207)</f>
        <v>0.7708333333</v>
      </c>
      <c r="C622" s="211" t="str">
        <f>IFERROR(__xludf.DUMMYFUNCTION("""COMPUTED_VALUE"""),"Whatsapp")</f>
        <v>Whatsapp</v>
      </c>
      <c r="D622" s="211" t="str">
        <f>IFERROR(__xludf.DUMMYFUNCTION("""COMPUTED_VALUE"""),"Promtional")</f>
        <v>Promtional</v>
      </c>
      <c r="E622" s="211" t="str">
        <f>IFERROR(__xludf.DUMMYFUNCTION("""COMPUTED_VALUE"""),"BBW")</f>
        <v>BBW</v>
      </c>
      <c r="F622" s="211" t="str">
        <f>IFERROR(__xludf.DUMMYFUNCTION("""COMPUTED_VALUE"""),"BC at 999 - Body Care")</f>
        <v>BC at 999 - Body Care</v>
      </c>
      <c r="G622" s="212" t="str">
        <f>IFERROR(__xludf.DUMMYFUNCTION("""COMPUTED_VALUE"""),"bbw_wa_bcat999_online_ea_13may_event_buyers")</f>
        <v>bbw_wa_bcat999_online_ea_13may_event_buyers</v>
      </c>
      <c r="H622" s="212" t="str">
        <f>IFERROR(__xludf.DUMMYFUNCTION("""COMPUTED_VALUE"""),"BBW_ON_EventBuyers_BC_13_May_2026")</f>
        <v>BBW_ON_EventBuyers_BC_13_May_2026</v>
      </c>
      <c r="I622" s="212" t="str">
        <f>IFERROR(__xludf.DUMMYFUNCTION("""COMPUTED_VALUE"""),"Online Customers who purchased in last BC @ 999 event.")</f>
        <v>Online Customers who purchased in last BC @ 999 event.</v>
      </c>
      <c r="J622" s="213">
        <f>IFERROR(__xludf.DUMMYFUNCTION("""COMPUTED_VALUE"""),21660.0)</f>
        <v>21660</v>
      </c>
      <c r="K622" s="213">
        <f>IFERROR(__xludf.DUMMYFUNCTION("""COMPUTED_VALUE"""),8259.0)</f>
        <v>8259</v>
      </c>
      <c r="L622" s="214">
        <f>IFERROR(__xludf.DUMMYFUNCTION("""COMPUTED_VALUE"""),0.3813)</f>
        <v>0.3813</v>
      </c>
      <c r="M622" s="213">
        <f>IFERROR(__xludf.DUMMYFUNCTION("""COMPUTED_VALUE"""),3005.0)</f>
        <v>3005</v>
      </c>
      <c r="N622" s="214">
        <f>IFERROR(__xludf.DUMMYFUNCTION("""COMPUTED_VALUE"""),0.3638)</f>
        <v>0.3638</v>
      </c>
      <c r="O622" s="213">
        <f>IFERROR(__xludf.DUMMYFUNCTION("""COMPUTED_VALUE"""),199.0)</f>
        <v>199</v>
      </c>
      <c r="P622" s="213">
        <f>IFERROR(__xludf.DUMMYFUNCTION("""COMPUTED_VALUE"""),175.0)</f>
        <v>175</v>
      </c>
      <c r="Q622" s="214">
        <f>IFERROR(__xludf.DUMMYFUNCTION("""COMPUTED_VALUE"""),0.0212)</f>
        <v>0.0212</v>
      </c>
      <c r="R622" s="214">
        <f>IFERROR(__xludf.DUMMYFUNCTION("""COMPUTED_VALUE"""),0.0582)</f>
        <v>0.0582</v>
      </c>
      <c r="S622" s="101"/>
      <c r="T622" s="101"/>
      <c r="U622" s="270">
        <f>IFERROR(__xludf.DUMMYFUNCTION("""COMPUTED_VALUE"""),12678.0)</f>
        <v>12678</v>
      </c>
      <c r="V622" s="271" t="str">
        <f>IFERROR(__xludf.DUMMYFUNCTION("""COMPUTED_VALUE"""),"online")</f>
        <v>online</v>
      </c>
      <c r="W622" s="272" t="str">
        <f>IFERROR(__xludf.DUMMYFUNCTION("""COMPUTED_VALUE"""),"simple")</f>
        <v>simple</v>
      </c>
      <c r="X622" s="272" t="str">
        <f>IFERROR(__xludf.DUMMYFUNCTION("""COMPUTED_VALUE"""),"Event Buyers")</f>
        <v>Event Buyers</v>
      </c>
      <c r="Y622" s="272" t="str">
        <f>IFERROR(__xludf.DUMMYFUNCTION("""COMPUTED_VALUE"""),"13 - 15 may")</f>
        <v>13 - 15 may</v>
      </c>
      <c r="Z622" s="272" t="str">
        <f>IFERROR(__xludf.DUMMYFUNCTION("""COMPUTED_VALUE"""),"6a05c057e5273bf137756390")</f>
        <v>6a05c057e5273bf137756390</v>
      </c>
      <c r="AA622" s="272">
        <f>IFERROR(__xludf.DUMMYFUNCTION("""COMPUTED_VALUE"""),21.0)</f>
        <v>21</v>
      </c>
      <c r="AB622" s="272">
        <f>IFERROR(__xludf.DUMMYFUNCTION("""COMPUTED_VALUE"""),21.0)</f>
        <v>21</v>
      </c>
      <c r="AC622" s="272"/>
      <c r="AD622" s="272">
        <f>IFERROR(__xludf.DUMMYFUNCTION("""COMPUTED_VALUE"""),54255.0)</f>
        <v>54255</v>
      </c>
      <c r="AE622" s="272">
        <f>IFERROR(__xludf.DUMMYFUNCTION("""COMPUTED_VALUE"""),54255.0)</f>
        <v>54255</v>
      </c>
      <c r="AF622" s="272"/>
      <c r="AG622" s="208"/>
      <c r="AH622" s="208"/>
      <c r="AI622" s="208"/>
      <c r="AJ622" s="208"/>
      <c r="AK622" s="208"/>
    </row>
    <row r="623" hidden="1">
      <c r="A623" s="209">
        <f>IFERROR(__xludf.DUMMYFUNCTION("""COMPUTED_VALUE"""),46156.0)</f>
        <v>46156</v>
      </c>
      <c r="B623" s="210">
        <f>IFERROR(__xludf.DUMMYFUNCTION("""COMPUTED_VALUE"""),0.5)</f>
        <v>0.5</v>
      </c>
      <c r="C623" s="211" t="str">
        <f>IFERROR(__xludf.DUMMYFUNCTION("""COMPUTED_VALUE"""),"Sms")</f>
        <v>Sms</v>
      </c>
      <c r="D623" s="211" t="str">
        <f>IFERROR(__xludf.DUMMYFUNCTION("""COMPUTED_VALUE"""),"Fallback campaign")</f>
        <v>Fallback campaign</v>
      </c>
      <c r="E623" s="211" t="str">
        <f>IFERROR(__xludf.DUMMYFUNCTION("""COMPUTED_VALUE"""),"BBW")</f>
        <v>BBW</v>
      </c>
      <c r="F623" s="211" t="str">
        <f>IFERROR(__xludf.DUMMYFUNCTION("""COMPUTED_VALUE"""),"BC at 999 - Body Care")</f>
        <v>BC at 999 - Body Care</v>
      </c>
      <c r="G623" s="212" t="str">
        <f>IFERROR(__xludf.DUMMYFUNCTION("""COMPUTED_VALUE"""),"bbw_smsfb_bcat999_online_ea_14may_dormant")</f>
        <v>bbw_smsfb_bcat999_online_ea_14may_dormant</v>
      </c>
      <c r="H623" s="212" t="str">
        <f>IFERROR(__xludf.DUMMYFUNCTION("""COMPUTED_VALUE"""),"BBW_ON_BC_Dormant_13_May_2026")</f>
        <v>BBW_ON_BC_Dormant_13_May_2026</v>
      </c>
      <c r="I623" s="212" t="str">
        <f>IFERROR(__xludf.DUMMYFUNCTION("""COMPUTED_VALUE"""),"WA Undelivered")</f>
        <v>WA Undelivered</v>
      </c>
      <c r="J623" s="213">
        <f>IFERROR(__xludf.DUMMYFUNCTION("""COMPUTED_VALUE"""),5049.0)</f>
        <v>5049</v>
      </c>
      <c r="K623" s="213">
        <f>IFERROR(__xludf.DUMMYFUNCTION("""COMPUTED_VALUE"""),2952.0)</f>
        <v>2952</v>
      </c>
      <c r="L623" s="214">
        <f>IFERROR(__xludf.DUMMYFUNCTION("""COMPUTED_VALUE"""),0.5847)</f>
        <v>0.5847</v>
      </c>
      <c r="M623" s="213">
        <f>IFERROR(__xludf.DUMMYFUNCTION("""COMPUTED_VALUE"""),0.0)</f>
        <v>0</v>
      </c>
      <c r="N623" s="214">
        <f>IFERROR(__xludf.DUMMYFUNCTION("""COMPUTED_VALUE"""),0.0)</f>
        <v>0</v>
      </c>
      <c r="O623" s="213">
        <f>IFERROR(__xludf.DUMMYFUNCTION("""COMPUTED_VALUE"""),2.0)</f>
        <v>2</v>
      </c>
      <c r="P623" s="213">
        <f>IFERROR(__xludf.DUMMYFUNCTION("""COMPUTED_VALUE"""),0.0)</f>
        <v>0</v>
      </c>
      <c r="Q623" s="214">
        <f>IFERROR(__xludf.DUMMYFUNCTION("""COMPUTED_VALUE"""),7.0E-4)</f>
        <v>0.0007</v>
      </c>
      <c r="R623" s="214">
        <f>IFERROR(__xludf.DUMMYFUNCTION("""COMPUTED_VALUE"""),0.0)</f>
        <v>0</v>
      </c>
      <c r="S623" s="101"/>
      <c r="T623" s="101"/>
      <c r="U623" s="270">
        <f>IFERROR(__xludf.DUMMYFUNCTION("""COMPUTED_VALUE"""),17486.0)</f>
        <v>17486</v>
      </c>
      <c r="V623" s="271" t="str">
        <f>IFERROR(__xludf.DUMMYFUNCTION("""COMPUTED_VALUE"""),"online")</f>
        <v>online</v>
      </c>
      <c r="W623" s="272" t="str">
        <f>IFERROR(__xludf.DUMMYFUNCTION("""COMPUTED_VALUE"""),"Sms")</f>
        <v>Sms</v>
      </c>
      <c r="X623" s="272" t="str">
        <f>IFERROR(__xludf.DUMMYFUNCTION("""COMPUTED_VALUE"""),"Dormant")</f>
        <v>Dormant</v>
      </c>
      <c r="Y623" s="272" t="str">
        <f>IFERROR(__xludf.DUMMYFUNCTION("""COMPUTED_VALUE"""),"14 May")</f>
        <v>14 May</v>
      </c>
      <c r="Z623" s="272" t="str">
        <f>IFERROR(__xludf.DUMMYFUNCTION("""COMPUTED_VALUE"""),"6a0469cdba191e290e89a049")</f>
        <v>6a0469cdba191e290e89a049</v>
      </c>
      <c r="AA623" s="272">
        <f>IFERROR(__xludf.DUMMYFUNCTION("""COMPUTED_VALUE"""),1.0)</f>
        <v>1</v>
      </c>
      <c r="AB623" s="272">
        <f>IFERROR(__xludf.DUMMYFUNCTION("""COMPUTED_VALUE"""),1.0)</f>
        <v>1</v>
      </c>
      <c r="AC623" s="272"/>
      <c r="AD623" s="272">
        <f>IFERROR(__xludf.DUMMYFUNCTION("""COMPUTED_VALUE"""),2997.0)</f>
        <v>2997</v>
      </c>
      <c r="AE623" s="272">
        <f>IFERROR(__xludf.DUMMYFUNCTION("""COMPUTED_VALUE"""),2997.0)</f>
        <v>2997</v>
      </c>
      <c r="AF623" s="272"/>
      <c r="AG623" s="208"/>
      <c r="AH623" s="208"/>
      <c r="AI623" s="208"/>
      <c r="AJ623" s="208"/>
      <c r="AK623" s="208"/>
    </row>
    <row r="624" hidden="1">
      <c r="A624" s="209">
        <f>IFERROR(__xludf.DUMMYFUNCTION("""COMPUTED_VALUE"""),46157.0)</f>
        <v>46157</v>
      </c>
      <c r="B624" s="210">
        <f>IFERROR(__xludf.DUMMYFUNCTION("""COMPUTED_VALUE"""),0.4583333333321207)</f>
        <v>0.4583333333</v>
      </c>
      <c r="C624" s="211" t="str">
        <f>IFERROR(__xludf.DUMMYFUNCTION("""COMPUTED_VALUE"""),"Whatsapp")</f>
        <v>Whatsapp</v>
      </c>
      <c r="D624" s="211" t="str">
        <f>IFERROR(__xludf.DUMMYFUNCTION("""COMPUTED_VALUE"""),"Promtional")</f>
        <v>Promtional</v>
      </c>
      <c r="E624" s="211" t="str">
        <f>IFERROR(__xludf.DUMMYFUNCTION("""COMPUTED_VALUE"""),"BBW")</f>
        <v>BBW</v>
      </c>
      <c r="F624" s="211" t="str">
        <f>IFERROR(__xludf.DUMMYFUNCTION("""COMPUTED_VALUE"""),"BC at 999 - Body Care")</f>
        <v>BC at 999 - Body Care</v>
      </c>
      <c r="G624" s="212" t="str">
        <f>IFERROR(__xludf.DUMMYFUNCTION("""COMPUTED_VALUE"""),"bbw_wa_bcat999_carousel_online_14may_blr")</f>
        <v>bbw_wa_bcat999_carousel_online_14may_blr</v>
      </c>
      <c r="H624" s="212" t="str">
        <f>IFERROR(__xludf.DUMMYFUNCTION("""COMPUTED_VALUE"""),"BBW_ON_6M_Pr_BLR")</f>
        <v>BBW_ON_6M_Pr_BLR</v>
      </c>
      <c r="I624" s="212" t="str">
        <f>IFERROR(__xludf.DUMMYFUNCTION("""COMPUTED_VALUE"""),"Online Customers who have purchased at least 1 time from Txn_City: Bangalore in the last 180 Days")</f>
        <v>Online Customers who have purchased at least 1 time from Txn_City: Bangalore in the last 180 Days</v>
      </c>
      <c r="J624" s="213">
        <f>IFERROR(__xludf.DUMMYFUNCTION("""COMPUTED_VALUE"""),9226.0)</f>
        <v>9226</v>
      </c>
      <c r="K624" s="213">
        <f>IFERROR(__xludf.DUMMYFUNCTION("""COMPUTED_VALUE"""),4611.0)</f>
        <v>4611</v>
      </c>
      <c r="L624" s="214">
        <f>IFERROR(__xludf.DUMMYFUNCTION("""COMPUTED_VALUE"""),0.4997)</f>
        <v>0.4997</v>
      </c>
      <c r="M624" s="213">
        <f>IFERROR(__xludf.DUMMYFUNCTION("""COMPUTED_VALUE"""),1719.0)</f>
        <v>1719</v>
      </c>
      <c r="N624" s="214">
        <f>IFERROR(__xludf.DUMMYFUNCTION("""COMPUTED_VALUE"""),0.3729)</f>
        <v>0.3729</v>
      </c>
      <c r="O624" s="213">
        <f>IFERROR(__xludf.DUMMYFUNCTION("""COMPUTED_VALUE"""),129.0)</f>
        <v>129</v>
      </c>
      <c r="P624" s="213">
        <f>IFERROR(__xludf.DUMMYFUNCTION("""COMPUTED_VALUE"""),126.0)</f>
        <v>126</v>
      </c>
      <c r="Q624" s="214">
        <f>IFERROR(__xludf.DUMMYFUNCTION("""COMPUTED_VALUE"""),0.0273)</f>
        <v>0.0273</v>
      </c>
      <c r="R624" s="214">
        <f>IFERROR(__xludf.DUMMYFUNCTION("""COMPUTED_VALUE"""),0.0733)</f>
        <v>0.0733</v>
      </c>
      <c r="S624" s="101"/>
      <c r="T624" s="101"/>
      <c r="U624" s="270">
        <f>IFERROR(__xludf.DUMMYFUNCTION("""COMPUTED_VALUE"""),9371.0)</f>
        <v>9371</v>
      </c>
      <c r="V624" s="271" t="str">
        <f>IFERROR(__xludf.DUMMYFUNCTION("""COMPUTED_VALUE"""),"online")</f>
        <v>online</v>
      </c>
      <c r="W624" s="272" t="str">
        <f>IFERROR(__xludf.DUMMYFUNCTION("""COMPUTED_VALUE"""),"carousel")</f>
        <v>carousel</v>
      </c>
      <c r="X624" s="272" t="str">
        <f>IFERROR(__xludf.DUMMYFUNCTION("""COMPUTED_VALUE"""),"City Specific")</f>
        <v>City Specific</v>
      </c>
      <c r="Y624" s="272" t="str">
        <f>IFERROR(__xludf.DUMMYFUNCTION("""COMPUTED_VALUE"""),"15 - 17 May")</f>
        <v>15 - 17 May</v>
      </c>
      <c r="Z624" s="272" t="str">
        <f>IFERROR(__xludf.DUMMYFUNCTION("""COMPUTED_VALUE"""),"6a0594148d27265cbe638f1e")</f>
        <v>6a0594148d27265cbe638f1e</v>
      </c>
      <c r="AA624" s="272">
        <f>IFERROR(__xludf.DUMMYFUNCTION("""COMPUTED_VALUE"""),21.0)</f>
        <v>21</v>
      </c>
      <c r="AB624" s="272">
        <f>IFERROR(__xludf.DUMMYFUNCTION("""COMPUTED_VALUE"""),21.0)</f>
        <v>21</v>
      </c>
      <c r="AC624" s="272"/>
      <c r="AD624" s="272">
        <f>IFERROR(__xludf.DUMMYFUNCTION("""COMPUTED_VALUE"""),56064.0)</f>
        <v>56064</v>
      </c>
      <c r="AE624" s="272">
        <f>IFERROR(__xludf.DUMMYFUNCTION("""COMPUTED_VALUE"""),56064.0)</f>
        <v>56064</v>
      </c>
      <c r="AF624" s="272"/>
      <c r="AG624" s="208"/>
      <c r="AH624" s="208"/>
      <c r="AI624" s="208"/>
      <c r="AJ624" s="208"/>
      <c r="AK624" s="208"/>
    </row>
    <row r="625" hidden="1">
      <c r="A625" s="209">
        <f>IFERROR(__xludf.DUMMYFUNCTION("""COMPUTED_VALUE"""),46157.0)</f>
        <v>46157</v>
      </c>
      <c r="B625" s="210">
        <f>IFERROR(__xludf.DUMMYFUNCTION("""COMPUTED_VALUE"""),0.4618055555547471)</f>
        <v>0.4618055556</v>
      </c>
      <c r="C625" s="211" t="str">
        <f>IFERROR(__xludf.DUMMYFUNCTION("""COMPUTED_VALUE"""),"Whatsapp")</f>
        <v>Whatsapp</v>
      </c>
      <c r="D625" s="211" t="str">
        <f>IFERROR(__xludf.DUMMYFUNCTION("""COMPUTED_VALUE"""),"Promtional")</f>
        <v>Promtional</v>
      </c>
      <c r="E625" s="211" t="str">
        <f>IFERROR(__xludf.DUMMYFUNCTION("""COMPUTED_VALUE"""),"BBW")</f>
        <v>BBW</v>
      </c>
      <c r="F625" s="211" t="str">
        <f>IFERROR(__xludf.DUMMYFUNCTION("""COMPUTED_VALUE"""),"BC at 999 - Body Care")</f>
        <v>BC at 999 - Body Care</v>
      </c>
      <c r="G625" s="212" t="str">
        <f>IFERROR(__xludf.DUMMYFUNCTION("""COMPUTED_VALUE"""),"bbw_wa_bcat999_carousel_online_14may_bombay")</f>
        <v>bbw_wa_bcat999_carousel_online_14may_bombay</v>
      </c>
      <c r="H625" s="212" t="str">
        <f>IFERROR(__xludf.DUMMYFUNCTION("""COMPUTED_VALUE"""),"BBW_ON_6M_Pr_BOM")</f>
        <v>BBW_ON_6M_Pr_BOM</v>
      </c>
      <c r="I625" s="212" t="str">
        <f>IFERROR(__xludf.DUMMYFUNCTION("""COMPUTED_VALUE"""),"Online Customers who have purchased at least 1 time from Txn_City: Mumbai in the last 180 Days")</f>
        <v>Online Customers who have purchased at least 1 time from Txn_City: Mumbai in the last 180 Days</v>
      </c>
      <c r="J625" s="213">
        <f>IFERROR(__xludf.DUMMYFUNCTION("""COMPUTED_VALUE"""),8690.0)</f>
        <v>8690</v>
      </c>
      <c r="K625" s="213">
        <f>IFERROR(__xludf.DUMMYFUNCTION("""COMPUTED_VALUE"""),3585.0)</f>
        <v>3585</v>
      </c>
      <c r="L625" s="214">
        <f>IFERROR(__xludf.DUMMYFUNCTION("""COMPUTED_VALUE"""),0.4125)</f>
        <v>0.4125</v>
      </c>
      <c r="M625" s="213">
        <f>IFERROR(__xludf.DUMMYFUNCTION("""COMPUTED_VALUE"""),1471.0)</f>
        <v>1471</v>
      </c>
      <c r="N625" s="214">
        <f>IFERROR(__xludf.DUMMYFUNCTION("""COMPUTED_VALUE"""),0.4103)</f>
        <v>0.4103</v>
      </c>
      <c r="O625" s="213">
        <f>IFERROR(__xludf.DUMMYFUNCTION("""COMPUTED_VALUE"""),143.0)</f>
        <v>143</v>
      </c>
      <c r="P625" s="213">
        <f>IFERROR(__xludf.DUMMYFUNCTION("""COMPUTED_VALUE"""),133.0)</f>
        <v>133</v>
      </c>
      <c r="Q625" s="214">
        <f>IFERROR(__xludf.DUMMYFUNCTION("""COMPUTED_VALUE"""),0.0371)</f>
        <v>0.0371</v>
      </c>
      <c r="R625" s="214">
        <f>IFERROR(__xludf.DUMMYFUNCTION("""COMPUTED_VALUE"""),0.0904)</f>
        <v>0.0904</v>
      </c>
      <c r="S625" s="101"/>
      <c r="T625" s="101"/>
      <c r="U625" s="270">
        <f>IFERROR(__xludf.DUMMYFUNCTION("""COMPUTED_VALUE"""),12594.0)</f>
        <v>12594</v>
      </c>
      <c r="V625" s="271" t="str">
        <f>IFERROR(__xludf.DUMMYFUNCTION("""COMPUTED_VALUE"""),"online")</f>
        <v>online</v>
      </c>
      <c r="W625" s="272" t="str">
        <f>IFERROR(__xludf.DUMMYFUNCTION("""COMPUTED_VALUE"""),"carousel")</f>
        <v>carousel</v>
      </c>
      <c r="X625" s="272" t="str">
        <f>IFERROR(__xludf.DUMMYFUNCTION("""COMPUTED_VALUE"""),"City Specific")</f>
        <v>City Specific</v>
      </c>
      <c r="Y625" s="272" t="str">
        <f>IFERROR(__xludf.DUMMYFUNCTION("""COMPUTED_VALUE"""),"15 - 17 May")</f>
        <v>15 - 17 May</v>
      </c>
      <c r="Z625" s="272" t="str">
        <f>IFERROR(__xludf.DUMMYFUNCTION("""COMPUTED_VALUE"""),"6a059476ea169f16b0406357")</f>
        <v>6a059476ea169f16b0406357</v>
      </c>
      <c r="AA625" s="272">
        <f>IFERROR(__xludf.DUMMYFUNCTION("""COMPUTED_VALUE"""),12.0)</f>
        <v>12</v>
      </c>
      <c r="AB625" s="272">
        <f>IFERROR(__xludf.DUMMYFUNCTION("""COMPUTED_VALUE"""),12.0)</f>
        <v>12</v>
      </c>
      <c r="AC625" s="272"/>
      <c r="AD625" s="272">
        <f>IFERROR(__xludf.DUMMYFUNCTION("""COMPUTED_VALUE"""),38161.0)</f>
        <v>38161</v>
      </c>
      <c r="AE625" s="272">
        <f>IFERROR(__xludf.DUMMYFUNCTION("""COMPUTED_VALUE"""),38161.0)</f>
        <v>38161</v>
      </c>
      <c r="AF625" s="272"/>
      <c r="AG625" s="208"/>
      <c r="AH625" s="208"/>
      <c r="AI625" s="208"/>
      <c r="AJ625" s="208"/>
      <c r="AK625" s="208"/>
    </row>
    <row r="626" hidden="1">
      <c r="A626" s="209">
        <f>IFERROR(__xludf.DUMMYFUNCTION("""COMPUTED_VALUE"""),46157.0)</f>
        <v>46157</v>
      </c>
      <c r="B626" s="210">
        <f>IFERROR(__xludf.DUMMYFUNCTION("""COMPUTED_VALUE"""),0.46527777777737356)</f>
        <v>0.4652777778</v>
      </c>
      <c r="C626" s="211" t="str">
        <f>IFERROR(__xludf.DUMMYFUNCTION("""COMPUTED_VALUE"""),"Whatsapp")</f>
        <v>Whatsapp</v>
      </c>
      <c r="D626" s="211" t="str">
        <f>IFERROR(__xludf.DUMMYFUNCTION("""COMPUTED_VALUE"""),"Promtional")</f>
        <v>Promtional</v>
      </c>
      <c r="E626" s="211" t="str">
        <f>IFERROR(__xludf.DUMMYFUNCTION("""COMPUTED_VALUE"""),"BBW")</f>
        <v>BBW</v>
      </c>
      <c r="F626" s="211" t="str">
        <f>IFERROR(__xludf.DUMMYFUNCTION("""COMPUTED_VALUE"""),"BC at 999 - Body Care")</f>
        <v>BC at 999 - Body Care</v>
      </c>
      <c r="G626" s="212" t="str">
        <f>IFERROR(__xludf.DUMMYFUNCTION("""COMPUTED_VALUE"""),"bbw_wa_bcat999_carousel_online_14may_delhi")</f>
        <v>bbw_wa_bcat999_carousel_online_14may_delhi</v>
      </c>
      <c r="H626" s="212" t="str">
        <f>IFERROR(__xludf.DUMMYFUNCTION("""COMPUTED_VALUE"""),"BBW_ON_6M_Pr_DELHI")</f>
        <v>BBW_ON_6M_Pr_DELHI</v>
      </c>
      <c r="I626" s="212" t="str">
        <f>IFERROR(__xludf.DUMMYFUNCTION("""COMPUTED_VALUE"""),"Online Customers who have purchased at least 1 time from Txn_City: Delhi in the last 180 Days")</f>
        <v>Online Customers who have purchased at least 1 time from Txn_City: Delhi in the last 180 Days</v>
      </c>
      <c r="J626" s="213">
        <f>IFERROR(__xludf.DUMMYFUNCTION("""COMPUTED_VALUE"""),6983.0)</f>
        <v>6983</v>
      </c>
      <c r="K626" s="213">
        <f>IFERROR(__xludf.DUMMYFUNCTION("""COMPUTED_VALUE"""),3257.0)</f>
        <v>3257</v>
      </c>
      <c r="L626" s="214">
        <f>IFERROR(__xludf.DUMMYFUNCTION("""COMPUTED_VALUE"""),0.4663)</f>
        <v>0.4663</v>
      </c>
      <c r="M626" s="213">
        <f>IFERROR(__xludf.DUMMYFUNCTION("""COMPUTED_VALUE"""),1138.0)</f>
        <v>1138</v>
      </c>
      <c r="N626" s="214">
        <f>IFERROR(__xludf.DUMMYFUNCTION("""COMPUTED_VALUE"""),0.3492)</f>
        <v>0.3492</v>
      </c>
      <c r="O626" s="213">
        <f>IFERROR(__xludf.DUMMYFUNCTION("""COMPUTED_VALUE"""),104.0)</f>
        <v>104</v>
      </c>
      <c r="P626" s="213">
        <f>IFERROR(__xludf.DUMMYFUNCTION("""COMPUTED_VALUE"""),98.0)</f>
        <v>98</v>
      </c>
      <c r="Q626" s="214">
        <f>IFERROR(__xludf.DUMMYFUNCTION("""COMPUTED_VALUE"""),0.0301)</f>
        <v>0.0301</v>
      </c>
      <c r="R626" s="214">
        <f>IFERROR(__xludf.DUMMYFUNCTION("""COMPUTED_VALUE"""),0.0862)</f>
        <v>0.0862</v>
      </c>
      <c r="S626" s="101"/>
      <c r="T626" s="101"/>
      <c r="U626" s="270">
        <f>IFERROR(__xludf.DUMMYFUNCTION("""COMPUTED_VALUE"""),39548.0)</f>
        <v>39548</v>
      </c>
      <c r="V626" s="271" t="str">
        <f>IFERROR(__xludf.DUMMYFUNCTION("""COMPUTED_VALUE"""),"online")</f>
        <v>online</v>
      </c>
      <c r="W626" s="272" t="str">
        <f>IFERROR(__xludf.DUMMYFUNCTION("""COMPUTED_VALUE"""),"carousel")</f>
        <v>carousel</v>
      </c>
      <c r="X626" s="272" t="str">
        <f>IFERROR(__xludf.DUMMYFUNCTION("""COMPUTED_VALUE"""),"City Specific")</f>
        <v>City Specific</v>
      </c>
      <c r="Y626" s="272" t="str">
        <f>IFERROR(__xludf.DUMMYFUNCTION("""COMPUTED_VALUE"""),"15 - 17 May")</f>
        <v>15 - 17 May</v>
      </c>
      <c r="Z626" s="272" t="str">
        <f>IFERROR(__xludf.DUMMYFUNCTION("""COMPUTED_VALUE"""),"6a0594b525ce63453b6d0522")</f>
        <v>6a0594b525ce63453b6d0522</v>
      </c>
      <c r="AA626" s="272">
        <f>IFERROR(__xludf.DUMMYFUNCTION("""COMPUTED_VALUE"""),13.0)</f>
        <v>13</v>
      </c>
      <c r="AB626" s="272">
        <f>IFERROR(__xludf.DUMMYFUNCTION("""COMPUTED_VALUE"""),13.0)</f>
        <v>13</v>
      </c>
      <c r="AC626" s="272"/>
      <c r="AD626" s="272">
        <f>IFERROR(__xludf.DUMMYFUNCTION("""COMPUTED_VALUE"""),32267.0)</f>
        <v>32267</v>
      </c>
      <c r="AE626" s="272">
        <f>IFERROR(__xludf.DUMMYFUNCTION("""COMPUTED_VALUE"""),32267.0)</f>
        <v>32267</v>
      </c>
      <c r="AF626" s="272"/>
      <c r="AG626" s="208"/>
      <c r="AH626" s="208"/>
      <c r="AI626" s="208"/>
      <c r="AJ626" s="208"/>
      <c r="AK626" s="208"/>
    </row>
    <row r="627" hidden="1">
      <c r="A627" s="209">
        <f>IFERROR(__xludf.DUMMYFUNCTION("""COMPUTED_VALUE"""),46157.0)</f>
        <v>46157</v>
      </c>
      <c r="B627" s="210">
        <f>IFERROR(__xludf.DUMMYFUNCTION("""COMPUTED_VALUE"""),0.46875)</f>
        <v>0.46875</v>
      </c>
      <c r="C627" s="211" t="str">
        <f>IFERROR(__xludf.DUMMYFUNCTION("""COMPUTED_VALUE"""),"Whatsapp")</f>
        <v>Whatsapp</v>
      </c>
      <c r="D627" s="211" t="str">
        <f>IFERROR(__xludf.DUMMYFUNCTION("""COMPUTED_VALUE"""),"Promtional")</f>
        <v>Promtional</v>
      </c>
      <c r="E627" s="211" t="str">
        <f>IFERROR(__xludf.DUMMYFUNCTION("""COMPUTED_VALUE"""),"BBW")</f>
        <v>BBW</v>
      </c>
      <c r="F627" s="211" t="str">
        <f>IFERROR(__xludf.DUMMYFUNCTION("""COMPUTED_VALUE"""),"BC at 999 - Body Care")</f>
        <v>BC at 999 - Body Care</v>
      </c>
      <c r="G627" s="212" t="str">
        <f>IFERROR(__xludf.DUMMYFUNCTION("""COMPUTED_VALUE"""),"bbw_wa_bcat999_carousel_online_14may_ggn")</f>
        <v>bbw_wa_bcat999_carousel_online_14may_ggn</v>
      </c>
      <c r="H627" s="212" t="str">
        <f>IFERROR(__xludf.DUMMYFUNCTION("""COMPUTED_VALUE"""),"BBW_ON_6M_Pr_GGN")</f>
        <v>BBW_ON_6M_Pr_GGN</v>
      </c>
      <c r="I627" s="212" t="str">
        <f>IFERROR(__xludf.DUMMYFUNCTION("""COMPUTED_VALUE"""),"Online Customers who have purchased at least 1 time from Txn_City: Gurgaon in the last 180 Days")</f>
        <v>Online Customers who have purchased at least 1 time from Txn_City: Gurgaon in the last 180 Days</v>
      </c>
      <c r="J627" s="213">
        <f>IFERROR(__xludf.DUMMYFUNCTION("""COMPUTED_VALUE"""),3694.0)</f>
        <v>3694</v>
      </c>
      <c r="K627" s="213">
        <f>IFERROR(__xludf.DUMMYFUNCTION("""COMPUTED_VALUE"""),1645.0)</f>
        <v>1645</v>
      </c>
      <c r="L627" s="214">
        <f>IFERROR(__xludf.DUMMYFUNCTION("""COMPUTED_VALUE"""),0.445)</f>
        <v>0.445</v>
      </c>
      <c r="M627" s="213">
        <f>IFERROR(__xludf.DUMMYFUNCTION("""COMPUTED_VALUE"""),565.0)</f>
        <v>565</v>
      </c>
      <c r="N627" s="214">
        <f>IFERROR(__xludf.DUMMYFUNCTION("""COMPUTED_VALUE"""),0.3437)</f>
        <v>0.3437</v>
      </c>
      <c r="O627" s="213">
        <f>IFERROR(__xludf.DUMMYFUNCTION("""COMPUTED_VALUE"""),36.0)</f>
        <v>36</v>
      </c>
      <c r="P627" s="213">
        <f>IFERROR(__xludf.DUMMYFUNCTION("""COMPUTED_VALUE"""),34.0)</f>
        <v>34</v>
      </c>
      <c r="Q627" s="214">
        <f>IFERROR(__xludf.DUMMYFUNCTION("""COMPUTED_VALUE"""),0.0207)</f>
        <v>0.0207</v>
      </c>
      <c r="R627" s="214">
        <f>IFERROR(__xludf.DUMMYFUNCTION("""COMPUTED_VALUE"""),0.0602)</f>
        <v>0.0602</v>
      </c>
      <c r="S627" s="101"/>
      <c r="T627" s="101"/>
      <c r="U627" s="270">
        <f>IFERROR(__xludf.DUMMYFUNCTION("""COMPUTED_VALUE"""),6196.0)</f>
        <v>6196</v>
      </c>
      <c r="V627" s="271" t="str">
        <f>IFERROR(__xludf.DUMMYFUNCTION("""COMPUTED_VALUE"""),"online")</f>
        <v>online</v>
      </c>
      <c r="W627" s="272" t="str">
        <f>IFERROR(__xludf.DUMMYFUNCTION("""COMPUTED_VALUE"""),"carousel")</f>
        <v>carousel</v>
      </c>
      <c r="X627" s="272" t="str">
        <f>IFERROR(__xludf.DUMMYFUNCTION("""COMPUTED_VALUE"""),"City Specific")</f>
        <v>City Specific</v>
      </c>
      <c r="Y627" s="272" t="str">
        <f>IFERROR(__xludf.DUMMYFUNCTION("""COMPUTED_VALUE"""),"15 - 17 May")</f>
        <v>15 - 17 May</v>
      </c>
      <c r="Z627" s="272" t="str">
        <f>IFERROR(__xludf.DUMMYFUNCTION("""COMPUTED_VALUE"""),"6a059501e21aac318a1f251d")</f>
        <v>6a059501e21aac318a1f251d</v>
      </c>
      <c r="AA627" s="272">
        <f>IFERROR(__xludf.DUMMYFUNCTION("""COMPUTED_VALUE"""),9.0)</f>
        <v>9</v>
      </c>
      <c r="AB627" s="272">
        <f>IFERROR(__xludf.DUMMYFUNCTION("""COMPUTED_VALUE"""),9.0)</f>
        <v>9</v>
      </c>
      <c r="AC627" s="272"/>
      <c r="AD627" s="272">
        <f>IFERROR(__xludf.DUMMYFUNCTION("""COMPUTED_VALUE"""),30273.0)</f>
        <v>30273</v>
      </c>
      <c r="AE627" s="272">
        <f>IFERROR(__xludf.DUMMYFUNCTION("""COMPUTED_VALUE"""),30273.0)</f>
        <v>30273</v>
      </c>
      <c r="AF627" s="272"/>
      <c r="AG627" s="208"/>
      <c r="AH627" s="208"/>
      <c r="AI627" s="208"/>
      <c r="AJ627" s="208"/>
      <c r="AK627" s="208"/>
    </row>
    <row r="628" hidden="1">
      <c r="A628" s="209">
        <f>IFERROR(__xludf.DUMMYFUNCTION("""COMPUTED_VALUE"""),46157.0)</f>
        <v>46157</v>
      </c>
      <c r="B628" s="210">
        <f>IFERROR(__xludf.DUMMYFUNCTION("""COMPUTED_VALUE"""),0.47222222222262644)</f>
        <v>0.4722222222</v>
      </c>
      <c r="C628" s="211" t="str">
        <f>IFERROR(__xludf.DUMMYFUNCTION("""COMPUTED_VALUE"""),"Whatsapp")</f>
        <v>Whatsapp</v>
      </c>
      <c r="D628" s="211" t="str">
        <f>IFERROR(__xludf.DUMMYFUNCTION("""COMPUTED_VALUE"""),"Promtional")</f>
        <v>Promtional</v>
      </c>
      <c r="E628" s="211" t="str">
        <f>IFERROR(__xludf.DUMMYFUNCTION("""COMPUTED_VALUE"""),"BBW")</f>
        <v>BBW</v>
      </c>
      <c r="F628" s="211" t="str">
        <f>IFERROR(__xludf.DUMMYFUNCTION("""COMPUTED_VALUE"""),"BC at 999 - Body Care")</f>
        <v>BC at 999 - Body Care</v>
      </c>
      <c r="G628" s="212" t="str">
        <f>IFERROR(__xludf.DUMMYFUNCTION("""COMPUTED_VALUE"""),"bbw_wa_bcat999_carousel_online_14may_pune")</f>
        <v>bbw_wa_bcat999_carousel_online_14may_pune</v>
      </c>
      <c r="H628" s="212" t="str">
        <f>IFERROR(__xludf.DUMMYFUNCTION("""COMPUTED_VALUE"""),"BBW_ON_6M_Pr_PUNE")</f>
        <v>BBW_ON_6M_Pr_PUNE</v>
      </c>
      <c r="I628" s="212" t="str">
        <f>IFERROR(__xludf.DUMMYFUNCTION("""COMPUTED_VALUE"""),"Online Customers who have purchased at least 1 time from Txn_City: Pune in the last 180 Days")</f>
        <v>Online Customers who have purchased at least 1 time from Txn_City: Pune in the last 180 Days</v>
      </c>
      <c r="J628" s="213">
        <f>IFERROR(__xludf.DUMMYFUNCTION("""COMPUTED_VALUE"""),3181.0)</f>
        <v>3181</v>
      </c>
      <c r="K628" s="213">
        <f>IFERROR(__xludf.DUMMYFUNCTION("""COMPUTED_VALUE"""),1602.0)</f>
        <v>1602</v>
      </c>
      <c r="L628" s="214">
        <f>IFERROR(__xludf.DUMMYFUNCTION("""COMPUTED_VALUE"""),0.5036)</f>
        <v>0.5036</v>
      </c>
      <c r="M628" s="213">
        <f>IFERROR(__xludf.DUMMYFUNCTION("""COMPUTED_VALUE"""),645.0)</f>
        <v>645</v>
      </c>
      <c r="N628" s="214">
        <f>IFERROR(__xludf.DUMMYFUNCTION("""COMPUTED_VALUE"""),0.4026)</f>
        <v>0.4026</v>
      </c>
      <c r="O628" s="213">
        <f>IFERROR(__xludf.DUMMYFUNCTION("""COMPUTED_VALUE"""),33.0)</f>
        <v>33</v>
      </c>
      <c r="P628" s="213">
        <f>IFERROR(__xludf.DUMMYFUNCTION("""COMPUTED_VALUE"""),29.0)</f>
        <v>29</v>
      </c>
      <c r="Q628" s="214">
        <f>IFERROR(__xludf.DUMMYFUNCTION("""COMPUTED_VALUE"""),0.0181)</f>
        <v>0.0181</v>
      </c>
      <c r="R628" s="214">
        <f>IFERROR(__xludf.DUMMYFUNCTION("""COMPUTED_VALUE"""),0.045)</f>
        <v>0.045</v>
      </c>
      <c r="S628" s="101"/>
      <c r="T628" s="101"/>
      <c r="U628" s="270">
        <f>IFERROR(__xludf.DUMMYFUNCTION("""COMPUTED_VALUE"""),7391.0)</f>
        <v>7391</v>
      </c>
      <c r="V628" s="271" t="str">
        <f>IFERROR(__xludf.DUMMYFUNCTION("""COMPUTED_VALUE"""),"online")</f>
        <v>online</v>
      </c>
      <c r="W628" s="272" t="str">
        <f>IFERROR(__xludf.DUMMYFUNCTION("""COMPUTED_VALUE"""),"carousel")</f>
        <v>carousel</v>
      </c>
      <c r="X628" s="272" t="str">
        <f>IFERROR(__xludf.DUMMYFUNCTION("""COMPUTED_VALUE"""),"City Specific")</f>
        <v>City Specific</v>
      </c>
      <c r="Y628" s="272" t="str">
        <f>IFERROR(__xludf.DUMMYFUNCTION("""COMPUTED_VALUE"""),"15 - 17 May")</f>
        <v>15 - 17 May</v>
      </c>
      <c r="Z628" s="272" t="str">
        <f>IFERROR(__xludf.DUMMYFUNCTION("""COMPUTED_VALUE"""),"6a05957008565d61504b45fd")</f>
        <v>6a05957008565d61504b45fd</v>
      </c>
      <c r="AA628" s="272">
        <f>IFERROR(__xludf.DUMMYFUNCTION("""COMPUTED_VALUE"""),9.0)</f>
        <v>9</v>
      </c>
      <c r="AB628" s="272">
        <f>IFERROR(__xludf.DUMMYFUNCTION("""COMPUTED_VALUE"""),9.0)</f>
        <v>9</v>
      </c>
      <c r="AC628" s="272"/>
      <c r="AD628" s="272">
        <f>IFERROR(__xludf.DUMMYFUNCTION("""COMPUTED_VALUE"""),18181.0)</f>
        <v>18181</v>
      </c>
      <c r="AE628" s="272">
        <f>IFERROR(__xludf.DUMMYFUNCTION("""COMPUTED_VALUE"""),18181.0)</f>
        <v>18181</v>
      </c>
      <c r="AF628" s="272"/>
      <c r="AG628" s="208"/>
      <c r="AH628" s="208"/>
      <c r="AI628" s="208"/>
      <c r="AJ628" s="208"/>
      <c r="AK628" s="208"/>
    </row>
    <row r="629" hidden="1">
      <c r="A629" s="209">
        <f>IFERROR(__xludf.DUMMYFUNCTION("""COMPUTED_VALUE"""),46157.0)</f>
        <v>46157</v>
      </c>
      <c r="B629" s="210">
        <f>IFERROR(__xludf.DUMMYFUNCTION("""COMPUTED_VALUE"""),0.4756944444452529)</f>
        <v>0.4756944444</v>
      </c>
      <c r="C629" s="211" t="str">
        <f>IFERROR(__xludf.DUMMYFUNCTION("""COMPUTED_VALUE"""),"Whatsapp")</f>
        <v>Whatsapp</v>
      </c>
      <c r="D629" s="211" t="str">
        <f>IFERROR(__xludf.DUMMYFUNCTION("""COMPUTED_VALUE"""),"Promtional")</f>
        <v>Promtional</v>
      </c>
      <c r="E629" s="211" t="str">
        <f>IFERROR(__xludf.DUMMYFUNCTION("""COMPUTED_VALUE"""),"BBW")</f>
        <v>BBW</v>
      </c>
      <c r="F629" s="211" t="str">
        <f>IFERROR(__xludf.DUMMYFUNCTION("""COMPUTED_VALUE"""),"BC at 999 - Body Care")</f>
        <v>BC at 999 - Body Care</v>
      </c>
      <c r="G629" s="212" t="str">
        <f>IFERROR(__xludf.DUMMYFUNCTION("""COMPUTED_VALUE"""),"bbw_wa_bcat999_carousel_online_14may_chennai")</f>
        <v>bbw_wa_bcat999_carousel_online_14may_chennai</v>
      </c>
      <c r="H629" s="212" t="str">
        <f>IFERROR(__xludf.DUMMYFUNCTION("""COMPUTED_VALUE"""),"BBW_ON_6M_Pr_CHENNAI")</f>
        <v>BBW_ON_6M_Pr_CHENNAI</v>
      </c>
      <c r="I629" s="212" t="str">
        <f>IFERROR(__xludf.DUMMYFUNCTION("""COMPUTED_VALUE"""),"Online Customers who have purchased at least 1 time from Txn_City: Chennai in the last 180 Days")</f>
        <v>Online Customers who have purchased at least 1 time from Txn_City: Chennai in the last 180 Days</v>
      </c>
      <c r="J629" s="213">
        <f>IFERROR(__xludf.DUMMYFUNCTION("""COMPUTED_VALUE"""),2081.0)</f>
        <v>2081</v>
      </c>
      <c r="K629" s="213">
        <f>IFERROR(__xludf.DUMMYFUNCTION("""COMPUTED_VALUE"""),997.0)</f>
        <v>997</v>
      </c>
      <c r="L629" s="214">
        <f>IFERROR(__xludf.DUMMYFUNCTION("""COMPUTED_VALUE"""),0.4791)</f>
        <v>0.4791</v>
      </c>
      <c r="M629" s="213">
        <f>IFERROR(__xludf.DUMMYFUNCTION("""COMPUTED_VALUE"""),407.0)</f>
        <v>407</v>
      </c>
      <c r="N629" s="214">
        <f>IFERROR(__xludf.DUMMYFUNCTION("""COMPUTED_VALUE"""),0.4082)</f>
        <v>0.4082</v>
      </c>
      <c r="O629" s="213">
        <f>IFERROR(__xludf.DUMMYFUNCTION("""COMPUTED_VALUE"""),30.0)</f>
        <v>30</v>
      </c>
      <c r="P629" s="213">
        <f>IFERROR(__xludf.DUMMYFUNCTION("""COMPUTED_VALUE"""),30.0)</f>
        <v>30</v>
      </c>
      <c r="Q629" s="214">
        <f>IFERROR(__xludf.DUMMYFUNCTION("""COMPUTED_VALUE"""),0.0301)</f>
        <v>0.0301</v>
      </c>
      <c r="R629" s="214">
        <f>IFERROR(__xludf.DUMMYFUNCTION("""COMPUTED_VALUE"""),0.0737)</f>
        <v>0.0737</v>
      </c>
      <c r="S629" s="101"/>
      <c r="T629" s="101"/>
      <c r="U629" s="270">
        <f>IFERROR(__xludf.DUMMYFUNCTION("""COMPUTED_VALUE"""),5195.0)</f>
        <v>5195</v>
      </c>
      <c r="V629" s="271" t="str">
        <f>IFERROR(__xludf.DUMMYFUNCTION("""COMPUTED_VALUE"""),"online")</f>
        <v>online</v>
      </c>
      <c r="W629" s="272" t="str">
        <f>IFERROR(__xludf.DUMMYFUNCTION("""COMPUTED_VALUE"""),"carousel")</f>
        <v>carousel</v>
      </c>
      <c r="X629" s="272" t="str">
        <f>IFERROR(__xludf.DUMMYFUNCTION("""COMPUTED_VALUE"""),"City Specific")</f>
        <v>City Specific</v>
      </c>
      <c r="Y629" s="272" t="str">
        <f>IFERROR(__xludf.DUMMYFUNCTION("""COMPUTED_VALUE"""),"15 - 17 May")</f>
        <v>15 - 17 May</v>
      </c>
      <c r="Z629" s="272" t="str">
        <f>IFERROR(__xludf.DUMMYFUNCTION("""COMPUTED_VALUE"""),"6a05964ebd3a92c0bdc015db")</f>
        <v>6a05964ebd3a92c0bdc015db</v>
      </c>
      <c r="AA629" s="272">
        <f>IFERROR(__xludf.DUMMYFUNCTION("""COMPUTED_VALUE"""),4.0)</f>
        <v>4</v>
      </c>
      <c r="AB629" s="272">
        <f>IFERROR(__xludf.DUMMYFUNCTION("""COMPUTED_VALUE"""),4.0)</f>
        <v>4</v>
      </c>
      <c r="AC629" s="272"/>
      <c r="AD629" s="272">
        <f>IFERROR(__xludf.DUMMYFUNCTION("""COMPUTED_VALUE"""),17783.0)</f>
        <v>17783</v>
      </c>
      <c r="AE629" s="272">
        <f>IFERROR(__xludf.DUMMYFUNCTION("""COMPUTED_VALUE"""),17783.0)</f>
        <v>17783</v>
      </c>
      <c r="AF629" s="272"/>
      <c r="AG629" s="208"/>
      <c r="AH629" s="208"/>
      <c r="AI629" s="208"/>
      <c r="AJ629" s="208"/>
      <c r="AK629" s="208"/>
    </row>
    <row r="630" hidden="1">
      <c r="A630" s="209">
        <f>IFERROR(__xludf.DUMMYFUNCTION("""COMPUTED_VALUE"""),46157.0)</f>
        <v>46157</v>
      </c>
      <c r="B630" s="210">
        <f>IFERROR(__xludf.DUMMYFUNCTION("""COMPUTED_VALUE"""),0.4791666666678793)</f>
        <v>0.4791666667</v>
      </c>
      <c r="C630" s="211" t="str">
        <f>IFERROR(__xludf.DUMMYFUNCTION("""COMPUTED_VALUE"""),"Whatsapp")</f>
        <v>Whatsapp</v>
      </c>
      <c r="D630" s="211" t="str">
        <f>IFERROR(__xludf.DUMMYFUNCTION("""COMPUTED_VALUE"""),"Promtional")</f>
        <v>Promtional</v>
      </c>
      <c r="E630" s="211" t="str">
        <f>IFERROR(__xludf.DUMMYFUNCTION("""COMPUTED_VALUE"""),"BBW")</f>
        <v>BBW</v>
      </c>
      <c r="F630" s="211" t="str">
        <f>IFERROR(__xludf.DUMMYFUNCTION("""COMPUTED_VALUE"""),"BC at 999 - Body Care")</f>
        <v>BC at 999 - Body Care</v>
      </c>
      <c r="G630" s="212" t="str">
        <f>IFERROR(__xludf.DUMMYFUNCTION("""COMPUTED_VALUE"""),"bbw_wa_bcat999_carousel_online_14may_noida")</f>
        <v>bbw_wa_bcat999_carousel_online_14may_noida</v>
      </c>
      <c r="H630" s="212" t="str">
        <f>IFERROR(__xludf.DUMMYFUNCTION("""COMPUTED_VALUE"""),"BBW_ON_6M_Pr_NOIDA")</f>
        <v>BBW_ON_6M_Pr_NOIDA</v>
      </c>
      <c r="I630" s="212" t="str">
        <f>IFERROR(__xludf.DUMMYFUNCTION("""COMPUTED_VALUE"""),"Online Customers who have purchased at least 1 time from Txn_City: Gautam Buddha Nagar in the last 180 Days")</f>
        <v>Online Customers who have purchased at least 1 time from Txn_City: Gautam Buddha Nagar in the last 180 Days</v>
      </c>
      <c r="J630" s="213">
        <f>IFERROR(__xludf.DUMMYFUNCTION("""COMPUTED_VALUE"""),1767.0)</f>
        <v>1767</v>
      </c>
      <c r="K630" s="213">
        <f>IFERROR(__xludf.DUMMYFUNCTION("""COMPUTED_VALUE"""),812.0)</f>
        <v>812</v>
      </c>
      <c r="L630" s="214">
        <f>IFERROR(__xludf.DUMMYFUNCTION("""COMPUTED_VALUE"""),0.4595)</f>
        <v>0.4595</v>
      </c>
      <c r="M630" s="213">
        <f>IFERROR(__xludf.DUMMYFUNCTION("""COMPUTED_VALUE"""),273.0)</f>
        <v>273</v>
      </c>
      <c r="N630" s="214">
        <f>IFERROR(__xludf.DUMMYFUNCTION("""COMPUTED_VALUE"""),0.3362)</f>
        <v>0.3362</v>
      </c>
      <c r="O630" s="213">
        <f>IFERROR(__xludf.DUMMYFUNCTION("""COMPUTED_VALUE"""),31.0)</f>
        <v>31</v>
      </c>
      <c r="P630" s="213">
        <f>IFERROR(__xludf.DUMMYFUNCTION("""COMPUTED_VALUE"""),30.0)</f>
        <v>30</v>
      </c>
      <c r="Q630" s="214">
        <f>IFERROR(__xludf.DUMMYFUNCTION("""COMPUTED_VALUE"""),0.0369)</f>
        <v>0.0369</v>
      </c>
      <c r="R630" s="214">
        <f>IFERROR(__xludf.DUMMYFUNCTION("""COMPUTED_VALUE"""),0.1099)</f>
        <v>0.1099</v>
      </c>
      <c r="S630" s="101"/>
      <c r="T630" s="101"/>
      <c r="U630" s="270">
        <f>IFERROR(__xludf.DUMMYFUNCTION("""COMPUTED_VALUE"""),6443.0)</f>
        <v>6443</v>
      </c>
      <c r="V630" s="271" t="str">
        <f>IFERROR(__xludf.DUMMYFUNCTION("""COMPUTED_VALUE"""),"online")</f>
        <v>online</v>
      </c>
      <c r="W630" s="272" t="str">
        <f>IFERROR(__xludf.DUMMYFUNCTION("""COMPUTED_VALUE"""),"carousel")</f>
        <v>carousel</v>
      </c>
      <c r="X630" s="272" t="str">
        <f>IFERROR(__xludf.DUMMYFUNCTION("""COMPUTED_VALUE"""),"City Specific")</f>
        <v>City Specific</v>
      </c>
      <c r="Y630" s="272" t="str">
        <f>IFERROR(__xludf.DUMMYFUNCTION("""COMPUTED_VALUE"""),"15 - 17 May")</f>
        <v>15 - 17 May</v>
      </c>
      <c r="Z630" s="272" t="str">
        <f>IFERROR(__xludf.DUMMYFUNCTION("""COMPUTED_VALUE"""),"6a059693092284026030ea4d")</f>
        <v>6a059693092284026030ea4d</v>
      </c>
      <c r="AA630" s="272">
        <f>IFERROR(__xludf.DUMMYFUNCTION("""COMPUTED_VALUE"""),5.0)</f>
        <v>5</v>
      </c>
      <c r="AB630" s="272">
        <f>IFERROR(__xludf.DUMMYFUNCTION("""COMPUTED_VALUE"""),5.0)</f>
        <v>5</v>
      </c>
      <c r="AC630" s="272"/>
      <c r="AD630" s="272">
        <f>IFERROR(__xludf.DUMMYFUNCTION("""COMPUTED_VALUE"""),9391.0)</f>
        <v>9391</v>
      </c>
      <c r="AE630" s="272">
        <f>IFERROR(__xludf.DUMMYFUNCTION("""COMPUTED_VALUE"""),9391.0)</f>
        <v>9391</v>
      </c>
      <c r="AF630" s="272"/>
      <c r="AG630" s="208"/>
      <c r="AH630" s="208"/>
      <c r="AI630" s="208"/>
      <c r="AJ630" s="208"/>
      <c r="AK630" s="208"/>
    </row>
    <row r="631" hidden="1">
      <c r="A631" s="209">
        <f>IFERROR(__xludf.DUMMYFUNCTION("""COMPUTED_VALUE"""),46157.0)</f>
        <v>46157</v>
      </c>
      <c r="B631" s="210">
        <f>IFERROR(__xludf.DUMMYFUNCTION("""COMPUTED_VALUE"""),0.48263888889050577)</f>
        <v>0.4826388889</v>
      </c>
      <c r="C631" s="211" t="str">
        <f>IFERROR(__xludf.DUMMYFUNCTION("""COMPUTED_VALUE"""),"Whatsapp")</f>
        <v>Whatsapp</v>
      </c>
      <c r="D631" s="211" t="str">
        <f>IFERROR(__xludf.DUMMYFUNCTION("""COMPUTED_VALUE"""),"Promtional")</f>
        <v>Promtional</v>
      </c>
      <c r="E631" s="211" t="str">
        <f>IFERROR(__xludf.DUMMYFUNCTION("""COMPUTED_VALUE"""),"BBW")</f>
        <v>BBW</v>
      </c>
      <c r="F631" s="211" t="str">
        <f>IFERROR(__xludf.DUMMYFUNCTION("""COMPUTED_VALUE"""),"BC at 999 - Body Care")</f>
        <v>BC at 999 - Body Care</v>
      </c>
      <c r="G631" s="212" t="str">
        <f>IFERROR(__xludf.DUMMYFUNCTION("""COMPUTED_VALUE"""),"bbw_wa_bcat999_carousel_online_14may_ahd")</f>
        <v>bbw_wa_bcat999_carousel_online_14may_ahd</v>
      </c>
      <c r="H631" s="212" t="str">
        <f>IFERROR(__xludf.DUMMYFUNCTION("""COMPUTED_VALUE"""),"BBW_ON_6M_Pr_AHD")</f>
        <v>BBW_ON_6M_Pr_AHD</v>
      </c>
      <c r="I631" s="212" t="str">
        <f>IFERROR(__xludf.DUMMYFUNCTION("""COMPUTED_VALUE"""),"Online Customers who have purchased at least 1 time from Txn_City: Ahmedabad in the last 180 Days")</f>
        <v>Online Customers who have purchased at least 1 time from Txn_City: Ahmedabad in the last 180 Days</v>
      </c>
      <c r="J631" s="213">
        <f>IFERROR(__xludf.DUMMYFUNCTION("""COMPUTED_VALUE"""),2253.0)</f>
        <v>2253</v>
      </c>
      <c r="K631" s="213">
        <f>IFERROR(__xludf.DUMMYFUNCTION("""COMPUTED_VALUE"""),1249.0)</f>
        <v>1249</v>
      </c>
      <c r="L631" s="214">
        <f>IFERROR(__xludf.DUMMYFUNCTION("""COMPUTED_VALUE"""),0.5544)</f>
        <v>0.5544</v>
      </c>
      <c r="M631" s="213">
        <f>IFERROR(__xludf.DUMMYFUNCTION("""COMPUTED_VALUE"""),607.0)</f>
        <v>607</v>
      </c>
      <c r="N631" s="214">
        <f>IFERROR(__xludf.DUMMYFUNCTION("""COMPUTED_VALUE"""),0.486)</f>
        <v>0.486</v>
      </c>
      <c r="O631" s="213">
        <f>IFERROR(__xludf.DUMMYFUNCTION("""COMPUTED_VALUE"""),30.0)</f>
        <v>30</v>
      </c>
      <c r="P631" s="213">
        <f>IFERROR(__xludf.DUMMYFUNCTION("""COMPUTED_VALUE"""),28.0)</f>
        <v>28</v>
      </c>
      <c r="Q631" s="214">
        <f>IFERROR(__xludf.DUMMYFUNCTION("""COMPUTED_VALUE"""),0.0224)</f>
        <v>0.0224</v>
      </c>
      <c r="R631" s="214">
        <f>IFERROR(__xludf.DUMMYFUNCTION("""COMPUTED_VALUE"""),0.0461)</f>
        <v>0.0461</v>
      </c>
      <c r="S631" s="101"/>
      <c r="T631" s="101"/>
      <c r="U631" s="270">
        <f>IFERROR(__xludf.DUMMYFUNCTION("""COMPUTED_VALUE"""),948.0)</f>
        <v>948</v>
      </c>
      <c r="V631" s="271" t="str">
        <f>IFERROR(__xludf.DUMMYFUNCTION("""COMPUTED_VALUE"""),"online")</f>
        <v>online</v>
      </c>
      <c r="W631" s="272" t="str">
        <f>IFERROR(__xludf.DUMMYFUNCTION("""COMPUTED_VALUE"""),"carousel")</f>
        <v>carousel</v>
      </c>
      <c r="X631" s="272" t="str">
        <f>IFERROR(__xludf.DUMMYFUNCTION("""COMPUTED_VALUE"""),"City Specific")</f>
        <v>City Specific</v>
      </c>
      <c r="Y631" s="272" t="str">
        <f>IFERROR(__xludf.DUMMYFUNCTION("""COMPUTED_VALUE"""),"15 - 17 May")</f>
        <v>15 - 17 May</v>
      </c>
      <c r="Z631" s="272" t="str">
        <f>IFERROR(__xludf.DUMMYFUNCTION("""COMPUTED_VALUE"""),"6a059de1080ba89279e73c05")</f>
        <v>6a059de1080ba89279e73c05</v>
      </c>
      <c r="AA631" s="272">
        <f>IFERROR(__xludf.DUMMYFUNCTION("""COMPUTED_VALUE"""),5.0)</f>
        <v>5</v>
      </c>
      <c r="AB631" s="272">
        <f>IFERROR(__xludf.DUMMYFUNCTION("""COMPUTED_VALUE"""),5.0)</f>
        <v>5</v>
      </c>
      <c r="AC631" s="272"/>
      <c r="AD631" s="272">
        <f>IFERROR(__xludf.DUMMYFUNCTION("""COMPUTED_VALUE"""),9391.0)</f>
        <v>9391</v>
      </c>
      <c r="AE631" s="272">
        <f>IFERROR(__xludf.DUMMYFUNCTION("""COMPUTED_VALUE"""),9391.0)</f>
        <v>9391</v>
      </c>
      <c r="AF631" s="272"/>
      <c r="AG631" s="208"/>
      <c r="AH631" s="208"/>
      <c r="AI631" s="208"/>
      <c r="AJ631" s="208"/>
      <c r="AK631" s="208"/>
    </row>
    <row r="632" hidden="1">
      <c r="A632" s="209">
        <f>IFERROR(__xludf.DUMMYFUNCTION("""COMPUTED_VALUE"""),46157.0)</f>
        <v>46157</v>
      </c>
      <c r="B632" s="210">
        <f>IFERROR(__xludf.DUMMYFUNCTION("""COMPUTED_VALUE"""),0.48611111110949423)</f>
        <v>0.4861111111</v>
      </c>
      <c r="C632" s="211" t="str">
        <f>IFERROR(__xludf.DUMMYFUNCTION("""COMPUTED_VALUE"""),"Whatsapp")</f>
        <v>Whatsapp</v>
      </c>
      <c r="D632" s="211" t="str">
        <f>IFERROR(__xludf.DUMMYFUNCTION("""COMPUTED_VALUE"""),"Promtional")</f>
        <v>Promtional</v>
      </c>
      <c r="E632" s="211" t="str">
        <f>IFERROR(__xludf.DUMMYFUNCTION("""COMPUTED_VALUE"""),"BBW")</f>
        <v>BBW</v>
      </c>
      <c r="F632" s="211" t="str">
        <f>IFERROR(__xludf.DUMMYFUNCTION("""COMPUTED_VALUE"""),"BC at 999 - Body Care")</f>
        <v>BC at 999 - Body Care</v>
      </c>
      <c r="G632" s="212" t="str">
        <f>IFERROR(__xludf.DUMMYFUNCTION("""COMPUTED_VALUE"""),"bbw_wa_bcat999_carousel_online_14may_hyd")</f>
        <v>bbw_wa_bcat999_carousel_online_14may_hyd</v>
      </c>
      <c r="H632" s="212" t="str">
        <f>IFERROR(__xludf.DUMMYFUNCTION("""COMPUTED_VALUE"""),"BBW_ON_6M_Pr_HYD")</f>
        <v>BBW_ON_6M_Pr_HYD</v>
      </c>
      <c r="I632" s="212" t="str">
        <f>IFERROR(__xludf.DUMMYFUNCTION("""COMPUTED_VALUE"""),"Online Customers who have purchased at least 1 time from Txn_City: Hyderabad in the last 180 Days")</f>
        <v>Online Customers who have purchased at least 1 time from Txn_City: Hyderabad in the last 180 Days</v>
      </c>
      <c r="J632" s="213">
        <f>IFERROR(__xludf.DUMMYFUNCTION("""COMPUTED_VALUE"""),1545.0)</f>
        <v>1545</v>
      </c>
      <c r="K632" s="213">
        <f>IFERROR(__xludf.DUMMYFUNCTION("""COMPUTED_VALUE"""),716.0)</f>
        <v>716</v>
      </c>
      <c r="L632" s="214">
        <f>IFERROR(__xludf.DUMMYFUNCTION("""COMPUTED_VALUE"""),0.4634)</f>
        <v>0.4634</v>
      </c>
      <c r="M632" s="213">
        <f>IFERROR(__xludf.DUMMYFUNCTION("""COMPUTED_VALUE"""),308.0)</f>
        <v>308</v>
      </c>
      <c r="N632" s="214">
        <f>IFERROR(__xludf.DUMMYFUNCTION("""COMPUTED_VALUE"""),0.4302)</f>
        <v>0.4302</v>
      </c>
      <c r="O632" s="213">
        <f>IFERROR(__xludf.DUMMYFUNCTION("""COMPUTED_VALUE"""),15.0)</f>
        <v>15</v>
      </c>
      <c r="P632" s="213">
        <f>IFERROR(__xludf.DUMMYFUNCTION("""COMPUTED_VALUE"""),15.0)</f>
        <v>15</v>
      </c>
      <c r="Q632" s="214">
        <f>IFERROR(__xludf.DUMMYFUNCTION("""COMPUTED_VALUE"""),0.0209)</f>
        <v>0.0209</v>
      </c>
      <c r="R632" s="214">
        <f>IFERROR(__xludf.DUMMYFUNCTION("""COMPUTED_VALUE"""),0.0487)</f>
        <v>0.0487</v>
      </c>
      <c r="S632" s="101"/>
      <c r="T632" s="101"/>
      <c r="U632" s="270">
        <f>IFERROR(__xludf.DUMMYFUNCTION("""COMPUTED_VALUE"""),0.0)</f>
        <v>0</v>
      </c>
      <c r="V632" s="271" t="str">
        <f>IFERROR(__xludf.DUMMYFUNCTION("""COMPUTED_VALUE"""),"online")</f>
        <v>online</v>
      </c>
      <c r="W632" s="272" t="str">
        <f>IFERROR(__xludf.DUMMYFUNCTION("""COMPUTED_VALUE"""),"carousel")</f>
        <v>carousel</v>
      </c>
      <c r="X632" s="272" t="str">
        <f>IFERROR(__xludf.DUMMYFUNCTION("""COMPUTED_VALUE"""),"City Specific")</f>
        <v>City Specific</v>
      </c>
      <c r="Y632" s="272" t="str">
        <f>IFERROR(__xludf.DUMMYFUNCTION("""COMPUTED_VALUE"""),"15 - 17 May")</f>
        <v>15 - 17 May</v>
      </c>
      <c r="Z632" s="272" t="str">
        <f>IFERROR(__xludf.DUMMYFUNCTION("""COMPUTED_VALUE"""),"6a059ee2e6f98891a0a671dd")</f>
        <v>6a059ee2e6f98891a0a671dd</v>
      </c>
      <c r="AA632" s="272">
        <f>IFERROR(__xludf.DUMMYFUNCTION("""COMPUTED_VALUE"""),0.0)</f>
        <v>0</v>
      </c>
      <c r="AB632" s="272">
        <f>IFERROR(__xludf.DUMMYFUNCTION("""COMPUTED_VALUE"""),0.0)</f>
        <v>0</v>
      </c>
      <c r="AC632" s="272"/>
      <c r="AD632" s="272">
        <f>IFERROR(__xludf.DUMMYFUNCTION("""COMPUTED_VALUE"""),0.0)</f>
        <v>0</v>
      </c>
      <c r="AE632" s="272">
        <f>IFERROR(__xludf.DUMMYFUNCTION("""COMPUTED_VALUE"""),0.0)</f>
        <v>0</v>
      </c>
      <c r="AF632" s="272"/>
      <c r="AG632" s="208"/>
      <c r="AH632" s="208"/>
      <c r="AI632" s="208"/>
      <c r="AJ632" s="208"/>
      <c r="AK632" s="208"/>
    </row>
    <row r="633" hidden="1">
      <c r="A633" s="209">
        <f>IFERROR(__xludf.DUMMYFUNCTION("""COMPUTED_VALUE"""),46157.0)</f>
        <v>46157</v>
      </c>
      <c r="B633" s="210">
        <f>IFERROR(__xludf.DUMMYFUNCTION("""COMPUTED_VALUE"""),0.4895833333321207)</f>
        <v>0.4895833333</v>
      </c>
      <c r="C633" s="211" t="str">
        <f>IFERROR(__xludf.DUMMYFUNCTION("""COMPUTED_VALUE"""),"Whatsapp")</f>
        <v>Whatsapp</v>
      </c>
      <c r="D633" s="211" t="str">
        <f>IFERROR(__xludf.DUMMYFUNCTION("""COMPUTED_VALUE"""),"Promtional")</f>
        <v>Promtional</v>
      </c>
      <c r="E633" s="211" t="str">
        <f>IFERROR(__xludf.DUMMYFUNCTION("""COMPUTED_VALUE"""),"BBW")</f>
        <v>BBW</v>
      </c>
      <c r="F633" s="211" t="str">
        <f>IFERROR(__xludf.DUMMYFUNCTION("""COMPUTED_VALUE"""),"BC at 999 - Body Care")</f>
        <v>BC at 999 - Body Care</v>
      </c>
      <c r="G633" s="212" t="str">
        <f>IFERROR(__xludf.DUMMYFUNCTION("""COMPUTED_VALUE"""),"bbw_wa_bcat999_carousel_online_14may_thane")</f>
        <v>bbw_wa_bcat999_carousel_online_14may_thane</v>
      </c>
      <c r="H633" s="212" t="str">
        <f>IFERROR(__xludf.DUMMYFUNCTION("""COMPUTED_VALUE"""),"BBW_ON_6M_Pr_THANE")</f>
        <v>BBW_ON_6M_Pr_THANE</v>
      </c>
      <c r="I633" s="212" t="str">
        <f>IFERROR(__xludf.DUMMYFUNCTION("""COMPUTED_VALUE"""),"Online Customers who have purchased at least 1 time from Txn_City: Thane in the last 180 Days")</f>
        <v>Online Customers who have purchased at least 1 time from Txn_City: Thane in the last 180 Days</v>
      </c>
      <c r="J633" s="213">
        <f>IFERROR(__xludf.DUMMYFUNCTION("""COMPUTED_VALUE"""),2056.0)</f>
        <v>2056</v>
      </c>
      <c r="K633" s="213">
        <f>IFERROR(__xludf.DUMMYFUNCTION("""COMPUTED_VALUE"""),989.0)</f>
        <v>989</v>
      </c>
      <c r="L633" s="214">
        <f>IFERROR(__xludf.DUMMYFUNCTION("""COMPUTED_VALUE"""),0.481)</f>
        <v>0.481</v>
      </c>
      <c r="M633" s="213">
        <f>IFERROR(__xludf.DUMMYFUNCTION("""COMPUTED_VALUE"""),433.0)</f>
        <v>433</v>
      </c>
      <c r="N633" s="214">
        <f>IFERROR(__xludf.DUMMYFUNCTION("""COMPUTED_VALUE"""),0.4378)</f>
        <v>0.4378</v>
      </c>
      <c r="O633" s="213">
        <f>IFERROR(__xludf.DUMMYFUNCTION("""COMPUTED_VALUE"""),46.0)</f>
        <v>46</v>
      </c>
      <c r="P633" s="213">
        <f>IFERROR(__xludf.DUMMYFUNCTION("""COMPUTED_VALUE"""),39.0)</f>
        <v>39</v>
      </c>
      <c r="Q633" s="214">
        <f>IFERROR(__xludf.DUMMYFUNCTION("""COMPUTED_VALUE"""),0.0394)</f>
        <v>0.0394</v>
      </c>
      <c r="R633" s="214">
        <f>IFERROR(__xludf.DUMMYFUNCTION("""COMPUTED_VALUE"""),0.0901)</f>
        <v>0.0901</v>
      </c>
      <c r="S633" s="101"/>
      <c r="T633" s="101"/>
      <c r="U633" s="270">
        <f>IFERROR(__xludf.DUMMYFUNCTION("""COMPUTED_VALUE"""),2198.0)</f>
        <v>2198</v>
      </c>
      <c r="V633" s="271" t="str">
        <f>IFERROR(__xludf.DUMMYFUNCTION("""COMPUTED_VALUE"""),"online")</f>
        <v>online</v>
      </c>
      <c r="W633" s="272" t="str">
        <f>IFERROR(__xludf.DUMMYFUNCTION("""COMPUTED_VALUE"""),"carousel")</f>
        <v>carousel</v>
      </c>
      <c r="X633" s="272" t="str">
        <f>IFERROR(__xludf.DUMMYFUNCTION("""COMPUTED_VALUE"""),"City Specific")</f>
        <v>City Specific</v>
      </c>
      <c r="Y633" s="272" t="str">
        <f>IFERROR(__xludf.DUMMYFUNCTION("""COMPUTED_VALUE"""),"15 - 17 May")</f>
        <v>15 - 17 May</v>
      </c>
      <c r="Z633" s="272" t="str">
        <f>IFERROR(__xludf.DUMMYFUNCTION("""COMPUTED_VALUE"""),"6a059f1cc948162e601ba2d8")</f>
        <v>6a059f1cc948162e601ba2d8</v>
      </c>
      <c r="AA633" s="272">
        <f>IFERROR(__xludf.DUMMYFUNCTION("""COMPUTED_VALUE"""),5.0)</f>
        <v>5</v>
      </c>
      <c r="AB633" s="272">
        <f>IFERROR(__xludf.DUMMYFUNCTION("""COMPUTED_VALUE"""),5.0)</f>
        <v>5</v>
      </c>
      <c r="AC633" s="272"/>
      <c r="AD633" s="272">
        <f>IFERROR(__xludf.DUMMYFUNCTION("""COMPUTED_VALUE"""),7691.0)</f>
        <v>7691</v>
      </c>
      <c r="AE633" s="272">
        <f>IFERROR(__xludf.DUMMYFUNCTION("""COMPUTED_VALUE"""),7691.0)</f>
        <v>7691</v>
      </c>
      <c r="AF633" s="272"/>
      <c r="AG633" s="208"/>
      <c r="AH633" s="208"/>
      <c r="AI633" s="208"/>
      <c r="AJ633" s="208"/>
      <c r="AK633" s="208"/>
    </row>
    <row r="634" hidden="1">
      <c r="A634" s="209">
        <f>IFERROR(__xludf.DUMMYFUNCTION("""COMPUTED_VALUE"""),46159.0)</f>
        <v>46159</v>
      </c>
      <c r="B634" s="210">
        <f>IFERROR(__xludf.DUMMYFUNCTION("""COMPUTED_VALUE"""),0.5)</f>
        <v>0.5</v>
      </c>
      <c r="C634" s="211" t="str">
        <f>IFERROR(__xludf.DUMMYFUNCTION("""COMPUTED_VALUE"""),"Whatsapp")</f>
        <v>Whatsapp</v>
      </c>
      <c r="D634" s="211" t="str">
        <f>IFERROR(__xludf.DUMMYFUNCTION("""COMPUTED_VALUE"""),"Promotional")</f>
        <v>Promotional</v>
      </c>
      <c r="E634" s="211" t="str">
        <f>IFERROR(__xludf.DUMMYFUNCTION("""COMPUTED_VALUE"""),"BBW")</f>
        <v>BBW</v>
      </c>
      <c r="F634" s="211" t="str">
        <f>IFERROR(__xludf.DUMMYFUNCTION("""COMPUTED_VALUE"""),"BC at 999 - Body Care")</f>
        <v>BC at 999 - Body Care</v>
      </c>
      <c r="G634" s="212" t="str">
        <f>IFERROR(__xludf.DUMMYFUNCTION("""COMPUTED_VALUE"""),"bbw_wa_bcat999_online_lastreminder_17may_freq_purch")</f>
        <v>bbw_wa_bcat999_online_lastreminder_17may_freq_purch</v>
      </c>
      <c r="H634" s="212" t="str">
        <f>IFERROR(__xludf.DUMMYFUNCTION("""COMPUTED_VALUE"""),"BBW_ON_BC_3_Times")</f>
        <v>BBW_ON_BC_3_Times</v>
      </c>
      <c r="I634" s="212" t="str">
        <f>IFERROR(__xludf.DUMMYFUNCTION("""COMPUTED_VALUE"""),"Online customers who purchased from L2: BodyCare at least 3 times in the last 365 days")</f>
        <v>Online customers who purchased from L2: BodyCare at least 3 times in the last 365 days</v>
      </c>
      <c r="J634" s="213">
        <f>IFERROR(__xludf.DUMMYFUNCTION("""COMPUTED_VALUE"""),3818.0)</f>
        <v>3818</v>
      </c>
      <c r="K634" s="213">
        <f>IFERROR(__xludf.DUMMYFUNCTION("""COMPUTED_VALUE"""),583.0)</f>
        <v>583</v>
      </c>
      <c r="L634" s="214">
        <f>IFERROR(__xludf.DUMMYFUNCTION("""COMPUTED_VALUE"""),0.1527)</f>
        <v>0.1527</v>
      </c>
      <c r="M634" s="213">
        <f>IFERROR(__xludf.DUMMYFUNCTION("""COMPUTED_VALUE"""),281.0)</f>
        <v>281</v>
      </c>
      <c r="N634" s="214">
        <f>IFERROR(__xludf.DUMMYFUNCTION("""COMPUTED_VALUE"""),0.482)</f>
        <v>0.482</v>
      </c>
      <c r="O634" s="213">
        <f>IFERROR(__xludf.DUMMYFUNCTION("""COMPUTED_VALUE"""),32.0)</f>
        <v>32</v>
      </c>
      <c r="P634" s="213">
        <f>IFERROR(__xludf.DUMMYFUNCTION("""COMPUTED_VALUE"""),29.0)</f>
        <v>29</v>
      </c>
      <c r="Q634" s="214">
        <f>IFERROR(__xludf.DUMMYFUNCTION("""COMPUTED_VALUE"""),0.0497)</f>
        <v>0.0497</v>
      </c>
      <c r="R634" s="214">
        <f>IFERROR(__xludf.DUMMYFUNCTION("""COMPUTED_VALUE"""),0.1032)</f>
        <v>0.1032</v>
      </c>
      <c r="S634" s="101"/>
      <c r="T634" s="101"/>
      <c r="U634" s="270">
        <f>IFERROR(__xludf.DUMMYFUNCTION("""COMPUTED_VALUE"""),1998.0)</f>
        <v>1998</v>
      </c>
      <c r="V634" s="271" t="str">
        <f>IFERROR(__xludf.DUMMYFUNCTION("""COMPUTED_VALUE"""),"online")</f>
        <v>online</v>
      </c>
      <c r="W634" s="272" t="str">
        <f>IFERROR(__xludf.DUMMYFUNCTION("""COMPUTED_VALUE"""),"simple")</f>
        <v>simple</v>
      </c>
      <c r="X634" s="272" t="str">
        <f>IFERROR(__xludf.DUMMYFUNCTION("""COMPUTED_VALUE"""),"Category Specific")</f>
        <v>Category Specific</v>
      </c>
      <c r="Y634" s="272" t="str">
        <f>IFERROR(__xludf.DUMMYFUNCTION("""COMPUTED_VALUE"""),"17 - 19 May")</f>
        <v>17 - 19 May</v>
      </c>
      <c r="Z634" s="272" t="str">
        <f>IFERROR(__xludf.DUMMYFUNCTION("""COMPUTED_VALUE"""),"6a05a2eedee86beae481c71a")</f>
        <v>6a05a2eedee86beae481c71a</v>
      </c>
      <c r="AA634" s="272">
        <f>IFERROR(__xludf.DUMMYFUNCTION("""COMPUTED_VALUE"""),11.0)</f>
        <v>11</v>
      </c>
      <c r="AB634" s="272">
        <f>IFERROR(__xludf.DUMMYFUNCTION("""COMPUTED_VALUE"""),11.0)</f>
        <v>11</v>
      </c>
      <c r="AC634" s="272"/>
      <c r="AD634" s="272">
        <f>IFERROR(__xludf.DUMMYFUNCTION("""COMPUTED_VALUE"""),45051.0)</f>
        <v>45051</v>
      </c>
      <c r="AE634" s="272">
        <f>IFERROR(__xludf.DUMMYFUNCTION("""COMPUTED_VALUE"""),45051.0)</f>
        <v>45051</v>
      </c>
      <c r="AF634" s="272"/>
      <c r="AG634" s="208"/>
      <c r="AH634" s="208"/>
      <c r="AI634" s="208"/>
      <c r="AJ634" s="208"/>
      <c r="AK634" s="208"/>
    </row>
    <row r="635" hidden="1">
      <c r="A635" s="209">
        <f>IFERROR(__xludf.DUMMYFUNCTION("""COMPUTED_VALUE"""),46159.0)</f>
        <v>46159</v>
      </c>
      <c r="B635" s="210">
        <f>IFERROR(__xludf.DUMMYFUNCTION("""COMPUTED_VALUE"""),0.5)</f>
        <v>0.5</v>
      </c>
      <c r="C635" s="211" t="str">
        <f>IFERROR(__xludf.DUMMYFUNCTION("""COMPUTED_VALUE"""),"Whatsapp")</f>
        <v>Whatsapp</v>
      </c>
      <c r="D635" s="211" t="str">
        <f>IFERROR(__xludf.DUMMYFUNCTION("""COMPUTED_VALUE"""),"Promotional")</f>
        <v>Promotional</v>
      </c>
      <c r="E635" s="211" t="str">
        <f>IFERROR(__xludf.DUMMYFUNCTION("""COMPUTED_VALUE"""),"BBW")</f>
        <v>BBW</v>
      </c>
      <c r="F635" s="211" t="str">
        <f>IFERROR(__xludf.DUMMYFUNCTION("""COMPUTED_VALUE"""),"BC at 999 - Body Care")</f>
        <v>BC at 999 - Body Care</v>
      </c>
      <c r="G635" s="212" t="str">
        <f>IFERROR(__xludf.DUMMYFUNCTION("""COMPUTED_VALUE"""),"bbw_wa_bcat999_online_lastreminder_17may_atc_viewed")</f>
        <v>bbw_wa_bcat999_online_lastreminder_17may_atc_viewed</v>
      </c>
      <c r="H635" s="212" t="str">
        <f>IFERROR(__xludf.DUMMYFUNCTION("""COMPUTED_VALUE"""),"BBW_ATC_View_Wishlist_NoPr_90D_13_May_2026")</f>
        <v>BBW_ATC_View_Wishlist_NoPr_90D_13_May_2026</v>
      </c>
      <c r="I635" s="212" t="str">
        <f>IFERROR(__xludf.DUMMYFUNCTION("""COMPUTED_VALUE"""),"Online Customers who viewed L2: BodyCare products at least 2 times in the last 30 days OR added L2: BodyCare products to wishlist/cart in the last 45 days AND have not purchased L2: BodyCare in the last 90 days")</f>
        <v>Online Customers who viewed L2: BodyCare products at least 2 times in the last 30 days OR added L2: BodyCare products to wishlist/cart in the last 45 days AND have not purchased L2: BodyCare in the last 90 days</v>
      </c>
      <c r="J635" s="213">
        <f>IFERROR(__xludf.DUMMYFUNCTION("""COMPUTED_VALUE"""),3914.0)</f>
        <v>3914</v>
      </c>
      <c r="K635" s="213">
        <f>IFERROR(__xludf.DUMMYFUNCTION("""COMPUTED_VALUE"""),693.0)</f>
        <v>693</v>
      </c>
      <c r="L635" s="214">
        <f>IFERROR(__xludf.DUMMYFUNCTION("""COMPUTED_VALUE"""),0.1771)</f>
        <v>0.1771</v>
      </c>
      <c r="M635" s="213">
        <f>IFERROR(__xludf.DUMMYFUNCTION("""COMPUTED_VALUE"""),314.0)</f>
        <v>314</v>
      </c>
      <c r="N635" s="214">
        <f>IFERROR(__xludf.DUMMYFUNCTION("""COMPUTED_VALUE"""),0.4531)</f>
        <v>0.4531</v>
      </c>
      <c r="O635" s="213">
        <f>IFERROR(__xludf.DUMMYFUNCTION("""COMPUTED_VALUE"""),26.0)</f>
        <v>26</v>
      </c>
      <c r="P635" s="213">
        <f>IFERROR(__xludf.DUMMYFUNCTION("""COMPUTED_VALUE"""),25.0)</f>
        <v>25</v>
      </c>
      <c r="Q635" s="214">
        <f>IFERROR(__xludf.DUMMYFUNCTION("""COMPUTED_VALUE"""),0.0361)</f>
        <v>0.0361</v>
      </c>
      <c r="R635" s="214">
        <f>IFERROR(__xludf.DUMMYFUNCTION("""COMPUTED_VALUE"""),0.0796)</f>
        <v>0.0796</v>
      </c>
      <c r="S635" s="101"/>
      <c r="T635" s="101"/>
      <c r="U635" s="270">
        <f>IFERROR(__xludf.DUMMYFUNCTION("""COMPUTED_VALUE"""),3604.0)</f>
        <v>3604</v>
      </c>
      <c r="V635" s="271" t="str">
        <f>IFERROR(__xludf.DUMMYFUNCTION("""COMPUTED_VALUE"""),"online")</f>
        <v>online</v>
      </c>
      <c r="W635" s="272" t="str">
        <f>IFERROR(__xludf.DUMMYFUNCTION("""COMPUTED_VALUE"""),"simple")</f>
        <v>simple</v>
      </c>
      <c r="X635" s="272" t="str">
        <f>IFERROR(__xludf.DUMMYFUNCTION("""COMPUTED_VALUE"""),"Add To Cart/View Item")</f>
        <v>Add To Cart/View Item</v>
      </c>
      <c r="Y635" s="272" t="str">
        <f>IFERROR(__xludf.DUMMYFUNCTION("""COMPUTED_VALUE"""),"17 - 19 May")</f>
        <v>17 - 19 May</v>
      </c>
      <c r="Z635" s="272" t="str">
        <f>IFERROR(__xludf.DUMMYFUNCTION("""COMPUTED_VALUE"""),"6a05a334e5273bf137755b04")</f>
        <v>6a05a334e5273bf137755b04</v>
      </c>
      <c r="AA635" s="272">
        <f>IFERROR(__xludf.DUMMYFUNCTION("""COMPUTED_VALUE"""),5.0)</f>
        <v>5</v>
      </c>
      <c r="AB635" s="272">
        <f>IFERROR(__xludf.DUMMYFUNCTION("""COMPUTED_VALUE"""),5.0)</f>
        <v>5</v>
      </c>
      <c r="AC635" s="272"/>
      <c r="AD635" s="272">
        <f>IFERROR(__xludf.DUMMYFUNCTION("""COMPUTED_VALUE"""),12317.0)</f>
        <v>12317</v>
      </c>
      <c r="AE635" s="272">
        <f>IFERROR(__xludf.DUMMYFUNCTION("""COMPUTED_VALUE"""),12317.0)</f>
        <v>12317</v>
      </c>
      <c r="AF635" s="272"/>
      <c r="AG635" s="208"/>
      <c r="AH635" s="208"/>
      <c r="AI635" s="208"/>
      <c r="AJ635" s="208"/>
      <c r="AK635" s="208"/>
    </row>
    <row r="636" hidden="1">
      <c r="A636" s="209">
        <f>IFERROR(__xludf.DUMMYFUNCTION("""COMPUTED_VALUE"""),46159.0)</f>
        <v>46159</v>
      </c>
      <c r="B636" s="210">
        <f>IFERROR(__xludf.DUMMYFUNCTION("""COMPUTED_VALUE"""),0.5)</f>
        <v>0.5</v>
      </c>
      <c r="C636" s="211" t="str">
        <f>IFERROR(__xludf.DUMMYFUNCTION("""COMPUTED_VALUE"""),"Whatsapp")</f>
        <v>Whatsapp</v>
      </c>
      <c r="D636" s="211" t="str">
        <f>IFERROR(__xludf.DUMMYFUNCTION("""COMPUTED_VALUE"""),"Promotional")</f>
        <v>Promotional</v>
      </c>
      <c r="E636" s="211" t="str">
        <f>IFERROR(__xludf.DUMMYFUNCTION("""COMPUTED_VALUE"""),"BBW")</f>
        <v>BBW</v>
      </c>
      <c r="F636" s="211" t="str">
        <f>IFERROR(__xludf.DUMMYFUNCTION("""COMPUTED_VALUE"""),"BC at 999 - Body Care")</f>
        <v>BC at 999 - Body Care</v>
      </c>
      <c r="G636" s="212" t="str">
        <f>IFERROR(__xludf.DUMMYFUNCTION("""COMPUTED_VALUE"""),"bbw_wa_bcat999_online_lastreminder_17may_crossell")</f>
        <v>bbw_wa_bcat999_online_lastreminder_17may_crossell</v>
      </c>
      <c r="H636" s="212" t="str">
        <f>IFERROR(__xludf.DUMMYFUNCTION("""COMPUTED_VALUE"""),"BBW_NoPr_BC_Pr_Candle_Mist_Lotion")</f>
        <v>BBW_NoPr_BC_Pr_Candle_Mist_Lotion</v>
      </c>
      <c r="I636" s="212" t="str">
        <f>IFERROR(__xludf.DUMMYFUNCTION("""COMPUTED_VALUE"""),"Online Customers who purchased from any of L3: Mists, Candles, Hand Cream or Body Lotion in the last 180 days BUT not   purchased L2: BodyCare in the last 365 days")</f>
        <v>Online Customers who purchased from any of L3: Mists, Candles, Hand Cream or Body Lotion in the last 180 days BUT not   purchased L2: BodyCare in the last 365 days</v>
      </c>
      <c r="J636" s="213">
        <f>IFERROR(__xludf.DUMMYFUNCTION("""COMPUTED_VALUE"""),20688.0)</f>
        <v>20688</v>
      </c>
      <c r="K636" s="213">
        <f>IFERROR(__xludf.DUMMYFUNCTION("""COMPUTED_VALUE"""),3465.0)</f>
        <v>3465</v>
      </c>
      <c r="L636" s="214">
        <f>IFERROR(__xludf.DUMMYFUNCTION("""COMPUTED_VALUE"""),0.1675)</f>
        <v>0.1675</v>
      </c>
      <c r="M636" s="213">
        <f>IFERROR(__xludf.DUMMYFUNCTION("""COMPUTED_VALUE"""),1297.0)</f>
        <v>1297</v>
      </c>
      <c r="N636" s="214">
        <f>IFERROR(__xludf.DUMMYFUNCTION("""COMPUTED_VALUE"""),0.3743)</f>
        <v>0.3743</v>
      </c>
      <c r="O636" s="213">
        <f>IFERROR(__xludf.DUMMYFUNCTION("""COMPUTED_VALUE"""),88.0)</f>
        <v>88</v>
      </c>
      <c r="P636" s="213">
        <f>IFERROR(__xludf.DUMMYFUNCTION("""COMPUTED_VALUE"""),86.0)</f>
        <v>86</v>
      </c>
      <c r="Q636" s="214">
        <f>IFERROR(__xludf.DUMMYFUNCTION("""COMPUTED_VALUE"""),0.0248)</f>
        <v>0.0248</v>
      </c>
      <c r="R636" s="214">
        <f>IFERROR(__xludf.DUMMYFUNCTION("""COMPUTED_VALUE"""),0.0663)</f>
        <v>0.0663</v>
      </c>
      <c r="S636" s="101"/>
      <c r="T636" s="101"/>
      <c r="U636" s="270">
        <f>IFERROR(__xludf.DUMMYFUNCTION("""COMPUTED_VALUE"""),12280.0)</f>
        <v>12280</v>
      </c>
      <c r="V636" s="271" t="str">
        <f>IFERROR(__xludf.DUMMYFUNCTION("""COMPUTED_VALUE"""),"online")</f>
        <v>online</v>
      </c>
      <c r="W636" s="272" t="str">
        <f>IFERROR(__xludf.DUMMYFUNCTION("""COMPUTED_VALUE"""),"simple")</f>
        <v>simple</v>
      </c>
      <c r="X636" s="272" t="str">
        <f>IFERROR(__xludf.DUMMYFUNCTION("""COMPUTED_VALUE"""),"Cross Category")</f>
        <v>Cross Category</v>
      </c>
      <c r="Y636" s="272" t="str">
        <f>IFERROR(__xludf.DUMMYFUNCTION("""COMPUTED_VALUE"""),"17 - 19 May")</f>
        <v>17 - 19 May</v>
      </c>
      <c r="Z636" s="272" t="str">
        <f>IFERROR(__xludf.DUMMYFUNCTION("""COMPUTED_VALUE"""),"6a05a37c4cb81a1a9b405cc8")</f>
        <v>6a05a37c4cb81a1a9b405cc8</v>
      </c>
      <c r="AA636" s="272">
        <f>IFERROR(__xludf.DUMMYFUNCTION("""COMPUTED_VALUE"""),1.0)</f>
        <v>1</v>
      </c>
      <c r="AB636" s="272">
        <f>IFERROR(__xludf.DUMMYFUNCTION("""COMPUTED_VALUE"""),1.0)</f>
        <v>1</v>
      </c>
      <c r="AC636" s="272"/>
      <c r="AD636" s="272">
        <f>IFERROR(__xludf.DUMMYFUNCTION("""COMPUTED_VALUE"""),7785.0)</f>
        <v>7785</v>
      </c>
      <c r="AE636" s="272">
        <f>IFERROR(__xludf.DUMMYFUNCTION("""COMPUTED_VALUE"""),7785.0)</f>
        <v>7785</v>
      </c>
      <c r="AF636" s="272"/>
      <c r="AG636" s="208"/>
      <c r="AH636" s="208"/>
      <c r="AI636" s="208"/>
      <c r="AJ636" s="208"/>
      <c r="AK636" s="208"/>
    </row>
    <row r="637" hidden="1">
      <c r="A637" s="209">
        <f>IFERROR(__xludf.DUMMYFUNCTION("""COMPUTED_VALUE"""),46159.0)</f>
        <v>46159</v>
      </c>
      <c r="B637" s="210">
        <f>IFERROR(__xludf.DUMMYFUNCTION("""COMPUTED_VALUE"""),0.5)</f>
        <v>0.5</v>
      </c>
      <c r="C637" s="211" t="str">
        <f>IFERROR(__xludf.DUMMYFUNCTION("""COMPUTED_VALUE"""),"Whatsapp")</f>
        <v>Whatsapp</v>
      </c>
      <c r="D637" s="211" t="str">
        <f>IFERROR(__xludf.DUMMYFUNCTION("""COMPUTED_VALUE"""),"Promotional")</f>
        <v>Promotional</v>
      </c>
      <c r="E637" s="211" t="str">
        <f>IFERROR(__xludf.DUMMYFUNCTION("""COMPUTED_VALUE"""),"BBW")</f>
        <v>BBW</v>
      </c>
      <c r="F637" s="211" t="str">
        <f>IFERROR(__xludf.DUMMYFUNCTION("""COMPUTED_VALUE"""),"BC at 999 - Body Care")</f>
        <v>BC at 999 - Body Care</v>
      </c>
      <c r="G637" s="212" t="str">
        <f>IFERROR(__xludf.DUMMYFUNCTION("""COMPUTED_VALUE"""),"bbw_wa_bcat999_online_lastreminder_17may_new_cust")</f>
        <v>bbw_wa_bcat999_online_lastreminder_17may_new_cust</v>
      </c>
      <c r="H637" s="212" t="str">
        <f>IFERROR(__xludf.DUMMYFUNCTION("""COMPUTED_VALUE"""),"BBW_ON_New_Cust_NoPr_BCa")</f>
        <v>BBW_ON_New_Cust_NoPr_BCa</v>
      </c>
      <c r="I637" s="212" t="str">
        <f>IFERROR(__xludf.DUMMYFUNCTION("""COMPUTED_VALUE"""),"Online Customers acquired in the last 30 days who purchased any category online BUT have not yet purchased L2: BodyCare")</f>
        <v>Online Customers acquired in the last 30 days who purchased any category online BUT have not yet purchased L2: BodyCare</v>
      </c>
      <c r="J637" s="213">
        <f>IFERROR(__xludf.DUMMYFUNCTION("""COMPUTED_VALUE"""),1314.0)</f>
        <v>1314</v>
      </c>
      <c r="K637" s="213">
        <f>IFERROR(__xludf.DUMMYFUNCTION("""COMPUTED_VALUE"""),231.0)</f>
        <v>231</v>
      </c>
      <c r="L637" s="214">
        <f>IFERROR(__xludf.DUMMYFUNCTION("""COMPUTED_VALUE"""),0.1758)</f>
        <v>0.1758</v>
      </c>
      <c r="M637" s="213">
        <f>IFERROR(__xludf.DUMMYFUNCTION("""COMPUTED_VALUE"""),109.0)</f>
        <v>109</v>
      </c>
      <c r="N637" s="214">
        <f>IFERROR(__xludf.DUMMYFUNCTION("""COMPUTED_VALUE"""),0.4719)</f>
        <v>0.4719</v>
      </c>
      <c r="O637" s="213">
        <f>IFERROR(__xludf.DUMMYFUNCTION("""COMPUTED_VALUE"""),12.0)</f>
        <v>12</v>
      </c>
      <c r="P637" s="213">
        <f>IFERROR(__xludf.DUMMYFUNCTION("""COMPUTED_VALUE"""),12.0)</f>
        <v>12</v>
      </c>
      <c r="Q637" s="214">
        <f>IFERROR(__xludf.DUMMYFUNCTION("""COMPUTED_VALUE"""),0.0519)</f>
        <v>0.0519</v>
      </c>
      <c r="R637" s="214">
        <f>IFERROR(__xludf.DUMMYFUNCTION("""COMPUTED_VALUE"""),0.1101)</f>
        <v>0.1101</v>
      </c>
      <c r="S637" s="101"/>
      <c r="T637" s="101"/>
      <c r="U637" s="270">
        <f>IFERROR(__xludf.DUMMYFUNCTION("""COMPUTED_VALUE"""),6495.0)</f>
        <v>6495</v>
      </c>
      <c r="V637" s="271" t="str">
        <f>IFERROR(__xludf.DUMMYFUNCTION("""COMPUTED_VALUE"""),"online")</f>
        <v>online</v>
      </c>
      <c r="W637" s="272" t="str">
        <f>IFERROR(__xludf.DUMMYFUNCTION("""COMPUTED_VALUE"""),"simple")</f>
        <v>simple</v>
      </c>
      <c r="X637" s="272" t="str">
        <f>IFERROR(__xludf.DUMMYFUNCTION("""COMPUTED_VALUE"""),"New Customer")</f>
        <v>New Customer</v>
      </c>
      <c r="Y637" s="272" t="str">
        <f>IFERROR(__xludf.DUMMYFUNCTION("""COMPUTED_VALUE"""),"17 - 19 May")</f>
        <v>17 - 19 May</v>
      </c>
      <c r="Z637" s="272" t="str">
        <f>IFERROR(__xludf.DUMMYFUNCTION("""COMPUTED_VALUE"""),"6a05abedeac1b949cc950ae7")</f>
        <v>6a05abedeac1b949cc950ae7</v>
      </c>
      <c r="AA637" s="272">
        <f>IFERROR(__xludf.DUMMYFUNCTION("""COMPUTED_VALUE"""),0.0)</f>
        <v>0</v>
      </c>
      <c r="AB637" s="272">
        <f>IFERROR(__xludf.DUMMYFUNCTION("""COMPUTED_VALUE"""),0.0)</f>
        <v>0</v>
      </c>
      <c r="AC637" s="272"/>
      <c r="AD637" s="272">
        <f>IFERROR(__xludf.DUMMYFUNCTION("""COMPUTED_VALUE"""),0.0)</f>
        <v>0</v>
      </c>
      <c r="AE637" s="272">
        <f>IFERROR(__xludf.DUMMYFUNCTION("""COMPUTED_VALUE"""),0.0)</f>
        <v>0</v>
      </c>
      <c r="AF637" s="272"/>
      <c r="AG637" s="208"/>
      <c r="AH637" s="208"/>
      <c r="AI637" s="208"/>
      <c r="AJ637" s="208"/>
      <c r="AK637" s="208"/>
    </row>
    <row r="638" hidden="1">
      <c r="A638" s="209">
        <f>IFERROR(__xludf.DUMMYFUNCTION("""COMPUTED_VALUE"""),46159.0)</f>
        <v>46159</v>
      </c>
      <c r="B638" s="210">
        <f>IFERROR(__xludf.DUMMYFUNCTION("""COMPUTED_VALUE"""),0.5)</f>
        <v>0.5</v>
      </c>
      <c r="C638" s="211" t="str">
        <f>IFERROR(__xludf.DUMMYFUNCTION("""COMPUTED_VALUE"""),"Whatsapp")</f>
        <v>Whatsapp</v>
      </c>
      <c r="D638" s="211" t="str">
        <f>IFERROR(__xludf.DUMMYFUNCTION("""COMPUTED_VALUE"""),"Promotional")</f>
        <v>Promotional</v>
      </c>
      <c r="E638" s="211" t="str">
        <f>IFERROR(__xludf.DUMMYFUNCTION("""COMPUTED_VALUE"""),"BBW")</f>
        <v>BBW</v>
      </c>
      <c r="F638" s="211" t="str">
        <f>IFERROR(__xludf.DUMMYFUNCTION("""COMPUTED_VALUE"""),"BC at 999 - Body Care")</f>
        <v>BC at 999 - Body Care</v>
      </c>
      <c r="G638" s="212" t="str">
        <f>IFERROR(__xludf.DUMMYFUNCTION("""COMPUTED_VALUE"""),"bbw_wa_bcat999_online_lastreminder_17may_engaged")</f>
        <v>bbw_wa_bcat999_online_lastreminder_17may_engaged</v>
      </c>
      <c r="H638" s="212" t="str">
        <f>IFERROR(__xludf.DUMMYFUNCTION("""COMPUTED_VALUE"""),"BBW_ON_Engage_NoPr_BC_13_May_2026")</f>
        <v>BBW_ON_Engage_NoPr_BC_13_May_2026</v>
      </c>
      <c r="I638" s="212" t="str">
        <f>IFERROR(__xludf.DUMMYFUNCTION("""COMPUTED_VALUE"""),"Online Customers who opened/clicked CRM campaigns at least 3 times in the last 60 days OR active app/web users in the last 30 days BUT never purchased.")</f>
        <v>Online Customers who opened/clicked CRM campaigns at least 3 times in the last 60 days OR active app/web users in the last 30 days BUT never purchased.</v>
      </c>
      <c r="J638" s="213">
        <f>IFERROR(__xludf.DUMMYFUNCTION("""COMPUTED_VALUE"""),2093.0)</f>
        <v>2093</v>
      </c>
      <c r="K638" s="213">
        <f>IFERROR(__xludf.DUMMYFUNCTION("""COMPUTED_VALUE"""),590.0)</f>
        <v>590</v>
      </c>
      <c r="L638" s="214">
        <f>IFERROR(__xludf.DUMMYFUNCTION("""COMPUTED_VALUE"""),0.2814)</f>
        <v>0.2814</v>
      </c>
      <c r="M638" s="213">
        <f>IFERROR(__xludf.DUMMYFUNCTION("""COMPUTED_VALUE"""),424.0)</f>
        <v>424</v>
      </c>
      <c r="N638" s="214">
        <f>IFERROR(__xludf.DUMMYFUNCTION("""COMPUTED_VALUE"""),0.7182)</f>
        <v>0.7182</v>
      </c>
      <c r="O638" s="213">
        <f>IFERROR(__xludf.DUMMYFUNCTION("""COMPUTED_VALUE"""),25.0)</f>
        <v>25</v>
      </c>
      <c r="P638" s="213">
        <f>IFERROR(__xludf.DUMMYFUNCTION("""COMPUTED_VALUE"""),21.0)</f>
        <v>21</v>
      </c>
      <c r="Q638" s="214">
        <f>IFERROR(__xludf.DUMMYFUNCTION("""COMPUTED_VALUE"""),0.0357)</f>
        <v>0.0357</v>
      </c>
      <c r="R638" s="214">
        <f>IFERROR(__xludf.DUMMYFUNCTION("""COMPUTED_VALUE"""),0.0496)</f>
        <v>0.0496</v>
      </c>
      <c r="S638" s="101"/>
      <c r="T638" s="101"/>
      <c r="U638" s="270">
        <f>IFERROR(__xludf.DUMMYFUNCTION("""COMPUTED_VALUE"""),1798.0)</f>
        <v>1798</v>
      </c>
      <c r="V638" s="271" t="str">
        <f>IFERROR(__xludf.DUMMYFUNCTION("""COMPUTED_VALUE"""),"online")</f>
        <v>online</v>
      </c>
      <c r="W638" s="272" t="str">
        <f>IFERROR(__xludf.DUMMYFUNCTION("""COMPUTED_VALUE"""),"simple")</f>
        <v>simple</v>
      </c>
      <c r="X638" s="272" t="str">
        <f>IFERROR(__xludf.DUMMYFUNCTION("""COMPUTED_VALUE"""),"Non Purchasers")</f>
        <v>Non Purchasers</v>
      </c>
      <c r="Y638" s="272" t="str">
        <f>IFERROR(__xludf.DUMMYFUNCTION("""COMPUTED_VALUE"""),"17 - 19 May")</f>
        <v>17 - 19 May</v>
      </c>
      <c r="Z638" s="272" t="str">
        <f>IFERROR(__xludf.DUMMYFUNCTION("""COMPUTED_VALUE"""),"6a05ac345478310a02337e9a")</f>
        <v>6a05ac345478310a02337e9a</v>
      </c>
      <c r="AA638" s="272">
        <f>IFERROR(__xludf.DUMMYFUNCTION("""COMPUTED_VALUE"""),5.0)</f>
        <v>5</v>
      </c>
      <c r="AB638" s="272">
        <f>IFERROR(__xludf.DUMMYFUNCTION("""COMPUTED_VALUE"""),5.0)</f>
        <v>5</v>
      </c>
      <c r="AC638" s="272"/>
      <c r="AD638" s="272">
        <f>IFERROR(__xludf.DUMMYFUNCTION("""COMPUTED_VALUE"""),18780.0)</f>
        <v>18780</v>
      </c>
      <c r="AE638" s="272">
        <f>IFERROR(__xludf.DUMMYFUNCTION("""COMPUTED_VALUE"""),18780.0)</f>
        <v>18780</v>
      </c>
      <c r="AF638" s="272"/>
      <c r="AG638" s="208"/>
      <c r="AH638" s="208"/>
      <c r="AI638" s="208"/>
      <c r="AJ638" s="208"/>
      <c r="AK638" s="208"/>
    </row>
    <row r="639" hidden="1">
      <c r="A639" s="209">
        <f>IFERROR(__xludf.DUMMYFUNCTION("""COMPUTED_VALUE"""),46159.0)</f>
        <v>46159</v>
      </c>
      <c r="B639" s="210">
        <f>IFERROR(__xludf.DUMMYFUNCTION("""COMPUTED_VALUE"""),0.5)</f>
        <v>0.5</v>
      </c>
      <c r="C639" s="211" t="str">
        <f>IFERROR(__xludf.DUMMYFUNCTION("""COMPUTED_VALUE"""),"Whatsapp")</f>
        <v>Whatsapp</v>
      </c>
      <c r="D639" s="211" t="str">
        <f>IFERROR(__xludf.DUMMYFUNCTION("""COMPUTED_VALUE"""),"Promotional")</f>
        <v>Promotional</v>
      </c>
      <c r="E639" s="211" t="str">
        <f>IFERROR(__xludf.DUMMYFUNCTION("""COMPUTED_VALUE"""),"BBW")</f>
        <v>BBW</v>
      </c>
      <c r="F639" s="211" t="str">
        <f>IFERROR(__xludf.DUMMYFUNCTION("""COMPUTED_VALUE"""),"BC at 999 - Body Care")</f>
        <v>BC at 999 - Body Care</v>
      </c>
      <c r="G639" s="212" t="str">
        <f>IFERROR(__xludf.DUMMYFUNCTION("""COMPUTED_VALUE"""),"bbw_wa_bcat999_online_lastreminder_17may_event")</f>
        <v>bbw_wa_bcat999_online_lastreminder_17may_event</v>
      </c>
      <c r="H639" s="212" t="str">
        <f>IFERROR(__xludf.DUMMYFUNCTION("""COMPUTED_VALUE"""),"BBW_ON_EventBuyers_BC_13_May_2026")</f>
        <v>BBW_ON_EventBuyers_BC_13_May_2026</v>
      </c>
      <c r="I639" s="212" t="str">
        <f>IFERROR(__xludf.DUMMYFUNCTION("""COMPUTED_VALUE"""),"Online Customers who purchased in last BC @ 999 event.")</f>
        <v>Online Customers who purchased in last BC @ 999 event.</v>
      </c>
      <c r="J639" s="213">
        <f>IFERROR(__xludf.DUMMYFUNCTION("""COMPUTED_VALUE"""),21537.0)</f>
        <v>21537</v>
      </c>
      <c r="K639" s="213">
        <f>IFERROR(__xludf.DUMMYFUNCTION("""COMPUTED_VALUE"""),3443.0)</f>
        <v>3443</v>
      </c>
      <c r="L639" s="214">
        <f>IFERROR(__xludf.DUMMYFUNCTION("""COMPUTED_VALUE"""),0.1598)</f>
        <v>0.1598</v>
      </c>
      <c r="M639" s="213">
        <f>IFERROR(__xludf.DUMMYFUNCTION("""COMPUTED_VALUE"""),1280.0)</f>
        <v>1280</v>
      </c>
      <c r="N639" s="214">
        <f>IFERROR(__xludf.DUMMYFUNCTION("""COMPUTED_VALUE"""),0.3719)</f>
        <v>0.3719</v>
      </c>
      <c r="O639" s="213">
        <f>IFERROR(__xludf.DUMMYFUNCTION("""COMPUTED_VALUE"""),71.0)</f>
        <v>71</v>
      </c>
      <c r="P639" s="213">
        <f>IFERROR(__xludf.DUMMYFUNCTION("""COMPUTED_VALUE"""),69.0)</f>
        <v>69</v>
      </c>
      <c r="Q639" s="214">
        <f>IFERROR(__xludf.DUMMYFUNCTION("""COMPUTED_VALUE"""),0.02)</f>
        <v>0.02</v>
      </c>
      <c r="R639" s="214">
        <f>IFERROR(__xludf.DUMMYFUNCTION("""COMPUTED_VALUE"""),0.0539)</f>
        <v>0.0539</v>
      </c>
      <c r="S639" s="101"/>
      <c r="T639" s="101"/>
      <c r="U639" s="270">
        <f>IFERROR(__xludf.DUMMYFUNCTION("""COMPUTED_VALUE"""),23888.0)</f>
        <v>23888</v>
      </c>
      <c r="V639" s="271" t="str">
        <f>IFERROR(__xludf.DUMMYFUNCTION("""COMPUTED_VALUE"""),"online")</f>
        <v>online</v>
      </c>
      <c r="W639" s="272" t="str">
        <f>IFERROR(__xludf.DUMMYFUNCTION("""COMPUTED_VALUE"""),"simple")</f>
        <v>simple</v>
      </c>
      <c r="X639" s="272" t="str">
        <f>IFERROR(__xludf.DUMMYFUNCTION("""COMPUTED_VALUE"""),"Event Buyers")</f>
        <v>Event Buyers</v>
      </c>
      <c r="Y639" s="272" t="str">
        <f>IFERROR(__xludf.DUMMYFUNCTION("""COMPUTED_VALUE"""),"17 - 19 May")</f>
        <v>17 - 19 May</v>
      </c>
      <c r="Z639" s="272" t="str">
        <f>IFERROR(__xludf.DUMMYFUNCTION("""COMPUTED_VALUE"""),"6a05ad46ea169f16b0406b50")</f>
        <v>6a05ad46ea169f16b0406b50</v>
      </c>
      <c r="AA639" s="272">
        <f>IFERROR(__xludf.DUMMYFUNCTION("""COMPUTED_VALUE"""),8.0)</f>
        <v>8</v>
      </c>
      <c r="AB639" s="272">
        <f>IFERROR(__xludf.DUMMYFUNCTION("""COMPUTED_VALUE"""),8.0)</f>
        <v>8</v>
      </c>
      <c r="AC639" s="272"/>
      <c r="AD639" s="272">
        <f>IFERROR(__xludf.DUMMYFUNCTION("""COMPUTED_VALUE"""),51093.0)</f>
        <v>51093</v>
      </c>
      <c r="AE639" s="272">
        <f>IFERROR(__xludf.DUMMYFUNCTION("""COMPUTED_VALUE"""),51093.0)</f>
        <v>51093</v>
      </c>
      <c r="AF639" s="272"/>
      <c r="AG639" s="208"/>
      <c r="AH639" s="208"/>
      <c r="AI639" s="208"/>
      <c r="AJ639" s="208"/>
      <c r="AK639" s="208"/>
    </row>
    <row r="640" hidden="1">
      <c r="A640" s="209">
        <f>IFERROR(__xludf.DUMMYFUNCTION("""COMPUTED_VALUE"""),46159.0)</f>
        <v>46159</v>
      </c>
      <c r="B640" s="210">
        <f>IFERROR(__xludf.DUMMYFUNCTION("""COMPUTED_VALUE"""),0.5416666666678793)</f>
        <v>0.5416666667</v>
      </c>
      <c r="C640" s="211" t="str">
        <f>IFERROR(__xludf.DUMMYFUNCTION("""COMPUTED_VALUE"""),"Sms")</f>
        <v>Sms</v>
      </c>
      <c r="D640" s="211" t="str">
        <f>IFERROR(__xludf.DUMMYFUNCTION("""COMPUTED_VALUE"""),"Fallback campaign")</f>
        <v>Fallback campaign</v>
      </c>
      <c r="E640" s="211" t="str">
        <f>IFERROR(__xludf.DUMMYFUNCTION("""COMPUTED_VALUE"""),"BBW")</f>
        <v>BBW</v>
      </c>
      <c r="F640" s="211" t="str">
        <f>IFERROR(__xludf.DUMMYFUNCTION("""COMPUTED_VALUE"""),"BC at 999 - Body Care")</f>
        <v>BC at 999 - Body Care</v>
      </c>
      <c r="G640" s="212" t="str">
        <f>IFERROR(__xludf.DUMMYFUNCTION("""COMPUTED_VALUE"""),"bbw_smsfb_bcat999_online_lastreminder_17may_freq_purch")</f>
        <v>bbw_smsfb_bcat999_online_lastreminder_17may_freq_purch</v>
      </c>
      <c r="H640" s="212" t="str">
        <f>IFERROR(__xludf.DUMMYFUNCTION("""COMPUTED_VALUE"""),"BBW_ON_BC_3_Times")</f>
        <v>BBW_ON_BC_3_Times</v>
      </c>
      <c r="I640" s="212" t="str">
        <f>IFERROR(__xludf.DUMMYFUNCTION("""COMPUTED_VALUE"""),"WA Undelivered")</f>
        <v>WA Undelivered</v>
      </c>
      <c r="J640" s="213">
        <f>IFERROR(__xludf.DUMMYFUNCTION("""COMPUTED_VALUE"""),1282.0)</f>
        <v>1282</v>
      </c>
      <c r="K640" s="213">
        <f>IFERROR(__xludf.DUMMYFUNCTION("""COMPUTED_VALUE"""),605.0)</f>
        <v>605</v>
      </c>
      <c r="L640" s="214">
        <f>IFERROR(__xludf.DUMMYFUNCTION("""COMPUTED_VALUE"""),0.4719)</f>
        <v>0.4719</v>
      </c>
      <c r="M640" s="213">
        <f>IFERROR(__xludf.DUMMYFUNCTION("""COMPUTED_VALUE"""),0.0)</f>
        <v>0</v>
      </c>
      <c r="N640" s="214">
        <f>IFERROR(__xludf.DUMMYFUNCTION("""COMPUTED_VALUE"""),0.0)</f>
        <v>0</v>
      </c>
      <c r="O640" s="213">
        <f>IFERROR(__xludf.DUMMYFUNCTION("""COMPUTED_VALUE"""),1.0)</f>
        <v>1</v>
      </c>
      <c r="P640" s="213">
        <f>IFERROR(__xludf.DUMMYFUNCTION("""COMPUTED_VALUE"""),0.0)</f>
        <v>0</v>
      </c>
      <c r="Q640" s="214">
        <f>IFERROR(__xludf.DUMMYFUNCTION("""COMPUTED_VALUE"""),0.0017)</f>
        <v>0.0017</v>
      </c>
      <c r="R640" s="214">
        <f>IFERROR(__xludf.DUMMYFUNCTION("""COMPUTED_VALUE"""),0.0)</f>
        <v>0</v>
      </c>
      <c r="S640" s="101"/>
      <c r="T640" s="101"/>
      <c r="U640" s="270">
        <f>IFERROR(__xludf.DUMMYFUNCTION("""COMPUTED_VALUE"""),9991.0)</f>
        <v>9991</v>
      </c>
      <c r="V640" s="271" t="str">
        <f>IFERROR(__xludf.DUMMYFUNCTION("""COMPUTED_VALUE"""),"online")</f>
        <v>online</v>
      </c>
      <c r="W640" s="272" t="str">
        <f>IFERROR(__xludf.DUMMYFUNCTION("""COMPUTED_VALUE"""),"Sms")</f>
        <v>Sms</v>
      </c>
      <c r="X640" s="272" t="str">
        <f>IFERROR(__xludf.DUMMYFUNCTION("""COMPUTED_VALUE"""),"Category Specific")</f>
        <v>Category Specific</v>
      </c>
      <c r="Y640" s="272" t="str">
        <f>IFERROR(__xludf.DUMMYFUNCTION("""COMPUTED_VALUE"""),"17 May")</f>
        <v>17 May</v>
      </c>
      <c r="Z640" s="272" t="str">
        <f>IFERROR(__xludf.DUMMYFUNCTION("""COMPUTED_VALUE"""),"6a05c123cdde3722515dc011")</f>
        <v>6a05c123cdde3722515dc011</v>
      </c>
      <c r="AA640" s="272">
        <f>IFERROR(__xludf.DUMMYFUNCTION("""COMPUTED_VALUE"""),4.0)</f>
        <v>4</v>
      </c>
      <c r="AB640" s="272">
        <f>IFERROR(__xludf.DUMMYFUNCTION("""COMPUTED_VALUE"""),4.0)</f>
        <v>4</v>
      </c>
      <c r="AC640" s="272"/>
      <c r="AD640" s="272">
        <f>IFERROR(__xludf.DUMMYFUNCTION("""COMPUTED_VALUE"""),19681.0)</f>
        <v>19681</v>
      </c>
      <c r="AE640" s="272">
        <f>IFERROR(__xludf.DUMMYFUNCTION("""COMPUTED_VALUE"""),19681.0)</f>
        <v>19681</v>
      </c>
      <c r="AF640" s="272"/>
      <c r="AG640" s="208"/>
      <c r="AH640" s="208"/>
      <c r="AI640" s="208"/>
      <c r="AJ640" s="208"/>
      <c r="AK640" s="208"/>
    </row>
    <row r="641" hidden="1">
      <c r="A641" s="209">
        <f>IFERROR(__xludf.DUMMYFUNCTION("""COMPUTED_VALUE"""),46159.0)</f>
        <v>46159</v>
      </c>
      <c r="B641" s="210">
        <f>IFERROR(__xludf.DUMMYFUNCTION("""COMPUTED_VALUE"""),0.5416666666678793)</f>
        <v>0.5416666667</v>
      </c>
      <c r="C641" s="211" t="str">
        <f>IFERROR(__xludf.DUMMYFUNCTION("""COMPUTED_VALUE"""),"Sms")</f>
        <v>Sms</v>
      </c>
      <c r="D641" s="211" t="str">
        <f>IFERROR(__xludf.DUMMYFUNCTION("""COMPUTED_VALUE"""),"Fallback campaign")</f>
        <v>Fallback campaign</v>
      </c>
      <c r="E641" s="211" t="str">
        <f>IFERROR(__xludf.DUMMYFUNCTION("""COMPUTED_VALUE"""),"BBW")</f>
        <v>BBW</v>
      </c>
      <c r="F641" s="211" t="str">
        <f>IFERROR(__xludf.DUMMYFUNCTION("""COMPUTED_VALUE"""),"BC at 999 - Body Care")</f>
        <v>BC at 999 - Body Care</v>
      </c>
      <c r="G641" s="212" t="str">
        <f>IFERROR(__xludf.DUMMYFUNCTION("""COMPUTED_VALUE"""),"bbw_smsfb_bcat999_online_lastreminder_17may_atc_viewed")</f>
        <v>bbw_smsfb_bcat999_online_lastreminder_17may_atc_viewed</v>
      </c>
      <c r="H641" s="212" t="str">
        <f>IFERROR(__xludf.DUMMYFUNCTION("""COMPUTED_VALUE"""),"BBW_ATC_View_Wishlist_NoPr_90D_13_May_2026")</f>
        <v>BBW_ATC_View_Wishlist_NoPr_90D_13_May_2026</v>
      </c>
      <c r="I641" s="212" t="str">
        <f>IFERROR(__xludf.DUMMYFUNCTION("""COMPUTED_VALUE"""),"WA Undelivered")</f>
        <v>WA Undelivered</v>
      </c>
      <c r="J641" s="213">
        <f>IFERROR(__xludf.DUMMYFUNCTION("""COMPUTED_VALUE"""),1221.0)</f>
        <v>1221</v>
      </c>
      <c r="K641" s="213">
        <f>IFERROR(__xludf.DUMMYFUNCTION("""COMPUTED_VALUE"""),804.0)</f>
        <v>804</v>
      </c>
      <c r="L641" s="214">
        <f>IFERROR(__xludf.DUMMYFUNCTION("""COMPUTED_VALUE"""),0.6585)</f>
        <v>0.6585</v>
      </c>
      <c r="M641" s="213">
        <f>IFERROR(__xludf.DUMMYFUNCTION("""COMPUTED_VALUE"""),0.0)</f>
        <v>0</v>
      </c>
      <c r="N641" s="214">
        <f>IFERROR(__xludf.DUMMYFUNCTION("""COMPUTED_VALUE"""),0.0)</f>
        <v>0</v>
      </c>
      <c r="O641" s="213">
        <f>IFERROR(__xludf.DUMMYFUNCTION("""COMPUTED_VALUE"""),0.0)</f>
        <v>0</v>
      </c>
      <c r="P641" s="213">
        <f>IFERROR(__xludf.DUMMYFUNCTION("""COMPUTED_VALUE"""),0.0)</f>
        <v>0</v>
      </c>
      <c r="Q641" s="214">
        <f>IFERROR(__xludf.DUMMYFUNCTION("""COMPUTED_VALUE"""),0.0)</f>
        <v>0</v>
      </c>
      <c r="R641" s="214">
        <f>IFERROR(__xludf.DUMMYFUNCTION("""COMPUTED_VALUE"""),0.0)</f>
        <v>0</v>
      </c>
      <c r="S641" s="101"/>
      <c r="T641" s="101"/>
      <c r="U641" s="270">
        <f>IFERROR(__xludf.DUMMYFUNCTION("""COMPUTED_VALUE"""),17533.0)</f>
        <v>17533</v>
      </c>
      <c r="V641" s="271" t="str">
        <f>IFERROR(__xludf.DUMMYFUNCTION("""COMPUTED_VALUE"""),"online")</f>
        <v>online</v>
      </c>
      <c r="W641" s="272" t="str">
        <f>IFERROR(__xludf.DUMMYFUNCTION("""COMPUTED_VALUE"""),"Sms")</f>
        <v>Sms</v>
      </c>
      <c r="X641" s="272" t="str">
        <f>IFERROR(__xludf.DUMMYFUNCTION("""COMPUTED_VALUE"""),"Add To Cart/View Item")</f>
        <v>Add To Cart/View Item</v>
      </c>
      <c r="Y641" s="272" t="str">
        <f>IFERROR(__xludf.DUMMYFUNCTION("""COMPUTED_VALUE"""),"17 May")</f>
        <v>17 May</v>
      </c>
      <c r="Z641" s="272" t="str">
        <f>IFERROR(__xludf.DUMMYFUNCTION("""COMPUTED_VALUE"""),"6a05c14b94a67b45c91bac5f")</f>
        <v>6a05c14b94a67b45c91bac5f</v>
      </c>
      <c r="AA641" s="272">
        <f>IFERROR(__xludf.DUMMYFUNCTION("""COMPUTED_VALUE"""),5.0)</f>
        <v>5</v>
      </c>
      <c r="AB641" s="272">
        <f>IFERROR(__xludf.DUMMYFUNCTION("""COMPUTED_VALUE"""),5.0)</f>
        <v>5</v>
      </c>
      <c r="AC641" s="272"/>
      <c r="AD641" s="272">
        <f>IFERROR(__xludf.DUMMYFUNCTION("""COMPUTED_VALUE"""),23217.0)</f>
        <v>23217</v>
      </c>
      <c r="AE641" s="272">
        <f>IFERROR(__xludf.DUMMYFUNCTION("""COMPUTED_VALUE"""),23217.0)</f>
        <v>23217</v>
      </c>
      <c r="AF641" s="272"/>
      <c r="AG641" s="208"/>
      <c r="AH641" s="208"/>
      <c r="AI641" s="208"/>
      <c r="AJ641" s="208"/>
      <c r="AK641" s="208"/>
    </row>
    <row r="642" hidden="1">
      <c r="A642" s="209">
        <f>IFERROR(__xludf.DUMMYFUNCTION("""COMPUTED_VALUE"""),46159.0)</f>
        <v>46159</v>
      </c>
      <c r="B642" s="210">
        <f>IFERROR(__xludf.DUMMYFUNCTION("""COMPUTED_VALUE"""),0.5416666666678793)</f>
        <v>0.5416666667</v>
      </c>
      <c r="C642" s="211" t="str">
        <f>IFERROR(__xludf.DUMMYFUNCTION("""COMPUTED_VALUE"""),"Sms")</f>
        <v>Sms</v>
      </c>
      <c r="D642" s="211" t="str">
        <f>IFERROR(__xludf.DUMMYFUNCTION("""COMPUTED_VALUE"""),"Fallback campaign")</f>
        <v>Fallback campaign</v>
      </c>
      <c r="E642" s="211" t="str">
        <f>IFERROR(__xludf.DUMMYFUNCTION("""COMPUTED_VALUE"""),"BBW")</f>
        <v>BBW</v>
      </c>
      <c r="F642" s="211" t="str">
        <f>IFERROR(__xludf.DUMMYFUNCTION("""COMPUTED_VALUE"""),"BC at 999 - Body Care")</f>
        <v>BC at 999 - Body Care</v>
      </c>
      <c r="G642" s="212" t="str">
        <f>IFERROR(__xludf.DUMMYFUNCTION("""COMPUTED_VALUE"""),"bbw_smsfb_bcat999_online_lastreminder_17may_crossell")</f>
        <v>bbw_smsfb_bcat999_online_lastreminder_17may_crossell</v>
      </c>
      <c r="H642" s="212" t="str">
        <f>IFERROR(__xludf.DUMMYFUNCTION("""COMPUTED_VALUE"""),"BBW_NoPr_BC_Pr_Candle_Mist_Lotion")</f>
        <v>BBW_NoPr_BC_Pr_Candle_Mist_Lotion</v>
      </c>
      <c r="I642" s="212" t="str">
        <f>IFERROR(__xludf.DUMMYFUNCTION("""COMPUTED_VALUE"""),"WA Undelivered")</f>
        <v>WA Undelivered</v>
      </c>
      <c r="J642" s="213">
        <f>IFERROR(__xludf.DUMMYFUNCTION("""COMPUTED_VALUE"""),6264.0)</f>
        <v>6264</v>
      </c>
      <c r="K642" s="213">
        <f>IFERROR(__xludf.DUMMYFUNCTION("""COMPUTED_VALUE"""),4012.0)</f>
        <v>4012</v>
      </c>
      <c r="L642" s="214">
        <f>IFERROR(__xludf.DUMMYFUNCTION("""COMPUTED_VALUE"""),0.6405)</f>
        <v>0.6405</v>
      </c>
      <c r="M642" s="213">
        <f>IFERROR(__xludf.DUMMYFUNCTION("""COMPUTED_VALUE"""),0.0)</f>
        <v>0</v>
      </c>
      <c r="N642" s="214">
        <f>IFERROR(__xludf.DUMMYFUNCTION("""COMPUTED_VALUE"""),0.0)</f>
        <v>0</v>
      </c>
      <c r="O642" s="213">
        <f>IFERROR(__xludf.DUMMYFUNCTION("""COMPUTED_VALUE"""),3.0)</f>
        <v>3</v>
      </c>
      <c r="P642" s="213">
        <f>IFERROR(__xludf.DUMMYFUNCTION("""COMPUTED_VALUE"""),0.0)</f>
        <v>0</v>
      </c>
      <c r="Q642" s="214">
        <f>IFERROR(__xludf.DUMMYFUNCTION("""COMPUTED_VALUE"""),7.0E-4)</f>
        <v>0.0007</v>
      </c>
      <c r="R642" s="214">
        <f>IFERROR(__xludf.DUMMYFUNCTION("""COMPUTED_VALUE"""),0.0)</f>
        <v>0</v>
      </c>
      <c r="S642" s="101"/>
      <c r="T642" s="101"/>
      <c r="U642" s="270">
        <f>IFERROR(__xludf.DUMMYFUNCTION("""COMPUTED_VALUE"""),1998.0)</f>
        <v>1998</v>
      </c>
      <c r="V642" s="271" t="str">
        <f>IFERROR(__xludf.DUMMYFUNCTION("""COMPUTED_VALUE"""),"online")</f>
        <v>online</v>
      </c>
      <c r="W642" s="272" t="str">
        <f>IFERROR(__xludf.DUMMYFUNCTION("""COMPUTED_VALUE"""),"Sms")</f>
        <v>Sms</v>
      </c>
      <c r="X642" s="272" t="str">
        <f>IFERROR(__xludf.DUMMYFUNCTION("""COMPUTED_VALUE"""),"Cross Category")</f>
        <v>Cross Category</v>
      </c>
      <c r="Y642" s="272" t="str">
        <f>IFERROR(__xludf.DUMMYFUNCTION("""COMPUTED_VALUE"""),"17 May")</f>
        <v>17 May</v>
      </c>
      <c r="Z642" s="272" t="str">
        <f>IFERROR(__xludf.DUMMYFUNCTION("""COMPUTED_VALUE"""),"6a05c175e2f3830c4f5f89af")</f>
        <v>6a05c175e2f3830c4f5f89af</v>
      </c>
      <c r="AA642" s="272">
        <f>IFERROR(__xludf.DUMMYFUNCTION("""COMPUTED_VALUE"""),1.0)</f>
        <v>1</v>
      </c>
      <c r="AB642" s="272">
        <f>IFERROR(__xludf.DUMMYFUNCTION("""COMPUTED_VALUE"""),1.0)</f>
        <v>1</v>
      </c>
      <c r="AC642" s="272"/>
      <c r="AD642" s="272">
        <f>IFERROR(__xludf.DUMMYFUNCTION("""COMPUTED_VALUE"""),1998.0)</f>
        <v>1998</v>
      </c>
      <c r="AE642" s="272">
        <f>IFERROR(__xludf.DUMMYFUNCTION("""COMPUTED_VALUE"""),1998.0)</f>
        <v>1998</v>
      </c>
      <c r="AF642" s="272"/>
      <c r="AG642" s="208"/>
      <c r="AH642" s="208"/>
      <c r="AI642" s="208"/>
      <c r="AJ642" s="208"/>
      <c r="AK642" s="208"/>
    </row>
    <row r="643" hidden="1">
      <c r="A643" s="209">
        <f>IFERROR(__xludf.DUMMYFUNCTION("""COMPUTED_VALUE"""),46159.0)</f>
        <v>46159</v>
      </c>
      <c r="B643" s="210">
        <f>IFERROR(__xludf.DUMMYFUNCTION("""COMPUTED_VALUE"""),0.5416666666678793)</f>
        <v>0.5416666667</v>
      </c>
      <c r="C643" s="211" t="str">
        <f>IFERROR(__xludf.DUMMYFUNCTION("""COMPUTED_VALUE"""),"Sms")</f>
        <v>Sms</v>
      </c>
      <c r="D643" s="211" t="str">
        <f>IFERROR(__xludf.DUMMYFUNCTION("""COMPUTED_VALUE"""),"Fallback campaign")</f>
        <v>Fallback campaign</v>
      </c>
      <c r="E643" s="211" t="str">
        <f>IFERROR(__xludf.DUMMYFUNCTION("""COMPUTED_VALUE"""),"BBW")</f>
        <v>BBW</v>
      </c>
      <c r="F643" s="211" t="str">
        <f>IFERROR(__xludf.DUMMYFUNCTION("""COMPUTED_VALUE"""),"BC at 999 - Body Care")</f>
        <v>BC at 999 - Body Care</v>
      </c>
      <c r="G643" s="212" t="str">
        <f>IFERROR(__xludf.DUMMYFUNCTION("""COMPUTED_VALUE"""),"bbw_smsfb_bcat999_online_lastreminder_17may_new_cust")</f>
        <v>bbw_smsfb_bcat999_online_lastreminder_17may_new_cust</v>
      </c>
      <c r="H643" s="212" t="str">
        <f>IFERROR(__xludf.DUMMYFUNCTION("""COMPUTED_VALUE"""),"BBW_ON_New_Cust_NoPr_BCa")</f>
        <v>BBW_ON_New_Cust_NoPr_BCa</v>
      </c>
      <c r="I643" s="212" t="str">
        <f>IFERROR(__xludf.DUMMYFUNCTION("""COMPUTED_VALUE"""),"WA Undelivered")</f>
        <v>WA Undelivered</v>
      </c>
      <c r="J643" s="213">
        <f>IFERROR(__xludf.DUMMYFUNCTION("""COMPUTED_VALUE"""),359.0)</f>
        <v>359</v>
      </c>
      <c r="K643" s="213">
        <f>IFERROR(__xludf.DUMMYFUNCTION("""COMPUTED_VALUE"""),200.0)</f>
        <v>200</v>
      </c>
      <c r="L643" s="214">
        <f>IFERROR(__xludf.DUMMYFUNCTION("""COMPUTED_VALUE"""),0.5571)</f>
        <v>0.5571</v>
      </c>
      <c r="M643" s="213">
        <f>IFERROR(__xludf.DUMMYFUNCTION("""COMPUTED_VALUE"""),0.0)</f>
        <v>0</v>
      </c>
      <c r="N643" s="214">
        <f>IFERROR(__xludf.DUMMYFUNCTION("""COMPUTED_VALUE"""),0.0)</f>
        <v>0</v>
      </c>
      <c r="O643" s="213">
        <f>IFERROR(__xludf.DUMMYFUNCTION("""COMPUTED_VALUE"""),1.0)</f>
        <v>1</v>
      </c>
      <c r="P643" s="213">
        <f>IFERROR(__xludf.DUMMYFUNCTION("""COMPUTED_VALUE"""),0.0)</f>
        <v>0</v>
      </c>
      <c r="Q643" s="214">
        <f>IFERROR(__xludf.DUMMYFUNCTION("""COMPUTED_VALUE"""),0.005)</f>
        <v>0.005</v>
      </c>
      <c r="R643" s="214">
        <f>IFERROR(__xludf.DUMMYFUNCTION("""COMPUTED_VALUE"""),0.0)</f>
        <v>0</v>
      </c>
      <c r="S643" s="101"/>
      <c r="T643" s="101"/>
      <c r="U643" s="270">
        <f>IFERROR(__xludf.DUMMYFUNCTION("""COMPUTED_VALUE"""),0.0)</f>
        <v>0</v>
      </c>
      <c r="V643" s="271" t="str">
        <f>IFERROR(__xludf.DUMMYFUNCTION("""COMPUTED_VALUE"""),"online")</f>
        <v>online</v>
      </c>
      <c r="W643" s="272" t="str">
        <f>IFERROR(__xludf.DUMMYFUNCTION("""COMPUTED_VALUE"""),"Sms")</f>
        <v>Sms</v>
      </c>
      <c r="X643" s="272" t="str">
        <f>IFERROR(__xludf.DUMMYFUNCTION("""COMPUTED_VALUE"""),"New Customer")</f>
        <v>New Customer</v>
      </c>
      <c r="Y643" s="272" t="str">
        <f>IFERROR(__xludf.DUMMYFUNCTION("""COMPUTED_VALUE"""),"17 May")</f>
        <v>17 May</v>
      </c>
      <c r="Z643" s="272" t="str">
        <f>IFERROR(__xludf.DUMMYFUNCTION("""COMPUTED_VALUE"""),"6a05c93110b3ee62f9d51cca")</f>
        <v>6a05c93110b3ee62f9d51cca</v>
      </c>
      <c r="AA643" s="272">
        <f>IFERROR(__xludf.DUMMYFUNCTION("""COMPUTED_VALUE"""),0.0)</f>
        <v>0</v>
      </c>
      <c r="AB643" s="272">
        <f>IFERROR(__xludf.DUMMYFUNCTION("""COMPUTED_VALUE"""),0.0)</f>
        <v>0</v>
      </c>
      <c r="AC643" s="272"/>
      <c r="AD643" s="272">
        <f>IFERROR(__xludf.DUMMYFUNCTION("""COMPUTED_VALUE"""),0.0)</f>
        <v>0</v>
      </c>
      <c r="AE643" s="272">
        <f>IFERROR(__xludf.DUMMYFUNCTION("""COMPUTED_VALUE"""),0.0)</f>
        <v>0</v>
      </c>
      <c r="AF643" s="272"/>
      <c r="AG643" s="208"/>
      <c r="AH643" s="208"/>
      <c r="AI643" s="208"/>
      <c r="AJ643" s="208"/>
      <c r="AK643" s="208"/>
    </row>
    <row r="644" hidden="1">
      <c r="A644" s="209">
        <f>IFERROR(__xludf.DUMMYFUNCTION("""COMPUTED_VALUE"""),46159.0)</f>
        <v>46159</v>
      </c>
      <c r="B644" s="210">
        <f>IFERROR(__xludf.DUMMYFUNCTION("""COMPUTED_VALUE"""),0.5416666666678793)</f>
        <v>0.5416666667</v>
      </c>
      <c r="C644" s="211" t="str">
        <f>IFERROR(__xludf.DUMMYFUNCTION("""COMPUTED_VALUE"""),"Sms")</f>
        <v>Sms</v>
      </c>
      <c r="D644" s="211" t="str">
        <f>IFERROR(__xludf.DUMMYFUNCTION("""COMPUTED_VALUE"""),"Fallback campaign")</f>
        <v>Fallback campaign</v>
      </c>
      <c r="E644" s="211" t="str">
        <f>IFERROR(__xludf.DUMMYFUNCTION("""COMPUTED_VALUE"""),"BBW")</f>
        <v>BBW</v>
      </c>
      <c r="F644" s="211" t="str">
        <f>IFERROR(__xludf.DUMMYFUNCTION("""COMPUTED_VALUE"""),"BC at 999 - Body Care")</f>
        <v>BC at 999 - Body Care</v>
      </c>
      <c r="G644" s="212" t="str">
        <f>IFERROR(__xludf.DUMMYFUNCTION("""COMPUTED_VALUE"""),"bbw_smsfb_bcat999_online_lastreminder_17may_engaged")</f>
        <v>bbw_smsfb_bcat999_online_lastreminder_17may_engaged</v>
      </c>
      <c r="H644" s="212" t="str">
        <f>IFERROR(__xludf.DUMMYFUNCTION("""COMPUTED_VALUE"""),"BBW_ON_Engage_NoPr_BC_13_May_2026")</f>
        <v>BBW_ON_Engage_NoPr_BC_13_May_2026</v>
      </c>
      <c r="I644" s="212" t="str">
        <f>IFERROR(__xludf.DUMMYFUNCTION("""COMPUTED_VALUE"""),"WA Undelivered")</f>
        <v>WA Undelivered</v>
      </c>
      <c r="J644" s="213">
        <f>IFERROR(__xludf.DUMMYFUNCTION("""COMPUTED_VALUE"""),353.0)</f>
        <v>353</v>
      </c>
      <c r="K644" s="213">
        <f>IFERROR(__xludf.DUMMYFUNCTION("""COMPUTED_VALUE"""),228.0)</f>
        <v>228</v>
      </c>
      <c r="L644" s="214">
        <f>IFERROR(__xludf.DUMMYFUNCTION("""COMPUTED_VALUE"""),0.6459)</f>
        <v>0.6459</v>
      </c>
      <c r="M644" s="213">
        <f>IFERROR(__xludf.DUMMYFUNCTION("""COMPUTED_VALUE"""),0.0)</f>
        <v>0</v>
      </c>
      <c r="N644" s="214">
        <f>IFERROR(__xludf.DUMMYFUNCTION("""COMPUTED_VALUE"""),0.0)</f>
        <v>0</v>
      </c>
      <c r="O644" s="213">
        <f>IFERROR(__xludf.DUMMYFUNCTION("""COMPUTED_VALUE"""),1.0)</f>
        <v>1</v>
      </c>
      <c r="P644" s="213">
        <f>IFERROR(__xludf.DUMMYFUNCTION("""COMPUTED_VALUE"""),0.0)</f>
        <v>0</v>
      </c>
      <c r="Q644" s="214">
        <f>IFERROR(__xludf.DUMMYFUNCTION("""COMPUTED_VALUE"""),0.0044)</f>
        <v>0.0044</v>
      </c>
      <c r="R644" s="214">
        <f>IFERROR(__xludf.DUMMYFUNCTION("""COMPUTED_VALUE"""),0.0)</f>
        <v>0</v>
      </c>
      <c r="S644" s="101"/>
      <c r="T644" s="101"/>
      <c r="U644" s="270">
        <f>IFERROR(__xludf.DUMMYFUNCTION("""COMPUTED_VALUE"""),647.0)</f>
        <v>647</v>
      </c>
      <c r="V644" s="271" t="str">
        <f>IFERROR(__xludf.DUMMYFUNCTION("""COMPUTED_VALUE"""),"online")</f>
        <v>online</v>
      </c>
      <c r="W644" s="272" t="str">
        <f>IFERROR(__xludf.DUMMYFUNCTION("""COMPUTED_VALUE"""),"Sms")</f>
        <v>Sms</v>
      </c>
      <c r="X644" s="272" t="str">
        <f>IFERROR(__xludf.DUMMYFUNCTION("""COMPUTED_VALUE"""),"Non Purchasers")</f>
        <v>Non Purchasers</v>
      </c>
      <c r="Y644" s="272" t="str">
        <f>IFERROR(__xludf.DUMMYFUNCTION("""COMPUTED_VALUE"""),"17 May")</f>
        <v>17 May</v>
      </c>
      <c r="Z644" s="272" t="str">
        <f>IFERROR(__xludf.DUMMYFUNCTION("""COMPUTED_VALUE"""),"6a05c969bd3a92c0bdc0289a")</f>
        <v>6a05c969bd3a92c0bdc0289a</v>
      </c>
      <c r="AA644" s="272">
        <f>IFERROR(__xludf.DUMMYFUNCTION("""COMPUTED_VALUE"""),1.0)</f>
        <v>1</v>
      </c>
      <c r="AB644" s="272">
        <f>IFERROR(__xludf.DUMMYFUNCTION("""COMPUTED_VALUE"""),1.0)</f>
        <v>1</v>
      </c>
      <c r="AC644" s="272"/>
      <c r="AD644" s="272">
        <f>IFERROR(__xludf.DUMMYFUNCTION("""COMPUTED_VALUE"""),598.0)</f>
        <v>598</v>
      </c>
      <c r="AE644" s="272">
        <f>IFERROR(__xludf.DUMMYFUNCTION("""COMPUTED_VALUE"""),598.0)</f>
        <v>598</v>
      </c>
      <c r="AF644" s="272"/>
      <c r="AG644" s="208"/>
      <c r="AH644" s="208"/>
      <c r="AI644" s="208"/>
      <c r="AJ644" s="208"/>
      <c r="AK644" s="208"/>
    </row>
    <row r="645" hidden="1">
      <c r="A645" s="209">
        <f>IFERROR(__xludf.DUMMYFUNCTION("""COMPUTED_VALUE"""),46159.0)</f>
        <v>46159</v>
      </c>
      <c r="B645" s="210">
        <f>IFERROR(__xludf.DUMMYFUNCTION("""COMPUTED_VALUE"""),0.5416666666678793)</f>
        <v>0.5416666667</v>
      </c>
      <c r="C645" s="211" t="str">
        <f>IFERROR(__xludf.DUMMYFUNCTION("""COMPUTED_VALUE"""),"Sms")</f>
        <v>Sms</v>
      </c>
      <c r="D645" s="211" t="str">
        <f>IFERROR(__xludf.DUMMYFUNCTION("""COMPUTED_VALUE"""),"Fallback campaign")</f>
        <v>Fallback campaign</v>
      </c>
      <c r="E645" s="211" t="str">
        <f>IFERROR(__xludf.DUMMYFUNCTION("""COMPUTED_VALUE"""),"BBW")</f>
        <v>BBW</v>
      </c>
      <c r="F645" s="211" t="str">
        <f>IFERROR(__xludf.DUMMYFUNCTION("""COMPUTED_VALUE"""),"BC at 999 - Body Care")</f>
        <v>BC at 999 - Body Care</v>
      </c>
      <c r="G645" s="212" t="str">
        <f>IFERROR(__xludf.DUMMYFUNCTION("""COMPUTED_VALUE"""),"bbw_smsfb_bcat999_online_lastreminder_17may_event")</f>
        <v>bbw_smsfb_bcat999_online_lastreminder_17may_event</v>
      </c>
      <c r="H645" s="212" t="str">
        <f>IFERROR(__xludf.DUMMYFUNCTION("""COMPUTED_VALUE"""),"BBW_ON_EventBuyers_BC_13_May_2026")</f>
        <v>BBW_ON_EventBuyers_BC_13_May_2026</v>
      </c>
      <c r="I645" s="212" t="str">
        <f>IFERROR(__xludf.DUMMYFUNCTION("""COMPUTED_VALUE"""),"WA Undelivered")</f>
        <v>WA Undelivered</v>
      </c>
      <c r="J645" s="213">
        <f>IFERROR(__xludf.DUMMYFUNCTION("""COMPUTED_VALUE"""),6451.0)</f>
        <v>6451</v>
      </c>
      <c r="K645" s="213">
        <f>IFERROR(__xludf.DUMMYFUNCTION("""COMPUTED_VALUE"""),3657.0)</f>
        <v>3657</v>
      </c>
      <c r="L645" s="214">
        <f>IFERROR(__xludf.DUMMYFUNCTION("""COMPUTED_VALUE"""),0.5669)</f>
        <v>0.5669</v>
      </c>
      <c r="M645" s="213">
        <f>IFERROR(__xludf.DUMMYFUNCTION("""COMPUTED_VALUE"""),0.0)</f>
        <v>0</v>
      </c>
      <c r="N645" s="214">
        <f>IFERROR(__xludf.DUMMYFUNCTION("""COMPUTED_VALUE"""),0.0)</f>
        <v>0</v>
      </c>
      <c r="O645" s="213">
        <f>IFERROR(__xludf.DUMMYFUNCTION("""COMPUTED_VALUE"""),7.0)</f>
        <v>7</v>
      </c>
      <c r="P645" s="213">
        <f>IFERROR(__xludf.DUMMYFUNCTION("""COMPUTED_VALUE"""),0.0)</f>
        <v>0</v>
      </c>
      <c r="Q645" s="214">
        <f>IFERROR(__xludf.DUMMYFUNCTION("""COMPUTED_VALUE"""),0.0019)</f>
        <v>0.0019</v>
      </c>
      <c r="R645" s="214">
        <f>IFERROR(__xludf.DUMMYFUNCTION("""COMPUTED_VALUE"""),0.0)</f>
        <v>0</v>
      </c>
      <c r="S645" s="101"/>
      <c r="T645" s="101"/>
      <c r="U645" s="270">
        <f>IFERROR(__xludf.DUMMYFUNCTION("""COMPUTED_VALUE"""),40028.0)</f>
        <v>40028</v>
      </c>
      <c r="V645" s="271" t="str">
        <f>IFERROR(__xludf.DUMMYFUNCTION("""COMPUTED_VALUE"""),"online")</f>
        <v>online</v>
      </c>
      <c r="W645" s="272" t="str">
        <f>IFERROR(__xludf.DUMMYFUNCTION("""COMPUTED_VALUE"""),"Sms")</f>
        <v>Sms</v>
      </c>
      <c r="X645" s="272" t="str">
        <f>IFERROR(__xludf.DUMMYFUNCTION("""COMPUTED_VALUE"""),"Event Buyers")</f>
        <v>Event Buyers</v>
      </c>
      <c r="Y645" s="272" t="str">
        <f>IFERROR(__xludf.DUMMYFUNCTION("""COMPUTED_VALUE"""),"17 May")</f>
        <v>17 May</v>
      </c>
      <c r="Z645" s="272" t="str">
        <f>IFERROR(__xludf.DUMMYFUNCTION("""COMPUTED_VALUE"""),"6a05c9880d6d1a8639b35e83")</f>
        <v>6a05c9880d6d1a8639b35e83</v>
      </c>
      <c r="AA645" s="272">
        <f>IFERROR(__xludf.DUMMYFUNCTION("""COMPUTED_VALUE"""),1.0)</f>
        <v>1</v>
      </c>
      <c r="AB645" s="272">
        <f>IFERROR(__xludf.DUMMYFUNCTION("""COMPUTED_VALUE"""),1.0)</f>
        <v>1</v>
      </c>
      <c r="AC645" s="272"/>
      <c r="AD645" s="272">
        <f>IFERROR(__xludf.DUMMYFUNCTION("""COMPUTED_VALUE"""),999.0)</f>
        <v>999</v>
      </c>
      <c r="AE645" s="272">
        <f>IFERROR(__xludf.DUMMYFUNCTION("""COMPUTED_VALUE"""),999.0)</f>
        <v>999</v>
      </c>
      <c r="AF645" s="272"/>
      <c r="AG645" s="208"/>
      <c r="AH645" s="208"/>
      <c r="AI645" s="208"/>
      <c r="AJ645" s="208"/>
      <c r="AK645" s="208"/>
    </row>
    <row r="646" hidden="1">
      <c r="A646" s="209">
        <f>IFERROR(__xludf.DUMMYFUNCTION("""COMPUTED_VALUE"""),46162.0)</f>
        <v>46162</v>
      </c>
      <c r="B646" s="210">
        <f>IFERROR(__xludf.DUMMYFUNCTION("""COMPUTED_VALUE"""),0.75)</f>
        <v>0.75</v>
      </c>
      <c r="C646" s="211" t="str">
        <f>IFERROR(__xludf.DUMMYFUNCTION("""COMPUTED_VALUE"""),"Whatsapp")</f>
        <v>Whatsapp</v>
      </c>
      <c r="D646" s="211" t="str">
        <f>IFERROR(__xludf.DUMMYFUNCTION("""COMPUTED_VALUE"""),"Promotional")</f>
        <v>Promotional</v>
      </c>
      <c r="E646" s="211" t="str">
        <f>IFERROR(__xludf.DUMMYFUNCTION("""COMPUTED_VALUE"""),"BBW")</f>
        <v>BBW</v>
      </c>
      <c r="F646" s="211" t="str">
        <f>IFERROR(__xludf.DUMMYFUNCTION("""COMPUTED_VALUE"""),"BC at 899 - Seasonal Body Care")</f>
        <v>BC at 899 - Seasonal Body Care</v>
      </c>
      <c r="G646" s="212" t="str">
        <f>IFERROR(__xludf.DUMMYFUNCTION("""COMPUTED_VALUE"""),"bbw_wa_seasonal_bcat899_20may_atc_wishlist_online")</f>
        <v>bbw_wa_seasonal_bcat899_20may_atc_wishlist_online</v>
      </c>
      <c r="H646" s="212" t="str">
        <f>IFERROR(__xludf.DUMMYFUNCTION("""COMPUTED_VALUE"""),"BBW_ATC_View_Wishlist_NoPr_45D")</f>
        <v>BBW_ATC_View_Wishlist_NoPr_45D</v>
      </c>
      <c r="I646" s="212" t="str">
        <f>IFERROR(__xludf.DUMMYFUNCTION("""COMPUTED_VALUE"""),"Customers who have added to cart or wishlisted items from item_category Body Care in the last 45D")</f>
        <v>Customers who have added to cart or wishlisted items from item_category Body Care in the last 45D</v>
      </c>
      <c r="J646" s="213">
        <f>IFERROR(__xludf.DUMMYFUNCTION("""COMPUTED_VALUE"""),3997.0)</f>
        <v>3997</v>
      </c>
      <c r="K646" s="213">
        <f>IFERROR(__xludf.DUMMYFUNCTION("""COMPUTED_VALUE"""),1566.0)</f>
        <v>1566</v>
      </c>
      <c r="L646" s="214">
        <f>IFERROR(__xludf.DUMMYFUNCTION("""COMPUTED_VALUE"""),0.3918)</f>
        <v>0.3918</v>
      </c>
      <c r="M646" s="213">
        <f>IFERROR(__xludf.DUMMYFUNCTION("""COMPUTED_VALUE"""),796.0)</f>
        <v>796</v>
      </c>
      <c r="N646" s="214">
        <f>IFERROR(__xludf.DUMMYFUNCTION("""COMPUTED_VALUE"""),0.5083)</f>
        <v>0.5083</v>
      </c>
      <c r="O646" s="213">
        <f>IFERROR(__xludf.DUMMYFUNCTION("""COMPUTED_VALUE"""),142.0)</f>
        <v>142</v>
      </c>
      <c r="P646" s="213">
        <f>IFERROR(__xludf.DUMMYFUNCTION("""COMPUTED_VALUE"""),129.0)</f>
        <v>129</v>
      </c>
      <c r="Q646" s="214">
        <f>IFERROR(__xludf.DUMMYFUNCTION("""COMPUTED_VALUE"""),0.0824)</f>
        <v>0.0824</v>
      </c>
      <c r="R646" s="214">
        <f>IFERROR(__xludf.DUMMYFUNCTION("""COMPUTED_VALUE"""),0.1621)</f>
        <v>0.1621</v>
      </c>
      <c r="S646" s="101"/>
      <c r="T646" s="101"/>
      <c r="U646" s="270">
        <f>IFERROR(__xludf.DUMMYFUNCTION("""COMPUTED_VALUE"""),46412.0)</f>
        <v>46412</v>
      </c>
      <c r="V646" s="271" t="str">
        <f>IFERROR(__xludf.DUMMYFUNCTION("""COMPUTED_VALUE"""),"online")</f>
        <v>online</v>
      </c>
      <c r="W646" s="272" t="str">
        <f>IFERROR(__xludf.DUMMYFUNCTION("""COMPUTED_VALUE"""),"simple")</f>
        <v>simple</v>
      </c>
      <c r="X646" s="272" t="str">
        <f>IFERROR(__xludf.DUMMYFUNCTION("""COMPUTED_VALUE"""),"ATC/View")</f>
        <v>ATC/View</v>
      </c>
      <c r="Y646" s="272" t="str">
        <f>IFERROR(__xludf.DUMMYFUNCTION("""COMPUTED_VALUE"""),"20-22 May")</f>
        <v>20-22 May</v>
      </c>
      <c r="Z646" s="272" t="str">
        <f>IFERROR(__xludf.DUMMYFUNCTION("""COMPUTED_VALUE"""),"6a0c225f2119bde4ae588e04")</f>
        <v>6a0c225f2119bde4ae588e04</v>
      </c>
      <c r="AA646" s="272">
        <f>IFERROR(__xludf.DUMMYFUNCTION("""COMPUTED_VALUE"""),25.0)</f>
        <v>25</v>
      </c>
      <c r="AB646" s="272">
        <f>IFERROR(__xludf.DUMMYFUNCTION("""COMPUTED_VALUE"""),25.0)</f>
        <v>25</v>
      </c>
      <c r="AC646" s="272"/>
      <c r="AD646" s="272">
        <f>IFERROR(__xludf.DUMMYFUNCTION("""COMPUTED_VALUE"""),66180.0)</f>
        <v>66180</v>
      </c>
      <c r="AE646" s="272">
        <f>IFERROR(__xludf.DUMMYFUNCTION("""COMPUTED_VALUE"""),66180.0)</f>
        <v>66180</v>
      </c>
      <c r="AF646" s="272"/>
      <c r="AG646" s="208"/>
      <c r="AH646" s="208"/>
      <c r="AI646" s="208"/>
      <c r="AJ646" s="208"/>
      <c r="AK646" s="208"/>
    </row>
    <row r="647" hidden="1">
      <c r="A647" s="209">
        <f>IFERROR(__xludf.DUMMYFUNCTION("""COMPUTED_VALUE"""),46162.0)</f>
        <v>46162</v>
      </c>
      <c r="B647" s="210">
        <f>IFERROR(__xludf.DUMMYFUNCTION("""COMPUTED_VALUE"""),0.75)</f>
        <v>0.75</v>
      </c>
      <c r="C647" s="211" t="str">
        <f>IFERROR(__xludf.DUMMYFUNCTION("""COMPUTED_VALUE"""),"Whatsapp")</f>
        <v>Whatsapp</v>
      </c>
      <c r="D647" s="211" t="str">
        <f>IFERROR(__xludf.DUMMYFUNCTION("""COMPUTED_VALUE"""),"Promotional")</f>
        <v>Promotional</v>
      </c>
      <c r="E647" s="211" t="str">
        <f>IFERROR(__xludf.DUMMYFUNCTION("""COMPUTED_VALUE"""),"BBW")</f>
        <v>BBW</v>
      </c>
      <c r="F647" s="211" t="str">
        <f>IFERROR(__xludf.DUMMYFUNCTION("""COMPUTED_VALUE"""),"BC at 899 - Seasonal Body Care")</f>
        <v>BC at 899 - Seasonal Body Care</v>
      </c>
      <c r="G647" s="212" t="str">
        <f>IFERROR(__xludf.DUMMYFUNCTION("""COMPUTED_VALUE"""),"bbw_wa_seasonal_bcat899_20may_bcrepeat_online")</f>
        <v>bbw_wa_seasonal_bcat899_20may_bcrepeat_online</v>
      </c>
      <c r="H647" s="212" t="str">
        <f>IFERROR(__xludf.DUMMYFUNCTION("""COMPUTED_VALUE"""),"BBW_ON_BC_2_Times_45D_210D")</f>
        <v>BBW_ON_BC_2_Times_45D_210D</v>
      </c>
      <c r="I647" s="212" t="str">
        <f>IFERROR(__xludf.DUMMYFUNCTION("""COMPUTED_VALUE"""),"Online Customers who have purchased from L2: Body Care at least 2 times in between 45 days and 210 days ago")</f>
        <v>Online Customers who have purchased from L2: Body Care at least 2 times in between 45 days and 210 days ago</v>
      </c>
      <c r="J647" s="213">
        <f>IFERROR(__xludf.DUMMYFUNCTION("""COMPUTED_VALUE"""),37437.0)</f>
        <v>37437</v>
      </c>
      <c r="K647" s="213">
        <f>IFERROR(__xludf.DUMMYFUNCTION("""COMPUTED_VALUE"""),12275.0)</f>
        <v>12275</v>
      </c>
      <c r="L647" s="214">
        <f>IFERROR(__xludf.DUMMYFUNCTION("""COMPUTED_VALUE"""),0.3279)</f>
        <v>0.3279</v>
      </c>
      <c r="M647" s="213">
        <f>IFERROR(__xludf.DUMMYFUNCTION("""COMPUTED_VALUE"""),5935.0)</f>
        <v>5935</v>
      </c>
      <c r="N647" s="214">
        <f>IFERROR(__xludf.DUMMYFUNCTION("""COMPUTED_VALUE"""),0.4834)</f>
        <v>0.4834</v>
      </c>
      <c r="O647" s="213">
        <f>IFERROR(__xludf.DUMMYFUNCTION("""COMPUTED_VALUE"""),639.0)</f>
        <v>639</v>
      </c>
      <c r="P647" s="213">
        <f>IFERROR(__xludf.DUMMYFUNCTION("""COMPUTED_VALUE"""),552.0)</f>
        <v>552</v>
      </c>
      <c r="Q647" s="214">
        <f>IFERROR(__xludf.DUMMYFUNCTION("""COMPUTED_VALUE"""),0.045)</f>
        <v>0.045</v>
      </c>
      <c r="R647" s="214">
        <f>IFERROR(__xludf.DUMMYFUNCTION("""COMPUTED_VALUE"""),0.093)</f>
        <v>0.093</v>
      </c>
      <c r="S647" s="101">
        <f>IFERROR(__xludf.DUMMYFUNCTION("""COMPUTED_VALUE"""),17.0)</f>
        <v>17</v>
      </c>
      <c r="T647" s="101">
        <f>IFERROR(__xludf.DUMMYFUNCTION("""COMPUTED_VALUE"""),50.0)</f>
        <v>50</v>
      </c>
      <c r="U647" s="270">
        <f>IFERROR(__xludf.DUMMYFUNCTION("""COMPUTED_VALUE"""),41085.0)</f>
        <v>41085</v>
      </c>
      <c r="V647" s="271" t="str">
        <f>IFERROR(__xludf.DUMMYFUNCTION("""COMPUTED_VALUE"""),"online")</f>
        <v>online</v>
      </c>
      <c r="W647" s="272" t="str">
        <f>IFERROR(__xludf.DUMMYFUNCTION("""COMPUTED_VALUE"""),"simple")</f>
        <v>simple</v>
      </c>
      <c r="X647" s="272" t="str">
        <f>IFERROR(__xludf.DUMMYFUNCTION("""COMPUTED_VALUE"""),"Repeat")</f>
        <v>Repeat</v>
      </c>
      <c r="Y647" s="272" t="str">
        <f>IFERROR(__xludf.DUMMYFUNCTION("""COMPUTED_VALUE"""),"20-22 May")</f>
        <v>20-22 May</v>
      </c>
      <c r="Z647" s="272" t="str">
        <f>IFERROR(__xludf.DUMMYFUNCTION("""COMPUTED_VALUE"""),"6a0c22b1096ca7fc58edc0d8")</f>
        <v>6a0c22b1096ca7fc58edc0d8</v>
      </c>
      <c r="AA647" s="272">
        <f>IFERROR(__xludf.DUMMYFUNCTION("""COMPUTED_VALUE"""),101.0)</f>
        <v>101</v>
      </c>
      <c r="AB647" s="272">
        <f>IFERROR(__xludf.DUMMYFUNCTION("""COMPUTED_VALUE"""),101.0)</f>
        <v>101</v>
      </c>
      <c r="AC647" s="272"/>
      <c r="AD647" s="272">
        <f>IFERROR(__xludf.DUMMYFUNCTION("""COMPUTED_VALUE"""),321778.0)</f>
        <v>321778</v>
      </c>
      <c r="AE647" s="272">
        <f>IFERROR(__xludf.DUMMYFUNCTION("""COMPUTED_VALUE"""),321778.0)</f>
        <v>321778</v>
      </c>
      <c r="AF647" s="272"/>
      <c r="AG647" s="208"/>
      <c r="AH647" s="208"/>
      <c r="AI647" s="208"/>
      <c r="AJ647" s="208"/>
      <c r="AK647" s="208"/>
    </row>
    <row r="648" hidden="1">
      <c r="A648" s="209">
        <f>IFERROR(__xludf.DUMMYFUNCTION("""COMPUTED_VALUE"""),46162.0)</f>
        <v>46162</v>
      </c>
      <c r="B648" s="210">
        <f>IFERROR(__xludf.DUMMYFUNCTION("""COMPUTED_VALUE"""),0.75)</f>
        <v>0.75</v>
      </c>
      <c r="C648" s="211" t="str">
        <f>IFERROR(__xludf.DUMMYFUNCTION("""COMPUTED_VALUE"""),"Whatsapp")</f>
        <v>Whatsapp</v>
      </c>
      <c r="D648" s="211" t="str">
        <f>IFERROR(__xludf.DUMMYFUNCTION("""COMPUTED_VALUE"""),"Promotional")</f>
        <v>Promotional</v>
      </c>
      <c r="E648" s="211" t="str">
        <f>IFERROR(__xludf.DUMMYFUNCTION("""COMPUTED_VALUE"""),"BBW")</f>
        <v>BBW</v>
      </c>
      <c r="F648" s="211" t="str">
        <f>IFERROR(__xludf.DUMMYFUNCTION("""COMPUTED_VALUE"""),"BC at 899 - Seasonal Body Care")</f>
        <v>BC at 899 - Seasonal Body Care</v>
      </c>
      <c r="G648" s="212" t="str">
        <f>IFERROR(__xludf.DUMMYFUNCTION("""COMPUTED_VALUE"""),"bbw_wa_seasonal_bcat899_20may_eventbuyers_online")</f>
        <v>bbw_wa_seasonal_bcat899_20may_eventbuyers_online</v>
      </c>
      <c r="H648" s="212" t="str">
        <f>IFERROR(__xludf.DUMMYFUNCTION("""COMPUTED_VALUE"""),"BC_EventBuyers_ON")</f>
        <v>BC_EventBuyers_ON</v>
      </c>
      <c r="I648" s="212" t="str">
        <f>IFERROR(__xludf.DUMMYFUNCTION("""COMPUTED_VALUE"""),"Online Customers who have purchased from L2: Body Care at least 1 time in between Oct 2 - Oct 5, 2025; Oct 16 - Oct 27, 2025; Jan 09- Jan 18, 2026; Feb 26 - Mar 3, 2026; Mar 27 - Mar 29, 2026; May 7 - May 12, 2026")</f>
        <v>Online Customers who have purchased from L2: Body Care at least 1 time in between Oct 2 - Oct 5, 2025; Oct 16 - Oct 27, 2025; Jan 09- Jan 18, 2026; Feb 26 - Mar 3, 2026; Mar 27 - Mar 29, 2026; May 7 - May 12, 2026</v>
      </c>
      <c r="J648" s="213">
        <f>IFERROR(__xludf.DUMMYFUNCTION("""COMPUTED_VALUE"""),6559.0)</f>
        <v>6559</v>
      </c>
      <c r="K648" s="213">
        <f>IFERROR(__xludf.DUMMYFUNCTION("""COMPUTED_VALUE"""),1883.0)</f>
        <v>1883</v>
      </c>
      <c r="L648" s="214">
        <f>IFERROR(__xludf.DUMMYFUNCTION("""COMPUTED_VALUE"""),0.2871)</f>
        <v>0.2871</v>
      </c>
      <c r="M648" s="213">
        <f>IFERROR(__xludf.DUMMYFUNCTION("""COMPUTED_VALUE"""),873.0)</f>
        <v>873</v>
      </c>
      <c r="N648" s="214">
        <f>IFERROR(__xludf.DUMMYFUNCTION("""COMPUTED_VALUE"""),0.4636)</f>
        <v>0.4636</v>
      </c>
      <c r="O648" s="213">
        <f>IFERROR(__xludf.DUMMYFUNCTION("""COMPUTED_VALUE"""),95.0)</f>
        <v>95</v>
      </c>
      <c r="P648" s="213">
        <f>IFERROR(__xludf.DUMMYFUNCTION("""COMPUTED_VALUE"""),85.0)</f>
        <v>85</v>
      </c>
      <c r="Q648" s="214">
        <f>IFERROR(__xludf.DUMMYFUNCTION("""COMPUTED_VALUE"""),0.0451)</f>
        <v>0.0451</v>
      </c>
      <c r="R648" s="214">
        <f>IFERROR(__xludf.DUMMYFUNCTION("""COMPUTED_VALUE"""),0.0974)</f>
        <v>0.0974</v>
      </c>
      <c r="S648" s="101">
        <f>IFERROR(__xludf.DUMMYFUNCTION("""COMPUTED_VALUE"""),1.0)</f>
        <v>1</v>
      </c>
      <c r="T648" s="101">
        <f>IFERROR(__xludf.DUMMYFUNCTION("""COMPUTED_VALUE"""),9.0)</f>
        <v>9</v>
      </c>
      <c r="U648" s="270">
        <f>IFERROR(__xludf.DUMMYFUNCTION("""COMPUTED_VALUE"""),2097.0)</f>
        <v>2097</v>
      </c>
      <c r="V648" s="271" t="str">
        <f>IFERROR(__xludf.DUMMYFUNCTION("""COMPUTED_VALUE"""),"online")</f>
        <v>online</v>
      </c>
      <c r="W648" s="272" t="str">
        <f>IFERROR(__xludf.DUMMYFUNCTION("""COMPUTED_VALUE"""),"simple")</f>
        <v>simple</v>
      </c>
      <c r="X648" s="272" t="str">
        <f>IFERROR(__xludf.DUMMYFUNCTION("""COMPUTED_VALUE"""),"Event Buyers")</f>
        <v>Event Buyers</v>
      </c>
      <c r="Y648" s="272" t="str">
        <f>IFERROR(__xludf.DUMMYFUNCTION("""COMPUTED_VALUE"""),"20-22 May")</f>
        <v>20-22 May</v>
      </c>
      <c r="Z648" s="272" t="str">
        <f>IFERROR(__xludf.DUMMYFUNCTION("""COMPUTED_VALUE"""),"6a0c22da2d4b069025d9dccd")</f>
        <v>6a0c22da2d4b069025d9dccd</v>
      </c>
      <c r="AA648" s="272">
        <f>IFERROR(__xludf.DUMMYFUNCTION("""COMPUTED_VALUE"""),15.0)</f>
        <v>15</v>
      </c>
      <c r="AB648" s="272">
        <f>IFERROR(__xludf.DUMMYFUNCTION("""COMPUTED_VALUE"""),15.0)</f>
        <v>15</v>
      </c>
      <c r="AC648" s="272"/>
      <c r="AD648" s="272">
        <f>IFERROR(__xludf.DUMMYFUNCTION("""COMPUTED_VALUE"""),40962.0)</f>
        <v>40962</v>
      </c>
      <c r="AE648" s="272">
        <f>IFERROR(__xludf.DUMMYFUNCTION("""COMPUTED_VALUE"""),40962.0)</f>
        <v>40962</v>
      </c>
      <c r="AF648" s="272"/>
      <c r="AG648" s="208"/>
      <c r="AH648" s="208"/>
      <c r="AI648" s="208"/>
      <c r="AJ648" s="208"/>
      <c r="AK648" s="208"/>
    </row>
    <row r="649" hidden="1">
      <c r="A649" s="209">
        <f>IFERROR(__xludf.DUMMYFUNCTION("""COMPUTED_VALUE"""),46162.0)</f>
        <v>46162</v>
      </c>
      <c r="B649" s="210">
        <f>IFERROR(__xludf.DUMMYFUNCTION("""COMPUTED_VALUE"""),0.75)</f>
        <v>0.75</v>
      </c>
      <c r="C649" s="211" t="str">
        <f>IFERROR(__xludf.DUMMYFUNCTION("""COMPUTED_VALUE"""),"Whatsapp")</f>
        <v>Whatsapp</v>
      </c>
      <c r="D649" s="211" t="str">
        <f>IFERROR(__xludf.DUMMYFUNCTION("""COMPUTED_VALUE"""),"Promotional")</f>
        <v>Promotional</v>
      </c>
      <c r="E649" s="211" t="str">
        <f>IFERROR(__xludf.DUMMYFUNCTION("""COMPUTED_VALUE"""),"BBW")</f>
        <v>BBW</v>
      </c>
      <c r="F649" s="211" t="str">
        <f>IFERROR(__xludf.DUMMYFUNCTION("""COMPUTED_VALUE"""),"BC at 899 - Seasonal Body Care")</f>
        <v>BC at 899 - Seasonal Body Care</v>
      </c>
      <c r="G649" s="212" t="str">
        <f>IFERROR(__xludf.DUMMYFUNCTION("""COMPUTED_VALUE"""),"bbw_wa_seasonal_bcat899_20may_bc_cart_value_online")</f>
        <v>bbw_wa_seasonal_bcat899_20may_bc_cart_value_online</v>
      </c>
      <c r="H649" s="212" t="str">
        <f>IFERROR(__xludf.DUMMYFUNCTION("""COMPUTED_VALUE"""),"BBW_ON_BC_1100_1_time_365D")</f>
        <v>BBW_ON_BC_1100_1_time_365D</v>
      </c>
      <c r="I649" s="212" t="str">
        <f>IFERROR(__xludf.DUMMYFUNCTION("""COMPUTED_VALUE"""),"Online Customers who have purchased at least 1 time with cart value below ₹1,100 in the last 365 days")</f>
        <v>Online Customers who have purchased at least 1 time with cart value below ₹1,100 in the last 365 days</v>
      </c>
      <c r="J649" s="213">
        <f>IFERROR(__xludf.DUMMYFUNCTION("""COMPUTED_VALUE"""),5185.0)</f>
        <v>5185</v>
      </c>
      <c r="K649" s="213">
        <f>IFERROR(__xludf.DUMMYFUNCTION("""COMPUTED_VALUE"""),1897.0)</f>
        <v>1897</v>
      </c>
      <c r="L649" s="214">
        <f>IFERROR(__xludf.DUMMYFUNCTION("""COMPUTED_VALUE"""),0.3659)</f>
        <v>0.3659</v>
      </c>
      <c r="M649" s="213">
        <f>IFERROR(__xludf.DUMMYFUNCTION("""COMPUTED_VALUE"""),864.0)</f>
        <v>864</v>
      </c>
      <c r="N649" s="214">
        <f>IFERROR(__xludf.DUMMYFUNCTION("""COMPUTED_VALUE"""),0.4555)</f>
        <v>0.4555</v>
      </c>
      <c r="O649" s="213">
        <f>IFERROR(__xludf.DUMMYFUNCTION("""COMPUTED_VALUE"""),96.0)</f>
        <v>96</v>
      </c>
      <c r="P649" s="213">
        <f>IFERROR(__xludf.DUMMYFUNCTION("""COMPUTED_VALUE"""),90.0)</f>
        <v>90</v>
      </c>
      <c r="Q649" s="214">
        <f>IFERROR(__xludf.DUMMYFUNCTION("""COMPUTED_VALUE"""),0.0474)</f>
        <v>0.0474</v>
      </c>
      <c r="R649" s="214">
        <f>IFERROR(__xludf.DUMMYFUNCTION("""COMPUTED_VALUE"""),0.1042)</f>
        <v>0.1042</v>
      </c>
      <c r="S649" s="101">
        <f>IFERROR(__xludf.DUMMYFUNCTION("""COMPUTED_VALUE"""),1.0)</f>
        <v>1</v>
      </c>
      <c r="T649" s="101">
        <f>IFERROR(__xludf.DUMMYFUNCTION("""COMPUTED_VALUE"""),5.0)</f>
        <v>5</v>
      </c>
      <c r="U649" s="270">
        <f>IFERROR(__xludf.DUMMYFUNCTION("""COMPUTED_VALUE"""),3236.0)</f>
        <v>3236</v>
      </c>
      <c r="V649" s="271" t="str">
        <f>IFERROR(__xludf.DUMMYFUNCTION("""COMPUTED_VALUE"""),"online")</f>
        <v>online</v>
      </c>
      <c r="W649" s="272" t="str">
        <f>IFERROR(__xludf.DUMMYFUNCTION("""COMPUTED_VALUE"""),"simple")</f>
        <v>simple</v>
      </c>
      <c r="X649" s="272" t="str">
        <f>IFERROR(__xludf.DUMMYFUNCTION("""COMPUTED_VALUE"""),"Cart Value")</f>
        <v>Cart Value</v>
      </c>
      <c r="Y649" s="272" t="str">
        <f>IFERROR(__xludf.DUMMYFUNCTION("""COMPUTED_VALUE"""),"20-22 May")</f>
        <v>20-22 May</v>
      </c>
      <c r="Z649" s="272" t="str">
        <f>IFERROR(__xludf.DUMMYFUNCTION("""COMPUTED_VALUE"""),"6a0c2302d869317b717dc754")</f>
        <v>6a0c2302d869317b717dc754</v>
      </c>
      <c r="AA649" s="272">
        <f>IFERROR(__xludf.DUMMYFUNCTION("""COMPUTED_VALUE"""),12.0)</f>
        <v>12</v>
      </c>
      <c r="AB649" s="272">
        <f>IFERROR(__xludf.DUMMYFUNCTION("""COMPUTED_VALUE"""),12.0)</f>
        <v>12</v>
      </c>
      <c r="AC649" s="272"/>
      <c r="AD649" s="272">
        <f>IFERROR(__xludf.DUMMYFUNCTION("""COMPUTED_VALUE"""),33390.0)</f>
        <v>33390</v>
      </c>
      <c r="AE649" s="272">
        <f>IFERROR(__xludf.DUMMYFUNCTION("""COMPUTED_VALUE"""),33390.0)</f>
        <v>33390</v>
      </c>
      <c r="AF649" s="272"/>
      <c r="AG649" s="208"/>
      <c r="AH649" s="208"/>
      <c r="AI649" s="208"/>
      <c r="AJ649" s="208"/>
      <c r="AK649" s="208"/>
    </row>
    <row r="650" hidden="1">
      <c r="A650" s="209">
        <f>IFERROR(__xludf.DUMMYFUNCTION("""COMPUTED_VALUE"""),46163.0)</f>
        <v>46163</v>
      </c>
      <c r="B650" s="210">
        <f>IFERROR(__xludf.DUMMYFUNCTION("""COMPUTED_VALUE"""),0.4583333333321207)</f>
        <v>0.4583333333</v>
      </c>
      <c r="C650" s="211" t="str">
        <f>IFERROR(__xludf.DUMMYFUNCTION("""COMPUTED_VALUE"""),"Sms")</f>
        <v>Sms</v>
      </c>
      <c r="D650" s="211" t="str">
        <f>IFERROR(__xludf.DUMMYFUNCTION("""COMPUTED_VALUE"""),"Fallback campaign")</f>
        <v>Fallback campaign</v>
      </c>
      <c r="E650" s="211" t="str">
        <f>IFERROR(__xludf.DUMMYFUNCTION("""COMPUTED_VALUE"""),"BBW")</f>
        <v>BBW</v>
      </c>
      <c r="F650" s="211" t="str">
        <f>IFERROR(__xludf.DUMMYFUNCTION("""COMPUTED_VALUE"""),"Body Care at 899 - Seasonal Body Care")</f>
        <v>Body Care at 899 - Seasonal Body Care</v>
      </c>
      <c r="G650" s="212" t="str">
        <f>IFERROR(__xludf.DUMMYFUNCTION("""COMPUTED_VALUE"""),"bbw_smsfb_seasonal_bcat899_20may_atc_wishlist_online")</f>
        <v>bbw_smsfb_seasonal_bcat899_20may_atc_wishlist_online</v>
      </c>
      <c r="H650" s="212" t="str">
        <f>IFERROR(__xludf.DUMMYFUNCTION("""COMPUTED_VALUE"""),"BBW_ATC_View_Wishlist_NoPr_45D")</f>
        <v>BBW_ATC_View_Wishlist_NoPr_45D</v>
      </c>
      <c r="I650" s="212" t="str">
        <f>IFERROR(__xludf.DUMMYFUNCTION("""COMPUTED_VALUE"""),"WA Undelivered")</f>
        <v>WA Undelivered</v>
      </c>
      <c r="J650" s="213">
        <f>IFERROR(__xludf.DUMMYFUNCTION("""COMPUTED_VALUE"""),2396.0)</f>
        <v>2396</v>
      </c>
      <c r="K650" s="213">
        <f>IFERROR(__xludf.DUMMYFUNCTION("""COMPUTED_VALUE"""),1577.0)</f>
        <v>1577</v>
      </c>
      <c r="L650" s="214">
        <f>IFERROR(__xludf.DUMMYFUNCTION("""COMPUTED_VALUE"""),0.6582)</f>
        <v>0.6582</v>
      </c>
      <c r="M650" s="213">
        <f>IFERROR(__xludf.DUMMYFUNCTION("""COMPUTED_VALUE"""),0.0)</f>
        <v>0</v>
      </c>
      <c r="N650" s="214">
        <f>IFERROR(__xludf.DUMMYFUNCTION("""COMPUTED_VALUE"""),0.0)</f>
        <v>0</v>
      </c>
      <c r="O650" s="213">
        <f>IFERROR(__xludf.DUMMYFUNCTION("""COMPUTED_VALUE"""),9.0)</f>
        <v>9</v>
      </c>
      <c r="P650" s="213">
        <f>IFERROR(__xludf.DUMMYFUNCTION("""COMPUTED_VALUE"""),0.0)</f>
        <v>0</v>
      </c>
      <c r="Q650" s="214">
        <f>IFERROR(__xludf.DUMMYFUNCTION("""COMPUTED_VALUE"""),0.0057)</f>
        <v>0.0057</v>
      </c>
      <c r="R650" s="214">
        <f>IFERROR(__xludf.DUMMYFUNCTION("""COMPUTED_VALUE"""),0.0)</f>
        <v>0</v>
      </c>
      <c r="S650" s="101">
        <f>IFERROR(__xludf.DUMMYFUNCTION("""COMPUTED_VALUE"""),2.0)</f>
        <v>2</v>
      </c>
      <c r="T650" s="101">
        <f>IFERROR(__xludf.DUMMYFUNCTION("""COMPUTED_VALUE"""),24.0)</f>
        <v>24</v>
      </c>
      <c r="U650" s="270">
        <f>IFERROR(__xludf.DUMMYFUNCTION("""COMPUTED_VALUE"""),3776.0)</f>
        <v>3776</v>
      </c>
      <c r="V650" s="271" t="str">
        <f>IFERROR(__xludf.DUMMYFUNCTION("""COMPUTED_VALUE"""),"online")</f>
        <v>online</v>
      </c>
      <c r="W650" s="272" t="str">
        <f>IFERROR(__xludf.DUMMYFUNCTION("""COMPUTED_VALUE"""),"SMS")</f>
        <v>SMS</v>
      </c>
      <c r="X650" s="272" t="str">
        <f>IFERROR(__xludf.DUMMYFUNCTION("""COMPUTED_VALUE"""),"ATC/View")</f>
        <v>ATC/View</v>
      </c>
      <c r="Y650" s="272" t="str">
        <f>IFERROR(__xludf.DUMMYFUNCTION("""COMPUTED_VALUE"""),"21 May")</f>
        <v>21 May</v>
      </c>
      <c r="Z650" s="272" t="str">
        <f>IFERROR(__xludf.DUMMYFUNCTION("""COMPUTED_VALUE"""),"6a0c29f1875bbbf0975d930a")</f>
        <v>6a0c29f1875bbbf0975d930a</v>
      </c>
      <c r="AA650" s="272">
        <f>IFERROR(__xludf.DUMMYFUNCTION("""COMPUTED_VALUE"""),4.0)</f>
        <v>4</v>
      </c>
      <c r="AB650" s="272">
        <f>IFERROR(__xludf.DUMMYFUNCTION("""COMPUTED_VALUE"""),4.0)</f>
        <v>4</v>
      </c>
      <c r="AC650" s="272"/>
      <c r="AD650" s="272">
        <f>IFERROR(__xludf.DUMMYFUNCTION("""COMPUTED_VALUE"""),12915.0)</f>
        <v>12915</v>
      </c>
      <c r="AE650" s="272">
        <f>IFERROR(__xludf.DUMMYFUNCTION("""COMPUTED_VALUE"""),12915.0)</f>
        <v>12915</v>
      </c>
      <c r="AF650" s="272"/>
      <c r="AG650" s="208"/>
      <c r="AH650" s="208"/>
      <c r="AI650" s="208"/>
      <c r="AJ650" s="208"/>
      <c r="AK650" s="208"/>
    </row>
    <row r="651" hidden="1">
      <c r="A651" s="209">
        <f>IFERROR(__xludf.DUMMYFUNCTION("""COMPUTED_VALUE"""),46163.0)</f>
        <v>46163</v>
      </c>
      <c r="B651" s="210">
        <f>IFERROR(__xludf.DUMMYFUNCTION("""COMPUTED_VALUE"""),0.4583333333321207)</f>
        <v>0.4583333333</v>
      </c>
      <c r="C651" s="211" t="str">
        <f>IFERROR(__xludf.DUMMYFUNCTION("""COMPUTED_VALUE"""),"Sms")</f>
        <v>Sms</v>
      </c>
      <c r="D651" s="211" t="str">
        <f>IFERROR(__xludf.DUMMYFUNCTION("""COMPUTED_VALUE"""),"Fallback campaign")</f>
        <v>Fallback campaign</v>
      </c>
      <c r="E651" s="211" t="str">
        <f>IFERROR(__xludf.DUMMYFUNCTION("""COMPUTED_VALUE"""),"BBW")</f>
        <v>BBW</v>
      </c>
      <c r="F651" s="211" t="str">
        <f>IFERROR(__xludf.DUMMYFUNCTION("""COMPUTED_VALUE"""),"Body Care at 899 - Seasonal Body Care")</f>
        <v>Body Care at 899 - Seasonal Body Care</v>
      </c>
      <c r="G651" s="212" t="str">
        <f>IFERROR(__xludf.DUMMYFUNCTION("""COMPUTED_VALUE"""),"bbw_smsfb_seasonal_bcat899_20may_bcrepeat_online")</f>
        <v>bbw_smsfb_seasonal_bcat899_20may_bcrepeat_online</v>
      </c>
      <c r="H651" s="212" t="str">
        <f>IFERROR(__xludf.DUMMYFUNCTION("""COMPUTED_VALUE"""),"BBW_ON_BC_2_Times_45D_210D")</f>
        <v>BBW_ON_BC_2_Times_45D_210D</v>
      </c>
      <c r="I651" s="212" t="str">
        <f>IFERROR(__xludf.DUMMYFUNCTION("""COMPUTED_VALUE"""),"WA Undelivered")</f>
        <v>WA Undelivered</v>
      </c>
      <c r="J651" s="213">
        <f>IFERROR(__xludf.DUMMYFUNCTION("""COMPUTED_VALUE"""),24737.0)</f>
        <v>24737</v>
      </c>
      <c r="K651" s="213">
        <f>IFERROR(__xludf.DUMMYFUNCTION("""COMPUTED_VALUE"""),13400.0)</f>
        <v>13400</v>
      </c>
      <c r="L651" s="214">
        <f>IFERROR(__xludf.DUMMYFUNCTION("""COMPUTED_VALUE"""),0.5417)</f>
        <v>0.5417</v>
      </c>
      <c r="M651" s="213">
        <f>IFERROR(__xludf.DUMMYFUNCTION("""COMPUTED_VALUE"""),0.0)</f>
        <v>0</v>
      </c>
      <c r="N651" s="214">
        <f>IFERROR(__xludf.DUMMYFUNCTION("""COMPUTED_VALUE"""),0.0)</f>
        <v>0</v>
      </c>
      <c r="O651" s="213">
        <f>IFERROR(__xludf.DUMMYFUNCTION("""COMPUTED_VALUE"""),48.0)</f>
        <v>48</v>
      </c>
      <c r="P651" s="213">
        <f>IFERROR(__xludf.DUMMYFUNCTION("""COMPUTED_VALUE"""),0.0)</f>
        <v>0</v>
      </c>
      <c r="Q651" s="214">
        <f>IFERROR(__xludf.DUMMYFUNCTION("""COMPUTED_VALUE"""),0.0036)</f>
        <v>0.0036</v>
      </c>
      <c r="R651" s="214">
        <f>IFERROR(__xludf.DUMMYFUNCTION("""COMPUTED_VALUE"""),0.0)</f>
        <v>0</v>
      </c>
      <c r="S651" s="101">
        <f>IFERROR(__xludf.DUMMYFUNCTION("""COMPUTED_VALUE"""),6.0)</f>
        <v>6</v>
      </c>
      <c r="T651" s="101">
        <f>IFERROR(__xludf.DUMMYFUNCTION("""COMPUTED_VALUE"""),20.0)</f>
        <v>20</v>
      </c>
      <c r="U651" s="270">
        <f>IFERROR(__xludf.DUMMYFUNCTION("""COMPUTED_VALUE"""),19788.0)</f>
        <v>19788</v>
      </c>
      <c r="V651" s="271" t="str">
        <f>IFERROR(__xludf.DUMMYFUNCTION("""COMPUTED_VALUE"""),"online")</f>
        <v>online</v>
      </c>
      <c r="W651" s="272" t="str">
        <f>IFERROR(__xludf.DUMMYFUNCTION("""COMPUTED_VALUE"""),"SMS")</f>
        <v>SMS</v>
      </c>
      <c r="X651" s="272" t="str">
        <f>IFERROR(__xludf.DUMMYFUNCTION("""COMPUTED_VALUE"""),"Repeat")</f>
        <v>Repeat</v>
      </c>
      <c r="Y651" s="272" t="str">
        <f>IFERROR(__xludf.DUMMYFUNCTION("""COMPUTED_VALUE"""),"21 May")</f>
        <v>21 May</v>
      </c>
      <c r="Z651" s="272" t="str">
        <f>IFERROR(__xludf.DUMMYFUNCTION("""COMPUTED_VALUE"""),"6a0c2a229bec565f70999f1b")</f>
        <v>6a0c2a229bec565f70999f1b</v>
      </c>
      <c r="AA651" s="272">
        <f>IFERROR(__xludf.DUMMYFUNCTION("""COMPUTED_VALUE"""),50.0)</f>
        <v>50</v>
      </c>
      <c r="AB651" s="272">
        <f>IFERROR(__xludf.DUMMYFUNCTION("""COMPUTED_VALUE"""),50.0)</f>
        <v>50</v>
      </c>
      <c r="AC651" s="272"/>
      <c r="AD651" s="272">
        <f>IFERROR(__xludf.DUMMYFUNCTION("""COMPUTED_VALUE"""),155472.0)</f>
        <v>155472</v>
      </c>
      <c r="AE651" s="272">
        <f>IFERROR(__xludf.DUMMYFUNCTION("""COMPUTED_VALUE"""),155472.0)</f>
        <v>155472</v>
      </c>
      <c r="AF651" s="272"/>
      <c r="AG651" s="208"/>
      <c r="AH651" s="208"/>
      <c r="AI651" s="208"/>
      <c r="AJ651" s="208"/>
      <c r="AK651" s="208"/>
    </row>
    <row r="652" hidden="1">
      <c r="A652" s="209">
        <f>IFERROR(__xludf.DUMMYFUNCTION("""COMPUTED_VALUE"""),46163.0)</f>
        <v>46163</v>
      </c>
      <c r="B652" s="210">
        <f>IFERROR(__xludf.DUMMYFUNCTION("""COMPUTED_VALUE"""),0.4583333333321207)</f>
        <v>0.4583333333</v>
      </c>
      <c r="C652" s="211" t="str">
        <f>IFERROR(__xludf.DUMMYFUNCTION("""COMPUTED_VALUE"""),"Sms")</f>
        <v>Sms</v>
      </c>
      <c r="D652" s="211" t="str">
        <f>IFERROR(__xludf.DUMMYFUNCTION("""COMPUTED_VALUE"""),"Fallback campaign")</f>
        <v>Fallback campaign</v>
      </c>
      <c r="E652" s="211" t="str">
        <f>IFERROR(__xludf.DUMMYFUNCTION("""COMPUTED_VALUE"""),"BBW")</f>
        <v>BBW</v>
      </c>
      <c r="F652" s="211" t="str">
        <f>IFERROR(__xludf.DUMMYFUNCTION("""COMPUTED_VALUE"""),"Body Care at 899 - Seasonal Body Care")</f>
        <v>Body Care at 899 - Seasonal Body Care</v>
      </c>
      <c r="G652" s="212" t="str">
        <f>IFERROR(__xludf.DUMMYFUNCTION("""COMPUTED_VALUE"""),"bbw_smsfb_seasonal_bcat899_20may_eventbuyers_online")</f>
        <v>bbw_smsfb_seasonal_bcat899_20may_eventbuyers_online</v>
      </c>
      <c r="H652" s="212" t="str">
        <f>IFERROR(__xludf.DUMMYFUNCTION("""COMPUTED_VALUE"""),"BC_EventBuyers_ON")</f>
        <v>BC_EventBuyers_ON</v>
      </c>
      <c r="I652" s="212" t="str">
        <f>IFERROR(__xludf.DUMMYFUNCTION("""COMPUTED_VALUE"""),"WA Undelivered")</f>
        <v>WA Undelivered</v>
      </c>
      <c r="J652" s="213">
        <f>IFERROR(__xludf.DUMMYFUNCTION("""COMPUTED_VALUE"""),4614.0)</f>
        <v>4614</v>
      </c>
      <c r="K652" s="213">
        <f>IFERROR(__xludf.DUMMYFUNCTION("""COMPUTED_VALUE"""),2550.0)</f>
        <v>2550</v>
      </c>
      <c r="L652" s="214">
        <f>IFERROR(__xludf.DUMMYFUNCTION("""COMPUTED_VALUE"""),0.5527)</f>
        <v>0.5527</v>
      </c>
      <c r="M652" s="213">
        <f>IFERROR(__xludf.DUMMYFUNCTION("""COMPUTED_VALUE"""),0.0)</f>
        <v>0</v>
      </c>
      <c r="N652" s="214">
        <f>IFERROR(__xludf.DUMMYFUNCTION("""COMPUTED_VALUE"""),0.0)</f>
        <v>0</v>
      </c>
      <c r="O652" s="213">
        <f>IFERROR(__xludf.DUMMYFUNCTION("""COMPUTED_VALUE"""),8.0)</f>
        <v>8</v>
      </c>
      <c r="P652" s="213">
        <f>IFERROR(__xludf.DUMMYFUNCTION("""COMPUTED_VALUE"""),0.0)</f>
        <v>0</v>
      </c>
      <c r="Q652" s="214">
        <f>IFERROR(__xludf.DUMMYFUNCTION("""COMPUTED_VALUE"""),0.0031)</f>
        <v>0.0031</v>
      </c>
      <c r="R652" s="214">
        <f>IFERROR(__xludf.DUMMYFUNCTION("""COMPUTED_VALUE"""),0.0)</f>
        <v>0</v>
      </c>
      <c r="S652" s="101">
        <f>IFERROR(__xludf.DUMMYFUNCTION("""COMPUTED_VALUE"""),0.0)</f>
        <v>0</v>
      </c>
      <c r="T652" s="101">
        <f>IFERROR(__xludf.DUMMYFUNCTION("""COMPUTED_VALUE"""),6.0)</f>
        <v>6</v>
      </c>
      <c r="U652" s="270">
        <f>IFERROR(__xludf.DUMMYFUNCTION("""COMPUTED_VALUE"""),0.0)</f>
        <v>0</v>
      </c>
      <c r="V652" s="271" t="str">
        <f>IFERROR(__xludf.DUMMYFUNCTION("""COMPUTED_VALUE"""),"online")</f>
        <v>online</v>
      </c>
      <c r="W652" s="272" t="str">
        <f>IFERROR(__xludf.DUMMYFUNCTION("""COMPUTED_VALUE"""),"SMS")</f>
        <v>SMS</v>
      </c>
      <c r="X652" s="272" t="str">
        <f>IFERROR(__xludf.DUMMYFUNCTION("""COMPUTED_VALUE"""),"Event Buyers")</f>
        <v>Event Buyers</v>
      </c>
      <c r="Y652" s="272" t="str">
        <f>IFERROR(__xludf.DUMMYFUNCTION("""COMPUTED_VALUE"""),"21 May")</f>
        <v>21 May</v>
      </c>
      <c r="Z652" s="272" t="str">
        <f>IFERROR(__xludf.DUMMYFUNCTION("""COMPUTED_VALUE"""),"6a0c2a4f9f2ebd597dc1713b")</f>
        <v>6a0c2a4f9f2ebd597dc1713b</v>
      </c>
      <c r="AA652" s="272">
        <f>IFERROR(__xludf.DUMMYFUNCTION("""COMPUTED_VALUE"""),5.0)</f>
        <v>5</v>
      </c>
      <c r="AB652" s="272">
        <f>IFERROR(__xludf.DUMMYFUNCTION("""COMPUTED_VALUE"""),5.0)</f>
        <v>5</v>
      </c>
      <c r="AC652" s="272"/>
      <c r="AD652" s="272">
        <f>IFERROR(__xludf.DUMMYFUNCTION("""COMPUTED_VALUE"""),10089.0)</f>
        <v>10089</v>
      </c>
      <c r="AE652" s="272">
        <f>IFERROR(__xludf.DUMMYFUNCTION("""COMPUTED_VALUE"""),10089.0)</f>
        <v>10089</v>
      </c>
      <c r="AF652" s="272"/>
      <c r="AG652" s="208"/>
      <c r="AH652" s="208"/>
      <c r="AI652" s="208"/>
      <c r="AJ652" s="208"/>
      <c r="AK652" s="208"/>
    </row>
    <row r="653" hidden="1">
      <c r="A653" s="209">
        <f>IFERROR(__xludf.DUMMYFUNCTION("""COMPUTED_VALUE"""),46163.0)</f>
        <v>46163</v>
      </c>
      <c r="B653" s="210">
        <f>IFERROR(__xludf.DUMMYFUNCTION("""COMPUTED_VALUE"""),0.4583333333321207)</f>
        <v>0.4583333333</v>
      </c>
      <c r="C653" s="211" t="str">
        <f>IFERROR(__xludf.DUMMYFUNCTION("""COMPUTED_VALUE"""),"Sms")</f>
        <v>Sms</v>
      </c>
      <c r="D653" s="211" t="str">
        <f>IFERROR(__xludf.DUMMYFUNCTION("""COMPUTED_VALUE"""),"Fallback campaign")</f>
        <v>Fallback campaign</v>
      </c>
      <c r="E653" s="211" t="str">
        <f>IFERROR(__xludf.DUMMYFUNCTION("""COMPUTED_VALUE"""),"BBW")</f>
        <v>BBW</v>
      </c>
      <c r="F653" s="211" t="str">
        <f>IFERROR(__xludf.DUMMYFUNCTION("""COMPUTED_VALUE"""),"Body Care at 899 - Seasonal Body Care")</f>
        <v>Body Care at 899 - Seasonal Body Care</v>
      </c>
      <c r="G653" s="212" t="str">
        <f>IFERROR(__xludf.DUMMYFUNCTION("""COMPUTED_VALUE"""),"bbw_smsfb_seasonal_bcat899_20may_bc_cart_value_online")</f>
        <v>bbw_smsfb_seasonal_bcat899_20may_bc_cart_value_online</v>
      </c>
      <c r="H653" s="212" t="str">
        <f>IFERROR(__xludf.DUMMYFUNCTION("""COMPUTED_VALUE"""),"BBW_ON_BC_1100_1_time_365D")</f>
        <v>BBW_ON_BC_1100_1_time_365D</v>
      </c>
      <c r="I653" s="212" t="str">
        <f>IFERROR(__xludf.DUMMYFUNCTION("""COMPUTED_VALUE"""),"WA Undelivered")</f>
        <v>WA Undelivered</v>
      </c>
      <c r="J653" s="213">
        <f>IFERROR(__xludf.DUMMYFUNCTION("""COMPUTED_VALUE"""),3191.0)</f>
        <v>3191</v>
      </c>
      <c r="K653" s="213">
        <f>IFERROR(__xludf.DUMMYFUNCTION("""COMPUTED_VALUE"""),2024.0)</f>
        <v>2024</v>
      </c>
      <c r="L653" s="214">
        <f>IFERROR(__xludf.DUMMYFUNCTION("""COMPUTED_VALUE"""),0.6343)</f>
        <v>0.6343</v>
      </c>
      <c r="M653" s="213">
        <f>IFERROR(__xludf.DUMMYFUNCTION("""COMPUTED_VALUE"""),0.0)</f>
        <v>0</v>
      </c>
      <c r="N653" s="214">
        <f>IFERROR(__xludf.DUMMYFUNCTION("""COMPUTED_VALUE"""),0.0)</f>
        <v>0</v>
      </c>
      <c r="O653" s="213">
        <f>IFERROR(__xludf.DUMMYFUNCTION("""COMPUTED_VALUE"""),6.0)</f>
        <v>6</v>
      </c>
      <c r="P653" s="213">
        <f>IFERROR(__xludf.DUMMYFUNCTION("""COMPUTED_VALUE"""),0.0)</f>
        <v>0</v>
      </c>
      <c r="Q653" s="214">
        <f>IFERROR(__xludf.DUMMYFUNCTION("""COMPUTED_VALUE"""),0.003)</f>
        <v>0.003</v>
      </c>
      <c r="R653" s="214">
        <f>IFERROR(__xludf.DUMMYFUNCTION("""COMPUTED_VALUE"""),0.0)</f>
        <v>0</v>
      </c>
      <c r="S653" s="101">
        <f>IFERROR(__xludf.DUMMYFUNCTION("""COMPUTED_VALUE"""),0.0)</f>
        <v>0</v>
      </c>
      <c r="T653" s="101">
        <f>IFERROR(__xludf.DUMMYFUNCTION("""COMPUTED_VALUE"""),2.0)</f>
        <v>2</v>
      </c>
      <c r="U653" s="270">
        <f>IFERROR(__xludf.DUMMYFUNCTION("""COMPUTED_VALUE"""),0.0)</f>
        <v>0</v>
      </c>
      <c r="V653" s="271" t="str">
        <f>IFERROR(__xludf.DUMMYFUNCTION("""COMPUTED_VALUE"""),"online")</f>
        <v>online</v>
      </c>
      <c r="W653" s="272" t="str">
        <f>IFERROR(__xludf.DUMMYFUNCTION("""COMPUTED_VALUE"""),"SMS")</f>
        <v>SMS</v>
      </c>
      <c r="X653" s="272" t="str">
        <f>IFERROR(__xludf.DUMMYFUNCTION("""COMPUTED_VALUE"""),"Cart Value")</f>
        <v>Cart Value</v>
      </c>
      <c r="Y653" s="272" t="str">
        <f>IFERROR(__xludf.DUMMYFUNCTION("""COMPUTED_VALUE"""),"21 May")</f>
        <v>21 May</v>
      </c>
      <c r="Z653" s="272" t="str">
        <f>IFERROR(__xludf.DUMMYFUNCTION("""COMPUTED_VALUE"""),"6a0c2a80059a46a375bbf8d6")</f>
        <v>6a0c2a80059a46a375bbf8d6</v>
      </c>
      <c r="AA653" s="272">
        <f>IFERROR(__xludf.DUMMYFUNCTION("""COMPUTED_VALUE"""),0.0)</f>
        <v>0</v>
      </c>
      <c r="AB653" s="272">
        <f>IFERROR(__xludf.DUMMYFUNCTION("""COMPUTED_VALUE"""),0.0)</f>
        <v>0</v>
      </c>
      <c r="AC653" s="272"/>
      <c r="AD653" s="272">
        <f>IFERROR(__xludf.DUMMYFUNCTION("""COMPUTED_VALUE"""),0.0)</f>
        <v>0</v>
      </c>
      <c r="AE653" s="272">
        <f>IFERROR(__xludf.DUMMYFUNCTION("""COMPUTED_VALUE"""),0.0)</f>
        <v>0</v>
      </c>
      <c r="AF653" s="272"/>
      <c r="AG653" s="208"/>
      <c r="AH653" s="208"/>
      <c r="AI653" s="208"/>
      <c r="AJ653" s="208"/>
      <c r="AK653" s="208"/>
    </row>
    <row r="654" hidden="1">
      <c r="A654" s="209">
        <f>IFERROR(__xludf.DUMMYFUNCTION("""COMPUTED_VALUE"""),46163.0)</f>
        <v>46163</v>
      </c>
      <c r="B654" s="210">
        <f>IFERROR(__xludf.DUMMYFUNCTION("""COMPUTED_VALUE"""),0.8125)</f>
        <v>0.8125</v>
      </c>
      <c r="C654" s="211" t="str">
        <f>IFERROR(__xludf.DUMMYFUNCTION("""COMPUTED_VALUE"""),"Sms")</f>
        <v>Sms</v>
      </c>
      <c r="D654" s="211" t="str">
        <f>IFERROR(__xludf.DUMMYFUNCTION("""COMPUTED_VALUE"""),"Fallback campaign")</f>
        <v>Fallback campaign</v>
      </c>
      <c r="E654" s="211" t="str">
        <f>IFERROR(__xludf.DUMMYFUNCTION("""COMPUTED_VALUE"""),"BBW")</f>
        <v>BBW</v>
      </c>
      <c r="F654" s="211" t="str">
        <f>IFERROR(__xludf.DUMMYFUNCTION("""COMPUTED_VALUE"""),"B2G2 - Entire Store")</f>
        <v>B2G2 - Entire Store</v>
      </c>
      <c r="G654" s="212" t="str">
        <f>IFERROR(__xludf.DUMMYFUNCTION("""COMPUTED_VALUE"""),"bbw_smsfb_b2g2_closer_launch_21may_atc_wishlist_ea_online")</f>
        <v>bbw_smsfb_b2g2_closer_launch_21may_atc_wishlist_ea_online</v>
      </c>
      <c r="H654" s="212" t="str">
        <f>IFERROR(__xludf.DUMMYFUNCTION("""COMPUTED_VALUE"""),"BBW_ON_B2G2_ATC_Wishlist_May_26")</f>
        <v>BBW_ON_B2G2_ATC_Wishlist_May_26</v>
      </c>
      <c r="I654" s="212" t="str">
        <f>IFERROR(__xludf.DUMMYFUNCTION("""COMPUTED_VALUE"""),"WA Undelivered")</f>
        <v>WA Undelivered</v>
      </c>
      <c r="J654" s="213">
        <f>IFERROR(__xludf.DUMMYFUNCTION("""COMPUTED_VALUE"""),2778.0)</f>
        <v>2778</v>
      </c>
      <c r="K654" s="213">
        <f>IFERROR(__xludf.DUMMYFUNCTION("""COMPUTED_VALUE"""),1708.0)</f>
        <v>1708</v>
      </c>
      <c r="L654" s="214">
        <f>IFERROR(__xludf.DUMMYFUNCTION("""COMPUTED_VALUE"""),0.6148)</f>
        <v>0.6148</v>
      </c>
      <c r="M654" s="213">
        <f>IFERROR(__xludf.DUMMYFUNCTION("""COMPUTED_VALUE"""),0.0)</f>
        <v>0</v>
      </c>
      <c r="N654" s="214">
        <f>IFERROR(__xludf.DUMMYFUNCTION("""COMPUTED_VALUE"""),0.0)</f>
        <v>0</v>
      </c>
      <c r="O654" s="213">
        <f>IFERROR(__xludf.DUMMYFUNCTION("""COMPUTED_VALUE"""),7.0)</f>
        <v>7</v>
      </c>
      <c r="P654" s="213">
        <f>IFERROR(__xludf.DUMMYFUNCTION("""COMPUTED_VALUE"""),0.0)</f>
        <v>0</v>
      </c>
      <c r="Q654" s="214">
        <f>IFERROR(__xludf.DUMMYFUNCTION("""COMPUTED_VALUE"""),0.0041)</f>
        <v>0.0041</v>
      </c>
      <c r="R654" s="214">
        <f>IFERROR(__xludf.DUMMYFUNCTION("""COMPUTED_VALUE"""),0.0)</f>
        <v>0</v>
      </c>
      <c r="S654" s="101">
        <f>IFERROR(__xludf.DUMMYFUNCTION("""COMPUTED_VALUE"""),12.0)</f>
        <v>12</v>
      </c>
      <c r="T654" s="101">
        <f>IFERROR(__xludf.DUMMYFUNCTION("""COMPUTED_VALUE"""),22.0)</f>
        <v>22</v>
      </c>
      <c r="U654" s="270">
        <f>IFERROR(__xludf.DUMMYFUNCTION("""COMPUTED_VALUE"""),14564.0)</f>
        <v>14564</v>
      </c>
      <c r="V654" s="271" t="str">
        <f>IFERROR(__xludf.DUMMYFUNCTION("""COMPUTED_VALUE"""),"online")</f>
        <v>online</v>
      </c>
      <c r="W654" s="272" t="str">
        <f>IFERROR(__xludf.DUMMYFUNCTION("""COMPUTED_VALUE"""),"SMS")</f>
        <v>SMS</v>
      </c>
      <c r="X654" s="272" t="str">
        <f>IFERROR(__xludf.DUMMYFUNCTION("""COMPUTED_VALUE"""),"ATC/View")</f>
        <v>ATC/View</v>
      </c>
      <c r="Y654" s="272" t="str">
        <f>IFERROR(__xludf.DUMMYFUNCTION("""COMPUTED_VALUE"""),"21 May")</f>
        <v>21 May</v>
      </c>
      <c r="Z654" s="272" t="str">
        <f>IFERROR(__xludf.DUMMYFUNCTION("""COMPUTED_VALUE"""),"6a0d928b67656a2621db5245")</f>
        <v>6a0d928b67656a2621db5245</v>
      </c>
      <c r="AA654" s="272">
        <f>IFERROR(__xludf.DUMMYFUNCTION("""COMPUTED_VALUE"""),12.0)</f>
        <v>12</v>
      </c>
      <c r="AB654" s="272">
        <f>IFERROR(__xludf.DUMMYFUNCTION("""COMPUTED_VALUE"""),12.0)</f>
        <v>12</v>
      </c>
      <c r="AC654" s="272"/>
      <c r="AD654" s="272">
        <f>IFERROR(__xludf.DUMMYFUNCTION("""COMPUTED_VALUE"""),19388.0)</f>
        <v>19388</v>
      </c>
      <c r="AE654" s="272">
        <f>IFERROR(__xludf.DUMMYFUNCTION("""COMPUTED_VALUE"""),19388.0)</f>
        <v>19388</v>
      </c>
      <c r="AF654" s="272"/>
      <c r="AG654" s="208"/>
      <c r="AH654" s="208"/>
      <c r="AI654" s="208"/>
      <c r="AJ654" s="208"/>
      <c r="AK654" s="208"/>
    </row>
    <row r="655" hidden="1">
      <c r="A655" s="209">
        <f>IFERROR(__xludf.DUMMYFUNCTION("""COMPUTED_VALUE"""),46163.0)</f>
        <v>46163</v>
      </c>
      <c r="B655" s="210">
        <f>IFERROR(__xludf.DUMMYFUNCTION("""COMPUTED_VALUE"""),0.8125)</f>
        <v>0.8125</v>
      </c>
      <c r="C655" s="211" t="str">
        <f>IFERROR(__xludf.DUMMYFUNCTION("""COMPUTED_VALUE"""),"Sms")</f>
        <v>Sms</v>
      </c>
      <c r="D655" s="211" t="str">
        <f>IFERROR(__xludf.DUMMYFUNCTION("""COMPUTED_VALUE"""),"Fallback campaign")</f>
        <v>Fallback campaign</v>
      </c>
      <c r="E655" s="211" t="str">
        <f>IFERROR(__xludf.DUMMYFUNCTION("""COMPUTED_VALUE"""),"BBW")</f>
        <v>BBW</v>
      </c>
      <c r="F655" s="211" t="str">
        <f>IFERROR(__xludf.DUMMYFUNCTION("""COMPUTED_VALUE"""),"B2G2 - Entire Store")</f>
        <v>B2G2 - Entire Store</v>
      </c>
      <c r="G655" s="212" t="str">
        <f>IFERROR(__xludf.DUMMYFUNCTION("""COMPUTED_VALUE"""),"bbw_smsfb_b2g2_closer_launch_21may_active_ea_online")</f>
        <v>bbw_smsfb_b2g2_closer_launch_21may_active_ea_online</v>
      </c>
      <c r="H655" s="212" t="str">
        <f>IFERROR(__xludf.DUMMYFUNCTION("""COMPUTED_VALUE"""),"BBW_ON_B2G2_Active_May_26")</f>
        <v>BBW_ON_B2G2_Active_May_26</v>
      </c>
      <c r="I655" s="212" t="str">
        <f>IFERROR(__xludf.DUMMYFUNCTION("""COMPUTED_VALUE"""),"WA Undelivered")</f>
        <v>WA Undelivered</v>
      </c>
      <c r="J655" s="213">
        <f>IFERROR(__xludf.DUMMYFUNCTION("""COMPUTED_VALUE"""),13068.0)</f>
        <v>13068</v>
      </c>
      <c r="K655" s="213">
        <f>IFERROR(__xludf.DUMMYFUNCTION("""COMPUTED_VALUE"""),7019.0)</f>
        <v>7019</v>
      </c>
      <c r="L655" s="214">
        <f>IFERROR(__xludf.DUMMYFUNCTION("""COMPUTED_VALUE"""),0.5371)</f>
        <v>0.5371</v>
      </c>
      <c r="M655" s="213">
        <f>IFERROR(__xludf.DUMMYFUNCTION("""COMPUTED_VALUE"""),0.0)</f>
        <v>0</v>
      </c>
      <c r="N655" s="214">
        <f>IFERROR(__xludf.DUMMYFUNCTION("""COMPUTED_VALUE"""),0.0)</f>
        <v>0</v>
      </c>
      <c r="O655" s="213">
        <f>IFERROR(__xludf.DUMMYFUNCTION("""COMPUTED_VALUE"""),28.0)</f>
        <v>28</v>
      </c>
      <c r="P655" s="213">
        <f>IFERROR(__xludf.DUMMYFUNCTION("""COMPUTED_VALUE"""),0.0)</f>
        <v>0</v>
      </c>
      <c r="Q655" s="214">
        <f>IFERROR(__xludf.DUMMYFUNCTION("""COMPUTED_VALUE"""),0.004)</f>
        <v>0.004</v>
      </c>
      <c r="R655" s="214">
        <f>IFERROR(__xludf.DUMMYFUNCTION("""COMPUTED_VALUE"""),0.0)</f>
        <v>0</v>
      </c>
      <c r="S655" s="101">
        <f>IFERROR(__xludf.DUMMYFUNCTION("""COMPUTED_VALUE"""),1.0)</f>
        <v>1</v>
      </c>
      <c r="T655" s="101">
        <f>IFERROR(__xludf.DUMMYFUNCTION("""COMPUTED_VALUE"""),2.0)</f>
        <v>2</v>
      </c>
      <c r="U655" s="270">
        <f>IFERROR(__xludf.DUMMYFUNCTION("""COMPUTED_VALUE"""),3724.0)</f>
        <v>3724</v>
      </c>
      <c r="V655" s="271" t="str">
        <f>IFERROR(__xludf.DUMMYFUNCTION("""COMPUTED_VALUE"""),"online")</f>
        <v>online</v>
      </c>
      <c r="W655" s="272" t="str">
        <f>IFERROR(__xludf.DUMMYFUNCTION("""COMPUTED_VALUE"""),"SMS")</f>
        <v>SMS</v>
      </c>
      <c r="X655" s="272" t="str">
        <f>IFERROR(__xludf.DUMMYFUNCTION("""COMPUTED_VALUE"""),"Recent")</f>
        <v>Recent</v>
      </c>
      <c r="Y655" s="272" t="str">
        <f>IFERROR(__xludf.DUMMYFUNCTION("""COMPUTED_VALUE"""),"21 May")</f>
        <v>21 May</v>
      </c>
      <c r="Z655" s="272" t="str">
        <f>IFERROR(__xludf.DUMMYFUNCTION("""COMPUTED_VALUE"""),"6a0d92d7bfaacf2921b92fa7")</f>
        <v>6a0d92d7bfaacf2921b92fa7</v>
      </c>
      <c r="AA655" s="272">
        <f>IFERROR(__xludf.DUMMYFUNCTION("""COMPUTED_VALUE"""),25.0)</f>
        <v>25</v>
      </c>
      <c r="AB655" s="272">
        <f>IFERROR(__xludf.DUMMYFUNCTION("""COMPUTED_VALUE"""),25.0)</f>
        <v>25</v>
      </c>
      <c r="AC655" s="272"/>
      <c r="AD655" s="272">
        <f>IFERROR(__xludf.DUMMYFUNCTION("""COMPUTED_VALUE"""),65859.0)</f>
        <v>65859</v>
      </c>
      <c r="AE655" s="272">
        <f>IFERROR(__xludf.DUMMYFUNCTION("""COMPUTED_VALUE"""),65859.0)</f>
        <v>65859</v>
      </c>
      <c r="AF655" s="272"/>
      <c r="AG655" s="208"/>
      <c r="AH655" s="208"/>
      <c r="AI655" s="208"/>
      <c r="AJ655" s="208"/>
      <c r="AK655" s="208"/>
    </row>
    <row r="656" hidden="1">
      <c r="A656" s="209">
        <f>IFERROR(__xludf.DUMMYFUNCTION("""COMPUTED_VALUE"""),46163.0)</f>
        <v>46163</v>
      </c>
      <c r="B656" s="210">
        <f>IFERROR(__xludf.DUMMYFUNCTION("""COMPUTED_VALUE"""),0.8125)</f>
        <v>0.8125</v>
      </c>
      <c r="C656" s="211" t="str">
        <f>IFERROR(__xludf.DUMMYFUNCTION("""COMPUTED_VALUE"""),"Sms")</f>
        <v>Sms</v>
      </c>
      <c r="D656" s="211" t="str">
        <f>IFERROR(__xludf.DUMMYFUNCTION("""COMPUTED_VALUE"""),"Fallback campaign")</f>
        <v>Fallback campaign</v>
      </c>
      <c r="E656" s="211" t="str">
        <f>IFERROR(__xludf.DUMMYFUNCTION("""COMPUTED_VALUE"""),"BBW")</f>
        <v>BBW</v>
      </c>
      <c r="F656" s="211" t="str">
        <f>IFERROR(__xludf.DUMMYFUNCTION("""COMPUTED_VALUE"""),"B2G2 - Entire Store")</f>
        <v>B2G2 - Entire Store</v>
      </c>
      <c r="G656" s="212" t="str">
        <f>IFERROR(__xludf.DUMMYFUNCTION("""COMPUTED_VALUE"""),"bbw_smsfb_b2g2_closer_launch_21may_aov_3100_ea_online")</f>
        <v>bbw_smsfb_b2g2_closer_launch_21may_aov_3100_ea_online</v>
      </c>
      <c r="H656" s="212" t="str">
        <f>IFERROR(__xludf.DUMMYFUNCTION("""COMPUTED_VALUE"""),"BBW_ON_B2G2_AOV_3100")</f>
        <v>BBW_ON_B2G2_AOV_3100</v>
      </c>
      <c r="I656" s="212" t="str">
        <f>IFERROR(__xludf.DUMMYFUNCTION("""COMPUTED_VALUE"""),"WA Undelivered")</f>
        <v>WA Undelivered</v>
      </c>
      <c r="J656" s="213">
        <f>IFERROR(__xludf.DUMMYFUNCTION("""COMPUTED_VALUE"""),10927.0)</f>
        <v>10927</v>
      </c>
      <c r="K656" s="213">
        <f>IFERROR(__xludf.DUMMYFUNCTION("""COMPUTED_VALUE"""),5239.0)</f>
        <v>5239</v>
      </c>
      <c r="L656" s="214">
        <f>IFERROR(__xludf.DUMMYFUNCTION("""COMPUTED_VALUE"""),0.4795)</f>
        <v>0.4795</v>
      </c>
      <c r="M656" s="213">
        <f>IFERROR(__xludf.DUMMYFUNCTION("""COMPUTED_VALUE"""),0.0)</f>
        <v>0</v>
      </c>
      <c r="N656" s="214">
        <f>IFERROR(__xludf.DUMMYFUNCTION("""COMPUTED_VALUE"""),0.0)</f>
        <v>0</v>
      </c>
      <c r="O656" s="213">
        <f>IFERROR(__xludf.DUMMYFUNCTION("""COMPUTED_VALUE"""),19.0)</f>
        <v>19</v>
      </c>
      <c r="P656" s="213">
        <f>IFERROR(__xludf.DUMMYFUNCTION("""COMPUTED_VALUE"""),0.0)</f>
        <v>0</v>
      </c>
      <c r="Q656" s="214">
        <f>IFERROR(__xludf.DUMMYFUNCTION("""COMPUTED_VALUE"""),0.0036)</f>
        <v>0.0036</v>
      </c>
      <c r="R656" s="214">
        <f>IFERROR(__xludf.DUMMYFUNCTION("""COMPUTED_VALUE"""),0.0)</f>
        <v>0</v>
      </c>
      <c r="S656" s="101">
        <f>IFERROR(__xludf.DUMMYFUNCTION("""COMPUTED_VALUE"""),1.0)</f>
        <v>1</v>
      </c>
      <c r="T656" s="101">
        <f>IFERROR(__xludf.DUMMYFUNCTION("""COMPUTED_VALUE"""),1.0)</f>
        <v>1</v>
      </c>
      <c r="U656" s="270">
        <f>IFERROR(__xludf.DUMMYFUNCTION("""COMPUTED_VALUE"""),4498.0)</f>
        <v>4498</v>
      </c>
      <c r="V656" s="271" t="str">
        <f>IFERROR(__xludf.DUMMYFUNCTION("""COMPUTED_VALUE"""),"online")</f>
        <v>online</v>
      </c>
      <c r="W656" s="272" t="str">
        <f>IFERROR(__xludf.DUMMYFUNCTION("""COMPUTED_VALUE"""),"SMS")</f>
        <v>SMS</v>
      </c>
      <c r="X656" s="272" t="str">
        <f>IFERROR(__xludf.DUMMYFUNCTION("""COMPUTED_VALUE"""),"Cart Value")</f>
        <v>Cart Value</v>
      </c>
      <c r="Y656" s="272" t="str">
        <f>IFERROR(__xludf.DUMMYFUNCTION("""COMPUTED_VALUE"""),"21 May")</f>
        <v>21 May</v>
      </c>
      <c r="Z656" s="272" t="str">
        <f>IFERROR(__xludf.DUMMYFUNCTION("""COMPUTED_VALUE"""),"6a0d93115a895a6e8997a6f8")</f>
        <v>6a0d93115a895a6e8997a6f8</v>
      </c>
      <c r="AA656" s="272">
        <f>IFERROR(__xludf.DUMMYFUNCTION("""COMPUTED_VALUE"""),15.0)</f>
        <v>15</v>
      </c>
      <c r="AB656" s="272">
        <f>IFERROR(__xludf.DUMMYFUNCTION("""COMPUTED_VALUE"""),15.0)</f>
        <v>15</v>
      </c>
      <c r="AC656" s="272"/>
      <c r="AD656" s="272">
        <f>IFERROR(__xludf.DUMMYFUNCTION("""COMPUTED_VALUE"""),65621.0)</f>
        <v>65621</v>
      </c>
      <c r="AE656" s="272">
        <f>IFERROR(__xludf.DUMMYFUNCTION("""COMPUTED_VALUE"""),65621.0)</f>
        <v>65621</v>
      </c>
      <c r="AF656" s="272"/>
      <c r="AG656" s="208"/>
      <c r="AH656" s="208"/>
      <c r="AI656" s="208"/>
      <c r="AJ656" s="208"/>
      <c r="AK656" s="208"/>
    </row>
    <row r="657" hidden="1">
      <c r="A657" s="209">
        <f>IFERROR(__xludf.DUMMYFUNCTION("""COMPUTED_VALUE"""),46163.0)</f>
        <v>46163</v>
      </c>
      <c r="B657" s="210">
        <f>IFERROR(__xludf.DUMMYFUNCTION("""COMPUTED_VALUE"""),0.8125)</f>
        <v>0.8125</v>
      </c>
      <c r="C657" s="211" t="str">
        <f>IFERROR(__xludf.DUMMYFUNCTION("""COMPUTED_VALUE"""),"Sms")</f>
        <v>Sms</v>
      </c>
      <c r="D657" s="211" t="str">
        <f>IFERROR(__xludf.DUMMYFUNCTION("""COMPUTED_VALUE"""),"Fallback campaign")</f>
        <v>Fallback campaign</v>
      </c>
      <c r="E657" s="211" t="str">
        <f>IFERROR(__xludf.DUMMYFUNCTION("""COMPUTED_VALUE"""),"BBW")</f>
        <v>BBW</v>
      </c>
      <c r="F657" s="211" t="str">
        <f>IFERROR(__xludf.DUMMYFUNCTION("""COMPUTED_VALUE"""),"B2G2 - Entire Store")</f>
        <v>B2G2 - Entire Store</v>
      </c>
      <c r="G657" s="212" t="str">
        <f>IFERROR(__xludf.DUMMYFUNCTION("""COMPUTED_VALUE"""),"bbw_smsfb_b2g2_closer_launch_21may_dormant_ea_online")</f>
        <v>bbw_smsfb_b2g2_closer_launch_21may_dormant_ea_online</v>
      </c>
      <c r="H657" s="212" t="str">
        <f>IFERROR(__xludf.DUMMYFUNCTION("""COMPUTED_VALUE"""),"BBW_ON_B2G2_Dormant_May_26")</f>
        <v>BBW_ON_B2G2_Dormant_May_26</v>
      </c>
      <c r="I657" s="212" t="str">
        <f>IFERROR(__xludf.DUMMYFUNCTION("""COMPUTED_VALUE"""),"WA Undelivered")</f>
        <v>WA Undelivered</v>
      </c>
      <c r="J657" s="213">
        <f>IFERROR(__xludf.DUMMYFUNCTION("""COMPUTED_VALUE"""),53487.0)</f>
        <v>53487</v>
      </c>
      <c r="K657" s="213">
        <f>IFERROR(__xludf.DUMMYFUNCTION("""COMPUTED_VALUE"""),31842.0)</f>
        <v>31842</v>
      </c>
      <c r="L657" s="214">
        <f>IFERROR(__xludf.DUMMYFUNCTION("""COMPUTED_VALUE"""),0.5953)</f>
        <v>0.5953</v>
      </c>
      <c r="M657" s="213">
        <f>IFERROR(__xludf.DUMMYFUNCTION("""COMPUTED_VALUE"""),0.0)</f>
        <v>0</v>
      </c>
      <c r="N657" s="214">
        <f>IFERROR(__xludf.DUMMYFUNCTION("""COMPUTED_VALUE"""),0.0)</f>
        <v>0</v>
      </c>
      <c r="O657" s="213">
        <f>IFERROR(__xludf.DUMMYFUNCTION("""COMPUTED_VALUE"""),74.0)</f>
        <v>74</v>
      </c>
      <c r="P657" s="213">
        <f>IFERROR(__xludf.DUMMYFUNCTION("""COMPUTED_VALUE"""),0.0)</f>
        <v>0</v>
      </c>
      <c r="Q657" s="214">
        <f>IFERROR(__xludf.DUMMYFUNCTION("""COMPUTED_VALUE"""),0.0023)</f>
        <v>0.0023</v>
      </c>
      <c r="R657" s="214">
        <f>IFERROR(__xludf.DUMMYFUNCTION("""COMPUTED_VALUE"""),0.0)</f>
        <v>0</v>
      </c>
      <c r="S657" s="101">
        <f>IFERROR(__xludf.DUMMYFUNCTION("""COMPUTED_VALUE"""),1.0)</f>
        <v>1</v>
      </c>
      <c r="T657" s="101">
        <f>IFERROR(__xludf.DUMMYFUNCTION("""COMPUTED_VALUE"""),2.0)</f>
        <v>2</v>
      </c>
      <c r="U657" s="270">
        <f>IFERROR(__xludf.DUMMYFUNCTION("""COMPUTED_VALUE"""),899.0)</f>
        <v>899</v>
      </c>
      <c r="V657" s="271" t="str">
        <f>IFERROR(__xludf.DUMMYFUNCTION("""COMPUTED_VALUE"""),"online")</f>
        <v>online</v>
      </c>
      <c r="W657" s="272" t="str">
        <f>IFERROR(__xludf.DUMMYFUNCTION("""COMPUTED_VALUE"""),"SMS")</f>
        <v>SMS</v>
      </c>
      <c r="X657" s="272" t="str">
        <f>IFERROR(__xludf.DUMMYFUNCTION("""COMPUTED_VALUE"""),"Dormant")</f>
        <v>Dormant</v>
      </c>
      <c r="Y657" s="272" t="str">
        <f>IFERROR(__xludf.DUMMYFUNCTION("""COMPUTED_VALUE"""),"21 May")</f>
        <v>21 May</v>
      </c>
      <c r="Z657" s="272" t="str">
        <f>IFERROR(__xludf.DUMMYFUNCTION("""COMPUTED_VALUE"""),"6a0d934ff54c5416579571ac")</f>
        <v>6a0d934ff54c5416579571ac</v>
      </c>
      <c r="AA657" s="272">
        <f>IFERROR(__xludf.DUMMYFUNCTION("""COMPUTED_VALUE"""),27.0)</f>
        <v>27</v>
      </c>
      <c r="AB657" s="272">
        <f>IFERROR(__xludf.DUMMYFUNCTION("""COMPUTED_VALUE"""),27.0)</f>
        <v>27</v>
      </c>
      <c r="AC657" s="272"/>
      <c r="AD657" s="272">
        <f>IFERROR(__xludf.DUMMYFUNCTION("""COMPUTED_VALUE"""),72894.0)</f>
        <v>72894</v>
      </c>
      <c r="AE657" s="272">
        <f>IFERROR(__xludf.DUMMYFUNCTION("""COMPUTED_VALUE"""),72894.0)</f>
        <v>72894</v>
      </c>
      <c r="AF657" s="272"/>
      <c r="AG657" s="208"/>
      <c r="AH657" s="208"/>
      <c r="AI657" s="208"/>
      <c r="AJ657" s="208"/>
      <c r="AK657" s="208"/>
    </row>
    <row r="658" hidden="1">
      <c r="A658" s="209">
        <f>IFERROR(__xludf.DUMMYFUNCTION("""COMPUTED_VALUE"""),46163.0)</f>
        <v>46163</v>
      </c>
      <c r="B658" s="210">
        <f>IFERROR(__xludf.DUMMYFUNCTION("""COMPUTED_VALUE"""),0.7708333333321207)</f>
        <v>0.7708333333</v>
      </c>
      <c r="C658" s="211" t="str">
        <f>IFERROR(__xludf.DUMMYFUNCTION("""COMPUTED_VALUE"""),"Whatsapp")</f>
        <v>Whatsapp</v>
      </c>
      <c r="D658" s="211" t="str">
        <f>IFERROR(__xludf.DUMMYFUNCTION("""COMPUTED_VALUE"""),"Promotional")</f>
        <v>Promotional</v>
      </c>
      <c r="E658" s="211" t="str">
        <f>IFERROR(__xludf.DUMMYFUNCTION("""COMPUTED_VALUE"""),"BBW")</f>
        <v>BBW</v>
      </c>
      <c r="F658" s="211" t="str">
        <f>IFERROR(__xludf.DUMMYFUNCTION("""COMPUTED_VALUE"""),"B2G2 - Entire Store")</f>
        <v>B2G2 - Entire Store</v>
      </c>
      <c r="G658" s="212" t="str">
        <f>IFERROR(__xludf.DUMMYFUNCTION("""COMPUTED_VALUE"""),"bbw_wa_b2g2_closer_launch_21may_atc_wishlist_ea_online")</f>
        <v>bbw_wa_b2g2_closer_launch_21may_atc_wishlist_ea_online</v>
      </c>
      <c r="H658" s="212" t="str">
        <f>IFERROR(__xludf.DUMMYFUNCTION("""COMPUTED_VALUE"""),"BBW_ON_B2G2_ATC_Wishlist_May_26")</f>
        <v>BBW_ON_B2G2_ATC_Wishlist_May_26</v>
      </c>
      <c r="I658" s="212" t="str">
        <f>IFERROR(__xludf.DUMMYFUNCTION("""COMPUTED_VALUE"""),"Customers who have added to cart or wishlist in the last 30 days")</f>
        <v>Customers who have added to cart or wishlist in the last 30 days</v>
      </c>
      <c r="J658" s="213">
        <f>IFERROR(__xludf.DUMMYFUNCTION("""COMPUTED_VALUE"""),4755.0)</f>
        <v>4755</v>
      </c>
      <c r="K658" s="213">
        <f>IFERROR(__xludf.DUMMYFUNCTION("""COMPUTED_VALUE"""),1890.0)</f>
        <v>1890</v>
      </c>
      <c r="L658" s="214">
        <f>IFERROR(__xludf.DUMMYFUNCTION("""COMPUTED_VALUE"""),0.3975)</f>
        <v>0.3975</v>
      </c>
      <c r="M658" s="213">
        <f>IFERROR(__xludf.DUMMYFUNCTION("""COMPUTED_VALUE"""),911.0)</f>
        <v>911</v>
      </c>
      <c r="N658" s="214">
        <f>IFERROR(__xludf.DUMMYFUNCTION("""COMPUTED_VALUE"""),0.482)</f>
        <v>0.482</v>
      </c>
      <c r="O658" s="213">
        <f>IFERROR(__xludf.DUMMYFUNCTION("""COMPUTED_VALUE"""),223.0)</f>
        <v>223</v>
      </c>
      <c r="P658" s="213">
        <f>IFERROR(__xludf.DUMMYFUNCTION("""COMPUTED_VALUE"""),208.0)</f>
        <v>208</v>
      </c>
      <c r="Q658" s="214">
        <f>IFERROR(__xludf.DUMMYFUNCTION("""COMPUTED_VALUE"""),0.1101)</f>
        <v>0.1101</v>
      </c>
      <c r="R658" s="214">
        <f>IFERROR(__xludf.DUMMYFUNCTION("""COMPUTED_VALUE"""),0.2283)</f>
        <v>0.2283</v>
      </c>
      <c r="S658" s="101">
        <f>IFERROR(__xludf.DUMMYFUNCTION("""COMPUTED_VALUE"""),24.0)</f>
        <v>24</v>
      </c>
      <c r="T658" s="101">
        <f>IFERROR(__xludf.DUMMYFUNCTION("""COMPUTED_VALUE"""),91.0)</f>
        <v>91</v>
      </c>
      <c r="U658" s="270">
        <f>IFERROR(__xludf.DUMMYFUNCTION("""COMPUTED_VALUE"""),72396.0)</f>
        <v>72396</v>
      </c>
      <c r="V658" s="271" t="str">
        <f>IFERROR(__xludf.DUMMYFUNCTION("""COMPUTED_VALUE"""),"online")</f>
        <v>online</v>
      </c>
      <c r="W658" s="272" t="str">
        <f>IFERROR(__xludf.DUMMYFUNCTION("""COMPUTED_VALUE"""),"simple")</f>
        <v>simple</v>
      </c>
      <c r="X658" s="272" t="str">
        <f>IFERROR(__xludf.DUMMYFUNCTION("""COMPUTED_VALUE"""),"ATC/View")</f>
        <v>ATC/View</v>
      </c>
      <c r="Y658" s="272" t="str">
        <f>IFERROR(__xludf.DUMMYFUNCTION("""COMPUTED_VALUE"""),"21-23 May")</f>
        <v>21-23 May</v>
      </c>
      <c r="Z658" s="272" t="str">
        <f>IFERROR(__xludf.DUMMYFUNCTION("""COMPUTED_VALUE"""),"6a0d904163466e706067799f")</f>
        <v>6a0d904163466e706067799f</v>
      </c>
      <c r="AA658" s="272">
        <f>IFERROR(__xludf.DUMMYFUNCTION("""COMPUTED_VALUE"""),29.0)</f>
        <v>29</v>
      </c>
      <c r="AB658" s="272">
        <f>IFERROR(__xludf.DUMMYFUNCTION("""COMPUTED_VALUE"""),29.0)</f>
        <v>29</v>
      </c>
      <c r="AC658" s="272"/>
      <c r="AD658" s="272">
        <f>IFERROR(__xludf.DUMMYFUNCTION("""COMPUTED_VALUE"""),86441.0)</f>
        <v>86441</v>
      </c>
      <c r="AE658" s="272">
        <f>IFERROR(__xludf.DUMMYFUNCTION("""COMPUTED_VALUE"""),86441.0)</f>
        <v>86441</v>
      </c>
      <c r="AF658" s="272"/>
      <c r="AG658" s="208"/>
      <c r="AH658" s="208"/>
      <c r="AI658" s="208"/>
      <c r="AJ658" s="208"/>
      <c r="AK658" s="208"/>
    </row>
    <row r="659" hidden="1">
      <c r="A659" s="209">
        <f>IFERROR(__xludf.DUMMYFUNCTION("""COMPUTED_VALUE"""),46163.0)</f>
        <v>46163</v>
      </c>
      <c r="B659" s="210">
        <f>IFERROR(__xludf.DUMMYFUNCTION("""COMPUTED_VALUE"""),0.7708333333321207)</f>
        <v>0.7708333333</v>
      </c>
      <c r="C659" s="211" t="str">
        <f>IFERROR(__xludf.DUMMYFUNCTION("""COMPUTED_VALUE"""),"Whatsapp")</f>
        <v>Whatsapp</v>
      </c>
      <c r="D659" s="211" t="str">
        <f>IFERROR(__xludf.DUMMYFUNCTION("""COMPUTED_VALUE"""),"Promotional")</f>
        <v>Promotional</v>
      </c>
      <c r="E659" s="211" t="str">
        <f>IFERROR(__xludf.DUMMYFUNCTION("""COMPUTED_VALUE"""),"BBW")</f>
        <v>BBW</v>
      </c>
      <c r="F659" s="211" t="str">
        <f>IFERROR(__xludf.DUMMYFUNCTION("""COMPUTED_VALUE"""),"B2G2 - Entire Store")</f>
        <v>B2G2 - Entire Store</v>
      </c>
      <c r="G659" s="212" t="str">
        <f>IFERROR(__xludf.DUMMYFUNCTION("""COMPUTED_VALUE"""),"bbw_wa_b2g2_closer_launch_21may_active_ea_online")</f>
        <v>bbw_wa_b2g2_closer_launch_21may_active_ea_online</v>
      </c>
      <c r="H659" s="212" t="str">
        <f>IFERROR(__xludf.DUMMYFUNCTION("""COMPUTED_VALUE"""),"BBW_ON_B2G2_Active_May_26")</f>
        <v>BBW_ON_B2G2_Active_May_26</v>
      </c>
      <c r="I659" s="212" t="str">
        <f>IFERROR(__xludf.DUMMYFUNCTION("""COMPUTED_VALUE"""),"Online Customers who have purchased at least 1 time in the last 90 days (TTR)")</f>
        <v>Online Customers who have purchased at least 1 time in the last 90 days (TTR)</v>
      </c>
      <c r="J659" s="213">
        <f>IFERROR(__xludf.DUMMYFUNCTION("""COMPUTED_VALUE"""),21764.0)</f>
        <v>21764</v>
      </c>
      <c r="K659" s="213">
        <f>IFERROR(__xludf.DUMMYFUNCTION("""COMPUTED_VALUE"""),7633.0)</f>
        <v>7633</v>
      </c>
      <c r="L659" s="214">
        <f>IFERROR(__xludf.DUMMYFUNCTION("""COMPUTED_VALUE"""),0.3507)</f>
        <v>0.3507</v>
      </c>
      <c r="M659" s="213">
        <f>IFERROR(__xludf.DUMMYFUNCTION("""COMPUTED_VALUE"""),3391.0)</f>
        <v>3391</v>
      </c>
      <c r="N659" s="214">
        <f>IFERROR(__xludf.DUMMYFUNCTION("""COMPUTED_VALUE"""),0.4443)</f>
        <v>0.4443</v>
      </c>
      <c r="O659" s="213">
        <f>IFERROR(__xludf.DUMMYFUNCTION("""COMPUTED_VALUE"""),538.0)</f>
        <v>538</v>
      </c>
      <c r="P659" s="213">
        <f>IFERROR(__xludf.DUMMYFUNCTION("""COMPUTED_VALUE"""),516.0)</f>
        <v>516</v>
      </c>
      <c r="Q659" s="214">
        <f>IFERROR(__xludf.DUMMYFUNCTION("""COMPUTED_VALUE"""),0.0676)</f>
        <v>0.0676</v>
      </c>
      <c r="R659" s="214">
        <f>IFERROR(__xludf.DUMMYFUNCTION("""COMPUTED_VALUE"""),0.1522)</f>
        <v>0.1522</v>
      </c>
      <c r="S659" s="101">
        <f>IFERROR(__xludf.DUMMYFUNCTION("""COMPUTED_VALUE"""),3.0)</f>
        <v>3</v>
      </c>
      <c r="T659" s="101">
        <f>IFERROR(__xludf.DUMMYFUNCTION("""COMPUTED_VALUE"""),17.0)</f>
        <v>17</v>
      </c>
      <c r="U659" s="270">
        <f>IFERROR(__xludf.DUMMYFUNCTION("""COMPUTED_VALUE"""),9601.0)</f>
        <v>9601</v>
      </c>
      <c r="V659" s="271" t="str">
        <f>IFERROR(__xludf.DUMMYFUNCTION("""COMPUTED_VALUE"""),"online")</f>
        <v>online</v>
      </c>
      <c r="W659" s="272" t="str">
        <f>IFERROR(__xludf.DUMMYFUNCTION("""COMPUTED_VALUE"""),"simple")</f>
        <v>simple</v>
      </c>
      <c r="X659" s="272" t="str">
        <f>IFERROR(__xludf.DUMMYFUNCTION("""COMPUTED_VALUE"""),"Recent")</f>
        <v>Recent</v>
      </c>
      <c r="Y659" s="272" t="str">
        <f>IFERROR(__xludf.DUMMYFUNCTION("""COMPUTED_VALUE"""),"21-23 May")</f>
        <v>21-23 May</v>
      </c>
      <c r="Z659" s="272" t="str">
        <f>IFERROR(__xludf.DUMMYFUNCTION("""COMPUTED_VALUE"""),"6a0d90b7cc8227e2c09387d1")</f>
        <v>6a0d90b7cc8227e2c09387d1</v>
      </c>
      <c r="AA659" s="272">
        <f>IFERROR(__xludf.DUMMYFUNCTION("""COMPUTED_VALUE"""),45.0)</f>
        <v>45</v>
      </c>
      <c r="AB659" s="272">
        <f>IFERROR(__xludf.DUMMYFUNCTION("""COMPUTED_VALUE"""),45.0)</f>
        <v>45</v>
      </c>
      <c r="AC659" s="272"/>
      <c r="AD659" s="272">
        <f>IFERROR(__xludf.DUMMYFUNCTION("""COMPUTED_VALUE"""),164994.0)</f>
        <v>164994</v>
      </c>
      <c r="AE659" s="272">
        <f>IFERROR(__xludf.DUMMYFUNCTION("""COMPUTED_VALUE"""),164994.0)</f>
        <v>164994</v>
      </c>
      <c r="AF659" s="272"/>
      <c r="AG659" s="208"/>
      <c r="AH659" s="208"/>
      <c r="AI659" s="208"/>
      <c r="AJ659" s="208"/>
      <c r="AK659" s="208"/>
    </row>
    <row r="660" hidden="1">
      <c r="A660" s="209">
        <f>IFERROR(__xludf.DUMMYFUNCTION("""COMPUTED_VALUE"""),46163.0)</f>
        <v>46163</v>
      </c>
      <c r="B660" s="210">
        <f>IFERROR(__xludf.DUMMYFUNCTION("""COMPUTED_VALUE"""),0.7708333333321207)</f>
        <v>0.7708333333</v>
      </c>
      <c r="C660" s="211" t="str">
        <f>IFERROR(__xludf.DUMMYFUNCTION("""COMPUTED_VALUE"""),"Whatsapp")</f>
        <v>Whatsapp</v>
      </c>
      <c r="D660" s="211" t="str">
        <f>IFERROR(__xludf.DUMMYFUNCTION("""COMPUTED_VALUE"""),"Promotional")</f>
        <v>Promotional</v>
      </c>
      <c r="E660" s="211" t="str">
        <f>IFERROR(__xludf.DUMMYFUNCTION("""COMPUTED_VALUE"""),"BBW")</f>
        <v>BBW</v>
      </c>
      <c r="F660" s="211" t="str">
        <f>IFERROR(__xludf.DUMMYFUNCTION("""COMPUTED_VALUE"""),"B2G2 - Entire Store")</f>
        <v>B2G2 - Entire Store</v>
      </c>
      <c r="G660" s="212" t="str">
        <f>IFERROR(__xludf.DUMMYFUNCTION("""COMPUTED_VALUE"""),"bbw_wa_b2g2_closer_launch_21may_aov_3100_ea_online")</f>
        <v>bbw_wa_b2g2_closer_launch_21may_aov_3100_ea_online</v>
      </c>
      <c r="H660" s="212" t="str">
        <f>IFERROR(__xludf.DUMMYFUNCTION("""COMPUTED_VALUE"""),"BBW_ON_B2G2_AOV_3100")</f>
        <v>BBW_ON_B2G2_AOV_3100</v>
      </c>
      <c r="I660" s="212" t="str">
        <f>IFERROR(__xludf.DUMMYFUNCTION("""COMPUTED_VALUE"""),"Online customers who have purchased in between 45 days ago and 260 days ago with AOV &gt; 3,100")</f>
        <v>Online customers who have purchased in between 45 days ago and 260 days ago with AOV &gt; 3,100</v>
      </c>
      <c r="J660" s="213">
        <f>IFERROR(__xludf.DUMMYFUNCTION("""COMPUTED_VALUE"""),15610.0)</f>
        <v>15610</v>
      </c>
      <c r="K660" s="213">
        <f>IFERROR(__xludf.DUMMYFUNCTION("""COMPUTED_VALUE"""),4041.0)</f>
        <v>4041</v>
      </c>
      <c r="L660" s="214">
        <f>IFERROR(__xludf.DUMMYFUNCTION("""COMPUTED_VALUE"""),0.2589)</f>
        <v>0.2589</v>
      </c>
      <c r="M660" s="213">
        <f>IFERROR(__xludf.DUMMYFUNCTION("""COMPUTED_VALUE"""),1789.0)</f>
        <v>1789</v>
      </c>
      <c r="N660" s="214">
        <f>IFERROR(__xludf.DUMMYFUNCTION("""COMPUTED_VALUE"""),0.4425)</f>
        <v>0.4425</v>
      </c>
      <c r="O660" s="213">
        <f>IFERROR(__xludf.DUMMYFUNCTION("""COMPUTED_VALUE"""),227.0)</f>
        <v>227</v>
      </c>
      <c r="P660" s="213">
        <f>IFERROR(__xludf.DUMMYFUNCTION("""COMPUTED_VALUE"""),213.0)</f>
        <v>213</v>
      </c>
      <c r="Q660" s="214">
        <f>IFERROR(__xludf.DUMMYFUNCTION("""COMPUTED_VALUE"""),0.0527)</f>
        <v>0.0527</v>
      </c>
      <c r="R660" s="214">
        <f>IFERROR(__xludf.DUMMYFUNCTION("""COMPUTED_VALUE"""),0.1191)</f>
        <v>0.1191</v>
      </c>
      <c r="S660" s="101">
        <f>IFERROR(__xludf.DUMMYFUNCTION("""COMPUTED_VALUE"""),1.0)</f>
        <v>1</v>
      </c>
      <c r="T660" s="101">
        <f>IFERROR(__xludf.DUMMYFUNCTION("""COMPUTED_VALUE"""),3.0)</f>
        <v>3</v>
      </c>
      <c r="U660" s="270">
        <f>IFERROR(__xludf.DUMMYFUNCTION("""COMPUTED_VALUE"""),4048.0)</f>
        <v>4048</v>
      </c>
      <c r="V660" s="271" t="str">
        <f>IFERROR(__xludf.DUMMYFUNCTION("""COMPUTED_VALUE"""),"online")</f>
        <v>online</v>
      </c>
      <c r="W660" s="272" t="str">
        <f>IFERROR(__xludf.DUMMYFUNCTION("""COMPUTED_VALUE"""),"simple")</f>
        <v>simple</v>
      </c>
      <c r="X660" s="272" t="str">
        <f>IFERROR(__xludf.DUMMYFUNCTION("""COMPUTED_VALUE"""),"Cart Value")</f>
        <v>Cart Value</v>
      </c>
      <c r="Y660" s="272" t="str">
        <f>IFERROR(__xludf.DUMMYFUNCTION("""COMPUTED_VALUE"""),"21-23 May")</f>
        <v>21-23 May</v>
      </c>
      <c r="Z660" s="272" t="str">
        <f>IFERROR(__xludf.DUMMYFUNCTION("""COMPUTED_VALUE"""),"6a0d90ef5e72ae567dfb9ac8")</f>
        <v>6a0d90ef5e72ae567dfb9ac8</v>
      </c>
      <c r="AA660" s="272">
        <f>IFERROR(__xludf.DUMMYFUNCTION("""COMPUTED_VALUE"""),16.0)</f>
        <v>16</v>
      </c>
      <c r="AB660" s="272">
        <f>IFERROR(__xludf.DUMMYFUNCTION("""COMPUTED_VALUE"""),16.0)</f>
        <v>16</v>
      </c>
      <c r="AC660" s="272"/>
      <c r="AD660" s="272">
        <f>IFERROR(__xludf.DUMMYFUNCTION("""COMPUTED_VALUE"""),97530.0)</f>
        <v>97530</v>
      </c>
      <c r="AE660" s="272">
        <f>IFERROR(__xludf.DUMMYFUNCTION("""COMPUTED_VALUE"""),97530.0)</f>
        <v>97530</v>
      </c>
      <c r="AF660" s="272"/>
      <c r="AG660" s="208"/>
      <c r="AH660" s="208"/>
      <c r="AI660" s="208"/>
      <c r="AJ660" s="208"/>
      <c r="AK660" s="208"/>
    </row>
    <row r="661" hidden="1">
      <c r="A661" s="209">
        <f>IFERROR(__xludf.DUMMYFUNCTION("""COMPUTED_VALUE"""),46163.0)</f>
        <v>46163</v>
      </c>
      <c r="B661" s="210">
        <f>IFERROR(__xludf.DUMMYFUNCTION("""COMPUTED_VALUE"""),0.7708333333321207)</f>
        <v>0.7708333333</v>
      </c>
      <c r="C661" s="211" t="str">
        <f>IFERROR(__xludf.DUMMYFUNCTION("""COMPUTED_VALUE"""),"Whatsapp")</f>
        <v>Whatsapp</v>
      </c>
      <c r="D661" s="211" t="str">
        <f>IFERROR(__xludf.DUMMYFUNCTION("""COMPUTED_VALUE"""),"Promotional")</f>
        <v>Promotional</v>
      </c>
      <c r="E661" s="211" t="str">
        <f>IFERROR(__xludf.DUMMYFUNCTION("""COMPUTED_VALUE"""),"BBW")</f>
        <v>BBW</v>
      </c>
      <c r="F661" s="211" t="str">
        <f>IFERROR(__xludf.DUMMYFUNCTION("""COMPUTED_VALUE"""),"B2G2 - Entire Store")</f>
        <v>B2G2 - Entire Store</v>
      </c>
      <c r="G661" s="212" t="str">
        <f>IFERROR(__xludf.DUMMYFUNCTION("""COMPUTED_VALUE"""),"bbw_wa_b2g2_closer_launch_21may_dormant_ea_online")</f>
        <v>bbw_wa_b2g2_closer_launch_21may_dormant_ea_online</v>
      </c>
      <c r="H661" s="212" t="str">
        <f>IFERROR(__xludf.DUMMYFUNCTION("""COMPUTED_VALUE"""),"BBW_ON_B2G2_Dormant_May_26")</f>
        <v>BBW_ON_B2G2_Dormant_May_26</v>
      </c>
      <c r="I661" s="212" t="str">
        <f>IFERROR(__xludf.DUMMYFUNCTION("""COMPUTED_VALUE"""),"Online Customers who have purchased at least 1 time in the last 365 days")</f>
        <v>Online Customers who have purchased at least 1 time in the last 365 days</v>
      </c>
      <c r="J661" s="213">
        <f>IFERROR(__xludf.DUMMYFUNCTION("""COMPUTED_VALUE"""),82457.0)</f>
        <v>82457</v>
      </c>
      <c r="K661" s="213">
        <f>IFERROR(__xludf.DUMMYFUNCTION("""COMPUTED_VALUE"""),26575.0)</f>
        <v>26575</v>
      </c>
      <c r="L661" s="214">
        <f>IFERROR(__xludf.DUMMYFUNCTION("""COMPUTED_VALUE"""),0.3223)</f>
        <v>0.3223</v>
      </c>
      <c r="M661" s="213">
        <f>IFERROR(__xludf.DUMMYFUNCTION("""COMPUTED_VALUE"""),11119.0)</f>
        <v>11119</v>
      </c>
      <c r="N661" s="214">
        <f>IFERROR(__xludf.DUMMYFUNCTION("""COMPUTED_VALUE"""),0.4183)</f>
        <v>0.4183</v>
      </c>
      <c r="O661" s="213">
        <f>IFERROR(__xludf.DUMMYFUNCTION("""COMPUTED_VALUE"""),1252.0)</f>
        <v>1252</v>
      </c>
      <c r="P661" s="213">
        <f>IFERROR(__xludf.DUMMYFUNCTION("""COMPUTED_VALUE"""),1204.0)</f>
        <v>1204</v>
      </c>
      <c r="Q661" s="214">
        <f>IFERROR(__xludf.DUMMYFUNCTION("""COMPUTED_VALUE"""),0.0453)</f>
        <v>0.0453</v>
      </c>
      <c r="R661" s="214">
        <f>IFERROR(__xludf.DUMMYFUNCTION("""COMPUTED_VALUE"""),0.1083)</f>
        <v>0.1083</v>
      </c>
      <c r="S661" s="101">
        <f>IFERROR(__xludf.DUMMYFUNCTION("""COMPUTED_VALUE"""),8.0)</f>
        <v>8</v>
      </c>
      <c r="T661" s="101">
        <f>IFERROR(__xludf.DUMMYFUNCTION("""COMPUTED_VALUE"""),28.0)</f>
        <v>28</v>
      </c>
      <c r="U661" s="270">
        <f>IFERROR(__xludf.DUMMYFUNCTION("""COMPUTED_VALUE"""),24278.0)</f>
        <v>24278</v>
      </c>
      <c r="V661" s="271" t="str">
        <f>IFERROR(__xludf.DUMMYFUNCTION("""COMPUTED_VALUE"""),"online")</f>
        <v>online</v>
      </c>
      <c r="W661" s="272" t="str">
        <f>IFERROR(__xludf.DUMMYFUNCTION("""COMPUTED_VALUE"""),"simple")</f>
        <v>simple</v>
      </c>
      <c r="X661" s="272" t="str">
        <f>IFERROR(__xludf.DUMMYFUNCTION("""COMPUTED_VALUE"""),"Dormant")</f>
        <v>Dormant</v>
      </c>
      <c r="Y661" s="272" t="str">
        <f>IFERROR(__xludf.DUMMYFUNCTION("""COMPUTED_VALUE"""),"21-23 May")</f>
        <v>21-23 May</v>
      </c>
      <c r="Z661" s="272" t="str">
        <f>IFERROR(__xludf.DUMMYFUNCTION("""COMPUTED_VALUE"""),"6a0d913fb5ff2e9a302bf930")</f>
        <v>6a0d913fb5ff2e9a302bf930</v>
      </c>
      <c r="AA661" s="272">
        <f>IFERROR(__xludf.DUMMYFUNCTION("""COMPUTED_VALUE"""),57.0)</f>
        <v>57</v>
      </c>
      <c r="AB661" s="272">
        <f>IFERROR(__xludf.DUMMYFUNCTION("""COMPUTED_VALUE"""),57.0)</f>
        <v>57</v>
      </c>
      <c r="AC661" s="272"/>
      <c r="AD661" s="272">
        <f>IFERROR(__xludf.DUMMYFUNCTION("""COMPUTED_VALUE"""),180479.0)</f>
        <v>180479</v>
      </c>
      <c r="AE661" s="272">
        <f>IFERROR(__xludf.DUMMYFUNCTION("""COMPUTED_VALUE"""),180479.0)</f>
        <v>180479</v>
      </c>
      <c r="AF661" s="272"/>
      <c r="AG661" s="208"/>
      <c r="AH661" s="208"/>
      <c r="AI661" s="208"/>
      <c r="AJ661" s="208"/>
      <c r="AK661" s="208"/>
    </row>
    <row r="662" hidden="1">
      <c r="A662" s="209">
        <f>IFERROR(__xludf.DUMMYFUNCTION("""COMPUTED_VALUE"""),46164.0)</f>
        <v>46164</v>
      </c>
      <c r="B662" s="210">
        <f>IFERROR(__xludf.DUMMYFUNCTION("""COMPUTED_VALUE"""),0.5)</f>
        <v>0.5</v>
      </c>
      <c r="C662" s="211" t="str">
        <f>IFERROR(__xludf.DUMMYFUNCTION("""COMPUTED_VALUE"""),"Sms")</f>
        <v>Sms</v>
      </c>
      <c r="D662" s="211" t="str">
        <f>IFERROR(__xludf.DUMMYFUNCTION("""COMPUTED_VALUE"""),"Fallback campaign")</f>
        <v>Fallback campaign</v>
      </c>
      <c r="E662" s="211" t="str">
        <f>IFERROR(__xludf.DUMMYFUNCTION("""COMPUTED_VALUE"""),"BBW")</f>
        <v>BBW</v>
      </c>
      <c r="F662" s="211" t="str">
        <f>IFERROR(__xludf.DUMMYFUNCTION("""COMPUTED_VALUE"""),"B2G2 - Entire Store")</f>
        <v>B2G2 - Entire Store</v>
      </c>
      <c r="G662" s="212" t="str">
        <f>IFERROR(__xludf.DUMMYFUNCTION("""COMPUTED_VALUE"""),"bbw_smsfb_b2g2_closer_launch_22may_event_buyers_overall")</f>
        <v>bbw_smsfb_b2g2_closer_launch_22may_event_buyers_overall</v>
      </c>
      <c r="H662" s="212" t="str">
        <f>IFERROR(__xludf.DUMMYFUNCTION("""COMPUTED_VALUE"""),"BBW_ON_OFF_B2G2_Event_Buyers")</f>
        <v>BBW_ON_OFF_B2G2_Event_Buyers</v>
      </c>
      <c r="I662" s="212" t="str">
        <f>IFERROR(__xludf.DUMMYFUNCTION("""COMPUTED_VALUE"""),"WA Undelivered")</f>
        <v>WA Undelivered</v>
      </c>
      <c r="J662" s="213">
        <f>IFERROR(__xludf.DUMMYFUNCTION("""COMPUTED_VALUE"""),14389.0)</f>
        <v>14389</v>
      </c>
      <c r="K662" s="213">
        <f>IFERROR(__xludf.DUMMYFUNCTION("""COMPUTED_VALUE"""),8099.0)</f>
        <v>8099</v>
      </c>
      <c r="L662" s="214">
        <f>IFERROR(__xludf.DUMMYFUNCTION("""COMPUTED_VALUE"""),0.5629)</f>
        <v>0.5629</v>
      </c>
      <c r="M662" s="213">
        <f>IFERROR(__xludf.DUMMYFUNCTION("""COMPUTED_VALUE"""),0.0)</f>
        <v>0</v>
      </c>
      <c r="N662" s="214">
        <f>IFERROR(__xludf.DUMMYFUNCTION("""COMPUTED_VALUE"""),0.0)</f>
        <v>0</v>
      </c>
      <c r="O662" s="213">
        <f>IFERROR(__xludf.DUMMYFUNCTION("""COMPUTED_VALUE"""),5.0)</f>
        <v>5</v>
      </c>
      <c r="P662" s="213">
        <f>IFERROR(__xludf.DUMMYFUNCTION("""COMPUTED_VALUE"""),0.0)</f>
        <v>0</v>
      </c>
      <c r="Q662" s="214">
        <f>IFERROR(__xludf.DUMMYFUNCTION("""COMPUTED_VALUE"""),6.0E-4)</f>
        <v>0.0006</v>
      </c>
      <c r="R662" s="214">
        <f>IFERROR(__xludf.DUMMYFUNCTION("""COMPUTED_VALUE"""),0.0)</f>
        <v>0</v>
      </c>
      <c r="S662" s="101">
        <f>IFERROR(__xludf.DUMMYFUNCTION("""COMPUTED_VALUE"""),0.0)</f>
        <v>0</v>
      </c>
      <c r="T662" s="101">
        <f>IFERROR(__xludf.DUMMYFUNCTION("""COMPUTED_VALUE"""),0.0)</f>
        <v>0</v>
      </c>
      <c r="U662" s="270">
        <f>IFERROR(__xludf.DUMMYFUNCTION("""COMPUTED_VALUE"""),9687.0)</f>
        <v>9687</v>
      </c>
      <c r="V662" s="271" t="str">
        <f>IFERROR(__xludf.DUMMYFUNCTION("""COMPUTED_VALUE"""),"overall")</f>
        <v>overall</v>
      </c>
      <c r="W662" s="272" t="str">
        <f>IFERROR(__xludf.DUMMYFUNCTION("""COMPUTED_VALUE"""),"SMS")</f>
        <v>SMS</v>
      </c>
      <c r="X662" s="272" t="str">
        <f>IFERROR(__xludf.DUMMYFUNCTION("""COMPUTED_VALUE"""),"Event Buyers")</f>
        <v>Event Buyers</v>
      </c>
      <c r="Y662" s="272" t="str">
        <f>IFERROR(__xludf.DUMMYFUNCTION("""COMPUTED_VALUE"""),"22 May")</f>
        <v>22 May</v>
      </c>
      <c r="Z662" s="272" t="str">
        <f>IFERROR(__xludf.DUMMYFUNCTION("""COMPUTED_VALUE"""),"6a0ec6c3ea246a2bbd83d4fd")</f>
        <v>6a0ec6c3ea246a2bbd83d4fd</v>
      </c>
      <c r="AA662" s="272">
        <f>IFERROR(__xludf.DUMMYFUNCTION("""COMPUTED_VALUE"""),7.0)</f>
        <v>7</v>
      </c>
      <c r="AB662" s="272">
        <f>IFERROR(__xludf.DUMMYFUNCTION("""COMPUTED_VALUE"""),5.0)</f>
        <v>5</v>
      </c>
      <c r="AC662" s="272">
        <f>IFERROR(__xludf.DUMMYFUNCTION("""COMPUTED_VALUE"""),2.0)</f>
        <v>2</v>
      </c>
      <c r="AD662" s="272">
        <f>IFERROR(__xludf.DUMMYFUNCTION("""COMPUTED_VALUE"""),23441.0)</f>
        <v>23441</v>
      </c>
      <c r="AE662" s="272">
        <f>IFERROR(__xludf.DUMMYFUNCTION("""COMPUTED_VALUE"""),14245.0)</f>
        <v>14245</v>
      </c>
      <c r="AF662" s="272">
        <f>IFERROR(__xludf.DUMMYFUNCTION("""COMPUTED_VALUE"""),9196.0)</f>
        <v>9196</v>
      </c>
      <c r="AG662" s="208"/>
      <c r="AH662" s="208"/>
      <c r="AI662" s="208"/>
      <c r="AJ662" s="208"/>
      <c r="AK662" s="208"/>
    </row>
    <row r="663" hidden="1">
      <c r="A663" s="209">
        <f>IFERROR(__xludf.DUMMYFUNCTION("""COMPUTED_VALUE"""),46164.0)</f>
        <v>46164</v>
      </c>
      <c r="B663" s="210">
        <f>IFERROR(__xludf.DUMMYFUNCTION("""COMPUTED_VALUE"""),0.5)</f>
        <v>0.5</v>
      </c>
      <c r="C663" s="211" t="str">
        <f>IFERROR(__xludf.DUMMYFUNCTION("""COMPUTED_VALUE"""),"Sms")</f>
        <v>Sms</v>
      </c>
      <c r="D663" s="211" t="str">
        <f>IFERROR(__xludf.DUMMYFUNCTION("""COMPUTED_VALUE"""),"Fallback campaign")</f>
        <v>Fallback campaign</v>
      </c>
      <c r="E663" s="211" t="str">
        <f>IFERROR(__xludf.DUMMYFUNCTION("""COMPUTED_VALUE"""),"BBW")</f>
        <v>BBW</v>
      </c>
      <c r="F663" s="211" t="str">
        <f>IFERROR(__xludf.DUMMYFUNCTION("""COMPUTED_VALUE"""),"B2G2 - Entire Store")</f>
        <v>B2G2 - Entire Store</v>
      </c>
      <c r="G663" s="212" t="str">
        <f>IFERROR(__xludf.DUMMYFUNCTION("""COMPUTED_VALUE"""),"bbw_smsfb_b2g2_closer_launch_22may_active_blr_offline")</f>
        <v>bbw_smsfb_b2g2_closer_launch_22may_active_blr_offline</v>
      </c>
      <c r="H663" s="212" t="str">
        <f>IFERROR(__xludf.DUMMYFUNCTION("""COMPUTED_VALUE"""),"BBW_OFF_BLR_Active")</f>
        <v>BBW_OFF_BLR_Active</v>
      </c>
      <c r="I663" s="212" t="str">
        <f>IFERROR(__xludf.DUMMYFUNCTION("""COMPUTED_VALUE"""),"WA Undelivered")</f>
        <v>WA Undelivered</v>
      </c>
      <c r="J663" s="213">
        <f>IFERROR(__xludf.DUMMYFUNCTION("""COMPUTED_VALUE"""),8577.0)</f>
        <v>8577</v>
      </c>
      <c r="K663" s="213">
        <f>IFERROR(__xludf.DUMMYFUNCTION("""COMPUTED_VALUE"""),4909.0)</f>
        <v>4909</v>
      </c>
      <c r="L663" s="214">
        <f>IFERROR(__xludf.DUMMYFUNCTION("""COMPUTED_VALUE"""),0.5723)</f>
        <v>0.5723</v>
      </c>
      <c r="M663" s="213">
        <f>IFERROR(__xludf.DUMMYFUNCTION("""COMPUTED_VALUE"""),0.0)</f>
        <v>0</v>
      </c>
      <c r="N663" s="214">
        <f>IFERROR(__xludf.DUMMYFUNCTION("""COMPUTED_VALUE"""),0.0)</f>
        <v>0</v>
      </c>
      <c r="O663" s="213">
        <f>IFERROR(__xludf.DUMMYFUNCTION("""COMPUTED_VALUE"""),4.0)</f>
        <v>4</v>
      </c>
      <c r="P663" s="213">
        <f>IFERROR(__xludf.DUMMYFUNCTION("""COMPUTED_VALUE"""),0.0)</f>
        <v>0</v>
      </c>
      <c r="Q663" s="214">
        <f>IFERROR(__xludf.DUMMYFUNCTION("""COMPUTED_VALUE"""),8.0E-4)</f>
        <v>0.0008</v>
      </c>
      <c r="R663" s="214">
        <f>IFERROR(__xludf.DUMMYFUNCTION("""COMPUTED_VALUE"""),0.0)</f>
        <v>0</v>
      </c>
      <c r="S663" s="101">
        <f>IFERROR(__xludf.DUMMYFUNCTION("""COMPUTED_VALUE"""),0.0)</f>
        <v>0</v>
      </c>
      <c r="T663" s="101">
        <f>IFERROR(__xludf.DUMMYFUNCTION("""COMPUTED_VALUE"""),0.0)</f>
        <v>0</v>
      </c>
      <c r="U663" s="270">
        <f>IFERROR(__xludf.DUMMYFUNCTION("""COMPUTED_VALUE"""),86054.0)</f>
        <v>86054</v>
      </c>
      <c r="V663" s="271" t="str">
        <f>IFERROR(__xludf.DUMMYFUNCTION("""COMPUTED_VALUE"""),"offline")</f>
        <v>offline</v>
      </c>
      <c r="W663" s="272" t="str">
        <f>IFERROR(__xludf.DUMMYFUNCTION("""COMPUTED_VALUE"""),"SMS")</f>
        <v>SMS</v>
      </c>
      <c r="X663" s="272" t="str">
        <f>IFERROR(__xludf.DUMMYFUNCTION("""COMPUTED_VALUE"""),"City Specific")</f>
        <v>City Specific</v>
      </c>
      <c r="Y663" s="272" t="str">
        <f>IFERROR(__xludf.DUMMYFUNCTION("""COMPUTED_VALUE"""),"22 May")</f>
        <v>22 May</v>
      </c>
      <c r="Z663" s="272" t="str">
        <f>IFERROR(__xludf.DUMMYFUNCTION("""COMPUTED_VALUE"""),"6a0ec7a05fd1fe67514fa84e")</f>
        <v>6a0ec7a05fd1fe67514fa84e</v>
      </c>
      <c r="AA663" s="272">
        <f>IFERROR(__xludf.DUMMYFUNCTION("""COMPUTED_VALUE"""),8.0)</f>
        <v>8</v>
      </c>
      <c r="AB663" s="272"/>
      <c r="AC663" s="272">
        <f>IFERROR(__xludf.DUMMYFUNCTION("""COMPUTED_VALUE"""),8.0)</f>
        <v>8</v>
      </c>
      <c r="AD663" s="272">
        <f>IFERROR(__xludf.DUMMYFUNCTION("""COMPUTED_VALUE"""),29483.0)</f>
        <v>29483</v>
      </c>
      <c r="AE663" s="272"/>
      <c r="AF663" s="272">
        <f>IFERROR(__xludf.DUMMYFUNCTION("""COMPUTED_VALUE"""),29483.0)</f>
        <v>29483</v>
      </c>
      <c r="AG663" s="208"/>
      <c r="AH663" s="208"/>
      <c r="AI663" s="208"/>
      <c r="AJ663" s="208"/>
      <c r="AK663" s="208"/>
    </row>
    <row r="664" hidden="1">
      <c r="A664" s="209">
        <f>IFERROR(__xludf.DUMMYFUNCTION("""COMPUTED_VALUE"""),46164.0)</f>
        <v>46164</v>
      </c>
      <c r="B664" s="210">
        <f>IFERROR(__xludf.DUMMYFUNCTION("""COMPUTED_VALUE"""),0.5)</f>
        <v>0.5</v>
      </c>
      <c r="C664" s="211" t="str">
        <f>IFERROR(__xludf.DUMMYFUNCTION("""COMPUTED_VALUE"""),"Sms")</f>
        <v>Sms</v>
      </c>
      <c r="D664" s="211" t="str">
        <f>IFERROR(__xludf.DUMMYFUNCTION("""COMPUTED_VALUE"""),"Fallback campaign")</f>
        <v>Fallback campaign</v>
      </c>
      <c r="E664" s="211" t="str">
        <f>IFERROR(__xludf.DUMMYFUNCTION("""COMPUTED_VALUE"""),"BBW")</f>
        <v>BBW</v>
      </c>
      <c r="F664" s="211" t="str">
        <f>IFERROR(__xludf.DUMMYFUNCTION("""COMPUTED_VALUE"""),"B2G2 - Entire Store")</f>
        <v>B2G2 - Entire Store</v>
      </c>
      <c r="G664" s="212" t="str">
        <f>IFERROR(__xludf.DUMMYFUNCTION("""COMPUTED_VALUE"""),"bbw_smsfb_b2g2_closer_launch_22may_active_bom_offline")</f>
        <v>bbw_smsfb_b2g2_closer_launch_22may_active_bom_offline</v>
      </c>
      <c r="H664" s="212" t="str">
        <f>IFERROR(__xludf.DUMMYFUNCTION("""COMPUTED_VALUE"""),"BBW_OFF_BOM_Active")</f>
        <v>BBW_OFF_BOM_Active</v>
      </c>
      <c r="I664" s="212" t="str">
        <f>IFERROR(__xludf.DUMMYFUNCTION("""COMPUTED_VALUE"""),"WA Undelivered")</f>
        <v>WA Undelivered</v>
      </c>
      <c r="J664" s="213">
        <f>IFERROR(__xludf.DUMMYFUNCTION("""COMPUTED_VALUE"""),4439.0)</f>
        <v>4439</v>
      </c>
      <c r="K664" s="213">
        <f>IFERROR(__xludf.DUMMYFUNCTION("""COMPUTED_VALUE"""),2377.0)</f>
        <v>2377</v>
      </c>
      <c r="L664" s="214">
        <f>IFERROR(__xludf.DUMMYFUNCTION("""COMPUTED_VALUE"""),0.5355)</f>
        <v>0.5355</v>
      </c>
      <c r="M664" s="213">
        <f>IFERROR(__xludf.DUMMYFUNCTION("""COMPUTED_VALUE"""),0.0)</f>
        <v>0</v>
      </c>
      <c r="N664" s="214">
        <f>IFERROR(__xludf.DUMMYFUNCTION("""COMPUTED_VALUE"""),0.0)</f>
        <v>0</v>
      </c>
      <c r="O664" s="213">
        <f>IFERROR(__xludf.DUMMYFUNCTION("""COMPUTED_VALUE"""),7.0)</f>
        <v>7</v>
      </c>
      <c r="P664" s="213">
        <f>IFERROR(__xludf.DUMMYFUNCTION("""COMPUTED_VALUE"""),0.0)</f>
        <v>0</v>
      </c>
      <c r="Q664" s="214">
        <f>IFERROR(__xludf.DUMMYFUNCTION("""COMPUTED_VALUE"""),0.0029)</f>
        <v>0.0029</v>
      </c>
      <c r="R664" s="214">
        <f>IFERROR(__xludf.DUMMYFUNCTION("""COMPUTED_VALUE"""),0.0)</f>
        <v>0</v>
      </c>
      <c r="S664" s="101">
        <f>IFERROR(__xludf.DUMMYFUNCTION("""COMPUTED_VALUE"""),0.0)</f>
        <v>0</v>
      </c>
      <c r="T664" s="101">
        <f>IFERROR(__xludf.DUMMYFUNCTION("""COMPUTED_VALUE"""),0.0)</f>
        <v>0</v>
      </c>
      <c r="U664" s="270">
        <f>IFERROR(__xludf.DUMMYFUNCTION("""COMPUTED_VALUE"""),34301.0)</f>
        <v>34301</v>
      </c>
      <c r="V664" s="271" t="str">
        <f>IFERROR(__xludf.DUMMYFUNCTION("""COMPUTED_VALUE"""),"offline")</f>
        <v>offline</v>
      </c>
      <c r="W664" s="272" t="str">
        <f>IFERROR(__xludf.DUMMYFUNCTION("""COMPUTED_VALUE"""),"SMS")</f>
        <v>SMS</v>
      </c>
      <c r="X664" s="272" t="str">
        <f>IFERROR(__xludf.DUMMYFUNCTION("""COMPUTED_VALUE"""),"City Specific")</f>
        <v>City Specific</v>
      </c>
      <c r="Y664" s="272" t="str">
        <f>IFERROR(__xludf.DUMMYFUNCTION("""COMPUTED_VALUE"""),"22 May")</f>
        <v>22 May</v>
      </c>
      <c r="Z664" s="272" t="str">
        <f>IFERROR(__xludf.DUMMYFUNCTION("""COMPUTED_VALUE"""),"6a0ec87c116fe7ce28f01aa3")</f>
        <v>6a0ec87c116fe7ce28f01aa3</v>
      </c>
      <c r="AA664" s="272">
        <f>IFERROR(__xludf.DUMMYFUNCTION("""COMPUTED_VALUE"""),2.0)</f>
        <v>2</v>
      </c>
      <c r="AB664" s="272"/>
      <c r="AC664" s="272">
        <f>IFERROR(__xludf.DUMMYFUNCTION("""COMPUTED_VALUE"""),2.0)</f>
        <v>2</v>
      </c>
      <c r="AD664" s="272">
        <f>IFERROR(__xludf.DUMMYFUNCTION("""COMPUTED_VALUE"""),9596.0)</f>
        <v>9596</v>
      </c>
      <c r="AE664" s="272"/>
      <c r="AF664" s="272">
        <f>IFERROR(__xludf.DUMMYFUNCTION("""COMPUTED_VALUE"""),9596.0)</f>
        <v>9596</v>
      </c>
      <c r="AG664" s="208"/>
      <c r="AH664" s="208"/>
      <c r="AI664" s="208"/>
      <c r="AJ664" s="208"/>
      <c r="AK664" s="208"/>
    </row>
    <row r="665" hidden="1">
      <c r="A665" s="209">
        <f>IFERROR(__xludf.DUMMYFUNCTION("""COMPUTED_VALUE"""),46164.0)</f>
        <v>46164</v>
      </c>
      <c r="B665" s="210">
        <f>IFERROR(__xludf.DUMMYFUNCTION("""COMPUTED_VALUE"""),0.5)</f>
        <v>0.5</v>
      </c>
      <c r="C665" s="211" t="str">
        <f>IFERROR(__xludf.DUMMYFUNCTION("""COMPUTED_VALUE"""),"Sms")</f>
        <v>Sms</v>
      </c>
      <c r="D665" s="211" t="str">
        <f>IFERROR(__xludf.DUMMYFUNCTION("""COMPUTED_VALUE"""),"Fallback campaign")</f>
        <v>Fallback campaign</v>
      </c>
      <c r="E665" s="211" t="str">
        <f>IFERROR(__xludf.DUMMYFUNCTION("""COMPUTED_VALUE"""),"BBW")</f>
        <v>BBW</v>
      </c>
      <c r="F665" s="211" t="str">
        <f>IFERROR(__xludf.DUMMYFUNCTION("""COMPUTED_VALUE"""),"B2G2 - Entire Store")</f>
        <v>B2G2 - Entire Store</v>
      </c>
      <c r="G665" s="212" t="str">
        <f>IFERROR(__xludf.DUMMYFUNCTION("""COMPUTED_VALUE"""),"bbw_smsfb_b2g2_closer_launch_22may_active_ahd_offline")</f>
        <v>bbw_smsfb_b2g2_closer_launch_22may_active_ahd_offline</v>
      </c>
      <c r="H665" s="212" t="str">
        <f>IFERROR(__xludf.DUMMYFUNCTION("""COMPUTED_VALUE"""),"BBW_OFF_AHD_Active")</f>
        <v>BBW_OFF_AHD_Active</v>
      </c>
      <c r="I665" s="212" t="str">
        <f>IFERROR(__xludf.DUMMYFUNCTION("""COMPUTED_VALUE"""),"WA Undelivered")</f>
        <v>WA Undelivered</v>
      </c>
      <c r="J665" s="213">
        <f>IFERROR(__xludf.DUMMYFUNCTION("""COMPUTED_VALUE"""),2353.0)</f>
        <v>2353</v>
      </c>
      <c r="K665" s="213">
        <f>IFERROR(__xludf.DUMMYFUNCTION("""COMPUTED_VALUE"""),1347.0)</f>
        <v>1347</v>
      </c>
      <c r="L665" s="214">
        <f>IFERROR(__xludf.DUMMYFUNCTION("""COMPUTED_VALUE"""),0.5725)</f>
        <v>0.5725</v>
      </c>
      <c r="M665" s="213">
        <f>IFERROR(__xludf.DUMMYFUNCTION("""COMPUTED_VALUE"""),0.0)</f>
        <v>0</v>
      </c>
      <c r="N665" s="214">
        <f>IFERROR(__xludf.DUMMYFUNCTION("""COMPUTED_VALUE"""),0.0)</f>
        <v>0</v>
      </c>
      <c r="O665" s="213">
        <f>IFERROR(__xludf.DUMMYFUNCTION("""COMPUTED_VALUE"""),1.0)</f>
        <v>1</v>
      </c>
      <c r="P665" s="213">
        <f>IFERROR(__xludf.DUMMYFUNCTION("""COMPUTED_VALUE"""),0.0)</f>
        <v>0</v>
      </c>
      <c r="Q665" s="214">
        <f>IFERROR(__xludf.DUMMYFUNCTION("""COMPUTED_VALUE"""),7.0E-4)</f>
        <v>0.0007</v>
      </c>
      <c r="R665" s="214">
        <f>IFERROR(__xludf.DUMMYFUNCTION("""COMPUTED_VALUE"""),0.0)</f>
        <v>0</v>
      </c>
      <c r="S665" s="101">
        <f>IFERROR(__xludf.DUMMYFUNCTION("""COMPUTED_VALUE"""),0.0)</f>
        <v>0</v>
      </c>
      <c r="T665" s="101">
        <f>IFERROR(__xludf.DUMMYFUNCTION("""COMPUTED_VALUE"""),0.0)</f>
        <v>0</v>
      </c>
      <c r="U665" s="270">
        <f>IFERROR(__xludf.DUMMYFUNCTION("""COMPUTED_VALUE"""),22190.0)</f>
        <v>22190</v>
      </c>
      <c r="V665" s="271" t="str">
        <f>IFERROR(__xludf.DUMMYFUNCTION("""COMPUTED_VALUE"""),"offline")</f>
        <v>offline</v>
      </c>
      <c r="W665" s="272" t="str">
        <f>IFERROR(__xludf.DUMMYFUNCTION("""COMPUTED_VALUE"""),"SMS")</f>
        <v>SMS</v>
      </c>
      <c r="X665" s="272" t="str">
        <f>IFERROR(__xludf.DUMMYFUNCTION("""COMPUTED_VALUE"""),"City Specific")</f>
        <v>City Specific</v>
      </c>
      <c r="Y665" s="272" t="str">
        <f>IFERROR(__xludf.DUMMYFUNCTION("""COMPUTED_VALUE"""),"22 May")</f>
        <v>22 May</v>
      </c>
      <c r="Z665" s="272" t="str">
        <f>IFERROR(__xludf.DUMMYFUNCTION("""COMPUTED_VALUE"""),"6a0ecac839197e9b4c62e34a")</f>
        <v>6a0ecac839197e9b4c62e34a</v>
      </c>
      <c r="AA665" s="272">
        <f>IFERROR(__xludf.DUMMYFUNCTION("""COMPUTED_VALUE"""),1.0)</f>
        <v>1</v>
      </c>
      <c r="AB665" s="272"/>
      <c r="AC665" s="272">
        <f>IFERROR(__xludf.DUMMYFUNCTION("""COMPUTED_VALUE"""),1.0)</f>
        <v>1</v>
      </c>
      <c r="AD665" s="272">
        <f>IFERROR(__xludf.DUMMYFUNCTION("""COMPUTED_VALUE"""),5098.0)</f>
        <v>5098</v>
      </c>
      <c r="AE665" s="272"/>
      <c r="AF665" s="272">
        <f>IFERROR(__xludf.DUMMYFUNCTION("""COMPUTED_VALUE"""),5098.0)</f>
        <v>5098</v>
      </c>
      <c r="AG665" s="208"/>
      <c r="AH665" s="208"/>
      <c r="AI665" s="208"/>
      <c r="AJ665" s="208"/>
      <c r="AK665" s="208"/>
    </row>
    <row r="666" hidden="1">
      <c r="A666" s="209">
        <f>IFERROR(__xludf.DUMMYFUNCTION("""COMPUTED_VALUE"""),46164.0)</f>
        <v>46164</v>
      </c>
      <c r="B666" s="210">
        <f>IFERROR(__xludf.DUMMYFUNCTION("""COMPUTED_VALUE"""),0.5)</f>
        <v>0.5</v>
      </c>
      <c r="C666" s="211" t="str">
        <f>IFERROR(__xludf.DUMMYFUNCTION("""COMPUTED_VALUE"""),"Sms")</f>
        <v>Sms</v>
      </c>
      <c r="D666" s="211" t="str">
        <f>IFERROR(__xludf.DUMMYFUNCTION("""COMPUTED_VALUE"""),"Fallback campaign")</f>
        <v>Fallback campaign</v>
      </c>
      <c r="E666" s="211" t="str">
        <f>IFERROR(__xludf.DUMMYFUNCTION("""COMPUTED_VALUE"""),"BBW")</f>
        <v>BBW</v>
      </c>
      <c r="F666" s="211" t="str">
        <f>IFERROR(__xludf.DUMMYFUNCTION("""COMPUTED_VALUE"""),"B2G2 - Entire Store")</f>
        <v>B2G2 - Entire Store</v>
      </c>
      <c r="G666" s="212" t="str">
        <f>IFERROR(__xludf.DUMMYFUNCTION("""COMPUTED_VALUE"""),"bbw_smsfb_b2g2_closer_launch_22may_active_pune_offline")</f>
        <v>bbw_smsfb_b2g2_closer_launch_22may_active_pune_offline</v>
      </c>
      <c r="H666" s="212" t="str">
        <f>IFERROR(__xludf.DUMMYFUNCTION("""COMPUTED_VALUE"""),"BBW_OFF_PUNE_Active")</f>
        <v>BBW_OFF_PUNE_Active</v>
      </c>
      <c r="I666" s="212" t="str">
        <f>IFERROR(__xludf.DUMMYFUNCTION("""COMPUTED_VALUE"""),"WA Undelivered")</f>
        <v>WA Undelivered</v>
      </c>
      <c r="J666" s="213">
        <f>IFERROR(__xludf.DUMMYFUNCTION("""COMPUTED_VALUE"""),927.0)</f>
        <v>927</v>
      </c>
      <c r="K666" s="213">
        <f>IFERROR(__xludf.DUMMYFUNCTION("""COMPUTED_VALUE"""),519.0)</f>
        <v>519</v>
      </c>
      <c r="L666" s="214">
        <f>IFERROR(__xludf.DUMMYFUNCTION("""COMPUTED_VALUE"""),0.5599)</f>
        <v>0.5599</v>
      </c>
      <c r="M666" s="213">
        <f>IFERROR(__xludf.DUMMYFUNCTION("""COMPUTED_VALUE"""),0.0)</f>
        <v>0</v>
      </c>
      <c r="N666" s="214">
        <f>IFERROR(__xludf.DUMMYFUNCTION("""COMPUTED_VALUE"""),0.0)</f>
        <v>0</v>
      </c>
      <c r="O666" s="213">
        <f>IFERROR(__xludf.DUMMYFUNCTION("""COMPUTED_VALUE"""),2.0)</f>
        <v>2</v>
      </c>
      <c r="P666" s="213">
        <f>IFERROR(__xludf.DUMMYFUNCTION("""COMPUTED_VALUE"""),0.0)</f>
        <v>0</v>
      </c>
      <c r="Q666" s="214">
        <f>IFERROR(__xludf.DUMMYFUNCTION("""COMPUTED_VALUE"""),0.0039)</f>
        <v>0.0039</v>
      </c>
      <c r="R666" s="214">
        <f>IFERROR(__xludf.DUMMYFUNCTION("""COMPUTED_VALUE"""),0.0)</f>
        <v>0</v>
      </c>
      <c r="S666" s="101">
        <f>IFERROR(__xludf.DUMMYFUNCTION("""COMPUTED_VALUE"""),0.0)</f>
        <v>0</v>
      </c>
      <c r="T666" s="101">
        <f>IFERROR(__xludf.DUMMYFUNCTION("""COMPUTED_VALUE"""),0.0)</f>
        <v>0</v>
      </c>
      <c r="U666" s="270">
        <f>IFERROR(__xludf.DUMMYFUNCTION("""COMPUTED_VALUE"""),33285.0)</f>
        <v>33285</v>
      </c>
      <c r="V666" s="271" t="str">
        <f>IFERROR(__xludf.DUMMYFUNCTION("""COMPUTED_VALUE"""),"offline")</f>
        <v>offline</v>
      </c>
      <c r="W666" s="272" t="str">
        <f>IFERROR(__xludf.DUMMYFUNCTION("""COMPUTED_VALUE"""),"SMS")</f>
        <v>SMS</v>
      </c>
      <c r="X666" s="272" t="str">
        <f>IFERROR(__xludf.DUMMYFUNCTION("""COMPUTED_VALUE"""),"City Specific")</f>
        <v>City Specific</v>
      </c>
      <c r="Y666" s="272" t="str">
        <f>IFERROR(__xludf.DUMMYFUNCTION("""COMPUTED_VALUE"""),"22 May")</f>
        <v>22 May</v>
      </c>
      <c r="Z666" s="272" t="str">
        <f>IFERROR(__xludf.DUMMYFUNCTION("""COMPUTED_VALUE"""),"6a0ecb6c34ad3f95150e935e")</f>
        <v>6a0ecb6c34ad3f95150e935e</v>
      </c>
      <c r="AA666" s="272">
        <f>IFERROR(__xludf.DUMMYFUNCTION("""COMPUTED_VALUE"""),0.0)</f>
        <v>0</v>
      </c>
      <c r="AB666" s="272"/>
      <c r="AC666" s="272">
        <f>IFERROR(__xludf.DUMMYFUNCTION("""COMPUTED_VALUE"""),0.0)</f>
        <v>0</v>
      </c>
      <c r="AD666" s="272">
        <f>IFERROR(__xludf.DUMMYFUNCTION("""COMPUTED_VALUE"""),0.0)</f>
        <v>0</v>
      </c>
      <c r="AE666" s="272"/>
      <c r="AF666" s="272">
        <f>IFERROR(__xludf.DUMMYFUNCTION("""COMPUTED_VALUE"""),0.0)</f>
        <v>0</v>
      </c>
      <c r="AG666" s="208"/>
      <c r="AH666" s="208"/>
      <c r="AI666" s="208"/>
      <c r="AJ666" s="208"/>
      <c r="AK666" s="208"/>
    </row>
    <row r="667" hidden="1">
      <c r="A667" s="209">
        <f>IFERROR(__xludf.DUMMYFUNCTION("""COMPUTED_VALUE"""),46164.0)</f>
        <v>46164</v>
      </c>
      <c r="B667" s="210">
        <f>IFERROR(__xludf.DUMMYFUNCTION("""COMPUTED_VALUE"""),0.5)</f>
        <v>0.5</v>
      </c>
      <c r="C667" s="211" t="str">
        <f>IFERROR(__xludf.DUMMYFUNCTION("""COMPUTED_VALUE"""),"Sms")</f>
        <v>Sms</v>
      </c>
      <c r="D667" s="211" t="str">
        <f>IFERROR(__xludf.DUMMYFUNCTION("""COMPUTED_VALUE"""),"Fallback campaign")</f>
        <v>Fallback campaign</v>
      </c>
      <c r="E667" s="211" t="str">
        <f>IFERROR(__xludf.DUMMYFUNCTION("""COMPUTED_VALUE"""),"BBW")</f>
        <v>BBW</v>
      </c>
      <c r="F667" s="211" t="str">
        <f>IFERROR(__xludf.DUMMYFUNCTION("""COMPUTED_VALUE"""),"B2G2 - Entire Store")</f>
        <v>B2G2 - Entire Store</v>
      </c>
      <c r="G667" s="212" t="str">
        <f>IFERROR(__xludf.DUMMYFUNCTION("""COMPUTED_VALUE"""),"bbw_smsfb_b2g2_closer_launch_22may_dormant_blr_offline")</f>
        <v>bbw_smsfb_b2g2_closer_launch_22may_dormant_blr_offline</v>
      </c>
      <c r="H667" s="212" t="str">
        <f>IFERROR(__xludf.DUMMYFUNCTION("""COMPUTED_VALUE"""),"BBW_OFF_BLR_Dorm")</f>
        <v>BBW_OFF_BLR_Dorm</v>
      </c>
      <c r="I667" s="212" t="str">
        <f>IFERROR(__xludf.DUMMYFUNCTION("""COMPUTED_VALUE"""),"WA Undelivered")</f>
        <v>WA Undelivered</v>
      </c>
      <c r="J667" s="213">
        <f>IFERROR(__xludf.DUMMYFUNCTION("""COMPUTED_VALUE"""),26123.0)</f>
        <v>26123</v>
      </c>
      <c r="K667" s="213">
        <f>IFERROR(__xludf.DUMMYFUNCTION("""COMPUTED_VALUE"""),14666.0)</f>
        <v>14666</v>
      </c>
      <c r="L667" s="214">
        <f>IFERROR(__xludf.DUMMYFUNCTION("""COMPUTED_VALUE"""),0.5614)</f>
        <v>0.5614</v>
      </c>
      <c r="M667" s="213">
        <f>IFERROR(__xludf.DUMMYFUNCTION("""COMPUTED_VALUE"""),0.0)</f>
        <v>0</v>
      </c>
      <c r="N667" s="214">
        <f>IFERROR(__xludf.DUMMYFUNCTION("""COMPUTED_VALUE"""),0.0)</f>
        <v>0</v>
      </c>
      <c r="O667" s="213">
        <f>IFERROR(__xludf.DUMMYFUNCTION("""COMPUTED_VALUE"""),15.0)</f>
        <v>15</v>
      </c>
      <c r="P667" s="213">
        <f>IFERROR(__xludf.DUMMYFUNCTION("""COMPUTED_VALUE"""),0.0)</f>
        <v>0</v>
      </c>
      <c r="Q667" s="214">
        <f>IFERROR(__xludf.DUMMYFUNCTION("""COMPUTED_VALUE"""),0.001)</f>
        <v>0.001</v>
      </c>
      <c r="R667" s="214">
        <f>IFERROR(__xludf.DUMMYFUNCTION("""COMPUTED_VALUE"""),0.0)</f>
        <v>0</v>
      </c>
      <c r="S667" s="101">
        <f>IFERROR(__xludf.DUMMYFUNCTION("""COMPUTED_VALUE"""),0.0)</f>
        <v>0</v>
      </c>
      <c r="T667" s="101">
        <f>IFERROR(__xludf.DUMMYFUNCTION("""COMPUTED_VALUE"""),0.0)</f>
        <v>0</v>
      </c>
      <c r="U667" s="270">
        <f>IFERROR(__xludf.DUMMYFUNCTION("""COMPUTED_VALUE"""),0.0)</f>
        <v>0</v>
      </c>
      <c r="V667" s="271" t="str">
        <f>IFERROR(__xludf.DUMMYFUNCTION("""COMPUTED_VALUE"""),"offline")</f>
        <v>offline</v>
      </c>
      <c r="W667" s="272" t="str">
        <f>IFERROR(__xludf.DUMMYFUNCTION("""COMPUTED_VALUE"""),"SMS")</f>
        <v>SMS</v>
      </c>
      <c r="X667" s="272" t="str">
        <f>IFERROR(__xludf.DUMMYFUNCTION("""COMPUTED_VALUE"""),"City Specific")</f>
        <v>City Specific</v>
      </c>
      <c r="Y667" s="272" t="str">
        <f>IFERROR(__xludf.DUMMYFUNCTION("""COMPUTED_VALUE"""),"22 May")</f>
        <v>22 May</v>
      </c>
      <c r="Z667" s="272" t="str">
        <f>IFERROR(__xludf.DUMMYFUNCTION("""COMPUTED_VALUE"""),"6a0ecbb5312fd81bdb1ad951")</f>
        <v>6a0ecbb5312fd81bdb1ad951</v>
      </c>
      <c r="AA667" s="272">
        <f>IFERROR(__xludf.DUMMYFUNCTION("""COMPUTED_VALUE"""),6.0)</f>
        <v>6</v>
      </c>
      <c r="AB667" s="272"/>
      <c r="AC667" s="272">
        <f>IFERROR(__xludf.DUMMYFUNCTION("""COMPUTED_VALUE"""),6.0)</f>
        <v>6</v>
      </c>
      <c r="AD667" s="272">
        <f>IFERROR(__xludf.DUMMYFUNCTION("""COMPUTED_VALUE"""),40481.0)</f>
        <v>40481</v>
      </c>
      <c r="AE667" s="272"/>
      <c r="AF667" s="272">
        <f>IFERROR(__xludf.DUMMYFUNCTION("""COMPUTED_VALUE"""),40481.0)</f>
        <v>40481</v>
      </c>
      <c r="AG667" s="208"/>
      <c r="AH667" s="208"/>
      <c r="AI667" s="208"/>
      <c r="AJ667" s="208"/>
      <c r="AK667" s="208"/>
    </row>
    <row r="668" hidden="1">
      <c r="A668" s="209">
        <f>IFERROR(__xludf.DUMMYFUNCTION("""COMPUTED_VALUE"""),46164.0)</f>
        <v>46164</v>
      </c>
      <c r="B668" s="210">
        <f>IFERROR(__xludf.DUMMYFUNCTION("""COMPUTED_VALUE"""),0.5)</f>
        <v>0.5</v>
      </c>
      <c r="C668" s="211" t="str">
        <f>IFERROR(__xludf.DUMMYFUNCTION("""COMPUTED_VALUE"""),"Sms")</f>
        <v>Sms</v>
      </c>
      <c r="D668" s="211" t="str">
        <f>IFERROR(__xludf.DUMMYFUNCTION("""COMPUTED_VALUE"""),"Fallback campaign")</f>
        <v>Fallback campaign</v>
      </c>
      <c r="E668" s="211" t="str">
        <f>IFERROR(__xludf.DUMMYFUNCTION("""COMPUTED_VALUE"""),"BBW")</f>
        <v>BBW</v>
      </c>
      <c r="F668" s="211" t="str">
        <f>IFERROR(__xludf.DUMMYFUNCTION("""COMPUTED_VALUE"""),"B2G2 - Entire Store")</f>
        <v>B2G2 - Entire Store</v>
      </c>
      <c r="G668" s="212" t="str">
        <f>IFERROR(__xludf.DUMMYFUNCTION("""COMPUTED_VALUE"""),"bbw_smsfb_b2g2_closer_launch_22may_dormant_bom_offline")</f>
        <v>bbw_smsfb_b2g2_closer_launch_22may_dormant_bom_offline</v>
      </c>
      <c r="H668" s="212" t="str">
        <f>IFERROR(__xludf.DUMMYFUNCTION("""COMPUTED_VALUE"""),"BBW_OFF_BOM_Dorm")</f>
        <v>BBW_OFF_BOM_Dorm</v>
      </c>
      <c r="I668" s="212" t="str">
        <f>IFERROR(__xludf.DUMMYFUNCTION("""COMPUTED_VALUE"""),"WA Undelivered")</f>
        <v>WA Undelivered</v>
      </c>
      <c r="J668" s="213">
        <f>IFERROR(__xludf.DUMMYFUNCTION("""COMPUTED_VALUE"""),14658.0)</f>
        <v>14658</v>
      </c>
      <c r="K668" s="213">
        <f>IFERROR(__xludf.DUMMYFUNCTION("""COMPUTED_VALUE"""),7799.0)</f>
        <v>7799</v>
      </c>
      <c r="L668" s="214">
        <f>IFERROR(__xludf.DUMMYFUNCTION("""COMPUTED_VALUE"""),0.5321)</f>
        <v>0.5321</v>
      </c>
      <c r="M668" s="213">
        <f>IFERROR(__xludf.DUMMYFUNCTION("""COMPUTED_VALUE"""),0.0)</f>
        <v>0</v>
      </c>
      <c r="N668" s="214">
        <f>IFERROR(__xludf.DUMMYFUNCTION("""COMPUTED_VALUE"""),0.0)</f>
        <v>0</v>
      </c>
      <c r="O668" s="213">
        <f>IFERROR(__xludf.DUMMYFUNCTION("""COMPUTED_VALUE"""),12.0)</f>
        <v>12</v>
      </c>
      <c r="P668" s="213">
        <f>IFERROR(__xludf.DUMMYFUNCTION("""COMPUTED_VALUE"""),0.0)</f>
        <v>0</v>
      </c>
      <c r="Q668" s="214">
        <f>IFERROR(__xludf.DUMMYFUNCTION("""COMPUTED_VALUE"""),0.0015)</f>
        <v>0.0015</v>
      </c>
      <c r="R668" s="214">
        <f>IFERROR(__xludf.DUMMYFUNCTION("""COMPUTED_VALUE"""),0.0)</f>
        <v>0</v>
      </c>
      <c r="S668" s="101">
        <f>IFERROR(__xludf.DUMMYFUNCTION("""COMPUTED_VALUE"""),0.0)</f>
        <v>0</v>
      </c>
      <c r="T668" s="101">
        <f>IFERROR(__xludf.DUMMYFUNCTION("""COMPUTED_VALUE"""),0.0)</f>
        <v>0</v>
      </c>
      <c r="U668" s="270">
        <f>IFERROR(__xludf.DUMMYFUNCTION("""COMPUTED_VALUE"""),0.0)</f>
        <v>0</v>
      </c>
      <c r="V668" s="271" t="str">
        <f>IFERROR(__xludf.DUMMYFUNCTION("""COMPUTED_VALUE"""),"offline")</f>
        <v>offline</v>
      </c>
      <c r="W668" s="272" t="str">
        <f>IFERROR(__xludf.DUMMYFUNCTION("""COMPUTED_VALUE"""),"SMS")</f>
        <v>SMS</v>
      </c>
      <c r="X668" s="272" t="str">
        <f>IFERROR(__xludf.DUMMYFUNCTION("""COMPUTED_VALUE"""),"City Specific")</f>
        <v>City Specific</v>
      </c>
      <c r="Y668" s="272" t="str">
        <f>IFERROR(__xludf.DUMMYFUNCTION("""COMPUTED_VALUE"""),"22 May")</f>
        <v>22 May</v>
      </c>
      <c r="Z668" s="272" t="str">
        <f>IFERROR(__xludf.DUMMYFUNCTION("""COMPUTED_VALUE"""),"6a0ecc2ac664c32208e96b25")</f>
        <v>6a0ecc2ac664c32208e96b25</v>
      </c>
      <c r="AA668" s="272">
        <f>IFERROR(__xludf.DUMMYFUNCTION("""COMPUTED_VALUE"""),2.0)</f>
        <v>2</v>
      </c>
      <c r="AB668" s="272"/>
      <c r="AC668" s="272">
        <f>IFERROR(__xludf.DUMMYFUNCTION("""COMPUTED_VALUE"""),2.0)</f>
        <v>2</v>
      </c>
      <c r="AD668" s="272">
        <f>IFERROR(__xludf.DUMMYFUNCTION("""COMPUTED_VALUE"""),31590.0)</f>
        <v>31590</v>
      </c>
      <c r="AE668" s="272"/>
      <c r="AF668" s="272">
        <f>IFERROR(__xludf.DUMMYFUNCTION("""COMPUTED_VALUE"""),31590.0)</f>
        <v>31590</v>
      </c>
      <c r="AG668" s="208"/>
      <c r="AH668" s="208"/>
      <c r="AI668" s="208"/>
      <c r="AJ668" s="208"/>
      <c r="AK668" s="208"/>
    </row>
    <row r="669" hidden="1">
      <c r="A669" s="209">
        <f>IFERROR(__xludf.DUMMYFUNCTION("""COMPUTED_VALUE"""),46164.0)</f>
        <v>46164</v>
      </c>
      <c r="B669" s="210">
        <f>IFERROR(__xludf.DUMMYFUNCTION("""COMPUTED_VALUE"""),0.5)</f>
        <v>0.5</v>
      </c>
      <c r="C669" s="211" t="str">
        <f>IFERROR(__xludf.DUMMYFUNCTION("""COMPUTED_VALUE"""),"Sms")</f>
        <v>Sms</v>
      </c>
      <c r="D669" s="211" t="str">
        <f>IFERROR(__xludf.DUMMYFUNCTION("""COMPUTED_VALUE"""),"Fallback campaign")</f>
        <v>Fallback campaign</v>
      </c>
      <c r="E669" s="211" t="str">
        <f>IFERROR(__xludf.DUMMYFUNCTION("""COMPUTED_VALUE"""),"BBW")</f>
        <v>BBW</v>
      </c>
      <c r="F669" s="211" t="str">
        <f>IFERROR(__xludf.DUMMYFUNCTION("""COMPUTED_VALUE"""),"B2G2 - Entire Store")</f>
        <v>B2G2 - Entire Store</v>
      </c>
      <c r="G669" s="212" t="str">
        <f>IFERROR(__xludf.DUMMYFUNCTION("""COMPUTED_VALUE"""),"bbw_smsfb_b2g2_closer_launch_22may_dormant_ahd_offline")</f>
        <v>bbw_smsfb_b2g2_closer_launch_22may_dormant_ahd_offline</v>
      </c>
      <c r="H669" s="212" t="str">
        <f>IFERROR(__xludf.DUMMYFUNCTION("""COMPUTED_VALUE"""),"BBW_OFF_AHD_Dorm")</f>
        <v>BBW_OFF_AHD_Dorm</v>
      </c>
      <c r="I669" s="212" t="str">
        <f>IFERROR(__xludf.DUMMYFUNCTION("""COMPUTED_VALUE"""),"WA Undelivered")</f>
        <v>WA Undelivered</v>
      </c>
      <c r="J669" s="213">
        <f>IFERROR(__xludf.DUMMYFUNCTION("""COMPUTED_VALUE"""),6571.0)</f>
        <v>6571</v>
      </c>
      <c r="K669" s="213">
        <f>IFERROR(__xludf.DUMMYFUNCTION("""COMPUTED_VALUE"""),3643.0)</f>
        <v>3643</v>
      </c>
      <c r="L669" s="214">
        <f>IFERROR(__xludf.DUMMYFUNCTION("""COMPUTED_VALUE"""),0.5544)</f>
        <v>0.5544</v>
      </c>
      <c r="M669" s="213">
        <f>IFERROR(__xludf.DUMMYFUNCTION("""COMPUTED_VALUE"""),0.0)</f>
        <v>0</v>
      </c>
      <c r="N669" s="214">
        <f>IFERROR(__xludf.DUMMYFUNCTION("""COMPUTED_VALUE"""),0.0)</f>
        <v>0</v>
      </c>
      <c r="O669" s="213">
        <f>IFERROR(__xludf.DUMMYFUNCTION("""COMPUTED_VALUE"""),5.0)</f>
        <v>5</v>
      </c>
      <c r="P669" s="213">
        <f>IFERROR(__xludf.DUMMYFUNCTION("""COMPUTED_VALUE"""),0.0)</f>
        <v>0</v>
      </c>
      <c r="Q669" s="214">
        <f>IFERROR(__xludf.DUMMYFUNCTION("""COMPUTED_VALUE"""),0.0014)</f>
        <v>0.0014</v>
      </c>
      <c r="R669" s="214">
        <f>IFERROR(__xludf.DUMMYFUNCTION("""COMPUTED_VALUE"""),0.0)</f>
        <v>0</v>
      </c>
      <c r="S669" s="101">
        <f>IFERROR(__xludf.DUMMYFUNCTION("""COMPUTED_VALUE"""),0.0)</f>
        <v>0</v>
      </c>
      <c r="T669" s="101">
        <f>IFERROR(__xludf.DUMMYFUNCTION("""COMPUTED_VALUE"""),0.0)</f>
        <v>0</v>
      </c>
      <c r="U669" s="270">
        <f>IFERROR(__xludf.DUMMYFUNCTION("""COMPUTED_VALUE"""),0.0)</f>
        <v>0</v>
      </c>
      <c r="V669" s="271" t="str">
        <f>IFERROR(__xludf.DUMMYFUNCTION("""COMPUTED_VALUE"""),"offline")</f>
        <v>offline</v>
      </c>
      <c r="W669" s="272" t="str">
        <f>IFERROR(__xludf.DUMMYFUNCTION("""COMPUTED_VALUE"""),"SMS")</f>
        <v>SMS</v>
      </c>
      <c r="X669" s="272" t="str">
        <f>IFERROR(__xludf.DUMMYFUNCTION("""COMPUTED_VALUE"""),"City Specific")</f>
        <v>City Specific</v>
      </c>
      <c r="Y669" s="272" t="str">
        <f>IFERROR(__xludf.DUMMYFUNCTION("""COMPUTED_VALUE"""),"22 May")</f>
        <v>22 May</v>
      </c>
      <c r="Z669" s="272" t="str">
        <f>IFERROR(__xludf.DUMMYFUNCTION("""COMPUTED_VALUE"""),"6a0ecc781d9927f101518ecb")</f>
        <v>6a0ecc781d9927f101518ecb</v>
      </c>
      <c r="AA669" s="272">
        <f>IFERROR(__xludf.DUMMYFUNCTION("""COMPUTED_VALUE"""),5.0)</f>
        <v>5</v>
      </c>
      <c r="AB669" s="272"/>
      <c r="AC669" s="272">
        <f>IFERROR(__xludf.DUMMYFUNCTION("""COMPUTED_VALUE"""),5.0)</f>
        <v>5</v>
      </c>
      <c r="AD669" s="272">
        <f>IFERROR(__xludf.DUMMYFUNCTION("""COMPUTED_VALUE"""),25389.0)</f>
        <v>25389</v>
      </c>
      <c r="AE669" s="272"/>
      <c r="AF669" s="272">
        <f>IFERROR(__xludf.DUMMYFUNCTION("""COMPUTED_VALUE"""),25389.0)</f>
        <v>25389</v>
      </c>
      <c r="AG669" s="208"/>
      <c r="AH669" s="208"/>
      <c r="AI669" s="208"/>
      <c r="AJ669" s="208"/>
      <c r="AK669" s="208"/>
    </row>
    <row r="670" hidden="1">
      <c r="A670" s="209">
        <f>IFERROR(__xludf.DUMMYFUNCTION("""COMPUTED_VALUE"""),46164.0)</f>
        <v>46164</v>
      </c>
      <c r="B670" s="210">
        <f>IFERROR(__xludf.DUMMYFUNCTION("""COMPUTED_VALUE"""),0.5)</f>
        <v>0.5</v>
      </c>
      <c r="C670" s="211" t="str">
        <f>IFERROR(__xludf.DUMMYFUNCTION("""COMPUTED_VALUE"""),"Sms")</f>
        <v>Sms</v>
      </c>
      <c r="D670" s="211" t="str">
        <f>IFERROR(__xludf.DUMMYFUNCTION("""COMPUTED_VALUE"""),"Fallback campaign")</f>
        <v>Fallback campaign</v>
      </c>
      <c r="E670" s="211" t="str">
        <f>IFERROR(__xludf.DUMMYFUNCTION("""COMPUTED_VALUE"""),"BBW")</f>
        <v>BBW</v>
      </c>
      <c r="F670" s="211" t="str">
        <f>IFERROR(__xludf.DUMMYFUNCTION("""COMPUTED_VALUE"""),"B2G2 - Entire Store")</f>
        <v>B2G2 - Entire Store</v>
      </c>
      <c r="G670" s="212" t="str">
        <f>IFERROR(__xludf.DUMMYFUNCTION("""COMPUTED_VALUE"""),"bbw_smsfb_b2g2_closer_launch_22may_dormant_pune_offline")</f>
        <v>bbw_smsfb_b2g2_closer_launch_22may_dormant_pune_offline</v>
      </c>
      <c r="H670" s="212" t="str">
        <f>IFERROR(__xludf.DUMMYFUNCTION("""COMPUTED_VALUE"""),"BBW_OFF_PUNE_Dorm")</f>
        <v>BBW_OFF_PUNE_Dorm</v>
      </c>
      <c r="I670" s="212" t="str">
        <f>IFERROR(__xludf.DUMMYFUNCTION("""COMPUTED_VALUE"""),"WA Undelivered")</f>
        <v>WA Undelivered</v>
      </c>
      <c r="J670" s="213">
        <f>IFERROR(__xludf.DUMMYFUNCTION("""COMPUTED_VALUE"""),4318.0)</f>
        <v>4318</v>
      </c>
      <c r="K670" s="213">
        <f>IFERROR(__xludf.DUMMYFUNCTION("""COMPUTED_VALUE"""),2433.0)</f>
        <v>2433</v>
      </c>
      <c r="L670" s="214">
        <f>IFERROR(__xludf.DUMMYFUNCTION("""COMPUTED_VALUE"""),0.5635)</f>
        <v>0.5635</v>
      </c>
      <c r="M670" s="213">
        <f>IFERROR(__xludf.DUMMYFUNCTION("""COMPUTED_VALUE"""),0.0)</f>
        <v>0</v>
      </c>
      <c r="N670" s="214">
        <f>IFERROR(__xludf.DUMMYFUNCTION("""COMPUTED_VALUE"""),0.0)</f>
        <v>0</v>
      </c>
      <c r="O670" s="213">
        <f>IFERROR(__xludf.DUMMYFUNCTION("""COMPUTED_VALUE"""),1.0)</f>
        <v>1</v>
      </c>
      <c r="P670" s="213">
        <f>IFERROR(__xludf.DUMMYFUNCTION("""COMPUTED_VALUE"""),0.0)</f>
        <v>0</v>
      </c>
      <c r="Q670" s="214">
        <f>IFERROR(__xludf.DUMMYFUNCTION("""COMPUTED_VALUE"""),4.0E-4)</f>
        <v>0.0004</v>
      </c>
      <c r="R670" s="214">
        <f>IFERROR(__xludf.DUMMYFUNCTION("""COMPUTED_VALUE"""),0.0)</f>
        <v>0</v>
      </c>
      <c r="S670" s="101">
        <f>IFERROR(__xludf.DUMMYFUNCTION("""COMPUTED_VALUE"""),0.0)</f>
        <v>0</v>
      </c>
      <c r="T670" s="101">
        <f>IFERROR(__xludf.DUMMYFUNCTION("""COMPUTED_VALUE"""),0.0)</f>
        <v>0</v>
      </c>
      <c r="U670" s="270">
        <f>IFERROR(__xludf.DUMMYFUNCTION("""COMPUTED_VALUE"""),0.0)</f>
        <v>0</v>
      </c>
      <c r="V670" s="271" t="str">
        <f>IFERROR(__xludf.DUMMYFUNCTION("""COMPUTED_VALUE"""),"offline")</f>
        <v>offline</v>
      </c>
      <c r="W670" s="272" t="str">
        <f>IFERROR(__xludf.DUMMYFUNCTION("""COMPUTED_VALUE"""),"SMS")</f>
        <v>SMS</v>
      </c>
      <c r="X670" s="272" t="str">
        <f>IFERROR(__xludf.DUMMYFUNCTION("""COMPUTED_VALUE"""),"City Specific")</f>
        <v>City Specific</v>
      </c>
      <c r="Y670" s="272" t="str">
        <f>IFERROR(__xludf.DUMMYFUNCTION("""COMPUTED_VALUE"""),"22 May")</f>
        <v>22 May</v>
      </c>
      <c r="Z670" s="272" t="str">
        <f>IFERROR(__xludf.DUMMYFUNCTION("""COMPUTED_VALUE"""),"6a0ecd11010732353386c9dc")</f>
        <v>6a0ecd11010732353386c9dc</v>
      </c>
      <c r="AA670" s="272">
        <f>IFERROR(__xludf.DUMMYFUNCTION("""COMPUTED_VALUE"""),1.0)</f>
        <v>1</v>
      </c>
      <c r="AB670" s="272"/>
      <c r="AC670" s="272">
        <f>IFERROR(__xludf.DUMMYFUNCTION("""COMPUTED_VALUE"""),1.0)</f>
        <v>1</v>
      </c>
      <c r="AD670" s="272">
        <f>IFERROR(__xludf.DUMMYFUNCTION("""COMPUTED_VALUE"""),4196.0)</f>
        <v>4196</v>
      </c>
      <c r="AE670" s="272"/>
      <c r="AF670" s="272">
        <f>IFERROR(__xludf.DUMMYFUNCTION("""COMPUTED_VALUE"""),4196.0)</f>
        <v>4196</v>
      </c>
      <c r="AG670" s="208"/>
      <c r="AH670" s="208"/>
      <c r="AI670" s="208"/>
      <c r="AJ670" s="208"/>
      <c r="AK670" s="208"/>
    </row>
    <row r="671" hidden="1">
      <c r="A671" s="209">
        <f>IFERROR(__xludf.DUMMYFUNCTION("""COMPUTED_VALUE"""),46164.0)</f>
        <v>46164</v>
      </c>
      <c r="B671" s="210">
        <f>IFERROR(__xludf.DUMMYFUNCTION("""COMPUTED_VALUE"""),0.5)</f>
        <v>0.5</v>
      </c>
      <c r="C671" s="211" t="str">
        <f>IFERROR(__xludf.DUMMYFUNCTION("""COMPUTED_VALUE"""),"Sms")</f>
        <v>Sms</v>
      </c>
      <c r="D671" s="211" t="str">
        <f>IFERROR(__xludf.DUMMYFUNCTION("""COMPUTED_VALUE"""),"Fallback campaign")</f>
        <v>Fallback campaign</v>
      </c>
      <c r="E671" s="211" t="str">
        <f>IFERROR(__xludf.DUMMYFUNCTION("""COMPUTED_VALUE"""),"BBW")</f>
        <v>BBW</v>
      </c>
      <c r="F671" s="211" t="str">
        <f>IFERROR(__xludf.DUMMYFUNCTION("""COMPUTED_VALUE"""),"B2G2 - Entire Store")</f>
        <v>B2G2 - Entire Store</v>
      </c>
      <c r="G671" s="212" t="str">
        <f>IFERROR(__xludf.DUMMYFUNCTION("""COMPUTED_VALUE"""),"bbw_smsfb_b2g2_22may_active_del_offline")</f>
        <v>bbw_smsfb_b2g2_22may_active_del_offline</v>
      </c>
      <c r="H671" s="212" t="str">
        <f>IFERROR(__xludf.DUMMYFUNCTION("""COMPUTED_VALUE"""),"BBW_OFF_DEL_Active")</f>
        <v>BBW_OFF_DEL_Active</v>
      </c>
      <c r="I671" s="212" t="str">
        <f>IFERROR(__xludf.DUMMYFUNCTION("""COMPUTED_VALUE"""),"WA Undelivered")</f>
        <v>WA Undelivered</v>
      </c>
      <c r="J671" s="213">
        <f>IFERROR(__xludf.DUMMYFUNCTION("""COMPUTED_VALUE"""),8896.0)</f>
        <v>8896</v>
      </c>
      <c r="K671" s="213">
        <f>IFERROR(__xludf.DUMMYFUNCTION("""COMPUTED_VALUE"""),4837.0)</f>
        <v>4837</v>
      </c>
      <c r="L671" s="214">
        <f>IFERROR(__xludf.DUMMYFUNCTION("""COMPUTED_VALUE"""),0.5437)</f>
        <v>0.5437</v>
      </c>
      <c r="M671" s="213">
        <f>IFERROR(__xludf.DUMMYFUNCTION("""COMPUTED_VALUE"""),0.0)</f>
        <v>0</v>
      </c>
      <c r="N671" s="214">
        <f>IFERROR(__xludf.DUMMYFUNCTION("""COMPUTED_VALUE"""),0.0)</f>
        <v>0</v>
      </c>
      <c r="O671" s="213">
        <f>IFERROR(__xludf.DUMMYFUNCTION("""COMPUTED_VALUE"""),13.0)</f>
        <v>13</v>
      </c>
      <c r="P671" s="213">
        <f>IFERROR(__xludf.DUMMYFUNCTION("""COMPUTED_VALUE"""),0.0)</f>
        <v>0</v>
      </c>
      <c r="Q671" s="214">
        <f>IFERROR(__xludf.DUMMYFUNCTION("""COMPUTED_VALUE"""),0.0027)</f>
        <v>0.0027</v>
      </c>
      <c r="R671" s="214">
        <f>IFERROR(__xludf.DUMMYFUNCTION("""COMPUTED_VALUE"""),0.0)</f>
        <v>0</v>
      </c>
      <c r="S671" s="101">
        <f>IFERROR(__xludf.DUMMYFUNCTION("""COMPUTED_VALUE"""),0.0)</f>
        <v>0</v>
      </c>
      <c r="T671" s="101">
        <f>IFERROR(__xludf.DUMMYFUNCTION("""COMPUTED_VALUE"""),0.0)</f>
        <v>0</v>
      </c>
      <c r="U671" s="270">
        <f>IFERROR(__xludf.DUMMYFUNCTION("""COMPUTED_VALUE"""),0.0)</f>
        <v>0</v>
      </c>
      <c r="V671" s="271" t="str">
        <f>IFERROR(__xludf.DUMMYFUNCTION("""COMPUTED_VALUE"""),"offline")</f>
        <v>offline</v>
      </c>
      <c r="W671" s="272" t="str">
        <f>IFERROR(__xludf.DUMMYFUNCTION("""COMPUTED_VALUE"""),"SMS")</f>
        <v>SMS</v>
      </c>
      <c r="X671" s="272" t="str">
        <f>IFERROR(__xludf.DUMMYFUNCTION("""COMPUTED_VALUE"""),"City Specific")</f>
        <v>City Specific</v>
      </c>
      <c r="Y671" s="272" t="str">
        <f>IFERROR(__xludf.DUMMYFUNCTION("""COMPUTED_VALUE"""),"22 May")</f>
        <v>22 May</v>
      </c>
      <c r="Z671" s="272" t="str">
        <f>IFERROR(__xludf.DUMMYFUNCTION("""COMPUTED_VALUE"""),"6a0ecd59f21ef1e42b351df4")</f>
        <v>6a0ecd59f21ef1e42b351df4</v>
      </c>
      <c r="AA671" s="272">
        <f>IFERROR(__xludf.DUMMYFUNCTION("""COMPUTED_VALUE"""),5.0)</f>
        <v>5</v>
      </c>
      <c r="AB671" s="272"/>
      <c r="AC671" s="272">
        <f>IFERROR(__xludf.DUMMYFUNCTION("""COMPUTED_VALUE"""),5.0)</f>
        <v>5</v>
      </c>
      <c r="AD671" s="272">
        <f>IFERROR(__xludf.DUMMYFUNCTION("""COMPUTED_VALUE"""),22638.0)</f>
        <v>22638</v>
      </c>
      <c r="AE671" s="272"/>
      <c r="AF671" s="272">
        <f>IFERROR(__xludf.DUMMYFUNCTION("""COMPUTED_VALUE"""),22638.0)</f>
        <v>22638</v>
      </c>
      <c r="AG671" s="208"/>
      <c r="AH671" s="208"/>
      <c r="AI671" s="208"/>
      <c r="AJ671" s="208"/>
      <c r="AK671" s="208"/>
    </row>
    <row r="672" hidden="1">
      <c r="A672" s="209">
        <f>IFERROR(__xludf.DUMMYFUNCTION("""COMPUTED_VALUE"""),46164.0)</f>
        <v>46164</v>
      </c>
      <c r="B672" s="210">
        <f>IFERROR(__xludf.DUMMYFUNCTION("""COMPUTED_VALUE"""),0.5)</f>
        <v>0.5</v>
      </c>
      <c r="C672" s="211" t="str">
        <f>IFERROR(__xludf.DUMMYFUNCTION("""COMPUTED_VALUE"""),"Sms")</f>
        <v>Sms</v>
      </c>
      <c r="D672" s="211" t="str">
        <f>IFERROR(__xludf.DUMMYFUNCTION("""COMPUTED_VALUE"""),"Fallback campaign")</f>
        <v>Fallback campaign</v>
      </c>
      <c r="E672" s="211" t="str">
        <f>IFERROR(__xludf.DUMMYFUNCTION("""COMPUTED_VALUE"""),"BBW")</f>
        <v>BBW</v>
      </c>
      <c r="F672" s="211" t="str">
        <f>IFERROR(__xludf.DUMMYFUNCTION("""COMPUTED_VALUE"""),"B2G2 - Entire Store")</f>
        <v>B2G2 - Entire Store</v>
      </c>
      <c r="G672" s="212" t="str">
        <f>IFERROR(__xludf.DUMMYFUNCTION("""COMPUTED_VALUE"""),"bbw_smsfb_b2g2_22may_active_chenn_offline")</f>
        <v>bbw_smsfb_b2g2_22may_active_chenn_offline</v>
      </c>
      <c r="H672" s="212" t="str">
        <f>IFERROR(__xludf.DUMMYFUNCTION("""COMPUTED_VALUE"""),"BBW_OFF_Chennai_Active")</f>
        <v>BBW_OFF_Chennai_Active</v>
      </c>
      <c r="I672" s="212" t="str">
        <f>IFERROR(__xludf.DUMMYFUNCTION("""COMPUTED_VALUE"""),"WA Undelivered")</f>
        <v>WA Undelivered</v>
      </c>
      <c r="J672" s="213">
        <f>IFERROR(__xludf.DUMMYFUNCTION("""COMPUTED_VALUE"""),2781.0)</f>
        <v>2781</v>
      </c>
      <c r="K672" s="213">
        <f>IFERROR(__xludf.DUMMYFUNCTION("""COMPUTED_VALUE"""),1770.0)</f>
        <v>1770</v>
      </c>
      <c r="L672" s="214">
        <f>IFERROR(__xludf.DUMMYFUNCTION("""COMPUTED_VALUE"""),0.6365)</f>
        <v>0.6365</v>
      </c>
      <c r="M672" s="213">
        <f>IFERROR(__xludf.DUMMYFUNCTION("""COMPUTED_VALUE"""),0.0)</f>
        <v>0</v>
      </c>
      <c r="N672" s="214">
        <f>IFERROR(__xludf.DUMMYFUNCTION("""COMPUTED_VALUE"""),0.0)</f>
        <v>0</v>
      </c>
      <c r="O672" s="213">
        <f>IFERROR(__xludf.DUMMYFUNCTION("""COMPUTED_VALUE"""),1.0)</f>
        <v>1</v>
      </c>
      <c r="P672" s="213">
        <f>IFERROR(__xludf.DUMMYFUNCTION("""COMPUTED_VALUE"""),0.0)</f>
        <v>0</v>
      </c>
      <c r="Q672" s="214">
        <f>IFERROR(__xludf.DUMMYFUNCTION("""COMPUTED_VALUE"""),6.0E-4)</f>
        <v>0.0006</v>
      </c>
      <c r="R672" s="214">
        <f>IFERROR(__xludf.DUMMYFUNCTION("""COMPUTED_VALUE"""),0.0)</f>
        <v>0</v>
      </c>
      <c r="S672" s="101">
        <f>IFERROR(__xludf.DUMMYFUNCTION("""COMPUTED_VALUE"""),0.0)</f>
        <v>0</v>
      </c>
      <c r="T672" s="101">
        <f>IFERROR(__xludf.DUMMYFUNCTION("""COMPUTED_VALUE"""),0.0)</f>
        <v>0</v>
      </c>
      <c r="U672" s="270">
        <f>IFERROR(__xludf.DUMMYFUNCTION("""COMPUTED_VALUE"""),0.0)</f>
        <v>0</v>
      </c>
      <c r="V672" s="271" t="str">
        <f>IFERROR(__xludf.DUMMYFUNCTION("""COMPUTED_VALUE"""),"offline")</f>
        <v>offline</v>
      </c>
      <c r="W672" s="272" t="str">
        <f>IFERROR(__xludf.DUMMYFUNCTION("""COMPUTED_VALUE"""),"SMS")</f>
        <v>SMS</v>
      </c>
      <c r="X672" s="272" t="str">
        <f>IFERROR(__xludf.DUMMYFUNCTION("""COMPUTED_VALUE"""),"City Specific")</f>
        <v>City Specific</v>
      </c>
      <c r="Y672" s="272" t="str">
        <f>IFERROR(__xludf.DUMMYFUNCTION("""COMPUTED_VALUE"""),"22 May")</f>
        <v>22 May</v>
      </c>
      <c r="Z672" s="272" t="str">
        <f>IFERROR(__xludf.DUMMYFUNCTION("""COMPUTED_VALUE"""),"6a0ece0baf7c9fe29567fc5e")</f>
        <v>6a0ece0baf7c9fe29567fc5e</v>
      </c>
      <c r="AA672" s="272">
        <f>IFERROR(__xludf.DUMMYFUNCTION("""COMPUTED_VALUE"""),1.0)</f>
        <v>1</v>
      </c>
      <c r="AB672" s="272"/>
      <c r="AC672" s="272">
        <f>IFERROR(__xludf.DUMMYFUNCTION("""COMPUTED_VALUE"""),1.0)</f>
        <v>1</v>
      </c>
      <c r="AD672" s="272">
        <f>IFERROR(__xludf.DUMMYFUNCTION("""COMPUTED_VALUE"""),5098.0)</f>
        <v>5098</v>
      </c>
      <c r="AE672" s="272"/>
      <c r="AF672" s="272">
        <f>IFERROR(__xludf.DUMMYFUNCTION("""COMPUTED_VALUE"""),5098.0)</f>
        <v>5098</v>
      </c>
      <c r="AG672" s="208"/>
      <c r="AH672" s="208"/>
      <c r="AI672" s="208"/>
      <c r="AJ672" s="208"/>
      <c r="AK672" s="208"/>
    </row>
    <row r="673" hidden="1">
      <c r="A673" s="209">
        <f>IFERROR(__xludf.DUMMYFUNCTION("""COMPUTED_VALUE"""),46164.0)</f>
        <v>46164</v>
      </c>
      <c r="B673" s="210">
        <f>IFERROR(__xludf.DUMMYFUNCTION("""COMPUTED_VALUE"""),0.5)</f>
        <v>0.5</v>
      </c>
      <c r="C673" s="211" t="str">
        <f>IFERROR(__xludf.DUMMYFUNCTION("""COMPUTED_VALUE"""),"Sms")</f>
        <v>Sms</v>
      </c>
      <c r="D673" s="211" t="str">
        <f>IFERROR(__xludf.DUMMYFUNCTION("""COMPUTED_VALUE"""),"Fallback campaign")</f>
        <v>Fallback campaign</v>
      </c>
      <c r="E673" s="211" t="str">
        <f>IFERROR(__xludf.DUMMYFUNCTION("""COMPUTED_VALUE"""),"BBW")</f>
        <v>BBW</v>
      </c>
      <c r="F673" s="211" t="str">
        <f>IFERROR(__xludf.DUMMYFUNCTION("""COMPUTED_VALUE"""),"B2G2 - Entire Store")</f>
        <v>B2G2 - Entire Store</v>
      </c>
      <c r="G673" s="212" t="str">
        <f>IFERROR(__xludf.DUMMYFUNCTION("""COMPUTED_VALUE"""),"bbw_smsfb_b2g2_22may_active_hyd_offline")</f>
        <v>bbw_smsfb_b2g2_22may_active_hyd_offline</v>
      </c>
      <c r="H673" s="212" t="str">
        <f>IFERROR(__xludf.DUMMYFUNCTION("""COMPUTED_VALUE"""),"BBW_OFF_HYD_Active")</f>
        <v>BBW_OFF_HYD_Active</v>
      </c>
      <c r="I673" s="212" t="str">
        <f>IFERROR(__xludf.DUMMYFUNCTION("""COMPUTED_VALUE"""),"WA Undelivered")</f>
        <v>WA Undelivered</v>
      </c>
      <c r="J673" s="213">
        <f>IFERROR(__xludf.DUMMYFUNCTION("""COMPUTED_VALUE"""),3388.0)</f>
        <v>3388</v>
      </c>
      <c r="K673" s="213">
        <f>IFERROR(__xludf.DUMMYFUNCTION("""COMPUTED_VALUE"""),2161.0)</f>
        <v>2161</v>
      </c>
      <c r="L673" s="214">
        <f>IFERROR(__xludf.DUMMYFUNCTION("""COMPUTED_VALUE"""),0.6378)</f>
        <v>0.6378</v>
      </c>
      <c r="M673" s="213">
        <f>IFERROR(__xludf.DUMMYFUNCTION("""COMPUTED_VALUE"""),0.0)</f>
        <v>0</v>
      </c>
      <c r="N673" s="214">
        <f>IFERROR(__xludf.DUMMYFUNCTION("""COMPUTED_VALUE"""),0.0)</f>
        <v>0</v>
      </c>
      <c r="O673" s="213">
        <f>IFERROR(__xludf.DUMMYFUNCTION("""COMPUTED_VALUE"""),2.0)</f>
        <v>2</v>
      </c>
      <c r="P673" s="213">
        <f>IFERROR(__xludf.DUMMYFUNCTION("""COMPUTED_VALUE"""),0.0)</f>
        <v>0</v>
      </c>
      <c r="Q673" s="214">
        <f>IFERROR(__xludf.DUMMYFUNCTION("""COMPUTED_VALUE"""),9.0E-4)</f>
        <v>0.0009</v>
      </c>
      <c r="R673" s="214">
        <f>IFERROR(__xludf.DUMMYFUNCTION("""COMPUTED_VALUE"""),0.0)</f>
        <v>0</v>
      </c>
      <c r="S673" s="101">
        <f>IFERROR(__xludf.DUMMYFUNCTION("""COMPUTED_VALUE"""),0.0)</f>
        <v>0</v>
      </c>
      <c r="T673" s="101">
        <f>IFERROR(__xludf.DUMMYFUNCTION("""COMPUTED_VALUE"""),0.0)</f>
        <v>0</v>
      </c>
      <c r="U673" s="270">
        <f>IFERROR(__xludf.DUMMYFUNCTION("""COMPUTED_VALUE"""),0.0)</f>
        <v>0</v>
      </c>
      <c r="V673" s="271" t="str">
        <f>IFERROR(__xludf.DUMMYFUNCTION("""COMPUTED_VALUE"""),"offline")</f>
        <v>offline</v>
      </c>
      <c r="W673" s="272" t="str">
        <f>IFERROR(__xludf.DUMMYFUNCTION("""COMPUTED_VALUE"""),"SMS")</f>
        <v>SMS</v>
      </c>
      <c r="X673" s="272" t="str">
        <f>IFERROR(__xludf.DUMMYFUNCTION("""COMPUTED_VALUE"""),"City Specific")</f>
        <v>City Specific</v>
      </c>
      <c r="Y673" s="272" t="str">
        <f>IFERROR(__xludf.DUMMYFUNCTION("""COMPUTED_VALUE"""),"22 May")</f>
        <v>22 May</v>
      </c>
      <c r="Z673" s="272" t="str">
        <f>IFERROR(__xludf.DUMMYFUNCTION("""COMPUTED_VALUE"""),"6a0ece68577e8c659f0d908d")</f>
        <v>6a0ece68577e8c659f0d908d</v>
      </c>
      <c r="AA673" s="272">
        <f>IFERROR(__xludf.DUMMYFUNCTION("""COMPUTED_VALUE"""),1.0)</f>
        <v>1</v>
      </c>
      <c r="AB673" s="272"/>
      <c r="AC673" s="272">
        <f>IFERROR(__xludf.DUMMYFUNCTION("""COMPUTED_VALUE"""),1.0)</f>
        <v>1</v>
      </c>
      <c r="AD673" s="272">
        <f>IFERROR(__xludf.DUMMYFUNCTION("""COMPUTED_VALUE"""),4598.0)</f>
        <v>4598</v>
      </c>
      <c r="AE673" s="272"/>
      <c r="AF673" s="272">
        <f>IFERROR(__xludf.DUMMYFUNCTION("""COMPUTED_VALUE"""),4598.0)</f>
        <v>4598</v>
      </c>
      <c r="AG673" s="208"/>
      <c r="AH673" s="208"/>
      <c r="AI673" s="208"/>
      <c r="AJ673" s="208"/>
      <c r="AK673" s="208"/>
    </row>
    <row r="674" hidden="1">
      <c r="A674" s="209">
        <f>IFERROR(__xludf.DUMMYFUNCTION("""COMPUTED_VALUE"""),46164.0)</f>
        <v>46164</v>
      </c>
      <c r="B674" s="210">
        <f>IFERROR(__xludf.DUMMYFUNCTION("""COMPUTED_VALUE"""),0.5)</f>
        <v>0.5</v>
      </c>
      <c r="C674" s="211" t="str">
        <f>IFERROR(__xludf.DUMMYFUNCTION("""COMPUTED_VALUE"""),"Sms")</f>
        <v>Sms</v>
      </c>
      <c r="D674" s="211" t="str">
        <f>IFERROR(__xludf.DUMMYFUNCTION("""COMPUTED_VALUE"""),"Fallback campaign")</f>
        <v>Fallback campaign</v>
      </c>
      <c r="E674" s="211" t="str">
        <f>IFERROR(__xludf.DUMMYFUNCTION("""COMPUTED_VALUE"""),"BBW")</f>
        <v>BBW</v>
      </c>
      <c r="F674" s="211" t="str">
        <f>IFERROR(__xludf.DUMMYFUNCTION("""COMPUTED_VALUE"""),"B2G2 - Entire Store")</f>
        <v>B2G2 - Entire Store</v>
      </c>
      <c r="G674" s="212" t="str">
        <f>IFERROR(__xludf.DUMMYFUNCTION("""COMPUTED_VALUE"""),"bbw_smsfb_b2g2_22may_active_chd_offline")</f>
        <v>bbw_smsfb_b2g2_22may_active_chd_offline</v>
      </c>
      <c r="H674" s="212" t="str">
        <f>IFERROR(__xludf.DUMMYFUNCTION("""COMPUTED_VALUE"""),"BBW_OFF_CHD_Active")</f>
        <v>BBW_OFF_CHD_Active</v>
      </c>
      <c r="I674" s="212" t="str">
        <f>IFERROR(__xludf.DUMMYFUNCTION("""COMPUTED_VALUE"""),"WA Undelivered")</f>
        <v>WA Undelivered</v>
      </c>
      <c r="J674" s="213">
        <f>IFERROR(__xludf.DUMMYFUNCTION("""COMPUTED_VALUE"""),2814.0)</f>
        <v>2814</v>
      </c>
      <c r="K674" s="213">
        <f>IFERROR(__xludf.DUMMYFUNCTION("""COMPUTED_VALUE"""),1790.0)</f>
        <v>1790</v>
      </c>
      <c r="L674" s="214">
        <f>IFERROR(__xludf.DUMMYFUNCTION("""COMPUTED_VALUE"""),0.6361)</f>
        <v>0.6361</v>
      </c>
      <c r="M674" s="213">
        <f>IFERROR(__xludf.DUMMYFUNCTION("""COMPUTED_VALUE"""),0.0)</f>
        <v>0</v>
      </c>
      <c r="N674" s="214">
        <f>IFERROR(__xludf.DUMMYFUNCTION("""COMPUTED_VALUE"""),0.0)</f>
        <v>0</v>
      </c>
      <c r="O674" s="213">
        <f>IFERROR(__xludf.DUMMYFUNCTION("""COMPUTED_VALUE"""),4.0)</f>
        <v>4</v>
      </c>
      <c r="P674" s="213">
        <f>IFERROR(__xludf.DUMMYFUNCTION("""COMPUTED_VALUE"""),0.0)</f>
        <v>0</v>
      </c>
      <c r="Q674" s="214">
        <f>IFERROR(__xludf.DUMMYFUNCTION("""COMPUTED_VALUE"""),0.0022)</f>
        <v>0.0022</v>
      </c>
      <c r="R674" s="214">
        <f>IFERROR(__xludf.DUMMYFUNCTION("""COMPUTED_VALUE"""),0.0)</f>
        <v>0</v>
      </c>
      <c r="S674" s="101">
        <f>IFERROR(__xludf.DUMMYFUNCTION("""COMPUTED_VALUE"""),0.0)</f>
        <v>0</v>
      </c>
      <c r="T674" s="101">
        <f>IFERROR(__xludf.DUMMYFUNCTION("""COMPUTED_VALUE"""),0.0)</f>
        <v>0</v>
      </c>
      <c r="U674" s="270">
        <f>IFERROR(__xludf.DUMMYFUNCTION("""COMPUTED_VALUE"""),0.0)</f>
        <v>0</v>
      </c>
      <c r="V674" s="271" t="str">
        <f>IFERROR(__xludf.DUMMYFUNCTION("""COMPUTED_VALUE"""),"offline")</f>
        <v>offline</v>
      </c>
      <c r="W674" s="272" t="str">
        <f>IFERROR(__xludf.DUMMYFUNCTION("""COMPUTED_VALUE"""),"SMS")</f>
        <v>SMS</v>
      </c>
      <c r="X674" s="272" t="str">
        <f>IFERROR(__xludf.DUMMYFUNCTION("""COMPUTED_VALUE"""),"City Specific")</f>
        <v>City Specific</v>
      </c>
      <c r="Y674" s="272" t="str">
        <f>IFERROR(__xludf.DUMMYFUNCTION("""COMPUTED_VALUE"""),"22 May")</f>
        <v>22 May</v>
      </c>
      <c r="Z674" s="272" t="str">
        <f>IFERROR(__xludf.DUMMYFUNCTION("""COMPUTED_VALUE"""),"6a0ecea7e41947d4aada9804")</f>
        <v>6a0ecea7e41947d4aada9804</v>
      </c>
      <c r="AA674" s="272">
        <f>IFERROR(__xludf.DUMMYFUNCTION("""COMPUTED_VALUE"""),2.0)</f>
        <v>2</v>
      </c>
      <c r="AB674" s="272"/>
      <c r="AC674" s="272">
        <f>IFERROR(__xludf.DUMMYFUNCTION("""COMPUTED_VALUE"""),2.0)</f>
        <v>2</v>
      </c>
      <c r="AD674" s="272">
        <f>IFERROR(__xludf.DUMMYFUNCTION("""COMPUTED_VALUE"""),9196.0)</f>
        <v>9196</v>
      </c>
      <c r="AE674" s="272"/>
      <c r="AF674" s="272">
        <f>IFERROR(__xludf.DUMMYFUNCTION("""COMPUTED_VALUE"""),9196.0)</f>
        <v>9196</v>
      </c>
      <c r="AG674" s="208"/>
      <c r="AH674" s="208"/>
      <c r="AI674" s="208"/>
      <c r="AJ674" s="208"/>
      <c r="AK674" s="208"/>
    </row>
    <row r="675" hidden="1">
      <c r="A675" s="209">
        <f>IFERROR(__xludf.DUMMYFUNCTION("""COMPUTED_VALUE"""),46164.0)</f>
        <v>46164</v>
      </c>
      <c r="B675" s="210">
        <f>IFERROR(__xludf.DUMMYFUNCTION("""COMPUTED_VALUE"""),0.5)</f>
        <v>0.5</v>
      </c>
      <c r="C675" s="211" t="str">
        <f>IFERROR(__xludf.DUMMYFUNCTION("""COMPUTED_VALUE"""),"Sms")</f>
        <v>Sms</v>
      </c>
      <c r="D675" s="211" t="str">
        <f>IFERROR(__xludf.DUMMYFUNCTION("""COMPUTED_VALUE"""),"Fallback campaign")</f>
        <v>Fallback campaign</v>
      </c>
      <c r="E675" s="211" t="str">
        <f>IFERROR(__xludf.DUMMYFUNCTION("""COMPUTED_VALUE"""),"BBW")</f>
        <v>BBW</v>
      </c>
      <c r="F675" s="211" t="str">
        <f>IFERROR(__xludf.DUMMYFUNCTION("""COMPUTED_VALUE"""),"B2G2 - Entire Store")</f>
        <v>B2G2 - Entire Store</v>
      </c>
      <c r="G675" s="212" t="str">
        <f>IFERROR(__xludf.DUMMYFUNCTION("""COMPUTED_VALUE"""),"bbw_smsfb_b2g2_22may_active_ggn_offline")</f>
        <v>bbw_smsfb_b2g2_22may_active_ggn_offline</v>
      </c>
      <c r="H675" s="212" t="str">
        <f>IFERROR(__xludf.DUMMYFUNCTION("""COMPUTED_VALUE"""),"BBW_OFF_GGN_Active")</f>
        <v>BBW_OFF_GGN_Active</v>
      </c>
      <c r="I675" s="212" t="str">
        <f>IFERROR(__xludf.DUMMYFUNCTION("""COMPUTED_VALUE"""),"WA Undelivered")</f>
        <v>WA Undelivered</v>
      </c>
      <c r="J675" s="213">
        <f>IFERROR(__xludf.DUMMYFUNCTION("""COMPUTED_VALUE"""),2474.0)</f>
        <v>2474</v>
      </c>
      <c r="K675" s="213">
        <f>IFERROR(__xludf.DUMMYFUNCTION("""COMPUTED_VALUE"""),1199.0)</f>
        <v>1199</v>
      </c>
      <c r="L675" s="214">
        <f>IFERROR(__xludf.DUMMYFUNCTION("""COMPUTED_VALUE"""),0.4846)</f>
        <v>0.4846</v>
      </c>
      <c r="M675" s="213">
        <f>IFERROR(__xludf.DUMMYFUNCTION("""COMPUTED_VALUE"""),0.0)</f>
        <v>0</v>
      </c>
      <c r="N675" s="214">
        <f>IFERROR(__xludf.DUMMYFUNCTION("""COMPUTED_VALUE"""),0.0)</f>
        <v>0</v>
      </c>
      <c r="O675" s="213">
        <f>IFERROR(__xludf.DUMMYFUNCTION("""COMPUTED_VALUE"""),2.0)</f>
        <v>2</v>
      </c>
      <c r="P675" s="213">
        <f>IFERROR(__xludf.DUMMYFUNCTION("""COMPUTED_VALUE"""),0.0)</f>
        <v>0</v>
      </c>
      <c r="Q675" s="214">
        <f>IFERROR(__xludf.DUMMYFUNCTION("""COMPUTED_VALUE"""),0.0017)</f>
        <v>0.0017</v>
      </c>
      <c r="R675" s="214">
        <f>IFERROR(__xludf.DUMMYFUNCTION("""COMPUTED_VALUE"""),0.0)</f>
        <v>0</v>
      </c>
      <c r="S675" s="101">
        <f>IFERROR(__xludf.DUMMYFUNCTION("""COMPUTED_VALUE"""),0.0)</f>
        <v>0</v>
      </c>
      <c r="T675" s="101">
        <f>IFERROR(__xludf.DUMMYFUNCTION("""COMPUTED_VALUE"""),0.0)</f>
        <v>0</v>
      </c>
      <c r="U675" s="270">
        <f>IFERROR(__xludf.DUMMYFUNCTION("""COMPUTED_VALUE"""),0.0)</f>
        <v>0</v>
      </c>
      <c r="V675" s="271" t="str">
        <f>IFERROR(__xludf.DUMMYFUNCTION("""COMPUTED_VALUE"""),"offline")</f>
        <v>offline</v>
      </c>
      <c r="W675" s="272" t="str">
        <f>IFERROR(__xludf.DUMMYFUNCTION("""COMPUTED_VALUE"""),"SMS")</f>
        <v>SMS</v>
      </c>
      <c r="X675" s="272" t="str">
        <f>IFERROR(__xludf.DUMMYFUNCTION("""COMPUTED_VALUE"""),"City Specific")</f>
        <v>City Specific</v>
      </c>
      <c r="Y675" s="272" t="str">
        <f>IFERROR(__xludf.DUMMYFUNCTION("""COMPUTED_VALUE"""),"22 May")</f>
        <v>22 May</v>
      </c>
      <c r="Z675" s="272" t="str">
        <f>IFERROR(__xludf.DUMMYFUNCTION("""COMPUTED_VALUE"""),"6a0eceeec664c32208e96be1")</f>
        <v>6a0eceeec664c32208e96be1</v>
      </c>
      <c r="AA675" s="272">
        <f>IFERROR(__xludf.DUMMYFUNCTION("""COMPUTED_VALUE"""),4.0)</f>
        <v>4</v>
      </c>
      <c r="AB675" s="272"/>
      <c r="AC675" s="272">
        <f>IFERROR(__xludf.DUMMYFUNCTION("""COMPUTED_VALUE"""),4.0)</f>
        <v>4</v>
      </c>
      <c r="AD675" s="272">
        <f>IFERROR(__xludf.DUMMYFUNCTION("""COMPUTED_VALUE"""),23890.0)</f>
        <v>23890</v>
      </c>
      <c r="AE675" s="272"/>
      <c r="AF675" s="272">
        <f>IFERROR(__xludf.DUMMYFUNCTION("""COMPUTED_VALUE"""),23890.0)</f>
        <v>23890</v>
      </c>
      <c r="AG675" s="208"/>
      <c r="AH675" s="208"/>
      <c r="AI675" s="208"/>
      <c r="AJ675" s="208"/>
      <c r="AK675" s="208"/>
    </row>
    <row r="676" hidden="1">
      <c r="A676" s="209">
        <f>IFERROR(__xludf.DUMMYFUNCTION("""COMPUTED_VALUE"""),46164.0)</f>
        <v>46164</v>
      </c>
      <c r="B676" s="210">
        <f>IFERROR(__xludf.DUMMYFUNCTION("""COMPUTED_VALUE"""),0.5)</f>
        <v>0.5</v>
      </c>
      <c r="C676" s="211" t="str">
        <f>IFERROR(__xludf.DUMMYFUNCTION("""COMPUTED_VALUE"""),"Sms")</f>
        <v>Sms</v>
      </c>
      <c r="D676" s="211" t="str">
        <f>IFERROR(__xludf.DUMMYFUNCTION("""COMPUTED_VALUE"""),"Fallback campaign")</f>
        <v>Fallback campaign</v>
      </c>
      <c r="E676" s="211" t="str">
        <f>IFERROR(__xludf.DUMMYFUNCTION("""COMPUTED_VALUE"""),"BBW")</f>
        <v>BBW</v>
      </c>
      <c r="F676" s="211" t="str">
        <f>IFERROR(__xludf.DUMMYFUNCTION("""COMPUTED_VALUE"""),"B2G2 - Entire Store")</f>
        <v>B2G2 - Entire Store</v>
      </c>
      <c r="G676" s="212" t="str">
        <f>IFERROR(__xludf.DUMMYFUNCTION("""COMPUTED_VALUE"""),"bbw_smsfb_b2g2_22may_active_noida_offline")</f>
        <v>bbw_smsfb_b2g2_22may_active_noida_offline</v>
      </c>
      <c r="H676" s="212" t="str">
        <f>IFERROR(__xludf.DUMMYFUNCTION("""COMPUTED_VALUE"""),"BBW_OFF_NOIDA_Active")</f>
        <v>BBW_OFF_NOIDA_Active</v>
      </c>
      <c r="I676" s="212" t="str">
        <f>IFERROR(__xludf.DUMMYFUNCTION("""COMPUTED_VALUE"""),"WA Undelivered")</f>
        <v>WA Undelivered</v>
      </c>
      <c r="J676" s="213">
        <f>IFERROR(__xludf.DUMMYFUNCTION("""COMPUTED_VALUE"""),2875.0)</f>
        <v>2875</v>
      </c>
      <c r="K676" s="213">
        <f>IFERROR(__xludf.DUMMYFUNCTION("""COMPUTED_VALUE"""),1551.0)</f>
        <v>1551</v>
      </c>
      <c r="L676" s="214">
        <f>IFERROR(__xludf.DUMMYFUNCTION("""COMPUTED_VALUE"""),0.5395)</f>
        <v>0.5395</v>
      </c>
      <c r="M676" s="213">
        <f>IFERROR(__xludf.DUMMYFUNCTION("""COMPUTED_VALUE"""),0.0)</f>
        <v>0</v>
      </c>
      <c r="N676" s="214">
        <f>IFERROR(__xludf.DUMMYFUNCTION("""COMPUTED_VALUE"""),0.0)</f>
        <v>0</v>
      </c>
      <c r="O676" s="213">
        <f>IFERROR(__xludf.DUMMYFUNCTION("""COMPUTED_VALUE"""),3.0)</f>
        <v>3</v>
      </c>
      <c r="P676" s="213">
        <f>IFERROR(__xludf.DUMMYFUNCTION("""COMPUTED_VALUE"""),0.0)</f>
        <v>0</v>
      </c>
      <c r="Q676" s="214">
        <f>IFERROR(__xludf.DUMMYFUNCTION("""COMPUTED_VALUE"""),0.0019)</f>
        <v>0.0019</v>
      </c>
      <c r="R676" s="214">
        <f>IFERROR(__xludf.DUMMYFUNCTION("""COMPUTED_VALUE"""),0.0)</f>
        <v>0</v>
      </c>
      <c r="S676" s="101">
        <f>IFERROR(__xludf.DUMMYFUNCTION("""COMPUTED_VALUE"""),0.0)</f>
        <v>0</v>
      </c>
      <c r="T676" s="101">
        <f>IFERROR(__xludf.DUMMYFUNCTION("""COMPUTED_VALUE"""),0.0)</f>
        <v>0</v>
      </c>
      <c r="U676" s="270">
        <f>IFERROR(__xludf.DUMMYFUNCTION("""COMPUTED_VALUE"""),0.0)</f>
        <v>0</v>
      </c>
      <c r="V676" s="271" t="str">
        <f>IFERROR(__xludf.DUMMYFUNCTION("""COMPUTED_VALUE"""),"offline")</f>
        <v>offline</v>
      </c>
      <c r="W676" s="272" t="str">
        <f>IFERROR(__xludf.DUMMYFUNCTION("""COMPUTED_VALUE"""),"SMS")</f>
        <v>SMS</v>
      </c>
      <c r="X676" s="272" t="str">
        <f>IFERROR(__xludf.DUMMYFUNCTION("""COMPUTED_VALUE"""),"City Specific")</f>
        <v>City Specific</v>
      </c>
      <c r="Y676" s="272" t="str">
        <f>IFERROR(__xludf.DUMMYFUNCTION("""COMPUTED_VALUE"""),"22 May")</f>
        <v>22 May</v>
      </c>
      <c r="Z676" s="272" t="str">
        <f>IFERROR(__xludf.DUMMYFUNCTION("""COMPUTED_VALUE"""),"6a0ecf23ea246a2bbd83d79c")</f>
        <v>6a0ecf23ea246a2bbd83d79c</v>
      </c>
      <c r="AA676" s="272">
        <f>IFERROR(__xludf.DUMMYFUNCTION("""COMPUTED_VALUE"""),3.0)</f>
        <v>3</v>
      </c>
      <c r="AB676" s="272"/>
      <c r="AC676" s="272">
        <f>IFERROR(__xludf.DUMMYFUNCTION("""COMPUTED_VALUE"""),3.0)</f>
        <v>3</v>
      </c>
      <c r="AD676" s="272">
        <f>IFERROR(__xludf.DUMMYFUNCTION("""COMPUTED_VALUE"""),16092.0)</f>
        <v>16092</v>
      </c>
      <c r="AE676" s="272"/>
      <c r="AF676" s="272">
        <f>IFERROR(__xludf.DUMMYFUNCTION("""COMPUTED_VALUE"""),16092.0)</f>
        <v>16092</v>
      </c>
      <c r="AG676" s="208"/>
      <c r="AH676" s="208"/>
      <c r="AI676" s="208"/>
      <c r="AJ676" s="208"/>
      <c r="AK676" s="208"/>
    </row>
    <row r="677" hidden="1">
      <c r="A677" s="209">
        <f>IFERROR(__xludf.DUMMYFUNCTION("""COMPUTED_VALUE"""),46164.0)</f>
        <v>46164</v>
      </c>
      <c r="B677" s="210">
        <f>IFERROR(__xludf.DUMMYFUNCTION("""COMPUTED_VALUE"""),0.5)</f>
        <v>0.5</v>
      </c>
      <c r="C677" s="211" t="str">
        <f>IFERROR(__xludf.DUMMYFUNCTION("""COMPUTED_VALUE"""),"Sms")</f>
        <v>Sms</v>
      </c>
      <c r="D677" s="211" t="str">
        <f>IFERROR(__xludf.DUMMYFUNCTION("""COMPUTED_VALUE"""),"Fallback campaign")</f>
        <v>Fallback campaign</v>
      </c>
      <c r="E677" s="211" t="str">
        <f>IFERROR(__xludf.DUMMYFUNCTION("""COMPUTED_VALUE"""),"BBW")</f>
        <v>BBW</v>
      </c>
      <c r="F677" s="211" t="str">
        <f>IFERROR(__xludf.DUMMYFUNCTION("""COMPUTED_VALUE"""),"B2G2 - Entire Store")</f>
        <v>B2G2 - Entire Store</v>
      </c>
      <c r="G677" s="212" t="str">
        <f>IFERROR(__xludf.DUMMYFUNCTION("""COMPUTED_VALUE"""),"bbw_smsfb_b2g2_22may_active_thane_offline")</f>
        <v>bbw_smsfb_b2g2_22may_active_thane_offline</v>
      </c>
      <c r="H677" s="212" t="str">
        <f>IFERROR(__xludf.DUMMYFUNCTION("""COMPUTED_VALUE"""),"BBW_OFF_THANE_Active")</f>
        <v>BBW_OFF_THANE_Active</v>
      </c>
      <c r="I677" s="212" t="str">
        <f>IFERROR(__xludf.DUMMYFUNCTION("""COMPUTED_VALUE"""),"WA Undelivered")</f>
        <v>WA Undelivered</v>
      </c>
      <c r="J677" s="213">
        <f>IFERROR(__xludf.DUMMYFUNCTION("""COMPUTED_VALUE"""),1294.0)</f>
        <v>1294</v>
      </c>
      <c r="K677" s="213">
        <f>IFERROR(__xludf.DUMMYFUNCTION("""COMPUTED_VALUE"""),727.0)</f>
        <v>727</v>
      </c>
      <c r="L677" s="214">
        <f>IFERROR(__xludf.DUMMYFUNCTION("""COMPUTED_VALUE"""),0.5618)</f>
        <v>0.5618</v>
      </c>
      <c r="M677" s="213">
        <f>IFERROR(__xludf.DUMMYFUNCTION("""COMPUTED_VALUE"""),0.0)</f>
        <v>0</v>
      </c>
      <c r="N677" s="214">
        <f>IFERROR(__xludf.DUMMYFUNCTION("""COMPUTED_VALUE"""),0.0)</f>
        <v>0</v>
      </c>
      <c r="O677" s="213">
        <f>IFERROR(__xludf.DUMMYFUNCTION("""COMPUTED_VALUE"""),1.0)</f>
        <v>1</v>
      </c>
      <c r="P677" s="213">
        <f>IFERROR(__xludf.DUMMYFUNCTION("""COMPUTED_VALUE"""),0.0)</f>
        <v>0</v>
      </c>
      <c r="Q677" s="214">
        <f>IFERROR(__xludf.DUMMYFUNCTION("""COMPUTED_VALUE"""),0.0014)</f>
        <v>0.0014</v>
      </c>
      <c r="R677" s="214">
        <f>IFERROR(__xludf.DUMMYFUNCTION("""COMPUTED_VALUE"""),0.0)</f>
        <v>0</v>
      </c>
      <c r="S677" s="101">
        <f>IFERROR(__xludf.DUMMYFUNCTION("""COMPUTED_VALUE"""),0.0)</f>
        <v>0</v>
      </c>
      <c r="T677" s="101">
        <f>IFERROR(__xludf.DUMMYFUNCTION("""COMPUTED_VALUE"""),0.0)</f>
        <v>0</v>
      </c>
      <c r="U677" s="270">
        <f>IFERROR(__xludf.DUMMYFUNCTION("""COMPUTED_VALUE"""),0.0)</f>
        <v>0</v>
      </c>
      <c r="V677" s="271" t="str">
        <f>IFERROR(__xludf.DUMMYFUNCTION("""COMPUTED_VALUE"""),"offline")</f>
        <v>offline</v>
      </c>
      <c r="W677" s="272" t="str">
        <f>IFERROR(__xludf.DUMMYFUNCTION("""COMPUTED_VALUE"""),"SMS")</f>
        <v>SMS</v>
      </c>
      <c r="X677" s="272" t="str">
        <f>IFERROR(__xludf.DUMMYFUNCTION("""COMPUTED_VALUE"""),"City Specific")</f>
        <v>City Specific</v>
      </c>
      <c r="Y677" s="272" t="str">
        <f>IFERROR(__xludf.DUMMYFUNCTION("""COMPUTED_VALUE"""),"22 May")</f>
        <v>22 May</v>
      </c>
      <c r="Z677" s="272" t="str">
        <f>IFERROR(__xludf.DUMMYFUNCTION("""COMPUTED_VALUE"""),"6a0ecf7115878987fb0c5202")</f>
        <v>6a0ecf7115878987fb0c5202</v>
      </c>
      <c r="AA677" s="272">
        <f>IFERROR(__xludf.DUMMYFUNCTION("""COMPUTED_VALUE"""),0.0)</f>
        <v>0</v>
      </c>
      <c r="AB677" s="272"/>
      <c r="AC677" s="272">
        <f>IFERROR(__xludf.DUMMYFUNCTION("""COMPUTED_VALUE"""),0.0)</f>
        <v>0</v>
      </c>
      <c r="AD677" s="272">
        <f>IFERROR(__xludf.DUMMYFUNCTION("""COMPUTED_VALUE"""),0.0)</f>
        <v>0</v>
      </c>
      <c r="AE677" s="272"/>
      <c r="AF677" s="272">
        <f>IFERROR(__xludf.DUMMYFUNCTION("""COMPUTED_VALUE"""),0.0)</f>
        <v>0</v>
      </c>
      <c r="AG677" s="208"/>
      <c r="AH677" s="208"/>
      <c r="AI677" s="208"/>
      <c r="AJ677" s="208"/>
      <c r="AK677" s="208"/>
    </row>
    <row r="678" hidden="1">
      <c r="A678" s="209">
        <f>IFERROR(__xludf.DUMMYFUNCTION("""COMPUTED_VALUE"""),46164.0)</f>
        <v>46164</v>
      </c>
      <c r="B678" s="210">
        <f>IFERROR(__xludf.DUMMYFUNCTION("""COMPUTED_VALUE"""),0.5)</f>
        <v>0.5</v>
      </c>
      <c r="C678" s="211" t="str">
        <f>IFERROR(__xludf.DUMMYFUNCTION("""COMPUTED_VALUE"""),"Sms")</f>
        <v>Sms</v>
      </c>
      <c r="D678" s="211" t="str">
        <f>IFERROR(__xludf.DUMMYFUNCTION("""COMPUTED_VALUE"""),"Fallback campaign")</f>
        <v>Fallback campaign</v>
      </c>
      <c r="E678" s="211" t="str">
        <f>IFERROR(__xludf.DUMMYFUNCTION("""COMPUTED_VALUE"""),"BBW")</f>
        <v>BBW</v>
      </c>
      <c r="F678" s="211" t="str">
        <f>IFERROR(__xludf.DUMMYFUNCTION("""COMPUTED_VALUE"""),"B2G2 - Entire Store")</f>
        <v>B2G2 - Entire Store</v>
      </c>
      <c r="G678" s="212" t="str">
        <f>IFERROR(__xludf.DUMMYFUNCTION("""COMPUTED_VALUE"""),"bbw_smsfb_b2g2_22may_active_vad_offline")</f>
        <v>bbw_smsfb_b2g2_22may_active_vad_offline</v>
      </c>
      <c r="H678" s="212" t="str">
        <f>IFERROR(__xludf.DUMMYFUNCTION("""COMPUTED_VALUE"""),"BBW_OFF_Vadodara_Active")</f>
        <v>BBW_OFF_Vadodara_Active</v>
      </c>
      <c r="I678" s="212" t="str">
        <f>IFERROR(__xludf.DUMMYFUNCTION("""COMPUTED_VALUE"""),"WA Undelivered")</f>
        <v>WA Undelivered</v>
      </c>
      <c r="J678" s="213">
        <f>IFERROR(__xludf.DUMMYFUNCTION("""COMPUTED_VALUE"""),879.0)</f>
        <v>879</v>
      </c>
      <c r="K678" s="213">
        <f>IFERROR(__xludf.DUMMYFUNCTION("""COMPUTED_VALUE"""),493.0)</f>
        <v>493</v>
      </c>
      <c r="L678" s="214">
        <f>IFERROR(__xludf.DUMMYFUNCTION("""COMPUTED_VALUE"""),0.5609)</f>
        <v>0.5609</v>
      </c>
      <c r="M678" s="213">
        <f>IFERROR(__xludf.DUMMYFUNCTION("""COMPUTED_VALUE"""),0.0)</f>
        <v>0</v>
      </c>
      <c r="N678" s="214">
        <f>IFERROR(__xludf.DUMMYFUNCTION("""COMPUTED_VALUE"""),0.0)</f>
        <v>0</v>
      </c>
      <c r="O678" s="213">
        <f>IFERROR(__xludf.DUMMYFUNCTION("""COMPUTED_VALUE"""),1.0)</f>
        <v>1</v>
      </c>
      <c r="P678" s="213">
        <f>IFERROR(__xludf.DUMMYFUNCTION("""COMPUTED_VALUE"""),0.0)</f>
        <v>0</v>
      </c>
      <c r="Q678" s="214">
        <f>IFERROR(__xludf.DUMMYFUNCTION("""COMPUTED_VALUE"""),0.002)</f>
        <v>0.002</v>
      </c>
      <c r="R678" s="214">
        <f>IFERROR(__xludf.DUMMYFUNCTION("""COMPUTED_VALUE"""),0.0)</f>
        <v>0</v>
      </c>
      <c r="S678" s="101">
        <f>IFERROR(__xludf.DUMMYFUNCTION("""COMPUTED_VALUE"""),0.0)</f>
        <v>0</v>
      </c>
      <c r="T678" s="101">
        <f>IFERROR(__xludf.DUMMYFUNCTION("""COMPUTED_VALUE"""),0.0)</f>
        <v>0</v>
      </c>
      <c r="U678" s="270">
        <f>IFERROR(__xludf.DUMMYFUNCTION("""COMPUTED_VALUE"""),0.0)</f>
        <v>0</v>
      </c>
      <c r="V678" s="271" t="str">
        <f>IFERROR(__xludf.DUMMYFUNCTION("""COMPUTED_VALUE"""),"offline")</f>
        <v>offline</v>
      </c>
      <c r="W678" s="272" t="str">
        <f>IFERROR(__xludf.DUMMYFUNCTION("""COMPUTED_VALUE"""),"SMS")</f>
        <v>SMS</v>
      </c>
      <c r="X678" s="272" t="str">
        <f>IFERROR(__xludf.DUMMYFUNCTION("""COMPUTED_VALUE"""),"City Specific")</f>
        <v>City Specific</v>
      </c>
      <c r="Y678" s="272" t="str">
        <f>IFERROR(__xludf.DUMMYFUNCTION("""COMPUTED_VALUE"""),"22 May")</f>
        <v>22 May</v>
      </c>
      <c r="Z678" s="272" t="str">
        <f>IFERROR(__xludf.DUMMYFUNCTION("""COMPUTED_VALUE"""),"6a0ecfb00adbf18b48cea6b5")</f>
        <v>6a0ecfb00adbf18b48cea6b5</v>
      </c>
      <c r="AA678" s="272">
        <f>IFERROR(__xludf.DUMMYFUNCTION("""COMPUTED_VALUE"""),0.0)</f>
        <v>0</v>
      </c>
      <c r="AB678" s="272"/>
      <c r="AC678" s="272">
        <f>IFERROR(__xludf.DUMMYFUNCTION("""COMPUTED_VALUE"""),0.0)</f>
        <v>0</v>
      </c>
      <c r="AD678" s="272">
        <f>IFERROR(__xludf.DUMMYFUNCTION("""COMPUTED_VALUE"""),0.0)</f>
        <v>0</v>
      </c>
      <c r="AE678" s="272"/>
      <c r="AF678" s="272">
        <f>IFERROR(__xludf.DUMMYFUNCTION("""COMPUTED_VALUE"""),0.0)</f>
        <v>0</v>
      </c>
      <c r="AG678" s="208"/>
      <c r="AH678" s="208"/>
      <c r="AI678" s="208"/>
      <c r="AJ678" s="208"/>
      <c r="AK678" s="208"/>
    </row>
    <row r="679" hidden="1">
      <c r="A679" s="209">
        <f>IFERROR(__xludf.DUMMYFUNCTION("""COMPUTED_VALUE"""),46164.0)</f>
        <v>46164</v>
      </c>
      <c r="B679" s="210">
        <f>IFERROR(__xludf.DUMMYFUNCTION("""COMPUTED_VALUE"""),0.5)</f>
        <v>0.5</v>
      </c>
      <c r="C679" s="211" t="str">
        <f>IFERROR(__xludf.DUMMYFUNCTION("""COMPUTED_VALUE"""),"Sms")</f>
        <v>Sms</v>
      </c>
      <c r="D679" s="211" t="str">
        <f>IFERROR(__xludf.DUMMYFUNCTION("""COMPUTED_VALUE"""),"Fallback campaign")</f>
        <v>Fallback campaign</v>
      </c>
      <c r="E679" s="211" t="str">
        <f>IFERROR(__xludf.DUMMYFUNCTION("""COMPUTED_VALUE"""),"BBW")</f>
        <v>BBW</v>
      </c>
      <c r="F679" s="211" t="str">
        <f>IFERROR(__xludf.DUMMYFUNCTION("""COMPUTED_VALUE"""),"B2G2 - Entire Store")</f>
        <v>B2G2 - Entire Store</v>
      </c>
      <c r="G679" s="212" t="str">
        <f>IFERROR(__xludf.DUMMYFUNCTION("""COMPUTED_VALUE"""),"bbw_smsfb_b2g2_22may_active_kochi_offline")</f>
        <v>bbw_smsfb_b2g2_22may_active_kochi_offline</v>
      </c>
      <c r="H679" s="212" t="str">
        <f>IFERROR(__xludf.DUMMYFUNCTION("""COMPUTED_VALUE"""),"BBW_OFF_KOCHI_Active")</f>
        <v>BBW_OFF_KOCHI_Active</v>
      </c>
      <c r="I679" s="212" t="str">
        <f>IFERROR(__xludf.DUMMYFUNCTION("""COMPUTED_VALUE"""),"WA Undelivered")</f>
        <v>WA Undelivered</v>
      </c>
      <c r="J679" s="213">
        <f>IFERROR(__xludf.DUMMYFUNCTION("""COMPUTED_VALUE"""),1442.0)</f>
        <v>1442</v>
      </c>
      <c r="K679" s="213">
        <f>IFERROR(__xludf.DUMMYFUNCTION("""COMPUTED_VALUE"""),954.0)</f>
        <v>954</v>
      </c>
      <c r="L679" s="214">
        <f>IFERROR(__xludf.DUMMYFUNCTION("""COMPUTED_VALUE"""),0.6616)</f>
        <v>0.6616</v>
      </c>
      <c r="M679" s="213">
        <f>IFERROR(__xludf.DUMMYFUNCTION("""COMPUTED_VALUE"""),0.0)</f>
        <v>0</v>
      </c>
      <c r="N679" s="214">
        <f>IFERROR(__xludf.DUMMYFUNCTION("""COMPUTED_VALUE"""),0.0)</f>
        <v>0</v>
      </c>
      <c r="O679" s="213">
        <f>IFERROR(__xludf.DUMMYFUNCTION("""COMPUTED_VALUE"""),0.0)</f>
        <v>0</v>
      </c>
      <c r="P679" s="213">
        <f>IFERROR(__xludf.DUMMYFUNCTION("""COMPUTED_VALUE"""),0.0)</f>
        <v>0</v>
      </c>
      <c r="Q679" s="214">
        <f>IFERROR(__xludf.DUMMYFUNCTION("""COMPUTED_VALUE"""),0.0)</f>
        <v>0</v>
      </c>
      <c r="R679" s="214">
        <f>IFERROR(__xludf.DUMMYFUNCTION("""COMPUTED_VALUE"""),0.0)</f>
        <v>0</v>
      </c>
      <c r="S679" s="101">
        <f>IFERROR(__xludf.DUMMYFUNCTION("""COMPUTED_VALUE"""),0.0)</f>
        <v>0</v>
      </c>
      <c r="T679" s="101">
        <f>IFERROR(__xludf.DUMMYFUNCTION("""COMPUTED_VALUE"""),0.0)</f>
        <v>0</v>
      </c>
      <c r="U679" s="270">
        <f>IFERROR(__xludf.DUMMYFUNCTION("""COMPUTED_VALUE"""),0.0)</f>
        <v>0</v>
      </c>
      <c r="V679" s="271" t="str">
        <f>IFERROR(__xludf.DUMMYFUNCTION("""COMPUTED_VALUE"""),"offline")</f>
        <v>offline</v>
      </c>
      <c r="W679" s="272" t="str">
        <f>IFERROR(__xludf.DUMMYFUNCTION("""COMPUTED_VALUE"""),"SMS")</f>
        <v>SMS</v>
      </c>
      <c r="X679" s="272" t="str">
        <f>IFERROR(__xludf.DUMMYFUNCTION("""COMPUTED_VALUE"""),"City Specific")</f>
        <v>City Specific</v>
      </c>
      <c r="Y679" s="272" t="str">
        <f>IFERROR(__xludf.DUMMYFUNCTION("""COMPUTED_VALUE"""),"22 May")</f>
        <v>22 May</v>
      </c>
      <c r="Z679" s="272" t="str">
        <f>IFERROR(__xludf.DUMMYFUNCTION("""COMPUTED_VALUE"""),"6a0ecff5ff44cb43c9a881fa")</f>
        <v>6a0ecff5ff44cb43c9a881fa</v>
      </c>
      <c r="AA679" s="272">
        <f>IFERROR(__xludf.DUMMYFUNCTION("""COMPUTED_VALUE"""),1.0)</f>
        <v>1</v>
      </c>
      <c r="AB679" s="272"/>
      <c r="AC679" s="272">
        <f>IFERROR(__xludf.DUMMYFUNCTION("""COMPUTED_VALUE"""),1.0)</f>
        <v>1</v>
      </c>
      <c r="AD679" s="272">
        <f>IFERROR(__xludf.DUMMYFUNCTION("""COMPUTED_VALUE"""),299.0)</f>
        <v>299</v>
      </c>
      <c r="AE679" s="272"/>
      <c r="AF679" s="272">
        <f>IFERROR(__xludf.DUMMYFUNCTION("""COMPUTED_VALUE"""),299.0)</f>
        <v>299</v>
      </c>
      <c r="AG679" s="208"/>
      <c r="AH679" s="208"/>
      <c r="AI679" s="208"/>
      <c r="AJ679" s="208"/>
      <c r="AK679" s="208"/>
    </row>
    <row r="680" hidden="1">
      <c r="A680" s="209">
        <f>IFERROR(__xludf.DUMMYFUNCTION("""COMPUTED_VALUE"""),46164.0)</f>
        <v>46164</v>
      </c>
      <c r="B680" s="210">
        <f>IFERROR(__xludf.DUMMYFUNCTION("""COMPUTED_VALUE"""),0.5)</f>
        <v>0.5</v>
      </c>
      <c r="C680" s="211" t="str">
        <f>IFERROR(__xludf.DUMMYFUNCTION("""COMPUTED_VALUE"""),"Sms")</f>
        <v>Sms</v>
      </c>
      <c r="D680" s="211" t="str">
        <f>IFERROR(__xludf.DUMMYFUNCTION("""COMPUTED_VALUE"""),"Fallback campaign")</f>
        <v>Fallback campaign</v>
      </c>
      <c r="E680" s="211" t="str">
        <f>IFERROR(__xludf.DUMMYFUNCTION("""COMPUTED_VALUE"""),"BBW")</f>
        <v>BBW</v>
      </c>
      <c r="F680" s="211" t="str">
        <f>IFERROR(__xludf.DUMMYFUNCTION("""COMPUTED_VALUE"""),"B2G2 - Entire Store")</f>
        <v>B2G2 - Entire Store</v>
      </c>
      <c r="G680" s="212" t="str">
        <f>IFERROR(__xludf.DUMMYFUNCTION("""COMPUTED_VALUE"""),"bbw_smsfb_b2g2_22may_active_surat_offline")</f>
        <v>bbw_smsfb_b2g2_22may_active_surat_offline</v>
      </c>
      <c r="H680" s="212" t="str">
        <f>IFERROR(__xludf.DUMMYFUNCTION("""COMPUTED_VALUE"""),"BBW_OFF_Surat_Active")</f>
        <v>BBW_OFF_Surat_Active</v>
      </c>
      <c r="I680" s="212" t="str">
        <f>IFERROR(__xludf.DUMMYFUNCTION("""COMPUTED_VALUE"""),"WA Undelivered")</f>
        <v>WA Undelivered</v>
      </c>
      <c r="J680" s="213">
        <f>IFERROR(__xludf.DUMMYFUNCTION("""COMPUTED_VALUE"""),509.0)</f>
        <v>509</v>
      </c>
      <c r="K680" s="213">
        <f>IFERROR(__xludf.DUMMYFUNCTION("""COMPUTED_VALUE"""),302.0)</f>
        <v>302</v>
      </c>
      <c r="L680" s="214">
        <f>IFERROR(__xludf.DUMMYFUNCTION("""COMPUTED_VALUE"""),0.5933)</f>
        <v>0.5933</v>
      </c>
      <c r="M680" s="213">
        <f>IFERROR(__xludf.DUMMYFUNCTION("""COMPUTED_VALUE"""),0.0)</f>
        <v>0</v>
      </c>
      <c r="N680" s="214">
        <f>IFERROR(__xludf.DUMMYFUNCTION("""COMPUTED_VALUE"""),0.0)</f>
        <v>0</v>
      </c>
      <c r="O680" s="213">
        <f>IFERROR(__xludf.DUMMYFUNCTION("""COMPUTED_VALUE"""),1.0)</f>
        <v>1</v>
      </c>
      <c r="P680" s="213">
        <f>IFERROR(__xludf.DUMMYFUNCTION("""COMPUTED_VALUE"""),0.0)</f>
        <v>0</v>
      </c>
      <c r="Q680" s="214">
        <f>IFERROR(__xludf.DUMMYFUNCTION("""COMPUTED_VALUE"""),0.0033)</f>
        <v>0.0033</v>
      </c>
      <c r="R680" s="214">
        <f>IFERROR(__xludf.DUMMYFUNCTION("""COMPUTED_VALUE"""),0.0)</f>
        <v>0</v>
      </c>
      <c r="S680" s="101">
        <f>IFERROR(__xludf.DUMMYFUNCTION("""COMPUTED_VALUE"""),0.0)</f>
        <v>0</v>
      </c>
      <c r="T680" s="101">
        <f>IFERROR(__xludf.DUMMYFUNCTION("""COMPUTED_VALUE"""),0.0)</f>
        <v>0</v>
      </c>
      <c r="U680" s="270">
        <f>IFERROR(__xludf.DUMMYFUNCTION("""COMPUTED_VALUE"""),0.0)</f>
        <v>0</v>
      </c>
      <c r="V680" s="271" t="str">
        <f>IFERROR(__xludf.DUMMYFUNCTION("""COMPUTED_VALUE"""),"offline")</f>
        <v>offline</v>
      </c>
      <c r="W680" s="272" t="str">
        <f>IFERROR(__xludf.DUMMYFUNCTION("""COMPUTED_VALUE"""),"SMS")</f>
        <v>SMS</v>
      </c>
      <c r="X680" s="272" t="str">
        <f>IFERROR(__xludf.DUMMYFUNCTION("""COMPUTED_VALUE"""),"City Specific")</f>
        <v>City Specific</v>
      </c>
      <c r="Y680" s="272" t="str">
        <f>IFERROR(__xludf.DUMMYFUNCTION("""COMPUTED_VALUE"""),"22 May")</f>
        <v>22 May</v>
      </c>
      <c r="Z680" s="272" t="str">
        <f>IFERROR(__xludf.DUMMYFUNCTION("""COMPUTED_VALUE"""),"6a0ed110116fe7ce28f01c65")</f>
        <v>6a0ed110116fe7ce28f01c65</v>
      </c>
      <c r="AA680" s="272">
        <f>IFERROR(__xludf.DUMMYFUNCTION("""COMPUTED_VALUE"""),2.0)</f>
        <v>2</v>
      </c>
      <c r="AB680" s="272"/>
      <c r="AC680" s="272">
        <f>IFERROR(__xludf.DUMMYFUNCTION("""COMPUTED_VALUE"""),2.0)</f>
        <v>2</v>
      </c>
      <c r="AD680" s="272">
        <f>IFERROR(__xludf.DUMMYFUNCTION("""COMPUTED_VALUE"""),9794.0)</f>
        <v>9794</v>
      </c>
      <c r="AE680" s="272"/>
      <c r="AF680" s="272">
        <f>IFERROR(__xludf.DUMMYFUNCTION("""COMPUTED_VALUE"""),9794.0)</f>
        <v>9794</v>
      </c>
      <c r="AG680" s="208"/>
      <c r="AH680" s="208"/>
      <c r="AI680" s="208"/>
      <c r="AJ680" s="208"/>
      <c r="AK680" s="208"/>
    </row>
    <row r="681" hidden="1">
      <c r="A681" s="209">
        <f>IFERROR(__xludf.DUMMYFUNCTION("""COMPUTED_VALUE"""),46164.0)</f>
        <v>46164</v>
      </c>
      <c r="B681" s="210">
        <f>IFERROR(__xludf.DUMMYFUNCTION("""COMPUTED_VALUE"""),0.5)</f>
        <v>0.5</v>
      </c>
      <c r="C681" s="211" t="str">
        <f>IFERROR(__xludf.DUMMYFUNCTION("""COMPUTED_VALUE"""),"Sms")</f>
        <v>Sms</v>
      </c>
      <c r="D681" s="211" t="str">
        <f>IFERROR(__xludf.DUMMYFUNCTION("""COMPUTED_VALUE"""),"Fallback campaign")</f>
        <v>Fallback campaign</v>
      </c>
      <c r="E681" s="211" t="str">
        <f>IFERROR(__xludf.DUMMYFUNCTION("""COMPUTED_VALUE"""),"BBW")</f>
        <v>BBW</v>
      </c>
      <c r="F681" s="211" t="str">
        <f>IFERROR(__xludf.DUMMYFUNCTION("""COMPUTED_VALUE"""),"B2G2 - Entire Store")</f>
        <v>B2G2 - Entire Store</v>
      </c>
      <c r="G681" s="212" t="str">
        <f>IFERROR(__xludf.DUMMYFUNCTION("""COMPUTED_VALUE"""),"bbw_smsfb_b2g2_22may_dormant_del_offline")</f>
        <v>bbw_smsfb_b2g2_22may_dormant_del_offline</v>
      </c>
      <c r="H681" s="212" t="str">
        <f>IFERROR(__xludf.DUMMYFUNCTION("""COMPUTED_VALUE"""),"BBW_OFF_DEL_Dorm")</f>
        <v>BBW_OFF_DEL_Dorm</v>
      </c>
      <c r="I681" s="212" t="str">
        <f>IFERROR(__xludf.DUMMYFUNCTION("""COMPUTED_VALUE"""),"WA Undelivered")</f>
        <v>WA Undelivered</v>
      </c>
      <c r="J681" s="213">
        <f>IFERROR(__xludf.DUMMYFUNCTION("""COMPUTED_VALUE"""),15879.0)</f>
        <v>15879</v>
      </c>
      <c r="K681" s="213">
        <f>IFERROR(__xludf.DUMMYFUNCTION("""COMPUTED_VALUE"""),8474.0)</f>
        <v>8474</v>
      </c>
      <c r="L681" s="214">
        <f>IFERROR(__xludf.DUMMYFUNCTION("""COMPUTED_VALUE"""),0.5337)</f>
        <v>0.5337</v>
      </c>
      <c r="M681" s="213">
        <f>IFERROR(__xludf.DUMMYFUNCTION("""COMPUTED_VALUE"""),0.0)</f>
        <v>0</v>
      </c>
      <c r="N681" s="214">
        <f>IFERROR(__xludf.DUMMYFUNCTION("""COMPUTED_VALUE"""),0.0)</f>
        <v>0</v>
      </c>
      <c r="O681" s="213">
        <f>IFERROR(__xludf.DUMMYFUNCTION("""COMPUTED_VALUE"""),19.0)</f>
        <v>19</v>
      </c>
      <c r="P681" s="213">
        <f>IFERROR(__xludf.DUMMYFUNCTION("""COMPUTED_VALUE"""),0.0)</f>
        <v>0</v>
      </c>
      <c r="Q681" s="214">
        <f>IFERROR(__xludf.DUMMYFUNCTION("""COMPUTED_VALUE"""),0.0022)</f>
        <v>0.0022</v>
      </c>
      <c r="R681" s="214">
        <f>IFERROR(__xludf.DUMMYFUNCTION("""COMPUTED_VALUE"""),0.0)</f>
        <v>0</v>
      </c>
      <c r="S681" s="101">
        <f>IFERROR(__xludf.DUMMYFUNCTION("""COMPUTED_VALUE"""),0.0)</f>
        <v>0</v>
      </c>
      <c r="T681" s="101">
        <f>IFERROR(__xludf.DUMMYFUNCTION("""COMPUTED_VALUE"""),0.0)</f>
        <v>0</v>
      </c>
      <c r="U681" s="270">
        <f>IFERROR(__xludf.DUMMYFUNCTION("""COMPUTED_VALUE"""),0.0)</f>
        <v>0</v>
      </c>
      <c r="V681" s="271" t="str">
        <f>IFERROR(__xludf.DUMMYFUNCTION("""COMPUTED_VALUE"""),"offline")</f>
        <v>offline</v>
      </c>
      <c r="W681" s="272" t="str">
        <f>IFERROR(__xludf.DUMMYFUNCTION("""COMPUTED_VALUE"""),"SMS")</f>
        <v>SMS</v>
      </c>
      <c r="X681" s="272" t="str">
        <f>IFERROR(__xludf.DUMMYFUNCTION("""COMPUTED_VALUE"""),"City Specific")</f>
        <v>City Specific</v>
      </c>
      <c r="Y681" s="272" t="str">
        <f>IFERROR(__xludf.DUMMYFUNCTION("""COMPUTED_VALUE"""),"22 May")</f>
        <v>22 May</v>
      </c>
      <c r="Z681" s="272" t="str">
        <f>IFERROR(__xludf.DUMMYFUNCTION("""COMPUTED_VALUE"""),"6a0ed1ab742182b298b215ea")</f>
        <v>6a0ed1ab742182b298b215ea</v>
      </c>
      <c r="AA681" s="272">
        <f>IFERROR(__xludf.DUMMYFUNCTION("""COMPUTED_VALUE"""),9.0)</f>
        <v>9</v>
      </c>
      <c r="AB681" s="272"/>
      <c r="AC681" s="272">
        <f>IFERROR(__xludf.DUMMYFUNCTION("""COMPUTED_VALUE"""),9.0)</f>
        <v>9</v>
      </c>
      <c r="AD681" s="272">
        <f>IFERROR(__xludf.DUMMYFUNCTION("""COMPUTED_VALUE"""),42881.0)</f>
        <v>42881</v>
      </c>
      <c r="AE681" s="272"/>
      <c r="AF681" s="272">
        <f>IFERROR(__xludf.DUMMYFUNCTION("""COMPUTED_VALUE"""),42881.0)</f>
        <v>42881</v>
      </c>
      <c r="AG681" s="208"/>
      <c r="AH681" s="208"/>
      <c r="AI681" s="208"/>
      <c r="AJ681" s="208"/>
      <c r="AK681" s="208"/>
    </row>
    <row r="682" hidden="1">
      <c r="A682" s="209">
        <f>IFERROR(__xludf.DUMMYFUNCTION("""COMPUTED_VALUE"""),46164.0)</f>
        <v>46164</v>
      </c>
      <c r="B682" s="210">
        <f>IFERROR(__xludf.DUMMYFUNCTION("""COMPUTED_VALUE"""),0.5)</f>
        <v>0.5</v>
      </c>
      <c r="C682" s="211" t="str">
        <f>IFERROR(__xludf.DUMMYFUNCTION("""COMPUTED_VALUE"""),"Sms")</f>
        <v>Sms</v>
      </c>
      <c r="D682" s="211" t="str">
        <f>IFERROR(__xludf.DUMMYFUNCTION("""COMPUTED_VALUE"""),"Fallback campaign")</f>
        <v>Fallback campaign</v>
      </c>
      <c r="E682" s="211" t="str">
        <f>IFERROR(__xludf.DUMMYFUNCTION("""COMPUTED_VALUE"""),"BBW")</f>
        <v>BBW</v>
      </c>
      <c r="F682" s="211" t="str">
        <f>IFERROR(__xludf.DUMMYFUNCTION("""COMPUTED_VALUE"""),"B2G2 - Entire Store")</f>
        <v>B2G2 - Entire Store</v>
      </c>
      <c r="G682" s="212" t="str">
        <f>IFERROR(__xludf.DUMMYFUNCTION("""COMPUTED_VALUE"""),"bbw_smsfb_b2g2_22may_dormant_chenn_offline")</f>
        <v>bbw_smsfb_b2g2_22may_dormant_chenn_offline</v>
      </c>
      <c r="H682" s="212" t="str">
        <f>IFERROR(__xludf.DUMMYFUNCTION("""COMPUTED_VALUE"""),"BBW_OFF_Chennai_Dorm")</f>
        <v>BBW_OFF_Chennai_Dorm</v>
      </c>
      <c r="I682" s="212" t="str">
        <f>IFERROR(__xludf.DUMMYFUNCTION("""COMPUTED_VALUE"""),"WA Undelivered")</f>
        <v>WA Undelivered</v>
      </c>
      <c r="J682" s="213">
        <f>IFERROR(__xludf.DUMMYFUNCTION("""COMPUTED_VALUE"""),5824.0)</f>
        <v>5824</v>
      </c>
      <c r="K682" s="213">
        <f>IFERROR(__xludf.DUMMYFUNCTION("""COMPUTED_VALUE"""),3701.0)</f>
        <v>3701</v>
      </c>
      <c r="L682" s="214">
        <f>IFERROR(__xludf.DUMMYFUNCTION("""COMPUTED_VALUE"""),0.6355)</f>
        <v>0.6355</v>
      </c>
      <c r="M682" s="213">
        <f>IFERROR(__xludf.DUMMYFUNCTION("""COMPUTED_VALUE"""),0.0)</f>
        <v>0</v>
      </c>
      <c r="N682" s="214">
        <f>IFERROR(__xludf.DUMMYFUNCTION("""COMPUTED_VALUE"""),0.0)</f>
        <v>0</v>
      </c>
      <c r="O682" s="213">
        <f>IFERROR(__xludf.DUMMYFUNCTION("""COMPUTED_VALUE"""),3.0)</f>
        <v>3</v>
      </c>
      <c r="P682" s="213">
        <f>IFERROR(__xludf.DUMMYFUNCTION("""COMPUTED_VALUE"""),0.0)</f>
        <v>0</v>
      </c>
      <c r="Q682" s="214">
        <f>IFERROR(__xludf.DUMMYFUNCTION("""COMPUTED_VALUE"""),8.0E-4)</f>
        <v>0.0008</v>
      </c>
      <c r="R682" s="214">
        <f>IFERROR(__xludf.DUMMYFUNCTION("""COMPUTED_VALUE"""),0.0)</f>
        <v>0</v>
      </c>
      <c r="S682" s="101">
        <f>IFERROR(__xludf.DUMMYFUNCTION("""COMPUTED_VALUE"""),0.0)</f>
        <v>0</v>
      </c>
      <c r="T682" s="101">
        <f>IFERROR(__xludf.DUMMYFUNCTION("""COMPUTED_VALUE"""),0.0)</f>
        <v>0</v>
      </c>
      <c r="U682" s="270">
        <f>IFERROR(__xludf.DUMMYFUNCTION("""COMPUTED_VALUE"""),0.0)</f>
        <v>0</v>
      </c>
      <c r="V682" s="271" t="str">
        <f>IFERROR(__xludf.DUMMYFUNCTION("""COMPUTED_VALUE"""),"offline")</f>
        <v>offline</v>
      </c>
      <c r="W682" s="272" t="str">
        <f>IFERROR(__xludf.DUMMYFUNCTION("""COMPUTED_VALUE"""),"SMS")</f>
        <v>SMS</v>
      </c>
      <c r="X682" s="272" t="str">
        <f>IFERROR(__xludf.DUMMYFUNCTION("""COMPUTED_VALUE"""),"City Specific")</f>
        <v>City Specific</v>
      </c>
      <c r="Y682" s="272" t="str">
        <f>IFERROR(__xludf.DUMMYFUNCTION("""COMPUTED_VALUE"""),"22 May")</f>
        <v>22 May</v>
      </c>
      <c r="Z682" s="272" t="str">
        <f>IFERROR(__xludf.DUMMYFUNCTION("""COMPUTED_VALUE"""),"6a0ed2e67ee2c479e128e0c7")</f>
        <v>6a0ed2e67ee2c479e128e0c7</v>
      </c>
      <c r="AA682" s="272">
        <f>IFERROR(__xludf.DUMMYFUNCTION("""COMPUTED_VALUE"""),4.0)</f>
        <v>4</v>
      </c>
      <c r="AB682" s="272"/>
      <c r="AC682" s="272">
        <f>IFERROR(__xludf.DUMMYFUNCTION("""COMPUTED_VALUE"""),4.0)</f>
        <v>4</v>
      </c>
      <c r="AD682" s="272">
        <f>IFERROR(__xludf.DUMMYFUNCTION("""COMPUTED_VALUE"""),23390.0)</f>
        <v>23390</v>
      </c>
      <c r="AE682" s="272"/>
      <c r="AF682" s="272">
        <f>IFERROR(__xludf.DUMMYFUNCTION("""COMPUTED_VALUE"""),23390.0)</f>
        <v>23390</v>
      </c>
      <c r="AG682" s="208"/>
      <c r="AH682" s="208"/>
      <c r="AI682" s="208"/>
      <c r="AJ682" s="208"/>
      <c r="AK682" s="208"/>
    </row>
    <row r="683" hidden="1">
      <c r="A683" s="209">
        <f>IFERROR(__xludf.DUMMYFUNCTION("""COMPUTED_VALUE"""),46164.0)</f>
        <v>46164</v>
      </c>
      <c r="B683" s="210">
        <f>IFERROR(__xludf.DUMMYFUNCTION("""COMPUTED_VALUE"""),0.5)</f>
        <v>0.5</v>
      </c>
      <c r="C683" s="211" t="str">
        <f>IFERROR(__xludf.DUMMYFUNCTION("""COMPUTED_VALUE"""),"Sms")</f>
        <v>Sms</v>
      </c>
      <c r="D683" s="211" t="str">
        <f>IFERROR(__xludf.DUMMYFUNCTION("""COMPUTED_VALUE"""),"Fallback campaign")</f>
        <v>Fallback campaign</v>
      </c>
      <c r="E683" s="211" t="str">
        <f>IFERROR(__xludf.DUMMYFUNCTION("""COMPUTED_VALUE"""),"BBW")</f>
        <v>BBW</v>
      </c>
      <c r="F683" s="211" t="str">
        <f>IFERROR(__xludf.DUMMYFUNCTION("""COMPUTED_VALUE"""),"B2G2 - Entire Store")</f>
        <v>B2G2 - Entire Store</v>
      </c>
      <c r="G683" s="212" t="str">
        <f>IFERROR(__xludf.DUMMYFUNCTION("""COMPUTED_VALUE"""),"bbw_smsfb_b2g2_22may_dormant_hyd_offline")</f>
        <v>bbw_smsfb_b2g2_22may_dormant_hyd_offline</v>
      </c>
      <c r="H683" s="212" t="str">
        <f>IFERROR(__xludf.DUMMYFUNCTION("""COMPUTED_VALUE"""),"BBW_OFF_HYD_Dorm")</f>
        <v>BBW_OFF_HYD_Dorm</v>
      </c>
      <c r="I683" s="212" t="str">
        <f>IFERROR(__xludf.DUMMYFUNCTION("""COMPUTED_VALUE"""),"WA Undelivered")</f>
        <v>WA Undelivered</v>
      </c>
      <c r="J683" s="213">
        <f>IFERROR(__xludf.DUMMYFUNCTION("""COMPUTED_VALUE"""),10130.0)</f>
        <v>10130</v>
      </c>
      <c r="K683" s="213">
        <f>IFERROR(__xludf.DUMMYFUNCTION("""COMPUTED_VALUE"""),6423.0)</f>
        <v>6423</v>
      </c>
      <c r="L683" s="214">
        <f>IFERROR(__xludf.DUMMYFUNCTION("""COMPUTED_VALUE"""),0.6341)</f>
        <v>0.6341</v>
      </c>
      <c r="M683" s="213">
        <f>IFERROR(__xludf.DUMMYFUNCTION("""COMPUTED_VALUE"""),0.0)</f>
        <v>0</v>
      </c>
      <c r="N683" s="214">
        <f>IFERROR(__xludf.DUMMYFUNCTION("""COMPUTED_VALUE"""),0.0)</f>
        <v>0</v>
      </c>
      <c r="O683" s="213">
        <f>IFERROR(__xludf.DUMMYFUNCTION("""COMPUTED_VALUE"""),8.0)</f>
        <v>8</v>
      </c>
      <c r="P683" s="213">
        <f>IFERROR(__xludf.DUMMYFUNCTION("""COMPUTED_VALUE"""),0.0)</f>
        <v>0</v>
      </c>
      <c r="Q683" s="214">
        <f>IFERROR(__xludf.DUMMYFUNCTION("""COMPUTED_VALUE"""),0.0012)</f>
        <v>0.0012</v>
      </c>
      <c r="R683" s="214">
        <f>IFERROR(__xludf.DUMMYFUNCTION("""COMPUTED_VALUE"""),0.0)</f>
        <v>0</v>
      </c>
      <c r="S683" s="101">
        <f>IFERROR(__xludf.DUMMYFUNCTION("""COMPUTED_VALUE"""),0.0)</f>
        <v>0</v>
      </c>
      <c r="T683" s="101">
        <f>IFERROR(__xludf.DUMMYFUNCTION("""COMPUTED_VALUE"""),0.0)</f>
        <v>0</v>
      </c>
      <c r="U683" s="270">
        <f>IFERROR(__xludf.DUMMYFUNCTION("""COMPUTED_VALUE"""),0.0)</f>
        <v>0</v>
      </c>
      <c r="V683" s="271" t="str">
        <f>IFERROR(__xludf.DUMMYFUNCTION("""COMPUTED_VALUE"""),"offline")</f>
        <v>offline</v>
      </c>
      <c r="W683" s="272" t="str">
        <f>IFERROR(__xludf.DUMMYFUNCTION("""COMPUTED_VALUE"""),"SMS")</f>
        <v>SMS</v>
      </c>
      <c r="X683" s="272" t="str">
        <f>IFERROR(__xludf.DUMMYFUNCTION("""COMPUTED_VALUE"""),"City Specific")</f>
        <v>City Specific</v>
      </c>
      <c r="Y683" s="272" t="str">
        <f>IFERROR(__xludf.DUMMYFUNCTION("""COMPUTED_VALUE"""),"22 May")</f>
        <v>22 May</v>
      </c>
      <c r="Z683" s="272" t="str">
        <f>IFERROR(__xludf.DUMMYFUNCTION("""COMPUTED_VALUE"""),"6a0edac2b813fb13c3bdeefb")</f>
        <v>6a0edac2b813fb13c3bdeefb</v>
      </c>
      <c r="AA683" s="272">
        <f>IFERROR(__xludf.DUMMYFUNCTION("""COMPUTED_VALUE"""),4.0)</f>
        <v>4</v>
      </c>
      <c r="AB683" s="272"/>
      <c r="AC683" s="272">
        <f>IFERROR(__xludf.DUMMYFUNCTION("""COMPUTED_VALUE"""),4.0)</f>
        <v>4</v>
      </c>
      <c r="AD683" s="272">
        <f>IFERROR(__xludf.DUMMYFUNCTION("""COMPUTED_VALUE"""),19687.0)</f>
        <v>19687</v>
      </c>
      <c r="AE683" s="272"/>
      <c r="AF683" s="272">
        <f>IFERROR(__xludf.DUMMYFUNCTION("""COMPUTED_VALUE"""),19687.0)</f>
        <v>19687</v>
      </c>
      <c r="AG683" s="208"/>
      <c r="AH683" s="208"/>
      <c r="AI683" s="208"/>
      <c r="AJ683" s="208"/>
      <c r="AK683" s="208"/>
    </row>
    <row r="684" hidden="1">
      <c r="A684" s="209">
        <f>IFERROR(__xludf.DUMMYFUNCTION("""COMPUTED_VALUE"""),46164.0)</f>
        <v>46164</v>
      </c>
      <c r="B684" s="210">
        <f>IFERROR(__xludf.DUMMYFUNCTION("""COMPUTED_VALUE"""),0.5)</f>
        <v>0.5</v>
      </c>
      <c r="C684" s="211" t="str">
        <f>IFERROR(__xludf.DUMMYFUNCTION("""COMPUTED_VALUE"""),"Sms")</f>
        <v>Sms</v>
      </c>
      <c r="D684" s="211" t="str">
        <f>IFERROR(__xludf.DUMMYFUNCTION("""COMPUTED_VALUE"""),"Fallback campaign")</f>
        <v>Fallback campaign</v>
      </c>
      <c r="E684" s="211" t="str">
        <f>IFERROR(__xludf.DUMMYFUNCTION("""COMPUTED_VALUE"""),"BBW")</f>
        <v>BBW</v>
      </c>
      <c r="F684" s="211" t="str">
        <f>IFERROR(__xludf.DUMMYFUNCTION("""COMPUTED_VALUE"""),"B2G2 - Entire Store")</f>
        <v>B2G2 - Entire Store</v>
      </c>
      <c r="G684" s="212" t="str">
        <f>IFERROR(__xludf.DUMMYFUNCTION("""COMPUTED_VALUE"""),"bbw_smsfb_b2g2_22may_dormant_chd_offline")</f>
        <v>bbw_smsfb_b2g2_22may_dormant_chd_offline</v>
      </c>
      <c r="H684" s="212" t="str">
        <f>IFERROR(__xludf.DUMMYFUNCTION("""COMPUTED_VALUE"""),"BBW_OFF_CHD_Dorm")</f>
        <v>BBW_OFF_CHD_Dorm</v>
      </c>
      <c r="I684" s="212" t="str">
        <f>IFERROR(__xludf.DUMMYFUNCTION("""COMPUTED_VALUE"""),"WA Undelivered")</f>
        <v>WA Undelivered</v>
      </c>
      <c r="J684" s="213">
        <f>IFERROR(__xludf.DUMMYFUNCTION("""COMPUTED_VALUE"""),7734.0)</f>
        <v>7734</v>
      </c>
      <c r="K684" s="213">
        <f>IFERROR(__xludf.DUMMYFUNCTION("""COMPUTED_VALUE"""),4919.0)</f>
        <v>4919</v>
      </c>
      <c r="L684" s="214">
        <f>IFERROR(__xludf.DUMMYFUNCTION("""COMPUTED_VALUE"""),0.636)</f>
        <v>0.636</v>
      </c>
      <c r="M684" s="213">
        <f>IFERROR(__xludf.DUMMYFUNCTION("""COMPUTED_VALUE"""),0.0)</f>
        <v>0</v>
      </c>
      <c r="N684" s="214">
        <f>IFERROR(__xludf.DUMMYFUNCTION("""COMPUTED_VALUE"""),0.0)</f>
        <v>0</v>
      </c>
      <c r="O684" s="213">
        <f>IFERROR(__xludf.DUMMYFUNCTION("""COMPUTED_VALUE"""),6.0)</f>
        <v>6</v>
      </c>
      <c r="P684" s="213">
        <f>IFERROR(__xludf.DUMMYFUNCTION("""COMPUTED_VALUE"""),0.0)</f>
        <v>0</v>
      </c>
      <c r="Q684" s="214">
        <f>IFERROR(__xludf.DUMMYFUNCTION("""COMPUTED_VALUE"""),0.0012)</f>
        <v>0.0012</v>
      </c>
      <c r="R684" s="214">
        <f>IFERROR(__xludf.DUMMYFUNCTION("""COMPUTED_VALUE"""),0.0)</f>
        <v>0</v>
      </c>
      <c r="S684" s="101">
        <f>IFERROR(__xludf.DUMMYFUNCTION("""COMPUTED_VALUE"""),0.0)</f>
        <v>0</v>
      </c>
      <c r="T684" s="101">
        <f>IFERROR(__xludf.DUMMYFUNCTION("""COMPUTED_VALUE"""),0.0)</f>
        <v>0</v>
      </c>
      <c r="U684" s="270">
        <f>IFERROR(__xludf.DUMMYFUNCTION("""COMPUTED_VALUE"""),0.0)</f>
        <v>0</v>
      </c>
      <c r="V684" s="271" t="str">
        <f>IFERROR(__xludf.DUMMYFUNCTION("""COMPUTED_VALUE"""),"offline")</f>
        <v>offline</v>
      </c>
      <c r="W684" s="272" t="str">
        <f>IFERROR(__xludf.DUMMYFUNCTION("""COMPUTED_VALUE"""),"SMS")</f>
        <v>SMS</v>
      </c>
      <c r="X684" s="272" t="str">
        <f>IFERROR(__xludf.DUMMYFUNCTION("""COMPUTED_VALUE"""),"City Specific")</f>
        <v>City Specific</v>
      </c>
      <c r="Y684" s="272" t="str">
        <f>IFERROR(__xludf.DUMMYFUNCTION("""COMPUTED_VALUE"""),"22 May")</f>
        <v>22 May</v>
      </c>
      <c r="Z684" s="272" t="str">
        <f>IFERROR(__xludf.DUMMYFUNCTION("""COMPUTED_VALUE"""),"6a0edbd1cef7ea6f77e880e0")</f>
        <v>6a0edbd1cef7ea6f77e880e0</v>
      </c>
      <c r="AA684" s="272">
        <f>IFERROR(__xludf.DUMMYFUNCTION("""COMPUTED_VALUE"""),4.0)</f>
        <v>4</v>
      </c>
      <c r="AB684" s="272"/>
      <c r="AC684" s="272">
        <f>IFERROR(__xludf.DUMMYFUNCTION("""COMPUTED_VALUE"""),4.0)</f>
        <v>4</v>
      </c>
      <c r="AD684" s="272">
        <f>IFERROR(__xludf.DUMMYFUNCTION("""COMPUTED_VALUE"""),28424.0)</f>
        <v>28424</v>
      </c>
      <c r="AE684" s="272"/>
      <c r="AF684" s="272">
        <f>IFERROR(__xludf.DUMMYFUNCTION("""COMPUTED_VALUE"""),28424.0)</f>
        <v>28424</v>
      </c>
      <c r="AG684" s="208"/>
      <c r="AH684" s="208"/>
      <c r="AI684" s="208"/>
      <c r="AJ684" s="208"/>
      <c r="AK684" s="208"/>
    </row>
    <row r="685" hidden="1">
      <c r="A685" s="209">
        <f>IFERROR(__xludf.DUMMYFUNCTION("""COMPUTED_VALUE"""),46164.0)</f>
        <v>46164</v>
      </c>
      <c r="B685" s="210">
        <f>IFERROR(__xludf.DUMMYFUNCTION("""COMPUTED_VALUE"""),0.5)</f>
        <v>0.5</v>
      </c>
      <c r="C685" s="211" t="str">
        <f>IFERROR(__xludf.DUMMYFUNCTION("""COMPUTED_VALUE"""),"Sms")</f>
        <v>Sms</v>
      </c>
      <c r="D685" s="211" t="str">
        <f>IFERROR(__xludf.DUMMYFUNCTION("""COMPUTED_VALUE"""),"Fallback campaign")</f>
        <v>Fallback campaign</v>
      </c>
      <c r="E685" s="211" t="str">
        <f>IFERROR(__xludf.DUMMYFUNCTION("""COMPUTED_VALUE"""),"BBW")</f>
        <v>BBW</v>
      </c>
      <c r="F685" s="211" t="str">
        <f>IFERROR(__xludf.DUMMYFUNCTION("""COMPUTED_VALUE"""),"B2G2 - Entire Store")</f>
        <v>B2G2 - Entire Store</v>
      </c>
      <c r="G685" s="212" t="str">
        <f>IFERROR(__xludf.DUMMYFUNCTION("""COMPUTED_VALUE"""),"bbw_smsfb_b2g2_22may_dormant_ggn_offline")</f>
        <v>bbw_smsfb_b2g2_22may_dormant_ggn_offline</v>
      </c>
      <c r="H685" s="212" t="str">
        <f>IFERROR(__xludf.DUMMYFUNCTION("""COMPUTED_VALUE"""),"BBW_OFF_GGN_Dorm")</f>
        <v>BBW_OFF_GGN_Dorm</v>
      </c>
      <c r="I685" s="212" t="str">
        <f>IFERROR(__xludf.DUMMYFUNCTION("""COMPUTED_VALUE"""),"WA Undelivered")</f>
        <v>WA Undelivered</v>
      </c>
      <c r="J685" s="213">
        <f>IFERROR(__xludf.DUMMYFUNCTION("""COMPUTED_VALUE"""),8339.0)</f>
        <v>8339</v>
      </c>
      <c r="K685" s="213">
        <f>IFERROR(__xludf.DUMMYFUNCTION("""COMPUTED_VALUE"""),4224.0)</f>
        <v>4224</v>
      </c>
      <c r="L685" s="214">
        <f>IFERROR(__xludf.DUMMYFUNCTION("""COMPUTED_VALUE"""),0.5065)</f>
        <v>0.5065</v>
      </c>
      <c r="M685" s="213">
        <f>IFERROR(__xludf.DUMMYFUNCTION("""COMPUTED_VALUE"""),0.0)</f>
        <v>0</v>
      </c>
      <c r="N685" s="214">
        <f>IFERROR(__xludf.DUMMYFUNCTION("""COMPUTED_VALUE"""),0.0)</f>
        <v>0</v>
      </c>
      <c r="O685" s="213">
        <f>IFERROR(__xludf.DUMMYFUNCTION("""COMPUTED_VALUE"""),16.0)</f>
        <v>16</v>
      </c>
      <c r="P685" s="213">
        <f>IFERROR(__xludf.DUMMYFUNCTION("""COMPUTED_VALUE"""),0.0)</f>
        <v>0</v>
      </c>
      <c r="Q685" s="214">
        <f>IFERROR(__xludf.DUMMYFUNCTION("""COMPUTED_VALUE"""),0.0038)</f>
        <v>0.0038</v>
      </c>
      <c r="R685" s="214">
        <f>IFERROR(__xludf.DUMMYFUNCTION("""COMPUTED_VALUE"""),0.0)</f>
        <v>0</v>
      </c>
      <c r="S685" s="101">
        <f>IFERROR(__xludf.DUMMYFUNCTION("""COMPUTED_VALUE"""),0.0)</f>
        <v>0</v>
      </c>
      <c r="T685" s="101">
        <f>IFERROR(__xludf.DUMMYFUNCTION("""COMPUTED_VALUE"""),0.0)</f>
        <v>0</v>
      </c>
      <c r="U685" s="270">
        <f>IFERROR(__xludf.DUMMYFUNCTION("""COMPUTED_VALUE"""),0.0)</f>
        <v>0</v>
      </c>
      <c r="V685" s="271" t="str">
        <f>IFERROR(__xludf.DUMMYFUNCTION("""COMPUTED_VALUE"""),"offline")</f>
        <v>offline</v>
      </c>
      <c r="W685" s="272" t="str">
        <f>IFERROR(__xludf.DUMMYFUNCTION("""COMPUTED_VALUE"""),"SMS")</f>
        <v>SMS</v>
      </c>
      <c r="X685" s="272" t="str">
        <f>IFERROR(__xludf.DUMMYFUNCTION("""COMPUTED_VALUE"""),"City Specific")</f>
        <v>City Specific</v>
      </c>
      <c r="Y685" s="272" t="str">
        <f>IFERROR(__xludf.DUMMYFUNCTION("""COMPUTED_VALUE"""),"22 May")</f>
        <v>22 May</v>
      </c>
      <c r="Z685" s="272" t="str">
        <f>IFERROR(__xludf.DUMMYFUNCTION("""COMPUTED_VALUE"""),"6a0edc485376efb068192edf")</f>
        <v>6a0edc485376efb068192edf</v>
      </c>
      <c r="AA685" s="272">
        <f>IFERROR(__xludf.DUMMYFUNCTION("""COMPUTED_VALUE"""),8.0)</f>
        <v>8</v>
      </c>
      <c r="AB685" s="272"/>
      <c r="AC685" s="272">
        <f>IFERROR(__xludf.DUMMYFUNCTION("""COMPUTED_VALUE"""),8.0)</f>
        <v>8</v>
      </c>
      <c r="AD685" s="272">
        <f>IFERROR(__xludf.DUMMYFUNCTION("""COMPUTED_VALUE"""),36682.0)</f>
        <v>36682</v>
      </c>
      <c r="AE685" s="272"/>
      <c r="AF685" s="272">
        <f>IFERROR(__xludf.DUMMYFUNCTION("""COMPUTED_VALUE"""),36682.0)</f>
        <v>36682</v>
      </c>
      <c r="AG685" s="208"/>
      <c r="AH685" s="208"/>
      <c r="AI685" s="208"/>
      <c r="AJ685" s="208"/>
      <c r="AK685" s="208"/>
    </row>
    <row r="686" hidden="1">
      <c r="A686" s="209">
        <f>IFERROR(__xludf.DUMMYFUNCTION("""COMPUTED_VALUE"""),46164.0)</f>
        <v>46164</v>
      </c>
      <c r="B686" s="210">
        <f>IFERROR(__xludf.DUMMYFUNCTION("""COMPUTED_VALUE"""),0.5)</f>
        <v>0.5</v>
      </c>
      <c r="C686" s="211" t="str">
        <f>IFERROR(__xludf.DUMMYFUNCTION("""COMPUTED_VALUE"""),"Sms")</f>
        <v>Sms</v>
      </c>
      <c r="D686" s="211" t="str">
        <f>IFERROR(__xludf.DUMMYFUNCTION("""COMPUTED_VALUE"""),"Fallback campaign")</f>
        <v>Fallback campaign</v>
      </c>
      <c r="E686" s="211" t="str">
        <f>IFERROR(__xludf.DUMMYFUNCTION("""COMPUTED_VALUE"""),"BBW")</f>
        <v>BBW</v>
      </c>
      <c r="F686" s="211" t="str">
        <f>IFERROR(__xludf.DUMMYFUNCTION("""COMPUTED_VALUE"""),"B2G2 - Entire Store")</f>
        <v>B2G2 - Entire Store</v>
      </c>
      <c r="G686" s="212" t="str">
        <f>IFERROR(__xludf.DUMMYFUNCTION("""COMPUTED_VALUE"""),"bbw_smsfb_b2g2_22may_dormant_noida_offline")</f>
        <v>bbw_smsfb_b2g2_22may_dormant_noida_offline</v>
      </c>
      <c r="H686" s="212" t="str">
        <f>IFERROR(__xludf.DUMMYFUNCTION("""COMPUTED_VALUE"""),"BBW_OFF_NOIDA_Dorm")</f>
        <v>BBW_OFF_NOIDA_Dorm</v>
      </c>
      <c r="I686" s="212" t="str">
        <f>IFERROR(__xludf.DUMMYFUNCTION("""COMPUTED_VALUE"""),"WA Undelivered")</f>
        <v>WA Undelivered</v>
      </c>
      <c r="J686" s="213">
        <f>IFERROR(__xludf.DUMMYFUNCTION("""COMPUTED_VALUE"""),8896.0)</f>
        <v>8896</v>
      </c>
      <c r="K686" s="213">
        <f>IFERROR(__xludf.DUMMYFUNCTION("""COMPUTED_VALUE"""),4766.0)</f>
        <v>4766</v>
      </c>
      <c r="L686" s="214">
        <f>IFERROR(__xludf.DUMMYFUNCTION("""COMPUTED_VALUE"""),0.5357)</f>
        <v>0.5357</v>
      </c>
      <c r="M686" s="213">
        <f>IFERROR(__xludf.DUMMYFUNCTION("""COMPUTED_VALUE"""),0.0)</f>
        <v>0</v>
      </c>
      <c r="N686" s="214">
        <f>IFERROR(__xludf.DUMMYFUNCTION("""COMPUTED_VALUE"""),0.0)</f>
        <v>0</v>
      </c>
      <c r="O686" s="213">
        <f>IFERROR(__xludf.DUMMYFUNCTION("""COMPUTED_VALUE"""),13.0)</f>
        <v>13</v>
      </c>
      <c r="P686" s="213">
        <f>IFERROR(__xludf.DUMMYFUNCTION("""COMPUTED_VALUE"""),0.0)</f>
        <v>0</v>
      </c>
      <c r="Q686" s="214">
        <f>IFERROR(__xludf.DUMMYFUNCTION("""COMPUTED_VALUE"""),0.0027)</f>
        <v>0.0027</v>
      </c>
      <c r="R686" s="214">
        <f>IFERROR(__xludf.DUMMYFUNCTION("""COMPUTED_VALUE"""),0.0)</f>
        <v>0</v>
      </c>
      <c r="S686" s="101">
        <f>IFERROR(__xludf.DUMMYFUNCTION("""COMPUTED_VALUE"""),0.0)</f>
        <v>0</v>
      </c>
      <c r="T686" s="101">
        <f>IFERROR(__xludf.DUMMYFUNCTION("""COMPUTED_VALUE"""),0.0)</f>
        <v>0</v>
      </c>
      <c r="U686" s="270">
        <f>IFERROR(__xludf.DUMMYFUNCTION("""COMPUTED_VALUE"""),0.0)</f>
        <v>0</v>
      </c>
      <c r="V686" s="271" t="str">
        <f>IFERROR(__xludf.DUMMYFUNCTION("""COMPUTED_VALUE"""),"offline")</f>
        <v>offline</v>
      </c>
      <c r="W686" s="272" t="str">
        <f>IFERROR(__xludf.DUMMYFUNCTION("""COMPUTED_VALUE"""),"SMS")</f>
        <v>SMS</v>
      </c>
      <c r="X686" s="272" t="str">
        <f>IFERROR(__xludf.DUMMYFUNCTION("""COMPUTED_VALUE"""),"City Specific")</f>
        <v>City Specific</v>
      </c>
      <c r="Y686" s="272" t="str">
        <f>IFERROR(__xludf.DUMMYFUNCTION("""COMPUTED_VALUE"""),"22 May")</f>
        <v>22 May</v>
      </c>
      <c r="Z686" s="272" t="str">
        <f>IFERROR(__xludf.DUMMYFUNCTION("""COMPUTED_VALUE"""),"6a0edc968bfe61c28aec078c")</f>
        <v>6a0edc968bfe61c28aec078c</v>
      </c>
      <c r="AA686" s="272">
        <f>IFERROR(__xludf.DUMMYFUNCTION("""COMPUTED_VALUE"""),9.0)</f>
        <v>9</v>
      </c>
      <c r="AB686" s="272"/>
      <c r="AC686" s="272">
        <f>IFERROR(__xludf.DUMMYFUNCTION("""COMPUTED_VALUE"""),9.0)</f>
        <v>9</v>
      </c>
      <c r="AD686" s="272">
        <f>IFERROR(__xludf.DUMMYFUNCTION("""COMPUTED_VALUE"""),35181.0)</f>
        <v>35181</v>
      </c>
      <c r="AE686" s="272"/>
      <c r="AF686" s="272">
        <f>IFERROR(__xludf.DUMMYFUNCTION("""COMPUTED_VALUE"""),35181.0)</f>
        <v>35181</v>
      </c>
      <c r="AG686" s="208"/>
      <c r="AH686" s="208"/>
      <c r="AI686" s="208"/>
      <c r="AJ686" s="208"/>
      <c r="AK686" s="208"/>
    </row>
    <row r="687" hidden="1">
      <c r="A687" s="209">
        <f>IFERROR(__xludf.DUMMYFUNCTION("""COMPUTED_VALUE"""),46164.0)</f>
        <v>46164</v>
      </c>
      <c r="B687" s="210">
        <f>IFERROR(__xludf.DUMMYFUNCTION("""COMPUTED_VALUE"""),0.5)</f>
        <v>0.5</v>
      </c>
      <c r="C687" s="211" t="str">
        <f>IFERROR(__xludf.DUMMYFUNCTION("""COMPUTED_VALUE"""),"Sms")</f>
        <v>Sms</v>
      </c>
      <c r="D687" s="211" t="str">
        <f>IFERROR(__xludf.DUMMYFUNCTION("""COMPUTED_VALUE"""),"Fallback campaign")</f>
        <v>Fallback campaign</v>
      </c>
      <c r="E687" s="211" t="str">
        <f>IFERROR(__xludf.DUMMYFUNCTION("""COMPUTED_VALUE"""),"BBW")</f>
        <v>BBW</v>
      </c>
      <c r="F687" s="211" t="str">
        <f>IFERROR(__xludf.DUMMYFUNCTION("""COMPUTED_VALUE"""),"B2G2 - Entire Store")</f>
        <v>B2G2 - Entire Store</v>
      </c>
      <c r="G687" s="212" t="str">
        <f>IFERROR(__xludf.DUMMYFUNCTION("""COMPUTED_VALUE"""),"bbw_smsfb_b2g2_22may_dormant_thane_offline")</f>
        <v>bbw_smsfb_b2g2_22may_dormant_thane_offline</v>
      </c>
      <c r="H687" s="212" t="str">
        <f>IFERROR(__xludf.DUMMYFUNCTION("""COMPUTED_VALUE"""),"BBW_OFF_THANE_Dorm")</f>
        <v>BBW_OFF_THANE_Dorm</v>
      </c>
      <c r="I687" s="212" t="str">
        <f>IFERROR(__xludf.DUMMYFUNCTION("""COMPUTED_VALUE"""),"WA Undelivered")</f>
        <v>WA Undelivered</v>
      </c>
      <c r="J687" s="213">
        <f>IFERROR(__xludf.DUMMYFUNCTION("""COMPUTED_VALUE"""),3303.0)</f>
        <v>3303</v>
      </c>
      <c r="K687" s="213">
        <f>IFERROR(__xludf.DUMMYFUNCTION("""COMPUTED_VALUE"""),1864.0)</f>
        <v>1864</v>
      </c>
      <c r="L687" s="214">
        <f>IFERROR(__xludf.DUMMYFUNCTION("""COMPUTED_VALUE"""),0.5643)</f>
        <v>0.5643</v>
      </c>
      <c r="M687" s="213">
        <f>IFERROR(__xludf.DUMMYFUNCTION("""COMPUTED_VALUE"""),0.0)</f>
        <v>0</v>
      </c>
      <c r="N687" s="214">
        <f>IFERROR(__xludf.DUMMYFUNCTION("""COMPUTED_VALUE"""),0.0)</f>
        <v>0</v>
      </c>
      <c r="O687" s="213">
        <f>IFERROR(__xludf.DUMMYFUNCTION("""COMPUTED_VALUE"""),5.0)</f>
        <v>5</v>
      </c>
      <c r="P687" s="213">
        <f>IFERROR(__xludf.DUMMYFUNCTION("""COMPUTED_VALUE"""),0.0)</f>
        <v>0</v>
      </c>
      <c r="Q687" s="214">
        <f>IFERROR(__xludf.DUMMYFUNCTION("""COMPUTED_VALUE"""),0.0027)</f>
        <v>0.0027</v>
      </c>
      <c r="R687" s="214">
        <f>IFERROR(__xludf.DUMMYFUNCTION("""COMPUTED_VALUE"""),0.0)</f>
        <v>0</v>
      </c>
      <c r="S687" s="101">
        <f>IFERROR(__xludf.DUMMYFUNCTION("""COMPUTED_VALUE"""),0.0)</f>
        <v>0</v>
      </c>
      <c r="T687" s="101">
        <f>IFERROR(__xludf.DUMMYFUNCTION("""COMPUTED_VALUE"""),0.0)</f>
        <v>0</v>
      </c>
      <c r="U687" s="270">
        <f>IFERROR(__xludf.DUMMYFUNCTION("""COMPUTED_VALUE"""),0.0)</f>
        <v>0</v>
      </c>
      <c r="V687" s="271" t="str">
        <f>IFERROR(__xludf.DUMMYFUNCTION("""COMPUTED_VALUE"""),"offline")</f>
        <v>offline</v>
      </c>
      <c r="W687" s="272" t="str">
        <f>IFERROR(__xludf.DUMMYFUNCTION("""COMPUTED_VALUE"""),"SMS")</f>
        <v>SMS</v>
      </c>
      <c r="X687" s="272" t="str">
        <f>IFERROR(__xludf.DUMMYFUNCTION("""COMPUTED_VALUE"""),"City Specific")</f>
        <v>City Specific</v>
      </c>
      <c r="Y687" s="272" t="str">
        <f>IFERROR(__xludf.DUMMYFUNCTION("""COMPUTED_VALUE"""),"22 May")</f>
        <v>22 May</v>
      </c>
      <c r="Z687" s="272" t="str">
        <f>IFERROR(__xludf.DUMMYFUNCTION("""COMPUTED_VALUE"""),"6a0edcd4d68f335fbd1b2caf")</f>
        <v>6a0edcd4d68f335fbd1b2caf</v>
      </c>
      <c r="AA687" s="272">
        <f>IFERROR(__xludf.DUMMYFUNCTION("""COMPUTED_VALUE"""),0.0)</f>
        <v>0</v>
      </c>
      <c r="AB687" s="272"/>
      <c r="AC687" s="272">
        <f>IFERROR(__xludf.DUMMYFUNCTION("""COMPUTED_VALUE"""),0.0)</f>
        <v>0</v>
      </c>
      <c r="AD687" s="272">
        <f>IFERROR(__xludf.DUMMYFUNCTION("""COMPUTED_VALUE"""),0.0)</f>
        <v>0</v>
      </c>
      <c r="AE687" s="272"/>
      <c r="AF687" s="272">
        <f>IFERROR(__xludf.DUMMYFUNCTION("""COMPUTED_VALUE"""),0.0)</f>
        <v>0</v>
      </c>
      <c r="AG687" s="208"/>
      <c r="AH687" s="208"/>
      <c r="AI687" s="208"/>
      <c r="AJ687" s="208"/>
      <c r="AK687" s="208"/>
    </row>
    <row r="688" hidden="1">
      <c r="A688" s="209">
        <f>IFERROR(__xludf.DUMMYFUNCTION("""COMPUTED_VALUE"""),46164.0)</f>
        <v>46164</v>
      </c>
      <c r="B688" s="210">
        <f>IFERROR(__xludf.DUMMYFUNCTION("""COMPUTED_VALUE"""),0.5)</f>
        <v>0.5</v>
      </c>
      <c r="C688" s="211" t="str">
        <f>IFERROR(__xludf.DUMMYFUNCTION("""COMPUTED_VALUE"""),"Sms")</f>
        <v>Sms</v>
      </c>
      <c r="D688" s="211" t="str">
        <f>IFERROR(__xludf.DUMMYFUNCTION("""COMPUTED_VALUE"""),"Fallback campaign")</f>
        <v>Fallback campaign</v>
      </c>
      <c r="E688" s="211" t="str">
        <f>IFERROR(__xludf.DUMMYFUNCTION("""COMPUTED_VALUE"""),"BBW")</f>
        <v>BBW</v>
      </c>
      <c r="F688" s="211" t="str">
        <f>IFERROR(__xludf.DUMMYFUNCTION("""COMPUTED_VALUE"""),"B2G2 - Entire Store")</f>
        <v>B2G2 - Entire Store</v>
      </c>
      <c r="G688" s="212" t="str">
        <f>IFERROR(__xludf.DUMMYFUNCTION("""COMPUTED_VALUE"""),"bbw_smsfb_b2g2_22may_dormant_vad_offline")</f>
        <v>bbw_smsfb_b2g2_22may_dormant_vad_offline</v>
      </c>
      <c r="H688" s="212" t="str">
        <f>IFERROR(__xludf.DUMMYFUNCTION("""COMPUTED_VALUE"""),"BBW_OFF_Vadodara_Dorm")</f>
        <v>BBW_OFF_Vadodara_Dorm</v>
      </c>
      <c r="I688" s="212" t="str">
        <f>IFERROR(__xludf.DUMMYFUNCTION("""COMPUTED_VALUE"""),"WA Undelivered")</f>
        <v>WA Undelivered</v>
      </c>
      <c r="J688" s="213">
        <f>IFERROR(__xludf.DUMMYFUNCTION("""COMPUTED_VALUE"""),3169.0)</f>
        <v>3169</v>
      </c>
      <c r="K688" s="213">
        <f>IFERROR(__xludf.DUMMYFUNCTION("""COMPUTED_VALUE"""),1805.0)</f>
        <v>1805</v>
      </c>
      <c r="L688" s="214">
        <f>IFERROR(__xludf.DUMMYFUNCTION("""COMPUTED_VALUE"""),0.5696)</f>
        <v>0.5696</v>
      </c>
      <c r="M688" s="213">
        <f>IFERROR(__xludf.DUMMYFUNCTION("""COMPUTED_VALUE"""),0.0)</f>
        <v>0</v>
      </c>
      <c r="N688" s="214">
        <f>IFERROR(__xludf.DUMMYFUNCTION("""COMPUTED_VALUE"""),0.0)</f>
        <v>0</v>
      </c>
      <c r="O688" s="213">
        <f>IFERROR(__xludf.DUMMYFUNCTION("""COMPUTED_VALUE"""),1.0)</f>
        <v>1</v>
      </c>
      <c r="P688" s="213">
        <f>IFERROR(__xludf.DUMMYFUNCTION("""COMPUTED_VALUE"""),0.0)</f>
        <v>0</v>
      </c>
      <c r="Q688" s="214">
        <f>IFERROR(__xludf.DUMMYFUNCTION("""COMPUTED_VALUE"""),6.0E-4)</f>
        <v>0.0006</v>
      </c>
      <c r="R688" s="214">
        <f>IFERROR(__xludf.DUMMYFUNCTION("""COMPUTED_VALUE"""),0.0)</f>
        <v>0</v>
      </c>
      <c r="S688" s="101">
        <f>IFERROR(__xludf.DUMMYFUNCTION("""COMPUTED_VALUE"""),0.0)</f>
        <v>0</v>
      </c>
      <c r="T688" s="101">
        <f>IFERROR(__xludf.DUMMYFUNCTION("""COMPUTED_VALUE"""),0.0)</f>
        <v>0</v>
      </c>
      <c r="U688" s="270">
        <f>IFERROR(__xludf.DUMMYFUNCTION("""COMPUTED_VALUE"""),0.0)</f>
        <v>0</v>
      </c>
      <c r="V688" s="271" t="str">
        <f>IFERROR(__xludf.DUMMYFUNCTION("""COMPUTED_VALUE"""),"offline")</f>
        <v>offline</v>
      </c>
      <c r="W688" s="272" t="str">
        <f>IFERROR(__xludf.DUMMYFUNCTION("""COMPUTED_VALUE"""),"SMS")</f>
        <v>SMS</v>
      </c>
      <c r="X688" s="272" t="str">
        <f>IFERROR(__xludf.DUMMYFUNCTION("""COMPUTED_VALUE"""),"City Specific")</f>
        <v>City Specific</v>
      </c>
      <c r="Y688" s="272" t="str">
        <f>IFERROR(__xludf.DUMMYFUNCTION("""COMPUTED_VALUE"""),"22 May")</f>
        <v>22 May</v>
      </c>
      <c r="Z688" s="272" t="str">
        <f>IFERROR(__xludf.DUMMYFUNCTION("""COMPUTED_VALUE"""),"6a0edd370adbf18b48ceaa7e")</f>
        <v>6a0edd370adbf18b48ceaa7e</v>
      </c>
      <c r="AA688" s="272">
        <f>IFERROR(__xludf.DUMMYFUNCTION("""COMPUTED_VALUE"""),3.0)</f>
        <v>3</v>
      </c>
      <c r="AB688" s="272"/>
      <c r="AC688" s="272">
        <f>IFERROR(__xludf.DUMMYFUNCTION("""COMPUTED_VALUE"""),3.0)</f>
        <v>3</v>
      </c>
      <c r="AD688" s="272">
        <f>IFERROR(__xludf.DUMMYFUNCTION("""COMPUTED_VALUE"""),8195.0)</f>
        <v>8195</v>
      </c>
      <c r="AE688" s="272"/>
      <c r="AF688" s="272">
        <f>IFERROR(__xludf.DUMMYFUNCTION("""COMPUTED_VALUE"""),8195.0)</f>
        <v>8195</v>
      </c>
      <c r="AG688" s="208"/>
      <c r="AH688" s="208"/>
      <c r="AI688" s="208"/>
      <c r="AJ688" s="208"/>
      <c r="AK688" s="208"/>
    </row>
    <row r="689" hidden="1">
      <c r="A689" s="209">
        <f>IFERROR(__xludf.DUMMYFUNCTION("""COMPUTED_VALUE"""),46164.0)</f>
        <v>46164</v>
      </c>
      <c r="B689" s="210">
        <f>IFERROR(__xludf.DUMMYFUNCTION("""COMPUTED_VALUE"""),0.5)</f>
        <v>0.5</v>
      </c>
      <c r="C689" s="211" t="str">
        <f>IFERROR(__xludf.DUMMYFUNCTION("""COMPUTED_VALUE"""),"Sms")</f>
        <v>Sms</v>
      </c>
      <c r="D689" s="211" t="str">
        <f>IFERROR(__xludf.DUMMYFUNCTION("""COMPUTED_VALUE"""),"Fallback campaign")</f>
        <v>Fallback campaign</v>
      </c>
      <c r="E689" s="211" t="str">
        <f>IFERROR(__xludf.DUMMYFUNCTION("""COMPUTED_VALUE"""),"BBW")</f>
        <v>BBW</v>
      </c>
      <c r="F689" s="211" t="str">
        <f>IFERROR(__xludf.DUMMYFUNCTION("""COMPUTED_VALUE"""),"B2G2 - Entire Store")</f>
        <v>B2G2 - Entire Store</v>
      </c>
      <c r="G689" s="212" t="str">
        <f>IFERROR(__xludf.DUMMYFUNCTION("""COMPUTED_VALUE"""),"bbw_smsfb_b2g2_22may_dormant_kochi_offline")</f>
        <v>bbw_smsfb_b2g2_22may_dormant_kochi_offline</v>
      </c>
      <c r="H689" s="212" t="str">
        <f>IFERROR(__xludf.DUMMYFUNCTION("""COMPUTED_VALUE"""),"BBW_OFF_KOCHI_Dorm")</f>
        <v>BBW_OFF_KOCHI_Dorm</v>
      </c>
      <c r="I689" s="212" t="str">
        <f>IFERROR(__xludf.DUMMYFUNCTION("""COMPUTED_VALUE"""),"WA Undelivered")</f>
        <v>WA Undelivered</v>
      </c>
      <c r="J689" s="213">
        <f>IFERROR(__xludf.DUMMYFUNCTION("""COMPUTED_VALUE"""),2127.0)</f>
        <v>2127</v>
      </c>
      <c r="K689" s="213">
        <f>IFERROR(__xludf.DUMMYFUNCTION("""COMPUTED_VALUE"""),1386.0)</f>
        <v>1386</v>
      </c>
      <c r="L689" s="214">
        <f>IFERROR(__xludf.DUMMYFUNCTION("""COMPUTED_VALUE"""),0.6516)</f>
        <v>0.6516</v>
      </c>
      <c r="M689" s="213">
        <f>IFERROR(__xludf.DUMMYFUNCTION("""COMPUTED_VALUE"""),0.0)</f>
        <v>0</v>
      </c>
      <c r="N689" s="214">
        <f>IFERROR(__xludf.DUMMYFUNCTION("""COMPUTED_VALUE"""),0.0)</f>
        <v>0</v>
      </c>
      <c r="O689" s="213">
        <f>IFERROR(__xludf.DUMMYFUNCTION("""COMPUTED_VALUE"""),0.0)</f>
        <v>0</v>
      </c>
      <c r="P689" s="213">
        <f>IFERROR(__xludf.DUMMYFUNCTION("""COMPUTED_VALUE"""),0.0)</f>
        <v>0</v>
      </c>
      <c r="Q689" s="214">
        <f>IFERROR(__xludf.DUMMYFUNCTION("""COMPUTED_VALUE"""),0.0)</f>
        <v>0</v>
      </c>
      <c r="R689" s="214">
        <f>IFERROR(__xludf.DUMMYFUNCTION("""COMPUTED_VALUE"""),0.0)</f>
        <v>0</v>
      </c>
      <c r="S689" s="101">
        <f>IFERROR(__xludf.DUMMYFUNCTION("""COMPUTED_VALUE"""),0.0)</f>
        <v>0</v>
      </c>
      <c r="T689" s="101">
        <f>IFERROR(__xludf.DUMMYFUNCTION("""COMPUTED_VALUE"""),0.0)</f>
        <v>0</v>
      </c>
      <c r="U689" s="270">
        <f>IFERROR(__xludf.DUMMYFUNCTION("""COMPUTED_VALUE"""),0.0)</f>
        <v>0</v>
      </c>
      <c r="V689" s="271" t="str">
        <f>IFERROR(__xludf.DUMMYFUNCTION("""COMPUTED_VALUE"""),"offline")</f>
        <v>offline</v>
      </c>
      <c r="W689" s="272" t="str">
        <f>IFERROR(__xludf.DUMMYFUNCTION("""COMPUTED_VALUE"""),"SMS")</f>
        <v>SMS</v>
      </c>
      <c r="X689" s="272" t="str">
        <f>IFERROR(__xludf.DUMMYFUNCTION("""COMPUTED_VALUE"""),"City Specific")</f>
        <v>City Specific</v>
      </c>
      <c r="Y689" s="272" t="str">
        <f>IFERROR(__xludf.DUMMYFUNCTION("""COMPUTED_VALUE"""),"22 May")</f>
        <v>22 May</v>
      </c>
      <c r="Z689" s="272" t="str">
        <f>IFERROR(__xludf.DUMMYFUNCTION("""COMPUTED_VALUE"""),"6a0edf4ef5b9b118b161caa7")</f>
        <v>6a0edf4ef5b9b118b161caa7</v>
      </c>
      <c r="AA689" s="272">
        <f>IFERROR(__xludf.DUMMYFUNCTION("""COMPUTED_VALUE"""),0.0)</f>
        <v>0</v>
      </c>
      <c r="AB689" s="272"/>
      <c r="AC689" s="272">
        <f>IFERROR(__xludf.DUMMYFUNCTION("""COMPUTED_VALUE"""),0.0)</f>
        <v>0</v>
      </c>
      <c r="AD689" s="272">
        <f>IFERROR(__xludf.DUMMYFUNCTION("""COMPUTED_VALUE"""),0.0)</f>
        <v>0</v>
      </c>
      <c r="AE689" s="272"/>
      <c r="AF689" s="272">
        <f>IFERROR(__xludf.DUMMYFUNCTION("""COMPUTED_VALUE"""),0.0)</f>
        <v>0</v>
      </c>
      <c r="AG689" s="208"/>
      <c r="AH689" s="208"/>
      <c r="AI689" s="208"/>
      <c r="AJ689" s="208"/>
      <c r="AK689" s="208"/>
    </row>
    <row r="690" hidden="1">
      <c r="A690" s="209">
        <f>IFERROR(__xludf.DUMMYFUNCTION("""COMPUTED_VALUE"""),46164.0)</f>
        <v>46164</v>
      </c>
      <c r="B690" s="210">
        <f>IFERROR(__xludf.DUMMYFUNCTION("""COMPUTED_VALUE"""),0.5)</f>
        <v>0.5</v>
      </c>
      <c r="C690" s="211" t="str">
        <f>IFERROR(__xludf.DUMMYFUNCTION("""COMPUTED_VALUE"""),"Sms")</f>
        <v>Sms</v>
      </c>
      <c r="D690" s="211" t="str">
        <f>IFERROR(__xludf.DUMMYFUNCTION("""COMPUTED_VALUE"""),"Fallback campaign")</f>
        <v>Fallback campaign</v>
      </c>
      <c r="E690" s="211" t="str">
        <f>IFERROR(__xludf.DUMMYFUNCTION("""COMPUTED_VALUE"""),"BBW")</f>
        <v>BBW</v>
      </c>
      <c r="F690" s="211" t="str">
        <f>IFERROR(__xludf.DUMMYFUNCTION("""COMPUTED_VALUE"""),"B2G2 - Entire Store")</f>
        <v>B2G2 - Entire Store</v>
      </c>
      <c r="G690" s="212" t="str">
        <f>IFERROR(__xludf.DUMMYFUNCTION("""COMPUTED_VALUE"""),"bbw_smsfb_b2g2_22may_dormant_surat_offline")</f>
        <v>bbw_smsfb_b2g2_22may_dormant_surat_offline</v>
      </c>
      <c r="H690" s="212" t="str">
        <f>IFERROR(__xludf.DUMMYFUNCTION("""COMPUTED_VALUE"""),"BBW_OFF_Surat_Dorm")</f>
        <v>BBW_OFF_Surat_Dorm</v>
      </c>
      <c r="I690" s="212" t="str">
        <f>IFERROR(__xludf.DUMMYFUNCTION("""COMPUTED_VALUE"""),"WA Undelivered")</f>
        <v>WA Undelivered</v>
      </c>
      <c r="J690" s="213">
        <f>IFERROR(__xludf.DUMMYFUNCTION("""COMPUTED_VALUE"""),2128.0)</f>
        <v>2128</v>
      </c>
      <c r="K690" s="213">
        <f>IFERROR(__xludf.DUMMYFUNCTION("""COMPUTED_VALUE"""),1192.0)</f>
        <v>1192</v>
      </c>
      <c r="L690" s="214">
        <f>IFERROR(__xludf.DUMMYFUNCTION("""COMPUTED_VALUE"""),0.5602)</f>
        <v>0.5602</v>
      </c>
      <c r="M690" s="213">
        <f>IFERROR(__xludf.DUMMYFUNCTION("""COMPUTED_VALUE"""),0.0)</f>
        <v>0</v>
      </c>
      <c r="N690" s="214">
        <f>IFERROR(__xludf.DUMMYFUNCTION("""COMPUTED_VALUE"""),0.0)</f>
        <v>0</v>
      </c>
      <c r="O690" s="213">
        <f>IFERROR(__xludf.DUMMYFUNCTION("""COMPUTED_VALUE"""),8.0)</f>
        <v>8</v>
      </c>
      <c r="P690" s="213">
        <f>IFERROR(__xludf.DUMMYFUNCTION("""COMPUTED_VALUE"""),0.0)</f>
        <v>0</v>
      </c>
      <c r="Q690" s="214">
        <f>IFERROR(__xludf.DUMMYFUNCTION("""COMPUTED_VALUE"""),0.0067)</f>
        <v>0.0067</v>
      </c>
      <c r="R690" s="214">
        <f>IFERROR(__xludf.DUMMYFUNCTION("""COMPUTED_VALUE"""),0.0)</f>
        <v>0</v>
      </c>
      <c r="S690" s="101">
        <f>IFERROR(__xludf.DUMMYFUNCTION("""COMPUTED_VALUE"""),0.0)</f>
        <v>0</v>
      </c>
      <c r="T690" s="101">
        <f>IFERROR(__xludf.DUMMYFUNCTION("""COMPUTED_VALUE"""),0.0)</f>
        <v>0</v>
      </c>
      <c r="U690" s="270">
        <f>IFERROR(__xludf.DUMMYFUNCTION("""COMPUTED_VALUE"""),0.0)</f>
        <v>0</v>
      </c>
      <c r="V690" s="271" t="str">
        <f>IFERROR(__xludf.DUMMYFUNCTION("""COMPUTED_VALUE"""),"offline")</f>
        <v>offline</v>
      </c>
      <c r="W690" s="272" t="str">
        <f>IFERROR(__xludf.DUMMYFUNCTION("""COMPUTED_VALUE"""),"SMS")</f>
        <v>SMS</v>
      </c>
      <c r="X690" s="272" t="str">
        <f>IFERROR(__xludf.DUMMYFUNCTION("""COMPUTED_VALUE"""),"City Specific")</f>
        <v>City Specific</v>
      </c>
      <c r="Y690" s="272" t="str">
        <f>IFERROR(__xludf.DUMMYFUNCTION("""COMPUTED_VALUE"""),"22 May")</f>
        <v>22 May</v>
      </c>
      <c r="Z690" s="272" t="str">
        <f>IFERROR(__xludf.DUMMYFUNCTION("""COMPUTED_VALUE"""),"6a0edfbd39197e9b4c62ea94")</f>
        <v>6a0edfbd39197e9b4c62ea94</v>
      </c>
      <c r="AA690" s="272">
        <f>IFERROR(__xludf.DUMMYFUNCTION("""COMPUTED_VALUE"""),0.0)</f>
        <v>0</v>
      </c>
      <c r="AB690" s="272"/>
      <c r="AC690" s="272">
        <f>IFERROR(__xludf.DUMMYFUNCTION("""COMPUTED_VALUE"""),0.0)</f>
        <v>0</v>
      </c>
      <c r="AD690" s="272">
        <f>IFERROR(__xludf.DUMMYFUNCTION("""COMPUTED_VALUE"""),0.0)</f>
        <v>0</v>
      </c>
      <c r="AE690" s="272"/>
      <c r="AF690" s="272">
        <f>IFERROR(__xludf.DUMMYFUNCTION("""COMPUTED_VALUE"""),0.0)</f>
        <v>0</v>
      </c>
      <c r="AG690" s="208"/>
      <c r="AH690" s="208"/>
      <c r="AI690" s="208"/>
      <c r="AJ690" s="208"/>
      <c r="AK690" s="208"/>
    </row>
    <row r="691" hidden="1">
      <c r="A691" s="209">
        <f>IFERROR(__xludf.DUMMYFUNCTION("""COMPUTED_VALUE"""),46164.0)</f>
        <v>46164</v>
      </c>
      <c r="B691" s="210">
        <f>IFERROR(__xludf.DUMMYFUNCTION("""COMPUTED_VALUE"""),0.4583333333321207)</f>
        <v>0.4583333333</v>
      </c>
      <c r="C691" s="211" t="str">
        <f>IFERROR(__xludf.DUMMYFUNCTION("""COMPUTED_VALUE"""),"Whatsapp")</f>
        <v>Whatsapp</v>
      </c>
      <c r="D691" s="211" t="str">
        <f>IFERROR(__xludf.DUMMYFUNCTION("""COMPUTED_VALUE"""),"Promotional")</f>
        <v>Promotional</v>
      </c>
      <c r="E691" s="211" t="str">
        <f>IFERROR(__xludf.DUMMYFUNCTION("""COMPUTED_VALUE"""),"BBW")</f>
        <v>BBW</v>
      </c>
      <c r="F691" s="211" t="str">
        <f>IFERROR(__xludf.DUMMYFUNCTION("""COMPUTED_VALUE"""),"B2G2 - Entire Store")</f>
        <v>B2G2 - Entire Store</v>
      </c>
      <c r="G691" s="212" t="str">
        <f>IFERROR(__xludf.DUMMYFUNCTION("""COMPUTED_VALUE"""),"bbw_wa_b2g2_closer_launch_22may_event_buyers_overall")</f>
        <v>bbw_wa_b2g2_closer_launch_22may_event_buyers_overall</v>
      </c>
      <c r="H691" s="212" t="str">
        <f>IFERROR(__xludf.DUMMYFUNCTION("""COMPUTED_VALUE"""),"BBW_ON_OFF_B2G2_Event_Buyers")</f>
        <v>BBW_ON_OFF_B2G2_Event_Buyers</v>
      </c>
      <c r="I691" s="212" t="str">
        <f>IFERROR(__xludf.DUMMYFUNCTION("""COMPUTED_VALUE"""),"Customers who have purchased between 25–27 Jul 2025, 09–10 Aug 2025, 14–17 Aug 2025, 02–05 Oct 2025, 17–21 Oct 2025, 23–26 Jan 2026, 13–15 Feb 2026, 04–08 Mar 2026")</f>
        <v>Customers who have purchased between 25–27 Jul 2025, 09–10 Aug 2025, 14–17 Aug 2025, 02–05 Oct 2025, 17–21 Oct 2025, 23–26 Jan 2026, 13–15 Feb 2026, 04–08 Mar 2026</v>
      </c>
      <c r="J691" s="213">
        <f>IFERROR(__xludf.DUMMYFUNCTION("""COMPUTED_VALUE"""),30521.0)</f>
        <v>30521</v>
      </c>
      <c r="K691" s="213">
        <f>IFERROR(__xludf.DUMMYFUNCTION("""COMPUTED_VALUE"""),15435.0)</f>
        <v>15435</v>
      </c>
      <c r="L691" s="214">
        <f>IFERROR(__xludf.DUMMYFUNCTION("""COMPUTED_VALUE"""),0.5057)</f>
        <v>0.5057</v>
      </c>
      <c r="M691" s="213">
        <f>IFERROR(__xludf.DUMMYFUNCTION("""COMPUTED_VALUE"""),5653.0)</f>
        <v>5653</v>
      </c>
      <c r="N691" s="214">
        <f>IFERROR(__xludf.DUMMYFUNCTION("""COMPUTED_VALUE"""),0.3662)</f>
        <v>0.3662</v>
      </c>
      <c r="O691" s="213">
        <f>IFERROR(__xludf.DUMMYFUNCTION("""COMPUTED_VALUE"""),518.0)</f>
        <v>518</v>
      </c>
      <c r="P691" s="213">
        <f>IFERROR(__xludf.DUMMYFUNCTION("""COMPUTED_VALUE"""),493.0)</f>
        <v>493</v>
      </c>
      <c r="Q691" s="214">
        <f>IFERROR(__xludf.DUMMYFUNCTION("""COMPUTED_VALUE"""),0.0319)</f>
        <v>0.0319</v>
      </c>
      <c r="R691" s="214">
        <f>IFERROR(__xludf.DUMMYFUNCTION("""COMPUTED_VALUE"""),0.0872)</f>
        <v>0.0872</v>
      </c>
      <c r="S691" s="101">
        <f>IFERROR(__xludf.DUMMYFUNCTION("""COMPUTED_VALUE"""),0.0)</f>
        <v>0</v>
      </c>
      <c r="T691" s="101">
        <f>IFERROR(__xludf.DUMMYFUNCTION("""COMPUTED_VALUE"""),0.0)</f>
        <v>0</v>
      </c>
      <c r="U691" s="270">
        <f>IFERROR(__xludf.DUMMYFUNCTION("""COMPUTED_VALUE"""),0.0)</f>
        <v>0</v>
      </c>
      <c r="V691" s="271" t="str">
        <f>IFERROR(__xludf.DUMMYFUNCTION("""COMPUTED_VALUE"""),"overall")</f>
        <v>overall</v>
      </c>
      <c r="W691" s="272" t="str">
        <f>IFERROR(__xludf.DUMMYFUNCTION("""COMPUTED_VALUE"""),"simple")</f>
        <v>simple</v>
      </c>
      <c r="X691" s="272" t="str">
        <f>IFERROR(__xludf.DUMMYFUNCTION("""COMPUTED_VALUE"""),"Event Buyers")</f>
        <v>Event Buyers</v>
      </c>
      <c r="Y691" s="272" t="str">
        <f>IFERROR(__xludf.DUMMYFUNCTION("""COMPUTED_VALUE"""),"22-24 May")</f>
        <v>22-24 May</v>
      </c>
      <c r="Z691" s="272" t="str">
        <f>IFERROR(__xludf.DUMMYFUNCTION("""COMPUTED_VALUE"""),"6a0eafc11fd6f271f2732071")</f>
        <v>6a0eafc11fd6f271f2732071</v>
      </c>
      <c r="AA691" s="272">
        <f>IFERROR(__xludf.DUMMYFUNCTION("""COMPUTED_VALUE"""),157.0)</f>
        <v>157</v>
      </c>
      <c r="AB691" s="272">
        <f>IFERROR(__xludf.DUMMYFUNCTION("""COMPUTED_VALUE"""),38.0)</f>
        <v>38</v>
      </c>
      <c r="AC691" s="272">
        <f>IFERROR(__xludf.DUMMYFUNCTION("""COMPUTED_VALUE"""),119.0)</f>
        <v>119</v>
      </c>
      <c r="AD691" s="272">
        <f>IFERROR(__xludf.DUMMYFUNCTION("""COMPUTED_VALUE"""),799484.0)</f>
        <v>799484</v>
      </c>
      <c r="AE691" s="272">
        <f>IFERROR(__xludf.DUMMYFUNCTION("""COMPUTED_VALUE"""),159114.0)</f>
        <v>159114</v>
      </c>
      <c r="AF691" s="272">
        <f>IFERROR(__xludf.DUMMYFUNCTION("""COMPUTED_VALUE"""),640370.0)</f>
        <v>640370</v>
      </c>
      <c r="AG691" s="208"/>
      <c r="AH691" s="208"/>
      <c r="AI691" s="208"/>
      <c r="AJ691" s="208"/>
      <c r="AK691" s="208"/>
    </row>
    <row r="692" hidden="1">
      <c r="A692" s="209">
        <f>IFERROR(__xludf.DUMMYFUNCTION("""COMPUTED_VALUE"""),46164.0)</f>
        <v>46164</v>
      </c>
      <c r="B692" s="210">
        <f>IFERROR(__xludf.DUMMYFUNCTION("""COMPUTED_VALUE"""),0.4583333333321207)</f>
        <v>0.4583333333</v>
      </c>
      <c r="C692" s="211" t="str">
        <f>IFERROR(__xludf.DUMMYFUNCTION("""COMPUTED_VALUE"""),"Whatsapp")</f>
        <v>Whatsapp</v>
      </c>
      <c r="D692" s="211" t="str">
        <f>IFERROR(__xludf.DUMMYFUNCTION("""COMPUTED_VALUE"""),"Promotional")</f>
        <v>Promotional</v>
      </c>
      <c r="E692" s="211" t="str">
        <f>IFERROR(__xludf.DUMMYFUNCTION("""COMPUTED_VALUE"""),"BBW")</f>
        <v>BBW</v>
      </c>
      <c r="F692" s="211" t="str">
        <f>IFERROR(__xludf.DUMMYFUNCTION("""COMPUTED_VALUE"""),"B2G2 - Entire Store")</f>
        <v>B2G2 - Entire Store</v>
      </c>
      <c r="G692" s="212" t="str">
        <f>IFERROR(__xludf.DUMMYFUNCTION("""COMPUTED_VALUE"""),"bbw_wa_b2g2_22may_active_del_offline")</f>
        <v>bbw_wa_b2g2_22may_active_del_offline</v>
      </c>
      <c r="H692" s="212" t="str">
        <f>IFERROR(__xludf.DUMMYFUNCTION("""COMPUTED_VALUE"""),"BBW_OFF_DEL_Active")</f>
        <v>BBW_OFF_DEL_Active</v>
      </c>
      <c r="I692" s="212" t="str">
        <f>IFERROR(__xludf.DUMMYFUNCTION("""COMPUTED_VALUE"""),"All Offline Customers who have purchased at least 1 time from Txn_City DEL in the last 112 days (TTR)")</f>
        <v>All Offline Customers who have purchased at least 1 time from Txn_City DEL in the last 112 days (TTR)</v>
      </c>
      <c r="J692" s="213">
        <f>IFERROR(__xludf.DUMMYFUNCTION("""COMPUTED_VALUE"""),14821.0)</f>
        <v>14821</v>
      </c>
      <c r="K692" s="213">
        <f>IFERROR(__xludf.DUMMYFUNCTION("""COMPUTED_VALUE"""),5744.0)</f>
        <v>5744</v>
      </c>
      <c r="L692" s="214">
        <f>IFERROR(__xludf.DUMMYFUNCTION("""COMPUTED_VALUE"""),0.3876)</f>
        <v>0.3876</v>
      </c>
      <c r="M692" s="213">
        <f>IFERROR(__xludf.DUMMYFUNCTION("""COMPUTED_VALUE"""),2286.0)</f>
        <v>2286</v>
      </c>
      <c r="N692" s="214">
        <f>IFERROR(__xludf.DUMMYFUNCTION("""COMPUTED_VALUE"""),0.398)</f>
        <v>0.398</v>
      </c>
      <c r="O692" s="213">
        <f>IFERROR(__xludf.DUMMYFUNCTION("""COMPUTED_VALUE"""),285.0)</f>
        <v>285</v>
      </c>
      <c r="P692" s="213">
        <f>IFERROR(__xludf.DUMMYFUNCTION("""COMPUTED_VALUE"""),277.0)</f>
        <v>277</v>
      </c>
      <c r="Q692" s="214">
        <f>IFERROR(__xludf.DUMMYFUNCTION("""COMPUTED_VALUE"""),0.0482)</f>
        <v>0.0482</v>
      </c>
      <c r="R692" s="214">
        <f>IFERROR(__xludf.DUMMYFUNCTION("""COMPUTED_VALUE"""),0.1212)</f>
        <v>0.1212</v>
      </c>
      <c r="S692" s="213">
        <f>IFERROR(__xludf.DUMMYFUNCTION("""COMPUTED_VALUE"""),0.0)</f>
        <v>0</v>
      </c>
      <c r="T692" s="213">
        <f>IFERROR(__xludf.DUMMYFUNCTION("""COMPUTED_VALUE"""),0.0)</f>
        <v>0</v>
      </c>
      <c r="U692" s="270">
        <f>IFERROR(__xludf.DUMMYFUNCTION("""COMPUTED_VALUE"""),0.0)</f>
        <v>0</v>
      </c>
      <c r="V692" s="271" t="str">
        <f>IFERROR(__xludf.DUMMYFUNCTION("""COMPUTED_VALUE"""),"offline")</f>
        <v>offline</v>
      </c>
      <c r="W692" s="272" t="str">
        <f>IFERROR(__xludf.DUMMYFUNCTION("""COMPUTED_VALUE"""),"simple")</f>
        <v>simple</v>
      </c>
      <c r="X692" s="272" t="str">
        <f>IFERROR(__xludf.DUMMYFUNCTION("""COMPUTED_VALUE"""),"City Specific")</f>
        <v>City Specific</v>
      </c>
      <c r="Y692" s="272" t="str">
        <f>IFERROR(__xludf.DUMMYFUNCTION("""COMPUTED_VALUE"""),"22-24 May")</f>
        <v>22-24 May</v>
      </c>
      <c r="Z692" s="272" t="str">
        <f>IFERROR(__xludf.DUMMYFUNCTION("""COMPUTED_VALUE"""),"6a0eb0bc2fb3c5781da5eff0")</f>
        <v>6a0eb0bc2fb3c5781da5eff0</v>
      </c>
      <c r="AA692" s="272">
        <f>IFERROR(__xludf.DUMMYFUNCTION("""COMPUTED_VALUE"""),40.0)</f>
        <v>40</v>
      </c>
      <c r="AB692" s="272"/>
      <c r="AC692" s="272">
        <f>IFERROR(__xludf.DUMMYFUNCTION("""COMPUTED_VALUE"""),40.0)</f>
        <v>40</v>
      </c>
      <c r="AD692" s="272">
        <f>IFERROR(__xludf.DUMMYFUNCTION("""COMPUTED_VALUE"""),213578.0)</f>
        <v>213578</v>
      </c>
      <c r="AE692" s="272"/>
      <c r="AF692" s="272">
        <f>IFERROR(__xludf.DUMMYFUNCTION("""COMPUTED_VALUE"""),213578.0)</f>
        <v>213578</v>
      </c>
      <c r="AG692" s="208"/>
      <c r="AH692" s="208"/>
      <c r="AI692" s="208"/>
      <c r="AJ692" s="208"/>
      <c r="AK692" s="208"/>
    </row>
    <row r="693" hidden="1">
      <c r="A693" s="209">
        <f>IFERROR(__xludf.DUMMYFUNCTION("""COMPUTED_VALUE"""),46164.0)</f>
        <v>46164</v>
      </c>
      <c r="B693" s="210">
        <f>IFERROR(__xludf.DUMMYFUNCTION("""COMPUTED_VALUE"""),0.4583333333321207)</f>
        <v>0.4583333333</v>
      </c>
      <c r="C693" s="211" t="str">
        <f>IFERROR(__xludf.DUMMYFUNCTION("""COMPUTED_VALUE"""),"Whatsapp")</f>
        <v>Whatsapp</v>
      </c>
      <c r="D693" s="211" t="str">
        <f>IFERROR(__xludf.DUMMYFUNCTION("""COMPUTED_VALUE"""),"Promotional")</f>
        <v>Promotional</v>
      </c>
      <c r="E693" s="211" t="str">
        <f>IFERROR(__xludf.DUMMYFUNCTION("""COMPUTED_VALUE"""),"BBW")</f>
        <v>BBW</v>
      </c>
      <c r="F693" s="211" t="str">
        <f>IFERROR(__xludf.DUMMYFUNCTION("""COMPUTED_VALUE"""),"B2G2 - Entire Store")</f>
        <v>B2G2 - Entire Store</v>
      </c>
      <c r="G693" s="212" t="str">
        <f>IFERROR(__xludf.DUMMYFUNCTION("""COMPUTED_VALUE"""),"bbw_wa_b2g2_closer_launch_22may_active_blr_offline")</f>
        <v>bbw_wa_b2g2_closer_launch_22may_active_blr_offline</v>
      </c>
      <c r="H693" s="212" t="str">
        <f>IFERROR(__xludf.DUMMYFUNCTION("""COMPUTED_VALUE"""),"BBW_OFF_BLR_Active")</f>
        <v>BBW_OFF_BLR_Active</v>
      </c>
      <c r="I693" s="212" t="str">
        <f>IFERROR(__xludf.DUMMYFUNCTION("""COMPUTED_VALUE"""),"All Offline Customers who have purchased at least 1 time from Txn_City BLR in the last 112 days (TTR)")</f>
        <v>All Offline Customers who have purchased at least 1 time from Txn_City BLR in the last 112 days (TTR)</v>
      </c>
      <c r="J693" s="213">
        <f>IFERROR(__xludf.DUMMYFUNCTION("""COMPUTED_VALUE"""),18472.0)</f>
        <v>18472</v>
      </c>
      <c r="K693" s="213">
        <f>IFERROR(__xludf.DUMMYFUNCTION("""COMPUTED_VALUE"""),9499.0)</f>
        <v>9499</v>
      </c>
      <c r="L693" s="214">
        <f>IFERROR(__xludf.DUMMYFUNCTION("""COMPUTED_VALUE"""),0.5142)</f>
        <v>0.5142</v>
      </c>
      <c r="M693" s="213">
        <f>IFERROR(__xludf.DUMMYFUNCTION("""COMPUTED_VALUE"""),3846.0)</f>
        <v>3846</v>
      </c>
      <c r="N693" s="214">
        <f>IFERROR(__xludf.DUMMYFUNCTION("""COMPUTED_VALUE"""),0.4049)</f>
        <v>0.4049</v>
      </c>
      <c r="O693" s="213">
        <f>IFERROR(__xludf.DUMMYFUNCTION("""COMPUTED_VALUE"""),437.0)</f>
        <v>437</v>
      </c>
      <c r="P693" s="213">
        <f>IFERROR(__xludf.DUMMYFUNCTION("""COMPUTED_VALUE"""),415.0)</f>
        <v>415</v>
      </c>
      <c r="Q693" s="214">
        <f>IFERROR(__xludf.DUMMYFUNCTION("""COMPUTED_VALUE"""),0.0437)</f>
        <v>0.0437</v>
      </c>
      <c r="R693" s="214">
        <f>IFERROR(__xludf.DUMMYFUNCTION("""COMPUTED_VALUE"""),0.1079)</f>
        <v>0.1079</v>
      </c>
      <c r="S693" s="213">
        <f>IFERROR(__xludf.DUMMYFUNCTION("""COMPUTED_VALUE"""),0.0)</f>
        <v>0</v>
      </c>
      <c r="T693" s="213">
        <f>IFERROR(__xludf.DUMMYFUNCTION("""COMPUTED_VALUE"""),0.0)</f>
        <v>0</v>
      </c>
      <c r="U693" s="270">
        <f>IFERROR(__xludf.DUMMYFUNCTION("""COMPUTED_VALUE"""),0.0)</f>
        <v>0</v>
      </c>
      <c r="V693" s="271" t="str">
        <f>IFERROR(__xludf.DUMMYFUNCTION("""COMPUTED_VALUE"""),"offline")</f>
        <v>offline</v>
      </c>
      <c r="W693" s="272" t="str">
        <f>IFERROR(__xludf.DUMMYFUNCTION("""COMPUTED_VALUE"""),"simple")</f>
        <v>simple</v>
      </c>
      <c r="X693" s="272" t="str">
        <f>IFERROR(__xludf.DUMMYFUNCTION("""COMPUTED_VALUE"""),"City Specific")</f>
        <v>City Specific</v>
      </c>
      <c r="Y693" s="272" t="str">
        <f>IFERROR(__xludf.DUMMYFUNCTION("""COMPUTED_VALUE"""),"22-24 May")</f>
        <v>22-24 May</v>
      </c>
      <c r="Z693" s="272" t="str">
        <f>IFERROR(__xludf.DUMMYFUNCTION("""COMPUTED_VALUE"""),"6a0eb0f3a478cbcedd353976")</f>
        <v>6a0eb0f3a478cbcedd353976</v>
      </c>
      <c r="AA693" s="272">
        <f>IFERROR(__xludf.DUMMYFUNCTION("""COMPUTED_VALUE"""),52.0)</f>
        <v>52</v>
      </c>
      <c r="AB693" s="272"/>
      <c r="AC693" s="272">
        <f>IFERROR(__xludf.DUMMYFUNCTION("""COMPUTED_VALUE"""),52.0)</f>
        <v>52</v>
      </c>
      <c r="AD693" s="272">
        <f>IFERROR(__xludf.DUMMYFUNCTION("""COMPUTED_VALUE"""),271339.0)</f>
        <v>271339</v>
      </c>
      <c r="AE693" s="272"/>
      <c r="AF693" s="272">
        <f>IFERROR(__xludf.DUMMYFUNCTION("""COMPUTED_VALUE"""),271339.0)</f>
        <v>271339</v>
      </c>
      <c r="AG693" s="208"/>
      <c r="AH693" s="208"/>
      <c r="AI693" s="208"/>
      <c r="AJ693" s="208"/>
      <c r="AK693" s="208"/>
    </row>
    <row r="694" hidden="1">
      <c r="A694" s="209">
        <f>IFERROR(__xludf.DUMMYFUNCTION("""COMPUTED_VALUE"""),46164.0)</f>
        <v>46164</v>
      </c>
      <c r="B694" s="210">
        <f>IFERROR(__xludf.DUMMYFUNCTION("""COMPUTED_VALUE"""),0.4583333333321207)</f>
        <v>0.4583333333</v>
      </c>
      <c r="C694" s="211" t="str">
        <f>IFERROR(__xludf.DUMMYFUNCTION("""COMPUTED_VALUE"""),"Whatsapp")</f>
        <v>Whatsapp</v>
      </c>
      <c r="D694" s="211" t="str">
        <f>IFERROR(__xludf.DUMMYFUNCTION("""COMPUTED_VALUE"""),"Promotional")</f>
        <v>Promotional</v>
      </c>
      <c r="E694" s="211" t="str">
        <f>IFERROR(__xludf.DUMMYFUNCTION("""COMPUTED_VALUE"""),"BBW")</f>
        <v>BBW</v>
      </c>
      <c r="F694" s="211" t="str">
        <f>IFERROR(__xludf.DUMMYFUNCTION("""COMPUTED_VALUE"""),"B2G2 - Entire Store")</f>
        <v>B2G2 - Entire Store</v>
      </c>
      <c r="G694" s="212" t="str">
        <f>IFERROR(__xludf.DUMMYFUNCTION("""COMPUTED_VALUE"""),"bbw_wa_b2g2_22may_active_chenn_offline")</f>
        <v>bbw_wa_b2g2_22may_active_chenn_offline</v>
      </c>
      <c r="H694" s="212" t="str">
        <f>IFERROR(__xludf.DUMMYFUNCTION("""COMPUTED_VALUE"""),"BBW_OFF_Chennai_Active")</f>
        <v>BBW_OFF_Chennai_Active</v>
      </c>
      <c r="I694" s="212" t="str">
        <f>IFERROR(__xludf.DUMMYFUNCTION("""COMPUTED_VALUE"""),"All Offline Customers who have purchased at least 1 time from Txn_City CHENNAI in the last 112 days (TTR)")</f>
        <v>All Offline Customers who have purchased at least 1 time from Txn_City CHENNAI in the last 112 days (TTR)</v>
      </c>
      <c r="J694" s="213">
        <f>IFERROR(__xludf.DUMMYFUNCTION("""COMPUTED_VALUE"""),6121.0)</f>
        <v>6121</v>
      </c>
      <c r="K694" s="213">
        <f>IFERROR(__xludf.DUMMYFUNCTION("""COMPUTED_VALUE"""),3242.0)</f>
        <v>3242</v>
      </c>
      <c r="L694" s="214">
        <f>IFERROR(__xludf.DUMMYFUNCTION("""COMPUTED_VALUE"""),0.5295)</f>
        <v>0.5295</v>
      </c>
      <c r="M694" s="213">
        <f>IFERROR(__xludf.DUMMYFUNCTION("""COMPUTED_VALUE"""),1432.0)</f>
        <v>1432</v>
      </c>
      <c r="N694" s="214">
        <f>IFERROR(__xludf.DUMMYFUNCTION("""COMPUTED_VALUE"""),0.4418)</f>
        <v>0.4418</v>
      </c>
      <c r="O694" s="213">
        <f>IFERROR(__xludf.DUMMYFUNCTION("""COMPUTED_VALUE"""),176.0)</f>
        <v>176</v>
      </c>
      <c r="P694" s="213">
        <f>IFERROR(__xludf.DUMMYFUNCTION("""COMPUTED_VALUE"""),172.0)</f>
        <v>172</v>
      </c>
      <c r="Q694" s="214">
        <f>IFERROR(__xludf.DUMMYFUNCTION("""COMPUTED_VALUE"""),0.0531)</f>
        <v>0.0531</v>
      </c>
      <c r="R694" s="214">
        <f>IFERROR(__xludf.DUMMYFUNCTION("""COMPUTED_VALUE"""),0.1201)</f>
        <v>0.1201</v>
      </c>
      <c r="S694" s="213">
        <f>IFERROR(__xludf.DUMMYFUNCTION("""COMPUTED_VALUE"""),0.0)</f>
        <v>0</v>
      </c>
      <c r="T694" s="213">
        <f>IFERROR(__xludf.DUMMYFUNCTION("""COMPUTED_VALUE"""),0.0)</f>
        <v>0</v>
      </c>
      <c r="U694" s="270">
        <f>IFERROR(__xludf.DUMMYFUNCTION("""COMPUTED_VALUE"""),0.0)</f>
        <v>0</v>
      </c>
      <c r="V694" s="271" t="str">
        <f>IFERROR(__xludf.DUMMYFUNCTION("""COMPUTED_VALUE"""),"offline")</f>
        <v>offline</v>
      </c>
      <c r="W694" s="272" t="str">
        <f>IFERROR(__xludf.DUMMYFUNCTION("""COMPUTED_VALUE"""),"simple")</f>
        <v>simple</v>
      </c>
      <c r="X694" s="272" t="str">
        <f>IFERROR(__xludf.DUMMYFUNCTION("""COMPUTED_VALUE"""),"City Specific")</f>
        <v>City Specific</v>
      </c>
      <c r="Y694" s="272" t="str">
        <f>IFERROR(__xludf.DUMMYFUNCTION("""COMPUTED_VALUE"""),"22-24 May")</f>
        <v>22-24 May</v>
      </c>
      <c r="Z694" s="272" t="str">
        <f>IFERROR(__xludf.DUMMYFUNCTION("""COMPUTED_VALUE"""),"6a0eb13398030da04e114c11")</f>
        <v>6a0eb13398030da04e114c11</v>
      </c>
      <c r="AA694" s="272">
        <f>IFERROR(__xludf.DUMMYFUNCTION("""COMPUTED_VALUE"""),20.0)</f>
        <v>20</v>
      </c>
      <c r="AB694" s="272"/>
      <c r="AC694" s="272">
        <f>IFERROR(__xludf.DUMMYFUNCTION("""COMPUTED_VALUE"""),20.0)</f>
        <v>20</v>
      </c>
      <c r="AD694" s="272">
        <f>IFERROR(__xludf.DUMMYFUNCTION("""COMPUTED_VALUE"""),153527.0)</f>
        <v>153527</v>
      </c>
      <c r="AE694" s="272"/>
      <c r="AF694" s="272">
        <f>IFERROR(__xludf.DUMMYFUNCTION("""COMPUTED_VALUE"""),153527.0)</f>
        <v>153527</v>
      </c>
      <c r="AG694" s="208"/>
      <c r="AH694" s="208"/>
      <c r="AI694" s="208"/>
      <c r="AJ694" s="208"/>
      <c r="AK694" s="208"/>
    </row>
    <row r="695" hidden="1">
      <c r="A695" s="209">
        <f>IFERROR(__xludf.DUMMYFUNCTION("""COMPUTED_VALUE"""),46164.0)</f>
        <v>46164</v>
      </c>
      <c r="B695" s="210">
        <f>IFERROR(__xludf.DUMMYFUNCTION("""COMPUTED_VALUE"""),0.4583333333321207)</f>
        <v>0.4583333333</v>
      </c>
      <c r="C695" s="211" t="str">
        <f>IFERROR(__xludf.DUMMYFUNCTION("""COMPUTED_VALUE"""),"Whatsapp")</f>
        <v>Whatsapp</v>
      </c>
      <c r="D695" s="211" t="str">
        <f>IFERROR(__xludf.DUMMYFUNCTION("""COMPUTED_VALUE"""),"Promotional")</f>
        <v>Promotional</v>
      </c>
      <c r="E695" s="211" t="str">
        <f>IFERROR(__xludf.DUMMYFUNCTION("""COMPUTED_VALUE"""),"BBW")</f>
        <v>BBW</v>
      </c>
      <c r="F695" s="211" t="str">
        <f>IFERROR(__xludf.DUMMYFUNCTION("""COMPUTED_VALUE"""),"B2G2 - Entire Store")</f>
        <v>B2G2 - Entire Store</v>
      </c>
      <c r="G695" s="212" t="str">
        <f>IFERROR(__xludf.DUMMYFUNCTION("""COMPUTED_VALUE"""),"bbw_wa_b2g2_closer_launch_22may_active_bom_offline")</f>
        <v>bbw_wa_b2g2_closer_launch_22may_active_bom_offline</v>
      </c>
      <c r="H695" s="212" t="str">
        <f>IFERROR(__xludf.DUMMYFUNCTION("""COMPUTED_VALUE"""),"BBW_OFF_BOM_Active")</f>
        <v>BBW_OFF_BOM_Active</v>
      </c>
      <c r="I695" s="212" t="str">
        <f>IFERROR(__xludf.DUMMYFUNCTION("""COMPUTED_VALUE"""),"All Offline Customers who have purchased at least 1 time from Txn_City BOM in the last 112 days (TTR)")</f>
        <v>All Offline Customers who have purchased at least 1 time from Txn_City BOM in the last 112 days (TTR)</v>
      </c>
      <c r="J695" s="213">
        <f>IFERROR(__xludf.DUMMYFUNCTION("""COMPUTED_VALUE"""),9987.0)</f>
        <v>9987</v>
      </c>
      <c r="K695" s="213">
        <f>IFERROR(__xludf.DUMMYFUNCTION("""COMPUTED_VALUE"""),5356.0)</f>
        <v>5356</v>
      </c>
      <c r="L695" s="214">
        <f>IFERROR(__xludf.DUMMYFUNCTION("""COMPUTED_VALUE"""),0.5362)</f>
        <v>0.5362</v>
      </c>
      <c r="M695" s="213">
        <f>IFERROR(__xludf.DUMMYFUNCTION("""COMPUTED_VALUE"""),2145.0)</f>
        <v>2145</v>
      </c>
      <c r="N695" s="214">
        <f>IFERROR(__xludf.DUMMYFUNCTION("""COMPUTED_VALUE"""),0.4006)</f>
        <v>0.4006</v>
      </c>
      <c r="O695" s="213">
        <f>IFERROR(__xludf.DUMMYFUNCTION("""COMPUTED_VALUE"""),250.0)</f>
        <v>250</v>
      </c>
      <c r="P695" s="213">
        <f>IFERROR(__xludf.DUMMYFUNCTION("""COMPUTED_VALUE"""),246.0)</f>
        <v>246</v>
      </c>
      <c r="Q695" s="214">
        <f>IFERROR(__xludf.DUMMYFUNCTION("""COMPUTED_VALUE"""),0.0459)</f>
        <v>0.0459</v>
      </c>
      <c r="R695" s="214">
        <f>IFERROR(__xludf.DUMMYFUNCTION("""COMPUTED_VALUE"""),0.1147)</f>
        <v>0.1147</v>
      </c>
      <c r="S695" s="213">
        <f>IFERROR(__xludf.DUMMYFUNCTION("""COMPUTED_VALUE"""),0.0)</f>
        <v>0</v>
      </c>
      <c r="T695" s="213">
        <f>IFERROR(__xludf.DUMMYFUNCTION("""COMPUTED_VALUE"""),0.0)</f>
        <v>0</v>
      </c>
      <c r="U695" s="270">
        <f>IFERROR(__xludf.DUMMYFUNCTION("""COMPUTED_VALUE"""),0.0)</f>
        <v>0</v>
      </c>
      <c r="V695" s="271" t="str">
        <f>IFERROR(__xludf.DUMMYFUNCTION("""COMPUTED_VALUE"""),"offline")</f>
        <v>offline</v>
      </c>
      <c r="W695" s="272" t="str">
        <f>IFERROR(__xludf.DUMMYFUNCTION("""COMPUTED_VALUE"""),"simple")</f>
        <v>simple</v>
      </c>
      <c r="X695" s="272" t="str">
        <f>IFERROR(__xludf.DUMMYFUNCTION("""COMPUTED_VALUE"""),"City Specific")</f>
        <v>City Specific</v>
      </c>
      <c r="Y695" s="272" t="str">
        <f>IFERROR(__xludf.DUMMYFUNCTION("""COMPUTED_VALUE"""),"22-24 May")</f>
        <v>22-24 May</v>
      </c>
      <c r="Z695" s="272" t="str">
        <f>IFERROR(__xludf.DUMMYFUNCTION("""COMPUTED_VALUE"""),"6a0eb14ae17bd097ac658bc2")</f>
        <v>6a0eb14ae17bd097ac658bc2</v>
      </c>
      <c r="AA695" s="272">
        <f>IFERROR(__xludf.DUMMYFUNCTION("""COMPUTED_VALUE"""),47.0)</f>
        <v>47</v>
      </c>
      <c r="AB695" s="272"/>
      <c r="AC695" s="272">
        <f>IFERROR(__xludf.DUMMYFUNCTION("""COMPUTED_VALUE"""),47.0)</f>
        <v>47</v>
      </c>
      <c r="AD695" s="272">
        <f>IFERROR(__xludf.DUMMYFUNCTION("""COMPUTED_VALUE"""),272939.0)</f>
        <v>272939</v>
      </c>
      <c r="AE695" s="272"/>
      <c r="AF695" s="272">
        <f>IFERROR(__xludf.DUMMYFUNCTION("""COMPUTED_VALUE"""),272939.0)</f>
        <v>272939</v>
      </c>
      <c r="AG695" s="208"/>
      <c r="AH695" s="208"/>
      <c r="AI695" s="208"/>
      <c r="AJ695" s="208"/>
      <c r="AK695" s="208"/>
    </row>
    <row r="696" hidden="1">
      <c r="A696" s="209">
        <f>IFERROR(__xludf.DUMMYFUNCTION("""COMPUTED_VALUE"""),46164.0)</f>
        <v>46164</v>
      </c>
      <c r="B696" s="210">
        <f>IFERROR(__xludf.DUMMYFUNCTION("""COMPUTED_VALUE"""),0.4583333333321207)</f>
        <v>0.4583333333</v>
      </c>
      <c r="C696" s="211" t="str">
        <f>IFERROR(__xludf.DUMMYFUNCTION("""COMPUTED_VALUE"""),"Whatsapp")</f>
        <v>Whatsapp</v>
      </c>
      <c r="D696" s="211" t="str">
        <f>IFERROR(__xludf.DUMMYFUNCTION("""COMPUTED_VALUE"""),"Promotional")</f>
        <v>Promotional</v>
      </c>
      <c r="E696" s="211" t="str">
        <f>IFERROR(__xludf.DUMMYFUNCTION("""COMPUTED_VALUE"""),"BBW")</f>
        <v>BBW</v>
      </c>
      <c r="F696" s="211" t="str">
        <f>IFERROR(__xludf.DUMMYFUNCTION("""COMPUTED_VALUE"""),"B2G2 - Entire Store")</f>
        <v>B2G2 - Entire Store</v>
      </c>
      <c r="G696" s="212" t="str">
        <f>IFERROR(__xludf.DUMMYFUNCTION("""COMPUTED_VALUE"""),"bbw_wa_b2g2_22may_active_hyd_offline")</f>
        <v>bbw_wa_b2g2_22may_active_hyd_offline</v>
      </c>
      <c r="H696" s="212" t="str">
        <f>IFERROR(__xludf.DUMMYFUNCTION("""COMPUTED_VALUE"""),"BBW_OFF_HYD_Active")</f>
        <v>BBW_OFF_HYD_Active</v>
      </c>
      <c r="I696" s="212" t="str">
        <f>IFERROR(__xludf.DUMMYFUNCTION("""COMPUTED_VALUE"""),"All Offline Customers who have purchased at least 1 time from Txn_City HYD in the last 112 days (TTR)")</f>
        <v>All Offline Customers who have purchased at least 1 time from Txn_City HYD in the last 112 days (TTR)</v>
      </c>
      <c r="J696" s="213">
        <f>IFERROR(__xludf.DUMMYFUNCTION("""COMPUTED_VALUE"""),6623.0)</f>
        <v>6623</v>
      </c>
      <c r="K696" s="213">
        <f>IFERROR(__xludf.DUMMYFUNCTION("""COMPUTED_VALUE"""),3133.0)</f>
        <v>3133</v>
      </c>
      <c r="L696" s="214">
        <f>IFERROR(__xludf.DUMMYFUNCTION("""COMPUTED_VALUE"""),0.4729)</f>
        <v>0.4729</v>
      </c>
      <c r="M696" s="213">
        <f>IFERROR(__xludf.DUMMYFUNCTION("""COMPUTED_VALUE"""),1394.0)</f>
        <v>1394</v>
      </c>
      <c r="N696" s="214">
        <f>IFERROR(__xludf.DUMMYFUNCTION("""COMPUTED_VALUE"""),0.4451)</f>
        <v>0.4451</v>
      </c>
      <c r="O696" s="213">
        <f>IFERROR(__xludf.DUMMYFUNCTION("""COMPUTED_VALUE"""),174.0)</f>
        <v>174</v>
      </c>
      <c r="P696" s="213">
        <f>IFERROR(__xludf.DUMMYFUNCTION("""COMPUTED_VALUE"""),170.0)</f>
        <v>170</v>
      </c>
      <c r="Q696" s="214">
        <f>IFERROR(__xludf.DUMMYFUNCTION("""COMPUTED_VALUE"""),0.0543)</f>
        <v>0.0543</v>
      </c>
      <c r="R696" s="214">
        <f>IFERROR(__xludf.DUMMYFUNCTION("""COMPUTED_VALUE"""),0.122)</f>
        <v>0.122</v>
      </c>
      <c r="S696" s="213">
        <f>IFERROR(__xludf.DUMMYFUNCTION("""COMPUTED_VALUE"""),0.0)</f>
        <v>0</v>
      </c>
      <c r="T696" s="213">
        <f>IFERROR(__xludf.DUMMYFUNCTION("""COMPUTED_VALUE"""),0.0)</f>
        <v>0</v>
      </c>
      <c r="U696" s="270">
        <f>IFERROR(__xludf.DUMMYFUNCTION("""COMPUTED_VALUE"""),0.0)</f>
        <v>0</v>
      </c>
      <c r="V696" s="271" t="str">
        <f>IFERROR(__xludf.DUMMYFUNCTION("""COMPUTED_VALUE"""),"offline")</f>
        <v>offline</v>
      </c>
      <c r="W696" s="272" t="str">
        <f>IFERROR(__xludf.DUMMYFUNCTION("""COMPUTED_VALUE"""),"simple")</f>
        <v>simple</v>
      </c>
      <c r="X696" s="272" t="str">
        <f>IFERROR(__xludf.DUMMYFUNCTION("""COMPUTED_VALUE"""),"City Specific")</f>
        <v>City Specific</v>
      </c>
      <c r="Y696" s="272" t="str">
        <f>IFERROR(__xludf.DUMMYFUNCTION("""COMPUTED_VALUE"""),"22-24 May")</f>
        <v>22-24 May</v>
      </c>
      <c r="Z696" s="272" t="str">
        <f>IFERROR(__xludf.DUMMYFUNCTION("""COMPUTED_VALUE"""),"6a0eb17e0adbf18b48ce9bb7")</f>
        <v>6a0eb17e0adbf18b48ce9bb7</v>
      </c>
      <c r="AA696" s="272">
        <f>IFERROR(__xludf.DUMMYFUNCTION("""COMPUTED_VALUE"""),15.0)</f>
        <v>15</v>
      </c>
      <c r="AB696" s="272"/>
      <c r="AC696" s="272">
        <f>IFERROR(__xludf.DUMMYFUNCTION("""COMPUTED_VALUE"""),15.0)</f>
        <v>15</v>
      </c>
      <c r="AD696" s="272">
        <f>IFERROR(__xludf.DUMMYFUNCTION("""COMPUTED_VALUE"""),74163.0)</f>
        <v>74163</v>
      </c>
      <c r="AE696" s="272"/>
      <c r="AF696" s="272">
        <f>IFERROR(__xludf.DUMMYFUNCTION("""COMPUTED_VALUE"""),74163.0)</f>
        <v>74163</v>
      </c>
      <c r="AG696" s="208"/>
      <c r="AH696" s="208"/>
      <c r="AI696" s="208"/>
      <c r="AJ696" s="208"/>
      <c r="AK696" s="208"/>
    </row>
    <row r="697" hidden="1">
      <c r="A697" s="209">
        <f>IFERROR(__xludf.DUMMYFUNCTION("""COMPUTED_VALUE"""),46164.0)</f>
        <v>46164</v>
      </c>
      <c r="B697" s="210">
        <f>IFERROR(__xludf.DUMMYFUNCTION("""COMPUTED_VALUE"""),0.4583333333321207)</f>
        <v>0.4583333333</v>
      </c>
      <c r="C697" s="211" t="str">
        <f>IFERROR(__xludf.DUMMYFUNCTION("""COMPUTED_VALUE"""),"Whatsapp")</f>
        <v>Whatsapp</v>
      </c>
      <c r="D697" s="211" t="str">
        <f>IFERROR(__xludf.DUMMYFUNCTION("""COMPUTED_VALUE"""),"Promotional")</f>
        <v>Promotional</v>
      </c>
      <c r="E697" s="211" t="str">
        <f>IFERROR(__xludf.DUMMYFUNCTION("""COMPUTED_VALUE"""),"BBW")</f>
        <v>BBW</v>
      </c>
      <c r="F697" s="211" t="str">
        <f>IFERROR(__xludf.DUMMYFUNCTION("""COMPUTED_VALUE"""),"B2G2 - Entire Store")</f>
        <v>B2G2 - Entire Store</v>
      </c>
      <c r="G697" s="212" t="str">
        <f>IFERROR(__xludf.DUMMYFUNCTION("""COMPUTED_VALUE"""),"bbw_wa_b2g2_closer_launch_22may_active_ahd_offline")</f>
        <v>bbw_wa_b2g2_closer_launch_22may_active_ahd_offline</v>
      </c>
      <c r="H697" s="212" t="str">
        <f>IFERROR(__xludf.DUMMYFUNCTION("""COMPUTED_VALUE"""),"BBW_OFF_AHD_Active")</f>
        <v>BBW_OFF_AHD_Active</v>
      </c>
      <c r="I697" s="212" t="str">
        <f>IFERROR(__xludf.DUMMYFUNCTION("""COMPUTED_VALUE"""),"All Offline Customers who have purchased at least 1 time from Txn_City AHD in the last 112 days (TTR)")</f>
        <v>All Offline Customers who have purchased at least 1 time from Txn_City AHD in the last 112 days (TTR)</v>
      </c>
      <c r="J697" s="213">
        <f>IFERROR(__xludf.DUMMYFUNCTION("""COMPUTED_VALUE"""),5967.0)</f>
        <v>5967</v>
      </c>
      <c r="K697" s="213">
        <f>IFERROR(__xludf.DUMMYFUNCTION("""COMPUTED_VALUE"""),3529.0)</f>
        <v>3529</v>
      </c>
      <c r="L697" s="214">
        <f>IFERROR(__xludf.DUMMYFUNCTION("""COMPUTED_VALUE"""),0.5911)</f>
        <v>0.5911</v>
      </c>
      <c r="M697" s="213">
        <f>IFERROR(__xludf.DUMMYFUNCTION("""COMPUTED_VALUE"""),1671.0)</f>
        <v>1671</v>
      </c>
      <c r="N697" s="214">
        <f>IFERROR(__xludf.DUMMYFUNCTION("""COMPUTED_VALUE"""),0.4738)</f>
        <v>0.4738</v>
      </c>
      <c r="O697" s="213">
        <f>IFERROR(__xludf.DUMMYFUNCTION("""COMPUTED_VALUE"""),206.0)</f>
        <v>206</v>
      </c>
      <c r="P697" s="213">
        <f>IFERROR(__xludf.DUMMYFUNCTION("""COMPUTED_VALUE"""),199.0)</f>
        <v>199</v>
      </c>
      <c r="Q697" s="214">
        <f>IFERROR(__xludf.DUMMYFUNCTION("""COMPUTED_VALUE"""),0.0564)</f>
        <v>0.0564</v>
      </c>
      <c r="R697" s="214">
        <f>IFERROR(__xludf.DUMMYFUNCTION("""COMPUTED_VALUE"""),0.1191)</f>
        <v>0.1191</v>
      </c>
      <c r="S697" s="213">
        <f>IFERROR(__xludf.DUMMYFUNCTION("""COMPUTED_VALUE"""),0.0)</f>
        <v>0</v>
      </c>
      <c r="T697" s="213">
        <f>IFERROR(__xludf.DUMMYFUNCTION("""COMPUTED_VALUE"""),0.0)</f>
        <v>0</v>
      </c>
      <c r="U697" s="270">
        <f>IFERROR(__xludf.DUMMYFUNCTION("""COMPUTED_VALUE"""),0.0)</f>
        <v>0</v>
      </c>
      <c r="V697" s="271" t="str">
        <f>IFERROR(__xludf.DUMMYFUNCTION("""COMPUTED_VALUE"""),"offline")</f>
        <v>offline</v>
      </c>
      <c r="W697" s="272" t="str">
        <f>IFERROR(__xludf.DUMMYFUNCTION("""COMPUTED_VALUE"""),"simple")</f>
        <v>simple</v>
      </c>
      <c r="X697" s="272" t="str">
        <f>IFERROR(__xludf.DUMMYFUNCTION("""COMPUTED_VALUE"""),"City Specific")</f>
        <v>City Specific</v>
      </c>
      <c r="Y697" s="272" t="str">
        <f>IFERROR(__xludf.DUMMYFUNCTION("""COMPUTED_VALUE"""),"22-24 May")</f>
        <v>22-24 May</v>
      </c>
      <c r="Z697" s="272" t="str">
        <f>IFERROR(__xludf.DUMMYFUNCTION("""COMPUTED_VALUE"""),"6a0eb1a37c643f09456b4f22")</f>
        <v>6a0eb1a37c643f09456b4f22</v>
      </c>
      <c r="AA697" s="272">
        <f>IFERROR(__xludf.DUMMYFUNCTION("""COMPUTED_VALUE"""),22.0)</f>
        <v>22</v>
      </c>
      <c r="AB697" s="272"/>
      <c r="AC697" s="272">
        <f>IFERROR(__xludf.DUMMYFUNCTION("""COMPUTED_VALUE"""),22.0)</f>
        <v>22</v>
      </c>
      <c r="AD697" s="272">
        <f>IFERROR(__xludf.DUMMYFUNCTION("""COMPUTED_VALUE"""),97504.0)</f>
        <v>97504</v>
      </c>
      <c r="AE697" s="272"/>
      <c r="AF697" s="272">
        <f>IFERROR(__xludf.DUMMYFUNCTION("""COMPUTED_VALUE"""),97504.0)</f>
        <v>97504</v>
      </c>
      <c r="AG697" s="208"/>
      <c r="AH697" s="208"/>
      <c r="AI697" s="208"/>
      <c r="AJ697" s="208"/>
      <c r="AK697" s="208"/>
    </row>
    <row r="698" hidden="1">
      <c r="A698" s="209">
        <f>IFERROR(__xludf.DUMMYFUNCTION("""COMPUTED_VALUE"""),46164.0)</f>
        <v>46164</v>
      </c>
      <c r="B698" s="210">
        <f>IFERROR(__xludf.DUMMYFUNCTION("""COMPUTED_VALUE"""),0.4583333333321207)</f>
        <v>0.4583333333</v>
      </c>
      <c r="C698" s="211" t="str">
        <f>IFERROR(__xludf.DUMMYFUNCTION("""COMPUTED_VALUE"""),"Whatsapp")</f>
        <v>Whatsapp</v>
      </c>
      <c r="D698" s="211" t="str">
        <f>IFERROR(__xludf.DUMMYFUNCTION("""COMPUTED_VALUE"""),"Promotional")</f>
        <v>Promotional</v>
      </c>
      <c r="E698" s="211" t="str">
        <f>IFERROR(__xludf.DUMMYFUNCTION("""COMPUTED_VALUE"""),"BBW")</f>
        <v>BBW</v>
      </c>
      <c r="F698" s="211" t="str">
        <f>IFERROR(__xludf.DUMMYFUNCTION("""COMPUTED_VALUE"""),"B2G2 - Entire Store")</f>
        <v>B2G2 - Entire Store</v>
      </c>
      <c r="G698" s="212" t="str">
        <f>IFERROR(__xludf.DUMMYFUNCTION("""COMPUTED_VALUE"""),"bbw_wa_b2g2_22may_active_chd_offline")</f>
        <v>bbw_wa_b2g2_22may_active_chd_offline</v>
      </c>
      <c r="H698" s="212" t="str">
        <f>IFERROR(__xludf.DUMMYFUNCTION("""COMPUTED_VALUE"""),"BBW_OFF_CHD_Active")</f>
        <v>BBW_OFF_CHD_Active</v>
      </c>
      <c r="I698" s="212" t="str">
        <f>IFERROR(__xludf.DUMMYFUNCTION("""COMPUTED_VALUE"""),"All Offline Customers who have purchased at least 1 time from Txn_City CHD in the last 112 days (TTR)")</f>
        <v>All Offline Customers who have purchased at least 1 time from Txn_City CHD in the last 112 days (TTR)</v>
      </c>
      <c r="J698" s="213">
        <f>IFERROR(__xludf.DUMMYFUNCTION("""COMPUTED_VALUE"""),5714.0)</f>
        <v>5714</v>
      </c>
      <c r="K698" s="213">
        <f>IFERROR(__xludf.DUMMYFUNCTION("""COMPUTED_VALUE"""),2822.0)</f>
        <v>2822</v>
      </c>
      <c r="L698" s="214">
        <f>IFERROR(__xludf.DUMMYFUNCTION("""COMPUTED_VALUE"""),0.4937)</f>
        <v>0.4937</v>
      </c>
      <c r="M698" s="213">
        <f>IFERROR(__xludf.DUMMYFUNCTION("""COMPUTED_VALUE"""),1219.0)</f>
        <v>1219</v>
      </c>
      <c r="N698" s="214">
        <f>IFERROR(__xludf.DUMMYFUNCTION("""COMPUTED_VALUE"""),0.4321)</f>
        <v>0.4321</v>
      </c>
      <c r="O698" s="213">
        <f>IFERROR(__xludf.DUMMYFUNCTION("""COMPUTED_VALUE"""),156.0)</f>
        <v>156</v>
      </c>
      <c r="P698" s="213">
        <f>IFERROR(__xludf.DUMMYFUNCTION("""COMPUTED_VALUE"""),146.0)</f>
        <v>146</v>
      </c>
      <c r="Q698" s="214">
        <f>IFERROR(__xludf.DUMMYFUNCTION("""COMPUTED_VALUE"""),0.0518)</f>
        <v>0.0518</v>
      </c>
      <c r="R698" s="214">
        <f>IFERROR(__xludf.DUMMYFUNCTION("""COMPUTED_VALUE"""),0.1198)</f>
        <v>0.1198</v>
      </c>
      <c r="S698" s="213">
        <f>IFERROR(__xludf.DUMMYFUNCTION("""COMPUTED_VALUE"""),0.0)</f>
        <v>0</v>
      </c>
      <c r="T698" s="213">
        <f>IFERROR(__xludf.DUMMYFUNCTION("""COMPUTED_VALUE"""),0.0)</f>
        <v>0</v>
      </c>
      <c r="U698" s="270">
        <f>IFERROR(__xludf.DUMMYFUNCTION("""COMPUTED_VALUE"""),0.0)</f>
        <v>0</v>
      </c>
      <c r="V698" s="271" t="str">
        <f>IFERROR(__xludf.DUMMYFUNCTION("""COMPUTED_VALUE"""),"offline")</f>
        <v>offline</v>
      </c>
      <c r="W698" s="272" t="str">
        <f>IFERROR(__xludf.DUMMYFUNCTION("""COMPUTED_VALUE"""),"simple")</f>
        <v>simple</v>
      </c>
      <c r="X698" s="272" t="str">
        <f>IFERROR(__xludf.DUMMYFUNCTION("""COMPUTED_VALUE"""),"City Specific")</f>
        <v>City Specific</v>
      </c>
      <c r="Y698" s="272" t="str">
        <f>IFERROR(__xludf.DUMMYFUNCTION("""COMPUTED_VALUE"""),"22-24 May")</f>
        <v>22-24 May</v>
      </c>
      <c r="Z698" s="272" t="str">
        <f>IFERROR(__xludf.DUMMYFUNCTION("""COMPUTED_VALUE"""),"6a0eb1bdd49d44a8314a111a")</f>
        <v>6a0eb1bdd49d44a8314a111a</v>
      </c>
      <c r="AA698" s="272">
        <f>IFERROR(__xludf.DUMMYFUNCTION("""COMPUTED_VALUE"""),19.0)</f>
        <v>19</v>
      </c>
      <c r="AB698" s="272"/>
      <c r="AC698" s="272">
        <f>IFERROR(__xludf.DUMMYFUNCTION("""COMPUTED_VALUE"""),19.0)</f>
        <v>19</v>
      </c>
      <c r="AD698" s="272">
        <f>IFERROR(__xludf.DUMMYFUNCTION("""COMPUTED_VALUE"""),102643.0)</f>
        <v>102643</v>
      </c>
      <c r="AE698" s="272"/>
      <c r="AF698" s="272">
        <f>IFERROR(__xludf.DUMMYFUNCTION("""COMPUTED_VALUE"""),102643.0)</f>
        <v>102643</v>
      </c>
      <c r="AG698" s="208"/>
      <c r="AH698" s="208"/>
      <c r="AI698" s="208"/>
      <c r="AJ698" s="208"/>
      <c r="AK698" s="208"/>
    </row>
    <row r="699" hidden="1">
      <c r="A699" s="209">
        <f>IFERROR(__xludf.DUMMYFUNCTION("""COMPUTED_VALUE"""),46164.0)</f>
        <v>46164</v>
      </c>
      <c r="B699" s="210">
        <f>IFERROR(__xludf.DUMMYFUNCTION("""COMPUTED_VALUE"""),0.4583333333321207)</f>
        <v>0.4583333333</v>
      </c>
      <c r="C699" s="211" t="str">
        <f>IFERROR(__xludf.DUMMYFUNCTION("""COMPUTED_VALUE"""),"Whatsapp")</f>
        <v>Whatsapp</v>
      </c>
      <c r="D699" s="211" t="str">
        <f>IFERROR(__xludf.DUMMYFUNCTION("""COMPUTED_VALUE"""),"Promotional")</f>
        <v>Promotional</v>
      </c>
      <c r="E699" s="211" t="str">
        <f>IFERROR(__xludf.DUMMYFUNCTION("""COMPUTED_VALUE"""),"BBW")</f>
        <v>BBW</v>
      </c>
      <c r="F699" s="211" t="str">
        <f>IFERROR(__xludf.DUMMYFUNCTION("""COMPUTED_VALUE"""),"B2G2 - Entire Store")</f>
        <v>B2G2 - Entire Store</v>
      </c>
      <c r="G699" s="212" t="str">
        <f>IFERROR(__xludf.DUMMYFUNCTION("""COMPUTED_VALUE"""),"bbw_wa_b2g2_22may_active_ggn_offline")</f>
        <v>bbw_wa_b2g2_22may_active_ggn_offline</v>
      </c>
      <c r="H699" s="212" t="str">
        <f>IFERROR(__xludf.DUMMYFUNCTION("""COMPUTED_VALUE"""),"BBW_OFF_GGN_Active")</f>
        <v>BBW_OFF_GGN_Active</v>
      </c>
      <c r="I699" s="212" t="str">
        <f>IFERROR(__xludf.DUMMYFUNCTION("""COMPUTED_VALUE"""),"All Offline Customers who have purchased at least 1 time from Txn_City GGN in the last 112 days (TTR)")</f>
        <v>All Offline Customers who have purchased at least 1 time from Txn_City GGN in the last 112 days (TTR)</v>
      </c>
      <c r="J699" s="213">
        <f>IFERROR(__xludf.DUMMYFUNCTION("""COMPUTED_VALUE"""),4472.0)</f>
        <v>4472</v>
      </c>
      <c r="K699" s="213">
        <f>IFERROR(__xludf.DUMMYFUNCTION("""COMPUTED_VALUE"""),1862.0)</f>
        <v>1862</v>
      </c>
      <c r="L699" s="214">
        <f>IFERROR(__xludf.DUMMYFUNCTION("""COMPUTED_VALUE"""),0.4164)</f>
        <v>0.4164</v>
      </c>
      <c r="M699" s="213">
        <f>IFERROR(__xludf.DUMMYFUNCTION("""COMPUTED_VALUE"""),680.0)</f>
        <v>680</v>
      </c>
      <c r="N699" s="214">
        <f>IFERROR(__xludf.DUMMYFUNCTION("""COMPUTED_VALUE"""),0.3652)</f>
        <v>0.3652</v>
      </c>
      <c r="O699" s="213">
        <f>IFERROR(__xludf.DUMMYFUNCTION("""COMPUTED_VALUE"""),83.0)</f>
        <v>83</v>
      </c>
      <c r="P699" s="213">
        <f>IFERROR(__xludf.DUMMYFUNCTION("""COMPUTED_VALUE"""),77.0)</f>
        <v>77</v>
      </c>
      <c r="Q699" s="214">
        <f>IFERROR(__xludf.DUMMYFUNCTION("""COMPUTED_VALUE"""),0.0414)</f>
        <v>0.0414</v>
      </c>
      <c r="R699" s="214">
        <f>IFERROR(__xludf.DUMMYFUNCTION("""COMPUTED_VALUE"""),0.1132)</f>
        <v>0.1132</v>
      </c>
      <c r="S699" s="213">
        <f>IFERROR(__xludf.DUMMYFUNCTION("""COMPUTED_VALUE"""),0.0)</f>
        <v>0</v>
      </c>
      <c r="T699" s="213">
        <f>IFERROR(__xludf.DUMMYFUNCTION("""COMPUTED_VALUE"""),0.0)</f>
        <v>0</v>
      </c>
      <c r="U699" s="270">
        <f>IFERROR(__xludf.DUMMYFUNCTION("""COMPUTED_VALUE"""),0.0)</f>
        <v>0</v>
      </c>
      <c r="V699" s="271" t="str">
        <f>IFERROR(__xludf.DUMMYFUNCTION("""COMPUTED_VALUE"""),"offline")</f>
        <v>offline</v>
      </c>
      <c r="W699" s="272" t="str">
        <f>IFERROR(__xludf.DUMMYFUNCTION("""COMPUTED_VALUE"""),"simple")</f>
        <v>simple</v>
      </c>
      <c r="X699" s="272" t="str">
        <f>IFERROR(__xludf.DUMMYFUNCTION("""COMPUTED_VALUE"""),"City Specific")</f>
        <v>City Specific</v>
      </c>
      <c r="Y699" s="272" t="str">
        <f>IFERROR(__xludf.DUMMYFUNCTION("""COMPUTED_VALUE"""),"22-24 May")</f>
        <v>22-24 May</v>
      </c>
      <c r="Z699" s="272" t="str">
        <f>IFERROR(__xludf.DUMMYFUNCTION("""COMPUTED_VALUE"""),"6a0eb215b8d54911844dff16")</f>
        <v>6a0eb215b8d54911844dff16</v>
      </c>
      <c r="AA699" s="272">
        <f>IFERROR(__xludf.DUMMYFUNCTION("""COMPUTED_VALUE"""),18.0)</f>
        <v>18</v>
      </c>
      <c r="AB699" s="272"/>
      <c r="AC699" s="272">
        <f>IFERROR(__xludf.DUMMYFUNCTION("""COMPUTED_VALUE"""),18.0)</f>
        <v>18</v>
      </c>
      <c r="AD699" s="272">
        <f>IFERROR(__xludf.DUMMYFUNCTION("""COMPUTED_VALUE"""),146923.0)</f>
        <v>146923</v>
      </c>
      <c r="AE699" s="272"/>
      <c r="AF699" s="272">
        <f>IFERROR(__xludf.DUMMYFUNCTION("""COMPUTED_VALUE"""),146923.0)</f>
        <v>146923</v>
      </c>
      <c r="AG699" s="208"/>
      <c r="AH699" s="208"/>
      <c r="AI699" s="208"/>
      <c r="AJ699" s="208"/>
      <c r="AK699" s="208"/>
    </row>
    <row r="700" hidden="1">
      <c r="A700" s="209">
        <f>IFERROR(__xludf.DUMMYFUNCTION("""COMPUTED_VALUE"""),46164.0)</f>
        <v>46164</v>
      </c>
      <c r="B700" s="210">
        <f>IFERROR(__xludf.DUMMYFUNCTION("""COMPUTED_VALUE"""),0.4583333333321207)</f>
        <v>0.4583333333</v>
      </c>
      <c r="C700" s="211" t="str">
        <f>IFERROR(__xludf.DUMMYFUNCTION("""COMPUTED_VALUE"""),"Whatsapp")</f>
        <v>Whatsapp</v>
      </c>
      <c r="D700" s="211" t="str">
        <f>IFERROR(__xludf.DUMMYFUNCTION("""COMPUTED_VALUE"""),"Promotional")</f>
        <v>Promotional</v>
      </c>
      <c r="E700" s="211" t="str">
        <f>IFERROR(__xludf.DUMMYFUNCTION("""COMPUTED_VALUE"""),"BBW")</f>
        <v>BBW</v>
      </c>
      <c r="F700" s="211" t="str">
        <f>IFERROR(__xludf.DUMMYFUNCTION("""COMPUTED_VALUE"""),"B2G2 - Entire Store")</f>
        <v>B2G2 - Entire Store</v>
      </c>
      <c r="G700" s="212" t="str">
        <f>IFERROR(__xludf.DUMMYFUNCTION("""COMPUTED_VALUE"""),"bbw_wa_b2g2_closer_launch_22may_active_pune_offline")</f>
        <v>bbw_wa_b2g2_closer_launch_22may_active_pune_offline</v>
      </c>
      <c r="H700" s="212" t="str">
        <f>IFERROR(__xludf.DUMMYFUNCTION("""COMPUTED_VALUE"""),"BBW_OFF_PUNE_Active")</f>
        <v>BBW_OFF_PUNE_Active</v>
      </c>
      <c r="I700" s="212" t="str">
        <f>IFERROR(__xludf.DUMMYFUNCTION("""COMPUTED_VALUE"""),"All Offline Customers who have purchased at least 1 time from Txn_City PUNE in the last 112 days (TTR)")</f>
        <v>All Offline Customers who have purchased at least 1 time from Txn_City PUNE in the last 112 days (TTR)</v>
      </c>
      <c r="J700" s="213">
        <f>IFERROR(__xludf.DUMMYFUNCTION("""COMPUTED_VALUE"""),2203.0)</f>
        <v>2203</v>
      </c>
      <c r="K700" s="213">
        <f>IFERROR(__xludf.DUMMYFUNCTION("""COMPUTED_VALUE"""),1241.0)</f>
        <v>1241</v>
      </c>
      <c r="L700" s="214">
        <f>IFERROR(__xludf.DUMMYFUNCTION("""COMPUTED_VALUE"""),0.5633)</f>
        <v>0.5633</v>
      </c>
      <c r="M700" s="213">
        <f>IFERROR(__xludf.DUMMYFUNCTION("""COMPUTED_VALUE"""),484.0)</f>
        <v>484</v>
      </c>
      <c r="N700" s="214">
        <f>IFERROR(__xludf.DUMMYFUNCTION("""COMPUTED_VALUE"""),0.39)</f>
        <v>0.39</v>
      </c>
      <c r="O700" s="213">
        <f>IFERROR(__xludf.DUMMYFUNCTION("""COMPUTED_VALUE"""),59.0)</f>
        <v>59</v>
      </c>
      <c r="P700" s="213">
        <f>IFERROR(__xludf.DUMMYFUNCTION("""COMPUTED_VALUE"""),56.0)</f>
        <v>56</v>
      </c>
      <c r="Q700" s="214">
        <f>IFERROR(__xludf.DUMMYFUNCTION("""COMPUTED_VALUE"""),0.0451)</f>
        <v>0.0451</v>
      </c>
      <c r="R700" s="214">
        <f>IFERROR(__xludf.DUMMYFUNCTION("""COMPUTED_VALUE"""),0.1157)</f>
        <v>0.1157</v>
      </c>
      <c r="S700" s="213">
        <f>IFERROR(__xludf.DUMMYFUNCTION("""COMPUTED_VALUE"""),0.0)</f>
        <v>0</v>
      </c>
      <c r="T700" s="213">
        <f>IFERROR(__xludf.DUMMYFUNCTION("""COMPUTED_VALUE"""),0.0)</f>
        <v>0</v>
      </c>
      <c r="U700" s="270">
        <f>IFERROR(__xludf.DUMMYFUNCTION("""COMPUTED_VALUE"""),0.0)</f>
        <v>0</v>
      </c>
      <c r="V700" s="271" t="str">
        <f>IFERROR(__xludf.DUMMYFUNCTION("""COMPUTED_VALUE"""),"offline")</f>
        <v>offline</v>
      </c>
      <c r="W700" s="272" t="str">
        <f>IFERROR(__xludf.DUMMYFUNCTION("""COMPUTED_VALUE"""),"simple")</f>
        <v>simple</v>
      </c>
      <c r="X700" s="272" t="str">
        <f>IFERROR(__xludf.DUMMYFUNCTION("""COMPUTED_VALUE"""),"City Specific")</f>
        <v>City Specific</v>
      </c>
      <c r="Y700" s="272" t="str">
        <f>IFERROR(__xludf.DUMMYFUNCTION("""COMPUTED_VALUE"""),"22-24 May")</f>
        <v>22-24 May</v>
      </c>
      <c r="Z700" s="272" t="str">
        <f>IFERROR(__xludf.DUMMYFUNCTION("""COMPUTED_VALUE"""),"6a0eb21a577e8c659f0d87a2")</f>
        <v>6a0eb21a577e8c659f0d87a2</v>
      </c>
      <c r="AA700" s="272">
        <f>IFERROR(__xludf.DUMMYFUNCTION("""COMPUTED_VALUE"""),3.0)</f>
        <v>3</v>
      </c>
      <c r="AB700" s="272"/>
      <c r="AC700" s="272">
        <f>IFERROR(__xludf.DUMMYFUNCTION("""COMPUTED_VALUE"""),3.0)</f>
        <v>3</v>
      </c>
      <c r="AD700" s="272">
        <f>IFERROR(__xludf.DUMMYFUNCTION("""COMPUTED_VALUE"""),26288.0)</f>
        <v>26288</v>
      </c>
      <c r="AE700" s="272"/>
      <c r="AF700" s="272">
        <f>IFERROR(__xludf.DUMMYFUNCTION("""COMPUTED_VALUE"""),26288.0)</f>
        <v>26288</v>
      </c>
      <c r="AG700" s="208"/>
      <c r="AH700" s="208"/>
      <c r="AI700" s="208"/>
      <c r="AJ700" s="208"/>
      <c r="AK700" s="208"/>
    </row>
    <row r="701" hidden="1">
      <c r="A701" s="209">
        <f>IFERROR(__xludf.DUMMYFUNCTION("""COMPUTED_VALUE"""),46164.0)</f>
        <v>46164</v>
      </c>
      <c r="B701" s="210">
        <f>IFERROR(__xludf.DUMMYFUNCTION("""COMPUTED_VALUE"""),0.4583333333321207)</f>
        <v>0.4583333333</v>
      </c>
      <c r="C701" s="211" t="str">
        <f>IFERROR(__xludf.DUMMYFUNCTION("""COMPUTED_VALUE"""),"Whatsapp")</f>
        <v>Whatsapp</v>
      </c>
      <c r="D701" s="211" t="str">
        <f>IFERROR(__xludf.DUMMYFUNCTION("""COMPUTED_VALUE"""),"Promotional")</f>
        <v>Promotional</v>
      </c>
      <c r="E701" s="211" t="str">
        <f>IFERROR(__xludf.DUMMYFUNCTION("""COMPUTED_VALUE"""),"BBW")</f>
        <v>BBW</v>
      </c>
      <c r="F701" s="211" t="str">
        <f>IFERROR(__xludf.DUMMYFUNCTION("""COMPUTED_VALUE"""),"B2G2 - Entire Store")</f>
        <v>B2G2 - Entire Store</v>
      </c>
      <c r="G701" s="212" t="str">
        <f>IFERROR(__xludf.DUMMYFUNCTION("""COMPUTED_VALUE"""),"bbw_wa_b2g2_22may_active_noida_offline")</f>
        <v>bbw_wa_b2g2_22may_active_noida_offline</v>
      </c>
      <c r="H701" s="212" t="str">
        <f>IFERROR(__xludf.DUMMYFUNCTION("""COMPUTED_VALUE"""),"BBW_OFF_NOIDA_Active")</f>
        <v>BBW_OFF_NOIDA_Active</v>
      </c>
      <c r="I701" s="212" t="str">
        <f>IFERROR(__xludf.DUMMYFUNCTION("""COMPUTED_VALUE"""),"All Offline Customers who have purchased at least 1 time from Txn_City NOIDA in the last 112 days (TTR)")</f>
        <v>All Offline Customers who have purchased at least 1 time from Txn_City NOIDA in the last 112 days (TTR)</v>
      </c>
      <c r="J701" s="213">
        <f>IFERROR(__xludf.DUMMYFUNCTION("""COMPUTED_VALUE"""),5752.0)</f>
        <v>5752</v>
      </c>
      <c r="K701" s="213">
        <f>IFERROR(__xludf.DUMMYFUNCTION("""COMPUTED_VALUE"""),2794.0)</f>
        <v>2794</v>
      </c>
      <c r="L701" s="214">
        <f>IFERROR(__xludf.DUMMYFUNCTION("""COMPUTED_VALUE"""),0.4857)</f>
        <v>0.4857</v>
      </c>
      <c r="M701" s="213">
        <f>IFERROR(__xludf.DUMMYFUNCTION("""COMPUTED_VALUE"""),1026.0)</f>
        <v>1026</v>
      </c>
      <c r="N701" s="214">
        <f>IFERROR(__xludf.DUMMYFUNCTION("""COMPUTED_VALUE"""),0.3672)</f>
        <v>0.3672</v>
      </c>
      <c r="O701" s="213">
        <f>IFERROR(__xludf.DUMMYFUNCTION("""COMPUTED_VALUE"""),134.0)</f>
        <v>134</v>
      </c>
      <c r="P701" s="213">
        <f>IFERROR(__xludf.DUMMYFUNCTION("""COMPUTED_VALUE"""),129.0)</f>
        <v>129</v>
      </c>
      <c r="Q701" s="214">
        <f>IFERROR(__xludf.DUMMYFUNCTION("""COMPUTED_VALUE"""),0.0462)</f>
        <v>0.0462</v>
      </c>
      <c r="R701" s="214">
        <f>IFERROR(__xludf.DUMMYFUNCTION("""COMPUTED_VALUE"""),0.1257)</f>
        <v>0.1257</v>
      </c>
      <c r="S701" s="213">
        <f>IFERROR(__xludf.DUMMYFUNCTION("""COMPUTED_VALUE"""),0.0)</f>
        <v>0</v>
      </c>
      <c r="T701" s="213">
        <f>IFERROR(__xludf.DUMMYFUNCTION("""COMPUTED_VALUE"""),0.0)</f>
        <v>0</v>
      </c>
      <c r="U701" s="270">
        <f>IFERROR(__xludf.DUMMYFUNCTION("""COMPUTED_VALUE"""),0.0)</f>
        <v>0</v>
      </c>
      <c r="V701" s="271" t="str">
        <f>IFERROR(__xludf.DUMMYFUNCTION("""COMPUTED_VALUE"""),"offline")</f>
        <v>offline</v>
      </c>
      <c r="W701" s="272" t="str">
        <f>IFERROR(__xludf.DUMMYFUNCTION("""COMPUTED_VALUE"""),"simple")</f>
        <v>simple</v>
      </c>
      <c r="X701" s="272" t="str">
        <f>IFERROR(__xludf.DUMMYFUNCTION("""COMPUTED_VALUE"""),"City Specific")</f>
        <v>City Specific</v>
      </c>
      <c r="Y701" s="272" t="str">
        <f>IFERROR(__xludf.DUMMYFUNCTION("""COMPUTED_VALUE"""),"22-24 May")</f>
        <v>22-24 May</v>
      </c>
      <c r="Z701" s="272" t="str">
        <f>IFERROR(__xludf.DUMMYFUNCTION("""COMPUTED_VALUE"""),"6a0eb255577e8c659f0d87aa")</f>
        <v>6a0eb255577e8c659f0d87aa</v>
      </c>
      <c r="AA701" s="272">
        <f>IFERROR(__xludf.DUMMYFUNCTION("""COMPUTED_VALUE"""),22.0)</f>
        <v>22</v>
      </c>
      <c r="AB701" s="272"/>
      <c r="AC701" s="272">
        <f>IFERROR(__xludf.DUMMYFUNCTION("""COMPUTED_VALUE"""),22.0)</f>
        <v>22</v>
      </c>
      <c r="AD701" s="272">
        <f>IFERROR(__xludf.DUMMYFUNCTION("""COMPUTED_VALUE"""),113843.0)</f>
        <v>113843</v>
      </c>
      <c r="AE701" s="272"/>
      <c r="AF701" s="272">
        <f>IFERROR(__xludf.DUMMYFUNCTION("""COMPUTED_VALUE"""),113843.0)</f>
        <v>113843</v>
      </c>
      <c r="AG701" s="208"/>
      <c r="AH701" s="208"/>
      <c r="AI701" s="208"/>
      <c r="AJ701" s="208"/>
      <c r="AK701" s="208"/>
    </row>
    <row r="702" hidden="1">
      <c r="A702" s="209">
        <f>IFERROR(__xludf.DUMMYFUNCTION("""COMPUTED_VALUE"""),46164.0)</f>
        <v>46164</v>
      </c>
      <c r="B702" s="210">
        <f>IFERROR(__xludf.DUMMYFUNCTION("""COMPUTED_VALUE"""),0.4583333333321207)</f>
        <v>0.4583333333</v>
      </c>
      <c r="C702" s="211" t="str">
        <f>IFERROR(__xludf.DUMMYFUNCTION("""COMPUTED_VALUE"""),"Whatsapp")</f>
        <v>Whatsapp</v>
      </c>
      <c r="D702" s="211" t="str">
        <f>IFERROR(__xludf.DUMMYFUNCTION("""COMPUTED_VALUE"""),"Promotional")</f>
        <v>Promotional</v>
      </c>
      <c r="E702" s="211" t="str">
        <f>IFERROR(__xludf.DUMMYFUNCTION("""COMPUTED_VALUE"""),"BBW")</f>
        <v>BBW</v>
      </c>
      <c r="F702" s="211" t="str">
        <f>IFERROR(__xludf.DUMMYFUNCTION("""COMPUTED_VALUE"""),"B2G2 - Entire Store")</f>
        <v>B2G2 - Entire Store</v>
      </c>
      <c r="G702" s="212" t="str">
        <f>IFERROR(__xludf.DUMMYFUNCTION("""COMPUTED_VALUE"""),"bbw_wa_b2g2_22may_active_thane_offline")</f>
        <v>bbw_wa_b2g2_22may_active_thane_offline</v>
      </c>
      <c r="H702" s="212" t="str">
        <f>IFERROR(__xludf.DUMMYFUNCTION("""COMPUTED_VALUE"""),"BBW_OFF_THANE_Active")</f>
        <v>BBW_OFF_THANE_Active</v>
      </c>
      <c r="I702" s="212" t="str">
        <f>IFERROR(__xludf.DUMMYFUNCTION("""COMPUTED_VALUE"""),"All Offline Customers who have purchased at least 1 time from Txn_City THANE in the last 112 days (TTR)")</f>
        <v>All Offline Customers who have purchased at least 1 time from Txn_City THANE in the last 112 days (TTR)</v>
      </c>
      <c r="J702" s="213">
        <f>IFERROR(__xludf.DUMMYFUNCTION("""COMPUTED_VALUE"""),2557.0)</f>
        <v>2557</v>
      </c>
      <c r="K702" s="213">
        <f>IFERROR(__xludf.DUMMYFUNCTION("""COMPUTED_VALUE"""),1221.0)</f>
        <v>1221</v>
      </c>
      <c r="L702" s="214">
        <f>IFERROR(__xludf.DUMMYFUNCTION("""COMPUTED_VALUE"""),0.4775)</f>
        <v>0.4775</v>
      </c>
      <c r="M702" s="213">
        <f>IFERROR(__xludf.DUMMYFUNCTION("""COMPUTED_VALUE"""),581.0)</f>
        <v>581</v>
      </c>
      <c r="N702" s="214">
        <f>IFERROR(__xludf.DUMMYFUNCTION("""COMPUTED_VALUE"""),0.4758)</f>
        <v>0.4758</v>
      </c>
      <c r="O702" s="213">
        <f>IFERROR(__xludf.DUMMYFUNCTION("""COMPUTED_VALUE"""),68.0)</f>
        <v>68</v>
      </c>
      <c r="P702" s="213">
        <f>IFERROR(__xludf.DUMMYFUNCTION("""COMPUTED_VALUE"""),63.0)</f>
        <v>63</v>
      </c>
      <c r="Q702" s="214">
        <f>IFERROR(__xludf.DUMMYFUNCTION("""COMPUTED_VALUE"""),0.0516)</f>
        <v>0.0516</v>
      </c>
      <c r="R702" s="214">
        <f>IFERROR(__xludf.DUMMYFUNCTION("""COMPUTED_VALUE"""),0.1084)</f>
        <v>0.1084</v>
      </c>
      <c r="S702" s="213">
        <f>IFERROR(__xludf.DUMMYFUNCTION("""COMPUTED_VALUE"""),0.0)</f>
        <v>0</v>
      </c>
      <c r="T702" s="213">
        <f>IFERROR(__xludf.DUMMYFUNCTION("""COMPUTED_VALUE"""),0.0)</f>
        <v>0</v>
      </c>
      <c r="U702" s="270">
        <f>IFERROR(__xludf.DUMMYFUNCTION("""COMPUTED_VALUE"""),0.0)</f>
        <v>0</v>
      </c>
      <c r="V702" s="271" t="str">
        <f>IFERROR(__xludf.DUMMYFUNCTION("""COMPUTED_VALUE"""),"offline")</f>
        <v>offline</v>
      </c>
      <c r="W702" s="272" t="str">
        <f>IFERROR(__xludf.DUMMYFUNCTION("""COMPUTED_VALUE"""),"simple")</f>
        <v>simple</v>
      </c>
      <c r="X702" s="272" t="str">
        <f>IFERROR(__xludf.DUMMYFUNCTION("""COMPUTED_VALUE"""),"City Specific")</f>
        <v>City Specific</v>
      </c>
      <c r="Y702" s="272" t="str">
        <f>IFERROR(__xludf.DUMMYFUNCTION("""COMPUTED_VALUE"""),"22-24 May")</f>
        <v>22-24 May</v>
      </c>
      <c r="Z702" s="272" t="str">
        <f>IFERROR(__xludf.DUMMYFUNCTION("""COMPUTED_VALUE"""),"6a0eb292bbca0cf0cbfe691c")</f>
        <v>6a0eb292bbca0cf0cbfe691c</v>
      </c>
      <c r="AA702" s="272">
        <f>IFERROR(__xludf.DUMMYFUNCTION("""COMPUTED_VALUE"""),8.0)</f>
        <v>8</v>
      </c>
      <c r="AB702" s="272"/>
      <c r="AC702" s="272">
        <f>IFERROR(__xludf.DUMMYFUNCTION("""COMPUTED_VALUE"""),8.0)</f>
        <v>8</v>
      </c>
      <c r="AD702" s="272">
        <f>IFERROR(__xludf.DUMMYFUNCTION("""COMPUTED_VALUE"""),42382.0)</f>
        <v>42382</v>
      </c>
      <c r="AE702" s="272"/>
      <c r="AF702" s="272">
        <f>IFERROR(__xludf.DUMMYFUNCTION("""COMPUTED_VALUE"""),42382.0)</f>
        <v>42382</v>
      </c>
      <c r="AG702" s="208"/>
      <c r="AH702" s="208"/>
      <c r="AI702" s="208"/>
      <c r="AJ702" s="208"/>
      <c r="AK702" s="208"/>
    </row>
    <row r="703" hidden="1">
      <c r="A703" s="209">
        <f>IFERROR(__xludf.DUMMYFUNCTION("""COMPUTED_VALUE"""),46164.0)</f>
        <v>46164</v>
      </c>
      <c r="B703" s="210">
        <f>IFERROR(__xludf.DUMMYFUNCTION("""COMPUTED_VALUE"""),0.4583333333321207)</f>
        <v>0.4583333333</v>
      </c>
      <c r="C703" s="211" t="str">
        <f>IFERROR(__xludf.DUMMYFUNCTION("""COMPUTED_VALUE"""),"Whatsapp")</f>
        <v>Whatsapp</v>
      </c>
      <c r="D703" s="211" t="str">
        <f>IFERROR(__xludf.DUMMYFUNCTION("""COMPUTED_VALUE"""),"Promotional")</f>
        <v>Promotional</v>
      </c>
      <c r="E703" s="211" t="str">
        <f>IFERROR(__xludf.DUMMYFUNCTION("""COMPUTED_VALUE"""),"BBW")</f>
        <v>BBW</v>
      </c>
      <c r="F703" s="211" t="str">
        <f>IFERROR(__xludf.DUMMYFUNCTION("""COMPUTED_VALUE"""),"B2G2 - Entire Store")</f>
        <v>B2G2 - Entire Store</v>
      </c>
      <c r="G703" s="212" t="str">
        <f>IFERROR(__xludf.DUMMYFUNCTION("""COMPUTED_VALUE"""),"bbw_wa_b2g2_closer_launch_22may_dormant_blr_offline")</f>
        <v>bbw_wa_b2g2_closer_launch_22may_dormant_blr_offline</v>
      </c>
      <c r="H703" s="212" t="str">
        <f>IFERROR(__xludf.DUMMYFUNCTION("""COMPUTED_VALUE"""),"BBW_OFF_BLR_Dorm")</f>
        <v>BBW_OFF_BLR_Dorm</v>
      </c>
      <c r="I703" s="212" t="str">
        <f>IFERROR(__xludf.DUMMYFUNCTION("""COMPUTED_VALUE"""),"All Offline Customers who have purchased at least 1 time from Txn_City BLR in the last 365 days excluding TTR purchasers")</f>
        <v>All Offline Customers who have purchased at least 1 time from Txn_City BLR in the last 365 days excluding TTR purchasers</v>
      </c>
      <c r="J703" s="213">
        <f>IFERROR(__xludf.DUMMYFUNCTION("""COMPUTED_VALUE"""),53253.0)</f>
        <v>53253</v>
      </c>
      <c r="K703" s="213">
        <f>IFERROR(__xludf.DUMMYFUNCTION("""COMPUTED_VALUE"""),25471.0)</f>
        <v>25471</v>
      </c>
      <c r="L703" s="214">
        <f>IFERROR(__xludf.DUMMYFUNCTION("""COMPUTED_VALUE"""),0.4782)</f>
        <v>0.4782</v>
      </c>
      <c r="M703" s="213">
        <f>IFERROR(__xludf.DUMMYFUNCTION("""COMPUTED_VALUE"""),8716.0)</f>
        <v>8716</v>
      </c>
      <c r="N703" s="214">
        <f>IFERROR(__xludf.DUMMYFUNCTION("""COMPUTED_VALUE"""),0.3422)</f>
        <v>0.3422</v>
      </c>
      <c r="O703" s="213">
        <f>IFERROR(__xludf.DUMMYFUNCTION("""COMPUTED_VALUE"""),701.0)</f>
        <v>701</v>
      </c>
      <c r="P703" s="213">
        <f>IFERROR(__xludf.DUMMYFUNCTION("""COMPUTED_VALUE"""),675.0)</f>
        <v>675</v>
      </c>
      <c r="Q703" s="214">
        <f>IFERROR(__xludf.DUMMYFUNCTION("""COMPUTED_VALUE"""),0.0265)</f>
        <v>0.0265</v>
      </c>
      <c r="R703" s="214">
        <f>IFERROR(__xludf.DUMMYFUNCTION("""COMPUTED_VALUE"""),0.0774)</f>
        <v>0.0774</v>
      </c>
      <c r="S703" s="213">
        <f>IFERROR(__xludf.DUMMYFUNCTION("""COMPUTED_VALUE"""),0.0)</f>
        <v>0</v>
      </c>
      <c r="T703" s="213">
        <f>IFERROR(__xludf.DUMMYFUNCTION("""COMPUTED_VALUE"""),0.0)</f>
        <v>0</v>
      </c>
      <c r="U703" s="270">
        <f>IFERROR(__xludf.DUMMYFUNCTION("""COMPUTED_VALUE"""),0.0)</f>
        <v>0</v>
      </c>
      <c r="V703" s="271" t="str">
        <f>IFERROR(__xludf.DUMMYFUNCTION("""COMPUTED_VALUE"""),"offline")</f>
        <v>offline</v>
      </c>
      <c r="W703" s="272" t="str">
        <f>IFERROR(__xludf.DUMMYFUNCTION("""COMPUTED_VALUE"""),"simple")</f>
        <v>simple</v>
      </c>
      <c r="X703" s="272" t="str">
        <f>IFERROR(__xludf.DUMMYFUNCTION("""COMPUTED_VALUE"""),"City Specific")</f>
        <v>City Specific</v>
      </c>
      <c r="Y703" s="272" t="str">
        <f>IFERROR(__xludf.DUMMYFUNCTION("""COMPUTED_VALUE"""),"22-24 May")</f>
        <v>22-24 May</v>
      </c>
      <c r="Z703" s="272" t="str">
        <f>IFERROR(__xludf.DUMMYFUNCTION("""COMPUTED_VALUE"""),"6a0eb2fd76b8cbd9f7366cc5")</f>
        <v>6a0eb2fd76b8cbd9f7366cc5</v>
      </c>
      <c r="AA703" s="272">
        <f>IFERROR(__xludf.DUMMYFUNCTION("""COMPUTED_VALUE"""),97.0)</f>
        <v>97</v>
      </c>
      <c r="AB703" s="272"/>
      <c r="AC703" s="272">
        <f>IFERROR(__xludf.DUMMYFUNCTION("""COMPUTED_VALUE"""),97.0)</f>
        <v>97</v>
      </c>
      <c r="AD703" s="272">
        <f>IFERROR(__xludf.DUMMYFUNCTION("""COMPUTED_VALUE"""),455953.0)</f>
        <v>455953</v>
      </c>
      <c r="AE703" s="272"/>
      <c r="AF703" s="272">
        <f>IFERROR(__xludf.DUMMYFUNCTION("""COMPUTED_VALUE"""),455953.0)</f>
        <v>455953</v>
      </c>
      <c r="AG703" s="208"/>
      <c r="AH703" s="208"/>
      <c r="AI703" s="208"/>
      <c r="AJ703" s="208"/>
      <c r="AK703" s="208"/>
    </row>
    <row r="704" hidden="1">
      <c r="A704" s="209">
        <f>IFERROR(__xludf.DUMMYFUNCTION("""COMPUTED_VALUE"""),46164.0)</f>
        <v>46164</v>
      </c>
      <c r="B704" s="210">
        <f>IFERROR(__xludf.DUMMYFUNCTION("""COMPUTED_VALUE"""),0.4583333333321207)</f>
        <v>0.4583333333</v>
      </c>
      <c r="C704" s="211" t="str">
        <f>IFERROR(__xludf.DUMMYFUNCTION("""COMPUTED_VALUE"""),"Whatsapp")</f>
        <v>Whatsapp</v>
      </c>
      <c r="D704" s="211" t="str">
        <f>IFERROR(__xludf.DUMMYFUNCTION("""COMPUTED_VALUE"""),"Promotional")</f>
        <v>Promotional</v>
      </c>
      <c r="E704" s="211" t="str">
        <f>IFERROR(__xludf.DUMMYFUNCTION("""COMPUTED_VALUE"""),"BBW")</f>
        <v>BBW</v>
      </c>
      <c r="F704" s="211" t="str">
        <f>IFERROR(__xludf.DUMMYFUNCTION("""COMPUTED_VALUE"""),"B2G2 - Entire Store")</f>
        <v>B2G2 - Entire Store</v>
      </c>
      <c r="G704" s="212" t="str">
        <f>IFERROR(__xludf.DUMMYFUNCTION("""COMPUTED_VALUE"""),"bbw_wa_b2g2_22may_active_vad_offline")</f>
        <v>bbw_wa_b2g2_22may_active_vad_offline</v>
      </c>
      <c r="H704" s="212" t="str">
        <f>IFERROR(__xludf.DUMMYFUNCTION("""COMPUTED_VALUE"""),"BBW_OFF_Vadodara_Active")</f>
        <v>BBW_OFF_Vadodara_Active</v>
      </c>
      <c r="I704" s="212" t="str">
        <f>IFERROR(__xludf.DUMMYFUNCTION("""COMPUTED_VALUE"""),"All Offline Customers who have purchased at least 1 time from Txn_City VADODARA in the last 112 days (TTR)")</f>
        <v>All Offline Customers who have purchased at least 1 time from Txn_City VADODARA in the last 112 days (TTR)</v>
      </c>
      <c r="J704" s="213">
        <f>IFERROR(__xludf.DUMMYFUNCTION("""COMPUTED_VALUE"""),2103.0)</f>
        <v>2103</v>
      </c>
      <c r="K704" s="213">
        <f>IFERROR(__xludf.DUMMYFUNCTION("""COMPUTED_VALUE"""),1174.0)</f>
        <v>1174</v>
      </c>
      <c r="L704" s="214">
        <f>IFERROR(__xludf.DUMMYFUNCTION("""COMPUTED_VALUE"""),0.5583)</f>
        <v>0.5583</v>
      </c>
      <c r="M704" s="213">
        <f>IFERROR(__xludf.DUMMYFUNCTION("""COMPUTED_VALUE"""),621.0)</f>
        <v>621</v>
      </c>
      <c r="N704" s="214">
        <f>IFERROR(__xludf.DUMMYFUNCTION("""COMPUTED_VALUE"""),0.529)</f>
        <v>0.529</v>
      </c>
      <c r="O704" s="213">
        <f>IFERROR(__xludf.DUMMYFUNCTION("""COMPUTED_VALUE"""),65.0)</f>
        <v>65</v>
      </c>
      <c r="P704" s="213">
        <f>IFERROR(__xludf.DUMMYFUNCTION("""COMPUTED_VALUE"""),62.0)</f>
        <v>62</v>
      </c>
      <c r="Q704" s="214">
        <f>IFERROR(__xludf.DUMMYFUNCTION("""COMPUTED_VALUE"""),0.0528)</f>
        <v>0.0528</v>
      </c>
      <c r="R704" s="214">
        <f>IFERROR(__xludf.DUMMYFUNCTION("""COMPUTED_VALUE"""),0.0998)</f>
        <v>0.0998</v>
      </c>
      <c r="S704" s="213">
        <f>IFERROR(__xludf.DUMMYFUNCTION("""COMPUTED_VALUE"""),0.0)</f>
        <v>0</v>
      </c>
      <c r="T704" s="213">
        <f>IFERROR(__xludf.DUMMYFUNCTION("""COMPUTED_VALUE"""),0.0)</f>
        <v>0</v>
      </c>
      <c r="U704" s="270">
        <f>IFERROR(__xludf.DUMMYFUNCTION("""COMPUTED_VALUE"""),0.0)</f>
        <v>0</v>
      </c>
      <c r="V704" s="271" t="str">
        <f>IFERROR(__xludf.DUMMYFUNCTION("""COMPUTED_VALUE"""),"offline")</f>
        <v>offline</v>
      </c>
      <c r="W704" s="272" t="str">
        <f>IFERROR(__xludf.DUMMYFUNCTION("""COMPUTED_VALUE"""),"simple")</f>
        <v>simple</v>
      </c>
      <c r="X704" s="272" t="str">
        <f>IFERROR(__xludf.DUMMYFUNCTION("""COMPUTED_VALUE"""),"City Specific")</f>
        <v>City Specific</v>
      </c>
      <c r="Y704" s="272" t="str">
        <f>IFERROR(__xludf.DUMMYFUNCTION("""COMPUTED_VALUE"""),"22-24 May")</f>
        <v>22-24 May</v>
      </c>
      <c r="Z704" s="272" t="str">
        <f>IFERROR(__xludf.DUMMYFUNCTION("""COMPUTED_VALUE"""),"6a0eb3389288015216795a73")</f>
        <v>6a0eb3389288015216795a73</v>
      </c>
      <c r="AA704" s="272">
        <f>IFERROR(__xludf.DUMMYFUNCTION("""COMPUTED_VALUE"""),8.0)</f>
        <v>8</v>
      </c>
      <c r="AB704" s="272"/>
      <c r="AC704" s="272">
        <f>IFERROR(__xludf.DUMMYFUNCTION("""COMPUTED_VALUE"""),8.0)</f>
        <v>8</v>
      </c>
      <c r="AD704" s="272">
        <f>IFERROR(__xludf.DUMMYFUNCTION("""COMPUTED_VALUE"""),35582.0)</f>
        <v>35582</v>
      </c>
      <c r="AE704" s="272"/>
      <c r="AF704" s="272">
        <f>IFERROR(__xludf.DUMMYFUNCTION("""COMPUTED_VALUE"""),35582.0)</f>
        <v>35582</v>
      </c>
      <c r="AG704" s="208"/>
      <c r="AH704" s="208"/>
      <c r="AI704" s="208"/>
      <c r="AJ704" s="208"/>
      <c r="AK704" s="208"/>
    </row>
    <row r="705" hidden="1">
      <c r="A705" s="209">
        <f>IFERROR(__xludf.DUMMYFUNCTION("""COMPUTED_VALUE"""),46164.0)</f>
        <v>46164</v>
      </c>
      <c r="B705" s="210">
        <f>IFERROR(__xludf.DUMMYFUNCTION("""COMPUTED_VALUE"""),0.4583333333321207)</f>
        <v>0.4583333333</v>
      </c>
      <c r="C705" s="211" t="str">
        <f>IFERROR(__xludf.DUMMYFUNCTION("""COMPUTED_VALUE"""),"Whatsapp")</f>
        <v>Whatsapp</v>
      </c>
      <c r="D705" s="211" t="str">
        <f>IFERROR(__xludf.DUMMYFUNCTION("""COMPUTED_VALUE"""),"Promotional")</f>
        <v>Promotional</v>
      </c>
      <c r="E705" s="211" t="str">
        <f>IFERROR(__xludf.DUMMYFUNCTION("""COMPUTED_VALUE"""),"BBW")</f>
        <v>BBW</v>
      </c>
      <c r="F705" s="211" t="str">
        <f>IFERROR(__xludf.DUMMYFUNCTION("""COMPUTED_VALUE"""),"B2G2 - Entire Store")</f>
        <v>B2G2 - Entire Store</v>
      </c>
      <c r="G705" s="212" t="str">
        <f>IFERROR(__xludf.DUMMYFUNCTION("""COMPUTED_VALUE"""),"bbw_wa_b2g2_closer_launch_22may_dormant_bom_offline")</f>
        <v>bbw_wa_b2g2_closer_launch_22may_dormant_bom_offline</v>
      </c>
      <c r="H705" s="212" t="str">
        <f>IFERROR(__xludf.DUMMYFUNCTION("""COMPUTED_VALUE"""),"BBW_OFF_BOM_Dorm")</f>
        <v>BBW_OFF_BOM_Dorm</v>
      </c>
      <c r="I705" s="212" t="str">
        <f>IFERROR(__xludf.DUMMYFUNCTION("""COMPUTED_VALUE"""),"All Offline Customers who have purchased at least 1 time from Txn_City BOM in the last 365 days excluding TTR purchasers")</f>
        <v>All Offline Customers who have purchased at least 1 time from Txn_City BOM in the last 365 days excluding TTR purchasers</v>
      </c>
      <c r="J705" s="213">
        <f>IFERROR(__xludf.DUMMYFUNCTION("""COMPUTED_VALUE"""),32958.0)</f>
        <v>32958</v>
      </c>
      <c r="K705" s="213">
        <f>IFERROR(__xludf.DUMMYFUNCTION("""COMPUTED_VALUE"""),17490.0)</f>
        <v>17490</v>
      </c>
      <c r="L705" s="214">
        <f>IFERROR(__xludf.DUMMYFUNCTION("""COMPUTED_VALUE"""),0.5306)</f>
        <v>0.5306</v>
      </c>
      <c r="M705" s="213">
        <f>IFERROR(__xludf.DUMMYFUNCTION("""COMPUTED_VALUE"""),6557.0)</f>
        <v>6557</v>
      </c>
      <c r="N705" s="214">
        <f>IFERROR(__xludf.DUMMYFUNCTION("""COMPUTED_VALUE"""),0.3749)</f>
        <v>0.3749</v>
      </c>
      <c r="O705" s="213">
        <f>IFERROR(__xludf.DUMMYFUNCTION("""COMPUTED_VALUE"""),563.0)</f>
        <v>563</v>
      </c>
      <c r="P705" s="213">
        <f>IFERROR(__xludf.DUMMYFUNCTION("""COMPUTED_VALUE"""),536.0)</f>
        <v>536</v>
      </c>
      <c r="Q705" s="214">
        <f>IFERROR(__xludf.DUMMYFUNCTION("""COMPUTED_VALUE"""),0.0306)</f>
        <v>0.0306</v>
      </c>
      <c r="R705" s="214">
        <f>IFERROR(__xludf.DUMMYFUNCTION("""COMPUTED_VALUE"""),0.0817)</f>
        <v>0.0817</v>
      </c>
      <c r="S705" s="213">
        <f>IFERROR(__xludf.DUMMYFUNCTION("""COMPUTED_VALUE"""),0.0)</f>
        <v>0</v>
      </c>
      <c r="T705" s="213">
        <f>IFERROR(__xludf.DUMMYFUNCTION("""COMPUTED_VALUE"""),0.0)</f>
        <v>0</v>
      </c>
      <c r="U705" s="270">
        <f>IFERROR(__xludf.DUMMYFUNCTION("""COMPUTED_VALUE"""),0.0)</f>
        <v>0</v>
      </c>
      <c r="V705" s="271" t="str">
        <f>IFERROR(__xludf.DUMMYFUNCTION("""COMPUTED_VALUE"""),"offline")</f>
        <v>offline</v>
      </c>
      <c r="W705" s="272" t="str">
        <f>IFERROR(__xludf.DUMMYFUNCTION("""COMPUTED_VALUE"""),"simple")</f>
        <v>simple</v>
      </c>
      <c r="X705" s="272" t="str">
        <f>IFERROR(__xludf.DUMMYFUNCTION("""COMPUTED_VALUE"""),"City Specific")</f>
        <v>City Specific</v>
      </c>
      <c r="Y705" s="272" t="str">
        <f>IFERROR(__xludf.DUMMYFUNCTION("""COMPUTED_VALUE"""),"22-24 May")</f>
        <v>22-24 May</v>
      </c>
      <c r="Z705" s="272" t="str">
        <f>IFERROR(__xludf.DUMMYFUNCTION("""COMPUTED_VALUE"""),"6a0eb349d49d44a8314a115d")</f>
        <v>6a0eb349d49d44a8314a115d</v>
      </c>
      <c r="AA705" s="272">
        <f>IFERROR(__xludf.DUMMYFUNCTION("""COMPUTED_VALUE"""),46.0)</f>
        <v>46</v>
      </c>
      <c r="AB705" s="272"/>
      <c r="AC705" s="272">
        <f>IFERROR(__xludf.DUMMYFUNCTION("""COMPUTED_VALUE"""),46.0)</f>
        <v>46</v>
      </c>
      <c r="AD705" s="272">
        <f>IFERROR(__xludf.DUMMYFUNCTION("""COMPUTED_VALUE"""),217576.0)</f>
        <v>217576</v>
      </c>
      <c r="AE705" s="272"/>
      <c r="AF705" s="272">
        <f>IFERROR(__xludf.DUMMYFUNCTION("""COMPUTED_VALUE"""),217576.0)</f>
        <v>217576</v>
      </c>
      <c r="AG705" s="208"/>
      <c r="AH705" s="208"/>
      <c r="AI705" s="208"/>
      <c r="AJ705" s="208"/>
      <c r="AK705" s="208"/>
    </row>
    <row r="706" hidden="1">
      <c r="A706" s="209">
        <f>IFERROR(__xludf.DUMMYFUNCTION("""COMPUTED_VALUE"""),46164.0)</f>
        <v>46164</v>
      </c>
      <c r="B706" s="210">
        <f>IFERROR(__xludf.DUMMYFUNCTION("""COMPUTED_VALUE"""),0.4583333333321207)</f>
        <v>0.4583333333</v>
      </c>
      <c r="C706" s="211" t="str">
        <f>IFERROR(__xludf.DUMMYFUNCTION("""COMPUTED_VALUE"""),"Whatsapp")</f>
        <v>Whatsapp</v>
      </c>
      <c r="D706" s="211" t="str">
        <f>IFERROR(__xludf.DUMMYFUNCTION("""COMPUTED_VALUE"""),"Promotional")</f>
        <v>Promotional</v>
      </c>
      <c r="E706" s="211" t="str">
        <f>IFERROR(__xludf.DUMMYFUNCTION("""COMPUTED_VALUE"""),"BBW")</f>
        <v>BBW</v>
      </c>
      <c r="F706" s="211" t="str">
        <f>IFERROR(__xludf.DUMMYFUNCTION("""COMPUTED_VALUE"""),"B2G2 - Entire Store")</f>
        <v>B2G2 - Entire Store</v>
      </c>
      <c r="G706" s="212" t="str">
        <f>IFERROR(__xludf.DUMMYFUNCTION("""COMPUTED_VALUE"""),"bbw_wa_b2g2_22may_active_kochi_offline")</f>
        <v>bbw_wa_b2g2_22may_active_kochi_offline</v>
      </c>
      <c r="H706" s="212" t="str">
        <f>IFERROR(__xludf.DUMMYFUNCTION("""COMPUTED_VALUE"""),"BBW_OFF_KOCHI_Active")</f>
        <v>BBW_OFF_KOCHI_Active</v>
      </c>
      <c r="I706" s="212" t="str">
        <f>IFERROR(__xludf.DUMMYFUNCTION("""COMPUTED_VALUE"""),"All Offline Customers who have purchased at least 1 time from Txn_City KOCHI in the last 112 days (TTR)")</f>
        <v>All Offline Customers who have purchased at least 1 time from Txn_City KOCHI in the last 112 days (TTR)</v>
      </c>
      <c r="J706" s="213">
        <f>IFERROR(__xludf.DUMMYFUNCTION("""COMPUTED_VALUE"""),3252.0)</f>
        <v>3252</v>
      </c>
      <c r="K706" s="213">
        <f>IFERROR(__xludf.DUMMYFUNCTION("""COMPUTED_VALUE"""),1765.0)</f>
        <v>1765</v>
      </c>
      <c r="L706" s="214">
        <f>IFERROR(__xludf.DUMMYFUNCTION("""COMPUTED_VALUE"""),0.5427)</f>
        <v>0.5427</v>
      </c>
      <c r="M706" s="213">
        <f>IFERROR(__xludf.DUMMYFUNCTION("""COMPUTED_VALUE"""),830.0)</f>
        <v>830</v>
      </c>
      <c r="N706" s="214">
        <f>IFERROR(__xludf.DUMMYFUNCTION("""COMPUTED_VALUE"""),0.4703)</f>
        <v>0.4703</v>
      </c>
      <c r="O706" s="213">
        <f>IFERROR(__xludf.DUMMYFUNCTION("""COMPUTED_VALUE"""),127.0)</f>
        <v>127</v>
      </c>
      <c r="P706" s="213">
        <f>IFERROR(__xludf.DUMMYFUNCTION("""COMPUTED_VALUE"""),119.0)</f>
        <v>119</v>
      </c>
      <c r="Q706" s="214">
        <f>IFERROR(__xludf.DUMMYFUNCTION("""COMPUTED_VALUE"""),0.0674)</f>
        <v>0.0674</v>
      </c>
      <c r="R706" s="214">
        <f>IFERROR(__xludf.DUMMYFUNCTION("""COMPUTED_VALUE"""),0.1434)</f>
        <v>0.1434</v>
      </c>
      <c r="S706" s="213">
        <f>IFERROR(__xludf.DUMMYFUNCTION("""COMPUTED_VALUE"""),0.0)</f>
        <v>0</v>
      </c>
      <c r="T706" s="213">
        <f>IFERROR(__xludf.DUMMYFUNCTION("""COMPUTED_VALUE"""),0.0)</f>
        <v>0</v>
      </c>
      <c r="U706" s="270">
        <f>IFERROR(__xludf.DUMMYFUNCTION("""COMPUTED_VALUE"""),0.0)</f>
        <v>0</v>
      </c>
      <c r="V706" s="271" t="str">
        <f>IFERROR(__xludf.DUMMYFUNCTION("""COMPUTED_VALUE"""),"offline")</f>
        <v>offline</v>
      </c>
      <c r="W706" s="272" t="str">
        <f>IFERROR(__xludf.DUMMYFUNCTION("""COMPUTED_VALUE"""),"simple")</f>
        <v>simple</v>
      </c>
      <c r="X706" s="272" t="str">
        <f>IFERROR(__xludf.DUMMYFUNCTION("""COMPUTED_VALUE"""),"City Specific")</f>
        <v>City Specific</v>
      </c>
      <c r="Y706" s="272" t="str">
        <f>IFERROR(__xludf.DUMMYFUNCTION("""COMPUTED_VALUE"""),"22-24 May")</f>
        <v>22-24 May</v>
      </c>
      <c r="Z706" s="272" t="str">
        <f>IFERROR(__xludf.DUMMYFUNCTION("""COMPUTED_VALUE"""),"6a0eb36eff44cb43c9a87a31")</f>
        <v>6a0eb36eff44cb43c9a87a31</v>
      </c>
      <c r="AA706" s="272">
        <f>IFERROR(__xludf.DUMMYFUNCTION("""COMPUTED_VALUE"""),9.0)</f>
        <v>9</v>
      </c>
      <c r="AB706" s="272"/>
      <c r="AC706" s="272">
        <f>IFERROR(__xludf.DUMMYFUNCTION("""COMPUTED_VALUE"""),9.0)</f>
        <v>9</v>
      </c>
      <c r="AD706" s="272">
        <f>IFERROR(__xludf.DUMMYFUNCTION("""COMPUTED_VALUE"""),49478.0)</f>
        <v>49478</v>
      </c>
      <c r="AE706" s="272"/>
      <c r="AF706" s="272">
        <f>IFERROR(__xludf.DUMMYFUNCTION("""COMPUTED_VALUE"""),49478.0)</f>
        <v>49478</v>
      </c>
      <c r="AG706" s="208"/>
      <c r="AH706" s="208"/>
      <c r="AI706" s="208"/>
      <c r="AJ706" s="208"/>
      <c r="AK706" s="208"/>
    </row>
    <row r="707" hidden="1">
      <c r="A707" s="209">
        <f>IFERROR(__xludf.DUMMYFUNCTION("""COMPUTED_VALUE"""),46164.0)</f>
        <v>46164</v>
      </c>
      <c r="B707" s="210">
        <f>IFERROR(__xludf.DUMMYFUNCTION("""COMPUTED_VALUE"""),0.4583333333321207)</f>
        <v>0.4583333333</v>
      </c>
      <c r="C707" s="211" t="str">
        <f>IFERROR(__xludf.DUMMYFUNCTION("""COMPUTED_VALUE"""),"Whatsapp")</f>
        <v>Whatsapp</v>
      </c>
      <c r="D707" s="211" t="str">
        <f>IFERROR(__xludf.DUMMYFUNCTION("""COMPUTED_VALUE"""),"Promotional")</f>
        <v>Promotional</v>
      </c>
      <c r="E707" s="211" t="str">
        <f>IFERROR(__xludf.DUMMYFUNCTION("""COMPUTED_VALUE"""),"BBW")</f>
        <v>BBW</v>
      </c>
      <c r="F707" s="211" t="str">
        <f>IFERROR(__xludf.DUMMYFUNCTION("""COMPUTED_VALUE"""),"B2G2 - Entire Store")</f>
        <v>B2G2 - Entire Store</v>
      </c>
      <c r="G707" s="212" t="str">
        <f>IFERROR(__xludf.DUMMYFUNCTION("""COMPUTED_VALUE"""),"bbw_wa_b2g2_closer_launch_22may_dormant_ahd_offline")</f>
        <v>bbw_wa_b2g2_closer_launch_22may_dormant_ahd_offline</v>
      </c>
      <c r="H707" s="212" t="str">
        <f>IFERROR(__xludf.DUMMYFUNCTION("""COMPUTED_VALUE"""),"BBW_OFF_AHD_Dorm")</f>
        <v>BBW_OFF_AHD_Dorm</v>
      </c>
      <c r="I707" s="212" t="str">
        <f>IFERROR(__xludf.DUMMYFUNCTION("""COMPUTED_VALUE"""),"All Offline Customers who have purchased at least 1 time from Txn_City AHD in the last 365 days excluding TTR purchasers")</f>
        <v>All Offline Customers who have purchased at least 1 time from Txn_City AHD in the last 365 days excluding TTR purchasers</v>
      </c>
      <c r="J707" s="213">
        <f>IFERROR(__xludf.DUMMYFUNCTION("""COMPUTED_VALUE"""),17024.0)</f>
        <v>17024</v>
      </c>
      <c r="K707" s="213">
        <f>IFERROR(__xludf.DUMMYFUNCTION("""COMPUTED_VALUE"""),10068.0)</f>
        <v>10068</v>
      </c>
      <c r="L707" s="214">
        <f>IFERROR(__xludf.DUMMYFUNCTION("""COMPUTED_VALUE"""),0.5913)</f>
        <v>0.5913</v>
      </c>
      <c r="M707" s="213">
        <f>IFERROR(__xludf.DUMMYFUNCTION("""COMPUTED_VALUE"""),4508.0)</f>
        <v>4508</v>
      </c>
      <c r="N707" s="214">
        <f>IFERROR(__xludf.DUMMYFUNCTION("""COMPUTED_VALUE"""),0.4477)</f>
        <v>0.4477</v>
      </c>
      <c r="O707" s="213">
        <f>IFERROR(__xludf.DUMMYFUNCTION("""COMPUTED_VALUE"""),357.0)</f>
        <v>357</v>
      </c>
      <c r="P707" s="213">
        <f>IFERROR(__xludf.DUMMYFUNCTION("""COMPUTED_VALUE"""),342.0)</f>
        <v>342</v>
      </c>
      <c r="Q707" s="214">
        <f>IFERROR(__xludf.DUMMYFUNCTION("""COMPUTED_VALUE"""),0.034)</f>
        <v>0.034</v>
      </c>
      <c r="R707" s="214">
        <f>IFERROR(__xludf.DUMMYFUNCTION("""COMPUTED_VALUE"""),0.0759)</f>
        <v>0.0759</v>
      </c>
      <c r="S707" s="213">
        <f>IFERROR(__xludf.DUMMYFUNCTION("""COMPUTED_VALUE"""),0.0)</f>
        <v>0</v>
      </c>
      <c r="T707" s="213">
        <f>IFERROR(__xludf.DUMMYFUNCTION("""COMPUTED_VALUE"""),0.0)</f>
        <v>0</v>
      </c>
      <c r="U707" s="270">
        <f>IFERROR(__xludf.DUMMYFUNCTION("""COMPUTED_VALUE"""),0.0)</f>
        <v>0</v>
      </c>
      <c r="V707" s="271" t="str">
        <f>IFERROR(__xludf.DUMMYFUNCTION("""COMPUTED_VALUE"""),"offline")</f>
        <v>offline</v>
      </c>
      <c r="W707" s="272" t="str">
        <f>IFERROR(__xludf.DUMMYFUNCTION("""COMPUTED_VALUE"""),"simple")</f>
        <v>simple</v>
      </c>
      <c r="X707" s="272" t="str">
        <f>IFERROR(__xludf.DUMMYFUNCTION("""COMPUTED_VALUE"""),"City Specific")</f>
        <v>City Specific</v>
      </c>
      <c r="Y707" s="272" t="str">
        <f>IFERROR(__xludf.DUMMYFUNCTION("""COMPUTED_VALUE"""),"22-24 May")</f>
        <v>22-24 May</v>
      </c>
      <c r="Z707" s="272" t="str">
        <f>IFERROR(__xludf.DUMMYFUNCTION("""COMPUTED_VALUE"""),"6a0eb39f74e78fb8cdb2b9a7")</f>
        <v>6a0eb39f74e78fb8cdb2b9a7</v>
      </c>
      <c r="AA707" s="272">
        <f>IFERROR(__xludf.DUMMYFUNCTION("""COMPUTED_VALUE"""),42.0)</f>
        <v>42</v>
      </c>
      <c r="AB707" s="272"/>
      <c r="AC707" s="272">
        <f>IFERROR(__xludf.DUMMYFUNCTION("""COMPUTED_VALUE"""),42.0)</f>
        <v>42</v>
      </c>
      <c r="AD707" s="272">
        <f>IFERROR(__xludf.DUMMYFUNCTION("""COMPUTED_VALUE"""),190530.0)</f>
        <v>190530</v>
      </c>
      <c r="AE707" s="272"/>
      <c r="AF707" s="272">
        <f>IFERROR(__xludf.DUMMYFUNCTION("""COMPUTED_VALUE"""),190530.0)</f>
        <v>190530</v>
      </c>
      <c r="AG707" s="208"/>
      <c r="AH707" s="208"/>
      <c r="AI707" s="208"/>
      <c r="AJ707" s="208"/>
      <c r="AK707" s="208"/>
    </row>
    <row r="708" hidden="1">
      <c r="A708" s="209">
        <f>IFERROR(__xludf.DUMMYFUNCTION("""COMPUTED_VALUE"""),46164.0)</f>
        <v>46164</v>
      </c>
      <c r="B708" s="210">
        <f>IFERROR(__xludf.DUMMYFUNCTION("""COMPUTED_VALUE"""),0.4583333333321207)</f>
        <v>0.4583333333</v>
      </c>
      <c r="C708" s="211" t="str">
        <f>IFERROR(__xludf.DUMMYFUNCTION("""COMPUTED_VALUE"""),"Whatsapp")</f>
        <v>Whatsapp</v>
      </c>
      <c r="D708" s="211" t="str">
        <f>IFERROR(__xludf.DUMMYFUNCTION("""COMPUTED_VALUE"""),"Promotional")</f>
        <v>Promotional</v>
      </c>
      <c r="E708" s="211" t="str">
        <f>IFERROR(__xludf.DUMMYFUNCTION("""COMPUTED_VALUE"""),"BBW")</f>
        <v>BBW</v>
      </c>
      <c r="F708" s="211" t="str">
        <f>IFERROR(__xludf.DUMMYFUNCTION("""COMPUTED_VALUE"""),"B2G2 - Entire Store")</f>
        <v>B2G2 - Entire Store</v>
      </c>
      <c r="G708" s="212" t="str">
        <f>IFERROR(__xludf.DUMMYFUNCTION("""COMPUTED_VALUE"""),"bbw_wa_b2g2_22may_active_surat_offline")</f>
        <v>bbw_wa_b2g2_22may_active_surat_offline</v>
      </c>
      <c r="H708" s="212" t="str">
        <f>IFERROR(__xludf.DUMMYFUNCTION("""COMPUTED_VALUE"""),"BBW_OFF_Surat_Active")</f>
        <v>BBW_OFF_Surat_Active</v>
      </c>
      <c r="I708" s="212" t="str">
        <f>IFERROR(__xludf.DUMMYFUNCTION("""COMPUTED_VALUE"""),"All Offline Customers who have purchased at least 1 time from Txn_City SURAT in the last 112 days (TTR)")</f>
        <v>All Offline Customers who have purchased at least 1 time from Txn_City SURAT in the last 112 days (TTR)</v>
      </c>
      <c r="J708" s="213">
        <f>IFERROR(__xludf.DUMMYFUNCTION("""COMPUTED_VALUE"""),1031.0)</f>
        <v>1031</v>
      </c>
      <c r="K708" s="213">
        <f>IFERROR(__xludf.DUMMYFUNCTION("""COMPUTED_VALUE"""),509.0)</f>
        <v>509</v>
      </c>
      <c r="L708" s="214">
        <f>IFERROR(__xludf.DUMMYFUNCTION("""COMPUTED_VALUE"""),0.4927)</f>
        <v>0.4927</v>
      </c>
      <c r="M708" s="213">
        <f>IFERROR(__xludf.DUMMYFUNCTION("""COMPUTED_VALUE"""),302.0)</f>
        <v>302</v>
      </c>
      <c r="N708" s="214">
        <f>IFERROR(__xludf.DUMMYFUNCTION("""COMPUTED_VALUE"""),0.5945)</f>
        <v>0.5945</v>
      </c>
      <c r="O708" s="213">
        <f>IFERROR(__xludf.DUMMYFUNCTION("""COMPUTED_VALUE"""),32.0)</f>
        <v>32</v>
      </c>
      <c r="P708" s="213">
        <f>IFERROR(__xludf.DUMMYFUNCTION("""COMPUTED_VALUE"""),32.0)</f>
        <v>32</v>
      </c>
      <c r="Q708" s="214">
        <f>IFERROR(__xludf.DUMMYFUNCTION("""COMPUTED_VALUE"""),0.063)</f>
        <v>0.063</v>
      </c>
      <c r="R708" s="214">
        <f>IFERROR(__xludf.DUMMYFUNCTION("""COMPUTED_VALUE"""),0.106)</f>
        <v>0.106</v>
      </c>
      <c r="S708" s="213">
        <f>IFERROR(__xludf.DUMMYFUNCTION("""COMPUTED_VALUE"""),0.0)</f>
        <v>0</v>
      </c>
      <c r="T708" s="213">
        <f>IFERROR(__xludf.DUMMYFUNCTION("""COMPUTED_VALUE"""),0.0)</f>
        <v>0</v>
      </c>
      <c r="U708" s="270">
        <f>IFERROR(__xludf.DUMMYFUNCTION("""COMPUTED_VALUE"""),0.0)</f>
        <v>0</v>
      </c>
      <c r="V708" s="271" t="str">
        <f>IFERROR(__xludf.DUMMYFUNCTION("""COMPUTED_VALUE"""),"offline")</f>
        <v>offline</v>
      </c>
      <c r="W708" s="272" t="str">
        <f>IFERROR(__xludf.DUMMYFUNCTION("""COMPUTED_VALUE"""),"simple")</f>
        <v>simple</v>
      </c>
      <c r="X708" s="272" t="str">
        <f>IFERROR(__xludf.DUMMYFUNCTION("""COMPUTED_VALUE"""),"City Specific")</f>
        <v>City Specific</v>
      </c>
      <c r="Y708" s="272" t="str">
        <f>IFERROR(__xludf.DUMMYFUNCTION("""COMPUTED_VALUE"""),"22-24 May")</f>
        <v>22-24 May</v>
      </c>
      <c r="Z708" s="272" t="str">
        <f>IFERROR(__xludf.DUMMYFUNCTION("""COMPUTED_VALUE"""),"6a0eb3a50b57b74d3ca0ad5f")</f>
        <v>6a0eb3a50b57b74d3ca0ad5f</v>
      </c>
      <c r="AA708" s="272">
        <f>IFERROR(__xludf.DUMMYFUNCTION("""COMPUTED_VALUE"""),2.0)</f>
        <v>2</v>
      </c>
      <c r="AB708" s="272"/>
      <c r="AC708" s="272">
        <f>IFERROR(__xludf.DUMMYFUNCTION("""COMPUTED_VALUE"""),2.0)</f>
        <v>2</v>
      </c>
      <c r="AD708" s="272">
        <f>IFERROR(__xludf.DUMMYFUNCTION("""COMPUTED_VALUE"""),9596.0)</f>
        <v>9596</v>
      </c>
      <c r="AE708" s="272"/>
      <c r="AF708" s="272">
        <f>IFERROR(__xludf.DUMMYFUNCTION("""COMPUTED_VALUE"""),9596.0)</f>
        <v>9596</v>
      </c>
      <c r="AG708" s="208"/>
      <c r="AH708" s="208"/>
      <c r="AI708" s="208"/>
      <c r="AJ708" s="208"/>
      <c r="AK708" s="208"/>
    </row>
    <row r="709" hidden="1">
      <c r="A709" s="215">
        <f>IFERROR(__xludf.DUMMYFUNCTION("""COMPUTED_VALUE"""),46164.0)</f>
        <v>46164</v>
      </c>
      <c r="B709" s="210">
        <f>IFERROR(__xludf.DUMMYFUNCTION("""COMPUTED_VALUE"""),0.4583333333321207)</f>
        <v>0.4583333333</v>
      </c>
      <c r="C709" s="211" t="str">
        <f>IFERROR(__xludf.DUMMYFUNCTION("""COMPUTED_VALUE"""),"Whatsapp")</f>
        <v>Whatsapp</v>
      </c>
      <c r="D709" s="211" t="str">
        <f>IFERROR(__xludf.DUMMYFUNCTION("""COMPUTED_VALUE"""),"Promotional")</f>
        <v>Promotional</v>
      </c>
      <c r="E709" s="211" t="str">
        <f>IFERROR(__xludf.DUMMYFUNCTION("""COMPUTED_VALUE"""),"BBW")</f>
        <v>BBW</v>
      </c>
      <c r="F709" s="211" t="str">
        <f>IFERROR(__xludf.DUMMYFUNCTION("""COMPUTED_VALUE"""),"B2G2 - Entire Store")</f>
        <v>B2G2 - Entire Store</v>
      </c>
      <c r="G709" s="211" t="str">
        <f>IFERROR(__xludf.DUMMYFUNCTION("""COMPUTED_VALUE"""),"bbw_wa_b2g2_closer_launch_22may_dormant_pune_offline")</f>
        <v>bbw_wa_b2g2_closer_launch_22may_dormant_pune_offline</v>
      </c>
      <c r="H709" s="212" t="str">
        <f>IFERROR(__xludf.DUMMYFUNCTION("""COMPUTED_VALUE"""),"BBW_OFF_PUNE_Dorm")</f>
        <v>BBW_OFF_PUNE_Dorm</v>
      </c>
      <c r="I709" s="212" t="str">
        <f>IFERROR(__xludf.DUMMYFUNCTION("""COMPUTED_VALUE"""),"All Offline Customers who have purchased at least 1 time from Txn_City PUNE in the last 365 days excluding TTR purchasers")</f>
        <v>All Offline Customers who have purchased at least 1 time from Txn_City PUNE in the last 365 days excluding TTR purchasers</v>
      </c>
      <c r="J709" s="271">
        <f>IFERROR(__xludf.DUMMYFUNCTION("""COMPUTED_VALUE"""),9807.0)</f>
        <v>9807</v>
      </c>
      <c r="K709" s="271">
        <f>IFERROR(__xludf.DUMMYFUNCTION("""COMPUTED_VALUE"""),5229.0)</f>
        <v>5229</v>
      </c>
      <c r="L709" s="286">
        <f>IFERROR(__xludf.DUMMYFUNCTION("""COMPUTED_VALUE"""),0.5332)</f>
        <v>0.5332</v>
      </c>
      <c r="M709" s="271">
        <f>IFERROR(__xludf.DUMMYFUNCTION("""COMPUTED_VALUE"""),1985.0)</f>
        <v>1985</v>
      </c>
      <c r="N709" s="286">
        <f>IFERROR(__xludf.DUMMYFUNCTION("""COMPUTED_VALUE"""),0.3796)</f>
        <v>0.3796</v>
      </c>
      <c r="O709" s="211">
        <f>IFERROR(__xludf.DUMMYFUNCTION("""COMPUTED_VALUE"""),178.0)</f>
        <v>178</v>
      </c>
      <c r="P709" s="211">
        <f>IFERROR(__xludf.DUMMYFUNCTION("""COMPUTED_VALUE"""),170.0)</f>
        <v>170</v>
      </c>
      <c r="Q709" s="286">
        <f>IFERROR(__xludf.DUMMYFUNCTION("""COMPUTED_VALUE"""),0.0325)</f>
        <v>0.0325</v>
      </c>
      <c r="R709" s="286">
        <f>IFERROR(__xludf.DUMMYFUNCTION("""COMPUTED_VALUE"""),0.0856)</f>
        <v>0.0856</v>
      </c>
      <c r="S709" s="211">
        <f>IFERROR(__xludf.DUMMYFUNCTION("""COMPUTED_VALUE"""),0.0)</f>
        <v>0</v>
      </c>
      <c r="T709" s="211">
        <f>IFERROR(__xludf.DUMMYFUNCTION("""COMPUTED_VALUE"""),0.0)</f>
        <v>0</v>
      </c>
      <c r="U709" s="271">
        <f>IFERROR(__xludf.DUMMYFUNCTION("""COMPUTED_VALUE"""),0.0)</f>
        <v>0</v>
      </c>
      <c r="V709" s="211" t="str">
        <f>IFERROR(__xludf.DUMMYFUNCTION("""COMPUTED_VALUE"""),"offline")</f>
        <v>offline</v>
      </c>
      <c r="W709" s="212" t="str">
        <f>IFERROR(__xludf.DUMMYFUNCTION("""COMPUTED_VALUE"""),"simple")</f>
        <v>simple</v>
      </c>
      <c r="X709" s="212" t="str">
        <f>IFERROR(__xludf.DUMMYFUNCTION("""COMPUTED_VALUE"""),"City Specific")</f>
        <v>City Specific</v>
      </c>
      <c r="Y709" s="212" t="str">
        <f>IFERROR(__xludf.DUMMYFUNCTION("""COMPUTED_VALUE"""),"22-24 May")</f>
        <v>22-24 May</v>
      </c>
      <c r="Z709" s="212" t="str">
        <f>IFERROR(__xludf.DUMMYFUNCTION("""COMPUTED_VALUE"""),"6a0eb3e0cf8e6c88a8fdedc6")</f>
        <v>6a0eb3e0cf8e6c88a8fdedc6</v>
      </c>
      <c r="AA709" s="287">
        <f>IFERROR(__xludf.DUMMYFUNCTION("""COMPUTED_VALUE"""),22.0)</f>
        <v>22</v>
      </c>
      <c r="AB709" s="287"/>
      <c r="AC709" s="287">
        <f>IFERROR(__xludf.DUMMYFUNCTION("""COMPUTED_VALUE"""),22.0)</f>
        <v>22</v>
      </c>
      <c r="AD709" s="287">
        <f>IFERROR(__xludf.DUMMYFUNCTION("""COMPUTED_VALUE"""),111843.0)</f>
        <v>111843</v>
      </c>
      <c r="AE709" s="287"/>
      <c r="AF709" s="287">
        <f>IFERROR(__xludf.DUMMYFUNCTION("""COMPUTED_VALUE"""),111843.0)</f>
        <v>111843</v>
      </c>
      <c r="AG709" s="208"/>
      <c r="AH709" s="208"/>
      <c r="AI709" s="208"/>
      <c r="AJ709" s="208"/>
      <c r="AK709" s="208"/>
    </row>
    <row r="710" hidden="1">
      <c r="A710" s="215">
        <f>IFERROR(__xludf.DUMMYFUNCTION("""COMPUTED_VALUE"""),46164.0)</f>
        <v>46164</v>
      </c>
      <c r="B710" s="210">
        <f>IFERROR(__xludf.DUMMYFUNCTION("""COMPUTED_VALUE"""),0.4583333333321207)</f>
        <v>0.4583333333</v>
      </c>
      <c r="C710" s="211" t="str">
        <f>IFERROR(__xludf.DUMMYFUNCTION("""COMPUTED_VALUE"""),"Whatsapp")</f>
        <v>Whatsapp</v>
      </c>
      <c r="D710" s="211" t="str">
        <f>IFERROR(__xludf.DUMMYFUNCTION("""COMPUTED_VALUE"""),"Promotional")</f>
        <v>Promotional</v>
      </c>
      <c r="E710" s="211" t="str">
        <f>IFERROR(__xludf.DUMMYFUNCTION("""COMPUTED_VALUE"""),"BBW")</f>
        <v>BBW</v>
      </c>
      <c r="F710" s="211" t="str">
        <f>IFERROR(__xludf.DUMMYFUNCTION("""COMPUTED_VALUE"""),"B2G2 - Entire Store")</f>
        <v>B2G2 - Entire Store</v>
      </c>
      <c r="G710" s="211" t="str">
        <f>IFERROR(__xludf.DUMMYFUNCTION("""COMPUTED_VALUE"""),"bbw_wa_b2g2_22may_dormant_del_offline")</f>
        <v>bbw_wa_b2g2_22may_dormant_del_offline</v>
      </c>
      <c r="H710" s="212" t="str">
        <f>IFERROR(__xludf.DUMMYFUNCTION("""COMPUTED_VALUE"""),"BBW_OFF_DEL_Dorm")</f>
        <v>BBW_OFF_DEL_Dorm</v>
      </c>
      <c r="I710" s="212" t="str">
        <f>IFERROR(__xludf.DUMMYFUNCTION("""COMPUTED_VALUE"""),"All Offline Customers who have purchased at least 1 time from Txn_City DEL in the last 365 days excluding TTR purchasers")</f>
        <v>All Offline Customers who have purchased at least 1 time from Txn_City DEL in the last 365 days excluding TTR purchasers</v>
      </c>
      <c r="J710" s="271">
        <f>IFERROR(__xludf.DUMMYFUNCTION("""COMPUTED_VALUE"""),30666.0)</f>
        <v>30666</v>
      </c>
      <c r="K710" s="271">
        <f>IFERROR(__xludf.DUMMYFUNCTION("""COMPUTED_VALUE"""),14164.0)</f>
        <v>14164</v>
      </c>
      <c r="L710" s="286">
        <f>IFERROR(__xludf.DUMMYFUNCTION("""COMPUTED_VALUE"""),0.4618)</f>
        <v>0.4618</v>
      </c>
      <c r="M710" s="271">
        <f>IFERROR(__xludf.DUMMYFUNCTION("""COMPUTED_VALUE"""),4905.0)</f>
        <v>4905</v>
      </c>
      <c r="N710" s="286">
        <f>IFERROR(__xludf.DUMMYFUNCTION("""COMPUTED_VALUE"""),0.3463)</f>
        <v>0.3463</v>
      </c>
      <c r="O710" s="211">
        <f>IFERROR(__xludf.DUMMYFUNCTION("""COMPUTED_VALUE"""),453.0)</f>
        <v>453</v>
      </c>
      <c r="P710" s="211">
        <f>IFERROR(__xludf.DUMMYFUNCTION("""COMPUTED_VALUE"""),443.0)</f>
        <v>443</v>
      </c>
      <c r="Q710" s="286">
        <f>IFERROR(__xludf.DUMMYFUNCTION("""COMPUTED_VALUE"""),0.0313)</f>
        <v>0.0313</v>
      </c>
      <c r="R710" s="286">
        <f>IFERROR(__xludf.DUMMYFUNCTION("""COMPUTED_VALUE"""),0.0903)</f>
        <v>0.0903</v>
      </c>
      <c r="S710" s="211">
        <f>IFERROR(__xludf.DUMMYFUNCTION("""COMPUTED_VALUE"""),0.0)</f>
        <v>0</v>
      </c>
      <c r="T710" s="211">
        <f>IFERROR(__xludf.DUMMYFUNCTION("""COMPUTED_VALUE"""),0.0)</f>
        <v>0</v>
      </c>
      <c r="U710" s="271">
        <f>IFERROR(__xludf.DUMMYFUNCTION("""COMPUTED_VALUE"""),0.0)</f>
        <v>0</v>
      </c>
      <c r="V710" s="211" t="str">
        <f>IFERROR(__xludf.DUMMYFUNCTION("""COMPUTED_VALUE"""),"offline")</f>
        <v>offline</v>
      </c>
      <c r="W710" s="212" t="str">
        <f>IFERROR(__xludf.DUMMYFUNCTION("""COMPUTED_VALUE"""),"simple")</f>
        <v>simple</v>
      </c>
      <c r="X710" s="212" t="str">
        <f>IFERROR(__xludf.DUMMYFUNCTION("""COMPUTED_VALUE"""),"City Specific")</f>
        <v>City Specific</v>
      </c>
      <c r="Y710" s="212" t="str">
        <f>IFERROR(__xludf.DUMMYFUNCTION("""COMPUTED_VALUE"""),"22-24 May")</f>
        <v>22-24 May</v>
      </c>
      <c r="Z710" s="212" t="str">
        <f>IFERROR(__xludf.DUMMYFUNCTION("""COMPUTED_VALUE"""),"6a0eb4015376efb068191e08")</f>
        <v>6a0eb4015376efb068191e08</v>
      </c>
      <c r="AA710" s="287">
        <f>IFERROR(__xludf.DUMMYFUNCTION("""COMPUTED_VALUE"""),66.0)</f>
        <v>66</v>
      </c>
      <c r="AB710" s="287"/>
      <c r="AC710" s="287">
        <f>IFERROR(__xludf.DUMMYFUNCTION("""COMPUTED_VALUE"""),66.0)</f>
        <v>66</v>
      </c>
      <c r="AD710" s="287">
        <f>IFERROR(__xludf.DUMMYFUNCTION("""COMPUTED_VALUE"""),371642.0)</f>
        <v>371642</v>
      </c>
      <c r="AE710" s="287"/>
      <c r="AF710" s="287">
        <f>IFERROR(__xludf.DUMMYFUNCTION("""COMPUTED_VALUE"""),371642.0)</f>
        <v>371642</v>
      </c>
      <c r="AG710" s="208"/>
      <c r="AH710" s="208"/>
      <c r="AI710" s="208"/>
      <c r="AJ710" s="208"/>
      <c r="AK710" s="208"/>
    </row>
    <row r="711" hidden="1">
      <c r="A711" s="215">
        <f>IFERROR(__xludf.DUMMYFUNCTION("""COMPUTED_VALUE"""),46164.0)</f>
        <v>46164</v>
      </c>
      <c r="B711" s="210">
        <f>IFERROR(__xludf.DUMMYFUNCTION("""COMPUTED_VALUE"""),0.4583333333321207)</f>
        <v>0.4583333333</v>
      </c>
      <c r="C711" s="211" t="str">
        <f>IFERROR(__xludf.DUMMYFUNCTION("""COMPUTED_VALUE"""),"Whatsapp")</f>
        <v>Whatsapp</v>
      </c>
      <c r="D711" s="211" t="str">
        <f>IFERROR(__xludf.DUMMYFUNCTION("""COMPUTED_VALUE"""),"Promotional")</f>
        <v>Promotional</v>
      </c>
      <c r="E711" s="211" t="str">
        <f>IFERROR(__xludf.DUMMYFUNCTION("""COMPUTED_VALUE"""),"BBW")</f>
        <v>BBW</v>
      </c>
      <c r="F711" s="211" t="str">
        <f>IFERROR(__xludf.DUMMYFUNCTION("""COMPUTED_VALUE"""),"B2G2 - Entire Store")</f>
        <v>B2G2 - Entire Store</v>
      </c>
      <c r="G711" s="211" t="str">
        <f>IFERROR(__xludf.DUMMYFUNCTION("""COMPUTED_VALUE"""),"bbw_wa_b2g2_22may_dormant_chenn_offline")</f>
        <v>bbw_wa_b2g2_22may_dormant_chenn_offline</v>
      </c>
      <c r="H711" s="212" t="str">
        <f>IFERROR(__xludf.DUMMYFUNCTION("""COMPUTED_VALUE"""),"BBW_OFF_Chennai_Dorm")</f>
        <v>BBW_OFF_Chennai_Dorm</v>
      </c>
      <c r="I711" s="212" t="str">
        <f>IFERROR(__xludf.DUMMYFUNCTION("""COMPUTED_VALUE"""),"All Offline Customers who have purchased at least 1 time from Txn_City CHENNAI in the last 365 days excluding TTR purchasers")</f>
        <v>All Offline Customers who have purchased at least 1 time from Txn_City CHENNAI in the last 365 days excluding TTR purchasers</v>
      </c>
      <c r="J711" s="271">
        <f>IFERROR(__xludf.DUMMYFUNCTION("""COMPUTED_VALUE"""),13211.0)</f>
        <v>13211</v>
      </c>
      <c r="K711" s="271">
        <f>IFERROR(__xludf.DUMMYFUNCTION("""COMPUTED_VALUE"""),7040.0)</f>
        <v>7040</v>
      </c>
      <c r="L711" s="286">
        <f>IFERROR(__xludf.DUMMYFUNCTION("""COMPUTED_VALUE"""),0.5329)</f>
        <v>0.5329</v>
      </c>
      <c r="M711" s="271">
        <f>IFERROR(__xludf.DUMMYFUNCTION("""COMPUTED_VALUE"""),2763.0)</f>
        <v>2763</v>
      </c>
      <c r="N711" s="286">
        <f>IFERROR(__xludf.DUMMYFUNCTION("""COMPUTED_VALUE"""),0.3925)</f>
        <v>0.3925</v>
      </c>
      <c r="O711" s="211">
        <f>IFERROR(__xludf.DUMMYFUNCTION("""COMPUTED_VALUE"""),281.0)</f>
        <v>281</v>
      </c>
      <c r="P711" s="211">
        <f>IFERROR(__xludf.DUMMYFUNCTION("""COMPUTED_VALUE"""),273.0)</f>
        <v>273</v>
      </c>
      <c r="Q711" s="286">
        <f>IFERROR(__xludf.DUMMYFUNCTION("""COMPUTED_VALUE"""),0.0388)</f>
        <v>0.0388</v>
      </c>
      <c r="R711" s="286">
        <f>IFERROR(__xludf.DUMMYFUNCTION("""COMPUTED_VALUE"""),0.0988)</f>
        <v>0.0988</v>
      </c>
      <c r="S711" s="211">
        <f>IFERROR(__xludf.DUMMYFUNCTION("""COMPUTED_VALUE"""),0.0)</f>
        <v>0</v>
      </c>
      <c r="T711" s="211">
        <f>IFERROR(__xludf.DUMMYFUNCTION("""COMPUTED_VALUE"""),0.0)</f>
        <v>0</v>
      </c>
      <c r="U711" s="271">
        <f>IFERROR(__xludf.DUMMYFUNCTION("""COMPUTED_VALUE"""),0.0)</f>
        <v>0</v>
      </c>
      <c r="V711" s="211" t="str">
        <f>IFERROR(__xludf.DUMMYFUNCTION("""COMPUTED_VALUE"""),"offline")</f>
        <v>offline</v>
      </c>
      <c r="W711" s="212" t="str">
        <f>IFERROR(__xludf.DUMMYFUNCTION("""COMPUTED_VALUE"""),"simple")</f>
        <v>simple</v>
      </c>
      <c r="X711" s="212" t="str">
        <f>IFERROR(__xludf.DUMMYFUNCTION("""COMPUTED_VALUE"""),"City Specific")</f>
        <v>City Specific</v>
      </c>
      <c r="Y711" s="212" t="str">
        <f>IFERROR(__xludf.DUMMYFUNCTION("""COMPUTED_VALUE"""),"22-24 May")</f>
        <v>22-24 May</v>
      </c>
      <c r="Z711" s="212" t="str">
        <f>IFERROR(__xludf.DUMMYFUNCTION("""COMPUTED_VALUE"""),"6a0eb42b74e78fb8cdb2b9df")</f>
        <v>6a0eb42b74e78fb8cdb2b9df</v>
      </c>
      <c r="AA711" s="287">
        <f>IFERROR(__xludf.DUMMYFUNCTION("""COMPUTED_VALUE"""),41.0)</f>
        <v>41</v>
      </c>
      <c r="AB711" s="287"/>
      <c r="AC711" s="287">
        <f>IFERROR(__xludf.DUMMYFUNCTION("""COMPUTED_VALUE"""),41.0)</f>
        <v>41</v>
      </c>
      <c r="AD711" s="287">
        <f>IFERROR(__xludf.DUMMYFUNCTION("""COMPUTED_VALUE"""),214731.0)</f>
        <v>214731</v>
      </c>
      <c r="AE711" s="287"/>
      <c r="AF711" s="287">
        <f>IFERROR(__xludf.DUMMYFUNCTION("""COMPUTED_VALUE"""),214731.0)</f>
        <v>214731</v>
      </c>
      <c r="AG711" s="208"/>
      <c r="AH711" s="208"/>
      <c r="AI711" s="208"/>
      <c r="AJ711" s="208"/>
      <c r="AK711" s="208"/>
    </row>
    <row r="712" hidden="1">
      <c r="A712" s="215">
        <f>IFERROR(__xludf.DUMMYFUNCTION("""COMPUTED_VALUE"""),46164.0)</f>
        <v>46164</v>
      </c>
      <c r="B712" s="210">
        <f>IFERROR(__xludf.DUMMYFUNCTION("""COMPUTED_VALUE"""),0.4583333333321207)</f>
        <v>0.4583333333</v>
      </c>
      <c r="C712" s="211" t="str">
        <f>IFERROR(__xludf.DUMMYFUNCTION("""COMPUTED_VALUE"""),"Whatsapp")</f>
        <v>Whatsapp</v>
      </c>
      <c r="D712" s="211" t="str">
        <f>IFERROR(__xludf.DUMMYFUNCTION("""COMPUTED_VALUE"""),"Promotional")</f>
        <v>Promotional</v>
      </c>
      <c r="E712" s="211" t="str">
        <f>IFERROR(__xludf.DUMMYFUNCTION("""COMPUTED_VALUE"""),"BBW")</f>
        <v>BBW</v>
      </c>
      <c r="F712" s="211" t="str">
        <f>IFERROR(__xludf.DUMMYFUNCTION("""COMPUTED_VALUE"""),"B2G2 - Entire Store")</f>
        <v>B2G2 - Entire Store</v>
      </c>
      <c r="G712" s="211" t="str">
        <f>IFERROR(__xludf.DUMMYFUNCTION("""COMPUTED_VALUE"""),"bbw_wa_b2g2_22may_dormant_hyd_offline")</f>
        <v>bbw_wa_b2g2_22may_dormant_hyd_offline</v>
      </c>
      <c r="H712" s="212" t="str">
        <f>IFERROR(__xludf.DUMMYFUNCTION("""COMPUTED_VALUE"""),"BBW_OFF_HYD_Dorm")</f>
        <v>BBW_OFF_HYD_Dorm</v>
      </c>
      <c r="I712" s="212" t="str">
        <f>IFERROR(__xludf.DUMMYFUNCTION("""COMPUTED_VALUE"""),"All Offline Customers who have purchased at least 1 time from Txn_City HYD in the last 365 days excluding TTR purchasers")</f>
        <v>All Offline Customers who have purchased at least 1 time from Txn_City HYD in the last 365 days excluding TTR purchasers</v>
      </c>
      <c r="J712" s="271">
        <f>IFERROR(__xludf.DUMMYFUNCTION("""COMPUTED_VALUE"""),19899.0)</f>
        <v>19899</v>
      </c>
      <c r="K712" s="271">
        <f>IFERROR(__xludf.DUMMYFUNCTION("""COMPUTED_VALUE"""),9242.0)</f>
        <v>9242</v>
      </c>
      <c r="L712" s="286">
        <f>IFERROR(__xludf.DUMMYFUNCTION("""COMPUTED_VALUE"""),0.4643)</f>
        <v>0.4643</v>
      </c>
      <c r="M712" s="271">
        <f>IFERROR(__xludf.DUMMYFUNCTION("""COMPUTED_VALUE"""),3561.0)</f>
        <v>3561</v>
      </c>
      <c r="N712" s="286">
        <f>IFERROR(__xludf.DUMMYFUNCTION("""COMPUTED_VALUE"""),0.3853)</f>
        <v>0.3853</v>
      </c>
      <c r="O712" s="211">
        <f>IFERROR(__xludf.DUMMYFUNCTION("""COMPUTED_VALUE"""),285.0)</f>
        <v>285</v>
      </c>
      <c r="P712" s="211">
        <f>IFERROR(__xludf.DUMMYFUNCTION("""COMPUTED_VALUE"""),276.0)</f>
        <v>276</v>
      </c>
      <c r="Q712" s="286">
        <f>IFERROR(__xludf.DUMMYFUNCTION("""COMPUTED_VALUE"""),0.0299)</f>
        <v>0.0299</v>
      </c>
      <c r="R712" s="286">
        <f>IFERROR(__xludf.DUMMYFUNCTION("""COMPUTED_VALUE"""),0.0775)</f>
        <v>0.0775</v>
      </c>
      <c r="S712" s="211">
        <f>IFERROR(__xludf.DUMMYFUNCTION("""COMPUTED_VALUE"""),0.0)</f>
        <v>0</v>
      </c>
      <c r="T712" s="211">
        <f>IFERROR(__xludf.DUMMYFUNCTION("""COMPUTED_VALUE"""),0.0)</f>
        <v>0</v>
      </c>
      <c r="U712" s="271">
        <f>IFERROR(__xludf.DUMMYFUNCTION("""COMPUTED_VALUE"""),0.0)</f>
        <v>0</v>
      </c>
      <c r="V712" s="211" t="str">
        <f>IFERROR(__xludf.DUMMYFUNCTION("""COMPUTED_VALUE"""),"offline")</f>
        <v>offline</v>
      </c>
      <c r="W712" s="212" t="str">
        <f>IFERROR(__xludf.DUMMYFUNCTION("""COMPUTED_VALUE"""),"simple")</f>
        <v>simple</v>
      </c>
      <c r="X712" s="212" t="str">
        <f>IFERROR(__xludf.DUMMYFUNCTION("""COMPUTED_VALUE"""),"City Specific")</f>
        <v>City Specific</v>
      </c>
      <c r="Y712" s="212" t="str">
        <f>IFERROR(__xludf.DUMMYFUNCTION("""COMPUTED_VALUE"""),"22-24 May")</f>
        <v>22-24 May</v>
      </c>
      <c r="Z712" s="212" t="str">
        <f>IFERROR(__xludf.DUMMYFUNCTION("""COMPUTED_VALUE"""),"6a0eb4639ffb36e1db57f64c")</f>
        <v>6a0eb4639ffb36e1db57f64c</v>
      </c>
      <c r="AA712" s="287">
        <f>IFERROR(__xludf.DUMMYFUNCTION("""COMPUTED_VALUE"""),28.0)</f>
        <v>28</v>
      </c>
      <c r="AB712" s="287"/>
      <c r="AC712" s="287">
        <f>IFERROR(__xludf.DUMMYFUNCTION("""COMPUTED_VALUE"""),28.0)</f>
        <v>28</v>
      </c>
      <c r="AD712" s="287">
        <f>IFERROR(__xludf.DUMMYFUNCTION("""COMPUTED_VALUE"""),125433.0)</f>
        <v>125433</v>
      </c>
      <c r="AE712" s="287"/>
      <c r="AF712" s="287">
        <f>IFERROR(__xludf.DUMMYFUNCTION("""COMPUTED_VALUE"""),125433.0)</f>
        <v>125433</v>
      </c>
      <c r="AG712" s="208"/>
      <c r="AH712" s="208"/>
      <c r="AI712" s="208"/>
      <c r="AJ712" s="208"/>
      <c r="AK712" s="208"/>
    </row>
    <row r="713" hidden="1">
      <c r="A713" s="215">
        <f>IFERROR(__xludf.DUMMYFUNCTION("""COMPUTED_VALUE"""),46164.0)</f>
        <v>46164</v>
      </c>
      <c r="B713" s="210">
        <f>IFERROR(__xludf.DUMMYFUNCTION("""COMPUTED_VALUE"""),0.4583333333321207)</f>
        <v>0.4583333333</v>
      </c>
      <c r="C713" s="211" t="str">
        <f>IFERROR(__xludf.DUMMYFUNCTION("""COMPUTED_VALUE"""),"Whatsapp")</f>
        <v>Whatsapp</v>
      </c>
      <c r="D713" s="211" t="str">
        <f>IFERROR(__xludf.DUMMYFUNCTION("""COMPUTED_VALUE"""),"Promotional")</f>
        <v>Promotional</v>
      </c>
      <c r="E713" s="211" t="str">
        <f>IFERROR(__xludf.DUMMYFUNCTION("""COMPUTED_VALUE"""),"BBW")</f>
        <v>BBW</v>
      </c>
      <c r="F713" s="211" t="str">
        <f>IFERROR(__xludf.DUMMYFUNCTION("""COMPUTED_VALUE"""),"B2G2 - Entire Store")</f>
        <v>B2G2 - Entire Store</v>
      </c>
      <c r="G713" s="211" t="str">
        <f>IFERROR(__xludf.DUMMYFUNCTION("""COMPUTED_VALUE"""),"bbw_wa_b2g2_22may_dormant_chd_offline")</f>
        <v>bbw_wa_b2g2_22may_dormant_chd_offline</v>
      </c>
      <c r="H713" s="212" t="str">
        <f>IFERROR(__xludf.DUMMYFUNCTION("""COMPUTED_VALUE"""),"BBW_OFF_CHD_Dorm")</f>
        <v>BBW_OFF_CHD_Dorm</v>
      </c>
      <c r="I713" s="212" t="str">
        <f>IFERROR(__xludf.DUMMYFUNCTION("""COMPUTED_VALUE"""),"All Offline Customers who have purchased at least 1 time from Txn_City CHD in the last 365 days excluding TTR purchasers")</f>
        <v>All Offline Customers who have purchased at least 1 time from Txn_City CHD in the last 365 days excluding TTR purchasers</v>
      </c>
      <c r="J713" s="271">
        <f>IFERROR(__xludf.DUMMYFUNCTION("""COMPUTED_VALUE"""),16098.0)</f>
        <v>16098</v>
      </c>
      <c r="K713" s="271">
        <f>IFERROR(__xludf.DUMMYFUNCTION("""COMPUTED_VALUE"""),8010.0)</f>
        <v>8010</v>
      </c>
      <c r="L713" s="286">
        <f>IFERROR(__xludf.DUMMYFUNCTION("""COMPUTED_VALUE"""),0.4975)</f>
        <v>0.4975</v>
      </c>
      <c r="M713" s="271">
        <f>IFERROR(__xludf.DUMMYFUNCTION("""COMPUTED_VALUE"""),3075.0)</f>
        <v>3075</v>
      </c>
      <c r="N713" s="286">
        <f>IFERROR(__xludf.DUMMYFUNCTION("""COMPUTED_VALUE"""),0.3839)</f>
        <v>0.3839</v>
      </c>
      <c r="O713" s="211">
        <f>IFERROR(__xludf.DUMMYFUNCTION("""COMPUTED_VALUE"""),272.0)</f>
        <v>272</v>
      </c>
      <c r="P713" s="211">
        <f>IFERROR(__xludf.DUMMYFUNCTION("""COMPUTED_VALUE"""),264.0)</f>
        <v>264</v>
      </c>
      <c r="Q713" s="286">
        <f>IFERROR(__xludf.DUMMYFUNCTION("""COMPUTED_VALUE"""),0.033)</f>
        <v>0.033</v>
      </c>
      <c r="R713" s="286">
        <f>IFERROR(__xludf.DUMMYFUNCTION("""COMPUTED_VALUE"""),0.0859)</f>
        <v>0.0859</v>
      </c>
      <c r="S713" s="211">
        <f>IFERROR(__xludf.DUMMYFUNCTION("""COMPUTED_VALUE"""),0.0)</f>
        <v>0</v>
      </c>
      <c r="T713" s="211">
        <f>IFERROR(__xludf.DUMMYFUNCTION("""COMPUTED_VALUE"""),0.0)</f>
        <v>0</v>
      </c>
      <c r="U713" s="271">
        <f>IFERROR(__xludf.DUMMYFUNCTION("""COMPUTED_VALUE"""),0.0)</f>
        <v>0</v>
      </c>
      <c r="V713" s="211" t="str">
        <f>IFERROR(__xludf.DUMMYFUNCTION("""COMPUTED_VALUE"""),"offline")</f>
        <v>offline</v>
      </c>
      <c r="W713" s="212" t="str">
        <f>IFERROR(__xludf.DUMMYFUNCTION("""COMPUTED_VALUE"""),"simple")</f>
        <v>simple</v>
      </c>
      <c r="X713" s="212" t="str">
        <f>IFERROR(__xludf.DUMMYFUNCTION("""COMPUTED_VALUE"""),"City Specific")</f>
        <v>City Specific</v>
      </c>
      <c r="Y713" s="212" t="str">
        <f>IFERROR(__xludf.DUMMYFUNCTION("""COMPUTED_VALUE"""),"22-24 May")</f>
        <v>22-24 May</v>
      </c>
      <c r="Z713" s="212" t="str">
        <f>IFERROR(__xludf.DUMMYFUNCTION("""COMPUTED_VALUE"""),"6a0eb4d5dc5408526b5f23a8")</f>
        <v>6a0eb4d5dc5408526b5f23a8</v>
      </c>
      <c r="AA713" s="287">
        <f>IFERROR(__xludf.DUMMYFUNCTION("""COMPUTED_VALUE"""),29.0)</f>
        <v>29</v>
      </c>
      <c r="AB713" s="287"/>
      <c r="AC713" s="287">
        <f>IFERROR(__xludf.DUMMYFUNCTION("""COMPUTED_VALUE"""),29.0)</f>
        <v>29</v>
      </c>
      <c r="AD713" s="287">
        <f>IFERROR(__xludf.DUMMYFUNCTION("""COMPUTED_VALUE"""),127028.0)</f>
        <v>127028</v>
      </c>
      <c r="AE713" s="287"/>
      <c r="AF713" s="287">
        <f>IFERROR(__xludf.DUMMYFUNCTION("""COMPUTED_VALUE"""),127028.0)</f>
        <v>127028</v>
      </c>
      <c r="AG713" s="208"/>
      <c r="AH713" s="208"/>
      <c r="AI713" s="208"/>
      <c r="AJ713" s="208"/>
      <c r="AK713" s="208"/>
    </row>
    <row r="714" hidden="1">
      <c r="A714" s="215">
        <f>IFERROR(__xludf.DUMMYFUNCTION("""COMPUTED_VALUE"""),46164.0)</f>
        <v>46164</v>
      </c>
      <c r="B714" s="210">
        <f>IFERROR(__xludf.DUMMYFUNCTION("""COMPUTED_VALUE"""),0.4583333333321207)</f>
        <v>0.4583333333</v>
      </c>
      <c r="C714" s="211" t="str">
        <f>IFERROR(__xludf.DUMMYFUNCTION("""COMPUTED_VALUE"""),"Whatsapp")</f>
        <v>Whatsapp</v>
      </c>
      <c r="D714" s="211" t="str">
        <f>IFERROR(__xludf.DUMMYFUNCTION("""COMPUTED_VALUE"""),"Promotional")</f>
        <v>Promotional</v>
      </c>
      <c r="E714" s="211" t="str">
        <f>IFERROR(__xludf.DUMMYFUNCTION("""COMPUTED_VALUE"""),"BBW")</f>
        <v>BBW</v>
      </c>
      <c r="F714" s="211" t="str">
        <f>IFERROR(__xludf.DUMMYFUNCTION("""COMPUTED_VALUE"""),"B2G2 - Entire Store")</f>
        <v>B2G2 - Entire Store</v>
      </c>
      <c r="G714" s="211" t="str">
        <f>IFERROR(__xludf.DUMMYFUNCTION("""COMPUTED_VALUE"""),"bbw_wa_b2g2_22may_dormant_ggn_offline")</f>
        <v>bbw_wa_b2g2_22may_dormant_ggn_offline</v>
      </c>
      <c r="H714" s="212" t="str">
        <f>IFERROR(__xludf.DUMMYFUNCTION("""COMPUTED_VALUE"""),"BBW_OFF_GGN_Dorm")</f>
        <v>BBW_OFF_GGN_Dorm</v>
      </c>
      <c r="I714" s="212" t="str">
        <f>IFERROR(__xludf.DUMMYFUNCTION("""COMPUTED_VALUE"""),"All Offline Customers who have purchased at least 1 time from Txn_City GGN in the last 365 days excluding TTR purchasers")</f>
        <v>All Offline Customers who have purchased at least 1 time from Txn_City GGN in the last 365 days excluding TTR purchasers</v>
      </c>
      <c r="J714" s="271">
        <f>IFERROR(__xludf.DUMMYFUNCTION("""COMPUTED_VALUE"""),14358.0)</f>
        <v>14358</v>
      </c>
      <c r="K714" s="271">
        <f>IFERROR(__xludf.DUMMYFUNCTION("""COMPUTED_VALUE"""),5708.0)</f>
        <v>5708</v>
      </c>
      <c r="L714" s="286">
        <f>IFERROR(__xludf.DUMMYFUNCTION("""COMPUTED_VALUE"""),0.3975)</f>
        <v>0.3975</v>
      </c>
      <c r="M714" s="271">
        <f>IFERROR(__xludf.DUMMYFUNCTION("""COMPUTED_VALUE"""),1978.0)</f>
        <v>1978</v>
      </c>
      <c r="N714" s="286">
        <f>IFERROR(__xludf.DUMMYFUNCTION("""COMPUTED_VALUE"""),0.3466)</f>
        <v>0.3466</v>
      </c>
      <c r="O714" s="211">
        <f>IFERROR(__xludf.DUMMYFUNCTION("""COMPUTED_VALUE"""),176.0)</f>
        <v>176</v>
      </c>
      <c r="P714" s="211">
        <f>IFERROR(__xludf.DUMMYFUNCTION("""COMPUTED_VALUE"""),167.0)</f>
        <v>167</v>
      </c>
      <c r="Q714" s="286">
        <f>IFERROR(__xludf.DUMMYFUNCTION("""COMPUTED_VALUE"""),0.0293)</f>
        <v>0.0293</v>
      </c>
      <c r="R714" s="286">
        <f>IFERROR(__xludf.DUMMYFUNCTION("""COMPUTED_VALUE"""),0.0844)</f>
        <v>0.0844</v>
      </c>
      <c r="S714" s="211">
        <f>IFERROR(__xludf.DUMMYFUNCTION("""COMPUTED_VALUE"""),0.0)</f>
        <v>0</v>
      </c>
      <c r="T714" s="211">
        <f>IFERROR(__xludf.DUMMYFUNCTION("""COMPUTED_VALUE"""),0.0)</f>
        <v>0</v>
      </c>
      <c r="U714" s="271">
        <f>IFERROR(__xludf.DUMMYFUNCTION("""COMPUTED_VALUE"""),0.0)</f>
        <v>0</v>
      </c>
      <c r="V714" s="211" t="str">
        <f>IFERROR(__xludf.DUMMYFUNCTION("""COMPUTED_VALUE"""),"offline")</f>
        <v>offline</v>
      </c>
      <c r="W714" s="212" t="str">
        <f>IFERROR(__xludf.DUMMYFUNCTION("""COMPUTED_VALUE"""),"simple")</f>
        <v>simple</v>
      </c>
      <c r="X714" s="212" t="str">
        <f>IFERROR(__xludf.DUMMYFUNCTION("""COMPUTED_VALUE"""),"City Specific")</f>
        <v>City Specific</v>
      </c>
      <c r="Y714" s="212" t="str">
        <f>IFERROR(__xludf.DUMMYFUNCTION("""COMPUTED_VALUE"""),"22-24 May")</f>
        <v>22-24 May</v>
      </c>
      <c r="Z714" s="212" t="str">
        <f>IFERROR(__xludf.DUMMYFUNCTION("""COMPUTED_VALUE"""),"6a0eb50dcef7ea6f77e874d2")</f>
        <v>6a0eb50dcef7ea6f77e874d2</v>
      </c>
      <c r="AA714" s="287">
        <f>IFERROR(__xludf.DUMMYFUNCTION("""COMPUTED_VALUE"""),35.0)</f>
        <v>35</v>
      </c>
      <c r="AB714" s="287"/>
      <c r="AC714" s="287">
        <f>IFERROR(__xludf.DUMMYFUNCTION("""COMPUTED_VALUE"""),35.0)</f>
        <v>35</v>
      </c>
      <c r="AD714" s="287">
        <f>IFERROR(__xludf.DUMMYFUNCTION("""COMPUTED_VALUE"""),184790.0)</f>
        <v>184790</v>
      </c>
      <c r="AE714" s="287"/>
      <c r="AF714" s="287">
        <f>IFERROR(__xludf.DUMMYFUNCTION("""COMPUTED_VALUE"""),184790.0)</f>
        <v>184790</v>
      </c>
      <c r="AG714" s="208"/>
      <c r="AH714" s="208"/>
      <c r="AI714" s="208"/>
      <c r="AJ714" s="208"/>
      <c r="AK714" s="208"/>
    </row>
    <row r="715" hidden="1">
      <c r="A715" s="215">
        <f>IFERROR(__xludf.DUMMYFUNCTION("""COMPUTED_VALUE"""),46164.0)</f>
        <v>46164</v>
      </c>
      <c r="B715" s="210">
        <f>IFERROR(__xludf.DUMMYFUNCTION("""COMPUTED_VALUE"""),0.4583333333321207)</f>
        <v>0.4583333333</v>
      </c>
      <c r="C715" s="211" t="str">
        <f>IFERROR(__xludf.DUMMYFUNCTION("""COMPUTED_VALUE"""),"Whatsapp")</f>
        <v>Whatsapp</v>
      </c>
      <c r="D715" s="211" t="str">
        <f>IFERROR(__xludf.DUMMYFUNCTION("""COMPUTED_VALUE"""),"Promotional")</f>
        <v>Promotional</v>
      </c>
      <c r="E715" s="211" t="str">
        <f>IFERROR(__xludf.DUMMYFUNCTION("""COMPUTED_VALUE"""),"BBW")</f>
        <v>BBW</v>
      </c>
      <c r="F715" s="211" t="str">
        <f>IFERROR(__xludf.DUMMYFUNCTION("""COMPUTED_VALUE"""),"B2G2 - Entire Store")</f>
        <v>B2G2 - Entire Store</v>
      </c>
      <c r="G715" s="211" t="str">
        <f>IFERROR(__xludf.DUMMYFUNCTION("""COMPUTED_VALUE"""),"bbw_wa_b2g2_22may_dormant_noida_offline")</f>
        <v>bbw_wa_b2g2_22may_dormant_noida_offline</v>
      </c>
      <c r="H715" s="212" t="str">
        <f>IFERROR(__xludf.DUMMYFUNCTION("""COMPUTED_VALUE"""),"BBW_OFF_NOIDA_Dorm")</f>
        <v>BBW_OFF_NOIDA_Dorm</v>
      </c>
      <c r="I715" s="212" t="str">
        <f>IFERROR(__xludf.DUMMYFUNCTION("""COMPUTED_VALUE"""),"All Offline Customers who have purchased at least 1 time from Txn_City NOIDA in the last 365 days excluding TTR purchasers")</f>
        <v>All Offline Customers who have purchased at least 1 time from Txn_City NOIDA in the last 365 days excluding TTR purchasers</v>
      </c>
      <c r="J715" s="271">
        <f>IFERROR(__xludf.DUMMYFUNCTION("""COMPUTED_VALUE"""),16192.0)</f>
        <v>16192</v>
      </c>
      <c r="K715" s="271">
        <f>IFERROR(__xludf.DUMMYFUNCTION("""COMPUTED_VALUE"""),6942.0)</f>
        <v>6942</v>
      </c>
      <c r="L715" s="286">
        <f>IFERROR(__xludf.DUMMYFUNCTION("""COMPUTED_VALUE"""),0.4287)</f>
        <v>0.4287</v>
      </c>
      <c r="M715" s="271">
        <f>IFERROR(__xludf.DUMMYFUNCTION("""COMPUTED_VALUE"""),2489.0)</f>
        <v>2489</v>
      </c>
      <c r="N715" s="286">
        <f>IFERROR(__xludf.DUMMYFUNCTION("""COMPUTED_VALUE"""),0.3586)</f>
        <v>0.3586</v>
      </c>
      <c r="O715" s="211">
        <f>IFERROR(__xludf.DUMMYFUNCTION("""COMPUTED_VALUE"""),217.0)</f>
        <v>217</v>
      </c>
      <c r="P715" s="211">
        <f>IFERROR(__xludf.DUMMYFUNCTION("""COMPUTED_VALUE"""),211.0)</f>
        <v>211</v>
      </c>
      <c r="Q715" s="286">
        <f>IFERROR(__xludf.DUMMYFUNCTION("""COMPUTED_VALUE"""),0.0304)</f>
        <v>0.0304</v>
      </c>
      <c r="R715" s="286">
        <f>IFERROR(__xludf.DUMMYFUNCTION("""COMPUTED_VALUE"""),0.0848)</f>
        <v>0.0848</v>
      </c>
      <c r="S715" s="211">
        <f>IFERROR(__xludf.DUMMYFUNCTION("""COMPUTED_VALUE"""),0.0)</f>
        <v>0</v>
      </c>
      <c r="T715" s="211">
        <f>IFERROR(__xludf.DUMMYFUNCTION("""COMPUTED_VALUE"""),0.0)</f>
        <v>0</v>
      </c>
      <c r="U715" s="271">
        <f>IFERROR(__xludf.DUMMYFUNCTION("""COMPUTED_VALUE"""),0.0)</f>
        <v>0</v>
      </c>
      <c r="V715" s="211" t="str">
        <f>IFERROR(__xludf.DUMMYFUNCTION("""COMPUTED_VALUE"""),"offline")</f>
        <v>offline</v>
      </c>
      <c r="W715" s="212" t="str">
        <f>IFERROR(__xludf.DUMMYFUNCTION("""COMPUTED_VALUE"""),"simple")</f>
        <v>simple</v>
      </c>
      <c r="X715" s="212" t="str">
        <f>IFERROR(__xludf.DUMMYFUNCTION("""COMPUTED_VALUE"""),"City Specific")</f>
        <v>City Specific</v>
      </c>
      <c r="Y715" s="212" t="str">
        <f>IFERROR(__xludf.DUMMYFUNCTION("""COMPUTED_VALUE"""),"22-24 May")</f>
        <v>22-24 May</v>
      </c>
      <c r="Z715" s="212" t="str">
        <f>IFERROR(__xludf.DUMMYFUNCTION("""COMPUTED_VALUE"""),"6a0eb56f4d0f51eea57aebad")</f>
        <v>6a0eb56f4d0f51eea57aebad</v>
      </c>
      <c r="AA715" s="287">
        <f>IFERROR(__xludf.DUMMYFUNCTION("""COMPUTED_VALUE"""),44.0)</f>
        <v>44</v>
      </c>
      <c r="AB715" s="287"/>
      <c r="AC715" s="287">
        <f>IFERROR(__xludf.DUMMYFUNCTION("""COMPUTED_VALUE"""),44.0)</f>
        <v>44</v>
      </c>
      <c r="AD715" s="287">
        <f>IFERROR(__xludf.DUMMYFUNCTION("""COMPUTED_VALUE"""),240686.0)</f>
        <v>240686</v>
      </c>
      <c r="AE715" s="287"/>
      <c r="AF715" s="287">
        <f>IFERROR(__xludf.DUMMYFUNCTION("""COMPUTED_VALUE"""),240686.0)</f>
        <v>240686</v>
      </c>
      <c r="AG715" s="208"/>
      <c r="AH715" s="208"/>
      <c r="AI715" s="208"/>
      <c r="AJ715" s="208"/>
      <c r="AK715" s="208"/>
    </row>
    <row r="716" hidden="1">
      <c r="A716" s="215">
        <f>IFERROR(__xludf.DUMMYFUNCTION("""COMPUTED_VALUE"""),46164.0)</f>
        <v>46164</v>
      </c>
      <c r="B716" s="210">
        <f>IFERROR(__xludf.DUMMYFUNCTION("""COMPUTED_VALUE"""),0.4583333333321207)</f>
        <v>0.4583333333</v>
      </c>
      <c r="C716" s="211" t="str">
        <f>IFERROR(__xludf.DUMMYFUNCTION("""COMPUTED_VALUE"""),"Whatsapp")</f>
        <v>Whatsapp</v>
      </c>
      <c r="D716" s="211" t="str">
        <f>IFERROR(__xludf.DUMMYFUNCTION("""COMPUTED_VALUE"""),"Promotional")</f>
        <v>Promotional</v>
      </c>
      <c r="E716" s="211" t="str">
        <f>IFERROR(__xludf.DUMMYFUNCTION("""COMPUTED_VALUE"""),"BBW")</f>
        <v>BBW</v>
      </c>
      <c r="F716" s="211" t="str">
        <f>IFERROR(__xludf.DUMMYFUNCTION("""COMPUTED_VALUE"""),"B2G2 - Entire Store")</f>
        <v>B2G2 - Entire Store</v>
      </c>
      <c r="G716" s="211" t="str">
        <f>IFERROR(__xludf.DUMMYFUNCTION("""COMPUTED_VALUE"""),"bbw_wa_b2g2_22may_dormant_thane_offline")</f>
        <v>bbw_wa_b2g2_22may_dormant_thane_offline</v>
      </c>
      <c r="H716" s="212" t="str">
        <f>IFERROR(__xludf.DUMMYFUNCTION("""COMPUTED_VALUE"""),"BBW_OFF_THANE_Dorm")</f>
        <v>BBW_OFF_THANE_Dorm</v>
      </c>
      <c r="I716" s="212" t="str">
        <f>IFERROR(__xludf.DUMMYFUNCTION("""COMPUTED_VALUE"""),"All Offline Customers who have purchased at least 1 time from Txn_City THANE in the last 365 days excluding TTR purchasers")</f>
        <v>All Offline Customers who have purchased at least 1 time from Txn_City THANE in the last 365 days excluding TTR purchasers</v>
      </c>
      <c r="J716" s="271">
        <f>IFERROR(__xludf.DUMMYFUNCTION("""COMPUTED_VALUE"""),7795.0)</f>
        <v>7795</v>
      </c>
      <c r="K716" s="271">
        <f>IFERROR(__xludf.DUMMYFUNCTION("""COMPUTED_VALUE"""),4290.0)</f>
        <v>4290</v>
      </c>
      <c r="L716" s="286">
        <f>IFERROR(__xludf.DUMMYFUNCTION("""COMPUTED_VALUE"""),0.5504)</f>
        <v>0.5504</v>
      </c>
      <c r="M716" s="271">
        <f>IFERROR(__xludf.DUMMYFUNCTION("""COMPUTED_VALUE"""),1697.0)</f>
        <v>1697</v>
      </c>
      <c r="N716" s="286">
        <f>IFERROR(__xludf.DUMMYFUNCTION("""COMPUTED_VALUE"""),0.3956)</f>
        <v>0.3956</v>
      </c>
      <c r="O716" s="211">
        <f>IFERROR(__xludf.DUMMYFUNCTION("""COMPUTED_VALUE"""),147.0)</f>
        <v>147</v>
      </c>
      <c r="P716" s="211">
        <f>IFERROR(__xludf.DUMMYFUNCTION("""COMPUTED_VALUE"""),140.0)</f>
        <v>140</v>
      </c>
      <c r="Q716" s="286">
        <f>IFERROR(__xludf.DUMMYFUNCTION("""COMPUTED_VALUE"""),0.0326)</f>
        <v>0.0326</v>
      </c>
      <c r="R716" s="286">
        <f>IFERROR(__xludf.DUMMYFUNCTION("""COMPUTED_VALUE"""),0.0825)</f>
        <v>0.0825</v>
      </c>
      <c r="S716" s="211">
        <f>IFERROR(__xludf.DUMMYFUNCTION("""COMPUTED_VALUE"""),0.0)</f>
        <v>0</v>
      </c>
      <c r="T716" s="211">
        <f>IFERROR(__xludf.DUMMYFUNCTION("""COMPUTED_VALUE"""),0.0)</f>
        <v>0</v>
      </c>
      <c r="U716" s="271">
        <f>IFERROR(__xludf.DUMMYFUNCTION("""COMPUTED_VALUE"""),0.0)</f>
        <v>0</v>
      </c>
      <c r="V716" s="211" t="str">
        <f>IFERROR(__xludf.DUMMYFUNCTION("""COMPUTED_VALUE"""),"offline")</f>
        <v>offline</v>
      </c>
      <c r="W716" s="212" t="str">
        <f>IFERROR(__xludf.DUMMYFUNCTION("""COMPUTED_VALUE"""),"simple")</f>
        <v>simple</v>
      </c>
      <c r="X716" s="212" t="str">
        <f>IFERROR(__xludf.DUMMYFUNCTION("""COMPUTED_VALUE"""),"City Specific")</f>
        <v>City Specific</v>
      </c>
      <c r="Y716" s="212" t="str">
        <f>IFERROR(__xludf.DUMMYFUNCTION("""COMPUTED_VALUE"""),"22-24 May")</f>
        <v>22-24 May</v>
      </c>
      <c r="Z716" s="212" t="str">
        <f>IFERROR(__xludf.DUMMYFUNCTION("""COMPUTED_VALUE"""),"6a0eb5b6fbc262fa8eb215c2")</f>
        <v>6a0eb5b6fbc262fa8eb215c2</v>
      </c>
      <c r="AA716" s="287">
        <f>IFERROR(__xludf.DUMMYFUNCTION("""COMPUTED_VALUE"""),7.0)</f>
        <v>7</v>
      </c>
      <c r="AB716" s="287"/>
      <c r="AC716" s="287">
        <f>IFERROR(__xludf.DUMMYFUNCTION("""COMPUTED_VALUE"""),7.0)</f>
        <v>7</v>
      </c>
      <c r="AD716" s="287">
        <f>IFERROR(__xludf.DUMMYFUNCTION("""COMPUTED_VALUE"""),42076.0)</f>
        <v>42076</v>
      </c>
      <c r="AE716" s="287"/>
      <c r="AF716" s="287">
        <f>IFERROR(__xludf.DUMMYFUNCTION("""COMPUTED_VALUE"""),42076.0)</f>
        <v>42076</v>
      </c>
      <c r="AG716" s="208"/>
      <c r="AH716" s="208"/>
      <c r="AI716" s="208"/>
      <c r="AJ716" s="208"/>
      <c r="AK716" s="208"/>
    </row>
    <row r="717" hidden="1">
      <c r="A717" s="215">
        <f>IFERROR(__xludf.DUMMYFUNCTION("""COMPUTED_VALUE"""),46164.0)</f>
        <v>46164</v>
      </c>
      <c r="B717" s="210">
        <f>IFERROR(__xludf.DUMMYFUNCTION("""COMPUTED_VALUE"""),0.4583333333321207)</f>
        <v>0.4583333333</v>
      </c>
      <c r="C717" s="211" t="str">
        <f>IFERROR(__xludf.DUMMYFUNCTION("""COMPUTED_VALUE"""),"Whatsapp")</f>
        <v>Whatsapp</v>
      </c>
      <c r="D717" s="211" t="str">
        <f>IFERROR(__xludf.DUMMYFUNCTION("""COMPUTED_VALUE"""),"Promotional")</f>
        <v>Promotional</v>
      </c>
      <c r="E717" s="211" t="str">
        <f>IFERROR(__xludf.DUMMYFUNCTION("""COMPUTED_VALUE"""),"BBW")</f>
        <v>BBW</v>
      </c>
      <c r="F717" s="211" t="str">
        <f>IFERROR(__xludf.DUMMYFUNCTION("""COMPUTED_VALUE"""),"B2G2 - Entire Store")</f>
        <v>B2G2 - Entire Store</v>
      </c>
      <c r="G717" s="211" t="str">
        <f>IFERROR(__xludf.DUMMYFUNCTION("""COMPUTED_VALUE"""),"bbw_wa_b2g2_22may_dormant_vad_offline")</f>
        <v>bbw_wa_b2g2_22may_dormant_vad_offline</v>
      </c>
      <c r="H717" s="212" t="str">
        <f>IFERROR(__xludf.DUMMYFUNCTION("""COMPUTED_VALUE"""),"BBW_OFF_Vadodara_Dorm")</f>
        <v>BBW_OFF_Vadodara_Dorm</v>
      </c>
      <c r="I717" s="212" t="str">
        <f>IFERROR(__xludf.DUMMYFUNCTION("""COMPUTED_VALUE"""),"All Offline Customers who have purchased at least 1 time from Txn_City VADODARA in the last 365 days excluding TTR purchasers")</f>
        <v>All Offline Customers who have purchased at least 1 time from Txn_City VADODARA in the last 365 days excluding TTR purchasers</v>
      </c>
      <c r="J717" s="271">
        <f>IFERROR(__xludf.DUMMYFUNCTION("""COMPUTED_VALUE"""),6799.0)</f>
        <v>6799</v>
      </c>
      <c r="K717" s="271">
        <f>IFERROR(__xludf.DUMMYFUNCTION("""COMPUTED_VALUE"""),3474.0)</f>
        <v>3474</v>
      </c>
      <c r="L717" s="286">
        <f>IFERROR(__xludf.DUMMYFUNCTION("""COMPUTED_VALUE"""),0.5108)</f>
        <v>0.5108</v>
      </c>
      <c r="M717" s="271">
        <f>IFERROR(__xludf.DUMMYFUNCTION("""COMPUTED_VALUE"""),1758.0)</f>
        <v>1758</v>
      </c>
      <c r="N717" s="286">
        <f>IFERROR(__xludf.DUMMYFUNCTION("""COMPUTED_VALUE"""),0.5062)</f>
        <v>0.5062</v>
      </c>
      <c r="O717" s="211">
        <f>IFERROR(__xludf.DUMMYFUNCTION("""COMPUTED_VALUE"""),143.0)</f>
        <v>143</v>
      </c>
      <c r="P717" s="211">
        <f>IFERROR(__xludf.DUMMYFUNCTION("""COMPUTED_VALUE"""),139.0)</f>
        <v>139</v>
      </c>
      <c r="Q717" s="286">
        <f>IFERROR(__xludf.DUMMYFUNCTION("""COMPUTED_VALUE"""),0.04)</f>
        <v>0.04</v>
      </c>
      <c r="R717" s="286">
        <f>IFERROR(__xludf.DUMMYFUNCTION("""COMPUTED_VALUE"""),0.0791)</f>
        <v>0.0791</v>
      </c>
      <c r="S717" s="211">
        <f>IFERROR(__xludf.DUMMYFUNCTION("""COMPUTED_VALUE"""),0.0)</f>
        <v>0</v>
      </c>
      <c r="T717" s="211">
        <f>IFERROR(__xludf.DUMMYFUNCTION("""COMPUTED_VALUE"""),0.0)</f>
        <v>0</v>
      </c>
      <c r="U717" s="271">
        <f>IFERROR(__xludf.DUMMYFUNCTION("""COMPUTED_VALUE"""),0.0)</f>
        <v>0</v>
      </c>
      <c r="V717" s="211" t="str">
        <f>IFERROR(__xludf.DUMMYFUNCTION("""COMPUTED_VALUE"""),"offline")</f>
        <v>offline</v>
      </c>
      <c r="W717" s="212" t="str">
        <f>IFERROR(__xludf.DUMMYFUNCTION("""COMPUTED_VALUE"""),"simple")</f>
        <v>simple</v>
      </c>
      <c r="X717" s="212" t="str">
        <f>IFERROR(__xludf.DUMMYFUNCTION("""COMPUTED_VALUE"""),"City Specific")</f>
        <v>City Specific</v>
      </c>
      <c r="Y717" s="212" t="str">
        <f>IFERROR(__xludf.DUMMYFUNCTION("""COMPUTED_VALUE"""),"22-24 May")</f>
        <v>22-24 May</v>
      </c>
      <c r="Z717" s="212" t="str">
        <f>IFERROR(__xludf.DUMMYFUNCTION("""COMPUTED_VALUE"""),"6a0eb62db32c4b49d6ff56ed")</f>
        <v>6a0eb62db32c4b49d6ff56ed</v>
      </c>
      <c r="AA717" s="287">
        <f>IFERROR(__xludf.DUMMYFUNCTION("""COMPUTED_VALUE"""),16.0)</f>
        <v>16</v>
      </c>
      <c r="AB717" s="287"/>
      <c r="AC717" s="287">
        <f>IFERROR(__xludf.DUMMYFUNCTION("""COMPUTED_VALUE"""),16.0)</f>
        <v>16</v>
      </c>
      <c r="AD717" s="287">
        <f>IFERROR(__xludf.DUMMYFUNCTION("""COMPUTED_VALUE"""),54808.0)</f>
        <v>54808</v>
      </c>
      <c r="AE717" s="287"/>
      <c r="AF717" s="287">
        <f>IFERROR(__xludf.DUMMYFUNCTION("""COMPUTED_VALUE"""),54808.0)</f>
        <v>54808</v>
      </c>
      <c r="AG717" s="208"/>
      <c r="AH717" s="208"/>
      <c r="AI717" s="208"/>
      <c r="AJ717" s="208"/>
      <c r="AK717" s="208"/>
    </row>
    <row r="718" hidden="1">
      <c r="A718" s="215">
        <f>IFERROR(__xludf.DUMMYFUNCTION("""COMPUTED_VALUE"""),46164.0)</f>
        <v>46164</v>
      </c>
      <c r="B718" s="210">
        <f>IFERROR(__xludf.DUMMYFUNCTION("""COMPUTED_VALUE"""),0.4583333333321207)</f>
        <v>0.4583333333</v>
      </c>
      <c r="C718" s="211" t="str">
        <f>IFERROR(__xludf.DUMMYFUNCTION("""COMPUTED_VALUE"""),"Whatsapp")</f>
        <v>Whatsapp</v>
      </c>
      <c r="D718" s="211" t="str">
        <f>IFERROR(__xludf.DUMMYFUNCTION("""COMPUTED_VALUE"""),"Promotional")</f>
        <v>Promotional</v>
      </c>
      <c r="E718" s="211" t="str">
        <f>IFERROR(__xludf.DUMMYFUNCTION("""COMPUTED_VALUE"""),"BBW")</f>
        <v>BBW</v>
      </c>
      <c r="F718" s="211" t="str">
        <f>IFERROR(__xludf.DUMMYFUNCTION("""COMPUTED_VALUE"""),"B2G2 - Entire Store")</f>
        <v>B2G2 - Entire Store</v>
      </c>
      <c r="G718" s="211" t="str">
        <f>IFERROR(__xludf.DUMMYFUNCTION("""COMPUTED_VALUE"""),"bbw_wa_b2g2_22may_dormant_kochi_offline")</f>
        <v>bbw_wa_b2g2_22may_dormant_kochi_offline</v>
      </c>
      <c r="H718" s="212" t="str">
        <f>IFERROR(__xludf.DUMMYFUNCTION("""COMPUTED_VALUE"""),"BBW_OFF_KOCHI_Dorm")</f>
        <v>BBW_OFF_KOCHI_Dorm</v>
      </c>
      <c r="I718" s="212" t="str">
        <f>IFERROR(__xludf.DUMMYFUNCTION("""COMPUTED_VALUE"""),"All Offline Customers who have purchased at least 1 time from Txn_City Kochi in the last 365 days excluding TTR purchasers")</f>
        <v>All Offline Customers who have purchased at least 1 time from Txn_City Kochi in the last 365 days excluding TTR purchasers</v>
      </c>
      <c r="J718" s="271">
        <f>IFERROR(__xludf.DUMMYFUNCTION("""COMPUTED_VALUE"""),5266.0)</f>
        <v>5266</v>
      </c>
      <c r="K718" s="271">
        <f>IFERROR(__xludf.DUMMYFUNCTION("""COMPUTED_VALUE"""),2993.0)</f>
        <v>2993</v>
      </c>
      <c r="L718" s="286">
        <f>IFERROR(__xludf.DUMMYFUNCTION("""COMPUTED_VALUE"""),0.5684)</f>
        <v>0.5684</v>
      </c>
      <c r="M718" s="271">
        <f>IFERROR(__xludf.DUMMYFUNCTION("""COMPUTED_VALUE"""),1188.0)</f>
        <v>1188</v>
      </c>
      <c r="N718" s="286">
        <f>IFERROR(__xludf.DUMMYFUNCTION("""COMPUTED_VALUE"""),0.3969)</f>
        <v>0.3969</v>
      </c>
      <c r="O718" s="211">
        <f>IFERROR(__xludf.DUMMYFUNCTION("""COMPUTED_VALUE"""),120.0)</f>
        <v>120</v>
      </c>
      <c r="P718" s="211">
        <f>IFERROR(__xludf.DUMMYFUNCTION("""COMPUTED_VALUE"""),118.0)</f>
        <v>118</v>
      </c>
      <c r="Q718" s="286">
        <f>IFERROR(__xludf.DUMMYFUNCTION("""COMPUTED_VALUE"""),0.0394)</f>
        <v>0.0394</v>
      </c>
      <c r="R718" s="286">
        <f>IFERROR(__xludf.DUMMYFUNCTION("""COMPUTED_VALUE"""),0.0993)</f>
        <v>0.0993</v>
      </c>
      <c r="S718" s="211">
        <f>IFERROR(__xludf.DUMMYFUNCTION("""COMPUTED_VALUE"""),0.0)</f>
        <v>0</v>
      </c>
      <c r="T718" s="211">
        <f>IFERROR(__xludf.DUMMYFUNCTION("""COMPUTED_VALUE"""),0.0)</f>
        <v>0</v>
      </c>
      <c r="U718" s="271">
        <f>IFERROR(__xludf.DUMMYFUNCTION("""COMPUTED_VALUE"""),0.0)</f>
        <v>0</v>
      </c>
      <c r="V718" s="211" t="str">
        <f>IFERROR(__xludf.DUMMYFUNCTION("""COMPUTED_VALUE"""),"offline")</f>
        <v>offline</v>
      </c>
      <c r="W718" s="212" t="str">
        <f>IFERROR(__xludf.DUMMYFUNCTION("""COMPUTED_VALUE"""),"simple")</f>
        <v>simple</v>
      </c>
      <c r="X718" s="212" t="str">
        <f>IFERROR(__xludf.DUMMYFUNCTION("""COMPUTED_VALUE"""),"City Specific")</f>
        <v>City Specific</v>
      </c>
      <c r="Y718" s="212" t="str">
        <f>IFERROR(__xludf.DUMMYFUNCTION("""COMPUTED_VALUE"""),"22-24 May")</f>
        <v>22-24 May</v>
      </c>
      <c r="Z718" s="212" t="str">
        <f>IFERROR(__xludf.DUMMYFUNCTION("""COMPUTED_VALUE"""),"6a0eb66ffbc262fa8eb215e6")</f>
        <v>6a0eb66ffbc262fa8eb215e6</v>
      </c>
      <c r="AA718" s="287">
        <f>IFERROR(__xludf.DUMMYFUNCTION("""COMPUTED_VALUE"""),10.0)</f>
        <v>10</v>
      </c>
      <c r="AB718" s="287"/>
      <c r="AC718" s="287">
        <f>IFERROR(__xludf.DUMMYFUNCTION("""COMPUTED_VALUE"""),10.0)</f>
        <v>10</v>
      </c>
      <c r="AD718" s="287">
        <f>IFERROR(__xludf.DUMMYFUNCTION("""COMPUTED_VALUE"""),45225.0)</f>
        <v>45225</v>
      </c>
      <c r="AE718" s="287"/>
      <c r="AF718" s="287">
        <f>IFERROR(__xludf.DUMMYFUNCTION("""COMPUTED_VALUE"""),45225.0)</f>
        <v>45225</v>
      </c>
      <c r="AG718" s="208"/>
      <c r="AH718" s="208"/>
      <c r="AI718" s="208"/>
      <c r="AJ718" s="208"/>
      <c r="AK718" s="208"/>
    </row>
    <row r="719" hidden="1">
      <c r="A719" s="215">
        <f>IFERROR(__xludf.DUMMYFUNCTION("""COMPUTED_VALUE"""),46164.0)</f>
        <v>46164</v>
      </c>
      <c r="B719" s="210">
        <f>IFERROR(__xludf.DUMMYFUNCTION("""COMPUTED_VALUE"""),0.4583333333321207)</f>
        <v>0.4583333333</v>
      </c>
      <c r="C719" s="211" t="str">
        <f>IFERROR(__xludf.DUMMYFUNCTION("""COMPUTED_VALUE"""),"Whatsapp")</f>
        <v>Whatsapp</v>
      </c>
      <c r="D719" s="211" t="str">
        <f>IFERROR(__xludf.DUMMYFUNCTION("""COMPUTED_VALUE"""),"Promotional")</f>
        <v>Promotional</v>
      </c>
      <c r="E719" s="211" t="str">
        <f>IFERROR(__xludf.DUMMYFUNCTION("""COMPUTED_VALUE"""),"BBW")</f>
        <v>BBW</v>
      </c>
      <c r="F719" s="211" t="str">
        <f>IFERROR(__xludf.DUMMYFUNCTION("""COMPUTED_VALUE"""),"B2G2 - Entire Store")</f>
        <v>B2G2 - Entire Store</v>
      </c>
      <c r="G719" s="211" t="str">
        <f>IFERROR(__xludf.DUMMYFUNCTION("""COMPUTED_VALUE"""),"bbw_wa_b2g2_22may_dormant_surat_offline")</f>
        <v>bbw_wa_b2g2_22may_dormant_surat_offline</v>
      </c>
      <c r="H719" s="212" t="str">
        <f>IFERROR(__xludf.DUMMYFUNCTION("""COMPUTED_VALUE"""),"BBW_OFF_Surat_Dorm")</f>
        <v>BBW_OFF_Surat_Dorm</v>
      </c>
      <c r="I719" s="212" t="str">
        <f>IFERROR(__xludf.DUMMYFUNCTION("""COMPUTED_VALUE"""),"All Offline Customers who have purchased at least 1 time from Txn_City Surat in the last 365 days excluding TTR purchasers")</f>
        <v>All Offline Customers who have purchased at least 1 time from Txn_City Surat in the last 365 days excluding TTR purchasers</v>
      </c>
      <c r="J719" s="271">
        <f>IFERROR(__xludf.DUMMYFUNCTION("""COMPUTED_VALUE"""),5634.0)</f>
        <v>5634</v>
      </c>
      <c r="K719" s="271">
        <f>IFERROR(__xludf.DUMMYFUNCTION("""COMPUTED_VALUE"""),3393.0)</f>
        <v>3393</v>
      </c>
      <c r="L719" s="286">
        <f>IFERROR(__xludf.DUMMYFUNCTION("""COMPUTED_VALUE"""),0.6022)</f>
        <v>0.6022</v>
      </c>
      <c r="M719" s="271">
        <f>IFERROR(__xludf.DUMMYFUNCTION("""COMPUTED_VALUE"""),1648.0)</f>
        <v>1648</v>
      </c>
      <c r="N719" s="286">
        <f>IFERROR(__xludf.DUMMYFUNCTION("""COMPUTED_VALUE"""),0.4857)</f>
        <v>0.4857</v>
      </c>
      <c r="O719" s="211">
        <f>IFERROR(__xludf.DUMMYFUNCTION("""COMPUTED_VALUE"""),152.0)</f>
        <v>152</v>
      </c>
      <c r="P719" s="211">
        <f>IFERROR(__xludf.DUMMYFUNCTION("""COMPUTED_VALUE"""),147.0)</f>
        <v>147</v>
      </c>
      <c r="Q719" s="286">
        <f>IFERROR(__xludf.DUMMYFUNCTION("""COMPUTED_VALUE"""),0.0433)</f>
        <v>0.0433</v>
      </c>
      <c r="R719" s="286">
        <f>IFERROR(__xludf.DUMMYFUNCTION("""COMPUTED_VALUE"""),0.0892)</f>
        <v>0.0892</v>
      </c>
      <c r="S719" s="211">
        <f>IFERROR(__xludf.DUMMYFUNCTION("""COMPUTED_VALUE"""),0.0)</f>
        <v>0</v>
      </c>
      <c r="T719" s="211">
        <f>IFERROR(__xludf.DUMMYFUNCTION("""COMPUTED_VALUE"""),0.0)</f>
        <v>0</v>
      </c>
      <c r="U719" s="271">
        <f>IFERROR(__xludf.DUMMYFUNCTION("""COMPUTED_VALUE"""),0.0)</f>
        <v>0</v>
      </c>
      <c r="V719" s="211" t="str">
        <f>IFERROR(__xludf.DUMMYFUNCTION("""COMPUTED_VALUE"""),"offline")</f>
        <v>offline</v>
      </c>
      <c r="W719" s="212" t="str">
        <f>IFERROR(__xludf.DUMMYFUNCTION("""COMPUTED_VALUE"""),"simple")</f>
        <v>simple</v>
      </c>
      <c r="X719" s="212" t="str">
        <f>IFERROR(__xludf.DUMMYFUNCTION("""COMPUTED_VALUE"""),"City Specific")</f>
        <v>City Specific</v>
      </c>
      <c r="Y719" s="212" t="str">
        <f>IFERROR(__xludf.DUMMYFUNCTION("""COMPUTED_VALUE"""),"22-24 May")</f>
        <v>22-24 May</v>
      </c>
      <c r="Z719" s="212" t="str">
        <f>IFERROR(__xludf.DUMMYFUNCTION("""COMPUTED_VALUE"""),"6a0eb6b77ee2c479e128d9a0")</f>
        <v>6a0eb6b77ee2c479e128d9a0</v>
      </c>
      <c r="AA719" s="287">
        <f>IFERROR(__xludf.DUMMYFUNCTION("""COMPUTED_VALUE"""),10.0)</f>
        <v>10</v>
      </c>
      <c r="AB719" s="287"/>
      <c r="AC719" s="287">
        <f>IFERROR(__xludf.DUMMYFUNCTION("""COMPUTED_VALUE"""),10.0)</f>
        <v>10</v>
      </c>
      <c r="AD719" s="287">
        <f>IFERROR(__xludf.DUMMYFUNCTION("""COMPUTED_VALUE"""),43878.0)</f>
        <v>43878</v>
      </c>
      <c r="AE719" s="287"/>
      <c r="AF719" s="287">
        <f>IFERROR(__xludf.DUMMYFUNCTION("""COMPUTED_VALUE"""),43878.0)</f>
        <v>43878</v>
      </c>
      <c r="AG719" s="208"/>
      <c r="AH719" s="208"/>
      <c r="AI719" s="208"/>
      <c r="AJ719" s="208"/>
      <c r="AK719" s="208"/>
    </row>
    <row r="720" hidden="1">
      <c r="A720" s="215">
        <f>IFERROR(__xludf.DUMMYFUNCTION("""COMPUTED_VALUE"""),46165.0)</f>
        <v>46165</v>
      </c>
      <c r="B720" s="210">
        <f>IFERROR(__xludf.DUMMYFUNCTION("""COMPUTED_VALUE"""),0.5)</f>
        <v>0.5</v>
      </c>
      <c r="C720" s="211" t="str">
        <f>IFERROR(__xludf.DUMMYFUNCTION("""COMPUTED_VALUE"""),"Whatsapp")</f>
        <v>Whatsapp</v>
      </c>
      <c r="D720" s="211" t="str">
        <f>IFERROR(__xludf.DUMMYFUNCTION("""COMPUTED_VALUE"""),"Promotional")</f>
        <v>Promotional</v>
      </c>
      <c r="E720" s="211" t="str">
        <f>IFERROR(__xludf.DUMMYFUNCTION("""COMPUTED_VALUE"""),"BBW")</f>
        <v>BBW</v>
      </c>
      <c r="F720" s="211" t="str">
        <f>IFERROR(__xludf.DUMMYFUNCTION("""COMPUTED_VALUE"""),"B2G2 - Entire Store")</f>
        <v>B2G2 - Entire Store</v>
      </c>
      <c r="G720" s="211" t="str">
        <f>IFERROR(__xludf.DUMMYFUNCTION("""COMPUTED_VALUE"""),"bbw_wa_b2g2_23may_lastreminder_blr_offline")</f>
        <v>bbw_wa_b2g2_23may_lastreminder_blr_offline</v>
      </c>
      <c r="H720" s="212" t="str">
        <f>IFERROR(__xludf.DUMMYFUNCTION("""COMPUTED_VALUE"""),"BBW_OFF_BLR_Active, BBW_OFF_BLR_Dorm")</f>
        <v>BBW_OFF_BLR_Active, BBW_OFF_BLR_Dorm</v>
      </c>
      <c r="I720" s="212" t="str">
        <f>IFERROR(__xludf.DUMMYFUNCTION("""COMPUTED_VALUE"""),"All Offline Customers who have purchased at least 1 time from Txn_City BLR in the last 112 days (TTR), All Offline Customers who have purchased at least 1 time from Txn_City BLR in the last 365 days excluding TTR purchasers")</f>
        <v>All Offline Customers who have purchased at least 1 time from Txn_City BLR in the last 112 days (TTR), All Offline Customers who have purchased at least 1 time from Txn_City BLR in the last 365 days excluding TTR purchasers</v>
      </c>
      <c r="J720" s="271">
        <f>IFERROR(__xludf.DUMMYFUNCTION("""COMPUTED_VALUE"""),73692.0)</f>
        <v>73692</v>
      </c>
      <c r="K720" s="271">
        <f>IFERROR(__xludf.DUMMYFUNCTION("""COMPUTED_VALUE"""),27818.0)</f>
        <v>27818</v>
      </c>
      <c r="L720" s="286">
        <f>IFERROR(__xludf.DUMMYFUNCTION("""COMPUTED_VALUE"""),0.3775)</f>
        <v>0.3775</v>
      </c>
      <c r="M720" s="271">
        <f>IFERROR(__xludf.DUMMYFUNCTION("""COMPUTED_VALUE"""),8995.0)</f>
        <v>8995</v>
      </c>
      <c r="N720" s="286">
        <f>IFERROR(__xludf.DUMMYFUNCTION("""COMPUTED_VALUE"""),0.3234)</f>
        <v>0.3234</v>
      </c>
      <c r="O720" s="211">
        <f>IFERROR(__xludf.DUMMYFUNCTION("""COMPUTED_VALUE"""),612.0)</f>
        <v>612</v>
      </c>
      <c r="P720" s="211">
        <f>IFERROR(__xludf.DUMMYFUNCTION("""COMPUTED_VALUE"""),589.0)</f>
        <v>589</v>
      </c>
      <c r="Q720" s="286">
        <f>IFERROR(__xludf.DUMMYFUNCTION("""COMPUTED_VALUE"""),0.0212)</f>
        <v>0.0212</v>
      </c>
      <c r="R720" s="286">
        <f>IFERROR(__xludf.DUMMYFUNCTION("""COMPUTED_VALUE"""),0.0655)</f>
        <v>0.0655</v>
      </c>
      <c r="S720" s="211">
        <f>IFERROR(__xludf.DUMMYFUNCTION("""COMPUTED_VALUE"""),0.0)</f>
        <v>0</v>
      </c>
      <c r="T720" s="211">
        <f>IFERROR(__xludf.DUMMYFUNCTION("""COMPUTED_VALUE"""),0.0)</f>
        <v>0</v>
      </c>
      <c r="U720" s="271">
        <f>IFERROR(__xludf.DUMMYFUNCTION("""COMPUTED_VALUE"""),0.0)</f>
        <v>0</v>
      </c>
      <c r="V720" s="211" t="str">
        <f>IFERROR(__xludf.DUMMYFUNCTION("""COMPUTED_VALUE"""),"offline")</f>
        <v>offline</v>
      </c>
      <c r="W720" s="212" t="str">
        <f>IFERROR(__xludf.DUMMYFUNCTION("""COMPUTED_VALUE"""),"simple")</f>
        <v>simple</v>
      </c>
      <c r="X720" s="212" t="str">
        <f>IFERROR(__xludf.DUMMYFUNCTION("""COMPUTED_VALUE"""),"City Specific")</f>
        <v>City Specific</v>
      </c>
      <c r="Y720" s="212" t="str">
        <f>IFERROR(__xludf.DUMMYFUNCTION("""COMPUTED_VALUE"""),"23-25 May")</f>
        <v>23-25 May</v>
      </c>
      <c r="Z720" s="212" t="str">
        <f>IFERROR(__xludf.DUMMYFUNCTION("""COMPUTED_VALUE"""),"6a0eb88fb9a52b0d3fed724a")</f>
        <v>6a0eb88fb9a52b0d3fed724a</v>
      </c>
      <c r="AA720" s="287">
        <f>IFERROR(__xludf.DUMMYFUNCTION("""COMPUTED_VALUE"""),105.0)</f>
        <v>105</v>
      </c>
      <c r="AB720" s="287"/>
      <c r="AC720" s="287">
        <f>IFERROR(__xludf.DUMMYFUNCTION("""COMPUTED_VALUE"""),105.0)</f>
        <v>105</v>
      </c>
      <c r="AD720" s="287">
        <f>IFERROR(__xludf.DUMMYFUNCTION("""COMPUTED_VALUE"""),498555.0)</f>
        <v>498555</v>
      </c>
      <c r="AE720" s="287"/>
      <c r="AF720" s="287">
        <f>IFERROR(__xludf.DUMMYFUNCTION("""COMPUTED_VALUE"""),498555.0)</f>
        <v>498555</v>
      </c>
      <c r="AG720" s="208"/>
      <c r="AH720" s="208"/>
      <c r="AI720" s="208"/>
      <c r="AJ720" s="208"/>
      <c r="AK720" s="208"/>
    </row>
    <row r="721" hidden="1">
      <c r="A721" s="215">
        <f>IFERROR(__xludf.DUMMYFUNCTION("""COMPUTED_VALUE"""),46165.0)</f>
        <v>46165</v>
      </c>
      <c r="B721" s="210">
        <f>IFERROR(__xludf.DUMMYFUNCTION("""COMPUTED_VALUE"""),0.5)</f>
        <v>0.5</v>
      </c>
      <c r="C721" s="211" t="str">
        <f>IFERROR(__xludf.DUMMYFUNCTION("""COMPUTED_VALUE"""),"Whatsapp")</f>
        <v>Whatsapp</v>
      </c>
      <c r="D721" s="211" t="str">
        <f>IFERROR(__xludf.DUMMYFUNCTION("""COMPUTED_VALUE"""),"Promotional")</f>
        <v>Promotional</v>
      </c>
      <c r="E721" s="211" t="str">
        <f>IFERROR(__xludf.DUMMYFUNCTION("""COMPUTED_VALUE"""),"BBW")</f>
        <v>BBW</v>
      </c>
      <c r="F721" s="211" t="str">
        <f>IFERROR(__xludf.DUMMYFUNCTION("""COMPUTED_VALUE"""),"B2G2 - Entire Store")</f>
        <v>B2G2 - Entire Store</v>
      </c>
      <c r="G721" s="211" t="str">
        <f>IFERROR(__xludf.DUMMYFUNCTION("""COMPUTED_VALUE"""),"bbw_wa_b2g2_23may_lastreminder_bom_offline")</f>
        <v>bbw_wa_b2g2_23may_lastreminder_bom_offline</v>
      </c>
      <c r="H721" s="212" t="str">
        <f>IFERROR(__xludf.DUMMYFUNCTION("""COMPUTED_VALUE"""),"BBW_OFF_BOM_Active, BBW_OFF_BOM_Dorm")</f>
        <v>BBW_OFF_BOM_Active, BBW_OFF_BOM_Dorm</v>
      </c>
      <c r="I721" s="212" t="str">
        <f>IFERROR(__xludf.DUMMYFUNCTION("""COMPUTED_VALUE"""),"All Offline Customers who have purchased at least 1 time from Txn_City BOM in the last 112 days (TTR), All Offline Customers who have purchased at least 1 time from Txn_City BOM in the last 365 days excluding TTR purchasers")</f>
        <v>All Offline Customers who have purchased at least 1 time from Txn_City BOM in the last 112 days (TTR), All Offline Customers who have purchased at least 1 time from Txn_City BOM in the last 365 days excluding TTR purchasers</v>
      </c>
      <c r="J721" s="271">
        <f>IFERROR(__xludf.DUMMYFUNCTION("""COMPUTED_VALUE"""),44505.0)</f>
        <v>44505</v>
      </c>
      <c r="K721" s="271">
        <f>IFERROR(__xludf.DUMMYFUNCTION("""COMPUTED_VALUE"""),16981.0)</f>
        <v>16981</v>
      </c>
      <c r="L721" s="286">
        <f>IFERROR(__xludf.DUMMYFUNCTION("""COMPUTED_VALUE"""),0.3815)</f>
        <v>0.3815</v>
      </c>
      <c r="M721" s="271">
        <f>IFERROR(__xludf.DUMMYFUNCTION("""COMPUTED_VALUE"""),5962.0)</f>
        <v>5962</v>
      </c>
      <c r="N721" s="286">
        <f>IFERROR(__xludf.DUMMYFUNCTION("""COMPUTED_VALUE"""),0.3509)</f>
        <v>0.3509</v>
      </c>
      <c r="O721" s="211">
        <f>IFERROR(__xludf.DUMMYFUNCTION("""COMPUTED_VALUE"""),422.0)</f>
        <v>422</v>
      </c>
      <c r="P721" s="211">
        <f>IFERROR(__xludf.DUMMYFUNCTION("""COMPUTED_VALUE"""),406.0)</f>
        <v>406</v>
      </c>
      <c r="Q721" s="286">
        <f>IFERROR(__xludf.DUMMYFUNCTION("""COMPUTED_VALUE"""),0.0239)</f>
        <v>0.0239</v>
      </c>
      <c r="R721" s="286">
        <f>IFERROR(__xludf.DUMMYFUNCTION("""COMPUTED_VALUE"""),0.0681)</f>
        <v>0.0681</v>
      </c>
      <c r="S721" s="211">
        <f>IFERROR(__xludf.DUMMYFUNCTION("""COMPUTED_VALUE"""),0.0)</f>
        <v>0</v>
      </c>
      <c r="T721" s="211">
        <f>IFERROR(__xludf.DUMMYFUNCTION("""COMPUTED_VALUE"""),0.0)</f>
        <v>0</v>
      </c>
      <c r="U721" s="271">
        <f>IFERROR(__xludf.DUMMYFUNCTION("""COMPUTED_VALUE"""),0.0)</f>
        <v>0</v>
      </c>
      <c r="V721" s="211" t="str">
        <f>IFERROR(__xludf.DUMMYFUNCTION("""COMPUTED_VALUE"""),"offline")</f>
        <v>offline</v>
      </c>
      <c r="W721" s="212" t="str">
        <f>IFERROR(__xludf.DUMMYFUNCTION("""COMPUTED_VALUE"""),"simple")</f>
        <v>simple</v>
      </c>
      <c r="X721" s="212" t="str">
        <f>IFERROR(__xludf.DUMMYFUNCTION("""COMPUTED_VALUE"""),"City Specific")</f>
        <v>City Specific</v>
      </c>
      <c r="Y721" s="212" t="str">
        <f>IFERROR(__xludf.DUMMYFUNCTION("""COMPUTED_VALUE"""),"23-25 May")</f>
        <v>23-25 May</v>
      </c>
      <c r="Z721" s="212" t="str">
        <f>IFERROR(__xludf.DUMMYFUNCTION("""COMPUTED_VALUE"""),"6a0eb8f4b813fb13c3bde352")</f>
        <v>6a0eb8f4b813fb13c3bde352</v>
      </c>
      <c r="AA721" s="287">
        <f>IFERROR(__xludf.DUMMYFUNCTION("""COMPUTED_VALUE"""),61.0)</f>
        <v>61</v>
      </c>
      <c r="AB721" s="287"/>
      <c r="AC721" s="287">
        <f>IFERROR(__xludf.DUMMYFUNCTION("""COMPUTED_VALUE"""),61.0)</f>
        <v>61</v>
      </c>
      <c r="AD721" s="287">
        <f>IFERROR(__xludf.DUMMYFUNCTION("""COMPUTED_VALUE"""),361039.0)</f>
        <v>361039</v>
      </c>
      <c r="AE721" s="287"/>
      <c r="AF721" s="287">
        <f>IFERROR(__xludf.DUMMYFUNCTION("""COMPUTED_VALUE"""),361039.0)</f>
        <v>361039</v>
      </c>
      <c r="AG721" s="208"/>
      <c r="AH721" s="208"/>
      <c r="AI721" s="208"/>
      <c r="AJ721" s="208"/>
      <c r="AK721" s="208"/>
    </row>
    <row r="722" hidden="1">
      <c r="A722" s="215">
        <f>IFERROR(__xludf.DUMMYFUNCTION("""COMPUTED_VALUE"""),46165.0)</f>
        <v>46165</v>
      </c>
      <c r="B722" s="210">
        <f>IFERROR(__xludf.DUMMYFUNCTION("""COMPUTED_VALUE"""),0.5)</f>
        <v>0.5</v>
      </c>
      <c r="C722" s="211" t="str">
        <f>IFERROR(__xludf.DUMMYFUNCTION("""COMPUTED_VALUE"""),"Whatsapp")</f>
        <v>Whatsapp</v>
      </c>
      <c r="D722" s="211" t="str">
        <f>IFERROR(__xludf.DUMMYFUNCTION("""COMPUTED_VALUE"""),"Promotional")</f>
        <v>Promotional</v>
      </c>
      <c r="E722" s="211" t="str">
        <f>IFERROR(__xludf.DUMMYFUNCTION("""COMPUTED_VALUE"""),"BBW")</f>
        <v>BBW</v>
      </c>
      <c r="F722" s="211" t="str">
        <f>IFERROR(__xludf.DUMMYFUNCTION("""COMPUTED_VALUE"""),"B2G2 - Entire Store")</f>
        <v>B2G2 - Entire Store</v>
      </c>
      <c r="G722" s="211" t="str">
        <f>IFERROR(__xludf.DUMMYFUNCTION("""COMPUTED_VALUE"""),"bbw_wa_b2g2_23may_lastreminder_ahd_offline")</f>
        <v>bbw_wa_b2g2_23may_lastreminder_ahd_offline</v>
      </c>
      <c r="H722" s="212" t="str">
        <f>IFERROR(__xludf.DUMMYFUNCTION("""COMPUTED_VALUE"""),"BBW_OFF_AHD_Active, BBW_OFF_AHD_Dorm")</f>
        <v>BBW_OFF_AHD_Active, BBW_OFF_AHD_Dorm</v>
      </c>
      <c r="I722" s="212" t="str">
        <f>IFERROR(__xludf.DUMMYFUNCTION("""COMPUTED_VALUE"""),"All Offline Customers who have purchased at least 1 time from Txn_City AHD in the last 112 days (TTR), All Offline Customers who have purchased at least 1 time from Txn_City AHD in the last 365 days excluding TTR purchasers")</f>
        <v>All Offline Customers who have purchased at least 1 time from Txn_City AHD in the last 112 days (TTR), All Offline Customers who have purchased at least 1 time from Txn_City AHD in the last 365 days excluding TTR purchasers</v>
      </c>
      <c r="J722" s="271">
        <f>IFERROR(__xludf.DUMMYFUNCTION("""COMPUTED_VALUE"""),24363.0)</f>
        <v>24363</v>
      </c>
      <c r="K722" s="271">
        <f>IFERROR(__xludf.DUMMYFUNCTION("""COMPUTED_VALUE"""),10322.0)</f>
        <v>10322</v>
      </c>
      <c r="L722" s="286">
        <f>IFERROR(__xludf.DUMMYFUNCTION("""COMPUTED_VALUE"""),0.4237)</f>
        <v>0.4237</v>
      </c>
      <c r="M722" s="271">
        <f>IFERROR(__xludf.DUMMYFUNCTION("""COMPUTED_VALUE"""),4507.0)</f>
        <v>4507</v>
      </c>
      <c r="N722" s="286">
        <f>IFERROR(__xludf.DUMMYFUNCTION("""COMPUTED_VALUE"""),0.4365)</f>
        <v>0.4365</v>
      </c>
      <c r="O722" s="211">
        <f>IFERROR(__xludf.DUMMYFUNCTION("""COMPUTED_VALUE"""),252.0)</f>
        <v>252</v>
      </c>
      <c r="P722" s="211">
        <f>IFERROR(__xludf.DUMMYFUNCTION("""COMPUTED_VALUE"""),240.0)</f>
        <v>240</v>
      </c>
      <c r="Q722" s="286">
        <f>IFERROR(__xludf.DUMMYFUNCTION("""COMPUTED_VALUE"""),0.0233)</f>
        <v>0.0233</v>
      </c>
      <c r="R722" s="286">
        <f>IFERROR(__xludf.DUMMYFUNCTION("""COMPUTED_VALUE"""),0.0533)</f>
        <v>0.0533</v>
      </c>
      <c r="S722" s="211">
        <f>IFERROR(__xludf.DUMMYFUNCTION("""COMPUTED_VALUE"""),0.0)</f>
        <v>0</v>
      </c>
      <c r="T722" s="211">
        <f>IFERROR(__xludf.DUMMYFUNCTION("""COMPUTED_VALUE"""),0.0)</f>
        <v>0</v>
      </c>
      <c r="U722" s="271">
        <f>IFERROR(__xludf.DUMMYFUNCTION("""COMPUTED_VALUE"""),0.0)</f>
        <v>0</v>
      </c>
      <c r="V722" s="211" t="str">
        <f>IFERROR(__xludf.DUMMYFUNCTION("""COMPUTED_VALUE"""),"offline")</f>
        <v>offline</v>
      </c>
      <c r="W722" s="212" t="str">
        <f>IFERROR(__xludf.DUMMYFUNCTION("""COMPUTED_VALUE"""),"simple")</f>
        <v>simple</v>
      </c>
      <c r="X722" s="212" t="str">
        <f>IFERROR(__xludf.DUMMYFUNCTION("""COMPUTED_VALUE"""),"City Specific")</f>
        <v>City Specific</v>
      </c>
      <c r="Y722" s="212" t="str">
        <f>IFERROR(__xludf.DUMMYFUNCTION("""COMPUTED_VALUE"""),"23-25 May")</f>
        <v>23-25 May</v>
      </c>
      <c r="Z722" s="212" t="str">
        <f>IFERROR(__xludf.DUMMYFUNCTION("""COMPUTED_VALUE"""),"6a0eb938dc5408526b5f24e1")</f>
        <v>6a0eb938dc5408526b5f24e1</v>
      </c>
      <c r="AA722" s="287">
        <f>IFERROR(__xludf.DUMMYFUNCTION("""COMPUTED_VALUE"""),45.0)</f>
        <v>45</v>
      </c>
      <c r="AB722" s="287"/>
      <c r="AC722" s="287">
        <f>IFERROR(__xludf.DUMMYFUNCTION("""COMPUTED_VALUE"""),45.0)</f>
        <v>45</v>
      </c>
      <c r="AD722" s="287">
        <f>IFERROR(__xludf.DUMMYFUNCTION("""COMPUTED_VALUE"""),201398.0)</f>
        <v>201398</v>
      </c>
      <c r="AE722" s="287"/>
      <c r="AF722" s="287">
        <f>IFERROR(__xludf.DUMMYFUNCTION("""COMPUTED_VALUE"""),201398.0)</f>
        <v>201398</v>
      </c>
      <c r="AG722" s="208"/>
      <c r="AH722" s="208"/>
      <c r="AI722" s="208"/>
      <c r="AJ722" s="208"/>
      <c r="AK722" s="208"/>
    </row>
    <row r="723" hidden="1">
      <c r="A723" s="215">
        <f>IFERROR(__xludf.DUMMYFUNCTION("""COMPUTED_VALUE"""),46165.0)</f>
        <v>46165</v>
      </c>
      <c r="B723" s="210">
        <f>IFERROR(__xludf.DUMMYFUNCTION("""COMPUTED_VALUE"""),0.5)</f>
        <v>0.5</v>
      </c>
      <c r="C723" s="211" t="str">
        <f>IFERROR(__xludf.DUMMYFUNCTION("""COMPUTED_VALUE"""),"Whatsapp")</f>
        <v>Whatsapp</v>
      </c>
      <c r="D723" s="211" t="str">
        <f>IFERROR(__xludf.DUMMYFUNCTION("""COMPUTED_VALUE"""),"Promotional")</f>
        <v>Promotional</v>
      </c>
      <c r="E723" s="211" t="str">
        <f>IFERROR(__xludf.DUMMYFUNCTION("""COMPUTED_VALUE"""),"BBW")</f>
        <v>BBW</v>
      </c>
      <c r="F723" s="211" t="str">
        <f>IFERROR(__xludf.DUMMYFUNCTION("""COMPUTED_VALUE"""),"B2G2 - Entire Store")</f>
        <v>B2G2 - Entire Store</v>
      </c>
      <c r="G723" s="211" t="str">
        <f>IFERROR(__xludf.DUMMYFUNCTION("""COMPUTED_VALUE"""),"bbw_wa_b2g2_23may_lastreminder_pune_offline")</f>
        <v>bbw_wa_b2g2_23may_lastreminder_pune_offline</v>
      </c>
      <c r="H723" s="212" t="str">
        <f>IFERROR(__xludf.DUMMYFUNCTION("""COMPUTED_VALUE"""),"BBW_OFF_PUNE_Active, BBW_OFF_PUNE_Dorm")</f>
        <v>BBW_OFF_PUNE_Active, BBW_OFF_PUNE_Dorm</v>
      </c>
      <c r="I723" s="212" t="str">
        <f>IFERROR(__xludf.DUMMYFUNCTION("""COMPUTED_VALUE"""),"All Offline Customers who have purchased at least 1 time from Txn_City PUNE in the last 112 days (TTR), All Offline Customers who have purchased at least 1 time from Txn_City PUNE in the last 365 days excluding TTR purchasers")</f>
        <v>All Offline Customers who have purchased at least 1 time from Txn_City PUNE in the last 112 days (TTR), All Offline Customers who have purchased at least 1 time from Txn_City PUNE in the last 365 days excluding TTR purchasers</v>
      </c>
      <c r="J723" s="271">
        <f>IFERROR(__xludf.DUMMYFUNCTION("""COMPUTED_VALUE"""),12227.0)</f>
        <v>12227</v>
      </c>
      <c r="K723" s="271">
        <f>IFERROR(__xludf.DUMMYFUNCTION("""COMPUTED_VALUE"""),4480.0)</f>
        <v>4480</v>
      </c>
      <c r="L723" s="286">
        <f>IFERROR(__xludf.DUMMYFUNCTION("""COMPUTED_VALUE"""),0.3664)</f>
        <v>0.3664</v>
      </c>
      <c r="M723" s="271">
        <f>IFERROR(__xludf.DUMMYFUNCTION("""COMPUTED_VALUE"""),1636.0)</f>
        <v>1636</v>
      </c>
      <c r="N723" s="286">
        <f>IFERROR(__xludf.DUMMYFUNCTION("""COMPUTED_VALUE"""),0.3652)</f>
        <v>0.3652</v>
      </c>
      <c r="O723" s="211">
        <f>IFERROR(__xludf.DUMMYFUNCTION("""COMPUTED_VALUE"""),102.0)</f>
        <v>102</v>
      </c>
      <c r="P723" s="211">
        <f>IFERROR(__xludf.DUMMYFUNCTION("""COMPUTED_VALUE"""),95.0)</f>
        <v>95</v>
      </c>
      <c r="Q723" s="286">
        <f>IFERROR(__xludf.DUMMYFUNCTION("""COMPUTED_VALUE"""),0.0212)</f>
        <v>0.0212</v>
      </c>
      <c r="R723" s="286">
        <f>IFERROR(__xludf.DUMMYFUNCTION("""COMPUTED_VALUE"""),0.0581)</f>
        <v>0.0581</v>
      </c>
      <c r="S723" s="211">
        <f>IFERROR(__xludf.DUMMYFUNCTION("""COMPUTED_VALUE"""),0.0)</f>
        <v>0</v>
      </c>
      <c r="T723" s="211">
        <f>IFERROR(__xludf.DUMMYFUNCTION("""COMPUTED_VALUE"""),0.0)</f>
        <v>0</v>
      </c>
      <c r="U723" s="271">
        <f>IFERROR(__xludf.DUMMYFUNCTION("""COMPUTED_VALUE"""),0.0)</f>
        <v>0</v>
      </c>
      <c r="V723" s="211" t="str">
        <f>IFERROR(__xludf.DUMMYFUNCTION("""COMPUTED_VALUE"""),"offline")</f>
        <v>offline</v>
      </c>
      <c r="W723" s="212" t="str">
        <f>IFERROR(__xludf.DUMMYFUNCTION("""COMPUTED_VALUE"""),"simple")</f>
        <v>simple</v>
      </c>
      <c r="X723" s="212" t="str">
        <f>IFERROR(__xludf.DUMMYFUNCTION("""COMPUTED_VALUE"""),"City Specific")</f>
        <v>City Specific</v>
      </c>
      <c r="Y723" s="212" t="str">
        <f>IFERROR(__xludf.DUMMYFUNCTION("""COMPUTED_VALUE"""),"23-25 May")</f>
        <v>23-25 May</v>
      </c>
      <c r="Z723" s="212" t="str">
        <f>IFERROR(__xludf.DUMMYFUNCTION("""COMPUTED_VALUE"""),"6a0eb967dc5408526b5f24e8")</f>
        <v>6a0eb967dc5408526b5f24e8</v>
      </c>
      <c r="AA723" s="287">
        <f>IFERROR(__xludf.DUMMYFUNCTION("""COMPUTED_VALUE"""),20.0)</f>
        <v>20</v>
      </c>
      <c r="AB723" s="287"/>
      <c r="AC723" s="287">
        <f>IFERROR(__xludf.DUMMYFUNCTION("""COMPUTED_VALUE"""),20.0)</f>
        <v>20</v>
      </c>
      <c r="AD723" s="287">
        <f>IFERROR(__xludf.DUMMYFUNCTION("""COMPUTED_VALUE"""),125342.0)</f>
        <v>125342</v>
      </c>
      <c r="AE723" s="287"/>
      <c r="AF723" s="287">
        <f>IFERROR(__xludf.DUMMYFUNCTION("""COMPUTED_VALUE"""),125342.0)</f>
        <v>125342</v>
      </c>
      <c r="AG723" s="208"/>
      <c r="AH723" s="208"/>
      <c r="AI723" s="208"/>
      <c r="AJ723" s="208"/>
      <c r="AK723" s="208"/>
    </row>
    <row r="724" hidden="1">
      <c r="A724" s="215">
        <f>IFERROR(__xludf.DUMMYFUNCTION("""COMPUTED_VALUE"""),46165.0)</f>
        <v>46165</v>
      </c>
      <c r="B724" s="210">
        <f>IFERROR(__xludf.DUMMYFUNCTION("""COMPUTED_VALUE"""),0.5)</f>
        <v>0.5</v>
      </c>
      <c r="C724" s="211" t="str">
        <f>IFERROR(__xludf.DUMMYFUNCTION("""COMPUTED_VALUE"""),"Whatsapp")</f>
        <v>Whatsapp</v>
      </c>
      <c r="D724" s="211" t="str">
        <f>IFERROR(__xludf.DUMMYFUNCTION("""COMPUTED_VALUE"""),"Promotional")</f>
        <v>Promotional</v>
      </c>
      <c r="E724" s="211" t="str">
        <f>IFERROR(__xludf.DUMMYFUNCTION("""COMPUTED_VALUE"""),"BBW")</f>
        <v>BBW</v>
      </c>
      <c r="F724" s="211" t="str">
        <f>IFERROR(__xludf.DUMMYFUNCTION("""COMPUTED_VALUE"""),"B2G2 - Entire Store")</f>
        <v>B2G2 - Entire Store</v>
      </c>
      <c r="G724" s="211" t="str">
        <f>IFERROR(__xludf.DUMMYFUNCTION("""COMPUTED_VALUE"""),"bbw_wa_b2g2_23may_lastreminder_del_offline")</f>
        <v>bbw_wa_b2g2_23may_lastreminder_del_offline</v>
      </c>
      <c r="H724" s="212" t="str">
        <f>IFERROR(__xludf.DUMMYFUNCTION("""COMPUTED_VALUE"""),"BBW_OFF_DEL_Dorm, BBW_OFF_DEL_Active")</f>
        <v>BBW_OFF_DEL_Dorm, BBW_OFF_DEL_Active</v>
      </c>
      <c r="I724" s="212" t="str">
        <f>IFERROR(__xludf.DUMMYFUNCTION("""COMPUTED_VALUE"""),"All Offline Customers who have purchased at least 1 time from Txn_City DEL in the last 365 days excluding TTR purchasers, All Offline Customers who have purchased at least 1 time from Txn_City DEL in the last 112 days (TTR)")</f>
        <v>All Offline Customers who have purchased at least 1 time from Txn_City DEL in the last 365 days excluding TTR purchasers, All Offline Customers who have purchased at least 1 time from Txn_City DEL in the last 112 days (TTR)</v>
      </c>
      <c r="J724" s="271">
        <f>IFERROR(__xludf.DUMMYFUNCTION("""COMPUTED_VALUE"""),46571.0)</f>
        <v>46571</v>
      </c>
      <c r="K724" s="271">
        <f>IFERROR(__xludf.DUMMYFUNCTION("""COMPUTED_VALUE"""),16973.0)</f>
        <v>16973</v>
      </c>
      <c r="L724" s="286">
        <f>IFERROR(__xludf.DUMMYFUNCTION("""COMPUTED_VALUE"""),0.3644)</f>
        <v>0.3644</v>
      </c>
      <c r="M724" s="271">
        <f>IFERROR(__xludf.DUMMYFUNCTION("""COMPUTED_VALUE"""),5315.0)</f>
        <v>5315</v>
      </c>
      <c r="N724" s="286">
        <f>IFERROR(__xludf.DUMMYFUNCTION("""COMPUTED_VALUE"""),0.3131)</f>
        <v>0.3131</v>
      </c>
      <c r="O724" s="211">
        <f>IFERROR(__xludf.DUMMYFUNCTION("""COMPUTED_VALUE"""),431.0)</f>
        <v>431</v>
      </c>
      <c r="P724" s="211">
        <f>IFERROR(__xludf.DUMMYFUNCTION("""COMPUTED_VALUE"""),407.0)</f>
        <v>407</v>
      </c>
      <c r="Q724" s="286">
        <f>IFERROR(__xludf.DUMMYFUNCTION("""COMPUTED_VALUE"""),0.024)</f>
        <v>0.024</v>
      </c>
      <c r="R724" s="286">
        <f>IFERROR(__xludf.DUMMYFUNCTION("""COMPUTED_VALUE"""),0.0766)</f>
        <v>0.0766</v>
      </c>
      <c r="S724" s="211">
        <f>IFERROR(__xludf.DUMMYFUNCTION("""COMPUTED_VALUE"""),0.0)</f>
        <v>0</v>
      </c>
      <c r="T724" s="211">
        <f>IFERROR(__xludf.DUMMYFUNCTION("""COMPUTED_VALUE"""),0.0)</f>
        <v>0</v>
      </c>
      <c r="U724" s="271">
        <f>IFERROR(__xludf.DUMMYFUNCTION("""COMPUTED_VALUE"""),0.0)</f>
        <v>0</v>
      </c>
      <c r="V724" s="211" t="str">
        <f>IFERROR(__xludf.DUMMYFUNCTION("""COMPUTED_VALUE"""),"offline")</f>
        <v>offline</v>
      </c>
      <c r="W724" s="212" t="str">
        <f>IFERROR(__xludf.DUMMYFUNCTION("""COMPUTED_VALUE"""),"simple")</f>
        <v>simple</v>
      </c>
      <c r="X724" s="212" t="str">
        <f>IFERROR(__xludf.DUMMYFUNCTION("""COMPUTED_VALUE"""),"City Specific")</f>
        <v>City Specific</v>
      </c>
      <c r="Y724" s="212" t="str">
        <f>IFERROR(__xludf.DUMMYFUNCTION("""COMPUTED_VALUE"""),"23-25 May")</f>
        <v>23-25 May</v>
      </c>
      <c r="Z724" s="212" t="str">
        <f>IFERROR(__xludf.DUMMYFUNCTION("""COMPUTED_VALUE"""),"6a0eba3686965efbb600ed3c")</f>
        <v>6a0eba3686965efbb600ed3c</v>
      </c>
      <c r="AA724" s="287">
        <f>IFERROR(__xludf.DUMMYFUNCTION("""COMPUTED_VALUE"""),81.0)</f>
        <v>81</v>
      </c>
      <c r="AB724" s="287"/>
      <c r="AC724" s="287">
        <f>IFERROR(__xludf.DUMMYFUNCTION("""COMPUTED_VALUE"""),81.0)</f>
        <v>81</v>
      </c>
      <c r="AD724" s="287">
        <f>IFERROR(__xludf.DUMMYFUNCTION("""COMPUTED_VALUE"""),450396.0)</f>
        <v>450396</v>
      </c>
      <c r="AE724" s="287"/>
      <c r="AF724" s="287">
        <f>IFERROR(__xludf.DUMMYFUNCTION("""COMPUTED_VALUE"""),450396.0)</f>
        <v>450396</v>
      </c>
      <c r="AG724" s="208"/>
      <c r="AH724" s="208"/>
      <c r="AI724" s="208"/>
      <c r="AJ724" s="208"/>
      <c r="AK724" s="208"/>
    </row>
    <row r="725" hidden="1">
      <c r="A725" s="215">
        <f>IFERROR(__xludf.DUMMYFUNCTION("""COMPUTED_VALUE"""),46165.0)</f>
        <v>46165</v>
      </c>
      <c r="B725" s="210">
        <f>IFERROR(__xludf.DUMMYFUNCTION("""COMPUTED_VALUE"""),0.5)</f>
        <v>0.5</v>
      </c>
      <c r="C725" s="211" t="str">
        <f>IFERROR(__xludf.DUMMYFUNCTION("""COMPUTED_VALUE"""),"Whatsapp")</f>
        <v>Whatsapp</v>
      </c>
      <c r="D725" s="211" t="str">
        <f>IFERROR(__xludf.DUMMYFUNCTION("""COMPUTED_VALUE"""),"Promotional")</f>
        <v>Promotional</v>
      </c>
      <c r="E725" s="211" t="str">
        <f>IFERROR(__xludf.DUMMYFUNCTION("""COMPUTED_VALUE"""),"BBW")</f>
        <v>BBW</v>
      </c>
      <c r="F725" s="211" t="str">
        <f>IFERROR(__xludf.DUMMYFUNCTION("""COMPUTED_VALUE"""),"B2G2 - Entire Store")</f>
        <v>B2G2 - Entire Store</v>
      </c>
      <c r="G725" s="211" t="str">
        <f>IFERROR(__xludf.DUMMYFUNCTION("""COMPUTED_VALUE"""),"bbw_wa_b2g2_23may_lastreminder_hyd_offline")</f>
        <v>bbw_wa_b2g2_23may_lastreminder_hyd_offline</v>
      </c>
      <c r="H725" s="212" t="str">
        <f>IFERROR(__xludf.DUMMYFUNCTION("""COMPUTED_VALUE"""),"BBW_OFF_HYD_Active, BBW_OFF_HYD_Dorm")</f>
        <v>BBW_OFF_HYD_Active, BBW_OFF_HYD_Dorm</v>
      </c>
      <c r="I725" s="212" t="str">
        <f>IFERROR(__xludf.DUMMYFUNCTION("""COMPUTED_VALUE"""),"All Offline Customers who have purchased at least 1 time from Txn_City HYD in the last 112 days (TTR), All Offline Customers who have purchased at least 1 time from Txn_City HYD in the last 365 days excluding TTR purchasers")</f>
        <v>All Offline Customers who have purchased at least 1 time from Txn_City HYD in the last 112 days (TTR), All Offline Customers who have purchased at least 1 time from Txn_City HYD in the last 365 days excluding TTR purchasers</v>
      </c>
      <c r="J725" s="271">
        <f>IFERROR(__xludf.DUMMYFUNCTION("""COMPUTED_VALUE"""),27099.0)</f>
        <v>27099</v>
      </c>
      <c r="K725" s="271">
        <f>IFERROR(__xludf.DUMMYFUNCTION("""COMPUTED_VALUE"""),10117.0)</f>
        <v>10117</v>
      </c>
      <c r="L725" s="286">
        <f>IFERROR(__xludf.DUMMYFUNCTION("""COMPUTED_VALUE"""),0.3733)</f>
        <v>0.3733</v>
      </c>
      <c r="M725" s="271">
        <f>IFERROR(__xludf.DUMMYFUNCTION("""COMPUTED_VALUE"""),3723.0)</f>
        <v>3723</v>
      </c>
      <c r="N725" s="286">
        <f>IFERROR(__xludf.DUMMYFUNCTION("""COMPUTED_VALUE"""),0.3679)</f>
        <v>0.3679</v>
      </c>
      <c r="O725" s="211">
        <f>IFERROR(__xludf.DUMMYFUNCTION("""COMPUTED_VALUE"""),247.0)</f>
        <v>247</v>
      </c>
      <c r="P725" s="211">
        <f>IFERROR(__xludf.DUMMYFUNCTION("""COMPUTED_VALUE"""),231.0)</f>
        <v>231</v>
      </c>
      <c r="Q725" s="286">
        <f>IFERROR(__xludf.DUMMYFUNCTION("""COMPUTED_VALUE"""),0.0228)</f>
        <v>0.0228</v>
      </c>
      <c r="R725" s="286">
        <f>IFERROR(__xludf.DUMMYFUNCTION("""COMPUTED_VALUE"""),0.0621)</f>
        <v>0.0621</v>
      </c>
      <c r="S725" s="211">
        <f>IFERROR(__xludf.DUMMYFUNCTION("""COMPUTED_VALUE"""),0.0)</f>
        <v>0</v>
      </c>
      <c r="T725" s="211">
        <f>IFERROR(__xludf.DUMMYFUNCTION("""COMPUTED_VALUE"""),0.0)</f>
        <v>0</v>
      </c>
      <c r="U725" s="271">
        <f>IFERROR(__xludf.DUMMYFUNCTION("""COMPUTED_VALUE"""),0.0)</f>
        <v>0</v>
      </c>
      <c r="V725" s="211" t="str">
        <f>IFERROR(__xludf.DUMMYFUNCTION("""COMPUTED_VALUE"""),"offline")</f>
        <v>offline</v>
      </c>
      <c r="W725" s="212" t="str">
        <f>IFERROR(__xludf.DUMMYFUNCTION("""COMPUTED_VALUE"""),"simple")</f>
        <v>simple</v>
      </c>
      <c r="X725" s="212" t="str">
        <f>IFERROR(__xludf.DUMMYFUNCTION("""COMPUTED_VALUE"""),"City Specific")</f>
        <v>City Specific</v>
      </c>
      <c r="Y725" s="212" t="str">
        <f>IFERROR(__xludf.DUMMYFUNCTION("""COMPUTED_VALUE"""),"23-25 May")</f>
        <v>23-25 May</v>
      </c>
      <c r="Z725" s="212" t="str">
        <f>IFERROR(__xludf.DUMMYFUNCTION("""COMPUTED_VALUE"""),"6a0ebb6bf5b9b118b161bfee")</f>
        <v>6a0ebb6bf5b9b118b161bfee</v>
      </c>
      <c r="AA725" s="287">
        <f>IFERROR(__xludf.DUMMYFUNCTION("""COMPUTED_VALUE"""),27.0)</f>
        <v>27</v>
      </c>
      <c r="AB725" s="287"/>
      <c r="AC725" s="287">
        <f>IFERROR(__xludf.DUMMYFUNCTION("""COMPUTED_VALUE"""),27.0)</f>
        <v>27</v>
      </c>
      <c r="AD725" s="287">
        <f>IFERROR(__xludf.DUMMYFUNCTION("""COMPUTED_VALUE"""),137330.0)</f>
        <v>137330</v>
      </c>
      <c r="AE725" s="287"/>
      <c r="AF725" s="287">
        <f>IFERROR(__xludf.DUMMYFUNCTION("""COMPUTED_VALUE"""),137330.0)</f>
        <v>137330</v>
      </c>
      <c r="AG725" s="208"/>
      <c r="AH725" s="208"/>
      <c r="AI725" s="208"/>
      <c r="AJ725" s="208"/>
      <c r="AK725" s="208"/>
    </row>
    <row r="726" hidden="1">
      <c r="A726" s="215">
        <f>IFERROR(__xludf.DUMMYFUNCTION("""COMPUTED_VALUE"""),46165.0)</f>
        <v>46165</v>
      </c>
      <c r="B726" s="210">
        <f>IFERROR(__xludf.DUMMYFUNCTION("""COMPUTED_VALUE"""),0.5)</f>
        <v>0.5</v>
      </c>
      <c r="C726" s="211" t="str">
        <f>IFERROR(__xludf.DUMMYFUNCTION("""COMPUTED_VALUE"""),"Whatsapp")</f>
        <v>Whatsapp</v>
      </c>
      <c r="D726" s="211" t="str">
        <f>IFERROR(__xludf.DUMMYFUNCTION("""COMPUTED_VALUE"""),"Promotional")</f>
        <v>Promotional</v>
      </c>
      <c r="E726" s="211" t="str">
        <f>IFERROR(__xludf.DUMMYFUNCTION("""COMPUTED_VALUE"""),"BBW")</f>
        <v>BBW</v>
      </c>
      <c r="F726" s="211" t="str">
        <f>IFERROR(__xludf.DUMMYFUNCTION("""COMPUTED_VALUE"""),"B2G2 - Entire Store")</f>
        <v>B2G2 - Entire Store</v>
      </c>
      <c r="G726" s="211" t="str">
        <f>IFERROR(__xludf.DUMMYFUNCTION("""COMPUTED_VALUE"""),"bbw_wa_b2g2_23may_lastreminder_chenn_offline")</f>
        <v>bbw_wa_b2g2_23may_lastreminder_chenn_offline</v>
      </c>
      <c r="H726" s="212" t="str">
        <f>IFERROR(__xludf.DUMMYFUNCTION("""COMPUTED_VALUE"""),"BBW_OFF_Chennai_Dorm, BBW_OFF_Chennai_Active")</f>
        <v>BBW_OFF_Chennai_Dorm, BBW_OFF_Chennai_Active</v>
      </c>
      <c r="I726" s="212" t="str">
        <f>IFERROR(__xludf.DUMMYFUNCTION("""COMPUTED_VALUE"""),"All Offline Customers who have purchased at least 1 time from Txn_City CHENNAI in the last 365 days excluding TTR purchasers, All Offline Customers who have purchased at least 1 time from Txn_City CHENNAI in the last 112 days (TTR)")</f>
        <v>All Offline Customers who have purchased at least 1 time from Txn_City CHENNAI in the last 365 days excluding TTR purchasers, All Offline Customers who have purchased at least 1 time from Txn_City CHENNAI in the last 112 days (TTR)</v>
      </c>
      <c r="J726" s="271">
        <f>IFERROR(__xludf.DUMMYFUNCTION("""COMPUTED_VALUE"""),20133.0)</f>
        <v>20133</v>
      </c>
      <c r="K726" s="271">
        <f>IFERROR(__xludf.DUMMYFUNCTION("""COMPUTED_VALUE"""),7679.0)</f>
        <v>7679</v>
      </c>
      <c r="L726" s="286">
        <f>IFERROR(__xludf.DUMMYFUNCTION("""COMPUTED_VALUE"""),0.3814)</f>
        <v>0.3814</v>
      </c>
      <c r="M726" s="271">
        <f>IFERROR(__xludf.DUMMYFUNCTION("""COMPUTED_VALUE"""),2802.0)</f>
        <v>2802</v>
      </c>
      <c r="N726" s="286">
        <f>IFERROR(__xludf.DUMMYFUNCTION("""COMPUTED_VALUE"""),0.3649)</f>
        <v>0.3649</v>
      </c>
      <c r="O726" s="211">
        <f>IFERROR(__xludf.DUMMYFUNCTION("""COMPUTED_VALUE"""),173.0)</f>
        <v>173</v>
      </c>
      <c r="P726" s="211">
        <f>IFERROR(__xludf.DUMMYFUNCTION("""COMPUTED_VALUE"""),168.0)</f>
        <v>168</v>
      </c>
      <c r="Q726" s="286">
        <f>IFERROR(__xludf.DUMMYFUNCTION("""COMPUTED_VALUE"""),0.0219)</f>
        <v>0.0219</v>
      </c>
      <c r="R726" s="286">
        <f>IFERROR(__xludf.DUMMYFUNCTION("""COMPUTED_VALUE"""),0.06)</f>
        <v>0.06</v>
      </c>
      <c r="S726" s="211">
        <f>IFERROR(__xludf.DUMMYFUNCTION("""COMPUTED_VALUE"""),0.0)</f>
        <v>0</v>
      </c>
      <c r="T726" s="211">
        <f>IFERROR(__xludf.DUMMYFUNCTION("""COMPUTED_VALUE"""),0.0)</f>
        <v>0</v>
      </c>
      <c r="U726" s="271">
        <f>IFERROR(__xludf.DUMMYFUNCTION("""COMPUTED_VALUE"""),0.0)</f>
        <v>0</v>
      </c>
      <c r="V726" s="211" t="str">
        <f>IFERROR(__xludf.DUMMYFUNCTION("""COMPUTED_VALUE"""),"offline")</f>
        <v>offline</v>
      </c>
      <c r="W726" s="212" t="str">
        <f>IFERROR(__xludf.DUMMYFUNCTION("""COMPUTED_VALUE"""),"simple")</f>
        <v>simple</v>
      </c>
      <c r="X726" s="212" t="str">
        <f>IFERROR(__xludf.DUMMYFUNCTION("""COMPUTED_VALUE"""),"City Specific")</f>
        <v>City Specific</v>
      </c>
      <c r="Y726" s="212" t="str">
        <f>IFERROR(__xludf.DUMMYFUNCTION("""COMPUTED_VALUE"""),"23-25 May")</f>
        <v>23-25 May</v>
      </c>
      <c r="Z726" s="212" t="str">
        <f>IFERROR(__xludf.DUMMYFUNCTION("""COMPUTED_VALUE"""),"6a0ebbdb9288015216795e14")</f>
        <v>6a0ebbdb9288015216795e14</v>
      </c>
      <c r="AA726" s="287">
        <f>IFERROR(__xludf.DUMMYFUNCTION("""COMPUTED_VALUE"""),43.0)</f>
        <v>43</v>
      </c>
      <c r="AB726" s="287"/>
      <c r="AC726" s="287">
        <f>IFERROR(__xludf.DUMMYFUNCTION("""COMPUTED_VALUE"""),43.0)</f>
        <v>43</v>
      </c>
      <c r="AD726" s="287">
        <f>IFERROR(__xludf.DUMMYFUNCTION("""COMPUTED_VALUE"""),246621.0)</f>
        <v>246621</v>
      </c>
      <c r="AE726" s="287"/>
      <c r="AF726" s="287">
        <f>IFERROR(__xludf.DUMMYFUNCTION("""COMPUTED_VALUE"""),246621.0)</f>
        <v>246621</v>
      </c>
      <c r="AG726" s="208"/>
      <c r="AH726" s="208"/>
      <c r="AI726" s="208"/>
      <c r="AJ726" s="208"/>
      <c r="AK726" s="208"/>
    </row>
    <row r="727" hidden="1">
      <c r="A727" s="215">
        <f>IFERROR(__xludf.DUMMYFUNCTION("""COMPUTED_VALUE"""),46165.0)</f>
        <v>46165</v>
      </c>
      <c r="B727" s="210">
        <f>IFERROR(__xludf.DUMMYFUNCTION("""COMPUTED_VALUE"""),0.5)</f>
        <v>0.5</v>
      </c>
      <c r="C727" s="211" t="str">
        <f>IFERROR(__xludf.DUMMYFUNCTION("""COMPUTED_VALUE"""),"Whatsapp")</f>
        <v>Whatsapp</v>
      </c>
      <c r="D727" s="211" t="str">
        <f>IFERROR(__xludf.DUMMYFUNCTION("""COMPUTED_VALUE"""),"Promotional")</f>
        <v>Promotional</v>
      </c>
      <c r="E727" s="211" t="str">
        <f>IFERROR(__xludf.DUMMYFUNCTION("""COMPUTED_VALUE"""),"BBW")</f>
        <v>BBW</v>
      </c>
      <c r="F727" s="211" t="str">
        <f>IFERROR(__xludf.DUMMYFUNCTION("""COMPUTED_VALUE"""),"B2G2 - Entire Store")</f>
        <v>B2G2 - Entire Store</v>
      </c>
      <c r="G727" s="211" t="str">
        <f>IFERROR(__xludf.DUMMYFUNCTION("""COMPUTED_VALUE"""),"bbw_wa_b2g2_23may_lastreminder_chd_offline")</f>
        <v>bbw_wa_b2g2_23may_lastreminder_chd_offline</v>
      </c>
      <c r="H727" s="212" t="str">
        <f>IFERROR(__xludf.DUMMYFUNCTION("""COMPUTED_VALUE"""),"BBW_OFF_CHD_Active, BBW_OFF_CHD_Dorm")</f>
        <v>BBW_OFF_CHD_Active, BBW_OFF_CHD_Dorm</v>
      </c>
      <c r="I727" s="212" t="str">
        <f>IFERROR(__xludf.DUMMYFUNCTION("""COMPUTED_VALUE"""),"All Offline Customers who have purchased at least 1 time from Txn_City CHD in the last 112 days (TTR), All Offline Customers who have purchased at least 1 time from Txn_City CHD in the last 365 days excluding TTR purchasers")</f>
        <v>All Offline Customers who have purchased at least 1 time from Txn_City CHD in the last 112 days (TTR), All Offline Customers who have purchased at least 1 time from Txn_City CHD in the last 365 days excluding TTR purchasers</v>
      </c>
      <c r="J727" s="271">
        <f>IFERROR(__xludf.DUMMYFUNCTION("""COMPUTED_VALUE"""),22799.0)</f>
        <v>22799</v>
      </c>
      <c r="K727" s="271">
        <f>IFERROR(__xludf.DUMMYFUNCTION("""COMPUTED_VALUE"""),8558.0)</f>
        <v>8558</v>
      </c>
      <c r="L727" s="286">
        <f>IFERROR(__xludf.DUMMYFUNCTION("""COMPUTED_VALUE"""),0.3754)</f>
        <v>0.3754</v>
      </c>
      <c r="M727" s="271">
        <f>IFERROR(__xludf.DUMMYFUNCTION("""COMPUTED_VALUE"""),3163.0)</f>
        <v>3163</v>
      </c>
      <c r="N727" s="286">
        <f>IFERROR(__xludf.DUMMYFUNCTION("""COMPUTED_VALUE"""),0.3694)</f>
        <v>0.3694</v>
      </c>
      <c r="O727" s="211">
        <f>IFERROR(__xludf.DUMMYFUNCTION("""COMPUTED_VALUE"""),227.0)</f>
        <v>227</v>
      </c>
      <c r="P727" s="211">
        <f>IFERROR(__xludf.DUMMYFUNCTION("""COMPUTED_VALUE"""),220.0)</f>
        <v>220</v>
      </c>
      <c r="Q727" s="286">
        <f>IFERROR(__xludf.DUMMYFUNCTION("""COMPUTED_VALUE"""),0.0257)</f>
        <v>0.0257</v>
      </c>
      <c r="R727" s="286">
        <f>IFERROR(__xludf.DUMMYFUNCTION("""COMPUTED_VALUE"""),0.0696)</f>
        <v>0.0696</v>
      </c>
      <c r="S727" s="211">
        <f>IFERROR(__xludf.DUMMYFUNCTION("""COMPUTED_VALUE"""),0.0)</f>
        <v>0</v>
      </c>
      <c r="T727" s="211">
        <f>IFERROR(__xludf.DUMMYFUNCTION("""COMPUTED_VALUE"""),0.0)</f>
        <v>0</v>
      </c>
      <c r="U727" s="271">
        <f>IFERROR(__xludf.DUMMYFUNCTION("""COMPUTED_VALUE"""),0.0)</f>
        <v>0</v>
      </c>
      <c r="V727" s="211" t="str">
        <f>IFERROR(__xludf.DUMMYFUNCTION("""COMPUTED_VALUE"""),"offline")</f>
        <v>offline</v>
      </c>
      <c r="W727" s="212" t="str">
        <f>IFERROR(__xludf.DUMMYFUNCTION("""COMPUTED_VALUE"""),"simple")</f>
        <v>simple</v>
      </c>
      <c r="X727" s="212" t="str">
        <f>IFERROR(__xludf.DUMMYFUNCTION("""COMPUTED_VALUE"""),"City Specific")</f>
        <v>City Specific</v>
      </c>
      <c r="Y727" s="212" t="str">
        <f>IFERROR(__xludf.DUMMYFUNCTION("""COMPUTED_VALUE"""),"23-25 May")</f>
        <v>23-25 May</v>
      </c>
      <c r="Z727" s="212" t="str">
        <f>IFERROR(__xludf.DUMMYFUNCTION("""COMPUTED_VALUE"""),"6a0ebc1bea246a2bbd83d227")</f>
        <v>6a0ebc1bea246a2bbd83d227</v>
      </c>
      <c r="AA727" s="287">
        <f>IFERROR(__xludf.DUMMYFUNCTION("""COMPUTED_VALUE"""),28.0)</f>
        <v>28</v>
      </c>
      <c r="AB727" s="287"/>
      <c r="AC727" s="287">
        <f>IFERROR(__xludf.DUMMYFUNCTION("""COMPUTED_VALUE"""),28.0)</f>
        <v>28</v>
      </c>
      <c r="AD727" s="287">
        <f>IFERROR(__xludf.DUMMYFUNCTION("""COMPUTED_VALUE"""),126137.0)</f>
        <v>126137</v>
      </c>
      <c r="AE727" s="287"/>
      <c r="AF727" s="287">
        <f>IFERROR(__xludf.DUMMYFUNCTION("""COMPUTED_VALUE"""),126137.0)</f>
        <v>126137</v>
      </c>
      <c r="AG727" s="208"/>
      <c r="AH727" s="208"/>
      <c r="AI727" s="208"/>
      <c r="AJ727" s="208"/>
      <c r="AK727" s="208"/>
    </row>
    <row r="728" hidden="1">
      <c r="A728" s="215">
        <f>IFERROR(__xludf.DUMMYFUNCTION("""COMPUTED_VALUE"""),46165.0)</f>
        <v>46165</v>
      </c>
      <c r="B728" s="210">
        <f>IFERROR(__xludf.DUMMYFUNCTION("""COMPUTED_VALUE"""),0.5)</f>
        <v>0.5</v>
      </c>
      <c r="C728" s="211" t="str">
        <f>IFERROR(__xludf.DUMMYFUNCTION("""COMPUTED_VALUE"""),"Whatsapp")</f>
        <v>Whatsapp</v>
      </c>
      <c r="D728" s="211" t="str">
        <f>IFERROR(__xludf.DUMMYFUNCTION("""COMPUTED_VALUE"""),"Promotional")</f>
        <v>Promotional</v>
      </c>
      <c r="E728" s="211" t="str">
        <f>IFERROR(__xludf.DUMMYFUNCTION("""COMPUTED_VALUE"""),"BBW")</f>
        <v>BBW</v>
      </c>
      <c r="F728" s="211" t="str">
        <f>IFERROR(__xludf.DUMMYFUNCTION("""COMPUTED_VALUE"""),"B2G2 - Entire Store")</f>
        <v>B2G2 - Entire Store</v>
      </c>
      <c r="G728" s="211" t="str">
        <f>IFERROR(__xludf.DUMMYFUNCTION("""COMPUTED_VALUE"""),"bbw_wa_b2g2_23may_lastreminder_ggn_offline")</f>
        <v>bbw_wa_b2g2_23may_lastreminder_ggn_offline</v>
      </c>
      <c r="H728" s="212" t="str">
        <f>IFERROR(__xludf.DUMMYFUNCTION("""COMPUTED_VALUE"""),"BBW_OFF_GGN_Active, BBW_OFF_GGN_Dorm")</f>
        <v>BBW_OFF_GGN_Active, BBW_OFF_GGN_Dorm</v>
      </c>
      <c r="I728" s="212" t="str">
        <f>IFERROR(__xludf.DUMMYFUNCTION("""COMPUTED_VALUE"""),"All Offline Customers who have purchased at least 1 time from Txn_City GGN in the last 112 days (TTR), All Offline Customers who have purchased at least 1 time from Txn_City GGN in the last 365 days excluding TTR purchasers")</f>
        <v>All Offline Customers who have purchased at least 1 time from Txn_City GGN in the last 112 days (TTR), All Offline Customers who have purchased at least 1 time from Txn_City GGN in the last 365 days excluding TTR purchasers</v>
      </c>
      <c r="J728" s="271">
        <f>IFERROR(__xludf.DUMMYFUNCTION("""COMPUTED_VALUE"""),18744.0)</f>
        <v>18744</v>
      </c>
      <c r="K728" s="271">
        <f>IFERROR(__xludf.DUMMYFUNCTION("""COMPUTED_VALUE"""),6169.0)</f>
        <v>6169</v>
      </c>
      <c r="L728" s="286">
        <f>IFERROR(__xludf.DUMMYFUNCTION("""COMPUTED_VALUE"""),0.3291)</f>
        <v>0.3291</v>
      </c>
      <c r="M728" s="271">
        <f>IFERROR(__xludf.DUMMYFUNCTION("""COMPUTED_VALUE"""),1914.0)</f>
        <v>1914</v>
      </c>
      <c r="N728" s="286">
        <f>IFERROR(__xludf.DUMMYFUNCTION("""COMPUTED_VALUE"""),0.3103)</f>
        <v>0.3103</v>
      </c>
      <c r="O728" s="211">
        <f>IFERROR(__xludf.DUMMYFUNCTION("""COMPUTED_VALUE"""),160.0)</f>
        <v>160</v>
      </c>
      <c r="P728" s="211">
        <f>IFERROR(__xludf.DUMMYFUNCTION("""COMPUTED_VALUE"""),153.0)</f>
        <v>153</v>
      </c>
      <c r="Q728" s="286">
        <f>IFERROR(__xludf.DUMMYFUNCTION("""COMPUTED_VALUE"""),0.0248)</f>
        <v>0.0248</v>
      </c>
      <c r="R728" s="286">
        <f>IFERROR(__xludf.DUMMYFUNCTION("""COMPUTED_VALUE"""),0.0799)</f>
        <v>0.0799</v>
      </c>
      <c r="S728" s="211">
        <f>IFERROR(__xludf.DUMMYFUNCTION("""COMPUTED_VALUE"""),0.0)</f>
        <v>0</v>
      </c>
      <c r="T728" s="211">
        <f>IFERROR(__xludf.DUMMYFUNCTION("""COMPUTED_VALUE"""),0.0)</f>
        <v>0</v>
      </c>
      <c r="U728" s="271">
        <f>IFERROR(__xludf.DUMMYFUNCTION("""COMPUTED_VALUE"""),0.0)</f>
        <v>0</v>
      </c>
      <c r="V728" s="211" t="str">
        <f>IFERROR(__xludf.DUMMYFUNCTION("""COMPUTED_VALUE"""),"offline")</f>
        <v>offline</v>
      </c>
      <c r="W728" s="212" t="str">
        <f>IFERROR(__xludf.DUMMYFUNCTION("""COMPUTED_VALUE"""),"simple")</f>
        <v>simple</v>
      </c>
      <c r="X728" s="212" t="str">
        <f>IFERROR(__xludf.DUMMYFUNCTION("""COMPUTED_VALUE"""),"City Specific")</f>
        <v>City Specific</v>
      </c>
      <c r="Y728" s="212" t="str">
        <f>IFERROR(__xludf.DUMMYFUNCTION("""COMPUTED_VALUE"""),"23-25 May")</f>
        <v>23-25 May</v>
      </c>
      <c r="Z728" s="212" t="str">
        <f>IFERROR(__xludf.DUMMYFUNCTION("""COMPUTED_VALUE"""),"6a0ebc5174e78fb8cdb2bc02")</f>
        <v>6a0ebc5174e78fb8cdb2bc02</v>
      </c>
      <c r="AA728" s="287">
        <f>IFERROR(__xludf.DUMMYFUNCTION("""COMPUTED_VALUE"""),41.0)</f>
        <v>41</v>
      </c>
      <c r="AB728" s="287"/>
      <c r="AC728" s="287">
        <f>IFERROR(__xludf.DUMMYFUNCTION("""COMPUTED_VALUE"""),41.0)</f>
        <v>41</v>
      </c>
      <c r="AD728" s="287">
        <f>IFERROR(__xludf.DUMMYFUNCTION("""COMPUTED_VALUE"""),242229.0)</f>
        <v>242229</v>
      </c>
      <c r="AE728" s="287"/>
      <c r="AF728" s="287">
        <f>IFERROR(__xludf.DUMMYFUNCTION("""COMPUTED_VALUE"""),242229.0)</f>
        <v>242229</v>
      </c>
      <c r="AG728" s="208"/>
      <c r="AH728" s="208"/>
      <c r="AI728" s="208"/>
      <c r="AJ728" s="208"/>
      <c r="AK728" s="208"/>
    </row>
    <row r="729" hidden="1">
      <c r="A729" s="215">
        <f>IFERROR(__xludf.DUMMYFUNCTION("""COMPUTED_VALUE"""),46165.0)</f>
        <v>46165</v>
      </c>
      <c r="B729" s="210">
        <f>IFERROR(__xludf.DUMMYFUNCTION("""COMPUTED_VALUE"""),0.5)</f>
        <v>0.5</v>
      </c>
      <c r="C729" s="211" t="str">
        <f>IFERROR(__xludf.DUMMYFUNCTION("""COMPUTED_VALUE"""),"Whatsapp")</f>
        <v>Whatsapp</v>
      </c>
      <c r="D729" s="211" t="str">
        <f>IFERROR(__xludf.DUMMYFUNCTION("""COMPUTED_VALUE"""),"Promotional")</f>
        <v>Promotional</v>
      </c>
      <c r="E729" s="211" t="str">
        <f>IFERROR(__xludf.DUMMYFUNCTION("""COMPUTED_VALUE"""),"BBW")</f>
        <v>BBW</v>
      </c>
      <c r="F729" s="211" t="str">
        <f>IFERROR(__xludf.DUMMYFUNCTION("""COMPUTED_VALUE"""),"B2G2 - Entire Store")</f>
        <v>B2G2 - Entire Store</v>
      </c>
      <c r="G729" s="211" t="str">
        <f>IFERROR(__xludf.DUMMYFUNCTION("""COMPUTED_VALUE"""),"bbw_wa_b2g2_23may_lastreminder_noida_offline")</f>
        <v>bbw_wa_b2g2_23may_lastreminder_noida_offline</v>
      </c>
      <c r="H729" s="212" t="str">
        <f>IFERROR(__xludf.DUMMYFUNCTION("""COMPUTED_VALUE"""),"BBW_OFF_NOIDA_Active, BBW_OFF_NOIDA_Dorm")</f>
        <v>BBW_OFF_NOIDA_Active, BBW_OFF_NOIDA_Dorm</v>
      </c>
      <c r="I729" s="212" t="str">
        <f>IFERROR(__xludf.DUMMYFUNCTION("""COMPUTED_VALUE"""),"All Offline Customers who have purchased at least 1 time from Txn_City NOIDA in the last 112 days (TTR), All Offline Customers who have purchased at least 1 time from Txn_City NOIDA in the last 365 days excluding TTR purchasers")</f>
        <v>All Offline Customers who have purchased at least 1 time from Txn_City NOIDA in the last 112 days (TTR), All Offline Customers who have purchased at least 1 time from Txn_City NOIDA in the last 365 days excluding TTR purchasers</v>
      </c>
      <c r="J729" s="271">
        <f>IFERROR(__xludf.DUMMYFUNCTION("""COMPUTED_VALUE"""),21566.0)</f>
        <v>21566</v>
      </c>
      <c r="K729" s="271">
        <f>IFERROR(__xludf.DUMMYFUNCTION("""COMPUTED_VALUE"""),8058.0)</f>
        <v>8058</v>
      </c>
      <c r="L729" s="286">
        <f>IFERROR(__xludf.DUMMYFUNCTION("""COMPUTED_VALUE"""),0.3736)</f>
        <v>0.3736</v>
      </c>
      <c r="M729" s="271">
        <f>IFERROR(__xludf.DUMMYFUNCTION("""COMPUTED_VALUE"""),2430.0)</f>
        <v>2430</v>
      </c>
      <c r="N729" s="286">
        <f>IFERROR(__xludf.DUMMYFUNCTION("""COMPUTED_VALUE"""),0.3016)</f>
        <v>0.3016</v>
      </c>
      <c r="O729" s="211">
        <f>IFERROR(__xludf.DUMMYFUNCTION("""COMPUTED_VALUE"""),214.0)</f>
        <v>214</v>
      </c>
      <c r="P729" s="211">
        <f>IFERROR(__xludf.DUMMYFUNCTION("""COMPUTED_VALUE"""),204.0)</f>
        <v>204</v>
      </c>
      <c r="Q729" s="286">
        <f>IFERROR(__xludf.DUMMYFUNCTION("""COMPUTED_VALUE"""),0.0253)</f>
        <v>0.0253</v>
      </c>
      <c r="R729" s="286">
        <f>IFERROR(__xludf.DUMMYFUNCTION("""COMPUTED_VALUE"""),0.084)</f>
        <v>0.084</v>
      </c>
      <c r="S729" s="211">
        <f>IFERROR(__xludf.DUMMYFUNCTION("""COMPUTED_VALUE"""),0.0)</f>
        <v>0</v>
      </c>
      <c r="T729" s="211">
        <f>IFERROR(__xludf.DUMMYFUNCTION("""COMPUTED_VALUE"""),0.0)</f>
        <v>0</v>
      </c>
      <c r="U729" s="271">
        <f>IFERROR(__xludf.DUMMYFUNCTION("""COMPUTED_VALUE"""),0.0)</f>
        <v>0</v>
      </c>
      <c r="V729" s="211" t="str">
        <f>IFERROR(__xludf.DUMMYFUNCTION("""COMPUTED_VALUE"""),"offline")</f>
        <v>offline</v>
      </c>
      <c r="W729" s="212" t="str">
        <f>IFERROR(__xludf.DUMMYFUNCTION("""COMPUTED_VALUE"""),"simple")</f>
        <v>simple</v>
      </c>
      <c r="X729" s="212" t="str">
        <f>IFERROR(__xludf.DUMMYFUNCTION("""COMPUTED_VALUE"""),"City Specific")</f>
        <v>City Specific</v>
      </c>
      <c r="Y729" s="212" t="str">
        <f>IFERROR(__xludf.DUMMYFUNCTION("""COMPUTED_VALUE"""),"23-25 May")</f>
        <v>23-25 May</v>
      </c>
      <c r="Z729" s="212" t="str">
        <f>IFERROR(__xludf.DUMMYFUNCTION("""COMPUTED_VALUE"""),"6a0ebc925fd1fe67514fa695")</f>
        <v>6a0ebc925fd1fe67514fa695</v>
      </c>
      <c r="AA729" s="287">
        <f>IFERROR(__xludf.DUMMYFUNCTION("""COMPUTED_VALUE"""),48.0)</f>
        <v>48</v>
      </c>
      <c r="AB729" s="287"/>
      <c r="AC729" s="287">
        <f>IFERROR(__xludf.DUMMYFUNCTION("""COMPUTED_VALUE"""),48.0)</f>
        <v>48</v>
      </c>
      <c r="AD729" s="287">
        <f>IFERROR(__xludf.DUMMYFUNCTION("""COMPUTED_VALUE"""),238182.0)</f>
        <v>238182</v>
      </c>
      <c r="AE729" s="287"/>
      <c r="AF729" s="287">
        <f>IFERROR(__xludf.DUMMYFUNCTION("""COMPUTED_VALUE"""),238182.0)</f>
        <v>238182</v>
      </c>
      <c r="AG729" s="208"/>
      <c r="AH729" s="208"/>
      <c r="AI729" s="208"/>
      <c r="AJ729" s="208"/>
      <c r="AK729" s="208"/>
    </row>
    <row r="730" hidden="1">
      <c r="A730" s="215">
        <f>IFERROR(__xludf.DUMMYFUNCTION("""COMPUTED_VALUE"""),46165.0)</f>
        <v>46165</v>
      </c>
      <c r="B730" s="210">
        <f>IFERROR(__xludf.DUMMYFUNCTION("""COMPUTED_VALUE"""),0.5)</f>
        <v>0.5</v>
      </c>
      <c r="C730" s="211" t="str">
        <f>IFERROR(__xludf.DUMMYFUNCTION("""COMPUTED_VALUE"""),"Whatsapp")</f>
        <v>Whatsapp</v>
      </c>
      <c r="D730" s="211" t="str">
        <f>IFERROR(__xludf.DUMMYFUNCTION("""COMPUTED_VALUE"""),"Promotional")</f>
        <v>Promotional</v>
      </c>
      <c r="E730" s="211" t="str">
        <f>IFERROR(__xludf.DUMMYFUNCTION("""COMPUTED_VALUE"""),"BBW")</f>
        <v>BBW</v>
      </c>
      <c r="F730" s="211" t="str">
        <f>IFERROR(__xludf.DUMMYFUNCTION("""COMPUTED_VALUE"""),"B2G2 - Entire Store")</f>
        <v>B2G2 - Entire Store</v>
      </c>
      <c r="G730" s="211" t="str">
        <f>IFERROR(__xludf.DUMMYFUNCTION("""COMPUTED_VALUE"""),"bbw_wa_b2g2_23may_lastreminder_thane_offline")</f>
        <v>bbw_wa_b2g2_23may_lastreminder_thane_offline</v>
      </c>
      <c r="H730" s="212" t="str">
        <f>IFERROR(__xludf.DUMMYFUNCTION("""COMPUTED_VALUE"""),"BBW_OFF_THANE_Active, BBW_OFF_THANE_Dorm")</f>
        <v>BBW_OFF_THANE_Active, BBW_OFF_THANE_Dorm</v>
      </c>
      <c r="I730" s="212" t="str">
        <f>IFERROR(__xludf.DUMMYFUNCTION("""COMPUTED_VALUE"""),"All Offline Customers who have purchased at least 1 time from Txn_City THANE in the last 112 days (TTR), All Offline Customers who have purchased at least 1 time from Txn_City THANE in the last 365 days excluding TTR purchasers")</f>
        <v>All Offline Customers who have purchased at least 1 time from Txn_City THANE in the last 112 days (TTR), All Offline Customers who have purchased at least 1 time from Txn_City THANE in the last 365 days excluding TTR purchasers</v>
      </c>
      <c r="J730" s="271">
        <f>IFERROR(__xludf.DUMMYFUNCTION("""COMPUTED_VALUE"""),10823.0)</f>
        <v>10823</v>
      </c>
      <c r="K730" s="271">
        <f>IFERROR(__xludf.DUMMYFUNCTION("""COMPUTED_VALUE"""),4229.0)</f>
        <v>4229</v>
      </c>
      <c r="L730" s="286">
        <f>IFERROR(__xludf.DUMMYFUNCTION("""COMPUTED_VALUE"""),0.3907)</f>
        <v>0.3907</v>
      </c>
      <c r="M730" s="271">
        <f>IFERROR(__xludf.DUMMYFUNCTION("""COMPUTED_VALUE"""),1570.0)</f>
        <v>1570</v>
      </c>
      <c r="N730" s="286">
        <f>IFERROR(__xludf.DUMMYFUNCTION("""COMPUTED_VALUE"""),0.3712)</f>
        <v>0.3712</v>
      </c>
      <c r="O730" s="211">
        <f>IFERROR(__xludf.DUMMYFUNCTION("""COMPUTED_VALUE"""),98.0)</f>
        <v>98</v>
      </c>
      <c r="P730" s="211">
        <f>IFERROR(__xludf.DUMMYFUNCTION("""COMPUTED_VALUE"""),92.0)</f>
        <v>92</v>
      </c>
      <c r="Q730" s="286">
        <f>IFERROR(__xludf.DUMMYFUNCTION("""COMPUTED_VALUE"""),0.0218)</f>
        <v>0.0218</v>
      </c>
      <c r="R730" s="286">
        <f>IFERROR(__xludf.DUMMYFUNCTION("""COMPUTED_VALUE"""),0.0586)</f>
        <v>0.0586</v>
      </c>
      <c r="S730" s="211">
        <f>IFERROR(__xludf.DUMMYFUNCTION("""COMPUTED_VALUE"""),0.0)</f>
        <v>0</v>
      </c>
      <c r="T730" s="211">
        <f>IFERROR(__xludf.DUMMYFUNCTION("""COMPUTED_VALUE"""),0.0)</f>
        <v>0</v>
      </c>
      <c r="U730" s="271">
        <f>IFERROR(__xludf.DUMMYFUNCTION("""COMPUTED_VALUE"""),0.0)</f>
        <v>0</v>
      </c>
      <c r="V730" s="211" t="str">
        <f>IFERROR(__xludf.DUMMYFUNCTION("""COMPUTED_VALUE"""),"offline")</f>
        <v>offline</v>
      </c>
      <c r="W730" s="212" t="str">
        <f>IFERROR(__xludf.DUMMYFUNCTION("""COMPUTED_VALUE"""),"simple")</f>
        <v>simple</v>
      </c>
      <c r="X730" s="212" t="str">
        <f>IFERROR(__xludf.DUMMYFUNCTION("""COMPUTED_VALUE"""),"City Specific")</f>
        <v>City Specific</v>
      </c>
      <c r="Y730" s="212" t="str">
        <f>IFERROR(__xludf.DUMMYFUNCTION("""COMPUTED_VALUE"""),"23-25 May")</f>
        <v>23-25 May</v>
      </c>
      <c r="Z730" s="212" t="str">
        <f>IFERROR(__xludf.DUMMYFUNCTION("""COMPUTED_VALUE"""),"6a0ebcda0bc4ced6d8b9efc7")</f>
        <v>6a0ebcda0bc4ced6d8b9efc7</v>
      </c>
      <c r="AA730" s="287">
        <f>IFERROR(__xludf.DUMMYFUNCTION("""COMPUTED_VALUE"""),16.0)</f>
        <v>16</v>
      </c>
      <c r="AB730" s="287"/>
      <c r="AC730" s="287">
        <f>IFERROR(__xludf.DUMMYFUNCTION("""COMPUTED_VALUE"""),16.0)</f>
        <v>16</v>
      </c>
      <c r="AD730" s="287">
        <f>IFERROR(__xludf.DUMMYFUNCTION("""COMPUTED_VALUE"""),83960.0)</f>
        <v>83960</v>
      </c>
      <c r="AE730" s="287"/>
      <c r="AF730" s="287">
        <f>IFERROR(__xludf.DUMMYFUNCTION("""COMPUTED_VALUE"""),83960.0)</f>
        <v>83960</v>
      </c>
      <c r="AG730" s="208"/>
      <c r="AH730" s="208"/>
      <c r="AI730" s="208"/>
      <c r="AJ730" s="208"/>
      <c r="AK730" s="208"/>
    </row>
    <row r="731" hidden="1">
      <c r="A731" s="215">
        <f>IFERROR(__xludf.DUMMYFUNCTION("""COMPUTED_VALUE"""),46165.0)</f>
        <v>46165</v>
      </c>
      <c r="B731" s="210">
        <f>IFERROR(__xludf.DUMMYFUNCTION("""COMPUTED_VALUE"""),0.5)</f>
        <v>0.5</v>
      </c>
      <c r="C731" s="211" t="str">
        <f>IFERROR(__xludf.DUMMYFUNCTION("""COMPUTED_VALUE"""),"Whatsapp")</f>
        <v>Whatsapp</v>
      </c>
      <c r="D731" s="211" t="str">
        <f>IFERROR(__xludf.DUMMYFUNCTION("""COMPUTED_VALUE"""),"Promotional")</f>
        <v>Promotional</v>
      </c>
      <c r="E731" s="211" t="str">
        <f>IFERROR(__xludf.DUMMYFUNCTION("""COMPUTED_VALUE"""),"BBW")</f>
        <v>BBW</v>
      </c>
      <c r="F731" s="211" t="str">
        <f>IFERROR(__xludf.DUMMYFUNCTION("""COMPUTED_VALUE"""),"B2G2 - Entire Store")</f>
        <v>B2G2 - Entire Store</v>
      </c>
      <c r="G731" s="211" t="str">
        <f>IFERROR(__xludf.DUMMYFUNCTION("""COMPUTED_VALUE"""),"bbw_wa_b2g2_23may_lastreminder_vad_offline")</f>
        <v>bbw_wa_b2g2_23may_lastreminder_vad_offline</v>
      </c>
      <c r="H731" s="212" t="str">
        <f>IFERROR(__xludf.DUMMYFUNCTION("""COMPUTED_VALUE"""),"BBW_OFF_Vadodara_Active, BBW_OFF_Vadodara_Dorm")</f>
        <v>BBW_OFF_Vadodara_Active, BBW_OFF_Vadodara_Dorm</v>
      </c>
      <c r="I731" s="212" t="str">
        <f>IFERROR(__xludf.DUMMYFUNCTION("""COMPUTED_VALUE"""),"All Offline Customers who have purchased at least 1 time from Txn_City VADODARA in the last 112 days (TTR), All Offline Customers who have purchased at least 1 time from Txn_City VADODARA in the last 365 days excluding TTR purchasers")</f>
        <v>All Offline Customers who have purchased at least 1 time from Txn_City VADODARA in the last 112 days (TTR), All Offline Customers who have purchased at least 1 time from Txn_City VADODARA in the last 365 days excluding TTR purchasers</v>
      </c>
      <c r="J731" s="271">
        <f>IFERROR(__xludf.DUMMYFUNCTION("""COMPUTED_VALUE"""),9022.0)</f>
        <v>9022</v>
      </c>
      <c r="K731" s="271">
        <f>IFERROR(__xludf.DUMMYFUNCTION("""COMPUTED_VALUE"""),3932.0)</f>
        <v>3932</v>
      </c>
      <c r="L731" s="286">
        <f>IFERROR(__xludf.DUMMYFUNCTION("""COMPUTED_VALUE"""),0.4357)</f>
        <v>0.4357</v>
      </c>
      <c r="M731" s="271">
        <f>IFERROR(__xludf.DUMMYFUNCTION("""COMPUTED_VALUE"""),1776.0)</f>
        <v>1776</v>
      </c>
      <c r="N731" s="286">
        <f>IFERROR(__xludf.DUMMYFUNCTION("""COMPUTED_VALUE"""),0.4518)</f>
        <v>0.4518</v>
      </c>
      <c r="O731" s="211">
        <f>IFERROR(__xludf.DUMMYFUNCTION("""COMPUTED_VALUE"""),97.0)</f>
        <v>97</v>
      </c>
      <c r="P731" s="211">
        <f>IFERROR(__xludf.DUMMYFUNCTION("""COMPUTED_VALUE"""),96.0)</f>
        <v>96</v>
      </c>
      <c r="Q731" s="286">
        <f>IFERROR(__xludf.DUMMYFUNCTION("""COMPUTED_VALUE"""),0.0244)</f>
        <v>0.0244</v>
      </c>
      <c r="R731" s="286">
        <f>IFERROR(__xludf.DUMMYFUNCTION("""COMPUTED_VALUE"""),0.0541)</f>
        <v>0.0541</v>
      </c>
      <c r="S731" s="211">
        <f>IFERROR(__xludf.DUMMYFUNCTION("""COMPUTED_VALUE"""),0.0)</f>
        <v>0</v>
      </c>
      <c r="T731" s="211">
        <f>IFERROR(__xludf.DUMMYFUNCTION("""COMPUTED_VALUE"""),0.0)</f>
        <v>0</v>
      </c>
      <c r="U731" s="271">
        <f>IFERROR(__xludf.DUMMYFUNCTION("""COMPUTED_VALUE"""),0.0)</f>
        <v>0</v>
      </c>
      <c r="V731" s="211" t="str">
        <f>IFERROR(__xludf.DUMMYFUNCTION("""COMPUTED_VALUE"""),"offline")</f>
        <v>offline</v>
      </c>
      <c r="W731" s="212" t="str">
        <f>IFERROR(__xludf.DUMMYFUNCTION("""COMPUTED_VALUE"""),"simple")</f>
        <v>simple</v>
      </c>
      <c r="X731" s="212" t="str">
        <f>IFERROR(__xludf.DUMMYFUNCTION("""COMPUTED_VALUE"""),"City Specific")</f>
        <v>City Specific</v>
      </c>
      <c r="Y731" s="212" t="str">
        <f>IFERROR(__xludf.DUMMYFUNCTION("""COMPUTED_VALUE"""),"23-25 May")</f>
        <v>23-25 May</v>
      </c>
      <c r="Z731" s="212" t="str">
        <f>IFERROR(__xludf.DUMMYFUNCTION("""COMPUTED_VALUE"""),"6a0ebd68bc559407e3ef630a")</f>
        <v>6a0ebd68bc559407e3ef630a</v>
      </c>
      <c r="AA731" s="287">
        <f>IFERROR(__xludf.DUMMYFUNCTION("""COMPUTED_VALUE"""),16.0)</f>
        <v>16</v>
      </c>
      <c r="AB731" s="287"/>
      <c r="AC731" s="287">
        <f>IFERROR(__xludf.DUMMYFUNCTION("""COMPUTED_VALUE"""),16.0)</f>
        <v>16</v>
      </c>
      <c r="AD731" s="287">
        <f>IFERROR(__xludf.DUMMYFUNCTION("""COMPUTED_VALUE"""),70932.0)</f>
        <v>70932</v>
      </c>
      <c r="AE731" s="287"/>
      <c r="AF731" s="287">
        <f>IFERROR(__xludf.DUMMYFUNCTION("""COMPUTED_VALUE"""),70932.0)</f>
        <v>70932</v>
      </c>
      <c r="AG731" s="208"/>
      <c r="AH731" s="208"/>
      <c r="AI731" s="208"/>
      <c r="AJ731" s="208"/>
      <c r="AK731" s="208"/>
    </row>
    <row r="732" hidden="1">
      <c r="A732" s="215">
        <f>IFERROR(__xludf.DUMMYFUNCTION("""COMPUTED_VALUE"""),46165.0)</f>
        <v>46165</v>
      </c>
      <c r="B732" s="210">
        <f>IFERROR(__xludf.DUMMYFUNCTION("""COMPUTED_VALUE"""),0.5)</f>
        <v>0.5</v>
      </c>
      <c r="C732" s="211" t="str">
        <f>IFERROR(__xludf.DUMMYFUNCTION("""COMPUTED_VALUE"""),"Whatsapp")</f>
        <v>Whatsapp</v>
      </c>
      <c r="D732" s="211" t="str">
        <f>IFERROR(__xludf.DUMMYFUNCTION("""COMPUTED_VALUE"""),"Promotional")</f>
        <v>Promotional</v>
      </c>
      <c r="E732" s="211" t="str">
        <f>IFERROR(__xludf.DUMMYFUNCTION("""COMPUTED_VALUE"""),"BBW")</f>
        <v>BBW</v>
      </c>
      <c r="F732" s="211" t="str">
        <f>IFERROR(__xludf.DUMMYFUNCTION("""COMPUTED_VALUE"""),"B2G2 - Entire Store")</f>
        <v>B2G2 - Entire Store</v>
      </c>
      <c r="G732" s="211" t="str">
        <f>IFERROR(__xludf.DUMMYFUNCTION("""COMPUTED_VALUE"""),"bbw_wa_b2g2_23may_lastreminder_kochi_offline")</f>
        <v>bbw_wa_b2g2_23may_lastreminder_kochi_offline</v>
      </c>
      <c r="H732" s="212" t="str">
        <f>IFERROR(__xludf.DUMMYFUNCTION("""COMPUTED_VALUE"""),"BBW_OFF_KOCHI_Active, BBW_OFF_KOCHI_Dorm")</f>
        <v>BBW_OFF_KOCHI_Active, BBW_OFF_KOCHI_Dorm</v>
      </c>
      <c r="I732" s="212" t="str">
        <f>IFERROR(__xludf.DUMMYFUNCTION("""COMPUTED_VALUE"""),"All Offline Customers who have purchased at least 1 time from Txn_City KOCHI in the last 112 days (TTR), All Offline Customers who have purchased at least 1 time from Txn_City Kochi in the last 365 days excluding TTR purchasers")</f>
        <v>All Offline Customers who have purchased at least 1 time from Txn_City KOCHI in the last 112 days (TTR), All Offline Customers who have purchased at least 1 time from Txn_City Kochi in the last 365 days excluding TTR purchasers</v>
      </c>
      <c r="J732" s="271">
        <f>IFERROR(__xludf.DUMMYFUNCTION("""COMPUTED_VALUE"""),8997.0)</f>
        <v>8997</v>
      </c>
      <c r="K732" s="271">
        <f>IFERROR(__xludf.DUMMYFUNCTION("""COMPUTED_VALUE"""),3667.0)</f>
        <v>3667</v>
      </c>
      <c r="L732" s="286">
        <f>IFERROR(__xludf.DUMMYFUNCTION("""COMPUTED_VALUE"""),0.4076)</f>
        <v>0.4076</v>
      </c>
      <c r="M732" s="271">
        <f>IFERROR(__xludf.DUMMYFUNCTION("""COMPUTED_VALUE"""),1393.0)</f>
        <v>1393</v>
      </c>
      <c r="N732" s="286">
        <f>IFERROR(__xludf.DUMMYFUNCTION("""COMPUTED_VALUE"""),0.3799)</f>
        <v>0.3799</v>
      </c>
      <c r="O732" s="211">
        <f>IFERROR(__xludf.DUMMYFUNCTION("""COMPUTED_VALUE"""),97.0)</f>
        <v>97</v>
      </c>
      <c r="P732" s="211">
        <f>IFERROR(__xludf.DUMMYFUNCTION("""COMPUTED_VALUE"""),88.0)</f>
        <v>88</v>
      </c>
      <c r="Q732" s="286">
        <f>IFERROR(__xludf.DUMMYFUNCTION("""COMPUTED_VALUE"""),0.024)</f>
        <v>0.024</v>
      </c>
      <c r="R732" s="286">
        <f>IFERROR(__xludf.DUMMYFUNCTION("""COMPUTED_VALUE"""),0.0632)</f>
        <v>0.0632</v>
      </c>
      <c r="S732" s="211">
        <f>IFERROR(__xludf.DUMMYFUNCTION("""COMPUTED_VALUE"""),0.0)</f>
        <v>0</v>
      </c>
      <c r="T732" s="211">
        <f>IFERROR(__xludf.DUMMYFUNCTION("""COMPUTED_VALUE"""),0.0)</f>
        <v>0</v>
      </c>
      <c r="U732" s="271">
        <f>IFERROR(__xludf.DUMMYFUNCTION("""COMPUTED_VALUE"""),0.0)</f>
        <v>0</v>
      </c>
      <c r="V732" s="211" t="str">
        <f>IFERROR(__xludf.DUMMYFUNCTION("""COMPUTED_VALUE"""),"offline")</f>
        <v>offline</v>
      </c>
      <c r="W732" s="212" t="str">
        <f>IFERROR(__xludf.DUMMYFUNCTION("""COMPUTED_VALUE"""),"simple")</f>
        <v>simple</v>
      </c>
      <c r="X732" s="212" t="str">
        <f>IFERROR(__xludf.DUMMYFUNCTION("""COMPUTED_VALUE"""),"City Specific")</f>
        <v>City Specific</v>
      </c>
      <c r="Y732" s="212" t="str">
        <f>IFERROR(__xludf.DUMMYFUNCTION("""COMPUTED_VALUE"""),"23-25 May")</f>
        <v>23-25 May</v>
      </c>
      <c r="Z732" s="212" t="str">
        <f>IFERROR(__xludf.DUMMYFUNCTION("""COMPUTED_VALUE"""),"6a0ebe00cf8e6c88a8fdf11b")</f>
        <v>6a0ebe00cf8e6c88a8fdf11b</v>
      </c>
      <c r="AA732" s="287">
        <f>IFERROR(__xludf.DUMMYFUNCTION("""COMPUTED_VALUE"""),18.0)</f>
        <v>18</v>
      </c>
      <c r="AB732" s="287"/>
      <c r="AC732" s="287">
        <f>IFERROR(__xludf.DUMMYFUNCTION("""COMPUTED_VALUE"""),18.0)</f>
        <v>18</v>
      </c>
      <c r="AD732" s="287">
        <f>IFERROR(__xludf.DUMMYFUNCTION("""COMPUTED_VALUE"""),94999.0)</f>
        <v>94999</v>
      </c>
      <c r="AE732" s="287"/>
      <c r="AF732" s="287">
        <f>IFERROR(__xludf.DUMMYFUNCTION("""COMPUTED_VALUE"""),94999.0)</f>
        <v>94999</v>
      </c>
      <c r="AG732" s="208"/>
      <c r="AH732" s="208"/>
      <c r="AI732" s="208"/>
      <c r="AJ732" s="208"/>
      <c r="AK732" s="208"/>
    </row>
    <row r="733" hidden="1">
      <c r="A733" s="215">
        <f>IFERROR(__xludf.DUMMYFUNCTION("""COMPUTED_VALUE"""),46165.0)</f>
        <v>46165</v>
      </c>
      <c r="B733" s="210">
        <f>IFERROR(__xludf.DUMMYFUNCTION("""COMPUTED_VALUE"""),0.5)</f>
        <v>0.5</v>
      </c>
      <c r="C733" s="211" t="str">
        <f>IFERROR(__xludf.DUMMYFUNCTION("""COMPUTED_VALUE"""),"Whatsapp")</f>
        <v>Whatsapp</v>
      </c>
      <c r="D733" s="211" t="str">
        <f>IFERROR(__xludf.DUMMYFUNCTION("""COMPUTED_VALUE"""),"Promotional")</f>
        <v>Promotional</v>
      </c>
      <c r="E733" s="211" t="str">
        <f>IFERROR(__xludf.DUMMYFUNCTION("""COMPUTED_VALUE"""),"BBW")</f>
        <v>BBW</v>
      </c>
      <c r="F733" s="211" t="str">
        <f>IFERROR(__xludf.DUMMYFUNCTION("""COMPUTED_VALUE"""),"B2G2 - Entire Store")</f>
        <v>B2G2 - Entire Store</v>
      </c>
      <c r="G733" s="211" t="str">
        <f>IFERROR(__xludf.DUMMYFUNCTION("""COMPUTED_VALUE"""),"bbw_wa_b2g2_23may_lastreminder_surat_offline")</f>
        <v>bbw_wa_b2g2_23may_lastreminder_surat_offline</v>
      </c>
      <c r="H733" s="212" t="str">
        <f>IFERROR(__xludf.DUMMYFUNCTION("""COMPUTED_VALUE"""),"BBW_OFF_Surat_Active, BBW_OFF_Surat_Dorm")</f>
        <v>BBW_OFF_Surat_Active, BBW_OFF_Surat_Dorm</v>
      </c>
      <c r="I733" s="212" t="str">
        <f>IFERROR(__xludf.DUMMYFUNCTION("""COMPUTED_VALUE"""),"All Offline Customers who have purchased at least 1 time from Txn_City SURAT in the last 112 days (TTR), All Offline Customers who have purchased at least 1 time from Txn_City Surat in the last 365 days excluding TTR purchasers")</f>
        <v>All Offline Customers who have purchased at least 1 time from Txn_City SURAT in the last 112 days (TTR), All Offline Customers who have purchased at least 1 time from Txn_City Surat in the last 365 days excluding TTR purchasers</v>
      </c>
      <c r="J733" s="271">
        <f>IFERROR(__xludf.DUMMYFUNCTION("""COMPUTED_VALUE"""),7005.0)</f>
        <v>7005</v>
      </c>
      <c r="K733" s="271">
        <f>IFERROR(__xludf.DUMMYFUNCTION("""COMPUTED_VALUE"""),3243.0)</f>
        <v>3243</v>
      </c>
      <c r="L733" s="286">
        <f>IFERROR(__xludf.DUMMYFUNCTION("""COMPUTED_VALUE"""),0.4628)</f>
        <v>0.4628</v>
      </c>
      <c r="M733" s="271">
        <f>IFERROR(__xludf.DUMMYFUNCTION("""COMPUTED_VALUE"""),1461.0)</f>
        <v>1461</v>
      </c>
      <c r="N733" s="286">
        <f>IFERROR(__xludf.DUMMYFUNCTION("""COMPUTED_VALUE"""),0.4506)</f>
        <v>0.4506</v>
      </c>
      <c r="O733" s="211">
        <f>IFERROR(__xludf.DUMMYFUNCTION("""COMPUTED_VALUE"""),98.0)</f>
        <v>98</v>
      </c>
      <c r="P733" s="211">
        <f>IFERROR(__xludf.DUMMYFUNCTION("""COMPUTED_VALUE"""),92.0)</f>
        <v>92</v>
      </c>
      <c r="Q733" s="286">
        <f>IFERROR(__xludf.DUMMYFUNCTION("""COMPUTED_VALUE"""),0.0284)</f>
        <v>0.0284</v>
      </c>
      <c r="R733" s="286">
        <f>IFERROR(__xludf.DUMMYFUNCTION("""COMPUTED_VALUE"""),0.063)</f>
        <v>0.063</v>
      </c>
      <c r="S733" s="211">
        <f>IFERROR(__xludf.DUMMYFUNCTION("""COMPUTED_VALUE"""),0.0)</f>
        <v>0</v>
      </c>
      <c r="T733" s="211">
        <f>IFERROR(__xludf.DUMMYFUNCTION("""COMPUTED_VALUE"""),0.0)</f>
        <v>0</v>
      </c>
      <c r="U733" s="271">
        <f>IFERROR(__xludf.DUMMYFUNCTION("""COMPUTED_VALUE"""),0.0)</f>
        <v>0</v>
      </c>
      <c r="V733" s="211" t="str">
        <f>IFERROR(__xludf.DUMMYFUNCTION("""COMPUTED_VALUE"""),"offline")</f>
        <v>offline</v>
      </c>
      <c r="W733" s="212" t="str">
        <f>IFERROR(__xludf.DUMMYFUNCTION("""COMPUTED_VALUE"""),"simple")</f>
        <v>simple</v>
      </c>
      <c r="X733" s="212" t="str">
        <f>IFERROR(__xludf.DUMMYFUNCTION("""COMPUTED_VALUE"""),"City Specific")</f>
        <v>City Specific</v>
      </c>
      <c r="Y733" s="212" t="str">
        <f>IFERROR(__xludf.DUMMYFUNCTION("""COMPUTED_VALUE"""),"23-25 May")</f>
        <v>23-25 May</v>
      </c>
      <c r="Z733" s="212" t="str">
        <f>IFERROR(__xludf.DUMMYFUNCTION("""COMPUTED_VALUE"""),"6a0ebe325376efb068192269")</f>
        <v>6a0ebe325376efb068192269</v>
      </c>
      <c r="AA733" s="287">
        <f>IFERROR(__xludf.DUMMYFUNCTION("""COMPUTED_VALUE"""),12.0)</f>
        <v>12</v>
      </c>
      <c r="AB733" s="287"/>
      <c r="AC733" s="287">
        <f>IFERROR(__xludf.DUMMYFUNCTION("""COMPUTED_VALUE"""),12.0)</f>
        <v>12</v>
      </c>
      <c r="AD733" s="287">
        <f>IFERROR(__xludf.DUMMYFUNCTION("""COMPUTED_VALUE"""),45375.0)</f>
        <v>45375</v>
      </c>
      <c r="AE733" s="287"/>
      <c r="AF733" s="287">
        <f>IFERROR(__xludf.DUMMYFUNCTION("""COMPUTED_VALUE"""),45375.0)</f>
        <v>45375</v>
      </c>
      <c r="AG733" s="208"/>
      <c r="AH733" s="208"/>
      <c r="AI733" s="208"/>
      <c r="AJ733" s="208"/>
      <c r="AK733" s="208"/>
    </row>
    <row r="734" hidden="1">
      <c r="A734" s="215">
        <f>IFERROR(__xludf.DUMMYFUNCTION("""COMPUTED_VALUE"""),46165.0)</f>
        <v>46165</v>
      </c>
      <c r="B734" s="210">
        <f>IFERROR(__xludf.DUMMYFUNCTION("""COMPUTED_VALUE"""),0.5416666666678793)</f>
        <v>0.5416666667</v>
      </c>
      <c r="C734" s="211" t="str">
        <f>IFERROR(__xludf.DUMMYFUNCTION("""COMPUTED_VALUE"""),"Sms")</f>
        <v>Sms</v>
      </c>
      <c r="D734" s="211" t="str">
        <f>IFERROR(__xludf.DUMMYFUNCTION("""COMPUTED_VALUE"""),"Fallback campaign")</f>
        <v>Fallback campaign</v>
      </c>
      <c r="E734" s="211" t="str">
        <f>IFERROR(__xludf.DUMMYFUNCTION("""COMPUTED_VALUE"""),"BBW")</f>
        <v>BBW</v>
      </c>
      <c r="F734" s="211" t="str">
        <f>IFERROR(__xludf.DUMMYFUNCTION("""COMPUTED_VALUE"""),"B2G2 - Entire Store")</f>
        <v>B2G2 - Entire Store</v>
      </c>
      <c r="G734" s="211" t="str">
        <f>IFERROR(__xludf.DUMMYFUNCTION("""COMPUTED_VALUE"""),"bbw_smsfb_b2g2_23may_lastreminder_blr_offline")</f>
        <v>bbw_smsfb_b2g2_23may_lastreminder_blr_offline</v>
      </c>
      <c r="H734" s="212" t="str">
        <f>IFERROR(__xludf.DUMMYFUNCTION("""COMPUTED_VALUE"""),"BBW_OFF_BLR_Active, BBW_OFF_BLR_Dorm")</f>
        <v>BBW_OFF_BLR_Active, BBW_OFF_BLR_Dorm</v>
      </c>
      <c r="I734" s="212" t="str">
        <f>IFERROR(__xludf.DUMMYFUNCTION("""COMPUTED_VALUE"""),"WA Undelivered")</f>
        <v>WA Undelivered</v>
      </c>
      <c r="J734" s="271">
        <f>IFERROR(__xludf.DUMMYFUNCTION("""COMPUTED_VALUE"""),44010.0)</f>
        <v>44010</v>
      </c>
      <c r="K734" s="271">
        <f>IFERROR(__xludf.DUMMYFUNCTION("""COMPUTED_VALUE"""),24706.0)</f>
        <v>24706</v>
      </c>
      <c r="L734" s="286">
        <f>IFERROR(__xludf.DUMMYFUNCTION("""COMPUTED_VALUE"""),0.5614)</f>
        <v>0.5614</v>
      </c>
      <c r="M734" s="271">
        <f>IFERROR(__xludf.DUMMYFUNCTION("""COMPUTED_VALUE"""),0.0)</f>
        <v>0</v>
      </c>
      <c r="N734" s="286">
        <f>IFERROR(__xludf.DUMMYFUNCTION("""COMPUTED_VALUE"""),0.0)</f>
        <v>0</v>
      </c>
      <c r="O734" s="211">
        <f>IFERROR(__xludf.DUMMYFUNCTION("""COMPUTED_VALUE"""),19.0)</f>
        <v>19</v>
      </c>
      <c r="P734" s="211">
        <f>IFERROR(__xludf.DUMMYFUNCTION("""COMPUTED_VALUE"""),0.0)</f>
        <v>0</v>
      </c>
      <c r="Q734" s="286">
        <f>IFERROR(__xludf.DUMMYFUNCTION("""COMPUTED_VALUE"""),8.0E-4)</f>
        <v>0.0008</v>
      </c>
      <c r="R734" s="286">
        <f>IFERROR(__xludf.DUMMYFUNCTION("""COMPUTED_VALUE"""),0.0)</f>
        <v>0</v>
      </c>
      <c r="S734" s="211">
        <f>IFERROR(__xludf.DUMMYFUNCTION("""COMPUTED_VALUE"""),0.0)</f>
        <v>0</v>
      </c>
      <c r="T734" s="211">
        <f>IFERROR(__xludf.DUMMYFUNCTION("""COMPUTED_VALUE"""),0.0)</f>
        <v>0</v>
      </c>
      <c r="U734" s="271">
        <f>IFERROR(__xludf.DUMMYFUNCTION("""COMPUTED_VALUE"""),328511.0)</f>
        <v>328511</v>
      </c>
      <c r="V734" s="211" t="str">
        <f>IFERROR(__xludf.DUMMYFUNCTION("""COMPUTED_VALUE"""),"offline")</f>
        <v>offline</v>
      </c>
      <c r="W734" s="212" t="str">
        <f>IFERROR(__xludf.DUMMYFUNCTION("""COMPUTED_VALUE"""),"SMS")</f>
        <v>SMS</v>
      </c>
      <c r="X734" s="212" t="str">
        <f>IFERROR(__xludf.DUMMYFUNCTION("""COMPUTED_VALUE"""),"City Specific")</f>
        <v>City Specific</v>
      </c>
      <c r="Y734" s="212" t="str">
        <f>IFERROR(__xludf.DUMMYFUNCTION("""COMPUTED_VALUE"""),"23 May")</f>
        <v>23 May</v>
      </c>
      <c r="Z734" s="212" t="str">
        <f>IFERROR(__xludf.DUMMYFUNCTION("""COMPUTED_VALUE"""),"6a0ee0758bfe61c28aec08c2")</f>
        <v>6a0ee0758bfe61c28aec08c2</v>
      </c>
      <c r="AA734" s="287">
        <f>IFERROR(__xludf.DUMMYFUNCTION("""COMPUTED_VALUE"""),32.0)</f>
        <v>32</v>
      </c>
      <c r="AB734" s="287"/>
      <c r="AC734" s="287">
        <f>IFERROR(__xludf.DUMMYFUNCTION("""COMPUTED_VALUE"""),32.0)</f>
        <v>32</v>
      </c>
      <c r="AD734" s="287">
        <f>IFERROR(__xludf.DUMMYFUNCTION("""COMPUTED_VALUE"""),148418.0)</f>
        <v>148418</v>
      </c>
      <c r="AE734" s="287"/>
      <c r="AF734" s="287">
        <f>IFERROR(__xludf.DUMMYFUNCTION("""COMPUTED_VALUE"""),148418.0)</f>
        <v>148418</v>
      </c>
      <c r="AG734" s="208"/>
      <c r="AH734" s="208"/>
      <c r="AI734" s="208"/>
      <c r="AJ734" s="208"/>
      <c r="AK734" s="208"/>
    </row>
    <row r="735" hidden="1">
      <c r="A735" s="215">
        <f>IFERROR(__xludf.DUMMYFUNCTION("""COMPUTED_VALUE"""),46165.0)</f>
        <v>46165</v>
      </c>
      <c r="B735" s="210">
        <f>IFERROR(__xludf.DUMMYFUNCTION("""COMPUTED_VALUE"""),0.5416666666678793)</f>
        <v>0.5416666667</v>
      </c>
      <c r="C735" s="211" t="str">
        <f>IFERROR(__xludf.DUMMYFUNCTION("""COMPUTED_VALUE"""),"Sms")</f>
        <v>Sms</v>
      </c>
      <c r="D735" s="211" t="str">
        <f>IFERROR(__xludf.DUMMYFUNCTION("""COMPUTED_VALUE"""),"Fallback campaign")</f>
        <v>Fallback campaign</v>
      </c>
      <c r="E735" s="211" t="str">
        <f>IFERROR(__xludf.DUMMYFUNCTION("""COMPUTED_VALUE"""),"BBW")</f>
        <v>BBW</v>
      </c>
      <c r="F735" s="211" t="str">
        <f>IFERROR(__xludf.DUMMYFUNCTION("""COMPUTED_VALUE"""),"B2G2 - Entire Store")</f>
        <v>B2G2 - Entire Store</v>
      </c>
      <c r="G735" s="211" t="str">
        <f>IFERROR(__xludf.DUMMYFUNCTION("""COMPUTED_VALUE"""),"bbw_smsfb_b2g2_23may_lastreminder_bom_offline")</f>
        <v>bbw_smsfb_b2g2_23may_lastreminder_bom_offline</v>
      </c>
      <c r="H735" s="212" t="str">
        <f>IFERROR(__xludf.DUMMYFUNCTION("""COMPUTED_VALUE"""),"BBW_OFF_BOM_Active, BBW_OFF_BOM_Dorm")</f>
        <v>BBW_OFF_BOM_Active, BBW_OFF_BOM_Dorm</v>
      </c>
      <c r="I735" s="212" t="str">
        <f>IFERROR(__xludf.DUMMYFUNCTION("""COMPUTED_VALUE"""),"WA Undelivered")</f>
        <v>WA Undelivered</v>
      </c>
      <c r="J735" s="271">
        <f>IFERROR(__xludf.DUMMYFUNCTION("""COMPUTED_VALUE"""),26675.0)</f>
        <v>26675</v>
      </c>
      <c r="K735" s="271">
        <f>IFERROR(__xludf.DUMMYFUNCTION("""COMPUTED_VALUE"""),14083.0)</f>
        <v>14083</v>
      </c>
      <c r="L735" s="286">
        <f>IFERROR(__xludf.DUMMYFUNCTION("""COMPUTED_VALUE"""),0.5279)</f>
        <v>0.5279</v>
      </c>
      <c r="M735" s="271">
        <f>IFERROR(__xludf.DUMMYFUNCTION("""COMPUTED_VALUE"""),0.0)</f>
        <v>0</v>
      </c>
      <c r="N735" s="286">
        <f>IFERROR(__xludf.DUMMYFUNCTION("""COMPUTED_VALUE"""),0.0)</f>
        <v>0</v>
      </c>
      <c r="O735" s="211">
        <f>IFERROR(__xludf.DUMMYFUNCTION("""COMPUTED_VALUE"""),28.0)</f>
        <v>28</v>
      </c>
      <c r="P735" s="211">
        <f>IFERROR(__xludf.DUMMYFUNCTION("""COMPUTED_VALUE"""),0.0)</f>
        <v>0</v>
      </c>
      <c r="Q735" s="286">
        <f>IFERROR(__xludf.DUMMYFUNCTION("""COMPUTED_VALUE"""),0.002)</f>
        <v>0.002</v>
      </c>
      <c r="R735" s="286">
        <f>IFERROR(__xludf.DUMMYFUNCTION("""COMPUTED_VALUE"""),0.0)</f>
        <v>0</v>
      </c>
      <c r="S735" s="211">
        <f>IFERROR(__xludf.DUMMYFUNCTION("""COMPUTED_VALUE"""),0.0)</f>
        <v>0</v>
      </c>
      <c r="T735" s="211">
        <f>IFERROR(__xludf.DUMMYFUNCTION("""COMPUTED_VALUE"""),0.0)</f>
        <v>0</v>
      </c>
      <c r="U735" s="271">
        <f>IFERROR(__xludf.DUMMYFUNCTION("""COMPUTED_VALUE"""),222696.0)</f>
        <v>222696</v>
      </c>
      <c r="V735" s="211" t="str">
        <f>IFERROR(__xludf.DUMMYFUNCTION("""COMPUTED_VALUE"""),"offline")</f>
        <v>offline</v>
      </c>
      <c r="W735" s="212" t="str">
        <f>IFERROR(__xludf.DUMMYFUNCTION("""COMPUTED_VALUE"""),"SMS")</f>
        <v>SMS</v>
      </c>
      <c r="X735" s="212" t="str">
        <f>IFERROR(__xludf.DUMMYFUNCTION("""COMPUTED_VALUE"""),"City Specific")</f>
        <v>City Specific</v>
      </c>
      <c r="Y735" s="212" t="str">
        <f>IFERROR(__xludf.DUMMYFUNCTION("""COMPUTED_VALUE"""),"23 May")</f>
        <v>23 May</v>
      </c>
      <c r="Z735" s="212" t="str">
        <f>IFERROR(__xludf.DUMMYFUNCTION("""COMPUTED_VALUE"""),"6a0ee0b9dc5408526b5f31f2")</f>
        <v>6a0ee0b9dc5408526b5f31f2</v>
      </c>
      <c r="AA735" s="287">
        <f>IFERROR(__xludf.DUMMYFUNCTION("""COMPUTED_VALUE"""),21.0)</f>
        <v>21</v>
      </c>
      <c r="AB735" s="287"/>
      <c r="AC735" s="287">
        <f>IFERROR(__xludf.DUMMYFUNCTION("""COMPUTED_VALUE"""),21.0)</f>
        <v>21</v>
      </c>
      <c r="AD735" s="287">
        <f>IFERROR(__xludf.DUMMYFUNCTION("""COMPUTED_VALUE"""),128053.0)</f>
        <v>128053</v>
      </c>
      <c r="AE735" s="287"/>
      <c r="AF735" s="287">
        <f>IFERROR(__xludf.DUMMYFUNCTION("""COMPUTED_VALUE"""),128053.0)</f>
        <v>128053</v>
      </c>
      <c r="AG735" s="208"/>
      <c r="AH735" s="208"/>
      <c r="AI735" s="208"/>
      <c r="AJ735" s="208"/>
      <c r="AK735" s="208"/>
    </row>
    <row r="736" hidden="1">
      <c r="A736" s="215">
        <f>IFERROR(__xludf.DUMMYFUNCTION("""COMPUTED_VALUE"""),46165.0)</f>
        <v>46165</v>
      </c>
      <c r="B736" s="210">
        <f>IFERROR(__xludf.DUMMYFUNCTION("""COMPUTED_VALUE"""),0.5416666666678793)</f>
        <v>0.5416666667</v>
      </c>
      <c r="C736" s="211" t="str">
        <f>IFERROR(__xludf.DUMMYFUNCTION("""COMPUTED_VALUE"""),"Sms")</f>
        <v>Sms</v>
      </c>
      <c r="D736" s="211" t="str">
        <f>IFERROR(__xludf.DUMMYFUNCTION("""COMPUTED_VALUE"""),"Fallback campaign")</f>
        <v>Fallback campaign</v>
      </c>
      <c r="E736" s="211" t="str">
        <f>IFERROR(__xludf.DUMMYFUNCTION("""COMPUTED_VALUE"""),"BBW")</f>
        <v>BBW</v>
      </c>
      <c r="F736" s="211" t="str">
        <f>IFERROR(__xludf.DUMMYFUNCTION("""COMPUTED_VALUE"""),"B2G2 - Entire Store")</f>
        <v>B2G2 - Entire Store</v>
      </c>
      <c r="G736" s="211" t="str">
        <f>IFERROR(__xludf.DUMMYFUNCTION("""COMPUTED_VALUE"""),"bbw_smsfb_b2g2_23may_lastreminder_ahd_offline")</f>
        <v>bbw_smsfb_b2g2_23may_lastreminder_ahd_offline</v>
      </c>
      <c r="H736" s="212" t="str">
        <f>IFERROR(__xludf.DUMMYFUNCTION("""COMPUTED_VALUE"""),"BBW_OFF_AHD_Active, BBW_OFF_AHD_Dorm")</f>
        <v>BBW_OFF_AHD_Active, BBW_OFF_AHD_Dorm</v>
      </c>
      <c r="I736" s="212" t="str">
        <f>IFERROR(__xludf.DUMMYFUNCTION("""COMPUTED_VALUE"""),"WA Undelivered")</f>
        <v>WA Undelivered</v>
      </c>
      <c r="J736" s="271">
        <f>IFERROR(__xludf.DUMMYFUNCTION("""COMPUTED_VALUE"""),13649.0)</f>
        <v>13649</v>
      </c>
      <c r="K736" s="271">
        <f>IFERROR(__xludf.DUMMYFUNCTION("""COMPUTED_VALUE"""),7493.0)</f>
        <v>7493</v>
      </c>
      <c r="L736" s="286">
        <f>IFERROR(__xludf.DUMMYFUNCTION("""COMPUTED_VALUE"""),0.549)</f>
        <v>0.549</v>
      </c>
      <c r="M736" s="271">
        <f>IFERROR(__xludf.DUMMYFUNCTION("""COMPUTED_VALUE"""),0.0)</f>
        <v>0</v>
      </c>
      <c r="N736" s="286">
        <f>IFERROR(__xludf.DUMMYFUNCTION("""COMPUTED_VALUE"""),0.0)</f>
        <v>0</v>
      </c>
      <c r="O736" s="211">
        <f>IFERROR(__xludf.DUMMYFUNCTION("""COMPUTED_VALUE"""),6.0)</f>
        <v>6</v>
      </c>
      <c r="P736" s="211">
        <f>IFERROR(__xludf.DUMMYFUNCTION("""COMPUTED_VALUE"""),0.0)</f>
        <v>0</v>
      </c>
      <c r="Q736" s="286">
        <f>IFERROR(__xludf.DUMMYFUNCTION("""COMPUTED_VALUE"""),8.0E-4)</f>
        <v>0.0008</v>
      </c>
      <c r="R736" s="286">
        <f>IFERROR(__xludf.DUMMYFUNCTION("""COMPUTED_VALUE"""),0.0)</f>
        <v>0</v>
      </c>
      <c r="S736" s="211">
        <f>IFERROR(__xludf.DUMMYFUNCTION("""COMPUTED_VALUE"""),0.0)</f>
        <v>0</v>
      </c>
      <c r="T736" s="211">
        <f>IFERROR(__xludf.DUMMYFUNCTION("""COMPUTED_VALUE"""),0.0)</f>
        <v>0</v>
      </c>
      <c r="U736" s="271">
        <f>IFERROR(__xludf.DUMMYFUNCTION("""COMPUTED_VALUE"""),142298.0)</f>
        <v>142298</v>
      </c>
      <c r="V736" s="211" t="str">
        <f>IFERROR(__xludf.DUMMYFUNCTION("""COMPUTED_VALUE"""),"offline")</f>
        <v>offline</v>
      </c>
      <c r="W736" s="212" t="str">
        <f>IFERROR(__xludf.DUMMYFUNCTION("""COMPUTED_VALUE"""),"SMS")</f>
        <v>SMS</v>
      </c>
      <c r="X736" s="212" t="str">
        <f>IFERROR(__xludf.DUMMYFUNCTION("""COMPUTED_VALUE"""),"City Specific")</f>
        <v>City Specific</v>
      </c>
      <c r="Y736" s="212" t="str">
        <f>IFERROR(__xludf.DUMMYFUNCTION("""COMPUTED_VALUE"""),"23 May")</f>
        <v>23 May</v>
      </c>
      <c r="Z736" s="212" t="str">
        <f>IFERROR(__xludf.DUMMYFUNCTION("""COMPUTED_VALUE"""),"6a0ee107e8308b32d0b4c37d")</f>
        <v>6a0ee107e8308b32d0b4c37d</v>
      </c>
      <c r="AA736" s="287">
        <f>IFERROR(__xludf.DUMMYFUNCTION("""COMPUTED_VALUE"""),17.0)</f>
        <v>17</v>
      </c>
      <c r="AB736" s="287"/>
      <c r="AC736" s="287">
        <f>IFERROR(__xludf.DUMMYFUNCTION("""COMPUTED_VALUE"""),17.0)</f>
        <v>17</v>
      </c>
      <c r="AD736" s="287">
        <f>IFERROR(__xludf.DUMMYFUNCTION("""COMPUTED_VALUE"""),83427.0)</f>
        <v>83427</v>
      </c>
      <c r="AE736" s="287"/>
      <c r="AF736" s="287">
        <f>IFERROR(__xludf.DUMMYFUNCTION("""COMPUTED_VALUE"""),83427.0)</f>
        <v>83427</v>
      </c>
      <c r="AG736" s="208"/>
      <c r="AH736" s="208"/>
      <c r="AI736" s="208"/>
      <c r="AJ736" s="208"/>
      <c r="AK736" s="208"/>
    </row>
    <row r="737" hidden="1">
      <c r="A737" s="215">
        <f>IFERROR(__xludf.DUMMYFUNCTION("""COMPUTED_VALUE"""),46165.0)</f>
        <v>46165</v>
      </c>
      <c r="B737" s="210">
        <f>IFERROR(__xludf.DUMMYFUNCTION("""COMPUTED_VALUE"""),0.5416666666678793)</f>
        <v>0.5416666667</v>
      </c>
      <c r="C737" s="211" t="str">
        <f>IFERROR(__xludf.DUMMYFUNCTION("""COMPUTED_VALUE"""),"Sms")</f>
        <v>Sms</v>
      </c>
      <c r="D737" s="211" t="str">
        <f>IFERROR(__xludf.DUMMYFUNCTION("""COMPUTED_VALUE"""),"Fallback campaign")</f>
        <v>Fallback campaign</v>
      </c>
      <c r="E737" s="211" t="str">
        <f>IFERROR(__xludf.DUMMYFUNCTION("""COMPUTED_VALUE"""),"BBW")</f>
        <v>BBW</v>
      </c>
      <c r="F737" s="211" t="str">
        <f>IFERROR(__xludf.DUMMYFUNCTION("""COMPUTED_VALUE"""),"B2G2 - Entire Store")</f>
        <v>B2G2 - Entire Store</v>
      </c>
      <c r="G737" s="211" t="str">
        <f>IFERROR(__xludf.DUMMYFUNCTION("""COMPUTED_VALUE"""),"bbw_smsfb_b2g2_23may_lastreminder_pune_offline")</f>
        <v>bbw_smsfb_b2g2_23may_lastreminder_pune_offline</v>
      </c>
      <c r="H737" s="212" t="str">
        <f>IFERROR(__xludf.DUMMYFUNCTION("""COMPUTED_VALUE"""),"BBW_OFF_PUNE_Active, BBW_OFF_PUNE_Dorm")</f>
        <v>BBW_OFF_PUNE_Active, BBW_OFF_PUNE_Dorm</v>
      </c>
      <c r="I737" s="212" t="str">
        <f>IFERROR(__xludf.DUMMYFUNCTION("""COMPUTED_VALUE"""),"WA Undelivered")</f>
        <v>WA Undelivered</v>
      </c>
      <c r="J737" s="271">
        <f>IFERROR(__xludf.DUMMYFUNCTION("""COMPUTED_VALUE"""),7539.0)</f>
        <v>7539</v>
      </c>
      <c r="K737" s="271">
        <f>IFERROR(__xludf.DUMMYFUNCTION("""COMPUTED_VALUE"""),4195.0)</f>
        <v>4195</v>
      </c>
      <c r="L737" s="286">
        <f>IFERROR(__xludf.DUMMYFUNCTION("""COMPUTED_VALUE"""),0.5564)</f>
        <v>0.5564</v>
      </c>
      <c r="M737" s="271">
        <f>IFERROR(__xludf.DUMMYFUNCTION("""COMPUTED_VALUE"""),0.0)</f>
        <v>0</v>
      </c>
      <c r="N737" s="286">
        <f>IFERROR(__xludf.DUMMYFUNCTION("""COMPUTED_VALUE"""),0.0)</f>
        <v>0</v>
      </c>
      <c r="O737" s="211">
        <f>IFERROR(__xludf.DUMMYFUNCTION("""COMPUTED_VALUE"""),9.0)</f>
        <v>9</v>
      </c>
      <c r="P737" s="211">
        <f>IFERROR(__xludf.DUMMYFUNCTION("""COMPUTED_VALUE"""),0.0)</f>
        <v>0</v>
      </c>
      <c r="Q737" s="286">
        <f>IFERROR(__xludf.DUMMYFUNCTION("""COMPUTED_VALUE"""),0.0021)</f>
        <v>0.0021</v>
      </c>
      <c r="R737" s="286">
        <f>IFERROR(__xludf.DUMMYFUNCTION("""COMPUTED_VALUE"""),0.0)</f>
        <v>0</v>
      </c>
      <c r="S737" s="211">
        <f>IFERROR(__xludf.DUMMYFUNCTION("""COMPUTED_VALUE"""),0.0)</f>
        <v>0</v>
      </c>
      <c r="T737" s="211">
        <f>IFERROR(__xludf.DUMMYFUNCTION("""COMPUTED_VALUE"""),0.0)</f>
        <v>0</v>
      </c>
      <c r="U737" s="271">
        <f>IFERROR(__xludf.DUMMYFUNCTION("""COMPUTED_VALUE"""),97155.0)</f>
        <v>97155</v>
      </c>
      <c r="V737" s="211" t="str">
        <f>IFERROR(__xludf.DUMMYFUNCTION("""COMPUTED_VALUE"""),"offline")</f>
        <v>offline</v>
      </c>
      <c r="W737" s="212" t="str">
        <f>IFERROR(__xludf.DUMMYFUNCTION("""COMPUTED_VALUE"""),"SMS")</f>
        <v>SMS</v>
      </c>
      <c r="X737" s="212" t="str">
        <f>IFERROR(__xludf.DUMMYFUNCTION("""COMPUTED_VALUE"""),"City Specific")</f>
        <v>City Specific</v>
      </c>
      <c r="Y737" s="212" t="str">
        <f>IFERROR(__xludf.DUMMYFUNCTION("""COMPUTED_VALUE"""),"23 May")</f>
        <v>23 May</v>
      </c>
      <c r="Z737" s="212" t="str">
        <f>IFERROR(__xludf.DUMMYFUNCTION("""COMPUTED_VALUE"""),"6a0ee1600cadc699e98c92c7")</f>
        <v>6a0ee1600cadc699e98c92c7</v>
      </c>
      <c r="AA737" s="287">
        <f>IFERROR(__xludf.DUMMYFUNCTION("""COMPUTED_VALUE"""),10.0)</f>
        <v>10</v>
      </c>
      <c r="AB737" s="287"/>
      <c r="AC737" s="287">
        <f>IFERROR(__xludf.DUMMYFUNCTION("""COMPUTED_VALUE"""),10.0)</f>
        <v>10</v>
      </c>
      <c r="AD737" s="287">
        <f>IFERROR(__xludf.DUMMYFUNCTION("""COMPUTED_VALUE"""),53375.0)</f>
        <v>53375</v>
      </c>
      <c r="AE737" s="287"/>
      <c r="AF737" s="287">
        <f>IFERROR(__xludf.DUMMYFUNCTION("""COMPUTED_VALUE"""),53375.0)</f>
        <v>53375</v>
      </c>
      <c r="AG737" s="208"/>
      <c r="AH737" s="208"/>
      <c r="AI737" s="208"/>
      <c r="AJ737" s="208"/>
      <c r="AK737" s="208"/>
    </row>
    <row r="738" hidden="1">
      <c r="A738" s="215">
        <f>IFERROR(__xludf.DUMMYFUNCTION("""COMPUTED_VALUE"""),46165.0)</f>
        <v>46165</v>
      </c>
      <c r="B738" s="210">
        <f>IFERROR(__xludf.DUMMYFUNCTION("""COMPUTED_VALUE"""),0.5416666666678793)</f>
        <v>0.5416666667</v>
      </c>
      <c r="C738" s="211" t="str">
        <f>IFERROR(__xludf.DUMMYFUNCTION("""COMPUTED_VALUE"""),"Sms")</f>
        <v>Sms</v>
      </c>
      <c r="D738" s="211" t="str">
        <f>IFERROR(__xludf.DUMMYFUNCTION("""COMPUTED_VALUE"""),"Fallback campaign")</f>
        <v>Fallback campaign</v>
      </c>
      <c r="E738" s="211" t="str">
        <f>IFERROR(__xludf.DUMMYFUNCTION("""COMPUTED_VALUE"""),"BBW")</f>
        <v>BBW</v>
      </c>
      <c r="F738" s="211" t="str">
        <f>IFERROR(__xludf.DUMMYFUNCTION("""COMPUTED_VALUE"""),"B2G2 - Entire Store")</f>
        <v>B2G2 - Entire Store</v>
      </c>
      <c r="G738" s="211" t="str">
        <f>IFERROR(__xludf.DUMMYFUNCTION("""COMPUTED_VALUE"""),"bbw_smsfb_b2g2_23may_lastreminder_del_offline")</f>
        <v>bbw_smsfb_b2g2_23may_lastreminder_del_offline</v>
      </c>
      <c r="H738" s="212" t="str">
        <f>IFERROR(__xludf.DUMMYFUNCTION("""COMPUTED_VALUE"""),"BBW_OFF_DEL_Dorm, BBW_OFF_DEL_Active")</f>
        <v>BBW_OFF_DEL_Dorm, BBW_OFF_DEL_Active</v>
      </c>
      <c r="I738" s="212" t="str">
        <f>IFERROR(__xludf.DUMMYFUNCTION("""COMPUTED_VALUE"""),"WA Undelivered")</f>
        <v>WA Undelivered</v>
      </c>
      <c r="J738" s="271">
        <f>IFERROR(__xludf.DUMMYFUNCTION("""COMPUTED_VALUE"""),28834.0)</f>
        <v>28834</v>
      </c>
      <c r="K738" s="271">
        <f>IFERROR(__xludf.DUMMYFUNCTION("""COMPUTED_VALUE"""),15444.0)</f>
        <v>15444</v>
      </c>
      <c r="L738" s="286">
        <f>IFERROR(__xludf.DUMMYFUNCTION("""COMPUTED_VALUE"""),0.5356)</f>
        <v>0.5356</v>
      </c>
      <c r="M738" s="271">
        <f>IFERROR(__xludf.DUMMYFUNCTION("""COMPUTED_VALUE"""),0.0)</f>
        <v>0</v>
      </c>
      <c r="N738" s="286">
        <f>IFERROR(__xludf.DUMMYFUNCTION("""COMPUTED_VALUE"""),0.0)</f>
        <v>0</v>
      </c>
      <c r="O738" s="211">
        <f>IFERROR(__xludf.DUMMYFUNCTION("""COMPUTED_VALUE"""),23.0)</f>
        <v>23</v>
      </c>
      <c r="P738" s="211">
        <f>IFERROR(__xludf.DUMMYFUNCTION("""COMPUTED_VALUE"""),0.0)</f>
        <v>0</v>
      </c>
      <c r="Q738" s="286">
        <f>IFERROR(__xludf.DUMMYFUNCTION("""COMPUTED_VALUE"""),0.0015)</f>
        <v>0.0015</v>
      </c>
      <c r="R738" s="286">
        <f>IFERROR(__xludf.DUMMYFUNCTION("""COMPUTED_VALUE"""),0.0)</f>
        <v>0</v>
      </c>
      <c r="S738" s="211">
        <f>IFERROR(__xludf.DUMMYFUNCTION("""COMPUTED_VALUE"""),0.0)</f>
        <v>0</v>
      </c>
      <c r="T738" s="211">
        <f>IFERROR(__xludf.DUMMYFUNCTION("""COMPUTED_VALUE"""),0.0)</f>
        <v>0</v>
      </c>
      <c r="U738" s="271">
        <f>IFERROR(__xludf.DUMMYFUNCTION("""COMPUTED_VALUE"""),333519.0)</f>
        <v>333519</v>
      </c>
      <c r="V738" s="211" t="str">
        <f>IFERROR(__xludf.DUMMYFUNCTION("""COMPUTED_VALUE"""),"offline")</f>
        <v>offline</v>
      </c>
      <c r="W738" s="212" t="str">
        <f>IFERROR(__xludf.DUMMYFUNCTION("""COMPUTED_VALUE"""),"SMS")</f>
        <v>SMS</v>
      </c>
      <c r="X738" s="212" t="str">
        <f>IFERROR(__xludf.DUMMYFUNCTION("""COMPUTED_VALUE"""),"City Specific")</f>
        <v>City Specific</v>
      </c>
      <c r="Y738" s="212" t="str">
        <f>IFERROR(__xludf.DUMMYFUNCTION("""COMPUTED_VALUE"""),"23 May")</f>
        <v>23 May</v>
      </c>
      <c r="Z738" s="212" t="str">
        <f>IFERROR(__xludf.DUMMYFUNCTION("""COMPUTED_VALUE"""),"6a0ee1accef7ea6f77e88324")</f>
        <v>6a0ee1accef7ea6f77e88324</v>
      </c>
      <c r="AA738" s="287">
        <f>IFERROR(__xludf.DUMMYFUNCTION("""COMPUTED_VALUE"""),30.0)</f>
        <v>30</v>
      </c>
      <c r="AB738" s="287"/>
      <c r="AC738" s="287">
        <f>IFERROR(__xludf.DUMMYFUNCTION("""COMPUTED_VALUE"""),30.0)</f>
        <v>30</v>
      </c>
      <c r="AD738" s="287">
        <f>IFERROR(__xludf.DUMMYFUNCTION("""COMPUTED_VALUE"""),156923.0)</f>
        <v>156923</v>
      </c>
      <c r="AE738" s="287"/>
      <c r="AF738" s="287">
        <f>IFERROR(__xludf.DUMMYFUNCTION("""COMPUTED_VALUE"""),156923.0)</f>
        <v>156923</v>
      </c>
      <c r="AG738" s="208"/>
      <c r="AH738" s="208"/>
      <c r="AI738" s="208"/>
      <c r="AJ738" s="208"/>
      <c r="AK738" s="208"/>
    </row>
    <row r="739" hidden="1">
      <c r="A739" s="215">
        <f>IFERROR(__xludf.DUMMYFUNCTION("""COMPUTED_VALUE"""),46165.0)</f>
        <v>46165</v>
      </c>
      <c r="B739" s="210">
        <f>IFERROR(__xludf.DUMMYFUNCTION("""COMPUTED_VALUE"""),0.5416666666678793)</f>
        <v>0.5416666667</v>
      </c>
      <c r="C739" s="211" t="str">
        <f>IFERROR(__xludf.DUMMYFUNCTION("""COMPUTED_VALUE"""),"Sms")</f>
        <v>Sms</v>
      </c>
      <c r="D739" s="211" t="str">
        <f>IFERROR(__xludf.DUMMYFUNCTION("""COMPUTED_VALUE"""),"Fallback campaign")</f>
        <v>Fallback campaign</v>
      </c>
      <c r="E739" s="211" t="str">
        <f>IFERROR(__xludf.DUMMYFUNCTION("""COMPUTED_VALUE"""),"BBW")</f>
        <v>BBW</v>
      </c>
      <c r="F739" s="211" t="str">
        <f>IFERROR(__xludf.DUMMYFUNCTION("""COMPUTED_VALUE"""),"B2G2 - Entire Store")</f>
        <v>B2G2 - Entire Store</v>
      </c>
      <c r="G739" s="211" t="str">
        <f>IFERROR(__xludf.DUMMYFUNCTION("""COMPUTED_VALUE"""),"bbw_smsfb_b2g2_23may_lastreminder_chenn_offline")</f>
        <v>bbw_smsfb_b2g2_23may_lastreminder_chenn_offline</v>
      </c>
      <c r="H739" s="212" t="str">
        <f>IFERROR(__xludf.DUMMYFUNCTION("""COMPUTED_VALUE"""),"BBW_OFF_Chennai_Dorm, BBW_OFF_Chennai_Active")</f>
        <v>BBW_OFF_Chennai_Dorm, BBW_OFF_Chennai_Active</v>
      </c>
      <c r="I739" s="212" t="str">
        <f>IFERROR(__xludf.DUMMYFUNCTION("""COMPUTED_VALUE"""),"WA Undelivered")</f>
        <v>WA Undelivered</v>
      </c>
      <c r="J739" s="271">
        <f>IFERROR(__xludf.DUMMYFUNCTION("""COMPUTED_VALUE"""),12088.0)</f>
        <v>12088</v>
      </c>
      <c r="K739" s="271">
        <f>IFERROR(__xludf.DUMMYFUNCTION("""COMPUTED_VALUE"""),7588.0)</f>
        <v>7588</v>
      </c>
      <c r="L739" s="286">
        <f>IFERROR(__xludf.DUMMYFUNCTION("""COMPUTED_VALUE"""),0.6277)</f>
        <v>0.6277</v>
      </c>
      <c r="M739" s="271">
        <f>IFERROR(__xludf.DUMMYFUNCTION("""COMPUTED_VALUE"""),0.0)</f>
        <v>0</v>
      </c>
      <c r="N739" s="286">
        <f>IFERROR(__xludf.DUMMYFUNCTION("""COMPUTED_VALUE"""),0.0)</f>
        <v>0</v>
      </c>
      <c r="O739" s="211">
        <f>IFERROR(__xludf.DUMMYFUNCTION("""COMPUTED_VALUE"""),4.0)</f>
        <v>4</v>
      </c>
      <c r="P739" s="211">
        <f>IFERROR(__xludf.DUMMYFUNCTION("""COMPUTED_VALUE"""),0.0)</f>
        <v>0</v>
      </c>
      <c r="Q739" s="286">
        <f>IFERROR(__xludf.DUMMYFUNCTION("""COMPUTED_VALUE"""),5.0E-4)</f>
        <v>0.0005</v>
      </c>
      <c r="R739" s="286">
        <f>IFERROR(__xludf.DUMMYFUNCTION("""COMPUTED_VALUE"""),0.0)</f>
        <v>0</v>
      </c>
      <c r="S739" s="211">
        <f>IFERROR(__xludf.DUMMYFUNCTION("""COMPUTED_VALUE"""),0.0)</f>
        <v>0</v>
      </c>
      <c r="T739" s="211">
        <f>IFERROR(__xludf.DUMMYFUNCTION("""COMPUTED_VALUE"""),0.0)</f>
        <v>0</v>
      </c>
      <c r="U739" s="271">
        <f>IFERROR(__xludf.DUMMYFUNCTION("""COMPUTED_VALUE"""),163810.0)</f>
        <v>163810</v>
      </c>
      <c r="V739" s="211" t="str">
        <f>IFERROR(__xludf.DUMMYFUNCTION("""COMPUTED_VALUE"""),"offline")</f>
        <v>offline</v>
      </c>
      <c r="W739" s="212" t="str">
        <f>IFERROR(__xludf.DUMMYFUNCTION("""COMPUTED_VALUE"""),"SMS")</f>
        <v>SMS</v>
      </c>
      <c r="X739" s="212" t="str">
        <f>IFERROR(__xludf.DUMMYFUNCTION("""COMPUTED_VALUE"""),"City Specific")</f>
        <v>City Specific</v>
      </c>
      <c r="Y739" s="212" t="str">
        <f>IFERROR(__xludf.DUMMYFUNCTION("""COMPUTED_VALUE"""),"23 May")</f>
        <v>23 May</v>
      </c>
      <c r="Z739" s="212" t="str">
        <f>IFERROR(__xludf.DUMMYFUNCTION("""COMPUTED_VALUE"""),"6a0ee2896432da318f4bf89e")</f>
        <v>6a0ee2896432da318f4bf89e</v>
      </c>
      <c r="AA739" s="287">
        <f>IFERROR(__xludf.DUMMYFUNCTION("""COMPUTED_VALUE"""),18.0)</f>
        <v>18</v>
      </c>
      <c r="AB739" s="287"/>
      <c r="AC739" s="287">
        <f>IFERROR(__xludf.DUMMYFUNCTION("""COMPUTED_VALUE"""),18.0)</f>
        <v>18</v>
      </c>
      <c r="AD739" s="287">
        <f>IFERROR(__xludf.DUMMYFUNCTION("""COMPUTED_VALUE"""),86250.0)</f>
        <v>86250</v>
      </c>
      <c r="AE739" s="287"/>
      <c r="AF739" s="287">
        <f>IFERROR(__xludf.DUMMYFUNCTION("""COMPUTED_VALUE"""),86250.0)</f>
        <v>86250</v>
      </c>
      <c r="AG739" s="208"/>
      <c r="AH739" s="208"/>
      <c r="AI739" s="208"/>
      <c r="AJ739" s="208"/>
      <c r="AK739" s="208"/>
    </row>
    <row r="740" hidden="1">
      <c r="A740" s="215">
        <f>IFERROR(__xludf.DUMMYFUNCTION("""COMPUTED_VALUE"""),46165.0)</f>
        <v>46165</v>
      </c>
      <c r="B740" s="210">
        <f>IFERROR(__xludf.DUMMYFUNCTION("""COMPUTED_VALUE"""),0.5416666666678793)</f>
        <v>0.5416666667</v>
      </c>
      <c r="C740" s="211" t="str">
        <f>IFERROR(__xludf.DUMMYFUNCTION("""COMPUTED_VALUE"""),"Sms")</f>
        <v>Sms</v>
      </c>
      <c r="D740" s="211" t="str">
        <f>IFERROR(__xludf.DUMMYFUNCTION("""COMPUTED_VALUE"""),"Fallback campaign")</f>
        <v>Fallback campaign</v>
      </c>
      <c r="E740" s="211" t="str">
        <f>IFERROR(__xludf.DUMMYFUNCTION("""COMPUTED_VALUE"""),"BBW")</f>
        <v>BBW</v>
      </c>
      <c r="F740" s="211" t="str">
        <f>IFERROR(__xludf.DUMMYFUNCTION("""COMPUTED_VALUE"""),"B2G2 - Entire Store")</f>
        <v>B2G2 - Entire Store</v>
      </c>
      <c r="G740" s="211" t="str">
        <f>IFERROR(__xludf.DUMMYFUNCTION("""COMPUTED_VALUE"""),"bbw_smsfb_b2g2_23may_lastreminder_hyd_offline")</f>
        <v>bbw_smsfb_b2g2_23may_lastreminder_hyd_offline</v>
      </c>
      <c r="H740" s="212" t="str">
        <f>IFERROR(__xludf.DUMMYFUNCTION("""COMPUTED_VALUE"""),"BBW_OFF_HYD_Active, BBW_OFF_HYD_Dorm")</f>
        <v>BBW_OFF_HYD_Active, BBW_OFF_HYD_Dorm</v>
      </c>
      <c r="I740" s="212" t="str">
        <f>IFERROR(__xludf.DUMMYFUNCTION("""COMPUTED_VALUE"""),"WA Undelivered")</f>
        <v>WA Undelivered</v>
      </c>
      <c r="J740" s="271">
        <f>IFERROR(__xludf.DUMMYFUNCTION("""COMPUTED_VALUE"""),16422.0)</f>
        <v>16422</v>
      </c>
      <c r="K740" s="271">
        <f>IFERROR(__xludf.DUMMYFUNCTION("""COMPUTED_VALUE"""),10453.0)</f>
        <v>10453</v>
      </c>
      <c r="L740" s="286">
        <f>IFERROR(__xludf.DUMMYFUNCTION("""COMPUTED_VALUE"""),0.6365)</f>
        <v>0.6365</v>
      </c>
      <c r="M740" s="271">
        <f>IFERROR(__xludf.DUMMYFUNCTION("""COMPUTED_VALUE"""),0.0)</f>
        <v>0</v>
      </c>
      <c r="N740" s="286">
        <f>IFERROR(__xludf.DUMMYFUNCTION("""COMPUTED_VALUE"""),0.0)</f>
        <v>0</v>
      </c>
      <c r="O740" s="211">
        <f>IFERROR(__xludf.DUMMYFUNCTION("""COMPUTED_VALUE"""),7.0)</f>
        <v>7</v>
      </c>
      <c r="P740" s="211">
        <f>IFERROR(__xludf.DUMMYFUNCTION("""COMPUTED_VALUE"""),0.0)</f>
        <v>0</v>
      </c>
      <c r="Q740" s="286">
        <f>IFERROR(__xludf.DUMMYFUNCTION("""COMPUTED_VALUE"""),7.0E-4)</f>
        <v>0.0007</v>
      </c>
      <c r="R740" s="286">
        <f>IFERROR(__xludf.DUMMYFUNCTION("""COMPUTED_VALUE"""),0.0)</f>
        <v>0</v>
      </c>
      <c r="S740" s="211">
        <f>IFERROR(__xludf.DUMMYFUNCTION("""COMPUTED_VALUE"""),0.0)</f>
        <v>0</v>
      </c>
      <c r="T740" s="211">
        <f>IFERROR(__xludf.DUMMYFUNCTION("""COMPUTED_VALUE"""),0.0)</f>
        <v>0</v>
      </c>
      <c r="U740" s="271">
        <f>IFERROR(__xludf.DUMMYFUNCTION("""COMPUTED_VALUE"""),129330.0)</f>
        <v>129330</v>
      </c>
      <c r="V740" s="211" t="str">
        <f>IFERROR(__xludf.DUMMYFUNCTION("""COMPUTED_VALUE"""),"offline")</f>
        <v>offline</v>
      </c>
      <c r="W740" s="212" t="str">
        <f>IFERROR(__xludf.DUMMYFUNCTION("""COMPUTED_VALUE"""),"SMS")</f>
        <v>SMS</v>
      </c>
      <c r="X740" s="212" t="str">
        <f>IFERROR(__xludf.DUMMYFUNCTION("""COMPUTED_VALUE"""),"City Specific")</f>
        <v>City Specific</v>
      </c>
      <c r="Y740" s="212" t="str">
        <f>IFERROR(__xludf.DUMMYFUNCTION("""COMPUTED_VALUE"""),"23 May")</f>
        <v>23 May</v>
      </c>
      <c r="Z740" s="212" t="str">
        <f>IFERROR(__xludf.DUMMYFUNCTION("""COMPUTED_VALUE"""),"6a0ee2cefdad890eedb9a7c3")</f>
        <v>6a0ee2cefdad890eedb9a7c3</v>
      </c>
      <c r="AA740" s="287">
        <f>IFERROR(__xludf.DUMMYFUNCTION("""COMPUTED_VALUE"""),14.0)</f>
        <v>14</v>
      </c>
      <c r="AB740" s="287"/>
      <c r="AC740" s="287">
        <f>IFERROR(__xludf.DUMMYFUNCTION("""COMPUTED_VALUE"""),14.0)</f>
        <v>14</v>
      </c>
      <c r="AD740" s="287">
        <f>IFERROR(__xludf.DUMMYFUNCTION("""COMPUTED_VALUE"""),76758.0)</f>
        <v>76758</v>
      </c>
      <c r="AE740" s="287"/>
      <c r="AF740" s="287">
        <f>IFERROR(__xludf.DUMMYFUNCTION("""COMPUTED_VALUE"""),76758.0)</f>
        <v>76758</v>
      </c>
      <c r="AG740" s="208"/>
      <c r="AH740" s="208"/>
      <c r="AI740" s="208"/>
      <c r="AJ740" s="208"/>
      <c r="AK740" s="208"/>
    </row>
    <row r="741" hidden="1">
      <c r="A741" s="215">
        <f>IFERROR(__xludf.DUMMYFUNCTION("""COMPUTED_VALUE"""),46165.0)</f>
        <v>46165</v>
      </c>
      <c r="B741" s="210">
        <f>IFERROR(__xludf.DUMMYFUNCTION("""COMPUTED_VALUE"""),0.5416666666678793)</f>
        <v>0.5416666667</v>
      </c>
      <c r="C741" s="211" t="str">
        <f>IFERROR(__xludf.DUMMYFUNCTION("""COMPUTED_VALUE"""),"Sms")</f>
        <v>Sms</v>
      </c>
      <c r="D741" s="211" t="str">
        <f>IFERROR(__xludf.DUMMYFUNCTION("""COMPUTED_VALUE"""),"Fallback campaign")</f>
        <v>Fallback campaign</v>
      </c>
      <c r="E741" s="211" t="str">
        <f>IFERROR(__xludf.DUMMYFUNCTION("""COMPUTED_VALUE"""),"BBW")</f>
        <v>BBW</v>
      </c>
      <c r="F741" s="211" t="str">
        <f>IFERROR(__xludf.DUMMYFUNCTION("""COMPUTED_VALUE"""),"B2G2 - Entire Store")</f>
        <v>B2G2 - Entire Store</v>
      </c>
      <c r="G741" s="211" t="str">
        <f>IFERROR(__xludf.DUMMYFUNCTION("""COMPUTED_VALUE"""),"bbw_smsfb_b2g2_23may_lastreminder_chd_offline")</f>
        <v>bbw_smsfb_b2g2_23may_lastreminder_chd_offline</v>
      </c>
      <c r="H741" s="212" t="str">
        <f>IFERROR(__xludf.DUMMYFUNCTION("""COMPUTED_VALUE"""),"BBW_OFF_CHD_Active, BBW_OFF_CHD_Dorm")</f>
        <v>BBW_OFF_CHD_Active, BBW_OFF_CHD_Dorm</v>
      </c>
      <c r="I741" s="212" t="str">
        <f>IFERROR(__xludf.DUMMYFUNCTION("""COMPUTED_VALUE"""),"WA Undelivered")</f>
        <v>WA Undelivered</v>
      </c>
      <c r="J741" s="271">
        <f>IFERROR(__xludf.DUMMYFUNCTION("""COMPUTED_VALUE"""),13868.0)</f>
        <v>13868</v>
      </c>
      <c r="K741" s="271">
        <f>IFERROR(__xludf.DUMMYFUNCTION("""COMPUTED_VALUE"""),8870.0)</f>
        <v>8870</v>
      </c>
      <c r="L741" s="286">
        <f>IFERROR(__xludf.DUMMYFUNCTION("""COMPUTED_VALUE"""),0.6396)</f>
        <v>0.6396</v>
      </c>
      <c r="M741" s="271">
        <f>IFERROR(__xludf.DUMMYFUNCTION("""COMPUTED_VALUE"""),0.0)</f>
        <v>0</v>
      </c>
      <c r="N741" s="286">
        <f>IFERROR(__xludf.DUMMYFUNCTION("""COMPUTED_VALUE"""),0.0)</f>
        <v>0</v>
      </c>
      <c r="O741" s="211">
        <f>IFERROR(__xludf.DUMMYFUNCTION("""COMPUTED_VALUE"""),9.0)</f>
        <v>9</v>
      </c>
      <c r="P741" s="211">
        <f>IFERROR(__xludf.DUMMYFUNCTION("""COMPUTED_VALUE"""),0.0)</f>
        <v>0</v>
      </c>
      <c r="Q741" s="286">
        <f>IFERROR(__xludf.DUMMYFUNCTION("""COMPUTED_VALUE"""),0.001)</f>
        <v>0.001</v>
      </c>
      <c r="R741" s="286">
        <f>IFERROR(__xludf.DUMMYFUNCTION("""COMPUTED_VALUE"""),0.0)</f>
        <v>0</v>
      </c>
      <c r="S741" s="211">
        <f>IFERROR(__xludf.DUMMYFUNCTION("""COMPUTED_VALUE"""),0.0)</f>
        <v>0</v>
      </c>
      <c r="T741" s="211">
        <f>IFERROR(__xludf.DUMMYFUNCTION("""COMPUTED_VALUE"""),0.0)</f>
        <v>0</v>
      </c>
      <c r="U741" s="271">
        <f>IFERROR(__xludf.DUMMYFUNCTION("""COMPUTED_VALUE"""),189863.0)</f>
        <v>189863</v>
      </c>
      <c r="V741" s="211" t="str">
        <f>IFERROR(__xludf.DUMMYFUNCTION("""COMPUTED_VALUE"""),"offline")</f>
        <v>offline</v>
      </c>
      <c r="W741" s="212" t="str">
        <f>IFERROR(__xludf.DUMMYFUNCTION("""COMPUTED_VALUE"""),"SMS")</f>
        <v>SMS</v>
      </c>
      <c r="X741" s="212" t="str">
        <f>IFERROR(__xludf.DUMMYFUNCTION("""COMPUTED_VALUE"""),"City Specific")</f>
        <v>City Specific</v>
      </c>
      <c r="Y741" s="212" t="str">
        <f>IFERROR(__xludf.DUMMYFUNCTION("""COMPUTED_VALUE"""),"23 May")</f>
        <v>23 May</v>
      </c>
      <c r="Z741" s="212" t="str">
        <f>IFERROR(__xludf.DUMMYFUNCTION("""COMPUTED_VALUE"""),"6a0ee385bc559407e3ef6d2a")</f>
        <v>6a0ee385bc559407e3ef6d2a</v>
      </c>
      <c r="AA741" s="287">
        <f>IFERROR(__xludf.DUMMYFUNCTION("""COMPUTED_VALUE"""),21.0)</f>
        <v>21</v>
      </c>
      <c r="AB741" s="287"/>
      <c r="AC741" s="287">
        <f>IFERROR(__xludf.DUMMYFUNCTION("""COMPUTED_VALUE"""),21.0)</f>
        <v>21</v>
      </c>
      <c r="AD741" s="287">
        <f>IFERROR(__xludf.DUMMYFUNCTION("""COMPUTED_VALUE"""),103741.0)</f>
        <v>103741</v>
      </c>
      <c r="AE741" s="287"/>
      <c r="AF741" s="287">
        <f>IFERROR(__xludf.DUMMYFUNCTION("""COMPUTED_VALUE"""),103741.0)</f>
        <v>103741</v>
      </c>
      <c r="AG741" s="208"/>
      <c r="AH741" s="208"/>
      <c r="AI741" s="208"/>
      <c r="AJ741" s="208"/>
      <c r="AK741" s="208"/>
    </row>
    <row r="742" hidden="1">
      <c r="A742" s="215">
        <f>IFERROR(__xludf.DUMMYFUNCTION("""COMPUTED_VALUE"""),46165.0)</f>
        <v>46165</v>
      </c>
      <c r="B742" s="210">
        <f>IFERROR(__xludf.DUMMYFUNCTION("""COMPUTED_VALUE"""),0.5416666666678793)</f>
        <v>0.5416666667</v>
      </c>
      <c r="C742" s="211" t="str">
        <f>IFERROR(__xludf.DUMMYFUNCTION("""COMPUTED_VALUE"""),"Sms")</f>
        <v>Sms</v>
      </c>
      <c r="D742" s="211" t="str">
        <f>IFERROR(__xludf.DUMMYFUNCTION("""COMPUTED_VALUE"""),"Fallback campaign")</f>
        <v>Fallback campaign</v>
      </c>
      <c r="E742" s="211" t="str">
        <f>IFERROR(__xludf.DUMMYFUNCTION("""COMPUTED_VALUE"""),"BBW")</f>
        <v>BBW</v>
      </c>
      <c r="F742" s="211" t="str">
        <f>IFERROR(__xludf.DUMMYFUNCTION("""COMPUTED_VALUE"""),"B2G2 - Entire Store")</f>
        <v>B2G2 - Entire Store</v>
      </c>
      <c r="G742" s="211" t="str">
        <f>IFERROR(__xludf.DUMMYFUNCTION("""COMPUTED_VALUE"""),"bbw_smsfb_b2g2_23may_lastreminder_ggn_offline")</f>
        <v>bbw_smsfb_b2g2_23may_lastreminder_ggn_offline</v>
      </c>
      <c r="H742" s="212" t="str">
        <f>IFERROR(__xludf.DUMMYFUNCTION("""COMPUTED_VALUE"""),"BBW_OFF_GGN_Active, BBW_OFF_GGN_Dorm")</f>
        <v>BBW_OFF_GGN_Active, BBW_OFF_GGN_Dorm</v>
      </c>
      <c r="I742" s="212" t="str">
        <f>IFERROR(__xludf.DUMMYFUNCTION("""COMPUTED_VALUE"""),"WA Undelivered")</f>
        <v>WA Undelivered</v>
      </c>
      <c r="J742" s="271">
        <f>IFERROR(__xludf.DUMMYFUNCTION("""COMPUTED_VALUE"""),12264.0)</f>
        <v>12264</v>
      </c>
      <c r="K742" s="271">
        <f>IFERROR(__xludf.DUMMYFUNCTION("""COMPUTED_VALUE"""),6164.0)</f>
        <v>6164</v>
      </c>
      <c r="L742" s="286">
        <f>IFERROR(__xludf.DUMMYFUNCTION("""COMPUTED_VALUE"""),0.5026)</f>
        <v>0.5026</v>
      </c>
      <c r="M742" s="271">
        <f>IFERROR(__xludf.DUMMYFUNCTION("""COMPUTED_VALUE"""),0.0)</f>
        <v>0</v>
      </c>
      <c r="N742" s="286">
        <f>IFERROR(__xludf.DUMMYFUNCTION("""COMPUTED_VALUE"""),0.0)</f>
        <v>0</v>
      </c>
      <c r="O742" s="211">
        <f>IFERROR(__xludf.DUMMYFUNCTION("""COMPUTED_VALUE"""),9.0)</f>
        <v>9</v>
      </c>
      <c r="P742" s="211">
        <f>IFERROR(__xludf.DUMMYFUNCTION("""COMPUTED_VALUE"""),0.0)</f>
        <v>0</v>
      </c>
      <c r="Q742" s="286">
        <f>IFERROR(__xludf.DUMMYFUNCTION("""COMPUTED_VALUE"""),0.0015)</f>
        <v>0.0015</v>
      </c>
      <c r="R742" s="286">
        <f>IFERROR(__xludf.DUMMYFUNCTION("""COMPUTED_VALUE"""),0.0)</f>
        <v>0</v>
      </c>
      <c r="S742" s="211">
        <f>IFERROR(__xludf.DUMMYFUNCTION("""COMPUTED_VALUE"""),0.0)</f>
        <v>0</v>
      </c>
      <c r="T742" s="211">
        <f>IFERROR(__xludf.DUMMYFUNCTION("""COMPUTED_VALUE"""),0.0)</f>
        <v>0</v>
      </c>
      <c r="U742" s="271">
        <f>IFERROR(__xludf.DUMMYFUNCTION("""COMPUTED_VALUE"""),108546.0)</f>
        <v>108546</v>
      </c>
      <c r="V742" s="211" t="str">
        <f>IFERROR(__xludf.DUMMYFUNCTION("""COMPUTED_VALUE"""),"offline")</f>
        <v>offline</v>
      </c>
      <c r="W742" s="212" t="str">
        <f>IFERROR(__xludf.DUMMYFUNCTION("""COMPUTED_VALUE"""),"SMS")</f>
        <v>SMS</v>
      </c>
      <c r="X742" s="212" t="str">
        <f>IFERROR(__xludf.DUMMYFUNCTION("""COMPUTED_VALUE"""),"City Specific")</f>
        <v>City Specific</v>
      </c>
      <c r="Y742" s="212" t="str">
        <f>IFERROR(__xludf.DUMMYFUNCTION("""COMPUTED_VALUE"""),"23 May")</f>
        <v>23 May</v>
      </c>
      <c r="Z742" s="212" t="str">
        <f>IFERROR(__xludf.DUMMYFUNCTION("""COMPUTED_VALUE"""),"6a0ee3deb729262a4f4a42b0")</f>
        <v>6a0ee3deb729262a4f4a42b0</v>
      </c>
      <c r="AA742" s="287">
        <f>IFERROR(__xludf.DUMMYFUNCTION("""COMPUTED_VALUE"""),11.0)</f>
        <v>11</v>
      </c>
      <c r="AB742" s="287"/>
      <c r="AC742" s="287">
        <f>IFERROR(__xludf.DUMMYFUNCTION("""COMPUTED_VALUE"""),11.0)</f>
        <v>11</v>
      </c>
      <c r="AD742" s="287">
        <f>IFERROR(__xludf.DUMMYFUNCTION("""COMPUTED_VALUE"""),46678.0)</f>
        <v>46678</v>
      </c>
      <c r="AE742" s="287"/>
      <c r="AF742" s="287">
        <f>IFERROR(__xludf.DUMMYFUNCTION("""COMPUTED_VALUE"""),46678.0)</f>
        <v>46678</v>
      </c>
      <c r="AG742" s="208"/>
      <c r="AH742" s="208"/>
      <c r="AI742" s="208"/>
      <c r="AJ742" s="208"/>
      <c r="AK742" s="208"/>
    </row>
    <row r="743" hidden="1">
      <c r="A743" s="215">
        <f>IFERROR(__xludf.DUMMYFUNCTION("""COMPUTED_VALUE"""),46165.0)</f>
        <v>46165</v>
      </c>
      <c r="B743" s="210">
        <f>IFERROR(__xludf.DUMMYFUNCTION("""COMPUTED_VALUE"""),0.5416666666678793)</f>
        <v>0.5416666667</v>
      </c>
      <c r="C743" s="211" t="str">
        <f>IFERROR(__xludf.DUMMYFUNCTION("""COMPUTED_VALUE"""),"Sms")</f>
        <v>Sms</v>
      </c>
      <c r="D743" s="211" t="str">
        <f>IFERROR(__xludf.DUMMYFUNCTION("""COMPUTED_VALUE"""),"Fallback campaign")</f>
        <v>Fallback campaign</v>
      </c>
      <c r="E743" s="211" t="str">
        <f>IFERROR(__xludf.DUMMYFUNCTION("""COMPUTED_VALUE"""),"BBW")</f>
        <v>BBW</v>
      </c>
      <c r="F743" s="211" t="str">
        <f>IFERROR(__xludf.DUMMYFUNCTION("""COMPUTED_VALUE"""),"B2G2 - Entire Store")</f>
        <v>B2G2 - Entire Store</v>
      </c>
      <c r="G743" s="211" t="str">
        <f>IFERROR(__xludf.DUMMYFUNCTION("""COMPUTED_VALUE"""),"bbw_smsfb_b2g2_23may_lastreminder_noida_offline")</f>
        <v>bbw_smsfb_b2g2_23may_lastreminder_noida_offline</v>
      </c>
      <c r="H743" s="212" t="str">
        <f>IFERROR(__xludf.DUMMYFUNCTION("""COMPUTED_VALUE"""),"BBW_OFF_NOIDA_Active, BBW_OFF_NOIDA_Dorm")</f>
        <v>BBW_OFF_NOIDA_Active, BBW_OFF_NOIDA_Dorm</v>
      </c>
      <c r="I743" s="212" t="str">
        <f>IFERROR(__xludf.DUMMYFUNCTION("""COMPUTED_VALUE"""),"WA Undelivered")</f>
        <v>WA Undelivered</v>
      </c>
      <c r="J743" s="271">
        <f>IFERROR(__xludf.DUMMYFUNCTION("""COMPUTED_VALUE"""),13109.0)</f>
        <v>13109</v>
      </c>
      <c r="K743" s="271">
        <f>IFERROR(__xludf.DUMMYFUNCTION("""COMPUTED_VALUE"""),6995.0)</f>
        <v>6995</v>
      </c>
      <c r="L743" s="286">
        <f>IFERROR(__xludf.DUMMYFUNCTION("""COMPUTED_VALUE"""),0.5336)</f>
        <v>0.5336</v>
      </c>
      <c r="M743" s="271">
        <f>IFERROR(__xludf.DUMMYFUNCTION("""COMPUTED_VALUE"""),0.0)</f>
        <v>0</v>
      </c>
      <c r="N743" s="286">
        <f>IFERROR(__xludf.DUMMYFUNCTION("""COMPUTED_VALUE"""),0.0)</f>
        <v>0</v>
      </c>
      <c r="O743" s="211">
        <f>IFERROR(__xludf.DUMMYFUNCTION("""COMPUTED_VALUE"""),10.0)</f>
        <v>10</v>
      </c>
      <c r="P743" s="211">
        <f>IFERROR(__xludf.DUMMYFUNCTION("""COMPUTED_VALUE"""),0.0)</f>
        <v>0</v>
      </c>
      <c r="Q743" s="286">
        <f>IFERROR(__xludf.DUMMYFUNCTION("""COMPUTED_VALUE"""),0.0014)</f>
        <v>0.0014</v>
      </c>
      <c r="R743" s="286">
        <f>IFERROR(__xludf.DUMMYFUNCTION("""COMPUTED_VALUE"""),0.0)</f>
        <v>0</v>
      </c>
      <c r="S743" s="211">
        <f>IFERROR(__xludf.DUMMYFUNCTION("""COMPUTED_VALUE"""),0.0)</f>
        <v>0</v>
      </c>
      <c r="T743" s="211">
        <f>IFERROR(__xludf.DUMMYFUNCTION("""COMPUTED_VALUE"""),0.0)</f>
        <v>0</v>
      </c>
      <c r="U743" s="271">
        <f>IFERROR(__xludf.DUMMYFUNCTION("""COMPUTED_VALUE"""),125037.0)</f>
        <v>125037</v>
      </c>
      <c r="V743" s="211" t="str">
        <f>IFERROR(__xludf.DUMMYFUNCTION("""COMPUTED_VALUE"""),"offline")</f>
        <v>offline</v>
      </c>
      <c r="W743" s="212" t="str">
        <f>IFERROR(__xludf.DUMMYFUNCTION("""COMPUTED_VALUE"""),"SMS")</f>
        <v>SMS</v>
      </c>
      <c r="X743" s="212" t="str">
        <f>IFERROR(__xludf.DUMMYFUNCTION("""COMPUTED_VALUE"""),"City Specific")</f>
        <v>City Specific</v>
      </c>
      <c r="Y743" s="212" t="str">
        <f>IFERROR(__xludf.DUMMYFUNCTION("""COMPUTED_VALUE"""),"23 May")</f>
        <v>23 May</v>
      </c>
      <c r="Z743" s="212" t="str">
        <f>IFERROR(__xludf.DUMMYFUNCTION("""COMPUTED_VALUE"""),"6a0ee42eb729262a4f4a42e2")</f>
        <v>6a0ee42eb729262a4f4a42e2</v>
      </c>
      <c r="AA743" s="287">
        <f>IFERROR(__xludf.DUMMYFUNCTION("""COMPUTED_VALUE"""),13.0)</f>
        <v>13</v>
      </c>
      <c r="AB743" s="287"/>
      <c r="AC743" s="287">
        <f>IFERROR(__xludf.DUMMYFUNCTION("""COMPUTED_VALUE"""),13.0)</f>
        <v>13</v>
      </c>
      <c r="AD743" s="287">
        <f>IFERROR(__xludf.DUMMYFUNCTION("""COMPUTED_VALUE"""),64169.0)</f>
        <v>64169</v>
      </c>
      <c r="AE743" s="287"/>
      <c r="AF743" s="287">
        <f>IFERROR(__xludf.DUMMYFUNCTION("""COMPUTED_VALUE"""),64169.0)</f>
        <v>64169</v>
      </c>
      <c r="AG743" s="208"/>
      <c r="AH743" s="208"/>
      <c r="AI743" s="208"/>
      <c r="AJ743" s="208"/>
      <c r="AK743" s="208"/>
    </row>
    <row r="744" hidden="1">
      <c r="A744" s="215">
        <f>IFERROR(__xludf.DUMMYFUNCTION("""COMPUTED_VALUE"""),46165.0)</f>
        <v>46165</v>
      </c>
      <c r="B744" s="210">
        <f>IFERROR(__xludf.DUMMYFUNCTION("""COMPUTED_VALUE"""),0.5416666666678793)</f>
        <v>0.5416666667</v>
      </c>
      <c r="C744" s="211" t="str">
        <f>IFERROR(__xludf.DUMMYFUNCTION("""COMPUTED_VALUE"""),"Sms")</f>
        <v>Sms</v>
      </c>
      <c r="D744" s="211" t="str">
        <f>IFERROR(__xludf.DUMMYFUNCTION("""COMPUTED_VALUE"""),"Fallback campaign")</f>
        <v>Fallback campaign</v>
      </c>
      <c r="E744" s="211" t="str">
        <f>IFERROR(__xludf.DUMMYFUNCTION("""COMPUTED_VALUE"""),"BBW")</f>
        <v>BBW</v>
      </c>
      <c r="F744" s="211" t="str">
        <f>IFERROR(__xludf.DUMMYFUNCTION("""COMPUTED_VALUE"""),"B2G2 - Entire Store")</f>
        <v>B2G2 - Entire Store</v>
      </c>
      <c r="G744" s="211" t="str">
        <f>IFERROR(__xludf.DUMMYFUNCTION("""COMPUTED_VALUE"""),"bbw_smsfb_b2g2_23may_lastreminder_thane_offline")</f>
        <v>bbw_smsfb_b2g2_23may_lastreminder_thane_offline</v>
      </c>
      <c r="H744" s="212" t="str">
        <f>IFERROR(__xludf.DUMMYFUNCTION("""COMPUTED_VALUE"""),"BBW_OFF_THANE_Active, BBW_OFF_THANE_Dorm")</f>
        <v>BBW_OFF_THANE_Active, BBW_OFF_THANE_Dorm</v>
      </c>
      <c r="I744" s="212" t="str">
        <f>IFERROR(__xludf.DUMMYFUNCTION("""COMPUTED_VALUE"""),"WA Undelivered")</f>
        <v>WA Undelivered</v>
      </c>
      <c r="J744" s="271">
        <f>IFERROR(__xludf.DUMMYFUNCTION("""COMPUTED_VALUE"""),6414.0)</f>
        <v>6414</v>
      </c>
      <c r="K744" s="271">
        <f>IFERROR(__xludf.DUMMYFUNCTION("""COMPUTED_VALUE"""),3578.0)</f>
        <v>3578</v>
      </c>
      <c r="L744" s="286">
        <f>IFERROR(__xludf.DUMMYFUNCTION("""COMPUTED_VALUE"""),0.5578)</f>
        <v>0.5578</v>
      </c>
      <c r="M744" s="271">
        <f>IFERROR(__xludf.DUMMYFUNCTION("""COMPUTED_VALUE"""),0.0)</f>
        <v>0</v>
      </c>
      <c r="N744" s="286">
        <f>IFERROR(__xludf.DUMMYFUNCTION("""COMPUTED_VALUE"""),0.0)</f>
        <v>0</v>
      </c>
      <c r="O744" s="211">
        <f>IFERROR(__xludf.DUMMYFUNCTION("""COMPUTED_VALUE"""),10.0)</f>
        <v>10</v>
      </c>
      <c r="P744" s="211">
        <f>IFERROR(__xludf.DUMMYFUNCTION("""COMPUTED_VALUE"""),0.0)</f>
        <v>0</v>
      </c>
      <c r="Q744" s="286">
        <f>IFERROR(__xludf.DUMMYFUNCTION("""COMPUTED_VALUE"""),0.0028)</f>
        <v>0.0028</v>
      </c>
      <c r="R744" s="286">
        <f>IFERROR(__xludf.DUMMYFUNCTION("""COMPUTED_VALUE"""),0.0)</f>
        <v>0</v>
      </c>
      <c r="S744" s="211">
        <f>IFERROR(__xludf.DUMMYFUNCTION("""COMPUTED_VALUE"""),0.0)</f>
        <v>0</v>
      </c>
      <c r="T744" s="211">
        <f>IFERROR(__xludf.DUMMYFUNCTION("""COMPUTED_VALUE"""),0.0)</f>
        <v>0</v>
      </c>
      <c r="U744" s="271">
        <f>IFERROR(__xludf.DUMMYFUNCTION("""COMPUTED_VALUE"""),54967.0)</f>
        <v>54967</v>
      </c>
      <c r="V744" s="211" t="str">
        <f>IFERROR(__xludf.DUMMYFUNCTION("""COMPUTED_VALUE"""),"offline")</f>
        <v>offline</v>
      </c>
      <c r="W744" s="212" t="str">
        <f>IFERROR(__xludf.DUMMYFUNCTION("""COMPUTED_VALUE"""),"SMS")</f>
        <v>SMS</v>
      </c>
      <c r="X744" s="212" t="str">
        <f>IFERROR(__xludf.DUMMYFUNCTION("""COMPUTED_VALUE"""),"City Specific")</f>
        <v>City Specific</v>
      </c>
      <c r="Y744" s="212" t="str">
        <f>IFERROR(__xludf.DUMMYFUNCTION("""COMPUTED_VALUE"""),"23 May")</f>
        <v>23 May</v>
      </c>
      <c r="Z744" s="212" t="str">
        <f>IFERROR(__xludf.DUMMYFUNCTION("""COMPUTED_VALUE"""),"6a0ee4da7c643f09456b5e4f")</f>
        <v>6a0ee4da7c643f09456b5e4f</v>
      </c>
      <c r="AA744" s="287">
        <f>IFERROR(__xludf.DUMMYFUNCTION("""COMPUTED_VALUE"""),5.0)</f>
        <v>5</v>
      </c>
      <c r="AB744" s="287"/>
      <c r="AC744" s="287">
        <f>IFERROR(__xludf.DUMMYFUNCTION("""COMPUTED_VALUE"""),5.0)</f>
        <v>5</v>
      </c>
      <c r="AD744" s="287">
        <f>IFERROR(__xludf.DUMMYFUNCTION("""COMPUTED_VALUE"""),19588.0)</f>
        <v>19588</v>
      </c>
      <c r="AE744" s="287"/>
      <c r="AF744" s="287">
        <f>IFERROR(__xludf.DUMMYFUNCTION("""COMPUTED_VALUE"""),19588.0)</f>
        <v>19588</v>
      </c>
      <c r="AG744" s="208"/>
      <c r="AH744" s="208"/>
      <c r="AI744" s="208"/>
      <c r="AJ744" s="208"/>
      <c r="AK744" s="208"/>
    </row>
    <row r="745" hidden="1">
      <c r="A745" s="215">
        <f>IFERROR(__xludf.DUMMYFUNCTION("""COMPUTED_VALUE"""),46165.0)</f>
        <v>46165</v>
      </c>
      <c r="B745" s="210">
        <f>IFERROR(__xludf.DUMMYFUNCTION("""COMPUTED_VALUE"""),0.5416666666678793)</f>
        <v>0.5416666667</v>
      </c>
      <c r="C745" s="211" t="str">
        <f>IFERROR(__xludf.DUMMYFUNCTION("""COMPUTED_VALUE"""),"Sms")</f>
        <v>Sms</v>
      </c>
      <c r="D745" s="211" t="str">
        <f>IFERROR(__xludf.DUMMYFUNCTION("""COMPUTED_VALUE"""),"Fallback campaign")</f>
        <v>Fallback campaign</v>
      </c>
      <c r="E745" s="211" t="str">
        <f>IFERROR(__xludf.DUMMYFUNCTION("""COMPUTED_VALUE"""),"BBW")</f>
        <v>BBW</v>
      </c>
      <c r="F745" s="211" t="str">
        <f>IFERROR(__xludf.DUMMYFUNCTION("""COMPUTED_VALUE"""),"B2G2 - Entire Store")</f>
        <v>B2G2 - Entire Store</v>
      </c>
      <c r="G745" s="211" t="str">
        <f>IFERROR(__xludf.DUMMYFUNCTION("""COMPUTED_VALUE"""),"bbw_smsfb_b2g2_23may_lastreminder_vad_offline")</f>
        <v>bbw_smsfb_b2g2_23may_lastreminder_vad_offline</v>
      </c>
      <c r="H745" s="212" t="str">
        <f>IFERROR(__xludf.DUMMYFUNCTION("""COMPUTED_VALUE"""),"BBW_OFF_Vadodara_Active, BBW_OFF_Vadodara_Dorm")</f>
        <v>BBW_OFF_Vadodara_Active, BBW_OFF_Vadodara_Dorm</v>
      </c>
      <c r="I745" s="212" t="str">
        <f>IFERROR(__xludf.DUMMYFUNCTION("""COMPUTED_VALUE"""),"WA Undelivered")</f>
        <v>WA Undelivered</v>
      </c>
      <c r="J745" s="271">
        <f>IFERROR(__xludf.DUMMYFUNCTION("""COMPUTED_VALUE"""),4887.0)</f>
        <v>4887</v>
      </c>
      <c r="K745" s="271">
        <f>IFERROR(__xludf.DUMMYFUNCTION("""COMPUTED_VALUE"""),2714.0)</f>
        <v>2714</v>
      </c>
      <c r="L745" s="286">
        <f>IFERROR(__xludf.DUMMYFUNCTION("""COMPUTED_VALUE"""),0.5554)</f>
        <v>0.5554</v>
      </c>
      <c r="M745" s="271">
        <f>IFERROR(__xludf.DUMMYFUNCTION("""COMPUTED_VALUE"""),0.0)</f>
        <v>0</v>
      </c>
      <c r="N745" s="286">
        <f>IFERROR(__xludf.DUMMYFUNCTION("""COMPUTED_VALUE"""),0.0)</f>
        <v>0</v>
      </c>
      <c r="O745" s="211">
        <f>IFERROR(__xludf.DUMMYFUNCTION("""COMPUTED_VALUE"""),0.0)</f>
        <v>0</v>
      </c>
      <c r="P745" s="211">
        <f>IFERROR(__xludf.DUMMYFUNCTION("""COMPUTED_VALUE"""),0.0)</f>
        <v>0</v>
      </c>
      <c r="Q745" s="286">
        <f>IFERROR(__xludf.DUMMYFUNCTION("""COMPUTED_VALUE"""),0.0)</f>
        <v>0</v>
      </c>
      <c r="R745" s="286">
        <f>IFERROR(__xludf.DUMMYFUNCTION("""COMPUTED_VALUE"""),0.0)</f>
        <v>0</v>
      </c>
      <c r="S745" s="211">
        <f>IFERROR(__xludf.DUMMYFUNCTION("""COMPUTED_VALUE"""),0.0)</f>
        <v>0</v>
      </c>
      <c r="T745" s="211">
        <f>IFERROR(__xludf.DUMMYFUNCTION("""COMPUTED_VALUE"""),0.0)</f>
        <v>0</v>
      </c>
      <c r="U745" s="271">
        <f>IFERROR(__xludf.DUMMYFUNCTION("""COMPUTED_VALUE"""),80363.0)</f>
        <v>80363</v>
      </c>
      <c r="V745" s="211" t="str">
        <f>IFERROR(__xludf.DUMMYFUNCTION("""COMPUTED_VALUE"""),"offline")</f>
        <v>offline</v>
      </c>
      <c r="W745" s="212" t="str">
        <f>IFERROR(__xludf.DUMMYFUNCTION("""COMPUTED_VALUE"""),"SMS")</f>
        <v>SMS</v>
      </c>
      <c r="X745" s="212" t="str">
        <f>IFERROR(__xludf.DUMMYFUNCTION("""COMPUTED_VALUE"""),"City Specific")</f>
        <v>City Specific</v>
      </c>
      <c r="Y745" s="212" t="str">
        <f>IFERROR(__xludf.DUMMYFUNCTION("""COMPUTED_VALUE"""),"23 May")</f>
        <v>23 May</v>
      </c>
      <c r="Z745" s="212" t="str">
        <f>IFERROR(__xludf.DUMMYFUNCTION("""COMPUTED_VALUE"""),"6a0ee53fbef628bb6526ad17")</f>
        <v>6a0ee53fbef628bb6526ad17</v>
      </c>
      <c r="AA745" s="287">
        <f>IFERROR(__xludf.DUMMYFUNCTION("""COMPUTED_VALUE"""),5.0)</f>
        <v>5</v>
      </c>
      <c r="AB745" s="287"/>
      <c r="AC745" s="287">
        <f>IFERROR(__xludf.DUMMYFUNCTION("""COMPUTED_VALUE"""),5.0)</f>
        <v>5</v>
      </c>
      <c r="AD745" s="287">
        <f>IFERROR(__xludf.DUMMYFUNCTION("""COMPUTED_VALUE"""),61971.0)</f>
        <v>61971</v>
      </c>
      <c r="AE745" s="287"/>
      <c r="AF745" s="287">
        <f>IFERROR(__xludf.DUMMYFUNCTION("""COMPUTED_VALUE"""),61971.0)</f>
        <v>61971</v>
      </c>
      <c r="AG745" s="208"/>
      <c r="AH745" s="208"/>
      <c r="AI745" s="208"/>
      <c r="AJ745" s="208"/>
      <c r="AK745" s="208"/>
    </row>
    <row r="746" hidden="1">
      <c r="A746" s="215">
        <f>IFERROR(__xludf.DUMMYFUNCTION("""COMPUTED_VALUE"""),46165.0)</f>
        <v>46165</v>
      </c>
      <c r="B746" s="210">
        <f>IFERROR(__xludf.DUMMYFUNCTION("""COMPUTED_VALUE"""),0.5416666666678793)</f>
        <v>0.5416666667</v>
      </c>
      <c r="C746" s="211" t="str">
        <f>IFERROR(__xludf.DUMMYFUNCTION("""COMPUTED_VALUE"""),"Sms")</f>
        <v>Sms</v>
      </c>
      <c r="D746" s="211" t="str">
        <f>IFERROR(__xludf.DUMMYFUNCTION("""COMPUTED_VALUE"""),"Fallback campaign")</f>
        <v>Fallback campaign</v>
      </c>
      <c r="E746" s="211" t="str">
        <f>IFERROR(__xludf.DUMMYFUNCTION("""COMPUTED_VALUE"""),"BBW")</f>
        <v>BBW</v>
      </c>
      <c r="F746" s="211" t="str">
        <f>IFERROR(__xludf.DUMMYFUNCTION("""COMPUTED_VALUE"""),"B2G2 - Entire Store")</f>
        <v>B2G2 - Entire Store</v>
      </c>
      <c r="G746" s="211" t="str">
        <f>IFERROR(__xludf.DUMMYFUNCTION("""COMPUTED_VALUE"""),"bbw_smsfb_b2g2_23may_lastreminder_kochi_offline")</f>
        <v>bbw_smsfb_b2g2_23may_lastreminder_kochi_offline</v>
      </c>
      <c r="H746" s="212" t="str">
        <f>IFERROR(__xludf.DUMMYFUNCTION("""COMPUTED_VALUE"""),"BBW_OFF_KOCHI_Active, BBW_OFF_KOCHI_Dorm")</f>
        <v>BBW_OFF_KOCHI_Active, BBW_OFF_KOCHI_Dorm</v>
      </c>
      <c r="I746" s="212" t="str">
        <f>IFERROR(__xludf.DUMMYFUNCTION("""COMPUTED_VALUE"""),"WA Undelivered")</f>
        <v>WA Undelivered</v>
      </c>
      <c r="J746" s="271">
        <f>IFERROR(__xludf.DUMMYFUNCTION("""COMPUTED_VALUE"""),5189.0)</f>
        <v>5189</v>
      </c>
      <c r="K746" s="271">
        <f>IFERROR(__xludf.DUMMYFUNCTION("""COMPUTED_VALUE"""),3313.0)</f>
        <v>3313</v>
      </c>
      <c r="L746" s="286">
        <f>IFERROR(__xludf.DUMMYFUNCTION("""COMPUTED_VALUE"""),0.6385)</f>
        <v>0.6385</v>
      </c>
      <c r="M746" s="271">
        <f>IFERROR(__xludf.DUMMYFUNCTION("""COMPUTED_VALUE"""),0.0)</f>
        <v>0</v>
      </c>
      <c r="N746" s="286">
        <f>IFERROR(__xludf.DUMMYFUNCTION("""COMPUTED_VALUE"""),0.0)</f>
        <v>0</v>
      </c>
      <c r="O746" s="211">
        <f>IFERROR(__xludf.DUMMYFUNCTION("""COMPUTED_VALUE"""),6.0)</f>
        <v>6</v>
      </c>
      <c r="P746" s="211">
        <f>IFERROR(__xludf.DUMMYFUNCTION("""COMPUTED_VALUE"""),0.0)</f>
        <v>0</v>
      </c>
      <c r="Q746" s="286">
        <f>IFERROR(__xludf.DUMMYFUNCTION("""COMPUTED_VALUE"""),0.0018)</f>
        <v>0.0018</v>
      </c>
      <c r="R746" s="286">
        <f>IFERROR(__xludf.DUMMYFUNCTION("""COMPUTED_VALUE"""),0.0)</f>
        <v>0</v>
      </c>
      <c r="S746" s="211">
        <f>IFERROR(__xludf.DUMMYFUNCTION("""COMPUTED_VALUE"""),0.0)</f>
        <v>0</v>
      </c>
      <c r="T746" s="211">
        <f>IFERROR(__xludf.DUMMYFUNCTION("""COMPUTED_VALUE"""),0.0)</f>
        <v>0</v>
      </c>
      <c r="U746" s="271">
        <f>IFERROR(__xludf.DUMMYFUNCTION("""COMPUTED_VALUE"""),31586.0)</f>
        <v>31586</v>
      </c>
      <c r="V746" s="211" t="str">
        <f>IFERROR(__xludf.DUMMYFUNCTION("""COMPUTED_VALUE"""),"offline")</f>
        <v>offline</v>
      </c>
      <c r="W746" s="212" t="str">
        <f>IFERROR(__xludf.DUMMYFUNCTION("""COMPUTED_VALUE"""),"SMS")</f>
        <v>SMS</v>
      </c>
      <c r="X746" s="212" t="str">
        <f>IFERROR(__xludf.DUMMYFUNCTION("""COMPUTED_VALUE"""),"City Specific")</f>
        <v>City Specific</v>
      </c>
      <c r="Y746" s="212" t="str">
        <f>IFERROR(__xludf.DUMMYFUNCTION("""COMPUTED_VALUE"""),"23 May")</f>
        <v>23 May</v>
      </c>
      <c r="Z746" s="212" t="str">
        <f>IFERROR(__xludf.DUMMYFUNCTION("""COMPUTED_VALUE"""),"6a0ee584145a8d43b3fbc429")</f>
        <v>6a0ee584145a8d43b3fbc429</v>
      </c>
      <c r="AA746" s="287">
        <f>IFERROR(__xludf.DUMMYFUNCTION("""COMPUTED_VALUE"""),3.0)</f>
        <v>3</v>
      </c>
      <c r="AB746" s="287"/>
      <c r="AC746" s="287">
        <f>IFERROR(__xludf.DUMMYFUNCTION("""COMPUTED_VALUE"""),3.0)</f>
        <v>3</v>
      </c>
      <c r="AD746" s="287">
        <f>IFERROR(__xludf.DUMMYFUNCTION("""COMPUTED_VALUE"""),10395.0)</f>
        <v>10395</v>
      </c>
      <c r="AE746" s="287"/>
      <c r="AF746" s="287">
        <f>IFERROR(__xludf.DUMMYFUNCTION("""COMPUTED_VALUE"""),10395.0)</f>
        <v>10395</v>
      </c>
      <c r="AG746" s="208"/>
      <c r="AH746" s="208"/>
      <c r="AI746" s="208"/>
      <c r="AJ746" s="208"/>
      <c r="AK746" s="208"/>
    </row>
    <row r="747" hidden="1">
      <c r="A747" s="215">
        <f>IFERROR(__xludf.DUMMYFUNCTION("""COMPUTED_VALUE"""),46165.0)</f>
        <v>46165</v>
      </c>
      <c r="B747" s="210">
        <f>IFERROR(__xludf.DUMMYFUNCTION("""COMPUTED_VALUE"""),0.5416666666678793)</f>
        <v>0.5416666667</v>
      </c>
      <c r="C747" s="211" t="str">
        <f>IFERROR(__xludf.DUMMYFUNCTION("""COMPUTED_VALUE"""),"Sms")</f>
        <v>Sms</v>
      </c>
      <c r="D747" s="211" t="str">
        <f>IFERROR(__xludf.DUMMYFUNCTION("""COMPUTED_VALUE"""),"Fallback campaign")</f>
        <v>Fallback campaign</v>
      </c>
      <c r="E747" s="211" t="str">
        <f>IFERROR(__xludf.DUMMYFUNCTION("""COMPUTED_VALUE"""),"BBW")</f>
        <v>BBW</v>
      </c>
      <c r="F747" s="211" t="str">
        <f>IFERROR(__xludf.DUMMYFUNCTION("""COMPUTED_VALUE"""),"B2G2 - Entire Store")</f>
        <v>B2G2 - Entire Store</v>
      </c>
      <c r="G747" s="211" t="str">
        <f>IFERROR(__xludf.DUMMYFUNCTION("""COMPUTED_VALUE"""),"bbw_smsfb_b2g2_23may_lastreminder_surat_offline")</f>
        <v>bbw_smsfb_b2g2_23may_lastreminder_surat_offline</v>
      </c>
      <c r="H747" s="212" t="str">
        <f>IFERROR(__xludf.DUMMYFUNCTION("""COMPUTED_VALUE"""),"BBW_OFF_Surat_Active, BBW_OFF_Surat_Dorm")</f>
        <v>BBW_OFF_Surat_Active, BBW_OFF_Surat_Dorm</v>
      </c>
      <c r="I747" s="212" t="str">
        <f>IFERROR(__xludf.DUMMYFUNCTION("""COMPUTED_VALUE"""),"WA Undelivered")</f>
        <v>WA Undelivered</v>
      </c>
      <c r="J747" s="271">
        <f>IFERROR(__xludf.DUMMYFUNCTION("""COMPUTED_VALUE"""),3626.0)</f>
        <v>3626</v>
      </c>
      <c r="K747" s="271">
        <f>IFERROR(__xludf.DUMMYFUNCTION("""COMPUTED_VALUE"""),2010.0)</f>
        <v>2010</v>
      </c>
      <c r="L747" s="286">
        <f>IFERROR(__xludf.DUMMYFUNCTION("""COMPUTED_VALUE"""),0.5543)</f>
        <v>0.5543</v>
      </c>
      <c r="M747" s="271">
        <f>IFERROR(__xludf.DUMMYFUNCTION("""COMPUTED_VALUE"""),0.0)</f>
        <v>0</v>
      </c>
      <c r="N747" s="286">
        <f>IFERROR(__xludf.DUMMYFUNCTION("""COMPUTED_VALUE"""),0.0)</f>
        <v>0</v>
      </c>
      <c r="O747" s="211">
        <f>IFERROR(__xludf.DUMMYFUNCTION("""COMPUTED_VALUE"""),2.0)</f>
        <v>2</v>
      </c>
      <c r="P747" s="211">
        <f>IFERROR(__xludf.DUMMYFUNCTION("""COMPUTED_VALUE"""),0.0)</f>
        <v>0</v>
      </c>
      <c r="Q747" s="286">
        <f>IFERROR(__xludf.DUMMYFUNCTION("""COMPUTED_VALUE"""),0.001)</f>
        <v>0.001</v>
      </c>
      <c r="R747" s="286">
        <f>IFERROR(__xludf.DUMMYFUNCTION("""COMPUTED_VALUE"""),0.0)</f>
        <v>0</v>
      </c>
      <c r="S747" s="211">
        <f>IFERROR(__xludf.DUMMYFUNCTION("""COMPUTED_VALUE"""),0.0)</f>
        <v>0</v>
      </c>
      <c r="T747" s="211">
        <f>IFERROR(__xludf.DUMMYFUNCTION("""COMPUTED_VALUE"""),0.0)</f>
        <v>0</v>
      </c>
      <c r="U747" s="271">
        <f>IFERROR(__xludf.DUMMYFUNCTION("""COMPUTED_VALUE"""),12495.0)</f>
        <v>12495</v>
      </c>
      <c r="V747" s="211" t="str">
        <f>IFERROR(__xludf.DUMMYFUNCTION("""COMPUTED_VALUE"""),"offline")</f>
        <v>offline</v>
      </c>
      <c r="W747" s="212" t="str">
        <f>IFERROR(__xludf.DUMMYFUNCTION("""COMPUTED_VALUE"""),"SMS")</f>
        <v>SMS</v>
      </c>
      <c r="X747" s="212" t="str">
        <f>IFERROR(__xludf.DUMMYFUNCTION("""COMPUTED_VALUE"""),"City Specific")</f>
        <v>City Specific</v>
      </c>
      <c r="Y747" s="212" t="str">
        <f>IFERROR(__xludf.DUMMYFUNCTION("""COMPUTED_VALUE"""),"23 May")</f>
        <v>23 May</v>
      </c>
      <c r="Z747" s="212" t="str">
        <f>IFERROR(__xludf.DUMMYFUNCTION("""COMPUTED_VALUE"""),"6a0ee5c3c664c32208e9735d")</f>
        <v>6a0ee5c3c664c32208e9735d</v>
      </c>
      <c r="AA747" s="287">
        <f>IFERROR(__xludf.DUMMYFUNCTION("""COMPUTED_VALUE"""),2.0)</f>
        <v>2</v>
      </c>
      <c r="AB747" s="287"/>
      <c r="AC747" s="287">
        <f>IFERROR(__xludf.DUMMYFUNCTION("""COMPUTED_VALUE"""),2.0)</f>
        <v>2</v>
      </c>
      <c r="AD747" s="287">
        <f>IFERROR(__xludf.DUMMYFUNCTION("""COMPUTED_VALUE"""),7597.0)</f>
        <v>7597</v>
      </c>
      <c r="AE747" s="287"/>
      <c r="AF747" s="287">
        <f>IFERROR(__xludf.DUMMYFUNCTION("""COMPUTED_VALUE"""),7597.0)</f>
        <v>7597</v>
      </c>
      <c r="AG747" s="208"/>
      <c r="AH747" s="208"/>
      <c r="AI747" s="208"/>
      <c r="AJ747" s="208"/>
      <c r="AK747" s="208"/>
    </row>
    <row r="748" hidden="1">
      <c r="A748" s="215">
        <f>IFERROR(__xludf.DUMMYFUNCTION("""COMPUTED_VALUE"""),46166.0)</f>
        <v>46166</v>
      </c>
      <c r="B748" s="210">
        <f>IFERROR(__xludf.DUMMYFUNCTION("""COMPUTED_VALUE"""),0.5416666666678793)</f>
        <v>0.5416666667</v>
      </c>
      <c r="C748" s="211" t="str">
        <f>IFERROR(__xludf.DUMMYFUNCTION("""COMPUTED_VALUE"""),"Sms")</f>
        <v>Sms</v>
      </c>
      <c r="D748" s="211" t="str">
        <f>IFERROR(__xludf.DUMMYFUNCTION("""COMPUTED_VALUE"""),"Fallback campaign")</f>
        <v>Fallback campaign</v>
      </c>
      <c r="E748" s="211" t="str">
        <f>IFERROR(__xludf.DUMMYFUNCTION("""COMPUTED_VALUE"""),"BBW")</f>
        <v>BBW</v>
      </c>
      <c r="F748" s="211" t="str">
        <f>IFERROR(__xludf.DUMMYFUNCTION("""COMPUTED_VALUE"""),"B2G2 - Entire Store")</f>
        <v>B2G2 - Entire Store</v>
      </c>
      <c r="G748" s="211" t="str">
        <f>IFERROR(__xludf.DUMMYFUNCTION("""COMPUTED_VALUE"""),"bbw_smsfb_b2g2_24may_mktcity_blr_offline")</f>
        <v>bbw_smsfb_b2g2_24may_mktcity_blr_offline</v>
      </c>
      <c r="H748" s="212" t="str">
        <f>IFERROR(__xludf.DUMMYFUNCTION("""COMPUTED_VALUE"""),"BBW_MktCity_Blr_Base")</f>
        <v>BBW_MktCity_Blr_Base</v>
      </c>
      <c r="I748" s="212" t="str">
        <f>IFERROR(__xludf.DUMMYFUNCTION("""COMPUTED_VALUE"""),"WA Undelivered")</f>
        <v>WA Undelivered</v>
      </c>
      <c r="J748" s="271">
        <f>IFERROR(__xludf.DUMMYFUNCTION("""COMPUTED_VALUE"""),10932.0)</f>
        <v>10932</v>
      </c>
      <c r="K748" s="271">
        <f>IFERROR(__xludf.DUMMYFUNCTION("""COMPUTED_VALUE"""),6144.0)</f>
        <v>6144</v>
      </c>
      <c r="L748" s="286">
        <f>IFERROR(__xludf.DUMMYFUNCTION("""COMPUTED_VALUE"""),0.562)</f>
        <v>0.562</v>
      </c>
      <c r="M748" s="271">
        <f>IFERROR(__xludf.DUMMYFUNCTION("""COMPUTED_VALUE"""),0.0)</f>
        <v>0</v>
      </c>
      <c r="N748" s="286">
        <f>IFERROR(__xludf.DUMMYFUNCTION("""COMPUTED_VALUE"""),0.0)</f>
        <v>0</v>
      </c>
      <c r="O748" s="211">
        <f>IFERROR(__xludf.DUMMYFUNCTION("""COMPUTED_VALUE"""),4.0)</f>
        <v>4</v>
      </c>
      <c r="P748" s="211">
        <f>IFERROR(__xludf.DUMMYFUNCTION("""COMPUTED_VALUE"""),0.0)</f>
        <v>0</v>
      </c>
      <c r="Q748" s="286">
        <f>IFERROR(__xludf.DUMMYFUNCTION("""COMPUTED_VALUE"""),7.0E-4)</f>
        <v>0.0007</v>
      </c>
      <c r="R748" s="286">
        <f>IFERROR(__xludf.DUMMYFUNCTION("""COMPUTED_VALUE"""),0.0)</f>
        <v>0</v>
      </c>
      <c r="S748" s="211">
        <f>IFERROR(__xludf.DUMMYFUNCTION("""COMPUTED_VALUE"""),0.0)</f>
        <v>0</v>
      </c>
      <c r="T748" s="211">
        <f>IFERROR(__xludf.DUMMYFUNCTION("""COMPUTED_VALUE"""),0.0)</f>
        <v>0</v>
      </c>
      <c r="U748" s="271">
        <f>IFERROR(__xludf.DUMMYFUNCTION("""COMPUTED_VALUE"""),31405.0)</f>
        <v>31405</v>
      </c>
      <c r="V748" s="211" t="str">
        <f>IFERROR(__xludf.DUMMYFUNCTION("""COMPUTED_VALUE"""),"offline")</f>
        <v>offline</v>
      </c>
      <c r="W748" s="212" t="str">
        <f>IFERROR(__xludf.DUMMYFUNCTION("""COMPUTED_VALUE"""),"SMS")</f>
        <v>SMS</v>
      </c>
      <c r="X748" s="212" t="str">
        <f>IFERROR(__xludf.DUMMYFUNCTION("""COMPUTED_VALUE"""),"Store Specific")</f>
        <v>Store Specific</v>
      </c>
      <c r="Y748" s="212" t="str">
        <f>IFERROR(__xludf.DUMMYFUNCTION("""COMPUTED_VALUE"""),"24 May")</f>
        <v>24 May</v>
      </c>
      <c r="Z748" s="212" t="str">
        <f>IFERROR(__xludf.DUMMYFUNCTION("""COMPUTED_VALUE"""),"6a0ee62aaa0fc8d3bc854f8d")</f>
        <v>6a0ee62aaa0fc8d3bc854f8d</v>
      </c>
      <c r="AA748" s="287">
        <f>IFERROR(__xludf.DUMMYFUNCTION("""COMPUTED_VALUE"""),5.0)</f>
        <v>5</v>
      </c>
      <c r="AB748" s="287"/>
      <c r="AC748" s="287">
        <f>IFERROR(__xludf.DUMMYFUNCTION("""COMPUTED_VALUE"""),5.0)</f>
        <v>5</v>
      </c>
      <c r="AD748" s="287">
        <f>IFERROR(__xludf.DUMMYFUNCTION("""COMPUTED_VALUE"""),20406.0)</f>
        <v>20406</v>
      </c>
      <c r="AE748" s="287"/>
      <c r="AF748" s="287">
        <f>IFERROR(__xludf.DUMMYFUNCTION("""COMPUTED_VALUE"""),20406.0)</f>
        <v>20406</v>
      </c>
      <c r="AG748" s="208"/>
      <c r="AH748" s="208"/>
      <c r="AI748" s="208"/>
      <c r="AJ748" s="208"/>
      <c r="AK748" s="208"/>
    </row>
    <row r="749" hidden="1">
      <c r="A749" s="215">
        <f>IFERROR(__xludf.DUMMYFUNCTION("""COMPUTED_VALUE"""),46166.0)</f>
        <v>46166</v>
      </c>
      <c r="B749" s="210">
        <f>IFERROR(__xludf.DUMMYFUNCTION("""COMPUTED_VALUE"""),0.8125)</f>
        <v>0.8125</v>
      </c>
      <c r="C749" s="211" t="str">
        <f>IFERROR(__xludf.DUMMYFUNCTION("""COMPUTED_VALUE"""),"Sms")</f>
        <v>Sms</v>
      </c>
      <c r="D749" s="211" t="str">
        <f>IFERROR(__xludf.DUMMYFUNCTION("""COMPUTED_VALUE"""),"Fallback campaign")</f>
        <v>Fallback campaign</v>
      </c>
      <c r="E749" s="211" t="str">
        <f>IFERROR(__xludf.DUMMYFUNCTION("""COMPUTED_VALUE"""),"BBW")</f>
        <v>BBW</v>
      </c>
      <c r="F749" s="211" t="str">
        <f>IFERROR(__xludf.DUMMYFUNCTION("""COMPUTED_VALUE"""),"B2G2 - Entire Store")</f>
        <v>B2G2 - Entire Store</v>
      </c>
      <c r="G749" s="211" t="str">
        <f>IFERROR(__xludf.DUMMYFUNCTION("""COMPUTED_VALUE"""),"bbw_smsfb_b2g2_24may_lastreminder_atc_wishlist_online")</f>
        <v>bbw_smsfb_b2g2_24may_lastreminder_atc_wishlist_online</v>
      </c>
      <c r="H749" s="212" t="str">
        <f>IFERROR(__xludf.DUMMYFUNCTION("""COMPUTED_VALUE"""),"BBW_ATC_View_Wishlist_NoPr_45D")</f>
        <v>BBW_ATC_View_Wishlist_NoPr_45D</v>
      </c>
      <c r="I749" s="212" t="str">
        <f>IFERROR(__xludf.DUMMYFUNCTION("""COMPUTED_VALUE"""),"WA Undelivered")</f>
        <v>WA Undelivered</v>
      </c>
      <c r="J749" s="271">
        <f>IFERROR(__xludf.DUMMYFUNCTION("""COMPUTED_VALUE"""),2012.0)</f>
        <v>2012</v>
      </c>
      <c r="K749" s="271">
        <f>IFERROR(__xludf.DUMMYFUNCTION("""COMPUTED_VALUE"""),1284.0)</f>
        <v>1284</v>
      </c>
      <c r="L749" s="286">
        <f>IFERROR(__xludf.DUMMYFUNCTION("""COMPUTED_VALUE"""),0.6382)</f>
        <v>0.6382</v>
      </c>
      <c r="M749" s="271">
        <f>IFERROR(__xludf.DUMMYFUNCTION("""COMPUTED_VALUE"""),0.0)</f>
        <v>0</v>
      </c>
      <c r="N749" s="286">
        <f>IFERROR(__xludf.DUMMYFUNCTION("""COMPUTED_VALUE"""),0.0)</f>
        <v>0</v>
      </c>
      <c r="O749" s="211">
        <f>IFERROR(__xludf.DUMMYFUNCTION("""COMPUTED_VALUE"""),4.0)</f>
        <v>4</v>
      </c>
      <c r="P749" s="211">
        <f>IFERROR(__xludf.DUMMYFUNCTION("""COMPUTED_VALUE"""),0.0)</f>
        <v>0</v>
      </c>
      <c r="Q749" s="286">
        <f>IFERROR(__xludf.DUMMYFUNCTION("""COMPUTED_VALUE"""),0.0031)</f>
        <v>0.0031</v>
      </c>
      <c r="R749" s="286">
        <f>IFERROR(__xludf.DUMMYFUNCTION("""COMPUTED_VALUE"""),0.0)</f>
        <v>0</v>
      </c>
      <c r="S749" s="211">
        <f>IFERROR(__xludf.DUMMYFUNCTION("""COMPUTED_VALUE"""),4.0)</f>
        <v>4</v>
      </c>
      <c r="T749" s="211">
        <f>IFERROR(__xludf.DUMMYFUNCTION("""COMPUTED_VALUE"""),8.0)</f>
        <v>8</v>
      </c>
      <c r="U749" s="271">
        <f>IFERROR(__xludf.DUMMYFUNCTION("""COMPUTED_VALUE"""),18784.0)</f>
        <v>18784</v>
      </c>
      <c r="V749" s="211" t="str">
        <f>IFERROR(__xludf.DUMMYFUNCTION("""COMPUTED_VALUE"""),"online")</f>
        <v>online</v>
      </c>
      <c r="W749" s="212" t="str">
        <f>IFERROR(__xludf.DUMMYFUNCTION("""COMPUTED_VALUE"""),"SMS")</f>
        <v>SMS</v>
      </c>
      <c r="X749" s="212" t="str">
        <f>IFERROR(__xludf.DUMMYFUNCTION("""COMPUTED_VALUE"""),"ATC/View")</f>
        <v>ATC/View</v>
      </c>
      <c r="Y749" s="212" t="str">
        <f>IFERROR(__xludf.DUMMYFUNCTION("""COMPUTED_VALUE"""),"24 May")</f>
        <v>24 May</v>
      </c>
      <c r="Z749" s="212" t="str">
        <f>IFERROR(__xludf.DUMMYFUNCTION("""COMPUTED_VALUE"""),"6a0ee66039197e9b4c62ebc0")</f>
        <v>6a0ee66039197e9b4c62ebc0</v>
      </c>
      <c r="AA749" s="287">
        <f>IFERROR(__xludf.DUMMYFUNCTION("""COMPUTED_VALUE"""),4.0)</f>
        <v>4</v>
      </c>
      <c r="AB749" s="287">
        <f>IFERROR(__xludf.DUMMYFUNCTION("""COMPUTED_VALUE"""),4.0)</f>
        <v>4</v>
      </c>
      <c r="AC749" s="287"/>
      <c r="AD749" s="287">
        <f>IFERROR(__xludf.DUMMYFUNCTION("""COMPUTED_VALUE"""),18784.0)</f>
        <v>18784</v>
      </c>
      <c r="AE749" s="287">
        <f>IFERROR(__xludf.DUMMYFUNCTION("""COMPUTED_VALUE"""),18784.0)</f>
        <v>18784</v>
      </c>
      <c r="AF749" s="287"/>
      <c r="AG749" s="208"/>
      <c r="AH749" s="208"/>
      <c r="AI749" s="208"/>
      <c r="AJ749" s="208"/>
      <c r="AK749" s="208"/>
    </row>
    <row r="750" hidden="1">
      <c r="A750" s="215">
        <f>IFERROR(__xludf.DUMMYFUNCTION("""COMPUTED_VALUE"""),46166.0)</f>
        <v>46166</v>
      </c>
      <c r="B750" s="210">
        <f>IFERROR(__xludf.DUMMYFUNCTION("""COMPUTED_VALUE"""),0.8125)</f>
        <v>0.8125</v>
      </c>
      <c r="C750" s="211" t="str">
        <f>IFERROR(__xludf.DUMMYFUNCTION("""COMPUTED_VALUE"""),"Sms")</f>
        <v>Sms</v>
      </c>
      <c r="D750" s="211" t="str">
        <f>IFERROR(__xludf.DUMMYFUNCTION("""COMPUTED_VALUE"""),"Fallback campaign")</f>
        <v>Fallback campaign</v>
      </c>
      <c r="E750" s="211" t="str">
        <f>IFERROR(__xludf.DUMMYFUNCTION("""COMPUTED_VALUE"""),"BBW")</f>
        <v>BBW</v>
      </c>
      <c r="F750" s="211" t="str">
        <f>IFERROR(__xludf.DUMMYFUNCTION("""COMPUTED_VALUE"""),"B2G2 - Entire Store")</f>
        <v>B2G2 - Entire Store</v>
      </c>
      <c r="G750" s="211" t="str">
        <f>IFERROR(__xludf.DUMMYFUNCTION("""COMPUTED_VALUE"""),"bbw_smsfb_b2g2_24may_lastreminder_active_online")</f>
        <v>bbw_smsfb_b2g2_24may_lastreminder_active_online</v>
      </c>
      <c r="H750" s="212" t="str">
        <f>IFERROR(__xludf.DUMMYFUNCTION("""COMPUTED_VALUE"""),"BBW_ON_BC_2_Times_45D_210D")</f>
        <v>BBW_ON_BC_2_Times_45D_210D</v>
      </c>
      <c r="I750" s="212" t="str">
        <f>IFERROR(__xludf.DUMMYFUNCTION("""COMPUTED_VALUE"""),"WA Undelivered")</f>
        <v>WA Undelivered</v>
      </c>
      <c r="J750" s="271">
        <f>IFERROR(__xludf.DUMMYFUNCTION("""COMPUTED_VALUE"""),20809.0)</f>
        <v>20809</v>
      </c>
      <c r="K750" s="271">
        <f>IFERROR(__xludf.DUMMYFUNCTION("""COMPUTED_VALUE"""),10963.0)</f>
        <v>10963</v>
      </c>
      <c r="L750" s="286">
        <f>IFERROR(__xludf.DUMMYFUNCTION("""COMPUTED_VALUE"""),0.5268)</f>
        <v>0.5268</v>
      </c>
      <c r="M750" s="271">
        <f>IFERROR(__xludf.DUMMYFUNCTION("""COMPUTED_VALUE"""),0.0)</f>
        <v>0</v>
      </c>
      <c r="N750" s="286">
        <f>IFERROR(__xludf.DUMMYFUNCTION("""COMPUTED_VALUE"""),0.0)</f>
        <v>0</v>
      </c>
      <c r="O750" s="211">
        <f>IFERROR(__xludf.DUMMYFUNCTION("""COMPUTED_VALUE"""),29.0)</f>
        <v>29</v>
      </c>
      <c r="P750" s="211">
        <f>IFERROR(__xludf.DUMMYFUNCTION("""COMPUTED_VALUE"""),0.0)</f>
        <v>0</v>
      </c>
      <c r="Q750" s="286">
        <f>IFERROR(__xludf.DUMMYFUNCTION("""COMPUTED_VALUE"""),0.0026)</f>
        <v>0.0026</v>
      </c>
      <c r="R750" s="286">
        <f>IFERROR(__xludf.DUMMYFUNCTION("""COMPUTED_VALUE"""),0.0)</f>
        <v>0</v>
      </c>
      <c r="S750" s="211">
        <f>IFERROR(__xludf.DUMMYFUNCTION("""COMPUTED_VALUE"""),1.0)</f>
        <v>1</v>
      </c>
      <c r="T750" s="211">
        <f>IFERROR(__xludf.DUMMYFUNCTION("""COMPUTED_VALUE"""),1.0)</f>
        <v>1</v>
      </c>
      <c r="U750" s="271">
        <f>IFERROR(__xludf.DUMMYFUNCTION("""COMPUTED_VALUE"""),12415.0)</f>
        <v>12415</v>
      </c>
      <c r="V750" s="211" t="str">
        <f>IFERROR(__xludf.DUMMYFUNCTION("""COMPUTED_VALUE"""),"online")</f>
        <v>online</v>
      </c>
      <c r="W750" s="212" t="str">
        <f>IFERROR(__xludf.DUMMYFUNCTION("""COMPUTED_VALUE"""),"SMS")</f>
        <v>SMS</v>
      </c>
      <c r="X750" s="212" t="str">
        <f>IFERROR(__xludf.DUMMYFUNCTION("""COMPUTED_VALUE"""),"Repeat")</f>
        <v>Repeat</v>
      </c>
      <c r="Y750" s="212" t="str">
        <f>IFERROR(__xludf.DUMMYFUNCTION("""COMPUTED_VALUE"""),"24 May")</f>
        <v>24 May</v>
      </c>
      <c r="Z750" s="212" t="str">
        <f>IFERROR(__xludf.DUMMYFUNCTION("""COMPUTED_VALUE"""),"6a0ee692b8d54911844e0c6d")</f>
        <v>6a0ee692b8d54911844e0c6d</v>
      </c>
      <c r="AA750" s="287">
        <f>IFERROR(__xludf.DUMMYFUNCTION("""COMPUTED_VALUE"""),9.0)</f>
        <v>9</v>
      </c>
      <c r="AB750" s="287">
        <f>IFERROR(__xludf.DUMMYFUNCTION("""COMPUTED_VALUE"""),9.0)</f>
        <v>9</v>
      </c>
      <c r="AC750" s="287"/>
      <c r="AD750" s="287">
        <f>IFERROR(__xludf.DUMMYFUNCTION("""COMPUTED_VALUE"""),49926.0)</f>
        <v>49926</v>
      </c>
      <c r="AE750" s="287">
        <f>IFERROR(__xludf.DUMMYFUNCTION("""COMPUTED_VALUE"""),49926.0)</f>
        <v>49926</v>
      </c>
      <c r="AF750" s="287"/>
      <c r="AG750" s="208"/>
      <c r="AH750" s="208"/>
      <c r="AI750" s="208"/>
      <c r="AJ750" s="208"/>
      <c r="AK750" s="208"/>
    </row>
    <row r="751" hidden="1">
      <c r="A751" s="215">
        <f>IFERROR(__xludf.DUMMYFUNCTION("""COMPUTED_VALUE"""),46166.0)</f>
        <v>46166</v>
      </c>
      <c r="B751" s="210">
        <f>IFERROR(__xludf.DUMMYFUNCTION("""COMPUTED_VALUE"""),0.8125)</f>
        <v>0.8125</v>
      </c>
      <c r="C751" s="211" t="str">
        <f>IFERROR(__xludf.DUMMYFUNCTION("""COMPUTED_VALUE"""),"Sms")</f>
        <v>Sms</v>
      </c>
      <c r="D751" s="211" t="str">
        <f>IFERROR(__xludf.DUMMYFUNCTION("""COMPUTED_VALUE"""),"Fallback campaign")</f>
        <v>Fallback campaign</v>
      </c>
      <c r="E751" s="211" t="str">
        <f>IFERROR(__xludf.DUMMYFUNCTION("""COMPUTED_VALUE"""),"BBW")</f>
        <v>BBW</v>
      </c>
      <c r="F751" s="211" t="str">
        <f>IFERROR(__xludf.DUMMYFUNCTION("""COMPUTED_VALUE"""),"B2G2 - Entire Store")</f>
        <v>B2G2 - Entire Store</v>
      </c>
      <c r="G751" s="211" t="str">
        <f>IFERROR(__xludf.DUMMYFUNCTION("""COMPUTED_VALUE"""),"bbw_smsfb_b2g2_24may_lastreminder_aov_3100_online")</f>
        <v>bbw_smsfb_b2g2_24may_lastreminder_aov_3100_online</v>
      </c>
      <c r="H751" s="212" t="str">
        <f>IFERROR(__xludf.DUMMYFUNCTION("""COMPUTED_VALUE"""),"BC_EventBuyers_ON")</f>
        <v>BC_EventBuyers_ON</v>
      </c>
      <c r="I751" s="212" t="str">
        <f>IFERROR(__xludf.DUMMYFUNCTION("""COMPUTED_VALUE"""),"WA Undelivered")</f>
        <v>WA Undelivered</v>
      </c>
      <c r="J751" s="271">
        <f>IFERROR(__xludf.DUMMYFUNCTION("""COMPUTED_VALUE"""),2019.0)</f>
        <v>2019</v>
      </c>
      <c r="K751" s="271">
        <f>IFERROR(__xludf.DUMMYFUNCTION("""COMPUTED_VALUE"""),1130.0)</f>
        <v>1130</v>
      </c>
      <c r="L751" s="286">
        <f>IFERROR(__xludf.DUMMYFUNCTION("""COMPUTED_VALUE"""),0.5597)</f>
        <v>0.5597</v>
      </c>
      <c r="M751" s="271">
        <f>IFERROR(__xludf.DUMMYFUNCTION("""COMPUTED_VALUE"""),0.0)</f>
        <v>0</v>
      </c>
      <c r="N751" s="286">
        <f>IFERROR(__xludf.DUMMYFUNCTION("""COMPUTED_VALUE"""),0.0)</f>
        <v>0</v>
      </c>
      <c r="O751" s="211">
        <f>IFERROR(__xludf.DUMMYFUNCTION("""COMPUTED_VALUE"""),0.0)</f>
        <v>0</v>
      </c>
      <c r="P751" s="211">
        <f>IFERROR(__xludf.DUMMYFUNCTION("""COMPUTED_VALUE"""),0.0)</f>
        <v>0</v>
      </c>
      <c r="Q751" s="286">
        <f>IFERROR(__xludf.DUMMYFUNCTION("""COMPUTED_VALUE"""),0.0)</f>
        <v>0</v>
      </c>
      <c r="R751" s="286">
        <f>IFERROR(__xludf.DUMMYFUNCTION("""COMPUTED_VALUE"""),0.0)</f>
        <v>0</v>
      </c>
      <c r="S751" s="211">
        <f>IFERROR(__xludf.DUMMYFUNCTION("""COMPUTED_VALUE"""),0.0)</f>
        <v>0</v>
      </c>
      <c r="T751" s="211">
        <f>IFERROR(__xludf.DUMMYFUNCTION("""COMPUTED_VALUE"""),0.0)</f>
        <v>0</v>
      </c>
      <c r="U751" s="271">
        <f>IFERROR(__xludf.DUMMYFUNCTION("""COMPUTED_VALUE"""),0.0)</f>
        <v>0</v>
      </c>
      <c r="V751" s="211" t="str">
        <f>IFERROR(__xludf.DUMMYFUNCTION("""COMPUTED_VALUE"""),"online")</f>
        <v>online</v>
      </c>
      <c r="W751" s="212" t="str">
        <f>IFERROR(__xludf.DUMMYFUNCTION("""COMPUTED_VALUE"""),"SMS")</f>
        <v>SMS</v>
      </c>
      <c r="X751" s="212" t="str">
        <f>IFERROR(__xludf.DUMMYFUNCTION("""COMPUTED_VALUE"""),"Event Buyers")</f>
        <v>Event Buyers</v>
      </c>
      <c r="Y751" s="212" t="str">
        <f>IFERROR(__xludf.DUMMYFUNCTION("""COMPUTED_VALUE"""),"24 May")</f>
        <v>24 May</v>
      </c>
      <c r="Z751" s="212" t="str">
        <f>IFERROR(__xludf.DUMMYFUNCTION("""COMPUTED_VALUE"""),"6a0ee6cec01871ba2b7bdb86")</f>
        <v>6a0ee6cec01871ba2b7bdb86</v>
      </c>
      <c r="AA751" s="287">
        <f>IFERROR(__xludf.DUMMYFUNCTION("""COMPUTED_VALUE"""),1.0)</f>
        <v>1</v>
      </c>
      <c r="AB751" s="287">
        <f>IFERROR(__xludf.DUMMYFUNCTION("""COMPUTED_VALUE"""),1.0)</f>
        <v>1</v>
      </c>
      <c r="AC751" s="287"/>
      <c r="AD751" s="287">
        <f>IFERROR(__xludf.DUMMYFUNCTION("""COMPUTED_VALUE"""),15923.0)</f>
        <v>15923</v>
      </c>
      <c r="AE751" s="287">
        <f>IFERROR(__xludf.DUMMYFUNCTION("""COMPUTED_VALUE"""),15923.0)</f>
        <v>15923</v>
      </c>
      <c r="AF751" s="287"/>
      <c r="AG751" s="208"/>
      <c r="AH751" s="208"/>
      <c r="AI751" s="208"/>
      <c r="AJ751" s="208"/>
      <c r="AK751" s="208"/>
    </row>
    <row r="752" hidden="1">
      <c r="A752" s="215">
        <f>IFERROR(__xludf.DUMMYFUNCTION("""COMPUTED_VALUE"""),46166.0)</f>
        <v>46166</v>
      </c>
      <c r="B752" s="210">
        <f>IFERROR(__xludf.DUMMYFUNCTION("""COMPUTED_VALUE"""),0.8125)</f>
        <v>0.8125</v>
      </c>
      <c r="C752" s="211" t="str">
        <f>IFERROR(__xludf.DUMMYFUNCTION("""COMPUTED_VALUE"""),"Sms")</f>
        <v>Sms</v>
      </c>
      <c r="D752" s="211" t="str">
        <f>IFERROR(__xludf.DUMMYFUNCTION("""COMPUTED_VALUE"""),"Fallback campaign")</f>
        <v>Fallback campaign</v>
      </c>
      <c r="E752" s="211" t="str">
        <f>IFERROR(__xludf.DUMMYFUNCTION("""COMPUTED_VALUE"""),"BBW")</f>
        <v>BBW</v>
      </c>
      <c r="F752" s="211" t="str">
        <f>IFERROR(__xludf.DUMMYFUNCTION("""COMPUTED_VALUE"""),"B2G2 - Entire Store")</f>
        <v>B2G2 - Entire Store</v>
      </c>
      <c r="G752" s="211" t="str">
        <f>IFERROR(__xludf.DUMMYFUNCTION("""COMPUTED_VALUE"""),"bbw_smsfb_b2g2_24may_lastreminder_dormant_online")</f>
        <v>bbw_smsfb_b2g2_24may_lastreminder_dormant_online</v>
      </c>
      <c r="H752" s="212" t="str">
        <f>IFERROR(__xludf.DUMMYFUNCTION("""COMPUTED_VALUE"""),"BBW_ON_BC_1100_1_time_365D")</f>
        <v>BBW_ON_BC_1100_1_time_365D</v>
      </c>
      <c r="I752" s="212" t="str">
        <f>IFERROR(__xludf.DUMMYFUNCTION("""COMPUTED_VALUE"""),"WA Undelivered")</f>
        <v>WA Undelivered</v>
      </c>
      <c r="J752" s="271">
        <f>IFERROR(__xludf.DUMMYFUNCTION("""COMPUTED_VALUE"""),2715.0)</f>
        <v>2715</v>
      </c>
      <c r="K752" s="271">
        <f>IFERROR(__xludf.DUMMYFUNCTION("""COMPUTED_VALUE"""),1681.0)</f>
        <v>1681</v>
      </c>
      <c r="L752" s="286">
        <f>IFERROR(__xludf.DUMMYFUNCTION("""COMPUTED_VALUE"""),0.6192)</f>
        <v>0.6192</v>
      </c>
      <c r="M752" s="271">
        <f>IFERROR(__xludf.DUMMYFUNCTION("""COMPUTED_VALUE"""),0.0)</f>
        <v>0</v>
      </c>
      <c r="N752" s="286">
        <f>IFERROR(__xludf.DUMMYFUNCTION("""COMPUTED_VALUE"""),0.0)</f>
        <v>0</v>
      </c>
      <c r="O752" s="211">
        <f>IFERROR(__xludf.DUMMYFUNCTION("""COMPUTED_VALUE"""),5.0)</f>
        <v>5</v>
      </c>
      <c r="P752" s="211">
        <f>IFERROR(__xludf.DUMMYFUNCTION("""COMPUTED_VALUE"""),0.0)</f>
        <v>0</v>
      </c>
      <c r="Q752" s="286">
        <f>IFERROR(__xludf.DUMMYFUNCTION("""COMPUTED_VALUE"""),0.003)</f>
        <v>0.003</v>
      </c>
      <c r="R752" s="286">
        <f>IFERROR(__xludf.DUMMYFUNCTION("""COMPUTED_VALUE"""),0.0)</f>
        <v>0</v>
      </c>
      <c r="S752" s="211">
        <f>IFERROR(__xludf.DUMMYFUNCTION("""COMPUTED_VALUE"""),0.0)</f>
        <v>0</v>
      </c>
      <c r="T752" s="211">
        <f>IFERROR(__xludf.DUMMYFUNCTION("""COMPUTED_VALUE"""),0.0)</f>
        <v>0</v>
      </c>
      <c r="U752" s="271">
        <f>IFERROR(__xludf.DUMMYFUNCTION("""COMPUTED_VALUE"""),0.0)</f>
        <v>0</v>
      </c>
      <c r="V752" s="211" t="str">
        <f>IFERROR(__xludf.DUMMYFUNCTION("""COMPUTED_VALUE"""),"online")</f>
        <v>online</v>
      </c>
      <c r="W752" s="212" t="str">
        <f>IFERROR(__xludf.DUMMYFUNCTION("""COMPUTED_VALUE"""),"SMS")</f>
        <v>SMS</v>
      </c>
      <c r="X752" s="212" t="str">
        <f>IFERROR(__xludf.DUMMYFUNCTION("""COMPUTED_VALUE"""),"Cart Value")</f>
        <v>Cart Value</v>
      </c>
      <c r="Y752" s="212" t="str">
        <f>IFERROR(__xludf.DUMMYFUNCTION("""COMPUTED_VALUE"""),"24 May")</f>
        <v>24 May</v>
      </c>
      <c r="Z752" s="212" t="str">
        <f>IFERROR(__xludf.DUMMYFUNCTION("""COMPUTED_VALUE"""),"6a0ee6fe36782d30ef1d02a2")</f>
        <v>6a0ee6fe36782d30ef1d02a2</v>
      </c>
      <c r="AA752" s="287">
        <f>IFERROR(__xludf.DUMMYFUNCTION("""COMPUTED_VALUE"""),0.0)</f>
        <v>0</v>
      </c>
      <c r="AB752" s="287">
        <f>IFERROR(__xludf.DUMMYFUNCTION("""COMPUTED_VALUE"""),0.0)</f>
        <v>0</v>
      </c>
      <c r="AC752" s="287"/>
      <c r="AD752" s="287">
        <f>IFERROR(__xludf.DUMMYFUNCTION("""COMPUTED_VALUE"""),0.0)</f>
        <v>0</v>
      </c>
      <c r="AE752" s="287">
        <f>IFERROR(__xludf.DUMMYFUNCTION("""COMPUTED_VALUE"""),0.0)</f>
        <v>0</v>
      </c>
      <c r="AF752" s="287"/>
      <c r="AG752" s="208"/>
      <c r="AH752" s="208"/>
      <c r="AI752" s="208"/>
      <c r="AJ752" s="208"/>
      <c r="AK752" s="208"/>
    </row>
    <row r="753" hidden="1">
      <c r="A753" s="215">
        <f>IFERROR(__xludf.DUMMYFUNCTION("""COMPUTED_VALUE"""),46166.0)</f>
        <v>46166</v>
      </c>
      <c r="B753" s="210">
        <f>IFERROR(__xludf.DUMMYFUNCTION("""COMPUTED_VALUE"""),0.8125)</f>
        <v>0.8125</v>
      </c>
      <c r="C753" s="211" t="str">
        <f>IFERROR(__xludf.DUMMYFUNCTION("""COMPUTED_VALUE"""),"Sms")</f>
        <v>Sms</v>
      </c>
      <c r="D753" s="211" t="str">
        <f>IFERROR(__xludf.DUMMYFUNCTION("""COMPUTED_VALUE"""),"Fallback campaign")</f>
        <v>Fallback campaign</v>
      </c>
      <c r="E753" s="211" t="str">
        <f>IFERROR(__xludf.DUMMYFUNCTION("""COMPUTED_VALUE"""),"BBW")</f>
        <v>BBW</v>
      </c>
      <c r="F753" s="211" t="str">
        <f>IFERROR(__xludf.DUMMYFUNCTION("""COMPUTED_VALUE"""),"B2G2 - Entire Store")</f>
        <v>B2G2 - Entire Store</v>
      </c>
      <c r="G753" s="211" t="str">
        <f>IFERROR(__xludf.DUMMYFUNCTION("""COMPUTED_VALUE"""),"bbw_smsfb_b2g2_24may_event_buyers_lastreminder_overall")</f>
        <v>bbw_smsfb_b2g2_24may_event_buyers_lastreminder_overall</v>
      </c>
      <c r="H753" s="212" t="str">
        <f>IFERROR(__xludf.DUMMYFUNCTION("""COMPUTED_VALUE"""),"BBW_ON_OFF_B2G2_Event_Buyers")</f>
        <v>BBW_ON_OFF_B2G2_Event_Buyers</v>
      </c>
      <c r="I753" s="212" t="str">
        <f>IFERROR(__xludf.DUMMYFUNCTION("""COMPUTED_VALUE"""),"WA Undelivered")</f>
        <v>WA Undelivered</v>
      </c>
      <c r="J753" s="271">
        <f>IFERROR(__xludf.DUMMYFUNCTION("""COMPUTED_VALUE"""),26908.0)</f>
        <v>26908</v>
      </c>
      <c r="K753" s="271">
        <f>IFERROR(__xludf.DUMMYFUNCTION("""COMPUTED_VALUE"""),14386.0)</f>
        <v>14386</v>
      </c>
      <c r="L753" s="286">
        <f>IFERROR(__xludf.DUMMYFUNCTION("""COMPUTED_VALUE"""),0.5346)</f>
        <v>0.5346</v>
      </c>
      <c r="M753" s="271">
        <f>IFERROR(__xludf.DUMMYFUNCTION("""COMPUTED_VALUE"""),0.0)</f>
        <v>0</v>
      </c>
      <c r="N753" s="286">
        <f>IFERROR(__xludf.DUMMYFUNCTION("""COMPUTED_VALUE"""),0.0)</f>
        <v>0</v>
      </c>
      <c r="O753" s="211">
        <f>IFERROR(__xludf.DUMMYFUNCTION("""COMPUTED_VALUE"""),15.0)</f>
        <v>15</v>
      </c>
      <c r="P753" s="211">
        <f>IFERROR(__xludf.DUMMYFUNCTION("""COMPUTED_VALUE"""),0.0)</f>
        <v>0</v>
      </c>
      <c r="Q753" s="286">
        <f>IFERROR(__xludf.DUMMYFUNCTION("""COMPUTED_VALUE"""),0.001)</f>
        <v>0.001</v>
      </c>
      <c r="R753" s="286">
        <f>IFERROR(__xludf.DUMMYFUNCTION("""COMPUTED_VALUE"""),0.0)</f>
        <v>0</v>
      </c>
      <c r="S753" s="211">
        <f>IFERROR(__xludf.DUMMYFUNCTION("""COMPUTED_VALUE"""),0.0)</f>
        <v>0</v>
      </c>
      <c r="T753" s="211">
        <f>IFERROR(__xludf.DUMMYFUNCTION("""COMPUTED_VALUE"""),0.0)</f>
        <v>0</v>
      </c>
      <c r="U753" s="271">
        <f>IFERROR(__xludf.DUMMYFUNCTION("""COMPUTED_VALUE"""),6471.0)</f>
        <v>6471</v>
      </c>
      <c r="V753" s="211" t="str">
        <f>IFERROR(__xludf.DUMMYFUNCTION("""COMPUTED_VALUE"""),"overall")</f>
        <v>overall</v>
      </c>
      <c r="W753" s="212" t="str">
        <f>IFERROR(__xludf.DUMMYFUNCTION("""COMPUTED_VALUE"""),"SMS")</f>
        <v>SMS</v>
      </c>
      <c r="X753" s="212" t="str">
        <f>IFERROR(__xludf.DUMMYFUNCTION("""COMPUTED_VALUE"""),"Event Buyers")</f>
        <v>Event Buyers</v>
      </c>
      <c r="Y753" s="212" t="str">
        <f>IFERROR(__xludf.DUMMYFUNCTION("""COMPUTED_VALUE"""),"24 May")</f>
        <v>24 May</v>
      </c>
      <c r="Z753" s="212" t="str">
        <f>IFERROR(__xludf.DUMMYFUNCTION("""COMPUTED_VALUE"""),"6a0ee72818ddf9c6eea1b229")</f>
        <v>6a0ee72818ddf9c6eea1b229</v>
      </c>
      <c r="AA753" s="287">
        <f>IFERROR(__xludf.DUMMYFUNCTION("""COMPUTED_VALUE"""),48.0)</f>
        <v>48</v>
      </c>
      <c r="AB753" s="287">
        <f>IFERROR(__xludf.DUMMYFUNCTION("""COMPUTED_VALUE"""),2.0)</f>
        <v>2</v>
      </c>
      <c r="AC753" s="287">
        <f>IFERROR(__xludf.DUMMYFUNCTION("""COMPUTED_VALUE"""),46.0)</f>
        <v>46</v>
      </c>
      <c r="AD753" s="287">
        <f>IFERROR(__xludf.DUMMYFUNCTION("""COMPUTED_VALUE"""),260875.0)</f>
        <v>260875</v>
      </c>
      <c r="AE753" s="287">
        <f>IFERROR(__xludf.DUMMYFUNCTION("""COMPUTED_VALUE"""),5879.0)</f>
        <v>5879</v>
      </c>
      <c r="AF753" s="287">
        <f>IFERROR(__xludf.DUMMYFUNCTION("""COMPUTED_VALUE"""),254996.0)</f>
        <v>254996</v>
      </c>
      <c r="AG753" s="208"/>
      <c r="AH753" s="208"/>
      <c r="AI753" s="208"/>
      <c r="AJ753" s="208"/>
      <c r="AK753" s="208"/>
    </row>
    <row r="754" hidden="1">
      <c r="A754" s="215">
        <f>IFERROR(__xludf.DUMMYFUNCTION("""COMPUTED_VALUE"""),46166.0)</f>
        <v>46166</v>
      </c>
      <c r="B754" s="210">
        <f>IFERROR(__xludf.DUMMYFUNCTION("""COMPUTED_VALUE"""),0.5)</f>
        <v>0.5</v>
      </c>
      <c r="C754" s="211" t="str">
        <f>IFERROR(__xludf.DUMMYFUNCTION("""COMPUTED_VALUE"""),"Whatsapp")</f>
        <v>Whatsapp</v>
      </c>
      <c r="D754" s="211" t="str">
        <f>IFERROR(__xludf.DUMMYFUNCTION("""COMPUTED_VALUE"""),"Promotional")</f>
        <v>Promotional</v>
      </c>
      <c r="E754" s="211" t="str">
        <f>IFERROR(__xludf.DUMMYFUNCTION("""COMPUTED_VALUE"""),"BBW")</f>
        <v>BBW</v>
      </c>
      <c r="F754" s="211" t="str">
        <f>IFERROR(__xludf.DUMMYFUNCTION("""COMPUTED_VALUE"""),"B2G2 - Entire Store")</f>
        <v>B2G2 - Entire Store</v>
      </c>
      <c r="G754" s="211" t="str">
        <f>IFERROR(__xludf.DUMMYFUNCTION("""COMPUTED_VALUE"""),"bbw_wa_b2g2_24may_mktcity_blr_offline")</f>
        <v>bbw_wa_b2g2_24may_mktcity_blr_offline</v>
      </c>
      <c r="H754" s="212" t="str">
        <f>IFERROR(__xludf.DUMMYFUNCTION("""COMPUTED_VALUE"""),"BBW_MktCity_Blr_Base")</f>
        <v>BBW_MktCity_Blr_Base</v>
      </c>
      <c r="I754" s="212" t="str">
        <f>IFERROR(__xludf.DUMMYFUNCTION("""COMPUTED_VALUE"""),"Offline Customers who have purchased at least once from Txn_Store_Name: BBW Market City Bangalore")</f>
        <v>Offline Customers who have purchased at least once from Txn_Store_Name: BBW Market City Bangalore</v>
      </c>
      <c r="J754" s="271">
        <f>IFERROR(__xludf.DUMMYFUNCTION("""COMPUTED_VALUE"""),19500.0)</f>
        <v>19500</v>
      </c>
      <c r="K754" s="271">
        <f>IFERROR(__xludf.DUMMYFUNCTION("""COMPUTED_VALUE"""),7851.0)</f>
        <v>7851</v>
      </c>
      <c r="L754" s="286">
        <f>IFERROR(__xludf.DUMMYFUNCTION("""COMPUTED_VALUE"""),0.4026)</f>
        <v>0.4026</v>
      </c>
      <c r="M754" s="271">
        <f>IFERROR(__xludf.DUMMYFUNCTION("""COMPUTED_VALUE"""),2345.0)</f>
        <v>2345</v>
      </c>
      <c r="N754" s="286">
        <f>IFERROR(__xludf.DUMMYFUNCTION("""COMPUTED_VALUE"""),0.2987)</f>
        <v>0.2987</v>
      </c>
      <c r="O754" s="211">
        <f>IFERROR(__xludf.DUMMYFUNCTION("""COMPUTED_VALUE"""),169.0)</f>
        <v>169</v>
      </c>
      <c r="P754" s="211">
        <f>IFERROR(__xludf.DUMMYFUNCTION("""COMPUTED_VALUE"""),162.0)</f>
        <v>162</v>
      </c>
      <c r="Q754" s="286">
        <f>IFERROR(__xludf.DUMMYFUNCTION("""COMPUTED_VALUE"""),0.0206)</f>
        <v>0.0206</v>
      </c>
      <c r="R754" s="286">
        <f>IFERROR(__xludf.DUMMYFUNCTION("""COMPUTED_VALUE"""),0.0691)</f>
        <v>0.0691</v>
      </c>
      <c r="S754" s="211">
        <f>IFERROR(__xludf.DUMMYFUNCTION("""COMPUTED_VALUE"""),0.0)</f>
        <v>0</v>
      </c>
      <c r="T754" s="211">
        <f>IFERROR(__xludf.DUMMYFUNCTION("""COMPUTED_VALUE"""),0.0)</f>
        <v>0</v>
      </c>
      <c r="U754" s="271">
        <f>IFERROR(__xludf.DUMMYFUNCTION("""COMPUTED_VALUE"""),59770.0)</f>
        <v>59770</v>
      </c>
      <c r="V754" s="211" t="str">
        <f>IFERROR(__xludf.DUMMYFUNCTION("""COMPUTED_VALUE"""),"offline")</f>
        <v>offline</v>
      </c>
      <c r="W754" s="212" t="str">
        <f>IFERROR(__xludf.DUMMYFUNCTION("""COMPUTED_VALUE"""),"simple")</f>
        <v>simple</v>
      </c>
      <c r="X754" s="212" t="str">
        <f>IFERROR(__xludf.DUMMYFUNCTION("""COMPUTED_VALUE"""),"Store Specific")</f>
        <v>Store Specific</v>
      </c>
      <c r="Y754" s="212" t="str">
        <f>IFERROR(__xludf.DUMMYFUNCTION("""COMPUTED_VALUE"""),"24-26 May")</f>
        <v>24-26 May</v>
      </c>
      <c r="Z754" s="212" t="str">
        <f>IFERROR(__xludf.DUMMYFUNCTION("""COMPUTED_VALUE"""),"6a0eb891fa4944fc02c53aff")</f>
        <v>6a0eb891fa4944fc02c53aff</v>
      </c>
      <c r="AA754" s="287">
        <f>IFERROR(__xludf.DUMMYFUNCTION("""COMPUTED_VALUE"""),10.0)</f>
        <v>10</v>
      </c>
      <c r="AB754" s="287"/>
      <c r="AC754" s="287">
        <f>IFERROR(__xludf.DUMMYFUNCTION("""COMPUTED_VALUE"""),10.0)</f>
        <v>10</v>
      </c>
      <c r="AD754" s="287">
        <f>IFERROR(__xludf.DUMMYFUNCTION("""COMPUTED_VALUE"""),54974.0)</f>
        <v>54974</v>
      </c>
      <c r="AE754" s="287"/>
      <c r="AF754" s="287">
        <f>IFERROR(__xludf.DUMMYFUNCTION("""COMPUTED_VALUE"""),54974.0)</f>
        <v>54974</v>
      </c>
      <c r="AG754" s="208"/>
      <c r="AH754" s="208"/>
      <c r="AI754" s="208"/>
      <c r="AJ754" s="208"/>
      <c r="AK754" s="208"/>
    </row>
    <row r="755" hidden="1">
      <c r="A755" s="215">
        <f>IFERROR(__xludf.DUMMYFUNCTION("""COMPUTED_VALUE"""),46166.0)</f>
        <v>46166</v>
      </c>
      <c r="B755" s="210">
        <f>IFERROR(__xludf.DUMMYFUNCTION("""COMPUTED_VALUE"""),0.75)</f>
        <v>0.75</v>
      </c>
      <c r="C755" s="211" t="str">
        <f>IFERROR(__xludf.DUMMYFUNCTION("""COMPUTED_VALUE"""),"Whatsapp")</f>
        <v>Whatsapp</v>
      </c>
      <c r="D755" s="211" t="str">
        <f>IFERROR(__xludf.DUMMYFUNCTION("""COMPUTED_VALUE"""),"Promotional")</f>
        <v>Promotional</v>
      </c>
      <c r="E755" s="211" t="str">
        <f>IFERROR(__xludf.DUMMYFUNCTION("""COMPUTED_VALUE"""),"BBW")</f>
        <v>BBW</v>
      </c>
      <c r="F755" s="211" t="str">
        <f>IFERROR(__xludf.DUMMYFUNCTION("""COMPUTED_VALUE"""),"B2G2 - Entire Store")</f>
        <v>B2G2 - Entire Store</v>
      </c>
      <c r="G755" s="211" t="str">
        <f>IFERROR(__xludf.DUMMYFUNCTION("""COMPUTED_VALUE"""),"bbw_wa_b2g2_24may_lastreminder_atc_wishlist_online")</f>
        <v>bbw_wa_b2g2_24may_lastreminder_atc_wishlist_online</v>
      </c>
      <c r="H755" s="212" t="str">
        <f>IFERROR(__xludf.DUMMYFUNCTION("""COMPUTED_VALUE"""),"BBW_ATC_View_Wishlist_NoPr_45D")</f>
        <v>BBW_ATC_View_Wishlist_NoPr_45D</v>
      </c>
      <c r="I755" s="212" t="str">
        <f>IFERROR(__xludf.DUMMYFUNCTION("""COMPUTED_VALUE"""),"Customers who have added to cart or wishlisted items from item_category Body Care in the last 45D")</f>
        <v>Customers who have added to cart or wishlisted items from item_category Body Care in the last 45D</v>
      </c>
      <c r="J755" s="271">
        <f>IFERROR(__xludf.DUMMYFUNCTION("""COMPUTED_VALUE"""),3972.0)</f>
        <v>3972</v>
      </c>
      <c r="K755" s="271">
        <f>IFERROR(__xludf.DUMMYFUNCTION("""COMPUTED_VALUE"""),1879.0)</f>
        <v>1879</v>
      </c>
      <c r="L755" s="286">
        <f>IFERROR(__xludf.DUMMYFUNCTION("""COMPUTED_VALUE"""),0.4731)</f>
        <v>0.4731</v>
      </c>
      <c r="M755" s="271">
        <f>IFERROR(__xludf.DUMMYFUNCTION("""COMPUTED_VALUE"""),685.0)</f>
        <v>685</v>
      </c>
      <c r="N755" s="286">
        <f>IFERROR(__xludf.DUMMYFUNCTION("""COMPUTED_VALUE"""),0.3646)</f>
        <v>0.3646</v>
      </c>
      <c r="O755" s="211">
        <f>IFERROR(__xludf.DUMMYFUNCTION("""COMPUTED_VALUE"""),95.0)</f>
        <v>95</v>
      </c>
      <c r="P755" s="211">
        <f>IFERROR(__xludf.DUMMYFUNCTION("""COMPUTED_VALUE"""),94.0)</f>
        <v>94</v>
      </c>
      <c r="Q755" s="286">
        <f>IFERROR(__xludf.DUMMYFUNCTION("""COMPUTED_VALUE"""),0.05)</f>
        <v>0.05</v>
      </c>
      <c r="R755" s="286">
        <f>IFERROR(__xludf.DUMMYFUNCTION("""COMPUTED_VALUE"""),0.1372)</f>
        <v>0.1372</v>
      </c>
      <c r="S755" s="211">
        <f>IFERROR(__xludf.DUMMYFUNCTION("""COMPUTED_VALUE"""),4.0)</f>
        <v>4</v>
      </c>
      <c r="T755" s="211">
        <f>IFERROR(__xludf.DUMMYFUNCTION("""COMPUTED_VALUE"""),50.0)</f>
        <v>50</v>
      </c>
      <c r="U755" s="271">
        <f>IFERROR(__xludf.DUMMYFUNCTION("""COMPUTED_VALUE"""),14651.0)</f>
        <v>14651</v>
      </c>
      <c r="V755" s="211" t="str">
        <f>IFERROR(__xludf.DUMMYFUNCTION("""COMPUTED_VALUE"""),"online")</f>
        <v>online</v>
      </c>
      <c r="W755" s="212" t="str">
        <f>IFERROR(__xludf.DUMMYFUNCTION("""COMPUTED_VALUE"""),"simple")</f>
        <v>simple</v>
      </c>
      <c r="X755" s="212" t="str">
        <f>IFERROR(__xludf.DUMMYFUNCTION("""COMPUTED_VALUE"""),"ATC/View")</f>
        <v>ATC/View</v>
      </c>
      <c r="Y755" s="212" t="str">
        <f>IFERROR(__xludf.DUMMYFUNCTION("""COMPUTED_VALUE"""),"24-26 May")</f>
        <v>24-26 May</v>
      </c>
      <c r="Z755" s="212" t="str">
        <f>IFERROR(__xludf.DUMMYFUNCTION("""COMPUTED_VALUE"""),"6a0eb8da9ffb36e1db57f7ec")</f>
        <v>6a0eb8da9ffb36e1db57f7ec</v>
      </c>
      <c r="AA755" s="287">
        <f>IFERROR(__xludf.DUMMYFUNCTION("""COMPUTED_VALUE"""),8.0)</f>
        <v>8</v>
      </c>
      <c r="AB755" s="287">
        <f>IFERROR(__xludf.DUMMYFUNCTION("""COMPUTED_VALUE"""),8.0)</f>
        <v>8</v>
      </c>
      <c r="AC755" s="287"/>
      <c r="AD755" s="287">
        <f>IFERROR(__xludf.DUMMYFUNCTION("""COMPUTED_VALUE"""),59419.0)</f>
        <v>59419</v>
      </c>
      <c r="AE755" s="287">
        <f>IFERROR(__xludf.DUMMYFUNCTION("""COMPUTED_VALUE"""),59419.0)</f>
        <v>59419</v>
      </c>
      <c r="AF755" s="287"/>
      <c r="AG755" s="208"/>
      <c r="AH755" s="208"/>
      <c r="AI755" s="208"/>
      <c r="AJ755" s="208"/>
      <c r="AK755" s="208"/>
    </row>
    <row r="756" hidden="1">
      <c r="A756" s="215">
        <f>IFERROR(__xludf.DUMMYFUNCTION("""COMPUTED_VALUE"""),46166.0)</f>
        <v>46166</v>
      </c>
      <c r="B756" s="210">
        <f>IFERROR(__xludf.DUMMYFUNCTION("""COMPUTED_VALUE"""),0.75)</f>
        <v>0.75</v>
      </c>
      <c r="C756" s="211" t="str">
        <f>IFERROR(__xludf.DUMMYFUNCTION("""COMPUTED_VALUE"""),"Whatsapp")</f>
        <v>Whatsapp</v>
      </c>
      <c r="D756" s="211" t="str">
        <f>IFERROR(__xludf.DUMMYFUNCTION("""COMPUTED_VALUE"""),"Promotional")</f>
        <v>Promotional</v>
      </c>
      <c r="E756" s="211" t="str">
        <f>IFERROR(__xludf.DUMMYFUNCTION("""COMPUTED_VALUE"""),"BBW")</f>
        <v>BBW</v>
      </c>
      <c r="F756" s="211" t="str">
        <f>IFERROR(__xludf.DUMMYFUNCTION("""COMPUTED_VALUE"""),"B2G2 - Entire Store")</f>
        <v>B2G2 - Entire Store</v>
      </c>
      <c r="G756" s="211" t="str">
        <f>IFERROR(__xludf.DUMMYFUNCTION("""COMPUTED_VALUE"""),"bbw_wa_b2g2_24may_lastreminder_active_online")</f>
        <v>bbw_wa_b2g2_24may_lastreminder_active_online</v>
      </c>
      <c r="H756" s="212" t="str">
        <f>IFERROR(__xludf.DUMMYFUNCTION("""COMPUTED_VALUE"""),"BBW_ON_BC_2_Times_45D_210D")</f>
        <v>BBW_ON_BC_2_Times_45D_210D</v>
      </c>
      <c r="I756" s="212" t="str">
        <f>IFERROR(__xludf.DUMMYFUNCTION("""COMPUTED_VALUE"""),"Online Customers who have purchased from L2: Body Care at least 2 times in between 45 days and 210 days ago")</f>
        <v>Online Customers who have purchased from L2: Body Care at least 2 times in between 45 days and 210 days ago</v>
      </c>
      <c r="J756" s="271">
        <f>IFERROR(__xludf.DUMMYFUNCTION("""COMPUTED_VALUE"""),36037.0)</f>
        <v>36037</v>
      </c>
      <c r="K756" s="271">
        <f>IFERROR(__xludf.DUMMYFUNCTION("""COMPUTED_VALUE"""),14702.0)</f>
        <v>14702</v>
      </c>
      <c r="L756" s="286">
        <f>IFERROR(__xludf.DUMMYFUNCTION("""COMPUTED_VALUE"""),0.408)</f>
        <v>0.408</v>
      </c>
      <c r="M756" s="271">
        <f>IFERROR(__xludf.DUMMYFUNCTION("""COMPUTED_VALUE"""),4946.0)</f>
        <v>4946</v>
      </c>
      <c r="N756" s="286">
        <f>IFERROR(__xludf.DUMMYFUNCTION("""COMPUTED_VALUE"""),0.3364)</f>
        <v>0.3364</v>
      </c>
      <c r="O756" s="211">
        <f>IFERROR(__xludf.DUMMYFUNCTION("""COMPUTED_VALUE"""),472.0)</f>
        <v>472</v>
      </c>
      <c r="P756" s="211">
        <f>IFERROR(__xludf.DUMMYFUNCTION("""COMPUTED_VALUE"""),457.0)</f>
        <v>457</v>
      </c>
      <c r="Q756" s="286">
        <f>IFERROR(__xludf.DUMMYFUNCTION("""COMPUTED_VALUE"""),0.0311)</f>
        <v>0.0311</v>
      </c>
      <c r="R756" s="286">
        <f>IFERROR(__xludf.DUMMYFUNCTION("""COMPUTED_VALUE"""),0.0924)</f>
        <v>0.0924</v>
      </c>
      <c r="S756" s="211">
        <f>IFERROR(__xludf.DUMMYFUNCTION("""COMPUTED_VALUE"""),4.0)</f>
        <v>4</v>
      </c>
      <c r="T756" s="211">
        <f>IFERROR(__xludf.DUMMYFUNCTION("""COMPUTED_VALUE"""),22.0)</f>
        <v>22</v>
      </c>
      <c r="U756" s="271">
        <f>IFERROR(__xludf.DUMMYFUNCTION("""COMPUTED_VALUE"""),16408.0)</f>
        <v>16408</v>
      </c>
      <c r="V756" s="211" t="str">
        <f>IFERROR(__xludf.DUMMYFUNCTION("""COMPUTED_VALUE"""),"online")</f>
        <v>online</v>
      </c>
      <c r="W756" s="212" t="str">
        <f>IFERROR(__xludf.DUMMYFUNCTION("""COMPUTED_VALUE"""),"simple")</f>
        <v>simple</v>
      </c>
      <c r="X756" s="212" t="str">
        <f>IFERROR(__xludf.DUMMYFUNCTION("""COMPUTED_VALUE"""),"Repeat")</f>
        <v>Repeat</v>
      </c>
      <c r="Y756" s="212" t="str">
        <f>IFERROR(__xludf.DUMMYFUNCTION("""COMPUTED_VALUE"""),"24-26 May")</f>
        <v>24-26 May</v>
      </c>
      <c r="Z756" s="212" t="str">
        <f>IFERROR(__xludf.DUMMYFUNCTION("""COMPUTED_VALUE"""),"6a0eb93076b8cbd9f7366f24")</f>
        <v>6a0eb93076b8cbd9f7366f24</v>
      </c>
      <c r="AA756" s="287">
        <f>IFERROR(__xludf.DUMMYFUNCTION("""COMPUTED_VALUE"""),27.0)</f>
        <v>27</v>
      </c>
      <c r="AB756" s="287">
        <f>IFERROR(__xludf.DUMMYFUNCTION("""COMPUTED_VALUE"""),27.0)</f>
        <v>27</v>
      </c>
      <c r="AC756" s="287"/>
      <c r="AD756" s="287">
        <f>IFERROR(__xludf.DUMMYFUNCTION("""COMPUTED_VALUE"""),141690.0)</f>
        <v>141690</v>
      </c>
      <c r="AE756" s="287">
        <f>IFERROR(__xludf.DUMMYFUNCTION("""COMPUTED_VALUE"""),141690.0)</f>
        <v>141690</v>
      </c>
      <c r="AF756" s="287"/>
      <c r="AG756" s="208"/>
      <c r="AH756" s="208"/>
      <c r="AI756" s="208"/>
      <c r="AJ756" s="208"/>
      <c r="AK756" s="208"/>
    </row>
    <row r="757" hidden="1">
      <c r="A757" s="215">
        <f>IFERROR(__xludf.DUMMYFUNCTION("""COMPUTED_VALUE"""),46166.0)</f>
        <v>46166</v>
      </c>
      <c r="B757" s="210">
        <f>IFERROR(__xludf.DUMMYFUNCTION("""COMPUTED_VALUE"""),0.75)</f>
        <v>0.75</v>
      </c>
      <c r="C757" s="211" t="str">
        <f>IFERROR(__xludf.DUMMYFUNCTION("""COMPUTED_VALUE"""),"Whatsapp")</f>
        <v>Whatsapp</v>
      </c>
      <c r="D757" s="211" t="str">
        <f>IFERROR(__xludf.DUMMYFUNCTION("""COMPUTED_VALUE"""),"Promotional")</f>
        <v>Promotional</v>
      </c>
      <c r="E757" s="211" t="str">
        <f>IFERROR(__xludf.DUMMYFUNCTION("""COMPUTED_VALUE"""),"BBW")</f>
        <v>BBW</v>
      </c>
      <c r="F757" s="211" t="str">
        <f>IFERROR(__xludf.DUMMYFUNCTION("""COMPUTED_VALUE"""),"B2G2 - Entire Store")</f>
        <v>B2G2 - Entire Store</v>
      </c>
      <c r="G757" s="211" t="str">
        <f>IFERROR(__xludf.DUMMYFUNCTION("""COMPUTED_VALUE"""),"bbw_wa_b2g2_24may_lastreminder_aov_3100_online")</f>
        <v>bbw_wa_b2g2_24may_lastreminder_aov_3100_online</v>
      </c>
      <c r="H757" s="212" t="str">
        <f>IFERROR(__xludf.DUMMYFUNCTION("""COMPUTED_VALUE"""),"BC_EventBuyers_ON")</f>
        <v>BC_EventBuyers_ON</v>
      </c>
      <c r="I757" s="212" t="str">
        <f>IFERROR(__xludf.DUMMYFUNCTION("""COMPUTED_VALUE"""),"Online Customers who have purchased from L2: Body Care at least 1 time in between Oct 2 - Oct 5, 2025; Oct 16 - Oct 27, 2025; Jan 09- Jan 18, 2026; Feb 26 - Mar 3, 2026; Mar 27 - Mar 29, 2026; May 7 - May 12, 2026")</f>
        <v>Online Customers who have purchased from L2: Body Care at least 1 time in between Oct 2 - Oct 5, 2025; Oct 16 - Oct 27, 2025; Jan 09- Jan 18, 2026; Feb 26 - Mar 3, 2026; Mar 27 - Mar 29, 2026; May 7 - May 12, 2026</v>
      </c>
      <c r="J757" s="271">
        <f>IFERROR(__xludf.DUMMYFUNCTION("""COMPUTED_VALUE"""),3551.0)</f>
        <v>3551</v>
      </c>
      <c r="K757" s="271">
        <f>IFERROR(__xludf.DUMMYFUNCTION("""COMPUTED_VALUE"""),1477.0)</f>
        <v>1477</v>
      </c>
      <c r="L757" s="286">
        <f>IFERROR(__xludf.DUMMYFUNCTION("""COMPUTED_VALUE"""),0.4159)</f>
        <v>0.4159</v>
      </c>
      <c r="M757" s="271">
        <f>IFERROR(__xludf.DUMMYFUNCTION("""COMPUTED_VALUE"""),503.0)</f>
        <v>503</v>
      </c>
      <c r="N757" s="286">
        <f>IFERROR(__xludf.DUMMYFUNCTION("""COMPUTED_VALUE"""),0.3406)</f>
        <v>0.3406</v>
      </c>
      <c r="O757" s="211">
        <f>IFERROR(__xludf.DUMMYFUNCTION("""COMPUTED_VALUE"""),55.0)</f>
        <v>55</v>
      </c>
      <c r="P757" s="211">
        <f>IFERROR(__xludf.DUMMYFUNCTION("""COMPUTED_VALUE"""),54.0)</f>
        <v>54</v>
      </c>
      <c r="Q757" s="286">
        <f>IFERROR(__xludf.DUMMYFUNCTION("""COMPUTED_VALUE"""),0.0366)</f>
        <v>0.0366</v>
      </c>
      <c r="R757" s="286">
        <f>IFERROR(__xludf.DUMMYFUNCTION("""COMPUTED_VALUE"""),0.1074)</f>
        <v>0.1074</v>
      </c>
      <c r="S757" s="211">
        <f>IFERROR(__xludf.DUMMYFUNCTION("""COMPUTED_VALUE"""),1.0)</f>
        <v>1</v>
      </c>
      <c r="T757" s="211">
        <f>IFERROR(__xludf.DUMMYFUNCTION("""COMPUTED_VALUE"""),4.0)</f>
        <v>4</v>
      </c>
      <c r="U757" s="271">
        <f>IFERROR(__xludf.DUMMYFUNCTION("""COMPUTED_VALUE"""),2447.0)</f>
        <v>2447</v>
      </c>
      <c r="V757" s="211" t="str">
        <f>IFERROR(__xludf.DUMMYFUNCTION("""COMPUTED_VALUE"""),"online")</f>
        <v>online</v>
      </c>
      <c r="W757" s="212" t="str">
        <f>IFERROR(__xludf.DUMMYFUNCTION("""COMPUTED_VALUE"""),"simple")</f>
        <v>simple</v>
      </c>
      <c r="X757" s="212" t="str">
        <f>IFERROR(__xludf.DUMMYFUNCTION("""COMPUTED_VALUE"""),"Event Buyers")</f>
        <v>Event Buyers</v>
      </c>
      <c r="Y757" s="212" t="str">
        <f>IFERROR(__xludf.DUMMYFUNCTION("""COMPUTED_VALUE"""),"24-26 May")</f>
        <v>24-26 May</v>
      </c>
      <c r="Z757" s="212" t="str">
        <f>IFERROR(__xludf.DUMMYFUNCTION("""COMPUTED_VALUE"""),"6a0eb96a0cadc699e98c892e")</f>
        <v>6a0eb96a0cadc699e98c892e</v>
      </c>
      <c r="AA757" s="287">
        <f>IFERROR(__xludf.DUMMYFUNCTION("""COMPUTED_VALUE"""),5.0)</f>
        <v>5</v>
      </c>
      <c r="AB757" s="287">
        <f>IFERROR(__xludf.DUMMYFUNCTION("""COMPUTED_VALUE"""),5.0)</f>
        <v>5</v>
      </c>
      <c r="AC757" s="287"/>
      <c r="AD757" s="287">
        <f>IFERROR(__xludf.DUMMYFUNCTION("""COMPUTED_VALUE"""),20570.0)</f>
        <v>20570</v>
      </c>
      <c r="AE757" s="287">
        <f>IFERROR(__xludf.DUMMYFUNCTION("""COMPUTED_VALUE"""),20570.0)</f>
        <v>20570</v>
      </c>
      <c r="AF757" s="287"/>
      <c r="AG757" s="208"/>
      <c r="AH757" s="208"/>
      <c r="AI757" s="208"/>
      <c r="AJ757" s="208"/>
      <c r="AK757" s="208"/>
    </row>
    <row r="758" hidden="1">
      <c r="A758" s="215">
        <f>IFERROR(__xludf.DUMMYFUNCTION("""COMPUTED_VALUE"""),46166.0)</f>
        <v>46166</v>
      </c>
      <c r="B758" s="210">
        <f>IFERROR(__xludf.DUMMYFUNCTION("""COMPUTED_VALUE"""),0.75)</f>
        <v>0.75</v>
      </c>
      <c r="C758" s="211" t="str">
        <f>IFERROR(__xludf.DUMMYFUNCTION("""COMPUTED_VALUE"""),"Whatsapp")</f>
        <v>Whatsapp</v>
      </c>
      <c r="D758" s="211" t="str">
        <f>IFERROR(__xludf.DUMMYFUNCTION("""COMPUTED_VALUE"""),"Promotional")</f>
        <v>Promotional</v>
      </c>
      <c r="E758" s="211" t="str">
        <f>IFERROR(__xludf.DUMMYFUNCTION("""COMPUTED_VALUE"""),"BBW")</f>
        <v>BBW</v>
      </c>
      <c r="F758" s="211" t="str">
        <f>IFERROR(__xludf.DUMMYFUNCTION("""COMPUTED_VALUE"""),"B2G2 - Entire Store")</f>
        <v>B2G2 - Entire Store</v>
      </c>
      <c r="G758" s="211" t="str">
        <f>IFERROR(__xludf.DUMMYFUNCTION("""COMPUTED_VALUE"""),"bbw_wa_b2g2_24may_lastreminder_dormant_online")</f>
        <v>bbw_wa_b2g2_24may_lastreminder_dormant_online</v>
      </c>
      <c r="H758" s="212" t="str">
        <f>IFERROR(__xludf.DUMMYFUNCTION("""COMPUTED_VALUE"""),"BBW_ON_BC_1100_1_time_365D")</f>
        <v>BBW_ON_BC_1100_1_time_365D</v>
      </c>
      <c r="I758" s="212" t="str">
        <f>IFERROR(__xludf.DUMMYFUNCTION("""COMPUTED_VALUE"""),"Online Customers who have purchased at least 1 time with cart value below ₹1,100 in the last 365 days")</f>
        <v>Online Customers who have purchased at least 1 time with cart value below ₹1,100 in the last 365 days</v>
      </c>
      <c r="J758" s="271">
        <f>IFERROR(__xludf.DUMMYFUNCTION("""COMPUTED_VALUE"""),5206.0)</f>
        <v>5206</v>
      </c>
      <c r="K758" s="271">
        <f>IFERROR(__xludf.DUMMYFUNCTION("""COMPUTED_VALUE"""),2370.0)</f>
        <v>2370</v>
      </c>
      <c r="L758" s="286">
        <f>IFERROR(__xludf.DUMMYFUNCTION("""COMPUTED_VALUE"""),0.4552)</f>
        <v>0.4552</v>
      </c>
      <c r="M758" s="271">
        <f>IFERROR(__xludf.DUMMYFUNCTION("""COMPUTED_VALUE"""),773.0)</f>
        <v>773</v>
      </c>
      <c r="N758" s="286">
        <f>IFERROR(__xludf.DUMMYFUNCTION("""COMPUTED_VALUE"""),0.3262)</f>
        <v>0.3262</v>
      </c>
      <c r="O758" s="211">
        <f>IFERROR(__xludf.DUMMYFUNCTION("""COMPUTED_VALUE"""),55.0)</f>
        <v>55</v>
      </c>
      <c r="P758" s="211">
        <f>IFERROR(__xludf.DUMMYFUNCTION("""COMPUTED_VALUE"""),54.0)</f>
        <v>54</v>
      </c>
      <c r="Q758" s="286">
        <f>IFERROR(__xludf.DUMMYFUNCTION("""COMPUTED_VALUE"""),0.0228)</f>
        <v>0.0228</v>
      </c>
      <c r="R758" s="286">
        <f>IFERROR(__xludf.DUMMYFUNCTION("""COMPUTED_VALUE"""),0.0699)</f>
        <v>0.0699</v>
      </c>
      <c r="S758" s="211">
        <f>IFERROR(__xludf.DUMMYFUNCTION("""COMPUTED_VALUE"""),0.0)</f>
        <v>0</v>
      </c>
      <c r="T758" s="211">
        <f>IFERROR(__xludf.DUMMYFUNCTION("""COMPUTED_VALUE"""),1.0)</f>
        <v>1</v>
      </c>
      <c r="U758" s="271">
        <f>IFERROR(__xludf.DUMMYFUNCTION("""COMPUTED_VALUE"""),0.0)</f>
        <v>0</v>
      </c>
      <c r="V758" s="211" t="str">
        <f>IFERROR(__xludf.DUMMYFUNCTION("""COMPUTED_VALUE"""),"online")</f>
        <v>online</v>
      </c>
      <c r="W758" s="212" t="str">
        <f>IFERROR(__xludf.DUMMYFUNCTION("""COMPUTED_VALUE"""),"simple")</f>
        <v>simple</v>
      </c>
      <c r="X758" s="212" t="str">
        <f>IFERROR(__xludf.DUMMYFUNCTION("""COMPUTED_VALUE"""),"Cart Value")</f>
        <v>Cart Value</v>
      </c>
      <c r="Y758" s="212" t="str">
        <f>IFERROR(__xludf.DUMMYFUNCTION("""COMPUTED_VALUE"""),"24-26 May")</f>
        <v>24-26 May</v>
      </c>
      <c r="Z758" s="212" t="str">
        <f>IFERROR(__xludf.DUMMYFUNCTION("""COMPUTED_VALUE"""),"6a0eb9c65fd1fe67514fa5ad")</f>
        <v>6a0eb9c65fd1fe67514fa5ad</v>
      </c>
      <c r="AA758" s="287">
        <f>IFERROR(__xludf.DUMMYFUNCTION("""COMPUTED_VALUE"""),0.0)</f>
        <v>0</v>
      </c>
      <c r="AB758" s="287">
        <f>IFERROR(__xludf.DUMMYFUNCTION("""COMPUTED_VALUE"""),0.0)</f>
        <v>0</v>
      </c>
      <c r="AC758" s="287"/>
      <c r="AD758" s="287">
        <f>IFERROR(__xludf.DUMMYFUNCTION("""COMPUTED_VALUE"""),0.0)</f>
        <v>0</v>
      </c>
      <c r="AE758" s="287">
        <f>IFERROR(__xludf.DUMMYFUNCTION("""COMPUTED_VALUE"""),0.0)</f>
        <v>0</v>
      </c>
      <c r="AF758" s="287"/>
      <c r="AG758" s="208"/>
      <c r="AH758" s="208"/>
      <c r="AI758" s="208"/>
      <c r="AJ758" s="208"/>
      <c r="AK758" s="208"/>
    </row>
    <row r="759" hidden="1">
      <c r="A759" s="215">
        <f>IFERROR(__xludf.DUMMYFUNCTION("""COMPUTED_VALUE"""),46166.0)</f>
        <v>46166</v>
      </c>
      <c r="B759" s="210">
        <f>IFERROR(__xludf.DUMMYFUNCTION("""COMPUTED_VALUE"""),0.75)</f>
        <v>0.75</v>
      </c>
      <c r="C759" s="211" t="str">
        <f>IFERROR(__xludf.DUMMYFUNCTION("""COMPUTED_VALUE"""),"Whatsapp")</f>
        <v>Whatsapp</v>
      </c>
      <c r="D759" s="211" t="str">
        <f>IFERROR(__xludf.DUMMYFUNCTION("""COMPUTED_VALUE"""),"Promotional")</f>
        <v>Promotional</v>
      </c>
      <c r="E759" s="211" t="str">
        <f>IFERROR(__xludf.DUMMYFUNCTION("""COMPUTED_VALUE"""),"BBW")</f>
        <v>BBW</v>
      </c>
      <c r="F759" s="211" t="str">
        <f>IFERROR(__xludf.DUMMYFUNCTION("""COMPUTED_VALUE"""),"B2G2 - Entire Store")</f>
        <v>B2G2 - Entire Store</v>
      </c>
      <c r="G759" s="211" t="str">
        <f>IFERROR(__xludf.DUMMYFUNCTION("""COMPUTED_VALUE"""),"bbw_wa_b2g2_24may_event_buyers_lastreminder_overall")</f>
        <v>bbw_wa_b2g2_24may_event_buyers_lastreminder_overall</v>
      </c>
      <c r="H759" s="212" t="str">
        <f>IFERROR(__xludf.DUMMYFUNCTION("""COMPUTED_VALUE"""),"BBW_ON_OFF_B2G2_Event_Buyers")</f>
        <v>BBW_ON_OFF_B2G2_Event_Buyers</v>
      </c>
      <c r="I759" s="212" t="str">
        <f>IFERROR(__xludf.DUMMYFUNCTION("""COMPUTED_VALUE"""),"Customers who have purchased between 25–27 Jul 2025, 09–10 Aug 2025, 14–17 Aug 2025, 02–05 Oct 2025, 17–21 Oct 2025, 23–26 Jan 2026, 13–15 Feb 2026, 04–08 Mar 2026")</f>
        <v>Customers who have purchased between 25–27 Jul 2025, 09–10 Aug 2025, 14–17 Aug 2025, 02–05 Oct 2025, 17–21 Oct 2025, 23–26 Jan 2026, 13–15 Feb 2026, 04–08 Mar 2026</v>
      </c>
      <c r="J759" s="271">
        <f>IFERROR(__xludf.DUMMYFUNCTION("""COMPUTED_VALUE"""),45842.0)</f>
        <v>45842</v>
      </c>
      <c r="K759" s="271">
        <f>IFERROR(__xludf.DUMMYFUNCTION("""COMPUTED_VALUE"""),18042.0)</f>
        <v>18042</v>
      </c>
      <c r="L759" s="286">
        <f>IFERROR(__xludf.DUMMYFUNCTION("""COMPUTED_VALUE"""),0.3935)</f>
        <v>0.3935</v>
      </c>
      <c r="M759" s="271">
        <f>IFERROR(__xludf.DUMMYFUNCTION("""COMPUTED_VALUE"""),5446.0)</f>
        <v>5446</v>
      </c>
      <c r="N759" s="286">
        <f>IFERROR(__xludf.DUMMYFUNCTION("""COMPUTED_VALUE"""),0.3019)</f>
        <v>0.3019</v>
      </c>
      <c r="O759" s="211">
        <f>IFERROR(__xludf.DUMMYFUNCTION("""COMPUTED_VALUE"""),354.0)</f>
        <v>354</v>
      </c>
      <c r="P759" s="211">
        <f>IFERROR(__xludf.DUMMYFUNCTION("""COMPUTED_VALUE"""),340.0)</f>
        <v>340</v>
      </c>
      <c r="Q759" s="286">
        <f>IFERROR(__xludf.DUMMYFUNCTION("""COMPUTED_VALUE"""),0.0188)</f>
        <v>0.0188</v>
      </c>
      <c r="R759" s="286">
        <f>IFERROR(__xludf.DUMMYFUNCTION("""COMPUTED_VALUE"""),0.0624)</f>
        <v>0.0624</v>
      </c>
      <c r="S759" s="211">
        <f>IFERROR(__xludf.DUMMYFUNCTION("""COMPUTED_VALUE"""),0.0)</f>
        <v>0</v>
      </c>
      <c r="T759" s="211">
        <f>IFERROR(__xludf.DUMMYFUNCTION("""COMPUTED_VALUE"""),0.0)</f>
        <v>0</v>
      </c>
      <c r="U759" s="271">
        <f>IFERROR(__xludf.DUMMYFUNCTION("""COMPUTED_VALUE"""),66812.0)</f>
        <v>66812</v>
      </c>
      <c r="V759" s="211" t="str">
        <f>IFERROR(__xludf.DUMMYFUNCTION("""COMPUTED_VALUE"""),"overall")</f>
        <v>overall</v>
      </c>
      <c r="W759" s="212" t="str">
        <f>IFERROR(__xludf.DUMMYFUNCTION("""COMPUTED_VALUE"""),"simple")</f>
        <v>simple</v>
      </c>
      <c r="X759" s="212" t="str">
        <f>IFERROR(__xludf.DUMMYFUNCTION("""COMPUTED_VALUE"""),"Event Buyers")</f>
        <v>Event Buyers</v>
      </c>
      <c r="Y759" s="212" t="str">
        <f>IFERROR(__xludf.DUMMYFUNCTION("""COMPUTED_VALUE"""),"24-26 May")</f>
        <v>24-26 May</v>
      </c>
      <c r="Z759" s="212" t="str">
        <f>IFERROR(__xludf.DUMMYFUNCTION("""COMPUTED_VALUE"""),"6a0eba30aa0fc8d3bc854288")</f>
        <v>6a0eba30aa0fc8d3bc854288</v>
      </c>
      <c r="AA759" s="287">
        <f>IFERROR(__xludf.DUMMYFUNCTION("""COMPUTED_VALUE"""),85.0)</f>
        <v>85</v>
      </c>
      <c r="AB759" s="287">
        <f>IFERROR(__xludf.DUMMYFUNCTION("""COMPUTED_VALUE"""),16.0)</f>
        <v>16</v>
      </c>
      <c r="AC759" s="287">
        <f>IFERROR(__xludf.DUMMYFUNCTION("""COMPUTED_VALUE"""),69.0)</f>
        <v>69</v>
      </c>
      <c r="AD759" s="287">
        <f>IFERROR(__xludf.DUMMYFUNCTION("""COMPUTED_VALUE"""),405836.0)</f>
        <v>405836</v>
      </c>
      <c r="AE759" s="287">
        <f>IFERROR(__xludf.DUMMYFUNCTION("""COMPUTED_VALUE"""),64319.0)</f>
        <v>64319</v>
      </c>
      <c r="AF759" s="287">
        <f>IFERROR(__xludf.DUMMYFUNCTION("""COMPUTED_VALUE"""),341517.0)</f>
        <v>341517</v>
      </c>
      <c r="AG759" s="208"/>
      <c r="AH759" s="208"/>
      <c r="AI759" s="208"/>
      <c r="AJ759" s="208"/>
      <c r="AK759" s="208"/>
    </row>
    <row r="760" hidden="1">
      <c r="A760" s="288">
        <f>IFERROR(__xludf.DUMMYFUNCTION("""COMPUTED_VALUE"""),46169.0)</f>
        <v>46169</v>
      </c>
      <c r="B760" s="274">
        <f>IFERROR(__xludf.DUMMYFUNCTION("""COMPUTED_VALUE"""),0.75)</f>
        <v>0.75</v>
      </c>
      <c r="C760" s="208" t="str">
        <f>IFERROR(__xludf.DUMMYFUNCTION("""COMPUTED_VALUE"""),"Whatsapp")</f>
        <v>Whatsapp</v>
      </c>
      <c r="D760" s="208" t="str">
        <f>IFERROR(__xludf.DUMMYFUNCTION("""COMPUTED_VALUE"""),"Promotional")</f>
        <v>Promotional</v>
      </c>
      <c r="E760" s="208" t="str">
        <f>IFERROR(__xludf.DUMMYFUNCTION("""COMPUTED_VALUE"""),"BBW")</f>
        <v>BBW</v>
      </c>
      <c r="F760" s="208" t="str">
        <f>IFERROR(__xludf.DUMMYFUNCTION("""COMPUTED_VALUE"""),"BC at 899 - Seasonal Body Care")</f>
        <v>BC at 899 - Seasonal Body Care</v>
      </c>
      <c r="G760" s="208" t="str">
        <f>IFERROR(__xludf.DUMMYFUNCTION("""COMPUTED_VALUE"""),"bbw_wa_seasonal_bcat899_27may_atc_wishlist_online")</f>
        <v>bbw_wa_seasonal_bcat899_27may_atc_wishlist_online</v>
      </c>
      <c r="H760" s="232" t="str">
        <f>IFERROR(__xludf.DUMMYFUNCTION("""COMPUTED_VALUE"""),"BBW_ATC_View_Wishlist_NoPr_45D")</f>
        <v>BBW_ATC_View_Wishlist_NoPr_45D</v>
      </c>
      <c r="I760" s="233" t="str">
        <f>IFERROR(__xludf.DUMMYFUNCTION("""COMPUTED_VALUE"""),"Customers who have added to cart or wishlisted items from item_category Body Care in the last 45D")</f>
        <v>Customers who have added to cart or wishlisted items from item_category Body Care in the last 45D</v>
      </c>
      <c r="J760" s="275">
        <f>IFERROR(__xludf.DUMMYFUNCTION("""COMPUTED_VALUE"""),3969.0)</f>
        <v>3969</v>
      </c>
      <c r="K760" s="275">
        <f>IFERROR(__xludf.DUMMYFUNCTION("""COMPUTED_VALUE"""),1875.0)</f>
        <v>1875</v>
      </c>
      <c r="L760" s="276">
        <f>IFERROR(__xludf.DUMMYFUNCTION("""COMPUTED_VALUE"""),0.4724)</f>
        <v>0.4724</v>
      </c>
      <c r="M760" s="275">
        <f>IFERROR(__xludf.DUMMYFUNCTION("""COMPUTED_VALUE"""),820.0)</f>
        <v>820</v>
      </c>
      <c r="N760" s="276">
        <f>IFERROR(__xludf.DUMMYFUNCTION("""COMPUTED_VALUE"""),0.4373)</f>
        <v>0.4373</v>
      </c>
      <c r="O760" s="208">
        <f>IFERROR(__xludf.DUMMYFUNCTION("""COMPUTED_VALUE"""),170.0)</f>
        <v>170</v>
      </c>
      <c r="P760" s="208">
        <f>IFERROR(__xludf.DUMMYFUNCTION("""COMPUTED_VALUE"""),149.0)</f>
        <v>149</v>
      </c>
      <c r="Q760" s="276">
        <f>IFERROR(__xludf.DUMMYFUNCTION("""COMPUTED_VALUE"""),0.0795)</f>
        <v>0.0795</v>
      </c>
      <c r="R760" s="276">
        <f>IFERROR(__xludf.DUMMYFUNCTION("""COMPUTED_VALUE"""),0.1817)</f>
        <v>0.1817</v>
      </c>
      <c r="S760" s="208">
        <f>IFERROR(__xludf.DUMMYFUNCTION("""COMPUTED_VALUE"""),12.0)</f>
        <v>12</v>
      </c>
      <c r="T760" s="208">
        <f>IFERROR(__xludf.DUMMYFUNCTION("""COMPUTED_VALUE"""),84.0)</f>
        <v>84</v>
      </c>
      <c r="U760" s="275">
        <f>IFERROR(__xludf.DUMMYFUNCTION("""COMPUTED_VALUE"""),38790.0)</f>
        <v>38790</v>
      </c>
      <c r="V760" s="234" t="str">
        <f>IFERROR(__xludf.DUMMYFUNCTION("""COMPUTED_VALUE"""),"online")</f>
        <v>online</v>
      </c>
      <c r="W760" s="232" t="str">
        <f>IFERROR(__xludf.DUMMYFUNCTION("""COMPUTED_VALUE"""),"simple")</f>
        <v>simple</v>
      </c>
      <c r="X760" s="232" t="str">
        <f>IFERROR(__xludf.DUMMYFUNCTION("""COMPUTED_VALUE"""),"ATC/View")</f>
        <v>ATC/View</v>
      </c>
      <c r="Y760" s="232" t="str">
        <f>IFERROR(__xludf.DUMMYFUNCTION("""COMPUTED_VALUE"""),"27-29 May")</f>
        <v>27-29 May</v>
      </c>
      <c r="Z760" s="232" t="str">
        <f>IFERROR(__xludf.DUMMYFUNCTION("""COMPUTED_VALUE"""),"6a14430e44ff5efdb9fc470d")</f>
        <v>6a14430e44ff5efdb9fc470d</v>
      </c>
      <c r="AA760" s="277">
        <f>IFERROR(__xludf.DUMMYFUNCTION("""COMPUTED_VALUE"""),15.0)</f>
        <v>15</v>
      </c>
      <c r="AB760" s="277">
        <f>IFERROR(__xludf.DUMMYFUNCTION("""COMPUTED_VALUE"""),15.0)</f>
        <v>15</v>
      </c>
      <c r="AC760" s="277"/>
      <c r="AD760" s="277">
        <f>IFERROR(__xludf.DUMMYFUNCTION("""COMPUTED_VALUE"""),39463.0)</f>
        <v>39463</v>
      </c>
      <c r="AE760" s="277">
        <f>IFERROR(__xludf.DUMMYFUNCTION("""COMPUTED_VALUE"""),39463.0)</f>
        <v>39463</v>
      </c>
      <c r="AF760" s="277"/>
      <c r="AG760" s="208"/>
      <c r="AH760" s="208"/>
      <c r="AI760" s="208"/>
      <c r="AJ760" s="208"/>
      <c r="AK760" s="208"/>
    </row>
    <row r="761" hidden="1">
      <c r="A761" s="288">
        <f>IFERROR(__xludf.DUMMYFUNCTION("""COMPUTED_VALUE"""),46169.0)</f>
        <v>46169</v>
      </c>
      <c r="B761" s="274">
        <f>IFERROR(__xludf.DUMMYFUNCTION("""COMPUTED_VALUE"""),0.75)</f>
        <v>0.75</v>
      </c>
      <c r="C761" s="208" t="str">
        <f>IFERROR(__xludf.DUMMYFUNCTION("""COMPUTED_VALUE"""),"Whatsapp")</f>
        <v>Whatsapp</v>
      </c>
      <c r="D761" s="208" t="str">
        <f>IFERROR(__xludf.DUMMYFUNCTION("""COMPUTED_VALUE"""),"Promotional")</f>
        <v>Promotional</v>
      </c>
      <c r="E761" s="208" t="str">
        <f>IFERROR(__xludf.DUMMYFUNCTION("""COMPUTED_VALUE"""),"BBW")</f>
        <v>BBW</v>
      </c>
      <c r="F761" s="208" t="str">
        <f>IFERROR(__xludf.DUMMYFUNCTION("""COMPUTED_VALUE"""),"BC at 899 - Seasonal Body Care")</f>
        <v>BC at 899 - Seasonal Body Care</v>
      </c>
      <c r="G761" s="208" t="str">
        <f>IFERROR(__xludf.DUMMYFUNCTION("""COMPUTED_VALUE"""),"bbw_wa_seasonal_bcat899_27may_bcrepeat_online")</f>
        <v>bbw_wa_seasonal_bcat899_27may_bcrepeat_online</v>
      </c>
      <c r="H761" s="232" t="str">
        <f>IFERROR(__xludf.DUMMYFUNCTION("""COMPUTED_VALUE"""),"BBW_ON_BC_2_Times_45D_210D")</f>
        <v>BBW_ON_BC_2_Times_45D_210D</v>
      </c>
      <c r="I761" s="233" t="str">
        <f>IFERROR(__xludf.DUMMYFUNCTION("""COMPUTED_VALUE"""),"Online Customers who have purchased from L2: Body Care at least 2 times in between 45 days and 210 days ago")</f>
        <v>Online Customers who have purchased from L2: Body Care at least 2 times in between 45 days and 210 days ago</v>
      </c>
      <c r="J761" s="275">
        <f>IFERROR(__xludf.DUMMYFUNCTION("""COMPUTED_VALUE"""),34005.0)</f>
        <v>34005</v>
      </c>
      <c r="K761" s="275">
        <f>IFERROR(__xludf.DUMMYFUNCTION("""COMPUTED_VALUE"""),13259.0)</f>
        <v>13259</v>
      </c>
      <c r="L761" s="276">
        <f>IFERROR(__xludf.DUMMYFUNCTION("""COMPUTED_VALUE"""),0.3899)</f>
        <v>0.3899</v>
      </c>
      <c r="M761" s="275">
        <f>IFERROR(__xludf.DUMMYFUNCTION("""COMPUTED_VALUE"""),5550.0)</f>
        <v>5550</v>
      </c>
      <c r="N761" s="276">
        <f>IFERROR(__xludf.DUMMYFUNCTION("""COMPUTED_VALUE"""),0.4186)</f>
        <v>0.4186</v>
      </c>
      <c r="O761" s="208">
        <f>IFERROR(__xludf.DUMMYFUNCTION("""COMPUTED_VALUE"""),696.0)</f>
        <v>696</v>
      </c>
      <c r="P761" s="208">
        <f>IFERROR(__xludf.DUMMYFUNCTION("""COMPUTED_VALUE"""),615.0)</f>
        <v>615</v>
      </c>
      <c r="Q761" s="276">
        <f>IFERROR(__xludf.DUMMYFUNCTION("""COMPUTED_VALUE"""),0.0464)</f>
        <v>0.0464</v>
      </c>
      <c r="R761" s="276">
        <f>IFERROR(__xludf.DUMMYFUNCTION("""COMPUTED_VALUE"""),0.1108)</f>
        <v>0.1108</v>
      </c>
      <c r="S761" s="208">
        <f>IFERROR(__xludf.DUMMYFUNCTION("""COMPUTED_VALUE"""),21.0)</f>
        <v>21</v>
      </c>
      <c r="T761" s="208">
        <f>IFERROR(__xludf.DUMMYFUNCTION("""COMPUTED_VALUE"""),58.0)</f>
        <v>58</v>
      </c>
      <c r="U761" s="275">
        <f>IFERROR(__xludf.DUMMYFUNCTION("""COMPUTED_VALUE"""),56723.0)</f>
        <v>56723</v>
      </c>
      <c r="V761" s="234" t="str">
        <f>IFERROR(__xludf.DUMMYFUNCTION("""COMPUTED_VALUE"""),"online")</f>
        <v>online</v>
      </c>
      <c r="W761" s="232" t="str">
        <f>IFERROR(__xludf.DUMMYFUNCTION("""COMPUTED_VALUE"""),"simple")</f>
        <v>simple</v>
      </c>
      <c r="X761" s="232" t="str">
        <f>IFERROR(__xludf.DUMMYFUNCTION("""COMPUTED_VALUE"""),"Repeat")</f>
        <v>Repeat</v>
      </c>
      <c r="Y761" s="232" t="str">
        <f>IFERROR(__xludf.DUMMYFUNCTION("""COMPUTED_VALUE"""),"27-29 May")</f>
        <v>27-29 May</v>
      </c>
      <c r="Z761" s="232" t="str">
        <f>IFERROR(__xludf.DUMMYFUNCTION("""COMPUTED_VALUE"""),"6a14433d705003a2235bb78b")</f>
        <v>6a14433d705003a2235bb78b</v>
      </c>
      <c r="AA761" s="277">
        <f>IFERROR(__xludf.DUMMYFUNCTION("""COMPUTED_VALUE"""),127.0)</f>
        <v>127</v>
      </c>
      <c r="AB761" s="277">
        <f>IFERROR(__xludf.DUMMYFUNCTION("""COMPUTED_VALUE"""),127.0)</f>
        <v>127</v>
      </c>
      <c r="AC761" s="277"/>
      <c r="AD761" s="277">
        <f>IFERROR(__xludf.DUMMYFUNCTION("""COMPUTED_VALUE"""),335564.0)</f>
        <v>335564</v>
      </c>
      <c r="AE761" s="277">
        <f>IFERROR(__xludf.DUMMYFUNCTION("""COMPUTED_VALUE"""),335564.0)</f>
        <v>335564</v>
      </c>
      <c r="AF761" s="277"/>
      <c r="AG761" s="208"/>
      <c r="AH761" s="208"/>
      <c r="AI761" s="208"/>
      <c r="AJ761" s="208"/>
      <c r="AK761" s="208"/>
    </row>
    <row r="762" hidden="1">
      <c r="A762" s="288">
        <f>IFERROR(__xludf.DUMMYFUNCTION("""COMPUTED_VALUE"""),46169.0)</f>
        <v>46169</v>
      </c>
      <c r="B762" s="274">
        <f>IFERROR(__xludf.DUMMYFUNCTION("""COMPUTED_VALUE"""),0.75)</f>
        <v>0.75</v>
      </c>
      <c r="C762" s="208" t="str">
        <f>IFERROR(__xludf.DUMMYFUNCTION("""COMPUTED_VALUE"""),"Whatsapp")</f>
        <v>Whatsapp</v>
      </c>
      <c r="D762" s="208" t="str">
        <f>IFERROR(__xludf.DUMMYFUNCTION("""COMPUTED_VALUE"""),"Promotional")</f>
        <v>Promotional</v>
      </c>
      <c r="E762" s="208" t="str">
        <f>IFERROR(__xludf.DUMMYFUNCTION("""COMPUTED_VALUE"""),"BBW")</f>
        <v>BBW</v>
      </c>
      <c r="F762" s="208" t="str">
        <f>IFERROR(__xludf.DUMMYFUNCTION("""COMPUTED_VALUE"""),"BC at 899 - Seasonal Body Care")</f>
        <v>BC at 899 - Seasonal Body Care</v>
      </c>
      <c r="G762" s="208" t="str">
        <f>IFERROR(__xludf.DUMMYFUNCTION("""COMPUTED_VALUE"""),"bbw_wa_seasonal_bcat899_27may_eventbuyers_online")</f>
        <v>bbw_wa_seasonal_bcat899_27may_eventbuyers_online</v>
      </c>
      <c r="H762" s="232" t="str">
        <f>IFERROR(__xludf.DUMMYFUNCTION("""COMPUTED_VALUE"""),"BC_EventBuyers_ON")</f>
        <v>BC_EventBuyers_ON</v>
      </c>
      <c r="I762" s="233" t="str">
        <f>IFERROR(__xludf.DUMMYFUNCTION("""COMPUTED_VALUE"""),"Online Customers who have purchased from L2: Body Care at least 1 time in between Oct 2 - Oct 5, 2025; Oct 16 - Oct 27, 2025; Jan 09- Jan 18, 2026; Feb 26 - Mar 3, 2026; Mar 27 - Mar 29, 2026; May 7 - May 12, 2026")</f>
        <v>Online Customers who have purchased from L2: Body Care at least 1 time in between Oct 2 - Oct 5, 2025; Oct 16 - Oct 27, 2025; Jan 09- Jan 18, 2026; Feb 26 - Mar 3, 2026; Mar 27 - Mar 29, 2026; May 7 - May 12, 2026</v>
      </c>
      <c r="J762" s="275">
        <f>IFERROR(__xludf.DUMMYFUNCTION("""COMPUTED_VALUE"""),6105.0)</f>
        <v>6105</v>
      </c>
      <c r="K762" s="275">
        <f>IFERROR(__xludf.DUMMYFUNCTION("""COMPUTED_VALUE"""),2453.0)</f>
        <v>2453</v>
      </c>
      <c r="L762" s="276">
        <f>IFERROR(__xludf.DUMMYFUNCTION("""COMPUTED_VALUE"""),0.4018)</f>
        <v>0.4018</v>
      </c>
      <c r="M762" s="275">
        <f>IFERROR(__xludf.DUMMYFUNCTION("""COMPUTED_VALUE"""),1009.0)</f>
        <v>1009</v>
      </c>
      <c r="N762" s="276">
        <f>IFERROR(__xludf.DUMMYFUNCTION("""COMPUTED_VALUE"""),0.4113)</f>
        <v>0.4113</v>
      </c>
      <c r="O762" s="208">
        <f>IFERROR(__xludf.DUMMYFUNCTION("""COMPUTED_VALUE"""),129.0)</f>
        <v>129</v>
      </c>
      <c r="P762" s="208">
        <f>IFERROR(__xludf.DUMMYFUNCTION("""COMPUTED_VALUE"""),118.0)</f>
        <v>118</v>
      </c>
      <c r="Q762" s="276">
        <f>IFERROR(__xludf.DUMMYFUNCTION("""COMPUTED_VALUE"""),0.0481)</f>
        <v>0.0481</v>
      </c>
      <c r="R762" s="276">
        <f>IFERROR(__xludf.DUMMYFUNCTION("""COMPUTED_VALUE"""),0.1169)</f>
        <v>0.1169</v>
      </c>
      <c r="S762" s="208">
        <f>IFERROR(__xludf.DUMMYFUNCTION("""COMPUTED_VALUE"""),7.0)</f>
        <v>7</v>
      </c>
      <c r="T762" s="208">
        <f>IFERROR(__xludf.DUMMYFUNCTION("""COMPUTED_VALUE"""),17.0)</f>
        <v>17</v>
      </c>
      <c r="U762" s="275">
        <f>IFERROR(__xludf.DUMMYFUNCTION("""COMPUTED_VALUE"""),18756.0)</f>
        <v>18756</v>
      </c>
      <c r="V762" s="234" t="str">
        <f>IFERROR(__xludf.DUMMYFUNCTION("""COMPUTED_VALUE"""),"online")</f>
        <v>online</v>
      </c>
      <c r="W762" s="232" t="str">
        <f>IFERROR(__xludf.DUMMYFUNCTION("""COMPUTED_VALUE"""),"simple")</f>
        <v>simple</v>
      </c>
      <c r="X762" s="232" t="str">
        <f>IFERROR(__xludf.DUMMYFUNCTION("""COMPUTED_VALUE"""),"Event Buyers")</f>
        <v>Event Buyers</v>
      </c>
      <c r="Y762" s="232" t="str">
        <f>IFERROR(__xludf.DUMMYFUNCTION("""COMPUTED_VALUE"""),"27-29 May")</f>
        <v>27-29 May</v>
      </c>
      <c r="Z762" s="232" t="str">
        <f>IFERROR(__xludf.DUMMYFUNCTION("""COMPUTED_VALUE"""),"6a14435e3bdcd875f5add82b")</f>
        <v>6a14435e3bdcd875f5add82b</v>
      </c>
      <c r="AA762" s="277">
        <f>IFERROR(__xludf.DUMMYFUNCTION("""COMPUTED_VALUE"""),27.0)</f>
        <v>27</v>
      </c>
      <c r="AB762" s="277">
        <f>IFERROR(__xludf.DUMMYFUNCTION("""COMPUTED_VALUE"""),27.0)</f>
        <v>27</v>
      </c>
      <c r="AC762" s="277"/>
      <c r="AD762" s="277">
        <f>IFERROR(__xludf.DUMMYFUNCTION("""COMPUTED_VALUE"""),102259.0)</f>
        <v>102259</v>
      </c>
      <c r="AE762" s="277">
        <f>IFERROR(__xludf.DUMMYFUNCTION("""COMPUTED_VALUE"""),102259.0)</f>
        <v>102259</v>
      </c>
      <c r="AF762" s="277"/>
      <c r="AG762" s="208"/>
      <c r="AH762" s="208"/>
      <c r="AI762" s="208"/>
      <c r="AJ762" s="208"/>
      <c r="AK762" s="208"/>
    </row>
    <row r="763" hidden="1">
      <c r="A763" s="288">
        <f>IFERROR(__xludf.DUMMYFUNCTION("""COMPUTED_VALUE"""),46169.0)</f>
        <v>46169</v>
      </c>
      <c r="B763" s="274">
        <f>IFERROR(__xludf.DUMMYFUNCTION("""COMPUTED_VALUE"""),0.75)</f>
        <v>0.75</v>
      </c>
      <c r="C763" s="208" t="str">
        <f>IFERROR(__xludf.DUMMYFUNCTION("""COMPUTED_VALUE"""),"Whatsapp")</f>
        <v>Whatsapp</v>
      </c>
      <c r="D763" s="208" t="str">
        <f>IFERROR(__xludf.DUMMYFUNCTION("""COMPUTED_VALUE"""),"Promotional")</f>
        <v>Promotional</v>
      </c>
      <c r="E763" s="208" t="str">
        <f>IFERROR(__xludf.DUMMYFUNCTION("""COMPUTED_VALUE"""),"BBW")</f>
        <v>BBW</v>
      </c>
      <c r="F763" s="208" t="str">
        <f>IFERROR(__xludf.DUMMYFUNCTION("""COMPUTED_VALUE"""),"BC at 899 - Seasonal Body Care")</f>
        <v>BC at 899 - Seasonal Body Care</v>
      </c>
      <c r="G763" s="208" t="str">
        <f>IFERROR(__xludf.DUMMYFUNCTION("""COMPUTED_VALUE"""),"bbw_wa_seasonal_bcat899_27may_bc_cart_value_online")</f>
        <v>bbw_wa_seasonal_bcat899_27may_bc_cart_value_online</v>
      </c>
      <c r="H763" s="232" t="str">
        <f>IFERROR(__xludf.DUMMYFUNCTION("""COMPUTED_VALUE"""),"BBW_ON_BC_1100_1_time_365D")</f>
        <v>BBW_ON_BC_1100_1_time_365D</v>
      </c>
      <c r="I763" s="233" t="str">
        <f>IFERROR(__xludf.DUMMYFUNCTION("""COMPUTED_VALUE"""),"Online Customers who have purchased at least 1 time with cart value below ₹1,100 in the last 365 days")</f>
        <v>Online Customers who have purchased at least 1 time with cart value below ₹1,100 in the last 365 days</v>
      </c>
      <c r="J763" s="275">
        <f>IFERROR(__xludf.DUMMYFUNCTION("""COMPUTED_VALUE"""),5128.0)</f>
        <v>5128</v>
      </c>
      <c r="K763" s="275">
        <f>IFERROR(__xludf.DUMMYFUNCTION("""COMPUTED_VALUE"""),2208.0)</f>
        <v>2208</v>
      </c>
      <c r="L763" s="276">
        <f>IFERROR(__xludf.DUMMYFUNCTION("""COMPUTED_VALUE"""),0.4306)</f>
        <v>0.4306</v>
      </c>
      <c r="M763" s="275">
        <f>IFERROR(__xludf.DUMMYFUNCTION("""COMPUTED_VALUE"""),911.0)</f>
        <v>911</v>
      </c>
      <c r="N763" s="276">
        <f>IFERROR(__xludf.DUMMYFUNCTION("""COMPUTED_VALUE"""),0.4126)</f>
        <v>0.4126</v>
      </c>
      <c r="O763" s="208">
        <f>IFERROR(__xludf.DUMMYFUNCTION("""COMPUTED_VALUE"""),109.0)</f>
        <v>109</v>
      </c>
      <c r="P763" s="208">
        <f>IFERROR(__xludf.DUMMYFUNCTION("""COMPUTED_VALUE"""),100.0)</f>
        <v>100</v>
      </c>
      <c r="Q763" s="276">
        <f>IFERROR(__xludf.DUMMYFUNCTION("""COMPUTED_VALUE"""),0.0453)</f>
        <v>0.0453</v>
      </c>
      <c r="R763" s="276">
        <f>IFERROR(__xludf.DUMMYFUNCTION("""COMPUTED_VALUE"""),0.1098)</f>
        <v>0.1098</v>
      </c>
      <c r="S763" s="208">
        <f>IFERROR(__xludf.DUMMYFUNCTION("""COMPUTED_VALUE"""),3.0)</f>
        <v>3</v>
      </c>
      <c r="T763" s="208">
        <f>IFERROR(__xludf.DUMMYFUNCTION("""COMPUTED_VALUE"""),4.0)</f>
        <v>4</v>
      </c>
      <c r="U763" s="275">
        <f>IFERROR(__xludf.DUMMYFUNCTION("""COMPUTED_VALUE"""),3596.0)</f>
        <v>3596</v>
      </c>
      <c r="V763" s="234" t="str">
        <f>IFERROR(__xludf.DUMMYFUNCTION("""COMPUTED_VALUE"""),"online")</f>
        <v>online</v>
      </c>
      <c r="W763" s="232" t="str">
        <f>IFERROR(__xludf.DUMMYFUNCTION("""COMPUTED_VALUE"""),"simple")</f>
        <v>simple</v>
      </c>
      <c r="X763" s="232" t="str">
        <f>IFERROR(__xludf.DUMMYFUNCTION("""COMPUTED_VALUE"""),"Cart Value")</f>
        <v>Cart Value</v>
      </c>
      <c r="Y763" s="232" t="str">
        <f>IFERROR(__xludf.DUMMYFUNCTION("""COMPUTED_VALUE"""),"27-29 May")</f>
        <v>27-29 May</v>
      </c>
      <c r="Z763" s="232" t="str">
        <f>IFERROR(__xludf.DUMMYFUNCTION("""COMPUTED_VALUE"""),"6a1443836fb3131fbf6ca44f")</f>
        <v>6a1443836fb3131fbf6ca44f</v>
      </c>
      <c r="AA763" s="277">
        <f>IFERROR(__xludf.DUMMYFUNCTION("""COMPUTED_VALUE"""),13.0)</f>
        <v>13</v>
      </c>
      <c r="AB763" s="277">
        <f>IFERROR(__xludf.DUMMYFUNCTION("""COMPUTED_VALUE"""),13.0)</f>
        <v>13</v>
      </c>
      <c r="AC763" s="277"/>
      <c r="AD763" s="277">
        <f>IFERROR(__xludf.DUMMYFUNCTION("""COMPUTED_VALUE"""),22019.0)</f>
        <v>22019</v>
      </c>
      <c r="AE763" s="277">
        <f>IFERROR(__xludf.DUMMYFUNCTION("""COMPUTED_VALUE"""),22019.0)</f>
        <v>22019</v>
      </c>
      <c r="AF763" s="277"/>
      <c r="AG763" s="208"/>
      <c r="AH763" s="208"/>
      <c r="AI763" s="208"/>
      <c r="AJ763" s="208"/>
      <c r="AK763" s="208"/>
    </row>
    <row r="764" hidden="1">
      <c r="A764" s="288">
        <f>IFERROR(__xludf.DUMMYFUNCTION("""COMPUTED_VALUE"""),46170.0)</f>
        <v>46170</v>
      </c>
      <c r="B764" s="274">
        <f>IFERROR(__xludf.DUMMYFUNCTION("""COMPUTED_VALUE"""),0.7708333333321207)</f>
        <v>0.7708333333</v>
      </c>
      <c r="C764" s="208" t="str">
        <f>IFERROR(__xludf.DUMMYFUNCTION("""COMPUTED_VALUE"""),"Whatsapp")</f>
        <v>Whatsapp</v>
      </c>
      <c r="D764" s="208" t="str">
        <f>IFERROR(__xludf.DUMMYFUNCTION("""COMPUTED_VALUE"""),"Promotional")</f>
        <v>Promotional</v>
      </c>
      <c r="E764" s="208" t="str">
        <f>IFERROR(__xludf.DUMMYFUNCTION("""COMPUTED_VALUE"""),"BBW")</f>
        <v>BBW</v>
      </c>
      <c r="F764" s="208" t="str">
        <f>IFERROR(__xludf.DUMMYFUNCTION("""COMPUTED_VALUE"""),"HS TITBI - Hand Soaps")</f>
        <v>HS TITBI - Hand Soaps</v>
      </c>
      <c r="G764" s="208" t="str">
        <f>IFERROR(__xludf.DUMMYFUNCTION("""COMPUTED_VALUE"""),"bbw_wa_hs_titbi_ea_28may_atc_online")</f>
        <v>bbw_wa_hs_titbi_ea_28may_atc_online</v>
      </c>
      <c r="H764" s="232" t="str">
        <f>IFERROR(__xludf.DUMMYFUNCTION("""COMPUTED_VALUE"""),"BBW_ON_ATC_HS_HC_Value_999")</f>
        <v>BBW_ON_ATC_HS_HC_Value_999</v>
      </c>
      <c r="I764" s="233" t="str">
        <f>IFERROR(__xludf.DUMMYFUNCTION("""COMPUTED_VALUE"""),"Customers who have added to cart at least 1 times in the last 30 days from L2: Hand Soaps or L3: Hand Creams or Cart Value &lt;999")</f>
        <v>Customers who have added to cart at least 1 times in the last 30 days from L2: Hand Soaps or L3: Hand Creams or Cart Value &lt;999</v>
      </c>
      <c r="J764" s="275">
        <f>IFERROR(__xludf.DUMMYFUNCTION("""COMPUTED_VALUE"""),2009.0)</f>
        <v>2009</v>
      </c>
      <c r="K764" s="275">
        <f>IFERROR(__xludf.DUMMYFUNCTION("""COMPUTED_VALUE"""),902.0)</f>
        <v>902</v>
      </c>
      <c r="L764" s="276">
        <f>IFERROR(__xludf.DUMMYFUNCTION("""COMPUTED_VALUE"""),0.449)</f>
        <v>0.449</v>
      </c>
      <c r="M764" s="275">
        <f>IFERROR(__xludf.DUMMYFUNCTION("""COMPUTED_VALUE"""),458.0)</f>
        <v>458</v>
      </c>
      <c r="N764" s="276">
        <f>IFERROR(__xludf.DUMMYFUNCTION("""COMPUTED_VALUE"""),0.5078)</f>
        <v>0.5078</v>
      </c>
      <c r="O764" s="208">
        <f>IFERROR(__xludf.DUMMYFUNCTION("""COMPUTED_VALUE"""),62.0)</f>
        <v>62</v>
      </c>
      <c r="P764" s="208">
        <f>IFERROR(__xludf.DUMMYFUNCTION("""COMPUTED_VALUE"""),60.0)</f>
        <v>60</v>
      </c>
      <c r="Q764" s="276">
        <f>IFERROR(__xludf.DUMMYFUNCTION("""COMPUTED_VALUE"""),0.0665)</f>
        <v>0.0665</v>
      </c>
      <c r="R764" s="276">
        <f>IFERROR(__xludf.DUMMYFUNCTION("""COMPUTED_VALUE"""),0.131)</f>
        <v>0.131</v>
      </c>
      <c r="S764" s="208">
        <f>IFERROR(__xludf.DUMMYFUNCTION("""COMPUTED_VALUE"""),10.0)</f>
        <v>10</v>
      </c>
      <c r="T764" s="208">
        <f>IFERROR(__xludf.DUMMYFUNCTION("""COMPUTED_VALUE"""),52.0)</f>
        <v>52</v>
      </c>
      <c r="U764" s="275">
        <f>IFERROR(__xludf.DUMMYFUNCTION("""COMPUTED_VALUE"""),23479.0)</f>
        <v>23479</v>
      </c>
      <c r="V764" s="234" t="str">
        <f>IFERROR(__xludf.DUMMYFUNCTION("""COMPUTED_VALUE"""),"online")</f>
        <v>online</v>
      </c>
      <c r="W764" s="232" t="str">
        <f>IFERROR(__xludf.DUMMYFUNCTION("""COMPUTED_VALUE"""),"simple")</f>
        <v>simple</v>
      </c>
      <c r="X764" s="232" t="str">
        <f>IFERROR(__xludf.DUMMYFUNCTION("""COMPUTED_VALUE"""),"Add to Cart")</f>
        <v>Add to Cart</v>
      </c>
      <c r="Y764" s="232" t="str">
        <f>IFERROR(__xludf.DUMMYFUNCTION("""COMPUTED_VALUE"""),"28-30 May")</f>
        <v>28-30 May</v>
      </c>
      <c r="Z764" s="232" t="str">
        <f>IFERROR(__xludf.DUMMYFUNCTION("""COMPUTED_VALUE"""),"6a16935022fd1102663bf317")</f>
        <v>6a16935022fd1102663bf317</v>
      </c>
      <c r="AA764" s="277">
        <f>IFERROR(__xludf.DUMMYFUNCTION("""COMPUTED_VALUE"""),28.0)</f>
        <v>28</v>
      </c>
      <c r="AB764" s="277">
        <f>IFERROR(__xludf.DUMMYFUNCTION("""COMPUTED_VALUE"""),28.0)</f>
        <v>28</v>
      </c>
      <c r="AC764" s="277"/>
      <c r="AD764" s="277">
        <f>IFERROR(__xludf.DUMMYFUNCTION("""COMPUTED_VALUE"""),72308.0)</f>
        <v>72308</v>
      </c>
      <c r="AE764" s="277">
        <f>IFERROR(__xludf.DUMMYFUNCTION("""COMPUTED_VALUE"""),72308.0)</f>
        <v>72308</v>
      </c>
      <c r="AF764" s="277"/>
      <c r="AG764" s="208"/>
      <c r="AH764" s="208"/>
      <c r="AI764" s="208"/>
      <c r="AJ764" s="208"/>
      <c r="AK764" s="208"/>
    </row>
    <row r="765" hidden="1">
      <c r="A765" s="288">
        <f>IFERROR(__xludf.DUMMYFUNCTION("""COMPUTED_VALUE"""),46170.0)</f>
        <v>46170</v>
      </c>
      <c r="B765" s="274">
        <f>IFERROR(__xludf.DUMMYFUNCTION("""COMPUTED_VALUE"""),0.7708333333321207)</f>
        <v>0.7708333333</v>
      </c>
      <c r="C765" s="208" t="str">
        <f>IFERROR(__xludf.DUMMYFUNCTION("""COMPUTED_VALUE"""),"Whatsapp")</f>
        <v>Whatsapp</v>
      </c>
      <c r="D765" s="208" t="str">
        <f>IFERROR(__xludf.DUMMYFUNCTION("""COMPUTED_VALUE"""),"Promotional")</f>
        <v>Promotional</v>
      </c>
      <c r="E765" s="208" t="str">
        <f>IFERROR(__xludf.DUMMYFUNCTION("""COMPUTED_VALUE"""),"BBW")</f>
        <v>BBW</v>
      </c>
      <c r="F765" s="208" t="str">
        <f>IFERROR(__xludf.DUMMYFUNCTION("""COMPUTED_VALUE"""),"HS TITBI - Hand Soaps")</f>
        <v>HS TITBI - Hand Soaps</v>
      </c>
      <c r="G765" s="208" t="str">
        <f>IFERROR(__xludf.DUMMYFUNCTION("""COMPUTED_VALUE"""),"bbw_wa_hs_titbi_ea_28may_active_overall")</f>
        <v>bbw_wa_hs_titbi_ea_28may_active_overall</v>
      </c>
      <c r="H765" s="232" t="str">
        <f>IFERROR(__xludf.DUMMYFUNCTION("""COMPUTED_VALUE"""),"BBW_ON_OFF_ACTIVE_HS_HC")</f>
        <v>BBW_ON_OFF_ACTIVE_HS_HC</v>
      </c>
      <c r="I765" s="233" t="str">
        <f>IFERROR(__xludf.DUMMYFUNCTION("""COMPUTED_VALUE"""),"Customers who have purchased at least 1 time from Hand soaps, hand creams, travel size, cleansers in the last 109 days")</f>
        <v>Customers who have purchased at least 1 time from Hand soaps, hand creams, travel size, cleansers in the last 109 days</v>
      </c>
      <c r="J765" s="275">
        <f>IFERROR(__xludf.DUMMYFUNCTION("""COMPUTED_VALUE"""),39128.0)</f>
        <v>39128</v>
      </c>
      <c r="K765" s="275">
        <f>IFERROR(__xludf.DUMMYFUNCTION("""COMPUTED_VALUE"""),14491.0)</f>
        <v>14491</v>
      </c>
      <c r="L765" s="276">
        <f>IFERROR(__xludf.DUMMYFUNCTION("""COMPUTED_VALUE"""),0.3703)</f>
        <v>0.3703</v>
      </c>
      <c r="M765" s="275">
        <f>IFERROR(__xludf.DUMMYFUNCTION("""COMPUTED_VALUE"""),5895.0)</f>
        <v>5895</v>
      </c>
      <c r="N765" s="276">
        <f>IFERROR(__xludf.DUMMYFUNCTION("""COMPUTED_VALUE"""),0.4069)</f>
        <v>0.4069</v>
      </c>
      <c r="O765" s="208">
        <f>IFERROR(__xludf.DUMMYFUNCTION("""COMPUTED_VALUE"""),682.0)</f>
        <v>682</v>
      </c>
      <c r="P765" s="208">
        <f>IFERROR(__xludf.DUMMYFUNCTION("""COMPUTED_VALUE"""),636.0)</f>
        <v>636</v>
      </c>
      <c r="Q765" s="276">
        <f>IFERROR(__xludf.DUMMYFUNCTION("""COMPUTED_VALUE"""),0.0439)</f>
        <v>0.0439</v>
      </c>
      <c r="R765" s="276">
        <f>IFERROR(__xludf.DUMMYFUNCTION("""COMPUTED_VALUE"""),0.1079)</f>
        <v>0.1079</v>
      </c>
      <c r="S765" s="208">
        <f>IFERROR(__xludf.DUMMYFUNCTION("""COMPUTED_VALUE"""),10.0)</f>
        <v>10</v>
      </c>
      <c r="T765" s="208">
        <f>IFERROR(__xludf.DUMMYFUNCTION("""COMPUTED_VALUE"""),23.0)</f>
        <v>23</v>
      </c>
      <c r="U765" s="275">
        <f>IFERROR(__xludf.DUMMYFUNCTION("""COMPUTED_VALUE"""),22912.0)</f>
        <v>22912</v>
      </c>
      <c r="V765" s="234" t="str">
        <f>IFERROR(__xludf.DUMMYFUNCTION("""COMPUTED_VALUE"""),"overall")</f>
        <v>overall</v>
      </c>
      <c r="W765" s="232" t="str">
        <f>IFERROR(__xludf.DUMMYFUNCTION("""COMPUTED_VALUE"""),"simple")</f>
        <v>simple</v>
      </c>
      <c r="X765" s="232" t="str">
        <f>IFERROR(__xludf.DUMMYFUNCTION("""COMPUTED_VALUE"""),"Active")</f>
        <v>Active</v>
      </c>
      <c r="Y765" s="232" t="str">
        <f>IFERROR(__xludf.DUMMYFUNCTION("""COMPUTED_VALUE"""),"28-30 May")</f>
        <v>28-30 May</v>
      </c>
      <c r="Z765" s="232" t="str">
        <f>IFERROR(__xludf.DUMMYFUNCTION("""COMPUTED_VALUE"""),"6a169381d4806ccd4592e2a4")</f>
        <v>6a169381d4806ccd4592e2a4</v>
      </c>
      <c r="AA765" s="277">
        <f>IFERROR(__xludf.DUMMYFUNCTION("""COMPUTED_VALUE"""),136.0)</f>
        <v>136</v>
      </c>
      <c r="AB765" s="277">
        <f>IFERROR(__xludf.DUMMYFUNCTION("""COMPUTED_VALUE"""),53.0)</f>
        <v>53</v>
      </c>
      <c r="AC765" s="277">
        <f>IFERROR(__xludf.DUMMYFUNCTION("""COMPUTED_VALUE"""),83.0)</f>
        <v>83</v>
      </c>
      <c r="AD765" s="277">
        <f>IFERROR(__xludf.DUMMYFUNCTION("""COMPUTED_VALUE"""),507802.0)</f>
        <v>507802</v>
      </c>
      <c r="AE765" s="277">
        <f>IFERROR(__xludf.DUMMYFUNCTION("""COMPUTED_VALUE"""),147481.0)</f>
        <v>147481</v>
      </c>
      <c r="AF765" s="277">
        <f>IFERROR(__xludf.DUMMYFUNCTION("""COMPUTED_VALUE"""),360321.0)</f>
        <v>360321</v>
      </c>
      <c r="AG765" s="208"/>
      <c r="AH765" s="208"/>
      <c r="AI765" s="208"/>
      <c r="AJ765" s="208"/>
      <c r="AK765" s="208"/>
    </row>
    <row r="766" hidden="1">
      <c r="A766" s="288">
        <f>IFERROR(__xludf.DUMMYFUNCTION("""COMPUTED_VALUE"""),46170.0)</f>
        <v>46170</v>
      </c>
      <c r="B766" s="274">
        <f>IFERROR(__xludf.DUMMYFUNCTION("""COMPUTED_VALUE"""),0.7708333333321207)</f>
        <v>0.7708333333</v>
      </c>
      <c r="C766" s="208" t="str">
        <f>IFERROR(__xludf.DUMMYFUNCTION("""COMPUTED_VALUE"""),"Whatsapp")</f>
        <v>Whatsapp</v>
      </c>
      <c r="D766" s="208" t="str">
        <f>IFERROR(__xludf.DUMMYFUNCTION("""COMPUTED_VALUE"""),"Promotional")</f>
        <v>Promotional</v>
      </c>
      <c r="E766" s="208" t="str">
        <f>IFERROR(__xludf.DUMMYFUNCTION("""COMPUTED_VALUE"""),"BBW")</f>
        <v>BBW</v>
      </c>
      <c r="F766" s="208" t="str">
        <f>IFERROR(__xludf.DUMMYFUNCTION("""COMPUTED_VALUE"""),"HS TITBI - Hand Soaps")</f>
        <v>HS TITBI - Hand Soaps</v>
      </c>
      <c r="G766" s="208" t="str">
        <f>IFERROR(__xludf.DUMMYFUNCTION("""COMPUTED_VALUE"""),"bbw_wa_hs_titbi_ea_28may_dorm_overall")</f>
        <v>bbw_wa_hs_titbi_ea_28may_dorm_overall</v>
      </c>
      <c r="H766" s="232" t="str">
        <f>IFERROR(__xludf.DUMMYFUNCTION("""COMPUTED_VALUE"""),"BBW_ON_OFF_DORM_HS_HC")</f>
        <v>BBW_ON_OFF_DORM_HS_HC</v>
      </c>
      <c r="I766" s="233" t="str">
        <f>IFERROR(__xludf.DUMMYFUNCTION("""COMPUTED_VALUE"""),"Customers who have purchased at least 1 time from Hand soaps, hand creams, travel size, cleansers in the last 365 days")</f>
        <v>Customers who have purchased at least 1 time from Hand soaps, hand creams, travel size, cleansers in the last 365 days</v>
      </c>
      <c r="J766" s="275">
        <f>IFERROR(__xludf.DUMMYFUNCTION("""COMPUTED_VALUE"""),106890.0)</f>
        <v>106890</v>
      </c>
      <c r="K766" s="275">
        <f>IFERROR(__xludf.DUMMYFUNCTION("""COMPUTED_VALUE"""),42007.0)</f>
        <v>42007</v>
      </c>
      <c r="L766" s="276">
        <f>IFERROR(__xludf.DUMMYFUNCTION("""COMPUTED_VALUE"""),0.393)</f>
        <v>0.393</v>
      </c>
      <c r="M766" s="275">
        <f>IFERROR(__xludf.DUMMYFUNCTION("""COMPUTED_VALUE"""),15140.0)</f>
        <v>15140</v>
      </c>
      <c r="N766" s="276">
        <f>IFERROR(__xludf.DUMMYFUNCTION("""COMPUTED_VALUE"""),0.3604)</f>
        <v>0.3604</v>
      </c>
      <c r="O766" s="208">
        <f>IFERROR(__xludf.DUMMYFUNCTION("""COMPUTED_VALUE"""),1302.0)</f>
        <v>1302</v>
      </c>
      <c r="P766" s="208">
        <f>IFERROR(__xludf.DUMMYFUNCTION("""COMPUTED_VALUE"""),1226.0)</f>
        <v>1226</v>
      </c>
      <c r="Q766" s="276">
        <f>IFERROR(__xludf.DUMMYFUNCTION("""COMPUTED_VALUE"""),0.0292)</f>
        <v>0.0292</v>
      </c>
      <c r="R766" s="276">
        <f>IFERROR(__xludf.DUMMYFUNCTION("""COMPUTED_VALUE"""),0.081)</f>
        <v>0.081</v>
      </c>
      <c r="S766" s="208">
        <f>IFERROR(__xludf.DUMMYFUNCTION("""COMPUTED_VALUE"""),19.0)</f>
        <v>19</v>
      </c>
      <c r="T766" s="208">
        <f>IFERROR(__xludf.DUMMYFUNCTION("""COMPUTED_VALUE"""),47.0)</f>
        <v>47</v>
      </c>
      <c r="U766" s="275">
        <f>IFERROR(__xludf.DUMMYFUNCTION("""COMPUTED_VALUE"""),62972.0)</f>
        <v>62972</v>
      </c>
      <c r="V766" s="234" t="str">
        <f>IFERROR(__xludf.DUMMYFUNCTION("""COMPUTED_VALUE"""),"overall")</f>
        <v>overall</v>
      </c>
      <c r="W766" s="232" t="str">
        <f>IFERROR(__xludf.DUMMYFUNCTION("""COMPUTED_VALUE"""),"simple")</f>
        <v>simple</v>
      </c>
      <c r="X766" s="232" t="str">
        <f>IFERROR(__xludf.DUMMYFUNCTION("""COMPUTED_VALUE"""),"Dormant")</f>
        <v>Dormant</v>
      </c>
      <c r="Y766" s="232" t="str">
        <f>IFERROR(__xludf.DUMMYFUNCTION("""COMPUTED_VALUE"""),"28-30 May")</f>
        <v>28-30 May</v>
      </c>
      <c r="Z766" s="232" t="str">
        <f>IFERROR(__xludf.DUMMYFUNCTION("""COMPUTED_VALUE"""),"6a1693ac07a3c7a0736a6b8e")</f>
        <v>6a1693ac07a3c7a0736a6b8e</v>
      </c>
      <c r="AA766" s="277">
        <f>IFERROR(__xludf.DUMMYFUNCTION("""COMPUTED_VALUE"""),322.0)</f>
        <v>322</v>
      </c>
      <c r="AB766" s="277">
        <f>IFERROR(__xludf.DUMMYFUNCTION("""COMPUTED_VALUE"""),126.0)</f>
        <v>126</v>
      </c>
      <c r="AC766" s="277">
        <f>IFERROR(__xludf.DUMMYFUNCTION("""COMPUTED_VALUE"""),196.0)</f>
        <v>196</v>
      </c>
      <c r="AD766" s="277">
        <f>IFERROR(__xludf.DUMMYFUNCTION("""COMPUTED_VALUE"""),1198704.0)</f>
        <v>1198704</v>
      </c>
      <c r="AE766" s="277">
        <f>IFERROR(__xludf.DUMMYFUNCTION("""COMPUTED_VALUE"""),399143.0)</f>
        <v>399143</v>
      </c>
      <c r="AF766" s="277">
        <f>IFERROR(__xludf.DUMMYFUNCTION("""COMPUTED_VALUE"""),799561.0)</f>
        <v>799561</v>
      </c>
      <c r="AG766" s="208"/>
      <c r="AH766" s="208"/>
      <c r="AI766" s="208"/>
      <c r="AJ766" s="208"/>
      <c r="AK766" s="208"/>
    </row>
    <row r="767" hidden="1">
      <c r="A767" s="288">
        <f>IFERROR(__xludf.DUMMYFUNCTION("""COMPUTED_VALUE"""),46170.0)</f>
        <v>46170</v>
      </c>
      <c r="B767" s="274">
        <f>IFERROR(__xludf.DUMMYFUNCTION("""COMPUTED_VALUE"""),0.7708333333321207)</f>
        <v>0.7708333333</v>
      </c>
      <c r="C767" s="208" t="str">
        <f>IFERROR(__xludf.DUMMYFUNCTION("""COMPUTED_VALUE"""),"Whatsapp")</f>
        <v>Whatsapp</v>
      </c>
      <c r="D767" s="208" t="str">
        <f>IFERROR(__xludf.DUMMYFUNCTION("""COMPUTED_VALUE"""),"Promotional")</f>
        <v>Promotional</v>
      </c>
      <c r="E767" s="208" t="str">
        <f>IFERROR(__xludf.DUMMYFUNCTION("""COMPUTED_VALUE"""),"BBW")</f>
        <v>BBW</v>
      </c>
      <c r="F767" s="208" t="str">
        <f>IFERROR(__xludf.DUMMYFUNCTION("""COMPUTED_VALUE"""),"HS TITBI - Hand Soaps")</f>
        <v>HS TITBI - Hand Soaps</v>
      </c>
      <c r="G767" s="208" t="str">
        <f>IFERROR(__xludf.DUMMYFUNCTION("""COMPUTED_VALUE"""),"bbw_wa_hs_titbi_ea_28may_predom_800_online")</f>
        <v>bbw_wa_hs_titbi_ea_28may_predom_800_online</v>
      </c>
      <c r="H767" s="232" t="str">
        <f>IFERROR(__xludf.DUMMYFUNCTION("""COMPUTED_VALUE"""),"BBW_ON_PREDOM_800_Below")</f>
        <v>BBW_ON_PREDOM_800_Below</v>
      </c>
      <c r="I767" s="233" t="str">
        <f>IFERROR(__xludf.DUMMYFUNCTION("""COMPUTED_VALUE"""),"Online Customers who have purchased at least 2 times PREDOM with cart value &lt;799 in the last 365 days")</f>
        <v>Online Customers who have purchased at least 2 times PREDOM with cart value &lt;799 in the last 365 days</v>
      </c>
      <c r="J767" s="275">
        <f>IFERROR(__xludf.DUMMYFUNCTION("""COMPUTED_VALUE"""),10561.0)</f>
        <v>10561</v>
      </c>
      <c r="K767" s="275">
        <f>IFERROR(__xludf.DUMMYFUNCTION("""COMPUTED_VALUE"""),4407.0)</f>
        <v>4407</v>
      </c>
      <c r="L767" s="276">
        <f>IFERROR(__xludf.DUMMYFUNCTION("""COMPUTED_VALUE"""),0.4171)</f>
        <v>0.4171</v>
      </c>
      <c r="M767" s="275">
        <f>IFERROR(__xludf.DUMMYFUNCTION("""COMPUTED_VALUE"""),1773.0)</f>
        <v>1773</v>
      </c>
      <c r="N767" s="276">
        <f>IFERROR(__xludf.DUMMYFUNCTION("""COMPUTED_VALUE"""),0.4025)</f>
        <v>0.4025</v>
      </c>
      <c r="O767" s="208">
        <f>IFERROR(__xludf.DUMMYFUNCTION("""COMPUTED_VALUE"""),135.0)</f>
        <v>135</v>
      </c>
      <c r="P767" s="208">
        <f>IFERROR(__xludf.DUMMYFUNCTION("""COMPUTED_VALUE"""),129.0)</f>
        <v>129</v>
      </c>
      <c r="Q767" s="276">
        <f>IFERROR(__xludf.DUMMYFUNCTION("""COMPUTED_VALUE"""),0.0293)</f>
        <v>0.0293</v>
      </c>
      <c r="R767" s="276">
        <f>IFERROR(__xludf.DUMMYFUNCTION("""COMPUTED_VALUE"""),0.0728)</f>
        <v>0.0728</v>
      </c>
      <c r="S767" s="208">
        <f>IFERROR(__xludf.DUMMYFUNCTION("""COMPUTED_VALUE"""),2.0)</f>
        <v>2</v>
      </c>
      <c r="T767" s="208">
        <f>IFERROR(__xludf.DUMMYFUNCTION("""COMPUTED_VALUE"""),6.0)</f>
        <v>6</v>
      </c>
      <c r="U767" s="275">
        <f>IFERROR(__xludf.DUMMYFUNCTION("""COMPUTED_VALUE"""),5414.0)</f>
        <v>5414</v>
      </c>
      <c r="V767" s="234" t="str">
        <f>IFERROR(__xludf.DUMMYFUNCTION("""COMPUTED_VALUE"""),"online")</f>
        <v>online</v>
      </c>
      <c r="W767" s="232" t="str">
        <f>IFERROR(__xludf.DUMMYFUNCTION("""COMPUTED_VALUE"""),"simple")</f>
        <v>simple</v>
      </c>
      <c r="X767" s="232" t="str">
        <f>IFERROR(__xludf.DUMMYFUNCTION("""COMPUTED_VALUE"""),"Predom Cart Value")</f>
        <v>Predom Cart Value</v>
      </c>
      <c r="Y767" s="232" t="str">
        <f>IFERROR(__xludf.DUMMYFUNCTION("""COMPUTED_VALUE"""),"28-30 May")</f>
        <v>28-30 May</v>
      </c>
      <c r="Z767" s="232" t="str">
        <f>IFERROR(__xludf.DUMMYFUNCTION("""COMPUTED_VALUE"""),"6a16950407a3c7a0736a6bee")</f>
        <v>6a16950407a3c7a0736a6bee</v>
      </c>
      <c r="AA767" s="277">
        <f>IFERROR(__xludf.DUMMYFUNCTION("""COMPUTED_VALUE"""),9.0)</f>
        <v>9</v>
      </c>
      <c r="AB767" s="277">
        <f>IFERROR(__xludf.DUMMYFUNCTION("""COMPUTED_VALUE"""),9.0)</f>
        <v>9</v>
      </c>
      <c r="AC767" s="277"/>
      <c r="AD767" s="277">
        <f>IFERROR(__xludf.DUMMYFUNCTION("""COMPUTED_VALUE"""),15489.0)</f>
        <v>15489</v>
      </c>
      <c r="AE767" s="277">
        <f>IFERROR(__xludf.DUMMYFUNCTION("""COMPUTED_VALUE"""),15489.0)</f>
        <v>15489</v>
      </c>
      <c r="AF767" s="277"/>
      <c r="AG767" s="208"/>
      <c r="AH767" s="208"/>
      <c r="AI767" s="208"/>
      <c r="AJ767" s="208"/>
      <c r="AK767" s="208"/>
    </row>
    <row r="768" hidden="1">
      <c r="A768" s="288">
        <f>IFERROR(__xludf.DUMMYFUNCTION("""COMPUTED_VALUE"""),46170.0)</f>
        <v>46170</v>
      </c>
      <c r="B768" s="274">
        <f>IFERROR(__xludf.DUMMYFUNCTION("""COMPUTED_VALUE"""),0.7708333333321207)</f>
        <v>0.7708333333</v>
      </c>
      <c r="C768" s="208" t="str">
        <f>IFERROR(__xludf.DUMMYFUNCTION("""COMPUTED_VALUE"""),"Whatsapp")</f>
        <v>Whatsapp</v>
      </c>
      <c r="D768" s="208" t="str">
        <f>IFERROR(__xludf.DUMMYFUNCTION("""COMPUTED_VALUE"""),"Promotional")</f>
        <v>Promotional</v>
      </c>
      <c r="E768" s="208" t="str">
        <f>IFERROR(__xludf.DUMMYFUNCTION("""COMPUTED_VALUE"""),"BBW")</f>
        <v>BBW</v>
      </c>
      <c r="F768" s="208" t="str">
        <f>IFERROR(__xludf.DUMMYFUNCTION("""COMPUTED_VALUE"""),"HS TITBI - Hand Soaps")</f>
        <v>HS TITBI - Hand Soaps</v>
      </c>
      <c r="G768" s="208" t="str">
        <f>IFERROR(__xludf.DUMMYFUNCTION("""COMPUTED_VALUE"""),"bbw_wa_hs_titbi_ea_28may_event_online")</f>
        <v>bbw_wa_hs_titbi_ea_28may_event_online</v>
      </c>
      <c r="H768" s="232" t="str">
        <f>IFERROR(__xludf.DUMMYFUNCTION("""COMPUTED_VALUE"""),"BBW_ON_HS_Event_Buyers")</f>
        <v>BBW_ON_HS_Event_Buyers</v>
      </c>
      <c r="I768" s="233" t="str">
        <f>IFERROR(__xludf.DUMMYFUNCTION("""COMPUTED_VALUE"""),"Online Customer who have purchased from past handsoap events (30 may - 1 june, 20-21 aug, 14-16 oct, 5-7 nov)")</f>
        <v>Online Customer who have purchased from past handsoap events (30 may - 1 june, 20-21 aug, 14-16 oct, 5-7 nov)</v>
      </c>
      <c r="J768" s="275">
        <f>IFERROR(__xludf.DUMMYFUNCTION("""COMPUTED_VALUE"""),1853.0)</f>
        <v>1853</v>
      </c>
      <c r="K768" s="275">
        <f>IFERROR(__xludf.DUMMYFUNCTION("""COMPUTED_VALUE"""),750.0)</f>
        <v>750</v>
      </c>
      <c r="L768" s="276">
        <f>IFERROR(__xludf.DUMMYFUNCTION("""COMPUTED_VALUE"""),0.4047)</f>
        <v>0.4047</v>
      </c>
      <c r="M768" s="275">
        <f>IFERROR(__xludf.DUMMYFUNCTION("""COMPUTED_VALUE"""),282.0)</f>
        <v>282</v>
      </c>
      <c r="N768" s="276">
        <f>IFERROR(__xludf.DUMMYFUNCTION("""COMPUTED_VALUE"""),0.376)</f>
        <v>0.376</v>
      </c>
      <c r="O768" s="208">
        <f>IFERROR(__xludf.DUMMYFUNCTION("""COMPUTED_VALUE"""),14.0)</f>
        <v>14</v>
      </c>
      <c r="P768" s="208">
        <f>IFERROR(__xludf.DUMMYFUNCTION("""COMPUTED_VALUE"""),14.0)</f>
        <v>14</v>
      </c>
      <c r="Q768" s="276">
        <f>IFERROR(__xludf.DUMMYFUNCTION("""COMPUTED_VALUE"""),0.0187)</f>
        <v>0.0187</v>
      </c>
      <c r="R768" s="276">
        <f>IFERROR(__xludf.DUMMYFUNCTION("""COMPUTED_VALUE"""),0.0496)</f>
        <v>0.0496</v>
      </c>
      <c r="S768" s="208">
        <f>IFERROR(__xludf.DUMMYFUNCTION("""COMPUTED_VALUE"""),1.0)</f>
        <v>1</v>
      </c>
      <c r="T768" s="208">
        <f>IFERROR(__xludf.DUMMYFUNCTION("""COMPUTED_VALUE"""),3.0)</f>
        <v>3</v>
      </c>
      <c r="U768" s="275">
        <f>IFERROR(__xludf.DUMMYFUNCTION("""COMPUTED_VALUE"""),2999.0)</f>
        <v>2999</v>
      </c>
      <c r="V768" s="234" t="str">
        <f>IFERROR(__xludf.DUMMYFUNCTION("""COMPUTED_VALUE"""),"online")</f>
        <v>online</v>
      </c>
      <c r="W768" s="232" t="str">
        <f>IFERROR(__xludf.DUMMYFUNCTION("""COMPUTED_VALUE"""),"simple")</f>
        <v>simple</v>
      </c>
      <c r="X768" s="232" t="str">
        <f>IFERROR(__xludf.DUMMYFUNCTION("""COMPUTED_VALUE"""),"Event Buyers")</f>
        <v>Event Buyers</v>
      </c>
      <c r="Y768" s="232" t="str">
        <f>IFERROR(__xludf.DUMMYFUNCTION("""COMPUTED_VALUE"""),"28-30 May")</f>
        <v>28-30 May</v>
      </c>
      <c r="Z768" s="232" t="str">
        <f>IFERROR(__xludf.DUMMYFUNCTION("""COMPUTED_VALUE"""),"6a1695cd276174d9270ba6f9")</f>
        <v>6a1695cd276174d9270ba6f9</v>
      </c>
      <c r="AA768" s="277">
        <f>IFERROR(__xludf.DUMMYFUNCTION("""COMPUTED_VALUE"""),5.0)</f>
        <v>5</v>
      </c>
      <c r="AB768" s="277">
        <f>IFERROR(__xludf.DUMMYFUNCTION("""COMPUTED_VALUE"""),5.0)</f>
        <v>5</v>
      </c>
      <c r="AC768" s="277"/>
      <c r="AD768" s="277">
        <f>IFERROR(__xludf.DUMMYFUNCTION("""COMPUTED_VALUE"""),13494.0)</f>
        <v>13494</v>
      </c>
      <c r="AE768" s="277">
        <f>IFERROR(__xludf.DUMMYFUNCTION("""COMPUTED_VALUE"""),13494.0)</f>
        <v>13494</v>
      </c>
      <c r="AF768" s="277"/>
      <c r="AG768" s="208"/>
      <c r="AH768" s="208"/>
      <c r="AI768" s="208"/>
      <c r="AJ768" s="208"/>
      <c r="AK768" s="208"/>
    </row>
    <row r="769" hidden="1">
      <c r="A769" s="288">
        <f>IFERROR(__xludf.DUMMYFUNCTION("""COMPUTED_VALUE"""),46173.0)</f>
        <v>46173</v>
      </c>
      <c r="B769" s="274">
        <f>IFERROR(__xludf.DUMMYFUNCTION("""COMPUTED_VALUE"""),0.7708333333321207)</f>
        <v>0.7708333333</v>
      </c>
      <c r="C769" s="208" t="str">
        <f>IFERROR(__xludf.DUMMYFUNCTION("""COMPUTED_VALUE"""),"Whatsapp")</f>
        <v>Whatsapp</v>
      </c>
      <c r="D769" s="208" t="str">
        <f>IFERROR(__xludf.DUMMYFUNCTION("""COMPUTED_VALUE"""),"Promotional")</f>
        <v>Promotional</v>
      </c>
      <c r="E769" s="208" t="str">
        <f>IFERROR(__xludf.DUMMYFUNCTION("""COMPUTED_VALUE"""),"BBW")</f>
        <v>BBW</v>
      </c>
      <c r="F769" s="208" t="str">
        <f>IFERROR(__xludf.DUMMYFUNCTION("""COMPUTED_VALUE"""),"HS TITBI - Hand Soaps")</f>
        <v>HS TITBI - Hand Soaps</v>
      </c>
      <c r="G769" s="208" t="str">
        <f>IFERROR(__xludf.DUMMYFUNCTION("""COMPUTED_VALUE"""),"bbw_wa_hs_titbi_31may_lastreminder_atc_online")</f>
        <v>bbw_wa_hs_titbi_31may_lastreminder_atc_online</v>
      </c>
      <c r="H769" s="232" t="str">
        <f>IFERROR(__xludf.DUMMYFUNCTION("""COMPUTED_VALUE"""),"BBW_ON_ATC_HS_HC_Value_999")</f>
        <v>BBW_ON_ATC_HS_HC_Value_999</v>
      </c>
      <c r="I769" s="233" t="str">
        <f>IFERROR(__xludf.DUMMYFUNCTION("""COMPUTED_VALUE"""),"Customers who have added to cart at least 1 times in the last 30 days from L2: Hand Soaps or L3: Hand Creams or Cart Value &lt;999")</f>
        <v>Customers who have added to cart at least 1 times in the last 30 days from L2: Hand Soaps or L3: Hand Creams or Cart Value &lt;999</v>
      </c>
      <c r="J769" s="275">
        <f>IFERROR(__xludf.DUMMYFUNCTION("""COMPUTED_VALUE"""),2061.0)</f>
        <v>2061</v>
      </c>
      <c r="K769" s="275">
        <f>IFERROR(__xludf.DUMMYFUNCTION("""COMPUTED_VALUE"""),896.0)</f>
        <v>896</v>
      </c>
      <c r="L769" s="276">
        <f>IFERROR(__xludf.DUMMYFUNCTION("""COMPUTED_VALUE"""),0.4347)</f>
        <v>0.4347</v>
      </c>
      <c r="M769" s="275">
        <f>IFERROR(__xludf.DUMMYFUNCTION("""COMPUTED_VALUE"""),308.0)</f>
        <v>308</v>
      </c>
      <c r="N769" s="276">
        <f>IFERROR(__xludf.DUMMYFUNCTION("""COMPUTED_VALUE"""),0.3438)</f>
        <v>0.3438</v>
      </c>
      <c r="O769" s="208">
        <f>IFERROR(__xludf.DUMMYFUNCTION("""COMPUTED_VALUE"""),25.0)</f>
        <v>25</v>
      </c>
      <c r="P769" s="208">
        <f>IFERROR(__xludf.DUMMYFUNCTION("""COMPUTED_VALUE"""),20.0)</f>
        <v>20</v>
      </c>
      <c r="Q769" s="276">
        <f>IFERROR(__xludf.DUMMYFUNCTION("""COMPUTED_VALUE"""),0.0223)</f>
        <v>0.0223</v>
      </c>
      <c r="R769" s="276">
        <f>IFERROR(__xludf.DUMMYFUNCTION("""COMPUTED_VALUE"""),0.0649)</f>
        <v>0.0649</v>
      </c>
      <c r="S769" s="208">
        <f>IFERROR(__xludf.DUMMYFUNCTION("""COMPUTED_VALUE"""),0.0)</f>
        <v>0</v>
      </c>
      <c r="T769" s="208">
        <f>IFERROR(__xludf.DUMMYFUNCTION("""COMPUTED_VALUE"""),6.0)</f>
        <v>6</v>
      </c>
      <c r="U769" s="275">
        <f>IFERROR(__xludf.DUMMYFUNCTION("""COMPUTED_VALUE"""),0.0)</f>
        <v>0</v>
      </c>
      <c r="V769" s="234" t="str">
        <f>IFERROR(__xludf.DUMMYFUNCTION("""COMPUTED_VALUE"""),"online")</f>
        <v>online</v>
      </c>
      <c r="W769" s="232" t="str">
        <f>IFERROR(__xludf.DUMMYFUNCTION("""COMPUTED_VALUE"""),"simple")</f>
        <v>simple</v>
      </c>
      <c r="X769" s="232" t="str">
        <f>IFERROR(__xludf.DUMMYFUNCTION("""COMPUTED_VALUE"""),"Add to Cart")</f>
        <v>Add to Cart</v>
      </c>
      <c r="Y769" s="232" t="str">
        <f>IFERROR(__xludf.DUMMYFUNCTION("""COMPUTED_VALUE"""),"31-2 June")</f>
        <v>31-2 June</v>
      </c>
      <c r="Z769" s="232" t="str">
        <f>IFERROR(__xludf.DUMMYFUNCTION("""COMPUTED_VALUE"""),"6a1696327976a02713736f6e")</f>
        <v>6a1696327976a02713736f6e</v>
      </c>
      <c r="AA769" s="277">
        <f>IFERROR(__xludf.DUMMYFUNCTION("""COMPUTED_VALUE"""),5.0)</f>
        <v>5</v>
      </c>
      <c r="AB769" s="277">
        <f>IFERROR(__xludf.DUMMYFUNCTION("""COMPUTED_VALUE"""),5.0)</f>
        <v>5</v>
      </c>
      <c r="AC769" s="277"/>
      <c r="AD769" s="277">
        <f>IFERROR(__xludf.DUMMYFUNCTION("""COMPUTED_VALUE"""),9680.0)</f>
        <v>9680</v>
      </c>
      <c r="AE769" s="277">
        <f>IFERROR(__xludf.DUMMYFUNCTION("""COMPUTED_VALUE"""),9680.0)</f>
        <v>9680</v>
      </c>
      <c r="AF769" s="277"/>
      <c r="AG769" s="208"/>
      <c r="AH769" s="208"/>
      <c r="AI769" s="208"/>
      <c r="AJ769" s="208"/>
      <c r="AK769" s="208"/>
    </row>
    <row r="770" hidden="1">
      <c r="A770" s="288">
        <f>IFERROR(__xludf.DUMMYFUNCTION("""COMPUTED_VALUE"""),46173.0)</f>
        <v>46173</v>
      </c>
      <c r="B770" s="274">
        <f>IFERROR(__xludf.DUMMYFUNCTION("""COMPUTED_VALUE"""),0.7708333333321207)</f>
        <v>0.7708333333</v>
      </c>
      <c r="C770" s="208" t="str">
        <f>IFERROR(__xludf.DUMMYFUNCTION("""COMPUTED_VALUE"""),"Whatsapp")</f>
        <v>Whatsapp</v>
      </c>
      <c r="D770" s="208" t="str">
        <f>IFERROR(__xludf.DUMMYFUNCTION("""COMPUTED_VALUE"""),"Promotional")</f>
        <v>Promotional</v>
      </c>
      <c r="E770" s="208" t="str">
        <f>IFERROR(__xludf.DUMMYFUNCTION("""COMPUTED_VALUE"""),"BBW")</f>
        <v>BBW</v>
      </c>
      <c r="F770" s="208" t="str">
        <f>IFERROR(__xludf.DUMMYFUNCTION("""COMPUTED_VALUE"""),"HS TITBI - Hand Soaps")</f>
        <v>HS TITBI - Hand Soaps</v>
      </c>
      <c r="G770" s="208" t="str">
        <f>IFERROR(__xludf.DUMMYFUNCTION("""COMPUTED_VALUE"""),"bbw_wa_hs_titbi_31may_lastreminder_active_overall")</f>
        <v>bbw_wa_hs_titbi_31may_lastreminder_active_overall</v>
      </c>
      <c r="H770" s="232" t="str">
        <f>IFERROR(__xludf.DUMMYFUNCTION("""COMPUTED_VALUE"""),"BBW_ON_OFF_ACTIVE_HS_HC")</f>
        <v>BBW_ON_OFF_ACTIVE_HS_HC</v>
      </c>
      <c r="I770" s="233" t="str">
        <f>IFERROR(__xludf.DUMMYFUNCTION("""COMPUTED_VALUE"""),"Customers who have purchased at least 1 time from Hand soaps, hand creams, travel size, cleansers in the last 109 days")</f>
        <v>Customers who have purchased at least 1 time from Hand soaps, hand creams, travel size, cleansers in the last 109 days</v>
      </c>
      <c r="J770" s="275">
        <f>IFERROR(__xludf.DUMMYFUNCTION("""COMPUTED_VALUE"""),39161.0)</f>
        <v>39161</v>
      </c>
      <c r="K770" s="275">
        <f>IFERROR(__xludf.DUMMYFUNCTION("""COMPUTED_VALUE"""),14293.0)</f>
        <v>14293</v>
      </c>
      <c r="L770" s="276">
        <f>IFERROR(__xludf.DUMMYFUNCTION("""COMPUTED_VALUE"""),0.3649)</f>
        <v>0.3649</v>
      </c>
      <c r="M770" s="275">
        <f>IFERROR(__xludf.DUMMYFUNCTION("""COMPUTED_VALUE"""),4549.0)</f>
        <v>4549</v>
      </c>
      <c r="N770" s="276">
        <f>IFERROR(__xludf.DUMMYFUNCTION("""COMPUTED_VALUE"""),0.3183)</f>
        <v>0.3183</v>
      </c>
      <c r="O770" s="208">
        <f>IFERROR(__xludf.DUMMYFUNCTION("""COMPUTED_VALUE"""),277.0)</f>
        <v>277</v>
      </c>
      <c r="P770" s="208">
        <f>IFERROR(__xludf.DUMMYFUNCTION("""COMPUTED_VALUE"""),264.0)</f>
        <v>264</v>
      </c>
      <c r="Q770" s="276">
        <f>IFERROR(__xludf.DUMMYFUNCTION("""COMPUTED_VALUE"""),0.0185)</f>
        <v>0.0185</v>
      </c>
      <c r="R770" s="276">
        <f>IFERROR(__xludf.DUMMYFUNCTION("""COMPUTED_VALUE"""),0.058)</f>
        <v>0.058</v>
      </c>
      <c r="S770" s="208">
        <f>IFERROR(__xludf.DUMMYFUNCTION("""COMPUTED_VALUE"""),2.0)</f>
        <v>2</v>
      </c>
      <c r="T770" s="208">
        <f>IFERROR(__xludf.DUMMYFUNCTION("""COMPUTED_VALUE"""),6.0)</f>
        <v>6</v>
      </c>
      <c r="U770" s="275">
        <f>IFERROR(__xludf.DUMMYFUNCTION("""COMPUTED_VALUE"""),5303.0)</f>
        <v>5303</v>
      </c>
      <c r="V770" s="234" t="str">
        <f>IFERROR(__xludf.DUMMYFUNCTION("""COMPUTED_VALUE"""),"overall")</f>
        <v>overall</v>
      </c>
      <c r="W770" s="232" t="str">
        <f>IFERROR(__xludf.DUMMYFUNCTION("""COMPUTED_VALUE"""),"simple")</f>
        <v>simple</v>
      </c>
      <c r="X770" s="232" t="str">
        <f>IFERROR(__xludf.DUMMYFUNCTION("""COMPUTED_VALUE"""),"Active")</f>
        <v>Active</v>
      </c>
      <c r="Y770" s="232" t="str">
        <f>IFERROR(__xludf.DUMMYFUNCTION("""COMPUTED_VALUE"""),"31-2 June")</f>
        <v>31-2 June</v>
      </c>
      <c r="Z770" s="232" t="str">
        <f>IFERROR(__xludf.DUMMYFUNCTION("""COMPUTED_VALUE"""),"6a1696601ee46deec1116491")</f>
        <v>6a1696601ee46deec1116491</v>
      </c>
      <c r="AA770" s="277">
        <f>IFERROR(__xludf.DUMMYFUNCTION("""COMPUTED_VALUE"""),98.0)</f>
        <v>98</v>
      </c>
      <c r="AB770" s="277">
        <f>IFERROR(__xludf.DUMMYFUNCTION("""COMPUTED_VALUE"""),23.0)</f>
        <v>23</v>
      </c>
      <c r="AC770" s="277">
        <f>IFERROR(__xludf.DUMMYFUNCTION("""COMPUTED_VALUE"""),75.0)</f>
        <v>75</v>
      </c>
      <c r="AD770" s="277">
        <f>IFERROR(__xludf.DUMMYFUNCTION("""COMPUTED_VALUE"""),455677.0)</f>
        <v>455677</v>
      </c>
      <c r="AE770" s="277">
        <f>IFERROR(__xludf.DUMMYFUNCTION("""COMPUTED_VALUE"""),60824.0)</f>
        <v>60824</v>
      </c>
      <c r="AF770" s="277">
        <f>IFERROR(__xludf.DUMMYFUNCTION("""COMPUTED_VALUE"""),394853.0)</f>
        <v>394853</v>
      </c>
      <c r="AG770" s="208"/>
      <c r="AH770" s="208"/>
      <c r="AI770" s="208"/>
      <c r="AJ770" s="208"/>
      <c r="AK770" s="208"/>
    </row>
    <row r="771" hidden="1">
      <c r="A771" s="288">
        <f>IFERROR(__xludf.DUMMYFUNCTION("""COMPUTED_VALUE"""),46173.0)</f>
        <v>46173</v>
      </c>
      <c r="B771" s="274">
        <f>IFERROR(__xludf.DUMMYFUNCTION("""COMPUTED_VALUE"""),0.7708333333321207)</f>
        <v>0.7708333333</v>
      </c>
      <c r="C771" s="208" t="str">
        <f>IFERROR(__xludf.DUMMYFUNCTION("""COMPUTED_VALUE"""),"Whatsapp")</f>
        <v>Whatsapp</v>
      </c>
      <c r="D771" s="208" t="str">
        <f>IFERROR(__xludf.DUMMYFUNCTION("""COMPUTED_VALUE"""),"Promotional")</f>
        <v>Promotional</v>
      </c>
      <c r="E771" s="208" t="str">
        <f>IFERROR(__xludf.DUMMYFUNCTION("""COMPUTED_VALUE"""),"BBW")</f>
        <v>BBW</v>
      </c>
      <c r="F771" s="208" t="str">
        <f>IFERROR(__xludf.DUMMYFUNCTION("""COMPUTED_VALUE"""),"HS TITBI - Hand Soaps")</f>
        <v>HS TITBI - Hand Soaps</v>
      </c>
      <c r="G771" s="208" t="str">
        <f>IFERROR(__xludf.DUMMYFUNCTION("""COMPUTED_VALUE"""),"bbw_wa_hs_titbi_31may_lastreminder_dorm_overall")</f>
        <v>bbw_wa_hs_titbi_31may_lastreminder_dorm_overall</v>
      </c>
      <c r="H771" s="232" t="str">
        <f>IFERROR(__xludf.DUMMYFUNCTION("""COMPUTED_VALUE"""),"BBW_ON_OFF_DORM_HS_HC")</f>
        <v>BBW_ON_OFF_DORM_HS_HC</v>
      </c>
      <c r="I771" s="233" t="str">
        <f>IFERROR(__xludf.DUMMYFUNCTION("""COMPUTED_VALUE"""),"Customers who have purchased at least 1 time from Hand soaps, hand creams, travel size, cleansers in the last 365 days")</f>
        <v>Customers who have purchased at least 1 time from Hand soaps, hand creams, travel size, cleansers in the last 365 days</v>
      </c>
      <c r="J771" s="275">
        <f>IFERROR(__xludf.DUMMYFUNCTION("""COMPUTED_VALUE"""),107239.0)</f>
        <v>107239</v>
      </c>
      <c r="K771" s="275">
        <f>IFERROR(__xludf.DUMMYFUNCTION("""COMPUTED_VALUE"""),39589.0)</f>
        <v>39589</v>
      </c>
      <c r="L771" s="276">
        <f>IFERROR(__xludf.DUMMYFUNCTION("""COMPUTED_VALUE"""),0.3691)</f>
        <v>0.3691</v>
      </c>
      <c r="M771" s="275">
        <f>IFERROR(__xludf.DUMMYFUNCTION("""COMPUTED_VALUE"""),11450.0)</f>
        <v>11450</v>
      </c>
      <c r="N771" s="276">
        <f>IFERROR(__xludf.DUMMYFUNCTION("""COMPUTED_VALUE"""),0.2893)</f>
        <v>0.2893</v>
      </c>
      <c r="O771" s="208">
        <f>IFERROR(__xludf.DUMMYFUNCTION("""COMPUTED_VALUE"""),540.0)</f>
        <v>540</v>
      </c>
      <c r="P771" s="208">
        <f>IFERROR(__xludf.DUMMYFUNCTION("""COMPUTED_VALUE"""),522.0)</f>
        <v>522</v>
      </c>
      <c r="Q771" s="276">
        <f>IFERROR(__xludf.DUMMYFUNCTION("""COMPUTED_VALUE"""),0.0132)</f>
        <v>0.0132</v>
      </c>
      <c r="R771" s="276">
        <f>IFERROR(__xludf.DUMMYFUNCTION("""COMPUTED_VALUE"""),0.0456)</f>
        <v>0.0456</v>
      </c>
      <c r="S771" s="208">
        <f>IFERROR(__xludf.DUMMYFUNCTION("""COMPUTED_VALUE"""),3.0)</f>
        <v>3</v>
      </c>
      <c r="T771" s="208">
        <f>IFERROR(__xludf.DUMMYFUNCTION("""COMPUTED_VALUE"""),7.0)</f>
        <v>7</v>
      </c>
      <c r="U771" s="275">
        <f>IFERROR(__xludf.DUMMYFUNCTION("""COMPUTED_VALUE"""),7861.0)</f>
        <v>7861</v>
      </c>
      <c r="V771" s="234" t="str">
        <f>IFERROR(__xludf.DUMMYFUNCTION("""COMPUTED_VALUE"""),"overall")</f>
        <v>overall</v>
      </c>
      <c r="W771" s="232" t="str">
        <f>IFERROR(__xludf.DUMMYFUNCTION("""COMPUTED_VALUE"""),"simple")</f>
        <v>simple</v>
      </c>
      <c r="X771" s="232" t="str">
        <f>IFERROR(__xludf.DUMMYFUNCTION("""COMPUTED_VALUE"""),"Dormant")</f>
        <v>Dormant</v>
      </c>
      <c r="Y771" s="232" t="str">
        <f>IFERROR(__xludf.DUMMYFUNCTION("""COMPUTED_VALUE"""),"31-2 June")</f>
        <v>31-2 June</v>
      </c>
      <c r="Z771" s="232" t="str">
        <f>IFERROR(__xludf.DUMMYFUNCTION("""COMPUTED_VALUE"""),"6a16973033ffbd6ef6d01787")</f>
        <v>6a16973033ffbd6ef6d01787</v>
      </c>
      <c r="AA771" s="277">
        <f>IFERROR(__xludf.DUMMYFUNCTION("""COMPUTED_VALUE"""),167.0)</f>
        <v>167</v>
      </c>
      <c r="AB771" s="277">
        <f>IFERROR(__xludf.DUMMYFUNCTION("""COMPUTED_VALUE"""),38.0)</f>
        <v>38</v>
      </c>
      <c r="AC771" s="277">
        <f>IFERROR(__xludf.DUMMYFUNCTION("""COMPUTED_VALUE"""),129.0)</f>
        <v>129</v>
      </c>
      <c r="AD771" s="277">
        <f>IFERROR(__xludf.DUMMYFUNCTION("""COMPUTED_VALUE"""),738757.0)</f>
        <v>738757</v>
      </c>
      <c r="AE771" s="277">
        <f>IFERROR(__xludf.DUMMYFUNCTION("""COMPUTED_VALUE"""),156902.0)</f>
        <v>156902</v>
      </c>
      <c r="AF771" s="277">
        <f>IFERROR(__xludf.DUMMYFUNCTION("""COMPUTED_VALUE"""),581855.0)</f>
        <v>581855</v>
      </c>
      <c r="AG771" s="208"/>
      <c r="AH771" s="208"/>
      <c r="AI771" s="208"/>
      <c r="AJ771" s="208"/>
      <c r="AK771" s="208"/>
    </row>
    <row r="772" hidden="1">
      <c r="A772" s="288">
        <f>IFERROR(__xludf.DUMMYFUNCTION("""COMPUTED_VALUE"""),46173.0)</f>
        <v>46173</v>
      </c>
      <c r="B772" s="274">
        <f>IFERROR(__xludf.DUMMYFUNCTION("""COMPUTED_VALUE"""),0.7708333333321207)</f>
        <v>0.7708333333</v>
      </c>
      <c r="C772" s="208" t="str">
        <f>IFERROR(__xludf.DUMMYFUNCTION("""COMPUTED_VALUE"""),"Whatsapp")</f>
        <v>Whatsapp</v>
      </c>
      <c r="D772" s="208" t="str">
        <f>IFERROR(__xludf.DUMMYFUNCTION("""COMPUTED_VALUE"""),"Promotional")</f>
        <v>Promotional</v>
      </c>
      <c r="E772" s="208" t="str">
        <f>IFERROR(__xludf.DUMMYFUNCTION("""COMPUTED_VALUE"""),"BBW")</f>
        <v>BBW</v>
      </c>
      <c r="F772" s="208" t="str">
        <f>IFERROR(__xludf.DUMMYFUNCTION("""COMPUTED_VALUE"""),"HS TITBI - Hand Soaps")</f>
        <v>HS TITBI - Hand Soaps</v>
      </c>
      <c r="G772" s="208" t="str">
        <f>IFERROR(__xludf.DUMMYFUNCTION("""COMPUTED_VALUE"""),"bbw_wa_hs_titbi_31may_lastreminder_predom_800_online")</f>
        <v>bbw_wa_hs_titbi_31may_lastreminder_predom_800_online</v>
      </c>
      <c r="H772" s="232" t="str">
        <f>IFERROR(__xludf.DUMMYFUNCTION("""COMPUTED_VALUE"""),"BBW_ON_PREDOM_800_Below")</f>
        <v>BBW_ON_PREDOM_800_Below</v>
      </c>
      <c r="I772" s="233" t="str">
        <f>IFERROR(__xludf.DUMMYFUNCTION("""COMPUTED_VALUE"""),"Online Customers who have purchased at least 2 times PREDOM with cart value &lt;799 in the last 365 days")</f>
        <v>Online Customers who have purchased at least 2 times PREDOM with cart value &lt;799 in the last 365 days</v>
      </c>
      <c r="J772" s="275">
        <f>IFERROR(__xludf.DUMMYFUNCTION("""COMPUTED_VALUE"""),10593.0)</f>
        <v>10593</v>
      </c>
      <c r="K772" s="275">
        <f>IFERROR(__xludf.DUMMYFUNCTION("""COMPUTED_VALUE"""),4587.0)</f>
        <v>4587</v>
      </c>
      <c r="L772" s="276">
        <f>IFERROR(__xludf.DUMMYFUNCTION("""COMPUTED_VALUE"""),0.433)</f>
        <v>0.433</v>
      </c>
      <c r="M772" s="275">
        <f>IFERROR(__xludf.DUMMYFUNCTION("""COMPUTED_VALUE"""),1330.0)</f>
        <v>1330</v>
      </c>
      <c r="N772" s="276">
        <f>IFERROR(__xludf.DUMMYFUNCTION("""COMPUTED_VALUE"""),0.2899)</f>
        <v>0.2899</v>
      </c>
      <c r="O772" s="208">
        <f>IFERROR(__xludf.DUMMYFUNCTION("""COMPUTED_VALUE"""),60.0)</f>
        <v>60</v>
      </c>
      <c r="P772" s="208">
        <f>IFERROR(__xludf.DUMMYFUNCTION("""COMPUTED_VALUE"""),57.0)</f>
        <v>57</v>
      </c>
      <c r="Q772" s="276">
        <f>IFERROR(__xludf.DUMMYFUNCTION("""COMPUTED_VALUE"""),0.0124)</f>
        <v>0.0124</v>
      </c>
      <c r="R772" s="276">
        <f>IFERROR(__xludf.DUMMYFUNCTION("""COMPUTED_VALUE"""),0.0429)</f>
        <v>0.0429</v>
      </c>
      <c r="S772" s="208">
        <f>IFERROR(__xludf.DUMMYFUNCTION("""COMPUTED_VALUE"""),1.0)</f>
        <v>1</v>
      </c>
      <c r="T772" s="208">
        <f>IFERROR(__xludf.DUMMYFUNCTION("""COMPUTED_VALUE"""),1.0)</f>
        <v>1</v>
      </c>
      <c r="U772" s="275">
        <f>IFERROR(__xludf.DUMMYFUNCTION("""COMPUTED_VALUE"""),647.0)</f>
        <v>647</v>
      </c>
      <c r="V772" s="234" t="str">
        <f>IFERROR(__xludf.DUMMYFUNCTION("""COMPUTED_VALUE"""),"online")</f>
        <v>online</v>
      </c>
      <c r="W772" s="232" t="str">
        <f>IFERROR(__xludf.DUMMYFUNCTION("""COMPUTED_VALUE"""),"simple")</f>
        <v>simple</v>
      </c>
      <c r="X772" s="232" t="str">
        <f>IFERROR(__xludf.DUMMYFUNCTION("""COMPUTED_VALUE"""),"Predom Cart Value")</f>
        <v>Predom Cart Value</v>
      </c>
      <c r="Y772" s="232" t="str">
        <f>IFERROR(__xludf.DUMMYFUNCTION("""COMPUTED_VALUE"""),"31-2 June")</f>
        <v>31-2 June</v>
      </c>
      <c r="Z772" s="232" t="str">
        <f>IFERROR(__xludf.DUMMYFUNCTION("""COMPUTED_VALUE"""),"6a1697de6dfdc7313109b424")</f>
        <v>6a1697de6dfdc7313109b424</v>
      </c>
      <c r="AA772" s="277">
        <f>IFERROR(__xludf.DUMMYFUNCTION("""COMPUTED_VALUE"""),6.0)</f>
        <v>6</v>
      </c>
      <c r="AB772" s="277">
        <f>IFERROR(__xludf.DUMMYFUNCTION("""COMPUTED_VALUE"""),6.0)</f>
        <v>6</v>
      </c>
      <c r="AC772" s="277"/>
      <c r="AD772" s="277">
        <f>IFERROR(__xludf.DUMMYFUNCTION("""COMPUTED_VALUE"""),5659.0)</f>
        <v>5659</v>
      </c>
      <c r="AE772" s="277">
        <f>IFERROR(__xludf.DUMMYFUNCTION("""COMPUTED_VALUE"""),5659.0)</f>
        <v>5659</v>
      </c>
      <c r="AF772" s="277"/>
      <c r="AG772" s="208"/>
      <c r="AH772" s="208"/>
      <c r="AI772" s="208"/>
      <c r="AJ772" s="208"/>
      <c r="AK772" s="208"/>
    </row>
    <row r="773" hidden="1">
      <c r="A773" s="288">
        <f>IFERROR(__xludf.DUMMYFUNCTION("""COMPUTED_VALUE"""),46173.0)</f>
        <v>46173</v>
      </c>
      <c r="B773" s="274">
        <f>IFERROR(__xludf.DUMMYFUNCTION("""COMPUTED_VALUE"""),0.7708333333321207)</f>
        <v>0.7708333333</v>
      </c>
      <c r="C773" s="208" t="str">
        <f>IFERROR(__xludf.DUMMYFUNCTION("""COMPUTED_VALUE"""),"Whatsapp")</f>
        <v>Whatsapp</v>
      </c>
      <c r="D773" s="208" t="str">
        <f>IFERROR(__xludf.DUMMYFUNCTION("""COMPUTED_VALUE"""),"Promotional")</f>
        <v>Promotional</v>
      </c>
      <c r="E773" s="208" t="str">
        <f>IFERROR(__xludf.DUMMYFUNCTION("""COMPUTED_VALUE"""),"BBW")</f>
        <v>BBW</v>
      </c>
      <c r="F773" s="208" t="str">
        <f>IFERROR(__xludf.DUMMYFUNCTION("""COMPUTED_VALUE"""),"HS TITBI - Hand Soaps")</f>
        <v>HS TITBI - Hand Soaps</v>
      </c>
      <c r="G773" s="208" t="str">
        <f>IFERROR(__xludf.DUMMYFUNCTION("""COMPUTED_VALUE"""),"bbw_wa_hs_titbi_31may_lastreminder_event_online")</f>
        <v>bbw_wa_hs_titbi_31may_lastreminder_event_online</v>
      </c>
      <c r="H773" s="232" t="str">
        <f>IFERROR(__xludf.DUMMYFUNCTION("""COMPUTED_VALUE"""),"BBW_ON_HS_Event_Buyers")</f>
        <v>BBW_ON_HS_Event_Buyers</v>
      </c>
      <c r="I773" s="233" t="str">
        <f>IFERROR(__xludf.DUMMYFUNCTION("""COMPUTED_VALUE"""),"Online Customer who have purchased from past handsoap events (30 may - 1 june, 20-21 aug, 14-16 oct, 5-7 nov)")</f>
        <v>Online Customer who have purchased from past handsoap events (30 may - 1 june, 20-21 aug, 14-16 oct, 5-7 nov)</v>
      </c>
      <c r="J773" s="275">
        <f>IFERROR(__xludf.DUMMYFUNCTION("""COMPUTED_VALUE"""),1950.0)</f>
        <v>1950</v>
      </c>
      <c r="K773" s="275">
        <f>IFERROR(__xludf.DUMMYFUNCTION("""COMPUTED_VALUE"""),768.0)</f>
        <v>768</v>
      </c>
      <c r="L773" s="276">
        <f>IFERROR(__xludf.DUMMYFUNCTION("""COMPUTED_VALUE"""),0.3938)</f>
        <v>0.3938</v>
      </c>
      <c r="M773" s="275">
        <f>IFERROR(__xludf.DUMMYFUNCTION("""COMPUTED_VALUE"""),222.0)</f>
        <v>222</v>
      </c>
      <c r="N773" s="276">
        <f>IFERROR(__xludf.DUMMYFUNCTION("""COMPUTED_VALUE"""),0.2891)</f>
        <v>0.2891</v>
      </c>
      <c r="O773" s="208">
        <f>IFERROR(__xludf.DUMMYFUNCTION("""COMPUTED_VALUE"""),13.0)</f>
        <v>13</v>
      </c>
      <c r="P773" s="208">
        <f>IFERROR(__xludf.DUMMYFUNCTION("""COMPUTED_VALUE"""),12.0)</f>
        <v>12</v>
      </c>
      <c r="Q773" s="276">
        <f>IFERROR(__xludf.DUMMYFUNCTION("""COMPUTED_VALUE"""),0.0156)</f>
        <v>0.0156</v>
      </c>
      <c r="R773" s="276">
        <f>IFERROR(__xludf.DUMMYFUNCTION("""COMPUTED_VALUE"""),0.0541)</f>
        <v>0.0541</v>
      </c>
      <c r="S773" s="208">
        <f>IFERROR(__xludf.DUMMYFUNCTION("""COMPUTED_VALUE"""),0.0)</f>
        <v>0</v>
      </c>
      <c r="T773" s="208">
        <f>IFERROR(__xludf.DUMMYFUNCTION("""COMPUTED_VALUE"""),0.0)</f>
        <v>0</v>
      </c>
      <c r="U773" s="275">
        <f>IFERROR(__xludf.DUMMYFUNCTION("""COMPUTED_VALUE"""),0.0)</f>
        <v>0</v>
      </c>
      <c r="V773" s="234" t="str">
        <f>IFERROR(__xludf.DUMMYFUNCTION("""COMPUTED_VALUE"""),"online")</f>
        <v>online</v>
      </c>
      <c r="W773" s="232" t="str">
        <f>IFERROR(__xludf.DUMMYFUNCTION("""COMPUTED_VALUE"""),"simple")</f>
        <v>simple</v>
      </c>
      <c r="X773" s="232" t="str">
        <f>IFERROR(__xludf.DUMMYFUNCTION("""COMPUTED_VALUE"""),"Event Buyers")</f>
        <v>Event Buyers</v>
      </c>
      <c r="Y773" s="232" t="str">
        <f>IFERROR(__xludf.DUMMYFUNCTION("""COMPUTED_VALUE"""),"31-2 June")</f>
        <v>31-2 June</v>
      </c>
      <c r="Z773" s="232" t="str">
        <f>IFERROR(__xludf.DUMMYFUNCTION("""COMPUTED_VALUE"""),"6a16981703de81ac6016ecef")</f>
        <v>6a16981703de81ac6016ecef</v>
      </c>
      <c r="AA773" s="277">
        <f>IFERROR(__xludf.DUMMYFUNCTION("""COMPUTED_VALUE"""),1.0)</f>
        <v>1</v>
      </c>
      <c r="AB773" s="277">
        <f>IFERROR(__xludf.DUMMYFUNCTION("""COMPUTED_VALUE"""),1.0)</f>
        <v>1</v>
      </c>
      <c r="AC773" s="277"/>
      <c r="AD773" s="277">
        <f>IFERROR(__xludf.DUMMYFUNCTION("""COMPUTED_VALUE"""),5996.0)</f>
        <v>5996</v>
      </c>
      <c r="AE773" s="277">
        <f>IFERROR(__xludf.DUMMYFUNCTION("""COMPUTED_VALUE"""),5996.0)</f>
        <v>5996</v>
      </c>
      <c r="AF773" s="277"/>
      <c r="AG773" s="208"/>
      <c r="AH773" s="208"/>
      <c r="AI773" s="208"/>
      <c r="AJ773" s="208"/>
      <c r="AK773" s="208"/>
    </row>
    <row r="774" hidden="1">
      <c r="A774" s="288">
        <f>IFERROR(__xludf.DUMMYFUNCTION("""COMPUTED_VALUE"""),46172.0)</f>
        <v>46172</v>
      </c>
      <c r="B774" s="274">
        <f>IFERROR(__xludf.DUMMYFUNCTION("""COMPUTED_VALUE"""),0.5)</f>
        <v>0.5</v>
      </c>
      <c r="C774" s="208" t="str">
        <f>IFERROR(__xludf.DUMMYFUNCTION("""COMPUTED_VALUE"""),"Whatsapp")</f>
        <v>Whatsapp</v>
      </c>
      <c r="D774" s="208" t="str">
        <f>IFERROR(__xludf.DUMMYFUNCTION("""COMPUTED_VALUE"""),"Promotional")</f>
        <v>Promotional</v>
      </c>
      <c r="E774" s="208" t="str">
        <f>IFERROR(__xludf.DUMMYFUNCTION("""COMPUTED_VALUE"""),"BBW")</f>
        <v>BBW</v>
      </c>
      <c r="F774" s="208" t="str">
        <f>IFERROR(__xludf.DUMMYFUNCTION("""COMPUTED_VALUE"""),"BC Tier Discount - Body Care")</f>
        <v>BC Tier Discount - Body Care</v>
      </c>
      <c r="G774" s="208" t="str">
        <f>IFERROR(__xludf.DUMMYFUNCTION("""COMPUTED_VALUE"""),"bbw_wa_bc_tier_discount_29may_lastreminder_repeat_online")</f>
        <v>bbw_wa_bc_tier_discount_29may_lastreminder_repeat_online</v>
      </c>
      <c r="H774" s="232" t="str">
        <f>IFERROR(__xludf.DUMMYFUNCTION("""COMPUTED_VALUE"""),"BodyCare_Repeat_180D_ON")</f>
        <v>BodyCare_Repeat_180D_ON</v>
      </c>
      <c r="I774" s="233" t="str">
        <f>IFERROR(__xludf.DUMMYFUNCTION("""COMPUTED_VALUE"""),"Online customers who have purchased L2: BodyCare at least 1 times in the last 180 days")</f>
        <v>Online customers who have purchased L2: BodyCare at least 1 times in the last 180 days</v>
      </c>
      <c r="J774" s="275">
        <f>IFERROR(__xludf.DUMMYFUNCTION("""COMPUTED_VALUE"""),24094.0)</f>
        <v>24094</v>
      </c>
      <c r="K774" s="275">
        <f>IFERROR(__xludf.DUMMYFUNCTION("""COMPUTED_VALUE"""),8253.0)</f>
        <v>8253</v>
      </c>
      <c r="L774" s="276">
        <f>IFERROR(__xludf.DUMMYFUNCTION("""COMPUTED_VALUE"""),0.3425)</f>
        <v>0.3425</v>
      </c>
      <c r="M774" s="275">
        <f>IFERROR(__xludf.DUMMYFUNCTION("""COMPUTED_VALUE"""),3461.0)</f>
        <v>3461</v>
      </c>
      <c r="N774" s="276">
        <f>IFERROR(__xludf.DUMMYFUNCTION("""COMPUTED_VALUE"""),0.4194)</f>
        <v>0.4194</v>
      </c>
      <c r="O774" s="208">
        <f>IFERROR(__xludf.DUMMYFUNCTION("""COMPUTED_VALUE"""),186.0)</f>
        <v>186</v>
      </c>
      <c r="P774" s="208">
        <f>IFERROR(__xludf.DUMMYFUNCTION("""COMPUTED_VALUE"""),176.0)</f>
        <v>176</v>
      </c>
      <c r="Q774" s="276">
        <f>IFERROR(__xludf.DUMMYFUNCTION("""COMPUTED_VALUE"""),0.0213)</f>
        <v>0.0213</v>
      </c>
      <c r="R774" s="276">
        <f>IFERROR(__xludf.DUMMYFUNCTION("""COMPUTED_VALUE"""),0.0509)</f>
        <v>0.0509</v>
      </c>
      <c r="S774" s="208">
        <f>IFERROR(__xludf.DUMMYFUNCTION("""COMPUTED_VALUE"""),4.0)</f>
        <v>4</v>
      </c>
      <c r="T774" s="208">
        <f>IFERROR(__xludf.DUMMYFUNCTION("""COMPUTED_VALUE"""),18.0)</f>
        <v>18</v>
      </c>
      <c r="U774" s="275">
        <f>IFERROR(__xludf.DUMMYFUNCTION("""COMPUTED_VALUE"""),14749.0)</f>
        <v>14749</v>
      </c>
      <c r="V774" s="234" t="str">
        <f>IFERROR(__xludf.DUMMYFUNCTION("""COMPUTED_VALUE"""),"online")</f>
        <v>online</v>
      </c>
      <c r="W774" s="232" t="str">
        <f>IFERROR(__xludf.DUMMYFUNCTION("""COMPUTED_VALUE"""),"simple")</f>
        <v>simple</v>
      </c>
      <c r="X774" s="232" t="str">
        <f>IFERROR(__xludf.DUMMYFUNCTION("""COMPUTED_VALUE"""),"Repeat - Body Care")</f>
        <v>Repeat - Body Care</v>
      </c>
      <c r="Y774" s="232" t="str">
        <f>IFERROR(__xludf.DUMMYFUNCTION("""COMPUTED_VALUE"""),"30-1 June")</f>
        <v>30-1 June</v>
      </c>
      <c r="Z774" s="232" t="str">
        <f>IFERROR(__xludf.DUMMYFUNCTION("""COMPUTED_VALUE"""),"6a16d3ec17e00852222428ea")</f>
        <v>6a16d3ec17e00852222428ea</v>
      </c>
      <c r="AA774" s="277">
        <f>IFERROR(__xludf.DUMMYFUNCTION("""COMPUTED_VALUE"""),47.0)</f>
        <v>47</v>
      </c>
      <c r="AB774" s="277">
        <f>IFERROR(__xludf.DUMMYFUNCTION("""COMPUTED_VALUE"""),47.0)</f>
        <v>47</v>
      </c>
      <c r="AC774" s="277"/>
      <c r="AD774" s="277">
        <f>IFERROR(__xludf.DUMMYFUNCTION("""COMPUTED_VALUE"""),166466.0)</f>
        <v>166466</v>
      </c>
      <c r="AE774" s="277">
        <f>IFERROR(__xludf.DUMMYFUNCTION("""COMPUTED_VALUE"""),166466.0)</f>
        <v>166466</v>
      </c>
      <c r="AF774" s="277"/>
      <c r="AG774" s="208"/>
      <c r="AH774" s="208"/>
      <c r="AI774" s="208"/>
      <c r="AJ774" s="208"/>
      <c r="AK774" s="208"/>
    </row>
    <row r="775" hidden="1">
      <c r="A775" s="288">
        <f>IFERROR(__xludf.DUMMYFUNCTION("""COMPUTED_VALUE"""),46171.0)</f>
        <v>46171</v>
      </c>
      <c r="B775" s="274">
        <f>IFERROR(__xludf.DUMMYFUNCTION("""COMPUTED_VALUE"""),0.7916666666678793)</f>
        <v>0.7916666667</v>
      </c>
      <c r="C775" s="208" t="str">
        <f>IFERROR(__xludf.DUMMYFUNCTION("""COMPUTED_VALUE"""),"Whatsapp")</f>
        <v>Whatsapp</v>
      </c>
      <c r="D775" s="208" t="str">
        <f>IFERROR(__xludf.DUMMYFUNCTION("""COMPUTED_VALUE"""),"Promotional")</f>
        <v>Promotional</v>
      </c>
      <c r="E775" s="208" t="str">
        <f>IFERROR(__xludf.DUMMYFUNCTION("""COMPUTED_VALUE"""),"BBW")</f>
        <v>BBW</v>
      </c>
      <c r="F775" s="208" t="str">
        <f>IFERROR(__xludf.DUMMYFUNCTION("""COMPUTED_VALUE"""),"BC Tier Discount - Body Care")</f>
        <v>BC Tier Discount - Body Care</v>
      </c>
      <c r="G775" s="208" t="str">
        <f>IFERROR(__xludf.DUMMYFUNCTION("""COMPUTED_VALUE"""),"bbw_wa_bc_tier_discount_29may_repeat_online")</f>
        <v>bbw_wa_bc_tier_discount_29may_repeat_online</v>
      </c>
      <c r="H775" s="232" t="str">
        <f>IFERROR(__xludf.DUMMYFUNCTION("""COMPUTED_VALUE"""),"BodyCare_Repeat_180D_ON")</f>
        <v>BodyCare_Repeat_180D_ON</v>
      </c>
      <c r="I775" s="233" t="str">
        <f>IFERROR(__xludf.DUMMYFUNCTION("""COMPUTED_VALUE"""),"Online customers who have purchased L2: BodyCare at least 1 times in the last 180 days")</f>
        <v>Online customers who have purchased L2: BodyCare at least 1 times in the last 180 days</v>
      </c>
      <c r="J775" s="275">
        <f>IFERROR(__xludf.DUMMYFUNCTION("""COMPUTED_VALUE"""),24227.0)</f>
        <v>24227</v>
      </c>
      <c r="K775" s="275">
        <f>IFERROR(__xludf.DUMMYFUNCTION("""COMPUTED_VALUE"""),9817.0)</f>
        <v>9817</v>
      </c>
      <c r="L775" s="276">
        <f>IFERROR(__xludf.DUMMYFUNCTION("""COMPUTED_VALUE"""),0.4051)</f>
        <v>0.4051</v>
      </c>
      <c r="M775" s="275">
        <f>IFERROR(__xludf.DUMMYFUNCTION("""COMPUTED_VALUE"""),4271.0)</f>
        <v>4271</v>
      </c>
      <c r="N775" s="276">
        <f>IFERROR(__xludf.DUMMYFUNCTION("""COMPUTED_VALUE"""),0.435)</f>
        <v>0.435</v>
      </c>
      <c r="O775" s="208">
        <f>IFERROR(__xludf.DUMMYFUNCTION("""COMPUTED_VALUE"""),203.0)</f>
        <v>203</v>
      </c>
      <c r="P775" s="208">
        <f>IFERROR(__xludf.DUMMYFUNCTION("""COMPUTED_VALUE"""),188.0)</f>
        <v>188</v>
      </c>
      <c r="Q775" s="276">
        <f>IFERROR(__xludf.DUMMYFUNCTION("""COMPUTED_VALUE"""),0.0192)</f>
        <v>0.0192</v>
      </c>
      <c r="R775" s="276">
        <f>IFERROR(__xludf.DUMMYFUNCTION("""COMPUTED_VALUE"""),0.044)</f>
        <v>0.044</v>
      </c>
      <c r="S775" s="208">
        <f>IFERROR(__xludf.DUMMYFUNCTION("""COMPUTED_VALUE"""),5.0)</f>
        <v>5</v>
      </c>
      <c r="T775" s="208">
        <f>IFERROR(__xludf.DUMMYFUNCTION("""COMPUTED_VALUE"""),29.0)</f>
        <v>29</v>
      </c>
      <c r="U775" s="275">
        <f>IFERROR(__xludf.DUMMYFUNCTION("""COMPUTED_VALUE"""),17939.0)</f>
        <v>17939</v>
      </c>
      <c r="V775" s="234" t="str">
        <f>IFERROR(__xludf.DUMMYFUNCTION("""COMPUTED_VALUE"""),"online")</f>
        <v>online</v>
      </c>
      <c r="W775" s="232" t="str">
        <f>IFERROR(__xludf.DUMMYFUNCTION("""COMPUTED_VALUE"""),"carousel")</f>
        <v>carousel</v>
      </c>
      <c r="X775" s="232" t="str">
        <f>IFERROR(__xludf.DUMMYFUNCTION("""COMPUTED_VALUE"""),"Repeat - Body Care")</f>
        <v>Repeat - Body Care</v>
      </c>
      <c r="Y775" s="232" t="str">
        <f>IFERROR(__xludf.DUMMYFUNCTION("""COMPUTED_VALUE"""),"29-31 May")</f>
        <v>29-31 May</v>
      </c>
      <c r="Z775" s="232" t="str">
        <f>IFERROR(__xludf.DUMMYFUNCTION("""COMPUTED_VALUE"""),"6a16d7e07361e6e5a27b503c")</f>
        <v>6a16d7e07361e6e5a27b503c</v>
      </c>
      <c r="AA775" s="277">
        <f>IFERROR(__xludf.DUMMYFUNCTION("""COMPUTED_VALUE"""),65.0)</f>
        <v>65</v>
      </c>
      <c r="AB775" s="277">
        <f>IFERROR(__xludf.DUMMYFUNCTION("""COMPUTED_VALUE"""),65.0)</f>
        <v>65</v>
      </c>
      <c r="AC775" s="277"/>
      <c r="AD775" s="277">
        <f>IFERROR(__xludf.DUMMYFUNCTION("""COMPUTED_VALUE"""),222145.0)</f>
        <v>222145</v>
      </c>
      <c r="AE775" s="277">
        <f>IFERROR(__xludf.DUMMYFUNCTION("""COMPUTED_VALUE"""),222145.0)</f>
        <v>222145</v>
      </c>
      <c r="AF775" s="277"/>
      <c r="AG775" s="208"/>
      <c r="AH775" s="208"/>
      <c r="AI775" s="208"/>
      <c r="AJ775" s="208"/>
      <c r="AK775" s="208"/>
    </row>
    <row r="776" hidden="1">
      <c r="A776" s="288">
        <f>IFERROR(__xludf.DUMMYFUNCTION("""COMPUTED_VALUE"""),46171.0)</f>
        <v>46171</v>
      </c>
      <c r="B776" s="274">
        <f>IFERROR(__xludf.DUMMYFUNCTION("""COMPUTED_VALUE"""),0.7916666666678793)</f>
        <v>0.7916666667</v>
      </c>
      <c r="C776" s="208" t="str">
        <f>IFERROR(__xludf.DUMMYFUNCTION("""COMPUTED_VALUE"""),"Whatsapp")</f>
        <v>Whatsapp</v>
      </c>
      <c r="D776" s="208" t="str">
        <f>IFERROR(__xludf.DUMMYFUNCTION("""COMPUTED_VALUE"""),"Promotional")</f>
        <v>Promotional</v>
      </c>
      <c r="E776" s="208" t="str">
        <f>IFERROR(__xludf.DUMMYFUNCTION("""COMPUTED_VALUE"""),"BBW")</f>
        <v>BBW</v>
      </c>
      <c r="F776" s="208" t="str">
        <f>IFERROR(__xludf.DUMMYFUNCTION("""COMPUTED_VALUE"""),"BC Tier Discount - Body Care")</f>
        <v>BC Tier Discount - Body Care</v>
      </c>
      <c r="G776" s="208" t="str">
        <f>IFERROR(__xludf.DUMMYFUNCTION("""COMPUTED_VALUE"""),"bbw_wa_bc_tier_discount_29may_atc_view_online")</f>
        <v>bbw_wa_bc_tier_discount_29may_atc_view_online</v>
      </c>
      <c r="H776" s="232" t="str">
        <f>IFERROR(__xludf.DUMMYFUNCTION("""COMPUTED_VALUE"""),"ATC_View_NoPr_BodyCare_On")</f>
        <v>ATC_View_NoPr_BodyCare_On</v>
      </c>
      <c r="I776" s="233" t="str">
        <f>IFERROR(__xludf.DUMMYFUNCTION("""COMPUTED_VALUE"""),"Customers who have added to cart but not purchased from L2: BodyCare at least 1 time in the last 60 days OR Customers who have viewed item but not purchased from L2: BodyCare at least 1 time in the last 30 days")</f>
        <v>Customers who have added to cart but not purchased from L2: BodyCare at least 1 time in the last 60 days OR Customers who have viewed item but not purchased from L2: BodyCare at least 1 time in the last 30 days</v>
      </c>
      <c r="J776" s="275">
        <f>IFERROR(__xludf.DUMMYFUNCTION("""COMPUTED_VALUE"""),5618.0)</f>
        <v>5618</v>
      </c>
      <c r="K776" s="275">
        <f>IFERROR(__xludf.DUMMYFUNCTION("""COMPUTED_VALUE"""),2194.0)</f>
        <v>2194</v>
      </c>
      <c r="L776" s="276">
        <f>IFERROR(__xludf.DUMMYFUNCTION("""COMPUTED_VALUE"""),0.3908)</f>
        <v>0.3908</v>
      </c>
      <c r="M776" s="275">
        <f>IFERROR(__xludf.DUMMYFUNCTION("""COMPUTED_VALUE"""),1082.0)</f>
        <v>1082</v>
      </c>
      <c r="N776" s="276">
        <f>IFERROR(__xludf.DUMMYFUNCTION("""COMPUTED_VALUE"""),0.4932)</f>
        <v>0.4932</v>
      </c>
      <c r="O776" s="208">
        <f>IFERROR(__xludf.DUMMYFUNCTION("""COMPUTED_VALUE"""),54.0)</f>
        <v>54</v>
      </c>
      <c r="P776" s="208">
        <f>IFERROR(__xludf.DUMMYFUNCTION("""COMPUTED_VALUE"""),52.0)</f>
        <v>52</v>
      </c>
      <c r="Q776" s="276">
        <f>IFERROR(__xludf.DUMMYFUNCTION("""COMPUTED_VALUE"""),0.0237)</f>
        <v>0.0237</v>
      </c>
      <c r="R776" s="276">
        <f>IFERROR(__xludf.DUMMYFUNCTION("""COMPUTED_VALUE"""),0.0481)</f>
        <v>0.0481</v>
      </c>
      <c r="S776" s="208">
        <f>IFERROR(__xludf.DUMMYFUNCTION("""COMPUTED_VALUE"""),12.0)</f>
        <v>12</v>
      </c>
      <c r="T776" s="208">
        <f>IFERROR(__xludf.DUMMYFUNCTION("""COMPUTED_VALUE"""),47.0)</f>
        <v>47</v>
      </c>
      <c r="U776" s="275">
        <f>IFERROR(__xludf.DUMMYFUNCTION("""COMPUTED_VALUE"""),35182.0)</f>
        <v>35182</v>
      </c>
      <c r="V776" s="234" t="str">
        <f>IFERROR(__xludf.DUMMYFUNCTION("""COMPUTED_VALUE"""),"online")</f>
        <v>online</v>
      </c>
      <c r="W776" s="232" t="str">
        <f>IFERROR(__xludf.DUMMYFUNCTION("""COMPUTED_VALUE"""),"carousel")</f>
        <v>carousel</v>
      </c>
      <c r="X776" s="232" t="str">
        <f>IFERROR(__xludf.DUMMYFUNCTION("""COMPUTED_VALUE"""),"Add to Cart/View Item")</f>
        <v>Add to Cart/View Item</v>
      </c>
      <c r="Y776" s="232" t="str">
        <f>IFERROR(__xludf.DUMMYFUNCTION("""COMPUTED_VALUE"""),"29-31 May")</f>
        <v>29-31 May</v>
      </c>
      <c r="Z776" s="232" t="str">
        <f>IFERROR(__xludf.DUMMYFUNCTION("""COMPUTED_VALUE"""),"6a16d8383a3149bb23944953")</f>
        <v>6a16d8383a3149bb23944953</v>
      </c>
      <c r="AA776" s="277">
        <f>IFERROR(__xludf.DUMMYFUNCTION("""COMPUTED_VALUE"""),26.0)</f>
        <v>26</v>
      </c>
      <c r="AB776" s="277">
        <f>IFERROR(__xludf.DUMMYFUNCTION("""COMPUTED_VALUE"""),26.0)</f>
        <v>26</v>
      </c>
      <c r="AC776" s="277"/>
      <c r="AD776" s="277">
        <f>IFERROR(__xludf.DUMMYFUNCTION("""COMPUTED_VALUE"""),77984.0)</f>
        <v>77984</v>
      </c>
      <c r="AE776" s="277">
        <f>IFERROR(__xludf.DUMMYFUNCTION("""COMPUTED_VALUE"""),77984.0)</f>
        <v>77984</v>
      </c>
      <c r="AF776" s="277"/>
      <c r="AG776" s="208"/>
      <c r="AH776" s="208"/>
      <c r="AI776" s="208"/>
      <c r="AJ776" s="208"/>
      <c r="AK776" s="208"/>
    </row>
    <row r="777" hidden="1">
      <c r="A777" s="288">
        <f>IFERROR(__xludf.DUMMYFUNCTION("""COMPUTED_VALUE"""),46171.0)</f>
        <v>46171</v>
      </c>
      <c r="B777" s="274">
        <f>IFERROR(__xludf.DUMMYFUNCTION("""COMPUTED_VALUE"""),0.7916666666678793)</f>
        <v>0.7916666667</v>
      </c>
      <c r="C777" s="208" t="str">
        <f>IFERROR(__xludf.DUMMYFUNCTION("""COMPUTED_VALUE"""),"Whatsapp")</f>
        <v>Whatsapp</v>
      </c>
      <c r="D777" s="208" t="str">
        <f>IFERROR(__xludf.DUMMYFUNCTION("""COMPUTED_VALUE"""),"Promotional")</f>
        <v>Promotional</v>
      </c>
      <c r="E777" s="208" t="str">
        <f>IFERROR(__xludf.DUMMYFUNCTION("""COMPUTED_VALUE"""),"BBW")</f>
        <v>BBW</v>
      </c>
      <c r="F777" s="208" t="str">
        <f>IFERROR(__xludf.DUMMYFUNCTION("""COMPUTED_VALUE"""),"BC Tier Discount - Body Care")</f>
        <v>BC Tier Discount - Body Care</v>
      </c>
      <c r="G777" s="208" t="str">
        <f>IFERROR(__xludf.DUMMYFUNCTION("""COMPUTED_VALUE"""),"bbw_wa_bc_tier_discount_29may_event&amp;dormant_online")</f>
        <v>bbw_wa_bc_tier_discount_29may_event&amp;dormant_online</v>
      </c>
      <c r="H777" s="232" t="str">
        <f>IFERROR(__xludf.DUMMYFUNCTION("""COMPUTED_VALUE"""),"BC_EventBuyers+Dormant_ON")</f>
        <v>BC_EventBuyers+Dormant_ON</v>
      </c>
      <c r="I777" s="233" t="str">
        <f>IFERROR(__xludf.DUMMYFUNCTION("""COMPUTED_VALUE"""),"Online customers who have purchased at least 1 time from L2: BodyCare in between Oct 2 - Oct 5, 2025; Oct 16 - Oct 27, 2025; Jan 09- Jan 18, 2026; Feb 26 - Mar 3, 2026; Mar 27 - Mar 29, 2026 OR Online customers who have purchased atleast 1 time from L2: B"&amp;"odyCare in between the last 90-365 Days")</f>
        <v>Online customers who have purchased at least 1 time from L2: BodyCare in between Oct 2 - Oct 5, 2025; Oct 16 - Oct 27, 2025; Jan 09- Jan 18, 2026; Feb 26 - Mar 3, 2026; Mar 27 - Mar 29, 2026 OR Online customers who have purchased atleast 1 time from L2: BodyCare in between the last 90-365 Days</v>
      </c>
      <c r="J777" s="275">
        <f>IFERROR(__xludf.DUMMYFUNCTION("""COMPUTED_VALUE"""),33957.0)</f>
        <v>33957</v>
      </c>
      <c r="K777" s="275">
        <f>IFERROR(__xludf.DUMMYFUNCTION("""COMPUTED_VALUE"""),13172.0)</f>
        <v>13172</v>
      </c>
      <c r="L777" s="276">
        <f>IFERROR(__xludf.DUMMYFUNCTION("""COMPUTED_VALUE"""),0.3878)</f>
        <v>0.3878</v>
      </c>
      <c r="M777" s="275">
        <f>IFERROR(__xludf.DUMMYFUNCTION("""COMPUTED_VALUE"""),5475.0)</f>
        <v>5475</v>
      </c>
      <c r="N777" s="276">
        <f>IFERROR(__xludf.DUMMYFUNCTION("""COMPUTED_VALUE"""),0.4157)</f>
        <v>0.4157</v>
      </c>
      <c r="O777" s="208">
        <f>IFERROR(__xludf.DUMMYFUNCTION("""COMPUTED_VALUE"""),175.0)</f>
        <v>175</v>
      </c>
      <c r="P777" s="208">
        <f>IFERROR(__xludf.DUMMYFUNCTION("""COMPUTED_VALUE"""),161.0)</f>
        <v>161</v>
      </c>
      <c r="Q777" s="276">
        <f>IFERROR(__xludf.DUMMYFUNCTION("""COMPUTED_VALUE"""),0.0122)</f>
        <v>0.0122</v>
      </c>
      <c r="R777" s="276">
        <f>IFERROR(__xludf.DUMMYFUNCTION("""COMPUTED_VALUE"""),0.0294)</f>
        <v>0.0294</v>
      </c>
      <c r="S777" s="208">
        <f>IFERROR(__xludf.DUMMYFUNCTION("""COMPUTED_VALUE"""),5.0)</f>
        <v>5</v>
      </c>
      <c r="T777" s="208">
        <f>IFERROR(__xludf.DUMMYFUNCTION("""COMPUTED_VALUE"""),10.0)</f>
        <v>10</v>
      </c>
      <c r="U777" s="275">
        <f>IFERROR(__xludf.DUMMYFUNCTION("""COMPUTED_VALUE"""),13671.0)</f>
        <v>13671</v>
      </c>
      <c r="V777" s="234" t="str">
        <f>IFERROR(__xludf.DUMMYFUNCTION("""COMPUTED_VALUE"""),"online")</f>
        <v>online</v>
      </c>
      <c r="W777" s="232" t="str">
        <f>IFERROR(__xludf.DUMMYFUNCTION("""COMPUTED_VALUE"""),"carousel")</f>
        <v>carousel</v>
      </c>
      <c r="X777" s="232" t="str">
        <f>IFERROR(__xludf.DUMMYFUNCTION("""COMPUTED_VALUE"""),"Event Buyers")</f>
        <v>Event Buyers</v>
      </c>
      <c r="Y777" s="232" t="str">
        <f>IFERROR(__xludf.DUMMYFUNCTION("""COMPUTED_VALUE"""),"29-31 May")</f>
        <v>29-31 May</v>
      </c>
      <c r="Z777" s="232" t="str">
        <f>IFERROR(__xludf.DUMMYFUNCTION("""COMPUTED_VALUE"""),"6a16d88f4c64d7cee91e2c55")</f>
        <v>6a16d88f4c64d7cee91e2c55</v>
      </c>
      <c r="AA777" s="277">
        <f>IFERROR(__xludf.DUMMYFUNCTION("""COMPUTED_VALUE"""),48.0)</f>
        <v>48</v>
      </c>
      <c r="AB777" s="277">
        <f>IFERROR(__xludf.DUMMYFUNCTION("""COMPUTED_VALUE"""),48.0)</f>
        <v>48</v>
      </c>
      <c r="AC777" s="277"/>
      <c r="AD777" s="277">
        <f>IFERROR(__xludf.DUMMYFUNCTION("""COMPUTED_VALUE"""),175341.0)</f>
        <v>175341</v>
      </c>
      <c r="AE777" s="277">
        <f>IFERROR(__xludf.DUMMYFUNCTION("""COMPUTED_VALUE"""),175341.0)</f>
        <v>175341</v>
      </c>
      <c r="AF777" s="277"/>
      <c r="AG777" s="208"/>
      <c r="AH777" s="208"/>
      <c r="AI777" s="208"/>
      <c r="AJ777" s="208"/>
      <c r="AK777" s="208"/>
    </row>
    <row r="778" hidden="1">
      <c r="A778" s="288">
        <f>IFERROR(__xludf.DUMMYFUNCTION("""COMPUTED_VALUE"""),46171.0)</f>
        <v>46171</v>
      </c>
      <c r="B778" s="274">
        <f>IFERROR(__xludf.DUMMYFUNCTION("""COMPUTED_VALUE"""),0.7916666666678793)</f>
        <v>0.7916666667</v>
      </c>
      <c r="C778" s="208" t="str">
        <f>IFERROR(__xludf.DUMMYFUNCTION("""COMPUTED_VALUE"""),"Whatsapp")</f>
        <v>Whatsapp</v>
      </c>
      <c r="D778" s="208" t="str">
        <f>IFERROR(__xludf.DUMMYFUNCTION("""COMPUTED_VALUE"""),"Promotional")</f>
        <v>Promotional</v>
      </c>
      <c r="E778" s="208" t="str">
        <f>IFERROR(__xludf.DUMMYFUNCTION("""COMPUTED_VALUE"""),"BBW")</f>
        <v>BBW</v>
      </c>
      <c r="F778" s="208" t="str">
        <f>IFERROR(__xludf.DUMMYFUNCTION("""COMPUTED_VALUE"""),"BC Tier Discount - Body Care")</f>
        <v>BC Tier Discount - Body Care</v>
      </c>
      <c r="G778" s="208" t="str">
        <f>IFERROR(__xludf.DUMMYFUNCTION("""COMPUTED_VALUE"""),"bbw_wa_bc_tier_discount_29may_repeat_offline")</f>
        <v>bbw_wa_bc_tier_discount_29may_repeat_offline</v>
      </c>
      <c r="H778" s="232" t="str">
        <f>IFERROR(__xludf.DUMMYFUNCTION("""COMPUTED_VALUE"""),"BodyCare_Repeat_180D_OFF")</f>
        <v>BodyCare_Repeat_180D_OFF</v>
      </c>
      <c r="I778" s="233" t="str">
        <f>IFERROR(__xludf.DUMMYFUNCTION("""COMPUTED_VALUE"""),"Offline customers who have purchased L2: BodyCare at least 2 times in the last 180 days")</f>
        <v>Offline customers who have purchased L2: BodyCare at least 2 times in the last 180 days</v>
      </c>
      <c r="J778" s="275">
        <f>IFERROR(__xludf.DUMMYFUNCTION("""COMPUTED_VALUE"""),14091.0)</f>
        <v>14091</v>
      </c>
      <c r="K778" s="275">
        <f>IFERROR(__xludf.DUMMYFUNCTION("""COMPUTED_VALUE"""),4920.0)</f>
        <v>4920</v>
      </c>
      <c r="L778" s="276">
        <f>IFERROR(__xludf.DUMMYFUNCTION("""COMPUTED_VALUE"""),0.3491)</f>
        <v>0.3491</v>
      </c>
      <c r="M778" s="275">
        <f>IFERROR(__xludf.DUMMYFUNCTION("""COMPUTED_VALUE"""),2127.0)</f>
        <v>2127</v>
      </c>
      <c r="N778" s="276">
        <f>IFERROR(__xludf.DUMMYFUNCTION("""COMPUTED_VALUE"""),0.4324)</f>
        <v>0.4324</v>
      </c>
      <c r="O778" s="208">
        <f>IFERROR(__xludf.DUMMYFUNCTION("""COMPUTED_VALUE"""),75.0)</f>
        <v>75</v>
      </c>
      <c r="P778" s="208">
        <f>IFERROR(__xludf.DUMMYFUNCTION("""COMPUTED_VALUE"""),72.0)</f>
        <v>72</v>
      </c>
      <c r="Q778" s="276">
        <f>IFERROR(__xludf.DUMMYFUNCTION("""COMPUTED_VALUE"""),0.0146)</f>
        <v>0.0146</v>
      </c>
      <c r="R778" s="276">
        <f>IFERROR(__xludf.DUMMYFUNCTION("""COMPUTED_VALUE"""),0.0339)</f>
        <v>0.0339</v>
      </c>
      <c r="S778" s="208">
        <f>IFERROR(__xludf.DUMMYFUNCTION("""COMPUTED_VALUE"""),1.0)</f>
        <v>1</v>
      </c>
      <c r="T778" s="208">
        <f>IFERROR(__xludf.DUMMYFUNCTION("""COMPUTED_VALUE"""),3.0)</f>
        <v>3</v>
      </c>
      <c r="U778" s="275">
        <f>IFERROR(__xludf.DUMMYFUNCTION("""COMPUTED_VALUE"""),1976.0)</f>
        <v>1976</v>
      </c>
      <c r="V778" s="234" t="str">
        <f>IFERROR(__xludf.DUMMYFUNCTION("""COMPUTED_VALUE"""),"offline")</f>
        <v>offline</v>
      </c>
      <c r="W778" s="232" t="str">
        <f>IFERROR(__xludf.DUMMYFUNCTION("""COMPUTED_VALUE"""),"carousel")</f>
        <v>carousel</v>
      </c>
      <c r="X778" s="232" t="str">
        <f>IFERROR(__xludf.DUMMYFUNCTION("""COMPUTED_VALUE"""),"Repeat - Body Care")</f>
        <v>Repeat - Body Care</v>
      </c>
      <c r="Y778" s="232" t="str">
        <f>IFERROR(__xludf.DUMMYFUNCTION("""COMPUTED_VALUE"""),"29-31 May")</f>
        <v>29-31 May</v>
      </c>
      <c r="Z778" s="232" t="str">
        <f>IFERROR(__xludf.DUMMYFUNCTION("""COMPUTED_VALUE"""),"6a16d8d64862ac8e64f319c4")</f>
        <v>6a16d8d64862ac8e64f319c4</v>
      </c>
      <c r="AA778" s="277">
        <f>IFERROR(__xludf.DUMMYFUNCTION("""COMPUTED_VALUE"""),71.0)</f>
        <v>71</v>
      </c>
      <c r="AB778" s="277"/>
      <c r="AC778" s="277">
        <f>IFERROR(__xludf.DUMMYFUNCTION("""COMPUTED_VALUE"""),71.0)</f>
        <v>71</v>
      </c>
      <c r="AD778" s="277">
        <f>IFERROR(__xludf.DUMMYFUNCTION("""COMPUTED_VALUE"""),276961.0)</f>
        <v>276961</v>
      </c>
      <c r="AE778" s="277"/>
      <c r="AF778" s="277">
        <f>IFERROR(__xludf.DUMMYFUNCTION("""COMPUTED_VALUE"""),276961.0)</f>
        <v>276961</v>
      </c>
      <c r="AG778" s="208"/>
      <c r="AH778" s="208"/>
      <c r="AI778" s="208"/>
      <c r="AJ778" s="208"/>
      <c r="AK778" s="208"/>
    </row>
    <row r="779" hidden="1">
      <c r="A779" s="288">
        <f>IFERROR(__xludf.DUMMYFUNCTION("""COMPUTED_VALUE"""),46171.0)</f>
        <v>46171</v>
      </c>
      <c r="B779" s="274">
        <f>IFERROR(__xludf.DUMMYFUNCTION("""COMPUTED_VALUE"""),0.7916666666678793)</f>
        <v>0.7916666667</v>
      </c>
      <c r="C779" s="208" t="str">
        <f>IFERROR(__xludf.DUMMYFUNCTION("""COMPUTED_VALUE"""),"Whatsapp")</f>
        <v>Whatsapp</v>
      </c>
      <c r="D779" s="208" t="str">
        <f>IFERROR(__xludf.DUMMYFUNCTION("""COMPUTED_VALUE"""),"Promotional")</f>
        <v>Promotional</v>
      </c>
      <c r="E779" s="208" t="str">
        <f>IFERROR(__xludf.DUMMYFUNCTION("""COMPUTED_VALUE"""),"BBW")</f>
        <v>BBW</v>
      </c>
      <c r="F779" s="208" t="str">
        <f>IFERROR(__xludf.DUMMYFUNCTION("""COMPUTED_VALUE"""),"BC Tier Discount - Body Care")</f>
        <v>BC Tier Discount - Body Care</v>
      </c>
      <c r="G779" s="208" t="str">
        <f>IFERROR(__xludf.DUMMYFUNCTION("""COMPUTED_VALUE"""),"bbw_wa_bc_tier_discount_29may_aov_offline")</f>
        <v>bbw_wa_bc_tier_discount_29may_aov_offline</v>
      </c>
      <c r="H779" s="232" t="str">
        <f>IFERROR(__xludf.DUMMYFUNCTION("""COMPUTED_VALUE"""),"BodyCare_AOV_1000_OFF")</f>
        <v>BodyCare_AOV_1000_OFF</v>
      </c>
      <c r="I779" s="233" t="str">
        <f>IFERROR(__xludf.DUMMYFUNCTION("""COMPUTED_VALUE"""),"Offline customers who have purchased from L2: BodyCare at least 1 time with aggregation: average Order Net Value: ₹999 in the last 180 days")</f>
        <v>Offline customers who have purchased from L2: BodyCare at least 1 time with aggregation: average Order Net Value: ₹999 in the last 180 days</v>
      </c>
      <c r="J779" s="275">
        <f>IFERROR(__xludf.DUMMYFUNCTION("""COMPUTED_VALUE"""),5964.0)</f>
        <v>5964</v>
      </c>
      <c r="K779" s="275">
        <f>IFERROR(__xludf.DUMMYFUNCTION("""COMPUTED_VALUE"""),1418.0)</f>
        <v>1418</v>
      </c>
      <c r="L779" s="276">
        <f>IFERROR(__xludf.DUMMYFUNCTION("""COMPUTED_VALUE"""),0.2378)</f>
        <v>0.2378</v>
      </c>
      <c r="M779" s="275">
        <f>IFERROR(__xludf.DUMMYFUNCTION("""COMPUTED_VALUE"""),607.0)</f>
        <v>607</v>
      </c>
      <c r="N779" s="276">
        <f>IFERROR(__xludf.DUMMYFUNCTION("""COMPUTED_VALUE"""),0.4281)</f>
        <v>0.4281</v>
      </c>
      <c r="O779" s="208">
        <f>IFERROR(__xludf.DUMMYFUNCTION("""COMPUTED_VALUE"""),14.0)</f>
        <v>14</v>
      </c>
      <c r="P779" s="208">
        <f>IFERROR(__xludf.DUMMYFUNCTION("""COMPUTED_VALUE"""),14.0)</f>
        <v>14</v>
      </c>
      <c r="Q779" s="276">
        <f>IFERROR(__xludf.DUMMYFUNCTION("""COMPUTED_VALUE"""),0.0099)</f>
        <v>0.0099</v>
      </c>
      <c r="R779" s="276">
        <f>IFERROR(__xludf.DUMMYFUNCTION("""COMPUTED_VALUE"""),0.0231)</f>
        <v>0.0231</v>
      </c>
      <c r="S779" s="208">
        <f>IFERROR(__xludf.DUMMYFUNCTION("""COMPUTED_VALUE"""),0.0)</f>
        <v>0</v>
      </c>
      <c r="T779" s="208">
        <f>IFERROR(__xludf.DUMMYFUNCTION("""COMPUTED_VALUE"""),0.0)</f>
        <v>0</v>
      </c>
      <c r="U779" s="275">
        <f>IFERROR(__xludf.DUMMYFUNCTION("""COMPUTED_VALUE"""),0.0)</f>
        <v>0</v>
      </c>
      <c r="V779" s="234" t="str">
        <f>IFERROR(__xludf.DUMMYFUNCTION("""COMPUTED_VALUE"""),"offline")</f>
        <v>offline</v>
      </c>
      <c r="W779" s="232" t="str">
        <f>IFERROR(__xludf.DUMMYFUNCTION("""COMPUTED_VALUE"""),"carousel")</f>
        <v>carousel</v>
      </c>
      <c r="X779" s="232" t="str">
        <f>IFERROR(__xludf.DUMMYFUNCTION("""COMPUTED_VALUE"""),"Cat Buyer - Body Care + Cart Value")</f>
        <v>Cat Buyer - Body Care + Cart Value</v>
      </c>
      <c r="Y779" s="232" t="str">
        <f>IFERROR(__xludf.DUMMYFUNCTION("""COMPUTED_VALUE"""),"29-31 May")</f>
        <v>29-31 May</v>
      </c>
      <c r="Z779" s="232" t="str">
        <f>IFERROR(__xludf.DUMMYFUNCTION("""COMPUTED_VALUE"""),"6a16d91648fc80ba2aa03618")</f>
        <v>6a16d91648fc80ba2aa03618</v>
      </c>
      <c r="AA779" s="277">
        <f>IFERROR(__xludf.DUMMYFUNCTION("""COMPUTED_VALUE"""),3.0)</f>
        <v>3</v>
      </c>
      <c r="AB779" s="277"/>
      <c r="AC779" s="277">
        <f>IFERROR(__xludf.DUMMYFUNCTION("""COMPUTED_VALUE"""),3.0)</f>
        <v>3</v>
      </c>
      <c r="AD779" s="277">
        <f>IFERROR(__xludf.DUMMYFUNCTION("""COMPUTED_VALUE"""),5597.0)</f>
        <v>5597</v>
      </c>
      <c r="AE779" s="277"/>
      <c r="AF779" s="277">
        <f>IFERROR(__xludf.DUMMYFUNCTION("""COMPUTED_VALUE"""),5597.0)</f>
        <v>5597</v>
      </c>
      <c r="AG779" s="208"/>
      <c r="AH779" s="208"/>
      <c r="AI779" s="208"/>
      <c r="AJ779" s="208"/>
      <c r="AK779" s="208"/>
    </row>
    <row r="780" hidden="1">
      <c r="A780" s="288">
        <f>IFERROR(__xludf.DUMMYFUNCTION("""COMPUTED_VALUE"""),46171.0)</f>
        <v>46171</v>
      </c>
      <c r="B780" s="274">
        <f>IFERROR(__xludf.DUMMYFUNCTION("""COMPUTED_VALUE"""),0.7916666666678793)</f>
        <v>0.7916666667</v>
      </c>
      <c r="C780" s="208" t="str">
        <f>IFERROR(__xludf.DUMMYFUNCTION("""COMPUTED_VALUE"""),"Whatsapp")</f>
        <v>Whatsapp</v>
      </c>
      <c r="D780" s="208" t="str">
        <f>IFERROR(__xludf.DUMMYFUNCTION("""COMPUTED_VALUE"""),"Promotional")</f>
        <v>Promotional</v>
      </c>
      <c r="E780" s="208" t="str">
        <f>IFERROR(__xludf.DUMMYFUNCTION("""COMPUTED_VALUE"""),"BBW")</f>
        <v>BBW</v>
      </c>
      <c r="F780" s="208" t="str">
        <f>IFERROR(__xludf.DUMMYFUNCTION("""COMPUTED_VALUE"""),"BC Tier Discount - Body Care")</f>
        <v>BC Tier Discount - Body Care</v>
      </c>
      <c r="G780" s="208" t="str">
        <f>IFERROR(__xludf.DUMMYFUNCTION("""COMPUTED_VALUE"""),"bbw_wa_bc_tier_discount_29may_event_offline")</f>
        <v>bbw_wa_bc_tier_discount_29may_event_offline</v>
      </c>
      <c r="H780" s="232" t="str">
        <f>IFERROR(__xludf.DUMMYFUNCTION("""COMPUTED_VALUE"""),"BC_EventBuyers_OFF")</f>
        <v>BC_EventBuyers_OFF</v>
      </c>
      <c r="I780" s="233" t="str">
        <f>IFERROR(__xludf.DUMMYFUNCTION("""COMPUTED_VALUE"""),"Offline customers who have purchased at least 1 time from L2: BodyCare in between Oct 2 - Oct 5, 2025; Oct 16 - Oct 27, 2025; Jan 09- Jan 18, 2026; Feb 26 - Mar 3, 2026; Mar 27 - Mar 29, 2026")</f>
        <v>Offline customers who have purchased at least 1 time from L2: BodyCare in between Oct 2 - Oct 5, 2025; Oct 16 - Oct 27, 2025; Jan 09- Jan 18, 2026; Feb 26 - Mar 3, 2026; Mar 27 - Mar 29, 2026</v>
      </c>
      <c r="J780" s="275">
        <f>IFERROR(__xludf.DUMMYFUNCTION("""COMPUTED_VALUE"""),12447.0)</f>
        <v>12447</v>
      </c>
      <c r="K780" s="275">
        <f>IFERROR(__xludf.DUMMYFUNCTION("""COMPUTED_VALUE"""),1642.0)</f>
        <v>1642</v>
      </c>
      <c r="L780" s="276">
        <f>IFERROR(__xludf.DUMMYFUNCTION("""COMPUTED_VALUE"""),0.132)</f>
        <v>0.132</v>
      </c>
      <c r="M780" s="275">
        <f>IFERROR(__xludf.DUMMYFUNCTION("""COMPUTED_VALUE"""),654.0)</f>
        <v>654</v>
      </c>
      <c r="N780" s="276">
        <f>IFERROR(__xludf.DUMMYFUNCTION("""COMPUTED_VALUE"""),0.3983)</f>
        <v>0.3983</v>
      </c>
      <c r="O780" s="208">
        <f>IFERROR(__xludf.DUMMYFUNCTION("""COMPUTED_VALUE"""),15.0)</f>
        <v>15</v>
      </c>
      <c r="P780" s="208">
        <f>IFERROR(__xludf.DUMMYFUNCTION("""COMPUTED_VALUE"""),15.0)</f>
        <v>15</v>
      </c>
      <c r="Q780" s="276">
        <f>IFERROR(__xludf.DUMMYFUNCTION("""COMPUTED_VALUE"""),0.0091)</f>
        <v>0.0091</v>
      </c>
      <c r="R780" s="276">
        <f>IFERROR(__xludf.DUMMYFUNCTION("""COMPUTED_VALUE"""),0.0229)</f>
        <v>0.0229</v>
      </c>
      <c r="S780" s="208">
        <f>IFERROR(__xludf.DUMMYFUNCTION("""COMPUTED_VALUE"""),0.0)</f>
        <v>0</v>
      </c>
      <c r="T780" s="208">
        <f>IFERROR(__xludf.DUMMYFUNCTION("""COMPUTED_VALUE"""),2.0)</f>
        <v>2</v>
      </c>
      <c r="U780" s="275">
        <f>IFERROR(__xludf.DUMMYFUNCTION("""COMPUTED_VALUE"""),0.0)</f>
        <v>0</v>
      </c>
      <c r="V780" s="234" t="str">
        <f>IFERROR(__xludf.DUMMYFUNCTION("""COMPUTED_VALUE"""),"offline")</f>
        <v>offline</v>
      </c>
      <c r="W780" s="232" t="str">
        <f>IFERROR(__xludf.DUMMYFUNCTION("""COMPUTED_VALUE"""),"carousel")</f>
        <v>carousel</v>
      </c>
      <c r="X780" s="232" t="str">
        <f>IFERROR(__xludf.DUMMYFUNCTION("""COMPUTED_VALUE"""),"Event Buyers")</f>
        <v>Event Buyers</v>
      </c>
      <c r="Y780" s="232" t="str">
        <f>IFERROR(__xludf.DUMMYFUNCTION("""COMPUTED_VALUE"""),"29-31 May")</f>
        <v>29-31 May</v>
      </c>
      <c r="Z780" s="232" t="str">
        <f>IFERROR(__xludf.DUMMYFUNCTION("""COMPUTED_VALUE"""),"6a16d9b430856fef15f5bc62")</f>
        <v>6a16d9b430856fef15f5bc62</v>
      </c>
      <c r="AA780" s="277">
        <f>IFERROR(__xludf.DUMMYFUNCTION("""COMPUTED_VALUE"""),8.0)</f>
        <v>8</v>
      </c>
      <c r="AB780" s="277"/>
      <c r="AC780" s="277">
        <f>IFERROR(__xludf.DUMMYFUNCTION("""COMPUTED_VALUE"""),8.0)</f>
        <v>8</v>
      </c>
      <c r="AD780" s="277">
        <f>IFERROR(__xludf.DUMMYFUNCTION("""COMPUTED_VALUE"""),39072.0)</f>
        <v>39072</v>
      </c>
      <c r="AE780" s="277"/>
      <c r="AF780" s="277">
        <f>IFERROR(__xludf.DUMMYFUNCTION("""COMPUTED_VALUE"""),39072.0)</f>
        <v>39072</v>
      </c>
      <c r="AG780" s="208"/>
      <c r="AH780" s="208"/>
      <c r="AI780" s="208"/>
      <c r="AJ780" s="208"/>
      <c r="AK780" s="208"/>
    </row>
    <row r="781" hidden="1">
      <c r="A781" s="288">
        <f>IFERROR(__xludf.DUMMYFUNCTION("""COMPUTED_VALUE"""),46171.0)</f>
        <v>46171</v>
      </c>
      <c r="B781" s="274">
        <f>IFERROR(__xludf.DUMMYFUNCTION("""COMPUTED_VALUE"""),0.7916666666678793)</f>
        <v>0.7916666667</v>
      </c>
      <c r="C781" s="208" t="str">
        <f>IFERROR(__xludf.DUMMYFUNCTION("""COMPUTED_VALUE"""),"Whatsapp")</f>
        <v>Whatsapp</v>
      </c>
      <c r="D781" s="208" t="str">
        <f>IFERROR(__xludf.DUMMYFUNCTION("""COMPUTED_VALUE"""),"Promotional")</f>
        <v>Promotional</v>
      </c>
      <c r="E781" s="208" t="str">
        <f>IFERROR(__xludf.DUMMYFUNCTION("""COMPUTED_VALUE"""),"BBW")</f>
        <v>BBW</v>
      </c>
      <c r="F781" s="208" t="str">
        <f>IFERROR(__xludf.DUMMYFUNCTION("""COMPUTED_VALUE"""),"BC Tier Discount - Body Care")</f>
        <v>BC Tier Discount - Body Care</v>
      </c>
      <c r="G781" s="208" t="str">
        <f>IFERROR(__xludf.DUMMYFUNCTION("""COMPUTED_VALUE"""),"bbw_wa_bc_tier_discount_29may_dormant_offline")</f>
        <v>bbw_wa_bc_tier_discount_29may_dormant_offline</v>
      </c>
      <c r="H781" s="232" t="str">
        <f>IFERROR(__xludf.DUMMYFUNCTION("""COMPUTED_VALUE"""),"BC_Dormant_1Y_OFF")</f>
        <v>BC_Dormant_1Y_OFF</v>
      </c>
      <c r="I781" s="233" t="str">
        <f>IFERROR(__xludf.DUMMYFUNCTION("""COMPUTED_VALUE"""),"Offline customers who have purchased atleast 1 times from L2: BodyCare in between the last 90-365 Days")</f>
        <v>Offline customers who have purchased atleast 1 times from L2: BodyCare in between the last 90-365 Days</v>
      </c>
      <c r="J781" s="275">
        <f>IFERROR(__xludf.DUMMYFUNCTION("""COMPUTED_VALUE"""),53796.0)</f>
        <v>53796</v>
      </c>
      <c r="K781" s="275">
        <f>IFERROR(__xludf.DUMMYFUNCTION("""COMPUTED_VALUE"""),9147.0)</f>
        <v>9147</v>
      </c>
      <c r="L781" s="276">
        <f>IFERROR(__xludf.DUMMYFUNCTION("""COMPUTED_VALUE"""),0.17)</f>
        <v>0.17</v>
      </c>
      <c r="M781" s="275">
        <f>IFERROR(__xludf.DUMMYFUNCTION("""COMPUTED_VALUE"""),3307.0)</f>
        <v>3307</v>
      </c>
      <c r="N781" s="276">
        <f>IFERROR(__xludf.DUMMYFUNCTION("""COMPUTED_VALUE"""),0.3615)</f>
        <v>0.3615</v>
      </c>
      <c r="O781" s="208">
        <f>IFERROR(__xludf.DUMMYFUNCTION("""COMPUTED_VALUE"""),87.0)</f>
        <v>87</v>
      </c>
      <c r="P781" s="208">
        <f>IFERROR(__xludf.DUMMYFUNCTION("""COMPUTED_VALUE"""),84.0)</f>
        <v>84</v>
      </c>
      <c r="Q781" s="276">
        <f>IFERROR(__xludf.DUMMYFUNCTION("""COMPUTED_VALUE"""),0.0092)</f>
        <v>0.0092</v>
      </c>
      <c r="R781" s="276">
        <f>IFERROR(__xludf.DUMMYFUNCTION("""COMPUTED_VALUE"""),0.0254)</f>
        <v>0.0254</v>
      </c>
      <c r="S781" s="208">
        <f>IFERROR(__xludf.DUMMYFUNCTION("""COMPUTED_VALUE"""),0.0)</f>
        <v>0</v>
      </c>
      <c r="T781" s="208">
        <f>IFERROR(__xludf.DUMMYFUNCTION("""COMPUTED_VALUE"""),1.0)</f>
        <v>1</v>
      </c>
      <c r="U781" s="275">
        <f>IFERROR(__xludf.DUMMYFUNCTION("""COMPUTED_VALUE"""),0.0)</f>
        <v>0</v>
      </c>
      <c r="V781" s="234" t="str">
        <f>IFERROR(__xludf.DUMMYFUNCTION("""COMPUTED_VALUE"""),"offline")</f>
        <v>offline</v>
      </c>
      <c r="W781" s="232" t="str">
        <f>IFERROR(__xludf.DUMMYFUNCTION("""COMPUTED_VALUE"""),"carousel")</f>
        <v>carousel</v>
      </c>
      <c r="X781" s="232" t="str">
        <f>IFERROR(__xludf.DUMMYFUNCTION("""COMPUTED_VALUE"""),"Dormant - Body Care")</f>
        <v>Dormant - Body Care</v>
      </c>
      <c r="Y781" s="232" t="str">
        <f>IFERROR(__xludf.DUMMYFUNCTION("""COMPUTED_VALUE"""),"29-31 May")</f>
        <v>29-31 May</v>
      </c>
      <c r="Z781" s="232" t="str">
        <f>IFERROR(__xludf.DUMMYFUNCTION("""COMPUTED_VALUE"""),"6a16dc9d953002ee57797ee1")</f>
        <v>6a16dc9d953002ee57797ee1</v>
      </c>
      <c r="AA781" s="277">
        <f>IFERROR(__xludf.DUMMYFUNCTION("""COMPUTED_VALUE"""),43.0)</f>
        <v>43</v>
      </c>
      <c r="AB781" s="277"/>
      <c r="AC781" s="277">
        <f>IFERROR(__xludf.DUMMYFUNCTION("""COMPUTED_VALUE"""),43.0)</f>
        <v>43</v>
      </c>
      <c r="AD781" s="277">
        <f>IFERROR(__xludf.DUMMYFUNCTION("""COMPUTED_VALUE"""),142617.0)</f>
        <v>142617</v>
      </c>
      <c r="AE781" s="277"/>
      <c r="AF781" s="277">
        <f>IFERROR(__xludf.DUMMYFUNCTION("""COMPUTED_VALUE"""),142617.0)</f>
        <v>142617</v>
      </c>
      <c r="AG781" s="208"/>
      <c r="AH781" s="208"/>
      <c r="AI781" s="208"/>
      <c r="AJ781" s="208"/>
      <c r="AK781" s="208"/>
    </row>
    <row r="782" hidden="1">
      <c r="A782" s="288">
        <f>IFERROR(__xludf.DUMMYFUNCTION("""COMPUTED_VALUE"""),46171.0)</f>
        <v>46171</v>
      </c>
      <c r="B782" s="274">
        <f>IFERROR(__xludf.DUMMYFUNCTION("""COMPUTED_VALUE"""),0.7916666666678793)</f>
        <v>0.7916666667</v>
      </c>
      <c r="C782" s="208" t="str">
        <f>IFERROR(__xludf.DUMMYFUNCTION("""COMPUTED_VALUE"""),"Whatsapp")</f>
        <v>Whatsapp</v>
      </c>
      <c r="D782" s="208" t="str">
        <f>IFERROR(__xludf.DUMMYFUNCTION("""COMPUTED_VALUE"""),"Promotional")</f>
        <v>Promotional</v>
      </c>
      <c r="E782" s="208" t="str">
        <f>IFERROR(__xludf.DUMMYFUNCTION("""COMPUTED_VALUE"""),"BBW")</f>
        <v>BBW</v>
      </c>
      <c r="F782" s="208" t="str">
        <f>IFERROR(__xludf.DUMMYFUNCTION("""COMPUTED_VALUE"""),"BC Tier Discount - Body Care")</f>
        <v>BC Tier Discount - Body Care</v>
      </c>
      <c r="G782" s="208" t="str">
        <f>IFERROR(__xludf.DUMMYFUNCTION("""COMPUTED_VALUE"""),"bbw_wa_bc_tier_discount_29may_disc_buyers_offline")</f>
        <v>bbw_wa_bc_tier_discount_29may_disc_buyers_offline</v>
      </c>
      <c r="H782" s="232" t="str">
        <f>IFERROR(__xludf.DUMMYFUNCTION("""COMPUTED_VALUE"""),"BC_Disc_Buyers_OFF")</f>
        <v>BC_Disc_Buyers_OFF</v>
      </c>
      <c r="I782" s="233" t="str">
        <f>IFERROR(__xludf.DUMMYFUNCTION("""COMPUTED_VALUE"""),"Offline customers who have purchased at least 1 time from L2: BodyCare with discount exists in the last 120 days excluding last 30 day disc buyers")</f>
        <v>Offline customers who have purchased at least 1 time from L2: BodyCare with discount exists in the last 120 days excluding last 30 day disc buyers</v>
      </c>
      <c r="J782" s="275">
        <f>IFERROR(__xludf.DUMMYFUNCTION("""COMPUTED_VALUE"""),23202.0)</f>
        <v>23202</v>
      </c>
      <c r="K782" s="275">
        <f>IFERROR(__xludf.DUMMYFUNCTION("""COMPUTED_VALUE"""),3655.0)</f>
        <v>3655</v>
      </c>
      <c r="L782" s="276">
        <f>IFERROR(__xludf.DUMMYFUNCTION("""COMPUTED_VALUE"""),0.1575)</f>
        <v>0.1575</v>
      </c>
      <c r="M782" s="275">
        <f>IFERROR(__xludf.DUMMYFUNCTION("""COMPUTED_VALUE"""),1504.0)</f>
        <v>1504</v>
      </c>
      <c r="N782" s="276">
        <f>IFERROR(__xludf.DUMMYFUNCTION("""COMPUTED_VALUE"""),0.4115)</f>
        <v>0.4115</v>
      </c>
      <c r="O782" s="208">
        <f>IFERROR(__xludf.DUMMYFUNCTION("""COMPUTED_VALUE"""),66.0)</f>
        <v>66</v>
      </c>
      <c r="P782" s="208">
        <f>IFERROR(__xludf.DUMMYFUNCTION("""COMPUTED_VALUE"""),63.0)</f>
        <v>63</v>
      </c>
      <c r="Q782" s="276">
        <f>IFERROR(__xludf.DUMMYFUNCTION("""COMPUTED_VALUE"""),0.0172)</f>
        <v>0.0172</v>
      </c>
      <c r="R782" s="276">
        <f>IFERROR(__xludf.DUMMYFUNCTION("""COMPUTED_VALUE"""),0.0419)</f>
        <v>0.0419</v>
      </c>
      <c r="S782" s="208">
        <f>IFERROR(__xludf.DUMMYFUNCTION("""COMPUTED_VALUE"""),1.0)</f>
        <v>1</v>
      </c>
      <c r="T782" s="208">
        <f>IFERROR(__xludf.DUMMYFUNCTION("""COMPUTED_VALUE"""),3.0)</f>
        <v>3</v>
      </c>
      <c r="U782" s="275">
        <f>IFERROR(__xludf.DUMMYFUNCTION("""COMPUTED_VALUE"""),8590.0)</f>
        <v>8590</v>
      </c>
      <c r="V782" s="234" t="str">
        <f>IFERROR(__xludf.DUMMYFUNCTION("""COMPUTED_VALUE"""),"offline")</f>
        <v>offline</v>
      </c>
      <c r="W782" s="232" t="str">
        <f>IFERROR(__xludf.DUMMYFUNCTION("""COMPUTED_VALUE"""),"carousel")</f>
        <v>carousel</v>
      </c>
      <c r="X782" s="232" t="str">
        <f>IFERROR(__xludf.DUMMYFUNCTION("""COMPUTED_VALUE"""),"Discount Buyers")</f>
        <v>Discount Buyers</v>
      </c>
      <c r="Y782" s="232" t="str">
        <f>IFERROR(__xludf.DUMMYFUNCTION("""COMPUTED_VALUE"""),"29-31 May")</f>
        <v>29-31 May</v>
      </c>
      <c r="Z782" s="232" t="str">
        <f>IFERROR(__xludf.DUMMYFUNCTION("""COMPUTED_VALUE"""),"6a16dcc4230c072e6d6ce06b")</f>
        <v>6a16dcc4230c072e6d6ce06b</v>
      </c>
      <c r="AA782" s="277">
        <f>IFERROR(__xludf.DUMMYFUNCTION("""COMPUTED_VALUE"""),16.0)</f>
        <v>16</v>
      </c>
      <c r="AB782" s="277"/>
      <c r="AC782" s="277">
        <f>IFERROR(__xludf.DUMMYFUNCTION("""COMPUTED_VALUE"""),16.0)</f>
        <v>16</v>
      </c>
      <c r="AD782" s="277">
        <f>IFERROR(__xludf.DUMMYFUNCTION("""COMPUTED_VALUE"""),47775.0)</f>
        <v>47775</v>
      </c>
      <c r="AE782" s="277"/>
      <c r="AF782" s="277">
        <f>IFERROR(__xludf.DUMMYFUNCTION("""COMPUTED_VALUE"""),47775.0)</f>
        <v>47775</v>
      </c>
      <c r="AG782" s="208"/>
      <c r="AH782" s="208"/>
      <c r="AI782" s="208"/>
      <c r="AJ782" s="208"/>
      <c r="AK782" s="208"/>
    </row>
    <row r="783" hidden="1">
      <c r="A783" s="288">
        <f>IFERROR(__xludf.DUMMYFUNCTION("""COMPUTED_VALUE"""),46172.0)</f>
        <v>46172</v>
      </c>
      <c r="B783" s="274">
        <f>IFERROR(__xludf.DUMMYFUNCTION("""COMPUTED_VALUE"""),0.5)</f>
        <v>0.5</v>
      </c>
      <c r="C783" s="208" t="str">
        <f>IFERROR(__xludf.DUMMYFUNCTION("""COMPUTED_VALUE"""),"Whatsapp")</f>
        <v>Whatsapp</v>
      </c>
      <c r="D783" s="208" t="str">
        <f>IFERROR(__xludf.DUMMYFUNCTION("""COMPUTED_VALUE"""),"Promotional")</f>
        <v>Promotional</v>
      </c>
      <c r="E783" s="208" t="str">
        <f>IFERROR(__xludf.DUMMYFUNCTION("""COMPUTED_VALUE"""),"BBW")</f>
        <v>BBW</v>
      </c>
      <c r="F783" s="208" t="str">
        <f>IFERROR(__xludf.DUMMYFUNCTION("""COMPUTED_VALUE"""),"BC Tier Discount - Body Care")</f>
        <v>BC Tier Discount - Body Care</v>
      </c>
      <c r="G783" s="208" t="str">
        <f>IFERROR(__xludf.DUMMYFUNCTION("""COMPUTED_VALUE"""),"bbw_wa_bc_tier_discount_29may_lastreminder_atc_view_online")</f>
        <v>bbw_wa_bc_tier_discount_29may_lastreminder_atc_view_online</v>
      </c>
      <c r="H783" s="232" t="str">
        <f>IFERROR(__xludf.DUMMYFUNCTION("""COMPUTED_VALUE"""),"ATC_View_NoPr_BodyCare_On")</f>
        <v>ATC_View_NoPr_BodyCare_On</v>
      </c>
      <c r="I783" s="233" t="str">
        <f>IFERROR(__xludf.DUMMYFUNCTION("""COMPUTED_VALUE"""),"Customers who have added to cart but not purchased from L2: BodyCare at least 1 time in the last 60 days OR Customers who have viewed item but not purchased from L2: BodyCare at least 1 time in the last 30 days")</f>
        <v>Customers who have added to cart but not purchased from L2: BodyCare at least 1 time in the last 60 days OR Customers who have viewed item but not purchased from L2: BodyCare at least 1 time in the last 30 days</v>
      </c>
      <c r="J783" s="275">
        <f>IFERROR(__xludf.DUMMYFUNCTION("""COMPUTED_VALUE"""),5839.0)</f>
        <v>5839</v>
      </c>
      <c r="K783" s="275">
        <f>IFERROR(__xludf.DUMMYFUNCTION("""COMPUTED_VALUE"""),2385.0)</f>
        <v>2385</v>
      </c>
      <c r="L783" s="276">
        <f>IFERROR(__xludf.DUMMYFUNCTION("""COMPUTED_VALUE"""),0.4085)</f>
        <v>0.4085</v>
      </c>
      <c r="M783" s="275">
        <f>IFERROR(__xludf.DUMMYFUNCTION("""COMPUTED_VALUE"""),1027.0)</f>
        <v>1027</v>
      </c>
      <c r="N783" s="276">
        <f>IFERROR(__xludf.DUMMYFUNCTION("""COMPUTED_VALUE"""),0.4306)</f>
        <v>0.4306</v>
      </c>
      <c r="O783" s="208">
        <f>IFERROR(__xludf.DUMMYFUNCTION("""COMPUTED_VALUE"""),88.0)</f>
        <v>88</v>
      </c>
      <c r="P783" s="208">
        <f>IFERROR(__xludf.DUMMYFUNCTION("""COMPUTED_VALUE"""),83.0)</f>
        <v>83</v>
      </c>
      <c r="Q783" s="276">
        <f>IFERROR(__xludf.DUMMYFUNCTION("""COMPUTED_VALUE"""),0.0348)</f>
        <v>0.0348</v>
      </c>
      <c r="R783" s="276">
        <f>IFERROR(__xludf.DUMMYFUNCTION("""COMPUTED_VALUE"""),0.0808)</f>
        <v>0.0808</v>
      </c>
      <c r="S783" s="208">
        <f>IFERROR(__xludf.DUMMYFUNCTION("""COMPUTED_VALUE"""),11.0)</f>
        <v>11</v>
      </c>
      <c r="T783" s="208">
        <f>IFERROR(__xludf.DUMMYFUNCTION("""COMPUTED_VALUE"""),42.0)</f>
        <v>42</v>
      </c>
      <c r="U783" s="275">
        <f>IFERROR(__xludf.DUMMYFUNCTION("""COMPUTED_VALUE"""),32127.0)</f>
        <v>32127</v>
      </c>
      <c r="V783" s="234" t="str">
        <f>IFERROR(__xludf.DUMMYFUNCTION("""COMPUTED_VALUE"""),"online")</f>
        <v>online</v>
      </c>
      <c r="W783" s="232" t="str">
        <f>IFERROR(__xludf.DUMMYFUNCTION("""COMPUTED_VALUE"""),"simple")</f>
        <v>simple</v>
      </c>
      <c r="X783" s="232" t="str">
        <f>IFERROR(__xludf.DUMMYFUNCTION("""COMPUTED_VALUE"""),"Add to Cart/View Item")</f>
        <v>Add to Cart/View Item</v>
      </c>
      <c r="Y783" s="232" t="str">
        <f>IFERROR(__xludf.DUMMYFUNCTION("""COMPUTED_VALUE"""),"30-1 June")</f>
        <v>30-1 June</v>
      </c>
      <c r="Z783" s="232" t="str">
        <f>IFERROR(__xludf.DUMMYFUNCTION("""COMPUTED_VALUE"""),"6a16dd59230c072e6d6ce07c")</f>
        <v>6a16dd59230c072e6d6ce07c</v>
      </c>
      <c r="AA783" s="277">
        <f>IFERROR(__xludf.DUMMYFUNCTION("""COMPUTED_VALUE"""),11.0)</f>
        <v>11</v>
      </c>
      <c r="AB783" s="277">
        <f>IFERROR(__xludf.DUMMYFUNCTION("""COMPUTED_VALUE"""),11.0)</f>
        <v>11</v>
      </c>
      <c r="AC783" s="277"/>
      <c r="AD783" s="277">
        <f>IFERROR(__xludf.DUMMYFUNCTION("""COMPUTED_VALUE"""),65290.0)</f>
        <v>65290</v>
      </c>
      <c r="AE783" s="277">
        <f>IFERROR(__xludf.DUMMYFUNCTION("""COMPUTED_VALUE"""),65290.0)</f>
        <v>65290</v>
      </c>
      <c r="AF783" s="277"/>
      <c r="AG783" s="208"/>
      <c r="AH783" s="208"/>
      <c r="AI783" s="208"/>
      <c r="AJ783" s="208"/>
      <c r="AK783" s="208"/>
    </row>
    <row r="784" hidden="1">
      <c r="A784" s="288">
        <f>IFERROR(__xludf.DUMMYFUNCTION("""COMPUTED_VALUE"""),46172.0)</f>
        <v>46172</v>
      </c>
      <c r="B784" s="274">
        <f>IFERROR(__xludf.DUMMYFUNCTION("""COMPUTED_VALUE"""),0.5)</f>
        <v>0.5</v>
      </c>
      <c r="C784" s="208" t="str">
        <f>IFERROR(__xludf.DUMMYFUNCTION("""COMPUTED_VALUE"""),"Whatsapp")</f>
        <v>Whatsapp</v>
      </c>
      <c r="D784" s="208" t="str">
        <f>IFERROR(__xludf.DUMMYFUNCTION("""COMPUTED_VALUE"""),"Promotional")</f>
        <v>Promotional</v>
      </c>
      <c r="E784" s="208" t="str">
        <f>IFERROR(__xludf.DUMMYFUNCTION("""COMPUTED_VALUE"""),"BBW")</f>
        <v>BBW</v>
      </c>
      <c r="F784" s="208" t="str">
        <f>IFERROR(__xludf.DUMMYFUNCTION("""COMPUTED_VALUE"""),"BC Tier Discount - Body Care")</f>
        <v>BC Tier Discount - Body Care</v>
      </c>
      <c r="G784" s="208" t="str">
        <f>IFERROR(__xludf.DUMMYFUNCTION("""COMPUTED_VALUE"""),"bbw_wa_bc_tier_discount_29may_lastreminder_event&amp;dormant_online")</f>
        <v>bbw_wa_bc_tier_discount_29may_lastreminder_event&amp;dormant_online</v>
      </c>
      <c r="H784" s="232" t="str">
        <f>IFERROR(__xludf.DUMMYFUNCTION("""COMPUTED_VALUE"""),"BC_EventBuyers+Dormant_ON")</f>
        <v>BC_EventBuyers+Dormant_ON</v>
      </c>
      <c r="I784" s="233" t="str">
        <f>IFERROR(__xludf.DUMMYFUNCTION("""COMPUTED_VALUE"""),"Online customers who have purchased at least 1 time from L2: BodyCare in between Oct 2 - Oct 5, 2025; Oct 16 - Oct 27, 2025; Jan 09- Jan 18, 2026; Feb 26 - Mar 3, 2026; Mar 27 - Mar 29, 2026 OR Online customers who have purchased atleast 1 time from L2: B"&amp;"odyCare in between the last 90-365 Days")</f>
        <v>Online customers who have purchased at least 1 time from L2: BodyCare in between Oct 2 - Oct 5, 2025; Oct 16 - Oct 27, 2025; Jan 09- Jan 18, 2026; Feb 26 - Mar 3, 2026; Mar 27 - Mar 29, 2026 OR Online customers who have purchased atleast 1 time from L2: BodyCare in between the last 90-365 Days</v>
      </c>
      <c r="J784" s="275">
        <f>IFERROR(__xludf.DUMMYFUNCTION("""COMPUTED_VALUE"""),34521.0)</f>
        <v>34521</v>
      </c>
      <c r="K784" s="275">
        <f>IFERROR(__xludf.DUMMYFUNCTION("""COMPUTED_VALUE"""),13592.0)</f>
        <v>13592</v>
      </c>
      <c r="L784" s="276">
        <f>IFERROR(__xludf.DUMMYFUNCTION("""COMPUTED_VALUE"""),0.3937)</f>
        <v>0.3937</v>
      </c>
      <c r="M784" s="275">
        <f>IFERROR(__xludf.DUMMYFUNCTION("""COMPUTED_VALUE"""),5106.0)</f>
        <v>5106</v>
      </c>
      <c r="N784" s="276">
        <f>IFERROR(__xludf.DUMMYFUNCTION("""COMPUTED_VALUE"""),0.3755)</f>
        <v>0.3755</v>
      </c>
      <c r="O784" s="208">
        <f>IFERROR(__xludf.DUMMYFUNCTION("""COMPUTED_VALUE"""),302.0)</f>
        <v>302</v>
      </c>
      <c r="P784" s="208">
        <f>IFERROR(__xludf.DUMMYFUNCTION("""COMPUTED_VALUE"""),280.0)</f>
        <v>280</v>
      </c>
      <c r="Q784" s="276">
        <f>IFERROR(__xludf.DUMMYFUNCTION("""COMPUTED_VALUE"""),0.0206)</f>
        <v>0.0206</v>
      </c>
      <c r="R784" s="276">
        <f>IFERROR(__xludf.DUMMYFUNCTION("""COMPUTED_VALUE"""),0.0549)</f>
        <v>0.0549</v>
      </c>
      <c r="S784" s="208">
        <f>IFERROR(__xludf.DUMMYFUNCTION("""COMPUTED_VALUE"""),1.0)</f>
        <v>1</v>
      </c>
      <c r="T784" s="208">
        <f>IFERROR(__xludf.DUMMYFUNCTION("""COMPUTED_VALUE"""),3.0)</f>
        <v>3</v>
      </c>
      <c r="U784" s="275">
        <f>IFERROR(__xludf.DUMMYFUNCTION("""COMPUTED_VALUE"""),2293.0)</f>
        <v>2293</v>
      </c>
      <c r="V784" s="234" t="str">
        <f>IFERROR(__xludf.DUMMYFUNCTION("""COMPUTED_VALUE"""),"online")</f>
        <v>online</v>
      </c>
      <c r="W784" s="232" t="str">
        <f>IFERROR(__xludf.DUMMYFUNCTION("""COMPUTED_VALUE"""),"simple")</f>
        <v>simple</v>
      </c>
      <c r="X784" s="232" t="str">
        <f>IFERROR(__xludf.DUMMYFUNCTION("""COMPUTED_VALUE"""),"Event Buyers")</f>
        <v>Event Buyers</v>
      </c>
      <c r="Y784" s="232" t="str">
        <f>IFERROR(__xludf.DUMMYFUNCTION("""COMPUTED_VALUE"""),"30-1 June")</f>
        <v>30-1 June</v>
      </c>
      <c r="Z784" s="232" t="str">
        <f>IFERROR(__xludf.DUMMYFUNCTION("""COMPUTED_VALUE"""),"6a16e1d5d5d75ab7380da145")</f>
        <v>6a16e1d5d5d75ab7380da145</v>
      </c>
      <c r="AA784" s="277">
        <f>IFERROR(__xludf.DUMMYFUNCTION("""COMPUTED_VALUE"""),32.0)</f>
        <v>32</v>
      </c>
      <c r="AB784" s="277">
        <f>IFERROR(__xludf.DUMMYFUNCTION("""COMPUTED_VALUE"""),32.0)</f>
        <v>32</v>
      </c>
      <c r="AC784" s="277"/>
      <c r="AD784" s="277">
        <f>IFERROR(__xludf.DUMMYFUNCTION("""COMPUTED_VALUE"""),108117.0)</f>
        <v>108117</v>
      </c>
      <c r="AE784" s="277">
        <f>IFERROR(__xludf.DUMMYFUNCTION("""COMPUTED_VALUE"""),108117.0)</f>
        <v>108117</v>
      </c>
      <c r="AF784" s="277"/>
      <c r="AG784" s="208"/>
      <c r="AH784" s="208"/>
      <c r="AI784" s="208"/>
      <c r="AJ784" s="208"/>
      <c r="AK784" s="208"/>
    </row>
    <row r="785" hidden="1">
      <c r="A785" s="288">
        <f>IFERROR(__xludf.DUMMYFUNCTION("""COMPUTED_VALUE"""),46172.0)</f>
        <v>46172</v>
      </c>
      <c r="B785" s="274">
        <f>IFERROR(__xludf.DUMMYFUNCTION("""COMPUTED_VALUE"""),0.5)</f>
        <v>0.5</v>
      </c>
      <c r="C785" s="208" t="str">
        <f>IFERROR(__xludf.DUMMYFUNCTION("""COMPUTED_VALUE"""),"Whatsapp")</f>
        <v>Whatsapp</v>
      </c>
      <c r="D785" s="208" t="str">
        <f>IFERROR(__xludf.DUMMYFUNCTION("""COMPUTED_VALUE"""),"Promotional")</f>
        <v>Promotional</v>
      </c>
      <c r="E785" s="208" t="str">
        <f>IFERROR(__xludf.DUMMYFUNCTION("""COMPUTED_VALUE"""),"BBW")</f>
        <v>BBW</v>
      </c>
      <c r="F785" s="208" t="str">
        <f>IFERROR(__xludf.DUMMYFUNCTION("""COMPUTED_VALUE"""),"BC Tier Discount - Body Care")</f>
        <v>BC Tier Discount - Body Care</v>
      </c>
      <c r="G785" s="208" t="str">
        <f>IFERROR(__xludf.DUMMYFUNCTION("""COMPUTED_VALUE"""),"bbw_wa_bc_tier_discount_29may_lastreminder_repeat_offline")</f>
        <v>bbw_wa_bc_tier_discount_29may_lastreminder_repeat_offline</v>
      </c>
      <c r="H785" s="232" t="str">
        <f>IFERROR(__xludf.DUMMYFUNCTION("""COMPUTED_VALUE"""),"BodyCare_Repeat_180D_OFF")</f>
        <v>BodyCare_Repeat_180D_OFF</v>
      </c>
      <c r="I785" s="233" t="str">
        <f>IFERROR(__xludf.DUMMYFUNCTION("""COMPUTED_VALUE"""),"Offline customers who have purchased L2: BodyCare at least 2 times in the last 180 days")</f>
        <v>Offline customers who have purchased L2: BodyCare at least 2 times in the last 180 days</v>
      </c>
      <c r="J785" s="275">
        <f>IFERROR(__xludf.DUMMYFUNCTION("""COMPUTED_VALUE"""),14126.0)</f>
        <v>14126</v>
      </c>
      <c r="K785" s="275">
        <f>IFERROR(__xludf.DUMMYFUNCTION("""COMPUTED_VALUE"""),4207.0)</f>
        <v>4207</v>
      </c>
      <c r="L785" s="276">
        <f>IFERROR(__xludf.DUMMYFUNCTION("""COMPUTED_VALUE"""),0.2977)</f>
        <v>0.2977</v>
      </c>
      <c r="M785" s="275">
        <f>IFERROR(__xludf.DUMMYFUNCTION("""COMPUTED_VALUE"""),1746.0)</f>
        <v>1746</v>
      </c>
      <c r="N785" s="276">
        <f>IFERROR(__xludf.DUMMYFUNCTION("""COMPUTED_VALUE"""),0.4152)</f>
        <v>0.4152</v>
      </c>
      <c r="O785" s="208">
        <f>IFERROR(__xludf.DUMMYFUNCTION("""COMPUTED_VALUE"""),114.0)</f>
        <v>114</v>
      </c>
      <c r="P785" s="208">
        <f>IFERROR(__xludf.DUMMYFUNCTION("""COMPUTED_VALUE"""),109.0)</f>
        <v>109</v>
      </c>
      <c r="Q785" s="276">
        <f>IFERROR(__xludf.DUMMYFUNCTION("""COMPUTED_VALUE"""),0.0259)</f>
        <v>0.0259</v>
      </c>
      <c r="R785" s="276">
        <f>IFERROR(__xludf.DUMMYFUNCTION("""COMPUTED_VALUE"""),0.0624)</f>
        <v>0.0624</v>
      </c>
      <c r="S785" s="208">
        <f>IFERROR(__xludf.DUMMYFUNCTION("""COMPUTED_VALUE"""),0.0)</f>
        <v>0</v>
      </c>
      <c r="T785" s="208">
        <f>IFERROR(__xludf.DUMMYFUNCTION("""COMPUTED_VALUE"""),1.0)</f>
        <v>1</v>
      </c>
      <c r="U785" s="275">
        <f>IFERROR(__xludf.DUMMYFUNCTION("""COMPUTED_VALUE"""),0.0)</f>
        <v>0</v>
      </c>
      <c r="V785" s="234" t="str">
        <f>IFERROR(__xludf.DUMMYFUNCTION("""COMPUTED_VALUE"""),"offline")</f>
        <v>offline</v>
      </c>
      <c r="W785" s="232" t="str">
        <f>IFERROR(__xludf.DUMMYFUNCTION("""COMPUTED_VALUE"""),"simple")</f>
        <v>simple</v>
      </c>
      <c r="X785" s="232" t="str">
        <f>IFERROR(__xludf.DUMMYFUNCTION("""COMPUTED_VALUE"""),"Repeat - Body Care")</f>
        <v>Repeat - Body Care</v>
      </c>
      <c r="Y785" s="232" t="str">
        <f>IFERROR(__xludf.DUMMYFUNCTION("""COMPUTED_VALUE"""),"30-1 June")</f>
        <v>30-1 June</v>
      </c>
      <c r="Z785" s="232" t="str">
        <f>IFERROR(__xludf.DUMMYFUNCTION("""COMPUTED_VALUE"""),"6a16e24c7824897b17f9763e")</f>
        <v>6a16e24c7824897b17f9763e</v>
      </c>
      <c r="AA785" s="277">
        <f>IFERROR(__xludf.DUMMYFUNCTION("""COMPUTED_VALUE"""),63.0)</f>
        <v>63</v>
      </c>
      <c r="AB785" s="277"/>
      <c r="AC785" s="277">
        <f>IFERROR(__xludf.DUMMYFUNCTION("""COMPUTED_VALUE"""),63.0)</f>
        <v>63</v>
      </c>
      <c r="AD785" s="277">
        <f>IFERROR(__xludf.DUMMYFUNCTION("""COMPUTED_VALUE"""),277748.0)</f>
        <v>277748</v>
      </c>
      <c r="AE785" s="277"/>
      <c r="AF785" s="277">
        <f>IFERROR(__xludf.DUMMYFUNCTION("""COMPUTED_VALUE"""),277748.0)</f>
        <v>277748</v>
      </c>
      <c r="AG785" s="208"/>
      <c r="AH785" s="208"/>
      <c r="AI785" s="208"/>
      <c r="AJ785" s="208"/>
      <c r="AK785" s="208"/>
    </row>
    <row r="786" hidden="1">
      <c r="A786" s="288">
        <f>IFERROR(__xludf.DUMMYFUNCTION("""COMPUTED_VALUE"""),46172.0)</f>
        <v>46172</v>
      </c>
      <c r="B786" s="274">
        <f>IFERROR(__xludf.DUMMYFUNCTION("""COMPUTED_VALUE"""),0.5)</f>
        <v>0.5</v>
      </c>
      <c r="C786" s="208" t="str">
        <f>IFERROR(__xludf.DUMMYFUNCTION("""COMPUTED_VALUE"""),"Whatsapp")</f>
        <v>Whatsapp</v>
      </c>
      <c r="D786" s="208" t="str">
        <f>IFERROR(__xludf.DUMMYFUNCTION("""COMPUTED_VALUE"""),"Promotional")</f>
        <v>Promotional</v>
      </c>
      <c r="E786" s="208" t="str">
        <f>IFERROR(__xludf.DUMMYFUNCTION("""COMPUTED_VALUE"""),"BBW")</f>
        <v>BBW</v>
      </c>
      <c r="F786" s="208" t="str">
        <f>IFERROR(__xludf.DUMMYFUNCTION("""COMPUTED_VALUE"""),"BC Tier Discount - Body Care")</f>
        <v>BC Tier Discount - Body Care</v>
      </c>
      <c r="G786" s="208" t="str">
        <f>IFERROR(__xludf.DUMMYFUNCTION("""COMPUTED_VALUE"""),"bbw_wa_bc_tier_discount_29may_lastreminder_aov_offline")</f>
        <v>bbw_wa_bc_tier_discount_29may_lastreminder_aov_offline</v>
      </c>
      <c r="H786" s="232" t="str">
        <f>IFERROR(__xludf.DUMMYFUNCTION("""COMPUTED_VALUE"""),"BodyCare_AOV_1000_OFF")</f>
        <v>BodyCare_AOV_1000_OFF</v>
      </c>
      <c r="I786" s="233" t="str">
        <f>IFERROR(__xludf.DUMMYFUNCTION("""COMPUTED_VALUE"""),"Offline customers who have purchased from L2: BodyCare at least 1 time with aggregation: average Order Net Value: ₹999 in the last 180 days")</f>
        <v>Offline customers who have purchased from L2: BodyCare at least 1 time with aggregation: average Order Net Value: ₹999 in the last 180 days</v>
      </c>
      <c r="J786" s="275">
        <f>IFERROR(__xludf.DUMMYFUNCTION("""COMPUTED_VALUE"""),6674.0)</f>
        <v>6674</v>
      </c>
      <c r="K786" s="275">
        <f>IFERROR(__xludf.DUMMYFUNCTION("""COMPUTED_VALUE"""),1272.0)</f>
        <v>1272</v>
      </c>
      <c r="L786" s="276">
        <f>IFERROR(__xludf.DUMMYFUNCTION("""COMPUTED_VALUE"""),0.1906)</f>
        <v>0.1906</v>
      </c>
      <c r="M786" s="275">
        <f>IFERROR(__xludf.DUMMYFUNCTION("""COMPUTED_VALUE"""),514.0)</f>
        <v>514</v>
      </c>
      <c r="N786" s="276">
        <f>IFERROR(__xludf.DUMMYFUNCTION("""COMPUTED_VALUE"""),0.4041)</f>
        <v>0.4041</v>
      </c>
      <c r="O786" s="208">
        <f>IFERROR(__xludf.DUMMYFUNCTION("""COMPUTED_VALUE"""),43.0)</f>
        <v>43</v>
      </c>
      <c r="P786" s="208">
        <f>IFERROR(__xludf.DUMMYFUNCTION("""COMPUTED_VALUE"""),40.0)</f>
        <v>40</v>
      </c>
      <c r="Q786" s="276">
        <f>IFERROR(__xludf.DUMMYFUNCTION("""COMPUTED_VALUE"""),0.0314)</f>
        <v>0.0314</v>
      </c>
      <c r="R786" s="276">
        <f>IFERROR(__xludf.DUMMYFUNCTION("""COMPUTED_VALUE"""),0.0778)</f>
        <v>0.0778</v>
      </c>
      <c r="S786" s="208">
        <f>IFERROR(__xludf.DUMMYFUNCTION("""COMPUTED_VALUE"""),0.0)</f>
        <v>0</v>
      </c>
      <c r="T786" s="208">
        <f>IFERROR(__xludf.DUMMYFUNCTION("""COMPUTED_VALUE"""),0.0)</f>
        <v>0</v>
      </c>
      <c r="U786" s="275">
        <f>IFERROR(__xludf.DUMMYFUNCTION("""COMPUTED_VALUE"""),0.0)</f>
        <v>0</v>
      </c>
      <c r="V786" s="234" t="str">
        <f>IFERROR(__xludf.DUMMYFUNCTION("""COMPUTED_VALUE"""),"offline")</f>
        <v>offline</v>
      </c>
      <c r="W786" s="232" t="str">
        <f>IFERROR(__xludf.DUMMYFUNCTION("""COMPUTED_VALUE"""),"simple")</f>
        <v>simple</v>
      </c>
      <c r="X786" s="232" t="str">
        <f>IFERROR(__xludf.DUMMYFUNCTION("""COMPUTED_VALUE"""),"Cat Buyer - Body Care + Cart Value")</f>
        <v>Cat Buyer - Body Care + Cart Value</v>
      </c>
      <c r="Y786" s="232" t="str">
        <f>IFERROR(__xludf.DUMMYFUNCTION("""COMPUTED_VALUE"""),"30-1 June")</f>
        <v>30-1 June</v>
      </c>
      <c r="Z786" s="232" t="str">
        <f>IFERROR(__xludf.DUMMYFUNCTION("""COMPUTED_VALUE"""),"6a16e2d63d25c39d8d64dbd5")</f>
        <v>6a16e2d63d25c39d8d64dbd5</v>
      </c>
      <c r="AA786" s="277">
        <f>IFERROR(__xludf.DUMMYFUNCTION("""COMPUTED_VALUE"""),4.0)</f>
        <v>4</v>
      </c>
      <c r="AB786" s="277"/>
      <c r="AC786" s="277">
        <f>IFERROR(__xludf.DUMMYFUNCTION("""COMPUTED_VALUE"""),4.0)</f>
        <v>4</v>
      </c>
      <c r="AD786" s="277">
        <f>IFERROR(__xludf.DUMMYFUNCTION("""COMPUTED_VALUE"""),11996.0)</f>
        <v>11996</v>
      </c>
      <c r="AE786" s="277"/>
      <c r="AF786" s="277">
        <f>IFERROR(__xludf.DUMMYFUNCTION("""COMPUTED_VALUE"""),11996.0)</f>
        <v>11996</v>
      </c>
      <c r="AG786" s="208"/>
      <c r="AH786" s="208"/>
      <c r="AI786" s="208"/>
      <c r="AJ786" s="208"/>
      <c r="AK786" s="208"/>
    </row>
    <row r="787" hidden="1">
      <c r="A787" s="288">
        <f>IFERROR(__xludf.DUMMYFUNCTION("""COMPUTED_VALUE"""),46172.0)</f>
        <v>46172</v>
      </c>
      <c r="B787" s="274">
        <f>IFERROR(__xludf.DUMMYFUNCTION("""COMPUTED_VALUE"""),0.5)</f>
        <v>0.5</v>
      </c>
      <c r="C787" s="208" t="str">
        <f>IFERROR(__xludf.DUMMYFUNCTION("""COMPUTED_VALUE"""),"Whatsapp")</f>
        <v>Whatsapp</v>
      </c>
      <c r="D787" s="208" t="str">
        <f>IFERROR(__xludf.DUMMYFUNCTION("""COMPUTED_VALUE"""),"Promotional")</f>
        <v>Promotional</v>
      </c>
      <c r="E787" s="208" t="str">
        <f>IFERROR(__xludf.DUMMYFUNCTION("""COMPUTED_VALUE"""),"BBW")</f>
        <v>BBW</v>
      </c>
      <c r="F787" s="208" t="str">
        <f>IFERROR(__xludf.DUMMYFUNCTION("""COMPUTED_VALUE"""),"BC Tier Discount - Body Care")</f>
        <v>BC Tier Discount - Body Care</v>
      </c>
      <c r="G787" s="208" t="str">
        <f>IFERROR(__xludf.DUMMYFUNCTION("""COMPUTED_VALUE"""),"bbw_wa_bc_tier_discount_29may_lastreminder_event_offline")</f>
        <v>bbw_wa_bc_tier_discount_29may_lastreminder_event_offline</v>
      </c>
      <c r="H787" s="232" t="str">
        <f>IFERROR(__xludf.DUMMYFUNCTION("""COMPUTED_VALUE"""),"BC_EventBuyers_OFF")</f>
        <v>BC_EventBuyers_OFF</v>
      </c>
      <c r="I787" s="233" t="str">
        <f>IFERROR(__xludf.DUMMYFUNCTION("""COMPUTED_VALUE"""),"Offline customers who have purchased at least 1 time from L2: BodyCare in between Oct 2 - Oct 5, 2025; Oct 16 - Oct 27, 2025; Jan 09- Jan 18, 2026; Feb 26 - Mar 3, 2026; Mar 27 - Mar 29, 2026")</f>
        <v>Offline customers who have purchased at least 1 time from L2: BodyCare in between Oct 2 - Oct 5, 2025; Oct 16 - Oct 27, 2025; Jan 09- Jan 18, 2026; Feb 26 - Mar 3, 2026; Mar 27 - Mar 29, 2026</v>
      </c>
      <c r="J787" s="275">
        <f>IFERROR(__xludf.DUMMYFUNCTION("""COMPUTED_VALUE"""),14167.0)</f>
        <v>14167</v>
      </c>
      <c r="K787" s="275">
        <f>IFERROR(__xludf.DUMMYFUNCTION("""COMPUTED_VALUE"""),2264.0)</f>
        <v>2264</v>
      </c>
      <c r="L787" s="276">
        <f>IFERROR(__xludf.DUMMYFUNCTION("""COMPUTED_VALUE"""),0.1597)</f>
        <v>0.1597</v>
      </c>
      <c r="M787" s="275">
        <f>IFERROR(__xludf.DUMMYFUNCTION("""COMPUTED_VALUE"""),838.0)</f>
        <v>838</v>
      </c>
      <c r="N787" s="276">
        <f>IFERROR(__xludf.DUMMYFUNCTION("""COMPUTED_VALUE"""),0.3703)</f>
        <v>0.3703</v>
      </c>
      <c r="O787" s="208">
        <f>IFERROR(__xludf.DUMMYFUNCTION("""COMPUTED_VALUE"""),55.0)</f>
        <v>55</v>
      </c>
      <c r="P787" s="208">
        <f>IFERROR(__xludf.DUMMYFUNCTION("""COMPUTED_VALUE"""),50.0)</f>
        <v>50</v>
      </c>
      <c r="Q787" s="276">
        <f>IFERROR(__xludf.DUMMYFUNCTION("""COMPUTED_VALUE"""),0.0221)</f>
        <v>0.0221</v>
      </c>
      <c r="R787" s="276">
        <f>IFERROR(__xludf.DUMMYFUNCTION("""COMPUTED_VALUE"""),0.0597)</f>
        <v>0.0597</v>
      </c>
      <c r="S787" s="208">
        <f>IFERROR(__xludf.DUMMYFUNCTION("""COMPUTED_VALUE"""),0.0)</f>
        <v>0</v>
      </c>
      <c r="T787" s="208">
        <f>IFERROR(__xludf.DUMMYFUNCTION("""COMPUTED_VALUE"""),0.0)</f>
        <v>0</v>
      </c>
      <c r="U787" s="275">
        <f>IFERROR(__xludf.DUMMYFUNCTION("""COMPUTED_VALUE"""),0.0)</f>
        <v>0</v>
      </c>
      <c r="V787" s="234" t="str">
        <f>IFERROR(__xludf.DUMMYFUNCTION("""COMPUTED_VALUE"""),"offline")</f>
        <v>offline</v>
      </c>
      <c r="W787" s="232" t="str">
        <f>IFERROR(__xludf.DUMMYFUNCTION("""COMPUTED_VALUE"""),"simple")</f>
        <v>simple</v>
      </c>
      <c r="X787" s="232" t="str">
        <f>IFERROR(__xludf.DUMMYFUNCTION("""COMPUTED_VALUE"""),"Event Buyers")</f>
        <v>Event Buyers</v>
      </c>
      <c r="Y787" s="232" t="str">
        <f>IFERROR(__xludf.DUMMYFUNCTION("""COMPUTED_VALUE"""),"30-1 June")</f>
        <v>30-1 June</v>
      </c>
      <c r="Z787" s="232" t="str">
        <f>IFERROR(__xludf.DUMMYFUNCTION("""COMPUTED_VALUE"""),"6a16e314230c072e6d6ce1de")</f>
        <v>6a16e314230c072e6d6ce1de</v>
      </c>
      <c r="AA787" s="277">
        <f>IFERROR(__xludf.DUMMYFUNCTION("""COMPUTED_VALUE"""),7.0)</f>
        <v>7</v>
      </c>
      <c r="AB787" s="277"/>
      <c r="AC787" s="277">
        <f>IFERROR(__xludf.DUMMYFUNCTION("""COMPUTED_VALUE"""),7.0)</f>
        <v>7</v>
      </c>
      <c r="AD787" s="277">
        <f>IFERROR(__xludf.DUMMYFUNCTION("""COMPUTED_VALUE"""),40327.0)</f>
        <v>40327</v>
      </c>
      <c r="AE787" s="277"/>
      <c r="AF787" s="277">
        <f>IFERROR(__xludf.DUMMYFUNCTION("""COMPUTED_VALUE"""),40327.0)</f>
        <v>40327</v>
      </c>
      <c r="AG787" s="208"/>
      <c r="AH787" s="208"/>
      <c r="AI787" s="208"/>
      <c r="AJ787" s="208"/>
      <c r="AK787" s="208"/>
    </row>
    <row r="788" hidden="1">
      <c r="A788" s="288">
        <f>IFERROR(__xludf.DUMMYFUNCTION("""COMPUTED_VALUE"""),46172.0)</f>
        <v>46172</v>
      </c>
      <c r="B788" s="274">
        <f>IFERROR(__xludf.DUMMYFUNCTION("""COMPUTED_VALUE"""),0.5)</f>
        <v>0.5</v>
      </c>
      <c r="C788" s="208" t="str">
        <f>IFERROR(__xludf.DUMMYFUNCTION("""COMPUTED_VALUE"""),"Whatsapp")</f>
        <v>Whatsapp</v>
      </c>
      <c r="D788" s="208" t="str">
        <f>IFERROR(__xludf.DUMMYFUNCTION("""COMPUTED_VALUE"""),"Promotional")</f>
        <v>Promotional</v>
      </c>
      <c r="E788" s="208" t="str">
        <f>IFERROR(__xludf.DUMMYFUNCTION("""COMPUTED_VALUE"""),"BBW")</f>
        <v>BBW</v>
      </c>
      <c r="F788" s="208" t="str">
        <f>IFERROR(__xludf.DUMMYFUNCTION("""COMPUTED_VALUE"""),"BC Tier Discount - Body Care")</f>
        <v>BC Tier Discount - Body Care</v>
      </c>
      <c r="G788" s="208" t="str">
        <f>IFERROR(__xludf.DUMMYFUNCTION("""COMPUTED_VALUE"""),"bbw_wa_bc_tier_discount_29may_lastreminder_dormant_offline")</f>
        <v>bbw_wa_bc_tier_discount_29may_lastreminder_dormant_offline</v>
      </c>
      <c r="H788" s="232" t="str">
        <f>IFERROR(__xludf.DUMMYFUNCTION("""COMPUTED_VALUE"""),"BC_Dormant_1Y_OFF")</f>
        <v>BC_Dormant_1Y_OFF</v>
      </c>
      <c r="I788" s="233" t="str">
        <f>IFERROR(__xludf.DUMMYFUNCTION("""COMPUTED_VALUE"""),"Offline customers who have purchased atleast 1 times from L2: BodyCare in between the last 90-365 Days")</f>
        <v>Offline customers who have purchased atleast 1 times from L2: BodyCare in between the last 90-365 Days</v>
      </c>
      <c r="J788" s="275">
        <f>IFERROR(__xludf.DUMMYFUNCTION("""COMPUTED_VALUE"""),71871.0)</f>
        <v>71871</v>
      </c>
      <c r="K788" s="275">
        <f>IFERROR(__xludf.DUMMYFUNCTION("""COMPUTED_VALUE"""),11403.0)</f>
        <v>11403</v>
      </c>
      <c r="L788" s="276">
        <f>IFERROR(__xludf.DUMMYFUNCTION("""COMPUTED_VALUE"""),0.1587)</f>
        <v>0.1587</v>
      </c>
      <c r="M788" s="275">
        <f>IFERROR(__xludf.DUMMYFUNCTION("""COMPUTED_VALUE"""),3990.0)</f>
        <v>3990</v>
      </c>
      <c r="N788" s="276">
        <f>IFERROR(__xludf.DUMMYFUNCTION("""COMPUTED_VALUE"""),0.3498)</f>
        <v>0.3498</v>
      </c>
      <c r="O788" s="208">
        <f>IFERROR(__xludf.DUMMYFUNCTION("""COMPUTED_VALUE"""),218.0)</f>
        <v>218</v>
      </c>
      <c r="P788" s="208">
        <f>IFERROR(__xludf.DUMMYFUNCTION("""COMPUTED_VALUE"""),205.0)</f>
        <v>205</v>
      </c>
      <c r="Q788" s="276">
        <f>IFERROR(__xludf.DUMMYFUNCTION("""COMPUTED_VALUE"""),0.018)</f>
        <v>0.018</v>
      </c>
      <c r="R788" s="276">
        <f>IFERROR(__xludf.DUMMYFUNCTION("""COMPUTED_VALUE"""),0.0514)</f>
        <v>0.0514</v>
      </c>
      <c r="S788" s="208">
        <f>IFERROR(__xludf.DUMMYFUNCTION("""COMPUTED_VALUE"""),2.0)</f>
        <v>2</v>
      </c>
      <c r="T788" s="208">
        <f>IFERROR(__xludf.DUMMYFUNCTION("""COMPUTED_VALUE"""),2.0)</f>
        <v>2</v>
      </c>
      <c r="U788" s="275">
        <f>IFERROR(__xludf.DUMMYFUNCTION("""COMPUTED_VALUE"""),10256.0)</f>
        <v>10256</v>
      </c>
      <c r="V788" s="234" t="str">
        <f>IFERROR(__xludf.DUMMYFUNCTION("""COMPUTED_VALUE"""),"offline")</f>
        <v>offline</v>
      </c>
      <c r="W788" s="232" t="str">
        <f>IFERROR(__xludf.DUMMYFUNCTION("""COMPUTED_VALUE"""),"simple")</f>
        <v>simple</v>
      </c>
      <c r="X788" s="232" t="str">
        <f>IFERROR(__xludf.DUMMYFUNCTION("""COMPUTED_VALUE"""),"Dormant - Body Care")</f>
        <v>Dormant - Body Care</v>
      </c>
      <c r="Y788" s="232" t="str">
        <f>IFERROR(__xludf.DUMMYFUNCTION("""COMPUTED_VALUE"""),"30-1 June")</f>
        <v>30-1 June</v>
      </c>
      <c r="Z788" s="232" t="str">
        <f>IFERROR(__xludf.DUMMYFUNCTION("""COMPUTED_VALUE"""),"6a16e347151c8481576e6cf1")</f>
        <v>6a16e347151c8481576e6cf1</v>
      </c>
      <c r="AA788" s="277">
        <f>IFERROR(__xludf.DUMMYFUNCTION("""COMPUTED_VALUE"""),47.0)</f>
        <v>47</v>
      </c>
      <c r="AB788" s="277"/>
      <c r="AC788" s="277">
        <f>IFERROR(__xludf.DUMMYFUNCTION("""COMPUTED_VALUE"""),47.0)</f>
        <v>47</v>
      </c>
      <c r="AD788" s="277">
        <f>IFERROR(__xludf.DUMMYFUNCTION("""COMPUTED_VALUE"""),207554.0)</f>
        <v>207554</v>
      </c>
      <c r="AE788" s="277"/>
      <c r="AF788" s="277">
        <f>IFERROR(__xludf.DUMMYFUNCTION("""COMPUTED_VALUE"""),207554.0)</f>
        <v>207554</v>
      </c>
      <c r="AG788" s="208"/>
      <c r="AH788" s="208"/>
      <c r="AI788" s="208"/>
      <c r="AJ788" s="208"/>
      <c r="AK788" s="208"/>
    </row>
    <row r="789" hidden="1">
      <c r="A789" s="288">
        <f>IFERROR(__xludf.DUMMYFUNCTION("""COMPUTED_VALUE"""),46172.0)</f>
        <v>46172</v>
      </c>
      <c r="B789" s="274">
        <f>IFERROR(__xludf.DUMMYFUNCTION("""COMPUTED_VALUE"""),0.5)</f>
        <v>0.5</v>
      </c>
      <c r="C789" s="208" t="str">
        <f>IFERROR(__xludf.DUMMYFUNCTION("""COMPUTED_VALUE"""),"Whatsapp")</f>
        <v>Whatsapp</v>
      </c>
      <c r="D789" s="208" t="str">
        <f>IFERROR(__xludf.DUMMYFUNCTION("""COMPUTED_VALUE"""),"Promotional")</f>
        <v>Promotional</v>
      </c>
      <c r="E789" s="208" t="str">
        <f>IFERROR(__xludf.DUMMYFUNCTION("""COMPUTED_VALUE"""),"BBW")</f>
        <v>BBW</v>
      </c>
      <c r="F789" s="208" t="str">
        <f>IFERROR(__xludf.DUMMYFUNCTION("""COMPUTED_VALUE"""),"BC Tier Discount - Body Care")</f>
        <v>BC Tier Discount - Body Care</v>
      </c>
      <c r="G789" s="208" t="str">
        <f>IFERROR(__xludf.DUMMYFUNCTION("""COMPUTED_VALUE"""),"bbw_wa_bc_tier_discount_29may_lastreminder_disc_buyers_offline")</f>
        <v>bbw_wa_bc_tier_discount_29may_lastreminder_disc_buyers_offline</v>
      </c>
      <c r="H789" s="232" t="str">
        <f>IFERROR(__xludf.DUMMYFUNCTION("""COMPUTED_VALUE"""),"BC_Disc_Buyers_OFF")</f>
        <v>BC_Disc_Buyers_OFF</v>
      </c>
      <c r="I789" s="233" t="str">
        <f>IFERROR(__xludf.DUMMYFUNCTION("""COMPUTED_VALUE"""),"Offline customers who have purchased at least 1 time from L2: BodyCare with discount exists in the last 120 days excluding last 30 day disc buyers")</f>
        <v>Offline customers who have purchased at least 1 time from L2: BodyCare with discount exists in the last 120 days excluding last 30 day disc buyers</v>
      </c>
      <c r="J789" s="275">
        <f>IFERROR(__xludf.DUMMYFUNCTION("""COMPUTED_VALUE"""),12919.0)</f>
        <v>12919</v>
      </c>
      <c r="K789" s="275">
        <f>IFERROR(__xludf.DUMMYFUNCTION("""COMPUTED_VALUE"""),2663.0)</f>
        <v>2663</v>
      </c>
      <c r="L789" s="276">
        <f>IFERROR(__xludf.DUMMYFUNCTION("""COMPUTED_VALUE"""),0.2061)</f>
        <v>0.2061</v>
      </c>
      <c r="M789" s="275">
        <f>IFERROR(__xludf.DUMMYFUNCTION("""COMPUTED_VALUE"""),992.0)</f>
        <v>992</v>
      </c>
      <c r="N789" s="276">
        <f>IFERROR(__xludf.DUMMYFUNCTION("""COMPUTED_VALUE"""),0.3725)</f>
        <v>0.3725</v>
      </c>
      <c r="O789" s="208">
        <f>IFERROR(__xludf.DUMMYFUNCTION("""COMPUTED_VALUE"""),88.0)</f>
        <v>88</v>
      </c>
      <c r="P789" s="208">
        <f>IFERROR(__xludf.DUMMYFUNCTION("""COMPUTED_VALUE"""),82.0)</f>
        <v>82</v>
      </c>
      <c r="Q789" s="276">
        <f>IFERROR(__xludf.DUMMYFUNCTION("""COMPUTED_VALUE"""),0.0308)</f>
        <v>0.0308</v>
      </c>
      <c r="R789" s="276">
        <f>IFERROR(__xludf.DUMMYFUNCTION("""COMPUTED_VALUE"""),0.0827)</f>
        <v>0.0827</v>
      </c>
      <c r="S789" s="208">
        <f>IFERROR(__xludf.DUMMYFUNCTION("""COMPUTED_VALUE"""),0.0)</f>
        <v>0</v>
      </c>
      <c r="T789" s="208">
        <f>IFERROR(__xludf.DUMMYFUNCTION("""COMPUTED_VALUE"""),0.0)</f>
        <v>0</v>
      </c>
      <c r="U789" s="275">
        <f>IFERROR(__xludf.DUMMYFUNCTION("""COMPUTED_VALUE"""),0.0)</f>
        <v>0</v>
      </c>
      <c r="V789" s="234" t="str">
        <f>IFERROR(__xludf.DUMMYFUNCTION("""COMPUTED_VALUE"""),"offline")</f>
        <v>offline</v>
      </c>
      <c r="W789" s="232" t="str">
        <f>IFERROR(__xludf.DUMMYFUNCTION("""COMPUTED_VALUE"""),"simple")</f>
        <v>simple</v>
      </c>
      <c r="X789" s="232" t="str">
        <f>IFERROR(__xludf.DUMMYFUNCTION("""COMPUTED_VALUE"""),"Discount Buyers")</f>
        <v>Discount Buyers</v>
      </c>
      <c r="Y789" s="232" t="str">
        <f>IFERROR(__xludf.DUMMYFUNCTION("""COMPUTED_VALUE"""),"30-1 June")</f>
        <v>30-1 June</v>
      </c>
      <c r="Z789" s="232" t="str">
        <f>IFERROR(__xludf.DUMMYFUNCTION("""COMPUTED_VALUE"""),"6a16e38061e00e2406c1331e")</f>
        <v>6a16e38061e00e2406c1331e</v>
      </c>
      <c r="AA789" s="277">
        <f>IFERROR(__xludf.DUMMYFUNCTION("""COMPUTED_VALUE"""),7.0)</f>
        <v>7</v>
      </c>
      <c r="AB789" s="277"/>
      <c r="AC789" s="277">
        <f>IFERROR(__xludf.DUMMYFUNCTION("""COMPUTED_VALUE"""),7.0)</f>
        <v>7</v>
      </c>
      <c r="AD789" s="277">
        <f>IFERROR(__xludf.DUMMYFUNCTION("""COMPUTED_VALUE"""),25887.0)</f>
        <v>25887</v>
      </c>
      <c r="AE789" s="277"/>
      <c r="AF789" s="277">
        <f>IFERROR(__xludf.DUMMYFUNCTION("""COMPUTED_VALUE"""),25887.0)</f>
        <v>25887</v>
      </c>
      <c r="AG789" s="208"/>
      <c r="AH789" s="208"/>
      <c r="AI789" s="208"/>
      <c r="AJ789" s="208"/>
      <c r="AK789" s="208"/>
    </row>
    <row r="790" hidden="1">
      <c r="A790" s="288">
        <f>IFERROR(__xludf.DUMMYFUNCTION("""COMPUTED_VALUE"""),46169.0)</f>
        <v>46169</v>
      </c>
      <c r="B790" s="274">
        <f>IFERROR(__xludf.DUMMYFUNCTION("""COMPUTED_VALUE"""),0.8125)</f>
        <v>0.8125</v>
      </c>
      <c r="C790" s="208" t="str">
        <f>IFERROR(__xludf.DUMMYFUNCTION("""COMPUTED_VALUE"""),"Sms")</f>
        <v>Sms</v>
      </c>
      <c r="D790" s="208" t="str">
        <f>IFERROR(__xludf.DUMMYFUNCTION("""COMPUTED_VALUE"""),"Fallback campaign")</f>
        <v>Fallback campaign</v>
      </c>
      <c r="E790" s="208" t="str">
        <f>IFERROR(__xludf.DUMMYFUNCTION("""COMPUTED_VALUE"""),"BBW")</f>
        <v>BBW</v>
      </c>
      <c r="F790" s="208" t="str">
        <f>IFERROR(__xludf.DUMMYFUNCTION("""COMPUTED_VALUE"""),"Body Care at 899 - Seasonal Body Care")</f>
        <v>Body Care at 899 - Seasonal Body Care</v>
      </c>
      <c r="G790" s="208" t="str">
        <f>IFERROR(__xludf.DUMMYFUNCTION("""COMPUTED_VALUE"""),"bbw_smsfb_seasonal_bcat899_27may_atc_wishlist_online")</f>
        <v>bbw_smsfb_seasonal_bcat899_27may_atc_wishlist_online</v>
      </c>
      <c r="H790" s="232" t="str">
        <f>IFERROR(__xludf.DUMMYFUNCTION("""COMPUTED_VALUE"""),"BBW_ATC_View_Wishlist_NoPr_45D")</f>
        <v>BBW_ATC_View_Wishlist_NoPr_45D</v>
      </c>
      <c r="I790" s="233" t="str">
        <f>IFERROR(__xludf.DUMMYFUNCTION("""COMPUTED_VALUE"""),"WA Undelivered")</f>
        <v>WA Undelivered</v>
      </c>
      <c r="J790" s="275">
        <f>IFERROR(__xludf.DUMMYFUNCTION("""COMPUTED_VALUE"""),2049.0)</f>
        <v>2049</v>
      </c>
      <c r="K790" s="275">
        <f>IFERROR(__xludf.DUMMYFUNCTION("""COMPUTED_VALUE"""),1300.0)</f>
        <v>1300</v>
      </c>
      <c r="L790" s="276">
        <f>IFERROR(__xludf.DUMMYFUNCTION("""COMPUTED_VALUE"""),0.6345)</f>
        <v>0.6345</v>
      </c>
      <c r="M790" s="275">
        <f>IFERROR(__xludf.DUMMYFUNCTION("""COMPUTED_VALUE"""),0.0)</f>
        <v>0</v>
      </c>
      <c r="N790" s="276">
        <f>IFERROR(__xludf.DUMMYFUNCTION("""COMPUTED_VALUE"""),0.0)</f>
        <v>0</v>
      </c>
      <c r="O790" s="208">
        <f>IFERROR(__xludf.DUMMYFUNCTION("""COMPUTED_VALUE"""),13.0)</f>
        <v>13</v>
      </c>
      <c r="P790" s="208">
        <f>IFERROR(__xludf.DUMMYFUNCTION("""COMPUTED_VALUE"""),0.0)</f>
        <v>0</v>
      </c>
      <c r="Q790" s="276">
        <f>IFERROR(__xludf.DUMMYFUNCTION("""COMPUTED_VALUE"""),0.01)</f>
        <v>0.01</v>
      </c>
      <c r="R790" s="276">
        <f>IFERROR(__xludf.DUMMYFUNCTION("""COMPUTED_VALUE"""),0.0)</f>
        <v>0</v>
      </c>
      <c r="S790" s="208">
        <f>IFERROR(__xludf.DUMMYFUNCTION("""COMPUTED_VALUE"""),4.0)</f>
        <v>4</v>
      </c>
      <c r="T790" s="208">
        <f>IFERROR(__xludf.DUMMYFUNCTION("""COMPUTED_VALUE"""),24.0)</f>
        <v>24</v>
      </c>
      <c r="U790" s="275">
        <f>IFERROR(__xludf.DUMMYFUNCTION("""COMPUTED_VALUE"""),6473.0)</f>
        <v>6473</v>
      </c>
      <c r="V790" s="234" t="str">
        <f>IFERROR(__xludf.DUMMYFUNCTION("""COMPUTED_VALUE"""),"online")</f>
        <v>online</v>
      </c>
      <c r="W790" s="232" t="str">
        <f>IFERROR(__xludf.DUMMYFUNCTION("""COMPUTED_VALUE"""),"Sms")</f>
        <v>Sms</v>
      </c>
      <c r="X790" s="232" t="str">
        <f>IFERROR(__xludf.DUMMYFUNCTION("""COMPUTED_VALUE"""),"ATC/View")</f>
        <v>ATC/View</v>
      </c>
      <c r="Y790" s="232" t="str">
        <f>IFERROR(__xludf.DUMMYFUNCTION("""COMPUTED_VALUE"""),"27 May")</f>
        <v>27 May</v>
      </c>
      <c r="Z790" s="232" t="str">
        <f>IFERROR(__xludf.DUMMYFUNCTION("""COMPUTED_VALUE"""),"6a1443ecd6a78f49d8e08513")</f>
        <v>6a1443ecd6a78f49d8e08513</v>
      </c>
      <c r="AA790" s="277">
        <f>IFERROR(__xludf.DUMMYFUNCTION("""COMPUTED_VALUE"""),4.0)</f>
        <v>4</v>
      </c>
      <c r="AB790" s="277">
        <f>IFERROR(__xludf.DUMMYFUNCTION("""COMPUTED_VALUE"""),4.0)</f>
        <v>4</v>
      </c>
      <c r="AC790" s="277"/>
      <c r="AD790" s="277">
        <f>IFERROR(__xludf.DUMMYFUNCTION("""COMPUTED_VALUE"""),22937.0)</f>
        <v>22937</v>
      </c>
      <c r="AE790" s="277">
        <f>IFERROR(__xludf.DUMMYFUNCTION("""COMPUTED_VALUE"""),22937.0)</f>
        <v>22937</v>
      </c>
      <c r="AF790" s="277"/>
      <c r="AG790" s="208"/>
      <c r="AH790" s="208"/>
      <c r="AI790" s="208"/>
      <c r="AJ790" s="208"/>
      <c r="AK790" s="208"/>
    </row>
    <row r="791" hidden="1">
      <c r="A791" s="288">
        <f>IFERROR(__xludf.DUMMYFUNCTION("""COMPUTED_VALUE"""),46169.0)</f>
        <v>46169</v>
      </c>
      <c r="B791" s="274">
        <f>IFERROR(__xludf.DUMMYFUNCTION("""COMPUTED_VALUE"""),0.8125)</f>
        <v>0.8125</v>
      </c>
      <c r="C791" s="208" t="str">
        <f>IFERROR(__xludf.DUMMYFUNCTION("""COMPUTED_VALUE"""),"Sms")</f>
        <v>Sms</v>
      </c>
      <c r="D791" s="208" t="str">
        <f>IFERROR(__xludf.DUMMYFUNCTION("""COMPUTED_VALUE"""),"Fallback campaign")</f>
        <v>Fallback campaign</v>
      </c>
      <c r="E791" s="208" t="str">
        <f>IFERROR(__xludf.DUMMYFUNCTION("""COMPUTED_VALUE"""),"BBW")</f>
        <v>BBW</v>
      </c>
      <c r="F791" s="208" t="str">
        <f>IFERROR(__xludf.DUMMYFUNCTION("""COMPUTED_VALUE"""),"Body Care at 899 - Seasonal Body Care")</f>
        <v>Body Care at 899 - Seasonal Body Care</v>
      </c>
      <c r="G791" s="208" t="str">
        <f>IFERROR(__xludf.DUMMYFUNCTION("""COMPUTED_VALUE"""),"bbw_smsfb_seasonal_bcat899_27may_bcrepeat_online")</f>
        <v>bbw_smsfb_seasonal_bcat899_27may_bcrepeat_online</v>
      </c>
      <c r="H791" s="232" t="str">
        <f>IFERROR(__xludf.DUMMYFUNCTION("""COMPUTED_VALUE"""),"BBW_ON_BC_2_Times_45D_210D")</f>
        <v>BBW_ON_BC_2_Times_45D_210D</v>
      </c>
      <c r="I791" s="233" t="str">
        <f>IFERROR(__xludf.DUMMYFUNCTION("""COMPUTED_VALUE"""),"WA Undelivered")</f>
        <v>WA Undelivered</v>
      </c>
      <c r="J791" s="275">
        <f>IFERROR(__xludf.DUMMYFUNCTION("""COMPUTED_VALUE"""),20275.0)</f>
        <v>20275</v>
      </c>
      <c r="K791" s="275">
        <f>IFERROR(__xludf.DUMMYFUNCTION("""COMPUTED_VALUE"""),10719.0)</f>
        <v>10719</v>
      </c>
      <c r="L791" s="276">
        <f>IFERROR(__xludf.DUMMYFUNCTION("""COMPUTED_VALUE"""),0.5287)</f>
        <v>0.5287</v>
      </c>
      <c r="M791" s="275">
        <f>IFERROR(__xludf.DUMMYFUNCTION("""COMPUTED_VALUE"""),0.0)</f>
        <v>0</v>
      </c>
      <c r="N791" s="276">
        <f>IFERROR(__xludf.DUMMYFUNCTION("""COMPUTED_VALUE"""),0.0)</f>
        <v>0</v>
      </c>
      <c r="O791" s="208">
        <f>IFERROR(__xludf.DUMMYFUNCTION("""COMPUTED_VALUE"""),39.0)</f>
        <v>39</v>
      </c>
      <c r="P791" s="208">
        <f>IFERROR(__xludf.DUMMYFUNCTION("""COMPUTED_VALUE"""),0.0)</f>
        <v>0</v>
      </c>
      <c r="Q791" s="276">
        <f>IFERROR(__xludf.DUMMYFUNCTION("""COMPUTED_VALUE"""),0.0036)</f>
        <v>0.0036</v>
      </c>
      <c r="R791" s="276">
        <f>IFERROR(__xludf.DUMMYFUNCTION("""COMPUTED_VALUE"""),0.0)</f>
        <v>0</v>
      </c>
      <c r="S791" s="208">
        <f>IFERROR(__xludf.DUMMYFUNCTION("""COMPUTED_VALUE"""),11.0)</f>
        <v>11</v>
      </c>
      <c r="T791" s="208">
        <f>IFERROR(__xludf.DUMMYFUNCTION("""COMPUTED_VALUE"""),24.0)</f>
        <v>24</v>
      </c>
      <c r="U791" s="275">
        <f>IFERROR(__xludf.DUMMYFUNCTION("""COMPUTED_VALUE"""),36170.0)</f>
        <v>36170</v>
      </c>
      <c r="V791" s="234" t="str">
        <f>IFERROR(__xludf.DUMMYFUNCTION("""COMPUTED_VALUE"""),"online")</f>
        <v>online</v>
      </c>
      <c r="W791" s="232" t="str">
        <f>IFERROR(__xludf.DUMMYFUNCTION("""COMPUTED_VALUE"""),"Sms")</f>
        <v>Sms</v>
      </c>
      <c r="X791" s="232" t="str">
        <f>IFERROR(__xludf.DUMMYFUNCTION("""COMPUTED_VALUE"""),"Repeat")</f>
        <v>Repeat</v>
      </c>
      <c r="Y791" s="232" t="str">
        <f>IFERROR(__xludf.DUMMYFUNCTION("""COMPUTED_VALUE"""),"27 May")</f>
        <v>27 May</v>
      </c>
      <c r="Z791" s="232" t="str">
        <f>IFERROR(__xludf.DUMMYFUNCTION("""COMPUTED_VALUE"""),"6a14443d589959eeeacbd708")</f>
        <v>6a14443d589959eeeacbd708</v>
      </c>
      <c r="AA791" s="277">
        <f>IFERROR(__xludf.DUMMYFUNCTION("""COMPUTED_VALUE"""),27.0)</f>
        <v>27</v>
      </c>
      <c r="AB791" s="277">
        <f>IFERROR(__xludf.DUMMYFUNCTION("""COMPUTED_VALUE"""),27.0)</f>
        <v>27</v>
      </c>
      <c r="AC791" s="277"/>
      <c r="AD791" s="277">
        <f>IFERROR(__xludf.DUMMYFUNCTION("""COMPUTED_VALUE"""),63300.0)</f>
        <v>63300</v>
      </c>
      <c r="AE791" s="277">
        <f>IFERROR(__xludf.DUMMYFUNCTION("""COMPUTED_VALUE"""),63300.0)</f>
        <v>63300</v>
      </c>
      <c r="AF791" s="277"/>
      <c r="AG791" s="208"/>
      <c r="AH791" s="208"/>
      <c r="AI791" s="208"/>
      <c r="AJ791" s="208"/>
      <c r="AK791" s="208"/>
    </row>
    <row r="792" hidden="1">
      <c r="A792" s="288">
        <f>IFERROR(__xludf.DUMMYFUNCTION("""COMPUTED_VALUE"""),46169.0)</f>
        <v>46169</v>
      </c>
      <c r="B792" s="274">
        <f>IFERROR(__xludf.DUMMYFUNCTION("""COMPUTED_VALUE"""),0.8125)</f>
        <v>0.8125</v>
      </c>
      <c r="C792" s="208" t="str">
        <f>IFERROR(__xludf.DUMMYFUNCTION("""COMPUTED_VALUE"""),"Sms")</f>
        <v>Sms</v>
      </c>
      <c r="D792" s="208" t="str">
        <f>IFERROR(__xludf.DUMMYFUNCTION("""COMPUTED_VALUE"""),"Fallback campaign")</f>
        <v>Fallback campaign</v>
      </c>
      <c r="E792" s="208" t="str">
        <f>IFERROR(__xludf.DUMMYFUNCTION("""COMPUTED_VALUE"""),"BBW")</f>
        <v>BBW</v>
      </c>
      <c r="F792" s="208" t="str">
        <f>IFERROR(__xludf.DUMMYFUNCTION("""COMPUTED_VALUE"""),"Body Care at 899 - Seasonal Body Care")</f>
        <v>Body Care at 899 - Seasonal Body Care</v>
      </c>
      <c r="G792" s="208" t="str">
        <f>IFERROR(__xludf.DUMMYFUNCTION("""COMPUTED_VALUE"""),"bbw_smsfb_seasonal_bcat899_27may_eventbuyers_online")</f>
        <v>bbw_smsfb_seasonal_bcat899_27may_eventbuyers_online</v>
      </c>
      <c r="H792" s="232" t="str">
        <f>IFERROR(__xludf.DUMMYFUNCTION("""COMPUTED_VALUE"""),"BC_EventBuyers_ON")</f>
        <v>BC_EventBuyers_ON</v>
      </c>
      <c r="I792" s="233" t="str">
        <f>IFERROR(__xludf.DUMMYFUNCTION("""COMPUTED_VALUE"""),"WA Undelivered")</f>
        <v>WA Undelivered</v>
      </c>
      <c r="J792" s="275">
        <f>IFERROR(__xludf.DUMMYFUNCTION("""COMPUTED_VALUE"""),3552.0)</f>
        <v>3552</v>
      </c>
      <c r="K792" s="275">
        <f>IFERROR(__xludf.DUMMYFUNCTION("""COMPUTED_VALUE"""),1959.0)</f>
        <v>1959</v>
      </c>
      <c r="L792" s="276">
        <f>IFERROR(__xludf.DUMMYFUNCTION("""COMPUTED_VALUE"""),0.5515)</f>
        <v>0.5515</v>
      </c>
      <c r="M792" s="275">
        <f>IFERROR(__xludf.DUMMYFUNCTION("""COMPUTED_VALUE"""),0.0)</f>
        <v>0</v>
      </c>
      <c r="N792" s="276">
        <f>IFERROR(__xludf.DUMMYFUNCTION("""COMPUTED_VALUE"""),0.0)</f>
        <v>0</v>
      </c>
      <c r="O792" s="208">
        <f>IFERROR(__xludf.DUMMYFUNCTION("""COMPUTED_VALUE"""),9.0)</f>
        <v>9</v>
      </c>
      <c r="P792" s="208">
        <f>IFERROR(__xludf.DUMMYFUNCTION("""COMPUTED_VALUE"""),0.0)</f>
        <v>0</v>
      </c>
      <c r="Q792" s="276">
        <f>IFERROR(__xludf.DUMMYFUNCTION("""COMPUTED_VALUE"""),0.0046)</f>
        <v>0.0046</v>
      </c>
      <c r="R792" s="276">
        <f>IFERROR(__xludf.DUMMYFUNCTION("""COMPUTED_VALUE"""),0.0)</f>
        <v>0</v>
      </c>
      <c r="S792" s="208">
        <f>IFERROR(__xludf.DUMMYFUNCTION("""COMPUTED_VALUE"""),2.0)</f>
        <v>2</v>
      </c>
      <c r="T792" s="208">
        <f>IFERROR(__xludf.DUMMYFUNCTION("""COMPUTED_VALUE"""),1.0)</f>
        <v>1</v>
      </c>
      <c r="U792" s="275">
        <f>IFERROR(__xludf.DUMMYFUNCTION("""COMPUTED_VALUE"""),4495.0)</f>
        <v>4495</v>
      </c>
      <c r="V792" s="234" t="str">
        <f>IFERROR(__xludf.DUMMYFUNCTION("""COMPUTED_VALUE"""),"online")</f>
        <v>online</v>
      </c>
      <c r="W792" s="232" t="str">
        <f>IFERROR(__xludf.DUMMYFUNCTION("""COMPUTED_VALUE"""),"Sms")</f>
        <v>Sms</v>
      </c>
      <c r="X792" s="232" t="str">
        <f>IFERROR(__xludf.DUMMYFUNCTION("""COMPUTED_VALUE"""),"Event Buyers")</f>
        <v>Event Buyers</v>
      </c>
      <c r="Y792" s="232" t="str">
        <f>IFERROR(__xludf.DUMMYFUNCTION("""COMPUTED_VALUE"""),"27 May")</f>
        <v>27 May</v>
      </c>
      <c r="Z792" s="232" t="str">
        <f>IFERROR(__xludf.DUMMYFUNCTION("""COMPUTED_VALUE"""),"6a14446f0bedf45eb79cc301")</f>
        <v>6a14446f0bedf45eb79cc301</v>
      </c>
      <c r="AA792" s="277">
        <f>IFERROR(__xludf.DUMMYFUNCTION("""COMPUTED_VALUE"""),3.0)</f>
        <v>3</v>
      </c>
      <c r="AB792" s="277">
        <f>IFERROR(__xludf.DUMMYFUNCTION("""COMPUTED_VALUE"""),3.0)</f>
        <v>3</v>
      </c>
      <c r="AC792" s="277"/>
      <c r="AD792" s="277">
        <f>IFERROR(__xludf.DUMMYFUNCTION("""COMPUTED_VALUE"""),5214.0)</f>
        <v>5214</v>
      </c>
      <c r="AE792" s="277">
        <f>IFERROR(__xludf.DUMMYFUNCTION("""COMPUTED_VALUE"""),5214.0)</f>
        <v>5214</v>
      </c>
      <c r="AF792" s="277"/>
      <c r="AG792" s="208"/>
      <c r="AH792" s="208"/>
      <c r="AI792" s="208"/>
      <c r="AJ792" s="208"/>
      <c r="AK792" s="208"/>
    </row>
    <row r="793" hidden="1">
      <c r="A793" s="288">
        <f>IFERROR(__xludf.DUMMYFUNCTION("""COMPUTED_VALUE"""),46169.0)</f>
        <v>46169</v>
      </c>
      <c r="B793" s="274">
        <f>IFERROR(__xludf.DUMMYFUNCTION("""COMPUTED_VALUE"""),0.8125)</f>
        <v>0.8125</v>
      </c>
      <c r="C793" s="208" t="str">
        <f>IFERROR(__xludf.DUMMYFUNCTION("""COMPUTED_VALUE"""),"Sms")</f>
        <v>Sms</v>
      </c>
      <c r="D793" s="208" t="str">
        <f>IFERROR(__xludf.DUMMYFUNCTION("""COMPUTED_VALUE"""),"Fallback campaign")</f>
        <v>Fallback campaign</v>
      </c>
      <c r="E793" s="208" t="str">
        <f>IFERROR(__xludf.DUMMYFUNCTION("""COMPUTED_VALUE"""),"BBW")</f>
        <v>BBW</v>
      </c>
      <c r="F793" s="208" t="str">
        <f>IFERROR(__xludf.DUMMYFUNCTION("""COMPUTED_VALUE"""),"Body Care at 899 - Seasonal Body Care")</f>
        <v>Body Care at 899 - Seasonal Body Care</v>
      </c>
      <c r="G793" s="208" t="str">
        <f>IFERROR(__xludf.DUMMYFUNCTION("""COMPUTED_VALUE"""),"bbw_smsfb_seasonal_bcat899_27may_bc_cart_value_online")</f>
        <v>bbw_smsfb_seasonal_bcat899_27may_bc_cart_value_online</v>
      </c>
      <c r="H793" s="232" t="str">
        <f>IFERROR(__xludf.DUMMYFUNCTION("""COMPUTED_VALUE"""),"BBW_ON_BC_1100_1_time_365D")</f>
        <v>BBW_ON_BC_1100_1_time_365D</v>
      </c>
      <c r="I793" s="233" t="str">
        <f>IFERROR(__xludf.DUMMYFUNCTION("""COMPUTED_VALUE"""),"WA Undelivered")</f>
        <v>WA Undelivered</v>
      </c>
      <c r="J793" s="275">
        <f>IFERROR(__xludf.DUMMYFUNCTION("""COMPUTED_VALUE"""),2801.0)</f>
        <v>2801</v>
      </c>
      <c r="K793" s="275">
        <f>IFERROR(__xludf.DUMMYFUNCTION("""COMPUTED_VALUE"""),1751.0)</f>
        <v>1751</v>
      </c>
      <c r="L793" s="276">
        <f>IFERROR(__xludf.DUMMYFUNCTION("""COMPUTED_VALUE"""),0.6251)</f>
        <v>0.6251</v>
      </c>
      <c r="M793" s="275">
        <f>IFERROR(__xludf.DUMMYFUNCTION("""COMPUTED_VALUE"""),0.0)</f>
        <v>0</v>
      </c>
      <c r="N793" s="276">
        <f>IFERROR(__xludf.DUMMYFUNCTION("""COMPUTED_VALUE"""),0.0)</f>
        <v>0</v>
      </c>
      <c r="O793" s="208">
        <f>IFERROR(__xludf.DUMMYFUNCTION("""COMPUTED_VALUE"""),5.0)</f>
        <v>5</v>
      </c>
      <c r="P793" s="208">
        <f>IFERROR(__xludf.DUMMYFUNCTION("""COMPUTED_VALUE"""),0.0)</f>
        <v>0</v>
      </c>
      <c r="Q793" s="276">
        <f>IFERROR(__xludf.DUMMYFUNCTION("""COMPUTED_VALUE"""),0.0029)</f>
        <v>0.0029</v>
      </c>
      <c r="R793" s="276">
        <f>IFERROR(__xludf.DUMMYFUNCTION("""COMPUTED_VALUE"""),0.0)</f>
        <v>0</v>
      </c>
      <c r="S793" s="208">
        <f>IFERROR(__xludf.DUMMYFUNCTION("""COMPUTED_VALUE"""),0.0)</f>
        <v>0</v>
      </c>
      <c r="T793" s="208">
        <f>IFERROR(__xludf.DUMMYFUNCTION("""COMPUTED_VALUE"""),0.0)</f>
        <v>0</v>
      </c>
      <c r="U793" s="275">
        <f>IFERROR(__xludf.DUMMYFUNCTION("""COMPUTED_VALUE"""),0.0)</f>
        <v>0</v>
      </c>
      <c r="V793" s="234" t="str">
        <f>IFERROR(__xludf.DUMMYFUNCTION("""COMPUTED_VALUE"""),"online")</f>
        <v>online</v>
      </c>
      <c r="W793" s="232" t="str">
        <f>IFERROR(__xludf.DUMMYFUNCTION("""COMPUTED_VALUE"""),"Sms")</f>
        <v>Sms</v>
      </c>
      <c r="X793" s="232" t="str">
        <f>IFERROR(__xludf.DUMMYFUNCTION("""COMPUTED_VALUE"""),"Cart Value")</f>
        <v>Cart Value</v>
      </c>
      <c r="Y793" s="232" t="str">
        <f>IFERROR(__xludf.DUMMYFUNCTION("""COMPUTED_VALUE"""),"27 May")</f>
        <v>27 May</v>
      </c>
      <c r="Z793" s="232" t="str">
        <f>IFERROR(__xludf.DUMMYFUNCTION("""COMPUTED_VALUE"""),"6a1444b1074736769438121e")</f>
        <v>6a1444b1074736769438121e</v>
      </c>
      <c r="AA793" s="277">
        <f>IFERROR(__xludf.DUMMYFUNCTION("""COMPUTED_VALUE"""),1.0)</f>
        <v>1</v>
      </c>
      <c r="AB793" s="277">
        <f>IFERROR(__xludf.DUMMYFUNCTION("""COMPUTED_VALUE"""),1.0)</f>
        <v>1</v>
      </c>
      <c r="AC793" s="277"/>
      <c r="AD793" s="277">
        <f>IFERROR(__xludf.DUMMYFUNCTION("""COMPUTED_VALUE"""),899.0)</f>
        <v>899</v>
      </c>
      <c r="AE793" s="277">
        <f>IFERROR(__xludf.DUMMYFUNCTION("""COMPUTED_VALUE"""),899.0)</f>
        <v>899</v>
      </c>
      <c r="AF793" s="277"/>
      <c r="AG793" s="208"/>
      <c r="AH793" s="208"/>
      <c r="AI793" s="208"/>
      <c r="AJ793" s="208"/>
      <c r="AK793" s="208"/>
    </row>
    <row r="794" hidden="1">
      <c r="A794" s="288">
        <f>IFERROR(__xludf.DUMMYFUNCTION("""COMPUTED_VALUE"""),46171.0)</f>
        <v>46171</v>
      </c>
      <c r="B794" s="274">
        <f>IFERROR(__xludf.DUMMYFUNCTION("""COMPUTED_VALUE"""),0.8333333333321207)</f>
        <v>0.8333333333</v>
      </c>
      <c r="C794" s="208" t="str">
        <f>IFERROR(__xludf.DUMMYFUNCTION("""COMPUTED_VALUE"""),"Sms")</f>
        <v>Sms</v>
      </c>
      <c r="D794" s="208" t="str">
        <f>IFERROR(__xludf.DUMMYFUNCTION("""COMPUTED_VALUE"""),"Fallback campaign")</f>
        <v>Fallback campaign</v>
      </c>
      <c r="E794" s="208" t="str">
        <f>IFERROR(__xludf.DUMMYFUNCTION("""COMPUTED_VALUE"""),"BBW")</f>
        <v>BBW</v>
      </c>
      <c r="F794" s="208" t="str">
        <f>IFERROR(__xludf.DUMMYFUNCTION("""COMPUTED_VALUE"""),"BC Tier Discount - Body Care")</f>
        <v>BC Tier Discount - Body Care</v>
      </c>
      <c r="G794" s="208" t="str">
        <f>IFERROR(__xludf.DUMMYFUNCTION("""COMPUTED_VALUE"""),"bbw_smsfb_bc_tier_discount_29may_repeat_offline")</f>
        <v>bbw_smsfb_bc_tier_discount_29may_repeat_offline</v>
      </c>
      <c r="H794" s="232" t="str">
        <f>IFERROR(__xludf.DUMMYFUNCTION("""COMPUTED_VALUE"""),"BodyCare_Repeat_180D_OFF")</f>
        <v>BodyCare_Repeat_180D_OFF</v>
      </c>
      <c r="I794" s="233" t="str">
        <f>IFERROR(__xludf.DUMMYFUNCTION("""COMPUTED_VALUE"""),"WA Undelivered")</f>
        <v>WA Undelivered</v>
      </c>
      <c r="J794" s="275">
        <f>IFERROR(__xludf.DUMMYFUNCTION("""COMPUTED_VALUE"""),8664.0)</f>
        <v>8664</v>
      </c>
      <c r="K794" s="275">
        <f>IFERROR(__xludf.DUMMYFUNCTION("""COMPUTED_VALUE"""),4673.0)</f>
        <v>4673</v>
      </c>
      <c r="L794" s="276">
        <f>IFERROR(__xludf.DUMMYFUNCTION("""COMPUTED_VALUE"""),0.5394)</f>
        <v>0.5394</v>
      </c>
      <c r="M794" s="275">
        <f>IFERROR(__xludf.DUMMYFUNCTION("""COMPUTED_VALUE"""),0.0)</f>
        <v>0</v>
      </c>
      <c r="N794" s="276">
        <f>IFERROR(__xludf.DUMMYFUNCTION("""COMPUTED_VALUE"""),0.0)</f>
        <v>0</v>
      </c>
      <c r="O794" s="208">
        <f>IFERROR(__xludf.DUMMYFUNCTION("""COMPUTED_VALUE"""),16.0)</f>
        <v>16</v>
      </c>
      <c r="P794" s="208">
        <f>IFERROR(__xludf.DUMMYFUNCTION("""COMPUTED_VALUE"""),0.0)</f>
        <v>0</v>
      </c>
      <c r="Q794" s="276">
        <f>IFERROR(__xludf.DUMMYFUNCTION("""COMPUTED_VALUE"""),0.0034)</f>
        <v>0.0034</v>
      </c>
      <c r="R794" s="276">
        <f>IFERROR(__xludf.DUMMYFUNCTION("""COMPUTED_VALUE"""),0.0)</f>
        <v>0</v>
      </c>
      <c r="S794" s="208">
        <f>IFERROR(__xludf.DUMMYFUNCTION("""COMPUTED_VALUE"""),0.0)</f>
        <v>0</v>
      </c>
      <c r="T794" s="208">
        <f>IFERROR(__xludf.DUMMYFUNCTION("""COMPUTED_VALUE"""),2.0)</f>
        <v>2</v>
      </c>
      <c r="U794" s="275">
        <f>IFERROR(__xludf.DUMMYFUNCTION("""COMPUTED_VALUE"""),0.0)</f>
        <v>0</v>
      </c>
      <c r="V794" s="234" t="str">
        <f>IFERROR(__xludf.DUMMYFUNCTION("""COMPUTED_VALUE"""),"offline")</f>
        <v>offline</v>
      </c>
      <c r="W794" s="232" t="str">
        <f>IFERROR(__xludf.DUMMYFUNCTION("""COMPUTED_VALUE"""),"Sms")</f>
        <v>Sms</v>
      </c>
      <c r="X794" s="232" t="str">
        <f>IFERROR(__xludf.DUMMYFUNCTION("""COMPUTED_VALUE"""),"Repeat - Body Care")</f>
        <v>Repeat - Body Care</v>
      </c>
      <c r="Y794" s="232" t="str">
        <f>IFERROR(__xludf.DUMMYFUNCTION("""COMPUTED_VALUE"""),"29 May")</f>
        <v>29 May</v>
      </c>
      <c r="Z794" s="232" t="str">
        <f>IFERROR(__xludf.DUMMYFUNCTION("""COMPUTED_VALUE"""),"6a17e4d14c61f611809c6bfa")</f>
        <v>6a17e4d14c61f611809c6bfa</v>
      </c>
      <c r="AA794" s="277">
        <f>IFERROR(__xludf.DUMMYFUNCTION("""COMPUTED_VALUE"""),22.0)</f>
        <v>22</v>
      </c>
      <c r="AB794" s="277"/>
      <c r="AC794" s="277">
        <f>IFERROR(__xludf.DUMMYFUNCTION("""COMPUTED_VALUE"""),22.0)</f>
        <v>22</v>
      </c>
      <c r="AD794" s="277">
        <f>IFERROR(__xludf.DUMMYFUNCTION("""COMPUTED_VALUE"""),90207.0)</f>
        <v>90207</v>
      </c>
      <c r="AE794" s="277"/>
      <c r="AF794" s="277">
        <f>IFERROR(__xludf.DUMMYFUNCTION("""COMPUTED_VALUE"""),90207.0)</f>
        <v>90207</v>
      </c>
      <c r="AG794" s="208"/>
      <c r="AH794" s="208"/>
      <c r="AI794" s="208"/>
      <c r="AJ794" s="208"/>
      <c r="AK794" s="208"/>
    </row>
    <row r="795" hidden="1">
      <c r="A795" s="288">
        <f>IFERROR(__xludf.DUMMYFUNCTION("""COMPUTED_VALUE"""),46171.0)</f>
        <v>46171</v>
      </c>
      <c r="B795" s="274">
        <f>IFERROR(__xludf.DUMMYFUNCTION("""COMPUTED_VALUE"""),0.8333333333321207)</f>
        <v>0.8333333333</v>
      </c>
      <c r="C795" s="208" t="str">
        <f>IFERROR(__xludf.DUMMYFUNCTION("""COMPUTED_VALUE"""),"Sms")</f>
        <v>Sms</v>
      </c>
      <c r="D795" s="208" t="str">
        <f>IFERROR(__xludf.DUMMYFUNCTION("""COMPUTED_VALUE"""),"Fallback campaign")</f>
        <v>Fallback campaign</v>
      </c>
      <c r="E795" s="208" t="str">
        <f>IFERROR(__xludf.DUMMYFUNCTION("""COMPUTED_VALUE"""),"BBW")</f>
        <v>BBW</v>
      </c>
      <c r="F795" s="208" t="str">
        <f>IFERROR(__xludf.DUMMYFUNCTION("""COMPUTED_VALUE"""),"BC Tier Discount - Body Care")</f>
        <v>BC Tier Discount - Body Care</v>
      </c>
      <c r="G795" s="208" t="str">
        <f>IFERROR(__xludf.DUMMYFUNCTION("""COMPUTED_VALUE"""),"bbw_smsfb_bc_tier_discount_29may_aov_offline")</f>
        <v>bbw_smsfb_bc_tier_discount_29may_aov_offline</v>
      </c>
      <c r="H795" s="232" t="str">
        <f>IFERROR(__xludf.DUMMYFUNCTION("""COMPUTED_VALUE"""),"BodyCare_AOV_1000_OFF")</f>
        <v>BodyCare_AOV_1000_OFF</v>
      </c>
      <c r="I795" s="233" t="str">
        <f>IFERROR(__xludf.DUMMYFUNCTION("""COMPUTED_VALUE"""),"WA Undelivered")</f>
        <v>WA Undelivered</v>
      </c>
      <c r="J795" s="275">
        <f>IFERROR(__xludf.DUMMYFUNCTION("""COMPUTED_VALUE"""),4032.0)</f>
        <v>4032</v>
      </c>
      <c r="K795" s="275">
        <f>IFERROR(__xludf.DUMMYFUNCTION("""COMPUTED_VALUE"""),2435.0)</f>
        <v>2435</v>
      </c>
      <c r="L795" s="276">
        <f>IFERROR(__xludf.DUMMYFUNCTION("""COMPUTED_VALUE"""),0.6039)</f>
        <v>0.6039</v>
      </c>
      <c r="M795" s="275">
        <f>IFERROR(__xludf.DUMMYFUNCTION("""COMPUTED_VALUE"""),0.0)</f>
        <v>0</v>
      </c>
      <c r="N795" s="276">
        <f>IFERROR(__xludf.DUMMYFUNCTION("""COMPUTED_VALUE"""),0.0)</f>
        <v>0</v>
      </c>
      <c r="O795" s="208">
        <f>IFERROR(__xludf.DUMMYFUNCTION("""COMPUTED_VALUE"""),4.0)</f>
        <v>4</v>
      </c>
      <c r="P795" s="208">
        <f>IFERROR(__xludf.DUMMYFUNCTION("""COMPUTED_VALUE"""),0.0)</f>
        <v>0</v>
      </c>
      <c r="Q795" s="276">
        <f>IFERROR(__xludf.DUMMYFUNCTION("""COMPUTED_VALUE"""),0.0016)</f>
        <v>0.0016</v>
      </c>
      <c r="R795" s="276">
        <f>IFERROR(__xludf.DUMMYFUNCTION("""COMPUTED_VALUE"""),0.0)</f>
        <v>0</v>
      </c>
      <c r="S795" s="208">
        <f>IFERROR(__xludf.DUMMYFUNCTION("""COMPUTED_VALUE"""),0.0)</f>
        <v>0</v>
      </c>
      <c r="T795" s="208">
        <f>IFERROR(__xludf.DUMMYFUNCTION("""COMPUTED_VALUE"""),1.0)</f>
        <v>1</v>
      </c>
      <c r="U795" s="275">
        <f>IFERROR(__xludf.DUMMYFUNCTION("""COMPUTED_VALUE"""),0.0)</f>
        <v>0</v>
      </c>
      <c r="V795" s="234" t="str">
        <f>IFERROR(__xludf.DUMMYFUNCTION("""COMPUTED_VALUE"""),"offline")</f>
        <v>offline</v>
      </c>
      <c r="W795" s="232" t="str">
        <f>IFERROR(__xludf.DUMMYFUNCTION("""COMPUTED_VALUE"""),"Sms")</f>
        <v>Sms</v>
      </c>
      <c r="X795" s="232" t="str">
        <f>IFERROR(__xludf.DUMMYFUNCTION("""COMPUTED_VALUE"""),"Cat Buyer - Body Care + Cart Value")</f>
        <v>Cat Buyer - Body Care + Cart Value</v>
      </c>
      <c r="Y795" s="232" t="str">
        <f>IFERROR(__xludf.DUMMYFUNCTION("""COMPUTED_VALUE"""),"29 May")</f>
        <v>29 May</v>
      </c>
      <c r="Z795" s="232" t="str">
        <f>IFERROR(__xludf.DUMMYFUNCTION("""COMPUTED_VALUE"""),"6a17e5093d8ee0c77da9a494")</f>
        <v>6a17e5093d8ee0c77da9a494</v>
      </c>
      <c r="AA795" s="277">
        <f>IFERROR(__xludf.DUMMYFUNCTION("""COMPUTED_VALUE"""),0.0)</f>
        <v>0</v>
      </c>
      <c r="AB795" s="277"/>
      <c r="AC795" s="277">
        <f>IFERROR(__xludf.DUMMYFUNCTION("""COMPUTED_VALUE"""),0.0)</f>
        <v>0</v>
      </c>
      <c r="AD795" s="277">
        <f>IFERROR(__xludf.DUMMYFUNCTION("""COMPUTED_VALUE"""),0.0)</f>
        <v>0</v>
      </c>
      <c r="AE795" s="277"/>
      <c r="AF795" s="277">
        <f>IFERROR(__xludf.DUMMYFUNCTION("""COMPUTED_VALUE"""),0.0)</f>
        <v>0</v>
      </c>
      <c r="AG795" s="208"/>
      <c r="AH795" s="208"/>
      <c r="AI795" s="208"/>
      <c r="AJ795" s="208"/>
      <c r="AK795" s="208"/>
    </row>
    <row r="796" hidden="1">
      <c r="A796" s="288">
        <f>IFERROR(__xludf.DUMMYFUNCTION("""COMPUTED_VALUE"""),46171.0)</f>
        <v>46171</v>
      </c>
      <c r="B796" s="274">
        <f>IFERROR(__xludf.DUMMYFUNCTION("""COMPUTED_VALUE"""),0.8333333333321207)</f>
        <v>0.8333333333</v>
      </c>
      <c r="C796" s="208" t="str">
        <f>IFERROR(__xludf.DUMMYFUNCTION("""COMPUTED_VALUE"""),"Sms")</f>
        <v>Sms</v>
      </c>
      <c r="D796" s="208" t="str">
        <f>IFERROR(__xludf.DUMMYFUNCTION("""COMPUTED_VALUE"""),"Fallback campaign")</f>
        <v>Fallback campaign</v>
      </c>
      <c r="E796" s="208" t="str">
        <f>IFERROR(__xludf.DUMMYFUNCTION("""COMPUTED_VALUE"""),"BBW")</f>
        <v>BBW</v>
      </c>
      <c r="F796" s="208" t="str">
        <f>IFERROR(__xludf.DUMMYFUNCTION("""COMPUTED_VALUE"""),"BC Tier Discount - Body Care")</f>
        <v>BC Tier Discount - Body Care</v>
      </c>
      <c r="G796" s="208" t="str">
        <f>IFERROR(__xludf.DUMMYFUNCTION("""COMPUTED_VALUE"""),"bbw_smsfb_bc_tier_discount_29may_event_offline")</f>
        <v>bbw_smsfb_bc_tier_discount_29may_event_offline</v>
      </c>
      <c r="H796" s="232" t="str">
        <f>IFERROR(__xludf.DUMMYFUNCTION("""COMPUTED_VALUE"""),"BC_EventBuyers_OFF")</f>
        <v>BC_EventBuyers_OFF</v>
      </c>
      <c r="I796" s="233" t="str">
        <f>IFERROR(__xludf.DUMMYFUNCTION("""COMPUTED_VALUE"""),"WA Undelivered")</f>
        <v>WA Undelivered</v>
      </c>
      <c r="J796" s="275">
        <f>IFERROR(__xludf.DUMMYFUNCTION("""COMPUTED_VALUE"""),9799.0)</f>
        <v>9799</v>
      </c>
      <c r="K796" s="275">
        <f>IFERROR(__xludf.DUMMYFUNCTION("""COMPUTED_VALUE"""),5651.0)</f>
        <v>5651</v>
      </c>
      <c r="L796" s="276">
        <f>IFERROR(__xludf.DUMMYFUNCTION("""COMPUTED_VALUE"""),0.5767)</f>
        <v>0.5767</v>
      </c>
      <c r="M796" s="275">
        <f>IFERROR(__xludf.DUMMYFUNCTION("""COMPUTED_VALUE"""),0.0)</f>
        <v>0</v>
      </c>
      <c r="N796" s="276">
        <f>IFERROR(__xludf.DUMMYFUNCTION("""COMPUTED_VALUE"""),0.0)</f>
        <v>0</v>
      </c>
      <c r="O796" s="208">
        <f>IFERROR(__xludf.DUMMYFUNCTION("""COMPUTED_VALUE"""),10.0)</f>
        <v>10</v>
      </c>
      <c r="P796" s="208">
        <f>IFERROR(__xludf.DUMMYFUNCTION("""COMPUTED_VALUE"""),0.0)</f>
        <v>0</v>
      </c>
      <c r="Q796" s="276">
        <f>IFERROR(__xludf.DUMMYFUNCTION("""COMPUTED_VALUE"""),0.0018)</f>
        <v>0.0018</v>
      </c>
      <c r="R796" s="276">
        <f>IFERROR(__xludf.DUMMYFUNCTION("""COMPUTED_VALUE"""),0.0)</f>
        <v>0</v>
      </c>
      <c r="S796" s="208">
        <f>IFERROR(__xludf.DUMMYFUNCTION("""COMPUTED_VALUE"""),0.0)</f>
        <v>0</v>
      </c>
      <c r="T796" s="208">
        <f>IFERROR(__xludf.DUMMYFUNCTION("""COMPUTED_VALUE"""),1.0)</f>
        <v>1</v>
      </c>
      <c r="U796" s="275">
        <f>IFERROR(__xludf.DUMMYFUNCTION("""COMPUTED_VALUE"""),0.0)</f>
        <v>0</v>
      </c>
      <c r="V796" s="234" t="str">
        <f>IFERROR(__xludf.DUMMYFUNCTION("""COMPUTED_VALUE"""),"offline")</f>
        <v>offline</v>
      </c>
      <c r="W796" s="232" t="str">
        <f>IFERROR(__xludf.DUMMYFUNCTION("""COMPUTED_VALUE"""),"Sms")</f>
        <v>Sms</v>
      </c>
      <c r="X796" s="232" t="str">
        <f>IFERROR(__xludf.DUMMYFUNCTION("""COMPUTED_VALUE"""),"Event Buyers")</f>
        <v>Event Buyers</v>
      </c>
      <c r="Y796" s="232" t="str">
        <f>IFERROR(__xludf.DUMMYFUNCTION("""COMPUTED_VALUE"""),"29 May")</f>
        <v>29 May</v>
      </c>
      <c r="Z796" s="232" t="str">
        <f>IFERROR(__xludf.DUMMYFUNCTION("""COMPUTED_VALUE"""),"6a17e5464c61f611809c6c3a")</f>
        <v>6a17e5464c61f611809c6c3a</v>
      </c>
      <c r="AA796" s="277">
        <f>IFERROR(__xludf.DUMMYFUNCTION("""COMPUTED_VALUE"""),9.0)</f>
        <v>9</v>
      </c>
      <c r="AB796" s="277"/>
      <c r="AC796" s="277">
        <f>IFERROR(__xludf.DUMMYFUNCTION("""COMPUTED_VALUE"""),9.0)</f>
        <v>9</v>
      </c>
      <c r="AD796" s="277">
        <f>IFERROR(__xludf.DUMMYFUNCTION("""COMPUTED_VALUE"""),24390.0)</f>
        <v>24390</v>
      </c>
      <c r="AE796" s="277"/>
      <c r="AF796" s="277">
        <f>IFERROR(__xludf.DUMMYFUNCTION("""COMPUTED_VALUE"""),24390.0)</f>
        <v>24390</v>
      </c>
      <c r="AG796" s="208"/>
      <c r="AH796" s="208"/>
      <c r="AI796" s="208"/>
      <c r="AJ796" s="208"/>
      <c r="AK796" s="208"/>
    </row>
    <row r="797" hidden="1">
      <c r="A797" s="288">
        <f>IFERROR(__xludf.DUMMYFUNCTION("""COMPUTED_VALUE"""),46171.0)</f>
        <v>46171</v>
      </c>
      <c r="B797" s="274">
        <f>IFERROR(__xludf.DUMMYFUNCTION("""COMPUTED_VALUE"""),0.8333333333321207)</f>
        <v>0.8333333333</v>
      </c>
      <c r="C797" s="208" t="str">
        <f>IFERROR(__xludf.DUMMYFUNCTION("""COMPUTED_VALUE"""),"Sms")</f>
        <v>Sms</v>
      </c>
      <c r="D797" s="208" t="str">
        <f>IFERROR(__xludf.DUMMYFUNCTION("""COMPUTED_VALUE"""),"Fallback campaign")</f>
        <v>Fallback campaign</v>
      </c>
      <c r="E797" s="208" t="str">
        <f>IFERROR(__xludf.DUMMYFUNCTION("""COMPUTED_VALUE"""),"BBW")</f>
        <v>BBW</v>
      </c>
      <c r="F797" s="208" t="str">
        <f>IFERROR(__xludf.DUMMYFUNCTION("""COMPUTED_VALUE"""),"BC Tier Discount - Body Care")</f>
        <v>BC Tier Discount - Body Care</v>
      </c>
      <c r="G797" s="208" t="str">
        <f>IFERROR(__xludf.DUMMYFUNCTION("""COMPUTED_VALUE"""),"bbw_smsfb_bc_tier_discount_29may_dormant_offline")</f>
        <v>bbw_smsfb_bc_tier_discount_29may_dormant_offline</v>
      </c>
      <c r="H797" s="232" t="str">
        <f>IFERROR(__xludf.DUMMYFUNCTION("""COMPUTED_VALUE"""),"BC_Dormant_1Y_OFF")</f>
        <v>BC_Dormant_1Y_OFF</v>
      </c>
      <c r="I797" s="233" t="str">
        <f>IFERROR(__xludf.DUMMYFUNCTION("""COMPUTED_VALUE"""),"WA Undelivered")</f>
        <v>WA Undelivered</v>
      </c>
      <c r="J797" s="275">
        <f>IFERROR(__xludf.DUMMYFUNCTION("""COMPUTED_VALUE"""),41289.0)</f>
        <v>41289</v>
      </c>
      <c r="K797" s="275">
        <f>IFERROR(__xludf.DUMMYFUNCTION("""COMPUTED_VALUE"""),23543.0)</f>
        <v>23543</v>
      </c>
      <c r="L797" s="276">
        <f>IFERROR(__xludf.DUMMYFUNCTION("""COMPUTED_VALUE"""),0.5702)</f>
        <v>0.5702</v>
      </c>
      <c r="M797" s="275">
        <f>IFERROR(__xludf.DUMMYFUNCTION("""COMPUTED_VALUE"""),0.0)</f>
        <v>0</v>
      </c>
      <c r="N797" s="276">
        <f>IFERROR(__xludf.DUMMYFUNCTION("""COMPUTED_VALUE"""),0.0)</f>
        <v>0</v>
      </c>
      <c r="O797" s="208">
        <f>IFERROR(__xludf.DUMMYFUNCTION("""COMPUTED_VALUE"""),28.0)</f>
        <v>28</v>
      </c>
      <c r="P797" s="208">
        <f>IFERROR(__xludf.DUMMYFUNCTION("""COMPUTED_VALUE"""),0.0)</f>
        <v>0</v>
      </c>
      <c r="Q797" s="276">
        <f>IFERROR(__xludf.DUMMYFUNCTION("""COMPUTED_VALUE"""),0.0012)</f>
        <v>0.0012</v>
      </c>
      <c r="R797" s="276">
        <f>IFERROR(__xludf.DUMMYFUNCTION("""COMPUTED_VALUE"""),0.0)</f>
        <v>0</v>
      </c>
      <c r="S797" s="208">
        <f>IFERROR(__xludf.DUMMYFUNCTION("""COMPUTED_VALUE"""),2.0)</f>
        <v>2</v>
      </c>
      <c r="T797" s="208">
        <f>IFERROR(__xludf.DUMMYFUNCTION("""COMPUTED_VALUE"""),4.0)</f>
        <v>4</v>
      </c>
      <c r="U797" s="275">
        <f>IFERROR(__xludf.DUMMYFUNCTION("""COMPUTED_VALUE"""),4630.0)</f>
        <v>4630</v>
      </c>
      <c r="V797" s="234" t="str">
        <f>IFERROR(__xludf.DUMMYFUNCTION("""COMPUTED_VALUE"""),"offline")</f>
        <v>offline</v>
      </c>
      <c r="W797" s="232" t="str">
        <f>IFERROR(__xludf.DUMMYFUNCTION("""COMPUTED_VALUE"""),"Sms")</f>
        <v>Sms</v>
      </c>
      <c r="X797" s="232" t="str">
        <f>IFERROR(__xludf.DUMMYFUNCTION("""COMPUTED_VALUE"""),"Dormant - Body Care")</f>
        <v>Dormant - Body Care</v>
      </c>
      <c r="Y797" s="232" t="str">
        <f>IFERROR(__xludf.DUMMYFUNCTION("""COMPUTED_VALUE"""),"29 May")</f>
        <v>29 May</v>
      </c>
      <c r="Z797" s="232" t="str">
        <f>IFERROR(__xludf.DUMMYFUNCTION("""COMPUTED_VALUE"""),"6a17e578ca0c325dda316bad")</f>
        <v>6a17e578ca0c325dda316bad</v>
      </c>
      <c r="AA797" s="277">
        <f>IFERROR(__xludf.DUMMYFUNCTION("""COMPUTED_VALUE"""),24.0)</f>
        <v>24</v>
      </c>
      <c r="AB797" s="277"/>
      <c r="AC797" s="277">
        <f>IFERROR(__xludf.DUMMYFUNCTION("""COMPUTED_VALUE"""),24.0)</f>
        <v>24</v>
      </c>
      <c r="AD797" s="277">
        <f>IFERROR(__xludf.DUMMYFUNCTION("""COMPUTED_VALUE"""),101240.0)</f>
        <v>101240</v>
      </c>
      <c r="AE797" s="277"/>
      <c r="AF797" s="277">
        <f>IFERROR(__xludf.DUMMYFUNCTION("""COMPUTED_VALUE"""),101240.0)</f>
        <v>101240</v>
      </c>
      <c r="AG797" s="208"/>
      <c r="AH797" s="208"/>
      <c r="AI797" s="208"/>
      <c r="AJ797" s="208"/>
      <c r="AK797" s="208"/>
    </row>
    <row r="798" hidden="1">
      <c r="A798" s="288">
        <f>IFERROR(__xludf.DUMMYFUNCTION("""COMPUTED_VALUE"""),46171.0)</f>
        <v>46171</v>
      </c>
      <c r="B798" s="274">
        <f>IFERROR(__xludf.DUMMYFUNCTION("""COMPUTED_VALUE"""),0.8333333333321207)</f>
        <v>0.8333333333</v>
      </c>
      <c r="C798" s="208" t="str">
        <f>IFERROR(__xludf.DUMMYFUNCTION("""COMPUTED_VALUE"""),"Sms")</f>
        <v>Sms</v>
      </c>
      <c r="D798" s="208" t="str">
        <f>IFERROR(__xludf.DUMMYFUNCTION("""COMPUTED_VALUE"""),"Fallback campaign")</f>
        <v>Fallback campaign</v>
      </c>
      <c r="E798" s="208" t="str">
        <f>IFERROR(__xludf.DUMMYFUNCTION("""COMPUTED_VALUE"""),"BBW")</f>
        <v>BBW</v>
      </c>
      <c r="F798" s="208" t="str">
        <f>IFERROR(__xludf.DUMMYFUNCTION("""COMPUTED_VALUE"""),"BC Tier Discount - Body Care")</f>
        <v>BC Tier Discount - Body Care</v>
      </c>
      <c r="G798" s="208" t="str">
        <f>IFERROR(__xludf.DUMMYFUNCTION("""COMPUTED_VALUE"""),"bbw_smsfb_bc_tier_discount_29may_disc_buyers_offline")</f>
        <v>bbw_smsfb_bc_tier_discount_29may_disc_buyers_offline</v>
      </c>
      <c r="H798" s="232" t="str">
        <f>IFERROR(__xludf.DUMMYFUNCTION("""COMPUTED_VALUE"""),"BC_Disc_Buyers_OFF")</f>
        <v>BC_Disc_Buyers_OFF</v>
      </c>
      <c r="I798" s="233" t="str">
        <f>IFERROR(__xludf.DUMMYFUNCTION("""COMPUTED_VALUE"""),"WA Undelivered")</f>
        <v>WA Undelivered</v>
      </c>
      <c r="J798" s="275">
        <f>IFERROR(__xludf.DUMMYFUNCTION("""COMPUTED_VALUE"""),18785.0)</f>
        <v>18785</v>
      </c>
      <c r="K798" s="275">
        <f>IFERROR(__xludf.DUMMYFUNCTION("""COMPUTED_VALUE"""),10863.0)</f>
        <v>10863</v>
      </c>
      <c r="L798" s="276">
        <f>IFERROR(__xludf.DUMMYFUNCTION("""COMPUTED_VALUE"""),0.5783)</f>
        <v>0.5783</v>
      </c>
      <c r="M798" s="275">
        <f>IFERROR(__xludf.DUMMYFUNCTION("""COMPUTED_VALUE"""),0.0)</f>
        <v>0</v>
      </c>
      <c r="N798" s="276">
        <f>IFERROR(__xludf.DUMMYFUNCTION("""COMPUTED_VALUE"""),0.0)</f>
        <v>0</v>
      </c>
      <c r="O798" s="208">
        <f>IFERROR(__xludf.DUMMYFUNCTION("""COMPUTED_VALUE"""),15.0)</f>
        <v>15</v>
      </c>
      <c r="P798" s="208">
        <f>IFERROR(__xludf.DUMMYFUNCTION("""COMPUTED_VALUE"""),0.0)</f>
        <v>0</v>
      </c>
      <c r="Q798" s="276">
        <f>IFERROR(__xludf.DUMMYFUNCTION("""COMPUTED_VALUE"""),0.0014)</f>
        <v>0.0014</v>
      </c>
      <c r="R798" s="276">
        <f>IFERROR(__xludf.DUMMYFUNCTION("""COMPUTED_VALUE"""),0.0)</f>
        <v>0</v>
      </c>
      <c r="S798" s="208">
        <f>IFERROR(__xludf.DUMMYFUNCTION("""COMPUTED_VALUE"""),0.0)</f>
        <v>0</v>
      </c>
      <c r="T798" s="208">
        <f>IFERROR(__xludf.DUMMYFUNCTION("""COMPUTED_VALUE"""),1.0)</f>
        <v>1</v>
      </c>
      <c r="U798" s="275">
        <f>IFERROR(__xludf.DUMMYFUNCTION("""COMPUTED_VALUE"""),0.0)</f>
        <v>0</v>
      </c>
      <c r="V798" s="234" t="str">
        <f>IFERROR(__xludf.DUMMYFUNCTION("""COMPUTED_VALUE"""),"offline")</f>
        <v>offline</v>
      </c>
      <c r="W798" s="232" t="str">
        <f>IFERROR(__xludf.DUMMYFUNCTION("""COMPUTED_VALUE"""),"Sms")</f>
        <v>Sms</v>
      </c>
      <c r="X798" s="232" t="str">
        <f>IFERROR(__xludf.DUMMYFUNCTION("""COMPUTED_VALUE"""),"Discount Buyers")</f>
        <v>Discount Buyers</v>
      </c>
      <c r="Y798" s="232" t="str">
        <f>IFERROR(__xludf.DUMMYFUNCTION("""COMPUTED_VALUE"""),"29 May")</f>
        <v>29 May</v>
      </c>
      <c r="Z798" s="232" t="str">
        <f>IFERROR(__xludf.DUMMYFUNCTION("""COMPUTED_VALUE"""),"6a17e5d604661f239d6f533e")</f>
        <v>6a17e5d604661f239d6f533e</v>
      </c>
      <c r="AA798" s="277">
        <f>IFERROR(__xludf.DUMMYFUNCTION("""COMPUTED_VALUE"""),7.0)</f>
        <v>7</v>
      </c>
      <c r="AB798" s="277"/>
      <c r="AC798" s="277">
        <f>IFERROR(__xludf.DUMMYFUNCTION("""COMPUTED_VALUE"""),7.0)</f>
        <v>7</v>
      </c>
      <c r="AD798" s="277">
        <f>IFERROR(__xludf.DUMMYFUNCTION("""COMPUTED_VALUE"""),40030.0)</f>
        <v>40030</v>
      </c>
      <c r="AE798" s="277"/>
      <c r="AF798" s="277">
        <f>IFERROR(__xludf.DUMMYFUNCTION("""COMPUTED_VALUE"""),40030.0)</f>
        <v>40030</v>
      </c>
      <c r="AG798" s="208"/>
      <c r="AH798" s="208"/>
      <c r="AI798" s="208"/>
      <c r="AJ798" s="208"/>
      <c r="AK798" s="208"/>
    </row>
    <row r="799" hidden="1">
      <c r="A799" s="288">
        <f>IFERROR(__xludf.DUMMYFUNCTION("""COMPUTED_VALUE"""),46172.0)</f>
        <v>46172</v>
      </c>
      <c r="B799" s="274">
        <f>IFERROR(__xludf.DUMMYFUNCTION("""COMPUTED_VALUE"""),0.5625)</f>
        <v>0.5625</v>
      </c>
      <c r="C799" s="208" t="str">
        <f>IFERROR(__xludf.DUMMYFUNCTION("""COMPUTED_VALUE"""),"Sms")</f>
        <v>Sms</v>
      </c>
      <c r="D799" s="208" t="str">
        <f>IFERROR(__xludf.DUMMYFUNCTION("""COMPUTED_VALUE"""),"Fallback campaign")</f>
        <v>Fallback campaign</v>
      </c>
      <c r="E799" s="208" t="str">
        <f>IFERROR(__xludf.DUMMYFUNCTION("""COMPUTED_VALUE"""),"BBW")</f>
        <v>BBW</v>
      </c>
      <c r="F799" s="208" t="str">
        <f>IFERROR(__xludf.DUMMYFUNCTION("""COMPUTED_VALUE"""),"BC Tier Discount - Body Care")</f>
        <v>BC Tier Discount - Body Care</v>
      </c>
      <c r="G799" s="208" t="str">
        <f>IFERROR(__xludf.DUMMYFUNCTION("""COMPUTED_VALUE"""),"bbw_smsfb_bc_tier_discount_29may_lastreminder_repeat_offline")</f>
        <v>bbw_smsfb_bc_tier_discount_29may_lastreminder_repeat_offline</v>
      </c>
      <c r="H799" s="232" t="str">
        <f>IFERROR(__xludf.DUMMYFUNCTION("""COMPUTED_VALUE"""),"BodyCare_Repeat_180D_OFF")</f>
        <v>BodyCare_Repeat_180D_OFF</v>
      </c>
      <c r="I799" s="233" t="str">
        <f>IFERROR(__xludf.DUMMYFUNCTION("""COMPUTED_VALUE"""),"WA Undelivered")</f>
        <v>WA Undelivered</v>
      </c>
      <c r="J799" s="275">
        <f>IFERROR(__xludf.DUMMYFUNCTION("""COMPUTED_VALUE"""),9731.0)</f>
        <v>9731</v>
      </c>
      <c r="K799" s="275">
        <f>IFERROR(__xludf.DUMMYFUNCTION("""COMPUTED_VALUE"""),5308.0)</f>
        <v>5308</v>
      </c>
      <c r="L799" s="276">
        <f>IFERROR(__xludf.DUMMYFUNCTION("""COMPUTED_VALUE"""),0.5455)</f>
        <v>0.5455</v>
      </c>
      <c r="M799" s="275">
        <f>IFERROR(__xludf.DUMMYFUNCTION("""COMPUTED_VALUE"""),0.0)</f>
        <v>0</v>
      </c>
      <c r="N799" s="276">
        <f>IFERROR(__xludf.DUMMYFUNCTION("""COMPUTED_VALUE"""),0.0)</f>
        <v>0</v>
      </c>
      <c r="O799" s="208">
        <f>IFERROR(__xludf.DUMMYFUNCTION("""COMPUTED_VALUE"""),5.0)</f>
        <v>5</v>
      </c>
      <c r="P799" s="208">
        <f>IFERROR(__xludf.DUMMYFUNCTION("""COMPUTED_VALUE"""),0.0)</f>
        <v>0</v>
      </c>
      <c r="Q799" s="276">
        <f>IFERROR(__xludf.DUMMYFUNCTION("""COMPUTED_VALUE"""),9.0E-4)</f>
        <v>0.0009</v>
      </c>
      <c r="R799" s="276">
        <f>IFERROR(__xludf.DUMMYFUNCTION("""COMPUTED_VALUE"""),0.0)</f>
        <v>0</v>
      </c>
      <c r="S799" s="208">
        <f>IFERROR(__xludf.DUMMYFUNCTION("""COMPUTED_VALUE"""),0.0)</f>
        <v>0</v>
      </c>
      <c r="T799" s="208">
        <f>IFERROR(__xludf.DUMMYFUNCTION("""COMPUTED_VALUE"""),0.0)</f>
        <v>0</v>
      </c>
      <c r="U799" s="275">
        <f>IFERROR(__xludf.DUMMYFUNCTION("""COMPUTED_VALUE"""),0.0)</f>
        <v>0</v>
      </c>
      <c r="V799" s="234" t="str">
        <f>IFERROR(__xludf.DUMMYFUNCTION("""COMPUTED_VALUE"""),"offline")</f>
        <v>offline</v>
      </c>
      <c r="W799" s="232" t="str">
        <f>IFERROR(__xludf.DUMMYFUNCTION("""COMPUTED_VALUE"""),"Sms")</f>
        <v>Sms</v>
      </c>
      <c r="X799" s="232" t="str">
        <f>IFERROR(__xludf.DUMMYFUNCTION("""COMPUTED_VALUE"""),"Repeat - Body Care")</f>
        <v>Repeat - Body Care</v>
      </c>
      <c r="Y799" s="232" t="str">
        <f>IFERROR(__xludf.DUMMYFUNCTION("""COMPUTED_VALUE"""),"30 May")</f>
        <v>30 May</v>
      </c>
      <c r="Z799" s="232" t="str">
        <f>IFERROR(__xludf.DUMMYFUNCTION("""COMPUTED_VALUE"""),"6a17e6f2c5b9c346603bb7d5")</f>
        <v>6a17e6f2c5b9c346603bb7d5</v>
      </c>
      <c r="AA799" s="277">
        <f>IFERROR(__xludf.DUMMYFUNCTION("""COMPUTED_VALUE"""),38.0)</f>
        <v>38</v>
      </c>
      <c r="AB799" s="277"/>
      <c r="AC799" s="277">
        <f>IFERROR(__xludf.DUMMYFUNCTION("""COMPUTED_VALUE"""),38.0)</f>
        <v>38</v>
      </c>
      <c r="AD799" s="277">
        <f>IFERROR(__xludf.DUMMYFUNCTION("""COMPUTED_VALUE"""),186618.0)</f>
        <v>186618</v>
      </c>
      <c r="AE799" s="277"/>
      <c r="AF799" s="277">
        <f>IFERROR(__xludf.DUMMYFUNCTION("""COMPUTED_VALUE"""),186618.0)</f>
        <v>186618</v>
      </c>
      <c r="AG799" s="208"/>
      <c r="AH799" s="208"/>
      <c r="AI799" s="208"/>
      <c r="AJ799" s="208"/>
      <c r="AK799" s="208"/>
    </row>
    <row r="800" hidden="1">
      <c r="A800" s="288">
        <f>IFERROR(__xludf.DUMMYFUNCTION("""COMPUTED_VALUE"""),46172.0)</f>
        <v>46172</v>
      </c>
      <c r="B800" s="274">
        <f>IFERROR(__xludf.DUMMYFUNCTION("""COMPUTED_VALUE"""),0.5625)</f>
        <v>0.5625</v>
      </c>
      <c r="C800" s="208" t="str">
        <f>IFERROR(__xludf.DUMMYFUNCTION("""COMPUTED_VALUE"""),"Sms")</f>
        <v>Sms</v>
      </c>
      <c r="D800" s="208" t="str">
        <f>IFERROR(__xludf.DUMMYFUNCTION("""COMPUTED_VALUE"""),"Fallback campaign")</f>
        <v>Fallback campaign</v>
      </c>
      <c r="E800" s="208" t="str">
        <f>IFERROR(__xludf.DUMMYFUNCTION("""COMPUTED_VALUE"""),"BBW")</f>
        <v>BBW</v>
      </c>
      <c r="F800" s="208" t="str">
        <f>IFERROR(__xludf.DUMMYFUNCTION("""COMPUTED_VALUE"""),"BC Tier Discount - Body Care")</f>
        <v>BC Tier Discount - Body Care</v>
      </c>
      <c r="G800" s="208" t="str">
        <f>IFERROR(__xludf.DUMMYFUNCTION("""COMPUTED_VALUE"""),"bbw_smsfb_bc_tier_discount_29may_lastreminder_aov_offline")</f>
        <v>bbw_smsfb_bc_tier_discount_29may_lastreminder_aov_offline</v>
      </c>
      <c r="H800" s="232" t="str">
        <f>IFERROR(__xludf.DUMMYFUNCTION("""COMPUTED_VALUE"""),"BodyCare_AOV_1000_OFF")</f>
        <v>BodyCare_AOV_1000_OFF</v>
      </c>
      <c r="I800" s="233" t="str">
        <f>IFERROR(__xludf.DUMMYFUNCTION("""COMPUTED_VALUE"""),"WA Undelivered")</f>
        <v>WA Undelivered</v>
      </c>
      <c r="J800" s="275">
        <f>IFERROR(__xludf.DUMMYFUNCTION("""COMPUTED_VALUE"""),5209.0)</f>
        <v>5209</v>
      </c>
      <c r="K800" s="275">
        <f>IFERROR(__xludf.DUMMYFUNCTION("""COMPUTED_VALUE"""),3147.0)</f>
        <v>3147</v>
      </c>
      <c r="L800" s="276">
        <f>IFERROR(__xludf.DUMMYFUNCTION("""COMPUTED_VALUE"""),0.6041)</f>
        <v>0.6041</v>
      </c>
      <c r="M800" s="275">
        <f>IFERROR(__xludf.DUMMYFUNCTION("""COMPUTED_VALUE"""),0.0)</f>
        <v>0</v>
      </c>
      <c r="N800" s="276">
        <f>IFERROR(__xludf.DUMMYFUNCTION("""COMPUTED_VALUE"""),0.0)</f>
        <v>0</v>
      </c>
      <c r="O800" s="208">
        <f>IFERROR(__xludf.DUMMYFUNCTION("""COMPUTED_VALUE"""),2.0)</f>
        <v>2</v>
      </c>
      <c r="P800" s="208">
        <f>IFERROR(__xludf.DUMMYFUNCTION("""COMPUTED_VALUE"""),0.0)</f>
        <v>0</v>
      </c>
      <c r="Q800" s="276">
        <f>IFERROR(__xludf.DUMMYFUNCTION("""COMPUTED_VALUE"""),6.0E-4)</f>
        <v>0.0006</v>
      </c>
      <c r="R800" s="276">
        <f>IFERROR(__xludf.DUMMYFUNCTION("""COMPUTED_VALUE"""),0.0)</f>
        <v>0</v>
      </c>
      <c r="S800" s="208">
        <f>IFERROR(__xludf.DUMMYFUNCTION("""COMPUTED_VALUE"""),0.0)</f>
        <v>0</v>
      </c>
      <c r="T800" s="208">
        <f>IFERROR(__xludf.DUMMYFUNCTION("""COMPUTED_VALUE"""),0.0)</f>
        <v>0</v>
      </c>
      <c r="U800" s="275">
        <f>IFERROR(__xludf.DUMMYFUNCTION("""COMPUTED_VALUE"""),0.0)</f>
        <v>0</v>
      </c>
      <c r="V800" s="234" t="str">
        <f>IFERROR(__xludf.DUMMYFUNCTION("""COMPUTED_VALUE"""),"offline")</f>
        <v>offline</v>
      </c>
      <c r="W800" s="232" t="str">
        <f>IFERROR(__xludf.DUMMYFUNCTION("""COMPUTED_VALUE"""),"Sms")</f>
        <v>Sms</v>
      </c>
      <c r="X800" s="232" t="str">
        <f>IFERROR(__xludf.DUMMYFUNCTION("""COMPUTED_VALUE"""),"Cat Buyer - Body Care + Cart Value")</f>
        <v>Cat Buyer - Body Care + Cart Value</v>
      </c>
      <c r="Y800" s="232" t="str">
        <f>IFERROR(__xludf.DUMMYFUNCTION("""COMPUTED_VALUE"""),"30 May")</f>
        <v>30 May</v>
      </c>
      <c r="Z800" s="232" t="str">
        <f>IFERROR(__xludf.DUMMYFUNCTION("""COMPUTED_VALUE"""),"6a17e73bd5d75ab7380db1fb")</f>
        <v>6a17e73bd5d75ab7380db1fb</v>
      </c>
      <c r="AA800" s="277">
        <f>IFERROR(__xludf.DUMMYFUNCTION("""COMPUTED_VALUE"""),3.0)</f>
        <v>3</v>
      </c>
      <c r="AB800" s="277"/>
      <c r="AC800" s="277">
        <f>IFERROR(__xludf.DUMMYFUNCTION("""COMPUTED_VALUE"""),3.0)</f>
        <v>3</v>
      </c>
      <c r="AD800" s="277">
        <f>IFERROR(__xludf.DUMMYFUNCTION("""COMPUTED_VALUE"""),8247.0)</f>
        <v>8247</v>
      </c>
      <c r="AE800" s="277"/>
      <c r="AF800" s="277">
        <f>IFERROR(__xludf.DUMMYFUNCTION("""COMPUTED_VALUE"""),8247.0)</f>
        <v>8247</v>
      </c>
      <c r="AG800" s="208"/>
      <c r="AH800" s="208"/>
      <c r="AI800" s="208"/>
      <c r="AJ800" s="208"/>
      <c r="AK800" s="208"/>
    </row>
    <row r="801" hidden="1">
      <c r="A801" s="288">
        <f>IFERROR(__xludf.DUMMYFUNCTION("""COMPUTED_VALUE"""),46172.0)</f>
        <v>46172</v>
      </c>
      <c r="B801" s="274">
        <f>IFERROR(__xludf.DUMMYFUNCTION("""COMPUTED_VALUE"""),0.5625)</f>
        <v>0.5625</v>
      </c>
      <c r="C801" s="208" t="str">
        <f>IFERROR(__xludf.DUMMYFUNCTION("""COMPUTED_VALUE"""),"Sms")</f>
        <v>Sms</v>
      </c>
      <c r="D801" s="208" t="str">
        <f>IFERROR(__xludf.DUMMYFUNCTION("""COMPUTED_VALUE"""),"Fallback campaign")</f>
        <v>Fallback campaign</v>
      </c>
      <c r="E801" s="208" t="str">
        <f>IFERROR(__xludf.DUMMYFUNCTION("""COMPUTED_VALUE"""),"BBW")</f>
        <v>BBW</v>
      </c>
      <c r="F801" s="208" t="str">
        <f>IFERROR(__xludf.DUMMYFUNCTION("""COMPUTED_VALUE"""),"BC Tier Discount - Body Care")</f>
        <v>BC Tier Discount - Body Care</v>
      </c>
      <c r="G801" s="208" t="str">
        <f>IFERROR(__xludf.DUMMYFUNCTION("""COMPUTED_VALUE"""),"bbw_smsfb_bc_tier_discount_29may_lastreminder_event_offline")</f>
        <v>bbw_smsfb_bc_tier_discount_29may_lastreminder_event_offline</v>
      </c>
      <c r="H801" s="232" t="str">
        <f>IFERROR(__xludf.DUMMYFUNCTION("""COMPUTED_VALUE"""),"BC_EventBuyers_OFF")</f>
        <v>BC_EventBuyers_OFF</v>
      </c>
      <c r="I801" s="233" t="str">
        <f>IFERROR(__xludf.DUMMYFUNCTION("""COMPUTED_VALUE"""),"WA Undelivered")</f>
        <v>WA Undelivered</v>
      </c>
      <c r="J801" s="275">
        <f>IFERROR(__xludf.DUMMYFUNCTION("""COMPUTED_VALUE"""),11483.0)</f>
        <v>11483</v>
      </c>
      <c r="K801" s="275">
        <f>IFERROR(__xludf.DUMMYFUNCTION("""COMPUTED_VALUE"""),6462.0)</f>
        <v>6462</v>
      </c>
      <c r="L801" s="276">
        <f>IFERROR(__xludf.DUMMYFUNCTION("""COMPUTED_VALUE"""),0.5627)</f>
        <v>0.5627</v>
      </c>
      <c r="M801" s="275">
        <f>IFERROR(__xludf.DUMMYFUNCTION("""COMPUTED_VALUE"""),0.0)</f>
        <v>0</v>
      </c>
      <c r="N801" s="276">
        <f>IFERROR(__xludf.DUMMYFUNCTION("""COMPUTED_VALUE"""),0.0)</f>
        <v>0</v>
      </c>
      <c r="O801" s="208">
        <f>IFERROR(__xludf.DUMMYFUNCTION("""COMPUTED_VALUE"""),11.0)</f>
        <v>11</v>
      </c>
      <c r="P801" s="208">
        <f>IFERROR(__xludf.DUMMYFUNCTION("""COMPUTED_VALUE"""),0.0)</f>
        <v>0</v>
      </c>
      <c r="Q801" s="276">
        <f>IFERROR(__xludf.DUMMYFUNCTION("""COMPUTED_VALUE"""),0.0017)</f>
        <v>0.0017</v>
      </c>
      <c r="R801" s="276">
        <f>IFERROR(__xludf.DUMMYFUNCTION("""COMPUTED_VALUE"""),0.0)</f>
        <v>0</v>
      </c>
      <c r="S801" s="208">
        <f>IFERROR(__xludf.DUMMYFUNCTION("""COMPUTED_VALUE"""),0.0)</f>
        <v>0</v>
      </c>
      <c r="T801" s="208">
        <f>IFERROR(__xludf.DUMMYFUNCTION("""COMPUTED_VALUE"""),1.0)</f>
        <v>1</v>
      </c>
      <c r="U801" s="275">
        <f>IFERROR(__xludf.DUMMYFUNCTION("""COMPUTED_VALUE"""),0.0)</f>
        <v>0</v>
      </c>
      <c r="V801" s="234" t="str">
        <f>IFERROR(__xludf.DUMMYFUNCTION("""COMPUTED_VALUE"""),"offline")</f>
        <v>offline</v>
      </c>
      <c r="W801" s="232" t="str">
        <f>IFERROR(__xludf.DUMMYFUNCTION("""COMPUTED_VALUE"""),"Sms")</f>
        <v>Sms</v>
      </c>
      <c r="X801" s="232" t="str">
        <f>IFERROR(__xludf.DUMMYFUNCTION("""COMPUTED_VALUE"""),"Event Buyers")</f>
        <v>Event Buyers</v>
      </c>
      <c r="Y801" s="232" t="str">
        <f>IFERROR(__xludf.DUMMYFUNCTION("""COMPUTED_VALUE"""),"30 May")</f>
        <v>30 May</v>
      </c>
      <c r="Z801" s="232" t="str">
        <f>IFERROR(__xludf.DUMMYFUNCTION("""COMPUTED_VALUE"""),"6a17e8a54e0b7d226c975bca")</f>
        <v>6a17e8a54e0b7d226c975bca</v>
      </c>
      <c r="AA801" s="277">
        <f>IFERROR(__xludf.DUMMYFUNCTION("""COMPUTED_VALUE"""),14.0)</f>
        <v>14</v>
      </c>
      <c r="AB801" s="277"/>
      <c r="AC801" s="277">
        <f>IFERROR(__xludf.DUMMYFUNCTION("""COMPUTED_VALUE"""),14.0)</f>
        <v>14</v>
      </c>
      <c r="AD801" s="277">
        <f>IFERROR(__xludf.DUMMYFUNCTION("""COMPUTED_VALUE"""),44279.0)</f>
        <v>44279</v>
      </c>
      <c r="AE801" s="277"/>
      <c r="AF801" s="277">
        <f>IFERROR(__xludf.DUMMYFUNCTION("""COMPUTED_VALUE"""),44279.0)</f>
        <v>44279</v>
      </c>
      <c r="AG801" s="208"/>
      <c r="AH801" s="208"/>
      <c r="AI801" s="208"/>
      <c r="AJ801" s="208"/>
      <c r="AK801" s="208"/>
    </row>
    <row r="802" hidden="1">
      <c r="A802" s="288">
        <f>IFERROR(__xludf.DUMMYFUNCTION("""COMPUTED_VALUE"""),46172.0)</f>
        <v>46172</v>
      </c>
      <c r="B802" s="274">
        <f>IFERROR(__xludf.DUMMYFUNCTION("""COMPUTED_VALUE"""),0.5625)</f>
        <v>0.5625</v>
      </c>
      <c r="C802" s="208" t="str">
        <f>IFERROR(__xludf.DUMMYFUNCTION("""COMPUTED_VALUE"""),"Sms")</f>
        <v>Sms</v>
      </c>
      <c r="D802" s="208" t="str">
        <f>IFERROR(__xludf.DUMMYFUNCTION("""COMPUTED_VALUE"""),"Fallback campaign")</f>
        <v>Fallback campaign</v>
      </c>
      <c r="E802" s="208" t="str">
        <f>IFERROR(__xludf.DUMMYFUNCTION("""COMPUTED_VALUE"""),"BBW")</f>
        <v>BBW</v>
      </c>
      <c r="F802" s="208" t="str">
        <f>IFERROR(__xludf.DUMMYFUNCTION("""COMPUTED_VALUE"""),"BC Tier Discount - Body Care")</f>
        <v>BC Tier Discount - Body Care</v>
      </c>
      <c r="G802" s="208" t="str">
        <f>IFERROR(__xludf.DUMMYFUNCTION("""COMPUTED_VALUE"""),"bbw_smsfb_bc_tier_discount_29may_lastreminder_dormant_offline")</f>
        <v>bbw_smsfb_bc_tier_discount_29may_lastreminder_dormant_offline</v>
      </c>
      <c r="H802" s="232" t="str">
        <f>IFERROR(__xludf.DUMMYFUNCTION("""COMPUTED_VALUE"""),"BC_Dormant_1Y_OFF")</f>
        <v>BC_Dormant_1Y_OFF</v>
      </c>
      <c r="I802" s="233" t="str">
        <f>IFERROR(__xludf.DUMMYFUNCTION("""COMPUTED_VALUE"""),"WA Undelivered")</f>
        <v>WA Undelivered</v>
      </c>
      <c r="J802" s="275">
        <f>IFERROR(__xludf.DUMMYFUNCTION("""COMPUTED_VALUE"""),58029.0)</f>
        <v>58029</v>
      </c>
      <c r="K802" s="275">
        <f>IFERROR(__xludf.DUMMYFUNCTION("""COMPUTED_VALUE"""),32596.0)</f>
        <v>32596</v>
      </c>
      <c r="L802" s="276">
        <f>IFERROR(__xludf.DUMMYFUNCTION("""COMPUTED_VALUE"""),0.5617)</f>
        <v>0.5617</v>
      </c>
      <c r="M802" s="275">
        <f>IFERROR(__xludf.DUMMYFUNCTION("""COMPUTED_VALUE"""),0.0)</f>
        <v>0</v>
      </c>
      <c r="N802" s="276">
        <f>IFERROR(__xludf.DUMMYFUNCTION("""COMPUTED_VALUE"""),0.0)</f>
        <v>0</v>
      </c>
      <c r="O802" s="208">
        <f>IFERROR(__xludf.DUMMYFUNCTION("""COMPUTED_VALUE"""),22.0)</f>
        <v>22</v>
      </c>
      <c r="P802" s="208">
        <f>IFERROR(__xludf.DUMMYFUNCTION("""COMPUTED_VALUE"""),0.0)</f>
        <v>0</v>
      </c>
      <c r="Q802" s="276">
        <f>IFERROR(__xludf.DUMMYFUNCTION("""COMPUTED_VALUE"""),7.0E-4)</f>
        <v>0.0007</v>
      </c>
      <c r="R802" s="276">
        <f>IFERROR(__xludf.DUMMYFUNCTION("""COMPUTED_VALUE"""),0.0)</f>
        <v>0</v>
      </c>
      <c r="S802" s="208">
        <f>IFERROR(__xludf.DUMMYFUNCTION("""COMPUTED_VALUE"""),0.0)</f>
        <v>0</v>
      </c>
      <c r="T802" s="208">
        <f>IFERROR(__xludf.DUMMYFUNCTION("""COMPUTED_VALUE"""),2.0)</f>
        <v>2</v>
      </c>
      <c r="U802" s="275">
        <f>IFERROR(__xludf.DUMMYFUNCTION("""COMPUTED_VALUE"""),0.0)</f>
        <v>0</v>
      </c>
      <c r="V802" s="234" t="str">
        <f>IFERROR(__xludf.DUMMYFUNCTION("""COMPUTED_VALUE"""),"offline")</f>
        <v>offline</v>
      </c>
      <c r="W802" s="232" t="str">
        <f>IFERROR(__xludf.DUMMYFUNCTION("""COMPUTED_VALUE"""),"Sms")</f>
        <v>Sms</v>
      </c>
      <c r="X802" s="232" t="str">
        <f>IFERROR(__xludf.DUMMYFUNCTION("""COMPUTED_VALUE"""),"Dormant - Body Care")</f>
        <v>Dormant - Body Care</v>
      </c>
      <c r="Y802" s="232" t="str">
        <f>IFERROR(__xludf.DUMMYFUNCTION("""COMPUTED_VALUE"""),"30 May")</f>
        <v>30 May</v>
      </c>
      <c r="Z802" s="232" t="str">
        <f>IFERROR(__xludf.DUMMYFUNCTION("""COMPUTED_VALUE"""),"6a17e8fcbf1bc42d5ac29a3f")</f>
        <v>6a17e8fcbf1bc42d5ac29a3f</v>
      </c>
      <c r="AA802" s="277">
        <f>IFERROR(__xludf.DUMMYFUNCTION("""COMPUTED_VALUE"""),55.0)</f>
        <v>55</v>
      </c>
      <c r="AB802" s="277"/>
      <c r="AC802" s="277">
        <f>IFERROR(__xludf.DUMMYFUNCTION("""COMPUTED_VALUE"""),55.0)</f>
        <v>55</v>
      </c>
      <c r="AD802" s="277">
        <f>IFERROR(__xludf.DUMMYFUNCTION("""COMPUTED_VALUE"""),202073.0)</f>
        <v>202073</v>
      </c>
      <c r="AE802" s="277"/>
      <c r="AF802" s="277">
        <f>IFERROR(__xludf.DUMMYFUNCTION("""COMPUTED_VALUE"""),202073.0)</f>
        <v>202073</v>
      </c>
      <c r="AG802" s="208"/>
      <c r="AH802" s="208"/>
      <c r="AI802" s="208"/>
      <c r="AJ802" s="208"/>
      <c r="AK802" s="208"/>
    </row>
    <row r="803" hidden="1">
      <c r="A803" s="288">
        <f>IFERROR(__xludf.DUMMYFUNCTION("""COMPUTED_VALUE"""),46172.0)</f>
        <v>46172</v>
      </c>
      <c r="B803" s="274">
        <f>IFERROR(__xludf.DUMMYFUNCTION("""COMPUTED_VALUE"""),0.5625)</f>
        <v>0.5625</v>
      </c>
      <c r="C803" s="208" t="str">
        <f>IFERROR(__xludf.DUMMYFUNCTION("""COMPUTED_VALUE"""),"Sms")</f>
        <v>Sms</v>
      </c>
      <c r="D803" s="208" t="str">
        <f>IFERROR(__xludf.DUMMYFUNCTION("""COMPUTED_VALUE"""),"Fallback campaign")</f>
        <v>Fallback campaign</v>
      </c>
      <c r="E803" s="208" t="str">
        <f>IFERROR(__xludf.DUMMYFUNCTION("""COMPUTED_VALUE"""),"BBW")</f>
        <v>BBW</v>
      </c>
      <c r="F803" s="208" t="str">
        <f>IFERROR(__xludf.DUMMYFUNCTION("""COMPUTED_VALUE"""),"BC Tier Discount - Body Care")</f>
        <v>BC Tier Discount - Body Care</v>
      </c>
      <c r="G803" s="208" t="str">
        <f>IFERROR(__xludf.DUMMYFUNCTION("""COMPUTED_VALUE"""),"bbw_smsfb_bc_tier_discount_29may_lastreminder_disc_buyers_offline")</f>
        <v>bbw_smsfb_bc_tier_discount_29may_lastreminder_disc_buyers_offline</v>
      </c>
      <c r="H803" s="232" t="str">
        <f>IFERROR(__xludf.DUMMYFUNCTION("""COMPUTED_VALUE"""),"BC_Disc_Buyers_OFF")</f>
        <v>BC_Disc_Buyers_OFF</v>
      </c>
      <c r="I803" s="233" t="str">
        <f>IFERROR(__xludf.DUMMYFUNCTION("""COMPUTED_VALUE"""),"WA Undelivered")</f>
        <v>WA Undelivered</v>
      </c>
      <c r="J803" s="275">
        <f>IFERROR(__xludf.DUMMYFUNCTION("""COMPUTED_VALUE"""),9949.0)</f>
        <v>9949</v>
      </c>
      <c r="K803" s="275">
        <f>IFERROR(__xludf.DUMMYFUNCTION("""COMPUTED_VALUE"""),5826.0)</f>
        <v>5826</v>
      </c>
      <c r="L803" s="276">
        <f>IFERROR(__xludf.DUMMYFUNCTION("""COMPUTED_VALUE"""),0.5856)</f>
        <v>0.5856</v>
      </c>
      <c r="M803" s="275">
        <f>IFERROR(__xludf.DUMMYFUNCTION("""COMPUTED_VALUE"""),0.0)</f>
        <v>0</v>
      </c>
      <c r="N803" s="276">
        <f>IFERROR(__xludf.DUMMYFUNCTION("""COMPUTED_VALUE"""),0.0)</f>
        <v>0</v>
      </c>
      <c r="O803" s="208">
        <f>IFERROR(__xludf.DUMMYFUNCTION("""COMPUTED_VALUE"""),3.0)</f>
        <v>3</v>
      </c>
      <c r="P803" s="208">
        <f>IFERROR(__xludf.DUMMYFUNCTION("""COMPUTED_VALUE"""),0.0)</f>
        <v>0</v>
      </c>
      <c r="Q803" s="276">
        <f>IFERROR(__xludf.DUMMYFUNCTION("""COMPUTED_VALUE"""),5.0E-4)</f>
        <v>0.0005</v>
      </c>
      <c r="R803" s="276">
        <f>IFERROR(__xludf.DUMMYFUNCTION("""COMPUTED_VALUE"""),0.0)</f>
        <v>0</v>
      </c>
      <c r="S803" s="208">
        <f>IFERROR(__xludf.DUMMYFUNCTION("""COMPUTED_VALUE"""),0.0)</f>
        <v>0</v>
      </c>
      <c r="T803" s="208">
        <f>IFERROR(__xludf.DUMMYFUNCTION("""COMPUTED_VALUE"""),1.0)</f>
        <v>1</v>
      </c>
      <c r="U803" s="275">
        <f>IFERROR(__xludf.DUMMYFUNCTION("""COMPUTED_VALUE"""),0.0)</f>
        <v>0</v>
      </c>
      <c r="V803" s="234" t="str">
        <f>IFERROR(__xludf.DUMMYFUNCTION("""COMPUTED_VALUE"""),"offline")</f>
        <v>offline</v>
      </c>
      <c r="W803" s="232" t="str">
        <f>IFERROR(__xludf.DUMMYFUNCTION("""COMPUTED_VALUE"""),"Sms")</f>
        <v>Sms</v>
      </c>
      <c r="X803" s="232" t="str">
        <f>IFERROR(__xludf.DUMMYFUNCTION("""COMPUTED_VALUE"""),"Discount Buyers")</f>
        <v>Discount Buyers</v>
      </c>
      <c r="Y803" s="232" t="str">
        <f>IFERROR(__xludf.DUMMYFUNCTION("""COMPUTED_VALUE"""),"30 May")</f>
        <v>30 May</v>
      </c>
      <c r="Z803" s="232" t="str">
        <f>IFERROR(__xludf.DUMMYFUNCTION("""COMPUTED_VALUE"""),"6a17e9306836da5c57556307")</f>
        <v>6a17e9306836da5c57556307</v>
      </c>
      <c r="AA803" s="277">
        <f>IFERROR(__xludf.DUMMYFUNCTION("""COMPUTED_VALUE"""),14.0)</f>
        <v>14</v>
      </c>
      <c r="AB803" s="277"/>
      <c r="AC803" s="277">
        <f>IFERROR(__xludf.DUMMYFUNCTION("""COMPUTED_VALUE"""),14.0)</f>
        <v>14</v>
      </c>
      <c r="AD803" s="277">
        <f>IFERROR(__xludf.DUMMYFUNCTION("""COMPUTED_VALUE"""),59869.0)</f>
        <v>59869</v>
      </c>
      <c r="AE803" s="277"/>
      <c r="AF803" s="277">
        <f>IFERROR(__xludf.DUMMYFUNCTION("""COMPUTED_VALUE"""),59869.0)</f>
        <v>59869</v>
      </c>
      <c r="AG803" s="208"/>
      <c r="AH803" s="208"/>
      <c r="AI803" s="208"/>
      <c r="AJ803" s="208"/>
      <c r="AK803" s="208"/>
    </row>
    <row r="804" hidden="1">
      <c r="A804" s="288">
        <f>IFERROR(__xludf.DUMMYFUNCTION("""COMPUTED_VALUE"""),46170.0)</f>
        <v>46170</v>
      </c>
      <c r="B804" s="274">
        <f>IFERROR(__xludf.DUMMYFUNCTION("""COMPUTED_VALUE"""),0.8333333333321207)</f>
        <v>0.8333333333</v>
      </c>
      <c r="C804" s="208" t="str">
        <f>IFERROR(__xludf.DUMMYFUNCTION("""COMPUTED_VALUE"""),"Sms")</f>
        <v>Sms</v>
      </c>
      <c r="D804" s="208" t="str">
        <f>IFERROR(__xludf.DUMMYFUNCTION("""COMPUTED_VALUE"""),"Fallback campaign")</f>
        <v>Fallback campaign</v>
      </c>
      <c r="E804" s="208" t="str">
        <f>IFERROR(__xludf.DUMMYFUNCTION("""COMPUTED_VALUE"""),"BBW")</f>
        <v>BBW</v>
      </c>
      <c r="F804" s="208" t="str">
        <f>IFERROR(__xludf.DUMMYFUNCTION("""COMPUTED_VALUE"""),"HS TITBI - Hand Soaps")</f>
        <v>HS TITBI - Hand Soaps</v>
      </c>
      <c r="G804" s="208" t="str">
        <f>IFERROR(__xludf.DUMMYFUNCTION("""COMPUTED_VALUE"""),"bbw_smsfb_hs_titbi_ea_28may_atc_online")</f>
        <v>bbw_smsfb_hs_titbi_ea_28may_atc_online</v>
      </c>
      <c r="H804" s="232" t="str">
        <f>IFERROR(__xludf.DUMMYFUNCTION("""COMPUTED_VALUE"""),"BBW_ON_ATC_HS_HC_Value_999")</f>
        <v>BBW_ON_ATC_HS_HC_Value_999</v>
      </c>
      <c r="I804" s="233" t="str">
        <f>IFERROR(__xludf.DUMMYFUNCTION("""COMPUTED_VALUE"""),"WA Undelivered")</f>
        <v>WA Undelivered</v>
      </c>
      <c r="J804" s="275">
        <f>IFERROR(__xludf.DUMMYFUNCTION("""COMPUTED_VALUE"""),1070.0)</f>
        <v>1070</v>
      </c>
      <c r="K804" s="275">
        <f>IFERROR(__xludf.DUMMYFUNCTION("""COMPUTED_VALUE"""),679.0)</f>
        <v>679</v>
      </c>
      <c r="L804" s="276">
        <f>IFERROR(__xludf.DUMMYFUNCTION("""COMPUTED_VALUE"""),0.6346)</f>
        <v>0.6346</v>
      </c>
      <c r="M804" s="275">
        <f>IFERROR(__xludf.DUMMYFUNCTION("""COMPUTED_VALUE"""),0.0)</f>
        <v>0</v>
      </c>
      <c r="N804" s="276">
        <f>IFERROR(__xludf.DUMMYFUNCTION("""COMPUTED_VALUE"""),0.0)</f>
        <v>0</v>
      </c>
      <c r="O804" s="208">
        <f>IFERROR(__xludf.DUMMYFUNCTION("""COMPUTED_VALUE"""),1.0)</f>
        <v>1</v>
      </c>
      <c r="P804" s="208">
        <f>IFERROR(__xludf.DUMMYFUNCTION("""COMPUTED_VALUE"""),0.0)</f>
        <v>0</v>
      </c>
      <c r="Q804" s="276">
        <f>IFERROR(__xludf.DUMMYFUNCTION("""COMPUTED_VALUE"""),0.0015)</f>
        <v>0.0015</v>
      </c>
      <c r="R804" s="276">
        <f>IFERROR(__xludf.DUMMYFUNCTION("""COMPUTED_VALUE"""),0.0)</f>
        <v>0</v>
      </c>
      <c r="S804" s="208">
        <f>IFERROR(__xludf.DUMMYFUNCTION("""COMPUTED_VALUE"""),5.0)</f>
        <v>5</v>
      </c>
      <c r="T804" s="208">
        <f>IFERROR(__xludf.DUMMYFUNCTION("""COMPUTED_VALUE"""),24.0)</f>
        <v>24</v>
      </c>
      <c r="U804" s="275">
        <f>IFERROR(__xludf.DUMMYFUNCTION("""COMPUTED_VALUE"""),12569.0)</f>
        <v>12569</v>
      </c>
      <c r="V804" s="234" t="str">
        <f>IFERROR(__xludf.DUMMYFUNCTION("""COMPUTED_VALUE"""),"online")</f>
        <v>online</v>
      </c>
      <c r="W804" s="232" t="str">
        <f>IFERROR(__xludf.DUMMYFUNCTION("""COMPUTED_VALUE"""),"Sms")</f>
        <v>Sms</v>
      </c>
      <c r="X804" s="232" t="str">
        <f>IFERROR(__xludf.DUMMYFUNCTION("""COMPUTED_VALUE"""),"Add to Cart")</f>
        <v>Add to Cart</v>
      </c>
      <c r="Y804" s="232" t="str">
        <f>IFERROR(__xludf.DUMMYFUNCTION("""COMPUTED_VALUE"""),"28 May")</f>
        <v>28 May</v>
      </c>
      <c r="Z804" s="232" t="str">
        <f>IFERROR(__xludf.DUMMYFUNCTION("""COMPUTED_VALUE"""),"6a1698f1089d7e476aef9470")</f>
        <v>6a1698f1089d7e476aef9470</v>
      </c>
      <c r="AA804" s="277">
        <f>IFERROR(__xludf.DUMMYFUNCTION("""COMPUTED_VALUE"""),17.0)</f>
        <v>17</v>
      </c>
      <c r="AB804" s="277">
        <f>IFERROR(__xludf.DUMMYFUNCTION("""COMPUTED_VALUE"""),17.0)</f>
        <v>17</v>
      </c>
      <c r="AC804" s="277"/>
      <c r="AD804" s="277">
        <f>IFERROR(__xludf.DUMMYFUNCTION("""COMPUTED_VALUE"""),35480.0)</f>
        <v>35480</v>
      </c>
      <c r="AE804" s="277">
        <f>IFERROR(__xludf.DUMMYFUNCTION("""COMPUTED_VALUE"""),35480.0)</f>
        <v>35480</v>
      </c>
      <c r="AF804" s="277"/>
      <c r="AG804" s="208"/>
      <c r="AH804" s="208"/>
      <c r="AI804" s="208"/>
      <c r="AJ804" s="208"/>
      <c r="AK804" s="208"/>
    </row>
    <row r="805" hidden="1">
      <c r="A805" s="288">
        <f>IFERROR(__xludf.DUMMYFUNCTION("""COMPUTED_VALUE"""),46170.0)</f>
        <v>46170</v>
      </c>
      <c r="B805" s="274">
        <f>IFERROR(__xludf.DUMMYFUNCTION("""COMPUTED_VALUE"""),0.8333333333321207)</f>
        <v>0.8333333333</v>
      </c>
      <c r="C805" s="208" t="str">
        <f>IFERROR(__xludf.DUMMYFUNCTION("""COMPUTED_VALUE"""),"Sms")</f>
        <v>Sms</v>
      </c>
      <c r="D805" s="208" t="str">
        <f>IFERROR(__xludf.DUMMYFUNCTION("""COMPUTED_VALUE"""),"Fallback campaign")</f>
        <v>Fallback campaign</v>
      </c>
      <c r="E805" s="208" t="str">
        <f>IFERROR(__xludf.DUMMYFUNCTION("""COMPUTED_VALUE"""),"BBW")</f>
        <v>BBW</v>
      </c>
      <c r="F805" s="208" t="str">
        <f>IFERROR(__xludf.DUMMYFUNCTION("""COMPUTED_VALUE"""),"HS TITBI - Hand Soaps")</f>
        <v>HS TITBI - Hand Soaps</v>
      </c>
      <c r="G805" s="208" t="str">
        <f>IFERROR(__xludf.DUMMYFUNCTION("""COMPUTED_VALUE"""),"bbw_smsfb_hs_titbi_ea_28may_predom_800_online")</f>
        <v>bbw_smsfb_hs_titbi_ea_28may_predom_800_online</v>
      </c>
      <c r="H805" s="232" t="str">
        <f>IFERROR(__xludf.DUMMYFUNCTION("""COMPUTED_VALUE"""),"BBW_ON_PREDOM_800_Below")</f>
        <v>BBW_ON_PREDOM_800_Below</v>
      </c>
      <c r="I805" s="233" t="str">
        <f>IFERROR(__xludf.DUMMYFUNCTION("""COMPUTED_VALUE"""),"WA Undelivered")</f>
        <v>WA Undelivered</v>
      </c>
      <c r="J805" s="275">
        <f>IFERROR(__xludf.DUMMYFUNCTION("""COMPUTED_VALUE"""),5899.0)</f>
        <v>5899</v>
      </c>
      <c r="K805" s="275">
        <f>IFERROR(__xludf.DUMMYFUNCTION("""COMPUTED_VALUE"""),3791.0)</f>
        <v>3791</v>
      </c>
      <c r="L805" s="276">
        <f>IFERROR(__xludf.DUMMYFUNCTION("""COMPUTED_VALUE"""),0.6427)</f>
        <v>0.6427</v>
      </c>
      <c r="M805" s="275">
        <f>IFERROR(__xludf.DUMMYFUNCTION("""COMPUTED_VALUE"""),0.0)</f>
        <v>0</v>
      </c>
      <c r="N805" s="276">
        <f>IFERROR(__xludf.DUMMYFUNCTION("""COMPUTED_VALUE"""),0.0)</f>
        <v>0</v>
      </c>
      <c r="O805" s="208">
        <f>IFERROR(__xludf.DUMMYFUNCTION("""COMPUTED_VALUE"""),8.0)</f>
        <v>8</v>
      </c>
      <c r="P805" s="208">
        <f>IFERROR(__xludf.DUMMYFUNCTION("""COMPUTED_VALUE"""),0.0)</f>
        <v>0</v>
      </c>
      <c r="Q805" s="276">
        <f>IFERROR(__xludf.DUMMYFUNCTION("""COMPUTED_VALUE"""),0.0021)</f>
        <v>0.0021</v>
      </c>
      <c r="R805" s="276">
        <f>IFERROR(__xludf.DUMMYFUNCTION("""COMPUTED_VALUE"""),0.0)</f>
        <v>0</v>
      </c>
      <c r="S805" s="208">
        <f>IFERROR(__xludf.DUMMYFUNCTION("""COMPUTED_VALUE"""),1.0)</f>
        <v>1</v>
      </c>
      <c r="T805" s="208">
        <f>IFERROR(__xludf.DUMMYFUNCTION("""COMPUTED_VALUE"""),1.0)</f>
        <v>1</v>
      </c>
      <c r="U805" s="275">
        <f>IFERROR(__xludf.DUMMYFUNCTION("""COMPUTED_VALUE"""),1505.0)</f>
        <v>1505</v>
      </c>
      <c r="V805" s="234" t="str">
        <f>IFERROR(__xludf.DUMMYFUNCTION("""COMPUTED_VALUE"""),"online")</f>
        <v>online</v>
      </c>
      <c r="W805" s="232" t="str">
        <f>IFERROR(__xludf.DUMMYFUNCTION("""COMPUTED_VALUE"""),"Sms")</f>
        <v>Sms</v>
      </c>
      <c r="X805" s="232" t="str">
        <f>IFERROR(__xludf.DUMMYFUNCTION("""COMPUTED_VALUE"""),"Predom Cart Value")</f>
        <v>Predom Cart Value</v>
      </c>
      <c r="Y805" s="232" t="str">
        <f>IFERROR(__xludf.DUMMYFUNCTION("""COMPUTED_VALUE"""),"28 May")</f>
        <v>28 May</v>
      </c>
      <c r="Z805" s="232" t="str">
        <f>IFERROR(__xludf.DUMMYFUNCTION("""COMPUTED_VALUE"""),"6a169a680ff905b07f8c33ce")</f>
        <v>6a169a680ff905b07f8c33ce</v>
      </c>
      <c r="AA805" s="277">
        <f>IFERROR(__xludf.DUMMYFUNCTION("""COMPUTED_VALUE"""),4.0)</f>
        <v>4</v>
      </c>
      <c r="AB805" s="277">
        <f>IFERROR(__xludf.DUMMYFUNCTION("""COMPUTED_VALUE"""),4.0)</f>
        <v>4</v>
      </c>
      <c r="AC805" s="277"/>
      <c r="AD805" s="277">
        <f>IFERROR(__xludf.DUMMYFUNCTION("""COMPUTED_VALUE"""),7494.0)</f>
        <v>7494</v>
      </c>
      <c r="AE805" s="277">
        <f>IFERROR(__xludf.DUMMYFUNCTION("""COMPUTED_VALUE"""),7494.0)</f>
        <v>7494</v>
      </c>
      <c r="AF805" s="277"/>
      <c r="AG805" s="208"/>
      <c r="AH805" s="208"/>
      <c r="AI805" s="208"/>
      <c r="AJ805" s="208"/>
      <c r="AK805" s="208"/>
    </row>
    <row r="806" hidden="1">
      <c r="A806" s="288">
        <f>IFERROR(__xludf.DUMMYFUNCTION("""COMPUTED_VALUE"""),46170.0)</f>
        <v>46170</v>
      </c>
      <c r="B806" s="274">
        <f>IFERROR(__xludf.DUMMYFUNCTION("""COMPUTED_VALUE"""),0.8333333333321207)</f>
        <v>0.8333333333</v>
      </c>
      <c r="C806" s="208" t="str">
        <f>IFERROR(__xludf.DUMMYFUNCTION("""COMPUTED_VALUE"""),"Sms")</f>
        <v>Sms</v>
      </c>
      <c r="D806" s="208" t="str">
        <f>IFERROR(__xludf.DUMMYFUNCTION("""COMPUTED_VALUE"""),"Fallback campaign")</f>
        <v>Fallback campaign</v>
      </c>
      <c r="E806" s="208" t="str">
        <f>IFERROR(__xludf.DUMMYFUNCTION("""COMPUTED_VALUE"""),"BBW")</f>
        <v>BBW</v>
      </c>
      <c r="F806" s="208" t="str">
        <f>IFERROR(__xludf.DUMMYFUNCTION("""COMPUTED_VALUE"""),"HS TITBI - Hand Soaps")</f>
        <v>HS TITBI - Hand Soaps</v>
      </c>
      <c r="G806" s="208" t="str">
        <f>IFERROR(__xludf.DUMMYFUNCTION("""COMPUTED_VALUE"""),"bbw_smsfb_hs_titbi_ea_28may_event_online")</f>
        <v>bbw_smsfb_hs_titbi_ea_28may_event_online</v>
      </c>
      <c r="H806" s="232" t="str">
        <f>IFERROR(__xludf.DUMMYFUNCTION("""COMPUTED_VALUE"""),"BBW_ON_HS_Event_Buyers")</f>
        <v>BBW_ON_HS_Event_Buyers</v>
      </c>
      <c r="I806" s="233" t="str">
        <f>IFERROR(__xludf.DUMMYFUNCTION("""COMPUTED_VALUE"""),"WA Undelivered")</f>
        <v>WA Undelivered</v>
      </c>
      <c r="J806" s="275">
        <f>IFERROR(__xludf.DUMMYFUNCTION("""COMPUTED_VALUE"""),1046.0)</f>
        <v>1046</v>
      </c>
      <c r="K806" s="275">
        <f>IFERROR(__xludf.DUMMYFUNCTION("""COMPUTED_VALUE"""),616.0)</f>
        <v>616</v>
      </c>
      <c r="L806" s="276">
        <f>IFERROR(__xludf.DUMMYFUNCTION("""COMPUTED_VALUE"""),0.5889)</f>
        <v>0.5889</v>
      </c>
      <c r="M806" s="275">
        <f>IFERROR(__xludf.DUMMYFUNCTION("""COMPUTED_VALUE"""),0.0)</f>
        <v>0</v>
      </c>
      <c r="N806" s="276">
        <f>IFERROR(__xludf.DUMMYFUNCTION("""COMPUTED_VALUE"""),0.0)</f>
        <v>0</v>
      </c>
      <c r="O806" s="208">
        <f>IFERROR(__xludf.DUMMYFUNCTION("""COMPUTED_VALUE"""),2.0)</f>
        <v>2</v>
      </c>
      <c r="P806" s="208">
        <f>IFERROR(__xludf.DUMMYFUNCTION("""COMPUTED_VALUE"""),0.0)</f>
        <v>0</v>
      </c>
      <c r="Q806" s="276">
        <f>IFERROR(__xludf.DUMMYFUNCTION("""COMPUTED_VALUE"""),0.0032)</f>
        <v>0.0032</v>
      </c>
      <c r="R806" s="276">
        <f>IFERROR(__xludf.DUMMYFUNCTION("""COMPUTED_VALUE"""),0.0)</f>
        <v>0</v>
      </c>
      <c r="S806" s="208">
        <f>IFERROR(__xludf.DUMMYFUNCTION("""COMPUTED_VALUE"""),0.0)</f>
        <v>0</v>
      </c>
      <c r="T806" s="208">
        <f>IFERROR(__xludf.DUMMYFUNCTION("""COMPUTED_VALUE"""),0.0)</f>
        <v>0</v>
      </c>
      <c r="U806" s="275">
        <f>IFERROR(__xludf.DUMMYFUNCTION("""COMPUTED_VALUE"""),0.0)</f>
        <v>0</v>
      </c>
      <c r="V806" s="234" t="str">
        <f>IFERROR(__xludf.DUMMYFUNCTION("""COMPUTED_VALUE"""),"online")</f>
        <v>online</v>
      </c>
      <c r="W806" s="232" t="str">
        <f>IFERROR(__xludf.DUMMYFUNCTION("""COMPUTED_VALUE"""),"Sms")</f>
        <v>Sms</v>
      </c>
      <c r="X806" s="232" t="str">
        <f>IFERROR(__xludf.DUMMYFUNCTION("""COMPUTED_VALUE"""),"Event Buyers")</f>
        <v>Event Buyers</v>
      </c>
      <c r="Y806" s="232" t="str">
        <f>IFERROR(__xludf.DUMMYFUNCTION("""COMPUTED_VALUE"""),"28 May")</f>
        <v>28 May</v>
      </c>
      <c r="Z806" s="232" t="str">
        <f>IFERROR(__xludf.DUMMYFUNCTION("""COMPUTED_VALUE"""),"6a169bb5d8e157bd27f86fd3")</f>
        <v>6a169bb5d8e157bd27f86fd3</v>
      </c>
      <c r="AA806" s="277">
        <f>IFERROR(__xludf.DUMMYFUNCTION("""COMPUTED_VALUE"""),3.0)</f>
        <v>3</v>
      </c>
      <c r="AB806" s="277">
        <f>IFERROR(__xludf.DUMMYFUNCTION("""COMPUTED_VALUE"""),3.0)</f>
        <v>3</v>
      </c>
      <c r="AC806" s="277"/>
      <c r="AD806" s="277">
        <f>IFERROR(__xludf.DUMMYFUNCTION("""COMPUTED_VALUE"""),8596.0)</f>
        <v>8596</v>
      </c>
      <c r="AE806" s="277">
        <f>IFERROR(__xludf.DUMMYFUNCTION("""COMPUTED_VALUE"""),8596.0)</f>
        <v>8596</v>
      </c>
      <c r="AF806" s="277"/>
      <c r="AG806" s="208"/>
      <c r="AH806" s="208"/>
      <c r="AI806" s="208"/>
      <c r="AJ806" s="208"/>
      <c r="AK806" s="208"/>
    </row>
    <row r="807" hidden="1">
      <c r="A807" s="288">
        <f>IFERROR(__xludf.DUMMYFUNCTION("""COMPUTED_VALUE"""),46173.0)</f>
        <v>46173</v>
      </c>
      <c r="B807" s="274">
        <f>IFERROR(__xludf.DUMMYFUNCTION("""COMPUTED_VALUE"""),0.8333333333321207)</f>
        <v>0.8333333333</v>
      </c>
      <c r="C807" s="208" t="str">
        <f>IFERROR(__xludf.DUMMYFUNCTION("""COMPUTED_VALUE"""),"Sms")</f>
        <v>Sms</v>
      </c>
      <c r="D807" s="208" t="str">
        <f>IFERROR(__xludf.DUMMYFUNCTION("""COMPUTED_VALUE"""),"Fallback campaign")</f>
        <v>Fallback campaign</v>
      </c>
      <c r="E807" s="208" t="str">
        <f>IFERROR(__xludf.DUMMYFUNCTION("""COMPUTED_VALUE"""),"BBW")</f>
        <v>BBW</v>
      </c>
      <c r="F807" s="208" t="str">
        <f>IFERROR(__xludf.DUMMYFUNCTION("""COMPUTED_VALUE"""),"HS TITBI - Hand Soaps")</f>
        <v>HS TITBI - Hand Soaps</v>
      </c>
      <c r="G807" s="208" t="str">
        <f>IFERROR(__xludf.DUMMYFUNCTION("""COMPUTED_VALUE"""),"bbw_smsfb_hs_titbi_31may_lastreminder_atc_online")</f>
        <v>bbw_smsfb_hs_titbi_31may_lastreminder_atc_online</v>
      </c>
      <c r="H807" s="232" t="str">
        <f>IFERROR(__xludf.DUMMYFUNCTION("""COMPUTED_VALUE"""),"BBW_ON_ATC_HS_HC_Value_999")</f>
        <v>BBW_ON_ATC_HS_HC_Value_999</v>
      </c>
      <c r="I807" s="233" t="str">
        <f>IFERROR(__xludf.DUMMYFUNCTION("""COMPUTED_VALUE"""),"WA Undelivered")</f>
        <v>WA Undelivered</v>
      </c>
      <c r="J807" s="275">
        <f>IFERROR(__xludf.DUMMYFUNCTION("""COMPUTED_VALUE"""),1061.0)</f>
        <v>1061</v>
      </c>
      <c r="K807" s="275">
        <f>IFERROR(__xludf.DUMMYFUNCTION("""COMPUTED_VALUE"""),665.0)</f>
        <v>665</v>
      </c>
      <c r="L807" s="276">
        <f>IFERROR(__xludf.DUMMYFUNCTION("""COMPUTED_VALUE"""),0.6268)</f>
        <v>0.6268</v>
      </c>
      <c r="M807" s="275">
        <f>IFERROR(__xludf.DUMMYFUNCTION("""COMPUTED_VALUE"""),0.0)</f>
        <v>0</v>
      </c>
      <c r="N807" s="276">
        <f>IFERROR(__xludf.DUMMYFUNCTION("""COMPUTED_VALUE"""),0.0)</f>
        <v>0</v>
      </c>
      <c r="O807" s="208">
        <f>IFERROR(__xludf.DUMMYFUNCTION("""COMPUTED_VALUE"""),0.0)</f>
        <v>0</v>
      </c>
      <c r="P807" s="208">
        <f>IFERROR(__xludf.DUMMYFUNCTION("""COMPUTED_VALUE"""),0.0)</f>
        <v>0</v>
      </c>
      <c r="Q807" s="276">
        <f>IFERROR(__xludf.DUMMYFUNCTION("""COMPUTED_VALUE"""),0.0)</f>
        <v>0</v>
      </c>
      <c r="R807" s="276">
        <f>IFERROR(__xludf.DUMMYFUNCTION("""COMPUTED_VALUE"""),0.0)</f>
        <v>0</v>
      </c>
      <c r="S807" s="208">
        <f>IFERROR(__xludf.DUMMYFUNCTION("""COMPUTED_VALUE"""),0.0)</f>
        <v>0</v>
      </c>
      <c r="T807" s="208">
        <f>IFERROR(__xludf.DUMMYFUNCTION("""COMPUTED_VALUE"""),1.0)</f>
        <v>1</v>
      </c>
      <c r="U807" s="275">
        <f>IFERROR(__xludf.DUMMYFUNCTION("""COMPUTED_VALUE"""),0.0)</f>
        <v>0</v>
      </c>
      <c r="V807" s="234" t="str">
        <f>IFERROR(__xludf.DUMMYFUNCTION("""COMPUTED_VALUE"""),"online")</f>
        <v>online</v>
      </c>
      <c r="W807" s="232" t="str">
        <f>IFERROR(__xludf.DUMMYFUNCTION("""COMPUTED_VALUE"""),"Sms")</f>
        <v>Sms</v>
      </c>
      <c r="X807" s="232" t="str">
        <f>IFERROR(__xludf.DUMMYFUNCTION("""COMPUTED_VALUE"""),"Add to Cart")</f>
        <v>Add to Cart</v>
      </c>
      <c r="Y807" s="232" t="str">
        <f>IFERROR(__xludf.DUMMYFUNCTION("""COMPUTED_VALUE"""),"31 May")</f>
        <v>31 May</v>
      </c>
      <c r="Z807" s="232" t="str">
        <f>IFERROR(__xludf.DUMMYFUNCTION("""COMPUTED_VALUE"""),"6a169d84faeb566e465638bc")</f>
        <v>6a169d84faeb566e465638bc</v>
      </c>
      <c r="AA807" s="277">
        <f>IFERROR(__xludf.DUMMYFUNCTION("""COMPUTED_VALUE"""),1.0)</f>
        <v>1</v>
      </c>
      <c r="AB807" s="277">
        <f>IFERROR(__xludf.DUMMYFUNCTION("""COMPUTED_VALUE"""),1.0)</f>
        <v>1</v>
      </c>
      <c r="AC807" s="277"/>
      <c r="AD807" s="277">
        <f>IFERROR(__xludf.DUMMYFUNCTION("""COMPUTED_VALUE"""),2699.0)</f>
        <v>2699</v>
      </c>
      <c r="AE807" s="277">
        <f>IFERROR(__xludf.DUMMYFUNCTION("""COMPUTED_VALUE"""),2699.0)</f>
        <v>2699</v>
      </c>
      <c r="AF807" s="277"/>
      <c r="AG807" s="208"/>
      <c r="AH807" s="208"/>
      <c r="AI807" s="208"/>
      <c r="AJ807" s="208"/>
      <c r="AK807" s="208"/>
    </row>
    <row r="808" hidden="1">
      <c r="A808" s="288">
        <f>IFERROR(__xludf.DUMMYFUNCTION("""COMPUTED_VALUE"""),46173.0)</f>
        <v>46173</v>
      </c>
      <c r="B808" s="274">
        <f>IFERROR(__xludf.DUMMYFUNCTION("""COMPUTED_VALUE"""),0.8333333333321207)</f>
        <v>0.8333333333</v>
      </c>
      <c r="C808" s="208" t="str">
        <f>IFERROR(__xludf.DUMMYFUNCTION("""COMPUTED_VALUE"""),"Sms")</f>
        <v>Sms</v>
      </c>
      <c r="D808" s="208" t="str">
        <f>IFERROR(__xludf.DUMMYFUNCTION("""COMPUTED_VALUE"""),"Fallback campaign")</f>
        <v>Fallback campaign</v>
      </c>
      <c r="E808" s="208" t="str">
        <f>IFERROR(__xludf.DUMMYFUNCTION("""COMPUTED_VALUE"""),"BBW")</f>
        <v>BBW</v>
      </c>
      <c r="F808" s="208" t="str">
        <f>IFERROR(__xludf.DUMMYFUNCTION("""COMPUTED_VALUE"""),"HS TITBI - Hand Soaps")</f>
        <v>HS TITBI - Hand Soaps</v>
      </c>
      <c r="G808" s="208" t="str">
        <f>IFERROR(__xludf.DUMMYFUNCTION("""COMPUTED_VALUE"""),"bbw_smsfb_hs_titbi_31may_lastreminder_predom_800_online")</f>
        <v>bbw_smsfb_hs_titbi_31may_lastreminder_predom_800_online</v>
      </c>
      <c r="H808" s="232" t="str">
        <f>IFERROR(__xludf.DUMMYFUNCTION("""COMPUTED_VALUE"""),"BBW_ON_PREDOM_800_Below")</f>
        <v>BBW_ON_PREDOM_800_Below</v>
      </c>
      <c r="I808" s="233" t="str">
        <f>IFERROR(__xludf.DUMMYFUNCTION("""COMPUTED_VALUE"""),"WA Undelivered")</f>
        <v>WA Undelivered</v>
      </c>
      <c r="J808" s="275">
        <f>IFERROR(__xludf.DUMMYFUNCTION("""COMPUTED_VALUE"""),5807.0)</f>
        <v>5807</v>
      </c>
      <c r="K808" s="275">
        <f>IFERROR(__xludf.DUMMYFUNCTION("""COMPUTED_VALUE"""),3651.0)</f>
        <v>3651</v>
      </c>
      <c r="L808" s="276">
        <f>IFERROR(__xludf.DUMMYFUNCTION("""COMPUTED_VALUE"""),0.6287)</f>
        <v>0.6287</v>
      </c>
      <c r="M808" s="275">
        <f>IFERROR(__xludf.DUMMYFUNCTION("""COMPUTED_VALUE"""),0.0)</f>
        <v>0</v>
      </c>
      <c r="N808" s="276">
        <f>IFERROR(__xludf.DUMMYFUNCTION("""COMPUTED_VALUE"""),0.0)</f>
        <v>0</v>
      </c>
      <c r="O808" s="208">
        <f>IFERROR(__xludf.DUMMYFUNCTION("""COMPUTED_VALUE"""),6.0)</f>
        <v>6</v>
      </c>
      <c r="P808" s="208">
        <f>IFERROR(__xludf.DUMMYFUNCTION("""COMPUTED_VALUE"""),0.0)</f>
        <v>0</v>
      </c>
      <c r="Q808" s="276">
        <f>IFERROR(__xludf.DUMMYFUNCTION("""COMPUTED_VALUE"""),0.0016)</f>
        <v>0.0016</v>
      </c>
      <c r="R808" s="276">
        <f>IFERROR(__xludf.DUMMYFUNCTION("""COMPUTED_VALUE"""),0.0)</f>
        <v>0</v>
      </c>
      <c r="S808" s="208">
        <f>IFERROR(__xludf.DUMMYFUNCTION("""COMPUTED_VALUE"""),0.0)</f>
        <v>0</v>
      </c>
      <c r="T808" s="208">
        <f>IFERROR(__xludf.DUMMYFUNCTION("""COMPUTED_VALUE"""),0.0)</f>
        <v>0</v>
      </c>
      <c r="U808" s="275">
        <f>IFERROR(__xludf.DUMMYFUNCTION("""COMPUTED_VALUE"""),0.0)</f>
        <v>0</v>
      </c>
      <c r="V808" s="234" t="str">
        <f>IFERROR(__xludf.DUMMYFUNCTION("""COMPUTED_VALUE"""),"online")</f>
        <v>online</v>
      </c>
      <c r="W808" s="232" t="str">
        <f>IFERROR(__xludf.DUMMYFUNCTION("""COMPUTED_VALUE"""),"Sms")</f>
        <v>Sms</v>
      </c>
      <c r="X808" s="232" t="str">
        <f>IFERROR(__xludf.DUMMYFUNCTION("""COMPUTED_VALUE"""),"Predom Cart Value")</f>
        <v>Predom Cart Value</v>
      </c>
      <c r="Y808" s="232" t="str">
        <f>IFERROR(__xludf.DUMMYFUNCTION("""COMPUTED_VALUE"""),"31 May")</f>
        <v>31 May</v>
      </c>
      <c r="Z808" s="232" t="str">
        <f>IFERROR(__xludf.DUMMYFUNCTION("""COMPUTED_VALUE"""),"6a169fd36209ef70a0b69b94")</f>
        <v>6a169fd36209ef70a0b69b94</v>
      </c>
      <c r="AA808" s="277">
        <f>IFERROR(__xludf.DUMMYFUNCTION("""COMPUTED_VALUE"""),1.0)</f>
        <v>1</v>
      </c>
      <c r="AB808" s="277">
        <f>IFERROR(__xludf.DUMMYFUNCTION("""COMPUTED_VALUE"""),1.0)</f>
        <v>1</v>
      </c>
      <c r="AC808" s="277"/>
      <c r="AD808" s="277">
        <f>IFERROR(__xludf.DUMMYFUNCTION("""COMPUTED_VALUE"""),2381.0)</f>
        <v>2381</v>
      </c>
      <c r="AE808" s="277">
        <f>IFERROR(__xludf.DUMMYFUNCTION("""COMPUTED_VALUE"""),2381.0)</f>
        <v>2381</v>
      </c>
      <c r="AF808" s="277"/>
      <c r="AG808" s="208"/>
      <c r="AH808" s="208"/>
      <c r="AI808" s="208"/>
      <c r="AJ808" s="208"/>
      <c r="AK808" s="208"/>
    </row>
    <row r="809" hidden="1">
      <c r="A809" s="288">
        <f>IFERROR(__xludf.DUMMYFUNCTION("""COMPUTED_VALUE"""),46173.0)</f>
        <v>46173</v>
      </c>
      <c r="B809" s="274">
        <f>IFERROR(__xludf.DUMMYFUNCTION("""COMPUTED_VALUE"""),0.8333333333321207)</f>
        <v>0.8333333333</v>
      </c>
      <c r="C809" s="208" t="str">
        <f>IFERROR(__xludf.DUMMYFUNCTION("""COMPUTED_VALUE"""),"Sms")</f>
        <v>Sms</v>
      </c>
      <c r="D809" s="208" t="str">
        <f>IFERROR(__xludf.DUMMYFUNCTION("""COMPUTED_VALUE"""),"Fallback campaign")</f>
        <v>Fallback campaign</v>
      </c>
      <c r="E809" s="208" t="str">
        <f>IFERROR(__xludf.DUMMYFUNCTION("""COMPUTED_VALUE"""),"BBW")</f>
        <v>BBW</v>
      </c>
      <c r="F809" s="208" t="str">
        <f>IFERROR(__xludf.DUMMYFUNCTION("""COMPUTED_VALUE"""),"HS TITBI - Hand Soaps")</f>
        <v>HS TITBI - Hand Soaps</v>
      </c>
      <c r="G809" s="208" t="str">
        <f>IFERROR(__xludf.DUMMYFUNCTION("""COMPUTED_VALUE"""),"bbw_smsfb_hs_titbi_31may_lastreminder_event_online")</f>
        <v>bbw_smsfb_hs_titbi_31may_lastreminder_event_online</v>
      </c>
      <c r="H809" s="232" t="str">
        <f>IFERROR(__xludf.DUMMYFUNCTION("""COMPUTED_VALUE"""),"BBW_ON_HS_Event_Buyers")</f>
        <v>BBW_ON_HS_Event_Buyers</v>
      </c>
      <c r="I809" s="233" t="str">
        <f>IFERROR(__xludf.DUMMYFUNCTION("""COMPUTED_VALUE"""),"WA Undelivered")</f>
        <v>WA Undelivered</v>
      </c>
      <c r="J809" s="275">
        <f>IFERROR(__xludf.DUMMYFUNCTION("""COMPUTED_VALUE"""),1136.0)</f>
        <v>1136</v>
      </c>
      <c r="K809" s="275">
        <f>IFERROR(__xludf.DUMMYFUNCTION("""COMPUTED_VALUE"""),648.0)</f>
        <v>648</v>
      </c>
      <c r="L809" s="276">
        <f>IFERROR(__xludf.DUMMYFUNCTION("""COMPUTED_VALUE"""),0.5704)</f>
        <v>0.5704</v>
      </c>
      <c r="M809" s="275">
        <f>IFERROR(__xludf.DUMMYFUNCTION("""COMPUTED_VALUE"""),0.0)</f>
        <v>0</v>
      </c>
      <c r="N809" s="276">
        <f>IFERROR(__xludf.DUMMYFUNCTION("""COMPUTED_VALUE"""),0.0)</f>
        <v>0</v>
      </c>
      <c r="O809" s="208">
        <f>IFERROR(__xludf.DUMMYFUNCTION("""COMPUTED_VALUE"""),1.0)</f>
        <v>1</v>
      </c>
      <c r="P809" s="208">
        <f>IFERROR(__xludf.DUMMYFUNCTION("""COMPUTED_VALUE"""),0.0)</f>
        <v>0</v>
      </c>
      <c r="Q809" s="276">
        <f>IFERROR(__xludf.DUMMYFUNCTION("""COMPUTED_VALUE"""),0.0015)</f>
        <v>0.0015</v>
      </c>
      <c r="R809" s="276">
        <f>IFERROR(__xludf.DUMMYFUNCTION("""COMPUTED_VALUE"""),0.0)</f>
        <v>0</v>
      </c>
      <c r="S809" s="208">
        <f>IFERROR(__xludf.DUMMYFUNCTION("""COMPUTED_VALUE"""),0.0)</f>
        <v>0</v>
      </c>
      <c r="T809" s="208">
        <f>IFERROR(__xludf.DUMMYFUNCTION("""COMPUTED_VALUE"""),0.0)</f>
        <v>0</v>
      </c>
      <c r="U809" s="275">
        <f>IFERROR(__xludf.DUMMYFUNCTION("""COMPUTED_VALUE"""),0.0)</f>
        <v>0</v>
      </c>
      <c r="V809" s="234" t="str">
        <f>IFERROR(__xludf.DUMMYFUNCTION("""COMPUTED_VALUE"""),"online")</f>
        <v>online</v>
      </c>
      <c r="W809" s="232" t="str">
        <f>IFERROR(__xludf.DUMMYFUNCTION("""COMPUTED_VALUE"""),"Sms")</f>
        <v>Sms</v>
      </c>
      <c r="X809" s="232" t="str">
        <f>IFERROR(__xludf.DUMMYFUNCTION("""COMPUTED_VALUE"""),"Event Buyers")</f>
        <v>Event Buyers</v>
      </c>
      <c r="Y809" s="232" t="str">
        <f>IFERROR(__xludf.DUMMYFUNCTION("""COMPUTED_VALUE"""),"31 May")</f>
        <v>31 May</v>
      </c>
      <c r="Z809" s="232" t="str">
        <f>IFERROR(__xludf.DUMMYFUNCTION("""COMPUTED_VALUE"""),"6a16a10bf3389b1e0e65ab51")</f>
        <v>6a16a10bf3389b1e0e65ab51</v>
      </c>
      <c r="AA809" s="277">
        <f>IFERROR(__xludf.DUMMYFUNCTION("""COMPUTED_VALUE"""),2.0)</f>
        <v>2</v>
      </c>
      <c r="AB809" s="277">
        <f>IFERROR(__xludf.DUMMYFUNCTION("""COMPUTED_VALUE"""),2.0)</f>
        <v>2</v>
      </c>
      <c r="AC809" s="277"/>
      <c r="AD809" s="277">
        <f>IFERROR(__xludf.DUMMYFUNCTION("""COMPUTED_VALUE"""),11595.0)</f>
        <v>11595</v>
      </c>
      <c r="AE809" s="277">
        <f>IFERROR(__xludf.DUMMYFUNCTION("""COMPUTED_VALUE"""),11595.0)</f>
        <v>11595</v>
      </c>
      <c r="AF809" s="277"/>
      <c r="AG809" s="208"/>
      <c r="AH809" s="208"/>
      <c r="AI809" s="208"/>
      <c r="AJ809" s="208"/>
      <c r="AK809" s="208"/>
    </row>
    <row r="810" hidden="1">
      <c r="A810" s="288">
        <f>IFERROR(__xludf.DUMMYFUNCTION("""COMPUTED_VALUE"""),46171.0)</f>
        <v>46171</v>
      </c>
      <c r="B810" s="274">
        <f>IFERROR(__xludf.DUMMYFUNCTION("""COMPUTED_VALUE"""),0.8333333333321207)</f>
        <v>0.8333333333</v>
      </c>
      <c r="C810" s="208" t="str">
        <f>IFERROR(__xludf.DUMMYFUNCTION("""COMPUTED_VALUE"""),"Sms")</f>
        <v>Sms</v>
      </c>
      <c r="D810" s="208" t="str">
        <f>IFERROR(__xludf.DUMMYFUNCTION("""COMPUTED_VALUE"""),"Fallback campaign")</f>
        <v>Fallback campaign</v>
      </c>
      <c r="E810" s="208" t="str">
        <f>IFERROR(__xludf.DUMMYFUNCTION("""COMPUTED_VALUE"""),"BBW")</f>
        <v>BBW</v>
      </c>
      <c r="F810" s="208" t="str">
        <f>IFERROR(__xludf.DUMMYFUNCTION("""COMPUTED_VALUE"""),"BC Tier Discount - Body Care")</f>
        <v>BC Tier Discount - Body Care</v>
      </c>
      <c r="G810" s="208" t="str">
        <f>IFERROR(__xludf.DUMMYFUNCTION("""COMPUTED_VALUE"""),"bbw_smsfb_bc_tier_discount_29may_repeat_online")</f>
        <v>bbw_smsfb_bc_tier_discount_29may_repeat_online</v>
      </c>
      <c r="H810" s="232" t="str">
        <f>IFERROR(__xludf.DUMMYFUNCTION("""COMPUTED_VALUE"""),"BodyCare_Repeat_180D_ON")</f>
        <v>BodyCare_Repeat_180D_ON</v>
      </c>
      <c r="I810" s="233" t="str">
        <f>IFERROR(__xludf.DUMMYFUNCTION("""COMPUTED_VALUE"""),"WA Undelivered")</f>
        <v>WA Undelivered</v>
      </c>
      <c r="J810" s="275">
        <f>IFERROR(__xludf.DUMMYFUNCTION("""COMPUTED_VALUE"""),14089.0)</f>
        <v>14089</v>
      </c>
      <c r="K810" s="275">
        <f>IFERROR(__xludf.DUMMYFUNCTION("""COMPUTED_VALUE"""),7660.0)</f>
        <v>7660</v>
      </c>
      <c r="L810" s="276">
        <f>IFERROR(__xludf.DUMMYFUNCTION("""COMPUTED_VALUE"""),0.5437)</f>
        <v>0.5437</v>
      </c>
      <c r="M810" s="275">
        <f>IFERROR(__xludf.DUMMYFUNCTION("""COMPUTED_VALUE"""),0.0)</f>
        <v>0</v>
      </c>
      <c r="N810" s="276">
        <f>IFERROR(__xludf.DUMMYFUNCTION("""COMPUTED_VALUE"""),0.0)</f>
        <v>0</v>
      </c>
      <c r="O810" s="208">
        <f>IFERROR(__xludf.DUMMYFUNCTION("""COMPUTED_VALUE"""),21.0)</f>
        <v>21</v>
      </c>
      <c r="P810" s="208">
        <f>IFERROR(__xludf.DUMMYFUNCTION("""COMPUTED_VALUE"""),0.0)</f>
        <v>0</v>
      </c>
      <c r="Q810" s="276">
        <f>IFERROR(__xludf.DUMMYFUNCTION("""COMPUTED_VALUE"""),0.0027)</f>
        <v>0.0027</v>
      </c>
      <c r="R810" s="276">
        <f>IFERROR(__xludf.DUMMYFUNCTION("""COMPUTED_VALUE"""),0.0)</f>
        <v>0</v>
      </c>
      <c r="S810" s="208">
        <f>IFERROR(__xludf.DUMMYFUNCTION("""COMPUTED_VALUE"""),4.0)</f>
        <v>4</v>
      </c>
      <c r="T810" s="208">
        <f>IFERROR(__xludf.DUMMYFUNCTION("""COMPUTED_VALUE"""),14.0)</f>
        <v>14</v>
      </c>
      <c r="U810" s="275">
        <f>IFERROR(__xludf.DUMMYFUNCTION("""COMPUTED_VALUE"""),12458.0)</f>
        <v>12458</v>
      </c>
      <c r="V810" s="234" t="str">
        <f>IFERROR(__xludf.DUMMYFUNCTION("""COMPUTED_VALUE"""),"online")</f>
        <v>online</v>
      </c>
      <c r="W810" s="232" t="str">
        <f>IFERROR(__xludf.DUMMYFUNCTION("""COMPUTED_VALUE"""),"Sms")</f>
        <v>Sms</v>
      </c>
      <c r="X810" s="232" t="str">
        <f>IFERROR(__xludf.DUMMYFUNCTION("""COMPUTED_VALUE"""),"Repeat - Body Care")</f>
        <v>Repeat - Body Care</v>
      </c>
      <c r="Y810" s="232" t="str">
        <f>IFERROR(__xludf.DUMMYFUNCTION("""COMPUTED_VALUE"""),"29 May")</f>
        <v>29 May</v>
      </c>
      <c r="Z810" s="232" t="str">
        <f>IFERROR(__xludf.DUMMYFUNCTION("""COMPUTED_VALUE"""),"6a17d61e46cc1de0ddfecd6a")</f>
        <v>6a17d61e46cc1de0ddfecd6a</v>
      </c>
      <c r="AA810" s="277">
        <f>IFERROR(__xludf.DUMMYFUNCTION("""COMPUTED_VALUE"""),13.0)</f>
        <v>13</v>
      </c>
      <c r="AB810" s="277">
        <f>IFERROR(__xludf.DUMMYFUNCTION("""COMPUTED_VALUE"""),13.0)</f>
        <v>13</v>
      </c>
      <c r="AC810" s="277"/>
      <c r="AD810" s="277">
        <f>IFERROR(__xludf.DUMMYFUNCTION("""COMPUTED_VALUE"""),37528.0)</f>
        <v>37528</v>
      </c>
      <c r="AE810" s="277">
        <f>IFERROR(__xludf.DUMMYFUNCTION("""COMPUTED_VALUE"""),37528.0)</f>
        <v>37528</v>
      </c>
      <c r="AF810" s="277"/>
      <c r="AG810" s="208"/>
      <c r="AH810" s="208"/>
      <c r="AI810" s="208"/>
      <c r="AJ810" s="208"/>
      <c r="AK810" s="208"/>
    </row>
    <row r="811" hidden="1">
      <c r="A811" s="288">
        <f>IFERROR(__xludf.DUMMYFUNCTION("""COMPUTED_VALUE"""),46171.0)</f>
        <v>46171</v>
      </c>
      <c r="B811" s="274">
        <f>IFERROR(__xludf.DUMMYFUNCTION("""COMPUTED_VALUE"""),0.8333333333321207)</f>
        <v>0.8333333333</v>
      </c>
      <c r="C811" s="208" t="str">
        <f>IFERROR(__xludf.DUMMYFUNCTION("""COMPUTED_VALUE"""),"Sms")</f>
        <v>Sms</v>
      </c>
      <c r="D811" s="208" t="str">
        <f>IFERROR(__xludf.DUMMYFUNCTION("""COMPUTED_VALUE"""),"Fallback campaign")</f>
        <v>Fallback campaign</v>
      </c>
      <c r="E811" s="208" t="str">
        <f>IFERROR(__xludf.DUMMYFUNCTION("""COMPUTED_VALUE"""),"BBW")</f>
        <v>BBW</v>
      </c>
      <c r="F811" s="208" t="str">
        <f>IFERROR(__xludf.DUMMYFUNCTION("""COMPUTED_VALUE"""),"BC Tier Discount - Body Care")</f>
        <v>BC Tier Discount - Body Care</v>
      </c>
      <c r="G811" s="208" t="str">
        <f>IFERROR(__xludf.DUMMYFUNCTION("""COMPUTED_VALUE"""),"bbw_smsfb_bc_tier_discount_29may_atc_view_online")</f>
        <v>bbw_smsfb_bc_tier_discount_29may_atc_view_online</v>
      </c>
      <c r="H811" s="232" t="str">
        <f>IFERROR(__xludf.DUMMYFUNCTION("""COMPUTED_VALUE"""),"ATC_View_NoPr_BodyCare_On")</f>
        <v>ATC_View_NoPr_BodyCare_On</v>
      </c>
      <c r="I811" s="233" t="str">
        <f>IFERROR(__xludf.DUMMYFUNCTION("""COMPUTED_VALUE"""),"WA Undelivered")</f>
        <v>WA Undelivered</v>
      </c>
      <c r="J811" s="275">
        <f>IFERROR(__xludf.DUMMYFUNCTION("""COMPUTED_VALUE"""),3004.0)</f>
        <v>3004</v>
      </c>
      <c r="K811" s="275">
        <f>IFERROR(__xludf.DUMMYFUNCTION("""COMPUTED_VALUE"""),1967.0)</f>
        <v>1967</v>
      </c>
      <c r="L811" s="276">
        <f>IFERROR(__xludf.DUMMYFUNCTION("""COMPUTED_VALUE"""),0.6548)</f>
        <v>0.6548</v>
      </c>
      <c r="M811" s="275">
        <f>IFERROR(__xludf.DUMMYFUNCTION("""COMPUTED_VALUE"""),0.0)</f>
        <v>0</v>
      </c>
      <c r="N811" s="276">
        <f>IFERROR(__xludf.DUMMYFUNCTION("""COMPUTED_VALUE"""),0.0)</f>
        <v>0</v>
      </c>
      <c r="O811" s="208">
        <f>IFERROR(__xludf.DUMMYFUNCTION("""COMPUTED_VALUE"""),9.0)</f>
        <v>9</v>
      </c>
      <c r="P811" s="208">
        <f>IFERROR(__xludf.DUMMYFUNCTION("""COMPUTED_VALUE"""),0.0)</f>
        <v>0</v>
      </c>
      <c r="Q811" s="276">
        <f>IFERROR(__xludf.DUMMYFUNCTION("""COMPUTED_VALUE"""),0.0046)</f>
        <v>0.0046</v>
      </c>
      <c r="R811" s="276">
        <f>IFERROR(__xludf.DUMMYFUNCTION("""COMPUTED_VALUE"""),0.0)</f>
        <v>0</v>
      </c>
      <c r="S811" s="208">
        <f>IFERROR(__xludf.DUMMYFUNCTION("""COMPUTED_VALUE"""),3.0)</f>
        <v>3</v>
      </c>
      <c r="T811" s="208">
        <f>IFERROR(__xludf.DUMMYFUNCTION("""COMPUTED_VALUE"""),21.0)</f>
        <v>21</v>
      </c>
      <c r="U811" s="275">
        <f>IFERROR(__xludf.DUMMYFUNCTION("""COMPUTED_VALUE"""),12767.0)</f>
        <v>12767</v>
      </c>
      <c r="V811" s="234" t="str">
        <f>IFERROR(__xludf.DUMMYFUNCTION("""COMPUTED_VALUE"""),"online")</f>
        <v>online</v>
      </c>
      <c r="W811" s="232" t="str">
        <f>IFERROR(__xludf.DUMMYFUNCTION("""COMPUTED_VALUE"""),"Sms")</f>
        <v>Sms</v>
      </c>
      <c r="X811" s="232" t="str">
        <f>IFERROR(__xludf.DUMMYFUNCTION("""COMPUTED_VALUE"""),"Add to Cart/View Item")</f>
        <v>Add to Cart/View Item</v>
      </c>
      <c r="Y811" s="232" t="str">
        <f>IFERROR(__xludf.DUMMYFUNCTION("""COMPUTED_VALUE"""),"29 May")</f>
        <v>29 May</v>
      </c>
      <c r="Z811" s="232" t="str">
        <f>IFERROR(__xludf.DUMMYFUNCTION("""COMPUTED_VALUE"""),"6a17d668e9d081543251629b")</f>
        <v>6a17d668e9d081543251629b</v>
      </c>
      <c r="AA811" s="277">
        <f>IFERROR(__xludf.DUMMYFUNCTION("""COMPUTED_VALUE"""),8.0)</f>
        <v>8</v>
      </c>
      <c r="AB811" s="277">
        <f>IFERROR(__xludf.DUMMYFUNCTION("""COMPUTED_VALUE"""),8.0)</f>
        <v>8</v>
      </c>
      <c r="AC811" s="277"/>
      <c r="AD811" s="277">
        <f>IFERROR(__xludf.DUMMYFUNCTION("""COMPUTED_VALUE"""),20424.0)</f>
        <v>20424</v>
      </c>
      <c r="AE811" s="277">
        <f>IFERROR(__xludf.DUMMYFUNCTION("""COMPUTED_VALUE"""),20424.0)</f>
        <v>20424</v>
      </c>
      <c r="AF811" s="277"/>
      <c r="AG811" s="208"/>
      <c r="AH811" s="208"/>
      <c r="AI811" s="208"/>
      <c r="AJ811" s="208"/>
      <c r="AK811" s="208"/>
    </row>
    <row r="812" hidden="1">
      <c r="A812" s="288">
        <f>IFERROR(__xludf.DUMMYFUNCTION("""COMPUTED_VALUE"""),46171.0)</f>
        <v>46171</v>
      </c>
      <c r="B812" s="274">
        <f>IFERROR(__xludf.DUMMYFUNCTION("""COMPUTED_VALUE"""),0.8333333333321207)</f>
        <v>0.8333333333</v>
      </c>
      <c r="C812" s="208" t="str">
        <f>IFERROR(__xludf.DUMMYFUNCTION("""COMPUTED_VALUE"""),"Sms")</f>
        <v>Sms</v>
      </c>
      <c r="D812" s="208" t="str">
        <f>IFERROR(__xludf.DUMMYFUNCTION("""COMPUTED_VALUE"""),"Fallback campaign")</f>
        <v>Fallback campaign</v>
      </c>
      <c r="E812" s="208" t="str">
        <f>IFERROR(__xludf.DUMMYFUNCTION("""COMPUTED_VALUE"""),"BBW")</f>
        <v>BBW</v>
      </c>
      <c r="F812" s="208" t="str">
        <f>IFERROR(__xludf.DUMMYFUNCTION("""COMPUTED_VALUE"""),"BC Tier Discount - Body Care")</f>
        <v>BC Tier Discount - Body Care</v>
      </c>
      <c r="G812" s="208" t="str">
        <f>IFERROR(__xludf.DUMMYFUNCTION("""COMPUTED_VALUE"""),"bbw_smsfb_bc_tier_discount_29may_event&amp;dormant_online")</f>
        <v>bbw_smsfb_bc_tier_discount_29may_event&amp;dormant_online</v>
      </c>
      <c r="H812" s="232" t="str">
        <f>IFERROR(__xludf.DUMMYFUNCTION("""COMPUTED_VALUE"""),"BC_EventBuyers+Dormant_ON")</f>
        <v>BC_EventBuyers+Dormant_ON</v>
      </c>
      <c r="I812" s="233" t="str">
        <f>IFERROR(__xludf.DUMMYFUNCTION("""COMPUTED_VALUE"""),"WA Undelivered")</f>
        <v>WA Undelivered</v>
      </c>
      <c r="J812" s="275">
        <f>IFERROR(__xludf.DUMMYFUNCTION("""COMPUTED_VALUE"""),20213.0)</f>
        <v>20213</v>
      </c>
      <c r="K812" s="275">
        <f>IFERROR(__xludf.DUMMYFUNCTION("""COMPUTED_VALUE"""),11009.0)</f>
        <v>11009</v>
      </c>
      <c r="L812" s="276">
        <f>IFERROR(__xludf.DUMMYFUNCTION("""COMPUTED_VALUE"""),0.5446)</f>
        <v>0.5446</v>
      </c>
      <c r="M812" s="275">
        <f>IFERROR(__xludf.DUMMYFUNCTION("""COMPUTED_VALUE"""),0.0)</f>
        <v>0</v>
      </c>
      <c r="N812" s="276">
        <f>IFERROR(__xludf.DUMMYFUNCTION("""COMPUTED_VALUE"""),0.0)</f>
        <v>0</v>
      </c>
      <c r="O812" s="208">
        <f>IFERROR(__xludf.DUMMYFUNCTION("""COMPUTED_VALUE"""),22.0)</f>
        <v>22</v>
      </c>
      <c r="P812" s="208">
        <f>IFERROR(__xludf.DUMMYFUNCTION("""COMPUTED_VALUE"""),0.0)</f>
        <v>0</v>
      </c>
      <c r="Q812" s="276">
        <f>IFERROR(__xludf.DUMMYFUNCTION("""COMPUTED_VALUE"""),0.002)</f>
        <v>0.002</v>
      </c>
      <c r="R812" s="276">
        <f>IFERROR(__xludf.DUMMYFUNCTION("""COMPUTED_VALUE"""),0.0)</f>
        <v>0</v>
      </c>
      <c r="S812" s="208">
        <f>IFERROR(__xludf.DUMMYFUNCTION("""COMPUTED_VALUE"""),0.0)</f>
        <v>0</v>
      </c>
      <c r="T812" s="208">
        <f>IFERROR(__xludf.DUMMYFUNCTION("""COMPUTED_VALUE"""),1.0)</f>
        <v>1</v>
      </c>
      <c r="U812" s="275">
        <f>IFERROR(__xludf.DUMMYFUNCTION("""COMPUTED_VALUE"""),0.0)</f>
        <v>0</v>
      </c>
      <c r="V812" s="234" t="str">
        <f>IFERROR(__xludf.DUMMYFUNCTION("""COMPUTED_VALUE"""),"online")</f>
        <v>online</v>
      </c>
      <c r="W812" s="232" t="str">
        <f>IFERROR(__xludf.DUMMYFUNCTION("""COMPUTED_VALUE"""),"Sms")</f>
        <v>Sms</v>
      </c>
      <c r="X812" s="232" t="str">
        <f>IFERROR(__xludf.DUMMYFUNCTION("""COMPUTED_VALUE"""),"Event Buyers")</f>
        <v>Event Buyers</v>
      </c>
      <c r="Y812" s="232" t="str">
        <f>IFERROR(__xludf.DUMMYFUNCTION("""COMPUTED_VALUE"""),"29 May")</f>
        <v>29 May</v>
      </c>
      <c r="Z812" s="232" t="str">
        <f>IFERROR(__xludf.DUMMYFUNCTION("""COMPUTED_VALUE"""),"6a17e3eea23a8c50a0aaf918")</f>
        <v>6a17e3eea23a8c50a0aaf918</v>
      </c>
      <c r="AA812" s="277">
        <f>IFERROR(__xludf.DUMMYFUNCTION("""COMPUTED_VALUE"""),12.0)</f>
        <v>12</v>
      </c>
      <c r="AB812" s="277">
        <f>IFERROR(__xludf.DUMMYFUNCTION("""COMPUTED_VALUE"""),12.0)</f>
        <v>12</v>
      </c>
      <c r="AC812" s="277"/>
      <c r="AD812" s="277">
        <f>IFERROR(__xludf.DUMMYFUNCTION("""COMPUTED_VALUE"""),35776.0)</f>
        <v>35776</v>
      </c>
      <c r="AE812" s="277">
        <f>IFERROR(__xludf.DUMMYFUNCTION("""COMPUTED_VALUE"""),35776.0)</f>
        <v>35776</v>
      </c>
      <c r="AF812" s="277"/>
      <c r="AG812" s="208"/>
      <c r="AH812" s="208"/>
      <c r="AI812" s="208"/>
      <c r="AJ812" s="208"/>
      <c r="AK812" s="208"/>
    </row>
    <row r="813" hidden="1">
      <c r="A813" s="288">
        <f>IFERROR(__xludf.DUMMYFUNCTION("""COMPUTED_VALUE"""),46172.0)</f>
        <v>46172</v>
      </c>
      <c r="B813" s="274">
        <f>IFERROR(__xludf.DUMMYFUNCTION("""COMPUTED_VALUE"""),0.5625)</f>
        <v>0.5625</v>
      </c>
      <c r="C813" s="208" t="str">
        <f>IFERROR(__xludf.DUMMYFUNCTION("""COMPUTED_VALUE"""),"Sms")</f>
        <v>Sms</v>
      </c>
      <c r="D813" s="208" t="str">
        <f>IFERROR(__xludf.DUMMYFUNCTION("""COMPUTED_VALUE"""),"Fallback campaign")</f>
        <v>Fallback campaign</v>
      </c>
      <c r="E813" s="208" t="str">
        <f>IFERROR(__xludf.DUMMYFUNCTION("""COMPUTED_VALUE"""),"BBW")</f>
        <v>BBW</v>
      </c>
      <c r="F813" s="208" t="str">
        <f>IFERROR(__xludf.DUMMYFUNCTION("""COMPUTED_VALUE"""),"BC Tier Discount - Body Care")</f>
        <v>BC Tier Discount - Body Care</v>
      </c>
      <c r="G813" s="208" t="str">
        <f>IFERROR(__xludf.DUMMYFUNCTION("""COMPUTED_VALUE"""),"bbw_smsfb_bc_tier_discount_29may_lastreminder_repeat_online")</f>
        <v>bbw_smsfb_bc_tier_discount_29may_lastreminder_repeat_online</v>
      </c>
      <c r="H813" s="232" t="str">
        <f>IFERROR(__xludf.DUMMYFUNCTION("""COMPUTED_VALUE"""),"BodyCare_Repeat_180D_ON")</f>
        <v>BodyCare_Repeat_180D_ON</v>
      </c>
      <c r="I813" s="233" t="str">
        <f>IFERROR(__xludf.DUMMYFUNCTION("""COMPUTED_VALUE"""),"WA Undelivered")</f>
        <v>WA Undelivered</v>
      </c>
      <c r="J813" s="275">
        <f>IFERROR(__xludf.DUMMYFUNCTION("""COMPUTED_VALUE"""),15562.0)</f>
        <v>15562</v>
      </c>
      <c r="K813" s="275">
        <f>IFERROR(__xludf.DUMMYFUNCTION("""COMPUTED_VALUE"""),8530.0)</f>
        <v>8530</v>
      </c>
      <c r="L813" s="276">
        <f>IFERROR(__xludf.DUMMYFUNCTION("""COMPUTED_VALUE"""),0.5481)</f>
        <v>0.5481</v>
      </c>
      <c r="M813" s="275">
        <f>IFERROR(__xludf.DUMMYFUNCTION("""COMPUTED_VALUE"""),0.0)</f>
        <v>0</v>
      </c>
      <c r="N813" s="276">
        <f>IFERROR(__xludf.DUMMYFUNCTION("""COMPUTED_VALUE"""),0.0)</f>
        <v>0</v>
      </c>
      <c r="O813" s="208">
        <f>IFERROR(__xludf.DUMMYFUNCTION("""COMPUTED_VALUE"""),9.0)</f>
        <v>9</v>
      </c>
      <c r="P813" s="208">
        <f>IFERROR(__xludf.DUMMYFUNCTION("""COMPUTED_VALUE"""),0.0)</f>
        <v>0</v>
      </c>
      <c r="Q813" s="276">
        <f>IFERROR(__xludf.DUMMYFUNCTION("""COMPUTED_VALUE"""),0.0011)</f>
        <v>0.0011</v>
      </c>
      <c r="R813" s="276">
        <f>IFERROR(__xludf.DUMMYFUNCTION("""COMPUTED_VALUE"""),0.0)</f>
        <v>0</v>
      </c>
      <c r="S813" s="208">
        <f>IFERROR(__xludf.DUMMYFUNCTION("""COMPUTED_VALUE"""),1.0)</f>
        <v>1</v>
      </c>
      <c r="T813" s="208">
        <f>IFERROR(__xludf.DUMMYFUNCTION("""COMPUTED_VALUE"""),10.0)</f>
        <v>10</v>
      </c>
      <c r="U813" s="275">
        <f>IFERROR(__xludf.DUMMYFUNCTION("""COMPUTED_VALUE"""),2999.0)</f>
        <v>2999</v>
      </c>
      <c r="V813" s="234" t="str">
        <f>IFERROR(__xludf.DUMMYFUNCTION("""COMPUTED_VALUE"""),"online")</f>
        <v>online</v>
      </c>
      <c r="W813" s="232" t="str">
        <f>IFERROR(__xludf.DUMMYFUNCTION("""COMPUTED_VALUE"""),"Sms")</f>
        <v>Sms</v>
      </c>
      <c r="X813" s="232" t="str">
        <f>IFERROR(__xludf.DUMMYFUNCTION("""COMPUTED_VALUE"""),"Repeat - Body Care")</f>
        <v>Repeat - Body Care</v>
      </c>
      <c r="Y813" s="232" t="str">
        <f>IFERROR(__xludf.DUMMYFUNCTION("""COMPUTED_VALUE"""),"30 May")</f>
        <v>30 May</v>
      </c>
      <c r="Z813" s="232" t="str">
        <f>IFERROR(__xludf.DUMMYFUNCTION("""COMPUTED_VALUE"""),"6a17e629230c072e6d6cf393")</f>
        <v>6a17e629230c072e6d6cf393</v>
      </c>
      <c r="AA813" s="277">
        <f>IFERROR(__xludf.DUMMYFUNCTION("""COMPUTED_VALUE"""),21.0)</f>
        <v>21</v>
      </c>
      <c r="AB813" s="277">
        <f>IFERROR(__xludf.DUMMYFUNCTION("""COMPUTED_VALUE"""),21.0)</f>
        <v>21</v>
      </c>
      <c r="AC813" s="277"/>
      <c r="AD813" s="277">
        <f>IFERROR(__xludf.DUMMYFUNCTION("""COMPUTED_VALUE"""),68398.0)</f>
        <v>68398</v>
      </c>
      <c r="AE813" s="277">
        <f>IFERROR(__xludf.DUMMYFUNCTION("""COMPUTED_VALUE"""),68398.0)</f>
        <v>68398</v>
      </c>
      <c r="AF813" s="277"/>
      <c r="AG813" s="208"/>
      <c r="AH813" s="208"/>
      <c r="AI813" s="208"/>
      <c r="AJ813" s="208"/>
      <c r="AK813" s="208"/>
    </row>
    <row r="814" hidden="1">
      <c r="A814" s="288">
        <f>IFERROR(__xludf.DUMMYFUNCTION("""COMPUTED_VALUE"""),46172.0)</f>
        <v>46172</v>
      </c>
      <c r="B814" s="274">
        <f>IFERROR(__xludf.DUMMYFUNCTION("""COMPUTED_VALUE"""),0.5625)</f>
        <v>0.5625</v>
      </c>
      <c r="C814" s="208" t="str">
        <f>IFERROR(__xludf.DUMMYFUNCTION("""COMPUTED_VALUE"""),"Sms")</f>
        <v>Sms</v>
      </c>
      <c r="D814" s="208" t="str">
        <f>IFERROR(__xludf.DUMMYFUNCTION("""COMPUTED_VALUE"""),"Fallback campaign")</f>
        <v>Fallback campaign</v>
      </c>
      <c r="E814" s="208" t="str">
        <f>IFERROR(__xludf.DUMMYFUNCTION("""COMPUTED_VALUE"""),"BBW")</f>
        <v>BBW</v>
      </c>
      <c r="F814" s="208" t="str">
        <f>IFERROR(__xludf.DUMMYFUNCTION("""COMPUTED_VALUE"""),"BC Tier Discount - Body Care")</f>
        <v>BC Tier Discount - Body Care</v>
      </c>
      <c r="G814" s="208" t="str">
        <f>IFERROR(__xludf.DUMMYFUNCTION("""COMPUTED_VALUE"""),"bbw_smsfb_bc_tier_discount_29may_lastreminder_atc_view_online")</f>
        <v>bbw_smsfb_bc_tier_discount_29may_lastreminder_atc_view_online</v>
      </c>
      <c r="H814" s="232" t="str">
        <f>IFERROR(__xludf.DUMMYFUNCTION("""COMPUTED_VALUE"""),"ATC_View_NoPr_BodyCare_On")</f>
        <v>ATC_View_NoPr_BodyCare_On</v>
      </c>
      <c r="I814" s="233" t="str">
        <f>IFERROR(__xludf.DUMMYFUNCTION("""COMPUTED_VALUE"""),"WA Undelivered")</f>
        <v>WA Undelivered</v>
      </c>
      <c r="J814" s="275">
        <f>IFERROR(__xludf.DUMMYFUNCTION("""COMPUTED_VALUE"""),3412.0)</f>
        <v>3412</v>
      </c>
      <c r="K814" s="275">
        <f>IFERROR(__xludf.DUMMYFUNCTION("""COMPUTED_VALUE"""),2250.0)</f>
        <v>2250</v>
      </c>
      <c r="L814" s="276">
        <f>IFERROR(__xludf.DUMMYFUNCTION("""COMPUTED_VALUE"""),0.6594)</f>
        <v>0.6594</v>
      </c>
      <c r="M814" s="275">
        <f>IFERROR(__xludf.DUMMYFUNCTION("""COMPUTED_VALUE"""),0.0)</f>
        <v>0</v>
      </c>
      <c r="N814" s="276">
        <f>IFERROR(__xludf.DUMMYFUNCTION("""COMPUTED_VALUE"""),0.0)</f>
        <v>0</v>
      </c>
      <c r="O814" s="208">
        <f>IFERROR(__xludf.DUMMYFUNCTION("""COMPUTED_VALUE"""),0.0)</f>
        <v>0</v>
      </c>
      <c r="P814" s="208">
        <f>IFERROR(__xludf.DUMMYFUNCTION("""COMPUTED_VALUE"""),0.0)</f>
        <v>0</v>
      </c>
      <c r="Q814" s="276">
        <f>IFERROR(__xludf.DUMMYFUNCTION("""COMPUTED_VALUE"""),0.0)</f>
        <v>0</v>
      </c>
      <c r="R814" s="276">
        <f>IFERROR(__xludf.DUMMYFUNCTION("""COMPUTED_VALUE"""),0.0)</f>
        <v>0</v>
      </c>
      <c r="S814" s="208">
        <f>IFERROR(__xludf.DUMMYFUNCTION("""COMPUTED_VALUE"""),2.0)</f>
        <v>2</v>
      </c>
      <c r="T814" s="208">
        <f>IFERROR(__xludf.DUMMYFUNCTION("""COMPUTED_VALUE"""),19.0)</f>
        <v>19</v>
      </c>
      <c r="U814" s="275">
        <f>IFERROR(__xludf.DUMMYFUNCTION("""COMPUTED_VALUE"""),8767.0)</f>
        <v>8767</v>
      </c>
      <c r="V814" s="234" t="str">
        <f>IFERROR(__xludf.DUMMYFUNCTION("""COMPUTED_VALUE"""),"online")</f>
        <v>online</v>
      </c>
      <c r="W814" s="232" t="str">
        <f>IFERROR(__xludf.DUMMYFUNCTION("""COMPUTED_VALUE"""),"Sms")</f>
        <v>Sms</v>
      </c>
      <c r="X814" s="232" t="str">
        <f>IFERROR(__xludf.DUMMYFUNCTION("""COMPUTED_VALUE"""),"Add to Cart/View Item")</f>
        <v>Add to Cart/View Item</v>
      </c>
      <c r="Y814" s="232" t="str">
        <f>IFERROR(__xludf.DUMMYFUNCTION("""COMPUTED_VALUE"""),"30 May")</f>
        <v>30 May</v>
      </c>
      <c r="Z814" s="232" t="str">
        <f>IFERROR(__xludf.DUMMYFUNCTION("""COMPUTED_VALUE"""),"6a17e654f45f1cf360b849ac")</f>
        <v>6a17e654f45f1cf360b849ac</v>
      </c>
      <c r="AA814" s="277">
        <f>IFERROR(__xludf.DUMMYFUNCTION("""COMPUTED_VALUE"""),3.0)</f>
        <v>3</v>
      </c>
      <c r="AB814" s="277">
        <f>IFERROR(__xludf.DUMMYFUNCTION("""COMPUTED_VALUE"""),3.0)</f>
        <v>3</v>
      </c>
      <c r="AC814" s="277"/>
      <c r="AD814" s="277">
        <f>IFERROR(__xludf.DUMMYFUNCTION("""COMPUTED_VALUE"""),10025.0)</f>
        <v>10025</v>
      </c>
      <c r="AE814" s="277">
        <f>IFERROR(__xludf.DUMMYFUNCTION("""COMPUTED_VALUE"""),10025.0)</f>
        <v>10025</v>
      </c>
      <c r="AF814" s="277"/>
      <c r="AG814" s="208"/>
      <c r="AH814" s="208"/>
      <c r="AI814" s="208"/>
      <c r="AJ814" s="208"/>
      <c r="AK814" s="208"/>
    </row>
    <row r="815" hidden="1">
      <c r="A815" s="288">
        <f>IFERROR(__xludf.DUMMYFUNCTION("""COMPUTED_VALUE"""),46172.0)</f>
        <v>46172</v>
      </c>
      <c r="B815" s="274">
        <f>IFERROR(__xludf.DUMMYFUNCTION("""COMPUTED_VALUE"""),0.5625)</f>
        <v>0.5625</v>
      </c>
      <c r="C815" s="208" t="str">
        <f>IFERROR(__xludf.DUMMYFUNCTION("""COMPUTED_VALUE"""),"Sms")</f>
        <v>Sms</v>
      </c>
      <c r="D815" s="208" t="str">
        <f>IFERROR(__xludf.DUMMYFUNCTION("""COMPUTED_VALUE"""),"Fallback campaign")</f>
        <v>Fallback campaign</v>
      </c>
      <c r="E815" s="208" t="str">
        <f>IFERROR(__xludf.DUMMYFUNCTION("""COMPUTED_VALUE"""),"BBW")</f>
        <v>BBW</v>
      </c>
      <c r="F815" s="208" t="str">
        <f>IFERROR(__xludf.DUMMYFUNCTION("""COMPUTED_VALUE"""),"BC Tier Discount - Body Care")</f>
        <v>BC Tier Discount - Body Care</v>
      </c>
      <c r="G815" s="208" t="str">
        <f>IFERROR(__xludf.DUMMYFUNCTION("""COMPUTED_VALUE"""),"bbw_smsfb_bc_tier_discount_29may_lastreminder_event&amp;dormant_online")</f>
        <v>bbw_smsfb_bc_tier_discount_29may_lastreminder_event&amp;dormant_online</v>
      </c>
      <c r="H815" s="232" t="str">
        <f>IFERROR(__xludf.DUMMYFUNCTION("""COMPUTED_VALUE"""),"BC_EventBuyers+Dormant_ON")</f>
        <v>BC_EventBuyers+Dormant_ON</v>
      </c>
      <c r="I815" s="233" t="str">
        <f>IFERROR(__xludf.DUMMYFUNCTION("""COMPUTED_VALUE"""),"WA Undelivered")</f>
        <v>WA Undelivered</v>
      </c>
      <c r="J815" s="275">
        <f>IFERROR(__xludf.DUMMYFUNCTION("""COMPUTED_VALUE"""),20210.0)</f>
        <v>20210</v>
      </c>
      <c r="K815" s="275">
        <f>IFERROR(__xludf.DUMMYFUNCTION("""COMPUTED_VALUE"""),11174.0)</f>
        <v>11174</v>
      </c>
      <c r="L815" s="276">
        <f>IFERROR(__xludf.DUMMYFUNCTION("""COMPUTED_VALUE"""),0.5529)</f>
        <v>0.5529</v>
      </c>
      <c r="M815" s="275">
        <f>IFERROR(__xludf.DUMMYFUNCTION("""COMPUTED_VALUE"""),0.0)</f>
        <v>0</v>
      </c>
      <c r="N815" s="276">
        <f>IFERROR(__xludf.DUMMYFUNCTION("""COMPUTED_VALUE"""),0.0)</f>
        <v>0</v>
      </c>
      <c r="O815" s="208">
        <f>IFERROR(__xludf.DUMMYFUNCTION("""COMPUTED_VALUE"""),5.0)</f>
        <v>5</v>
      </c>
      <c r="P815" s="208">
        <f>IFERROR(__xludf.DUMMYFUNCTION("""COMPUTED_VALUE"""),0.0)</f>
        <v>0</v>
      </c>
      <c r="Q815" s="276">
        <f>IFERROR(__xludf.DUMMYFUNCTION("""COMPUTED_VALUE"""),4.0E-4)</f>
        <v>0.0004</v>
      </c>
      <c r="R815" s="276">
        <f>IFERROR(__xludf.DUMMYFUNCTION("""COMPUTED_VALUE"""),0.0)</f>
        <v>0</v>
      </c>
      <c r="S815" s="208">
        <f>IFERROR(__xludf.DUMMYFUNCTION("""COMPUTED_VALUE"""),0.0)</f>
        <v>0</v>
      </c>
      <c r="T815" s="208">
        <f>IFERROR(__xludf.DUMMYFUNCTION("""COMPUTED_VALUE"""),0.0)</f>
        <v>0</v>
      </c>
      <c r="U815" s="275">
        <f>IFERROR(__xludf.DUMMYFUNCTION("""COMPUTED_VALUE"""),0.0)</f>
        <v>0</v>
      </c>
      <c r="V815" s="234" t="str">
        <f>IFERROR(__xludf.DUMMYFUNCTION("""COMPUTED_VALUE"""),"online")</f>
        <v>online</v>
      </c>
      <c r="W815" s="232" t="str">
        <f>IFERROR(__xludf.DUMMYFUNCTION("""COMPUTED_VALUE"""),"Sms")</f>
        <v>Sms</v>
      </c>
      <c r="X815" s="232" t="str">
        <f>IFERROR(__xludf.DUMMYFUNCTION("""COMPUTED_VALUE"""),"Event Buyers")</f>
        <v>Event Buyers</v>
      </c>
      <c r="Y815" s="232" t="str">
        <f>IFERROR(__xludf.DUMMYFUNCTION("""COMPUTED_VALUE"""),"30 May")</f>
        <v>30 May</v>
      </c>
      <c r="Z815" s="232" t="str">
        <f>IFERROR(__xludf.DUMMYFUNCTION("""COMPUTED_VALUE"""),"6a17e6a37716fb65e8b65102")</f>
        <v>6a17e6a37716fb65e8b65102</v>
      </c>
      <c r="AA815" s="277">
        <f>IFERROR(__xludf.DUMMYFUNCTION("""COMPUTED_VALUE"""),9.0)</f>
        <v>9</v>
      </c>
      <c r="AB815" s="277">
        <f>IFERROR(__xludf.DUMMYFUNCTION("""COMPUTED_VALUE"""),9.0)</f>
        <v>9</v>
      </c>
      <c r="AC815" s="277"/>
      <c r="AD815" s="277">
        <f>IFERROR(__xludf.DUMMYFUNCTION("""COMPUTED_VALUE"""),28154.0)</f>
        <v>28154</v>
      </c>
      <c r="AE815" s="277">
        <f>IFERROR(__xludf.DUMMYFUNCTION("""COMPUTED_VALUE"""),28154.0)</f>
        <v>28154</v>
      </c>
      <c r="AF815" s="277"/>
      <c r="AG815" s="208"/>
      <c r="AH815" s="208"/>
      <c r="AI815" s="208"/>
      <c r="AJ815" s="208"/>
      <c r="AK815" s="208"/>
    </row>
    <row r="816" hidden="1">
      <c r="A816" s="288">
        <f>IFERROR(__xludf.DUMMYFUNCTION("""COMPUTED_VALUE"""),46170.0)</f>
        <v>46170</v>
      </c>
      <c r="B816" s="274">
        <f>IFERROR(__xludf.DUMMYFUNCTION("""COMPUTED_VALUE"""),0.8333333333321207)</f>
        <v>0.8333333333</v>
      </c>
      <c r="C816" s="208" t="str">
        <f>IFERROR(__xludf.DUMMYFUNCTION("""COMPUTED_VALUE"""),"Sms")</f>
        <v>Sms</v>
      </c>
      <c r="D816" s="208" t="str">
        <f>IFERROR(__xludf.DUMMYFUNCTION("""COMPUTED_VALUE"""),"Fallback campaign")</f>
        <v>Fallback campaign</v>
      </c>
      <c r="E816" s="208" t="str">
        <f>IFERROR(__xludf.DUMMYFUNCTION("""COMPUTED_VALUE"""),"BBW")</f>
        <v>BBW</v>
      </c>
      <c r="F816" s="208" t="str">
        <f>IFERROR(__xludf.DUMMYFUNCTION("""COMPUTED_VALUE"""),"HS TITBI - Hand Soaps")</f>
        <v>HS TITBI - Hand Soaps</v>
      </c>
      <c r="G816" s="208" t="str">
        <f>IFERROR(__xludf.DUMMYFUNCTION("""COMPUTED_VALUE"""),"bbw_smsfb_hs_titbi_ea_28may_active_overall")</f>
        <v>bbw_smsfb_hs_titbi_ea_28may_active_overall</v>
      </c>
      <c r="H816" s="232" t="str">
        <f>IFERROR(__xludf.DUMMYFUNCTION("""COMPUTED_VALUE"""),"BBW_ON_OFF_ACTIVE_HS_HC")</f>
        <v>BBW_ON_OFF_ACTIVE_HS_HC</v>
      </c>
      <c r="I816" s="233" t="str">
        <f>IFERROR(__xludf.DUMMYFUNCTION("""COMPUTED_VALUE"""),"WA Undelivered")</f>
        <v>WA Undelivered</v>
      </c>
      <c r="J816" s="275">
        <f>IFERROR(__xludf.DUMMYFUNCTION("""COMPUTED_VALUE"""),23839.0)</f>
        <v>23839</v>
      </c>
      <c r="K816" s="275">
        <f>IFERROR(__xludf.DUMMYFUNCTION("""COMPUTED_VALUE"""),12761.0)</f>
        <v>12761</v>
      </c>
      <c r="L816" s="276">
        <f>IFERROR(__xludf.DUMMYFUNCTION("""COMPUTED_VALUE"""),0.5353)</f>
        <v>0.5353</v>
      </c>
      <c r="M816" s="275">
        <f>IFERROR(__xludf.DUMMYFUNCTION("""COMPUTED_VALUE"""),0.0)</f>
        <v>0</v>
      </c>
      <c r="N816" s="276">
        <f>IFERROR(__xludf.DUMMYFUNCTION("""COMPUTED_VALUE"""),0.0)</f>
        <v>0</v>
      </c>
      <c r="O816" s="208">
        <f>IFERROR(__xludf.DUMMYFUNCTION("""COMPUTED_VALUE"""),33.0)</f>
        <v>33</v>
      </c>
      <c r="P816" s="208">
        <f>IFERROR(__xludf.DUMMYFUNCTION("""COMPUTED_VALUE"""),0.0)</f>
        <v>0</v>
      </c>
      <c r="Q816" s="276">
        <f>IFERROR(__xludf.DUMMYFUNCTION("""COMPUTED_VALUE"""),0.0026)</f>
        <v>0.0026</v>
      </c>
      <c r="R816" s="276">
        <f>IFERROR(__xludf.DUMMYFUNCTION("""COMPUTED_VALUE"""),0.0)</f>
        <v>0</v>
      </c>
      <c r="S816" s="208">
        <f>IFERROR(__xludf.DUMMYFUNCTION("""COMPUTED_VALUE"""),2.0)</f>
        <v>2</v>
      </c>
      <c r="T816" s="208">
        <f>IFERROR(__xludf.DUMMYFUNCTION("""COMPUTED_VALUE"""),8.0)</f>
        <v>8</v>
      </c>
      <c r="U816" s="275">
        <f>IFERROR(__xludf.DUMMYFUNCTION("""COMPUTED_VALUE"""),6651.0)</f>
        <v>6651</v>
      </c>
      <c r="V816" s="234" t="str">
        <f>IFERROR(__xludf.DUMMYFUNCTION("""COMPUTED_VALUE"""),"overall")</f>
        <v>overall</v>
      </c>
      <c r="W816" s="232" t="str">
        <f>IFERROR(__xludf.DUMMYFUNCTION("""COMPUTED_VALUE"""),"Sms")</f>
        <v>Sms</v>
      </c>
      <c r="X816" s="232" t="str">
        <f>IFERROR(__xludf.DUMMYFUNCTION("""COMPUTED_VALUE"""),"Active")</f>
        <v>Active</v>
      </c>
      <c r="Y816" s="232" t="str">
        <f>IFERROR(__xludf.DUMMYFUNCTION("""COMPUTED_VALUE"""),"28 May")</f>
        <v>28 May</v>
      </c>
      <c r="Z816" s="232" t="str">
        <f>IFERROR(__xludf.DUMMYFUNCTION("""COMPUTED_VALUE"""),"6a1699337976a0271373705c")</f>
        <v>6a1699337976a0271373705c</v>
      </c>
      <c r="AA816" s="277">
        <f>IFERROR(__xludf.DUMMYFUNCTION("""COMPUTED_VALUE"""),35.0)</f>
        <v>35</v>
      </c>
      <c r="AB816" s="277">
        <f>IFERROR(__xludf.DUMMYFUNCTION("""COMPUTED_VALUE"""),11.0)</f>
        <v>11</v>
      </c>
      <c r="AC816" s="277">
        <f>IFERROR(__xludf.DUMMYFUNCTION("""COMPUTED_VALUE"""),24.0)</f>
        <v>24</v>
      </c>
      <c r="AD816" s="277">
        <f>IFERROR(__xludf.DUMMYFUNCTION("""COMPUTED_VALUE"""),187960.0)</f>
        <v>187960</v>
      </c>
      <c r="AE816" s="277">
        <f>IFERROR(__xludf.DUMMYFUNCTION("""COMPUTED_VALUE"""),28156.0)</f>
        <v>28156</v>
      </c>
      <c r="AF816" s="277">
        <f>IFERROR(__xludf.DUMMYFUNCTION("""COMPUTED_VALUE"""),159804.0)</f>
        <v>159804</v>
      </c>
      <c r="AG816" s="208"/>
      <c r="AH816" s="208"/>
      <c r="AI816" s="208"/>
      <c r="AJ816" s="208"/>
      <c r="AK816" s="208"/>
    </row>
    <row r="817" hidden="1">
      <c r="A817" s="288">
        <f>IFERROR(__xludf.DUMMYFUNCTION("""COMPUTED_VALUE"""),46170.0)</f>
        <v>46170</v>
      </c>
      <c r="B817" s="274">
        <f>IFERROR(__xludf.DUMMYFUNCTION("""COMPUTED_VALUE"""),0.8333333333321207)</f>
        <v>0.8333333333</v>
      </c>
      <c r="C817" s="208" t="str">
        <f>IFERROR(__xludf.DUMMYFUNCTION("""COMPUTED_VALUE"""),"Sms")</f>
        <v>Sms</v>
      </c>
      <c r="D817" s="208" t="str">
        <f>IFERROR(__xludf.DUMMYFUNCTION("""COMPUTED_VALUE"""),"Fallback campaign")</f>
        <v>Fallback campaign</v>
      </c>
      <c r="E817" s="208" t="str">
        <f>IFERROR(__xludf.DUMMYFUNCTION("""COMPUTED_VALUE"""),"BBW")</f>
        <v>BBW</v>
      </c>
      <c r="F817" s="208" t="str">
        <f>IFERROR(__xludf.DUMMYFUNCTION("""COMPUTED_VALUE"""),"HS TITBI - Hand Soaps")</f>
        <v>HS TITBI - Hand Soaps</v>
      </c>
      <c r="G817" s="208" t="str">
        <f>IFERROR(__xludf.DUMMYFUNCTION("""COMPUTED_VALUE"""),"bbw_smsfb_hs_titbi_ea_28may_dorm_overall")</f>
        <v>bbw_smsfb_hs_titbi_ea_28may_dorm_overall</v>
      </c>
      <c r="H817" s="232" t="str">
        <f>IFERROR(__xludf.DUMMYFUNCTION("""COMPUTED_VALUE"""),"BBW_ON_OFF_DORM_HS_HC")</f>
        <v>BBW_ON_OFF_DORM_HS_HC</v>
      </c>
      <c r="I817" s="233" t="str">
        <f>IFERROR(__xludf.DUMMYFUNCTION("""COMPUTED_VALUE"""),"WA Undelivered")</f>
        <v>WA Undelivered</v>
      </c>
      <c r="J817" s="275">
        <f>IFERROR(__xludf.DUMMYFUNCTION("""COMPUTED_VALUE"""),62325.0)</f>
        <v>62325</v>
      </c>
      <c r="K817" s="275">
        <f>IFERROR(__xludf.DUMMYFUNCTION("""COMPUTED_VALUE"""),33137.0)</f>
        <v>33137</v>
      </c>
      <c r="L817" s="276">
        <f>IFERROR(__xludf.DUMMYFUNCTION("""COMPUTED_VALUE"""),0.5317)</f>
        <v>0.5317</v>
      </c>
      <c r="M817" s="275">
        <f>IFERROR(__xludf.DUMMYFUNCTION("""COMPUTED_VALUE"""),0.0)</f>
        <v>0</v>
      </c>
      <c r="N817" s="276">
        <f>IFERROR(__xludf.DUMMYFUNCTION("""COMPUTED_VALUE"""),0.0)</f>
        <v>0</v>
      </c>
      <c r="O817" s="208">
        <f>IFERROR(__xludf.DUMMYFUNCTION("""COMPUTED_VALUE"""),80.0)</f>
        <v>80</v>
      </c>
      <c r="P817" s="208">
        <f>IFERROR(__xludf.DUMMYFUNCTION("""COMPUTED_VALUE"""),0.0)</f>
        <v>0</v>
      </c>
      <c r="Q817" s="276">
        <f>IFERROR(__xludf.DUMMYFUNCTION("""COMPUTED_VALUE"""),0.0024)</f>
        <v>0.0024</v>
      </c>
      <c r="R817" s="276">
        <f>IFERROR(__xludf.DUMMYFUNCTION("""COMPUTED_VALUE"""),0.0)</f>
        <v>0</v>
      </c>
      <c r="S817" s="208">
        <f>IFERROR(__xludf.DUMMYFUNCTION("""COMPUTED_VALUE"""),3.0)</f>
        <v>3</v>
      </c>
      <c r="T817" s="208">
        <f>IFERROR(__xludf.DUMMYFUNCTION("""COMPUTED_VALUE"""),11.0)</f>
        <v>11</v>
      </c>
      <c r="U817" s="275">
        <f>IFERROR(__xludf.DUMMYFUNCTION("""COMPUTED_VALUE"""),19779.0)</f>
        <v>19779</v>
      </c>
      <c r="V817" s="234" t="str">
        <f>IFERROR(__xludf.DUMMYFUNCTION("""COMPUTED_VALUE"""),"overall")</f>
        <v>overall</v>
      </c>
      <c r="W817" s="232" t="str">
        <f>IFERROR(__xludf.DUMMYFUNCTION("""COMPUTED_VALUE"""),"Sms")</f>
        <v>Sms</v>
      </c>
      <c r="X817" s="232" t="str">
        <f>IFERROR(__xludf.DUMMYFUNCTION("""COMPUTED_VALUE"""),"Dormant")</f>
        <v>Dormant</v>
      </c>
      <c r="Y817" s="232" t="str">
        <f>IFERROR(__xludf.DUMMYFUNCTION("""COMPUTED_VALUE"""),"28 May")</f>
        <v>28 May</v>
      </c>
      <c r="Z817" s="232" t="str">
        <f>IFERROR(__xludf.DUMMYFUNCTION("""COMPUTED_VALUE"""),"6a1699dc7976a027137370bf")</f>
        <v>6a1699dc7976a027137370bf</v>
      </c>
      <c r="AA817" s="277">
        <f>IFERROR(__xludf.DUMMYFUNCTION("""COMPUTED_VALUE"""),59.0)</f>
        <v>59</v>
      </c>
      <c r="AB817" s="277">
        <f>IFERROR(__xludf.DUMMYFUNCTION("""COMPUTED_VALUE"""),28.0)</f>
        <v>28</v>
      </c>
      <c r="AC817" s="277">
        <f>IFERROR(__xludf.DUMMYFUNCTION("""COMPUTED_VALUE"""),31.0)</f>
        <v>31</v>
      </c>
      <c r="AD817" s="277">
        <f>IFERROR(__xludf.DUMMYFUNCTION("""COMPUTED_VALUE"""),275401.0)</f>
        <v>275401</v>
      </c>
      <c r="AE817" s="277">
        <f>IFERROR(__xludf.DUMMYFUNCTION("""COMPUTED_VALUE"""),102140.0)</f>
        <v>102140</v>
      </c>
      <c r="AF817" s="277">
        <f>IFERROR(__xludf.DUMMYFUNCTION("""COMPUTED_VALUE"""),173261.0)</f>
        <v>173261</v>
      </c>
      <c r="AG817" s="208"/>
      <c r="AH817" s="208"/>
      <c r="AI817" s="208"/>
      <c r="AJ817" s="208"/>
      <c r="AK817" s="208"/>
    </row>
    <row r="818" hidden="1">
      <c r="A818" s="288">
        <f>IFERROR(__xludf.DUMMYFUNCTION("""COMPUTED_VALUE"""),46173.0)</f>
        <v>46173</v>
      </c>
      <c r="B818" s="274">
        <f>IFERROR(__xludf.DUMMYFUNCTION("""COMPUTED_VALUE"""),0.8333333333321207)</f>
        <v>0.8333333333</v>
      </c>
      <c r="C818" s="208" t="str">
        <f>IFERROR(__xludf.DUMMYFUNCTION("""COMPUTED_VALUE"""),"Sms")</f>
        <v>Sms</v>
      </c>
      <c r="D818" s="208" t="str">
        <f>IFERROR(__xludf.DUMMYFUNCTION("""COMPUTED_VALUE"""),"Fallback campaign")</f>
        <v>Fallback campaign</v>
      </c>
      <c r="E818" s="208" t="str">
        <f>IFERROR(__xludf.DUMMYFUNCTION("""COMPUTED_VALUE"""),"BBW")</f>
        <v>BBW</v>
      </c>
      <c r="F818" s="208" t="str">
        <f>IFERROR(__xludf.DUMMYFUNCTION("""COMPUTED_VALUE"""),"HS TITBI - Hand Soaps")</f>
        <v>HS TITBI - Hand Soaps</v>
      </c>
      <c r="G818" s="208" t="str">
        <f>IFERROR(__xludf.DUMMYFUNCTION("""COMPUTED_VALUE"""),"bbw_smsfb_hs_titbi_31may_lastreminder_active_overall")</f>
        <v>bbw_smsfb_hs_titbi_31may_lastreminder_active_overall</v>
      </c>
      <c r="H818" s="232" t="str">
        <f>IFERROR(__xludf.DUMMYFUNCTION("""COMPUTED_VALUE"""),"BBW_ON_OFF_ACTIVE_HS_HC")</f>
        <v>BBW_ON_OFF_ACTIVE_HS_HC</v>
      </c>
      <c r="I818" s="233" t="str">
        <f>IFERROR(__xludf.DUMMYFUNCTION("""COMPUTED_VALUE"""),"WA Undelivered")</f>
        <v>WA Undelivered</v>
      </c>
      <c r="J818" s="275">
        <f>IFERROR(__xludf.DUMMYFUNCTION("""COMPUTED_VALUE"""),23841.0)</f>
        <v>23841</v>
      </c>
      <c r="K818" s="275">
        <f>IFERROR(__xludf.DUMMYFUNCTION("""COMPUTED_VALUE"""),12563.0)</f>
        <v>12563</v>
      </c>
      <c r="L818" s="276">
        <f>IFERROR(__xludf.DUMMYFUNCTION("""COMPUTED_VALUE"""),0.5269)</f>
        <v>0.5269</v>
      </c>
      <c r="M818" s="275">
        <f>IFERROR(__xludf.DUMMYFUNCTION("""COMPUTED_VALUE"""),0.0)</f>
        <v>0</v>
      </c>
      <c r="N818" s="276">
        <f>IFERROR(__xludf.DUMMYFUNCTION("""COMPUTED_VALUE"""),0.0)</f>
        <v>0</v>
      </c>
      <c r="O818" s="208">
        <f>IFERROR(__xludf.DUMMYFUNCTION("""COMPUTED_VALUE"""),11.0)</f>
        <v>11</v>
      </c>
      <c r="P818" s="208">
        <f>IFERROR(__xludf.DUMMYFUNCTION("""COMPUTED_VALUE"""),0.0)</f>
        <v>0</v>
      </c>
      <c r="Q818" s="276">
        <f>IFERROR(__xludf.DUMMYFUNCTION("""COMPUTED_VALUE"""),9.0E-4)</f>
        <v>0.0009</v>
      </c>
      <c r="R818" s="276">
        <f>IFERROR(__xludf.DUMMYFUNCTION("""COMPUTED_VALUE"""),0.0)</f>
        <v>0</v>
      </c>
      <c r="S818" s="208">
        <f>IFERROR(__xludf.DUMMYFUNCTION("""COMPUTED_VALUE"""),0.0)</f>
        <v>0</v>
      </c>
      <c r="T818" s="208">
        <f>IFERROR(__xludf.DUMMYFUNCTION("""COMPUTED_VALUE"""),0.0)</f>
        <v>0</v>
      </c>
      <c r="U818" s="275">
        <f>IFERROR(__xludf.DUMMYFUNCTION("""COMPUTED_VALUE"""),0.0)</f>
        <v>0</v>
      </c>
      <c r="V818" s="234" t="str">
        <f>IFERROR(__xludf.DUMMYFUNCTION("""COMPUTED_VALUE"""),"overall")</f>
        <v>overall</v>
      </c>
      <c r="W818" s="232" t="str">
        <f>IFERROR(__xludf.DUMMYFUNCTION("""COMPUTED_VALUE"""),"Sms")</f>
        <v>Sms</v>
      </c>
      <c r="X818" s="232" t="str">
        <f>IFERROR(__xludf.DUMMYFUNCTION("""COMPUTED_VALUE"""),"Active")</f>
        <v>Active</v>
      </c>
      <c r="Y818" s="232" t="str">
        <f>IFERROR(__xludf.DUMMYFUNCTION("""COMPUTED_VALUE"""),"31 May")</f>
        <v>31 May</v>
      </c>
      <c r="Z818" s="232" t="str">
        <f>IFERROR(__xludf.DUMMYFUNCTION("""COMPUTED_VALUE"""),"6a169de8354d6942a6af4369")</f>
        <v>6a169de8354d6942a6af4369</v>
      </c>
      <c r="AA818" s="277">
        <f>IFERROR(__xludf.DUMMYFUNCTION("""COMPUTED_VALUE"""),52.0)</f>
        <v>52</v>
      </c>
      <c r="AB818" s="277">
        <f>IFERROR(__xludf.DUMMYFUNCTION("""COMPUTED_VALUE"""),11.0)</f>
        <v>11</v>
      </c>
      <c r="AC818" s="277">
        <f>IFERROR(__xludf.DUMMYFUNCTION("""COMPUTED_VALUE"""),41.0)</f>
        <v>41</v>
      </c>
      <c r="AD818" s="277">
        <f>IFERROR(__xludf.DUMMYFUNCTION("""COMPUTED_VALUE"""),185351.0)</f>
        <v>185351</v>
      </c>
      <c r="AE818" s="277">
        <f>IFERROR(__xludf.DUMMYFUNCTION("""COMPUTED_VALUE"""),34104.0)</f>
        <v>34104</v>
      </c>
      <c r="AF818" s="277">
        <f>IFERROR(__xludf.DUMMYFUNCTION("""COMPUTED_VALUE"""),151247.0)</f>
        <v>151247</v>
      </c>
      <c r="AG818" s="208"/>
      <c r="AH818" s="208"/>
      <c r="AI818" s="208"/>
      <c r="AJ818" s="208"/>
      <c r="AK818" s="208"/>
    </row>
    <row r="819" hidden="1">
      <c r="A819" s="288">
        <f>IFERROR(__xludf.DUMMYFUNCTION("""COMPUTED_VALUE"""),46173.0)</f>
        <v>46173</v>
      </c>
      <c r="B819" s="274">
        <f>IFERROR(__xludf.DUMMYFUNCTION("""COMPUTED_VALUE"""),0.8333333333321207)</f>
        <v>0.8333333333</v>
      </c>
      <c r="C819" s="208" t="str">
        <f>IFERROR(__xludf.DUMMYFUNCTION("""COMPUTED_VALUE"""),"Sms")</f>
        <v>Sms</v>
      </c>
      <c r="D819" s="208" t="str">
        <f>IFERROR(__xludf.DUMMYFUNCTION("""COMPUTED_VALUE"""),"Fallback campaign")</f>
        <v>Fallback campaign</v>
      </c>
      <c r="E819" s="208" t="str">
        <f>IFERROR(__xludf.DUMMYFUNCTION("""COMPUTED_VALUE"""),"BBW")</f>
        <v>BBW</v>
      </c>
      <c r="F819" s="208" t="str">
        <f>IFERROR(__xludf.DUMMYFUNCTION("""COMPUTED_VALUE"""),"HS TITBI - Hand Soaps")</f>
        <v>HS TITBI - Hand Soaps</v>
      </c>
      <c r="G819" s="208" t="str">
        <f>IFERROR(__xludf.DUMMYFUNCTION("""COMPUTED_VALUE"""),"bbw_smsfb_hs_titbi_31may_lastreminder_dorm_overall")</f>
        <v>bbw_smsfb_hs_titbi_31may_lastreminder_dorm_overall</v>
      </c>
      <c r="H819" s="232" t="str">
        <f>IFERROR(__xludf.DUMMYFUNCTION("""COMPUTED_VALUE"""),"BBW_ON_OFF_DORM_HS_HC")</f>
        <v>BBW_ON_OFF_DORM_HS_HC</v>
      </c>
      <c r="I819" s="233" t="str">
        <f>IFERROR(__xludf.DUMMYFUNCTION("""COMPUTED_VALUE"""),"WA Undelivered")</f>
        <v>WA Undelivered</v>
      </c>
      <c r="J819" s="275">
        <f>IFERROR(__xludf.DUMMYFUNCTION("""COMPUTED_VALUE"""),65269.0)</f>
        <v>65269</v>
      </c>
      <c r="K819" s="275">
        <f>IFERROR(__xludf.DUMMYFUNCTION("""COMPUTED_VALUE"""),34445.0)</f>
        <v>34445</v>
      </c>
      <c r="L819" s="276">
        <f>IFERROR(__xludf.DUMMYFUNCTION("""COMPUTED_VALUE"""),0.5277)</f>
        <v>0.5277</v>
      </c>
      <c r="M819" s="275">
        <f>IFERROR(__xludf.DUMMYFUNCTION("""COMPUTED_VALUE"""),0.0)</f>
        <v>0</v>
      </c>
      <c r="N819" s="276">
        <f>IFERROR(__xludf.DUMMYFUNCTION("""COMPUTED_VALUE"""),0.0)</f>
        <v>0</v>
      </c>
      <c r="O819" s="208">
        <f>IFERROR(__xludf.DUMMYFUNCTION("""COMPUTED_VALUE"""),28.0)</f>
        <v>28</v>
      </c>
      <c r="P819" s="208">
        <f>IFERROR(__xludf.DUMMYFUNCTION("""COMPUTED_VALUE"""),0.0)</f>
        <v>0</v>
      </c>
      <c r="Q819" s="276">
        <f>IFERROR(__xludf.DUMMYFUNCTION("""COMPUTED_VALUE"""),8.0E-4)</f>
        <v>0.0008</v>
      </c>
      <c r="R819" s="276">
        <f>IFERROR(__xludf.DUMMYFUNCTION("""COMPUTED_VALUE"""),0.0)</f>
        <v>0</v>
      </c>
      <c r="S819" s="208">
        <f>IFERROR(__xludf.DUMMYFUNCTION("""COMPUTED_VALUE"""),1.0)</f>
        <v>1</v>
      </c>
      <c r="T819" s="208">
        <f>IFERROR(__xludf.DUMMYFUNCTION("""COMPUTED_VALUE"""),1.0)</f>
        <v>1</v>
      </c>
      <c r="U819" s="275">
        <f>IFERROR(__xludf.DUMMYFUNCTION("""COMPUTED_VALUE"""),1976.0)</f>
        <v>1976</v>
      </c>
      <c r="V819" s="234" t="str">
        <f>IFERROR(__xludf.DUMMYFUNCTION("""COMPUTED_VALUE"""),"overall")</f>
        <v>overall</v>
      </c>
      <c r="W819" s="232" t="str">
        <f>IFERROR(__xludf.DUMMYFUNCTION("""COMPUTED_VALUE"""),"Sms")</f>
        <v>Sms</v>
      </c>
      <c r="X819" s="232" t="str">
        <f>IFERROR(__xludf.DUMMYFUNCTION("""COMPUTED_VALUE"""),"Dormant")</f>
        <v>Dormant</v>
      </c>
      <c r="Y819" s="232" t="str">
        <f>IFERROR(__xludf.DUMMYFUNCTION("""COMPUTED_VALUE"""),"31 May")</f>
        <v>31 May</v>
      </c>
      <c r="Z819" s="232" t="str">
        <f>IFERROR(__xludf.DUMMYFUNCTION("""COMPUTED_VALUE"""),"6a169f6d354d6942a6af43cd")</f>
        <v>6a169f6d354d6942a6af43cd</v>
      </c>
      <c r="AA819" s="277">
        <f>IFERROR(__xludf.DUMMYFUNCTION("""COMPUTED_VALUE"""),81.0)</f>
        <v>81</v>
      </c>
      <c r="AB819" s="277">
        <f>IFERROR(__xludf.DUMMYFUNCTION("""COMPUTED_VALUE"""),10.0)</f>
        <v>10</v>
      </c>
      <c r="AC819" s="277">
        <f>IFERROR(__xludf.DUMMYFUNCTION("""COMPUTED_VALUE"""),71.0)</f>
        <v>71</v>
      </c>
      <c r="AD819" s="277">
        <f>IFERROR(__xludf.DUMMYFUNCTION("""COMPUTED_VALUE"""),376091.0)</f>
        <v>376091</v>
      </c>
      <c r="AE819" s="277">
        <f>IFERROR(__xludf.DUMMYFUNCTION("""COMPUTED_VALUE"""),30160.0)</f>
        <v>30160</v>
      </c>
      <c r="AF819" s="277">
        <f>IFERROR(__xludf.DUMMYFUNCTION("""COMPUTED_VALUE"""),345931.0)</f>
        <v>345931</v>
      </c>
      <c r="AG819" s="208"/>
      <c r="AH819" s="208"/>
      <c r="AI819" s="208"/>
      <c r="AJ819" s="208"/>
      <c r="AK819" s="208"/>
    </row>
    <row r="820" hidden="1">
      <c r="A820" s="288">
        <f>IFERROR(__xludf.DUMMYFUNCTION("""COMPUTED_VALUE"""),46177.0)</f>
        <v>46177</v>
      </c>
      <c r="B820" s="274">
        <f>IFERROR(__xludf.DUMMYFUNCTION("""COMPUTED_VALUE"""),0.7916666666678793)</f>
        <v>0.7916666667</v>
      </c>
      <c r="C820" s="208" t="str">
        <f>IFERROR(__xludf.DUMMYFUNCTION("""COMPUTED_VALUE"""),"Whatsapp")</f>
        <v>Whatsapp</v>
      </c>
      <c r="D820" s="208" t="str">
        <f>IFERROR(__xludf.DUMMYFUNCTION("""COMPUTED_VALUE"""),"Promotional")</f>
        <v>Promotional</v>
      </c>
      <c r="E820" s="208" t="str">
        <f>IFERROR(__xludf.DUMMYFUNCTION("""COMPUTED_VALUE"""),"BBW")</f>
        <v>BBW</v>
      </c>
      <c r="F820" s="208" t="str">
        <f>IFERROR(__xludf.DUMMYFUNCTION("""COMPUTED_VALUE"""),"B2G2 - June'26 - Entire Store")</f>
        <v>B2G2 - June'26 - Entire Store</v>
      </c>
      <c r="G820" s="208" t="str">
        <f>IFERROR(__xludf.DUMMYFUNCTION("""COMPUTED_VALUE"""),"bbw_wa_b2g2_4june_atc_wishlist_ea_online")</f>
        <v>bbw_wa_b2g2_4june_atc_wishlist_ea_online</v>
      </c>
      <c r="H820" s="232" t="str">
        <f>IFERROR(__xludf.DUMMYFUNCTION("""COMPUTED_VALUE"""),"BBW_ON_B2G2_ATC_Wishlist_May_26")</f>
        <v>BBW_ON_B2G2_ATC_Wishlist_May_26</v>
      </c>
      <c r="I820" s="233" t="str">
        <f>IFERROR(__xludf.DUMMYFUNCTION("""COMPUTED_VALUE"""),"Customers who have added to cart or wishlist in the last 30 days")</f>
        <v>Customers who have added to cart or wishlist in the last 30 days</v>
      </c>
      <c r="J820" s="275">
        <f>IFERROR(__xludf.DUMMYFUNCTION("""COMPUTED_VALUE"""),4548.0)</f>
        <v>4548</v>
      </c>
      <c r="K820" s="275">
        <f>IFERROR(__xludf.DUMMYFUNCTION("""COMPUTED_VALUE"""),2237.0)</f>
        <v>2237</v>
      </c>
      <c r="L820" s="276">
        <f>IFERROR(__xludf.DUMMYFUNCTION("""COMPUTED_VALUE"""),0.4919)</f>
        <v>0.4919</v>
      </c>
      <c r="M820" s="275">
        <f>IFERROR(__xludf.DUMMYFUNCTION("""COMPUTED_VALUE"""),1039.0)</f>
        <v>1039</v>
      </c>
      <c r="N820" s="276">
        <f>IFERROR(__xludf.DUMMYFUNCTION("""COMPUTED_VALUE"""),0.4645)</f>
        <v>0.4645</v>
      </c>
      <c r="O820" s="208">
        <f>IFERROR(__xludf.DUMMYFUNCTION("""COMPUTED_VALUE"""),196.0)</f>
        <v>196</v>
      </c>
      <c r="P820" s="208">
        <f>IFERROR(__xludf.DUMMYFUNCTION("""COMPUTED_VALUE"""),183.0)</f>
        <v>183</v>
      </c>
      <c r="Q820" s="276">
        <f>IFERROR(__xludf.DUMMYFUNCTION("""COMPUTED_VALUE"""),0.0818)</f>
        <v>0.0818</v>
      </c>
      <c r="R820" s="276">
        <f>IFERROR(__xludf.DUMMYFUNCTION("""COMPUTED_VALUE"""),0.1761)</f>
        <v>0.1761</v>
      </c>
      <c r="S820" s="208">
        <f>IFERROR(__xludf.DUMMYFUNCTION("""COMPUTED_VALUE"""),4.0)</f>
        <v>4</v>
      </c>
      <c r="T820" s="208">
        <f>IFERROR(__xludf.DUMMYFUNCTION("""COMPUTED_VALUE"""),82.0)</f>
        <v>82</v>
      </c>
      <c r="U820" s="275">
        <f>IFERROR(__xludf.DUMMYFUNCTION("""COMPUTED_VALUE"""),18457.0)</f>
        <v>18457</v>
      </c>
      <c r="V820" s="234" t="str">
        <f>IFERROR(__xludf.DUMMYFUNCTION("""COMPUTED_VALUE"""),"online")</f>
        <v>online</v>
      </c>
      <c r="W820" s="232" t="str">
        <f>IFERROR(__xludf.DUMMYFUNCTION("""COMPUTED_VALUE"""),"simple")</f>
        <v>simple</v>
      </c>
      <c r="X820" s="232" t="str">
        <f>IFERROR(__xludf.DUMMYFUNCTION("""COMPUTED_VALUE"""),"ATC/View")</f>
        <v>ATC/View</v>
      </c>
      <c r="Y820" s="232" t="str">
        <f>IFERROR(__xludf.DUMMYFUNCTION("""COMPUTED_VALUE"""),"4-6 June")</f>
        <v>4-6 June</v>
      </c>
      <c r="Z820" s="232" t="str">
        <f>IFERROR(__xludf.DUMMYFUNCTION("""COMPUTED_VALUE"""),"6a1d42ea0cc7746a7caa5048")</f>
        <v>6a1d42ea0cc7746a7caa5048</v>
      </c>
      <c r="AA820" s="277">
        <f>IFERROR(__xludf.DUMMYFUNCTION("""COMPUTED_VALUE"""),15.0)</f>
        <v>15</v>
      </c>
      <c r="AB820" s="277">
        <f>IFERROR(__xludf.DUMMYFUNCTION("""COMPUTED_VALUE"""),15.0)</f>
        <v>15</v>
      </c>
      <c r="AC820" s="277"/>
      <c r="AD820" s="277">
        <f>IFERROR(__xludf.DUMMYFUNCTION("""COMPUTED_VALUE"""),68837.0)</f>
        <v>68837</v>
      </c>
      <c r="AE820" s="277">
        <f>IFERROR(__xludf.DUMMYFUNCTION("""COMPUTED_VALUE"""),68837.0)</f>
        <v>68837</v>
      </c>
      <c r="AF820" s="277"/>
      <c r="AG820" s="208"/>
      <c r="AH820" s="208"/>
      <c r="AI820" s="208"/>
      <c r="AJ820" s="208"/>
      <c r="AK820" s="208"/>
    </row>
    <row r="821" hidden="1">
      <c r="A821" s="288">
        <f>IFERROR(__xludf.DUMMYFUNCTION("""COMPUTED_VALUE"""),46177.0)</f>
        <v>46177</v>
      </c>
      <c r="B821" s="274">
        <f>IFERROR(__xludf.DUMMYFUNCTION("""COMPUTED_VALUE"""),0.7916666666678793)</f>
        <v>0.7916666667</v>
      </c>
      <c r="C821" s="208" t="str">
        <f>IFERROR(__xludf.DUMMYFUNCTION("""COMPUTED_VALUE"""),"Whatsapp")</f>
        <v>Whatsapp</v>
      </c>
      <c r="D821" s="208" t="str">
        <f>IFERROR(__xludf.DUMMYFUNCTION("""COMPUTED_VALUE"""),"Promotional")</f>
        <v>Promotional</v>
      </c>
      <c r="E821" s="208" t="str">
        <f>IFERROR(__xludf.DUMMYFUNCTION("""COMPUTED_VALUE"""),"BBW")</f>
        <v>BBW</v>
      </c>
      <c r="F821" s="208" t="str">
        <f>IFERROR(__xludf.DUMMYFUNCTION("""COMPUTED_VALUE"""),"B2G2 - June'26 - Entire Store")</f>
        <v>B2G2 - June'26 - Entire Store</v>
      </c>
      <c r="G821" s="208" t="str">
        <f>IFERROR(__xludf.DUMMYFUNCTION("""COMPUTED_VALUE"""),"bbw_wa_b2g2_4june_active_ea_online")</f>
        <v>bbw_wa_b2g2_4june_active_ea_online</v>
      </c>
      <c r="H821" s="232" t="str">
        <f>IFERROR(__xludf.DUMMYFUNCTION("""COMPUTED_VALUE"""),"BBW_ON_B2G2_Active_May_26")</f>
        <v>BBW_ON_B2G2_Active_May_26</v>
      </c>
      <c r="I821" s="233" t="str">
        <f>IFERROR(__xludf.DUMMYFUNCTION("""COMPUTED_VALUE"""),"Online Customers who have purchased at least 1 time in the last 90 days (TTR)")</f>
        <v>Online Customers who have purchased at least 1 time in the last 90 days (TTR)</v>
      </c>
      <c r="J821" s="275">
        <f>IFERROR(__xludf.DUMMYFUNCTION("""COMPUTED_VALUE"""),23528.0)</f>
        <v>23528</v>
      </c>
      <c r="K821" s="275">
        <f>IFERROR(__xludf.DUMMYFUNCTION("""COMPUTED_VALUE"""),10616.0)</f>
        <v>10616</v>
      </c>
      <c r="L821" s="276">
        <f>IFERROR(__xludf.DUMMYFUNCTION("""COMPUTED_VALUE"""),0.4512)</f>
        <v>0.4512</v>
      </c>
      <c r="M821" s="275">
        <f>IFERROR(__xludf.DUMMYFUNCTION("""COMPUTED_VALUE"""),4482.0)</f>
        <v>4482</v>
      </c>
      <c r="N821" s="276">
        <f>IFERROR(__xludf.DUMMYFUNCTION("""COMPUTED_VALUE"""),0.422)</f>
        <v>0.422</v>
      </c>
      <c r="O821" s="208">
        <f>IFERROR(__xludf.DUMMYFUNCTION("""COMPUTED_VALUE"""),669.0)</f>
        <v>669</v>
      </c>
      <c r="P821" s="208">
        <f>IFERROR(__xludf.DUMMYFUNCTION("""COMPUTED_VALUE"""),627.0)</f>
        <v>627</v>
      </c>
      <c r="Q821" s="276">
        <f>IFERROR(__xludf.DUMMYFUNCTION("""COMPUTED_VALUE"""),0.0591)</f>
        <v>0.0591</v>
      </c>
      <c r="R821" s="276">
        <f>IFERROR(__xludf.DUMMYFUNCTION("""COMPUTED_VALUE"""),0.14)</f>
        <v>0.14</v>
      </c>
      <c r="S821" s="208">
        <f>IFERROR(__xludf.DUMMYFUNCTION("""COMPUTED_VALUE"""),3.0)</f>
        <v>3</v>
      </c>
      <c r="T821" s="208">
        <f>IFERROR(__xludf.DUMMYFUNCTION("""COMPUTED_VALUE"""),18.0)</f>
        <v>18</v>
      </c>
      <c r="U821" s="275">
        <f>IFERROR(__xludf.DUMMYFUNCTION("""COMPUTED_VALUE"""),8454.0)</f>
        <v>8454</v>
      </c>
      <c r="V821" s="234" t="str">
        <f>IFERROR(__xludf.DUMMYFUNCTION("""COMPUTED_VALUE"""),"online")</f>
        <v>online</v>
      </c>
      <c r="W821" s="232" t="str">
        <f>IFERROR(__xludf.DUMMYFUNCTION("""COMPUTED_VALUE"""),"simple")</f>
        <v>simple</v>
      </c>
      <c r="X821" s="232" t="str">
        <f>IFERROR(__xludf.DUMMYFUNCTION("""COMPUTED_VALUE"""),"Active")</f>
        <v>Active</v>
      </c>
      <c r="Y821" s="232" t="str">
        <f>IFERROR(__xludf.DUMMYFUNCTION("""COMPUTED_VALUE"""),"4-6 June")</f>
        <v>4-6 June</v>
      </c>
      <c r="Z821" s="232" t="str">
        <f>IFERROR(__xludf.DUMMYFUNCTION("""COMPUTED_VALUE"""),"6a1d430ee655fcb965a73e5e")</f>
        <v>6a1d430ee655fcb965a73e5e</v>
      </c>
      <c r="AA821" s="277">
        <f>IFERROR(__xludf.DUMMYFUNCTION("""COMPUTED_VALUE"""),31.0)</f>
        <v>31</v>
      </c>
      <c r="AB821" s="277">
        <f>IFERROR(__xludf.DUMMYFUNCTION("""COMPUTED_VALUE"""),31.0)</f>
        <v>31</v>
      </c>
      <c r="AC821" s="277"/>
      <c r="AD821" s="277">
        <f>IFERROR(__xludf.DUMMYFUNCTION("""COMPUTED_VALUE"""),123078.0)</f>
        <v>123078</v>
      </c>
      <c r="AE821" s="277">
        <f>IFERROR(__xludf.DUMMYFUNCTION("""COMPUTED_VALUE"""),123078.0)</f>
        <v>123078</v>
      </c>
      <c r="AF821" s="277"/>
      <c r="AG821" s="208"/>
      <c r="AH821" s="208"/>
      <c r="AI821" s="208"/>
      <c r="AJ821" s="208"/>
      <c r="AK821" s="208"/>
    </row>
    <row r="822" hidden="1">
      <c r="A822" s="288">
        <f>IFERROR(__xludf.DUMMYFUNCTION("""COMPUTED_VALUE"""),46177.0)</f>
        <v>46177</v>
      </c>
      <c r="B822" s="274">
        <f>IFERROR(__xludf.DUMMYFUNCTION("""COMPUTED_VALUE"""),0.7916666666678793)</f>
        <v>0.7916666667</v>
      </c>
      <c r="C822" s="208" t="str">
        <f>IFERROR(__xludf.DUMMYFUNCTION("""COMPUTED_VALUE"""),"Whatsapp")</f>
        <v>Whatsapp</v>
      </c>
      <c r="D822" s="208" t="str">
        <f>IFERROR(__xludf.DUMMYFUNCTION("""COMPUTED_VALUE"""),"Promotional")</f>
        <v>Promotional</v>
      </c>
      <c r="E822" s="208" t="str">
        <f>IFERROR(__xludf.DUMMYFUNCTION("""COMPUTED_VALUE"""),"BBW")</f>
        <v>BBW</v>
      </c>
      <c r="F822" s="208" t="str">
        <f>IFERROR(__xludf.DUMMYFUNCTION("""COMPUTED_VALUE"""),"B2G2 - June'26 - Entire Store")</f>
        <v>B2G2 - June'26 - Entire Store</v>
      </c>
      <c r="G822" s="208" t="str">
        <f>IFERROR(__xludf.DUMMYFUNCTION("""COMPUTED_VALUE"""),"bbw_wa_b2g2_4june_aov_3100_ea_online")</f>
        <v>bbw_wa_b2g2_4june_aov_3100_ea_online</v>
      </c>
      <c r="H822" s="232" t="str">
        <f>IFERROR(__xludf.DUMMYFUNCTION("""COMPUTED_VALUE"""),"BBW_ON_B2G2_AOV_3100")</f>
        <v>BBW_ON_B2G2_AOV_3100</v>
      </c>
      <c r="I822" s="233" t="str">
        <f>IFERROR(__xludf.DUMMYFUNCTION("""COMPUTED_VALUE"""),"Online customers who have purchased in between 45 days ago and 260 days ago with AOV &gt; 3,100")</f>
        <v>Online customers who have purchased in between 45 days ago and 260 days ago with AOV &gt; 3,100</v>
      </c>
      <c r="J822" s="275">
        <f>IFERROR(__xludf.DUMMYFUNCTION("""COMPUTED_VALUE"""),15034.0)</f>
        <v>15034</v>
      </c>
      <c r="K822" s="275">
        <f>IFERROR(__xludf.DUMMYFUNCTION("""COMPUTED_VALUE"""),5916.0)</f>
        <v>5916</v>
      </c>
      <c r="L822" s="276">
        <f>IFERROR(__xludf.DUMMYFUNCTION("""COMPUTED_VALUE"""),0.3933)</f>
        <v>0.3933</v>
      </c>
      <c r="M822" s="275">
        <f>IFERROR(__xludf.DUMMYFUNCTION("""COMPUTED_VALUE"""),2308.0)</f>
        <v>2308</v>
      </c>
      <c r="N822" s="276">
        <f>IFERROR(__xludf.DUMMYFUNCTION("""COMPUTED_VALUE"""),0.3902)</f>
        <v>0.3902</v>
      </c>
      <c r="O822" s="208">
        <f>IFERROR(__xludf.DUMMYFUNCTION("""COMPUTED_VALUE"""),327.0)</f>
        <v>327</v>
      </c>
      <c r="P822" s="208">
        <f>IFERROR(__xludf.DUMMYFUNCTION("""COMPUTED_VALUE"""),307.0)</f>
        <v>307</v>
      </c>
      <c r="Q822" s="276">
        <f>IFERROR(__xludf.DUMMYFUNCTION("""COMPUTED_VALUE"""),0.0519)</f>
        <v>0.0519</v>
      </c>
      <c r="R822" s="276">
        <f>IFERROR(__xludf.DUMMYFUNCTION("""COMPUTED_VALUE"""),0.1331)</f>
        <v>0.1331</v>
      </c>
      <c r="S822" s="208">
        <f>IFERROR(__xludf.DUMMYFUNCTION("""COMPUTED_VALUE"""),7.0)</f>
        <v>7</v>
      </c>
      <c r="T822" s="208">
        <f>IFERROR(__xludf.DUMMYFUNCTION("""COMPUTED_VALUE"""),10.0)</f>
        <v>10</v>
      </c>
      <c r="U822" s="275">
        <f>IFERROR(__xludf.DUMMYFUNCTION("""COMPUTED_VALUE"""),54259.0)</f>
        <v>54259</v>
      </c>
      <c r="V822" s="234" t="str">
        <f>IFERROR(__xludf.DUMMYFUNCTION("""COMPUTED_VALUE"""),"online")</f>
        <v>online</v>
      </c>
      <c r="W822" s="232" t="str">
        <f>IFERROR(__xludf.DUMMYFUNCTION("""COMPUTED_VALUE"""),"simple")</f>
        <v>simple</v>
      </c>
      <c r="X822" s="232" t="str">
        <f>IFERROR(__xludf.DUMMYFUNCTION("""COMPUTED_VALUE"""),"Cart Value")</f>
        <v>Cart Value</v>
      </c>
      <c r="Y822" s="232" t="str">
        <f>IFERROR(__xludf.DUMMYFUNCTION("""COMPUTED_VALUE"""),"4-6 June")</f>
        <v>4-6 June</v>
      </c>
      <c r="Z822" s="232" t="str">
        <f>IFERROR(__xludf.DUMMYFUNCTION("""COMPUTED_VALUE"""),"6a1d433a6eaa30c3e60841c2")</f>
        <v>6a1d433a6eaa30c3e60841c2</v>
      </c>
      <c r="AA822" s="277">
        <f>IFERROR(__xludf.DUMMYFUNCTION("""COMPUTED_VALUE"""),30.0)</f>
        <v>30</v>
      </c>
      <c r="AB822" s="277">
        <f>IFERROR(__xludf.DUMMYFUNCTION("""COMPUTED_VALUE"""),30.0)</f>
        <v>30</v>
      </c>
      <c r="AC822" s="277"/>
      <c r="AD822" s="277">
        <f>IFERROR(__xludf.DUMMYFUNCTION("""COMPUTED_VALUE"""),232103.0)</f>
        <v>232103</v>
      </c>
      <c r="AE822" s="277">
        <f>IFERROR(__xludf.DUMMYFUNCTION("""COMPUTED_VALUE"""),232103.0)</f>
        <v>232103</v>
      </c>
      <c r="AF822" s="277"/>
      <c r="AG822" s="208"/>
      <c r="AH822" s="208"/>
      <c r="AI822" s="208"/>
      <c r="AJ822" s="208"/>
      <c r="AK822" s="208"/>
    </row>
    <row r="823" hidden="1">
      <c r="A823" s="288">
        <f>IFERROR(__xludf.DUMMYFUNCTION("""COMPUTED_VALUE"""),46177.0)</f>
        <v>46177</v>
      </c>
      <c r="B823" s="274">
        <f>IFERROR(__xludf.DUMMYFUNCTION("""COMPUTED_VALUE"""),0.7916666666678793)</f>
        <v>0.7916666667</v>
      </c>
      <c r="C823" s="208" t="str">
        <f>IFERROR(__xludf.DUMMYFUNCTION("""COMPUTED_VALUE"""),"Whatsapp")</f>
        <v>Whatsapp</v>
      </c>
      <c r="D823" s="208" t="str">
        <f>IFERROR(__xludf.DUMMYFUNCTION("""COMPUTED_VALUE"""),"Promotional")</f>
        <v>Promotional</v>
      </c>
      <c r="E823" s="208" t="str">
        <f>IFERROR(__xludf.DUMMYFUNCTION("""COMPUTED_VALUE"""),"BBW")</f>
        <v>BBW</v>
      </c>
      <c r="F823" s="208" t="str">
        <f>IFERROR(__xludf.DUMMYFUNCTION("""COMPUTED_VALUE"""),"B2G2 - June'26 - Entire Store")</f>
        <v>B2G2 - June'26 - Entire Store</v>
      </c>
      <c r="G823" s="208" t="str">
        <f>IFERROR(__xludf.DUMMYFUNCTION("""COMPUTED_VALUE"""),"bbw_wa_b2g2_4june_dormant_ea_online")</f>
        <v>bbw_wa_b2g2_4june_dormant_ea_online</v>
      </c>
      <c r="H823" s="232" t="str">
        <f>IFERROR(__xludf.DUMMYFUNCTION("""COMPUTED_VALUE"""),"BBW_ON_B2G2_Dormant_May_26")</f>
        <v>BBW_ON_B2G2_Dormant_May_26</v>
      </c>
      <c r="I823" s="233" t="str">
        <f>IFERROR(__xludf.DUMMYFUNCTION("""COMPUTED_VALUE"""),"Online Customers who have purchased at least 1 time in the last 365 days")</f>
        <v>Online Customers who have purchased at least 1 time in the last 365 days</v>
      </c>
      <c r="J823" s="275">
        <f>IFERROR(__xludf.DUMMYFUNCTION("""COMPUTED_VALUE"""),80931.0)</f>
        <v>80931</v>
      </c>
      <c r="K823" s="275">
        <f>IFERROR(__xludf.DUMMYFUNCTION("""COMPUTED_VALUE"""),36628.0)</f>
        <v>36628</v>
      </c>
      <c r="L823" s="276">
        <f>IFERROR(__xludf.DUMMYFUNCTION("""COMPUTED_VALUE"""),0.4524)</f>
        <v>0.4524</v>
      </c>
      <c r="M823" s="275">
        <f>IFERROR(__xludf.DUMMYFUNCTION("""COMPUTED_VALUE"""),13520.0)</f>
        <v>13520</v>
      </c>
      <c r="N823" s="276">
        <f>IFERROR(__xludf.DUMMYFUNCTION("""COMPUTED_VALUE"""),0.3691)</f>
        <v>0.3691</v>
      </c>
      <c r="O823" s="208">
        <f>IFERROR(__xludf.DUMMYFUNCTION("""COMPUTED_VALUE"""),1544.0)</f>
        <v>1544</v>
      </c>
      <c r="P823" s="208">
        <f>IFERROR(__xludf.DUMMYFUNCTION("""COMPUTED_VALUE"""),1461.0)</f>
        <v>1461</v>
      </c>
      <c r="Q823" s="276">
        <f>IFERROR(__xludf.DUMMYFUNCTION("""COMPUTED_VALUE"""),0.0399)</f>
        <v>0.0399</v>
      </c>
      <c r="R823" s="276">
        <f>IFERROR(__xludf.DUMMYFUNCTION("""COMPUTED_VALUE"""),0.1081)</f>
        <v>0.1081</v>
      </c>
      <c r="S823" s="208">
        <f>IFERROR(__xludf.DUMMYFUNCTION("""COMPUTED_VALUE"""),6.0)</f>
        <v>6</v>
      </c>
      <c r="T823" s="208">
        <f>IFERROR(__xludf.DUMMYFUNCTION("""COMPUTED_VALUE"""),26.0)</f>
        <v>26</v>
      </c>
      <c r="U823" s="275">
        <f>IFERROR(__xludf.DUMMYFUNCTION("""COMPUTED_VALUE"""),29885.0)</f>
        <v>29885</v>
      </c>
      <c r="V823" s="234" t="str">
        <f>IFERROR(__xludf.DUMMYFUNCTION("""COMPUTED_VALUE"""),"online")</f>
        <v>online</v>
      </c>
      <c r="W823" s="232" t="str">
        <f>IFERROR(__xludf.DUMMYFUNCTION("""COMPUTED_VALUE"""),"simple")</f>
        <v>simple</v>
      </c>
      <c r="X823" s="232" t="str">
        <f>IFERROR(__xludf.DUMMYFUNCTION("""COMPUTED_VALUE"""),"Dormant")</f>
        <v>Dormant</v>
      </c>
      <c r="Y823" s="232" t="str">
        <f>IFERROR(__xludf.DUMMYFUNCTION("""COMPUTED_VALUE"""),"4-6 June")</f>
        <v>4-6 June</v>
      </c>
      <c r="Z823" s="232" t="str">
        <f>IFERROR(__xludf.DUMMYFUNCTION("""COMPUTED_VALUE"""),"6a1d4374f17e90ae46cd291e")</f>
        <v>6a1d4374f17e90ae46cd291e</v>
      </c>
      <c r="AA823" s="277">
        <f>IFERROR(__xludf.DUMMYFUNCTION("""COMPUTED_VALUE"""),50.0)</f>
        <v>50</v>
      </c>
      <c r="AB823" s="277">
        <f>IFERROR(__xludf.DUMMYFUNCTION("""COMPUTED_VALUE"""),50.0)</f>
        <v>50</v>
      </c>
      <c r="AC823" s="277"/>
      <c r="AD823" s="277">
        <f>IFERROR(__xludf.DUMMYFUNCTION("""COMPUTED_VALUE"""),201947.0)</f>
        <v>201947</v>
      </c>
      <c r="AE823" s="277">
        <f>IFERROR(__xludf.DUMMYFUNCTION("""COMPUTED_VALUE"""),201947.0)</f>
        <v>201947</v>
      </c>
      <c r="AF823" s="277"/>
      <c r="AG823" s="208"/>
      <c r="AH823" s="208"/>
      <c r="AI823" s="208"/>
      <c r="AJ823" s="208"/>
      <c r="AK823" s="208"/>
    </row>
    <row r="824" hidden="1">
      <c r="A824" s="288">
        <f>IFERROR(__xludf.DUMMYFUNCTION("""COMPUTED_VALUE"""),46178.0)</f>
        <v>46178</v>
      </c>
      <c r="B824" s="274">
        <f>IFERROR(__xludf.DUMMYFUNCTION("""COMPUTED_VALUE"""),0.4583333333321207)</f>
        <v>0.4583333333</v>
      </c>
      <c r="C824" s="208" t="str">
        <f>IFERROR(__xludf.DUMMYFUNCTION("""COMPUTED_VALUE"""),"Whatsapp")</f>
        <v>Whatsapp</v>
      </c>
      <c r="D824" s="208" t="str">
        <f>IFERROR(__xludf.DUMMYFUNCTION("""COMPUTED_VALUE"""),"Promotional")</f>
        <v>Promotional</v>
      </c>
      <c r="E824" s="208" t="str">
        <f>IFERROR(__xludf.DUMMYFUNCTION("""COMPUTED_VALUE"""),"BBW")</f>
        <v>BBW</v>
      </c>
      <c r="F824" s="208" t="str">
        <f>IFERROR(__xludf.DUMMYFUNCTION("""COMPUTED_VALUE"""),"B2G2 - June'26 - Entire Store")</f>
        <v>B2G2 - June'26 - Entire Store</v>
      </c>
      <c r="G824" s="208" t="str">
        <f>IFERROR(__xludf.DUMMYFUNCTION("""COMPUTED_VALUE"""),"bbw_wa_b2g2_5june_event_buyers_overall")</f>
        <v>bbw_wa_b2g2_5june_event_buyers_overall</v>
      </c>
      <c r="H824" s="232" t="str">
        <f>IFERROR(__xludf.DUMMYFUNCTION("""COMPUTED_VALUE"""),"BBW_ON_OFF_B2G2_Event_Buyers")</f>
        <v>BBW_ON_OFF_B2G2_Event_Buyers</v>
      </c>
      <c r="I824" s="233" t="str">
        <f>IFERROR(__xludf.DUMMYFUNCTION("""COMPUTED_VALUE"""),"Customers who have purchased between 25–27 Jul 2025, 09–10 Aug 2025, 14–17 Aug 2025, 02–05 Oct 2025, 17–21 Oct 2025, 23–26 Jan 2026, 13–15 Feb 2026, 04–08 Mar 2026, 21-26 May 2026")</f>
        <v>Customers who have purchased between 25–27 Jul 2025, 09–10 Aug 2025, 14–17 Aug 2025, 02–05 Oct 2025, 17–21 Oct 2025, 23–26 Jan 2026, 13–15 Feb 2026, 04–08 Mar 2026, 21-26 May 2026</v>
      </c>
      <c r="J824" s="275">
        <f>IFERROR(__xludf.DUMMYFUNCTION("""COMPUTED_VALUE"""),32872.0)</f>
        <v>32872</v>
      </c>
      <c r="K824" s="275">
        <f>IFERROR(__xludf.DUMMYFUNCTION("""COMPUTED_VALUE"""),16778.0)</f>
        <v>16778</v>
      </c>
      <c r="L824" s="276">
        <f>IFERROR(__xludf.DUMMYFUNCTION("""COMPUTED_VALUE"""),0.5071)</f>
        <v>0.5071</v>
      </c>
      <c r="M824" s="275">
        <f>IFERROR(__xludf.DUMMYFUNCTION("""COMPUTED_VALUE"""),6475.0)</f>
        <v>6475</v>
      </c>
      <c r="N824" s="276">
        <f>IFERROR(__xludf.DUMMYFUNCTION("""COMPUTED_VALUE"""),0.3831)</f>
        <v>0.3831</v>
      </c>
      <c r="O824" s="208">
        <f>IFERROR(__xludf.DUMMYFUNCTION("""COMPUTED_VALUE"""),607.0)</f>
        <v>607</v>
      </c>
      <c r="P824" s="208">
        <f>IFERROR(__xludf.DUMMYFUNCTION("""COMPUTED_VALUE"""),569.0)</f>
        <v>569</v>
      </c>
      <c r="Q824" s="276">
        <f>IFERROR(__xludf.DUMMYFUNCTION("""COMPUTED_VALUE"""),0.0341)</f>
        <v>0.0341</v>
      </c>
      <c r="R824" s="276">
        <f>IFERROR(__xludf.DUMMYFUNCTION("""COMPUTED_VALUE"""),0.0891)</f>
        <v>0.0891</v>
      </c>
      <c r="S824" s="208">
        <f>IFERROR(__xludf.DUMMYFUNCTION("""COMPUTED_VALUE"""),4.0)</f>
        <v>4</v>
      </c>
      <c r="T824" s="208">
        <f>IFERROR(__xludf.DUMMYFUNCTION("""COMPUTED_VALUE"""),22.0)</f>
        <v>22</v>
      </c>
      <c r="U824" s="275">
        <f>IFERROR(__xludf.DUMMYFUNCTION("""COMPUTED_VALUE"""),15475.0)</f>
        <v>15475</v>
      </c>
      <c r="V824" s="234" t="str">
        <f>IFERROR(__xludf.DUMMYFUNCTION("""COMPUTED_VALUE"""),"overall")</f>
        <v>overall</v>
      </c>
      <c r="W824" s="232" t="str">
        <f>IFERROR(__xludf.DUMMYFUNCTION("""COMPUTED_VALUE"""),"simple")</f>
        <v>simple</v>
      </c>
      <c r="X824" s="232" t="str">
        <f>IFERROR(__xludf.DUMMYFUNCTION("""COMPUTED_VALUE"""),"Event Buyers")</f>
        <v>Event Buyers</v>
      </c>
      <c r="Y824" s="232" t="str">
        <f>IFERROR(__xludf.DUMMYFUNCTION("""COMPUTED_VALUE"""),"5-7 June")</f>
        <v>5-7 June</v>
      </c>
      <c r="Z824" s="232" t="str">
        <f>IFERROR(__xludf.DUMMYFUNCTION("""COMPUTED_VALUE"""),"6a1d664b8b36476505c87be5")</f>
        <v>6a1d664b8b36476505c87be5</v>
      </c>
      <c r="AA824" s="277">
        <f>IFERROR(__xludf.DUMMYFUNCTION("""COMPUTED_VALUE"""),39.0)</f>
        <v>39</v>
      </c>
      <c r="AB824" s="277">
        <f>IFERROR(__xludf.DUMMYFUNCTION("""COMPUTED_VALUE"""),39.0)</f>
        <v>39</v>
      </c>
      <c r="AC824" s="277"/>
      <c r="AD824" s="277">
        <f>IFERROR(__xludf.DUMMYFUNCTION("""COMPUTED_VALUE"""),194935.0)</f>
        <v>194935</v>
      </c>
      <c r="AE824" s="277">
        <f>IFERROR(__xludf.DUMMYFUNCTION("""COMPUTED_VALUE"""),194935.0)</f>
        <v>194935</v>
      </c>
      <c r="AF824" s="277"/>
      <c r="AG824" s="208"/>
      <c r="AH824" s="208"/>
      <c r="AI824" s="208"/>
      <c r="AJ824" s="208"/>
      <c r="AK824" s="208"/>
    </row>
    <row r="825" hidden="1">
      <c r="A825" s="288">
        <f>IFERROR(__xludf.DUMMYFUNCTION("""COMPUTED_VALUE"""),46178.0)</f>
        <v>46178</v>
      </c>
      <c r="B825" s="274">
        <f>IFERROR(__xludf.DUMMYFUNCTION("""COMPUTED_VALUE"""),0.4583333333321207)</f>
        <v>0.4583333333</v>
      </c>
      <c r="C825" s="208" t="str">
        <f>IFERROR(__xludf.DUMMYFUNCTION("""COMPUTED_VALUE"""),"Whatsapp")</f>
        <v>Whatsapp</v>
      </c>
      <c r="D825" s="208" t="str">
        <f>IFERROR(__xludf.DUMMYFUNCTION("""COMPUTED_VALUE"""),"Promotional")</f>
        <v>Promotional</v>
      </c>
      <c r="E825" s="208" t="str">
        <f>IFERROR(__xludf.DUMMYFUNCTION("""COMPUTED_VALUE"""),"BBW")</f>
        <v>BBW</v>
      </c>
      <c r="F825" s="208" t="str">
        <f>IFERROR(__xludf.DUMMYFUNCTION("""COMPUTED_VALUE"""),"B2G2 - June'26 - Entire Store")</f>
        <v>B2G2 - June'26 - Entire Store</v>
      </c>
      <c r="G825" s="208" t="str">
        <f>IFERROR(__xludf.DUMMYFUNCTION("""COMPUTED_VALUE"""),"bbw_wa_b2g2_5june_active_blr_offline")</f>
        <v>bbw_wa_b2g2_5june_active_blr_offline</v>
      </c>
      <c r="H825" s="232" t="str">
        <f>IFERROR(__xludf.DUMMYFUNCTION("""COMPUTED_VALUE"""),"BBW_OFF_BLR_Active")</f>
        <v>BBW_OFF_BLR_Active</v>
      </c>
      <c r="I825" s="233" t="str">
        <f>IFERROR(__xludf.DUMMYFUNCTION("""COMPUTED_VALUE"""),"All Offline Customers who have purchased at least 1 time from Txn_City BLR in the last 112 days (TTR)")</f>
        <v>All Offline Customers who have purchased at least 1 time from Txn_City BLR in the last 112 days (TTR)</v>
      </c>
      <c r="J825" s="275">
        <f>IFERROR(__xludf.DUMMYFUNCTION("""COMPUTED_VALUE"""),22863.0)</f>
        <v>22863</v>
      </c>
      <c r="K825" s="275">
        <f>IFERROR(__xludf.DUMMYFUNCTION("""COMPUTED_VALUE"""),11299.0)</f>
        <v>11299</v>
      </c>
      <c r="L825" s="276">
        <f>IFERROR(__xludf.DUMMYFUNCTION("""COMPUTED_VALUE"""),0.4925)</f>
        <v>0.4925</v>
      </c>
      <c r="M825" s="275">
        <f>IFERROR(__xludf.DUMMYFUNCTION("""COMPUTED_VALUE"""),4654.0)</f>
        <v>4654</v>
      </c>
      <c r="N825" s="276">
        <f>IFERROR(__xludf.DUMMYFUNCTION("""COMPUTED_VALUE"""),0.4106)</f>
        <v>0.4106</v>
      </c>
      <c r="O825" s="208">
        <f>IFERROR(__xludf.DUMMYFUNCTION("""COMPUTED_VALUE"""),499.0)</f>
        <v>499</v>
      </c>
      <c r="P825" s="208">
        <f>IFERROR(__xludf.DUMMYFUNCTION("""COMPUTED_VALUE"""),486.0)</f>
        <v>486</v>
      </c>
      <c r="Q825" s="276">
        <f>IFERROR(__xludf.DUMMYFUNCTION("""COMPUTED_VALUE"""),0.0432)</f>
        <v>0.0432</v>
      </c>
      <c r="R825" s="276">
        <f>IFERROR(__xludf.DUMMYFUNCTION("""COMPUTED_VALUE"""),0.1051)</f>
        <v>0.1051</v>
      </c>
      <c r="S825" s="208">
        <f>IFERROR(__xludf.DUMMYFUNCTION("""COMPUTED_VALUE"""),4.0)</f>
        <v>4</v>
      </c>
      <c r="T825" s="208">
        <f>IFERROR(__xludf.DUMMYFUNCTION("""COMPUTED_VALUE"""),8.0)</f>
        <v>8</v>
      </c>
      <c r="U825" s="275">
        <f>IFERROR(__xludf.DUMMYFUNCTION("""COMPUTED_VALUE"""),18483.0)</f>
        <v>18483</v>
      </c>
      <c r="V825" s="234" t="str">
        <f>IFERROR(__xludf.DUMMYFUNCTION("""COMPUTED_VALUE"""),"offline")</f>
        <v>offline</v>
      </c>
      <c r="W825" s="232" t="str">
        <f>IFERROR(__xludf.DUMMYFUNCTION("""COMPUTED_VALUE"""),"simple")</f>
        <v>simple</v>
      </c>
      <c r="X825" s="232" t="str">
        <f>IFERROR(__xludf.DUMMYFUNCTION("""COMPUTED_VALUE"""),"City Specific")</f>
        <v>City Specific</v>
      </c>
      <c r="Y825" s="232" t="str">
        <f>IFERROR(__xludf.DUMMYFUNCTION("""COMPUTED_VALUE"""),"5-7 June")</f>
        <v>5-7 June</v>
      </c>
      <c r="Z825" s="232" t="str">
        <f>IFERROR(__xludf.DUMMYFUNCTION("""COMPUTED_VALUE"""),"6a1d66766da484731ec3a7c5")</f>
        <v>6a1d66766da484731ec3a7c5</v>
      </c>
      <c r="AA825" s="277">
        <f>IFERROR(__xludf.DUMMYFUNCTION("""COMPUTED_VALUE"""),67.0)</f>
        <v>67</v>
      </c>
      <c r="AB825" s="277"/>
      <c r="AC825" s="277">
        <f>IFERROR(__xludf.DUMMYFUNCTION("""COMPUTED_VALUE"""),67.0)</f>
        <v>67</v>
      </c>
      <c r="AD825" s="277">
        <f>IFERROR(__xludf.DUMMYFUNCTION("""COMPUTED_VALUE"""),323585.0)</f>
        <v>323585</v>
      </c>
      <c r="AE825" s="277"/>
      <c r="AF825" s="277">
        <f>IFERROR(__xludf.DUMMYFUNCTION("""COMPUTED_VALUE"""),323585.0)</f>
        <v>323585</v>
      </c>
      <c r="AG825" s="208"/>
      <c r="AH825" s="208"/>
      <c r="AI825" s="208"/>
      <c r="AJ825" s="208"/>
      <c r="AK825" s="208"/>
    </row>
    <row r="826" hidden="1">
      <c r="A826" s="288">
        <f>IFERROR(__xludf.DUMMYFUNCTION("""COMPUTED_VALUE"""),46178.0)</f>
        <v>46178</v>
      </c>
      <c r="B826" s="274">
        <f>IFERROR(__xludf.DUMMYFUNCTION("""COMPUTED_VALUE"""),0.4583333333321207)</f>
        <v>0.4583333333</v>
      </c>
      <c r="C826" s="208" t="str">
        <f>IFERROR(__xludf.DUMMYFUNCTION("""COMPUTED_VALUE"""),"Whatsapp")</f>
        <v>Whatsapp</v>
      </c>
      <c r="D826" s="208" t="str">
        <f>IFERROR(__xludf.DUMMYFUNCTION("""COMPUTED_VALUE"""),"Promotional")</f>
        <v>Promotional</v>
      </c>
      <c r="E826" s="208" t="str">
        <f>IFERROR(__xludf.DUMMYFUNCTION("""COMPUTED_VALUE"""),"BBW")</f>
        <v>BBW</v>
      </c>
      <c r="F826" s="208" t="str">
        <f>IFERROR(__xludf.DUMMYFUNCTION("""COMPUTED_VALUE"""),"B2G2 - June'26 - Entire Store")</f>
        <v>B2G2 - June'26 - Entire Store</v>
      </c>
      <c r="G826" s="208" t="str">
        <f>IFERROR(__xludf.DUMMYFUNCTION("""COMPUTED_VALUE"""),"bbw_wa_b2g2_5june_active_bom_offline")</f>
        <v>bbw_wa_b2g2_5june_active_bom_offline</v>
      </c>
      <c r="H826" s="232" t="str">
        <f>IFERROR(__xludf.DUMMYFUNCTION("""COMPUTED_VALUE"""),"BBW_OFF_BOM_Active")</f>
        <v>BBW_OFF_BOM_Active</v>
      </c>
      <c r="I826" s="233" t="str">
        <f>IFERROR(__xludf.DUMMYFUNCTION("""COMPUTED_VALUE"""),"All Offline Customers who have purchased at least 1 time from Txn_City BOM in the last 112 days (TTR)")</f>
        <v>All Offline Customers who have purchased at least 1 time from Txn_City BOM in the last 112 days (TTR)</v>
      </c>
      <c r="J826" s="275">
        <f>IFERROR(__xludf.DUMMYFUNCTION("""COMPUTED_VALUE"""),11233.0)</f>
        <v>11233</v>
      </c>
      <c r="K826" s="275">
        <f>IFERROR(__xludf.DUMMYFUNCTION("""COMPUTED_VALUE"""),5695.0)</f>
        <v>5695</v>
      </c>
      <c r="L826" s="276">
        <f>IFERROR(__xludf.DUMMYFUNCTION("""COMPUTED_VALUE"""),0.4997)</f>
        <v>0.4997</v>
      </c>
      <c r="M826" s="275">
        <f>IFERROR(__xludf.DUMMYFUNCTION("""COMPUTED_VALUE"""),2437.0)</f>
        <v>2437</v>
      </c>
      <c r="N826" s="276">
        <f>IFERROR(__xludf.DUMMYFUNCTION("""COMPUTED_VALUE"""),0.4285)</f>
        <v>0.4285</v>
      </c>
      <c r="O826" s="208">
        <f>IFERROR(__xludf.DUMMYFUNCTION("""COMPUTED_VALUE"""),268.0)</f>
        <v>268</v>
      </c>
      <c r="P826" s="208">
        <f>IFERROR(__xludf.DUMMYFUNCTION("""COMPUTED_VALUE"""),256.0)</f>
        <v>256</v>
      </c>
      <c r="Q826" s="276">
        <f>IFERROR(__xludf.DUMMYFUNCTION("""COMPUTED_VALUE"""),0.0456)</f>
        <v>0.0456</v>
      </c>
      <c r="R826" s="276">
        <f>IFERROR(__xludf.DUMMYFUNCTION("""COMPUTED_VALUE"""),0.1064)</f>
        <v>0.1064</v>
      </c>
      <c r="S826" s="208">
        <f>IFERROR(__xludf.DUMMYFUNCTION("""COMPUTED_VALUE"""),0.0)</f>
        <v>0</v>
      </c>
      <c r="T826" s="208">
        <f>IFERROR(__xludf.DUMMYFUNCTION("""COMPUTED_VALUE"""),4.0)</f>
        <v>4</v>
      </c>
      <c r="U826" s="275">
        <f>IFERROR(__xludf.DUMMYFUNCTION("""COMPUTED_VALUE"""),0.0)</f>
        <v>0</v>
      </c>
      <c r="V826" s="234" t="str">
        <f>IFERROR(__xludf.DUMMYFUNCTION("""COMPUTED_VALUE"""),"offline")</f>
        <v>offline</v>
      </c>
      <c r="W826" s="232" t="str">
        <f>IFERROR(__xludf.DUMMYFUNCTION("""COMPUTED_VALUE"""),"simple")</f>
        <v>simple</v>
      </c>
      <c r="X826" s="232" t="str">
        <f>IFERROR(__xludf.DUMMYFUNCTION("""COMPUTED_VALUE"""),"City Specific")</f>
        <v>City Specific</v>
      </c>
      <c r="Y826" s="232" t="str">
        <f>IFERROR(__xludf.DUMMYFUNCTION("""COMPUTED_VALUE"""),"5-7 June")</f>
        <v>5-7 June</v>
      </c>
      <c r="Z826" s="232" t="str">
        <f>IFERROR(__xludf.DUMMYFUNCTION("""COMPUTED_VALUE"""),"6a1d66fa6da484731ec3a7fe")</f>
        <v>6a1d66fa6da484731ec3a7fe</v>
      </c>
      <c r="AA826" s="277">
        <f>IFERROR(__xludf.DUMMYFUNCTION("""COMPUTED_VALUE"""),29.0)</f>
        <v>29</v>
      </c>
      <c r="AB826" s="277"/>
      <c r="AC826" s="277">
        <f>IFERROR(__xludf.DUMMYFUNCTION("""COMPUTED_VALUE"""),29.0)</f>
        <v>29</v>
      </c>
      <c r="AD826" s="277">
        <f>IFERROR(__xludf.DUMMYFUNCTION("""COMPUTED_VALUE"""),164399.0)</f>
        <v>164399</v>
      </c>
      <c r="AE826" s="277"/>
      <c r="AF826" s="277">
        <f>IFERROR(__xludf.DUMMYFUNCTION("""COMPUTED_VALUE"""),164399.0)</f>
        <v>164399</v>
      </c>
      <c r="AG826" s="208"/>
      <c r="AH826" s="208"/>
      <c r="AI826" s="208"/>
      <c r="AJ826" s="208"/>
      <c r="AK826" s="208"/>
    </row>
    <row r="827" hidden="1">
      <c r="A827" s="288">
        <f>IFERROR(__xludf.DUMMYFUNCTION("""COMPUTED_VALUE"""),46178.0)</f>
        <v>46178</v>
      </c>
      <c r="B827" s="274">
        <f>IFERROR(__xludf.DUMMYFUNCTION("""COMPUTED_VALUE"""),0.4583333333321207)</f>
        <v>0.4583333333</v>
      </c>
      <c r="C827" s="208" t="str">
        <f>IFERROR(__xludf.DUMMYFUNCTION("""COMPUTED_VALUE"""),"Whatsapp")</f>
        <v>Whatsapp</v>
      </c>
      <c r="D827" s="208" t="str">
        <f>IFERROR(__xludf.DUMMYFUNCTION("""COMPUTED_VALUE"""),"Promotional")</f>
        <v>Promotional</v>
      </c>
      <c r="E827" s="208" t="str">
        <f>IFERROR(__xludf.DUMMYFUNCTION("""COMPUTED_VALUE"""),"BBW")</f>
        <v>BBW</v>
      </c>
      <c r="F827" s="208" t="str">
        <f>IFERROR(__xludf.DUMMYFUNCTION("""COMPUTED_VALUE"""),"B2G2 - June'26 - Entire Store")</f>
        <v>B2G2 - June'26 - Entire Store</v>
      </c>
      <c r="G827" s="208" t="str">
        <f>IFERROR(__xludf.DUMMYFUNCTION("""COMPUTED_VALUE"""),"bbw_wa_b2g2_5june_active_ahd_offline")</f>
        <v>bbw_wa_b2g2_5june_active_ahd_offline</v>
      </c>
      <c r="H827" s="232" t="str">
        <f>IFERROR(__xludf.DUMMYFUNCTION("""COMPUTED_VALUE"""),"BBW_OFF_AHD_Active")</f>
        <v>BBW_OFF_AHD_Active</v>
      </c>
      <c r="I827" s="233" t="str">
        <f>IFERROR(__xludf.DUMMYFUNCTION("""COMPUTED_VALUE"""),"All Offline Customers who have purchased at least 1 time from Txn_City AHD in the last 112 days (TTR)")</f>
        <v>All Offline Customers who have purchased at least 1 time from Txn_City AHD in the last 112 days (TTR)</v>
      </c>
      <c r="J827" s="275">
        <f>IFERROR(__xludf.DUMMYFUNCTION("""COMPUTED_VALUE"""),7665.0)</f>
        <v>7665</v>
      </c>
      <c r="K827" s="275">
        <f>IFERROR(__xludf.DUMMYFUNCTION("""COMPUTED_VALUE"""),4414.0)</f>
        <v>4414</v>
      </c>
      <c r="L827" s="276">
        <f>IFERROR(__xludf.DUMMYFUNCTION("""COMPUTED_VALUE"""),0.5748)</f>
        <v>0.5748</v>
      </c>
      <c r="M827" s="275">
        <f>IFERROR(__xludf.DUMMYFUNCTION("""COMPUTED_VALUE"""),2196.0)</f>
        <v>2196</v>
      </c>
      <c r="N827" s="276">
        <f>IFERROR(__xludf.DUMMYFUNCTION("""COMPUTED_VALUE"""),0.4936)</f>
        <v>0.4936</v>
      </c>
      <c r="O827" s="208">
        <f>IFERROR(__xludf.DUMMYFUNCTION("""COMPUTED_VALUE"""),246.0)</f>
        <v>246</v>
      </c>
      <c r="P827" s="208">
        <f>IFERROR(__xludf.DUMMYFUNCTION("""COMPUTED_VALUE"""),235.0)</f>
        <v>235</v>
      </c>
      <c r="Q827" s="276">
        <f>IFERROR(__xludf.DUMMYFUNCTION("""COMPUTED_VALUE"""),0.0533)</f>
        <v>0.0533</v>
      </c>
      <c r="R827" s="276">
        <f>IFERROR(__xludf.DUMMYFUNCTION("""COMPUTED_VALUE"""),0.108)</f>
        <v>0.108</v>
      </c>
      <c r="S827" s="208">
        <f>IFERROR(__xludf.DUMMYFUNCTION("""COMPUTED_VALUE"""),1.0)</f>
        <v>1</v>
      </c>
      <c r="T827" s="208">
        <f>IFERROR(__xludf.DUMMYFUNCTION("""COMPUTED_VALUE"""),3.0)</f>
        <v>3</v>
      </c>
      <c r="U827" s="275">
        <f>IFERROR(__xludf.DUMMYFUNCTION("""COMPUTED_VALUE"""),5398.0)</f>
        <v>5398</v>
      </c>
      <c r="V827" s="234" t="str">
        <f>IFERROR(__xludf.DUMMYFUNCTION("""COMPUTED_VALUE"""),"offline")</f>
        <v>offline</v>
      </c>
      <c r="W827" s="232" t="str">
        <f>IFERROR(__xludf.DUMMYFUNCTION("""COMPUTED_VALUE"""),"simple")</f>
        <v>simple</v>
      </c>
      <c r="X827" s="232" t="str">
        <f>IFERROR(__xludf.DUMMYFUNCTION("""COMPUTED_VALUE"""),"City Specific")</f>
        <v>City Specific</v>
      </c>
      <c r="Y827" s="232" t="str">
        <f>IFERROR(__xludf.DUMMYFUNCTION("""COMPUTED_VALUE"""),"5-7 June")</f>
        <v>5-7 June</v>
      </c>
      <c r="Z827" s="232" t="str">
        <f>IFERROR(__xludf.DUMMYFUNCTION("""COMPUTED_VALUE"""),"6a1d69ff4ba4e78bce4314cd")</f>
        <v>6a1d69ff4ba4e78bce4314cd</v>
      </c>
      <c r="AA827" s="277">
        <f>IFERROR(__xludf.DUMMYFUNCTION("""COMPUTED_VALUE"""),21.0)</f>
        <v>21</v>
      </c>
      <c r="AB827" s="277"/>
      <c r="AC827" s="277">
        <f>IFERROR(__xludf.DUMMYFUNCTION("""COMPUTED_VALUE"""),21.0)</f>
        <v>21</v>
      </c>
      <c r="AD827" s="277">
        <f>IFERROR(__xludf.DUMMYFUNCTION("""COMPUTED_VALUE"""),112044.0)</f>
        <v>112044</v>
      </c>
      <c r="AE827" s="277"/>
      <c r="AF827" s="277">
        <f>IFERROR(__xludf.DUMMYFUNCTION("""COMPUTED_VALUE"""),112044.0)</f>
        <v>112044</v>
      </c>
      <c r="AG827" s="208"/>
      <c r="AH827" s="208"/>
      <c r="AI827" s="208"/>
      <c r="AJ827" s="208"/>
      <c r="AK827" s="208"/>
    </row>
    <row r="828" hidden="1">
      <c r="A828" s="288">
        <f>IFERROR(__xludf.DUMMYFUNCTION("""COMPUTED_VALUE"""),46178.0)</f>
        <v>46178</v>
      </c>
      <c r="B828" s="274">
        <f>IFERROR(__xludf.DUMMYFUNCTION("""COMPUTED_VALUE"""),0.4583333333321207)</f>
        <v>0.4583333333</v>
      </c>
      <c r="C828" s="208" t="str">
        <f>IFERROR(__xludf.DUMMYFUNCTION("""COMPUTED_VALUE"""),"Whatsapp")</f>
        <v>Whatsapp</v>
      </c>
      <c r="D828" s="208" t="str">
        <f>IFERROR(__xludf.DUMMYFUNCTION("""COMPUTED_VALUE"""),"Promotional")</f>
        <v>Promotional</v>
      </c>
      <c r="E828" s="208" t="str">
        <f>IFERROR(__xludf.DUMMYFUNCTION("""COMPUTED_VALUE"""),"BBW")</f>
        <v>BBW</v>
      </c>
      <c r="F828" s="208" t="str">
        <f>IFERROR(__xludf.DUMMYFUNCTION("""COMPUTED_VALUE"""),"B2G2 - June'26 - Entire Store")</f>
        <v>B2G2 - June'26 - Entire Store</v>
      </c>
      <c r="G828" s="208" t="str">
        <f>IFERROR(__xludf.DUMMYFUNCTION("""COMPUTED_VALUE"""),"bbw_wa_b2g2_5june_active_pune_offline")</f>
        <v>bbw_wa_b2g2_5june_active_pune_offline</v>
      </c>
      <c r="H828" s="232" t="str">
        <f>IFERROR(__xludf.DUMMYFUNCTION("""COMPUTED_VALUE"""),"BBW_OFF_PUNE_Active")</f>
        <v>BBW_OFF_PUNE_Active</v>
      </c>
      <c r="I828" s="233" t="str">
        <f>IFERROR(__xludf.DUMMYFUNCTION("""COMPUTED_VALUE"""),"All Offline Customers who have purchased at least 1 time from Txn_City PUNE in the last 112 days (TTR)")</f>
        <v>All Offline Customers who have purchased at least 1 time from Txn_City PUNE in the last 112 days (TTR)</v>
      </c>
      <c r="J828" s="275">
        <f>IFERROR(__xludf.DUMMYFUNCTION("""COMPUTED_VALUE"""),2923.0)</f>
        <v>2923</v>
      </c>
      <c r="K828" s="275">
        <f>IFERROR(__xludf.DUMMYFUNCTION("""COMPUTED_VALUE"""),1559.0)</f>
        <v>1559</v>
      </c>
      <c r="L828" s="276">
        <f>IFERROR(__xludf.DUMMYFUNCTION("""COMPUTED_VALUE"""),0.532)</f>
        <v>0.532</v>
      </c>
      <c r="M828" s="275">
        <f>IFERROR(__xludf.DUMMYFUNCTION("""COMPUTED_VALUE"""),664.0)</f>
        <v>664</v>
      </c>
      <c r="N828" s="276">
        <f>IFERROR(__xludf.DUMMYFUNCTION("""COMPUTED_VALUE"""),0.4251)</f>
        <v>0.4251</v>
      </c>
      <c r="O828" s="208">
        <f>IFERROR(__xludf.DUMMYFUNCTION("""COMPUTED_VALUE"""),93.0)</f>
        <v>93</v>
      </c>
      <c r="P828" s="208">
        <f>IFERROR(__xludf.DUMMYFUNCTION("""COMPUTED_VALUE"""),90.0)</f>
        <v>90</v>
      </c>
      <c r="Q828" s="276">
        <f>IFERROR(__xludf.DUMMYFUNCTION("""COMPUTED_VALUE"""),0.0579)</f>
        <v>0.0579</v>
      </c>
      <c r="R828" s="276">
        <f>IFERROR(__xludf.DUMMYFUNCTION("""COMPUTED_VALUE"""),0.1362)</f>
        <v>0.1362</v>
      </c>
      <c r="S828" s="208">
        <f>IFERROR(__xludf.DUMMYFUNCTION("""COMPUTED_VALUE"""),0.0)</f>
        <v>0</v>
      </c>
      <c r="T828" s="208">
        <f>IFERROR(__xludf.DUMMYFUNCTION("""COMPUTED_VALUE"""),4.0)</f>
        <v>4</v>
      </c>
      <c r="U828" s="275">
        <f>IFERROR(__xludf.DUMMYFUNCTION("""COMPUTED_VALUE"""),0.0)</f>
        <v>0</v>
      </c>
      <c r="V828" s="234" t="str">
        <f>IFERROR(__xludf.DUMMYFUNCTION("""COMPUTED_VALUE"""),"offline")</f>
        <v>offline</v>
      </c>
      <c r="W828" s="232" t="str">
        <f>IFERROR(__xludf.DUMMYFUNCTION("""COMPUTED_VALUE"""),"simple")</f>
        <v>simple</v>
      </c>
      <c r="X828" s="232" t="str">
        <f>IFERROR(__xludf.DUMMYFUNCTION("""COMPUTED_VALUE"""),"City Specific")</f>
        <v>City Specific</v>
      </c>
      <c r="Y828" s="232" t="str">
        <f>IFERROR(__xludf.DUMMYFUNCTION("""COMPUTED_VALUE"""),"5-7 June")</f>
        <v>5-7 June</v>
      </c>
      <c r="Z828" s="232" t="str">
        <f>IFERROR(__xludf.DUMMYFUNCTION("""COMPUTED_VALUE"""),"6a1d6a3e56d235adb1c79b68")</f>
        <v>6a1d6a3e56d235adb1c79b68</v>
      </c>
      <c r="AA828" s="277">
        <f>IFERROR(__xludf.DUMMYFUNCTION("""COMPUTED_VALUE"""),10.0)</f>
        <v>10</v>
      </c>
      <c r="AB828" s="277"/>
      <c r="AC828" s="277">
        <f>IFERROR(__xludf.DUMMYFUNCTION("""COMPUTED_VALUE"""),10.0)</f>
        <v>10</v>
      </c>
      <c r="AD828" s="277">
        <f>IFERROR(__xludf.DUMMYFUNCTION("""COMPUTED_VALUE"""),65568.0)</f>
        <v>65568</v>
      </c>
      <c r="AE828" s="277"/>
      <c r="AF828" s="277">
        <f>IFERROR(__xludf.DUMMYFUNCTION("""COMPUTED_VALUE"""),65568.0)</f>
        <v>65568</v>
      </c>
      <c r="AG828" s="208"/>
      <c r="AH828" s="208"/>
      <c r="AI828" s="208"/>
      <c r="AJ828" s="208"/>
      <c r="AK828" s="208"/>
    </row>
    <row r="829" hidden="1">
      <c r="A829" s="288">
        <f>IFERROR(__xludf.DUMMYFUNCTION("""COMPUTED_VALUE"""),46178.0)</f>
        <v>46178</v>
      </c>
      <c r="B829" s="274">
        <f>IFERROR(__xludf.DUMMYFUNCTION("""COMPUTED_VALUE"""),0.4583333333321207)</f>
        <v>0.4583333333</v>
      </c>
      <c r="C829" s="208" t="str">
        <f>IFERROR(__xludf.DUMMYFUNCTION("""COMPUTED_VALUE"""),"Whatsapp")</f>
        <v>Whatsapp</v>
      </c>
      <c r="D829" s="208" t="str">
        <f>IFERROR(__xludf.DUMMYFUNCTION("""COMPUTED_VALUE"""),"Promotional")</f>
        <v>Promotional</v>
      </c>
      <c r="E829" s="208" t="str">
        <f>IFERROR(__xludf.DUMMYFUNCTION("""COMPUTED_VALUE"""),"BBW")</f>
        <v>BBW</v>
      </c>
      <c r="F829" s="208" t="str">
        <f>IFERROR(__xludf.DUMMYFUNCTION("""COMPUTED_VALUE"""),"B2G2 - June'26 - Entire Store")</f>
        <v>B2G2 - June'26 - Entire Store</v>
      </c>
      <c r="G829" s="208" t="str">
        <f>IFERROR(__xludf.DUMMYFUNCTION("""COMPUTED_VALUE"""),"bbw_wa_b2g2_5june_dormant_blr_offline")</f>
        <v>bbw_wa_b2g2_5june_dormant_blr_offline</v>
      </c>
      <c r="H829" s="232" t="str">
        <f>IFERROR(__xludf.DUMMYFUNCTION("""COMPUTED_VALUE"""),"BBW_OFF_BLR_Dorm")</f>
        <v>BBW_OFF_BLR_Dorm</v>
      </c>
      <c r="I829" s="233" t="str">
        <f>IFERROR(__xludf.DUMMYFUNCTION("""COMPUTED_VALUE"""),"All Offline Customers who have purchased at least 1 time from Txn_City BLR in the last 365 days excluding TTR purchasers")</f>
        <v>All Offline Customers who have purchased at least 1 time from Txn_City BLR in the last 365 days excluding TTR purchasers</v>
      </c>
      <c r="J829" s="275">
        <f>IFERROR(__xludf.DUMMYFUNCTION("""COMPUTED_VALUE"""),53413.0)</f>
        <v>53413</v>
      </c>
      <c r="K829" s="275">
        <f>IFERROR(__xludf.DUMMYFUNCTION("""COMPUTED_VALUE"""),25077.0)</f>
        <v>25077</v>
      </c>
      <c r="L829" s="276">
        <f>IFERROR(__xludf.DUMMYFUNCTION("""COMPUTED_VALUE"""),0.4639)</f>
        <v>0.4639</v>
      </c>
      <c r="M829" s="275">
        <f>IFERROR(__xludf.DUMMYFUNCTION("""COMPUTED_VALUE"""),8633.0)</f>
        <v>8633</v>
      </c>
      <c r="N829" s="276">
        <f>IFERROR(__xludf.DUMMYFUNCTION("""COMPUTED_VALUE"""),0.3446)</f>
        <v>0.3446</v>
      </c>
      <c r="O829" s="208">
        <f>IFERROR(__xludf.DUMMYFUNCTION("""COMPUTED_VALUE"""),684.0)</f>
        <v>684</v>
      </c>
      <c r="P829" s="208">
        <f>IFERROR(__xludf.DUMMYFUNCTION("""COMPUTED_VALUE"""),658.0)</f>
        <v>658</v>
      </c>
      <c r="Q829" s="276">
        <f>IFERROR(__xludf.DUMMYFUNCTION("""COMPUTED_VALUE"""),0.0266)</f>
        <v>0.0266</v>
      </c>
      <c r="R829" s="276">
        <f>IFERROR(__xludf.DUMMYFUNCTION("""COMPUTED_VALUE"""),0.0771)</f>
        <v>0.0771</v>
      </c>
      <c r="S829" s="208">
        <f>IFERROR(__xludf.DUMMYFUNCTION("""COMPUTED_VALUE"""),2.0)</f>
        <v>2</v>
      </c>
      <c r="T829" s="208">
        <f>IFERROR(__xludf.DUMMYFUNCTION("""COMPUTED_VALUE"""),16.0)</f>
        <v>16</v>
      </c>
      <c r="U829" s="275">
        <f>IFERROR(__xludf.DUMMYFUNCTION("""COMPUTED_VALUE"""),9593.0)</f>
        <v>9593</v>
      </c>
      <c r="V829" s="234" t="str">
        <f>IFERROR(__xludf.DUMMYFUNCTION("""COMPUTED_VALUE"""),"offline")</f>
        <v>offline</v>
      </c>
      <c r="W829" s="232" t="str">
        <f>IFERROR(__xludf.DUMMYFUNCTION("""COMPUTED_VALUE"""),"simple")</f>
        <v>simple</v>
      </c>
      <c r="X829" s="232" t="str">
        <f>IFERROR(__xludf.DUMMYFUNCTION("""COMPUTED_VALUE"""),"City Specific")</f>
        <v>City Specific</v>
      </c>
      <c r="Y829" s="232" t="str">
        <f>IFERROR(__xludf.DUMMYFUNCTION("""COMPUTED_VALUE"""),"5-7 June")</f>
        <v>5-7 June</v>
      </c>
      <c r="Z829" s="232" t="str">
        <f>IFERROR(__xludf.DUMMYFUNCTION("""COMPUTED_VALUE"""),"6a1d6a689dbb11f3e6945615")</f>
        <v>6a1d6a689dbb11f3e6945615</v>
      </c>
      <c r="AA829" s="277">
        <f>IFERROR(__xludf.DUMMYFUNCTION("""COMPUTED_VALUE"""),77.0)</f>
        <v>77</v>
      </c>
      <c r="AB829" s="277"/>
      <c r="AC829" s="277">
        <f>IFERROR(__xludf.DUMMYFUNCTION("""COMPUTED_VALUE"""),77.0)</f>
        <v>77</v>
      </c>
      <c r="AD829" s="277">
        <f>IFERROR(__xludf.DUMMYFUNCTION("""COMPUTED_VALUE"""),383878.0)</f>
        <v>383878</v>
      </c>
      <c r="AE829" s="277"/>
      <c r="AF829" s="277">
        <f>IFERROR(__xludf.DUMMYFUNCTION("""COMPUTED_VALUE"""),383878.0)</f>
        <v>383878</v>
      </c>
      <c r="AG829" s="208"/>
      <c r="AH829" s="208"/>
      <c r="AI829" s="208"/>
      <c r="AJ829" s="208"/>
      <c r="AK829" s="208"/>
    </row>
    <row r="830" hidden="1">
      <c r="A830" s="288">
        <f>IFERROR(__xludf.DUMMYFUNCTION("""COMPUTED_VALUE"""),46178.0)</f>
        <v>46178</v>
      </c>
      <c r="B830" s="274">
        <f>IFERROR(__xludf.DUMMYFUNCTION("""COMPUTED_VALUE"""),0.4583333333321207)</f>
        <v>0.4583333333</v>
      </c>
      <c r="C830" s="208" t="str">
        <f>IFERROR(__xludf.DUMMYFUNCTION("""COMPUTED_VALUE"""),"Whatsapp")</f>
        <v>Whatsapp</v>
      </c>
      <c r="D830" s="208" t="str">
        <f>IFERROR(__xludf.DUMMYFUNCTION("""COMPUTED_VALUE"""),"Promotional")</f>
        <v>Promotional</v>
      </c>
      <c r="E830" s="208" t="str">
        <f>IFERROR(__xludf.DUMMYFUNCTION("""COMPUTED_VALUE"""),"BBW")</f>
        <v>BBW</v>
      </c>
      <c r="F830" s="208" t="str">
        <f>IFERROR(__xludf.DUMMYFUNCTION("""COMPUTED_VALUE"""),"B2G2 - June'26 - Entire Store")</f>
        <v>B2G2 - June'26 - Entire Store</v>
      </c>
      <c r="G830" s="208" t="str">
        <f>IFERROR(__xludf.DUMMYFUNCTION("""COMPUTED_VALUE"""),"bbw_wa_b2g2_5june_dormant_bom_offline")</f>
        <v>bbw_wa_b2g2_5june_dormant_bom_offline</v>
      </c>
      <c r="H830" s="232" t="str">
        <f>IFERROR(__xludf.DUMMYFUNCTION("""COMPUTED_VALUE"""),"BBW_OFF_BOM_Dorm")</f>
        <v>BBW_OFF_BOM_Dorm</v>
      </c>
      <c r="I830" s="233" t="str">
        <f>IFERROR(__xludf.DUMMYFUNCTION("""COMPUTED_VALUE"""),"All Offline Customers who have purchased at least 1 time from Txn_City BOM in the last 365 days excluding TTR purchasers")</f>
        <v>All Offline Customers who have purchased at least 1 time from Txn_City BOM in the last 365 days excluding TTR purchasers</v>
      </c>
      <c r="J830" s="275">
        <f>IFERROR(__xludf.DUMMYFUNCTION("""COMPUTED_VALUE"""),31927.0)</f>
        <v>31927</v>
      </c>
      <c r="K830" s="275">
        <f>IFERROR(__xludf.DUMMYFUNCTION("""COMPUTED_VALUE"""),15666.0)</f>
        <v>15666</v>
      </c>
      <c r="L830" s="276">
        <f>IFERROR(__xludf.DUMMYFUNCTION("""COMPUTED_VALUE"""),0.4693)</f>
        <v>0.4693</v>
      </c>
      <c r="M830" s="275">
        <f>IFERROR(__xludf.DUMMYFUNCTION("""COMPUTED_VALUE"""),6035.0)</f>
        <v>6035</v>
      </c>
      <c r="N830" s="276">
        <f>IFERROR(__xludf.DUMMYFUNCTION("""COMPUTED_VALUE"""),0.3968)</f>
        <v>0.3968</v>
      </c>
      <c r="O830" s="208">
        <f>IFERROR(__xludf.DUMMYFUNCTION("""COMPUTED_VALUE"""),460.0)</f>
        <v>460</v>
      </c>
      <c r="P830" s="208">
        <f>IFERROR(__xludf.DUMMYFUNCTION("""COMPUTED_VALUE"""),441.0)</f>
        <v>441</v>
      </c>
      <c r="Q830" s="276">
        <f>IFERROR(__xludf.DUMMYFUNCTION("""COMPUTED_VALUE"""),0.0294)</f>
        <v>0.0294</v>
      </c>
      <c r="R830" s="276">
        <f>IFERROR(__xludf.DUMMYFUNCTION("""COMPUTED_VALUE"""),0.0742)</f>
        <v>0.0742</v>
      </c>
      <c r="S830" s="208">
        <f>IFERROR(__xludf.DUMMYFUNCTION("""COMPUTED_VALUE"""),0.0)</f>
        <v>0</v>
      </c>
      <c r="T830" s="208">
        <f>IFERROR(__xludf.DUMMYFUNCTION("""COMPUTED_VALUE"""),9.0)</f>
        <v>9</v>
      </c>
      <c r="U830" s="275">
        <f>IFERROR(__xludf.DUMMYFUNCTION("""COMPUTED_VALUE"""),0.0)</f>
        <v>0</v>
      </c>
      <c r="V830" s="234" t="str">
        <f>IFERROR(__xludf.DUMMYFUNCTION("""COMPUTED_VALUE"""),"offline")</f>
        <v>offline</v>
      </c>
      <c r="W830" s="232" t="str">
        <f>IFERROR(__xludf.DUMMYFUNCTION("""COMPUTED_VALUE"""),"simple")</f>
        <v>simple</v>
      </c>
      <c r="X830" s="232" t="str">
        <f>IFERROR(__xludf.DUMMYFUNCTION("""COMPUTED_VALUE"""),"City Specific")</f>
        <v>City Specific</v>
      </c>
      <c r="Y830" s="232" t="str">
        <f>IFERROR(__xludf.DUMMYFUNCTION("""COMPUTED_VALUE"""),"5-7 June")</f>
        <v>5-7 June</v>
      </c>
      <c r="Z830" s="232" t="str">
        <f>IFERROR(__xludf.DUMMYFUNCTION("""COMPUTED_VALUE"""),"6a1d6a9cab720b217248bf1a")</f>
        <v>6a1d6a9cab720b217248bf1a</v>
      </c>
      <c r="AA830" s="277">
        <f>IFERROR(__xludf.DUMMYFUNCTION("""COMPUTED_VALUE"""),56.0)</f>
        <v>56</v>
      </c>
      <c r="AB830" s="277"/>
      <c r="AC830" s="277">
        <f>IFERROR(__xludf.DUMMYFUNCTION("""COMPUTED_VALUE"""),56.0)</f>
        <v>56</v>
      </c>
      <c r="AD830" s="277">
        <f>IFERROR(__xludf.DUMMYFUNCTION("""COMPUTED_VALUE"""),272400.0)</f>
        <v>272400</v>
      </c>
      <c r="AE830" s="277"/>
      <c r="AF830" s="277">
        <f>IFERROR(__xludf.DUMMYFUNCTION("""COMPUTED_VALUE"""),272400.0)</f>
        <v>272400</v>
      </c>
      <c r="AG830" s="208"/>
      <c r="AH830" s="208"/>
      <c r="AI830" s="208"/>
      <c r="AJ830" s="208"/>
      <c r="AK830" s="208"/>
    </row>
    <row r="831" hidden="1">
      <c r="A831" s="288">
        <f>IFERROR(__xludf.DUMMYFUNCTION("""COMPUTED_VALUE"""),46178.0)</f>
        <v>46178</v>
      </c>
      <c r="B831" s="274">
        <f>IFERROR(__xludf.DUMMYFUNCTION("""COMPUTED_VALUE"""),0.4583333333321207)</f>
        <v>0.4583333333</v>
      </c>
      <c r="C831" s="208" t="str">
        <f>IFERROR(__xludf.DUMMYFUNCTION("""COMPUTED_VALUE"""),"Whatsapp")</f>
        <v>Whatsapp</v>
      </c>
      <c r="D831" s="208" t="str">
        <f>IFERROR(__xludf.DUMMYFUNCTION("""COMPUTED_VALUE"""),"Promotional")</f>
        <v>Promotional</v>
      </c>
      <c r="E831" s="208" t="str">
        <f>IFERROR(__xludf.DUMMYFUNCTION("""COMPUTED_VALUE"""),"BBW")</f>
        <v>BBW</v>
      </c>
      <c r="F831" s="208" t="str">
        <f>IFERROR(__xludf.DUMMYFUNCTION("""COMPUTED_VALUE"""),"B2G2 - June'26 - Entire Store")</f>
        <v>B2G2 - June'26 - Entire Store</v>
      </c>
      <c r="G831" s="208" t="str">
        <f>IFERROR(__xludf.DUMMYFUNCTION("""COMPUTED_VALUE"""),"bbw_wa_b2g2_5june_dormant_ahd_offline")</f>
        <v>bbw_wa_b2g2_5june_dormant_ahd_offline</v>
      </c>
      <c r="H831" s="232" t="str">
        <f>IFERROR(__xludf.DUMMYFUNCTION("""COMPUTED_VALUE"""),"BBW_OFF_AHD_Dorm")</f>
        <v>BBW_OFF_AHD_Dorm</v>
      </c>
      <c r="I831" s="233" t="str">
        <f>IFERROR(__xludf.DUMMYFUNCTION("""COMPUTED_VALUE"""),"All Offline Customers who have purchased at least 1 time from Txn_City AHD in the last 365 days excluding TTR purchasers")</f>
        <v>All Offline Customers who have purchased at least 1 time from Txn_City AHD in the last 365 days excluding TTR purchasers</v>
      </c>
      <c r="J831" s="275">
        <f>IFERROR(__xludf.DUMMYFUNCTION("""COMPUTED_VALUE"""),18214.0)</f>
        <v>18214</v>
      </c>
      <c r="K831" s="275">
        <f>IFERROR(__xludf.DUMMYFUNCTION("""COMPUTED_VALUE"""),10360.0)</f>
        <v>10360</v>
      </c>
      <c r="L831" s="276">
        <f>IFERROR(__xludf.DUMMYFUNCTION("""COMPUTED_VALUE"""),0.5679)</f>
        <v>0.5679</v>
      </c>
      <c r="M831" s="275">
        <f>IFERROR(__xludf.DUMMYFUNCTION("""COMPUTED_VALUE"""),4862.0)</f>
        <v>4862</v>
      </c>
      <c r="N831" s="276">
        <f>IFERROR(__xludf.DUMMYFUNCTION("""COMPUTED_VALUE"""),0.4667)</f>
        <v>0.4667</v>
      </c>
      <c r="O831" s="208">
        <f>IFERROR(__xludf.DUMMYFUNCTION("""COMPUTED_VALUE"""),290.0)</f>
        <v>290</v>
      </c>
      <c r="P831" s="208">
        <f>IFERROR(__xludf.DUMMYFUNCTION("""COMPUTED_VALUE"""),276.0)</f>
        <v>276</v>
      </c>
      <c r="Q831" s="276">
        <f>IFERROR(__xludf.DUMMYFUNCTION("""COMPUTED_VALUE"""),0.0267)</f>
        <v>0.0267</v>
      </c>
      <c r="R831" s="276">
        <f>IFERROR(__xludf.DUMMYFUNCTION("""COMPUTED_VALUE"""),0.0572)</f>
        <v>0.0572</v>
      </c>
      <c r="S831" s="208">
        <f>IFERROR(__xludf.DUMMYFUNCTION("""COMPUTED_VALUE"""),0.0)</f>
        <v>0</v>
      </c>
      <c r="T831" s="208">
        <f>IFERROR(__xludf.DUMMYFUNCTION("""COMPUTED_VALUE"""),4.0)</f>
        <v>4</v>
      </c>
      <c r="U831" s="275">
        <f>IFERROR(__xludf.DUMMYFUNCTION("""COMPUTED_VALUE"""),0.0)</f>
        <v>0</v>
      </c>
      <c r="V831" s="234" t="str">
        <f>IFERROR(__xludf.DUMMYFUNCTION("""COMPUTED_VALUE"""),"offline")</f>
        <v>offline</v>
      </c>
      <c r="W831" s="232" t="str">
        <f>IFERROR(__xludf.DUMMYFUNCTION("""COMPUTED_VALUE"""),"simple")</f>
        <v>simple</v>
      </c>
      <c r="X831" s="232" t="str">
        <f>IFERROR(__xludf.DUMMYFUNCTION("""COMPUTED_VALUE"""),"City Specific")</f>
        <v>City Specific</v>
      </c>
      <c r="Y831" s="232" t="str">
        <f>IFERROR(__xludf.DUMMYFUNCTION("""COMPUTED_VALUE"""),"5-7 June")</f>
        <v>5-7 June</v>
      </c>
      <c r="Z831" s="232" t="str">
        <f>IFERROR(__xludf.DUMMYFUNCTION("""COMPUTED_VALUE"""),"6a1d6ad683e9cf7acc443df1")</f>
        <v>6a1d6ad683e9cf7acc443df1</v>
      </c>
      <c r="AA831" s="277">
        <f>IFERROR(__xludf.DUMMYFUNCTION("""COMPUTED_VALUE"""),31.0)</f>
        <v>31</v>
      </c>
      <c r="AB831" s="277"/>
      <c r="AC831" s="277">
        <f>IFERROR(__xludf.DUMMYFUNCTION("""COMPUTED_VALUE"""),31.0)</f>
        <v>31</v>
      </c>
      <c r="AD831" s="277">
        <f>IFERROR(__xludf.DUMMYFUNCTION("""COMPUTED_VALUE"""),152873.0)</f>
        <v>152873</v>
      </c>
      <c r="AE831" s="277"/>
      <c r="AF831" s="277">
        <f>IFERROR(__xludf.DUMMYFUNCTION("""COMPUTED_VALUE"""),152873.0)</f>
        <v>152873</v>
      </c>
      <c r="AG831" s="208"/>
      <c r="AH831" s="208"/>
      <c r="AI831" s="208"/>
      <c r="AJ831" s="208"/>
      <c r="AK831" s="208"/>
    </row>
    <row r="832" hidden="1">
      <c r="A832" s="288">
        <f>IFERROR(__xludf.DUMMYFUNCTION("""COMPUTED_VALUE"""),46178.0)</f>
        <v>46178</v>
      </c>
      <c r="B832" s="274">
        <f>IFERROR(__xludf.DUMMYFUNCTION("""COMPUTED_VALUE"""),0.4583333333321207)</f>
        <v>0.4583333333</v>
      </c>
      <c r="C832" s="208" t="str">
        <f>IFERROR(__xludf.DUMMYFUNCTION("""COMPUTED_VALUE"""),"Whatsapp")</f>
        <v>Whatsapp</v>
      </c>
      <c r="D832" s="208" t="str">
        <f>IFERROR(__xludf.DUMMYFUNCTION("""COMPUTED_VALUE"""),"Promotional")</f>
        <v>Promotional</v>
      </c>
      <c r="E832" s="208" t="str">
        <f>IFERROR(__xludf.DUMMYFUNCTION("""COMPUTED_VALUE"""),"BBW")</f>
        <v>BBW</v>
      </c>
      <c r="F832" s="208" t="str">
        <f>IFERROR(__xludf.DUMMYFUNCTION("""COMPUTED_VALUE"""),"B2G2 - June'26 - Entire Store")</f>
        <v>B2G2 - June'26 - Entire Store</v>
      </c>
      <c r="G832" s="208" t="str">
        <f>IFERROR(__xludf.DUMMYFUNCTION("""COMPUTED_VALUE"""),"bbw_wa_b2g2_5june_dormant_pune_offline")</f>
        <v>bbw_wa_b2g2_5june_dormant_pune_offline</v>
      </c>
      <c r="H832" s="232" t="str">
        <f>IFERROR(__xludf.DUMMYFUNCTION("""COMPUTED_VALUE"""),"BBW_OFF_PUNE_Dorm")</f>
        <v>BBW_OFF_PUNE_Dorm</v>
      </c>
      <c r="I832" s="233" t="str">
        <f>IFERROR(__xludf.DUMMYFUNCTION("""COMPUTED_VALUE"""),"All Offline Customers who have purchased at least 1 time from Txn_City PUNE in the last 365 days excluding TTR purchasers")</f>
        <v>All Offline Customers who have purchased at least 1 time from Txn_City PUNE in the last 365 days excluding TTR purchasers</v>
      </c>
      <c r="J832" s="275">
        <f>IFERROR(__xludf.DUMMYFUNCTION("""COMPUTED_VALUE"""),10019.0)</f>
        <v>10019</v>
      </c>
      <c r="K832" s="275">
        <f>IFERROR(__xludf.DUMMYFUNCTION("""COMPUTED_VALUE"""),5172.0)</f>
        <v>5172</v>
      </c>
      <c r="L832" s="276">
        <f>IFERROR(__xludf.DUMMYFUNCTION("""COMPUTED_VALUE"""),0.5151)</f>
        <v>0.5151</v>
      </c>
      <c r="M832" s="275">
        <f>IFERROR(__xludf.DUMMYFUNCTION("""COMPUTED_VALUE"""),1970.0)</f>
        <v>1970</v>
      </c>
      <c r="N832" s="276">
        <f>IFERROR(__xludf.DUMMYFUNCTION("""COMPUTED_VALUE"""),0.3788)</f>
        <v>0.3788</v>
      </c>
      <c r="O832" s="208">
        <f>IFERROR(__xludf.DUMMYFUNCTION("""COMPUTED_VALUE"""),135.0)</f>
        <v>135</v>
      </c>
      <c r="P832" s="208">
        <f>IFERROR(__xludf.DUMMYFUNCTION("""COMPUTED_VALUE"""),128.0)</f>
        <v>128</v>
      </c>
      <c r="Q832" s="276">
        <f>IFERROR(__xludf.DUMMYFUNCTION("""COMPUTED_VALUE"""),0.0248)</f>
        <v>0.0248</v>
      </c>
      <c r="R832" s="276">
        <f>IFERROR(__xludf.DUMMYFUNCTION("""COMPUTED_VALUE"""),0.0655)</f>
        <v>0.0655</v>
      </c>
      <c r="S832" s="208">
        <f>IFERROR(__xludf.DUMMYFUNCTION("""COMPUTED_VALUE"""),1.0)</f>
        <v>1</v>
      </c>
      <c r="T832" s="208">
        <f>IFERROR(__xludf.DUMMYFUNCTION("""COMPUTED_VALUE"""),5.0)</f>
        <v>5</v>
      </c>
      <c r="U832" s="275">
        <f>IFERROR(__xludf.DUMMYFUNCTION("""COMPUTED_VALUE"""),3958.0)</f>
        <v>3958</v>
      </c>
      <c r="V832" s="234" t="str">
        <f>IFERROR(__xludf.DUMMYFUNCTION("""COMPUTED_VALUE"""),"offline")</f>
        <v>offline</v>
      </c>
      <c r="W832" s="232" t="str">
        <f>IFERROR(__xludf.DUMMYFUNCTION("""COMPUTED_VALUE"""),"simple")</f>
        <v>simple</v>
      </c>
      <c r="X832" s="232" t="str">
        <f>IFERROR(__xludf.DUMMYFUNCTION("""COMPUTED_VALUE"""),"City Specific")</f>
        <v>City Specific</v>
      </c>
      <c r="Y832" s="232" t="str">
        <f>IFERROR(__xludf.DUMMYFUNCTION("""COMPUTED_VALUE"""),"5-7 June")</f>
        <v>5-7 June</v>
      </c>
      <c r="Z832" s="232" t="str">
        <f>IFERROR(__xludf.DUMMYFUNCTION("""COMPUTED_VALUE"""),"6a1d6b2468231bfe1f6ad745")</f>
        <v>6a1d6b2468231bfe1f6ad745</v>
      </c>
      <c r="AA832" s="277">
        <f>IFERROR(__xludf.DUMMYFUNCTION("""COMPUTED_VALUE"""),24.0)</f>
        <v>24</v>
      </c>
      <c r="AB832" s="277"/>
      <c r="AC832" s="277">
        <f>IFERROR(__xludf.DUMMYFUNCTION("""COMPUTED_VALUE"""),24.0)</f>
        <v>24</v>
      </c>
      <c r="AD832" s="277">
        <f>IFERROR(__xludf.DUMMYFUNCTION("""COMPUTED_VALUE"""),105882.0)</f>
        <v>105882</v>
      </c>
      <c r="AE832" s="277"/>
      <c r="AF832" s="277">
        <f>IFERROR(__xludf.DUMMYFUNCTION("""COMPUTED_VALUE"""),105882.0)</f>
        <v>105882</v>
      </c>
      <c r="AG832" s="208"/>
      <c r="AH832" s="208"/>
      <c r="AI832" s="208"/>
      <c r="AJ832" s="208"/>
      <c r="AK832" s="208"/>
    </row>
    <row r="833" hidden="1">
      <c r="A833" s="288">
        <f>IFERROR(__xludf.DUMMYFUNCTION("""COMPUTED_VALUE"""),46178.0)</f>
        <v>46178</v>
      </c>
      <c r="B833" s="274">
        <f>IFERROR(__xludf.DUMMYFUNCTION("""COMPUTED_VALUE"""),0.4583333333321207)</f>
        <v>0.4583333333</v>
      </c>
      <c r="C833" s="208" t="str">
        <f>IFERROR(__xludf.DUMMYFUNCTION("""COMPUTED_VALUE"""),"Whatsapp")</f>
        <v>Whatsapp</v>
      </c>
      <c r="D833" s="208" t="str">
        <f>IFERROR(__xludf.DUMMYFUNCTION("""COMPUTED_VALUE"""),"Promotional")</f>
        <v>Promotional</v>
      </c>
      <c r="E833" s="208" t="str">
        <f>IFERROR(__xludf.DUMMYFUNCTION("""COMPUTED_VALUE"""),"BBW")</f>
        <v>BBW</v>
      </c>
      <c r="F833" s="208" t="str">
        <f>IFERROR(__xludf.DUMMYFUNCTION("""COMPUTED_VALUE"""),"B2G2 - June'26 - Entire Store")</f>
        <v>B2G2 - June'26 - Entire Store</v>
      </c>
      <c r="G833" s="208" t="str">
        <f>IFERROR(__xludf.DUMMYFUNCTION("""COMPUTED_VALUE"""),"bbw_wa_b2g2_5june_active_del_offline")</f>
        <v>bbw_wa_b2g2_5june_active_del_offline</v>
      </c>
      <c r="H833" s="232" t="str">
        <f>IFERROR(__xludf.DUMMYFUNCTION("""COMPUTED_VALUE"""),"BBW_OFF_DEL_Active")</f>
        <v>BBW_OFF_DEL_Active</v>
      </c>
      <c r="I833" s="233" t="str">
        <f>IFERROR(__xludf.DUMMYFUNCTION("""COMPUTED_VALUE"""),"All Offline Customers who have purchased at least 1 time from Txn_City DEL in the last 112 days (TTR)")</f>
        <v>All Offline Customers who have purchased at least 1 time from Txn_City DEL in the last 112 days (TTR)</v>
      </c>
      <c r="J833" s="275">
        <f>IFERROR(__xludf.DUMMYFUNCTION("""COMPUTED_VALUE"""),15274.0)</f>
        <v>15274</v>
      </c>
      <c r="K833" s="275">
        <f>IFERROR(__xludf.DUMMYFUNCTION("""COMPUTED_VALUE"""),8132.0)</f>
        <v>8132</v>
      </c>
      <c r="L833" s="276">
        <f>IFERROR(__xludf.DUMMYFUNCTION("""COMPUTED_VALUE"""),0.5003)</f>
        <v>0.5003</v>
      </c>
      <c r="M833" s="275">
        <f>IFERROR(__xludf.DUMMYFUNCTION("""COMPUTED_VALUE"""),2931.0)</f>
        <v>2931</v>
      </c>
      <c r="N833" s="276">
        <f>IFERROR(__xludf.DUMMYFUNCTION("""COMPUTED_VALUE"""),0.3765)</f>
        <v>0.3765</v>
      </c>
      <c r="O833" s="208">
        <f>IFERROR(__xludf.DUMMYFUNCTION("""COMPUTED_VALUE"""),358.0)</f>
        <v>358</v>
      </c>
      <c r="P833" s="208">
        <f>IFERROR(__xludf.DUMMYFUNCTION("""COMPUTED_VALUE"""),339.0)</f>
        <v>339</v>
      </c>
      <c r="Q833" s="276">
        <f>IFERROR(__xludf.DUMMYFUNCTION("""COMPUTED_VALUE"""),0.0444)</f>
        <v>0.0444</v>
      </c>
      <c r="R833" s="276">
        <f>IFERROR(__xludf.DUMMYFUNCTION("""COMPUTED_VALUE"""),0.1178)</f>
        <v>0.1178</v>
      </c>
      <c r="S833" s="208">
        <f>IFERROR(__xludf.DUMMYFUNCTION("""COMPUTED_VALUE"""),1.0)</f>
        <v>1</v>
      </c>
      <c r="T833" s="208">
        <f>IFERROR(__xludf.DUMMYFUNCTION("""COMPUTED_VALUE"""),4.0)</f>
        <v>4</v>
      </c>
      <c r="U833" s="275">
        <f>IFERROR(__xludf.DUMMYFUNCTION("""COMPUTED_VALUE"""),4138.0)</f>
        <v>4138</v>
      </c>
      <c r="V833" s="234" t="str">
        <f>IFERROR(__xludf.DUMMYFUNCTION("""COMPUTED_VALUE"""),"offline")</f>
        <v>offline</v>
      </c>
      <c r="W833" s="232" t="str">
        <f>IFERROR(__xludf.DUMMYFUNCTION("""COMPUTED_VALUE"""),"simple")</f>
        <v>simple</v>
      </c>
      <c r="X833" s="232" t="str">
        <f>IFERROR(__xludf.DUMMYFUNCTION("""COMPUTED_VALUE"""),"City Specific")</f>
        <v>City Specific</v>
      </c>
      <c r="Y833" s="232" t="str">
        <f>IFERROR(__xludf.DUMMYFUNCTION("""COMPUTED_VALUE"""),"5-7 June")</f>
        <v>5-7 June</v>
      </c>
      <c r="Z833" s="232" t="str">
        <f>IFERROR(__xludf.DUMMYFUNCTION("""COMPUTED_VALUE"""),"6a1d6b4b1d31394abfd9a0d6")</f>
        <v>6a1d6b4b1d31394abfd9a0d6</v>
      </c>
      <c r="AA833" s="277">
        <f>IFERROR(__xludf.DUMMYFUNCTION("""COMPUTED_VALUE"""),56.0)</f>
        <v>56</v>
      </c>
      <c r="AB833" s="277"/>
      <c r="AC833" s="277">
        <f>IFERROR(__xludf.DUMMYFUNCTION("""COMPUTED_VALUE"""),56.0)</f>
        <v>56</v>
      </c>
      <c r="AD833" s="277">
        <f>IFERROR(__xludf.DUMMYFUNCTION("""COMPUTED_VALUE"""),314291.0)</f>
        <v>314291</v>
      </c>
      <c r="AE833" s="277"/>
      <c r="AF833" s="277">
        <f>IFERROR(__xludf.DUMMYFUNCTION("""COMPUTED_VALUE"""),314291.0)</f>
        <v>314291</v>
      </c>
      <c r="AG833" s="208"/>
      <c r="AH833" s="208"/>
      <c r="AI833" s="208"/>
      <c r="AJ833" s="208"/>
      <c r="AK833" s="208"/>
    </row>
    <row r="834" hidden="1">
      <c r="A834" s="288">
        <f>IFERROR(__xludf.DUMMYFUNCTION("""COMPUTED_VALUE"""),46178.0)</f>
        <v>46178</v>
      </c>
      <c r="B834" s="274">
        <f>IFERROR(__xludf.DUMMYFUNCTION("""COMPUTED_VALUE"""),0.4583333333321207)</f>
        <v>0.4583333333</v>
      </c>
      <c r="C834" s="208" t="str">
        <f>IFERROR(__xludf.DUMMYFUNCTION("""COMPUTED_VALUE"""),"Whatsapp")</f>
        <v>Whatsapp</v>
      </c>
      <c r="D834" s="208" t="str">
        <f>IFERROR(__xludf.DUMMYFUNCTION("""COMPUTED_VALUE"""),"Promotional")</f>
        <v>Promotional</v>
      </c>
      <c r="E834" s="208" t="str">
        <f>IFERROR(__xludf.DUMMYFUNCTION("""COMPUTED_VALUE"""),"BBW")</f>
        <v>BBW</v>
      </c>
      <c r="F834" s="208" t="str">
        <f>IFERROR(__xludf.DUMMYFUNCTION("""COMPUTED_VALUE"""),"B2G2 - June'26 - Entire Store")</f>
        <v>B2G2 - June'26 - Entire Store</v>
      </c>
      <c r="G834" s="208" t="str">
        <f>IFERROR(__xludf.DUMMYFUNCTION("""COMPUTED_VALUE"""),"bbw_wa_b2g2_5june_active_chenn_offline")</f>
        <v>bbw_wa_b2g2_5june_active_chenn_offline</v>
      </c>
      <c r="H834" s="232" t="str">
        <f>IFERROR(__xludf.DUMMYFUNCTION("""COMPUTED_VALUE"""),"BBW_OFF_Chennai_Active")</f>
        <v>BBW_OFF_Chennai_Active</v>
      </c>
      <c r="I834" s="233" t="str">
        <f>IFERROR(__xludf.DUMMYFUNCTION("""COMPUTED_VALUE"""),"All Offline Customers who have purchased at least 1 time from Txn_City CHENNAI in the last 112 days (TTR)")</f>
        <v>All Offline Customers who have purchased at least 1 time from Txn_City CHENNAI in the last 112 days (TTR)</v>
      </c>
      <c r="J834" s="275">
        <f>IFERROR(__xludf.DUMMYFUNCTION("""COMPUTED_VALUE"""),7539.0)</f>
        <v>7539</v>
      </c>
      <c r="K834" s="275">
        <f>IFERROR(__xludf.DUMMYFUNCTION("""COMPUTED_VALUE"""),4113.0)</f>
        <v>4113</v>
      </c>
      <c r="L834" s="276">
        <f>IFERROR(__xludf.DUMMYFUNCTION("""COMPUTED_VALUE"""),0.544)</f>
        <v>0.544</v>
      </c>
      <c r="M834" s="275">
        <f>IFERROR(__xludf.DUMMYFUNCTION("""COMPUTED_VALUE"""),1847.0)</f>
        <v>1847</v>
      </c>
      <c r="N834" s="276">
        <f>IFERROR(__xludf.DUMMYFUNCTION("""COMPUTED_VALUE"""),0.4462)</f>
        <v>0.4462</v>
      </c>
      <c r="O834" s="208">
        <f>IFERROR(__xludf.DUMMYFUNCTION("""COMPUTED_VALUE"""),219.0)</f>
        <v>219</v>
      </c>
      <c r="P834" s="208">
        <f>IFERROR(__xludf.DUMMYFUNCTION("""COMPUTED_VALUE"""),209.0)</f>
        <v>209</v>
      </c>
      <c r="Q834" s="276">
        <f>IFERROR(__xludf.DUMMYFUNCTION("""COMPUTED_VALUE"""),0.051)</f>
        <v>0.051</v>
      </c>
      <c r="R834" s="276">
        <f>IFERROR(__xludf.DUMMYFUNCTION("""COMPUTED_VALUE"""),0.1142)</f>
        <v>0.1142</v>
      </c>
      <c r="S834" s="208">
        <f>IFERROR(__xludf.DUMMYFUNCTION("""COMPUTED_VALUE"""),0.0)</f>
        <v>0</v>
      </c>
      <c r="T834" s="208">
        <f>IFERROR(__xludf.DUMMYFUNCTION("""COMPUTED_VALUE"""),4.0)</f>
        <v>4</v>
      </c>
      <c r="U834" s="275">
        <f>IFERROR(__xludf.DUMMYFUNCTION("""COMPUTED_VALUE"""),0.0)</f>
        <v>0</v>
      </c>
      <c r="V834" s="234" t="str">
        <f>IFERROR(__xludf.DUMMYFUNCTION("""COMPUTED_VALUE"""),"offline")</f>
        <v>offline</v>
      </c>
      <c r="W834" s="232" t="str">
        <f>IFERROR(__xludf.DUMMYFUNCTION("""COMPUTED_VALUE"""),"simple")</f>
        <v>simple</v>
      </c>
      <c r="X834" s="232" t="str">
        <f>IFERROR(__xludf.DUMMYFUNCTION("""COMPUTED_VALUE"""),"City Specific")</f>
        <v>City Specific</v>
      </c>
      <c r="Y834" s="232" t="str">
        <f>IFERROR(__xludf.DUMMYFUNCTION("""COMPUTED_VALUE"""),"5-7 June")</f>
        <v>5-7 June</v>
      </c>
      <c r="Z834" s="232" t="str">
        <f>IFERROR(__xludf.DUMMYFUNCTION("""COMPUTED_VALUE"""),"6a1d6b76ab720b217248bf31")</f>
        <v>6a1d6b76ab720b217248bf31</v>
      </c>
      <c r="AA834" s="277">
        <f>IFERROR(__xludf.DUMMYFUNCTION("""COMPUTED_VALUE"""),23.0)</f>
        <v>23</v>
      </c>
      <c r="AB834" s="277"/>
      <c r="AC834" s="277">
        <f>IFERROR(__xludf.DUMMYFUNCTION("""COMPUTED_VALUE"""),23.0)</f>
        <v>23</v>
      </c>
      <c r="AD834" s="277">
        <f>IFERROR(__xludf.DUMMYFUNCTION("""COMPUTED_VALUE"""),151370.0)</f>
        <v>151370</v>
      </c>
      <c r="AE834" s="277"/>
      <c r="AF834" s="277">
        <f>IFERROR(__xludf.DUMMYFUNCTION("""COMPUTED_VALUE"""),151370.0)</f>
        <v>151370</v>
      </c>
      <c r="AG834" s="208"/>
      <c r="AH834" s="208"/>
      <c r="AI834" s="208"/>
      <c r="AJ834" s="208"/>
      <c r="AK834" s="208"/>
    </row>
    <row r="835" hidden="1">
      <c r="A835" s="288">
        <f>IFERROR(__xludf.DUMMYFUNCTION("""COMPUTED_VALUE"""),46178.0)</f>
        <v>46178</v>
      </c>
      <c r="B835" s="274">
        <f>IFERROR(__xludf.DUMMYFUNCTION("""COMPUTED_VALUE"""),0.4583333333321207)</f>
        <v>0.4583333333</v>
      </c>
      <c r="C835" s="208" t="str">
        <f>IFERROR(__xludf.DUMMYFUNCTION("""COMPUTED_VALUE"""),"Whatsapp")</f>
        <v>Whatsapp</v>
      </c>
      <c r="D835" s="208" t="str">
        <f>IFERROR(__xludf.DUMMYFUNCTION("""COMPUTED_VALUE"""),"Promotional")</f>
        <v>Promotional</v>
      </c>
      <c r="E835" s="208" t="str">
        <f>IFERROR(__xludf.DUMMYFUNCTION("""COMPUTED_VALUE"""),"BBW")</f>
        <v>BBW</v>
      </c>
      <c r="F835" s="208" t="str">
        <f>IFERROR(__xludf.DUMMYFUNCTION("""COMPUTED_VALUE"""),"B2G2 - June'26 - Entire Store")</f>
        <v>B2G2 - June'26 - Entire Store</v>
      </c>
      <c r="G835" s="208" t="str">
        <f>IFERROR(__xludf.DUMMYFUNCTION("""COMPUTED_VALUE"""),"bbw_wa_b2g2_5june_active_hyd_offline")</f>
        <v>bbw_wa_b2g2_5june_active_hyd_offline</v>
      </c>
      <c r="H835" s="232" t="str">
        <f>IFERROR(__xludf.DUMMYFUNCTION("""COMPUTED_VALUE"""),"BBW_OFF_HYD_Active")</f>
        <v>BBW_OFF_HYD_Active</v>
      </c>
      <c r="I835" s="233" t="str">
        <f>IFERROR(__xludf.DUMMYFUNCTION("""COMPUTED_VALUE"""),"All Offline Customers who have purchased at least 1 time from Txn_City HYD in the last 112 days (TTR)")</f>
        <v>All Offline Customers who have purchased at least 1 time from Txn_City HYD in the last 112 days (TTR)</v>
      </c>
      <c r="J835" s="275">
        <f>IFERROR(__xludf.DUMMYFUNCTION("""COMPUTED_VALUE"""),6917.0)</f>
        <v>6917</v>
      </c>
      <c r="K835" s="275">
        <f>IFERROR(__xludf.DUMMYFUNCTION("""COMPUTED_VALUE"""),3692.0)</f>
        <v>3692</v>
      </c>
      <c r="L835" s="276">
        <f>IFERROR(__xludf.DUMMYFUNCTION("""COMPUTED_VALUE"""),0.5213)</f>
        <v>0.5213</v>
      </c>
      <c r="M835" s="275">
        <f>IFERROR(__xludf.DUMMYFUNCTION("""COMPUTED_VALUE"""),1589.0)</f>
        <v>1589</v>
      </c>
      <c r="N835" s="276">
        <f>IFERROR(__xludf.DUMMYFUNCTION("""COMPUTED_VALUE"""),0.4354)</f>
        <v>0.4354</v>
      </c>
      <c r="O835" s="208">
        <f>IFERROR(__xludf.DUMMYFUNCTION("""COMPUTED_VALUE"""),155.0)</f>
        <v>155</v>
      </c>
      <c r="P835" s="208">
        <f>IFERROR(__xludf.DUMMYFUNCTION("""COMPUTED_VALUE"""),146.0)</f>
        <v>146</v>
      </c>
      <c r="Q835" s="276">
        <f>IFERROR(__xludf.DUMMYFUNCTION("""COMPUTED_VALUE"""),0.0405)</f>
        <v>0.0405</v>
      </c>
      <c r="R835" s="276">
        <f>IFERROR(__xludf.DUMMYFUNCTION("""COMPUTED_VALUE"""),0.093)</f>
        <v>0.093</v>
      </c>
      <c r="S835" s="208">
        <f>IFERROR(__xludf.DUMMYFUNCTION("""COMPUTED_VALUE"""),0.0)</f>
        <v>0</v>
      </c>
      <c r="T835" s="208">
        <f>IFERROR(__xludf.DUMMYFUNCTION("""COMPUTED_VALUE"""),2.0)</f>
        <v>2</v>
      </c>
      <c r="U835" s="275">
        <f>IFERROR(__xludf.DUMMYFUNCTION("""COMPUTED_VALUE"""),0.0)</f>
        <v>0</v>
      </c>
      <c r="V835" s="234" t="str">
        <f>IFERROR(__xludf.DUMMYFUNCTION("""COMPUTED_VALUE"""),"offline")</f>
        <v>offline</v>
      </c>
      <c r="W835" s="232" t="str">
        <f>IFERROR(__xludf.DUMMYFUNCTION("""COMPUTED_VALUE"""),"simple")</f>
        <v>simple</v>
      </c>
      <c r="X835" s="232" t="str">
        <f>IFERROR(__xludf.DUMMYFUNCTION("""COMPUTED_VALUE"""),"City Specific")</f>
        <v>City Specific</v>
      </c>
      <c r="Y835" s="232" t="str">
        <f>IFERROR(__xludf.DUMMYFUNCTION("""COMPUTED_VALUE"""),"5-7 June")</f>
        <v>5-7 June</v>
      </c>
      <c r="Z835" s="232" t="str">
        <f>IFERROR(__xludf.DUMMYFUNCTION("""COMPUTED_VALUE"""),"6a1d6bca0cc7746a7caa5c35")</f>
        <v>6a1d6bca0cc7746a7caa5c35</v>
      </c>
      <c r="AA835" s="277">
        <f>IFERROR(__xludf.DUMMYFUNCTION("""COMPUTED_VALUE"""),13.0)</f>
        <v>13</v>
      </c>
      <c r="AB835" s="277"/>
      <c r="AC835" s="277">
        <f>IFERROR(__xludf.DUMMYFUNCTION("""COMPUTED_VALUE"""),13.0)</f>
        <v>13</v>
      </c>
      <c r="AD835" s="277">
        <f>IFERROR(__xludf.DUMMYFUNCTION("""COMPUTED_VALUE"""),54512.0)</f>
        <v>54512</v>
      </c>
      <c r="AE835" s="277"/>
      <c r="AF835" s="277">
        <f>IFERROR(__xludf.DUMMYFUNCTION("""COMPUTED_VALUE"""),54512.0)</f>
        <v>54512</v>
      </c>
      <c r="AG835" s="208"/>
      <c r="AH835" s="208"/>
      <c r="AI835" s="208"/>
      <c r="AJ835" s="208"/>
      <c r="AK835" s="208"/>
    </row>
    <row r="836" hidden="1">
      <c r="A836" s="288">
        <f>IFERROR(__xludf.DUMMYFUNCTION("""COMPUTED_VALUE"""),46178.0)</f>
        <v>46178</v>
      </c>
      <c r="B836" s="274">
        <f>IFERROR(__xludf.DUMMYFUNCTION("""COMPUTED_VALUE"""),0.4583333333321207)</f>
        <v>0.4583333333</v>
      </c>
      <c r="C836" s="208" t="str">
        <f>IFERROR(__xludf.DUMMYFUNCTION("""COMPUTED_VALUE"""),"Whatsapp")</f>
        <v>Whatsapp</v>
      </c>
      <c r="D836" s="208" t="str">
        <f>IFERROR(__xludf.DUMMYFUNCTION("""COMPUTED_VALUE"""),"Promotional")</f>
        <v>Promotional</v>
      </c>
      <c r="E836" s="208" t="str">
        <f>IFERROR(__xludf.DUMMYFUNCTION("""COMPUTED_VALUE"""),"BBW")</f>
        <v>BBW</v>
      </c>
      <c r="F836" s="208" t="str">
        <f>IFERROR(__xludf.DUMMYFUNCTION("""COMPUTED_VALUE"""),"B2G2 - June'26 - Entire Store")</f>
        <v>B2G2 - June'26 - Entire Store</v>
      </c>
      <c r="G836" s="208" t="str">
        <f>IFERROR(__xludf.DUMMYFUNCTION("""COMPUTED_VALUE"""),"bbw_wa_b2g2_5june_active_chd_offline")</f>
        <v>bbw_wa_b2g2_5june_active_chd_offline</v>
      </c>
      <c r="H836" s="232" t="str">
        <f>IFERROR(__xludf.DUMMYFUNCTION("""COMPUTED_VALUE"""),"BBW_OFF_CHD_Active")</f>
        <v>BBW_OFF_CHD_Active</v>
      </c>
      <c r="I836" s="233" t="str">
        <f>IFERROR(__xludf.DUMMYFUNCTION("""COMPUTED_VALUE"""),"All Offline Customers who have purchased at least 1 time from Txn_City CHD in the last 112 days (TTR)")</f>
        <v>All Offline Customers who have purchased at least 1 time from Txn_City CHD in the last 112 days (TTR)</v>
      </c>
      <c r="J836" s="275">
        <f>IFERROR(__xludf.DUMMYFUNCTION("""COMPUTED_VALUE"""),6038.0)</f>
        <v>6038</v>
      </c>
      <c r="K836" s="275">
        <f>IFERROR(__xludf.DUMMYFUNCTION("""COMPUTED_VALUE"""),3357.0)</f>
        <v>3357</v>
      </c>
      <c r="L836" s="276">
        <f>IFERROR(__xludf.DUMMYFUNCTION("""COMPUTED_VALUE"""),0.5399)</f>
        <v>0.5399</v>
      </c>
      <c r="M836" s="275">
        <f>IFERROR(__xludf.DUMMYFUNCTION("""COMPUTED_VALUE"""),1464.0)</f>
        <v>1464</v>
      </c>
      <c r="N836" s="276">
        <f>IFERROR(__xludf.DUMMYFUNCTION("""COMPUTED_VALUE"""),0.4387)</f>
        <v>0.4387</v>
      </c>
      <c r="O836" s="208">
        <f>IFERROR(__xludf.DUMMYFUNCTION("""COMPUTED_VALUE"""),175.0)</f>
        <v>175</v>
      </c>
      <c r="P836" s="208">
        <f>IFERROR(__xludf.DUMMYFUNCTION("""COMPUTED_VALUE"""),167.0)</f>
        <v>167</v>
      </c>
      <c r="Q836" s="276">
        <f>IFERROR(__xludf.DUMMYFUNCTION("""COMPUTED_VALUE"""),0.0512)</f>
        <v>0.0512</v>
      </c>
      <c r="R836" s="276">
        <f>IFERROR(__xludf.DUMMYFUNCTION("""COMPUTED_VALUE"""),0.1168)</f>
        <v>0.1168</v>
      </c>
      <c r="S836" s="208">
        <f>IFERROR(__xludf.DUMMYFUNCTION("""COMPUTED_VALUE"""),0.0)</f>
        <v>0</v>
      </c>
      <c r="T836" s="208">
        <f>IFERROR(__xludf.DUMMYFUNCTION("""COMPUTED_VALUE"""),3.0)</f>
        <v>3</v>
      </c>
      <c r="U836" s="275">
        <f>IFERROR(__xludf.DUMMYFUNCTION("""COMPUTED_VALUE"""),0.0)</f>
        <v>0</v>
      </c>
      <c r="V836" s="234" t="str">
        <f>IFERROR(__xludf.DUMMYFUNCTION("""COMPUTED_VALUE"""),"offline")</f>
        <v>offline</v>
      </c>
      <c r="W836" s="232" t="str">
        <f>IFERROR(__xludf.DUMMYFUNCTION("""COMPUTED_VALUE"""),"simple")</f>
        <v>simple</v>
      </c>
      <c r="X836" s="232" t="str">
        <f>IFERROR(__xludf.DUMMYFUNCTION("""COMPUTED_VALUE"""),"City Specific")</f>
        <v>City Specific</v>
      </c>
      <c r="Y836" s="232" t="str">
        <f>IFERROR(__xludf.DUMMYFUNCTION("""COMPUTED_VALUE"""),"5-7 June")</f>
        <v>5-7 June</v>
      </c>
      <c r="Z836" s="232" t="str">
        <f>IFERROR(__xludf.DUMMYFUNCTION("""COMPUTED_VALUE"""),"6a1d6bf008e7462cc219ac40")</f>
        <v>6a1d6bf008e7462cc219ac40</v>
      </c>
      <c r="AA836" s="277">
        <f>IFERROR(__xludf.DUMMYFUNCTION("""COMPUTED_VALUE"""),17.0)</f>
        <v>17</v>
      </c>
      <c r="AB836" s="277"/>
      <c r="AC836" s="277">
        <f>IFERROR(__xludf.DUMMYFUNCTION("""COMPUTED_VALUE"""),17.0)</f>
        <v>17</v>
      </c>
      <c r="AD836" s="277">
        <f>IFERROR(__xludf.DUMMYFUNCTION("""COMPUTED_VALUE"""),83860.0)</f>
        <v>83860</v>
      </c>
      <c r="AE836" s="277"/>
      <c r="AF836" s="277">
        <f>IFERROR(__xludf.DUMMYFUNCTION("""COMPUTED_VALUE"""),83860.0)</f>
        <v>83860</v>
      </c>
      <c r="AG836" s="208"/>
      <c r="AH836" s="208"/>
      <c r="AI836" s="208"/>
      <c r="AJ836" s="208"/>
      <c r="AK836" s="208"/>
    </row>
    <row r="837" hidden="1">
      <c r="A837" s="288">
        <f>IFERROR(__xludf.DUMMYFUNCTION("""COMPUTED_VALUE"""),46178.0)</f>
        <v>46178</v>
      </c>
      <c r="B837" s="274">
        <f>IFERROR(__xludf.DUMMYFUNCTION("""COMPUTED_VALUE"""),0.4583333333321207)</f>
        <v>0.4583333333</v>
      </c>
      <c r="C837" s="208" t="str">
        <f>IFERROR(__xludf.DUMMYFUNCTION("""COMPUTED_VALUE"""),"Whatsapp")</f>
        <v>Whatsapp</v>
      </c>
      <c r="D837" s="208" t="str">
        <f>IFERROR(__xludf.DUMMYFUNCTION("""COMPUTED_VALUE"""),"Promotional")</f>
        <v>Promotional</v>
      </c>
      <c r="E837" s="208" t="str">
        <f>IFERROR(__xludf.DUMMYFUNCTION("""COMPUTED_VALUE"""),"BBW")</f>
        <v>BBW</v>
      </c>
      <c r="F837" s="208" t="str">
        <f>IFERROR(__xludf.DUMMYFUNCTION("""COMPUTED_VALUE"""),"B2G2 - June'26 - Entire Store")</f>
        <v>B2G2 - June'26 - Entire Store</v>
      </c>
      <c r="G837" s="208" t="str">
        <f>IFERROR(__xludf.DUMMYFUNCTION("""COMPUTED_VALUE"""),"bbw_wa_b2g2_5june_active_ggn_offline")</f>
        <v>bbw_wa_b2g2_5june_active_ggn_offline</v>
      </c>
      <c r="H837" s="232" t="str">
        <f>IFERROR(__xludf.DUMMYFUNCTION("""COMPUTED_VALUE"""),"BBW_OFF_GGN_Active")</f>
        <v>BBW_OFF_GGN_Active</v>
      </c>
      <c r="I837" s="233" t="str">
        <f>IFERROR(__xludf.DUMMYFUNCTION("""COMPUTED_VALUE"""),"All Offline Customers who have purchased at least 1 time from Txn_City GGN in the last 112 days (TTR)")</f>
        <v>All Offline Customers who have purchased at least 1 time from Txn_City GGN in the last 112 days (TTR)</v>
      </c>
      <c r="J837" s="275">
        <f>IFERROR(__xludf.DUMMYFUNCTION("""COMPUTED_VALUE"""),4565.0)</f>
        <v>4565</v>
      </c>
      <c r="K837" s="275">
        <f>IFERROR(__xludf.DUMMYFUNCTION("""COMPUTED_VALUE"""),2300.0)</f>
        <v>2300</v>
      </c>
      <c r="L837" s="276">
        <f>IFERROR(__xludf.DUMMYFUNCTION("""COMPUTED_VALUE"""),0.4859)</f>
        <v>0.4859</v>
      </c>
      <c r="M837" s="275">
        <f>IFERROR(__xludf.DUMMYFUNCTION("""COMPUTED_VALUE"""),839.0)</f>
        <v>839</v>
      </c>
      <c r="N837" s="276">
        <f>IFERROR(__xludf.DUMMYFUNCTION("""COMPUTED_VALUE"""),0.3711)</f>
        <v>0.3711</v>
      </c>
      <c r="O837" s="208">
        <f>IFERROR(__xludf.DUMMYFUNCTION("""COMPUTED_VALUE"""),115.0)</f>
        <v>115</v>
      </c>
      <c r="P837" s="208">
        <f>IFERROR(__xludf.DUMMYFUNCTION("""COMPUTED_VALUE"""),107.0)</f>
        <v>107</v>
      </c>
      <c r="Q837" s="276">
        <f>IFERROR(__xludf.DUMMYFUNCTION("""COMPUTED_VALUE"""),0.0482)</f>
        <v>0.0482</v>
      </c>
      <c r="R837" s="276">
        <f>IFERROR(__xludf.DUMMYFUNCTION("""COMPUTED_VALUE"""),0.13)</f>
        <v>0.13</v>
      </c>
      <c r="S837" s="208">
        <f>IFERROR(__xludf.DUMMYFUNCTION("""COMPUTED_VALUE"""),0.0)</f>
        <v>0</v>
      </c>
      <c r="T837" s="208">
        <f>IFERROR(__xludf.DUMMYFUNCTION("""COMPUTED_VALUE"""),2.0)</f>
        <v>2</v>
      </c>
      <c r="U837" s="275">
        <f>IFERROR(__xludf.DUMMYFUNCTION("""COMPUTED_VALUE"""),0.0)</f>
        <v>0</v>
      </c>
      <c r="V837" s="234" t="str">
        <f>IFERROR(__xludf.DUMMYFUNCTION("""COMPUTED_VALUE"""),"offline")</f>
        <v>offline</v>
      </c>
      <c r="W837" s="232" t="str">
        <f>IFERROR(__xludf.DUMMYFUNCTION("""COMPUTED_VALUE"""),"simple")</f>
        <v>simple</v>
      </c>
      <c r="X837" s="232" t="str">
        <f>IFERROR(__xludf.DUMMYFUNCTION("""COMPUTED_VALUE"""),"City Specific")</f>
        <v>City Specific</v>
      </c>
      <c r="Y837" s="232" t="str">
        <f>IFERROR(__xludf.DUMMYFUNCTION("""COMPUTED_VALUE"""),"5-7 June")</f>
        <v>5-7 June</v>
      </c>
      <c r="Z837" s="232" t="str">
        <f>IFERROR(__xludf.DUMMYFUNCTION("""COMPUTED_VALUE"""),"6a1d6c22d090927829b0662b")</f>
        <v>6a1d6c22d090927829b0662b</v>
      </c>
      <c r="AA837" s="277">
        <f>IFERROR(__xludf.DUMMYFUNCTION("""COMPUTED_VALUE"""),11.0)</f>
        <v>11</v>
      </c>
      <c r="AB837" s="277"/>
      <c r="AC837" s="277">
        <f>IFERROR(__xludf.DUMMYFUNCTION("""COMPUTED_VALUE"""),11.0)</f>
        <v>11</v>
      </c>
      <c r="AD837" s="277">
        <f>IFERROR(__xludf.DUMMYFUNCTION("""COMPUTED_VALUE"""),54474.0)</f>
        <v>54474</v>
      </c>
      <c r="AE837" s="277"/>
      <c r="AF837" s="277">
        <f>IFERROR(__xludf.DUMMYFUNCTION("""COMPUTED_VALUE"""),54474.0)</f>
        <v>54474</v>
      </c>
      <c r="AG837" s="208"/>
      <c r="AH837" s="208"/>
      <c r="AI837" s="208"/>
      <c r="AJ837" s="208"/>
      <c r="AK837" s="208"/>
    </row>
    <row r="838" hidden="1">
      <c r="A838" s="288">
        <f>IFERROR(__xludf.DUMMYFUNCTION("""COMPUTED_VALUE"""),46178.0)</f>
        <v>46178</v>
      </c>
      <c r="B838" s="274">
        <f>IFERROR(__xludf.DUMMYFUNCTION("""COMPUTED_VALUE"""),0.4583333333321207)</f>
        <v>0.4583333333</v>
      </c>
      <c r="C838" s="208" t="str">
        <f>IFERROR(__xludf.DUMMYFUNCTION("""COMPUTED_VALUE"""),"Whatsapp")</f>
        <v>Whatsapp</v>
      </c>
      <c r="D838" s="208" t="str">
        <f>IFERROR(__xludf.DUMMYFUNCTION("""COMPUTED_VALUE"""),"Promotional")</f>
        <v>Promotional</v>
      </c>
      <c r="E838" s="208" t="str">
        <f>IFERROR(__xludf.DUMMYFUNCTION("""COMPUTED_VALUE"""),"BBW")</f>
        <v>BBW</v>
      </c>
      <c r="F838" s="208" t="str">
        <f>IFERROR(__xludf.DUMMYFUNCTION("""COMPUTED_VALUE"""),"B2G2 - June'26 - Entire Store")</f>
        <v>B2G2 - June'26 - Entire Store</v>
      </c>
      <c r="G838" s="208" t="str">
        <f>IFERROR(__xludf.DUMMYFUNCTION("""COMPUTED_VALUE"""),"bbw_wa_b2g2_5june_active_noida_offline")</f>
        <v>bbw_wa_b2g2_5june_active_noida_offline</v>
      </c>
      <c r="H838" s="232" t="str">
        <f>IFERROR(__xludf.DUMMYFUNCTION("""COMPUTED_VALUE"""),"BBW_OFF_NOIDA_Active")</f>
        <v>BBW_OFF_NOIDA_Active</v>
      </c>
      <c r="I838" s="233" t="str">
        <f>IFERROR(__xludf.DUMMYFUNCTION("""COMPUTED_VALUE"""),"All Offline Customers who have purchased at least 1 time from Txn_City NOIDA in the last 112 days (TTR)")</f>
        <v>All Offline Customers who have purchased at least 1 time from Txn_City NOIDA in the last 112 days (TTR)</v>
      </c>
      <c r="J838" s="275">
        <f>IFERROR(__xludf.DUMMYFUNCTION("""COMPUTED_VALUE"""),6881.0)</f>
        <v>6881</v>
      </c>
      <c r="K838" s="275">
        <f>IFERROR(__xludf.DUMMYFUNCTION("""COMPUTED_VALUE"""),3690.0)</f>
        <v>3690</v>
      </c>
      <c r="L838" s="276">
        <f>IFERROR(__xludf.DUMMYFUNCTION("""COMPUTED_VALUE"""),0.5355)</f>
        <v>0.5355</v>
      </c>
      <c r="M838" s="275">
        <f>IFERROR(__xludf.DUMMYFUNCTION("""COMPUTED_VALUE"""),1405.0)</f>
        <v>1405</v>
      </c>
      <c r="N838" s="276">
        <f>IFERROR(__xludf.DUMMYFUNCTION("""COMPUTED_VALUE"""),0.3777)</f>
        <v>0.3777</v>
      </c>
      <c r="O838" s="208">
        <f>IFERROR(__xludf.DUMMYFUNCTION("""COMPUTED_VALUE"""),155.0)</f>
        <v>155</v>
      </c>
      <c r="P838" s="208">
        <f>IFERROR(__xludf.DUMMYFUNCTION("""COMPUTED_VALUE"""),149.0)</f>
        <v>149</v>
      </c>
      <c r="Q838" s="276">
        <f>IFERROR(__xludf.DUMMYFUNCTION("""COMPUTED_VALUE"""),0.0404)</f>
        <v>0.0404</v>
      </c>
      <c r="R838" s="276">
        <f>IFERROR(__xludf.DUMMYFUNCTION("""COMPUTED_VALUE"""),0.107)</f>
        <v>0.107</v>
      </c>
      <c r="S838" s="208">
        <f>IFERROR(__xludf.DUMMYFUNCTION("""COMPUTED_VALUE"""),2.0)</f>
        <v>2</v>
      </c>
      <c r="T838" s="208">
        <f>IFERROR(__xludf.DUMMYFUNCTION("""COMPUTED_VALUE"""),7.0)</f>
        <v>7</v>
      </c>
      <c r="U838" s="275">
        <f>IFERROR(__xludf.DUMMYFUNCTION("""COMPUTED_VALUE"""),9732.0)</f>
        <v>9732</v>
      </c>
      <c r="V838" s="234" t="str">
        <f>IFERROR(__xludf.DUMMYFUNCTION("""COMPUTED_VALUE"""),"offline")</f>
        <v>offline</v>
      </c>
      <c r="W838" s="232" t="str">
        <f>IFERROR(__xludf.DUMMYFUNCTION("""COMPUTED_VALUE"""),"simple")</f>
        <v>simple</v>
      </c>
      <c r="X838" s="232" t="str">
        <f>IFERROR(__xludf.DUMMYFUNCTION("""COMPUTED_VALUE"""),"City Specific")</f>
        <v>City Specific</v>
      </c>
      <c r="Y838" s="232" t="str">
        <f>IFERROR(__xludf.DUMMYFUNCTION("""COMPUTED_VALUE"""),"5-7 June")</f>
        <v>5-7 June</v>
      </c>
      <c r="Z838" s="232" t="str">
        <f>IFERROR(__xludf.DUMMYFUNCTION("""COMPUTED_VALUE"""),"6a1d6c67c4c26cbb59108421")</f>
        <v>6a1d6c67c4c26cbb59108421</v>
      </c>
      <c r="AA838" s="277">
        <f>IFERROR(__xludf.DUMMYFUNCTION("""COMPUTED_VALUE"""),27.0)</f>
        <v>27</v>
      </c>
      <c r="AB838" s="277"/>
      <c r="AC838" s="277">
        <f>IFERROR(__xludf.DUMMYFUNCTION("""COMPUTED_VALUE"""),27.0)</f>
        <v>27</v>
      </c>
      <c r="AD838" s="277">
        <f>IFERROR(__xludf.DUMMYFUNCTION("""COMPUTED_VALUE"""),122424.0)</f>
        <v>122424</v>
      </c>
      <c r="AE838" s="277"/>
      <c r="AF838" s="277">
        <f>IFERROR(__xludf.DUMMYFUNCTION("""COMPUTED_VALUE"""),122424.0)</f>
        <v>122424</v>
      </c>
      <c r="AG838" s="208"/>
      <c r="AH838" s="208"/>
      <c r="AI838" s="208"/>
      <c r="AJ838" s="208"/>
      <c r="AK838" s="208"/>
    </row>
    <row r="839" hidden="1">
      <c r="A839" s="288">
        <f>IFERROR(__xludf.DUMMYFUNCTION("""COMPUTED_VALUE"""),46178.0)</f>
        <v>46178</v>
      </c>
      <c r="B839" s="274">
        <f>IFERROR(__xludf.DUMMYFUNCTION("""COMPUTED_VALUE"""),0.4583333333321207)</f>
        <v>0.4583333333</v>
      </c>
      <c r="C839" s="208" t="str">
        <f>IFERROR(__xludf.DUMMYFUNCTION("""COMPUTED_VALUE"""),"Whatsapp")</f>
        <v>Whatsapp</v>
      </c>
      <c r="D839" s="208" t="str">
        <f>IFERROR(__xludf.DUMMYFUNCTION("""COMPUTED_VALUE"""),"Promotional")</f>
        <v>Promotional</v>
      </c>
      <c r="E839" s="208" t="str">
        <f>IFERROR(__xludf.DUMMYFUNCTION("""COMPUTED_VALUE"""),"BBW")</f>
        <v>BBW</v>
      </c>
      <c r="F839" s="208" t="str">
        <f>IFERROR(__xludf.DUMMYFUNCTION("""COMPUTED_VALUE"""),"B2G2 - June'26 - Entire Store")</f>
        <v>B2G2 - June'26 - Entire Store</v>
      </c>
      <c r="G839" s="208" t="str">
        <f>IFERROR(__xludf.DUMMYFUNCTION("""COMPUTED_VALUE"""),"bbw_wa_b2g2_5june_active_thane_offline")</f>
        <v>bbw_wa_b2g2_5june_active_thane_offline</v>
      </c>
      <c r="H839" s="232" t="str">
        <f>IFERROR(__xludf.DUMMYFUNCTION("""COMPUTED_VALUE"""),"BBW_OFF_THANE_Active")</f>
        <v>BBW_OFF_THANE_Active</v>
      </c>
      <c r="I839" s="233" t="str">
        <f>IFERROR(__xludf.DUMMYFUNCTION("""COMPUTED_VALUE"""),"All Offline Customers who have purchased at least 1 time from Txn_City THANE in the last 112 days (TTR)")</f>
        <v>All Offline Customers who have purchased at least 1 time from Txn_City THANE in the last 112 days (TTR)</v>
      </c>
      <c r="J839" s="275">
        <f>IFERROR(__xludf.DUMMYFUNCTION("""COMPUTED_VALUE"""),3105.0)</f>
        <v>3105</v>
      </c>
      <c r="K839" s="275">
        <f>IFERROR(__xludf.DUMMYFUNCTION("""COMPUTED_VALUE"""),1633.0)</f>
        <v>1633</v>
      </c>
      <c r="L839" s="276">
        <f>IFERROR(__xludf.DUMMYFUNCTION("""COMPUTED_VALUE"""),0.525)</f>
        <v>0.525</v>
      </c>
      <c r="M839" s="275">
        <f>IFERROR(__xludf.DUMMYFUNCTION("""COMPUTED_VALUE"""),718.0)</f>
        <v>718</v>
      </c>
      <c r="N839" s="276">
        <f>IFERROR(__xludf.DUMMYFUNCTION("""COMPUTED_VALUE"""),0.4368)</f>
        <v>0.4368</v>
      </c>
      <c r="O839" s="208">
        <f>IFERROR(__xludf.DUMMYFUNCTION("""COMPUTED_VALUE"""),82.0)</f>
        <v>82</v>
      </c>
      <c r="P839" s="208">
        <f>IFERROR(__xludf.DUMMYFUNCTION("""COMPUTED_VALUE"""),79.0)</f>
        <v>79</v>
      </c>
      <c r="Q839" s="276">
        <f>IFERROR(__xludf.DUMMYFUNCTION("""COMPUTED_VALUE"""),0.0485)</f>
        <v>0.0485</v>
      </c>
      <c r="R839" s="276">
        <f>IFERROR(__xludf.DUMMYFUNCTION("""COMPUTED_VALUE"""),0.111)</f>
        <v>0.111</v>
      </c>
      <c r="S839" s="208">
        <f>IFERROR(__xludf.DUMMYFUNCTION("""COMPUTED_VALUE"""),0.0)</f>
        <v>0</v>
      </c>
      <c r="T839" s="208">
        <f>IFERROR(__xludf.DUMMYFUNCTION("""COMPUTED_VALUE"""),3.0)</f>
        <v>3</v>
      </c>
      <c r="U839" s="275">
        <f>IFERROR(__xludf.DUMMYFUNCTION("""COMPUTED_VALUE"""),0.0)</f>
        <v>0</v>
      </c>
      <c r="V839" s="234" t="str">
        <f>IFERROR(__xludf.DUMMYFUNCTION("""COMPUTED_VALUE"""),"offline")</f>
        <v>offline</v>
      </c>
      <c r="W839" s="232" t="str">
        <f>IFERROR(__xludf.DUMMYFUNCTION("""COMPUTED_VALUE"""),"simple")</f>
        <v>simple</v>
      </c>
      <c r="X839" s="232" t="str">
        <f>IFERROR(__xludf.DUMMYFUNCTION("""COMPUTED_VALUE"""),"City Specific")</f>
        <v>City Specific</v>
      </c>
      <c r="Y839" s="232" t="str">
        <f>IFERROR(__xludf.DUMMYFUNCTION("""COMPUTED_VALUE"""),"5-7 June")</f>
        <v>5-7 June</v>
      </c>
      <c r="Z839" s="232" t="str">
        <f>IFERROR(__xludf.DUMMYFUNCTION("""COMPUTED_VALUE"""),"6a1d6ca50cc7746a7caa5c4a")</f>
        <v>6a1d6ca50cc7746a7caa5c4a</v>
      </c>
      <c r="AA839" s="277">
        <f>IFERROR(__xludf.DUMMYFUNCTION("""COMPUTED_VALUE"""),8.0)</f>
        <v>8</v>
      </c>
      <c r="AB839" s="277"/>
      <c r="AC839" s="277">
        <f>IFERROR(__xludf.DUMMYFUNCTION("""COMPUTED_VALUE"""),8.0)</f>
        <v>8</v>
      </c>
      <c r="AD839" s="277">
        <f>IFERROR(__xludf.DUMMYFUNCTION("""COMPUTED_VALUE"""),33078.0)</f>
        <v>33078</v>
      </c>
      <c r="AE839" s="277"/>
      <c r="AF839" s="277">
        <f>IFERROR(__xludf.DUMMYFUNCTION("""COMPUTED_VALUE"""),33078.0)</f>
        <v>33078</v>
      </c>
      <c r="AG839" s="208"/>
      <c r="AH839" s="208"/>
      <c r="AI839" s="208"/>
      <c r="AJ839" s="208"/>
      <c r="AK839" s="208"/>
    </row>
    <row r="840" hidden="1">
      <c r="A840" s="288">
        <f>IFERROR(__xludf.DUMMYFUNCTION("""COMPUTED_VALUE"""),46178.0)</f>
        <v>46178</v>
      </c>
      <c r="B840" s="274">
        <f>IFERROR(__xludf.DUMMYFUNCTION("""COMPUTED_VALUE"""),0.4583333333321207)</f>
        <v>0.4583333333</v>
      </c>
      <c r="C840" s="208" t="str">
        <f>IFERROR(__xludf.DUMMYFUNCTION("""COMPUTED_VALUE"""),"Whatsapp")</f>
        <v>Whatsapp</v>
      </c>
      <c r="D840" s="208" t="str">
        <f>IFERROR(__xludf.DUMMYFUNCTION("""COMPUTED_VALUE"""),"Promotional")</f>
        <v>Promotional</v>
      </c>
      <c r="E840" s="208" t="str">
        <f>IFERROR(__xludf.DUMMYFUNCTION("""COMPUTED_VALUE"""),"BBW")</f>
        <v>BBW</v>
      </c>
      <c r="F840" s="208" t="str">
        <f>IFERROR(__xludf.DUMMYFUNCTION("""COMPUTED_VALUE"""),"B2G2 - June'26 - Entire Store")</f>
        <v>B2G2 - June'26 - Entire Store</v>
      </c>
      <c r="G840" s="208" t="str">
        <f>IFERROR(__xludf.DUMMYFUNCTION("""COMPUTED_VALUE"""),"bbw_wa_b2g2_5june_active_vad_offline")</f>
        <v>bbw_wa_b2g2_5june_active_vad_offline</v>
      </c>
      <c r="H840" s="232" t="str">
        <f>IFERROR(__xludf.DUMMYFUNCTION("""COMPUTED_VALUE"""),"BBW_OFF_Vadodara_Active")</f>
        <v>BBW_OFF_Vadodara_Active</v>
      </c>
      <c r="I840" s="233" t="str">
        <f>IFERROR(__xludf.DUMMYFUNCTION("""COMPUTED_VALUE"""),"All Offline Customers who have purchased at least 1 time from Txn_City VADODARA in the last 112 days (TTR)")</f>
        <v>All Offline Customers who have purchased at least 1 time from Txn_City VADODARA in the last 112 days (TTR)</v>
      </c>
      <c r="J840" s="275">
        <f>IFERROR(__xludf.DUMMYFUNCTION("""COMPUTED_VALUE"""),2140.0)</f>
        <v>2140</v>
      </c>
      <c r="K840" s="275">
        <f>IFERROR(__xludf.DUMMYFUNCTION("""COMPUTED_VALUE"""),1264.0)</f>
        <v>1264</v>
      </c>
      <c r="L840" s="276">
        <f>IFERROR(__xludf.DUMMYFUNCTION("""COMPUTED_VALUE"""),0.5743)</f>
        <v>0.5743</v>
      </c>
      <c r="M840" s="275">
        <f>IFERROR(__xludf.DUMMYFUNCTION("""COMPUTED_VALUE"""),670.0)</f>
        <v>670</v>
      </c>
      <c r="N840" s="276">
        <f>IFERROR(__xludf.DUMMYFUNCTION("""COMPUTED_VALUE"""),0.5395)</f>
        <v>0.5395</v>
      </c>
      <c r="O840" s="208">
        <f>IFERROR(__xludf.DUMMYFUNCTION("""COMPUTED_VALUE"""),70.0)</f>
        <v>70</v>
      </c>
      <c r="P840" s="208">
        <f>IFERROR(__xludf.DUMMYFUNCTION("""COMPUTED_VALUE"""),66.0)</f>
        <v>66</v>
      </c>
      <c r="Q840" s="276">
        <f>IFERROR(__xludf.DUMMYFUNCTION("""COMPUTED_VALUE"""),0.0537)</f>
        <v>0.0537</v>
      </c>
      <c r="R840" s="276">
        <f>IFERROR(__xludf.DUMMYFUNCTION("""COMPUTED_VALUE"""),0.0995)</f>
        <v>0.0995</v>
      </c>
      <c r="S840" s="208">
        <f>IFERROR(__xludf.DUMMYFUNCTION("""COMPUTED_VALUE"""),0.0)</f>
        <v>0</v>
      </c>
      <c r="T840" s="208">
        <f>IFERROR(__xludf.DUMMYFUNCTION("""COMPUTED_VALUE"""),0.0)</f>
        <v>0</v>
      </c>
      <c r="U840" s="275">
        <f>IFERROR(__xludf.DUMMYFUNCTION("""COMPUTED_VALUE"""),0.0)</f>
        <v>0</v>
      </c>
      <c r="V840" s="234" t="str">
        <f>IFERROR(__xludf.DUMMYFUNCTION("""COMPUTED_VALUE"""),"offline")</f>
        <v>offline</v>
      </c>
      <c r="W840" s="232" t="str">
        <f>IFERROR(__xludf.DUMMYFUNCTION("""COMPUTED_VALUE"""),"simple")</f>
        <v>simple</v>
      </c>
      <c r="X840" s="232" t="str">
        <f>IFERROR(__xludf.DUMMYFUNCTION("""COMPUTED_VALUE"""),"City Specific")</f>
        <v>City Specific</v>
      </c>
      <c r="Y840" s="232" t="str">
        <f>IFERROR(__xludf.DUMMYFUNCTION("""COMPUTED_VALUE"""),"5-7 June")</f>
        <v>5-7 June</v>
      </c>
      <c r="Z840" s="232" t="str">
        <f>IFERROR(__xludf.DUMMYFUNCTION("""COMPUTED_VALUE"""),"6a1d6cf497f20d8d60d929a1")</f>
        <v>6a1d6cf497f20d8d60d929a1</v>
      </c>
      <c r="AA840" s="277">
        <f>IFERROR(__xludf.DUMMYFUNCTION("""COMPUTED_VALUE"""),12.0)</f>
        <v>12</v>
      </c>
      <c r="AB840" s="277"/>
      <c r="AC840" s="277">
        <f>IFERROR(__xludf.DUMMYFUNCTION("""COMPUTED_VALUE"""),12.0)</f>
        <v>12</v>
      </c>
      <c r="AD840" s="277">
        <f>IFERROR(__xludf.DUMMYFUNCTION("""COMPUTED_VALUE"""),58272.0)</f>
        <v>58272</v>
      </c>
      <c r="AE840" s="277"/>
      <c r="AF840" s="277">
        <f>IFERROR(__xludf.DUMMYFUNCTION("""COMPUTED_VALUE"""),58272.0)</f>
        <v>58272</v>
      </c>
      <c r="AG840" s="208"/>
      <c r="AH840" s="208"/>
      <c r="AI840" s="208"/>
      <c r="AJ840" s="208"/>
      <c r="AK840" s="208"/>
    </row>
    <row r="841" hidden="1">
      <c r="A841" s="288">
        <f>IFERROR(__xludf.DUMMYFUNCTION("""COMPUTED_VALUE"""),46178.0)</f>
        <v>46178</v>
      </c>
      <c r="B841" s="274">
        <f>IFERROR(__xludf.DUMMYFUNCTION("""COMPUTED_VALUE"""),0.4583333333321207)</f>
        <v>0.4583333333</v>
      </c>
      <c r="C841" s="208" t="str">
        <f>IFERROR(__xludf.DUMMYFUNCTION("""COMPUTED_VALUE"""),"Whatsapp")</f>
        <v>Whatsapp</v>
      </c>
      <c r="D841" s="208" t="str">
        <f>IFERROR(__xludf.DUMMYFUNCTION("""COMPUTED_VALUE"""),"Promotional")</f>
        <v>Promotional</v>
      </c>
      <c r="E841" s="208" t="str">
        <f>IFERROR(__xludf.DUMMYFUNCTION("""COMPUTED_VALUE"""),"BBW")</f>
        <v>BBW</v>
      </c>
      <c r="F841" s="208" t="str">
        <f>IFERROR(__xludf.DUMMYFUNCTION("""COMPUTED_VALUE"""),"B2G2 - June'26 - Entire Store")</f>
        <v>B2G2 - June'26 - Entire Store</v>
      </c>
      <c r="G841" s="208" t="str">
        <f>IFERROR(__xludf.DUMMYFUNCTION("""COMPUTED_VALUE"""),"bbw_wa_b2g2_5june_active_kochi_offline")</f>
        <v>bbw_wa_b2g2_5june_active_kochi_offline</v>
      </c>
      <c r="H841" s="232" t="str">
        <f>IFERROR(__xludf.DUMMYFUNCTION("""COMPUTED_VALUE"""),"BBW_OFF_KOCHI_Active")</f>
        <v>BBW_OFF_KOCHI_Active</v>
      </c>
      <c r="I841" s="233" t="str">
        <f>IFERROR(__xludf.DUMMYFUNCTION("""COMPUTED_VALUE"""),"All Offline Customers who have purchased at least 1 time from Txn_City KOCHI in the last 112 days (TTR)")</f>
        <v>All Offline Customers who have purchased at least 1 time from Txn_City KOCHI in the last 112 days (TTR)</v>
      </c>
      <c r="J841" s="275">
        <f>IFERROR(__xludf.DUMMYFUNCTION("""COMPUTED_VALUE"""),4153.0)</f>
        <v>4153</v>
      </c>
      <c r="K841" s="275">
        <f>IFERROR(__xludf.DUMMYFUNCTION("""COMPUTED_VALUE"""),2409.0)</f>
        <v>2409</v>
      </c>
      <c r="L841" s="276">
        <f>IFERROR(__xludf.DUMMYFUNCTION("""COMPUTED_VALUE"""),0.5793)</f>
        <v>0.5793</v>
      </c>
      <c r="M841" s="275">
        <f>IFERROR(__xludf.DUMMYFUNCTION("""COMPUTED_VALUE"""),1129.0)</f>
        <v>1129</v>
      </c>
      <c r="N841" s="276">
        <f>IFERROR(__xludf.DUMMYFUNCTION("""COMPUTED_VALUE"""),0.4655)</f>
        <v>0.4655</v>
      </c>
      <c r="O841" s="208">
        <f>IFERROR(__xludf.DUMMYFUNCTION("""COMPUTED_VALUE"""),158.0)</f>
        <v>158</v>
      </c>
      <c r="P841" s="208">
        <f>IFERROR(__xludf.DUMMYFUNCTION("""COMPUTED_VALUE"""),151.0)</f>
        <v>151</v>
      </c>
      <c r="Q841" s="276">
        <f>IFERROR(__xludf.DUMMYFUNCTION("""COMPUTED_VALUE"""),0.0628)</f>
        <v>0.0628</v>
      </c>
      <c r="R841" s="276">
        <f>IFERROR(__xludf.DUMMYFUNCTION("""COMPUTED_VALUE"""),0.1348)</f>
        <v>0.1348</v>
      </c>
      <c r="S841" s="208">
        <f>IFERROR(__xludf.DUMMYFUNCTION("""COMPUTED_VALUE"""),0.0)</f>
        <v>0</v>
      </c>
      <c r="T841" s="208">
        <f>IFERROR(__xludf.DUMMYFUNCTION("""COMPUTED_VALUE"""),2.0)</f>
        <v>2</v>
      </c>
      <c r="U841" s="275">
        <f>IFERROR(__xludf.DUMMYFUNCTION("""COMPUTED_VALUE"""),0.0)</f>
        <v>0</v>
      </c>
      <c r="V841" s="234" t="str">
        <f>IFERROR(__xludf.DUMMYFUNCTION("""COMPUTED_VALUE"""),"offline")</f>
        <v>offline</v>
      </c>
      <c r="W841" s="232" t="str">
        <f>IFERROR(__xludf.DUMMYFUNCTION("""COMPUTED_VALUE"""),"simple")</f>
        <v>simple</v>
      </c>
      <c r="X841" s="232" t="str">
        <f>IFERROR(__xludf.DUMMYFUNCTION("""COMPUTED_VALUE"""),"City Specific")</f>
        <v>City Specific</v>
      </c>
      <c r="Y841" s="232" t="str">
        <f>IFERROR(__xludf.DUMMYFUNCTION("""COMPUTED_VALUE"""),"5-7 June")</f>
        <v>5-7 June</v>
      </c>
      <c r="Z841" s="232" t="str">
        <f>IFERROR(__xludf.DUMMYFUNCTION("""COMPUTED_VALUE"""),"6a1d6d3f277a43d4ccee7ba8")</f>
        <v>6a1d6d3f277a43d4ccee7ba8</v>
      </c>
      <c r="AA841" s="277">
        <f>IFERROR(__xludf.DUMMYFUNCTION("""COMPUTED_VALUE"""),11.0)</f>
        <v>11</v>
      </c>
      <c r="AB841" s="277"/>
      <c r="AC841" s="277">
        <f>IFERROR(__xludf.DUMMYFUNCTION("""COMPUTED_VALUE"""),11.0)</f>
        <v>11</v>
      </c>
      <c r="AD841" s="277">
        <f>IFERROR(__xludf.DUMMYFUNCTION("""COMPUTED_VALUE"""),60376.0)</f>
        <v>60376</v>
      </c>
      <c r="AE841" s="277"/>
      <c r="AF841" s="277">
        <f>IFERROR(__xludf.DUMMYFUNCTION("""COMPUTED_VALUE"""),60376.0)</f>
        <v>60376</v>
      </c>
      <c r="AG841" s="208"/>
      <c r="AH841" s="208"/>
      <c r="AI841" s="208"/>
      <c r="AJ841" s="208"/>
      <c r="AK841" s="208"/>
    </row>
    <row r="842" hidden="1">
      <c r="A842" s="288">
        <f>IFERROR(__xludf.DUMMYFUNCTION("""COMPUTED_VALUE"""),46178.0)</f>
        <v>46178</v>
      </c>
      <c r="B842" s="274">
        <f>IFERROR(__xludf.DUMMYFUNCTION("""COMPUTED_VALUE"""),0.4583333333321207)</f>
        <v>0.4583333333</v>
      </c>
      <c r="C842" s="208" t="str">
        <f>IFERROR(__xludf.DUMMYFUNCTION("""COMPUTED_VALUE"""),"Whatsapp")</f>
        <v>Whatsapp</v>
      </c>
      <c r="D842" s="208" t="str">
        <f>IFERROR(__xludf.DUMMYFUNCTION("""COMPUTED_VALUE"""),"Promotional")</f>
        <v>Promotional</v>
      </c>
      <c r="E842" s="208" t="str">
        <f>IFERROR(__xludf.DUMMYFUNCTION("""COMPUTED_VALUE"""),"BBW")</f>
        <v>BBW</v>
      </c>
      <c r="F842" s="208" t="str">
        <f>IFERROR(__xludf.DUMMYFUNCTION("""COMPUTED_VALUE"""),"B2G2 - June'26 - Entire Store")</f>
        <v>B2G2 - June'26 - Entire Store</v>
      </c>
      <c r="G842" s="208" t="str">
        <f>IFERROR(__xludf.DUMMYFUNCTION("""COMPUTED_VALUE"""),"bbw_wa_b2g2_5june_active_surat_offline")</f>
        <v>bbw_wa_b2g2_5june_active_surat_offline</v>
      </c>
      <c r="H842" s="232" t="str">
        <f>IFERROR(__xludf.DUMMYFUNCTION("""COMPUTED_VALUE"""),"BBW_OFF_Surat_Active")</f>
        <v>BBW_OFF_Surat_Active</v>
      </c>
      <c r="I842" s="233" t="str">
        <f>IFERROR(__xludf.DUMMYFUNCTION("""COMPUTED_VALUE"""),"All Offline Customers who have purchased at least 1 time from Txn_City SURAT in the last 112 days (TTR)")</f>
        <v>All Offline Customers who have purchased at least 1 time from Txn_City SURAT in the last 112 days (TTR)</v>
      </c>
      <c r="J842" s="275">
        <f>IFERROR(__xludf.DUMMYFUNCTION("""COMPUTED_VALUE"""),1519.0)</f>
        <v>1519</v>
      </c>
      <c r="K842" s="275">
        <f>IFERROR(__xludf.DUMMYFUNCTION("""COMPUTED_VALUE"""),927.0)</f>
        <v>927</v>
      </c>
      <c r="L842" s="276">
        <f>IFERROR(__xludf.DUMMYFUNCTION("""COMPUTED_VALUE"""),0.6076)</f>
        <v>0.6076</v>
      </c>
      <c r="M842" s="275">
        <f>IFERROR(__xludf.DUMMYFUNCTION("""COMPUTED_VALUE"""),506.0)</f>
        <v>506</v>
      </c>
      <c r="N842" s="276">
        <f>IFERROR(__xludf.DUMMYFUNCTION("""COMPUTED_VALUE"""),0.5395)</f>
        <v>0.5395</v>
      </c>
      <c r="O842" s="208">
        <f>IFERROR(__xludf.DUMMYFUNCTION("""COMPUTED_VALUE"""),70.0)</f>
        <v>70</v>
      </c>
      <c r="P842" s="208">
        <f>IFERROR(__xludf.DUMMYFUNCTION("""COMPUTED_VALUE"""),62.0)</f>
        <v>62</v>
      </c>
      <c r="Q842" s="276">
        <f>IFERROR(__xludf.DUMMYFUNCTION("""COMPUTED_VALUE"""),0.0672)</f>
        <v>0.0672</v>
      </c>
      <c r="R842" s="276">
        <f>IFERROR(__xludf.DUMMYFUNCTION("""COMPUTED_VALUE"""),0.1245)</f>
        <v>0.1245</v>
      </c>
      <c r="S842" s="208">
        <f>IFERROR(__xludf.DUMMYFUNCTION("""COMPUTED_VALUE"""),0.0)</f>
        <v>0</v>
      </c>
      <c r="T842" s="208">
        <f>IFERROR(__xludf.DUMMYFUNCTION("""COMPUTED_VALUE"""),2.0)</f>
        <v>2</v>
      </c>
      <c r="U842" s="275">
        <f>IFERROR(__xludf.DUMMYFUNCTION("""COMPUTED_VALUE"""),0.0)</f>
        <v>0</v>
      </c>
      <c r="V842" s="234" t="str">
        <f>IFERROR(__xludf.DUMMYFUNCTION("""COMPUTED_VALUE"""),"offline")</f>
        <v>offline</v>
      </c>
      <c r="W842" s="232" t="str">
        <f>IFERROR(__xludf.DUMMYFUNCTION("""COMPUTED_VALUE"""),"simple")</f>
        <v>simple</v>
      </c>
      <c r="X842" s="232" t="str">
        <f>IFERROR(__xludf.DUMMYFUNCTION("""COMPUTED_VALUE"""),"City Specific")</f>
        <v>City Specific</v>
      </c>
      <c r="Y842" s="232" t="str">
        <f>IFERROR(__xludf.DUMMYFUNCTION("""COMPUTED_VALUE"""),"5-7 June")</f>
        <v>5-7 June</v>
      </c>
      <c r="Z842" s="232" t="str">
        <f>IFERROR(__xludf.DUMMYFUNCTION("""COMPUTED_VALUE"""),"6a1d6d8bf20cd1a41c8ca184")</f>
        <v>6a1d6d8bf20cd1a41c8ca184</v>
      </c>
      <c r="AA842" s="277">
        <f>IFERROR(__xludf.DUMMYFUNCTION("""COMPUTED_VALUE"""),5.0)</f>
        <v>5</v>
      </c>
      <c r="AB842" s="277"/>
      <c r="AC842" s="277">
        <f>IFERROR(__xludf.DUMMYFUNCTION("""COMPUTED_VALUE"""),5.0)</f>
        <v>5</v>
      </c>
      <c r="AD842" s="277">
        <f>IFERROR(__xludf.DUMMYFUNCTION("""COMPUTED_VALUE"""),31782.0)</f>
        <v>31782</v>
      </c>
      <c r="AE842" s="277"/>
      <c r="AF842" s="277">
        <f>IFERROR(__xludf.DUMMYFUNCTION("""COMPUTED_VALUE"""),31782.0)</f>
        <v>31782</v>
      </c>
      <c r="AG842" s="208"/>
      <c r="AH842" s="208"/>
      <c r="AI842" s="208"/>
      <c r="AJ842" s="208"/>
      <c r="AK842" s="208"/>
    </row>
    <row r="843" hidden="1">
      <c r="A843" s="288">
        <f>IFERROR(__xludf.DUMMYFUNCTION("""COMPUTED_VALUE"""),46178.0)</f>
        <v>46178</v>
      </c>
      <c r="B843" s="274">
        <f>IFERROR(__xludf.DUMMYFUNCTION("""COMPUTED_VALUE"""),0.4583333333321207)</f>
        <v>0.4583333333</v>
      </c>
      <c r="C843" s="208" t="str">
        <f>IFERROR(__xludf.DUMMYFUNCTION("""COMPUTED_VALUE"""),"Whatsapp")</f>
        <v>Whatsapp</v>
      </c>
      <c r="D843" s="208" t="str">
        <f>IFERROR(__xludf.DUMMYFUNCTION("""COMPUTED_VALUE"""),"Promotional")</f>
        <v>Promotional</v>
      </c>
      <c r="E843" s="208" t="str">
        <f>IFERROR(__xludf.DUMMYFUNCTION("""COMPUTED_VALUE"""),"BBW")</f>
        <v>BBW</v>
      </c>
      <c r="F843" s="208" t="str">
        <f>IFERROR(__xludf.DUMMYFUNCTION("""COMPUTED_VALUE"""),"B2G2 - June'26 - Entire Store")</f>
        <v>B2G2 - June'26 - Entire Store</v>
      </c>
      <c r="G843" s="208" t="str">
        <f>IFERROR(__xludf.DUMMYFUNCTION("""COMPUTED_VALUE"""),"bbw_wa_b2g2_5june_dormant_del_offline")</f>
        <v>bbw_wa_b2g2_5june_dormant_del_offline</v>
      </c>
      <c r="H843" s="232" t="str">
        <f>IFERROR(__xludf.DUMMYFUNCTION("""COMPUTED_VALUE"""),"BBW_OFF_DEL_Dorm")</f>
        <v>BBW_OFF_DEL_Dorm</v>
      </c>
      <c r="I843" s="233" t="str">
        <f>IFERROR(__xludf.DUMMYFUNCTION("""COMPUTED_VALUE"""),"All Offline Customers who have purchased at least 1 time from Txn_City DEL in the last 365 days excluding TTR purchasers")</f>
        <v>All Offline Customers who have purchased at least 1 time from Txn_City DEL in the last 365 days excluding TTR purchasers</v>
      </c>
      <c r="J843" s="275">
        <f>IFERROR(__xludf.DUMMYFUNCTION("""COMPUTED_VALUE"""),34029.0)</f>
        <v>34029</v>
      </c>
      <c r="K843" s="275">
        <f>IFERROR(__xludf.DUMMYFUNCTION("""COMPUTED_VALUE"""),17400.0)</f>
        <v>17400</v>
      </c>
      <c r="L843" s="276">
        <f>IFERROR(__xludf.DUMMYFUNCTION("""COMPUTED_VALUE"""),0.5096)</f>
        <v>0.5096</v>
      </c>
      <c r="M843" s="275">
        <f>IFERROR(__xludf.DUMMYFUNCTION("""COMPUTED_VALUE"""),5692.0)</f>
        <v>5692</v>
      </c>
      <c r="N843" s="276">
        <f>IFERROR(__xludf.DUMMYFUNCTION("""COMPUTED_VALUE"""),0.3259)</f>
        <v>0.3259</v>
      </c>
      <c r="O843" s="208">
        <f>IFERROR(__xludf.DUMMYFUNCTION("""COMPUTED_VALUE"""),476.0)</f>
        <v>476</v>
      </c>
      <c r="P843" s="208">
        <f>IFERROR(__xludf.DUMMYFUNCTION("""COMPUTED_VALUE"""),454.0)</f>
        <v>454</v>
      </c>
      <c r="Q843" s="276">
        <f>IFERROR(__xludf.DUMMYFUNCTION("""COMPUTED_VALUE"""),0.0262)</f>
        <v>0.0262</v>
      </c>
      <c r="R843" s="276">
        <f>IFERROR(__xludf.DUMMYFUNCTION("""COMPUTED_VALUE"""),0.0803)</f>
        <v>0.0803</v>
      </c>
      <c r="S843" s="208">
        <f>IFERROR(__xludf.DUMMYFUNCTION("""COMPUTED_VALUE"""),4.0)</f>
        <v>4</v>
      </c>
      <c r="T843" s="208">
        <f>IFERROR(__xludf.DUMMYFUNCTION("""COMPUTED_VALUE"""),12.0)</f>
        <v>12</v>
      </c>
      <c r="U843" s="275">
        <f>IFERROR(__xludf.DUMMYFUNCTION("""COMPUTED_VALUE"""),13627.0)</f>
        <v>13627</v>
      </c>
      <c r="V843" s="234" t="str">
        <f>IFERROR(__xludf.DUMMYFUNCTION("""COMPUTED_VALUE"""),"offline")</f>
        <v>offline</v>
      </c>
      <c r="W843" s="232" t="str">
        <f>IFERROR(__xludf.DUMMYFUNCTION("""COMPUTED_VALUE"""),"simple")</f>
        <v>simple</v>
      </c>
      <c r="X843" s="232" t="str">
        <f>IFERROR(__xludf.DUMMYFUNCTION("""COMPUTED_VALUE"""),"City Specific")</f>
        <v>City Specific</v>
      </c>
      <c r="Y843" s="232" t="str">
        <f>IFERROR(__xludf.DUMMYFUNCTION("""COMPUTED_VALUE"""),"5-7 June")</f>
        <v>5-7 June</v>
      </c>
      <c r="Z843" s="232" t="str">
        <f>IFERROR(__xludf.DUMMYFUNCTION("""COMPUTED_VALUE"""),"6a1d6dbfd7c11ff146c3a8e0")</f>
        <v>6a1d6dbfd7c11ff146c3a8e0</v>
      </c>
      <c r="AA843" s="277">
        <f>IFERROR(__xludf.DUMMYFUNCTION("""COMPUTED_VALUE"""),97.0)</f>
        <v>97</v>
      </c>
      <c r="AB843" s="277"/>
      <c r="AC843" s="277">
        <f>IFERROR(__xludf.DUMMYFUNCTION("""COMPUTED_VALUE"""),97.0)</f>
        <v>97</v>
      </c>
      <c r="AD843" s="277">
        <f>IFERROR(__xludf.DUMMYFUNCTION("""COMPUTED_VALUE"""),637281.0)</f>
        <v>637281</v>
      </c>
      <c r="AE843" s="277"/>
      <c r="AF843" s="277">
        <f>IFERROR(__xludf.DUMMYFUNCTION("""COMPUTED_VALUE"""),637281.0)</f>
        <v>637281</v>
      </c>
      <c r="AG843" s="208"/>
      <c r="AH843" s="208"/>
      <c r="AI843" s="208"/>
      <c r="AJ843" s="208"/>
      <c r="AK843" s="208"/>
    </row>
    <row r="844" hidden="1">
      <c r="A844" s="288">
        <f>IFERROR(__xludf.DUMMYFUNCTION("""COMPUTED_VALUE"""),46178.0)</f>
        <v>46178</v>
      </c>
      <c r="B844" s="274">
        <f>IFERROR(__xludf.DUMMYFUNCTION("""COMPUTED_VALUE"""),0.4583333333321207)</f>
        <v>0.4583333333</v>
      </c>
      <c r="C844" s="208" t="str">
        <f>IFERROR(__xludf.DUMMYFUNCTION("""COMPUTED_VALUE"""),"Whatsapp")</f>
        <v>Whatsapp</v>
      </c>
      <c r="D844" s="208" t="str">
        <f>IFERROR(__xludf.DUMMYFUNCTION("""COMPUTED_VALUE"""),"Promotional")</f>
        <v>Promotional</v>
      </c>
      <c r="E844" s="208" t="str">
        <f>IFERROR(__xludf.DUMMYFUNCTION("""COMPUTED_VALUE"""),"BBW")</f>
        <v>BBW</v>
      </c>
      <c r="F844" s="208" t="str">
        <f>IFERROR(__xludf.DUMMYFUNCTION("""COMPUTED_VALUE"""),"B2G2 - June'26 - Entire Store")</f>
        <v>B2G2 - June'26 - Entire Store</v>
      </c>
      <c r="G844" s="208" t="str">
        <f>IFERROR(__xludf.DUMMYFUNCTION("""COMPUTED_VALUE"""),"bbw_wa_b2g2_5june_dormant_chenn_offline")</f>
        <v>bbw_wa_b2g2_5june_dormant_chenn_offline</v>
      </c>
      <c r="H844" s="232" t="str">
        <f>IFERROR(__xludf.DUMMYFUNCTION("""COMPUTED_VALUE"""),"BBW_OFF_Chennai_Dorm")</f>
        <v>BBW_OFF_Chennai_Dorm</v>
      </c>
      <c r="I844" s="233" t="str">
        <f>IFERROR(__xludf.DUMMYFUNCTION("""COMPUTED_VALUE"""),"All Offline Customers who have purchased at least 1 time from Txn_City CHENNAI in the last 365 days excluding TTR purchasers")</f>
        <v>All Offline Customers who have purchased at least 1 time from Txn_City CHENNAI in the last 365 days excluding TTR purchasers</v>
      </c>
      <c r="J844" s="275">
        <f>IFERROR(__xludf.DUMMYFUNCTION("""COMPUTED_VALUE"""),13476.0)</f>
        <v>13476</v>
      </c>
      <c r="K844" s="275">
        <f>IFERROR(__xludf.DUMMYFUNCTION("""COMPUTED_VALUE"""),7069.0)</f>
        <v>7069</v>
      </c>
      <c r="L844" s="276">
        <f>IFERROR(__xludf.DUMMYFUNCTION("""COMPUTED_VALUE"""),0.5166)</f>
        <v>0.5166</v>
      </c>
      <c r="M844" s="275">
        <f>IFERROR(__xludf.DUMMYFUNCTION("""COMPUTED_VALUE"""),2744.0)</f>
        <v>2744</v>
      </c>
      <c r="N844" s="276">
        <f>IFERROR(__xludf.DUMMYFUNCTION("""COMPUTED_VALUE"""),0.3888)</f>
        <v>0.3888</v>
      </c>
      <c r="O844" s="208">
        <f>IFERROR(__xludf.DUMMYFUNCTION("""COMPUTED_VALUE"""),219.0)</f>
        <v>219</v>
      </c>
      <c r="P844" s="208">
        <f>IFERROR(__xludf.DUMMYFUNCTION("""COMPUTED_VALUE"""),208.0)</f>
        <v>208</v>
      </c>
      <c r="Q844" s="276">
        <f>IFERROR(__xludf.DUMMYFUNCTION("""COMPUTED_VALUE"""),0.0299)</f>
        <v>0.0299</v>
      </c>
      <c r="R844" s="276">
        <f>IFERROR(__xludf.DUMMYFUNCTION("""COMPUTED_VALUE"""),0.0768)</f>
        <v>0.0768</v>
      </c>
      <c r="S844" s="208">
        <f>IFERROR(__xludf.DUMMYFUNCTION("""COMPUTED_VALUE"""),1.0)</f>
        <v>1</v>
      </c>
      <c r="T844" s="208">
        <f>IFERROR(__xludf.DUMMYFUNCTION("""COMPUTED_VALUE"""),4.0)</f>
        <v>4</v>
      </c>
      <c r="U844" s="275">
        <f>IFERROR(__xludf.DUMMYFUNCTION("""COMPUTED_VALUE"""),4678.0)</f>
        <v>4678</v>
      </c>
      <c r="V844" s="234" t="str">
        <f>IFERROR(__xludf.DUMMYFUNCTION("""COMPUTED_VALUE"""),"offline")</f>
        <v>offline</v>
      </c>
      <c r="W844" s="232" t="str">
        <f>IFERROR(__xludf.DUMMYFUNCTION("""COMPUTED_VALUE"""),"simple")</f>
        <v>simple</v>
      </c>
      <c r="X844" s="232" t="str">
        <f>IFERROR(__xludf.DUMMYFUNCTION("""COMPUTED_VALUE"""),"City Specific")</f>
        <v>City Specific</v>
      </c>
      <c r="Y844" s="232" t="str">
        <f>IFERROR(__xludf.DUMMYFUNCTION("""COMPUTED_VALUE"""),"5-7 June")</f>
        <v>5-7 June</v>
      </c>
      <c r="Z844" s="232" t="str">
        <f>IFERROR(__xludf.DUMMYFUNCTION("""COMPUTED_VALUE"""),"6a1d6df1cfa6082428e97629")</f>
        <v>6a1d6df1cfa6082428e97629</v>
      </c>
      <c r="AA844" s="277">
        <f>IFERROR(__xludf.DUMMYFUNCTION("""COMPUTED_VALUE"""),32.0)</f>
        <v>32</v>
      </c>
      <c r="AB844" s="277"/>
      <c r="AC844" s="277">
        <f>IFERROR(__xludf.DUMMYFUNCTION("""COMPUTED_VALUE"""),32.0)</f>
        <v>32</v>
      </c>
      <c r="AD844" s="277">
        <f>IFERROR(__xludf.DUMMYFUNCTION("""COMPUTED_VALUE"""),165753.0)</f>
        <v>165753</v>
      </c>
      <c r="AE844" s="277"/>
      <c r="AF844" s="277">
        <f>IFERROR(__xludf.DUMMYFUNCTION("""COMPUTED_VALUE"""),165753.0)</f>
        <v>165753</v>
      </c>
      <c r="AG844" s="208"/>
      <c r="AH844" s="208"/>
      <c r="AI844" s="208"/>
      <c r="AJ844" s="208"/>
      <c r="AK844" s="208"/>
    </row>
    <row r="845" hidden="1">
      <c r="A845" s="288">
        <f>IFERROR(__xludf.DUMMYFUNCTION("""COMPUTED_VALUE"""),46178.0)</f>
        <v>46178</v>
      </c>
      <c r="B845" s="274">
        <f>IFERROR(__xludf.DUMMYFUNCTION("""COMPUTED_VALUE"""),0.4583333333321207)</f>
        <v>0.4583333333</v>
      </c>
      <c r="C845" s="208" t="str">
        <f>IFERROR(__xludf.DUMMYFUNCTION("""COMPUTED_VALUE"""),"Whatsapp")</f>
        <v>Whatsapp</v>
      </c>
      <c r="D845" s="208" t="str">
        <f>IFERROR(__xludf.DUMMYFUNCTION("""COMPUTED_VALUE"""),"Promotional")</f>
        <v>Promotional</v>
      </c>
      <c r="E845" s="208" t="str">
        <f>IFERROR(__xludf.DUMMYFUNCTION("""COMPUTED_VALUE"""),"BBW")</f>
        <v>BBW</v>
      </c>
      <c r="F845" s="208" t="str">
        <f>IFERROR(__xludf.DUMMYFUNCTION("""COMPUTED_VALUE"""),"B2G2 - June'26 - Entire Store")</f>
        <v>B2G2 - June'26 - Entire Store</v>
      </c>
      <c r="G845" s="208" t="str">
        <f>IFERROR(__xludf.DUMMYFUNCTION("""COMPUTED_VALUE"""),"bbw_wa_b2g2_5june_dormant_hyd_offline")</f>
        <v>bbw_wa_b2g2_5june_dormant_hyd_offline</v>
      </c>
      <c r="H845" s="232" t="str">
        <f>IFERROR(__xludf.DUMMYFUNCTION("""COMPUTED_VALUE"""),"BBW_OFF_HYD_Dorm")</f>
        <v>BBW_OFF_HYD_Dorm</v>
      </c>
      <c r="I845" s="233" t="str">
        <f>IFERROR(__xludf.DUMMYFUNCTION("""COMPUTED_VALUE"""),"All Offline Customers who have purchased at least 1 time from Txn_City HYD in the last 365 days excluding TTR purchasers")</f>
        <v>All Offline Customers who have purchased at least 1 time from Txn_City HYD in the last 365 days excluding TTR purchasers</v>
      </c>
      <c r="J845" s="275">
        <f>IFERROR(__xludf.DUMMYFUNCTION("""COMPUTED_VALUE"""),19289.0)</f>
        <v>19289</v>
      </c>
      <c r="K845" s="275">
        <f>IFERROR(__xludf.DUMMYFUNCTION("""COMPUTED_VALUE"""),9591.0)</f>
        <v>9591</v>
      </c>
      <c r="L845" s="276">
        <f>IFERROR(__xludf.DUMMYFUNCTION("""COMPUTED_VALUE"""),0.4819)</f>
        <v>0.4819</v>
      </c>
      <c r="M845" s="275">
        <f>IFERROR(__xludf.DUMMYFUNCTION("""COMPUTED_VALUE"""),3609.0)</f>
        <v>3609</v>
      </c>
      <c r="N845" s="276">
        <f>IFERROR(__xludf.DUMMYFUNCTION("""COMPUTED_VALUE"""),0.3843)</f>
        <v>0.3843</v>
      </c>
      <c r="O845" s="208">
        <f>IFERROR(__xludf.DUMMYFUNCTION("""COMPUTED_VALUE"""),272.0)</f>
        <v>272</v>
      </c>
      <c r="P845" s="208">
        <f>IFERROR(__xludf.DUMMYFUNCTION("""COMPUTED_VALUE"""),262.0)</f>
        <v>262</v>
      </c>
      <c r="Q845" s="276">
        <f>IFERROR(__xludf.DUMMYFUNCTION("""COMPUTED_VALUE"""),0.0282)</f>
        <v>0.0282</v>
      </c>
      <c r="R845" s="276">
        <f>IFERROR(__xludf.DUMMYFUNCTION("""COMPUTED_VALUE"""),0.0733)</f>
        <v>0.0733</v>
      </c>
      <c r="S845" s="208">
        <f>IFERROR(__xludf.DUMMYFUNCTION("""COMPUTED_VALUE"""),1.0)</f>
        <v>1</v>
      </c>
      <c r="T845" s="208">
        <f>IFERROR(__xludf.DUMMYFUNCTION("""COMPUTED_VALUE"""),3.0)</f>
        <v>3</v>
      </c>
      <c r="U845" s="275">
        <f>IFERROR(__xludf.DUMMYFUNCTION("""COMPUTED_VALUE"""),3776.0)</f>
        <v>3776</v>
      </c>
      <c r="V845" s="234" t="str">
        <f>IFERROR(__xludf.DUMMYFUNCTION("""COMPUTED_VALUE"""),"offline")</f>
        <v>offline</v>
      </c>
      <c r="W845" s="232" t="str">
        <f>IFERROR(__xludf.DUMMYFUNCTION("""COMPUTED_VALUE"""),"simple")</f>
        <v>simple</v>
      </c>
      <c r="X845" s="232" t="str">
        <f>IFERROR(__xludf.DUMMYFUNCTION("""COMPUTED_VALUE"""),"City Specific")</f>
        <v>City Specific</v>
      </c>
      <c r="Y845" s="232" t="str">
        <f>IFERROR(__xludf.DUMMYFUNCTION("""COMPUTED_VALUE"""),"5-7 June")</f>
        <v>5-7 June</v>
      </c>
      <c r="Z845" s="232" t="str">
        <f>IFERROR(__xludf.DUMMYFUNCTION("""COMPUTED_VALUE"""),"6a1d6e2469790039fe25e936")</f>
        <v>6a1d6e2469790039fe25e936</v>
      </c>
      <c r="AA845" s="277">
        <f>IFERROR(__xludf.DUMMYFUNCTION("""COMPUTED_VALUE"""),24.0)</f>
        <v>24</v>
      </c>
      <c r="AB845" s="277"/>
      <c r="AC845" s="277">
        <f>IFERROR(__xludf.DUMMYFUNCTION("""COMPUTED_VALUE"""),24.0)</f>
        <v>24</v>
      </c>
      <c r="AD845" s="277">
        <f>IFERROR(__xludf.DUMMYFUNCTION("""COMPUTED_VALUE"""),121542.0)</f>
        <v>121542</v>
      </c>
      <c r="AE845" s="277"/>
      <c r="AF845" s="277">
        <f>IFERROR(__xludf.DUMMYFUNCTION("""COMPUTED_VALUE"""),121542.0)</f>
        <v>121542</v>
      </c>
      <c r="AG845" s="208"/>
      <c r="AH845" s="208"/>
      <c r="AI845" s="208"/>
      <c r="AJ845" s="208"/>
      <c r="AK845" s="208"/>
    </row>
    <row r="846" hidden="1">
      <c r="A846" s="288">
        <f>IFERROR(__xludf.DUMMYFUNCTION("""COMPUTED_VALUE"""),46178.0)</f>
        <v>46178</v>
      </c>
      <c r="B846" s="274">
        <f>IFERROR(__xludf.DUMMYFUNCTION("""COMPUTED_VALUE"""),0.4583333333321207)</f>
        <v>0.4583333333</v>
      </c>
      <c r="C846" s="208" t="str">
        <f>IFERROR(__xludf.DUMMYFUNCTION("""COMPUTED_VALUE"""),"Whatsapp")</f>
        <v>Whatsapp</v>
      </c>
      <c r="D846" s="208" t="str">
        <f>IFERROR(__xludf.DUMMYFUNCTION("""COMPUTED_VALUE"""),"Promotional")</f>
        <v>Promotional</v>
      </c>
      <c r="E846" s="208" t="str">
        <f>IFERROR(__xludf.DUMMYFUNCTION("""COMPUTED_VALUE"""),"BBW")</f>
        <v>BBW</v>
      </c>
      <c r="F846" s="208" t="str">
        <f>IFERROR(__xludf.DUMMYFUNCTION("""COMPUTED_VALUE"""),"B2G2 - June'26 - Entire Store")</f>
        <v>B2G2 - June'26 - Entire Store</v>
      </c>
      <c r="G846" s="208" t="str">
        <f>IFERROR(__xludf.DUMMYFUNCTION("""COMPUTED_VALUE"""),"bbw_wa_b2g2_5june_dormant_chd_offline")</f>
        <v>bbw_wa_b2g2_5june_dormant_chd_offline</v>
      </c>
      <c r="H846" s="232" t="str">
        <f>IFERROR(__xludf.DUMMYFUNCTION("""COMPUTED_VALUE"""),"BBW_OFF_CHD_Dorm")</f>
        <v>BBW_OFF_CHD_Dorm</v>
      </c>
      <c r="I846" s="233" t="str">
        <f>IFERROR(__xludf.DUMMYFUNCTION("""COMPUTED_VALUE"""),"All Offline Customers who have purchased at least 1 time from Txn_City CHD in the last 365 days excluding TTR purchasers")</f>
        <v>All Offline Customers who have purchased at least 1 time from Txn_City CHD in the last 365 days excluding TTR purchasers</v>
      </c>
      <c r="J846" s="275">
        <f>IFERROR(__xludf.DUMMYFUNCTION("""COMPUTED_VALUE"""),15578.0)</f>
        <v>15578</v>
      </c>
      <c r="K846" s="275">
        <f>IFERROR(__xludf.DUMMYFUNCTION("""COMPUTED_VALUE"""),8358.0)</f>
        <v>8358</v>
      </c>
      <c r="L846" s="276">
        <f>IFERROR(__xludf.DUMMYFUNCTION("""COMPUTED_VALUE"""),0.5091)</f>
        <v>0.5091</v>
      </c>
      <c r="M846" s="275">
        <f>IFERROR(__xludf.DUMMYFUNCTION("""COMPUTED_VALUE"""),3319.0)</f>
        <v>3319</v>
      </c>
      <c r="N846" s="276">
        <f>IFERROR(__xludf.DUMMYFUNCTION("""COMPUTED_VALUE"""),0.4116)</f>
        <v>0.4116</v>
      </c>
      <c r="O846" s="208">
        <f>IFERROR(__xludf.DUMMYFUNCTION("""COMPUTED_VALUE"""),295.0)</f>
        <v>295</v>
      </c>
      <c r="P846" s="208">
        <f>IFERROR(__xludf.DUMMYFUNCTION("""COMPUTED_VALUE"""),284.0)</f>
        <v>284</v>
      </c>
      <c r="Q846" s="276">
        <f>IFERROR(__xludf.DUMMYFUNCTION("""COMPUTED_VALUE"""),0.0358)</f>
        <v>0.0358</v>
      </c>
      <c r="R846" s="276">
        <f>IFERROR(__xludf.DUMMYFUNCTION("""COMPUTED_VALUE"""),0.087)</f>
        <v>0.087</v>
      </c>
      <c r="S846" s="208">
        <f>IFERROR(__xludf.DUMMYFUNCTION("""COMPUTED_VALUE"""),6.0)</f>
        <v>6</v>
      </c>
      <c r="T846" s="208">
        <f>IFERROR(__xludf.DUMMYFUNCTION("""COMPUTED_VALUE"""),7.0)</f>
        <v>7</v>
      </c>
      <c r="U846" s="275">
        <f>IFERROR(__xludf.DUMMYFUNCTION("""COMPUTED_VALUE"""),27134.0)</f>
        <v>27134</v>
      </c>
      <c r="V846" s="234" t="str">
        <f>IFERROR(__xludf.DUMMYFUNCTION("""COMPUTED_VALUE"""),"offline")</f>
        <v>offline</v>
      </c>
      <c r="W846" s="232" t="str">
        <f>IFERROR(__xludf.DUMMYFUNCTION("""COMPUTED_VALUE"""),"simple")</f>
        <v>simple</v>
      </c>
      <c r="X846" s="232" t="str">
        <f>IFERROR(__xludf.DUMMYFUNCTION("""COMPUTED_VALUE"""),"City Specific")</f>
        <v>City Specific</v>
      </c>
      <c r="Y846" s="232" t="str">
        <f>IFERROR(__xludf.DUMMYFUNCTION("""COMPUTED_VALUE"""),"5-7 June")</f>
        <v>5-7 June</v>
      </c>
      <c r="Z846" s="232" t="str">
        <f>IFERROR(__xludf.DUMMYFUNCTION("""COMPUTED_VALUE"""),"6a1d6e4f1d31394abfd9a13b")</f>
        <v>6a1d6e4f1d31394abfd9a13b</v>
      </c>
      <c r="AA846" s="277">
        <f>IFERROR(__xludf.DUMMYFUNCTION("""COMPUTED_VALUE"""),37.0)</f>
        <v>37</v>
      </c>
      <c r="AB846" s="277"/>
      <c r="AC846" s="277">
        <f>IFERROR(__xludf.DUMMYFUNCTION("""COMPUTED_VALUE"""),37.0)</f>
        <v>37</v>
      </c>
      <c r="AD846" s="277">
        <f>IFERROR(__xludf.DUMMYFUNCTION("""COMPUTED_VALUE"""),184363.0)</f>
        <v>184363</v>
      </c>
      <c r="AE846" s="277"/>
      <c r="AF846" s="277">
        <f>IFERROR(__xludf.DUMMYFUNCTION("""COMPUTED_VALUE"""),184363.0)</f>
        <v>184363</v>
      </c>
      <c r="AG846" s="208"/>
      <c r="AH846" s="208"/>
      <c r="AI846" s="208"/>
      <c r="AJ846" s="208"/>
      <c r="AK846" s="208"/>
    </row>
    <row r="847" hidden="1">
      <c r="A847" s="288">
        <f>IFERROR(__xludf.DUMMYFUNCTION("""COMPUTED_VALUE"""),46178.0)</f>
        <v>46178</v>
      </c>
      <c r="B847" s="274">
        <f>IFERROR(__xludf.DUMMYFUNCTION("""COMPUTED_VALUE"""),0.4583333333321207)</f>
        <v>0.4583333333</v>
      </c>
      <c r="C847" s="208" t="str">
        <f>IFERROR(__xludf.DUMMYFUNCTION("""COMPUTED_VALUE"""),"Whatsapp")</f>
        <v>Whatsapp</v>
      </c>
      <c r="D847" s="208" t="str">
        <f>IFERROR(__xludf.DUMMYFUNCTION("""COMPUTED_VALUE"""),"Promotional")</f>
        <v>Promotional</v>
      </c>
      <c r="E847" s="208" t="str">
        <f>IFERROR(__xludf.DUMMYFUNCTION("""COMPUTED_VALUE"""),"BBW")</f>
        <v>BBW</v>
      </c>
      <c r="F847" s="208" t="str">
        <f>IFERROR(__xludf.DUMMYFUNCTION("""COMPUTED_VALUE"""),"B2G2 - June'26 - Entire Store")</f>
        <v>B2G2 - June'26 - Entire Store</v>
      </c>
      <c r="G847" s="208" t="str">
        <f>IFERROR(__xludf.DUMMYFUNCTION("""COMPUTED_VALUE"""),"bbw_wa_b2g2_5june_dormant_ggn_offline")</f>
        <v>bbw_wa_b2g2_5june_dormant_ggn_offline</v>
      </c>
      <c r="H847" s="232" t="str">
        <f>IFERROR(__xludf.DUMMYFUNCTION("""COMPUTED_VALUE"""),"BBW_OFF_GGN_Dorm")</f>
        <v>BBW_OFF_GGN_Dorm</v>
      </c>
      <c r="I847" s="233" t="str">
        <f>IFERROR(__xludf.DUMMYFUNCTION("""COMPUTED_VALUE"""),"All Offline Customers who have purchased at least 1 time from Txn_City GGN in the last 365 days excluding TTR purchasers")</f>
        <v>All Offline Customers who have purchased at least 1 time from Txn_City GGN in the last 365 days excluding TTR purchasers</v>
      </c>
      <c r="J847" s="275">
        <f>IFERROR(__xludf.DUMMYFUNCTION("""COMPUTED_VALUE"""),12164.0)</f>
        <v>12164</v>
      </c>
      <c r="K847" s="275">
        <f>IFERROR(__xludf.DUMMYFUNCTION("""COMPUTED_VALUE"""),5934.0)</f>
        <v>5934</v>
      </c>
      <c r="L847" s="276">
        <f>IFERROR(__xludf.DUMMYFUNCTION("""COMPUTED_VALUE"""),0.4568)</f>
        <v>0.4568</v>
      </c>
      <c r="M847" s="275">
        <f>IFERROR(__xludf.DUMMYFUNCTION("""COMPUTED_VALUE"""),1896.0)</f>
        <v>1896</v>
      </c>
      <c r="N847" s="276">
        <f>IFERROR(__xludf.DUMMYFUNCTION("""COMPUTED_VALUE"""),0.3362)</f>
        <v>0.3362</v>
      </c>
      <c r="O847" s="208">
        <f>IFERROR(__xludf.DUMMYFUNCTION("""COMPUTED_VALUE"""),160.0)</f>
        <v>160</v>
      </c>
      <c r="P847" s="208">
        <f>IFERROR(__xludf.DUMMYFUNCTION("""COMPUTED_VALUE"""),155.0)</f>
        <v>155</v>
      </c>
      <c r="Q847" s="276">
        <f>IFERROR(__xludf.DUMMYFUNCTION("""COMPUTED_VALUE"""),0.0279)</f>
        <v>0.0279</v>
      </c>
      <c r="R847" s="276">
        <f>IFERROR(__xludf.DUMMYFUNCTION("""COMPUTED_VALUE"""),0.083)</f>
        <v>0.083</v>
      </c>
      <c r="S847" s="208">
        <f>IFERROR(__xludf.DUMMYFUNCTION("""COMPUTED_VALUE"""),0.0)</f>
        <v>0</v>
      </c>
      <c r="T847" s="208">
        <f>IFERROR(__xludf.DUMMYFUNCTION("""COMPUTED_VALUE"""),0.0)</f>
        <v>0</v>
      </c>
      <c r="U847" s="275">
        <f>IFERROR(__xludf.DUMMYFUNCTION("""COMPUTED_VALUE"""),0.0)</f>
        <v>0</v>
      </c>
      <c r="V847" s="234" t="str">
        <f>IFERROR(__xludf.DUMMYFUNCTION("""COMPUTED_VALUE"""),"offline")</f>
        <v>offline</v>
      </c>
      <c r="W847" s="232" t="str">
        <f>IFERROR(__xludf.DUMMYFUNCTION("""COMPUTED_VALUE"""),"simple")</f>
        <v>simple</v>
      </c>
      <c r="X847" s="232" t="str">
        <f>IFERROR(__xludf.DUMMYFUNCTION("""COMPUTED_VALUE"""),"City Specific")</f>
        <v>City Specific</v>
      </c>
      <c r="Y847" s="232" t="str">
        <f>IFERROR(__xludf.DUMMYFUNCTION("""COMPUTED_VALUE"""),"5-7 June")</f>
        <v>5-7 June</v>
      </c>
      <c r="Z847" s="232" t="str">
        <f>IFERROR(__xludf.DUMMYFUNCTION("""COMPUTED_VALUE"""),"6a1d6e85d0bc522a8417a360")</f>
        <v>6a1d6e85d0bc522a8417a360</v>
      </c>
      <c r="AA847" s="277">
        <f>IFERROR(__xludf.DUMMYFUNCTION("""COMPUTED_VALUE"""),30.0)</f>
        <v>30</v>
      </c>
      <c r="AB847" s="277"/>
      <c r="AC847" s="277">
        <f>IFERROR(__xludf.DUMMYFUNCTION("""COMPUTED_VALUE"""),30.0)</f>
        <v>30</v>
      </c>
      <c r="AD847" s="277">
        <f>IFERROR(__xludf.DUMMYFUNCTION("""COMPUTED_VALUE"""),118838.0)</f>
        <v>118838</v>
      </c>
      <c r="AE847" s="277"/>
      <c r="AF847" s="277">
        <f>IFERROR(__xludf.DUMMYFUNCTION("""COMPUTED_VALUE"""),118838.0)</f>
        <v>118838</v>
      </c>
      <c r="AG847" s="208"/>
      <c r="AH847" s="208"/>
      <c r="AI847" s="208"/>
      <c r="AJ847" s="208"/>
      <c r="AK847" s="208"/>
    </row>
    <row r="848" hidden="1">
      <c r="A848" s="288">
        <f>IFERROR(__xludf.DUMMYFUNCTION("""COMPUTED_VALUE"""),46178.0)</f>
        <v>46178</v>
      </c>
      <c r="B848" s="274">
        <f>IFERROR(__xludf.DUMMYFUNCTION("""COMPUTED_VALUE"""),0.4583333333321207)</f>
        <v>0.4583333333</v>
      </c>
      <c r="C848" s="208" t="str">
        <f>IFERROR(__xludf.DUMMYFUNCTION("""COMPUTED_VALUE"""),"Whatsapp")</f>
        <v>Whatsapp</v>
      </c>
      <c r="D848" s="208" t="str">
        <f>IFERROR(__xludf.DUMMYFUNCTION("""COMPUTED_VALUE"""),"Promotional")</f>
        <v>Promotional</v>
      </c>
      <c r="E848" s="208" t="str">
        <f>IFERROR(__xludf.DUMMYFUNCTION("""COMPUTED_VALUE"""),"BBW")</f>
        <v>BBW</v>
      </c>
      <c r="F848" s="208" t="str">
        <f>IFERROR(__xludf.DUMMYFUNCTION("""COMPUTED_VALUE"""),"B2G2 - June'26 - Entire Store")</f>
        <v>B2G2 - June'26 - Entire Store</v>
      </c>
      <c r="G848" s="208" t="str">
        <f>IFERROR(__xludf.DUMMYFUNCTION("""COMPUTED_VALUE"""),"bbw_wa_b2g2_5june_dormant_noida_offline")</f>
        <v>bbw_wa_b2g2_5june_dormant_noida_offline</v>
      </c>
      <c r="H848" s="232" t="str">
        <f>IFERROR(__xludf.DUMMYFUNCTION("""COMPUTED_VALUE"""),"BBW_OFF_NOIDA_Dorm")</f>
        <v>BBW_OFF_NOIDA_Dorm</v>
      </c>
      <c r="I848" s="233" t="str">
        <f>IFERROR(__xludf.DUMMYFUNCTION("""COMPUTED_VALUE"""),"All Offline Customers who have purchased at least 1 time from Txn_City NOIDA in the last 365 days excluding TTR purchasers")</f>
        <v>All Offline Customers who have purchased at least 1 time from Txn_City NOIDA in the last 365 days excluding TTR purchasers</v>
      </c>
      <c r="J848" s="275">
        <f>IFERROR(__xludf.DUMMYFUNCTION("""COMPUTED_VALUE"""),14182.0)</f>
        <v>14182</v>
      </c>
      <c r="K848" s="275">
        <f>IFERROR(__xludf.DUMMYFUNCTION("""COMPUTED_VALUE"""),7231.0)</f>
        <v>7231</v>
      </c>
      <c r="L848" s="276">
        <f>IFERROR(__xludf.DUMMYFUNCTION("""COMPUTED_VALUE"""),0.4386)</f>
        <v>0.4386</v>
      </c>
      <c r="M848" s="275">
        <f>IFERROR(__xludf.DUMMYFUNCTION("""COMPUTED_VALUE"""),2349.0)</f>
        <v>2349</v>
      </c>
      <c r="N848" s="276">
        <f>IFERROR(__xludf.DUMMYFUNCTION("""COMPUTED_VALUE"""),0.369)</f>
        <v>0.369</v>
      </c>
      <c r="O848" s="208">
        <f>IFERROR(__xludf.DUMMYFUNCTION("""COMPUTED_VALUE"""),195.0)</f>
        <v>195</v>
      </c>
      <c r="P848" s="208">
        <f>IFERROR(__xludf.DUMMYFUNCTION("""COMPUTED_VALUE"""),189.0)</f>
        <v>189</v>
      </c>
      <c r="Q848" s="276">
        <f>IFERROR(__xludf.DUMMYFUNCTION("""COMPUTED_VALUE"""),0.0304)</f>
        <v>0.0304</v>
      </c>
      <c r="R848" s="276">
        <f>IFERROR(__xludf.DUMMYFUNCTION("""COMPUTED_VALUE"""),0.0824)</f>
        <v>0.0824</v>
      </c>
      <c r="S848" s="208">
        <f>IFERROR(__xludf.DUMMYFUNCTION("""COMPUTED_VALUE"""),1.0)</f>
        <v>1</v>
      </c>
      <c r="T848" s="208">
        <f>IFERROR(__xludf.DUMMYFUNCTION("""COMPUTED_VALUE"""),5.0)</f>
        <v>5</v>
      </c>
      <c r="U848" s="275">
        <f>IFERROR(__xludf.DUMMYFUNCTION("""COMPUTED_VALUE"""),4138.0)</f>
        <v>4138</v>
      </c>
      <c r="V848" s="234" t="str">
        <f>IFERROR(__xludf.DUMMYFUNCTION("""COMPUTED_VALUE"""),"offline")</f>
        <v>offline</v>
      </c>
      <c r="W848" s="232" t="str">
        <f>IFERROR(__xludf.DUMMYFUNCTION("""COMPUTED_VALUE"""),"simple")</f>
        <v>simple</v>
      </c>
      <c r="X848" s="232" t="str">
        <f>IFERROR(__xludf.DUMMYFUNCTION("""COMPUTED_VALUE"""),"City Specific")</f>
        <v>City Specific</v>
      </c>
      <c r="Y848" s="232" t="str">
        <f>IFERROR(__xludf.DUMMYFUNCTION("""COMPUTED_VALUE"""),"5-7 June")</f>
        <v>5-7 June</v>
      </c>
      <c r="Z848" s="232" t="str">
        <f>IFERROR(__xludf.DUMMYFUNCTION("""COMPUTED_VALUE"""),"6a1d6eb3b5f9bb5598d8d1df")</f>
        <v>6a1d6eb3b5f9bb5598d8d1df</v>
      </c>
      <c r="AA848" s="277">
        <f>IFERROR(__xludf.DUMMYFUNCTION("""COMPUTED_VALUE"""),25.0)</f>
        <v>25</v>
      </c>
      <c r="AB848" s="277"/>
      <c r="AC848" s="277">
        <f>IFERROR(__xludf.DUMMYFUNCTION("""COMPUTED_VALUE"""),25.0)</f>
        <v>25</v>
      </c>
      <c r="AD848" s="277">
        <f>IFERROR(__xludf.DUMMYFUNCTION("""COMPUTED_VALUE"""),91944.0)</f>
        <v>91944</v>
      </c>
      <c r="AE848" s="277"/>
      <c r="AF848" s="277">
        <f>IFERROR(__xludf.DUMMYFUNCTION("""COMPUTED_VALUE"""),91944.0)</f>
        <v>91944</v>
      </c>
      <c r="AG848" s="208"/>
      <c r="AH848" s="208"/>
      <c r="AI848" s="208"/>
      <c r="AJ848" s="208"/>
      <c r="AK848" s="208"/>
    </row>
    <row r="849" hidden="1">
      <c r="A849" s="288">
        <f>IFERROR(__xludf.DUMMYFUNCTION("""COMPUTED_VALUE"""),46178.0)</f>
        <v>46178</v>
      </c>
      <c r="B849" s="274">
        <f>IFERROR(__xludf.DUMMYFUNCTION("""COMPUTED_VALUE"""),0.4583333333321207)</f>
        <v>0.4583333333</v>
      </c>
      <c r="C849" s="208" t="str">
        <f>IFERROR(__xludf.DUMMYFUNCTION("""COMPUTED_VALUE"""),"Whatsapp")</f>
        <v>Whatsapp</v>
      </c>
      <c r="D849" s="208" t="str">
        <f>IFERROR(__xludf.DUMMYFUNCTION("""COMPUTED_VALUE"""),"Promotional")</f>
        <v>Promotional</v>
      </c>
      <c r="E849" s="208" t="str">
        <f>IFERROR(__xludf.DUMMYFUNCTION("""COMPUTED_VALUE"""),"BBW")</f>
        <v>BBW</v>
      </c>
      <c r="F849" s="208" t="str">
        <f>IFERROR(__xludf.DUMMYFUNCTION("""COMPUTED_VALUE"""),"B2G2 - June'26 - Entire Store")</f>
        <v>B2G2 - June'26 - Entire Store</v>
      </c>
      <c r="G849" s="208" t="str">
        <f>IFERROR(__xludf.DUMMYFUNCTION("""COMPUTED_VALUE"""),"bbw_wa_b2g2_5june_dormant_thane_offline")</f>
        <v>bbw_wa_b2g2_5june_dormant_thane_offline</v>
      </c>
      <c r="H849" s="232" t="str">
        <f>IFERROR(__xludf.DUMMYFUNCTION("""COMPUTED_VALUE"""),"BBW_OFF_THANE_Dorm")</f>
        <v>BBW_OFF_THANE_Dorm</v>
      </c>
      <c r="I849" s="233" t="str">
        <f>IFERROR(__xludf.DUMMYFUNCTION("""COMPUTED_VALUE"""),"All Offline Customers who have purchased at least 1 time from Txn_City THANE in the last 365 days excluding TTR purchasers")</f>
        <v>All Offline Customers who have purchased at least 1 time from Txn_City THANE in the last 365 days excluding TTR purchasers</v>
      </c>
      <c r="J849" s="275">
        <f>IFERROR(__xludf.DUMMYFUNCTION("""COMPUTED_VALUE"""),7487.0)</f>
        <v>7487</v>
      </c>
      <c r="K849" s="275">
        <f>IFERROR(__xludf.DUMMYFUNCTION("""COMPUTED_VALUE"""),3784.0)</f>
        <v>3784</v>
      </c>
      <c r="L849" s="276">
        <f>IFERROR(__xludf.DUMMYFUNCTION("""COMPUTED_VALUE"""),0.4473)</f>
        <v>0.4473</v>
      </c>
      <c r="M849" s="275">
        <f>IFERROR(__xludf.DUMMYFUNCTION("""COMPUTED_VALUE"""),1465.0)</f>
        <v>1465</v>
      </c>
      <c r="N849" s="276">
        <f>IFERROR(__xludf.DUMMYFUNCTION("""COMPUTED_VALUE"""),0.4279)</f>
        <v>0.4279</v>
      </c>
      <c r="O849" s="208">
        <f>IFERROR(__xludf.DUMMYFUNCTION("""COMPUTED_VALUE"""),102.0)</f>
        <v>102</v>
      </c>
      <c r="P849" s="208">
        <f>IFERROR(__xludf.DUMMYFUNCTION("""COMPUTED_VALUE"""),98.0)</f>
        <v>98</v>
      </c>
      <c r="Q849" s="276">
        <f>IFERROR(__xludf.DUMMYFUNCTION("""COMPUTED_VALUE"""),0.0293)</f>
        <v>0.0293</v>
      </c>
      <c r="R849" s="276">
        <f>IFERROR(__xludf.DUMMYFUNCTION("""COMPUTED_VALUE"""),0.0684)</f>
        <v>0.0684</v>
      </c>
      <c r="S849" s="208">
        <f>IFERROR(__xludf.DUMMYFUNCTION("""COMPUTED_VALUE"""),0.0)</f>
        <v>0</v>
      </c>
      <c r="T849" s="208">
        <f>IFERROR(__xludf.DUMMYFUNCTION("""COMPUTED_VALUE"""),0.0)</f>
        <v>0</v>
      </c>
      <c r="U849" s="275">
        <f>IFERROR(__xludf.DUMMYFUNCTION("""COMPUTED_VALUE"""),0.0)</f>
        <v>0</v>
      </c>
      <c r="V849" s="234" t="str">
        <f>IFERROR(__xludf.DUMMYFUNCTION("""COMPUTED_VALUE"""),"offline")</f>
        <v>offline</v>
      </c>
      <c r="W849" s="232" t="str">
        <f>IFERROR(__xludf.DUMMYFUNCTION("""COMPUTED_VALUE"""),"simple")</f>
        <v>simple</v>
      </c>
      <c r="X849" s="232" t="str">
        <f>IFERROR(__xludf.DUMMYFUNCTION("""COMPUTED_VALUE"""),"City Specific")</f>
        <v>City Specific</v>
      </c>
      <c r="Y849" s="232" t="str">
        <f>IFERROR(__xludf.DUMMYFUNCTION("""COMPUTED_VALUE"""),"5-7 June")</f>
        <v>5-7 June</v>
      </c>
      <c r="Z849" s="232" t="str">
        <f>IFERROR(__xludf.DUMMYFUNCTION("""COMPUTED_VALUE"""),"6a1d6edf69790039fe25e98c")</f>
        <v>6a1d6edf69790039fe25e98c</v>
      </c>
      <c r="AA849" s="277">
        <f>IFERROR(__xludf.DUMMYFUNCTION("""COMPUTED_VALUE"""),20.0)</f>
        <v>20</v>
      </c>
      <c r="AB849" s="277"/>
      <c r="AC849" s="277">
        <f>IFERROR(__xludf.DUMMYFUNCTION("""COMPUTED_VALUE"""),20.0)</f>
        <v>20</v>
      </c>
      <c r="AD849" s="277">
        <f>IFERROR(__xludf.DUMMYFUNCTION("""COMPUTED_VALUE"""),107887.0)</f>
        <v>107887</v>
      </c>
      <c r="AE849" s="277"/>
      <c r="AF849" s="277">
        <f>IFERROR(__xludf.DUMMYFUNCTION("""COMPUTED_VALUE"""),107887.0)</f>
        <v>107887</v>
      </c>
      <c r="AG849" s="208"/>
      <c r="AH849" s="208"/>
      <c r="AI849" s="208"/>
      <c r="AJ849" s="208"/>
      <c r="AK849" s="208"/>
    </row>
    <row r="850" hidden="1">
      <c r="A850" s="288">
        <f>IFERROR(__xludf.DUMMYFUNCTION("""COMPUTED_VALUE"""),46178.0)</f>
        <v>46178</v>
      </c>
      <c r="B850" s="274">
        <f>IFERROR(__xludf.DUMMYFUNCTION("""COMPUTED_VALUE"""),0.4583333333321207)</f>
        <v>0.4583333333</v>
      </c>
      <c r="C850" s="208" t="str">
        <f>IFERROR(__xludf.DUMMYFUNCTION("""COMPUTED_VALUE"""),"Whatsapp")</f>
        <v>Whatsapp</v>
      </c>
      <c r="D850" s="208" t="str">
        <f>IFERROR(__xludf.DUMMYFUNCTION("""COMPUTED_VALUE"""),"Promotional")</f>
        <v>Promotional</v>
      </c>
      <c r="E850" s="208" t="str">
        <f>IFERROR(__xludf.DUMMYFUNCTION("""COMPUTED_VALUE"""),"BBW")</f>
        <v>BBW</v>
      </c>
      <c r="F850" s="208" t="str">
        <f>IFERROR(__xludf.DUMMYFUNCTION("""COMPUTED_VALUE"""),"B2G2 - June'26 - Entire Store")</f>
        <v>B2G2 - June'26 - Entire Store</v>
      </c>
      <c r="G850" s="208" t="str">
        <f>IFERROR(__xludf.DUMMYFUNCTION("""COMPUTED_VALUE"""),"bbw_wa_b2g2_5june_dormant_vad_offline")</f>
        <v>bbw_wa_b2g2_5june_dormant_vad_offline</v>
      </c>
      <c r="H850" s="232" t="str">
        <f>IFERROR(__xludf.DUMMYFUNCTION("""COMPUTED_VALUE"""),"BBW_OFF_Vadodara_Dorm")</f>
        <v>BBW_OFF_Vadodara_Dorm</v>
      </c>
      <c r="I850" s="233" t="str">
        <f>IFERROR(__xludf.DUMMYFUNCTION("""COMPUTED_VALUE"""),"All Offline Customers who have purchased at least 1 time from Txn_City VADODARA in the last 365 days excluding TTR purchasers")</f>
        <v>All Offline Customers who have purchased at least 1 time from Txn_City VADODARA in the last 365 days excluding TTR purchasers</v>
      </c>
      <c r="J850" s="275">
        <f>IFERROR(__xludf.DUMMYFUNCTION("""COMPUTED_VALUE"""),6338.0)</f>
        <v>6338</v>
      </c>
      <c r="K850" s="275">
        <f>IFERROR(__xludf.DUMMYFUNCTION("""COMPUTED_VALUE"""),3708.0)</f>
        <v>3708</v>
      </c>
      <c r="L850" s="276">
        <f>IFERROR(__xludf.DUMMYFUNCTION("""COMPUTED_VALUE"""),0.5309)</f>
        <v>0.5309</v>
      </c>
      <c r="M850" s="275">
        <f>IFERROR(__xludf.DUMMYFUNCTION("""COMPUTED_VALUE"""),1830.0)</f>
        <v>1830</v>
      </c>
      <c r="N850" s="276">
        <f>IFERROR(__xludf.DUMMYFUNCTION("""COMPUTED_VALUE"""),0.5328)</f>
        <v>0.5328</v>
      </c>
      <c r="O850" s="208">
        <f>IFERROR(__xludf.DUMMYFUNCTION("""COMPUTED_VALUE"""),129.0)</f>
        <v>129</v>
      </c>
      <c r="P850" s="208">
        <f>IFERROR(__xludf.DUMMYFUNCTION("""COMPUTED_VALUE"""),124.0)</f>
        <v>124</v>
      </c>
      <c r="Q850" s="276">
        <f>IFERROR(__xludf.DUMMYFUNCTION("""COMPUTED_VALUE"""),0.0368)</f>
        <v>0.0368</v>
      </c>
      <c r="R850" s="276">
        <f>IFERROR(__xludf.DUMMYFUNCTION("""COMPUTED_VALUE"""),0.0692)</f>
        <v>0.0692</v>
      </c>
      <c r="S850" s="208">
        <f>IFERROR(__xludf.DUMMYFUNCTION("""COMPUTED_VALUE"""),0.0)</f>
        <v>0</v>
      </c>
      <c r="T850" s="208">
        <f>IFERROR(__xludf.DUMMYFUNCTION("""COMPUTED_VALUE"""),2.0)</f>
        <v>2</v>
      </c>
      <c r="U850" s="275">
        <f>IFERROR(__xludf.DUMMYFUNCTION("""COMPUTED_VALUE"""),0.0)</f>
        <v>0</v>
      </c>
      <c r="V850" s="234" t="str">
        <f>IFERROR(__xludf.DUMMYFUNCTION("""COMPUTED_VALUE"""),"offline")</f>
        <v>offline</v>
      </c>
      <c r="W850" s="232" t="str">
        <f>IFERROR(__xludf.DUMMYFUNCTION("""COMPUTED_VALUE"""),"simple")</f>
        <v>simple</v>
      </c>
      <c r="X850" s="232" t="str">
        <f>IFERROR(__xludf.DUMMYFUNCTION("""COMPUTED_VALUE"""),"City Specific")</f>
        <v>City Specific</v>
      </c>
      <c r="Y850" s="232" t="str">
        <f>IFERROR(__xludf.DUMMYFUNCTION("""COMPUTED_VALUE"""),"5-7 June")</f>
        <v>5-7 June</v>
      </c>
      <c r="Z850" s="232" t="str">
        <f>IFERROR(__xludf.DUMMYFUNCTION("""COMPUTED_VALUE"""),"6a1d6f03e1ec416cc71bf4a0")</f>
        <v>6a1d6f03e1ec416cc71bf4a0</v>
      </c>
      <c r="AA850" s="277">
        <f>IFERROR(__xludf.DUMMYFUNCTION("""COMPUTED_VALUE"""),18.0)</f>
        <v>18</v>
      </c>
      <c r="AB850" s="277"/>
      <c r="AC850" s="277">
        <f>IFERROR(__xludf.DUMMYFUNCTION("""COMPUTED_VALUE"""),18.0)</f>
        <v>18</v>
      </c>
      <c r="AD850" s="277">
        <f>IFERROR(__xludf.DUMMYFUNCTION("""COMPUTED_VALUE"""),83008.0)</f>
        <v>83008</v>
      </c>
      <c r="AE850" s="277"/>
      <c r="AF850" s="277">
        <f>IFERROR(__xludf.DUMMYFUNCTION("""COMPUTED_VALUE"""),83008.0)</f>
        <v>83008</v>
      </c>
      <c r="AG850" s="208"/>
      <c r="AH850" s="208"/>
      <c r="AI850" s="208"/>
      <c r="AJ850" s="208"/>
      <c r="AK850" s="208"/>
    </row>
    <row r="851" hidden="1">
      <c r="A851" s="288">
        <f>IFERROR(__xludf.DUMMYFUNCTION("""COMPUTED_VALUE"""),46178.0)</f>
        <v>46178</v>
      </c>
      <c r="B851" s="274">
        <f>IFERROR(__xludf.DUMMYFUNCTION("""COMPUTED_VALUE"""),0.4583333333321207)</f>
        <v>0.4583333333</v>
      </c>
      <c r="C851" s="208" t="str">
        <f>IFERROR(__xludf.DUMMYFUNCTION("""COMPUTED_VALUE"""),"Whatsapp")</f>
        <v>Whatsapp</v>
      </c>
      <c r="D851" s="208" t="str">
        <f>IFERROR(__xludf.DUMMYFUNCTION("""COMPUTED_VALUE"""),"Promotional")</f>
        <v>Promotional</v>
      </c>
      <c r="E851" s="208" t="str">
        <f>IFERROR(__xludf.DUMMYFUNCTION("""COMPUTED_VALUE"""),"BBW")</f>
        <v>BBW</v>
      </c>
      <c r="F851" s="208" t="str">
        <f>IFERROR(__xludf.DUMMYFUNCTION("""COMPUTED_VALUE"""),"B2G2 - June'26 - Entire Store")</f>
        <v>B2G2 - June'26 - Entire Store</v>
      </c>
      <c r="G851" s="208" t="str">
        <f>IFERROR(__xludf.DUMMYFUNCTION("""COMPUTED_VALUE"""),"bbw_wa_b2g2_5june_dormant_kochi_offline")</f>
        <v>bbw_wa_b2g2_5june_dormant_kochi_offline</v>
      </c>
      <c r="H851" s="232" t="str">
        <f>IFERROR(__xludf.DUMMYFUNCTION("""COMPUTED_VALUE"""),"BBW_OFF_KOCHI_Dorm")</f>
        <v>BBW_OFF_KOCHI_Dorm</v>
      </c>
      <c r="I851" s="233" t="str">
        <f>IFERROR(__xludf.DUMMYFUNCTION("""COMPUTED_VALUE"""),"All Offline Customers who have purchased at least 1 time from Txn_City Kochi in the last 365 days excluding TTR purchasers")</f>
        <v>All Offline Customers who have purchased at least 1 time from Txn_City Kochi in the last 365 days excluding TTR purchasers</v>
      </c>
      <c r="J851" s="275">
        <f>IFERROR(__xludf.DUMMYFUNCTION("""COMPUTED_VALUE"""),5490.0)</f>
        <v>5490</v>
      </c>
      <c r="K851" s="275">
        <f>IFERROR(__xludf.DUMMYFUNCTION("""COMPUTED_VALUE"""),3048.0)</f>
        <v>3048</v>
      </c>
      <c r="L851" s="276">
        <f>IFERROR(__xludf.DUMMYFUNCTION("""COMPUTED_VALUE"""),0.5162)</f>
        <v>0.5162</v>
      </c>
      <c r="M851" s="275">
        <f>IFERROR(__xludf.DUMMYFUNCTION("""COMPUTED_VALUE"""),1211.0)</f>
        <v>1211</v>
      </c>
      <c r="N851" s="276">
        <f>IFERROR(__xludf.DUMMYFUNCTION("""COMPUTED_VALUE"""),0.4206)</f>
        <v>0.4206</v>
      </c>
      <c r="O851" s="208">
        <f>IFERROR(__xludf.DUMMYFUNCTION("""COMPUTED_VALUE"""),120.0)</f>
        <v>120</v>
      </c>
      <c r="P851" s="208">
        <f>IFERROR(__xludf.DUMMYFUNCTION("""COMPUTED_VALUE"""),110.0)</f>
        <v>110</v>
      </c>
      <c r="Q851" s="276">
        <f>IFERROR(__xludf.DUMMYFUNCTION("""COMPUTED_VALUE"""),0.0388)</f>
        <v>0.0388</v>
      </c>
      <c r="R851" s="276">
        <f>IFERROR(__xludf.DUMMYFUNCTION("""COMPUTED_VALUE"""),0.0923)</f>
        <v>0.0923</v>
      </c>
      <c r="S851" s="208">
        <f>IFERROR(__xludf.DUMMYFUNCTION("""COMPUTED_VALUE"""),2.0)</f>
        <v>2</v>
      </c>
      <c r="T851" s="208">
        <f>IFERROR(__xludf.DUMMYFUNCTION("""COMPUTED_VALUE"""),1.0)</f>
        <v>1</v>
      </c>
      <c r="U851" s="275">
        <f>IFERROR(__xludf.DUMMYFUNCTION("""COMPUTED_VALUE"""),9336.0)</f>
        <v>9336</v>
      </c>
      <c r="V851" s="234" t="str">
        <f>IFERROR(__xludf.DUMMYFUNCTION("""COMPUTED_VALUE"""),"offline")</f>
        <v>offline</v>
      </c>
      <c r="W851" s="232" t="str">
        <f>IFERROR(__xludf.DUMMYFUNCTION("""COMPUTED_VALUE"""),"simple")</f>
        <v>simple</v>
      </c>
      <c r="X851" s="232" t="str">
        <f>IFERROR(__xludf.DUMMYFUNCTION("""COMPUTED_VALUE"""),"City Specific")</f>
        <v>City Specific</v>
      </c>
      <c r="Y851" s="232" t="str">
        <f>IFERROR(__xludf.DUMMYFUNCTION("""COMPUTED_VALUE"""),"5-7 June")</f>
        <v>5-7 June</v>
      </c>
      <c r="Z851" s="232" t="str">
        <f>IFERROR(__xludf.DUMMYFUNCTION("""COMPUTED_VALUE"""),"6a1d6f3e7d2abe05a9a0d426")</f>
        <v>6a1d6f3e7d2abe05a9a0d426</v>
      </c>
      <c r="AA851" s="277">
        <f>IFERROR(__xludf.DUMMYFUNCTION("""COMPUTED_VALUE"""),5.0)</f>
        <v>5</v>
      </c>
      <c r="AB851" s="277"/>
      <c r="AC851" s="277">
        <f>IFERROR(__xludf.DUMMYFUNCTION("""COMPUTED_VALUE"""),5.0)</f>
        <v>5</v>
      </c>
      <c r="AD851" s="277">
        <f>IFERROR(__xludf.DUMMYFUNCTION("""COMPUTED_VALUE"""),23790.0)</f>
        <v>23790</v>
      </c>
      <c r="AE851" s="277"/>
      <c r="AF851" s="277">
        <f>IFERROR(__xludf.DUMMYFUNCTION("""COMPUTED_VALUE"""),23790.0)</f>
        <v>23790</v>
      </c>
      <c r="AG851" s="208"/>
      <c r="AH851" s="208"/>
      <c r="AI851" s="208"/>
      <c r="AJ851" s="208"/>
      <c r="AK851" s="208"/>
    </row>
    <row r="852" hidden="1">
      <c r="A852" s="288">
        <f>IFERROR(__xludf.DUMMYFUNCTION("""COMPUTED_VALUE"""),46178.0)</f>
        <v>46178</v>
      </c>
      <c r="B852" s="274">
        <f>IFERROR(__xludf.DUMMYFUNCTION("""COMPUTED_VALUE"""),0.4583333333321207)</f>
        <v>0.4583333333</v>
      </c>
      <c r="C852" s="208" t="str">
        <f>IFERROR(__xludf.DUMMYFUNCTION("""COMPUTED_VALUE"""),"Whatsapp")</f>
        <v>Whatsapp</v>
      </c>
      <c r="D852" s="208" t="str">
        <f>IFERROR(__xludf.DUMMYFUNCTION("""COMPUTED_VALUE"""),"Promotional")</f>
        <v>Promotional</v>
      </c>
      <c r="E852" s="208" t="str">
        <f>IFERROR(__xludf.DUMMYFUNCTION("""COMPUTED_VALUE"""),"BBW")</f>
        <v>BBW</v>
      </c>
      <c r="F852" s="208" t="str">
        <f>IFERROR(__xludf.DUMMYFUNCTION("""COMPUTED_VALUE"""),"B2G2 - June'26 - Entire Store")</f>
        <v>B2G2 - June'26 - Entire Store</v>
      </c>
      <c r="G852" s="208" t="str">
        <f>IFERROR(__xludf.DUMMYFUNCTION("""COMPUTED_VALUE"""),"bbw_wa_b2g2_5june_dormant_surat_offline")</f>
        <v>bbw_wa_b2g2_5june_dormant_surat_offline</v>
      </c>
      <c r="H852" s="232" t="str">
        <f>IFERROR(__xludf.DUMMYFUNCTION("""COMPUTED_VALUE"""),"BBW_OFF_Surat_Dorm")</f>
        <v>BBW_OFF_Surat_Dorm</v>
      </c>
      <c r="I852" s="233" t="str">
        <f>IFERROR(__xludf.DUMMYFUNCTION("""COMPUTED_VALUE"""),"All Offline Customers who have purchased at least 1 time from Txn_City Surat in the last 365 days excluding TTR purchasers")</f>
        <v>All Offline Customers who have purchased at least 1 time from Txn_City Surat in the last 365 days excluding TTR purchasers</v>
      </c>
      <c r="J852" s="275">
        <f>IFERROR(__xludf.DUMMYFUNCTION("""COMPUTED_VALUE"""),5175.0)</f>
        <v>5175</v>
      </c>
      <c r="K852" s="275">
        <f>IFERROR(__xludf.DUMMYFUNCTION("""COMPUTED_VALUE"""),3157.0)</f>
        <v>3157</v>
      </c>
      <c r="L852" s="276">
        <f>IFERROR(__xludf.DUMMYFUNCTION("""COMPUTED_VALUE"""),0.502)</f>
        <v>0.502</v>
      </c>
      <c r="M852" s="275">
        <f>IFERROR(__xludf.DUMMYFUNCTION("""COMPUTED_VALUE"""),1544.0)</f>
        <v>1544</v>
      </c>
      <c r="N852" s="276">
        <f>IFERROR(__xludf.DUMMYFUNCTION("""COMPUTED_VALUE"""),0.5847)</f>
        <v>0.5847</v>
      </c>
      <c r="O852" s="208">
        <f>IFERROR(__xludf.DUMMYFUNCTION("""COMPUTED_VALUE"""),108.0)</f>
        <v>108</v>
      </c>
      <c r="P852" s="208">
        <f>IFERROR(__xludf.DUMMYFUNCTION("""COMPUTED_VALUE"""),105.0)</f>
        <v>105</v>
      </c>
      <c r="Q852" s="276">
        <f>IFERROR(__xludf.DUMMYFUNCTION("""COMPUTED_VALUE"""),0.0404)</f>
        <v>0.0404</v>
      </c>
      <c r="R852" s="276">
        <f>IFERROR(__xludf.DUMMYFUNCTION("""COMPUTED_VALUE"""),0.0691)</f>
        <v>0.0691</v>
      </c>
      <c r="S852" s="208">
        <f>IFERROR(__xludf.DUMMYFUNCTION("""COMPUTED_VALUE"""),1.0)</f>
        <v>1</v>
      </c>
      <c r="T852" s="208">
        <f>IFERROR(__xludf.DUMMYFUNCTION("""COMPUTED_VALUE"""),2.0)</f>
        <v>2</v>
      </c>
      <c r="U852" s="275">
        <f>IFERROR(__xludf.DUMMYFUNCTION("""COMPUTED_VALUE"""),647.0)</f>
        <v>647</v>
      </c>
      <c r="V852" s="234" t="str">
        <f>IFERROR(__xludf.DUMMYFUNCTION("""COMPUTED_VALUE"""),"offline")</f>
        <v>offline</v>
      </c>
      <c r="W852" s="232" t="str">
        <f>IFERROR(__xludf.DUMMYFUNCTION("""COMPUTED_VALUE"""),"simple")</f>
        <v>simple</v>
      </c>
      <c r="X852" s="232" t="str">
        <f>IFERROR(__xludf.DUMMYFUNCTION("""COMPUTED_VALUE"""),"City Specific")</f>
        <v>City Specific</v>
      </c>
      <c r="Y852" s="232" t="str">
        <f>IFERROR(__xludf.DUMMYFUNCTION("""COMPUTED_VALUE"""),"5-7 June")</f>
        <v>5-7 June</v>
      </c>
      <c r="Z852" s="232" t="str">
        <f>IFERROR(__xludf.DUMMYFUNCTION("""COMPUTED_VALUE"""),"6a1d6f7757150fc6c81742d8")</f>
        <v>6a1d6f7757150fc6c81742d8</v>
      </c>
      <c r="AA852" s="277">
        <f>IFERROR(__xludf.DUMMYFUNCTION("""COMPUTED_VALUE"""),12.0)</f>
        <v>12</v>
      </c>
      <c r="AB852" s="277"/>
      <c r="AC852" s="277">
        <f>IFERROR(__xludf.DUMMYFUNCTION("""COMPUTED_VALUE"""),12.0)</f>
        <v>12</v>
      </c>
      <c r="AD852" s="277">
        <f>IFERROR(__xludf.DUMMYFUNCTION("""COMPUTED_VALUE"""),63269.0)</f>
        <v>63269</v>
      </c>
      <c r="AE852" s="277"/>
      <c r="AF852" s="277">
        <f>IFERROR(__xludf.DUMMYFUNCTION("""COMPUTED_VALUE"""),63269.0)</f>
        <v>63269</v>
      </c>
      <c r="AG852" s="208"/>
      <c r="AH852" s="208"/>
      <c r="AI852" s="208"/>
      <c r="AJ852" s="208"/>
      <c r="AK852" s="208"/>
    </row>
    <row r="853" hidden="1">
      <c r="A853" s="288">
        <f>IFERROR(__xludf.DUMMYFUNCTION("""COMPUTED_VALUE"""),46179.0)</f>
        <v>46179</v>
      </c>
      <c r="B853" s="274">
        <f>IFERROR(__xludf.DUMMYFUNCTION("""COMPUTED_VALUE"""),0.5)</f>
        <v>0.5</v>
      </c>
      <c r="C853" s="208" t="str">
        <f>IFERROR(__xludf.DUMMYFUNCTION("""COMPUTED_VALUE"""),"Whatsapp")</f>
        <v>Whatsapp</v>
      </c>
      <c r="D853" s="208" t="str">
        <f>IFERROR(__xludf.DUMMYFUNCTION("""COMPUTED_VALUE"""),"Promotional")</f>
        <v>Promotional</v>
      </c>
      <c r="E853" s="208" t="str">
        <f>IFERROR(__xludf.DUMMYFUNCTION("""COMPUTED_VALUE"""),"BBW")</f>
        <v>BBW</v>
      </c>
      <c r="F853" s="208" t="str">
        <f>IFERROR(__xludf.DUMMYFUNCTION("""COMPUTED_VALUE"""),"B2G2 - June'26 - Entire Store")</f>
        <v>B2G2 - June'26 - Entire Store</v>
      </c>
      <c r="G853" s="208" t="str">
        <f>IFERROR(__xludf.DUMMYFUNCTION("""COMPUTED_VALUE"""),"bbw_wa_b2g2_6june_lastreminder_blr_offline")</f>
        <v>bbw_wa_b2g2_6june_lastreminder_blr_offline</v>
      </c>
      <c r="H853" s="232" t="str">
        <f>IFERROR(__xludf.DUMMYFUNCTION("""COMPUTED_VALUE"""),"BBW_OFF_BLR_Active, BBW_OFF_BLR_Dorm")</f>
        <v>BBW_OFF_BLR_Active, BBW_OFF_BLR_Dorm</v>
      </c>
      <c r="I853" s="233" t="str">
        <f>IFERROR(__xludf.DUMMYFUNCTION("""COMPUTED_VALUE"""),"All Offline Customers who have purchased at least 1 time from Txn_City BLR in the last 112 days (TTR), All Offline Customers who have purchased at least 1 time from Txn_City BLR in the last 365 days excluding TTR purchasers")</f>
        <v>All Offline Customers who have purchased at least 1 time from Txn_City BLR in the last 112 days (TTR), All Offline Customers who have purchased at least 1 time from Txn_City BLR in the last 365 days excluding TTR purchasers</v>
      </c>
      <c r="J853" s="275">
        <f>IFERROR(__xludf.DUMMYFUNCTION("""COMPUTED_VALUE"""),76962.0)</f>
        <v>76962</v>
      </c>
      <c r="K853" s="275">
        <f>IFERROR(__xludf.DUMMYFUNCTION("""COMPUTED_VALUE"""),27679.0)</f>
        <v>27679</v>
      </c>
      <c r="L853" s="276">
        <f>IFERROR(__xludf.DUMMYFUNCTION("""COMPUTED_VALUE"""),0.3596)</f>
        <v>0.3596</v>
      </c>
      <c r="M853" s="275">
        <f>IFERROR(__xludf.DUMMYFUNCTION("""COMPUTED_VALUE"""),8895.0)</f>
        <v>8895</v>
      </c>
      <c r="N853" s="276">
        <f>IFERROR(__xludf.DUMMYFUNCTION("""COMPUTED_VALUE"""),0.3214)</f>
        <v>0.3214</v>
      </c>
      <c r="O853" s="208">
        <f>IFERROR(__xludf.DUMMYFUNCTION("""COMPUTED_VALUE"""),531.0)</f>
        <v>531</v>
      </c>
      <c r="P853" s="208">
        <f>IFERROR(__xludf.DUMMYFUNCTION("""COMPUTED_VALUE"""),510.0)</f>
        <v>510</v>
      </c>
      <c r="Q853" s="276">
        <f>IFERROR(__xludf.DUMMYFUNCTION("""COMPUTED_VALUE"""),0.0184)</f>
        <v>0.0184</v>
      </c>
      <c r="R853" s="276">
        <f>IFERROR(__xludf.DUMMYFUNCTION("""COMPUTED_VALUE"""),0.0573)</f>
        <v>0.0573</v>
      </c>
      <c r="S853" s="208">
        <f>IFERROR(__xludf.DUMMYFUNCTION("""COMPUTED_VALUE"""),1.0)</f>
        <v>1</v>
      </c>
      <c r="T853" s="208">
        <f>IFERROR(__xludf.DUMMYFUNCTION("""COMPUTED_VALUE"""),5.0)</f>
        <v>5</v>
      </c>
      <c r="U853" s="275">
        <f>IFERROR(__xludf.DUMMYFUNCTION("""COMPUTED_VALUE"""),9741.0)</f>
        <v>9741</v>
      </c>
      <c r="V853" s="234" t="str">
        <f>IFERROR(__xludf.DUMMYFUNCTION("""COMPUTED_VALUE"""),"offline")</f>
        <v>offline</v>
      </c>
      <c r="W853" s="232" t="str">
        <f>IFERROR(__xludf.DUMMYFUNCTION("""COMPUTED_VALUE"""),"simple")</f>
        <v>simple</v>
      </c>
      <c r="X853" s="232" t="str">
        <f>IFERROR(__xludf.DUMMYFUNCTION("""COMPUTED_VALUE"""),"City Specific")</f>
        <v>City Specific</v>
      </c>
      <c r="Y853" s="232" t="str">
        <f>IFERROR(__xludf.DUMMYFUNCTION("""COMPUTED_VALUE"""),"6-8 June")</f>
        <v>6-8 June</v>
      </c>
      <c r="Z853" s="232" t="str">
        <f>IFERROR(__xludf.DUMMYFUNCTION("""COMPUTED_VALUE"""),"6a1e9c9cd00ea35ba9dd212c")</f>
        <v>6a1e9c9cd00ea35ba9dd212c</v>
      </c>
      <c r="AA853" s="277">
        <f>IFERROR(__xludf.DUMMYFUNCTION("""COMPUTED_VALUE"""),95.0)</f>
        <v>95</v>
      </c>
      <c r="AB853" s="277"/>
      <c r="AC853" s="277">
        <f>IFERROR(__xludf.DUMMYFUNCTION("""COMPUTED_VALUE"""),95.0)</f>
        <v>95</v>
      </c>
      <c r="AD853" s="277">
        <f>IFERROR(__xludf.DUMMYFUNCTION("""COMPUTED_VALUE"""),459976.0)</f>
        <v>459976</v>
      </c>
      <c r="AE853" s="277"/>
      <c r="AF853" s="277">
        <f>IFERROR(__xludf.DUMMYFUNCTION("""COMPUTED_VALUE"""),459976.0)</f>
        <v>459976</v>
      </c>
      <c r="AG853" s="208"/>
      <c r="AH853" s="208"/>
      <c r="AI853" s="208"/>
      <c r="AJ853" s="208"/>
      <c r="AK853" s="208"/>
    </row>
    <row r="854" hidden="1">
      <c r="A854" s="288">
        <f>IFERROR(__xludf.DUMMYFUNCTION("""COMPUTED_VALUE"""),46179.0)</f>
        <v>46179</v>
      </c>
      <c r="B854" s="274">
        <f>IFERROR(__xludf.DUMMYFUNCTION("""COMPUTED_VALUE"""),0.5)</f>
        <v>0.5</v>
      </c>
      <c r="C854" s="208" t="str">
        <f>IFERROR(__xludf.DUMMYFUNCTION("""COMPUTED_VALUE"""),"Whatsapp")</f>
        <v>Whatsapp</v>
      </c>
      <c r="D854" s="208" t="str">
        <f>IFERROR(__xludf.DUMMYFUNCTION("""COMPUTED_VALUE"""),"Promotional")</f>
        <v>Promotional</v>
      </c>
      <c r="E854" s="208" t="str">
        <f>IFERROR(__xludf.DUMMYFUNCTION("""COMPUTED_VALUE"""),"BBW")</f>
        <v>BBW</v>
      </c>
      <c r="F854" s="208" t="str">
        <f>IFERROR(__xludf.DUMMYFUNCTION("""COMPUTED_VALUE"""),"B2G2 - June'26 - Entire Store")</f>
        <v>B2G2 - June'26 - Entire Store</v>
      </c>
      <c r="G854" s="208" t="str">
        <f>IFERROR(__xludf.DUMMYFUNCTION("""COMPUTED_VALUE"""),"bbw_wa_b2g2_6june_lastreminder_bom_offline")</f>
        <v>bbw_wa_b2g2_6june_lastreminder_bom_offline</v>
      </c>
      <c r="H854" s="232" t="str">
        <f>IFERROR(__xludf.DUMMYFUNCTION("""COMPUTED_VALUE"""),"BBW_OFF_BOM_Active, BBW_OFF_BOM_Dorm")</f>
        <v>BBW_OFF_BOM_Active, BBW_OFF_BOM_Dorm</v>
      </c>
      <c r="I854" s="233" t="str">
        <f>IFERROR(__xludf.DUMMYFUNCTION("""COMPUTED_VALUE"""),"All Offline Customers who have purchased at least 1 time from Txn_City BOM in the last 112 days (TTR), All Offline Customers who have purchased at least 1 time from Txn_City BOM in the last 365 days excluding TTR purchasers")</f>
        <v>All Offline Customers who have purchased at least 1 time from Txn_City BOM in the last 112 days (TTR), All Offline Customers who have purchased at least 1 time from Txn_City BOM in the last 365 days excluding TTR purchasers</v>
      </c>
      <c r="J854" s="275">
        <f>IFERROR(__xludf.DUMMYFUNCTION("""COMPUTED_VALUE"""),46410.0)</f>
        <v>46410</v>
      </c>
      <c r="K854" s="275">
        <f>IFERROR(__xludf.DUMMYFUNCTION("""COMPUTED_VALUE"""),17693.0)</f>
        <v>17693</v>
      </c>
      <c r="L854" s="276">
        <f>IFERROR(__xludf.DUMMYFUNCTION("""COMPUTED_VALUE"""),0.3812)</f>
        <v>0.3812</v>
      </c>
      <c r="M854" s="275">
        <f>IFERROR(__xludf.DUMMYFUNCTION("""COMPUTED_VALUE"""),6182.0)</f>
        <v>6182</v>
      </c>
      <c r="N854" s="276">
        <f>IFERROR(__xludf.DUMMYFUNCTION("""COMPUTED_VALUE"""),0.3494)</f>
        <v>0.3494</v>
      </c>
      <c r="O854" s="208">
        <f>IFERROR(__xludf.DUMMYFUNCTION("""COMPUTED_VALUE"""),396.0)</f>
        <v>396</v>
      </c>
      <c r="P854" s="208">
        <f>IFERROR(__xludf.DUMMYFUNCTION("""COMPUTED_VALUE"""),386.0)</f>
        <v>386</v>
      </c>
      <c r="Q854" s="276">
        <f>IFERROR(__xludf.DUMMYFUNCTION("""COMPUTED_VALUE"""),0.0218)</f>
        <v>0.0218</v>
      </c>
      <c r="R854" s="276">
        <f>IFERROR(__xludf.DUMMYFUNCTION("""COMPUTED_VALUE"""),0.0624)</f>
        <v>0.0624</v>
      </c>
      <c r="S854" s="208">
        <f>IFERROR(__xludf.DUMMYFUNCTION("""COMPUTED_VALUE"""),1.0)</f>
        <v>1</v>
      </c>
      <c r="T854" s="208">
        <f>IFERROR(__xludf.DUMMYFUNCTION("""COMPUTED_VALUE"""),8.0)</f>
        <v>8</v>
      </c>
      <c r="U854" s="275">
        <f>IFERROR(__xludf.DUMMYFUNCTION("""COMPUTED_VALUE"""),4768.0)</f>
        <v>4768</v>
      </c>
      <c r="V854" s="234" t="str">
        <f>IFERROR(__xludf.DUMMYFUNCTION("""COMPUTED_VALUE"""),"offline")</f>
        <v>offline</v>
      </c>
      <c r="W854" s="232" t="str">
        <f>IFERROR(__xludf.DUMMYFUNCTION("""COMPUTED_VALUE"""),"simple")</f>
        <v>simple</v>
      </c>
      <c r="X854" s="232" t="str">
        <f>IFERROR(__xludf.DUMMYFUNCTION("""COMPUTED_VALUE"""),"City Specific")</f>
        <v>City Specific</v>
      </c>
      <c r="Y854" s="232" t="str">
        <f>IFERROR(__xludf.DUMMYFUNCTION("""COMPUTED_VALUE"""),"6-8 June")</f>
        <v>6-8 June</v>
      </c>
      <c r="Z854" s="232" t="str">
        <f>IFERROR(__xludf.DUMMYFUNCTION("""COMPUTED_VALUE"""),"6a1e9cd3f1c84e52f5d2c39b")</f>
        <v>6a1e9cd3f1c84e52f5d2c39b</v>
      </c>
      <c r="AA854" s="277">
        <f>IFERROR(__xludf.DUMMYFUNCTION("""COMPUTED_VALUE"""),53.0)</f>
        <v>53</v>
      </c>
      <c r="AB854" s="277"/>
      <c r="AC854" s="277">
        <f>IFERROR(__xludf.DUMMYFUNCTION("""COMPUTED_VALUE"""),53.0)</f>
        <v>53</v>
      </c>
      <c r="AD854" s="277">
        <f>IFERROR(__xludf.DUMMYFUNCTION("""COMPUTED_VALUE"""),249204.0)</f>
        <v>249204</v>
      </c>
      <c r="AE854" s="277"/>
      <c r="AF854" s="277">
        <f>IFERROR(__xludf.DUMMYFUNCTION("""COMPUTED_VALUE"""),249204.0)</f>
        <v>249204</v>
      </c>
      <c r="AG854" s="208"/>
      <c r="AH854" s="208"/>
      <c r="AI854" s="208"/>
      <c r="AJ854" s="208"/>
      <c r="AK854" s="208"/>
    </row>
    <row r="855" hidden="1">
      <c r="A855" s="288">
        <f>IFERROR(__xludf.DUMMYFUNCTION("""COMPUTED_VALUE"""),46179.0)</f>
        <v>46179</v>
      </c>
      <c r="B855" s="274">
        <f>IFERROR(__xludf.DUMMYFUNCTION("""COMPUTED_VALUE"""),0.5)</f>
        <v>0.5</v>
      </c>
      <c r="C855" s="208" t="str">
        <f>IFERROR(__xludf.DUMMYFUNCTION("""COMPUTED_VALUE"""),"Whatsapp")</f>
        <v>Whatsapp</v>
      </c>
      <c r="D855" s="208" t="str">
        <f>IFERROR(__xludf.DUMMYFUNCTION("""COMPUTED_VALUE"""),"Promotional")</f>
        <v>Promotional</v>
      </c>
      <c r="E855" s="208" t="str">
        <f>IFERROR(__xludf.DUMMYFUNCTION("""COMPUTED_VALUE"""),"BBW")</f>
        <v>BBW</v>
      </c>
      <c r="F855" s="208" t="str">
        <f>IFERROR(__xludf.DUMMYFUNCTION("""COMPUTED_VALUE"""),"B2G2 - June'26 - Entire Store")</f>
        <v>B2G2 - June'26 - Entire Store</v>
      </c>
      <c r="G855" s="208" t="str">
        <f>IFERROR(__xludf.DUMMYFUNCTION("""COMPUTED_VALUE"""),"bbw_wa_b2g2_6june_lastreminder_ahd_offline")</f>
        <v>bbw_wa_b2g2_6june_lastreminder_ahd_offline</v>
      </c>
      <c r="H855" s="232" t="str">
        <f>IFERROR(__xludf.DUMMYFUNCTION("""COMPUTED_VALUE"""),"BBW_OFF_AHD_Active, BBW_OFF_AHD_Dorm")</f>
        <v>BBW_OFF_AHD_Active, BBW_OFF_AHD_Dorm</v>
      </c>
      <c r="I855" s="233" t="str">
        <f>IFERROR(__xludf.DUMMYFUNCTION("""COMPUTED_VALUE"""),"All Offline Customers who have purchased at least 1 time from Txn_City AHD in the last 112 days (TTR), All Offline Customers who have purchased at least 1 time from Txn_City AHD in the last 365 days excluding TTR purchasers")</f>
        <v>All Offline Customers who have purchased at least 1 time from Txn_City AHD in the last 112 days (TTR), All Offline Customers who have purchased at least 1 time from Txn_City AHD in the last 365 days excluding TTR purchasers</v>
      </c>
      <c r="J855" s="275">
        <f>IFERROR(__xludf.DUMMYFUNCTION("""COMPUTED_VALUE"""),25648.0)</f>
        <v>25648</v>
      </c>
      <c r="K855" s="275">
        <f>IFERROR(__xludf.DUMMYFUNCTION("""COMPUTED_VALUE"""),11924.0)</f>
        <v>11924</v>
      </c>
      <c r="L855" s="276">
        <f>IFERROR(__xludf.DUMMYFUNCTION("""COMPUTED_VALUE"""),0.4649)</f>
        <v>0.4649</v>
      </c>
      <c r="M855" s="275">
        <f>IFERROR(__xludf.DUMMYFUNCTION("""COMPUTED_VALUE"""),5071.0)</f>
        <v>5071</v>
      </c>
      <c r="N855" s="276">
        <f>IFERROR(__xludf.DUMMYFUNCTION("""COMPUTED_VALUE"""),0.4253)</f>
        <v>0.4253</v>
      </c>
      <c r="O855" s="208">
        <f>IFERROR(__xludf.DUMMYFUNCTION("""COMPUTED_VALUE"""),268.0)</f>
        <v>268</v>
      </c>
      <c r="P855" s="208">
        <f>IFERROR(__xludf.DUMMYFUNCTION("""COMPUTED_VALUE"""),260.0)</f>
        <v>260</v>
      </c>
      <c r="Q855" s="276">
        <f>IFERROR(__xludf.DUMMYFUNCTION("""COMPUTED_VALUE"""),0.0218)</f>
        <v>0.0218</v>
      </c>
      <c r="R855" s="276">
        <f>IFERROR(__xludf.DUMMYFUNCTION("""COMPUTED_VALUE"""),0.0513)</f>
        <v>0.0513</v>
      </c>
      <c r="S855" s="208">
        <f>IFERROR(__xludf.DUMMYFUNCTION("""COMPUTED_VALUE"""),0.0)</f>
        <v>0</v>
      </c>
      <c r="T855" s="208">
        <f>IFERROR(__xludf.DUMMYFUNCTION("""COMPUTED_VALUE"""),5.0)</f>
        <v>5</v>
      </c>
      <c r="U855" s="275">
        <f>IFERROR(__xludf.DUMMYFUNCTION("""COMPUTED_VALUE"""),0.0)</f>
        <v>0</v>
      </c>
      <c r="V855" s="234" t="str">
        <f>IFERROR(__xludf.DUMMYFUNCTION("""COMPUTED_VALUE"""),"offline")</f>
        <v>offline</v>
      </c>
      <c r="W855" s="232" t="str">
        <f>IFERROR(__xludf.DUMMYFUNCTION("""COMPUTED_VALUE"""),"simple")</f>
        <v>simple</v>
      </c>
      <c r="X855" s="232" t="str">
        <f>IFERROR(__xludf.DUMMYFUNCTION("""COMPUTED_VALUE"""),"City Specific")</f>
        <v>City Specific</v>
      </c>
      <c r="Y855" s="232" t="str">
        <f>IFERROR(__xludf.DUMMYFUNCTION("""COMPUTED_VALUE"""),"6-8 June")</f>
        <v>6-8 June</v>
      </c>
      <c r="Z855" s="232" t="str">
        <f>IFERROR(__xludf.DUMMYFUNCTION("""COMPUTED_VALUE"""),"6a1e9d12457d8c0d09817290")</f>
        <v>6a1e9d12457d8c0d09817290</v>
      </c>
      <c r="AA855" s="277">
        <f>IFERROR(__xludf.DUMMYFUNCTION("""COMPUTED_VALUE"""),32.0)</f>
        <v>32</v>
      </c>
      <c r="AB855" s="277"/>
      <c r="AC855" s="277">
        <f>IFERROR(__xludf.DUMMYFUNCTION("""COMPUTED_VALUE"""),32.0)</f>
        <v>32</v>
      </c>
      <c r="AD855" s="277">
        <f>IFERROR(__xludf.DUMMYFUNCTION("""COMPUTED_VALUE"""),159873.0)</f>
        <v>159873</v>
      </c>
      <c r="AE855" s="277"/>
      <c r="AF855" s="277">
        <f>IFERROR(__xludf.DUMMYFUNCTION("""COMPUTED_VALUE"""),159873.0)</f>
        <v>159873</v>
      </c>
      <c r="AG855" s="208"/>
      <c r="AH855" s="208"/>
      <c r="AI855" s="208"/>
      <c r="AJ855" s="208"/>
      <c r="AK855" s="208"/>
    </row>
    <row r="856" hidden="1">
      <c r="A856" s="288">
        <f>IFERROR(__xludf.DUMMYFUNCTION("""COMPUTED_VALUE"""),46179.0)</f>
        <v>46179</v>
      </c>
      <c r="B856" s="274">
        <f>IFERROR(__xludf.DUMMYFUNCTION("""COMPUTED_VALUE"""),0.5)</f>
        <v>0.5</v>
      </c>
      <c r="C856" s="208" t="str">
        <f>IFERROR(__xludf.DUMMYFUNCTION("""COMPUTED_VALUE"""),"Whatsapp")</f>
        <v>Whatsapp</v>
      </c>
      <c r="D856" s="208" t="str">
        <f>IFERROR(__xludf.DUMMYFUNCTION("""COMPUTED_VALUE"""),"Promotional")</f>
        <v>Promotional</v>
      </c>
      <c r="E856" s="208" t="str">
        <f>IFERROR(__xludf.DUMMYFUNCTION("""COMPUTED_VALUE"""),"BBW")</f>
        <v>BBW</v>
      </c>
      <c r="F856" s="208" t="str">
        <f>IFERROR(__xludf.DUMMYFUNCTION("""COMPUTED_VALUE"""),"B2G2 - June'26 - Entire Store")</f>
        <v>B2G2 - June'26 - Entire Store</v>
      </c>
      <c r="G856" s="208" t="str">
        <f>IFERROR(__xludf.DUMMYFUNCTION("""COMPUTED_VALUE"""),"bbw_wa_b2g2_6june_lastreminder_pune_offline")</f>
        <v>bbw_wa_b2g2_6june_lastreminder_pune_offline</v>
      </c>
      <c r="H856" s="232" t="str">
        <f>IFERROR(__xludf.DUMMYFUNCTION("""COMPUTED_VALUE"""),"BBW_OFF_PUNE_Active, BBW_OFF_PUNE_Dorm")</f>
        <v>BBW_OFF_PUNE_Active, BBW_OFF_PUNE_Dorm</v>
      </c>
      <c r="I856" s="233" t="str">
        <f>IFERROR(__xludf.DUMMYFUNCTION("""COMPUTED_VALUE"""),"All Offline Customers who have purchased at least 1 time from Txn_City PUNE in the last 112 days (TTR), All Offline Customers who have purchased at least 1 time from Txn_City PUNE in the last 365 days excluding TTR purchasers")</f>
        <v>All Offline Customers who have purchased at least 1 time from Txn_City PUNE in the last 112 days (TTR), All Offline Customers who have purchased at least 1 time from Txn_City PUNE in the last 365 days excluding TTR purchasers</v>
      </c>
      <c r="J856" s="275">
        <f>IFERROR(__xludf.DUMMYFUNCTION("""COMPUTED_VALUE"""),12823.0)</f>
        <v>12823</v>
      </c>
      <c r="K856" s="275">
        <f>IFERROR(__xludf.DUMMYFUNCTION("""COMPUTED_VALUE"""),5223.0)</f>
        <v>5223</v>
      </c>
      <c r="L856" s="276">
        <f>IFERROR(__xludf.DUMMYFUNCTION("""COMPUTED_VALUE"""),0.4072)</f>
        <v>0.4072</v>
      </c>
      <c r="M856" s="275">
        <f>IFERROR(__xludf.DUMMYFUNCTION("""COMPUTED_VALUE"""),1794.0)</f>
        <v>1794</v>
      </c>
      <c r="N856" s="276">
        <f>IFERROR(__xludf.DUMMYFUNCTION("""COMPUTED_VALUE"""),0.3435)</f>
        <v>0.3435</v>
      </c>
      <c r="O856" s="208">
        <f>IFERROR(__xludf.DUMMYFUNCTION("""COMPUTED_VALUE"""),121.0)</f>
        <v>121</v>
      </c>
      <c r="P856" s="208">
        <f>IFERROR(__xludf.DUMMYFUNCTION("""COMPUTED_VALUE"""),112.0)</f>
        <v>112</v>
      </c>
      <c r="Q856" s="276">
        <f>IFERROR(__xludf.DUMMYFUNCTION("""COMPUTED_VALUE"""),0.0214)</f>
        <v>0.0214</v>
      </c>
      <c r="R856" s="276">
        <f>IFERROR(__xludf.DUMMYFUNCTION("""COMPUTED_VALUE"""),0.0624)</f>
        <v>0.0624</v>
      </c>
      <c r="S856" s="208">
        <f>IFERROR(__xludf.DUMMYFUNCTION("""COMPUTED_VALUE"""),0.0)</f>
        <v>0</v>
      </c>
      <c r="T856" s="208">
        <f>IFERROR(__xludf.DUMMYFUNCTION("""COMPUTED_VALUE"""),3.0)</f>
        <v>3</v>
      </c>
      <c r="U856" s="275">
        <f>IFERROR(__xludf.DUMMYFUNCTION("""COMPUTED_VALUE"""),0.0)</f>
        <v>0</v>
      </c>
      <c r="V856" s="234" t="str">
        <f>IFERROR(__xludf.DUMMYFUNCTION("""COMPUTED_VALUE"""),"offline")</f>
        <v>offline</v>
      </c>
      <c r="W856" s="232" t="str">
        <f>IFERROR(__xludf.DUMMYFUNCTION("""COMPUTED_VALUE"""),"simple")</f>
        <v>simple</v>
      </c>
      <c r="X856" s="232" t="str">
        <f>IFERROR(__xludf.DUMMYFUNCTION("""COMPUTED_VALUE"""),"City Specific")</f>
        <v>City Specific</v>
      </c>
      <c r="Y856" s="232" t="str">
        <f>IFERROR(__xludf.DUMMYFUNCTION("""COMPUTED_VALUE"""),"6-8 June")</f>
        <v>6-8 June</v>
      </c>
      <c r="Z856" s="232" t="str">
        <f>IFERROR(__xludf.DUMMYFUNCTION("""COMPUTED_VALUE"""),"6a1e9d374ef88d8ff4e624f5")</f>
        <v>6a1e9d374ef88d8ff4e624f5</v>
      </c>
      <c r="AA856" s="277">
        <f>IFERROR(__xludf.DUMMYFUNCTION("""COMPUTED_VALUE"""),21.0)</f>
        <v>21</v>
      </c>
      <c r="AB856" s="277"/>
      <c r="AC856" s="277">
        <f>IFERROR(__xludf.DUMMYFUNCTION("""COMPUTED_VALUE"""),21.0)</f>
        <v>21</v>
      </c>
      <c r="AD856" s="277">
        <f>IFERROR(__xludf.DUMMYFUNCTION("""COMPUTED_VALUE"""),110343.0)</f>
        <v>110343</v>
      </c>
      <c r="AE856" s="277"/>
      <c r="AF856" s="277">
        <f>IFERROR(__xludf.DUMMYFUNCTION("""COMPUTED_VALUE"""),110343.0)</f>
        <v>110343</v>
      </c>
      <c r="AG856" s="208"/>
      <c r="AH856" s="208"/>
      <c r="AI856" s="208"/>
      <c r="AJ856" s="208"/>
      <c r="AK856" s="208"/>
    </row>
    <row r="857" hidden="1">
      <c r="A857" s="288">
        <f>IFERROR(__xludf.DUMMYFUNCTION("""COMPUTED_VALUE"""),46179.0)</f>
        <v>46179</v>
      </c>
      <c r="B857" s="274">
        <f>IFERROR(__xludf.DUMMYFUNCTION("""COMPUTED_VALUE"""),0.5)</f>
        <v>0.5</v>
      </c>
      <c r="C857" s="208" t="str">
        <f>IFERROR(__xludf.DUMMYFUNCTION("""COMPUTED_VALUE"""),"Whatsapp")</f>
        <v>Whatsapp</v>
      </c>
      <c r="D857" s="208" t="str">
        <f>IFERROR(__xludf.DUMMYFUNCTION("""COMPUTED_VALUE"""),"Promotional")</f>
        <v>Promotional</v>
      </c>
      <c r="E857" s="208" t="str">
        <f>IFERROR(__xludf.DUMMYFUNCTION("""COMPUTED_VALUE"""),"BBW")</f>
        <v>BBW</v>
      </c>
      <c r="F857" s="208" t="str">
        <f>IFERROR(__xludf.DUMMYFUNCTION("""COMPUTED_VALUE"""),"B2G2 - June'26 - Entire Store")</f>
        <v>B2G2 - June'26 - Entire Store</v>
      </c>
      <c r="G857" s="208" t="str">
        <f>IFERROR(__xludf.DUMMYFUNCTION("""COMPUTED_VALUE"""),"bbw_wa_b2g2_6june_lastreminder_del_offline")</f>
        <v>bbw_wa_b2g2_6june_lastreminder_del_offline</v>
      </c>
      <c r="H857" s="232" t="str">
        <f>IFERROR(__xludf.DUMMYFUNCTION("""COMPUTED_VALUE"""),"BBW_OFF_DEL_Active, BBW_OFF_DEL_Dorm")</f>
        <v>BBW_OFF_DEL_Active, BBW_OFF_DEL_Dorm</v>
      </c>
      <c r="I857" s="233" t="str">
        <f>IFERROR(__xludf.DUMMYFUNCTION("""COMPUTED_VALUE"""),"All Offline Customers who have purchased at least 1 time from Txn_City DEL in the last 112 days (TTR), All Offline Customers who have purchased at least 1 time from Txn_City DEL in the last 365 days excluding TTR purchasers")</f>
        <v>All Offline Customers who have purchased at least 1 time from Txn_City DEL in the last 112 days (TTR), All Offline Customers who have purchased at least 1 time from Txn_City DEL in the last 365 days excluding TTR purchasers</v>
      </c>
      <c r="J857" s="275">
        <f>IFERROR(__xludf.DUMMYFUNCTION("""COMPUTED_VALUE"""),50018.0)</f>
        <v>50018</v>
      </c>
      <c r="K857" s="275">
        <f>IFERROR(__xludf.DUMMYFUNCTION("""COMPUTED_VALUE"""),19098.0)</f>
        <v>19098</v>
      </c>
      <c r="L857" s="276">
        <f>IFERROR(__xludf.DUMMYFUNCTION("""COMPUTED_VALUE"""),0.3818)</f>
        <v>0.3818</v>
      </c>
      <c r="M857" s="275">
        <f>IFERROR(__xludf.DUMMYFUNCTION("""COMPUTED_VALUE"""),5666.0)</f>
        <v>5666</v>
      </c>
      <c r="N857" s="276">
        <f>IFERROR(__xludf.DUMMYFUNCTION("""COMPUTED_VALUE"""),0.2967)</f>
        <v>0.2967</v>
      </c>
      <c r="O857" s="208">
        <f>IFERROR(__xludf.DUMMYFUNCTION("""COMPUTED_VALUE"""),393.0)</f>
        <v>393</v>
      </c>
      <c r="P857" s="208">
        <f>IFERROR(__xludf.DUMMYFUNCTION("""COMPUTED_VALUE"""),378.0)</f>
        <v>378</v>
      </c>
      <c r="Q857" s="276">
        <f>IFERROR(__xludf.DUMMYFUNCTION("""COMPUTED_VALUE"""),0.0198)</f>
        <v>0.0198</v>
      </c>
      <c r="R857" s="276">
        <f>IFERROR(__xludf.DUMMYFUNCTION("""COMPUTED_VALUE"""),0.0667)</f>
        <v>0.0667</v>
      </c>
      <c r="S857" s="208">
        <f>IFERROR(__xludf.DUMMYFUNCTION("""COMPUTED_VALUE"""),2.0)</f>
        <v>2</v>
      </c>
      <c r="T857" s="208">
        <f>IFERROR(__xludf.DUMMYFUNCTION("""COMPUTED_VALUE"""),4.0)</f>
        <v>4</v>
      </c>
      <c r="U857" s="275">
        <f>IFERROR(__xludf.DUMMYFUNCTION("""COMPUTED_VALUE"""),7336.0)</f>
        <v>7336</v>
      </c>
      <c r="V857" s="234" t="str">
        <f>IFERROR(__xludf.DUMMYFUNCTION("""COMPUTED_VALUE"""),"offline")</f>
        <v>offline</v>
      </c>
      <c r="W857" s="232" t="str">
        <f>IFERROR(__xludf.DUMMYFUNCTION("""COMPUTED_VALUE"""),"simple")</f>
        <v>simple</v>
      </c>
      <c r="X857" s="232" t="str">
        <f>IFERROR(__xludf.DUMMYFUNCTION("""COMPUTED_VALUE"""),"City Specific")</f>
        <v>City Specific</v>
      </c>
      <c r="Y857" s="232" t="str">
        <f>IFERROR(__xludf.DUMMYFUNCTION("""COMPUTED_VALUE"""),"6-8 June")</f>
        <v>6-8 June</v>
      </c>
      <c r="Z857" s="232" t="str">
        <f>IFERROR(__xludf.DUMMYFUNCTION("""COMPUTED_VALUE"""),"6a1e9e5dc5a91454409fc21d")</f>
        <v>6a1e9e5dc5a91454409fc21d</v>
      </c>
      <c r="AA857" s="277">
        <f>IFERROR(__xludf.DUMMYFUNCTION("""COMPUTED_VALUE"""),85.0)</f>
        <v>85</v>
      </c>
      <c r="AB857" s="277"/>
      <c r="AC857" s="277">
        <f>IFERROR(__xludf.DUMMYFUNCTION("""COMPUTED_VALUE"""),85.0)</f>
        <v>85</v>
      </c>
      <c r="AD857" s="277">
        <f>IFERROR(__xludf.DUMMYFUNCTION("""COMPUTED_VALUE"""),462403.0)</f>
        <v>462403</v>
      </c>
      <c r="AE857" s="277"/>
      <c r="AF857" s="277">
        <f>IFERROR(__xludf.DUMMYFUNCTION("""COMPUTED_VALUE"""),462403.0)</f>
        <v>462403</v>
      </c>
      <c r="AG857" s="208"/>
      <c r="AH857" s="208"/>
      <c r="AI857" s="208"/>
      <c r="AJ857" s="208"/>
      <c r="AK857" s="208"/>
    </row>
    <row r="858" hidden="1">
      <c r="A858" s="288">
        <f>IFERROR(__xludf.DUMMYFUNCTION("""COMPUTED_VALUE"""),46179.0)</f>
        <v>46179</v>
      </c>
      <c r="B858" s="274">
        <f>IFERROR(__xludf.DUMMYFUNCTION("""COMPUTED_VALUE"""),0.5)</f>
        <v>0.5</v>
      </c>
      <c r="C858" s="208" t="str">
        <f>IFERROR(__xludf.DUMMYFUNCTION("""COMPUTED_VALUE"""),"Whatsapp")</f>
        <v>Whatsapp</v>
      </c>
      <c r="D858" s="208" t="str">
        <f>IFERROR(__xludf.DUMMYFUNCTION("""COMPUTED_VALUE"""),"Promotional")</f>
        <v>Promotional</v>
      </c>
      <c r="E858" s="208" t="str">
        <f>IFERROR(__xludf.DUMMYFUNCTION("""COMPUTED_VALUE"""),"BBW")</f>
        <v>BBW</v>
      </c>
      <c r="F858" s="208" t="str">
        <f>IFERROR(__xludf.DUMMYFUNCTION("""COMPUTED_VALUE"""),"B2G2 - June'26 - Entire Store")</f>
        <v>B2G2 - June'26 - Entire Store</v>
      </c>
      <c r="G858" s="208" t="str">
        <f>IFERROR(__xludf.DUMMYFUNCTION("""COMPUTED_VALUE"""),"bbw_wa_b2g2_6june_lastreminder_chenn_offline")</f>
        <v>bbw_wa_b2g2_6june_lastreminder_chenn_offline</v>
      </c>
      <c r="H858" s="232" t="str">
        <f>IFERROR(__xludf.DUMMYFUNCTION("""COMPUTED_VALUE"""),"BBW_OFF_Chennai_Active, BBW_OFF_Chennai_Dorm")</f>
        <v>BBW_OFF_Chennai_Active, BBW_OFF_Chennai_Dorm</v>
      </c>
      <c r="I858" s="233" t="str">
        <f>IFERROR(__xludf.DUMMYFUNCTION("""COMPUTED_VALUE"""),"All Offline Customers who have purchased at least 1 time from Txn_City CHENNAI in the last 112 days (TTR), All Offline Customers who have purchased at least 1 time from Txn_City CHENNAI in the last 365 days excluding TTR purchasers")</f>
        <v>All Offline Customers who have purchased at least 1 time from Txn_City CHENNAI in the last 112 days (TTR), All Offline Customers who have purchased at least 1 time from Txn_City CHENNAI in the last 365 days excluding TTR purchasers</v>
      </c>
      <c r="J858" s="275">
        <f>IFERROR(__xludf.DUMMYFUNCTION("""COMPUTED_VALUE"""),21557.0)</f>
        <v>21557</v>
      </c>
      <c r="K858" s="275">
        <f>IFERROR(__xludf.DUMMYFUNCTION("""COMPUTED_VALUE"""),8943.0)</f>
        <v>8943</v>
      </c>
      <c r="L858" s="276">
        <f>IFERROR(__xludf.DUMMYFUNCTION("""COMPUTED_VALUE"""),0.4149)</f>
        <v>0.4149</v>
      </c>
      <c r="M858" s="275">
        <f>IFERROR(__xludf.DUMMYFUNCTION("""COMPUTED_VALUE"""),3202.0)</f>
        <v>3202</v>
      </c>
      <c r="N858" s="276">
        <f>IFERROR(__xludf.DUMMYFUNCTION("""COMPUTED_VALUE"""),0.358)</f>
        <v>0.358</v>
      </c>
      <c r="O858" s="208">
        <f>IFERROR(__xludf.DUMMYFUNCTION("""COMPUTED_VALUE"""),219.0)</f>
        <v>219</v>
      </c>
      <c r="P858" s="208">
        <f>IFERROR(__xludf.DUMMYFUNCTION("""COMPUTED_VALUE"""),201.0)</f>
        <v>201</v>
      </c>
      <c r="Q858" s="276">
        <f>IFERROR(__xludf.DUMMYFUNCTION("""COMPUTED_VALUE"""),0.0225)</f>
        <v>0.0225</v>
      </c>
      <c r="R858" s="276">
        <f>IFERROR(__xludf.DUMMYFUNCTION("""COMPUTED_VALUE"""),0.0628)</f>
        <v>0.0628</v>
      </c>
      <c r="S858" s="208">
        <f>IFERROR(__xludf.DUMMYFUNCTION("""COMPUTED_VALUE"""),0.0)</f>
        <v>0</v>
      </c>
      <c r="T858" s="208">
        <f>IFERROR(__xludf.DUMMYFUNCTION("""COMPUTED_VALUE"""),1.0)</f>
        <v>1</v>
      </c>
      <c r="U858" s="275">
        <f>IFERROR(__xludf.DUMMYFUNCTION("""COMPUTED_VALUE"""),0.0)</f>
        <v>0</v>
      </c>
      <c r="V858" s="234" t="str">
        <f>IFERROR(__xludf.DUMMYFUNCTION("""COMPUTED_VALUE"""),"offline")</f>
        <v>offline</v>
      </c>
      <c r="W858" s="232" t="str">
        <f>IFERROR(__xludf.DUMMYFUNCTION("""COMPUTED_VALUE"""),"simple")</f>
        <v>simple</v>
      </c>
      <c r="X858" s="232" t="str">
        <f>IFERROR(__xludf.DUMMYFUNCTION("""COMPUTED_VALUE"""),"City Specific")</f>
        <v>City Specific</v>
      </c>
      <c r="Y858" s="232" t="str">
        <f>IFERROR(__xludf.DUMMYFUNCTION("""COMPUTED_VALUE"""),"6-8 June")</f>
        <v>6-8 June</v>
      </c>
      <c r="Z858" s="232" t="str">
        <f>IFERROR(__xludf.DUMMYFUNCTION("""COMPUTED_VALUE"""),"6a1e9e924004b5a5cb7d964f")</f>
        <v>6a1e9e924004b5a5cb7d964f</v>
      </c>
      <c r="AA858" s="277">
        <f>IFERROR(__xludf.DUMMYFUNCTION("""COMPUTED_VALUE"""),45.0)</f>
        <v>45</v>
      </c>
      <c r="AB858" s="277"/>
      <c r="AC858" s="277">
        <f>IFERROR(__xludf.DUMMYFUNCTION("""COMPUTED_VALUE"""),45.0)</f>
        <v>45</v>
      </c>
      <c r="AD858" s="277">
        <f>IFERROR(__xludf.DUMMYFUNCTION("""COMPUTED_VALUE"""),271396.0)</f>
        <v>271396</v>
      </c>
      <c r="AE858" s="277"/>
      <c r="AF858" s="277">
        <f>IFERROR(__xludf.DUMMYFUNCTION("""COMPUTED_VALUE"""),271396.0)</f>
        <v>271396</v>
      </c>
      <c r="AG858" s="208"/>
      <c r="AH858" s="208"/>
      <c r="AI858" s="208"/>
      <c r="AJ858" s="208"/>
      <c r="AK858" s="208"/>
    </row>
    <row r="859" hidden="1">
      <c r="A859" s="288">
        <f>IFERROR(__xludf.DUMMYFUNCTION("""COMPUTED_VALUE"""),46179.0)</f>
        <v>46179</v>
      </c>
      <c r="B859" s="274">
        <f>IFERROR(__xludf.DUMMYFUNCTION("""COMPUTED_VALUE"""),0.5)</f>
        <v>0.5</v>
      </c>
      <c r="C859" s="208" t="str">
        <f>IFERROR(__xludf.DUMMYFUNCTION("""COMPUTED_VALUE"""),"Whatsapp")</f>
        <v>Whatsapp</v>
      </c>
      <c r="D859" s="208" t="str">
        <f>IFERROR(__xludf.DUMMYFUNCTION("""COMPUTED_VALUE"""),"Promotional")</f>
        <v>Promotional</v>
      </c>
      <c r="E859" s="208" t="str">
        <f>IFERROR(__xludf.DUMMYFUNCTION("""COMPUTED_VALUE"""),"BBW")</f>
        <v>BBW</v>
      </c>
      <c r="F859" s="208" t="str">
        <f>IFERROR(__xludf.DUMMYFUNCTION("""COMPUTED_VALUE"""),"B2G2 - June'26 - Entire Store")</f>
        <v>B2G2 - June'26 - Entire Store</v>
      </c>
      <c r="G859" s="208" t="str">
        <f>IFERROR(__xludf.DUMMYFUNCTION("""COMPUTED_VALUE"""),"bbw_wa_b2g2_6june_lastreminder_hyd_offline")</f>
        <v>bbw_wa_b2g2_6june_lastreminder_hyd_offline</v>
      </c>
      <c r="H859" s="232" t="str">
        <f>IFERROR(__xludf.DUMMYFUNCTION("""COMPUTED_VALUE"""),"BBW_OFF_HYD_Active, BBW_OFF_HYD_Dorm")</f>
        <v>BBW_OFF_HYD_Active, BBW_OFF_HYD_Dorm</v>
      </c>
      <c r="I859" s="233" t="str">
        <f>IFERROR(__xludf.DUMMYFUNCTION("""COMPUTED_VALUE"""),"All Offline Customers who have purchased at least 1 time from Txn_City HYD in the last 112 days (TTR), All Offline Customers who have purchased at least 1 time from Txn_City HYD in the last 365 days excluding TTR purchasers")</f>
        <v>All Offline Customers who have purchased at least 1 time from Txn_City HYD in the last 112 days (TTR), All Offline Customers who have purchased at least 1 time from Txn_City HYD in the last 365 days excluding TTR purchasers</v>
      </c>
      <c r="J859" s="275">
        <f>IFERROR(__xludf.DUMMYFUNCTION("""COMPUTED_VALUE"""),28068.0)</f>
        <v>28068</v>
      </c>
      <c r="K859" s="275">
        <f>IFERROR(__xludf.DUMMYFUNCTION("""COMPUTED_VALUE"""),10768.0)</f>
        <v>10768</v>
      </c>
      <c r="L859" s="276">
        <f>IFERROR(__xludf.DUMMYFUNCTION("""COMPUTED_VALUE"""),0.3836)</f>
        <v>0.3836</v>
      </c>
      <c r="M859" s="275">
        <f>IFERROR(__xludf.DUMMYFUNCTION("""COMPUTED_VALUE"""),3728.0)</f>
        <v>3728</v>
      </c>
      <c r="N859" s="276">
        <f>IFERROR(__xludf.DUMMYFUNCTION("""COMPUTED_VALUE"""),0.3463)</f>
        <v>0.3463</v>
      </c>
      <c r="O859" s="208">
        <f>IFERROR(__xludf.DUMMYFUNCTION("""COMPUTED_VALUE"""),191.0)</f>
        <v>191</v>
      </c>
      <c r="P859" s="208">
        <f>IFERROR(__xludf.DUMMYFUNCTION("""COMPUTED_VALUE"""),177.0)</f>
        <v>177</v>
      </c>
      <c r="Q859" s="276">
        <f>IFERROR(__xludf.DUMMYFUNCTION("""COMPUTED_VALUE"""),0.0164)</f>
        <v>0.0164</v>
      </c>
      <c r="R859" s="276">
        <f>IFERROR(__xludf.DUMMYFUNCTION("""COMPUTED_VALUE"""),0.0475)</f>
        <v>0.0475</v>
      </c>
      <c r="S859" s="208">
        <f>IFERROR(__xludf.DUMMYFUNCTION("""COMPUTED_VALUE"""),2.0)</f>
        <v>2</v>
      </c>
      <c r="T859" s="208">
        <f>IFERROR(__xludf.DUMMYFUNCTION("""COMPUTED_VALUE"""),6.0)</f>
        <v>6</v>
      </c>
      <c r="U859" s="275">
        <f>IFERROR(__xludf.DUMMYFUNCTION("""COMPUTED_VALUE"""),8454.0)</f>
        <v>8454</v>
      </c>
      <c r="V859" s="234" t="str">
        <f>IFERROR(__xludf.DUMMYFUNCTION("""COMPUTED_VALUE"""),"offline")</f>
        <v>offline</v>
      </c>
      <c r="W859" s="232" t="str">
        <f>IFERROR(__xludf.DUMMYFUNCTION("""COMPUTED_VALUE"""),"simple")</f>
        <v>simple</v>
      </c>
      <c r="X859" s="232" t="str">
        <f>IFERROR(__xludf.DUMMYFUNCTION("""COMPUTED_VALUE"""),"City Specific")</f>
        <v>City Specific</v>
      </c>
      <c r="Y859" s="232" t="str">
        <f>IFERROR(__xludf.DUMMYFUNCTION("""COMPUTED_VALUE"""),"6-8 June")</f>
        <v>6-8 June</v>
      </c>
      <c r="Z859" s="232" t="str">
        <f>IFERROR(__xludf.DUMMYFUNCTION("""COMPUTED_VALUE"""),"6a1e9ebfa6a7ccb733ef3ec6")</f>
        <v>6a1e9ebfa6a7ccb733ef3ec6</v>
      </c>
      <c r="AA859" s="277">
        <f>IFERROR(__xludf.DUMMYFUNCTION("""COMPUTED_VALUE"""),24.0)</f>
        <v>24</v>
      </c>
      <c r="AB859" s="277"/>
      <c r="AC859" s="277">
        <f>IFERROR(__xludf.DUMMYFUNCTION("""COMPUTED_VALUE"""),24.0)</f>
        <v>24</v>
      </c>
      <c r="AD859" s="277">
        <f>IFERROR(__xludf.DUMMYFUNCTION("""COMPUTED_VALUE"""),128633.0)</f>
        <v>128633</v>
      </c>
      <c r="AE859" s="277"/>
      <c r="AF859" s="277">
        <f>IFERROR(__xludf.DUMMYFUNCTION("""COMPUTED_VALUE"""),128633.0)</f>
        <v>128633</v>
      </c>
      <c r="AG859" s="208"/>
      <c r="AH859" s="208"/>
      <c r="AI859" s="208"/>
      <c r="AJ859" s="208"/>
      <c r="AK859" s="208"/>
    </row>
    <row r="860" hidden="1">
      <c r="A860" s="288">
        <f>IFERROR(__xludf.DUMMYFUNCTION("""COMPUTED_VALUE"""),46179.0)</f>
        <v>46179</v>
      </c>
      <c r="B860" s="274">
        <f>IFERROR(__xludf.DUMMYFUNCTION("""COMPUTED_VALUE"""),0.5)</f>
        <v>0.5</v>
      </c>
      <c r="C860" s="208" t="str">
        <f>IFERROR(__xludf.DUMMYFUNCTION("""COMPUTED_VALUE"""),"Whatsapp")</f>
        <v>Whatsapp</v>
      </c>
      <c r="D860" s="208" t="str">
        <f>IFERROR(__xludf.DUMMYFUNCTION("""COMPUTED_VALUE"""),"Promotional")</f>
        <v>Promotional</v>
      </c>
      <c r="E860" s="208" t="str">
        <f>IFERROR(__xludf.DUMMYFUNCTION("""COMPUTED_VALUE"""),"BBW")</f>
        <v>BBW</v>
      </c>
      <c r="F860" s="208" t="str">
        <f>IFERROR(__xludf.DUMMYFUNCTION("""COMPUTED_VALUE"""),"B2G2 - June'26 - Entire Store")</f>
        <v>B2G2 - June'26 - Entire Store</v>
      </c>
      <c r="G860" s="208" t="str">
        <f>IFERROR(__xludf.DUMMYFUNCTION("""COMPUTED_VALUE"""),"bbw_wa_b2g2_6june_lastreminder_chd_offline")</f>
        <v>bbw_wa_b2g2_6june_lastreminder_chd_offline</v>
      </c>
      <c r="H860" s="232" t="str">
        <f>IFERROR(__xludf.DUMMYFUNCTION("""COMPUTED_VALUE"""),"BBW_OFF_CHD_Active, BBW_OFF_CHD_Dorm")</f>
        <v>BBW_OFF_CHD_Active, BBW_OFF_CHD_Dorm</v>
      </c>
      <c r="I860" s="233" t="str">
        <f>IFERROR(__xludf.DUMMYFUNCTION("""COMPUTED_VALUE"""),"All Offline Customers who have purchased at least 1 time from Txn_City CHD in the last 112 days (TTR), All Offline Customers who have purchased at least 1 time from Txn_City CHD in the last 365 days excluding TTR purchasers")</f>
        <v>All Offline Customers who have purchased at least 1 time from Txn_City CHD in the last 112 days (TTR), All Offline Customers who have purchased at least 1 time from Txn_City CHD in the last 365 days excluding TTR purchasers</v>
      </c>
      <c r="J860" s="275">
        <f>IFERROR(__xludf.DUMMYFUNCTION("""COMPUTED_VALUE"""),23759.0)</f>
        <v>23759</v>
      </c>
      <c r="K860" s="275">
        <f>IFERROR(__xludf.DUMMYFUNCTION("""COMPUTED_VALUE"""),10187.0)</f>
        <v>10187</v>
      </c>
      <c r="L860" s="276">
        <f>IFERROR(__xludf.DUMMYFUNCTION("""COMPUTED_VALUE"""),0.4288)</f>
        <v>0.4288</v>
      </c>
      <c r="M860" s="275">
        <f>IFERROR(__xludf.DUMMYFUNCTION("""COMPUTED_VALUE"""),3609.0)</f>
        <v>3609</v>
      </c>
      <c r="N860" s="276">
        <f>IFERROR(__xludf.DUMMYFUNCTION("""COMPUTED_VALUE"""),0.3543)</f>
        <v>0.3543</v>
      </c>
      <c r="O860" s="208">
        <f>IFERROR(__xludf.DUMMYFUNCTION("""COMPUTED_VALUE"""),218.0)</f>
        <v>218</v>
      </c>
      <c r="P860" s="208">
        <f>IFERROR(__xludf.DUMMYFUNCTION("""COMPUTED_VALUE"""),203.0)</f>
        <v>203</v>
      </c>
      <c r="Q860" s="276">
        <f>IFERROR(__xludf.DUMMYFUNCTION("""COMPUTED_VALUE"""),0.0199)</f>
        <v>0.0199</v>
      </c>
      <c r="R860" s="276">
        <f>IFERROR(__xludf.DUMMYFUNCTION("""COMPUTED_VALUE"""),0.0562)</f>
        <v>0.0562</v>
      </c>
      <c r="S860" s="208">
        <f>IFERROR(__xludf.DUMMYFUNCTION("""COMPUTED_VALUE"""),4.0)</f>
        <v>4</v>
      </c>
      <c r="T860" s="208">
        <f>IFERROR(__xludf.DUMMYFUNCTION("""COMPUTED_VALUE"""),4.0)</f>
        <v>4</v>
      </c>
      <c r="U860" s="275">
        <f>IFERROR(__xludf.DUMMYFUNCTION("""COMPUTED_VALUE"""),18446.0)</f>
        <v>18446</v>
      </c>
      <c r="V860" s="234" t="str">
        <f>IFERROR(__xludf.DUMMYFUNCTION("""COMPUTED_VALUE"""),"offline")</f>
        <v>offline</v>
      </c>
      <c r="W860" s="232" t="str">
        <f>IFERROR(__xludf.DUMMYFUNCTION("""COMPUTED_VALUE"""),"simple")</f>
        <v>simple</v>
      </c>
      <c r="X860" s="232" t="str">
        <f>IFERROR(__xludf.DUMMYFUNCTION("""COMPUTED_VALUE"""),"City Specific")</f>
        <v>City Specific</v>
      </c>
      <c r="Y860" s="232" t="str">
        <f>IFERROR(__xludf.DUMMYFUNCTION("""COMPUTED_VALUE"""),"6-8 June")</f>
        <v>6-8 June</v>
      </c>
      <c r="Z860" s="232" t="str">
        <f>IFERROR(__xludf.DUMMYFUNCTION("""COMPUTED_VALUE"""),"6a1e9eef88470852fa80d977")</f>
        <v>6a1e9eef88470852fa80d977</v>
      </c>
      <c r="AA860" s="277">
        <f>IFERROR(__xludf.DUMMYFUNCTION("""COMPUTED_VALUE"""),50.0)</f>
        <v>50</v>
      </c>
      <c r="AB860" s="277"/>
      <c r="AC860" s="277">
        <f>IFERROR(__xludf.DUMMYFUNCTION("""COMPUTED_VALUE"""),50.0)</f>
        <v>50</v>
      </c>
      <c r="AD860" s="277">
        <f>IFERROR(__xludf.DUMMYFUNCTION("""COMPUTED_VALUE"""),237304.0)</f>
        <v>237304</v>
      </c>
      <c r="AE860" s="277"/>
      <c r="AF860" s="277">
        <f>IFERROR(__xludf.DUMMYFUNCTION("""COMPUTED_VALUE"""),237304.0)</f>
        <v>237304</v>
      </c>
      <c r="AG860" s="208"/>
      <c r="AH860" s="208"/>
      <c r="AI860" s="208"/>
      <c r="AJ860" s="208"/>
      <c r="AK860" s="208"/>
    </row>
    <row r="861" hidden="1">
      <c r="A861" s="288">
        <f>IFERROR(__xludf.DUMMYFUNCTION("""COMPUTED_VALUE"""),46179.0)</f>
        <v>46179</v>
      </c>
      <c r="B861" s="274">
        <f>IFERROR(__xludf.DUMMYFUNCTION("""COMPUTED_VALUE"""),0.5)</f>
        <v>0.5</v>
      </c>
      <c r="C861" s="208" t="str">
        <f>IFERROR(__xludf.DUMMYFUNCTION("""COMPUTED_VALUE"""),"Whatsapp")</f>
        <v>Whatsapp</v>
      </c>
      <c r="D861" s="208" t="str">
        <f>IFERROR(__xludf.DUMMYFUNCTION("""COMPUTED_VALUE"""),"Promotional")</f>
        <v>Promotional</v>
      </c>
      <c r="E861" s="208" t="str">
        <f>IFERROR(__xludf.DUMMYFUNCTION("""COMPUTED_VALUE"""),"BBW")</f>
        <v>BBW</v>
      </c>
      <c r="F861" s="208" t="str">
        <f>IFERROR(__xludf.DUMMYFUNCTION("""COMPUTED_VALUE"""),"B2G2 - June'26 - Entire Store")</f>
        <v>B2G2 - June'26 - Entire Store</v>
      </c>
      <c r="G861" s="208" t="str">
        <f>IFERROR(__xludf.DUMMYFUNCTION("""COMPUTED_VALUE"""),"bbw_wa_b2g2_6june_lastreminder_ggn_offline")</f>
        <v>bbw_wa_b2g2_6june_lastreminder_ggn_offline</v>
      </c>
      <c r="H861" s="232" t="str">
        <f>IFERROR(__xludf.DUMMYFUNCTION("""COMPUTED_VALUE"""),"BBW_OFF_GGN_Active, BBW_OFF_GGN_Dorm")</f>
        <v>BBW_OFF_GGN_Active, BBW_OFF_GGN_Dorm</v>
      </c>
      <c r="I861" s="233" t="str">
        <f>IFERROR(__xludf.DUMMYFUNCTION("""COMPUTED_VALUE"""),"All Offline Customers who have purchased at least 1 time from Txn_City GGN in the last 112 days (TTR), All Offline Customers who have purchased at least 1 time from Txn_City GGN in the last 365 days excluding TTR purchasers")</f>
        <v>All Offline Customers who have purchased at least 1 time from Txn_City GGN in the last 112 days (TTR), All Offline Customers who have purchased at least 1 time from Txn_City GGN in the last 365 days excluding TTR purchasers</v>
      </c>
      <c r="J861" s="275">
        <f>IFERROR(__xludf.DUMMYFUNCTION("""COMPUTED_VALUE"""),19727.0)</f>
        <v>19727</v>
      </c>
      <c r="K861" s="275">
        <f>IFERROR(__xludf.DUMMYFUNCTION("""COMPUTED_VALUE"""),6894.0)</f>
        <v>6894</v>
      </c>
      <c r="L861" s="276">
        <f>IFERROR(__xludf.DUMMYFUNCTION("""COMPUTED_VALUE"""),0.3495)</f>
        <v>0.3495</v>
      </c>
      <c r="M861" s="275">
        <f>IFERROR(__xludf.DUMMYFUNCTION("""COMPUTED_VALUE"""),2027.0)</f>
        <v>2027</v>
      </c>
      <c r="N861" s="276">
        <f>IFERROR(__xludf.DUMMYFUNCTION("""COMPUTED_VALUE"""),0.294)</f>
        <v>0.294</v>
      </c>
      <c r="O861" s="208">
        <f>IFERROR(__xludf.DUMMYFUNCTION("""COMPUTED_VALUE"""),161.0)</f>
        <v>161</v>
      </c>
      <c r="P861" s="208">
        <f>IFERROR(__xludf.DUMMYFUNCTION("""COMPUTED_VALUE"""),147.0)</f>
        <v>147</v>
      </c>
      <c r="Q861" s="276">
        <f>IFERROR(__xludf.DUMMYFUNCTION("""COMPUTED_VALUE"""),0.0213)</f>
        <v>0.0213</v>
      </c>
      <c r="R861" s="276">
        <f>IFERROR(__xludf.DUMMYFUNCTION("""COMPUTED_VALUE"""),0.0725)</f>
        <v>0.0725</v>
      </c>
      <c r="S861" s="208">
        <f>IFERROR(__xludf.DUMMYFUNCTION("""COMPUTED_VALUE"""),0.0)</f>
        <v>0</v>
      </c>
      <c r="T861" s="208">
        <f>IFERROR(__xludf.DUMMYFUNCTION("""COMPUTED_VALUE"""),2.0)</f>
        <v>2</v>
      </c>
      <c r="U861" s="275">
        <f>IFERROR(__xludf.DUMMYFUNCTION("""COMPUTED_VALUE"""),0.0)</f>
        <v>0</v>
      </c>
      <c r="V861" s="234" t="str">
        <f>IFERROR(__xludf.DUMMYFUNCTION("""COMPUTED_VALUE"""),"offline")</f>
        <v>offline</v>
      </c>
      <c r="W861" s="232" t="str">
        <f>IFERROR(__xludf.DUMMYFUNCTION("""COMPUTED_VALUE"""),"simple")</f>
        <v>simple</v>
      </c>
      <c r="X861" s="232" t="str">
        <f>IFERROR(__xludf.DUMMYFUNCTION("""COMPUTED_VALUE"""),"City Specific")</f>
        <v>City Specific</v>
      </c>
      <c r="Y861" s="232" t="str">
        <f>IFERROR(__xludf.DUMMYFUNCTION("""COMPUTED_VALUE"""),"6-8 June")</f>
        <v>6-8 June</v>
      </c>
      <c r="Z861" s="232" t="str">
        <f>IFERROR(__xludf.DUMMYFUNCTION("""COMPUTED_VALUE"""),"6a1ea0176914eb0e5e2d5e7d")</f>
        <v>6a1ea0176914eb0e5e2d5e7d</v>
      </c>
      <c r="AA861" s="277">
        <f>IFERROR(__xludf.DUMMYFUNCTION("""COMPUTED_VALUE"""),33.0)</f>
        <v>33</v>
      </c>
      <c r="AB861" s="277"/>
      <c r="AC861" s="277">
        <f>IFERROR(__xludf.DUMMYFUNCTION("""COMPUTED_VALUE"""),33.0)</f>
        <v>33</v>
      </c>
      <c r="AD861" s="277">
        <f>IFERROR(__xludf.DUMMYFUNCTION("""COMPUTED_VALUE"""),149850.0)</f>
        <v>149850</v>
      </c>
      <c r="AE861" s="277"/>
      <c r="AF861" s="277">
        <f>IFERROR(__xludf.DUMMYFUNCTION("""COMPUTED_VALUE"""),149850.0)</f>
        <v>149850</v>
      </c>
      <c r="AG861" s="208"/>
      <c r="AH861" s="208"/>
      <c r="AI861" s="208"/>
      <c r="AJ861" s="208"/>
      <c r="AK861" s="208"/>
    </row>
    <row r="862" hidden="1">
      <c r="A862" s="288">
        <f>IFERROR(__xludf.DUMMYFUNCTION("""COMPUTED_VALUE"""),46179.0)</f>
        <v>46179</v>
      </c>
      <c r="B862" s="274">
        <f>IFERROR(__xludf.DUMMYFUNCTION("""COMPUTED_VALUE"""),0.5)</f>
        <v>0.5</v>
      </c>
      <c r="C862" s="208" t="str">
        <f>IFERROR(__xludf.DUMMYFUNCTION("""COMPUTED_VALUE"""),"Whatsapp")</f>
        <v>Whatsapp</v>
      </c>
      <c r="D862" s="208" t="str">
        <f>IFERROR(__xludf.DUMMYFUNCTION("""COMPUTED_VALUE"""),"Promotional")</f>
        <v>Promotional</v>
      </c>
      <c r="E862" s="208" t="str">
        <f>IFERROR(__xludf.DUMMYFUNCTION("""COMPUTED_VALUE"""),"BBW")</f>
        <v>BBW</v>
      </c>
      <c r="F862" s="208" t="str">
        <f>IFERROR(__xludf.DUMMYFUNCTION("""COMPUTED_VALUE"""),"B2G2 - June'26 - Entire Store")</f>
        <v>B2G2 - June'26 - Entire Store</v>
      </c>
      <c r="G862" s="208" t="str">
        <f>IFERROR(__xludf.DUMMYFUNCTION("""COMPUTED_VALUE"""),"bbw_wa_b2g2_6june_lastreminder_noida_offline")</f>
        <v>bbw_wa_b2g2_6june_lastreminder_noida_offline</v>
      </c>
      <c r="H862" s="232" t="str">
        <f>IFERROR(__xludf.DUMMYFUNCTION("""COMPUTED_VALUE"""),"BBW_OFF_NOIDA_Active, BBW_OFF_NOIDA_Dorm")</f>
        <v>BBW_OFF_NOIDA_Active, BBW_OFF_NOIDA_Dorm</v>
      </c>
      <c r="I862" s="233" t="str">
        <f>IFERROR(__xludf.DUMMYFUNCTION("""COMPUTED_VALUE"""),"All Offline Customers who have purchased at least 1 time from Txn_City NOIDA in the last 112 days (TTR), All Offline Customers who have purchased at least 1 time from Txn_City NOIDA in the last 365 days excluding TTR purchasers")</f>
        <v>All Offline Customers who have purchased at least 1 time from Txn_City NOIDA in the last 112 days (TTR), All Offline Customers who have purchased at least 1 time from Txn_City NOIDA in the last 365 days excluding TTR purchasers</v>
      </c>
      <c r="J862" s="275">
        <f>IFERROR(__xludf.DUMMYFUNCTION("""COMPUTED_VALUE"""),22373.0)</f>
        <v>22373</v>
      </c>
      <c r="K862" s="275">
        <f>IFERROR(__xludf.DUMMYFUNCTION("""COMPUTED_VALUE"""),8642.0)</f>
        <v>8642</v>
      </c>
      <c r="L862" s="276">
        <f>IFERROR(__xludf.DUMMYFUNCTION("""COMPUTED_VALUE"""),0.3863)</f>
        <v>0.3863</v>
      </c>
      <c r="M862" s="275">
        <f>IFERROR(__xludf.DUMMYFUNCTION("""COMPUTED_VALUE"""),2565.0)</f>
        <v>2565</v>
      </c>
      <c r="N862" s="276">
        <f>IFERROR(__xludf.DUMMYFUNCTION("""COMPUTED_VALUE"""),0.2968)</f>
        <v>0.2968</v>
      </c>
      <c r="O862" s="208">
        <f>IFERROR(__xludf.DUMMYFUNCTION("""COMPUTED_VALUE"""),156.0)</f>
        <v>156</v>
      </c>
      <c r="P862" s="208">
        <f>IFERROR(__xludf.DUMMYFUNCTION("""COMPUTED_VALUE"""),154.0)</f>
        <v>154</v>
      </c>
      <c r="Q862" s="276">
        <f>IFERROR(__xludf.DUMMYFUNCTION("""COMPUTED_VALUE"""),0.0178)</f>
        <v>0.0178</v>
      </c>
      <c r="R862" s="276">
        <f>IFERROR(__xludf.DUMMYFUNCTION("""COMPUTED_VALUE"""),0.06)</f>
        <v>0.06</v>
      </c>
      <c r="S862" s="208">
        <f>IFERROR(__xludf.DUMMYFUNCTION("""COMPUTED_VALUE"""),1.0)</f>
        <v>1</v>
      </c>
      <c r="T862" s="208">
        <f>IFERROR(__xludf.DUMMYFUNCTION("""COMPUTED_VALUE"""),2.0)</f>
        <v>2</v>
      </c>
      <c r="U862" s="275">
        <f>IFERROR(__xludf.DUMMYFUNCTION("""COMPUTED_VALUE"""),4138.0)</f>
        <v>4138</v>
      </c>
      <c r="V862" s="234" t="str">
        <f>IFERROR(__xludf.DUMMYFUNCTION("""COMPUTED_VALUE"""),"offline")</f>
        <v>offline</v>
      </c>
      <c r="W862" s="232" t="str">
        <f>IFERROR(__xludf.DUMMYFUNCTION("""COMPUTED_VALUE"""),"simple")</f>
        <v>simple</v>
      </c>
      <c r="X862" s="232" t="str">
        <f>IFERROR(__xludf.DUMMYFUNCTION("""COMPUTED_VALUE"""),"City Specific")</f>
        <v>City Specific</v>
      </c>
      <c r="Y862" s="232" t="str">
        <f>IFERROR(__xludf.DUMMYFUNCTION("""COMPUTED_VALUE"""),"6-8 June")</f>
        <v>6-8 June</v>
      </c>
      <c r="Z862" s="232" t="str">
        <f>IFERROR(__xludf.DUMMYFUNCTION("""COMPUTED_VALUE"""),"6a1ea0cab92ec58d664998dd")</f>
        <v>6a1ea0cab92ec58d664998dd</v>
      </c>
      <c r="AA862" s="277">
        <f>IFERROR(__xludf.DUMMYFUNCTION("""COMPUTED_VALUE"""),33.0)</f>
        <v>33</v>
      </c>
      <c r="AB862" s="277"/>
      <c r="AC862" s="277">
        <f>IFERROR(__xludf.DUMMYFUNCTION("""COMPUTED_VALUE"""),33.0)</f>
        <v>33</v>
      </c>
      <c r="AD862" s="277">
        <f>IFERROR(__xludf.DUMMYFUNCTION("""COMPUTED_VALUE"""),145842.0)</f>
        <v>145842</v>
      </c>
      <c r="AE862" s="277"/>
      <c r="AF862" s="277">
        <f>IFERROR(__xludf.DUMMYFUNCTION("""COMPUTED_VALUE"""),145842.0)</f>
        <v>145842</v>
      </c>
      <c r="AG862" s="208"/>
      <c r="AH862" s="208"/>
      <c r="AI862" s="208"/>
      <c r="AJ862" s="208"/>
      <c r="AK862" s="208"/>
    </row>
    <row r="863" hidden="1">
      <c r="A863" s="288">
        <f>IFERROR(__xludf.DUMMYFUNCTION("""COMPUTED_VALUE"""),46179.0)</f>
        <v>46179</v>
      </c>
      <c r="B863" s="274">
        <f>IFERROR(__xludf.DUMMYFUNCTION("""COMPUTED_VALUE"""),0.5)</f>
        <v>0.5</v>
      </c>
      <c r="C863" s="208" t="str">
        <f>IFERROR(__xludf.DUMMYFUNCTION("""COMPUTED_VALUE"""),"Whatsapp")</f>
        <v>Whatsapp</v>
      </c>
      <c r="D863" s="208" t="str">
        <f>IFERROR(__xludf.DUMMYFUNCTION("""COMPUTED_VALUE"""),"Promotional")</f>
        <v>Promotional</v>
      </c>
      <c r="E863" s="208" t="str">
        <f>IFERROR(__xludf.DUMMYFUNCTION("""COMPUTED_VALUE"""),"BBW")</f>
        <v>BBW</v>
      </c>
      <c r="F863" s="208" t="str">
        <f>IFERROR(__xludf.DUMMYFUNCTION("""COMPUTED_VALUE"""),"B2G2 - June'26 - Entire Store")</f>
        <v>B2G2 - June'26 - Entire Store</v>
      </c>
      <c r="G863" s="208" t="str">
        <f>IFERROR(__xludf.DUMMYFUNCTION("""COMPUTED_VALUE"""),"bbw_wa_b2g2_6june_lastreminder_thane_offline")</f>
        <v>bbw_wa_b2g2_6june_lastreminder_thane_offline</v>
      </c>
      <c r="H863" s="232" t="str">
        <f>IFERROR(__xludf.DUMMYFUNCTION("""COMPUTED_VALUE"""),"BBW_OFF_THANE_Active, BBW_OFF_THANE_Dorm")</f>
        <v>BBW_OFF_THANE_Active, BBW_OFF_THANE_Dorm</v>
      </c>
      <c r="I863" s="233" t="str">
        <f>IFERROR(__xludf.DUMMYFUNCTION("""COMPUTED_VALUE"""),"All Offline Customers who have purchased at least 1 time from Txn_City THANE in the last 112 days (TTR), All Offline Customers who have purchased at least 1 time from Txn_City THANE in the last 365 days excluding TTR purchasers")</f>
        <v>All Offline Customers who have purchased at least 1 time from Txn_City THANE in the last 112 days (TTR), All Offline Customers who have purchased at least 1 time from Txn_City THANE in the last 365 days excluding TTR purchasers</v>
      </c>
      <c r="J863" s="275">
        <f>IFERROR(__xludf.DUMMYFUNCTION("""COMPUTED_VALUE"""),11268.0)</f>
        <v>11268</v>
      </c>
      <c r="K863" s="275">
        <f>IFERROR(__xludf.DUMMYFUNCTION("""COMPUTED_VALUE"""),4519.0)</f>
        <v>4519</v>
      </c>
      <c r="L863" s="276">
        <f>IFERROR(__xludf.DUMMYFUNCTION("""COMPUTED_VALUE"""),0.401)</f>
        <v>0.401</v>
      </c>
      <c r="M863" s="275">
        <f>IFERROR(__xludf.DUMMYFUNCTION("""COMPUTED_VALUE"""),1568.0)</f>
        <v>1568</v>
      </c>
      <c r="N863" s="276">
        <f>IFERROR(__xludf.DUMMYFUNCTION("""COMPUTED_VALUE"""),0.347)</f>
        <v>0.347</v>
      </c>
      <c r="O863" s="208">
        <f>IFERROR(__xludf.DUMMYFUNCTION("""COMPUTED_VALUE"""),99.0)</f>
        <v>99</v>
      </c>
      <c r="P863" s="208">
        <f>IFERROR(__xludf.DUMMYFUNCTION("""COMPUTED_VALUE"""),96.0)</f>
        <v>96</v>
      </c>
      <c r="Q863" s="276">
        <f>IFERROR(__xludf.DUMMYFUNCTION("""COMPUTED_VALUE"""),0.0212)</f>
        <v>0.0212</v>
      </c>
      <c r="R863" s="276">
        <f>IFERROR(__xludf.DUMMYFUNCTION("""COMPUTED_VALUE"""),0.0612)</f>
        <v>0.0612</v>
      </c>
      <c r="S863" s="208">
        <f>IFERROR(__xludf.DUMMYFUNCTION("""COMPUTED_VALUE"""),0.0)</f>
        <v>0</v>
      </c>
      <c r="T863" s="208">
        <f>IFERROR(__xludf.DUMMYFUNCTION("""COMPUTED_VALUE"""),1.0)</f>
        <v>1</v>
      </c>
      <c r="U863" s="275">
        <f>IFERROR(__xludf.DUMMYFUNCTION("""COMPUTED_VALUE"""),0.0)</f>
        <v>0</v>
      </c>
      <c r="V863" s="234" t="str">
        <f>IFERROR(__xludf.DUMMYFUNCTION("""COMPUTED_VALUE"""),"offline")</f>
        <v>offline</v>
      </c>
      <c r="W863" s="232" t="str">
        <f>IFERROR(__xludf.DUMMYFUNCTION("""COMPUTED_VALUE"""),"simple")</f>
        <v>simple</v>
      </c>
      <c r="X863" s="232" t="str">
        <f>IFERROR(__xludf.DUMMYFUNCTION("""COMPUTED_VALUE"""),"City Specific")</f>
        <v>City Specific</v>
      </c>
      <c r="Y863" s="232" t="str">
        <f>IFERROR(__xludf.DUMMYFUNCTION("""COMPUTED_VALUE"""),"6-8 June")</f>
        <v>6-8 June</v>
      </c>
      <c r="Z863" s="232" t="str">
        <f>IFERROR(__xludf.DUMMYFUNCTION("""COMPUTED_VALUE"""),"6a1ea0f252a93967f5f3bc24")</f>
        <v>6a1ea0f252a93967f5f3bc24</v>
      </c>
      <c r="AA863" s="277">
        <f>IFERROR(__xludf.DUMMYFUNCTION("""COMPUTED_VALUE"""),20.0)</f>
        <v>20</v>
      </c>
      <c r="AB863" s="277"/>
      <c r="AC863" s="277">
        <f>IFERROR(__xludf.DUMMYFUNCTION("""COMPUTED_VALUE"""),20.0)</f>
        <v>20</v>
      </c>
      <c r="AD863" s="277">
        <f>IFERROR(__xludf.DUMMYFUNCTION("""COMPUTED_VALUE"""),96049.0)</f>
        <v>96049</v>
      </c>
      <c r="AE863" s="277"/>
      <c r="AF863" s="277">
        <f>IFERROR(__xludf.DUMMYFUNCTION("""COMPUTED_VALUE"""),96049.0)</f>
        <v>96049</v>
      </c>
      <c r="AG863" s="208"/>
      <c r="AH863" s="208"/>
      <c r="AI863" s="208"/>
      <c r="AJ863" s="208"/>
      <c r="AK863" s="208"/>
    </row>
    <row r="864" hidden="1">
      <c r="A864" s="288">
        <f>IFERROR(__xludf.DUMMYFUNCTION("""COMPUTED_VALUE"""),46179.0)</f>
        <v>46179</v>
      </c>
      <c r="B864" s="274">
        <f>IFERROR(__xludf.DUMMYFUNCTION("""COMPUTED_VALUE"""),0.5)</f>
        <v>0.5</v>
      </c>
      <c r="C864" s="208" t="str">
        <f>IFERROR(__xludf.DUMMYFUNCTION("""COMPUTED_VALUE"""),"Whatsapp")</f>
        <v>Whatsapp</v>
      </c>
      <c r="D864" s="208" t="str">
        <f>IFERROR(__xludf.DUMMYFUNCTION("""COMPUTED_VALUE"""),"Promotional")</f>
        <v>Promotional</v>
      </c>
      <c r="E864" s="208" t="str">
        <f>IFERROR(__xludf.DUMMYFUNCTION("""COMPUTED_VALUE"""),"BBW")</f>
        <v>BBW</v>
      </c>
      <c r="F864" s="208" t="str">
        <f>IFERROR(__xludf.DUMMYFUNCTION("""COMPUTED_VALUE"""),"B2G2 - June'26 - Entire Store")</f>
        <v>B2G2 - June'26 - Entire Store</v>
      </c>
      <c r="G864" s="208" t="str">
        <f>IFERROR(__xludf.DUMMYFUNCTION("""COMPUTED_VALUE"""),"bbw_wa_b2g2_6june_lastreminder_vad_offline")</f>
        <v>bbw_wa_b2g2_6june_lastreminder_vad_offline</v>
      </c>
      <c r="H864" s="232" t="str">
        <f>IFERROR(__xludf.DUMMYFUNCTION("""COMPUTED_VALUE"""),"BBW_OFF_Vadodara_Active, BBW_OFF_Vadodara_Dorm")</f>
        <v>BBW_OFF_Vadodara_Active, BBW_OFF_Vadodara_Dorm</v>
      </c>
      <c r="I864" s="233" t="str">
        <f>IFERROR(__xludf.DUMMYFUNCTION("""COMPUTED_VALUE"""),"All Offline Customers who have purchased at least 1 time from Txn_City VADODARA in the last 112 days (TTR), All Offline Customers who have purchased at least 1 time from Txn_City VADODARA in the last 365 days excluding TTR purchasers")</f>
        <v>All Offline Customers who have purchased at least 1 time from Txn_City VADODARA in the last 112 days (TTR), All Offline Customers who have purchased at least 1 time from Txn_City VADODARA in the last 365 days excluding TTR purchasers</v>
      </c>
      <c r="J864" s="275">
        <f>IFERROR(__xludf.DUMMYFUNCTION("""COMPUTED_VALUE"""),9685.0)</f>
        <v>9685</v>
      </c>
      <c r="K864" s="275">
        <f>IFERROR(__xludf.DUMMYFUNCTION("""COMPUTED_VALUE"""),4627.0)</f>
        <v>4627</v>
      </c>
      <c r="L864" s="276">
        <f>IFERROR(__xludf.DUMMYFUNCTION("""COMPUTED_VALUE"""),0.4777)</f>
        <v>0.4777</v>
      </c>
      <c r="M864" s="275">
        <f>IFERROR(__xludf.DUMMYFUNCTION("""COMPUTED_VALUE"""),2072.0)</f>
        <v>2072</v>
      </c>
      <c r="N864" s="276">
        <f>IFERROR(__xludf.DUMMYFUNCTION("""COMPUTED_VALUE"""),0.4478)</f>
        <v>0.4478</v>
      </c>
      <c r="O864" s="208">
        <f>IFERROR(__xludf.DUMMYFUNCTION("""COMPUTED_VALUE"""),117.0)</f>
        <v>117</v>
      </c>
      <c r="P864" s="208">
        <f>IFERROR(__xludf.DUMMYFUNCTION("""COMPUTED_VALUE"""),114.0)</f>
        <v>114</v>
      </c>
      <c r="Q864" s="276">
        <f>IFERROR(__xludf.DUMMYFUNCTION("""COMPUTED_VALUE"""),0.0246)</f>
        <v>0.0246</v>
      </c>
      <c r="R864" s="276">
        <f>IFERROR(__xludf.DUMMYFUNCTION("""COMPUTED_VALUE"""),0.055)</f>
        <v>0.055</v>
      </c>
      <c r="S864" s="208">
        <f>IFERROR(__xludf.DUMMYFUNCTION("""COMPUTED_VALUE"""),0.0)</f>
        <v>0</v>
      </c>
      <c r="T864" s="208">
        <f>IFERROR(__xludf.DUMMYFUNCTION("""COMPUTED_VALUE"""),2.0)</f>
        <v>2</v>
      </c>
      <c r="U864" s="275">
        <f>IFERROR(__xludf.DUMMYFUNCTION("""COMPUTED_VALUE"""),0.0)</f>
        <v>0</v>
      </c>
      <c r="V864" s="234" t="str">
        <f>IFERROR(__xludf.DUMMYFUNCTION("""COMPUTED_VALUE"""),"offline")</f>
        <v>offline</v>
      </c>
      <c r="W864" s="232" t="str">
        <f>IFERROR(__xludf.DUMMYFUNCTION("""COMPUTED_VALUE"""),"simple")</f>
        <v>simple</v>
      </c>
      <c r="X864" s="232" t="str">
        <f>IFERROR(__xludf.DUMMYFUNCTION("""COMPUTED_VALUE"""),"City Specific")</f>
        <v>City Specific</v>
      </c>
      <c r="Y864" s="232" t="str">
        <f>IFERROR(__xludf.DUMMYFUNCTION("""COMPUTED_VALUE"""),"6-8 June")</f>
        <v>6-8 June</v>
      </c>
      <c r="Z864" s="232" t="str">
        <f>IFERROR(__xludf.DUMMYFUNCTION("""COMPUTED_VALUE"""),"6a1ea830457d8c0d09817601")</f>
        <v>6a1ea830457d8c0d09817601</v>
      </c>
      <c r="AA864" s="277">
        <f>IFERROR(__xludf.DUMMYFUNCTION("""COMPUTED_VALUE"""),16.0)</f>
        <v>16</v>
      </c>
      <c r="AB864" s="277"/>
      <c r="AC864" s="277">
        <f>IFERROR(__xludf.DUMMYFUNCTION("""COMPUTED_VALUE"""),16.0)</f>
        <v>16</v>
      </c>
      <c r="AD864" s="277">
        <f>IFERROR(__xludf.DUMMYFUNCTION("""COMPUTED_VALUE"""),78713.0)</f>
        <v>78713</v>
      </c>
      <c r="AE864" s="277"/>
      <c r="AF864" s="277">
        <f>IFERROR(__xludf.DUMMYFUNCTION("""COMPUTED_VALUE"""),78713.0)</f>
        <v>78713</v>
      </c>
      <c r="AG864" s="208"/>
      <c r="AH864" s="208"/>
      <c r="AI864" s="208"/>
      <c r="AJ864" s="208"/>
      <c r="AK864" s="208"/>
    </row>
    <row r="865" hidden="1">
      <c r="A865" s="288">
        <f>IFERROR(__xludf.DUMMYFUNCTION("""COMPUTED_VALUE"""),46179.0)</f>
        <v>46179</v>
      </c>
      <c r="B865" s="274">
        <f>IFERROR(__xludf.DUMMYFUNCTION("""COMPUTED_VALUE"""),0.5)</f>
        <v>0.5</v>
      </c>
      <c r="C865" s="208" t="str">
        <f>IFERROR(__xludf.DUMMYFUNCTION("""COMPUTED_VALUE"""),"Whatsapp")</f>
        <v>Whatsapp</v>
      </c>
      <c r="D865" s="208" t="str">
        <f>IFERROR(__xludf.DUMMYFUNCTION("""COMPUTED_VALUE"""),"Promotional")</f>
        <v>Promotional</v>
      </c>
      <c r="E865" s="208" t="str">
        <f>IFERROR(__xludf.DUMMYFUNCTION("""COMPUTED_VALUE"""),"BBW")</f>
        <v>BBW</v>
      </c>
      <c r="F865" s="208" t="str">
        <f>IFERROR(__xludf.DUMMYFUNCTION("""COMPUTED_VALUE"""),"B2G2 - June'26 - Entire Store")</f>
        <v>B2G2 - June'26 - Entire Store</v>
      </c>
      <c r="G865" s="208" t="str">
        <f>IFERROR(__xludf.DUMMYFUNCTION("""COMPUTED_VALUE"""),"bbw_wa_b2g2_6june_lastreminder_kochi_offline")</f>
        <v>bbw_wa_b2g2_6june_lastreminder_kochi_offline</v>
      </c>
      <c r="H865" s="232" t="str">
        <f>IFERROR(__xludf.DUMMYFUNCTION("""COMPUTED_VALUE"""),"BBW_OFF_KOCHI_Active, BBW_OFF_KOCHI_Dorm")</f>
        <v>BBW_OFF_KOCHI_Active, BBW_OFF_KOCHI_Dorm</v>
      </c>
      <c r="I865" s="233" t="str">
        <f>IFERROR(__xludf.DUMMYFUNCTION("""COMPUTED_VALUE"""),"All Offline Customers who have purchased at least 1 time from Txn_City KOCHI in the last 112 days (TTR), All Offline Customers who have purchased at least 1 time from Txn_City Kochi in the last 365 days excluding TTR purchasers")</f>
        <v>All Offline Customers who have purchased at least 1 time from Txn_City KOCHI in the last 112 days (TTR), All Offline Customers who have purchased at least 1 time from Txn_City Kochi in the last 365 days excluding TTR purchasers</v>
      </c>
      <c r="J865" s="275">
        <f>IFERROR(__xludf.DUMMYFUNCTION("""COMPUTED_VALUE"""),10260.0)</f>
        <v>10260</v>
      </c>
      <c r="K865" s="275">
        <f>IFERROR(__xludf.DUMMYFUNCTION("""COMPUTED_VALUE"""),4769.0)</f>
        <v>4769</v>
      </c>
      <c r="L865" s="276">
        <f>IFERROR(__xludf.DUMMYFUNCTION("""COMPUTED_VALUE"""),0.4647)</f>
        <v>0.4647</v>
      </c>
      <c r="M865" s="275">
        <f>IFERROR(__xludf.DUMMYFUNCTION("""COMPUTED_VALUE"""),1680.0)</f>
        <v>1680</v>
      </c>
      <c r="N865" s="276">
        <f>IFERROR(__xludf.DUMMYFUNCTION("""COMPUTED_VALUE"""),0.3523)</f>
        <v>0.3523</v>
      </c>
      <c r="O865" s="208">
        <f>IFERROR(__xludf.DUMMYFUNCTION("""COMPUTED_VALUE"""),115.0)</f>
        <v>115</v>
      </c>
      <c r="P865" s="208">
        <f>IFERROR(__xludf.DUMMYFUNCTION("""COMPUTED_VALUE"""),106.0)</f>
        <v>106</v>
      </c>
      <c r="Q865" s="276">
        <f>IFERROR(__xludf.DUMMYFUNCTION("""COMPUTED_VALUE"""),0.0222)</f>
        <v>0.0222</v>
      </c>
      <c r="R865" s="276">
        <f>IFERROR(__xludf.DUMMYFUNCTION("""COMPUTED_VALUE"""),0.0631)</f>
        <v>0.0631</v>
      </c>
      <c r="S865" s="208">
        <f>IFERROR(__xludf.DUMMYFUNCTION("""COMPUTED_VALUE"""),2.0)</f>
        <v>2</v>
      </c>
      <c r="T865" s="208">
        <f>IFERROR(__xludf.DUMMYFUNCTION("""COMPUTED_VALUE"""),1.0)</f>
        <v>1</v>
      </c>
      <c r="U865" s="275">
        <f>IFERROR(__xludf.DUMMYFUNCTION("""COMPUTED_VALUE"""),9336.0)</f>
        <v>9336</v>
      </c>
      <c r="V865" s="234" t="str">
        <f>IFERROR(__xludf.DUMMYFUNCTION("""COMPUTED_VALUE"""),"offline")</f>
        <v>offline</v>
      </c>
      <c r="W865" s="232" t="str">
        <f>IFERROR(__xludf.DUMMYFUNCTION("""COMPUTED_VALUE"""),"simple")</f>
        <v>simple</v>
      </c>
      <c r="X865" s="232" t="str">
        <f>IFERROR(__xludf.DUMMYFUNCTION("""COMPUTED_VALUE"""),"City Specific")</f>
        <v>City Specific</v>
      </c>
      <c r="Y865" s="232" t="str">
        <f>IFERROR(__xludf.DUMMYFUNCTION("""COMPUTED_VALUE"""),"6-8 June")</f>
        <v>6-8 June</v>
      </c>
      <c r="Z865" s="232" t="str">
        <f>IFERROR(__xludf.DUMMYFUNCTION("""COMPUTED_VALUE"""),"6a1ea868b9f438d4d3f7dab1")</f>
        <v>6a1ea868b9f438d4d3f7dab1</v>
      </c>
      <c r="AA865" s="277">
        <f>IFERROR(__xludf.DUMMYFUNCTION("""COMPUTED_VALUE"""),14.0)</f>
        <v>14</v>
      </c>
      <c r="AB865" s="277"/>
      <c r="AC865" s="277">
        <f>IFERROR(__xludf.DUMMYFUNCTION("""COMPUTED_VALUE"""),14.0)</f>
        <v>14</v>
      </c>
      <c r="AD865" s="277">
        <f>IFERROR(__xludf.DUMMYFUNCTION("""COMPUTED_VALUE"""),53476.0)</f>
        <v>53476</v>
      </c>
      <c r="AE865" s="277"/>
      <c r="AF865" s="277">
        <f>IFERROR(__xludf.DUMMYFUNCTION("""COMPUTED_VALUE"""),53476.0)</f>
        <v>53476</v>
      </c>
      <c r="AG865" s="208"/>
      <c r="AH865" s="208"/>
      <c r="AI865" s="208"/>
      <c r="AJ865" s="208"/>
      <c r="AK865" s="208"/>
    </row>
    <row r="866" hidden="1">
      <c r="A866" s="288">
        <f>IFERROR(__xludf.DUMMYFUNCTION("""COMPUTED_VALUE"""),46179.0)</f>
        <v>46179</v>
      </c>
      <c r="B866" s="274">
        <f>IFERROR(__xludf.DUMMYFUNCTION("""COMPUTED_VALUE"""),0.5)</f>
        <v>0.5</v>
      </c>
      <c r="C866" s="208" t="str">
        <f>IFERROR(__xludf.DUMMYFUNCTION("""COMPUTED_VALUE"""),"Whatsapp")</f>
        <v>Whatsapp</v>
      </c>
      <c r="D866" s="208" t="str">
        <f>IFERROR(__xludf.DUMMYFUNCTION("""COMPUTED_VALUE"""),"Promotional")</f>
        <v>Promotional</v>
      </c>
      <c r="E866" s="208" t="str">
        <f>IFERROR(__xludf.DUMMYFUNCTION("""COMPUTED_VALUE"""),"BBW")</f>
        <v>BBW</v>
      </c>
      <c r="F866" s="208" t="str">
        <f>IFERROR(__xludf.DUMMYFUNCTION("""COMPUTED_VALUE"""),"B2G2 - June'26 - Entire Store")</f>
        <v>B2G2 - June'26 - Entire Store</v>
      </c>
      <c r="G866" s="208" t="str">
        <f>IFERROR(__xludf.DUMMYFUNCTION("""COMPUTED_VALUE"""),"bbw_wa_b2g2_6june_lastreminder_surat_offline")</f>
        <v>bbw_wa_b2g2_6june_lastreminder_surat_offline</v>
      </c>
      <c r="H866" s="232" t="str">
        <f>IFERROR(__xludf.DUMMYFUNCTION("""COMPUTED_VALUE"""),"BBW_OFF_Surat_Active, BBW_OFF_Surat_Dorm")</f>
        <v>BBW_OFF_Surat_Active, BBW_OFF_Surat_Dorm</v>
      </c>
      <c r="I866" s="233" t="str">
        <f>IFERROR(__xludf.DUMMYFUNCTION("""COMPUTED_VALUE"""),"All Offline Customers who have purchased at least 1 time from Txn_City SURAT in the last 112 days (TTR), All Offline Customers who have purchased at least 1 time from Txn_City Surat in the last 365 days excluding TTR purchasers")</f>
        <v>All Offline Customers who have purchased at least 1 time from Txn_City SURAT in the last 112 days (TTR), All Offline Customers who have purchased at least 1 time from Txn_City Surat in the last 365 days excluding TTR purchasers</v>
      </c>
      <c r="J866" s="275">
        <f>IFERROR(__xludf.DUMMYFUNCTION("""COMPUTED_VALUE"""),7468.0)</f>
        <v>7468</v>
      </c>
      <c r="K866" s="275">
        <f>IFERROR(__xludf.DUMMYFUNCTION("""COMPUTED_VALUE"""),3604.0)</f>
        <v>3604</v>
      </c>
      <c r="L866" s="276">
        <f>IFERROR(__xludf.DUMMYFUNCTION("""COMPUTED_VALUE"""),0.4826)</f>
        <v>0.4826</v>
      </c>
      <c r="M866" s="275">
        <f>IFERROR(__xludf.DUMMYFUNCTION("""COMPUTED_VALUE"""),1601.0)</f>
        <v>1601</v>
      </c>
      <c r="N866" s="276">
        <f>IFERROR(__xludf.DUMMYFUNCTION("""COMPUTED_VALUE"""),0.4442)</f>
        <v>0.4442</v>
      </c>
      <c r="O866" s="208">
        <f>IFERROR(__xludf.DUMMYFUNCTION("""COMPUTED_VALUE"""),92.0)</f>
        <v>92</v>
      </c>
      <c r="P866" s="208">
        <f>IFERROR(__xludf.DUMMYFUNCTION("""COMPUTED_VALUE"""),87.0)</f>
        <v>87</v>
      </c>
      <c r="Q866" s="276">
        <f>IFERROR(__xludf.DUMMYFUNCTION("""COMPUTED_VALUE"""),0.0241)</f>
        <v>0.0241</v>
      </c>
      <c r="R866" s="276">
        <f>IFERROR(__xludf.DUMMYFUNCTION("""COMPUTED_VALUE"""),0.0543)</f>
        <v>0.0543</v>
      </c>
      <c r="S866" s="208">
        <f>IFERROR(__xludf.DUMMYFUNCTION("""COMPUTED_VALUE"""),1.0)</f>
        <v>1</v>
      </c>
      <c r="T866" s="208">
        <f>IFERROR(__xludf.DUMMYFUNCTION("""COMPUTED_VALUE"""),4.0)</f>
        <v>4</v>
      </c>
      <c r="U866" s="275">
        <f>IFERROR(__xludf.DUMMYFUNCTION("""COMPUTED_VALUE"""),647.0)</f>
        <v>647</v>
      </c>
      <c r="V866" s="234" t="str">
        <f>IFERROR(__xludf.DUMMYFUNCTION("""COMPUTED_VALUE"""),"offline")</f>
        <v>offline</v>
      </c>
      <c r="W866" s="232" t="str">
        <f>IFERROR(__xludf.DUMMYFUNCTION("""COMPUTED_VALUE"""),"simple")</f>
        <v>simple</v>
      </c>
      <c r="X866" s="232" t="str">
        <f>IFERROR(__xludf.DUMMYFUNCTION("""COMPUTED_VALUE"""),"City Specific")</f>
        <v>City Specific</v>
      </c>
      <c r="Y866" s="232" t="str">
        <f>IFERROR(__xludf.DUMMYFUNCTION("""COMPUTED_VALUE"""),"6-8 June")</f>
        <v>6-8 June</v>
      </c>
      <c r="Z866" s="232" t="str">
        <f>IFERROR(__xludf.DUMMYFUNCTION("""COMPUTED_VALUE"""),"6a1ea8e2c01be27041e379b8")</f>
        <v>6a1ea8e2c01be27041e379b8</v>
      </c>
      <c r="AA866" s="277">
        <f>IFERROR(__xludf.DUMMYFUNCTION("""COMPUTED_VALUE"""),17.0)</f>
        <v>17</v>
      </c>
      <c r="AB866" s="277"/>
      <c r="AC866" s="277">
        <f>IFERROR(__xludf.DUMMYFUNCTION("""COMPUTED_VALUE"""),17.0)</f>
        <v>17</v>
      </c>
      <c r="AD866" s="277">
        <f>IFERROR(__xludf.DUMMYFUNCTION("""COMPUTED_VALUE"""),87354.0)</f>
        <v>87354</v>
      </c>
      <c r="AE866" s="277"/>
      <c r="AF866" s="277">
        <f>IFERROR(__xludf.DUMMYFUNCTION("""COMPUTED_VALUE"""),87354.0)</f>
        <v>87354</v>
      </c>
      <c r="AG866" s="208"/>
      <c r="AH866" s="208"/>
      <c r="AI866" s="208"/>
      <c r="AJ866" s="208"/>
      <c r="AK866" s="208"/>
    </row>
    <row r="867" hidden="1">
      <c r="A867" s="288">
        <f>IFERROR(__xludf.DUMMYFUNCTION("""COMPUTED_VALUE"""),46180.0)</f>
        <v>46180</v>
      </c>
      <c r="B867" s="274">
        <f>IFERROR(__xludf.DUMMYFUNCTION("""COMPUTED_VALUE"""),0.75)</f>
        <v>0.75</v>
      </c>
      <c r="C867" s="208" t="str">
        <f>IFERROR(__xludf.DUMMYFUNCTION("""COMPUTED_VALUE"""),"Whatsapp")</f>
        <v>Whatsapp</v>
      </c>
      <c r="D867" s="208" t="str">
        <f>IFERROR(__xludf.DUMMYFUNCTION("""COMPUTED_VALUE"""),"Promotional")</f>
        <v>Promotional</v>
      </c>
      <c r="E867" s="208" t="str">
        <f>IFERROR(__xludf.DUMMYFUNCTION("""COMPUTED_VALUE"""),"BBW")</f>
        <v>BBW</v>
      </c>
      <c r="F867" s="208" t="str">
        <f>IFERROR(__xludf.DUMMYFUNCTION("""COMPUTED_VALUE"""),"B2G2 - June'26 - Entire Store")</f>
        <v>B2G2 - June'26 - Entire Store</v>
      </c>
      <c r="G867" s="208" t="str">
        <f>IFERROR(__xludf.DUMMYFUNCTION("""COMPUTED_VALUE"""),"bbw_wa_b2g2_7june_lastreminder_atc_wishlist_online")</f>
        <v>bbw_wa_b2g2_7june_lastreminder_atc_wishlist_online</v>
      </c>
      <c r="H867" s="232" t="str">
        <f>IFERROR(__xludf.DUMMYFUNCTION("""COMPUTED_VALUE"""),"BBW_ATC_View_Wishlist_NoPr_45D")</f>
        <v>BBW_ATC_View_Wishlist_NoPr_45D</v>
      </c>
      <c r="I867" s="233" t="str">
        <f>IFERROR(__xludf.DUMMYFUNCTION("""COMPUTED_VALUE"""),"Customers who have added to cart or wishlisted items from item_category Body Care in the last 45D")</f>
        <v>Customers who have added to cart or wishlisted items from item_category Body Care in the last 45D</v>
      </c>
      <c r="J867" s="275">
        <f>IFERROR(__xludf.DUMMYFUNCTION("""COMPUTED_VALUE"""),847.0)</f>
        <v>847</v>
      </c>
      <c r="K867" s="275">
        <f>IFERROR(__xludf.DUMMYFUNCTION("""COMPUTED_VALUE"""),386.0)</f>
        <v>386</v>
      </c>
      <c r="L867" s="276">
        <f>IFERROR(__xludf.DUMMYFUNCTION("""COMPUTED_VALUE"""),0.4557)</f>
        <v>0.4557</v>
      </c>
      <c r="M867" s="275">
        <f>IFERROR(__xludf.DUMMYFUNCTION("""COMPUTED_VALUE"""),151.0)</f>
        <v>151</v>
      </c>
      <c r="N867" s="276">
        <f>IFERROR(__xludf.DUMMYFUNCTION("""COMPUTED_VALUE"""),0.3912)</f>
        <v>0.3912</v>
      </c>
      <c r="O867" s="208">
        <f>IFERROR(__xludf.DUMMYFUNCTION("""COMPUTED_VALUE"""),18.0)</f>
        <v>18</v>
      </c>
      <c r="P867" s="208">
        <f>IFERROR(__xludf.DUMMYFUNCTION("""COMPUTED_VALUE"""),18.0)</f>
        <v>18</v>
      </c>
      <c r="Q867" s="276">
        <f>IFERROR(__xludf.DUMMYFUNCTION("""COMPUTED_VALUE"""),0.0466)</f>
        <v>0.0466</v>
      </c>
      <c r="R867" s="276">
        <f>IFERROR(__xludf.DUMMYFUNCTION("""COMPUTED_VALUE"""),0.1192)</f>
        <v>0.1192</v>
      </c>
      <c r="S867" s="208">
        <f>IFERROR(__xludf.DUMMYFUNCTION("""COMPUTED_VALUE"""),1.0)</f>
        <v>1</v>
      </c>
      <c r="T867" s="208">
        <f>IFERROR(__xludf.DUMMYFUNCTION("""COMPUTED_VALUE"""),5.0)</f>
        <v>5</v>
      </c>
      <c r="U867" s="275">
        <f>IFERROR(__xludf.DUMMYFUNCTION("""COMPUTED_VALUE"""),1978.0)</f>
        <v>1978</v>
      </c>
      <c r="V867" s="234" t="str">
        <f>IFERROR(__xludf.DUMMYFUNCTION("""COMPUTED_VALUE"""),"online")</f>
        <v>online</v>
      </c>
      <c r="W867" s="232" t="str">
        <f>IFERROR(__xludf.DUMMYFUNCTION("""COMPUTED_VALUE"""),"simple")</f>
        <v>simple</v>
      </c>
      <c r="X867" s="232" t="str">
        <f>IFERROR(__xludf.DUMMYFUNCTION("""COMPUTED_VALUE"""),"ATC/View")</f>
        <v>ATC/View</v>
      </c>
      <c r="Y867" s="232" t="str">
        <f>IFERROR(__xludf.DUMMYFUNCTION("""COMPUTED_VALUE"""),"7-9 June")</f>
        <v>7-9 June</v>
      </c>
      <c r="Z867" s="232" t="str">
        <f>IFERROR(__xludf.DUMMYFUNCTION("""COMPUTED_VALUE"""),"6a1ea9405a8f8c12b5504367")</f>
        <v>6a1ea9405a8f8c12b5504367</v>
      </c>
      <c r="AA867" s="277">
        <f>IFERROR(__xludf.DUMMYFUNCTION("""COMPUTED_VALUE"""),7.0)</f>
        <v>7</v>
      </c>
      <c r="AB867" s="277">
        <f>IFERROR(__xludf.DUMMYFUNCTION("""COMPUTED_VALUE"""),7.0)</f>
        <v>7</v>
      </c>
      <c r="AC867" s="277"/>
      <c r="AD867" s="277">
        <f>IFERROR(__xludf.DUMMYFUNCTION("""COMPUTED_VALUE"""),43738.0)</f>
        <v>43738</v>
      </c>
      <c r="AE867" s="277">
        <f>IFERROR(__xludf.DUMMYFUNCTION("""COMPUTED_VALUE"""),43738.0)</f>
        <v>43738</v>
      </c>
      <c r="AF867" s="277"/>
      <c r="AG867" s="208"/>
      <c r="AH867" s="208"/>
      <c r="AI867" s="208"/>
      <c r="AJ867" s="208"/>
      <c r="AK867" s="208"/>
    </row>
    <row r="868" hidden="1">
      <c r="A868" s="288">
        <f>IFERROR(__xludf.DUMMYFUNCTION("""COMPUTED_VALUE"""),46180.0)</f>
        <v>46180</v>
      </c>
      <c r="B868" s="274">
        <f>IFERROR(__xludf.DUMMYFUNCTION("""COMPUTED_VALUE"""),0.75)</f>
        <v>0.75</v>
      </c>
      <c r="C868" s="208" t="str">
        <f>IFERROR(__xludf.DUMMYFUNCTION("""COMPUTED_VALUE"""),"Whatsapp")</f>
        <v>Whatsapp</v>
      </c>
      <c r="D868" s="208" t="str">
        <f>IFERROR(__xludf.DUMMYFUNCTION("""COMPUTED_VALUE"""),"Promotional")</f>
        <v>Promotional</v>
      </c>
      <c r="E868" s="208" t="str">
        <f>IFERROR(__xludf.DUMMYFUNCTION("""COMPUTED_VALUE"""),"BBW")</f>
        <v>BBW</v>
      </c>
      <c r="F868" s="208" t="str">
        <f>IFERROR(__xludf.DUMMYFUNCTION("""COMPUTED_VALUE"""),"B2G2 - June'26 - Entire Store")</f>
        <v>B2G2 - June'26 - Entire Store</v>
      </c>
      <c r="G868" s="208" t="str">
        <f>IFERROR(__xludf.DUMMYFUNCTION("""COMPUTED_VALUE"""),"bbw_wa_b2g2_7june_lastreminder_active_online")</f>
        <v>bbw_wa_b2g2_7june_lastreminder_active_online</v>
      </c>
      <c r="H868" s="232" t="str">
        <f>IFERROR(__xludf.DUMMYFUNCTION("""COMPUTED_VALUE"""),"BBW_ON_BC_2_Times_45D_210D")</f>
        <v>BBW_ON_BC_2_Times_45D_210D</v>
      </c>
      <c r="I868" s="233" t="str">
        <f>IFERROR(__xludf.DUMMYFUNCTION("""COMPUTED_VALUE"""),"Online Customers who have purchased from L2: Body Care at least 2 times in between 45 days and 210 days ago")</f>
        <v>Online Customers who have purchased from L2: Body Care at least 2 times in between 45 days and 210 days ago</v>
      </c>
      <c r="J868" s="275">
        <f>IFERROR(__xludf.DUMMYFUNCTION("""COMPUTED_VALUE"""),34420.0)</f>
        <v>34420</v>
      </c>
      <c r="K868" s="275">
        <f>IFERROR(__xludf.DUMMYFUNCTION("""COMPUTED_VALUE"""),13749.0)</f>
        <v>13749</v>
      </c>
      <c r="L868" s="276">
        <f>IFERROR(__xludf.DUMMYFUNCTION("""COMPUTED_VALUE"""),0.3994)</f>
        <v>0.3994</v>
      </c>
      <c r="M868" s="275">
        <f>IFERROR(__xludf.DUMMYFUNCTION("""COMPUTED_VALUE"""),4452.0)</f>
        <v>4452</v>
      </c>
      <c r="N868" s="276">
        <f>IFERROR(__xludf.DUMMYFUNCTION("""COMPUTED_VALUE"""),0.3239)</f>
        <v>0.3239</v>
      </c>
      <c r="O868" s="208">
        <f>IFERROR(__xludf.DUMMYFUNCTION("""COMPUTED_VALUE"""),355.0)</f>
        <v>355</v>
      </c>
      <c r="P868" s="208">
        <f>IFERROR(__xludf.DUMMYFUNCTION("""COMPUTED_VALUE"""),344.0)</f>
        <v>344</v>
      </c>
      <c r="Q868" s="276">
        <f>IFERROR(__xludf.DUMMYFUNCTION("""COMPUTED_VALUE"""),0.025)</f>
        <v>0.025</v>
      </c>
      <c r="R868" s="276">
        <f>IFERROR(__xludf.DUMMYFUNCTION("""COMPUTED_VALUE"""),0.0773)</f>
        <v>0.0773</v>
      </c>
      <c r="S868" s="208">
        <f>IFERROR(__xludf.DUMMYFUNCTION("""COMPUTED_VALUE"""),3.0)</f>
        <v>3</v>
      </c>
      <c r="T868" s="208">
        <f>IFERROR(__xludf.DUMMYFUNCTION("""COMPUTED_VALUE"""),6.0)</f>
        <v>6</v>
      </c>
      <c r="U868" s="275">
        <f>IFERROR(__xludf.DUMMYFUNCTION("""COMPUTED_VALUE"""),14314.0)</f>
        <v>14314</v>
      </c>
      <c r="V868" s="234" t="str">
        <f>IFERROR(__xludf.DUMMYFUNCTION("""COMPUTED_VALUE"""),"online")</f>
        <v>online</v>
      </c>
      <c r="W868" s="232" t="str">
        <f>IFERROR(__xludf.DUMMYFUNCTION("""COMPUTED_VALUE"""),"simple")</f>
        <v>simple</v>
      </c>
      <c r="X868" s="232" t="str">
        <f>IFERROR(__xludf.DUMMYFUNCTION("""COMPUTED_VALUE"""),"Repeat")</f>
        <v>Repeat</v>
      </c>
      <c r="Y868" s="232" t="str">
        <f>IFERROR(__xludf.DUMMYFUNCTION("""COMPUTED_VALUE"""),"7-9 June")</f>
        <v>7-9 June</v>
      </c>
      <c r="Z868" s="232" t="str">
        <f>IFERROR(__xludf.DUMMYFUNCTION("""COMPUTED_VALUE"""),"6a1ea9802381fd751c9a49d5")</f>
        <v>6a1ea9802381fd751c9a49d5</v>
      </c>
      <c r="AA868" s="277">
        <f>IFERROR(__xludf.DUMMYFUNCTION("""COMPUTED_VALUE"""),28.0)</f>
        <v>28</v>
      </c>
      <c r="AB868" s="277">
        <f>IFERROR(__xludf.DUMMYFUNCTION("""COMPUTED_VALUE"""),28.0)</f>
        <v>28</v>
      </c>
      <c r="AC868" s="277"/>
      <c r="AD868" s="277">
        <f>IFERROR(__xludf.DUMMYFUNCTION("""COMPUTED_VALUE"""),119522.0)</f>
        <v>119522</v>
      </c>
      <c r="AE868" s="277">
        <f>IFERROR(__xludf.DUMMYFUNCTION("""COMPUTED_VALUE"""),119522.0)</f>
        <v>119522</v>
      </c>
      <c r="AF868" s="277"/>
      <c r="AG868" s="208"/>
      <c r="AH868" s="208"/>
      <c r="AI868" s="208"/>
      <c r="AJ868" s="208"/>
      <c r="AK868" s="208"/>
    </row>
    <row r="869" hidden="1">
      <c r="A869" s="288">
        <f>IFERROR(__xludf.DUMMYFUNCTION("""COMPUTED_VALUE"""),46180.0)</f>
        <v>46180</v>
      </c>
      <c r="B869" s="274">
        <f>IFERROR(__xludf.DUMMYFUNCTION("""COMPUTED_VALUE"""),0.75)</f>
        <v>0.75</v>
      </c>
      <c r="C869" s="208" t="str">
        <f>IFERROR(__xludf.DUMMYFUNCTION("""COMPUTED_VALUE"""),"Whatsapp")</f>
        <v>Whatsapp</v>
      </c>
      <c r="D869" s="208" t="str">
        <f>IFERROR(__xludf.DUMMYFUNCTION("""COMPUTED_VALUE"""),"Promotional")</f>
        <v>Promotional</v>
      </c>
      <c r="E869" s="208" t="str">
        <f>IFERROR(__xludf.DUMMYFUNCTION("""COMPUTED_VALUE"""),"BBW")</f>
        <v>BBW</v>
      </c>
      <c r="F869" s="208" t="str">
        <f>IFERROR(__xludf.DUMMYFUNCTION("""COMPUTED_VALUE"""),"B2G2 - June'26 - Entire Store")</f>
        <v>B2G2 - June'26 - Entire Store</v>
      </c>
      <c r="G869" s="208" t="str">
        <f>IFERROR(__xludf.DUMMYFUNCTION("""COMPUTED_VALUE"""),"bbw_wa_b2g2_7june_lastreminder_aov_3100_online")</f>
        <v>bbw_wa_b2g2_7june_lastreminder_aov_3100_online</v>
      </c>
      <c r="H869" s="232" t="str">
        <f>IFERROR(__xludf.DUMMYFUNCTION("""COMPUTED_VALUE"""),"BC_EventBuyers_ON")</f>
        <v>BC_EventBuyers_ON</v>
      </c>
      <c r="I869" s="233" t="str">
        <f>IFERROR(__xludf.DUMMYFUNCTION("""COMPUTED_VALUE"""),"Online Customers who have purchased from L2: Body Care at least 1 time in between Oct 2 - Oct 5, 2025; Oct 16 - Oct 27, 2025; Jan 09- Jan 18, 2026; Feb 26 - Mar 3, 2026; Mar 27 - Mar 29, 2026; May 7 - May 12, 2026")</f>
        <v>Online Customers who have purchased from L2: Body Care at least 1 time in between Oct 2 - Oct 5, 2025; Oct 16 - Oct 27, 2025; Jan 09- Jan 18, 2026; Feb 26 - Mar 3, 2026; Mar 27 - Mar 29, 2026; May 7 - May 12, 2026</v>
      </c>
      <c r="J869" s="275">
        <f>IFERROR(__xludf.DUMMYFUNCTION("""COMPUTED_VALUE"""),4988.0)</f>
        <v>4988</v>
      </c>
      <c r="K869" s="275">
        <f>IFERROR(__xludf.DUMMYFUNCTION("""COMPUTED_VALUE"""),1996.0)</f>
        <v>1996</v>
      </c>
      <c r="L869" s="276">
        <f>IFERROR(__xludf.DUMMYFUNCTION("""COMPUTED_VALUE"""),0.4002)</f>
        <v>0.4002</v>
      </c>
      <c r="M869" s="275">
        <f>IFERROR(__xludf.DUMMYFUNCTION("""COMPUTED_VALUE"""),648.0)</f>
        <v>648</v>
      </c>
      <c r="N869" s="276">
        <f>IFERROR(__xludf.DUMMYFUNCTION("""COMPUTED_VALUE"""),0.3246)</f>
        <v>0.3246</v>
      </c>
      <c r="O869" s="208">
        <f>IFERROR(__xludf.DUMMYFUNCTION("""COMPUTED_VALUE"""),58.0)</f>
        <v>58</v>
      </c>
      <c r="P869" s="208">
        <f>IFERROR(__xludf.DUMMYFUNCTION("""COMPUTED_VALUE"""),58.0)</f>
        <v>58</v>
      </c>
      <c r="Q869" s="276">
        <f>IFERROR(__xludf.DUMMYFUNCTION("""COMPUTED_VALUE"""),0.0291)</f>
        <v>0.0291</v>
      </c>
      <c r="R869" s="276">
        <f>IFERROR(__xludf.DUMMYFUNCTION("""COMPUTED_VALUE"""),0.0895)</f>
        <v>0.0895</v>
      </c>
      <c r="S869" s="208">
        <f>IFERROR(__xludf.DUMMYFUNCTION("""COMPUTED_VALUE"""),0.0)</f>
        <v>0</v>
      </c>
      <c r="T869" s="208">
        <f>IFERROR(__xludf.DUMMYFUNCTION("""COMPUTED_VALUE"""),1.0)</f>
        <v>1</v>
      </c>
      <c r="U869" s="275">
        <f>IFERROR(__xludf.DUMMYFUNCTION("""COMPUTED_VALUE"""),0.0)</f>
        <v>0</v>
      </c>
      <c r="V869" s="234" t="str">
        <f>IFERROR(__xludf.DUMMYFUNCTION("""COMPUTED_VALUE"""),"online")</f>
        <v>online</v>
      </c>
      <c r="W869" s="232" t="str">
        <f>IFERROR(__xludf.DUMMYFUNCTION("""COMPUTED_VALUE"""),"simple")</f>
        <v>simple</v>
      </c>
      <c r="X869" s="232" t="str">
        <f>IFERROR(__xludf.DUMMYFUNCTION("""COMPUTED_VALUE"""),"Event Buyers")</f>
        <v>Event Buyers</v>
      </c>
      <c r="Y869" s="232" t="str">
        <f>IFERROR(__xludf.DUMMYFUNCTION("""COMPUTED_VALUE"""),"7-9 June")</f>
        <v>7-9 June</v>
      </c>
      <c r="Z869" s="232" t="str">
        <f>IFERROR(__xludf.DUMMYFUNCTION("""COMPUTED_VALUE"""),"6a1ea9c146070445201babb1")</f>
        <v>6a1ea9c146070445201babb1</v>
      </c>
      <c r="AA869" s="277">
        <f>IFERROR(__xludf.DUMMYFUNCTION("""COMPUTED_VALUE"""),3.0)</f>
        <v>3</v>
      </c>
      <c r="AB869" s="277">
        <f>IFERROR(__xludf.DUMMYFUNCTION("""COMPUTED_VALUE"""),3.0)</f>
        <v>3</v>
      </c>
      <c r="AC869" s="277"/>
      <c r="AD869" s="277">
        <f>IFERROR(__xludf.DUMMYFUNCTION("""COMPUTED_VALUE"""),6935.0)</f>
        <v>6935</v>
      </c>
      <c r="AE869" s="277">
        <f>IFERROR(__xludf.DUMMYFUNCTION("""COMPUTED_VALUE"""),6935.0)</f>
        <v>6935</v>
      </c>
      <c r="AF869" s="277"/>
      <c r="AG869" s="208"/>
      <c r="AH869" s="208"/>
      <c r="AI869" s="208"/>
      <c r="AJ869" s="208"/>
      <c r="AK869" s="208"/>
    </row>
    <row r="870" hidden="1">
      <c r="A870" s="288">
        <f>IFERROR(__xludf.DUMMYFUNCTION("""COMPUTED_VALUE"""),46180.0)</f>
        <v>46180</v>
      </c>
      <c r="B870" s="274">
        <f>IFERROR(__xludf.DUMMYFUNCTION("""COMPUTED_VALUE"""),0.75)</f>
        <v>0.75</v>
      </c>
      <c r="C870" s="208" t="str">
        <f>IFERROR(__xludf.DUMMYFUNCTION("""COMPUTED_VALUE"""),"Whatsapp")</f>
        <v>Whatsapp</v>
      </c>
      <c r="D870" s="208" t="str">
        <f>IFERROR(__xludf.DUMMYFUNCTION("""COMPUTED_VALUE"""),"Promotional")</f>
        <v>Promotional</v>
      </c>
      <c r="E870" s="208" t="str">
        <f>IFERROR(__xludf.DUMMYFUNCTION("""COMPUTED_VALUE"""),"BBW")</f>
        <v>BBW</v>
      </c>
      <c r="F870" s="208" t="str">
        <f>IFERROR(__xludf.DUMMYFUNCTION("""COMPUTED_VALUE"""),"B2G2 - June'26 - Entire Store")</f>
        <v>B2G2 - June'26 - Entire Store</v>
      </c>
      <c r="G870" s="208" t="str">
        <f>IFERROR(__xludf.DUMMYFUNCTION("""COMPUTED_VALUE"""),"bbw_wa_b2g2_7june_lastreminder_dormant_online")</f>
        <v>bbw_wa_b2g2_7june_lastreminder_dormant_online</v>
      </c>
      <c r="H870" s="232" t="str">
        <f>IFERROR(__xludf.DUMMYFUNCTION("""COMPUTED_VALUE"""),"BBW_ON_BC_1100_1_time_365D")</f>
        <v>BBW_ON_BC_1100_1_time_365D</v>
      </c>
      <c r="I870" s="233" t="str">
        <f>IFERROR(__xludf.DUMMYFUNCTION("""COMPUTED_VALUE"""),"Online Customers who have purchased at least 1 time with cart value below ₹1,100 in the last 365 days")</f>
        <v>Online Customers who have purchased at least 1 time with cart value below ₹1,100 in the last 365 days</v>
      </c>
      <c r="J870" s="275">
        <f>IFERROR(__xludf.DUMMYFUNCTION("""COMPUTED_VALUE"""),4232.0)</f>
        <v>4232</v>
      </c>
      <c r="K870" s="275">
        <f>IFERROR(__xludf.DUMMYFUNCTION("""COMPUTED_VALUE"""),1815.0)</f>
        <v>1815</v>
      </c>
      <c r="L870" s="276">
        <f>IFERROR(__xludf.DUMMYFUNCTION("""COMPUTED_VALUE"""),0.4286)</f>
        <v>0.4286</v>
      </c>
      <c r="M870" s="275">
        <f>IFERROR(__xludf.DUMMYFUNCTION("""COMPUTED_VALUE"""),561.0)</f>
        <v>561</v>
      </c>
      <c r="N870" s="276">
        <f>IFERROR(__xludf.DUMMYFUNCTION("""COMPUTED_VALUE"""),0.3093)</f>
        <v>0.3093</v>
      </c>
      <c r="O870" s="208">
        <f>IFERROR(__xludf.DUMMYFUNCTION("""COMPUTED_VALUE"""),40.0)</f>
        <v>40</v>
      </c>
      <c r="P870" s="208">
        <f>IFERROR(__xludf.DUMMYFUNCTION("""COMPUTED_VALUE"""),40.0)</f>
        <v>40</v>
      </c>
      <c r="Q870" s="276">
        <f>IFERROR(__xludf.DUMMYFUNCTION("""COMPUTED_VALUE"""),0.0221)</f>
        <v>0.0221</v>
      </c>
      <c r="R870" s="276">
        <f>IFERROR(__xludf.DUMMYFUNCTION("""COMPUTED_VALUE"""),0.0713)</f>
        <v>0.0713</v>
      </c>
      <c r="S870" s="208">
        <f>IFERROR(__xludf.DUMMYFUNCTION("""COMPUTED_VALUE"""),0.0)</f>
        <v>0</v>
      </c>
      <c r="T870" s="208">
        <f>IFERROR(__xludf.DUMMYFUNCTION("""COMPUTED_VALUE"""),0.0)</f>
        <v>0</v>
      </c>
      <c r="U870" s="275">
        <f>IFERROR(__xludf.DUMMYFUNCTION("""COMPUTED_VALUE"""),0.0)</f>
        <v>0</v>
      </c>
      <c r="V870" s="234" t="str">
        <f>IFERROR(__xludf.DUMMYFUNCTION("""COMPUTED_VALUE"""),"online")</f>
        <v>online</v>
      </c>
      <c r="W870" s="232" t="str">
        <f>IFERROR(__xludf.DUMMYFUNCTION("""COMPUTED_VALUE"""),"simple")</f>
        <v>simple</v>
      </c>
      <c r="X870" s="232" t="str">
        <f>IFERROR(__xludf.DUMMYFUNCTION("""COMPUTED_VALUE"""),"Cart Value")</f>
        <v>Cart Value</v>
      </c>
      <c r="Y870" s="232" t="str">
        <f>IFERROR(__xludf.DUMMYFUNCTION("""COMPUTED_VALUE"""),"7-9 June")</f>
        <v>7-9 June</v>
      </c>
      <c r="Z870" s="232" t="str">
        <f>IFERROR(__xludf.DUMMYFUNCTION("""COMPUTED_VALUE"""),"6a1eaa0033371aa067d0dcd4")</f>
        <v>6a1eaa0033371aa067d0dcd4</v>
      </c>
      <c r="AA870" s="277">
        <f>IFERROR(__xludf.DUMMYFUNCTION("""COMPUTED_VALUE"""),1.0)</f>
        <v>1</v>
      </c>
      <c r="AB870" s="277">
        <f>IFERROR(__xludf.DUMMYFUNCTION("""COMPUTED_VALUE"""),1.0)</f>
        <v>1</v>
      </c>
      <c r="AC870" s="277"/>
      <c r="AD870" s="277">
        <f>IFERROR(__xludf.DUMMYFUNCTION("""COMPUTED_VALUE"""),2598.0)</f>
        <v>2598</v>
      </c>
      <c r="AE870" s="277">
        <f>IFERROR(__xludf.DUMMYFUNCTION("""COMPUTED_VALUE"""),2598.0)</f>
        <v>2598</v>
      </c>
      <c r="AF870" s="277"/>
      <c r="AG870" s="208"/>
      <c r="AH870" s="208"/>
      <c r="AI870" s="208"/>
      <c r="AJ870" s="208"/>
      <c r="AK870" s="208"/>
    </row>
    <row r="871" hidden="1">
      <c r="A871" s="288">
        <f>IFERROR(__xludf.DUMMYFUNCTION("""COMPUTED_VALUE"""),46180.0)</f>
        <v>46180</v>
      </c>
      <c r="B871" s="274">
        <f>IFERROR(__xludf.DUMMYFUNCTION("""COMPUTED_VALUE"""),0.75)</f>
        <v>0.75</v>
      </c>
      <c r="C871" s="208" t="str">
        <f>IFERROR(__xludf.DUMMYFUNCTION("""COMPUTED_VALUE"""),"Whatsapp")</f>
        <v>Whatsapp</v>
      </c>
      <c r="D871" s="208" t="str">
        <f>IFERROR(__xludf.DUMMYFUNCTION("""COMPUTED_VALUE"""),"Promotional")</f>
        <v>Promotional</v>
      </c>
      <c r="E871" s="208" t="str">
        <f>IFERROR(__xludf.DUMMYFUNCTION("""COMPUTED_VALUE"""),"BBW")</f>
        <v>BBW</v>
      </c>
      <c r="F871" s="208" t="str">
        <f>IFERROR(__xludf.DUMMYFUNCTION("""COMPUTED_VALUE"""),"B2G2 - June'26 - Entire Store")</f>
        <v>B2G2 - June'26 - Entire Store</v>
      </c>
      <c r="G871" s="208" t="str">
        <f>IFERROR(__xludf.DUMMYFUNCTION("""COMPUTED_VALUE"""),"bbw_wa_b2g2_7june_event_buyers_lastreminder_overall")</f>
        <v>bbw_wa_b2g2_7june_event_buyers_lastreminder_overall</v>
      </c>
      <c r="H871" s="232" t="str">
        <f>IFERROR(__xludf.DUMMYFUNCTION("""COMPUTED_VALUE"""),"BBW_ON_OFF_B2G2_Event_Buyers")</f>
        <v>BBW_ON_OFF_B2G2_Event_Buyers</v>
      </c>
      <c r="I871" s="233" t="str">
        <f>IFERROR(__xludf.DUMMYFUNCTION("""COMPUTED_VALUE"""),"Customers who have purchased between 25–27 Jul 2025, 09–10 Aug 2025, 14–17 Aug 2025, 02–05 Oct 2025, 17–21 Oct 2025, 23–26 Jan 2026, 13–15 Feb 2026, 04–08 Mar 2026, 21-26 May 2026")</f>
        <v>Customers who have purchased between 25–27 Jul 2025, 09–10 Aug 2025, 14–17 Aug 2025, 02–05 Oct 2025, 17–21 Oct 2025, 23–26 Jan 2026, 13–15 Feb 2026, 04–08 Mar 2026, 21-26 May 2026</v>
      </c>
      <c r="J871" s="275">
        <f>IFERROR(__xludf.DUMMYFUNCTION("""COMPUTED_VALUE"""),56466.0)</f>
        <v>56466</v>
      </c>
      <c r="K871" s="275">
        <f>IFERROR(__xludf.DUMMYFUNCTION("""COMPUTED_VALUE"""),21745.0)</f>
        <v>21745</v>
      </c>
      <c r="L871" s="276">
        <f>IFERROR(__xludf.DUMMYFUNCTION("""COMPUTED_VALUE"""),0.385)</f>
        <v>0.385</v>
      </c>
      <c r="M871" s="275">
        <f>IFERROR(__xludf.DUMMYFUNCTION("""COMPUTED_VALUE"""),6653.0)</f>
        <v>6653</v>
      </c>
      <c r="N871" s="276">
        <f>IFERROR(__xludf.DUMMYFUNCTION("""COMPUTED_VALUE"""),0.306)</f>
        <v>0.306</v>
      </c>
      <c r="O871" s="208">
        <f>IFERROR(__xludf.DUMMYFUNCTION("""COMPUTED_VALUE"""),430.0)</f>
        <v>430</v>
      </c>
      <c r="P871" s="208">
        <f>IFERROR(__xludf.DUMMYFUNCTION("""COMPUTED_VALUE"""),413.0)</f>
        <v>413</v>
      </c>
      <c r="Q871" s="276">
        <f>IFERROR(__xludf.DUMMYFUNCTION("""COMPUTED_VALUE"""),0.019)</f>
        <v>0.019</v>
      </c>
      <c r="R871" s="276">
        <f>IFERROR(__xludf.DUMMYFUNCTION("""COMPUTED_VALUE"""),0.0621)</f>
        <v>0.0621</v>
      </c>
      <c r="S871" s="208">
        <f>IFERROR(__xludf.DUMMYFUNCTION("""COMPUTED_VALUE"""),3.0)</f>
        <v>3</v>
      </c>
      <c r="T871" s="208">
        <f>IFERROR(__xludf.DUMMYFUNCTION("""COMPUTED_VALUE"""),5.0)</f>
        <v>5</v>
      </c>
      <c r="U871" s="275">
        <f>IFERROR(__xludf.DUMMYFUNCTION("""COMPUTED_VALUE"""),12877.0)</f>
        <v>12877</v>
      </c>
      <c r="V871" s="234" t="str">
        <f>IFERROR(__xludf.DUMMYFUNCTION("""COMPUTED_VALUE"""),"overall")</f>
        <v>overall</v>
      </c>
      <c r="W871" s="232" t="str">
        <f>IFERROR(__xludf.DUMMYFUNCTION("""COMPUTED_VALUE"""),"simple")</f>
        <v>simple</v>
      </c>
      <c r="X871" s="232" t="str">
        <f>IFERROR(__xludf.DUMMYFUNCTION("""COMPUTED_VALUE"""),"Event Buyers")</f>
        <v>Event Buyers</v>
      </c>
      <c r="Y871" s="232" t="str">
        <f>IFERROR(__xludf.DUMMYFUNCTION("""COMPUTED_VALUE"""),"7-9 June")</f>
        <v>7-9 June</v>
      </c>
      <c r="Z871" s="232" t="str">
        <f>IFERROR(__xludf.DUMMYFUNCTION("""COMPUTED_VALUE"""),"6a1eaa3c286de375a1832e5c")</f>
        <v>6a1eaa3c286de375a1832e5c</v>
      </c>
      <c r="AA871" s="277">
        <f>IFERROR(__xludf.DUMMYFUNCTION("""COMPUTED_VALUE"""),19.0)</f>
        <v>19</v>
      </c>
      <c r="AB871" s="277">
        <f>IFERROR(__xludf.DUMMYFUNCTION("""COMPUTED_VALUE"""),19.0)</f>
        <v>19</v>
      </c>
      <c r="AC871" s="277"/>
      <c r="AD871" s="277">
        <f>IFERROR(__xludf.DUMMYFUNCTION("""COMPUTED_VALUE"""),80007.0)</f>
        <v>80007</v>
      </c>
      <c r="AE871" s="277">
        <f>IFERROR(__xludf.DUMMYFUNCTION("""COMPUTED_VALUE"""),80007.0)</f>
        <v>80007</v>
      </c>
      <c r="AF871" s="277"/>
      <c r="AG871" s="208"/>
      <c r="AH871" s="208"/>
      <c r="AI871" s="208"/>
      <c r="AJ871" s="208"/>
      <c r="AK871" s="208"/>
    </row>
    <row r="872" hidden="1">
      <c r="A872" s="288">
        <f>IFERROR(__xludf.DUMMYFUNCTION("""COMPUTED_VALUE"""),46177.0)</f>
        <v>46177</v>
      </c>
      <c r="B872" s="274">
        <f>IFERROR(__xludf.DUMMYFUNCTION("""COMPUTED_VALUE"""),0.8541666666678793)</f>
        <v>0.8541666667</v>
      </c>
      <c r="C872" s="208" t="str">
        <f>IFERROR(__xludf.DUMMYFUNCTION("""COMPUTED_VALUE"""),"Sms")</f>
        <v>Sms</v>
      </c>
      <c r="D872" s="208" t="str">
        <f>IFERROR(__xludf.DUMMYFUNCTION("""COMPUTED_VALUE"""),"Fallback campaign")</f>
        <v>Fallback campaign</v>
      </c>
      <c r="E872" s="208" t="str">
        <f>IFERROR(__xludf.DUMMYFUNCTION("""COMPUTED_VALUE"""),"BBW")</f>
        <v>BBW</v>
      </c>
      <c r="F872" s="208" t="str">
        <f>IFERROR(__xludf.DUMMYFUNCTION("""COMPUTED_VALUE"""),"B2G2 - June'26 - Entire Store")</f>
        <v>B2G2 - June'26 - Entire Store</v>
      </c>
      <c r="G872" s="208" t="str">
        <f>IFERROR(__xludf.DUMMYFUNCTION("""COMPUTED_VALUE"""),"bbw_smsfb_b2g2_4june_atc_wishlist_ea_online")</f>
        <v>bbw_smsfb_b2g2_4june_atc_wishlist_ea_online</v>
      </c>
      <c r="H872" s="232" t="str">
        <f>IFERROR(__xludf.DUMMYFUNCTION("""COMPUTED_VALUE"""),"BBW_ON_B2G2_ATC_Wishlist_May_26")</f>
        <v>BBW_ON_B2G2_ATC_Wishlist_May_26</v>
      </c>
      <c r="I872" s="233" t="str">
        <f>IFERROR(__xludf.DUMMYFUNCTION("""COMPUTED_VALUE"""),"WA Undelivered")</f>
        <v>WA Undelivered</v>
      </c>
      <c r="J872" s="275">
        <f>IFERROR(__xludf.DUMMYFUNCTION("""COMPUTED_VALUE"""),2228.0)</f>
        <v>2228</v>
      </c>
      <c r="K872" s="275">
        <f>IFERROR(__xludf.DUMMYFUNCTION("""COMPUTED_VALUE"""),1324.0)</f>
        <v>1324</v>
      </c>
      <c r="L872" s="276">
        <f>IFERROR(__xludf.DUMMYFUNCTION("""COMPUTED_VALUE"""),0.5943)</f>
        <v>0.5943</v>
      </c>
      <c r="M872" s="275">
        <f>IFERROR(__xludf.DUMMYFUNCTION("""COMPUTED_VALUE"""),0.0)</f>
        <v>0</v>
      </c>
      <c r="N872" s="276">
        <f>IFERROR(__xludf.DUMMYFUNCTION("""COMPUTED_VALUE"""),0.0)</f>
        <v>0</v>
      </c>
      <c r="O872" s="208">
        <f>IFERROR(__xludf.DUMMYFUNCTION("""COMPUTED_VALUE"""),5.0)</f>
        <v>5</v>
      </c>
      <c r="P872" s="208">
        <f>IFERROR(__xludf.DUMMYFUNCTION("""COMPUTED_VALUE"""),0.0)</f>
        <v>0</v>
      </c>
      <c r="Q872" s="276">
        <f>IFERROR(__xludf.DUMMYFUNCTION("""COMPUTED_VALUE"""),0.0038)</f>
        <v>0.0038</v>
      </c>
      <c r="R872" s="276">
        <f>IFERROR(__xludf.DUMMYFUNCTION("""COMPUTED_VALUE"""),0.0)</f>
        <v>0</v>
      </c>
      <c r="S872" s="208">
        <f>IFERROR(__xludf.DUMMYFUNCTION("""COMPUTED_VALUE"""),4.0)</f>
        <v>4</v>
      </c>
      <c r="T872" s="208">
        <f>IFERROR(__xludf.DUMMYFUNCTION("""COMPUTED_VALUE"""),24.0)</f>
        <v>24</v>
      </c>
      <c r="U872" s="275">
        <f>IFERROR(__xludf.DUMMYFUNCTION("""COMPUTED_VALUE"""),52629.0)</f>
        <v>52629</v>
      </c>
      <c r="V872" s="234" t="str">
        <f>IFERROR(__xludf.DUMMYFUNCTION("""COMPUTED_VALUE"""),"online")</f>
        <v>online</v>
      </c>
      <c r="W872" s="232" t="str">
        <f>IFERROR(__xludf.DUMMYFUNCTION("""COMPUTED_VALUE"""),"Sms")</f>
        <v>Sms</v>
      </c>
      <c r="X872" s="232" t="str">
        <f>IFERROR(__xludf.DUMMYFUNCTION("""COMPUTED_VALUE"""),"ATC/View")</f>
        <v>ATC/View</v>
      </c>
      <c r="Y872" s="232" t="str">
        <f>IFERROR(__xludf.DUMMYFUNCTION("""COMPUTED_VALUE"""),"04 June")</f>
        <v>04 June</v>
      </c>
      <c r="Z872" s="232" t="str">
        <f>IFERROR(__xludf.DUMMYFUNCTION("""COMPUTED_VALUE"""),"6a1d45e7ec1ef81c1755daad")</f>
        <v>6a1d45e7ec1ef81c1755daad</v>
      </c>
      <c r="AA872" s="277">
        <f>IFERROR(__xludf.DUMMYFUNCTION("""COMPUTED_VALUE"""),6.0)</f>
        <v>6</v>
      </c>
      <c r="AB872" s="277">
        <f>IFERROR(__xludf.DUMMYFUNCTION("""COMPUTED_VALUE"""),6.0)</f>
        <v>6</v>
      </c>
      <c r="AC872" s="277"/>
      <c r="AD872" s="277">
        <f>IFERROR(__xludf.DUMMYFUNCTION("""COMPUTED_VALUE"""),16731.0)</f>
        <v>16731</v>
      </c>
      <c r="AE872" s="277">
        <f>IFERROR(__xludf.DUMMYFUNCTION("""COMPUTED_VALUE"""),16731.0)</f>
        <v>16731</v>
      </c>
      <c r="AF872" s="277"/>
      <c r="AG872" s="208"/>
      <c r="AH872" s="208"/>
      <c r="AI872" s="208"/>
      <c r="AJ872" s="208"/>
      <c r="AK872" s="208"/>
    </row>
    <row r="873" hidden="1">
      <c r="A873" s="288">
        <f>IFERROR(__xludf.DUMMYFUNCTION("""COMPUTED_VALUE"""),46177.0)</f>
        <v>46177</v>
      </c>
      <c r="B873" s="274">
        <f>IFERROR(__xludf.DUMMYFUNCTION("""COMPUTED_VALUE"""),0.8541666666678793)</f>
        <v>0.8541666667</v>
      </c>
      <c r="C873" s="208" t="str">
        <f>IFERROR(__xludf.DUMMYFUNCTION("""COMPUTED_VALUE"""),"Sms")</f>
        <v>Sms</v>
      </c>
      <c r="D873" s="208" t="str">
        <f>IFERROR(__xludf.DUMMYFUNCTION("""COMPUTED_VALUE"""),"Fallback campaign")</f>
        <v>Fallback campaign</v>
      </c>
      <c r="E873" s="208" t="str">
        <f>IFERROR(__xludf.DUMMYFUNCTION("""COMPUTED_VALUE"""),"BBW")</f>
        <v>BBW</v>
      </c>
      <c r="F873" s="208" t="str">
        <f>IFERROR(__xludf.DUMMYFUNCTION("""COMPUTED_VALUE"""),"B2G2 - June'26 - Entire Store")</f>
        <v>B2G2 - June'26 - Entire Store</v>
      </c>
      <c r="G873" s="208" t="str">
        <f>IFERROR(__xludf.DUMMYFUNCTION("""COMPUTED_VALUE"""),"bbw_smsfb_b2g2_4june_active_ea_online")</f>
        <v>bbw_smsfb_b2g2_4june_active_ea_online</v>
      </c>
      <c r="H873" s="232" t="str">
        <f>IFERROR(__xludf.DUMMYFUNCTION("""COMPUTED_VALUE"""),"BBW_ON_B2G2_Active_May_26")</f>
        <v>BBW_ON_B2G2_Active_May_26</v>
      </c>
      <c r="I873" s="233" t="str">
        <f>IFERROR(__xludf.DUMMYFUNCTION("""COMPUTED_VALUE"""),"WA Undelivered")</f>
        <v>WA Undelivered</v>
      </c>
      <c r="J873" s="275">
        <f>IFERROR(__xludf.DUMMYFUNCTION("""COMPUTED_VALUE"""),12628.0)</f>
        <v>12628</v>
      </c>
      <c r="K873" s="275">
        <f>IFERROR(__xludf.DUMMYFUNCTION("""COMPUTED_VALUE"""),6745.0)</f>
        <v>6745</v>
      </c>
      <c r="L873" s="276">
        <f>IFERROR(__xludf.DUMMYFUNCTION("""COMPUTED_VALUE"""),0.5341)</f>
        <v>0.5341</v>
      </c>
      <c r="M873" s="275">
        <f>IFERROR(__xludf.DUMMYFUNCTION("""COMPUTED_VALUE"""),0.0)</f>
        <v>0</v>
      </c>
      <c r="N873" s="276">
        <f>IFERROR(__xludf.DUMMYFUNCTION("""COMPUTED_VALUE"""),0.0)</f>
        <v>0</v>
      </c>
      <c r="O873" s="208">
        <f>IFERROR(__xludf.DUMMYFUNCTION("""COMPUTED_VALUE"""),38.0)</f>
        <v>38</v>
      </c>
      <c r="P873" s="208">
        <f>IFERROR(__xludf.DUMMYFUNCTION("""COMPUTED_VALUE"""),0.0)</f>
        <v>0</v>
      </c>
      <c r="Q873" s="276">
        <f>IFERROR(__xludf.DUMMYFUNCTION("""COMPUTED_VALUE"""),0.0056)</f>
        <v>0.0056</v>
      </c>
      <c r="R873" s="276">
        <f>IFERROR(__xludf.DUMMYFUNCTION("""COMPUTED_VALUE"""),0.0)</f>
        <v>0</v>
      </c>
      <c r="S873" s="208">
        <f>IFERROR(__xludf.DUMMYFUNCTION("""COMPUTED_VALUE"""),1.0)</f>
        <v>1</v>
      </c>
      <c r="T873" s="208">
        <f>IFERROR(__xludf.DUMMYFUNCTION("""COMPUTED_VALUE"""),3.0)</f>
        <v>3</v>
      </c>
      <c r="U873" s="275">
        <f>IFERROR(__xludf.DUMMYFUNCTION("""COMPUTED_VALUE"""),7596.0)</f>
        <v>7596</v>
      </c>
      <c r="V873" s="234" t="str">
        <f>IFERROR(__xludf.DUMMYFUNCTION("""COMPUTED_VALUE"""),"online")</f>
        <v>online</v>
      </c>
      <c r="W873" s="232" t="str">
        <f>IFERROR(__xludf.DUMMYFUNCTION("""COMPUTED_VALUE"""),"Sms")</f>
        <v>Sms</v>
      </c>
      <c r="X873" s="232" t="str">
        <f>IFERROR(__xludf.DUMMYFUNCTION("""COMPUTED_VALUE"""),"Active")</f>
        <v>Active</v>
      </c>
      <c r="Y873" s="232" t="str">
        <f>IFERROR(__xludf.DUMMYFUNCTION("""COMPUTED_VALUE"""),"04 June")</f>
        <v>04 June</v>
      </c>
      <c r="Z873" s="232" t="str">
        <f>IFERROR(__xludf.DUMMYFUNCTION("""COMPUTED_VALUE"""),"6a1d45fb2c2c804b2db6d67b")</f>
        <v>6a1d45fb2c2c804b2db6d67b</v>
      </c>
      <c r="AA873" s="277">
        <f>IFERROR(__xludf.DUMMYFUNCTION("""COMPUTED_VALUE"""),8.0)</f>
        <v>8</v>
      </c>
      <c r="AB873" s="277">
        <f>IFERROR(__xludf.DUMMYFUNCTION("""COMPUTED_VALUE"""),8.0)</f>
        <v>8</v>
      </c>
      <c r="AC873" s="277"/>
      <c r="AD873" s="277">
        <f>IFERROR(__xludf.DUMMYFUNCTION("""COMPUTED_VALUE"""),22127.0)</f>
        <v>22127</v>
      </c>
      <c r="AE873" s="277">
        <f>IFERROR(__xludf.DUMMYFUNCTION("""COMPUTED_VALUE"""),22127.0)</f>
        <v>22127</v>
      </c>
      <c r="AF873" s="277"/>
      <c r="AG873" s="208"/>
      <c r="AH873" s="208"/>
      <c r="AI873" s="208"/>
      <c r="AJ873" s="208"/>
      <c r="AK873" s="208"/>
    </row>
    <row r="874" hidden="1">
      <c r="A874" s="288">
        <f>IFERROR(__xludf.DUMMYFUNCTION("""COMPUTED_VALUE"""),46177.0)</f>
        <v>46177</v>
      </c>
      <c r="B874" s="274">
        <f>IFERROR(__xludf.DUMMYFUNCTION("""COMPUTED_VALUE"""),0.8541666666678793)</f>
        <v>0.8541666667</v>
      </c>
      <c r="C874" s="208" t="str">
        <f>IFERROR(__xludf.DUMMYFUNCTION("""COMPUTED_VALUE"""),"Sms")</f>
        <v>Sms</v>
      </c>
      <c r="D874" s="208" t="str">
        <f>IFERROR(__xludf.DUMMYFUNCTION("""COMPUTED_VALUE"""),"Fallback campaign")</f>
        <v>Fallback campaign</v>
      </c>
      <c r="E874" s="208" t="str">
        <f>IFERROR(__xludf.DUMMYFUNCTION("""COMPUTED_VALUE"""),"BBW")</f>
        <v>BBW</v>
      </c>
      <c r="F874" s="208" t="str">
        <f>IFERROR(__xludf.DUMMYFUNCTION("""COMPUTED_VALUE"""),"B2G2 - June'26 - Entire Store")</f>
        <v>B2G2 - June'26 - Entire Store</v>
      </c>
      <c r="G874" s="208" t="str">
        <f>IFERROR(__xludf.DUMMYFUNCTION("""COMPUTED_VALUE"""),"bbw_smsfb_b2g2_4june_aov_3100_ea_online")</f>
        <v>bbw_smsfb_b2g2_4june_aov_3100_ea_online</v>
      </c>
      <c r="H874" s="232" t="str">
        <f>IFERROR(__xludf.DUMMYFUNCTION("""COMPUTED_VALUE"""),"BBW_ON_B2G2_AOV_3100")</f>
        <v>BBW_ON_B2G2_AOV_3100</v>
      </c>
      <c r="I874" s="233" t="str">
        <f>IFERROR(__xludf.DUMMYFUNCTION("""COMPUTED_VALUE"""),"WA Undelivered")</f>
        <v>WA Undelivered</v>
      </c>
      <c r="J874" s="275">
        <f>IFERROR(__xludf.DUMMYFUNCTION("""COMPUTED_VALUE"""),8838.0)</f>
        <v>8838</v>
      </c>
      <c r="K874" s="275">
        <f>IFERROR(__xludf.DUMMYFUNCTION("""COMPUTED_VALUE"""),4128.0)</f>
        <v>4128</v>
      </c>
      <c r="L874" s="276">
        <f>IFERROR(__xludf.DUMMYFUNCTION("""COMPUTED_VALUE"""),0.4671)</f>
        <v>0.4671</v>
      </c>
      <c r="M874" s="275">
        <f>IFERROR(__xludf.DUMMYFUNCTION("""COMPUTED_VALUE"""),0.0)</f>
        <v>0</v>
      </c>
      <c r="N874" s="276">
        <f>IFERROR(__xludf.DUMMYFUNCTION("""COMPUTED_VALUE"""),0.0)</f>
        <v>0</v>
      </c>
      <c r="O874" s="208">
        <f>IFERROR(__xludf.DUMMYFUNCTION("""COMPUTED_VALUE"""),16.0)</f>
        <v>16</v>
      </c>
      <c r="P874" s="208">
        <f>IFERROR(__xludf.DUMMYFUNCTION("""COMPUTED_VALUE"""),0.0)</f>
        <v>0</v>
      </c>
      <c r="Q874" s="276">
        <f>IFERROR(__xludf.DUMMYFUNCTION("""COMPUTED_VALUE"""),0.0039)</f>
        <v>0.0039</v>
      </c>
      <c r="R874" s="276">
        <f>IFERROR(__xludf.DUMMYFUNCTION("""COMPUTED_VALUE"""),0.0)</f>
        <v>0</v>
      </c>
      <c r="S874" s="208">
        <f>IFERROR(__xludf.DUMMYFUNCTION("""COMPUTED_VALUE"""),1.0)</f>
        <v>1</v>
      </c>
      <c r="T874" s="208">
        <f>IFERROR(__xludf.DUMMYFUNCTION("""COMPUTED_VALUE"""),1.0)</f>
        <v>1</v>
      </c>
      <c r="U874" s="275">
        <f>IFERROR(__xludf.DUMMYFUNCTION("""COMPUTED_VALUE"""),6836.0)</f>
        <v>6836</v>
      </c>
      <c r="V874" s="234" t="str">
        <f>IFERROR(__xludf.DUMMYFUNCTION("""COMPUTED_VALUE"""),"online")</f>
        <v>online</v>
      </c>
      <c r="W874" s="232" t="str">
        <f>IFERROR(__xludf.DUMMYFUNCTION("""COMPUTED_VALUE"""),"Sms")</f>
        <v>Sms</v>
      </c>
      <c r="X874" s="232" t="str">
        <f>IFERROR(__xludf.DUMMYFUNCTION("""COMPUTED_VALUE"""),"Cart Value")</f>
        <v>Cart Value</v>
      </c>
      <c r="Y874" s="232" t="str">
        <f>IFERROR(__xludf.DUMMYFUNCTION("""COMPUTED_VALUE"""),"04 June")</f>
        <v>04 June</v>
      </c>
      <c r="Z874" s="232" t="str">
        <f>IFERROR(__xludf.DUMMYFUNCTION("""COMPUTED_VALUE"""),"6a1d46094aeb59d29fa1e0e8")</f>
        <v>6a1d46094aeb59d29fa1e0e8</v>
      </c>
      <c r="AA874" s="277">
        <f>IFERROR(__xludf.DUMMYFUNCTION("""COMPUTED_VALUE"""),4.0)</f>
        <v>4</v>
      </c>
      <c r="AB874" s="277">
        <f>IFERROR(__xludf.DUMMYFUNCTION("""COMPUTED_VALUE"""),4.0)</f>
        <v>4</v>
      </c>
      <c r="AC874" s="277"/>
      <c r="AD874" s="277">
        <f>IFERROR(__xludf.DUMMYFUNCTION("""COMPUTED_VALUE"""),14594.0)</f>
        <v>14594</v>
      </c>
      <c r="AE874" s="277">
        <f>IFERROR(__xludf.DUMMYFUNCTION("""COMPUTED_VALUE"""),14594.0)</f>
        <v>14594</v>
      </c>
      <c r="AF874" s="277"/>
      <c r="AG874" s="208"/>
      <c r="AH874" s="208"/>
      <c r="AI874" s="208"/>
      <c r="AJ874" s="208"/>
      <c r="AK874" s="208"/>
    </row>
    <row r="875" hidden="1">
      <c r="A875" s="288">
        <f>IFERROR(__xludf.DUMMYFUNCTION("""COMPUTED_VALUE"""),46177.0)</f>
        <v>46177</v>
      </c>
      <c r="B875" s="274">
        <f>IFERROR(__xludf.DUMMYFUNCTION("""COMPUTED_VALUE"""),0.8541666666678793)</f>
        <v>0.8541666667</v>
      </c>
      <c r="C875" s="208" t="str">
        <f>IFERROR(__xludf.DUMMYFUNCTION("""COMPUTED_VALUE"""),"Sms")</f>
        <v>Sms</v>
      </c>
      <c r="D875" s="208" t="str">
        <f>IFERROR(__xludf.DUMMYFUNCTION("""COMPUTED_VALUE"""),"Fallback campaign")</f>
        <v>Fallback campaign</v>
      </c>
      <c r="E875" s="208" t="str">
        <f>IFERROR(__xludf.DUMMYFUNCTION("""COMPUTED_VALUE"""),"BBW")</f>
        <v>BBW</v>
      </c>
      <c r="F875" s="208" t="str">
        <f>IFERROR(__xludf.DUMMYFUNCTION("""COMPUTED_VALUE"""),"B2G2 - June'26 - Entire Store")</f>
        <v>B2G2 - June'26 - Entire Store</v>
      </c>
      <c r="G875" s="208" t="str">
        <f>IFERROR(__xludf.DUMMYFUNCTION("""COMPUTED_VALUE"""),"bbw_smsfb_b2g2_4june_dormant_ea_online")</f>
        <v>bbw_smsfb_b2g2_4june_dormant_ea_online</v>
      </c>
      <c r="H875" s="232" t="str">
        <f>IFERROR(__xludf.DUMMYFUNCTION("""COMPUTED_VALUE"""),"BBW_ON_B2G2_Dormant_May_26")</f>
        <v>BBW_ON_B2G2_Dormant_May_26</v>
      </c>
      <c r="I875" s="233" t="str">
        <f>IFERROR(__xludf.DUMMYFUNCTION("""COMPUTED_VALUE"""),"WA Undelivered")</f>
        <v>WA Undelivered</v>
      </c>
      <c r="J875" s="275">
        <f>IFERROR(__xludf.DUMMYFUNCTION("""COMPUTED_VALUE"""),42606.0)</f>
        <v>42606</v>
      </c>
      <c r="K875" s="275">
        <f>IFERROR(__xludf.DUMMYFUNCTION("""COMPUTED_VALUE"""),25085.0)</f>
        <v>25085</v>
      </c>
      <c r="L875" s="276">
        <f>IFERROR(__xludf.DUMMYFUNCTION("""COMPUTED_VALUE"""),0.5888)</f>
        <v>0.5888</v>
      </c>
      <c r="M875" s="275">
        <f>IFERROR(__xludf.DUMMYFUNCTION("""COMPUTED_VALUE"""),0.0)</f>
        <v>0</v>
      </c>
      <c r="N875" s="276">
        <f>IFERROR(__xludf.DUMMYFUNCTION("""COMPUTED_VALUE"""),0.0)</f>
        <v>0</v>
      </c>
      <c r="O875" s="208">
        <f>IFERROR(__xludf.DUMMYFUNCTION("""COMPUTED_VALUE"""),83.0)</f>
        <v>83</v>
      </c>
      <c r="P875" s="208">
        <f>IFERROR(__xludf.DUMMYFUNCTION("""COMPUTED_VALUE"""),0.0)</f>
        <v>0</v>
      </c>
      <c r="Q875" s="276">
        <f>IFERROR(__xludf.DUMMYFUNCTION("""COMPUTED_VALUE"""),0.0033)</f>
        <v>0.0033</v>
      </c>
      <c r="R875" s="276">
        <f>IFERROR(__xludf.DUMMYFUNCTION("""COMPUTED_VALUE"""),0.0)</f>
        <v>0</v>
      </c>
      <c r="S875" s="208">
        <f>IFERROR(__xludf.DUMMYFUNCTION("""COMPUTED_VALUE"""),1.0)</f>
        <v>1</v>
      </c>
      <c r="T875" s="208">
        <f>IFERROR(__xludf.DUMMYFUNCTION("""COMPUTED_VALUE"""),4.0)</f>
        <v>4</v>
      </c>
      <c r="U875" s="275">
        <f>IFERROR(__xludf.DUMMYFUNCTION("""COMPUTED_VALUE"""),3798.0)</f>
        <v>3798</v>
      </c>
      <c r="V875" s="234" t="str">
        <f>IFERROR(__xludf.DUMMYFUNCTION("""COMPUTED_VALUE"""),"online")</f>
        <v>online</v>
      </c>
      <c r="W875" s="232" t="str">
        <f>IFERROR(__xludf.DUMMYFUNCTION("""COMPUTED_VALUE"""),"Sms")</f>
        <v>Sms</v>
      </c>
      <c r="X875" s="232" t="str">
        <f>IFERROR(__xludf.DUMMYFUNCTION("""COMPUTED_VALUE"""),"Dormant")</f>
        <v>Dormant</v>
      </c>
      <c r="Y875" s="232" t="str">
        <f>IFERROR(__xludf.DUMMYFUNCTION("""COMPUTED_VALUE"""),"04 June")</f>
        <v>04 June</v>
      </c>
      <c r="Z875" s="232" t="str">
        <f>IFERROR(__xludf.DUMMYFUNCTION("""COMPUTED_VALUE"""),"6a1d46237d2abe05a9a0c663")</f>
        <v>6a1d46237d2abe05a9a0c663</v>
      </c>
      <c r="AA875" s="277">
        <f>IFERROR(__xludf.DUMMYFUNCTION("""COMPUTED_VALUE"""),6.0)</f>
        <v>6</v>
      </c>
      <c r="AB875" s="277">
        <f>IFERROR(__xludf.DUMMYFUNCTION("""COMPUTED_VALUE"""),6.0)</f>
        <v>6</v>
      </c>
      <c r="AC875" s="277"/>
      <c r="AD875" s="277">
        <f>IFERROR(__xludf.DUMMYFUNCTION("""COMPUTED_VALUE"""),27013.0)</f>
        <v>27013</v>
      </c>
      <c r="AE875" s="277">
        <f>IFERROR(__xludf.DUMMYFUNCTION("""COMPUTED_VALUE"""),27013.0)</f>
        <v>27013</v>
      </c>
      <c r="AF875" s="277"/>
      <c r="AG875" s="208"/>
      <c r="AH875" s="208"/>
      <c r="AI875" s="208"/>
      <c r="AJ875" s="208"/>
      <c r="AK875" s="208"/>
    </row>
    <row r="876" hidden="1">
      <c r="A876" s="288">
        <f>IFERROR(__xludf.DUMMYFUNCTION("""COMPUTED_VALUE"""),46178.0)</f>
        <v>46178</v>
      </c>
      <c r="B876" s="274">
        <f>IFERROR(__xludf.DUMMYFUNCTION("""COMPUTED_VALUE"""),0.5)</f>
        <v>0.5</v>
      </c>
      <c r="C876" s="208" t="str">
        <f>IFERROR(__xludf.DUMMYFUNCTION("""COMPUTED_VALUE"""),"Sms")</f>
        <v>Sms</v>
      </c>
      <c r="D876" s="208" t="str">
        <f>IFERROR(__xludf.DUMMYFUNCTION("""COMPUTED_VALUE"""),"Fallback campaign")</f>
        <v>Fallback campaign</v>
      </c>
      <c r="E876" s="208" t="str">
        <f>IFERROR(__xludf.DUMMYFUNCTION("""COMPUTED_VALUE"""),"BBW")</f>
        <v>BBW</v>
      </c>
      <c r="F876" s="208" t="str">
        <f>IFERROR(__xludf.DUMMYFUNCTION("""COMPUTED_VALUE"""),"B2G2 - June'26 - Entire Store")</f>
        <v>B2G2 - June'26 - Entire Store</v>
      </c>
      <c r="G876" s="208" t="str">
        <f>IFERROR(__xludf.DUMMYFUNCTION("""COMPUTED_VALUE"""),"bbw_smsfb_b2g2_5june_event_buyers_overall")</f>
        <v>bbw_smsfb_b2g2_5june_event_buyers_overall</v>
      </c>
      <c r="H876" s="232" t="str">
        <f>IFERROR(__xludf.DUMMYFUNCTION("""COMPUTED_VALUE"""),"BBW_ON_OFF_B2G2_Event_Buyers")</f>
        <v>BBW_ON_OFF_B2G2_Event_Buyers</v>
      </c>
      <c r="I876" s="233" t="str">
        <f>IFERROR(__xludf.DUMMYFUNCTION("""COMPUTED_VALUE"""),"WA Undelivered")</f>
        <v>WA Undelivered</v>
      </c>
      <c r="J876" s="275">
        <f>IFERROR(__xludf.DUMMYFUNCTION("""COMPUTED_VALUE"""),15277.0)</f>
        <v>15277</v>
      </c>
      <c r="K876" s="275">
        <f>IFERROR(__xludf.DUMMYFUNCTION("""COMPUTED_VALUE"""),8564.0)</f>
        <v>8564</v>
      </c>
      <c r="L876" s="276">
        <f>IFERROR(__xludf.DUMMYFUNCTION("""COMPUTED_VALUE"""),0.5606)</f>
        <v>0.5606</v>
      </c>
      <c r="M876" s="275">
        <f>IFERROR(__xludf.DUMMYFUNCTION("""COMPUTED_VALUE"""),0.0)</f>
        <v>0</v>
      </c>
      <c r="N876" s="276">
        <f>IFERROR(__xludf.DUMMYFUNCTION("""COMPUTED_VALUE"""),0.0)</f>
        <v>0</v>
      </c>
      <c r="O876" s="208">
        <f>IFERROR(__xludf.DUMMYFUNCTION("""COMPUTED_VALUE"""),11.0)</f>
        <v>11</v>
      </c>
      <c r="P876" s="208">
        <f>IFERROR(__xludf.DUMMYFUNCTION("""COMPUTED_VALUE"""),0.0)</f>
        <v>0</v>
      </c>
      <c r="Q876" s="276">
        <f>IFERROR(__xludf.DUMMYFUNCTION("""COMPUTED_VALUE"""),0.0013)</f>
        <v>0.0013</v>
      </c>
      <c r="R876" s="276">
        <f>IFERROR(__xludf.DUMMYFUNCTION("""COMPUTED_VALUE"""),0.0)</f>
        <v>0</v>
      </c>
      <c r="S876" s="208">
        <f>IFERROR(__xludf.DUMMYFUNCTION("""COMPUTED_VALUE"""),1.0)</f>
        <v>1</v>
      </c>
      <c r="T876" s="208">
        <f>IFERROR(__xludf.DUMMYFUNCTION("""COMPUTED_VALUE"""),3.0)</f>
        <v>3</v>
      </c>
      <c r="U876" s="275">
        <f>IFERROR(__xludf.DUMMYFUNCTION("""COMPUTED_VALUE"""),647.0)</f>
        <v>647</v>
      </c>
      <c r="V876" s="234" t="str">
        <f>IFERROR(__xludf.DUMMYFUNCTION("""COMPUTED_VALUE"""),"overall")</f>
        <v>overall</v>
      </c>
      <c r="W876" s="232" t="str">
        <f>IFERROR(__xludf.DUMMYFUNCTION("""COMPUTED_VALUE"""),"Sms")</f>
        <v>Sms</v>
      </c>
      <c r="X876" s="232" t="str">
        <f>IFERROR(__xludf.DUMMYFUNCTION("""COMPUTED_VALUE"""),"Event Buyers")</f>
        <v>Event Buyers</v>
      </c>
      <c r="Y876" s="232" t="str">
        <f>IFERROR(__xludf.DUMMYFUNCTION("""COMPUTED_VALUE"""),"05 June")</f>
        <v>05 June</v>
      </c>
      <c r="Z876" s="232" t="str">
        <f>IFERROR(__xludf.DUMMYFUNCTION("""COMPUTED_VALUE"""),"6a1d7137fe72533ebec1b8a4")</f>
        <v>6a1d7137fe72533ebec1b8a4</v>
      </c>
      <c r="AA876" s="277">
        <f>IFERROR(__xludf.DUMMYFUNCTION("""COMPUTED_VALUE"""),7.0)</f>
        <v>7</v>
      </c>
      <c r="AB876" s="277">
        <f>IFERROR(__xludf.DUMMYFUNCTION("""COMPUTED_VALUE"""),7.0)</f>
        <v>7</v>
      </c>
      <c r="AC876" s="277"/>
      <c r="AD876" s="277">
        <f>IFERROR(__xludf.DUMMYFUNCTION("""COMPUTED_VALUE"""),15150.0)</f>
        <v>15150</v>
      </c>
      <c r="AE876" s="277">
        <f>IFERROR(__xludf.DUMMYFUNCTION("""COMPUTED_VALUE"""),15150.0)</f>
        <v>15150</v>
      </c>
      <c r="AF876" s="277"/>
      <c r="AG876" s="208"/>
      <c r="AH876" s="208"/>
      <c r="AI876" s="208"/>
      <c r="AJ876" s="208"/>
      <c r="AK876" s="208"/>
    </row>
    <row r="877" hidden="1">
      <c r="A877" s="288">
        <f>IFERROR(__xludf.DUMMYFUNCTION("""COMPUTED_VALUE"""),46178.0)</f>
        <v>46178</v>
      </c>
      <c r="B877" s="274">
        <f>IFERROR(__xludf.DUMMYFUNCTION("""COMPUTED_VALUE"""),0.5)</f>
        <v>0.5</v>
      </c>
      <c r="C877" s="208" t="str">
        <f>IFERROR(__xludf.DUMMYFUNCTION("""COMPUTED_VALUE"""),"Sms")</f>
        <v>Sms</v>
      </c>
      <c r="D877" s="208" t="str">
        <f>IFERROR(__xludf.DUMMYFUNCTION("""COMPUTED_VALUE"""),"Fallback campaign")</f>
        <v>Fallback campaign</v>
      </c>
      <c r="E877" s="208" t="str">
        <f>IFERROR(__xludf.DUMMYFUNCTION("""COMPUTED_VALUE"""),"BBW")</f>
        <v>BBW</v>
      </c>
      <c r="F877" s="208" t="str">
        <f>IFERROR(__xludf.DUMMYFUNCTION("""COMPUTED_VALUE"""),"B2G2 - June'26 - Entire Store")</f>
        <v>B2G2 - June'26 - Entire Store</v>
      </c>
      <c r="G877" s="208" t="str">
        <f>IFERROR(__xludf.DUMMYFUNCTION("""COMPUTED_VALUE"""),"bbw_smsfb_b2g2_5june_active_blr_offline")</f>
        <v>bbw_smsfb_b2g2_5june_active_blr_offline</v>
      </c>
      <c r="H877" s="232" t="str">
        <f>IFERROR(__xludf.DUMMYFUNCTION("""COMPUTED_VALUE"""),"BBW_OFF_BLR_Active")</f>
        <v>BBW_OFF_BLR_Active</v>
      </c>
      <c r="I877" s="233" t="str">
        <f>IFERROR(__xludf.DUMMYFUNCTION("""COMPUTED_VALUE"""),"WA Undelivered")</f>
        <v>WA Undelivered</v>
      </c>
      <c r="J877" s="275">
        <f>IFERROR(__xludf.DUMMYFUNCTION("""COMPUTED_VALUE"""),11063.0)</f>
        <v>11063</v>
      </c>
      <c r="K877" s="275">
        <f>IFERROR(__xludf.DUMMYFUNCTION("""COMPUTED_VALUE"""),6410.0)</f>
        <v>6410</v>
      </c>
      <c r="L877" s="276">
        <f>IFERROR(__xludf.DUMMYFUNCTION("""COMPUTED_VALUE"""),0.5794)</f>
        <v>0.5794</v>
      </c>
      <c r="M877" s="275">
        <f>IFERROR(__xludf.DUMMYFUNCTION("""COMPUTED_VALUE"""),0.0)</f>
        <v>0</v>
      </c>
      <c r="N877" s="276">
        <f>IFERROR(__xludf.DUMMYFUNCTION("""COMPUTED_VALUE"""),0.0)</f>
        <v>0</v>
      </c>
      <c r="O877" s="208">
        <f>IFERROR(__xludf.DUMMYFUNCTION("""COMPUTED_VALUE"""),5.0)</f>
        <v>5</v>
      </c>
      <c r="P877" s="208">
        <f>IFERROR(__xludf.DUMMYFUNCTION("""COMPUTED_VALUE"""),0.0)</f>
        <v>0</v>
      </c>
      <c r="Q877" s="276">
        <f>IFERROR(__xludf.DUMMYFUNCTION("""COMPUTED_VALUE"""),8.0E-4)</f>
        <v>0.0008</v>
      </c>
      <c r="R877" s="276">
        <f>IFERROR(__xludf.DUMMYFUNCTION("""COMPUTED_VALUE"""),0.0)</f>
        <v>0</v>
      </c>
      <c r="S877" s="208">
        <f>IFERROR(__xludf.DUMMYFUNCTION("""COMPUTED_VALUE"""),0.0)</f>
        <v>0</v>
      </c>
      <c r="T877" s="208">
        <f>IFERROR(__xludf.DUMMYFUNCTION("""COMPUTED_VALUE"""),0.0)</f>
        <v>0</v>
      </c>
      <c r="U877" s="275">
        <f>IFERROR(__xludf.DUMMYFUNCTION("""COMPUTED_VALUE"""),0.0)</f>
        <v>0</v>
      </c>
      <c r="V877" s="234" t="str">
        <f>IFERROR(__xludf.DUMMYFUNCTION("""COMPUTED_VALUE"""),"offline")</f>
        <v>offline</v>
      </c>
      <c r="W877" s="232" t="str">
        <f>IFERROR(__xludf.DUMMYFUNCTION("""COMPUTED_VALUE"""),"Sms")</f>
        <v>Sms</v>
      </c>
      <c r="X877" s="232" t="str">
        <f>IFERROR(__xludf.DUMMYFUNCTION("""COMPUTED_VALUE"""),"City Specific")</f>
        <v>City Specific</v>
      </c>
      <c r="Y877" s="232" t="str">
        <f>IFERROR(__xludf.DUMMYFUNCTION("""COMPUTED_VALUE"""),"5 June")</f>
        <v>5 June</v>
      </c>
      <c r="Z877" s="232" t="str">
        <f>IFERROR(__xludf.DUMMYFUNCTION("""COMPUTED_VALUE"""),"6a1d72f27057dc548dd35968")</f>
        <v>6a1d72f27057dc548dd35968</v>
      </c>
      <c r="AA877" s="277">
        <f>IFERROR(__xludf.DUMMYFUNCTION("""COMPUTED_VALUE"""),6.0)</f>
        <v>6</v>
      </c>
      <c r="AB877" s="277"/>
      <c r="AC877" s="277">
        <f>IFERROR(__xludf.DUMMYFUNCTION("""COMPUTED_VALUE"""),6.0)</f>
        <v>6</v>
      </c>
      <c r="AD877" s="277">
        <f>IFERROR(__xludf.DUMMYFUNCTION("""COMPUTED_VALUE"""),39774.0)</f>
        <v>39774</v>
      </c>
      <c r="AE877" s="277"/>
      <c r="AF877" s="277">
        <f>IFERROR(__xludf.DUMMYFUNCTION("""COMPUTED_VALUE"""),39774.0)</f>
        <v>39774</v>
      </c>
      <c r="AG877" s="208"/>
      <c r="AH877" s="208"/>
      <c r="AI877" s="208"/>
      <c r="AJ877" s="208"/>
      <c r="AK877" s="208"/>
    </row>
    <row r="878" hidden="1">
      <c r="A878" s="288">
        <f>IFERROR(__xludf.DUMMYFUNCTION("""COMPUTED_VALUE"""),46178.0)</f>
        <v>46178</v>
      </c>
      <c r="B878" s="274">
        <f>IFERROR(__xludf.DUMMYFUNCTION("""COMPUTED_VALUE"""),0.5)</f>
        <v>0.5</v>
      </c>
      <c r="C878" s="208" t="str">
        <f>IFERROR(__xludf.DUMMYFUNCTION("""COMPUTED_VALUE"""),"Sms")</f>
        <v>Sms</v>
      </c>
      <c r="D878" s="208" t="str">
        <f>IFERROR(__xludf.DUMMYFUNCTION("""COMPUTED_VALUE"""),"Fallback campaign")</f>
        <v>Fallback campaign</v>
      </c>
      <c r="E878" s="208" t="str">
        <f>IFERROR(__xludf.DUMMYFUNCTION("""COMPUTED_VALUE"""),"BBW")</f>
        <v>BBW</v>
      </c>
      <c r="F878" s="208" t="str">
        <f>IFERROR(__xludf.DUMMYFUNCTION("""COMPUTED_VALUE"""),"B2G2 - June'26 - Entire Store")</f>
        <v>B2G2 - June'26 - Entire Store</v>
      </c>
      <c r="G878" s="208" t="str">
        <f>IFERROR(__xludf.DUMMYFUNCTION("""COMPUTED_VALUE"""),"bbw_smsfb_b2g2_5june_active_bom_offline")</f>
        <v>bbw_smsfb_b2g2_5june_active_bom_offline</v>
      </c>
      <c r="H878" s="232" t="str">
        <f>IFERROR(__xludf.DUMMYFUNCTION("""COMPUTED_VALUE"""),"BBW_OFF_BOM_Active")</f>
        <v>BBW_OFF_BOM_Active</v>
      </c>
      <c r="I878" s="233" t="str">
        <f>IFERROR(__xludf.DUMMYFUNCTION("""COMPUTED_VALUE"""),"WA Undelivered")</f>
        <v>WA Undelivered</v>
      </c>
      <c r="J878" s="275">
        <f>IFERROR(__xludf.DUMMYFUNCTION("""COMPUTED_VALUE"""),5340.0)</f>
        <v>5340</v>
      </c>
      <c r="K878" s="275">
        <f>IFERROR(__xludf.DUMMYFUNCTION("""COMPUTED_VALUE"""),2849.0)</f>
        <v>2849</v>
      </c>
      <c r="L878" s="276">
        <f>IFERROR(__xludf.DUMMYFUNCTION("""COMPUTED_VALUE"""),0.5335)</f>
        <v>0.5335</v>
      </c>
      <c r="M878" s="275">
        <f>IFERROR(__xludf.DUMMYFUNCTION("""COMPUTED_VALUE"""),0.0)</f>
        <v>0</v>
      </c>
      <c r="N878" s="276">
        <f>IFERROR(__xludf.DUMMYFUNCTION("""COMPUTED_VALUE"""),0.0)</f>
        <v>0</v>
      </c>
      <c r="O878" s="208">
        <f>IFERROR(__xludf.DUMMYFUNCTION("""COMPUTED_VALUE"""),11.0)</f>
        <v>11</v>
      </c>
      <c r="P878" s="208">
        <f>IFERROR(__xludf.DUMMYFUNCTION("""COMPUTED_VALUE"""),0.0)</f>
        <v>0</v>
      </c>
      <c r="Q878" s="276">
        <f>IFERROR(__xludf.DUMMYFUNCTION("""COMPUTED_VALUE"""),0.0039)</f>
        <v>0.0039</v>
      </c>
      <c r="R878" s="276">
        <f>IFERROR(__xludf.DUMMYFUNCTION("""COMPUTED_VALUE"""),0.0)</f>
        <v>0</v>
      </c>
      <c r="S878" s="208">
        <f>IFERROR(__xludf.DUMMYFUNCTION("""COMPUTED_VALUE"""),0.0)</f>
        <v>0</v>
      </c>
      <c r="T878" s="208">
        <f>IFERROR(__xludf.DUMMYFUNCTION("""COMPUTED_VALUE"""),0.0)</f>
        <v>0</v>
      </c>
      <c r="U878" s="275">
        <f>IFERROR(__xludf.DUMMYFUNCTION("""COMPUTED_VALUE"""),0.0)</f>
        <v>0</v>
      </c>
      <c r="V878" s="234" t="str">
        <f>IFERROR(__xludf.DUMMYFUNCTION("""COMPUTED_VALUE"""),"offline")</f>
        <v>offline</v>
      </c>
      <c r="W878" s="232" t="str">
        <f>IFERROR(__xludf.DUMMYFUNCTION("""COMPUTED_VALUE"""),"Sms")</f>
        <v>Sms</v>
      </c>
      <c r="X878" s="232" t="str">
        <f>IFERROR(__xludf.DUMMYFUNCTION("""COMPUTED_VALUE"""),"City Specific")</f>
        <v>City Specific</v>
      </c>
      <c r="Y878" s="232" t="str">
        <f>IFERROR(__xludf.DUMMYFUNCTION("""COMPUTED_VALUE"""),"5 June")</f>
        <v>5 June</v>
      </c>
      <c r="Z878" s="232" t="str">
        <f>IFERROR(__xludf.DUMMYFUNCTION("""COMPUTED_VALUE"""),"6a1d73296eaa30c3e6084ff2")</f>
        <v>6a1d73296eaa30c3e6084ff2</v>
      </c>
      <c r="AA878" s="277">
        <f>IFERROR(__xludf.DUMMYFUNCTION("""COMPUTED_VALUE"""),1.0)</f>
        <v>1</v>
      </c>
      <c r="AB878" s="277"/>
      <c r="AC878" s="277">
        <f>IFERROR(__xludf.DUMMYFUNCTION("""COMPUTED_VALUE"""),1.0)</f>
        <v>1</v>
      </c>
      <c r="AD878" s="277">
        <f>IFERROR(__xludf.DUMMYFUNCTION("""COMPUTED_VALUE"""),43903.0)</f>
        <v>43903</v>
      </c>
      <c r="AE878" s="277"/>
      <c r="AF878" s="277">
        <f>IFERROR(__xludf.DUMMYFUNCTION("""COMPUTED_VALUE"""),43903.0)</f>
        <v>43903</v>
      </c>
      <c r="AG878" s="208"/>
      <c r="AH878" s="208"/>
      <c r="AI878" s="208"/>
      <c r="AJ878" s="208"/>
      <c r="AK878" s="208"/>
    </row>
    <row r="879" hidden="1">
      <c r="A879" s="288">
        <f>IFERROR(__xludf.DUMMYFUNCTION("""COMPUTED_VALUE"""),46178.0)</f>
        <v>46178</v>
      </c>
      <c r="B879" s="274">
        <f>IFERROR(__xludf.DUMMYFUNCTION("""COMPUTED_VALUE"""),0.5)</f>
        <v>0.5</v>
      </c>
      <c r="C879" s="208" t="str">
        <f>IFERROR(__xludf.DUMMYFUNCTION("""COMPUTED_VALUE"""),"Sms")</f>
        <v>Sms</v>
      </c>
      <c r="D879" s="208" t="str">
        <f>IFERROR(__xludf.DUMMYFUNCTION("""COMPUTED_VALUE"""),"Fallback campaign")</f>
        <v>Fallback campaign</v>
      </c>
      <c r="E879" s="208" t="str">
        <f>IFERROR(__xludf.DUMMYFUNCTION("""COMPUTED_VALUE"""),"BBW")</f>
        <v>BBW</v>
      </c>
      <c r="F879" s="208" t="str">
        <f>IFERROR(__xludf.DUMMYFUNCTION("""COMPUTED_VALUE"""),"B2G2 - June'26 - Entire Store")</f>
        <v>B2G2 - June'26 - Entire Store</v>
      </c>
      <c r="G879" s="208" t="str">
        <f>IFERROR(__xludf.DUMMYFUNCTION("""COMPUTED_VALUE"""),"bbw_smsfb_b2g2_5june_active_ahd_offline")</f>
        <v>bbw_smsfb_b2g2_5june_active_ahd_offline</v>
      </c>
      <c r="H879" s="232" t="str">
        <f>IFERROR(__xludf.DUMMYFUNCTION("""COMPUTED_VALUE"""),"BBW_OFF_AHD_Active")</f>
        <v>BBW_OFF_AHD_Active</v>
      </c>
      <c r="I879" s="233" t="str">
        <f>IFERROR(__xludf.DUMMYFUNCTION("""COMPUTED_VALUE"""),"WA Undelivered")</f>
        <v>WA Undelivered</v>
      </c>
      <c r="J879" s="275">
        <f>IFERROR(__xludf.DUMMYFUNCTION("""COMPUTED_VALUE"""),3121.0)</f>
        <v>3121</v>
      </c>
      <c r="K879" s="275">
        <f>IFERROR(__xludf.DUMMYFUNCTION("""COMPUTED_VALUE"""),1737.0)</f>
        <v>1737</v>
      </c>
      <c r="L879" s="276">
        <f>IFERROR(__xludf.DUMMYFUNCTION("""COMPUTED_VALUE"""),0.5566)</f>
        <v>0.5566</v>
      </c>
      <c r="M879" s="275">
        <f>IFERROR(__xludf.DUMMYFUNCTION("""COMPUTED_VALUE"""),0.0)</f>
        <v>0</v>
      </c>
      <c r="N879" s="276">
        <f>IFERROR(__xludf.DUMMYFUNCTION("""COMPUTED_VALUE"""),0.0)</f>
        <v>0</v>
      </c>
      <c r="O879" s="208">
        <f>IFERROR(__xludf.DUMMYFUNCTION("""COMPUTED_VALUE"""),2.0)</f>
        <v>2</v>
      </c>
      <c r="P879" s="208">
        <f>IFERROR(__xludf.DUMMYFUNCTION("""COMPUTED_VALUE"""),0.0)</f>
        <v>0</v>
      </c>
      <c r="Q879" s="276">
        <f>IFERROR(__xludf.DUMMYFUNCTION("""COMPUTED_VALUE"""),0.0012)</f>
        <v>0.0012</v>
      </c>
      <c r="R879" s="276">
        <f>IFERROR(__xludf.DUMMYFUNCTION("""COMPUTED_VALUE"""),0.0)</f>
        <v>0</v>
      </c>
      <c r="S879" s="208">
        <f>IFERROR(__xludf.DUMMYFUNCTION("""COMPUTED_VALUE"""),0.0)</f>
        <v>0</v>
      </c>
      <c r="T879" s="208">
        <f>IFERROR(__xludf.DUMMYFUNCTION("""COMPUTED_VALUE"""),0.0)</f>
        <v>0</v>
      </c>
      <c r="U879" s="275">
        <f>IFERROR(__xludf.DUMMYFUNCTION("""COMPUTED_VALUE"""),0.0)</f>
        <v>0</v>
      </c>
      <c r="V879" s="234" t="str">
        <f>IFERROR(__xludf.DUMMYFUNCTION("""COMPUTED_VALUE"""),"offline")</f>
        <v>offline</v>
      </c>
      <c r="W879" s="232" t="str">
        <f>IFERROR(__xludf.DUMMYFUNCTION("""COMPUTED_VALUE"""),"Sms")</f>
        <v>Sms</v>
      </c>
      <c r="X879" s="232" t="str">
        <f>IFERROR(__xludf.DUMMYFUNCTION("""COMPUTED_VALUE"""),"City Specific")</f>
        <v>City Specific</v>
      </c>
      <c r="Y879" s="232" t="str">
        <f>IFERROR(__xludf.DUMMYFUNCTION("""COMPUTED_VALUE"""),"05 June")</f>
        <v>05 June</v>
      </c>
      <c r="Z879" s="232" t="str">
        <f>IFERROR(__xludf.DUMMYFUNCTION("""COMPUTED_VALUE"""),"6a1d7359d7c11ff146c3ab11")</f>
        <v>6a1d7359d7c11ff146c3ab11</v>
      </c>
      <c r="AA879" s="277">
        <f>IFERROR(__xludf.DUMMYFUNCTION("""COMPUTED_VALUE"""),0.0)</f>
        <v>0</v>
      </c>
      <c r="AB879" s="277"/>
      <c r="AC879" s="277">
        <f>IFERROR(__xludf.DUMMYFUNCTION("""COMPUTED_VALUE"""),0.0)</f>
        <v>0</v>
      </c>
      <c r="AD879" s="277">
        <f>IFERROR(__xludf.DUMMYFUNCTION("""COMPUTED_VALUE"""),0.0)</f>
        <v>0</v>
      </c>
      <c r="AE879" s="277"/>
      <c r="AF879" s="277">
        <f>IFERROR(__xludf.DUMMYFUNCTION("""COMPUTED_VALUE"""),0.0)</f>
        <v>0</v>
      </c>
      <c r="AG879" s="208"/>
      <c r="AH879" s="208"/>
      <c r="AI879" s="208"/>
      <c r="AJ879" s="208"/>
      <c r="AK879" s="208"/>
    </row>
    <row r="880" hidden="1">
      <c r="A880" s="288">
        <f>IFERROR(__xludf.DUMMYFUNCTION("""COMPUTED_VALUE"""),46178.0)</f>
        <v>46178</v>
      </c>
      <c r="B880" s="274">
        <f>IFERROR(__xludf.DUMMYFUNCTION("""COMPUTED_VALUE"""),0.5)</f>
        <v>0.5</v>
      </c>
      <c r="C880" s="208" t="str">
        <f>IFERROR(__xludf.DUMMYFUNCTION("""COMPUTED_VALUE"""),"Sms")</f>
        <v>Sms</v>
      </c>
      <c r="D880" s="208" t="str">
        <f>IFERROR(__xludf.DUMMYFUNCTION("""COMPUTED_VALUE"""),"Fallback campaign")</f>
        <v>Fallback campaign</v>
      </c>
      <c r="E880" s="208" t="str">
        <f>IFERROR(__xludf.DUMMYFUNCTION("""COMPUTED_VALUE"""),"BBW")</f>
        <v>BBW</v>
      </c>
      <c r="F880" s="208" t="str">
        <f>IFERROR(__xludf.DUMMYFUNCTION("""COMPUTED_VALUE"""),"B2G2 - June'26 - Entire Store")</f>
        <v>B2G2 - June'26 - Entire Store</v>
      </c>
      <c r="G880" s="208" t="str">
        <f>IFERROR(__xludf.DUMMYFUNCTION("""COMPUTED_VALUE"""),"bbw_smsfb_b2g2_5june_active_pune_offline")</f>
        <v>bbw_smsfb_b2g2_5june_active_pune_offline</v>
      </c>
      <c r="H880" s="232" t="str">
        <f>IFERROR(__xludf.DUMMYFUNCTION("""COMPUTED_VALUE"""),"BBW_OFF_PUNE_Active")</f>
        <v>BBW_OFF_PUNE_Active</v>
      </c>
      <c r="I880" s="233" t="str">
        <f>IFERROR(__xludf.DUMMYFUNCTION("""COMPUTED_VALUE"""),"WA Undelivered")</f>
        <v>WA Undelivered</v>
      </c>
      <c r="J880" s="275">
        <f>IFERROR(__xludf.DUMMYFUNCTION("""COMPUTED_VALUE"""),1315.0)</f>
        <v>1315</v>
      </c>
      <c r="K880" s="275">
        <f>IFERROR(__xludf.DUMMYFUNCTION("""COMPUTED_VALUE"""),753.0)</f>
        <v>753</v>
      </c>
      <c r="L880" s="276">
        <f>IFERROR(__xludf.DUMMYFUNCTION("""COMPUTED_VALUE"""),0.5726)</f>
        <v>0.5726</v>
      </c>
      <c r="M880" s="275">
        <f>IFERROR(__xludf.DUMMYFUNCTION("""COMPUTED_VALUE"""),0.0)</f>
        <v>0</v>
      </c>
      <c r="N880" s="276">
        <f>IFERROR(__xludf.DUMMYFUNCTION("""COMPUTED_VALUE"""),0.0)</f>
        <v>0</v>
      </c>
      <c r="O880" s="208">
        <f>IFERROR(__xludf.DUMMYFUNCTION("""COMPUTED_VALUE"""),3.0)</f>
        <v>3</v>
      </c>
      <c r="P880" s="208">
        <f>IFERROR(__xludf.DUMMYFUNCTION("""COMPUTED_VALUE"""),0.0)</f>
        <v>0</v>
      </c>
      <c r="Q880" s="276">
        <f>IFERROR(__xludf.DUMMYFUNCTION("""COMPUTED_VALUE"""),0.004)</f>
        <v>0.004</v>
      </c>
      <c r="R880" s="276">
        <f>IFERROR(__xludf.DUMMYFUNCTION("""COMPUTED_VALUE"""),0.0)</f>
        <v>0</v>
      </c>
      <c r="S880" s="208">
        <f>IFERROR(__xludf.DUMMYFUNCTION("""COMPUTED_VALUE"""),0.0)</f>
        <v>0</v>
      </c>
      <c r="T880" s="208">
        <f>IFERROR(__xludf.DUMMYFUNCTION("""COMPUTED_VALUE"""),0.0)</f>
        <v>0</v>
      </c>
      <c r="U880" s="275">
        <f>IFERROR(__xludf.DUMMYFUNCTION("""COMPUTED_VALUE"""),0.0)</f>
        <v>0</v>
      </c>
      <c r="V880" s="234" t="str">
        <f>IFERROR(__xludf.DUMMYFUNCTION("""COMPUTED_VALUE"""),"offline")</f>
        <v>offline</v>
      </c>
      <c r="W880" s="232" t="str">
        <f>IFERROR(__xludf.DUMMYFUNCTION("""COMPUTED_VALUE"""),"Sms")</f>
        <v>Sms</v>
      </c>
      <c r="X880" s="232" t="str">
        <f>IFERROR(__xludf.DUMMYFUNCTION("""COMPUTED_VALUE"""),"City Specific")</f>
        <v>City Specific</v>
      </c>
      <c r="Y880" s="232" t="str">
        <f>IFERROR(__xludf.DUMMYFUNCTION("""COMPUTED_VALUE"""),"5 June")</f>
        <v>5 June</v>
      </c>
      <c r="Z880" s="232" t="str">
        <f>IFERROR(__xludf.DUMMYFUNCTION("""COMPUTED_VALUE"""),"6a1d737b9fc2fa9b5786585a")</f>
        <v>6a1d737b9fc2fa9b5786585a</v>
      </c>
      <c r="AA880" s="277">
        <f>IFERROR(__xludf.DUMMYFUNCTION("""COMPUTED_VALUE"""),2.0)</f>
        <v>2</v>
      </c>
      <c r="AB880" s="277"/>
      <c r="AC880" s="277">
        <f>IFERROR(__xludf.DUMMYFUNCTION("""COMPUTED_VALUE"""),2.0)</f>
        <v>2</v>
      </c>
      <c r="AD880" s="277">
        <f>IFERROR(__xludf.DUMMYFUNCTION("""COMPUTED_VALUE"""),24888.0)</f>
        <v>24888</v>
      </c>
      <c r="AE880" s="277"/>
      <c r="AF880" s="277">
        <f>IFERROR(__xludf.DUMMYFUNCTION("""COMPUTED_VALUE"""),24888.0)</f>
        <v>24888</v>
      </c>
      <c r="AG880" s="208"/>
      <c r="AH880" s="208"/>
      <c r="AI880" s="208"/>
      <c r="AJ880" s="208"/>
      <c r="AK880" s="208"/>
    </row>
    <row r="881" hidden="1">
      <c r="A881" s="288">
        <f>IFERROR(__xludf.DUMMYFUNCTION("""COMPUTED_VALUE"""),46178.0)</f>
        <v>46178</v>
      </c>
      <c r="B881" s="274">
        <f>IFERROR(__xludf.DUMMYFUNCTION("""COMPUTED_VALUE"""),0.5)</f>
        <v>0.5</v>
      </c>
      <c r="C881" s="208" t="str">
        <f>IFERROR(__xludf.DUMMYFUNCTION("""COMPUTED_VALUE"""),"Sms")</f>
        <v>Sms</v>
      </c>
      <c r="D881" s="208" t="str">
        <f>IFERROR(__xludf.DUMMYFUNCTION("""COMPUTED_VALUE"""),"Fallback campaign")</f>
        <v>Fallback campaign</v>
      </c>
      <c r="E881" s="208" t="str">
        <f>IFERROR(__xludf.DUMMYFUNCTION("""COMPUTED_VALUE"""),"BBW")</f>
        <v>BBW</v>
      </c>
      <c r="F881" s="208" t="str">
        <f>IFERROR(__xludf.DUMMYFUNCTION("""COMPUTED_VALUE"""),"B2G2 - June'26 - Entire Store")</f>
        <v>B2G2 - June'26 - Entire Store</v>
      </c>
      <c r="G881" s="208" t="str">
        <f>IFERROR(__xludf.DUMMYFUNCTION("""COMPUTED_VALUE"""),"bbw_smsfb_b2g2_5june_dormant_blr_offline")</f>
        <v>bbw_smsfb_b2g2_5june_dormant_blr_offline</v>
      </c>
      <c r="H881" s="232" t="str">
        <f>IFERROR(__xludf.DUMMYFUNCTION("""COMPUTED_VALUE"""),"BBW_OFF_BLR_Dorm")</f>
        <v>BBW_OFF_BLR_Dorm</v>
      </c>
      <c r="I881" s="233" t="str">
        <f>IFERROR(__xludf.DUMMYFUNCTION("""COMPUTED_VALUE"""),"WA Undelivered")</f>
        <v>WA Undelivered</v>
      </c>
      <c r="J881" s="275">
        <f>IFERROR(__xludf.DUMMYFUNCTION("""COMPUTED_VALUE"""),26649.0)</f>
        <v>26649</v>
      </c>
      <c r="K881" s="275">
        <f>IFERROR(__xludf.DUMMYFUNCTION("""COMPUTED_VALUE"""),14858.0)</f>
        <v>14858</v>
      </c>
      <c r="L881" s="276">
        <f>IFERROR(__xludf.DUMMYFUNCTION("""COMPUTED_VALUE"""),0.5575)</f>
        <v>0.5575</v>
      </c>
      <c r="M881" s="275">
        <f>IFERROR(__xludf.DUMMYFUNCTION("""COMPUTED_VALUE"""),0.0)</f>
        <v>0</v>
      </c>
      <c r="N881" s="276">
        <f>IFERROR(__xludf.DUMMYFUNCTION("""COMPUTED_VALUE"""),0.0)</f>
        <v>0</v>
      </c>
      <c r="O881" s="208">
        <f>IFERROR(__xludf.DUMMYFUNCTION("""COMPUTED_VALUE"""),9.0)</f>
        <v>9</v>
      </c>
      <c r="P881" s="208">
        <f>IFERROR(__xludf.DUMMYFUNCTION("""COMPUTED_VALUE"""),0.0)</f>
        <v>0</v>
      </c>
      <c r="Q881" s="276">
        <f>IFERROR(__xludf.DUMMYFUNCTION("""COMPUTED_VALUE"""),6.0E-4)</f>
        <v>0.0006</v>
      </c>
      <c r="R881" s="276">
        <f>IFERROR(__xludf.DUMMYFUNCTION("""COMPUTED_VALUE"""),0.0)</f>
        <v>0</v>
      </c>
      <c r="S881" s="208">
        <f>IFERROR(__xludf.DUMMYFUNCTION("""COMPUTED_VALUE"""),0.0)</f>
        <v>0</v>
      </c>
      <c r="T881" s="208">
        <f>IFERROR(__xludf.DUMMYFUNCTION("""COMPUTED_VALUE"""),0.0)</f>
        <v>0</v>
      </c>
      <c r="U881" s="275">
        <f>IFERROR(__xludf.DUMMYFUNCTION("""COMPUTED_VALUE"""),0.0)</f>
        <v>0</v>
      </c>
      <c r="V881" s="234" t="str">
        <f>IFERROR(__xludf.DUMMYFUNCTION("""COMPUTED_VALUE"""),"offline")</f>
        <v>offline</v>
      </c>
      <c r="W881" s="232" t="str">
        <f>IFERROR(__xludf.DUMMYFUNCTION("""COMPUTED_VALUE"""),"Sms")</f>
        <v>Sms</v>
      </c>
      <c r="X881" s="232" t="str">
        <f>IFERROR(__xludf.DUMMYFUNCTION("""COMPUTED_VALUE"""),"City Specific")</f>
        <v>City Specific</v>
      </c>
      <c r="Y881" s="232" t="str">
        <f>IFERROR(__xludf.DUMMYFUNCTION("""COMPUTED_VALUE"""),"5 June")</f>
        <v>5 June</v>
      </c>
      <c r="Z881" s="232" t="str">
        <f>IFERROR(__xludf.DUMMYFUNCTION("""COMPUTED_VALUE"""),"6a1d73b0216b048cdce9be9d")</f>
        <v>6a1d73b0216b048cdce9be9d</v>
      </c>
      <c r="AA881" s="277">
        <f>IFERROR(__xludf.DUMMYFUNCTION("""COMPUTED_VALUE"""),5.0)</f>
        <v>5</v>
      </c>
      <c r="AB881" s="277"/>
      <c r="AC881" s="277">
        <f>IFERROR(__xludf.DUMMYFUNCTION("""COMPUTED_VALUE"""),5.0)</f>
        <v>5</v>
      </c>
      <c r="AD881" s="277">
        <f>IFERROR(__xludf.DUMMYFUNCTION("""COMPUTED_VALUE"""),17785.0)</f>
        <v>17785</v>
      </c>
      <c r="AE881" s="277"/>
      <c r="AF881" s="277">
        <f>IFERROR(__xludf.DUMMYFUNCTION("""COMPUTED_VALUE"""),17785.0)</f>
        <v>17785</v>
      </c>
      <c r="AG881" s="208"/>
      <c r="AH881" s="208"/>
      <c r="AI881" s="208"/>
      <c r="AJ881" s="208"/>
      <c r="AK881" s="208"/>
    </row>
    <row r="882" hidden="1">
      <c r="A882" s="288">
        <f>IFERROR(__xludf.DUMMYFUNCTION("""COMPUTED_VALUE"""),46178.0)</f>
        <v>46178</v>
      </c>
      <c r="B882" s="274">
        <f>IFERROR(__xludf.DUMMYFUNCTION("""COMPUTED_VALUE"""),0.5)</f>
        <v>0.5</v>
      </c>
      <c r="C882" s="208" t="str">
        <f>IFERROR(__xludf.DUMMYFUNCTION("""COMPUTED_VALUE"""),"Sms")</f>
        <v>Sms</v>
      </c>
      <c r="D882" s="208" t="str">
        <f>IFERROR(__xludf.DUMMYFUNCTION("""COMPUTED_VALUE"""),"Fallback campaign")</f>
        <v>Fallback campaign</v>
      </c>
      <c r="E882" s="208" t="str">
        <f>IFERROR(__xludf.DUMMYFUNCTION("""COMPUTED_VALUE"""),"BBW")</f>
        <v>BBW</v>
      </c>
      <c r="F882" s="208" t="str">
        <f>IFERROR(__xludf.DUMMYFUNCTION("""COMPUTED_VALUE"""),"B2G2 - June'26 - Entire Store")</f>
        <v>B2G2 - June'26 - Entire Store</v>
      </c>
      <c r="G882" s="208" t="str">
        <f>IFERROR(__xludf.DUMMYFUNCTION("""COMPUTED_VALUE"""),"bbw_smsfb_b2g2_5june_dormant_bom_offline")</f>
        <v>bbw_smsfb_b2g2_5june_dormant_bom_offline</v>
      </c>
      <c r="H882" s="232" t="str">
        <f>IFERROR(__xludf.DUMMYFUNCTION("""COMPUTED_VALUE"""),"BBW_OFF_BOM_Dorm")</f>
        <v>BBW_OFF_BOM_Dorm</v>
      </c>
      <c r="I882" s="233" t="str">
        <f>IFERROR(__xludf.DUMMYFUNCTION("""COMPUTED_VALUE"""),"WA Undelivered")</f>
        <v>WA Undelivered</v>
      </c>
      <c r="J882" s="275">
        <f>IFERROR(__xludf.DUMMYFUNCTION("""COMPUTED_VALUE"""),15493.0)</f>
        <v>15493</v>
      </c>
      <c r="K882" s="275">
        <f>IFERROR(__xludf.DUMMYFUNCTION("""COMPUTED_VALUE"""),8441.0)</f>
        <v>8441</v>
      </c>
      <c r="L882" s="276">
        <f>IFERROR(__xludf.DUMMYFUNCTION("""COMPUTED_VALUE"""),0.5448)</f>
        <v>0.5448</v>
      </c>
      <c r="M882" s="275">
        <f>IFERROR(__xludf.DUMMYFUNCTION("""COMPUTED_VALUE"""),0.0)</f>
        <v>0</v>
      </c>
      <c r="N882" s="276">
        <f>IFERROR(__xludf.DUMMYFUNCTION("""COMPUTED_VALUE"""),0.0)</f>
        <v>0</v>
      </c>
      <c r="O882" s="208">
        <f>IFERROR(__xludf.DUMMYFUNCTION("""COMPUTED_VALUE"""),17.0)</f>
        <v>17</v>
      </c>
      <c r="P882" s="208">
        <f>IFERROR(__xludf.DUMMYFUNCTION("""COMPUTED_VALUE"""),0.0)</f>
        <v>0</v>
      </c>
      <c r="Q882" s="276">
        <f>IFERROR(__xludf.DUMMYFUNCTION("""COMPUTED_VALUE"""),0.002)</f>
        <v>0.002</v>
      </c>
      <c r="R882" s="276">
        <f>IFERROR(__xludf.DUMMYFUNCTION("""COMPUTED_VALUE"""),0.0)</f>
        <v>0</v>
      </c>
      <c r="S882" s="208">
        <f>IFERROR(__xludf.DUMMYFUNCTION("""COMPUTED_VALUE"""),1.0)</f>
        <v>1</v>
      </c>
      <c r="T882" s="208">
        <f>IFERROR(__xludf.DUMMYFUNCTION("""COMPUTED_VALUE"""),1.0)</f>
        <v>1</v>
      </c>
      <c r="U882" s="275">
        <f>IFERROR(__xludf.DUMMYFUNCTION("""COMPUTED_VALUE"""),7596.0)</f>
        <v>7596</v>
      </c>
      <c r="V882" s="234" t="str">
        <f>IFERROR(__xludf.DUMMYFUNCTION("""COMPUTED_VALUE"""),"offline")</f>
        <v>offline</v>
      </c>
      <c r="W882" s="232" t="str">
        <f>IFERROR(__xludf.DUMMYFUNCTION("""COMPUTED_VALUE"""),"Sms")</f>
        <v>Sms</v>
      </c>
      <c r="X882" s="232" t="str">
        <f>IFERROR(__xludf.DUMMYFUNCTION("""COMPUTED_VALUE"""),"City Specific")</f>
        <v>City Specific</v>
      </c>
      <c r="Y882" s="232" t="str">
        <f>IFERROR(__xludf.DUMMYFUNCTION("""COMPUTED_VALUE"""),"05 June")</f>
        <v>05 June</v>
      </c>
      <c r="Z882" s="232" t="str">
        <f>IFERROR(__xludf.DUMMYFUNCTION("""COMPUTED_VALUE"""),"6a1d73e67ba64ef65d0181fb")</f>
        <v>6a1d73e67ba64ef65d0181fb</v>
      </c>
      <c r="AA882" s="277">
        <f>IFERROR(__xludf.DUMMYFUNCTION("""COMPUTED_VALUE"""),6.0)</f>
        <v>6</v>
      </c>
      <c r="AB882" s="277"/>
      <c r="AC882" s="277">
        <f>IFERROR(__xludf.DUMMYFUNCTION("""COMPUTED_VALUE"""),6.0)</f>
        <v>6</v>
      </c>
      <c r="AD882" s="277">
        <f>IFERROR(__xludf.DUMMYFUNCTION("""COMPUTED_VALUE"""),23688.0)</f>
        <v>23688</v>
      </c>
      <c r="AE882" s="277"/>
      <c r="AF882" s="277">
        <f>IFERROR(__xludf.DUMMYFUNCTION("""COMPUTED_VALUE"""),23688.0)</f>
        <v>23688</v>
      </c>
      <c r="AG882" s="208"/>
      <c r="AH882" s="208"/>
      <c r="AI882" s="208"/>
      <c r="AJ882" s="208"/>
      <c r="AK882" s="208"/>
    </row>
    <row r="883" hidden="1">
      <c r="A883" s="288">
        <f>IFERROR(__xludf.DUMMYFUNCTION("""COMPUTED_VALUE"""),46178.0)</f>
        <v>46178</v>
      </c>
      <c r="B883" s="274">
        <f>IFERROR(__xludf.DUMMYFUNCTION("""COMPUTED_VALUE"""),0.5)</f>
        <v>0.5</v>
      </c>
      <c r="C883" s="208" t="str">
        <f>IFERROR(__xludf.DUMMYFUNCTION("""COMPUTED_VALUE"""),"Sms")</f>
        <v>Sms</v>
      </c>
      <c r="D883" s="208" t="str">
        <f>IFERROR(__xludf.DUMMYFUNCTION("""COMPUTED_VALUE"""),"Fallback campaign")</f>
        <v>Fallback campaign</v>
      </c>
      <c r="E883" s="208" t="str">
        <f>IFERROR(__xludf.DUMMYFUNCTION("""COMPUTED_VALUE"""),"BBW")</f>
        <v>BBW</v>
      </c>
      <c r="F883" s="208" t="str">
        <f>IFERROR(__xludf.DUMMYFUNCTION("""COMPUTED_VALUE"""),"B2G2 - June'26 - Entire Store")</f>
        <v>B2G2 - June'26 - Entire Store</v>
      </c>
      <c r="G883" s="208" t="str">
        <f>IFERROR(__xludf.DUMMYFUNCTION("""COMPUTED_VALUE"""),"bbw_smsfb_b2g2_5june_dormant_ahd_offline")</f>
        <v>bbw_smsfb_b2g2_5june_dormant_ahd_offline</v>
      </c>
      <c r="H883" s="232" t="str">
        <f>IFERROR(__xludf.DUMMYFUNCTION("""COMPUTED_VALUE"""),"BBW_OFF_AHD_Dorm")</f>
        <v>BBW_OFF_AHD_Dorm</v>
      </c>
      <c r="I883" s="233" t="str">
        <f>IFERROR(__xludf.DUMMYFUNCTION("""COMPUTED_VALUE"""),"WA Undelivered")</f>
        <v>WA Undelivered</v>
      </c>
      <c r="J883" s="275">
        <f>IFERROR(__xludf.DUMMYFUNCTION("""COMPUTED_VALUE"""),7447.0)</f>
        <v>7447</v>
      </c>
      <c r="K883" s="275">
        <f>IFERROR(__xludf.DUMMYFUNCTION("""COMPUTED_VALUE"""),4154.0)</f>
        <v>4154</v>
      </c>
      <c r="L883" s="276">
        <f>IFERROR(__xludf.DUMMYFUNCTION("""COMPUTED_VALUE"""),0.5578)</f>
        <v>0.5578</v>
      </c>
      <c r="M883" s="275">
        <f>IFERROR(__xludf.DUMMYFUNCTION("""COMPUTED_VALUE"""),0.0)</f>
        <v>0</v>
      </c>
      <c r="N883" s="276">
        <f>IFERROR(__xludf.DUMMYFUNCTION("""COMPUTED_VALUE"""),0.0)</f>
        <v>0</v>
      </c>
      <c r="O883" s="208">
        <f>IFERROR(__xludf.DUMMYFUNCTION("""COMPUTED_VALUE"""),2.0)</f>
        <v>2</v>
      </c>
      <c r="P883" s="208">
        <f>IFERROR(__xludf.DUMMYFUNCTION("""COMPUTED_VALUE"""),0.0)</f>
        <v>0</v>
      </c>
      <c r="Q883" s="276">
        <f>IFERROR(__xludf.DUMMYFUNCTION("""COMPUTED_VALUE"""),5.0E-4)</f>
        <v>0.0005</v>
      </c>
      <c r="R883" s="276">
        <f>IFERROR(__xludf.DUMMYFUNCTION("""COMPUTED_VALUE"""),0.0)</f>
        <v>0</v>
      </c>
      <c r="S883" s="208">
        <f>IFERROR(__xludf.DUMMYFUNCTION("""COMPUTED_VALUE"""),0.0)</f>
        <v>0</v>
      </c>
      <c r="T883" s="208">
        <f>IFERROR(__xludf.DUMMYFUNCTION("""COMPUTED_VALUE"""),0.0)</f>
        <v>0</v>
      </c>
      <c r="U883" s="275">
        <f>IFERROR(__xludf.DUMMYFUNCTION("""COMPUTED_VALUE"""),0.0)</f>
        <v>0</v>
      </c>
      <c r="V883" s="234" t="str">
        <f>IFERROR(__xludf.DUMMYFUNCTION("""COMPUTED_VALUE"""),"offline")</f>
        <v>offline</v>
      </c>
      <c r="W883" s="232" t="str">
        <f>IFERROR(__xludf.DUMMYFUNCTION("""COMPUTED_VALUE"""),"Sms")</f>
        <v>Sms</v>
      </c>
      <c r="X883" s="232" t="str">
        <f>IFERROR(__xludf.DUMMYFUNCTION("""COMPUTED_VALUE"""),"City Specific")</f>
        <v>City Specific</v>
      </c>
      <c r="Y883" s="232" t="str">
        <f>IFERROR(__xludf.DUMMYFUNCTION("""COMPUTED_VALUE"""),"05 June")</f>
        <v>05 June</v>
      </c>
      <c r="Z883" s="232" t="str">
        <f>IFERROR(__xludf.DUMMYFUNCTION("""COMPUTED_VALUE"""),"6a1d741f7057dc548dd359b2")</f>
        <v>6a1d741f7057dc548dd359b2</v>
      </c>
      <c r="AA883" s="277">
        <f>IFERROR(__xludf.DUMMYFUNCTION("""COMPUTED_VALUE"""),0.0)</f>
        <v>0</v>
      </c>
      <c r="AB883" s="277"/>
      <c r="AC883" s="277">
        <f>IFERROR(__xludf.DUMMYFUNCTION("""COMPUTED_VALUE"""),0.0)</f>
        <v>0</v>
      </c>
      <c r="AD883" s="277">
        <f>IFERROR(__xludf.DUMMYFUNCTION("""COMPUTED_VALUE"""),0.0)</f>
        <v>0</v>
      </c>
      <c r="AE883" s="277"/>
      <c r="AF883" s="277">
        <f>IFERROR(__xludf.DUMMYFUNCTION("""COMPUTED_VALUE"""),0.0)</f>
        <v>0</v>
      </c>
      <c r="AG883" s="208"/>
      <c r="AH883" s="208"/>
      <c r="AI883" s="208"/>
      <c r="AJ883" s="208"/>
      <c r="AK883" s="208"/>
    </row>
    <row r="884" hidden="1">
      <c r="A884" s="288">
        <f>IFERROR(__xludf.DUMMYFUNCTION("""COMPUTED_VALUE"""),46178.0)</f>
        <v>46178</v>
      </c>
      <c r="B884" s="274">
        <f>IFERROR(__xludf.DUMMYFUNCTION("""COMPUTED_VALUE"""),0.5)</f>
        <v>0.5</v>
      </c>
      <c r="C884" s="208" t="str">
        <f>IFERROR(__xludf.DUMMYFUNCTION("""COMPUTED_VALUE"""),"Sms")</f>
        <v>Sms</v>
      </c>
      <c r="D884" s="208" t="str">
        <f>IFERROR(__xludf.DUMMYFUNCTION("""COMPUTED_VALUE"""),"Fallback campaign")</f>
        <v>Fallback campaign</v>
      </c>
      <c r="E884" s="208" t="str">
        <f>IFERROR(__xludf.DUMMYFUNCTION("""COMPUTED_VALUE"""),"BBW")</f>
        <v>BBW</v>
      </c>
      <c r="F884" s="208" t="str">
        <f>IFERROR(__xludf.DUMMYFUNCTION("""COMPUTED_VALUE"""),"B2G2 - June'26 - Entire Store")</f>
        <v>B2G2 - June'26 - Entire Store</v>
      </c>
      <c r="G884" s="208" t="str">
        <f>IFERROR(__xludf.DUMMYFUNCTION("""COMPUTED_VALUE"""),"bbw_smsfb_b2g2_5june_dormant_pune_offline")</f>
        <v>bbw_smsfb_b2g2_5june_dormant_pune_offline</v>
      </c>
      <c r="H884" s="232" t="str">
        <f>IFERROR(__xludf.DUMMYFUNCTION("""COMPUTED_VALUE"""),"BBW_OFF_PUNE_Dorm")</f>
        <v>BBW_OFF_PUNE_Dorm</v>
      </c>
      <c r="I884" s="233" t="str">
        <f>IFERROR(__xludf.DUMMYFUNCTION("""COMPUTED_VALUE"""),"WA Undelivered")</f>
        <v>WA Undelivered</v>
      </c>
      <c r="J884" s="275">
        <f>IFERROR(__xludf.DUMMYFUNCTION("""COMPUTED_VALUE"""),4587.0)</f>
        <v>4587</v>
      </c>
      <c r="K884" s="275">
        <f>IFERROR(__xludf.DUMMYFUNCTION("""COMPUTED_VALUE"""),2633.0)</f>
        <v>2633</v>
      </c>
      <c r="L884" s="276">
        <f>IFERROR(__xludf.DUMMYFUNCTION("""COMPUTED_VALUE"""),0.574)</f>
        <v>0.574</v>
      </c>
      <c r="M884" s="275">
        <f>IFERROR(__xludf.DUMMYFUNCTION("""COMPUTED_VALUE"""),0.0)</f>
        <v>0</v>
      </c>
      <c r="N884" s="276">
        <f>IFERROR(__xludf.DUMMYFUNCTION("""COMPUTED_VALUE"""),0.0)</f>
        <v>0</v>
      </c>
      <c r="O884" s="208">
        <f>IFERROR(__xludf.DUMMYFUNCTION("""COMPUTED_VALUE"""),2.0)</f>
        <v>2</v>
      </c>
      <c r="P884" s="208">
        <f>IFERROR(__xludf.DUMMYFUNCTION("""COMPUTED_VALUE"""),0.0)</f>
        <v>0</v>
      </c>
      <c r="Q884" s="276">
        <f>IFERROR(__xludf.DUMMYFUNCTION("""COMPUTED_VALUE"""),8.0E-4)</f>
        <v>0.0008</v>
      </c>
      <c r="R884" s="276">
        <f>IFERROR(__xludf.DUMMYFUNCTION("""COMPUTED_VALUE"""),0.0)</f>
        <v>0</v>
      </c>
      <c r="S884" s="208">
        <f>IFERROR(__xludf.DUMMYFUNCTION("""COMPUTED_VALUE"""),0.0)</f>
        <v>0</v>
      </c>
      <c r="T884" s="208">
        <f>IFERROR(__xludf.DUMMYFUNCTION("""COMPUTED_VALUE"""),0.0)</f>
        <v>0</v>
      </c>
      <c r="U884" s="275">
        <f>IFERROR(__xludf.DUMMYFUNCTION("""COMPUTED_VALUE"""),0.0)</f>
        <v>0</v>
      </c>
      <c r="V884" s="234" t="str">
        <f>IFERROR(__xludf.DUMMYFUNCTION("""COMPUTED_VALUE"""),"offline")</f>
        <v>offline</v>
      </c>
      <c r="W884" s="232" t="str">
        <f>IFERROR(__xludf.DUMMYFUNCTION("""COMPUTED_VALUE"""),"Sms")</f>
        <v>Sms</v>
      </c>
      <c r="X884" s="232" t="str">
        <f>IFERROR(__xludf.DUMMYFUNCTION("""COMPUTED_VALUE"""),"City Specific")</f>
        <v>City Specific</v>
      </c>
      <c r="Y884" s="232" t="str">
        <f>IFERROR(__xludf.DUMMYFUNCTION("""COMPUTED_VALUE"""),"05 June")</f>
        <v>05 June</v>
      </c>
      <c r="Z884" s="232" t="str">
        <f>IFERROR(__xludf.DUMMYFUNCTION("""COMPUTED_VALUE"""),"6a1d744ae1ec416cc71bf700")</f>
        <v>6a1d744ae1ec416cc71bf700</v>
      </c>
      <c r="AA884" s="277">
        <f>IFERROR(__xludf.DUMMYFUNCTION("""COMPUTED_VALUE"""),0.0)</f>
        <v>0</v>
      </c>
      <c r="AB884" s="277"/>
      <c r="AC884" s="277">
        <f>IFERROR(__xludf.DUMMYFUNCTION("""COMPUTED_VALUE"""),0.0)</f>
        <v>0</v>
      </c>
      <c r="AD884" s="277">
        <f>IFERROR(__xludf.DUMMYFUNCTION("""COMPUTED_VALUE"""),0.0)</f>
        <v>0</v>
      </c>
      <c r="AE884" s="277"/>
      <c r="AF884" s="277">
        <f>IFERROR(__xludf.DUMMYFUNCTION("""COMPUTED_VALUE"""),0.0)</f>
        <v>0</v>
      </c>
      <c r="AG884" s="208"/>
      <c r="AH884" s="208"/>
      <c r="AI884" s="208"/>
      <c r="AJ884" s="208"/>
      <c r="AK884" s="208"/>
    </row>
    <row r="885" hidden="1">
      <c r="A885" s="288">
        <f>IFERROR(__xludf.DUMMYFUNCTION("""COMPUTED_VALUE"""),46178.0)</f>
        <v>46178</v>
      </c>
      <c r="B885" s="274">
        <f>IFERROR(__xludf.DUMMYFUNCTION("""COMPUTED_VALUE"""),0.5)</f>
        <v>0.5</v>
      </c>
      <c r="C885" s="208" t="str">
        <f>IFERROR(__xludf.DUMMYFUNCTION("""COMPUTED_VALUE"""),"Sms")</f>
        <v>Sms</v>
      </c>
      <c r="D885" s="208" t="str">
        <f>IFERROR(__xludf.DUMMYFUNCTION("""COMPUTED_VALUE"""),"Fallback campaign")</f>
        <v>Fallback campaign</v>
      </c>
      <c r="E885" s="208" t="str">
        <f>IFERROR(__xludf.DUMMYFUNCTION("""COMPUTED_VALUE"""),"BBW")</f>
        <v>BBW</v>
      </c>
      <c r="F885" s="208" t="str">
        <f>IFERROR(__xludf.DUMMYFUNCTION("""COMPUTED_VALUE"""),"B2G2 - June'26 - Entire Store")</f>
        <v>B2G2 - June'26 - Entire Store</v>
      </c>
      <c r="G885" s="208" t="str">
        <f>IFERROR(__xludf.DUMMYFUNCTION("""COMPUTED_VALUE"""),"bbw_smsfb_b2g2_5june_active_del_offline")</f>
        <v>bbw_smsfb_b2g2_5june_active_del_offline</v>
      </c>
      <c r="H885" s="232" t="str">
        <f>IFERROR(__xludf.DUMMYFUNCTION("""COMPUTED_VALUE"""),"BBW_OFF_DEL_Active")</f>
        <v>BBW_OFF_DEL_Active</v>
      </c>
      <c r="I885" s="233" t="str">
        <f>IFERROR(__xludf.DUMMYFUNCTION("""COMPUTED_VALUE"""),"WA Undelivered")</f>
        <v>WA Undelivered</v>
      </c>
      <c r="J885" s="275">
        <f>IFERROR(__xludf.DUMMYFUNCTION("""COMPUTED_VALUE"""),6915.0)</f>
        <v>6915</v>
      </c>
      <c r="K885" s="275">
        <f>IFERROR(__xludf.DUMMYFUNCTION("""COMPUTED_VALUE"""),3819.0)</f>
        <v>3819</v>
      </c>
      <c r="L885" s="276">
        <f>IFERROR(__xludf.DUMMYFUNCTION("""COMPUTED_VALUE"""),0.5523)</f>
        <v>0.5523</v>
      </c>
      <c r="M885" s="275">
        <f>IFERROR(__xludf.DUMMYFUNCTION("""COMPUTED_VALUE"""),0.0)</f>
        <v>0</v>
      </c>
      <c r="N885" s="276">
        <f>IFERROR(__xludf.DUMMYFUNCTION("""COMPUTED_VALUE"""),0.0)</f>
        <v>0</v>
      </c>
      <c r="O885" s="208">
        <f>IFERROR(__xludf.DUMMYFUNCTION("""COMPUTED_VALUE"""),9.0)</f>
        <v>9</v>
      </c>
      <c r="P885" s="208">
        <f>IFERROR(__xludf.DUMMYFUNCTION("""COMPUTED_VALUE"""),0.0)</f>
        <v>0</v>
      </c>
      <c r="Q885" s="276">
        <f>IFERROR(__xludf.DUMMYFUNCTION("""COMPUTED_VALUE"""),0.0024)</f>
        <v>0.0024</v>
      </c>
      <c r="R885" s="276">
        <f>IFERROR(__xludf.DUMMYFUNCTION("""COMPUTED_VALUE"""),0.0)</f>
        <v>0</v>
      </c>
      <c r="S885" s="208">
        <f>IFERROR(__xludf.DUMMYFUNCTION("""COMPUTED_VALUE"""),0.0)</f>
        <v>0</v>
      </c>
      <c r="T885" s="208">
        <f>IFERROR(__xludf.DUMMYFUNCTION("""COMPUTED_VALUE"""),0.0)</f>
        <v>0</v>
      </c>
      <c r="U885" s="275">
        <f>IFERROR(__xludf.DUMMYFUNCTION("""COMPUTED_VALUE"""),0.0)</f>
        <v>0</v>
      </c>
      <c r="V885" s="234" t="str">
        <f>IFERROR(__xludf.DUMMYFUNCTION("""COMPUTED_VALUE"""),"offline")</f>
        <v>offline</v>
      </c>
      <c r="W885" s="232" t="str">
        <f>IFERROR(__xludf.DUMMYFUNCTION("""COMPUTED_VALUE"""),"Sms")</f>
        <v>Sms</v>
      </c>
      <c r="X885" s="232" t="str">
        <f>IFERROR(__xludf.DUMMYFUNCTION("""COMPUTED_VALUE"""),"City Specific")</f>
        <v>City Specific</v>
      </c>
      <c r="Y885" s="232" t="str">
        <f>IFERROR(__xludf.DUMMYFUNCTION("""COMPUTED_VALUE"""),"05 June")</f>
        <v>05 June</v>
      </c>
      <c r="Z885" s="232" t="str">
        <f>IFERROR(__xludf.DUMMYFUNCTION("""COMPUTED_VALUE"""),"6a1d74717d2abe05a9a0d5bd")</f>
        <v>6a1d74717d2abe05a9a0d5bd</v>
      </c>
      <c r="AA885" s="277">
        <f>IFERROR(__xludf.DUMMYFUNCTION("""COMPUTED_VALUE"""),5.0)</f>
        <v>5</v>
      </c>
      <c r="AB885" s="277"/>
      <c r="AC885" s="277">
        <f>IFERROR(__xludf.DUMMYFUNCTION("""COMPUTED_VALUE"""),5.0)</f>
        <v>5</v>
      </c>
      <c r="AD885" s="277">
        <f>IFERROR(__xludf.DUMMYFUNCTION("""COMPUTED_VALUE"""),31910.0)</f>
        <v>31910</v>
      </c>
      <c r="AE885" s="277"/>
      <c r="AF885" s="277">
        <f>IFERROR(__xludf.DUMMYFUNCTION("""COMPUTED_VALUE"""),31910.0)</f>
        <v>31910</v>
      </c>
      <c r="AG885" s="208"/>
      <c r="AH885" s="208"/>
      <c r="AI885" s="208"/>
      <c r="AJ885" s="208"/>
      <c r="AK885" s="208"/>
    </row>
    <row r="886" hidden="1">
      <c r="A886" s="288">
        <f>IFERROR(__xludf.DUMMYFUNCTION("""COMPUTED_VALUE"""),46178.0)</f>
        <v>46178</v>
      </c>
      <c r="B886" s="274">
        <f>IFERROR(__xludf.DUMMYFUNCTION("""COMPUTED_VALUE"""),0.5)</f>
        <v>0.5</v>
      </c>
      <c r="C886" s="208" t="str">
        <f>IFERROR(__xludf.DUMMYFUNCTION("""COMPUTED_VALUE"""),"Sms")</f>
        <v>Sms</v>
      </c>
      <c r="D886" s="208" t="str">
        <f>IFERROR(__xludf.DUMMYFUNCTION("""COMPUTED_VALUE"""),"Fallback campaign")</f>
        <v>Fallback campaign</v>
      </c>
      <c r="E886" s="208" t="str">
        <f>IFERROR(__xludf.DUMMYFUNCTION("""COMPUTED_VALUE"""),"BBW")</f>
        <v>BBW</v>
      </c>
      <c r="F886" s="208" t="str">
        <f>IFERROR(__xludf.DUMMYFUNCTION("""COMPUTED_VALUE"""),"B2G2 - June'26 - Entire Store")</f>
        <v>B2G2 - June'26 - Entire Store</v>
      </c>
      <c r="G886" s="208" t="str">
        <f>IFERROR(__xludf.DUMMYFUNCTION("""COMPUTED_VALUE"""),"bbw_smsfb_b2g2_5june_active_chenn_offline")</f>
        <v>bbw_smsfb_b2g2_5june_active_chenn_offline</v>
      </c>
      <c r="H886" s="232" t="str">
        <f>IFERROR(__xludf.DUMMYFUNCTION("""COMPUTED_VALUE"""),"BBW_OFF_Chennai_Active")</f>
        <v>BBW_OFF_Chennai_Active</v>
      </c>
      <c r="I886" s="233" t="str">
        <f>IFERROR(__xludf.DUMMYFUNCTION("""COMPUTED_VALUE"""),"WA Undelivered")</f>
        <v>WA Undelivered</v>
      </c>
      <c r="J886" s="275">
        <f>IFERROR(__xludf.DUMMYFUNCTION("""COMPUTED_VALUE"""),3317.0)</f>
        <v>3317</v>
      </c>
      <c r="K886" s="275">
        <f>IFERROR(__xludf.DUMMYFUNCTION("""COMPUTED_VALUE"""),2103.0)</f>
        <v>2103</v>
      </c>
      <c r="L886" s="276">
        <f>IFERROR(__xludf.DUMMYFUNCTION("""COMPUTED_VALUE"""),0.634)</f>
        <v>0.634</v>
      </c>
      <c r="M886" s="275">
        <f>IFERROR(__xludf.DUMMYFUNCTION("""COMPUTED_VALUE"""),0.0)</f>
        <v>0</v>
      </c>
      <c r="N886" s="276">
        <f>IFERROR(__xludf.DUMMYFUNCTION("""COMPUTED_VALUE"""),0.0)</f>
        <v>0</v>
      </c>
      <c r="O886" s="208">
        <f>IFERROR(__xludf.DUMMYFUNCTION("""COMPUTED_VALUE"""),1.0)</f>
        <v>1</v>
      </c>
      <c r="P886" s="208">
        <f>IFERROR(__xludf.DUMMYFUNCTION("""COMPUTED_VALUE"""),0.0)</f>
        <v>0</v>
      </c>
      <c r="Q886" s="276">
        <f>IFERROR(__xludf.DUMMYFUNCTION("""COMPUTED_VALUE"""),5.0E-4)</f>
        <v>0.0005</v>
      </c>
      <c r="R886" s="276">
        <f>IFERROR(__xludf.DUMMYFUNCTION("""COMPUTED_VALUE"""),0.0)</f>
        <v>0</v>
      </c>
      <c r="S886" s="208">
        <f>IFERROR(__xludf.DUMMYFUNCTION("""COMPUTED_VALUE"""),0.0)</f>
        <v>0</v>
      </c>
      <c r="T886" s="208">
        <f>IFERROR(__xludf.DUMMYFUNCTION("""COMPUTED_VALUE"""),0.0)</f>
        <v>0</v>
      </c>
      <c r="U886" s="275">
        <f>IFERROR(__xludf.DUMMYFUNCTION("""COMPUTED_VALUE"""),0.0)</f>
        <v>0</v>
      </c>
      <c r="V886" s="234" t="str">
        <f>IFERROR(__xludf.DUMMYFUNCTION("""COMPUTED_VALUE"""),"offline")</f>
        <v>offline</v>
      </c>
      <c r="W886" s="232" t="str">
        <f>IFERROR(__xludf.DUMMYFUNCTION("""COMPUTED_VALUE"""),"Sms")</f>
        <v>Sms</v>
      </c>
      <c r="X886" s="232" t="str">
        <f>IFERROR(__xludf.DUMMYFUNCTION("""COMPUTED_VALUE"""),"City Specific")</f>
        <v>City Specific</v>
      </c>
      <c r="Y886" s="232" t="str">
        <f>IFERROR(__xludf.DUMMYFUNCTION("""COMPUTED_VALUE"""),"05 June")</f>
        <v>05 June</v>
      </c>
      <c r="Z886" s="232" t="str">
        <f>IFERROR(__xludf.DUMMYFUNCTION("""COMPUTED_VALUE"""),"6a1d74aaaffd16f9544a94c6")</f>
        <v>6a1d74aaaffd16f9544a94c6</v>
      </c>
      <c r="AA886" s="277">
        <f>IFERROR(__xludf.DUMMYFUNCTION("""COMPUTED_VALUE"""),5.0)</f>
        <v>5</v>
      </c>
      <c r="AB886" s="277"/>
      <c r="AC886" s="277">
        <f>IFERROR(__xludf.DUMMYFUNCTION("""COMPUTED_VALUE"""),5.0)</f>
        <v>5</v>
      </c>
      <c r="AD886" s="277">
        <f>IFERROR(__xludf.DUMMYFUNCTION("""COMPUTED_VALUE"""),24529.0)</f>
        <v>24529</v>
      </c>
      <c r="AE886" s="277"/>
      <c r="AF886" s="277">
        <f>IFERROR(__xludf.DUMMYFUNCTION("""COMPUTED_VALUE"""),24529.0)</f>
        <v>24529</v>
      </c>
      <c r="AG886" s="208"/>
      <c r="AH886" s="208"/>
      <c r="AI886" s="208"/>
      <c r="AJ886" s="208"/>
      <c r="AK886" s="208"/>
    </row>
    <row r="887" hidden="1">
      <c r="A887" s="288">
        <f>IFERROR(__xludf.DUMMYFUNCTION("""COMPUTED_VALUE"""),46178.0)</f>
        <v>46178</v>
      </c>
      <c r="B887" s="274">
        <f>IFERROR(__xludf.DUMMYFUNCTION("""COMPUTED_VALUE"""),0.5)</f>
        <v>0.5</v>
      </c>
      <c r="C887" s="208" t="str">
        <f>IFERROR(__xludf.DUMMYFUNCTION("""COMPUTED_VALUE"""),"Sms")</f>
        <v>Sms</v>
      </c>
      <c r="D887" s="208" t="str">
        <f>IFERROR(__xludf.DUMMYFUNCTION("""COMPUTED_VALUE"""),"Fallback campaign")</f>
        <v>Fallback campaign</v>
      </c>
      <c r="E887" s="208" t="str">
        <f>IFERROR(__xludf.DUMMYFUNCTION("""COMPUTED_VALUE"""),"BBW")</f>
        <v>BBW</v>
      </c>
      <c r="F887" s="208" t="str">
        <f>IFERROR(__xludf.DUMMYFUNCTION("""COMPUTED_VALUE"""),"B2G2 - June'26 - Entire Store")</f>
        <v>B2G2 - June'26 - Entire Store</v>
      </c>
      <c r="G887" s="208" t="str">
        <f>IFERROR(__xludf.DUMMYFUNCTION("""COMPUTED_VALUE"""),"bbw_smsfb_b2g2_5june_active_hyd_offline")</f>
        <v>bbw_smsfb_b2g2_5june_active_hyd_offline</v>
      </c>
      <c r="H887" s="232" t="str">
        <f>IFERROR(__xludf.DUMMYFUNCTION("""COMPUTED_VALUE"""),"BBW_OFF_HYD_Active")</f>
        <v>BBW_OFF_HYD_Active</v>
      </c>
      <c r="I887" s="233" t="str">
        <f>IFERROR(__xludf.DUMMYFUNCTION("""COMPUTED_VALUE"""),"WA Undelivered")</f>
        <v>WA Undelivered</v>
      </c>
      <c r="J887" s="275">
        <f>IFERROR(__xludf.DUMMYFUNCTION("""COMPUTED_VALUE"""),3113.0)</f>
        <v>3113</v>
      </c>
      <c r="K887" s="275">
        <f>IFERROR(__xludf.DUMMYFUNCTION("""COMPUTED_VALUE"""),2018.0)</f>
        <v>2018</v>
      </c>
      <c r="L887" s="276">
        <f>IFERROR(__xludf.DUMMYFUNCTION("""COMPUTED_VALUE"""),0.6482)</f>
        <v>0.6482</v>
      </c>
      <c r="M887" s="275">
        <f>IFERROR(__xludf.DUMMYFUNCTION("""COMPUTED_VALUE"""),0.0)</f>
        <v>0</v>
      </c>
      <c r="N887" s="276">
        <f>IFERROR(__xludf.DUMMYFUNCTION("""COMPUTED_VALUE"""),0.0)</f>
        <v>0</v>
      </c>
      <c r="O887" s="208">
        <f>IFERROR(__xludf.DUMMYFUNCTION("""COMPUTED_VALUE"""),3.0)</f>
        <v>3</v>
      </c>
      <c r="P887" s="208">
        <f>IFERROR(__xludf.DUMMYFUNCTION("""COMPUTED_VALUE"""),0.0)</f>
        <v>0</v>
      </c>
      <c r="Q887" s="276">
        <f>IFERROR(__xludf.DUMMYFUNCTION("""COMPUTED_VALUE"""),0.0015)</f>
        <v>0.0015</v>
      </c>
      <c r="R887" s="276">
        <f>IFERROR(__xludf.DUMMYFUNCTION("""COMPUTED_VALUE"""),0.0)</f>
        <v>0</v>
      </c>
      <c r="S887" s="208">
        <f>IFERROR(__xludf.DUMMYFUNCTION("""COMPUTED_VALUE"""),0.0)</f>
        <v>0</v>
      </c>
      <c r="T887" s="208">
        <f>IFERROR(__xludf.DUMMYFUNCTION("""COMPUTED_VALUE"""),0.0)</f>
        <v>0</v>
      </c>
      <c r="U887" s="275">
        <f>IFERROR(__xludf.DUMMYFUNCTION("""COMPUTED_VALUE"""),0.0)</f>
        <v>0</v>
      </c>
      <c r="V887" s="234" t="str">
        <f>IFERROR(__xludf.DUMMYFUNCTION("""COMPUTED_VALUE"""),"offline")</f>
        <v>offline</v>
      </c>
      <c r="W887" s="232" t="str">
        <f>IFERROR(__xludf.DUMMYFUNCTION("""COMPUTED_VALUE"""),"Sms")</f>
        <v>Sms</v>
      </c>
      <c r="X887" s="232" t="str">
        <f>IFERROR(__xludf.DUMMYFUNCTION("""COMPUTED_VALUE"""),"City Specific")</f>
        <v>City Specific</v>
      </c>
      <c r="Y887" s="232" t="str">
        <f>IFERROR(__xludf.DUMMYFUNCTION("""COMPUTED_VALUE"""),"5 June")</f>
        <v>5 June</v>
      </c>
      <c r="Z887" s="232" t="str">
        <f>IFERROR(__xludf.DUMMYFUNCTION("""COMPUTED_VALUE"""),"6a1d74d2f981432cebac2163")</f>
        <v>6a1d74d2f981432cebac2163</v>
      </c>
      <c r="AA887" s="277">
        <f>IFERROR(__xludf.DUMMYFUNCTION("""COMPUTED_VALUE"""),2.0)</f>
        <v>2</v>
      </c>
      <c r="AB887" s="277"/>
      <c r="AC887" s="277">
        <f>IFERROR(__xludf.DUMMYFUNCTION("""COMPUTED_VALUE"""),2.0)</f>
        <v>2</v>
      </c>
      <c r="AD887" s="277">
        <f>IFERROR(__xludf.DUMMYFUNCTION("""COMPUTED_VALUE"""),10794.0)</f>
        <v>10794</v>
      </c>
      <c r="AE887" s="277"/>
      <c r="AF887" s="277">
        <f>IFERROR(__xludf.DUMMYFUNCTION("""COMPUTED_VALUE"""),10794.0)</f>
        <v>10794</v>
      </c>
      <c r="AG887" s="208"/>
      <c r="AH887" s="208"/>
      <c r="AI887" s="208"/>
      <c r="AJ887" s="208"/>
      <c r="AK887" s="208"/>
    </row>
    <row r="888" hidden="1">
      <c r="A888" s="288">
        <f>IFERROR(__xludf.DUMMYFUNCTION("""COMPUTED_VALUE"""),46178.0)</f>
        <v>46178</v>
      </c>
      <c r="B888" s="274">
        <f>IFERROR(__xludf.DUMMYFUNCTION("""COMPUTED_VALUE"""),0.5)</f>
        <v>0.5</v>
      </c>
      <c r="C888" s="208" t="str">
        <f>IFERROR(__xludf.DUMMYFUNCTION("""COMPUTED_VALUE"""),"Sms")</f>
        <v>Sms</v>
      </c>
      <c r="D888" s="208" t="str">
        <f>IFERROR(__xludf.DUMMYFUNCTION("""COMPUTED_VALUE"""),"Fallback campaign")</f>
        <v>Fallback campaign</v>
      </c>
      <c r="E888" s="208" t="str">
        <f>IFERROR(__xludf.DUMMYFUNCTION("""COMPUTED_VALUE"""),"BBW")</f>
        <v>BBW</v>
      </c>
      <c r="F888" s="208" t="str">
        <f>IFERROR(__xludf.DUMMYFUNCTION("""COMPUTED_VALUE"""),"B2G2 - June'26 - Entire Store")</f>
        <v>B2G2 - June'26 - Entire Store</v>
      </c>
      <c r="G888" s="208" t="str">
        <f>IFERROR(__xludf.DUMMYFUNCTION("""COMPUTED_VALUE"""),"bbw_smsfb_b2g2_5june_active_chd_offline")</f>
        <v>bbw_smsfb_b2g2_5june_active_chd_offline</v>
      </c>
      <c r="H888" s="232" t="str">
        <f>IFERROR(__xludf.DUMMYFUNCTION("""COMPUTED_VALUE"""),"BBW_OFF_CHD_Active")</f>
        <v>BBW_OFF_CHD_Active</v>
      </c>
      <c r="I888" s="233" t="str">
        <f>IFERROR(__xludf.DUMMYFUNCTION("""COMPUTED_VALUE"""),"WA Undelivered")</f>
        <v>WA Undelivered</v>
      </c>
      <c r="J888" s="275">
        <f>IFERROR(__xludf.DUMMYFUNCTION("""COMPUTED_VALUE"""),2593.0)</f>
        <v>2593</v>
      </c>
      <c r="K888" s="275">
        <f>IFERROR(__xludf.DUMMYFUNCTION("""COMPUTED_VALUE"""),1686.0)</f>
        <v>1686</v>
      </c>
      <c r="L888" s="276">
        <f>IFERROR(__xludf.DUMMYFUNCTION("""COMPUTED_VALUE"""),0.6502)</f>
        <v>0.6502</v>
      </c>
      <c r="M888" s="275">
        <f>IFERROR(__xludf.DUMMYFUNCTION("""COMPUTED_VALUE"""),0.0)</f>
        <v>0</v>
      </c>
      <c r="N888" s="276">
        <f>IFERROR(__xludf.DUMMYFUNCTION("""COMPUTED_VALUE"""),0.0)</f>
        <v>0</v>
      </c>
      <c r="O888" s="208">
        <f>IFERROR(__xludf.DUMMYFUNCTION("""COMPUTED_VALUE"""),3.0)</f>
        <v>3</v>
      </c>
      <c r="P888" s="208">
        <f>IFERROR(__xludf.DUMMYFUNCTION("""COMPUTED_VALUE"""),0.0)</f>
        <v>0</v>
      </c>
      <c r="Q888" s="276">
        <f>IFERROR(__xludf.DUMMYFUNCTION("""COMPUTED_VALUE"""),0.0018)</f>
        <v>0.0018</v>
      </c>
      <c r="R888" s="276">
        <f>IFERROR(__xludf.DUMMYFUNCTION("""COMPUTED_VALUE"""),0.0)</f>
        <v>0</v>
      </c>
      <c r="S888" s="208">
        <f>IFERROR(__xludf.DUMMYFUNCTION("""COMPUTED_VALUE"""),0.0)</f>
        <v>0</v>
      </c>
      <c r="T888" s="208">
        <f>IFERROR(__xludf.DUMMYFUNCTION("""COMPUTED_VALUE"""),0.0)</f>
        <v>0</v>
      </c>
      <c r="U888" s="275">
        <f>IFERROR(__xludf.DUMMYFUNCTION("""COMPUTED_VALUE"""),0.0)</f>
        <v>0</v>
      </c>
      <c r="V888" s="234" t="str">
        <f>IFERROR(__xludf.DUMMYFUNCTION("""COMPUTED_VALUE"""),"offline")</f>
        <v>offline</v>
      </c>
      <c r="W888" s="232" t="str">
        <f>IFERROR(__xludf.DUMMYFUNCTION("""COMPUTED_VALUE"""),"Sms")</f>
        <v>Sms</v>
      </c>
      <c r="X888" s="232" t="str">
        <f>IFERROR(__xludf.DUMMYFUNCTION("""COMPUTED_VALUE"""),"City Specific")</f>
        <v>City Specific</v>
      </c>
      <c r="Y888" s="232" t="str">
        <f>IFERROR(__xludf.DUMMYFUNCTION("""COMPUTED_VALUE"""),"5 June")</f>
        <v>5 June</v>
      </c>
      <c r="Z888" s="232" t="str">
        <f>IFERROR(__xludf.DUMMYFUNCTION("""COMPUTED_VALUE"""),"6a1d74fd9fc2fa9b5786586e")</f>
        <v>6a1d74fd9fc2fa9b5786586e</v>
      </c>
      <c r="AA888" s="277">
        <f>IFERROR(__xludf.DUMMYFUNCTION("""COMPUTED_VALUE"""),6.0)</f>
        <v>6</v>
      </c>
      <c r="AB888" s="277"/>
      <c r="AC888" s="277">
        <f>IFERROR(__xludf.DUMMYFUNCTION("""COMPUTED_VALUE"""),6.0)</f>
        <v>6</v>
      </c>
      <c r="AD888" s="277">
        <f>IFERROR(__xludf.DUMMYFUNCTION("""COMPUTED_VALUE"""),22588.0)</f>
        <v>22588</v>
      </c>
      <c r="AE888" s="277"/>
      <c r="AF888" s="277">
        <f>IFERROR(__xludf.DUMMYFUNCTION("""COMPUTED_VALUE"""),22588.0)</f>
        <v>22588</v>
      </c>
      <c r="AG888" s="208"/>
      <c r="AH888" s="208"/>
      <c r="AI888" s="208"/>
      <c r="AJ888" s="208"/>
      <c r="AK888" s="208"/>
    </row>
    <row r="889" hidden="1">
      <c r="A889" s="288">
        <f>IFERROR(__xludf.DUMMYFUNCTION("""COMPUTED_VALUE"""),46178.0)</f>
        <v>46178</v>
      </c>
      <c r="B889" s="274">
        <f>IFERROR(__xludf.DUMMYFUNCTION("""COMPUTED_VALUE"""),0.5)</f>
        <v>0.5</v>
      </c>
      <c r="C889" s="208" t="str">
        <f>IFERROR(__xludf.DUMMYFUNCTION("""COMPUTED_VALUE"""),"Sms")</f>
        <v>Sms</v>
      </c>
      <c r="D889" s="208" t="str">
        <f>IFERROR(__xludf.DUMMYFUNCTION("""COMPUTED_VALUE"""),"Fallback campaign")</f>
        <v>Fallback campaign</v>
      </c>
      <c r="E889" s="208" t="str">
        <f>IFERROR(__xludf.DUMMYFUNCTION("""COMPUTED_VALUE"""),"BBW")</f>
        <v>BBW</v>
      </c>
      <c r="F889" s="208" t="str">
        <f>IFERROR(__xludf.DUMMYFUNCTION("""COMPUTED_VALUE"""),"B2G2 - June'26 - Entire Store")</f>
        <v>B2G2 - June'26 - Entire Store</v>
      </c>
      <c r="G889" s="208" t="str">
        <f>IFERROR(__xludf.DUMMYFUNCTION("""COMPUTED_VALUE"""),"bbw_smsfb_b2g2_5june_active_ggn_offline")</f>
        <v>bbw_smsfb_b2g2_5june_active_ggn_offline</v>
      </c>
      <c r="H889" s="232" t="str">
        <f>IFERROR(__xludf.DUMMYFUNCTION("""COMPUTED_VALUE"""),"BBW_OFF_GGN_Active")</f>
        <v>BBW_OFF_GGN_Active</v>
      </c>
      <c r="I889" s="233" t="str">
        <f>IFERROR(__xludf.DUMMYFUNCTION("""COMPUTED_VALUE"""),"WA Undelivered")</f>
        <v>WA Undelivered</v>
      </c>
      <c r="J889" s="275">
        <f>IFERROR(__xludf.DUMMYFUNCTION("""COMPUTED_VALUE"""),2192.0)</f>
        <v>2192</v>
      </c>
      <c r="K889" s="275">
        <f>IFERROR(__xludf.DUMMYFUNCTION("""COMPUTED_VALUE"""),1078.0)</f>
        <v>1078</v>
      </c>
      <c r="L889" s="276">
        <f>IFERROR(__xludf.DUMMYFUNCTION("""COMPUTED_VALUE"""),0.4918)</f>
        <v>0.4918</v>
      </c>
      <c r="M889" s="275">
        <f>IFERROR(__xludf.DUMMYFUNCTION("""COMPUTED_VALUE"""),0.0)</f>
        <v>0</v>
      </c>
      <c r="N889" s="276">
        <f>IFERROR(__xludf.DUMMYFUNCTION("""COMPUTED_VALUE"""),0.0)</f>
        <v>0</v>
      </c>
      <c r="O889" s="208">
        <f>IFERROR(__xludf.DUMMYFUNCTION("""COMPUTED_VALUE"""),3.0)</f>
        <v>3</v>
      </c>
      <c r="P889" s="208">
        <f>IFERROR(__xludf.DUMMYFUNCTION("""COMPUTED_VALUE"""),0.0)</f>
        <v>0</v>
      </c>
      <c r="Q889" s="276">
        <f>IFERROR(__xludf.DUMMYFUNCTION("""COMPUTED_VALUE"""),0.0028)</f>
        <v>0.0028</v>
      </c>
      <c r="R889" s="276">
        <f>IFERROR(__xludf.DUMMYFUNCTION("""COMPUTED_VALUE"""),0.0)</f>
        <v>0</v>
      </c>
      <c r="S889" s="208">
        <f>IFERROR(__xludf.DUMMYFUNCTION("""COMPUTED_VALUE"""),0.0)</f>
        <v>0</v>
      </c>
      <c r="T889" s="208">
        <f>IFERROR(__xludf.DUMMYFUNCTION("""COMPUTED_VALUE"""),0.0)</f>
        <v>0</v>
      </c>
      <c r="U889" s="275">
        <f>IFERROR(__xludf.DUMMYFUNCTION("""COMPUTED_VALUE"""),0.0)</f>
        <v>0</v>
      </c>
      <c r="V889" s="234" t="str">
        <f>IFERROR(__xludf.DUMMYFUNCTION("""COMPUTED_VALUE"""),"offline")</f>
        <v>offline</v>
      </c>
      <c r="W889" s="232" t="str">
        <f>IFERROR(__xludf.DUMMYFUNCTION("""COMPUTED_VALUE"""),"Sms")</f>
        <v>Sms</v>
      </c>
      <c r="X889" s="232" t="str">
        <f>IFERROR(__xludf.DUMMYFUNCTION("""COMPUTED_VALUE"""),"City Specific")</f>
        <v>City Specific</v>
      </c>
      <c r="Y889" s="232" t="str">
        <f>IFERROR(__xludf.DUMMYFUNCTION("""COMPUTED_VALUE"""),"05 June")</f>
        <v>05 June</v>
      </c>
      <c r="Z889" s="232" t="str">
        <f>IFERROR(__xludf.DUMMYFUNCTION("""COMPUTED_VALUE"""),"6a1d75548081f6b670463438")</f>
        <v>6a1d75548081f6b670463438</v>
      </c>
      <c r="AA889" s="277">
        <f>IFERROR(__xludf.DUMMYFUNCTION("""COMPUTED_VALUE"""),1.0)</f>
        <v>1</v>
      </c>
      <c r="AB889" s="277"/>
      <c r="AC889" s="277">
        <f>IFERROR(__xludf.DUMMYFUNCTION("""COMPUTED_VALUE"""),1.0)</f>
        <v>1</v>
      </c>
      <c r="AD889" s="277">
        <f>IFERROR(__xludf.DUMMYFUNCTION("""COMPUTED_VALUE"""),4996.0)</f>
        <v>4996</v>
      </c>
      <c r="AE889" s="277"/>
      <c r="AF889" s="277">
        <f>IFERROR(__xludf.DUMMYFUNCTION("""COMPUTED_VALUE"""),4996.0)</f>
        <v>4996</v>
      </c>
      <c r="AG889" s="208"/>
      <c r="AH889" s="208"/>
      <c r="AI889" s="208"/>
      <c r="AJ889" s="208"/>
      <c r="AK889" s="208"/>
    </row>
    <row r="890" hidden="1">
      <c r="A890" s="288">
        <f>IFERROR(__xludf.DUMMYFUNCTION("""COMPUTED_VALUE"""),46178.0)</f>
        <v>46178</v>
      </c>
      <c r="B890" s="274">
        <f>IFERROR(__xludf.DUMMYFUNCTION("""COMPUTED_VALUE"""),0.5)</f>
        <v>0.5</v>
      </c>
      <c r="C890" s="208" t="str">
        <f>IFERROR(__xludf.DUMMYFUNCTION("""COMPUTED_VALUE"""),"Sms")</f>
        <v>Sms</v>
      </c>
      <c r="D890" s="208" t="str">
        <f>IFERROR(__xludf.DUMMYFUNCTION("""COMPUTED_VALUE"""),"Fallback campaign")</f>
        <v>Fallback campaign</v>
      </c>
      <c r="E890" s="208" t="str">
        <f>IFERROR(__xludf.DUMMYFUNCTION("""COMPUTED_VALUE"""),"BBW")</f>
        <v>BBW</v>
      </c>
      <c r="F890" s="208" t="str">
        <f>IFERROR(__xludf.DUMMYFUNCTION("""COMPUTED_VALUE"""),"B2G2 - June'26 - Entire Store")</f>
        <v>B2G2 - June'26 - Entire Store</v>
      </c>
      <c r="G890" s="208" t="str">
        <f>IFERROR(__xludf.DUMMYFUNCTION("""COMPUTED_VALUE"""),"bbw_smsfb_b2g2_5june_active_noida_offline")</f>
        <v>bbw_smsfb_b2g2_5june_active_noida_offline</v>
      </c>
      <c r="H890" s="232" t="str">
        <f>IFERROR(__xludf.DUMMYFUNCTION("""COMPUTED_VALUE"""),"BBW_OFF_NOIDA_Active")</f>
        <v>BBW_OFF_NOIDA_Active</v>
      </c>
      <c r="I890" s="233" t="str">
        <f>IFERROR(__xludf.DUMMYFUNCTION("""COMPUTED_VALUE"""),"WA Undelivered")</f>
        <v>WA Undelivered</v>
      </c>
      <c r="J890" s="275">
        <f>IFERROR(__xludf.DUMMYFUNCTION("""COMPUTED_VALUE"""),3090.0)</f>
        <v>3090</v>
      </c>
      <c r="K890" s="275">
        <f>IFERROR(__xludf.DUMMYFUNCTION("""COMPUTED_VALUE"""),1669.0)</f>
        <v>1669</v>
      </c>
      <c r="L890" s="276">
        <f>IFERROR(__xludf.DUMMYFUNCTION("""COMPUTED_VALUE"""),0.5401)</f>
        <v>0.5401</v>
      </c>
      <c r="M890" s="275">
        <f>IFERROR(__xludf.DUMMYFUNCTION("""COMPUTED_VALUE"""),0.0)</f>
        <v>0</v>
      </c>
      <c r="N890" s="276">
        <f>IFERROR(__xludf.DUMMYFUNCTION("""COMPUTED_VALUE"""),0.0)</f>
        <v>0</v>
      </c>
      <c r="O890" s="208">
        <f>IFERROR(__xludf.DUMMYFUNCTION("""COMPUTED_VALUE"""),9.0)</f>
        <v>9</v>
      </c>
      <c r="P890" s="208">
        <f>IFERROR(__xludf.DUMMYFUNCTION("""COMPUTED_VALUE"""),0.0)</f>
        <v>0</v>
      </c>
      <c r="Q890" s="276">
        <f>IFERROR(__xludf.DUMMYFUNCTION("""COMPUTED_VALUE"""),0.0054)</f>
        <v>0.0054</v>
      </c>
      <c r="R890" s="276">
        <f>IFERROR(__xludf.DUMMYFUNCTION("""COMPUTED_VALUE"""),0.0)</f>
        <v>0</v>
      </c>
      <c r="S890" s="208">
        <f>IFERROR(__xludf.DUMMYFUNCTION("""COMPUTED_VALUE"""),0.0)</f>
        <v>0</v>
      </c>
      <c r="T890" s="208">
        <f>IFERROR(__xludf.DUMMYFUNCTION("""COMPUTED_VALUE"""),0.0)</f>
        <v>0</v>
      </c>
      <c r="U890" s="275">
        <f>IFERROR(__xludf.DUMMYFUNCTION("""COMPUTED_VALUE"""),0.0)</f>
        <v>0</v>
      </c>
      <c r="V890" s="234" t="str">
        <f>IFERROR(__xludf.DUMMYFUNCTION("""COMPUTED_VALUE"""),"offline")</f>
        <v>offline</v>
      </c>
      <c r="W890" s="232" t="str">
        <f>IFERROR(__xludf.DUMMYFUNCTION("""COMPUTED_VALUE"""),"Sms")</f>
        <v>Sms</v>
      </c>
      <c r="X890" s="232" t="str">
        <f>IFERROR(__xludf.DUMMYFUNCTION("""COMPUTED_VALUE"""),"City Specific")</f>
        <v>City Specific</v>
      </c>
      <c r="Y890" s="232" t="str">
        <f>IFERROR(__xludf.DUMMYFUNCTION("""COMPUTED_VALUE"""),"5 June")</f>
        <v>5 June</v>
      </c>
      <c r="Z890" s="232" t="str">
        <f>IFERROR(__xludf.DUMMYFUNCTION("""COMPUTED_VALUE"""),"6a1d7593e98cee3b525db428")</f>
        <v>6a1d7593e98cee3b525db428</v>
      </c>
      <c r="AA890" s="277">
        <f>IFERROR(__xludf.DUMMYFUNCTION("""COMPUTED_VALUE"""),0.0)</f>
        <v>0</v>
      </c>
      <c r="AB890" s="277"/>
      <c r="AC890" s="277">
        <f>IFERROR(__xludf.DUMMYFUNCTION("""COMPUTED_VALUE"""),0.0)</f>
        <v>0</v>
      </c>
      <c r="AD890" s="277">
        <f>IFERROR(__xludf.DUMMYFUNCTION("""COMPUTED_VALUE"""),0.0)</f>
        <v>0</v>
      </c>
      <c r="AE890" s="277"/>
      <c r="AF890" s="277">
        <f>IFERROR(__xludf.DUMMYFUNCTION("""COMPUTED_VALUE"""),0.0)</f>
        <v>0</v>
      </c>
      <c r="AG890" s="208"/>
      <c r="AH890" s="208"/>
      <c r="AI890" s="208"/>
      <c r="AJ890" s="208"/>
      <c r="AK890" s="208"/>
    </row>
    <row r="891" hidden="1">
      <c r="A891" s="288">
        <f>IFERROR(__xludf.DUMMYFUNCTION("""COMPUTED_VALUE"""),46178.0)</f>
        <v>46178</v>
      </c>
      <c r="B891" s="274">
        <f>IFERROR(__xludf.DUMMYFUNCTION("""COMPUTED_VALUE"""),0.5)</f>
        <v>0.5</v>
      </c>
      <c r="C891" s="208" t="str">
        <f>IFERROR(__xludf.DUMMYFUNCTION("""COMPUTED_VALUE"""),"Sms")</f>
        <v>Sms</v>
      </c>
      <c r="D891" s="208" t="str">
        <f>IFERROR(__xludf.DUMMYFUNCTION("""COMPUTED_VALUE"""),"Fallback campaign")</f>
        <v>Fallback campaign</v>
      </c>
      <c r="E891" s="208" t="str">
        <f>IFERROR(__xludf.DUMMYFUNCTION("""COMPUTED_VALUE"""),"BBW")</f>
        <v>BBW</v>
      </c>
      <c r="F891" s="208" t="str">
        <f>IFERROR(__xludf.DUMMYFUNCTION("""COMPUTED_VALUE"""),"B2G2 - June'26 - Entire Store")</f>
        <v>B2G2 - June'26 - Entire Store</v>
      </c>
      <c r="G891" s="208" t="str">
        <f>IFERROR(__xludf.DUMMYFUNCTION("""COMPUTED_VALUE"""),"bbw_smsfb_b2g2_5june_active_thane_offline")</f>
        <v>bbw_smsfb_b2g2_5june_active_thane_offline</v>
      </c>
      <c r="H891" s="232" t="str">
        <f>IFERROR(__xludf.DUMMYFUNCTION("""COMPUTED_VALUE"""),"BBW_OFF_THANE_Active")</f>
        <v>BBW_OFF_THANE_Active</v>
      </c>
      <c r="I891" s="233" t="str">
        <f>IFERROR(__xludf.DUMMYFUNCTION("""COMPUTED_VALUE"""),"WA Undelivered")</f>
        <v>WA Undelivered</v>
      </c>
      <c r="J891" s="275">
        <f>IFERROR(__xludf.DUMMYFUNCTION("""COMPUTED_VALUE"""),1425.0)</f>
        <v>1425</v>
      </c>
      <c r="K891" s="275">
        <f>IFERROR(__xludf.DUMMYFUNCTION("""COMPUTED_VALUE"""),828.0)</f>
        <v>828</v>
      </c>
      <c r="L891" s="276">
        <f>IFERROR(__xludf.DUMMYFUNCTION("""COMPUTED_VALUE"""),0.5811)</f>
        <v>0.5811</v>
      </c>
      <c r="M891" s="275">
        <f>IFERROR(__xludf.DUMMYFUNCTION("""COMPUTED_VALUE"""),0.0)</f>
        <v>0</v>
      </c>
      <c r="N891" s="276">
        <f>IFERROR(__xludf.DUMMYFUNCTION("""COMPUTED_VALUE"""),0.0)</f>
        <v>0</v>
      </c>
      <c r="O891" s="208">
        <f>IFERROR(__xludf.DUMMYFUNCTION("""COMPUTED_VALUE"""),1.0)</f>
        <v>1</v>
      </c>
      <c r="P891" s="208">
        <f>IFERROR(__xludf.DUMMYFUNCTION("""COMPUTED_VALUE"""),0.0)</f>
        <v>0</v>
      </c>
      <c r="Q891" s="276">
        <f>IFERROR(__xludf.DUMMYFUNCTION("""COMPUTED_VALUE"""),0.0012)</f>
        <v>0.0012</v>
      </c>
      <c r="R891" s="276">
        <f>IFERROR(__xludf.DUMMYFUNCTION("""COMPUTED_VALUE"""),0.0)</f>
        <v>0</v>
      </c>
      <c r="S891" s="208">
        <f>IFERROR(__xludf.DUMMYFUNCTION("""COMPUTED_VALUE"""),0.0)</f>
        <v>0</v>
      </c>
      <c r="T891" s="208">
        <f>IFERROR(__xludf.DUMMYFUNCTION("""COMPUTED_VALUE"""),0.0)</f>
        <v>0</v>
      </c>
      <c r="U891" s="275">
        <f>IFERROR(__xludf.DUMMYFUNCTION("""COMPUTED_VALUE"""),0.0)</f>
        <v>0</v>
      </c>
      <c r="V891" s="234" t="str">
        <f>IFERROR(__xludf.DUMMYFUNCTION("""COMPUTED_VALUE"""),"offline")</f>
        <v>offline</v>
      </c>
      <c r="W891" s="232" t="str">
        <f>IFERROR(__xludf.DUMMYFUNCTION("""COMPUTED_VALUE"""),"Sms")</f>
        <v>Sms</v>
      </c>
      <c r="X891" s="232" t="str">
        <f>IFERROR(__xludf.DUMMYFUNCTION("""COMPUTED_VALUE"""),"City Specific")</f>
        <v>City Specific</v>
      </c>
      <c r="Y891" s="232" t="str">
        <f>IFERROR(__xludf.DUMMYFUNCTION("""COMPUTED_VALUE"""),"5 June")</f>
        <v>5 June</v>
      </c>
      <c r="Z891" s="232" t="str">
        <f>IFERROR(__xludf.DUMMYFUNCTION("""COMPUTED_VALUE"""),"6a1d75cffb33e3538859d0ce")</f>
        <v>6a1d75cffb33e3538859d0ce</v>
      </c>
      <c r="AA891" s="277">
        <f>IFERROR(__xludf.DUMMYFUNCTION("""COMPUTED_VALUE"""),2.0)</f>
        <v>2</v>
      </c>
      <c r="AB891" s="277"/>
      <c r="AC891" s="277">
        <f>IFERROR(__xludf.DUMMYFUNCTION("""COMPUTED_VALUE"""),2.0)</f>
        <v>2</v>
      </c>
      <c r="AD891" s="277">
        <f>IFERROR(__xludf.DUMMYFUNCTION("""COMPUTED_VALUE"""),9396.0)</f>
        <v>9396</v>
      </c>
      <c r="AE891" s="277"/>
      <c r="AF891" s="277">
        <f>IFERROR(__xludf.DUMMYFUNCTION("""COMPUTED_VALUE"""),9396.0)</f>
        <v>9396</v>
      </c>
      <c r="AG891" s="208"/>
      <c r="AH891" s="208"/>
      <c r="AI891" s="208"/>
      <c r="AJ891" s="208"/>
      <c r="AK891" s="208"/>
    </row>
    <row r="892" hidden="1">
      <c r="A892" s="288">
        <f>IFERROR(__xludf.DUMMYFUNCTION("""COMPUTED_VALUE"""),46178.0)</f>
        <v>46178</v>
      </c>
      <c r="B892" s="274">
        <f>IFERROR(__xludf.DUMMYFUNCTION("""COMPUTED_VALUE"""),0.5)</f>
        <v>0.5</v>
      </c>
      <c r="C892" s="208" t="str">
        <f>IFERROR(__xludf.DUMMYFUNCTION("""COMPUTED_VALUE"""),"Sms")</f>
        <v>Sms</v>
      </c>
      <c r="D892" s="208" t="str">
        <f>IFERROR(__xludf.DUMMYFUNCTION("""COMPUTED_VALUE"""),"Fallback campaign")</f>
        <v>Fallback campaign</v>
      </c>
      <c r="E892" s="208" t="str">
        <f>IFERROR(__xludf.DUMMYFUNCTION("""COMPUTED_VALUE"""),"BBW")</f>
        <v>BBW</v>
      </c>
      <c r="F892" s="208" t="str">
        <f>IFERROR(__xludf.DUMMYFUNCTION("""COMPUTED_VALUE"""),"B2G2 - June'26 - Entire Store")</f>
        <v>B2G2 - June'26 - Entire Store</v>
      </c>
      <c r="G892" s="208" t="str">
        <f>IFERROR(__xludf.DUMMYFUNCTION("""COMPUTED_VALUE"""),"bbw_smsfb_b2g2_5june_active_vad_offline")</f>
        <v>bbw_smsfb_b2g2_5june_active_vad_offline</v>
      </c>
      <c r="H892" s="232" t="str">
        <f>IFERROR(__xludf.DUMMYFUNCTION("""COMPUTED_VALUE"""),"BBW_OFF_Vadodara_Active")</f>
        <v>BBW_OFF_Vadodara_Active</v>
      </c>
      <c r="I892" s="233" t="str">
        <f>IFERROR(__xludf.DUMMYFUNCTION("""COMPUTED_VALUE"""),"WA Undelivered")</f>
        <v>WA Undelivered</v>
      </c>
      <c r="J892" s="275">
        <f>IFERROR(__xludf.DUMMYFUNCTION("""COMPUTED_VALUE"""),828.0)</f>
        <v>828</v>
      </c>
      <c r="K892" s="275">
        <f>IFERROR(__xludf.DUMMYFUNCTION("""COMPUTED_VALUE"""),473.0)</f>
        <v>473</v>
      </c>
      <c r="L892" s="276">
        <f>IFERROR(__xludf.DUMMYFUNCTION("""COMPUTED_VALUE"""),0.5713)</f>
        <v>0.5713</v>
      </c>
      <c r="M892" s="275">
        <f>IFERROR(__xludf.DUMMYFUNCTION("""COMPUTED_VALUE"""),0.0)</f>
        <v>0</v>
      </c>
      <c r="N892" s="276">
        <f>IFERROR(__xludf.DUMMYFUNCTION("""COMPUTED_VALUE"""),0.0)</f>
        <v>0</v>
      </c>
      <c r="O892" s="208">
        <f>IFERROR(__xludf.DUMMYFUNCTION("""COMPUTED_VALUE"""),1.0)</f>
        <v>1</v>
      </c>
      <c r="P892" s="208">
        <f>IFERROR(__xludf.DUMMYFUNCTION("""COMPUTED_VALUE"""),0.0)</f>
        <v>0</v>
      </c>
      <c r="Q892" s="276">
        <f>IFERROR(__xludf.DUMMYFUNCTION("""COMPUTED_VALUE"""),0.0021)</f>
        <v>0.0021</v>
      </c>
      <c r="R892" s="276">
        <f>IFERROR(__xludf.DUMMYFUNCTION("""COMPUTED_VALUE"""),0.0)</f>
        <v>0</v>
      </c>
      <c r="S892" s="208">
        <f>IFERROR(__xludf.DUMMYFUNCTION("""COMPUTED_VALUE"""),0.0)</f>
        <v>0</v>
      </c>
      <c r="T892" s="208">
        <f>IFERROR(__xludf.DUMMYFUNCTION("""COMPUTED_VALUE"""),0.0)</f>
        <v>0</v>
      </c>
      <c r="U892" s="275">
        <f>IFERROR(__xludf.DUMMYFUNCTION("""COMPUTED_VALUE"""),0.0)</f>
        <v>0</v>
      </c>
      <c r="V892" s="234" t="str">
        <f>IFERROR(__xludf.DUMMYFUNCTION("""COMPUTED_VALUE"""),"offline")</f>
        <v>offline</v>
      </c>
      <c r="W892" s="232" t="str">
        <f>IFERROR(__xludf.DUMMYFUNCTION("""COMPUTED_VALUE"""),"Sms")</f>
        <v>Sms</v>
      </c>
      <c r="X892" s="232" t="str">
        <f>IFERROR(__xludf.DUMMYFUNCTION("""COMPUTED_VALUE"""),"City Specific")</f>
        <v>City Specific</v>
      </c>
      <c r="Y892" s="232" t="str">
        <f>IFERROR(__xludf.DUMMYFUNCTION("""COMPUTED_VALUE"""),"05 June")</f>
        <v>05 June</v>
      </c>
      <c r="Z892" s="232" t="str">
        <f>IFERROR(__xludf.DUMMYFUNCTION("""COMPUTED_VALUE"""),"6a1d768508e7462cc219b01d")</f>
        <v>6a1d768508e7462cc219b01d</v>
      </c>
      <c r="AA892" s="277">
        <f>IFERROR(__xludf.DUMMYFUNCTION("""COMPUTED_VALUE"""),2.0)</f>
        <v>2</v>
      </c>
      <c r="AB892" s="277"/>
      <c r="AC892" s="277">
        <f>IFERROR(__xludf.DUMMYFUNCTION("""COMPUTED_VALUE"""),2.0)</f>
        <v>2</v>
      </c>
      <c r="AD892" s="277">
        <f>IFERROR(__xludf.DUMMYFUNCTION("""COMPUTED_VALUE"""),2996.0)</f>
        <v>2996</v>
      </c>
      <c r="AE892" s="277"/>
      <c r="AF892" s="277">
        <f>IFERROR(__xludf.DUMMYFUNCTION("""COMPUTED_VALUE"""),2996.0)</f>
        <v>2996</v>
      </c>
      <c r="AG892" s="208"/>
      <c r="AH892" s="208"/>
      <c r="AI892" s="208"/>
      <c r="AJ892" s="208"/>
      <c r="AK892" s="208"/>
    </row>
    <row r="893" hidden="1">
      <c r="A893" s="288">
        <f>IFERROR(__xludf.DUMMYFUNCTION("""COMPUTED_VALUE"""),46178.0)</f>
        <v>46178</v>
      </c>
      <c r="B893" s="274">
        <f>IFERROR(__xludf.DUMMYFUNCTION("""COMPUTED_VALUE"""),0.5)</f>
        <v>0.5</v>
      </c>
      <c r="C893" s="208" t="str">
        <f>IFERROR(__xludf.DUMMYFUNCTION("""COMPUTED_VALUE"""),"Sms")</f>
        <v>Sms</v>
      </c>
      <c r="D893" s="208" t="str">
        <f>IFERROR(__xludf.DUMMYFUNCTION("""COMPUTED_VALUE"""),"Fallback campaign")</f>
        <v>Fallback campaign</v>
      </c>
      <c r="E893" s="208" t="str">
        <f>IFERROR(__xludf.DUMMYFUNCTION("""COMPUTED_VALUE"""),"BBW")</f>
        <v>BBW</v>
      </c>
      <c r="F893" s="208" t="str">
        <f>IFERROR(__xludf.DUMMYFUNCTION("""COMPUTED_VALUE"""),"B2G2 - June'26 - Entire Store")</f>
        <v>B2G2 - June'26 - Entire Store</v>
      </c>
      <c r="G893" s="208" t="str">
        <f>IFERROR(__xludf.DUMMYFUNCTION("""COMPUTED_VALUE"""),"bbw_smsfb_b2g2_5june_dormant_kochi_offline")</f>
        <v>bbw_smsfb_b2g2_5june_dormant_kochi_offline</v>
      </c>
      <c r="H893" s="232" t="str">
        <f>IFERROR(__xludf.DUMMYFUNCTION("""COMPUTED_VALUE"""),"BBW_OFF_KOCHI_Dorm")</f>
        <v>BBW_OFF_KOCHI_Dorm</v>
      </c>
      <c r="I893" s="233" t="str">
        <f>IFERROR(__xludf.DUMMYFUNCTION("""COMPUTED_VALUE"""),"WA Undelivered")</f>
        <v>WA Undelivered</v>
      </c>
      <c r="J893" s="275">
        <f>IFERROR(__xludf.DUMMYFUNCTION("""COMPUTED_VALUE"""),2294.0)</f>
        <v>2294</v>
      </c>
      <c r="K893" s="275">
        <f>IFERROR(__xludf.DUMMYFUNCTION("""COMPUTED_VALUE"""),1482.0)</f>
        <v>1482</v>
      </c>
      <c r="L893" s="276">
        <f>IFERROR(__xludf.DUMMYFUNCTION("""COMPUTED_VALUE"""),0.646)</f>
        <v>0.646</v>
      </c>
      <c r="M893" s="275">
        <f>IFERROR(__xludf.DUMMYFUNCTION("""COMPUTED_VALUE"""),0.0)</f>
        <v>0</v>
      </c>
      <c r="N893" s="276">
        <f>IFERROR(__xludf.DUMMYFUNCTION("""COMPUTED_VALUE"""),0.0)</f>
        <v>0</v>
      </c>
      <c r="O893" s="208">
        <f>IFERROR(__xludf.DUMMYFUNCTION("""COMPUTED_VALUE"""),2.0)</f>
        <v>2</v>
      </c>
      <c r="P893" s="208">
        <f>IFERROR(__xludf.DUMMYFUNCTION("""COMPUTED_VALUE"""),0.0)</f>
        <v>0</v>
      </c>
      <c r="Q893" s="276">
        <f>IFERROR(__xludf.DUMMYFUNCTION("""COMPUTED_VALUE"""),0.0013)</f>
        <v>0.0013</v>
      </c>
      <c r="R893" s="276">
        <f>IFERROR(__xludf.DUMMYFUNCTION("""COMPUTED_VALUE"""),0.0)</f>
        <v>0</v>
      </c>
      <c r="S893" s="208">
        <f>IFERROR(__xludf.DUMMYFUNCTION("""COMPUTED_VALUE"""),0.0)</f>
        <v>0</v>
      </c>
      <c r="T893" s="208">
        <f>IFERROR(__xludf.DUMMYFUNCTION("""COMPUTED_VALUE"""),0.0)</f>
        <v>0</v>
      </c>
      <c r="U893" s="275">
        <f>IFERROR(__xludf.DUMMYFUNCTION("""COMPUTED_VALUE"""),0.0)</f>
        <v>0</v>
      </c>
      <c r="V893" s="234" t="str">
        <f>IFERROR(__xludf.DUMMYFUNCTION("""COMPUTED_VALUE"""),"offline")</f>
        <v>offline</v>
      </c>
      <c r="W893" s="232" t="str">
        <f>IFERROR(__xludf.DUMMYFUNCTION("""COMPUTED_VALUE"""),"Sms")</f>
        <v>Sms</v>
      </c>
      <c r="X893" s="232" t="str">
        <f>IFERROR(__xludf.DUMMYFUNCTION("""COMPUTED_VALUE"""),"City Specific")</f>
        <v>City Specific</v>
      </c>
      <c r="Y893" s="232" t="str">
        <f>IFERROR(__xludf.DUMMYFUNCTION("""COMPUTED_VALUE"""),"05 June")</f>
        <v>05 June</v>
      </c>
      <c r="Z893" s="232" t="str">
        <f>IFERROR(__xludf.DUMMYFUNCTION("""COMPUTED_VALUE"""),"6a1d798ef20cd1a41c8ca594")</f>
        <v>6a1d798ef20cd1a41c8ca594</v>
      </c>
      <c r="AA893" s="277">
        <f>IFERROR(__xludf.DUMMYFUNCTION("""COMPUTED_VALUE"""),2.0)</f>
        <v>2</v>
      </c>
      <c r="AB893" s="277"/>
      <c r="AC893" s="277">
        <f>IFERROR(__xludf.DUMMYFUNCTION("""COMPUTED_VALUE"""),2.0)</f>
        <v>2</v>
      </c>
      <c r="AD893" s="277">
        <f>IFERROR(__xludf.DUMMYFUNCTION("""COMPUTED_VALUE"""),8395.0)</f>
        <v>8395</v>
      </c>
      <c r="AE893" s="277"/>
      <c r="AF893" s="277">
        <f>IFERROR(__xludf.DUMMYFUNCTION("""COMPUTED_VALUE"""),8395.0)</f>
        <v>8395</v>
      </c>
      <c r="AG893" s="208"/>
      <c r="AH893" s="208"/>
      <c r="AI893" s="208"/>
      <c r="AJ893" s="208"/>
      <c r="AK893" s="208"/>
    </row>
    <row r="894" hidden="1">
      <c r="A894" s="288">
        <f>IFERROR(__xludf.DUMMYFUNCTION("""COMPUTED_VALUE"""),46178.0)</f>
        <v>46178</v>
      </c>
      <c r="B894" s="274">
        <f>IFERROR(__xludf.DUMMYFUNCTION("""COMPUTED_VALUE"""),0.5)</f>
        <v>0.5</v>
      </c>
      <c r="C894" s="208" t="str">
        <f>IFERROR(__xludf.DUMMYFUNCTION("""COMPUTED_VALUE"""),"Sms")</f>
        <v>Sms</v>
      </c>
      <c r="D894" s="208" t="str">
        <f>IFERROR(__xludf.DUMMYFUNCTION("""COMPUTED_VALUE"""),"Fallback campaign")</f>
        <v>Fallback campaign</v>
      </c>
      <c r="E894" s="208" t="str">
        <f>IFERROR(__xludf.DUMMYFUNCTION("""COMPUTED_VALUE"""),"BBW")</f>
        <v>BBW</v>
      </c>
      <c r="F894" s="208" t="str">
        <f>IFERROR(__xludf.DUMMYFUNCTION("""COMPUTED_VALUE"""),"B2G2 - June'26 - Entire Store")</f>
        <v>B2G2 - June'26 - Entire Store</v>
      </c>
      <c r="G894" s="208" t="str">
        <f>IFERROR(__xludf.DUMMYFUNCTION("""COMPUTED_VALUE"""),"bbw_smsfb_b2g2_5june_dormant_surat_offline")</f>
        <v>bbw_smsfb_b2g2_5june_dormant_surat_offline</v>
      </c>
      <c r="H894" s="232" t="str">
        <f>IFERROR(__xludf.DUMMYFUNCTION("""COMPUTED_VALUE"""),"BBW_OFF_Surat_Dorm")</f>
        <v>BBW_OFF_Surat_Dorm</v>
      </c>
      <c r="I894" s="233" t="str">
        <f>IFERROR(__xludf.DUMMYFUNCTION("""COMPUTED_VALUE"""),"WA Undelivered")</f>
        <v>WA Undelivered</v>
      </c>
      <c r="J894" s="275">
        <f>IFERROR(__xludf.DUMMYFUNCTION("""COMPUTED_VALUE"""),1899.0)</f>
        <v>1899</v>
      </c>
      <c r="K894" s="275">
        <f>IFERROR(__xludf.DUMMYFUNCTION("""COMPUTED_VALUE"""),1073.0)</f>
        <v>1073</v>
      </c>
      <c r="L894" s="276">
        <f>IFERROR(__xludf.DUMMYFUNCTION("""COMPUTED_VALUE"""),0.565)</f>
        <v>0.565</v>
      </c>
      <c r="M894" s="275">
        <f>IFERROR(__xludf.DUMMYFUNCTION("""COMPUTED_VALUE"""),0.0)</f>
        <v>0</v>
      </c>
      <c r="N894" s="276">
        <f>IFERROR(__xludf.DUMMYFUNCTION("""COMPUTED_VALUE"""),0.0)</f>
        <v>0</v>
      </c>
      <c r="O894" s="208">
        <f>IFERROR(__xludf.DUMMYFUNCTION("""COMPUTED_VALUE"""),1.0)</f>
        <v>1</v>
      </c>
      <c r="P894" s="208">
        <f>IFERROR(__xludf.DUMMYFUNCTION("""COMPUTED_VALUE"""),0.0)</f>
        <v>0</v>
      </c>
      <c r="Q894" s="276">
        <f>IFERROR(__xludf.DUMMYFUNCTION("""COMPUTED_VALUE"""),9.0E-4)</f>
        <v>0.0009</v>
      </c>
      <c r="R894" s="276">
        <f>IFERROR(__xludf.DUMMYFUNCTION("""COMPUTED_VALUE"""),0.0)</f>
        <v>0</v>
      </c>
      <c r="S894" s="208">
        <f>IFERROR(__xludf.DUMMYFUNCTION("""COMPUTED_VALUE"""),0.0)</f>
        <v>0</v>
      </c>
      <c r="T894" s="208">
        <f>IFERROR(__xludf.DUMMYFUNCTION("""COMPUTED_VALUE"""),0.0)</f>
        <v>0</v>
      </c>
      <c r="U894" s="275">
        <f>IFERROR(__xludf.DUMMYFUNCTION("""COMPUTED_VALUE"""),0.0)</f>
        <v>0</v>
      </c>
      <c r="V894" s="234" t="str">
        <f>IFERROR(__xludf.DUMMYFUNCTION("""COMPUTED_VALUE"""),"offline")</f>
        <v>offline</v>
      </c>
      <c r="W894" s="232" t="str">
        <f>IFERROR(__xludf.DUMMYFUNCTION("""COMPUTED_VALUE"""),"Sms")</f>
        <v>Sms</v>
      </c>
      <c r="X894" s="232" t="str">
        <f>IFERROR(__xludf.DUMMYFUNCTION("""COMPUTED_VALUE"""),"City Specific")</f>
        <v>City Specific</v>
      </c>
      <c r="Y894" s="232" t="str">
        <f>IFERROR(__xludf.DUMMYFUNCTION("""COMPUTED_VALUE"""),"05 June")</f>
        <v>05 June</v>
      </c>
      <c r="Z894" s="232" t="str">
        <f>IFERROR(__xludf.DUMMYFUNCTION("""COMPUTED_VALUE"""),"6a1d79c8d090927829b06ba4")</f>
        <v>6a1d79c8d090927829b06ba4</v>
      </c>
      <c r="AA894" s="277">
        <f>IFERROR(__xludf.DUMMYFUNCTION("""COMPUTED_VALUE"""),1.0)</f>
        <v>1</v>
      </c>
      <c r="AB894" s="277"/>
      <c r="AC894" s="277">
        <f>IFERROR(__xludf.DUMMYFUNCTION("""COMPUTED_VALUE"""),1.0)</f>
        <v>1</v>
      </c>
      <c r="AD894" s="277">
        <f>IFERROR(__xludf.DUMMYFUNCTION("""COMPUTED_VALUE"""),17091.0)</f>
        <v>17091</v>
      </c>
      <c r="AE894" s="277"/>
      <c r="AF894" s="277">
        <f>IFERROR(__xludf.DUMMYFUNCTION("""COMPUTED_VALUE"""),17091.0)</f>
        <v>17091</v>
      </c>
      <c r="AG894" s="208"/>
      <c r="AH894" s="208"/>
      <c r="AI894" s="208"/>
      <c r="AJ894" s="208"/>
      <c r="AK894" s="208"/>
    </row>
    <row r="895" hidden="1">
      <c r="A895" s="288">
        <f>IFERROR(__xludf.DUMMYFUNCTION("""COMPUTED_VALUE"""),46178.0)</f>
        <v>46178</v>
      </c>
      <c r="B895" s="274">
        <f>IFERROR(__xludf.DUMMYFUNCTION("""COMPUTED_VALUE"""),0.5)</f>
        <v>0.5</v>
      </c>
      <c r="C895" s="208" t="str">
        <f>IFERROR(__xludf.DUMMYFUNCTION("""COMPUTED_VALUE"""),"Sms")</f>
        <v>Sms</v>
      </c>
      <c r="D895" s="208" t="str">
        <f>IFERROR(__xludf.DUMMYFUNCTION("""COMPUTED_VALUE"""),"Fallback campaign")</f>
        <v>Fallback campaign</v>
      </c>
      <c r="E895" s="208" t="str">
        <f>IFERROR(__xludf.DUMMYFUNCTION("""COMPUTED_VALUE"""),"BBW")</f>
        <v>BBW</v>
      </c>
      <c r="F895" s="208" t="str">
        <f>IFERROR(__xludf.DUMMYFUNCTION("""COMPUTED_VALUE"""),"B2G2 - June'26 - Entire Store")</f>
        <v>B2G2 - June'26 - Entire Store</v>
      </c>
      <c r="G895" s="208" t="str">
        <f>IFERROR(__xludf.DUMMYFUNCTION("""COMPUTED_VALUE"""),"bbw_smsfb_b2g2_5june_dormant_vad_offline")</f>
        <v>bbw_smsfb_b2g2_5june_dormant_vad_offline</v>
      </c>
      <c r="H895" s="232" t="str">
        <f>IFERROR(__xludf.DUMMYFUNCTION("""COMPUTED_VALUE"""),"BBW_OFF_Vadodara_Dorm")</f>
        <v>BBW_OFF_Vadodara_Dorm</v>
      </c>
      <c r="I895" s="233" t="str">
        <f>IFERROR(__xludf.DUMMYFUNCTION("""COMPUTED_VALUE"""),"WA Undelivered")</f>
        <v>WA Undelivered</v>
      </c>
      <c r="J895" s="275">
        <f>IFERROR(__xludf.DUMMYFUNCTION("""COMPUTED_VALUE"""),2463.0)</f>
        <v>2463</v>
      </c>
      <c r="K895" s="275">
        <f>IFERROR(__xludf.DUMMYFUNCTION("""COMPUTED_VALUE"""),1432.0)</f>
        <v>1432</v>
      </c>
      <c r="L895" s="276">
        <f>IFERROR(__xludf.DUMMYFUNCTION("""COMPUTED_VALUE"""),0.5814)</f>
        <v>0.5814</v>
      </c>
      <c r="M895" s="275">
        <f>IFERROR(__xludf.DUMMYFUNCTION("""COMPUTED_VALUE"""),0.0)</f>
        <v>0</v>
      </c>
      <c r="N895" s="276">
        <f>IFERROR(__xludf.DUMMYFUNCTION("""COMPUTED_VALUE"""),0.0)</f>
        <v>0</v>
      </c>
      <c r="O895" s="208">
        <f>IFERROR(__xludf.DUMMYFUNCTION("""COMPUTED_VALUE"""),0.0)</f>
        <v>0</v>
      </c>
      <c r="P895" s="208">
        <f>IFERROR(__xludf.DUMMYFUNCTION("""COMPUTED_VALUE"""),0.0)</f>
        <v>0</v>
      </c>
      <c r="Q895" s="276">
        <f>IFERROR(__xludf.DUMMYFUNCTION("""COMPUTED_VALUE"""),0.0)</f>
        <v>0</v>
      </c>
      <c r="R895" s="276">
        <f>IFERROR(__xludf.DUMMYFUNCTION("""COMPUTED_VALUE"""),0.0)</f>
        <v>0</v>
      </c>
      <c r="S895" s="208">
        <f>IFERROR(__xludf.DUMMYFUNCTION("""COMPUTED_VALUE"""),0.0)</f>
        <v>0</v>
      </c>
      <c r="T895" s="208">
        <f>IFERROR(__xludf.DUMMYFUNCTION("""COMPUTED_VALUE"""),0.0)</f>
        <v>0</v>
      </c>
      <c r="U895" s="275">
        <f>IFERROR(__xludf.DUMMYFUNCTION("""COMPUTED_VALUE"""),0.0)</f>
        <v>0</v>
      </c>
      <c r="V895" s="234" t="str">
        <f>IFERROR(__xludf.DUMMYFUNCTION("""COMPUTED_VALUE"""),"offline")</f>
        <v>offline</v>
      </c>
      <c r="W895" s="232" t="str">
        <f>IFERROR(__xludf.DUMMYFUNCTION("""COMPUTED_VALUE"""),"Sms")</f>
        <v>Sms</v>
      </c>
      <c r="X895" s="232" t="str">
        <f>IFERROR(__xludf.DUMMYFUNCTION("""COMPUTED_VALUE"""),"City Specific")</f>
        <v>City Specific</v>
      </c>
      <c r="Y895" s="232" t="str">
        <f>IFERROR(__xludf.DUMMYFUNCTION("""COMPUTED_VALUE"""),"05 June")</f>
        <v>05 June</v>
      </c>
      <c r="Z895" s="232" t="str">
        <f>IFERROR(__xludf.DUMMYFUNCTION("""COMPUTED_VALUE"""),"6a1d7a6280b39c850ec43e66")</f>
        <v>6a1d7a6280b39c850ec43e66</v>
      </c>
      <c r="AA895" s="277">
        <f>IFERROR(__xludf.DUMMYFUNCTION("""COMPUTED_VALUE"""),1.0)</f>
        <v>1</v>
      </c>
      <c r="AB895" s="277"/>
      <c r="AC895" s="277">
        <f>IFERROR(__xludf.DUMMYFUNCTION("""COMPUTED_VALUE"""),1.0)</f>
        <v>1</v>
      </c>
      <c r="AD895" s="277">
        <f>IFERROR(__xludf.DUMMYFUNCTION("""COMPUTED_VALUE"""),4598.0)</f>
        <v>4598</v>
      </c>
      <c r="AE895" s="277"/>
      <c r="AF895" s="277">
        <f>IFERROR(__xludf.DUMMYFUNCTION("""COMPUTED_VALUE"""),4598.0)</f>
        <v>4598</v>
      </c>
      <c r="AG895" s="208"/>
      <c r="AH895" s="208"/>
      <c r="AI895" s="208"/>
      <c r="AJ895" s="208"/>
      <c r="AK895" s="208"/>
    </row>
    <row r="896" hidden="1">
      <c r="A896" s="288">
        <f>IFERROR(__xludf.DUMMYFUNCTION("""COMPUTED_VALUE"""),46178.0)</f>
        <v>46178</v>
      </c>
      <c r="B896" s="274">
        <f>IFERROR(__xludf.DUMMYFUNCTION("""COMPUTED_VALUE"""),0.5)</f>
        <v>0.5</v>
      </c>
      <c r="C896" s="208" t="str">
        <f>IFERROR(__xludf.DUMMYFUNCTION("""COMPUTED_VALUE"""),"Sms")</f>
        <v>Sms</v>
      </c>
      <c r="D896" s="208" t="str">
        <f>IFERROR(__xludf.DUMMYFUNCTION("""COMPUTED_VALUE"""),"Fallback campaign")</f>
        <v>Fallback campaign</v>
      </c>
      <c r="E896" s="208" t="str">
        <f>IFERROR(__xludf.DUMMYFUNCTION("""COMPUTED_VALUE"""),"BBW")</f>
        <v>BBW</v>
      </c>
      <c r="F896" s="208" t="str">
        <f>IFERROR(__xludf.DUMMYFUNCTION("""COMPUTED_VALUE"""),"B2G2 - June'26 - Entire Store")</f>
        <v>B2G2 - June'26 - Entire Store</v>
      </c>
      <c r="G896" s="208" t="str">
        <f>IFERROR(__xludf.DUMMYFUNCTION("""COMPUTED_VALUE"""),"bbw_smsfb_b2g2_5june_active_kochi_offline")</f>
        <v>bbw_smsfb_b2g2_5june_active_kochi_offline</v>
      </c>
      <c r="H896" s="232" t="str">
        <f>IFERROR(__xludf.DUMMYFUNCTION("""COMPUTED_VALUE"""),"BBW_OFF_KOCHI_Active")</f>
        <v>BBW_OFF_KOCHI_Active</v>
      </c>
      <c r="I896" s="233" t="str">
        <f>IFERROR(__xludf.DUMMYFUNCTION("""COMPUTED_VALUE"""),"WA Undelivered")</f>
        <v>WA Undelivered</v>
      </c>
      <c r="J896" s="275">
        <f>IFERROR(__xludf.DUMMYFUNCTION("""COMPUTED_VALUE"""),1670.0)</f>
        <v>1670</v>
      </c>
      <c r="K896" s="275">
        <f>IFERROR(__xludf.DUMMYFUNCTION("""COMPUTED_VALUE"""),1119.0)</f>
        <v>1119</v>
      </c>
      <c r="L896" s="276">
        <f>IFERROR(__xludf.DUMMYFUNCTION("""COMPUTED_VALUE"""),0.6701)</f>
        <v>0.6701</v>
      </c>
      <c r="M896" s="275">
        <f>IFERROR(__xludf.DUMMYFUNCTION("""COMPUTED_VALUE"""),0.0)</f>
        <v>0</v>
      </c>
      <c r="N896" s="276">
        <f>IFERROR(__xludf.DUMMYFUNCTION("""COMPUTED_VALUE"""),0.0)</f>
        <v>0</v>
      </c>
      <c r="O896" s="208">
        <f>IFERROR(__xludf.DUMMYFUNCTION("""COMPUTED_VALUE"""),1.0)</f>
        <v>1</v>
      </c>
      <c r="P896" s="208">
        <f>IFERROR(__xludf.DUMMYFUNCTION("""COMPUTED_VALUE"""),0.0)</f>
        <v>0</v>
      </c>
      <c r="Q896" s="276">
        <f>IFERROR(__xludf.DUMMYFUNCTION("""COMPUTED_VALUE"""),9.0E-4)</f>
        <v>0.0009</v>
      </c>
      <c r="R896" s="276">
        <f>IFERROR(__xludf.DUMMYFUNCTION("""COMPUTED_VALUE"""),0.0)</f>
        <v>0</v>
      </c>
      <c r="S896" s="208">
        <f>IFERROR(__xludf.DUMMYFUNCTION("""COMPUTED_VALUE"""),0.0)</f>
        <v>0</v>
      </c>
      <c r="T896" s="208">
        <f>IFERROR(__xludf.DUMMYFUNCTION("""COMPUTED_VALUE"""),0.0)</f>
        <v>0</v>
      </c>
      <c r="U896" s="275">
        <f>IFERROR(__xludf.DUMMYFUNCTION("""COMPUTED_VALUE"""),0.0)</f>
        <v>0</v>
      </c>
      <c r="V896" s="234" t="str">
        <f>IFERROR(__xludf.DUMMYFUNCTION("""COMPUTED_VALUE"""),"offline")</f>
        <v>offline</v>
      </c>
      <c r="W896" s="232" t="str">
        <f>IFERROR(__xludf.DUMMYFUNCTION("""COMPUTED_VALUE"""),"Sms")</f>
        <v>Sms</v>
      </c>
      <c r="X896" s="232" t="str">
        <f>IFERROR(__xludf.DUMMYFUNCTION("""COMPUTED_VALUE"""),"City Specific")</f>
        <v>City Specific</v>
      </c>
      <c r="Y896" s="232" t="str">
        <f>IFERROR(__xludf.DUMMYFUNCTION("""COMPUTED_VALUE"""),"5 June")</f>
        <v>5 June</v>
      </c>
      <c r="Z896" s="232" t="str">
        <f>IFERROR(__xludf.DUMMYFUNCTION("""COMPUTED_VALUE"""),"6a1d7d9b8b36476505c88603")</f>
        <v>6a1d7d9b8b36476505c88603</v>
      </c>
      <c r="AA896" s="277">
        <f>IFERROR(__xludf.DUMMYFUNCTION("""COMPUTED_VALUE"""),0.0)</f>
        <v>0</v>
      </c>
      <c r="AB896" s="277"/>
      <c r="AC896" s="277">
        <f>IFERROR(__xludf.DUMMYFUNCTION("""COMPUTED_VALUE"""),0.0)</f>
        <v>0</v>
      </c>
      <c r="AD896" s="277">
        <f>IFERROR(__xludf.DUMMYFUNCTION("""COMPUTED_VALUE"""),0.0)</f>
        <v>0</v>
      </c>
      <c r="AE896" s="277"/>
      <c r="AF896" s="277">
        <f>IFERROR(__xludf.DUMMYFUNCTION("""COMPUTED_VALUE"""),0.0)</f>
        <v>0</v>
      </c>
      <c r="AG896" s="208"/>
      <c r="AH896" s="208"/>
      <c r="AI896" s="208"/>
      <c r="AJ896" s="208"/>
      <c r="AK896" s="208"/>
    </row>
    <row r="897" hidden="1">
      <c r="A897" s="288">
        <f>IFERROR(__xludf.DUMMYFUNCTION("""COMPUTED_VALUE"""),46178.0)</f>
        <v>46178</v>
      </c>
      <c r="B897" s="274">
        <f>IFERROR(__xludf.DUMMYFUNCTION("""COMPUTED_VALUE"""),0.5)</f>
        <v>0.5</v>
      </c>
      <c r="C897" s="208" t="str">
        <f>IFERROR(__xludf.DUMMYFUNCTION("""COMPUTED_VALUE"""),"Sms")</f>
        <v>Sms</v>
      </c>
      <c r="D897" s="208" t="str">
        <f>IFERROR(__xludf.DUMMYFUNCTION("""COMPUTED_VALUE"""),"Fallback campaign")</f>
        <v>Fallback campaign</v>
      </c>
      <c r="E897" s="208" t="str">
        <f>IFERROR(__xludf.DUMMYFUNCTION("""COMPUTED_VALUE"""),"BBW")</f>
        <v>BBW</v>
      </c>
      <c r="F897" s="208" t="str">
        <f>IFERROR(__xludf.DUMMYFUNCTION("""COMPUTED_VALUE"""),"B2G2 - June'26 - Entire Store")</f>
        <v>B2G2 - June'26 - Entire Store</v>
      </c>
      <c r="G897" s="208" t="str">
        <f>IFERROR(__xludf.DUMMYFUNCTION("""COMPUTED_VALUE"""),"bbw_smsfb_b2g2_5june_active_surat_offline")</f>
        <v>bbw_smsfb_b2g2_5june_active_surat_offline</v>
      </c>
      <c r="H897" s="232" t="str">
        <f>IFERROR(__xludf.DUMMYFUNCTION("""COMPUTED_VALUE"""),"BBW_OFF_Surat_Active")</f>
        <v>BBW_OFF_Surat_Active</v>
      </c>
      <c r="I897" s="233" t="str">
        <f>IFERROR(__xludf.DUMMYFUNCTION("""COMPUTED_VALUE"""),"WA Undelivered")</f>
        <v>WA Undelivered</v>
      </c>
      <c r="J897" s="275">
        <f>IFERROR(__xludf.DUMMYFUNCTION("""COMPUTED_VALUE"""),561.0)</f>
        <v>561</v>
      </c>
      <c r="K897" s="275">
        <f>IFERROR(__xludf.DUMMYFUNCTION("""COMPUTED_VALUE"""),312.0)</f>
        <v>312</v>
      </c>
      <c r="L897" s="276">
        <f>IFERROR(__xludf.DUMMYFUNCTION("""COMPUTED_VALUE"""),0.5561)</f>
        <v>0.5561</v>
      </c>
      <c r="M897" s="275">
        <f>IFERROR(__xludf.DUMMYFUNCTION("""COMPUTED_VALUE"""),0.0)</f>
        <v>0</v>
      </c>
      <c r="N897" s="276">
        <f>IFERROR(__xludf.DUMMYFUNCTION("""COMPUTED_VALUE"""),0.0)</f>
        <v>0</v>
      </c>
      <c r="O897" s="208">
        <f>IFERROR(__xludf.DUMMYFUNCTION("""COMPUTED_VALUE"""),0.0)</f>
        <v>0</v>
      </c>
      <c r="P897" s="208">
        <f>IFERROR(__xludf.DUMMYFUNCTION("""COMPUTED_VALUE"""),0.0)</f>
        <v>0</v>
      </c>
      <c r="Q897" s="276">
        <f>IFERROR(__xludf.DUMMYFUNCTION("""COMPUTED_VALUE"""),0.0)</f>
        <v>0</v>
      </c>
      <c r="R897" s="276">
        <f>IFERROR(__xludf.DUMMYFUNCTION("""COMPUTED_VALUE"""),0.0)</f>
        <v>0</v>
      </c>
      <c r="S897" s="208">
        <f>IFERROR(__xludf.DUMMYFUNCTION("""COMPUTED_VALUE"""),0.0)</f>
        <v>0</v>
      </c>
      <c r="T897" s="208">
        <f>IFERROR(__xludf.DUMMYFUNCTION("""COMPUTED_VALUE"""),0.0)</f>
        <v>0</v>
      </c>
      <c r="U897" s="275">
        <f>IFERROR(__xludf.DUMMYFUNCTION("""COMPUTED_VALUE"""),0.0)</f>
        <v>0</v>
      </c>
      <c r="V897" s="234" t="str">
        <f>IFERROR(__xludf.DUMMYFUNCTION("""COMPUTED_VALUE"""),"offline")</f>
        <v>offline</v>
      </c>
      <c r="W897" s="232" t="str">
        <f>IFERROR(__xludf.DUMMYFUNCTION("""COMPUTED_VALUE"""),"Sms")</f>
        <v>Sms</v>
      </c>
      <c r="X897" s="232" t="str">
        <f>IFERROR(__xludf.DUMMYFUNCTION("""COMPUTED_VALUE"""),"City Specific")</f>
        <v>City Specific</v>
      </c>
      <c r="Y897" s="232" t="str">
        <f>IFERROR(__xludf.DUMMYFUNCTION("""COMPUTED_VALUE"""),"5 June")</f>
        <v>5 June</v>
      </c>
      <c r="Z897" s="232" t="str">
        <f>IFERROR(__xludf.DUMMYFUNCTION("""COMPUTED_VALUE"""),"6a1d7dbd9b5b5ffe21c8125a")</f>
        <v>6a1d7dbd9b5b5ffe21c8125a</v>
      </c>
      <c r="AA897" s="277">
        <f>IFERROR(__xludf.DUMMYFUNCTION("""COMPUTED_VALUE"""),0.0)</f>
        <v>0</v>
      </c>
      <c r="AB897" s="277"/>
      <c r="AC897" s="277">
        <f>IFERROR(__xludf.DUMMYFUNCTION("""COMPUTED_VALUE"""),0.0)</f>
        <v>0</v>
      </c>
      <c r="AD897" s="277">
        <f>IFERROR(__xludf.DUMMYFUNCTION("""COMPUTED_VALUE"""),0.0)</f>
        <v>0</v>
      </c>
      <c r="AE897" s="277"/>
      <c r="AF897" s="277">
        <f>IFERROR(__xludf.DUMMYFUNCTION("""COMPUTED_VALUE"""),0.0)</f>
        <v>0</v>
      </c>
      <c r="AG897" s="208"/>
      <c r="AH897" s="208"/>
      <c r="AI897" s="208"/>
      <c r="AJ897" s="208"/>
      <c r="AK897" s="208"/>
    </row>
    <row r="898" hidden="1">
      <c r="A898" s="288">
        <f>IFERROR(__xludf.DUMMYFUNCTION("""COMPUTED_VALUE"""),46178.0)</f>
        <v>46178</v>
      </c>
      <c r="B898" s="274">
        <f>IFERROR(__xludf.DUMMYFUNCTION("""COMPUTED_VALUE"""),0.5)</f>
        <v>0.5</v>
      </c>
      <c r="C898" s="208" t="str">
        <f>IFERROR(__xludf.DUMMYFUNCTION("""COMPUTED_VALUE"""),"Sms")</f>
        <v>Sms</v>
      </c>
      <c r="D898" s="208" t="str">
        <f>IFERROR(__xludf.DUMMYFUNCTION("""COMPUTED_VALUE"""),"Fallback campaign")</f>
        <v>Fallback campaign</v>
      </c>
      <c r="E898" s="208" t="str">
        <f>IFERROR(__xludf.DUMMYFUNCTION("""COMPUTED_VALUE"""),"BBW")</f>
        <v>BBW</v>
      </c>
      <c r="F898" s="208" t="str">
        <f>IFERROR(__xludf.DUMMYFUNCTION("""COMPUTED_VALUE"""),"B2G2 - June'26 - Entire Store")</f>
        <v>B2G2 - June'26 - Entire Store</v>
      </c>
      <c r="G898" s="208" t="str">
        <f>IFERROR(__xludf.DUMMYFUNCTION("""COMPUTED_VALUE"""),"bbw_smsfb_b2g2_5june_dormant_del_offline")</f>
        <v>bbw_smsfb_b2g2_5june_dormant_del_offline</v>
      </c>
      <c r="H898" s="232" t="str">
        <f>IFERROR(__xludf.DUMMYFUNCTION("""COMPUTED_VALUE"""),"BBW_OFF_DEL_Dorm")</f>
        <v>BBW_OFF_DEL_Dorm</v>
      </c>
      <c r="I898" s="233" t="str">
        <f>IFERROR(__xludf.DUMMYFUNCTION("""COMPUTED_VALUE"""),"WA Undelivered")</f>
        <v>WA Undelivered</v>
      </c>
      <c r="J898" s="275">
        <f>IFERROR(__xludf.DUMMYFUNCTION("""COMPUTED_VALUE"""),15796.0)</f>
        <v>15796</v>
      </c>
      <c r="K898" s="275">
        <f>IFERROR(__xludf.DUMMYFUNCTION("""COMPUTED_VALUE"""),8540.0)</f>
        <v>8540</v>
      </c>
      <c r="L898" s="276">
        <f>IFERROR(__xludf.DUMMYFUNCTION("""COMPUTED_VALUE"""),0.5406)</f>
        <v>0.5406</v>
      </c>
      <c r="M898" s="275">
        <f>IFERROR(__xludf.DUMMYFUNCTION("""COMPUTED_VALUE"""),0.0)</f>
        <v>0</v>
      </c>
      <c r="N898" s="276">
        <f>IFERROR(__xludf.DUMMYFUNCTION("""COMPUTED_VALUE"""),0.0)</f>
        <v>0</v>
      </c>
      <c r="O898" s="208">
        <f>IFERROR(__xludf.DUMMYFUNCTION("""COMPUTED_VALUE"""),14.0)</f>
        <v>14</v>
      </c>
      <c r="P898" s="208">
        <f>IFERROR(__xludf.DUMMYFUNCTION("""COMPUTED_VALUE"""),0.0)</f>
        <v>0</v>
      </c>
      <c r="Q898" s="276">
        <f>IFERROR(__xludf.DUMMYFUNCTION("""COMPUTED_VALUE"""),0.0016)</f>
        <v>0.0016</v>
      </c>
      <c r="R898" s="276">
        <f>IFERROR(__xludf.DUMMYFUNCTION("""COMPUTED_VALUE"""),0.0)</f>
        <v>0</v>
      </c>
      <c r="S898" s="208">
        <f>IFERROR(__xludf.DUMMYFUNCTION("""COMPUTED_VALUE"""),0.0)</f>
        <v>0</v>
      </c>
      <c r="T898" s="208">
        <f>IFERROR(__xludf.DUMMYFUNCTION("""COMPUTED_VALUE"""),1.0)</f>
        <v>1</v>
      </c>
      <c r="U898" s="275">
        <f>IFERROR(__xludf.DUMMYFUNCTION("""COMPUTED_VALUE"""),0.0)</f>
        <v>0</v>
      </c>
      <c r="V898" s="234" t="str">
        <f>IFERROR(__xludf.DUMMYFUNCTION("""COMPUTED_VALUE"""),"offline")</f>
        <v>offline</v>
      </c>
      <c r="W898" s="232" t="str">
        <f>IFERROR(__xludf.DUMMYFUNCTION("""COMPUTED_VALUE"""),"Sms")</f>
        <v>Sms</v>
      </c>
      <c r="X898" s="232" t="str">
        <f>IFERROR(__xludf.DUMMYFUNCTION("""COMPUTED_VALUE"""),"City Specific")</f>
        <v>City Specific</v>
      </c>
      <c r="Y898" s="232" t="str">
        <f>IFERROR(__xludf.DUMMYFUNCTION("""COMPUTED_VALUE"""),"05 June")</f>
        <v>05 June</v>
      </c>
      <c r="Z898" s="232" t="str">
        <f>IFERROR(__xludf.DUMMYFUNCTION("""COMPUTED_VALUE"""),"6a1d7dfe8081f6b67046368b")</f>
        <v>6a1d7dfe8081f6b67046368b</v>
      </c>
      <c r="AA898" s="277">
        <f>IFERROR(__xludf.DUMMYFUNCTION("""COMPUTED_VALUE"""),11.0)</f>
        <v>11</v>
      </c>
      <c r="AB898" s="277"/>
      <c r="AC898" s="277">
        <f>IFERROR(__xludf.DUMMYFUNCTION("""COMPUTED_VALUE"""),11.0)</f>
        <v>11</v>
      </c>
      <c r="AD898" s="277">
        <f>IFERROR(__xludf.DUMMYFUNCTION("""COMPUTED_VALUE"""),49622.0)</f>
        <v>49622</v>
      </c>
      <c r="AE898" s="277"/>
      <c r="AF898" s="277">
        <f>IFERROR(__xludf.DUMMYFUNCTION("""COMPUTED_VALUE"""),49622.0)</f>
        <v>49622</v>
      </c>
      <c r="AG898" s="208"/>
      <c r="AH898" s="208"/>
      <c r="AI898" s="208"/>
      <c r="AJ898" s="208"/>
      <c r="AK898" s="208"/>
    </row>
    <row r="899" hidden="1">
      <c r="A899" s="288">
        <f>IFERROR(__xludf.DUMMYFUNCTION("""COMPUTED_VALUE"""),46178.0)</f>
        <v>46178</v>
      </c>
      <c r="B899" s="274">
        <f>IFERROR(__xludf.DUMMYFUNCTION("""COMPUTED_VALUE"""),0.5)</f>
        <v>0.5</v>
      </c>
      <c r="C899" s="208" t="str">
        <f>IFERROR(__xludf.DUMMYFUNCTION("""COMPUTED_VALUE"""),"Sms")</f>
        <v>Sms</v>
      </c>
      <c r="D899" s="208" t="str">
        <f>IFERROR(__xludf.DUMMYFUNCTION("""COMPUTED_VALUE"""),"Fallback campaign")</f>
        <v>Fallback campaign</v>
      </c>
      <c r="E899" s="208" t="str">
        <f>IFERROR(__xludf.DUMMYFUNCTION("""COMPUTED_VALUE"""),"BBW")</f>
        <v>BBW</v>
      </c>
      <c r="F899" s="208" t="str">
        <f>IFERROR(__xludf.DUMMYFUNCTION("""COMPUTED_VALUE"""),"B2G2 - June'26 - Entire Store")</f>
        <v>B2G2 - June'26 - Entire Store</v>
      </c>
      <c r="G899" s="208" t="str">
        <f>IFERROR(__xludf.DUMMYFUNCTION("""COMPUTED_VALUE"""),"bbw_smsfb_b2g2_5june_dormant_chenn_offline")</f>
        <v>bbw_smsfb_b2g2_5june_dormant_chenn_offline</v>
      </c>
      <c r="H899" s="232" t="str">
        <f>IFERROR(__xludf.DUMMYFUNCTION("""COMPUTED_VALUE"""),"BBW_OFF_Chennai_Dorm")</f>
        <v>BBW_OFF_Chennai_Dorm</v>
      </c>
      <c r="I899" s="233" t="str">
        <f>IFERROR(__xludf.DUMMYFUNCTION("""COMPUTED_VALUE"""),"WA Undelivered")</f>
        <v>WA Undelivered</v>
      </c>
      <c r="J899" s="275">
        <f>IFERROR(__xludf.DUMMYFUNCTION("""COMPUTED_VALUE"""),6024.0)</f>
        <v>6024</v>
      </c>
      <c r="K899" s="275">
        <f>IFERROR(__xludf.DUMMYFUNCTION("""COMPUTED_VALUE"""),3823.0)</f>
        <v>3823</v>
      </c>
      <c r="L899" s="276">
        <f>IFERROR(__xludf.DUMMYFUNCTION("""COMPUTED_VALUE"""),0.6346)</f>
        <v>0.6346</v>
      </c>
      <c r="M899" s="275">
        <f>IFERROR(__xludf.DUMMYFUNCTION("""COMPUTED_VALUE"""),0.0)</f>
        <v>0</v>
      </c>
      <c r="N899" s="276">
        <f>IFERROR(__xludf.DUMMYFUNCTION("""COMPUTED_VALUE"""),0.0)</f>
        <v>0</v>
      </c>
      <c r="O899" s="208">
        <f>IFERROR(__xludf.DUMMYFUNCTION("""COMPUTED_VALUE"""),6.0)</f>
        <v>6</v>
      </c>
      <c r="P899" s="208">
        <f>IFERROR(__xludf.DUMMYFUNCTION("""COMPUTED_VALUE"""),0.0)</f>
        <v>0</v>
      </c>
      <c r="Q899" s="276">
        <f>IFERROR(__xludf.DUMMYFUNCTION("""COMPUTED_VALUE"""),0.0016)</f>
        <v>0.0016</v>
      </c>
      <c r="R899" s="276">
        <f>IFERROR(__xludf.DUMMYFUNCTION("""COMPUTED_VALUE"""),0.0)</f>
        <v>0</v>
      </c>
      <c r="S899" s="208">
        <f>IFERROR(__xludf.DUMMYFUNCTION("""COMPUTED_VALUE"""),0.0)</f>
        <v>0</v>
      </c>
      <c r="T899" s="208">
        <f>IFERROR(__xludf.DUMMYFUNCTION("""COMPUTED_VALUE"""),0.0)</f>
        <v>0</v>
      </c>
      <c r="U899" s="275">
        <f>IFERROR(__xludf.DUMMYFUNCTION("""COMPUTED_VALUE"""),0.0)</f>
        <v>0</v>
      </c>
      <c r="V899" s="234" t="str">
        <f>IFERROR(__xludf.DUMMYFUNCTION("""COMPUTED_VALUE"""),"offline")</f>
        <v>offline</v>
      </c>
      <c r="W899" s="232" t="str">
        <f>IFERROR(__xludf.DUMMYFUNCTION("""COMPUTED_VALUE"""),"Sms")</f>
        <v>Sms</v>
      </c>
      <c r="X899" s="232" t="str">
        <f>IFERROR(__xludf.DUMMYFUNCTION("""COMPUTED_VALUE"""),"City Specific")</f>
        <v>City Specific</v>
      </c>
      <c r="Y899" s="232" t="str">
        <f>IFERROR(__xludf.DUMMYFUNCTION("""COMPUTED_VALUE"""),"5 June")</f>
        <v>5 June</v>
      </c>
      <c r="Z899" s="232" t="str">
        <f>IFERROR(__xludf.DUMMYFUNCTION("""COMPUTED_VALUE"""),"6a1d7e233e6e7fc1fff85eb7")</f>
        <v>6a1d7e233e6e7fc1fff85eb7</v>
      </c>
      <c r="AA899" s="277">
        <f>IFERROR(__xludf.DUMMYFUNCTION("""COMPUTED_VALUE"""),2.0)</f>
        <v>2</v>
      </c>
      <c r="AB899" s="277"/>
      <c r="AC899" s="277">
        <f>IFERROR(__xludf.DUMMYFUNCTION("""COMPUTED_VALUE"""),2.0)</f>
        <v>2</v>
      </c>
      <c r="AD899" s="277">
        <f>IFERROR(__xludf.DUMMYFUNCTION("""COMPUTED_VALUE"""),9796.0)</f>
        <v>9796</v>
      </c>
      <c r="AE899" s="277"/>
      <c r="AF899" s="277">
        <f>IFERROR(__xludf.DUMMYFUNCTION("""COMPUTED_VALUE"""),9796.0)</f>
        <v>9796</v>
      </c>
      <c r="AG899" s="208"/>
      <c r="AH899" s="208"/>
      <c r="AI899" s="208"/>
      <c r="AJ899" s="208"/>
      <c r="AK899" s="208"/>
    </row>
    <row r="900" hidden="1">
      <c r="A900" s="288">
        <f>IFERROR(__xludf.DUMMYFUNCTION("""COMPUTED_VALUE"""),46178.0)</f>
        <v>46178</v>
      </c>
      <c r="B900" s="274">
        <f>IFERROR(__xludf.DUMMYFUNCTION("""COMPUTED_VALUE"""),0.5)</f>
        <v>0.5</v>
      </c>
      <c r="C900" s="208" t="str">
        <f>IFERROR(__xludf.DUMMYFUNCTION("""COMPUTED_VALUE"""),"Sms")</f>
        <v>Sms</v>
      </c>
      <c r="D900" s="208" t="str">
        <f>IFERROR(__xludf.DUMMYFUNCTION("""COMPUTED_VALUE"""),"Fallback campaign")</f>
        <v>Fallback campaign</v>
      </c>
      <c r="E900" s="208" t="str">
        <f>IFERROR(__xludf.DUMMYFUNCTION("""COMPUTED_VALUE"""),"BBW")</f>
        <v>BBW</v>
      </c>
      <c r="F900" s="208" t="str">
        <f>IFERROR(__xludf.DUMMYFUNCTION("""COMPUTED_VALUE"""),"B2G2 - June'26 - Entire Store")</f>
        <v>B2G2 - June'26 - Entire Store</v>
      </c>
      <c r="G900" s="208" t="str">
        <f>IFERROR(__xludf.DUMMYFUNCTION("""COMPUTED_VALUE"""),"bbw_smsfb_b2g2_5june_dormant_hyd_offline")</f>
        <v>bbw_smsfb_b2g2_5june_dormant_hyd_offline</v>
      </c>
      <c r="H900" s="232" t="str">
        <f>IFERROR(__xludf.DUMMYFUNCTION("""COMPUTED_VALUE"""),"BBW_OFF_HYD_Dorm")</f>
        <v>BBW_OFF_HYD_Dorm</v>
      </c>
      <c r="I900" s="233" t="str">
        <f>IFERROR(__xludf.DUMMYFUNCTION("""COMPUTED_VALUE"""),"WA Undelivered")</f>
        <v>WA Undelivered</v>
      </c>
      <c r="J900" s="275">
        <f>IFERROR(__xludf.DUMMYFUNCTION("""COMPUTED_VALUE"""),9119.0)</f>
        <v>9119</v>
      </c>
      <c r="K900" s="275">
        <f>IFERROR(__xludf.DUMMYFUNCTION("""COMPUTED_VALUE"""),5847.0)</f>
        <v>5847</v>
      </c>
      <c r="L900" s="276">
        <f>IFERROR(__xludf.DUMMYFUNCTION("""COMPUTED_VALUE"""),0.6412)</f>
        <v>0.6412</v>
      </c>
      <c r="M900" s="275">
        <f>IFERROR(__xludf.DUMMYFUNCTION("""COMPUTED_VALUE"""),0.0)</f>
        <v>0</v>
      </c>
      <c r="N900" s="276">
        <f>IFERROR(__xludf.DUMMYFUNCTION("""COMPUTED_VALUE"""),0.0)</f>
        <v>0</v>
      </c>
      <c r="O900" s="208">
        <f>IFERROR(__xludf.DUMMYFUNCTION("""COMPUTED_VALUE"""),7.0)</f>
        <v>7</v>
      </c>
      <c r="P900" s="208">
        <f>IFERROR(__xludf.DUMMYFUNCTION("""COMPUTED_VALUE"""),0.0)</f>
        <v>0</v>
      </c>
      <c r="Q900" s="276">
        <f>IFERROR(__xludf.DUMMYFUNCTION("""COMPUTED_VALUE"""),0.0012)</f>
        <v>0.0012</v>
      </c>
      <c r="R900" s="276">
        <f>IFERROR(__xludf.DUMMYFUNCTION("""COMPUTED_VALUE"""),0.0)</f>
        <v>0</v>
      </c>
      <c r="S900" s="208">
        <f>IFERROR(__xludf.DUMMYFUNCTION("""COMPUTED_VALUE"""),0.0)</f>
        <v>0</v>
      </c>
      <c r="T900" s="208">
        <f>IFERROR(__xludf.DUMMYFUNCTION("""COMPUTED_VALUE"""),0.0)</f>
        <v>0</v>
      </c>
      <c r="U900" s="275">
        <f>IFERROR(__xludf.DUMMYFUNCTION("""COMPUTED_VALUE"""),0.0)</f>
        <v>0</v>
      </c>
      <c r="V900" s="234" t="str">
        <f>IFERROR(__xludf.DUMMYFUNCTION("""COMPUTED_VALUE"""),"offline")</f>
        <v>offline</v>
      </c>
      <c r="W900" s="232" t="str">
        <f>IFERROR(__xludf.DUMMYFUNCTION("""COMPUTED_VALUE"""),"Sms")</f>
        <v>Sms</v>
      </c>
      <c r="X900" s="232" t="str">
        <f>IFERROR(__xludf.DUMMYFUNCTION("""COMPUTED_VALUE"""),"City Specific")</f>
        <v>City Specific</v>
      </c>
      <c r="Y900" s="232" t="str">
        <f>IFERROR(__xludf.DUMMYFUNCTION("""COMPUTED_VALUE"""),"5 June")</f>
        <v>5 June</v>
      </c>
      <c r="Z900" s="232" t="str">
        <f>IFERROR(__xludf.DUMMYFUNCTION("""COMPUTED_VALUE"""),"6a1d7e3ff981432cebac2405")</f>
        <v>6a1d7e3ff981432cebac2405</v>
      </c>
      <c r="AA900" s="277">
        <f>IFERROR(__xludf.DUMMYFUNCTION("""COMPUTED_VALUE"""),5.0)</f>
        <v>5</v>
      </c>
      <c r="AB900" s="277"/>
      <c r="AC900" s="277">
        <f>IFERROR(__xludf.DUMMYFUNCTION("""COMPUTED_VALUE"""),5.0)</f>
        <v>5</v>
      </c>
      <c r="AD900" s="277">
        <f>IFERROR(__xludf.DUMMYFUNCTION("""COMPUTED_VALUE"""),15290.0)</f>
        <v>15290</v>
      </c>
      <c r="AE900" s="277"/>
      <c r="AF900" s="277">
        <f>IFERROR(__xludf.DUMMYFUNCTION("""COMPUTED_VALUE"""),15290.0)</f>
        <v>15290</v>
      </c>
      <c r="AG900" s="208"/>
      <c r="AH900" s="208"/>
      <c r="AI900" s="208"/>
      <c r="AJ900" s="208"/>
      <c r="AK900" s="208"/>
    </row>
    <row r="901" hidden="1">
      <c r="A901" s="288">
        <f>IFERROR(__xludf.DUMMYFUNCTION("""COMPUTED_VALUE"""),46178.0)</f>
        <v>46178</v>
      </c>
      <c r="B901" s="274">
        <f>IFERROR(__xludf.DUMMYFUNCTION("""COMPUTED_VALUE"""),0.5)</f>
        <v>0.5</v>
      </c>
      <c r="C901" s="208" t="str">
        <f>IFERROR(__xludf.DUMMYFUNCTION("""COMPUTED_VALUE"""),"Sms")</f>
        <v>Sms</v>
      </c>
      <c r="D901" s="208" t="str">
        <f>IFERROR(__xludf.DUMMYFUNCTION("""COMPUTED_VALUE"""),"Fallback campaign")</f>
        <v>Fallback campaign</v>
      </c>
      <c r="E901" s="208" t="str">
        <f>IFERROR(__xludf.DUMMYFUNCTION("""COMPUTED_VALUE"""),"BBW")</f>
        <v>BBW</v>
      </c>
      <c r="F901" s="208" t="str">
        <f>IFERROR(__xludf.DUMMYFUNCTION("""COMPUTED_VALUE"""),"B2G2 - June'26 - Entire Store")</f>
        <v>B2G2 - June'26 - Entire Store</v>
      </c>
      <c r="G901" s="208" t="str">
        <f>IFERROR(__xludf.DUMMYFUNCTION("""COMPUTED_VALUE"""),"bbw_smsfb_b2g2_5june_dormant_chd_offline")</f>
        <v>bbw_smsfb_b2g2_5june_dormant_chd_offline</v>
      </c>
      <c r="H901" s="232" t="str">
        <f>IFERROR(__xludf.DUMMYFUNCTION("""COMPUTED_VALUE"""),"BBW_OFF_CHD_Dorm")</f>
        <v>BBW_OFF_CHD_Dorm</v>
      </c>
      <c r="I901" s="233" t="str">
        <f>IFERROR(__xludf.DUMMYFUNCTION("""COMPUTED_VALUE"""),"WA Undelivered")</f>
        <v>WA Undelivered</v>
      </c>
      <c r="J901" s="275">
        <f>IFERROR(__xludf.DUMMYFUNCTION("""COMPUTED_VALUE"""),6823.0)</f>
        <v>6823</v>
      </c>
      <c r="K901" s="275">
        <f>IFERROR(__xludf.DUMMYFUNCTION("""COMPUTED_VALUE"""),4421.0)</f>
        <v>4421</v>
      </c>
      <c r="L901" s="276">
        <f>IFERROR(__xludf.DUMMYFUNCTION("""COMPUTED_VALUE"""),0.648)</f>
        <v>0.648</v>
      </c>
      <c r="M901" s="275">
        <f>IFERROR(__xludf.DUMMYFUNCTION("""COMPUTED_VALUE"""),0.0)</f>
        <v>0</v>
      </c>
      <c r="N901" s="276">
        <f>IFERROR(__xludf.DUMMYFUNCTION("""COMPUTED_VALUE"""),0.0)</f>
        <v>0</v>
      </c>
      <c r="O901" s="208">
        <f>IFERROR(__xludf.DUMMYFUNCTION("""COMPUTED_VALUE"""),5.0)</f>
        <v>5</v>
      </c>
      <c r="P901" s="208">
        <f>IFERROR(__xludf.DUMMYFUNCTION("""COMPUTED_VALUE"""),0.0)</f>
        <v>0</v>
      </c>
      <c r="Q901" s="276">
        <f>IFERROR(__xludf.DUMMYFUNCTION("""COMPUTED_VALUE"""),0.0011)</f>
        <v>0.0011</v>
      </c>
      <c r="R901" s="276">
        <f>IFERROR(__xludf.DUMMYFUNCTION("""COMPUTED_VALUE"""),0.0)</f>
        <v>0</v>
      </c>
      <c r="S901" s="208">
        <f>IFERROR(__xludf.DUMMYFUNCTION("""COMPUTED_VALUE"""),0.0)</f>
        <v>0</v>
      </c>
      <c r="T901" s="208">
        <f>IFERROR(__xludf.DUMMYFUNCTION("""COMPUTED_VALUE"""),0.0)</f>
        <v>0</v>
      </c>
      <c r="U901" s="275">
        <f>IFERROR(__xludf.DUMMYFUNCTION("""COMPUTED_VALUE"""),0.0)</f>
        <v>0</v>
      </c>
      <c r="V901" s="234" t="str">
        <f>IFERROR(__xludf.DUMMYFUNCTION("""COMPUTED_VALUE"""),"offline")</f>
        <v>offline</v>
      </c>
      <c r="W901" s="232" t="str">
        <f>IFERROR(__xludf.DUMMYFUNCTION("""COMPUTED_VALUE"""),"Sms")</f>
        <v>Sms</v>
      </c>
      <c r="X901" s="232" t="str">
        <f>IFERROR(__xludf.DUMMYFUNCTION("""COMPUTED_VALUE"""),"City Specific")</f>
        <v>City Specific</v>
      </c>
      <c r="Y901" s="232" t="str">
        <f>IFERROR(__xludf.DUMMYFUNCTION("""COMPUTED_VALUE"""),"05 June")</f>
        <v>05 June</v>
      </c>
      <c r="Z901" s="232" t="str">
        <f>IFERROR(__xludf.DUMMYFUNCTION("""COMPUTED_VALUE"""),"6a1d7e637d2abe05a9a0d954")</f>
        <v>6a1d7e637d2abe05a9a0d954</v>
      </c>
      <c r="AA901" s="277">
        <f>IFERROR(__xludf.DUMMYFUNCTION("""COMPUTED_VALUE"""),4.0)</f>
        <v>4</v>
      </c>
      <c r="AB901" s="277"/>
      <c r="AC901" s="277">
        <f>IFERROR(__xludf.DUMMYFUNCTION("""COMPUTED_VALUE"""),4.0)</f>
        <v>4</v>
      </c>
      <c r="AD901" s="277">
        <f>IFERROR(__xludf.DUMMYFUNCTION("""COMPUTED_VALUE"""),17592.0)</f>
        <v>17592</v>
      </c>
      <c r="AE901" s="277"/>
      <c r="AF901" s="277">
        <f>IFERROR(__xludf.DUMMYFUNCTION("""COMPUTED_VALUE"""),17592.0)</f>
        <v>17592</v>
      </c>
      <c r="AG901" s="208"/>
      <c r="AH901" s="208"/>
      <c r="AI901" s="208"/>
      <c r="AJ901" s="208"/>
      <c r="AK901" s="208"/>
    </row>
    <row r="902" hidden="1">
      <c r="A902" s="288">
        <f>IFERROR(__xludf.DUMMYFUNCTION("""COMPUTED_VALUE"""),46178.0)</f>
        <v>46178</v>
      </c>
      <c r="B902" s="274">
        <f>IFERROR(__xludf.DUMMYFUNCTION("""COMPUTED_VALUE"""),0.5)</f>
        <v>0.5</v>
      </c>
      <c r="C902" s="208" t="str">
        <f>IFERROR(__xludf.DUMMYFUNCTION("""COMPUTED_VALUE"""),"Sms")</f>
        <v>Sms</v>
      </c>
      <c r="D902" s="208" t="str">
        <f>IFERROR(__xludf.DUMMYFUNCTION("""COMPUTED_VALUE"""),"Fallback campaign")</f>
        <v>Fallback campaign</v>
      </c>
      <c r="E902" s="208" t="str">
        <f>IFERROR(__xludf.DUMMYFUNCTION("""COMPUTED_VALUE"""),"BBW")</f>
        <v>BBW</v>
      </c>
      <c r="F902" s="208" t="str">
        <f>IFERROR(__xludf.DUMMYFUNCTION("""COMPUTED_VALUE"""),"B2G2 - June'26 - Entire Store")</f>
        <v>B2G2 - June'26 - Entire Store</v>
      </c>
      <c r="G902" s="208" t="str">
        <f>IFERROR(__xludf.DUMMYFUNCTION("""COMPUTED_VALUE"""),"bbw_smsfb_b2g2_5june_dormant_ggn_offline")</f>
        <v>bbw_smsfb_b2g2_5june_dormant_ggn_offline</v>
      </c>
      <c r="H902" s="232" t="str">
        <f>IFERROR(__xludf.DUMMYFUNCTION("""COMPUTED_VALUE"""),"BBW_OFF_GGN_Dorm")</f>
        <v>BBW_OFF_GGN_Dorm</v>
      </c>
      <c r="I902" s="233" t="str">
        <f>IFERROR(__xludf.DUMMYFUNCTION("""COMPUTED_VALUE"""),"WA Undelivered")</f>
        <v>WA Undelivered</v>
      </c>
      <c r="J902" s="275">
        <f>IFERROR(__xludf.DUMMYFUNCTION("""COMPUTED_VALUE"""),5932.0)</f>
        <v>5932</v>
      </c>
      <c r="K902" s="275">
        <f>IFERROR(__xludf.DUMMYFUNCTION("""COMPUTED_VALUE"""),3094.0)</f>
        <v>3094</v>
      </c>
      <c r="L902" s="276">
        <f>IFERROR(__xludf.DUMMYFUNCTION("""COMPUTED_VALUE"""),0.5216)</f>
        <v>0.5216</v>
      </c>
      <c r="M902" s="275">
        <f>IFERROR(__xludf.DUMMYFUNCTION("""COMPUTED_VALUE"""),0.0)</f>
        <v>0</v>
      </c>
      <c r="N902" s="276">
        <f>IFERROR(__xludf.DUMMYFUNCTION("""COMPUTED_VALUE"""),0.0)</f>
        <v>0</v>
      </c>
      <c r="O902" s="208">
        <f>IFERROR(__xludf.DUMMYFUNCTION("""COMPUTED_VALUE"""),9.0)</f>
        <v>9</v>
      </c>
      <c r="P902" s="208">
        <f>IFERROR(__xludf.DUMMYFUNCTION("""COMPUTED_VALUE"""),0.0)</f>
        <v>0</v>
      </c>
      <c r="Q902" s="276">
        <f>IFERROR(__xludf.DUMMYFUNCTION("""COMPUTED_VALUE"""),0.0029)</f>
        <v>0.0029</v>
      </c>
      <c r="R902" s="276">
        <f>IFERROR(__xludf.DUMMYFUNCTION("""COMPUTED_VALUE"""),0.0)</f>
        <v>0</v>
      </c>
      <c r="S902" s="208">
        <f>IFERROR(__xludf.DUMMYFUNCTION("""COMPUTED_VALUE"""),1.0)</f>
        <v>1</v>
      </c>
      <c r="T902" s="208">
        <f>IFERROR(__xludf.DUMMYFUNCTION("""COMPUTED_VALUE"""),1.0)</f>
        <v>1</v>
      </c>
      <c r="U902" s="275">
        <f>IFERROR(__xludf.DUMMYFUNCTION("""COMPUTED_VALUE"""),3798.0)</f>
        <v>3798</v>
      </c>
      <c r="V902" s="234" t="str">
        <f>IFERROR(__xludf.DUMMYFUNCTION("""COMPUTED_VALUE"""),"offline")</f>
        <v>offline</v>
      </c>
      <c r="W902" s="232" t="str">
        <f>IFERROR(__xludf.DUMMYFUNCTION("""COMPUTED_VALUE"""),"Sms")</f>
        <v>Sms</v>
      </c>
      <c r="X902" s="232" t="str">
        <f>IFERROR(__xludf.DUMMYFUNCTION("""COMPUTED_VALUE"""),"City Specific")</f>
        <v>City Specific</v>
      </c>
      <c r="Y902" s="232" t="str">
        <f>IFERROR(__xludf.DUMMYFUNCTION("""COMPUTED_VALUE"""),"05 June")</f>
        <v>05 June</v>
      </c>
      <c r="Z902" s="232" t="str">
        <f>IFERROR(__xludf.DUMMYFUNCTION("""COMPUTED_VALUE"""),"6a1d7e854ba4e78bce431afb")</f>
        <v>6a1d7e854ba4e78bce431afb</v>
      </c>
      <c r="AA902" s="277">
        <f>IFERROR(__xludf.DUMMYFUNCTION("""COMPUTED_VALUE"""),0.0)</f>
        <v>0</v>
      </c>
      <c r="AB902" s="277"/>
      <c r="AC902" s="277">
        <f>IFERROR(__xludf.DUMMYFUNCTION("""COMPUTED_VALUE"""),0.0)</f>
        <v>0</v>
      </c>
      <c r="AD902" s="277">
        <f>IFERROR(__xludf.DUMMYFUNCTION("""COMPUTED_VALUE"""),0.0)</f>
        <v>0</v>
      </c>
      <c r="AE902" s="277"/>
      <c r="AF902" s="277">
        <f>IFERROR(__xludf.DUMMYFUNCTION("""COMPUTED_VALUE"""),0.0)</f>
        <v>0</v>
      </c>
      <c r="AG902" s="208"/>
      <c r="AH902" s="208"/>
      <c r="AI902" s="208"/>
      <c r="AJ902" s="208"/>
      <c r="AK902" s="208"/>
    </row>
    <row r="903" hidden="1">
      <c r="A903" s="288">
        <f>IFERROR(__xludf.DUMMYFUNCTION("""COMPUTED_VALUE"""),46178.0)</f>
        <v>46178</v>
      </c>
      <c r="B903" s="274">
        <f>IFERROR(__xludf.DUMMYFUNCTION("""COMPUTED_VALUE"""),0.5)</f>
        <v>0.5</v>
      </c>
      <c r="C903" s="208" t="str">
        <f>IFERROR(__xludf.DUMMYFUNCTION("""COMPUTED_VALUE"""),"Sms")</f>
        <v>Sms</v>
      </c>
      <c r="D903" s="208" t="str">
        <f>IFERROR(__xludf.DUMMYFUNCTION("""COMPUTED_VALUE"""),"Fallback campaign")</f>
        <v>Fallback campaign</v>
      </c>
      <c r="E903" s="208" t="str">
        <f>IFERROR(__xludf.DUMMYFUNCTION("""COMPUTED_VALUE"""),"BBW")</f>
        <v>BBW</v>
      </c>
      <c r="F903" s="208" t="str">
        <f>IFERROR(__xludf.DUMMYFUNCTION("""COMPUTED_VALUE"""),"B2G2 - June'26 - Entire Store")</f>
        <v>B2G2 - June'26 - Entire Store</v>
      </c>
      <c r="G903" s="208" t="str">
        <f>IFERROR(__xludf.DUMMYFUNCTION("""COMPUTED_VALUE"""),"bbw_smsfb_b2g2_5june_dormant_noida_offline")</f>
        <v>bbw_smsfb_b2g2_5june_dormant_noida_offline</v>
      </c>
      <c r="H903" s="232" t="str">
        <f>IFERROR(__xludf.DUMMYFUNCTION("""COMPUTED_VALUE"""),"BBW_OFF_NOIDA_Dorm")</f>
        <v>BBW_OFF_NOIDA_Dorm</v>
      </c>
      <c r="I903" s="233" t="str">
        <f>IFERROR(__xludf.DUMMYFUNCTION("""COMPUTED_VALUE"""),"WA Undelivered")</f>
        <v>WA Undelivered</v>
      </c>
      <c r="J903" s="275">
        <f>IFERROR(__xludf.DUMMYFUNCTION("""COMPUTED_VALUE"""),6573.0)</f>
        <v>6573</v>
      </c>
      <c r="K903" s="275">
        <f>IFERROR(__xludf.DUMMYFUNCTION("""COMPUTED_VALUE"""),3575.0)</f>
        <v>3575</v>
      </c>
      <c r="L903" s="276">
        <f>IFERROR(__xludf.DUMMYFUNCTION("""COMPUTED_VALUE"""),0.5439)</f>
        <v>0.5439</v>
      </c>
      <c r="M903" s="275">
        <f>IFERROR(__xludf.DUMMYFUNCTION("""COMPUTED_VALUE"""),0.0)</f>
        <v>0</v>
      </c>
      <c r="N903" s="276">
        <f>IFERROR(__xludf.DUMMYFUNCTION("""COMPUTED_VALUE"""),0.0)</f>
        <v>0</v>
      </c>
      <c r="O903" s="208">
        <f>IFERROR(__xludf.DUMMYFUNCTION("""COMPUTED_VALUE"""),7.0)</f>
        <v>7</v>
      </c>
      <c r="P903" s="208">
        <f>IFERROR(__xludf.DUMMYFUNCTION("""COMPUTED_VALUE"""),0.0)</f>
        <v>0</v>
      </c>
      <c r="Q903" s="276">
        <f>IFERROR(__xludf.DUMMYFUNCTION("""COMPUTED_VALUE"""),0.002)</f>
        <v>0.002</v>
      </c>
      <c r="R903" s="276">
        <f>IFERROR(__xludf.DUMMYFUNCTION("""COMPUTED_VALUE"""),0.0)</f>
        <v>0</v>
      </c>
      <c r="S903" s="208">
        <f>IFERROR(__xludf.DUMMYFUNCTION("""COMPUTED_VALUE"""),0.0)</f>
        <v>0</v>
      </c>
      <c r="T903" s="208">
        <f>IFERROR(__xludf.DUMMYFUNCTION("""COMPUTED_VALUE"""),0.0)</f>
        <v>0</v>
      </c>
      <c r="U903" s="275">
        <f>IFERROR(__xludf.DUMMYFUNCTION("""COMPUTED_VALUE"""),0.0)</f>
        <v>0</v>
      </c>
      <c r="V903" s="234" t="str">
        <f>IFERROR(__xludf.DUMMYFUNCTION("""COMPUTED_VALUE"""),"offline")</f>
        <v>offline</v>
      </c>
      <c r="W903" s="232" t="str">
        <f>IFERROR(__xludf.DUMMYFUNCTION("""COMPUTED_VALUE"""),"Sms")</f>
        <v>Sms</v>
      </c>
      <c r="X903" s="232" t="str">
        <f>IFERROR(__xludf.DUMMYFUNCTION("""COMPUTED_VALUE"""),"City Specific")</f>
        <v>City Specific</v>
      </c>
      <c r="Y903" s="232" t="str">
        <f>IFERROR(__xludf.DUMMYFUNCTION("""COMPUTED_VALUE"""),"05 June")</f>
        <v>05 June</v>
      </c>
      <c r="Z903" s="232" t="str">
        <f>IFERROR(__xludf.DUMMYFUNCTION("""COMPUTED_VALUE"""),"6a1d7ea5d090927829b06d03")</f>
        <v>6a1d7ea5d090927829b06d03</v>
      </c>
      <c r="AA903" s="277">
        <f>IFERROR(__xludf.DUMMYFUNCTION("""COMPUTED_VALUE"""),7.0)</f>
        <v>7</v>
      </c>
      <c r="AB903" s="277"/>
      <c r="AC903" s="277">
        <f>IFERROR(__xludf.DUMMYFUNCTION("""COMPUTED_VALUE"""),7.0)</f>
        <v>7</v>
      </c>
      <c r="AD903" s="277">
        <f>IFERROR(__xludf.DUMMYFUNCTION("""COMPUTED_VALUE"""),31984.0)</f>
        <v>31984</v>
      </c>
      <c r="AE903" s="277"/>
      <c r="AF903" s="277">
        <f>IFERROR(__xludf.DUMMYFUNCTION("""COMPUTED_VALUE"""),31984.0)</f>
        <v>31984</v>
      </c>
      <c r="AG903" s="208"/>
      <c r="AH903" s="208"/>
      <c r="AI903" s="208"/>
      <c r="AJ903" s="208"/>
      <c r="AK903" s="208"/>
    </row>
    <row r="904" hidden="1">
      <c r="A904" s="288">
        <f>IFERROR(__xludf.DUMMYFUNCTION("""COMPUTED_VALUE"""),46178.0)</f>
        <v>46178</v>
      </c>
      <c r="B904" s="274">
        <f>IFERROR(__xludf.DUMMYFUNCTION("""COMPUTED_VALUE"""),0.5)</f>
        <v>0.5</v>
      </c>
      <c r="C904" s="208" t="str">
        <f>IFERROR(__xludf.DUMMYFUNCTION("""COMPUTED_VALUE"""),"Sms")</f>
        <v>Sms</v>
      </c>
      <c r="D904" s="208" t="str">
        <f>IFERROR(__xludf.DUMMYFUNCTION("""COMPUTED_VALUE"""),"Fallback campaign")</f>
        <v>Fallback campaign</v>
      </c>
      <c r="E904" s="208" t="str">
        <f>IFERROR(__xludf.DUMMYFUNCTION("""COMPUTED_VALUE"""),"BBW")</f>
        <v>BBW</v>
      </c>
      <c r="F904" s="208" t="str">
        <f>IFERROR(__xludf.DUMMYFUNCTION("""COMPUTED_VALUE"""),"B2G2 - June'26 - Entire Store")</f>
        <v>B2G2 - June'26 - Entire Store</v>
      </c>
      <c r="G904" s="208" t="str">
        <f>IFERROR(__xludf.DUMMYFUNCTION("""COMPUTED_VALUE"""),"bbw_smsfb_b2g2_5june_dormant_thane_offline")</f>
        <v>bbw_smsfb_b2g2_5june_dormant_thane_offline</v>
      </c>
      <c r="H904" s="232" t="str">
        <f>IFERROR(__xludf.DUMMYFUNCTION("""COMPUTED_VALUE"""),"BBW_OFF_THANE_Dorm")</f>
        <v>BBW_OFF_THANE_Dorm</v>
      </c>
      <c r="I904" s="233" t="str">
        <f>IFERROR(__xludf.DUMMYFUNCTION("""COMPUTED_VALUE"""),"WA Undelivered")</f>
        <v>WA Undelivered</v>
      </c>
      <c r="J904" s="275">
        <f>IFERROR(__xludf.DUMMYFUNCTION("""COMPUTED_VALUE"""),3507.0)</f>
        <v>3507</v>
      </c>
      <c r="K904" s="275">
        <f>IFERROR(__xludf.DUMMYFUNCTION("""COMPUTED_VALUE"""),1986.0)</f>
        <v>1986</v>
      </c>
      <c r="L904" s="276">
        <f>IFERROR(__xludf.DUMMYFUNCTION("""COMPUTED_VALUE"""),0.5663)</f>
        <v>0.5663</v>
      </c>
      <c r="M904" s="275">
        <f>IFERROR(__xludf.DUMMYFUNCTION("""COMPUTED_VALUE"""),0.0)</f>
        <v>0</v>
      </c>
      <c r="N904" s="276">
        <f>IFERROR(__xludf.DUMMYFUNCTION("""COMPUTED_VALUE"""),0.0)</f>
        <v>0</v>
      </c>
      <c r="O904" s="208">
        <f>IFERROR(__xludf.DUMMYFUNCTION("""COMPUTED_VALUE"""),3.0)</f>
        <v>3</v>
      </c>
      <c r="P904" s="208">
        <f>IFERROR(__xludf.DUMMYFUNCTION("""COMPUTED_VALUE"""),0.0)</f>
        <v>0</v>
      </c>
      <c r="Q904" s="276">
        <f>IFERROR(__xludf.DUMMYFUNCTION("""COMPUTED_VALUE"""),0.0015)</f>
        <v>0.0015</v>
      </c>
      <c r="R904" s="276">
        <f>IFERROR(__xludf.DUMMYFUNCTION("""COMPUTED_VALUE"""),0.0)</f>
        <v>0</v>
      </c>
      <c r="S904" s="208">
        <f>IFERROR(__xludf.DUMMYFUNCTION("""COMPUTED_VALUE"""),0.0)</f>
        <v>0</v>
      </c>
      <c r="T904" s="208">
        <f>IFERROR(__xludf.DUMMYFUNCTION("""COMPUTED_VALUE"""),0.0)</f>
        <v>0</v>
      </c>
      <c r="U904" s="275">
        <f>IFERROR(__xludf.DUMMYFUNCTION("""COMPUTED_VALUE"""),0.0)</f>
        <v>0</v>
      </c>
      <c r="V904" s="234" t="str">
        <f>IFERROR(__xludf.DUMMYFUNCTION("""COMPUTED_VALUE"""),"offline")</f>
        <v>offline</v>
      </c>
      <c r="W904" s="232" t="str">
        <f>IFERROR(__xludf.DUMMYFUNCTION("""COMPUTED_VALUE"""),"Sms")</f>
        <v>Sms</v>
      </c>
      <c r="X904" s="232" t="str">
        <f>IFERROR(__xludf.DUMMYFUNCTION("""COMPUTED_VALUE"""),"City Specific")</f>
        <v>City Specific</v>
      </c>
      <c r="Y904" s="232" t="str">
        <f>IFERROR(__xludf.DUMMYFUNCTION("""COMPUTED_VALUE"""),"05 June")</f>
        <v>05 June</v>
      </c>
      <c r="Z904" s="232" t="str">
        <f>IFERROR(__xludf.DUMMYFUNCTION("""COMPUTED_VALUE"""),"6a1d8061affd16f9544a98b1")</f>
        <v>6a1d8061affd16f9544a98b1</v>
      </c>
      <c r="AA904" s="277">
        <f>IFERROR(__xludf.DUMMYFUNCTION("""COMPUTED_VALUE"""),1.0)</f>
        <v>1</v>
      </c>
      <c r="AB904" s="277"/>
      <c r="AC904" s="277">
        <f>IFERROR(__xludf.DUMMYFUNCTION("""COMPUTED_VALUE"""),1.0)</f>
        <v>1</v>
      </c>
      <c r="AD904" s="277">
        <f>IFERROR(__xludf.DUMMYFUNCTION("""COMPUTED_VALUE"""),5198.0)</f>
        <v>5198</v>
      </c>
      <c r="AE904" s="277"/>
      <c r="AF904" s="277">
        <f>IFERROR(__xludf.DUMMYFUNCTION("""COMPUTED_VALUE"""),5198.0)</f>
        <v>5198</v>
      </c>
      <c r="AG904" s="208"/>
      <c r="AH904" s="208"/>
      <c r="AI904" s="208"/>
      <c r="AJ904" s="208"/>
      <c r="AK904" s="208"/>
    </row>
    <row r="905" hidden="1">
      <c r="A905" s="288">
        <f>IFERROR(__xludf.DUMMYFUNCTION("""COMPUTED_VALUE"""),46179.0)</f>
        <v>46179</v>
      </c>
      <c r="B905" s="274">
        <f>IFERROR(__xludf.DUMMYFUNCTION("""COMPUTED_VALUE"""),0.5416666666678793)</f>
        <v>0.5416666667</v>
      </c>
      <c r="C905" s="208" t="str">
        <f>IFERROR(__xludf.DUMMYFUNCTION("""COMPUTED_VALUE"""),"Sms")</f>
        <v>Sms</v>
      </c>
      <c r="D905" s="208" t="str">
        <f>IFERROR(__xludf.DUMMYFUNCTION("""COMPUTED_VALUE"""),"Fallback campaign")</f>
        <v>Fallback campaign</v>
      </c>
      <c r="E905" s="208" t="str">
        <f>IFERROR(__xludf.DUMMYFUNCTION("""COMPUTED_VALUE"""),"BBW")</f>
        <v>BBW</v>
      </c>
      <c r="F905" s="208" t="str">
        <f>IFERROR(__xludf.DUMMYFUNCTION("""COMPUTED_VALUE"""),"B2G2 - June'26 - Entire Store")</f>
        <v>B2G2 - June'26 - Entire Store</v>
      </c>
      <c r="G905" s="208" t="str">
        <f>IFERROR(__xludf.DUMMYFUNCTION("""COMPUTED_VALUE"""),"bbw_smsfb_b2g2_6june_lastreminder_blr_offline")</f>
        <v>bbw_smsfb_b2g2_6june_lastreminder_blr_offline</v>
      </c>
      <c r="H905" s="232" t="str">
        <f>IFERROR(__xludf.DUMMYFUNCTION("""COMPUTED_VALUE"""),"BBW_OFF_BLR_Active, BBW_OFF_BLR_Dorm")</f>
        <v>BBW_OFF_BLR_Active, BBW_OFF_BLR_Dorm</v>
      </c>
      <c r="I905" s="233" t="str">
        <f>IFERROR(__xludf.DUMMYFUNCTION("""COMPUTED_VALUE"""),"WA Undelivered")</f>
        <v>WA Undelivered</v>
      </c>
      <c r="J905" s="275">
        <f>IFERROR(__xludf.DUMMYFUNCTION("""COMPUTED_VALUE"""),47013.0)</f>
        <v>47013</v>
      </c>
      <c r="K905" s="275">
        <f>IFERROR(__xludf.DUMMYFUNCTION("""COMPUTED_VALUE"""),26784.0)</f>
        <v>26784</v>
      </c>
      <c r="L905" s="276">
        <f>IFERROR(__xludf.DUMMYFUNCTION("""COMPUTED_VALUE"""),0.5697)</f>
        <v>0.5697</v>
      </c>
      <c r="M905" s="275">
        <f>IFERROR(__xludf.DUMMYFUNCTION("""COMPUTED_VALUE"""),0.0)</f>
        <v>0</v>
      </c>
      <c r="N905" s="276">
        <f>IFERROR(__xludf.DUMMYFUNCTION("""COMPUTED_VALUE"""),0.0)</f>
        <v>0</v>
      </c>
      <c r="O905" s="208">
        <f>IFERROR(__xludf.DUMMYFUNCTION("""COMPUTED_VALUE"""),20.0)</f>
        <v>20</v>
      </c>
      <c r="P905" s="208">
        <f>IFERROR(__xludf.DUMMYFUNCTION("""COMPUTED_VALUE"""),0.0)</f>
        <v>0</v>
      </c>
      <c r="Q905" s="276">
        <f>IFERROR(__xludf.DUMMYFUNCTION("""COMPUTED_VALUE"""),7.0E-4)</f>
        <v>0.0007</v>
      </c>
      <c r="R905" s="276">
        <f>IFERROR(__xludf.DUMMYFUNCTION("""COMPUTED_VALUE"""),0.0)</f>
        <v>0</v>
      </c>
      <c r="S905" s="208">
        <f>IFERROR(__xludf.DUMMYFUNCTION("""COMPUTED_VALUE"""),0.0)</f>
        <v>0</v>
      </c>
      <c r="T905" s="208">
        <f>IFERROR(__xludf.DUMMYFUNCTION("""COMPUTED_VALUE"""),4.0)</f>
        <v>4</v>
      </c>
      <c r="U905" s="275">
        <f>IFERROR(__xludf.DUMMYFUNCTION("""COMPUTED_VALUE"""),0.0)</f>
        <v>0</v>
      </c>
      <c r="V905" s="234" t="str">
        <f>IFERROR(__xludf.DUMMYFUNCTION("""COMPUTED_VALUE"""),"offline")</f>
        <v>offline</v>
      </c>
      <c r="W905" s="232" t="str">
        <f>IFERROR(__xludf.DUMMYFUNCTION("""COMPUTED_VALUE"""),"Sms")</f>
        <v>Sms</v>
      </c>
      <c r="X905" s="232" t="str">
        <f>IFERROR(__xludf.DUMMYFUNCTION("""COMPUTED_VALUE"""),"City Specific")</f>
        <v>City Specific</v>
      </c>
      <c r="Y905" s="232" t="str">
        <f>IFERROR(__xludf.DUMMYFUNCTION("""COMPUTED_VALUE"""),"06 June")</f>
        <v>06 June</v>
      </c>
      <c r="Z905" s="232" t="str">
        <f>IFERROR(__xludf.DUMMYFUNCTION("""COMPUTED_VALUE"""),"6a1eb3eb76a016b62a13a1aa")</f>
        <v>6a1eb3eb76a016b62a13a1aa</v>
      </c>
      <c r="AA905" s="277">
        <f>IFERROR(__xludf.DUMMYFUNCTION("""COMPUTED_VALUE"""),37.0)</f>
        <v>37</v>
      </c>
      <c r="AB905" s="277"/>
      <c r="AC905" s="277">
        <f>IFERROR(__xludf.DUMMYFUNCTION("""COMPUTED_VALUE"""),37.0)</f>
        <v>37</v>
      </c>
      <c r="AD905" s="277">
        <f>IFERROR(__xludf.DUMMYFUNCTION("""COMPUTED_VALUE"""),207901.0)</f>
        <v>207901</v>
      </c>
      <c r="AE905" s="277"/>
      <c r="AF905" s="277">
        <f>IFERROR(__xludf.DUMMYFUNCTION("""COMPUTED_VALUE"""),207901.0)</f>
        <v>207901</v>
      </c>
      <c r="AG905" s="208"/>
      <c r="AH905" s="208"/>
      <c r="AI905" s="208"/>
      <c r="AJ905" s="208"/>
      <c r="AK905" s="208"/>
    </row>
    <row r="906" hidden="1">
      <c r="A906" s="288">
        <f>IFERROR(__xludf.DUMMYFUNCTION("""COMPUTED_VALUE"""),46179.0)</f>
        <v>46179</v>
      </c>
      <c r="B906" s="274">
        <f>IFERROR(__xludf.DUMMYFUNCTION("""COMPUTED_VALUE"""),0.5416666666678793)</f>
        <v>0.5416666667</v>
      </c>
      <c r="C906" s="208" t="str">
        <f>IFERROR(__xludf.DUMMYFUNCTION("""COMPUTED_VALUE"""),"Sms")</f>
        <v>Sms</v>
      </c>
      <c r="D906" s="208" t="str">
        <f>IFERROR(__xludf.DUMMYFUNCTION("""COMPUTED_VALUE"""),"Fallback campaign")</f>
        <v>Fallback campaign</v>
      </c>
      <c r="E906" s="208" t="str">
        <f>IFERROR(__xludf.DUMMYFUNCTION("""COMPUTED_VALUE"""),"BBW")</f>
        <v>BBW</v>
      </c>
      <c r="F906" s="208" t="str">
        <f>IFERROR(__xludf.DUMMYFUNCTION("""COMPUTED_VALUE"""),"B2G2 - June'26 - Entire Store")</f>
        <v>B2G2 - June'26 - Entire Store</v>
      </c>
      <c r="G906" s="208" t="str">
        <f>IFERROR(__xludf.DUMMYFUNCTION("""COMPUTED_VALUE"""),"bbw_smsfb_b2g2_6june_lastreminder_bom_offline")</f>
        <v>bbw_smsfb_b2g2_6june_lastreminder_bom_offline</v>
      </c>
      <c r="H906" s="232" t="str">
        <f>IFERROR(__xludf.DUMMYFUNCTION("""COMPUTED_VALUE"""),"BBW_OFF_BOM_Active, BBW_OFF_BOM_Dorm")</f>
        <v>BBW_OFF_BOM_Active, BBW_OFF_BOM_Dorm</v>
      </c>
      <c r="I906" s="233" t="str">
        <f>IFERROR(__xludf.DUMMYFUNCTION("""COMPUTED_VALUE"""),"WA Undelivered")</f>
        <v>WA Undelivered</v>
      </c>
      <c r="J906" s="275">
        <f>IFERROR(__xludf.DUMMYFUNCTION("""COMPUTED_VALUE"""),27688.0)</f>
        <v>27688</v>
      </c>
      <c r="K906" s="275">
        <f>IFERROR(__xludf.DUMMYFUNCTION("""COMPUTED_VALUE"""),14764.0)</f>
        <v>14764</v>
      </c>
      <c r="L906" s="276">
        <f>IFERROR(__xludf.DUMMYFUNCTION("""COMPUTED_VALUE"""),0.5332)</f>
        <v>0.5332</v>
      </c>
      <c r="M906" s="275">
        <f>IFERROR(__xludf.DUMMYFUNCTION("""COMPUTED_VALUE"""),0.0)</f>
        <v>0</v>
      </c>
      <c r="N906" s="276">
        <f>IFERROR(__xludf.DUMMYFUNCTION("""COMPUTED_VALUE"""),0.0)</f>
        <v>0</v>
      </c>
      <c r="O906" s="208">
        <f>IFERROR(__xludf.DUMMYFUNCTION("""COMPUTED_VALUE"""),34.0)</f>
        <v>34</v>
      </c>
      <c r="P906" s="208">
        <f>IFERROR(__xludf.DUMMYFUNCTION("""COMPUTED_VALUE"""),0.0)</f>
        <v>0</v>
      </c>
      <c r="Q906" s="276">
        <f>IFERROR(__xludf.DUMMYFUNCTION("""COMPUTED_VALUE"""),0.0023)</f>
        <v>0.0023</v>
      </c>
      <c r="R906" s="276">
        <f>IFERROR(__xludf.DUMMYFUNCTION("""COMPUTED_VALUE"""),0.0)</f>
        <v>0</v>
      </c>
      <c r="S906" s="208">
        <f>IFERROR(__xludf.DUMMYFUNCTION("""COMPUTED_VALUE"""),1.0)</f>
        <v>1</v>
      </c>
      <c r="T906" s="208">
        <f>IFERROR(__xludf.DUMMYFUNCTION("""COMPUTED_VALUE"""),1.0)</f>
        <v>1</v>
      </c>
      <c r="U906" s="275">
        <f>IFERROR(__xludf.DUMMYFUNCTION("""COMPUTED_VALUE"""),2598.0)</f>
        <v>2598</v>
      </c>
      <c r="V906" s="234" t="str">
        <f>IFERROR(__xludf.DUMMYFUNCTION("""COMPUTED_VALUE"""),"offline")</f>
        <v>offline</v>
      </c>
      <c r="W906" s="232" t="str">
        <f>IFERROR(__xludf.DUMMYFUNCTION("""COMPUTED_VALUE"""),"Sms")</f>
        <v>Sms</v>
      </c>
      <c r="X906" s="232" t="str">
        <f>IFERROR(__xludf.DUMMYFUNCTION("""COMPUTED_VALUE"""),"City Specific")</f>
        <v>City Specific</v>
      </c>
      <c r="Y906" s="232" t="str">
        <f>IFERROR(__xludf.DUMMYFUNCTION("""COMPUTED_VALUE"""),"6 June")</f>
        <v>6 June</v>
      </c>
      <c r="Z906" s="232" t="str">
        <f>IFERROR(__xludf.DUMMYFUNCTION("""COMPUTED_VALUE"""),"6a1eb4366914eb0e5e2d668e")</f>
        <v>6a1eb4366914eb0e5e2d668e</v>
      </c>
      <c r="AA906" s="277">
        <f>IFERROR(__xludf.DUMMYFUNCTION("""COMPUTED_VALUE"""),20.0)</f>
        <v>20</v>
      </c>
      <c r="AB906" s="277"/>
      <c r="AC906" s="277">
        <f>IFERROR(__xludf.DUMMYFUNCTION("""COMPUTED_VALUE"""),20.0)</f>
        <v>20</v>
      </c>
      <c r="AD906" s="277">
        <f>IFERROR(__xludf.DUMMYFUNCTION("""COMPUTED_VALUE"""),106601.0)</f>
        <v>106601</v>
      </c>
      <c r="AE906" s="277"/>
      <c r="AF906" s="277">
        <f>IFERROR(__xludf.DUMMYFUNCTION("""COMPUTED_VALUE"""),106601.0)</f>
        <v>106601</v>
      </c>
      <c r="AG906" s="208"/>
      <c r="AH906" s="208"/>
      <c r="AI906" s="208"/>
      <c r="AJ906" s="208"/>
      <c r="AK906" s="208"/>
    </row>
    <row r="907" hidden="1">
      <c r="A907" s="288">
        <f>IFERROR(__xludf.DUMMYFUNCTION("""COMPUTED_VALUE"""),46179.0)</f>
        <v>46179</v>
      </c>
      <c r="B907" s="274">
        <f>IFERROR(__xludf.DUMMYFUNCTION("""COMPUTED_VALUE"""),0.5416666666678793)</f>
        <v>0.5416666667</v>
      </c>
      <c r="C907" s="208" t="str">
        <f>IFERROR(__xludf.DUMMYFUNCTION("""COMPUTED_VALUE"""),"Sms")</f>
        <v>Sms</v>
      </c>
      <c r="D907" s="208" t="str">
        <f>IFERROR(__xludf.DUMMYFUNCTION("""COMPUTED_VALUE"""),"Fallback campaign")</f>
        <v>Fallback campaign</v>
      </c>
      <c r="E907" s="208" t="str">
        <f>IFERROR(__xludf.DUMMYFUNCTION("""COMPUTED_VALUE"""),"BBW")</f>
        <v>BBW</v>
      </c>
      <c r="F907" s="208" t="str">
        <f>IFERROR(__xludf.DUMMYFUNCTION("""COMPUTED_VALUE"""),"B2G2 - June'26 - Entire Store")</f>
        <v>B2G2 - June'26 - Entire Store</v>
      </c>
      <c r="G907" s="208" t="str">
        <f>IFERROR(__xludf.DUMMYFUNCTION("""COMPUTED_VALUE"""),"bbw_smsfb_b2g2_6june_lastreminder_ahd_offline")</f>
        <v>bbw_smsfb_b2g2_6june_lastreminder_ahd_offline</v>
      </c>
      <c r="H907" s="232" t="str">
        <f>IFERROR(__xludf.DUMMYFUNCTION("""COMPUTED_VALUE"""),"BBW_OFF_AHD_Active, BBW_OFF_AHD_Dorm")</f>
        <v>BBW_OFF_AHD_Active, BBW_OFF_AHD_Dorm</v>
      </c>
      <c r="I907" s="233" t="str">
        <f>IFERROR(__xludf.DUMMYFUNCTION("""COMPUTED_VALUE"""),"WA Undelivered")</f>
        <v>WA Undelivered</v>
      </c>
      <c r="J907" s="275">
        <f>IFERROR(__xludf.DUMMYFUNCTION("""COMPUTED_VALUE"""),13154.0)</f>
        <v>13154</v>
      </c>
      <c r="K907" s="275">
        <f>IFERROR(__xludf.DUMMYFUNCTION("""COMPUTED_VALUE"""),7235.0)</f>
        <v>7235</v>
      </c>
      <c r="L907" s="276">
        <f>IFERROR(__xludf.DUMMYFUNCTION("""COMPUTED_VALUE"""),0.55)</f>
        <v>0.55</v>
      </c>
      <c r="M907" s="275">
        <f>IFERROR(__xludf.DUMMYFUNCTION("""COMPUTED_VALUE"""),0.0)</f>
        <v>0</v>
      </c>
      <c r="N907" s="276">
        <f>IFERROR(__xludf.DUMMYFUNCTION("""COMPUTED_VALUE"""),0.0)</f>
        <v>0</v>
      </c>
      <c r="O907" s="208">
        <f>IFERROR(__xludf.DUMMYFUNCTION("""COMPUTED_VALUE"""),8.0)</f>
        <v>8</v>
      </c>
      <c r="P907" s="208">
        <f>IFERROR(__xludf.DUMMYFUNCTION("""COMPUTED_VALUE"""),0.0)</f>
        <v>0</v>
      </c>
      <c r="Q907" s="276">
        <f>IFERROR(__xludf.DUMMYFUNCTION("""COMPUTED_VALUE"""),0.0011)</f>
        <v>0.0011</v>
      </c>
      <c r="R907" s="276">
        <f>IFERROR(__xludf.DUMMYFUNCTION("""COMPUTED_VALUE"""),0.0)</f>
        <v>0</v>
      </c>
      <c r="S907" s="208">
        <f>IFERROR(__xludf.DUMMYFUNCTION("""COMPUTED_VALUE"""),2.0)</f>
        <v>2</v>
      </c>
      <c r="T907" s="208">
        <f>IFERROR(__xludf.DUMMYFUNCTION("""COMPUTED_VALUE"""),2.0)</f>
        <v>2</v>
      </c>
      <c r="U907" s="275">
        <f>IFERROR(__xludf.DUMMYFUNCTION("""COMPUTED_VALUE"""),17870.0)</f>
        <v>17870</v>
      </c>
      <c r="V907" s="234" t="str">
        <f>IFERROR(__xludf.DUMMYFUNCTION("""COMPUTED_VALUE"""),"offline")</f>
        <v>offline</v>
      </c>
      <c r="W907" s="232" t="str">
        <f>IFERROR(__xludf.DUMMYFUNCTION("""COMPUTED_VALUE"""),"Sms")</f>
        <v>Sms</v>
      </c>
      <c r="X907" s="232" t="str">
        <f>IFERROR(__xludf.DUMMYFUNCTION("""COMPUTED_VALUE"""),"City Specific")</f>
        <v>City Specific</v>
      </c>
      <c r="Y907" s="232" t="str">
        <f>IFERROR(__xludf.DUMMYFUNCTION("""COMPUTED_VALUE"""),"6 June")</f>
        <v>6 June</v>
      </c>
      <c r="Z907" s="232" t="str">
        <f>IFERROR(__xludf.DUMMYFUNCTION("""COMPUTED_VALUE"""),"6a1eb4680e1b61df4c5bfe6c")</f>
        <v>6a1eb4680e1b61df4c5bfe6c</v>
      </c>
      <c r="AA907" s="277">
        <f>IFERROR(__xludf.DUMMYFUNCTION("""COMPUTED_VALUE"""),9.0)</f>
        <v>9</v>
      </c>
      <c r="AB907" s="277"/>
      <c r="AC907" s="277">
        <f>IFERROR(__xludf.DUMMYFUNCTION("""COMPUTED_VALUE"""),9.0)</f>
        <v>9</v>
      </c>
      <c r="AD907" s="277">
        <f>IFERROR(__xludf.DUMMYFUNCTION("""COMPUTED_VALUE"""),33383.0)</f>
        <v>33383</v>
      </c>
      <c r="AE907" s="277"/>
      <c r="AF907" s="277">
        <f>IFERROR(__xludf.DUMMYFUNCTION("""COMPUTED_VALUE"""),33383.0)</f>
        <v>33383</v>
      </c>
      <c r="AG907" s="208"/>
      <c r="AH907" s="208"/>
      <c r="AI907" s="208"/>
      <c r="AJ907" s="208"/>
      <c r="AK907" s="208"/>
    </row>
    <row r="908" hidden="1">
      <c r="A908" s="288">
        <f>IFERROR(__xludf.DUMMYFUNCTION("""COMPUTED_VALUE"""),46179.0)</f>
        <v>46179</v>
      </c>
      <c r="B908" s="274">
        <f>IFERROR(__xludf.DUMMYFUNCTION("""COMPUTED_VALUE"""),0.5416666666678793)</f>
        <v>0.5416666667</v>
      </c>
      <c r="C908" s="208" t="str">
        <f>IFERROR(__xludf.DUMMYFUNCTION("""COMPUTED_VALUE"""),"Sms")</f>
        <v>Sms</v>
      </c>
      <c r="D908" s="208" t="str">
        <f>IFERROR(__xludf.DUMMYFUNCTION("""COMPUTED_VALUE"""),"Fallback campaign")</f>
        <v>Fallback campaign</v>
      </c>
      <c r="E908" s="208" t="str">
        <f>IFERROR(__xludf.DUMMYFUNCTION("""COMPUTED_VALUE"""),"BBW")</f>
        <v>BBW</v>
      </c>
      <c r="F908" s="208" t="str">
        <f>IFERROR(__xludf.DUMMYFUNCTION("""COMPUTED_VALUE"""),"B2G2 - June'26 - Entire Store")</f>
        <v>B2G2 - June'26 - Entire Store</v>
      </c>
      <c r="G908" s="208" t="str">
        <f>IFERROR(__xludf.DUMMYFUNCTION("""COMPUTED_VALUE"""),"bbw_smsfb_b2g2_6june_lastreminder_pune_offline")</f>
        <v>bbw_smsfb_b2g2_6june_lastreminder_pune_offline</v>
      </c>
      <c r="H908" s="232" t="str">
        <f>IFERROR(__xludf.DUMMYFUNCTION("""COMPUTED_VALUE"""),"BBW_OFF_PUNE_Active, BBW_OFF_PUNE_Dorm")</f>
        <v>BBW_OFF_PUNE_Active, BBW_OFF_PUNE_Dorm</v>
      </c>
      <c r="I908" s="233" t="str">
        <f>IFERROR(__xludf.DUMMYFUNCTION("""COMPUTED_VALUE"""),"WA Undelivered")</f>
        <v>WA Undelivered</v>
      </c>
      <c r="J908" s="275">
        <f>IFERROR(__xludf.DUMMYFUNCTION("""COMPUTED_VALUE"""),7259.0)</f>
        <v>7259</v>
      </c>
      <c r="K908" s="275">
        <f>IFERROR(__xludf.DUMMYFUNCTION("""COMPUTED_VALUE"""),4042.0)</f>
        <v>4042</v>
      </c>
      <c r="L908" s="276">
        <f>IFERROR(__xludf.DUMMYFUNCTION("""COMPUTED_VALUE"""),0.5568)</f>
        <v>0.5568</v>
      </c>
      <c r="M908" s="275">
        <f>IFERROR(__xludf.DUMMYFUNCTION("""COMPUTED_VALUE"""),0.0)</f>
        <v>0</v>
      </c>
      <c r="N908" s="276">
        <f>IFERROR(__xludf.DUMMYFUNCTION("""COMPUTED_VALUE"""),0.0)</f>
        <v>0</v>
      </c>
      <c r="O908" s="208">
        <f>IFERROR(__xludf.DUMMYFUNCTION("""COMPUTED_VALUE"""),7.0)</f>
        <v>7</v>
      </c>
      <c r="P908" s="208">
        <f>IFERROR(__xludf.DUMMYFUNCTION("""COMPUTED_VALUE"""),0.0)</f>
        <v>0</v>
      </c>
      <c r="Q908" s="276">
        <f>IFERROR(__xludf.DUMMYFUNCTION("""COMPUTED_VALUE"""),0.0017)</f>
        <v>0.0017</v>
      </c>
      <c r="R908" s="276">
        <f>IFERROR(__xludf.DUMMYFUNCTION("""COMPUTED_VALUE"""),0.0)</f>
        <v>0</v>
      </c>
      <c r="S908" s="208">
        <f>IFERROR(__xludf.DUMMYFUNCTION("""COMPUTED_VALUE"""),0.0)</f>
        <v>0</v>
      </c>
      <c r="T908" s="208">
        <f>IFERROR(__xludf.DUMMYFUNCTION("""COMPUTED_VALUE"""),0.0)</f>
        <v>0</v>
      </c>
      <c r="U908" s="275">
        <f>IFERROR(__xludf.DUMMYFUNCTION("""COMPUTED_VALUE"""),0.0)</f>
        <v>0</v>
      </c>
      <c r="V908" s="234" t="str">
        <f>IFERROR(__xludf.DUMMYFUNCTION("""COMPUTED_VALUE"""),"offline")</f>
        <v>offline</v>
      </c>
      <c r="W908" s="232" t="str">
        <f>IFERROR(__xludf.DUMMYFUNCTION("""COMPUTED_VALUE"""),"Sms")</f>
        <v>Sms</v>
      </c>
      <c r="X908" s="232" t="str">
        <f>IFERROR(__xludf.DUMMYFUNCTION("""COMPUTED_VALUE"""),"City Specific")</f>
        <v>City Specific</v>
      </c>
      <c r="Y908" s="232" t="str">
        <f>IFERROR(__xludf.DUMMYFUNCTION("""COMPUTED_VALUE"""),"06 June")</f>
        <v>06 June</v>
      </c>
      <c r="Z908" s="232" t="str">
        <f>IFERROR(__xludf.DUMMYFUNCTION("""COMPUTED_VALUE"""),"6a1eb48dbd8cae6f6de3e470")</f>
        <v>6a1eb48dbd8cae6f6de3e470</v>
      </c>
      <c r="AA908" s="277">
        <f>IFERROR(__xludf.DUMMYFUNCTION("""COMPUTED_VALUE"""),6.0)</f>
        <v>6</v>
      </c>
      <c r="AB908" s="277"/>
      <c r="AC908" s="277">
        <f>IFERROR(__xludf.DUMMYFUNCTION("""COMPUTED_VALUE"""),6.0)</f>
        <v>6</v>
      </c>
      <c r="AD908" s="277">
        <f>IFERROR(__xludf.DUMMYFUNCTION("""COMPUTED_VALUE"""),28383.0)</f>
        <v>28383</v>
      </c>
      <c r="AE908" s="277"/>
      <c r="AF908" s="277">
        <f>IFERROR(__xludf.DUMMYFUNCTION("""COMPUTED_VALUE"""),28383.0)</f>
        <v>28383</v>
      </c>
      <c r="AG908" s="208"/>
      <c r="AH908" s="208"/>
      <c r="AI908" s="208"/>
      <c r="AJ908" s="208"/>
      <c r="AK908" s="208"/>
    </row>
    <row r="909" hidden="1">
      <c r="A909" s="288">
        <f>IFERROR(__xludf.DUMMYFUNCTION("""COMPUTED_VALUE"""),46179.0)</f>
        <v>46179</v>
      </c>
      <c r="B909" s="274">
        <f>IFERROR(__xludf.DUMMYFUNCTION("""COMPUTED_VALUE"""),0.5416666666678793)</f>
        <v>0.5416666667</v>
      </c>
      <c r="C909" s="208" t="str">
        <f>IFERROR(__xludf.DUMMYFUNCTION("""COMPUTED_VALUE"""),"Sms")</f>
        <v>Sms</v>
      </c>
      <c r="D909" s="208" t="str">
        <f>IFERROR(__xludf.DUMMYFUNCTION("""COMPUTED_VALUE"""),"Fallback campaign")</f>
        <v>Fallback campaign</v>
      </c>
      <c r="E909" s="208" t="str">
        <f>IFERROR(__xludf.DUMMYFUNCTION("""COMPUTED_VALUE"""),"BBW")</f>
        <v>BBW</v>
      </c>
      <c r="F909" s="208" t="str">
        <f>IFERROR(__xludf.DUMMYFUNCTION("""COMPUTED_VALUE"""),"B2G2 - June'26 - Entire Store")</f>
        <v>B2G2 - June'26 - Entire Store</v>
      </c>
      <c r="G909" s="208" t="str">
        <f>IFERROR(__xludf.DUMMYFUNCTION("""COMPUTED_VALUE"""),"bbw_smsfb_b2g2_6june_lastreminder_del_offline")</f>
        <v>bbw_smsfb_b2g2_6june_lastreminder_del_offline</v>
      </c>
      <c r="H909" s="232" t="str">
        <f>IFERROR(__xludf.DUMMYFUNCTION("""COMPUTED_VALUE"""),"BBW_OFF_DEL_Active, BBW_OFF_DEL_Dorm")</f>
        <v>BBW_OFF_DEL_Active, BBW_OFF_DEL_Dorm</v>
      </c>
      <c r="I909" s="233" t="str">
        <f>IFERROR(__xludf.DUMMYFUNCTION("""COMPUTED_VALUE"""),"WA Undelivered")</f>
        <v>WA Undelivered</v>
      </c>
      <c r="J909" s="275">
        <f>IFERROR(__xludf.DUMMYFUNCTION("""COMPUTED_VALUE"""),29882.0)</f>
        <v>29882</v>
      </c>
      <c r="K909" s="275">
        <f>IFERROR(__xludf.DUMMYFUNCTION("""COMPUTED_VALUE"""),16189.0)</f>
        <v>16189</v>
      </c>
      <c r="L909" s="276">
        <f>IFERROR(__xludf.DUMMYFUNCTION("""COMPUTED_VALUE"""),0.5418)</f>
        <v>0.5418</v>
      </c>
      <c r="M909" s="275">
        <f>IFERROR(__xludf.DUMMYFUNCTION("""COMPUTED_VALUE"""),0.0)</f>
        <v>0</v>
      </c>
      <c r="N909" s="276">
        <f>IFERROR(__xludf.DUMMYFUNCTION("""COMPUTED_VALUE"""),0.0)</f>
        <v>0</v>
      </c>
      <c r="O909" s="208">
        <f>IFERROR(__xludf.DUMMYFUNCTION("""COMPUTED_VALUE"""),30.0)</f>
        <v>30</v>
      </c>
      <c r="P909" s="208">
        <f>IFERROR(__xludf.DUMMYFUNCTION("""COMPUTED_VALUE"""),0.0)</f>
        <v>0</v>
      </c>
      <c r="Q909" s="276">
        <f>IFERROR(__xludf.DUMMYFUNCTION("""COMPUTED_VALUE"""),0.0019)</f>
        <v>0.0019</v>
      </c>
      <c r="R909" s="276">
        <f>IFERROR(__xludf.DUMMYFUNCTION("""COMPUTED_VALUE"""),0.0)</f>
        <v>0</v>
      </c>
      <c r="S909" s="208">
        <f>IFERROR(__xludf.DUMMYFUNCTION("""COMPUTED_VALUE"""),0.0)</f>
        <v>0</v>
      </c>
      <c r="T909" s="208">
        <f>IFERROR(__xludf.DUMMYFUNCTION("""COMPUTED_VALUE"""),1.0)</f>
        <v>1</v>
      </c>
      <c r="U909" s="275">
        <f>IFERROR(__xludf.DUMMYFUNCTION("""COMPUTED_VALUE"""),0.0)</f>
        <v>0</v>
      </c>
      <c r="V909" s="234" t="str">
        <f>IFERROR(__xludf.DUMMYFUNCTION("""COMPUTED_VALUE"""),"offline")</f>
        <v>offline</v>
      </c>
      <c r="W909" s="232" t="str">
        <f>IFERROR(__xludf.DUMMYFUNCTION("""COMPUTED_VALUE"""),"Sms")</f>
        <v>Sms</v>
      </c>
      <c r="X909" s="232" t="str">
        <f>IFERROR(__xludf.DUMMYFUNCTION("""COMPUTED_VALUE"""),"City Specific")</f>
        <v>City Specific</v>
      </c>
      <c r="Y909" s="232" t="str">
        <f>IFERROR(__xludf.DUMMYFUNCTION("""COMPUTED_VALUE"""),"06 Jun")</f>
        <v>06 Jun</v>
      </c>
      <c r="Z909" s="232" t="str">
        <f>IFERROR(__xludf.DUMMYFUNCTION("""COMPUTED_VALUE"""),"6a1eb4eb7d7fb6378e877908")</f>
        <v>6a1eb4eb7d7fb6378e877908</v>
      </c>
      <c r="AA909" s="277">
        <f>IFERROR(__xludf.DUMMYFUNCTION("""COMPUTED_VALUE"""),26.0)</f>
        <v>26</v>
      </c>
      <c r="AB909" s="277"/>
      <c r="AC909" s="277">
        <f>IFERROR(__xludf.DUMMYFUNCTION("""COMPUTED_VALUE"""),26.0)</f>
        <v>26</v>
      </c>
      <c r="AD909" s="277">
        <f>IFERROR(__xludf.DUMMYFUNCTION("""COMPUTED_VALUE"""),120141.0)</f>
        <v>120141</v>
      </c>
      <c r="AE909" s="277"/>
      <c r="AF909" s="277">
        <f>IFERROR(__xludf.DUMMYFUNCTION("""COMPUTED_VALUE"""),120141.0)</f>
        <v>120141</v>
      </c>
      <c r="AG909" s="208"/>
      <c r="AH909" s="208"/>
      <c r="AI909" s="208"/>
      <c r="AJ909" s="208"/>
      <c r="AK909" s="208"/>
    </row>
    <row r="910" hidden="1">
      <c r="A910" s="288">
        <f>IFERROR(__xludf.DUMMYFUNCTION("""COMPUTED_VALUE"""),46179.0)</f>
        <v>46179</v>
      </c>
      <c r="B910" s="274">
        <f>IFERROR(__xludf.DUMMYFUNCTION("""COMPUTED_VALUE"""),0.5416666666678793)</f>
        <v>0.5416666667</v>
      </c>
      <c r="C910" s="208" t="str">
        <f>IFERROR(__xludf.DUMMYFUNCTION("""COMPUTED_VALUE"""),"Sms")</f>
        <v>Sms</v>
      </c>
      <c r="D910" s="208" t="str">
        <f>IFERROR(__xludf.DUMMYFUNCTION("""COMPUTED_VALUE"""),"Fallback campaign")</f>
        <v>Fallback campaign</v>
      </c>
      <c r="E910" s="208" t="str">
        <f>IFERROR(__xludf.DUMMYFUNCTION("""COMPUTED_VALUE"""),"BBW")</f>
        <v>BBW</v>
      </c>
      <c r="F910" s="208" t="str">
        <f>IFERROR(__xludf.DUMMYFUNCTION("""COMPUTED_VALUE"""),"B2G2 - June'26 - Entire Store")</f>
        <v>B2G2 - June'26 - Entire Store</v>
      </c>
      <c r="G910" s="208" t="str">
        <f>IFERROR(__xludf.DUMMYFUNCTION("""COMPUTED_VALUE"""),"bbw_smsfb_b2g2_6june_lastreminder_chenn_offline")</f>
        <v>bbw_smsfb_b2g2_6june_lastreminder_chenn_offline</v>
      </c>
      <c r="H910" s="232" t="str">
        <f>IFERROR(__xludf.DUMMYFUNCTION("""COMPUTED_VALUE"""),"BBW_OFF_Chennai_Active, BBW_OFF_Chennai_Dorm")</f>
        <v>BBW_OFF_Chennai_Active, BBW_OFF_Chennai_Dorm</v>
      </c>
      <c r="I910" s="233" t="str">
        <f>IFERROR(__xludf.DUMMYFUNCTION("""COMPUTED_VALUE"""),"WA Undelivered")</f>
        <v>WA Undelivered</v>
      </c>
      <c r="J910" s="275">
        <f>IFERROR(__xludf.DUMMYFUNCTION("""COMPUTED_VALUE"""),12110.0)</f>
        <v>12110</v>
      </c>
      <c r="K910" s="275">
        <f>IFERROR(__xludf.DUMMYFUNCTION("""COMPUTED_VALUE"""),7696.0)</f>
        <v>7696</v>
      </c>
      <c r="L910" s="276">
        <f>IFERROR(__xludf.DUMMYFUNCTION("""COMPUTED_VALUE"""),0.6355)</f>
        <v>0.6355</v>
      </c>
      <c r="M910" s="275">
        <f>IFERROR(__xludf.DUMMYFUNCTION("""COMPUTED_VALUE"""),0.0)</f>
        <v>0</v>
      </c>
      <c r="N910" s="276">
        <f>IFERROR(__xludf.DUMMYFUNCTION("""COMPUTED_VALUE"""),0.0)</f>
        <v>0</v>
      </c>
      <c r="O910" s="208">
        <f>IFERROR(__xludf.DUMMYFUNCTION("""COMPUTED_VALUE"""),6.0)</f>
        <v>6</v>
      </c>
      <c r="P910" s="208">
        <f>IFERROR(__xludf.DUMMYFUNCTION("""COMPUTED_VALUE"""),0.0)</f>
        <v>0</v>
      </c>
      <c r="Q910" s="276">
        <f>IFERROR(__xludf.DUMMYFUNCTION("""COMPUTED_VALUE"""),8.0E-4)</f>
        <v>0.0008</v>
      </c>
      <c r="R910" s="276">
        <f>IFERROR(__xludf.DUMMYFUNCTION("""COMPUTED_VALUE"""),0.0)</f>
        <v>0</v>
      </c>
      <c r="S910" s="208">
        <f>IFERROR(__xludf.DUMMYFUNCTION("""COMPUTED_VALUE"""),0.0)</f>
        <v>0</v>
      </c>
      <c r="T910" s="208">
        <f>IFERROR(__xludf.DUMMYFUNCTION("""COMPUTED_VALUE"""),1.0)</f>
        <v>1</v>
      </c>
      <c r="U910" s="275">
        <f>IFERROR(__xludf.DUMMYFUNCTION("""COMPUTED_VALUE"""),0.0)</f>
        <v>0</v>
      </c>
      <c r="V910" s="234" t="str">
        <f>IFERROR(__xludf.DUMMYFUNCTION("""COMPUTED_VALUE"""),"offline")</f>
        <v>offline</v>
      </c>
      <c r="W910" s="232" t="str">
        <f>IFERROR(__xludf.DUMMYFUNCTION("""COMPUTED_VALUE"""),"Sms")</f>
        <v>Sms</v>
      </c>
      <c r="X910" s="232" t="str">
        <f>IFERROR(__xludf.DUMMYFUNCTION("""COMPUTED_VALUE"""),"City Specific")</f>
        <v>City Specific</v>
      </c>
      <c r="Y910" s="232" t="str">
        <f>IFERROR(__xludf.DUMMYFUNCTION("""COMPUTED_VALUE"""),"06 Jun")</f>
        <v>06 Jun</v>
      </c>
      <c r="Z910" s="232" t="str">
        <f>IFERROR(__xludf.DUMMYFUNCTION("""COMPUTED_VALUE"""),"6a1eb528f32ebf9da8ba89fb")</f>
        <v>6a1eb528f32ebf9da8ba89fb</v>
      </c>
      <c r="AA910" s="277">
        <f>IFERROR(__xludf.DUMMYFUNCTION("""COMPUTED_VALUE"""),12.0)</f>
        <v>12</v>
      </c>
      <c r="AB910" s="277"/>
      <c r="AC910" s="277">
        <f>IFERROR(__xludf.DUMMYFUNCTION("""COMPUTED_VALUE"""),12.0)</f>
        <v>12</v>
      </c>
      <c r="AD910" s="277">
        <f>IFERROR(__xludf.DUMMYFUNCTION("""COMPUTED_VALUE"""),60370.0)</f>
        <v>60370</v>
      </c>
      <c r="AE910" s="277"/>
      <c r="AF910" s="277">
        <f>IFERROR(__xludf.DUMMYFUNCTION("""COMPUTED_VALUE"""),60370.0)</f>
        <v>60370</v>
      </c>
      <c r="AG910" s="208"/>
      <c r="AH910" s="208"/>
      <c r="AI910" s="208"/>
      <c r="AJ910" s="208"/>
      <c r="AK910" s="208"/>
    </row>
    <row r="911" hidden="1">
      <c r="A911" s="288">
        <f>IFERROR(__xludf.DUMMYFUNCTION("""COMPUTED_VALUE"""),46179.0)</f>
        <v>46179</v>
      </c>
      <c r="B911" s="274">
        <f>IFERROR(__xludf.DUMMYFUNCTION("""COMPUTED_VALUE"""),0.5416666666678793)</f>
        <v>0.5416666667</v>
      </c>
      <c r="C911" s="208" t="str">
        <f>IFERROR(__xludf.DUMMYFUNCTION("""COMPUTED_VALUE"""),"Sms")</f>
        <v>Sms</v>
      </c>
      <c r="D911" s="208" t="str">
        <f>IFERROR(__xludf.DUMMYFUNCTION("""COMPUTED_VALUE"""),"Fallback campaign")</f>
        <v>Fallback campaign</v>
      </c>
      <c r="E911" s="208" t="str">
        <f>IFERROR(__xludf.DUMMYFUNCTION("""COMPUTED_VALUE"""),"BBW")</f>
        <v>BBW</v>
      </c>
      <c r="F911" s="208" t="str">
        <f>IFERROR(__xludf.DUMMYFUNCTION("""COMPUTED_VALUE"""),"B2G2 - June'26 - Entire Store")</f>
        <v>B2G2 - June'26 - Entire Store</v>
      </c>
      <c r="G911" s="208" t="str">
        <f>IFERROR(__xludf.DUMMYFUNCTION("""COMPUTED_VALUE"""),"bbw_smsfb_b2g2_6june_lastreminder_hyd_offline")</f>
        <v>bbw_smsfb_b2g2_6june_lastreminder_hyd_offline</v>
      </c>
      <c r="H911" s="232" t="str">
        <f>IFERROR(__xludf.DUMMYFUNCTION("""COMPUTED_VALUE"""),"BBW_OFF_HYD_Active, BBW_OFF_HYD_Dorm")</f>
        <v>BBW_OFF_HYD_Active, BBW_OFF_HYD_Dorm</v>
      </c>
      <c r="I911" s="233" t="str">
        <f>IFERROR(__xludf.DUMMYFUNCTION("""COMPUTED_VALUE"""),"WA Undelivered")</f>
        <v>WA Undelivered</v>
      </c>
      <c r="J911" s="275">
        <f>IFERROR(__xludf.DUMMYFUNCTION("""COMPUTED_VALUE"""),16631.0)</f>
        <v>16631</v>
      </c>
      <c r="K911" s="275">
        <f>IFERROR(__xludf.DUMMYFUNCTION("""COMPUTED_VALUE"""),10690.0)</f>
        <v>10690</v>
      </c>
      <c r="L911" s="276">
        <f>IFERROR(__xludf.DUMMYFUNCTION("""COMPUTED_VALUE"""),0.6428)</f>
        <v>0.6428</v>
      </c>
      <c r="M911" s="275">
        <f>IFERROR(__xludf.DUMMYFUNCTION("""COMPUTED_VALUE"""),0.0)</f>
        <v>0</v>
      </c>
      <c r="N911" s="276">
        <f>IFERROR(__xludf.DUMMYFUNCTION("""COMPUTED_VALUE"""),0.0)</f>
        <v>0</v>
      </c>
      <c r="O911" s="208">
        <f>IFERROR(__xludf.DUMMYFUNCTION("""COMPUTED_VALUE"""),9.0)</f>
        <v>9</v>
      </c>
      <c r="P911" s="208">
        <f>IFERROR(__xludf.DUMMYFUNCTION("""COMPUTED_VALUE"""),0.0)</f>
        <v>0</v>
      </c>
      <c r="Q911" s="276">
        <f>IFERROR(__xludf.DUMMYFUNCTION("""COMPUTED_VALUE"""),8.0E-4)</f>
        <v>0.0008</v>
      </c>
      <c r="R911" s="276">
        <f>IFERROR(__xludf.DUMMYFUNCTION("""COMPUTED_VALUE"""),0.0)</f>
        <v>0</v>
      </c>
      <c r="S911" s="208">
        <f>IFERROR(__xludf.DUMMYFUNCTION("""COMPUTED_VALUE"""),0.0)</f>
        <v>0</v>
      </c>
      <c r="T911" s="208">
        <f>IFERROR(__xludf.DUMMYFUNCTION("""COMPUTED_VALUE"""),1.0)</f>
        <v>1</v>
      </c>
      <c r="U911" s="275">
        <f>IFERROR(__xludf.DUMMYFUNCTION("""COMPUTED_VALUE"""),0.0)</f>
        <v>0</v>
      </c>
      <c r="V911" s="234" t="str">
        <f>IFERROR(__xludf.DUMMYFUNCTION("""COMPUTED_VALUE"""),"offline")</f>
        <v>offline</v>
      </c>
      <c r="W911" s="232" t="str">
        <f>IFERROR(__xludf.DUMMYFUNCTION("""COMPUTED_VALUE"""),"Sms")</f>
        <v>Sms</v>
      </c>
      <c r="X911" s="232" t="str">
        <f>IFERROR(__xludf.DUMMYFUNCTION("""COMPUTED_VALUE"""),"City Specific")</f>
        <v>City Specific</v>
      </c>
      <c r="Y911" s="232" t="str">
        <f>IFERROR(__xludf.DUMMYFUNCTION("""COMPUTED_VALUE"""),"06 June")</f>
        <v>06 June</v>
      </c>
      <c r="Z911" s="232" t="str">
        <f>IFERROR(__xludf.DUMMYFUNCTION("""COMPUTED_VALUE"""),"6a1eb5609e5ae750f273819b")</f>
        <v>6a1eb5609e5ae750f273819b</v>
      </c>
      <c r="AA911" s="277">
        <f>IFERROR(__xludf.DUMMYFUNCTION("""COMPUTED_VALUE"""),12.0)</f>
        <v>12</v>
      </c>
      <c r="AB911" s="277"/>
      <c r="AC911" s="277">
        <f>IFERROR(__xludf.DUMMYFUNCTION("""COMPUTED_VALUE"""),12.0)</f>
        <v>12</v>
      </c>
      <c r="AD911" s="277">
        <f>IFERROR(__xludf.DUMMYFUNCTION("""COMPUTED_VALUE"""),45773.0)</f>
        <v>45773</v>
      </c>
      <c r="AE911" s="277"/>
      <c r="AF911" s="277">
        <f>IFERROR(__xludf.DUMMYFUNCTION("""COMPUTED_VALUE"""),45773.0)</f>
        <v>45773</v>
      </c>
      <c r="AG911" s="208"/>
      <c r="AH911" s="208"/>
      <c r="AI911" s="208"/>
      <c r="AJ911" s="208"/>
      <c r="AK911" s="208"/>
    </row>
    <row r="912" hidden="1">
      <c r="A912" s="288">
        <f>IFERROR(__xludf.DUMMYFUNCTION("""COMPUTED_VALUE"""),46179.0)</f>
        <v>46179</v>
      </c>
      <c r="B912" s="274">
        <f>IFERROR(__xludf.DUMMYFUNCTION("""COMPUTED_VALUE"""),0.5416666666678793)</f>
        <v>0.5416666667</v>
      </c>
      <c r="C912" s="208" t="str">
        <f>IFERROR(__xludf.DUMMYFUNCTION("""COMPUTED_VALUE"""),"Sms")</f>
        <v>Sms</v>
      </c>
      <c r="D912" s="208" t="str">
        <f>IFERROR(__xludf.DUMMYFUNCTION("""COMPUTED_VALUE"""),"Fallback campaign")</f>
        <v>Fallback campaign</v>
      </c>
      <c r="E912" s="208" t="str">
        <f>IFERROR(__xludf.DUMMYFUNCTION("""COMPUTED_VALUE"""),"BBW")</f>
        <v>BBW</v>
      </c>
      <c r="F912" s="208" t="str">
        <f>IFERROR(__xludf.DUMMYFUNCTION("""COMPUTED_VALUE"""),"B2G2 - June'26 - Entire Store")</f>
        <v>B2G2 - June'26 - Entire Store</v>
      </c>
      <c r="G912" s="208" t="str">
        <f>IFERROR(__xludf.DUMMYFUNCTION("""COMPUTED_VALUE"""),"bbw_smsfb_b2g2_6june_lastreminder_chd_offline")</f>
        <v>bbw_smsfb_b2g2_6june_lastreminder_chd_offline</v>
      </c>
      <c r="H912" s="232" t="str">
        <f>IFERROR(__xludf.DUMMYFUNCTION("""COMPUTED_VALUE"""),"BBW_OFF_CHD_Active, BBW_OFF_CHD_Dorm")</f>
        <v>BBW_OFF_CHD_Active, BBW_OFF_CHD_Dorm</v>
      </c>
      <c r="I912" s="233" t="str">
        <f>IFERROR(__xludf.DUMMYFUNCTION("""COMPUTED_VALUE"""),"WA Undelivered")</f>
        <v>WA Undelivered</v>
      </c>
      <c r="J912" s="275">
        <f>IFERROR(__xludf.DUMMYFUNCTION("""COMPUTED_VALUE"""),13023.0)</f>
        <v>13023</v>
      </c>
      <c r="K912" s="275">
        <f>IFERROR(__xludf.DUMMYFUNCTION("""COMPUTED_VALUE"""),8367.0)</f>
        <v>8367</v>
      </c>
      <c r="L912" s="276">
        <f>IFERROR(__xludf.DUMMYFUNCTION("""COMPUTED_VALUE"""),0.6425)</f>
        <v>0.6425</v>
      </c>
      <c r="M912" s="275">
        <f>IFERROR(__xludf.DUMMYFUNCTION("""COMPUTED_VALUE"""),0.0)</f>
        <v>0</v>
      </c>
      <c r="N912" s="276">
        <f>IFERROR(__xludf.DUMMYFUNCTION("""COMPUTED_VALUE"""),0.0)</f>
        <v>0</v>
      </c>
      <c r="O912" s="208">
        <f>IFERROR(__xludf.DUMMYFUNCTION("""COMPUTED_VALUE"""),9.0)</f>
        <v>9</v>
      </c>
      <c r="P912" s="208">
        <f>IFERROR(__xludf.DUMMYFUNCTION("""COMPUTED_VALUE"""),0.0)</f>
        <v>0</v>
      </c>
      <c r="Q912" s="276">
        <f>IFERROR(__xludf.DUMMYFUNCTION("""COMPUTED_VALUE"""),0.0011)</f>
        <v>0.0011</v>
      </c>
      <c r="R912" s="276">
        <f>IFERROR(__xludf.DUMMYFUNCTION("""COMPUTED_VALUE"""),0.0)</f>
        <v>0</v>
      </c>
      <c r="S912" s="208">
        <f>IFERROR(__xludf.DUMMYFUNCTION("""COMPUTED_VALUE"""),0.0)</f>
        <v>0</v>
      </c>
      <c r="T912" s="208">
        <f>IFERROR(__xludf.DUMMYFUNCTION("""COMPUTED_VALUE"""),3.0)</f>
        <v>3</v>
      </c>
      <c r="U912" s="275">
        <f>IFERROR(__xludf.DUMMYFUNCTION("""COMPUTED_VALUE"""),0.0)</f>
        <v>0</v>
      </c>
      <c r="V912" s="234" t="str">
        <f>IFERROR(__xludf.DUMMYFUNCTION("""COMPUTED_VALUE"""),"offline")</f>
        <v>offline</v>
      </c>
      <c r="W912" s="232" t="str">
        <f>IFERROR(__xludf.DUMMYFUNCTION("""COMPUTED_VALUE"""),"Sms")</f>
        <v>Sms</v>
      </c>
      <c r="X912" s="232" t="str">
        <f>IFERROR(__xludf.DUMMYFUNCTION("""COMPUTED_VALUE"""),"City Specific")</f>
        <v>City Specific</v>
      </c>
      <c r="Y912" s="232" t="str">
        <f>IFERROR(__xludf.DUMMYFUNCTION("""COMPUTED_VALUE"""),"06 June")</f>
        <v>06 June</v>
      </c>
      <c r="Z912" s="232" t="str">
        <f>IFERROR(__xludf.DUMMYFUNCTION("""COMPUTED_VALUE"""),"6a1eb5a9634f0ba09a3602ed")</f>
        <v>6a1eb5a9634f0ba09a3602ed</v>
      </c>
      <c r="AA912" s="277">
        <f>IFERROR(__xludf.DUMMYFUNCTION("""COMPUTED_VALUE"""),13.0)</f>
        <v>13</v>
      </c>
      <c r="AB912" s="277"/>
      <c r="AC912" s="277">
        <f>IFERROR(__xludf.DUMMYFUNCTION("""COMPUTED_VALUE"""),13.0)</f>
        <v>13</v>
      </c>
      <c r="AD912" s="277">
        <f>IFERROR(__xludf.DUMMYFUNCTION("""COMPUTED_VALUE"""),55071.0)</f>
        <v>55071</v>
      </c>
      <c r="AE912" s="277"/>
      <c r="AF912" s="277">
        <f>IFERROR(__xludf.DUMMYFUNCTION("""COMPUTED_VALUE"""),55071.0)</f>
        <v>55071</v>
      </c>
      <c r="AG912" s="208"/>
      <c r="AH912" s="208"/>
      <c r="AI912" s="208"/>
      <c r="AJ912" s="208"/>
      <c r="AK912" s="208"/>
    </row>
    <row r="913" hidden="1">
      <c r="A913" s="288">
        <f>IFERROR(__xludf.DUMMYFUNCTION("""COMPUTED_VALUE"""),46179.0)</f>
        <v>46179</v>
      </c>
      <c r="B913" s="274">
        <f>IFERROR(__xludf.DUMMYFUNCTION("""COMPUTED_VALUE"""),0.5416666666678793)</f>
        <v>0.5416666667</v>
      </c>
      <c r="C913" s="208" t="str">
        <f>IFERROR(__xludf.DUMMYFUNCTION("""COMPUTED_VALUE"""),"Sms")</f>
        <v>Sms</v>
      </c>
      <c r="D913" s="208" t="str">
        <f>IFERROR(__xludf.DUMMYFUNCTION("""COMPUTED_VALUE"""),"Fallback campaign")</f>
        <v>Fallback campaign</v>
      </c>
      <c r="E913" s="208" t="str">
        <f>IFERROR(__xludf.DUMMYFUNCTION("""COMPUTED_VALUE"""),"BBW")</f>
        <v>BBW</v>
      </c>
      <c r="F913" s="208" t="str">
        <f>IFERROR(__xludf.DUMMYFUNCTION("""COMPUTED_VALUE"""),"B2G2 - June'26 - Entire Store")</f>
        <v>B2G2 - June'26 - Entire Store</v>
      </c>
      <c r="G913" s="208" t="str">
        <f>IFERROR(__xludf.DUMMYFUNCTION("""COMPUTED_VALUE"""),"bbw_smsfb_b2g2_6june_lastreminder_ggn_offline")</f>
        <v>bbw_smsfb_b2g2_6june_lastreminder_ggn_offline</v>
      </c>
      <c r="H913" s="232" t="str">
        <f>IFERROR(__xludf.DUMMYFUNCTION("""COMPUTED_VALUE"""),"BBW_OFF_GGN_Active, BBW_OFF_GGN_Dorm")</f>
        <v>BBW_OFF_GGN_Active, BBW_OFF_GGN_Dorm</v>
      </c>
      <c r="I913" s="233" t="str">
        <f>IFERROR(__xludf.DUMMYFUNCTION("""COMPUTED_VALUE"""),"WA Undelivered")</f>
        <v>WA Undelivered</v>
      </c>
      <c r="J913" s="275">
        <f>IFERROR(__xludf.DUMMYFUNCTION("""COMPUTED_VALUE"""),12418.0)</f>
        <v>12418</v>
      </c>
      <c r="K913" s="275">
        <f>IFERROR(__xludf.DUMMYFUNCTION("""COMPUTED_VALUE"""),6256.0)</f>
        <v>6256</v>
      </c>
      <c r="L913" s="276">
        <f>IFERROR(__xludf.DUMMYFUNCTION("""COMPUTED_VALUE"""),0.5038)</f>
        <v>0.5038</v>
      </c>
      <c r="M913" s="275">
        <f>IFERROR(__xludf.DUMMYFUNCTION("""COMPUTED_VALUE"""),0.0)</f>
        <v>0</v>
      </c>
      <c r="N913" s="276">
        <f>IFERROR(__xludf.DUMMYFUNCTION("""COMPUTED_VALUE"""),0.0)</f>
        <v>0</v>
      </c>
      <c r="O913" s="208">
        <f>IFERROR(__xludf.DUMMYFUNCTION("""COMPUTED_VALUE"""),5.0)</f>
        <v>5</v>
      </c>
      <c r="P913" s="208">
        <f>IFERROR(__xludf.DUMMYFUNCTION("""COMPUTED_VALUE"""),0.0)</f>
        <v>0</v>
      </c>
      <c r="Q913" s="276">
        <f>IFERROR(__xludf.DUMMYFUNCTION("""COMPUTED_VALUE"""),8.0E-4)</f>
        <v>0.0008</v>
      </c>
      <c r="R913" s="276">
        <f>IFERROR(__xludf.DUMMYFUNCTION("""COMPUTED_VALUE"""),0.0)</f>
        <v>0</v>
      </c>
      <c r="S913" s="208">
        <f>IFERROR(__xludf.DUMMYFUNCTION("""COMPUTED_VALUE"""),0.0)</f>
        <v>0</v>
      </c>
      <c r="T913" s="208">
        <f>IFERROR(__xludf.DUMMYFUNCTION("""COMPUTED_VALUE"""),0.0)</f>
        <v>0</v>
      </c>
      <c r="U913" s="275">
        <f>IFERROR(__xludf.DUMMYFUNCTION("""COMPUTED_VALUE"""),0.0)</f>
        <v>0</v>
      </c>
      <c r="V913" s="234" t="str">
        <f>IFERROR(__xludf.DUMMYFUNCTION("""COMPUTED_VALUE"""),"offline")</f>
        <v>offline</v>
      </c>
      <c r="W913" s="232" t="str">
        <f>IFERROR(__xludf.DUMMYFUNCTION("""COMPUTED_VALUE"""),"Sms")</f>
        <v>Sms</v>
      </c>
      <c r="X913" s="232" t="str">
        <f>IFERROR(__xludf.DUMMYFUNCTION("""COMPUTED_VALUE"""),"City Specific")</f>
        <v>City Specific</v>
      </c>
      <c r="Y913" s="232" t="str">
        <f>IFERROR(__xludf.DUMMYFUNCTION("""COMPUTED_VALUE"""),"06 June")</f>
        <v>06 June</v>
      </c>
      <c r="Z913" s="232" t="str">
        <f>IFERROR(__xludf.DUMMYFUNCTION("""COMPUTED_VALUE"""),"6a1eb6a6e97af95774ad20a0")</f>
        <v>6a1eb6a6e97af95774ad20a0</v>
      </c>
      <c r="AA913" s="277">
        <f>IFERROR(__xludf.DUMMYFUNCTION("""COMPUTED_VALUE"""),13.0)</f>
        <v>13</v>
      </c>
      <c r="AB913" s="277"/>
      <c r="AC913" s="277">
        <f>IFERROR(__xludf.DUMMYFUNCTION("""COMPUTED_VALUE"""),13.0)</f>
        <v>13</v>
      </c>
      <c r="AD913" s="277">
        <f>IFERROR(__xludf.DUMMYFUNCTION("""COMPUTED_VALUE"""),64061.0)</f>
        <v>64061</v>
      </c>
      <c r="AE913" s="277"/>
      <c r="AF913" s="277">
        <f>IFERROR(__xludf.DUMMYFUNCTION("""COMPUTED_VALUE"""),64061.0)</f>
        <v>64061</v>
      </c>
      <c r="AG913" s="208"/>
      <c r="AH913" s="208"/>
      <c r="AI913" s="208"/>
      <c r="AJ913" s="208"/>
      <c r="AK913" s="208"/>
    </row>
    <row r="914" hidden="1">
      <c r="A914" s="288">
        <f>IFERROR(__xludf.DUMMYFUNCTION("""COMPUTED_VALUE"""),46179.0)</f>
        <v>46179</v>
      </c>
      <c r="B914" s="274">
        <f>IFERROR(__xludf.DUMMYFUNCTION("""COMPUTED_VALUE"""),0.5416666666678793)</f>
        <v>0.5416666667</v>
      </c>
      <c r="C914" s="208" t="str">
        <f>IFERROR(__xludf.DUMMYFUNCTION("""COMPUTED_VALUE"""),"Sms")</f>
        <v>Sms</v>
      </c>
      <c r="D914" s="208" t="str">
        <f>IFERROR(__xludf.DUMMYFUNCTION("""COMPUTED_VALUE"""),"Fallback campaign")</f>
        <v>Fallback campaign</v>
      </c>
      <c r="E914" s="208" t="str">
        <f>IFERROR(__xludf.DUMMYFUNCTION("""COMPUTED_VALUE"""),"BBW")</f>
        <v>BBW</v>
      </c>
      <c r="F914" s="208" t="str">
        <f>IFERROR(__xludf.DUMMYFUNCTION("""COMPUTED_VALUE"""),"B2G2 - June'26 - Entire Store")</f>
        <v>B2G2 - June'26 - Entire Store</v>
      </c>
      <c r="G914" s="208" t="str">
        <f>IFERROR(__xludf.DUMMYFUNCTION("""COMPUTED_VALUE"""),"bbw_smsfb_b2g2_6june_lastreminder_noida_offline")</f>
        <v>bbw_smsfb_b2g2_6june_lastreminder_noida_offline</v>
      </c>
      <c r="H914" s="232" t="str">
        <f>IFERROR(__xludf.DUMMYFUNCTION("""COMPUTED_VALUE"""),"BBW_OFF_NOIDA_Active, BBW_OFF_NOIDA_Dorm")</f>
        <v>BBW_OFF_NOIDA_Active, BBW_OFF_NOIDA_Dorm</v>
      </c>
      <c r="I914" s="233" t="str">
        <f>IFERROR(__xludf.DUMMYFUNCTION("""COMPUTED_VALUE"""),"WA Undelivered")</f>
        <v>WA Undelivered</v>
      </c>
      <c r="J914" s="275">
        <f>IFERROR(__xludf.DUMMYFUNCTION("""COMPUTED_VALUE"""),13255.0)</f>
        <v>13255</v>
      </c>
      <c r="K914" s="275">
        <f>IFERROR(__xludf.DUMMYFUNCTION("""COMPUTED_VALUE"""),7158.0)</f>
        <v>7158</v>
      </c>
      <c r="L914" s="276">
        <f>IFERROR(__xludf.DUMMYFUNCTION("""COMPUTED_VALUE"""),0.54)</f>
        <v>0.54</v>
      </c>
      <c r="M914" s="275">
        <f>IFERROR(__xludf.DUMMYFUNCTION("""COMPUTED_VALUE"""),0.0)</f>
        <v>0</v>
      </c>
      <c r="N914" s="276">
        <f>IFERROR(__xludf.DUMMYFUNCTION("""COMPUTED_VALUE"""),0.0)</f>
        <v>0</v>
      </c>
      <c r="O914" s="208">
        <f>IFERROR(__xludf.DUMMYFUNCTION("""COMPUTED_VALUE"""),15.0)</f>
        <v>15</v>
      </c>
      <c r="P914" s="208">
        <f>IFERROR(__xludf.DUMMYFUNCTION("""COMPUTED_VALUE"""),0.0)</f>
        <v>0</v>
      </c>
      <c r="Q914" s="276">
        <f>IFERROR(__xludf.DUMMYFUNCTION("""COMPUTED_VALUE"""),0.0021)</f>
        <v>0.0021</v>
      </c>
      <c r="R914" s="276">
        <f>IFERROR(__xludf.DUMMYFUNCTION("""COMPUTED_VALUE"""),0.0)</f>
        <v>0</v>
      </c>
      <c r="S914" s="208">
        <f>IFERROR(__xludf.DUMMYFUNCTION("""COMPUTED_VALUE"""),0.0)</f>
        <v>0</v>
      </c>
      <c r="T914" s="208">
        <f>IFERROR(__xludf.DUMMYFUNCTION("""COMPUTED_VALUE"""),0.0)</f>
        <v>0</v>
      </c>
      <c r="U914" s="275">
        <f>IFERROR(__xludf.DUMMYFUNCTION("""COMPUTED_VALUE"""),0.0)</f>
        <v>0</v>
      </c>
      <c r="V914" s="234" t="str">
        <f>IFERROR(__xludf.DUMMYFUNCTION("""COMPUTED_VALUE"""),"offline")</f>
        <v>offline</v>
      </c>
      <c r="W914" s="232" t="str">
        <f>IFERROR(__xludf.DUMMYFUNCTION("""COMPUTED_VALUE"""),"Sms")</f>
        <v>Sms</v>
      </c>
      <c r="X914" s="232" t="str">
        <f>IFERROR(__xludf.DUMMYFUNCTION("""COMPUTED_VALUE"""),"City Specific")</f>
        <v>City Specific</v>
      </c>
      <c r="Y914" s="232" t="str">
        <f>IFERROR(__xludf.DUMMYFUNCTION("""COMPUTED_VALUE"""),"06 June")</f>
        <v>06 June</v>
      </c>
      <c r="Z914" s="232" t="str">
        <f>IFERROR(__xludf.DUMMYFUNCTION("""COMPUTED_VALUE"""),"6a1eb7188443ee161b9dc735")</f>
        <v>6a1eb7188443ee161b9dc735</v>
      </c>
      <c r="AA914" s="277">
        <f>IFERROR(__xludf.DUMMYFUNCTION("""COMPUTED_VALUE"""),15.0)</f>
        <v>15</v>
      </c>
      <c r="AB914" s="277"/>
      <c r="AC914" s="277">
        <f>IFERROR(__xludf.DUMMYFUNCTION("""COMPUTED_VALUE"""),15.0)</f>
        <v>15</v>
      </c>
      <c r="AD914" s="277">
        <f>IFERROR(__xludf.DUMMYFUNCTION("""COMPUTED_VALUE"""),72457.0)</f>
        <v>72457</v>
      </c>
      <c r="AE914" s="277"/>
      <c r="AF914" s="277">
        <f>IFERROR(__xludf.DUMMYFUNCTION("""COMPUTED_VALUE"""),72457.0)</f>
        <v>72457</v>
      </c>
      <c r="AG914" s="208"/>
      <c r="AH914" s="208"/>
      <c r="AI914" s="208"/>
      <c r="AJ914" s="208"/>
      <c r="AK914" s="208"/>
    </row>
    <row r="915" hidden="1">
      <c r="A915" s="288">
        <f>IFERROR(__xludf.DUMMYFUNCTION("""COMPUTED_VALUE"""),46179.0)</f>
        <v>46179</v>
      </c>
      <c r="B915" s="274">
        <f>IFERROR(__xludf.DUMMYFUNCTION("""COMPUTED_VALUE"""),0.5416666666678793)</f>
        <v>0.5416666667</v>
      </c>
      <c r="C915" s="208" t="str">
        <f>IFERROR(__xludf.DUMMYFUNCTION("""COMPUTED_VALUE"""),"Sms")</f>
        <v>Sms</v>
      </c>
      <c r="D915" s="208" t="str">
        <f>IFERROR(__xludf.DUMMYFUNCTION("""COMPUTED_VALUE"""),"Fallback campaign")</f>
        <v>Fallback campaign</v>
      </c>
      <c r="E915" s="208" t="str">
        <f>IFERROR(__xludf.DUMMYFUNCTION("""COMPUTED_VALUE"""),"BBW")</f>
        <v>BBW</v>
      </c>
      <c r="F915" s="208" t="str">
        <f>IFERROR(__xludf.DUMMYFUNCTION("""COMPUTED_VALUE"""),"B2G2 - June'26 - Entire Store")</f>
        <v>B2G2 - June'26 - Entire Store</v>
      </c>
      <c r="G915" s="208" t="str">
        <f>IFERROR(__xludf.DUMMYFUNCTION("""COMPUTED_VALUE"""),"bbw_smsfb_b2g2_6june_lastreminder_thane_offline")</f>
        <v>bbw_smsfb_b2g2_6june_lastreminder_thane_offline</v>
      </c>
      <c r="H915" s="232" t="str">
        <f>IFERROR(__xludf.DUMMYFUNCTION("""COMPUTED_VALUE"""),"BBW_OFF_THANE_Active, BBW_OFF_THANE_Dorm")</f>
        <v>BBW_OFF_THANE_Active, BBW_OFF_THANE_Dorm</v>
      </c>
      <c r="I915" s="233" t="str">
        <f>IFERROR(__xludf.DUMMYFUNCTION("""COMPUTED_VALUE"""),"WA Undelivered")</f>
        <v>WA Undelivered</v>
      </c>
      <c r="J915" s="275">
        <f>IFERROR(__xludf.DUMMYFUNCTION("""COMPUTED_VALUE"""),6461.0)</f>
        <v>6461</v>
      </c>
      <c r="K915" s="275">
        <f>IFERROR(__xludf.DUMMYFUNCTION("""COMPUTED_VALUE"""),3634.0)</f>
        <v>3634</v>
      </c>
      <c r="L915" s="276">
        <f>IFERROR(__xludf.DUMMYFUNCTION("""COMPUTED_VALUE"""),0.5625)</f>
        <v>0.5625</v>
      </c>
      <c r="M915" s="275">
        <f>IFERROR(__xludf.DUMMYFUNCTION("""COMPUTED_VALUE"""),0.0)</f>
        <v>0</v>
      </c>
      <c r="N915" s="276">
        <f>IFERROR(__xludf.DUMMYFUNCTION("""COMPUTED_VALUE"""),0.0)</f>
        <v>0</v>
      </c>
      <c r="O915" s="208">
        <f>IFERROR(__xludf.DUMMYFUNCTION("""COMPUTED_VALUE"""),5.0)</f>
        <v>5</v>
      </c>
      <c r="P915" s="208">
        <f>IFERROR(__xludf.DUMMYFUNCTION("""COMPUTED_VALUE"""),0.0)</f>
        <v>0</v>
      </c>
      <c r="Q915" s="276">
        <f>IFERROR(__xludf.DUMMYFUNCTION("""COMPUTED_VALUE"""),0.0014)</f>
        <v>0.0014</v>
      </c>
      <c r="R915" s="276">
        <f>IFERROR(__xludf.DUMMYFUNCTION("""COMPUTED_VALUE"""),0.0)</f>
        <v>0</v>
      </c>
      <c r="S915" s="208">
        <f>IFERROR(__xludf.DUMMYFUNCTION("""COMPUTED_VALUE"""),0.0)</f>
        <v>0</v>
      </c>
      <c r="T915" s="208">
        <f>IFERROR(__xludf.DUMMYFUNCTION("""COMPUTED_VALUE"""),0.0)</f>
        <v>0</v>
      </c>
      <c r="U915" s="275">
        <f>IFERROR(__xludf.DUMMYFUNCTION("""COMPUTED_VALUE"""),0.0)</f>
        <v>0</v>
      </c>
      <c r="V915" s="234" t="str">
        <f>IFERROR(__xludf.DUMMYFUNCTION("""COMPUTED_VALUE"""),"offline")</f>
        <v>offline</v>
      </c>
      <c r="W915" s="232" t="str">
        <f>IFERROR(__xludf.DUMMYFUNCTION("""COMPUTED_VALUE"""),"Sms")</f>
        <v>Sms</v>
      </c>
      <c r="X915" s="232" t="str">
        <f>IFERROR(__xludf.DUMMYFUNCTION("""COMPUTED_VALUE"""),"City Specific")</f>
        <v>City Specific</v>
      </c>
      <c r="Y915" s="232" t="str">
        <f>IFERROR(__xludf.DUMMYFUNCTION("""COMPUTED_VALUE"""),"06 June")</f>
        <v>06 June</v>
      </c>
      <c r="Z915" s="232" t="str">
        <f>IFERROR(__xludf.DUMMYFUNCTION("""COMPUTED_VALUE"""),"6a1eb75a2526e670c726cd54")</f>
        <v>6a1eb75a2526e670c726cd54</v>
      </c>
      <c r="AA915" s="277">
        <f>IFERROR(__xludf.DUMMYFUNCTION("""COMPUTED_VALUE"""),8.0)</f>
        <v>8</v>
      </c>
      <c r="AB915" s="277"/>
      <c r="AC915" s="277">
        <f>IFERROR(__xludf.DUMMYFUNCTION("""COMPUTED_VALUE"""),8.0)</f>
        <v>8</v>
      </c>
      <c r="AD915" s="277">
        <f>IFERROR(__xludf.DUMMYFUNCTION("""COMPUTED_VALUE"""),47276.0)</f>
        <v>47276</v>
      </c>
      <c r="AE915" s="277"/>
      <c r="AF915" s="277">
        <f>IFERROR(__xludf.DUMMYFUNCTION("""COMPUTED_VALUE"""),47276.0)</f>
        <v>47276</v>
      </c>
      <c r="AG915" s="208"/>
      <c r="AH915" s="208"/>
      <c r="AI915" s="208"/>
      <c r="AJ915" s="208"/>
      <c r="AK915" s="208"/>
    </row>
    <row r="916" hidden="1">
      <c r="A916" s="288">
        <f>IFERROR(__xludf.DUMMYFUNCTION("""COMPUTED_VALUE"""),46179.0)</f>
        <v>46179</v>
      </c>
      <c r="B916" s="274">
        <f>IFERROR(__xludf.DUMMYFUNCTION("""COMPUTED_VALUE"""),0.5416666666678793)</f>
        <v>0.5416666667</v>
      </c>
      <c r="C916" s="208" t="str">
        <f>IFERROR(__xludf.DUMMYFUNCTION("""COMPUTED_VALUE"""),"Sms")</f>
        <v>Sms</v>
      </c>
      <c r="D916" s="208" t="str">
        <f>IFERROR(__xludf.DUMMYFUNCTION("""COMPUTED_VALUE"""),"Fallback campaign")</f>
        <v>Fallback campaign</v>
      </c>
      <c r="E916" s="208" t="str">
        <f>IFERROR(__xludf.DUMMYFUNCTION("""COMPUTED_VALUE"""),"BBW")</f>
        <v>BBW</v>
      </c>
      <c r="F916" s="208" t="str">
        <f>IFERROR(__xludf.DUMMYFUNCTION("""COMPUTED_VALUE"""),"B2G2 - June'26 - Entire Store")</f>
        <v>B2G2 - June'26 - Entire Store</v>
      </c>
      <c r="G916" s="208" t="str">
        <f>IFERROR(__xludf.DUMMYFUNCTION("""COMPUTED_VALUE"""),"bbw_smsfb_b2g2_6june_lastreminder_vad_offline")</f>
        <v>bbw_smsfb_b2g2_6june_lastreminder_vad_offline</v>
      </c>
      <c r="H916" s="232" t="str">
        <f>IFERROR(__xludf.DUMMYFUNCTION("""COMPUTED_VALUE"""),"BBW_OFF_Vadodara_Active, BBW_OFF_Vadodara_Dorm")</f>
        <v>BBW_OFF_Vadodara_Active, BBW_OFF_Vadodara_Dorm</v>
      </c>
      <c r="I916" s="233" t="str">
        <f>IFERROR(__xludf.DUMMYFUNCTION("""COMPUTED_VALUE"""),"WA Undelivered")</f>
        <v>WA Undelivered</v>
      </c>
      <c r="J916" s="275">
        <f>IFERROR(__xludf.DUMMYFUNCTION("""COMPUTED_VALUE"""),4827.0)</f>
        <v>4827</v>
      </c>
      <c r="K916" s="275">
        <f>IFERROR(__xludf.DUMMYFUNCTION("""COMPUTED_VALUE"""),2644.0)</f>
        <v>2644</v>
      </c>
      <c r="L916" s="276">
        <f>IFERROR(__xludf.DUMMYFUNCTION("""COMPUTED_VALUE"""),0.5478)</f>
        <v>0.5478</v>
      </c>
      <c r="M916" s="275">
        <f>IFERROR(__xludf.DUMMYFUNCTION("""COMPUTED_VALUE"""),0.0)</f>
        <v>0</v>
      </c>
      <c r="N916" s="276">
        <f>IFERROR(__xludf.DUMMYFUNCTION("""COMPUTED_VALUE"""),0.0)</f>
        <v>0</v>
      </c>
      <c r="O916" s="208">
        <f>IFERROR(__xludf.DUMMYFUNCTION("""COMPUTED_VALUE"""),3.0)</f>
        <v>3</v>
      </c>
      <c r="P916" s="208">
        <f>IFERROR(__xludf.DUMMYFUNCTION("""COMPUTED_VALUE"""),0.0)</f>
        <v>0</v>
      </c>
      <c r="Q916" s="276">
        <f>IFERROR(__xludf.DUMMYFUNCTION("""COMPUTED_VALUE"""),0.0011)</f>
        <v>0.0011</v>
      </c>
      <c r="R916" s="276">
        <f>IFERROR(__xludf.DUMMYFUNCTION("""COMPUTED_VALUE"""),0.0)</f>
        <v>0</v>
      </c>
      <c r="S916" s="208">
        <f>IFERROR(__xludf.DUMMYFUNCTION("""COMPUTED_VALUE"""),0.0)</f>
        <v>0</v>
      </c>
      <c r="T916" s="208">
        <f>IFERROR(__xludf.DUMMYFUNCTION("""COMPUTED_VALUE"""),0.0)</f>
        <v>0</v>
      </c>
      <c r="U916" s="275">
        <f>IFERROR(__xludf.DUMMYFUNCTION("""COMPUTED_VALUE"""),0.0)</f>
        <v>0</v>
      </c>
      <c r="V916" s="234" t="str">
        <f>IFERROR(__xludf.DUMMYFUNCTION("""COMPUTED_VALUE"""),"offline")</f>
        <v>offline</v>
      </c>
      <c r="W916" s="232" t="str">
        <f>IFERROR(__xludf.DUMMYFUNCTION("""COMPUTED_VALUE"""),"Sms")</f>
        <v>Sms</v>
      </c>
      <c r="X916" s="232" t="str">
        <f>IFERROR(__xludf.DUMMYFUNCTION("""COMPUTED_VALUE"""),"City Specific")</f>
        <v>City Specific</v>
      </c>
      <c r="Y916" s="232" t="str">
        <f>IFERROR(__xludf.DUMMYFUNCTION("""COMPUTED_VALUE"""),"06 Jun")</f>
        <v>06 Jun</v>
      </c>
      <c r="Z916" s="232" t="str">
        <f>IFERROR(__xludf.DUMMYFUNCTION("""COMPUTED_VALUE"""),"6a1eb79c9e5ae750f273823b")</f>
        <v>6a1eb79c9e5ae750f273823b</v>
      </c>
      <c r="AA916" s="277">
        <f>IFERROR(__xludf.DUMMYFUNCTION("""COMPUTED_VALUE"""),6.0)</f>
        <v>6</v>
      </c>
      <c r="AB916" s="277"/>
      <c r="AC916" s="277">
        <f>IFERROR(__xludf.DUMMYFUNCTION("""COMPUTED_VALUE"""),6.0)</f>
        <v>6</v>
      </c>
      <c r="AD916" s="277">
        <f>IFERROR(__xludf.DUMMYFUNCTION("""COMPUTED_VALUE"""),31384.0)</f>
        <v>31384</v>
      </c>
      <c r="AE916" s="277"/>
      <c r="AF916" s="277">
        <f>IFERROR(__xludf.DUMMYFUNCTION("""COMPUTED_VALUE"""),31384.0)</f>
        <v>31384</v>
      </c>
      <c r="AG916" s="208"/>
      <c r="AH916" s="208"/>
      <c r="AI916" s="208"/>
      <c r="AJ916" s="208"/>
      <c r="AK916" s="208"/>
    </row>
    <row r="917" hidden="1">
      <c r="A917" s="288">
        <f>IFERROR(__xludf.DUMMYFUNCTION("""COMPUTED_VALUE"""),46179.0)</f>
        <v>46179</v>
      </c>
      <c r="B917" s="274">
        <f>IFERROR(__xludf.DUMMYFUNCTION("""COMPUTED_VALUE"""),0.5416666666678793)</f>
        <v>0.5416666667</v>
      </c>
      <c r="C917" s="208" t="str">
        <f>IFERROR(__xludf.DUMMYFUNCTION("""COMPUTED_VALUE"""),"Sms")</f>
        <v>Sms</v>
      </c>
      <c r="D917" s="208" t="str">
        <f>IFERROR(__xludf.DUMMYFUNCTION("""COMPUTED_VALUE"""),"Fallback campaign")</f>
        <v>Fallback campaign</v>
      </c>
      <c r="E917" s="208" t="str">
        <f>IFERROR(__xludf.DUMMYFUNCTION("""COMPUTED_VALUE"""),"BBW")</f>
        <v>BBW</v>
      </c>
      <c r="F917" s="208" t="str">
        <f>IFERROR(__xludf.DUMMYFUNCTION("""COMPUTED_VALUE"""),"B2G2 - June'26 - Entire Store")</f>
        <v>B2G2 - June'26 - Entire Store</v>
      </c>
      <c r="G917" s="208" t="str">
        <f>IFERROR(__xludf.DUMMYFUNCTION("""COMPUTED_VALUE"""),"bbw_smsfb_b2g2_6june_lastreminder_kochi_offline")</f>
        <v>bbw_smsfb_b2g2_6june_lastreminder_kochi_offline</v>
      </c>
      <c r="H917" s="232" t="str">
        <f>IFERROR(__xludf.DUMMYFUNCTION("""COMPUTED_VALUE"""),"BBW_OFF_KOCHI_Active, BBW_OFF_KOCHI_Dorm")</f>
        <v>BBW_OFF_KOCHI_Active, BBW_OFF_KOCHI_Dorm</v>
      </c>
      <c r="I917" s="233" t="str">
        <f>IFERROR(__xludf.DUMMYFUNCTION("""COMPUTED_VALUE"""),"WA Undelivered")</f>
        <v>WA Undelivered</v>
      </c>
      <c r="J917" s="275">
        <f>IFERROR(__xludf.DUMMYFUNCTION("""COMPUTED_VALUE"""),5252.0)</f>
        <v>5252</v>
      </c>
      <c r="K917" s="275">
        <f>IFERROR(__xludf.DUMMYFUNCTION("""COMPUTED_VALUE"""),3431.0)</f>
        <v>3431</v>
      </c>
      <c r="L917" s="276">
        <f>IFERROR(__xludf.DUMMYFUNCTION("""COMPUTED_VALUE"""),0.6533)</f>
        <v>0.6533</v>
      </c>
      <c r="M917" s="275">
        <f>IFERROR(__xludf.DUMMYFUNCTION("""COMPUTED_VALUE"""),0.0)</f>
        <v>0</v>
      </c>
      <c r="N917" s="276">
        <f>IFERROR(__xludf.DUMMYFUNCTION("""COMPUTED_VALUE"""),0.0)</f>
        <v>0</v>
      </c>
      <c r="O917" s="208">
        <f>IFERROR(__xludf.DUMMYFUNCTION("""COMPUTED_VALUE"""),4.0)</f>
        <v>4</v>
      </c>
      <c r="P917" s="208">
        <f>IFERROR(__xludf.DUMMYFUNCTION("""COMPUTED_VALUE"""),0.0)</f>
        <v>0</v>
      </c>
      <c r="Q917" s="276">
        <f>IFERROR(__xludf.DUMMYFUNCTION("""COMPUTED_VALUE"""),0.0012)</f>
        <v>0.0012</v>
      </c>
      <c r="R917" s="276">
        <f>IFERROR(__xludf.DUMMYFUNCTION("""COMPUTED_VALUE"""),0.0)</f>
        <v>0</v>
      </c>
      <c r="S917" s="208">
        <f>IFERROR(__xludf.DUMMYFUNCTION("""COMPUTED_VALUE"""),0.0)</f>
        <v>0</v>
      </c>
      <c r="T917" s="208">
        <f>IFERROR(__xludf.DUMMYFUNCTION("""COMPUTED_VALUE"""),0.0)</f>
        <v>0</v>
      </c>
      <c r="U917" s="275">
        <f>IFERROR(__xludf.DUMMYFUNCTION("""COMPUTED_VALUE"""),0.0)</f>
        <v>0</v>
      </c>
      <c r="V917" s="234" t="str">
        <f>IFERROR(__xludf.DUMMYFUNCTION("""COMPUTED_VALUE"""),"offline")</f>
        <v>offline</v>
      </c>
      <c r="W917" s="232" t="str">
        <f>IFERROR(__xludf.DUMMYFUNCTION("""COMPUTED_VALUE"""),"Sms")</f>
        <v>Sms</v>
      </c>
      <c r="X917" s="232" t="str">
        <f>IFERROR(__xludf.DUMMYFUNCTION("""COMPUTED_VALUE"""),"City Specific")</f>
        <v>City Specific</v>
      </c>
      <c r="Y917" s="232" t="str">
        <f>IFERROR(__xludf.DUMMYFUNCTION("""COMPUTED_VALUE"""),"06 Jun")</f>
        <v>06 Jun</v>
      </c>
      <c r="Z917" s="232" t="str">
        <f>IFERROR(__xludf.DUMMYFUNCTION("""COMPUTED_VALUE"""),"6a1eb7ef81fef44d95c69a24")</f>
        <v>6a1eb7ef81fef44d95c69a24</v>
      </c>
      <c r="AA917" s="277">
        <f>IFERROR(__xludf.DUMMYFUNCTION("""COMPUTED_VALUE"""),2.0)</f>
        <v>2</v>
      </c>
      <c r="AB917" s="277"/>
      <c r="AC917" s="277">
        <f>IFERROR(__xludf.DUMMYFUNCTION("""COMPUTED_VALUE"""),2.0)</f>
        <v>2</v>
      </c>
      <c r="AD917" s="277">
        <f>IFERROR(__xludf.DUMMYFUNCTION("""COMPUTED_VALUE"""),13743.0)</f>
        <v>13743</v>
      </c>
      <c r="AE917" s="277"/>
      <c r="AF917" s="277">
        <f>IFERROR(__xludf.DUMMYFUNCTION("""COMPUTED_VALUE"""),13743.0)</f>
        <v>13743</v>
      </c>
      <c r="AG917" s="208"/>
      <c r="AH917" s="208"/>
      <c r="AI917" s="208"/>
      <c r="AJ917" s="208"/>
      <c r="AK917" s="208"/>
    </row>
    <row r="918" hidden="1">
      <c r="A918" s="288">
        <f>IFERROR(__xludf.DUMMYFUNCTION("""COMPUTED_VALUE"""),46179.0)</f>
        <v>46179</v>
      </c>
      <c r="B918" s="274">
        <f>IFERROR(__xludf.DUMMYFUNCTION("""COMPUTED_VALUE"""),0.5416666666678793)</f>
        <v>0.5416666667</v>
      </c>
      <c r="C918" s="208" t="str">
        <f>IFERROR(__xludf.DUMMYFUNCTION("""COMPUTED_VALUE"""),"Sms")</f>
        <v>Sms</v>
      </c>
      <c r="D918" s="208" t="str">
        <f>IFERROR(__xludf.DUMMYFUNCTION("""COMPUTED_VALUE"""),"Fallback campaign")</f>
        <v>Fallback campaign</v>
      </c>
      <c r="E918" s="208" t="str">
        <f>IFERROR(__xludf.DUMMYFUNCTION("""COMPUTED_VALUE"""),"BBW")</f>
        <v>BBW</v>
      </c>
      <c r="F918" s="208" t="str">
        <f>IFERROR(__xludf.DUMMYFUNCTION("""COMPUTED_VALUE"""),"B2G2 - June'26 - Entire Store")</f>
        <v>B2G2 - June'26 - Entire Store</v>
      </c>
      <c r="G918" s="208" t="str">
        <f>IFERROR(__xludf.DUMMYFUNCTION("""COMPUTED_VALUE"""),"bbw_smsfb_b2g2_6june_lastreminder_surat_offline")</f>
        <v>bbw_smsfb_b2g2_6june_lastreminder_surat_offline</v>
      </c>
      <c r="H918" s="232" t="str">
        <f>IFERROR(__xludf.DUMMYFUNCTION("""COMPUTED_VALUE"""),"BBW_OFF_Surat_Active, BBW_OFF_Surat_Dorm")</f>
        <v>BBW_OFF_Surat_Active, BBW_OFF_Surat_Dorm</v>
      </c>
      <c r="I918" s="233" t="str">
        <f>IFERROR(__xludf.DUMMYFUNCTION("""COMPUTED_VALUE"""),"WA Undelivered")</f>
        <v>WA Undelivered</v>
      </c>
      <c r="J918" s="275">
        <f>IFERROR(__xludf.DUMMYFUNCTION("""COMPUTED_VALUE"""),3697.0)</f>
        <v>3697</v>
      </c>
      <c r="K918" s="275">
        <f>IFERROR(__xludf.DUMMYFUNCTION("""COMPUTED_VALUE"""),2055.0)</f>
        <v>2055</v>
      </c>
      <c r="L918" s="276">
        <f>IFERROR(__xludf.DUMMYFUNCTION("""COMPUTED_VALUE"""),0.5559)</f>
        <v>0.5559</v>
      </c>
      <c r="M918" s="275">
        <f>IFERROR(__xludf.DUMMYFUNCTION("""COMPUTED_VALUE"""),0.0)</f>
        <v>0</v>
      </c>
      <c r="N918" s="276">
        <f>IFERROR(__xludf.DUMMYFUNCTION("""COMPUTED_VALUE"""),0.0)</f>
        <v>0</v>
      </c>
      <c r="O918" s="208">
        <f>IFERROR(__xludf.DUMMYFUNCTION("""COMPUTED_VALUE"""),1.0)</f>
        <v>1</v>
      </c>
      <c r="P918" s="208">
        <f>IFERROR(__xludf.DUMMYFUNCTION("""COMPUTED_VALUE"""),0.0)</f>
        <v>0</v>
      </c>
      <c r="Q918" s="276">
        <f>IFERROR(__xludf.DUMMYFUNCTION("""COMPUTED_VALUE"""),5.0E-4)</f>
        <v>0.0005</v>
      </c>
      <c r="R918" s="276">
        <f>IFERROR(__xludf.DUMMYFUNCTION("""COMPUTED_VALUE"""),0.0)</f>
        <v>0</v>
      </c>
      <c r="S918" s="208">
        <f>IFERROR(__xludf.DUMMYFUNCTION("""COMPUTED_VALUE"""),0.0)</f>
        <v>0</v>
      </c>
      <c r="T918" s="208">
        <f>IFERROR(__xludf.DUMMYFUNCTION("""COMPUTED_VALUE"""),0.0)</f>
        <v>0</v>
      </c>
      <c r="U918" s="275">
        <f>IFERROR(__xludf.DUMMYFUNCTION("""COMPUTED_VALUE"""),0.0)</f>
        <v>0</v>
      </c>
      <c r="V918" s="234" t="str">
        <f>IFERROR(__xludf.DUMMYFUNCTION("""COMPUTED_VALUE"""),"offline")</f>
        <v>offline</v>
      </c>
      <c r="W918" s="232" t="str">
        <f>IFERROR(__xludf.DUMMYFUNCTION("""COMPUTED_VALUE"""),"Sms")</f>
        <v>Sms</v>
      </c>
      <c r="X918" s="232" t="str">
        <f>IFERROR(__xludf.DUMMYFUNCTION("""COMPUTED_VALUE"""),"City Specific")</f>
        <v>City Specific</v>
      </c>
      <c r="Y918" s="232" t="str">
        <f>IFERROR(__xludf.DUMMYFUNCTION("""COMPUTED_VALUE"""),"06 June")</f>
        <v>06 June</v>
      </c>
      <c r="Z918" s="232" t="str">
        <f>IFERROR(__xludf.DUMMYFUNCTION("""COMPUTED_VALUE"""),"6a1eb823d0741c0902720f4d")</f>
        <v>6a1eb823d0741c0902720f4d</v>
      </c>
      <c r="AA918" s="277">
        <f>IFERROR(__xludf.DUMMYFUNCTION("""COMPUTED_VALUE"""),2.0)</f>
        <v>2</v>
      </c>
      <c r="AB918" s="277"/>
      <c r="AC918" s="277">
        <f>IFERROR(__xludf.DUMMYFUNCTION("""COMPUTED_VALUE"""),2.0)</f>
        <v>2</v>
      </c>
      <c r="AD918" s="277">
        <f>IFERROR(__xludf.DUMMYFUNCTION("""COMPUTED_VALUE"""),7596.0)</f>
        <v>7596</v>
      </c>
      <c r="AE918" s="277"/>
      <c r="AF918" s="277">
        <f>IFERROR(__xludf.DUMMYFUNCTION("""COMPUTED_VALUE"""),7596.0)</f>
        <v>7596</v>
      </c>
      <c r="AG918" s="208"/>
      <c r="AH918" s="208"/>
      <c r="AI918" s="208"/>
      <c r="AJ918" s="208"/>
      <c r="AK918" s="208"/>
    </row>
    <row r="919" hidden="1">
      <c r="A919" s="288">
        <f>IFERROR(__xludf.DUMMYFUNCTION("""COMPUTED_VALUE"""),46180.0)</f>
        <v>46180</v>
      </c>
      <c r="B919" s="274">
        <f>IFERROR(__xludf.DUMMYFUNCTION("""COMPUTED_VALUE"""),0.8125)</f>
        <v>0.8125</v>
      </c>
      <c r="C919" s="208" t="str">
        <f>IFERROR(__xludf.DUMMYFUNCTION("""COMPUTED_VALUE"""),"Sms")</f>
        <v>Sms</v>
      </c>
      <c r="D919" s="208" t="str">
        <f>IFERROR(__xludf.DUMMYFUNCTION("""COMPUTED_VALUE"""),"Fallback campaign")</f>
        <v>Fallback campaign</v>
      </c>
      <c r="E919" s="208" t="str">
        <f>IFERROR(__xludf.DUMMYFUNCTION("""COMPUTED_VALUE"""),"BBW")</f>
        <v>BBW</v>
      </c>
      <c r="F919" s="208" t="str">
        <f>IFERROR(__xludf.DUMMYFUNCTION("""COMPUTED_VALUE"""),"B2G2 - June'26 - Entire Store")</f>
        <v>B2G2 - June'26 - Entire Store</v>
      </c>
      <c r="G919" s="208" t="str">
        <f>IFERROR(__xludf.DUMMYFUNCTION("""COMPUTED_VALUE"""),"bbw_smsfb_b2g2_7june_lastreminder_atc_wishlist_online")</f>
        <v>bbw_smsfb_b2g2_7june_lastreminder_atc_wishlist_online</v>
      </c>
      <c r="H919" s="232" t="str">
        <f>IFERROR(__xludf.DUMMYFUNCTION("""COMPUTED_VALUE"""),"BBW_ATC_View_Wishlist_NoPr_45D")</f>
        <v>BBW_ATC_View_Wishlist_NoPr_45D</v>
      </c>
      <c r="I919" s="233" t="str">
        <f>IFERROR(__xludf.DUMMYFUNCTION("""COMPUTED_VALUE"""),"WA Undelivered")</f>
        <v>WA Undelivered</v>
      </c>
      <c r="J919" s="275">
        <f>IFERROR(__xludf.DUMMYFUNCTION("""COMPUTED_VALUE"""),454.0)</f>
        <v>454</v>
      </c>
      <c r="K919" s="275">
        <f>IFERROR(__xludf.DUMMYFUNCTION("""COMPUTED_VALUE"""),257.0)</f>
        <v>257</v>
      </c>
      <c r="L919" s="276">
        <f>IFERROR(__xludf.DUMMYFUNCTION("""COMPUTED_VALUE"""),0.5661)</f>
        <v>0.5661</v>
      </c>
      <c r="M919" s="275">
        <f>IFERROR(__xludf.DUMMYFUNCTION("""COMPUTED_VALUE"""),0.0)</f>
        <v>0</v>
      </c>
      <c r="N919" s="276">
        <f>IFERROR(__xludf.DUMMYFUNCTION("""COMPUTED_VALUE"""),0.0)</f>
        <v>0</v>
      </c>
      <c r="O919" s="208">
        <f>IFERROR(__xludf.DUMMYFUNCTION("""COMPUTED_VALUE"""),2.0)</f>
        <v>2</v>
      </c>
      <c r="P919" s="208">
        <f>IFERROR(__xludf.DUMMYFUNCTION("""COMPUTED_VALUE"""),0.0)</f>
        <v>0</v>
      </c>
      <c r="Q919" s="276">
        <f>IFERROR(__xludf.DUMMYFUNCTION("""COMPUTED_VALUE"""),0.0078)</f>
        <v>0.0078</v>
      </c>
      <c r="R919" s="276">
        <f>IFERROR(__xludf.DUMMYFUNCTION("""COMPUTED_VALUE"""),0.0)</f>
        <v>0</v>
      </c>
      <c r="S919" s="208">
        <f>IFERROR(__xludf.DUMMYFUNCTION("""COMPUTED_VALUE"""),0.0)</f>
        <v>0</v>
      </c>
      <c r="T919" s="208">
        <f>IFERROR(__xludf.DUMMYFUNCTION("""COMPUTED_VALUE"""),2.0)</f>
        <v>2</v>
      </c>
      <c r="U919" s="275">
        <f>IFERROR(__xludf.DUMMYFUNCTION("""COMPUTED_VALUE"""),0.0)</f>
        <v>0</v>
      </c>
      <c r="V919" s="234" t="str">
        <f>IFERROR(__xludf.DUMMYFUNCTION("""COMPUTED_VALUE"""),"online")</f>
        <v>online</v>
      </c>
      <c r="W919" s="232" t="str">
        <f>IFERROR(__xludf.DUMMYFUNCTION("""COMPUTED_VALUE"""),"Sms")</f>
        <v>Sms</v>
      </c>
      <c r="X919" s="232" t="str">
        <f>IFERROR(__xludf.DUMMYFUNCTION("""COMPUTED_VALUE"""),"ATC/View")</f>
        <v>ATC/View</v>
      </c>
      <c r="Y919" s="232" t="str">
        <f>IFERROR(__xludf.DUMMYFUNCTION("""COMPUTED_VALUE"""),"07 Jun")</f>
        <v>07 Jun</v>
      </c>
      <c r="Z919" s="232" t="str">
        <f>IFERROR(__xludf.DUMMYFUNCTION("""COMPUTED_VALUE"""),"6a1eb86d613cb3ec172b5b6c")</f>
        <v>6a1eb86d613cb3ec172b5b6c</v>
      </c>
      <c r="AA919" s="277">
        <f>IFERROR(__xludf.DUMMYFUNCTION("""COMPUTED_VALUE"""),6.0)</f>
        <v>6</v>
      </c>
      <c r="AB919" s="277">
        <f>IFERROR(__xludf.DUMMYFUNCTION("""COMPUTED_VALUE"""),6.0)</f>
        <v>6</v>
      </c>
      <c r="AC919" s="277"/>
      <c r="AD919" s="277">
        <f>IFERROR(__xludf.DUMMYFUNCTION("""COMPUTED_VALUE"""),24646.0)</f>
        <v>24646</v>
      </c>
      <c r="AE919" s="277">
        <f>IFERROR(__xludf.DUMMYFUNCTION("""COMPUTED_VALUE"""),24646.0)</f>
        <v>24646</v>
      </c>
      <c r="AF919" s="277"/>
      <c r="AG919" s="208"/>
      <c r="AH919" s="208"/>
      <c r="AI919" s="208"/>
      <c r="AJ919" s="208"/>
      <c r="AK919" s="208"/>
    </row>
    <row r="920" hidden="1">
      <c r="A920" s="288">
        <f>IFERROR(__xludf.DUMMYFUNCTION("""COMPUTED_VALUE"""),46180.0)</f>
        <v>46180</v>
      </c>
      <c r="B920" s="274">
        <f>IFERROR(__xludf.DUMMYFUNCTION("""COMPUTED_VALUE"""),0.8125)</f>
        <v>0.8125</v>
      </c>
      <c r="C920" s="208" t="str">
        <f>IFERROR(__xludf.DUMMYFUNCTION("""COMPUTED_VALUE"""),"Sms")</f>
        <v>Sms</v>
      </c>
      <c r="D920" s="208" t="str">
        <f>IFERROR(__xludf.DUMMYFUNCTION("""COMPUTED_VALUE"""),"Fallback campaign")</f>
        <v>Fallback campaign</v>
      </c>
      <c r="E920" s="208" t="str">
        <f>IFERROR(__xludf.DUMMYFUNCTION("""COMPUTED_VALUE"""),"BBW")</f>
        <v>BBW</v>
      </c>
      <c r="F920" s="208" t="str">
        <f>IFERROR(__xludf.DUMMYFUNCTION("""COMPUTED_VALUE"""),"B2G2 - June'26 - Entire Store")</f>
        <v>B2G2 - June'26 - Entire Store</v>
      </c>
      <c r="G920" s="208" t="str">
        <f>IFERROR(__xludf.DUMMYFUNCTION("""COMPUTED_VALUE"""),"bbw_smsfb_b2g2_7june_lastreminder_active_online")</f>
        <v>bbw_smsfb_b2g2_7june_lastreminder_active_online</v>
      </c>
      <c r="H920" s="232" t="str">
        <f>IFERROR(__xludf.DUMMYFUNCTION("""COMPUTED_VALUE"""),"BBW_ON_BC_2_Times_45D_210D")</f>
        <v>BBW_ON_BC_2_Times_45D_210D</v>
      </c>
      <c r="I920" s="233" t="str">
        <f>IFERROR(__xludf.DUMMYFUNCTION("""COMPUTED_VALUE"""),"WA Undelivered")</f>
        <v>WA Undelivered</v>
      </c>
      <c r="J920" s="275">
        <f>IFERROR(__xludf.DUMMYFUNCTION("""COMPUTED_VALUE"""),20146.0)</f>
        <v>20146</v>
      </c>
      <c r="K920" s="275">
        <f>IFERROR(__xludf.DUMMYFUNCTION("""COMPUTED_VALUE"""),10727.0)</f>
        <v>10727</v>
      </c>
      <c r="L920" s="276">
        <f>IFERROR(__xludf.DUMMYFUNCTION("""COMPUTED_VALUE"""),0.5325)</f>
        <v>0.5325</v>
      </c>
      <c r="M920" s="275">
        <f>IFERROR(__xludf.DUMMYFUNCTION("""COMPUTED_VALUE"""),0.0)</f>
        <v>0</v>
      </c>
      <c r="N920" s="276">
        <f>IFERROR(__xludf.DUMMYFUNCTION("""COMPUTED_VALUE"""),0.0)</f>
        <v>0</v>
      </c>
      <c r="O920" s="208">
        <f>IFERROR(__xludf.DUMMYFUNCTION("""COMPUTED_VALUE"""),26.0)</f>
        <v>26</v>
      </c>
      <c r="P920" s="208">
        <f>IFERROR(__xludf.DUMMYFUNCTION("""COMPUTED_VALUE"""),0.0)</f>
        <v>0</v>
      </c>
      <c r="Q920" s="276">
        <f>IFERROR(__xludf.DUMMYFUNCTION("""COMPUTED_VALUE"""),0.0024)</f>
        <v>0.0024</v>
      </c>
      <c r="R920" s="276">
        <f>IFERROR(__xludf.DUMMYFUNCTION("""COMPUTED_VALUE"""),0.0)</f>
        <v>0</v>
      </c>
      <c r="S920" s="208">
        <f>IFERROR(__xludf.DUMMYFUNCTION("""COMPUTED_VALUE"""),0.0)</f>
        <v>0</v>
      </c>
      <c r="T920" s="208">
        <f>IFERROR(__xludf.DUMMYFUNCTION("""COMPUTED_VALUE"""),2.0)</f>
        <v>2</v>
      </c>
      <c r="U920" s="275">
        <f>IFERROR(__xludf.DUMMYFUNCTION("""COMPUTED_VALUE"""),0.0)</f>
        <v>0</v>
      </c>
      <c r="V920" s="234" t="str">
        <f>IFERROR(__xludf.DUMMYFUNCTION("""COMPUTED_VALUE"""),"online")</f>
        <v>online</v>
      </c>
      <c r="W920" s="232" t="str">
        <f>IFERROR(__xludf.DUMMYFUNCTION("""COMPUTED_VALUE"""),"Sms")</f>
        <v>Sms</v>
      </c>
      <c r="X920" s="232" t="str">
        <f>IFERROR(__xludf.DUMMYFUNCTION("""COMPUTED_VALUE"""),"Repeat")</f>
        <v>Repeat</v>
      </c>
      <c r="Y920" s="232" t="str">
        <f>IFERROR(__xludf.DUMMYFUNCTION("""COMPUTED_VALUE"""),"07 Jun")</f>
        <v>07 Jun</v>
      </c>
      <c r="Z920" s="232" t="str">
        <f>IFERROR(__xludf.DUMMYFUNCTION("""COMPUTED_VALUE"""),"6a1eb8b36914eb0e5e2d67f0")</f>
        <v>6a1eb8b36914eb0e5e2d67f0</v>
      </c>
      <c r="AA920" s="277">
        <f>IFERROR(__xludf.DUMMYFUNCTION("""COMPUTED_VALUE"""),6.0)</f>
        <v>6</v>
      </c>
      <c r="AB920" s="277">
        <f>IFERROR(__xludf.DUMMYFUNCTION("""COMPUTED_VALUE"""),6.0)</f>
        <v>6</v>
      </c>
      <c r="AC920" s="277"/>
      <c r="AD920" s="277">
        <f>IFERROR(__xludf.DUMMYFUNCTION("""COMPUTED_VALUE"""),19288.0)</f>
        <v>19288</v>
      </c>
      <c r="AE920" s="277">
        <f>IFERROR(__xludf.DUMMYFUNCTION("""COMPUTED_VALUE"""),19288.0)</f>
        <v>19288</v>
      </c>
      <c r="AF920" s="277"/>
      <c r="AG920" s="208"/>
      <c r="AH920" s="208"/>
      <c r="AI920" s="208"/>
      <c r="AJ920" s="208"/>
      <c r="AK920" s="208"/>
    </row>
    <row r="921" hidden="1">
      <c r="A921" s="288">
        <f>IFERROR(__xludf.DUMMYFUNCTION("""COMPUTED_VALUE"""),46180.0)</f>
        <v>46180</v>
      </c>
      <c r="B921" s="274">
        <f>IFERROR(__xludf.DUMMYFUNCTION("""COMPUTED_VALUE"""),0.8125)</f>
        <v>0.8125</v>
      </c>
      <c r="C921" s="208" t="str">
        <f>IFERROR(__xludf.DUMMYFUNCTION("""COMPUTED_VALUE"""),"Sms")</f>
        <v>Sms</v>
      </c>
      <c r="D921" s="208" t="str">
        <f>IFERROR(__xludf.DUMMYFUNCTION("""COMPUTED_VALUE"""),"Fallback campaign")</f>
        <v>Fallback campaign</v>
      </c>
      <c r="E921" s="208" t="str">
        <f>IFERROR(__xludf.DUMMYFUNCTION("""COMPUTED_VALUE"""),"BBW")</f>
        <v>BBW</v>
      </c>
      <c r="F921" s="208" t="str">
        <f>IFERROR(__xludf.DUMMYFUNCTION("""COMPUTED_VALUE"""),"B2G2 - June'26 - Entire Store")</f>
        <v>B2G2 - June'26 - Entire Store</v>
      </c>
      <c r="G921" s="208" t="str">
        <f>IFERROR(__xludf.DUMMYFUNCTION("""COMPUTED_VALUE"""),"bbw_smsfb_b2g2_7june_lastreminder_aov_3100_online")</f>
        <v>bbw_smsfb_b2g2_7june_lastreminder_aov_3100_online</v>
      </c>
      <c r="H921" s="232" t="str">
        <f>IFERROR(__xludf.DUMMYFUNCTION("""COMPUTED_VALUE"""),"BC_EventBuyers_ON")</f>
        <v>BC_EventBuyers_ON</v>
      </c>
      <c r="I921" s="233" t="str">
        <f>IFERROR(__xludf.DUMMYFUNCTION("""COMPUTED_VALUE"""),"WA Undelivered")</f>
        <v>WA Undelivered</v>
      </c>
      <c r="J921" s="275">
        <f>IFERROR(__xludf.DUMMYFUNCTION("""COMPUTED_VALUE"""),2903.0)</f>
        <v>2903</v>
      </c>
      <c r="K921" s="275">
        <f>IFERROR(__xludf.DUMMYFUNCTION("""COMPUTED_VALUE"""),1583.0)</f>
        <v>1583</v>
      </c>
      <c r="L921" s="276">
        <f>IFERROR(__xludf.DUMMYFUNCTION("""COMPUTED_VALUE"""),0.5453)</f>
        <v>0.5453</v>
      </c>
      <c r="M921" s="275">
        <f>IFERROR(__xludf.DUMMYFUNCTION("""COMPUTED_VALUE"""),0.0)</f>
        <v>0</v>
      </c>
      <c r="N921" s="276">
        <f>IFERROR(__xludf.DUMMYFUNCTION("""COMPUTED_VALUE"""),0.0)</f>
        <v>0</v>
      </c>
      <c r="O921" s="208">
        <f>IFERROR(__xludf.DUMMYFUNCTION("""COMPUTED_VALUE"""),4.0)</f>
        <v>4</v>
      </c>
      <c r="P921" s="208">
        <f>IFERROR(__xludf.DUMMYFUNCTION("""COMPUTED_VALUE"""),0.0)</f>
        <v>0</v>
      </c>
      <c r="Q921" s="276">
        <f>IFERROR(__xludf.DUMMYFUNCTION("""COMPUTED_VALUE"""),0.0025)</f>
        <v>0.0025</v>
      </c>
      <c r="R921" s="276">
        <f>IFERROR(__xludf.DUMMYFUNCTION("""COMPUTED_VALUE"""),0.0)</f>
        <v>0</v>
      </c>
      <c r="S921" s="208">
        <f>IFERROR(__xludf.DUMMYFUNCTION("""COMPUTED_VALUE"""),0.0)</f>
        <v>0</v>
      </c>
      <c r="T921" s="208">
        <f>IFERROR(__xludf.DUMMYFUNCTION("""COMPUTED_VALUE"""),0.0)</f>
        <v>0</v>
      </c>
      <c r="U921" s="275">
        <f>IFERROR(__xludf.DUMMYFUNCTION("""COMPUTED_VALUE"""),0.0)</f>
        <v>0</v>
      </c>
      <c r="V921" s="234" t="str">
        <f>IFERROR(__xludf.DUMMYFUNCTION("""COMPUTED_VALUE"""),"online")</f>
        <v>online</v>
      </c>
      <c r="W921" s="232" t="str">
        <f>IFERROR(__xludf.DUMMYFUNCTION("""COMPUTED_VALUE"""),"Sms")</f>
        <v>Sms</v>
      </c>
      <c r="X921" s="232" t="str">
        <f>IFERROR(__xludf.DUMMYFUNCTION("""COMPUTED_VALUE"""),"Event Buyers")</f>
        <v>Event Buyers</v>
      </c>
      <c r="Y921" s="232" t="str">
        <f>IFERROR(__xludf.DUMMYFUNCTION("""COMPUTED_VALUE"""),"07 June")</f>
        <v>07 June</v>
      </c>
      <c r="Z921" s="232" t="str">
        <f>IFERROR(__xludf.DUMMYFUNCTION("""COMPUTED_VALUE"""),"6a1eb9a9ff679d4945c557fb")</f>
        <v>6a1eb9a9ff679d4945c557fb</v>
      </c>
      <c r="AA921" s="277">
        <f>IFERROR(__xludf.DUMMYFUNCTION("""COMPUTED_VALUE"""),3.0)</f>
        <v>3</v>
      </c>
      <c r="AB921" s="277">
        <f>IFERROR(__xludf.DUMMYFUNCTION("""COMPUTED_VALUE"""),3.0)</f>
        <v>3</v>
      </c>
      <c r="AC921" s="277"/>
      <c r="AD921" s="277">
        <f>IFERROR(__xludf.DUMMYFUNCTION("""COMPUTED_VALUE"""),22589.0)</f>
        <v>22589</v>
      </c>
      <c r="AE921" s="277">
        <f>IFERROR(__xludf.DUMMYFUNCTION("""COMPUTED_VALUE"""),22589.0)</f>
        <v>22589</v>
      </c>
      <c r="AF921" s="277"/>
      <c r="AG921" s="208"/>
      <c r="AH921" s="208"/>
      <c r="AI921" s="208"/>
      <c r="AJ921" s="208"/>
      <c r="AK921" s="208"/>
    </row>
    <row r="922" hidden="1">
      <c r="A922" s="288">
        <f>IFERROR(__xludf.DUMMYFUNCTION("""COMPUTED_VALUE"""),46180.0)</f>
        <v>46180</v>
      </c>
      <c r="B922" s="274">
        <f>IFERROR(__xludf.DUMMYFUNCTION("""COMPUTED_VALUE"""),0.8125)</f>
        <v>0.8125</v>
      </c>
      <c r="C922" s="208" t="str">
        <f>IFERROR(__xludf.DUMMYFUNCTION("""COMPUTED_VALUE"""),"Sms")</f>
        <v>Sms</v>
      </c>
      <c r="D922" s="208" t="str">
        <f>IFERROR(__xludf.DUMMYFUNCTION("""COMPUTED_VALUE"""),"Fallback campaign")</f>
        <v>Fallback campaign</v>
      </c>
      <c r="E922" s="208" t="str">
        <f>IFERROR(__xludf.DUMMYFUNCTION("""COMPUTED_VALUE"""),"BBW")</f>
        <v>BBW</v>
      </c>
      <c r="F922" s="208" t="str">
        <f>IFERROR(__xludf.DUMMYFUNCTION("""COMPUTED_VALUE"""),"B2G2 - June'26 - Entire Store")</f>
        <v>B2G2 - June'26 - Entire Store</v>
      </c>
      <c r="G922" s="208" t="str">
        <f>IFERROR(__xludf.DUMMYFUNCTION("""COMPUTED_VALUE"""),"bbw_smsfb_b2g2_7june_lastreminder_dormant_online")</f>
        <v>bbw_smsfb_b2g2_7june_lastreminder_dormant_online</v>
      </c>
      <c r="H922" s="232" t="str">
        <f>IFERROR(__xludf.DUMMYFUNCTION("""COMPUTED_VALUE"""),"BBW_ON_BC_1100_1_time_365D")</f>
        <v>BBW_ON_BC_1100_1_time_365D</v>
      </c>
      <c r="I922" s="233" t="str">
        <f>IFERROR(__xludf.DUMMYFUNCTION("""COMPUTED_VALUE"""),"WA Undelivered")</f>
        <v>WA Undelivered</v>
      </c>
      <c r="J922" s="275">
        <f>IFERROR(__xludf.DUMMYFUNCTION("""COMPUTED_VALUE"""),2325.0)</f>
        <v>2325</v>
      </c>
      <c r="K922" s="275">
        <f>IFERROR(__xludf.DUMMYFUNCTION("""COMPUTED_VALUE"""),1472.0)</f>
        <v>1472</v>
      </c>
      <c r="L922" s="276">
        <f>IFERROR(__xludf.DUMMYFUNCTION("""COMPUTED_VALUE"""),0.6331)</f>
        <v>0.6331</v>
      </c>
      <c r="M922" s="275">
        <f>IFERROR(__xludf.DUMMYFUNCTION("""COMPUTED_VALUE"""),0.0)</f>
        <v>0</v>
      </c>
      <c r="N922" s="276">
        <f>IFERROR(__xludf.DUMMYFUNCTION("""COMPUTED_VALUE"""),0.0)</f>
        <v>0</v>
      </c>
      <c r="O922" s="208">
        <f>IFERROR(__xludf.DUMMYFUNCTION("""COMPUTED_VALUE"""),0.0)</f>
        <v>0</v>
      </c>
      <c r="P922" s="208">
        <f>IFERROR(__xludf.DUMMYFUNCTION("""COMPUTED_VALUE"""),0.0)</f>
        <v>0</v>
      </c>
      <c r="Q922" s="276">
        <f>IFERROR(__xludf.DUMMYFUNCTION("""COMPUTED_VALUE"""),0.0)</f>
        <v>0</v>
      </c>
      <c r="R922" s="276">
        <f>IFERROR(__xludf.DUMMYFUNCTION("""COMPUTED_VALUE"""),0.0)</f>
        <v>0</v>
      </c>
      <c r="S922" s="208">
        <f>IFERROR(__xludf.DUMMYFUNCTION("""COMPUTED_VALUE"""),0.0)</f>
        <v>0</v>
      </c>
      <c r="T922" s="208">
        <f>IFERROR(__xludf.DUMMYFUNCTION("""COMPUTED_VALUE"""),0.0)</f>
        <v>0</v>
      </c>
      <c r="U922" s="275">
        <f>IFERROR(__xludf.DUMMYFUNCTION("""COMPUTED_VALUE"""),0.0)</f>
        <v>0</v>
      </c>
      <c r="V922" s="234" t="str">
        <f>IFERROR(__xludf.DUMMYFUNCTION("""COMPUTED_VALUE"""),"online")</f>
        <v>online</v>
      </c>
      <c r="W922" s="232" t="str">
        <f>IFERROR(__xludf.DUMMYFUNCTION("""COMPUTED_VALUE"""),"Sms")</f>
        <v>Sms</v>
      </c>
      <c r="X922" s="232" t="str">
        <f>IFERROR(__xludf.DUMMYFUNCTION("""COMPUTED_VALUE"""),"Cart Value")</f>
        <v>Cart Value</v>
      </c>
      <c r="Y922" s="232" t="str">
        <f>IFERROR(__xludf.DUMMYFUNCTION("""COMPUTED_VALUE"""),"07 Jun")</f>
        <v>07 Jun</v>
      </c>
      <c r="Z922" s="232" t="str">
        <f>IFERROR(__xludf.DUMMYFUNCTION("""COMPUTED_VALUE"""),"6a1eb9e03e0d528f8f179e32")</f>
        <v>6a1eb9e03e0d528f8f179e32</v>
      </c>
      <c r="AA922" s="277">
        <f>IFERROR(__xludf.DUMMYFUNCTION("""COMPUTED_VALUE"""),0.0)</f>
        <v>0</v>
      </c>
      <c r="AB922" s="277">
        <f>IFERROR(__xludf.DUMMYFUNCTION("""COMPUTED_VALUE"""),0.0)</f>
        <v>0</v>
      </c>
      <c r="AC922" s="277"/>
      <c r="AD922" s="277">
        <f>IFERROR(__xludf.DUMMYFUNCTION("""COMPUTED_VALUE"""),0.0)</f>
        <v>0</v>
      </c>
      <c r="AE922" s="277">
        <f>IFERROR(__xludf.DUMMYFUNCTION("""COMPUTED_VALUE"""),0.0)</f>
        <v>0</v>
      </c>
      <c r="AF922" s="277"/>
      <c r="AG922" s="208"/>
      <c r="AH922" s="208"/>
      <c r="AI922" s="208"/>
      <c r="AJ922" s="208"/>
      <c r="AK922" s="208"/>
    </row>
    <row r="923" hidden="1">
      <c r="A923" s="288">
        <f>IFERROR(__xludf.DUMMYFUNCTION("""COMPUTED_VALUE"""),46180.0)</f>
        <v>46180</v>
      </c>
      <c r="B923" s="274">
        <f>IFERROR(__xludf.DUMMYFUNCTION("""COMPUTED_VALUE"""),0.8125)</f>
        <v>0.8125</v>
      </c>
      <c r="C923" s="208" t="str">
        <f>IFERROR(__xludf.DUMMYFUNCTION("""COMPUTED_VALUE"""),"Sms")</f>
        <v>Sms</v>
      </c>
      <c r="D923" s="208" t="str">
        <f>IFERROR(__xludf.DUMMYFUNCTION("""COMPUTED_VALUE"""),"Fallback campaign")</f>
        <v>Fallback campaign</v>
      </c>
      <c r="E923" s="208" t="str">
        <f>IFERROR(__xludf.DUMMYFUNCTION("""COMPUTED_VALUE"""),"BBW")</f>
        <v>BBW</v>
      </c>
      <c r="F923" s="208" t="str">
        <f>IFERROR(__xludf.DUMMYFUNCTION("""COMPUTED_VALUE"""),"B2G2 - June'26 - Entire Store")</f>
        <v>B2G2 - June'26 - Entire Store</v>
      </c>
      <c r="G923" s="208" t="str">
        <f>IFERROR(__xludf.DUMMYFUNCTION("""COMPUTED_VALUE"""),"bbw_smsfb_b2g2_7june_event_buyers_lastreminder_overall")</f>
        <v>bbw_smsfb_b2g2_7june_event_buyers_lastreminder_overall</v>
      </c>
      <c r="H923" s="232" t="str">
        <f>IFERROR(__xludf.DUMMYFUNCTION("""COMPUTED_VALUE"""),"BBW_ON_OFF_B2G2_Event_Buyers")</f>
        <v>BBW_ON_OFF_B2G2_Event_Buyers</v>
      </c>
      <c r="I923" s="233" t="str">
        <f>IFERROR(__xludf.DUMMYFUNCTION("""COMPUTED_VALUE"""),"WA Undelivered")</f>
        <v>WA Undelivered</v>
      </c>
      <c r="J923" s="275">
        <f>IFERROR(__xludf.DUMMYFUNCTION("""COMPUTED_VALUE"""),33638.0)</f>
        <v>33638</v>
      </c>
      <c r="K923" s="275">
        <f>IFERROR(__xludf.DUMMYFUNCTION("""COMPUTED_VALUE"""),18092.0)</f>
        <v>18092</v>
      </c>
      <c r="L923" s="276">
        <f>IFERROR(__xludf.DUMMYFUNCTION("""COMPUTED_VALUE"""),0.5378)</f>
        <v>0.5378</v>
      </c>
      <c r="M923" s="275">
        <f>IFERROR(__xludf.DUMMYFUNCTION("""COMPUTED_VALUE"""),0.0)</f>
        <v>0</v>
      </c>
      <c r="N923" s="276">
        <f>IFERROR(__xludf.DUMMYFUNCTION("""COMPUTED_VALUE"""),0.0)</f>
        <v>0</v>
      </c>
      <c r="O923" s="208">
        <f>IFERROR(__xludf.DUMMYFUNCTION("""COMPUTED_VALUE"""),17.0)</f>
        <v>17</v>
      </c>
      <c r="P923" s="208">
        <f>IFERROR(__xludf.DUMMYFUNCTION("""COMPUTED_VALUE"""),0.0)</f>
        <v>0</v>
      </c>
      <c r="Q923" s="276">
        <f>IFERROR(__xludf.DUMMYFUNCTION("""COMPUTED_VALUE"""),9.0E-4)</f>
        <v>0.0009</v>
      </c>
      <c r="R923" s="276">
        <f>IFERROR(__xludf.DUMMYFUNCTION("""COMPUTED_VALUE"""),0.0)</f>
        <v>0</v>
      </c>
      <c r="S923" s="208">
        <f>IFERROR(__xludf.DUMMYFUNCTION("""COMPUTED_VALUE"""),0.0)</f>
        <v>0</v>
      </c>
      <c r="T923" s="208">
        <f>IFERROR(__xludf.DUMMYFUNCTION("""COMPUTED_VALUE"""),1.0)</f>
        <v>1</v>
      </c>
      <c r="U923" s="275">
        <f>IFERROR(__xludf.DUMMYFUNCTION("""COMPUTED_VALUE"""),0.0)</f>
        <v>0</v>
      </c>
      <c r="V923" s="234" t="str">
        <f>IFERROR(__xludf.DUMMYFUNCTION("""COMPUTED_VALUE"""),"overall")</f>
        <v>overall</v>
      </c>
      <c r="W923" s="232" t="str">
        <f>IFERROR(__xludf.DUMMYFUNCTION("""COMPUTED_VALUE"""),"Sms")</f>
        <v>Sms</v>
      </c>
      <c r="X923" s="232" t="str">
        <f>IFERROR(__xludf.DUMMYFUNCTION("""COMPUTED_VALUE"""),"Event Buyers")</f>
        <v>Event Buyers</v>
      </c>
      <c r="Y923" s="232" t="str">
        <f>IFERROR(__xludf.DUMMYFUNCTION("""COMPUTED_VALUE"""),"07 Jun")</f>
        <v>07 Jun</v>
      </c>
      <c r="Z923" s="232" t="str">
        <f>IFERROR(__xludf.DUMMYFUNCTION("""COMPUTED_VALUE"""),"6a1eba0a8c556d508440c2d4")</f>
        <v>6a1eba0a8c556d508440c2d4</v>
      </c>
      <c r="AA923" s="277">
        <f>IFERROR(__xludf.DUMMYFUNCTION("""COMPUTED_VALUE"""),11.0)</f>
        <v>11</v>
      </c>
      <c r="AB923" s="277">
        <f>IFERROR(__xludf.DUMMYFUNCTION("""COMPUTED_VALUE"""),11.0)</f>
        <v>11</v>
      </c>
      <c r="AC923" s="277"/>
      <c r="AD923" s="277">
        <f>IFERROR(__xludf.DUMMYFUNCTION("""COMPUTED_VALUE"""),40072.0)</f>
        <v>40072</v>
      </c>
      <c r="AE923" s="277">
        <f>IFERROR(__xludf.DUMMYFUNCTION("""COMPUTED_VALUE"""),40072.0)</f>
        <v>40072</v>
      </c>
      <c r="AF923" s="277"/>
      <c r="AG923" s="208"/>
      <c r="AH923" s="208"/>
      <c r="AI923" s="208"/>
      <c r="AJ923" s="208"/>
      <c r="AK923" s="208"/>
    </row>
    <row r="924" hidden="1">
      <c r="A924" s="288">
        <f>IFERROR(__xludf.DUMMYFUNCTION("""COMPUTED_VALUE"""),46186.0)</f>
        <v>46186</v>
      </c>
      <c r="B924" s="274">
        <f>IFERROR(__xludf.DUMMYFUNCTION("""COMPUTED_VALUE"""),0.5)</f>
        <v>0.5</v>
      </c>
      <c r="C924" s="208" t="str">
        <f>IFERROR(__xludf.DUMMYFUNCTION("""COMPUTED_VALUE"""),"Whatsapp")</f>
        <v>Whatsapp</v>
      </c>
      <c r="D924" s="208" t="str">
        <f>IFERROR(__xludf.DUMMYFUNCTION("""COMPUTED_VALUE"""),"Promotional")</f>
        <v>Promotional</v>
      </c>
      <c r="E924" s="208" t="str">
        <f>IFERROR(__xludf.DUMMYFUNCTION("""COMPUTED_VALUE"""),"BBW")</f>
        <v>BBW</v>
      </c>
      <c r="F924" s="208" t="str">
        <f>IFERROR(__xludf.DUMMYFUNCTION("""COMPUTED_VALUE"""),"SAS - June 2026")</f>
        <v>SAS - June 2026</v>
      </c>
      <c r="G924" s="208" t="str">
        <f>IFERROR(__xludf.DUMMYFUNCTION("""COMPUTED_VALUE"""),"bbw_wa_sas_launch_13june_churned_online")</f>
        <v>bbw_wa_sas_launch_13june_churned_online</v>
      </c>
      <c r="H924" s="232" t="str">
        <f>IFERROR(__xludf.DUMMYFUNCTION("""COMPUTED_VALUE"""),"BBW_ON_Churned730_EOSS_26")</f>
        <v>BBW_ON_Churned730_EOSS_26</v>
      </c>
      <c r="I924" s="233" t="str">
        <f>IFERROR(__xludf.DUMMYFUNCTION("""COMPUTED_VALUE"""),"Online customers who have purchased in the last 730 days")</f>
        <v>Online customers who have purchased in the last 730 days</v>
      </c>
      <c r="J924" s="275">
        <f>IFERROR(__xludf.DUMMYFUNCTION("""COMPUTED_VALUE"""),99743.0)</f>
        <v>99743</v>
      </c>
      <c r="K924" s="275">
        <f>IFERROR(__xludf.DUMMYFUNCTION("""COMPUTED_VALUE"""),42222.0)</f>
        <v>42222</v>
      </c>
      <c r="L924" s="276">
        <f>IFERROR(__xludf.DUMMYFUNCTION("""COMPUTED_VALUE"""),0.4232)</f>
        <v>0.4232</v>
      </c>
      <c r="M924" s="275">
        <f>IFERROR(__xludf.DUMMYFUNCTION("""COMPUTED_VALUE"""),12921.0)</f>
        <v>12921</v>
      </c>
      <c r="N924" s="276">
        <f>IFERROR(__xludf.DUMMYFUNCTION("""COMPUTED_VALUE"""),0.3061)</f>
        <v>0.3061</v>
      </c>
      <c r="O924" s="208">
        <f>IFERROR(__xludf.DUMMYFUNCTION("""COMPUTED_VALUE"""),1995.0)</f>
        <v>1995</v>
      </c>
      <c r="P924" s="208">
        <f>IFERROR(__xludf.DUMMYFUNCTION("""COMPUTED_VALUE"""),1874.0)</f>
        <v>1874</v>
      </c>
      <c r="Q924" s="276">
        <f>IFERROR(__xludf.DUMMYFUNCTION("""COMPUTED_VALUE"""),0.0444)</f>
        <v>0.0444</v>
      </c>
      <c r="R924" s="276">
        <f>IFERROR(__xludf.DUMMYFUNCTION("""COMPUTED_VALUE"""),0.145)</f>
        <v>0.145</v>
      </c>
      <c r="S924" s="208">
        <f>IFERROR(__xludf.DUMMYFUNCTION("""COMPUTED_VALUE"""),13.0)</f>
        <v>13</v>
      </c>
      <c r="T924" s="208">
        <f>IFERROR(__xludf.DUMMYFUNCTION("""COMPUTED_VALUE"""),37.0)</f>
        <v>37</v>
      </c>
      <c r="U924" s="275">
        <f>IFERROR(__xludf.DUMMYFUNCTION("""COMPUTED_VALUE"""),25590.0)</f>
        <v>25590</v>
      </c>
      <c r="V924" s="234" t="str">
        <f>IFERROR(__xludf.DUMMYFUNCTION("""COMPUTED_VALUE"""),"online")</f>
        <v>online</v>
      </c>
      <c r="W924" s="232" t="str">
        <f>IFERROR(__xludf.DUMMYFUNCTION("""COMPUTED_VALUE"""),"simple")</f>
        <v>simple</v>
      </c>
      <c r="X924" s="232" t="str">
        <f>IFERROR(__xludf.DUMMYFUNCTION("""COMPUTED_VALUE"""),"Churned")</f>
        <v>Churned</v>
      </c>
      <c r="Y924" s="232" t="str">
        <f>IFERROR(__xludf.DUMMYFUNCTION("""COMPUTED_VALUE"""),"13-15 June")</f>
        <v>13-15 June</v>
      </c>
      <c r="Z924" s="232" t="str">
        <f>IFERROR(__xludf.DUMMYFUNCTION("""COMPUTED_VALUE"""),"6a26a62ec2b6e71649d9c908")</f>
        <v>6a26a62ec2b6e71649d9c908</v>
      </c>
      <c r="AA924" s="277">
        <f>IFERROR(__xludf.DUMMYFUNCTION("""COMPUTED_VALUE"""),116.0)</f>
        <v>116</v>
      </c>
      <c r="AB924" s="277">
        <f>IFERROR(__xludf.DUMMYFUNCTION("""COMPUTED_VALUE"""),116.0)</f>
        <v>116</v>
      </c>
      <c r="AC924" s="277"/>
      <c r="AD924" s="277">
        <f>IFERROR(__xludf.DUMMYFUNCTION("""COMPUTED_VALUE"""),265200.0)</f>
        <v>265200</v>
      </c>
      <c r="AE924" s="277">
        <f>IFERROR(__xludf.DUMMYFUNCTION("""COMPUTED_VALUE"""),265200.0)</f>
        <v>265200</v>
      </c>
      <c r="AF924" s="277"/>
      <c r="AG924" s="208"/>
      <c r="AH924" s="208"/>
      <c r="AI924" s="208"/>
      <c r="AJ924" s="208"/>
      <c r="AK924" s="208"/>
    </row>
    <row r="925" hidden="1">
      <c r="A925" s="288">
        <f>IFERROR(__xludf.DUMMYFUNCTION("""COMPUTED_VALUE"""),46186.0)</f>
        <v>46186</v>
      </c>
      <c r="B925" s="274">
        <f>IFERROR(__xludf.DUMMYFUNCTION("""COMPUTED_VALUE"""),0.5)</f>
        <v>0.5</v>
      </c>
      <c r="C925" s="208" t="str">
        <f>IFERROR(__xludf.DUMMYFUNCTION("""COMPUTED_VALUE"""),"Whatsapp")</f>
        <v>Whatsapp</v>
      </c>
      <c r="D925" s="208" t="str">
        <f>IFERROR(__xludf.DUMMYFUNCTION("""COMPUTED_VALUE"""),"Promotional")</f>
        <v>Promotional</v>
      </c>
      <c r="E925" s="208" t="str">
        <f>IFERROR(__xludf.DUMMYFUNCTION("""COMPUTED_VALUE"""),"BBW")</f>
        <v>BBW</v>
      </c>
      <c r="F925" s="208" t="str">
        <f>IFERROR(__xludf.DUMMYFUNCTION("""COMPUTED_VALUE"""),"SAS - June 2026")</f>
        <v>SAS - June 2026</v>
      </c>
      <c r="G925" s="208" t="str">
        <f>IFERROR(__xludf.DUMMYFUNCTION("""COMPUTED_VALUE"""),"bbw_wa_sas_launch_13june_churned2_online")</f>
        <v>bbw_wa_sas_launch_13june_churned2_online</v>
      </c>
      <c r="H925" s="232" t="str">
        <f>IFERROR(__xludf.DUMMYFUNCTION("""COMPUTED_VALUE"""),"BBW_ON_Churned1095_EOSS_26")</f>
        <v>BBW_ON_Churned1095_EOSS_26</v>
      </c>
      <c r="I925" s="233" t="str">
        <f>IFERROR(__xludf.DUMMYFUNCTION("""COMPUTED_VALUE"""),"Online customers who have purchased in the last 1095 days")</f>
        <v>Online customers who have purchased in the last 1095 days</v>
      </c>
      <c r="J925" s="275">
        <f>IFERROR(__xludf.DUMMYFUNCTION("""COMPUTED_VALUE"""),107759.0)</f>
        <v>107759</v>
      </c>
      <c r="K925" s="275">
        <f>IFERROR(__xludf.DUMMYFUNCTION("""COMPUTED_VALUE"""),44328.0)</f>
        <v>44328</v>
      </c>
      <c r="L925" s="276">
        <f>IFERROR(__xludf.DUMMYFUNCTION("""COMPUTED_VALUE"""),0.4113)</f>
        <v>0.4113</v>
      </c>
      <c r="M925" s="275">
        <f>IFERROR(__xludf.DUMMYFUNCTION("""COMPUTED_VALUE"""),13053.0)</f>
        <v>13053</v>
      </c>
      <c r="N925" s="276">
        <f>IFERROR(__xludf.DUMMYFUNCTION("""COMPUTED_VALUE"""),0.2945)</f>
        <v>0.2945</v>
      </c>
      <c r="O925" s="208">
        <f>IFERROR(__xludf.DUMMYFUNCTION("""COMPUTED_VALUE"""),1901.0)</f>
        <v>1901</v>
      </c>
      <c r="P925" s="208">
        <f>IFERROR(__xludf.DUMMYFUNCTION("""COMPUTED_VALUE"""),1771.0)</f>
        <v>1771</v>
      </c>
      <c r="Q925" s="276">
        <f>IFERROR(__xludf.DUMMYFUNCTION("""COMPUTED_VALUE"""),0.04)</f>
        <v>0.04</v>
      </c>
      <c r="R925" s="276">
        <f>IFERROR(__xludf.DUMMYFUNCTION("""COMPUTED_VALUE"""),0.1357)</f>
        <v>0.1357</v>
      </c>
      <c r="S925" s="208">
        <f>IFERROR(__xludf.DUMMYFUNCTION("""COMPUTED_VALUE"""),10.0)</f>
        <v>10</v>
      </c>
      <c r="T925" s="208">
        <f>IFERROR(__xludf.DUMMYFUNCTION("""COMPUTED_VALUE"""),32.0)</f>
        <v>32</v>
      </c>
      <c r="U925" s="275">
        <f>IFERROR(__xludf.DUMMYFUNCTION("""COMPUTED_VALUE"""),27768.0)</f>
        <v>27768</v>
      </c>
      <c r="V925" s="234" t="str">
        <f>IFERROR(__xludf.DUMMYFUNCTION("""COMPUTED_VALUE"""),"online")</f>
        <v>online</v>
      </c>
      <c r="W925" s="232" t="str">
        <f>IFERROR(__xludf.DUMMYFUNCTION("""COMPUTED_VALUE"""),"simple")</f>
        <v>simple</v>
      </c>
      <c r="X925" s="232" t="str">
        <f>IFERROR(__xludf.DUMMYFUNCTION("""COMPUTED_VALUE"""),"Churned")</f>
        <v>Churned</v>
      </c>
      <c r="Y925" s="232" t="str">
        <f>IFERROR(__xludf.DUMMYFUNCTION("""COMPUTED_VALUE"""),"13-15 June")</f>
        <v>13-15 June</v>
      </c>
      <c r="Z925" s="232" t="str">
        <f>IFERROR(__xludf.DUMMYFUNCTION("""COMPUTED_VALUE"""),"6a26a68881867a5b20b42e43")</f>
        <v>6a26a68881867a5b20b42e43</v>
      </c>
      <c r="AA925" s="277">
        <f>IFERROR(__xludf.DUMMYFUNCTION("""COMPUTED_VALUE"""),70.0)</f>
        <v>70</v>
      </c>
      <c r="AB925" s="277">
        <f>IFERROR(__xludf.DUMMYFUNCTION("""COMPUTED_VALUE"""),70.0)</f>
        <v>70</v>
      </c>
      <c r="AC925" s="277"/>
      <c r="AD925" s="277">
        <f>IFERROR(__xludf.DUMMYFUNCTION("""COMPUTED_VALUE"""),154548.0)</f>
        <v>154548</v>
      </c>
      <c r="AE925" s="277">
        <f>IFERROR(__xludf.DUMMYFUNCTION("""COMPUTED_VALUE"""),154548.0)</f>
        <v>154548</v>
      </c>
      <c r="AF925" s="277"/>
      <c r="AG925" s="208"/>
      <c r="AH925" s="208"/>
      <c r="AI925" s="208"/>
      <c r="AJ925" s="208"/>
      <c r="AK925" s="208"/>
    </row>
    <row r="926" hidden="1">
      <c r="A926" s="288">
        <f>IFERROR(__xludf.DUMMYFUNCTION("""COMPUTED_VALUE"""),46186.0)</f>
        <v>46186</v>
      </c>
      <c r="B926" s="274">
        <f>IFERROR(__xludf.DUMMYFUNCTION("""COMPUTED_VALUE"""),0.5)</f>
        <v>0.5</v>
      </c>
      <c r="C926" s="208" t="str">
        <f>IFERROR(__xludf.DUMMYFUNCTION("""COMPUTED_VALUE"""),"Whatsapp")</f>
        <v>Whatsapp</v>
      </c>
      <c r="D926" s="208" t="str">
        <f>IFERROR(__xludf.DUMMYFUNCTION("""COMPUTED_VALUE"""),"Promotional")</f>
        <v>Promotional</v>
      </c>
      <c r="E926" s="208" t="str">
        <f>IFERROR(__xludf.DUMMYFUNCTION("""COMPUTED_VALUE"""),"BBW")</f>
        <v>BBW</v>
      </c>
      <c r="F926" s="208" t="str">
        <f>IFERROR(__xludf.DUMMYFUNCTION("""COMPUTED_VALUE"""),"SAS - June 2026")</f>
        <v>SAS - June 2026</v>
      </c>
      <c r="G926" s="208" t="str">
        <f>IFERROR(__xludf.DUMMYFUNCTION("""COMPUTED_VALUE"""),"bbw_wa_sas_launch_13june_churned_offline")</f>
        <v>bbw_wa_sas_launch_13june_churned_offline</v>
      </c>
      <c r="H926" s="232" t="str">
        <f>IFERROR(__xludf.DUMMYFUNCTION("""COMPUTED_VALUE"""),"BBW_OFF_Churned550_EOSS_26")</f>
        <v>BBW_OFF_Churned550_EOSS_26</v>
      </c>
      <c r="I926" s="233" t="str">
        <f>IFERROR(__xludf.DUMMYFUNCTION("""COMPUTED_VALUE"""),"Offline customers who have purchased in the last 550 days")</f>
        <v>Offline customers who have purchased in the last 550 days</v>
      </c>
      <c r="J926" s="275">
        <f>IFERROR(__xludf.DUMMYFUNCTION("""COMPUTED_VALUE"""),163765.0)</f>
        <v>163765</v>
      </c>
      <c r="K926" s="275">
        <f>IFERROR(__xludf.DUMMYFUNCTION("""COMPUTED_VALUE"""),67649.0)</f>
        <v>67649</v>
      </c>
      <c r="L926" s="276">
        <f>IFERROR(__xludf.DUMMYFUNCTION("""COMPUTED_VALUE"""),0.413)</f>
        <v>0.413</v>
      </c>
      <c r="M926" s="275">
        <f>IFERROR(__xludf.DUMMYFUNCTION("""COMPUTED_VALUE"""),22174.0)</f>
        <v>22174</v>
      </c>
      <c r="N926" s="276">
        <f>IFERROR(__xludf.DUMMYFUNCTION("""COMPUTED_VALUE"""),0.3277)</f>
        <v>0.3277</v>
      </c>
      <c r="O926" s="208">
        <f>IFERROR(__xludf.DUMMYFUNCTION("""COMPUTED_VALUE"""),2434.0)</f>
        <v>2434</v>
      </c>
      <c r="P926" s="208">
        <f>IFERROR(__xludf.DUMMYFUNCTION("""COMPUTED_VALUE"""),2261.0)</f>
        <v>2261</v>
      </c>
      <c r="Q926" s="276">
        <f>IFERROR(__xludf.DUMMYFUNCTION("""COMPUTED_VALUE"""),0.0334)</f>
        <v>0.0334</v>
      </c>
      <c r="R926" s="276">
        <f>IFERROR(__xludf.DUMMYFUNCTION("""COMPUTED_VALUE"""),0.102)</f>
        <v>0.102</v>
      </c>
      <c r="S926" s="208">
        <f>IFERROR(__xludf.DUMMYFUNCTION("""COMPUTED_VALUE"""),10.0)</f>
        <v>10</v>
      </c>
      <c r="T926" s="208">
        <f>IFERROR(__xludf.DUMMYFUNCTION("""COMPUTED_VALUE"""),36.0)</f>
        <v>36</v>
      </c>
      <c r="U926" s="275">
        <f>IFERROR(__xludf.DUMMYFUNCTION("""COMPUTED_VALUE"""),18795.0)</f>
        <v>18795</v>
      </c>
      <c r="V926" s="234" t="str">
        <f>IFERROR(__xludf.DUMMYFUNCTION("""COMPUTED_VALUE"""),"offline")</f>
        <v>offline</v>
      </c>
      <c r="W926" s="232" t="str">
        <f>IFERROR(__xludf.DUMMYFUNCTION("""COMPUTED_VALUE"""),"simple")</f>
        <v>simple</v>
      </c>
      <c r="X926" s="232" t="str">
        <f>IFERROR(__xludf.DUMMYFUNCTION("""COMPUTED_VALUE"""),"Churned")</f>
        <v>Churned</v>
      </c>
      <c r="Y926" s="232" t="str">
        <f>IFERROR(__xludf.DUMMYFUNCTION("""COMPUTED_VALUE"""),"13-15 June")</f>
        <v>13-15 June</v>
      </c>
      <c r="Z926" s="232" t="str">
        <f>IFERROR(__xludf.DUMMYFUNCTION("""COMPUTED_VALUE"""),"6a26a6fb0ff383664c8be3e3")</f>
        <v>6a26a6fb0ff383664c8be3e3</v>
      </c>
      <c r="AA926" s="277">
        <f>IFERROR(__xludf.DUMMYFUNCTION("""COMPUTED_VALUE"""),248.0)</f>
        <v>248</v>
      </c>
      <c r="AB926" s="277"/>
      <c r="AC926" s="277">
        <f>IFERROR(__xludf.DUMMYFUNCTION("""COMPUTED_VALUE"""),248.0)</f>
        <v>248</v>
      </c>
      <c r="AD926" s="277">
        <f>IFERROR(__xludf.DUMMYFUNCTION("""COMPUTED_VALUE"""),733954.0)</f>
        <v>733954</v>
      </c>
      <c r="AE926" s="277"/>
      <c r="AF926" s="277">
        <f>IFERROR(__xludf.DUMMYFUNCTION("""COMPUTED_VALUE"""),733954.0)</f>
        <v>733954</v>
      </c>
      <c r="AG926" s="208"/>
      <c r="AH926" s="208"/>
      <c r="AI926" s="208"/>
      <c r="AJ926" s="208"/>
      <c r="AK926" s="208"/>
    </row>
    <row r="927" hidden="1">
      <c r="A927" s="288">
        <f>IFERROR(__xludf.DUMMYFUNCTION("""COMPUTED_VALUE"""),46186.0)</f>
        <v>46186</v>
      </c>
      <c r="B927" s="274">
        <f>IFERROR(__xludf.DUMMYFUNCTION("""COMPUTED_VALUE"""),0.5)</f>
        <v>0.5</v>
      </c>
      <c r="C927" s="208" t="str">
        <f>IFERROR(__xludf.DUMMYFUNCTION("""COMPUTED_VALUE"""),"Whatsapp")</f>
        <v>Whatsapp</v>
      </c>
      <c r="D927" s="208" t="str">
        <f>IFERROR(__xludf.DUMMYFUNCTION("""COMPUTED_VALUE"""),"Promotional")</f>
        <v>Promotional</v>
      </c>
      <c r="E927" s="208" t="str">
        <f>IFERROR(__xludf.DUMMYFUNCTION("""COMPUTED_VALUE"""),"BBW")</f>
        <v>BBW</v>
      </c>
      <c r="F927" s="208" t="str">
        <f>IFERROR(__xludf.DUMMYFUNCTION("""COMPUTED_VALUE"""),"SAS - June 2026")</f>
        <v>SAS - June 2026</v>
      </c>
      <c r="G927" s="208" t="str">
        <f>IFERROR(__xludf.DUMMYFUNCTION("""COMPUTED_VALUE"""),"bbw_wa_sas_launch_13june_churned2_offline")</f>
        <v>bbw_wa_sas_launch_13june_churned2_offline</v>
      </c>
      <c r="H927" s="232" t="str">
        <f>IFERROR(__xludf.DUMMYFUNCTION("""COMPUTED_VALUE"""),"BBW_OFF_Churned1095_EOSS_26")</f>
        <v>BBW_OFF_Churned1095_EOSS_26</v>
      </c>
      <c r="I927" s="233" t="str">
        <f>IFERROR(__xludf.DUMMYFUNCTION("""COMPUTED_VALUE"""),"Offline customers who have purchased in the last 1095 days")</f>
        <v>Offline customers who have purchased in the last 1095 days</v>
      </c>
      <c r="J927" s="275">
        <f>IFERROR(__xludf.DUMMYFUNCTION("""COMPUTED_VALUE"""),160886.0)</f>
        <v>160886</v>
      </c>
      <c r="K927" s="275">
        <f>IFERROR(__xludf.DUMMYFUNCTION("""COMPUTED_VALUE"""),64497.0)</f>
        <v>64497</v>
      </c>
      <c r="L927" s="276">
        <f>IFERROR(__xludf.DUMMYFUNCTION("""COMPUTED_VALUE"""),0.4008)</f>
        <v>0.4008</v>
      </c>
      <c r="M927" s="275">
        <f>IFERROR(__xludf.DUMMYFUNCTION("""COMPUTED_VALUE"""),20601.0)</f>
        <v>20601</v>
      </c>
      <c r="N927" s="276">
        <f>IFERROR(__xludf.DUMMYFUNCTION("""COMPUTED_VALUE"""),0.3194)</f>
        <v>0.3194</v>
      </c>
      <c r="O927" s="208">
        <f>IFERROR(__xludf.DUMMYFUNCTION("""COMPUTED_VALUE"""),2119.0)</f>
        <v>2119</v>
      </c>
      <c r="P927" s="208">
        <f>IFERROR(__xludf.DUMMYFUNCTION("""COMPUTED_VALUE"""),1991.0)</f>
        <v>1991</v>
      </c>
      <c r="Q927" s="276">
        <f>IFERROR(__xludf.DUMMYFUNCTION("""COMPUTED_VALUE"""),0.0309)</f>
        <v>0.0309</v>
      </c>
      <c r="R927" s="276">
        <f>IFERROR(__xludf.DUMMYFUNCTION("""COMPUTED_VALUE"""),0.0967)</f>
        <v>0.0967</v>
      </c>
      <c r="S927" s="208">
        <f>IFERROR(__xludf.DUMMYFUNCTION("""COMPUTED_VALUE"""),8.0)</f>
        <v>8</v>
      </c>
      <c r="T927" s="208">
        <f>IFERROR(__xludf.DUMMYFUNCTION("""COMPUTED_VALUE"""),30.0)</f>
        <v>30</v>
      </c>
      <c r="U927" s="275">
        <f>IFERROR(__xludf.DUMMYFUNCTION("""COMPUTED_VALUE"""),15754.0)</f>
        <v>15754</v>
      </c>
      <c r="V927" s="234" t="str">
        <f>IFERROR(__xludf.DUMMYFUNCTION("""COMPUTED_VALUE"""),"offline")</f>
        <v>offline</v>
      </c>
      <c r="W927" s="232" t="str">
        <f>IFERROR(__xludf.DUMMYFUNCTION("""COMPUTED_VALUE"""),"simple")</f>
        <v>simple</v>
      </c>
      <c r="X927" s="232" t="str">
        <f>IFERROR(__xludf.DUMMYFUNCTION("""COMPUTED_VALUE"""),"Churned")</f>
        <v>Churned</v>
      </c>
      <c r="Y927" s="232" t="str">
        <f>IFERROR(__xludf.DUMMYFUNCTION("""COMPUTED_VALUE"""),"13-15 June")</f>
        <v>13-15 June</v>
      </c>
      <c r="Z927" s="232" t="str">
        <f>IFERROR(__xludf.DUMMYFUNCTION("""COMPUTED_VALUE"""),"6a26a779e2b42c86a4e6bc32")</f>
        <v>6a26a779e2b42c86a4e6bc32</v>
      </c>
      <c r="AA927" s="277">
        <f>IFERROR(__xludf.DUMMYFUNCTION("""COMPUTED_VALUE"""),191.0)</f>
        <v>191</v>
      </c>
      <c r="AB927" s="277"/>
      <c r="AC927" s="277">
        <f>IFERROR(__xludf.DUMMYFUNCTION("""COMPUTED_VALUE"""),191.0)</f>
        <v>191</v>
      </c>
      <c r="AD927" s="277">
        <f>IFERROR(__xludf.DUMMYFUNCTION("""COMPUTED_VALUE"""),574618.0)</f>
        <v>574618</v>
      </c>
      <c r="AE927" s="277"/>
      <c r="AF927" s="277">
        <f>IFERROR(__xludf.DUMMYFUNCTION("""COMPUTED_VALUE"""),574618.0)</f>
        <v>574618</v>
      </c>
      <c r="AG927" s="208"/>
      <c r="AH927" s="208"/>
      <c r="AI927" s="208"/>
      <c r="AJ927" s="208"/>
      <c r="AK927" s="208"/>
    </row>
    <row r="928" hidden="1">
      <c r="A928" s="288">
        <f>IFERROR(__xludf.DUMMYFUNCTION("""COMPUTED_VALUE"""),46184.0)</f>
        <v>46184</v>
      </c>
      <c r="B928" s="274">
        <f>IFERROR(__xludf.DUMMYFUNCTION("""COMPUTED_VALUE"""),0.7083333333321207)</f>
        <v>0.7083333333</v>
      </c>
      <c r="C928" s="208" t="str">
        <f>IFERROR(__xludf.DUMMYFUNCTION("""COMPUTED_VALUE"""),"Whatsapp")</f>
        <v>Whatsapp</v>
      </c>
      <c r="D928" s="208" t="str">
        <f>IFERROR(__xludf.DUMMYFUNCTION("""COMPUTED_VALUE"""),"Promotional")</f>
        <v>Promotional</v>
      </c>
      <c r="E928" s="208" t="str">
        <f>IFERROR(__xludf.DUMMYFUNCTION("""COMPUTED_VALUE"""),"BBW")</f>
        <v>BBW</v>
      </c>
      <c r="F928" s="208" t="str">
        <f>IFERROR(__xludf.DUMMYFUNCTION("""COMPUTED_VALUE"""),"SAS - June 2026")</f>
        <v>SAS - June 2026</v>
      </c>
      <c r="G928" s="208" t="str">
        <f>IFERROR(__xludf.DUMMYFUNCTION("""COMPUTED_VALUE"""),"bbw_wa_sas_launch_11june_active_online")</f>
        <v>bbw_wa_sas_launch_11june_active_online</v>
      </c>
      <c r="H928" s="232" t="str">
        <f>IFERROR(__xludf.DUMMYFUNCTION("""COMPUTED_VALUE"""),"BBW_ON_Active_EOSS_26")</f>
        <v>BBW_ON_Active_EOSS_26</v>
      </c>
      <c r="I928" s="233" t="str">
        <f>IFERROR(__xludf.DUMMYFUNCTION("""COMPUTED_VALUE"""),"Online customers who have purchased in the last 84 days")</f>
        <v>Online customers who have purchased in the last 84 days</v>
      </c>
      <c r="J928" s="275">
        <f>IFERROR(__xludf.DUMMYFUNCTION("""COMPUTED_VALUE"""),27390.0)</f>
        <v>27390</v>
      </c>
      <c r="K928" s="275">
        <f>IFERROR(__xludf.DUMMYFUNCTION("""COMPUTED_VALUE"""),13099.0)</f>
        <v>13099</v>
      </c>
      <c r="L928" s="276">
        <f>IFERROR(__xludf.DUMMYFUNCTION("""COMPUTED_VALUE"""),0.4781)</f>
        <v>0.4781</v>
      </c>
      <c r="M928" s="275">
        <f>IFERROR(__xludf.DUMMYFUNCTION("""COMPUTED_VALUE"""),5486.0)</f>
        <v>5486</v>
      </c>
      <c r="N928" s="276">
        <f>IFERROR(__xludf.DUMMYFUNCTION("""COMPUTED_VALUE"""),0.4189)</f>
        <v>0.4189</v>
      </c>
      <c r="O928" s="208">
        <f>IFERROR(__xludf.DUMMYFUNCTION("""COMPUTED_VALUE"""),1818.0)</f>
        <v>1818</v>
      </c>
      <c r="P928" s="208">
        <f>IFERROR(__xludf.DUMMYFUNCTION("""COMPUTED_VALUE"""),1593.0)</f>
        <v>1593</v>
      </c>
      <c r="Q928" s="276">
        <f>IFERROR(__xludf.DUMMYFUNCTION("""COMPUTED_VALUE"""),0.1216)</f>
        <v>0.1216</v>
      </c>
      <c r="R928" s="276">
        <f>IFERROR(__xludf.DUMMYFUNCTION("""COMPUTED_VALUE"""),0.2904)</f>
        <v>0.2904</v>
      </c>
      <c r="S928" s="208">
        <f>IFERROR(__xludf.DUMMYFUNCTION("""COMPUTED_VALUE"""),62.0)</f>
        <v>62</v>
      </c>
      <c r="T928" s="208">
        <f>IFERROR(__xludf.DUMMYFUNCTION("""COMPUTED_VALUE"""),190.0)</f>
        <v>190</v>
      </c>
      <c r="U928" s="275">
        <f>IFERROR(__xludf.DUMMYFUNCTION("""COMPUTED_VALUE"""),182268.0)</f>
        <v>182268</v>
      </c>
      <c r="V928" s="234" t="str">
        <f>IFERROR(__xludf.DUMMYFUNCTION("""COMPUTED_VALUE"""),"online")</f>
        <v>online</v>
      </c>
      <c r="W928" s="232" t="str">
        <f>IFERROR(__xludf.DUMMYFUNCTION("""COMPUTED_VALUE"""),"simple")</f>
        <v>simple</v>
      </c>
      <c r="X928" s="232" t="str">
        <f>IFERROR(__xludf.DUMMYFUNCTION("""COMPUTED_VALUE"""),"Active")</f>
        <v>Active</v>
      </c>
      <c r="Y928" s="232" t="str">
        <f>IFERROR(__xludf.DUMMYFUNCTION("""COMPUTED_VALUE"""),"11-13 June")</f>
        <v>11-13 June</v>
      </c>
      <c r="Z928" s="232" t="str">
        <f>IFERROR(__xludf.DUMMYFUNCTION("""COMPUTED_VALUE"""),"6a26a7c4cd88a430259e5a05")</f>
        <v>6a26a7c4cd88a430259e5a05</v>
      </c>
      <c r="AA928" s="277">
        <f>IFERROR(__xludf.DUMMYFUNCTION("""COMPUTED_VALUE"""),370.0)</f>
        <v>370</v>
      </c>
      <c r="AB928" s="277">
        <f>IFERROR(__xludf.DUMMYFUNCTION("""COMPUTED_VALUE"""),370.0)</f>
        <v>370</v>
      </c>
      <c r="AC928" s="277"/>
      <c r="AD928" s="277">
        <f>IFERROR(__xludf.DUMMYFUNCTION("""COMPUTED_VALUE"""),1007151.0)</f>
        <v>1007151</v>
      </c>
      <c r="AE928" s="277">
        <f>IFERROR(__xludf.DUMMYFUNCTION("""COMPUTED_VALUE"""),1007151.0)</f>
        <v>1007151</v>
      </c>
      <c r="AF928" s="277"/>
      <c r="AG928" s="208"/>
      <c r="AH928" s="208"/>
      <c r="AI928" s="208"/>
      <c r="AJ928" s="208"/>
      <c r="AK928" s="208"/>
    </row>
    <row r="929" hidden="1">
      <c r="A929" s="288">
        <f>IFERROR(__xludf.DUMMYFUNCTION("""COMPUTED_VALUE"""),46184.0)</f>
        <v>46184</v>
      </c>
      <c r="B929" s="274">
        <f>IFERROR(__xludf.DUMMYFUNCTION("""COMPUTED_VALUE"""),0.7083333333321207)</f>
        <v>0.7083333333</v>
      </c>
      <c r="C929" s="208" t="str">
        <f>IFERROR(__xludf.DUMMYFUNCTION("""COMPUTED_VALUE"""),"Whatsapp")</f>
        <v>Whatsapp</v>
      </c>
      <c r="D929" s="208" t="str">
        <f>IFERROR(__xludf.DUMMYFUNCTION("""COMPUTED_VALUE"""),"Promotional")</f>
        <v>Promotional</v>
      </c>
      <c r="E929" s="208" t="str">
        <f>IFERROR(__xludf.DUMMYFUNCTION("""COMPUTED_VALUE"""),"BBW")</f>
        <v>BBW</v>
      </c>
      <c r="F929" s="208" t="str">
        <f>IFERROR(__xludf.DUMMYFUNCTION("""COMPUTED_VALUE"""),"SAS - June 2026")</f>
        <v>SAS - June 2026</v>
      </c>
      <c r="G929" s="208" t="str">
        <f>IFERROR(__xludf.DUMMYFUNCTION("""COMPUTED_VALUE"""),"bbw_wa_sas_launch_11june_dormant_online")</f>
        <v>bbw_wa_sas_launch_11june_dormant_online</v>
      </c>
      <c r="H929" s="232" t="str">
        <f>IFERROR(__xludf.DUMMYFUNCTION("""COMPUTED_VALUE"""),"BBW_ON_Dorm_EOSS_26")</f>
        <v>BBW_ON_Dorm_EOSS_26</v>
      </c>
      <c r="I929" s="233" t="str">
        <f>IFERROR(__xludf.DUMMYFUNCTION("""COMPUTED_VALUE"""),"Online customers who have purchased in the last 365 days")</f>
        <v>Online customers who have purchased in the last 365 days</v>
      </c>
      <c r="J929" s="275">
        <f>IFERROR(__xludf.DUMMYFUNCTION("""COMPUTED_VALUE"""),97537.0)</f>
        <v>97537</v>
      </c>
      <c r="K929" s="275">
        <f>IFERROR(__xludf.DUMMYFUNCTION("""COMPUTED_VALUE"""),45395.0)</f>
        <v>45395</v>
      </c>
      <c r="L929" s="276">
        <f>IFERROR(__xludf.DUMMYFUNCTION("""COMPUTED_VALUE"""),0.4654)</f>
        <v>0.4654</v>
      </c>
      <c r="M929" s="275">
        <f>IFERROR(__xludf.DUMMYFUNCTION("""COMPUTED_VALUE"""),16612.0)</f>
        <v>16612</v>
      </c>
      <c r="N929" s="276">
        <f>IFERROR(__xludf.DUMMYFUNCTION("""COMPUTED_VALUE"""),0.3659)</f>
        <v>0.3659</v>
      </c>
      <c r="O929" s="208">
        <f>IFERROR(__xludf.DUMMYFUNCTION("""COMPUTED_VALUE"""),3803.0)</f>
        <v>3803</v>
      </c>
      <c r="P929" s="208">
        <f>IFERROR(__xludf.DUMMYFUNCTION("""COMPUTED_VALUE"""),3400.0)</f>
        <v>3400</v>
      </c>
      <c r="Q929" s="276">
        <f>IFERROR(__xludf.DUMMYFUNCTION("""COMPUTED_VALUE"""),0.0749)</f>
        <v>0.0749</v>
      </c>
      <c r="R929" s="276">
        <f>IFERROR(__xludf.DUMMYFUNCTION("""COMPUTED_VALUE"""),0.2047)</f>
        <v>0.2047</v>
      </c>
      <c r="S929" s="208">
        <f>IFERROR(__xludf.DUMMYFUNCTION("""COMPUTED_VALUE"""),89.0)</f>
        <v>89</v>
      </c>
      <c r="T929" s="208">
        <f>IFERROR(__xludf.DUMMYFUNCTION("""COMPUTED_VALUE"""),217.0)</f>
        <v>217</v>
      </c>
      <c r="U929" s="275">
        <f>IFERROR(__xludf.DUMMYFUNCTION("""COMPUTED_VALUE"""),228417.0)</f>
        <v>228417</v>
      </c>
      <c r="V929" s="234" t="str">
        <f>IFERROR(__xludf.DUMMYFUNCTION("""COMPUTED_VALUE"""),"online")</f>
        <v>online</v>
      </c>
      <c r="W929" s="232" t="str">
        <f>IFERROR(__xludf.DUMMYFUNCTION("""COMPUTED_VALUE"""),"simple")</f>
        <v>simple</v>
      </c>
      <c r="X929" s="232" t="str">
        <f>IFERROR(__xludf.DUMMYFUNCTION("""COMPUTED_VALUE"""),"Dormant")</f>
        <v>Dormant</v>
      </c>
      <c r="Y929" s="232" t="str">
        <f>IFERROR(__xludf.DUMMYFUNCTION("""COMPUTED_VALUE"""),"11-13 June")</f>
        <v>11-13 June</v>
      </c>
      <c r="Z929" s="232" t="str">
        <f>IFERROR(__xludf.DUMMYFUNCTION("""COMPUTED_VALUE"""),"6a26a83f2b8ac1ae7e7b9f76")</f>
        <v>6a26a83f2b8ac1ae7e7b9f76</v>
      </c>
      <c r="AA929" s="277">
        <f>IFERROR(__xludf.DUMMYFUNCTION("""COMPUTED_VALUE"""),619.0)</f>
        <v>619</v>
      </c>
      <c r="AB929" s="277">
        <f>IFERROR(__xludf.DUMMYFUNCTION("""COMPUTED_VALUE"""),619.0)</f>
        <v>619</v>
      </c>
      <c r="AC929" s="277"/>
      <c r="AD929" s="277">
        <f>IFERROR(__xludf.DUMMYFUNCTION("""COMPUTED_VALUE"""),1462671.0)</f>
        <v>1462671</v>
      </c>
      <c r="AE929" s="277">
        <f>IFERROR(__xludf.DUMMYFUNCTION("""COMPUTED_VALUE"""),1462671.0)</f>
        <v>1462671</v>
      </c>
      <c r="AF929" s="277"/>
      <c r="AG929" s="208"/>
      <c r="AH929" s="208"/>
      <c r="AI929" s="208"/>
      <c r="AJ929" s="208"/>
      <c r="AK929" s="208"/>
    </row>
    <row r="930" hidden="1">
      <c r="A930" s="288">
        <f>IFERROR(__xludf.DUMMYFUNCTION("""COMPUTED_VALUE"""),46185.0)</f>
        <v>46185</v>
      </c>
      <c r="B930" s="274">
        <f>IFERROR(__xludf.DUMMYFUNCTION("""COMPUTED_VALUE"""),0.4791666666678793)</f>
        <v>0.4791666667</v>
      </c>
      <c r="C930" s="208" t="str">
        <f>IFERROR(__xludf.DUMMYFUNCTION("""COMPUTED_VALUE"""),"Whatsapp")</f>
        <v>Whatsapp</v>
      </c>
      <c r="D930" s="208" t="str">
        <f>IFERROR(__xludf.DUMMYFUNCTION("""COMPUTED_VALUE"""),"Promotional")</f>
        <v>Promotional</v>
      </c>
      <c r="E930" s="208" t="str">
        <f>IFERROR(__xludf.DUMMYFUNCTION("""COMPUTED_VALUE"""),"BBW")</f>
        <v>BBW</v>
      </c>
      <c r="F930" s="208" t="str">
        <f>IFERROR(__xludf.DUMMYFUNCTION("""COMPUTED_VALUE"""),"SAS - June 2026")</f>
        <v>SAS - June 2026</v>
      </c>
      <c r="G930" s="208" t="str">
        <f>IFERROR(__xludf.DUMMYFUNCTION("""COMPUTED_VALUE"""),"bbw_wa_sas_launch_12june_active_offline")</f>
        <v>bbw_wa_sas_launch_12june_active_offline</v>
      </c>
      <c r="H930" s="232" t="str">
        <f>IFERROR(__xludf.DUMMYFUNCTION("""COMPUTED_VALUE"""),"BBW_OFF_Active_EOSS_26")</f>
        <v>BBW_OFF_Active_EOSS_26</v>
      </c>
      <c r="I930" s="233" t="str">
        <f>IFERROR(__xludf.DUMMYFUNCTION("""COMPUTED_VALUE"""),"Offline customers who have purchased in the last 105 days")</f>
        <v>Offline customers who have purchased in the last 105 days</v>
      </c>
      <c r="J930" s="275">
        <f>IFERROR(__xludf.DUMMYFUNCTION("""COMPUTED_VALUE"""),127561.0)</f>
        <v>127561</v>
      </c>
      <c r="K930" s="275">
        <f>IFERROR(__xludf.DUMMYFUNCTION("""COMPUTED_VALUE"""),62548.0)</f>
        <v>62548</v>
      </c>
      <c r="L930" s="276">
        <f>IFERROR(__xludf.DUMMYFUNCTION("""COMPUTED_VALUE"""),0.4903)</f>
        <v>0.4903</v>
      </c>
      <c r="M930" s="275">
        <f>IFERROR(__xludf.DUMMYFUNCTION("""COMPUTED_VALUE"""),24196.0)</f>
        <v>24196</v>
      </c>
      <c r="N930" s="276">
        <f>IFERROR(__xludf.DUMMYFUNCTION("""COMPUTED_VALUE"""),0.3869)</f>
        <v>0.3869</v>
      </c>
      <c r="O930" s="208">
        <f>IFERROR(__xludf.DUMMYFUNCTION("""COMPUTED_VALUE"""),3991.0)</f>
        <v>3991</v>
      </c>
      <c r="P930" s="208">
        <f>IFERROR(__xludf.DUMMYFUNCTION("""COMPUTED_VALUE"""),3668.0)</f>
        <v>3668</v>
      </c>
      <c r="Q930" s="276">
        <f>IFERROR(__xludf.DUMMYFUNCTION("""COMPUTED_VALUE"""),0.0586)</f>
        <v>0.0586</v>
      </c>
      <c r="R930" s="276">
        <f>IFERROR(__xludf.DUMMYFUNCTION("""COMPUTED_VALUE"""),0.1516)</f>
        <v>0.1516</v>
      </c>
      <c r="S930" s="208">
        <f>IFERROR(__xludf.DUMMYFUNCTION("""COMPUTED_VALUE"""),27.0)</f>
        <v>27</v>
      </c>
      <c r="T930" s="208">
        <f>IFERROR(__xludf.DUMMYFUNCTION("""COMPUTED_VALUE"""),100.0)</f>
        <v>100</v>
      </c>
      <c r="U930" s="275">
        <f>IFERROR(__xludf.DUMMYFUNCTION("""COMPUTED_VALUE"""),69049.0)</f>
        <v>69049</v>
      </c>
      <c r="V930" s="234" t="str">
        <f>IFERROR(__xludf.DUMMYFUNCTION("""COMPUTED_VALUE"""),"offline")</f>
        <v>offline</v>
      </c>
      <c r="W930" s="232" t="str">
        <f>IFERROR(__xludf.DUMMYFUNCTION("""COMPUTED_VALUE"""),"simple")</f>
        <v>simple</v>
      </c>
      <c r="X930" s="232" t="str">
        <f>IFERROR(__xludf.DUMMYFUNCTION("""COMPUTED_VALUE"""),"Active")</f>
        <v>Active</v>
      </c>
      <c r="Y930" s="232" t="str">
        <f>IFERROR(__xludf.DUMMYFUNCTION("""COMPUTED_VALUE"""),"12-14 June")</f>
        <v>12-14 June</v>
      </c>
      <c r="Z930" s="232" t="str">
        <f>IFERROR(__xludf.DUMMYFUNCTION("""COMPUTED_VALUE"""),"6a26aa7d24b9860232c2f500")</f>
        <v>6a26aa7d24b9860232c2f500</v>
      </c>
      <c r="AA930" s="277">
        <f>IFERROR(__xludf.DUMMYFUNCTION("""COMPUTED_VALUE"""),566.0)</f>
        <v>566</v>
      </c>
      <c r="AB930" s="277"/>
      <c r="AC930" s="277">
        <f>IFERROR(__xludf.DUMMYFUNCTION("""COMPUTED_VALUE"""),566.0)</f>
        <v>566</v>
      </c>
      <c r="AD930" s="277">
        <f>IFERROR(__xludf.DUMMYFUNCTION("""COMPUTED_VALUE"""),2174648.0)</f>
        <v>2174648</v>
      </c>
      <c r="AE930" s="277"/>
      <c r="AF930" s="277">
        <f>IFERROR(__xludf.DUMMYFUNCTION("""COMPUTED_VALUE"""),2174648.0)</f>
        <v>2174648</v>
      </c>
      <c r="AG930" s="208"/>
      <c r="AH930" s="208"/>
      <c r="AI930" s="208"/>
      <c r="AJ930" s="208"/>
      <c r="AK930" s="208"/>
    </row>
    <row r="931" hidden="1">
      <c r="A931" s="288">
        <f>IFERROR(__xludf.DUMMYFUNCTION("""COMPUTED_VALUE"""),46185.0)</f>
        <v>46185</v>
      </c>
      <c r="B931" s="274">
        <f>IFERROR(__xludf.DUMMYFUNCTION("""COMPUTED_VALUE"""),0.4791666666678793)</f>
        <v>0.4791666667</v>
      </c>
      <c r="C931" s="208" t="str">
        <f>IFERROR(__xludf.DUMMYFUNCTION("""COMPUTED_VALUE"""),"Whatsapp")</f>
        <v>Whatsapp</v>
      </c>
      <c r="D931" s="208" t="str">
        <f>IFERROR(__xludf.DUMMYFUNCTION("""COMPUTED_VALUE"""),"Promotional")</f>
        <v>Promotional</v>
      </c>
      <c r="E931" s="208" t="str">
        <f>IFERROR(__xludf.DUMMYFUNCTION("""COMPUTED_VALUE"""),"BBW")</f>
        <v>BBW</v>
      </c>
      <c r="F931" s="208" t="str">
        <f>IFERROR(__xludf.DUMMYFUNCTION("""COMPUTED_VALUE"""),"SAS - June 2026")</f>
        <v>SAS - June 2026</v>
      </c>
      <c r="G931" s="208" t="str">
        <f>IFERROR(__xludf.DUMMYFUNCTION("""COMPUTED_VALUE"""),"bbw_wa_sas_launch_12june_dormant_offline")</f>
        <v>bbw_wa_sas_launch_12june_dormant_offline</v>
      </c>
      <c r="H931" s="232" t="str">
        <f>IFERROR(__xludf.DUMMYFUNCTION("""COMPUTED_VALUE"""),"BBW_OFF_Dorm235_EOSS_26")</f>
        <v>BBW_OFF_Dorm235_EOSS_26</v>
      </c>
      <c r="I931" s="233" t="str">
        <f>IFERROR(__xludf.DUMMYFUNCTION("""COMPUTED_VALUE"""),"Offline customers who have purchased in the last 235 days")</f>
        <v>Offline customers who have purchased in the last 235 days</v>
      </c>
      <c r="J931" s="275">
        <f>IFERROR(__xludf.DUMMYFUNCTION("""COMPUTED_VALUE"""),171979.0)</f>
        <v>171979</v>
      </c>
      <c r="K931" s="275">
        <f>IFERROR(__xludf.DUMMYFUNCTION("""COMPUTED_VALUE"""),81793.0)</f>
        <v>81793</v>
      </c>
      <c r="L931" s="276">
        <f>IFERROR(__xludf.DUMMYFUNCTION("""COMPUTED_VALUE"""),0.4756)</f>
        <v>0.4756</v>
      </c>
      <c r="M931" s="275">
        <f>IFERROR(__xludf.DUMMYFUNCTION("""COMPUTED_VALUE"""),28648.0)</f>
        <v>28648</v>
      </c>
      <c r="N931" s="276">
        <f>IFERROR(__xludf.DUMMYFUNCTION("""COMPUTED_VALUE"""),0.3503)</f>
        <v>0.3503</v>
      </c>
      <c r="O931" s="208">
        <f>IFERROR(__xludf.DUMMYFUNCTION("""COMPUTED_VALUE"""),3488.0)</f>
        <v>3488</v>
      </c>
      <c r="P931" s="208">
        <f>IFERROR(__xludf.DUMMYFUNCTION("""COMPUTED_VALUE"""),3228.0)</f>
        <v>3228</v>
      </c>
      <c r="Q931" s="276">
        <f>IFERROR(__xludf.DUMMYFUNCTION("""COMPUTED_VALUE"""),0.0395)</f>
        <v>0.0395</v>
      </c>
      <c r="R931" s="276">
        <f>IFERROR(__xludf.DUMMYFUNCTION("""COMPUTED_VALUE"""),0.1127)</f>
        <v>0.1127</v>
      </c>
      <c r="S931" s="208">
        <f>IFERROR(__xludf.DUMMYFUNCTION("""COMPUTED_VALUE"""),23.0)</f>
        <v>23</v>
      </c>
      <c r="T931" s="208">
        <f>IFERROR(__xludf.DUMMYFUNCTION("""COMPUTED_VALUE"""),79.0)</f>
        <v>79</v>
      </c>
      <c r="U931" s="275">
        <f>IFERROR(__xludf.DUMMYFUNCTION("""COMPUTED_VALUE"""),57746.0)</f>
        <v>57746</v>
      </c>
      <c r="V931" s="234" t="str">
        <f>IFERROR(__xludf.DUMMYFUNCTION("""COMPUTED_VALUE"""),"offline")</f>
        <v>offline</v>
      </c>
      <c r="W931" s="232" t="str">
        <f>IFERROR(__xludf.DUMMYFUNCTION("""COMPUTED_VALUE"""),"simple")</f>
        <v>simple</v>
      </c>
      <c r="X931" s="232" t="str">
        <f>IFERROR(__xludf.DUMMYFUNCTION("""COMPUTED_VALUE"""),"Dormant")</f>
        <v>Dormant</v>
      </c>
      <c r="Y931" s="232" t="str">
        <f>IFERROR(__xludf.DUMMYFUNCTION("""COMPUTED_VALUE"""),"12-14 June")</f>
        <v>12-14 June</v>
      </c>
      <c r="Z931" s="232" t="str">
        <f>IFERROR(__xludf.DUMMYFUNCTION("""COMPUTED_VALUE"""),"6a26aac80d76758337654147")</f>
        <v>6a26aac80d76758337654147</v>
      </c>
      <c r="AA931" s="277">
        <f>IFERROR(__xludf.DUMMYFUNCTION("""COMPUTED_VALUE"""),651.0)</f>
        <v>651</v>
      </c>
      <c r="AB931" s="277"/>
      <c r="AC931" s="277">
        <f>IFERROR(__xludf.DUMMYFUNCTION("""COMPUTED_VALUE"""),651.0)</f>
        <v>651</v>
      </c>
      <c r="AD931" s="277">
        <f>IFERROR(__xludf.DUMMYFUNCTION("""COMPUTED_VALUE"""),2274331.0)</f>
        <v>2274331</v>
      </c>
      <c r="AE931" s="277"/>
      <c r="AF931" s="277">
        <f>IFERROR(__xludf.DUMMYFUNCTION("""COMPUTED_VALUE"""),2274331.0)</f>
        <v>2274331</v>
      </c>
      <c r="AG931" s="208"/>
      <c r="AH931" s="208"/>
      <c r="AI931" s="208"/>
      <c r="AJ931" s="208"/>
      <c r="AK931" s="208"/>
    </row>
    <row r="932" hidden="1">
      <c r="A932" s="288">
        <f>IFERROR(__xludf.DUMMYFUNCTION("""COMPUTED_VALUE"""),46185.0)</f>
        <v>46185</v>
      </c>
      <c r="B932" s="274">
        <f>IFERROR(__xludf.DUMMYFUNCTION("""COMPUTED_VALUE"""),0.4791666666678793)</f>
        <v>0.4791666667</v>
      </c>
      <c r="C932" s="208" t="str">
        <f>IFERROR(__xludf.DUMMYFUNCTION("""COMPUTED_VALUE"""),"Whatsapp")</f>
        <v>Whatsapp</v>
      </c>
      <c r="D932" s="208" t="str">
        <f>IFERROR(__xludf.DUMMYFUNCTION("""COMPUTED_VALUE"""),"Promotional")</f>
        <v>Promotional</v>
      </c>
      <c r="E932" s="208" t="str">
        <f>IFERROR(__xludf.DUMMYFUNCTION("""COMPUTED_VALUE"""),"BBW")</f>
        <v>BBW</v>
      </c>
      <c r="F932" s="208" t="str">
        <f>IFERROR(__xludf.DUMMYFUNCTION("""COMPUTED_VALUE"""),"SAS - June 2026")</f>
        <v>SAS - June 2026</v>
      </c>
      <c r="G932" s="208" t="str">
        <f>IFERROR(__xludf.DUMMYFUNCTION("""COMPUTED_VALUE"""),"bbw_wa_sas_launch_12june_dormant2_offline")</f>
        <v>bbw_wa_sas_launch_12june_dormant2_offline</v>
      </c>
      <c r="H932" s="232" t="str">
        <f>IFERROR(__xludf.DUMMYFUNCTION("""COMPUTED_VALUE"""),"BBW_OFF_Dorm365_EOSS_26")</f>
        <v>BBW_OFF_Dorm365_EOSS_26</v>
      </c>
      <c r="I932" s="233" t="str">
        <f>IFERROR(__xludf.DUMMYFUNCTION("""COMPUTED_VALUE"""),"Offline customers who have purchased in the last 365 days")</f>
        <v>Offline customers who have purchased in the last 365 days</v>
      </c>
      <c r="J932" s="275">
        <f>IFERROR(__xludf.DUMMYFUNCTION("""COMPUTED_VALUE"""),144749.0)</f>
        <v>144749</v>
      </c>
      <c r="K932" s="275">
        <f>IFERROR(__xludf.DUMMYFUNCTION("""COMPUTED_VALUE"""),67621.0)</f>
        <v>67621</v>
      </c>
      <c r="L932" s="276">
        <f>IFERROR(__xludf.DUMMYFUNCTION("""COMPUTED_VALUE"""),0.4671)</f>
        <v>0.4671</v>
      </c>
      <c r="M932" s="275">
        <f>IFERROR(__xludf.DUMMYFUNCTION("""COMPUTED_VALUE"""),22568.0)</f>
        <v>22568</v>
      </c>
      <c r="N932" s="276">
        <f>IFERROR(__xludf.DUMMYFUNCTION("""COMPUTED_VALUE"""),0.3337)</f>
        <v>0.3337</v>
      </c>
      <c r="O932" s="208">
        <f>IFERROR(__xludf.DUMMYFUNCTION("""COMPUTED_VALUE"""),2607.0)</f>
        <v>2607</v>
      </c>
      <c r="P932" s="208">
        <f>IFERROR(__xludf.DUMMYFUNCTION("""COMPUTED_VALUE"""),2409.0)</f>
        <v>2409</v>
      </c>
      <c r="Q932" s="276">
        <f>IFERROR(__xludf.DUMMYFUNCTION("""COMPUTED_VALUE"""),0.0356)</f>
        <v>0.0356</v>
      </c>
      <c r="R932" s="276">
        <f>IFERROR(__xludf.DUMMYFUNCTION("""COMPUTED_VALUE"""),0.1067)</f>
        <v>0.1067</v>
      </c>
      <c r="S932" s="208">
        <f>IFERROR(__xludf.DUMMYFUNCTION("""COMPUTED_VALUE"""),21.0)</f>
        <v>21</v>
      </c>
      <c r="T932" s="208">
        <f>IFERROR(__xludf.DUMMYFUNCTION("""COMPUTED_VALUE"""),87.0)</f>
        <v>87</v>
      </c>
      <c r="U932" s="275">
        <f>IFERROR(__xludf.DUMMYFUNCTION("""COMPUTED_VALUE"""),55208.0)</f>
        <v>55208</v>
      </c>
      <c r="V932" s="234" t="str">
        <f>IFERROR(__xludf.DUMMYFUNCTION("""COMPUTED_VALUE"""),"offline")</f>
        <v>offline</v>
      </c>
      <c r="W932" s="232" t="str">
        <f>IFERROR(__xludf.DUMMYFUNCTION("""COMPUTED_VALUE"""),"simple")</f>
        <v>simple</v>
      </c>
      <c r="X932" s="232" t="str">
        <f>IFERROR(__xludf.DUMMYFUNCTION("""COMPUTED_VALUE"""),"Dormant")</f>
        <v>Dormant</v>
      </c>
      <c r="Y932" s="232" t="str">
        <f>IFERROR(__xludf.DUMMYFUNCTION("""COMPUTED_VALUE"""),"12-14 June")</f>
        <v>12-14 June</v>
      </c>
      <c r="Z932" s="232" t="str">
        <f>IFERROR(__xludf.DUMMYFUNCTION("""COMPUTED_VALUE"""),"6a26ab19ea7d3a767b829132")</f>
        <v>6a26ab19ea7d3a767b829132</v>
      </c>
      <c r="AA932" s="277">
        <f>IFERROR(__xludf.DUMMYFUNCTION("""COMPUTED_VALUE"""),400.0)</f>
        <v>400</v>
      </c>
      <c r="AB932" s="277"/>
      <c r="AC932" s="277">
        <f>IFERROR(__xludf.DUMMYFUNCTION("""COMPUTED_VALUE"""),400.0)</f>
        <v>400</v>
      </c>
      <c r="AD932" s="277">
        <f>IFERROR(__xludf.DUMMYFUNCTION("""COMPUTED_VALUE"""),1267408.0)</f>
        <v>1267408</v>
      </c>
      <c r="AE932" s="277"/>
      <c r="AF932" s="277">
        <f>IFERROR(__xludf.DUMMYFUNCTION("""COMPUTED_VALUE"""),1267408.0)</f>
        <v>1267408</v>
      </c>
      <c r="AG932" s="208"/>
      <c r="AH932" s="208"/>
      <c r="AI932" s="208"/>
      <c r="AJ932" s="208"/>
      <c r="AK932" s="208"/>
    </row>
    <row r="933" hidden="1">
      <c r="A933" s="288">
        <f>IFERROR(__xludf.DUMMYFUNCTION("""COMPUTED_VALUE"""),46187.0)</f>
        <v>46187</v>
      </c>
      <c r="B933" s="274">
        <f>IFERROR(__xludf.DUMMYFUNCTION("""COMPUTED_VALUE"""),0.4375)</f>
        <v>0.4375</v>
      </c>
      <c r="C933" s="208" t="str">
        <f>IFERROR(__xludf.DUMMYFUNCTION("""COMPUTED_VALUE"""),"Whatsapp")</f>
        <v>Whatsapp</v>
      </c>
      <c r="D933" s="208" t="str">
        <f>IFERROR(__xludf.DUMMYFUNCTION("""COMPUTED_VALUE"""),"Promotional")</f>
        <v>Promotional</v>
      </c>
      <c r="E933" s="208" t="str">
        <f>IFERROR(__xludf.DUMMYFUNCTION("""COMPUTED_VALUE"""),"BBW")</f>
        <v>BBW</v>
      </c>
      <c r="F933" s="208" t="str">
        <f>IFERROR(__xludf.DUMMYFUNCTION("""COMPUTED_VALUE"""),"SAS - June 2026")</f>
        <v>SAS - June 2026</v>
      </c>
      <c r="G933" s="208" t="str">
        <f>IFERROR(__xludf.DUMMYFUNCTION("""COMPUTED_VALUE"""),"bbw_wa_sas_retarget_loyal_14june_online")</f>
        <v>bbw_wa_sas_retarget_loyal_14june_online</v>
      </c>
      <c r="H933" s="232" t="str">
        <f>IFERROR(__xludf.DUMMYFUNCTION("""COMPUTED_VALUE"""),"BBW_Repeat_ON")</f>
        <v>BBW_Repeat_ON</v>
      </c>
      <c r="I933" s="233" t="str">
        <f>IFERROR(__xludf.DUMMYFUNCTION("""COMPUTED_VALUE"""),"No Brief")</f>
        <v>No Brief</v>
      </c>
      <c r="J933" s="275">
        <f>IFERROR(__xludf.DUMMYFUNCTION("""COMPUTED_VALUE"""),25491.0)</f>
        <v>25491</v>
      </c>
      <c r="K933" s="275">
        <f>IFERROR(__xludf.DUMMYFUNCTION("""COMPUTED_VALUE"""),13076.0)</f>
        <v>13076</v>
      </c>
      <c r="L933" s="276">
        <f>IFERROR(__xludf.DUMMYFUNCTION("""COMPUTED_VALUE"""),0.5128)</f>
        <v>0.5128</v>
      </c>
      <c r="M933" s="275">
        <f>IFERROR(__xludf.DUMMYFUNCTION("""COMPUTED_VALUE"""),4345.0)</f>
        <v>4345</v>
      </c>
      <c r="N933" s="276">
        <f>IFERROR(__xludf.DUMMYFUNCTION("""COMPUTED_VALUE"""),0.3324)</f>
        <v>0.3324</v>
      </c>
      <c r="O933" s="208">
        <f>IFERROR(__xludf.DUMMYFUNCTION("""COMPUTED_VALUE"""),960.0)</f>
        <v>960</v>
      </c>
      <c r="P933" s="208">
        <f>IFERROR(__xludf.DUMMYFUNCTION("""COMPUTED_VALUE"""),893.0)</f>
        <v>893</v>
      </c>
      <c r="Q933" s="276">
        <f>IFERROR(__xludf.DUMMYFUNCTION("""COMPUTED_VALUE"""),0.0683)</f>
        <v>0.0683</v>
      </c>
      <c r="R933" s="276">
        <f>IFERROR(__xludf.DUMMYFUNCTION("""COMPUTED_VALUE"""),0.2055)</f>
        <v>0.2055</v>
      </c>
      <c r="S933" s="208">
        <f>IFERROR(__xludf.DUMMYFUNCTION("""COMPUTED_VALUE"""),11.0)</f>
        <v>11</v>
      </c>
      <c r="T933" s="208">
        <f>IFERROR(__xludf.DUMMYFUNCTION("""COMPUTED_VALUE"""),36.0)</f>
        <v>36</v>
      </c>
      <c r="U933" s="275">
        <f>IFERROR(__xludf.DUMMYFUNCTION("""COMPUTED_VALUE"""),0.0)</f>
        <v>0</v>
      </c>
      <c r="V933" s="234" t="str">
        <f>IFERROR(__xludf.DUMMYFUNCTION("""COMPUTED_VALUE"""),"online")</f>
        <v>online</v>
      </c>
      <c r="W933" s="232" t="str">
        <f>IFERROR(__xludf.DUMMYFUNCTION("""COMPUTED_VALUE"""),"carousel")</f>
        <v>carousel</v>
      </c>
      <c r="X933" s="232" t="str">
        <f>IFERROR(__xludf.DUMMYFUNCTION("""COMPUTED_VALUE"""),"Repeat")</f>
        <v>Repeat</v>
      </c>
      <c r="Y933" s="232" t="str">
        <f>IFERROR(__xludf.DUMMYFUNCTION("""COMPUTED_VALUE"""),"14-16 June")</f>
        <v>14-16 June</v>
      </c>
      <c r="Z933" s="232" t="str">
        <f>IFERROR(__xludf.DUMMYFUNCTION("""COMPUTED_VALUE"""),"6a2a7f2da0bc7db20c435849")</f>
        <v>6a2a7f2da0bc7db20c435849</v>
      </c>
      <c r="AA933" s="277">
        <f>IFERROR(__xludf.DUMMYFUNCTION("""COMPUTED_VALUE"""),221.0)</f>
        <v>221</v>
      </c>
      <c r="AB933" s="277">
        <f>IFERROR(__xludf.DUMMYFUNCTION("""COMPUTED_VALUE"""),221.0)</f>
        <v>221</v>
      </c>
      <c r="AC933" s="277"/>
      <c r="AD933" s="277">
        <f>IFERROR(__xludf.DUMMYFUNCTION("""COMPUTED_VALUE"""),711810.0)</f>
        <v>711810</v>
      </c>
      <c r="AE933" s="277">
        <f>IFERROR(__xludf.DUMMYFUNCTION("""COMPUTED_VALUE"""),711810.0)</f>
        <v>711810</v>
      </c>
      <c r="AF933" s="277"/>
      <c r="AG933" s="208"/>
      <c r="AH933" s="208"/>
      <c r="AI933" s="208"/>
      <c r="AJ933" s="208"/>
      <c r="AK933" s="208"/>
    </row>
    <row r="934" hidden="1">
      <c r="A934" s="288">
        <f>IFERROR(__xludf.DUMMYFUNCTION("""COMPUTED_VALUE"""),46187.0)</f>
        <v>46187</v>
      </c>
      <c r="B934" s="274">
        <f>IFERROR(__xludf.DUMMYFUNCTION("""COMPUTED_VALUE"""),0.4375)</f>
        <v>0.4375</v>
      </c>
      <c r="C934" s="208" t="str">
        <f>IFERROR(__xludf.DUMMYFUNCTION("""COMPUTED_VALUE"""),"Whatsapp")</f>
        <v>Whatsapp</v>
      </c>
      <c r="D934" s="208" t="str">
        <f>IFERROR(__xludf.DUMMYFUNCTION("""COMPUTED_VALUE"""),"Promotional")</f>
        <v>Promotional</v>
      </c>
      <c r="E934" s="208" t="str">
        <f>IFERROR(__xludf.DUMMYFUNCTION("""COMPUTED_VALUE"""),"BBW")</f>
        <v>BBW</v>
      </c>
      <c r="F934" s="208" t="str">
        <f>IFERROR(__xludf.DUMMYFUNCTION("""COMPUTED_VALUE"""),"SAS - June 2026")</f>
        <v>SAS - June 2026</v>
      </c>
      <c r="G934" s="208" t="str">
        <f>IFERROR(__xludf.DUMMYFUNCTION("""COMPUTED_VALUE"""),"bbw_wa_sas_retarget_loyal_14june_offline")</f>
        <v>bbw_wa_sas_retarget_loyal_14june_offline</v>
      </c>
      <c r="H934" s="232" t="str">
        <f>IFERROR(__xludf.DUMMYFUNCTION("""COMPUTED_VALUE"""),"BBW_Repeat_OFF")</f>
        <v>BBW_Repeat_OFF</v>
      </c>
      <c r="I934" s="233" t="str">
        <f>IFERROR(__xludf.DUMMYFUNCTION("""COMPUTED_VALUE"""),"No Brief")</f>
        <v>No Brief</v>
      </c>
      <c r="J934" s="275">
        <f>IFERROR(__xludf.DUMMYFUNCTION("""COMPUTED_VALUE"""),85972.0)</f>
        <v>85972</v>
      </c>
      <c r="K934" s="275">
        <f>IFERROR(__xludf.DUMMYFUNCTION("""COMPUTED_VALUE"""),40835.0)</f>
        <v>40835</v>
      </c>
      <c r="L934" s="276">
        <f>IFERROR(__xludf.DUMMYFUNCTION("""COMPUTED_VALUE"""),0.4749)</f>
        <v>0.4749</v>
      </c>
      <c r="M934" s="275">
        <f>IFERROR(__xludf.DUMMYFUNCTION("""COMPUTED_VALUE"""),12222.0)</f>
        <v>12222</v>
      </c>
      <c r="N934" s="276">
        <f>IFERROR(__xludf.DUMMYFUNCTION("""COMPUTED_VALUE"""),0.2994)</f>
        <v>0.2994</v>
      </c>
      <c r="O934" s="208">
        <f>IFERROR(__xludf.DUMMYFUNCTION("""COMPUTED_VALUE"""),1394.0)</f>
        <v>1394</v>
      </c>
      <c r="P934" s="208">
        <f>IFERROR(__xludf.DUMMYFUNCTION("""COMPUTED_VALUE"""),1318.0)</f>
        <v>1318</v>
      </c>
      <c r="Q934" s="276">
        <f>IFERROR(__xludf.DUMMYFUNCTION("""COMPUTED_VALUE"""),0.0323)</f>
        <v>0.0323</v>
      </c>
      <c r="R934" s="276">
        <f>IFERROR(__xludf.DUMMYFUNCTION("""COMPUTED_VALUE"""),0.1078)</f>
        <v>0.1078</v>
      </c>
      <c r="S934" s="208">
        <f>IFERROR(__xludf.DUMMYFUNCTION("""COMPUTED_VALUE"""),8.0)</f>
        <v>8</v>
      </c>
      <c r="T934" s="208">
        <f>IFERROR(__xludf.DUMMYFUNCTION("""COMPUTED_VALUE"""),30.0)</f>
        <v>30</v>
      </c>
      <c r="U934" s="275">
        <f>IFERROR(__xludf.DUMMYFUNCTION("""COMPUTED_VALUE"""),0.0)</f>
        <v>0</v>
      </c>
      <c r="V934" s="234" t="str">
        <f>IFERROR(__xludf.DUMMYFUNCTION("""COMPUTED_VALUE"""),"offline")</f>
        <v>offline</v>
      </c>
      <c r="W934" s="232" t="str">
        <f>IFERROR(__xludf.DUMMYFUNCTION("""COMPUTED_VALUE"""),"carousel")</f>
        <v>carousel</v>
      </c>
      <c r="X934" s="232" t="str">
        <f>IFERROR(__xludf.DUMMYFUNCTION("""COMPUTED_VALUE"""),"Repeat")</f>
        <v>Repeat</v>
      </c>
      <c r="Y934" s="232" t="str">
        <f>IFERROR(__xludf.DUMMYFUNCTION("""COMPUTED_VALUE"""),"14-16 June")</f>
        <v>14-16 June</v>
      </c>
      <c r="Z934" s="232" t="str">
        <f>IFERROR(__xludf.DUMMYFUNCTION("""COMPUTED_VALUE"""),"6a2a7f9cced2d2ccf732bf66")</f>
        <v>6a2a7f9cced2d2ccf732bf66</v>
      </c>
      <c r="AA934" s="277">
        <f>IFERROR(__xludf.DUMMYFUNCTION("""COMPUTED_VALUE"""),588.0)</f>
        <v>588</v>
      </c>
      <c r="AB934" s="277"/>
      <c r="AC934" s="277">
        <f>IFERROR(__xludf.DUMMYFUNCTION("""COMPUTED_VALUE"""),588.0)</f>
        <v>588</v>
      </c>
      <c r="AD934" s="277">
        <f>IFERROR(__xludf.DUMMYFUNCTION("""COMPUTED_VALUE"""),2409564.0)</f>
        <v>2409564</v>
      </c>
      <c r="AE934" s="277"/>
      <c r="AF934" s="277">
        <f>IFERROR(__xludf.DUMMYFUNCTION("""COMPUTED_VALUE"""),2409564.0)</f>
        <v>2409564</v>
      </c>
      <c r="AG934" s="208"/>
      <c r="AH934" s="208"/>
      <c r="AI934" s="208"/>
      <c r="AJ934" s="208"/>
      <c r="AK934" s="208"/>
    </row>
    <row r="935" hidden="1">
      <c r="A935" s="288">
        <f>IFERROR(__xludf.DUMMYFUNCTION("""COMPUTED_VALUE"""),46184.0)</f>
        <v>46184</v>
      </c>
      <c r="B935" s="274">
        <f>IFERROR(__xludf.DUMMYFUNCTION("""COMPUTED_VALUE"""),0.75)</f>
        <v>0.75</v>
      </c>
      <c r="C935" s="208" t="str">
        <f>IFERROR(__xludf.DUMMYFUNCTION("""COMPUTED_VALUE"""),"Sms")</f>
        <v>Sms</v>
      </c>
      <c r="D935" s="208" t="str">
        <f>IFERROR(__xludf.DUMMYFUNCTION("""COMPUTED_VALUE"""),"Fallback campaign")</f>
        <v>Fallback campaign</v>
      </c>
      <c r="E935" s="208" t="str">
        <f>IFERROR(__xludf.DUMMYFUNCTION("""COMPUTED_VALUE"""),"BBW")</f>
        <v>BBW</v>
      </c>
      <c r="F935" s="208" t="str">
        <f>IFERROR(__xludf.DUMMYFUNCTION("""COMPUTED_VALUE"""),"SAS - June 2026")</f>
        <v>SAS - June 2026</v>
      </c>
      <c r="G935" s="208" t="str">
        <f>IFERROR(__xludf.DUMMYFUNCTION("""COMPUTED_VALUE"""),"bbw_smsfb_sas_launch_11june_active_online")</f>
        <v>bbw_smsfb_sas_launch_11june_active_online</v>
      </c>
      <c r="H935" s="232" t="str">
        <f>IFERROR(__xludf.DUMMYFUNCTION("""COMPUTED_VALUE"""),"BBW_ON_Active_EOSS_26")</f>
        <v>BBW_ON_Active_EOSS_26</v>
      </c>
      <c r="I935" s="233" t="str">
        <f>IFERROR(__xludf.DUMMYFUNCTION("""COMPUTED_VALUE"""),"WA Undelivered")</f>
        <v>WA Undelivered</v>
      </c>
      <c r="J935" s="275">
        <f>IFERROR(__xludf.DUMMYFUNCTION("""COMPUTED_VALUE"""),13948.0)</f>
        <v>13948</v>
      </c>
      <c r="K935" s="275">
        <f>IFERROR(__xludf.DUMMYFUNCTION("""COMPUTED_VALUE"""),7289.0)</f>
        <v>7289</v>
      </c>
      <c r="L935" s="276">
        <f>IFERROR(__xludf.DUMMYFUNCTION("""COMPUTED_VALUE"""),0.5226)</f>
        <v>0.5226</v>
      </c>
      <c r="M935" s="275">
        <f>IFERROR(__xludf.DUMMYFUNCTION("""COMPUTED_VALUE"""),0.0)</f>
        <v>0</v>
      </c>
      <c r="N935" s="276">
        <f>IFERROR(__xludf.DUMMYFUNCTION("""COMPUTED_VALUE"""),0.0)</f>
        <v>0</v>
      </c>
      <c r="O935" s="208">
        <f>IFERROR(__xludf.DUMMYFUNCTION("""COMPUTED_VALUE"""),54.0)</f>
        <v>54</v>
      </c>
      <c r="P935" s="208">
        <f>IFERROR(__xludf.DUMMYFUNCTION("""COMPUTED_VALUE"""),0.0)</f>
        <v>0</v>
      </c>
      <c r="Q935" s="276">
        <f>IFERROR(__xludf.DUMMYFUNCTION("""COMPUTED_VALUE"""),0.0074)</f>
        <v>0.0074</v>
      </c>
      <c r="R935" s="276">
        <f>IFERROR(__xludf.DUMMYFUNCTION("""COMPUTED_VALUE"""),0.0)</f>
        <v>0</v>
      </c>
      <c r="S935" s="208">
        <f>IFERROR(__xludf.DUMMYFUNCTION("""COMPUTED_VALUE"""),23.0)</f>
        <v>23</v>
      </c>
      <c r="T935" s="208">
        <f>IFERROR(__xludf.DUMMYFUNCTION("""COMPUTED_VALUE"""),49.0)</f>
        <v>49</v>
      </c>
      <c r="U935" s="275">
        <f>IFERROR(__xludf.DUMMYFUNCTION("""COMPUTED_VALUE"""),85139.0)</f>
        <v>85139</v>
      </c>
      <c r="V935" s="234" t="str">
        <f>IFERROR(__xludf.DUMMYFUNCTION("""COMPUTED_VALUE"""),"online")</f>
        <v>online</v>
      </c>
      <c r="W935" s="232" t="str">
        <f>IFERROR(__xludf.DUMMYFUNCTION("""COMPUTED_VALUE"""),"Sms")</f>
        <v>Sms</v>
      </c>
      <c r="X935" s="232" t="str">
        <f>IFERROR(__xludf.DUMMYFUNCTION("""COMPUTED_VALUE"""),"Active")</f>
        <v>Active</v>
      </c>
      <c r="Y935" s="232" t="str">
        <f>IFERROR(__xludf.DUMMYFUNCTION("""COMPUTED_VALUE"""),"11 June")</f>
        <v>11 June</v>
      </c>
      <c r="Z935" s="232" t="str">
        <f>IFERROR(__xludf.DUMMYFUNCTION("""COMPUTED_VALUE"""),"6a26abdc2b8ac1ae7e7b9ff8")</f>
        <v>6a26abdc2b8ac1ae7e7b9ff8</v>
      </c>
      <c r="AA935" s="277">
        <f>IFERROR(__xludf.DUMMYFUNCTION("""COMPUTED_VALUE"""),96.0)</f>
        <v>96</v>
      </c>
      <c r="AB935" s="277">
        <f>IFERROR(__xludf.DUMMYFUNCTION("""COMPUTED_VALUE"""),96.0)</f>
        <v>96</v>
      </c>
      <c r="AC935" s="277"/>
      <c r="AD935" s="277">
        <f>IFERROR(__xludf.DUMMYFUNCTION("""COMPUTED_VALUE"""),220337.0)</f>
        <v>220337</v>
      </c>
      <c r="AE935" s="277">
        <f>IFERROR(__xludf.DUMMYFUNCTION("""COMPUTED_VALUE"""),220337.0)</f>
        <v>220337</v>
      </c>
      <c r="AF935" s="277"/>
      <c r="AG935" s="208"/>
      <c r="AH935" s="208"/>
      <c r="AI935" s="208"/>
      <c r="AJ935" s="208"/>
      <c r="AK935" s="208"/>
    </row>
    <row r="936" hidden="1">
      <c r="A936" s="288">
        <f>IFERROR(__xludf.DUMMYFUNCTION("""COMPUTED_VALUE"""),46184.0)</f>
        <v>46184</v>
      </c>
      <c r="B936" s="274">
        <f>IFERROR(__xludf.DUMMYFUNCTION("""COMPUTED_VALUE"""),0.75)</f>
        <v>0.75</v>
      </c>
      <c r="C936" s="208" t="str">
        <f>IFERROR(__xludf.DUMMYFUNCTION("""COMPUTED_VALUE"""),"Sms")</f>
        <v>Sms</v>
      </c>
      <c r="D936" s="208" t="str">
        <f>IFERROR(__xludf.DUMMYFUNCTION("""COMPUTED_VALUE"""),"Fallback campaign")</f>
        <v>Fallback campaign</v>
      </c>
      <c r="E936" s="208" t="str">
        <f>IFERROR(__xludf.DUMMYFUNCTION("""COMPUTED_VALUE"""),"BBW")</f>
        <v>BBW</v>
      </c>
      <c r="F936" s="208" t="str">
        <f>IFERROR(__xludf.DUMMYFUNCTION("""COMPUTED_VALUE"""),"SAS - June 2026")</f>
        <v>SAS - June 2026</v>
      </c>
      <c r="G936" s="208" t="str">
        <f>IFERROR(__xludf.DUMMYFUNCTION("""COMPUTED_VALUE"""),"bbw_smsfb_sas_launch_11june_dormant_online")</f>
        <v>bbw_smsfb_sas_launch_11june_dormant_online</v>
      </c>
      <c r="H936" s="232" t="str">
        <f>IFERROR(__xludf.DUMMYFUNCTION("""COMPUTED_VALUE"""),"BBW_ON_Dorm_EOSS_26")</f>
        <v>BBW_ON_Dorm_EOSS_26</v>
      </c>
      <c r="I936" s="233" t="str">
        <f>IFERROR(__xludf.DUMMYFUNCTION("""COMPUTED_VALUE"""),"WA Undelivered")</f>
        <v>WA Undelivered</v>
      </c>
      <c r="J936" s="275">
        <f>IFERROR(__xludf.DUMMYFUNCTION("""COMPUTED_VALUE"""),50021.0)</f>
        <v>50021</v>
      </c>
      <c r="K936" s="275">
        <f>IFERROR(__xludf.DUMMYFUNCTION("""COMPUTED_VALUE"""),28017.0)</f>
        <v>28017</v>
      </c>
      <c r="L936" s="276">
        <f>IFERROR(__xludf.DUMMYFUNCTION("""COMPUTED_VALUE"""),0.5601)</f>
        <v>0.5601</v>
      </c>
      <c r="M936" s="275">
        <f>IFERROR(__xludf.DUMMYFUNCTION("""COMPUTED_VALUE"""),0.0)</f>
        <v>0</v>
      </c>
      <c r="N936" s="276">
        <f>IFERROR(__xludf.DUMMYFUNCTION("""COMPUTED_VALUE"""),0.0)</f>
        <v>0</v>
      </c>
      <c r="O936" s="208">
        <f>IFERROR(__xludf.DUMMYFUNCTION("""COMPUTED_VALUE"""),142.0)</f>
        <v>142</v>
      </c>
      <c r="P936" s="208">
        <f>IFERROR(__xludf.DUMMYFUNCTION("""COMPUTED_VALUE"""),0.0)</f>
        <v>0</v>
      </c>
      <c r="Q936" s="276">
        <f>IFERROR(__xludf.DUMMYFUNCTION("""COMPUTED_VALUE"""),0.0051)</f>
        <v>0.0051</v>
      </c>
      <c r="R936" s="276">
        <f>IFERROR(__xludf.DUMMYFUNCTION("""COMPUTED_VALUE"""),0.0)</f>
        <v>0</v>
      </c>
      <c r="S936" s="208">
        <f>IFERROR(__xludf.DUMMYFUNCTION("""COMPUTED_VALUE"""),27.0)</f>
        <v>27</v>
      </c>
      <c r="T936" s="208">
        <f>IFERROR(__xludf.DUMMYFUNCTION("""COMPUTED_VALUE"""),61.0)</f>
        <v>61</v>
      </c>
      <c r="U936" s="275">
        <f>IFERROR(__xludf.DUMMYFUNCTION("""COMPUTED_VALUE"""),64672.0)</f>
        <v>64672</v>
      </c>
      <c r="V936" s="234" t="str">
        <f>IFERROR(__xludf.DUMMYFUNCTION("""COMPUTED_VALUE"""),"online")</f>
        <v>online</v>
      </c>
      <c r="W936" s="232" t="str">
        <f>IFERROR(__xludf.DUMMYFUNCTION("""COMPUTED_VALUE"""),"Sms")</f>
        <v>Sms</v>
      </c>
      <c r="X936" s="232" t="str">
        <f>IFERROR(__xludf.DUMMYFUNCTION("""COMPUTED_VALUE"""),"Dormant")</f>
        <v>Dormant</v>
      </c>
      <c r="Y936" s="232" t="str">
        <f>IFERROR(__xludf.DUMMYFUNCTION("""COMPUTED_VALUE"""),"11 June")</f>
        <v>11 June</v>
      </c>
      <c r="Z936" s="232" t="str">
        <f>IFERROR(__xludf.DUMMYFUNCTION("""COMPUTED_VALUE"""),"6a26ac61e23e21408b4a3af6")</f>
        <v>6a26ac61e23e21408b4a3af6</v>
      </c>
      <c r="AA936" s="277">
        <f>IFERROR(__xludf.DUMMYFUNCTION("""COMPUTED_VALUE"""),158.0)</f>
        <v>158</v>
      </c>
      <c r="AB936" s="277">
        <f>IFERROR(__xludf.DUMMYFUNCTION("""COMPUTED_VALUE"""),158.0)</f>
        <v>158</v>
      </c>
      <c r="AC936" s="277"/>
      <c r="AD936" s="277">
        <f>IFERROR(__xludf.DUMMYFUNCTION("""COMPUTED_VALUE"""),386100.0)</f>
        <v>386100</v>
      </c>
      <c r="AE936" s="277">
        <f>IFERROR(__xludf.DUMMYFUNCTION("""COMPUTED_VALUE"""),386100.0)</f>
        <v>386100</v>
      </c>
      <c r="AF936" s="277"/>
      <c r="AG936" s="208"/>
      <c r="AH936" s="208"/>
      <c r="AI936" s="208"/>
      <c r="AJ936" s="208"/>
      <c r="AK936" s="208"/>
    </row>
    <row r="937" hidden="1">
      <c r="A937" s="288">
        <f>IFERROR(__xludf.DUMMYFUNCTION("""COMPUTED_VALUE"""),46185.0)</f>
        <v>46185</v>
      </c>
      <c r="B937" s="274">
        <f>IFERROR(__xludf.DUMMYFUNCTION("""COMPUTED_VALUE"""),0.5416666666678793)</f>
        <v>0.5416666667</v>
      </c>
      <c r="C937" s="208" t="str">
        <f>IFERROR(__xludf.DUMMYFUNCTION("""COMPUTED_VALUE"""),"Sms")</f>
        <v>Sms</v>
      </c>
      <c r="D937" s="208" t="str">
        <f>IFERROR(__xludf.DUMMYFUNCTION("""COMPUTED_VALUE"""),"Fallback campaign")</f>
        <v>Fallback campaign</v>
      </c>
      <c r="E937" s="208" t="str">
        <f>IFERROR(__xludf.DUMMYFUNCTION("""COMPUTED_VALUE"""),"BBW")</f>
        <v>BBW</v>
      </c>
      <c r="F937" s="208" t="str">
        <f>IFERROR(__xludf.DUMMYFUNCTION("""COMPUTED_VALUE"""),"SAS - June 2026")</f>
        <v>SAS - June 2026</v>
      </c>
      <c r="G937" s="208" t="str">
        <f>IFERROR(__xludf.DUMMYFUNCTION("""COMPUTED_VALUE"""),"bbw_smsfb_sas_launch_12june_active_offline")</f>
        <v>bbw_smsfb_sas_launch_12june_active_offline</v>
      </c>
      <c r="H937" s="232" t="str">
        <f>IFERROR(__xludf.DUMMYFUNCTION("""COMPUTED_VALUE"""),"BBW_OFF_Active_EOSS_26")</f>
        <v>BBW_OFF_Active_EOSS_26</v>
      </c>
      <c r="I937" s="233" t="str">
        <f>IFERROR(__xludf.DUMMYFUNCTION("""COMPUTED_VALUE"""),"WA Undelivered")</f>
        <v>WA Undelivered</v>
      </c>
      <c r="J937" s="275">
        <f>IFERROR(__xludf.DUMMYFUNCTION("""COMPUTED_VALUE"""),62977.0)</f>
        <v>62977</v>
      </c>
      <c r="K937" s="275">
        <f>IFERROR(__xludf.DUMMYFUNCTION("""COMPUTED_VALUE"""),36632.0)</f>
        <v>36632</v>
      </c>
      <c r="L937" s="276">
        <f>IFERROR(__xludf.DUMMYFUNCTION("""COMPUTED_VALUE"""),0.5817)</f>
        <v>0.5817</v>
      </c>
      <c r="M937" s="275">
        <f>IFERROR(__xludf.DUMMYFUNCTION("""COMPUTED_VALUE"""),0.0)</f>
        <v>0</v>
      </c>
      <c r="N937" s="276">
        <f>IFERROR(__xludf.DUMMYFUNCTION("""COMPUTED_VALUE"""),0.0)</f>
        <v>0</v>
      </c>
      <c r="O937" s="208">
        <f>IFERROR(__xludf.DUMMYFUNCTION("""COMPUTED_VALUE"""),82.0)</f>
        <v>82</v>
      </c>
      <c r="P937" s="208">
        <f>IFERROR(__xludf.DUMMYFUNCTION("""COMPUTED_VALUE"""),0.0)</f>
        <v>0</v>
      </c>
      <c r="Q937" s="276">
        <f>IFERROR(__xludf.DUMMYFUNCTION("""COMPUTED_VALUE"""),0.0022)</f>
        <v>0.0022</v>
      </c>
      <c r="R937" s="276">
        <f>IFERROR(__xludf.DUMMYFUNCTION("""COMPUTED_VALUE"""),0.0)</f>
        <v>0</v>
      </c>
      <c r="S937" s="208">
        <f>IFERROR(__xludf.DUMMYFUNCTION("""COMPUTED_VALUE"""),8.0)</f>
        <v>8</v>
      </c>
      <c r="T937" s="208">
        <f>IFERROR(__xludf.DUMMYFUNCTION("""COMPUTED_VALUE"""),23.0)</f>
        <v>23</v>
      </c>
      <c r="U937" s="275">
        <f>IFERROR(__xludf.DUMMYFUNCTION("""COMPUTED_VALUE"""),22340.0)</f>
        <v>22340</v>
      </c>
      <c r="V937" s="234" t="str">
        <f>IFERROR(__xludf.DUMMYFUNCTION("""COMPUTED_VALUE"""),"offline")</f>
        <v>offline</v>
      </c>
      <c r="W937" s="232" t="str">
        <f>IFERROR(__xludf.DUMMYFUNCTION("""COMPUTED_VALUE"""),"Sms")</f>
        <v>Sms</v>
      </c>
      <c r="X937" s="232" t="str">
        <f>IFERROR(__xludf.DUMMYFUNCTION("""COMPUTED_VALUE"""),"Active")</f>
        <v>Active</v>
      </c>
      <c r="Y937" s="232" t="str">
        <f>IFERROR(__xludf.DUMMYFUNCTION("""COMPUTED_VALUE"""),"12 June")</f>
        <v>12 June</v>
      </c>
      <c r="Z937" s="232" t="str">
        <f>IFERROR(__xludf.DUMMYFUNCTION("""COMPUTED_VALUE"""),"6a26acb40ff383664c8be669")</f>
        <v>6a26acb40ff383664c8be669</v>
      </c>
      <c r="AA937" s="277">
        <f>IFERROR(__xludf.DUMMYFUNCTION("""COMPUTED_VALUE"""),81.0)</f>
        <v>81</v>
      </c>
      <c r="AB937" s="277"/>
      <c r="AC937" s="277">
        <f>IFERROR(__xludf.DUMMYFUNCTION("""COMPUTED_VALUE"""),81.0)</f>
        <v>81</v>
      </c>
      <c r="AD937" s="277">
        <f>IFERROR(__xludf.DUMMYFUNCTION("""COMPUTED_VALUE"""),297358.0)</f>
        <v>297358</v>
      </c>
      <c r="AE937" s="277"/>
      <c r="AF937" s="277">
        <f>IFERROR(__xludf.DUMMYFUNCTION("""COMPUTED_VALUE"""),297358.0)</f>
        <v>297358</v>
      </c>
      <c r="AG937" s="208"/>
      <c r="AH937" s="208"/>
      <c r="AI937" s="208"/>
      <c r="AJ937" s="208"/>
      <c r="AK937" s="208"/>
    </row>
    <row r="938" hidden="1">
      <c r="A938" s="288">
        <f>IFERROR(__xludf.DUMMYFUNCTION("""COMPUTED_VALUE"""),46185.0)</f>
        <v>46185</v>
      </c>
      <c r="B938" s="274">
        <f>IFERROR(__xludf.DUMMYFUNCTION("""COMPUTED_VALUE"""),0.5416666666678793)</f>
        <v>0.5416666667</v>
      </c>
      <c r="C938" s="208" t="str">
        <f>IFERROR(__xludf.DUMMYFUNCTION("""COMPUTED_VALUE"""),"Sms")</f>
        <v>Sms</v>
      </c>
      <c r="D938" s="208" t="str">
        <f>IFERROR(__xludf.DUMMYFUNCTION("""COMPUTED_VALUE"""),"Fallback campaign")</f>
        <v>Fallback campaign</v>
      </c>
      <c r="E938" s="208" t="str">
        <f>IFERROR(__xludf.DUMMYFUNCTION("""COMPUTED_VALUE"""),"BBW")</f>
        <v>BBW</v>
      </c>
      <c r="F938" s="208" t="str">
        <f>IFERROR(__xludf.DUMMYFUNCTION("""COMPUTED_VALUE"""),"SAS - June 2026")</f>
        <v>SAS - June 2026</v>
      </c>
      <c r="G938" s="208" t="str">
        <f>IFERROR(__xludf.DUMMYFUNCTION("""COMPUTED_VALUE"""),"bbw_smsfb_sas_launch_12june_dormant_offline")</f>
        <v>bbw_smsfb_sas_launch_12june_dormant_offline</v>
      </c>
      <c r="H938" s="232" t="str">
        <f>IFERROR(__xludf.DUMMYFUNCTION("""COMPUTED_VALUE"""),"BBW_OFF_Dorm235_EOSS_26")</f>
        <v>BBW_OFF_Dorm235_EOSS_26</v>
      </c>
      <c r="I938" s="233" t="str">
        <f>IFERROR(__xludf.DUMMYFUNCTION("""COMPUTED_VALUE"""),"WA Undelivered")</f>
        <v>WA Undelivered</v>
      </c>
      <c r="J938" s="275">
        <f>IFERROR(__xludf.DUMMYFUNCTION("""COMPUTED_VALUE"""),86361.0)</f>
        <v>86361</v>
      </c>
      <c r="K938" s="275">
        <f>IFERROR(__xludf.DUMMYFUNCTION("""COMPUTED_VALUE"""),49841.0)</f>
        <v>49841</v>
      </c>
      <c r="L938" s="276">
        <f>IFERROR(__xludf.DUMMYFUNCTION("""COMPUTED_VALUE"""),0.5771)</f>
        <v>0.5771</v>
      </c>
      <c r="M938" s="275">
        <f>IFERROR(__xludf.DUMMYFUNCTION("""COMPUTED_VALUE"""),0.0)</f>
        <v>0</v>
      </c>
      <c r="N938" s="276">
        <f>IFERROR(__xludf.DUMMYFUNCTION("""COMPUTED_VALUE"""),0.0)</f>
        <v>0</v>
      </c>
      <c r="O938" s="208">
        <f>IFERROR(__xludf.DUMMYFUNCTION("""COMPUTED_VALUE"""),98.0)</f>
        <v>98</v>
      </c>
      <c r="P938" s="208">
        <f>IFERROR(__xludf.DUMMYFUNCTION("""COMPUTED_VALUE"""),0.0)</f>
        <v>0</v>
      </c>
      <c r="Q938" s="276">
        <f>IFERROR(__xludf.DUMMYFUNCTION("""COMPUTED_VALUE"""),0.002)</f>
        <v>0.002</v>
      </c>
      <c r="R938" s="276">
        <f>IFERROR(__xludf.DUMMYFUNCTION("""COMPUTED_VALUE"""),0.0)</f>
        <v>0</v>
      </c>
      <c r="S938" s="208">
        <f>IFERROR(__xludf.DUMMYFUNCTION("""COMPUTED_VALUE"""),5.0)</f>
        <v>5</v>
      </c>
      <c r="T938" s="208">
        <f>IFERROR(__xludf.DUMMYFUNCTION("""COMPUTED_VALUE"""),17.0)</f>
        <v>17</v>
      </c>
      <c r="U938" s="275">
        <f>IFERROR(__xludf.DUMMYFUNCTION("""COMPUTED_VALUE"""),8615.0)</f>
        <v>8615</v>
      </c>
      <c r="V938" s="234" t="str">
        <f>IFERROR(__xludf.DUMMYFUNCTION("""COMPUTED_VALUE"""),"offline")</f>
        <v>offline</v>
      </c>
      <c r="W938" s="232" t="str">
        <f>IFERROR(__xludf.DUMMYFUNCTION("""COMPUTED_VALUE"""),"Sms")</f>
        <v>Sms</v>
      </c>
      <c r="X938" s="232" t="str">
        <f>IFERROR(__xludf.DUMMYFUNCTION("""COMPUTED_VALUE"""),"Dormant")</f>
        <v>Dormant</v>
      </c>
      <c r="Y938" s="232" t="str">
        <f>IFERROR(__xludf.DUMMYFUNCTION("""COMPUTED_VALUE"""),"12 June")</f>
        <v>12 June</v>
      </c>
      <c r="Z938" s="232" t="str">
        <f>IFERROR(__xludf.DUMMYFUNCTION("""COMPUTED_VALUE"""),"6a26acfae2cc9cbd326325f2")</f>
        <v>6a26acfae2cc9cbd326325f2</v>
      </c>
      <c r="AA938" s="277">
        <f>IFERROR(__xludf.DUMMYFUNCTION("""COMPUTED_VALUE"""),83.0)</f>
        <v>83</v>
      </c>
      <c r="AB938" s="277"/>
      <c r="AC938" s="277">
        <f>IFERROR(__xludf.DUMMYFUNCTION("""COMPUTED_VALUE"""),83.0)</f>
        <v>83</v>
      </c>
      <c r="AD938" s="277">
        <f>IFERROR(__xludf.DUMMYFUNCTION("""COMPUTED_VALUE"""),310025.0)</f>
        <v>310025</v>
      </c>
      <c r="AE938" s="277"/>
      <c r="AF938" s="277">
        <f>IFERROR(__xludf.DUMMYFUNCTION("""COMPUTED_VALUE"""),310025.0)</f>
        <v>310025</v>
      </c>
      <c r="AG938" s="208"/>
      <c r="AH938" s="208"/>
      <c r="AI938" s="208"/>
      <c r="AJ938" s="208"/>
      <c r="AK938" s="208"/>
    </row>
    <row r="939" hidden="1">
      <c r="A939" s="288">
        <f>IFERROR(__xludf.DUMMYFUNCTION("""COMPUTED_VALUE"""),46185.0)</f>
        <v>46185</v>
      </c>
      <c r="B939" s="274">
        <f>IFERROR(__xludf.DUMMYFUNCTION("""COMPUTED_VALUE"""),0.5416666666678793)</f>
        <v>0.5416666667</v>
      </c>
      <c r="C939" s="208" t="str">
        <f>IFERROR(__xludf.DUMMYFUNCTION("""COMPUTED_VALUE"""),"Sms")</f>
        <v>Sms</v>
      </c>
      <c r="D939" s="208" t="str">
        <f>IFERROR(__xludf.DUMMYFUNCTION("""COMPUTED_VALUE"""),"Fallback campaign")</f>
        <v>Fallback campaign</v>
      </c>
      <c r="E939" s="208" t="str">
        <f>IFERROR(__xludf.DUMMYFUNCTION("""COMPUTED_VALUE"""),"BBW")</f>
        <v>BBW</v>
      </c>
      <c r="F939" s="208" t="str">
        <f>IFERROR(__xludf.DUMMYFUNCTION("""COMPUTED_VALUE"""),"SAS - June 2026")</f>
        <v>SAS - June 2026</v>
      </c>
      <c r="G939" s="208" t="str">
        <f>IFERROR(__xludf.DUMMYFUNCTION("""COMPUTED_VALUE"""),"bbw_smsfb_sas_launch_12june_dormant2_offline")</f>
        <v>bbw_smsfb_sas_launch_12june_dormant2_offline</v>
      </c>
      <c r="H939" s="232" t="str">
        <f>IFERROR(__xludf.DUMMYFUNCTION("""COMPUTED_VALUE"""),"BBW_OFF_Dorm365_EOSS_26")</f>
        <v>BBW_OFF_Dorm365_EOSS_26</v>
      </c>
      <c r="I939" s="233" t="str">
        <f>IFERROR(__xludf.DUMMYFUNCTION("""COMPUTED_VALUE"""),"WA Undelivered")</f>
        <v>WA Undelivered</v>
      </c>
      <c r="J939" s="275">
        <f>IFERROR(__xludf.DUMMYFUNCTION("""COMPUTED_VALUE"""),72864.0)</f>
        <v>72864</v>
      </c>
      <c r="K939" s="275">
        <f>IFERROR(__xludf.DUMMYFUNCTION("""COMPUTED_VALUE"""),42345.0)</f>
        <v>42345</v>
      </c>
      <c r="L939" s="276">
        <f>IFERROR(__xludf.DUMMYFUNCTION("""COMPUTED_VALUE"""),0.5812)</f>
        <v>0.5812</v>
      </c>
      <c r="M939" s="275">
        <f>IFERROR(__xludf.DUMMYFUNCTION("""COMPUTED_VALUE"""),0.0)</f>
        <v>0</v>
      </c>
      <c r="N939" s="276">
        <f>IFERROR(__xludf.DUMMYFUNCTION("""COMPUTED_VALUE"""),0.0)</f>
        <v>0</v>
      </c>
      <c r="O939" s="208">
        <f>IFERROR(__xludf.DUMMYFUNCTION("""COMPUTED_VALUE"""),69.0)</f>
        <v>69</v>
      </c>
      <c r="P939" s="208">
        <f>IFERROR(__xludf.DUMMYFUNCTION("""COMPUTED_VALUE"""),0.0)</f>
        <v>0</v>
      </c>
      <c r="Q939" s="276">
        <f>IFERROR(__xludf.DUMMYFUNCTION("""COMPUTED_VALUE"""),0.0016)</f>
        <v>0.0016</v>
      </c>
      <c r="R939" s="276">
        <f>IFERROR(__xludf.DUMMYFUNCTION("""COMPUTED_VALUE"""),0.0)</f>
        <v>0</v>
      </c>
      <c r="S939" s="208">
        <f>IFERROR(__xludf.DUMMYFUNCTION("""COMPUTED_VALUE"""),4.0)</f>
        <v>4</v>
      </c>
      <c r="T939" s="208">
        <f>IFERROR(__xludf.DUMMYFUNCTION("""COMPUTED_VALUE"""),8.0)</f>
        <v>8</v>
      </c>
      <c r="U939" s="275">
        <f>IFERROR(__xludf.DUMMYFUNCTION("""COMPUTED_VALUE"""),2794.0)</f>
        <v>2794</v>
      </c>
      <c r="V939" s="234" t="str">
        <f>IFERROR(__xludf.DUMMYFUNCTION("""COMPUTED_VALUE"""),"offline")</f>
        <v>offline</v>
      </c>
      <c r="W939" s="232" t="str">
        <f>IFERROR(__xludf.DUMMYFUNCTION("""COMPUTED_VALUE"""),"Sms")</f>
        <v>Sms</v>
      </c>
      <c r="X939" s="232" t="str">
        <f>IFERROR(__xludf.DUMMYFUNCTION("""COMPUTED_VALUE"""),"Dormant")</f>
        <v>Dormant</v>
      </c>
      <c r="Y939" s="232" t="str">
        <f>IFERROR(__xludf.DUMMYFUNCTION("""COMPUTED_VALUE"""),"12 June")</f>
        <v>12 June</v>
      </c>
      <c r="Z939" s="232" t="str">
        <f>IFERROR(__xludf.DUMMYFUNCTION("""COMPUTED_VALUE"""),"6a26ad75e2cc9cbd32632602")</f>
        <v>6a26ad75e2cc9cbd32632602</v>
      </c>
      <c r="AA939" s="277">
        <f>IFERROR(__xludf.DUMMYFUNCTION("""COMPUTED_VALUE"""),42.0)</f>
        <v>42</v>
      </c>
      <c r="AB939" s="277"/>
      <c r="AC939" s="277">
        <f>IFERROR(__xludf.DUMMYFUNCTION("""COMPUTED_VALUE"""),42.0)</f>
        <v>42</v>
      </c>
      <c r="AD939" s="277">
        <f>IFERROR(__xludf.DUMMYFUNCTION("""COMPUTED_VALUE"""),154560.0)</f>
        <v>154560</v>
      </c>
      <c r="AE939" s="277"/>
      <c r="AF939" s="277">
        <f>IFERROR(__xludf.DUMMYFUNCTION("""COMPUTED_VALUE"""),154560.0)</f>
        <v>154560</v>
      </c>
      <c r="AG939" s="208"/>
      <c r="AH939" s="208"/>
      <c r="AI939" s="208"/>
      <c r="AJ939" s="208"/>
      <c r="AK939" s="208"/>
    </row>
    <row r="940" hidden="1">
      <c r="A940" s="288">
        <f>IFERROR(__xludf.DUMMYFUNCTION("""COMPUTED_VALUE"""),46186.0)</f>
        <v>46186</v>
      </c>
      <c r="B940" s="274">
        <f>IFERROR(__xludf.DUMMYFUNCTION("""COMPUTED_VALUE"""),0.5416666666678793)</f>
        <v>0.5416666667</v>
      </c>
      <c r="C940" s="208" t="str">
        <f>IFERROR(__xludf.DUMMYFUNCTION("""COMPUTED_VALUE"""),"Sms")</f>
        <v>Sms</v>
      </c>
      <c r="D940" s="208" t="str">
        <f>IFERROR(__xludf.DUMMYFUNCTION("""COMPUTED_VALUE"""),"Fallback campaign")</f>
        <v>Fallback campaign</v>
      </c>
      <c r="E940" s="208" t="str">
        <f>IFERROR(__xludf.DUMMYFUNCTION("""COMPUTED_VALUE"""),"BBW")</f>
        <v>BBW</v>
      </c>
      <c r="F940" s="208" t="str">
        <f>IFERROR(__xludf.DUMMYFUNCTION("""COMPUTED_VALUE"""),"SAS - June 2026")</f>
        <v>SAS - June 2026</v>
      </c>
      <c r="G940" s="208" t="str">
        <f>IFERROR(__xludf.DUMMYFUNCTION("""COMPUTED_VALUE"""),"bbw_smsfb_sas_launch_13june_churned_online")</f>
        <v>bbw_smsfb_sas_launch_13june_churned_online</v>
      </c>
      <c r="H940" s="232" t="str">
        <f>IFERROR(__xludf.DUMMYFUNCTION("""COMPUTED_VALUE"""),"BBW_ON_Churned730_EOSS_26")</f>
        <v>BBW_ON_Churned730_EOSS_26</v>
      </c>
      <c r="I940" s="233" t="str">
        <f>IFERROR(__xludf.DUMMYFUNCTION("""COMPUTED_VALUE"""),"WA Undelivered")</f>
        <v>WA Undelivered</v>
      </c>
      <c r="J940" s="275">
        <f>IFERROR(__xludf.DUMMYFUNCTION("""COMPUTED_VALUE"""),54267.0)</f>
        <v>54267</v>
      </c>
      <c r="K940" s="275">
        <f>IFERROR(__xludf.DUMMYFUNCTION("""COMPUTED_VALUE"""),31491.0)</f>
        <v>31491</v>
      </c>
      <c r="L940" s="276">
        <f>IFERROR(__xludf.DUMMYFUNCTION("""COMPUTED_VALUE"""),0.5803)</f>
        <v>0.5803</v>
      </c>
      <c r="M940" s="275">
        <f>IFERROR(__xludf.DUMMYFUNCTION("""COMPUTED_VALUE"""),0.0)</f>
        <v>0</v>
      </c>
      <c r="N940" s="276">
        <f>IFERROR(__xludf.DUMMYFUNCTION("""COMPUTED_VALUE"""),0.0)</f>
        <v>0</v>
      </c>
      <c r="O940" s="208">
        <f>IFERROR(__xludf.DUMMYFUNCTION("""COMPUTED_VALUE"""),56.0)</f>
        <v>56</v>
      </c>
      <c r="P940" s="208">
        <f>IFERROR(__xludf.DUMMYFUNCTION("""COMPUTED_VALUE"""),0.0)</f>
        <v>0</v>
      </c>
      <c r="Q940" s="276">
        <f>IFERROR(__xludf.DUMMYFUNCTION("""COMPUTED_VALUE"""),0.0018)</f>
        <v>0.0018</v>
      </c>
      <c r="R940" s="276">
        <f>IFERROR(__xludf.DUMMYFUNCTION("""COMPUTED_VALUE"""),0.0)</f>
        <v>0</v>
      </c>
      <c r="S940" s="208">
        <f>IFERROR(__xludf.DUMMYFUNCTION("""COMPUTED_VALUE"""),8.0)</f>
        <v>8</v>
      </c>
      <c r="T940" s="208">
        <f>IFERROR(__xludf.DUMMYFUNCTION("""COMPUTED_VALUE"""),12.0)</f>
        <v>12</v>
      </c>
      <c r="U940" s="275">
        <f>IFERROR(__xludf.DUMMYFUNCTION("""COMPUTED_VALUE"""),17270.0)</f>
        <v>17270</v>
      </c>
      <c r="V940" s="234" t="str">
        <f>IFERROR(__xludf.DUMMYFUNCTION("""COMPUTED_VALUE"""),"online")</f>
        <v>online</v>
      </c>
      <c r="W940" s="232" t="str">
        <f>IFERROR(__xludf.DUMMYFUNCTION("""COMPUTED_VALUE"""),"Sms")</f>
        <v>Sms</v>
      </c>
      <c r="X940" s="232" t="str">
        <f>IFERROR(__xludf.DUMMYFUNCTION("""COMPUTED_VALUE"""),"Churned")</f>
        <v>Churned</v>
      </c>
      <c r="Y940" s="232" t="str">
        <f>IFERROR(__xludf.DUMMYFUNCTION("""COMPUTED_VALUE"""),"13 June")</f>
        <v>13 June</v>
      </c>
      <c r="Z940" s="232" t="str">
        <f>IFERROR(__xludf.DUMMYFUNCTION("""COMPUTED_VALUE"""),"6a26addbcd88a430259e5c47")</f>
        <v>6a26addbcd88a430259e5c47</v>
      </c>
      <c r="AA940" s="277">
        <f>IFERROR(__xludf.DUMMYFUNCTION("""COMPUTED_VALUE"""),26.0)</f>
        <v>26</v>
      </c>
      <c r="AB940" s="277">
        <f>IFERROR(__xludf.DUMMYFUNCTION("""COMPUTED_VALUE"""),26.0)</f>
        <v>26</v>
      </c>
      <c r="AC940" s="277"/>
      <c r="AD940" s="277">
        <f>IFERROR(__xludf.DUMMYFUNCTION("""COMPUTED_VALUE"""),64059.0)</f>
        <v>64059</v>
      </c>
      <c r="AE940" s="277">
        <f>IFERROR(__xludf.DUMMYFUNCTION("""COMPUTED_VALUE"""),64059.0)</f>
        <v>64059</v>
      </c>
      <c r="AF940" s="277"/>
      <c r="AG940" s="208"/>
      <c r="AH940" s="208"/>
      <c r="AI940" s="208"/>
      <c r="AJ940" s="208"/>
      <c r="AK940" s="208"/>
    </row>
    <row r="941" hidden="1">
      <c r="A941" s="288">
        <f>IFERROR(__xludf.DUMMYFUNCTION("""COMPUTED_VALUE"""),46186.0)</f>
        <v>46186</v>
      </c>
      <c r="B941" s="274">
        <f>IFERROR(__xludf.DUMMYFUNCTION("""COMPUTED_VALUE"""),0.5416666666678793)</f>
        <v>0.5416666667</v>
      </c>
      <c r="C941" s="208" t="str">
        <f>IFERROR(__xludf.DUMMYFUNCTION("""COMPUTED_VALUE"""),"Sms")</f>
        <v>Sms</v>
      </c>
      <c r="D941" s="208" t="str">
        <f>IFERROR(__xludf.DUMMYFUNCTION("""COMPUTED_VALUE"""),"Fallback campaign")</f>
        <v>Fallback campaign</v>
      </c>
      <c r="E941" s="208" t="str">
        <f>IFERROR(__xludf.DUMMYFUNCTION("""COMPUTED_VALUE"""),"BBW")</f>
        <v>BBW</v>
      </c>
      <c r="F941" s="208" t="str">
        <f>IFERROR(__xludf.DUMMYFUNCTION("""COMPUTED_VALUE"""),"SAS - June 2026")</f>
        <v>SAS - June 2026</v>
      </c>
      <c r="G941" s="208" t="str">
        <f>IFERROR(__xludf.DUMMYFUNCTION("""COMPUTED_VALUE"""),"bbw_smsfb_sas_launch_13june_churned2_online")</f>
        <v>bbw_smsfb_sas_launch_13june_churned2_online</v>
      </c>
      <c r="H941" s="232" t="str">
        <f>IFERROR(__xludf.DUMMYFUNCTION("""COMPUTED_VALUE"""),"BBW_ON_Churned1095_EOSS_26")</f>
        <v>BBW_ON_Churned1095_EOSS_26</v>
      </c>
      <c r="I941" s="233" t="str">
        <f>IFERROR(__xludf.DUMMYFUNCTION("""COMPUTED_VALUE"""),"WA Undelivered")</f>
        <v>WA Undelivered</v>
      </c>
      <c r="J941" s="275">
        <f>IFERROR(__xludf.DUMMYFUNCTION("""COMPUTED_VALUE"""),59539.0)</f>
        <v>59539</v>
      </c>
      <c r="K941" s="275">
        <f>IFERROR(__xludf.DUMMYFUNCTION("""COMPUTED_VALUE"""),35208.0)</f>
        <v>35208</v>
      </c>
      <c r="L941" s="276">
        <f>IFERROR(__xludf.DUMMYFUNCTION("""COMPUTED_VALUE"""),0.5913)</f>
        <v>0.5913</v>
      </c>
      <c r="M941" s="275">
        <f>IFERROR(__xludf.DUMMYFUNCTION("""COMPUTED_VALUE"""),0.0)</f>
        <v>0</v>
      </c>
      <c r="N941" s="276">
        <f>IFERROR(__xludf.DUMMYFUNCTION("""COMPUTED_VALUE"""),0.0)</f>
        <v>0</v>
      </c>
      <c r="O941" s="208">
        <f>IFERROR(__xludf.DUMMYFUNCTION("""COMPUTED_VALUE"""),77.0)</f>
        <v>77</v>
      </c>
      <c r="P941" s="208">
        <f>IFERROR(__xludf.DUMMYFUNCTION("""COMPUTED_VALUE"""),0.0)</f>
        <v>0</v>
      </c>
      <c r="Q941" s="276">
        <f>IFERROR(__xludf.DUMMYFUNCTION("""COMPUTED_VALUE"""),0.0022)</f>
        <v>0.0022</v>
      </c>
      <c r="R941" s="276">
        <f>IFERROR(__xludf.DUMMYFUNCTION("""COMPUTED_VALUE"""),0.0)</f>
        <v>0</v>
      </c>
      <c r="S941" s="208">
        <f>IFERROR(__xludf.DUMMYFUNCTION("""COMPUTED_VALUE"""),2.0)</f>
        <v>2</v>
      </c>
      <c r="T941" s="208">
        <f>IFERROR(__xludf.DUMMYFUNCTION("""COMPUTED_VALUE"""),6.0)</f>
        <v>6</v>
      </c>
      <c r="U941" s="275">
        <f>IFERROR(__xludf.DUMMYFUNCTION("""COMPUTED_VALUE"""),6600.0)</f>
        <v>6600</v>
      </c>
      <c r="V941" s="234" t="str">
        <f>IFERROR(__xludf.DUMMYFUNCTION("""COMPUTED_VALUE"""),"online")</f>
        <v>online</v>
      </c>
      <c r="W941" s="232" t="str">
        <f>IFERROR(__xludf.DUMMYFUNCTION("""COMPUTED_VALUE"""),"Sms")</f>
        <v>Sms</v>
      </c>
      <c r="X941" s="232" t="str">
        <f>IFERROR(__xludf.DUMMYFUNCTION("""COMPUTED_VALUE"""),"Churned")</f>
        <v>Churned</v>
      </c>
      <c r="Y941" s="232" t="str">
        <f>IFERROR(__xludf.DUMMYFUNCTION("""COMPUTED_VALUE"""),"13 June")</f>
        <v>13 June</v>
      </c>
      <c r="Z941" s="232" t="str">
        <f>IFERROR(__xludf.DUMMYFUNCTION("""COMPUTED_VALUE"""),"6a26ae3941a217f8f3a713ea")</f>
        <v>6a26ae3941a217f8f3a713ea</v>
      </c>
      <c r="AA941" s="277">
        <f>IFERROR(__xludf.DUMMYFUNCTION("""COMPUTED_VALUE"""),12.0)</f>
        <v>12</v>
      </c>
      <c r="AB941" s="277">
        <f>IFERROR(__xludf.DUMMYFUNCTION("""COMPUTED_VALUE"""),12.0)</f>
        <v>12</v>
      </c>
      <c r="AC941" s="277"/>
      <c r="AD941" s="277">
        <f>IFERROR(__xludf.DUMMYFUNCTION("""COMPUTED_VALUE"""),15004.0)</f>
        <v>15004</v>
      </c>
      <c r="AE941" s="277">
        <f>IFERROR(__xludf.DUMMYFUNCTION("""COMPUTED_VALUE"""),15004.0)</f>
        <v>15004</v>
      </c>
      <c r="AF941" s="277"/>
      <c r="AG941" s="208"/>
      <c r="AH941" s="208"/>
      <c r="AI941" s="208"/>
      <c r="AJ941" s="208"/>
      <c r="AK941" s="208"/>
    </row>
    <row r="942" hidden="1">
      <c r="A942" s="288">
        <f>IFERROR(__xludf.DUMMYFUNCTION("""COMPUTED_VALUE"""),46186.0)</f>
        <v>46186</v>
      </c>
      <c r="B942" s="274">
        <f>IFERROR(__xludf.DUMMYFUNCTION("""COMPUTED_VALUE"""),0.5416666666678793)</f>
        <v>0.5416666667</v>
      </c>
      <c r="C942" s="208" t="str">
        <f>IFERROR(__xludf.DUMMYFUNCTION("""COMPUTED_VALUE"""),"Sms")</f>
        <v>Sms</v>
      </c>
      <c r="D942" s="208" t="str">
        <f>IFERROR(__xludf.DUMMYFUNCTION("""COMPUTED_VALUE"""),"Fallback campaign")</f>
        <v>Fallback campaign</v>
      </c>
      <c r="E942" s="208" t="str">
        <f>IFERROR(__xludf.DUMMYFUNCTION("""COMPUTED_VALUE"""),"BBW")</f>
        <v>BBW</v>
      </c>
      <c r="F942" s="208" t="str">
        <f>IFERROR(__xludf.DUMMYFUNCTION("""COMPUTED_VALUE"""),"SAS - June 2026")</f>
        <v>SAS - June 2026</v>
      </c>
      <c r="G942" s="208" t="str">
        <f>IFERROR(__xludf.DUMMYFUNCTION("""COMPUTED_VALUE"""),"bbw_smsfb_sas_launch_13june_churned_offline")</f>
        <v>bbw_smsfb_sas_launch_13june_churned_offline</v>
      </c>
      <c r="H942" s="232" t="str">
        <f>IFERROR(__xludf.DUMMYFUNCTION("""COMPUTED_VALUE"""),"BBW_OFF_Churned550_EOSS_26")</f>
        <v>BBW_OFF_Churned550_EOSS_26</v>
      </c>
      <c r="I942" s="233" t="str">
        <f>IFERROR(__xludf.DUMMYFUNCTION("""COMPUTED_VALUE"""),"WA Undelivered")</f>
        <v>WA Undelivered</v>
      </c>
      <c r="J942" s="275">
        <f>IFERROR(__xludf.DUMMYFUNCTION("""COMPUTED_VALUE"""),91000.0)</f>
        <v>91000</v>
      </c>
      <c r="K942" s="275">
        <f>IFERROR(__xludf.DUMMYFUNCTION("""COMPUTED_VALUE"""),51067.0)</f>
        <v>51067</v>
      </c>
      <c r="L942" s="276">
        <f>IFERROR(__xludf.DUMMYFUNCTION("""COMPUTED_VALUE"""),0.5612)</f>
        <v>0.5612</v>
      </c>
      <c r="M942" s="275">
        <f>IFERROR(__xludf.DUMMYFUNCTION("""COMPUTED_VALUE"""),0.0)</f>
        <v>0</v>
      </c>
      <c r="N942" s="276">
        <f>IFERROR(__xludf.DUMMYFUNCTION("""COMPUTED_VALUE"""),0.0)</f>
        <v>0</v>
      </c>
      <c r="O942" s="208">
        <f>IFERROR(__xludf.DUMMYFUNCTION("""COMPUTED_VALUE"""),63.0)</f>
        <v>63</v>
      </c>
      <c r="P942" s="208">
        <f>IFERROR(__xludf.DUMMYFUNCTION("""COMPUTED_VALUE"""),0.0)</f>
        <v>0</v>
      </c>
      <c r="Q942" s="276">
        <f>IFERROR(__xludf.DUMMYFUNCTION("""COMPUTED_VALUE"""),0.0012)</f>
        <v>0.0012</v>
      </c>
      <c r="R942" s="276">
        <f>IFERROR(__xludf.DUMMYFUNCTION("""COMPUTED_VALUE"""),0.0)</f>
        <v>0</v>
      </c>
      <c r="S942" s="208">
        <f>IFERROR(__xludf.DUMMYFUNCTION("""COMPUTED_VALUE"""),4.0)</f>
        <v>4</v>
      </c>
      <c r="T942" s="208">
        <f>IFERROR(__xludf.DUMMYFUNCTION("""COMPUTED_VALUE"""),8.0)</f>
        <v>8</v>
      </c>
      <c r="U942" s="275">
        <f>IFERROR(__xludf.DUMMYFUNCTION("""COMPUTED_VALUE"""),6589.0)</f>
        <v>6589</v>
      </c>
      <c r="V942" s="234" t="str">
        <f>IFERROR(__xludf.DUMMYFUNCTION("""COMPUTED_VALUE"""),"offline")</f>
        <v>offline</v>
      </c>
      <c r="W942" s="232" t="str">
        <f>IFERROR(__xludf.DUMMYFUNCTION("""COMPUTED_VALUE"""),"Sms")</f>
        <v>Sms</v>
      </c>
      <c r="X942" s="232" t="str">
        <f>IFERROR(__xludf.DUMMYFUNCTION("""COMPUTED_VALUE"""),"Churned")</f>
        <v>Churned</v>
      </c>
      <c r="Y942" s="232" t="str">
        <f>IFERROR(__xludf.DUMMYFUNCTION("""COMPUTED_VALUE"""),"13 June")</f>
        <v>13 June</v>
      </c>
      <c r="Z942" s="232" t="str">
        <f>IFERROR(__xludf.DUMMYFUNCTION("""COMPUTED_VALUE"""),"6a26ae83c2b6e71649d9cb41")</f>
        <v>6a26ae83c2b6e71649d9cb41</v>
      </c>
      <c r="AA942" s="277">
        <f>IFERROR(__xludf.DUMMYFUNCTION("""COMPUTED_VALUE"""),68.0)</f>
        <v>68</v>
      </c>
      <c r="AB942" s="277"/>
      <c r="AC942" s="277">
        <f>IFERROR(__xludf.DUMMYFUNCTION("""COMPUTED_VALUE"""),68.0)</f>
        <v>68</v>
      </c>
      <c r="AD942" s="277">
        <f>IFERROR(__xludf.DUMMYFUNCTION("""COMPUTED_VALUE"""),212832.0)</f>
        <v>212832</v>
      </c>
      <c r="AE942" s="277"/>
      <c r="AF942" s="277">
        <f>IFERROR(__xludf.DUMMYFUNCTION("""COMPUTED_VALUE"""),212832.0)</f>
        <v>212832</v>
      </c>
      <c r="AG942" s="208"/>
      <c r="AH942" s="208"/>
      <c r="AI942" s="208"/>
      <c r="AJ942" s="208"/>
      <c r="AK942" s="208"/>
    </row>
    <row r="943" hidden="1">
      <c r="A943" s="288">
        <f>IFERROR(__xludf.DUMMYFUNCTION("""COMPUTED_VALUE"""),46186.0)</f>
        <v>46186</v>
      </c>
      <c r="B943" s="274">
        <f>IFERROR(__xludf.DUMMYFUNCTION("""COMPUTED_VALUE"""),0.5416666666678793)</f>
        <v>0.5416666667</v>
      </c>
      <c r="C943" s="208" t="str">
        <f>IFERROR(__xludf.DUMMYFUNCTION("""COMPUTED_VALUE"""),"Sms")</f>
        <v>Sms</v>
      </c>
      <c r="D943" s="208" t="str">
        <f>IFERROR(__xludf.DUMMYFUNCTION("""COMPUTED_VALUE"""),"Fallback campaign")</f>
        <v>Fallback campaign</v>
      </c>
      <c r="E943" s="208" t="str">
        <f>IFERROR(__xludf.DUMMYFUNCTION("""COMPUTED_VALUE"""),"BBW")</f>
        <v>BBW</v>
      </c>
      <c r="F943" s="208" t="str">
        <f>IFERROR(__xludf.DUMMYFUNCTION("""COMPUTED_VALUE"""),"SAS - June 2026")</f>
        <v>SAS - June 2026</v>
      </c>
      <c r="G943" s="208" t="str">
        <f>IFERROR(__xludf.DUMMYFUNCTION("""COMPUTED_VALUE"""),"bbw_smsfb_sas_launch_13june_churned2_offline")</f>
        <v>bbw_smsfb_sas_launch_13june_churned2_offline</v>
      </c>
      <c r="H943" s="232" t="str">
        <f>IFERROR(__xludf.DUMMYFUNCTION("""COMPUTED_VALUE"""),"BBW_OFF_Churned1095_EOSS_26")</f>
        <v>BBW_OFF_Churned1095_EOSS_26</v>
      </c>
      <c r="I943" s="233" t="str">
        <f>IFERROR(__xludf.DUMMYFUNCTION("""COMPUTED_VALUE"""),"WA Undelivered")</f>
        <v>WA Undelivered</v>
      </c>
      <c r="J943" s="275">
        <f>IFERROR(__xludf.DUMMYFUNCTION("""COMPUTED_VALUE"""),90602.0)</f>
        <v>90602</v>
      </c>
      <c r="K943" s="275">
        <f>IFERROR(__xludf.DUMMYFUNCTION("""COMPUTED_VALUE"""),50032.0)</f>
        <v>50032</v>
      </c>
      <c r="L943" s="276">
        <f>IFERROR(__xludf.DUMMYFUNCTION("""COMPUTED_VALUE"""),0.5522)</f>
        <v>0.5522</v>
      </c>
      <c r="M943" s="275">
        <f>IFERROR(__xludf.DUMMYFUNCTION("""COMPUTED_VALUE"""),0.0)</f>
        <v>0</v>
      </c>
      <c r="N943" s="276">
        <f>IFERROR(__xludf.DUMMYFUNCTION("""COMPUTED_VALUE"""),0.0)</f>
        <v>0</v>
      </c>
      <c r="O943" s="208">
        <f>IFERROR(__xludf.DUMMYFUNCTION("""COMPUTED_VALUE"""),51.0)</f>
        <v>51</v>
      </c>
      <c r="P943" s="208">
        <f>IFERROR(__xludf.DUMMYFUNCTION("""COMPUTED_VALUE"""),0.0)</f>
        <v>0</v>
      </c>
      <c r="Q943" s="276">
        <f>IFERROR(__xludf.DUMMYFUNCTION("""COMPUTED_VALUE"""),0.001)</f>
        <v>0.001</v>
      </c>
      <c r="R943" s="276">
        <f>IFERROR(__xludf.DUMMYFUNCTION("""COMPUTED_VALUE"""),0.0)</f>
        <v>0</v>
      </c>
      <c r="S943" s="208">
        <f>IFERROR(__xludf.DUMMYFUNCTION("""COMPUTED_VALUE"""),3.0)</f>
        <v>3</v>
      </c>
      <c r="T943" s="208">
        <f>IFERROR(__xludf.DUMMYFUNCTION("""COMPUTED_VALUE"""),9.0)</f>
        <v>9</v>
      </c>
      <c r="U943" s="275">
        <f>IFERROR(__xludf.DUMMYFUNCTION("""COMPUTED_VALUE"""),25821.0)</f>
        <v>25821</v>
      </c>
      <c r="V943" s="234" t="str">
        <f>IFERROR(__xludf.DUMMYFUNCTION("""COMPUTED_VALUE"""),"offline")</f>
        <v>offline</v>
      </c>
      <c r="W943" s="232" t="str">
        <f>IFERROR(__xludf.DUMMYFUNCTION("""COMPUTED_VALUE"""),"Sms")</f>
        <v>Sms</v>
      </c>
      <c r="X943" s="232" t="str">
        <f>IFERROR(__xludf.DUMMYFUNCTION("""COMPUTED_VALUE"""),"Churned")</f>
        <v>Churned</v>
      </c>
      <c r="Y943" s="232" t="str">
        <f>IFERROR(__xludf.DUMMYFUNCTION("""COMPUTED_VALUE"""),"13 June")</f>
        <v>13 June</v>
      </c>
      <c r="Z943" s="232" t="str">
        <f>IFERROR(__xludf.DUMMYFUNCTION("""COMPUTED_VALUE"""),"6a26af2d9fb3eee206512fda")</f>
        <v>6a26af2d9fb3eee206512fda</v>
      </c>
      <c r="AA943" s="277">
        <f>IFERROR(__xludf.DUMMYFUNCTION("""COMPUTED_VALUE"""),54.0)</f>
        <v>54</v>
      </c>
      <c r="AB943" s="277"/>
      <c r="AC943" s="277">
        <f>IFERROR(__xludf.DUMMYFUNCTION("""COMPUTED_VALUE"""),54.0)</f>
        <v>54</v>
      </c>
      <c r="AD943" s="277">
        <f>IFERROR(__xludf.DUMMYFUNCTION("""COMPUTED_VALUE"""),170498.0)</f>
        <v>170498</v>
      </c>
      <c r="AE943" s="277"/>
      <c r="AF943" s="277">
        <f>IFERROR(__xludf.DUMMYFUNCTION("""COMPUTED_VALUE"""),170498.0)</f>
        <v>170498</v>
      </c>
      <c r="AG943" s="208"/>
      <c r="AH943" s="208"/>
      <c r="AI943" s="208"/>
      <c r="AJ943" s="208"/>
      <c r="AK943" s="208"/>
    </row>
    <row r="944" hidden="1">
      <c r="A944" s="288">
        <f>IFERROR(__xludf.DUMMYFUNCTION("""COMPUTED_VALUE"""),46187.0)</f>
        <v>46187</v>
      </c>
      <c r="B944" s="274">
        <f>IFERROR(__xludf.DUMMYFUNCTION("""COMPUTED_VALUE"""),0.5)</f>
        <v>0.5</v>
      </c>
      <c r="C944" s="208" t="str">
        <f>IFERROR(__xludf.DUMMYFUNCTION("""COMPUTED_VALUE"""),"Sms")</f>
        <v>Sms</v>
      </c>
      <c r="D944" s="208" t="str">
        <f>IFERROR(__xludf.DUMMYFUNCTION("""COMPUTED_VALUE"""),"Fallback campaign")</f>
        <v>Fallback campaign</v>
      </c>
      <c r="E944" s="208" t="str">
        <f>IFERROR(__xludf.DUMMYFUNCTION("""COMPUTED_VALUE"""),"BBW")</f>
        <v>BBW</v>
      </c>
      <c r="F944" s="208" t="str">
        <f>IFERROR(__xludf.DUMMYFUNCTION("""COMPUTED_VALUE"""),"SAS - June 2026")</f>
        <v>SAS - June 2026</v>
      </c>
      <c r="G944" s="208" t="str">
        <f>IFERROR(__xludf.DUMMYFUNCTION("""COMPUTED_VALUE"""),"bbw_smsfb_sas_retarget_loyal_14june_online")</f>
        <v>bbw_smsfb_sas_retarget_loyal_14june_online</v>
      </c>
      <c r="H944" s="232" t="str">
        <f>IFERROR(__xludf.DUMMYFUNCTION("""COMPUTED_VALUE"""),"BBW_Repeat_ON")</f>
        <v>BBW_Repeat_ON</v>
      </c>
      <c r="I944" s="233" t="str">
        <f>IFERROR(__xludf.DUMMYFUNCTION("""COMPUTED_VALUE"""),"WA Undelivered")</f>
        <v>WA Undelivered</v>
      </c>
      <c r="J944" s="275">
        <f>IFERROR(__xludf.DUMMYFUNCTION("""COMPUTED_VALUE"""),11939.0)</f>
        <v>11939</v>
      </c>
      <c r="K944" s="275">
        <f>IFERROR(__xludf.DUMMYFUNCTION("""COMPUTED_VALUE"""),5863.0)</f>
        <v>5863</v>
      </c>
      <c r="L944" s="276">
        <f>IFERROR(__xludf.DUMMYFUNCTION("""COMPUTED_VALUE"""),0.4911)</f>
        <v>0.4911</v>
      </c>
      <c r="M944" s="275">
        <f>IFERROR(__xludf.DUMMYFUNCTION("""COMPUTED_VALUE"""),0.0)</f>
        <v>0</v>
      </c>
      <c r="N944" s="276">
        <f>IFERROR(__xludf.DUMMYFUNCTION("""COMPUTED_VALUE"""),0.0)</f>
        <v>0</v>
      </c>
      <c r="O944" s="208">
        <f>IFERROR(__xludf.DUMMYFUNCTION("""COMPUTED_VALUE"""),28.0)</f>
        <v>28</v>
      </c>
      <c r="P944" s="208">
        <f>IFERROR(__xludf.DUMMYFUNCTION("""COMPUTED_VALUE"""),0.0)</f>
        <v>0</v>
      </c>
      <c r="Q944" s="276">
        <f>IFERROR(__xludf.DUMMYFUNCTION("""COMPUTED_VALUE"""),0.0048)</f>
        <v>0.0048</v>
      </c>
      <c r="R944" s="276">
        <f>IFERROR(__xludf.DUMMYFUNCTION("""COMPUTED_VALUE"""),0.0)</f>
        <v>0</v>
      </c>
      <c r="S944" s="208">
        <f>IFERROR(__xludf.DUMMYFUNCTION("""COMPUTED_VALUE"""),2.0)</f>
        <v>2</v>
      </c>
      <c r="T944" s="208">
        <f>IFERROR(__xludf.DUMMYFUNCTION("""COMPUTED_VALUE"""),6.0)</f>
        <v>6</v>
      </c>
      <c r="U944" s="275">
        <f>IFERROR(__xludf.DUMMYFUNCTION("""COMPUTED_VALUE"""),3045.0)</f>
        <v>3045</v>
      </c>
      <c r="V944" s="234" t="str">
        <f>IFERROR(__xludf.DUMMYFUNCTION("""COMPUTED_VALUE"""),"online")</f>
        <v>online</v>
      </c>
      <c r="W944" s="232" t="str">
        <f>IFERROR(__xludf.DUMMYFUNCTION("""COMPUTED_VALUE"""),"Sms")</f>
        <v>Sms</v>
      </c>
      <c r="X944" s="232" t="str">
        <f>IFERROR(__xludf.DUMMYFUNCTION("""COMPUTED_VALUE"""),"Repeat")</f>
        <v>Repeat</v>
      </c>
      <c r="Y944" s="232" t="str">
        <f>IFERROR(__xludf.DUMMYFUNCTION("""COMPUTED_VALUE"""),"14 June")</f>
        <v>14 June</v>
      </c>
      <c r="Z944" s="232" t="str">
        <f>IFERROR(__xludf.DUMMYFUNCTION("""COMPUTED_VALUE"""),"6a2a82672084793728f0993b")</f>
        <v>6a2a82672084793728f0993b</v>
      </c>
      <c r="AA944" s="277">
        <f>IFERROR(__xludf.DUMMYFUNCTION("""COMPUTED_VALUE"""),26.0)</f>
        <v>26</v>
      </c>
      <c r="AB944" s="277">
        <f>IFERROR(__xludf.DUMMYFUNCTION("""COMPUTED_VALUE"""),26.0)</f>
        <v>26</v>
      </c>
      <c r="AC944" s="277"/>
      <c r="AD944" s="277">
        <f>IFERROR(__xludf.DUMMYFUNCTION("""COMPUTED_VALUE"""),80046.0)</f>
        <v>80046</v>
      </c>
      <c r="AE944" s="277">
        <f>IFERROR(__xludf.DUMMYFUNCTION("""COMPUTED_VALUE"""),80046.0)</f>
        <v>80046</v>
      </c>
      <c r="AF944" s="277"/>
      <c r="AG944" s="208"/>
      <c r="AH944" s="208"/>
      <c r="AI944" s="208"/>
      <c r="AJ944" s="208"/>
      <c r="AK944" s="208"/>
    </row>
    <row r="945" hidden="1">
      <c r="A945" s="288">
        <f>IFERROR(__xludf.DUMMYFUNCTION("""COMPUTED_VALUE"""),46187.0)</f>
        <v>46187</v>
      </c>
      <c r="B945" s="274">
        <f>IFERROR(__xludf.DUMMYFUNCTION("""COMPUTED_VALUE"""),0.5)</f>
        <v>0.5</v>
      </c>
      <c r="C945" s="208" t="str">
        <f>IFERROR(__xludf.DUMMYFUNCTION("""COMPUTED_VALUE"""),"Sms")</f>
        <v>Sms</v>
      </c>
      <c r="D945" s="208" t="str">
        <f>IFERROR(__xludf.DUMMYFUNCTION("""COMPUTED_VALUE"""),"Fallback campaign")</f>
        <v>Fallback campaign</v>
      </c>
      <c r="E945" s="208" t="str">
        <f>IFERROR(__xludf.DUMMYFUNCTION("""COMPUTED_VALUE"""),"BBW")</f>
        <v>BBW</v>
      </c>
      <c r="F945" s="208" t="str">
        <f>IFERROR(__xludf.DUMMYFUNCTION("""COMPUTED_VALUE"""),"SAS - June 2026")</f>
        <v>SAS - June 2026</v>
      </c>
      <c r="G945" s="208" t="str">
        <f>IFERROR(__xludf.DUMMYFUNCTION("""COMPUTED_VALUE"""),"bbw_smsfb_sas_retarget_loyal_14june_offline")</f>
        <v>bbw_smsfb_sas_retarget_loyal_14june_offline</v>
      </c>
      <c r="H945" s="232" t="str">
        <f>IFERROR(__xludf.DUMMYFUNCTION("""COMPUTED_VALUE"""),"BBW_Repeat_OFF")</f>
        <v>BBW_Repeat_OFF</v>
      </c>
      <c r="I945" s="233" t="str">
        <f>IFERROR(__xludf.DUMMYFUNCTION("""COMPUTED_VALUE"""),"WA Undelivered")</f>
        <v>WA Undelivered</v>
      </c>
      <c r="J945" s="275">
        <f>IFERROR(__xludf.DUMMYFUNCTION("""COMPUTED_VALUE"""),43415.0)</f>
        <v>43415</v>
      </c>
      <c r="K945" s="275">
        <f>IFERROR(__xludf.DUMMYFUNCTION("""COMPUTED_VALUE"""),23739.0)</f>
        <v>23739</v>
      </c>
      <c r="L945" s="276">
        <f>IFERROR(__xludf.DUMMYFUNCTION("""COMPUTED_VALUE"""),0.5468)</f>
        <v>0.5468</v>
      </c>
      <c r="M945" s="275">
        <f>IFERROR(__xludf.DUMMYFUNCTION("""COMPUTED_VALUE"""),0.0)</f>
        <v>0</v>
      </c>
      <c r="N945" s="276">
        <f>IFERROR(__xludf.DUMMYFUNCTION("""COMPUTED_VALUE"""),0.0)</f>
        <v>0</v>
      </c>
      <c r="O945" s="208">
        <f>IFERROR(__xludf.DUMMYFUNCTION("""COMPUTED_VALUE"""),48.0)</f>
        <v>48</v>
      </c>
      <c r="P945" s="208">
        <f>IFERROR(__xludf.DUMMYFUNCTION("""COMPUTED_VALUE"""),0.0)</f>
        <v>0</v>
      </c>
      <c r="Q945" s="276">
        <f>IFERROR(__xludf.DUMMYFUNCTION("""COMPUTED_VALUE"""),0.002)</f>
        <v>0.002</v>
      </c>
      <c r="R945" s="276">
        <f>IFERROR(__xludf.DUMMYFUNCTION("""COMPUTED_VALUE"""),0.0)</f>
        <v>0</v>
      </c>
      <c r="S945" s="208">
        <f>IFERROR(__xludf.DUMMYFUNCTION("""COMPUTED_VALUE"""),2.0)</f>
        <v>2</v>
      </c>
      <c r="T945" s="208">
        <f>IFERROR(__xludf.DUMMYFUNCTION("""COMPUTED_VALUE"""),6.0)</f>
        <v>6</v>
      </c>
      <c r="U945" s="275">
        <f>IFERROR(__xludf.DUMMYFUNCTION("""COMPUTED_VALUE"""),8007.0)</f>
        <v>8007</v>
      </c>
      <c r="V945" s="234" t="str">
        <f>IFERROR(__xludf.DUMMYFUNCTION("""COMPUTED_VALUE"""),"offline")</f>
        <v>offline</v>
      </c>
      <c r="W945" s="232" t="str">
        <f>IFERROR(__xludf.DUMMYFUNCTION("""COMPUTED_VALUE"""),"Sms")</f>
        <v>Sms</v>
      </c>
      <c r="X945" s="232" t="str">
        <f>IFERROR(__xludf.DUMMYFUNCTION("""COMPUTED_VALUE"""),"Repeat")</f>
        <v>Repeat</v>
      </c>
      <c r="Y945" s="232" t="str">
        <f>IFERROR(__xludf.DUMMYFUNCTION("""COMPUTED_VALUE"""),"14 June")</f>
        <v>14 June</v>
      </c>
      <c r="Z945" s="232" t="str">
        <f>IFERROR(__xludf.DUMMYFUNCTION("""COMPUTED_VALUE"""),"6a2a84e608f4e0c5d9e8a137")</f>
        <v>6a2a84e608f4e0c5d9e8a137</v>
      </c>
      <c r="AA945" s="277">
        <f>IFERROR(__xludf.DUMMYFUNCTION("""COMPUTED_VALUE"""),163.0)</f>
        <v>163</v>
      </c>
      <c r="AB945" s="277"/>
      <c r="AC945" s="277">
        <f>IFERROR(__xludf.DUMMYFUNCTION("""COMPUTED_VALUE"""),163.0)</f>
        <v>163</v>
      </c>
      <c r="AD945" s="277">
        <f>IFERROR(__xludf.DUMMYFUNCTION("""COMPUTED_VALUE"""),748756.0)</f>
        <v>748756</v>
      </c>
      <c r="AE945" s="277"/>
      <c r="AF945" s="277">
        <f>IFERROR(__xludf.DUMMYFUNCTION("""COMPUTED_VALUE"""),748756.0)</f>
        <v>748756</v>
      </c>
      <c r="AG945" s="208"/>
      <c r="AH945" s="208"/>
      <c r="AI945" s="208"/>
      <c r="AJ945" s="208"/>
      <c r="AK945" s="208"/>
    </row>
    <row r="946" hidden="1">
      <c r="A946" s="288">
        <f>IFERROR(__xludf.DUMMYFUNCTION("""COMPUTED_VALUE"""),46188.0)</f>
        <v>46188</v>
      </c>
      <c r="B946" s="274">
        <f>IFERROR(__xludf.DUMMYFUNCTION("""COMPUTED_VALUE"""),0.7708333333321207)</f>
        <v>0.7708333333</v>
      </c>
      <c r="C946" s="208" t="str">
        <f>IFERROR(__xludf.DUMMYFUNCTION("""COMPUTED_VALUE"""),"Whatsapp")</f>
        <v>Whatsapp</v>
      </c>
      <c r="D946" s="208" t="str">
        <f>IFERROR(__xludf.DUMMYFUNCTION("""COMPUTED_VALUE"""),"Promotional")</f>
        <v>Promotional</v>
      </c>
      <c r="E946" s="208" t="str">
        <f>IFERROR(__xludf.DUMMYFUNCTION("""COMPUTED_VALUE"""),"BBW")</f>
        <v>BBW</v>
      </c>
      <c r="F946" s="208" t="str">
        <f>IFERROR(__xludf.DUMMYFUNCTION("""COMPUTED_VALUE"""),"SAS - June 2026")</f>
        <v>SAS - June 2026</v>
      </c>
      <c r="G946" s="208" t="str">
        <f>IFERROR(__xludf.DUMMYFUNCTION("""COMPUTED_VALUE"""),"bbw_wa_sas_fathersday_mens_15june_online")</f>
        <v>bbw_wa_sas_fathersday_mens_15june_online</v>
      </c>
      <c r="H946" s="232" t="str">
        <f>IFERROR(__xludf.DUMMYFUNCTION("""COMPUTED_VALUE"""),"BBW_ON_MEN")</f>
        <v>BBW_ON_MEN</v>
      </c>
      <c r="I946" s="233" t="str">
        <f>IFERROR(__xludf.DUMMYFUNCTION("""COMPUTED_VALUE"""),"No Brief")</f>
        <v>No Brief</v>
      </c>
      <c r="J946" s="275">
        <f>IFERROR(__xludf.DUMMYFUNCTION("""COMPUTED_VALUE"""),12409.0)</f>
        <v>12409</v>
      </c>
      <c r="K946" s="275">
        <f>IFERROR(__xludf.DUMMYFUNCTION("""COMPUTED_VALUE"""),5098.0)</f>
        <v>5098</v>
      </c>
      <c r="L946" s="276">
        <f>IFERROR(__xludf.DUMMYFUNCTION("""COMPUTED_VALUE"""),0.4108)</f>
        <v>0.4108</v>
      </c>
      <c r="M946" s="275">
        <f>IFERROR(__xludf.DUMMYFUNCTION("""COMPUTED_VALUE"""),2060.0)</f>
        <v>2060</v>
      </c>
      <c r="N946" s="276">
        <f>IFERROR(__xludf.DUMMYFUNCTION("""COMPUTED_VALUE"""),0.4041)</f>
        <v>0.4041</v>
      </c>
      <c r="O946" s="208">
        <f>IFERROR(__xludf.DUMMYFUNCTION("""COMPUTED_VALUE"""),181.0)</f>
        <v>181</v>
      </c>
      <c r="P946" s="208">
        <f>IFERROR(__xludf.DUMMYFUNCTION("""COMPUTED_VALUE"""),169.0)</f>
        <v>169</v>
      </c>
      <c r="Q946" s="276">
        <f>IFERROR(__xludf.DUMMYFUNCTION("""COMPUTED_VALUE"""),0.0332)</f>
        <v>0.0332</v>
      </c>
      <c r="R946" s="276">
        <f>IFERROR(__xludf.DUMMYFUNCTION("""COMPUTED_VALUE"""),0.082)</f>
        <v>0.082</v>
      </c>
      <c r="S946" s="208">
        <f>IFERROR(__xludf.DUMMYFUNCTION("""COMPUTED_VALUE"""),3.0)</f>
        <v>3</v>
      </c>
      <c r="T946" s="208">
        <f>IFERROR(__xludf.DUMMYFUNCTION("""COMPUTED_VALUE"""),13.0)</f>
        <v>13</v>
      </c>
      <c r="U946" s="275">
        <f>IFERROR(__xludf.DUMMYFUNCTION("""COMPUTED_VALUE"""),12237.0)</f>
        <v>12237</v>
      </c>
      <c r="V946" s="234" t="str">
        <f>IFERROR(__xludf.DUMMYFUNCTION("""COMPUTED_VALUE"""),"online")</f>
        <v>online</v>
      </c>
      <c r="W946" s="232" t="str">
        <f>IFERROR(__xludf.DUMMYFUNCTION("""COMPUTED_VALUE"""),"simple")</f>
        <v>simple</v>
      </c>
      <c r="X946" s="232" t="str">
        <f>IFERROR(__xludf.DUMMYFUNCTION("""COMPUTED_VALUE"""),"No Brief")</f>
        <v>No Brief</v>
      </c>
      <c r="Y946" s="232" t="str">
        <f>IFERROR(__xludf.DUMMYFUNCTION("""COMPUTED_VALUE"""),"15-17 June")</f>
        <v>15-17 June</v>
      </c>
      <c r="Z946" s="232" t="str">
        <f>IFERROR(__xludf.DUMMYFUNCTION("""COMPUTED_VALUE"""),"6a2a80c6b542558440f671cf")</f>
        <v>6a2a80c6b542558440f671cf</v>
      </c>
      <c r="AA946" s="277">
        <f>IFERROR(__xludf.DUMMYFUNCTION("""COMPUTED_VALUE"""),19.0)</f>
        <v>19</v>
      </c>
      <c r="AB946" s="277">
        <f>IFERROR(__xludf.DUMMYFUNCTION("""COMPUTED_VALUE"""),19.0)</f>
        <v>19</v>
      </c>
      <c r="AC946" s="277"/>
      <c r="AD946" s="277">
        <f>IFERROR(__xludf.DUMMYFUNCTION("""COMPUTED_VALUE"""),72887.0)</f>
        <v>72887</v>
      </c>
      <c r="AE946" s="277">
        <f>IFERROR(__xludf.DUMMYFUNCTION("""COMPUTED_VALUE"""),72887.0)</f>
        <v>72887</v>
      </c>
      <c r="AF946" s="277"/>
      <c r="AG946" s="208"/>
      <c r="AH946" s="208"/>
      <c r="AI946" s="208"/>
      <c r="AJ946" s="208"/>
      <c r="AK946" s="208"/>
    </row>
    <row r="947" hidden="1">
      <c r="A947" s="288">
        <f>IFERROR(__xludf.DUMMYFUNCTION("""COMPUTED_VALUE"""),46188.0)</f>
        <v>46188</v>
      </c>
      <c r="B947" s="274">
        <f>IFERROR(__xludf.DUMMYFUNCTION("""COMPUTED_VALUE"""),0.7708333333321207)</f>
        <v>0.7708333333</v>
      </c>
      <c r="C947" s="208" t="str">
        <f>IFERROR(__xludf.DUMMYFUNCTION("""COMPUTED_VALUE"""),"Whatsapp")</f>
        <v>Whatsapp</v>
      </c>
      <c r="D947" s="208" t="str">
        <f>IFERROR(__xludf.DUMMYFUNCTION("""COMPUTED_VALUE"""),"Promotional")</f>
        <v>Promotional</v>
      </c>
      <c r="E947" s="208" t="str">
        <f>IFERROR(__xludf.DUMMYFUNCTION("""COMPUTED_VALUE"""),"BBW")</f>
        <v>BBW</v>
      </c>
      <c r="F947" s="208" t="str">
        <f>IFERROR(__xludf.DUMMYFUNCTION("""COMPUTED_VALUE"""),"SAS - June 2026")</f>
        <v>SAS - June 2026</v>
      </c>
      <c r="G947" s="208" t="str">
        <f>IFERROR(__xludf.DUMMYFUNCTION("""COMPUTED_VALUE"""),"bbw_wa_sas_fathersday_mens_15june_offline")</f>
        <v>bbw_wa_sas_fathersday_mens_15june_offline</v>
      </c>
      <c r="H947" s="232" t="str">
        <f>IFERROR(__xludf.DUMMYFUNCTION("""COMPUTED_VALUE"""),"BBW_OFF_MEN")</f>
        <v>BBW_OFF_MEN</v>
      </c>
      <c r="I947" s="233" t="str">
        <f>IFERROR(__xludf.DUMMYFUNCTION("""COMPUTED_VALUE"""),"No Brief")</f>
        <v>No Brief</v>
      </c>
      <c r="J947" s="275">
        <f>IFERROR(__xludf.DUMMYFUNCTION("""COMPUTED_VALUE"""),53179.0)</f>
        <v>53179</v>
      </c>
      <c r="K947" s="275">
        <f>IFERROR(__xludf.DUMMYFUNCTION("""COMPUTED_VALUE"""),22561.0)</f>
        <v>22561</v>
      </c>
      <c r="L947" s="276">
        <f>IFERROR(__xludf.DUMMYFUNCTION("""COMPUTED_VALUE"""),0.4242)</f>
        <v>0.4242</v>
      </c>
      <c r="M947" s="275">
        <f>IFERROR(__xludf.DUMMYFUNCTION("""COMPUTED_VALUE"""),9095.0)</f>
        <v>9095</v>
      </c>
      <c r="N947" s="276">
        <f>IFERROR(__xludf.DUMMYFUNCTION("""COMPUTED_VALUE"""),0.4031)</f>
        <v>0.4031</v>
      </c>
      <c r="O947" s="208">
        <f>IFERROR(__xludf.DUMMYFUNCTION("""COMPUTED_VALUE"""),534.0)</f>
        <v>534</v>
      </c>
      <c r="P947" s="208">
        <f>IFERROR(__xludf.DUMMYFUNCTION("""COMPUTED_VALUE"""),508.0)</f>
        <v>508</v>
      </c>
      <c r="Q947" s="276">
        <f>IFERROR(__xludf.DUMMYFUNCTION("""COMPUTED_VALUE"""),0.0225)</f>
        <v>0.0225</v>
      </c>
      <c r="R947" s="276">
        <f>IFERROR(__xludf.DUMMYFUNCTION("""COMPUTED_VALUE"""),0.0559)</f>
        <v>0.0559</v>
      </c>
      <c r="S947" s="208">
        <f>IFERROR(__xludf.DUMMYFUNCTION("""COMPUTED_VALUE"""),5.0)</f>
        <v>5</v>
      </c>
      <c r="T947" s="208">
        <f>IFERROR(__xludf.DUMMYFUNCTION("""COMPUTED_VALUE"""),19.0)</f>
        <v>19</v>
      </c>
      <c r="U947" s="275">
        <f>IFERROR(__xludf.DUMMYFUNCTION("""COMPUTED_VALUE"""),11291.0)</f>
        <v>11291</v>
      </c>
      <c r="V947" s="234" t="str">
        <f>IFERROR(__xludf.DUMMYFUNCTION("""COMPUTED_VALUE"""),"offline")</f>
        <v>offline</v>
      </c>
      <c r="W947" s="232" t="str">
        <f>IFERROR(__xludf.DUMMYFUNCTION("""COMPUTED_VALUE"""),"simple")</f>
        <v>simple</v>
      </c>
      <c r="X947" s="232" t="str">
        <f>IFERROR(__xludf.DUMMYFUNCTION("""COMPUTED_VALUE"""),"No Brief")</f>
        <v>No Brief</v>
      </c>
      <c r="Y947" s="232" t="str">
        <f>IFERROR(__xludf.DUMMYFUNCTION("""COMPUTED_VALUE"""),"15-17 June")</f>
        <v>15-17 June</v>
      </c>
      <c r="Z947" s="232" t="str">
        <f>IFERROR(__xludf.DUMMYFUNCTION("""COMPUTED_VALUE"""),"6a2a80fe537b85be484b27b1")</f>
        <v>6a2a80fe537b85be484b27b1</v>
      </c>
      <c r="AA947" s="277">
        <f>IFERROR(__xludf.DUMMYFUNCTION("""COMPUTED_VALUE"""),63.0)</f>
        <v>63</v>
      </c>
      <c r="AB947" s="277"/>
      <c r="AC947" s="277">
        <f>IFERROR(__xludf.DUMMYFUNCTION("""COMPUTED_VALUE"""),63.0)</f>
        <v>63</v>
      </c>
      <c r="AD947" s="277">
        <f>IFERROR(__xludf.DUMMYFUNCTION("""COMPUTED_VALUE"""),325763.0)</f>
        <v>325763</v>
      </c>
      <c r="AE947" s="277"/>
      <c r="AF947" s="277">
        <f>IFERROR(__xludf.DUMMYFUNCTION("""COMPUTED_VALUE"""),325763.0)</f>
        <v>325763</v>
      </c>
      <c r="AG947" s="208"/>
      <c r="AH947" s="208"/>
      <c r="AI947" s="208"/>
      <c r="AJ947" s="208"/>
      <c r="AK947" s="208"/>
    </row>
    <row r="948" hidden="1">
      <c r="A948" s="288">
        <f>IFERROR(__xludf.DUMMYFUNCTION("""COMPUTED_VALUE"""),46190.0)</f>
        <v>46190</v>
      </c>
      <c r="B948" s="274">
        <f>IFERROR(__xludf.DUMMYFUNCTION("""COMPUTED_VALUE"""),0.7083333333321207)</f>
        <v>0.7083333333</v>
      </c>
      <c r="C948" s="208" t="str">
        <f>IFERROR(__xludf.DUMMYFUNCTION("""COMPUTED_VALUE"""),"Whatsapp")</f>
        <v>Whatsapp</v>
      </c>
      <c r="D948" s="208" t="str">
        <f>IFERROR(__xludf.DUMMYFUNCTION("""COMPUTED_VALUE"""),"Promotional")</f>
        <v>Promotional</v>
      </c>
      <c r="E948" s="208" t="str">
        <f>IFERROR(__xludf.DUMMYFUNCTION("""COMPUTED_VALUE"""),"BBW")</f>
        <v>BBW</v>
      </c>
      <c r="F948" s="208" t="str">
        <f>IFERROR(__xludf.DUMMYFUNCTION("""COMPUTED_VALUE"""),"SAS - June 2026")</f>
        <v>SAS - June 2026</v>
      </c>
      <c r="G948" s="208" t="str">
        <f>IFERROR(__xludf.DUMMYFUNCTION("""COMPUTED_VALUE"""),"bbw_wa_sas_atc_last5days_overall")</f>
        <v>bbw_wa_sas_atc_last5days_overall</v>
      </c>
      <c r="H948" s="232" t="str">
        <f>IFERROR(__xludf.DUMMYFUNCTION("""COMPUTED_VALUE"""),"BBW_ATC_View_Wishlist_NoPr_5D")</f>
        <v>BBW_ATC_View_Wishlist_NoPr_5D</v>
      </c>
      <c r="I948" s="233" t="str">
        <f>IFERROR(__xludf.DUMMYFUNCTION("""COMPUTED_VALUE"""),"No Brief")</f>
        <v>No Brief</v>
      </c>
      <c r="J948" s="275">
        <f>IFERROR(__xludf.DUMMYFUNCTION("""COMPUTED_VALUE"""),2321.0)</f>
        <v>2321</v>
      </c>
      <c r="K948" s="275">
        <f>IFERROR(__xludf.DUMMYFUNCTION("""COMPUTED_VALUE"""),1137.0)</f>
        <v>1137</v>
      </c>
      <c r="L948" s="276">
        <f>IFERROR(__xludf.DUMMYFUNCTION("""COMPUTED_VALUE"""),0.4899)</f>
        <v>0.4899</v>
      </c>
      <c r="M948" s="275">
        <f>IFERROR(__xludf.DUMMYFUNCTION("""COMPUTED_VALUE"""),679.0)</f>
        <v>679</v>
      </c>
      <c r="N948" s="276">
        <f>IFERROR(__xludf.DUMMYFUNCTION("""COMPUTED_VALUE"""),0.5972)</f>
        <v>0.5972</v>
      </c>
      <c r="O948" s="208">
        <f>IFERROR(__xludf.DUMMYFUNCTION("""COMPUTED_VALUE"""),200.0)</f>
        <v>200</v>
      </c>
      <c r="P948" s="208">
        <f>IFERROR(__xludf.DUMMYFUNCTION("""COMPUTED_VALUE"""),182.0)</f>
        <v>182</v>
      </c>
      <c r="Q948" s="276">
        <f>IFERROR(__xludf.DUMMYFUNCTION("""COMPUTED_VALUE"""),0.1601)</f>
        <v>0.1601</v>
      </c>
      <c r="R948" s="276">
        <f>IFERROR(__xludf.DUMMYFUNCTION("""COMPUTED_VALUE"""),0.268)</f>
        <v>0.268</v>
      </c>
      <c r="S948" s="208">
        <f>IFERROR(__xludf.DUMMYFUNCTION("""COMPUTED_VALUE"""),39.0)</f>
        <v>39</v>
      </c>
      <c r="T948" s="208">
        <f>IFERROR(__xludf.DUMMYFUNCTION("""COMPUTED_VALUE"""),159.0)</f>
        <v>159</v>
      </c>
      <c r="U948" s="275">
        <f>IFERROR(__xludf.DUMMYFUNCTION("""COMPUTED_VALUE"""),75336.0)</f>
        <v>75336</v>
      </c>
      <c r="V948" s="234" t="str">
        <f>IFERROR(__xludf.DUMMYFUNCTION("""COMPUTED_VALUE"""),"overall")</f>
        <v>overall</v>
      </c>
      <c r="W948" s="232" t="str">
        <f>IFERROR(__xludf.DUMMYFUNCTION("""COMPUTED_VALUE"""),"simple")</f>
        <v>simple</v>
      </c>
      <c r="X948" s="232" t="str">
        <f>IFERROR(__xludf.DUMMYFUNCTION("""COMPUTED_VALUE"""),"No Brief")</f>
        <v>No Brief</v>
      </c>
      <c r="Y948" s="232" t="str">
        <f>IFERROR(__xludf.DUMMYFUNCTION("""COMPUTED_VALUE"""),"17-19 June")</f>
        <v>17-19 June</v>
      </c>
      <c r="Z948" s="232" t="str">
        <f>IFERROR(__xludf.DUMMYFUNCTION("""COMPUTED_VALUE"""),"6a2bab360b3864b6c0c7173e")</f>
        <v>6a2bab360b3864b6c0c7173e</v>
      </c>
      <c r="AA948" s="277">
        <f>IFERROR(__xludf.DUMMYFUNCTION("""COMPUTED_VALUE"""),64.0)</f>
        <v>64</v>
      </c>
      <c r="AB948" s="277">
        <f>IFERROR(__xludf.DUMMYFUNCTION("""COMPUTED_VALUE"""),56.0)</f>
        <v>56</v>
      </c>
      <c r="AC948" s="277">
        <f>IFERROR(__xludf.DUMMYFUNCTION("""COMPUTED_VALUE"""),8.0)</f>
        <v>8</v>
      </c>
      <c r="AD948" s="277">
        <f>IFERROR(__xludf.DUMMYFUNCTION("""COMPUTED_VALUE"""),139493.0)</f>
        <v>139493</v>
      </c>
      <c r="AE948" s="277">
        <f>IFERROR(__xludf.DUMMYFUNCTION("""COMPUTED_VALUE"""),128322.0)</f>
        <v>128322</v>
      </c>
      <c r="AF948" s="277">
        <f>IFERROR(__xludf.DUMMYFUNCTION("""COMPUTED_VALUE"""),11171.0)</f>
        <v>11171</v>
      </c>
      <c r="AG948" s="208"/>
      <c r="AH948" s="208"/>
      <c r="AI948" s="208"/>
      <c r="AJ948" s="208"/>
      <c r="AK948" s="208"/>
    </row>
    <row r="949" hidden="1">
      <c r="A949" s="288">
        <f>IFERROR(__xludf.DUMMYFUNCTION("""COMPUTED_VALUE"""),46189.0)</f>
        <v>46189</v>
      </c>
      <c r="B949" s="274">
        <f>IFERROR(__xludf.DUMMYFUNCTION("""COMPUTED_VALUE"""),0.75)</f>
        <v>0.75</v>
      </c>
      <c r="C949" s="208" t="str">
        <f>IFERROR(__xludf.DUMMYFUNCTION("""COMPUTED_VALUE"""),"Whatsapp")</f>
        <v>Whatsapp</v>
      </c>
      <c r="D949" s="208" t="str">
        <f>IFERROR(__xludf.DUMMYFUNCTION("""COMPUTED_VALUE"""),"Promotional")</f>
        <v>Promotional</v>
      </c>
      <c r="E949" s="208" t="str">
        <f>IFERROR(__xludf.DUMMYFUNCTION("""COMPUTED_VALUE"""),"BBW")</f>
        <v>BBW</v>
      </c>
      <c r="F949" s="208" t="str">
        <f>IFERROR(__xludf.DUMMYFUNCTION("""COMPUTED_VALUE"""),"SAS - June 2026")</f>
        <v>SAS - June 2026</v>
      </c>
      <c r="G949" s="208" t="str">
        <f>IFERROR(__xludf.DUMMYFUNCTION("""COMPUTED_VALUE"""),"bbw_wa_sas_fathersday_mens_reminder_online V1")</f>
        <v>bbw_wa_sas_fathersday_mens_reminder_online V1</v>
      </c>
      <c r="H949" s="232" t="str">
        <f>IFERROR(__xludf.DUMMYFUNCTION("""COMPUTED_VALUE"""),"BBW_ON_MEN")</f>
        <v>BBW_ON_MEN</v>
      </c>
      <c r="I949" s="233" t="str">
        <f>IFERROR(__xludf.DUMMYFUNCTION("""COMPUTED_VALUE"""),"No Brief")</f>
        <v>No Brief</v>
      </c>
      <c r="J949" s="275">
        <f>IFERROR(__xludf.DUMMYFUNCTION("""COMPUTED_VALUE"""),12060.0)</f>
        <v>12060</v>
      </c>
      <c r="K949" s="275">
        <f>IFERROR(__xludf.DUMMYFUNCTION("""COMPUTED_VALUE"""),4340.0)</f>
        <v>4340</v>
      </c>
      <c r="L949" s="276">
        <f>IFERROR(__xludf.DUMMYFUNCTION("""COMPUTED_VALUE"""),0.3598)</f>
        <v>0.3598</v>
      </c>
      <c r="M949" s="275">
        <f>IFERROR(__xludf.DUMMYFUNCTION("""COMPUTED_VALUE"""),1608.0)</f>
        <v>1608</v>
      </c>
      <c r="N949" s="276">
        <f>IFERROR(__xludf.DUMMYFUNCTION("""COMPUTED_VALUE"""),0.3706)</f>
        <v>0.3706</v>
      </c>
      <c r="O949" s="208">
        <f>IFERROR(__xludf.DUMMYFUNCTION("""COMPUTED_VALUE"""),208.0)</f>
        <v>208</v>
      </c>
      <c r="P949" s="208">
        <f>IFERROR(__xludf.DUMMYFUNCTION("""COMPUTED_VALUE"""),185.0)</f>
        <v>185</v>
      </c>
      <c r="Q949" s="276">
        <f>IFERROR(__xludf.DUMMYFUNCTION("""COMPUTED_VALUE"""),0.0426)</f>
        <v>0.0426</v>
      </c>
      <c r="R949" s="276">
        <f>IFERROR(__xludf.DUMMYFUNCTION("""COMPUTED_VALUE"""),0.115)</f>
        <v>0.115</v>
      </c>
      <c r="S949" s="208">
        <f>IFERROR(__xludf.DUMMYFUNCTION("""COMPUTED_VALUE"""),4.0)</f>
        <v>4</v>
      </c>
      <c r="T949" s="208">
        <f>IFERROR(__xludf.DUMMYFUNCTION("""COMPUTED_VALUE"""),10.0)</f>
        <v>10</v>
      </c>
      <c r="U949" s="275">
        <f>IFERROR(__xludf.DUMMYFUNCTION("""COMPUTED_VALUE"""),10526.0)</f>
        <v>10526</v>
      </c>
      <c r="V949" s="234" t="str">
        <f>IFERROR(__xludf.DUMMYFUNCTION("""COMPUTED_VALUE"""),"online")</f>
        <v>online</v>
      </c>
      <c r="W949" s="232" t="str">
        <f>IFERROR(__xludf.DUMMYFUNCTION("""COMPUTED_VALUE"""),"simple")</f>
        <v>simple</v>
      </c>
      <c r="X949" s="232" t="str">
        <f>IFERROR(__xludf.DUMMYFUNCTION("""COMPUTED_VALUE"""),"No Brief")</f>
        <v>No Brief</v>
      </c>
      <c r="Y949" s="232" t="str">
        <f>IFERROR(__xludf.DUMMYFUNCTION("""COMPUTED_VALUE"""),"16-18 June")</f>
        <v>16-18 June</v>
      </c>
      <c r="Z949" s="232" t="str">
        <f>IFERROR(__xludf.DUMMYFUNCTION("""COMPUTED_VALUE"""),"6a3135ff8f2d7831199ab348")</f>
        <v>6a3135ff8f2d7831199ab348</v>
      </c>
      <c r="AA949" s="277">
        <f>IFERROR(__xludf.DUMMYFUNCTION("""COMPUTED_VALUE"""),12.0)</f>
        <v>12</v>
      </c>
      <c r="AB949" s="277">
        <f>IFERROR(__xludf.DUMMYFUNCTION("""COMPUTED_VALUE"""),12.0)</f>
        <v>12</v>
      </c>
      <c r="AC949" s="277"/>
      <c r="AD949" s="277">
        <f>IFERROR(__xludf.DUMMYFUNCTION("""COMPUTED_VALUE"""),26786.0)</f>
        <v>26786</v>
      </c>
      <c r="AE949" s="277">
        <f>IFERROR(__xludf.DUMMYFUNCTION("""COMPUTED_VALUE"""),26786.0)</f>
        <v>26786</v>
      </c>
      <c r="AF949" s="277"/>
      <c r="AG949" s="208"/>
      <c r="AH949" s="208"/>
      <c r="AI949" s="208"/>
      <c r="AJ949" s="208"/>
      <c r="AK949" s="208"/>
    </row>
    <row r="950" hidden="1">
      <c r="A950" s="288">
        <f>IFERROR(__xludf.DUMMYFUNCTION("""COMPUTED_VALUE"""),46189.0)</f>
        <v>46189</v>
      </c>
      <c r="B950" s="274">
        <f>IFERROR(__xludf.DUMMYFUNCTION("""COMPUTED_VALUE"""),0.75)</f>
        <v>0.75</v>
      </c>
      <c r="C950" s="208" t="str">
        <f>IFERROR(__xludf.DUMMYFUNCTION("""COMPUTED_VALUE"""),"Whatsapp")</f>
        <v>Whatsapp</v>
      </c>
      <c r="D950" s="208" t="str">
        <f>IFERROR(__xludf.DUMMYFUNCTION("""COMPUTED_VALUE"""),"Promotional")</f>
        <v>Promotional</v>
      </c>
      <c r="E950" s="208" t="str">
        <f>IFERROR(__xludf.DUMMYFUNCTION("""COMPUTED_VALUE"""),"BBW")</f>
        <v>BBW</v>
      </c>
      <c r="F950" s="208" t="str">
        <f>IFERROR(__xludf.DUMMYFUNCTION("""COMPUTED_VALUE"""),"SAS - June 2026")</f>
        <v>SAS - June 2026</v>
      </c>
      <c r="G950" s="208" t="str">
        <f>IFERROR(__xludf.DUMMYFUNCTION("""COMPUTED_VALUE"""),"bbw_wa_sas_fathersday_mens_reminder_offline_v1")</f>
        <v>bbw_wa_sas_fathersday_mens_reminder_offline_v1</v>
      </c>
      <c r="H950" s="232" t="str">
        <f>IFERROR(__xludf.DUMMYFUNCTION("""COMPUTED_VALUE"""),"BBW_OFF_MEN")</f>
        <v>BBW_OFF_MEN</v>
      </c>
      <c r="I950" s="233" t="str">
        <f>IFERROR(__xludf.DUMMYFUNCTION("""COMPUTED_VALUE"""),"No Brief")</f>
        <v>No Brief</v>
      </c>
      <c r="J950" s="275">
        <f>IFERROR(__xludf.DUMMYFUNCTION("""COMPUTED_VALUE"""),53662.0)</f>
        <v>53662</v>
      </c>
      <c r="K950" s="275">
        <f>IFERROR(__xludf.DUMMYFUNCTION("""COMPUTED_VALUE"""),20607.0)</f>
        <v>20607</v>
      </c>
      <c r="L950" s="276">
        <f>IFERROR(__xludf.DUMMYFUNCTION("""COMPUTED_VALUE"""),0.3839)</f>
        <v>0.3839</v>
      </c>
      <c r="M950" s="275">
        <f>IFERROR(__xludf.DUMMYFUNCTION("""COMPUTED_VALUE"""),7387.0)</f>
        <v>7387</v>
      </c>
      <c r="N950" s="276">
        <f>IFERROR(__xludf.DUMMYFUNCTION("""COMPUTED_VALUE"""),0.3586)</f>
        <v>0.3586</v>
      </c>
      <c r="O950" s="208">
        <f>IFERROR(__xludf.DUMMYFUNCTION("""COMPUTED_VALUE"""),519.0)</f>
        <v>519</v>
      </c>
      <c r="P950" s="208">
        <f>IFERROR(__xludf.DUMMYFUNCTION("""COMPUTED_VALUE"""),449.0)</f>
        <v>449</v>
      </c>
      <c r="Q950" s="276">
        <f>IFERROR(__xludf.DUMMYFUNCTION("""COMPUTED_VALUE"""),0.0218)</f>
        <v>0.0218</v>
      </c>
      <c r="R950" s="276">
        <f>IFERROR(__xludf.DUMMYFUNCTION("""COMPUTED_VALUE"""),0.0608)</f>
        <v>0.0608</v>
      </c>
      <c r="S950" s="208">
        <f>IFERROR(__xludf.DUMMYFUNCTION("""COMPUTED_VALUE"""),8.0)</f>
        <v>8</v>
      </c>
      <c r="T950" s="208">
        <f>IFERROR(__xludf.DUMMYFUNCTION("""COMPUTED_VALUE"""),15.0)</f>
        <v>15</v>
      </c>
      <c r="U950" s="275">
        <f>IFERROR(__xludf.DUMMYFUNCTION("""COMPUTED_VALUE"""),14339.0)</f>
        <v>14339</v>
      </c>
      <c r="V950" s="234" t="str">
        <f>IFERROR(__xludf.DUMMYFUNCTION("""COMPUTED_VALUE"""),"offline")</f>
        <v>offline</v>
      </c>
      <c r="W950" s="232" t="str">
        <f>IFERROR(__xludf.DUMMYFUNCTION("""COMPUTED_VALUE"""),"simple")</f>
        <v>simple</v>
      </c>
      <c r="X950" s="232" t="str">
        <f>IFERROR(__xludf.DUMMYFUNCTION("""COMPUTED_VALUE"""),"No Brief")</f>
        <v>No Brief</v>
      </c>
      <c r="Y950" s="232" t="str">
        <f>IFERROR(__xludf.DUMMYFUNCTION("""COMPUTED_VALUE"""),"16-18 June")</f>
        <v>16-18 June</v>
      </c>
      <c r="Z950" s="232" t="str">
        <f>IFERROR(__xludf.DUMMYFUNCTION("""COMPUTED_VALUE"""),"6a31363ad389f48f08902281")</f>
        <v>6a31363ad389f48f08902281</v>
      </c>
      <c r="AA950" s="277">
        <f>IFERROR(__xludf.DUMMYFUNCTION("""COMPUTED_VALUE"""),54.0)</f>
        <v>54</v>
      </c>
      <c r="AB950" s="277"/>
      <c r="AC950" s="277">
        <f>IFERROR(__xludf.DUMMYFUNCTION("""COMPUTED_VALUE"""),54.0)</f>
        <v>54</v>
      </c>
      <c r="AD950" s="277">
        <f>IFERROR(__xludf.DUMMYFUNCTION("""COMPUTED_VALUE"""),229499.0)</f>
        <v>229499</v>
      </c>
      <c r="AE950" s="277"/>
      <c r="AF950" s="277">
        <f>IFERROR(__xludf.DUMMYFUNCTION("""COMPUTED_VALUE"""),229499.0)</f>
        <v>229499</v>
      </c>
      <c r="AG950" s="208"/>
      <c r="AH950" s="208"/>
      <c r="AI950" s="208"/>
      <c r="AJ950" s="208"/>
      <c r="AK950" s="208"/>
    </row>
    <row r="951" hidden="1">
      <c r="A951" s="288">
        <f>IFERROR(__xludf.DUMMYFUNCTION("""COMPUTED_VALUE"""),46192.0)</f>
        <v>46192</v>
      </c>
      <c r="B951" s="274">
        <f>IFERROR(__xludf.DUMMYFUNCTION("""COMPUTED_VALUE"""),0.4583333333321207)</f>
        <v>0.4583333333</v>
      </c>
      <c r="C951" s="208" t="str">
        <f>IFERROR(__xludf.DUMMYFUNCTION("""COMPUTED_VALUE"""),"Whatsapp")</f>
        <v>Whatsapp</v>
      </c>
      <c r="D951" s="208" t="str">
        <f>IFERROR(__xludf.DUMMYFUNCTION("""COMPUTED_VALUE"""),"Promotional")</f>
        <v>Promotional</v>
      </c>
      <c r="E951" s="208" t="str">
        <f>IFERROR(__xludf.DUMMYFUNCTION("""COMPUTED_VALUE"""),"BBW")</f>
        <v>BBW</v>
      </c>
      <c r="F951" s="208" t="str">
        <f>IFERROR(__xludf.DUMMYFUNCTION("""COMPUTED_VALUE"""),"SAS - June 2026")</f>
        <v>SAS - June 2026</v>
      </c>
      <c r="G951" s="208" t="str">
        <f>IFERROR(__xludf.DUMMYFUNCTION("""COMPUTED_VALUE"""),"bbw_wa_sas_cat_hs_19june_active_overall")</f>
        <v>bbw_wa_sas_cat_hs_19june_active_overall</v>
      </c>
      <c r="H951" s="232" t="str">
        <f>IFERROR(__xludf.DUMMYFUNCTION("""COMPUTED_VALUE"""),"BBW_ON_OFF_ACTIVE_HS_HC")</f>
        <v>BBW_ON_OFF_ACTIVE_HS_HC</v>
      </c>
      <c r="I951" s="233" t="str">
        <f>IFERROR(__xludf.DUMMYFUNCTION("""COMPUTED_VALUE"""),"Customers who have purchased at least 1 time from Hand soaps, hand creams, travel size, cleansers in the last 109 days")</f>
        <v>Customers who have purchased at least 1 time from Hand soaps, hand creams, travel size, cleansers in the last 109 days</v>
      </c>
      <c r="J951" s="275">
        <f>IFERROR(__xludf.DUMMYFUNCTION("""COMPUTED_VALUE"""),41080.0)</f>
        <v>41080</v>
      </c>
      <c r="K951" s="275">
        <f>IFERROR(__xludf.DUMMYFUNCTION("""COMPUTED_VALUE"""),19384.0)</f>
        <v>19384</v>
      </c>
      <c r="L951" s="276">
        <f>IFERROR(__xludf.DUMMYFUNCTION("""COMPUTED_VALUE"""),0.4714)</f>
        <v>0.4714</v>
      </c>
      <c r="M951" s="275">
        <f>IFERROR(__xludf.DUMMYFUNCTION("""COMPUTED_VALUE"""),7261.0)</f>
        <v>7261</v>
      </c>
      <c r="N951" s="276">
        <f>IFERROR(__xludf.DUMMYFUNCTION("""COMPUTED_VALUE"""),0.3706)</f>
        <v>0.3706</v>
      </c>
      <c r="O951" s="208">
        <f>IFERROR(__xludf.DUMMYFUNCTION("""COMPUTED_VALUE"""),735.0)</f>
        <v>735</v>
      </c>
      <c r="P951" s="208">
        <f>IFERROR(__xludf.DUMMYFUNCTION("""COMPUTED_VALUE"""),664.0)</f>
        <v>664</v>
      </c>
      <c r="Q951" s="276">
        <f>IFERROR(__xludf.DUMMYFUNCTION("""COMPUTED_VALUE"""),0.0343)</f>
        <v>0.0343</v>
      </c>
      <c r="R951" s="276">
        <f>IFERROR(__xludf.DUMMYFUNCTION("""COMPUTED_VALUE"""),0.0925)</f>
        <v>0.0925</v>
      </c>
      <c r="S951" s="208">
        <f>IFERROR(__xludf.DUMMYFUNCTION("""COMPUTED_VALUE"""),9.0)</f>
        <v>9</v>
      </c>
      <c r="T951" s="208">
        <f>IFERROR(__xludf.DUMMYFUNCTION("""COMPUTED_VALUE"""),17.0)</f>
        <v>17</v>
      </c>
      <c r="U951" s="275">
        <f>IFERROR(__xludf.DUMMYFUNCTION("""COMPUTED_VALUE"""),22829.0)</f>
        <v>22829</v>
      </c>
      <c r="V951" s="234" t="str">
        <f>IFERROR(__xludf.DUMMYFUNCTION("""COMPUTED_VALUE"""),"overall")</f>
        <v>overall</v>
      </c>
      <c r="W951" s="232" t="str">
        <f>IFERROR(__xludf.DUMMYFUNCTION("""COMPUTED_VALUE"""),"simple")</f>
        <v>simple</v>
      </c>
      <c r="X951" s="232" t="str">
        <f>IFERROR(__xludf.DUMMYFUNCTION("""COMPUTED_VALUE"""),"Active")</f>
        <v>Active</v>
      </c>
      <c r="Y951" s="232" t="str">
        <f>IFERROR(__xludf.DUMMYFUNCTION("""COMPUTED_VALUE"""),"19-21 June")</f>
        <v>19-21 June</v>
      </c>
      <c r="Z951" s="232" t="str">
        <f>IFERROR(__xludf.DUMMYFUNCTION("""COMPUTED_VALUE"""),"6a3298aa2fd38834257ffb36")</f>
        <v>6a3298aa2fd38834257ffb36</v>
      </c>
      <c r="AA951" s="277">
        <f>IFERROR(__xludf.DUMMYFUNCTION("""COMPUTED_VALUE"""),257.0)</f>
        <v>257</v>
      </c>
      <c r="AB951" s="277">
        <f>IFERROR(__xludf.DUMMYFUNCTION("""COMPUTED_VALUE"""),65.0)</f>
        <v>65</v>
      </c>
      <c r="AC951" s="277">
        <f>IFERROR(__xludf.DUMMYFUNCTION("""COMPUTED_VALUE"""),192.0)</f>
        <v>192</v>
      </c>
      <c r="AD951" s="277">
        <f>IFERROR(__xludf.DUMMYFUNCTION("""COMPUTED_VALUE"""),910924.0)</f>
        <v>910924</v>
      </c>
      <c r="AE951" s="277">
        <f>IFERROR(__xludf.DUMMYFUNCTION("""COMPUTED_VALUE"""),169745.0)</f>
        <v>169745</v>
      </c>
      <c r="AF951" s="277">
        <f>IFERROR(__xludf.DUMMYFUNCTION("""COMPUTED_VALUE"""),741179.0)</f>
        <v>741179</v>
      </c>
      <c r="AG951" s="208"/>
      <c r="AH951" s="208"/>
      <c r="AI951" s="208"/>
      <c r="AJ951" s="208"/>
      <c r="AK951" s="208"/>
    </row>
    <row r="952" hidden="1">
      <c r="A952" s="288">
        <f>IFERROR(__xludf.DUMMYFUNCTION("""COMPUTED_VALUE"""),46192.0)</f>
        <v>46192</v>
      </c>
      <c r="B952" s="274">
        <f>IFERROR(__xludf.DUMMYFUNCTION("""COMPUTED_VALUE"""),0.4583333333321207)</f>
        <v>0.4583333333</v>
      </c>
      <c r="C952" s="208" t="str">
        <f>IFERROR(__xludf.DUMMYFUNCTION("""COMPUTED_VALUE"""),"Whatsapp")</f>
        <v>Whatsapp</v>
      </c>
      <c r="D952" s="208" t="str">
        <f>IFERROR(__xludf.DUMMYFUNCTION("""COMPUTED_VALUE"""),"Promotional")</f>
        <v>Promotional</v>
      </c>
      <c r="E952" s="208" t="str">
        <f>IFERROR(__xludf.DUMMYFUNCTION("""COMPUTED_VALUE"""),"BBW")</f>
        <v>BBW</v>
      </c>
      <c r="F952" s="208" t="str">
        <f>IFERROR(__xludf.DUMMYFUNCTION("""COMPUTED_VALUE"""),"SAS - June 2026")</f>
        <v>SAS - June 2026</v>
      </c>
      <c r="G952" s="208" t="str">
        <f>IFERROR(__xludf.DUMMYFUNCTION("""COMPUTED_VALUE"""),"bbw_wa_sas_cat_hs_19june_predom800_online")</f>
        <v>bbw_wa_sas_cat_hs_19june_predom800_online</v>
      </c>
      <c r="H952" s="232" t="str">
        <f>IFERROR(__xludf.DUMMYFUNCTION("""COMPUTED_VALUE"""),"BBW_ON_PREDOM_800_Below")</f>
        <v>BBW_ON_PREDOM_800_Below</v>
      </c>
      <c r="I952" s="233" t="str">
        <f>IFERROR(__xludf.DUMMYFUNCTION("""COMPUTED_VALUE"""),"Online Customers who have purchased at least 2 times PREDOM with cart value &lt;799 in the last 365 days")</f>
        <v>Online Customers who have purchased at least 2 times PREDOM with cart value &lt;799 in the last 365 days</v>
      </c>
      <c r="J952" s="275">
        <f>IFERROR(__xludf.DUMMYFUNCTION("""COMPUTED_VALUE"""),9844.0)</f>
        <v>9844</v>
      </c>
      <c r="K952" s="275">
        <f>IFERROR(__xludf.DUMMYFUNCTION("""COMPUTED_VALUE"""),5203.0)</f>
        <v>5203</v>
      </c>
      <c r="L952" s="276">
        <f>IFERROR(__xludf.DUMMYFUNCTION("""COMPUTED_VALUE"""),0.528)</f>
        <v>0.528</v>
      </c>
      <c r="M952" s="275">
        <f>IFERROR(__xludf.DUMMYFUNCTION("""COMPUTED_VALUE"""),1872.0)</f>
        <v>1872</v>
      </c>
      <c r="N952" s="276">
        <f>IFERROR(__xludf.DUMMYFUNCTION("""COMPUTED_VALUE"""),0.3553)</f>
        <v>0.3553</v>
      </c>
      <c r="O952" s="208">
        <f>IFERROR(__xludf.DUMMYFUNCTION("""COMPUTED_VALUE"""),152.0)</f>
        <v>152</v>
      </c>
      <c r="P952" s="208">
        <f>IFERROR(__xludf.DUMMYFUNCTION("""COMPUTED_VALUE"""),141.0)</f>
        <v>141</v>
      </c>
      <c r="Q952" s="276">
        <f>IFERROR(__xludf.DUMMYFUNCTION("""COMPUTED_VALUE"""),0.0271)</f>
        <v>0.0271</v>
      </c>
      <c r="R952" s="276">
        <f>IFERROR(__xludf.DUMMYFUNCTION("""COMPUTED_VALUE"""),0.0763)</f>
        <v>0.0763</v>
      </c>
      <c r="S952" s="208">
        <f>IFERROR(__xludf.DUMMYFUNCTION("""COMPUTED_VALUE"""),3.0)</f>
        <v>3</v>
      </c>
      <c r="T952" s="208">
        <f>IFERROR(__xludf.DUMMYFUNCTION("""COMPUTED_VALUE"""),8.0)</f>
        <v>8</v>
      </c>
      <c r="U952" s="275">
        <f>IFERROR(__xludf.DUMMYFUNCTION("""COMPUTED_VALUE"""),12211.0)</f>
        <v>12211</v>
      </c>
      <c r="V952" s="234" t="str">
        <f>IFERROR(__xludf.DUMMYFUNCTION("""COMPUTED_VALUE"""),"online")</f>
        <v>online</v>
      </c>
      <c r="W952" s="232" t="str">
        <f>IFERROR(__xludf.DUMMYFUNCTION("""COMPUTED_VALUE"""),"simple")</f>
        <v>simple</v>
      </c>
      <c r="X952" s="232" t="str">
        <f>IFERROR(__xludf.DUMMYFUNCTION("""COMPUTED_VALUE"""),"Predom Cart Value")</f>
        <v>Predom Cart Value</v>
      </c>
      <c r="Y952" s="232" t="str">
        <f>IFERROR(__xludf.DUMMYFUNCTION("""COMPUTED_VALUE"""),"19-21 June")</f>
        <v>19-21 June</v>
      </c>
      <c r="Z952" s="232" t="str">
        <f>IFERROR(__xludf.DUMMYFUNCTION("""COMPUTED_VALUE"""),"6a329a0a5e0a80a09d44c147")</f>
        <v>6a329a0a5e0a80a09d44c147</v>
      </c>
      <c r="AA952" s="277">
        <f>IFERROR(__xludf.DUMMYFUNCTION("""COMPUTED_VALUE"""),22.0)</f>
        <v>22</v>
      </c>
      <c r="AB952" s="277">
        <f>IFERROR(__xludf.DUMMYFUNCTION("""COMPUTED_VALUE"""),22.0)</f>
        <v>22</v>
      </c>
      <c r="AC952" s="277"/>
      <c r="AD952" s="277">
        <f>IFERROR(__xludf.DUMMYFUNCTION("""COMPUTED_VALUE"""),38930.0)</f>
        <v>38930</v>
      </c>
      <c r="AE952" s="277">
        <f>IFERROR(__xludf.DUMMYFUNCTION("""COMPUTED_VALUE"""),38930.0)</f>
        <v>38930</v>
      </c>
      <c r="AF952" s="277"/>
      <c r="AG952" s="208"/>
      <c r="AH952" s="208"/>
      <c r="AI952" s="208"/>
      <c r="AJ952" s="208"/>
      <c r="AK952" s="208"/>
    </row>
    <row r="953" hidden="1">
      <c r="A953" s="288">
        <f>IFERROR(__xludf.DUMMYFUNCTION("""COMPUTED_VALUE"""),46192.0)</f>
        <v>46192</v>
      </c>
      <c r="B953" s="274">
        <f>IFERROR(__xludf.DUMMYFUNCTION("""COMPUTED_VALUE"""),0.4583333333321207)</f>
        <v>0.4583333333</v>
      </c>
      <c r="C953" s="208" t="str">
        <f>IFERROR(__xludf.DUMMYFUNCTION("""COMPUTED_VALUE"""),"Whatsapp")</f>
        <v>Whatsapp</v>
      </c>
      <c r="D953" s="208" t="str">
        <f>IFERROR(__xludf.DUMMYFUNCTION("""COMPUTED_VALUE"""),"Promotional")</f>
        <v>Promotional</v>
      </c>
      <c r="E953" s="208" t="str">
        <f>IFERROR(__xludf.DUMMYFUNCTION("""COMPUTED_VALUE"""),"BBW")</f>
        <v>BBW</v>
      </c>
      <c r="F953" s="208" t="str">
        <f>IFERROR(__xludf.DUMMYFUNCTION("""COMPUTED_VALUE"""),"SAS - June 2026")</f>
        <v>SAS - June 2026</v>
      </c>
      <c r="G953" s="208" t="str">
        <f>IFERROR(__xludf.DUMMYFUNCTION("""COMPUTED_VALUE"""),"bbw_wa_sas_cat_hs_19june_event_online")</f>
        <v>bbw_wa_sas_cat_hs_19june_event_online</v>
      </c>
      <c r="H953" s="232" t="str">
        <f>IFERROR(__xludf.DUMMYFUNCTION("""COMPUTED_VALUE"""),"BBW_ON_HS_Event_Buyers")</f>
        <v>BBW_ON_HS_Event_Buyers</v>
      </c>
      <c r="I953" s="233" t="str">
        <f>IFERROR(__xludf.DUMMYFUNCTION("""COMPUTED_VALUE"""),"Online Customer who have purchased from past handsoap events (30 may - 1 june, 20-21 aug, 14-16 oct, 5-7 nov)")</f>
        <v>Online Customer who have purchased from past handsoap events (30 may - 1 june, 20-21 aug, 14-16 oct, 5-7 nov)</v>
      </c>
      <c r="J953" s="275">
        <f>IFERROR(__xludf.DUMMYFUNCTION("""COMPUTED_VALUE"""),2142.0)</f>
        <v>2142</v>
      </c>
      <c r="K953" s="275">
        <f>IFERROR(__xludf.DUMMYFUNCTION("""COMPUTED_VALUE"""),1023.0)</f>
        <v>1023</v>
      </c>
      <c r="L953" s="276">
        <f>IFERROR(__xludf.DUMMYFUNCTION("""COMPUTED_VALUE"""),0.4767)</f>
        <v>0.4767</v>
      </c>
      <c r="M953" s="275">
        <f>IFERROR(__xludf.DUMMYFUNCTION("""COMPUTED_VALUE"""),328.0)</f>
        <v>328</v>
      </c>
      <c r="N953" s="276">
        <f>IFERROR(__xludf.DUMMYFUNCTION("""COMPUTED_VALUE"""),0.3173)</f>
        <v>0.3173</v>
      </c>
      <c r="O953" s="208">
        <f>IFERROR(__xludf.DUMMYFUNCTION("""COMPUTED_VALUE"""),20.0)</f>
        <v>20</v>
      </c>
      <c r="P953" s="208">
        <f>IFERROR(__xludf.DUMMYFUNCTION("""COMPUTED_VALUE"""),19.0)</f>
        <v>19</v>
      </c>
      <c r="Q953" s="276">
        <f>IFERROR(__xludf.DUMMYFUNCTION("""COMPUTED_VALUE"""),0.0186)</f>
        <v>0.0186</v>
      </c>
      <c r="R953" s="276">
        <f>IFERROR(__xludf.DUMMYFUNCTION("""COMPUTED_VALUE"""),0.0586)</f>
        <v>0.0586</v>
      </c>
      <c r="S953" s="208">
        <f>IFERROR(__xludf.DUMMYFUNCTION("""COMPUTED_VALUE"""),1.0)</f>
        <v>1</v>
      </c>
      <c r="T953" s="208">
        <f>IFERROR(__xludf.DUMMYFUNCTION("""COMPUTED_VALUE"""),2.0)</f>
        <v>2</v>
      </c>
      <c r="U953" s="275">
        <f>IFERROR(__xludf.DUMMYFUNCTION("""COMPUTED_VALUE"""),3316.0)</f>
        <v>3316</v>
      </c>
      <c r="V953" s="234" t="str">
        <f>IFERROR(__xludf.DUMMYFUNCTION("""COMPUTED_VALUE"""),"online")</f>
        <v>online</v>
      </c>
      <c r="W953" s="232" t="str">
        <f>IFERROR(__xludf.DUMMYFUNCTION("""COMPUTED_VALUE"""),"simple")</f>
        <v>simple</v>
      </c>
      <c r="X953" s="232" t="str">
        <f>IFERROR(__xludf.DUMMYFUNCTION("""COMPUTED_VALUE"""),"Event Buyers")</f>
        <v>Event Buyers</v>
      </c>
      <c r="Y953" s="232" t="str">
        <f>IFERROR(__xludf.DUMMYFUNCTION("""COMPUTED_VALUE"""),"19-21 June")</f>
        <v>19-21 June</v>
      </c>
      <c r="Z953" s="232" t="str">
        <f>IFERROR(__xludf.DUMMYFUNCTION("""COMPUTED_VALUE"""),"6a329a4d86617edf689eb6dd")</f>
        <v>6a329a4d86617edf689eb6dd</v>
      </c>
      <c r="AA953" s="277">
        <f>IFERROR(__xludf.DUMMYFUNCTION("""COMPUTED_VALUE"""),6.0)</f>
        <v>6</v>
      </c>
      <c r="AB953" s="277">
        <f>IFERROR(__xludf.DUMMYFUNCTION("""COMPUTED_VALUE"""),6.0)</f>
        <v>6</v>
      </c>
      <c r="AC953" s="277"/>
      <c r="AD953" s="277">
        <f>IFERROR(__xludf.DUMMYFUNCTION("""COMPUTED_VALUE"""),15877.0)</f>
        <v>15877</v>
      </c>
      <c r="AE953" s="277">
        <f>IFERROR(__xludf.DUMMYFUNCTION("""COMPUTED_VALUE"""),15877.0)</f>
        <v>15877</v>
      </c>
      <c r="AF953" s="277"/>
      <c r="AG953" s="208"/>
      <c r="AH953" s="208"/>
      <c r="AI953" s="208"/>
      <c r="AJ953" s="208"/>
      <c r="AK953" s="208"/>
    </row>
    <row r="954" hidden="1">
      <c r="A954" s="288">
        <f>IFERROR(__xludf.DUMMYFUNCTION("""COMPUTED_VALUE"""),46192.0)</f>
        <v>46192</v>
      </c>
      <c r="B954" s="274">
        <f>IFERROR(__xludf.DUMMYFUNCTION("""COMPUTED_VALUE"""),0.4583333333321207)</f>
        <v>0.4583333333</v>
      </c>
      <c r="C954" s="208" t="str">
        <f>IFERROR(__xludf.DUMMYFUNCTION("""COMPUTED_VALUE"""),"Whatsapp")</f>
        <v>Whatsapp</v>
      </c>
      <c r="D954" s="208" t="str">
        <f>IFERROR(__xludf.DUMMYFUNCTION("""COMPUTED_VALUE"""),"Promotional")</f>
        <v>Promotional</v>
      </c>
      <c r="E954" s="208" t="str">
        <f>IFERROR(__xludf.DUMMYFUNCTION("""COMPUTED_VALUE"""),"BBW")</f>
        <v>BBW</v>
      </c>
      <c r="F954" s="208" t="str">
        <f>IFERROR(__xludf.DUMMYFUNCTION("""COMPUTED_VALUE"""),"SAS - June 2026")</f>
        <v>SAS - June 2026</v>
      </c>
      <c r="G954" s="208" t="str">
        <f>IFERROR(__xludf.DUMMYFUNCTION("""COMPUTED_VALUE"""),"bbw_wa_sas_cat_candles_19june_offline")</f>
        <v>bbw_wa_sas_cat_candles_19june_offline</v>
      </c>
      <c r="H954" s="232" t="str">
        <f>IFERROR(__xludf.DUMMYFUNCTION("""COMPUTED_VALUE"""),"BBW_Candle_365D_OFF")</f>
        <v>BBW_Candle_365D_OFF</v>
      </c>
      <c r="I954" s="233" t="str">
        <f>IFERROR(__xludf.DUMMYFUNCTION("""COMPUTED_VALUE"""),"Offline Purchased at least 1 time in the last 365D")</f>
        <v>Offline Purchased at least 1 time in the last 365D</v>
      </c>
      <c r="J954" s="275">
        <f>IFERROR(__xludf.DUMMYFUNCTION("""COMPUTED_VALUE"""),21798.0)</f>
        <v>21798</v>
      </c>
      <c r="K954" s="275">
        <f>IFERROR(__xludf.DUMMYFUNCTION("""COMPUTED_VALUE"""),9931.0)</f>
        <v>9931</v>
      </c>
      <c r="L954" s="276">
        <f>IFERROR(__xludf.DUMMYFUNCTION("""COMPUTED_VALUE"""),0.4555)</f>
        <v>0.4555</v>
      </c>
      <c r="M954" s="275">
        <f>IFERROR(__xludf.DUMMYFUNCTION("""COMPUTED_VALUE"""),2755.0)</f>
        <v>2755</v>
      </c>
      <c r="N954" s="276">
        <f>IFERROR(__xludf.DUMMYFUNCTION("""COMPUTED_VALUE"""),0.2742)</f>
        <v>0.2742</v>
      </c>
      <c r="O954" s="208">
        <f>IFERROR(__xludf.DUMMYFUNCTION("""COMPUTED_VALUE"""),308.0)</f>
        <v>308</v>
      </c>
      <c r="P954" s="208">
        <f>IFERROR(__xludf.DUMMYFUNCTION("""COMPUTED_VALUE"""),277.0)</f>
        <v>277</v>
      </c>
      <c r="Q954" s="276">
        <f>IFERROR(__xludf.DUMMYFUNCTION("""COMPUTED_VALUE"""),0.0279)</f>
        <v>0.0279</v>
      </c>
      <c r="R954" s="276">
        <f>IFERROR(__xludf.DUMMYFUNCTION("""COMPUTED_VALUE"""),0.1018)</f>
        <v>0.1018</v>
      </c>
      <c r="S954" s="208">
        <f>IFERROR(__xludf.DUMMYFUNCTION("""COMPUTED_VALUE"""),6.0)</f>
        <v>6</v>
      </c>
      <c r="T954" s="208">
        <f>IFERROR(__xludf.DUMMYFUNCTION("""COMPUTED_VALUE"""),13.0)</f>
        <v>13</v>
      </c>
      <c r="U954" s="275">
        <f>IFERROR(__xludf.DUMMYFUNCTION("""COMPUTED_VALUE"""),29161.0)</f>
        <v>29161</v>
      </c>
      <c r="V954" s="234" t="str">
        <f>IFERROR(__xludf.DUMMYFUNCTION("""COMPUTED_VALUE"""),"offline")</f>
        <v>offline</v>
      </c>
      <c r="W954" s="232" t="str">
        <f>IFERROR(__xludf.DUMMYFUNCTION("""COMPUTED_VALUE"""),"simple")</f>
        <v>simple</v>
      </c>
      <c r="X954" s="232" t="str">
        <f>IFERROR(__xludf.DUMMYFUNCTION("""COMPUTED_VALUE"""),"Candle")</f>
        <v>Candle</v>
      </c>
      <c r="Y954" s="232" t="str">
        <f>IFERROR(__xludf.DUMMYFUNCTION("""COMPUTED_VALUE"""),"19-21 June")</f>
        <v>19-21 June</v>
      </c>
      <c r="Z954" s="232" t="str">
        <f>IFERROR(__xludf.DUMMYFUNCTION("""COMPUTED_VALUE"""),"6a329b1e679458a8121fbfe9")</f>
        <v>6a329b1e679458a8121fbfe9</v>
      </c>
      <c r="AA954" s="277">
        <f>IFERROR(__xludf.DUMMYFUNCTION("""COMPUTED_VALUE"""),76.0)</f>
        <v>76</v>
      </c>
      <c r="AB954" s="277"/>
      <c r="AC954" s="277">
        <f>IFERROR(__xludf.DUMMYFUNCTION("""COMPUTED_VALUE"""),76.0)</f>
        <v>76</v>
      </c>
      <c r="AD954" s="277">
        <f>IFERROR(__xludf.DUMMYFUNCTION("""COMPUTED_VALUE"""),347149.0)</f>
        <v>347149</v>
      </c>
      <c r="AE954" s="277"/>
      <c r="AF954" s="277">
        <f>IFERROR(__xludf.DUMMYFUNCTION("""COMPUTED_VALUE"""),347149.0)</f>
        <v>347149</v>
      </c>
      <c r="AG954" s="208"/>
      <c r="AH954" s="208"/>
      <c r="AI954" s="208"/>
      <c r="AJ954" s="208"/>
      <c r="AK954" s="208"/>
    </row>
    <row r="955" hidden="1">
      <c r="A955" s="288">
        <f>IFERROR(__xludf.DUMMYFUNCTION("""COMPUTED_VALUE"""),46193.0)</f>
        <v>46193</v>
      </c>
      <c r="B955" s="274">
        <f>IFERROR(__xludf.DUMMYFUNCTION("""COMPUTED_VALUE"""),0.4583333333321207)</f>
        <v>0.4583333333</v>
      </c>
      <c r="C955" s="208" t="str">
        <f>IFERROR(__xludf.DUMMYFUNCTION("""COMPUTED_VALUE"""),"Whatsapp")</f>
        <v>Whatsapp</v>
      </c>
      <c r="D955" s="208" t="str">
        <f>IFERROR(__xludf.DUMMYFUNCTION("""COMPUTED_VALUE"""),"Promotional")</f>
        <v>Promotional</v>
      </c>
      <c r="E955" s="208" t="str">
        <f>IFERROR(__xludf.DUMMYFUNCTION("""COMPUTED_VALUE"""),"BBW")</f>
        <v>BBW</v>
      </c>
      <c r="F955" s="208" t="str">
        <f>IFERROR(__xludf.DUMMYFUNCTION("""COMPUTED_VALUE"""),"SAS - June 2026")</f>
        <v>SAS - June 2026</v>
      </c>
      <c r="G955" s="208" t="str">
        <f>IFERROR(__xludf.DUMMYFUNCTION("""COMPUTED_VALUE"""),"bbw_wa_sas_cat_bodycare_20june_atc_online")</f>
        <v>bbw_wa_sas_cat_bodycare_20june_atc_online</v>
      </c>
      <c r="H955" s="232" t="str">
        <f>IFERROR(__xludf.DUMMYFUNCTION("""COMPUTED_VALUE"""),"ATC_View_NoPr_BodyCare_On")</f>
        <v>ATC_View_NoPr_BodyCare_On</v>
      </c>
      <c r="I955" s="233" t="str">
        <f>IFERROR(__xludf.DUMMYFUNCTION("""COMPUTED_VALUE"""),"Customers who have added to cart but not purchased from L2: BodyCare at least 1 time in the last 60 days OR Customers who have viewed item but not purchased from L2: BodyCare at least 1 time in the last 30 days")</f>
        <v>Customers who have added to cart but not purchased from L2: BodyCare at least 1 time in the last 60 days OR Customers who have viewed item but not purchased from L2: BodyCare at least 1 time in the last 30 days</v>
      </c>
      <c r="J955" s="275">
        <f>IFERROR(__xludf.DUMMYFUNCTION("""COMPUTED_VALUE"""),8460.0)</f>
        <v>8460</v>
      </c>
      <c r="K955" s="275">
        <f>IFERROR(__xludf.DUMMYFUNCTION("""COMPUTED_VALUE"""),3939.0)</f>
        <v>3939</v>
      </c>
      <c r="L955" s="276">
        <f>IFERROR(__xludf.DUMMYFUNCTION("""COMPUTED_VALUE"""),0.5016)</f>
        <v>0.5016</v>
      </c>
      <c r="M955" s="275">
        <f>IFERROR(__xludf.DUMMYFUNCTION("""COMPUTED_VALUE"""),1755.0)</f>
        <v>1755</v>
      </c>
      <c r="N955" s="276">
        <f>IFERROR(__xludf.DUMMYFUNCTION("""COMPUTED_VALUE"""),0.4386)</f>
        <v>0.4386</v>
      </c>
      <c r="O955" s="208">
        <f>IFERROR(__xludf.DUMMYFUNCTION("""COMPUTED_VALUE"""),282.0)</f>
        <v>282</v>
      </c>
      <c r="P955" s="208">
        <f>IFERROR(__xludf.DUMMYFUNCTION("""COMPUTED_VALUE"""),254.0)</f>
        <v>254</v>
      </c>
      <c r="Q955" s="276">
        <f>IFERROR(__xludf.DUMMYFUNCTION("""COMPUTED_VALUE"""),0.0646)</f>
        <v>0.0646</v>
      </c>
      <c r="R955" s="276">
        <f>IFERROR(__xludf.DUMMYFUNCTION("""COMPUTED_VALUE"""),0.1472)</f>
        <v>0.1472</v>
      </c>
      <c r="S955" s="208">
        <f>IFERROR(__xludf.DUMMYFUNCTION("""COMPUTED_VALUE"""),22.0)</f>
        <v>22</v>
      </c>
      <c r="T955" s="208">
        <f>IFERROR(__xludf.DUMMYFUNCTION("""COMPUTED_VALUE"""),90.0)</f>
        <v>90</v>
      </c>
      <c r="U955" s="275">
        <f>IFERROR(__xludf.DUMMYFUNCTION("""COMPUTED_VALUE"""),41216.0)</f>
        <v>41216</v>
      </c>
      <c r="V955" s="234" t="str">
        <f>IFERROR(__xludf.DUMMYFUNCTION("""COMPUTED_VALUE"""),"online")</f>
        <v>online</v>
      </c>
      <c r="W955" s="232" t="str">
        <f>IFERROR(__xludf.DUMMYFUNCTION("""COMPUTED_VALUE"""),"carousel")</f>
        <v>carousel</v>
      </c>
      <c r="X955" s="232" t="str">
        <f>IFERROR(__xludf.DUMMYFUNCTION("""COMPUTED_VALUE"""),"Add to Cart/View Item")</f>
        <v>Add to Cart/View Item</v>
      </c>
      <c r="Y955" s="232" t="str">
        <f>IFERROR(__xludf.DUMMYFUNCTION("""COMPUTED_VALUE"""),"20-22 June")</f>
        <v>20-22 June</v>
      </c>
      <c r="Z955" s="232" t="str">
        <f>IFERROR(__xludf.DUMMYFUNCTION("""COMPUTED_VALUE"""),"6a338353ad96f891dbebf32e")</f>
        <v>6a338353ad96f891dbebf32e</v>
      </c>
      <c r="AA955" s="277">
        <f>IFERROR(__xludf.DUMMYFUNCTION("""COMPUTED_VALUE"""),44.0)</f>
        <v>44</v>
      </c>
      <c r="AB955" s="277">
        <f>IFERROR(__xludf.DUMMYFUNCTION("""COMPUTED_VALUE"""),44.0)</f>
        <v>44</v>
      </c>
      <c r="AC955" s="277"/>
      <c r="AD955" s="277">
        <f>IFERROR(__xludf.DUMMYFUNCTION("""COMPUTED_VALUE"""),90102.0)</f>
        <v>90102</v>
      </c>
      <c r="AE955" s="277">
        <f>IFERROR(__xludf.DUMMYFUNCTION("""COMPUTED_VALUE"""),90102.0)</f>
        <v>90102</v>
      </c>
      <c r="AF955" s="277"/>
      <c r="AG955" s="208"/>
      <c r="AH955" s="208"/>
      <c r="AI955" s="208"/>
      <c r="AJ955" s="208"/>
      <c r="AK955" s="208"/>
    </row>
    <row r="956" hidden="1">
      <c r="A956" s="288">
        <f>IFERROR(__xludf.DUMMYFUNCTION("""COMPUTED_VALUE"""),46193.0)</f>
        <v>46193</v>
      </c>
      <c r="B956" s="274">
        <f>IFERROR(__xludf.DUMMYFUNCTION("""COMPUTED_VALUE"""),0.4583333333321207)</f>
        <v>0.4583333333</v>
      </c>
      <c r="C956" s="208" t="str">
        <f>IFERROR(__xludf.DUMMYFUNCTION("""COMPUTED_VALUE"""),"Whatsapp")</f>
        <v>Whatsapp</v>
      </c>
      <c r="D956" s="208" t="str">
        <f>IFERROR(__xludf.DUMMYFUNCTION("""COMPUTED_VALUE"""),"Promotional")</f>
        <v>Promotional</v>
      </c>
      <c r="E956" s="208" t="str">
        <f>IFERROR(__xludf.DUMMYFUNCTION("""COMPUTED_VALUE"""),"BBW")</f>
        <v>BBW</v>
      </c>
      <c r="F956" s="208" t="str">
        <f>IFERROR(__xludf.DUMMYFUNCTION("""COMPUTED_VALUE"""),"SAS - June 2026")</f>
        <v>SAS - June 2026</v>
      </c>
      <c r="G956" s="208" t="str">
        <f>IFERROR(__xludf.DUMMYFUNCTION("""COMPUTED_VALUE"""),"bbw_wa_sas_cat_bodycare_20june_repeat_online")</f>
        <v>bbw_wa_sas_cat_bodycare_20june_repeat_online</v>
      </c>
      <c r="H956" s="232" t="str">
        <f>IFERROR(__xludf.DUMMYFUNCTION("""COMPUTED_VALUE"""),"BodyCare_Repeat_180D_ON")</f>
        <v>BodyCare_Repeat_180D_ON</v>
      </c>
      <c r="I956" s="233" t="str">
        <f>IFERROR(__xludf.DUMMYFUNCTION("""COMPUTED_VALUE"""),"Online customers who have purchased L2: BodyCare at least 1 times in the last 180 days")</f>
        <v>Online customers who have purchased L2: BodyCare at least 1 times in the last 180 days</v>
      </c>
      <c r="J956" s="275">
        <f>IFERROR(__xludf.DUMMYFUNCTION("""COMPUTED_VALUE"""),27557.0)</f>
        <v>27557</v>
      </c>
      <c r="K956" s="275">
        <f>IFERROR(__xludf.DUMMYFUNCTION("""COMPUTED_VALUE"""),10885.0)</f>
        <v>10885</v>
      </c>
      <c r="L956" s="276">
        <f>IFERROR(__xludf.DUMMYFUNCTION("""COMPUTED_VALUE"""),0.4243)</f>
        <v>0.4243</v>
      </c>
      <c r="M956" s="275">
        <f>IFERROR(__xludf.DUMMYFUNCTION("""COMPUTED_VALUE"""),4503.0)</f>
        <v>4503</v>
      </c>
      <c r="N956" s="276">
        <f>IFERROR(__xludf.DUMMYFUNCTION("""COMPUTED_VALUE"""),0.4059)</f>
        <v>0.4059</v>
      </c>
      <c r="O956" s="208">
        <f>IFERROR(__xludf.DUMMYFUNCTION("""COMPUTED_VALUE"""),661.0)</f>
        <v>661</v>
      </c>
      <c r="P956" s="208">
        <f>IFERROR(__xludf.DUMMYFUNCTION("""COMPUTED_VALUE"""),595.0)</f>
        <v>595</v>
      </c>
      <c r="Q956" s="276">
        <f>IFERROR(__xludf.DUMMYFUNCTION("""COMPUTED_VALUE"""),0.0548)</f>
        <v>0.0548</v>
      </c>
      <c r="R956" s="276">
        <f>IFERROR(__xludf.DUMMYFUNCTION("""COMPUTED_VALUE"""),0.135)</f>
        <v>0.135</v>
      </c>
      <c r="S956" s="208">
        <f>IFERROR(__xludf.DUMMYFUNCTION("""COMPUTED_VALUE"""),12.0)</f>
        <v>12</v>
      </c>
      <c r="T956" s="208">
        <f>IFERROR(__xludf.DUMMYFUNCTION("""COMPUTED_VALUE"""),28.0)</f>
        <v>28</v>
      </c>
      <c r="U956" s="275">
        <f>IFERROR(__xludf.DUMMYFUNCTION("""COMPUTED_VALUE"""),23648.0)</f>
        <v>23648</v>
      </c>
      <c r="V956" s="234" t="str">
        <f>IFERROR(__xludf.DUMMYFUNCTION("""COMPUTED_VALUE"""),"online")</f>
        <v>online</v>
      </c>
      <c r="W956" s="232" t="str">
        <f>IFERROR(__xludf.DUMMYFUNCTION("""COMPUTED_VALUE"""),"carousel")</f>
        <v>carousel</v>
      </c>
      <c r="X956" s="232" t="str">
        <f>IFERROR(__xludf.DUMMYFUNCTION("""COMPUTED_VALUE"""),"Repeat - Body Care")</f>
        <v>Repeat - Body Care</v>
      </c>
      <c r="Y956" s="232" t="str">
        <f>IFERROR(__xludf.DUMMYFUNCTION("""COMPUTED_VALUE"""),"20-22 June")</f>
        <v>20-22 June</v>
      </c>
      <c r="Z956" s="232" t="str">
        <f>IFERROR(__xludf.DUMMYFUNCTION("""COMPUTED_VALUE"""),"6a3383ca5e0a80a09d44d032")</f>
        <v>6a3383ca5e0a80a09d44d032</v>
      </c>
      <c r="AA956" s="277">
        <f>IFERROR(__xludf.DUMMYFUNCTION("""COMPUTED_VALUE"""),79.0)</f>
        <v>79</v>
      </c>
      <c r="AB956" s="277">
        <f>IFERROR(__xludf.DUMMYFUNCTION("""COMPUTED_VALUE"""),79.0)</f>
        <v>79</v>
      </c>
      <c r="AC956" s="277"/>
      <c r="AD956" s="277">
        <f>IFERROR(__xludf.DUMMYFUNCTION("""COMPUTED_VALUE"""),186733.0)</f>
        <v>186733</v>
      </c>
      <c r="AE956" s="277">
        <f>IFERROR(__xludf.DUMMYFUNCTION("""COMPUTED_VALUE"""),186733.0)</f>
        <v>186733</v>
      </c>
      <c r="AF956" s="277"/>
      <c r="AG956" s="208"/>
      <c r="AH956" s="208"/>
      <c r="AI956" s="208"/>
      <c r="AJ956" s="208"/>
      <c r="AK956" s="208"/>
    </row>
    <row r="957" hidden="1">
      <c r="A957" s="288">
        <f>IFERROR(__xludf.DUMMYFUNCTION("""COMPUTED_VALUE"""),46193.0)</f>
        <v>46193</v>
      </c>
      <c r="B957" s="274">
        <f>IFERROR(__xludf.DUMMYFUNCTION("""COMPUTED_VALUE"""),0.4583333333321207)</f>
        <v>0.4583333333</v>
      </c>
      <c r="C957" s="208" t="str">
        <f>IFERROR(__xludf.DUMMYFUNCTION("""COMPUTED_VALUE"""),"Whatsapp")</f>
        <v>Whatsapp</v>
      </c>
      <c r="D957" s="208" t="str">
        <f>IFERROR(__xludf.DUMMYFUNCTION("""COMPUTED_VALUE"""),"Promotional")</f>
        <v>Promotional</v>
      </c>
      <c r="E957" s="208" t="str">
        <f>IFERROR(__xludf.DUMMYFUNCTION("""COMPUTED_VALUE"""),"BBW")</f>
        <v>BBW</v>
      </c>
      <c r="F957" s="208" t="str">
        <f>IFERROR(__xludf.DUMMYFUNCTION("""COMPUTED_VALUE"""),"SAS - June 2026")</f>
        <v>SAS - June 2026</v>
      </c>
      <c r="G957" s="208" t="str">
        <f>IFERROR(__xludf.DUMMYFUNCTION("""COMPUTED_VALUE"""),"bbw_wa_sas_cat_bodycare_20june_event&amp;dormant_online")</f>
        <v>bbw_wa_sas_cat_bodycare_20june_event&amp;dormant_online</v>
      </c>
      <c r="H957" s="232" t="str">
        <f>IFERROR(__xludf.DUMMYFUNCTION("""COMPUTED_VALUE"""),"BC_EventBuyers+Dormant_ON")</f>
        <v>BC_EventBuyers+Dormant_ON</v>
      </c>
      <c r="I957" s="233" t="str">
        <f>IFERROR(__xludf.DUMMYFUNCTION("""COMPUTED_VALUE"""),"Online customers who have purchased at least 1 time from L2: BodyCare in between Oct 2 - Oct 5, 2025; Oct 16 - Oct 27, 2025; Jan 09- Jan 18, 2026; Feb 26 - Mar 3, 2026; Mar 27 - Mar 29, 2026; May 7 - May 12, 2026 OR Online customers who have purchased atl"&amp;"east 1 time from L2: BodyCare in between the last 90-365 Days")</f>
        <v>Online customers who have purchased at least 1 time from L2: BodyCare in between Oct 2 - Oct 5, 2025; Oct 16 - Oct 27, 2025; Jan 09- Jan 18, 2026; Feb 26 - Mar 3, 2026; Mar 27 - Mar 29, 2026; May 7 - May 12, 2026 OR Online customers who have purchased atleast 1 time from L2: BodyCare in between the last 90-365 Days</v>
      </c>
      <c r="J957" s="275">
        <f>IFERROR(__xludf.DUMMYFUNCTION("""COMPUTED_VALUE"""),36996.0)</f>
        <v>36996</v>
      </c>
      <c r="K957" s="275">
        <f>IFERROR(__xludf.DUMMYFUNCTION("""COMPUTED_VALUE"""),15435.0)</f>
        <v>15435</v>
      </c>
      <c r="L957" s="276">
        <f>IFERROR(__xludf.DUMMYFUNCTION("""COMPUTED_VALUE"""),0.4212)</f>
        <v>0.4212</v>
      </c>
      <c r="M957" s="275">
        <f>IFERROR(__xludf.DUMMYFUNCTION("""COMPUTED_VALUE"""),5521.0)</f>
        <v>5521</v>
      </c>
      <c r="N957" s="276">
        <f>IFERROR(__xludf.DUMMYFUNCTION("""COMPUTED_VALUE"""),0.3538)</f>
        <v>0.3538</v>
      </c>
      <c r="O957" s="208">
        <f>IFERROR(__xludf.DUMMYFUNCTION("""COMPUTED_VALUE"""),603.0)</f>
        <v>603</v>
      </c>
      <c r="P957" s="208">
        <f>IFERROR(__xludf.DUMMYFUNCTION("""COMPUTED_VALUE"""),554.0)</f>
        <v>554</v>
      </c>
      <c r="Q957" s="276">
        <f>IFERROR(__xludf.DUMMYFUNCTION("""COMPUTED_VALUE"""),0.036)</f>
        <v>0.036</v>
      </c>
      <c r="R957" s="276">
        <f>IFERROR(__xludf.DUMMYFUNCTION("""COMPUTED_VALUE"""),0.1016)</f>
        <v>0.1016</v>
      </c>
      <c r="S957" s="208">
        <f>IFERROR(__xludf.DUMMYFUNCTION("""COMPUTED_VALUE"""),6.0)</f>
        <v>6</v>
      </c>
      <c r="T957" s="208">
        <f>IFERROR(__xludf.DUMMYFUNCTION("""COMPUTED_VALUE"""),21.0)</f>
        <v>21</v>
      </c>
      <c r="U957" s="275">
        <f>IFERROR(__xludf.DUMMYFUNCTION("""COMPUTED_VALUE"""),26596.0)</f>
        <v>26596</v>
      </c>
      <c r="V957" s="234" t="str">
        <f>IFERROR(__xludf.DUMMYFUNCTION("""COMPUTED_VALUE"""),"online")</f>
        <v>online</v>
      </c>
      <c r="W957" s="232" t="str">
        <f>IFERROR(__xludf.DUMMYFUNCTION("""COMPUTED_VALUE"""),"carousel")</f>
        <v>carousel</v>
      </c>
      <c r="X957" s="232" t="str">
        <f>IFERROR(__xludf.DUMMYFUNCTION("""COMPUTED_VALUE"""),"Event Buyers")</f>
        <v>Event Buyers</v>
      </c>
      <c r="Y957" s="232" t="str">
        <f>IFERROR(__xludf.DUMMYFUNCTION("""COMPUTED_VALUE"""),"20-22 June")</f>
        <v>20-22 June</v>
      </c>
      <c r="Z957" s="232" t="str">
        <f>IFERROR(__xludf.DUMMYFUNCTION("""COMPUTED_VALUE"""),"6a3384288a75c8131ff1a582")</f>
        <v>6a3384288a75c8131ff1a582</v>
      </c>
      <c r="AA957" s="277">
        <f>IFERROR(__xludf.DUMMYFUNCTION("""COMPUTED_VALUE"""),56.0)</f>
        <v>56</v>
      </c>
      <c r="AB957" s="277">
        <f>IFERROR(__xludf.DUMMYFUNCTION("""COMPUTED_VALUE"""),56.0)</f>
        <v>56</v>
      </c>
      <c r="AC957" s="277"/>
      <c r="AD957" s="277">
        <f>IFERROR(__xludf.DUMMYFUNCTION("""COMPUTED_VALUE"""),170593.0)</f>
        <v>170593</v>
      </c>
      <c r="AE957" s="277">
        <f>IFERROR(__xludf.DUMMYFUNCTION("""COMPUTED_VALUE"""),170593.0)</f>
        <v>170593</v>
      </c>
      <c r="AF957" s="277"/>
      <c r="AG957" s="208"/>
      <c r="AH957" s="208"/>
      <c r="AI957" s="208"/>
      <c r="AJ957" s="208"/>
      <c r="AK957" s="208"/>
    </row>
    <row r="958" hidden="1">
      <c r="A958" s="288">
        <f>IFERROR(__xludf.DUMMYFUNCTION("""COMPUTED_VALUE"""),46194.0)</f>
        <v>46194</v>
      </c>
      <c r="B958" s="274">
        <f>IFERROR(__xludf.DUMMYFUNCTION("""COMPUTED_VALUE"""),0.4791666666678793)</f>
        <v>0.4791666667</v>
      </c>
      <c r="C958" s="208" t="str">
        <f>IFERROR(__xludf.DUMMYFUNCTION("""COMPUTED_VALUE"""),"Whatsapp")</f>
        <v>Whatsapp</v>
      </c>
      <c r="D958" s="208" t="str">
        <f>IFERROR(__xludf.DUMMYFUNCTION("""COMPUTED_VALUE"""),"Promotional")</f>
        <v>Promotional</v>
      </c>
      <c r="E958" s="208" t="str">
        <f>IFERROR(__xludf.DUMMYFUNCTION("""COMPUTED_VALUE"""),"BBW")</f>
        <v>BBW</v>
      </c>
      <c r="F958" s="208" t="str">
        <f>IFERROR(__xludf.DUMMYFUNCTION("""COMPUTED_VALUE"""),"SAS - June 2026")</f>
        <v>SAS - June 2026</v>
      </c>
      <c r="G958" s="208" t="str">
        <f>IFERROR(__xludf.DUMMYFUNCTION("""COMPUTED_VALUE"""),"bbw_wa_sas_cat_bodycare_21june_repeat_offline")</f>
        <v>bbw_wa_sas_cat_bodycare_21june_repeat_offline</v>
      </c>
      <c r="H958" s="232" t="str">
        <f>IFERROR(__xludf.DUMMYFUNCTION("""COMPUTED_VALUE"""),"BodyCare_Repeat_180D_OFF")</f>
        <v>BodyCare_Repeat_180D_OFF</v>
      </c>
      <c r="I958" s="233" t="str">
        <f>IFERROR(__xludf.DUMMYFUNCTION("""COMPUTED_VALUE"""),"Offline customers who have purchased L2: BodyCare at least 1 times in the last 180 days")</f>
        <v>Offline customers who have purchased L2: BodyCare at least 1 times in the last 180 days</v>
      </c>
      <c r="J958" s="275">
        <f>IFERROR(__xludf.DUMMYFUNCTION("""COMPUTED_VALUE"""),111639.0)</f>
        <v>111639</v>
      </c>
      <c r="K958" s="275">
        <f>IFERROR(__xludf.DUMMYFUNCTION("""COMPUTED_VALUE"""),45021.0)</f>
        <v>45021</v>
      </c>
      <c r="L958" s="276">
        <f>IFERROR(__xludf.DUMMYFUNCTION("""COMPUTED_VALUE"""),0.4029)</f>
        <v>0.4029</v>
      </c>
      <c r="M958" s="275">
        <f>IFERROR(__xludf.DUMMYFUNCTION("""COMPUTED_VALUE"""),16508.0)</f>
        <v>16508</v>
      </c>
      <c r="N958" s="276">
        <f>IFERROR(__xludf.DUMMYFUNCTION("""COMPUTED_VALUE"""),0.3624)</f>
        <v>0.3624</v>
      </c>
      <c r="O958" s="208">
        <f>IFERROR(__xludf.DUMMYFUNCTION("""COMPUTED_VALUE"""),1214.0)</f>
        <v>1214</v>
      </c>
      <c r="P958" s="208">
        <f>IFERROR(__xludf.DUMMYFUNCTION("""COMPUTED_VALUE"""),1134.0)</f>
        <v>1134</v>
      </c>
      <c r="Q958" s="276">
        <f>IFERROR(__xludf.DUMMYFUNCTION("""COMPUTED_VALUE"""),0.0254)</f>
        <v>0.0254</v>
      </c>
      <c r="R958" s="276">
        <f>IFERROR(__xludf.DUMMYFUNCTION("""COMPUTED_VALUE"""),0.0701)</f>
        <v>0.0701</v>
      </c>
      <c r="S958" s="208">
        <f>IFERROR(__xludf.DUMMYFUNCTION("""COMPUTED_VALUE"""),10.0)</f>
        <v>10</v>
      </c>
      <c r="T958" s="208">
        <f>IFERROR(__xludf.DUMMYFUNCTION("""COMPUTED_VALUE"""),15.0)</f>
        <v>15</v>
      </c>
      <c r="U958" s="275">
        <f>IFERROR(__xludf.DUMMYFUNCTION("""COMPUTED_VALUE"""),22675.0)</f>
        <v>22675</v>
      </c>
      <c r="V958" s="234" t="str">
        <f>IFERROR(__xludf.DUMMYFUNCTION("""COMPUTED_VALUE"""),"offline")</f>
        <v>offline</v>
      </c>
      <c r="W958" s="232" t="str">
        <f>IFERROR(__xludf.DUMMYFUNCTION("""COMPUTED_VALUE"""),"carousel")</f>
        <v>carousel</v>
      </c>
      <c r="X958" s="232" t="str">
        <f>IFERROR(__xludf.DUMMYFUNCTION("""COMPUTED_VALUE"""),"Repeat - Body Care")</f>
        <v>Repeat - Body Care</v>
      </c>
      <c r="Y958" s="232" t="str">
        <f>IFERROR(__xludf.DUMMYFUNCTION("""COMPUTED_VALUE"""),"21-23 June")</f>
        <v>21-23 June</v>
      </c>
      <c r="Z958" s="232" t="str">
        <f>IFERROR(__xludf.DUMMYFUNCTION("""COMPUTED_VALUE"""),"6a33855fb4055e8ed486d98e")</f>
        <v>6a33855fb4055e8ed486d98e</v>
      </c>
      <c r="AA958" s="277">
        <f>IFERROR(__xludf.DUMMYFUNCTION("""COMPUTED_VALUE"""),320.0)</f>
        <v>320</v>
      </c>
      <c r="AB958" s="277"/>
      <c r="AC958" s="277">
        <f>IFERROR(__xludf.DUMMYFUNCTION("""COMPUTED_VALUE"""),320.0)</f>
        <v>320</v>
      </c>
      <c r="AD958" s="277">
        <f>IFERROR(__xludf.DUMMYFUNCTION("""COMPUTED_VALUE"""),1420839.0)</f>
        <v>1420839</v>
      </c>
      <c r="AE958" s="277"/>
      <c r="AF958" s="277">
        <f>IFERROR(__xludf.DUMMYFUNCTION("""COMPUTED_VALUE"""),1420839.0)</f>
        <v>1420839</v>
      </c>
      <c r="AG958" s="208"/>
      <c r="AH958" s="208"/>
      <c r="AI958" s="208"/>
      <c r="AJ958" s="208"/>
      <c r="AK958" s="208"/>
    </row>
    <row r="959" hidden="1">
      <c r="A959" s="288">
        <f>IFERROR(__xludf.DUMMYFUNCTION("""COMPUTED_VALUE"""),46194.0)</f>
        <v>46194</v>
      </c>
      <c r="B959" s="274">
        <f>IFERROR(__xludf.DUMMYFUNCTION("""COMPUTED_VALUE"""),0.4791666666678793)</f>
        <v>0.4791666667</v>
      </c>
      <c r="C959" s="208" t="str">
        <f>IFERROR(__xludf.DUMMYFUNCTION("""COMPUTED_VALUE"""),"Whatsapp")</f>
        <v>Whatsapp</v>
      </c>
      <c r="D959" s="208" t="str">
        <f>IFERROR(__xludf.DUMMYFUNCTION("""COMPUTED_VALUE"""),"Promotional")</f>
        <v>Promotional</v>
      </c>
      <c r="E959" s="208" t="str">
        <f>IFERROR(__xludf.DUMMYFUNCTION("""COMPUTED_VALUE"""),"BBW")</f>
        <v>BBW</v>
      </c>
      <c r="F959" s="208" t="str">
        <f>IFERROR(__xludf.DUMMYFUNCTION("""COMPUTED_VALUE"""),"SAS - June 2026")</f>
        <v>SAS - June 2026</v>
      </c>
      <c r="G959" s="208" t="str">
        <f>IFERROR(__xludf.DUMMYFUNCTION("""COMPUTED_VALUE"""),"bbw_wa_sas_cat_bodycare_21june_aov_offline")</f>
        <v>bbw_wa_sas_cat_bodycare_21june_aov_offline</v>
      </c>
      <c r="H959" s="232" t="str">
        <f>IFERROR(__xludf.DUMMYFUNCTION("""COMPUTED_VALUE"""),"BodyCare_AOV_1000_OFF")</f>
        <v>BodyCare_AOV_1000_OFF</v>
      </c>
      <c r="I959" s="233" t="str">
        <f>IFERROR(__xludf.DUMMYFUNCTION("""COMPUTED_VALUE"""),"Offline customers who have purchased from L2: BodyCare at least 1 time with aggregation: average Order Net Value: ₹999 in the last 180 days")</f>
        <v>Offline customers who have purchased from L2: BodyCare at least 1 time with aggregation: average Order Net Value: ₹999 in the last 180 days</v>
      </c>
      <c r="J959" s="275">
        <f>IFERROR(__xludf.DUMMYFUNCTION("""COMPUTED_VALUE"""),110.0)</f>
        <v>110</v>
      </c>
      <c r="K959" s="275">
        <f>IFERROR(__xludf.DUMMYFUNCTION("""COMPUTED_VALUE"""),48.0)</f>
        <v>48</v>
      </c>
      <c r="L959" s="276">
        <f>IFERROR(__xludf.DUMMYFUNCTION("""COMPUTED_VALUE"""),0.4364)</f>
        <v>0.4364</v>
      </c>
      <c r="M959" s="275">
        <f>IFERROR(__xludf.DUMMYFUNCTION("""COMPUTED_VALUE"""),21.0)</f>
        <v>21</v>
      </c>
      <c r="N959" s="276">
        <f>IFERROR(__xludf.DUMMYFUNCTION("""COMPUTED_VALUE"""),0.4375)</f>
        <v>0.4375</v>
      </c>
      <c r="O959" s="208">
        <f>IFERROR(__xludf.DUMMYFUNCTION("""COMPUTED_VALUE"""),1.0)</f>
        <v>1</v>
      </c>
      <c r="P959" s="208">
        <f>IFERROR(__xludf.DUMMYFUNCTION("""COMPUTED_VALUE"""),1.0)</f>
        <v>1</v>
      </c>
      <c r="Q959" s="276">
        <f>IFERROR(__xludf.DUMMYFUNCTION("""COMPUTED_VALUE"""),0.0208)</f>
        <v>0.0208</v>
      </c>
      <c r="R959" s="276">
        <f>IFERROR(__xludf.DUMMYFUNCTION("""COMPUTED_VALUE"""),0.0476)</f>
        <v>0.0476</v>
      </c>
      <c r="S959" s="208">
        <f>IFERROR(__xludf.DUMMYFUNCTION("""COMPUTED_VALUE"""),0.0)</f>
        <v>0</v>
      </c>
      <c r="T959" s="208">
        <f>IFERROR(__xludf.DUMMYFUNCTION("""COMPUTED_VALUE"""),0.0)</f>
        <v>0</v>
      </c>
      <c r="U959" s="275">
        <f>IFERROR(__xludf.DUMMYFUNCTION("""COMPUTED_VALUE"""),0.0)</f>
        <v>0</v>
      </c>
      <c r="V959" s="234" t="str">
        <f>IFERROR(__xludf.DUMMYFUNCTION("""COMPUTED_VALUE"""),"offline")</f>
        <v>offline</v>
      </c>
      <c r="W959" s="232" t="str">
        <f>IFERROR(__xludf.DUMMYFUNCTION("""COMPUTED_VALUE"""),"carousel")</f>
        <v>carousel</v>
      </c>
      <c r="X959" s="232" t="str">
        <f>IFERROR(__xludf.DUMMYFUNCTION("""COMPUTED_VALUE"""),"Cat Buyer - Body Care + Cart Value")</f>
        <v>Cat Buyer - Body Care + Cart Value</v>
      </c>
      <c r="Y959" s="232" t="str">
        <f>IFERROR(__xludf.DUMMYFUNCTION("""COMPUTED_VALUE"""),"21-23 June")</f>
        <v>21-23 June</v>
      </c>
      <c r="Z959" s="232" t="str">
        <f>IFERROR(__xludf.DUMMYFUNCTION("""COMPUTED_VALUE"""),"6a3386e72d9bf891e25aecc0")</f>
        <v>6a3386e72d9bf891e25aecc0</v>
      </c>
      <c r="AA959" s="277">
        <f>IFERROR(__xludf.DUMMYFUNCTION("""COMPUTED_VALUE"""),1.0)</f>
        <v>1</v>
      </c>
      <c r="AB959" s="277"/>
      <c r="AC959" s="277">
        <f>IFERROR(__xludf.DUMMYFUNCTION("""COMPUTED_VALUE"""),1.0)</f>
        <v>1</v>
      </c>
      <c r="AD959" s="277">
        <f>IFERROR(__xludf.DUMMYFUNCTION("""COMPUTED_VALUE"""),23684.0)</f>
        <v>23684</v>
      </c>
      <c r="AE959" s="277"/>
      <c r="AF959" s="277">
        <f>IFERROR(__xludf.DUMMYFUNCTION("""COMPUTED_VALUE"""),23684.0)</f>
        <v>23684</v>
      </c>
      <c r="AG959" s="208"/>
      <c r="AH959" s="208"/>
      <c r="AI959" s="208"/>
      <c r="AJ959" s="208"/>
      <c r="AK959" s="208"/>
    </row>
    <row r="960" hidden="1">
      <c r="A960" s="288">
        <f>IFERROR(__xludf.DUMMYFUNCTION("""COMPUTED_VALUE"""),46194.0)</f>
        <v>46194</v>
      </c>
      <c r="B960" s="274">
        <f>IFERROR(__xludf.DUMMYFUNCTION("""COMPUTED_VALUE"""),0.4791666666678793)</f>
        <v>0.4791666667</v>
      </c>
      <c r="C960" s="208" t="str">
        <f>IFERROR(__xludf.DUMMYFUNCTION("""COMPUTED_VALUE"""),"Whatsapp")</f>
        <v>Whatsapp</v>
      </c>
      <c r="D960" s="208" t="str">
        <f>IFERROR(__xludf.DUMMYFUNCTION("""COMPUTED_VALUE"""),"Promotional")</f>
        <v>Promotional</v>
      </c>
      <c r="E960" s="208" t="str">
        <f>IFERROR(__xludf.DUMMYFUNCTION("""COMPUTED_VALUE"""),"BBW")</f>
        <v>BBW</v>
      </c>
      <c r="F960" s="208" t="str">
        <f>IFERROR(__xludf.DUMMYFUNCTION("""COMPUTED_VALUE"""),"SAS - June 2026")</f>
        <v>SAS - June 2026</v>
      </c>
      <c r="G960" s="208" t="str">
        <f>IFERROR(__xludf.DUMMYFUNCTION("""COMPUTED_VALUE"""),"bbw_wa_sas_cat_bodycare_21june_event_offline")</f>
        <v>bbw_wa_sas_cat_bodycare_21june_event_offline</v>
      </c>
      <c r="H960" s="232" t="str">
        <f>IFERROR(__xludf.DUMMYFUNCTION("""COMPUTED_VALUE"""),"BC_EventBuyers_OFF")</f>
        <v>BC_EventBuyers_OFF</v>
      </c>
      <c r="I960" s="233" t="str">
        <f>IFERROR(__xludf.DUMMYFUNCTION("""COMPUTED_VALUE"""),"Offline customers who have purchased at least 1 time from L2: BodyCare in between Oct 2 - Oct 5, 2025; Oct 16 - Oct 27, 2025; Jan 09- Jan 18, 2026; Feb 26 - Mar 3, 2026; Mar 27 - Mar 29, 2026; May 7 - May 12, 2026")</f>
        <v>Offline customers who have purchased at least 1 time from L2: BodyCare in between Oct 2 - Oct 5, 2025; Oct 16 - Oct 27, 2025; Jan 09- Jan 18, 2026; Feb 26 - Mar 3, 2026; Mar 27 - Mar 29, 2026; May 7 - May 12, 2026</v>
      </c>
      <c r="J960" s="275">
        <f>IFERROR(__xludf.DUMMYFUNCTION("""COMPUTED_VALUE"""),12504.0)</f>
        <v>12504</v>
      </c>
      <c r="K960" s="275">
        <f>IFERROR(__xludf.DUMMYFUNCTION("""COMPUTED_VALUE"""),4680.0)</f>
        <v>4680</v>
      </c>
      <c r="L960" s="276">
        <f>IFERROR(__xludf.DUMMYFUNCTION("""COMPUTED_VALUE"""),0.3746)</f>
        <v>0.3746</v>
      </c>
      <c r="M960" s="275">
        <f>IFERROR(__xludf.DUMMYFUNCTION("""COMPUTED_VALUE"""),1570.0)</f>
        <v>1570</v>
      </c>
      <c r="N960" s="276">
        <f>IFERROR(__xludf.DUMMYFUNCTION("""COMPUTED_VALUE"""),0.3318)</f>
        <v>0.3318</v>
      </c>
      <c r="O960" s="208">
        <f>IFERROR(__xludf.DUMMYFUNCTION("""COMPUTED_VALUE"""),78.0)</f>
        <v>78</v>
      </c>
      <c r="P960" s="208">
        <f>IFERROR(__xludf.DUMMYFUNCTION("""COMPUTED_VALUE"""),74.0)</f>
        <v>74</v>
      </c>
      <c r="Q960" s="276">
        <f>IFERROR(__xludf.DUMMYFUNCTION("""COMPUTED_VALUE"""),0.0159)</f>
        <v>0.0159</v>
      </c>
      <c r="R960" s="276">
        <f>IFERROR(__xludf.DUMMYFUNCTION("""COMPUTED_VALUE"""),0.048)</f>
        <v>0.048</v>
      </c>
      <c r="S960" s="208">
        <f>IFERROR(__xludf.DUMMYFUNCTION("""COMPUTED_VALUE"""),0.0)</f>
        <v>0</v>
      </c>
      <c r="T960" s="208">
        <f>IFERROR(__xludf.DUMMYFUNCTION("""COMPUTED_VALUE"""),1.0)</f>
        <v>1</v>
      </c>
      <c r="U960" s="275">
        <f>IFERROR(__xludf.DUMMYFUNCTION("""COMPUTED_VALUE"""),0.0)</f>
        <v>0</v>
      </c>
      <c r="V960" s="234" t="str">
        <f>IFERROR(__xludf.DUMMYFUNCTION("""COMPUTED_VALUE"""),"offline")</f>
        <v>offline</v>
      </c>
      <c r="W960" s="232" t="str">
        <f>IFERROR(__xludf.DUMMYFUNCTION("""COMPUTED_VALUE"""),"carousel")</f>
        <v>carousel</v>
      </c>
      <c r="X960" s="232" t="str">
        <f>IFERROR(__xludf.DUMMYFUNCTION("""COMPUTED_VALUE"""),"Event Buyers")</f>
        <v>Event Buyers</v>
      </c>
      <c r="Y960" s="232" t="str">
        <f>IFERROR(__xludf.DUMMYFUNCTION("""COMPUTED_VALUE"""),"21-23 June")</f>
        <v>21-23 June</v>
      </c>
      <c r="Z960" s="232" t="str">
        <f>IFERROR(__xludf.DUMMYFUNCTION("""COMPUTED_VALUE"""),"6a3387848963da0eba79d349")</f>
        <v>6a3387848963da0eba79d349</v>
      </c>
      <c r="AA960" s="277">
        <f>IFERROR(__xludf.DUMMYFUNCTION("""COMPUTED_VALUE"""),29.0)</f>
        <v>29</v>
      </c>
      <c r="AB960" s="277"/>
      <c r="AC960" s="277">
        <f>IFERROR(__xludf.DUMMYFUNCTION("""COMPUTED_VALUE"""),29.0)</f>
        <v>29</v>
      </c>
      <c r="AD960" s="277">
        <f>IFERROR(__xludf.DUMMYFUNCTION("""COMPUTED_VALUE"""),98284.0)</f>
        <v>98284</v>
      </c>
      <c r="AE960" s="277"/>
      <c r="AF960" s="277">
        <f>IFERROR(__xludf.DUMMYFUNCTION("""COMPUTED_VALUE"""),98284.0)</f>
        <v>98284</v>
      </c>
      <c r="AG960" s="208"/>
      <c r="AH960" s="208"/>
      <c r="AI960" s="208"/>
      <c r="AJ960" s="208"/>
      <c r="AK960" s="208"/>
    </row>
    <row r="961" hidden="1">
      <c r="A961" s="288">
        <f>IFERROR(__xludf.DUMMYFUNCTION("""COMPUTED_VALUE"""),46194.0)</f>
        <v>46194</v>
      </c>
      <c r="B961" s="274">
        <f>IFERROR(__xludf.DUMMYFUNCTION("""COMPUTED_VALUE"""),0.4791666666678793)</f>
        <v>0.4791666667</v>
      </c>
      <c r="C961" s="208" t="str">
        <f>IFERROR(__xludf.DUMMYFUNCTION("""COMPUTED_VALUE"""),"Whatsapp")</f>
        <v>Whatsapp</v>
      </c>
      <c r="D961" s="208" t="str">
        <f>IFERROR(__xludf.DUMMYFUNCTION("""COMPUTED_VALUE"""),"Promotional")</f>
        <v>Promotional</v>
      </c>
      <c r="E961" s="208" t="str">
        <f>IFERROR(__xludf.DUMMYFUNCTION("""COMPUTED_VALUE"""),"BBW")</f>
        <v>BBW</v>
      </c>
      <c r="F961" s="208" t="str">
        <f>IFERROR(__xludf.DUMMYFUNCTION("""COMPUTED_VALUE"""),"SAS - June 2026")</f>
        <v>SAS - June 2026</v>
      </c>
      <c r="G961" s="208" t="str">
        <f>IFERROR(__xludf.DUMMYFUNCTION("""COMPUTED_VALUE"""),"bbw_wa_sas_cat_bodycare_21june_dormant_offline")</f>
        <v>bbw_wa_sas_cat_bodycare_21june_dormant_offline</v>
      </c>
      <c r="H961" s="232" t="str">
        <f>IFERROR(__xludf.DUMMYFUNCTION("""COMPUTED_VALUE"""),"BC_Dormant_1Y_OFF")</f>
        <v>BC_Dormant_1Y_OFF</v>
      </c>
      <c r="I961" s="233" t="str">
        <f>IFERROR(__xludf.DUMMYFUNCTION("""COMPUTED_VALUE"""),"Offline customers who have purchased atleast 1 times from L2: BodyCare in between the last 90-365 Days")</f>
        <v>Offline customers who have purchased atleast 1 times from L2: BodyCare in between the last 90-365 Days</v>
      </c>
      <c r="J961" s="275">
        <f>IFERROR(__xludf.DUMMYFUNCTION("""COMPUTED_VALUE"""),111619.0)</f>
        <v>111619</v>
      </c>
      <c r="K961" s="275">
        <f>IFERROR(__xludf.DUMMYFUNCTION("""COMPUTED_VALUE"""),41299.0)</f>
        <v>41299</v>
      </c>
      <c r="L961" s="276">
        <f>IFERROR(__xludf.DUMMYFUNCTION("""COMPUTED_VALUE"""),0.3719)</f>
        <v>0.3719</v>
      </c>
      <c r="M961" s="275">
        <f>IFERROR(__xludf.DUMMYFUNCTION("""COMPUTED_VALUE"""),13264.0)</f>
        <v>13264</v>
      </c>
      <c r="N961" s="276">
        <f>IFERROR(__xludf.DUMMYFUNCTION("""COMPUTED_VALUE"""),0.3172)</f>
        <v>0.3172</v>
      </c>
      <c r="O961" s="208">
        <f>IFERROR(__xludf.DUMMYFUNCTION("""COMPUTED_VALUE"""),795.0)</f>
        <v>795</v>
      </c>
      <c r="P961" s="208">
        <f>IFERROR(__xludf.DUMMYFUNCTION("""COMPUTED_VALUE"""),760.0)</f>
        <v>760</v>
      </c>
      <c r="Q961" s="276">
        <f>IFERROR(__xludf.DUMMYFUNCTION("""COMPUTED_VALUE"""),0.0186)</f>
        <v>0.0186</v>
      </c>
      <c r="R961" s="276">
        <f>IFERROR(__xludf.DUMMYFUNCTION("""COMPUTED_VALUE"""),0.0586)</f>
        <v>0.0586</v>
      </c>
      <c r="S961" s="208">
        <f>IFERROR(__xludf.DUMMYFUNCTION("""COMPUTED_VALUE"""),5.0)</f>
        <v>5</v>
      </c>
      <c r="T961" s="208">
        <f>IFERROR(__xludf.DUMMYFUNCTION("""COMPUTED_VALUE"""),9.0)</f>
        <v>9</v>
      </c>
      <c r="U961" s="275">
        <f>IFERROR(__xludf.DUMMYFUNCTION("""COMPUTED_VALUE"""),12437.0)</f>
        <v>12437</v>
      </c>
      <c r="V961" s="234" t="str">
        <f>IFERROR(__xludf.DUMMYFUNCTION("""COMPUTED_VALUE"""),"offline")</f>
        <v>offline</v>
      </c>
      <c r="W961" s="232" t="str">
        <f>IFERROR(__xludf.DUMMYFUNCTION("""COMPUTED_VALUE"""),"carousel")</f>
        <v>carousel</v>
      </c>
      <c r="X961" s="232" t="str">
        <f>IFERROR(__xludf.DUMMYFUNCTION("""COMPUTED_VALUE"""),"Dormant - Body Care")</f>
        <v>Dormant - Body Care</v>
      </c>
      <c r="Y961" s="232" t="str">
        <f>IFERROR(__xludf.DUMMYFUNCTION("""COMPUTED_VALUE"""),"21-23 June")</f>
        <v>21-23 June</v>
      </c>
      <c r="Z961" s="232" t="str">
        <f>IFERROR(__xludf.DUMMYFUNCTION("""COMPUTED_VALUE"""),"6a3387e997042c4e8f0f452b")</f>
        <v>6a3387e997042c4e8f0f452b</v>
      </c>
      <c r="AA961" s="277">
        <f>IFERROR(__xludf.DUMMYFUNCTION("""COMPUTED_VALUE"""),229.0)</f>
        <v>229</v>
      </c>
      <c r="AB961" s="277"/>
      <c r="AC961" s="277">
        <f>IFERROR(__xludf.DUMMYFUNCTION("""COMPUTED_VALUE"""),229.0)</f>
        <v>229</v>
      </c>
      <c r="AD961" s="277">
        <f>IFERROR(__xludf.DUMMYFUNCTION("""COMPUTED_VALUE"""),810935.0)</f>
        <v>810935</v>
      </c>
      <c r="AE961" s="277"/>
      <c r="AF961" s="277">
        <f>IFERROR(__xludf.DUMMYFUNCTION("""COMPUTED_VALUE"""),810935.0)</f>
        <v>810935</v>
      </c>
      <c r="AG961" s="208"/>
      <c r="AH961" s="208"/>
      <c r="AI961" s="208"/>
      <c r="AJ961" s="208"/>
      <c r="AK961" s="208"/>
    </row>
    <row r="962" hidden="1">
      <c r="A962" s="288">
        <f>IFERROR(__xludf.DUMMYFUNCTION("""COMPUTED_VALUE"""),46194.0)</f>
        <v>46194</v>
      </c>
      <c r="B962" s="274">
        <f>IFERROR(__xludf.DUMMYFUNCTION("""COMPUTED_VALUE"""),0.4791666666678793)</f>
        <v>0.4791666667</v>
      </c>
      <c r="C962" s="208" t="str">
        <f>IFERROR(__xludf.DUMMYFUNCTION("""COMPUTED_VALUE"""),"Whatsapp")</f>
        <v>Whatsapp</v>
      </c>
      <c r="D962" s="208" t="str">
        <f>IFERROR(__xludf.DUMMYFUNCTION("""COMPUTED_VALUE"""),"Promotional")</f>
        <v>Promotional</v>
      </c>
      <c r="E962" s="208" t="str">
        <f>IFERROR(__xludf.DUMMYFUNCTION("""COMPUTED_VALUE"""),"BBW")</f>
        <v>BBW</v>
      </c>
      <c r="F962" s="208" t="str">
        <f>IFERROR(__xludf.DUMMYFUNCTION("""COMPUTED_VALUE"""),"SAS - June 2026")</f>
        <v>SAS - June 2026</v>
      </c>
      <c r="G962" s="208" t="str">
        <f>IFERROR(__xludf.DUMMYFUNCTION("""COMPUTED_VALUE"""),"bbw_wa_sas_cat_bodycare_21june_discbuyers_offline")</f>
        <v>bbw_wa_sas_cat_bodycare_21june_discbuyers_offline</v>
      </c>
      <c r="H962" s="232" t="str">
        <f>IFERROR(__xludf.DUMMYFUNCTION("""COMPUTED_VALUE"""),"BC_Disc_Buyers_OFF")</f>
        <v>BC_Disc_Buyers_OFF</v>
      </c>
      <c r="I962" s="233" t="str">
        <f>IFERROR(__xludf.DUMMYFUNCTION("""COMPUTED_VALUE"""),"Offline customers who have purchased at least 1 time from L2: BodyCare with discount exists in the last 120 days excluding last 30 day disc buyers")</f>
        <v>Offline customers who have purchased at least 1 time from L2: BodyCare with discount exists in the last 120 days excluding last 30 day disc buyers</v>
      </c>
      <c r="J962" s="275">
        <f>IFERROR(__xludf.DUMMYFUNCTION("""COMPUTED_VALUE"""),31565.0)</f>
        <v>31565</v>
      </c>
      <c r="K962" s="275">
        <f>IFERROR(__xludf.DUMMYFUNCTION("""COMPUTED_VALUE"""),10124.0)</f>
        <v>10124</v>
      </c>
      <c r="L962" s="276">
        <f>IFERROR(__xludf.DUMMYFUNCTION("""COMPUTED_VALUE"""),0.3201)</f>
        <v>0.3201</v>
      </c>
      <c r="M962" s="275">
        <f>IFERROR(__xludf.DUMMYFUNCTION("""COMPUTED_VALUE"""),3540.0)</f>
        <v>3540</v>
      </c>
      <c r="N962" s="276">
        <f>IFERROR(__xludf.DUMMYFUNCTION("""COMPUTED_VALUE"""),0.3455)</f>
        <v>0.3455</v>
      </c>
      <c r="O962" s="208">
        <f>IFERROR(__xludf.DUMMYFUNCTION("""COMPUTED_VALUE"""),262.0)</f>
        <v>262</v>
      </c>
      <c r="P962" s="208">
        <f>IFERROR(__xludf.DUMMYFUNCTION("""COMPUTED_VALUE"""),249.0)</f>
        <v>249</v>
      </c>
      <c r="Q962" s="276">
        <f>IFERROR(__xludf.DUMMYFUNCTION("""COMPUTED_VALUE"""),0.0247)</f>
        <v>0.0247</v>
      </c>
      <c r="R962" s="276">
        <f>IFERROR(__xludf.DUMMYFUNCTION("""COMPUTED_VALUE"""),0.0716)</f>
        <v>0.0716</v>
      </c>
      <c r="S962" s="208">
        <f>IFERROR(__xludf.DUMMYFUNCTION("""COMPUTED_VALUE"""),1.0)</f>
        <v>1</v>
      </c>
      <c r="T962" s="208">
        <f>IFERROR(__xludf.DUMMYFUNCTION("""COMPUTED_VALUE"""),3.0)</f>
        <v>3</v>
      </c>
      <c r="U962" s="275">
        <f>IFERROR(__xludf.DUMMYFUNCTION("""COMPUTED_VALUE"""),4138.0)</f>
        <v>4138</v>
      </c>
      <c r="V962" s="234" t="str">
        <f>IFERROR(__xludf.DUMMYFUNCTION("""COMPUTED_VALUE"""),"offline")</f>
        <v>offline</v>
      </c>
      <c r="W962" s="232" t="str">
        <f>IFERROR(__xludf.DUMMYFUNCTION("""COMPUTED_VALUE"""),"carousel")</f>
        <v>carousel</v>
      </c>
      <c r="X962" s="232" t="str">
        <f>IFERROR(__xludf.DUMMYFUNCTION("""COMPUTED_VALUE"""),"Discount Buyers")</f>
        <v>Discount Buyers</v>
      </c>
      <c r="Y962" s="232" t="str">
        <f>IFERROR(__xludf.DUMMYFUNCTION("""COMPUTED_VALUE"""),"21-23 June")</f>
        <v>21-23 June</v>
      </c>
      <c r="Z962" s="232" t="str">
        <f>IFERROR(__xludf.DUMMYFUNCTION("""COMPUTED_VALUE"""),"6a3389902d9bf891e25aee0d")</f>
        <v>6a3389902d9bf891e25aee0d</v>
      </c>
      <c r="AA962" s="277">
        <f>IFERROR(__xludf.DUMMYFUNCTION("""COMPUTED_VALUE"""),35.0)</f>
        <v>35</v>
      </c>
      <c r="AB962" s="277"/>
      <c r="AC962" s="277">
        <f>IFERROR(__xludf.DUMMYFUNCTION("""COMPUTED_VALUE"""),35.0)</f>
        <v>35</v>
      </c>
      <c r="AD962" s="277">
        <f>IFERROR(__xludf.DUMMYFUNCTION("""COMPUTED_VALUE"""),173285.0)</f>
        <v>173285</v>
      </c>
      <c r="AE962" s="277"/>
      <c r="AF962" s="277">
        <f>IFERROR(__xludf.DUMMYFUNCTION("""COMPUTED_VALUE"""),173285.0)</f>
        <v>173285</v>
      </c>
      <c r="AG962" s="208"/>
      <c r="AH962" s="208"/>
      <c r="AI962" s="208"/>
      <c r="AJ962" s="208"/>
      <c r="AK962" s="208"/>
    </row>
    <row r="963" hidden="1">
      <c r="A963" s="288">
        <f>IFERROR(__xludf.DUMMYFUNCTION("""COMPUTED_VALUE"""),46192.0)</f>
        <v>46192</v>
      </c>
      <c r="B963" s="274">
        <f>IFERROR(__xludf.DUMMYFUNCTION("""COMPUTED_VALUE"""),0.5111111111109494)</f>
        <v>0.5111111111</v>
      </c>
      <c r="C963" s="208" t="str">
        <f>IFERROR(__xludf.DUMMYFUNCTION("""COMPUTED_VALUE"""),"Whatsapp")</f>
        <v>Whatsapp</v>
      </c>
      <c r="D963" s="208" t="str">
        <f>IFERROR(__xludf.DUMMYFUNCTION("""COMPUTED_VALUE"""),"Promotional")</f>
        <v>Promotional</v>
      </c>
      <c r="E963" s="208" t="str">
        <f>IFERROR(__xludf.DUMMYFUNCTION("""COMPUTED_VALUE"""),"BBW")</f>
        <v>BBW</v>
      </c>
      <c r="F963" s="208" t="str">
        <f>IFERROR(__xludf.DUMMYFUNCTION("""COMPUTED_VALUE"""),"SAS - June 2026")</f>
        <v>SAS - June 2026</v>
      </c>
      <c r="G963" s="208" t="str">
        <f>IFERROR(__xludf.DUMMYFUNCTION("""COMPUTED_VALUE"""),"bbw_wa_sas_cat_hs_19june_atc_online V1")</f>
        <v>bbw_wa_sas_cat_hs_19june_atc_online V1</v>
      </c>
      <c r="H963" s="232" t="str">
        <f>IFERROR(__xludf.DUMMYFUNCTION("""COMPUTED_VALUE"""),"BBW_ON_ATC_HS_HC_Value_999")</f>
        <v>BBW_ON_ATC_HS_HC_Value_999</v>
      </c>
      <c r="I963" s="233" t="str">
        <f>IFERROR(__xludf.DUMMYFUNCTION("""COMPUTED_VALUE"""),"Customers who have added to cart at least 1 times in the last 30 days from L2: Hand Soaps or L3: Hand Creams or Cart Value &lt;999")</f>
        <v>Customers who have added to cart at least 1 times in the last 30 days from L2: Hand Soaps or L3: Hand Creams or Cart Value &lt;999</v>
      </c>
      <c r="J963" s="275">
        <f>IFERROR(__xludf.DUMMYFUNCTION("""COMPUTED_VALUE"""),2798.0)</f>
        <v>2798</v>
      </c>
      <c r="K963" s="275">
        <f>IFERROR(__xludf.DUMMYFUNCTION("""COMPUTED_VALUE"""),1394.0)</f>
        <v>1394</v>
      </c>
      <c r="L963" s="276">
        <f>IFERROR(__xludf.DUMMYFUNCTION("""COMPUTED_VALUE"""),0.4964)</f>
        <v>0.4964</v>
      </c>
      <c r="M963" s="275">
        <f>IFERROR(__xludf.DUMMYFUNCTION("""COMPUTED_VALUE"""),692.0)</f>
        <v>692</v>
      </c>
      <c r="N963" s="276">
        <f>IFERROR(__xludf.DUMMYFUNCTION("""COMPUTED_VALUE"""),0.4924)</f>
        <v>0.4924</v>
      </c>
      <c r="O963" s="208">
        <f>IFERROR(__xludf.DUMMYFUNCTION("""COMPUTED_VALUE"""),104.0)</f>
        <v>104</v>
      </c>
      <c r="P963" s="208">
        <f>IFERROR(__xludf.DUMMYFUNCTION("""COMPUTED_VALUE"""),93.0)</f>
        <v>93</v>
      </c>
      <c r="Q963" s="276">
        <f>IFERROR(__xludf.DUMMYFUNCTION("""COMPUTED_VALUE"""),0.067)</f>
        <v>0.067</v>
      </c>
      <c r="R963" s="276">
        <f>IFERROR(__xludf.DUMMYFUNCTION("""COMPUTED_VALUE"""),0.136)</f>
        <v>0.136</v>
      </c>
      <c r="S963" s="208">
        <f>IFERROR(__xludf.DUMMYFUNCTION("""COMPUTED_VALUE"""),17.0)</f>
        <v>17</v>
      </c>
      <c r="T963" s="208">
        <f>IFERROR(__xludf.DUMMYFUNCTION("""COMPUTED_VALUE"""),94.0)</f>
        <v>94</v>
      </c>
      <c r="U963" s="275">
        <f>IFERROR(__xludf.DUMMYFUNCTION("""COMPUTED_VALUE"""),42137.0)</f>
        <v>42137</v>
      </c>
      <c r="V963" s="234" t="str">
        <f>IFERROR(__xludf.DUMMYFUNCTION("""COMPUTED_VALUE"""),"online")</f>
        <v>online</v>
      </c>
      <c r="W963" s="232" t="str">
        <f>IFERROR(__xludf.DUMMYFUNCTION("""COMPUTED_VALUE"""),"simple")</f>
        <v>simple</v>
      </c>
      <c r="X963" s="232" t="str">
        <f>IFERROR(__xludf.DUMMYFUNCTION("""COMPUTED_VALUE"""),"Add to Cart")</f>
        <v>Add to Cart</v>
      </c>
      <c r="Y963" s="232" t="str">
        <f>IFERROR(__xludf.DUMMYFUNCTION("""COMPUTED_VALUE"""),"19-21 June")</f>
        <v>19-21 June</v>
      </c>
      <c r="Z963" s="232" t="str">
        <f>IFERROR(__xludf.DUMMYFUNCTION("""COMPUTED_VALUE"""),"6a34e5b523de42f12157d923")</f>
        <v>6a34e5b523de42f12157d923</v>
      </c>
      <c r="AA963" s="277">
        <f>IFERROR(__xludf.DUMMYFUNCTION("""COMPUTED_VALUE"""),32.0)</f>
        <v>32</v>
      </c>
      <c r="AB963" s="277">
        <f>IFERROR(__xludf.DUMMYFUNCTION("""COMPUTED_VALUE"""),32.0)</f>
        <v>32</v>
      </c>
      <c r="AC963" s="277"/>
      <c r="AD963" s="277">
        <f>IFERROR(__xludf.DUMMYFUNCTION("""COMPUTED_VALUE"""),68785.0)</f>
        <v>68785</v>
      </c>
      <c r="AE963" s="277">
        <f>IFERROR(__xludf.DUMMYFUNCTION("""COMPUTED_VALUE"""),68785.0)</f>
        <v>68785</v>
      </c>
      <c r="AF963" s="277"/>
      <c r="AG963" s="208"/>
      <c r="AH963" s="208"/>
      <c r="AI963" s="208"/>
      <c r="AJ963" s="208"/>
      <c r="AK963" s="208"/>
    </row>
    <row r="964" hidden="1">
      <c r="A964" s="288">
        <f>IFERROR(__xludf.DUMMYFUNCTION("""COMPUTED_VALUE"""),46192.0)</f>
        <v>46192</v>
      </c>
      <c r="B964" s="274">
        <f>IFERROR(__xludf.DUMMYFUNCTION("""COMPUTED_VALUE"""),0.538888888888323)</f>
        <v>0.5388888889</v>
      </c>
      <c r="C964" s="208" t="str">
        <f>IFERROR(__xludf.DUMMYFUNCTION("""COMPUTED_VALUE"""),"Whatsapp")</f>
        <v>Whatsapp</v>
      </c>
      <c r="D964" s="208" t="str">
        <f>IFERROR(__xludf.DUMMYFUNCTION("""COMPUTED_VALUE"""),"Promotional")</f>
        <v>Promotional</v>
      </c>
      <c r="E964" s="208" t="str">
        <f>IFERROR(__xludf.DUMMYFUNCTION("""COMPUTED_VALUE"""),"BBW")</f>
        <v>BBW</v>
      </c>
      <c r="F964" s="208" t="str">
        <f>IFERROR(__xludf.DUMMYFUNCTION("""COMPUTED_VALUE"""),"SAS - June 2026")</f>
        <v>SAS - June 2026</v>
      </c>
      <c r="G964" s="208" t="str">
        <f>IFERROR(__xludf.DUMMYFUNCTION("""COMPUTED_VALUE"""),"bbw_wa_sas_cat_candles_19june_online V2")</f>
        <v>bbw_wa_sas_cat_candles_19june_online V2</v>
      </c>
      <c r="H964" s="232" t="str">
        <f>IFERROR(__xludf.DUMMYFUNCTION("""COMPUTED_VALUE"""),"BBW_Candle_365D_ON")</f>
        <v>BBW_Candle_365D_ON</v>
      </c>
      <c r="I964" s="233" t="str">
        <f>IFERROR(__xludf.DUMMYFUNCTION("""COMPUTED_VALUE"""),"Online Purchased at least 1 time in the last 365D")</f>
        <v>Online Purchased at least 1 time in the last 365D</v>
      </c>
      <c r="J964" s="275">
        <f>IFERROR(__xludf.DUMMYFUNCTION("""COMPUTED_VALUE"""),7004.0)</f>
        <v>7004</v>
      </c>
      <c r="K964" s="275">
        <f>IFERROR(__xludf.DUMMYFUNCTION("""COMPUTED_VALUE"""),2338.0)</f>
        <v>2338</v>
      </c>
      <c r="L964" s="276">
        <f>IFERROR(__xludf.DUMMYFUNCTION("""COMPUTED_VALUE"""),0.3321)</f>
        <v>0.3321</v>
      </c>
      <c r="M964" s="275">
        <f>IFERROR(__xludf.DUMMYFUNCTION("""COMPUTED_VALUE"""),784.0)</f>
        <v>784</v>
      </c>
      <c r="N964" s="276">
        <f>IFERROR(__xludf.DUMMYFUNCTION("""COMPUTED_VALUE"""),0.3298)</f>
        <v>0.3298</v>
      </c>
      <c r="O964" s="208">
        <f>IFERROR(__xludf.DUMMYFUNCTION("""COMPUTED_VALUE"""),142.0)</f>
        <v>142</v>
      </c>
      <c r="P964" s="208">
        <f>IFERROR(__xludf.DUMMYFUNCTION("""COMPUTED_VALUE"""),132.0)</f>
        <v>132</v>
      </c>
      <c r="Q964" s="276">
        <f>IFERROR(__xludf.DUMMYFUNCTION("""COMPUTED_VALUE"""),0.0567)</f>
        <v>0.0567</v>
      </c>
      <c r="R964" s="276">
        <f>IFERROR(__xludf.DUMMYFUNCTION("""COMPUTED_VALUE"""),0.1721)</f>
        <v>0.1721</v>
      </c>
      <c r="S964" s="208">
        <f>IFERROR(__xludf.DUMMYFUNCTION("""COMPUTED_VALUE"""),3.0)</f>
        <v>3</v>
      </c>
      <c r="T964" s="208">
        <f>IFERROR(__xludf.DUMMYFUNCTION("""COMPUTED_VALUE"""),7.0)</f>
        <v>7</v>
      </c>
      <c r="U964" s="275">
        <f>IFERROR(__xludf.DUMMYFUNCTION("""COMPUTED_VALUE"""),5373.0)</f>
        <v>5373</v>
      </c>
      <c r="V964" s="234" t="str">
        <f>IFERROR(__xludf.DUMMYFUNCTION("""COMPUTED_VALUE"""),"online")</f>
        <v>online</v>
      </c>
      <c r="W964" s="232" t="str">
        <f>IFERROR(__xludf.DUMMYFUNCTION("""COMPUTED_VALUE"""),"simple")</f>
        <v>simple</v>
      </c>
      <c r="X964" s="232" t="str">
        <f>IFERROR(__xludf.DUMMYFUNCTION("""COMPUTED_VALUE"""),"Candle")</f>
        <v>Candle</v>
      </c>
      <c r="Y964" s="232" t="str">
        <f>IFERROR(__xludf.DUMMYFUNCTION("""COMPUTED_VALUE"""),"19-21 June")</f>
        <v>19-21 June</v>
      </c>
      <c r="Z964" s="232" t="str">
        <f>IFERROR(__xludf.DUMMYFUNCTION("""COMPUTED_VALUE"""),"6a34ef3355e899bc82399813")</f>
        <v>6a34ef3355e899bc82399813</v>
      </c>
      <c r="AA964" s="277">
        <f>IFERROR(__xludf.DUMMYFUNCTION("""COMPUTED_VALUE"""),26.0)</f>
        <v>26</v>
      </c>
      <c r="AB964" s="277">
        <f>IFERROR(__xludf.DUMMYFUNCTION("""COMPUTED_VALUE"""),26.0)</f>
        <v>26</v>
      </c>
      <c r="AC964" s="277"/>
      <c r="AD964" s="277">
        <f>IFERROR(__xludf.DUMMYFUNCTION("""COMPUTED_VALUE"""),95582.0)</f>
        <v>95582</v>
      </c>
      <c r="AE964" s="277">
        <f>IFERROR(__xludf.DUMMYFUNCTION("""COMPUTED_VALUE"""),95582.0)</f>
        <v>95582</v>
      </c>
      <c r="AF964" s="277"/>
      <c r="AG964" s="208"/>
      <c r="AH964" s="208"/>
      <c r="AI964" s="208"/>
      <c r="AJ964" s="208"/>
      <c r="AK964" s="208"/>
    </row>
    <row r="965" hidden="1">
      <c r="A965" s="288">
        <f>IFERROR(__xludf.DUMMYFUNCTION("""COMPUTED_VALUE"""),46188.0)</f>
        <v>46188</v>
      </c>
      <c r="B965" s="274">
        <f>IFERROR(__xludf.DUMMYFUNCTION("""COMPUTED_VALUE"""),0.8333333333321207)</f>
        <v>0.8333333333</v>
      </c>
      <c r="C965" s="208" t="str">
        <f>IFERROR(__xludf.DUMMYFUNCTION("""COMPUTED_VALUE"""),"Sms")</f>
        <v>Sms</v>
      </c>
      <c r="D965" s="208" t="str">
        <f>IFERROR(__xludf.DUMMYFUNCTION("""COMPUTED_VALUE"""),"Fallback campaign")</f>
        <v>Fallback campaign</v>
      </c>
      <c r="E965" s="208" t="str">
        <f>IFERROR(__xludf.DUMMYFUNCTION("""COMPUTED_VALUE"""),"BBW")</f>
        <v>BBW</v>
      </c>
      <c r="F965" s="208" t="str">
        <f>IFERROR(__xludf.DUMMYFUNCTION("""COMPUTED_VALUE"""),"SAS - June 2026")</f>
        <v>SAS - June 2026</v>
      </c>
      <c r="G965" s="208" t="str">
        <f>IFERROR(__xludf.DUMMYFUNCTION("""COMPUTED_VALUE"""),"bbw_smsfb_sas_fathersday_mens_15june_online")</f>
        <v>bbw_smsfb_sas_fathersday_mens_15june_online</v>
      </c>
      <c r="H965" s="232" t="str">
        <f>IFERROR(__xludf.DUMMYFUNCTION("""COMPUTED_VALUE"""),"BBW_ON_MEN")</f>
        <v>BBW_ON_MEN</v>
      </c>
      <c r="I965" s="233" t="str">
        <f>IFERROR(__xludf.DUMMYFUNCTION("""COMPUTED_VALUE"""),"WA Undelivered")</f>
        <v>WA Undelivered</v>
      </c>
      <c r="J965" s="275">
        <f>IFERROR(__xludf.DUMMYFUNCTION("""COMPUTED_VALUE"""),7090.0)</f>
        <v>7090</v>
      </c>
      <c r="K965" s="275">
        <f>IFERROR(__xludf.DUMMYFUNCTION("""COMPUTED_VALUE"""),3369.0)</f>
        <v>3369</v>
      </c>
      <c r="L965" s="276">
        <f>IFERROR(__xludf.DUMMYFUNCTION("""COMPUTED_VALUE"""),0.4752)</f>
        <v>0.4752</v>
      </c>
      <c r="M965" s="275">
        <f>IFERROR(__xludf.DUMMYFUNCTION("""COMPUTED_VALUE"""),0.0)</f>
        <v>0</v>
      </c>
      <c r="N965" s="276">
        <f>IFERROR(__xludf.DUMMYFUNCTION("""COMPUTED_VALUE"""),0.0)</f>
        <v>0</v>
      </c>
      <c r="O965" s="208">
        <f>IFERROR(__xludf.DUMMYFUNCTION("""COMPUTED_VALUE"""),5.0)</f>
        <v>5</v>
      </c>
      <c r="P965" s="208">
        <f>IFERROR(__xludf.DUMMYFUNCTION("""COMPUTED_VALUE"""),0.0)</f>
        <v>0</v>
      </c>
      <c r="Q965" s="276">
        <f>IFERROR(__xludf.DUMMYFUNCTION("""COMPUTED_VALUE"""),0.0015)</f>
        <v>0.0015</v>
      </c>
      <c r="R965" s="276">
        <f>IFERROR(__xludf.DUMMYFUNCTION("""COMPUTED_VALUE"""),0.0)</f>
        <v>0</v>
      </c>
      <c r="S965" s="208">
        <f>IFERROR(__xludf.DUMMYFUNCTION("""COMPUTED_VALUE"""),0.0)</f>
        <v>0</v>
      </c>
      <c r="T965" s="208">
        <f>IFERROR(__xludf.DUMMYFUNCTION("""COMPUTED_VALUE"""),0.0)</f>
        <v>0</v>
      </c>
      <c r="U965" s="275">
        <f>IFERROR(__xludf.DUMMYFUNCTION("""COMPUTED_VALUE"""),0.0)</f>
        <v>0</v>
      </c>
      <c r="V965" s="234" t="str">
        <f>IFERROR(__xludf.DUMMYFUNCTION("""COMPUTED_VALUE"""),"online")</f>
        <v>online</v>
      </c>
      <c r="W965" s="232" t="str">
        <f>IFERROR(__xludf.DUMMYFUNCTION("""COMPUTED_VALUE"""),"Sms")</f>
        <v>Sms</v>
      </c>
      <c r="X965" s="232" t="str">
        <f>IFERROR(__xludf.DUMMYFUNCTION("""COMPUTED_VALUE"""),"No Brief")</f>
        <v>No Brief</v>
      </c>
      <c r="Y965" s="232" t="str">
        <f>IFERROR(__xludf.DUMMYFUNCTION("""COMPUTED_VALUE"""),"15 June")</f>
        <v>15 June</v>
      </c>
      <c r="Z965" s="232" t="str">
        <f>IFERROR(__xludf.DUMMYFUNCTION("""COMPUTED_VALUE"""),"6a2a852c7bed968e83bf4b40")</f>
        <v>6a2a852c7bed968e83bf4b40</v>
      </c>
      <c r="AA965" s="277">
        <f>IFERROR(__xludf.DUMMYFUNCTION("""COMPUTED_VALUE"""),0.0)</f>
        <v>0</v>
      </c>
      <c r="AB965" s="277">
        <f>IFERROR(__xludf.DUMMYFUNCTION("""COMPUTED_VALUE"""),0.0)</f>
        <v>0</v>
      </c>
      <c r="AC965" s="277"/>
      <c r="AD965" s="277">
        <f>IFERROR(__xludf.DUMMYFUNCTION("""COMPUTED_VALUE"""),0.0)</f>
        <v>0</v>
      </c>
      <c r="AE965" s="277">
        <f>IFERROR(__xludf.DUMMYFUNCTION("""COMPUTED_VALUE"""),0.0)</f>
        <v>0</v>
      </c>
      <c r="AF965" s="277"/>
      <c r="AG965" s="208"/>
      <c r="AH965" s="208"/>
      <c r="AI965" s="208"/>
      <c r="AJ965" s="208"/>
      <c r="AK965" s="208"/>
    </row>
    <row r="966" hidden="1">
      <c r="A966" s="288">
        <f>IFERROR(__xludf.DUMMYFUNCTION("""COMPUTED_VALUE"""),46188.0)</f>
        <v>46188</v>
      </c>
      <c r="B966" s="274">
        <f>IFERROR(__xludf.DUMMYFUNCTION("""COMPUTED_VALUE"""),0.8333333333321207)</f>
        <v>0.8333333333</v>
      </c>
      <c r="C966" s="208" t="str">
        <f>IFERROR(__xludf.DUMMYFUNCTION("""COMPUTED_VALUE"""),"Sms")</f>
        <v>Sms</v>
      </c>
      <c r="D966" s="208" t="str">
        <f>IFERROR(__xludf.DUMMYFUNCTION("""COMPUTED_VALUE"""),"Fallback campaign")</f>
        <v>Fallback campaign</v>
      </c>
      <c r="E966" s="208" t="str">
        <f>IFERROR(__xludf.DUMMYFUNCTION("""COMPUTED_VALUE"""),"BBW")</f>
        <v>BBW</v>
      </c>
      <c r="F966" s="208" t="str">
        <f>IFERROR(__xludf.DUMMYFUNCTION("""COMPUTED_VALUE"""),"SAS - June 2026")</f>
        <v>SAS - June 2026</v>
      </c>
      <c r="G966" s="208" t="str">
        <f>IFERROR(__xludf.DUMMYFUNCTION("""COMPUTED_VALUE"""),"bbw_smsfb_sas_fathersday_mens_15june_offline")</f>
        <v>bbw_smsfb_sas_fathersday_mens_15june_offline</v>
      </c>
      <c r="H966" s="232" t="str">
        <f>IFERROR(__xludf.DUMMYFUNCTION("""COMPUTED_VALUE"""),"BBW_OFF_MEN")</f>
        <v>BBW_OFF_MEN</v>
      </c>
      <c r="I966" s="233" t="str">
        <f>IFERROR(__xludf.DUMMYFUNCTION("""COMPUTED_VALUE"""),"WA Undelivered")</f>
        <v>WA Undelivered</v>
      </c>
      <c r="J966" s="275">
        <f>IFERROR(__xludf.DUMMYFUNCTION("""COMPUTED_VALUE"""),29466.0)</f>
        <v>29466</v>
      </c>
      <c r="K966" s="275">
        <f>IFERROR(__xludf.DUMMYFUNCTION("""COMPUTED_VALUE"""),15614.0)</f>
        <v>15614</v>
      </c>
      <c r="L966" s="276">
        <f>IFERROR(__xludf.DUMMYFUNCTION("""COMPUTED_VALUE"""),0.5299)</f>
        <v>0.5299</v>
      </c>
      <c r="M966" s="275">
        <f>IFERROR(__xludf.DUMMYFUNCTION("""COMPUTED_VALUE"""),0.0)</f>
        <v>0</v>
      </c>
      <c r="N966" s="276">
        <f>IFERROR(__xludf.DUMMYFUNCTION("""COMPUTED_VALUE"""),0.0)</f>
        <v>0</v>
      </c>
      <c r="O966" s="208">
        <f>IFERROR(__xludf.DUMMYFUNCTION("""COMPUTED_VALUE"""),19.0)</f>
        <v>19</v>
      </c>
      <c r="P966" s="208">
        <f>IFERROR(__xludf.DUMMYFUNCTION("""COMPUTED_VALUE"""),0.0)</f>
        <v>0</v>
      </c>
      <c r="Q966" s="276">
        <f>IFERROR(__xludf.DUMMYFUNCTION("""COMPUTED_VALUE"""),0.0012)</f>
        <v>0.0012</v>
      </c>
      <c r="R966" s="276">
        <f>IFERROR(__xludf.DUMMYFUNCTION("""COMPUTED_VALUE"""),0.0)</f>
        <v>0</v>
      </c>
      <c r="S966" s="208">
        <f>IFERROR(__xludf.DUMMYFUNCTION("""COMPUTED_VALUE"""),0.0)</f>
        <v>0</v>
      </c>
      <c r="T966" s="208">
        <f>IFERROR(__xludf.DUMMYFUNCTION("""COMPUTED_VALUE"""),2.0)</f>
        <v>2</v>
      </c>
      <c r="U966" s="275">
        <f>IFERROR(__xludf.DUMMYFUNCTION("""COMPUTED_VALUE"""),0.0)</f>
        <v>0</v>
      </c>
      <c r="V966" s="234" t="str">
        <f>IFERROR(__xludf.DUMMYFUNCTION("""COMPUTED_VALUE"""),"offline")</f>
        <v>offline</v>
      </c>
      <c r="W966" s="232" t="str">
        <f>IFERROR(__xludf.DUMMYFUNCTION("""COMPUTED_VALUE"""),"Sms")</f>
        <v>Sms</v>
      </c>
      <c r="X966" s="232" t="str">
        <f>IFERROR(__xludf.DUMMYFUNCTION("""COMPUTED_VALUE"""),"No Brief")</f>
        <v>No Brief</v>
      </c>
      <c r="Y966" s="232" t="str">
        <f>IFERROR(__xludf.DUMMYFUNCTION("""COMPUTED_VALUE"""),"15 June")</f>
        <v>15 June</v>
      </c>
      <c r="Z966" s="232" t="str">
        <f>IFERROR(__xludf.DUMMYFUNCTION("""COMPUTED_VALUE"""),"6a2a8560d430e3a973ca7962")</f>
        <v>6a2a8560d430e3a973ca7962</v>
      </c>
      <c r="AA966" s="277">
        <f>IFERROR(__xludf.DUMMYFUNCTION("""COMPUTED_VALUE"""),15.0)</f>
        <v>15</v>
      </c>
      <c r="AB966" s="277"/>
      <c r="AC966" s="277">
        <f>IFERROR(__xludf.DUMMYFUNCTION("""COMPUTED_VALUE"""),15.0)</f>
        <v>15</v>
      </c>
      <c r="AD966" s="277">
        <f>IFERROR(__xludf.DUMMYFUNCTION("""COMPUTED_VALUE"""),91953.0)</f>
        <v>91953</v>
      </c>
      <c r="AE966" s="277"/>
      <c r="AF966" s="277">
        <f>IFERROR(__xludf.DUMMYFUNCTION("""COMPUTED_VALUE"""),91953.0)</f>
        <v>91953</v>
      </c>
      <c r="AG966" s="208"/>
      <c r="AH966" s="208"/>
      <c r="AI966" s="208"/>
      <c r="AJ966" s="208"/>
      <c r="AK966" s="208"/>
    </row>
    <row r="967" hidden="1">
      <c r="A967" s="288">
        <f>IFERROR(__xludf.DUMMYFUNCTION("""COMPUTED_VALUE"""),46190.0)</f>
        <v>46190</v>
      </c>
      <c r="B967" s="274">
        <f>IFERROR(__xludf.DUMMYFUNCTION("""COMPUTED_VALUE"""),0.75)</f>
        <v>0.75</v>
      </c>
      <c r="C967" s="208" t="str">
        <f>IFERROR(__xludf.DUMMYFUNCTION("""COMPUTED_VALUE"""),"Sms")</f>
        <v>Sms</v>
      </c>
      <c r="D967" s="208" t="str">
        <f>IFERROR(__xludf.DUMMYFUNCTION("""COMPUTED_VALUE"""),"Fallback campaign")</f>
        <v>Fallback campaign</v>
      </c>
      <c r="E967" s="208" t="str">
        <f>IFERROR(__xludf.DUMMYFUNCTION("""COMPUTED_VALUE"""),"BBW")</f>
        <v>BBW</v>
      </c>
      <c r="F967" s="208" t="str">
        <f>IFERROR(__xludf.DUMMYFUNCTION("""COMPUTED_VALUE"""),"SAS - June 2026")</f>
        <v>SAS - June 2026</v>
      </c>
      <c r="G967" s="208" t="str">
        <f>IFERROR(__xludf.DUMMYFUNCTION("""COMPUTED_VALUE"""),"bbw_smsfb_sas_atc_last5days_overall")</f>
        <v>bbw_smsfb_sas_atc_last5days_overall</v>
      </c>
      <c r="H967" s="232" t="str">
        <f>IFERROR(__xludf.DUMMYFUNCTION("""COMPUTED_VALUE"""),"BBW_ATC_View_Wishlist_NoPr_5D")</f>
        <v>BBW_ATC_View_Wishlist_NoPr_5D</v>
      </c>
      <c r="I967" s="233" t="str">
        <f>IFERROR(__xludf.DUMMYFUNCTION("""COMPUTED_VALUE"""),"WA Undelivered")</f>
        <v>WA Undelivered</v>
      </c>
      <c r="J967" s="275">
        <f>IFERROR(__xludf.DUMMYFUNCTION("""COMPUTED_VALUE"""),1165.0)</f>
        <v>1165</v>
      </c>
      <c r="K967" s="275">
        <f>IFERROR(__xludf.DUMMYFUNCTION("""COMPUTED_VALUE"""),665.0)</f>
        <v>665</v>
      </c>
      <c r="L967" s="276">
        <f>IFERROR(__xludf.DUMMYFUNCTION("""COMPUTED_VALUE"""),0.5708)</f>
        <v>0.5708</v>
      </c>
      <c r="M967" s="275">
        <f>IFERROR(__xludf.DUMMYFUNCTION("""COMPUTED_VALUE"""),0.0)</f>
        <v>0</v>
      </c>
      <c r="N967" s="276">
        <f>IFERROR(__xludf.DUMMYFUNCTION("""COMPUTED_VALUE"""),0.0)</f>
        <v>0</v>
      </c>
      <c r="O967" s="208">
        <f>IFERROR(__xludf.DUMMYFUNCTION("""COMPUTED_VALUE"""),9.0)</f>
        <v>9</v>
      </c>
      <c r="P967" s="208">
        <f>IFERROR(__xludf.DUMMYFUNCTION("""COMPUTED_VALUE"""),0.0)</f>
        <v>0</v>
      </c>
      <c r="Q967" s="276">
        <f>IFERROR(__xludf.DUMMYFUNCTION("""COMPUTED_VALUE"""),0.0135)</f>
        <v>0.0135</v>
      </c>
      <c r="R967" s="276">
        <f>IFERROR(__xludf.DUMMYFUNCTION("""COMPUTED_VALUE"""),0.0)</f>
        <v>0</v>
      </c>
      <c r="S967" s="208">
        <f>IFERROR(__xludf.DUMMYFUNCTION("""COMPUTED_VALUE"""),6.0)</f>
        <v>6</v>
      </c>
      <c r="T967" s="208">
        <f>IFERROR(__xludf.DUMMYFUNCTION("""COMPUTED_VALUE"""),29.0)</f>
        <v>29</v>
      </c>
      <c r="U967" s="275">
        <f>IFERROR(__xludf.DUMMYFUNCTION("""COMPUTED_VALUE"""),12743.0)</f>
        <v>12743</v>
      </c>
      <c r="V967" s="234" t="str">
        <f>IFERROR(__xludf.DUMMYFUNCTION("""COMPUTED_VALUE"""),"overall")</f>
        <v>overall</v>
      </c>
      <c r="W967" s="232" t="str">
        <f>IFERROR(__xludf.DUMMYFUNCTION("""COMPUTED_VALUE"""),"Sms")</f>
        <v>Sms</v>
      </c>
      <c r="X967" s="232" t="str">
        <f>IFERROR(__xludf.DUMMYFUNCTION("""COMPUTED_VALUE"""),"No Brief")</f>
        <v>No Brief</v>
      </c>
      <c r="Y967" s="232" t="str">
        <f>IFERROR(__xludf.DUMMYFUNCTION("""COMPUTED_VALUE"""),"17 June")</f>
        <v>17 June</v>
      </c>
      <c r="Z967" s="232" t="str">
        <f>IFERROR(__xludf.DUMMYFUNCTION("""COMPUTED_VALUE"""),"6a30d8d9ea03319cce3f7d78")</f>
        <v>6a30d8d9ea03319cce3f7d78</v>
      </c>
      <c r="AA967" s="277">
        <f>IFERROR(__xludf.DUMMYFUNCTION("""COMPUTED_VALUE"""),19.0)</f>
        <v>19</v>
      </c>
      <c r="AB967" s="277">
        <f>IFERROR(__xludf.DUMMYFUNCTION("""COMPUTED_VALUE"""),15.0)</f>
        <v>15</v>
      </c>
      <c r="AC967" s="277">
        <f>IFERROR(__xludf.DUMMYFUNCTION("""COMPUTED_VALUE"""),4.0)</f>
        <v>4</v>
      </c>
      <c r="AD967" s="277">
        <f>IFERROR(__xludf.DUMMYFUNCTION("""COMPUTED_VALUE"""),55184.0)</f>
        <v>55184</v>
      </c>
      <c r="AE967" s="277">
        <f>IFERROR(__xludf.DUMMYFUNCTION("""COMPUTED_VALUE"""),45022.0)</f>
        <v>45022</v>
      </c>
      <c r="AF967" s="277">
        <f>IFERROR(__xludf.DUMMYFUNCTION("""COMPUTED_VALUE"""),10162.0)</f>
        <v>10162</v>
      </c>
      <c r="AG967" s="208"/>
      <c r="AH967" s="208"/>
      <c r="AI967" s="208"/>
      <c r="AJ967" s="208"/>
      <c r="AK967" s="208"/>
    </row>
    <row r="968" hidden="1">
      <c r="A968" s="288">
        <f>IFERROR(__xludf.DUMMYFUNCTION("""COMPUTED_VALUE"""),46189.0)</f>
        <v>46189</v>
      </c>
      <c r="B968" s="274">
        <f>IFERROR(__xludf.DUMMYFUNCTION("""COMPUTED_VALUE"""),0.5)</f>
        <v>0.5</v>
      </c>
      <c r="C968" s="208" t="str">
        <f>IFERROR(__xludf.DUMMYFUNCTION("""COMPUTED_VALUE"""),"Sms")</f>
        <v>Sms</v>
      </c>
      <c r="D968" s="208" t="str">
        <f>IFERROR(__xludf.DUMMYFUNCTION("""COMPUTED_VALUE"""),"Promotional")</f>
        <v>Promotional</v>
      </c>
      <c r="E968" s="208" t="str">
        <f>IFERROR(__xludf.DUMMYFUNCTION("""COMPUTED_VALUE"""),"BBW")</f>
        <v>BBW</v>
      </c>
      <c r="F968" s="208" t="str">
        <f>IFERROR(__xludf.DUMMYFUNCTION("""COMPUTED_VALUE"""),"SAS - June 2026")</f>
        <v>SAS - June 2026</v>
      </c>
      <c r="G968" s="208" t="str">
        <f>IFERROR(__xludf.DUMMYFUNCTION("""COMPUTED_VALUE"""),"bbw_sms_sas_appinstalled_no_purchase_overall")</f>
        <v>bbw_sms_sas_appinstalled_no_purchase_overall</v>
      </c>
      <c r="H968" s="232" t="str">
        <f>IFERROR(__xludf.DUMMYFUNCTION("""COMPUTED_VALUE"""),"BBW_App_Install_NoPr_180D")</f>
        <v>BBW_App_Install_NoPr_180D</v>
      </c>
      <c r="I968" s="233" t="str">
        <f>IFERROR(__xludf.DUMMYFUNCTION("""COMPUTED_VALUE"""),"No Brief")</f>
        <v>No Brief</v>
      </c>
      <c r="J968" s="275">
        <f>IFERROR(__xludf.DUMMYFUNCTION("""COMPUTED_VALUE"""),22128.0)</f>
        <v>22128</v>
      </c>
      <c r="K968" s="275">
        <f>IFERROR(__xludf.DUMMYFUNCTION("""COMPUTED_VALUE"""),15388.0)</f>
        <v>15388</v>
      </c>
      <c r="L968" s="276">
        <f>IFERROR(__xludf.DUMMYFUNCTION("""COMPUTED_VALUE"""),0.6954)</f>
        <v>0.6954</v>
      </c>
      <c r="M968" s="275">
        <f>IFERROR(__xludf.DUMMYFUNCTION("""COMPUTED_VALUE"""),0.0)</f>
        <v>0</v>
      </c>
      <c r="N968" s="276">
        <f>IFERROR(__xludf.DUMMYFUNCTION("""COMPUTED_VALUE"""),0.0)</f>
        <v>0</v>
      </c>
      <c r="O968" s="208">
        <f>IFERROR(__xludf.DUMMYFUNCTION("""COMPUTED_VALUE"""),50.0)</f>
        <v>50</v>
      </c>
      <c r="P968" s="208">
        <f>IFERROR(__xludf.DUMMYFUNCTION("""COMPUTED_VALUE"""),0.0)</f>
        <v>0</v>
      </c>
      <c r="Q968" s="276">
        <f>IFERROR(__xludf.DUMMYFUNCTION("""COMPUTED_VALUE"""),0.0032)</f>
        <v>0.0032</v>
      </c>
      <c r="R968" s="276">
        <f>IFERROR(__xludf.DUMMYFUNCTION("""COMPUTED_VALUE"""),0.0)</f>
        <v>0</v>
      </c>
      <c r="S968" s="208">
        <f>IFERROR(__xludf.DUMMYFUNCTION("""COMPUTED_VALUE"""),16.0)</f>
        <v>16</v>
      </c>
      <c r="T968" s="208">
        <f>IFERROR(__xludf.DUMMYFUNCTION("""COMPUTED_VALUE"""),79.0)</f>
        <v>79</v>
      </c>
      <c r="U968" s="275">
        <f>IFERROR(__xludf.DUMMYFUNCTION("""COMPUTED_VALUE"""),49794.0)</f>
        <v>49794</v>
      </c>
      <c r="V968" s="234" t="str">
        <f>IFERROR(__xludf.DUMMYFUNCTION("""COMPUTED_VALUE"""),"overall")</f>
        <v>overall</v>
      </c>
      <c r="W968" s="232" t="str">
        <f>IFERROR(__xludf.DUMMYFUNCTION("""COMPUTED_VALUE"""),"Sms")</f>
        <v>Sms</v>
      </c>
      <c r="X968" s="232" t="str">
        <f>IFERROR(__xludf.DUMMYFUNCTION("""COMPUTED_VALUE"""),"No Brief")</f>
        <v>No Brief</v>
      </c>
      <c r="Y968" s="232" t="str">
        <f>IFERROR(__xludf.DUMMYFUNCTION("""COMPUTED_VALUE"""),"16 June")</f>
        <v>16 June</v>
      </c>
      <c r="Z968" s="232" t="str">
        <f>IFERROR(__xludf.DUMMYFUNCTION("""COMPUTED_VALUE"""),"6a30eae7921a7ec82b195c3a")</f>
        <v>6a30eae7921a7ec82b195c3a</v>
      </c>
      <c r="AA968" s="277">
        <f>IFERROR(__xludf.DUMMYFUNCTION("""COMPUTED_VALUE"""),49.0)</f>
        <v>49</v>
      </c>
      <c r="AB968" s="277">
        <f>IFERROR(__xludf.DUMMYFUNCTION("""COMPUTED_VALUE"""),44.0)</f>
        <v>44</v>
      </c>
      <c r="AC968" s="277">
        <f>IFERROR(__xludf.DUMMYFUNCTION("""COMPUTED_VALUE"""),5.0)</f>
        <v>5</v>
      </c>
      <c r="AD968" s="277">
        <f>IFERROR(__xludf.DUMMYFUNCTION("""COMPUTED_VALUE"""),93917.0)</f>
        <v>93917</v>
      </c>
      <c r="AE968" s="277">
        <f>IFERROR(__xludf.DUMMYFUNCTION("""COMPUTED_VALUE"""),80917.0)</f>
        <v>80917</v>
      </c>
      <c r="AF968" s="277">
        <f>IFERROR(__xludf.DUMMYFUNCTION("""COMPUTED_VALUE"""),13000.0)</f>
        <v>13000</v>
      </c>
      <c r="AG968" s="208"/>
      <c r="AH968" s="208"/>
      <c r="AI968" s="208"/>
      <c r="AJ968" s="208"/>
      <c r="AK968" s="208"/>
    </row>
    <row r="969" hidden="1">
      <c r="A969" s="288">
        <f>IFERROR(__xludf.DUMMYFUNCTION("""COMPUTED_VALUE"""),46189.0)</f>
        <v>46189</v>
      </c>
      <c r="B969" s="274">
        <f>IFERROR(__xludf.DUMMYFUNCTION("""COMPUTED_VALUE"""),0.7916666666678793)</f>
        <v>0.7916666667</v>
      </c>
      <c r="C969" s="208" t="str">
        <f>IFERROR(__xludf.DUMMYFUNCTION("""COMPUTED_VALUE"""),"Sms")</f>
        <v>Sms</v>
      </c>
      <c r="D969" s="208" t="str">
        <f>IFERROR(__xludf.DUMMYFUNCTION("""COMPUTED_VALUE"""),"Fallback campaign")</f>
        <v>Fallback campaign</v>
      </c>
      <c r="E969" s="208" t="str">
        <f>IFERROR(__xludf.DUMMYFUNCTION("""COMPUTED_VALUE"""),"BBW")</f>
        <v>BBW</v>
      </c>
      <c r="F969" s="208" t="str">
        <f>IFERROR(__xludf.DUMMYFUNCTION("""COMPUTED_VALUE"""),"SAS - June 2026")</f>
        <v>SAS - June 2026</v>
      </c>
      <c r="G969" s="208" t="str">
        <f>IFERROR(__xludf.DUMMYFUNCTION("""COMPUTED_VALUE"""),"bbw_smsfb_sas_fathersday_mens_reminder_online V1")</f>
        <v>bbw_smsfb_sas_fathersday_mens_reminder_online V1</v>
      </c>
      <c r="H969" s="232" t="str">
        <f>IFERROR(__xludf.DUMMYFUNCTION("""COMPUTED_VALUE"""),"BBW_ON_MEN")</f>
        <v>BBW_ON_MEN</v>
      </c>
      <c r="I969" s="233" t="str">
        <f>IFERROR(__xludf.DUMMYFUNCTION("""COMPUTED_VALUE"""),"WA Undelivered")</f>
        <v>WA Undelivered</v>
      </c>
      <c r="J969" s="275">
        <f>IFERROR(__xludf.DUMMYFUNCTION("""COMPUTED_VALUE"""),7516.0)</f>
        <v>7516</v>
      </c>
      <c r="K969" s="275">
        <f>IFERROR(__xludf.DUMMYFUNCTION("""COMPUTED_VALUE"""),3634.0)</f>
        <v>3634</v>
      </c>
      <c r="L969" s="276">
        <f>IFERROR(__xludf.DUMMYFUNCTION("""COMPUTED_VALUE"""),0.4835)</f>
        <v>0.4835</v>
      </c>
      <c r="M969" s="275">
        <f>IFERROR(__xludf.DUMMYFUNCTION("""COMPUTED_VALUE"""),0.0)</f>
        <v>0</v>
      </c>
      <c r="N969" s="276">
        <f>IFERROR(__xludf.DUMMYFUNCTION("""COMPUTED_VALUE"""),0.0)</f>
        <v>0</v>
      </c>
      <c r="O969" s="208">
        <f>IFERROR(__xludf.DUMMYFUNCTION("""COMPUTED_VALUE"""),20.0)</f>
        <v>20</v>
      </c>
      <c r="P969" s="208">
        <f>IFERROR(__xludf.DUMMYFUNCTION("""COMPUTED_VALUE"""),0.0)</f>
        <v>0</v>
      </c>
      <c r="Q969" s="276">
        <f>IFERROR(__xludf.DUMMYFUNCTION("""COMPUTED_VALUE"""),0.0055)</f>
        <v>0.0055</v>
      </c>
      <c r="R969" s="276">
        <f>IFERROR(__xludf.DUMMYFUNCTION("""COMPUTED_VALUE"""),0.0)</f>
        <v>0</v>
      </c>
      <c r="S969" s="208">
        <f>IFERROR(__xludf.DUMMYFUNCTION("""COMPUTED_VALUE"""),0.0)</f>
        <v>0</v>
      </c>
      <c r="T969" s="208">
        <f>IFERROR(__xludf.DUMMYFUNCTION("""COMPUTED_VALUE"""),0.0)</f>
        <v>0</v>
      </c>
      <c r="U969" s="275">
        <f>IFERROR(__xludf.DUMMYFUNCTION("""COMPUTED_VALUE"""),0.0)</f>
        <v>0</v>
      </c>
      <c r="V969" s="234" t="str">
        <f>IFERROR(__xludf.DUMMYFUNCTION("""COMPUTED_VALUE"""),"online")</f>
        <v>online</v>
      </c>
      <c r="W969" s="232" t="str">
        <f>IFERROR(__xludf.DUMMYFUNCTION("""COMPUTED_VALUE"""),"Sms")</f>
        <v>Sms</v>
      </c>
      <c r="X969" s="232" t="str">
        <f>IFERROR(__xludf.DUMMYFUNCTION("""COMPUTED_VALUE"""),"No Brief")</f>
        <v>No Brief</v>
      </c>
      <c r="Y969" s="232" t="str">
        <f>IFERROR(__xludf.DUMMYFUNCTION("""COMPUTED_VALUE"""),"16 June")</f>
        <v>16 June</v>
      </c>
      <c r="Z969" s="232" t="str">
        <f>IFERROR(__xludf.DUMMYFUNCTION("""COMPUTED_VALUE"""),"6a3140238b466da764a36cde")</f>
        <v>6a3140238b466da764a36cde</v>
      </c>
      <c r="AA969" s="277">
        <f>IFERROR(__xludf.DUMMYFUNCTION("""COMPUTED_VALUE"""),4.0)</f>
        <v>4</v>
      </c>
      <c r="AB969" s="277">
        <f>IFERROR(__xludf.DUMMYFUNCTION("""COMPUTED_VALUE"""),4.0)</f>
        <v>4</v>
      </c>
      <c r="AC969" s="277"/>
      <c r="AD969" s="277">
        <f>IFERROR(__xludf.DUMMYFUNCTION("""COMPUTED_VALUE"""),17334.0)</f>
        <v>17334</v>
      </c>
      <c r="AE969" s="277">
        <f>IFERROR(__xludf.DUMMYFUNCTION("""COMPUTED_VALUE"""),17334.0)</f>
        <v>17334</v>
      </c>
      <c r="AF969" s="277"/>
      <c r="AG969" s="208"/>
      <c r="AH969" s="208"/>
      <c r="AI969" s="208"/>
      <c r="AJ969" s="208"/>
      <c r="AK969" s="208"/>
    </row>
    <row r="970" hidden="1">
      <c r="A970" s="288">
        <f>IFERROR(__xludf.DUMMYFUNCTION("""COMPUTED_VALUE"""),46189.0)</f>
        <v>46189</v>
      </c>
      <c r="B970" s="274">
        <f>IFERROR(__xludf.DUMMYFUNCTION("""COMPUTED_VALUE"""),0.7916666666678793)</f>
        <v>0.7916666667</v>
      </c>
      <c r="C970" s="208" t="str">
        <f>IFERROR(__xludf.DUMMYFUNCTION("""COMPUTED_VALUE"""),"Sms")</f>
        <v>Sms</v>
      </c>
      <c r="D970" s="208" t="str">
        <f>IFERROR(__xludf.DUMMYFUNCTION("""COMPUTED_VALUE"""),"Fallback campaign")</f>
        <v>Fallback campaign</v>
      </c>
      <c r="E970" s="208" t="str">
        <f>IFERROR(__xludf.DUMMYFUNCTION("""COMPUTED_VALUE"""),"BBW")</f>
        <v>BBW</v>
      </c>
      <c r="F970" s="208" t="str">
        <f>IFERROR(__xludf.DUMMYFUNCTION("""COMPUTED_VALUE"""),"SAS - June 2026")</f>
        <v>SAS - June 2026</v>
      </c>
      <c r="G970" s="208" t="str">
        <f>IFERROR(__xludf.DUMMYFUNCTION("""COMPUTED_VALUE"""),"bbw_smsfb_sas_fathersday_mens_reminder_offline V2")</f>
        <v>bbw_smsfb_sas_fathersday_mens_reminder_offline V2</v>
      </c>
      <c r="H970" s="232" t="str">
        <f>IFERROR(__xludf.DUMMYFUNCTION("""COMPUTED_VALUE"""),"BBW_OFF_MEN")</f>
        <v>BBW_OFF_MEN</v>
      </c>
      <c r="I970" s="233" t="str">
        <f>IFERROR(__xludf.DUMMYFUNCTION("""COMPUTED_VALUE"""),"WA Undelivered")</f>
        <v>WA Undelivered</v>
      </c>
      <c r="J970" s="275">
        <f>IFERROR(__xludf.DUMMYFUNCTION("""COMPUTED_VALUE"""),32122.0)</f>
        <v>32122</v>
      </c>
      <c r="K970" s="275">
        <f>IFERROR(__xludf.DUMMYFUNCTION("""COMPUTED_VALUE"""),16946.0)</f>
        <v>16946</v>
      </c>
      <c r="L970" s="276">
        <f>IFERROR(__xludf.DUMMYFUNCTION("""COMPUTED_VALUE"""),0.5276)</f>
        <v>0.5276</v>
      </c>
      <c r="M970" s="275">
        <f>IFERROR(__xludf.DUMMYFUNCTION("""COMPUTED_VALUE"""),0.0)</f>
        <v>0</v>
      </c>
      <c r="N970" s="276">
        <f>IFERROR(__xludf.DUMMYFUNCTION("""COMPUTED_VALUE"""),0.0)</f>
        <v>0</v>
      </c>
      <c r="O970" s="208">
        <f>IFERROR(__xludf.DUMMYFUNCTION("""COMPUTED_VALUE"""),43.0)</f>
        <v>43</v>
      </c>
      <c r="P970" s="208">
        <f>IFERROR(__xludf.DUMMYFUNCTION("""COMPUTED_VALUE"""),0.0)</f>
        <v>0</v>
      </c>
      <c r="Q970" s="276">
        <f>IFERROR(__xludf.DUMMYFUNCTION("""COMPUTED_VALUE"""),0.0025)</f>
        <v>0.0025</v>
      </c>
      <c r="R970" s="276">
        <f>IFERROR(__xludf.DUMMYFUNCTION("""COMPUTED_VALUE"""),0.0)</f>
        <v>0</v>
      </c>
      <c r="S970" s="208">
        <f>IFERROR(__xludf.DUMMYFUNCTION("""COMPUTED_VALUE"""),2.0)</f>
        <v>2</v>
      </c>
      <c r="T970" s="208">
        <f>IFERROR(__xludf.DUMMYFUNCTION("""COMPUTED_VALUE"""),4.0)</f>
        <v>4</v>
      </c>
      <c r="U970" s="275">
        <f>IFERROR(__xludf.DUMMYFUNCTION("""COMPUTED_VALUE"""),7284.0)</f>
        <v>7284</v>
      </c>
      <c r="V970" s="234" t="str">
        <f>IFERROR(__xludf.DUMMYFUNCTION("""COMPUTED_VALUE"""),"offline")</f>
        <v>offline</v>
      </c>
      <c r="W970" s="232" t="str">
        <f>IFERROR(__xludf.DUMMYFUNCTION("""COMPUTED_VALUE"""),"Sms")</f>
        <v>Sms</v>
      </c>
      <c r="X970" s="232" t="str">
        <f>IFERROR(__xludf.DUMMYFUNCTION("""COMPUTED_VALUE"""),"No Brief")</f>
        <v>No Brief</v>
      </c>
      <c r="Y970" s="232" t="str">
        <f>IFERROR(__xludf.DUMMYFUNCTION("""COMPUTED_VALUE"""),"16 June")</f>
        <v>16 June</v>
      </c>
      <c r="Z970" s="232" t="str">
        <f>IFERROR(__xludf.DUMMYFUNCTION("""COMPUTED_VALUE"""),"6a31407fce979bb18de433f3")</f>
        <v>6a31407fce979bb18de433f3</v>
      </c>
      <c r="AA970" s="277">
        <f>IFERROR(__xludf.DUMMYFUNCTION("""COMPUTED_VALUE"""),23.0)</f>
        <v>23</v>
      </c>
      <c r="AB970" s="277"/>
      <c r="AC970" s="277">
        <f>IFERROR(__xludf.DUMMYFUNCTION("""COMPUTED_VALUE"""),23.0)</f>
        <v>23</v>
      </c>
      <c r="AD970" s="277">
        <f>IFERROR(__xludf.DUMMYFUNCTION("""COMPUTED_VALUE"""),97362.0)</f>
        <v>97362</v>
      </c>
      <c r="AE970" s="277"/>
      <c r="AF970" s="277">
        <f>IFERROR(__xludf.DUMMYFUNCTION("""COMPUTED_VALUE"""),97362.0)</f>
        <v>97362</v>
      </c>
      <c r="AG970" s="208"/>
      <c r="AH970" s="208"/>
      <c r="AI970" s="208"/>
      <c r="AJ970" s="208"/>
      <c r="AK970" s="208"/>
    </row>
    <row r="971" hidden="1">
      <c r="A971" s="288">
        <f>IFERROR(__xludf.DUMMYFUNCTION("""COMPUTED_VALUE"""),46192.0)</f>
        <v>46192</v>
      </c>
      <c r="B971" s="274">
        <f>IFERROR(__xludf.DUMMYFUNCTION("""COMPUTED_VALUE"""),0.5)</f>
        <v>0.5</v>
      </c>
      <c r="C971" s="208" t="str">
        <f>IFERROR(__xludf.DUMMYFUNCTION("""COMPUTED_VALUE"""),"Sms")</f>
        <v>Sms</v>
      </c>
      <c r="D971" s="208" t="str">
        <f>IFERROR(__xludf.DUMMYFUNCTION("""COMPUTED_VALUE"""),"Fallback campaign")</f>
        <v>Fallback campaign</v>
      </c>
      <c r="E971" s="208" t="str">
        <f>IFERROR(__xludf.DUMMYFUNCTION("""COMPUTED_VALUE"""),"BBW")</f>
        <v>BBW</v>
      </c>
      <c r="F971" s="208" t="str">
        <f>IFERROR(__xludf.DUMMYFUNCTION("""COMPUTED_VALUE"""),"SAS - June 2026")</f>
        <v>SAS - June 2026</v>
      </c>
      <c r="G971" s="208" t="str">
        <f>IFERROR(__xludf.DUMMYFUNCTION("""COMPUTED_VALUE"""),"bbw_smsfb_sas_cat_hs_19june_active_overall")</f>
        <v>bbw_smsfb_sas_cat_hs_19june_active_overall</v>
      </c>
      <c r="H971" s="232" t="str">
        <f>IFERROR(__xludf.DUMMYFUNCTION("""COMPUTED_VALUE"""),"BBW_ON_OFF_ACTIVE_HS_HC")</f>
        <v>BBW_ON_OFF_ACTIVE_HS_HC</v>
      </c>
      <c r="I971" s="233" t="str">
        <f>IFERROR(__xludf.DUMMYFUNCTION("""COMPUTED_VALUE"""),"WA Undelivered")</f>
        <v>WA Undelivered</v>
      </c>
      <c r="J971" s="275">
        <f>IFERROR(__xludf.DUMMYFUNCTION("""COMPUTED_VALUE"""),21000.0)</f>
        <v>21000</v>
      </c>
      <c r="K971" s="275">
        <f>IFERROR(__xludf.DUMMYFUNCTION("""COMPUTED_VALUE"""),11113.0)</f>
        <v>11113</v>
      </c>
      <c r="L971" s="276">
        <f>IFERROR(__xludf.DUMMYFUNCTION("""COMPUTED_VALUE"""),0.5292)</f>
        <v>0.5292</v>
      </c>
      <c r="M971" s="275">
        <f>IFERROR(__xludf.DUMMYFUNCTION("""COMPUTED_VALUE"""),0.0)</f>
        <v>0</v>
      </c>
      <c r="N971" s="276">
        <f>IFERROR(__xludf.DUMMYFUNCTION("""COMPUTED_VALUE"""),0.0)</f>
        <v>0</v>
      </c>
      <c r="O971" s="208">
        <f>IFERROR(__xludf.DUMMYFUNCTION("""COMPUTED_VALUE"""),22.0)</f>
        <v>22</v>
      </c>
      <c r="P971" s="208">
        <f>IFERROR(__xludf.DUMMYFUNCTION("""COMPUTED_VALUE"""),0.0)</f>
        <v>0</v>
      </c>
      <c r="Q971" s="276">
        <f>IFERROR(__xludf.DUMMYFUNCTION("""COMPUTED_VALUE"""),0.002)</f>
        <v>0.002</v>
      </c>
      <c r="R971" s="276">
        <f>IFERROR(__xludf.DUMMYFUNCTION("""COMPUTED_VALUE"""),0.0)</f>
        <v>0</v>
      </c>
      <c r="S971" s="208">
        <f>IFERROR(__xludf.DUMMYFUNCTION("""COMPUTED_VALUE"""),0.0)</f>
        <v>0</v>
      </c>
      <c r="T971" s="208">
        <f>IFERROR(__xludf.DUMMYFUNCTION("""COMPUTED_VALUE"""),7.0)</f>
        <v>7</v>
      </c>
      <c r="U971" s="275">
        <f>IFERROR(__xludf.DUMMYFUNCTION("""COMPUTED_VALUE"""),0.0)</f>
        <v>0</v>
      </c>
      <c r="V971" s="234" t="str">
        <f>IFERROR(__xludf.DUMMYFUNCTION("""COMPUTED_VALUE"""),"overall")</f>
        <v>overall</v>
      </c>
      <c r="W971" s="232" t="str">
        <f>IFERROR(__xludf.DUMMYFUNCTION("""COMPUTED_VALUE"""),"Sms")</f>
        <v>Sms</v>
      </c>
      <c r="X971" s="232" t="str">
        <f>IFERROR(__xludf.DUMMYFUNCTION("""COMPUTED_VALUE"""),"Active")</f>
        <v>Active</v>
      </c>
      <c r="Y971" s="232" t="str">
        <f>IFERROR(__xludf.DUMMYFUNCTION("""COMPUTED_VALUE"""),"19 June")</f>
        <v>19 June</v>
      </c>
      <c r="Z971" s="232" t="str">
        <f>IFERROR(__xludf.DUMMYFUNCTION("""COMPUTED_VALUE"""),"6a33a7ba5846fb250d9c0ab9")</f>
        <v>6a33a7ba5846fb250d9c0ab9</v>
      </c>
      <c r="AA971" s="277">
        <f>IFERROR(__xludf.DUMMYFUNCTION("""COMPUTED_VALUE"""),47.0)</f>
        <v>47</v>
      </c>
      <c r="AB971" s="277">
        <f>IFERROR(__xludf.DUMMYFUNCTION("""COMPUTED_VALUE"""),10.0)</f>
        <v>10</v>
      </c>
      <c r="AC971" s="277">
        <f>IFERROR(__xludf.DUMMYFUNCTION("""COMPUTED_VALUE"""),37.0)</f>
        <v>37</v>
      </c>
      <c r="AD971" s="277">
        <f>IFERROR(__xludf.DUMMYFUNCTION("""COMPUTED_VALUE"""),186236.0)</f>
        <v>186236</v>
      </c>
      <c r="AE971" s="277">
        <f>IFERROR(__xludf.DUMMYFUNCTION("""COMPUTED_VALUE"""),40690.0)</f>
        <v>40690</v>
      </c>
      <c r="AF971" s="277">
        <f>IFERROR(__xludf.DUMMYFUNCTION("""COMPUTED_VALUE"""),145546.0)</f>
        <v>145546</v>
      </c>
      <c r="AG971" s="208"/>
      <c r="AH971" s="208"/>
      <c r="AI971" s="208"/>
      <c r="AJ971" s="208"/>
      <c r="AK971" s="208"/>
    </row>
    <row r="972" hidden="1">
      <c r="A972" s="288">
        <f>IFERROR(__xludf.DUMMYFUNCTION("""COMPUTED_VALUE"""),46192.0)</f>
        <v>46192</v>
      </c>
      <c r="B972" s="274">
        <f>IFERROR(__xludf.DUMMYFUNCTION("""COMPUTED_VALUE"""),0.5)</f>
        <v>0.5</v>
      </c>
      <c r="C972" s="208" t="str">
        <f>IFERROR(__xludf.DUMMYFUNCTION("""COMPUTED_VALUE"""),"Sms")</f>
        <v>Sms</v>
      </c>
      <c r="D972" s="208" t="str">
        <f>IFERROR(__xludf.DUMMYFUNCTION("""COMPUTED_VALUE"""),"Fallback campaign")</f>
        <v>Fallback campaign</v>
      </c>
      <c r="E972" s="208" t="str">
        <f>IFERROR(__xludf.DUMMYFUNCTION("""COMPUTED_VALUE"""),"BBW")</f>
        <v>BBW</v>
      </c>
      <c r="F972" s="208" t="str">
        <f>IFERROR(__xludf.DUMMYFUNCTION("""COMPUTED_VALUE"""),"SAS - June 2026")</f>
        <v>SAS - June 2026</v>
      </c>
      <c r="G972" s="208" t="str">
        <f>IFERROR(__xludf.DUMMYFUNCTION("""COMPUTED_VALUE"""),"bbw_smsfb_sas_cat_hs_19june_predom800_online")</f>
        <v>bbw_smsfb_sas_cat_hs_19june_predom800_online</v>
      </c>
      <c r="H972" s="232" t="str">
        <f>IFERROR(__xludf.DUMMYFUNCTION("""COMPUTED_VALUE"""),"BBW_ON_PREDOM_800_Below")</f>
        <v>BBW_ON_PREDOM_800_Below</v>
      </c>
      <c r="I972" s="233" t="str">
        <f>IFERROR(__xludf.DUMMYFUNCTION("""COMPUTED_VALUE"""),"WA Undelivered")</f>
        <v>WA Undelivered</v>
      </c>
      <c r="J972" s="275">
        <f>IFERROR(__xludf.DUMMYFUNCTION("""COMPUTED_VALUE"""),4423.0)</f>
        <v>4423</v>
      </c>
      <c r="K972" s="275">
        <f>IFERROR(__xludf.DUMMYFUNCTION("""COMPUTED_VALUE"""),2820.0)</f>
        <v>2820</v>
      </c>
      <c r="L972" s="276">
        <f>IFERROR(__xludf.DUMMYFUNCTION("""COMPUTED_VALUE"""),0.6376)</f>
        <v>0.6376</v>
      </c>
      <c r="M972" s="275">
        <f>IFERROR(__xludf.DUMMYFUNCTION("""COMPUTED_VALUE"""),0.0)</f>
        <v>0</v>
      </c>
      <c r="N972" s="276">
        <f>IFERROR(__xludf.DUMMYFUNCTION("""COMPUTED_VALUE"""),0.0)</f>
        <v>0</v>
      </c>
      <c r="O972" s="208">
        <f>IFERROR(__xludf.DUMMYFUNCTION("""COMPUTED_VALUE"""),7.0)</f>
        <v>7</v>
      </c>
      <c r="P972" s="208">
        <f>IFERROR(__xludf.DUMMYFUNCTION("""COMPUTED_VALUE"""),0.0)</f>
        <v>0</v>
      </c>
      <c r="Q972" s="276">
        <f>IFERROR(__xludf.DUMMYFUNCTION("""COMPUTED_VALUE"""),0.0025)</f>
        <v>0.0025</v>
      </c>
      <c r="R972" s="276">
        <f>IFERROR(__xludf.DUMMYFUNCTION("""COMPUTED_VALUE"""),0.0)</f>
        <v>0</v>
      </c>
      <c r="S972" s="208">
        <f>IFERROR(__xludf.DUMMYFUNCTION("""COMPUTED_VALUE"""),1.0)</f>
        <v>1</v>
      </c>
      <c r="T972" s="208">
        <f>IFERROR(__xludf.DUMMYFUNCTION("""COMPUTED_VALUE"""),1.0)</f>
        <v>1</v>
      </c>
      <c r="U972" s="275">
        <f>IFERROR(__xludf.DUMMYFUNCTION("""COMPUTED_VALUE"""),348.0)</f>
        <v>348</v>
      </c>
      <c r="V972" s="234" t="str">
        <f>IFERROR(__xludf.DUMMYFUNCTION("""COMPUTED_VALUE"""),"online")</f>
        <v>online</v>
      </c>
      <c r="W972" s="232" t="str">
        <f>IFERROR(__xludf.DUMMYFUNCTION("""COMPUTED_VALUE"""),"Sms")</f>
        <v>Sms</v>
      </c>
      <c r="X972" s="232" t="str">
        <f>IFERROR(__xludf.DUMMYFUNCTION("""COMPUTED_VALUE"""),"Predom Cart Value")</f>
        <v>Predom Cart Value</v>
      </c>
      <c r="Y972" s="232" t="str">
        <f>IFERROR(__xludf.DUMMYFUNCTION("""COMPUTED_VALUE"""),"19 June")</f>
        <v>19 June</v>
      </c>
      <c r="Z972" s="232" t="str">
        <f>IFERROR(__xludf.DUMMYFUNCTION("""COMPUTED_VALUE"""),"6a33a827157a7d4771f24542")</f>
        <v>6a33a827157a7d4771f24542</v>
      </c>
      <c r="AA972" s="277">
        <f>IFERROR(__xludf.DUMMYFUNCTION("""COMPUTED_VALUE"""),4.0)</f>
        <v>4</v>
      </c>
      <c r="AB972" s="277">
        <f>IFERROR(__xludf.DUMMYFUNCTION("""COMPUTED_VALUE"""),4.0)</f>
        <v>4</v>
      </c>
      <c r="AC972" s="277"/>
      <c r="AD972" s="277">
        <f>IFERROR(__xludf.DUMMYFUNCTION("""COMPUTED_VALUE"""),3677.0)</f>
        <v>3677</v>
      </c>
      <c r="AE972" s="277">
        <f>IFERROR(__xludf.DUMMYFUNCTION("""COMPUTED_VALUE"""),3677.0)</f>
        <v>3677</v>
      </c>
      <c r="AF972" s="277"/>
      <c r="AG972" s="208"/>
      <c r="AH972" s="208"/>
      <c r="AI972" s="208"/>
      <c r="AJ972" s="208"/>
      <c r="AK972" s="208"/>
    </row>
    <row r="973" hidden="1">
      <c r="A973" s="288">
        <f>IFERROR(__xludf.DUMMYFUNCTION("""COMPUTED_VALUE"""),46192.0)</f>
        <v>46192</v>
      </c>
      <c r="B973" s="274">
        <f>IFERROR(__xludf.DUMMYFUNCTION("""COMPUTED_VALUE"""),0.5)</f>
        <v>0.5</v>
      </c>
      <c r="C973" s="208" t="str">
        <f>IFERROR(__xludf.DUMMYFUNCTION("""COMPUTED_VALUE"""),"Sms")</f>
        <v>Sms</v>
      </c>
      <c r="D973" s="208" t="str">
        <f>IFERROR(__xludf.DUMMYFUNCTION("""COMPUTED_VALUE"""),"Fallback campaign")</f>
        <v>Fallback campaign</v>
      </c>
      <c r="E973" s="208" t="str">
        <f>IFERROR(__xludf.DUMMYFUNCTION("""COMPUTED_VALUE"""),"BBW")</f>
        <v>BBW</v>
      </c>
      <c r="F973" s="208" t="str">
        <f>IFERROR(__xludf.DUMMYFUNCTION("""COMPUTED_VALUE"""),"SAS - June 2026")</f>
        <v>SAS - June 2026</v>
      </c>
      <c r="G973" s="208" t="str">
        <f>IFERROR(__xludf.DUMMYFUNCTION("""COMPUTED_VALUE"""),"bbw_smsfb_sas_cat_hs_19june_event_online")</f>
        <v>bbw_smsfb_sas_cat_hs_19june_event_online</v>
      </c>
      <c r="H973" s="232" t="str">
        <f>IFERROR(__xludf.DUMMYFUNCTION("""COMPUTED_VALUE"""),"BBW_ON_HS_Event_Buyers")</f>
        <v>BBW_ON_HS_Event_Buyers</v>
      </c>
      <c r="I973" s="233" t="str">
        <f>IFERROR(__xludf.DUMMYFUNCTION("""COMPUTED_VALUE"""),"WA Undelivered")</f>
        <v>WA Undelivered</v>
      </c>
      <c r="J973" s="275">
        <f>IFERROR(__xludf.DUMMYFUNCTION("""COMPUTED_VALUE"""),1057.0)</f>
        <v>1057</v>
      </c>
      <c r="K973" s="275">
        <f>IFERROR(__xludf.DUMMYFUNCTION("""COMPUTED_VALUE"""),598.0)</f>
        <v>598</v>
      </c>
      <c r="L973" s="276">
        <f>IFERROR(__xludf.DUMMYFUNCTION("""COMPUTED_VALUE"""),0.5658)</f>
        <v>0.5658</v>
      </c>
      <c r="M973" s="275">
        <f>IFERROR(__xludf.DUMMYFUNCTION("""COMPUTED_VALUE"""),0.0)</f>
        <v>0</v>
      </c>
      <c r="N973" s="276">
        <f>IFERROR(__xludf.DUMMYFUNCTION("""COMPUTED_VALUE"""),0.0)</f>
        <v>0</v>
      </c>
      <c r="O973" s="208">
        <f>IFERROR(__xludf.DUMMYFUNCTION("""COMPUTED_VALUE"""),0.0)</f>
        <v>0</v>
      </c>
      <c r="P973" s="208">
        <f>IFERROR(__xludf.DUMMYFUNCTION("""COMPUTED_VALUE"""),0.0)</f>
        <v>0</v>
      </c>
      <c r="Q973" s="276">
        <f>IFERROR(__xludf.DUMMYFUNCTION("""COMPUTED_VALUE"""),0.0)</f>
        <v>0</v>
      </c>
      <c r="R973" s="276">
        <f>IFERROR(__xludf.DUMMYFUNCTION("""COMPUTED_VALUE"""),0.0)</f>
        <v>0</v>
      </c>
      <c r="S973" s="208">
        <f>IFERROR(__xludf.DUMMYFUNCTION("""COMPUTED_VALUE"""),0.0)</f>
        <v>0</v>
      </c>
      <c r="T973" s="208">
        <f>IFERROR(__xludf.DUMMYFUNCTION("""COMPUTED_VALUE"""),0.0)</f>
        <v>0</v>
      </c>
      <c r="U973" s="275">
        <f>IFERROR(__xludf.DUMMYFUNCTION("""COMPUTED_VALUE"""),0.0)</f>
        <v>0</v>
      </c>
      <c r="V973" s="234" t="str">
        <f>IFERROR(__xludf.DUMMYFUNCTION("""COMPUTED_VALUE"""),"online")</f>
        <v>online</v>
      </c>
      <c r="W973" s="232" t="str">
        <f>IFERROR(__xludf.DUMMYFUNCTION("""COMPUTED_VALUE"""),"Sms")</f>
        <v>Sms</v>
      </c>
      <c r="X973" s="232" t="str">
        <f>IFERROR(__xludf.DUMMYFUNCTION("""COMPUTED_VALUE"""),"Event Buyers")</f>
        <v>Event Buyers</v>
      </c>
      <c r="Y973" s="232" t="str">
        <f>IFERROR(__xludf.DUMMYFUNCTION("""COMPUTED_VALUE"""),"19 June")</f>
        <v>19 June</v>
      </c>
      <c r="Z973" s="232" t="str">
        <f>IFERROR(__xludf.DUMMYFUNCTION("""COMPUTED_VALUE"""),"6a33a8d365d2a82e6a632d7f")</f>
        <v>6a33a8d365d2a82e6a632d7f</v>
      </c>
      <c r="AA973" s="277">
        <f>IFERROR(__xludf.DUMMYFUNCTION("""COMPUTED_VALUE"""),0.0)</f>
        <v>0</v>
      </c>
      <c r="AB973" s="277">
        <f>IFERROR(__xludf.DUMMYFUNCTION("""COMPUTED_VALUE"""),0.0)</f>
        <v>0</v>
      </c>
      <c r="AC973" s="277"/>
      <c r="AD973" s="277">
        <f>IFERROR(__xludf.DUMMYFUNCTION("""COMPUTED_VALUE"""),0.0)</f>
        <v>0</v>
      </c>
      <c r="AE973" s="277">
        <f>IFERROR(__xludf.DUMMYFUNCTION("""COMPUTED_VALUE"""),0.0)</f>
        <v>0</v>
      </c>
      <c r="AF973" s="277"/>
      <c r="AG973" s="208"/>
      <c r="AH973" s="208"/>
      <c r="AI973" s="208"/>
      <c r="AJ973" s="208"/>
      <c r="AK973" s="208"/>
    </row>
    <row r="974" hidden="1">
      <c r="A974" s="288">
        <f>IFERROR(__xludf.DUMMYFUNCTION("""COMPUTED_VALUE"""),46192.0)</f>
        <v>46192</v>
      </c>
      <c r="B974" s="274">
        <f>IFERROR(__xludf.DUMMYFUNCTION("""COMPUTED_VALUE"""),0.5)</f>
        <v>0.5</v>
      </c>
      <c r="C974" s="208" t="str">
        <f>IFERROR(__xludf.DUMMYFUNCTION("""COMPUTED_VALUE"""),"Sms")</f>
        <v>Sms</v>
      </c>
      <c r="D974" s="208" t="str">
        <f>IFERROR(__xludf.DUMMYFUNCTION("""COMPUTED_VALUE"""),"Fallback campaign")</f>
        <v>Fallback campaign</v>
      </c>
      <c r="E974" s="208" t="str">
        <f>IFERROR(__xludf.DUMMYFUNCTION("""COMPUTED_VALUE"""),"BBW")</f>
        <v>BBW</v>
      </c>
      <c r="F974" s="208" t="str">
        <f>IFERROR(__xludf.DUMMYFUNCTION("""COMPUTED_VALUE"""),"SAS - June 2026")</f>
        <v>SAS - June 2026</v>
      </c>
      <c r="G974" s="208" t="str">
        <f>IFERROR(__xludf.DUMMYFUNCTION("""COMPUTED_VALUE"""),"bbw_smsfb_sas_cat_candles_19june_offline")</f>
        <v>bbw_smsfb_sas_cat_candles_19june_offline</v>
      </c>
      <c r="H974" s="232" t="str">
        <f>IFERROR(__xludf.DUMMYFUNCTION("""COMPUTED_VALUE"""),"BBW_Candle_365D_OFF")</f>
        <v>BBW_Candle_365D_OFF</v>
      </c>
      <c r="I974" s="233" t="str">
        <f>IFERROR(__xludf.DUMMYFUNCTION("""COMPUTED_VALUE"""),"WA Undelivered")</f>
        <v>WA Undelivered</v>
      </c>
      <c r="J974" s="275">
        <f>IFERROR(__xludf.DUMMYFUNCTION("""COMPUTED_VALUE"""),11288.0)</f>
        <v>11288</v>
      </c>
      <c r="K974" s="275">
        <f>IFERROR(__xludf.DUMMYFUNCTION("""COMPUTED_VALUE"""),6362.0)</f>
        <v>6362</v>
      </c>
      <c r="L974" s="276">
        <f>IFERROR(__xludf.DUMMYFUNCTION("""COMPUTED_VALUE"""),0.5636)</f>
        <v>0.5636</v>
      </c>
      <c r="M974" s="275">
        <f>IFERROR(__xludf.DUMMYFUNCTION("""COMPUTED_VALUE"""),0.0)</f>
        <v>0</v>
      </c>
      <c r="N974" s="276">
        <f>IFERROR(__xludf.DUMMYFUNCTION("""COMPUTED_VALUE"""),0.0)</f>
        <v>0</v>
      </c>
      <c r="O974" s="208">
        <f>IFERROR(__xludf.DUMMYFUNCTION("""COMPUTED_VALUE"""),9.0)</f>
        <v>9</v>
      </c>
      <c r="P974" s="208">
        <f>IFERROR(__xludf.DUMMYFUNCTION("""COMPUTED_VALUE"""),0.0)</f>
        <v>0</v>
      </c>
      <c r="Q974" s="276">
        <f>IFERROR(__xludf.DUMMYFUNCTION("""COMPUTED_VALUE"""),0.0014)</f>
        <v>0.0014</v>
      </c>
      <c r="R974" s="276">
        <f>IFERROR(__xludf.DUMMYFUNCTION("""COMPUTED_VALUE"""),0.0)</f>
        <v>0</v>
      </c>
      <c r="S974" s="208">
        <f>IFERROR(__xludf.DUMMYFUNCTION("""COMPUTED_VALUE"""),0.0)</f>
        <v>0</v>
      </c>
      <c r="T974" s="208">
        <f>IFERROR(__xludf.DUMMYFUNCTION("""COMPUTED_VALUE"""),1.0)</f>
        <v>1</v>
      </c>
      <c r="U974" s="275">
        <f>IFERROR(__xludf.DUMMYFUNCTION("""COMPUTED_VALUE"""),0.0)</f>
        <v>0</v>
      </c>
      <c r="V974" s="234" t="str">
        <f>IFERROR(__xludf.DUMMYFUNCTION("""COMPUTED_VALUE"""),"offline")</f>
        <v>offline</v>
      </c>
      <c r="W974" s="232" t="str">
        <f>IFERROR(__xludf.DUMMYFUNCTION("""COMPUTED_VALUE"""),"Sms")</f>
        <v>Sms</v>
      </c>
      <c r="X974" s="232" t="str">
        <f>IFERROR(__xludf.DUMMYFUNCTION("""COMPUTED_VALUE"""),"Candle")</f>
        <v>Candle</v>
      </c>
      <c r="Y974" s="232" t="str">
        <f>IFERROR(__xludf.DUMMYFUNCTION("""COMPUTED_VALUE"""),"19 June")</f>
        <v>19 June</v>
      </c>
      <c r="Z974" s="232" t="str">
        <f>IFERROR(__xludf.DUMMYFUNCTION("""COMPUTED_VALUE"""),"6a33aaf6dfa9555ba2b4a807")</f>
        <v>6a33aaf6dfa9555ba2b4a807</v>
      </c>
      <c r="AA974" s="277">
        <f>IFERROR(__xludf.DUMMYFUNCTION("""COMPUTED_VALUE"""),8.0)</f>
        <v>8</v>
      </c>
      <c r="AB974" s="277"/>
      <c r="AC974" s="277">
        <f>IFERROR(__xludf.DUMMYFUNCTION("""COMPUTED_VALUE"""),8.0)</f>
        <v>8</v>
      </c>
      <c r="AD974" s="277">
        <f>IFERROR(__xludf.DUMMYFUNCTION("""COMPUTED_VALUE"""),39391.0)</f>
        <v>39391</v>
      </c>
      <c r="AE974" s="277"/>
      <c r="AF974" s="277">
        <f>IFERROR(__xludf.DUMMYFUNCTION("""COMPUTED_VALUE"""),39391.0)</f>
        <v>39391</v>
      </c>
      <c r="AG974" s="208"/>
      <c r="AH974" s="208"/>
      <c r="AI974" s="208"/>
      <c r="AJ974" s="208"/>
      <c r="AK974" s="208"/>
    </row>
    <row r="975" hidden="1">
      <c r="A975" s="288">
        <f>IFERROR(__xludf.DUMMYFUNCTION("""COMPUTED_VALUE"""),46194.0)</f>
        <v>46194</v>
      </c>
      <c r="B975" s="274">
        <f>IFERROR(__xludf.DUMMYFUNCTION("""COMPUTED_VALUE"""),0.5416666666678793)</f>
        <v>0.5416666667</v>
      </c>
      <c r="C975" s="208" t="str">
        <f>IFERROR(__xludf.DUMMYFUNCTION("""COMPUTED_VALUE"""),"Sms")</f>
        <v>Sms</v>
      </c>
      <c r="D975" s="208" t="str">
        <f>IFERROR(__xludf.DUMMYFUNCTION("""COMPUTED_VALUE"""),"Fallback campaign")</f>
        <v>Fallback campaign</v>
      </c>
      <c r="E975" s="208" t="str">
        <f>IFERROR(__xludf.DUMMYFUNCTION("""COMPUTED_VALUE"""),"BBW")</f>
        <v>BBW</v>
      </c>
      <c r="F975" s="208" t="str">
        <f>IFERROR(__xludf.DUMMYFUNCTION("""COMPUTED_VALUE"""),"SAS - June 2026")</f>
        <v>SAS - June 2026</v>
      </c>
      <c r="G975" s="208" t="str">
        <f>IFERROR(__xludf.DUMMYFUNCTION("""COMPUTED_VALUE"""),"bbw_smsfb_sas_cat_bodycare_21june_repeat_offline")</f>
        <v>bbw_smsfb_sas_cat_bodycare_21june_repeat_offline</v>
      </c>
      <c r="H975" s="232" t="str">
        <f>IFERROR(__xludf.DUMMYFUNCTION("""COMPUTED_VALUE"""),"BodyCare_Repeat_180D_OFF")</f>
        <v>BodyCare_Repeat_180D_OFF</v>
      </c>
      <c r="I975" s="233" t="str">
        <f>IFERROR(__xludf.DUMMYFUNCTION("""COMPUTED_VALUE"""),"WA Undelivered")</f>
        <v>WA Undelivered</v>
      </c>
      <c r="J975" s="275">
        <f>IFERROR(__xludf.DUMMYFUNCTION("""COMPUTED_VALUE"""),64666.0)</f>
        <v>64666</v>
      </c>
      <c r="K975" s="275">
        <f>IFERROR(__xludf.DUMMYFUNCTION("""COMPUTED_VALUE"""),36587.0)</f>
        <v>36587</v>
      </c>
      <c r="L975" s="276">
        <f>IFERROR(__xludf.DUMMYFUNCTION("""COMPUTED_VALUE"""),0.5658)</f>
        <v>0.5658</v>
      </c>
      <c r="M975" s="275">
        <f>IFERROR(__xludf.DUMMYFUNCTION("""COMPUTED_VALUE"""),0.0)</f>
        <v>0</v>
      </c>
      <c r="N975" s="276">
        <f>IFERROR(__xludf.DUMMYFUNCTION("""COMPUTED_VALUE"""),0.0)</f>
        <v>0</v>
      </c>
      <c r="O975" s="208">
        <f>IFERROR(__xludf.DUMMYFUNCTION("""COMPUTED_VALUE"""),56.0)</f>
        <v>56</v>
      </c>
      <c r="P975" s="208">
        <f>IFERROR(__xludf.DUMMYFUNCTION("""COMPUTED_VALUE"""),0.0)</f>
        <v>0</v>
      </c>
      <c r="Q975" s="276">
        <f>IFERROR(__xludf.DUMMYFUNCTION("""COMPUTED_VALUE"""),0.0015)</f>
        <v>0.0015</v>
      </c>
      <c r="R975" s="276">
        <f>IFERROR(__xludf.DUMMYFUNCTION("""COMPUTED_VALUE"""),0.0)</f>
        <v>0</v>
      </c>
      <c r="S975" s="208">
        <f>IFERROR(__xludf.DUMMYFUNCTION("""COMPUTED_VALUE"""),1.0)</f>
        <v>1</v>
      </c>
      <c r="T975" s="208">
        <f>IFERROR(__xludf.DUMMYFUNCTION("""COMPUTED_VALUE"""),6.0)</f>
        <v>6</v>
      </c>
      <c r="U975" s="275">
        <f>IFERROR(__xludf.DUMMYFUNCTION("""COMPUTED_VALUE"""),2019.0)</f>
        <v>2019</v>
      </c>
      <c r="V975" s="234" t="str">
        <f>IFERROR(__xludf.DUMMYFUNCTION("""COMPUTED_VALUE"""),"offline")</f>
        <v>offline</v>
      </c>
      <c r="W975" s="232" t="str">
        <f>IFERROR(__xludf.DUMMYFUNCTION("""COMPUTED_VALUE"""),"Sms")</f>
        <v>Sms</v>
      </c>
      <c r="X975" s="232" t="str">
        <f>IFERROR(__xludf.DUMMYFUNCTION("""COMPUTED_VALUE"""),"Repeat - Body Care")</f>
        <v>Repeat - Body Care</v>
      </c>
      <c r="Y975" s="232" t="str">
        <f>IFERROR(__xludf.DUMMYFUNCTION("""COMPUTED_VALUE"""),"21 June")</f>
        <v>21 June</v>
      </c>
      <c r="Z975" s="232" t="str">
        <f>IFERROR(__xludf.DUMMYFUNCTION("""COMPUTED_VALUE"""),"6a33b09ea2347851df960d3e")</f>
        <v>6a33b09ea2347851df960d3e</v>
      </c>
      <c r="AA975" s="277">
        <f>IFERROR(__xludf.DUMMYFUNCTION("""COMPUTED_VALUE"""),195.0)</f>
        <v>195</v>
      </c>
      <c r="AB975" s="277"/>
      <c r="AC975" s="277">
        <f>IFERROR(__xludf.DUMMYFUNCTION("""COMPUTED_VALUE"""),195.0)</f>
        <v>195</v>
      </c>
      <c r="AD975" s="277">
        <f>IFERROR(__xludf.DUMMYFUNCTION("""COMPUTED_VALUE"""),831781.0)</f>
        <v>831781</v>
      </c>
      <c r="AE975" s="277"/>
      <c r="AF975" s="277">
        <f>IFERROR(__xludf.DUMMYFUNCTION("""COMPUTED_VALUE"""),831781.0)</f>
        <v>831781</v>
      </c>
      <c r="AG975" s="208"/>
      <c r="AH975" s="208"/>
      <c r="AI975" s="208"/>
      <c r="AJ975" s="208"/>
      <c r="AK975" s="208"/>
    </row>
    <row r="976" hidden="1">
      <c r="A976" s="288">
        <f>IFERROR(__xludf.DUMMYFUNCTION("""COMPUTED_VALUE"""),46194.0)</f>
        <v>46194</v>
      </c>
      <c r="B976" s="274">
        <f>IFERROR(__xludf.DUMMYFUNCTION("""COMPUTED_VALUE"""),0.5416666666678793)</f>
        <v>0.5416666667</v>
      </c>
      <c r="C976" s="208" t="str">
        <f>IFERROR(__xludf.DUMMYFUNCTION("""COMPUTED_VALUE"""),"Sms")</f>
        <v>Sms</v>
      </c>
      <c r="D976" s="208" t="str">
        <f>IFERROR(__xludf.DUMMYFUNCTION("""COMPUTED_VALUE"""),"Fallback campaign")</f>
        <v>Fallback campaign</v>
      </c>
      <c r="E976" s="208" t="str">
        <f>IFERROR(__xludf.DUMMYFUNCTION("""COMPUTED_VALUE"""),"BBW")</f>
        <v>BBW</v>
      </c>
      <c r="F976" s="208" t="str">
        <f>IFERROR(__xludf.DUMMYFUNCTION("""COMPUTED_VALUE"""),"SAS - June 2026")</f>
        <v>SAS - June 2026</v>
      </c>
      <c r="G976" s="208" t="str">
        <f>IFERROR(__xludf.DUMMYFUNCTION("""COMPUTED_VALUE"""),"bbw_smsfb_sas_cat_bodycare_21june_aov_offline")</f>
        <v>bbw_smsfb_sas_cat_bodycare_21june_aov_offline</v>
      </c>
      <c r="H976" s="232" t="str">
        <f>IFERROR(__xludf.DUMMYFUNCTION("""COMPUTED_VALUE"""),"BodyCare_AOV_1000_OFF")</f>
        <v>BodyCare_AOV_1000_OFF</v>
      </c>
      <c r="I976" s="233" t="str">
        <f>IFERROR(__xludf.DUMMYFUNCTION("""COMPUTED_VALUE"""),"WA Undelivered")</f>
        <v>WA Undelivered</v>
      </c>
      <c r="J976" s="275">
        <f>IFERROR(__xludf.DUMMYFUNCTION("""COMPUTED_VALUE"""),58.0)</f>
        <v>58</v>
      </c>
      <c r="K976" s="275">
        <f>IFERROR(__xludf.DUMMYFUNCTION("""COMPUTED_VALUE"""),25.0)</f>
        <v>25</v>
      </c>
      <c r="L976" s="276">
        <f>IFERROR(__xludf.DUMMYFUNCTION("""COMPUTED_VALUE"""),0.431)</f>
        <v>0.431</v>
      </c>
      <c r="M976" s="275">
        <f>IFERROR(__xludf.DUMMYFUNCTION("""COMPUTED_VALUE"""),0.0)</f>
        <v>0</v>
      </c>
      <c r="N976" s="276">
        <f>IFERROR(__xludf.DUMMYFUNCTION("""COMPUTED_VALUE"""),0.0)</f>
        <v>0</v>
      </c>
      <c r="O976" s="208">
        <f>IFERROR(__xludf.DUMMYFUNCTION("""COMPUTED_VALUE"""),0.0)</f>
        <v>0</v>
      </c>
      <c r="P976" s="208">
        <f>IFERROR(__xludf.DUMMYFUNCTION("""COMPUTED_VALUE"""),0.0)</f>
        <v>0</v>
      </c>
      <c r="Q976" s="276">
        <f>IFERROR(__xludf.DUMMYFUNCTION("""COMPUTED_VALUE"""),0.0)</f>
        <v>0</v>
      </c>
      <c r="R976" s="276">
        <f>IFERROR(__xludf.DUMMYFUNCTION("""COMPUTED_VALUE"""),0.0)</f>
        <v>0</v>
      </c>
      <c r="S976" s="208">
        <f>IFERROR(__xludf.DUMMYFUNCTION("""COMPUTED_VALUE"""),0.0)</f>
        <v>0</v>
      </c>
      <c r="T976" s="208">
        <f>IFERROR(__xludf.DUMMYFUNCTION("""COMPUTED_VALUE"""),0.0)</f>
        <v>0</v>
      </c>
      <c r="U976" s="275">
        <f>IFERROR(__xludf.DUMMYFUNCTION("""COMPUTED_VALUE"""),0.0)</f>
        <v>0</v>
      </c>
      <c r="V976" s="234" t="str">
        <f>IFERROR(__xludf.DUMMYFUNCTION("""COMPUTED_VALUE"""),"offline")</f>
        <v>offline</v>
      </c>
      <c r="W976" s="232" t="str">
        <f>IFERROR(__xludf.DUMMYFUNCTION("""COMPUTED_VALUE"""),"Sms")</f>
        <v>Sms</v>
      </c>
      <c r="X976" s="232" t="str">
        <f>IFERROR(__xludf.DUMMYFUNCTION("""COMPUTED_VALUE"""),"Cat Buyer - Body Care + Cart Value")</f>
        <v>Cat Buyer - Body Care + Cart Value</v>
      </c>
      <c r="Y976" s="232" t="str">
        <f>IFERROR(__xludf.DUMMYFUNCTION("""COMPUTED_VALUE"""),"21-23 June")</f>
        <v>21-23 June</v>
      </c>
      <c r="Z976" s="232" t="str">
        <f>IFERROR(__xludf.DUMMYFUNCTION("""COMPUTED_VALUE"""),"6a33b0e44702666afddfb5f0")</f>
        <v>6a33b0e44702666afddfb5f0</v>
      </c>
      <c r="AA976" s="277">
        <f>IFERROR(__xludf.DUMMYFUNCTION("""COMPUTED_VALUE"""),0.0)</f>
        <v>0</v>
      </c>
      <c r="AB976" s="277"/>
      <c r="AC976" s="277">
        <f>IFERROR(__xludf.DUMMYFUNCTION("""COMPUTED_VALUE"""),0.0)</f>
        <v>0</v>
      </c>
      <c r="AD976" s="277">
        <f>IFERROR(__xludf.DUMMYFUNCTION("""COMPUTED_VALUE"""),0.0)</f>
        <v>0</v>
      </c>
      <c r="AE976" s="277"/>
      <c r="AF976" s="277">
        <f>IFERROR(__xludf.DUMMYFUNCTION("""COMPUTED_VALUE"""),0.0)</f>
        <v>0</v>
      </c>
      <c r="AG976" s="208"/>
      <c r="AH976" s="208"/>
      <c r="AI976" s="208"/>
      <c r="AJ976" s="208"/>
      <c r="AK976" s="208"/>
    </row>
    <row r="977" hidden="1">
      <c r="A977" s="288">
        <f>IFERROR(__xludf.DUMMYFUNCTION("""COMPUTED_VALUE"""),46194.0)</f>
        <v>46194</v>
      </c>
      <c r="B977" s="274">
        <f>IFERROR(__xludf.DUMMYFUNCTION("""COMPUTED_VALUE"""),0.5416666666678793)</f>
        <v>0.5416666667</v>
      </c>
      <c r="C977" s="208" t="str">
        <f>IFERROR(__xludf.DUMMYFUNCTION("""COMPUTED_VALUE"""),"Sms")</f>
        <v>Sms</v>
      </c>
      <c r="D977" s="208" t="str">
        <f>IFERROR(__xludf.DUMMYFUNCTION("""COMPUTED_VALUE"""),"Fallback campaign")</f>
        <v>Fallback campaign</v>
      </c>
      <c r="E977" s="208" t="str">
        <f>IFERROR(__xludf.DUMMYFUNCTION("""COMPUTED_VALUE"""),"BBW")</f>
        <v>BBW</v>
      </c>
      <c r="F977" s="208" t="str">
        <f>IFERROR(__xludf.DUMMYFUNCTION("""COMPUTED_VALUE"""),"SAS - June 2026")</f>
        <v>SAS - June 2026</v>
      </c>
      <c r="G977" s="208" t="str">
        <f>IFERROR(__xludf.DUMMYFUNCTION("""COMPUTED_VALUE"""),"bbw_smsfb_sas_cat_bodycare_21june_event_offline")</f>
        <v>bbw_smsfb_sas_cat_bodycare_21june_event_offline</v>
      </c>
      <c r="H977" s="232" t="str">
        <f>IFERROR(__xludf.DUMMYFUNCTION("""COMPUTED_VALUE"""),"BC_EventBuyers_OFF")</f>
        <v>BC_EventBuyers_OFF</v>
      </c>
      <c r="I977" s="233" t="str">
        <f>IFERROR(__xludf.DUMMYFUNCTION("""COMPUTED_VALUE"""),"WA Undelivered")</f>
        <v>WA Undelivered</v>
      </c>
      <c r="J977" s="275">
        <f>IFERROR(__xludf.DUMMYFUNCTION("""COMPUTED_VALUE"""),7476.0)</f>
        <v>7476</v>
      </c>
      <c r="K977" s="275">
        <f>IFERROR(__xludf.DUMMYFUNCTION("""COMPUTED_VALUE"""),4117.0)</f>
        <v>4117</v>
      </c>
      <c r="L977" s="276">
        <f>IFERROR(__xludf.DUMMYFUNCTION("""COMPUTED_VALUE"""),0.5507)</f>
        <v>0.5507</v>
      </c>
      <c r="M977" s="275">
        <f>IFERROR(__xludf.DUMMYFUNCTION("""COMPUTED_VALUE"""),0.0)</f>
        <v>0</v>
      </c>
      <c r="N977" s="276">
        <f>IFERROR(__xludf.DUMMYFUNCTION("""COMPUTED_VALUE"""),0.0)</f>
        <v>0</v>
      </c>
      <c r="O977" s="208">
        <f>IFERROR(__xludf.DUMMYFUNCTION("""COMPUTED_VALUE"""),3.0)</f>
        <v>3</v>
      </c>
      <c r="P977" s="208">
        <f>IFERROR(__xludf.DUMMYFUNCTION("""COMPUTED_VALUE"""),0.0)</f>
        <v>0</v>
      </c>
      <c r="Q977" s="276">
        <f>IFERROR(__xludf.DUMMYFUNCTION("""COMPUTED_VALUE"""),7.0E-4)</f>
        <v>0.0007</v>
      </c>
      <c r="R977" s="276">
        <f>IFERROR(__xludf.DUMMYFUNCTION("""COMPUTED_VALUE"""),0.0)</f>
        <v>0</v>
      </c>
      <c r="S977" s="208">
        <f>IFERROR(__xludf.DUMMYFUNCTION("""COMPUTED_VALUE"""),0.0)</f>
        <v>0</v>
      </c>
      <c r="T977" s="208">
        <f>IFERROR(__xludf.DUMMYFUNCTION("""COMPUTED_VALUE"""),0.0)</f>
        <v>0</v>
      </c>
      <c r="U977" s="275">
        <f>IFERROR(__xludf.DUMMYFUNCTION("""COMPUTED_VALUE"""),0.0)</f>
        <v>0</v>
      </c>
      <c r="V977" s="234" t="str">
        <f>IFERROR(__xludf.DUMMYFUNCTION("""COMPUTED_VALUE"""),"offline")</f>
        <v>offline</v>
      </c>
      <c r="W977" s="232" t="str">
        <f>IFERROR(__xludf.DUMMYFUNCTION("""COMPUTED_VALUE"""),"Sms")</f>
        <v>Sms</v>
      </c>
      <c r="X977" s="232" t="str">
        <f>IFERROR(__xludf.DUMMYFUNCTION("""COMPUTED_VALUE"""),"Event Buyers")</f>
        <v>Event Buyers</v>
      </c>
      <c r="Y977" s="232" t="str">
        <f>IFERROR(__xludf.DUMMYFUNCTION("""COMPUTED_VALUE"""),"21-23 June")</f>
        <v>21-23 June</v>
      </c>
      <c r="Z977" s="232" t="str">
        <f>IFERROR(__xludf.DUMMYFUNCTION("""COMPUTED_VALUE"""),"6a33b166fd57262a41d77e0e")</f>
        <v>6a33b166fd57262a41d77e0e</v>
      </c>
      <c r="AA977" s="277">
        <f>IFERROR(__xludf.DUMMYFUNCTION("""COMPUTED_VALUE"""),22.0)</f>
        <v>22</v>
      </c>
      <c r="AB977" s="277"/>
      <c r="AC977" s="277">
        <f>IFERROR(__xludf.DUMMYFUNCTION("""COMPUTED_VALUE"""),22.0)</f>
        <v>22</v>
      </c>
      <c r="AD977" s="277">
        <f>IFERROR(__xludf.DUMMYFUNCTION("""COMPUTED_VALUE"""),22.0)</f>
        <v>22</v>
      </c>
      <c r="AE977" s="277"/>
      <c r="AF977" s="277">
        <f>IFERROR(__xludf.DUMMYFUNCTION("""COMPUTED_VALUE"""),22.0)</f>
        <v>22</v>
      </c>
      <c r="AG977" s="208"/>
      <c r="AH977" s="208"/>
      <c r="AI977" s="208"/>
      <c r="AJ977" s="208"/>
      <c r="AK977" s="208"/>
    </row>
    <row r="978" hidden="1">
      <c r="A978" s="288">
        <f>IFERROR(__xludf.DUMMYFUNCTION("""COMPUTED_VALUE"""),46194.0)</f>
        <v>46194</v>
      </c>
      <c r="B978" s="274">
        <f>IFERROR(__xludf.DUMMYFUNCTION("""COMPUTED_VALUE"""),0.5416666666678793)</f>
        <v>0.5416666667</v>
      </c>
      <c r="C978" s="208" t="str">
        <f>IFERROR(__xludf.DUMMYFUNCTION("""COMPUTED_VALUE"""),"Sms")</f>
        <v>Sms</v>
      </c>
      <c r="D978" s="208" t="str">
        <f>IFERROR(__xludf.DUMMYFUNCTION("""COMPUTED_VALUE"""),"Fallback campaign")</f>
        <v>Fallback campaign</v>
      </c>
      <c r="E978" s="208" t="str">
        <f>IFERROR(__xludf.DUMMYFUNCTION("""COMPUTED_VALUE"""),"BBW")</f>
        <v>BBW</v>
      </c>
      <c r="F978" s="208" t="str">
        <f>IFERROR(__xludf.DUMMYFUNCTION("""COMPUTED_VALUE"""),"SAS - June 2026")</f>
        <v>SAS - June 2026</v>
      </c>
      <c r="G978" s="208" t="str">
        <f>IFERROR(__xludf.DUMMYFUNCTION("""COMPUTED_VALUE"""),"bbw_smsfb_sas_cat_bodycare_21june_dormant_offline")</f>
        <v>bbw_smsfb_sas_cat_bodycare_21june_dormant_offline</v>
      </c>
      <c r="H978" s="232" t="str">
        <f>IFERROR(__xludf.DUMMYFUNCTION("""COMPUTED_VALUE"""),"BC_Dormant_1Y_OFF")</f>
        <v>BC_Dormant_1Y_OFF</v>
      </c>
      <c r="I978" s="233" t="str">
        <f>IFERROR(__xludf.DUMMYFUNCTION("""COMPUTED_VALUE"""),"WA Undelivered")</f>
        <v>WA Undelivered</v>
      </c>
      <c r="J978" s="275">
        <f>IFERROR(__xludf.DUMMYFUNCTION("""COMPUTED_VALUE"""),66732.0)</f>
        <v>66732</v>
      </c>
      <c r="K978" s="275">
        <f>IFERROR(__xludf.DUMMYFUNCTION("""COMPUTED_VALUE"""),37583.0)</f>
        <v>37583</v>
      </c>
      <c r="L978" s="276">
        <f>IFERROR(__xludf.DUMMYFUNCTION("""COMPUTED_VALUE"""),0.5632)</f>
        <v>0.5632</v>
      </c>
      <c r="M978" s="275">
        <f>IFERROR(__xludf.DUMMYFUNCTION("""COMPUTED_VALUE"""),0.0)</f>
        <v>0</v>
      </c>
      <c r="N978" s="276">
        <f>IFERROR(__xludf.DUMMYFUNCTION("""COMPUTED_VALUE"""),0.0)</f>
        <v>0</v>
      </c>
      <c r="O978" s="208">
        <f>IFERROR(__xludf.DUMMYFUNCTION("""COMPUTED_VALUE"""),45.0)</f>
        <v>45</v>
      </c>
      <c r="P978" s="208">
        <f>IFERROR(__xludf.DUMMYFUNCTION("""COMPUTED_VALUE"""),0.0)</f>
        <v>0</v>
      </c>
      <c r="Q978" s="276">
        <f>IFERROR(__xludf.DUMMYFUNCTION("""COMPUTED_VALUE"""),0.0012)</f>
        <v>0.0012</v>
      </c>
      <c r="R978" s="276">
        <f>IFERROR(__xludf.DUMMYFUNCTION("""COMPUTED_VALUE"""),0.0)</f>
        <v>0</v>
      </c>
      <c r="S978" s="208">
        <f>IFERROR(__xludf.DUMMYFUNCTION("""COMPUTED_VALUE"""),1.0)</f>
        <v>1</v>
      </c>
      <c r="T978" s="208">
        <f>IFERROR(__xludf.DUMMYFUNCTION("""COMPUTED_VALUE"""),3.0)</f>
        <v>3</v>
      </c>
      <c r="U978" s="275">
        <f>IFERROR(__xludf.DUMMYFUNCTION("""COMPUTED_VALUE"""),969.0)</f>
        <v>969</v>
      </c>
      <c r="V978" s="234" t="str">
        <f>IFERROR(__xludf.DUMMYFUNCTION("""COMPUTED_VALUE"""),"offline")</f>
        <v>offline</v>
      </c>
      <c r="W978" s="232" t="str">
        <f>IFERROR(__xludf.DUMMYFUNCTION("""COMPUTED_VALUE"""),"Sms")</f>
        <v>Sms</v>
      </c>
      <c r="X978" s="232" t="str">
        <f>IFERROR(__xludf.DUMMYFUNCTION("""COMPUTED_VALUE"""),"Dormant - Body Care")</f>
        <v>Dormant - Body Care</v>
      </c>
      <c r="Y978" s="232" t="str">
        <f>IFERROR(__xludf.DUMMYFUNCTION("""COMPUTED_VALUE"""),"21-23 June")</f>
        <v>21-23 June</v>
      </c>
      <c r="Z978" s="232" t="str">
        <f>IFERROR(__xludf.DUMMYFUNCTION("""COMPUTED_VALUE"""),"6a33b20cf2e3c867beb079a1")</f>
        <v>6a33b20cf2e3c867beb079a1</v>
      </c>
      <c r="AA978" s="277">
        <f>IFERROR(__xludf.DUMMYFUNCTION("""COMPUTED_VALUE"""),201.0)</f>
        <v>201</v>
      </c>
      <c r="AB978" s="277"/>
      <c r="AC978" s="277">
        <f>IFERROR(__xludf.DUMMYFUNCTION("""COMPUTED_VALUE"""),201.0)</f>
        <v>201</v>
      </c>
      <c r="AD978" s="277">
        <f>IFERROR(__xludf.DUMMYFUNCTION("""COMPUTED_VALUE"""),798784.0)</f>
        <v>798784</v>
      </c>
      <c r="AE978" s="277"/>
      <c r="AF978" s="277">
        <f>IFERROR(__xludf.DUMMYFUNCTION("""COMPUTED_VALUE"""),798784.0)</f>
        <v>798784</v>
      </c>
      <c r="AG978" s="208"/>
      <c r="AH978" s="208"/>
      <c r="AI978" s="208"/>
      <c r="AJ978" s="208"/>
      <c r="AK978" s="208"/>
    </row>
    <row r="979" hidden="1">
      <c r="A979" s="288">
        <f>IFERROR(__xludf.DUMMYFUNCTION("""COMPUTED_VALUE"""),46194.0)</f>
        <v>46194</v>
      </c>
      <c r="B979" s="274">
        <f>IFERROR(__xludf.DUMMYFUNCTION("""COMPUTED_VALUE"""),0.5416666666678793)</f>
        <v>0.5416666667</v>
      </c>
      <c r="C979" s="208" t="str">
        <f>IFERROR(__xludf.DUMMYFUNCTION("""COMPUTED_VALUE"""),"Sms")</f>
        <v>Sms</v>
      </c>
      <c r="D979" s="208" t="str">
        <f>IFERROR(__xludf.DUMMYFUNCTION("""COMPUTED_VALUE"""),"Fallback campaign")</f>
        <v>Fallback campaign</v>
      </c>
      <c r="E979" s="208" t="str">
        <f>IFERROR(__xludf.DUMMYFUNCTION("""COMPUTED_VALUE"""),"BBW")</f>
        <v>BBW</v>
      </c>
      <c r="F979" s="208" t="str">
        <f>IFERROR(__xludf.DUMMYFUNCTION("""COMPUTED_VALUE"""),"SAS - June 2026")</f>
        <v>SAS - June 2026</v>
      </c>
      <c r="G979" s="208" t="str">
        <f>IFERROR(__xludf.DUMMYFUNCTION("""COMPUTED_VALUE"""),"bbw_smsfb_sas_cat_bodycare_21june_discbuyers_offline")</f>
        <v>bbw_smsfb_sas_cat_bodycare_21june_discbuyers_offline</v>
      </c>
      <c r="H979" s="232" t="str">
        <f>IFERROR(__xludf.DUMMYFUNCTION("""COMPUTED_VALUE"""),"BC_Disc_Buyers_OFF")</f>
        <v>BC_Disc_Buyers_OFF</v>
      </c>
      <c r="I979" s="233" t="str">
        <f>IFERROR(__xludf.DUMMYFUNCTION("""COMPUTED_VALUE"""),"WA Undelivered")</f>
        <v>WA Undelivered</v>
      </c>
      <c r="J979" s="275">
        <f>IFERROR(__xludf.DUMMYFUNCTION("""COMPUTED_VALUE"""),20753.0)</f>
        <v>20753</v>
      </c>
      <c r="K979" s="275">
        <f>IFERROR(__xludf.DUMMYFUNCTION("""COMPUTED_VALUE"""),11706.0)</f>
        <v>11706</v>
      </c>
      <c r="L979" s="276">
        <f>IFERROR(__xludf.DUMMYFUNCTION("""COMPUTED_VALUE"""),0.5641)</f>
        <v>0.5641</v>
      </c>
      <c r="M979" s="275">
        <f>IFERROR(__xludf.DUMMYFUNCTION("""COMPUTED_VALUE"""),0.0)</f>
        <v>0</v>
      </c>
      <c r="N979" s="276">
        <f>IFERROR(__xludf.DUMMYFUNCTION("""COMPUTED_VALUE"""),0.0)</f>
        <v>0</v>
      </c>
      <c r="O979" s="208">
        <f>IFERROR(__xludf.DUMMYFUNCTION("""COMPUTED_VALUE"""),13.0)</f>
        <v>13</v>
      </c>
      <c r="P979" s="208">
        <f>IFERROR(__xludf.DUMMYFUNCTION("""COMPUTED_VALUE"""),0.0)</f>
        <v>0</v>
      </c>
      <c r="Q979" s="276">
        <f>IFERROR(__xludf.DUMMYFUNCTION("""COMPUTED_VALUE"""),0.0011)</f>
        <v>0.0011</v>
      </c>
      <c r="R979" s="276">
        <f>IFERROR(__xludf.DUMMYFUNCTION("""COMPUTED_VALUE"""),0.0)</f>
        <v>0</v>
      </c>
      <c r="S979" s="208">
        <f>IFERROR(__xludf.DUMMYFUNCTION("""COMPUTED_VALUE"""),0.0)</f>
        <v>0</v>
      </c>
      <c r="T979" s="208">
        <f>IFERROR(__xludf.DUMMYFUNCTION("""COMPUTED_VALUE"""),1.0)</f>
        <v>1</v>
      </c>
      <c r="U979" s="275">
        <f>IFERROR(__xludf.DUMMYFUNCTION("""COMPUTED_VALUE"""),0.0)</f>
        <v>0</v>
      </c>
      <c r="V979" s="234" t="str">
        <f>IFERROR(__xludf.DUMMYFUNCTION("""COMPUTED_VALUE"""),"offline")</f>
        <v>offline</v>
      </c>
      <c r="W979" s="232" t="str">
        <f>IFERROR(__xludf.DUMMYFUNCTION("""COMPUTED_VALUE"""),"Sms")</f>
        <v>Sms</v>
      </c>
      <c r="X979" s="232" t="str">
        <f>IFERROR(__xludf.DUMMYFUNCTION("""COMPUTED_VALUE"""),"Discount Buyers")</f>
        <v>Discount Buyers</v>
      </c>
      <c r="Y979" s="232" t="str">
        <f>IFERROR(__xludf.DUMMYFUNCTION("""COMPUTED_VALUE"""),"21-23 June")</f>
        <v>21-23 June</v>
      </c>
      <c r="Z979" s="232" t="str">
        <f>IFERROR(__xludf.DUMMYFUNCTION("""COMPUTED_VALUE"""),"6a33b26360aec2c394b991ce")</f>
        <v>6a33b26360aec2c394b991ce</v>
      </c>
      <c r="AA979" s="277">
        <f>IFERROR(__xludf.DUMMYFUNCTION("""COMPUTED_VALUE"""),66.0)</f>
        <v>66</v>
      </c>
      <c r="AB979" s="277"/>
      <c r="AC979" s="277">
        <f>IFERROR(__xludf.DUMMYFUNCTION("""COMPUTED_VALUE"""),66.0)</f>
        <v>66</v>
      </c>
      <c r="AD979" s="277">
        <f>IFERROR(__xludf.DUMMYFUNCTION("""COMPUTED_VALUE"""),283912.0)</f>
        <v>283912</v>
      </c>
      <c r="AE979" s="277"/>
      <c r="AF979" s="277">
        <f>IFERROR(__xludf.DUMMYFUNCTION("""COMPUTED_VALUE"""),283912.0)</f>
        <v>283912</v>
      </c>
      <c r="AG979" s="208"/>
      <c r="AH979" s="208"/>
      <c r="AI979" s="208"/>
      <c r="AJ979" s="208"/>
      <c r="AK979" s="208"/>
    </row>
    <row r="980" hidden="1">
      <c r="A980" s="288">
        <f>IFERROR(__xludf.DUMMYFUNCTION("""COMPUTED_VALUE"""),46192.0)</f>
        <v>46192</v>
      </c>
      <c r="B980" s="274">
        <f>IFERROR(__xludf.DUMMYFUNCTION("""COMPUTED_VALUE"""),0.5833333333321207)</f>
        <v>0.5833333333</v>
      </c>
      <c r="C980" s="208" t="str">
        <f>IFERROR(__xludf.DUMMYFUNCTION("""COMPUTED_VALUE"""),"Sms")</f>
        <v>Sms</v>
      </c>
      <c r="D980" s="208" t="str">
        <f>IFERROR(__xludf.DUMMYFUNCTION("""COMPUTED_VALUE"""),"Fallback campaign")</f>
        <v>Fallback campaign</v>
      </c>
      <c r="E980" s="208" t="str">
        <f>IFERROR(__xludf.DUMMYFUNCTION("""COMPUTED_VALUE"""),"BBW")</f>
        <v>BBW</v>
      </c>
      <c r="F980" s="208" t="str">
        <f>IFERROR(__xludf.DUMMYFUNCTION("""COMPUTED_VALUE"""),"SAS - June 2026")</f>
        <v>SAS - June 2026</v>
      </c>
      <c r="G980" s="208" t="str">
        <f>IFERROR(__xludf.DUMMYFUNCTION("""COMPUTED_VALUE"""),"bbw_smsfb_sas_cat_hs_19june_atc_online V1")</f>
        <v>bbw_smsfb_sas_cat_hs_19june_atc_online V1</v>
      </c>
      <c r="H980" s="232" t="str">
        <f>IFERROR(__xludf.DUMMYFUNCTION("""COMPUTED_VALUE"""),"BBW_ON_ATC_HS_HC_Value_999")</f>
        <v>BBW_ON_ATC_HS_HC_Value_999</v>
      </c>
      <c r="I980" s="233" t="str">
        <f>IFERROR(__xludf.DUMMYFUNCTION("""COMPUTED_VALUE"""),"WA Undelivered")</f>
        <v>WA Undelivered</v>
      </c>
      <c r="J980" s="275">
        <f>IFERROR(__xludf.DUMMYFUNCTION("""COMPUTED_VALUE"""),1375.0)</f>
        <v>1375</v>
      </c>
      <c r="K980" s="275">
        <f>IFERROR(__xludf.DUMMYFUNCTION("""COMPUTED_VALUE"""),795.0)</f>
        <v>795</v>
      </c>
      <c r="L980" s="276">
        <f>IFERROR(__xludf.DUMMYFUNCTION("""COMPUTED_VALUE"""),0.5782)</f>
        <v>0.5782</v>
      </c>
      <c r="M980" s="275">
        <f>IFERROR(__xludf.DUMMYFUNCTION("""COMPUTED_VALUE"""),0.0)</f>
        <v>0</v>
      </c>
      <c r="N980" s="276">
        <f>IFERROR(__xludf.DUMMYFUNCTION("""COMPUTED_VALUE"""),0.0)</f>
        <v>0</v>
      </c>
      <c r="O980" s="208">
        <f>IFERROR(__xludf.DUMMYFUNCTION("""COMPUTED_VALUE"""),6.0)</f>
        <v>6</v>
      </c>
      <c r="P980" s="208">
        <f>IFERROR(__xludf.DUMMYFUNCTION("""COMPUTED_VALUE"""),0.0)</f>
        <v>0</v>
      </c>
      <c r="Q980" s="276">
        <f>IFERROR(__xludf.DUMMYFUNCTION("""COMPUTED_VALUE"""),0.0075)</f>
        <v>0.0075</v>
      </c>
      <c r="R980" s="276">
        <f>IFERROR(__xludf.DUMMYFUNCTION("""COMPUTED_VALUE"""),0.0)</f>
        <v>0</v>
      </c>
      <c r="S980" s="208">
        <f>IFERROR(__xludf.DUMMYFUNCTION("""COMPUTED_VALUE"""),5.0)</f>
        <v>5</v>
      </c>
      <c r="T980" s="208">
        <f>IFERROR(__xludf.DUMMYFUNCTION("""COMPUTED_VALUE"""),39.0)</f>
        <v>39</v>
      </c>
      <c r="U980" s="275">
        <f>IFERROR(__xludf.DUMMYFUNCTION("""COMPUTED_VALUE"""),14425.0)</f>
        <v>14425</v>
      </c>
      <c r="V980" s="234" t="str">
        <f>IFERROR(__xludf.DUMMYFUNCTION("""COMPUTED_VALUE"""),"online")</f>
        <v>online</v>
      </c>
      <c r="W980" s="232" t="str">
        <f>IFERROR(__xludf.DUMMYFUNCTION("""COMPUTED_VALUE"""),"Sms")</f>
        <v>Sms</v>
      </c>
      <c r="X980" s="232" t="str">
        <f>IFERROR(__xludf.DUMMYFUNCTION("""COMPUTED_VALUE"""),"Add to Cart")</f>
        <v>Add to Cart</v>
      </c>
      <c r="Y980" s="232" t="str">
        <f>IFERROR(__xludf.DUMMYFUNCTION("""COMPUTED_VALUE"""),"19 June")</f>
        <v>19 June</v>
      </c>
      <c r="Z980" s="232" t="str">
        <f>IFERROR(__xludf.DUMMYFUNCTION("""COMPUTED_VALUE"""),"6a34eaf5b59be5e00a3b81c9")</f>
        <v>6a34eaf5b59be5e00a3b81c9</v>
      </c>
      <c r="AA980" s="277">
        <f>IFERROR(__xludf.DUMMYFUNCTION("""COMPUTED_VALUE"""),6.0)</f>
        <v>6</v>
      </c>
      <c r="AB980" s="277">
        <f>IFERROR(__xludf.DUMMYFUNCTION("""COMPUTED_VALUE"""),6.0)</f>
        <v>6</v>
      </c>
      <c r="AC980" s="277"/>
      <c r="AD980" s="277">
        <f>IFERROR(__xludf.DUMMYFUNCTION("""COMPUTED_VALUE"""),15880.0)</f>
        <v>15880</v>
      </c>
      <c r="AE980" s="277">
        <f>IFERROR(__xludf.DUMMYFUNCTION("""COMPUTED_VALUE"""),15880.0)</f>
        <v>15880</v>
      </c>
      <c r="AF980" s="277"/>
      <c r="AG980" s="208"/>
      <c r="AH980" s="208"/>
      <c r="AI980" s="208"/>
      <c r="AJ980" s="208"/>
      <c r="AK980" s="208"/>
    </row>
    <row r="981" hidden="1">
      <c r="A981" s="288">
        <f>IFERROR(__xludf.DUMMYFUNCTION("""COMPUTED_VALUE"""),46192.0)</f>
        <v>46192</v>
      </c>
      <c r="B981" s="274">
        <f>IFERROR(__xludf.DUMMYFUNCTION("""COMPUTED_VALUE"""),0.5902777777773736)</f>
        <v>0.5902777778</v>
      </c>
      <c r="C981" s="208" t="str">
        <f>IFERROR(__xludf.DUMMYFUNCTION("""COMPUTED_VALUE"""),"Sms")</f>
        <v>Sms</v>
      </c>
      <c r="D981" s="208" t="str">
        <f>IFERROR(__xludf.DUMMYFUNCTION("""COMPUTED_VALUE"""),"Fallback campaign")</f>
        <v>Fallback campaign</v>
      </c>
      <c r="E981" s="208" t="str">
        <f>IFERROR(__xludf.DUMMYFUNCTION("""COMPUTED_VALUE"""),"BBW")</f>
        <v>BBW</v>
      </c>
      <c r="F981" s="208" t="str">
        <f>IFERROR(__xludf.DUMMYFUNCTION("""COMPUTED_VALUE"""),"SAS - June 2026")</f>
        <v>SAS - June 2026</v>
      </c>
      <c r="G981" s="208" t="str">
        <f>IFERROR(__xludf.DUMMYFUNCTION("""COMPUTED_VALUE"""),"bbw_smsfb_sas_cat_candles_19june_online V2")</f>
        <v>bbw_smsfb_sas_cat_candles_19june_online V2</v>
      </c>
      <c r="H981" s="232" t="str">
        <f>IFERROR(__xludf.DUMMYFUNCTION("""COMPUTED_VALUE"""),"BBW_Candle_365D_ON")</f>
        <v>BBW_Candle_365D_ON</v>
      </c>
      <c r="I981" s="233" t="str">
        <f>IFERROR(__xludf.DUMMYFUNCTION("""COMPUTED_VALUE"""),"WA Undelivered")</f>
        <v>WA Undelivered</v>
      </c>
      <c r="J981" s="275">
        <f>IFERROR(__xludf.DUMMYFUNCTION("""COMPUTED_VALUE"""),2906.0)</f>
        <v>2906</v>
      </c>
      <c r="K981" s="275">
        <f>IFERROR(__xludf.DUMMYFUNCTION("""COMPUTED_VALUE"""),1506.0)</f>
        <v>1506</v>
      </c>
      <c r="L981" s="276">
        <f>IFERROR(__xludf.DUMMYFUNCTION("""COMPUTED_VALUE"""),0.5182)</f>
        <v>0.5182</v>
      </c>
      <c r="M981" s="275">
        <f>IFERROR(__xludf.DUMMYFUNCTION("""COMPUTED_VALUE"""),0.0)</f>
        <v>0</v>
      </c>
      <c r="N981" s="276">
        <f>IFERROR(__xludf.DUMMYFUNCTION("""COMPUTED_VALUE"""),0.0)</f>
        <v>0</v>
      </c>
      <c r="O981" s="208">
        <f>IFERROR(__xludf.DUMMYFUNCTION("""COMPUTED_VALUE"""),7.0)</f>
        <v>7</v>
      </c>
      <c r="P981" s="208">
        <f>IFERROR(__xludf.DUMMYFUNCTION("""COMPUTED_VALUE"""),0.0)</f>
        <v>0</v>
      </c>
      <c r="Q981" s="276">
        <f>IFERROR(__xludf.DUMMYFUNCTION("""COMPUTED_VALUE"""),0.0046)</f>
        <v>0.0046</v>
      </c>
      <c r="R981" s="276">
        <f>IFERROR(__xludf.DUMMYFUNCTION("""COMPUTED_VALUE"""),0.0)</f>
        <v>0</v>
      </c>
      <c r="S981" s="208">
        <f>IFERROR(__xludf.DUMMYFUNCTION("""COMPUTED_VALUE"""),2.0)</f>
        <v>2</v>
      </c>
      <c r="T981" s="208">
        <f>IFERROR(__xludf.DUMMYFUNCTION("""COMPUTED_VALUE"""),4.0)</f>
        <v>4</v>
      </c>
      <c r="U981" s="275">
        <f>IFERROR(__xludf.DUMMYFUNCTION("""COMPUTED_VALUE"""),5439.0)</f>
        <v>5439</v>
      </c>
      <c r="V981" s="234" t="str">
        <f>IFERROR(__xludf.DUMMYFUNCTION("""COMPUTED_VALUE"""),"online")</f>
        <v>online</v>
      </c>
      <c r="W981" s="232" t="str">
        <f>IFERROR(__xludf.DUMMYFUNCTION("""COMPUTED_VALUE"""),"Sms")</f>
        <v>Sms</v>
      </c>
      <c r="X981" s="232" t="str">
        <f>IFERROR(__xludf.DUMMYFUNCTION("""COMPUTED_VALUE"""),"Candle")</f>
        <v>Candle</v>
      </c>
      <c r="Y981" s="232" t="str">
        <f>IFERROR(__xludf.DUMMYFUNCTION("""COMPUTED_VALUE"""),"19 June")</f>
        <v>19 June</v>
      </c>
      <c r="Z981" s="232" t="str">
        <f>IFERROR(__xludf.DUMMYFUNCTION("""COMPUTED_VALUE"""),"6a34eba84bc022c0a25e228b")</f>
        <v>6a34eba84bc022c0a25e228b</v>
      </c>
      <c r="AA981" s="277">
        <f>IFERROR(__xludf.DUMMYFUNCTION("""COMPUTED_VALUE"""),2.0)</f>
        <v>2</v>
      </c>
      <c r="AB981" s="277">
        <f>IFERROR(__xludf.DUMMYFUNCTION("""COMPUTED_VALUE"""),2.0)</f>
        <v>2</v>
      </c>
      <c r="AC981" s="277"/>
      <c r="AD981" s="277">
        <f>IFERROR(__xludf.DUMMYFUNCTION("""COMPUTED_VALUE"""),3039.0)</f>
        <v>3039</v>
      </c>
      <c r="AE981" s="277">
        <f>IFERROR(__xludf.DUMMYFUNCTION("""COMPUTED_VALUE"""),3039.0)</f>
        <v>3039</v>
      </c>
      <c r="AF981" s="277"/>
      <c r="AG981" s="208"/>
      <c r="AH981" s="208"/>
      <c r="AI981" s="208"/>
      <c r="AJ981" s="208"/>
      <c r="AK981" s="208"/>
    </row>
    <row r="982" hidden="1">
      <c r="A982" s="288">
        <f>IFERROR(__xludf.DUMMYFUNCTION("""COMPUTED_VALUE"""),46197.0)</f>
        <v>46197</v>
      </c>
      <c r="B982" s="274">
        <f>IFERROR(__xludf.DUMMYFUNCTION("""COMPUTED_VALUE"""),0.4791666666678793)</f>
        <v>0.4791666667</v>
      </c>
      <c r="C982" s="208" t="str">
        <f>IFERROR(__xludf.DUMMYFUNCTION("""COMPUTED_VALUE"""),"Whatsapp")</f>
        <v>Whatsapp</v>
      </c>
      <c r="D982" s="208" t="str">
        <f>IFERROR(__xludf.DUMMYFUNCTION("""COMPUTED_VALUE"""),"Promotional")</f>
        <v>Promotional</v>
      </c>
      <c r="E982" s="208" t="str">
        <f>IFERROR(__xludf.DUMMYFUNCTION("""COMPUTED_VALUE"""),"BBW")</f>
        <v>BBW</v>
      </c>
      <c r="F982" s="208" t="str">
        <f>IFERROR(__xludf.DUMMYFUNCTION("""COMPUTED_VALUE"""),"SAS - June 2026")</f>
        <v>SAS - June 2026</v>
      </c>
      <c r="G982" s="208" t="str">
        <f>IFERROR(__xludf.DUMMYFUNCTION("""COMPUTED_VALUE"""),"bbw_wa_sas_cat_candle_24june_online")</f>
        <v>bbw_wa_sas_cat_candle_24june_online</v>
      </c>
      <c r="H982" s="232" t="str">
        <f>IFERROR(__xludf.DUMMYFUNCTION("""COMPUTED_VALUE"""),"BBW_Candle_365D_ON")</f>
        <v>BBW_Candle_365D_ON</v>
      </c>
      <c r="I982" s="233" t="str">
        <f>IFERROR(__xludf.DUMMYFUNCTION("""COMPUTED_VALUE"""),"Online Purchased at least 1 time in the last 365D")</f>
        <v>Online Purchased at least 1 time in the last 365D</v>
      </c>
      <c r="J982" s="275">
        <f>IFERROR(__xludf.DUMMYFUNCTION("""COMPUTED_VALUE"""),7547.0)</f>
        <v>7547</v>
      </c>
      <c r="K982" s="275">
        <f>IFERROR(__xludf.DUMMYFUNCTION("""COMPUTED_VALUE"""),3330.0)</f>
        <v>3330</v>
      </c>
      <c r="L982" s="276">
        <f>IFERROR(__xludf.DUMMYFUNCTION("""COMPUTED_VALUE"""),0.4255)</f>
        <v>0.4255</v>
      </c>
      <c r="M982" s="275">
        <f>IFERROR(__xludf.DUMMYFUNCTION("""COMPUTED_VALUE"""),1000.0)</f>
        <v>1000</v>
      </c>
      <c r="N982" s="276">
        <f>IFERROR(__xludf.DUMMYFUNCTION("""COMPUTED_VALUE"""),0.3036)</f>
        <v>0.3036</v>
      </c>
      <c r="O982" s="208">
        <f>IFERROR(__xludf.DUMMYFUNCTION("""COMPUTED_VALUE"""),167.0)</f>
        <v>167</v>
      </c>
      <c r="P982" s="208">
        <f>IFERROR(__xludf.DUMMYFUNCTION("""COMPUTED_VALUE"""),155.0)</f>
        <v>155</v>
      </c>
      <c r="Q982" s="276">
        <f>IFERROR(__xludf.DUMMYFUNCTION("""COMPUTED_VALUE"""),0.0483)</f>
        <v>0.0483</v>
      </c>
      <c r="R982" s="276">
        <f>IFERROR(__xludf.DUMMYFUNCTION("""COMPUTED_VALUE"""),0.159)</f>
        <v>0.159</v>
      </c>
      <c r="S982" s="208">
        <f>IFERROR(__xludf.DUMMYFUNCTION("""COMPUTED_VALUE"""),2.0)</f>
        <v>2</v>
      </c>
      <c r="T982" s="208">
        <f>IFERROR(__xludf.DUMMYFUNCTION("""COMPUTED_VALUE"""),13.0)</f>
        <v>13</v>
      </c>
      <c r="U982" s="275">
        <f>IFERROR(__xludf.DUMMYFUNCTION("""COMPUTED_VALUE"""),3059.0)</f>
        <v>3059</v>
      </c>
      <c r="V982" s="234" t="str">
        <f>IFERROR(__xludf.DUMMYFUNCTION("""COMPUTED_VALUE"""),"online")</f>
        <v>online</v>
      </c>
      <c r="W982" s="232" t="str">
        <f>IFERROR(__xludf.DUMMYFUNCTION("""COMPUTED_VALUE"""),"simple")</f>
        <v>simple</v>
      </c>
      <c r="X982" s="232" t="str">
        <f>IFERROR(__xludf.DUMMYFUNCTION("""COMPUTED_VALUE"""),"Candle")</f>
        <v>Candle</v>
      </c>
      <c r="Y982" s="232" t="str">
        <f>IFERROR(__xludf.DUMMYFUNCTION("""COMPUTED_VALUE"""),"24-26 June")</f>
        <v>24-26 June</v>
      </c>
      <c r="Z982" s="232" t="str">
        <f>IFERROR(__xludf.DUMMYFUNCTION("""COMPUTED_VALUE"""),"6a3a7bb36a72ecceb27f28ff")</f>
        <v>6a3a7bb36a72ecceb27f28ff</v>
      </c>
      <c r="AA982" s="277">
        <f>IFERROR(__xludf.DUMMYFUNCTION("""COMPUTED_VALUE"""),19.0)</f>
        <v>19</v>
      </c>
      <c r="AB982" s="277">
        <f>IFERROR(__xludf.DUMMYFUNCTION("""COMPUTED_VALUE"""),19.0)</f>
        <v>19</v>
      </c>
      <c r="AC982" s="277"/>
      <c r="AD982" s="277">
        <f>IFERROR(__xludf.DUMMYFUNCTION("""COMPUTED_VALUE"""),46237.0)</f>
        <v>46237</v>
      </c>
      <c r="AE982" s="277">
        <f>IFERROR(__xludf.DUMMYFUNCTION("""COMPUTED_VALUE"""),46237.0)</f>
        <v>46237</v>
      </c>
      <c r="AF982" s="277"/>
      <c r="AG982" s="208"/>
      <c r="AH982" s="208"/>
      <c r="AI982" s="208"/>
      <c r="AJ982" s="208"/>
      <c r="AK982" s="208"/>
    </row>
    <row r="983" hidden="1">
      <c r="A983" s="288">
        <f>IFERROR(__xludf.DUMMYFUNCTION("""COMPUTED_VALUE"""),46197.0)</f>
        <v>46197</v>
      </c>
      <c r="B983" s="274">
        <f>IFERROR(__xludf.DUMMYFUNCTION("""COMPUTED_VALUE"""),0.4791666666678793)</f>
        <v>0.4791666667</v>
      </c>
      <c r="C983" s="208" t="str">
        <f>IFERROR(__xludf.DUMMYFUNCTION("""COMPUTED_VALUE"""),"Whatsapp")</f>
        <v>Whatsapp</v>
      </c>
      <c r="D983" s="208" t="str">
        <f>IFERROR(__xludf.DUMMYFUNCTION("""COMPUTED_VALUE"""),"Promotional")</f>
        <v>Promotional</v>
      </c>
      <c r="E983" s="208" t="str">
        <f>IFERROR(__xludf.DUMMYFUNCTION("""COMPUTED_VALUE"""),"BBW")</f>
        <v>BBW</v>
      </c>
      <c r="F983" s="208" t="str">
        <f>IFERROR(__xludf.DUMMYFUNCTION("""COMPUTED_VALUE"""),"SAS - June 2026")</f>
        <v>SAS - June 2026</v>
      </c>
      <c r="G983" s="208" t="str">
        <f>IFERROR(__xludf.DUMMYFUNCTION("""COMPUTED_VALUE"""),"bbw_wa_sas_cat_candle_24june_offline")</f>
        <v>bbw_wa_sas_cat_candle_24june_offline</v>
      </c>
      <c r="H983" s="232" t="str">
        <f>IFERROR(__xludf.DUMMYFUNCTION("""COMPUTED_VALUE"""),"BBW_Candle_365D_OFF")</f>
        <v>BBW_Candle_365D_OFF</v>
      </c>
      <c r="I983" s="233" t="str">
        <f>IFERROR(__xludf.DUMMYFUNCTION("""COMPUTED_VALUE"""),"Offline Purchased at least 1 time in the last 365D")</f>
        <v>Offline Purchased at least 1 time in the last 365D</v>
      </c>
      <c r="J983" s="275">
        <f>IFERROR(__xludf.DUMMYFUNCTION("""COMPUTED_VALUE"""),23292.0)</f>
        <v>23292</v>
      </c>
      <c r="K983" s="275">
        <f>IFERROR(__xludf.DUMMYFUNCTION("""COMPUTED_VALUE"""),10109.0)</f>
        <v>10109</v>
      </c>
      <c r="L983" s="276">
        <f>IFERROR(__xludf.DUMMYFUNCTION("""COMPUTED_VALUE"""),0.4209)</f>
        <v>0.4209</v>
      </c>
      <c r="M983" s="275">
        <f>IFERROR(__xludf.DUMMYFUNCTION("""COMPUTED_VALUE"""),2897.0)</f>
        <v>2897</v>
      </c>
      <c r="N983" s="276">
        <f>IFERROR(__xludf.DUMMYFUNCTION("""COMPUTED_VALUE"""),0.2897)</f>
        <v>0.2897</v>
      </c>
      <c r="O983" s="208">
        <f>IFERROR(__xludf.DUMMYFUNCTION("""COMPUTED_VALUE"""),312.0)</f>
        <v>312</v>
      </c>
      <c r="P983" s="208">
        <f>IFERROR(__xludf.DUMMYFUNCTION("""COMPUTED_VALUE"""),288.0)</f>
        <v>288</v>
      </c>
      <c r="Q983" s="276">
        <f>IFERROR(__xludf.DUMMYFUNCTION("""COMPUTED_VALUE"""),0.0294)</f>
        <v>0.0294</v>
      </c>
      <c r="R983" s="276">
        <f>IFERROR(__xludf.DUMMYFUNCTION("""COMPUTED_VALUE"""),0.1014)</f>
        <v>0.1014</v>
      </c>
      <c r="S983" s="208">
        <f>IFERROR(__xludf.DUMMYFUNCTION("""COMPUTED_VALUE"""),4.0)</f>
        <v>4</v>
      </c>
      <c r="T983" s="208">
        <f>IFERROR(__xludf.DUMMYFUNCTION("""COMPUTED_VALUE"""),9.0)</f>
        <v>9</v>
      </c>
      <c r="U983" s="275">
        <f>IFERROR(__xludf.DUMMYFUNCTION("""COMPUTED_VALUE"""),9956.0)</f>
        <v>9956</v>
      </c>
      <c r="V983" s="234" t="str">
        <f>IFERROR(__xludf.DUMMYFUNCTION("""COMPUTED_VALUE"""),"offline")</f>
        <v>offline</v>
      </c>
      <c r="W983" s="232" t="str">
        <f>IFERROR(__xludf.DUMMYFUNCTION("""COMPUTED_VALUE"""),"simple")</f>
        <v>simple</v>
      </c>
      <c r="X983" s="232" t="str">
        <f>IFERROR(__xludf.DUMMYFUNCTION("""COMPUTED_VALUE"""),"Candle")</f>
        <v>Candle</v>
      </c>
      <c r="Y983" s="232" t="str">
        <f>IFERROR(__xludf.DUMMYFUNCTION("""COMPUTED_VALUE"""),"24-26 June")</f>
        <v>24-26 June</v>
      </c>
      <c r="Z983" s="232" t="str">
        <f>IFERROR(__xludf.DUMMYFUNCTION("""COMPUTED_VALUE"""),"6a3a7c2ced995c881d94a7f9")</f>
        <v>6a3a7c2ced995c881d94a7f9</v>
      </c>
      <c r="AA983" s="277">
        <f>IFERROR(__xludf.DUMMYFUNCTION("""COMPUTED_VALUE"""),31.0)</f>
        <v>31</v>
      </c>
      <c r="AB983" s="277"/>
      <c r="AC983" s="277">
        <f>IFERROR(__xludf.DUMMYFUNCTION("""COMPUTED_VALUE"""),31.0)</f>
        <v>31</v>
      </c>
      <c r="AD983" s="277">
        <f>IFERROR(__xludf.DUMMYFUNCTION("""COMPUTED_VALUE"""),96421.0)</f>
        <v>96421</v>
      </c>
      <c r="AE983" s="277"/>
      <c r="AF983" s="277">
        <f>IFERROR(__xludf.DUMMYFUNCTION("""COMPUTED_VALUE"""),96421.0)</f>
        <v>96421</v>
      </c>
      <c r="AG983" s="208"/>
      <c r="AH983" s="208"/>
      <c r="AI983" s="208"/>
      <c r="AJ983" s="208"/>
      <c r="AK983" s="208"/>
    </row>
    <row r="984" hidden="1">
      <c r="A984" s="288">
        <f>IFERROR(__xludf.DUMMYFUNCTION("""COMPUTED_VALUE"""),46198.0)</f>
        <v>46198</v>
      </c>
      <c r="B984" s="274">
        <f>IFERROR(__xludf.DUMMYFUNCTION("""COMPUTED_VALUE"""),0.5)</f>
        <v>0.5</v>
      </c>
      <c r="C984" s="208" t="str">
        <f>IFERROR(__xludf.DUMMYFUNCTION("""COMPUTED_VALUE"""),"Whatsapp")</f>
        <v>Whatsapp</v>
      </c>
      <c r="D984" s="208" t="str">
        <f>IFERROR(__xludf.DUMMYFUNCTION("""COMPUTED_VALUE"""),"Promotional")</f>
        <v>Promotional</v>
      </c>
      <c r="E984" s="208" t="str">
        <f>IFERROR(__xludf.DUMMYFUNCTION("""COMPUTED_VALUE"""),"BBW")</f>
        <v>BBW</v>
      </c>
      <c r="F984" s="208" t="str">
        <f>IFERROR(__xludf.DUMMYFUNCTION("""COMPUTED_VALUE"""),"SAS - June 2026")</f>
        <v>SAS - June 2026</v>
      </c>
      <c r="G984" s="208" t="str">
        <f>IFERROR(__xludf.DUMMYFUNCTION("""COMPUTED_VALUE"""),"bbw_wa_sas_cat_mists_25june_online")</f>
        <v>bbw_wa_sas_cat_mists_25june_online</v>
      </c>
      <c r="H984" s="232" t="str">
        <f>IFERROR(__xludf.DUMMYFUNCTION("""COMPUTED_VALUE"""),"BBW_ON_MIST_365D")</f>
        <v>BBW_ON_MIST_365D</v>
      </c>
      <c r="I984" s="233" t="str">
        <f>IFERROR(__xludf.DUMMYFUNCTION("""COMPUTED_VALUE"""),"Online Customers who have purchased at least 1 time from L3: Mist in the last 365D")</f>
        <v>Online Customers who have purchased at least 1 time from L3: Mist in the last 365D</v>
      </c>
      <c r="J984" s="275">
        <f>IFERROR(__xludf.DUMMYFUNCTION("""COMPUTED_VALUE"""),52329.0)</f>
        <v>52329</v>
      </c>
      <c r="K984" s="275">
        <f>IFERROR(__xludf.DUMMYFUNCTION("""COMPUTED_VALUE"""),26700.0)</f>
        <v>26700</v>
      </c>
      <c r="L984" s="276">
        <f>IFERROR(__xludf.DUMMYFUNCTION("""COMPUTED_VALUE"""),0.4993)</f>
        <v>0.4993</v>
      </c>
      <c r="M984" s="275">
        <f>IFERROR(__xludf.DUMMYFUNCTION("""COMPUTED_VALUE"""),10398.0)</f>
        <v>10398</v>
      </c>
      <c r="N984" s="276">
        <f>IFERROR(__xludf.DUMMYFUNCTION("""COMPUTED_VALUE"""),0.3808)</f>
        <v>0.3808</v>
      </c>
      <c r="O984" s="208">
        <f>IFERROR(__xludf.DUMMYFUNCTION("""COMPUTED_VALUE"""),1769.0)</f>
        <v>1769</v>
      </c>
      <c r="P984" s="208">
        <f>IFERROR(__xludf.DUMMYFUNCTION("""COMPUTED_VALUE"""),1563.0)</f>
        <v>1563</v>
      </c>
      <c r="Q984" s="276">
        <f>IFERROR(__xludf.DUMMYFUNCTION("""COMPUTED_VALUE"""),0.0607)</f>
        <v>0.0607</v>
      </c>
      <c r="R984" s="276">
        <f>IFERROR(__xludf.DUMMYFUNCTION("""COMPUTED_VALUE"""),0.1595)</f>
        <v>0.1595</v>
      </c>
      <c r="S984" s="208">
        <f>IFERROR(__xludf.DUMMYFUNCTION("""COMPUTED_VALUE"""),24.0)</f>
        <v>24</v>
      </c>
      <c r="T984" s="208">
        <f>IFERROR(__xludf.DUMMYFUNCTION("""COMPUTED_VALUE"""),108.0)</f>
        <v>108</v>
      </c>
      <c r="U984" s="275">
        <f>IFERROR(__xludf.DUMMYFUNCTION("""COMPUTED_VALUE"""),60425.0)</f>
        <v>60425</v>
      </c>
      <c r="V984" s="234" t="str">
        <f>IFERROR(__xludf.DUMMYFUNCTION("""COMPUTED_VALUE"""),"online")</f>
        <v>online</v>
      </c>
      <c r="W984" s="232" t="str">
        <f>IFERROR(__xludf.DUMMYFUNCTION("""COMPUTED_VALUE"""),"simple")</f>
        <v>simple</v>
      </c>
      <c r="X984" s="232" t="str">
        <f>IFERROR(__xludf.DUMMYFUNCTION("""COMPUTED_VALUE"""),"Category Buyers - Mist")</f>
        <v>Category Buyers - Mist</v>
      </c>
      <c r="Y984" s="232" t="str">
        <f>IFERROR(__xludf.DUMMYFUNCTION("""COMPUTED_VALUE"""),"25-27 June")</f>
        <v>25-27 June</v>
      </c>
      <c r="Z984" s="232" t="str">
        <f>IFERROR(__xludf.DUMMYFUNCTION("""COMPUTED_VALUE"""),"6a3b94fdb31f24b2b34187ff")</f>
        <v>6a3b94fdb31f24b2b34187ff</v>
      </c>
      <c r="AA984" s="277">
        <f>IFERROR(__xludf.DUMMYFUNCTION("""COMPUTED_VALUE"""),141.0)</f>
        <v>141</v>
      </c>
      <c r="AB984" s="277">
        <f>IFERROR(__xludf.DUMMYFUNCTION("""COMPUTED_VALUE"""),141.0)</f>
        <v>141</v>
      </c>
      <c r="AC984" s="277"/>
      <c r="AD984" s="277">
        <f>IFERROR(__xludf.DUMMYFUNCTION("""COMPUTED_VALUE"""),352883.0)</f>
        <v>352883</v>
      </c>
      <c r="AE984" s="277">
        <f>IFERROR(__xludf.DUMMYFUNCTION("""COMPUTED_VALUE"""),352883.0)</f>
        <v>352883</v>
      </c>
      <c r="AF984" s="277"/>
      <c r="AG984" s="208"/>
      <c r="AH984" s="208"/>
      <c r="AI984" s="208"/>
      <c r="AJ984" s="208"/>
      <c r="AK984" s="208"/>
    </row>
    <row r="985" hidden="1">
      <c r="A985" s="288">
        <f>IFERROR(__xludf.DUMMYFUNCTION("""COMPUTED_VALUE"""),46198.0)</f>
        <v>46198</v>
      </c>
      <c r="B985" s="274">
        <f>IFERROR(__xludf.DUMMYFUNCTION("""COMPUTED_VALUE"""),0.5)</f>
        <v>0.5</v>
      </c>
      <c r="C985" s="208" t="str">
        <f>IFERROR(__xludf.DUMMYFUNCTION("""COMPUTED_VALUE"""),"Whatsapp")</f>
        <v>Whatsapp</v>
      </c>
      <c r="D985" s="208" t="str">
        <f>IFERROR(__xludf.DUMMYFUNCTION("""COMPUTED_VALUE"""),"Promotional")</f>
        <v>Promotional</v>
      </c>
      <c r="E985" s="208" t="str">
        <f>IFERROR(__xludf.DUMMYFUNCTION("""COMPUTED_VALUE"""),"BBW")</f>
        <v>BBW</v>
      </c>
      <c r="F985" s="208" t="str">
        <f>IFERROR(__xludf.DUMMYFUNCTION("""COMPUTED_VALUE"""),"SAS - June 2026")</f>
        <v>SAS - June 2026</v>
      </c>
      <c r="G985" s="208" t="str">
        <f>IFERROR(__xludf.DUMMYFUNCTION("""COMPUTED_VALUE"""),"bbw_wa_sas_cat_mists_25june_offline")</f>
        <v>bbw_wa_sas_cat_mists_25june_offline</v>
      </c>
      <c r="H985" s="232" t="str">
        <f>IFERROR(__xludf.DUMMYFUNCTION("""COMPUTED_VALUE"""),"BBW_OFF_MIST_365D")</f>
        <v>BBW_OFF_MIST_365D</v>
      </c>
      <c r="I985" s="233" t="str">
        <f>IFERROR(__xludf.DUMMYFUNCTION("""COMPUTED_VALUE"""),"Offline Customers who have purchased at least 2 times from L3: Mist in the last 365D")</f>
        <v>Offline Customers who have purchased at least 2 times from L3: Mist in the last 365D</v>
      </c>
      <c r="J985" s="275">
        <f>IFERROR(__xludf.DUMMYFUNCTION("""COMPUTED_VALUE"""),24986.0)</f>
        <v>24986</v>
      </c>
      <c r="K985" s="275">
        <f>IFERROR(__xludf.DUMMYFUNCTION("""COMPUTED_VALUE"""),11224.0)</f>
        <v>11224</v>
      </c>
      <c r="L985" s="276">
        <f>IFERROR(__xludf.DUMMYFUNCTION("""COMPUTED_VALUE"""),0.4444)</f>
        <v>0.4444</v>
      </c>
      <c r="M985" s="275">
        <f>IFERROR(__xludf.DUMMYFUNCTION("""COMPUTED_VALUE"""),4482.0)</f>
        <v>4482</v>
      </c>
      <c r="N985" s="276">
        <f>IFERROR(__xludf.DUMMYFUNCTION("""COMPUTED_VALUE"""),0.39)</f>
        <v>0.39</v>
      </c>
      <c r="O985" s="208">
        <f>IFERROR(__xludf.DUMMYFUNCTION("""COMPUTED_VALUE"""),583.0)</f>
        <v>583</v>
      </c>
      <c r="P985" s="208">
        <f>IFERROR(__xludf.DUMMYFUNCTION("""COMPUTED_VALUE"""),518.0)</f>
        <v>518</v>
      </c>
      <c r="Q985" s="276">
        <f>IFERROR(__xludf.DUMMYFUNCTION("""COMPUTED_VALUE"""),0.0473)</f>
        <v>0.0473</v>
      </c>
      <c r="R985" s="276">
        <f>IFERROR(__xludf.DUMMYFUNCTION("""COMPUTED_VALUE"""),0.1213)</f>
        <v>0.1213</v>
      </c>
      <c r="S985" s="208">
        <f>IFERROR(__xludf.DUMMYFUNCTION("""COMPUTED_VALUE"""),0.0)</f>
        <v>0</v>
      </c>
      <c r="T985" s="208">
        <f>IFERROR(__xludf.DUMMYFUNCTION("""COMPUTED_VALUE"""),13.0)</f>
        <v>13</v>
      </c>
      <c r="U985" s="275">
        <f>IFERROR(__xludf.DUMMYFUNCTION("""COMPUTED_VALUE"""),0.0)</f>
        <v>0</v>
      </c>
      <c r="V985" s="234" t="str">
        <f>IFERROR(__xludf.DUMMYFUNCTION("""COMPUTED_VALUE"""),"offline")</f>
        <v>offline</v>
      </c>
      <c r="W985" s="232" t="str">
        <f>IFERROR(__xludf.DUMMYFUNCTION("""COMPUTED_VALUE"""),"simple")</f>
        <v>simple</v>
      </c>
      <c r="X985" s="232" t="str">
        <f>IFERROR(__xludf.DUMMYFUNCTION("""COMPUTED_VALUE"""),"Category Buyers - Shower Gel")</f>
        <v>Category Buyers - Shower Gel</v>
      </c>
      <c r="Y985" s="232" t="str">
        <f>IFERROR(__xludf.DUMMYFUNCTION("""COMPUTED_VALUE"""),"25-27 June")</f>
        <v>25-27 June</v>
      </c>
      <c r="Z985" s="232" t="str">
        <f>IFERROR(__xludf.DUMMYFUNCTION("""COMPUTED_VALUE"""),"6a3b95b66ada7d0a574093cd")</f>
        <v>6a3b95b66ada7d0a574093cd</v>
      </c>
      <c r="AA985" s="277">
        <f>IFERROR(__xludf.DUMMYFUNCTION("""COMPUTED_VALUE"""),163.0)</f>
        <v>163</v>
      </c>
      <c r="AB985" s="277"/>
      <c r="AC985" s="277">
        <f>IFERROR(__xludf.DUMMYFUNCTION("""COMPUTED_VALUE"""),163.0)</f>
        <v>163</v>
      </c>
      <c r="AD985" s="277">
        <f>IFERROR(__xludf.DUMMYFUNCTION("""COMPUTED_VALUE"""),759088.0)</f>
        <v>759088</v>
      </c>
      <c r="AE985" s="277"/>
      <c r="AF985" s="277">
        <f>IFERROR(__xludf.DUMMYFUNCTION("""COMPUTED_VALUE"""),759088.0)</f>
        <v>759088</v>
      </c>
      <c r="AG985" s="208"/>
      <c r="AH985" s="208"/>
      <c r="AI985" s="208"/>
      <c r="AJ985" s="208"/>
      <c r="AK985" s="208"/>
    </row>
    <row r="986" hidden="1">
      <c r="A986" s="288">
        <f>IFERROR(__xludf.DUMMYFUNCTION("""COMPUTED_VALUE"""),46199.0)</f>
        <v>46199</v>
      </c>
      <c r="B986" s="274">
        <f>IFERROR(__xludf.DUMMYFUNCTION("""COMPUTED_VALUE"""),0.4583333333321207)</f>
        <v>0.4583333333</v>
      </c>
      <c r="C986" s="208" t="str">
        <f>IFERROR(__xludf.DUMMYFUNCTION("""COMPUTED_VALUE"""),"Whatsapp")</f>
        <v>Whatsapp</v>
      </c>
      <c r="D986" s="208" t="str">
        <f>IFERROR(__xludf.DUMMYFUNCTION("""COMPUTED_VALUE"""),"Promotional")</f>
        <v>Promotional</v>
      </c>
      <c r="E986" s="208" t="str">
        <f>IFERROR(__xludf.DUMMYFUNCTION("""COMPUTED_VALUE"""),"BBW")</f>
        <v>BBW</v>
      </c>
      <c r="F986" s="208" t="str">
        <f>IFERROR(__xludf.DUMMYFUNCTION("""COMPUTED_VALUE"""),"SAS - June 2026")</f>
        <v>SAS - June 2026</v>
      </c>
      <c r="G986" s="208" t="str">
        <f>IFERROR(__xludf.DUMMYFUNCTION("""COMPUTED_VALUE"""),"bbw_wa_sas_active_26june_online")</f>
        <v>bbw_wa_sas_active_26june_online</v>
      </c>
      <c r="H986" s="232" t="str">
        <f>IFERROR(__xludf.DUMMYFUNCTION("""COMPUTED_VALUE"""),"BBW_ON_Active_EOSS_26")</f>
        <v>BBW_ON_Active_EOSS_26</v>
      </c>
      <c r="I986" s="233" t="str">
        <f>IFERROR(__xludf.DUMMYFUNCTION("""COMPUTED_VALUE"""),"Online customers who have purchased in the last 84 days")</f>
        <v>Online customers who have purchased in the last 84 days</v>
      </c>
      <c r="J986" s="275">
        <f>IFERROR(__xludf.DUMMYFUNCTION("""COMPUTED_VALUE"""),32558.0)</f>
        <v>32558</v>
      </c>
      <c r="K986" s="275">
        <f>IFERROR(__xludf.DUMMYFUNCTION("""COMPUTED_VALUE"""),17532.0)</f>
        <v>17532</v>
      </c>
      <c r="L986" s="276">
        <f>IFERROR(__xludf.DUMMYFUNCTION("""COMPUTED_VALUE"""),0.5303)</f>
        <v>0.5303</v>
      </c>
      <c r="M986" s="275">
        <f>IFERROR(__xludf.DUMMYFUNCTION("""COMPUTED_VALUE"""),7738.0)</f>
        <v>7738</v>
      </c>
      <c r="N986" s="276">
        <f>IFERROR(__xludf.DUMMYFUNCTION("""COMPUTED_VALUE"""),0.4475)</f>
        <v>0.4475</v>
      </c>
      <c r="O986" s="208">
        <f>IFERROR(__xludf.DUMMYFUNCTION("""COMPUTED_VALUE"""),1759.0)</f>
        <v>1759</v>
      </c>
      <c r="P986" s="208">
        <f>IFERROR(__xludf.DUMMYFUNCTION("""COMPUTED_VALUE"""),1560.0)</f>
        <v>1560</v>
      </c>
      <c r="Q986" s="276">
        <f>IFERROR(__xludf.DUMMYFUNCTION("""COMPUTED_VALUE"""),0.0912)</f>
        <v>0.0912</v>
      </c>
      <c r="R986" s="276">
        <f>IFERROR(__xludf.DUMMYFUNCTION("""COMPUTED_VALUE"""),0.2038)</f>
        <v>0.2038</v>
      </c>
      <c r="S986" s="208">
        <f>IFERROR(__xludf.DUMMYFUNCTION("""COMPUTED_VALUE"""),27.0)</f>
        <v>27</v>
      </c>
      <c r="T986" s="208">
        <f>IFERROR(__xludf.DUMMYFUNCTION("""COMPUTED_VALUE"""),131.0)</f>
        <v>131</v>
      </c>
      <c r="U986" s="275">
        <f>IFERROR(__xludf.DUMMYFUNCTION("""COMPUTED_VALUE"""),53971.0)</f>
        <v>53971</v>
      </c>
      <c r="V986" s="234" t="str">
        <f>IFERROR(__xludf.DUMMYFUNCTION("""COMPUTED_VALUE"""),"online")</f>
        <v>online</v>
      </c>
      <c r="W986" s="232" t="str">
        <f>IFERROR(__xludf.DUMMYFUNCTION("""COMPUTED_VALUE"""),"simple")</f>
        <v>simple</v>
      </c>
      <c r="X986" s="232" t="str">
        <f>IFERROR(__xludf.DUMMYFUNCTION("""COMPUTED_VALUE"""),"Active")</f>
        <v>Active</v>
      </c>
      <c r="Y986" s="232" t="str">
        <f>IFERROR(__xludf.DUMMYFUNCTION("""COMPUTED_VALUE"""),"26-28 June")</f>
        <v>26-28 June</v>
      </c>
      <c r="Z986" s="232" t="str">
        <f>IFERROR(__xludf.DUMMYFUNCTION("""COMPUTED_VALUE"""),"6a3b9676495385e4f32f4362")</f>
        <v>6a3b9676495385e4f32f4362</v>
      </c>
      <c r="AA986" s="277">
        <f>IFERROR(__xludf.DUMMYFUNCTION("""COMPUTED_VALUE"""),162.0)</f>
        <v>162</v>
      </c>
      <c r="AB986" s="277">
        <f>IFERROR(__xludf.DUMMYFUNCTION("""COMPUTED_VALUE"""),162.0)</f>
        <v>162</v>
      </c>
      <c r="AC986" s="277"/>
      <c r="AD986" s="277">
        <f>IFERROR(__xludf.DUMMYFUNCTION("""COMPUTED_VALUE"""),487175.0)</f>
        <v>487175</v>
      </c>
      <c r="AE986" s="277">
        <f>IFERROR(__xludf.DUMMYFUNCTION("""COMPUTED_VALUE"""),487175.0)</f>
        <v>487175</v>
      </c>
      <c r="AF986" s="277"/>
      <c r="AG986" s="208"/>
      <c r="AH986" s="208"/>
      <c r="AI986" s="208"/>
      <c r="AJ986" s="208"/>
      <c r="AK986" s="208"/>
    </row>
    <row r="987" hidden="1">
      <c r="A987" s="288">
        <f>IFERROR(__xludf.DUMMYFUNCTION("""COMPUTED_VALUE"""),46199.0)</f>
        <v>46199</v>
      </c>
      <c r="B987" s="274">
        <f>IFERROR(__xludf.DUMMYFUNCTION("""COMPUTED_VALUE"""),0.4583333333321207)</f>
        <v>0.4583333333</v>
      </c>
      <c r="C987" s="208" t="str">
        <f>IFERROR(__xludf.DUMMYFUNCTION("""COMPUTED_VALUE"""),"Whatsapp")</f>
        <v>Whatsapp</v>
      </c>
      <c r="D987" s="208" t="str">
        <f>IFERROR(__xludf.DUMMYFUNCTION("""COMPUTED_VALUE"""),"Promotional")</f>
        <v>Promotional</v>
      </c>
      <c r="E987" s="208" t="str">
        <f>IFERROR(__xludf.DUMMYFUNCTION("""COMPUTED_VALUE"""),"BBW")</f>
        <v>BBW</v>
      </c>
      <c r="F987" s="208" t="str">
        <f>IFERROR(__xludf.DUMMYFUNCTION("""COMPUTED_VALUE"""),"SAS - June 2026")</f>
        <v>SAS - June 2026</v>
      </c>
      <c r="G987" s="208" t="str">
        <f>IFERROR(__xludf.DUMMYFUNCTION("""COMPUTED_VALUE"""),"bbw_wa_sas_active_26june_offline")</f>
        <v>bbw_wa_sas_active_26june_offline</v>
      </c>
      <c r="H987" s="232" t="str">
        <f>IFERROR(__xludf.DUMMYFUNCTION("""COMPUTED_VALUE"""),"BBW_OFF_Active_EOSS_26")</f>
        <v>BBW_OFF_Active_EOSS_26</v>
      </c>
      <c r="I987" s="233" t="str">
        <f>IFERROR(__xludf.DUMMYFUNCTION("""COMPUTED_VALUE"""),"Offline customers who have purchased in the last 105 days")</f>
        <v>Offline customers who have purchased in the last 105 days</v>
      </c>
      <c r="J987" s="275">
        <f>IFERROR(__xludf.DUMMYFUNCTION("""COMPUTED_VALUE"""),153610.0)</f>
        <v>153610</v>
      </c>
      <c r="K987" s="275">
        <f>IFERROR(__xludf.DUMMYFUNCTION("""COMPUTED_VALUE"""),77211.0)</f>
        <v>77211</v>
      </c>
      <c r="L987" s="276">
        <f>IFERROR(__xludf.DUMMYFUNCTION("""COMPUTED_VALUE"""),0.5421)</f>
        <v>0.5421</v>
      </c>
      <c r="M987" s="275">
        <f>IFERROR(__xludf.DUMMYFUNCTION("""COMPUTED_VALUE"""),31456.0)</f>
        <v>31456</v>
      </c>
      <c r="N987" s="276">
        <f>IFERROR(__xludf.DUMMYFUNCTION("""COMPUTED_VALUE"""),0.4174)</f>
        <v>0.4174</v>
      </c>
      <c r="O987" s="208">
        <f>IFERROR(__xludf.DUMMYFUNCTION("""COMPUTED_VALUE"""),4688.0)</f>
        <v>4688</v>
      </c>
      <c r="P987" s="208">
        <f>IFERROR(__xludf.DUMMYFUNCTION("""COMPUTED_VALUE"""),4126.0)</f>
        <v>4126</v>
      </c>
      <c r="Q987" s="276">
        <f>IFERROR(__xludf.DUMMYFUNCTION("""COMPUTED_VALUE"""),0.0552)</f>
        <v>0.0552</v>
      </c>
      <c r="R987" s="276">
        <f>IFERROR(__xludf.DUMMYFUNCTION("""COMPUTED_VALUE"""),0.1323)</f>
        <v>0.1323</v>
      </c>
      <c r="S987" s="208">
        <f>IFERROR(__xludf.DUMMYFUNCTION("""COMPUTED_VALUE"""),17.0)</f>
        <v>17</v>
      </c>
      <c r="T987" s="208">
        <f>IFERROR(__xludf.DUMMYFUNCTION("""COMPUTED_VALUE"""),89.0)</f>
        <v>89</v>
      </c>
      <c r="U987" s="275">
        <f>IFERROR(__xludf.DUMMYFUNCTION("""COMPUTED_VALUE"""),60286.0)</f>
        <v>60286</v>
      </c>
      <c r="V987" s="234" t="str">
        <f>IFERROR(__xludf.DUMMYFUNCTION("""COMPUTED_VALUE"""),"offline")</f>
        <v>offline</v>
      </c>
      <c r="W987" s="232" t="str">
        <f>IFERROR(__xludf.DUMMYFUNCTION("""COMPUTED_VALUE"""),"simple")</f>
        <v>simple</v>
      </c>
      <c r="X987" s="232" t="str">
        <f>IFERROR(__xludf.DUMMYFUNCTION("""COMPUTED_VALUE"""),"Active")</f>
        <v>Active</v>
      </c>
      <c r="Y987" s="232" t="str">
        <f>IFERROR(__xludf.DUMMYFUNCTION("""COMPUTED_VALUE"""),"26-28 June")</f>
        <v>26-28 June</v>
      </c>
      <c r="Z987" s="232" t="str">
        <f>IFERROR(__xludf.DUMMYFUNCTION("""COMPUTED_VALUE"""),"6a3b980d0539dea4e4663cfc")</f>
        <v>6a3b980d0539dea4e4663cfc</v>
      </c>
      <c r="AA987" s="277">
        <f>IFERROR(__xludf.DUMMYFUNCTION("""COMPUTED_VALUE"""),731.0)</f>
        <v>731</v>
      </c>
      <c r="AB987" s="277"/>
      <c r="AC987" s="277">
        <f>IFERROR(__xludf.DUMMYFUNCTION("""COMPUTED_VALUE"""),731.0)</f>
        <v>731</v>
      </c>
      <c r="AD987" s="277">
        <f>IFERROR(__xludf.DUMMYFUNCTION("""COMPUTED_VALUE"""),2826958.0)</f>
        <v>2826958</v>
      </c>
      <c r="AE987" s="277"/>
      <c r="AF987" s="277">
        <f>IFERROR(__xludf.DUMMYFUNCTION("""COMPUTED_VALUE"""),2826958.0)</f>
        <v>2826958</v>
      </c>
      <c r="AG987" s="208"/>
      <c r="AH987" s="208"/>
      <c r="AI987" s="208"/>
      <c r="AJ987" s="208"/>
      <c r="AK987" s="208"/>
    </row>
    <row r="988" hidden="1">
      <c r="A988" s="288">
        <f>IFERROR(__xludf.DUMMYFUNCTION("""COMPUTED_VALUE"""),46200.0)</f>
        <v>46200</v>
      </c>
      <c r="B988" s="274">
        <f>IFERROR(__xludf.DUMMYFUNCTION("""COMPUTED_VALUE"""),0.5)</f>
        <v>0.5</v>
      </c>
      <c r="C988" s="208" t="str">
        <f>IFERROR(__xludf.DUMMYFUNCTION("""COMPUTED_VALUE"""),"Whatsapp")</f>
        <v>Whatsapp</v>
      </c>
      <c r="D988" s="208" t="str">
        <f>IFERROR(__xludf.DUMMYFUNCTION("""COMPUTED_VALUE"""),"Promotional")</f>
        <v>Promotional</v>
      </c>
      <c r="E988" s="208" t="str">
        <f>IFERROR(__xludf.DUMMYFUNCTION("""COMPUTED_VALUE"""),"BBW")</f>
        <v>BBW</v>
      </c>
      <c r="F988" s="208" t="str">
        <f>IFERROR(__xludf.DUMMYFUNCTION("""COMPUTED_VALUE"""),"SAS - June 2026")</f>
        <v>SAS - June 2026</v>
      </c>
      <c r="G988" s="208" t="str">
        <f>IFERROR(__xludf.DUMMYFUNCTION("""COMPUTED_VALUE"""),"bbw_wa_sas_cat_showergel_27june_online")</f>
        <v>bbw_wa_sas_cat_showergel_27june_online</v>
      </c>
      <c r="H988" s="232" t="str">
        <f>IFERROR(__xludf.DUMMYFUNCTION("""COMPUTED_VALUE"""),"BBW_ON_Shower_Gel_365D")</f>
        <v>BBW_ON_Shower_Gel_365D</v>
      </c>
      <c r="I988" s="233" t="str">
        <f>IFERROR(__xludf.DUMMYFUNCTION("""COMPUTED_VALUE"""),"Online Customers who have purchased at least 1 time from L3: Shower Gel in the last 365D")</f>
        <v>Online Customers who have purchased at least 1 time from L3: Shower Gel in the last 365D</v>
      </c>
      <c r="J988" s="275">
        <f>IFERROR(__xludf.DUMMYFUNCTION("""COMPUTED_VALUE"""),26866.0)</f>
        <v>26866</v>
      </c>
      <c r="K988" s="275">
        <f>IFERROR(__xludf.DUMMYFUNCTION("""COMPUTED_VALUE"""),10444.0)</f>
        <v>10444</v>
      </c>
      <c r="L988" s="276">
        <f>IFERROR(__xludf.DUMMYFUNCTION("""COMPUTED_VALUE"""),0.3887)</f>
        <v>0.3887</v>
      </c>
      <c r="M988" s="275">
        <f>IFERROR(__xludf.DUMMYFUNCTION("""COMPUTED_VALUE"""),4074.0)</f>
        <v>4074</v>
      </c>
      <c r="N988" s="276">
        <f>IFERROR(__xludf.DUMMYFUNCTION("""COMPUTED_VALUE"""),0.3898)</f>
        <v>0.3898</v>
      </c>
      <c r="O988" s="208">
        <f>IFERROR(__xludf.DUMMYFUNCTION("""COMPUTED_VALUE"""),624.0)</f>
        <v>624</v>
      </c>
      <c r="P988" s="208">
        <f>IFERROR(__xludf.DUMMYFUNCTION("""COMPUTED_VALUE"""),581.0)</f>
        <v>581</v>
      </c>
      <c r="Q988" s="276">
        <f>IFERROR(__xludf.DUMMYFUNCTION("""COMPUTED_VALUE"""),0.0556)</f>
        <v>0.0556</v>
      </c>
      <c r="R988" s="276">
        <f>IFERROR(__xludf.DUMMYFUNCTION("""COMPUTED_VALUE"""),0.1428)</f>
        <v>0.1428</v>
      </c>
      <c r="S988" s="208">
        <f>IFERROR(__xludf.DUMMYFUNCTION("""COMPUTED_VALUE"""),4.0)</f>
        <v>4</v>
      </c>
      <c r="T988" s="208">
        <f>IFERROR(__xludf.DUMMYFUNCTION("""COMPUTED_VALUE"""),18.0)</f>
        <v>18</v>
      </c>
      <c r="U988" s="275">
        <f>IFERROR(__xludf.DUMMYFUNCTION("""COMPUTED_VALUE"""),8281.0)</f>
        <v>8281</v>
      </c>
      <c r="V988" s="234" t="str">
        <f>IFERROR(__xludf.DUMMYFUNCTION("""COMPUTED_VALUE"""),"online")</f>
        <v>online</v>
      </c>
      <c r="W988" s="232" t="str">
        <f>IFERROR(__xludf.DUMMYFUNCTION("""COMPUTED_VALUE"""),"simple")</f>
        <v>simple</v>
      </c>
      <c r="X988" s="232" t="str">
        <f>IFERROR(__xludf.DUMMYFUNCTION("""COMPUTED_VALUE"""),"Category Buyers - Shower Gel")</f>
        <v>Category Buyers - Shower Gel</v>
      </c>
      <c r="Y988" s="232" t="str">
        <f>IFERROR(__xludf.DUMMYFUNCTION("""COMPUTED_VALUE"""),"27-29 June")</f>
        <v>27-29 June</v>
      </c>
      <c r="Z988" s="232" t="str">
        <f>IFERROR(__xludf.DUMMYFUNCTION("""COMPUTED_VALUE"""),"6a3b9b93a874d39698732caf")</f>
        <v>6a3b9b93a874d39698732caf</v>
      </c>
      <c r="AA988" s="277">
        <f>IFERROR(__xludf.DUMMYFUNCTION("""COMPUTED_VALUE"""),53.0)</f>
        <v>53</v>
      </c>
      <c r="AB988" s="277">
        <f>IFERROR(__xludf.DUMMYFUNCTION("""COMPUTED_VALUE"""),53.0)</f>
        <v>53</v>
      </c>
      <c r="AC988" s="277"/>
      <c r="AD988" s="277">
        <f>IFERROR(__xludf.DUMMYFUNCTION("""COMPUTED_VALUE"""),154333.0)</f>
        <v>154333</v>
      </c>
      <c r="AE988" s="277">
        <f>IFERROR(__xludf.DUMMYFUNCTION("""COMPUTED_VALUE"""),154333.0)</f>
        <v>154333</v>
      </c>
      <c r="AF988" s="277"/>
      <c r="AG988" s="208"/>
      <c r="AH988" s="208"/>
      <c r="AI988" s="208"/>
      <c r="AJ988" s="208"/>
      <c r="AK988" s="208"/>
    </row>
    <row r="989" hidden="1">
      <c r="A989" s="288">
        <f>IFERROR(__xludf.DUMMYFUNCTION("""COMPUTED_VALUE"""),46200.0)</f>
        <v>46200</v>
      </c>
      <c r="B989" s="274">
        <f>IFERROR(__xludf.DUMMYFUNCTION("""COMPUTED_VALUE"""),0.5)</f>
        <v>0.5</v>
      </c>
      <c r="C989" s="208" t="str">
        <f>IFERROR(__xludf.DUMMYFUNCTION("""COMPUTED_VALUE"""),"Whatsapp")</f>
        <v>Whatsapp</v>
      </c>
      <c r="D989" s="208" t="str">
        <f>IFERROR(__xludf.DUMMYFUNCTION("""COMPUTED_VALUE"""),"Promotional")</f>
        <v>Promotional</v>
      </c>
      <c r="E989" s="208" t="str">
        <f>IFERROR(__xludf.DUMMYFUNCTION("""COMPUTED_VALUE"""),"BBW")</f>
        <v>BBW</v>
      </c>
      <c r="F989" s="208" t="str">
        <f>IFERROR(__xludf.DUMMYFUNCTION("""COMPUTED_VALUE"""),"SAS - June 2026")</f>
        <v>SAS - June 2026</v>
      </c>
      <c r="G989" s="208" t="str">
        <f>IFERROR(__xludf.DUMMYFUNCTION("""COMPUTED_VALUE"""),"bbw_wa_sas_cat_showergel_27june_offline")</f>
        <v>bbw_wa_sas_cat_showergel_27june_offline</v>
      </c>
      <c r="H989" s="232" t="str">
        <f>IFERROR(__xludf.DUMMYFUNCTION("""COMPUTED_VALUE"""),"BBW_OFF_Shower_Gel_365D")</f>
        <v>BBW_OFF_Shower_Gel_365D</v>
      </c>
      <c r="I989" s="233" t="str">
        <f>IFERROR(__xludf.DUMMYFUNCTION("""COMPUTED_VALUE"""),"Offline Customers who have purchased at least 1 time from L3: Shower Gel in the last 365D")</f>
        <v>Offline Customers who have purchased at least 1 time from L3: Shower Gel in the last 365D</v>
      </c>
      <c r="J989" s="275">
        <f>IFERROR(__xludf.DUMMYFUNCTION("""COMPUTED_VALUE"""),144112.0)</f>
        <v>144112</v>
      </c>
      <c r="K989" s="275">
        <f>IFERROR(__xludf.DUMMYFUNCTION("""COMPUTED_VALUE"""),57719.0)</f>
        <v>57719</v>
      </c>
      <c r="L989" s="276">
        <f>IFERROR(__xludf.DUMMYFUNCTION("""COMPUTED_VALUE"""),0.4005)</f>
        <v>0.4005</v>
      </c>
      <c r="M989" s="275">
        <f>IFERROR(__xludf.DUMMYFUNCTION("""COMPUTED_VALUE"""),21938.0)</f>
        <v>21938</v>
      </c>
      <c r="N989" s="276">
        <f>IFERROR(__xludf.DUMMYFUNCTION("""COMPUTED_VALUE"""),0.3797)</f>
        <v>0.3797</v>
      </c>
      <c r="O989" s="208">
        <f>IFERROR(__xludf.DUMMYFUNCTION("""COMPUTED_VALUE"""),1858.0)</f>
        <v>1858</v>
      </c>
      <c r="P989" s="208">
        <f>IFERROR(__xludf.DUMMYFUNCTION("""COMPUTED_VALUE"""),1756.0)</f>
        <v>1756</v>
      </c>
      <c r="Q989" s="276">
        <f>IFERROR(__xludf.DUMMYFUNCTION("""COMPUTED_VALUE"""),0.0304)</f>
        <v>0.0304</v>
      </c>
      <c r="R989" s="276">
        <f>IFERROR(__xludf.DUMMYFUNCTION("""COMPUTED_VALUE"""),0.0801)</f>
        <v>0.0801</v>
      </c>
      <c r="S989" s="208">
        <f>IFERROR(__xludf.DUMMYFUNCTION("""COMPUTED_VALUE"""),5.0)</f>
        <v>5</v>
      </c>
      <c r="T989" s="208">
        <f>IFERROR(__xludf.DUMMYFUNCTION("""COMPUTED_VALUE"""),37.0)</f>
        <v>37</v>
      </c>
      <c r="U989" s="275">
        <f>IFERROR(__xludf.DUMMYFUNCTION("""COMPUTED_VALUE"""),10003.0)</f>
        <v>10003</v>
      </c>
      <c r="V989" s="234" t="str">
        <f>IFERROR(__xludf.DUMMYFUNCTION("""COMPUTED_VALUE"""),"offline")</f>
        <v>offline</v>
      </c>
      <c r="W989" s="232" t="str">
        <f>IFERROR(__xludf.DUMMYFUNCTION("""COMPUTED_VALUE"""),"simple")</f>
        <v>simple</v>
      </c>
      <c r="X989" s="232" t="str">
        <f>IFERROR(__xludf.DUMMYFUNCTION("""COMPUTED_VALUE"""),"Category Buyers - Mist")</f>
        <v>Category Buyers - Mist</v>
      </c>
      <c r="Y989" s="232" t="str">
        <f>IFERROR(__xludf.DUMMYFUNCTION("""COMPUTED_VALUE"""),"27-29 June")</f>
        <v>27-29 June</v>
      </c>
      <c r="Z989" s="232" t="str">
        <f>IFERROR(__xludf.DUMMYFUNCTION("""COMPUTED_VALUE"""),"6a3b9bd36a72ecceb27f43bd")</f>
        <v>6a3b9bd36a72ecceb27f43bd</v>
      </c>
      <c r="AA989" s="277">
        <f>IFERROR(__xludf.DUMMYFUNCTION("""COMPUTED_VALUE"""),463.0)</f>
        <v>463</v>
      </c>
      <c r="AB989" s="277"/>
      <c r="AC989" s="277">
        <f>IFERROR(__xludf.DUMMYFUNCTION("""COMPUTED_VALUE"""),463.0)</f>
        <v>463</v>
      </c>
      <c r="AD989" s="277">
        <f>IFERROR(__xludf.DUMMYFUNCTION("""COMPUTED_VALUE"""),1779736.0)</f>
        <v>1779736</v>
      </c>
      <c r="AE989" s="277"/>
      <c r="AF989" s="277">
        <f>IFERROR(__xludf.DUMMYFUNCTION("""COMPUTED_VALUE"""),1779736.0)</f>
        <v>1779736</v>
      </c>
      <c r="AG989" s="208"/>
      <c r="AH989" s="208"/>
      <c r="AI989" s="208"/>
      <c r="AJ989" s="208"/>
      <c r="AK989" s="208"/>
    </row>
    <row r="990" hidden="1">
      <c r="A990" s="288">
        <f>IFERROR(__xludf.DUMMYFUNCTION("""COMPUTED_VALUE"""),46200.0)</f>
        <v>46200</v>
      </c>
      <c r="B990" s="274">
        <f>IFERROR(__xludf.DUMMYFUNCTION("""COMPUTED_VALUE"""),0.75)</f>
        <v>0.75</v>
      </c>
      <c r="C990" s="208" t="str">
        <f>IFERROR(__xludf.DUMMYFUNCTION("""COMPUTED_VALUE"""),"Whatsapp")</f>
        <v>Whatsapp</v>
      </c>
      <c r="D990" s="208" t="str">
        <f>IFERROR(__xludf.DUMMYFUNCTION("""COMPUTED_VALUE"""),"Promotional")</f>
        <v>Promotional</v>
      </c>
      <c r="E990" s="208" t="str">
        <f>IFERROR(__xludf.DUMMYFUNCTION("""COMPUTED_VALUE"""),"BBW")</f>
        <v>BBW</v>
      </c>
      <c r="F990" s="208" t="str">
        <f>IFERROR(__xludf.DUMMYFUNCTION("""COMPUTED_VALUE"""),"SAS - June 2026")</f>
        <v>SAS - June 2026</v>
      </c>
      <c r="G990" s="208" t="str">
        <f>IFERROR(__xludf.DUMMYFUNCTION("""COMPUTED_VALUE"""),"bbw_wa_sas_dormant_27june_online")</f>
        <v>bbw_wa_sas_dormant_27june_online</v>
      </c>
      <c r="H990" s="232" t="str">
        <f>IFERROR(__xludf.DUMMYFUNCTION("""COMPUTED_VALUE"""),"BBW_ON_Dorm_EOSS_26")</f>
        <v>BBW_ON_Dorm_EOSS_26</v>
      </c>
      <c r="I990" s="233" t="str">
        <f>IFERROR(__xludf.DUMMYFUNCTION("""COMPUTED_VALUE"""),"Online customers who have purchased in the last 365 days")</f>
        <v>Online customers who have purchased in the last 365 days</v>
      </c>
      <c r="J990" s="275">
        <f>IFERROR(__xludf.DUMMYFUNCTION("""COMPUTED_VALUE"""),68983.0)</f>
        <v>68983</v>
      </c>
      <c r="K990" s="275">
        <f>IFERROR(__xludf.DUMMYFUNCTION("""COMPUTED_VALUE"""),28240.0)</f>
        <v>28240</v>
      </c>
      <c r="L990" s="276">
        <f>IFERROR(__xludf.DUMMYFUNCTION("""COMPUTED_VALUE"""),0.4093)</f>
        <v>0.4093</v>
      </c>
      <c r="M990" s="275">
        <f>IFERROR(__xludf.DUMMYFUNCTION("""COMPUTED_VALUE"""),10612.0)</f>
        <v>10612</v>
      </c>
      <c r="N990" s="276">
        <f>IFERROR(__xludf.DUMMYFUNCTION("""COMPUTED_VALUE"""),0.3749)</f>
        <v>0.3749</v>
      </c>
      <c r="O990" s="208">
        <f>IFERROR(__xludf.DUMMYFUNCTION("""COMPUTED_VALUE"""),1696.0)</f>
        <v>1696</v>
      </c>
      <c r="P990" s="208">
        <f>IFERROR(__xludf.DUMMYFUNCTION("""COMPUTED_VALUE"""),1579.0)</f>
        <v>1579</v>
      </c>
      <c r="Q990" s="276">
        <f>IFERROR(__xludf.DUMMYFUNCTION("""COMPUTED_VALUE"""),0.0559)</f>
        <v>0.0559</v>
      </c>
      <c r="R990" s="276">
        <f>IFERROR(__xludf.DUMMYFUNCTION("""COMPUTED_VALUE"""),0.1492)</f>
        <v>0.1492</v>
      </c>
      <c r="S990" s="208">
        <f>IFERROR(__xludf.DUMMYFUNCTION("""COMPUTED_VALUE"""),10.0)</f>
        <v>10</v>
      </c>
      <c r="T990" s="208">
        <f>IFERROR(__xludf.DUMMYFUNCTION("""COMPUTED_VALUE"""),40.0)</f>
        <v>40</v>
      </c>
      <c r="U990" s="275">
        <f>IFERROR(__xludf.DUMMYFUNCTION("""COMPUTED_VALUE"""),23383.0)</f>
        <v>23383</v>
      </c>
      <c r="V990" s="234" t="str">
        <f>IFERROR(__xludf.DUMMYFUNCTION("""COMPUTED_VALUE"""),"online")</f>
        <v>online</v>
      </c>
      <c r="W990" s="232" t="str">
        <f>IFERROR(__xludf.DUMMYFUNCTION("""COMPUTED_VALUE"""),"simple")</f>
        <v>simple</v>
      </c>
      <c r="X990" s="232" t="str">
        <f>IFERROR(__xludf.DUMMYFUNCTION("""COMPUTED_VALUE"""),"Dormant")</f>
        <v>Dormant</v>
      </c>
      <c r="Y990" s="232" t="str">
        <f>IFERROR(__xludf.DUMMYFUNCTION("""COMPUTED_VALUE"""),"27-29 June")</f>
        <v>27-29 June</v>
      </c>
      <c r="Z990" s="232" t="str">
        <f>IFERROR(__xludf.DUMMYFUNCTION("""COMPUTED_VALUE"""),"6a3b9c643aaf8c96ce3587d2")</f>
        <v>6a3b9c643aaf8c96ce3587d2</v>
      </c>
      <c r="AA990" s="277">
        <f>IFERROR(__xludf.DUMMYFUNCTION("""COMPUTED_VALUE"""),88.0)</f>
        <v>88</v>
      </c>
      <c r="AB990" s="277">
        <f>IFERROR(__xludf.DUMMYFUNCTION("""COMPUTED_VALUE"""),88.0)</f>
        <v>88</v>
      </c>
      <c r="AC990" s="277"/>
      <c r="AD990" s="277">
        <f>IFERROR(__xludf.DUMMYFUNCTION("""COMPUTED_VALUE"""),234106.0)</f>
        <v>234106</v>
      </c>
      <c r="AE990" s="277">
        <f>IFERROR(__xludf.DUMMYFUNCTION("""COMPUTED_VALUE"""),234106.0)</f>
        <v>234106</v>
      </c>
      <c r="AF990" s="277"/>
      <c r="AG990" s="208"/>
      <c r="AH990" s="208"/>
      <c r="AI990" s="208"/>
      <c r="AJ990" s="208"/>
      <c r="AK990" s="208"/>
    </row>
    <row r="991" hidden="1">
      <c r="A991" s="288">
        <f>IFERROR(__xludf.DUMMYFUNCTION("""COMPUTED_VALUE"""),46201.0)</f>
        <v>46201</v>
      </c>
      <c r="B991" s="274">
        <f>IFERROR(__xludf.DUMMYFUNCTION("""COMPUTED_VALUE"""),0.7083333333321207)</f>
        <v>0.7083333333</v>
      </c>
      <c r="C991" s="208" t="str">
        <f>IFERROR(__xludf.DUMMYFUNCTION("""COMPUTED_VALUE"""),"Whatsapp")</f>
        <v>Whatsapp</v>
      </c>
      <c r="D991" s="208" t="str">
        <f>IFERROR(__xludf.DUMMYFUNCTION("""COMPUTED_VALUE"""),"Promotional")</f>
        <v>Promotional</v>
      </c>
      <c r="E991" s="208" t="str">
        <f>IFERROR(__xludf.DUMMYFUNCTION("""COMPUTED_VALUE"""),"BBW")</f>
        <v>BBW</v>
      </c>
      <c r="F991" s="208" t="str">
        <f>IFERROR(__xludf.DUMMYFUNCTION("""COMPUTED_VALUE"""),"SAS - June 2026")</f>
        <v>SAS - June 2026</v>
      </c>
      <c r="G991" s="208" t="str">
        <f>IFERROR(__xludf.DUMMYFUNCTION("""COMPUTED_VALUE"""),"bbw_wa_sas_handsoaps_28june_atc_online")</f>
        <v>bbw_wa_sas_handsoaps_28june_atc_online</v>
      </c>
      <c r="H991" s="232" t="str">
        <f>IFERROR(__xludf.DUMMYFUNCTION("""COMPUTED_VALUE"""),"BBW_ON_ATC_HS_HC_Value_999")</f>
        <v>BBW_ON_ATC_HS_HC_Value_999</v>
      </c>
      <c r="I991" s="233" t="str">
        <f>IFERROR(__xludf.DUMMYFUNCTION("""COMPUTED_VALUE"""),"Customers who have added to cart at least 1 times in the last 30 days from L2: Hand Soaps or L3: Hand Creams or Cart Value &lt;999")</f>
        <v>Customers who have added to cart at least 1 times in the last 30 days from L2: Hand Soaps or L3: Hand Creams or Cart Value &lt;999</v>
      </c>
      <c r="J991" s="275">
        <f>IFERROR(__xludf.DUMMYFUNCTION("""COMPUTED_VALUE"""),3073.0)</f>
        <v>3073</v>
      </c>
      <c r="K991" s="275">
        <f>IFERROR(__xludf.DUMMYFUNCTION("""COMPUTED_VALUE"""),1490.0)</f>
        <v>1490</v>
      </c>
      <c r="L991" s="276">
        <f>IFERROR(__xludf.DUMMYFUNCTION("""COMPUTED_VALUE"""),0.4849)</f>
        <v>0.4849</v>
      </c>
      <c r="M991" s="275">
        <f>IFERROR(__xludf.DUMMYFUNCTION("""COMPUTED_VALUE"""),614.0)</f>
        <v>614</v>
      </c>
      <c r="N991" s="276">
        <f>IFERROR(__xludf.DUMMYFUNCTION("""COMPUTED_VALUE"""),0.4094)</f>
        <v>0.4094</v>
      </c>
      <c r="O991" s="208">
        <f>IFERROR(__xludf.DUMMYFUNCTION("""COMPUTED_VALUE"""),94.0)</f>
        <v>94</v>
      </c>
      <c r="P991" s="208">
        <f>IFERROR(__xludf.DUMMYFUNCTION("""COMPUTED_VALUE"""),88.0)</f>
        <v>88</v>
      </c>
      <c r="Q991" s="276">
        <f>IFERROR(__xludf.DUMMYFUNCTION("""COMPUTED_VALUE"""),0.0591)</f>
        <v>0.0591</v>
      </c>
      <c r="R991" s="276">
        <f>IFERROR(__xludf.DUMMYFUNCTION("""COMPUTED_VALUE"""),0.1443)</f>
        <v>0.1443</v>
      </c>
      <c r="S991" s="208">
        <f>IFERROR(__xludf.DUMMYFUNCTION("""COMPUTED_VALUE"""),5.0)</f>
        <v>5</v>
      </c>
      <c r="T991" s="208">
        <f>IFERROR(__xludf.DUMMYFUNCTION("""COMPUTED_VALUE"""),15.0)</f>
        <v>15</v>
      </c>
      <c r="U991" s="275">
        <f>IFERROR(__xludf.DUMMYFUNCTION("""COMPUTED_VALUE"""),15040.0)</f>
        <v>15040</v>
      </c>
      <c r="V991" s="234" t="str">
        <f>IFERROR(__xludf.DUMMYFUNCTION("""COMPUTED_VALUE"""),"online")</f>
        <v>online</v>
      </c>
      <c r="W991" s="232" t="str">
        <f>IFERROR(__xludf.DUMMYFUNCTION("""COMPUTED_VALUE"""),"simple")</f>
        <v>simple</v>
      </c>
      <c r="X991" s="232" t="str">
        <f>IFERROR(__xludf.DUMMYFUNCTION("""COMPUTED_VALUE"""),"Add to Cart")</f>
        <v>Add to Cart</v>
      </c>
      <c r="Y991" s="232" t="str">
        <f>IFERROR(__xludf.DUMMYFUNCTION("""COMPUTED_VALUE"""),"28-30 June")</f>
        <v>28-30 June</v>
      </c>
      <c r="Z991" s="232" t="str">
        <f>IFERROR(__xludf.DUMMYFUNCTION("""COMPUTED_VALUE"""),"6a3cf68e085c7552bc2f4199")</f>
        <v>6a3cf68e085c7552bc2f4199</v>
      </c>
      <c r="AA991" s="277">
        <f>IFERROR(__xludf.DUMMYFUNCTION("""COMPUTED_VALUE"""),18.0)</f>
        <v>18</v>
      </c>
      <c r="AB991" s="277">
        <f>IFERROR(__xludf.DUMMYFUNCTION("""COMPUTED_VALUE"""),18.0)</f>
        <v>18</v>
      </c>
      <c r="AC991" s="277"/>
      <c r="AD991" s="277">
        <f>IFERROR(__xludf.DUMMYFUNCTION("""COMPUTED_VALUE"""),36072.0)</f>
        <v>36072</v>
      </c>
      <c r="AE991" s="277">
        <f>IFERROR(__xludf.DUMMYFUNCTION("""COMPUTED_VALUE"""),36072.0)</f>
        <v>36072</v>
      </c>
      <c r="AF991" s="277"/>
      <c r="AG991" s="208"/>
      <c r="AH991" s="208"/>
      <c r="AI991" s="208"/>
      <c r="AJ991" s="208"/>
      <c r="AK991" s="208"/>
    </row>
    <row r="992" hidden="1">
      <c r="A992" s="288">
        <f>IFERROR(__xludf.DUMMYFUNCTION("""COMPUTED_VALUE"""),46201.0)</f>
        <v>46201</v>
      </c>
      <c r="B992" s="274">
        <f>IFERROR(__xludf.DUMMYFUNCTION("""COMPUTED_VALUE"""),0.7083333333321207)</f>
        <v>0.7083333333</v>
      </c>
      <c r="C992" s="208" t="str">
        <f>IFERROR(__xludf.DUMMYFUNCTION("""COMPUTED_VALUE"""),"Whatsapp")</f>
        <v>Whatsapp</v>
      </c>
      <c r="D992" s="208" t="str">
        <f>IFERROR(__xludf.DUMMYFUNCTION("""COMPUTED_VALUE"""),"Promotional")</f>
        <v>Promotional</v>
      </c>
      <c r="E992" s="208" t="str">
        <f>IFERROR(__xludf.DUMMYFUNCTION("""COMPUTED_VALUE"""),"BBW")</f>
        <v>BBW</v>
      </c>
      <c r="F992" s="208" t="str">
        <f>IFERROR(__xludf.DUMMYFUNCTION("""COMPUTED_VALUE"""),"SAS - June 2026")</f>
        <v>SAS - June 2026</v>
      </c>
      <c r="G992" s="208" t="str">
        <f>IFERROR(__xludf.DUMMYFUNCTION("""COMPUTED_VALUE"""),"bbw_wa_sas_handsoaps_28june_active_on&amp;off")</f>
        <v>bbw_wa_sas_handsoaps_28june_active_on&amp;off</v>
      </c>
      <c r="H992" s="232" t="str">
        <f>IFERROR(__xludf.DUMMYFUNCTION("""COMPUTED_VALUE"""),"BBW_ON_OFF_ACTIVE_HS_HC")</f>
        <v>BBW_ON_OFF_ACTIVE_HS_HC</v>
      </c>
      <c r="I992" s="233" t="str">
        <f>IFERROR(__xludf.DUMMYFUNCTION("""COMPUTED_VALUE"""),"Customers who have purchased at least 1 time from Hand soaps, hand creams, travel size, cleansers in the last 109 days")</f>
        <v>Customers who have purchased at least 1 time from Hand soaps, hand creams, travel size, cleansers in the last 109 days</v>
      </c>
      <c r="J992" s="275">
        <f>IFERROR(__xludf.DUMMYFUNCTION("""COMPUTED_VALUE"""),42527.0)</f>
        <v>42527</v>
      </c>
      <c r="K992" s="275">
        <f>IFERROR(__xludf.DUMMYFUNCTION("""COMPUTED_VALUE"""),16636.0)</f>
        <v>16636</v>
      </c>
      <c r="L992" s="276">
        <f>IFERROR(__xludf.DUMMYFUNCTION("""COMPUTED_VALUE"""),0.3911)</f>
        <v>0.3911</v>
      </c>
      <c r="M992" s="275">
        <f>IFERROR(__xludf.DUMMYFUNCTION("""COMPUTED_VALUE"""),5413.0)</f>
        <v>5413</v>
      </c>
      <c r="N992" s="276">
        <f>IFERROR(__xludf.DUMMYFUNCTION("""COMPUTED_VALUE"""),0.3241)</f>
        <v>0.3241</v>
      </c>
      <c r="O992" s="208">
        <f>IFERROR(__xludf.DUMMYFUNCTION("""COMPUTED_VALUE"""),456.0)</f>
        <v>456</v>
      </c>
      <c r="P992" s="208">
        <f>IFERROR(__xludf.DUMMYFUNCTION("""COMPUTED_VALUE"""),435.0)</f>
        <v>435</v>
      </c>
      <c r="Q992" s="276">
        <f>IFERROR(__xludf.DUMMYFUNCTION("""COMPUTED_VALUE"""),0.0262)</f>
        <v>0.0262</v>
      </c>
      <c r="R992" s="276">
        <f>IFERROR(__xludf.DUMMYFUNCTION("""COMPUTED_VALUE"""),0.0807)</f>
        <v>0.0807</v>
      </c>
      <c r="S992" s="208">
        <f>IFERROR(__xludf.DUMMYFUNCTION("""COMPUTED_VALUE"""),3.0)</f>
        <v>3</v>
      </c>
      <c r="T992" s="208">
        <f>IFERROR(__xludf.DUMMYFUNCTION("""COMPUTED_VALUE"""),8.0)</f>
        <v>8</v>
      </c>
      <c r="U992" s="275">
        <f>IFERROR(__xludf.DUMMYFUNCTION("""COMPUTED_VALUE"""),8863.0)</f>
        <v>8863</v>
      </c>
      <c r="V992" s="234" t="str">
        <f>IFERROR(__xludf.DUMMYFUNCTION("""COMPUTED_VALUE"""),"overall")</f>
        <v>overall</v>
      </c>
      <c r="W992" s="232" t="str">
        <f>IFERROR(__xludf.DUMMYFUNCTION("""COMPUTED_VALUE"""),"simple")</f>
        <v>simple</v>
      </c>
      <c r="X992" s="232" t="str">
        <f>IFERROR(__xludf.DUMMYFUNCTION("""COMPUTED_VALUE"""),"Active")</f>
        <v>Active</v>
      </c>
      <c r="Y992" s="232" t="str">
        <f>IFERROR(__xludf.DUMMYFUNCTION("""COMPUTED_VALUE"""),"28-30 June")</f>
        <v>28-30 June</v>
      </c>
      <c r="Z992" s="232" t="str">
        <f>IFERROR(__xludf.DUMMYFUNCTION("""COMPUTED_VALUE"""),"6a3cf6d5a64ac505594ad5b5")</f>
        <v>6a3cf6d5a64ac505594ad5b5</v>
      </c>
      <c r="AA992" s="277">
        <f>IFERROR(__xludf.DUMMYFUNCTION("""COMPUTED_VALUE"""),163.0)</f>
        <v>163</v>
      </c>
      <c r="AB992" s="277">
        <f>IFERROR(__xludf.DUMMYFUNCTION("""COMPUTED_VALUE"""),26.0)</f>
        <v>26</v>
      </c>
      <c r="AC992" s="277">
        <f>IFERROR(__xludf.DUMMYFUNCTION("""COMPUTED_VALUE"""),137.0)</f>
        <v>137</v>
      </c>
      <c r="AD992" s="277">
        <f>IFERROR(__xludf.DUMMYFUNCTION("""COMPUTED_VALUE"""),635483.0)</f>
        <v>635483</v>
      </c>
      <c r="AE992" s="277">
        <f>IFERROR(__xludf.DUMMYFUNCTION("""COMPUTED_VALUE"""),68824.0)</f>
        <v>68824</v>
      </c>
      <c r="AF992" s="277">
        <f>IFERROR(__xludf.DUMMYFUNCTION("""COMPUTED_VALUE"""),566659.0)</f>
        <v>566659</v>
      </c>
      <c r="AG992" s="208"/>
      <c r="AH992" s="208"/>
      <c r="AI992" s="208"/>
      <c r="AJ992" s="208"/>
      <c r="AK992" s="208"/>
    </row>
    <row r="993" hidden="1">
      <c r="A993" s="288">
        <f>IFERROR(__xludf.DUMMYFUNCTION("""COMPUTED_VALUE"""),46201.0)</f>
        <v>46201</v>
      </c>
      <c r="B993" s="274">
        <f>IFERROR(__xludf.DUMMYFUNCTION("""COMPUTED_VALUE"""),0.7083333333321207)</f>
        <v>0.7083333333</v>
      </c>
      <c r="C993" s="208" t="str">
        <f>IFERROR(__xludf.DUMMYFUNCTION("""COMPUTED_VALUE"""),"Whatsapp")</f>
        <v>Whatsapp</v>
      </c>
      <c r="D993" s="208" t="str">
        <f>IFERROR(__xludf.DUMMYFUNCTION("""COMPUTED_VALUE"""),"Promotional")</f>
        <v>Promotional</v>
      </c>
      <c r="E993" s="208" t="str">
        <f>IFERROR(__xludf.DUMMYFUNCTION("""COMPUTED_VALUE"""),"BBW")</f>
        <v>BBW</v>
      </c>
      <c r="F993" s="208" t="str">
        <f>IFERROR(__xludf.DUMMYFUNCTION("""COMPUTED_VALUE"""),"SAS - June 2026")</f>
        <v>SAS - June 2026</v>
      </c>
      <c r="G993" s="208" t="str">
        <f>IFERROR(__xludf.DUMMYFUNCTION("""COMPUTED_VALUE"""),"bbw_wa_sas_handsoaps_28june_dormant_on&amp;off")</f>
        <v>bbw_wa_sas_handsoaps_28june_dormant_on&amp;off</v>
      </c>
      <c r="H993" s="232" t="str">
        <f>IFERROR(__xludf.DUMMYFUNCTION("""COMPUTED_VALUE"""),"BBW_ON_OFF_DORM_HS_HC")</f>
        <v>BBW_ON_OFF_DORM_HS_HC</v>
      </c>
      <c r="I993" s="233" t="str">
        <f>IFERROR(__xludf.DUMMYFUNCTION("""COMPUTED_VALUE"""),"Customers who have purchased at least 1 time from Hand soaps, hand creams, travel size, cleansers in the last 365 days")</f>
        <v>Customers who have purchased at least 1 time from Hand soaps, hand creams, travel size, cleansers in the last 365 days</v>
      </c>
      <c r="J993" s="275">
        <f>IFERROR(__xludf.DUMMYFUNCTION("""COMPUTED_VALUE"""),27114.0)</f>
        <v>27114</v>
      </c>
      <c r="K993" s="275">
        <f>IFERROR(__xludf.DUMMYFUNCTION("""COMPUTED_VALUE"""),10056.0)</f>
        <v>10056</v>
      </c>
      <c r="L993" s="276">
        <f>IFERROR(__xludf.DUMMYFUNCTION("""COMPUTED_VALUE"""),0.3708)</f>
        <v>0.3708</v>
      </c>
      <c r="M993" s="275">
        <f>IFERROR(__xludf.DUMMYFUNCTION("""COMPUTED_VALUE"""),3148.0)</f>
        <v>3148</v>
      </c>
      <c r="N993" s="276">
        <f>IFERROR(__xludf.DUMMYFUNCTION("""COMPUTED_VALUE"""),0.3111)</f>
        <v>0.3111</v>
      </c>
      <c r="O993" s="208">
        <f>IFERROR(__xludf.DUMMYFUNCTION("""COMPUTED_VALUE"""),257.0)</f>
        <v>257</v>
      </c>
      <c r="P993" s="208">
        <f>IFERROR(__xludf.DUMMYFUNCTION("""COMPUTED_VALUE"""),251.0)</f>
        <v>251</v>
      </c>
      <c r="Q993" s="276">
        <f>IFERROR(__xludf.DUMMYFUNCTION("""COMPUTED_VALUE"""),0.025)</f>
        <v>0.025</v>
      </c>
      <c r="R993" s="276">
        <f>IFERROR(__xludf.DUMMYFUNCTION("""COMPUTED_VALUE"""),0.0802)</f>
        <v>0.0802</v>
      </c>
      <c r="S993" s="208">
        <f>IFERROR(__xludf.DUMMYFUNCTION("""COMPUTED_VALUE"""),1.0)</f>
        <v>1</v>
      </c>
      <c r="T993" s="208">
        <f>IFERROR(__xludf.DUMMYFUNCTION("""COMPUTED_VALUE"""),3.0)</f>
        <v>3</v>
      </c>
      <c r="U993" s="275">
        <f>IFERROR(__xludf.DUMMYFUNCTION("""COMPUTED_VALUE"""),1559.0)</f>
        <v>1559</v>
      </c>
      <c r="V993" s="234" t="str">
        <f>IFERROR(__xludf.DUMMYFUNCTION("""COMPUTED_VALUE"""),"overall")</f>
        <v>overall</v>
      </c>
      <c r="W993" s="232" t="str">
        <f>IFERROR(__xludf.DUMMYFUNCTION("""COMPUTED_VALUE"""),"simple")</f>
        <v>simple</v>
      </c>
      <c r="X993" s="232" t="str">
        <f>IFERROR(__xludf.DUMMYFUNCTION("""COMPUTED_VALUE"""),"Dormant")</f>
        <v>Dormant</v>
      </c>
      <c r="Y993" s="232" t="str">
        <f>IFERROR(__xludf.DUMMYFUNCTION("""COMPUTED_VALUE"""),"28-30 June")</f>
        <v>28-30 June</v>
      </c>
      <c r="Z993" s="232" t="str">
        <f>IFERROR(__xludf.DUMMYFUNCTION("""COMPUTED_VALUE"""),"6a3cf71db564a75c606dc3cf")</f>
        <v>6a3cf71db564a75c606dc3cf</v>
      </c>
      <c r="AA993" s="277">
        <f>IFERROR(__xludf.DUMMYFUNCTION("""COMPUTED_VALUE"""),86.0)</f>
        <v>86</v>
      </c>
      <c r="AB993" s="277">
        <f>IFERROR(__xludf.DUMMYFUNCTION("""COMPUTED_VALUE"""),26.0)</f>
        <v>26</v>
      </c>
      <c r="AC993" s="277">
        <f>IFERROR(__xludf.DUMMYFUNCTION("""COMPUTED_VALUE"""),60.0)</f>
        <v>60</v>
      </c>
      <c r="AD993" s="277">
        <f>IFERROR(__xludf.DUMMYFUNCTION("""COMPUTED_VALUE"""),412463.0)</f>
        <v>412463</v>
      </c>
      <c r="AE993" s="277">
        <f>IFERROR(__xludf.DUMMYFUNCTION("""COMPUTED_VALUE"""),62296.0)</f>
        <v>62296</v>
      </c>
      <c r="AF993" s="277">
        <f>IFERROR(__xludf.DUMMYFUNCTION("""COMPUTED_VALUE"""),350167.0)</f>
        <v>350167</v>
      </c>
      <c r="AG993" s="208"/>
      <c r="AH993" s="208"/>
      <c r="AI993" s="208"/>
      <c r="AJ993" s="208"/>
      <c r="AK993" s="208"/>
    </row>
    <row r="994" hidden="1">
      <c r="A994" s="288">
        <f>IFERROR(__xludf.DUMMYFUNCTION("""COMPUTED_VALUE"""),46201.0)</f>
        <v>46201</v>
      </c>
      <c r="B994" s="274">
        <f>IFERROR(__xludf.DUMMYFUNCTION("""COMPUTED_VALUE"""),0.7083333333321207)</f>
        <v>0.7083333333</v>
      </c>
      <c r="C994" s="208" t="str">
        <f>IFERROR(__xludf.DUMMYFUNCTION("""COMPUTED_VALUE"""),"Whatsapp")</f>
        <v>Whatsapp</v>
      </c>
      <c r="D994" s="208" t="str">
        <f>IFERROR(__xludf.DUMMYFUNCTION("""COMPUTED_VALUE"""),"Promotional")</f>
        <v>Promotional</v>
      </c>
      <c r="E994" s="208" t="str">
        <f>IFERROR(__xludf.DUMMYFUNCTION("""COMPUTED_VALUE"""),"BBW")</f>
        <v>BBW</v>
      </c>
      <c r="F994" s="208" t="str">
        <f>IFERROR(__xludf.DUMMYFUNCTION("""COMPUTED_VALUE"""),"SAS - June 2026")</f>
        <v>SAS - June 2026</v>
      </c>
      <c r="G994" s="208" t="str">
        <f>IFERROR(__xludf.DUMMYFUNCTION("""COMPUTED_VALUE"""),"bbw_wa_sas_handsoaps_28june_predom800_online")</f>
        <v>bbw_wa_sas_handsoaps_28june_predom800_online</v>
      </c>
      <c r="H994" s="232" t="str">
        <f>IFERROR(__xludf.DUMMYFUNCTION("""COMPUTED_VALUE"""),"BBW_ON_PREDOM_800_Below")</f>
        <v>BBW_ON_PREDOM_800_Below</v>
      </c>
      <c r="I994" s="233" t="str">
        <f>IFERROR(__xludf.DUMMYFUNCTION("""COMPUTED_VALUE"""),"Online Customers who have purchased at least 2 times PREDOM with cart value &lt;799 in the last 365 days")</f>
        <v>Online Customers who have purchased at least 2 times PREDOM with cart value &lt;799 in the last 365 days</v>
      </c>
      <c r="J994" s="275">
        <f>IFERROR(__xludf.DUMMYFUNCTION("""COMPUTED_VALUE"""),8467.0)</f>
        <v>8467</v>
      </c>
      <c r="K994" s="275">
        <f>IFERROR(__xludf.DUMMYFUNCTION("""COMPUTED_VALUE"""),3757.0)</f>
        <v>3757</v>
      </c>
      <c r="L994" s="276">
        <f>IFERROR(__xludf.DUMMYFUNCTION("""COMPUTED_VALUE"""),0.4434)</f>
        <v>0.4434</v>
      </c>
      <c r="M994" s="275">
        <f>IFERROR(__xludf.DUMMYFUNCTION("""COMPUTED_VALUE"""),1086.0)</f>
        <v>1086</v>
      </c>
      <c r="N994" s="276">
        <f>IFERROR(__xludf.DUMMYFUNCTION("""COMPUTED_VALUE"""),0.2882)</f>
        <v>0.2882</v>
      </c>
      <c r="O994" s="208">
        <f>IFERROR(__xludf.DUMMYFUNCTION("""COMPUTED_VALUE"""),80.0)</f>
        <v>80</v>
      </c>
      <c r="P994" s="208">
        <f>IFERROR(__xludf.DUMMYFUNCTION("""COMPUTED_VALUE"""),77.0)</f>
        <v>77</v>
      </c>
      <c r="Q994" s="276">
        <f>IFERROR(__xludf.DUMMYFUNCTION("""COMPUTED_VALUE"""),0.0205)</f>
        <v>0.0205</v>
      </c>
      <c r="R994" s="276">
        <f>IFERROR(__xludf.DUMMYFUNCTION("""COMPUTED_VALUE"""),0.0712)</f>
        <v>0.0712</v>
      </c>
      <c r="S994" s="208">
        <f>IFERROR(__xludf.DUMMYFUNCTION("""COMPUTED_VALUE"""),1.0)</f>
        <v>1</v>
      </c>
      <c r="T994" s="208">
        <f>IFERROR(__xludf.DUMMYFUNCTION("""COMPUTED_VALUE"""),2.0)</f>
        <v>2</v>
      </c>
      <c r="U994" s="275">
        <f>IFERROR(__xludf.DUMMYFUNCTION("""COMPUTED_VALUE"""),1261.0)</f>
        <v>1261</v>
      </c>
      <c r="V994" s="234" t="str">
        <f>IFERROR(__xludf.DUMMYFUNCTION("""COMPUTED_VALUE"""),"online")</f>
        <v>online</v>
      </c>
      <c r="W994" s="232" t="str">
        <f>IFERROR(__xludf.DUMMYFUNCTION("""COMPUTED_VALUE"""),"simple")</f>
        <v>simple</v>
      </c>
      <c r="X994" s="232" t="str">
        <f>IFERROR(__xludf.DUMMYFUNCTION("""COMPUTED_VALUE"""),"Predom Cart Value")</f>
        <v>Predom Cart Value</v>
      </c>
      <c r="Y994" s="232" t="str">
        <f>IFERROR(__xludf.DUMMYFUNCTION("""COMPUTED_VALUE"""),"28-30 June")</f>
        <v>28-30 June</v>
      </c>
      <c r="Z994" s="232" t="str">
        <f>IFERROR(__xludf.DUMMYFUNCTION("""COMPUTED_VALUE"""),"6a3cf76c2acbbaa5d239c743")</f>
        <v>6a3cf76c2acbbaa5d239c743</v>
      </c>
      <c r="AA994" s="277">
        <f>IFERROR(__xludf.DUMMYFUNCTION("""COMPUTED_VALUE"""),7.0)</f>
        <v>7</v>
      </c>
      <c r="AB994" s="277">
        <f>IFERROR(__xludf.DUMMYFUNCTION("""COMPUTED_VALUE"""),7.0)</f>
        <v>7</v>
      </c>
      <c r="AC994" s="277"/>
      <c r="AD994" s="277">
        <f>IFERROR(__xludf.DUMMYFUNCTION("""COMPUTED_VALUE"""),10936.0)</f>
        <v>10936</v>
      </c>
      <c r="AE994" s="277">
        <f>IFERROR(__xludf.DUMMYFUNCTION("""COMPUTED_VALUE"""),10936.0)</f>
        <v>10936</v>
      </c>
      <c r="AF994" s="277"/>
      <c r="AG994" s="208"/>
      <c r="AH994" s="208"/>
      <c r="AI994" s="208"/>
      <c r="AJ994" s="208"/>
      <c r="AK994" s="208"/>
    </row>
    <row r="995" hidden="1">
      <c r="A995" s="288">
        <f>IFERROR(__xludf.DUMMYFUNCTION("""COMPUTED_VALUE"""),46201.0)</f>
        <v>46201</v>
      </c>
      <c r="B995" s="274">
        <f>IFERROR(__xludf.DUMMYFUNCTION("""COMPUTED_VALUE"""),0.7083333333321207)</f>
        <v>0.7083333333</v>
      </c>
      <c r="C995" s="208" t="str">
        <f>IFERROR(__xludf.DUMMYFUNCTION("""COMPUTED_VALUE"""),"Whatsapp")</f>
        <v>Whatsapp</v>
      </c>
      <c r="D995" s="208" t="str">
        <f>IFERROR(__xludf.DUMMYFUNCTION("""COMPUTED_VALUE"""),"Promotional")</f>
        <v>Promotional</v>
      </c>
      <c r="E995" s="208" t="str">
        <f>IFERROR(__xludf.DUMMYFUNCTION("""COMPUTED_VALUE"""),"BBW")</f>
        <v>BBW</v>
      </c>
      <c r="F995" s="208" t="str">
        <f>IFERROR(__xludf.DUMMYFUNCTION("""COMPUTED_VALUE"""),"SAS - June 2026")</f>
        <v>SAS - June 2026</v>
      </c>
      <c r="G995" s="208" t="str">
        <f>IFERROR(__xludf.DUMMYFUNCTION("""COMPUTED_VALUE"""),"bbw_wa_sas_handsoaps_28june_event_online")</f>
        <v>bbw_wa_sas_handsoaps_28june_event_online</v>
      </c>
      <c r="H995" s="232" t="str">
        <f>IFERROR(__xludf.DUMMYFUNCTION("""COMPUTED_VALUE"""),"BBW_ON_HS_Event_Buyers")</f>
        <v>BBW_ON_HS_Event_Buyers</v>
      </c>
      <c r="I995" s="233" t="str">
        <f>IFERROR(__xludf.DUMMYFUNCTION("""COMPUTED_VALUE"""),"Online Customer who have purchased from past handsoap events (30 may - 1 june, 20-21 aug, 14-16 oct, 5-7 nov)")</f>
        <v>Online Customer who have purchased from past handsoap events (30 may - 1 june, 20-21 aug, 14-16 oct, 5-7 nov)</v>
      </c>
      <c r="J995" s="275">
        <f>IFERROR(__xludf.DUMMYFUNCTION("""COMPUTED_VALUE"""),1953.0)</f>
        <v>1953</v>
      </c>
      <c r="K995" s="275">
        <f>IFERROR(__xludf.DUMMYFUNCTION("""COMPUTED_VALUE"""),802.0)</f>
        <v>802</v>
      </c>
      <c r="L995" s="276">
        <f>IFERROR(__xludf.DUMMYFUNCTION("""COMPUTED_VALUE"""),0.4107)</f>
        <v>0.4107</v>
      </c>
      <c r="M995" s="275">
        <f>IFERROR(__xludf.DUMMYFUNCTION("""COMPUTED_VALUE"""),249.0)</f>
        <v>249</v>
      </c>
      <c r="N995" s="276">
        <f>IFERROR(__xludf.DUMMYFUNCTION("""COMPUTED_VALUE"""),0.308)</f>
        <v>0.308</v>
      </c>
      <c r="O995" s="208">
        <f>IFERROR(__xludf.DUMMYFUNCTION("""COMPUTED_VALUE"""),21.0)</f>
        <v>21</v>
      </c>
      <c r="P995" s="208">
        <f>IFERROR(__xludf.DUMMYFUNCTION("""COMPUTED_VALUE"""),20.0)</f>
        <v>20</v>
      </c>
      <c r="Q995" s="276">
        <f>IFERROR(__xludf.DUMMYFUNCTION("""COMPUTED_VALUE"""),0.0249)</f>
        <v>0.0249</v>
      </c>
      <c r="R995" s="276">
        <f>IFERROR(__xludf.DUMMYFUNCTION("""COMPUTED_VALUE"""),0.081)</f>
        <v>0.081</v>
      </c>
      <c r="S995" s="208">
        <f>IFERROR(__xludf.DUMMYFUNCTION("""COMPUTED_VALUE"""),0.0)</f>
        <v>0</v>
      </c>
      <c r="T995" s="208">
        <f>IFERROR(__xludf.DUMMYFUNCTION("""COMPUTED_VALUE"""),1.0)</f>
        <v>1</v>
      </c>
      <c r="U995" s="275">
        <f>IFERROR(__xludf.DUMMYFUNCTION("""COMPUTED_VALUE"""),0.0)</f>
        <v>0</v>
      </c>
      <c r="V995" s="234" t="str">
        <f>IFERROR(__xludf.DUMMYFUNCTION("""COMPUTED_VALUE"""),"online")</f>
        <v>online</v>
      </c>
      <c r="W995" s="232" t="str">
        <f>IFERROR(__xludf.DUMMYFUNCTION("""COMPUTED_VALUE"""),"simple")</f>
        <v>simple</v>
      </c>
      <c r="X995" s="232" t="str">
        <f>IFERROR(__xludf.DUMMYFUNCTION("""COMPUTED_VALUE"""),"Event Buyers")</f>
        <v>Event Buyers</v>
      </c>
      <c r="Y995" s="232" t="str">
        <f>IFERROR(__xludf.DUMMYFUNCTION("""COMPUTED_VALUE"""),"28-30 June")</f>
        <v>28-30 June</v>
      </c>
      <c r="Z995" s="232" t="str">
        <f>IFERROR(__xludf.DUMMYFUNCTION("""COMPUTED_VALUE"""),"6a3cf7b5d59ad978452fadc2")</f>
        <v>6a3cf7b5d59ad978452fadc2</v>
      </c>
      <c r="AA995" s="277">
        <f>IFERROR(__xludf.DUMMYFUNCTION("""COMPUTED_VALUE"""),4.0)</f>
        <v>4</v>
      </c>
      <c r="AB995" s="277">
        <f>IFERROR(__xludf.DUMMYFUNCTION("""COMPUTED_VALUE"""),4.0)</f>
        <v>4</v>
      </c>
      <c r="AC995" s="277"/>
      <c r="AD995" s="277">
        <f>IFERROR(__xludf.DUMMYFUNCTION("""COMPUTED_VALUE"""),25935.0)</f>
        <v>25935</v>
      </c>
      <c r="AE995" s="277">
        <f>IFERROR(__xludf.DUMMYFUNCTION("""COMPUTED_VALUE"""),25935.0)</f>
        <v>25935</v>
      </c>
      <c r="AF995" s="277"/>
      <c r="AG995" s="208"/>
      <c r="AH995" s="208"/>
      <c r="AI995" s="208"/>
      <c r="AJ995" s="208"/>
      <c r="AK995" s="208"/>
    </row>
    <row r="996" hidden="1">
      <c r="A996" s="288">
        <f>IFERROR(__xludf.DUMMYFUNCTION("""COMPUTED_VALUE"""),46201.0)</f>
        <v>46201</v>
      </c>
      <c r="B996" s="274">
        <f>IFERROR(__xludf.DUMMYFUNCTION("""COMPUTED_VALUE"""),0.4375)</f>
        <v>0.4375</v>
      </c>
      <c r="C996" s="208" t="str">
        <f>IFERROR(__xludf.DUMMYFUNCTION("""COMPUTED_VALUE"""),"Whatsapp")</f>
        <v>Whatsapp</v>
      </c>
      <c r="D996" s="208" t="str">
        <f>IFERROR(__xludf.DUMMYFUNCTION("""COMPUTED_VALUE"""),"Promotional")</f>
        <v>Promotional</v>
      </c>
      <c r="E996" s="208" t="str">
        <f>IFERROR(__xludf.DUMMYFUNCTION("""COMPUTED_VALUE"""),"BBW")</f>
        <v>BBW</v>
      </c>
      <c r="F996" s="208" t="str">
        <f>IFERROR(__xludf.DUMMYFUNCTION("""COMPUTED_VALUE"""),"SAS - June 2026")</f>
        <v>SAS - June 2026</v>
      </c>
      <c r="G996" s="208" t="str">
        <f>IFERROR(__xludf.DUMMYFUNCTION("""COMPUTED_VALUE"""),"bbw_wa_sas_dormant_27june_offline")</f>
        <v>bbw_wa_sas_dormant_27june_offline</v>
      </c>
      <c r="H996" s="232" t="str">
        <f>IFERROR(__xludf.DUMMYFUNCTION("""COMPUTED_VALUE"""),"BBW_OFF_Dorm235_EOSS_26")</f>
        <v>BBW_OFF_Dorm235_EOSS_26</v>
      </c>
      <c r="I996" s="233" t="str">
        <f>IFERROR(__xludf.DUMMYFUNCTION("""COMPUTED_VALUE"""),"Offline customers who have purchased in the last 235 days")</f>
        <v>Offline customers who have purchased in the last 235 days</v>
      </c>
      <c r="J996" s="275">
        <f>IFERROR(__xludf.DUMMYFUNCTION("""COMPUTED_VALUE"""),168327.0)</f>
        <v>168327</v>
      </c>
      <c r="K996" s="275">
        <f>IFERROR(__xludf.DUMMYFUNCTION("""COMPUTED_VALUE"""),81203.0)</f>
        <v>81203</v>
      </c>
      <c r="L996" s="276">
        <f>IFERROR(__xludf.DUMMYFUNCTION("""COMPUTED_VALUE"""),0.4819)</f>
        <v>0.4819</v>
      </c>
      <c r="M996" s="275">
        <f>IFERROR(__xludf.DUMMYFUNCTION("""COMPUTED_VALUE"""),27333.0)</f>
        <v>27333</v>
      </c>
      <c r="N996" s="276">
        <f>IFERROR(__xludf.DUMMYFUNCTION("""COMPUTED_VALUE"""),0.3333)</f>
        <v>0.3333</v>
      </c>
      <c r="O996" s="208">
        <f>IFERROR(__xludf.DUMMYFUNCTION("""COMPUTED_VALUE"""),3252.0)</f>
        <v>3252</v>
      </c>
      <c r="P996" s="208">
        <f>IFERROR(__xludf.DUMMYFUNCTION("""COMPUTED_VALUE"""),3047.0)</f>
        <v>3047</v>
      </c>
      <c r="Q996" s="276">
        <f>IFERROR(__xludf.DUMMYFUNCTION("""COMPUTED_VALUE"""),0.0376)</f>
        <v>0.0376</v>
      </c>
      <c r="R996" s="276">
        <f>IFERROR(__xludf.DUMMYFUNCTION("""COMPUTED_VALUE"""),0.1127)</f>
        <v>0.1127</v>
      </c>
      <c r="S996" s="208">
        <f>IFERROR(__xludf.DUMMYFUNCTION("""COMPUTED_VALUE"""),12.0)</f>
        <v>12</v>
      </c>
      <c r="T996" s="208">
        <f>IFERROR(__xludf.DUMMYFUNCTION("""COMPUTED_VALUE"""),48.0)</f>
        <v>48</v>
      </c>
      <c r="U996" s="275">
        <f>IFERROR(__xludf.DUMMYFUNCTION("""COMPUTED_VALUE"""),41429.0)</f>
        <v>41429</v>
      </c>
      <c r="V996" s="234" t="str">
        <f>IFERROR(__xludf.DUMMYFUNCTION("""COMPUTED_VALUE"""),"offline")</f>
        <v>offline</v>
      </c>
      <c r="W996" s="232" t="str">
        <f>IFERROR(__xludf.DUMMYFUNCTION("""COMPUTED_VALUE"""),"simple")</f>
        <v>simple</v>
      </c>
      <c r="X996" s="232" t="str">
        <f>IFERROR(__xludf.DUMMYFUNCTION("""COMPUTED_VALUE"""),"Dormant")</f>
        <v>Dormant</v>
      </c>
      <c r="Y996" s="232" t="str">
        <f>IFERROR(__xludf.DUMMYFUNCTION("""COMPUTED_VALUE"""),"28-30 June")</f>
        <v>28-30 June</v>
      </c>
      <c r="Z996" s="232" t="str">
        <f>IFERROR(__xludf.DUMMYFUNCTION("""COMPUTED_VALUE"""),"6a3cf831b2d2179be0882fa6")</f>
        <v>6a3cf831b2d2179be0882fa6</v>
      </c>
      <c r="AA996" s="277">
        <f>IFERROR(__xludf.DUMMYFUNCTION("""COMPUTED_VALUE"""),543.0)</f>
        <v>543</v>
      </c>
      <c r="AB996" s="277"/>
      <c r="AC996" s="277">
        <f>IFERROR(__xludf.DUMMYFUNCTION("""COMPUTED_VALUE"""),543.0)</f>
        <v>543</v>
      </c>
      <c r="AD996" s="277">
        <f>IFERROR(__xludf.DUMMYFUNCTION("""COMPUTED_VALUE"""),1862180.0)</f>
        <v>1862180</v>
      </c>
      <c r="AE996" s="277"/>
      <c r="AF996" s="277">
        <f>IFERROR(__xludf.DUMMYFUNCTION("""COMPUTED_VALUE"""),1862180.0)</f>
        <v>1862180</v>
      </c>
      <c r="AG996" s="208"/>
      <c r="AH996" s="208"/>
      <c r="AI996" s="208"/>
      <c r="AJ996" s="208"/>
      <c r="AK996" s="208"/>
    </row>
    <row r="997" hidden="1">
      <c r="A997" s="288">
        <f>IFERROR(__xludf.DUMMYFUNCTION("""COMPUTED_VALUE"""),46201.0)</f>
        <v>46201</v>
      </c>
      <c r="B997" s="274">
        <f>IFERROR(__xludf.DUMMYFUNCTION("""COMPUTED_VALUE"""),0.4375)</f>
        <v>0.4375</v>
      </c>
      <c r="C997" s="208" t="str">
        <f>IFERROR(__xludf.DUMMYFUNCTION("""COMPUTED_VALUE"""),"Whatsapp")</f>
        <v>Whatsapp</v>
      </c>
      <c r="D997" s="208" t="str">
        <f>IFERROR(__xludf.DUMMYFUNCTION("""COMPUTED_VALUE"""),"Promotional")</f>
        <v>Promotional</v>
      </c>
      <c r="E997" s="208" t="str">
        <f>IFERROR(__xludf.DUMMYFUNCTION("""COMPUTED_VALUE"""),"BBW")</f>
        <v>BBW</v>
      </c>
      <c r="F997" s="208" t="str">
        <f>IFERROR(__xludf.DUMMYFUNCTION("""COMPUTED_VALUE"""),"SAS - June 2026")</f>
        <v>SAS - June 2026</v>
      </c>
      <c r="G997" s="208" t="str">
        <f>IFERROR(__xludf.DUMMYFUNCTION("""COMPUTED_VALUE"""),"bbw_wa_sas_dormantv2_27june_offline")</f>
        <v>bbw_wa_sas_dormantv2_27june_offline</v>
      </c>
      <c r="H997" s="232" t="str">
        <f>IFERROR(__xludf.DUMMYFUNCTION("""COMPUTED_VALUE"""),"BBW_OFF_Dorm365_EOSS_26")</f>
        <v>BBW_OFF_Dorm365_EOSS_26</v>
      </c>
      <c r="I997" s="233" t="str">
        <f>IFERROR(__xludf.DUMMYFUNCTION("""COMPUTED_VALUE"""),"Offline customers who have purchased in the last 365 days")</f>
        <v>Offline customers who have purchased in the last 365 days</v>
      </c>
      <c r="J997" s="275">
        <f>IFERROR(__xludf.DUMMYFUNCTION("""COMPUTED_VALUE"""),127301.0)</f>
        <v>127301</v>
      </c>
      <c r="K997" s="275">
        <f>IFERROR(__xludf.DUMMYFUNCTION("""COMPUTED_VALUE"""),60219.0)</f>
        <v>60219</v>
      </c>
      <c r="L997" s="276">
        <f>IFERROR(__xludf.DUMMYFUNCTION("""COMPUTED_VALUE"""),0.4726)</f>
        <v>0.4726</v>
      </c>
      <c r="M997" s="275">
        <f>IFERROR(__xludf.DUMMYFUNCTION("""COMPUTED_VALUE"""),19546.0)</f>
        <v>19546</v>
      </c>
      <c r="N997" s="276">
        <f>IFERROR(__xludf.DUMMYFUNCTION("""COMPUTED_VALUE"""),0.3214)</f>
        <v>0.3214</v>
      </c>
      <c r="O997" s="208">
        <f>IFERROR(__xludf.DUMMYFUNCTION("""COMPUTED_VALUE"""),1988.0)</f>
        <v>1988</v>
      </c>
      <c r="P997" s="208">
        <f>IFERROR(__xludf.DUMMYFUNCTION("""COMPUTED_VALUE"""),1865.0)</f>
        <v>1865</v>
      </c>
      <c r="Q997" s="276">
        <f>IFERROR(__xludf.DUMMYFUNCTION("""COMPUTED_VALUE"""),0.031)</f>
        <v>0.031</v>
      </c>
      <c r="R997" s="276">
        <f>IFERROR(__xludf.DUMMYFUNCTION("""COMPUTED_VALUE"""),0.0965)</f>
        <v>0.0965</v>
      </c>
      <c r="S997" s="208">
        <f>IFERROR(__xludf.DUMMYFUNCTION("""COMPUTED_VALUE"""),2.0)</f>
        <v>2</v>
      </c>
      <c r="T997" s="208">
        <f>IFERROR(__xludf.DUMMYFUNCTION("""COMPUTED_VALUE"""),20.0)</f>
        <v>20</v>
      </c>
      <c r="U997" s="275">
        <f>IFERROR(__xludf.DUMMYFUNCTION("""COMPUTED_VALUE"""),10513.0)</f>
        <v>10513</v>
      </c>
      <c r="V997" s="234" t="str">
        <f>IFERROR(__xludf.DUMMYFUNCTION("""COMPUTED_VALUE"""),"offline")</f>
        <v>offline</v>
      </c>
      <c r="W997" s="232" t="str">
        <f>IFERROR(__xludf.DUMMYFUNCTION("""COMPUTED_VALUE"""),"simple")</f>
        <v>simple</v>
      </c>
      <c r="X997" s="232" t="str">
        <f>IFERROR(__xludf.DUMMYFUNCTION("""COMPUTED_VALUE"""),"Dormant")</f>
        <v>Dormant</v>
      </c>
      <c r="Y997" s="232" t="str">
        <f>IFERROR(__xludf.DUMMYFUNCTION("""COMPUTED_VALUE"""),"28-30 June")</f>
        <v>28-30 June</v>
      </c>
      <c r="Z997" s="232" t="str">
        <f>IFERROR(__xludf.DUMMYFUNCTION("""COMPUTED_VALUE"""),"6a3cf87d658c2d5ee9f337f2")</f>
        <v>6a3cf87d658c2d5ee9f337f2</v>
      </c>
      <c r="AA997" s="277">
        <f>IFERROR(__xludf.DUMMYFUNCTION("""COMPUTED_VALUE"""),295.0)</f>
        <v>295</v>
      </c>
      <c r="AB997" s="277"/>
      <c r="AC997" s="277">
        <f>IFERROR(__xludf.DUMMYFUNCTION("""COMPUTED_VALUE"""),295.0)</f>
        <v>295</v>
      </c>
      <c r="AD997" s="277">
        <f>IFERROR(__xludf.DUMMYFUNCTION("""COMPUTED_VALUE"""),934096.0)</f>
        <v>934096</v>
      </c>
      <c r="AE997" s="277"/>
      <c r="AF997" s="277">
        <f>IFERROR(__xludf.DUMMYFUNCTION("""COMPUTED_VALUE"""),934096.0)</f>
        <v>934096</v>
      </c>
      <c r="AG997" s="208"/>
      <c r="AH997" s="208"/>
      <c r="AI997" s="208"/>
      <c r="AJ997" s="208"/>
      <c r="AK997" s="208"/>
    </row>
    <row r="998" hidden="1">
      <c r="A998" s="288">
        <f>IFERROR(__xludf.DUMMYFUNCTION("""COMPUTED_VALUE"""),46197.0)</f>
        <v>46197</v>
      </c>
      <c r="B998" s="274">
        <f>IFERROR(__xludf.DUMMYFUNCTION("""COMPUTED_VALUE"""),0.5208333333321207)</f>
        <v>0.5208333333</v>
      </c>
      <c r="C998" s="208" t="str">
        <f>IFERROR(__xludf.DUMMYFUNCTION("""COMPUTED_VALUE"""),"Sms")</f>
        <v>Sms</v>
      </c>
      <c r="D998" s="208" t="str">
        <f>IFERROR(__xludf.DUMMYFUNCTION("""COMPUTED_VALUE"""),"Fallback campaign")</f>
        <v>Fallback campaign</v>
      </c>
      <c r="E998" s="208" t="str">
        <f>IFERROR(__xludf.DUMMYFUNCTION("""COMPUTED_VALUE"""),"BBW")</f>
        <v>BBW</v>
      </c>
      <c r="F998" s="208" t="str">
        <f>IFERROR(__xludf.DUMMYFUNCTION("""COMPUTED_VALUE"""),"SAS - June 2026")</f>
        <v>SAS - June 2026</v>
      </c>
      <c r="G998" s="208" t="str">
        <f>IFERROR(__xludf.DUMMYFUNCTION("""COMPUTED_VALUE"""),"bbw_smsfb_sas_cat_candle_24june_online")</f>
        <v>bbw_smsfb_sas_cat_candle_24june_online</v>
      </c>
      <c r="H998" s="232" t="str">
        <f>IFERROR(__xludf.DUMMYFUNCTION("""COMPUTED_VALUE"""),"BBW_Candle_365D_ON")</f>
        <v>BBW_Candle_365D_ON</v>
      </c>
      <c r="I998" s="233" t="str">
        <f>IFERROR(__xludf.DUMMYFUNCTION("""COMPUTED_VALUE"""),"WA Undelivered")</f>
        <v>WA Undelivered</v>
      </c>
      <c r="J998" s="275">
        <f>IFERROR(__xludf.DUMMYFUNCTION("""COMPUTED_VALUE"""),4146.0)</f>
        <v>4146</v>
      </c>
      <c r="K998" s="275">
        <f>IFERROR(__xludf.DUMMYFUNCTION("""COMPUTED_VALUE"""),2154.0)</f>
        <v>2154</v>
      </c>
      <c r="L998" s="276">
        <f>IFERROR(__xludf.DUMMYFUNCTION("""COMPUTED_VALUE"""),0.5195)</f>
        <v>0.5195</v>
      </c>
      <c r="M998" s="275">
        <f>IFERROR(__xludf.DUMMYFUNCTION("""COMPUTED_VALUE"""),0.0)</f>
        <v>0</v>
      </c>
      <c r="N998" s="276">
        <f>IFERROR(__xludf.DUMMYFUNCTION("""COMPUTED_VALUE"""),0.0)</f>
        <v>0</v>
      </c>
      <c r="O998" s="208">
        <f>IFERROR(__xludf.DUMMYFUNCTION("""COMPUTED_VALUE"""),14.0)</f>
        <v>14</v>
      </c>
      <c r="P998" s="208">
        <f>IFERROR(__xludf.DUMMYFUNCTION("""COMPUTED_VALUE"""),0.0)</f>
        <v>0</v>
      </c>
      <c r="Q998" s="276">
        <f>IFERROR(__xludf.DUMMYFUNCTION("""COMPUTED_VALUE"""),0.0065)</f>
        <v>0.0065</v>
      </c>
      <c r="R998" s="276">
        <f>IFERROR(__xludf.DUMMYFUNCTION("""COMPUTED_VALUE"""),0.0)</f>
        <v>0</v>
      </c>
      <c r="S998" s="208">
        <f>IFERROR(__xludf.DUMMYFUNCTION("""COMPUTED_VALUE"""),0.0)</f>
        <v>0</v>
      </c>
      <c r="T998" s="208">
        <f>IFERROR(__xludf.DUMMYFUNCTION("""COMPUTED_VALUE"""),3.0)</f>
        <v>3</v>
      </c>
      <c r="U998" s="275">
        <f>IFERROR(__xludf.DUMMYFUNCTION("""COMPUTED_VALUE"""),0.0)</f>
        <v>0</v>
      </c>
      <c r="V998" s="234" t="str">
        <f>IFERROR(__xludf.DUMMYFUNCTION("""COMPUTED_VALUE"""),"online")</f>
        <v>online</v>
      </c>
      <c r="W998" s="232" t="str">
        <f>IFERROR(__xludf.DUMMYFUNCTION("""COMPUTED_VALUE"""),"Sms")</f>
        <v>Sms</v>
      </c>
      <c r="X998" s="232" t="str">
        <f>IFERROR(__xludf.DUMMYFUNCTION("""COMPUTED_VALUE"""),"Candle")</f>
        <v>Candle</v>
      </c>
      <c r="Y998" s="232" t="str">
        <f>IFERROR(__xludf.DUMMYFUNCTION("""COMPUTED_VALUE"""),"24 June")</f>
        <v>24 June</v>
      </c>
      <c r="Z998" s="232" t="str">
        <f>IFERROR(__xludf.DUMMYFUNCTION("""COMPUTED_VALUE"""),"6a3a7cda19466257c6dcff88")</f>
        <v>6a3a7cda19466257c6dcff88</v>
      </c>
      <c r="AA998" s="277">
        <f>IFERROR(__xludf.DUMMYFUNCTION("""COMPUTED_VALUE"""),163.0)</f>
        <v>163</v>
      </c>
      <c r="AB998" s="277">
        <f>IFERROR(__xludf.DUMMYFUNCTION("""COMPUTED_VALUE"""),163.0)</f>
        <v>163</v>
      </c>
      <c r="AC998" s="277"/>
      <c r="AD998" s="277">
        <f>IFERROR(__xludf.DUMMYFUNCTION("""COMPUTED_VALUE"""),759088.0)</f>
        <v>759088</v>
      </c>
      <c r="AE998" s="277">
        <f>IFERROR(__xludf.DUMMYFUNCTION("""COMPUTED_VALUE"""),759088.0)</f>
        <v>759088</v>
      </c>
      <c r="AF998" s="277"/>
      <c r="AG998" s="208"/>
      <c r="AH998" s="208"/>
      <c r="AI998" s="208"/>
      <c r="AJ998" s="208"/>
      <c r="AK998" s="208"/>
    </row>
    <row r="999" hidden="1">
      <c r="A999" s="288">
        <f>IFERROR(__xludf.DUMMYFUNCTION("""COMPUTED_VALUE"""),46197.0)</f>
        <v>46197</v>
      </c>
      <c r="B999" s="274">
        <f>IFERROR(__xludf.DUMMYFUNCTION("""COMPUTED_VALUE"""),0.5208333333321207)</f>
        <v>0.5208333333</v>
      </c>
      <c r="C999" s="208" t="str">
        <f>IFERROR(__xludf.DUMMYFUNCTION("""COMPUTED_VALUE"""),"Sms")</f>
        <v>Sms</v>
      </c>
      <c r="D999" s="208" t="str">
        <f>IFERROR(__xludf.DUMMYFUNCTION("""COMPUTED_VALUE"""),"Fallback campaign")</f>
        <v>Fallback campaign</v>
      </c>
      <c r="E999" s="208" t="str">
        <f>IFERROR(__xludf.DUMMYFUNCTION("""COMPUTED_VALUE"""),"BBW")</f>
        <v>BBW</v>
      </c>
      <c r="F999" s="208" t="str">
        <f>IFERROR(__xludf.DUMMYFUNCTION("""COMPUTED_VALUE"""),"SAS - June 2026")</f>
        <v>SAS - June 2026</v>
      </c>
      <c r="G999" s="208" t="str">
        <f>IFERROR(__xludf.DUMMYFUNCTION("""COMPUTED_VALUE"""),"bbw_smsfb_sas_cat_candle_24june_offline")</f>
        <v>bbw_smsfb_sas_cat_candle_24june_offline</v>
      </c>
      <c r="H999" s="232" t="str">
        <f>IFERROR(__xludf.DUMMYFUNCTION("""COMPUTED_VALUE"""),"BBW_Candle_365D_OFF")</f>
        <v>BBW_Candle_365D_OFF</v>
      </c>
      <c r="I999" s="233" t="str">
        <f>IFERROR(__xludf.DUMMYFUNCTION("""COMPUTED_VALUE"""),"WA Undelivered")</f>
        <v>WA Undelivered</v>
      </c>
      <c r="J999" s="275">
        <f>IFERROR(__xludf.DUMMYFUNCTION("""COMPUTED_VALUE"""),12965.0)</f>
        <v>12965</v>
      </c>
      <c r="K999" s="275">
        <f>IFERROR(__xludf.DUMMYFUNCTION("""COMPUTED_VALUE"""),7239.0)</f>
        <v>7239</v>
      </c>
      <c r="L999" s="276">
        <f>IFERROR(__xludf.DUMMYFUNCTION("""COMPUTED_VALUE"""),0.5583)</f>
        <v>0.5583</v>
      </c>
      <c r="M999" s="275">
        <f>IFERROR(__xludf.DUMMYFUNCTION("""COMPUTED_VALUE"""),0.0)</f>
        <v>0</v>
      </c>
      <c r="N999" s="276">
        <f>IFERROR(__xludf.DUMMYFUNCTION("""COMPUTED_VALUE"""),0.0)</f>
        <v>0</v>
      </c>
      <c r="O999" s="208">
        <f>IFERROR(__xludf.DUMMYFUNCTION("""COMPUTED_VALUE"""),15.0)</f>
        <v>15</v>
      </c>
      <c r="P999" s="208">
        <f>IFERROR(__xludf.DUMMYFUNCTION("""COMPUTED_VALUE"""),0.0)</f>
        <v>0</v>
      </c>
      <c r="Q999" s="276">
        <f>IFERROR(__xludf.DUMMYFUNCTION("""COMPUTED_VALUE"""),0.0021)</f>
        <v>0.0021</v>
      </c>
      <c r="R999" s="276">
        <f>IFERROR(__xludf.DUMMYFUNCTION("""COMPUTED_VALUE"""),0.0)</f>
        <v>0</v>
      </c>
      <c r="S999" s="208">
        <f>IFERROR(__xludf.DUMMYFUNCTION("""COMPUTED_VALUE"""),0.0)</f>
        <v>0</v>
      </c>
      <c r="T999" s="208">
        <f>IFERROR(__xludf.DUMMYFUNCTION("""COMPUTED_VALUE"""),0.0)</f>
        <v>0</v>
      </c>
      <c r="U999" s="275">
        <f>IFERROR(__xludf.DUMMYFUNCTION("""COMPUTED_VALUE"""),0.0)</f>
        <v>0</v>
      </c>
      <c r="V999" s="234" t="str">
        <f>IFERROR(__xludf.DUMMYFUNCTION("""COMPUTED_VALUE"""),"offline")</f>
        <v>offline</v>
      </c>
      <c r="W999" s="232" t="str">
        <f>IFERROR(__xludf.DUMMYFUNCTION("""COMPUTED_VALUE"""),"Sms")</f>
        <v>Sms</v>
      </c>
      <c r="X999" s="232" t="str">
        <f>IFERROR(__xludf.DUMMYFUNCTION("""COMPUTED_VALUE"""),"Candle")</f>
        <v>Candle</v>
      </c>
      <c r="Y999" s="232" t="str">
        <f>IFERROR(__xludf.DUMMYFUNCTION("""COMPUTED_VALUE"""),"24 June")</f>
        <v>24 June</v>
      </c>
      <c r="Z999" s="232" t="str">
        <f>IFERROR(__xludf.DUMMYFUNCTION("""COMPUTED_VALUE"""),"6a3a7d37b4657f69dbb6b321")</f>
        <v>6a3a7d37b4657f69dbb6b321</v>
      </c>
      <c r="AA999" s="277">
        <f>IFERROR(__xludf.DUMMYFUNCTION("""COMPUTED_VALUE"""),6.0)</f>
        <v>6</v>
      </c>
      <c r="AB999" s="277"/>
      <c r="AC999" s="277">
        <f>IFERROR(__xludf.DUMMYFUNCTION("""COMPUTED_VALUE"""),6.0)</f>
        <v>6</v>
      </c>
      <c r="AD999" s="277">
        <f>IFERROR(__xludf.DUMMYFUNCTION("""COMPUTED_VALUE"""),27811.0)</f>
        <v>27811</v>
      </c>
      <c r="AE999" s="277"/>
      <c r="AF999" s="277">
        <f>IFERROR(__xludf.DUMMYFUNCTION("""COMPUTED_VALUE"""),27811.0)</f>
        <v>27811</v>
      </c>
      <c r="AG999" s="208"/>
      <c r="AH999" s="208"/>
      <c r="AI999" s="208"/>
      <c r="AJ999" s="208"/>
      <c r="AK999" s="208"/>
    </row>
    <row r="1000" hidden="1">
      <c r="A1000" s="288">
        <f>IFERROR(__xludf.DUMMYFUNCTION("""COMPUTED_VALUE"""),46198.0)</f>
        <v>46198</v>
      </c>
      <c r="B1000" s="274">
        <f>IFERROR(__xludf.DUMMYFUNCTION("""COMPUTED_VALUE"""),0.5416666666678793)</f>
        <v>0.5416666667</v>
      </c>
      <c r="C1000" s="208" t="str">
        <f>IFERROR(__xludf.DUMMYFUNCTION("""COMPUTED_VALUE"""),"Sms")</f>
        <v>Sms</v>
      </c>
      <c r="D1000" s="208" t="str">
        <f>IFERROR(__xludf.DUMMYFUNCTION("""COMPUTED_VALUE"""),"Fallback campaign")</f>
        <v>Fallback campaign</v>
      </c>
      <c r="E1000" s="208" t="str">
        <f>IFERROR(__xludf.DUMMYFUNCTION("""COMPUTED_VALUE"""),"BBW")</f>
        <v>BBW</v>
      </c>
      <c r="F1000" s="208" t="str">
        <f>IFERROR(__xludf.DUMMYFUNCTION("""COMPUTED_VALUE"""),"SAS - June 2026")</f>
        <v>SAS - June 2026</v>
      </c>
      <c r="G1000" s="208" t="str">
        <f>IFERROR(__xludf.DUMMYFUNCTION("""COMPUTED_VALUE"""),"bbw_smsfb_sas_cat_mists_25june_online")</f>
        <v>bbw_smsfb_sas_cat_mists_25june_online</v>
      </c>
      <c r="H1000" s="232" t="str">
        <f>IFERROR(__xludf.DUMMYFUNCTION("""COMPUTED_VALUE"""),"BBW_ON_MIST_365D")</f>
        <v>BBW_ON_MIST_365D</v>
      </c>
      <c r="I1000" s="233" t="str">
        <f>IFERROR(__xludf.DUMMYFUNCTION("""COMPUTED_VALUE"""),"WA Undelivered")</f>
        <v>WA Undelivered</v>
      </c>
      <c r="J1000" s="275">
        <f>IFERROR(__xludf.DUMMYFUNCTION("""COMPUTED_VALUE"""),24895.0)</f>
        <v>24895</v>
      </c>
      <c r="K1000" s="275">
        <f>IFERROR(__xludf.DUMMYFUNCTION("""COMPUTED_VALUE"""),15651.0)</f>
        <v>15651</v>
      </c>
      <c r="L1000" s="276">
        <f>IFERROR(__xludf.DUMMYFUNCTION("""COMPUTED_VALUE"""),0.6287)</f>
        <v>0.6287</v>
      </c>
      <c r="M1000" s="275">
        <f>IFERROR(__xludf.DUMMYFUNCTION("""COMPUTED_VALUE"""),0.0)</f>
        <v>0</v>
      </c>
      <c r="N1000" s="276">
        <f>IFERROR(__xludf.DUMMYFUNCTION("""COMPUTED_VALUE"""),0.0)</f>
        <v>0</v>
      </c>
      <c r="O1000" s="208">
        <f>IFERROR(__xludf.DUMMYFUNCTION("""COMPUTED_VALUE"""),56.0)</f>
        <v>56</v>
      </c>
      <c r="P1000" s="208">
        <f>IFERROR(__xludf.DUMMYFUNCTION("""COMPUTED_VALUE"""),0.0)</f>
        <v>0</v>
      </c>
      <c r="Q1000" s="276">
        <f>IFERROR(__xludf.DUMMYFUNCTION("""COMPUTED_VALUE"""),0.0036)</f>
        <v>0.0036</v>
      </c>
      <c r="R1000" s="276">
        <f>IFERROR(__xludf.DUMMYFUNCTION("""COMPUTED_VALUE"""),0.0)</f>
        <v>0</v>
      </c>
      <c r="S1000" s="208">
        <f>IFERROR(__xludf.DUMMYFUNCTION("""COMPUTED_VALUE"""),4.0)</f>
        <v>4</v>
      </c>
      <c r="T1000" s="208">
        <f>IFERROR(__xludf.DUMMYFUNCTION("""COMPUTED_VALUE"""),18.0)</f>
        <v>18</v>
      </c>
      <c r="U1000" s="275">
        <f>IFERROR(__xludf.DUMMYFUNCTION("""COMPUTED_VALUE"""),6541.0)</f>
        <v>6541</v>
      </c>
      <c r="V1000" s="234" t="str">
        <f>IFERROR(__xludf.DUMMYFUNCTION("""COMPUTED_VALUE"""),"online")</f>
        <v>online</v>
      </c>
      <c r="W1000" s="232" t="str">
        <f>IFERROR(__xludf.DUMMYFUNCTION("""COMPUTED_VALUE"""),"Sms")</f>
        <v>Sms</v>
      </c>
      <c r="X1000" s="232" t="str">
        <f>IFERROR(__xludf.DUMMYFUNCTION("""COMPUTED_VALUE"""),"Category Buyers - Mist")</f>
        <v>Category Buyers - Mist</v>
      </c>
      <c r="Y1000" s="232" t="str">
        <f>IFERROR(__xludf.DUMMYFUNCTION("""COMPUTED_VALUE"""),"25 June")</f>
        <v>25 June</v>
      </c>
      <c r="Z1000" s="232" t="str">
        <f>IFERROR(__xludf.DUMMYFUNCTION("""COMPUTED_VALUE"""),"6a3b994380412a12ad5ac603")</f>
        <v>6a3b994380412a12ad5ac603</v>
      </c>
      <c r="AA1000" s="277">
        <f>IFERROR(__xludf.DUMMYFUNCTION("""COMPUTED_VALUE"""),24.0)</f>
        <v>24</v>
      </c>
      <c r="AB1000" s="277">
        <f>IFERROR(__xludf.DUMMYFUNCTION("""COMPUTED_VALUE"""),24.0)</f>
        <v>24</v>
      </c>
      <c r="AC1000" s="277"/>
      <c r="AD1000" s="277">
        <f>IFERROR(__xludf.DUMMYFUNCTION("""COMPUTED_VALUE"""),46658.0)</f>
        <v>46658</v>
      </c>
      <c r="AE1000" s="277">
        <f>IFERROR(__xludf.DUMMYFUNCTION("""COMPUTED_VALUE"""),46658.0)</f>
        <v>46658</v>
      </c>
      <c r="AF1000" s="277"/>
      <c r="AG1000" s="208"/>
      <c r="AH1000" s="208"/>
      <c r="AI1000" s="208"/>
      <c r="AJ1000" s="208"/>
      <c r="AK1000" s="208"/>
    </row>
    <row r="1001" hidden="1">
      <c r="A1001" s="288">
        <f>IFERROR(__xludf.DUMMYFUNCTION("""COMPUTED_VALUE"""),46198.0)</f>
        <v>46198</v>
      </c>
      <c r="B1001" s="274">
        <f>IFERROR(__xludf.DUMMYFUNCTION("""COMPUTED_VALUE"""),0.5416666666678793)</f>
        <v>0.5416666667</v>
      </c>
      <c r="C1001" s="208" t="str">
        <f>IFERROR(__xludf.DUMMYFUNCTION("""COMPUTED_VALUE"""),"Sms")</f>
        <v>Sms</v>
      </c>
      <c r="D1001" s="208" t="str">
        <f>IFERROR(__xludf.DUMMYFUNCTION("""COMPUTED_VALUE"""),"Fallback campaign")</f>
        <v>Fallback campaign</v>
      </c>
      <c r="E1001" s="208" t="str">
        <f>IFERROR(__xludf.DUMMYFUNCTION("""COMPUTED_VALUE"""),"BBW")</f>
        <v>BBW</v>
      </c>
      <c r="F1001" s="208" t="str">
        <f>IFERROR(__xludf.DUMMYFUNCTION("""COMPUTED_VALUE"""),"SAS - June 2026")</f>
        <v>SAS - June 2026</v>
      </c>
      <c r="G1001" s="208" t="str">
        <f>IFERROR(__xludf.DUMMYFUNCTION("""COMPUTED_VALUE"""),"bbw_smsfb_sas_cat_mists_25june_offline")</f>
        <v>bbw_smsfb_sas_cat_mists_25june_offline</v>
      </c>
      <c r="H1001" s="232" t="str">
        <f>IFERROR(__xludf.DUMMYFUNCTION("""COMPUTED_VALUE"""),"BBW_OFF_MIST_365D")</f>
        <v>BBW_OFF_MIST_365D</v>
      </c>
      <c r="I1001" s="233" t="str">
        <f>IFERROR(__xludf.DUMMYFUNCTION("""COMPUTED_VALUE"""),"WA Undelivered")</f>
        <v>WA Undelivered</v>
      </c>
      <c r="J1001" s="275">
        <f>IFERROR(__xludf.DUMMYFUNCTION("""COMPUTED_VALUE"""),13287.0)</f>
        <v>13287</v>
      </c>
      <c r="K1001" s="275">
        <f>IFERROR(__xludf.DUMMYFUNCTION("""COMPUTED_VALUE"""),7750.0)</f>
        <v>7750</v>
      </c>
      <c r="L1001" s="276">
        <f>IFERROR(__xludf.DUMMYFUNCTION("""COMPUTED_VALUE"""),0.5833)</f>
        <v>0.5833</v>
      </c>
      <c r="M1001" s="275">
        <f>IFERROR(__xludf.DUMMYFUNCTION("""COMPUTED_VALUE"""),0.0)</f>
        <v>0</v>
      </c>
      <c r="N1001" s="276">
        <f>IFERROR(__xludf.DUMMYFUNCTION("""COMPUTED_VALUE"""),0.0)</f>
        <v>0</v>
      </c>
      <c r="O1001" s="208">
        <f>IFERROR(__xludf.DUMMYFUNCTION("""COMPUTED_VALUE"""),16.0)</f>
        <v>16</v>
      </c>
      <c r="P1001" s="208">
        <f>IFERROR(__xludf.DUMMYFUNCTION("""COMPUTED_VALUE"""),0.0)</f>
        <v>0</v>
      </c>
      <c r="Q1001" s="276">
        <f>IFERROR(__xludf.DUMMYFUNCTION("""COMPUTED_VALUE"""),0.0021)</f>
        <v>0.0021</v>
      </c>
      <c r="R1001" s="276">
        <f>IFERROR(__xludf.DUMMYFUNCTION("""COMPUTED_VALUE"""),0.0)</f>
        <v>0</v>
      </c>
      <c r="S1001" s="208">
        <f>IFERROR(__xludf.DUMMYFUNCTION("""COMPUTED_VALUE"""),2.0)</f>
        <v>2</v>
      </c>
      <c r="T1001" s="208">
        <f>IFERROR(__xludf.DUMMYFUNCTION("""COMPUTED_VALUE"""),6.0)</f>
        <v>6</v>
      </c>
      <c r="U1001" s="275">
        <f>IFERROR(__xludf.DUMMYFUNCTION("""COMPUTED_VALUE"""),5811.0)</f>
        <v>5811</v>
      </c>
      <c r="V1001" s="234" t="str">
        <f>IFERROR(__xludf.DUMMYFUNCTION("""COMPUTED_VALUE"""),"offline")</f>
        <v>offline</v>
      </c>
      <c r="W1001" s="232" t="str">
        <f>IFERROR(__xludf.DUMMYFUNCTION("""COMPUTED_VALUE"""),"Sms")</f>
        <v>Sms</v>
      </c>
      <c r="X1001" s="232" t="str">
        <f>IFERROR(__xludf.DUMMYFUNCTION("""COMPUTED_VALUE"""),"Category Buyers - Shower Gel")</f>
        <v>Category Buyers - Shower Gel</v>
      </c>
      <c r="Y1001" s="232" t="str">
        <f>IFERROR(__xludf.DUMMYFUNCTION("""COMPUTED_VALUE"""),"25 June")</f>
        <v>25 June</v>
      </c>
      <c r="Z1001" s="232" t="str">
        <f>IFERROR(__xludf.DUMMYFUNCTION("""COMPUTED_VALUE"""),"6a3b999a62bc83e313e64ae7")</f>
        <v>6a3b999a62bc83e313e64ae7</v>
      </c>
      <c r="AA1001" s="277">
        <f>IFERROR(__xludf.DUMMYFUNCTION("""COMPUTED_VALUE"""),27.0)</f>
        <v>27</v>
      </c>
      <c r="AB1001" s="277"/>
      <c r="AC1001" s="277">
        <f>IFERROR(__xludf.DUMMYFUNCTION("""COMPUTED_VALUE"""),27.0)</f>
        <v>27</v>
      </c>
      <c r="AD1001" s="277">
        <f>IFERROR(__xludf.DUMMYFUNCTION("""COMPUTED_VALUE"""),86341.0)</f>
        <v>86341</v>
      </c>
      <c r="AE1001" s="277"/>
      <c r="AF1001" s="277">
        <f>IFERROR(__xludf.DUMMYFUNCTION("""COMPUTED_VALUE"""),86341.0)</f>
        <v>86341</v>
      </c>
      <c r="AG1001" s="208"/>
      <c r="AH1001" s="208"/>
      <c r="AI1001" s="208"/>
      <c r="AJ1001" s="208"/>
      <c r="AK1001" s="208"/>
    </row>
    <row r="1002" hidden="1">
      <c r="A1002" s="288">
        <f>IFERROR(__xludf.DUMMYFUNCTION("""COMPUTED_VALUE"""),46199.0)</f>
        <v>46199</v>
      </c>
      <c r="B1002" s="274">
        <f>IFERROR(__xludf.DUMMYFUNCTION("""COMPUTED_VALUE"""),0.5)</f>
        <v>0.5</v>
      </c>
      <c r="C1002" s="208" t="str">
        <f>IFERROR(__xludf.DUMMYFUNCTION("""COMPUTED_VALUE"""),"Sms")</f>
        <v>Sms</v>
      </c>
      <c r="D1002" s="208" t="str">
        <f>IFERROR(__xludf.DUMMYFUNCTION("""COMPUTED_VALUE"""),"Fallback campaign")</f>
        <v>Fallback campaign</v>
      </c>
      <c r="E1002" s="208" t="str">
        <f>IFERROR(__xludf.DUMMYFUNCTION("""COMPUTED_VALUE"""),"BBW")</f>
        <v>BBW</v>
      </c>
      <c r="F1002" s="208" t="str">
        <f>IFERROR(__xludf.DUMMYFUNCTION("""COMPUTED_VALUE"""),"SAS - June 2026")</f>
        <v>SAS - June 2026</v>
      </c>
      <c r="G1002" s="208" t="str">
        <f>IFERROR(__xludf.DUMMYFUNCTION("""COMPUTED_VALUE"""),"bbw_smsfb_sas_active_26june_online")</f>
        <v>bbw_smsfb_sas_active_26june_online</v>
      </c>
      <c r="H1002" s="232" t="str">
        <f>IFERROR(__xludf.DUMMYFUNCTION("""COMPUTED_VALUE"""),"BBW_ON_Active_EOSS_26")</f>
        <v>BBW_ON_Active_EOSS_26</v>
      </c>
      <c r="I1002" s="233" t="str">
        <f>IFERROR(__xludf.DUMMYFUNCTION("""COMPUTED_VALUE"""),"WA Undelivered")</f>
        <v>WA Undelivered</v>
      </c>
      <c r="J1002" s="275">
        <f>IFERROR(__xludf.DUMMYFUNCTION("""COMPUTED_VALUE"""),13078.0)</f>
        <v>13078</v>
      </c>
      <c r="K1002" s="275">
        <f>IFERROR(__xludf.DUMMYFUNCTION("""COMPUTED_VALUE"""),6970.0)</f>
        <v>6970</v>
      </c>
      <c r="L1002" s="276">
        <f>IFERROR(__xludf.DUMMYFUNCTION("""COMPUTED_VALUE"""),0.533)</f>
        <v>0.533</v>
      </c>
      <c r="M1002" s="275">
        <f>IFERROR(__xludf.DUMMYFUNCTION("""COMPUTED_VALUE"""),0.0)</f>
        <v>0</v>
      </c>
      <c r="N1002" s="276">
        <f>IFERROR(__xludf.DUMMYFUNCTION("""COMPUTED_VALUE"""),0.0)</f>
        <v>0</v>
      </c>
      <c r="O1002" s="208">
        <f>IFERROR(__xludf.DUMMYFUNCTION("""COMPUTED_VALUE"""),33.0)</f>
        <v>33</v>
      </c>
      <c r="P1002" s="208">
        <f>IFERROR(__xludf.DUMMYFUNCTION("""COMPUTED_VALUE"""),0.0)</f>
        <v>0</v>
      </c>
      <c r="Q1002" s="276">
        <f>IFERROR(__xludf.DUMMYFUNCTION("""COMPUTED_VALUE"""),0.0047)</f>
        <v>0.0047</v>
      </c>
      <c r="R1002" s="276">
        <f>IFERROR(__xludf.DUMMYFUNCTION("""COMPUTED_VALUE"""),0.0)</f>
        <v>0</v>
      </c>
      <c r="S1002" s="208">
        <f>IFERROR(__xludf.DUMMYFUNCTION("""COMPUTED_VALUE"""),1.0)</f>
        <v>1</v>
      </c>
      <c r="T1002" s="208">
        <f>IFERROR(__xludf.DUMMYFUNCTION("""COMPUTED_VALUE"""),19.0)</f>
        <v>19</v>
      </c>
      <c r="U1002" s="275">
        <f>IFERROR(__xludf.DUMMYFUNCTION("""COMPUTED_VALUE"""),1467.0)</f>
        <v>1467</v>
      </c>
      <c r="V1002" s="234" t="str">
        <f>IFERROR(__xludf.DUMMYFUNCTION("""COMPUTED_VALUE"""),"online")</f>
        <v>online</v>
      </c>
      <c r="W1002" s="232" t="str">
        <f>IFERROR(__xludf.DUMMYFUNCTION("""COMPUTED_VALUE"""),"Sms")</f>
        <v>Sms</v>
      </c>
      <c r="X1002" s="232" t="str">
        <f>IFERROR(__xludf.DUMMYFUNCTION("""COMPUTED_VALUE"""),"Active")</f>
        <v>Active</v>
      </c>
      <c r="Y1002" s="232" t="str">
        <f>IFERROR(__xludf.DUMMYFUNCTION("""COMPUTED_VALUE"""),"26 June")</f>
        <v>26 June</v>
      </c>
      <c r="Z1002" s="232" t="str">
        <f>IFERROR(__xludf.DUMMYFUNCTION("""COMPUTED_VALUE"""),"6a3b9a0cd4063b2835badafb")</f>
        <v>6a3b9a0cd4063b2835badafb</v>
      </c>
      <c r="AA1002" s="277">
        <f>IFERROR(__xludf.DUMMYFUNCTION("""COMPUTED_VALUE"""),18.0)</f>
        <v>18</v>
      </c>
      <c r="AB1002" s="277">
        <f>IFERROR(__xludf.DUMMYFUNCTION("""COMPUTED_VALUE"""),18.0)</f>
        <v>18</v>
      </c>
      <c r="AC1002" s="277"/>
      <c r="AD1002" s="277">
        <f>IFERROR(__xludf.DUMMYFUNCTION("""COMPUTED_VALUE"""),43191.0)</f>
        <v>43191</v>
      </c>
      <c r="AE1002" s="277">
        <f>IFERROR(__xludf.DUMMYFUNCTION("""COMPUTED_VALUE"""),43191.0)</f>
        <v>43191</v>
      </c>
      <c r="AF1002" s="277"/>
      <c r="AG1002" s="208"/>
      <c r="AH1002" s="208"/>
      <c r="AI1002" s="208"/>
      <c r="AJ1002" s="208"/>
      <c r="AK1002" s="208"/>
    </row>
    <row r="1003" hidden="1">
      <c r="A1003" s="288">
        <f>IFERROR(__xludf.DUMMYFUNCTION("""COMPUTED_VALUE"""),46199.0)</f>
        <v>46199</v>
      </c>
      <c r="B1003" s="274">
        <f>IFERROR(__xludf.DUMMYFUNCTION("""COMPUTED_VALUE"""),0.5)</f>
        <v>0.5</v>
      </c>
      <c r="C1003" s="208" t="str">
        <f>IFERROR(__xludf.DUMMYFUNCTION("""COMPUTED_VALUE"""),"Sms")</f>
        <v>Sms</v>
      </c>
      <c r="D1003" s="208" t="str">
        <f>IFERROR(__xludf.DUMMYFUNCTION("""COMPUTED_VALUE"""),"Fallback campaign")</f>
        <v>Fallback campaign</v>
      </c>
      <c r="E1003" s="208" t="str">
        <f>IFERROR(__xludf.DUMMYFUNCTION("""COMPUTED_VALUE"""),"BBW")</f>
        <v>BBW</v>
      </c>
      <c r="F1003" s="208" t="str">
        <f>IFERROR(__xludf.DUMMYFUNCTION("""COMPUTED_VALUE"""),"SAS - June 2026")</f>
        <v>SAS - June 2026</v>
      </c>
      <c r="G1003" s="208" t="str">
        <f>IFERROR(__xludf.DUMMYFUNCTION("""COMPUTED_VALUE"""),"bbw_smsfb_sas_active_26june_offline")</f>
        <v>bbw_smsfb_sas_active_26june_offline</v>
      </c>
      <c r="H1003" s="232" t="str">
        <f>IFERROR(__xludf.DUMMYFUNCTION("""COMPUTED_VALUE"""),"BBW_OFF_Active_EOSS_26")</f>
        <v>BBW_OFF_Active_EOSS_26</v>
      </c>
      <c r="I1003" s="233" t="str">
        <f>IFERROR(__xludf.DUMMYFUNCTION("""COMPUTED_VALUE"""),"WA Undelivered")</f>
        <v>WA Undelivered</v>
      </c>
      <c r="J1003" s="275">
        <f>IFERROR(__xludf.DUMMYFUNCTION("""COMPUTED_VALUE"""),59119.0)</f>
        <v>59119</v>
      </c>
      <c r="K1003" s="275">
        <f>IFERROR(__xludf.DUMMYFUNCTION("""COMPUTED_VALUE"""),34404.0)</f>
        <v>34404</v>
      </c>
      <c r="L1003" s="276">
        <f>IFERROR(__xludf.DUMMYFUNCTION("""COMPUTED_VALUE"""),0.5819)</f>
        <v>0.5819</v>
      </c>
      <c r="M1003" s="275">
        <f>IFERROR(__xludf.DUMMYFUNCTION("""COMPUTED_VALUE"""),0.0)</f>
        <v>0</v>
      </c>
      <c r="N1003" s="276">
        <f>IFERROR(__xludf.DUMMYFUNCTION("""COMPUTED_VALUE"""),0.0)</f>
        <v>0</v>
      </c>
      <c r="O1003" s="208">
        <f>IFERROR(__xludf.DUMMYFUNCTION("""COMPUTED_VALUE"""),56.0)</f>
        <v>56</v>
      </c>
      <c r="P1003" s="208">
        <f>IFERROR(__xludf.DUMMYFUNCTION("""COMPUTED_VALUE"""),0.0)</f>
        <v>0</v>
      </c>
      <c r="Q1003" s="276">
        <f>IFERROR(__xludf.DUMMYFUNCTION("""COMPUTED_VALUE"""),0.0016)</f>
        <v>0.0016</v>
      </c>
      <c r="R1003" s="276">
        <f>IFERROR(__xludf.DUMMYFUNCTION("""COMPUTED_VALUE"""),0.0)</f>
        <v>0</v>
      </c>
      <c r="S1003" s="208">
        <f>IFERROR(__xludf.DUMMYFUNCTION("""COMPUTED_VALUE"""),1.0)</f>
        <v>1</v>
      </c>
      <c r="T1003" s="208">
        <f>IFERROR(__xludf.DUMMYFUNCTION("""COMPUTED_VALUE"""),5.0)</f>
        <v>5</v>
      </c>
      <c r="U1003" s="275">
        <f>IFERROR(__xludf.DUMMYFUNCTION("""COMPUTED_VALUE"""),949.0)</f>
        <v>949</v>
      </c>
      <c r="V1003" s="234" t="str">
        <f>IFERROR(__xludf.DUMMYFUNCTION("""COMPUTED_VALUE"""),"offline")</f>
        <v>offline</v>
      </c>
      <c r="W1003" s="232" t="str">
        <f>IFERROR(__xludf.DUMMYFUNCTION("""COMPUTED_VALUE"""),"Sms")</f>
        <v>Sms</v>
      </c>
      <c r="X1003" s="232" t="str">
        <f>IFERROR(__xludf.DUMMYFUNCTION("""COMPUTED_VALUE"""),"Active")</f>
        <v>Active</v>
      </c>
      <c r="Y1003" s="232" t="str">
        <f>IFERROR(__xludf.DUMMYFUNCTION("""COMPUTED_VALUE"""),"26 June")</f>
        <v>26 June</v>
      </c>
      <c r="Z1003" s="232" t="str">
        <f>IFERROR(__xludf.DUMMYFUNCTION("""COMPUTED_VALUE"""),"6a3b9a76f800a4c6af75e278")</f>
        <v>6a3b9a76f800a4c6af75e278</v>
      </c>
      <c r="AA1003" s="277">
        <f>IFERROR(__xludf.DUMMYFUNCTION("""COMPUTED_VALUE"""),94.0)</f>
        <v>94</v>
      </c>
      <c r="AB1003" s="277"/>
      <c r="AC1003" s="277">
        <f>IFERROR(__xludf.DUMMYFUNCTION("""COMPUTED_VALUE"""),94.0)</f>
        <v>94</v>
      </c>
      <c r="AD1003" s="277">
        <f>IFERROR(__xludf.DUMMYFUNCTION("""COMPUTED_VALUE"""),333547.0)</f>
        <v>333547</v>
      </c>
      <c r="AE1003" s="277"/>
      <c r="AF1003" s="277">
        <f>IFERROR(__xludf.DUMMYFUNCTION("""COMPUTED_VALUE"""),333547.0)</f>
        <v>333547</v>
      </c>
      <c r="AG1003" s="208"/>
      <c r="AH1003" s="208"/>
      <c r="AI1003" s="208"/>
      <c r="AJ1003" s="208"/>
      <c r="AK1003" s="208"/>
    </row>
    <row r="1004" hidden="1">
      <c r="A1004" s="288">
        <f>IFERROR(__xludf.DUMMYFUNCTION("""COMPUTED_VALUE"""),46200.0)</f>
        <v>46200</v>
      </c>
      <c r="B1004" s="274">
        <f>IFERROR(__xludf.DUMMYFUNCTION("""COMPUTED_VALUE"""),0.5416666666678793)</f>
        <v>0.5416666667</v>
      </c>
      <c r="C1004" s="208" t="str">
        <f>IFERROR(__xludf.DUMMYFUNCTION("""COMPUTED_VALUE"""),"Sms")</f>
        <v>Sms</v>
      </c>
      <c r="D1004" s="208" t="str">
        <f>IFERROR(__xludf.DUMMYFUNCTION("""COMPUTED_VALUE"""),"Fallback campaign")</f>
        <v>Fallback campaign</v>
      </c>
      <c r="E1004" s="208" t="str">
        <f>IFERROR(__xludf.DUMMYFUNCTION("""COMPUTED_VALUE"""),"BBW")</f>
        <v>BBW</v>
      </c>
      <c r="F1004" s="208" t="str">
        <f>IFERROR(__xludf.DUMMYFUNCTION("""COMPUTED_VALUE"""),"SAS - June 2026")</f>
        <v>SAS - June 2026</v>
      </c>
      <c r="G1004" s="208" t="str">
        <f>IFERROR(__xludf.DUMMYFUNCTION("""COMPUTED_VALUE"""),"bbw_smsfb_sas_cat_showergel_27june_online")</f>
        <v>bbw_smsfb_sas_cat_showergel_27june_online</v>
      </c>
      <c r="H1004" s="232" t="str">
        <f>IFERROR(__xludf.DUMMYFUNCTION("""COMPUTED_VALUE"""),"BBW_ON_Shower_Gel_365D")</f>
        <v>BBW_ON_Shower_Gel_365D</v>
      </c>
      <c r="I1004" s="233" t="str">
        <f>IFERROR(__xludf.DUMMYFUNCTION("""COMPUTED_VALUE"""),"WA Undelivered")</f>
        <v>WA Undelivered</v>
      </c>
      <c r="J1004" s="275">
        <f>IFERROR(__xludf.DUMMYFUNCTION("""COMPUTED_VALUE"""),15973.0)</f>
        <v>15973</v>
      </c>
      <c r="K1004" s="275">
        <f>IFERROR(__xludf.DUMMYFUNCTION("""COMPUTED_VALUE"""),7814.0)</f>
        <v>7814</v>
      </c>
      <c r="L1004" s="276">
        <f>IFERROR(__xludf.DUMMYFUNCTION("""COMPUTED_VALUE"""),0.4892)</f>
        <v>0.4892</v>
      </c>
      <c r="M1004" s="275">
        <f>IFERROR(__xludf.DUMMYFUNCTION("""COMPUTED_VALUE"""),0.0)</f>
        <v>0</v>
      </c>
      <c r="N1004" s="276">
        <f>IFERROR(__xludf.DUMMYFUNCTION("""COMPUTED_VALUE"""),0.0)</f>
        <v>0</v>
      </c>
      <c r="O1004" s="208">
        <f>IFERROR(__xludf.DUMMYFUNCTION("""COMPUTED_VALUE"""),21.0)</f>
        <v>21</v>
      </c>
      <c r="P1004" s="208">
        <f>IFERROR(__xludf.DUMMYFUNCTION("""COMPUTED_VALUE"""),0.0)</f>
        <v>0</v>
      </c>
      <c r="Q1004" s="276">
        <f>IFERROR(__xludf.DUMMYFUNCTION("""COMPUTED_VALUE"""),0.0027)</f>
        <v>0.0027</v>
      </c>
      <c r="R1004" s="276">
        <f>IFERROR(__xludf.DUMMYFUNCTION("""COMPUTED_VALUE"""),0.0)</f>
        <v>0</v>
      </c>
      <c r="S1004" s="208">
        <f>IFERROR(__xludf.DUMMYFUNCTION("""COMPUTED_VALUE"""),1.0)</f>
        <v>1</v>
      </c>
      <c r="T1004" s="208">
        <f>IFERROR(__xludf.DUMMYFUNCTION("""COMPUTED_VALUE"""),13.0)</f>
        <v>13</v>
      </c>
      <c r="U1004" s="275">
        <f>IFERROR(__xludf.DUMMYFUNCTION("""COMPUTED_VALUE"""),1752.0)</f>
        <v>1752</v>
      </c>
      <c r="V1004" s="234" t="str">
        <f>IFERROR(__xludf.DUMMYFUNCTION("""COMPUTED_VALUE"""),"online")</f>
        <v>online</v>
      </c>
      <c r="W1004" s="232" t="str">
        <f>IFERROR(__xludf.DUMMYFUNCTION("""COMPUTED_VALUE"""),"Sms")</f>
        <v>Sms</v>
      </c>
      <c r="X1004" s="232" t="str">
        <f>IFERROR(__xludf.DUMMYFUNCTION("""COMPUTED_VALUE"""),"Category Buyers - Shower Gel")</f>
        <v>Category Buyers - Shower Gel</v>
      </c>
      <c r="Y1004" s="232" t="str">
        <f>IFERROR(__xludf.DUMMYFUNCTION("""COMPUTED_VALUE"""),"27 June")</f>
        <v>27 June</v>
      </c>
      <c r="Z1004" s="232" t="str">
        <f>IFERROR(__xludf.DUMMYFUNCTION("""COMPUTED_VALUE"""),"6a3ba3f20381648bab00ca3a")</f>
        <v>6a3ba3f20381648bab00ca3a</v>
      </c>
      <c r="AA1004" s="277">
        <f>IFERROR(__xludf.DUMMYFUNCTION("""COMPUTED_VALUE"""),6.0)</f>
        <v>6</v>
      </c>
      <c r="AB1004" s="277">
        <f>IFERROR(__xludf.DUMMYFUNCTION("""COMPUTED_VALUE"""),6.0)</f>
        <v>6</v>
      </c>
      <c r="AC1004" s="277"/>
      <c r="AD1004" s="277">
        <f>IFERROR(__xludf.DUMMYFUNCTION("""COMPUTED_VALUE"""),23593.0)</f>
        <v>23593</v>
      </c>
      <c r="AE1004" s="277">
        <f>IFERROR(__xludf.DUMMYFUNCTION("""COMPUTED_VALUE"""),23593.0)</f>
        <v>23593</v>
      </c>
      <c r="AF1004" s="277"/>
      <c r="AG1004" s="208"/>
      <c r="AH1004" s="208"/>
      <c r="AI1004" s="208"/>
      <c r="AJ1004" s="208"/>
      <c r="AK1004" s="208"/>
    </row>
    <row r="1005" hidden="1">
      <c r="A1005" s="288">
        <f>IFERROR(__xludf.DUMMYFUNCTION("""COMPUTED_VALUE"""),46200.0)</f>
        <v>46200</v>
      </c>
      <c r="B1005" s="274">
        <f>IFERROR(__xludf.DUMMYFUNCTION("""COMPUTED_VALUE"""),0.5416666666678793)</f>
        <v>0.5416666667</v>
      </c>
      <c r="C1005" s="208" t="str">
        <f>IFERROR(__xludf.DUMMYFUNCTION("""COMPUTED_VALUE"""),"Sms")</f>
        <v>Sms</v>
      </c>
      <c r="D1005" s="208" t="str">
        <f>IFERROR(__xludf.DUMMYFUNCTION("""COMPUTED_VALUE"""),"Fallback campaign")</f>
        <v>Fallback campaign</v>
      </c>
      <c r="E1005" s="208" t="str">
        <f>IFERROR(__xludf.DUMMYFUNCTION("""COMPUTED_VALUE"""),"BBW")</f>
        <v>BBW</v>
      </c>
      <c r="F1005" s="208" t="str">
        <f>IFERROR(__xludf.DUMMYFUNCTION("""COMPUTED_VALUE"""),"SAS - June 2026")</f>
        <v>SAS - June 2026</v>
      </c>
      <c r="G1005" s="208" t="str">
        <f>IFERROR(__xludf.DUMMYFUNCTION("""COMPUTED_VALUE"""),"bbw_smsfb_sas_cat_showergel_27june_offline")</f>
        <v>bbw_smsfb_sas_cat_showergel_27june_offline</v>
      </c>
      <c r="H1005" s="232" t="str">
        <f>IFERROR(__xludf.DUMMYFUNCTION("""COMPUTED_VALUE"""),"BBW_OFF_Shower_Gel_365D")</f>
        <v>BBW_OFF_Shower_Gel_365D</v>
      </c>
      <c r="I1005" s="233" t="str">
        <f>IFERROR(__xludf.DUMMYFUNCTION("""COMPUTED_VALUE"""),"WA Undelivered")</f>
        <v>WA Undelivered</v>
      </c>
      <c r="J1005" s="275">
        <f>IFERROR(__xludf.DUMMYFUNCTION("""COMPUTED_VALUE"""),81707.0)</f>
        <v>81707</v>
      </c>
      <c r="K1005" s="275">
        <f>IFERROR(__xludf.DUMMYFUNCTION("""COMPUTED_VALUE"""),45092.0)</f>
        <v>45092</v>
      </c>
      <c r="L1005" s="276">
        <f>IFERROR(__xludf.DUMMYFUNCTION("""COMPUTED_VALUE"""),0.5519)</f>
        <v>0.5519</v>
      </c>
      <c r="M1005" s="275">
        <f>IFERROR(__xludf.DUMMYFUNCTION("""COMPUTED_VALUE"""),0.0)</f>
        <v>0</v>
      </c>
      <c r="N1005" s="276">
        <f>IFERROR(__xludf.DUMMYFUNCTION("""COMPUTED_VALUE"""),0.0)</f>
        <v>0</v>
      </c>
      <c r="O1005" s="208">
        <f>IFERROR(__xludf.DUMMYFUNCTION("""COMPUTED_VALUE"""),65.0)</f>
        <v>65</v>
      </c>
      <c r="P1005" s="208">
        <f>IFERROR(__xludf.DUMMYFUNCTION("""COMPUTED_VALUE"""),0.0)</f>
        <v>0</v>
      </c>
      <c r="Q1005" s="276">
        <f>IFERROR(__xludf.DUMMYFUNCTION("""COMPUTED_VALUE"""),0.0014)</f>
        <v>0.0014</v>
      </c>
      <c r="R1005" s="276">
        <f>IFERROR(__xludf.DUMMYFUNCTION("""COMPUTED_VALUE"""),0.0)</f>
        <v>0</v>
      </c>
      <c r="S1005" s="208">
        <f>IFERROR(__xludf.DUMMYFUNCTION("""COMPUTED_VALUE"""),2.0)</f>
        <v>2</v>
      </c>
      <c r="T1005" s="208">
        <f>IFERROR(__xludf.DUMMYFUNCTION("""COMPUTED_VALUE"""),10.0)</f>
        <v>10</v>
      </c>
      <c r="U1005" s="275">
        <f>IFERROR(__xludf.DUMMYFUNCTION("""COMPUTED_VALUE"""),2366.0)</f>
        <v>2366</v>
      </c>
      <c r="V1005" s="234" t="str">
        <f>IFERROR(__xludf.DUMMYFUNCTION("""COMPUTED_VALUE"""),"offline")</f>
        <v>offline</v>
      </c>
      <c r="W1005" s="232" t="str">
        <f>IFERROR(__xludf.DUMMYFUNCTION("""COMPUTED_VALUE"""),"Sms")</f>
        <v>Sms</v>
      </c>
      <c r="X1005" s="232" t="str">
        <f>IFERROR(__xludf.DUMMYFUNCTION("""COMPUTED_VALUE"""),"Category Buyers - Mist")</f>
        <v>Category Buyers - Mist</v>
      </c>
      <c r="Y1005" s="232" t="str">
        <f>IFERROR(__xludf.DUMMYFUNCTION("""COMPUTED_VALUE"""),"27 June")</f>
        <v>27 June</v>
      </c>
      <c r="Z1005" s="232" t="str">
        <f>IFERROR(__xludf.DUMMYFUNCTION("""COMPUTED_VALUE"""),"6a3ba4c84a7e3e27ba0eda86")</f>
        <v>6a3ba4c84a7e3e27ba0eda86</v>
      </c>
      <c r="AA1005" s="277">
        <f>IFERROR(__xludf.DUMMYFUNCTION("""COMPUTED_VALUE"""),153.0)</f>
        <v>153</v>
      </c>
      <c r="AB1005" s="277"/>
      <c r="AC1005" s="277">
        <f>IFERROR(__xludf.DUMMYFUNCTION("""COMPUTED_VALUE"""),153.0)</f>
        <v>153</v>
      </c>
      <c r="AD1005" s="277">
        <f>IFERROR(__xludf.DUMMYFUNCTION("""COMPUTED_VALUE"""),694180.0)</f>
        <v>694180</v>
      </c>
      <c r="AE1005" s="277"/>
      <c r="AF1005" s="277">
        <f>IFERROR(__xludf.DUMMYFUNCTION("""COMPUTED_VALUE"""),694180.0)</f>
        <v>694180</v>
      </c>
      <c r="AG1005" s="208"/>
      <c r="AH1005" s="208"/>
      <c r="AI1005" s="208"/>
      <c r="AJ1005" s="208"/>
      <c r="AK1005" s="208"/>
    </row>
    <row r="1006" hidden="1">
      <c r="A1006" s="288">
        <f>IFERROR(__xludf.DUMMYFUNCTION("""COMPUTED_VALUE"""),46200.0)</f>
        <v>46200</v>
      </c>
      <c r="B1006" s="274">
        <f>IFERROR(__xludf.DUMMYFUNCTION("""COMPUTED_VALUE"""),0.7916666666678793)</f>
        <v>0.7916666667</v>
      </c>
      <c r="C1006" s="208" t="str">
        <f>IFERROR(__xludf.DUMMYFUNCTION("""COMPUTED_VALUE"""),"Sms")</f>
        <v>Sms</v>
      </c>
      <c r="D1006" s="208" t="str">
        <f>IFERROR(__xludf.DUMMYFUNCTION("""COMPUTED_VALUE"""),"Fallback campaign")</f>
        <v>Fallback campaign</v>
      </c>
      <c r="E1006" s="208" t="str">
        <f>IFERROR(__xludf.DUMMYFUNCTION("""COMPUTED_VALUE"""),"BBW")</f>
        <v>BBW</v>
      </c>
      <c r="F1006" s="208" t="str">
        <f>IFERROR(__xludf.DUMMYFUNCTION("""COMPUTED_VALUE"""),"SAS - June 2026")</f>
        <v>SAS - June 2026</v>
      </c>
      <c r="G1006" s="208" t="str">
        <f>IFERROR(__xludf.DUMMYFUNCTION("""COMPUTED_VALUE"""),"bbw_smsfb_sas_dormant_27june_online")</f>
        <v>bbw_smsfb_sas_dormant_27june_online</v>
      </c>
      <c r="H1006" s="232" t="str">
        <f>IFERROR(__xludf.DUMMYFUNCTION("""COMPUTED_VALUE"""),"BBW_ON_Dorm_EOSS_26")</f>
        <v>BBW_ON_Dorm_EOSS_26</v>
      </c>
      <c r="I1006" s="233" t="str">
        <f>IFERROR(__xludf.DUMMYFUNCTION("""COMPUTED_VALUE"""),"WA Undelivered")</f>
        <v>WA Undelivered</v>
      </c>
      <c r="J1006" s="275">
        <f>IFERROR(__xludf.DUMMYFUNCTION("""COMPUTED_VALUE"""),39410.0)</f>
        <v>39410</v>
      </c>
      <c r="K1006" s="275">
        <f>IFERROR(__xludf.DUMMYFUNCTION("""COMPUTED_VALUE"""),22861.0)</f>
        <v>22861</v>
      </c>
      <c r="L1006" s="276">
        <f>IFERROR(__xludf.DUMMYFUNCTION("""COMPUTED_VALUE"""),0.5801)</f>
        <v>0.5801</v>
      </c>
      <c r="M1006" s="275">
        <f>IFERROR(__xludf.DUMMYFUNCTION("""COMPUTED_VALUE"""),0.0)</f>
        <v>0</v>
      </c>
      <c r="N1006" s="276">
        <f>IFERROR(__xludf.DUMMYFUNCTION("""COMPUTED_VALUE"""),0.0)</f>
        <v>0</v>
      </c>
      <c r="O1006" s="208">
        <f>IFERROR(__xludf.DUMMYFUNCTION("""COMPUTED_VALUE"""),59.0)</f>
        <v>59</v>
      </c>
      <c r="P1006" s="208">
        <f>IFERROR(__xludf.DUMMYFUNCTION("""COMPUTED_VALUE"""),0.0)</f>
        <v>0</v>
      </c>
      <c r="Q1006" s="276">
        <f>IFERROR(__xludf.DUMMYFUNCTION("""COMPUTED_VALUE"""),0.0026)</f>
        <v>0.0026</v>
      </c>
      <c r="R1006" s="276">
        <f>IFERROR(__xludf.DUMMYFUNCTION("""COMPUTED_VALUE"""),0.0)</f>
        <v>0</v>
      </c>
      <c r="S1006" s="208">
        <f>IFERROR(__xludf.DUMMYFUNCTION("""COMPUTED_VALUE"""),0.0)</f>
        <v>0</v>
      </c>
      <c r="T1006" s="208">
        <f>IFERROR(__xludf.DUMMYFUNCTION("""COMPUTED_VALUE"""),9.0)</f>
        <v>9</v>
      </c>
      <c r="U1006" s="275">
        <f>IFERROR(__xludf.DUMMYFUNCTION("""COMPUTED_VALUE"""),0.0)</f>
        <v>0</v>
      </c>
      <c r="V1006" s="234" t="str">
        <f>IFERROR(__xludf.DUMMYFUNCTION("""COMPUTED_VALUE"""),"online")</f>
        <v>online</v>
      </c>
      <c r="W1006" s="232" t="str">
        <f>IFERROR(__xludf.DUMMYFUNCTION("""COMPUTED_VALUE"""),"Sms")</f>
        <v>Sms</v>
      </c>
      <c r="X1006" s="232" t="str">
        <f>IFERROR(__xludf.DUMMYFUNCTION("""COMPUTED_VALUE"""),"Dormant")</f>
        <v>Dormant</v>
      </c>
      <c r="Y1006" s="232" t="str">
        <f>IFERROR(__xludf.DUMMYFUNCTION("""COMPUTED_VALUE"""),"27 June")</f>
        <v>27 June</v>
      </c>
      <c r="Z1006" s="232" t="str">
        <f>IFERROR(__xludf.DUMMYFUNCTION("""COMPUTED_VALUE"""),"6a3ba60cc6a8a574632519ac")</f>
        <v>6a3ba60cc6a8a574632519ac</v>
      </c>
      <c r="AA1006" s="277">
        <f>IFERROR(__xludf.DUMMYFUNCTION("""COMPUTED_VALUE"""),19.0)</f>
        <v>19</v>
      </c>
      <c r="AB1006" s="277">
        <f>IFERROR(__xludf.DUMMYFUNCTION("""COMPUTED_VALUE"""),19.0)</f>
        <v>19</v>
      </c>
      <c r="AC1006" s="277"/>
      <c r="AD1006" s="277">
        <f>IFERROR(__xludf.DUMMYFUNCTION("""COMPUTED_VALUE"""),44661.0)</f>
        <v>44661</v>
      </c>
      <c r="AE1006" s="277">
        <f>IFERROR(__xludf.DUMMYFUNCTION("""COMPUTED_VALUE"""),44661.0)</f>
        <v>44661</v>
      </c>
      <c r="AF1006" s="277"/>
      <c r="AG1006" s="208"/>
      <c r="AH1006" s="208"/>
      <c r="AI1006" s="208"/>
      <c r="AJ1006" s="208"/>
      <c r="AK1006" s="208"/>
    </row>
    <row r="1007" hidden="1">
      <c r="A1007" s="288">
        <f>IFERROR(__xludf.DUMMYFUNCTION("""COMPUTED_VALUE"""),46200.0)</f>
        <v>46200</v>
      </c>
      <c r="B1007" s="274">
        <f>IFERROR(__xludf.DUMMYFUNCTION("""COMPUTED_VALUE"""),0.7083333333321207)</f>
        <v>0.7083333333</v>
      </c>
      <c r="C1007" s="208" t="str">
        <f>IFERROR(__xludf.DUMMYFUNCTION("""COMPUTED_VALUE"""),"Sms")</f>
        <v>Sms</v>
      </c>
      <c r="D1007" s="208" t="str">
        <f>IFERROR(__xludf.DUMMYFUNCTION("""COMPUTED_VALUE"""),"Promotional")</f>
        <v>Promotional</v>
      </c>
      <c r="E1007" s="208" t="str">
        <f>IFERROR(__xludf.DUMMYFUNCTION("""COMPUTED_VALUE"""),"BBW")</f>
        <v>BBW</v>
      </c>
      <c r="F1007" s="208" t="str">
        <f>IFERROR(__xludf.DUMMYFUNCTION("""COMPUTED_VALUE"""),"SAS - June 2026")</f>
        <v>SAS - June 2026</v>
      </c>
      <c r="G1007" s="208" t="str">
        <f>IFERROR(__xludf.DUMMYFUNCTION("""COMPUTED_VALUE"""),"bbw_sms_sas_churned_27june_online")</f>
        <v>bbw_sms_sas_churned_27june_online</v>
      </c>
      <c r="H1007" s="232" t="str">
        <f>IFERROR(__xludf.DUMMYFUNCTION("""COMPUTED_VALUE"""),"BBW_ON_Churned730_EOSS_26")</f>
        <v>BBW_ON_Churned730_EOSS_26</v>
      </c>
      <c r="I1007" s="233" t="str">
        <f>IFERROR(__xludf.DUMMYFUNCTION("""COMPUTED_VALUE"""),"Online customers who have purchased in the last 730 days")</f>
        <v>Online customers who have purchased in the last 730 days</v>
      </c>
      <c r="J1007" s="275">
        <f>IFERROR(__xludf.DUMMYFUNCTION("""COMPUTED_VALUE"""),103645.0)</f>
        <v>103645</v>
      </c>
      <c r="K1007" s="275">
        <f>IFERROR(__xludf.DUMMYFUNCTION("""COMPUTED_VALUE"""),63290.0)</f>
        <v>63290</v>
      </c>
      <c r="L1007" s="276">
        <f>IFERROR(__xludf.DUMMYFUNCTION("""COMPUTED_VALUE"""),0.6106)</f>
        <v>0.6106</v>
      </c>
      <c r="M1007" s="275">
        <f>IFERROR(__xludf.DUMMYFUNCTION("""COMPUTED_VALUE"""),0.0)</f>
        <v>0</v>
      </c>
      <c r="N1007" s="276">
        <f>IFERROR(__xludf.DUMMYFUNCTION("""COMPUTED_VALUE"""),0.0)</f>
        <v>0</v>
      </c>
      <c r="O1007" s="208">
        <f>IFERROR(__xludf.DUMMYFUNCTION("""COMPUTED_VALUE"""),135.0)</f>
        <v>135</v>
      </c>
      <c r="P1007" s="208">
        <f>IFERROR(__xludf.DUMMYFUNCTION("""COMPUTED_VALUE"""),0.0)</f>
        <v>0</v>
      </c>
      <c r="Q1007" s="276">
        <f>IFERROR(__xludf.DUMMYFUNCTION("""COMPUTED_VALUE"""),0.0021)</f>
        <v>0.0021</v>
      </c>
      <c r="R1007" s="276">
        <f>IFERROR(__xludf.DUMMYFUNCTION("""COMPUTED_VALUE"""),0.0)</f>
        <v>0</v>
      </c>
      <c r="S1007" s="208">
        <f>IFERROR(__xludf.DUMMYFUNCTION("""COMPUTED_VALUE"""),6.0)</f>
        <v>6</v>
      </c>
      <c r="T1007" s="208">
        <f>IFERROR(__xludf.DUMMYFUNCTION("""COMPUTED_VALUE"""),17.0)</f>
        <v>17</v>
      </c>
      <c r="U1007" s="275">
        <f>IFERROR(__xludf.DUMMYFUNCTION("""COMPUTED_VALUE"""),15563.0)</f>
        <v>15563</v>
      </c>
      <c r="V1007" s="234" t="str">
        <f>IFERROR(__xludf.DUMMYFUNCTION("""COMPUTED_VALUE"""),"online")</f>
        <v>online</v>
      </c>
      <c r="W1007" s="232" t="str">
        <f>IFERROR(__xludf.DUMMYFUNCTION("""COMPUTED_VALUE"""),"Sms")</f>
        <v>Sms</v>
      </c>
      <c r="X1007" s="232" t="str">
        <f>IFERROR(__xludf.DUMMYFUNCTION("""COMPUTED_VALUE"""),"Churned")</f>
        <v>Churned</v>
      </c>
      <c r="Y1007" s="232" t="str">
        <f>IFERROR(__xludf.DUMMYFUNCTION("""COMPUTED_VALUE"""),"27 June")</f>
        <v>27 June</v>
      </c>
      <c r="Z1007" s="232" t="str">
        <f>IFERROR(__xludf.DUMMYFUNCTION("""COMPUTED_VALUE"""),"6a3ba66442d494d5aab48457")</f>
        <v>6a3ba66442d494d5aab48457</v>
      </c>
      <c r="AA1007" s="277">
        <f>IFERROR(__xludf.DUMMYFUNCTION("""COMPUTED_VALUE"""),26.0)</f>
        <v>26</v>
      </c>
      <c r="AB1007" s="277">
        <f>IFERROR(__xludf.DUMMYFUNCTION("""COMPUTED_VALUE"""),26.0)</f>
        <v>26</v>
      </c>
      <c r="AC1007" s="277"/>
      <c r="AD1007" s="277">
        <f>IFERROR(__xludf.DUMMYFUNCTION("""COMPUTED_VALUE"""),88138.0)</f>
        <v>88138</v>
      </c>
      <c r="AE1007" s="277">
        <f>IFERROR(__xludf.DUMMYFUNCTION("""COMPUTED_VALUE"""),88138.0)</f>
        <v>88138</v>
      </c>
      <c r="AF1007" s="277"/>
      <c r="AG1007" s="208"/>
      <c r="AH1007" s="208"/>
      <c r="AI1007" s="208"/>
      <c r="AJ1007" s="208"/>
      <c r="AK1007" s="208"/>
    </row>
    <row r="1008" hidden="1">
      <c r="A1008" s="288">
        <f>IFERROR(__xludf.DUMMYFUNCTION("""COMPUTED_VALUE"""),46200.0)</f>
        <v>46200</v>
      </c>
      <c r="B1008" s="274">
        <f>IFERROR(__xludf.DUMMYFUNCTION("""COMPUTED_VALUE"""),0.7083333333321207)</f>
        <v>0.7083333333</v>
      </c>
      <c r="C1008" s="208" t="str">
        <f>IFERROR(__xludf.DUMMYFUNCTION("""COMPUTED_VALUE"""),"Sms")</f>
        <v>Sms</v>
      </c>
      <c r="D1008" s="208" t="str">
        <f>IFERROR(__xludf.DUMMYFUNCTION("""COMPUTED_VALUE"""),"Promotional")</f>
        <v>Promotional</v>
      </c>
      <c r="E1008" s="208" t="str">
        <f>IFERROR(__xludf.DUMMYFUNCTION("""COMPUTED_VALUE"""),"BBW")</f>
        <v>BBW</v>
      </c>
      <c r="F1008" s="208" t="str">
        <f>IFERROR(__xludf.DUMMYFUNCTION("""COMPUTED_VALUE"""),"SAS - June 2026")</f>
        <v>SAS - June 2026</v>
      </c>
      <c r="G1008" s="208" t="str">
        <f>IFERROR(__xludf.DUMMYFUNCTION("""COMPUTED_VALUE"""),"bbw_sms_sas_churned2_27june_online")</f>
        <v>bbw_sms_sas_churned2_27june_online</v>
      </c>
      <c r="H1008" s="232" t="str">
        <f>IFERROR(__xludf.DUMMYFUNCTION("""COMPUTED_VALUE"""),"BBW_ON_Churned1095_EOSS_26")</f>
        <v>BBW_ON_Churned1095_EOSS_26</v>
      </c>
      <c r="I1008" s="233" t="str">
        <f>IFERROR(__xludf.DUMMYFUNCTION("""COMPUTED_VALUE"""),"Online customers who have purchased in the last 1095 days")</f>
        <v>Online customers who have purchased in the last 1095 days</v>
      </c>
      <c r="J1008" s="275">
        <f>IFERROR(__xludf.DUMMYFUNCTION("""COMPUTED_VALUE"""),111668.0)</f>
        <v>111668</v>
      </c>
      <c r="K1008" s="275">
        <f>IFERROR(__xludf.DUMMYFUNCTION("""COMPUTED_VALUE"""),68723.0)</f>
        <v>68723</v>
      </c>
      <c r="L1008" s="276">
        <f>IFERROR(__xludf.DUMMYFUNCTION("""COMPUTED_VALUE"""),0.6154)</f>
        <v>0.6154</v>
      </c>
      <c r="M1008" s="275">
        <f>IFERROR(__xludf.DUMMYFUNCTION("""COMPUTED_VALUE"""),0.0)</f>
        <v>0</v>
      </c>
      <c r="N1008" s="276">
        <f>IFERROR(__xludf.DUMMYFUNCTION("""COMPUTED_VALUE"""),0.0)</f>
        <v>0</v>
      </c>
      <c r="O1008" s="208">
        <f>IFERROR(__xludf.DUMMYFUNCTION("""COMPUTED_VALUE"""),104.0)</f>
        <v>104</v>
      </c>
      <c r="P1008" s="208">
        <f>IFERROR(__xludf.DUMMYFUNCTION("""COMPUTED_VALUE"""),0.0)</f>
        <v>0</v>
      </c>
      <c r="Q1008" s="276">
        <f>IFERROR(__xludf.DUMMYFUNCTION("""COMPUTED_VALUE"""),0.0015)</f>
        <v>0.0015</v>
      </c>
      <c r="R1008" s="276">
        <f>IFERROR(__xludf.DUMMYFUNCTION("""COMPUTED_VALUE"""),0.0)</f>
        <v>0</v>
      </c>
      <c r="S1008" s="208">
        <f>IFERROR(__xludf.DUMMYFUNCTION("""COMPUTED_VALUE"""),3.0)</f>
        <v>3</v>
      </c>
      <c r="T1008" s="208">
        <f>IFERROR(__xludf.DUMMYFUNCTION("""COMPUTED_VALUE"""),7.0)</f>
        <v>7</v>
      </c>
      <c r="U1008" s="275">
        <f>IFERROR(__xludf.DUMMYFUNCTION("""COMPUTED_VALUE"""),61328.0)</f>
        <v>61328</v>
      </c>
      <c r="V1008" s="234" t="str">
        <f>IFERROR(__xludf.DUMMYFUNCTION("""COMPUTED_VALUE"""),"online")</f>
        <v>online</v>
      </c>
      <c r="W1008" s="232" t="str">
        <f>IFERROR(__xludf.DUMMYFUNCTION("""COMPUTED_VALUE"""),"Sms")</f>
        <v>Sms</v>
      </c>
      <c r="X1008" s="232" t="str">
        <f>IFERROR(__xludf.DUMMYFUNCTION("""COMPUTED_VALUE"""),"Churned")</f>
        <v>Churned</v>
      </c>
      <c r="Y1008" s="232" t="str">
        <f>IFERROR(__xludf.DUMMYFUNCTION("""COMPUTED_VALUE"""),"27 June")</f>
        <v>27 June</v>
      </c>
      <c r="Z1008" s="232" t="str">
        <f>IFERROR(__xludf.DUMMYFUNCTION("""COMPUTED_VALUE"""),"6a3ba70892e5522d7e837d69")</f>
        <v>6a3ba70892e5522d7e837d69</v>
      </c>
      <c r="AA1008" s="277">
        <f>IFERROR(__xludf.DUMMYFUNCTION("""COMPUTED_VALUE"""),10.0)</f>
        <v>10</v>
      </c>
      <c r="AB1008" s="277">
        <f>IFERROR(__xludf.DUMMYFUNCTION("""COMPUTED_VALUE"""),10.0)</f>
        <v>10</v>
      </c>
      <c r="AC1008" s="277"/>
      <c r="AD1008" s="277">
        <f>IFERROR(__xludf.DUMMYFUNCTION("""COMPUTED_VALUE"""),16644.0)</f>
        <v>16644</v>
      </c>
      <c r="AE1008" s="277">
        <f>IFERROR(__xludf.DUMMYFUNCTION("""COMPUTED_VALUE"""),16644.0)</f>
        <v>16644</v>
      </c>
      <c r="AF1008" s="277"/>
      <c r="AG1008" s="208"/>
      <c r="AH1008" s="208"/>
      <c r="AI1008" s="208"/>
      <c r="AJ1008" s="208"/>
      <c r="AK1008" s="208"/>
    </row>
    <row r="1009" hidden="1">
      <c r="A1009" s="288">
        <f>IFERROR(__xludf.DUMMYFUNCTION("""COMPUTED_VALUE"""),46201.0)</f>
        <v>46201</v>
      </c>
      <c r="B1009" s="274">
        <f>IFERROR(__xludf.DUMMYFUNCTION("""COMPUTED_VALUE"""),0.75)</f>
        <v>0.75</v>
      </c>
      <c r="C1009" s="208" t="str">
        <f>IFERROR(__xludf.DUMMYFUNCTION("""COMPUTED_VALUE"""),"Sms")</f>
        <v>Sms</v>
      </c>
      <c r="D1009" s="208" t="str">
        <f>IFERROR(__xludf.DUMMYFUNCTION("""COMPUTED_VALUE"""),"Fallback campaign")</f>
        <v>Fallback campaign</v>
      </c>
      <c r="E1009" s="208" t="str">
        <f>IFERROR(__xludf.DUMMYFUNCTION("""COMPUTED_VALUE"""),"BBW")</f>
        <v>BBW</v>
      </c>
      <c r="F1009" s="208" t="str">
        <f>IFERROR(__xludf.DUMMYFUNCTION("""COMPUTED_VALUE"""),"SAS - June 2026")</f>
        <v>SAS - June 2026</v>
      </c>
      <c r="G1009" s="208" t="str">
        <f>IFERROR(__xludf.DUMMYFUNCTION("""COMPUTED_VALUE"""),"bbw_smsfb_sas_handsoaps_28june_atc_online")</f>
        <v>bbw_smsfb_sas_handsoaps_28june_atc_online</v>
      </c>
      <c r="H1009" s="232" t="str">
        <f>IFERROR(__xludf.DUMMYFUNCTION("""COMPUTED_VALUE"""),"BBW_ON_ATC_HS_HC_Value_999")</f>
        <v>BBW_ON_ATC_HS_HC_Value_999</v>
      </c>
      <c r="I1009" s="233" t="str">
        <f>IFERROR(__xludf.DUMMYFUNCTION("""COMPUTED_VALUE"""),"WA Undelivered")</f>
        <v>WA Undelivered</v>
      </c>
      <c r="J1009" s="275">
        <f>IFERROR(__xludf.DUMMYFUNCTION("""COMPUTED_VALUE"""),1553.0)</f>
        <v>1553</v>
      </c>
      <c r="K1009" s="275">
        <f>IFERROR(__xludf.DUMMYFUNCTION("""COMPUTED_VALUE"""),911.0)</f>
        <v>911</v>
      </c>
      <c r="L1009" s="276">
        <f>IFERROR(__xludf.DUMMYFUNCTION("""COMPUTED_VALUE"""),0.5866)</f>
        <v>0.5866</v>
      </c>
      <c r="M1009" s="275">
        <f>IFERROR(__xludf.DUMMYFUNCTION("""COMPUTED_VALUE"""),0.0)</f>
        <v>0</v>
      </c>
      <c r="N1009" s="276">
        <f>IFERROR(__xludf.DUMMYFUNCTION("""COMPUTED_VALUE"""),0.0)</f>
        <v>0</v>
      </c>
      <c r="O1009" s="208">
        <f>IFERROR(__xludf.DUMMYFUNCTION("""COMPUTED_VALUE"""),4.0)</f>
        <v>4</v>
      </c>
      <c r="P1009" s="208">
        <f>IFERROR(__xludf.DUMMYFUNCTION("""COMPUTED_VALUE"""),0.0)</f>
        <v>0</v>
      </c>
      <c r="Q1009" s="276">
        <f>IFERROR(__xludf.DUMMYFUNCTION("""COMPUTED_VALUE"""),0.0044)</f>
        <v>0.0044</v>
      </c>
      <c r="R1009" s="276">
        <f>IFERROR(__xludf.DUMMYFUNCTION("""COMPUTED_VALUE"""),0.0)</f>
        <v>0</v>
      </c>
      <c r="S1009" s="208">
        <f>IFERROR(__xludf.DUMMYFUNCTION("""COMPUTED_VALUE"""),0.0)</f>
        <v>0</v>
      </c>
      <c r="T1009" s="208">
        <f>IFERROR(__xludf.DUMMYFUNCTION("""COMPUTED_VALUE"""),6.0)</f>
        <v>6</v>
      </c>
      <c r="U1009" s="275">
        <f>IFERROR(__xludf.DUMMYFUNCTION("""COMPUTED_VALUE"""),0.0)</f>
        <v>0</v>
      </c>
      <c r="V1009" s="234" t="str">
        <f>IFERROR(__xludf.DUMMYFUNCTION("""COMPUTED_VALUE"""),"online")</f>
        <v>online</v>
      </c>
      <c r="W1009" s="232" t="str">
        <f>IFERROR(__xludf.DUMMYFUNCTION("""COMPUTED_VALUE"""),"Sms")</f>
        <v>Sms</v>
      </c>
      <c r="X1009" s="232" t="str">
        <f>IFERROR(__xludf.DUMMYFUNCTION("""COMPUTED_VALUE"""),"Add to Cart")</f>
        <v>Add to Cart</v>
      </c>
      <c r="Y1009" s="232" t="str">
        <f>IFERROR(__xludf.DUMMYFUNCTION("""COMPUTED_VALUE"""),"28 June")</f>
        <v>28 June</v>
      </c>
      <c r="Z1009" s="232" t="str">
        <f>IFERROR(__xludf.DUMMYFUNCTION("""COMPUTED_VALUE"""),"6a3cf91b946680d2fffb7fc3")</f>
        <v>6a3cf91b946680d2fffb7fc3</v>
      </c>
      <c r="AA1009" s="277">
        <f>IFERROR(__xludf.DUMMYFUNCTION("""COMPUTED_VALUE"""),5.0)</f>
        <v>5</v>
      </c>
      <c r="AB1009" s="277">
        <f>IFERROR(__xludf.DUMMYFUNCTION("""COMPUTED_VALUE"""),5.0)</f>
        <v>5</v>
      </c>
      <c r="AC1009" s="277"/>
      <c r="AD1009" s="277">
        <f>IFERROR(__xludf.DUMMYFUNCTION("""COMPUTED_VALUE"""),13895.0)</f>
        <v>13895</v>
      </c>
      <c r="AE1009" s="277">
        <f>IFERROR(__xludf.DUMMYFUNCTION("""COMPUTED_VALUE"""),13895.0)</f>
        <v>13895</v>
      </c>
      <c r="AF1009" s="277"/>
      <c r="AG1009" s="208"/>
      <c r="AH1009" s="208"/>
      <c r="AI1009" s="208"/>
      <c r="AJ1009" s="208"/>
      <c r="AK1009" s="208"/>
    </row>
    <row r="1010" hidden="1">
      <c r="A1010" s="288">
        <f>IFERROR(__xludf.DUMMYFUNCTION("""COMPUTED_VALUE"""),46201.0)</f>
        <v>46201</v>
      </c>
      <c r="B1010" s="274">
        <f>IFERROR(__xludf.DUMMYFUNCTION("""COMPUTED_VALUE"""),0.75)</f>
        <v>0.75</v>
      </c>
      <c r="C1010" s="208" t="str">
        <f>IFERROR(__xludf.DUMMYFUNCTION("""COMPUTED_VALUE"""),"Sms")</f>
        <v>Sms</v>
      </c>
      <c r="D1010" s="208" t="str">
        <f>IFERROR(__xludf.DUMMYFUNCTION("""COMPUTED_VALUE"""),"Fallback campaign")</f>
        <v>Fallback campaign</v>
      </c>
      <c r="E1010" s="208" t="str">
        <f>IFERROR(__xludf.DUMMYFUNCTION("""COMPUTED_VALUE"""),"BBW")</f>
        <v>BBW</v>
      </c>
      <c r="F1010" s="208" t="str">
        <f>IFERROR(__xludf.DUMMYFUNCTION("""COMPUTED_VALUE"""),"SAS - June 2026")</f>
        <v>SAS - June 2026</v>
      </c>
      <c r="G1010" s="208" t="str">
        <f>IFERROR(__xludf.DUMMYFUNCTION("""COMPUTED_VALUE"""),"bbw_smsfb_sas_handsoaps_28june_active_on&amp;off")</f>
        <v>bbw_smsfb_sas_handsoaps_28june_active_on&amp;off</v>
      </c>
      <c r="H1010" s="232" t="str">
        <f>IFERROR(__xludf.DUMMYFUNCTION("""COMPUTED_VALUE"""),"BBW_ON_OFF_ACTIVE_HS_HC")</f>
        <v>BBW_ON_OFF_ACTIVE_HS_HC</v>
      </c>
      <c r="I1010" s="233" t="str">
        <f>IFERROR(__xludf.DUMMYFUNCTION("""COMPUTED_VALUE"""),"WA Undelivered")</f>
        <v>WA Undelivered</v>
      </c>
      <c r="J1010" s="275">
        <f>IFERROR(__xludf.DUMMYFUNCTION("""COMPUTED_VALUE"""),25143.0)</f>
        <v>25143</v>
      </c>
      <c r="K1010" s="275">
        <f>IFERROR(__xludf.DUMMYFUNCTION("""COMPUTED_VALUE"""),13126.0)</f>
        <v>13126</v>
      </c>
      <c r="L1010" s="276">
        <f>IFERROR(__xludf.DUMMYFUNCTION("""COMPUTED_VALUE"""),0.5221)</f>
        <v>0.5221</v>
      </c>
      <c r="M1010" s="275">
        <f>IFERROR(__xludf.DUMMYFUNCTION("""COMPUTED_VALUE"""),0.0)</f>
        <v>0</v>
      </c>
      <c r="N1010" s="276">
        <f>IFERROR(__xludf.DUMMYFUNCTION("""COMPUTED_VALUE"""),0.0)</f>
        <v>0</v>
      </c>
      <c r="O1010" s="208">
        <f>IFERROR(__xludf.DUMMYFUNCTION("""COMPUTED_VALUE"""),23.0)</f>
        <v>23</v>
      </c>
      <c r="P1010" s="208">
        <f>IFERROR(__xludf.DUMMYFUNCTION("""COMPUTED_VALUE"""),0.0)</f>
        <v>0</v>
      </c>
      <c r="Q1010" s="276">
        <f>IFERROR(__xludf.DUMMYFUNCTION("""COMPUTED_VALUE"""),0.0018)</f>
        <v>0.0018</v>
      </c>
      <c r="R1010" s="276">
        <f>IFERROR(__xludf.DUMMYFUNCTION("""COMPUTED_VALUE"""),0.0)</f>
        <v>0</v>
      </c>
      <c r="S1010" s="208">
        <f>IFERROR(__xludf.DUMMYFUNCTION("""COMPUTED_VALUE"""),0.0)</f>
        <v>0</v>
      </c>
      <c r="T1010" s="208">
        <f>IFERROR(__xludf.DUMMYFUNCTION("""COMPUTED_VALUE"""),0.0)</f>
        <v>0</v>
      </c>
      <c r="U1010" s="275">
        <f>IFERROR(__xludf.DUMMYFUNCTION("""COMPUTED_VALUE"""),0.0)</f>
        <v>0</v>
      </c>
      <c r="V1010" s="234" t="str">
        <f>IFERROR(__xludf.DUMMYFUNCTION("""COMPUTED_VALUE"""),"overall")</f>
        <v>overall</v>
      </c>
      <c r="W1010" s="232" t="str">
        <f>IFERROR(__xludf.DUMMYFUNCTION("""COMPUTED_VALUE"""),"Sms")</f>
        <v>Sms</v>
      </c>
      <c r="X1010" s="232" t="str">
        <f>IFERROR(__xludf.DUMMYFUNCTION("""COMPUTED_VALUE"""),"Active")</f>
        <v>Active</v>
      </c>
      <c r="Y1010" s="232" t="str">
        <f>IFERROR(__xludf.DUMMYFUNCTION("""COMPUTED_VALUE"""),"28 June")</f>
        <v>28 June</v>
      </c>
      <c r="Z1010" s="232" t="str">
        <f>IFERROR(__xludf.DUMMYFUNCTION("""COMPUTED_VALUE"""),"6a3cf9cb91a11643c6b6e19c")</f>
        <v>6a3cf9cb91a11643c6b6e19c</v>
      </c>
      <c r="AA1010" s="277">
        <f>IFERROR(__xludf.DUMMYFUNCTION("""COMPUTED_VALUE"""),68.0)</f>
        <v>68</v>
      </c>
      <c r="AB1010" s="277">
        <f>IFERROR(__xludf.DUMMYFUNCTION("""COMPUTED_VALUE"""),5.0)</f>
        <v>5</v>
      </c>
      <c r="AC1010" s="277">
        <f>IFERROR(__xludf.DUMMYFUNCTION("""COMPUTED_VALUE"""),63.0)</f>
        <v>63</v>
      </c>
      <c r="AD1010" s="277">
        <f>IFERROR(__xludf.DUMMYFUNCTION("""COMPUTED_VALUE"""),315541.0)</f>
        <v>315541</v>
      </c>
      <c r="AE1010" s="277">
        <f>IFERROR(__xludf.DUMMYFUNCTION("""COMPUTED_VALUE"""),9855.0)</f>
        <v>9855</v>
      </c>
      <c r="AF1010" s="277">
        <f>IFERROR(__xludf.DUMMYFUNCTION("""COMPUTED_VALUE"""),305686.0)</f>
        <v>305686</v>
      </c>
      <c r="AG1010" s="208"/>
      <c r="AH1010" s="208"/>
      <c r="AI1010" s="208"/>
      <c r="AJ1010" s="208"/>
      <c r="AK1010" s="208"/>
    </row>
    <row r="1011" hidden="1">
      <c r="A1011" s="288">
        <f>IFERROR(__xludf.DUMMYFUNCTION("""COMPUTED_VALUE"""),46201.0)</f>
        <v>46201</v>
      </c>
      <c r="B1011" s="274">
        <f>IFERROR(__xludf.DUMMYFUNCTION("""COMPUTED_VALUE"""),0.75)</f>
        <v>0.75</v>
      </c>
      <c r="C1011" s="208" t="str">
        <f>IFERROR(__xludf.DUMMYFUNCTION("""COMPUTED_VALUE"""),"Sms")</f>
        <v>Sms</v>
      </c>
      <c r="D1011" s="208" t="str">
        <f>IFERROR(__xludf.DUMMYFUNCTION("""COMPUTED_VALUE"""),"Fallback campaign")</f>
        <v>Fallback campaign</v>
      </c>
      <c r="E1011" s="208" t="str">
        <f>IFERROR(__xludf.DUMMYFUNCTION("""COMPUTED_VALUE"""),"BBW")</f>
        <v>BBW</v>
      </c>
      <c r="F1011" s="208" t="str">
        <f>IFERROR(__xludf.DUMMYFUNCTION("""COMPUTED_VALUE"""),"SAS - June 2026")</f>
        <v>SAS - June 2026</v>
      </c>
      <c r="G1011" s="208" t="str">
        <f>IFERROR(__xludf.DUMMYFUNCTION("""COMPUTED_VALUE"""),"bbw_smsfb_sas_handsoaps_28june_dormant_on&amp;off")</f>
        <v>bbw_smsfb_sas_handsoaps_28june_dormant_on&amp;off</v>
      </c>
      <c r="H1011" s="232" t="str">
        <f>IFERROR(__xludf.DUMMYFUNCTION("""COMPUTED_VALUE"""),"BBW_ON_OFF_DORM_HS_HC")</f>
        <v>BBW_ON_OFF_DORM_HS_HC</v>
      </c>
      <c r="I1011" s="233" t="str">
        <f>IFERROR(__xludf.DUMMYFUNCTION("""COMPUTED_VALUE"""),"WA Undelivered")</f>
        <v>WA Undelivered</v>
      </c>
      <c r="J1011" s="275">
        <f>IFERROR(__xludf.DUMMYFUNCTION("""COMPUTED_VALUE"""),16570.0)</f>
        <v>16570</v>
      </c>
      <c r="K1011" s="275">
        <f>IFERROR(__xludf.DUMMYFUNCTION("""COMPUTED_VALUE"""),8488.0)</f>
        <v>8488</v>
      </c>
      <c r="L1011" s="276">
        <f>IFERROR(__xludf.DUMMYFUNCTION("""COMPUTED_VALUE"""),0.5123)</f>
        <v>0.5123</v>
      </c>
      <c r="M1011" s="275">
        <f>IFERROR(__xludf.DUMMYFUNCTION("""COMPUTED_VALUE"""),0.0)</f>
        <v>0</v>
      </c>
      <c r="N1011" s="276">
        <f>IFERROR(__xludf.DUMMYFUNCTION("""COMPUTED_VALUE"""),0.0)</f>
        <v>0</v>
      </c>
      <c r="O1011" s="208">
        <f>IFERROR(__xludf.DUMMYFUNCTION("""COMPUTED_VALUE"""),22.0)</f>
        <v>22</v>
      </c>
      <c r="P1011" s="208">
        <f>IFERROR(__xludf.DUMMYFUNCTION("""COMPUTED_VALUE"""),0.0)</f>
        <v>0</v>
      </c>
      <c r="Q1011" s="276">
        <f>IFERROR(__xludf.DUMMYFUNCTION("""COMPUTED_VALUE"""),0.0026)</f>
        <v>0.0026</v>
      </c>
      <c r="R1011" s="276">
        <f>IFERROR(__xludf.DUMMYFUNCTION("""COMPUTED_VALUE"""),0.0)</f>
        <v>0</v>
      </c>
      <c r="S1011" s="208">
        <f>IFERROR(__xludf.DUMMYFUNCTION("""COMPUTED_VALUE"""),1.0)</f>
        <v>1</v>
      </c>
      <c r="T1011" s="208">
        <f>IFERROR(__xludf.DUMMYFUNCTION("""COMPUTED_VALUE"""),1.0)</f>
        <v>1</v>
      </c>
      <c r="U1011" s="275">
        <f>IFERROR(__xludf.DUMMYFUNCTION("""COMPUTED_VALUE"""),2499.0)</f>
        <v>2499</v>
      </c>
      <c r="V1011" s="234" t="str">
        <f>IFERROR(__xludf.DUMMYFUNCTION("""COMPUTED_VALUE"""),"overall")</f>
        <v>overall</v>
      </c>
      <c r="W1011" s="232" t="str">
        <f>IFERROR(__xludf.DUMMYFUNCTION("""COMPUTED_VALUE"""),"Sms")</f>
        <v>Sms</v>
      </c>
      <c r="X1011" s="232" t="str">
        <f>IFERROR(__xludf.DUMMYFUNCTION("""COMPUTED_VALUE"""),"Dormant")</f>
        <v>Dormant</v>
      </c>
      <c r="Y1011" s="232" t="str">
        <f>IFERROR(__xludf.DUMMYFUNCTION("""COMPUTED_VALUE"""),"28 June")</f>
        <v>28 June</v>
      </c>
      <c r="Z1011" s="232" t="str">
        <f>IFERROR(__xludf.DUMMYFUNCTION("""COMPUTED_VALUE"""),"6a3cfa2a7493735d6523a7aa")</f>
        <v>6a3cfa2a7493735d6523a7aa</v>
      </c>
      <c r="AA1011" s="277">
        <f>IFERROR(__xludf.DUMMYFUNCTION("""COMPUTED_VALUE"""),34.0)</f>
        <v>34</v>
      </c>
      <c r="AB1011" s="277">
        <f>IFERROR(__xludf.DUMMYFUNCTION("""COMPUTED_VALUE"""),9.0)</f>
        <v>9</v>
      </c>
      <c r="AC1011" s="277">
        <f>IFERROR(__xludf.DUMMYFUNCTION("""COMPUTED_VALUE"""),25.0)</f>
        <v>25</v>
      </c>
      <c r="AD1011" s="277">
        <f>IFERROR(__xludf.DUMMYFUNCTION("""COMPUTED_VALUE"""),120133.0)</f>
        <v>120133</v>
      </c>
      <c r="AE1011" s="277">
        <f>IFERROR(__xludf.DUMMYFUNCTION("""COMPUTED_VALUE"""),39229.0)</f>
        <v>39229</v>
      </c>
      <c r="AF1011" s="277">
        <f>IFERROR(__xludf.DUMMYFUNCTION("""COMPUTED_VALUE"""),80904.0)</f>
        <v>80904</v>
      </c>
      <c r="AG1011" s="208"/>
      <c r="AH1011" s="208"/>
      <c r="AI1011" s="208"/>
      <c r="AJ1011" s="208"/>
      <c r="AK1011" s="208"/>
    </row>
    <row r="1012" hidden="1">
      <c r="A1012" s="288">
        <f>IFERROR(__xludf.DUMMYFUNCTION("""COMPUTED_VALUE"""),46201.0)</f>
        <v>46201</v>
      </c>
      <c r="B1012" s="274">
        <f>IFERROR(__xludf.DUMMYFUNCTION("""COMPUTED_VALUE"""),0.75)</f>
        <v>0.75</v>
      </c>
      <c r="C1012" s="208" t="str">
        <f>IFERROR(__xludf.DUMMYFUNCTION("""COMPUTED_VALUE"""),"Sms")</f>
        <v>Sms</v>
      </c>
      <c r="D1012" s="208" t="str">
        <f>IFERROR(__xludf.DUMMYFUNCTION("""COMPUTED_VALUE"""),"Fallback campaign")</f>
        <v>Fallback campaign</v>
      </c>
      <c r="E1012" s="208" t="str">
        <f>IFERROR(__xludf.DUMMYFUNCTION("""COMPUTED_VALUE"""),"BBW")</f>
        <v>BBW</v>
      </c>
      <c r="F1012" s="208" t="str">
        <f>IFERROR(__xludf.DUMMYFUNCTION("""COMPUTED_VALUE"""),"SAS - June 2026")</f>
        <v>SAS - June 2026</v>
      </c>
      <c r="G1012" s="208" t="str">
        <f>IFERROR(__xludf.DUMMYFUNCTION("""COMPUTED_VALUE"""),"bbw_smsfb_sas_handsoaps_28june_predom800_online")</f>
        <v>bbw_smsfb_sas_handsoaps_28june_predom800_online</v>
      </c>
      <c r="H1012" s="232" t="str">
        <f>IFERROR(__xludf.DUMMYFUNCTION("""COMPUTED_VALUE"""),"BBW_ON_PREDOM_800_Below")</f>
        <v>BBW_ON_PREDOM_800_Below</v>
      </c>
      <c r="I1012" s="233" t="str">
        <f>IFERROR(__xludf.DUMMYFUNCTION("""COMPUTED_VALUE"""),"WA Undelivered")</f>
        <v>WA Undelivered</v>
      </c>
      <c r="J1012" s="275">
        <f>IFERROR(__xludf.DUMMYFUNCTION("""COMPUTED_VALUE"""),4546.0)</f>
        <v>4546</v>
      </c>
      <c r="K1012" s="275">
        <f>IFERROR(__xludf.DUMMYFUNCTION("""COMPUTED_VALUE"""),2847.0)</f>
        <v>2847</v>
      </c>
      <c r="L1012" s="276">
        <f>IFERROR(__xludf.DUMMYFUNCTION("""COMPUTED_VALUE"""),0.6263)</f>
        <v>0.6263</v>
      </c>
      <c r="M1012" s="275">
        <f>IFERROR(__xludf.DUMMYFUNCTION("""COMPUTED_VALUE"""),0.0)</f>
        <v>0</v>
      </c>
      <c r="N1012" s="276">
        <f>IFERROR(__xludf.DUMMYFUNCTION("""COMPUTED_VALUE"""),0.0)</f>
        <v>0</v>
      </c>
      <c r="O1012" s="208">
        <f>IFERROR(__xludf.DUMMYFUNCTION("""COMPUTED_VALUE"""),6.0)</f>
        <v>6</v>
      </c>
      <c r="P1012" s="208">
        <f>IFERROR(__xludf.DUMMYFUNCTION("""COMPUTED_VALUE"""),0.0)</f>
        <v>0</v>
      </c>
      <c r="Q1012" s="276">
        <f>IFERROR(__xludf.DUMMYFUNCTION("""COMPUTED_VALUE"""),0.0021)</f>
        <v>0.0021</v>
      </c>
      <c r="R1012" s="276">
        <f>IFERROR(__xludf.DUMMYFUNCTION("""COMPUTED_VALUE"""),0.0)</f>
        <v>0</v>
      </c>
      <c r="S1012" s="208">
        <f>IFERROR(__xludf.DUMMYFUNCTION("""COMPUTED_VALUE"""),1.0)</f>
        <v>1</v>
      </c>
      <c r="T1012" s="208">
        <f>IFERROR(__xludf.DUMMYFUNCTION("""COMPUTED_VALUE"""),0.0)</f>
        <v>0</v>
      </c>
      <c r="U1012" s="275">
        <f>IFERROR(__xludf.DUMMYFUNCTION("""COMPUTED_VALUE"""),1947.0)</f>
        <v>1947</v>
      </c>
      <c r="V1012" s="234" t="str">
        <f>IFERROR(__xludf.DUMMYFUNCTION("""COMPUTED_VALUE"""),"online")</f>
        <v>online</v>
      </c>
      <c r="W1012" s="232" t="str">
        <f>IFERROR(__xludf.DUMMYFUNCTION("""COMPUTED_VALUE"""),"Sms")</f>
        <v>Sms</v>
      </c>
      <c r="X1012" s="232" t="str">
        <f>IFERROR(__xludf.DUMMYFUNCTION("""COMPUTED_VALUE"""),"Predom Cart Value")</f>
        <v>Predom Cart Value</v>
      </c>
      <c r="Y1012" s="232" t="str">
        <f>IFERROR(__xludf.DUMMYFUNCTION("""COMPUTED_VALUE"""),"28 June")</f>
        <v>28 June</v>
      </c>
      <c r="Z1012" s="232" t="str">
        <f>IFERROR(__xludf.DUMMYFUNCTION("""COMPUTED_VALUE"""),"6a3cfac4c34728b596df43e5")</f>
        <v>6a3cfac4c34728b596df43e5</v>
      </c>
      <c r="AA1012" s="277">
        <f>IFERROR(__xludf.DUMMYFUNCTION("""COMPUTED_VALUE"""),1.0)</f>
        <v>1</v>
      </c>
      <c r="AB1012" s="277">
        <f>IFERROR(__xludf.DUMMYFUNCTION("""COMPUTED_VALUE"""),1.0)</f>
        <v>1</v>
      </c>
      <c r="AC1012" s="277"/>
      <c r="AD1012" s="277">
        <f>IFERROR(__xludf.DUMMYFUNCTION("""COMPUTED_VALUE"""),1947.0)</f>
        <v>1947</v>
      </c>
      <c r="AE1012" s="277">
        <f>IFERROR(__xludf.DUMMYFUNCTION("""COMPUTED_VALUE"""),1947.0)</f>
        <v>1947</v>
      </c>
      <c r="AF1012" s="277"/>
      <c r="AG1012" s="208"/>
      <c r="AH1012" s="208"/>
      <c r="AI1012" s="208"/>
      <c r="AJ1012" s="208"/>
      <c r="AK1012" s="208"/>
    </row>
    <row r="1013" hidden="1">
      <c r="A1013" s="288">
        <f>IFERROR(__xludf.DUMMYFUNCTION("""COMPUTED_VALUE"""),46201.0)</f>
        <v>46201</v>
      </c>
      <c r="B1013" s="274">
        <f>IFERROR(__xludf.DUMMYFUNCTION("""COMPUTED_VALUE"""),0.75)</f>
        <v>0.75</v>
      </c>
      <c r="C1013" s="208" t="str">
        <f>IFERROR(__xludf.DUMMYFUNCTION("""COMPUTED_VALUE"""),"Sms")</f>
        <v>Sms</v>
      </c>
      <c r="D1013" s="208" t="str">
        <f>IFERROR(__xludf.DUMMYFUNCTION("""COMPUTED_VALUE"""),"Fallback campaign")</f>
        <v>Fallback campaign</v>
      </c>
      <c r="E1013" s="208" t="str">
        <f>IFERROR(__xludf.DUMMYFUNCTION("""COMPUTED_VALUE"""),"BBW")</f>
        <v>BBW</v>
      </c>
      <c r="F1013" s="208" t="str">
        <f>IFERROR(__xludf.DUMMYFUNCTION("""COMPUTED_VALUE"""),"SAS - June 2026")</f>
        <v>SAS - June 2026</v>
      </c>
      <c r="G1013" s="208" t="str">
        <f>IFERROR(__xludf.DUMMYFUNCTION("""COMPUTED_VALUE"""),"bbw_smsfb_sas_handsoaps_28june_event_online")</f>
        <v>bbw_smsfb_sas_handsoaps_28june_event_online</v>
      </c>
      <c r="H1013" s="232" t="str">
        <f>IFERROR(__xludf.DUMMYFUNCTION("""COMPUTED_VALUE"""),"BBW_ON_HS_Event_Buyers")</f>
        <v>BBW_ON_HS_Event_Buyers</v>
      </c>
      <c r="I1013" s="233" t="str">
        <f>IFERROR(__xludf.DUMMYFUNCTION("""COMPUTED_VALUE"""),"WA Undelivered")</f>
        <v>WA Undelivered</v>
      </c>
      <c r="J1013" s="275">
        <f>IFERROR(__xludf.DUMMYFUNCTION("""COMPUTED_VALUE"""),1101.0)</f>
        <v>1101</v>
      </c>
      <c r="K1013" s="275">
        <f>IFERROR(__xludf.DUMMYFUNCTION("""COMPUTED_VALUE"""),608.0)</f>
        <v>608</v>
      </c>
      <c r="L1013" s="276">
        <f>IFERROR(__xludf.DUMMYFUNCTION("""COMPUTED_VALUE"""),0.5522)</f>
        <v>0.5522</v>
      </c>
      <c r="M1013" s="275">
        <f>IFERROR(__xludf.DUMMYFUNCTION("""COMPUTED_VALUE"""),0.0)</f>
        <v>0</v>
      </c>
      <c r="N1013" s="276">
        <f>IFERROR(__xludf.DUMMYFUNCTION("""COMPUTED_VALUE"""),0.0)</f>
        <v>0</v>
      </c>
      <c r="O1013" s="208">
        <f>IFERROR(__xludf.DUMMYFUNCTION("""COMPUTED_VALUE"""),1.0)</f>
        <v>1</v>
      </c>
      <c r="P1013" s="208">
        <f>IFERROR(__xludf.DUMMYFUNCTION("""COMPUTED_VALUE"""),0.0)</f>
        <v>0</v>
      </c>
      <c r="Q1013" s="276">
        <f>IFERROR(__xludf.DUMMYFUNCTION("""COMPUTED_VALUE"""),0.0016)</f>
        <v>0.0016</v>
      </c>
      <c r="R1013" s="276">
        <f>IFERROR(__xludf.DUMMYFUNCTION("""COMPUTED_VALUE"""),0.0)</f>
        <v>0</v>
      </c>
      <c r="S1013" s="208">
        <f>IFERROR(__xludf.DUMMYFUNCTION("""COMPUTED_VALUE"""),0.0)</f>
        <v>0</v>
      </c>
      <c r="T1013" s="208">
        <f>IFERROR(__xludf.DUMMYFUNCTION("""COMPUTED_VALUE"""),0.0)</f>
        <v>0</v>
      </c>
      <c r="U1013" s="275">
        <f>IFERROR(__xludf.DUMMYFUNCTION("""COMPUTED_VALUE"""),0.0)</f>
        <v>0</v>
      </c>
      <c r="V1013" s="234" t="str">
        <f>IFERROR(__xludf.DUMMYFUNCTION("""COMPUTED_VALUE"""),"online")</f>
        <v>online</v>
      </c>
      <c r="W1013" s="232" t="str">
        <f>IFERROR(__xludf.DUMMYFUNCTION("""COMPUTED_VALUE"""),"Sms")</f>
        <v>Sms</v>
      </c>
      <c r="X1013" s="232" t="str">
        <f>IFERROR(__xludf.DUMMYFUNCTION("""COMPUTED_VALUE"""),"Event Buyers")</f>
        <v>Event Buyers</v>
      </c>
      <c r="Y1013" s="232" t="str">
        <f>IFERROR(__xludf.DUMMYFUNCTION("""COMPUTED_VALUE"""),"28 June")</f>
        <v>28 June</v>
      </c>
      <c r="Z1013" s="232" t="str">
        <f>IFERROR(__xludf.DUMMYFUNCTION("""COMPUTED_VALUE"""),"6a3cfeac48b27fd1e4a04eb5")</f>
        <v>6a3cfeac48b27fd1e4a04eb5</v>
      </c>
      <c r="AA1013" s="277">
        <f>IFERROR(__xludf.DUMMYFUNCTION("""COMPUTED_VALUE"""),1.0)</f>
        <v>1</v>
      </c>
      <c r="AB1013" s="277">
        <f>IFERROR(__xludf.DUMMYFUNCTION("""COMPUTED_VALUE"""),1.0)</f>
        <v>1</v>
      </c>
      <c r="AC1013" s="277"/>
      <c r="AD1013" s="277">
        <f>IFERROR(__xludf.DUMMYFUNCTION("""COMPUTED_VALUE"""),1360.0)</f>
        <v>1360</v>
      </c>
      <c r="AE1013" s="277">
        <f>IFERROR(__xludf.DUMMYFUNCTION("""COMPUTED_VALUE"""),1360.0)</f>
        <v>1360</v>
      </c>
      <c r="AF1013" s="277"/>
      <c r="AG1013" s="208"/>
      <c r="AH1013" s="208"/>
      <c r="AI1013" s="208"/>
      <c r="AJ1013" s="208"/>
      <c r="AK1013" s="208"/>
    </row>
    <row r="1014" hidden="1">
      <c r="A1014" s="288">
        <f>IFERROR(__xludf.DUMMYFUNCTION("""COMPUTED_VALUE"""),46201.0)</f>
        <v>46201</v>
      </c>
      <c r="B1014" s="274">
        <f>IFERROR(__xludf.DUMMYFUNCTION("""COMPUTED_VALUE"""),0.5)</f>
        <v>0.5</v>
      </c>
      <c r="C1014" s="208" t="str">
        <f>IFERROR(__xludf.DUMMYFUNCTION("""COMPUTED_VALUE"""),"Sms")</f>
        <v>Sms</v>
      </c>
      <c r="D1014" s="208" t="str">
        <f>IFERROR(__xludf.DUMMYFUNCTION("""COMPUTED_VALUE"""),"Fallback campaign")</f>
        <v>Fallback campaign</v>
      </c>
      <c r="E1014" s="208" t="str">
        <f>IFERROR(__xludf.DUMMYFUNCTION("""COMPUTED_VALUE"""),"BBW")</f>
        <v>BBW</v>
      </c>
      <c r="F1014" s="208" t="str">
        <f>IFERROR(__xludf.DUMMYFUNCTION("""COMPUTED_VALUE"""),"SAS - June 2026")</f>
        <v>SAS - June 2026</v>
      </c>
      <c r="G1014" s="208" t="str">
        <f>IFERROR(__xludf.DUMMYFUNCTION("""COMPUTED_VALUE"""),"bbw_smsfb_sas_dormant_27june_offline")</f>
        <v>bbw_smsfb_sas_dormant_27june_offline</v>
      </c>
      <c r="H1014" s="232" t="str">
        <f>IFERROR(__xludf.DUMMYFUNCTION("""COMPUTED_VALUE"""),"BBW_OFF_Dorm235_EOSS_26")</f>
        <v>BBW_OFF_Dorm235_EOSS_26</v>
      </c>
      <c r="I1014" s="233" t="str">
        <f>IFERROR(__xludf.DUMMYFUNCTION("""COMPUTED_VALUE"""),"WA Undelivered")</f>
        <v>WA Undelivered</v>
      </c>
      <c r="J1014" s="275">
        <f>IFERROR(__xludf.DUMMYFUNCTION("""COMPUTED_VALUE"""),83539.0)</f>
        <v>83539</v>
      </c>
      <c r="K1014" s="275">
        <f>IFERROR(__xludf.DUMMYFUNCTION("""COMPUTED_VALUE"""),56251.0)</f>
        <v>56251</v>
      </c>
      <c r="L1014" s="276">
        <f>IFERROR(__xludf.DUMMYFUNCTION("""COMPUTED_VALUE"""),0.6734)</f>
        <v>0.6734</v>
      </c>
      <c r="M1014" s="275">
        <f>IFERROR(__xludf.DUMMYFUNCTION("""COMPUTED_VALUE"""),0.0)</f>
        <v>0</v>
      </c>
      <c r="N1014" s="276">
        <f>IFERROR(__xludf.DUMMYFUNCTION("""COMPUTED_VALUE"""),0.0)</f>
        <v>0</v>
      </c>
      <c r="O1014" s="208">
        <f>IFERROR(__xludf.DUMMYFUNCTION("""COMPUTED_VALUE"""),59.0)</f>
        <v>59</v>
      </c>
      <c r="P1014" s="208">
        <f>IFERROR(__xludf.DUMMYFUNCTION("""COMPUTED_VALUE"""),0.0)</f>
        <v>0</v>
      </c>
      <c r="Q1014" s="276">
        <f>IFERROR(__xludf.DUMMYFUNCTION("""COMPUTED_VALUE"""),0.001)</f>
        <v>0.001</v>
      </c>
      <c r="R1014" s="276">
        <f>IFERROR(__xludf.DUMMYFUNCTION("""COMPUTED_VALUE"""),0.0)</f>
        <v>0</v>
      </c>
      <c r="S1014" s="208">
        <f>IFERROR(__xludf.DUMMYFUNCTION("""COMPUTED_VALUE"""),1.0)</f>
        <v>1</v>
      </c>
      <c r="T1014" s="208">
        <f>IFERROR(__xludf.DUMMYFUNCTION("""COMPUTED_VALUE"""),6.0)</f>
        <v>6</v>
      </c>
      <c r="U1014" s="275">
        <f>IFERROR(__xludf.DUMMYFUNCTION("""COMPUTED_VALUE"""),1088.0)</f>
        <v>1088</v>
      </c>
      <c r="V1014" s="234" t="str">
        <f>IFERROR(__xludf.DUMMYFUNCTION("""COMPUTED_VALUE"""),"offline")</f>
        <v>offline</v>
      </c>
      <c r="W1014" s="232" t="str">
        <f>IFERROR(__xludf.DUMMYFUNCTION("""COMPUTED_VALUE"""),"Sms")</f>
        <v>Sms</v>
      </c>
      <c r="X1014" s="232" t="str">
        <f>IFERROR(__xludf.DUMMYFUNCTION("""COMPUTED_VALUE"""),"Dormant")</f>
        <v>Dormant</v>
      </c>
      <c r="Y1014" s="232" t="str">
        <f>IFERROR(__xludf.DUMMYFUNCTION("""COMPUTED_VALUE"""),"28 June")</f>
        <v>28 June</v>
      </c>
      <c r="Z1014" s="232" t="str">
        <f>IFERROR(__xludf.DUMMYFUNCTION("""COMPUTED_VALUE"""),"6a3cff049c7f38f881556204")</f>
        <v>6a3cff049c7f38f881556204</v>
      </c>
      <c r="AA1014" s="277">
        <f>IFERROR(__xludf.DUMMYFUNCTION("""COMPUTED_VALUE"""),153.0)</f>
        <v>153</v>
      </c>
      <c r="AB1014" s="277"/>
      <c r="AC1014" s="277">
        <f>IFERROR(__xludf.DUMMYFUNCTION("""COMPUTED_VALUE"""),153.0)</f>
        <v>153</v>
      </c>
      <c r="AD1014" s="277">
        <f>IFERROR(__xludf.DUMMYFUNCTION("""COMPUTED_VALUE"""),553506.0)</f>
        <v>553506</v>
      </c>
      <c r="AE1014" s="277"/>
      <c r="AF1014" s="277">
        <f>IFERROR(__xludf.DUMMYFUNCTION("""COMPUTED_VALUE"""),553506.0)</f>
        <v>553506</v>
      </c>
      <c r="AG1014" s="208"/>
      <c r="AH1014" s="208"/>
      <c r="AI1014" s="208"/>
      <c r="AJ1014" s="208"/>
      <c r="AK1014" s="208"/>
    </row>
    <row r="1015" hidden="1">
      <c r="A1015" s="288">
        <f>IFERROR(__xludf.DUMMYFUNCTION("""COMPUTED_VALUE"""),46201.0)</f>
        <v>46201</v>
      </c>
      <c r="B1015" s="274">
        <f>IFERROR(__xludf.DUMMYFUNCTION("""COMPUTED_VALUE"""),0.5)</f>
        <v>0.5</v>
      </c>
      <c r="C1015" s="208" t="str">
        <f>IFERROR(__xludf.DUMMYFUNCTION("""COMPUTED_VALUE"""),"Sms")</f>
        <v>Sms</v>
      </c>
      <c r="D1015" s="208" t="str">
        <f>IFERROR(__xludf.DUMMYFUNCTION("""COMPUTED_VALUE"""),"Fallback campaign")</f>
        <v>Fallback campaign</v>
      </c>
      <c r="E1015" s="208" t="str">
        <f>IFERROR(__xludf.DUMMYFUNCTION("""COMPUTED_VALUE"""),"BBW")</f>
        <v>BBW</v>
      </c>
      <c r="F1015" s="208" t="str">
        <f>IFERROR(__xludf.DUMMYFUNCTION("""COMPUTED_VALUE"""),"SAS - June 2026")</f>
        <v>SAS - June 2026</v>
      </c>
      <c r="G1015" s="208" t="str">
        <f>IFERROR(__xludf.DUMMYFUNCTION("""COMPUTED_VALUE"""),"bbw_smsfb_sas_dormantv2_27june_offline")</f>
        <v>bbw_smsfb_sas_dormantv2_27june_offline</v>
      </c>
      <c r="H1015" s="232" t="str">
        <f>IFERROR(__xludf.DUMMYFUNCTION("""COMPUTED_VALUE"""),"BBW_OFF_Dorm365_EOSS_26")</f>
        <v>BBW_OFF_Dorm365_EOSS_26</v>
      </c>
      <c r="I1015" s="233" t="str">
        <f>IFERROR(__xludf.DUMMYFUNCTION("""COMPUTED_VALUE"""),"WA Undelivered")</f>
        <v>WA Undelivered</v>
      </c>
      <c r="J1015" s="275">
        <f>IFERROR(__xludf.DUMMYFUNCTION("""COMPUTED_VALUE"""),63535.0)</f>
        <v>63535</v>
      </c>
      <c r="K1015" s="275">
        <f>IFERROR(__xludf.DUMMYFUNCTION("""COMPUTED_VALUE"""),43054.0)</f>
        <v>43054</v>
      </c>
      <c r="L1015" s="276">
        <f>IFERROR(__xludf.DUMMYFUNCTION("""COMPUTED_VALUE"""),0.6776)</f>
        <v>0.6776</v>
      </c>
      <c r="M1015" s="275">
        <f>IFERROR(__xludf.DUMMYFUNCTION("""COMPUTED_VALUE"""),0.0)</f>
        <v>0</v>
      </c>
      <c r="N1015" s="276">
        <f>IFERROR(__xludf.DUMMYFUNCTION("""COMPUTED_VALUE"""),0.0)</f>
        <v>0</v>
      </c>
      <c r="O1015" s="208">
        <f>IFERROR(__xludf.DUMMYFUNCTION("""COMPUTED_VALUE"""),28.0)</f>
        <v>28</v>
      </c>
      <c r="P1015" s="208">
        <f>IFERROR(__xludf.DUMMYFUNCTION("""COMPUTED_VALUE"""),0.0)</f>
        <v>0</v>
      </c>
      <c r="Q1015" s="276">
        <f>IFERROR(__xludf.DUMMYFUNCTION("""COMPUTED_VALUE"""),7.0E-4)</f>
        <v>0.0007</v>
      </c>
      <c r="R1015" s="276">
        <f>IFERROR(__xludf.DUMMYFUNCTION("""COMPUTED_VALUE"""),0.0)</f>
        <v>0</v>
      </c>
      <c r="S1015" s="208">
        <f>IFERROR(__xludf.DUMMYFUNCTION("""COMPUTED_VALUE"""),0.0)</f>
        <v>0</v>
      </c>
      <c r="T1015" s="208">
        <f>IFERROR(__xludf.DUMMYFUNCTION("""COMPUTED_VALUE"""),4.0)</f>
        <v>4</v>
      </c>
      <c r="U1015" s="275">
        <f>IFERROR(__xludf.DUMMYFUNCTION("""COMPUTED_VALUE"""),0.0)</f>
        <v>0</v>
      </c>
      <c r="V1015" s="234" t="str">
        <f>IFERROR(__xludf.DUMMYFUNCTION("""COMPUTED_VALUE"""),"offline")</f>
        <v>offline</v>
      </c>
      <c r="W1015" s="232" t="str">
        <f>IFERROR(__xludf.DUMMYFUNCTION("""COMPUTED_VALUE"""),"Sms")</f>
        <v>Sms</v>
      </c>
      <c r="X1015" s="232" t="str">
        <f>IFERROR(__xludf.DUMMYFUNCTION("""COMPUTED_VALUE"""),"Dormant")</f>
        <v>Dormant</v>
      </c>
      <c r="Y1015" s="232" t="str">
        <f>IFERROR(__xludf.DUMMYFUNCTION("""COMPUTED_VALUE"""),"28 June")</f>
        <v>28 June</v>
      </c>
      <c r="Z1015" s="232" t="str">
        <f>IFERROR(__xludf.DUMMYFUNCTION("""COMPUTED_VALUE"""),"6a3cffcf5de7c15e1d2542e3")</f>
        <v>6a3cffcf5de7c15e1d2542e3</v>
      </c>
      <c r="AA1015" s="277">
        <f>IFERROR(__xludf.DUMMYFUNCTION("""COMPUTED_VALUE"""),94.0)</f>
        <v>94</v>
      </c>
      <c r="AB1015" s="277"/>
      <c r="AC1015" s="277">
        <f>IFERROR(__xludf.DUMMYFUNCTION("""COMPUTED_VALUE"""),94.0)</f>
        <v>94</v>
      </c>
      <c r="AD1015" s="277">
        <f>IFERROR(__xludf.DUMMYFUNCTION("""COMPUTED_VALUE"""),352541.0)</f>
        <v>352541</v>
      </c>
      <c r="AE1015" s="277"/>
      <c r="AF1015" s="277">
        <f>IFERROR(__xludf.DUMMYFUNCTION("""COMPUTED_VALUE"""),352541.0)</f>
        <v>352541</v>
      </c>
      <c r="AG1015" s="208"/>
      <c r="AH1015" s="208"/>
      <c r="AI1015" s="208"/>
      <c r="AJ1015" s="208"/>
      <c r="AK1015" s="208"/>
    </row>
    <row r="1016" hidden="1">
      <c r="A1016" s="288">
        <f>IFERROR(__xludf.DUMMYFUNCTION("""COMPUTED_VALUE"""),46201.0)</f>
        <v>46201</v>
      </c>
      <c r="B1016" s="274">
        <f>IFERROR(__xludf.DUMMYFUNCTION("""COMPUTED_VALUE"""),0.5833333333321207)</f>
        <v>0.5833333333</v>
      </c>
      <c r="C1016" s="208" t="str">
        <f>IFERROR(__xludf.DUMMYFUNCTION("""COMPUTED_VALUE"""),"Sms")</f>
        <v>Sms</v>
      </c>
      <c r="D1016" s="208" t="str">
        <f>IFERROR(__xludf.DUMMYFUNCTION("""COMPUTED_VALUE"""),"Promotional")</f>
        <v>Promotional</v>
      </c>
      <c r="E1016" s="208" t="str">
        <f>IFERROR(__xludf.DUMMYFUNCTION("""COMPUTED_VALUE"""),"BBW")</f>
        <v>BBW</v>
      </c>
      <c r="F1016" s="208" t="str">
        <f>IFERROR(__xludf.DUMMYFUNCTION("""COMPUTED_VALUE"""),"SAS - June 2026")</f>
        <v>SAS - June 2026</v>
      </c>
      <c r="G1016" s="208" t="str">
        <f>IFERROR(__xludf.DUMMYFUNCTION("""COMPUTED_VALUE"""),"bbw_sms_sas_churned_28june_offline")</f>
        <v>bbw_sms_sas_churned_28june_offline</v>
      </c>
      <c r="H1016" s="232" t="str">
        <f>IFERROR(__xludf.DUMMYFUNCTION("""COMPUTED_VALUE"""),"BBW_OFF_Churned550_EOSS_26")</f>
        <v>BBW_OFF_Churned550_EOSS_26</v>
      </c>
      <c r="I1016" s="233" t="str">
        <f>IFERROR(__xludf.DUMMYFUNCTION("""COMPUTED_VALUE"""),"Offline customers who have purchased in the last 550 days")</f>
        <v>Offline customers who have purchased in the last 550 days</v>
      </c>
      <c r="J1016" s="275">
        <f>IFERROR(__xludf.DUMMYFUNCTION("""COMPUTED_VALUE"""),178275.0)</f>
        <v>178275</v>
      </c>
      <c r="K1016" s="275">
        <f>IFERROR(__xludf.DUMMYFUNCTION("""COMPUTED_VALUE"""),105987.0)</f>
        <v>105987</v>
      </c>
      <c r="L1016" s="276">
        <f>IFERROR(__xludf.DUMMYFUNCTION("""COMPUTED_VALUE"""),0.5945)</f>
        <v>0.5945</v>
      </c>
      <c r="M1016" s="275">
        <f>IFERROR(__xludf.DUMMYFUNCTION("""COMPUTED_VALUE"""),0.0)</f>
        <v>0</v>
      </c>
      <c r="N1016" s="276">
        <f>IFERROR(__xludf.DUMMYFUNCTION("""COMPUTED_VALUE"""),0.0)</f>
        <v>0</v>
      </c>
      <c r="O1016" s="208">
        <f>IFERROR(__xludf.DUMMYFUNCTION("""COMPUTED_VALUE"""),105.0)</f>
        <v>105</v>
      </c>
      <c r="P1016" s="208">
        <f>IFERROR(__xludf.DUMMYFUNCTION("""COMPUTED_VALUE"""),0.0)</f>
        <v>0</v>
      </c>
      <c r="Q1016" s="276">
        <f>IFERROR(__xludf.DUMMYFUNCTION("""COMPUTED_VALUE"""),0.001)</f>
        <v>0.001</v>
      </c>
      <c r="R1016" s="276">
        <f>IFERROR(__xludf.DUMMYFUNCTION("""COMPUTED_VALUE"""),0.0)</f>
        <v>0</v>
      </c>
      <c r="S1016" s="208">
        <f>IFERROR(__xludf.DUMMYFUNCTION("""COMPUTED_VALUE"""),6.0)</f>
        <v>6</v>
      </c>
      <c r="T1016" s="208">
        <f>IFERROR(__xludf.DUMMYFUNCTION("""COMPUTED_VALUE"""),9.0)</f>
        <v>9</v>
      </c>
      <c r="U1016" s="275">
        <f>IFERROR(__xludf.DUMMYFUNCTION("""COMPUTED_VALUE"""),23483.0)</f>
        <v>23483</v>
      </c>
      <c r="V1016" s="234" t="str">
        <f>IFERROR(__xludf.DUMMYFUNCTION("""COMPUTED_VALUE"""),"offline")</f>
        <v>offline</v>
      </c>
      <c r="W1016" s="232" t="str">
        <f>IFERROR(__xludf.DUMMYFUNCTION("""COMPUTED_VALUE"""),"Sms")</f>
        <v>Sms</v>
      </c>
      <c r="X1016" s="232" t="str">
        <f>IFERROR(__xludf.DUMMYFUNCTION("""COMPUTED_VALUE"""),"Churned")</f>
        <v>Churned</v>
      </c>
      <c r="Y1016" s="232" t="str">
        <f>IFERROR(__xludf.DUMMYFUNCTION("""COMPUTED_VALUE"""),"28 June")</f>
        <v>28 June</v>
      </c>
      <c r="Z1016" s="232" t="str">
        <f>IFERROR(__xludf.DUMMYFUNCTION("""COMPUTED_VALUE"""),"6a3d000c658c2d5ee9f33a58")</f>
        <v>6a3d000c658c2d5ee9f33a58</v>
      </c>
      <c r="AA1016" s="277">
        <f>IFERROR(__xludf.DUMMYFUNCTION("""COMPUTED_VALUE"""),173.0)</f>
        <v>173</v>
      </c>
      <c r="AB1016" s="277"/>
      <c r="AC1016" s="277">
        <f>IFERROR(__xludf.DUMMYFUNCTION("""COMPUTED_VALUE"""),173.0)</f>
        <v>173</v>
      </c>
      <c r="AD1016" s="277">
        <f>IFERROR(__xludf.DUMMYFUNCTION("""COMPUTED_VALUE"""),541173.0)</f>
        <v>541173</v>
      </c>
      <c r="AE1016" s="277"/>
      <c r="AF1016" s="277">
        <f>IFERROR(__xludf.DUMMYFUNCTION("""COMPUTED_VALUE"""),541173.0)</f>
        <v>541173</v>
      </c>
      <c r="AG1016" s="208"/>
      <c r="AH1016" s="208"/>
      <c r="AI1016" s="208"/>
      <c r="AJ1016" s="208"/>
      <c r="AK1016" s="208"/>
    </row>
    <row r="1017" hidden="1">
      <c r="A1017" s="288">
        <f>IFERROR(__xludf.DUMMYFUNCTION("""COMPUTED_VALUE"""),46201.0)</f>
        <v>46201</v>
      </c>
      <c r="B1017" s="274">
        <f>IFERROR(__xludf.DUMMYFUNCTION("""COMPUTED_VALUE"""),0.5833333333321207)</f>
        <v>0.5833333333</v>
      </c>
      <c r="C1017" s="208" t="str">
        <f>IFERROR(__xludf.DUMMYFUNCTION("""COMPUTED_VALUE"""),"Sms")</f>
        <v>Sms</v>
      </c>
      <c r="D1017" s="208" t="str">
        <f>IFERROR(__xludf.DUMMYFUNCTION("""COMPUTED_VALUE"""),"Promotional")</f>
        <v>Promotional</v>
      </c>
      <c r="E1017" s="208" t="str">
        <f>IFERROR(__xludf.DUMMYFUNCTION("""COMPUTED_VALUE"""),"BBW")</f>
        <v>BBW</v>
      </c>
      <c r="F1017" s="208" t="str">
        <f>IFERROR(__xludf.DUMMYFUNCTION("""COMPUTED_VALUE"""),"SAS - June 2026")</f>
        <v>SAS - June 2026</v>
      </c>
      <c r="G1017" s="208" t="str">
        <f>IFERROR(__xludf.DUMMYFUNCTION("""COMPUTED_VALUE"""),"bbw_sms_sas_churned2_28june_offline")</f>
        <v>bbw_sms_sas_churned2_28june_offline</v>
      </c>
      <c r="H1017" s="232" t="str">
        <f>IFERROR(__xludf.DUMMYFUNCTION("""COMPUTED_VALUE"""),"BBW_OFF_Churned1095_EOSS_26")</f>
        <v>BBW_OFF_Churned1095_EOSS_26</v>
      </c>
      <c r="I1017" s="233" t="str">
        <f>IFERROR(__xludf.DUMMYFUNCTION("""COMPUTED_VALUE"""),"Offline customers who have purchased in the last 1095 days")</f>
        <v>Offline customers who have purchased in the last 1095 days</v>
      </c>
      <c r="J1017" s="275">
        <f>IFERROR(__xludf.DUMMYFUNCTION("""COMPUTED_VALUE"""),187515.0)</f>
        <v>187515</v>
      </c>
      <c r="K1017" s="275">
        <f>IFERROR(__xludf.DUMMYFUNCTION("""COMPUTED_VALUE"""),108798.0)</f>
        <v>108798</v>
      </c>
      <c r="L1017" s="276">
        <f>IFERROR(__xludf.DUMMYFUNCTION("""COMPUTED_VALUE"""),0.5802)</f>
        <v>0.5802</v>
      </c>
      <c r="M1017" s="275">
        <f>IFERROR(__xludf.DUMMYFUNCTION("""COMPUTED_VALUE"""),0.0)</f>
        <v>0</v>
      </c>
      <c r="N1017" s="276">
        <f>IFERROR(__xludf.DUMMYFUNCTION("""COMPUTED_VALUE"""),0.0)</f>
        <v>0</v>
      </c>
      <c r="O1017" s="208">
        <f>IFERROR(__xludf.DUMMYFUNCTION("""COMPUTED_VALUE"""),135.0)</f>
        <v>135</v>
      </c>
      <c r="P1017" s="208">
        <f>IFERROR(__xludf.DUMMYFUNCTION("""COMPUTED_VALUE"""),0.0)</f>
        <v>0</v>
      </c>
      <c r="Q1017" s="276">
        <f>IFERROR(__xludf.DUMMYFUNCTION("""COMPUTED_VALUE"""),0.0012)</f>
        <v>0.0012</v>
      </c>
      <c r="R1017" s="276">
        <f>IFERROR(__xludf.DUMMYFUNCTION("""COMPUTED_VALUE"""),0.0)</f>
        <v>0</v>
      </c>
      <c r="S1017" s="208">
        <f>IFERROR(__xludf.DUMMYFUNCTION("""COMPUTED_VALUE"""),0.0)</f>
        <v>0</v>
      </c>
      <c r="T1017" s="208">
        <f>IFERROR(__xludf.DUMMYFUNCTION("""COMPUTED_VALUE"""),6.0)</f>
        <v>6</v>
      </c>
      <c r="U1017" s="275">
        <f>IFERROR(__xludf.DUMMYFUNCTION("""COMPUTED_VALUE"""),0.0)</f>
        <v>0</v>
      </c>
      <c r="V1017" s="234" t="str">
        <f>IFERROR(__xludf.DUMMYFUNCTION("""COMPUTED_VALUE"""),"offline")</f>
        <v>offline</v>
      </c>
      <c r="W1017" s="232" t="str">
        <f>IFERROR(__xludf.DUMMYFUNCTION("""COMPUTED_VALUE"""),"Sms")</f>
        <v>Sms</v>
      </c>
      <c r="X1017" s="232" t="str">
        <f>IFERROR(__xludf.DUMMYFUNCTION("""COMPUTED_VALUE"""),"Churned")</f>
        <v>Churned</v>
      </c>
      <c r="Y1017" s="232" t="str">
        <f>IFERROR(__xludf.DUMMYFUNCTION("""COMPUTED_VALUE"""),"28 June")</f>
        <v>28 June</v>
      </c>
      <c r="Z1017" s="232" t="str">
        <f>IFERROR(__xludf.DUMMYFUNCTION("""COMPUTED_VALUE"""),"6a3d0066a64ac505594ad803")</f>
        <v>6a3d0066a64ac505594ad803</v>
      </c>
      <c r="AA1017" s="277">
        <f>IFERROR(__xludf.DUMMYFUNCTION("""COMPUTED_VALUE"""),130.0)</f>
        <v>130</v>
      </c>
      <c r="AB1017" s="277"/>
      <c r="AC1017" s="277">
        <f>IFERROR(__xludf.DUMMYFUNCTION("""COMPUTED_VALUE"""),130.0)</f>
        <v>130</v>
      </c>
      <c r="AD1017" s="277">
        <f>IFERROR(__xludf.DUMMYFUNCTION("""COMPUTED_VALUE"""),374127.0)</f>
        <v>374127</v>
      </c>
      <c r="AE1017" s="277"/>
      <c r="AF1017" s="277">
        <f>IFERROR(__xludf.DUMMYFUNCTION("""COMPUTED_VALUE"""),374127.0)</f>
        <v>374127</v>
      </c>
      <c r="AG1017" s="208"/>
      <c r="AH1017" s="208"/>
      <c r="AI1017" s="208"/>
      <c r="AJ1017" s="208"/>
      <c r="AK1017" s="208"/>
    </row>
    <row r="1018" hidden="1">
      <c r="A1018" s="288">
        <f>IFERROR(__xludf.DUMMYFUNCTION("""COMPUTED_VALUE"""),46202.0)</f>
        <v>46202</v>
      </c>
      <c r="B1018" s="274">
        <f>IFERROR(__xludf.DUMMYFUNCTION("""COMPUTED_VALUE"""),0.4166666666678793)</f>
        <v>0.4166666667</v>
      </c>
      <c r="C1018" s="208" t="str">
        <f>IFERROR(__xludf.DUMMYFUNCTION("""COMPUTED_VALUE"""),"Whatsapp")</f>
        <v>Whatsapp</v>
      </c>
      <c r="D1018" s="208" t="str">
        <f>IFERROR(__xludf.DUMMYFUNCTION("""COMPUTED_VALUE"""),"Promotional")</f>
        <v>Promotional</v>
      </c>
      <c r="E1018" s="208" t="str">
        <f>IFERROR(__xludf.DUMMYFUNCTION("""COMPUTED_VALUE"""),"BBW")</f>
        <v>BBW</v>
      </c>
      <c r="F1018" s="208" t="str">
        <f>IFERROR(__xludf.DUMMYFUNCTION("""COMPUTED_VALUE"""),"SAS - June 2026")</f>
        <v>SAS - June 2026</v>
      </c>
      <c r="G1018" s="208" t="str">
        <f>IFERROR(__xludf.DUMMYFUNCTION("""COMPUTED_VALUE"""),"bbw_wa_sas_app_installed_no_purchase_29june")</f>
        <v>bbw_wa_sas_app_installed_no_purchase_29june</v>
      </c>
      <c r="H1018" s="232" t="str">
        <f>IFERROR(__xludf.DUMMYFUNCTION("""COMPUTED_VALUE"""),"BBW_App_Install_NoPr_180D")</f>
        <v>BBW_App_Install_NoPr_180D</v>
      </c>
      <c r="I1018" s="233" t="str">
        <f>IFERROR(__xludf.DUMMYFUNCTION("""COMPUTED_VALUE"""),"No Brief")</f>
        <v>No Brief</v>
      </c>
      <c r="J1018" s="275">
        <f>IFERROR(__xludf.DUMMYFUNCTION("""COMPUTED_VALUE"""),24227.0)</f>
        <v>24227</v>
      </c>
      <c r="K1018" s="275">
        <f>IFERROR(__xludf.DUMMYFUNCTION("""COMPUTED_VALUE"""),13848.0)</f>
        <v>13848</v>
      </c>
      <c r="L1018" s="276">
        <f>IFERROR(__xludf.DUMMYFUNCTION("""COMPUTED_VALUE"""),0.5714)</f>
        <v>0.5714</v>
      </c>
      <c r="M1018" s="275">
        <f>IFERROR(__xludf.DUMMYFUNCTION("""COMPUTED_VALUE"""),6069.0)</f>
        <v>6069</v>
      </c>
      <c r="N1018" s="276">
        <f>IFERROR(__xludf.DUMMYFUNCTION("""COMPUTED_VALUE"""),0.4383)</f>
        <v>0.4383</v>
      </c>
      <c r="O1018" s="208">
        <f>IFERROR(__xludf.DUMMYFUNCTION("""COMPUTED_VALUE"""),1022.0)</f>
        <v>1022</v>
      </c>
      <c r="P1018" s="208">
        <f>IFERROR(__xludf.DUMMYFUNCTION("""COMPUTED_VALUE"""),927.0)</f>
        <v>927</v>
      </c>
      <c r="Q1018" s="276">
        <f>IFERROR(__xludf.DUMMYFUNCTION("""COMPUTED_VALUE"""),0.067)</f>
        <v>0.067</v>
      </c>
      <c r="R1018" s="276">
        <f>IFERROR(__xludf.DUMMYFUNCTION("""COMPUTED_VALUE"""),0.1528)</f>
        <v>0.1528</v>
      </c>
      <c r="S1018" s="208">
        <f>IFERROR(__xludf.DUMMYFUNCTION("""COMPUTED_VALUE"""),31.0)</f>
        <v>31</v>
      </c>
      <c r="T1018" s="208">
        <f>IFERROR(__xludf.DUMMYFUNCTION("""COMPUTED_VALUE"""),167.0)</f>
        <v>167</v>
      </c>
      <c r="U1018" s="275">
        <f>IFERROR(__xludf.DUMMYFUNCTION("""COMPUTED_VALUE"""),56964.0)</f>
        <v>56964</v>
      </c>
      <c r="V1018" s="234" t="str">
        <f>IFERROR(__xludf.DUMMYFUNCTION("""COMPUTED_VALUE"""),"overall")</f>
        <v>overall</v>
      </c>
      <c r="W1018" s="232" t="str">
        <f>IFERROR(__xludf.DUMMYFUNCTION("""COMPUTED_VALUE"""),"simple")</f>
        <v>simple</v>
      </c>
      <c r="X1018" s="232" t="str">
        <f>IFERROR(__xludf.DUMMYFUNCTION("""COMPUTED_VALUE"""),"No Brief")</f>
        <v>No Brief</v>
      </c>
      <c r="Y1018" s="232" t="str">
        <f>IFERROR(__xludf.DUMMYFUNCTION("""COMPUTED_VALUE"""),"29-1 July")</f>
        <v>29-1 July</v>
      </c>
      <c r="Z1018" s="232" t="str">
        <f>IFERROR(__xludf.DUMMYFUNCTION("""COMPUTED_VALUE"""),"6a3e50e212609a7daf371e3c")</f>
        <v>6a3e50e212609a7daf371e3c</v>
      </c>
      <c r="AA1018" s="277">
        <f>IFERROR(__xludf.DUMMYFUNCTION("""COMPUTED_VALUE"""),63.0)</f>
        <v>63</v>
      </c>
      <c r="AB1018" s="277">
        <f>IFERROR(__xludf.DUMMYFUNCTION("""COMPUTED_VALUE"""),96993.0)</f>
        <v>96993</v>
      </c>
      <c r="AC1018" s="277">
        <f>IFERROR(__xludf.DUMMYFUNCTION("""COMPUTED_VALUE"""),19.0)</f>
        <v>19</v>
      </c>
      <c r="AD1018" s="277">
        <f>IFERROR(__xludf.DUMMYFUNCTION("""COMPUTED_VALUE"""),137917.0)</f>
        <v>137917</v>
      </c>
      <c r="AE1018" s="277">
        <f>IFERROR(__xludf.DUMMYFUNCTION("""COMPUTED_VALUE"""),96993.0)</f>
        <v>96993</v>
      </c>
      <c r="AF1018" s="277">
        <f>IFERROR(__xludf.DUMMYFUNCTION("""COMPUTED_VALUE"""),40924.0)</f>
        <v>40924</v>
      </c>
      <c r="AG1018" s="208"/>
      <c r="AH1018" s="208"/>
      <c r="AI1018" s="208"/>
      <c r="AJ1018" s="208"/>
      <c r="AK1018" s="208"/>
    </row>
    <row r="1019">
      <c r="A1019" s="288">
        <f>IFERROR(__xludf.DUMMYFUNCTION("""COMPUTED_VALUE"""),46207.0)</f>
        <v>46207</v>
      </c>
      <c r="B1019" s="274">
        <f>IFERROR(__xludf.DUMMYFUNCTION("""COMPUTED_VALUE"""),0.5)</f>
        <v>0.5</v>
      </c>
      <c r="C1019" s="208" t="str">
        <f>IFERROR(__xludf.DUMMYFUNCTION("""COMPUTED_VALUE"""),"Whatsapp")</f>
        <v>Whatsapp</v>
      </c>
      <c r="D1019" s="208" t="str">
        <f>IFERROR(__xludf.DUMMYFUNCTION("""COMPUTED_VALUE"""),"Promotional")</f>
        <v>Promotional</v>
      </c>
      <c r="E1019" s="208" t="str">
        <f>IFERROR(__xludf.DUMMYFUNCTION("""COMPUTED_VALUE"""),"BBW")</f>
        <v>BBW</v>
      </c>
      <c r="F1019" s="208" t="str">
        <f>IFERROR(__xludf.DUMMYFUNCTION("""COMPUTED_VALUE"""),"B2G2 - July'26 - Entire Store")</f>
        <v>B2G2 - July'26 - Entire Store</v>
      </c>
      <c r="G1019" s="208" t="str">
        <f>IFERROR(__xludf.DUMMYFUNCTION("""COMPUTED_VALUE"""),"bbw_wa_b2g2_4july_lastreminder_blr_offline")</f>
        <v>bbw_wa_b2g2_4july_lastreminder_blr_offline</v>
      </c>
      <c r="H1019" s="232" t="str">
        <f>IFERROR(__xludf.DUMMYFUNCTION("""COMPUTED_VALUE"""),"BBW_OFF_BLR_Active, BBW_OFF_BLR_Dorm")</f>
        <v>BBW_OFF_BLR_Active, BBW_OFF_BLR_Dorm</v>
      </c>
      <c r="I1019" s="233" t="str">
        <f>IFERROR(__xludf.DUMMYFUNCTION("""COMPUTED_VALUE"""),"All Offline Customers who have purchased at least 1 time from Txn_City BLR in the last 112 days (TTR), All Offline Customers who have purchased at least 1 time from Txn_City BLR in the last 365 days excluding TTR purchasers")</f>
        <v>All Offline Customers who have purchased at least 1 time from Txn_City BLR in the last 112 days (TTR), All Offline Customers who have purchased at least 1 time from Txn_City BLR in the last 365 days excluding TTR purchasers</v>
      </c>
      <c r="J1019" s="275">
        <f>IFERROR(__xludf.DUMMYFUNCTION("""COMPUTED_VALUE"""),77105.0)</f>
        <v>77105</v>
      </c>
      <c r="K1019" s="275">
        <f>IFERROR(__xludf.DUMMYFUNCTION("""COMPUTED_VALUE"""),23900.0)</f>
        <v>23900</v>
      </c>
      <c r="L1019" s="276">
        <f>IFERROR(__xludf.DUMMYFUNCTION("""COMPUTED_VALUE"""),0.31)</f>
        <v>0.31</v>
      </c>
      <c r="M1019" s="275">
        <f>IFERROR(__xludf.DUMMYFUNCTION("""COMPUTED_VALUE"""),7449.0)</f>
        <v>7449</v>
      </c>
      <c r="N1019" s="276">
        <f>IFERROR(__xludf.DUMMYFUNCTION("""COMPUTED_VALUE"""),0.3115)</f>
        <v>0.3115</v>
      </c>
      <c r="O1019" s="208">
        <f>IFERROR(__xludf.DUMMYFUNCTION("""COMPUTED_VALUE"""),449.0)</f>
        <v>449</v>
      </c>
      <c r="P1019" s="208">
        <f>IFERROR(__xludf.DUMMYFUNCTION("""COMPUTED_VALUE"""),428.0)</f>
        <v>428</v>
      </c>
      <c r="Q1019" s="276">
        <f>IFERROR(__xludf.DUMMYFUNCTION("""COMPUTED_VALUE"""),0.0179)</f>
        <v>0.0179</v>
      </c>
      <c r="R1019" s="276">
        <f>IFERROR(__xludf.DUMMYFUNCTION("""COMPUTED_VALUE"""),0.0575)</f>
        <v>0.0575</v>
      </c>
      <c r="S1019" s="208">
        <f>IFERROR(__xludf.DUMMYFUNCTION("""COMPUTED_VALUE"""),7.0)</f>
        <v>7</v>
      </c>
      <c r="T1019" s="208">
        <f>IFERROR(__xludf.DUMMYFUNCTION("""COMPUTED_VALUE"""),20.0)</f>
        <v>20</v>
      </c>
      <c r="U1019" s="275">
        <f>IFERROR(__xludf.DUMMYFUNCTION("""COMPUTED_VALUE"""),20031.0)</f>
        <v>20031</v>
      </c>
      <c r="V1019" s="234" t="str">
        <f>IFERROR(__xludf.DUMMYFUNCTION("""COMPUTED_VALUE"""),"offline")</f>
        <v>offline</v>
      </c>
      <c r="W1019" s="232" t="str">
        <f>IFERROR(__xludf.DUMMYFUNCTION("""COMPUTED_VALUE"""),"simple")</f>
        <v>simple</v>
      </c>
      <c r="X1019" s="232" t="str">
        <f>IFERROR(__xludf.DUMMYFUNCTION("""COMPUTED_VALUE"""),"City Specific")</f>
        <v>City Specific</v>
      </c>
      <c r="Y1019" s="232" t="str">
        <f>IFERROR(__xludf.DUMMYFUNCTION("""COMPUTED_VALUE"""),"4-6 July")</f>
        <v>4-6 July</v>
      </c>
      <c r="Z1019" s="232" t="str">
        <f>IFERROR(__xludf.DUMMYFUNCTION("""COMPUTED_VALUE"""),"6a43ac637cc8a38844541069")</f>
        <v>6a43ac637cc8a38844541069</v>
      </c>
      <c r="AA1019" s="277">
        <f>IFERROR(__xludf.DUMMYFUNCTION("""COMPUTED_VALUE"""),136.0)</f>
        <v>136</v>
      </c>
      <c r="AB1019" s="277"/>
      <c r="AC1019" s="277">
        <f>IFERROR(__xludf.DUMMYFUNCTION("""COMPUTED_VALUE"""),136.0)</f>
        <v>136</v>
      </c>
      <c r="AD1019" s="277">
        <f>IFERROR(__xludf.DUMMYFUNCTION("""COMPUTED_VALUE"""),397105.0)</f>
        <v>397105</v>
      </c>
      <c r="AE1019" s="277"/>
      <c r="AF1019" s="277">
        <f>IFERROR(__xludf.DUMMYFUNCTION("""COMPUTED_VALUE"""),397105.0)</f>
        <v>397105</v>
      </c>
      <c r="AG1019" s="208"/>
      <c r="AH1019" s="208"/>
      <c r="AI1019" s="208"/>
      <c r="AJ1019" s="208"/>
      <c r="AK1019" s="208"/>
    </row>
    <row r="1020">
      <c r="A1020" s="288">
        <f>IFERROR(__xludf.DUMMYFUNCTION("""COMPUTED_VALUE"""),46207.0)</f>
        <v>46207</v>
      </c>
      <c r="B1020" s="274">
        <f>IFERROR(__xludf.DUMMYFUNCTION("""COMPUTED_VALUE"""),0.5)</f>
        <v>0.5</v>
      </c>
      <c r="C1020" s="208" t="str">
        <f>IFERROR(__xludf.DUMMYFUNCTION("""COMPUTED_VALUE"""),"Whatsapp")</f>
        <v>Whatsapp</v>
      </c>
      <c r="D1020" s="208" t="str">
        <f>IFERROR(__xludf.DUMMYFUNCTION("""COMPUTED_VALUE"""),"Promotional")</f>
        <v>Promotional</v>
      </c>
      <c r="E1020" s="208" t="str">
        <f>IFERROR(__xludf.DUMMYFUNCTION("""COMPUTED_VALUE"""),"BBW")</f>
        <v>BBW</v>
      </c>
      <c r="F1020" s="208" t="str">
        <f>IFERROR(__xludf.DUMMYFUNCTION("""COMPUTED_VALUE"""),"B2G2 - July'26 - Entire Store")</f>
        <v>B2G2 - July'26 - Entire Store</v>
      </c>
      <c r="G1020" s="208" t="str">
        <f>IFERROR(__xludf.DUMMYFUNCTION("""COMPUTED_VALUE"""),"bbw_wa_b2g2_4july_lastreminder_del_offline")</f>
        <v>bbw_wa_b2g2_4july_lastreminder_del_offline</v>
      </c>
      <c r="H1020" s="232" t="str">
        <f>IFERROR(__xludf.DUMMYFUNCTION("""COMPUTED_VALUE"""),"BBW_OFF_DEL_Active, BBW_OFF_DEL_Dorm")</f>
        <v>BBW_OFF_DEL_Active, BBW_OFF_DEL_Dorm</v>
      </c>
      <c r="I1020" s="233" t="str">
        <f>IFERROR(__xludf.DUMMYFUNCTION("""COMPUTED_VALUE"""),"All Offline Customers who have purchased at least 1 time from Txn_City DEL in the last 112 days (TTR), All Offline Customers who have purchased at least 1 time from Txn_City DEL in the last 365 days excluding TTR purchasers")</f>
        <v>All Offline Customers who have purchased at least 1 time from Txn_City DEL in the last 112 days (TTR), All Offline Customers who have purchased at least 1 time from Txn_City DEL in the last 365 days excluding TTR purchasers</v>
      </c>
      <c r="J1020" s="275">
        <f>IFERROR(__xludf.DUMMYFUNCTION("""COMPUTED_VALUE"""),55975.0)</f>
        <v>55975</v>
      </c>
      <c r="K1020" s="275">
        <f>IFERROR(__xludf.DUMMYFUNCTION("""COMPUTED_VALUE"""),19255.0)</f>
        <v>19255</v>
      </c>
      <c r="L1020" s="276">
        <f>IFERROR(__xludf.DUMMYFUNCTION("""COMPUTED_VALUE"""),0.344)</f>
        <v>0.344</v>
      </c>
      <c r="M1020" s="275">
        <f>IFERROR(__xludf.DUMMYFUNCTION("""COMPUTED_VALUE"""),5446.0)</f>
        <v>5446</v>
      </c>
      <c r="N1020" s="276">
        <f>IFERROR(__xludf.DUMMYFUNCTION("""COMPUTED_VALUE"""),0.2827)</f>
        <v>0.2827</v>
      </c>
      <c r="O1020" s="208">
        <f>IFERROR(__xludf.DUMMYFUNCTION("""COMPUTED_VALUE"""),393.0)</f>
        <v>393</v>
      </c>
      <c r="P1020" s="208">
        <f>IFERROR(__xludf.DUMMYFUNCTION("""COMPUTED_VALUE"""),364.0)</f>
        <v>364</v>
      </c>
      <c r="Q1020" s="276">
        <f>IFERROR(__xludf.DUMMYFUNCTION("""COMPUTED_VALUE"""),0.0189)</f>
        <v>0.0189</v>
      </c>
      <c r="R1020" s="276">
        <f>IFERROR(__xludf.DUMMYFUNCTION("""COMPUTED_VALUE"""),0.0669)</f>
        <v>0.0669</v>
      </c>
      <c r="S1020" s="208">
        <f>IFERROR(__xludf.DUMMYFUNCTION("""COMPUTED_VALUE"""),6.0)</f>
        <v>6</v>
      </c>
      <c r="T1020" s="208">
        <f>IFERROR(__xludf.DUMMYFUNCTION("""COMPUTED_VALUE"""),16.0)</f>
        <v>16</v>
      </c>
      <c r="U1020" s="275">
        <f>IFERROR(__xludf.DUMMYFUNCTION("""COMPUTED_VALUE"""),14692.0)</f>
        <v>14692</v>
      </c>
      <c r="V1020" s="234" t="str">
        <f>IFERROR(__xludf.DUMMYFUNCTION("""COMPUTED_VALUE"""),"offline")</f>
        <v>offline</v>
      </c>
      <c r="W1020" s="232" t="str">
        <f>IFERROR(__xludf.DUMMYFUNCTION("""COMPUTED_VALUE"""),"simple")</f>
        <v>simple</v>
      </c>
      <c r="X1020" s="232" t="str">
        <f>IFERROR(__xludf.DUMMYFUNCTION("""COMPUTED_VALUE"""),"City Specific")</f>
        <v>City Specific</v>
      </c>
      <c r="Y1020" s="232" t="str">
        <f>IFERROR(__xludf.DUMMYFUNCTION("""COMPUTED_VALUE"""),"4-6 July")</f>
        <v>4-6 July</v>
      </c>
      <c r="Z1020" s="232" t="str">
        <f>IFERROR(__xludf.DUMMYFUNCTION("""COMPUTED_VALUE"""),"6a43aca0f2b16e9ec3c9a482")</f>
        <v>6a43aca0f2b16e9ec3c9a482</v>
      </c>
      <c r="AA1020" s="277">
        <f>IFERROR(__xludf.DUMMYFUNCTION("""COMPUTED_VALUE"""),145.0)</f>
        <v>145</v>
      </c>
      <c r="AB1020" s="277"/>
      <c r="AC1020" s="277">
        <f>IFERROR(__xludf.DUMMYFUNCTION("""COMPUTED_VALUE"""),145.0)</f>
        <v>145</v>
      </c>
      <c r="AD1020" s="277">
        <f>IFERROR(__xludf.DUMMYFUNCTION("""COMPUTED_VALUE"""),591514.0)</f>
        <v>591514</v>
      </c>
      <c r="AE1020" s="277"/>
      <c r="AF1020" s="277">
        <f>IFERROR(__xludf.DUMMYFUNCTION("""COMPUTED_VALUE"""),591514.0)</f>
        <v>591514</v>
      </c>
      <c r="AG1020" s="208"/>
      <c r="AH1020" s="208"/>
      <c r="AI1020" s="208"/>
      <c r="AJ1020" s="208"/>
      <c r="AK1020" s="208"/>
    </row>
    <row r="1021">
      <c r="A1021" s="288">
        <f>IFERROR(__xludf.DUMMYFUNCTION("""COMPUTED_VALUE"""),46207.0)</f>
        <v>46207</v>
      </c>
      <c r="B1021" s="274">
        <f>IFERROR(__xludf.DUMMYFUNCTION("""COMPUTED_VALUE"""),0.5)</f>
        <v>0.5</v>
      </c>
      <c r="C1021" s="208" t="str">
        <f>IFERROR(__xludf.DUMMYFUNCTION("""COMPUTED_VALUE"""),"Whatsapp")</f>
        <v>Whatsapp</v>
      </c>
      <c r="D1021" s="208" t="str">
        <f>IFERROR(__xludf.DUMMYFUNCTION("""COMPUTED_VALUE"""),"Promotional")</f>
        <v>Promotional</v>
      </c>
      <c r="E1021" s="208" t="str">
        <f>IFERROR(__xludf.DUMMYFUNCTION("""COMPUTED_VALUE"""),"BBW")</f>
        <v>BBW</v>
      </c>
      <c r="F1021" s="208" t="str">
        <f>IFERROR(__xludf.DUMMYFUNCTION("""COMPUTED_VALUE"""),"B2G2 - July'26 - Entire Store")</f>
        <v>B2G2 - July'26 - Entire Store</v>
      </c>
      <c r="G1021" s="208" t="str">
        <f>IFERROR(__xludf.DUMMYFUNCTION("""COMPUTED_VALUE"""),"bbw_wa_b2g2_4july_lastreminder_bom_offline")</f>
        <v>bbw_wa_b2g2_4july_lastreminder_bom_offline</v>
      </c>
      <c r="H1021" s="232" t="str">
        <f>IFERROR(__xludf.DUMMYFUNCTION("""COMPUTED_VALUE"""),"BBW_OFF_BOM_Dorm, BBW_OFF_BOM_Active")</f>
        <v>BBW_OFF_BOM_Dorm, BBW_OFF_BOM_Active</v>
      </c>
      <c r="I1021" s="233" t="str">
        <f>IFERROR(__xludf.DUMMYFUNCTION("""COMPUTED_VALUE"""),"All Offline Customers who have purchased at least 1 time from Txn_City BOM in the last 365 days excluding TTR purchasers, All Offline Customers who have purchased at least 1 time from Txn_City BOM in the last 112 days (TTR)")</f>
        <v>All Offline Customers who have purchased at least 1 time from Txn_City BOM in the last 365 days excluding TTR purchasers, All Offline Customers who have purchased at least 1 time from Txn_City BOM in the last 112 days (TTR)</v>
      </c>
      <c r="J1021" s="275">
        <f>IFERROR(__xludf.DUMMYFUNCTION("""COMPUTED_VALUE"""),45628.0)</f>
        <v>45628</v>
      </c>
      <c r="K1021" s="275">
        <f>IFERROR(__xludf.DUMMYFUNCTION("""COMPUTED_VALUE"""),16661.0)</f>
        <v>16661</v>
      </c>
      <c r="L1021" s="276">
        <f>IFERROR(__xludf.DUMMYFUNCTION("""COMPUTED_VALUE"""),0.365)</f>
        <v>0.365</v>
      </c>
      <c r="M1021" s="275">
        <f>IFERROR(__xludf.DUMMYFUNCTION("""COMPUTED_VALUE"""),5620.0)</f>
        <v>5620</v>
      </c>
      <c r="N1021" s="276">
        <f>IFERROR(__xludf.DUMMYFUNCTION("""COMPUTED_VALUE"""),0.3372)</f>
        <v>0.3372</v>
      </c>
      <c r="O1021" s="208">
        <f>IFERROR(__xludf.DUMMYFUNCTION("""COMPUTED_VALUE"""),415.0)</f>
        <v>415</v>
      </c>
      <c r="P1021" s="208">
        <f>IFERROR(__xludf.DUMMYFUNCTION("""COMPUTED_VALUE"""),400.0)</f>
        <v>400</v>
      </c>
      <c r="Q1021" s="276">
        <f>IFERROR(__xludf.DUMMYFUNCTION("""COMPUTED_VALUE"""),0.024)</f>
        <v>0.024</v>
      </c>
      <c r="R1021" s="276">
        <f>IFERROR(__xludf.DUMMYFUNCTION("""COMPUTED_VALUE"""),0.0712)</f>
        <v>0.0712</v>
      </c>
      <c r="S1021" s="208">
        <f>IFERROR(__xludf.DUMMYFUNCTION("""COMPUTED_VALUE"""),3.0)</f>
        <v>3</v>
      </c>
      <c r="T1021" s="208">
        <f>IFERROR(__xludf.DUMMYFUNCTION("""COMPUTED_VALUE"""),10.0)</f>
        <v>10</v>
      </c>
      <c r="U1021" s="275">
        <f>IFERROR(__xludf.DUMMYFUNCTION("""COMPUTED_VALUE"""),7672.0)</f>
        <v>7672</v>
      </c>
      <c r="V1021" s="234" t="str">
        <f>IFERROR(__xludf.DUMMYFUNCTION("""COMPUTED_VALUE"""),"offline")</f>
        <v>offline</v>
      </c>
      <c r="W1021" s="232" t="str">
        <f>IFERROR(__xludf.DUMMYFUNCTION("""COMPUTED_VALUE"""),"simple")</f>
        <v>simple</v>
      </c>
      <c r="X1021" s="232" t="str">
        <f>IFERROR(__xludf.DUMMYFUNCTION("""COMPUTED_VALUE"""),"City Specific")</f>
        <v>City Specific</v>
      </c>
      <c r="Y1021" s="232" t="str">
        <f>IFERROR(__xludf.DUMMYFUNCTION("""COMPUTED_VALUE"""),"4-6 July")</f>
        <v>4-6 July</v>
      </c>
      <c r="Z1021" s="232" t="str">
        <f>IFERROR(__xludf.DUMMYFUNCTION("""COMPUTED_VALUE"""),"6a43acd188f624782a87bd60")</f>
        <v>6a43acd188f624782a87bd60</v>
      </c>
      <c r="AA1021" s="277">
        <f>IFERROR(__xludf.DUMMYFUNCTION("""COMPUTED_VALUE"""),104.0)</f>
        <v>104</v>
      </c>
      <c r="AB1021" s="277"/>
      <c r="AC1021" s="277">
        <f>IFERROR(__xludf.DUMMYFUNCTION("""COMPUTED_VALUE"""),104.0)</f>
        <v>104</v>
      </c>
      <c r="AD1021" s="277">
        <f>IFERROR(__xludf.DUMMYFUNCTION("""COMPUTED_VALUE"""),346154.0)</f>
        <v>346154</v>
      </c>
      <c r="AE1021" s="277"/>
      <c r="AF1021" s="277">
        <f>IFERROR(__xludf.DUMMYFUNCTION("""COMPUTED_VALUE"""),346154.0)</f>
        <v>346154</v>
      </c>
      <c r="AG1021" s="208"/>
      <c r="AH1021" s="208"/>
      <c r="AI1021" s="208"/>
      <c r="AJ1021" s="208"/>
      <c r="AK1021" s="208"/>
    </row>
    <row r="1022">
      <c r="A1022" s="288">
        <f>IFERROR(__xludf.DUMMYFUNCTION("""COMPUTED_VALUE"""),46207.0)</f>
        <v>46207</v>
      </c>
      <c r="B1022" s="274">
        <f>IFERROR(__xludf.DUMMYFUNCTION("""COMPUTED_VALUE"""),0.5)</f>
        <v>0.5</v>
      </c>
      <c r="C1022" s="208" t="str">
        <f>IFERROR(__xludf.DUMMYFUNCTION("""COMPUTED_VALUE"""),"Whatsapp")</f>
        <v>Whatsapp</v>
      </c>
      <c r="D1022" s="208" t="str">
        <f>IFERROR(__xludf.DUMMYFUNCTION("""COMPUTED_VALUE"""),"Promotional")</f>
        <v>Promotional</v>
      </c>
      <c r="E1022" s="208" t="str">
        <f>IFERROR(__xludf.DUMMYFUNCTION("""COMPUTED_VALUE"""),"BBW")</f>
        <v>BBW</v>
      </c>
      <c r="F1022" s="208" t="str">
        <f>IFERROR(__xludf.DUMMYFUNCTION("""COMPUTED_VALUE"""),"B2G2 - July'26 - Entire Store")</f>
        <v>B2G2 - July'26 - Entire Store</v>
      </c>
      <c r="G1022" s="208" t="str">
        <f>IFERROR(__xludf.DUMMYFUNCTION("""COMPUTED_VALUE"""),"bbw_wa_b2g2_4july_lastreminder_hyd_offline")</f>
        <v>bbw_wa_b2g2_4july_lastreminder_hyd_offline</v>
      </c>
      <c r="H1022" s="232" t="str">
        <f>IFERROR(__xludf.DUMMYFUNCTION("""COMPUTED_VALUE"""),"BBW_OFF_HYD_Active, BBW_OFF_HYD_Dorm")</f>
        <v>BBW_OFF_HYD_Active, BBW_OFF_HYD_Dorm</v>
      </c>
      <c r="I1022" s="233" t="str">
        <f>IFERROR(__xludf.DUMMYFUNCTION("""COMPUTED_VALUE"""),"All Offline Customers who have purchased at least 1 time from Txn_City HYD in the last 112 days (TTR), All Offline Customers who have purchased at least 1 time from Txn_City HYD in the last 365 days excluding TTR purchasers")</f>
        <v>All Offline Customers who have purchased at least 1 time from Txn_City HYD in the last 112 days (TTR), All Offline Customers who have purchased at least 1 time from Txn_City HYD in the last 365 days excluding TTR purchasers</v>
      </c>
      <c r="J1022" s="275">
        <f>IFERROR(__xludf.DUMMYFUNCTION("""COMPUTED_VALUE"""),27098.0)</f>
        <v>27098</v>
      </c>
      <c r="K1022" s="275">
        <f>IFERROR(__xludf.DUMMYFUNCTION("""COMPUTED_VALUE"""),8897.0)</f>
        <v>8897</v>
      </c>
      <c r="L1022" s="276">
        <f>IFERROR(__xludf.DUMMYFUNCTION("""COMPUTED_VALUE"""),0.3283)</f>
        <v>0.3283</v>
      </c>
      <c r="M1022" s="275">
        <f>IFERROR(__xludf.DUMMYFUNCTION("""COMPUTED_VALUE"""),2995.0)</f>
        <v>2995</v>
      </c>
      <c r="N1022" s="276">
        <f>IFERROR(__xludf.DUMMYFUNCTION("""COMPUTED_VALUE"""),0.3363)</f>
        <v>0.3363</v>
      </c>
      <c r="O1022" s="208">
        <f>IFERROR(__xludf.DUMMYFUNCTION("""COMPUTED_VALUE"""),189.0)</f>
        <v>189</v>
      </c>
      <c r="P1022" s="208">
        <f>IFERROR(__xludf.DUMMYFUNCTION("""COMPUTED_VALUE"""),177.0)</f>
        <v>177</v>
      </c>
      <c r="Q1022" s="276">
        <f>IFERROR(__xludf.DUMMYFUNCTION("""COMPUTED_VALUE"""),0.0199)</f>
        <v>0.0199</v>
      </c>
      <c r="R1022" s="276">
        <f>IFERROR(__xludf.DUMMYFUNCTION("""COMPUTED_VALUE"""),0.0592)</f>
        <v>0.0592</v>
      </c>
      <c r="S1022" s="208">
        <f>IFERROR(__xludf.DUMMYFUNCTION("""COMPUTED_VALUE"""),3.0)</f>
        <v>3</v>
      </c>
      <c r="T1022" s="208">
        <f>IFERROR(__xludf.DUMMYFUNCTION("""COMPUTED_VALUE"""),6.0)</f>
        <v>6</v>
      </c>
      <c r="U1022" s="275">
        <f>IFERROR(__xludf.DUMMYFUNCTION("""COMPUTED_VALUE"""),13762.0)</f>
        <v>13762</v>
      </c>
      <c r="V1022" s="234" t="str">
        <f>IFERROR(__xludf.DUMMYFUNCTION("""COMPUTED_VALUE"""),"offline")</f>
        <v>offline</v>
      </c>
      <c r="W1022" s="232" t="str">
        <f>IFERROR(__xludf.DUMMYFUNCTION("""COMPUTED_VALUE"""),"simple")</f>
        <v>simple</v>
      </c>
      <c r="X1022" s="232" t="str">
        <f>IFERROR(__xludf.DUMMYFUNCTION("""COMPUTED_VALUE"""),"City Specific")</f>
        <v>City Specific</v>
      </c>
      <c r="Y1022" s="232" t="str">
        <f>IFERROR(__xludf.DUMMYFUNCTION("""COMPUTED_VALUE"""),"4-6 July")</f>
        <v>4-6 July</v>
      </c>
      <c r="Z1022" s="232" t="str">
        <f>IFERROR(__xludf.DUMMYFUNCTION("""COMPUTED_VALUE"""),"6a43ad0cc1ef5852707e947c")</f>
        <v>6a43ad0cc1ef5852707e947c</v>
      </c>
      <c r="AA1022" s="277">
        <f>IFERROR(__xludf.DUMMYFUNCTION("""COMPUTED_VALUE"""),40.0)</f>
        <v>40</v>
      </c>
      <c r="AB1022" s="277"/>
      <c r="AC1022" s="277">
        <f>IFERROR(__xludf.DUMMYFUNCTION("""COMPUTED_VALUE"""),40.0)</f>
        <v>40</v>
      </c>
      <c r="AD1022" s="277">
        <f>IFERROR(__xludf.DUMMYFUNCTION("""COMPUTED_VALUE"""),159270.0)</f>
        <v>159270</v>
      </c>
      <c r="AE1022" s="277"/>
      <c r="AF1022" s="277">
        <f>IFERROR(__xludf.DUMMYFUNCTION("""COMPUTED_VALUE"""),159270.0)</f>
        <v>159270</v>
      </c>
      <c r="AG1022" s="208"/>
      <c r="AH1022" s="208"/>
      <c r="AI1022" s="208"/>
      <c r="AJ1022" s="208"/>
      <c r="AK1022" s="208"/>
    </row>
    <row r="1023">
      <c r="A1023" s="288">
        <f>IFERROR(__xludf.DUMMYFUNCTION("""COMPUTED_VALUE"""),46207.0)</f>
        <v>46207</v>
      </c>
      <c r="B1023" s="274">
        <f>IFERROR(__xludf.DUMMYFUNCTION("""COMPUTED_VALUE"""),0.5)</f>
        <v>0.5</v>
      </c>
      <c r="C1023" s="208" t="str">
        <f>IFERROR(__xludf.DUMMYFUNCTION("""COMPUTED_VALUE"""),"Whatsapp")</f>
        <v>Whatsapp</v>
      </c>
      <c r="D1023" s="208" t="str">
        <f>IFERROR(__xludf.DUMMYFUNCTION("""COMPUTED_VALUE"""),"Promotional")</f>
        <v>Promotional</v>
      </c>
      <c r="E1023" s="208" t="str">
        <f>IFERROR(__xludf.DUMMYFUNCTION("""COMPUTED_VALUE"""),"BBW")</f>
        <v>BBW</v>
      </c>
      <c r="F1023" s="208" t="str">
        <f>IFERROR(__xludf.DUMMYFUNCTION("""COMPUTED_VALUE"""),"B2G2 - July'26 - Entire Store")</f>
        <v>B2G2 - July'26 - Entire Store</v>
      </c>
      <c r="G1023" s="208" t="str">
        <f>IFERROR(__xludf.DUMMYFUNCTION("""COMPUTED_VALUE"""),"bbw_wa_b2g2_4july_lastreminder_ahd_offline")</f>
        <v>bbw_wa_b2g2_4july_lastreminder_ahd_offline</v>
      </c>
      <c r="H1023" s="232" t="str">
        <f>IFERROR(__xludf.DUMMYFUNCTION("""COMPUTED_VALUE"""),"BBW_OFF_AHD_Active, BBW_OFF_AHD_Dorm")</f>
        <v>BBW_OFF_AHD_Active, BBW_OFF_AHD_Dorm</v>
      </c>
      <c r="I1023" s="233" t="str">
        <f>IFERROR(__xludf.DUMMYFUNCTION("""COMPUTED_VALUE"""),"All Offline Customers who have purchased at least 1 time from Txn_City AHD in the last 112 days (TTR), All Offline Customers who have purchased at least 1 time from Txn_City AHD in the last 365 days excluding TTR purchasers")</f>
        <v>All Offline Customers who have purchased at least 1 time from Txn_City AHD in the last 112 days (TTR), All Offline Customers who have purchased at least 1 time from Txn_City AHD in the last 365 days excluding TTR purchasers</v>
      </c>
      <c r="J1023" s="275">
        <f>IFERROR(__xludf.DUMMYFUNCTION("""COMPUTED_VALUE"""),25456.0)</f>
        <v>25456</v>
      </c>
      <c r="K1023" s="275">
        <f>IFERROR(__xludf.DUMMYFUNCTION("""COMPUTED_VALUE"""),11359.0)</f>
        <v>11359</v>
      </c>
      <c r="L1023" s="276">
        <f>IFERROR(__xludf.DUMMYFUNCTION("""COMPUTED_VALUE"""),0.4462)</f>
        <v>0.4462</v>
      </c>
      <c r="M1023" s="275">
        <f>IFERROR(__xludf.DUMMYFUNCTION("""COMPUTED_VALUE"""),4585.0)</f>
        <v>4585</v>
      </c>
      <c r="N1023" s="276">
        <f>IFERROR(__xludf.DUMMYFUNCTION("""COMPUTED_VALUE"""),0.4034)</f>
        <v>0.4034</v>
      </c>
      <c r="O1023" s="208">
        <f>IFERROR(__xludf.DUMMYFUNCTION("""COMPUTED_VALUE"""),254.0)</f>
        <v>254</v>
      </c>
      <c r="P1023" s="208">
        <f>IFERROR(__xludf.DUMMYFUNCTION("""COMPUTED_VALUE"""),242.0)</f>
        <v>242</v>
      </c>
      <c r="Q1023" s="276">
        <f>IFERROR(__xludf.DUMMYFUNCTION("""COMPUTED_VALUE"""),0.0213)</f>
        <v>0.0213</v>
      </c>
      <c r="R1023" s="276">
        <f>IFERROR(__xludf.DUMMYFUNCTION("""COMPUTED_VALUE"""),0.0528)</f>
        <v>0.0528</v>
      </c>
      <c r="S1023" s="208">
        <f>IFERROR(__xludf.DUMMYFUNCTION("""COMPUTED_VALUE"""),3.0)</f>
        <v>3</v>
      </c>
      <c r="T1023" s="208">
        <f>IFERROR(__xludf.DUMMYFUNCTION("""COMPUTED_VALUE"""),8.0)</f>
        <v>8</v>
      </c>
      <c r="U1023" s="275">
        <f>IFERROR(__xludf.DUMMYFUNCTION("""COMPUTED_VALUE"""),12112.0)</f>
        <v>12112</v>
      </c>
      <c r="V1023" s="234" t="str">
        <f>IFERROR(__xludf.DUMMYFUNCTION("""COMPUTED_VALUE"""),"offline")</f>
        <v>offline</v>
      </c>
      <c r="W1023" s="232" t="str">
        <f>IFERROR(__xludf.DUMMYFUNCTION("""COMPUTED_VALUE"""),"simple")</f>
        <v>simple</v>
      </c>
      <c r="X1023" s="232" t="str">
        <f>IFERROR(__xludf.DUMMYFUNCTION("""COMPUTED_VALUE"""),"City Specific")</f>
        <v>City Specific</v>
      </c>
      <c r="Y1023" s="232" t="str">
        <f>IFERROR(__xludf.DUMMYFUNCTION("""COMPUTED_VALUE"""),"4-6 July")</f>
        <v>4-6 July</v>
      </c>
      <c r="Z1023" s="232" t="str">
        <f>IFERROR(__xludf.DUMMYFUNCTION("""COMPUTED_VALUE"""),"6a43ad9cfa10745c5383c597")</f>
        <v>6a43ad9cfa10745c5383c597</v>
      </c>
      <c r="AA1023" s="277">
        <f>IFERROR(__xludf.DUMMYFUNCTION("""COMPUTED_VALUE"""),83.0)</f>
        <v>83</v>
      </c>
      <c r="AB1023" s="277"/>
      <c r="AC1023" s="277">
        <f>IFERROR(__xludf.DUMMYFUNCTION("""COMPUTED_VALUE"""),83.0)</f>
        <v>83</v>
      </c>
      <c r="AD1023" s="277">
        <f>IFERROR(__xludf.DUMMYFUNCTION("""COMPUTED_VALUE"""),143004.0)</f>
        <v>143004</v>
      </c>
      <c r="AE1023" s="277"/>
      <c r="AF1023" s="277">
        <f>IFERROR(__xludf.DUMMYFUNCTION("""COMPUTED_VALUE"""),143004.0)</f>
        <v>143004</v>
      </c>
      <c r="AG1023" s="208"/>
      <c r="AH1023" s="208"/>
      <c r="AI1023" s="208"/>
      <c r="AJ1023" s="208"/>
      <c r="AK1023" s="208"/>
    </row>
    <row r="1024">
      <c r="A1024" s="288">
        <f>IFERROR(__xludf.DUMMYFUNCTION("""COMPUTED_VALUE"""),46207.0)</f>
        <v>46207</v>
      </c>
      <c r="B1024" s="274">
        <f>IFERROR(__xludf.DUMMYFUNCTION("""COMPUTED_VALUE"""),0.5)</f>
        <v>0.5</v>
      </c>
      <c r="C1024" s="208" t="str">
        <f>IFERROR(__xludf.DUMMYFUNCTION("""COMPUTED_VALUE"""),"Whatsapp")</f>
        <v>Whatsapp</v>
      </c>
      <c r="D1024" s="208" t="str">
        <f>IFERROR(__xludf.DUMMYFUNCTION("""COMPUTED_VALUE"""),"Promotional")</f>
        <v>Promotional</v>
      </c>
      <c r="E1024" s="208" t="str">
        <f>IFERROR(__xludf.DUMMYFUNCTION("""COMPUTED_VALUE"""),"BBW")</f>
        <v>BBW</v>
      </c>
      <c r="F1024" s="208" t="str">
        <f>IFERROR(__xludf.DUMMYFUNCTION("""COMPUTED_VALUE"""),"B2G2 - July'26 - Entire Store")</f>
        <v>B2G2 - July'26 - Entire Store</v>
      </c>
      <c r="G1024" s="208" t="str">
        <f>IFERROR(__xludf.DUMMYFUNCTION("""COMPUTED_VALUE"""),"bbw_wa_b2g2_4july_lastreminder_chd_offline")</f>
        <v>bbw_wa_b2g2_4july_lastreminder_chd_offline</v>
      </c>
      <c r="H1024" s="232" t="str">
        <f>IFERROR(__xludf.DUMMYFUNCTION("""COMPUTED_VALUE"""),"BBW_OFF_CHD_Active, BBW_OFF_CHD_Dorm")</f>
        <v>BBW_OFF_CHD_Active, BBW_OFF_CHD_Dorm</v>
      </c>
      <c r="I1024" s="233" t="str">
        <f>IFERROR(__xludf.DUMMYFUNCTION("""COMPUTED_VALUE"""),"All Offline Customers who have purchased at least 1 time from Txn_City CHD in the last 112 days (TTR), All Offline Customers who have purchased at least 1 time from Txn_City CHD in the last 365 days excluding TTR purchasers")</f>
        <v>All Offline Customers who have purchased at least 1 time from Txn_City CHD in the last 112 days (TTR), All Offline Customers who have purchased at least 1 time from Txn_City CHD in the last 365 days excluding TTR purchasers</v>
      </c>
      <c r="J1024" s="275">
        <f>IFERROR(__xludf.DUMMYFUNCTION("""COMPUTED_VALUE"""),22971.0)</f>
        <v>22971</v>
      </c>
      <c r="K1024" s="275">
        <f>IFERROR(__xludf.DUMMYFUNCTION("""COMPUTED_VALUE"""),9281.0)</f>
        <v>9281</v>
      </c>
      <c r="L1024" s="276">
        <f>IFERROR(__xludf.DUMMYFUNCTION("""COMPUTED_VALUE"""),0.4039)</f>
        <v>0.4039</v>
      </c>
      <c r="M1024" s="275">
        <f>IFERROR(__xludf.DUMMYFUNCTION("""COMPUTED_VALUE"""),3150.0)</f>
        <v>3150</v>
      </c>
      <c r="N1024" s="276">
        <f>IFERROR(__xludf.DUMMYFUNCTION("""COMPUTED_VALUE"""),0.3392)</f>
        <v>0.3392</v>
      </c>
      <c r="O1024" s="208">
        <f>IFERROR(__xludf.DUMMYFUNCTION("""COMPUTED_VALUE"""),201.0)</f>
        <v>201</v>
      </c>
      <c r="P1024" s="208">
        <f>IFERROR(__xludf.DUMMYFUNCTION("""COMPUTED_VALUE"""),189.0)</f>
        <v>189</v>
      </c>
      <c r="Q1024" s="276">
        <f>IFERROR(__xludf.DUMMYFUNCTION("""COMPUTED_VALUE"""),0.0204)</f>
        <v>0.0204</v>
      </c>
      <c r="R1024" s="276">
        <f>IFERROR(__xludf.DUMMYFUNCTION("""COMPUTED_VALUE"""),0.0601)</f>
        <v>0.0601</v>
      </c>
      <c r="S1024" s="208">
        <f>IFERROR(__xludf.DUMMYFUNCTION("""COMPUTED_VALUE"""),1.0)</f>
        <v>1</v>
      </c>
      <c r="T1024" s="208">
        <f>IFERROR(__xludf.DUMMYFUNCTION("""COMPUTED_VALUE"""),5.0)</f>
        <v>5</v>
      </c>
      <c r="U1024" s="275">
        <f>IFERROR(__xludf.DUMMYFUNCTION("""COMPUTED_VALUE"""),7494.0)</f>
        <v>7494</v>
      </c>
      <c r="V1024" s="234" t="str">
        <f>IFERROR(__xludf.DUMMYFUNCTION("""COMPUTED_VALUE"""),"offline")</f>
        <v>offline</v>
      </c>
      <c r="W1024" s="232" t="str">
        <f>IFERROR(__xludf.DUMMYFUNCTION("""COMPUTED_VALUE"""),"simple")</f>
        <v>simple</v>
      </c>
      <c r="X1024" s="232" t="str">
        <f>IFERROR(__xludf.DUMMYFUNCTION("""COMPUTED_VALUE"""),"City Specific")</f>
        <v>City Specific</v>
      </c>
      <c r="Y1024" s="232" t="str">
        <f>IFERROR(__xludf.DUMMYFUNCTION("""COMPUTED_VALUE"""),"4-6 July")</f>
        <v>4-6 July</v>
      </c>
      <c r="Z1024" s="232" t="str">
        <f>IFERROR(__xludf.DUMMYFUNCTION("""COMPUTED_VALUE"""),"6a43af02c49a44f315e574eb")</f>
        <v>6a43af02c49a44f315e574eb</v>
      </c>
      <c r="AA1024" s="277">
        <f>IFERROR(__xludf.DUMMYFUNCTION("""COMPUTED_VALUE"""),58.0)</f>
        <v>58</v>
      </c>
      <c r="AB1024" s="277"/>
      <c r="AC1024" s="277">
        <f>IFERROR(__xludf.DUMMYFUNCTION("""COMPUTED_VALUE"""),58.0)</f>
        <v>58</v>
      </c>
      <c r="AD1024" s="277">
        <f>IFERROR(__xludf.DUMMYFUNCTION("""COMPUTED_VALUE"""),263490.0)</f>
        <v>263490</v>
      </c>
      <c r="AE1024" s="277"/>
      <c r="AF1024" s="277">
        <f>IFERROR(__xludf.DUMMYFUNCTION("""COMPUTED_VALUE"""),263490.0)</f>
        <v>263490</v>
      </c>
      <c r="AG1024" s="208"/>
      <c r="AH1024" s="208"/>
      <c r="AI1024" s="208"/>
      <c r="AJ1024" s="208"/>
      <c r="AK1024" s="208"/>
    </row>
    <row r="1025">
      <c r="A1025" s="288">
        <f>IFERROR(__xludf.DUMMYFUNCTION("""COMPUTED_VALUE"""),46207.0)</f>
        <v>46207</v>
      </c>
      <c r="B1025" s="274">
        <f>IFERROR(__xludf.DUMMYFUNCTION("""COMPUTED_VALUE"""),0.5)</f>
        <v>0.5</v>
      </c>
      <c r="C1025" s="208" t="str">
        <f>IFERROR(__xludf.DUMMYFUNCTION("""COMPUTED_VALUE"""),"Whatsapp")</f>
        <v>Whatsapp</v>
      </c>
      <c r="D1025" s="208" t="str">
        <f>IFERROR(__xludf.DUMMYFUNCTION("""COMPUTED_VALUE"""),"Promotional")</f>
        <v>Promotional</v>
      </c>
      <c r="E1025" s="208" t="str">
        <f>IFERROR(__xludf.DUMMYFUNCTION("""COMPUTED_VALUE"""),"BBW")</f>
        <v>BBW</v>
      </c>
      <c r="F1025" s="208" t="str">
        <f>IFERROR(__xludf.DUMMYFUNCTION("""COMPUTED_VALUE"""),"B2G2 - July'26 - Entire Store")</f>
        <v>B2G2 - July'26 - Entire Store</v>
      </c>
      <c r="G1025" s="208" t="str">
        <f>IFERROR(__xludf.DUMMYFUNCTION("""COMPUTED_VALUE"""),"bbw_wa_b2g2_4july_lastreminder_noida_offline")</f>
        <v>bbw_wa_b2g2_4july_lastreminder_noida_offline</v>
      </c>
      <c r="H1025" s="232" t="str">
        <f>IFERROR(__xludf.DUMMYFUNCTION("""COMPUTED_VALUE"""),"BBW_OFF_NOIDA_Active, BBW_OFF_NOIDA_Dorm")</f>
        <v>BBW_OFF_NOIDA_Active, BBW_OFF_NOIDA_Dorm</v>
      </c>
      <c r="I1025" s="233" t="str">
        <f>IFERROR(__xludf.DUMMYFUNCTION("""COMPUTED_VALUE"""),"All Offline Customers who have purchased at least 1 time from Txn_City NOIDA in the last 112 days (TTR), All Offline Customers who have purchased at least 1 time from Txn_City NOIDA in the last 365 days excluding TTR purchasers")</f>
        <v>All Offline Customers who have purchased at least 1 time from Txn_City NOIDA in the last 112 days (TTR), All Offline Customers who have purchased at least 1 time from Txn_City NOIDA in the last 365 days excluding TTR purchasers</v>
      </c>
      <c r="J1025" s="275">
        <f>IFERROR(__xludf.DUMMYFUNCTION("""COMPUTED_VALUE"""),22114.0)</f>
        <v>22114</v>
      </c>
      <c r="K1025" s="275">
        <f>IFERROR(__xludf.DUMMYFUNCTION("""COMPUTED_VALUE"""),7386.0)</f>
        <v>7386</v>
      </c>
      <c r="L1025" s="276">
        <f>IFERROR(__xludf.DUMMYFUNCTION("""COMPUTED_VALUE"""),0.334)</f>
        <v>0.334</v>
      </c>
      <c r="M1025" s="275">
        <f>IFERROR(__xludf.DUMMYFUNCTION("""COMPUTED_VALUE"""),2123.0)</f>
        <v>2123</v>
      </c>
      <c r="N1025" s="276">
        <f>IFERROR(__xludf.DUMMYFUNCTION("""COMPUTED_VALUE"""),0.2874)</f>
        <v>0.2874</v>
      </c>
      <c r="O1025" s="208">
        <f>IFERROR(__xludf.DUMMYFUNCTION("""COMPUTED_VALUE"""),175.0)</f>
        <v>175</v>
      </c>
      <c r="P1025" s="208">
        <f>IFERROR(__xludf.DUMMYFUNCTION("""COMPUTED_VALUE"""),167.0)</f>
        <v>167</v>
      </c>
      <c r="Q1025" s="276">
        <f>IFERROR(__xludf.DUMMYFUNCTION("""COMPUTED_VALUE"""),0.0226)</f>
        <v>0.0226</v>
      </c>
      <c r="R1025" s="276">
        <f>IFERROR(__xludf.DUMMYFUNCTION("""COMPUTED_VALUE"""),0.0787)</f>
        <v>0.0787</v>
      </c>
      <c r="S1025" s="208">
        <f>IFERROR(__xludf.DUMMYFUNCTION("""COMPUTED_VALUE"""),0.0)</f>
        <v>0</v>
      </c>
      <c r="T1025" s="208">
        <f>IFERROR(__xludf.DUMMYFUNCTION("""COMPUTED_VALUE"""),6.0)</f>
        <v>6</v>
      </c>
      <c r="U1025" s="275">
        <f>IFERROR(__xludf.DUMMYFUNCTION("""COMPUTED_VALUE"""),0.0)</f>
        <v>0</v>
      </c>
      <c r="V1025" s="234" t="str">
        <f>IFERROR(__xludf.DUMMYFUNCTION("""COMPUTED_VALUE"""),"offline")</f>
        <v>offline</v>
      </c>
      <c r="W1025" s="232" t="str">
        <f>IFERROR(__xludf.DUMMYFUNCTION("""COMPUTED_VALUE"""),"simple")</f>
        <v>simple</v>
      </c>
      <c r="X1025" s="232" t="str">
        <f>IFERROR(__xludf.DUMMYFUNCTION("""COMPUTED_VALUE"""),"City Specific")</f>
        <v>City Specific</v>
      </c>
      <c r="Y1025" s="232" t="str">
        <f>IFERROR(__xludf.DUMMYFUNCTION("""COMPUTED_VALUE"""),"4-6 July")</f>
        <v>4-6 July</v>
      </c>
      <c r="Z1025" s="232" t="str">
        <f>IFERROR(__xludf.DUMMYFUNCTION("""COMPUTED_VALUE"""),"6a43af74031150d2cc275e90")</f>
        <v>6a43af74031150d2cc275e90</v>
      </c>
      <c r="AA1025" s="277">
        <f>IFERROR(__xludf.DUMMYFUNCTION("""COMPUTED_VALUE"""),52.0)</f>
        <v>52</v>
      </c>
      <c r="AB1025" s="277"/>
      <c r="AC1025" s="277">
        <f>IFERROR(__xludf.DUMMYFUNCTION("""COMPUTED_VALUE"""),52.0)</f>
        <v>52</v>
      </c>
      <c r="AD1025" s="277">
        <f>IFERROR(__xludf.DUMMYFUNCTION("""COMPUTED_VALUE"""),190957.0)</f>
        <v>190957</v>
      </c>
      <c r="AE1025" s="277"/>
      <c r="AF1025" s="277">
        <f>IFERROR(__xludf.DUMMYFUNCTION("""COMPUTED_VALUE"""),190957.0)</f>
        <v>190957</v>
      </c>
      <c r="AG1025" s="208"/>
      <c r="AH1025" s="208"/>
      <c r="AI1025" s="208"/>
      <c r="AJ1025" s="208"/>
      <c r="AK1025" s="208"/>
    </row>
    <row r="1026">
      <c r="A1026" s="288">
        <f>IFERROR(__xludf.DUMMYFUNCTION("""COMPUTED_VALUE"""),46207.0)</f>
        <v>46207</v>
      </c>
      <c r="B1026" s="274">
        <f>IFERROR(__xludf.DUMMYFUNCTION("""COMPUTED_VALUE"""),0.5)</f>
        <v>0.5</v>
      </c>
      <c r="C1026" s="208" t="str">
        <f>IFERROR(__xludf.DUMMYFUNCTION("""COMPUTED_VALUE"""),"Whatsapp")</f>
        <v>Whatsapp</v>
      </c>
      <c r="D1026" s="208" t="str">
        <f>IFERROR(__xludf.DUMMYFUNCTION("""COMPUTED_VALUE"""),"Promotional")</f>
        <v>Promotional</v>
      </c>
      <c r="E1026" s="208" t="str">
        <f>IFERROR(__xludf.DUMMYFUNCTION("""COMPUTED_VALUE"""),"BBW")</f>
        <v>BBW</v>
      </c>
      <c r="F1026" s="208" t="str">
        <f>IFERROR(__xludf.DUMMYFUNCTION("""COMPUTED_VALUE"""),"B2G2 - July'26 - Entire Store")</f>
        <v>B2G2 - July'26 - Entire Store</v>
      </c>
      <c r="G1026" s="208" t="str">
        <f>IFERROR(__xludf.DUMMYFUNCTION("""COMPUTED_VALUE"""),"bbw_wa_b2g2_4july_lastreminder_chenn_offline")</f>
        <v>bbw_wa_b2g2_4july_lastreminder_chenn_offline</v>
      </c>
      <c r="H1026" s="232" t="str">
        <f>IFERROR(__xludf.DUMMYFUNCTION("""COMPUTED_VALUE"""),"BBW_OFF_Chennai_Active, BBW_OFF_Chennai_Dorm")</f>
        <v>BBW_OFF_Chennai_Active, BBW_OFF_Chennai_Dorm</v>
      </c>
      <c r="I1026" s="233" t="str">
        <f>IFERROR(__xludf.DUMMYFUNCTION("""COMPUTED_VALUE"""),"All Offline Customers who have purchased at least 1 time from Txn_City CHENNAI in the last 112 days (TTR), All Offline Customers who have purchased at least 1 time from Txn_City CHENNAI in the last 365 days excluding TTR purchasers")</f>
        <v>All Offline Customers who have purchased at least 1 time from Txn_City CHENNAI in the last 112 days (TTR), All Offline Customers who have purchased at least 1 time from Txn_City CHENNAI in the last 365 days excluding TTR purchasers</v>
      </c>
      <c r="J1026" s="275">
        <f>IFERROR(__xludf.DUMMYFUNCTION("""COMPUTED_VALUE"""),22318.0)</f>
        <v>22318</v>
      </c>
      <c r="K1026" s="275">
        <f>IFERROR(__xludf.DUMMYFUNCTION("""COMPUTED_VALUE"""),8527.0)</f>
        <v>8527</v>
      </c>
      <c r="L1026" s="276">
        <f>IFERROR(__xludf.DUMMYFUNCTION("""COMPUTED_VALUE"""),0.382)</f>
        <v>0.382</v>
      </c>
      <c r="M1026" s="275">
        <f>IFERROR(__xludf.DUMMYFUNCTION("""COMPUTED_VALUE"""),2838.0)</f>
        <v>2838</v>
      </c>
      <c r="N1026" s="276">
        <f>IFERROR(__xludf.DUMMYFUNCTION("""COMPUTED_VALUE"""),0.3326)</f>
        <v>0.3326</v>
      </c>
      <c r="O1026" s="208">
        <f>IFERROR(__xludf.DUMMYFUNCTION("""COMPUTED_VALUE"""),175.0)</f>
        <v>175</v>
      </c>
      <c r="P1026" s="208">
        <f>IFERROR(__xludf.DUMMYFUNCTION("""COMPUTED_VALUE"""),162.0)</f>
        <v>162</v>
      </c>
      <c r="Q1026" s="276">
        <f>IFERROR(__xludf.DUMMYFUNCTION("""COMPUTED_VALUE"""),0.019)</f>
        <v>0.019</v>
      </c>
      <c r="R1026" s="276">
        <f>IFERROR(__xludf.DUMMYFUNCTION("""COMPUTED_VALUE"""),0.0571)</f>
        <v>0.0571</v>
      </c>
      <c r="S1026" s="208">
        <f>IFERROR(__xludf.DUMMYFUNCTION("""COMPUTED_VALUE"""),3.0)</f>
        <v>3</v>
      </c>
      <c r="T1026" s="208">
        <f>IFERROR(__xludf.DUMMYFUNCTION("""COMPUTED_VALUE"""),10.0)</f>
        <v>10</v>
      </c>
      <c r="U1026" s="275">
        <f>IFERROR(__xludf.DUMMYFUNCTION("""COMPUTED_VALUE"""),8147.0)</f>
        <v>8147</v>
      </c>
      <c r="V1026" s="234" t="str">
        <f>IFERROR(__xludf.DUMMYFUNCTION("""COMPUTED_VALUE"""),"offline")</f>
        <v>offline</v>
      </c>
      <c r="W1026" s="232" t="str">
        <f>IFERROR(__xludf.DUMMYFUNCTION("""COMPUTED_VALUE"""),"simple")</f>
        <v>simple</v>
      </c>
      <c r="X1026" s="232" t="str">
        <f>IFERROR(__xludf.DUMMYFUNCTION("""COMPUTED_VALUE"""),"City Specific")</f>
        <v>City Specific</v>
      </c>
      <c r="Y1026" s="232" t="str">
        <f>IFERROR(__xludf.DUMMYFUNCTION("""COMPUTED_VALUE"""),"4-6 July")</f>
        <v>4-6 July</v>
      </c>
      <c r="Z1026" s="232" t="str">
        <f>IFERROR(__xludf.DUMMYFUNCTION("""COMPUTED_VALUE"""),"6a43afb49a68888d5728928a")</f>
        <v>6a43afb49a68888d5728928a</v>
      </c>
      <c r="AA1026" s="277">
        <f>IFERROR(__xludf.DUMMYFUNCTION("""COMPUTED_VALUE"""),59.0)</f>
        <v>59</v>
      </c>
      <c r="AB1026" s="277"/>
      <c r="AC1026" s="277">
        <f>IFERROR(__xludf.DUMMYFUNCTION("""COMPUTED_VALUE"""),59.0)</f>
        <v>59</v>
      </c>
      <c r="AD1026" s="277">
        <f>IFERROR(__xludf.DUMMYFUNCTION("""COMPUTED_VALUE"""),274469.0)</f>
        <v>274469</v>
      </c>
      <c r="AE1026" s="277"/>
      <c r="AF1026" s="277">
        <f>IFERROR(__xludf.DUMMYFUNCTION("""COMPUTED_VALUE"""),274469.0)</f>
        <v>274469</v>
      </c>
      <c r="AG1026" s="208"/>
      <c r="AH1026" s="208"/>
      <c r="AI1026" s="208"/>
      <c r="AJ1026" s="208"/>
      <c r="AK1026" s="208"/>
    </row>
    <row r="1027">
      <c r="A1027" s="288">
        <f>IFERROR(__xludf.DUMMYFUNCTION("""COMPUTED_VALUE"""),46207.0)</f>
        <v>46207</v>
      </c>
      <c r="B1027" s="274">
        <f>IFERROR(__xludf.DUMMYFUNCTION("""COMPUTED_VALUE"""),0.5)</f>
        <v>0.5</v>
      </c>
      <c r="C1027" s="208" t="str">
        <f>IFERROR(__xludf.DUMMYFUNCTION("""COMPUTED_VALUE"""),"Whatsapp")</f>
        <v>Whatsapp</v>
      </c>
      <c r="D1027" s="208" t="str">
        <f>IFERROR(__xludf.DUMMYFUNCTION("""COMPUTED_VALUE"""),"Promotional")</f>
        <v>Promotional</v>
      </c>
      <c r="E1027" s="208" t="str">
        <f>IFERROR(__xludf.DUMMYFUNCTION("""COMPUTED_VALUE"""),"BBW")</f>
        <v>BBW</v>
      </c>
      <c r="F1027" s="208" t="str">
        <f>IFERROR(__xludf.DUMMYFUNCTION("""COMPUTED_VALUE"""),"B2G2 - July'26 - Entire Store")</f>
        <v>B2G2 - July'26 - Entire Store</v>
      </c>
      <c r="G1027" s="208" t="str">
        <f>IFERROR(__xludf.DUMMYFUNCTION("""COMPUTED_VALUE"""),"bbw_wa_b2g2_4july_lastreminder_ggn_offline")</f>
        <v>bbw_wa_b2g2_4july_lastreminder_ggn_offline</v>
      </c>
      <c r="H1027" s="232" t="str">
        <f>IFERROR(__xludf.DUMMYFUNCTION("""COMPUTED_VALUE"""),"BBW_OFF_GGN_Active, BBW_OFF_GGN_Dorm")</f>
        <v>BBW_OFF_GGN_Active, BBW_OFF_GGN_Dorm</v>
      </c>
      <c r="I1027" s="233" t="str">
        <f>IFERROR(__xludf.DUMMYFUNCTION("""COMPUTED_VALUE"""),"All Offline Customers who have purchased at least 1 time from Txn_City GGN in the last 112 days (TTR), All Offline Customers who have purchased at least 1 time from Txn_City GGN in the last 365 days excluding TTR purchasers")</f>
        <v>All Offline Customers who have purchased at least 1 time from Txn_City GGN in the last 112 days (TTR), All Offline Customers who have purchased at least 1 time from Txn_City GGN in the last 365 days excluding TTR purchasers</v>
      </c>
      <c r="J1027" s="275">
        <f>IFERROR(__xludf.DUMMYFUNCTION("""COMPUTED_VALUE"""),17605.0)</f>
        <v>17605</v>
      </c>
      <c r="K1027" s="275">
        <f>IFERROR(__xludf.DUMMYFUNCTION("""COMPUTED_VALUE"""),5448.0)</f>
        <v>5448</v>
      </c>
      <c r="L1027" s="276">
        <f>IFERROR(__xludf.DUMMYFUNCTION("""COMPUTED_VALUE"""),0.3095)</f>
        <v>0.3095</v>
      </c>
      <c r="M1027" s="275">
        <f>IFERROR(__xludf.DUMMYFUNCTION("""COMPUTED_VALUE"""),1536.0)</f>
        <v>1536</v>
      </c>
      <c r="N1027" s="276">
        <f>IFERROR(__xludf.DUMMYFUNCTION("""COMPUTED_VALUE"""),0.2816)</f>
        <v>0.2816</v>
      </c>
      <c r="O1027" s="208">
        <f>IFERROR(__xludf.DUMMYFUNCTION("""COMPUTED_VALUE"""),121.0)</f>
        <v>121</v>
      </c>
      <c r="P1027" s="208">
        <f>IFERROR(__xludf.DUMMYFUNCTION("""COMPUTED_VALUE"""),114.0)</f>
        <v>114</v>
      </c>
      <c r="Q1027" s="276">
        <f>IFERROR(__xludf.DUMMYFUNCTION("""COMPUTED_VALUE"""),0.0209)</f>
        <v>0.0209</v>
      </c>
      <c r="R1027" s="276">
        <f>IFERROR(__xludf.DUMMYFUNCTION("""COMPUTED_VALUE"""),0.0743)</f>
        <v>0.0743</v>
      </c>
      <c r="S1027" s="208">
        <f>IFERROR(__xludf.DUMMYFUNCTION("""COMPUTED_VALUE"""),1.0)</f>
        <v>1</v>
      </c>
      <c r="T1027" s="208">
        <f>IFERROR(__xludf.DUMMYFUNCTION("""COMPUTED_VALUE"""),4.0)</f>
        <v>4</v>
      </c>
      <c r="U1027" s="275">
        <f>IFERROR(__xludf.DUMMYFUNCTION("""COMPUTED_VALUE"""),929.0)</f>
        <v>929</v>
      </c>
      <c r="V1027" s="234" t="str">
        <f>IFERROR(__xludf.DUMMYFUNCTION("""COMPUTED_VALUE"""),"offline")</f>
        <v>offline</v>
      </c>
      <c r="W1027" s="232" t="str">
        <f>IFERROR(__xludf.DUMMYFUNCTION("""COMPUTED_VALUE"""),"simple")</f>
        <v>simple</v>
      </c>
      <c r="X1027" s="232" t="str">
        <f>IFERROR(__xludf.DUMMYFUNCTION("""COMPUTED_VALUE"""),"City Specific")</f>
        <v>City Specific</v>
      </c>
      <c r="Y1027" s="232" t="str">
        <f>IFERROR(__xludf.DUMMYFUNCTION("""COMPUTED_VALUE"""),"4-6 July")</f>
        <v>4-6 July</v>
      </c>
      <c r="Z1027" s="232" t="str">
        <f>IFERROR(__xludf.DUMMYFUNCTION("""COMPUTED_VALUE"""),"6a43afe7f2b16e9ec3c9a51f")</f>
        <v>6a43afe7f2b16e9ec3c9a51f</v>
      </c>
      <c r="AA1027" s="277">
        <f>IFERROR(__xludf.DUMMYFUNCTION("""COMPUTED_VALUE"""),40.0)</f>
        <v>40</v>
      </c>
      <c r="AB1027" s="277"/>
      <c r="AC1027" s="277">
        <f>IFERROR(__xludf.DUMMYFUNCTION("""COMPUTED_VALUE"""),40.0)</f>
        <v>40</v>
      </c>
      <c r="AD1027" s="277">
        <f>IFERROR(__xludf.DUMMYFUNCTION("""COMPUTED_VALUE"""),280157.0)</f>
        <v>280157</v>
      </c>
      <c r="AE1027" s="277"/>
      <c r="AF1027" s="277">
        <f>IFERROR(__xludf.DUMMYFUNCTION("""COMPUTED_VALUE"""),280157.0)</f>
        <v>280157</v>
      </c>
      <c r="AG1027" s="208"/>
      <c r="AH1027" s="208"/>
      <c r="AI1027" s="208"/>
      <c r="AJ1027" s="208"/>
      <c r="AK1027" s="208"/>
    </row>
    <row r="1028">
      <c r="A1028" s="288">
        <f>IFERROR(__xludf.DUMMYFUNCTION("""COMPUTED_VALUE"""),46207.0)</f>
        <v>46207</v>
      </c>
      <c r="B1028" s="274">
        <f>IFERROR(__xludf.DUMMYFUNCTION("""COMPUTED_VALUE"""),0.5)</f>
        <v>0.5</v>
      </c>
      <c r="C1028" s="208" t="str">
        <f>IFERROR(__xludf.DUMMYFUNCTION("""COMPUTED_VALUE"""),"Whatsapp")</f>
        <v>Whatsapp</v>
      </c>
      <c r="D1028" s="208" t="str">
        <f>IFERROR(__xludf.DUMMYFUNCTION("""COMPUTED_VALUE"""),"Promotional")</f>
        <v>Promotional</v>
      </c>
      <c r="E1028" s="208" t="str">
        <f>IFERROR(__xludf.DUMMYFUNCTION("""COMPUTED_VALUE"""),"BBW")</f>
        <v>BBW</v>
      </c>
      <c r="F1028" s="208" t="str">
        <f>IFERROR(__xludf.DUMMYFUNCTION("""COMPUTED_VALUE"""),"B2G2 - July'26 - Entire Store")</f>
        <v>B2G2 - July'26 - Entire Store</v>
      </c>
      <c r="G1028" s="208" t="str">
        <f>IFERROR(__xludf.DUMMYFUNCTION("""COMPUTED_VALUE"""),"bbw_wa_b2g2_4july_lastreminder_pune_offline")</f>
        <v>bbw_wa_b2g2_4july_lastreminder_pune_offline</v>
      </c>
      <c r="H1028" s="232" t="str">
        <f>IFERROR(__xludf.DUMMYFUNCTION("""COMPUTED_VALUE"""),"BBW_OFF_PUNE_Active, BBW_OFF_PUNE_Dorm")</f>
        <v>BBW_OFF_PUNE_Active, BBW_OFF_PUNE_Dorm</v>
      </c>
      <c r="I1028" s="233" t="str">
        <f>IFERROR(__xludf.DUMMYFUNCTION("""COMPUTED_VALUE"""),"All Offline Customers who have purchased at least 1 time from Txn_City PUNE in the last 112 days (TTR), All Offline Customers who have purchased at least 1 time from Txn_City PUNE in the last 365 days excluding TTR purchasers")</f>
        <v>All Offline Customers who have purchased at least 1 time from Txn_City PUNE in the last 112 days (TTR), All Offline Customers who have purchased at least 1 time from Txn_City PUNE in the last 365 days excluding TTR purchasers</v>
      </c>
      <c r="J1028" s="275">
        <f>IFERROR(__xludf.DUMMYFUNCTION("""COMPUTED_VALUE"""),12710.0)</f>
        <v>12710</v>
      </c>
      <c r="K1028" s="275">
        <f>IFERROR(__xludf.DUMMYFUNCTION("""COMPUTED_VALUE"""),4788.0)</f>
        <v>4788</v>
      </c>
      <c r="L1028" s="276">
        <f>IFERROR(__xludf.DUMMYFUNCTION("""COMPUTED_VALUE"""),0.3767)</f>
        <v>0.3767</v>
      </c>
      <c r="M1028" s="275">
        <f>IFERROR(__xludf.DUMMYFUNCTION("""COMPUTED_VALUE"""),1637.0)</f>
        <v>1637</v>
      </c>
      <c r="N1028" s="276">
        <f>IFERROR(__xludf.DUMMYFUNCTION("""COMPUTED_VALUE"""),0.3417)</f>
        <v>0.3417</v>
      </c>
      <c r="O1028" s="208">
        <f>IFERROR(__xludf.DUMMYFUNCTION("""COMPUTED_VALUE"""),109.0)</f>
        <v>109</v>
      </c>
      <c r="P1028" s="208">
        <f>IFERROR(__xludf.DUMMYFUNCTION("""COMPUTED_VALUE"""),104.0)</f>
        <v>104</v>
      </c>
      <c r="Q1028" s="276">
        <f>IFERROR(__xludf.DUMMYFUNCTION("""COMPUTED_VALUE"""),0.0217)</f>
        <v>0.0217</v>
      </c>
      <c r="R1028" s="276">
        <f>IFERROR(__xludf.DUMMYFUNCTION("""COMPUTED_VALUE"""),0.0636)</f>
        <v>0.0636</v>
      </c>
      <c r="S1028" s="208">
        <f>IFERROR(__xludf.DUMMYFUNCTION("""COMPUTED_VALUE"""),1.0)</f>
        <v>1</v>
      </c>
      <c r="T1028" s="208">
        <f>IFERROR(__xludf.DUMMYFUNCTION("""COMPUTED_VALUE"""),3.0)</f>
        <v>3</v>
      </c>
      <c r="U1028" s="275">
        <f>IFERROR(__xludf.DUMMYFUNCTION("""COMPUTED_VALUE"""),1499.0)</f>
        <v>1499</v>
      </c>
      <c r="V1028" s="234" t="str">
        <f>IFERROR(__xludf.DUMMYFUNCTION("""COMPUTED_VALUE"""),"offline")</f>
        <v>offline</v>
      </c>
      <c r="W1028" s="232" t="str">
        <f>IFERROR(__xludf.DUMMYFUNCTION("""COMPUTED_VALUE"""),"simple")</f>
        <v>simple</v>
      </c>
      <c r="X1028" s="232" t="str">
        <f>IFERROR(__xludf.DUMMYFUNCTION("""COMPUTED_VALUE"""),"City Specific")</f>
        <v>City Specific</v>
      </c>
      <c r="Y1028" s="232" t="str">
        <f>IFERROR(__xludf.DUMMYFUNCTION("""COMPUTED_VALUE"""),"4-6 July")</f>
        <v>4-6 July</v>
      </c>
      <c r="Z1028" s="232" t="str">
        <f>IFERROR(__xludf.DUMMYFUNCTION("""COMPUTED_VALUE"""),"6a43b022daee55f4b72d6e09")</f>
        <v>6a43b022daee55f4b72d6e09</v>
      </c>
      <c r="AA1028" s="277">
        <f>IFERROR(__xludf.DUMMYFUNCTION("""COMPUTED_VALUE"""),34.0)</f>
        <v>34</v>
      </c>
      <c r="AB1028" s="277"/>
      <c r="AC1028" s="277">
        <f>IFERROR(__xludf.DUMMYFUNCTION("""COMPUTED_VALUE"""),34.0)</f>
        <v>34</v>
      </c>
      <c r="AD1028" s="277">
        <f>IFERROR(__xludf.DUMMYFUNCTION("""COMPUTED_VALUE"""),107919.0)</f>
        <v>107919</v>
      </c>
      <c r="AE1028" s="277"/>
      <c r="AF1028" s="277">
        <f>IFERROR(__xludf.DUMMYFUNCTION("""COMPUTED_VALUE"""),107919.0)</f>
        <v>107919</v>
      </c>
      <c r="AG1028" s="208"/>
      <c r="AH1028" s="208"/>
      <c r="AI1028" s="208"/>
      <c r="AJ1028" s="208"/>
      <c r="AK1028" s="208"/>
    </row>
    <row r="1029">
      <c r="A1029" s="288">
        <f>IFERROR(__xludf.DUMMYFUNCTION("""COMPUTED_VALUE"""),46205.0)</f>
        <v>46205</v>
      </c>
      <c r="B1029" s="274">
        <f>IFERROR(__xludf.DUMMYFUNCTION("""COMPUTED_VALUE"""),0.7916666666678793)</f>
        <v>0.7916666667</v>
      </c>
      <c r="C1029" s="208" t="str">
        <f>IFERROR(__xludf.DUMMYFUNCTION("""COMPUTED_VALUE"""),"Whatsapp")</f>
        <v>Whatsapp</v>
      </c>
      <c r="D1029" s="208" t="str">
        <f>IFERROR(__xludf.DUMMYFUNCTION("""COMPUTED_VALUE"""),"Promotional")</f>
        <v>Promotional</v>
      </c>
      <c r="E1029" s="208" t="str">
        <f>IFERROR(__xludf.DUMMYFUNCTION("""COMPUTED_VALUE"""),"BBW")</f>
        <v>BBW</v>
      </c>
      <c r="F1029" s="208" t="str">
        <f>IFERROR(__xludf.DUMMYFUNCTION("""COMPUTED_VALUE"""),"B2G2 - July'26 - Entire Store")</f>
        <v>B2G2 - July'26 - Entire Store</v>
      </c>
      <c r="G1029" s="208" t="str">
        <f>IFERROR(__xludf.DUMMYFUNCTION("""COMPUTED_VALUE"""),"bbw_wa_b2g2_2july_atc_wishlist_ea_online")</f>
        <v>bbw_wa_b2g2_2july_atc_wishlist_ea_online</v>
      </c>
      <c r="H1029" s="232" t="str">
        <f>IFERROR(__xludf.DUMMYFUNCTION("""COMPUTED_VALUE"""),"BBW_ON_B2G2_ATC_Wishlist_May_26")</f>
        <v>BBW_ON_B2G2_ATC_Wishlist_May_26</v>
      </c>
      <c r="I1029" s="233" t="str">
        <f>IFERROR(__xludf.DUMMYFUNCTION("""COMPUTED_VALUE"""),"Customers who have added to cart or wishlist in the last 30 days")</f>
        <v>Customers who have added to cart or wishlist in the last 30 days</v>
      </c>
      <c r="J1029" s="275">
        <f>IFERROR(__xludf.DUMMYFUNCTION("""COMPUTED_VALUE"""),7499.0)</f>
        <v>7499</v>
      </c>
      <c r="K1029" s="275">
        <f>IFERROR(__xludf.DUMMYFUNCTION("""COMPUTED_VALUE"""),3302.0)</f>
        <v>3302</v>
      </c>
      <c r="L1029" s="276">
        <f>IFERROR(__xludf.DUMMYFUNCTION("""COMPUTED_VALUE"""),0.4403)</f>
        <v>0.4403</v>
      </c>
      <c r="M1029" s="275">
        <f>IFERROR(__xludf.DUMMYFUNCTION("""COMPUTED_VALUE"""),1490.0)</f>
        <v>1490</v>
      </c>
      <c r="N1029" s="276">
        <f>IFERROR(__xludf.DUMMYFUNCTION("""COMPUTED_VALUE"""),0.4512)</f>
        <v>0.4512</v>
      </c>
      <c r="O1029" s="208">
        <f>IFERROR(__xludf.DUMMYFUNCTION("""COMPUTED_VALUE"""),386.0)</f>
        <v>386</v>
      </c>
      <c r="P1029" s="208">
        <f>IFERROR(__xludf.DUMMYFUNCTION("""COMPUTED_VALUE"""),342.0)</f>
        <v>342</v>
      </c>
      <c r="Q1029" s="276">
        <f>IFERROR(__xludf.DUMMYFUNCTION("""COMPUTED_VALUE"""),0.1036)</f>
        <v>0.1036</v>
      </c>
      <c r="R1029" s="276">
        <f>IFERROR(__xludf.DUMMYFUNCTION("""COMPUTED_VALUE"""),0.2295)</f>
        <v>0.2295</v>
      </c>
      <c r="S1029" s="208">
        <f>IFERROR(__xludf.DUMMYFUNCTION("""COMPUTED_VALUE"""),44.0)</f>
        <v>44</v>
      </c>
      <c r="T1029" s="208">
        <f>IFERROR(__xludf.DUMMYFUNCTION("""COMPUTED_VALUE"""),232.0)</f>
        <v>232</v>
      </c>
      <c r="U1029" s="275">
        <f>IFERROR(__xludf.DUMMYFUNCTION("""COMPUTED_VALUE"""),139635.0)</f>
        <v>139635</v>
      </c>
      <c r="V1029" s="234" t="str">
        <f>IFERROR(__xludf.DUMMYFUNCTION("""COMPUTED_VALUE"""),"online")</f>
        <v>online</v>
      </c>
      <c r="W1029" s="232" t="str">
        <f>IFERROR(__xludf.DUMMYFUNCTION("""COMPUTED_VALUE"""),"simple")</f>
        <v>simple</v>
      </c>
      <c r="X1029" s="232" t="str">
        <f>IFERROR(__xludf.DUMMYFUNCTION("""COMPUTED_VALUE"""),"ATC/Wishlist")</f>
        <v>ATC/Wishlist</v>
      </c>
      <c r="Y1029" s="232" t="str">
        <f>IFERROR(__xludf.DUMMYFUNCTION("""COMPUTED_VALUE"""),"2-4 July")</f>
        <v>2-4 July</v>
      </c>
      <c r="Z1029" s="232" t="str">
        <f>IFERROR(__xludf.DUMMYFUNCTION("""COMPUTED_VALUE"""),"6a43b2c8bb1296d5875540ee")</f>
        <v>6a43b2c8bb1296d5875540ee</v>
      </c>
      <c r="AA1029" s="277">
        <f>IFERROR(__xludf.DUMMYFUNCTION("""COMPUTED_VALUE"""),60.0)</f>
        <v>60</v>
      </c>
      <c r="AB1029" s="277">
        <f>IFERROR(__xludf.DUMMYFUNCTION("""COMPUTED_VALUE"""),60.0)</f>
        <v>60</v>
      </c>
      <c r="AC1029" s="277"/>
      <c r="AD1029" s="277">
        <f>IFERROR(__xludf.DUMMYFUNCTION("""COMPUTED_VALUE"""),197791.0)</f>
        <v>197791</v>
      </c>
      <c r="AE1029" s="277">
        <f>IFERROR(__xludf.DUMMYFUNCTION("""COMPUTED_VALUE"""),197791.0)</f>
        <v>197791</v>
      </c>
      <c r="AF1029" s="277"/>
      <c r="AG1029" s="208"/>
      <c r="AH1029" s="208"/>
      <c r="AI1029" s="208"/>
      <c r="AJ1029" s="208"/>
      <c r="AK1029" s="208"/>
    </row>
    <row r="1030">
      <c r="A1030" s="288">
        <f>IFERROR(__xludf.DUMMYFUNCTION("""COMPUTED_VALUE"""),46205.0)</f>
        <v>46205</v>
      </c>
      <c r="B1030" s="274">
        <f>IFERROR(__xludf.DUMMYFUNCTION("""COMPUTED_VALUE"""),0.7916666666678793)</f>
        <v>0.7916666667</v>
      </c>
      <c r="C1030" s="208" t="str">
        <f>IFERROR(__xludf.DUMMYFUNCTION("""COMPUTED_VALUE"""),"Whatsapp")</f>
        <v>Whatsapp</v>
      </c>
      <c r="D1030" s="208" t="str">
        <f>IFERROR(__xludf.DUMMYFUNCTION("""COMPUTED_VALUE"""),"Promotional")</f>
        <v>Promotional</v>
      </c>
      <c r="E1030" s="208" t="str">
        <f>IFERROR(__xludf.DUMMYFUNCTION("""COMPUTED_VALUE"""),"BBW")</f>
        <v>BBW</v>
      </c>
      <c r="F1030" s="208" t="str">
        <f>IFERROR(__xludf.DUMMYFUNCTION("""COMPUTED_VALUE"""),"B2G2 - July'26 - Entire Store")</f>
        <v>B2G2 - July'26 - Entire Store</v>
      </c>
      <c r="G1030" s="208" t="str">
        <f>IFERROR(__xludf.DUMMYFUNCTION("""COMPUTED_VALUE"""),"bbw_wa_b2g2_2july_active_ea_online")</f>
        <v>bbw_wa_b2g2_2july_active_ea_online</v>
      </c>
      <c r="H1030" s="232" t="str">
        <f>IFERROR(__xludf.DUMMYFUNCTION("""COMPUTED_VALUE"""),"BBW_ON_B2G2_Active_May_26")</f>
        <v>BBW_ON_B2G2_Active_May_26</v>
      </c>
      <c r="I1030" s="233" t="str">
        <f>IFERROR(__xludf.DUMMYFUNCTION("""COMPUTED_VALUE"""),"Online Customers who have purchased at least 1 time in the last 90 days (TTR)")</f>
        <v>Online Customers who have purchased at least 1 time in the last 90 days (TTR)</v>
      </c>
      <c r="J1030" s="275">
        <f>IFERROR(__xludf.DUMMYFUNCTION("""COMPUTED_VALUE"""),26046.0)</f>
        <v>26046</v>
      </c>
      <c r="K1030" s="275">
        <f>IFERROR(__xludf.DUMMYFUNCTION("""COMPUTED_VALUE"""),10954.0)</f>
        <v>10954</v>
      </c>
      <c r="L1030" s="276">
        <f>IFERROR(__xludf.DUMMYFUNCTION("""COMPUTED_VALUE"""),0.4205)</f>
        <v>0.4205</v>
      </c>
      <c r="M1030" s="275">
        <f>IFERROR(__xludf.DUMMYFUNCTION("""COMPUTED_VALUE"""),4371.0)</f>
        <v>4371</v>
      </c>
      <c r="N1030" s="276">
        <f>IFERROR(__xludf.DUMMYFUNCTION("""COMPUTED_VALUE"""),0.3991)</f>
        <v>0.3991</v>
      </c>
      <c r="O1030" s="208">
        <f>IFERROR(__xludf.DUMMYFUNCTION("""COMPUTED_VALUE"""),676.0)</f>
        <v>676</v>
      </c>
      <c r="P1030" s="208">
        <f>IFERROR(__xludf.DUMMYFUNCTION("""COMPUTED_VALUE"""),634.0)</f>
        <v>634</v>
      </c>
      <c r="Q1030" s="276">
        <f>IFERROR(__xludf.DUMMYFUNCTION("""COMPUTED_VALUE"""),0.0579)</f>
        <v>0.0579</v>
      </c>
      <c r="R1030" s="276">
        <f>IFERROR(__xludf.DUMMYFUNCTION("""COMPUTED_VALUE"""),0.145)</f>
        <v>0.145</v>
      </c>
      <c r="S1030" s="208">
        <f>IFERROR(__xludf.DUMMYFUNCTION("""COMPUTED_VALUE"""),11.0)</f>
        <v>11</v>
      </c>
      <c r="T1030" s="208">
        <f>IFERROR(__xludf.DUMMYFUNCTION("""COMPUTED_VALUE"""),37.0)</f>
        <v>37</v>
      </c>
      <c r="U1030" s="275">
        <f>IFERROR(__xludf.DUMMYFUNCTION("""COMPUTED_VALUE"""),37866.0)</f>
        <v>37866</v>
      </c>
      <c r="V1030" s="234" t="str">
        <f>IFERROR(__xludf.DUMMYFUNCTION("""COMPUTED_VALUE"""),"online")</f>
        <v>online</v>
      </c>
      <c r="W1030" s="232" t="str">
        <f>IFERROR(__xludf.DUMMYFUNCTION("""COMPUTED_VALUE"""),"simple")</f>
        <v>simple</v>
      </c>
      <c r="X1030" s="232" t="str">
        <f>IFERROR(__xludf.DUMMYFUNCTION("""COMPUTED_VALUE"""),"Active")</f>
        <v>Active</v>
      </c>
      <c r="Y1030" s="232" t="str">
        <f>IFERROR(__xludf.DUMMYFUNCTION("""COMPUTED_VALUE"""),"2-4 July")</f>
        <v>2-4 July</v>
      </c>
      <c r="Z1030" s="232" t="str">
        <f>IFERROR(__xludf.DUMMYFUNCTION("""COMPUTED_VALUE"""),"6a43b300942a84968329fb2f")</f>
        <v>6a43b300942a84968329fb2f</v>
      </c>
      <c r="AA1030" s="277">
        <f>IFERROR(__xludf.DUMMYFUNCTION("""COMPUTED_VALUE"""),90.0)</f>
        <v>90</v>
      </c>
      <c r="AB1030" s="277">
        <f>IFERROR(__xludf.DUMMYFUNCTION("""COMPUTED_VALUE"""),90.0)</f>
        <v>90</v>
      </c>
      <c r="AC1030" s="277"/>
      <c r="AD1030" s="277">
        <f>IFERROR(__xludf.DUMMYFUNCTION("""COMPUTED_VALUE"""),265582.0)</f>
        <v>265582</v>
      </c>
      <c r="AE1030" s="277">
        <f>IFERROR(__xludf.DUMMYFUNCTION("""COMPUTED_VALUE"""),265582.0)</f>
        <v>265582</v>
      </c>
      <c r="AF1030" s="277"/>
      <c r="AG1030" s="208"/>
      <c r="AH1030" s="208"/>
      <c r="AI1030" s="208"/>
      <c r="AJ1030" s="208"/>
      <c r="AK1030" s="208"/>
    </row>
    <row r="1031">
      <c r="A1031" s="288">
        <f>IFERROR(__xludf.DUMMYFUNCTION("""COMPUTED_VALUE"""),46205.0)</f>
        <v>46205</v>
      </c>
      <c r="B1031" s="274">
        <f>IFERROR(__xludf.DUMMYFUNCTION("""COMPUTED_VALUE"""),0.7916666666678793)</f>
        <v>0.7916666667</v>
      </c>
      <c r="C1031" s="208" t="str">
        <f>IFERROR(__xludf.DUMMYFUNCTION("""COMPUTED_VALUE"""),"Whatsapp")</f>
        <v>Whatsapp</v>
      </c>
      <c r="D1031" s="208" t="str">
        <f>IFERROR(__xludf.DUMMYFUNCTION("""COMPUTED_VALUE"""),"Promotional")</f>
        <v>Promotional</v>
      </c>
      <c r="E1031" s="208" t="str">
        <f>IFERROR(__xludf.DUMMYFUNCTION("""COMPUTED_VALUE"""),"BBW")</f>
        <v>BBW</v>
      </c>
      <c r="F1031" s="208" t="str">
        <f>IFERROR(__xludf.DUMMYFUNCTION("""COMPUTED_VALUE"""),"B2G2 - July'26 - Entire Store")</f>
        <v>B2G2 - July'26 - Entire Store</v>
      </c>
      <c r="G1031" s="208" t="str">
        <f>IFERROR(__xludf.DUMMYFUNCTION("""COMPUTED_VALUE"""),"bbw_wa_b2g2_2july_aov_3100_ea_online")</f>
        <v>bbw_wa_b2g2_2july_aov_3100_ea_online</v>
      </c>
      <c r="H1031" s="232" t="str">
        <f>IFERROR(__xludf.DUMMYFUNCTION("""COMPUTED_VALUE"""),"BBW_ON_B2G2_AOV_3100")</f>
        <v>BBW_ON_B2G2_AOV_3100</v>
      </c>
      <c r="I1031" s="233" t="str">
        <f>IFERROR(__xludf.DUMMYFUNCTION("""COMPUTED_VALUE"""),"Online customers who have purchased in between 45 days ago and 260 days ago with AOV &gt; 3,100")</f>
        <v>Online customers who have purchased in between 45 days ago and 260 days ago with AOV &gt; 3,100</v>
      </c>
      <c r="J1031" s="275">
        <f>IFERROR(__xludf.DUMMYFUNCTION("""COMPUTED_VALUE"""),14175.0)</f>
        <v>14175</v>
      </c>
      <c r="K1031" s="275">
        <f>IFERROR(__xludf.DUMMYFUNCTION("""COMPUTED_VALUE"""),5050.0)</f>
        <v>5050</v>
      </c>
      <c r="L1031" s="276">
        <f>IFERROR(__xludf.DUMMYFUNCTION("""COMPUTED_VALUE"""),0.3563)</f>
        <v>0.3563</v>
      </c>
      <c r="M1031" s="275">
        <f>IFERROR(__xludf.DUMMYFUNCTION("""COMPUTED_VALUE"""),1868.0)</f>
        <v>1868</v>
      </c>
      <c r="N1031" s="276">
        <f>IFERROR(__xludf.DUMMYFUNCTION("""COMPUTED_VALUE"""),0.3699)</f>
        <v>0.3699</v>
      </c>
      <c r="O1031" s="208">
        <f>IFERROR(__xludf.DUMMYFUNCTION("""COMPUTED_VALUE"""),262.0)</f>
        <v>262</v>
      </c>
      <c r="P1031" s="208">
        <f>IFERROR(__xludf.DUMMYFUNCTION("""COMPUTED_VALUE"""),241.0)</f>
        <v>241</v>
      </c>
      <c r="Q1031" s="276">
        <f>IFERROR(__xludf.DUMMYFUNCTION("""COMPUTED_VALUE"""),0.0477)</f>
        <v>0.0477</v>
      </c>
      <c r="R1031" s="276">
        <f>IFERROR(__xludf.DUMMYFUNCTION("""COMPUTED_VALUE"""),0.129)</f>
        <v>0.129</v>
      </c>
      <c r="S1031" s="208">
        <f>IFERROR(__xludf.DUMMYFUNCTION("""COMPUTED_VALUE"""),7.0)</f>
        <v>7</v>
      </c>
      <c r="T1031" s="208">
        <f>IFERROR(__xludf.DUMMYFUNCTION("""COMPUTED_VALUE"""),13.0)</f>
        <v>13</v>
      </c>
      <c r="U1031" s="275">
        <f>IFERROR(__xludf.DUMMYFUNCTION("""COMPUTED_VALUE"""),38156.0)</f>
        <v>38156</v>
      </c>
      <c r="V1031" s="234" t="str">
        <f>IFERROR(__xludf.DUMMYFUNCTION("""COMPUTED_VALUE"""),"online")</f>
        <v>online</v>
      </c>
      <c r="W1031" s="232" t="str">
        <f>IFERROR(__xludf.DUMMYFUNCTION("""COMPUTED_VALUE"""),"simple")</f>
        <v>simple</v>
      </c>
      <c r="X1031" s="232" t="str">
        <f>IFERROR(__xludf.DUMMYFUNCTION("""COMPUTED_VALUE"""),"Cart Value")</f>
        <v>Cart Value</v>
      </c>
      <c r="Y1031" s="232" t="str">
        <f>IFERROR(__xludf.DUMMYFUNCTION("""COMPUTED_VALUE"""),"2-4 July")</f>
        <v>2-4 July</v>
      </c>
      <c r="Z1031" s="232" t="str">
        <f>IFERROR(__xludf.DUMMYFUNCTION("""COMPUTED_VALUE"""),"6a43b332fcd3efeb01c1c977")</f>
        <v>6a43b332fcd3efeb01c1c977</v>
      </c>
      <c r="AA1031" s="277">
        <f>IFERROR(__xludf.DUMMYFUNCTION("""COMPUTED_VALUE"""),43.0)</f>
        <v>43</v>
      </c>
      <c r="AB1031" s="277">
        <f>IFERROR(__xludf.DUMMYFUNCTION("""COMPUTED_VALUE"""),43.0)</f>
        <v>43</v>
      </c>
      <c r="AC1031" s="277"/>
      <c r="AD1031" s="277">
        <f>IFERROR(__xludf.DUMMYFUNCTION("""COMPUTED_VALUE"""),175540.0)</f>
        <v>175540</v>
      </c>
      <c r="AE1031" s="277">
        <f>IFERROR(__xludf.DUMMYFUNCTION("""COMPUTED_VALUE"""),175540.0)</f>
        <v>175540</v>
      </c>
      <c r="AF1031" s="277"/>
      <c r="AG1031" s="208"/>
      <c r="AH1031" s="208"/>
      <c r="AI1031" s="208"/>
      <c r="AJ1031" s="208"/>
      <c r="AK1031" s="208"/>
    </row>
    <row r="1032">
      <c r="A1032" s="288">
        <f>IFERROR(__xludf.DUMMYFUNCTION("""COMPUTED_VALUE"""),46205.0)</f>
        <v>46205</v>
      </c>
      <c r="B1032" s="274">
        <f>IFERROR(__xludf.DUMMYFUNCTION("""COMPUTED_VALUE"""),0.7916666666678793)</f>
        <v>0.7916666667</v>
      </c>
      <c r="C1032" s="208" t="str">
        <f>IFERROR(__xludf.DUMMYFUNCTION("""COMPUTED_VALUE"""),"Whatsapp")</f>
        <v>Whatsapp</v>
      </c>
      <c r="D1032" s="208" t="str">
        <f>IFERROR(__xludf.DUMMYFUNCTION("""COMPUTED_VALUE"""),"Promotional")</f>
        <v>Promotional</v>
      </c>
      <c r="E1032" s="208" t="str">
        <f>IFERROR(__xludf.DUMMYFUNCTION("""COMPUTED_VALUE"""),"BBW")</f>
        <v>BBW</v>
      </c>
      <c r="F1032" s="208" t="str">
        <f>IFERROR(__xludf.DUMMYFUNCTION("""COMPUTED_VALUE"""),"B2G2 - July'26 - Entire Store")</f>
        <v>B2G2 - July'26 - Entire Store</v>
      </c>
      <c r="G1032" s="208" t="str">
        <f>IFERROR(__xludf.DUMMYFUNCTION("""COMPUTED_VALUE"""),"bbw_wa_b2g2_2july_dormant_ea_online")</f>
        <v>bbw_wa_b2g2_2july_dormant_ea_online</v>
      </c>
      <c r="H1032" s="232" t="str">
        <f>IFERROR(__xludf.DUMMYFUNCTION("""COMPUTED_VALUE"""),"BBW_ON_B2G2_Dormant_May_26")</f>
        <v>BBW_ON_B2G2_Dormant_May_26</v>
      </c>
      <c r="I1032" s="233" t="str">
        <f>IFERROR(__xludf.DUMMYFUNCTION("""COMPUTED_VALUE"""),"Online Customers who have purchased at least 1 time in the last 365 days")</f>
        <v>Online Customers who have purchased at least 1 time in the last 365 days</v>
      </c>
      <c r="J1032" s="275">
        <f>IFERROR(__xludf.DUMMYFUNCTION("""COMPUTED_VALUE"""),74134.0)</f>
        <v>74134</v>
      </c>
      <c r="K1032" s="275">
        <f>IFERROR(__xludf.DUMMYFUNCTION("""COMPUTED_VALUE"""),31543.0)</f>
        <v>31543</v>
      </c>
      <c r="L1032" s="276">
        <f>IFERROR(__xludf.DUMMYFUNCTION("""COMPUTED_VALUE"""),0.4254)</f>
        <v>0.4254</v>
      </c>
      <c r="M1032" s="275">
        <f>IFERROR(__xludf.DUMMYFUNCTION("""COMPUTED_VALUE"""),11064.0)</f>
        <v>11064</v>
      </c>
      <c r="N1032" s="276">
        <f>IFERROR(__xludf.DUMMYFUNCTION("""COMPUTED_VALUE"""),0.3508)</f>
        <v>0.3508</v>
      </c>
      <c r="O1032" s="208">
        <f>IFERROR(__xludf.DUMMYFUNCTION("""COMPUTED_VALUE"""),1255.0)</f>
        <v>1255</v>
      </c>
      <c r="P1032" s="208">
        <f>IFERROR(__xludf.DUMMYFUNCTION("""COMPUTED_VALUE"""),1189.0)</f>
        <v>1189</v>
      </c>
      <c r="Q1032" s="276">
        <f>IFERROR(__xludf.DUMMYFUNCTION("""COMPUTED_VALUE"""),0.0377)</f>
        <v>0.0377</v>
      </c>
      <c r="R1032" s="276">
        <f>IFERROR(__xludf.DUMMYFUNCTION("""COMPUTED_VALUE"""),0.1075)</f>
        <v>0.1075</v>
      </c>
      <c r="S1032" s="208">
        <f>IFERROR(__xludf.DUMMYFUNCTION("""COMPUTED_VALUE"""),25.0)</f>
        <v>25</v>
      </c>
      <c r="T1032" s="208">
        <f>IFERROR(__xludf.DUMMYFUNCTION("""COMPUTED_VALUE"""),51.0)</f>
        <v>51</v>
      </c>
      <c r="U1032" s="275">
        <f>IFERROR(__xludf.DUMMYFUNCTION("""COMPUTED_VALUE"""),79687.0)</f>
        <v>79687</v>
      </c>
      <c r="V1032" s="234" t="str">
        <f>IFERROR(__xludf.DUMMYFUNCTION("""COMPUTED_VALUE"""),"online")</f>
        <v>online</v>
      </c>
      <c r="W1032" s="232" t="str">
        <f>IFERROR(__xludf.DUMMYFUNCTION("""COMPUTED_VALUE"""),"simple")</f>
        <v>simple</v>
      </c>
      <c r="X1032" s="232" t="str">
        <f>IFERROR(__xludf.DUMMYFUNCTION("""COMPUTED_VALUE"""),"Dormant")</f>
        <v>Dormant</v>
      </c>
      <c r="Y1032" s="232" t="str">
        <f>IFERROR(__xludf.DUMMYFUNCTION("""COMPUTED_VALUE"""),"2-4 July")</f>
        <v>2-4 July</v>
      </c>
      <c r="Z1032" s="232" t="str">
        <f>IFERROR(__xludf.DUMMYFUNCTION("""COMPUTED_VALUE"""),"6a43b3681407ca32f43aca62")</f>
        <v>6a43b3681407ca32f43aca62</v>
      </c>
      <c r="AA1032" s="277">
        <f>IFERROR(__xludf.DUMMYFUNCTION("""COMPUTED_VALUE"""),132.0)</f>
        <v>132</v>
      </c>
      <c r="AB1032" s="277">
        <f>IFERROR(__xludf.DUMMYFUNCTION("""COMPUTED_VALUE"""),132.0)</f>
        <v>132</v>
      </c>
      <c r="AC1032" s="277"/>
      <c r="AD1032" s="277">
        <f>IFERROR(__xludf.DUMMYFUNCTION("""COMPUTED_VALUE"""),307247.0)</f>
        <v>307247</v>
      </c>
      <c r="AE1032" s="277">
        <f>IFERROR(__xludf.DUMMYFUNCTION("""COMPUTED_VALUE"""),307247.0)</f>
        <v>307247</v>
      </c>
      <c r="AF1032" s="277"/>
      <c r="AG1032" s="208"/>
      <c r="AH1032" s="208"/>
      <c r="AI1032" s="208"/>
      <c r="AJ1032" s="208"/>
      <c r="AK1032" s="208"/>
    </row>
    <row r="1033">
      <c r="A1033" s="288">
        <f>IFERROR(__xludf.DUMMYFUNCTION("""COMPUTED_VALUE"""),46206.0)</f>
        <v>46206</v>
      </c>
      <c r="B1033" s="274">
        <f>IFERROR(__xludf.DUMMYFUNCTION("""COMPUTED_VALUE"""),0.4583333333321207)</f>
        <v>0.4583333333</v>
      </c>
      <c r="C1033" s="208" t="str">
        <f>IFERROR(__xludf.DUMMYFUNCTION("""COMPUTED_VALUE"""),"Whatsapp")</f>
        <v>Whatsapp</v>
      </c>
      <c r="D1033" s="208" t="str">
        <f>IFERROR(__xludf.DUMMYFUNCTION("""COMPUTED_VALUE"""),"Promotional")</f>
        <v>Promotional</v>
      </c>
      <c r="E1033" s="208" t="str">
        <f>IFERROR(__xludf.DUMMYFUNCTION("""COMPUTED_VALUE"""),"BBW")</f>
        <v>BBW</v>
      </c>
      <c r="F1033" s="208" t="str">
        <f>IFERROR(__xludf.DUMMYFUNCTION("""COMPUTED_VALUE"""),"B2G2 - July'26 - Entire Store")</f>
        <v>B2G2 - July'26 - Entire Store</v>
      </c>
      <c r="G1033" s="208" t="str">
        <f>IFERROR(__xludf.DUMMYFUNCTION("""COMPUTED_VALUE"""),"bbw_wa_b2g2_3july_event_buyers_overall")</f>
        <v>bbw_wa_b2g2_3july_event_buyers_overall</v>
      </c>
      <c r="H1033" s="232" t="str">
        <f>IFERROR(__xludf.DUMMYFUNCTION("""COMPUTED_VALUE"""),"BBW_ON_OFF_B2G2_Event_Buyers")</f>
        <v>BBW_ON_OFF_B2G2_Event_Buyers</v>
      </c>
      <c r="I1033" s="233" t="str">
        <f>IFERROR(__xludf.DUMMYFUNCTION("""COMPUTED_VALUE"""),"Customers who have purchased between 25–27 Jul 2025, 09–10 Aug 2025, 14–17 Aug 2025, 02–05 Oct 2025, 17–21 Oct 2025, 23–26 Jan 2026, 13–15 Feb 2026, 04–08 Mar 2026")</f>
        <v>Customers who have purchased between 25–27 Jul 2025, 09–10 Aug 2025, 14–17 Aug 2025, 02–05 Oct 2025, 17–21 Oct 2025, 23–26 Jan 2026, 13–15 Feb 2026, 04–08 Mar 2026</v>
      </c>
      <c r="J1033" s="275">
        <f>IFERROR(__xludf.DUMMYFUNCTION("""COMPUTED_VALUE"""),46273.0)</f>
        <v>46273</v>
      </c>
      <c r="K1033" s="275">
        <f>IFERROR(__xludf.DUMMYFUNCTION("""COMPUTED_VALUE"""),21669.0)</f>
        <v>21669</v>
      </c>
      <c r="L1033" s="276">
        <f>IFERROR(__xludf.DUMMYFUNCTION("""COMPUTED_VALUE"""),0.4682)</f>
        <v>0.4682</v>
      </c>
      <c r="M1033" s="275">
        <f>IFERROR(__xludf.DUMMYFUNCTION("""COMPUTED_VALUE"""),7699.0)</f>
        <v>7699</v>
      </c>
      <c r="N1033" s="276">
        <f>IFERROR(__xludf.DUMMYFUNCTION("""COMPUTED_VALUE"""),0.3553)</f>
        <v>0.3553</v>
      </c>
      <c r="O1033" s="208">
        <f>IFERROR(__xludf.DUMMYFUNCTION("""COMPUTED_VALUE"""),598.0)</f>
        <v>598</v>
      </c>
      <c r="P1033" s="208">
        <f>IFERROR(__xludf.DUMMYFUNCTION("""COMPUTED_VALUE"""),576.0)</f>
        <v>576</v>
      </c>
      <c r="Q1033" s="276">
        <f>IFERROR(__xludf.DUMMYFUNCTION("""COMPUTED_VALUE"""),0.0266)</f>
        <v>0.0266</v>
      </c>
      <c r="R1033" s="276">
        <f>IFERROR(__xludf.DUMMYFUNCTION("""COMPUTED_VALUE"""),0.0748)</f>
        <v>0.0748</v>
      </c>
      <c r="S1033" s="208">
        <f>IFERROR(__xludf.DUMMYFUNCTION("""COMPUTED_VALUE"""),14.0)</f>
        <v>14</v>
      </c>
      <c r="T1033" s="208">
        <f>IFERROR(__xludf.DUMMYFUNCTION("""COMPUTED_VALUE"""),44.0)</f>
        <v>44</v>
      </c>
      <c r="U1033" s="275">
        <f>IFERROR(__xludf.DUMMYFUNCTION("""COMPUTED_VALUE"""),70431.0)</f>
        <v>70431</v>
      </c>
      <c r="V1033" s="234" t="str">
        <f>IFERROR(__xludf.DUMMYFUNCTION("""COMPUTED_VALUE"""),"overall")</f>
        <v>overall</v>
      </c>
      <c r="W1033" s="232" t="str">
        <f>IFERROR(__xludf.DUMMYFUNCTION("""COMPUTED_VALUE"""),"simple")</f>
        <v>simple</v>
      </c>
      <c r="X1033" s="232" t="str">
        <f>IFERROR(__xludf.DUMMYFUNCTION("""COMPUTED_VALUE"""),"Event Buyers")</f>
        <v>Event Buyers</v>
      </c>
      <c r="Y1033" s="232" t="str">
        <f>IFERROR(__xludf.DUMMYFUNCTION("""COMPUTED_VALUE"""),"3-5 July")</f>
        <v>3-5 July</v>
      </c>
      <c r="Z1033" s="232" t="str">
        <f>IFERROR(__xludf.DUMMYFUNCTION("""COMPUTED_VALUE"""),"6a43bb2dd8915321e13034c0")</f>
        <v>6a43bb2dd8915321e13034c0</v>
      </c>
      <c r="AA1033" s="277">
        <f>IFERROR(__xludf.DUMMYFUNCTION("""COMPUTED_VALUE"""),266.0)</f>
        <v>266</v>
      </c>
      <c r="AB1033" s="277">
        <f>IFERROR(__xludf.DUMMYFUNCTION("""COMPUTED_VALUE"""),64.0)</f>
        <v>64</v>
      </c>
      <c r="AC1033" s="277">
        <f>IFERROR(__xludf.DUMMYFUNCTION("""COMPUTED_VALUE"""),202.0)</f>
        <v>202</v>
      </c>
      <c r="AD1033" s="277">
        <f>IFERROR(__xludf.DUMMYFUNCTION("""COMPUTED_VALUE"""),1289458.0)</f>
        <v>1289458</v>
      </c>
      <c r="AE1033" s="277">
        <f>IFERROR(__xludf.DUMMYFUNCTION("""COMPUTED_VALUE"""),297252.0)</f>
        <v>297252</v>
      </c>
      <c r="AF1033" s="277">
        <f>IFERROR(__xludf.DUMMYFUNCTION("""COMPUTED_VALUE"""),992206.0)</f>
        <v>992206</v>
      </c>
      <c r="AG1033" s="208"/>
      <c r="AH1033" s="208"/>
      <c r="AI1033" s="208"/>
      <c r="AJ1033" s="208"/>
      <c r="AK1033" s="208"/>
    </row>
    <row r="1034">
      <c r="A1034" s="288">
        <f>IFERROR(__xludf.DUMMYFUNCTION("""COMPUTED_VALUE"""),46206.0)</f>
        <v>46206</v>
      </c>
      <c r="B1034" s="274">
        <f>IFERROR(__xludf.DUMMYFUNCTION("""COMPUTED_VALUE"""),0.4583333333321207)</f>
        <v>0.4583333333</v>
      </c>
      <c r="C1034" s="208" t="str">
        <f>IFERROR(__xludf.DUMMYFUNCTION("""COMPUTED_VALUE"""),"Whatsapp")</f>
        <v>Whatsapp</v>
      </c>
      <c r="D1034" s="208" t="str">
        <f>IFERROR(__xludf.DUMMYFUNCTION("""COMPUTED_VALUE"""),"Promotional")</f>
        <v>Promotional</v>
      </c>
      <c r="E1034" s="208" t="str">
        <f>IFERROR(__xludf.DUMMYFUNCTION("""COMPUTED_VALUE"""),"BBW")</f>
        <v>BBW</v>
      </c>
      <c r="F1034" s="208" t="str">
        <f>IFERROR(__xludf.DUMMYFUNCTION("""COMPUTED_VALUE"""),"B2G2 - July'26 - Entire Store")</f>
        <v>B2G2 - July'26 - Entire Store</v>
      </c>
      <c r="G1034" s="208" t="str">
        <f>IFERROR(__xludf.DUMMYFUNCTION("""COMPUTED_VALUE"""),"bbw_wa_b2g2_3july_blr_offline")</f>
        <v>bbw_wa_b2g2_3july_blr_offline</v>
      </c>
      <c r="H1034" s="232" t="str">
        <f>IFERROR(__xludf.DUMMYFUNCTION("""COMPUTED_VALUE"""),"BBW_OFF_BLR_Active, BBW_OFF_BLR_Dorm")</f>
        <v>BBW_OFF_BLR_Active, BBW_OFF_BLR_Dorm</v>
      </c>
      <c r="I1034" s="233" t="str">
        <f>IFERROR(__xludf.DUMMYFUNCTION("""COMPUTED_VALUE"""),"All Offline Customers who have purchased at least 1 time from Txn_City BLR in the last 112 days (TTR), All Offline Customers who have purchased at least 1 time from Txn_City BLR in the last 365 days excluding TTR purchasers")</f>
        <v>All Offline Customers who have purchased at least 1 time from Txn_City BLR in the last 112 days (TTR), All Offline Customers who have purchased at least 1 time from Txn_City BLR in the last 365 days excluding TTR purchasers</v>
      </c>
      <c r="J1034" s="275">
        <f>IFERROR(__xludf.DUMMYFUNCTION("""COMPUTED_VALUE"""),69111.0)</f>
        <v>69111</v>
      </c>
      <c r="K1034" s="275">
        <f>IFERROR(__xludf.DUMMYFUNCTION("""COMPUTED_VALUE"""),31919.0)</f>
        <v>31919</v>
      </c>
      <c r="L1034" s="276">
        <f>IFERROR(__xludf.DUMMYFUNCTION("""COMPUTED_VALUE"""),0.4618)</f>
        <v>0.4618</v>
      </c>
      <c r="M1034" s="275">
        <f>IFERROR(__xludf.DUMMYFUNCTION("""COMPUTED_VALUE"""),11059.0)</f>
        <v>11059</v>
      </c>
      <c r="N1034" s="276">
        <f>IFERROR(__xludf.DUMMYFUNCTION("""COMPUTED_VALUE"""),0.3465)</f>
        <v>0.3465</v>
      </c>
      <c r="O1034" s="208">
        <f>IFERROR(__xludf.DUMMYFUNCTION("""COMPUTED_VALUE"""),1045.0)</f>
        <v>1045</v>
      </c>
      <c r="P1034" s="208">
        <f>IFERROR(__xludf.DUMMYFUNCTION("""COMPUTED_VALUE"""),985.0)</f>
        <v>985</v>
      </c>
      <c r="Q1034" s="276">
        <f>IFERROR(__xludf.DUMMYFUNCTION("""COMPUTED_VALUE"""),0.0309)</f>
        <v>0.0309</v>
      </c>
      <c r="R1034" s="276">
        <f>IFERROR(__xludf.DUMMYFUNCTION("""COMPUTED_VALUE"""),0.0891)</f>
        <v>0.0891</v>
      </c>
      <c r="S1034" s="208">
        <f>IFERROR(__xludf.DUMMYFUNCTION("""COMPUTED_VALUE"""),9.0)</f>
        <v>9</v>
      </c>
      <c r="T1034" s="208">
        <f>IFERROR(__xludf.DUMMYFUNCTION("""COMPUTED_VALUE"""),33.0)</f>
        <v>33</v>
      </c>
      <c r="U1034" s="275">
        <f>IFERROR(__xludf.DUMMYFUNCTION("""COMPUTED_VALUE"""),33746.0)</f>
        <v>33746</v>
      </c>
      <c r="V1034" s="234" t="str">
        <f>IFERROR(__xludf.DUMMYFUNCTION("""COMPUTED_VALUE"""),"offline")</f>
        <v>offline</v>
      </c>
      <c r="W1034" s="232" t="str">
        <f>IFERROR(__xludf.DUMMYFUNCTION("""COMPUTED_VALUE"""),"simple")</f>
        <v>simple</v>
      </c>
      <c r="X1034" s="232" t="str">
        <f>IFERROR(__xludf.DUMMYFUNCTION("""COMPUTED_VALUE"""),"City Specific")</f>
        <v>City Specific</v>
      </c>
      <c r="Y1034" s="232" t="str">
        <f>IFERROR(__xludf.DUMMYFUNCTION("""COMPUTED_VALUE"""),"3-5 July")</f>
        <v>3-5 July</v>
      </c>
      <c r="Z1034" s="232" t="str">
        <f>IFERROR(__xludf.DUMMYFUNCTION("""COMPUTED_VALUE"""),"6a43bc6388f624782a87c13d")</f>
        <v>6a43bc6388f624782a87c13d</v>
      </c>
      <c r="AA1034" s="277">
        <f>IFERROR(__xludf.DUMMYFUNCTION("""COMPUTED_VALUE"""),244.0)</f>
        <v>244</v>
      </c>
      <c r="AB1034" s="277"/>
      <c r="AC1034" s="277">
        <f>IFERROR(__xludf.DUMMYFUNCTION("""COMPUTED_VALUE"""),244.0)</f>
        <v>244</v>
      </c>
      <c r="AD1034" s="277">
        <f>IFERROR(__xludf.DUMMYFUNCTION("""COMPUTED_VALUE"""),812190.0)</f>
        <v>812190</v>
      </c>
      <c r="AE1034" s="277"/>
      <c r="AF1034" s="277">
        <f>IFERROR(__xludf.DUMMYFUNCTION("""COMPUTED_VALUE"""),812190.0)</f>
        <v>812190</v>
      </c>
      <c r="AG1034" s="208"/>
      <c r="AH1034" s="208"/>
      <c r="AI1034" s="208"/>
      <c r="AJ1034" s="208"/>
      <c r="AK1034" s="208"/>
    </row>
    <row r="1035">
      <c r="A1035" s="288">
        <f>IFERROR(__xludf.DUMMYFUNCTION("""COMPUTED_VALUE"""),46206.0)</f>
        <v>46206</v>
      </c>
      <c r="B1035" s="274">
        <f>IFERROR(__xludf.DUMMYFUNCTION("""COMPUTED_VALUE"""),0.4583333333321207)</f>
        <v>0.4583333333</v>
      </c>
      <c r="C1035" s="208" t="str">
        <f>IFERROR(__xludf.DUMMYFUNCTION("""COMPUTED_VALUE"""),"Whatsapp")</f>
        <v>Whatsapp</v>
      </c>
      <c r="D1035" s="208" t="str">
        <f>IFERROR(__xludf.DUMMYFUNCTION("""COMPUTED_VALUE"""),"Promotional")</f>
        <v>Promotional</v>
      </c>
      <c r="E1035" s="208" t="str">
        <f>IFERROR(__xludf.DUMMYFUNCTION("""COMPUTED_VALUE"""),"BBW")</f>
        <v>BBW</v>
      </c>
      <c r="F1035" s="208" t="str">
        <f>IFERROR(__xludf.DUMMYFUNCTION("""COMPUTED_VALUE"""),"B2G2 - July'26 - Entire Store")</f>
        <v>B2G2 - July'26 - Entire Store</v>
      </c>
      <c r="G1035" s="208" t="str">
        <f>IFERROR(__xludf.DUMMYFUNCTION("""COMPUTED_VALUE"""),"bbw_wa_b2g2_3july_del_offline")</f>
        <v>bbw_wa_b2g2_3july_del_offline</v>
      </c>
      <c r="H1035" s="232" t="str">
        <f>IFERROR(__xludf.DUMMYFUNCTION("""COMPUTED_VALUE"""),"BBW_OFF_DEL_Dorm, BBW_OFF_DEL_Active")</f>
        <v>BBW_OFF_DEL_Dorm, BBW_OFF_DEL_Active</v>
      </c>
      <c r="I1035" s="233" t="str">
        <f>IFERROR(__xludf.DUMMYFUNCTION("""COMPUTED_VALUE"""),"All Offline Customers who have purchased at least 1 time from Txn_City DEL in the last 112 days (TTR), All Offline Customers who have purchased at least 1 time from Txn_City DEL in the last 365 days excluding TTR purchasers")</f>
        <v>All Offline Customers who have purchased at least 1 time from Txn_City DEL in the last 112 days (TTR), All Offline Customers who have purchased at least 1 time from Txn_City DEL in the last 365 days excluding TTR purchasers</v>
      </c>
      <c r="J1035" s="275">
        <f>IFERROR(__xludf.DUMMYFUNCTION("""COMPUTED_VALUE"""),48101.0)</f>
        <v>48101</v>
      </c>
      <c r="K1035" s="275">
        <f>IFERROR(__xludf.DUMMYFUNCTION("""COMPUTED_VALUE"""),22588.0)</f>
        <v>22588</v>
      </c>
      <c r="L1035" s="276">
        <f>IFERROR(__xludf.DUMMYFUNCTION("""COMPUTED_VALUE"""),0.4695)</f>
        <v>0.4695</v>
      </c>
      <c r="M1035" s="275">
        <f>IFERROR(__xludf.DUMMYFUNCTION("""COMPUTED_VALUE"""),7365.0)</f>
        <v>7365</v>
      </c>
      <c r="N1035" s="276">
        <f>IFERROR(__xludf.DUMMYFUNCTION("""COMPUTED_VALUE"""),0.326)</f>
        <v>0.326</v>
      </c>
      <c r="O1035" s="208">
        <f>IFERROR(__xludf.DUMMYFUNCTION("""COMPUTED_VALUE"""),779.0)</f>
        <v>779</v>
      </c>
      <c r="P1035" s="208">
        <f>IFERROR(__xludf.DUMMYFUNCTION("""COMPUTED_VALUE"""),735.0)</f>
        <v>735</v>
      </c>
      <c r="Q1035" s="276">
        <f>IFERROR(__xludf.DUMMYFUNCTION("""COMPUTED_VALUE"""),0.0325)</f>
        <v>0.0325</v>
      </c>
      <c r="R1035" s="276">
        <f>IFERROR(__xludf.DUMMYFUNCTION("""COMPUTED_VALUE"""),0.0998)</f>
        <v>0.0998</v>
      </c>
      <c r="S1035" s="208">
        <f>IFERROR(__xludf.DUMMYFUNCTION("""COMPUTED_VALUE"""),4.0)</f>
        <v>4</v>
      </c>
      <c r="T1035" s="208">
        <f>IFERROR(__xludf.DUMMYFUNCTION("""COMPUTED_VALUE"""),21.0)</f>
        <v>21</v>
      </c>
      <c r="U1035" s="275">
        <f>IFERROR(__xludf.DUMMYFUNCTION("""COMPUTED_VALUE"""),6194.0)</f>
        <v>6194</v>
      </c>
      <c r="V1035" s="234" t="str">
        <f>IFERROR(__xludf.DUMMYFUNCTION("""COMPUTED_VALUE"""),"offline")</f>
        <v>offline</v>
      </c>
      <c r="W1035" s="232" t="str">
        <f>IFERROR(__xludf.DUMMYFUNCTION("""COMPUTED_VALUE"""),"simple")</f>
        <v>simple</v>
      </c>
      <c r="X1035" s="232" t="str">
        <f>IFERROR(__xludf.DUMMYFUNCTION("""COMPUTED_VALUE"""),"City Specific")</f>
        <v>City Specific</v>
      </c>
      <c r="Y1035" s="232" t="str">
        <f>IFERROR(__xludf.DUMMYFUNCTION("""COMPUTED_VALUE"""),"3-5 July")</f>
        <v>3-5 July</v>
      </c>
      <c r="Z1035" s="232" t="str">
        <f>IFERROR(__xludf.DUMMYFUNCTION("""COMPUTED_VALUE"""),"6a43bce1da6d90a465e72ff9")</f>
        <v>6a43bce1da6d90a465e72ff9</v>
      </c>
      <c r="AA1035" s="277">
        <f>IFERROR(__xludf.DUMMYFUNCTION("""COMPUTED_VALUE"""),57.0)</f>
        <v>57</v>
      </c>
      <c r="AB1035" s="277"/>
      <c r="AC1035" s="277">
        <f>IFERROR(__xludf.DUMMYFUNCTION("""COMPUTED_VALUE"""),57.0)</f>
        <v>57</v>
      </c>
      <c r="AD1035" s="277">
        <f>IFERROR(__xludf.DUMMYFUNCTION("""COMPUTED_VALUE"""),717776.0)</f>
        <v>717776</v>
      </c>
      <c r="AE1035" s="277"/>
      <c r="AF1035" s="277">
        <f>IFERROR(__xludf.DUMMYFUNCTION("""COMPUTED_VALUE"""),717776.0)</f>
        <v>717776</v>
      </c>
      <c r="AG1035" s="208"/>
      <c r="AH1035" s="208"/>
      <c r="AI1035" s="208"/>
      <c r="AJ1035" s="208"/>
      <c r="AK1035" s="208"/>
    </row>
    <row r="1036">
      <c r="A1036" s="288">
        <f>IFERROR(__xludf.DUMMYFUNCTION("""COMPUTED_VALUE"""),46206.0)</f>
        <v>46206</v>
      </c>
      <c r="B1036" s="274">
        <f>IFERROR(__xludf.DUMMYFUNCTION("""COMPUTED_VALUE"""),0.4583333333321207)</f>
        <v>0.4583333333</v>
      </c>
      <c r="C1036" s="208" t="str">
        <f>IFERROR(__xludf.DUMMYFUNCTION("""COMPUTED_VALUE"""),"Whatsapp")</f>
        <v>Whatsapp</v>
      </c>
      <c r="D1036" s="208" t="str">
        <f>IFERROR(__xludf.DUMMYFUNCTION("""COMPUTED_VALUE"""),"Promotional")</f>
        <v>Promotional</v>
      </c>
      <c r="E1036" s="208" t="str">
        <f>IFERROR(__xludf.DUMMYFUNCTION("""COMPUTED_VALUE"""),"BBW")</f>
        <v>BBW</v>
      </c>
      <c r="F1036" s="208" t="str">
        <f>IFERROR(__xludf.DUMMYFUNCTION("""COMPUTED_VALUE"""),"B2G2 - July'26 - Entire Store")</f>
        <v>B2G2 - July'26 - Entire Store</v>
      </c>
      <c r="G1036" s="208" t="str">
        <f>IFERROR(__xludf.DUMMYFUNCTION("""COMPUTED_VALUE"""),"bbw_wa_b2g2_3july_bom_offline")</f>
        <v>bbw_wa_b2g2_3july_bom_offline</v>
      </c>
      <c r="H1036" s="232" t="str">
        <f>IFERROR(__xludf.DUMMYFUNCTION("""COMPUTED_VALUE"""),"BBW_OFF_BOM_Active, BBW_OFF_BOM_Dorm")</f>
        <v>BBW_OFF_BOM_Active, BBW_OFF_BOM_Dorm</v>
      </c>
      <c r="I1036" s="233" t="str">
        <f>IFERROR(__xludf.DUMMYFUNCTION("""COMPUTED_VALUE"""),"All Offline Customers who have purchased at least 1 time from Txn_City BOM in the last 365 days excluding TTR purchasers, All Offline Customers who have purchased at least 1 time from Txn_City BOM in the last 112 days (TTR)")</f>
        <v>All Offline Customers who have purchased at least 1 time from Txn_City BOM in the last 365 days excluding TTR purchasers, All Offline Customers who have purchased at least 1 time from Txn_City BOM in the last 112 days (TTR)</v>
      </c>
      <c r="J1036" s="275">
        <f>IFERROR(__xludf.DUMMYFUNCTION("""COMPUTED_VALUE"""),43657.0)</f>
        <v>43657</v>
      </c>
      <c r="K1036" s="275">
        <f>IFERROR(__xludf.DUMMYFUNCTION("""COMPUTED_VALUE"""),21756.0)</f>
        <v>21756</v>
      </c>
      <c r="L1036" s="276">
        <f>IFERROR(__xludf.DUMMYFUNCTION("""COMPUTED_VALUE"""),0.4983)</f>
        <v>0.4983</v>
      </c>
      <c r="M1036" s="275">
        <f>IFERROR(__xludf.DUMMYFUNCTION("""COMPUTED_VALUE"""),8219.0)</f>
        <v>8219</v>
      </c>
      <c r="N1036" s="276">
        <f>IFERROR(__xludf.DUMMYFUNCTION("""COMPUTED_VALUE"""),0.3778)</f>
        <v>0.3778</v>
      </c>
      <c r="O1036" s="208">
        <f>IFERROR(__xludf.DUMMYFUNCTION("""COMPUTED_VALUE"""),813.0)</f>
        <v>813</v>
      </c>
      <c r="P1036" s="208">
        <f>IFERROR(__xludf.DUMMYFUNCTION("""COMPUTED_VALUE"""),770.0)</f>
        <v>770</v>
      </c>
      <c r="Q1036" s="276">
        <f>IFERROR(__xludf.DUMMYFUNCTION("""COMPUTED_VALUE"""),0.0354)</f>
        <v>0.0354</v>
      </c>
      <c r="R1036" s="276">
        <f>IFERROR(__xludf.DUMMYFUNCTION("""COMPUTED_VALUE"""),0.0937)</f>
        <v>0.0937</v>
      </c>
      <c r="S1036" s="208">
        <f>IFERROR(__xludf.DUMMYFUNCTION("""COMPUTED_VALUE"""),5.0)</f>
        <v>5</v>
      </c>
      <c r="T1036" s="208">
        <f>IFERROR(__xludf.DUMMYFUNCTION("""COMPUTED_VALUE"""),21.0)</f>
        <v>21</v>
      </c>
      <c r="U1036" s="275">
        <f>IFERROR(__xludf.DUMMYFUNCTION("""COMPUTED_VALUE"""),8017.0)</f>
        <v>8017</v>
      </c>
      <c r="V1036" s="234" t="str">
        <f>IFERROR(__xludf.DUMMYFUNCTION("""COMPUTED_VALUE"""),"offline")</f>
        <v>offline</v>
      </c>
      <c r="W1036" s="232" t="str">
        <f>IFERROR(__xludf.DUMMYFUNCTION("""COMPUTED_VALUE"""),"simple")</f>
        <v>simple</v>
      </c>
      <c r="X1036" s="232" t="str">
        <f>IFERROR(__xludf.DUMMYFUNCTION("""COMPUTED_VALUE"""),"City Specific")</f>
        <v>City Specific</v>
      </c>
      <c r="Y1036" s="232" t="str">
        <f>IFERROR(__xludf.DUMMYFUNCTION("""COMPUTED_VALUE"""),"3-5 July")</f>
        <v>3-5 July</v>
      </c>
      <c r="Z1036" s="232" t="str">
        <f>IFERROR(__xludf.DUMMYFUNCTION("""COMPUTED_VALUE"""),"6a43bd3dac709499e5831473")</f>
        <v>6a43bd3dac709499e5831473</v>
      </c>
      <c r="AA1036" s="277">
        <f>IFERROR(__xludf.DUMMYFUNCTION("""COMPUTED_VALUE"""),160.0)</f>
        <v>160</v>
      </c>
      <c r="AB1036" s="277"/>
      <c r="AC1036" s="277">
        <f>IFERROR(__xludf.DUMMYFUNCTION("""COMPUTED_VALUE"""),160.0)</f>
        <v>160</v>
      </c>
      <c r="AD1036" s="277">
        <f>IFERROR(__xludf.DUMMYFUNCTION("""COMPUTED_VALUE"""),556764.0)</f>
        <v>556764</v>
      </c>
      <c r="AE1036" s="277"/>
      <c r="AF1036" s="277">
        <f>IFERROR(__xludf.DUMMYFUNCTION("""COMPUTED_VALUE"""),556764.0)</f>
        <v>556764</v>
      </c>
      <c r="AG1036" s="208"/>
      <c r="AH1036" s="208"/>
      <c r="AI1036" s="208"/>
      <c r="AJ1036" s="208"/>
      <c r="AK1036" s="208"/>
    </row>
    <row r="1037">
      <c r="A1037" s="288">
        <f>IFERROR(__xludf.DUMMYFUNCTION("""COMPUTED_VALUE"""),46206.0)</f>
        <v>46206</v>
      </c>
      <c r="B1037" s="274">
        <f>IFERROR(__xludf.DUMMYFUNCTION("""COMPUTED_VALUE"""),0.4583333333321207)</f>
        <v>0.4583333333</v>
      </c>
      <c r="C1037" s="208" t="str">
        <f>IFERROR(__xludf.DUMMYFUNCTION("""COMPUTED_VALUE"""),"Whatsapp")</f>
        <v>Whatsapp</v>
      </c>
      <c r="D1037" s="208" t="str">
        <f>IFERROR(__xludf.DUMMYFUNCTION("""COMPUTED_VALUE"""),"Promotional")</f>
        <v>Promotional</v>
      </c>
      <c r="E1037" s="208" t="str">
        <f>IFERROR(__xludf.DUMMYFUNCTION("""COMPUTED_VALUE"""),"BBW")</f>
        <v>BBW</v>
      </c>
      <c r="F1037" s="208" t="str">
        <f>IFERROR(__xludf.DUMMYFUNCTION("""COMPUTED_VALUE"""),"B2G2 - July'26 - Entire Store")</f>
        <v>B2G2 - July'26 - Entire Store</v>
      </c>
      <c r="G1037" s="208" t="str">
        <f>IFERROR(__xludf.DUMMYFUNCTION("""COMPUTED_VALUE"""),"bbw_wa_b2g2_3july_hyd_offline")</f>
        <v>bbw_wa_b2g2_3july_hyd_offline</v>
      </c>
      <c r="H1037" s="232" t="str">
        <f>IFERROR(__xludf.DUMMYFUNCTION("""COMPUTED_VALUE"""),"BBW_OFF_HYD_Active, BBW_OFF_HYD_Dorm")</f>
        <v>BBW_OFF_HYD_Active, BBW_OFF_HYD_Dorm</v>
      </c>
      <c r="I1037" s="233" t="str">
        <f>IFERROR(__xludf.DUMMYFUNCTION("""COMPUTED_VALUE"""),"All Offline Customers who have purchased at least 1 time from Txn_City HYD in the last 112 days (TTR), All Offline Customers who have purchased at least 1 time from Txn_City HYD in the last 365 days excluding TTR purchasers")</f>
        <v>All Offline Customers who have purchased at least 1 time from Txn_City HYD in the last 112 days (TTR), All Offline Customers who have purchased at least 1 time from Txn_City HYD in the last 365 days excluding TTR purchasers</v>
      </c>
      <c r="J1037" s="275">
        <f>IFERROR(__xludf.DUMMYFUNCTION("""COMPUTED_VALUE"""),24695.0)</f>
        <v>24695</v>
      </c>
      <c r="K1037" s="275">
        <f>IFERROR(__xludf.DUMMYFUNCTION("""COMPUTED_VALUE"""),12080.0)</f>
        <v>12080</v>
      </c>
      <c r="L1037" s="276">
        <f>IFERROR(__xludf.DUMMYFUNCTION("""COMPUTED_VALUE"""),0.4891)</f>
        <v>0.4891</v>
      </c>
      <c r="M1037" s="275">
        <f>IFERROR(__xludf.DUMMYFUNCTION("""COMPUTED_VALUE"""),4502.0)</f>
        <v>4502</v>
      </c>
      <c r="N1037" s="276">
        <f>IFERROR(__xludf.DUMMYFUNCTION("""COMPUTED_VALUE"""),0.3727)</f>
        <v>0.3727</v>
      </c>
      <c r="O1037" s="208">
        <f>IFERROR(__xludf.DUMMYFUNCTION("""COMPUTED_VALUE"""),333.0)</f>
        <v>333</v>
      </c>
      <c r="P1037" s="208">
        <f>IFERROR(__xludf.DUMMYFUNCTION("""COMPUTED_VALUE"""),314.0)</f>
        <v>314</v>
      </c>
      <c r="Q1037" s="276">
        <f>IFERROR(__xludf.DUMMYFUNCTION("""COMPUTED_VALUE"""),0.026)</f>
        <v>0.026</v>
      </c>
      <c r="R1037" s="276">
        <f>IFERROR(__xludf.DUMMYFUNCTION("""COMPUTED_VALUE"""),0.0697)</f>
        <v>0.0697</v>
      </c>
      <c r="S1037" s="208">
        <f>IFERROR(__xludf.DUMMYFUNCTION("""COMPUTED_VALUE"""),4.0)</f>
        <v>4</v>
      </c>
      <c r="T1037" s="208">
        <f>IFERROR(__xludf.DUMMYFUNCTION("""COMPUTED_VALUE"""),10.0)</f>
        <v>10</v>
      </c>
      <c r="U1037" s="275">
        <f>IFERROR(__xludf.DUMMYFUNCTION("""COMPUTED_VALUE"""),15608.0)</f>
        <v>15608</v>
      </c>
      <c r="V1037" s="234" t="str">
        <f>IFERROR(__xludf.DUMMYFUNCTION("""COMPUTED_VALUE"""),"offline")</f>
        <v>offline</v>
      </c>
      <c r="W1037" s="232" t="str">
        <f>IFERROR(__xludf.DUMMYFUNCTION("""COMPUTED_VALUE"""),"simple")</f>
        <v>simple</v>
      </c>
      <c r="X1037" s="232" t="str">
        <f>IFERROR(__xludf.DUMMYFUNCTION("""COMPUTED_VALUE"""),"City Specific")</f>
        <v>City Specific</v>
      </c>
      <c r="Y1037" s="232" t="str">
        <f>IFERROR(__xludf.DUMMYFUNCTION("""COMPUTED_VALUE"""),"3-5 July")</f>
        <v>3-5 July</v>
      </c>
      <c r="Z1037" s="232" t="str">
        <f>IFERROR(__xludf.DUMMYFUNCTION("""COMPUTED_VALUE"""),"6a43bdf0a565844e8fa21dde")</f>
        <v>6a43bdf0a565844e8fa21dde</v>
      </c>
      <c r="AA1037" s="277">
        <f>IFERROR(__xludf.DUMMYFUNCTION("""COMPUTED_VALUE"""),76.0)</f>
        <v>76</v>
      </c>
      <c r="AB1037" s="277"/>
      <c r="AC1037" s="277">
        <f>IFERROR(__xludf.DUMMYFUNCTION("""COMPUTED_VALUE"""),76.0)</f>
        <v>76</v>
      </c>
      <c r="AD1037" s="277">
        <f>IFERROR(__xludf.DUMMYFUNCTION("""COMPUTED_VALUE"""),306313.0)</f>
        <v>306313</v>
      </c>
      <c r="AE1037" s="277"/>
      <c r="AF1037" s="277">
        <f>IFERROR(__xludf.DUMMYFUNCTION("""COMPUTED_VALUE"""),306313.0)</f>
        <v>306313</v>
      </c>
      <c r="AG1037" s="208"/>
      <c r="AH1037" s="208"/>
      <c r="AI1037" s="208"/>
      <c r="AJ1037" s="208"/>
      <c r="AK1037" s="208"/>
    </row>
    <row r="1038">
      <c r="A1038" s="288">
        <f>IFERROR(__xludf.DUMMYFUNCTION("""COMPUTED_VALUE"""),46206.0)</f>
        <v>46206</v>
      </c>
      <c r="B1038" s="274">
        <f>IFERROR(__xludf.DUMMYFUNCTION("""COMPUTED_VALUE"""),0.4583333333321207)</f>
        <v>0.4583333333</v>
      </c>
      <c r="C1038" s="208" t="str">
        <f>IFERROR(__xludf.DUMMYFUNCTION("""COMPUTED_VALUE"""),"Whatsapp")</f>
        <v>Whatsapp</v>
      </c>
      <c r="D1038" s="208" t="str">
        <f>IFERROR(__xludf.DUMMYFUNCTION("""COMPUTED_VALUE"""),"Promotional")</f>
        <v>Promotional</v>
      </c>
      <c r="E1038" s="208" t="str">
        <f>IFERROR(__xludf.DUMMYFUNCTION("""COMPUTED_VALUE"""),"BBW")</f>
        <v>BBW</v>
      </c>
      <c r="F1038" s="208" t="str">
        <f>IFERROR(__xludf.DUMMYFUNCTION("""COMPUTED_VALUE"""),"B2G2 - July'26 - Entire Store")</f>
        <v>B2G2 - July'26 - Entire Store</v>
      </c>
      <c r="G1038" s="208" t="str">
        <f>IFERROR(__xludf.DUMMYFUNCTION("""COMPUTED_VALUE"""),"bbw_wa_b2g2_3july_ahd_offline")</f>
        <v>bbw_wa_b2g2_3july_ahd_offline</v>
      </c>
      <c r="H1038" s="232" t="str">
        <f>IFERROR(__xludf.DUMMYFUNCTION("""COMPUTED_VALUE"""),"BBW_OFF_AHD_Active, BBW_OFF_AHD_Dorm")</f>
        <v>BBW_OFF_AHD_Active, BBW_OFF_AHD_Dorm</v>
      </c>
      <c r="I1038" s="233" t="str">
        <f>IFERROR(__xludf.DUMMYFUNCTION("""COMPUTED_VALUE"""),"All Offline Customers who have purchased at least 1 time from Txn_City AHD in the last 112 days (TTR), All Offline Customers who have purchased at least 1 time from Txn_City AHD in the last 365 days excluding TTR purchasers")</f>
        <v>All Offline Customers who have purchased at least 1 time from Txn_City AHD in the last 112 days (TTR), All Offline Customers who have purchased at least 1 time from Txn_City AHD in the last 365 days excluding TTR purchasers</v>
      </c>
      <c r="J1038" s="275">
        <f>IFERROR(__xludf.DUMMYFUNCTION("""COMPUTED_VALUE"""),23243.0)</f>
        <v>23243</v>
      </c>
      <c r="K1038" s="275">
        <f>IFERROR(__xludf.DUMMYFUNCTION("""COMPUTED_VALUE"""),12985.0)</f>
        <v>12985</v>
      </c>
      <c r="L1038" s="276">
        <f>IFERROR(__xludf.DUMMYFUNCTION("""COMPUTED_VALUE"""),0.5587)</f>
        <v>0.5587</v>
      </c>
      <c r="M1038" s="275">
        <f>IFERROR(__xludf.DUMMYFUNCTION("""COMPUTED_VALUE"""),5979.0)</f>
        <v>5979</v>
      </c>
      <c r="N1038" s="276">
        <f>IFERROR(__xludf.DUMMYFUNCTION("""COMPUTED_VALUE"""),0.4605)</f>
        <v>0.4605</v>
      </c>
      <c r="O1038" s="208">
        <f>IFERROR(__xludf.DUMMYFUNCTION("""COMPUTED_VALUE"""),479.0)</f>
        <v>479</v>
      </c>
      <c r="P1038" s="208">
        <f>IFERROR(__xludf.DUMMYFUNCTION("""COMPUTED_VALUE"""),457.0)</f>
        <v>457</v>
      </c>
      <c r="Q1038" s="276">
        <f>IFERROR(__xludf.DUMMYFUNCTION("""COMPUTED_VALUE"""),0.0352)</f>
        <v>0.0352</v>
      </c>
      <c r="R1038" s="276">
        <f>IFERROR(__xludf.DUMMYFUNCTION("""COMPUTED_VALUE"""),0.0764)</f>
        <v>0.0764</v>
      </c>
      <c r="S1038" s="208">
        <f>IFERROR(__xludf.DUMMYFUNCTION("""COMPUTED_VALUE"""),4.0)</f>
        <v>4</v>
      </c>
      <c r="T1038" s="208">
        <f>IFERROR(__xludf.DUMMYFUNCTION("""COMPUTED_VALUE"""),13.0)</f>
        <v>13</v>
      </c>
      <c r="U1038" s="275">
        <f>IFERROR(__xludf.DUMMYFUNCTION("""COMPUTED_VALUE"""),8569.0)</f>
        <v>8569</v>
      </c>
      <c r="V1038" s="234" t="str">
        <f>IFERROR(__xludf.DUMMYFUNCTION("""COMPUTED_VALUE"""),"offline")</f>
        <v>offline</v>
      </c>
      <c r="W1038" s="232" t="str">
        <f>IFERROR(__xludf.DUMMYFUNCTION("""COMPUTED_VALUE"""),"simple")</f>
        <v>simple</v>
      </c>
      <c r="X1038" s="232" t="str">
        <f>IFERROR(__xludf.DUMMYFUNCTION("""COMPUTED_VALUE"""),"City Specific")</f>
        <v>City Specific</v>
      </c>
      <c r="Y1038" s="232" t="str">
        <f>IFERROR(__xludf.DUMMYFUNCTION("""COMPUTED_VALUE"""),"3-5 July")</f>
        <v>3-5 July</v>
      </c>
      <c r="Z1038" s="232" t="str">
        <f>IFERROR(__xludf.DUMMYFUNCTION("""COMPUTED_VALUE"""),"6a43be3ffcd3efeb01c1cc06")</f>
        <v>6a43be3ffcd3efeb01c1cc06</v>
      </c>
      <c r="AA1038" s="277">
        <f>IFERROR(__xludf.DUMMYFUNCTION("""COMPUTED_VALUE"""),109.0)</f>
        <v>109</v>
      </c>
      <c r="AB1038" s="277"/>
      <c r="AC1038" s="277">
        <f>IFERROR(__xludf.DUMMYFUNCTION("""COMPUTED_VALUE"""),109.0)</f>
        <v>109</v>
      </c>
      <c r="AD1038" s="277">
        <f>IFERROR(__xludf.DUMMYFUNCTION("""COMPUTED_VALUE"""),438715.0)</f>
        <v>438715</v>
      </c>
      <c r="AE1038" s="277"/>
      <c r="AF1038" s="277">
        <f>IFERROR(__xludf.DUMMYFUNCTION("""COMPUTED_VALUE"""),438715.0)</f>
        <v>438715</v>
      </c>
      <c r="AG1038" s="208"/>
      <c r="AH1038" s="208"/>
      <c r="AI1038" s="208"/>
      <c r="AJ1038" s="208"/>
      <c r="AK1038" s="208"/>
    </row>
    <row r="1039">
      <c r="A1039" s="288">
        <f>IFERROR(__xludf.DUMMYFUNCTION("""COMPUTED_VALUE"""),46206.0)</f>
        <v>46206</v>
      </c>
      <c r="B1039" s="274">
        <f>IFERROR(__xludf.DUMMYFUNCTION("""COMPUTED_VALUE"""),0.4583333333321207)</f>
        <v>0.4583333333</v>
      </c>
      <c r="C1039" s="208" t="str">
        <f>IFERROR(__xludf.DUMMYFUNCTION("""COMPUTED_VALUE"""),"Whatsapp")</f>
        <v>Whatsapp</v>
      </c>
      <c r="D1039" s="208" t="str">
        <f>IFERROR(__xludf.DUMMYFUNCTION("""COMPUTED_VALUE"""),"Promotional")</f>
        <v>Promotional</v>
      </c>
      <c r="E1039" s="208" t="str">
        <f>IFERROR(__xludf.DUMMYFUNCTION("""COMPUTED_VALUE"""),"BBW")</f>
        <v>BBW</v>
      </c>
      <c r="F1039" s="208" t="str">
        <f>IFERROR(__xludf.DUMMYFUNCTION("""COMPUTED_VALUE"""),"B2G2 - July'26 - Entire Store")</f>
        <v>B2G2 - July'26 - Entire Store</v>
      </c>
      <c r="G1039" s="208" t="str">
        <f>IFERROR(__xludf.DUMMYFUNCTION("""COMPUTED_VALUE"""),"bbw_wa_b2g2_3july_chd_offline")</f>
        <v>bbw_wa_b2g2_3july_chd_offline</v>
      </c>
      <c r="H1039" s="232" t="str">
        <f>IFERROR(__xludf.DUMMYFUNCTION("""COMPUTED_VALUE"""),"BBW_OFF_CHD_Active, BBW_OFF_CHD_Dorm")</f>
        <v>BBW_OFF_CHD_Active, BBW_OFF_CHD_Dorm</v>
      </c>
      <c r="I1039" s="233" t="str">
        <f>IFERROR(__xludf.DUMMYFUNCTION("""COMPUTED_VALUE"""),"All Offline Customers who have purchased at least 1 time from Txn_City CHD in the last 112 days (TTR), All Offline Customers who have purchased at least 1 time from Txn_City CHD in the last 365 days excluding TTR purchasers")</f>
        <v>All Offline Customers who have purchased at least 1 time from Txn_City CHD in the last 112 days (TTR), All Offline Customers who have purchased at least 1 time from Txn_City CHD in the last 365 days excluding TTR purchasers</v>
      </c>
      <c r="J1039" s="275">
        <f>IFERROR(__xludf.DUMMYFUNCTION("""COMPUTED_VALUE"""),22707.0)</f>
        <v>22707</v>
      </c>
      <c r="K1039" s="275">
        <f>IFERROR(__xludf.DUMMYFUNCTION("""COMPUTED_VALUE"""),11335.0)</f>
        <v>11335</v>
      </c>
      <c r="L1039" s="276">
        <f>IFERROR(__xludf.DUMMYFUNCTION("""COMPUTED_VALUE"""),0.4992)</f>
        <v>0.4992</v>
      </c>
      <c r="M1039" s="275">
        <f>IFERROR(__xludf.DUMMYFUNCTION("""COMPUTED_VALUE"""),4416.0)</f>
        <v>4416</v>
      </c>
      <c r="N1039" s="276">
        <f>IFERROR(__xludf.DUMMYFUNCTION("""COMPUTED_VALUE"""),0.3895)</f>
        <v>0.3895</v>
      </c>
      <c r="O1039" s="208">
        <f>IFERROR(__xludf.DUMMYFUNCTION("""COMPUTED_VALUE"""),402.0)</f>
        <v>402</v>
      </c>
      <c r="P1039" s="208">
        <f>IFERROR(__xludf.DUMMYFUNCTION("""COMPUTED_VALUE"""),379.0)</f>
        <v>379</v>
      </c>
      <c r="Q1039" s="276">
        <f>IFERROR(__xludf.DUMMYFUNCTION("""COMPUTED_VALUE"""),0.0334)</f>
        <v>0.0334</v>
      </c>
      <c r="R1039" s="276">
        <f>IFERROR(__xludf.DUMMYFUNCTION("""COMPUTED_VALUE"""),0.0858)</f>
        <v>0.0858</v>
      </c>
      <c r="S1039" s="208">
        <f>IFERROR(__xludf.DUMMYFUNCTION("""COMPUTED_VALUE"""),4.0)</f>
        <v>4</v>
      </c>
      <c r="T1039" s="208">
        <f>IFERROR(__xludf.DUMMYFUNCTION("""COMPUTED_VALUE"""),17.0)</f>
        <v>17</v>
      </c>
      <c r="U1039" s="275">
        <f>IFERROR(__xludf.DUMMYFUNCTION("""COMPUTED_VALUE"""),14840.0)</f>
        <v>14840</v>
      </c>
      <c r="V1039" s="234" t="str">
        <f>IFERROR(__xludf.DUMMYFUNCTION("""COMPUTED_VALUE"""),"offline")</f>
        <v>offline</v>
      </c>
      <c r="W1039" s="232" t="str">
        <f>IFERROR(__xludf.DUMMYFUNCTION("""COMPUTED_VALUE"""),"simple")</f>
        <v>simple</v>
      </c>
      <c r="X1039" s="232" t="str">
        <f>IFERROR(__xludf.DUMMYFUNCTION("""COMPUTED_VALUE"""),"City Specific")</f>
        <v>City Specific</v>
      </c>
      <c r="Y1039" s="232" t="str">
        <f>IFERROR(__xludf.DUMMYFUNCTION("""COMPUTED_VALUE"""),"3-5 July")</f>
        <v>3-5 July</v>
      </c>
      <c r="Z1039" s="232" t="str">
        <f>IFERROR(__xludf.DUMMYFUNCTION("""COMPUTED_VALUE"""),"6a43be9a1165e563bfc2472b")</f>
        <v>6a43be9a1165e563bfc2472b</v>
      </c>
      <c r="AA1039" s="277">
        <f>IFERROR(__xludf.DUMMYFUNCTION("""COMPUTED_VALUE"""),82.0)</f>
        <v>82</v>
      </c>
      <c r="AB1039" s="277"/>
      <c r="AC1039" s="277">
        <f>IFERROR(__xludf.DUMMYFUNCTION("""COMPUTED_VALUE"""),82.0)</f>
        <v>82</v>
      </c>
      <c r="AD1039" s="277">
        <f>IFERROR(__xludf.DUMMYFUNCTION("""COMPUTED_VALUE"""),355743.0)</f>
        <v>355743</v>
      </c>
      <c r="AE1039" s="277"/>
      <c r="AF1039" s="277">
        <f>IFERROR(__xludf.DUMMYFUNCTION("""COMPUTED_VALUE"""),355743.0)</f>
        <v>355743</v>
      </c>
      <c r="AG1039" s="208"/>
      <c r="AH1039" s="208"/>
      <c r="AI1039" s="208"/>
      <c r="AJ1039" s="208"/>
      <c r="AK1039" s="208"/>
    </row>
    <row r="1040">
      <c r="A1040" s="288">
        <f>IFERROR(__xludf.DUMMYFUNCTION("""COMPUTED_VALUE"""),46206.0)</f>
        <v>46206</v>
      </c>
      <c r="B1040" s="274">
        <f>IFERROR(__xludf.DUMMYFUNCTION("""COMPUTED_VALUE"""),0.4583333333321207)</f>
        <v>0.4583333333</v>
      </c>
      <c r="C1040" s="208" t="str">
        <f>IFERROR(__xludf.DUMMYFUNCTION("""COMPUTED_VALUE"""),"Whatsapp")</f>
        <v>Whatsapp</v>
      </c>
      <c r="D1040" s="208" t="str">
        <f>IFERROR(__xludf.DUMMYFUNCTION("""COMPUTED_VALUE"""),"Promotional")</f>
        <v>Promotional</v>
      </c>
      <c r="E1040" s="208" t="str">
        <f>IFERROR(__xludf.DUMMYFUNCTION("""COMPUTED_VALUE"""),"BBW")</f>
        <v>BBW</v>
      </c>
      <c r="F1040" s="208" t="str">
        <f>IFERROR(__xludf.DUMMYFUNCTION("""COMPUTED_VALUE"""),"B2G2 - July'26 - Entire Store")</f>
        <v>B2G2 - July'26 - Entire Store</v>
      </c>
      <c r="G1040" s="208" t="str">
        <f>IFERROR(__xludf.DUMMYFUNCTION("""COMPUTED_VALUE"""),"bbw_wa_b2g2_3july_noida_offline")</f>
        <v>bbw_wa_b2g2_3july_noida_offline</v>
      </c>
      <c r="H1040" s="232" t="str">
        <f>IFERROR(__xludf.DUMMYFUNCTION("""COMPUTED_VALUE"""),"BBW_OFF_NOIDA_Active, BBW_OFF_NOIDA_Dorm")</f>
        <v>BBW_OFF_NOIDA_Active, BBW_OFF_NOIDA_Dorm</v>
      </c>
      <c r="I1040" s="233" t="str">
        <f>IFERROR(__xludf.DUMMYFUNCTION("""COMPUTED_VALUE"""),"All Offline Customers who have purchased at least 1 time from Txn_City NOIDA in the last 112 days (TTR), All Offline Customers who have purchased at least 1 time from Txn_City NOIDA in the last 365 days excluding TTR purchasers")</f>
        <v>All Offline Customers who have purchased at least 1 time from Txn_City NOIDA in the last 112 days (TTR), All Offline Customers who have purchased at least 1 time from Txn_City NOIDA in the last 365 days excluding TTR purchasers</v>
      </c>
      <c r="J1040" s="275">
        <f>IFERROR(__xludf.DUMMYFUNCTION("""COMPUTED_VALUE"""),22834.0)</f>
        <v>22834</v>
      </c>
      <c r="K1040" s="275">
        <f>IFERROR(__xludf.DUMMYFUNCTION("""COMPUTED_VALUE"""),10583.0)</f>
        <v>10583</v>
      </c>
      <c r="L1040" s="276">
        <f>IFERROR(__xludf.DUMMYFUNCTION("""COMPUTED_VALUE"""),0.4635)</f>
        <v>0.4635</v>
      </c>
      <c r="M1040" s="275">
        <f>IFERROR(__xludf.DUMMYFUNCTION("""COMPUTED_VALUE"""),3559.0)</f>
        <v>3559</v>
      </c>
      <c r="N1040" s="276">
        <f>IFERROR(__xludf.DUMMYFUNCTION("""COMPUTED_VALUE"""),0.3362)</f>
        <v>0.3362</v>
      </c>
      <c r="O1040" s="208">
        <f>IFERROR(__xludf.DUMMYFUNCTION("""COMPUTED_VALUE"""),313.0)</f>
        <v>313</v>
      </c>
      <c r="P1040" s="208">
        <f>IFERROR(__xludf.DUMMYFUNCTION("""COMPUTED_VALUE"""),297.0)</f>
        <v>297</v>
      </c>
      <c r="Q1040" s="276">
        <f>IFERROR(__xludf.DUMMYFUNCTION("""COMPUTED_VALUE"""),0.0281)</f>
        <v>0.0281</v>
      </c>
      <c r="R1040" s="276">
        <f>IFERROR(__xludf.DUMMYFUNCTION("""COMPUTED_VALUE"""),0.0835)</f>
        <v>0.0835</v>
      </c>
      <c r="S1040" s="208">
        <f>IFERROR(__xludf.DUMMYFUNCTION("""COMPUTED_VALUE"""),7.0)</f>
        <v>7</v>
      </c>
      <c r="T1040" s="208">
        <f>IFERROR(__xludf.DUMMYFUNCTION("""COMPUTED_VALUE"""),20.0)</f>
        <v>20</v>
      </c>
      <c r="U1040" s="275">
        <f>IFERROR(__xludf.DUMMYFUNCTION("""COMPUTED_VALUE"""),46922.0)</f>
        <v>46922</v>
      </c>
      <c r="V1040" s="234" t="str">
        <f>IFERROR(__xludf.DUMMYFUNCTION("""COMPUTED_VALUE"""),"offline")</f>
        <v>offline</v>
      </c>
      <c r="W1040" s="232" t="str">
        <f>IFERROR(__xludf.DUMMYFUNCTION("""COMPUTED_VALUE"""),"simple")</f>
        <v>simple</v>
      </c>
      <c r="X1040" s="232" t="str">
        <f>IFERROR(__xludf.DUMMYFUNCTION("""COMPUTED_VALUE"""),"City Specific")</f>
        <v>City Specific</v>
      </c>
      <c r="Y1040" s="232" t="str">
        <f>IFERROR(__xludf.DUMMYFUNCTION("""COMPUTED_VALUE"""),"3-5 July")</f>
        <v>3-5 July</v>
      </c>
      <c r="Z1040" s="232" t="str">
        <f>IFERROR(__xludf.DUMMYFUNCTION("""COMPUTED_VALUE"""),"6a43bee13bd1737271abf376")</f>
        <v>6a43bee13bd1737271abf376</v>
      </c>
      <c r="AA1040" s="277">
        <f>IFERROR(__xludf.DUMMYFUNCTION("""COMPUTED_VALUE"""),80.0)</f>
        <v>80</v>
      </c>
      <c r="AB1040" s="277"/>
      <c r="AC1040" s="277">
        <f>IFERROR(__xludf.DUMMYFUNCTION("""COMPUTED_VALUE"""),80.0)</f>
        <v>80</v>
      </c>
      <c r="AD1040" s="277">
        <f>IFERROR(__xludf.DUMMYFUNCTION("""COMPUTED_VALUE"""),306747.0)</f>
        <v>306747</v>
      </c>
      <c r="AE1040" s="277"/>
      <c r="AF1040" s="277">
        <f>IFERROR(__xludf.DUMMYFUNCTION("""COMPUTED_VALUE"""),306747.0)</f>
        <v>306747</v>
      </c>
      <c r="AG1040" s="208"/>
      <c r="AH1040" s="208"/>
      <c r="AI1040" s="208"/>
      <c r="AJ1040" s="208"/>
      <c r="AK1040" s="208"/>
    </row>
    <row r="1041">
      <c r="A1041" s="288">
        <f>IFERROR(__xludf.DUMMYFUNCTION("""COMPUTED_VALUE"""),46206.0)</f>
        <v>46206</v>
      </c>
      <c r="B1041" s="274">
        <f>IFERROR(__xludf.DUMMYFUNCTION("""COMPUTED_VALUE"""),0.4583333333321207)</f>
        <v>0.4583333333</v>
      </c>
      <c r="C1041" s="208" t="str">
        <f>IFERROR(__xludf.DUMMYFUNCTION("""COMPUTED_VALUE"""),"Whatsapp")</f>
        <v>Whatsapp</v>
      </c>
      <c r="D1041" s="208" t="str">
        <f>IFERROR(__xludf.DUMMYFUNCTION("""COMPUTED_VALUE"""),"Promotional")</f>
        <v>Promotional</v>
      </c>
      <c r="E1041" s="208" t="str">
        <f>IFERROR(__xludf.DUMMYFUNCTION("""COMPUTED_VALUE"""),"BBW")</f>
        <v>BBW</v>
      </c>
      <c r="F1041" s="208" t="str">
        <f>IFERROR(__xludf.DUMMYFUNCTION("""COMPUTED_VALUE"""),"B2G2 - July'26 - Entire Store")</f>
        <v>B2G2 - July'26 - Entire Store</v>
      </c>
      <c r="G1041" s="208" t="str">
        <f>IFERROR(__xludf.DUMMYFUNCTION("""COMPUTED_VALUE"""),"bbw_wa_b2g2_3july_chenn_offline")</f>
        <v>bbw_wa_b2g2_3july_chenn_offline</v>
      </c>
      <c r="H1041" s="232" t="str">
        <f>IFERROR(__xludf.DUMMYFUNCTION("""COMPUTED_VALUE"""),"BBW_OFF_Chennai_Dorm, BBW_OFF_Chennai_Active")</f>
        <v>BBW_OFF_Chennai_Dorm, BBW_OFF_Chennai_Active</v>
      </c>
      <c r="I1041" s="233" t="str">
        <f>IFERROR(__xludf.DUMMYFUNCTION("""COMPUTED_VALUE"""),"All Offline Customers who have purchased at least 1 time from Txn_City CHENNAI in the last 112 days (TTR), All Offline Customers who have purchased at least 1 time from Txn_City CHENNAI in the last 365 days excluding TTR purchasers")</f>
        <v>All Offline Customers who have purchased at least 1 time from Txn_City CHENNAI in the last 112 days (TTR), All Offline Customers who have purchased at least 1 time from Txn_City CHENNAI in the last 365 days excluding TTR purchasers</v>
      </c>
      <c r="J1041" s="275">
        <f>IFERROR(__xludf.DUMMYFUNCTION("""COMPUTED_VALUE"""),21856.0)</f>
        <v>21856</v>
      </c>
      <c r="K1041" s="275">
        <f>IFERROR(__xludf.DUMMYFUNCTION("""COMPUTED_VALUE"""),10954.0)</f>
        <v>10954</v>
      </c>
      <c r="L1041" s="276">
        <f>IFERROR(__xludf.DUMMYFUNCTION("""COMPUTED_VALUE"""),0.5012)</f>
        <v>0.5012</v>
      </c>
      <c r="M1041" s="275">
        <f>IFERROR(__xludf.DUMMYFUNCTION("""COMPUTED_VALUE"""),4302.0)</f>
        <v>4302</v>
      </c>
      <c r="N1041" s="276">
        <f>IFERROR(__xludf.DUMMYFUNCTION("""COMPUTED_VALUE"""),0.3927)</f>
        <v>0.3927</v>
      </c>
      <c r="O1041" s="208">
        <f>IFERROR(__xludf.DUMMYFUNCTION("""COMPUTED_VALUE"""),411.0)</f>
        <v>411</v>
      </c>
      <c r="P1041" s="208">
        <f>IFERROR(__xludf.DUMMYFUNCTION("""COMPUTED_VALUE"""),393.0)</f>
        <v>393</v>
      </c>
      <c r="Q1041" s="276">
        <f>IFERROR(__xludf.DUMMYFUNCTION("""COMPUTED_VALUE"""),0.0359)</f>
        <v>0.0359</v>
      </c>
      <c r="R1041" s="276">
        <f>IFERROR(__xludf.DUMMYFUNCTION("""COMPUTED_VALUE"""),0.0914)</f>
        <v>0.0914</v>
      </c>
      <c r="S1041" s="208">
        <f>IFERROR(__xludf.DUMMYFUNCTION("""COMPUTED_VALUE"""),7.0)</f>
        <v>7</v>
      </c>
      <c r="T1041" s="208">
        <f>IFERROR(__xludf.DUMMYFUNCTION("""COMPUTED_VALUE"""),20.0)</f>
        <v>20</v>
      </c>
      <c r="U1041" s="275">
        <f>IFERROR(__xludf.DUMMYFUNCTION("""COMPUTED_VALUE"""),17434.0)</f>
        <v>17434</v>
      </c>
      <c r="V1041" s="234" t="str">
        <f>IFERROR(__xludf.DUMMYFUNCTION("""COMPUTED_VALUE"""),"offline")</f>
        <v>offline</v>
      </c>
      <c r="W1041" s="232" t="str">
        <f>IFERROR(__xludf.DUMMYFUNCTION("""COMPUTED_VALUE"""),"simple")</f>
        <v>simple</v>
      </c>
      <c r="X1041" s="232" t="str">
        <f>IFERROR(__xludf.DUMMYFUNCTION("""COMPUTED_VALUE"""),"City Specific")</f>
        <v>City Specific</v>
      </c>
      <c r="Y1041" s="232" t="str">
        <f>IFERROR(__xludf.DUMMYFUNCTION("""COMPUTED_VALUE"""),"3-5 July")</f>
        <v>3-5 July</v>
      </c>
      <c r="Z1041" s="232" t="str">
        <f>IFERROR(__xludf.DUMMYFUNCTION("""COMPUTED_VALUE"""),"6a43bf27f3f093293a5727c4")</f>
        <v>6a43bf27f3f093293a5727c4</v>
      </c>
      <c r="AA1041" s="277">
        <f>IFERROR(__xludf.DUMMYFUNCTION("""COMPUTED_VALUE"""),93.0)</f>
        <v>93</v>
      </c>
      <c r="AB1041" s="277"/>
      <c r="AC1041" s="277">
        <f>IFERROR(__xludf.DUMMYFUNCTION("""COMPUTED_VALUE"""),93.0)</f>
        <v>93</v>
      </c>
      <c r="AD1041" s="277">
        <f>IFERROR(__xludf.DUMMYFUNCTION("""COMPUTED_VALUE"""),440007.0)</f>
        <v>440007</v>
      </c>
      <c r="AE1041" s="277"/>
      <c r="AF1041" s="277">
        <f>IFERROR(__xludf.DUMMYFUNCTION("""COMPUTED_VALUE"""),440007.0)</f>
        <v>440007</v>
      </c>
      <c r="AG1041" s="208"/>
      <c r="AH1041" s="208"/>
      <c r="AI1041" s="208"/>
      <c r="AJ1041" s="208"/>
      <c r="AK1041" s="208"/>
    </row>
    <row r="1042">
      <c r="A1042" s="288">
        <f>IFERROR(__xludf.DUMMYFUNCTION("""COMPUTED_VALUE"""),46206.0)</f>
        <v>46206</v>
      </c>
      <c r="B1042" s="274">
        <f>IFERROR(__xludf.DUMMYFUNCTION("""COMPUTED_VALUE"""),0.4583333333321207)</f>
        <v>0.4583333333</v>
      </c>
      <c r="C1042" s="208" t="str">
        <f>IFERROR(__xludf.DUMMYFUNCTION("""COMPUTED_VALUE"""),"Whatsapp")</f>
        <v>Whatsapp</v>
      </c>
      <c r="D1042" s="208" t="str">
        <f>IFERROR(__xludf.DUMMYFUNCTION("""COMPUTED_VALUE"""),"Promotional")</f>
        <v>Promotional</v>
      </c>
      <c r="E1042" s="208" t="str">
        <f>IFERROR(__xludf.DUMMYFUNCTION("""COMPUTED_VALUE"""),"BBW")</f>
        <v>BBW</v>
      </c>
      <c r="F1042" s="208" t="str">
        <f>IFERROR(__xludf.DUMMYFUNCTION("""COMPUTED_VALUE"""),"B2G2 - July'26 - Entire Store")</f>
        <v>B2G2 - July'26 - Entire Store</v>
      </c>
      <c r="G1042" s="208" t="str">
        <f>IFERROR(__xludf.DUMMYFUNCTION("""COMPUTED_VALUE"""),"bbw_wa_b2g2_3july_ggn_offline")</f>
        <v>bbw_wa_b2g2_3july_ggn_offline</v>
      </c>
      <c r="H1042" s="232" t="str">
        <f>IFERROR(__xludf.DUMMYFUNCTION("""COMPUTED_VALUE"""),"BBW_OFF_GGN_Active, BBW_OFF_GGN_Dorm")</f>
        <v>BBW_OFF_GGN_Active, BBW_OFF_GGN_Dorm</v>
      </c>
      <c r="I1042" s="233" t="str">
        <f>IFERROR(__xludf.DUMMYFUNCTION("""COMPUTED_VALUE"""),"All Offline Customers who have purchased at least 1 time from Txn_City GGN in the last 112 days (TTR), All Offline Customers who have purchased at least 1 time from Txn_City GGN in the last 365 days excluding TTR purchasers")</f>
        <v>All Offline Customers who have purchased at least 1 time from Txn_City GGN in the last 112 days (TTR), All Offline Customers who have purchased at least 1 time from Txn_City GGN in the last 365 days excluding TTR purchasers</v>
      </c>
      <c r="J1042" s="275">
        <f>IFERROR(__xludf.DUMMYFUNCTION("""COMPUTED_VALUE"""),15628.0)</f>
        <v>15628</v>
      </c>
      <c r="K1042" s="275">
        <f>IFERROR(__xludf.DUMMYFUNCTION("""COMPUTED_VALUE"""),6739.0)</f>
        <v>6739</v>
      </c>
      <c r="L1042" s="276">
        <f>IFERROR(__xludf.DUMMYFUNCTION("""COMPUTED_VALUE"""),0.431)</f>
        <v>0.431</v>
      </c>
      <c r="M1042" s="275">
        <f>IFERROR(__xludf.DUMMYFUNCTION("""COMPUTED_VALUE"""),2122.0)</f>
        <v>2122</v>
      </c>
      <c r="N1042" s="276">
        <f>IFERROR(__xludf.DUMMYFUNCTION("""COMPUTED_VALUE"""),0.315)</f>
        <v>0.315</v>
      </c>
      <c r="O1042" s="208">
        <f>IFERROR(__xludf.DUMMYFUNCTION("""COMPUTED_VALUE"""),224.0)</f>
        <v>224</v>
      </c>
      <c r="P1042" s="208">
        <f>IFERROR(__xludf.DUMMYFUNCTION("""COMPUTED_VALUE"""),216.0)</f>
        <v>216</v>
      </c>
      <c r="Q1042" s="276">
        <f>IFERROR(__xludf.DUMMYFUNCTION("""COMPUTED_VALUE"""),0.0321)</f>
        <v>0.0321</v>
      </c>
      <c r="R1042" s="276">
        <f>IFERROR(__xludf.DUMMYFUNCTION("""COMPUTED_VALUE"""),0.1018)</f>
        <v>0.1018</v>
      </c>
      <c r="S1042" s="208">
        <f>IFERROR(__xludf.DUMMYFUNCTION("""COMPUTED_VALUE"""),3.0)</f>
        <v>3</v>
      </c>
      <c r="T1042" s="208">
        <f>IFERROR(__xludf.DUMMYFUNCTION("""COMPUTED_VALUE"""),6.0)</f>
        <v>6</v>
      </c>
      <c r="U1042" s="275">
        <f>IFERROR(__xludf.DUMMYFUNCTION("""COMPUTED_VALUE"""),5870.0)</f>
        <v>5870</v>
      </c>
      <c r="V1042" s="234" t="str">
        <f>IFERROR(__xludf.DUMMYFUNCTION("""COMPUTED_VALUE"""),"offline")</f>
        <v>offline</v>
      </c>
      <c r="W1042" s="232" t="str">
        <f>IFERROR(__xludf.DUMMYFUNCTION("""COMPUTED_VALUE"""),"simple")</f>
        <v>simple</v>
      </c>
      <c r="X1042" s="232" t="str">
        <f>IFERROR(__xludf.DUMMYFUNCTION("""COMPUTED_VALUE"""),"City Specific")</f>
        <v>City Specific</v>
      </c>
      <c r="Y1042" s="232" t="str">
        <f>IFERROR(__xludf.DUMMYFUNCTION("""COMPUTED_VALUE"""),"3-5 July")</f>
        <v>3-5 July</v>
      </c>
      <c r="Z1042" s="232" t="str">
        <f>IFERROR(__xludf.DUMMYFUNCTION("""COMPUTED_VALUE"""),"6a43bf9f1cb499061f9b6c84")</f>
        <v>6a43bf9f1cb499061f9b6c84</v>
      </c>
      <c r="AA1042" s="277">
        <f>IFERROR(__xludf.DUMMYFUNCTION("""COMPUTED_VALUE"""),45.0)</f>
        <v>45</v>
      </c>
      <c r="AB1042" s="277"/>
      <c r="AC1042" s="277">
        <f>IFERROR(__xludf.DUMMYFUNCTION("""COMPUTED_VALUE"""),45.0)</f>
        <v>45</v>
      </c>
      <c r="AD1042" s="277">
        <f>IFERROR(__xludf.DUMMYFUNCTION("""COMPUTED_VALUE"""),297484.0)</f>
        <v>297484</v>
      </c>
      <c r="AE1042" s="277"/>
      <c r="AF1042" s="277">
        <f>IFERROR(__xludf.DUMMYFUNCTION("""COMPUTED_VALUE"""),297484.0)</f>
        <v>297484</v>
      </c>
      <c r="AG1042" s="208"/>
      <c r="AH1042" s="208"/>
      <c r="AI1042" s="208"/>
      <c r="AJ1042" s="208"/>
      <c r="AK1042" s="208"/>
    </row>
    <row r="1043">
      <c r="A1043" s="288">
        <f>IFERROR(__xludf.DUMMYFUNCTION("""COMPUTED_VALUE"""),46206.0)</f>
        <v>46206</v>
      </c>
      <c r="B1043" s="274">
        <f>IFERROR(__xludf.DUMMYFUNCTION("""COMPUTED_VALUE"""),0.4583333333321207)</f>
        <v>0.4583333333</v>
      </c>
      <c r="C1043" s="208" t="str">
        <f>IFERROR(__xludf.DUMMYFUNCTION("""COMPUTED_VALUE"""),"Whatsapp")</f>
        <v>Whatsapp</v>
      </c>
      <c r="D1043" s="208" t="str">
        <f>IFERROR(__xludf.DUMMYFUNCTION("""COMPUTED_VALUE"""),"Promotional")</f>
        <v>Promotional</v>
      </c>
      <c r="E1043" s="208" t="str">
        <f>IFERROR(__xludf.DUMMYFUNCTION("""COMPUTED_VALUE"""),"BBW")</f>
        <v>BBW</v>
      </c>
      <c r="F1043" s="208" t="str">
        <f>IFERROR(__xludf.DUMMYFUNCTION("""COMPUTED_VALUE"""),"B2G2 - July'26 - Entire Store")</f>
        <v>B2G2 - July'26 - Entire Store</v>
      </c>
      <c r="G1043" s="208" t="str">
        <f>IFERROR(__xludf.DUMMYFUNCTION("""COMPUTED_VALUE"""),"bbw_wa_b2g2_3july_pune_offline")</f>
        <v>bbw_wa_b2g2_3july_pune_offline</v>
      </c>
      <c r="H1043" s="232" t="str">
        <f>IFERROR(__xludf.DUMMYFUNCTION("""COMPUTED_VALUE"""),"BBW_OFF_PUNE_Active, BBW_OFF_PUNE_Dorm")</f>
        <v>BBW_OFF_PUNE_Active, BBW_OFF_PUNE_Dorm</v>
      </c>
      <c r="I1043" s="233" t="str">
        <f>IFERROR(__xludf.DUMMYFUNCTION("""COMPUTED_VALUE"""),"All Offline Customers who have purchased at least 1 time from Txn_City PUNE in the last 112 days (TTR), All Offline Customers who have purchased at least 1 time from Txn_City PUNE in the last 365 days excluding TTR purchasers")</f>
        <v>All Offline Customers who have purchased at least 1 time from Txn_City PUNE in the last 112 days (TTR), All Offline Customers who have purchased at least 1 time from Txn_City PUNE in the last 365 days excluding TTR purchasers</v>
      </c>
      <c r="J1043" s="275">
        <f>IFERROR(__xludf.DUMMYFUNCTION("""COMPUTED_VALUE"""),12570.0)</f>
        <v>12570</v>
      </c>
      <c r="K1043" s="275">
        <f>IFERROR(__xludf.DUMMYFUNCTION("""COMPUTED_VALUE"""),6252.0)</f>
        <v>6252</v>
      </c>
      <c r="L1043" s="276">
        <f>IFERROR(__xludf.DUMMYFUNCTION("""COMPUTED_VALUE"""),0.4974)</f>
        <v>0.4974</v>
      </c>
      <c r="M1043" s="275">
        <f>IFERROR(__xludf.DUMMYFUNCTION("""COMPUTED_VALUE"""),2414.0)</f>
        <v>2414</v>
      </c>
      <c r="N1043" s="276">
        <f>IFERROR(__xludf.DUMMYFUNCTION("""COMPUTED_VALUE"""),0.3861)</f>
        <v>0.3861</v>
      </c>
      <c r="O1043" s="208">
        <f>IFERROR(__xludf.DUMMYFUNCTION("""COMPUTED_VALUE"""),190.0)</f>
        <v>190</v>
      </c>
      <c r="P1043" s="208">
        <f>IFERROR(__xludf.DUMMYFUNCTION("""COMPUTED_VALUE"""),179.0)</f>
        <v>179</v>
      </c>
      <c r="Q1043" s="276">
        <f>IFERROR(__xludf.DUMMYFUNCTION("""COMPUTED_VALUE"""),0.0286)</f>
        <v>0.0286</v>
      </c>
      <c r="R1043" s="276">
        <f>IFERROR(__xludf.DUMMYFUNCTION("""COMPUTED_VALUE"""),0.0742)</f>
        <v>0.0742</v>
      </c>
      <c r="S1043" s="208">
        <f>IFERROR(__xludf.DUMMYFUNCTION("""COMPUTED_VALUE"""),1.0)</f>
        <v>1</v>
      </c>
      <c r="T1043" s="208">
        <f>IFERROR(__xludf.DUMMYFUNCTION("""COMPUTED_VALUE"""),6.0)</f>
        <v>6</v>
      </c>
      <c r="U1043" s="275">
        <f>IFERROR(__xludf.DUMMYFUNCTION("""COMPUTED_VALUE"""),4856.0)</f>
        <v>4856</v>
      </c>
      <c r="V1043" s="234" t="str">
        <f>IFERROR(__xludf.DUMMYFUNCTION("""COMPUTED_VALUE"""),"offline")</f>
        <v>offline</v>
      </c>
      <c r="W1043" s="232" t="str">
        <f>IFERROR(__xludf.DUMMYFUNCTION("""COMPUTED_VALUE"""),"simple")</f>
        <v>simple</v>
      </c>
      <c r="X1043" s="232" t="str">
        <f>IFERROR(__xludf.DUMMYFUNCTION("""COMPUTED_VALUE"""),"City Specific")</f>
        <v>City Specific</v>
      </c>
      <c r="Y1043" s="232" t="str">
        <f>IFERROR(__xludf.DUMMYFUNCTION("""COMPUTED_VALUE"""),"3-5 July")</f>
        <v>3-5 July</v>
      </c>
      <c r="Z1043" s="232" t="str">
        <f>IFERROR(__xludf.DUMMYFUNCTION("""COMPUTED_VALUE"""),"6a43bfd8b48e5599756e2a14")</f>
        <v>6a43bfd8b48e5599756e2a14</v>
      </c>
      <c r="AA1043" s="277">
        <f>IFERROR(__xludf.DUMMYFUNCTION("""COMPUTED_VALUE"""),55.0)</f>
        <v>55</v>
      </c>
      <c r="AB1043" s="277"/>
      <c r="AC1043" s="277">
        <f>IFERROR(__xludf.DUMMYFUNCTION("""COMPUTED_VALUE"""),55.0)</f>
        <v>55</v>
      </c>
      <c r="AD1043" s="277">
        <f>IFERROR(__xludf.DUMMYFUNCTION("""COMPUTED_VALUE"""),197931.0)</f>
        <v>197931</v>
      </c>
      <c r="AE1043" s="277"/>
      <c r="AF1043" s="277">
        <f>IFERROR(__xludf.DUMMYFUNCTION("""COMPUTED_VALUE"""),197931.0)</f>
        <v>197931</v>
      </c>
      <c r="AG1043" s="208"/>
      <c r="AH1043" s="208"/>
      <c r="AI1043" s="208"/>
      <c r="AJ1043" s="208"/>
      <c r="AK1043" s="208"/>
    </row>
    <row r="1044">
      <c r="A1044" s="288">
        <f>IFERROR(__xludf.DUMMYFUNCTION("""COMPUTED_VALUE"""),46208.0)</f>
        <v>46208</v>
      </c>
      <c r="B1044" s="274">
        <f>IFERROR(__xludf.DUMMYFUNCTION("""COMPUTED_VALUE"""),0.75)</f>
        <v>0.75</v>
      </c>
      <c r="C1044" s="208" t="str">
        <f>IFERROR(__xludf.DUMMYFUNCTION("""COMPUTED_VALUE"""),"Whatsapp")</f>
        <v>Whatsapp</v>
      </c>
      <c r="D1044" s="208" t="str">
        <f>IFERROR(__xludf.DUMMYFUNCTION("""COMPUTED_VALUE"""),"Promotional")</f>
        <v>Promotional</v>
      </c>
      <c r="E1044" s="208" t="str">
        <f>IFERROR(__xludf.DUMMYFUNCTION("""COMPUTED_VALUE"""),"BBW")</f>
        <v>BBW</v>
      </c>
      <c r="F1044" s="208" t="str">
        <f>IFERROR(__xludf.DUMMYFUNCTION("""COMPUTED_VALUE"""),"B2G2 - July'26 - Entire Store")</f>
        <v>B2G2 - July'26 - Entire Store</v>
      </c>
      <c r="G1044" s="208" t="str">
        <f>IFERROR(__xludf.DUMMYFUNCTION("""COMPUTED_VALUE"""),"bbw_wa_b2g2_5july_lastreminder_atc_wishlist_online")</f>
        <v>bbw_wa_b2g2_5july_lastreminder_atc_wishlist_online</v>
      </c>
      <c r="H1044" s="232" t="str">
        <f>IFERROR(__xludf.DUMMYFUNCTION("""COMPUTED_VALUE"""),"BBW_ATC_View_Wishlist_NoPr_45D")</f>
        <v>BBW_ATC_View_Wishlist_NoPr_45D</v>
      </c>
      <c r="I1044" s="233" t="str">
        <f>IFERROR(__xludf.DUMMYFUNCTION("""COMPUTED_VALUE"""),"Customers who have added to cart or wishlisted items from item_category Body Care in the last 45D")</f>
        <v>Customers who have added to cart or wishlisted items from item_category Body Care in the last 45D</v>
      </c>
      <c r="J1044" s="275">
        <f>IFERROR(__xludf.DUMMYFUNCTION("""COMPUTED_VALUE"""),11613.0)</f>
        <v>11613</v>
      </c>
      <c r="K1044" s="275">
        <f>IFERROR(__xludf.DUMMYFUNCTION("""COMPUTED_VALUE"""),4899.0)</f>
        <v>4899</v>
      </c>
      <c r="L1044" s="276">
        <f>IFERROR(__xludf.DUMMYFUNCTION("""COMPUTED_VALUE"""),0.4219)</f>
        <v>0.4219</v>
      </c>
      <c r="M1044" s="275">
        <f>IFERROR(__xludf.DUMMYFUNCTION("""COMPUTED_VALUE"""),1944.0)</f>
        <v>1944</v>
      </c>
      <c r="N1044" s="276">
        <f>IFERROR(__xludf.DUMMYFUNCTION("""COMPUTED_VALUE"""),0.3968)</f>
        <v>0.3968</v>
      </c>
      <c r="O1044" s="208">
        <f>IFERROR(__xludf.DUMMYFUNCTION("""COMPUTED_VALUE"""),288.0)</f>
        <v>288</v>
      </c>
      <c r="P1044" s="208">
        <f>IFERROR(__xludf.DUMMYFUNCTION("""COMPUTED_VALUE"""),270.0)</f>
        <v>270</v>
      </c>
      <c r="Q1044" s="276">
        <f>IFERROR(__xludf.DUMMYFUNCTION("""COMPUTED_VALUE"""),0.0551)</f>
        <v>0.0551</v>
      </c>
      <c r="R1044" s="276">
        <f>IFERROR(__xludf.DUMMYFUNCTION("""COMPUTED_VALUE"""),0.1389)</f>
        <v>0.1389</v>
      </c>
      <c r="S1044" s="208">
        <f>IFERROR(__xludf.DUMMYFUNCTION("""COMPUTED_VALUE"""),11.0)</f>
        <v>11</v>
      </c>
      <c r="T1044" s="208">
        <f>IFERROR(__xludf.DUMMYFUNCTION("""COMPUTED_VALUE"""),85.0)</f>
        <v>85</v>
      </c>
      <c r="U1044" s="275">
        <f>IFERROR(__xludf.DUMMYFUNCTION("""COMPUTED_VALUE"""),21156.0)</f>
        <v>21156</v>
      </c>
      <c r="V1044" s="234" t="str">
        <f>IFERROR(__xludf.DUMMYFUNCTION("""COMPUTED_VALUE"""),"online")</f>
        <v>online</v>
      </c>
      <c r="W1044" s="232" t="str">
        <f>IFERROR(__xludf.DUMMYFUNCTION("""COMPUTED_VALUE"""),"simple")</f>
        <v>simple</v>
      </c>
      <c r="X1044" s="232" t="str">
        <f>IFERROR(__xludf.DUMMYFUNCTION("""COMPUTED_VALUE"""),"ATC/View")</f>
        <v>ATC/View</v>
      </c>
      <c r="Y1044" s="232" t="str">
        <f>IFERROR(__xludf.DUMMYFUNCTION("""COMPUTED_VALUE"""),"5-7 July")</f>
        <v>5-7 July</v>
      </c>
      <c r="Z1044" s="232" t="str">
        <f>IFERROR(__xludf.DUMMYFUNCTION("""COMPUTED_VALUE"""),"6a44b8d809a4638ca7281e3d")</f>
        <v>6a44b8d809a4638ca7281e3d</v>
      </c>
      <c r="AA1044" s="277">
        <f>IFERROR(__xludf.DUMMYFUNCTION("""COMPUTED_VALUE"""),58.0)</f>
        <v>58</v>
      </c>
      <c r="AB1044" s="277">
        <f>IFERROR(__xludf.DUMMYFUNCTION("""COMPUTED_VALUE"""),58.0)</f>
        <v>58</v>
      </c>
      <c r="AC1044" s="277"/>
      <c r="AD1044" s="277">
        <f>IFERROR(__xludf.DUMMYFUNCTION("""COMPUTED_VALUE"""),121990.0)</f>
        <v>121990</v>
      </c>
      <c r="AE1044" s="277">
        <f>IFERROR(__xludf.DUMMYFUNCTION("""COMPUTED_VALUE"""),121990.0)</f>
        <v>121990</v>
      </c>
      <c r="AF1044" s="277"/>
      <c r="AG1044" s="208"/>
      <c r="AH1044" s="208"/>
      <c r="AI1044" s="208"/>
      <c r="AJ1044" s="208"/>
      <c r="AK1044" s="208"/>
    </row>
    <row r="1045">
      <c r="A1045" s="288">
        <f>IFERROR(__xludf.DUMMYFUNCTION("""COMPUTED_VALUE"""),46208.0)</f>
        <v>46208</v>
      </c>
      <c r="B1045" s="274">
        <f>IFERROR(__xludf.DUMMYFUNCTION("""COMPUTED_VALUE"""),0.75)</f>
        <v>0.75</v>
      </c>
      <c r="C1045" s="208" t="str">
        <f>IFERROR(__xludf.DUMMYFUNCTION("""COMPUTED_VALUE"""),"Whatsapp")</f>
        <v>Whatsapp</v>
      </c>
      <c r="D1045" s="208" t="str">
        <f>IFERROR(__xludf.DUMMYFUNCTION("""COMPUTED_VALUE"""),"Promotional")</f>
        <v>Promotional</v>
      </c>
      <c r="E1045" s="208" t="str">
        <f>IFERROR(__xludf.DUMMYFUNCTION("""COMPUTED_VALUE"""),"BBW")</f>
        <v>BBW</v>
      </c>
      <c r="F1045" s="208" t="str">
        <f>IFERROR(__xludf.DUMMYFUNCTION("""COMPUTED_VALUE"""),"B2G2 - July'26 - Entire Store")</f>
        <v>B2G2 - July'26 - Entire Store</v>
      </c>
      <c r="G1045" s="208" t="str">
        <f>IFERROR(__xludf.DUMMYFUNCTION("""COMPUTED_VALUE"""),"bbw_wa_b2g2_5july_lastreminder_active_online")</f>
        <v>bbw_wa_b2g2_5july_lastreminder_active_online</v>
      </c>
      <c r="H1045" s="232" t="str">
        <f>IFERROR(__xludf.DUMMYFUNCTION("""COMPUTED_VALUE"""),"BBW_ON_BC_2_Times_45D_210D")</f>
        <v>BBW_ON_BC_2_Times_45D_210D</v>
      </c>
      <c r="I1045" s="233" t="str">
        <f>IFERROR(__xludf.DUMMYFUNCTION("""COMPUTED_VALUE"""),"Online Customers who have purchased from L2: Body Care at least 2 times in between 45 days and 210 days ago")</f>
        <v>Online Customers who have purchased from L2: Body Care at least 2 times in between 45 days and 210 days ago</v>
      </c>
      <c r="J1045" s="275">
        <f>IFERROR(__xludf.DUMMYFUNCTION("""COMPUTED_VALUE"""),19846.0)</f>
        <v>19846</v>
      </c>
      <c r="K1045" s="275">
        <f>IFERROR(__xludf.DUMMYFUNCTION("""COMPUTED_VALUE"""),7313.0)</f>
        <v>7313</v>
      </c>
      <c r="L1045" s="276">
        <f>IFERROR(__xludf.DUMMYFUNCTION("""COMPUTED_VALUE"""),0.3685)</f>
        <v>0.3685</v>
      </c>
      <c r="M1045" s="275">
        <f>IFERROR(__xludf.DUMMYFUNCTION("""COMPUTED_VALUE"""),2471.0)</f>
        <v>2471</v>
      </c>
      <c r="N1045" s="276">
        <f>IFERROR(__xludf.DUMMYFUNCTION("""COMPUTED_VALUE"""),0.3379)</f>
        <v>0.3379</v>
      </c>
      <c r="O1045" s="208">
        <f>IFERROR(__xludf.DUMMYFUNCTION("""COMPUTED_VALUE"""),226.0)</f>
        <v>226</v>
      </c>
      <c r="P1045" s="208">
        <f>IFERROR(__xludf.DUMMYFUNCTION("""COMPUTED_VALUE"""),208.0)</f>
        <v>208</v>
      </c>
      <c r="Q1045" s="276">
        <f>IFERROR(__xludf.DUMMYFUNCTION("""COMPUTED_VALUE"""),0.0284)</f>
        <v>0.0284</v>
      </c>
      <c r="R1045" s="276">
        <f>IFERROR(__xludf.DUMMYFUNCTION("""COMPUTED_VALUE"""),0.0842)</f>
        <v>0.0842</v>
      </c>
      <c r="S1045" s="208">
        <f>IFERROR(__xludf.DUMMYFUNCTION("""COMPUTED_VALUE"""),4.0)</f>
        <v>4</v>
      </c>
      <c r="T1045" s="208">
        <f>IFERROR(__xludf.DUMMYFUNCTION("""COMPUTED_VALUE"""),8.0)</f>
        <v>8</v>
      </c>
      <c r="U1045" s="275">
        <f>IFERROR(__xludf.DUMMYFUNCTION("""COMPUTED_VALUE"""),14172.0)</f>
        <v>14172</v>
      </c>
      <c r="V1045" s="234" t="str">
        <f>IFERROR(__xludf.DUMMYFUNCTION("""COMPUTED_VALUE"""),"online")</f>
        <v>online</v>
      </c>
      <c r="W1045" s="232" t="str">
        <f>IFERROR(__xludf.DUMMYFUNCTION("""COMPUTED_VALUE"""),"simple")</f>
        <v>simple</v>
      </c>
      <c r="X1045" s="232" t="str">
        <f>IFERROR(__xludf.DUMMYFUNCTION("""COMPUTED_VALUE"""),"Repeat")</f>
        <v>Repeat</v>
      </c>
      <c r="Y1045" s="232" t="str">
        <f>IFERROR(__xludf.DUMMYFUNCTION("""COMPUTED_VALUE"""),"5-7 July")</f>
        <v>5-7 July</v>
      </c>
      <c r="Z1045" s="232" t="str">
        <f>IFERROR(__xludf.DUMMYFUNCTION("""COMPUTED_VALUE"""),"6a44b9277cc8a3884454279f")</f>
        <v>6a44b9277cc8a3884454279f</v>
      </c>
      <c r="AA1045" s="277">
        <f>IFERROR(__xludf.DUMMYFUNCTION("""COMPUTED_VALUE"""),52.0)</f>
        <v>52</v>
      </c>
      <c r="AB1045" s="277">
        <f>IFERROR(__xludf.DUMMYFUNCTION("""COMPUTED_VALUE"""),52.0)</f>
        <v>52</v>
      </c>
      <c r="AC1045" s="277"/>
      <c r="AD1045" s="277">
        <f>IFERROR(__xludf.DUMMYFUNCTION("""COMPUTED_VALUE"""),154991.0)</f>
        <v>154991</v>
      </c>
      <c r="AE1045" s="277">
        <f>IFERROR(__xludf.DUMMYFUNCTION("""COMPUTED_VALUE"""),154991.0)</f>
        <v>154991</v>
      </c>
      <c r="AF1045" s="277"/>
      <c r="AG1045" s="208"/>
      <c r="AH1045" s="208"/>
      <c r="AI1045" s="208"/>
      <c r="AJ1045" s="208"/>
      <c r="AK1045" s="208"/>
    </row>
    <row r="1046">
      <c r="A1046" s="288">
        <f>IFERROR(__xludf.DUMMYFUNCTION("""COMPUTED_VALUE"""),46208.0)</f>
        <v>46208</v>
      </c>
      <c r="B1046" s="274">
        <f>IFERROR(__xludf.DUMMYFUNCTION("""COMPUTED_VALUE"""),0.75)</f>
        <v>0.75</v>
      </c>
      <c r="C1046" s="208" t="str">
        <f>IFERROR(__xludf.DUMMYFUNCTION("""COMPUTED_VALUE"""),"Whatsapp")</f>
        <v>Whatsapp</v>
      </c>
      <c r="D1046" s="208" t="str">
        <f>IFERROR(__xludf.DUMMYFUNCTION("""COMPUTED_VALUE"""),"Promotional")</f>
        <v>Promotional</v>
      </c>
      <c r="E1046" s="208" t="str">
        <f>IFERROR(__xludf.DUMMYFUNCTION("""COMPUTED_VALUE"""),"BBW")</f>
        <v>BBW</v>
      </c>
      <c r="F1046" s="208" t="str">
        <f>IFERROR(__xludf.DUMMYFUNCTION("""COMPUTED_VALUE"""),"B2G2 - July'26 - Entire Store")</f>
        <v>B2G2 - July'26 - Entire Store</v>
      </c>
      <c r="G1046" s="208" t="str">
        <f>IFERROR(__xludf.DUMMYFUNCTION("""COMPUTED_VALUE"""),"bbw_wa_b2g2_5july_lastreminder_aov_3100_online")</f>
        <v>bbw_wa_b2g2_5july_lastreminder_aov_3100_online</v>
      </c>
      <c r="H1046" s="232" t="str">
        <f>IFERROR(__xludf.DUMMYFUNCTION("""COMPUTED_VALUE"""),"BC_EventBuyers_ON")</f>
        <v>BC_EventBuyers_ON</v>
      </c>
      <c r="I1046" s="233" t="str">
        <f>IFERROR(__xludf.DUMMYFUNCTION("""COMPUTED_VALUE"""),"Online Customers who have purchased from L2: Body Care at least 1 time in between Oct 2 - Oct 5, 2025; Oct 16 - Oct 27, 2025; Jan 09- Jan 18, 2026; Feb 26 - Mar 3, 2026; Mar 27 - Mar 29, 2026; May 7 - May 12, 2026")</f>
        <v>Online Customers who have purchased from L2: Body Care at least 1 time in between Oct 2 - Oct 5, 2025; Oct 16 - Oct 27, 2025; Jan 09- Jan 18, 2026; Feb 26 - Mar 3, 2026; Mar 27 - Mar 29, 2026; May 7 - May 12, 2026</v>
      </c>
      <c r="J1046" s="275">
        <f>IFERROR(__xludf.DUMMYFUNCTION("""COMPUTED_VALUE"""),6597.0)</f>
        <v>6597</v>
      </c>
      <c r="K1046" s="275">
        <f>IFERROR(__xludf.DUMMYFUNCTION("""COMPUTED_VALUE"""),2359.0)</f>
        <v>2359</v>
      </c>
      <c r="L1046" s="276">
        <f>IFERROR(__xludf.DUMMYFUNCTION("""COMPUTED_VALUE"""),0.3576)</f>
        <v>0.3576</v>
      </c>
      <c r="M1046" s="275">
        <f>IFERROR(__xludf.DUMMYFUNCTION("""COMPUTED_VALUE"""),831.0)</f>
        <v>831</v>
      </c>
      <c r="N1046" s="276">
        <f>IFERROR(__xludf.DUMMYFUNCTION("""COMPUTED_VALUE"""),0.3523)</f>
        <v>0.3523</v>
      </c>
      <c r="O1046" s="208">
        <f>IFERROR(__xludf.DUMMYFUNCTION("""COMPUTED_VALUE"""),96.0)</f>
        <v>96</v>
      </c>
      <c r="P1046" s="208">
        <f>IFERROR(__xludf.DUMMYFUNCTION("""COMPUTED_VALUE"""),88.0)</f>
        <v>88</v>
      </c>
      <c r="Q1046" s="276">
        <f>IFERROR(__xludf.DUMMYFUNCTION("""COMPUTED_VALUE"""),0.0373)</f>
        <v>0.0373</v>
      </c>
      <c r="R1046" s="276">
        <f>IFERROR(__xludf.DUMMYFUNCTION("""COMPUTED_VALUE"""),0.1059)</f>
        <v>0.1059</v>
      </c>
      <c r="S1046" s="208">
        <f>IFERROR(__xludf.DUMMYFUNCTION("""COMPUTED_VALUE"""),2.0)</f>
        <v>2</v>
      </c>
      <c r="T1046" s="208">
        <f>IFERROR(__xludf.DUMMYFUNCTION("""COMPUTED_VALUE"""),6.0)</f>
        <v>6</v>
      </c>
      <c r="U1046" s="275">
        <f>IFERROR(__xludf.DUMMYFUNCTION("""COMPUTED_VALUE"""),1998.0)</f>
        <v>1998</v>
      </c>
      <c r="V1046" s="234" t="str">
        <f>IFERROR(__xludf.DUMMYFUNCTION("""COMPUTED_VALUE"""),"online")</f>
        <v>online</v>
      </c>
      <c r="W1046" s="232" t="str">
        <f>IFERROR(__xludf.DUMMYFUNCTION("""COMPUTED_VALUE"""),"simple")</f>
        <v>simple</v>
      </c>
      <c r="X1046" s="232" t="str">
        <f>IFERROR(__xludf.DUMMYFUNCTION("""COMPUTED_VALUE"""),"Event Buyers")</f>
        <v>Event Buyers</v>
      </c>
      <c r="Y1046" s="232" t="str">
        <f>IFERROR(__xludf.DUMMYFUNCTION("""COMPUTED_VALUE"""),"5-7 July")</f>
        <v>5-7 July</v>
      </c>
      <c r="Z1046" s="232" t="str">
        <f>IFERROR(__xludf.DUMMYFUNCTION("""COMPUTED_VALUE"""),"6a44b9e6942a8496832a0f9c")</f>
        <v>6a44b9e6942a8496832a0f9c</v>
      </c>
      <c r="AA1046" s="277">
        <f>IFERROR(__xludf.DUMMYFUNCTION("""COMPUTED_VALUE"""),27.0)</f>
        <v>27</v>
      </c>
      <c r="AB1046" s="277">
        <f>IFERROR(__xludf.DUMMYFUNCTION("""COMPUTED_VALUE"""),27.0)</f>
        <v>27</v>
      </c>
      <c r="AC1046" s="277"/>
      <c r="AD1046" s="277">
        <f>IFERROR(__xludf.DUMMYFUNCTION("""COMPUTED_VALUE"""),81484.0)</f>
        <v>81484</v>
      </c>
      <c r="AE1046" s="277">
        <f>IFERROR(__xludf.DUMMYFUNCTION("""COMPUTED_VALUE"""),81484.0)</f>
        <v>81484</v>
      </c>
      <c r="AF1046" s="277"/>
      <c r="AG1046" s="208"/>
      <c r="AH1046" s="208"/>
      <c r="AI1046" s="208"/>
      <c r="AJ1046" s="208"/>
      <c r="AK1046" s="208"/>
    </row>
    <row r="1047">
      <c r="A1047" s="288">
        <f>IFERROR(__xludf.DUMMYFUNCTION("""COMPUTED_VALUE"""),46208.0)</f>
        <v>46208</v>
      </c>
      <c r="B1047" s="274">
        <f>IFERROR(__xludf.DUMMYFUNCTION("""COMPUTED_VALUE"""),0.75)</f>
        <v>0.75</v>
      </c>
      <c r="C1047" s="208" t="str">
        <f>IFERROR(__xludf.DUMMYFUNCTION("""COMPUTED_VALUE"""),"Whatsapp")</f>
        <v>Whatsapp</v>
      </c>
      <c r="D1047" s="208" t="str">
        <f>IFERROR(__xludf.DUMMYFUNCTION("""COMPUTED_VALUE"""),"Promotional")</f>
        <v>Promotional</v>
      </c>
      <c r="E1047" s="208" t="str">
        <f>IFERROR(__xludf.DUMMYFUNCTION("""COMPUTED_VALUE"""),"BBW")</f>
        <v>BBW</v>
      </c>
      <c r="F1047" s="208" t="str">
        <f>IFERROR(__xludf.DUMMYFUNCTION("""COMPUTED_VALUE"""),"B2G2 - July'26 - Entire Store")</f>
        <v>B2G2 - July'26 - Entire Store</v>
      </c>
      <c r="G1047" s="208" t="str">
        <f>IFERROR(__xludf.DUMMYFUNCTION("""COMPUTED_VALUE"""),"bbw_wa_b2g2_5july_lastreminder_dormant_online")</f>
        <v>bbw_wa_b2g2_5july_lastreminder_dormant_online</v>
      </c>
      <c r="H1047" s="232" t="str">
        <f>IFERROR(__xludf.DUMMYFUNCTION("""COMPUTED_VALUE"""),"BBW_ON_BC_1100_1_time_365D")</f>
        <v>BBW_ON_BC_1100_1_time_365D</v>
      </c>
      <c r="I1047" s="233" t="str">
        <f>IFERROR(__xludf.DUMMYFUNCTION("""COMPUTED_VALUE"""),"Online Customers who have purchased at least 1 time with cart value below ₹1,100 in the last 365 days")</f>
        <v>Online Customers who have purchased at least 1 time with cart value below ₹1,100 in the last 365 days</v>
      </c>
      <c r="J1047" s="275">
        <f>IFERROR(__xludf.DUMMYFUNCTION("""COMPUTED_VALUE"""),6329.0)</f>
        <v>6329</v>
      </c>
      <c r="K1047" s="275">
        <f>IFERROR(__xludf.DUMMYFUNCTION("""COMPUTED_VALUE"""),2722.0)</f>
        <v>2722</v>
      </c>
      <c r="L1047" s="276">
        <f>IFERROR(__xludf.DUMMYFUNCTION("""COMPUTED_VALUE"""),0.4301)</f>
        <v>0.4301</v>
      </c>
      <c r="M1047" s="275">
        <f>IFERROR(__xludf.DUMMYFUNCTION("""COMPUTED_VALUE"""),906.0)</f>
        <v>906</v>
      </c>
      <c r="N1047" s="276">
        <f>IFERROR(__xludf.DUMMYFUNCTION("""COMPUTED_VALUE"""),0.3328)</f>
        <v>0.3328</v>
      </c>
      <c r="O1047" s="208">
        <f>IFERROR(__xludf.DUMMYFUNCTION("""COMPUTED_VALUE"""),76.0)</f>
        <v>76</v>
      </c>
      <c r="P1047" s="208">
        <f>IFERROR(__xludf.DUMMYFUNCTION("""COMPUTED_VALUE"""),67.0)</f>
        <v>67</v>
      </c>
      <c r="Q1047" s="276">
        <f>IFERROR(__xludf.DUMMYFUNCTION("""COMPUTED_VALUE"""),0.0246)</f>
        <v>0.0246</v>
      </c>
      <c r="R1047" s="276">
        <f>IFERROR(__xludf.DUMMYFUNCTION("""COMPUTED_VALUE"""),0.074)</f>
        <v>0.074</v>
      </c>
      <c r="S1047" s="208">
        <f>IFERROR(__xludf.DUMMYFUNCTION("""COMPUTED_VALUE"""),0.0)</f>
        <v>0</v>
      </c>
      <c r="T1047" s="208">
        <f>IFERROR(__xludf.DUMMYFUNCTION("""COMPUTED_VALUE"""),2.0)</f>
        <v>2</v>
      </c>
      <c r="U1047" s="275">
        <f>IFERROR(__xludf.DUMMYFUNCTION("""COMPUTED_VALUE"""),0.0)</f>
        <v>0</v>
      </c>
      <c r="V1047" s="234" t="str">
        <f>IFERROR(__xludf.DUMMYFUNCTION("""COMPUTED_VALUE"""),"online")</f>
        <v>online</v>
      </c>
      <c r="W1047" s="232" t="str">
        <f>IFERROR(__xludf.DUMMYFUNCTION("""COMPUTED_VALUE"""),"simple")</f>
        <v>simple</v>
      </c>
      <c r="X1047" s="232" t="str">
        <f>IFERROR(__xludf.DUMMYFUNCTION("""COMPUTED_VALUE"""),"Cart Value")</f>
        <v>Cart Value</v>
      </c>
      <c r="Y1047" s="232" t="str">
        <f>IFERROR(__xludf.DUMMYFUNCTION("""COMPUTED_VALUE"""),"5-7 July")</f>
        <v>5-7 July</v>
      </c>
      <c r="Z1047" s="232" t="str">
        <f>IFERROR(__xludf.DUMMYFUNCTION("""COMPUTED_VALUE"""),"6a44ba43106ecbb0073dd887")</f>
        <v>6a44ba43106ecbb0073dd887</v>
      </c>
      <c r="AA1047" s="277">
        <f>IFERROR(__xludf.DUMMYFUNCTION("""COMPUTED_VALUE"""),12.0)</f>
        <v>12</v>
      </c>
      <c r="AB1047" s="277">
        <f>IFERROR(__xludf.DUMMYFUNCTION("""COMPUTED_VALUE"""),12.0)</f>
        <v>12</v>
      </c>
      <c r="AC1047" s="277"/>
      <c r="AD1047" s="277">
        <f>IFERROR(__xludf.DUMMYFUNCTION("""COMPUTED_VALUE"""),26741.0)</f>
        <v>26741</v>
      </c>
      <c r="AE1047" s="277">
        <f>IFERROR(__xludf.DUMMYFUNCTION("""COMPUTED_VALUE"""),26741.0)</f>
        <v>26741</v>
      </c>
      <c r="AF1047" s="277"/>
      <c r="AG1047" s="208"/>
      <c r="AH1047" s="208"/>
      <c r="AI1047" s="208"/>
      <c r="AJ1047" s="208"/>
      <c r="AK1047" s="208"/>
    </row>
    <row r="1048">
      <c r="A1048" s="288">
        <f>IFERROR(__xludf.DUMMYFUNCTION("""COMPUTED_VALUE"""),46208.0)</f>
        <v>46208</v>
      </c>
      <c r="B1048" s="274">
        <f>IFERROR(__xludf.DUMMYFUNCTION("""COMPUTED_VALUE"""),0.75)</f>
        <v>0.75</v>
      </c>
      <c r="C1048" s="208" t="str">
        <f>IFERROR(__xludf.DUMMYFUNCTION("""COMPUTED_VALUE"""),"Whatsapp")</f>
        <v>Whatsapp</v>
      </c>
      <c r="D1048" s="208" t="str">
        <f>IFERROR(__xludf.DUMMYFUNCTION("""COMPUTED_VALUE"""),"Promotional")</f>
        <v>Promotional</v>
      </c>
      <c r="E1048" s="208" t="str">
        <f>IFERROR(__xludf.DUMMYFUNCTION("""COMPUTED_VALUE"""),"BBW")</f>
        <v>BBW</v>
      </c>
      <c r="F1048" s="208" t="str">
        <f>IFERROR(__xludf.DUMMYFUNCTION("""COMPUTED_VALUE"""),"B2G2 - July'26 - Entire Store")</f>
        <v>B2G2 - July'26 - Entire Store</v>
      </c>
      <c r="G1048" s="208" t="str">
        <f>IFERROR(__xludf.DUMMYFUNCTION("""COMPUTED_VALUE"""),"bbw_wa_b2g2_5july_event_buyers_lastreminder_overall")</f>
        <v>bbw_wa_b2g2_5july_event_buyers_lastreminder_overall</v>
      </c>
      <c r="H1048" s="232" t="str">
        <f>IFERROR(__xludf.DUMMYFUNCTION("""COMPUTED_VALUE"""),"BBW_ON_OFF_B2G2_Event_Buyers")</f>
        <v>BBW_ON_OFF_B2G2_Event_Buyers</v>
      </c>
      <c r="I1048" s="233" t="str">
        <f>IFERROR(__xludf.DUMMYFUNCTION("""COMPUTED_VALUE"""),"Customers who have purchased between 25–27 Jul 2025, 09–10 Aug 2025, 14–17 Aug 2025, 02–05 Oct 2025, 17–21 Oct 2025, 23–26 Jan 2026, 13–15 Feb 2026, 04–08 Mar 2026")</f>
        <v>Customers who have purchased between 25–27 Jul 2025, 09–10 Aug 2025, 14–17 Aug 2025, 02–05 Oct 2025, 17–21 Oct 2025, 23–26 Jan 2026, 13–15 Feb 2026, 04–08 Mar 2026</v>
      </c>
      <c r="J1048" s="275">
        <f>IFERROR(__xludf.DUMMYFUNCTION("""COMPUTED_VALUE"""),53998.0)</f>
        <v>53998</v>
      </c>
      <c r="K1048" s="275">
        <f>IFERROR(__xludf.DUMMYFUNCTION("""COMPUTED_VALUE"""),20521.0)</f>
        <v>20521</v>
      </c>
      <c r="L1048" s="276">
        <f>IFERROR(__xludf.DUMMYFUNCTION("""COMPUTED_VALUE"""),0.38)</f>
        <v>0.38</v>
      </c>
      <c r="M1048" s="275">
        <f>IFERROR(__xludf.DUMMYFUNCTION("""COMPUTED_VALUE"""),6391.0)</f>
        <v>6391</v>
      </c>
      <c r="N1048" s="276">
        <f>IFERROR(__xludf.DUMMYFUNCTION("""COMPUTED_VALUE"""),0.3115)</f>
        <v>0.3115</v>
      </c>
      <c r="O1048" s="208">
        <f>IFERROR(__xludf.DUMMYFUNCTION("""COMPUTED_VALUE"""),357.0)</f>
        <v>357</v>
      </c>
      <c r="P1048" s="208">
        <f>IFERROR(__xludf.DUMMYFUNCTION("""COMPUTED_VALUE"""),340.0)</f>
        <v>340</v>
      </c>
      <c r="Q1048" s="276">
        <f>IFERROR(__xludf.DUMMYFUNCTION("""COMPUTED_VALUE"""),0.0166)</f>
        <v>0.0166</v>
      </c>
      <c r="R1048" s="276">
        <f>IFERROR(__xludf.DUMMYFUNCTION("""COMPUTED_VALUE"""),0.0532)</f>
        <v>0.0532</v>
      </c>
      <c r="S1048" s="208">
        <f>IFERROR(__xludf.DUMMYFUNCTION("""COMPUTED_VALUE"""),1.0)</f>
        <v>1</v>
      </c>
      <c r="T1048" s="208">
        <f>IFERROR(__xludf.DUMMYFUNCTION("""COMPUTED_VALUE"""),3.0)</f>
        <v>3</v>
      </c>
      <c r="U1048" s="275">
        <f>IFERROR(__xludf.DUMMYFUNCTION("""COMPUTED_VALUE"""),3798.0)</f>
        <v>3798</v>
      </c>
      <c r="V1048" s="234" t="str">
        <f>IFERROR(__xludf.DUMMYFUNCTION("""COMPUTED_VALUE"""),"overall")</f>
        <v>overall</v>
      </c>
      <c r="W1048" s="232" t="str">
        <f>IFERROR(__xludf.DUMMYFUNCTION("""COMPUTED_VALUE"""),"simple")</f>
        <v>simple</v>
      </c>
      <c r="X1048" s="232" t="str">
        <f>IFERROR(__xludf.DUMMYFUNCTION("""COMPUTED_VALUE"""),"Event Buyers")</f>
        <v>Event Buyers</v>
      </c>
      <c r="Y1048" s="232" t="str">
        <f>IFERROR(__xludf.DUMMYFUNCTION("""COMPUTED_VALUE"""),"5-7 July")</f>
        <v>5-7 July</v>
      </c>
      <c r="Z1048" s="232" t="str">
        <f>IFERROR(__xludf.DUMMYFUNCTION("""COMPUTED_VALUE"""),"6a44ba7dd7029a44c83132e0")</f>
        <v>6a44ba7dd7029a44c83132e0</v>
      </c>
      <c r="AA1048" s="277">
        <f>IFERROR(__xludf.DUMMYFUNCTION("""COMPUTED_VALUE"""),154.0)</f>
        <v>154</v>
      </c>
      <c r="AB1048" s="277">
        <f>IFERROR(__xludf.DUMMYFUNCTION("""COMPUTED_VALUE"""),31.0)</f>
        <v>31</v>
      </c>
      <c r="AC1048" s="277">
        <f>IFERROR(__xludf.DUMMYFUNCTION("""COMPUTED_VALUE"""),123.0)</f>
        <v>123</v>
      </c>
      <c r="AD1048" s="277">
        <f>IFERROR(__xludf.DUMMYFUNCTION("""COMPUTED_VALUE"""),650174.0)</f>
        <v>650174</v>
      </c>
      <c r="AE1048" s="277">
        <f>IFERROR(__xludf.DUMMYFUNCTION("""COMPUTED_VALUE"""),98641.0)</f>
        <v>98641</v>
      </c>
      <c r="AF1048" s="277">
        <f>IFERROR(__xludf.DUMMYFUNCTION("""COMPUTED_VALUE"""),551533.0)</f>
        <v>551533</v>
      </c>
      <c r="AG1048" s="208"/>
      <c r="AH1048" s="208"/>
      <c r="AI1048" s="208"/>
      <c r="AJ1048" s="208"/>
      <c r="AK1048" s="208"/>
    </row>
    <row r="1049" hidden="1">
      <c r="A1049" s="288">
        <f>IFERROR(__xludf.DUMMYFUNCTION("""COMPUTED_VALUE"""),46202.0)</f>
        <v>46202</v>
      </c>
      <c r="B1049" s="274">
        <f>IFERROR(__xludf.DUMMYFUNCTION("""COMPUTED_VALUE"""),0.4583333333321207)</f>
        <v>0.4583333333</v>
      </c>
      <c r="C1049" s="208" t="str">
        <f>IFERROR(__xludf.DUMMYFUNCTION("""COMPUTED_VALUE"""),"Sms")</f>
        <v>Sms</v>
      </c>
      <c r="D1049" s="208" t="str">
        <f>IFERROR(__xludf.DUMMYFUNCTION("""COMPUTED_VALUE"""),"Fallback campaign")</f>
        <v>Fallback campaign</v>
      </c>
      <c r="E1049" s="208" t="str">
        <f>IFERROR(__xludf.DUMMYFUNCTION("""COMPUTED_VALUE"""),"BBW")</f>
        <v>BBW</v>
      </c>
      <c r="F1049" s="208" t="str">
        <f>IFERROR(__xludf.DUMMYFUNCTION("""COMPUTED_VALUE"""),"SAS - June 2026")</f>
        <v>SAS - June 2026</v>
      </c>
      <c r="G1049" s="208" t="str">
        <f>IFERROR(__xludf.DUMMYFUNCTION("""COMPUTED_VALUE"""),"bbw_smsfb_sas_appinstalled_no_purchase_overall_29june")</f>
        <v>bbw_smsfb_sas_appinstalled_no_purchase_overall_29june</v>
      </c>
      <c r="H1049" s="232" t="str">
        <f>IFERROR(__xludf.DUMMYFUNCTION("""COMPUTED_VALUE"""),"BBW_App_Install_NoPr_180D")</f>
        <v>BBW_App_Install_NoPr_180D</v>
      </c>
      <c r="I1049" s="233" t="str">
        <f>IFERROR(__xludf.DUMMYFUNCTION("""COMPUTED_VALUE"""),"WA Undelivered")</f>
        <v>WA Undelivered</v>
      </c>
      <c r="J1049" s="275">
        <f>IFERROR(__xludf.DUMMYFUNCTION("""COMPUTED_VALUE"""),10101.0)</f>
        <v>10101</v>
      </c>
      <c r="K1049" s="275">
        <f>IFERROR(__xludf.DUMMYFUNCTION("""COMPUTED_VALUE"""),6756.0)</f>
        <v>6756</v>
      </c>
      <c r="L1049" s="276">
        <f>IFERROR(__xludf.DUMMYFUNCTION("""COMPUTED_VALUE"""),0.6688)</f>
        <v>0.6688</v>
      </c>
      <c r="M1049" s="275">
        <f>IFERROR(__xludf.DUMMYFUNCTION("""COMPUTED_VALUE"""),0.0)</f>
        <v>0</v>
      </c>
      <c r="N1049" s="276">
        <f>IFERROR(__xludf.DUMMYFUNCTION("""COMPUTED_VALUE"""),0.0)</f>
        <v>0</v>
      </c>
      <c r="O1049" s="208">
        <f>IFERROR(__xludf.DUMMYFUNCTION("""COMPUTED_VALUE"""),19.0)</f>
        <v>19</v>
      </c>
      <c r="P1049" s="208">
        <f>IFERROR(__xludf.DUMMYFUNCTION("""COMPUTED_VALUE"""),0.0)</f>
        <v>0</v>
      </c>
      <c r="Q1049" s="276">
        <f>IFERROR(__xludf.DUMMYFUNCTION("""COMPUTED_VALUE"""),0.0028)</f>
        <v>0.0028</v>
      </c>
      <c r="R1049" s="276">
        <f>IFERROR(__xludf.DUMMYFUNCTION("""COMPUTED_VALUE"""),0.0)</f>
        <v>0</v>
      </c>
      <c r="S1049" s="208">
        <f>IFERROR(__xludf.DUMMYFUNCTION("""COMPUTED_VALUE"""),7.0)</f>
        <v>7</v>
      </c>
      <c r="T1049" s="208">
        <f>IFERROR(__xludf.DUMMYFUNCTION("""COMPUTED_VALUE"""),34.0)</f>
        <v>34</v>
      </c>
      <c r="U1049" s="275">
        <f>IFERROR(__xludf.DUMMYFUNCTION("""COMPUTED_VALUE"""),34429.0)</f>
        <v>34429</v>
      </c>
      <c r="V1049" s="234" t="str">
        <f>IFERROR(__xludf.DUMMYFUNCTION("""COMPUTED_VALUE"""),"overall")</f>
        <v>overall</v>
      </c>
      <c r="W1049" s="232" t="str">
        <f>IFERROR(__xludf.DUMMYFUNCTION("""COMPUTED_VALUE"""),"SMS")</f>
        <v>SMS</v>
      </c>
      <c r="X1049" s="232" t="str">
        <f>IFERROR(__xludf.DUMMYFUNCTION("""COMPUTED_VALUE"""),"No Brief")</f>
        <v>No Brief</v>
      </c>
      <c r="Y1049" s="232" t="str">
        <f>IFERROR(__xludf.DUMMYFUNCTION("""COMPUTED_VALUE"""),"29 June")</f>
        <v>29 June</v>
      </c>
      <c r="Z1049" s="232" t="str">
        <f>IFERROR(__xludf.DUMMYFUNCTION("""COMPUTED_VALUE"""),"6a3e5239e940e030e10f74eb")</f>
        <v>6a3e5239e940e030e10f74eb</v>
      </c>
      <c r="AA1049" s="277">
        <f>IFERROR(__xludf.DUMMYFUNCTION("""COMPUTED_VALUE"""),17.0)</f>
        <v>17</v>
      </c>
      <c r="AB1049" s="277">
        <f>IFERROR(__xludf.DUMMYFUNCTION("""COMPUTED_VALUE"""),12.0)</f>
        <v>12</v>
      </c>
      <c r="AC1049" s="277">
        <f>IFERROR(__xludf.DUMMYFUNCTION("""COMPUTED_VALUE"""),5.0)</f>
        <v>5</v>
      </c>
      <c r="AD1049" s="277">
        <f>IFERROR(__xludf.DUMMYFUNCTION("""COMPUTED_VALUE"""),53247.0)</f>
        <v>53247</v>
      </c>
      <c r="AE1049" s="277">
        <f>IFERROR(__xludf.DUMMYFUNCTION("""COMPUTED_VALUE"""),38446.0)</f>
        <v>38446</v>
      </c>
      <c r="AF1049" s="277">
        <f>IFERROR(__xludf.DUMMYFUNCTION("""COMPUTED_VALUE"""),14801.0)</f>
        <v>14801</v>
      </c>
      <c r="AG1049" s="208"/>
      <c r="AH1049" s="208"/>
      <c r="AI1049" s="208"/>
      <c r="AJ1049" s="208"/>
      <c r="AK1049" s="208"/>
    </row>
    <row r="1050" hidden="1">
      <c r="A1050" s="288">
        <f>IFERROR(__xludf.DUMMYFUNCTION("""COMPUTED_VALUE"""),46202.0)</f>
        <v>46202</v>
      </c>
      <c r="B1050" s="274">
        <f>IFERROR(__xludf.DUMMYFUNCTION("""COMPUTED_VALUE"""),0.5)</f>
        <v>0.5</v>
      </c>
      <c r="C1050" s="208" t="str">
        <f>IFERROR(__xludf.DUMMYFUNCTION("""COMPUTED_VALUE"""),"Sms")</f>
        <v>Sms</v>
      </c>
      <c r="D1050" s="208" t="str">
        <f>IFERROR(__xludf.DUMMYFUNCTION("""COMPUTED_VALUE"""),"Promotional")</f>
        <v>Promotional</v>
      </c>
      <c r="E1050" s="208" t="str">
        <f>IFERROR(__xludf.DUMMYFUNCTION("""COMPUTED_VALUE"""),"BBW")</f>
        <v>BBW</v>
      </c>
      <c r="F1050" s="208" t="str">
        <f>IFERROR(__xludf.DUMMYFUNCTION("""COMPUTED_VALUE"""),"SAS - June 2026")</f>
        <v>SAS - June 2026</v>
      </c>
      <c r="G1050" s="208" t="str">
        <f>IFERROR(__xludf.DUMMYFUNCTION("""COMPUTED_VALUE"""),"bbw_sms_sas_atc_overall_29june")</f>
        <v>bbw_sms_sas_atc_overall_29june</v>
      </c>
      <c r="H1050" s="232" t="str">
        <f>IFERROR(__xludf.DUMMYFUNCTION("""COMPUTED_VALUE"""),"BBW_ATC_View_Wishlist_NoPr_5D")</f>
        <v>BBW_ATC_View_Wishlist_NoPr_5D</v>
      </c>
      <c r="I1050" s="233" t="str">
        <f>IFERROR(__xludf.DUMMYFUNCTION("""COMPUTED_VALUE"""),"No Brief")</f>
        <v>No Brief</v>
      </c>
      <c r="J1050" s="275">
        <f>IFERROR(__xludf.DUMMYFUNCTION("""COMPUTED_VALUE"""),2398.0)</f>
        <v>2398</v>
      </c>
      <c r="K1050" s="275">
        <f>IFERROR(__xludf.DUMMYFUNCTION("""COMPUTED_VALUE"""),1493.0)</f>
        <v>1493</v>
      </c>
      <c r="L1050" s="276">
        <f>IFERROR(__xludf.DUMMYFUNCTION("""COMPUTED_VALUE"""),0.6226)</f>
        <v>0.6226</v>
      </c>
      <c r="M1050" s="275">
        <f>IFERROR(__xludf.DUMMYFUNCTION("""COMPUTED_VALUE"""),0.0)</f>
        <v>0</v>
      </c>
      <c r="N1050" s="276">
        <f>IFERROR(__xludf.DUMMYFUNCTION("""COMPUTED_VALUE"""),0.0)</f>
        <v>0</v>
      </c>
      <c r="O1050" s="208">
        <f>IFERROR(__xludf.DUMMYFUNCTION("""COMPUTED_VALUE"""),7.0)</f>
        <v>7</v>
      </c>
      <c r="P1050" s="208">
        <f>IFERROR(__xludf.DUMMYFUNCTION("""COMPUTED_VALUE"""),0.0)</f>
        <v>0</v>
      </c>
      <c r="Q1050" s="276">
        <f>IFERROR(__xludf.DUMMYFUNCTION("""COMPUTED_VALUE"""),0.0047)</f>
        <v>0.0047</v>
      </c>
      <c r="R1050" s="276">
        <f>IFERROR(__xludf.DUMMYFUNCTION("""COMPUTED_VALUE"""),0.0)</f>
        <v>0</v>
      </c>
      <c r="S1050" s="208">
        <f>IFERROR(__xludf.DUMMYFUNCTION("""COMPUTED_VALUE"""),11.0)</f>
        <v>11</v>
      </c>
      <c r="T1050" s="208">
        <f>IFERROR(__xludf.DUMMYFUNCTION("""COMPUTED_VALUE"""),68.0)</f>
        <v>68</v>
      </c>
      <c r="U1050" s="275">
        <f>IFERROR(__xludf.DUMMYFUNCTION("""COMPUTED_VALUE"""),38944.0)</f>
        <v>38944</v>
      </c>
      <c r="V1050" s="234" t="str">
        <f>IFERROR(__xludf.DUMMYFUNCTION("""COMPUTED_VALUE"""),"overall")</f>
        <v>overall</v>
      </c>
      <c r="W1050" s="232" t="str">
        <f>IFERROR(__xludf.DUMMYFUNCTION("""COMPUTED_VALUE"""),"SMS")</f>
        <v>SMS</v>
      </c>
      <c r="X1050" s="232" t="str">
        <f>IFERROR(__xludf.DUMMYFUNCTION("""COMPUTED_VALUE"""),"No Brief")</f>
        <v>No Brief</v>
      </c>
      <c r="Y1050" s="232" t="str">
        <f>IFERROR(__xludf.DUMMYFUNCTION("""COMPUTED_VALUE"""),"29 June")</f>
        <v>29 June</v>
      </c>
      <c r="Z1050" s="232" t="str">
        <f>IFERROR(__xludf.DUMMYFUNCTION("""COMPUTED_VALUE"""),"6a3e52832cd407952b24dba0")</f>
        <v>6a3e52832cd407952b24dba0</v>
      </c>
      <c r="AA1050" s="277">
        <f>IFERROR(__xludf.DUMMYFUNCTION("""COMPUTED_VALUE"""),34.0)</f>
        <v>34</v>
      </c>
      <c r="AB1050" s="277">
        <f>IFERROR(__xludf.DUMMYFUNCTION("""COMPUTED_VALUE"""),30.0)</f>
        <v>30</v>
      </c>
      <c r="AC1050" s="277">
        <f>IFERROR(__xludf.DUMMYFUNCTION("""COMPUTED_VALUE"""),4.0)</f>
        <v>4</v>
      </c>
      <c r="AD1050" s="277">
        <f>IFERROR(__xludf.DUMMYFUNCTION("""COMPUTED_VALUE"""),107529.0)</f>
        <v>107529</v>
      </c>
      <c r="AE1050" s="277">
        <f>IFERROR(__xludf.DUMMYFUNCTION("""COMPUTED_VALUE"""),92987.0)</f>
        <v>92987</v>
      </c>
      <c r="AF1050" s="277">
        <f>IFERROR(__xludf.DUMMYFUNCTION("""COMPUTED_VALUE"""),14542.0)</f>
        <v>14542</v>
      </c>
      <c r="AG1050" s="208"/>
      <c r="AH1050" s="208"/>
      <c r="AI1050" s="208"/>
      <c r="AJ1050" s="208"/>
      <c r="AK1050" s="208"/>
    </row>
    <row r="1051">
      <c r="A1051" s="288">
        <f>IFERROR(__xludf.DUMMYFUNCTION("""COMPUTED_VALUE"""),46205.0)</f>
        <v>46205</v>
      </c>
      <c r="B1051" s="274">
        <f>IFERROR(__xludf.DUMMYFUNCTION("""COMPUTED_VALUE"""),0.8541666666678793)</f>
        <v>0.8541666667</v>
      </c>
      <c r="C1051" s="208" t="str">
        <f>IFERROR(__xludf.DUMMYFUNCTION("""COMPUTED_VALUE"""),"Sms")</f>
        <v>Sms</v>
      </c>
      <c r="D1051" s="208" t="str">
        <f>IFERROR(__xludf.DUMMYFUNCTION("""COMPUTED_VALUE"""),"Fallback campaign")</f>
        <v>Fallback campaign</v>
      </c>
      <c r="E1051" s="208" t="str">
        <f>IFERROR(__xludf.DUMMYFUNCTION("""COMPUTED_VALUE"""),"BBW")</f>
        <v>BBW</v>
      </c>
      <c r="F1051" s="208" t="str">
        <f>IFERROR(__xludf.DUMMYFUNCTION("""COMPUTED_VALUE"""),"B2G2 - July'26 - Entire Store")</f>
        <v>B2G2 - July'26 - Entire Store</v>
      </c>
      <c r="G1051" s="208" t="str">
        <f>IFERROR(__xludf.DUMMYFUNCTION("""COMPUTED_VALUE"""),"bbw_smsfb_b2g2_2july_atc_wishlist_ea_online")</f>
        <v>bbw_smsfb_b2g2_2july_atc_wishlist_ea_online</v>
      </c>
      <c r="H1051" s="232" t="str">
        <f>IFERROR(__xludf.DUMMYFUNCTION("""COMPUTED_VALUE"""),"BBW_ON_B2G2_ATC_Wishlist_May_26")</f>
        <v>BBW_ON_B2G2_ATC_Wishlist_May_26</v>
      </c>
      <c r="I1051" s="233" t="str">
        <f>IFERROR(__xludf.DUMMYFUNCTION("""COMPUTED_VALUE"""),"WA Undelivered")</f>
        <v>WA Undelivered</v>
      </c>
      <c r="J1051" s="275">
        <f>IFERROR(__xludf.DUMMYFUNCTION("""COMPUTED_VALUE"""),4126.0)</f>
        <v>4126</v>
      </c>
      <c r="K1051" s="275">
        <f>IFERROR(__xludf.DUMMYFUNCTION("""COMPUTED_VALUE"""),2467.0)</f>
        <v>2467</v>
      </c>
      <c r="L1051" s="276">
        <f>IFERROR(__xludf.DUMMYFUNCTION("""COMPUTED_VALUE"""),0.5979)</f>
        <v>0.5979</v>
      </c>
      <c r="M1051" s="275">
        <f>IFERROR(__xludf.DUMMYFUNCTION("""COMPUTED_VALUE"""),0.0)</f>
        <v>0</v>
      </c>
      <c r="N1051" s="276">
        <f>IFERROR(__xludf.DUMMYFUNCTION("""COMPUTED_VALUE"""),0.0)</f>
        <v>0</v>
      </c>
      <c r="O1051" s="208">
        <f>IFERROR(__xludf.DUMMYFUNCTION("""COMPUTED_VALUE"""),20.0)</f>
        <v>20</v>
      </c>
      <c r="P1051" s="208">
        <f>IFERROR(__xludf.DUMMYFUNCTION("""COMPUTED_VALUE"""),0.0)</f>
        <v>0</v>
      </c>
      <c r="Q1051" s="276">
        <f>IFERROR(__xludf.DUMMYFUNCTION("""COMPUTED_VALUE"""),0.0081)</f>
        <v>0.0081</v>
      </c>
      <c r="R1051" s="276">
        <f>IFERROR(__xludf.DUMMYFUNCTION("""COMPUTED_VALUE"""),0.0)</f>
        <v>0</v>
      </c>
      <c r="S1051" s="208">
        <f>IFERROR(__xludf.DUMMYFUNCTION("""COMPUTED_VALUE"""),8.0)</f>
        <v>8</v>
      </c>
      <c r="T1051" s="208">
        <f>IFERROR(__xludf.DUMMYFUNCTION("""COMPUTED_VALUE"""),64.0)</f>
        <v>64</v>
      </c>
      <c r="U1051" s="275">
        <f>IFERROR(__xludf.DUMMYFUNCTION("""COMPUTED_VALUE"""),23066.0)</f>
        <v>23066</v>
      </c>
      <c r="V1051" s="234" t="str">
        <f>IFERROR(__xludf.DUMMYFUNCTION("""COMPUTED_VALUE"""),"online")</f>
        <v>online</v>
      </c>
      <c r="W1051" s="232" t="str">
        <f>IFERROR(__xludf.DUMMYFUNCTION("""COMPUTED_VALUE"""),"SMS")</f>
        <v>SMS</v>
      </c>
      <c r="X1051" s="232" t="str">
        <f>IFERROR(__xludf.DUMMYFUNCTION("""COMPUTED_VALUE"""),"ATC/Wishlist")</f>
        <v>ATC/Wishlist</v>
      </c>
      <c r="Y1051" s="232" t="str">
        <f>IFERROR(__xludf.DUMMYFUNCTION("""COMPUTED_VALUE"""),"02 July")</f>
        <v>02 July</v>
      </c>
      <c r="Z1051" s="232" t="str">
        <f>IFERROR(__xludf.DUMMYFUNCTION("""COMPUTED_VALUE"""),"6a43b59f7cc8a388445412d3")</f>
        <v>6a43b59f7cc8a388445412d3</v>
      </c>
      <c r="AA1051" s="277">
        <f>IFERROR(__xludf.DUMMYFUNCTION("""COMPUTED_VALUE"""),13.0)</f>
        <v>13</v>
      </c>
      <c r="AB1051" s="277">
        <f>IFERROR(__xludf.DUMMYFUNCTION("""COMPUTED_VALUE"""),13.0)</f>
        <v>13</v>
      </c>
      <c r="AC1051" s="277"/>
      <c r="AD1051" s="277">
        <f>IFERROR(__xludf.DUMMYFUNCTION("""COMPUTED_VALUE"""),53978.0)</f>
        <v>53978</v>
      </c>
      <c r="AE1051" s="277">
        <f>IFERROR(__xludf.DUMMYFUNCTION("""COMPUTED_VALUE"""),53978.0)</f>
        <v>53978</v>
      </c>
      <c r="AF1051" s="277"/>
      <c r="AG1051" s="208"/>
      <c r="AH1051" s="208"/>
      <c r="AI1051" s="208"/>
      <c r="AJ1051" s="208"/>
      <c r="AK1051" s="208"/>
    </row>
    <row r="1052">
      <c r="A1052" s="288">
        <f>IFERROR(__xludf.DUMMYFUNCTION("""COMPUTED_VALUE"""),46205.0)</f>
        <v>46205</v>
      </c>
      <c r="B1052" s="274">
        <f>IFERROR(__xludf.DUMMYFUNCTION("""COMPUTED_VALUE"""),0.8541666666678793)</f>
        <v>0.8541666667</v>
      </c>
      <c r="C1052" s="208" t="str">
        <f>IFERROR(__xludf.DUMMYFUNCTION("""COMPUTED_VALUE"""),"Sms")</f>
        <v>Sms</v>
      </c>
      <c r="D1052" s="208" t="str">
        <f>IFERROR(__xludf.DUMMYFUNCTION("""COMPUTED_VALUE"""),"Fallback campaign")</f>
        <v>Fallback campaign</v>
      </c>
      <c r="E1052" s="208" t="str">
        <f>IFERROR(__xludf.DUMMYFUNCTION("""COMPUTED_VALUE"""),"BBW")</f>
        <v>BBW</v>
      </c>
      <c r="F1052" s="208" t="str">
        <f>IFERROR(__xludf.DUMMYFUNCTION("""COMPUTED_VALUE"""),"B2G2 - July'26 - Entire Store")</f>
        <v>B2G2 - July'26 - Entire Store</v>
      </c>
      <c r="G1052" s="208" t="str">
        <f>IFERROR(__xludf.DUMMYFUNCTION("""COMPUTED_VALUE"""),"bbw_smsfb_b2g2_2july_active_ea_online")</f>
        <v>bbw_smsfb_b2g2_2july_active_ea_online</v>
      </c>
      <c r="H1052" s="232" t="str">
        <f>IFERROR(__xludf.DUMMYFUNCTION("""COMPUTED_VALUE"""),"BBW_ON_B2G2_Active_May_26")</f>
        <v>BBW_ON_B2G2_Active_May_26</v>
      </c>
      <c r="I1052" s="233" t="str">
        <f>IFERROR(__xludf.DUMMYFUNCTION("""COMPUTED_VALUE"""),"WA Undelivered")</f>
        <v>WA Undelivered</v>
      </c>
      <c r="J1052" s="275">
        <f>IFERROR(__xludf.DUMMYFUNCTION("""COMPUTED_VALUE"""),14789.0)</f>
        <v>14789</v>
      </c>
      <c r="K1052" s="275">
        <f>IFERROR(__xludf.DUMMYFUNCTION("""COMPUTED_VALUE"""),7781.0)</f>
        <v>7781</v>
      </c>
      <c r="L1052" s="276">
        <f>IFERROR(__xludf.DUMMYFUNCTION("""COMPUTED_VALUE"""),0.5261)</f>
        <v>0.5261</v>
      </c>
      <c r="M1052" s="275">
        <f>IFERROR(__xludf.DUMMYFUNCTION("""COMPUTED_VALUE"""),0.0)</f>
        <v>0</v>
      </c>
      <c r="N1052" s="276">
        <f>IFERROR(__xludf.DUMMYFUNCTION("""COMPUTED_VALUE"""),0.0)</f>
        <v>0</v>
      </c>
      <c r="O1052" s="208">
        <f>IFERROR(__xludf.DUMMYFUNCTION("""COMPUTED_VALUE"""),34.0)</f>
        <v>34</v>
      </c>
      <c r="P1052" s="208">
        <f>IFERROR(__xludf.DUMMYFUNCTION("""COMPUTED_VALUE"""),0.0)</f>
        <v>0</v>
      </c>
      <c r="Q1052" s="276">
        <f>IFERROR(__xludf.DUMMYFUNCTION("""COMPUTED_VALUE"""),0.0044)</f>
        <v>0.0044</v>
      </c>
      <c r="R1052" s="276">
        <f>IFERROR(__xludf.DUMMYFUNCTION("""COMPUTED_VALUE"""),0.0)</f>
        <v>0</v>
      </c>
      <c r="S1052" s="208">
        <f>IFERROR(__xludf.DUMMYFUNCTION("""COMPUTED_VALUE"""),2.0)</f>
        <v>2</v>
      </c>
      <c r="T1052" s="208">
        <f>IFERROR(__xludf.DUMMYFUNCTION("""COMPUTED_VALUE"""),4.0)</f>
        <v>4</v>
      </c>
      <c r="U1052" s="275">
        <f>IFERROR(__xludf.DUMMYFUNCTION("""COMPUTED_VALUE"""),2323.0)</f>
        <v>2323</v>
      </c>
      <c r="V1052" s="234" t="str">
        <f>IFERROR(__xludf.DUMMYFUNCTION("""COMPUTED_VALUE"""),"online")</f>
        <v>online</v>
      </c>
      <c r="W1052" s="232" t="str">
        <f>IFERROR(__xludf.DUMMYFUNCTION("""COMPUTED_VALUE"""),"SMS")</f>
        <v>SMS</v>
      </c>
      <c r="X1052" s="232" t="str">
        <f>IFERROR(__xludf.DUMMYFUNCTION("""COMPUTED_VALUE"""),"Active")</f>
        <v>Active</v>
      </c>
      <c r="Y1052" s="232" t="str">
        <f>IFERROR(__xludf.DUMMYFUNCTION("""COMPUTED_VALUE"""),"02 July")</f>
        <v>02 July</v>
      </c>
      <c r="Z1052" s="232" t="str">
        <f>IFERROR(__xludf.DUMMYFUNCTION("""COMPUTED_VALUE"""),"6a43b627eb0ca5c028daa831")</f>
        <v>6a43b627eb0ca5c028daa831</v>
      </c>
      <c r="AA1052" s="277">
        <f>IFERROR(__xludf.DUMMYFUNCTION("""COMPUTED_VALUE"""),20.0)</f>
        <v>20</v>
      </c>
      <c r="AB1052" s="277">
        <f>IFERROR(__xludf.DUMMYFUNCTION("""COMPUTED_VALUE"""),20.0)</f>
        <v>20</v>
      </c>
      <c r="AC1052" s="277"/>
      <c r="AD1052" s="277">
        <f>IFERROR(__xludf.DUMMYFUNCTION("""COMPUTED_VALUE"""),41255.0)</f>
        <v>41255</v>
      </c>
      <c r="AE1052" s="277">
        <f>IFERROR(__xludf.DUMMYFUNCTION("""COMPUTED_VALUE"""),41255.0)</f>
        <v>41255</v>
      </c>
      <c r="AF1052" s="277"/>
      <c r="AG1052" s="208"/>
      <c r="AH1052" s="208"/>
      <c r="AI1052" s="208"/>
      <c r="AJ1052" s="208"/>
      <c r="AK1052" s="208"/>
    </row>
    <row r="1053">
      <c r="A1053" s="288">
        <f>IFERROR(__xludf.DUMMYFUNCTION("""COMPUTED_VALUE"""),46205.0)</f>
        <v>46205</v>
      </c>
      <c r="B1053" s="274">
        <f>IFERROR(__xludf.DUMMYFUNCTION("""COMPUTED_VALUE"""),0.8541666666678793)</f>
        <v>0.8541666667</v>
      </c>
      <c r="C1053" s="208" t="str">
        <f>IFERROR(__xludf.DUMMYFUNCTION("""COMPUTED_VALUE"""),"Sms")</f>
        <v>Sms</v>
      </c>
      <c r="D1053" s="208" t="str">
        <f>IFERROR(__xludf.DUMMYFUNCTION("""COMPUTED_VALUE"""),"Fallback campaign")</f>
        <v>Fallback campaign</v>
      </c>
      <c r="E1053" s="208" t="str">
        <f>IFERROR(__xludf.DUMMYFUNCTION("""COMPUTED_VALUE"""),"BBW")</f>
        <v>BBW</v>
      </c>
      <c r="F1053" s="208" t="str">
        <f>IFERROR(__xludf.DUMMYFUNCTION("""COMPUTED_VALUE"""),"B2G2 - July'26 - Entire Store")</f>
        <v>B2G2 - July'26 - Entire Store</v>
      </c>
      <c r="G1053" s="208" t="str">
        <f>IFERROR(__xludf.DUMMYFUNCTION("""COMPUTED_VALUE"""),"bbw_smsfb_b2g2_2july_aov_3100_ea_online")</f>
        <v>bbw_smsfb_b2g2_2july_aov_3100_ea_online</v>
      </c>
      <c r="H1053" s="232" t="str">
        <f>IFERROR(__xludf.DUMMYFUNCTION("""COMPUTED_VALUE"""),"BBW_ON_B2G2_AOV_3100")</f>
        <v>BBW_ON_B2G2_AOV_3100</v>
      </c>
      <c r="I1053" s="233" t="str">
        <f>IFERROR(__xludf.DUMMYFUNCTION("""COMPUTED_VALUE"""),"WA Undelivered")</f>
        <v>WA Undelivered</v>
      </c>
      <c r="J1053" s="275">
        <f>IFERROR(__xludf.DUMMYFUNCTION("""COMPUTED_VALUE"""),8895.0)</f>
        <v>8895</v>
      </c>
      <c r="K1053" s="275">
        <f>IFERROR(__xludf.DUMMYFUNCTION("""COMPUTED_VALUE"""),4127.0)</f>
        <v>4127</v>
      </c>
      <c r="L1053" s="276">
        <f>IFERROR(__xludf.DUMMYFUNCTION("""COMPUTED_VALUE"""),0.464)</f>
        <v>0.464</v>
      </c>
      <c r="M1053" s="275">
        <f>IFERROR(__xludf.DUMMYFUNCTION("""COMPUTED_VALUE"""),0.0)</f>
        <v>0</v>
      </c>
      <c r="N1053" s="276">
        <f>IFERROR(__xludf.DUMMYFUNCTION("""COMPUTED_VALUE"""),0.0)</f>
        <v>0</v>
      </c>
      <c r="O1053" s="208">
        <f>IFERROR(__xludf.DUMMYFUNCTION("""COMPUTED_VALUE"""),13.0)</f>
        <v>13</v>
      </c>
      <c r="P1053" s="208">
        <f>IFERROR(__xludf.DUMMYFUNCTION("""COMPUTED_VALUE"""),0.0)</f>
        <v>0</v>
      </c>
      <c r="Q1053" s="276">
        <f>IFERROR(__xludf.DUMMYFUNCTION("""COMPUTED_VALUE"""),0.0031)</f>
        <v>0.0031</v>
      </c>
      <c r="R1053" s="276">
        <f>IFERROR(__xludf.DUMMYFUNCTION("""COMPUTED_VALUE"""),0.0)</f>
        <v>0</v>
      </c>
      <c r="S1053" s="208">
        <f>IFERROR(__xludf.DUMMYFUNCTION("""COMPUTED_VALUE"""),3.0)</f>
        <v>3</v>
      </c>
      <c r="T1053" s="208">
        <f>IFERROR(__xludf.DUMMYFUNCTION("""COMPUTED_VALUE"""),6.0)</f>
        <v>6</v>
      </c>
      <c r="U1053" s="275">
        <f>IFERROR(__xludf.DUMMYFUNCTION("""COMPUTED_VALUE"""),14064.0)</f>
        <v>14064</v>
      </c>
      <c r="V1053" s="234" t="str">
        <f>IFERROR(__xludf.DUMMYFUNCTION("""COMPUTED_VALUE"""),"online")</f>
        <v>online</v>
      </c>
      <c r="W1053" s="232" t="str">
        <f>IFERROR(__xludf.DUMMYFUNCTION("""COMPUTED_VALUE"""),"SMS")</f>
        <v>SMS</v>
      </c>
      <c r="X1053" s="232" t="str">
        <f>IFERROR(__xludf.DUMMYFUNCTION("""COMPUTED_VALUE"""),"Cart Value")</f>
        <v>Cart Value</v>
      </c>
      <c r="Y1053" s="232" t="str">
        <f>IFERROR(__xludf.DUMMYFUNCTION("""COMPUTED_VALUE"""),"02 July")</f>
        <v>02 July</v>
      </c>
      <c r="Z1053" s="232" t="str">
        <f>IFERROR(__xludf.DUMMYFUNCTION("""COMPUTED_VALUE"""),"6a43b65eb6b2c2d3a88bb332")</f>
        <v>6a43b65eb6b2c2d3a88bb332</v>
      </c>
      <c r="AA1053" s="277">
        <f>IFERROR(__xludf.DUMMYFUNCTION("""COMPUTED_VALUE"""),15.0)</f>
        <v>15</v>
      </c>
      <c r="AB1053" s="277">
        <f>IFERROR(__xludf.DUMMYFUNCTION("""COMPUTED_VALUE"""),15.0)</f>
        <v>15</v>
      </c>
      <c r="AC1053" s="277"/>
      <c r="AD1053" s="277">
        <f>IFERROR(__xludf.DUMMYFUNCTION("""COMPUTED_VALUE"""),49002.0)</f>
        <v>49002</v>
      </c>
      <c r="AE1053" s="277">
        <f>IFERROR(__xludf.DUMMYFUNCTION("""COMPUTED_VALUE"""),49002.0)</f>
        <v>49002</v>
      </c>
      <c r="AF1053" s="277"/>
      <c r="AG1053" s="208"/>
      <c r="AH1053" s="208"/>
      <c r="AI1053" s="208"/>
      <c r="AJ1053" s="208"/>
      <c r="AK1053" s="208"/>
    </row>
    <row r="1054">
      <c r="A1054" s="288">
        <f>IFERROR(__xludf.DUMMYFUNCTION("""COMPUTED_VALUE"""),46205.0)</f>
        <v>46205</v>
      </c>
      <c r="B1054" s="274">
        <f>IFERROR(__xludf.DUMMYFUNCTION("""COMPUTED_VALUE"""),0.8541666666678793)</f>
        <v>0.8541666667</v>
      </c>
      <c r="C1054" s="208" t="str">
        <f>IFERROR(__xludf.DUMMYFUNCTION("""COMPUTED_VALUE"""),"Sms")</f>
        <v>Sms</v>
      </c>
      <c r="D1054" s="208" t="str">
        <f>IFERROR(__xludf.DUMMYFUNCTION("""COMPUTED_VALUE"""),"Fallback campaign")</f>
        <v>Fallback campaign</v>
      </c>
      <c r="E1054" s="208" t="str">
        <f>IFERROR(__xludf.DUMMYFUNCTION("""COMPUTED_VALUE"""),"BBW")</f>
        <v>BBW</v>
      </c>
      <c r="F1054" s="208" t="str">
        <f>IFERROR(__xludf.DUMMYFUNCTION("""COMPUTED_VALUE"""),"B2G2 - July'26 - Entire Store")</f>
        <v>B2G2 - July'26 - Entire Store</v>
      </c>
      <c r="G1054" s="208" t="str">
        <f>IFERROR(__xludf.DUMMYFUNCTION("""COMPUTED_VALUE"""),"bbw_smsfb_b2g2_2july_dormant_ea_online")</f>
        <v>bbw_smsfb_b2g2_2july_dormant_ea_online</v>
      </c>
      <c r="H1054" s="232" t="str">
        <f>IFERROR(__xludf.DUMMYFUNCTION("""COMPUTED_VALUE"""),"BBW_ON_B2G2_Dormant_May_26")</f>
        <v>BBW_ON_B2G2_Dormant_May_26</v>
      </c>
      <c r="I1054" s="233" t="str">
        <f>IFERROR(__xludf.DUMMYFUNCTION("""COMPUTED_VALUE"""),"WA Undelivered")</f>
        <v>WA Undelivered</v>
      </c>
      <c r="J1054" s="275">
        <f>IFERROR(__xludf.DUMMYFUNCTION("""COMPUTED_VALUE"""),41182.0)</f>
        <v>41182</v>
      </c>
      <c r="K1054" s="275">
        <f>IFERROR(__xludf.DUMMYFUNCTION("""COMPUTED_VALUE"""),24154.0)</f>
        <v>24154</v>
      </c>
      <c r="L1054" s="276">
        <f>IFERROR(__xludf.DUMMYFUNCTION("""COMPUTED_VALUE"""),0.5865)</f>
        <v>0.5865</v>
      </c>
      <c r="M1054" s="275">
        <f>IFERROR(__xludf.DUMMYFUNCTION("""COMPUTED_VALUE"""),0.0)</f>
        <v>0</v>
      </c>
      <c r="N1054" s="276">
        <f>IFERROR(__xludf.DUMMYFUNCTION("""COMPUTED_VALUE"""),0.0)</f>
        <v>0</v>
      </c>
      <c r="O1054" s="208">
        <f>IFERROR(__xludf.DUMMYFUNCTION("""COMPUTED_VALUE"""),79.0)</f>
        <v>79</v>
      </c>
      <c r="P1054" s="208">
        <f>IFERROR(__xludf.DUMMYFUNCTION("""COMPUTED_VALUE"""),0.0)</f>
        <v>0</v>
      </c>
      <c r="Q1054" s="276">
        <f>IFERROR(__xludf.DUMMYFUNCTION("""COMPUTED_VALUE"""),0.0033)</f>
        <v>0.0033</v>
      </c>
      <c r="R1054" s="276">
        <f>IFERROR(__xludf.DUMMYFUNCTION("""COMPUTED_VALUE"""),0.0)</f>
        <v>0</v>
      </c>
      <c r="S1054" s="208">
        <f>IFERROR(__xludf.DUMMYFUNCTION("""COMPUTED_VALUE"""),7.0)</f>
        <v>7</v>
      </c>
      <c r="T1054" s="208">
        <f>IFERROR(__xludf.DUMMYFUNCTION("""COMPUTED_VALUE"""),9.0)</f>
        <v>9</v>
      </c>
      <c r="U1054" s="275">
        <f>IFERROR(__xludf.DUMMYFUNCTION("""COMPUTED_VALUE"""),18520.0)</f>
        <v>18520</v>
      </c>
      <c r="V1054" s="234" t="str">
        <f>IFERROR(__xludf.DUMMYFUNCTION("""COMPUTED_VALUE"""),"online")</f>
        <v>online</v>
      </c>
      <c r="W1054" s="232" t="str">
        <f>IFERROR(__xludf.DUMMYFUNCTION("""COMPUTED_VALUE"""),"SMS")</f>
        <v>SMS</v>
      </c>
      <c r="X1054" s="232" t="str">
        <f>IFERROR(__xludf.DUMMYFUNCTION("""COMPUTED_VALUE"""),"Dormant")</f>
        <v>Dormant</v>
      </c>
      <c r="Y1054" s="232" t="str">
        <f>IFERROR(__xludf.DUMMYFUNCTION("""COMPUTED_VALUE"""),"02 July")</f>
        <v>02 July</v>
      </c>
      <c r="Z1054" s="232" t="str">
        <f>IFERROR(__xludf.DUMMYFUNCTION("""COMPUTED_VALUE"""),"6a43b6b2eb0ca5c028daa869")</f>
        <v>6a43b6b2eb0ca5c028daa869</v>
      </c>
      <c r="AA1054" s="277">
        <f>IFERROR(__xludf.DUMMYFUNCTION("""COMPUTED_VALUE"""),31.0)</f>
        <v>31</v>
      </c>
      <c r="AB1054" s="277">
        <f>IFERROR(__xludf.DUMMYFUNCTION("""COMPUTED_VALUE"""),31.0)</f>
        <v>31</v>
      </c>
      <c r="AC1054" s="277"/>
      <c r="AD1054" s="277">
        <f>IFERROR(__xludf.DUMMYFUNCTION("""COMPUTED_VALUE"""),75515.0)</f>
        <v>75515</v>
      </c>
      <c r="AE1054" s="277">
        <f>IFERROR(__xludf.DUMMYFUNCTION("""COMPUTED_VALUE"""),75515.0)</f>
        <v>75515</v>
      </c>
      <c r="AF1054" s="277"/>
      <c r="AG1054" s="208"/>
      <c r="AH1054" s="208"/>
      <c r="AI1054" s="208"/>
      <c r="AJ1054" s="208"/>
      <c r="AK1054" s="208"/>
    </row>
    <row r="1055">
      <c r="A1055" s="288">
        <f>IFERROR(__xludf.DUMMYFUNCTION("""COMPUTED_VALUE"""),46206.0)</f>
        <v>46206</v>
      </c>
      <c r="B1055" s="274">
        <f>IFERROR(__xludf.DUMMYFUNCTION("""COMPUTED_VALUE"""),0.5)</f>
        <v>0.5</v>
      </c>
      <c r="C1055" s="208" t="str">
        <f>IFERROR(__xludf.DUMMYFUNCTION("""COMPUTED_VALUE"""),"Sms")</f>
        <v>Sms</v>
      </c>
      <c r="D1055" s="208" t="str">
        <f>IFERROR(__xludf.DUMMYFUNCTION("""COMPUTED_VALUE"""),"Fallback campaign")</f>
        <v>Fallback campaign</v>
      </c>
      <c r="E1055" s="208" t="str">
        <f>IFERROR(__xludf.DUMMYFUNCTION("""COMPUTED_VALUE"""),"BBW")</f>
        <v>BBW</v>
      </c>
      <c r="F1055" s="208" t="str">
        <f>IFERROR(__xludf.DUMMYFUNCTION("""COMPUTED_VALUE"""),"B2G2 - July'26 - Entire Store")</f>
        <v>B2G2 - July'26 - Entire Store</v>
      </c>
      <c r="G1055" s="208" t="str">
        <f>IFERROR(__xludf.DUMMYFUNCTION("""COMPUTED_VALUE"""),"bbw_smsfb_b2g2_3july_event_buyers_overall")</f>
        <v>bbw_smsfb_b2g2_3july_event_buyers_overall</v>
      </c>
      <c r="H1055" s="232" t="str">
        <f>IFERROR(__xludf.DUMMYFUNCTION("""COMPUTED_VALUE"""),"BBW_ON_OFF_B2G2_Event_Buyers")</f>
        <v>BBW_ON_OFF_B2G2_Event_Buyers</v>
      </c>
      <c r="I1055" s="233" t="str">
        <f>IFERROR(__xludf.DUMMYFUNCTION("""COMPUTED_VALUE"""),"WA Undelivered")</f>
        <v>WA Undelivered</v>
      </c>
      <c r="J1055" s="275">
        <f>IFERROR(__xludf.DUMMYFUNCTION("""COMPUTED_VALUE"""),23519.0)</f>
        <v>23519</v>
      </c>
      <c r="K1055" s="275">
        <f>IFERROR(__xludf.DUMMYFUNCTION("""COMPUTED_VALUE"""),12775.0)</f>
        <v>12775</v>
      </c>
      <c r="L1055" s="276">
        <f>IFERROR(__xludf.DUMMYFUNCTION("""COMPUTED_VALUE"""),0.5432)</f>
        <v>0.5432</v>
      </c>
      <c r="M1055" s="275">
        <f>IFERROR(__xludf.DUMMYFUNCTION("""COMPUTED_VALUE"""),0.0)</f>
        <v>0</v>
      </c>
      <c r="N1055" s="276">
        <f>IFERROR(__xludf.DUMMYFUNCTION("""COMPUTED_VALUE"""),0.0)</f>
        <v>0</v>
      </c>
      <c r="O1055" s="208">
        <f>IFERROR(__xludf.DUMMYFUNCTION("""COMPUTED_VALUE"""),17.0)</f>
        <v>17</v>
      </c>
      <c r="P1055" s="208">
        <f>IFERROR(__xludf.DUMMYFUNCTION("""COMPUTED_VALUE"""),0.0)</f>
        <v>0</v>
      </c>
      <c r="Q1055" s="276">
        <f>IFERROR(__xludf.DUMMYFUNCTION("""COMPUTED_VALUE"""),0.0013)</f>
        <v>0.0013</v>
      </c>
      <c r="R1055" s="276">
        <f>IFERROR(__xludf.DUMMYFUNCTION("""COMPUTED_VALUE"""),0.0)</f>
        <v>0</v>
      </c>
      <c r="S1055" s="208">
        <f>IFERROR(__xludf.DUMMYFUNCTION("""COMPUTED_VALUE"""),1.0)</f>
        <v>1</v>
      </c>
      <c r="T1055" s="208">
        <f>IFERROR(__xludf.DUMMYFUNCTION("""COMPUTED_VALUE"""),4.0)</f>
        <v>4</v>
      </c>
      <c r="U1055" s="275">
        <f>IFERROR(__xludf.DUMMYFUNCTION("""COMPUTED_VALUE"""),2480.0)</f>
        <v>2480</v>
      </c>
      <c r="V1055" s="234" t="str">
        <f>IFERROR(__xludf.DUMMYFUNCTION("""COMPUTED_VALUE"""),"overall")</f>
        <v>overall</v>
      </c>
      <c r="W1055" s="232" t="str">
        <f>IFERROR(__xludf.DUMMYFUNCTION("""COMPUTED_VALUE"""),"SMS")</f>
        <v>SMS</v>
      </c>
      <c r="X1055" s="232" t="str">
        <f>IFERROR(__xludf.DUMMYFUNCTION("""COMPUTED_VALUE"""),"Event Buyers")</f>
        <v>Event Buyers</v>
      </c>
      <c r="Y1055" s="232" t="str">
        <f>IFERROR(__xludf.DUMMYFUNCTION("""COMPUTED_VALUE"""),"03 July")</f>
        <v>03 July</v>
      </c>
      <c r="Z1055" s="232" t="str">
        <f>IFERROR(__xludf.DUMMYFUNCTION("""COMPUTED_VALUE"""),"6a43c583fa10745c5383cbf5")</f>
        <v>6a43c583fa10745c5383cbf5</v>
      </c>
      <c r="AA1055" s="277">
        <f>IFERROR(__xludf.DUMMYFUNCTION("""COMPUTED_VALUE"""),27.0)</f>
        <v>27</v>
      </c>
      <c r="AB1055" s="277">
        <f>IFERROR(__xludf.DUMMYFUNCTION("""COMPUTED_VALUE"""),7.0)</f>
        <v>7</v>
      </c>
      <c r="AC1055" s="277">
        <f>IFERROR(__xludf.DUMMYFUNCTION("""COMPUTED_VALUE"""),20.0)</f>
        <v>20</v>
      </c>
      <c r="AD1055" s="277">
        <f>IFERROR(__xludf.DUMMYFUNCTION("""COMPUTED_VALUE"""),96973.0)</f>
        <v>96973</v>
      </c>
      <c r="AE1055" s="277">
        <f>IFERROR(__xludf.DUMMYFUNCTION("""COMPUTED_VALUE"""),20230.0)</f>
        <v>20230</v>
      </c>
      <c r="AF1055" s="277">
        <f>IFERROR(__xludf.DUMMYFUNCTION("""COMPUTED_VALUE"""),76743.0)</f>
        <v>76743</v>
      </c>
      <c r="AG1055" s="208"/>
      <c r="AH1055" s="208"/>
      <c r="AI1055" s="208"/>
      <c r="AJ1055" s="208"/>
      <c r="AK1055" s="208"/>
    </row>
    <row r="1056">
      <c r="A1056" s="288">
        <f>IFERROR(__xludf.DUMMYFUNCTION("""COMPUTED_VALUE"""),46206.0)</f>
        <v>46206</v>
      </c>
      <c r="B1056" s="274">
        <f>IFERROR(__xludf.DUMMYFUNCTION("""COMPUTED_VALUE"""),0.5)</f>
        <v>0.5</v>
      </c>
      <c r="C1056" s="208" t="str">
        <f>IFERROR(__xludf.DUMMYFUNCTION("""COMPUTED_VALUE"""),"Sms")</f>
        <v>Sms</v>
      </c>
      <c r="D1056" s="208" t="str">
        <f>IFERROR(__xludf.DUMMYFUNCTION("""COMPUTED_VALUE"""),"Fallback campaign")</f>
        <v>Fallback campaign</v>
      </c>
      <c r="E1056" s="208" t="str">
        <f>IFERROR(__xludf.DUMMYFUNCTION("""COMPUTED_VALUE"""),"BBW")</f>
        <v>BBW</v>
      </c>
      <c r="F1056" s="208" t="str">
        <f>IFERROR(__xludf.DUMMYFUNCTION("""COMPUTED_VALUE"""),"B2G2 - July'26 - Entire Store")</f>
        <v>B2G2 - July'26 - Entire Store</v>
      </c>
      <c r="G1056" s="208" t="str">
        <f>IFERROR(__xludf.DUMMYFUNCTION("""COMPUTED_VALUE"""),"bbw_smsfb_b2g2_3july_blr_offline")</f>
        <v>bbw_smsfb_b2g2_3july_blr_offline</v>
      </c>
      <c r="H1056" s="232" t="str">
        <f>IFERROR(__xludf.DUMMYFUNCTION("""COMPUTED_VALUE"""),"BBW_OFF_BLR_Active, BBW_OFF_BLR_Dorm")</f>
        <v>BBW_OFF_BLR_Active, BBW_OFF_BLR_Dorm</v>
      </c>
      <c r="I1056" s="233" t="str">
        <f>IFERROR(__xludf.DUMMYFUNCTION("""COMPUTED_VALUE"""),"WA Undelivered")</f>
        <v>WA Undelivered</v>
      </c>
      <c r="J1056" s="275">
        <f>IFERROR(__xludf.DUMMYFUNCTION("""COMPUTED_VALUE"""),35369.0)</f>
        <v>35369</v>
      </c>
      <c r="K1056" s="275">
        <f>IFERROR(__xludf.DUMMYFUNCTION("""COMPUTED_VALUE"""),20038.0)</f>
        <v>20038</v>
      </c>
      <c r="L1056" s="276">
        <f>IFERROR(__xludf.DUMMYFUNCTION("""COMPUTED_VALUE"""),0.5665)</f>
        <v>0.5665</v>
      </c>
      <c r="M1056" s="275">
        <f>IFERROR(__xludf.DUMMYFUNCTION("""COMPUTED_VALUE"""),0.0)</f>
        <v>0</v>
      </c>
      <c r="N1056" s="276">
        <f>IFERROR(__xludf.DUMMYFUNCTION("""COMPUTED_VALUE"""),0.0)</f>
        <v>0</v>
      </c>
      <c r="O1056" s="208">
        <f>IFERROR(__xludf.DUMMYFUNCTION("""COMPUTED_VALUE"""),17.0)</f>
        <v>17</v>
      </c>
      <c r="P1056" s="208">
        <f>IFERROR(__xludf.DUMMYFUNCTION("""COMPUTED_VALUE"""),0.0)</f>
        <v>0</v>
      </c>
      <c r="Q1056" s="276">
        <f>IFERROR(__xludf.DUMMYFUNCTION("""COMPUTED_VALUE"""),8.0E-4)</f>
        <v>0.0008</v>
      </c>
      <c r="R1056" s="276">
        <f>IFERROR(__xludf.DUMMYFUNCTION("""COMPUTED_VALUE"""),0.0)</f>
        <v>0</v>
      </c>
      <c r="S1056" s="208">
        <f>IFERROR(__xludf.DUMMYFUNCTION("""COMPUTED_VALUE"""),3.0)</f>
        <v>3</v>
      </c>
      <c r="T1056" s="208">
        <f>IFERROR(__xludf.DUMMYFUNCTION("""COMPUTED_VALUE"""),8.0)</f>
        <v>8</v>
      </c>
      <c r="U1056" s="275">
        <f>IFERROR(__xludf.DUMMYFUNCTION("""COMPUTED_VALUE"""),4901.0)</f>
        <v>4901</v>
      </c>
      <c r="V1056" s="234" t="str">
        <f>IFERROR(__xludf.DUMMYFUNCTION("""COMPUTED_VALUE"""),"offline")</f>
        <v>offline</v>
      </c>
      <c r="W1056" s="232" t="str">
        <f>IFERROR(__xludf.DUMMYFUNCTION("""COMPUTED_VALUE"""),"SMS")</f>
        <v>SMS</v>
      </c>
      <c r="X1056" s="232" t="str">
        <f>IFERROR(__xludf.DUMMYFUNCTION("""COMPUTED_VALUE"""),"City Specific")</f>
        <v>City Specific</v>
      </c>
      <c r="Y1056" s="232" t="str">
        <f>IFERROR(__xludf.DUMMYFUNCTION("""COMPUTED_VALUE"""),"03 July")</f>
        <v>03 July</v>
      </c>
      <c r="Z1056" s="232" t="str">
        <f>IFERROR(__xludf.DUMMYFUNCTION("""COMPUTED_VALUE"""),"6a43c62100a1b62cd993bc66")</f>
        <v>6a43c62100a1b62cd993bc66</v>
      </c>
      <c r="AA1056" s="277">
        <f>IFERROR(__xludf.DUMMYFUNCTION("""COMPUTED_VALUE"""),35.0)</f>
        <v>35</v>
      </c>
      <c r="AB1056" s="277">
        <f>IFERROR(__xludf.DUMMYFUNCTION("""COMPUTED_VALUE"""),5.0)</f>
        <v>5</v>
      </c>
      <c r="AC1056" s="277">
        <f>IFERROR(__xludf.DUMMYFUNCTION("""COMPUTED_VALUE"""),30.0)</f>
        <v>30</v>
      </c>
      <c r="AD1056" s="277">
        <f>IFERROR(__xludf.DUMMYFUNCTION("""COMPUTED_VALUE"""),102220.0)</f>
        <v>102220</v>
      </c>
      <c r="AE1056" s="277">
        <f>IFERROR(__xludf.DUMMYFUNCTION("""COMPUTED_VALUE"""),8103.0)</f>
        <v>8103</v>
      </c>
      <c r="AF1056" s="277">
        <f>IFERROR(__xludf.DUMMYFUNCTION("""COMPUTED_VALUE"""),94117.0)</f>
        <v>94117</v>
      </c>
      <c r="AG1056" s="208"/>
      <c r="AH1056" s="208"/>
      <c r="AI1056" s="208"/>
      <c r="AJ1056" s="208"/>
      <c r="AK1056" s="208"/>
    </row>
    <row r="1057">
      <c r="A1057" s="288">
        <f>IFERROR(__xludf.DUMMYFUNCTION("""COMPUTED_VALUE"""),46206.0)</f>
        <v>46206</v>
      </c>
      <c r="B1057" s="274">
        <f>IFERROR(__xludf.DUMMYFUNCTION("""COMPUTED_VALUE"""),0.5)</f>
        <v>0.5</v>
      </c>
      <c r="C1057" s="208" t="str">
        <f>IFERROR(__xludf.DUMMYFUNCTION("""COMPUTED_VALUE"""),"Sms")</f>
        <v>Sms</v>
      </c>
      <c r="D1057" s="208" t="str">
        <f>IFERROR(__xludf.DUMMYFUNCTION("""COMPUTED_VALUE"""),"Fallback campaign")</f>
        <v>Fallback campaign</v>
      </c>
      <c r="E1057" s="208" t="str">
        <f>IFERROR(__xludf.DUMMYFUNCTION("""COMPUTED_VALUE"""),"BBW")</f>
        <v>BBW</v>
      </c>
      <c r="F1057" s="208" t="str">
        <f>IFERROR(__xludf.DUMMYFUNCTION("""COMPUTED_VALUE"""),"B2G2 - July'26 - Entire Store")</f>
        <v>B2G2 - July'26 - Entire Store</v>
      </c>
      <c r="G1057" s="208" t="str">
        <f>IFERROR(__xludf.DUMMYFUNCTION("""COMPUTED_VALUE"""),"bbw_smsfb_b2g2_3july_del_offline")</f>
        <v>bbw_smsfb_b2g2_3july_del_offline</v>
      </c>
      <c r="H1057" s="232" t="str">
        <f>IFERROR(__xludf.DUMMYFUNCTION("""COMPUTED_VALUE"""),"BBW_OFF_DEL_Dorm, BBW_OFF_DEL_Active")</f>
        <v>BBW_OFF_DEL_Dorm, BBW_OFF_DEL_Active</v>
      </c>
      <c r="I1057" s="233" t="str">
        <f>IFERROR(__xludf.DUMMYFUNCTION("""COMPUTED_VALUE"""),"WA Undelivered")</f>
        <v>WA Undelivered</v>
      </c>
      <c r="J1057" s="275">
        <f>IFERROR(__xludf.DUMMYFUNCTION("""COMPUTED_VALUE"""),24636.0)</f>
        <v>24636</v>
      </c>
      <c r="K1057" s="275">
        <f>IFERROR(__xludf.DUMMYFUNCTION("""COMPUTED_VALUE"""),13276.0)</f>
        <v>13276</v>
      </c>
      <c r="L1057" s="276">
        <f>IFERROR(__xludf.DUMMYFUNCTION("""COMPUTED_VALUE"""),0.5389)</f>
        <v>0.5389</v>
      </c>
      <c r="M1057" s="275">
        <f>IFERROR(__xludf.DUMMYFUNCTION("""COMPUTED_VALUE"""),0.0)</f>
        <v>0</v>
      </c>
      <c r="N1057" s="276">
        <f>IFERROR(__xludf.DUMMYFUNCTION("""COMPUTED_VALUE"""),0.0)</f>
        <v>0</v>
      </c>
      <c r="O1057" s="208">
        <f>IFERROR(__xludf.DUMMYFUNCTION("""COMPUTED_VALUE"""),25.0)</f>
        <v>25</v>
      </c>
      <c r="P1057" s="208">
        <f>IFERROR(__xludf.DUMMYFUNCTION("""COMPUTED_VALUE"""),0.0)</f>
        <v>0</v>
      </c>
      <c r="Q1057" s="276">
        <f>IFERROR(__xludf.DUMMYFUNCTION("""COMPUTED_VALUE"""),0.0019)</f>
        <v>0.0019</v>
      </c>
      <c r="R1057" s="276">
        <f>IFERROR(__xludf.DUMMYFUNCTION("""COMPUTED_VALUE"""),0.0)</f>
        <v>0</v>
      </c>
      <c r="S1057" s="208">
        <f>IFERROR(__xludf.DUMMYFUNCTION("""COMPUTED_VALUE"""),0.0)</f>
        <v>0</v>
      </c>
      <c r="T1057" s="208">
        <f>IFERROR(__xludf.DUMMYFUNCTION("""COMPUTED_VALUE"""),0.0)</f>
        <v>0</v>
      </c>
      <c r="U1057" s="275">
        <f>IFERROR(__xludf.DUMMYFUNCTION("""COMPUTED_VALUE"""),0.0)</f>
        <v>0</v>
      </c>
      <c r="V1057" s="234" t="str">
        <f>IFERROR(__xludf.DUMMYFUNCTION("""COMPUTED_VALUE"""),"offline")</f>
        <v>offline</v>
      </c>
      <c r="W1057" s="232" t="str">
        <f>IFERROR(__xludf.DUMMYFUNCTION("""COMPUTED_VALUE"""),"SMS")</f>
        <v>SMS</v>
      </c>
      <c r="X1057" s="232" t="str">
        <f>IFERROR(__xludf.DUMMYFUNCTION("""COMPUTED_VALUE"""),"City Specific")</f>
        <v>City Specific</v>
      </c>
      <c r="Y1057" s="232" t="str">
        <f>IFERROR(__xludf.DUMMYFUNCTION("""COMPUTED_VALUE"""),"03 July")</f>
        <v>03 July</v>
      </c>
      <c r="Z1057" s="232" t="str">
        <f>IFERROR(__xludf.DUMMYFUNCTION("""COMPUTED_VALUE"""),"6a44bd1248d1b668b8cc79ce")</f>
        <v>6a44bd1248d1b668b8cc79ce</v>
      </c>
      <c r="AA1057" s="277">
        <f>IFERROR(__xludf.DUMMYFUNCTION("""COMPUTED_VALUE"""),12.0)</f>
        <v>12</v>
      </c>
      <c r="AB1057" s="277"/>
      <c r="AC1057" s="277">
        <f>IFERROR(__xludf.DUMMYFUNCTION("""COMPUTED_VALUE"""),12.0)</f>
        <v>12</v>
      </c>
      <c r="AD1057" s="277">
        <f>IFERROR(__xludf.DUMMYFUNCTION("""COMPUTED_VALUE"""),44243.0)</f>
        <v>44243</v>
      </c>
      <c r="AE1057" s="277"/>
      <c r="AF1057" s="277">
        <f>IFERROR(__xludf.DUMMYFUNCTION("""COMPUTED_VALUE"""),44243.0)</f>
        <v>44243</v>
      </c>
      <c r="AG1057" s="208"/>
      <c r="AH1057" s="208"/>
      <c r="AI1057" s="208"/>
      <c r="AJ1057" s="208"/>
      <c r="AK1057" s="208"/>
    </row>
    <row r="1058">
      <c r="A1058" s="288">
        <f>IFERROR(__xludf.DUMMYFUNCTION("""COMPUTED_VALUE"""),46206.0)</f>
        <v>46206</v>
      </c>
      <c r="B1058" s="274">
        <f>IFERROR(__xludf.DUMMYFUNCTION("""COMPUTED_VALUE"""),0.5)</f>
        <v>0.5</v>
      </c>
      <c r="C1058" s="208" t="str">
        <f>IFERROR(__xludf.DUMMYFUNCTION("""COMPUTED_VALUE"""),"Sms")</f>
        <v>Sms</v>
      </c>
      <c r="D1058" s="208" t="str">
        <f>IFERROR(__xludf.DUMMYFUNCTION("""COMPUTED_VALUE"""),"Fallback campaign")</f>
        <v>Fallback campaign</v>
      </c>
      <c r="E1058" s="208" t="str">
        <f>IFERROR(__xludf.DUMMYFUNCTION("""COMPUTED_VALUE"""),"BBW")</f>
        <v>BBW</v>
      </c>
      <c r="F1058" s="208" t="str">
        <f>IFERROR(__xludf.DUMMYFUNCTION("""COMPUTED_VALUE"""),"B2G2 - July'26 - Entire Store")</f>
        <v>B2G2 - July'26 - Entire Store</v>
      </c>
      <c r="G1058" s="208" t="str">
        <f>IFERROR(__xludf.DUMMYFUNCTION("""COMPUTED_VALUE"""),"bbw_smsfb_b2g2_3july_bom_offline")</f>
        <v>bbw_smsfb_b2g2_3july_bom_offline</v>
      </c>
      <c r="H1058" s="232" t="str">
        <f>IFERROR(__xludf.DUMMYFUNCTION("""COMPUTED_VALUE"""),"BBW_OFF_BOM_Active, BBW_OFF_BOM_Dorm")</f>
        <v>BBW_OFF_BOM_Active, BBW_OFF_BOM_Dorm</v>
      </c>
      <c r="I1058" s="233" t="str">
        <f>IFERROR(__xludf.DUMMYFUNCTION("""COMPUTED_VALUE"""),"WA Undelivered")</f>
        <v>WA Undelivered</v>
      </c>
      <c r="J1058" s="275">
        <f>IFERROR(__xludf.DUMMYFUNCTION("""COMPUTED_VALUE"""),21026.0)</f>
        <v>21026</v>
      </c>
      <c r="K1058" s="275">
        <f>IFERROR(__xludf.DUMMYFUNCTION("""COMPUTED_VALUE"""),11183.0)</f>
        <v>11183</v>
      </c>
      <c r="L1058" s="276">
        <f>IFERROR(__xludf.DUMMYFUNCTION("""COMPUTED_VALUE"""),0.5319)</f>
        <v>0.5319</v>
      </c>
      <c r="M1058" s="275">
        <f>IFERROR(__xludf.DUMMYFUNCTION("""COMPUTED_VALUE"""),0.0)</f>
        <v>0</v>
      </c>
      <c r="N1058" s="276">
        <f>IFERROR(__xludf.DUMMYFUNCTION("""COMPUTED_VALUE"""),0.0)</f>
        <v>0</v>
      </c>
      <c r="O1058" s="208">
        <f>IFERROR(__xludf.DUMMYFUNCTION("""COMPUTED_VALUE"""),24.0)</f>
        <v>24</v>
      </c>
      <c r="P1058" s="208">
        <f>IFERROR(__xludf.DUMMYFUNCTION("""COMPUTED_VALUE"""),0.0)</f>
        <v>0</v>
      </c>
      <c r="Q1058" s="276">
        <f>IFERROR(__xludf.DUMMYFUNCTION("""COMPUTED_VALUE"""),0.0021)</f>
        <v>0.0021</v>
      </c>
      <c r="R1058" s="276">
        <f>IFERROR(__xludf.DUMMYFUNCTION("""COMPUTED_VALUE"""),0.0)</f>
        <v>0</v>
      </c>
      <c r="S1058" s="208">
        <f>IFERROR(__xludf.DUMMYFUNCTION("""COMPUTED_VALUE"""),1.0)</f>
        <v>1</v>
      </c>
      <c r="T1058" s="208">
        <f>IFERROR(__xludf.DUMMYFUNCTION("""COMPUTED_VALUE"""),4.0)</f>
        <v>4</v>
      </c>
      <c r="U1058" s="275">
        <f>IFERROR(__xludf.DUMMYFUNCTION("""COMPUTED_VALUE"""),5015.0)</f>
        <v>5015</v>
      </c>
      <c r="V1058" s="234" t="str">
        <f>IFERROR(__xludf.DUMMYFUNCTION("""COMPUTED_VALUE"""),"offline")</f>
        <v>offline</v>
      </c>
      <c r="W1058" s="232" t="str">
        <f>IFERROR(__xludf.DUMMYFUNCTION("""COMPUTED_VALUE"""),"SMS")</f>
        <v>SMS</v>
      </c>
      <c r="X1058" s="232" t="str">
        <f>IFERROR(__xludf.DUMMYFUNCTION("""COMPUTED_VALUE"""),"City Specific")</f>
        <v>City Specific</v>
      </c>
      <c r="Y1058" s="232" t="str">
        <f>IFERROR(__xludf.DUMMYFUNCTION("""COMPUTED_VALUE"""),"03 July")</f>
        <v>03 July</v>
      </c>
      <c r="Z1058" s="232" t="str">
        <f>IFERROR(__xludf.DUMMYFUNCTION("""COMPUTED_VALUE"""),"6a44be471165e563bfc25915")</f>
        <v>6a44be471165e563bfc25915</v>
      </c>
      <c r="AA1058" s="277">
        <f>IFERROR(__xludf.DUMMYFUNCTION("""COMPUTED_VALUE"""),24.0)</f>
        <v>24</v>
      </c>
      <c r="AB1058" s="277"/>
      <c r="AC1058" s="277">
        <f>IFERROR(__xludf.DUMMYFUNCTION("""COMPUTED_VALUE"""),24.0)</f>
        <v>24</v>
      </c>
      <c r="AD1058" s="277">
        <f>IFERROR(__xludf.DUMMYFUNCTION("""COMPUTED_VALUE"""),81535.0)</f>
        <v>81535</v>
      </c>
      <c r="AE1058" s="277"/>
      <c r="AF1058" s="277">
        <f>IFERROR(__xludf.DUMMYFUNCTION("""COMPUTED_VALUE"""),81535.0)</f>
        <v>81535</v>
      </c>
      <c r="AG1058" s="208"/>
      <c r="AH1058" s="208"/>
      <c r="AI1058" s="208"/>
      <c r="AJ1058" s="208"/>
      <c r="AK1058" s="208"/>
    </row>
    <row r="1059">
      <c r="A1059" s="288">
        <f>IFERROR(__xludf.DUMMYFUNCTION("""COMPUTED_VALUE"""),46206.0)</f>
        <v>46206</v>
      </c>
      <c r="B1059" s="274">
        <f>IFERROR(__xludf.DUMMYFUNCTION("""COMPUTED_VALUE"""),0.5)</f>
        <v>0.5</v>
      </c>
      <c r="C1059" s="208" t="str">
        <f>IFERROR(__xludf.DUMMYFUNCTION("""COMPUTED_VALUE"""),"Sms")</f>
        <v>Sms</v>
      </c>
      <c r="D1059" s="208" t="str">
        <f>IFERROR(__xludf.DUMMYFUNCTION("""COMPUTED_VALUE"""),"Fallback campaign")</f>
        <v>Fallback campaign</v>
      </c>
      <c r="E1059" s="208" t="str">
        <f>IFERROR(__xludf.DUMMYFUNCTION("""COMPUTED_VALUE"""),"BBW")</f>
        <v>BBW</v>
      </c>
      <c r="F1059" s="208" t="str">
        <f>IFERROR(__xludf.DUMMYFUNCTION("""COMPUTED_VALUE"""),"B2G2 - July'26 - Entire Store")</f>
        <v>B2G2 - July'26 - Entire Store</v>
      </c>
      <c r="G1059" s="208" t="str">
        <f>IFERROR(__xludf.DUMMYFUNCTION("""COMPUTED_VALUE"""),"bbw_smsfb_b2g2_3july_hyd_offline")</f>
        <v>bbw_smsfb_b2g2_3july_hyd_offline</v>
      </c>
      <c r="H1059" s="232" t="str">
        <f>IFERROR(__xludf.DUMMYFUNCTION("""COMPUTED_VALUE"""),"BBW_OFF_HYD_Active, BBW_OFF_HYD_Dorm")</f>
        <v>BBW_OFF_HYD_Active, BBW_OFF_HYD_Dorm</v>
      </c>
      <c r="I1059" s="233" t="str">
        <f>IFERROR(__xludf.DUMMYFUNCTION("""COMPUTED_VALUE"""),"WA Undelivered")</f>
        <v>WA Undelivered</v>
      </c>
      <c r="J1059" s="275">
        <f>IFERROR(__xludf.DUMMYFUNCTION("""COMPUTED_VALUE"""),12018.0)</f>
        <v>12018</v>
      </c>
      <c r="K1059" s="275">
        <f>IFERROR(__xludf.DUMMYFUNCTION("""COMPUTED_VALUE"""),7726.0)</f>
        <v>7726</v>
      </c>
      <c r="L1059" s="276">
        <f>IFERROR(__xludf.DUMMYFUNCTION("""COMPUTED_VALUE"""),0.6429)</f>
        <v>0.6429</v>
      </c>
      <c r="M1059" s="275">
        <f>IFERROR(__xludf.DUMMYFUNCTION("""COMPUTED_VALUE"""),0.0)</f>
        <v>0</v>
      </c>
      <c r="N1059" s="276">
        <f>IFERROR(__xludf.DUMMYFUNCTION("""COMPUTED_VALUE"""),0.0)</f>
        <v>0</v>
      </c>
      <c r="O1059" s="208">
        <f>IFERROR(__xludf.DUMMYFUNCTION("""COMPUTED_VALUE"""),4.0)</f>
        <v>4</v>
      </c>
      <c r="P1059" s="208">
        <f>IFERROR(__xludf.DUMMYFUNCTION("""COMPUTED_VALUE"""),0.0)</f>
        <v>0</v>
      </c>
      <c r="Q1059" s="276">
        <f>IFERROR(__xludf.DUMMYFUNCTION("""COMPUTED_VALUE"""),5.0E-4)</f>
        <v>0.0005</v>
      </c>
      <c r="R1059" s="276">
        <f>IFERROR(__xludf.DUMMYFUNCTION("""COMPUTED_VALUE"""),0.0)</f>
        <v>0</v>
      </c>
      <c r="S1059" s="208">
        <f>IFERROR(__xludf.DUMMYFUNCTION("""COMPUTED_VALUE"""),0.0)</f>
        <v>0</v>
      </c>
      <c r="T1059" s="208">
        <f>IFERROR(__xludf.DUMMYFUNCTION("""COMPUTED_VALUE"""),2.0)</f>
        <v>2</v>
      </c>
      <c r="U1059" s="275">
        <f>IFERROR(__xludf.DUMMYFUNCTION("""COMPUTED_VALUE"""),0.0)</f>
        <v>0</v>
      </c>
      <c r="V1059" s="234" t="str">
        <f>IFERROR(__xludf.DUMMYFUNCTION("""COMPUTED_VALUE"""),"offline")</f>
        <v>offline</v>
      </c>
      <c r="W1059" s="232" t="str">
        <f>IFERROR(__xludf.DUMMYFUNCTION("""COMPUTED_VALUE"""),"SMS")</f>
        <v>SMS</v>
      </c>
      <c r="X1059" s="232" t="str">
        <f>IFERROR(__xludf.DUMMYFUNCTION("""COMPUTED_VALUE"""),"City Specific")</f>
        <v>City Specific</v>
      </c>
      <c r="Y1059" s="232" t="str">
        <f>IFERROR(__xludf.DUMMYFUNCTION("""COMPUTED_VALUE"""),"03 July")</f>
        <v>03 July</v>
      </c>
      <c r="Z1059" s="232" t="str">
        <f>IFERROR(__xludf.DUMMYFUNCTION("""COMPUTED_VALUE"""),"6a44be97d70c64091c16f993")</f>
        <v>6a44be97d70c64091c16f993</v>
      </c>
      <c r="AA1059" s="277">
        <f>IFERROR(__xludf.DUMMYFUNCTION("""COMPUTED_VALUE"""),24.0)</f>
        <v>24</v>
      </c>
      <c r="AB1059" s="277"/>
      <c r="AC1059" s="277">
        <f>IFERROR(__xludf.DUMMYFUNCTION("""COMPUTED_VALUE"""),24.0)</f>
        <v>24</v>
      </c>
      <c r="AD1059" s="277">
        <f>IFERROR(__xludf.DUMMYFUNCTION("""COMPUTED_VALUE"""),66408.0)</f>
        <v>66408</v>
      </c>
      <c r="AE1059" s="277"/>
      <c r="AF1059" s="277">
        <f>IFERROR(__xludf.DUMMYFUNCTION("""COMPUTED_VALUE"""),66408.0)</f>
        <v>66408</v>
      </c>
      <c r="AG1059" s="208"/>
      <c r="AH1059" s="208"/>
      <c r="AI1059" s="208"/>
      <c r="AJ1059" s="208"/>
      <c r="AK1059" s="208"/>
    </row>
    <row r="1060">
      <c r="A1060" s="288">
        <f>IFERROR(__xludf.DUMMYFUNCTION("""COMPUTED_VALUE"""),46206.0)</f>
        <v>46206</v>
      </c>
      <c r="B1060" s="274">
        <f>IFERROR(__xludf.DUMMYFUNCTION("""COMPUTED_VALUE"""),0.5)</f>
        <v>0.5</v>
      </c>
      <c r="C1060" s="208" t="str">
        <f>IFERROR(__xludf.DUMMYFUNCTION("""COMPUTED_VALUE"""),"Sms")</f>
        <v>Sms</v>
      </c>
      <c r="D1060" s="208" t="str">
        <f>IFERROR(__xludf.DUMMYFUNCTION("""COMPUTED_VALUE"""),"Fallback campaign")</f>
        <v>Fallback campaign</v>
      </c>
      <c r="E1060" s="208" t="str">
        <f>IFERROR(__xludf.DUMMYFUNCTION("""COMPUTED_VALUE"""),"BBW")</f>
        <v>BBW</v>
      </c>
      <c r="F1060" s="208" t="str">
        <f>IFERROR(__xludf.DUMMYFUNCTION("""COMPUTED_VALUE"""),"B2G2 - July'26 - Entire Store")</f>
        <v>B2G2 - July'26 - Entire Store</v>
      </c>
      <c r="G1060" s="208" t="str">
        <f>IFERROR(__xludf.DUMMYFUNCTION("""COMPUTED_VALUE"""),"bbw_smsfb_b2g2_3july_ahd_offline")</f>
        <v>bbw_smsfb_b2g2_3july_ahd_offline</v>
      </c>
      <c r="H1060" s="232" t="str">
        <f>IFERROR(__xludf.DUMMYFUNCTION("""COMPUTED_VALUE"""),"BBW_OFF_AHD_Active, BBW_OFF_AHD_Dorm")</f>
        <v>BBW_OFF_AHD_Active, BBW_OFF_AHD_Dorm</v>
      </c>
      <c r="I1060" s="233" t="str">
        <f>IFERROR(__xludf.DUMMYFUNCTION("""COMPUTED_VALUE"""),"WA Undelivered")</f>
        <v>WA Undelivered</v>
      </c>
      <c r="J1060" s="275">
        <f>IFERROR(__xludf.DUMMYFUNCTION("""COMPUTED_VALUE"""),9844.0)</f>
        <v>9844</v>
      </c>
      <c r="K1060" s="275">
        <f>IFERROR(__xludf.DUMMYFUNCTION("""COMPUTED_VALUE"""),5467.0)</f>
        <v>5467</v>
      </c>
      <c r="L1060" s="276">
        <f>IFERROR(__xludf.DUMMYFUNCTION("""COMPUTED_VALUE"""),0.5554)</f>
        <v>0.5554</v>
      </c>
      <c r="M1060" s="275">
        <f>IFERROR(__xludf.DUMMYFUNCTION("""COMPUTED_VALUE"""),0.0)</f>
        <v>0</v>
      </c>
      <c r="N1060" s="276">
        <f>IFERROR(__xludf.DUMMYFUNCTION("""COMPUTED_VALUE"""),0.0)</f>
        <v>0</v>
      </c>
      <c r="O1060" s="208">
        <f>IFERROR(__xludf.DUMMYFUNCTION("""COMPUTED_VALUE"""),7.0)</f>
        <v>7</v>
      </c>
      <c r="P1060" s="208">
        <f>IFERROR(__xludf.DUMMYFUNCTION("""COMPUTED_VALUE"""),0.0)</f>
        <v>0</v>
      </c>
      <c r="Q1060" s="276">
        <f>IFERROR(__xludf.DUMMYFUNCTION("""COMPUTED_VALUE"""),0.0013)</f>
        <v>0.0013</v>
      </c>
      <c r="R1060" s="276">
        <f>IFERROR(__xludf.DUMMYFUNCTION("""COMPUTED_VALUE"""),0.0)</f>
        <v>0</v>
      </c>
      <c r="S1060" s="208">
        <f>IFERROR(__xludf.DUMMYFUNCTION("""COMPUTED_VALUE"""),0.0)</f>
        <v>0</v>
      </c>
      <c r="T1060" s="208">
        <f>IFERROR(__xludf.DUMMYFUNCTION("""COMPUTED_VALUE"""),2.0)</f>
        <v>2</v>
      </c>
      <c r="U1060" s="275">
        <f>IFERROR(__xludf.DUMMYFUNCTION("""COMPUTED_VALUE"""),0.0)</f>
        <v>0</v>
      </c>
      <c r="V1060" s="234" t="str">
        <f>IFERROR(__xludf.DUMMYFUNCTION("""COMPUTED_VALUE"""),"offline")</f>
        <v>offline</v>
      </c>
      <c r="W1060" s="232" t="str">
        <f>IFERROR(__xludf.DUMMYFUNCTION("""COMPUTED_VALUE"""),"SMS")</f>
        <v>SMS</v>
      </c>
      <c r="X1060" s="232" t="str">
        <f>IFERROR(__xludf.DUMMYFUNCTION("""COMPUTED_VALUE"""),"City Specific")</f>
        <v>City Specific</v>
      </c>
      <c r="Y1060" s="232" t="str">
        <f>IFERROR(__xludf.DUMMYFUNCTION("""COMPUTED_VALUE"""),"03 July")</f>
        <v>03 July</v>
      </c>
      <c r="Z1060" s="232" t="str">
        <f>IFERROR(__xludf.DUMMYFUNCTION("""COMPUTED_VALUE"""),"6a44beee356858929f3da39b")</f>
        <v>6a44beee356858929f3da39b</v>
      </c>
      <c r="AA1060" s="277">
        <f>IFERROR(__xludf.DUMMYFUNCTION("""COMPUTED_VALUE"""),6.0)</f>
        <v>6</v>
      </c>
      <c r="AB1060" s="277"/>
      <c r="AC1060" s="277">
        <f>IFERROR(__xludf.DUMMYFUNCTION("""COMPUTED_VALUE"""),6.0)</f>
        <v>6</v>
      </c>
      <c r="AD1060" s="277">
        <f>IFERROR(__xludf.DUMMYFUNCTION("""COMPUTED_VALUE"""),25146.0)</f>
        <v>25146</v>
      </c>
      <c r="AE1060" s="277"/>
      <c r="AF1060" s="277">
        <f>IFERROR(__xludf.DUMMYFUNCTION("""COMPUTED_VALUE"""),25146.0)</f>
        <v>25146</v>
      </c>
      <c r="AG1060" s="208"/>
      <c r="AH1060" s="208"/>
      <c r="AI1060" s="208"/>
      <c r="AJ1060" s="208"/>
      <c r="AK1060" s="208"/>
    </row>
    <row r="1061">
      <c r="A1061" s="288">
        <f>IFERROR(__xludf.DUMMYFUNCTION("""COMPUTED_VALUE"""),46206.0)</f>
        <v>46206</v>
      </c>
      <c r="B1061" s="274">
        <f>IFERROR(__xludf.DUMMYFUNCTION("""COMPUTED_VALUE"""),0.5)</f>
        <v>0.5</v>
      </c>
      <c r="C1061" s="208" t="str">
        <f>IFERROR(__xludf.DUMMYFUNCTION("""COMPUTED_VALUE"""),"Sms")</f>
        <v>Sms</v>
      </c>
      <c r="D1061" s="208" t="str">
        <f>IFERROR(__xludf.DUMMYFUNCTION("""COMPUTED_VALUE"""),"Fallback campaign")</f>
        <v>Fallback campaign</v>
      </c>
      <c r="E1061" s="208" t="str">
        <f>IFERROR(__xludf.DUMMYFUNCTION("""COMPUTED_VALUE"""),"BBW")</f>
        <v>BBW</v>
      </c>
      <c r="F1061" s="208" t="str">
        <f>IFERROR(__xludf.DUMMYFUNCTION("""COMPUTED_VALUE"""),"B2G2 - July'26 - Entire Store")</f>
        <v>B2G2 - July'26 - Entire Store</v>
      </c>
      <c r="G1061" s="208" t="str">
        <f>IFERROR(__xludf.DUMMYFUNCTION("""COMPUTED_VALUE"""),"bbw_smsfb_b2g2_3july_chd_offline")</f>
        <v>bbw_smsfb_b2g2_3july_chd_offline</v>
      </c>
      <c r="H1061" s="232" t="str">
        <f>IFERROR(__xludf.DUMMYFUNCTION("""COMPUTED_VALUE"""),"BBW_OFF_CHD_Active, BBW_OFF_CHD_Dorm")</f>
        <v>BBW_OFF_CHD_Active, BBW_OFF_CHD_Dorm</v>
      </c>
      <c r="I1061" s="233" t="str">
        <f>IFERROR(__xludf.DUMMYFUNCTION("""COMPUTED_VALUE"""),"WA Undelivered")</f>
        <v>WA Undelivered</v>
      </c>
      <c r="J1061" s="275">
        <f>IFERROR(__xludf.DUMMYFUNCTION("""COMPUTED_VALUE"""),10944.0)</f>
        <v>10944</v>
      </c>
      <c r="K1061" s="275">
        <f>IFERROR(__xludf.DUMMYFUNCTION("""COMPUTED_VALUE"""),7019.0)</f>
        <v>7019</v>
      </c>
      <c r="L1061" s="276">
        <f>IFERROR(__xludf.DUMMYFUNCTION("""COMPUTED_VALUE"""),0.6414)</f>
        <v>0.6414</v>
      </c>
      <c r="M1061" s="275">
        <f>IFERROR(__xludf.DUMMYFUNCTION("""COMPUTED_VALUE"""),0.0)</f>
        <v>0</v>
      </c>
      <c r="N1061" s="276">
        <f>IFERROR(__xludf.DUMMYFUNCTION("""COMPUTED_VALUE"""),0.0)</f>
        <v>0</v>
      </c>
      <c r="O1061" s="208">
        <f>IFERROR(__xludf.DUMMYFUNCTION("""COMPUTED_VALUE"""),12.0)</f>
        <v>12</v>
      </c>
      <c r="P1061" s="208">
        <f>IFERROR(__xludf.DUMMYFUNCTION("""COMPUTED_VALUE"""),0.0)</f>
        <v>0</v>
      </c>
      <c r="Q1061" s="276">
        <f>IFERROR(__xludf.DUMMYFUNCTION("""COMPUTED_VALUE"""),0.0017)</f>
        <v>0.0017</v>
      </c>
      <c r="R1061" s="276">
        <f>IFERROR(__xludf.DUMMYFUNCTION("""COMPUTED_VALUE"""),0.0)</f>
        <v>0</v>
      </c>
      <c r="S1061" s="208">
        <f>IFERROR(__xludf.DUMMYFUNCTION("""COMPUTED_VALUE"""),0.0)</f>
        <v>0</v>
      </c>
      <c r="T1061" s="208">
        <f>IFERROR(__xludf.DUMMYFUNCTION("""COMPUTED_VALUE"""),1.0)</f>
        <v>1</v>
      </c>
      <c r="U1061" s="275">
        <f>IFERROR(__xludf.DUMMYFUNCTION("""COMPUTED_VALUE"""),0.0)</f>
        <v>0</v>
      </c>
      <c r="V1061" s="234" t="str">
        <f>IFERROR(__xludf.DUMMYFUNCTION("""COMPUTED_VALUE"""),"offline")</f>
        <v>offline</v>
      </c>
      <c r="W1061" s="232" t="str">
        <f>IFERROR(__xludf.DUMMYFUNCTION("""COMPUTED_VALUE"""),"SMS")</f>
        <v>SMS</v>
      </c>
      <c r="X1061" s="232" t="str">
        <f>IFERROR(__xludf.DUMMYFUNCTION("""COMPUTED_VALUE"""),"City Specific")</f>
        <v>City Specific</v>
      </c>
      <c r="Y1061" s="232" t="str">
        <f>IFERROR(__xludf.DUMMYFUNCTION("""COMPUTED_VALUE"""),"03 July")</f>
        <v>03 July</v>
      </c>
      <c r="Z1061" s="232" t="str">
        <f>IFERROR(__xludf.DUMMYFUNCTION("""COMPUTED_VALUE"""),"6a44bf44a8d91a4a7e45e8cc")</f>
        <v>6a44bf44a8d91a4a7e45e8cc</v>
      </c>
      <c r="AA1061" s="277">
        <f>IFERROR(__xludf.DUMMYFUNCTION("""COMPUTED_VALUE"""),10.0)</f>
        <v>10</v>
      </c>
      <c r="AB1061" s="277"/>
      <c r="AC1061" s="277">
        <f>IFERROR(__xludf.DUMMYFUNCTION("""COMPUTED_VALUE"""),10.0)</f>
        <v>10</v>
      </c>
      <c r="AD1061" s="277">
        <f>IFERROR(__xludf.DUMMYFUNCTION("""COMPUTED_VALUE"""),29509.0)</f>
        <v>29509</v>
      </c>
      <c r="AE1061" s="277"/>
      <c r="AF1061" s="277">
        <f>IFERROR(__xludf.DUMMYFUNCTION("""COMPUTED_VALUE"""),29509.0)</f>
        <v>29509</v>
      </c>
      <c r="AG1061" s="208"/>
      <c r="AH1061" s="208"/>
      <c r="AI1061" s="208"/>
      <c r="AJ1061" s="208"/>
      <c r="AK1061" s="208"/>
    </row>
    <row r="1062">
      <c r="A1062" s="288">
        <f>IFERROR(__xludf.DUMMYFUNCTION("""COMPUTED_VALUE"""),46206.0)</f>
        <v>46206</v>
      </c>
      <c r="B1062" s="274">
        <f>IFERROR(__xludf.DUMMYFUNCTION("""COMPUTED_VALUE"""),0.5)</f>
        <v>0.5</v>
      </c>
      <c r="C1062" s="208" t="str">
        <f>IFERROR(__xludf.DUMMYFUNCTION("""COMPUTED_VALUE"""),"Sms")</f>
        <v>Sms</v>
      </c>
      <c r="D1062" s="208" t="str">
        <f>IFERROR(__xludf.DUMMYFUNCTION("""COMPUTED_VALUE"""),"Fallback campaign")</f>
        <v>Fallback campaign</v>
      </c>
      <c r="E1062" s="208" t="str">
        <f>IFERROR(__xludf.DUMMYFUNCTION("""COMPUTED_VALUE"""),"BBW")</f>
        <v>BBW</v>
      </c>
      <c r="F1062" s="208" t="str">
        <f>IFERROR(__xludf.DUMMYFUNCTION("""COMPUTED_VALUE"""),"B2G2 - July'26 - Entire Store")</f>
        <v>B2G2 - July'26 - Entire Store</v>
      </c>
      <c r="G1062" s="208" t="str">
        <f>IFERROR(__xludf.DUMMYFUNCTION("""COMPUTED_VALUE"""),"bbw_smsfb_b2g2_3july_noida_offline")</f>
        <v>bbw_smsfb_b2g2_3july_noida_offline</v>
      </c>
      <c r="H1062" s="232" t="str">
        <f>IFERROR(__xludf.DUMMYFUNCTION("""COMPUTED_VALUE"""),"BBW_OFF_NOIDA_Active, BBW_OFF_NOIDA_Dorm")</f>
        <v>BBW_OFF_NOIDA_Active, BBW_OFF_NOIDA_Dorm</v>
      </c>
      <c r="I1062" s="233" t="str">
        <f>IFERROR(__xludf.DUMMYFUNCTION("""COMPUTED_VALUE"""),"WA Undelivered")</f>
        <v>WA Undelivered</v>
      </c>
      <c r="J1062" s="275">
        <f>IFERROR(__xludf.DUMMYFUNCTION("""COMPUTED_VALUE"""),11822.0)</f>
        <v>11822</v>
      </c>
      <c r="K1062" s="275">
        <f>IFERROR(__xludf.DUMMYFUNCTION("""COMPUTED_VALUE"""),6423.0)</f>
        <v>6423</v>
      </c>
      <c r="L1062" s="276">
        <f>IFERROR(__xludf.DUMMYFUNCTION("""COMPUTED_VALUE"""),0.5433)</f>
        <v>0.5433</v>
      </c>
      <c r="M1062" s="275">
        <f>IFERROR(__xludf.DUMMYFUNCTION("""COMPUTED_VALUE"""),0.0)</f>
        <v>0</v>
      </c>
      <c r="N1062" s="276">
        <f>IFERROR(__xludf.DUMMYFUNCTION("""COMPUTED_VALUE"""),0.0)</f>
        <v>0</v>
      </c>
      <c r="O1062" s="208">
        <f>IFERROR(__xludf.DUMMYFUNCTION("""COMPUTED_VALUE"""),15.0)</f>
        <v>15</v>
      </c>
      <c r="P1062" s="208">
        <f>IFERROR(__xludf.DUMMYFUNCTION("""COMPUTED_VALUE"""),0.0)</f>
        <v>0</v>
      </c>
      <c r="Q1062" s="276">
        <f>IFERROR(__xludf.DUMMYFUNCTION("""COMPUTED_VALUE"""),0.0023)</f>
        <v>0.0023</v>
      </c>
      <c r="R1062" s="276">
        <f>IFERROR(__xludf.DUMMYFUNCTION("""COMPUTED_VALUE"""),0.0)</f>
        <v>0</v>
      </c>
      <c r="S1062" s="208">
        <f>IFERROR(__xludf.DUMMYFUNCTION("""COMPUTED_VALUE"""),0.0)</f>
        <v>0</v>
      </c>
      <c r="T1062" s="208">
        <f>IFERROR(__xludf.DUMMYFUNCTION("""COMPUTED_VALUE"""),0.0)</f>
        <v>0</v>
      </c>
      <c r="U1062" s="275">
        <f>IFERROR(__xludf.DUMMYFUNCTION("""COMPUTED_VALUE"""),0.0)</f>
        <v>0</v>
      </c>
      <c r="V1062" s="234" t="str">
        <f>IFERROR(__xludf.DUMMYFUNCTION("""COMPUTED_VALUE"""),"offline")</f>
        <v>offline</v>
      </c>
      <c r="W1062" s="232" t="str">
        <f>IFERROR(__xludf.DUMMYFUNCTION("""COMPUTED_VALUE"""),"SMS")</f>
        <v>SMS</v>
      </c>
      <c r="X1062" s="232" t="str">
        <f>IFERROR(__xludf.DUMMYFUNCTION("""COMPUTED_VALUE"""),"City Specific")</f>
        <v>City Specific</v>
      </c>
      <c r="Y1062" s="232" t="str">
        <f>IFERROR(__xludf.DUMMYFUNCTION("""COMPUTED_VALUE"""),"03 July")</f>
        <v>03 July</v>
      </c>
      <c r="Z1062" s="232" t="str">
        <f>IFERROR(__xludf.DUMMYFUNCTION("""COMPUTED_VALUE"""),"6a44bfb3a565844e8fa232a2")</f>
        <v>6a44bfb3a565844e8fa232a2</v>
      </c>
      <c r="AA1062" s="277">
        <f>IFERROR(__xludf.DUMMYFUNCTION("""COMPUTED_VALUE"""),7.0)</f>
        <v>7</v>
      </c>
      <c r="AB1062" s="277"/>
      <c r="AC1062" s="277">
        <f>IFERROR(__xludf.DUMMYFUNCTION("""COMPUTED_VALUE"""),7.0)</f>
        <v>7</v>
      </c>
      <c r="AD1062" s="277">
        <f>IFERROR(__xludf.DUMMYFUNCTION("""COMPUTED_VALUE"""),16080.0)</f>
        <v>16080</v>
      </c>
      <c r="AE1062" s="277"/>
      <c r="AF1062" s="277">
        <f>IFERROR(__xludf.DUMMYFUNCTION("""COMPUTED_VALUE"""),16080.0)</f>
        <v>16080</v>
      </c>
      <c r="AG1062" s="208"/>
      <c r="AH1062" s="208"/>
      <c r="AI1062" s="208"/>
      <c r="AJ1062" s="208"/>
      <c r="AK1062" s="208"/>
    </row>
    <row r="1063">
      <c r="A1063" s="288">
        <f>IFERROR(__xludf.DUMMYFUNCTION("""COMPUTED_VALUE"""),46206.0)</f>
        <v>46206</v>
      </c>
      <c r="B1063" s="274">
        <f>IFERROR(__xludf.DUMMYFUNCTION("""COMPUTED_VALUE"""),0.5)</f>
        <v>0.5</v>
      </c>
      <c r="C1063" s="208" t="str">
        <f>IFERROR(__xludf.DUMMYFUNCTION("""COMPUTED_VALUE"""),"Sms")</f>
        <v>Sms</v>
      </c>
      <c r="D1063" s="208" t="str">
        <f>IFERROR(__xludf.DUMMYFUNCTION("""COMPUTED_VALUE"""),"Fallback campaign")</f>
        <v>Fallback campaign</v>
      </c>
      <c r="E1063" s="208" t="str">
        <f>IFERROR(__xludf.DUMMYFUNCTION("""COMPUTED_VALUE"""),"BBW")</f>
        <v>BBW</v>
      </c>
      <c r="F1063" s="208" t="str">
        <f>IFERROR(__xludf.DUMMYFUNCTION("""COMPUTED_VALUE"""),"B2G2 - July'26 - Entire Store")</f>
        <v>B2G2 - July'26 - Entire Store</v>
      </c>
      <c r="G1063" s="208" t="str">
        <f>IFERROR(__xludf.DUMMYFUNCTION("""COMPUTED_VALUE"""),"bbw_smsfb_b2g2_3july_chenn_offline")</f>
        <v>bbw_smsfb_b2g2_3july_chenn_offline</v>
      </c>
      <c r="H1063" s="232" t="str">
        <f>IFERROR(__xludf.DUMMYFUNCTION("""COMPUTED_VALUE"""),"BBW_OFF_Chennai_Dorm, BBW_OFF_Chennai_Active")</f>
        <v>BBW_OFF_Chennai_Dorm, BBW_OFF_Chennai_Active</v>
      </c>
      <c r="I1063" s="233" t="str">
        <f>IFERROR(__xludf.DUMMYFUNCTION("""COMPUTED_VALUE"""),"WA Undelivered")</f>
        <v>WA Undelivered</v>
      </c>
      <c r="J1063" s="275">
        <f>IFERROR(__xludf.DUMMYFUNCTION("""COMPUTED_VALUE"""),10431.0)</f>
        <v>10431</v>
      </c>
      <c r="K1063" s="275">
        <f>IFERROR(__xludf.DUMMYFUNCTION("""COMPUTED_VALUE"""),6606.0)</f>
        <v>6606</v>
      </c>
      <c r="L1063" s="276">
        <f>IFERROR(__xludf.DUMMYFUNCTION("""COMPUTED_VALUE"""),0.6333)</f>
        <v>0.6333</v>
      </c>
      <c r="M1063" s="275">
        <f>IFERROR(__xludf.DUMMYFUNCTION("""COMPUTED_VALUE"""),0.0)</f>
        <v>0</v>
      </c>
      <c r="N1063" s="276">
        <f>IFERROR(__xludf.DUMMYFUNCTION("""COMPUTED_VALUE"""),0.0)</f>
        <v>0</v>
      </c>
      <c r="O1063" s="208">
        <f>IFERROR(__xludf.DUMMYFUNCTION("""COMPUTED_VALUE"""),4.0)</f>
        <v>4</v>
      </c>
      <c r="P1063" s="208">
        <f>IFERROR(__xludf.DUMMYFUNCTION("""COMPUTED_VALUE"""),0.0)</f>
        <v>0</v>
      </c>
      <c r="Q1063" s="276">
        <f>IFERROR(__xludf.DUMMYFUNCTION("""COMPUTED_VALUE"""),6.0E-4)</f>
        <v>0.0006</v>
      </c>
      <c r="R1063" s="276">
        <f>IFERROR(__xludf.DUMMYFUNCTION("""COMPUTED_VALUE"""),0.0)</f>
        <v>0</v>
      </c>
      <c r="S1063" s="208">
        <f>IFERROR(__xludf.DUMMYFUNCTION("""COMPUTED_VALUE"""),0.0)</f>
        <v>0</v>
      </c>
      <c r="T1063" s="208">
        <f>IFERROR(__xludf.DUMMYFUNCTION("""COMPUTED_VALUE"""),3.0)</f>
        <v>3</v>
      </c>
      <c r="U1063" s="275">
        <f>IFERROR(__xludf.DUMMYFUNCTION("""COMPUTED_VALUE"""),0.0)</f>
        <v>0</v>
      </c>
      <c r="V1063" s="234" t="str">
        <f>IFERROR(__xludf.DUMMYFUNCTION("""COMPUTED_VALUE"""),"offline")</f>
        <v>offline</v>
      </c>
      <c r="W1063" s="232" t="str">
        <f>IFERROR(__xludf.DUMMYFUNCTION("""COMPUTED_VALUE"""),"SMS")</f>
        <v>SMS</v>
      </c>
      <c r="X1063" s="232" t="str">
        <f>IFERROR(__xludf.DUMMYFUNCTION("""COMPUTED_VALUE"""),"City Specific")</f>
        <v>City Specific</v>
      </c>
      <c r="Y1063" s="232" t="str">
        <f>IFERROR(__xludf.DUMMYFUNCTION("""COMPUTED_VALUE"""),"03 July")</f>
        <v>03 July</v>
      </c>
      <c r="Z1063" s="232" t="str">
        <f>IFERROR(__xludf.DUMMYFUNCTION("""COMPUTED_VALUE"""),"6a44c0059d4eee61f94096a1")</f>
        <v>6a44c0059d4eee61f94096a1</v>
      </c>
      <c r="AA1063" s="277">
        <f>IFERROR(__xludf.DUMMYFUNCTION("""COMPUTED_VALUE"""),8.0)</f>
        <v>8</v>
      </c>
      <c r="AB1063" s="277"/>
      <c r="AC1063" s="277">
        <f>IFERROR(__xludf.DUMMYFUNCTION("""COMPUTED_VALUE"""),8.0)</f>
        <v>8</v>
      </c>
      <c r="AD1063" s="277">
        <f>IFERROR(__xludf.DUMMYFUNCTION("""COMPUTED_VALUE"""),46638.0)</f>
        <v>46638</v>
      </c>
      <c r="AE1063" s="277"/>
      <c r="AF1063" s="277">
        <f>IFERROR(__xludf.DUMMYFUNCTION("""COMPUTED_VALUE"""),46638.0)</f>
        <v>46638</v>
      </c>
      <c r="AG1063" s="208"/>
      <c r="AH1063" s="208"/>
      <c r="AI1063" s="208"/>
      <c r="AJ1063" s="208"/>
      <c r="AK1063" s="208"/>
    </row>
    <row r="1064">
      <c r="A1064" s="288">
        <f>IFERROR(__xludf.DUMMYFUNCTION("""COMPUTED_VALUE"""),46206.0)</f>
        <v>46206</v>
      </c>
      <c r="B1064" s="274">
        <f>IFERROR(__xludf.DUMMYFUNCTION("""COMPUTED_VALUE"""),0.5)</f>
        <v>0.5</v>
      </c>
      <c r="C1064" s="208" t="str">
        <f>IFERROR(__xludf.DUMMYFUNCTION("""COMPUTED_VALUE"""),"Sms")</f>
        <v>Sms</v>
      </c>
      <c r="D1064" s="208" t="str">
        <f>IFERROR(__xludf.DUMMYFUNCTION("""COMPUTED_VALUE"""),"Fallback campaign")</f>
        <v>Fallback campaign</v>
      </c>
      <c r="E1064" s="208" t="str">
        <f>IFERROR(__xludf.DUMMYFUNCTION("""COMPUTED_VALUE"""),"BBW")</f>
        <v>BBW</v>
      </c>
      <c r="F1064" s="208" t="str">
        <f>IFERROR(__xludf.DUMMYFUNCTION("""COMPUTED_VALUE"""),"B2G2 - July'26 - Entire Store")</f>
        <v>B2G2 - July'26 - Entire Store</v>
      </c>
      <c r="G1064" s="208" t="str">
        <f>IFERROR(__xludf.DUMMYFUNCTION("""COMPUTED_VALUE"""),"bbw_smsfb_b2g2_3july_ggn_offline")</f>
        <v>bbw_smsfb_b2g2_3july_ggn_offline</v>
      </c>
      <c r="H1064" s="232" t="str">
        <f>IFERROR(__xludf.DUMMYFUNCTION("""COMPUTED_VALUE"""),"BBW_OFF_GGN_Active, BBW_OFF_GGN_Dorm")</f>
        <v>BBW_OFF_GGN_Active, BBW_OFF_GGN_Dorm</v>
      </c>
      <c r="I1064" s="233" t="str">
        <f>IFERROR(__xludf.DUMMYFUNCTION("""COMPUTED_VALUE"""),"WA Undelivered")</f>
        <v>WA Undelivered</v>
      </c>
      <c r="J1064" s="275">
        <f>IFERROR(__xludf.DUMMYFUNCTION("""COMPUTED_VALUE"""),8616.0)</f>
        <v>8616</v>
      </c>
      <c r="K1064" s="275">
        <f>IFERROR(__xludf.DUMMYFUNCTION("""COMPUTED_VALUE"""),4335.0)</f>
        <v>4335</v>
      </c>
      <c r="L1064" s="276">
        <f>IFERROR(__xludf.DUMMYFUNCTION("""COMPUTED_VALUE"""),0.5031)</f>
        <v>0.5031</v>
      </c>
      <c r="M1064" s="275">
        <f>IFERROR(__xludf.DUMMYFUNCTION("""COMPUTED_VALUE"""),0.0)</f>
        <v>0</v>
      </c>
      <c r="N1064" s="276">
        <f>IFERROR(__xludf.DUMMYFUNCTION("""COMPUTED_VALUE"""),0.0)</f>
        <v>0</v>
      </c>
      <c r="O1064" s="208">
        <f>IFERROR(__xludf.DUMMYFUNCTION("""COMPUTED_VALUE"""),8.0)</f>
        <v>8</v>
      </c>
      <c r="P1064" s="208">
        <f>IFERROR(__xludf.DUMMYFUNCTION("""COMPUTED_VALUE"""),0.0)</f>
        <v>0</v>
      </c>
      <c r="Q1064" s="276">
        <f>IFERROR(__xludf.DUMMYFUNCTION("""COMPUTED_VALUE"""),0.0018)</f>
        <v>0.0018</v>
      </c>
      <c r="R1064" s="276">
        <f>IFERROR(__xludf.DUMMYFUNCTION("""COMPUTED_VALUE"""),0.0)</f>
        <v>0</v>
      </c>
      <c r="S1064" s="208">
        <f>IFERROR(__xludf.DUMMYFUNCTION("""COMPUTED_VALUE"""),0.0)</f>
        <v>0</v>
      </c>
      <c r="T1064" s="208">
        <f>IFERROR(__xludf.DUMMYFUNCTION("""COMPUTED_VALUE"""),0.0)</f>
        <v>0</v>
      </c>
      <c r="U1064" s="275">
        <f>IFERROR(__xludf.DUMMYFUNCTION("""COMPUTED_VALUE"""),0.0)</f>
        <v>0</v>
      </c>
      <c r="V1064" s="234" t="str">
        <f>IFERROR(__xludf.DUMMYFUNCTION("""COMPUTED_VALUE"""),"offline")</f>
        <v>offline</v>
      </c>
      <c r="W1064" s="232" t="str">
        <f>IFERROR(__xludf.DUMMYFUNCTION("""COMPUTED_VALUE"""),"SMS")</f>
        <v>SMS</v>
      </c>
      <c r="X1064" s="232" t="str">
        <f>IFERROR(__xludf.DUMMYFUNCTION("""COMPUTED_VALUE"""),"City Specific")</f>
        <v>City Specific</v>
      </c>
      <c r="Y1064" s="232" t="str">
        <f>IFERROR(__xludf.DUMMYFUNCTION("""COMPUTED_VALUE"""),"03 July")</f>
        <v>03 July</v>
      </c>
      <c r="Z1064" s="232" t="str">
        <f>IFERROR(__xludf.DUMMYFUNCTION("""COMPUTED_VALUE"""),"6a44c0d8e534622fa1289b35")</f>
        <v>6a44c0d8e534622fa1289b35</v>
      </c>
      <c r="AA1064" s="277">
        <f>IFERROR(__xludf.DUMMYFUNCTION("""COMPUTED_VALUE"""),9.0)</f>
        <v>9</v>
      </c>
      <c r="AB1064" s="277"/>
      <c r="AC1064" s="277">
        <f>IFERROR(__xludf.DUMMYFUNCTION("""COMPUTED_VALUE"""),9.0)</f>
        <v>9</v>
      </c>
      <c r="AD1064" s="277">
        <f>IFERROR(__xludf.DUMMYFUNCTION("""COMPUTED_VALUE"""),49558.0)</f>
        <v>49558</v>
      </c>
      <c r="AE1064" s="277"/>
      <c r="AF1064" s="277">
        <f>IFERROR(__xludf.DUMMYFUNCTION("""COMPUTED_VALUE"""),49558.0)</f>
        <v>49558</v>
      </c>
      <c r="AG1064" s="208"/>
      <c r="AH1064" s="208"/>
      <c r="AI1064" s="208"/>
      <c r="AJ1064" s="208"/>
      <c r="AK1064" s="208"/>
    </row>
    <row r="1065">
      <c r="A1065" s="288">
        <f>IFERROR(__xludf.DUMMYFUNCTION("""COMPUTED_VALUE"""),46206.0)</f>
        <v>46206</v>
      </c>
      <c r="B1065" s="274">
        <f>IFERROR(__xludf.DUMMYFUNCTION("""COMPUTED_VALUE"""),0.5)</f>
        <v>0.5</v>
      </c>
      <c r="C1065" s="208" t="str">
        <f>IFERROR(__xludf.DUMMYFUNCTION("""COMPUTED_VALUE"""),"Sms")</f>
        <v>Sms</v>
      </c>
      <c r="D1065" s="208" t="str">
        <f>IFERROR(__xludf.DUMMYFUNCTION("""COMPUTED_VALUE"""),"Fallback campaign")</f>
        <v>Fallback campaign</v>
      </c>
      <c r="E1065" s="208" t="str">
        <f>IFERROR(__xludf.DUMMYFUNCTION("""COMPUTED_VALUE"""),"BBW")</f>
        <v>BBW</v>
      </c>
      <c r="F1065" s="208" t="str">
        <f>IFERROR(__xludf.DUMMYFUNCTION("""COMPUTED_VALUE"""),"B2G2 - July'26 - Entire Store")</f>
        <v>B2G2 - July'26 - Entire Store</v>
      </c>
      <c r="G1065" s="208" t="str">
        <f>IFERROR(__xludf.DUMMYFUNCTION("""COMPUTED_VALUE"""),"bbw_smsfb_b2g2_3july_pune_offline")</f>
        <v>bbw_smsfb_b2g2_3july_pune_offline</v>
      </c>
      <c r="H1065" s="232" t="str">
        <f>IFERROR(__xludf.DUMMYFUNCTION("""COMPUTED_VALUE"""),"BBW_OFF_PUNE_Active, BBW_OFF_PUNE_Dorm")</f>
        <v>BBW_OFF_PUNE_Active, BBW_OFF_PUNE_Dorm</v>
      </c>
      <c r="I1065" s="233" t="str">
        <f>IFERROR(__xludf.DUMMYFUNCTION("""COMPUTED_VALUE"""),"WA Undelivered")</f>
        <v>WA Undelivered</v>
      </c>
      <c r="J1065" s="275">
        <f>IFERROR(__xludf.DUMMYFUNCTION("""COMPUTED_VALUE"""),6039.0)</f>
        <v>6039</v>
      </c>
      <c r="K1065" s="275">
        <f>IFERROR(__xludf.DUMMYFUNCTION("""COMPUTED_VALUE"""),3458.0)</f>
        <v>3458</v>
      </c>
      <c r="L1065" s="276">
        <f>IFERROR(__xludf.DUMMYFUNCTION("""COMPUTED_VALUE"""),0.5726)</f>
        <v>0.5726</v>
      </c>
      <c r="M1065" s="275">
        <f>IFERROR(__xludf.DUMMYFUNCTION("""COMPUTED_VALUE"""),0.0)</f>
        <v>0</v>
      </c>
      <c r="N1065" s="276">
        <f>IFERROR(__xludf.DUMMYFUNCTION("""COMPUTED_VALUE"""),0.0)</f>
        <v>0</v>
      </c>
      <c r="O1065" s="208">
        <f>IFERROR(__xludf.DUMMYFUNCTION("""COMPUTED_VALUE"""),5.0)</f>
        <v>5</v>
      </c>
      <c r="P1065" s="208">
        <f>IFERROR(__xludf.DUMMYFUNCTION("""COMPUTED_VALUE"""),0.0)</f>
        <v>0</v>
      </c>
      <c r="Q1065" s="276">
        <f>IFERROR(__xludf.DUMMYFUNCTION("""COMPUTED_VALUE"""),0.0014)</f>
        <v>0.0014</v>
      </c>
      <c r="R1065" s="276">
        <f>IFERROR(__xludf.DUMMYFUNCTION("""COMPUTED_VALUE"""),0.0)</f>
        <v>0</v>
      </c>
      <c r="S1065" s="208">
        <f>IFERROR(__xludf.DUMMYFUNCTION("""COMPUTED_VALUE"""),0.0)</f>
        <v>0</v>
      </c>
      <c r="T1065" s="208">
        <f>IFERROR(__xludf.DUMMYFUNCTION("""COMPUTED_VALUE"""),1.0)</f>
        <v>1</v>
      </c>
      <c r="U1065" s="275">
        <f>IFERROR(__xludf.DUMMYFUNCTION("""COMPUTED_VALUE"""),0.0)</f>
        <v>0</v>
      </c>
      <c r="V1065" s="234" t="str">
        <f>IFERROR(__xludf.DUMMYFUNCTION("""COMPUTED_VALUE"""),"offline")</f>
        <v>offline</v>
      </c>
      <c r="W1065" s="232" t="str">
        <f>IFERROR(__xludf.DUMMYFUNCTION("""COMPUTED_VALUE"""),"SMS")</f>
        <v>SMS</v>
      </c>
      <c r="X1065" s="232" t="str">
        <f>IFERROR(__xludf.DUMMYFUNCTION("""COMPUTED_VALUE"""),"City Specific")</f>
        <v>City Specific</v>
      </c>
      <c r="Y1065" s="232" t="str">
        <f>IFERROR(__xludf.DUMMYFUNCTION("""COMPUTED_VALUE"""),"03 July")</f>
        <v>03 July</v>
      </c>
      <c r="Z1065" s="232" t="str">
        <f>IFERROR(__xludf.DUMMYFUNCTION("""COMPUTED_VALUE"""),"6a44c13914ea7d779a0020ef")</f>
        <v>6a44c13914ea7d779a0020ef</v>
      </c>
      <c r="AA1065" s="277">
        <f>IFERROR(__xludf.DUMMYFUNCTION("""COMPUTED_VALUE"""),7.0)</f>
        <v>7</v>
      </c>
      <c r="AB1065" s="277"/>
      <c r="AC1065" s="277">
        <f>IFERROR(__xludf.DUMMYFUNCTION("""COMPUTED_VALUE"""),7.0)</f>
        <v>7</v>
      </c>
      <c r="AD1065" s="277">
        <f>IFERROR(__xludf.DUMMYFUNCTION("""COMPUTED_VALUE"""),20760.0)</f>
        <v>20760</v>
      </c>
      <c r="AE1065" s="277"/>
      <c r="AF1065" s="277">
        <f>IFERROR(__xludf.DUMMYFUNCTION("""COMPUTED_VALUE"""),20760.0)</f>
        <v>20760</v>
      </c>
      <c r="AG1065" s="208"/>
      <c r="AH1065" s="208"/>
      <c r="AI1065" s="208"/>
      <c r="AJ1065" s="208"/>
      <c r="AK1065" s="208"/>
    </row>
    <row r="1066">
      <c r="A1066" s="288">
        <f>IFERROR(__xludf.DUMMYFUNCTION("""COMPUTED_VALUE"""),46207.0)</f>
        <v>46207</v>
      </c>
      <c r="B1066" s="274">
        <f>IFERROR(__xludf.DUMMYFUNCTION("""COMPUTED_VALUE"""),0.5416666666678793)</f>
        <v>0.5416666667</v>
      </c>
      <c r="C1066" s="208" t="str">
        <f>IFERROR(__xludf.DUMMYFUNCTION("""COMPUTED_VALUE"""),"Sms")</f>
        <v>Sms</v>
      </c>
      <c r="D1066" s="208" t="str">
        <f>IFERROR(__xludf.DUMMYFUNCTION("""COMPUTED_VALUE"""),"Fallback campaign")</f>
        <v>Fallback campaign</v>
      </c>
      <c r="E1066" s="208" t="str">
        <f>IFERROR(__xludf.DUMMYFUNCTION("""COMPUTED_VALUE"""),"BBW")</f>
        <v>BBW</v>
      </c>
      <c r="F1066" s="208" t="str">
        <f>IFERROR(__xludf.DUMMYFUNCTION("""COMPUTED_VALUE"""),"B2G2 - July'26 - Entire Store")</f>
        <v>B2G2 - July'26 - Entire Store</v>
      </c>
      <c r="G1066" s="208" t="str">
        <f>IFERROR(__xludf.DUMMYFUNCTION("""COMPUTED_VALUE"""),"bbw_smsfb_b2g2_4july_lastreminder_blr_offline")</f>
        <v>bbw_smsfb_b2g2_4july_lastreminder_blr_offline</v>
      </c>
      <c r="H1066" s="232" t="str">
        <f>IFERROR(__xludf.DUMMYFUNCTION("""COMPUTED_VALUE"""),"BBW_OFF_BLR_Active, BBW_OFF_BLR_Dorm")</f>
        <v>BBW_OFF_BLR_Active, BBW_OFF_BLR_Dorm</v>
      </c>
      <c r="I1066" s="233" t="str">
        <f>IFERROR(__xludf.DUMMYFUNCTION("""COMPUTED_VALUE"""),"WA Undelivered")</f>
        <v>WA Undelivered</v>
      </c>
      <c r="J1066" s="275">
        <f>IFERROR(__xludf.DUMMYFUNCTION("""COMPUTED_VALUE"""),51700.0)</f>
        <v>51700</v>
      </c>
      <c r="K1066" s="275">
        <f>IFERROR(__xludf.DUMMYFUNCTION("""COMPUTED_VALUE"""),29307.0)</f>
        <v>29307</v>
      </c>
      <c r="L1066" s="276">
        <f>IFERROR(__xludf.DUMMYFUNCTION("""COMPUTED_VALUE"""),0.5669)</f>
        <v>0.5669</v>
      </c>
      <c r="M1066" s="275">
        <f>IFERROR(__xludf.DUMMYFUNCTION("""COMPUTED_VALUE"""),0.0)</f>
        <v>0</v>
      </c>
      <c r="N1066" s="276">
        <f>IFERROR(__xludf.DUMMYFUNCTION("""COMPUTED_VALUE"""),0.0)</f>
        <v>0</v>
      </c>
      <c r="O1066" s="208">
        <f>IFERROR(__xludf.DUMMYFUNCTION("""COMPUTED_VALUE"""),13.0)</f>
        <v>13</v>
      </c>
      <c r="P1066" s="208">
        <f>IFERROR(__xludf.DUMMYFUNCTION("""COMPUTED_VALUE"""),0.0)</f>
        <v>0</v>
      </c>
      <c r="Q1066" s="276">
        <f>IFERROR(__xludf.DUMMYFUNCTION("""COMPUTED_VALUE"""),4.0E-4)</f>
        <v>0.0004</v>
      </c>
      <c r="R1066" s="276">
        <f>IFERROR(__xludf.DUMMYFUNCTION("""COMPUTED_VALUE"""),0.0)</f>
        <v>0</v>
      </c>
      <c r="S1066" s="208">
        <f>IFERROR(__xludf.DUMMYFUNCTION("""COMPUTED_VALUE"""),0.0)</f>
        <v>0</v>
      </c>
      <c r="T1066" s="208">
        <f>IFERROR(__xludf.DUMMYFUNCTION("""COMPUTED_VALUE"""),5.0)</f>
        <v>5</v>
      </c>
      <c r="U1066" s="275">
        <f>IFERROR(__xludf.DUMMYFUNCTION("""COMPUTED_VALUE"""),0.0)</f>
        <v>0</v>
      </c>
      <c r="V1066" s="234" t="str">
        <f>IFERROR(__xludf.DUMMYFUNCTION("""COMPUTED_VALUE"""),"offline")</f>
        <v>offline</v>
      </c>
      <c r="W1066" s="232" t="str">
        <f>IFERROR(__xludf.DUMMYFUNCTION("""COMPUTED_VALUE"""),"SMS")</f>
        <v>SMS</v>
      </c>
      <c r="X1066" s="232" t="str">
        <f>IFERROR(__xludf.DUMMYFUNCTION("""COMPUTED_VALUE"""),"City Specific")</f>
        <v>City Specific</v>
      </c>
      <c r="Y1066" s="232" t="str">
        <f>IFERROR(__xludf.DUMMYFUNCTION("""COMPUTED_VALUE"""),"04 July")</f>
        <v>04 July</v>
      </c>
      <c r="Z1066" s="232" t="str">
        <f>IFERROR(__xludf.DUMMYFUNCTION("""COMPUTED_VALUE"""),"6a44c1b288f624782a87d45e")</f>
        <v>6a44c1b288f624782a87d45e</v>
      </c>
      <c r="AA1066" s="277">
        <f>IFERROR(__xludf.DUMMYFUNCTION("""COMPUTED_VALUE"""),96.0)</f>
        <v>96</v>
      </c>
      <c r="AB1066" s="277"/>
      <c r="AC1066" s="277">
        <f>IFERROR(__xludf.DUMMYFUNCTION("""COMPUTED_VALUE"""),96.0)</f>
        <v>96</v>
      </c>
      <c r="AD1066" s="277">
        <f>IFERROR(__xludf.DUMMYFUNCTION("""COMPUTED_VALUE"""),348708.0)</f>
        <v>348708</v>
      </c>
      <c r="AE1066" s="277"/>
      <c r="AF1066" s="277">
        <f>IFERROR(__xludf.DUMMYFUNCTION("""COMPUTED_VALUE"""),348708.0)</f>
        <v>348708</v>
      </c>
      <c r="AG1066" s="208"/>
      <c r="AH1066" s="208"/>
      <c r="AI1066" s="208"/>
      <c r="AJ1066" s="208"/>
      <c r="AK1066" s="208"/>
    </row>
    <row r="1067">
      <c r="A1067" s="288">
        <f>IFERROR(__xludf.DUMMYFUNCTION("""COMPUTED_VALUE"""),46207.0)</f>
        <v>46207</v>
      </c>
      <c r="B1067" s="274">
        <f>IFERROR(__xludf.DUMMYFUNCTION("""COMPUTED_VALUE"""),0.5416666666678793)</f>
        <v>0.5416666667</v>
      </c>
      <c r="C1067" s="208" t="str">
        <f>IFERROR(__xludf.DUMMYFUNCTION("""COMPUTED_VALUE"""),"Sms")</f>
        <v>Sms</v>
      </c>
      <c r="D1067" s="208" t="str">
        <f>IFERROR(__xludf.DUMMYFUNCTION("""COMPUTED_VALUE"""),"Fallback campaign")</f>
        <v>Fallback campaign</v>
      </c>
      <c r="E1067" s="208" t="str">
        <f>IFERROR(__xludf.DUMMYFUNCTION("""COMPUTED_VALUE"""),"BBW")</f>
        <v>BBW</v>
      </c>
      <c r="F1067" s="208" t="str">
        <f>IFERROR(__xludf.DUMMYFUNCTION("""COMPUTED_VALUE"""),"B2G2 - July'26 - Entire Store")</f>
        <v>B2G2 - July'26 - Entire Store</v>
      </c>
      <c r="G1067" s="208" t="str">
        <f>IFERROR(__xludf.DUMMYFUNCTION("""COMPUTED_VALUE"""),"bbw_smsfb_b2g2_4july_lastreminder_del_offline")</f>
        <v>bbw_smsfb_b2g2_4july_lastreminder_del_offline</v>
      </c>
      <c r="H1067" s="232" t="str">
        <f>IFERROR(__xludf.DUMMYFUNCTION("""COMPUTED_VALUE"""),"BBW_OFF_DEL_Active, BBW_OFF_DEL_Dorm")</f>
        <v>BBW_OFF_DEL_Active, BBW_OFF_DEL_Dorm</v>
      </c>
      <c r="I1067" s="233" t="str">
        <f>IFERROR(__xludf.DUMMYFUNCTION("""COMPUTED_VALUE"""),"WA Undelivered")</f>
        <v>WA Undelivered</v>
      </c>
      <c r="J1067" s="275">
        <f>IFERROR(__xludf.DUMMYFUNCTION("""COMPUTED_VALUE"""),35861.0)</f>
        <v>35861</v>
      </c>
      <c r="K1067" s="275">
        <f>IFERROR(__xludf.DUMMYFUNCTION("""COMPUTED_VALUE"""),19334.0)</f>
        <v>19334</v>
      </c>
      <c r="L1067" s="276">
        <f>IFERROR(__xludf.DUMMYFUNCTION("""COMPUTED_VALUE"""),0.5391)</f>
        <v>0.5391</v>
      </c>
      <c r="M1067" s="275">
        <f>IFERROR(__xludf.DUMMYFUNCTION("""COMPUTED_VALUE"""),0.0)</f>
        <v>0</v>
      </c>
      <c r="N1067" s="276">
        <f>IFERROR(__xludf.DUMMYFUNCTION("""COMPUTED_VALUE"""),0.0)</f>
        <v>0</v>
      </c>
      <c r="O1067" s="208">
        <f>IFERROR(__xludf.DUMMYFUNCTION("""COMPUTED_VALUE"""),41.0)</f>
        <v>41</v>
      </c>
      <c r="P1067" s="208">
        <f>IFERROR(__xludf.DUMMYFUNCTION("""COMPUTED_VALUE"""),0.0)</f>
        <v>0</v>
      </c>
      <c r="Q1067" s="276">
        <f>IFERROR(__xludf.DUMMYFUNCTION("""COMPUTED_VALUE"""),0.0021)</f>
        <v>0.0021</v>
      </c>
      <c r="R1067" s="276">
        <f>IFERROR(__xludf.DUMMYFUNCTION("""COMPUTED_VALUE"""),0.0)</f>
        <v>0</v>
      </c>
      <c r="S1067" s="208">
        <f>IFERROR(__xludf.DUMMYFUNCTION("""COMPUTED_VALUE"""),2.0)</f>
        <v>2</v>
      </c>
      <c r="T1067" s="208">
        <f>IFERROR(__xludf.DUMMYFUNCTION("""COMPUTED_VALUE"""),9.0)</f>
        <v>9</v>
      </c>
      <c r="U1067" s="275">
        <f>IFERROR(__xludf.DUMMYFUNCTION("""COMPUTED_VALUE"""),5394.0)</f>
        <v>5394</v>
      </c>
      <c r="V1067" s="234" t="str">
        <f>IFERROR(__xludf.DUMMYFUNCTION("""COMPUTED_VALUE"""),"offline")</f>
        <v>offline</v>
      </c>
      <c r="W1067" s="232" t="str">
        <f>IFERROR(__xludf.DUMMYFUNCTION("""COMPUTED_VALUE"""),"SMS")</f>
        <v>SMS</v>
      </c>
      <c r="X1067" s="232" t="str">
        <f>IFERROR(__xludf.DUMMYFUNCTION("""COMPUTED_VALUE"""),"City Specific")</f>
        <v>City Specific</v>
      </c>
      <c r="Y1067" s="232" t="str">
        <f>IFERROR(__xludf.DUMMYFUNCTION("""COMPUTED_VALUE"""),"04 July")</f>
        <v>04 July</v>
      </c>
      <c r="Z1067" s="232" t="str">
        <f>IFERROR(__xludf.DUMMYFUNCTION("""COMPUTED_VALUE"""),"6a44c27fa8d91a4a7e45e95f")</f>
        <v>6a44c27fa8d91a4a7e45e95f</v>
      </c>
      <c r="AA1067" s="277">
        <f>IFERROR(__xludf.DUMMYFUNCTION("""COMPUTED_VALUE"""),67.0)</f>
        <v>67</v>
      </c>
      <c r="AB1067" s="277"/>
      <c r="AC1067" s="277">
        <f>IFERROR(__xludf.DUMMYFUNCTION("""COMPUTED_VALUE"""),67.0)</f>
        <v>67</v>
      </c>
      <c r="AD1067" s="277">
        <f>IFERROR(__xludf.DUMMYFUNCTION("""COMPUTED_VALUE"""),288657.0)</f>
        <v>288657</v>
      </c>
      <c r="AE1067" s="277"/>
      <c r="AF1067" s="277">
        <f>IFERROR(__xludf.DUMMYFUNCTION("""COMPUTED_VALUE"""),288657.0)</f>
        <v>288657</v>
      </c>
      <c r="AG1067" s="208"/>
      <c r="AH1067" s="208"/>
      <c r="AI1067" s="208"/>
      <c r="AJ1067" s="208"/>
      <c r="AK1067" s="208"/>
    </row>
    <row r="1068">
      <c r="A1068" s="288">
        <f>IFERROR(__xludf.DUMMYFUNCTION("""COMPUTED_VALUE"""),46207.0)</f>
        <v>46207</v>
      </c>
      <c r="B1068" s="274">
        <f>IFERROR(__xludf.DUMMYFUNCTION("""COMPUTED_VALUE"""),0.5416666666678793)</f>
        <v>0.5416666667</v>
      </c>
      <c r="C1068" s="208" t="str">
        <f>IFERROR(__xludf.DUMMYFUNCTION("""COMPUTED_VALUE"""),"Sms")</f>
        <v>Sms</v>
      </c>
      <c r="D1068" s="208" t="str">
        <f>IFERROR(__xludf.DUMMYFUNCTION("""COMPUTED_VALUE"""),"Fallback campaign")</f>
        <v>Fallback campaign</v>
      </c>
      <c r="E1068" s="208" t="str">
        <f>IFERROR(__xludf.DUMMYFUNCTION("""COMPUTED_VALUE"""),"BBW")</f>
        <v>BBW</v>
      </c>
      <c r="F1068" s="208" t="str">
        <f>IFERROR(__xludf.DUMMYFUNCTION("""COMPUTED_VALUE"""),"B2G2 - July'26 - Entire Store")</f>
        <v>B2G2 - July'26 - Entire Store</v>
      </c>
      <c r="G1068" s="208" t="str">
        <f>IFERROR(__xludf.DUMMYFUNCTION("""COMPUTED_VALUE"""),"bbw_smsfb_b2g2_4july_lastreminder_bom_offline")</f>
        <v>bbw_smsfb_b2g2_4july_lastreminder_bom_offline</v>
      </c>
      <c r="H1068" s="232" t="str">
        <f>IFERROR(__xludf.DUMMYFUNCTION("""COMPUTED_VALUE"""),"BBW_OFF_BOM_Dorm, BBW_OFF_BOM_Active")</f>
        <v>BBW_OFF_BOM_Dorm, BBW_OFF_BOM_Active</v>
      </c>
      <c r="I1068" s="233" t="str">
        <f>IFERROR(__xludf.DUMMYFUNCTION("""COMPUTED_VALUE"""),"WA Undelivered")</f>
        <v>WA Undelivered</v>
      </c>
      <c r="J1068" s="275">
        <f>IFERROR(__xludf.DUMMYFUNCTION("""COMPUTED_VALUE"""),28214.0)</f>
        <v>28214</v>
      </c>
      <c r="K1068" s="275">
        <f>IFERROR(__xludf.DUMMYFUNCTION("""COMPUTED_VALUE"""),14869.0)</f>
        <v>14869</v>
      </c>
      <c r="L1068" s="276">
        <f>IFERROR(__xludf.DUMMYFUNCTION("""COMPUTED_VALUE"""),0.527)</f>
        <v>0.527</v>
      </c>
      <c r="M1068" s="275">
        <f>IFERROR(__xludf.DUMMYFUNCTION("""COMPUTED_VALUE"""),0.0)</f>
        <v>0</v>
      </c>
      <c r="N1068" s="276">
        <f>IFERROR(__xludf.DUMMYFUNCTION("""COMPUTED_VALUE"""),0.0)</f>
        <v>0</v>
      </c>
      <c r="O1068" s="208">
        <f>IFERROR(__xludf.DUMMYFUNCTION("""COMPUTED_VALUE"""),36.0)</f>
        <v>36</v>
      </c>
      <c r="P1068" s="208">
        <f>IFERROR(__xludf.DUMMYFUNCTION("""COMPUTED_VALUE"""),0.0)</f>
        <v>0</v>
      </c>
      <c r="Q1068" s="276">
        <f>IFERROR(__xludf.DUMMYFUNCTION("""COMPUTED_VALUE"""),0.0024)</f>
        <v>0.0024</v>
      </c>
      <c r="R1068" s="276">
        <f>IFERROR(__xludf.DUMMYFUNCTION("""COMPUTED_VALUE"""),0.0)</f>
        <v>0</v>
      </c>
      <c r="S1068" s="208">
        <f>IFERROR(__xludf.DUMMYFUNCTION("""COMPUTED_VALUE"""),4.0)</f>
        <v>4</v>
      </c>
      <c r="T1068" s="208">
        <f>IFERROR(__xludf.DUMMYFUNCTION("""COMPUTED_VALUE"""),5.0)</f>
        <v>5</v>
      </c>
      <c r="U1068" s="275">
        <f>IFERROR(__xludf.DUMMYFUNCTION("""COMPUTED_VALUE"""),28048.0)</f>
        <v>28048</v>
      </c>
      <c r="V1068" s="234" t="str">
        <f>IFERROR(__xludf.DUMMYFUNCTION("""COMPUTED_VALUE"""),"offline")</f>
        <v>offline</v>
      </c>
      <c r="W1068" s="232" t="str">
        <f>IFERROR(__xludf.DUMMYFUNCTION("""COMPUTED_VALUE"""),"SMS")</f>
        <v>SMS</v>
      </c>
      <c r="X1068" s="232" t="str">
        <f>IFERROR(__xludf.DUMMYFUNCTION("""COMPUTED_VALUE"""),"City Specific")</f>
        <v>City Specific</v>
      </c>
      <c r="Y1068" s="232" t="str">
        <f>IFERROR(__xludf.DUMMYFUNCTION("""COMPUTED_VALUE"""),"04 July")</f>
        <v>04 July</v>
      </c>
      <c r="Z1068" s="232" t="str">
        <f>IFERROR(__xludf.DUMMYFUNCTION("""COMPUTED_VALUE"""),"6a44c2b9d8915321e130487a")</f>
        <v>6a44c2b9d8915321e130487a</v>
      </c>
      <c r="AA1068" s="277">
        <f>IFERROR(__xludf.DUMMYFUNCTION("""COMPUTED_VALUE"""),39.0)</f>
        <v>39</v>
      </c>
      <c r="AB1068" s="277"/>
      <c r="AC1068" s="277">
        <f>IFERROR(__xludf.DUMMYFUNCTION("""COMPUTED_VALUE"""),39.0)</f>
        <v>39</v>
      </c>
      <c r="AD1068" s="277">
        <f>IFERROR(__xludf.DUMMYFUNCTION("""COMPUTED_VALUE"""),97596.0)</f>
        <v>97596</v>
      </c>
      <c r="AE1068" s="277"/>
      <c r="AF1068" s="277">
        <f>IFERROR(__xludf.DUMMYFUNCTION("""COMPUTED_VALUE"""),97596.0)</f>
        <v>97596</v>
      </c>
      <c r="AG1068" s="208"/>
      <c r="AH1068" s="208"/>
      <c r="AI1068" s="208"/>
      <c r="AJ1068" s="208"/>
      <c r="AK1068" s="208"/>
    </row>
    <row r="1069">
      <c r="A1069" s="288">
        <f>IFERROR(__xludf.DUMMYFUNCTION("""COMPUTED_VALUE"""),46207.0)</f>
        <v>46207</v>
      </c>
      <c r="B1069" s="274">
        <f>IFERROR(__xludf.DUMMYFUNCTION("""COMPUTED_VALUE"""),0.5416666666678793)</f>
        <v>0.5416666667</v>
      </c>
      <c r="C1069" s="208" t="str">
        <f>IFERROR(__xludf.DUMMYFUNCTION("""COMPUTED_VALUE"""),"Sms")</f>
        <v>Sms</v>
      </c>
      <c r="D1069" s="208" t="str">
        <f>IFERROR(__xludf.DUMMYFUNCTION("""COMPUTED_VALUE"""),"Fallback campaign")</f>
        <v>Fallback campaign</v>
      </c>
      <c r="E1069" s="208" t="str">
        <f>IFERROR(__xludf.DUMMYFUNCTION("""COMPUTED_VALUE"""),"BBW")</f>
        <v>BBW</v>
      </c>
      <c r="F1069" s="208" t="str">
        <f>IFERROR(__xludf.DUMMYFUNCTION("""COMPUTED_VALUE"""),"B2G2 - July'26 - Entire Store")</f>
        <v>B2G2 - July'26 - Entire Store</v>
      </c>
      <c r="G1069" s="208" t="str">
        <f>IFERROR(__xludf.DUMMYFUNCTION("""COMPUTED_VALUE"""),"bbw_smsfb_b2g2_4july_lastreminder_hyd_offline")</f>
        <v>bbw_smsfb_b2g2_4july_lastreminder_hyd_offline</v>
      </c>
      <c r="H1069" s="232" t="str">
        <f>IFERROR(__xludf.DUMMYFUNCTION("""COMPUTED_VALUE"""),"BBW_OFF_HYD_Active, BBW_OFF_HYD_Dorm")</f>
        <v>BBW_OFF_HYD_Active, BBW_OFF_HYD_Dorm</v>
      </c>
      <c r="I1069" s="233" t="str">
        <f>IFERROR(__xludf.DUMMYFUNCTION("""COMPUTED_VALUE"""),"WA Undelivered")</f>
        <v>WA Undelivered</v>
      </c>
      <c r="J1069" s="275">
        <f>IFERROR(__xludf.DUMMYFUNCTION("""COMPUTED_VALUE"""),17736.0)</f>
        <v>17736</v>
      </c>
      <c r="K1069" s="275">
        <f>IFERROR(__xludf.DUMMYFUNCTION("""COMPUTED_VALUE"""),11244.0)</f>
        <v>11244</v>
      </c>
      <c r="L1069" s="276">
        <f>IFERROR(__xludf.DUMMYFUNCTION("""COMPUTED_VALUE"""),0.634)</f>
        <v>0.634</v>
      </c>
      <c r="M1069" s="275">
        <f>IFERROR(__xludf.DUMMYFUNCTION("""COMPUTED_VALUE"""),0.0)</f>
        <v>0</v>
      </c>
      <c r="N1069" s="276">
        <f>IFERROR(__xludf.DUMMYFUNCTION("""COMPUTED_VALUE"""),0.0)</f>
        <v>0</v>
      </c>
      <c r="O1069" s="208">
        <f>IFERROR(__xludf.DUMMYFUNCTION("""COMPUTED_VALUE"""),6.0)</f>
        <v>6</v>
      </c>
      <c r="P1069" s="208">
        <f>IFERROR(__xludf.DUMMYFUNCTION("""COMPUTED_VALUE"""),0.0)</f>
        <v>0</v>
      </c>
      <c r="Q1069" s="276">
        <f>IFERROR(__xludf.DUMMYFUNCTION("""COMPUTED_VALUE"""),5.0E-4)</f>
        <v>0.0005</v>
      </c>
      <c r="R1069" s="276">
        <f>IFERROR(__xludf.DUMMYFUNCTION("""COMPUTED_VALUE"""),0.0)</f>
        <v>0</v>
      </c>
      <c r="S1069" s="208">
        <f>IFERROR(__xludf.DUMMYFUNCTION("""COMPUTED_VALUE"""),0.0)</f>
        <v>0</v>
      </c>
      <c r="T1069" s="208">
        <f>IFERROR(__xludf.DUMMYFUNCTION("""COMPUTED_VALUE"""),2.0)</f>
        <v>2</v>
      </c>
      <c r="U1069" s="275">
        <f>IFERROR(__xludf.DUMMYFUNCTION("""COMPUTED_VALUE"""),0.0)</f>
        <v>0</v>
      </c>
      <c r="V1069" s="234" t="str">
        <f>IFERROR(__xludf.DUMMYFUNCTION("""COMPUTED_VALUE"""),"offline")</f>
        <v>offline</v>
      </c>
      <c r="W1069" s="232" t="str">
        <f>IFERROR(__xludf.DUMMYFUNCTION("""COMPUTED_VALUE"""),"SMS")</f>
        <v>SMS</v>
      </c>
      <c r="X1069" s="232" t="str">
        <f>IFERROR(__xludf.DUMMYFUNCTION("""COMPUTED_VALUE"""),"City Specific")</f>
        <v>City Specific</v>
      </c>
      <c r="Y1069" s="232" t="str">
        <f>IFERROR(__xludf.DUMMYFUNCTION("""COMPUTED_VALUE"""),"04 July")</f>
        <v>04 July</v>
      </c>
      <c r="Z1069" s="232" t="str">
        <f>IFERROR(__xludf.DUMMYFUNCTION("""COMPUTED_VALUE"""),"6a44c30f0dd03d177c610d50")</f>
        <v>6a44c30f0dd03d177c610d50</v>
      </c>
      <c r="AA1069" s="277">
        <f>IFERROR(__xludf.DUMMYFUNCTION("""COMPUTED_VALUE"""),17.0)</f>
        <v>17</v>
      </c>
      <c r="AB1069" s="277"/>
      <c r="AC1069" s="277">
        <f>IFERROR(__xludf.DUMMYFUNCTION("""COMPUTED_VALUE"""),17.0)</f>
        <v>17</v>
      </c>
      <c r="AD1069" s="277">
        <f>IFERROR(__xludf.DUMMYFUNCTION("""COMPUTED_VALUE"""),53088.0)</f>
        <v>53088</v>
      </c>
      <c r="AE1069" s="277"/>
      <c r="AF1069" s="277">
        <f>IFERROR(__xludf.DUMMYFUNCTION("""COMPUTED_VALUE"""),53088.0)</f>
        <v>53088</v>
      </c>
      <c r="AG1069" s="208"/>
      <c r="AH1069" s="208"/>
      <c r="AI1069" s="208"/>
      <c r="AJ1069" s="208"/>
      <c r="AK1069" s="208"/>
    </row>
    <row r="1070">
      <c r="A1070" s="288">
        <f>IFERROR(__xludf.DUMMYFUNCTION("""COMPUTED_VALUE"""),46207.0)</f>
        <v>46207</v>
      </c>
      <c r="B1070" s="274">
        <f>IFERROR(__xludf.DUMMYFUNCTION("""COMPUTED_VALUE"""),0.5416666666678793)</f>
        <v>0.5416666667</v>
      </c>
      <c r="C1070" s="208" t="str">
        <f>IFERROR(__xludf.DUMMYFUNCTION("""COMPUTED_VALUE"""),"Sms")</f>
        <v>Sms</v>
      </c>
      <c r="D1070" s="208" t="str">
        <f>IFERROR(__xludf.DUMMYFUNCTION("""COMPUTED_VALUE"""),"Fallback campaign")</f>
        <v>Fallback campaign</v>
      </c>
      <c r="E1070" s="208" t="str">
        <f>IFERROR(__xludf.DUMMYFUNCTION("""COMPUTED_VALUE"""),"BBW")</f>
        <v>BBW</v>
      </c>
      <c r="F1070" s="208" t="str">
        <f>IFERROR(__xludf.DUMMYFUNCTION("""COMPUTED_VALUE"""),"B2G2 - July'26 - Entire Store")</f>
        <v>B2G2 - July'26 - Entire Store</v>
      </c>
      <c r="G1070" s="208" t="str">
        <f>IFERROR(__xludf.DUMMYFUNCTION("""COMPUTED_VALUE"""),"bbw_smsfb_b2g2_4july_lastreminder_ahd_offline")</f>
        <v>bbw_smsfb_b2g2_4july_lastreminder_ahd_offline</v>
      </c>
      <c r="H1070" s="232" t="str">
        <f>IFERROR(__xludf.DUMMYFUNCTION("""COMPUTED_VALUE"""),"BBW_OFF_AHD_Active, BBW_OFF_AHD_Dorm")</f>
        <v>BBW_OFF_AHD_Active, BBW_OFF_AHD_Dorm</v>
      </c>
      <c r="I1070" s="233" t="str">
        <f>IFERROR(__xludf.DUMMYFUNCTION("""COMPUTED_VALUE"""),"WA Undelivered")</f>
        <v>WA Undelivered</v>
      </c>
      <c r="J1070" s="275">
        <f>IFERROR(__xludf.DUMMYFUNCTION("""COMPUTED_VALUE"""),13731.0)</f>
        <v>13731</v>
      </c>
      <c r="K1070" s="275">
        <f>IFERROR(__xludf.DUMMYFUNCTION("""COMPUTED_VALUE"""),7421.0)</f>
        <v>7421</v>
      </c>
      <c r="L1070" s="276">
        <f>IFERROR(__xludf.DUMMYFUNCTION("""COMPUTED_VALUE"""),0.5405)</f>
        <v>0.5405</v>
      </c>
      <c r="M1070" s="275">
        <f>IFERROR(__xludf.DUMMYFUNCTION("""COMPUTED_VALUE"""),0.0)</f>
        <v>0</v>
      </c>
      <c r="N1070" s="276">
        <f>IFERROR(__xludf.DUMMYFUNCTION("""COMPUTED_VALUE"""),0.0)</f>
        <v>0</v>
      </c>
      <c r="O1070" s="208">
        <f>IFERROR(__xludf.DUMMYFUNCTION("""COMPUTED_VALUE"""),2.0)</f>
        <v>2</v>
      </c>
      <c r="P1070" s="208">
        <f>IFERROR(__xludf.DUMMYFUNCTION("""COMPUTED_VALUE"""),0.0)</f>
        <v>0</v>
      </c>
      <c r="Q1070" s="276">
        <f>IFERROR(__xludf.DUMMYFUNCTION("""COMPUTED_VALUE"""),3.0E-4)</f>
        <v>0.0003</v>
      </c>
      <c r="R1070" s="276">
        <f>IFERROR(__xludf.DUMMYFUNCTION("""COMPUTED_VALUE"""),0.0)</f>
        <v>0</v>
      </c>
      <c r="S1070" s="208">
        <f>IFERROR(__xludf.DUMMYFUNCTION("""COMPUTED_VALUE"""),1.0)</f>
        <v>1</v>
      </c>
      <c r="T1070" s="208">
        <f>IFERROR(__xludf.DUMMYFUNCTION("""COMPUTED_VALUE"""),0.0)</f>
        <v>0</v>
      </c>
      <c r="U1070" s="275">
        <f>IFERROR(__xludf.DUMMYFUNCTION("""COMPUTED_VALUE"""),929.0)</f>
        <v>929</v>
      </c>
      <c r="V1070" s="234" t="str">
        <f>IFERROR(__xludf.DUMMYFUNCTION("""COMPUTED_VALUE"""),"offline")</f>
        <v>offline</v>
      </c>
      <c r="W1070" s="232" t="str">
        <f>IFERROR(__xludf.DUMMYFUNCTION("""COMPUTED_VALUE"""),"SMS")</f>
        <v>SMS</v>
      </c>
      <c r="X1070" s="232" t="str">
        <f>IFERROR(__xludf.DUMMYFUNCTION("""COMPUTED_VALUE"""),"City Specific")</f>
        <v>City Specific</v>
      </c>
      <c r="Y1070" s="232" t="str">
        <f>IFERROR(__xludf.DUMMYFUNCTION("""COMPUTED_VALUE"""),"04 July")</f>
        <v>04 July</v>
      </c>
      <c r="Z1070" s="232" t="str">
        <f>IFERROR(__xludf.DUMMYFUNCTION("""COMPUTED_VALUE"""),"6a44c353d8915321e13048e9")</f>
        <v>6a44c353d8915321e13048e9</v>
      </c>
      <c r="AA1070" s="277">
        <f>IFERROR(__xludf.DUMMYFUNCTION("""COMPUTED_VALUE"""),19.0)</f>
        <v>19</v>
      </c>
      <c r="AB1070" s="277"/>
      <c r="AC1070" s="277">
        <f>IFERROR(__xludf.DUMMYFUNCTION("""COMPUTED_VALUE"""),19.0)</f>
        <v>19</v>
      </c>
      <c r="AD1070" s="277">
        <f>IFERROR(__xludf.DUMMYFUNCTION("""COMPUTED_VALUE"""),83530.0)</f>
        <v>83530</v>
      </c>
      <c r="AE1070" s="277"/>
      <c r="AF1070" s="277">
        <f>IFERROR(__xludf.DUMMYFUNCTION("""COMPUTED_VALUE"""),83530.0)</f>
        <v>83530</v>
      </c>
      <c r="AG1070" s="208"/>
      <c r="AH1070" s="208"/>
      <c r="AI1070" s="208"/>
      <c r="AJ1070" s="208"/>
      <c r="AK1070" s="208"/>
    </row>
    <row r="1071">
      <c r="A1071" s="288">
        <f>IFERROR(__xludf.DUMMYFUNCTION("""COMPUTED_VALUE"""),46207.0)</f>
        <v>46207</v>
      </c>
      <c r="B1071" s="274">
        <f>IFERROR(__xludf.DUMMYFUNCTION("""COMPUTED_VALUE"""),0.5416666666678793)</f>
        <v>0.5416666667</v>
      </c>
      <c r="C1071" s="208" t="str">
        <f>IFERROR(__xludf.DUMMYFUNCTION("""COMPUTED_VALUE"""),"Sms")</f>
        <v>Sms</v>
      </c>
      <c r="D1071" s="208" t="str">
        <f>IFERROR(__xludf.DUMMYFUNCTION("""COMPUTED_VALUE"""),"Fallback campaign")</f>
        <v>Fallback campaign</v>
      </c>
      <c r="E1071" s="208" t="str">
        <f>IFERROR(__xludf.DUMMYFUNCTION("""COMPUTED_VALUE"""),"BBW")</f>
        <v>BBW</v>
      </c>
      <c r="F1071" s="208" t="str">
        <f>IFERROR(__xludf.DUMMYFUNCTION("""COMPUTED_VALUE"""),"B2G2 - July'26 - Entire Store")</f>
        <v>B2G2 - July'26 - Entire Store</v>
      </c>
      <c r="G1071" s="208" t="str">
        <f>IFERROR(__xludf.DUMMYFUNCTION("""COMPUTED_VALUE"""),"bbw_smsfb_b2g2_4july_lastreminder_chd_offline")</f>
        <v>bbw_smsfb_b2g2_4july_lastreminder_chd_offline</v>
      </c>
      <c r="H1071" s="232" t="str">
        <f>IFERROR(__xludf.DUMMYFUNCTION("""COMPUTED_VALUE"""),"BBW_OFF_CHD_Active, BBW_OFF_CHD_Dorm")</f>
        <v>BBW_OFF_CHD_Active, BBW_OFF_CHD_Dorm</v>
      </c>
      <c r="I1071" s="233" t="str">
        <f>IFERROR(__xludf.DUMMYFUNCTION("""COMPUTED_VALUE"""),"WA Undelivered")</f>
        <v>WA Undelivered</v>
      </c>
      <c r="J1071" s="275">
        <f>IFERROR(__xludf.DUMMYFUNCTION("""COMPUTED_VALUE"""),13308.0)</f>
        <v>13308</v>
      </c>
      <c r="K1071" s="275">
        <f>IFERROR(__xludf.DUMMYFUNCTION("""COMPUTED_VALUE"""),8505.0)</f>
        <v>8505</v>
      </c>
      <c r="L1071" s="276">
        <f>IFERROR(__xludf.DUMMYFUNCTION("""COMPUTED_VALUE"""),0.6391)</f>
        <v>0.6391</v>
      </c>
      <c r="M1071" s="275">
        <f>IFERROR(__xludf.DUMMYFUNCTION("""COMPUTED_VALUE"""),0.0)</f>
        <v>0</v>
      </c>
      <c r="N1071" s="276">
        <f>IFERROR(__xludf.DUMMYFUNCTION("""COMPUTED_VALUE"""),0.0)</f>
        <v>0</v>
      </c>
      <c r="O1071" s="208">
        <f>IFERROR(__xludf.DUMMYFUNCTION("""COMPUTED_VALUE"""),12.0)</f>
        <v>12</v>
      </c>
      <c r="P1071" s="208">
        <f>IFERROR(__xludf.DUMMYFUNCTION("""COMPUTED_VALUE"""),0.0)</f>
        <v>0</v>
      </c>
      <c r="Q1071" s="276">
        <f>IFERROR(__xludf.DUMMYFUNCTION("""COMPUTED_VALUE"""),0.0014)</f>
        <v>0.0014</v>
      </c>
      <c r="R1071" s="276">
        <f>IFERROR(__xludf.DUMMYFUNCTION("""COMPUTED_VALUE"""),0.0)</f>
        <v>0</v>
      </c>
      <c r="S1071" s="208">
        <f>IFERROR(__xludf.DUMMYFUNCTION("""COMPUTED_VALUE"""),1.0)</f>
        <v>1</v>
      </c>
      <c r="T1071" s="208">
        <f>IFERROR(__xludf.DUMMYFUNCTION("""COMPUTED_VALUE"""),3.0)</f>
        <v>3</v>
      </c>
      <c r="U1071" s="275">
        <f>IFERROR(__xludf.DUMMYFUNCTION("""COMPUTED_VALUE"""),4318.0)</f>
        <v>4318</v>
      </c>
      <c r="V1071" s="234" t="str">
        <f>IFERROR(__xludf.DUMMYFUNCTION("""COMPUTED_VALUE"""),"offline")</f>
        <v>offline</v>
      </c>
      <c r="W1071" s="232" t="str">
        <f>IFERROR(__xludf.DUMMYFUNCTION("""COMPUTED_VALUE"""),"SMS")</f>
        <v>SMS</v>
      </c>
      <c r="X1071" s="232" t="str">
        <f>IFERROR(__xludf.DUMMYFUNCTION("""COMPUTED_VALUE"""),"City Specific")</f>
        <v>City Specific</v>
      </c>
      <c r="Y1071" s="232" t="str">
        <f>IFERROR(__xludf.DUMMYFUNCTION("""COMPUTED_VALUE"""),"04 July")</f>
        <v>04 July</v>
      </c>
      <c r="Z1071" s="232" t="str">
        <f>IFERROR(__xludf.DUMMYFUNCTION("""COMPUTED_VALUE"""),"6a44c3ac3f74ab9d7e882397")</f>
        <v>6a44c3ac3f74ab9d7e882397</v>
      </c>
      <c r="AA1071" s="277">
        <f>IFERROR(__xludf.DUMMYFUNCTION("""COMPUTED_VALUE"""),23.0)</f>
        <v>23</v>
      </c>
      <c r="AB1071" s="277"/>
      <c r="AC1071" s="277">
        <f>IFERROR(__xludf.DUMMYFUNCTION("""COMPUTED_VALUE"""),23.0)</f>
        <v>23</v>
      </c>
      <c r="AD1071" s="277">
        <f>IFERROR(__xludf.DUMMYFUNCTION("""COMPUTED_VALUE"""),84720.0)</f>
        <v>84720</v>
      </c>
      <c r="AE1071" s="277"/>
      <c r="AF1071" s="277">
        <f>IFERROR(__xludf.DUMMYFUNCTION("""COMPUTED_VALUE"""),84720.0)</f>
        <v>84720</v>
      </c>
      <c r="AG1071" s="208"/>
      <c r="AH1071" s="208"/>
      <c r="AI1071" s="208"/>
      <c r="AJ1071" s="208"/>
      <c r="AK1071" s="208"/>
    </row>
    <row r="1072">
      <c r="A1072" s="288">
        <f>IFERROR(__xludf.DUMMYFUNCTION("""COMPUTED_VALUE"""),46207.0)</f>
        <v>46207</v>
      </c>
      <c r="B1072" s="274">
        <f>IFERROR(__xludf.DUMMYFUNCTION("""COMPUTED_VALUE"""),0.5416666666678793)</f>
        <v>0.5416666667</v>
      </c>
      <c r="C1072" s="208" t="str">
        <f>IFERROR(__xludf.DUMMYFUNCTION("""COMPUTED_VALUE"""),"Sms")</f>
        <v>Sms</v>
      </c>
      <c r="D1072" s="208" t="str">
        <f>IFERROR(__xludf.DUMMYFUNCTION("""COMPUTED_VALUE"""),"Fallback campaign")</f>
        <v>Fallback campaign</v>
      </c>
      <c r="E1072" s="208" t="str">
        <f>IFERROR(__xludf.DUMMYFUNCTION("""COMPUTED_VALUE"""),"BBW")</f>
        <v>BBW</v>
      </c>
      <c r="F1072" s="208" t="str">
        <f>IFERROR(__xludf.DUMMYFUNCTION("""COMPUTED_VALUE"""),"B2G2 - July'26 - Entire Store")</f>
        <v>B2G2 - July'26 - Entire Store</v>
      </c>
      <c r="G1072" s="208" t="str">
        <f>IFERROR(__xludf.DUMMYFUNCTION("""COMPUTED_VALUE"""),"bbw_smsfb_b2g2_4july_lastreminder_noida_offline")</f>
        <v>bbw_smsfb_b2g2_4july_lastreminder_noida_offline</v>
      </c>
      <c r="H1072" s="232" t="str">
        <f>IFERROR(__xludf.DUMMYFUNCTION("""COMPUTED_VALUE"""),"BBW_OFF_NOIDA_Active, BBW_OFF_NOIDA_Dorm")</f>
        <v>BBW_OFF_NOIDA_Active, BBW_OFF_NOIDA_Dorm</v>
      </c>
      <c r="I1072" s="233" t="str">
        <f>IFERROR(__xludf.DUMMYFUNCTION("""COMPUTED_VALUE"""),"WA Undelivered")</f>
        <v>WA Undelivered</v>
      </c>
      <c r="J1072" s="275">
        <f>IFERROR(__xludf.DUMMYFUNCTION("""COMPUTED_VALUE"""),14416.0)</f>
        <v>14416</v>
      </c>
      <c r="K1072" s="275">
        <f>IFERROR(__xludf.DUMMYFUNCTION("""COMPUTED_VALUE"""),7707.0)</f>
        <v>7707</v>
      </c>
      <c r="L1072" s="276">
        <f>IFERROR(__xludf.DUMMYFUNCTION("""COMPUTED_VALUE"""),0.5346)</f>
        <v>0.5346</v>
      </c>
      <c r="M1072" s="275">
        <f>IFERROR(__xludf.DUMMYFUNCTION("""COMPUTED_VALUE"""),0.0)</f>
        <v>0</v>
      </c>
      <c r="N1072" s="276">
        <f>IFERROR(__xludf.DUMMYFUNCTION("""COMPUTED_VALUE"""),0.0)</f>
        <v>0</v>
      </c>
      <c r="O1072" s="208">
        <f>IFERROR(__xludf.DUMMYFUNCTION("""COMPUTED_VALUE"""),8.0)</f>
        <v>8</v>
      </c>
      <c r="P1072" s="208">
        <f>IFERROR(__xludf.DUMMYFUNCTION("""COMPUTED_VALUE"""),0.0)</f>
        <v>0</v>
      </c>
      <c r="Q1072" s="276">
        <f>IFERROR(__xludf.DUMMYFUNCTION("""COMPUTED_VALUE"""),0.001)</f>
        <v>0.001</v>
      </c>
      <c r="R1072" s="276">
        <f>IFERROR(__xludf.DUMMYFUNCTION("""COMPUTED_VALUE"""),0.0)</f>
        <v>0</v>
      </c>
      <c r="S1072" s="208">
        <f>IFERROR(__xludf.DUMMYFUNCTION("""COMPUTED_VALUE"""),4.0)</f>
        <v>4</v>
      </c>
      <c r="T1072" s="208">
        <f>IFERROR(__xludf.DUMMYFUNCTION("""COMPUTED_VALUE"""),6.0)</f>
        <v>6</v>
      </c>
      <c r="U1072" s="275">
        <f>IFERROR(__xludf.DUMMYFUNCTION("""COMPUTED_VALUE"""),10854.0)</f>
        <v>10854</v>
      </c>
      <c r="V1072" s="234" t="str">
        <f>IFERROR(__xludf.DUMMYFUNCTION("""COMPUTED_VALUE"""),"offline")</f>
        <v>offline</v>
      </c>
      <c r="W1072" s="232" t="str">
        <f>IFERROR(__xludf.DUMMYFUNCTION("""COMPUTED_VALUE"""),"SMS")</f>
        <v>SMS</v>
      </c>
      <c r="X1072" s="232" t="str">
        <f>IFERROR(__xludf.DUMMYFUNCTION("""COMPUTED_VALUE"""),"City Specific")</f>
        <v>City Specific</v>
      </c>
      <c r="Y1072" s="232" t="str">
        <f>IFERROR(__xludf.DUMMYFUNCTION("""COMPUTED_VALUE"""),"04 July")</f>
        <v>04 July</v>
      </c>
      <c r="Z1072" s="232" t="str">
        <f>IFERROR(__xludf.DUMMYFUNCTION("""COMPUTED_VALUE"""),"6a44c40ad70c64091c16fb56")</f>
        <v>6a44c40ad70c64091c16fb56</v>
      </c>
      <c r="AA1072" s="277">
        <f>IFERROR(__xludf.DUMMYFUNCTION("""COMPUTED_VALUE"""),18.0)</f>
        <v>18</v>
      </c>
      <c r="AB1072" s="277"/>
      <c r="AC1072" s="277">
        <f>IFERROR(__xludf.DUMMYFUNCTION("""COMPUTED_VALUE"""),18.0)</f>
        <v>18</v>
      </c>
      <c r="AD1072" s="277">
        <f>IFERROR(__xludf.DUMMYFUNCTION("""COMPUTED_VALUE"""),49678.0)</f>
        <v>49678</v>
      </c>
      <c r="AE1072" s="277"/>
      <c r="AF1072" s="277">
        <f>IFERROR(__xludf.DUMMYFUNCTION("""COMPUTED_VALUE"""),49678.0)</f>
        <v>49678</v>
      </c>
      <c r="AG1072" s="208"/>
      <c r="AH1072" s="208"/>
      <c r="AI1072" s="208"/>
      <c r="AJ1072" s="208"/>
      <c r="AK1072" s="208"/>
    </row>
    <row r="1073">
      <c r="A1073" s="288">
        <f>IFERROR(__xludf.DUMMYFUNCTION("""COMPUTED_VALUE"""),46207.0)</f>
        <v>46207</v>
      </c>
      <c r="B1073" s="274">
        <f>IFERROR(__xludf.DUMMYFUNCTION("""COMPUTED_VALUE"""),0.5416666666678793)</f>
        <v>0.5416666667</v>
      </c>
      <c r="C1073" s="208" t="str">
        <f>IFERROR(__xludf.DUMMYFUNCTION("""COMPUTED_VALUE"""),"Sms")</f>
        <v>Sms</v>
      </c>
      <c r="D1073" s="208" t="str">
        <f>IFERROR(__xludf.DUMMYFUNCTION("""COMPUTED_VALUE"""),"Fallback campaign")</f>
        <v>Fallback campaign</v>
      </c>
      <c r="E1073" s="208" t="str">
        <f>IFERROR(__xludf.DUMMYFUNCTION("""COMPUTED_VALUE"""),"BBW")</f>
        <v>BBW</v>
      </c>
      <c r="F1073" s="208" t="str">
        <f>IFERROR(__xludf.DUMMYFUNCTION("""COMPUTED_VALUE"""),"B2G2 - July'26 - Entire Store")</f>
        <v>B2G2 - July'26 - Entire Store</v>
      </c>
      <c r="G1073" s="208" t="str">
        <f>IFERROR(__xludf.DUMMYFUNCTION("""COMPUTED_VALUE"""),"bbw_smsfb_b2g2_4july_lastreminder_chenn_offline")</f>
        <v>bbw_smsfb_b2g2_4july_lastreminder_chenn_offline</v>
      </c>
      <c r="H1073" s="232" t="str">
        <f>IFERROR(__xludf.DUMMYFUNCTION("""COMPUTED_VALUE"""),"BBW_OFF_Chennai_Active, BBW_OFF_Chennai_Dorm")</f>
        <v>BBW_OFF_Chennai_Active, BBW_OFF_Chennai_Dorm</v>
      </c>
      <c r="I1073" s="233" t="str">
        <f>IFERROR(__xludf.DUMMYFUNCTION("""COMPUTED_VALUE"""),"WA Undelivered")</f>
        <v>WA Undelivered</v>
      </c>
      <c r="J1073" s="275">
        <f>IFERROR(__xludf.DUMMYFUNCTION("""COMPUTED_VALUE"""),13401.0)</f>
        <v>13401</v>
      </c>
      <c r="K1073" s="275">
        <f>IFERROR(__xludf.DUMMYFUNCTION("""COMPUTED_VALUE"""),8394.0)</f>
        <v>8394</v>
      </c>
      <c r="L1073" s="276">
        <f>IFERROR(__xludf.DUMMYFUNCTION("""COMPUTED_VALUE"""),0.6264)</f>
        <v>0.6264</v>
      </c>
      <c r="M1073" s="275">
        <f>IFERROR(__xludf.DUMMYFUNCTION("""COMPUTED_VALUE"""),0.0)</f>
        <v>0</v>
      </c>
      <c r="N1073" s="276">
        <f>IFERROR(__xludf.DUMMYFUNCTION("""COMPUTED_VALUE"""),0.0)</f>
        <v>0</v>
      </c>
      <c r="O1073" s="208">
        <f>IFERROR(__xludf.DUMMYFUNCTION("""COMPUTED_VALUE"""),2.0)</f>
        <v>2</v>
      </c>
      <c r="P1073" s="208">
        <f>IFERROR(__xludf.DUMMYFUNCTION("""COMPUTED_VALUE"""),0.0)</f>
        <v>0</v>
      </c>
      <c r="Q1073" s="276">
        <f>IFERROR(__xludf.DUMMYFUNCTION("""COMPUTED_VALUE"""),2.0E-4)</f>
        <v>0.0002</v>
      </c>
      <c r="R1073" s="276">
        <f>IFERROR(__xludf.DUMMYFUNCTION("""COMPUTED_VALUE"""),0.0)</f>
        <v>0</v>
      </c>
      <c r="S1073" s="208">
        <f>IFERROR(__xludf.DUMMYFUNCTION("""COMPUTED_VALUE"""),1.0)</f>
        <v>1</v>
      </c>
      <c r="T1073" s="208">
        <f>IFERROR(__xludf.DUMMYFUNCTION("""COMPUTED_VALUE"""),1.0)</f>
        <v>1</v>
      </c>
      <c r="U1073" s="275">
        <f>IFERROR(__xludf.DUMMYFUNCTION("""COMPUTED_VALUE"""),2338.0)</f>
        <v>2338</v>
      </c>
      <c r="V1073" s="234" t="str">
        <f>IFERROR(__xludf.DUMMYFUNCTION("""COMPUTED_VALUE"""),"offline")</f>
        <v>offline</v>
      </c>
      <c r="W1073" s="232" t="str">
        <f>IFERROR(__xludf.DUMMYFUNCTION("""COMPUTED_VALUE"""),"SMS")</f>
        <v>SMS</v>
      </c>
      <c r="X1073" s="232" t="str">
        <f>IFERROR(__xludf.DUMMYFUNCTION("""COMPUTED_VALUE"""),"City Specific")</f>
        <v>City Specific</v>
      </c>
      <c r="Y1073" s="232" t="str">
        <f>IFERROR(__xludf.DUMMYFUNCTION("""COMPUTED_VALUE"""),"04 July")</f>
        <v>04 July</v>
      </c>
      <c r="Z1073" s="232" t="str">
        <f>IFERROR(__xludf.DUMMYFUNCTION("""COMPUTED_VALUE"""),"6a44c45e08ff046b0e4c770c")</f>
        <v>6a44c45e08ff046b0e4c770c</v>
      </c>
      <c r="AA1073" s="277">
        <f>IFERROR(__xludf.DUMMYFUNCTION("""COMPUTED_VALUE"""),28.0)</f>
        <v>28</v>
      </c>
      <c r="AB1073" s="277"/>
      <c r="AC1073" s="277">
        <f>IFERROR(__xludf.DUMMYFUNCTION("""COMPUTED_VALUE"""),28.0)</f>
        <v>28</v>
      </c>
      <c r="AD1073" s="277">
        <f>IFERROR(__xludf.DUMMYFUNCTION("""COMPUTED_VALUE"""),143390.0)</f>
        <v>143390</v>
      </c>
      <c r="AE1073" s="277"/>
      <c r="AF1073" s="277">
        <f>IFERROR(__xludf.DUMMYFUNCTION("""COMPUTED_VALUE"""),143390.0)</f>
        <v>143390</v>
      </c>
      <c r="AG1073" s="208"/>
      <c r="AH1073" s="208"/>
      <c r="AI1073" s="208"/>
      <c r="AJ1073" s="208"/>
      <c r="AK1073" s="208"/>
    </row>
    <row r="1074">
      <c r="A1074" s="288">
        <f>IFERROR(__xludf.DUMMYFUNCTION("""COMPUTED_VALUE"""),46207.0)</f>
        <v>46207</v>
      </c>
      <c r="B1074" s="274">
        <f>IFERROR(__xludf.DUMMYFUNCTION("""COMPUTED_VALUE"""),0.5416666666678793)</f>
        <v>0.5416666667</v>
      </c>
      <c r="C1074" s="208" t="str">
        <f>IFERROR(__xludf.DUMMYFUNCTION("""COMPUTED_VALUE"""),"Sms")</f>
        <v>Sms</v>
      </c>
      <c r="D1074" s="208" t="str">
        <f>IFERROR(__xludf.DUMMYFUNCTION("""COMPUTED_VALUE"""),"Fallback campaign")</f>
        <v>Fallback campaign</v>
      </c>
      <c r="E1074" s="208" t="str">
        <f>IFERROR(__xludf.DUMMYFUNCTION("""COMPUTED_VALUE"""),"BBW")</f>
        <v>BBW</v>
      </c>
      <c r="F1074" s="208" t="str">
        <f>IFERROR(__xludf.DUMMYFUNCTION("""COMPUTED_VALUE"""),"B2G2 - July'26 - Entire Store")</f>
        <v>B2G2 - July'26 - Entire Store</v>
      </c>
      <c r="G1074" s="208" t="str">
        <f>IFERROR(__xludf.DUMMYFUNCTION("""COMPUTED_VALUE"""),"bbw_smsfb_b2g2_4july_lastreminder_ggn_offline")</f>
        <v>bbw_smsfb_b2g2_4july_lastreminder_ggn_offline</v>
      </c>
      <c r="H1074" s="232" t="str">
        <f>IFERROR(__xludf.DUMMYFUNCTION("""COMPUTED_VALUE"""),"BBW_OFF_GGN_Active, BBW_OFF_GGN_Dorm")</f>
        <v>BBW_OFF_GGN_Active, BBW_OFF_GGN_Dorm</v>
      </c>
      <c r="I1074" s="233" t="str">
        <f>IFERROR(__xludf.DUMMYFUNCTION("""COMPUTED_VALUE"""),"WA Undelivered")</f>
        <v>WA Undelivered</v>
      </c>
      <c r="J1074" s="275">
        <f>IFERROR(__xludf.DUMMYFUNCTION("""COMPUTED_VALUE"""),11913.0)</f>
        <v>11913</v>
      </c>
      <c r="K1074" s="275">
        <f>IFERROR(__xludf.DUMMYFUNCTION("""COMPUTED_VALUE"""),5969.0)</f>
        <v>5969</v>
      </c>
      <c r="L1074" s="276">
        <f>IFERROR(__xludf.DUMMYFUNCTION("""COMPUTED_VALUE"""),0.501)</f>
        <v>0.501</v>
      </c>
      <c r="M1074" s="275">
        <f>IFERROR(__xludf.DUMMYFUNCTION("""COMPUTED_VALUE"""),0.0)</f>
        <v>0</v>
      </c>
      <c r="N1074" s="276">
        <f>IFERROR(__xludf.DUMMYFUNCTION("""COMPUTED_VALUE"""),0.0)</f>
        <v>0</v>
      </c>
      <c r="O1074" s="208">
        <f>IFERROR(__xludf.DUMMYFUNCTION("""COMPUTED_VALUE"""),9.0)</f>
        <v>9</v>
      </c>
      <c r="P1074" s="208">
        <f>IFERROR(__xludf.DUMMYFUNCTION("""COMPUTED_VALUE"""),0.0)</f>
        <v>0</v>
      </c>
      <c r="Q1074" s="276">
        <f>IFERROR(__xludf.DUMMYFUNCTION("""COMPUTED_VALUE"""),0.0015)</f>
        <v>0.0015</v>
      </c>
      <c r="R1074" s="276">
        <f>IFERROR(__xludf.DUMMYFUNCTION("""COMPUTED_VALUE"""),0.0)</f>
        <v>0</v>
      </c>
      <c r="S1074" s="208">
        <f>IFERROR(__xludf.DUMMYFUNCTION("""COMPUTED_VALUE"""),0.0)</f>
        <v>0</v>
      </c>
      <c r="T1074" s="208">
        <f>IFERROR(__xludf.DUMMYFUNCTION("""COMPUTED_VALUE"""),0.0)</f>
        <v>0</v>
      </c>
      <c r="U1074" s="275">
        <f>IFERROR(__xludf.DUMMYFUNCTION("""COMPUTED_VALUE"""),0.0)</f>
        <v>0</v>
      </c>
      <c r="V1074" s="234" t="str">
        <f>IFERROR(__xludf.DUMMYFUNCTION("""COMPUTED_VALUE"""),"offline")</f>
        <v>offline</v>
      </c>
      <c r="W1074" s="232" t="str">
        <f>IFERROR(__xludf.DUMMYFUNCTION("""COMPUTED_VALUE"""),"SMS")</f>
        <v>SMS</v>
      </c>
      <c r="X1074" s="232" t="str">
        <f>IFERROR(__xludf.DUMMYFUNCTION("""COMPUTED_VALUE"""),"City Specific")</f>
        <v>City Specific</v>
      </c>
      <c r="Y1074" s="232" t="str">
        <f>IFERROR(__xludf.DUMMYFUNCTION("""COMPUTED_VALUE"""),"04 July")</f>
        <v>04 July</v>
      </c>
      <c r="Z1074" s="232" t="str">
        <f>IFERROR(__xludf.DUMMYFUNCTION("""COMPUTED_VALUE"""),"6a44c49bfe480da8dbc4d0a4")</f>
        <v>6a44c49bfe480da8dbc4d0a4</v>
      </c>
      <c r="AA1074" s="277">
        <f>IFERROR(__xludf.DUMMYFUNCTION("""COMPUTED_VALUE"""),13.0)</f>
        <v>13</v>
      </c>
      <c r="AB1074" s="277"/>
      <c r="AC1074" s="277">
        <f>IFERROR(__xludf.DUMMYFUNCTION("""COMPUTED_VALUE"""),13.0)</f>
        <v>13</v>
      </c>
      <c r="AD1074" s="277">
        <f>IFERROR(__xludf.DUMMYFUNCTION("""COMPUTED_VALUE"""),38879.0)</f>
        <v>38879</v>
      </c>
      <c r="AE1074" s="277"/>
      <c r="AF1074" s="277">
        <f>IFERROR(__xludf.DUMMYFUNCTION("""COMPUTED_VALUE"""),38879.0)</f>
        <v>38879</v>
      </c>
      <c r="AG1074" s="208"/>
      <c r="AH1074" s="208"/>
      <c r="AI1074" s="208"/>
      <c r="AJ1074" s="208"/>
      <c r="AK1074" s="208"/>
    </row>
    <row r="1075">
      <c r="A1075" s="288">
        <f>IFERROR(__xludf.DUMMYFUNCTION("""COMPUTED_VALUE"""),46207.0)</f>
        <v>46207</v>
      </c>
      <c r="B1075" s="274">
        <f>IFERROR(__xludf.DUMMYFUNCTION("""COMPUTED_VALUE"""),0.5416666666678793)</f>
        <v>0.5416666667</v>
      </c>
      <c r="C1075" s="208" t="str">
        <f>IFERROR(__xludf.DUMMYFUNCTION("""COMPUTED_VALUE"""),"Sms")</f>
        <v>Sms</v>
      </c>
      <c r="D1075" s="208" t="str">
        <f>IFERROR(__xludf.DUMMYFUNCTION("""COMPUTED_VALUE"""),"Fallback campaign")</f>
        <v>Fallback campaign</v>
      </c>
      <c r="E1075" s="208" t="str">
        <f>IFERROR(__xludf.DUMMYFUNCTION("""COMPUTED_VALUE"""),"BBW")</f>
        <v>BBW</v>
      </c>
      <c r="F1075" s="208" t="str">
        <f>IFERROR(__xludf.DUMMYFUNCTION("""COMPUTED_VALUE"""),"B2G2 - July'26 - Entire Store")</f>
        <v>B2G2 - July'26 - Entire Store</v>
      </c>
      <c r="G1075" s="208" t="str">
        <f>IFERROR(__xludf.DUMMYFUNCTION("""COMPUTED_VALUE"""),"bbw_smsfb_b2g2_4july_lastreminder_pune_offline")</f>
        <v>bbw_smsfb_b2g2_4july_lastreminder_pune_offline</v>
      </c>
      <c r="H1075" s="232" t="str">
        <f>IFERROR(__xludf.DUMMYFUNCTION("""COMPUTED_VALUE"""),"BBW_OFF_PUNE_Active, BBW_OFF_PUNE_Dorm")</f>
        <v>BBW_OFF_PUNE_Active, BBW_OFF_PUNE_Dorm</v>
      </c>
      <c r="I1075" s="233" t="str">
        <f>IFERROR(__xludf.DUMMYFUNCTION("""COMPUTED_VALUE"""),"WA Undelivered")</f>
        <v>WA Undelivered</v>
      </c>
      <c r="J1075" s="275">
        <f>IFERROR(__xludf.DUMMYFUNCTION("""COMPUTED_VALUE"""),7691.0)</f>
        <v>7691</v>
      </c>
      <c r="K1075" s="275">
        <f>IFERROR(__xludf.DUMMYFUNCTION("""COMPUTED_VALUE"""),4259.0)</f>
        <v>4259</v>
      </c>
      <c r="L1075" s="276">
        <f>IFERROR(__xludf.DUMMYFUNCTION("""COMPUTED_VALUE"""),0.5538)</f>
        <v>0.5538</v>
      </c>
      <c r="M1075" s="275">
        <f>IFERROR(__xludf.DUMMYFUNCTION("""COMPUTED_VALUE"""),0.0)</f>
        <v>0</v>
      </c>
      <c r="N1075" s="276">
        <f>IFERROR(__xludf.DUMMYFUNCTION("""COMPUTED_VALUE"""),0.0)</f>
        <v>0</v>
      </c>
      <c r="O1075" s="208">
        <f>IFERROR(__xludf.DUMMYFUNCTION("""COMPUTED_VALUE"""),2.0)</f>
        <v>2</v>
      </c>
      <c r="P1075" s="208">
        <f>IFERROR(__xludf.DUMMYFUNCTION("""COMPUTED_VALUE"""),0.0)</f>
        <v>0</v>
      </c>
      <c r="Q1075" s="276">
        <f>IFERROR(__xludf.DUMMYFUNCTION("""COMPUTED_VALUE"""),5.0E-4)</f>
        <v>0.0005</v>
      </c>
      <c r="R1075" s="276">
        <f>IFERROR(__xludf.DUMMYFUNCTION("""COMPUTED_VALUE"""),0.0)</f>
        <v>0</v>
      </c>
      <c r="S1075" s="208">
        <f>IFERROR(__xludf.DUMMYFUNCTION("""COMPUTED_VALUE"""),0.0)</f>
        <v>0</v>
      </c>
      <c r="T1075" s="208">
        <f>IFERROR(__xludf.DUMMYFUNCTION("""COMPUTED_VALUE"""),1.0)</f>
        <v>1</v>
      </c>
      <c r="U1075" s="275">
        <f>IFERROR(__xludf.DUMMYFUNCTION("""COMPUTED_VALUE"""),0.0)</f>
        <v>0</v>
      </c>
      <c r="V1075" s="234" t="str">
        <f>IFERROR(__xludf.DUMMYFUNCTION("""COMPUTED_VALUE"""),"offline")</f>
        <v>offline</v>
      </c>
      <c r="W1075" s="232" t="str">
        <f>IFERROR(__xludf.DUMMYFUNCTION("""COMPUTED_VALUE"""),"SMS")</f>
        <v>SMS</v>
      </c>
      <c r="X1075" s="232" t="str">
        <f>IFERROR(__xludf.DUMMYFUNCTION("""COMPUTED_VALUE"""),"City Specific")</f>
        <v>City Specific</v>
      </c>
      <c r="Y1075" s="232" t="str">
        <f>IFERROR(__xludf.DUMMYFUNCTION("""COMPUTED_VALUE"""),"04 July")</f>
        <v>04 July</v>
      </c>
      <c r="Z1075" s="232" t="str">
        <f>IFERROR(__xludf.DUMMYFUNCTION("""COMPUTED_VALUE"""),"6a44c4d5d7029a44c83135ac")</f>
        <v>6a44c4d5d7029a44c83135ac</v>
      </c>
      <c r="AA1075" s="277">
        <f>IFERROR(__xludf.DUMMYFUNCTION("""COMPUTED_VALUE"""),11.0)</f>
        <v>11</v>
      </c>
      <c r="AB1075" s="277"/>
      <c r="AC1075" s="277">
        <f>IFERROR(__xludf.DUMMYFUNCTION("""COMPUTED_VALUE"""),11.0)</f>
        <v>11</v>
      </c>
      <c r="AD1075" s="277">
        <f>IFERROR(__xludf.DUMMYFUNCTION("""COMPUTED_VALUE"""),41993.0)</f>
        <v>41993</v>
      </c>
      <c r="AE1075" s="277"/>
      <c r="AF1075" s="277">
        <f>IFERROR(__xludf.DUMMYFUNCTION("""COMPUTED_VALUE"""),41993.0)</f>
        <v>41993</v>
      </c>
      <c r="AG1075" s="208"/>
      <c r="AH1075" s="208"/>
      <c r="AI1075" s="208"/>
      <c r="AJ1075" s="208"/>
      <c r="AK1075" s="208"/>
    </row>
    <row r="1076">
      <c r="A1076" s="288">
        <f>IFERROR(__xludf.DUMMYFUNCTION("""COMPUTED_VALUE"""),46208.0)</f>
        <v>46208</v>
      </c>
      <c r="B1076" s="274">
        <f>IFERROR(__xludf.DUMMYFUNCTION("""COMPUTED_VALUE"""),0.8125)</f>
        <v>0.8125</v>
      </c>
      <c r="C1076" s="208" t="str">
        <f>IFERROR(__xludf.DUMMYFUNCTION("""COMPUTED_VALUE"""),"Sms")</f>
        <v>Sms</v>
      </c>
      <c r="D1076" s="208" t="str">
        <f>IFERROR(__xludf.DUMMYFUNCTION("""COMPUTED_VALUE"""),"Fallback campaign")</f>
        <v>Fallback campaign</v>
      </c>
      <c r="E1076" s="208" t="str">
        <f>IFERROR(__xludf.DUMMYFUNCTION("""COMPUTED_VALUE"""),"BBW")</f>
        <v>BBW</v>
      </c>
      <c r="F1076" s="208" t="str">
        <f>IFERROR(__xludf.DUMMYFUNCTION("""COMPUTED_VALUE"""),"B2G2 - July'26 - Entire Store")</f>
        <v>B2G2 - July'26 - Entire Store</v>
      </c>
      <c r="G1076" s="208" t="str">
        <f>IFERROR(__xludf.DUMMYFUNCTION("""COMPUTED_VALUE"""),"bbw_smsfb_b2g2_5july_lastreminder_atc_wishlist_online")</f>
        <v>bbw_smsfb_b2g2_5july_lastreminder_atc_wishlist_online</v>
      </c>
      <c r="H1076" s="232" t="str">
        <f>IFERROR(__xludf.DUMMYFUNCTION("""COMPUTED_VALUE"""),"BBW_ATC_View_Wishlist_NoPr_45D")</f>
        <v>BBW_ATC_View_Wishlist_NoPr_45D</v>
      </c>
      <c r="I1076" s="233" t="str">
        <f>IFERROR(__xludf.DUMMYFUNCTION("""COMPUTED_VALUE"""),"WA Undelivered")</f>
        <v>WA Undelivered</v>
      </c>
      <c r="J1076" s="275">
        <f>IFERROR(__xludf.DUMMYFUNCTION("""COMPUTED_VALUE"""),6592.0)</f>
        <v>6592</v>
      </c>
      <c r="K1076" s="275">
        <f>IFERROR(__xludf.DUMMYFUNCTION("""COMPUTED_VALUE"""),3888.0)</f>
        <v>3888</v>
      </c>
      <c r="L1076" s="276">
        <f>IFERROR(__xludf.DUMMYFUNCTION("""COMPUTED_VALUE"""),0.5898)</f>
        <v>0.5898</v>
      </c>
      <c r="M1076" s="275">
        <f>IFERROR(__xludf.DUMMYFUNCTION("""COMPUTED_VALUE"""),0.0)</f>
        <v>0</v>
      </c>
      <c r="N1076" s="276">
        <f>IFERROR(__xludf.DUMMYFUNCTION("""COMPUTED_VALUE"""),0.0)</f>
        <v>0</v>
      </c>
      <c r="O1076" s="208">
        <f>IFERROR(__xludf.DUMMYFUNCTION("""COMPUTED_VALUE"""),26.0)</f>
        <v>26</v>
      </c>
      <c r="P1076" s="208">
        <f>IFERROR(__xludf.DUMMYFUNCTION("""COMPUTED_VALUE"""),0.0)</f>
        <v>0</v>
      </c>
      <c r="Q1076" s="276">
        <f>IFERROR(__xludf.DUMMYFUNCTION("""COMPUTED_VALUE"""),0.0067)</f>
        <v>0.0067</v>
      </c>
      <c r="R1076" s="276">
        <f>IFERROR(__xludf.DUMMYFUNCTION("""COMPUTED_VALUE"""),0.0)</f>
        <v>0</v>
      </c>
      <c r="S1076" s="208">
        <f>IFERROR(__xludf.DUMMYFUNCTION("""COMPUTED_VALUE"""),3.0)</f>
        <v>3</v>
      </c>
      <c r="T1076" s="208">
        <f>IFERROR(__xludf.DUMMYFUNCTION("""COMPUTED_VALUE"""),26.0)</f>
        <v>26</v>
      </c>
      <c r="U1076" s="275">
        <f>IFERROR(__xludf.DUMMYFUNCTION("""COMPUTED_VALUE"""),8015.0)</f>
        <v>8015</v>
      </c>
      <c r="V1076" s="234" t="str">
        <f>IFERROR(__xludf.DUMMYFUNCTION("""COMPUTED_VALUE"""),"online")</f>
        <v>online</v>
      </c>
      <c r="W1076" s="232" t="str">
        <f>IFERROR(__xludf.DUMMYFUNCTION("""COMPUTED_VALUE"""),"SMS")</f>
        <v>SMS</v>
      </c>
      <c r="X1076" s="232" t="str">
        <f>IFERROR(__xludf.DUMMYFUNCTION("""COMPUTED_VALUE"""),"ATC/View")</f>
        <v>ATC/View</v>
      </c>
      <c r="Y1076" s="232" t="str">
        <f>IFERROR(__xludf.DUMMYFUNCTION("""COMPUTED_VALUE"""),"05 July")</f>
        <v>05 July</v>
      </c>
      <c r="Z1076" s="232" t="str">
        <f>IFERROR(__xludf.DUMMYFUNCTION("""COMPUTED_VALUE"""),"6a44c5a7c1ef5852707eaf29")</f>
        <v>6a44c5a7c1ef5852707eaf29</v>
      </c>
      <c r="AA1076" s="277">
        <f>IFERROR(__xludf.DUMMYFUNCTION("""COMPUTED_VALUE"""),7.0)</f>
        <v>7</v>
      </c>
      <c r="AB1076" s="277">
        <f>IFERROR(__xludf.DUMMYFUNCTION("""COMPUTED_VALUE"""),7.0)</f>
        <v>7</v>
      </c>
      <c r="AC1076" s="277"/>
      <c r="AD1076" s="277">
        <f>IFERROR(__xludf.DUMMYFUNCTION("""COMPUTED_VALUE"""),8484.0)</f>
        <v>8484</v>
      </c>
      <c r="AE1076" s="277">
        <f>IFERROR(__xludf.DUMMYFUNCTION("""COMPUTED_VALUE"""),8484.0)</f>
        <v>8484</v>
      </c>
      <c r="AF1076" s="277"/>
      <c r="AG1076" s="208"/>
      <c r="AH1076" s="208"/>
      <c r="AI1076" s="208"/>
      <c r="AJ1076" s="208"/>
      <c r="AK1076" s="208"/>
    </row>
    <row r="1077">
      <c r="A1077" s="288">
        <f>IFERROR(__xludf.DUMMYFUNCTION("""COMPUTED_VALUE"""),46208.0)</f>
        <v>46208</v>
      </c>
      <c r="B1077" s="274">
        <f>IFERROR(__xludf.DUMMYFUNCTION("""COMPUTED_VALUE"""),0.8125)</f>
        <v>0.8125</v>
      </c>
      <c r="C1077" s="208" t="str">
        <f>IFERROR(__xludf.DUMMYFUNCTION("""COMPUTED_VALUE"""),"Sms")</f>
        <v>Sms</v>
      </c>
      <c r="D1077" s="208" t="str">
        <f>IFERROR(__xludf.DUMMYFUNCTION("""COMPUTED_VALUE"""),"Fallback campaign")</f>
        <v>Fallback campaign</v>
      </c>
      <c r="E1077" s="208" t="str">
        <f>IFERROR(__xludf.DUMMYFUNCTION("""COMPUTED_VALUE"""),"BBW")</f>
        <v>BBW</v>
      </c>
      <c r="F1077" s="208" t="str">
        <f>IFERROR(__xludf.DUMMYFUNCTION("""COMPUTED_VALUE"""),"B2G2 - July'26 - Entire Store")</f>
        <v>B2G2 - July'26 - Entire Store</v>
      </c>
      <c r="G1077" s="208" t="str">
        <f>IFERROR(__xludf.DUMMYFUNCTION("""COMPUTED_VALUE"""),"bbw_smsfb_b2g2_5july_lastreminder_active_online")</f>
        <v>bbw_smsfb_b2g2_5july_lastreminder_active_online</v>
      </c>
      <c r="H1077" s="232" t="str">
        <f>IFERROR(__xludf.DUMMYFUNCTION("""COMPUTED_VALUE"""),"BBW_ON_BC_2_Times_45D_210D")</f>
        <v>BBW_ON_BC_2_Times_45D_210D</v>
      </c>
      <c r="I1077" s="233" t="str">
        <f>IFERROR(__xludf.DUMMYFUNCTION("""COMPUTED_VALUE"""),"WA Undelivered")</f>
        <v>WA Undelivered</v>
      </c>
      <c r="J1077" s="275">
        <f>IFERROR(__xludf.DUMMYFUNCTION("""COMPUTED_VALUE"""),12261.0)</f>
        <v>12261</v>
      </c>
      <c r="K1077" s="275">
        <f>IFERROR(__xludf.DUMMYFUNCTION("""COMPUTED_VALUE"""),6479.0)</f>
        <v>6479</v>
      </c>
      <c r="L1077" s="276">
        <f>IFERROR(__xludf.DUMMYFUNCTION("""COMPUTED_VALUE"""),0.5284)</f>
        <v>0.5284</v>
      </c>
      <c r="M1077" s="275">
        <f>IFERROR(__xludf.DUMMYFUNCTION("""COMPUTED_VALUE"""),0.0)</f>
        <v>0</v>
      </c>
      <c r="N1077" s="276">
        <f>IFERROR(__xludf.DUMMYFUNCTION("""COMPUTED_VALUE"""),0.0)</f>
        <v>0</v>
      </c>
      <c r="O1077" s="208">
        <f>IFERROR(__xludf.DUMMYFUNCTION("""COMPUTED_VALUE"""),14.0)</f>
        <v>14</v>
      </c>
      <c r="P1077" s="208">
        <f>IFERROR(__xludf.DUMMYFUNCTION("""COMPUTED_VALUE"""),0.0)</f>
        <v>0</v>
      </c>
      <c r="Q1077" s="276">
        <f>IFERROR(__xludf.DUMMYFUNCTION("""COMPUTED_VALUE"""),0.0022)</f>
        <v>0.0022</v>
      </c>
      <c r="R1077" s="276">
        <f>IFERROR(__xludf.DUMMYFUNCTION("""COMPUTED_VALUE"""),0.0)</f>
        <v>0</v>
      </c>
      <c r="S1077" s="208">
        <f>IFERROR(__xludf.DUMMYFUNCTION("""COMPUTED_VALUE"""),2.0)</f>
        <v>2</v>
      </c>
      <c r="T1077" s="208">
        <f>IFERROR(__xludf.DUMMYFUNCTION("""COMPUTED_VALUE"""),5.0)</f>
        <v>5</v>
      </c>
      <c r="U1077" s="275">
        <f>IFERROR(__xludf.DUMMYFUNCTION("""COMPUTED_VALUE"""),2877.0)</f>
        <v>2877</v>
      </c>
      <c r="V1077" s="234" t="str">
        <f>IFERROR(__xludf.DUMMYFUNCTION("""COMPUTED_VALUE"""),"online")</f>
        <v>online</v>
      </c>
      <c r="W1077" s="232" t="str">
        <f>IFERROR(__xludf.DUMMYFUNCTION("""COMPUTED_VALUE"""),"SMS")</f>
        <v>SMS</v>
      </c>
      <c r="X1077" s="232" t="str">
        <f>IFERROR(__xludf.DUMMYFUNCTION("""COMPUTED_VALUE"""),"Repeat")</f>
        <v>Repeat</v>
      </c>
      <c r="Y1077" s="232" t="str">
        <f>IFERROR(__xludf.DUMMYFUNCTION("""COMPUTED_VALUE"""),"05 July")</f>
        <v>05 July</v>
      </c>
      <c r="Z1077" s="232" t="str">
        <f>IFERROR(__xludf.DUMMYFUNCTION("""COMPUTED_VALUE"""),"6a44c9160cc8f24d9f5d1d6d")</f>
        <v>6a44c9160cc8f24d9f5d1d6d</v>
      </c>
      <c r="AA1077" s="277">
        <f>IFERROR(__xludf.DUMMYFUNCTION("""COMPUTED_VALUE"""),14.0)</f>
        <v>14</v>
      </c>
      <c r="AB1077" s="277">
        <f>IFERROR(__xludf.DUMMYFUNCTION("""COMPUTED_VALUE"""),14.0)</f>
        <v>14</v>
      </c>
      <c r="AC1077" s="277"/>
      <c r="AD1077" s="277">
        <f>IFERROR(__xludf.DUMMYFUNCTION("""COMPUTED_VALUE"""),32434.0)</f>
        <v>32434</v>
      </c>
      <c r="AE1077" s="277">
        <f>IFERROR(__xludf.DUMMYFUNCTION("""COMPUTED_VALUE"""),32434.0)</f>
        <v>32434</v>
      </c>
      <c r="AF1077" s="277"/>
      <c r="AG1077" s="208"/>
      <c r="AH1077" s="208"/>
      <c r="AI1077" s="208"/>
      <c r="AJ1077" s="208"/>
      <c r="AK1077" s="208"/>
    </row>
    <row r="1078">
      <c r="A1078" s="288">
        <f>IFERROR(__xludf.DUMMYFUNCTION("""COMPUTED_VALUE"""),46208.0)</f>
        <v>46208</v>
      </c>
      <c r="B1078" s="274">
        <f>IFERROR(__xludf.DUMMYFUNCTION("""COMPUTED_VALUE"""),0.8125)</f>
        <v>0.8125</v>
      </c>
      <c r="C1078" s="208" t="str">
        <f>IFERROR(__xludf.DUMMYFUNCTION("""COMPUTED_VALUE"""),"Sms")</f>
        <v>Sms</v>
      </c>
      <c r="D1078" s="208" t="str">
        <f>IFERROR(__xludf.DUMMYFUNCTION("""COMPUTED_VALUE"""),"Fallback campaign")</f>
        <v>Fallback campaign</v>
      </c>
      <c r="E1078" s="208" t="str">
        <f>IFERROR(__xludf.DUMMYFUNCTION("""COMPUTED_VALUE"""),"BBW")</f>
        <v>BBW</v>
      </c>
      <c r="F1078" s="208" t="str">
        <f>IFERROR(__xludf.DUMMYFUNCTION("""COMPUTED_VALUE"""),"B2G2 - July'26 - Entire Store")</f>
        <v>B2G2 - July'26 - Entire Store</v>
      </c>
      <c r="G1078" s="208" t="str">
        <f>IFERROR(__xludf.DUMMYFUNCTION("""COMPUTED_VALUE"""),"bbw_smsfb_b2g2_5july_lastreminder_aov_3100_online")</f>
        <v>bbw_smsfb_b2g2_5july_lastreminder_aov_3100_online</v>
      </c>
      <c r="H1078" s="232" t="str">
        <f>IFERROR(__xludf.DUMMYFUNCTION("""COMPUTED_VALUE"""),"BC_EventBuyers_ON")</f>
        <v>BC_EventBuyers_ON</v>
      </c>
      <c r="I1078" s="233" t="str">
        <f>IFERROR(__xludf.DUMMYFUNCTION("""COMPUTED_VALUE"""),"WA Undelivered")</f>
        <v>WA Undelivered</v>
      </c>
      <c r="J1078" s="275">
        <f>IFERROR(__xludf.DUMMYFUNCTION("""COMPUTED_VALUE"""),4137.0)</f>
        <v>4137</v>
      </c>
      <c r="K1078" s="275">
        <f>IFERROR(__xludf.DUMMYFUNCTION("""COMPUTED_VALUE"""),2206.0)</f>
        <v>2206</v>
      </c>
      <c r="L1078" s="276">
        <f>IFERROR(__xludf.DUMMYFUNCTION("""COMPUTED_VALUE"""),0.5332)</f>
        <v>0.5332</v>
      </c>
      <c r="M1078" s="275">
        <f>IFERROR(__xludf.DUMMYFUNCTION("""COMPUTED_VALUE"""),0.0)</f>
        <v>0</v>
      </c>
      <c r="N1078" s="276">
        <f>IFERROR(__xludf.DUMMYFUNCTION("""COMPUTED_VALUE"""),0.0)</f>
        <v>0</v>
      </c>
      <c r="O1078" s="208">
        <f>IFERROR(__xludf.DUMMYFUNCTION("""COMPUTED_VALUE"""),3.0)</f>
        <v>3</v>
      </c>
      <c r="P1078" s="208">
        <f>IFERROR(__xludf.DUMMYFUNCTION("""COMPUTED_VALUE"""),0.0)</f>
        <v>0</v>
      </c>
      <c r="Q1078" s="276">
        <f>IFERROR(__xludf.DUMMYFUNCTION("""COMPUTED_VALUE"""),0.0014)</f>
        <v>0.0014</v>
      </c>
      <c r="R1078" s="276">
        <f>IFERROR(__xludf.DUMMYFUNCTION("""COMPUTED_VALUE"""),0.0)</f>
        <v>0</v>
      </c>
      <c r="S1078" s="208">
        <f>IFERROR(__xludf.DUMMYFUNCTION("""COMPUTED_VALUE"""),1.0)</f>
        <v>1</v>
      </c>
      <c r="T1078" s="208">
        <f>IFERROR(__xludf.DUMMYFUNCTION("""COMPUTED_VALUE"""),3.0)</f>
        <v>3</v>
      </c>
      <c r="U1078" s="275">
        <f>IFERROR(__xludf.DUMMYFUNCTION("""COMPUTED_VALUE"""),2290.0)</f>
        <v>2290</v>
      </c>
      <c r="V1078" s="234" t="str">
        <f>IFERROR(__xludf.DUMMYFUNCTION("""COMPUTED_VALUE"""),"online")</f>
        <v>online</v>
      </c>
      <c r="W1078" s="232" t="str">
        <f>IFERROR(__xludf.DUMMYFUNCTION("""COMPUTED_VALUE"""),"simple")</f>
        <v>simple</v>
      </c>
      <c r="X1078" s="232" t="str">
        <f>IFERROR(__xludf.DUMMYFUNCTION("""COMPUTED_VALUE"""),"Event Buyers")</f>
        <v>Event Buyers</v>
      </c>
      <c r="Y1078" s="232" t="str">
        <f>IFERROR(__xludf.DUMMYFUNCTION("""COMPUTED_VALUE"""),"05 July")</f>
        <v>05 July</v>
      </c>
      <c r="Z1078" s="232" t="str">
        <f>IFERROR(__xludf.DUMMYFUNCTION("""COMPUTED_VALUE"""),"6a44c9a57cc8a38844542cff")</f>
        <v>6a44c9a57cc8a38844542cff</v>
      </c>
      <c r="AA1078" s="277">
        <f>IFERROR(__xludf.DUMMYFUNCTION("""COMPUTED_VALUE"""),3.0)</f>
        <v>3</v>
      </c>
      <c r="AB1078" s="277">
        <f>IFERROR(__xludf.DUMMYFUNCTION("""COMPUTED_VALUE"""),3.0)</f>
        <v>3</v>
      </c>
      <c r="AC1078" s="277"/>
      <c r="AD1078" s="277">
        <f>IFERROR(__xludf.DUMMYFUNCTION("""COMPUTED_VALUE"""),7818.0)</f>
        <v>7818</v>
      </c>
      <c r="AE1078" s="277">
        <f>IFERROR(__xludf.DUMMYFUNCTION("""COMPUTED_VALUE"""),7818.0)</f>
        <v>7818</v>
      </c>
      <c r="AF1078" s="277"/>
      <c r="AG1078" s="208"/>
      <c r="AH1078" s="208"/>
      <c r="AI1078" s="208"/>
      <c r="AJ1078" s="208"/>
      <c r="AK1078" s="208"/>
    </row>
    <row r="1079">
      <c r="A1079" s="288">
        <f>IFERROR(__xludf.DUMMYFUNCTION("""COMPUTED_VALUE"""),46208.0)</f>
        <v>46208</v>
      </c>
      <c r="B1079" s="274">
        <f>IFERROR(__xludf.DUMMYFUNCTION("""COMPUTED_VALUE"""),0.8125)</f>
        <v>0.8125</v>
      </c>
      <c r="C1079" s="208" t="str">
        <f>IFERROR(__xludf.DUMMYFUNCTION("""COMPUTED_VALUE"""),"Sms")</f>
        <v>Sms</v>
      </c>
      <c r="D1079" s="208" t="str">
        <f>IFERROR(__xludf.DUMMYFUNCTION("""COMPUTED_VALUE"""),"Fallback campaign")</f>
        <v>Fallback campaign</v>
      </c>
      <c r="E1079" s="208" t="str">
        <f>IFERROR(__xludf.DUMMYFUNCTION("""COMPUTED_VALUE"""),"BBW")</f>
        <v>BBW</v>
      </c>
      <c r="F1079" s="208" t="str">
        <f>IFERROR(__xludf.DUMMYFUNCTION("""COMPUTED_VALUE"""),"B2G2 - July'26 - Entire Store")</f>
        <v>B2G2 - July'26 - Entire Store</v>
      </c>
      <c r="G1079" s="208" t="str">
        <f>IFERROR(__xludf.DUMMYFUNCTION("""COMPUTED_VALUE"""),"bbw_smsfb_b2g2_5july_lastreminder_dormant_online")</f>
        <v>bbw_smsfb_b2g2_5july_lastreminder_dormant_online</v>
      </c>
      <c r="H1079" s="232" t="str">
        <f>IFERROR(__xludf.DUMMYFUNCTION("""COMPUTED_VALUE"""),"BBW_ON_BC_1100_1_time_365D")</f>
        <v>BBW_ON_BC_1100_1_time_365D</v>
      </c>
      <c r="I1079" s="233" t="str">
        <f>IFERROR(__xludf.DUMMYFUNCTION("""COMPUTED_VALUE"""),"WA Undelivered")</f>
        <v>WA Undelivered</v>
      </c>
      <c r="J1079" s="275">
        <f>IFERROR(__xludf.DUMMYFUNCTION("""COMPUTED_VALUE"""),3474.0)</f>
        <v>3474</v>
      </c>
      <c r="K1079" s="275">
        <f>IFERROR(__xludf.DUMMYFUNCTION("""COMPUTED_VALUE"""),2222.0)</f>
        <v>2222</v>
      </c>
      <c r="L1079" s="276">
        <f>IFERROR(__xludf.DUMMYFUNCTION("""COMPUTED_VALUE"""),0.6396)</f>
        <v>0.6396</v>
      </c>
      <c r="M1079" s="275">
        <f>IFERROR(__xludf.DUMMYFUNCTION("""COMPUTED_VALUE"""),0.0)</f>
        <v>0</v>
      </c>
      <c r="N1079" s="276">
        <f>IFERROR(__xludf.DUMMYFUNCTION("""COMPUTED_VALUE"""),0.0)</f>
        <v>0</v>
      </c>
      <c r="O1079" s="208">
        <f>IFERROR(__xludf.DUMMYFUNCTION("""COMPUTED_VALUE"""),3.0)</f>
        <v>3</v>
      </c>
      <c r="P1079" s="208">
        <f>IFERROR(__xludf.DUMMYFUNCTION("""COMPUTED_VALUE"""),0.0)</f>
        <v>0</v>
      </c>
      <c r="Q1079" s="276">
        <f>IFERROR(__xludf.DUMMYFUNCTION("""COMPUTED_VALUE"""),0.0014)</f>
        <v>0.0014</v>
      </c>
      <c r="R1079" s="276">
        <f>IFERROR(__xludf.DUMMYFUNCTION("""COMPUTED_VALUE"""),0.0)</f>
        <v>0</v>
      </c>
      <c r="S1079" s="208">
        <f>IFERROR(__xludf.DUMMYFUNCTION("""COMPUTED_VALUE"""),1.0)</f>
        <v>1</v>
      </c>
      <c r="T1079" s="208">
        <f>IFERROR(__xludf.DUMMYFUNCTION("""COMPUTED_VALUE"""),2.0)</f>
        <v>2</v>
      </c>
      <c r="U1079" s="275">
        <f>IFERROR(__xludf.DUMMYFUNCTION("""COMPUTED_VALUE"""),709.0)</f>
        <v>709</v>
      </c>
      <c r="V1079" s="234" t="str">
        <f>IFERROR(__xludf.DUMMYFUNCTION("""COMPUTED_VALUE"""),"online")</f>
        <v>online</v>
      </c>
      <c r="W1079" s="232" t="str">
        <f>IFERROR(__xludf.DUMMYFUNCTION("""COMPUTED_VALUE"""),"simple")</f>
        <v>simple</v>
      </c>
      <c r="X1079" s="232" t="str">
        <f>IFERROR(__xludf.DUMMYFUNCTION("""COMPUTED_VALUE"""),"Cart Value")</f>
        <v>Cart Value</v>
      </c>
      <c r="Y1079" s="232" t="str">
        <f>IFERROR(__xludf.DUMMYFUNCTION("""COMPUTED_VALUE"""),"05 July")</f>
        <v>05 July</v>
      </c>
      <c r="Z1079" s="232" t="str">
        <f>IFERROR(__xludf.DUMMYFUNCTION("""COMPUTED_VALUE"""),"6a44ca081165e563bfc25e19")</f>
        <v>6a44ca081165e563bfc25e19</v>
      </c>
      <c r="AA1079" s="277">
        <f>IFERROR(__xludf.DUMMYFUNCTION("""COMPUTED_VALUE"""),4.0)</f>
        <v>4</v>
      </c>
      <c r="AB1079" s="277">
        <f>IFERROR(__xludf.DUMMYFUNCTION("""COMPUTED_VALUE"""),4.0)</f>
        <v>4</v>
      </c>
      <c r="AC1079" s="277"/>
      <c r="AD1079" s="277">
        <f>IFERROR(__xludf.DUMMYFUNCTION("""COMPUTED_VALUE"""),6070.0)</f>
        <v>6070</v>
      </c>
      <c r="AE1079" s="277">
        <f>IFERROR(__xludf.DUMMYFUNCTION("""COMPUTED_VALUE"""),6070.0)</f>
        <v>6070</v>
      </c>
      <c r="AF1079" s="277"/>
      <c r="AG1079" s="208"/>
      <c r="AH1079" s="208"/>
      <c r="AI1079" s="208"/>
      <c r="AJ1079" s="208"/>
      <c r="AK1079" s="208"/>
    </row>
    <row r="1080">
      <c r="A1080" s="288">
        <f>IFERROR(__xludf.DUMMYFUNCTION("""COMPUTED_VALUE"""),46208.0)</f>
        <v>46208</v>
      </c>
      <c r="B1080" s="274">
        <f>IFERROR(__xludf.DUMMYFUNCTION("""COMPUTED_VALUE"""),0.8125)</f>
        <v>0.8125</v>
      </c>
      <c r="C1080" s="208" t="str">
        <f>IFERROR(__xludf.DUMMYFUNCTION("""COMPUTED_VALUE"""),"Sms")</f>
        <v>Sms</v>
      </c>
      <c r="D1080" s="208" t="str">
        <f>IFERROR(__xludf.DUMMYFUNCTION("""COMPUTED_VALUE"""),"Fallback campaign")</f>
        <v>Fallback campaign</v>
      </c>
      <c r="E1080" s="208" t="str">
        <f>IFERROR(__xludf.DUMMYFUNCTION("""COMPUTED_VALUE"""),"BBW")</f>
        <v>BBW</v>
      </c>
      <c r="F1080" s="208" t="str">
        <f>IFERROR(__xludf.DUMMYFUNCTION("""COMPUTED_VALUE"""),"B2G2 - July'26 - Entire Store")</f>
        <v>B2G2 - July'26 - Entire Store</v>
      </c>
      <c r="G1080" s="208" t="str">
        <f>IFERROR(__xludf.DUMMYFUNCTION("""COMPUTED_VALUE"""),"bbw_smsfb_b2g2_5july_event_buyers_lastreminder_overall")</f>
        <v>bbw_smsfb_b2g2_5july_event_buyers_lastreminder_overall</v>
      </c>
      <c r="H1080" s="232" t="str">
        <f>IFERROR(__xludf.DUMMYFUNCTION("""COMPUTED_VALUE"""),"BBW_ON_OFF_B2G2_Event_Buyers")</f>
        <v>BBW_ON_OFF_B2G2_Event_Buyers</v>
      </c>
      <c r="I1080" s="233" t="str">
        <f>IFERROR(__xludf.DUMMYFUNCTION("""COMPUTED_VALUE"""),"WA Undelivered")</f>
        <v>WA Undelivered</v>
      </c>
      <c r="J1080" s="275">
        <f>IFERROR(__xludf.DUMMYFUNCTION("""COMPUTED_VALUE"""),32360.0)</f>
        <v>32360</v>
      </c>
      <c r="K1080" s="275">
        <f>IFERROR(__xludf.DUMMYFUNCTION("""COMPUTED_VALUE"""),17431.0)</f>
        <v>17431</v>
      </c>
      <c r="L1080" s="276">
        <f>IFERROR(__xludf.DUMMYFUNCTION("""COMPUTED_VALUE"""),0.5387)</f>
        <v>0.5387</v>
      </c>
      <c r="M1080" s="275">
        <f>IFERROR(__xludf.DUMMYFUNCTION("""COMPUTED_VALUE"""),0.0)</f>
        <v>0</v>
      </c>
      <c r="N1080" s="276">
        <f>IFERROR(__xludf.DUMMYFUNCTION("""COMPUTED_VALUE"""),0.0)</f>
        <v>0</v>
      </c>
      <c r="O1080" s="208">
        <f>IFERROR(__xludf.DUMMYFUNCTION("""COMPUTED_VALUE"""),25.0)</f>
        <v>25</v>
      </c>
      <c r="P1080" s="208">
        <f>IFERROR(__xludf.DUMMYFUNCTION("""COMPUTED_VALUE"""),0.0)</f>
        <v>0</v>
      </c>
      <c r="Q1080" s="276">
        <f>IFERROR(__xludf.DUMMYFUNCTION("""COMPUTED_VALUE"""),0.0014)</f>
        <v>0.0014</v>
      </c>
      <c r="R1080" s="276">
        <f>IFERROR(__xludf.DUMMYFUNCTION("""COMPUTED_VALUE"""),0.0)</f>
        <v>0</v>
      </c>
      <c r="S1080" s="208">
        <f>IFERROR(__xludf.DUMMYFUNCTION("""COMPUTED_VALUE"""),1.0)</f>
        <v>1</v>
      </c>
      <c r="T1080" s="208">
        <f>IFERROR(__xludf.DUMMYFUNCTION("""COMPUTED_VALUE"""),2.0)</f>
        <v>2</v>
      </c>
      <c r="U1080" s="275">
        <f>IFERROR(__xludf.DUMMYFUNCTION("""COMPUTED_VALUE"""),3728.0)</f>
        <v>3728</v>
      </c>
      <c r="V1080" s="234" t="str">
        <f>IFERROR(__xludf.DUMMYFUNCTION("""COMPUTED_VALUE"""),"overall")</f>
        <v>overall</v>
      </c>
      <c r="W1080" s="232" t="str">
        <f>IFERROR(__xludf.DUMMYFUNCTION("""COMPUTED_VALUE"""),"SMS")</f>
        <v>SMS</v>
      </c>
      <c r="X1080" s="232" t="str">
        <f>IFERROR(__xludf.DUMMYFUNCTION("""COMPUTED_VALUE"""),"Event Buyers")</f>
        <v>Event Buyers</v>
      </c>
      <c r="Y1080" s="232" t="str">
        <f>IFERROR(__xludf.DUMMYFUNCTION("""COMPUTED_VALUE"""),"05 July")</f>
        <v>05 July</v>
      </c>
      <c r="Z1080" s="232" t="str">
        <f>IFERROR(__xludf.DUMMYFUNCTION("""COMPUTED_VALUE"""),"6a44ca49e913f86c26e2a0fc")</f>
        <v>6a44ca49e913f86c26e2a0fc</v>
      </c>
      <c r="AA1080" s="277">
        <f>IFERROR(__xludf.DUMMYFUNCTION("""COMPUTED_VALUE"""),70.0)</f>
        <v>70</v>
      </c>
      <c r="AB1080" s="277">
        <f>IFERROR(__xludf.DUMMYFUNCTION("""COMPUTED_VALUE"""),6.0)</f>
        <v>6</v>
      </c>
      <c r="AC1080" s="277">
        <f>IFERROR(__xludf.DUMMYFUNCTION("""COMPUTED_VALUE"""),64.0)</f>
        <v>64</v>
      </c>
      <c r="AD1080" s="277">
        <f>IFERROR(__xludf.DUMMYFUNCTION("""COMPUTED_VALUE"""),272607.0)</f>
        <v>272607</v>
      </c>
      <c r="AE1080" s="277">
        <f>IFERROR(__xludf.DUMMYFUNCTION("""COMPUTED_VALUE"""),18354.0)</f>
        <v>18354</v>
      </c>
      <c r="AF1080" s="277">
        <f>IFERROR(__xludf.DUMMYFUNCTION("""COMPUTED_VALUE"""),254253.0)</f>
        <v>254253</v>
      </c>
      <c r="AG1080" s="208"/>
      <c r="AH1080" s="208"/>
      <c r="AI1080" s="208"/>
      <c r="AJ1080" s="208"/>
      <c r="AK1080" s="208"/>
    </row>
    <row r="1081">
      <c r="A1081" s="288">
        <f>IFERROR(__xludf.DUMMYFUNCTION("""COMPUTED_VALUE"""),46213.0)</f>
        <v>46213</v>
      </c>
      <c r="B1081" s="274">
        <f>IFERROR(__xludf.DUMMYFUNCTION("""COMPUTED_VALUE"""),0.4583333333321207)</f>
        <v>0.4583333333</v>
      </c>
      <c r="C1081" s="208" t="str">
        <f>IFERROR(__xludf.DUMMYFUNCTION("""COMPUTED_VALUE"""),"Whatsapp")</f>
        <v>Whatsapp</v>
      </c>
      <c r="D1081" s="208" t="str">
        <f>IFERROR(__xludf.DUMMYFUNCTION("""COMPUTED_VALUE"""),"Promotional")</f>
        <v>Promotional</v>
      </c>
      <c r="E1081" s="208" t="str">
        <f>IFERROR(__xludf.DUMMYFUNCTION("""COMPUTED_VALUE"""),"BBW")</f>
        <v>BBW</v>
      </c>
      <c r="F1081" s="208" t="str">
        <f>IFERROR(__xludf.DUMMYFUNCTION("""COMPUTED_VALUE"""),"SAS - Reminder July'26 - Entire Store")</f>
        <v>SAS - Reminder July'26 - Entire Store</v>
      </c>
      <c r="G1081" s="208" t="str">
        <f>IFERROR(__xludf.DUMMYFUNCTION("""COMPUTED_VALUE"""),"bbw_wa_sas_last_reminder_july2026_active_online")</f>
        <v>bbw_wa_sas_last_reminder_july2026_active_online</v>
      </c>
      <c r="H1081" s="232" t="str">
        <f>IFERROR(__xludf.DUMMYFUNCTION("""COMPUTED_VALUE"""),"BBW_ON_Active_EOSS_26")</f>
        <v>BBW_ON_Active_EOSS_26</v>
      </c>
      <c r="I1081" s="233" t="str">
        <f>IFERROR(__xludf.DUMMYFUNCTION("""COMPUTED_VALUE"""),"Online customers who have purchased in the last 84 days")</f>
        <v>Online customers who have purchased in the last 84 days</v>
      </c>
      <c r="J1081" s="275">
        <f>IFERROR(__xludf.DUMMYFUNCTION("""COMPUTED_VALUE"""),34235.0)</f>
        <v>34235</v>
      </c>
      <c r="K1081" s="275">
        <f>IFERROR(__xludf.DUMMYFUNCTION("""COMPUTED_VALUE"""),17743.0)</f>
        <v>17743</v>
      </c>
      <c r="L1081" s="276">
        <f>IFERROR(__xludf.DUMMYFUNCTION("""COMPUTED_VALUE"""),0.5182)</f>
        <v>0.5182</v>
      </c>
      <c r="M1081" s="275">
        <f>IFERROR(__xludf.DUMMYFUNCTION("""COMPUTED_VALUE"""),7855.0)</f>
        <v>7855</v>
      </c>
      <c r="N1081" s="276">
        <f>IFERROR(__xludf.DUMMYFUNCTION("""COMPUTED_VALUE"""),0.4426)</f>
        <v>0.4426</v>
      </c>
      <c r="O1081" s="208">
        <f>IFERROR(__xludf.DUMMYFUNCTION("""COMPUTED_VALUE"""),1692.0)</f>
        <v>1692</v>
      </c>
      <c r="P1081" s="208">
        <f>IFERROR(__xludf.DUMMYFUNCTION("""COMPUTED_VALUE"""),1542.0)</f>
        <v>1542</v>
      </c>
      <c r="Q1081" s="276">
        <f>IFERROR(__xludf.DUMMYFUNCTION("""COMPUTED_VALUE"""),0.0869)</f>
        <v>0.0869</v>
      </c>
      <c r="R1081" s="276">
        <f>IFERROR(__xludf.DUMMYFUNCTION("""COMPUTED_VALUE"""),0.1964)</f>
        <v>0.1964</v>
      </c>
      <c r="S1081" s="208">
        <f>IFERROR(__xludf.DUMMYFUNCTION("""COMPUTED_VALUE"""),34.0)</f>
        <v>34</v>
      </c>
      <c r="T1081" s="208">
        <f>IFERROR(__xludf.DUMMYFUNCTION("""COMPUTED_VALUE"""),116.0)</f>
        <v>116</v>
      </c>
      <c r="U1081" s="275">
        <f>IFERROR(__xludf.DUMMYFUNCTION("""COMPUTED_VALUE"""),128088.0)</f>
        <v>128088</v>
      </c>
      <c r="V1081" s="234" t="str">
        <f>IFERROR(__xludf.DUMMYFUNCTION("""COMPUTED_VALUE"""),"online")</f>
        <v>online</v>
      </c>
      <c r="W1081" s="232" t="str">
        <f>IFERROR(__xludf.DUMMYFUNCTION("""COMPUTED_VALUE"""),"simple")</f>
        <v>simple</v>
      </c>
      <c r="X1081" s="232" t="str">
        <f>IFERROR(__xludf.DUMMYFUNCTION("""COMPUTED_VALUE"""),"Active")</f>
        <v>Active</v>
      </c>
      <c r="Y1081" s="232" t="str">
        <f>IFERROR(__xludf.DUMMYFUNCTION("""COMPUTED_VALUE"""),"10-12 July")</f>
        <v>10-12 July</v>
      </c>
      <c r="Z1081" s="232" t="str">
        <f>IFERROR(__xludf.DUMMYFUNCTION("""COMPUTED_VALUE"""),"6a4d1ac4b81e9a0453e8a528")</f>
        <v>6a4d1ac4b81e9a0453e8a528</v>
      </c>
      <c r="AA1081" s="277">
        <f>IFERROR(__xludf.DUMMYFUNCTION("""COMPUTED_VALUE"""),148.0)</f>
        <v>148</v>
      </c>
      <c r="AB1081" s="277">
        <f>IFERROR(__xludf.DUMMYFUNCTION("""COMPUTED_VALUE"""),148.0)</f>
        <v>148</v>
      </c>
      <c r="AC1081" s="277"/>
      <c r="AD1081" s="277">
        <f>IFERROR(__xludf.DUMMYFUNCTION("""COMPUTED_VALUE"""),447197.0)</f>
        <v>447197</v>
      </c>
      <c r="AE1081" s="277">
        <f>IFERROR(__xludf.DUMMYFUNCTION("""COMPUTED_VALUE"""),447197.0)</f>
        <v>447197</v>
      </c>
      <c r="AF1081" s="277"/>
      <c r="AG1081" s="208"/>
      <c r="AH1081" s="208"/>
      <c r="AI1081" s="208"/>
      <c r="AJ1081" s="208"/>
      <c r="AK1081" s="208"/>
    </row>
    <row r="1082">
      <c r="A1082" s="288">
        <f>IFERROR(__xludf.DUMMYFUNCTION("""COMPUTED_VALUE"""),46213.0)</f>
        <v>46213</v>
      </c>
      <c r="B1082" s="274">
        <f>IFERROR(__xludf.DUMMYFUNCTION("""COMPUTED_VALUE"""),0.4583333333321207)</f>
        <v>0.4583333333</v>
      </c>
      <c r="C1082" s="208" t="str">
        <f>IFERROR(__xludf.DUMMYFUNCTION("""COMPUTED_VALUE"""),"Whatsapp")</f>
        <v>Whatsapp</v>
      </c>
      <c r="D1082" s="208" t="str">
        <f>IFERROR(__xludf.DUMMYFUNCTION("""COMPUTED_VALUE"""),"Promotional")</f>
        <v>Promotional</v>
      </c>
      <c r="E1082" s="208" t="str">
        <f>IFERROR(__xludf.DUMMYFUNCTION("""COMPUTED_VALUE"""),"BBW")</f>
        <v>BBW</v>
      </c>
      <c r="F1082" s="208" t="str">
        <f>IFERROR(__xludf.DUMMYFUNCTION("""COMPUTED_VALUE"""),"SAS - Reminder July'26 - Entire Store")</f>
        <v>SAS - Reminder July'26 - Entire Store</v>
      </c>
      <c r="G1082" s="208" t="str">
        <f>IFERROR(__xludf.DUMMYFUNCTION("""COMPUTED_VALUE"""),"bbw_wa_sas_last_reminder_july2026_active_offline")</f>
        <v>bbw_wa_sas_last_reminder_july2026_active_offline</v>
      </c>
      <c r="H1082" s="232" t="str">
        <f>IFERROR(__xludf.DUMMYFUNCTION("""COMPUTED_VALUE"""),"BBW_OFF_Active_EOSS_26")</f>
        <v>BBW_OFF_Active_EOSS_26</v>
      </c>
      <c r="I1082" s="233" t="str">
        <f>IFERROR(__xludf.DUMMYFUNCTION("""COMPUTED_VALUE"""),"Offline customers who have purchased in the last 105 days")</f>
        <v>Offline customers who have purchased in the last 105 days</v>
      </c>
      <c r="J1082" s="275">
        <f>IFERROR(__xludf.DUMMYFUNCTION("""COMPUTED_VALUE"""),152558.0)</f>
        <v>152558</v>
      </c>
      <c r="K1082" s="275">
        <f>IFERROR(__xludf.DUMMYFUNCTION("""COMPUTED_VALUE"""),82130.0)</f>
        <v>82130</v>
      </c>
      <c r="L1082" s="276">
        <f>IFERROR(__xludf.DUMMYFUNCTION("""COMPUTED_VALUE"""),0.5383)</f>
        <v>0.5383</v>
      </c>
      <c r="M1082" s="275">
        <f>IFERROR(__xludf.DUMMYFUNCTION("""COMPUTED_VALUE"""),32568.0)</f>
        <v>32568</v>
      </c>
      <c r="N1082" s="276">
        <f>IFERROR(__xludf.DUMMYFUNCTION("""COMPUTED_VALUE"""),0.3965)</f>
        <v>0.3965</v>
      </c>
      <c r="O1082" s="208">
        <f>IFERROR(__xludf.DUMMYFUNCTION("""COMPUTED_VALUE"""),4511.0)</f>
        <v>4511</v>
      </c>
      <c r="P1082" s="208">
        <f>IFERROR(__xludf.DUMMYFUNCTION("""COMPUTED_VALUE"""),4129.0)</f>
        <v>4129</v>
      </c>
      <c r="Q1082" s="276">
        <f>IFERROR(__xludf.DUMMYFUNCTION("""COMPUTED_VALUE"""),0.0503)</f>
        <v>0.0503</v>
      </c>
      <c r="R1082" s="276">
        <f>IFERROR(__xludf.DUMMYFUNCTION("""COMPUTED_VALUE"""),0.1268)</f>
        <v>0.1268</v>
      </c>
      <c r="S1082" s="208">
        <f>IFERROR(__xludf.DUMMYFUNCTION("""COMPUTED_VALUE"""),22.0)</f>
        <v>22</v>
      </c>
      <c r="T1082" s="208">
        <f>IFERROR(__xludf.DUMMYFUNCTION("""COMPUTED_VALUE"""),90.0)</f>
        <v>90</v>
      </c>
      <c r="U1082" s="275">
        <f>IFERROR(__xludf.DUMMYFUNCTION("""COMPUTED_VALUE"""),92958.0)</f>
        <v>92958</v>
      </c>
      <c r="V1082" s="234" t="str">
        <f>IFERROR(__xludf.DUMMYFUNCTION("""COMPUTED_VALUE"""),"offline")</f>
        <v>offline</v>
      </c>
      <c r="W1082" s="232" t="str">
        <f>IFERROR(__xludf.DUMMYFUNCTION("""COMPUTED_VALUE"""),"simple")</f>
        <v>simple</v>
      </c>
      <c r="X1082" s="232" t="str">
        <f>IFERROR(__xludf.DUMMYFUNCTION("""COMPUTED_VALUE"""),"Active")</f>
        <v>Active</v>
      </c>
      <c r="Y1082" s="232" t="str">
        <f>IFERROR(__xludf.DUMMYFUNCTION("""COMPUTED_VALUE"""),"10-12 July")</f>
        <v>10-12 July</v>
      </c>
      <c r="Z1082" s="232" t="str">
        <f>IFERROR(__xludf.DUMMYFUNCTION("""COMPUTED_VALUE"""),"6a4d1b05f13972bbec182f24")</f>
        <v>6a4d1b05f13972bbec182f24</v>
      </c>
      <c r="AA1082" s="277">
        <f>IFERROR(__xludf.DUMMYFUNCTION("""COMPUTED_VALUE"""),685.0)</f>
        <v>685</v>
      </c>
      <c r="AB1082" s="277"/>
      <c r="AC1082" s="277">
        <f>IFERROR(__xludf.DUMMYFUNCTION("""COMPUTED_VALUE"""),685.0)</f>
        <v>685</v>
      </c>
      <c r="AD1082" s="277">
        <f>IFERROR(__xludf.DUMMYFUNCTION("""COMPUTED_VALUE"""),2694252.0)</f>
        <v>2694252</v>
      </c>
      <c r="AE1082" s="277"/>
      <c r="AF1082" s="277">
        <f>IFERROR(__xludf.DUMMYFUNCTION("""COMPUTED_VALUE"""),2694252.0)</f>
        <v>2694252</v>
      </c>
      <c r="AG1082" s="208"/>
      <c r="AH1082" s="208"/>
      <c r="AI1082" s="208"/>
      <c r="AJ1082" s="208"/>
      <c r="AK1082" s="208"/>
    </row>
    <row r="1083">
      <c r="A1083" s="288">
        <f>IFERROR(__xludf.DUMMYFUNCTION("""COMPUTED_VALUE"""),46214.0)</f>
        <v>46214</v>
      </c>
      <c r="B1083" s="274">
        <f>IFERROR(__xludf.DUMMYFUNCTION("""COMPUTED_VALUE"""),0.5)</f>
        <v>0.5</v>
      </c>
      <c r="C1083" s="208" t="str">
        <f>IFERROR(__xludf.DUMMYFUNCTION("""COMPUTED_VALUE"""),"Whatsapp")</f>
        <v>Whatsapp</v>
      </c>
      <c r="D1083" s="208" t="str">
        <f>IFERROR(__xludf.DUMMYFUNCTION("""COMPUTED_VALUE"""),"Promotional")</f>
        <v>Promotional</v>
      </c>
      <c r="E1083" s="208" t="str">
        <f>IFERROR(__xludf.DUMMYFUNCTION("""COMPUTED_VALUE"""),"BBW")</f>
        <v>BBW</v>
      </c>
      <c r="F1083" s="208" t="str">
        <f>IFERROR(__xludf.DUMMYFUNCTION("""COMPUTED_VALUE"""),"SAS - Reminder July'26 - Entire Store")</f>
        <v>SAS - Reminder July'26 - Entire Store</v>
      </c>
      <c r="G1083" s="208" t="str">
        <f>IFERROR(__xludf.DUMMYFUNCTION("""COMPUTED_VALUE"""),"bbw_wa_sas_last_reminder_july2026_dormant_online")</f>
        <v>bbw_wa_sas_last_reminder_july2026_dormant_online</v>
      </c>
      <c r="H1083" s="232" t="str">
        <f>IFERROR(__xludf.DUMMYFUNCTION("""COMPUTED_VALUE"""),"BBW_ON_Dorm_EOSS_26")</f>
        <v>BBW_ON_Dorm_EOSS_26</v>
      </c>
      <c r="I1083" s="233" t="str">
        <f>IFERROR(__xludf.DUMMYFUNCTION("""COMPUTED_VALUE"""),"Online customers who have purchased in the last 365 days")</f>
        <v>Online customers who have purchased in the last 365 days</v>
      </c>
      <c r="J1083" s="275">
        <f>IFERROR(__xludf.DUMMYFUNCTION("""COMPUTED_VALUE"""),86915.0)</f>
        <v>86915</v>
      </c>
      <c r="K1083" s="275">
        <f>IFERROR(__xludf.DUMMYFUNCTION("""COMPUTED_VALUE"""),37370.0)</f>
        <v>37370</v>
      </c>
      <c r="L1083" s="276">
        <f>IFERROR(__xludf.DUMMYFUNCTION("""COMPUTED_VALUE"""),0.4299)</f>
        <v>0.4299</v>
      </c>
      <c r="M1083" s="275">
        <f>IFERROR(__xludf.DUMMYFUNCTION("""COMPUTED_VALUE"""),13609.0)</f>
        <v>13609</v>
      </c>
      <c r="N1083" s="276">
        <f>IFERROR(__xludf.DUMMYFUNCTION("""COMPUTED_VALUE"""),0.364)</f>
        <v>0.364</v>
      </c>
      <c r="O1083" s="208">
        <f>IFERROR(__xludf.DUMMYFUNCTION("""COMPUTED_VALUE"""),2350.0)</f>
        <v>2350</v>
      </c>
      <c r="P1083" s="208">
        <f>IFERROR(__xludf.DUMMYFUNCTION("""COMPUTED_VALUE"""),2166.0)</f>
        <v>2166</v>
      </c>
      <c r="Q1083" s="276">
        <f>IFERROR(__xludf.DUMMYFUNCTION("""COMPUTED_VALUE"""),0.058)</f>
        <v>0.058</v>
      </c>
      <c r="R1083" s="276">
        <f>IFERROR(__xludf.DUMMYFUNCTION("""COMPUTED_VALUE"""),0.1593)</f>
        <v>0.1593</v>
      </c>
      <c r="S1083" s="208">
        <f>IFERROR(__xludf.DUMMYFUNCTION("""COMPUTED_VALUE"""),19.0)</f>
        <v>19</v>
      </c>
      <c r="T1083" s="208">
        <f>IFERROR(__xludf.DUMMYFUNCTION("""COMPUTED_VALUE"""),43.0)</f>
        <v>43</v>
      </c>
      <c r="U1083" s="275">
        <f>IFERROR(__xludf.DUMMYFUNCTION("""COMPUTED_VALUE"""),46302.0)</f>
        <v>46302</v>
      </c>
      <c r="V1083" s="234" t="str">
        <f>IFERROR(__xludf.DUMMYFUNCTION("""COMPUTED_VALUE"""),"online")</f>
        <v>online</v>
      </c>
      <c r="W1083" s="232" t="str">
        <f>IFERROR(__xludf.DUMMYFUNCTION("""COMPUTED_VALUE"""),"simple")</f>
        <v>simple</v>
      </c>
      <c r="X1083" s="232" t="str">
        <f>IFERROR(__xludf.DUMMYFUNCTION("""COMPUTED_VALUE"""),"Dormant")</f>
        <v>Dormant</v>
      </c>
      <c r="Y1083" s="232" t="str">
        <f>IFERROR(__xludf.DUMMYFUNCTION("""COMPUTED_VALUE"""),"11th - 13th July")</f>
        <v>11th - 13th July</v>
      </c>
      <c r="Z1083" s="232" t="str">
        <f>IFERROR(__xludf.DUMMYFUNCTION("""COMPUTED_VALUE"""),"6a4d1b6bb81e9a0453e8a52e")</f>
        <v>6a4d1b6bb81e9a0453e8a52e</v>
      </c>
      <c r="AA1083" s="277">
        <f>IFERROR(__xludf.DUMMYFUNCTION("""COMPUTED_VALUE"""),142.0)</f>
        <v>142</v>
      </c>
      <c r="AB1083" s="277">
        <f>IFERROR(__xludf.DUMMYFUNCTION("""COMPUTED_VALUE"""),142.0)</f>
        <v>142</v>
      </c>
      <c r="AC1083" s="277"/>
      <c r="AD1083" s="277">
        <f>IFERROR(__xludf.DUMMYFUNCTION("""COMPUTED_VALUE"""),355233.0)</f>
        <v>355233</v>
      </c>
      <c r="AE1083" s="277">
        <f>IFERROR(__xludf.DUMMYFUNCTION("""COMPUTED_VALUE"""),355233.0)</f>
        <v>355233</v>
      </c>
      <c r="AF1083" s="277"/>
      <c r="AG1083" s="208"/>
      <c r="AH1083" s="208"/>
      <c r="AI1083" s="208"/>
      <c r="AJ1083" s="208"/>
      <c r="AK1083" s="208"/>
    </row>
    <row r="1084">
      <c r="A1084" s="288">
        <f>IFERROR(__xludf.DUMMYFUNCTION("""COMPUTED_VALUE"""),46214.0)</f>
        <v>46214</v>
      </c>
      <c r="B1084" s="274">
        <f>IFERROR(__xludf.DUMMYFUNCTION("""COMPUTED_VALUE"""),0.5)</f>
        <v>0.5</v>
      </c>
      <c r="C1084" s="208" t="str">
        <f>IFERROR(__xludf.DUMMYFUNCTION("""COMPUTED_VALUE"""),"Whatsapp")</f>
        <v>Whatsapp</v>
      </c>
      <c r="D1084" s="208" t="str">
        <f>IFERROR(__xludf.DUMMYFUNCTION("""COMPUTED_VALUE"""),"Promotional")</f>
        <v>Promotional</v>
      </c>
      <c r="E1084" s="208" t="str">
        <f>IFERROR(__xludf.DUMMYFUNCTION("""COMPUTED_VALUE"""),"BBW")</f>
        <v>BBW</v>
      </c>
      <c r="F1084" s="208" t="str">
        <f>IFERROR(__xludf.DUMMYFUNCTION("""COMPUTED_VALUE"""),"SAS - Reminder July'26 - Entire Store")</f>
        <v>SAS - Reminder July'26 - Entire Store</v>
      </c>
      <c r="G1084" s="208" t="str">
        <f>IFERROR(__xludf.DUMMYFUNCTION("""COMPUTED_VALUE"""),"bbw_wa_sas_last_reminder_july2026_dormant_offline")</f>
        <v>bbw_wa_sas_last_reminder_july2026_dormant_offline</v>
      </c>
      <c r="H1084" s="232" t="str">
        <f>IFERROR(__xludf.DUMMYFUNCTION("""COMPUTED_VALUE"""),"BBW_OFF_Dorm235_EOSS_26")</f>
        <v>BBW_OFF_Dorm235_EOSS_26</v>
      </c>
      <c r="I1084" s="233" t="str">
        <f>IFERROR(__xludf.DUMMYFUNCTION("""COMPUTED_VALUE"""),"Offline customers who have purchased in the last 235 days")</f>
        <v>Offline customers who have purchased in the last 235 days</v>
      </c>
      <c r="J1084" s="275">
        <f>IFERROR(__xludf.DUMMYFUNCTION("""COMPUTED_VALUE"""),156566.0)</f>
        <v>156566</v>
      </c>
      <c r="K1084" s="275">
        <f>IFERROR(__xludf.DUMMYFUNCTION("""COMPUTED_VALUE"""),65297.0)</f>
        <v>65297</v>
      </c>
      <c r="L1084" s="276">
        <f>IFERROR(__xludf.DUMMYFUNCTION("""COMPUTED_VALUE"""),0.417)</f>
        <v>0.417</v>
      </c>
      <c r="M1084" s="275">
        <f>IFERROR(__xludf.DUMMYFUNCTION("""COMPUTED_VALUE"""),22279.0)</f>
        <v>22279</v>
      </c>
      <c r="N1084" s="276">
        <f>IFERROR(__xludf.DUMMYFUNCTION("""COMPUTED_VALUE"""),0.341)</f>
        <v>0.341</v>
      </c>
      <c r="O1084" s="208">
        <f>IFERROR(__xludf.DUMMYFUNCTION("""COMPUTED_VALUE"""),2289.0)</f>
        <v>2289</v>
      </c>
      <c r="P1084" s="208">
        <f>IFERROR(__xludf.DUMMYFUNCTION("""COMPUTED_VALUE"""),2143.0)</f>
        <v>2143</v>
      </c>
      <c r="Q1084" s="276">
        <f>IFERROR(__xludf.DUMMYFUNCTION("""COMPUTED_VALUE"""),0.0328)</f>
        <v>0.0328</v>
      </c>
      <c r="R1084" s="276">
        <f>IFERROR(__xludf.DUMMYFUNCTION("""COMPUTED_VALUE"""),0.0963)</f>
        <v>0.0963</v>
      </c>
      <c r="S1084" s="208">
        <f>IFERROR(__xludf.DUMMYFUNCTION("""COMPUTED_VALUE"""),9.0)</f>
        <v>9</v>
      </c>
      <c r="T1084" s="208">
        <f>IFERROR(__xludf.DUMMYFUNCTION("""COMPUTED_VALUE"""),36.0)</f>
        <v>36</v>
      </c>
      <c r="U1084" s="275">
        <f>IFERROR(__xludf.DUMMYFUNCTION("""COMPUTED_VALUE"""),32246.0)</f>
        <v>32246</v>
      </c>
      <c r="V1084" s="234" t="str">
        <f>IFERROR(__xludf.DUMMYFUNCTION("""COMPUTED_VALUE"""),"offline")</f>
        <v>offline</v>
      </c>
      <c r="W1084" s="232" t="str">
        <f>IFERROR(__xludf.DUMMYFUNCTION("""COMPUTED_VALUE"""),"simple")</f>
        <v>simple</v>
      </c>
      <c r="X1084" s="232" t="str">
        <f>IFERROR(__xludf.DUMMYFUNCTION("""COMPUTED_VALUE"""),"Dormant")</f>
        <v>Dormant</v>
      </c>
      <c r="Y1084" s="232" t="str">
        <f>IFERROR(__xludf.DUMMYFUNCTION("""COMPUTED_VALUE"""),"11th - 13th July")</f>
        <v>11th - 13th July</v>
      </c>
      <c r="Z1084" s="232" t="str">
        <f>IFERROR(__xludf.DUMMYFUNCTION("""COMPUTED_VALUE"""),"6a4d1bc877ec30a740d78428")</f>
        <v>6a4d1bc877ec30a740d78428</v>
      </c>
      <c r="AA1084" s="277">
        <f>IFERROR(__xludf.DUMMYFUNCTION("""COMPUTED_VALUE"""),395.0)</f>
        <v>395</v>
      </c>
      <c r="AB1084" s="277"/>
      <c r="AC1084" s="277">
        <f>IFERROR(__xludf.DUMMYFUNCTION("""COMPUTED_VALUE"""),395.0)</f>
        <v>395</v>
      </c>
      <c r="AD1084" s="277">
        <f>IFERROR(__xludf.DUMMYFUNCTION("""COMPUTED_VALUE"""),1503000.0)</f>
        <v>1503000</v>
      </c>
      <c r="AE1084" s="277"/>
      <c r="AF1084" s="277">
        <f>IFERROR(__xludf.DUMMYFUNCTION("""COMPUTED_VALUE"""),1503000.0)</f>
        <v>1503000</v>
      </c>
      <c r="AG1084" s="208"/>
      <c r="AH1084" s="208"/>
      <c r="AI1084" s="208"/>
      <c r="AJ1084" s="208"/>
      <c r="AK1084" s="208"/>
    </row>
    <row r="1085">
      <c r="A1085" s="288">
        <f>IFERROR(__xludf.DUMMYFUNCTION("""COMPUTED_VALUE"""),46214.0)</f>
        <v>46214</v>
      </c>
      <c r="B1085" s="274">
        <f>IFERROR(__xludf.DUMMYFUNCTION("""COMPUTED_VALUE"""),0.5)</f>
        <v>0.5</v>
      </c>
      <c r="C1085" s="208" t="str">
        <f>IFERROR(__xludf.DUMMYFUNCTION("""COMPUTED_VALUE"""),"Whatsapp")</f>
        <v>Whatsapp</v>
      </c>
      <c r="D1085" s="208" t="str">
        <f>IFERROR(__xludf.DUMMYFUNCTION("""COMPUTED_VALUE"""),"Promotional")</f>
        <v>Promotional</v>
      </c>
      <c r="E1085" s="208" t="str">
        <f>IFERROR(__xludf.DUMMYFUNCTION("""COMPUTED_VALUE"""),"BBW")</f>
        <v>BBW</v>
      </c>
      <c r="F1085" s="208" t="str">
        <f>IFERROR(__xludf.DUMMYFUNCTION("""COMPUTED_VALUE"""),"SAS - Reminder July'26 - Entire Store")</f>
        <v>SAS - Reminder July'26 - Entire Store</v>
      </c>
      <c r="G1085" s="208" t="str">
        <f>IFERROR(__xludf.DUMMYFUNCTION("""COMPUTED_VALUE"""),"bbw_wa_sas_last_reminder_july2026_dormant2_offline")</f>
        <v>bbw_wa_sas_last_reminder_july2026_dormant2_offline</v>
      </c>
      <c r="H1085" s="232" t="str">
        <f>IFERROR(__xludf.DUMMYFUNCTION("""COMPUTED_VALUE"""),"BBW_OFF_Dorm365_EOSS_26")</f>
        <v>BBW_OFF_Dorm365_EOSS_26</v>
      </c>
      <c r="I1085" s="233" t="str">
        <f>IFERROR(__xludf.DUMMYFUNCTION("""COMPUTED_VALUE"""),"Offline customers who have purchased in the last 365 days")</f>
        <v>Offline customers who have purchased in the last 365 days</v>
      </c>
      <c r="J1085" s="275">
        <f>IFERROR(__xludf.DUMMYFUNCTION("""COMPUTED_VALUE"""),116926.0)</f>
        <v>116926</v>
      </c>
      <c r="K1085" s="275">
        <f>IFERROR(__xludf.DUMMYFUNCTION("""COMPUTED_VALUE"""),48043.0)</f>
        <v>48043</v>
      </c>
      <c r="L1085" s="276">
        <f>IFERROR(__xludf.DUMMYFUNCTION("""COMPUTED_VALUE"""),0.4108)</f>
        <v>0.4108</v>
      </c>
      <c r="M1085" s="275">
        <f>IFERROR(__xludf.DUMMYFUNCTION("""COMPUTED_VALUE"""),15960.0)</f>
        <v>15960</v>
      </c>
      <c r="N1085" s="276">
        <f>IFERROR(__xludf.DUMMYFUNCTION("""COMPUTED_VALUE"""),0.332)</f>
        <v>0.332</v>
      </c>
      <c r="O1085" s="208">
        <f>IFERROR(__xludf.DUMMYFUNCTION("""COMPUTED_VALUE"""),1396.0)</f>
        <v>1396</v>
      </c>
      <c r="P1085" s="208">
        <f>IFERROR(__xludf.DUMMYFUNCTION("""COMPUTED_VALUE"""),1300.0)</f>
        <v>1300</v>
      </c>
      <c r="Q1085" s="276">
        <f>IFERROR(__xludf.DUMMYFUNCTION("""COMPUTED_VALUE"""),0.0271)</f>
        <v>0.0271</v>
      </c>
      <c r="R1085" s="276">
        <f>IFERROR(__xludf.DUMMYFUNCTION("""COMPUTED_VALUE"""),0.0815)</f>
        <v>0.0815</v>
      </c>
      <c r="S1085" s="208">
        <f>IFERROR(__xludf.DUMMYFUNCTION("""COMPUTED_VALUE"""),5.0)</f>
        <v>5</v>
      </c>
      <c r="T1085" s="208">
        <f>IFERROR(__xludf.DUMMYFUNCTION("""COMPUTED_VALUE"""),19.0)</f>
        <v>19</v>
      </c>
      <c r="U1085" s="275">
        <f>IFERROR(__xludf.DUMMYFUNCTION("""COMPUTED_VALUE"""),8957.0)</f>
        <v>8957</v>
      </c>
      <c r="V1085" s="234" t="str">
        <f>IFERROR(__xludf.DUMMYFUNCTION("""COMPUTED_VALUE"""),"offline")</f>
        <v>offline</v>
      </c>
      <c r="W1085" s="232" t="str">
        <f>IFERROR(__xludf.DUMMYFUNCTION("""COMPUTED_VALUE"""),"simple")</f>
        <v>simple</v>
      </c>
      <c r="X1085" s="232" t="str">
        <f>IFERROR(__xludf.DUMMYFUNCTION("""COMPUTED_VALUE"""),"Dormant")</f>
        <v>Dormant</v>
      </c>
      <c r="Y1085" s="232" t="str">
        <f>IFERROR(__xludf.DUMMYFUNCTION("""COMPUTED_VALUE"""),"11th - 13th July")</f>
        <v>11th - 13th July</v>
      </c>
      <c r="Z1085" s="232" t="str">
        <f>IFERROR(__xludf.DUMMYFUNCTION("""COMPUTED_VALUE"""),"6a4d1c0b8712a169e11a4fe2")</f>
        <v>6a4d1c0b8712a169e11a4fe2</v>
      </c>
      <c r="AA1085" s="277">
        <f>IFERROR(__xludf.DUMMYFUNCTION("""COMPUTED_VALUE"""),225.0)</f>
        <v>225</v>
      </c>
      <c r="AB1085" s="277"/>
      <c r="AC1085" s="277">
        <f>IFERROR(__xludf.DUMMYFUNCTION("""COMPUTED_VALUE"""),225.0)</f>
        <v>225</v>
      </c>
      <c r="AD1085" s="277">
        <f>IFERROR(__xludf.DUMMYFUNCTION("""COMPUTED_VALUE"""),900458.0)</f>
        <v>900458</v>
      </c>
      <c r="AE1085" s="277"/>
      <c r="AF1085" s="277">
        <f>IFERROR(__xludf.DUMMYFUNCTION("""COMPUTED_VALUE"""),900458.0)</f>
        <v>900458</v>
      </c>
      <c r="AG1085" s="208"/>
      <c r="AH1085" s="208"/>
      <c r="AI1085" s="208"/>
      <c r="AJ1085" s="208"/>
      <c r="AK1085" s="208"/>
    </row>
    <row r="1086">
      <c r="A1086" s="288">
        <f>IFERROR(__xludf.DUMMYFUNCTION("""COMPUTED_VALUE"""),46215.0)</f>
        <v>46215</v>
      </c>
      <c r="B1086" s="274">
        <f>IFERROR(__xludf.DUMMYFUNCTION("""COMPUTED_VALUE"""),0.7083333333321207)</f>
        <v>0.7083333333</v>
      </c>
      <c r="C1086" s="208" t="str">
        <f>IFERROR(__xludf.DUMMYFUNCTION("""COMPUTED_VALUE"""),"Whatsapp")</f>
        <v>Whatsapp</v>
      </c>
      <c r="D1086" s="208" t="str">
        <f>IFERROR(__xludf.DUMMYFUNCTION("""COMPUTED_VALUE"""),"Promotional")</f>
        <v>Promotional</v>
      </c>
      <c r="E1086" s="208" t="str">
        <f>IFERROR(__xludf.DUMMYFUNCTION("""COMPUTED_VALUE"""),"BBW")</f>
        <v>BBW</v>
      </c>
      <c r="F1086" s="208" t="str">
        <f>IFERROR(__xludf.DUMMYFUNCTION("""COMPUTED_VALUE"""),"SAS - Reminder July'26 - Entire Store")</f>
        <v>SAS - Reminder July'26 - Entire Store</v>
      </c>
      <c r="G1086" s="208" t="str">
        <f>IFERROR(__xludf.DUMMYFUNCTION("""COMPUTED_VALUE"""),"bbw_wa_sas_last_reminder_july2026_churned_online")</f>
        <v>bbw_wa_sas_last_reminder_july2026_churned_online</v>
      </c>
      <c r="H1086" s="232" t="str">
        <f>IFERROR(__xludf.DUMMYFUNCTION("""COMPUTED_VALUE"""),"BBW_ON_Churned730_EOSS_26")</f>
        <v>BBW_ON_Churned730_EOSS_26</v>
      </c>
      <c r="I1086" s="233" t="str">
        <f>IFERROR(__xludf.DUMMYFUNCTION("""COMPUTED_VALUE"""),"Online customers who have purchased in the last 730 days")</f>
        <v>Online customers who have purchased in the last 730 days</v>
      </c>
      <c r="J1086" s="275">
        <f>IFERROR(__xludf.DUMMYFUNCTION("""COMPUTED_VALUE"""),99948.0)</f>
        <v>99948</v>
      </c>
      <c r="K1086" s="275">
        <f>IFERROR(__xludf.DUMMYFUNCTION("""COMPUTED_VALUE"""),42492.0)</f>
        <v>42492</v>
      </c>
      <c r="L1086" s="276">
        <f>IFERROR(__xludf.DUMMYFUNCTION("""COMPUTED_VALUE"""),0.4251)</f>
        <v>0.4251</v>
      </c>
      <c r="M1086" s="275">
        <f>IFERROR(__xludf.DUMMYFUNCTION("""COMPUTED_VALUE"""),12965.0)</f>
        <v>12965</v>
      </c>
      <c r="N1086" s="276">
        <f>IFERROR(__xludf.DUMMYFUNCTION("""COMPUTED_VALUE"""),0.3052)</f>
        <v>0.3052</v>
      </c>
      <c r="O1086" s="208">
        <f>IFERROR(__xludf.DUMMYFUNCTION("""COMPUTED_VALUE"""),2170.0)</f>
        <v>2170</v>
      </c>
      <c r="P1086" s="208">
        <f>IFERROR(__xludf.DUMMYFUNCTION("""COMPUTED_VALUE"""),2074.0)</f>
        <v>2074</v>
      </c>
      <c r="Q1086" s="276">
        <f>IFERROR(__xludf.DUMMYFUNCTION("""COMPUTED_VALUE"""),0.0488)</f>
        <v>0.0488</v>
      </c>
      <c r="R1086" s="276">
        <f>IFERROR(__xludf.DUMMYFUNCTION("""COMPUTED_VALUE"""),0.16)</f>
        <v>0.16</v>
      </c>
      <c r="S1086" s="208">
        <f>IFERROR(__xludf.DUMMYFUNCTION("""COMPUTED_VALUE"""),4.0)</f>
        <v>4</v>
      </c>
      <c r="T1086" s="208">
        <f>IFERROR(__xludf.DUMMYFUNCTION("""COMPUTED_VALUE"""),12.0)</f>
        <v>12</v>
      </c>
      <c r="U1086" s="275">
        <f>IFERROR(__xludf.DUMMYFUNCTION("""COMPUTED_VALUE"""),10552.0)</f>
        <v>10552</v>
      </c>
      <c r="V1086" s="234" t="str">
        <f>IFERROR(__xludf.DUMMYFUNCTION("""COMPUTED_VALUE"""),"online")</f>
        <v>online</v>
      </c>
      <c r="W1086" s="232" t="str">
        <f>IFERROR(__xludf.DUMMYFUNCTION("""COMPUTED_VALUE"""),"simple")</f>
        <v>simple</v>
      </c>
      <c r="X1086" s="232" t="str">
        <f>IFERROR(__xludf.DUMMYFUNCTION("""COMPUTED_VALUE"""),"Churned")</f>
        <v>Churned</v>
      </c>
      <c r="Y1086" s="232" t="str">
        <f>IFERROR(__xludf.DUMMYFUNCTION("""COMPUTED_VALUE"""),"12th - 14th July")</f>
        <v>12th - 14th July</v>
      </c>
      <c r="Z1086" s="232" t="str">
        <f>IFERROR(__xludf.DUMMYFUNCTION("""COMPUTED_VALUE"""),"6a4d1cbc2d118f766961c234")</f>
        <v>6a4d1cbc2d118f766961c234</v>
      </c>
      <c r="AA1086" s="277">
        <f>IFERROR(__xludf.DUMMYFUNCTION("""COMPUTED_VALUE"""),93.0)</f>
        <v>93</v>
      </c>
      <c r="AB1086" s="277">
        <f>IFERROR(__xludf.DUMMYFUNCTION("""COMPUTED_VALUE"""),93.0)</f>
        <v>93</v>
      </c>
      <c r="AC1086" s="277"/>
      <c r="AD1086" s="277">
        <f>IFERROR(__xludf.DUMMYFUNCTION("""COMPUTED_VALUE"""),244103.0)</f>
        <v>244103</v>
      </c>
      <c r="AE1086" s="277">
        <f>IFERROR(__xludf.DUMMYFUNCTION("""COMPUTED_VALUE"""),244103.0)</f>
        <v>244103</v>
      </c>
      <c r="AF1086" s="277"/>
      <c r="AG1086" s="208"/>
      <c r="AH1086" s="208"/>
      <c r="AI1086" s="208"/>
      <c r="AJ1086" s="208"/>
      <c r="AK1086" s="208"/>
    </row>
    <row r="1087">
      <c r="A1087" s="288">
        <f>IFERROR(__xludf.DUMMYFUNCTION("""COMPUTED_VALUE"""),46215.0)</f>
        <v>46215</v>
      </c>
      <c r="B1087" s="274">
        <f>IFERROR(__xludf.DUMMYFUNCTION("""COMPUTED_VALUE"""),0.7083333333321207)</f>
        <v>0.7083333333</v>
      </c>
      <c r="C1087" s="208" t="str">
        <f>IFERROR(__xludf.DUMMYFUNCTION("""COMPUTED_VALUE"""),"Whatsapp")</f>
        <v>Whatsapp</v>
      </c>
      <c r="D1087" s="208" t="str">
        <f>IFERROR(__xludf.DUMMYFUNCTION("""COMPUTED_VALUE"""),"Promotional")</f>
        <v>Promotional</v>
      </c>
      <c r="E1087" s="208" t="str">
        <f>IFERROR(__xludf.DUMMYFUNCTION("""COMPUTED_VALUE"""),"BBW")</f>
        <v>BBW</v>
      </c>
      <c r="F1087" s="208" t="str">
        <f>IFERROR(__xludf.DUMMYFUNCTION("""COMPUTED_VALUE"""),"SAS - Reminder July'26 - Entire Store")</f>
        <v>SAS - Reminder July'26 - Entire Store</v>
      </c>
      <c r="G1087" s="208" t="str">
        <f>IFERROR(__xludf.DUMMYFUNCTION("""COMPUTED_VALUE"""),"bbw_wa_sas_last_reminder_july2026_churned_offline")</f>
        <v>bbw_wa_sas_last_reminder_july2026_churned_offline</v>
      </c>
      <c r="H1087" s="232" t="str">
        <f>IFERROR(__xludf.DUMMYFUNCTION("""COMPUTED_VALUE"""),"BBW_OFF_Churned550_EOSS_26")</f>
        <v>BBW_OFF_Churned550_EOSS_26</v>
      </c>
      <c r="I1087" s="233" t="str">
        <f>IFERROR(__xludf.DUMMYFUNCTION("""COMPUTED_VALUE"""),"Offline customers who have purchased in the last 550 days")</f>
        <v>Offline customers who have purchased in the last 550 days</v>
      </c>
      <c r="J1087" s="275">
        <f>IFERROR(__xludf.DUMMYFUNCTION("""COMPUTED_VALUE"""),170481.0)</f>
        <v>170481</v>
      </c>
      <c r="K1087" s="275">
        <f>IFERROR(__xludf.DUMMYFUNCTION("""COMPUTED_VALUE"""),73745.0)</f>
        <v>73745</v>
      </c>
      <c r="L1087" s="276">
        <f>IFERROR(__xludf.DUMMYFUNCTION("""COMPUTED_VALUE"""),0.4325)</f>
        <v>0.4325</v>
      </c>
      <c r="M1087" s="275">
        <f>IFERROR(__xludf.DUMMYFUNCTION("""COMPUTED_VALUE"""),23208.0)</f>
        <v>23208</v>
      </c>
      <c r="N1087" s="276">
        <f>IFERROR(__xludf.DUMMYFUNCTION("""COMPUTED_VALUE"""),0.3147)</f>
        <v>0.3147</v>
      </c>
      <c r="O1087" s="208">
        <f>IFERROR(__xludf.DUMMYFUNCTION("""COMPUTED_VALUE"""),2598.0)</f>
        <v>2598</v>
      </c>
      <c r="P1087" s="208">
        <f>IFERROR(__xludf.DUMMYFUNCTION("""COMPUTED_VALUE"""),2479.0)</f>
        <v>2479</v>
      </c>
      <c r="Q1087" s="276">
        <f>IFERROR(__xludf.DUMMYFUNCTION("""COMPUTED_VALUE"""),0.0336)</f>
        <v>0.0336</v>
      </c>
      <c r="R1087" s="276">
        <f>IFERROR(__xludf.DUMMYFUNCTION("""COMPUTED_VALUE"""),0.1068)</f>
        <v>0.1068</v>
      </c>
      <c r="S1087" s="208">
        <f>IFERROR(__xludf.DUMMYFUNCTION("""COMPUTED_VALUE"""),4.0)</f>
        <v>4</v>
      </c>
      <c r="T1087" s="208">
        <f>IFERROR(__xludf.DUMMYFUNCTION("""COMPUTED_VALUE"""),19.0)</f>
        <v>19</v>
      </c>
      <c r="U1087" s="275">
        <f>IFERROR(__xludf.DUMMYFUNCTION("""COMPUTED_VALUE"""),17600.0)</f>
        <v>17600</v>
      </c>
      <c r="V1087" s="234" t="str">
        <f>IFERROR(__xludf.DUMMYFUNCTION("""COMPUTED_VALUE"""),"offline")</f>
        <v>offline</v>
      </c>
      <c r="W1087" s="232" t="str">
        <f>IFERROR(__xludf.DUMMYFUNCTION("""COMPUTED_VALUE"""),"simple")</f>
        <v>simple</v>
      </c>
      <c r="X1087" s="232" t="str">
        <f>IFERROR(__xludf.DUMMYFUNCTION("""COMPUTED_VALUE"""),"Churned")</f>
        <v>Churned</v>
      </c>
      <c r="Y1087" s="232" t="str">
        <f>IFERROR(__xludf.DUMMYFUNCTION("""COMPUTED_VALUE"""),"12th - 14th July")</f>
        <v>12th - 14th July</v>
      </c>
      <c r="Z1087" s="232" t="str">
        <f>IFERROR(__xludf.DUMMYFUNCTION("""COMPUTED_VALUE"""),"6a4d1cf819ce1e6af16fd11d")</f>
        <v>6a4d1cf819ce1e6af16fd11d</v>
      </c>
      <c r="AA1087" s="277">
        <f>IFERROR(__xludf.DUMMYFUNCTION("""COMPUTED_VALUE"""),187.0)</f>
        <v>187</v>
      </c>
      <c r="AB1087" s="277"/>
      <c r="AC1087" s="277">
        <f>IFERROR(__xludf.DUMMYFUNCTION("""COMPUTED_VALUE"""),187.0)</f>
        <v>187</v>
      </c>
      <c r="AD1087" s="277">
        <f>IFERROR(__xludf.DUMMYFUNCTION("""COMPUTED_VALUE"""),581201.0)</f>
        <v>581201</v>
      </c>
      <c r="AE1087" s="277"/>
      <c r="AF1087" s="277">
        <f>IFERROR(__xludf.DUMMYFUNCTION("""COMPUTED_VALUE"""),581201.0)</f>
        <v>581201</v>
      </c>
      <c r="AG1087" s="208"/>
      <c r="AH1087" s="208"/>
      <c r="AI1087" s="208"/>
      <c r="AJ1087" s="208"/>
      <c r="AK1087" s="208"/>
    </row>
    <row r="1088">
      <c r="A1088" s="288">
        <f>IFERROR(__xludf.DUMMYFUNCTION("""COMPUTED_VALUE"""),46214.0)</f>
        <v>46214</v>
      </c>
      <c r="B1088" s="274">
        <f>IFERROR(__xludf.DUMMYFUNCTION("""COMPUTED_VALUE"""),0.5416666666678793)</f>
        <v>0.5416666667</v>
      </c>
      <c r="C1088" s="208" t="str">
        <f>IFERROR(__xludf.DUMMYFUNCTION("""COMPUTED_VALUE"""),"Sms")</f>
        <v>Sms</v>
      </c>
      <c r="D1088" s="208" t="str">
        <f>IFERROR(__xludf.DUMMYFUNCTION("""COMPUTED_VALUE"""),"Fallback campaign")</f>
        <v>Fallback campaign</v>
      </c>
      <c r="E1088" s="208" t="str">
        <f>IFERROR(__xludf.DUMMYFUNCTION("""COMPUTED_VALUE"""),"BBW")</f>
        <v>BBW</v>
      </c>
      <c r="F1088" s="208" t="str">
        <f>IFERROR(__xludf.DUMMYFUNCTION("""COMPUTED_VALUE"""),"SAS - Reminder July'26 - Entire Store")</f>
        <v>SAS - Reminder July'26 - Entire Store</v>
      </c>
      <c r="G1088" s="208" t="str">
        <f>IFERROR(__xludf.DUMMYFUNCTION("""COMPUTED_VALUE"""),"bbw_smsfb_sas_last_reminder_july2026_dormant_offline")</f>
        <v>bbw_smsfb_sas_last_reminder_july2026_dormant_offline</v>
      </c>
      <c r="H1088" s="232" t="str">
        <f>IFERROR(__xludf.DUMMYFUNCTION("""COMPUTED_VALUE"""),"BBW_OFF_Dorm235_EOSS_26")</f>
        <v>BBW_OFF_Dorm235_EOSS_26</v>
      </c>
      <c r="I1088" s="233" t="str">
        <f>IFERROR(__xludf.DUMMYFUNCTION("""COMPUTED_VALUE"""),"WA Undelivered")</f>
        <v>WA Undelivered</v>
      </c>
      <c r="J1088" s="275">
        <f>IFERROR(__xludf.DUMMYFUNCTION("""COMPUTED_VALUE"""),88076.0)</f>
        <v>88076</v>
      </c>
      <c r="K1088" s="275">
        <f>IFERROR(__xludf.DUMMYFUNCTION("""COMPUTED_VALUE"""),49935.0)</f>
        <v>49935</v>
      </c>
      <c r="L1088" s="276">
        <f>IFERROR(__xludf.DUMMYFUNCTION("""COMPUTED_VALUE"""),0.567)</f>
        <v>0.567</v>
      </c>
      <c r="M1088" s="275">
        <f>IFERROR(__xludf.DUMMYFUNCTION("""COMPUTED_VALUE"""),0.0)</f>
        <v>0</v>
      </c>
      <c r="N1088" s="276">
        <f>IFERROR(__xludf.DUMMYFUNCTION("""COMPUTED_VALUE"""),0.0)</f>
        <v>0</v>
      </c>
      <c r="O1088" s="208">
        <f>IFERROR(__xludf.DUMMYFUNCTION("""COMPUTED_VALUE"""),49.0)</f>
        <v>49</v>
      </c>
      <c r="P1088" s="208">
        <f>IFERROR(__xludf.DUMMYFUNCTION("""COMPUTED_VALUE"""),0.0)</f>
        <v>0</v>
      </c>
      <c r="Q1088" s="276">
        <f>IFERROR(__xludf.DUMMYFUNCTION("""COMPUTED_VALUE"""),0.001)</f>
        <v>0.001</v>
      </c>
      <c r="R1088" s="276">
        <f>IFERROR(__xludf.DUMMYFUNCTION("""COMPUTED_VALUE"""),0.0)</f>
        <v>0</v>
      </c>
      <c r="S1088" s="208">
        <f>IFERROR(__xludf.DUMMYFUNCTION("""COMPUTED_VALUE"""),1.0)</f>
        <v>1</v>
      </c>
      <c r="T1088" s="208">
        <f>IFERROR(__xludf.DUMMYFUNCTION("""COMPUTED_VALUE"""),8.0)</f>
        <v>8</v>
      </c>
      <c r="U1088" s="275">
        <f>IFERROR(__xludf.DUMMYFUNCTION("""COMPUTED_VALUE"""),1498.0)</f>
        <v>1498</v>
      </c>
      <c r="V1088" s="234" t="str">
        <f>IFERROR(__xludf.DUMMYFUNCTION("""COMPUTED_VALUE"""),"offline")</f>
        <v>offline</v>
      </c>
      <c r="W1088" s="232" t="str">
        <f>IFERROR(__xludf.DUMMYFUNCTION("""COMPUTED_VALUE"""),"Sms")</f>
        <v>Sms</v>
      </c>
      <c r="X1088" s="232" t="str">
        <f>IFERROR(__xludf.DUMMYFUNCTION("""COMPUTED_VALUE"""),"Dormant")</f>
        <v>Dormant</v>
      </c>
      <c r="Y1088" s="232" t="str">
        <f>IFERROR(__xludf.DUMMYFUNCTION("""COMPUTED_VALUE"""),"11 July")</f>
        <v>11 July</v>
      </c>
      <c r="Z1088" s="232" t="str">
        <f>IFERROR(__xludf.DUMMYFUNCTION("""COMPUTED_VALUE"""),"6a4df3f037c3df60c02249a8")</f>
        <v>6a4df3f037c3df60c02249a8</v>
      </c>
      <c r="AA1088" s="277">
        <f>IFERROR(__xludf.DUMMYFUNCTION("""COMPUTED_VALUE"""),143.0)</f>
        <v>143</v>
      </c>
      <c r="AB1088" s="277"/>
      <c r="AC1088" s="277">
        <f>IFERROR(__xludf.DUMMYFUNCTION("""COMPUTED_VALUE"""),143.0)</f>
        <v>143</v>
      </c>
      <c r="AD1088" s="277">
        <f>IFERROR(__xludf.DUMMYFUNCTION("""COMPUTED_VALUE"""),575486.0)</f>
        <v>575486</v>
      </c>
      <c r="AE1088" s="277"/>
      <c r="AF1088" s="277">
        <f>IFERROR(__xludf.DUMMYFUNCTION("""COMPUTED_VALUE"""),575486.0)</f>
        <v>575486</v>
      </c>
      <c r="AG1088" s="208"/>
      <c r="AH1088" s="208"/>
      <c r="AI1088" s="208"/>
      <c r="AJ1088" s="208"/>
      <c r="AK1088" s="208"/>
    </row>
    <row r="1089">
      <c r="A1089" s="288">
        <f>IFERROR(__xludf.DUMMYFUNCTION("""COMPUTED_VALUE"""),46215.0)</f>
        <v>46215</v>
      </c>
      <c r="B1089" s="274">
        <f>IFERROR(__xludf.DUMMYFUNCTION("""COMPUTED_VALUE"""),0.75)</f>
        <v>0.75</v>
      </c>
      <c r="C1089" s="208" t="str">
        <f>IFERROR(__xludf.DUMMYFUNCTION("""COMPUTED_VALUE"""),"Sms")</f>
        <v>Sms</v>
      </c>
      <c r="D1089" s="208" t="str">
        <f>IFERROR(__xludf.DUMMYFUNCTION("""COMPUTED_VALUE"""),"Fallback campaign")</f>
        <v>Fallback campaign</v>
      </c>
      <c r="E1089" s="208" t="str">
        <f>IFERROR(__xludf.DUMMYFUNCTION("""COMPUTED_VALUE"""),"BBW")</f>
        <v>BBW</v>
      </c>
      <c r="F1089" s="208" t="str">
        <f>IFERROR(__xludf.DUMMYFUNCTION("""COMPUTED_VALUE"""),"SAS - Reminder July'26 - Entire Store")</f>
        <v>SAS - Reminder July'26 - Entire Store</v>
      </c>
      <c r="G1089" s="208" t="str">
        <f>IFERROR(__xludf.DUMMYFUNCTION("""COMPUTED_VALUE"""),"bbw_smsfb_sas_last_reminder_july2026_churned_online")</f>
        <v>bbw_smsfb_sas_last_reminder_july2026_churned_online</v>
      </c>
      <c r="H1089" s="232" t="str">
        <f>IFERROR(__xludf.DUMMYFUNCTION("""COMPUTED_VALUE"""),"BBW_ON_Churned730_EOSS_26")</f>
        <v>BBW_ON_Churned730_EOSS_26</v>
      </c>
      <c r="I1089" s="233" t="str">
        <f>IFERROR(__xludf.DUMMYFUNCTION("""COMPUTED_VALUE"""),"WA Undelivered")</f>
        <v>WA Undelivered</v>
      </c>
      <c r="J1089" s="275">
        <f>IFERROR(__xludf.DUMMYFUNCTION("""COMPUTED_VALUE"""),54237.0)</f>
        <v>54237</v>
      </c>
      <c r="K1089" s="275">
        <f>IFERROR(__xludf.DUMMYFUNCTION("""COMPUTED_VALUE"""),31124.0)</f>
        <v>31124</v>
      </c>
      <c r="L1089" s="276">
        <f>IFERROR(__xludf.DUMMYFUNCTION("""COMPUTED_VALUE"""),0.5739)</f>
        <v>0.5739</v>
      </c>
      <c r="M1089" s="275">
        <f>IFERROR(__xludf.DUMMYFUNCTION("""COMPUTED_VALUE"""),0.0)</f>
        <v>0</v>
      </c>
      <c r="N1089" s="276">
        <f>IFERROR(__xludf.DUMMYFUNCTION("""COMPUTED_VALUE"""),0.0)</f>
        <v>0</v>
      </c>
      <c r="O1089" s="208">
        <f>IFERROR(__xludf.DUMMYFUNCTION("""COMPUTED_VALUE"""),50.0)</f>
        <v>50</v>
      </c>
      <c r="P1089" s="208">
        <f>IFERROR(__xludf.DUMMYFUNCTION("""COMPUTED_VALUE"""),0.0)</f>
        <v>0</v>
      </c>
      <c r="Q1089" s="276">
        <f>IFERROR(__xludf.DUMMYFUNCTION("""COMPUTED_VALUE"""),0.0016)</f>
        <v>0.0016</v>
      </c>
      <c r="R1089" s="276">
        <f>IFERROR(__xludf.DUMMYFUNCTION("""COMPUTED_VALUE"""),0.0)</f>
        <v>0</v>
      </c>
      <c r="S1089" s="208">
        <f>IFERROR(__xludf.DUMMYFUNCTION("""COMPUTED_VALUE"""),0.0)</f>
        <v>0</v>
      </c>
      <c r="T1089" s="208">
        <f>IFERROR(__xludf.DUMMYFUNCTION("""COMPUTED_VALUE"""),1.0)</f>
        <v>1</v>
      </c>
      <c r="U1089" s="275">
        <f>IFERROR(__xludf.DUMMYFUNCTION("""COMPUTED_VALUE"""),0.0)</f>
        <v>0</v>
      </c>
      <c r="V1089" s="234" t="str">
        <f>IFERROR(__xludf.DUMMYFUNCTION("""COMPUTED_VALUE"""),"online")</f>
        <v>online</v>
      </c>
      <c r="W1089" s="232" t="str">
        <f>IFERROR(__xludf.DUMMYFUNCTION("""COMPUTED_VALUE"""),"Sms")</f>
        <v>Sms</v>
      </c>
      <c r="X1089" s="232" t="str">
        <f>IFERROR(__xludf.DUMMYFUNCTION("""COMPUTED_VALUE"""),"Churned")</f>
        <v>Churned</v>
      </c>
      <c r="Y1089" s="232" t="str">
        <f>IFERROR(__xludf.DUMMYFUNCTION("""COMPUTED_VALUE"""),"12 July")</f>
        <v>12 July</v>
      </c>
      <c r="Z1089" s="232" t="str">
        <f>IFERROR(__xludf.DUMMYFUNCTION("""COMPUTED_VALUE"""),"6a4df44df5b24caf615ce6f3")</f>
        <v>6a4df44df5b24caf615ce6f3</v>
      </c>
      <c r="AA1089" s="277">
        <f>IFERROR(__xludf.DUMMYFUNCTION("""COMPUTED_VALUE"""),14.0)</f>
        <v>14</v>
      </c>
      <c r="AB1089" s="277">
        <f>IFERROR(__xludf.DUMMYFUNCTION("""COMPUTED_VALUE"""),14.0)</f>
        <v>14</v>
      </c>
      <c r="AC1089" s="277"/>
      <c r="AD1089" s="277">
        <f>IFERROR(__xludf.DUMMYFUNCTION("""COMPUTED_VALUE"""),30270.0)</f>
        <v>30270</v>
      </c>
      <c r="AE1089" s="277">
        <f>IFERROR(__xludf.DUMMYFUNCTION("""COMPUTED_VALUE"""),30270.0)</f>
        <v>30270</v>
      </c>
      <c r="AF1089" s="277"/>
      <c r="AG1089" s="208"/>
      <c r="AH1089" s="208"/>
      <c r="AI1089" s="208"/>
      <c r="AJ1089" s="208"/>
      <c r="AK1089" s="208"/>
    </row>
    <row r="1090">
      <c r="A1090" s="288">
        <f>IFERROR(__xludf.DUMMYFUNCTION("""COMPUTED_VALUE"""),46215.0)</f>
        <v>46215</v>
      </c>
      <c r="B1090" s="274">
        <f>IFERROR(__xludf.DUMMYFUNCTION("""COMPUTED_VALUE"""),0.75)</f>
        <v>0.75</v>
      </c>
      <c r="C1090" s="208" t="str">
        <f>IFERROR(__xludf.DUMMYFUNCTION("""COMPUTED_VALUE"""),"Sms")</f>
        <v>Sms</v>
      </c>
      <c r="D1090" s="208" t="str">
        <f>IFERROR(__xludf.DUMMYFUNCTION("""COMPUTED_VALUE"""),"Fallback campaign")</f>
        <v>Fallback campaign</v>
      </c>
      <c r="E1090" s="208" t="str">
        <f>IFERROR(__xludf.DUMMYFUNCTION("""COMPUTED_VALUE"""),"BBW")</f>
        <v>BBW</v>
      </c>
      <c r="F1090" s="208" t="str">
        <f>IFERROR(__xludf.DUMMYFUNCTION("""COMPUTED_VALUE"""),"SAS - Reminder July'26 - Entire Store")</f>
        <v>SAS - Reminder July'26 - Entire Store</v>
      </c>
      <c r="G1090" s="208" t="str">
        <f>IFERROR(__xludf.DUMMYFUNCTION("""COMPUTED_VALUE"""),"bbw_smsfb_sas_last_reminder_july2026_churned_offline")</f>
        <v>bbw_smsfb_sas_last_reminder_july2026_churned_offline</v>
      </c>
      <c r="H1090" s="232" t="str">
        <f>IFERROR(__xludf.DUMMYFUNCTION("""COMPUTED_VALUE"""),"BBW_OFF_Churned550_EOSS_26")</f>
        <v>BBW_OFF_Churned550_EOSS_26</v>
      </c>
      <c r="I1090" s="233" t="str">
        <f>IFERROR(__xludf.DUMMYFUNCTION("""COMPUTED_VALUE"""),"WA Undelivered")</f>
        <v>WA Undelivered</v>
      </c>
      <c r="J1090" s="275">
        <f>IFERROR(__xludf.DUMMYFUNCTION("""COMPUTED_VALUE"""),91424.0)</f>
        <v>91424</v>
      </c>
      <c r="K1090" s="275">
        <f>IFERROR(__xludf.DUMMYFUNCTION("""COMPUTED_VALUE"""),50476.0)</f>
        <v>50476</v>
      </c>
      <c r="L1090" s="276">
        <f>IFERROR(__xludf.DUMMYFUNCTION("""COMPUTED_VALUE"""),0.5521)</f>
        <v>0.5521</v>
      </c>
      <c r="M1090" s="275">
        <f>IFERROR(__xludf.DUMMYFUNCTION("""COMPUTED_VALUE"""),0.0)</f>
        <v>0</v>
      </c>
      <c r="N1090" s="276">
        <f>IFERROR(__xludf.DUMMYFUNCTION("""COMPUTED_VALUE"""),0.0)</f>
        <v>0</v>
      </c>
      <c r="O1090" s="208">
        <f>IFERROR(__xludf.DUMMYFUNCTION("""COMPUTED_VALUE"""),49.0)</f>
        <v>49</v>
      </c>
      <c r="P1090" s="208">
        <f>IFERROR(__xludf.DUMMYFUNCTION("""COMPUTED_VALUE"""),0.0)</f>
        <v>0</v>
      </c>
      <c r="Q1090" s="276">
        <f>IFERROR(__xludf.DUMMYFUNCTION("""COMPUTED_VALUE"""),0.001)</f>
        <v>0.001</v>
      </c>
      <c r="R1090" s="276">
        <f>IFERROR(__xludf.DUMMYFUNCTION("""COMPUTED_VALUE"""),0.0)</f>
        <v>0</v>
      </c>
      <c r="S1090" s="208">
        <f>IFERROR(__xludf.DUMMYFUNCTION("""COMPUTED_VALUE"""),0.0)</f>
        <v>0</v>
      </c>
      <c r="T1090" s="208">
        <f>IFERROR(__xludf.DUMMYFUNCTION("""COMPUTED_VALUE"""),1.0)</f>
        <v>1</v>
      </c>
      <c r="U1090" s="275">
        <f>IFERROR(__xludf.DUMMYFUNCTION("""COMPUTED_VALUE"""),0.0)</f>
        <v>0</v>
      </c>
      <c r="V1090" s="234" t="str">
        <f>IFERROR(__xludf.DUMMYFUNCTION("""COMPUTED_VALUE"""),"offline")</f>
        <v>offline</v>
      </c>
      <c r="W1090" s="232" t="str">
        <f>IFERROR(__xludf.DUMMYFUNCTION("""COMPUTED_VALUE"""),"Sms")</f>
        <v>Sms</v>
      </c>
      <c r="X1090" s="232" t="str">
        <f>IFERROR(__xludf.DUMMYFUNCTION("""COMPUTED_VALUE"""),"Churned")</f>
        <v>Churned</v>
      </c>
      <c r="Y1090" s="232" t="str">
        <f>IFERROR(__xludf.DUMMYFUNCTION("""COMPUTED_VALUE"""),"12 July")</f>
        <v>12 July</v>
      </c>
      <c r="Z1090" s="232" t="str">
        <f>IFERROR(__xludf.DUMMYFUNCTION("""COMPUTED_VALUE"""),"6a4df4b3b81e9a0453e8b6ae")</f>
        <v>6a4df4b3b81e9a0453e8b6ae</v>
      </c>
      <c r="AA1090" s="277">
        <f>IFERROR(__xludf.DUMMYFUNCTION("""COMPUTED_VALUE"""),91.0)</f>
        <v>91</v>
      </c>
      <c r="AB1090" s="277"/>
      <c r="AC1090" s="277">
        <f>IFERROR(__xludf.DUMMYFUNCTION("""COMPUTED_VALUE"""),91.0)</f>
        <v>91</v>
      </c>
      <c r="AD1090" s="277">
        <f>IFERROR(__xludf.DUMMYFUNCTION("""COMPUTED_VALUE"""),384025.0)</f>
        <v>384025</v>
      </c>
      <c r="AE1090" s="277"/>
      <c r="AF1090" s="277">
        <f>IFERROR(__xludf.DUMMYFUNCTION("""COMPUTED_VALUE"""),384025.0)</f>
        <v>384025</v>
      </c>
      <c r="AG1090" s="208"/>
      <c r="AH1090" s="208"/>
      <c r="AI1090" s="208"/>
      <c r="AJ1090" s="208"/>
      <c r="AK1090" s="208"/>
    </row>
    <row r="1091">
      <c r="A1091" s="288">
        <f>IFERROR(__xludf.DUMMYFUNCTION("""COMPUTED_VALUE"""),46214.0)</f>
        <v>46214</v>
      </c>
      <c r="B1091" s="274">
        <f>IFERROR(__xludf.DUMMYFUNCTION("""COMPUTED_VALUE"""),0.5416666666678793)</f>
        <v>0.5416666667</v>
      </c>
      <c r="C1091" s="208" t="str">
        <f>IFERROR(__xludf.DUMMYFUNCTION("""COMPUTED_VALUE"""),"Sms")</f>
        <v>Sms</v>
      </c>
      <c r="D1091" s="208" t="str">
        <f>IFERROR(__xludf.DUMMYFUNCTION("""COMPUTED_VALUE"""),"Fallback campaign")</f>
        <v>Fallback campaign</v>
      </c>
      <c r="E1091" s="208" t="str">
        <f>IFERROR(__xludf.DUMMYFUNCTION("""COMPUTED_VALUE"""),"BBW")</f>
        <v>BBW</v>
      </c>
      <c r="F1091" s="208" t="str">
        <f>IFERROR(__xludf.DUMMYFUNCTION("""COMPUTED_VALUE"""),"SAS - Reminder July'26 - Entire Store")</f>
        <v>SAS - Reminder July'26 - Entire Store</v>
      </c>
      <c r="G1091" s="208" t="str">
        <f>IFERROR(__xludf.DUMMYFUNCTION("""COMPUTED_VALUE"""),"bbw_smsfb_sas_last_reminder_july2026_dormant_online")</f>
        <v>bbw_smsfb_sas_last_reminder_july2026_dormant_online</v>
      </c>
      <c r="H1091" s="232" t="str">
        <f>IFERROR(__xludf.DUMMYFUNCTION("""COMPUTED_VALUE"""),"BBW_ON_Dorm_EOSS_26")</f>
        <v>BBW_ON_Dorm_EOSS_26</v>
      </c>
      <c r="I1091" s="233" t="str">
        <f>IFERROR(__xludf.DUMMYFUNCTION("""COMPUTED_VALUE"""),"WA Undelivered")</f>
        <v>WA Undelivered</v>
      </c>
      <c r="J1091" s="275">
        <f>IFERROR(__xludf.DUMMYFUNCTION("""COMPUTED_VALUE"""),47802.0)</f>
        <v>47802</v>
      </c>
      <c r="K1091" s="275">
        <f>IFERROR(__xludf.DUMMYFUNCTION("""COMPUTED_VALUE"""),26554.0)</f>
        <v>26554</v>
      </c>
      <c r="L1091" s="276">
        <f>IFERROR(__xludf.DUMMYFUNCTION("""COMPUTED_VALUE"""),0.5555)</f>
        <v>0.5555</v>
      </c>
      <c r="M1091" s="275">
        <f>IFERROR(__xludf.DUMMYFUNCTION("""COMPUTED_VALUE"""),0.0)</f>
        <v>0</v>
      </c>
      <c r="N1091" s="276">
        <f>IFERROR(__xludf.DUMMYFUNCTION("""COMPUTED_VALUE"""),0.0)</f>
        <v>0</v>
      </c>
      <c r="O1091" s="208">
        <f>IFERROR(__xludf.DUMMYFUNCTION("""COMPUTED_VALUE"""),50.0)</f>
        <v>50</v>
      </c>
      <c r="P1091" s="208">
        <f>IFERROR(__xludf.DUMMYFUNCTION("""COMPUTED_VALUE"""),0.0)</f>
        <v>0</v>
      </c>
      <c r="Q1091" s="276">
        <f>IFERROR(__xludf.DUMMYFUNCTION("""COMPUTED_VALUE"""),0.0019)</f>
        <v>0.0019</v>
      </c>
      <c r="R1091" s="276">
        <f>IFERROR(__xludf.DUMMYFUNCTION("""COMPUTED_VALUE"""),0.0)</f>
        <v>0</v>
      </c>
      <c r="S1091" s="208">
        <f>IFERROR(__xludf.DUMMYFUNCTION("""COMPUTED_VALUE"""),6.0)</f>
        <v>6</v>
      </c>
      <c r="T1091" s="208">
        <f>IFERROR(__xludf.DUMMYFUNCTION("""COMPUTED_VALUE"""),19.0)</f>
        <v>19</v>
      </c>
      <c r="U1091" s="275">
        <f>IFERROR(__xludf.DUMMYFUNCTION("""COMPUTED_VALUE"""),12393.0)</f>
        <v>12393</v>
      </c>
      <c r="V1091" s="234" t="str">
        <f>IFERROR(__xludf.DUMMYFUNCTION("""COMPUTED_VALUE"""),"online")</f>
        <v>online</v>
      </c>
      <c r="W1091" s="232" t="str">
        <f>IFERROR(__xludf.DUMMYFUNCTION("""COMPUTED_VALUE"""),"Sms")</f>
        <v>Sms</v>
      </c>
      <c r="X1091" s="232" t="str">
        <f>IFERROR(__xludf.DUMMYFUNCTION("""COMPUTED_VALUE"""),"Dormant")</f>
        <v>Dormant</v>
      </c>
      <c r="Y1091" s="232" t="str">
        <f>IFERROR(__xludf.DUMMYFUNCTION("""COMPUTED_VALUE"""),"11 July")</f>
        <v>11 July</v>
      </c>
      <c r="Z1091" s="232" t="str">
        <f>IFERROR(__xludf.DUMMYFUNCTION("""COMPUTED_VALUE"""),"6a4df616d2a44a65a62a94e4")</f>
        <v>6a4df616d2a44a65a62a94e4</v>
      </c>
      <c r="AA1091" s="277">
        <f>IFERROR(__xludf.DUMMYFUNCTION("""COMPUTED_VALUE"""),15.0)</f>
        <v>15</v>
      </c>
      <c r="AB1091" s="277">
        <f>IFERROR(__xludf.DUMMYFUNCTION("""COMPUTED_VALUE"""),15.0)</f>
        <v>15</v>
      </c>
      <c r="AC1091" s="277"/>
      <c r="AD1091" s="277">
        <f>IFERROR(__xludf.DUMMYFUNCTION("""COMPUTED_VALUE"""),29294.0)</f>
        <v>29294</v>
      </c>
      <c r="AE1091" s="277">
        <f>IFERROR(__xludf.DUMMYFUNCTION("""COMPUTED_VALUE"""),29294.0)</f>
        <v>29294</v>
      </c>
      <c r="AF1091" s="277"/>
      <c r="AG1091" s="208"/>
      <c r="AH1091" s="208"/>
      <c r="AI1091" s="208"/>
      <c r="AJ1091" s="208"/>
      <c r="AK1091" s="208"/>
    </row>
    <row r="1092">
      <c r="A1092" s="288">
        <f>IFERROR(__xludf.DUMMYFUNCTION("""COMPUTED_VALUE"""),46214.0)</f>
        <v>46214</v>
      </c>
      <c r="B1092" s="274">
        <f>IFERROR(__xludf.DUMMYFUNCTION("""COMPUTED_VALUE"""),0.5416666666678793)</f>
        <v>0.5416666667</v>
      </c>
      <c r="C1092" s="208" t="str">
        <f>IFERROR(__xludf.DUMMYFUNCTION("""COMPUTED_VALUE"""),"Sms")</f>
        <v>Sms</v>
      </c>
      <c r="D1092" s="208" t="str">
        <f>IFERROR(__xludf.DUMMYFUNCTION("""COMPUTED_VALUE"""),"Fallback campaign")</f>
        <v>Fallback campaign</v>
      </c>
      <c r="E1092" s="208" t="str">
        <f>IFERROR(__xludf.DUMMYFUNCTION("""COMPUTED_VALUE"""),"BBW")</f>
        <v>BBW</v>
      </c>
      <c r="F1092" s="208" t="str">
        <f>IFERROR(__xludf.DUMMYFUNCTION("""COMPUTED_VALUE"""),"SAS - Reminder July'26 - Entire Store")</f>
        <v>SAS - Reminder July'26 - Entire Store</v>
      </c>
      <c r="G1092" s="208" t="str">
        <f>IFERROR(__xludf.DUMMYFUNCTION("""COMPUTED_VALUE"""),"bbw_smsfb_sas_last_reminder_july2026_dormant2_offline")</f>
        <v>bbw_smsfb_sas_last_reminder_july2026_dormant2_offline</v>
      </c>
      <c r="H1092" s="232" t="str">
        <f>IFERROR(__xludf.DUMMYFUNCTION("""COMPUTED_VALUE"""),"BBW_OFF_Dorm365_EOSS_26")</f>
        <v>BBW_OFF_Dorm365_EOSS_26</v>
      </c>
      <c r="I1092" s="233" t="str">
        <f>IFERROR(__xludf.DUMMYFUNCTION("""COMPUTED_VALUE"""),"WA Undelivered")</f>
        <v>WA Undelivered</v>
      </c>
      <c r="J1092" s="275">
        <f>IFERROR(__xludf.DUMMYFUNCTION("""COMPUTED_VALUE"""),65895.0)</f>
        <v>65895</v>
      </c>
      <c r="K1092" s="275">
        <f>IFERROR(__xludf.DUMMYFUNCTION("""COMPUTED_VALUE"""),37492.0)</f>
        <v>37492</v>
      </c>
      <c r="L1092" s="276">
        <f>IFERROR(__xludf.DUMMYFUNCTION("""COMPUTED_VALUE"""),0.569)</f>
        <v>0.569</v>
      </c>
      <c r="M1092" s="275">
        <f>IFERROR(__xludf.DUMMYFUNCTION("""COMPUTED_VALUE"""),0.0)</f>
        <v>0</v>
      </c>
      <c r="N1092" s="276">
        <f>IFERROR(__xludf.DUMMYFUNCTION("""COMPUTED_VALUE"""),0.0)</f>
        <v>0</v>
      </c>
      <c r="O1092" s="208">
        <f>IFERROR(__xludf.DUMMYFUNCTION("""COMPUTED_VALUE"""),26.0)</f>
        <v>26</v>
      </c>
      <c r="P1092" s="208">
        <f>IFERROR(__xludf.DUMMYFUNCTION("""COMPUTED_VALUE"""),0.0)</f>
        <v>0</v>
      </c>
      <c r="Q1092" s="276">
        <f>IFERROR(__xludf.DUMMYFUNCTION("""COMPUTED_VALUE"""),7.0E-4)</f>
        <v>0.0007</v>
      </c>
      <c r="R1092" s="276">
        <f>IFERROR(__xludf.DUMMYFUNCTION("""COMPUTED_VALUE"""),0.0)</f>
        <v>0</v>
      </c>
      <c r="S1092" s="208">
        <f>IFERROR(__xludf.DUMMYFUNCTION("""COMPUTED_VALUE"""),1.0)</f>
        <v>1</v>
      </c>
      <c r="T1092" s="208">
        <f>IFERROR(__xludf.DUMMYFUNCTION("""COMPUTED_VALUE"""),2.0)</f>
        <v>2</v>
      </c>
      <c r="U1092" s="275">
        <f>IFERROR(__xludf.DUMMYFUNCTION("""COMPUTED_VALUE"""),3888.0)</f>
        <v>3888</v>
      </c>
      <c r="V1092" s="234" t="str">
        <f>IFERROR(__xludf.DUMMYFUNCTION("""COMPUTED_VALUE"""),"offline")</f>
        <v>offline</v>
      </c>
      <c r="W1092" s="232" t="str">
        <f>IFERROR(__xludf.DUMMYFUNCTION("""COMPUTED_VALUE"""),"Sms")</f>
        <v>Sms</v>
      </c>
      <c r="X1092" s="232" t="str">
        <f>IFERROR(__xludf.DUMMYFUNCTION("""COMPUTED_VALUE"""),"Dormant")</f>
        <v>Dormant</v>
      </c>
      <c r="Y1092" s="232" t="str">
        <f>IFERROR(__xludf.DUMMYFUNCTION("""COMPUTED_VALUE"""),"11 July")</f>
        <v>11 July</v>
      </c>
      <c r="Z1092" s="232" t="str">
        <f>IFERROR(__xludf.DUMMYFUNCTION("""COMPUTED_VALUE"""),"6a4df703f13972bbec184171")</f>
        <v>6a4df703f13972bbec184171</v>
      </c>
      <c r="AA1092" s="277">
        <f>IFERROR(__xludf.DUMMYFUNCTION("""COMPUTED_VALUE"""),81.0)</f>
        <v>81</v>
      </c>
      <c r="AB1092" s="277"/>
      <c r="AC1092" s="277">
        <f>IFERROR(__xludf.DUMMYFUNCTION("""COMPUTED_VALUE"""),81.0)</f>
        <v>81</v>
      </c>
      <c r="AD1092" s="277">
        <f>IFERROR(__xludf.DUMMYFUNCTION("""COMPUTED_VALUE"""),277015.0)</f>
        <v>277015</v>
      </c>
      <c r="AE1092" s="277"/>
      <c r="AF1092" s="277">
        <f>IFERROR(__xludf.DUMMYFUNCTION("""COMPUTED_VALUE"""),277015.0)</f>
        <v>277015</v>
      </c>
      <c r="AG1092" s="208"/>
      <c r="AH1092" s="208"/>
      <c r="AI1092" s="208"/>
      <c r="AJ1092" s="208"/>
      <c r="AK1092" s="208"/>
    </row>
    <row r="1093">
      <c r="A1093" s="288">
        <f>IFERROR(__xludf.DUMMYFUNCTION("""COMPUTED_VALUE"""),46213.0)</f>
        <v>46213</v>
      </c>
      <c r="B1093" s="274">
        <f>IFERROR(__xludf.DUMMYFUNCTION("""COMPUTED_VALUE"""),0.5)</f>
        <v>0.5</v>
      </c>
      <c r="C1093" s="208" t="str">
        <f>IFERROR(__xludf.DUMMYFUNCTION("""COMPUTED_VALUE"""),"Sms")</f>
        <v>Sms</v>
      </c>
      <c r="D1093" s="208" t="str">
        <f>IFERROR(__xludf.DUMMYFUNCTION("""COMPUTED_VALUE"""),"Fallback campaign")</f>
        <v>Fallback campaign</v>
      </c>
      <c r="E1093" s="208" t="str">
        <f>IFERROR(__xludf.DUMMYFUNCTION("""COMPUTED_VALUE"""),"BBW")</f>
        <v>BBW</v>
      </c>
      <c r="F1093" s="208" t="str">
        <f>IFERROR(__xludf.DUMMYFUNCTION("""COMPUTED_VALUE"""),"SAS - Reminder July'26 - Entire Store")</f>
        <v>SAS - Reminder July'26 - Entire Store</v>
      </c>
      <c r="G1093" s="208" t="str">
        <f>IFERROR(__xludf.DUMMYFUNCTION("""COMPUTED_VALUE"""),"bbw_smsfb_sas_last_reminder_july2026_active_online")</f>
        <v>bbw_smsfb_sas_last_reminder_july2026_active_online</v>
      </c>
      <c r="H1093" s="232" t="str">
        <f>IFERROR(__xludf.DUMMYFUNCTION("""COMPUTED_VALUE"""),"BBW_ON_Active_EOSS_26")</f>
        <v>BBW_ON_Active_EOSS_26</v>
      </c>
      <c r="I1093" s="233" t="str">
        <f>IFERROR(__xludf.DUMMYFUNCTION("""COMPUTED_VALUE"""),"WA Undelivered")</f>
        <v>WA Undelivered</v>
      </c>
      <c r="J1093" s="275">
        <f>IFERROR(__xludf.DUMMYFUNCTION("""COMPUTED_VALUE"""),16046.0)</f>
        <v>16046</v>
      </c>
      <c r="K1093" s="275">
        <f>IFERROR(__xludf.DUMMYFUNCTION("""COMPUTED_VALUE"""),8312.0)</f>
        <v>8312</v>
      </c>
      <c r="L1093" s="276">
        <f>IFERROR(__xludf.DUMMYFUNCTION("""COMPUTED_VALUE"""),0.518)</f>
        <v>0.518</v>
      </c>
      <c r="M1093" s="275">
        <f>IFERROR(__xludf.DUMMYFUNCTION("""COMPUTED_VALUE"""),0.0)</f>
        <v>0</v>
      </c>
      <c r="N1093" s="276">
        <f>IFERROR(__xludf.DUMMYFUNCTION("""COMPUTED_VALUE"""),0.0)</f>
        <v>0</v>
      </c>
      <c r="O1093" s="208">
        <f>IFERROR(__xludf.DUMMYFUNCTION("""COMPUTED_VALUE"""),27.0)</f>
        <v>27</v>
      </c>
      <c r="P1093" s="208">
        <f>IFERROR(__xludf.DUMMYFUNCTION("""COMPUTED_VALUE"""),0.0)</f>
        <v>0</v>
      </c>
      <c r="Q1093" s="276">
        <f>IFERROR(__xludf.DUMMYFUNCTION("""COMPUTED_VALUE"""),0.0032)</f>
        <v>0.0032</v>
      </c>
      <c r="R1093" s="276">
        <f>IFERROR(__xludf.DUMMYFUNCTION("""COMPUTED_VALUE"""),0.0)</f>
        <v>0</v>
      </c>
      <c r="S1093" s="208">
        <f>IFERROR(__xludf.DUMMYFUNCTION("""COMPUTED_VALUE"""),4.0)</f>
        <v>4</v>
      </c>
      <c r="T1093" s="208">
        <f>IFERROR(__xludf.DUMMYFUNCTION("""COMPUTED_VALUE"""),24.0)</f>
        <v>24</v>
      </c>
      <c r="U1093" s="275">
        <f>IFERROR(__xludf.DUMMYFUNCTION("""COMPUTED_VALUE"""),12910.0)</f>
        <v>12910</v>
      </c>
      <c r="V1093" s="234" t="str">
        <f>IFERROR(__xludf.DUMMYFUNCTION("""COMPUTED_VALUE"""),"online")</f>
        <v>online</v>
      </c>
      <c r="W1093" s="232" t="str">
        <f>IFERROR(__xludf.DUMMYFUNCTION("""COMPUTED_VALUE"""),"Sms")</f>
        <v>Sms</v>
      </c>
      <c r="X1093" s="232" t="str">
        <f>IFERROR(__xludf.DUMMYFUNCTION("""COMPUTED_VALUE"""),"Active")</f>
        <v>Active</v>
      </c>
      <c r="Y1093" s="232" t="str">
        <f>IFERROR(__xludf.DUMMYFUNCTION("""COMPUTED_VALUE"""),"10 July")</f>
        <v>10 July</v>
      </c>
      <c r="Z1093" s="232" t="str">
        <f>IFERROR(__xludf.DUMMYFUNCTION("""COMPUTED_VALUE"""),"6a4df743df186dcfd0460b97")</f>
        <v>6a4df743df186dcfd0460b97</v>
      </c>
      <c r="AA1093" s="277">
        <f>IFERROR(__xludf.DUMMYFUNCTION("""COMPUTED_VALUE"""),22.0)</f>
        <v>22</v>
      </c>
      <c r="AB1093" s="277">
        <f>IFERROR(__xludf.DUMMYFUNCTION("""COMPUTED_VALUE"""),22.0)</f>
        <v>22</v>
      </c>
      <c r="AC1093" s="277"/>
      <c r="AD1093" s="277">
        <f>IFERROR(__xludf.DUMMYFUNCTION("""COMPUTED_VALUE"""),41574.0)</f>
        <v>41574</v>
      </c>
      <c r="AE1093" s="277">
        <f>IFERROR(__xludf.DUMMYFUNCTION("""COMPUTED_VALUE"""),41574.0)</f>
        <v>41574</v>
      </c>
      <c r="AF1093" s="277"/>
      <c r="AG1093" s="208"/>
      <c r="AH1093" s="208"/>
      <c r="AI1093" s="208"/>
      <c r="AJ1093" s="208"/>
      <c r="AK1093" s="208"/>
    </row>
    <row r="1094">
      <c r="A1094" s="288">
        <f>IFERROR(__xludf.DUMMYFUNCTION("""COMPUTED_VALUE"""),46213.0)</f>
        <v>46213</v>
      </c>
      <c r="B1094" s="274">
        <f>IFERROR(__xludf.DUMMYFUNCTION("""COMPUTED_VALUE"""),0.5)</f>
        <v>0.5</v>
      </c>
      <c r="C1094" s="208" t="str">
        <f>IFERROR(__xludf.DUMMYFUNCTION("""COMPUTED_VALUE"""),"Sms")</f>
        <v>Sms</v>
      </c>
      <c r="D1094" s="208" t="str">
        <f>IFERROR(__xludf.DUMMYFUNCTION("""COMPUTED_VALUE"""),"Fallback campaign")</f>
        <v>Fallback campaign</v>
      </c>
      <c r="E1094" s="208" t="str">
        <f>IFERROR(__xludf.DUMMYFUNCTION("""COMPUTED_VALUE"""),"BBW")</f>
        <v>BBW</v>
      </c>
      <c r="F1094" s="208" t="str">
        <f>IFERROR(__xludf.DUMMYFUNCTION("""COMPUTED_VALUE"""),"SAS - Reminder July'26 - Entire Store")</f>
        <v>SAS - Reminder July'26 - Entire Store</v>
      </c>
      <c r="G1094" s="208" t="str">
        <f>IFERROR(__xludf.DUMMYFUNCTION("""COMPUTED_VALUE"""),"bbw_smsfb_sas_last_reminder_july2026_active_offline")</f>
        <v>bbw_smsfb_sas_last_reminder_july2026_active_offline</v>
      </c>
      <c r="H1094" s="232" t="str">
        <f>IFERROR(__xludf.DUMMYFUNCTION("""COMPUTED_VALUE"""),"BBW_OFF_Active_EOSS_26")</f>
        <v>BBW_OFF_Active_EOSS_26</v>
      </c>
      <c r="I1094" s="233" t="str">
        <f>IFERROR(__xludf.DUMMYFUNCTION("""COMPUTED_VALUE"""),"WA Undelivered")</f>
        <v>WA Undelivered</v>
      </c>
      <c r="J1094" s="275">
        <f>IFERROR(__xludf.DUMMYFUNCTION("""COMPUTED_VALUE"""),67890.0)</f>
        <v>67890</v>
      </c>
      <c r="K1094" s="275">
        <f>IFERROR(__xludf.DUMMYFUNCTION("""COMPUTED_VALUE"""),39690.0)</f>
        <v>39690</v>
      </c>
      <c r="L1094" s="276">
        <f>IFERROR(__xludf.DUMMYFUNCTION("""COMPUTED_VALUE"""),0.5846)</f>
        <v>0.5846</v>
      </c>
      <c r="M1094" s="275">
        <f>IFERROR(__xludf.DUMMYFUNCTION("""COMPUTED_VALUE"""),0.0)</f>
        <v>0</v>
      </c>
      <c r="N1094" s="276">
        <f>IFERROR(__xludf.DUMMYFUNCTION("""COMPUTED_VALUE"""),0.0)</f>
        <v>0</v>
      </c>
      <c r="O1094" s="208">
        <f>IFERROR(__xludf.DUMMYFUNCTION("""COMPUTED_VALUE"""),52.0)</f>
        <v>52</v>
      </c>
      <c r="P1094" s="208">
        <f>IFERROR(__xludf.DUMMYFUNCTION("""COMPUTED_VALUE"""),0.0)</f>
        <v>0</v>
      </c>
      <c r="Q1094" s="276">
        <f>IFERROR(__xludf.DUMMYFUNCTION("""COMPUTED_VALUE"""),0.0013)</f>
        <v>0.0013</v>
      </c>
      <c r="R1094" s="276">
        <f>IFERROR(__xludf.DUMMYFUNCTION("""COMPUTED_VALUE"""),0.0)</f>
        <v>0</v>
      </c>
      <c r="S1094" s="208">
        <f>IFERROR(__xludf.DUMMYFUNCTION("""COMPUTED_VALUE"""),3.0)</f>
        <v>3</v>
      </c>
      <c r="T1094" s="208">
        <f>IFERROR(__xludf.DUMMYFUNCTION("""COMPUTED_VALUE"""),14.0)</f>
        <v>14</v>
      </c>
      <c r="U1094" s="275">
        <f>IFERROR(__xludf.DUMMYFUNCTION("""COMPUTED_VALUE"""),14258.0)</f>
        <v>14258</v>
      </c>
      <c r="V1094" s="234" t="str">
        <f>IFERROR(__xludf.DUMMYFUNCTION("""COMPUTED_VALUE"""),"offline")</f>
        <v>offline</v>
      </c>
      <c r="W1094" s="232" t="str">
        <f>IFERROR(__xludf.DUMMYFUNCTION("""COMPUTED_VALUE"""),"Sms")</f>
        <v>Sms</v>
      </c>
      <c r="X1094" s="232" t="str">
        <f>IFERROR(__xludf.DUMMYFUNCTION("""COMPUTED_VALUE"""),"Active")</f>
        <v>Active</v>
      </c>
      <c r="Y1094" s="232" t="str">
        <f>IFERROR(__xludf.DUMMYFUNCTION("""COMPUTED_VALUE"""),"10 July")</f>
        <v>10 July</v>
      </c>
      <c r="Z1094" s="232" t="str">
        <f>IFERROR(__xludf.DUMMYFUNCTION("""COMPUTED_VALUE"""),"6a4df8620137e707fe303324")</f>
        <v>6a4df8620137e707fe303324</v>
      </c>
      <c r="AA1094" s="277">
        <f>IFERROR(__xludf.DUMMYFUNCTION("""COMPUTED_VALUE"""),87.0)</f>
        <v>87</v>
      </c>
      <c r="AB1094" s="277"/>
      <c r="AC1094" s="277">
        <f>IFERROR(__xludf.DUMMYFUNCTION("""COMPUTED_VALUE"""),87.0)</f>
        <v>87</v>
      </c>
      <c r="AD1094" s="277">
        <f>IFERROR(__xludf.DUMMYFUNCTION("""COMPUTED_VALUE"""),358412.0)</f>
        <v>358412</v>
      </c>
      <c r="AE1094" s="277"/>
      <c r="AF1094" s="277">
        <f>IFERROR(__xludf.DUMMYFUNCTION("""COMPUTED_VALUE"""),358412.0)</f>
        <v>358412</v>
      </c>
      <c r="AG1094" s="208"/>
      <c r="AH1094" s="208"/>
      <c r="AI1094" s="208"/>
      <c r="AJ1094" s="208"/>
      <c r="AK1094" s="208"/>
    </row>
    <row r="1095">
      <c r="A1095" s="208"/>
      <c r="B1095" s="208"/>
      <c r="C1095" s="208"/>
      <c r="D1095" s="208"/>
      <c r="E1095" s="208"/>
      <c r="F1095" s="208"/>
      <c r="G1095" s="208"/>
      <c r="H1095" s="232"/>
      <c r="I1095" s="233"/>
      <c r="J1095" s="208"/>
      <c r="K1095" s="208"/>
      <c r="L1095" s="208"/>
      <c r="M1095" s="208"/>
      <c r="N1095" s="208"/>
      <c r="O1095" s="208"/>
      <c r="P1095" s="208"/>
      <c r="Q1095" s="208"/>
      <c r="R1095" s="208"/>
      <c r="S1095" s="208"/>
      <c r="T1095" s="208"/>
      <c r="U1095" s="208"/>
      <c r="V1095" s="234"/>
      <c r="W1095" s="232"/>
      <c r="X1095" s="232"/>
      <c r="Y1095" s="232"/>
      <c r="Z1095" s="232"/>
      <c r="AA1095" s="232"/>
      <c r="AB1095" s="232"/>
      <c r="AC1095" s="232"/>
      <c r="AD1095" s="232"/>
      <c r="AE1095" s="232"/>
      <c r="AF1095" s="232"/>
      <c r="AG1095" s="208"/>
      <c r="AH1095" s="208"/>
      <c r="AI1095" s="208"/>
      <c r="AJ1095" s="208"/>
      <c r="AK1095" s="208"/>
    </row>
    <row r="1096">
      <c r="A1096" s="208"/>
      <c r="B1096" s="208"/>
      <c r="C1096" s="208"/>
      <c r="D1096" s="208"/>
      <c r="E1096" s="208"/>
      <c r="F1096" s="208"/>
      <c r="G1096" s="208"/>
      <c r="H1096" s="232"/>
      <c r="I1096" s="233"/>
      <c r="J1096" s="208"/>
      <c r="K1096" s="208"/>
      <c r="L1096" s="208"/>
      <c r="M1096" s="208"/>
      <c r="N1096" s="208"/>
      <c r="O1096" s="208"/>
      <c r="P1096" s="208"/>
      <c r="Q1096" s="208"/>
      <c r="R1096" s="208"/>
      <c r="S1096" s="208"/>
      <c r="T1096" s="208"/>
      <c r="U1096" s="208"/>
      <c r="V1096" s="234"/>
      <c r="W1096" s="232"/>
      <c r="X1096" s="232"/>
      <c r="Y1096" s="232"/>
      <c r="Z1096" s="232"/>
      <c r="AA1096" s="232"/>
      <c r="AB1096" s="232"/>
      <c r="AC1096" s="232"/>
      <c r="AD1096" s="232"/>
      <c r="AE1096" s="232"/>
      <c r="AF1096" s="232"/>
      <c r="AG1096" s="208"/>
      <c r="AH1096" s="208"/>
      <c r="AI1096" s="208"/>
      <c r="AJ1096" s="208"/>
      <c r="AK1096" s="208"/>
    </row>
    <row r="1097">
      <c r="A1097" s="208"/>
      <c r="B1097" s="208"/>
      <c r="C1097" s="208"/>
      <c r="D1097" s="208"/>
      <c r="E1097" s="208"/>
      <c r="F1097" s="208"/>
      <c r="G1097" s="208"/>
      <c r="H1097" s="232"/>
      <c r="I1097" s="233"/>
      <c r="J1097" s="208"/>
      <c r="K1097" s="208"/>
      <c r="L1097" s="208"/>
      <c r="M1097" s="208"/>
      <c r="N1097" s="208"/>
      <c r="O1097" s="208"/>
      <c r="P1097" s="208"/>
      <c r="Q1097" s="208"/>
      <c r="R1097" s="208"/>
      <c r="S1097" s="208"/>
      <c r="T1097" s="208"/>
      <c r="U1097" s="208"/>
      <c r="V1097" s="234"/>
      <c r="W1097" s="232"/>
      <c r="X1097" s="232"/>
      <c r="Y1097" s="232"/>
      <c r="Z1097" s="232"/>
      <c r="AA1097" s="232"/>
      <c r="AB1097" s="232"/>
      <c r="AC1097" s="232"/>
      <c r="AD1097" s="232"/>
      <c r="AE1097" s="232"/>
      <c r="AF1097" s="232"/>
      <c r="AG1097" s="208"/>
      <c r="AH1097" s="208"/>
      <c r="AI1097" s="208"/>
      <c r="AJ1097" s="208"/>
      <c r="AK1097" s="208"/>
    </row>
    <row r="1098">
      <c r="A1098" s="208"/>
      <c r="B1098" s="208"/>
      <c r="C1098" s="208"/>
      <c r="D1098" s="208"/>
      <c r="E1098" s="208"/>
      <c r="F1098" s="208"/>
      <c r="G1098" s="208"/>
      <c r="H1098" s="232"/>
      <c r="I1098" s="233"/>
      <c r="J1098" s="208"/>
      <c r="K1098" s="208"/>
      <c r="L1098" s="208"/>
      <c r="M1098" s="208"/>
      <c r="N1098" s="208"/>
      <c r="O1098" s="208"/>
      <c r="P1098" s="208"/>
      <c r="Q1098" s="208"/>
      <c r="R1098" s="208"/>
      <c r="S1098" s="208"/>
      <c r="T1098" s="208"/>
      <c r="U1098" s="208"/>
      <c r="V1098" s="234"/>
      <c r="W1098" s="232"/>
      <c r="X1098" s="232"/>
      <c r="Y1098" s="232"/>
      <c r="Z1098" s="232"/>
      <c r="AA1098" s="232"/>
      <c r="AB1098" s="232"/>
      <c r="AC1098" s="232"/>
      <c r="AD1098" s="232"/>
      <c r="AE1098" s="232"/>
      <c r="AF1098" s="232"/>
      <c r="AG1098" s="208"/>
      <c r="AH1098" s="208"/>
      <c r="AI1098" s="208"/>
      <c r="AJ1098" s="208"/>
      <c r="AK1098" s="208"/>
    </row>
    <row r="1099">
      <c r="A1099" s="208"/>
      <c r="B1099" s="208"/>
      <c r="C1099" s="208"/>
      <c r="D1099" s="208"/>
      <c r="E1099" s="208"/>
      <c r="F1099" s="208"/>
      <c r="G1099" s="208"/>
      <c r="H1099" s="232"/>
      <c r="I1099" s="233"/>
      <c r="J1099" s="208"/>
      <c r="K1099" s="208"/>
      <c r="L1099" s="208"/>
      <c r="M1099" s="208"/>
      <c r="N1099" s="208"/>
      <c r="O1099" s="208"/>
      <c r="P1099" s="208"/>
      <c r="Q1099" s="208"/>
      <c r="R1099" s="208"/>
      <c r="S1099" s="208"/>
      <c r="T1099" s="208"/>
      <c r="U1099" s="208"/>
      <c r="V1099" s="234"/>
      <c r="W1099" s="232"/>
      <c r="X1099" s="232"/>
      <c r="Y1099" s="232"/>
      <c r="Z1099" s="232"/>
      <c r="AA1099" s="232"/>
      <c r="AB1099" s="232"/>
      <c r="AC1099" s="232"/>
      <c r="AD1099" s="232"/>
      <c r="AE1099" s="232"/>
      <c r="AF1099" s="232"/>
      <c r="AG1099" s="208"/>
      <c r="AH1099" s="208"/>
      <c r="AI1099" s="208"/>
      <c r="AJ1099" s="208"/>
      <c r="AK1099" s="208"/>
    </row>
    <row r="1100">
      <c r="A1100" s="208"/>
      <c r="B1100" s="208"/>
      <c r="C1100" s="208"/>
      <c r="D1100" s="208"/>
      <c r="E1100" s="208"/>
      <c r="F1100" s="208"/>
      <c r="G1100" s="208"/>
      <c r="H1100" s="232"/>
      <c r="I1100" s="233"/>
      <c r="J1100" s="208"/>
      <c r="K1100" s="208"/>
      <c r="L1100" s="208"/>
      <c r="M1100" s="208"/>
      <c r="N1100" s="208"/>
      <c r="O1100" s="208"/>
      <c r="P1100" s="208"/>
      <c r="Q1100" s="208"/>
      <c r="R1100" s="208"/>
      <c r="S1100" s="208"/>
      <c r="T1100" s="208"/>
      <c r="U1100" s="208"/>
      <c r="V1100" s="234"/>
      <c r="W1100" s="232"/>
      <c r="X1100" s="232"/>
      <c r="Y1100" s="232"/>
      <c r="Z1100" s="232"/>
      <c r="AA1100" s="232"/>
      <c r="AB1100" s="232"/>
      <c r="AC1100" s="232"/>
      <c r="AD1100" s="232"/>
      <c r="AE1100" s="232"/>
      <c r="AF1100" s="232"/>
      <c r="AG1100" s="208"/>
      <c r="AH1100" s="208"/>
      <c r="AI1100" s="208"/>
      <c r="AJ1100" s="208"/>
      <c r="AK1100" s="208"/>
    </row>
    <row r="1101">
      <c r="A1101" s="208"/>
      <c r="B1101" s="208"/>
      <c r="C1101" s="208"/>
      <c r="D1101" s="208"/>
      <c r="E1101" s="208"/>
      <c r="F1101" s="208"/>
      <c r="G1101" s="208"/>
      <c r="H1101" s="232"/>
      <c r="I1101" s="233"/>
      <c r="J1101" s="208"/>
      <c r="K1101" s="208"/>
      <c r="L1101" s="208"/>
      <c r="M1101" s="208"/>
      <c r="N1101" s="208"/>
      <c r="O1101" s="208"/>
      <c r="P1101" s="208"/>
      <c r="Q1101" s="208"/>
      <c r="R1101" s="208"/>
      <c r="S1101" s="208"/>
      <c r="T1101" s="208"/>
      <c r="U1101" s="208"/>
      <c r="V1101" s="234"/>
      <c r="W1101" s="232"/>
      <c r="X1101" s="232"/>
      <c r="Y1101" s="232"/>
      <c r="Z1101" s="232"/>
      <c r="AA1101" s="232"/>
      <c r="AB1101" s="232"/>
      <c r="AC1101" s="232"/>
      <c r="AD1101" s="232"/>
      <c r="AE1101" s="232"/>
      <c r="AF1101" s="232"/>
      <c r="AG1101" s="208"/>
      <c r="AH1101" s="208"/>
      <c r="AI1101" s="208"/>
      <c r="AJ1101" s="208"/>
      <c r="AK1101" s="208"/>
    </row>
    <row r="1102">
      <c r="A1102" s="208"/>
      <c r="B1102" s="208"/>
      <c r="C1102" s="208"/>
      <c r="D1102" s="208"/>
      <c r="E1102" s="208"/>
      <c r="F1102" s="208"/>
      <c r="G1102" s="208"/>
      <c r="H1102" s="232"/>
      <c r="I1102" s="233"/>
      <c r="J1102" s="208"/>
      <c r="K1102" s="208"/>
      <c r="L1102" s="208"/>
      <c r="M1102" s="208"/>
      <c r="N1102" s="208"/>
      <c r="O1102" s="208"/>
      <c r="P1102" s="208"/>
      <c r="Q1102" s="208"/>
      <c r="R1102" s="208"/>
      <c r="S1102" s="208"/>
      <c r="T1102" s="208"/>
      <c r="U1102" s="208"/>
      <c r="V1102" s="234"/>
      <c r="W1102" s="232"/>
      <c r="X1102" s="232"/>
      <c r="Y1102" s="232"/>
      <c r="Z1102" s="232"/>
      <c r="AA1102" s="232"/>
      <c r="AB1102" s="232"/>
      <c r="AC1102" s="232"/>
      <c r="AD1102" s="232"/>
      <c r="AE1102" s="232"/>
      <c r="AF1102" s="232"/>
      <c r="AG1102" s="208"/>
      <c r="AH1102" s="208"/>
      <c r="AI1102" s="208"/>
      <c r="AJ1102" s="208"/>
      <c r="AK1102" s="208"/>
    </row>
    <row r="1103">
      <c r="A1103" s="208"/>
      <c r="B1103" s="208"/>
      <c r="C1103" s="208"/>
      <c r="D1103" s="208"/>
      <c r="E1103" s="208"/>
      <c r="F1103" s="208"/>
      <c r="G1103" s="208"/>
      <c r="H1103" s="232"/>
      <c r="I1103" s="233"/>
      <c r="J1103" s="208"/>
      <c r="K1103" s="208"/>
      <c r="L1103" s="208"/>
      <c r="M1103" s="208"/>
      <c r="N1103" s="208"/>
      <c r="O1103" s="208"/>
      <c r="P1103" s="208"/>
      <c r="Q1103" s="208"/>
      <c r="R1103" s="208"/>
      <c r="S1103" s="208"/>
      <c r="T1103" s="208"/>
      <c r="U1103" s="208"/>
      <c r="V1103" s="234"/>
      <c r="W1103" s="232"/>
      <c r="X1103" s="232"/>
      <c r="Y1103" s="232"/>
      <c r="Z1103" s="232"/>
      <c r="AA1103" s="232"/>
      <c r="AB1103" s="232"/>
      <c r="AC1103" s="232"/>
      <c r="AD1103" s="232"/>
      <c r="AE1103" s="232"/>
      <c r="AF1103" s="232"/>
      <c r="AG1103" s="208"/>
      <c r="AH1103" s="208"/>
      <c r="AI1103" s="208"/>
      <c r="AJ1103" s="208"/>
      <c r="AK1103" s="208"/>
    </row>
    <row r="1104">
      <c r="A1104" s="208"/>
      <c r="B1104" s="208"/>
      <c r="C1104" s="208"/>
      <c r="D1104" s="208"/>
      <c r="E1104" s="208"/>
      <c r="F1104" s="208"/>
      <c r="G1104" s="208"/>
      <c r="H1104" s="232"/>
      <c r="I1104" s="233"/>
      <c r="J1104" s="208"/>
      <c r="K1104" s="208"/>
      <c r="L1104" s="208"/>
      <c r="M1104" s="208"/>
      <c r="N1104" s="208"/>
      <c r="O1104" s="208"/>
      <c r="P1104" s="208"/>
      <c r="Q1104" s="208"/>
      <c r="R1104" s="208"/>
      <c r="S1104" s="208"/>
      <c r="T1104" s="208"/>
      <c r="U1104" s="208"/>
      <c r="V1104" s="234"/>
      <c r="W1104" s="232"/>
      <c r="X1104" s="232"/>
      <c r="Y1104" s="232"/>
      <c r="Z1104" s="232"/>
      <c r="AA1104" s="232"/>
      <c r="AB1104" s="232"/>
      <c r="AC1104" s="232"/>
      <c r="AD1104" s="232"/>
      <c r="AE1104" s="232"/>
      <c r="AF1104" s="232"/>
      <c r="AG1104" s="208"/>
      <c r="AH1104" s="208"/>
      <c r="AI1104" s="208"/>
      <c r="AJ1104" s="208"/>
      <c r="AK1104" s="208"/>
    </row>
    <row r="1105">
      <c r="A1105" s="208"/>
      <c r="B1105" s="208"/>
      <c r="C1105" s="208"/>
      <c r="D1105" s="208"/>
      <c r="E1105" s="208"/>
      <c r="F1105" s="208"/>
      <c r="G1105" s="208"/>
      <c r="H1105" s="232"/>
      <c r="I1105" s="233"/>
      <c r="J1105" s="208"/>
      <c r="K1105" s="208"/>
      <c r="L1105" s="208"/>
      <c r="M1105" s="208"/>
      <c r="N1105" s="208"/>
      <c r="O1105" s="208"/>
      <c r="P1105" s="208"/>
      <c r="Q1105" s="208"/>
      <c r="R1105" s="208"/>
      <c r="S1105" s="208"/>
      <c r="T1105" s="208"/>
      <c r="U1105" s="208"/>
      <c r="V1105" s="234"/>
      <c r="W1105" s="232"/>
      <c r="X1105" s="232"/>
      <c r="Y1105" s="232"/>
      <c r="Z1105" s="232"/>
      <c r="AA1105" s="232"/>
      <c r="AB1105" s="232"/>
      <c r="AC1105" s="232"/>
      <c r="AD1105" s="232"/>
      <c r="AE1105" s="232"/>
      <c r="AF1105" s="232"/>
      <c r="AG1105" s="208"/>
      <c r="AH1105" s="208"/>
      <c r="AI1105" s="208"/>
      <c r="AJ1105" s="208"/>
      <c r="AK1105" s="208"/>
    </row>
    <row r="1106">
      <c r="A1106" s="208"/>
      <c r="B1106" s="208"/>
      <c r="C1106" s="208"/>
      <c r="D1106" s="208"/>
      <c r="E1106" s="208"/>
      <c r="F1106" s="208"/>
      <c r="G1106" s="208"/>
      <c r="H1106" s="232"/>
      <c r="I1106" s="233"/>
      <c r="J1106" s="208"/>
      <c r="K1106" s="208"/>
      <c r="L1106" s="208"/>
      <c r="M1106" s="208"/>
      <c r="N1106" s="208"/>
      <c r="O1106" s="208"/>
      <c r="P1106" s="208"/>
      <c r="Q1106" s="208"/>
      <c r="R1106" s="208"/>
      <c r="S1106" s="208"/>
      <c r="T1106" s="208"/>
      <c r="U1106" s="208"/>
      <c r="V1106" s="234"/>
      <c r="W1106" s="232"/>
      <c r="X1106" s="232"/>
      <c r="Y1106" s="232"/>
      <c r="Z1106" s="232"/>
      <c r="AA1106" s="232"/>
      <c r="AB1106" s="232"/>
      <c r="AC1106" s="232"/>
      <c r="AD1106" s="232"/>
      <c r="AE1106" s="232"/>
      <c r="AF1106" s="232"/>
      <c r="AG1106" s="208"/>
      <c r="AH1106" s="208"/>
      <c r="AI1106" s="208"/>
      <c r="AJ1106" s="208"/>
      <c r="AK1106" s="208"/>
    </row>
    <row r="1107">
      <c r="A1107" s="208"/>
      <c r="B1107" s="208"/>
      <c r="C1107" s="208"/>
      <c r="D1107" s="208"/>
      <c r="E1107" s="208"/>
      <c r="F1107" s="208"/>
      <c r="G1107" s="208"/>
      <c r="H1107" s="232"/>
      <c r="I1107" s="233"/>
      <c r="J1107" s="208"/>
      <c r="K1107" s="208"/>
      <c r="L1107" s="208"/>
      <c r="M1107" s="208"/>
      <c r="N1107" s="208"/>
      <c r="O1107" s="208"/>
      <c r="P1107" s="208"/>
      <c r="Q1107" s="208"/>
      <c r="R1107" s="208"/>
      <c r="S1107" s="208"/>
      <c r="T1107" s="208"/>
      <c r="U1107" s="208"/>
      <c r="V1107" s="234"/>
      <c r="W1107" s="232"/>
      <c r="X1107" s="232"/>
      <c r="Y1107" s="232"/>
      <c r="Z1107" s="232"/>
      <c r="AA1107" s="232"/>
      <c r="AB1107" s="232"/>
      <c r="AC1107" s="232"/>
      <c r="AD1107" s="232"/>
      <c r="AE1107" s="232"/>
      <c r="AF1107" s="232"/>
      <c r="AG1107" s="208"/>
      <c r="AH1107" s="208"/>
      <c r="AI1107" s="208"/>
      <c r="AJ1107" s="208"/>
      <c r="AK1107" s="208"/>
    </row>
    <row r="1108">
      <c r="A1108" s="208"/>
      <c r="B1108" s="208"/>
      <c r="C1108" s="208"/>
      <c r="D1108" s="208"/>
      <c r="E1108" s="208"/>
      <c r="F1108" s="208"/>
      <c r="G1108" s="208"/>
      <c r="H1108" s="232"/>
      <c r="I1108" s="233"/>
      <c r="J1108" s="208"/>
      <c r="K1108" s="208"/>
      <c r="L1108" s="208"/>
      <c r="M1108" s="208"/>
      <c r="N1108" s="208"/>
      <c r="O1108" s="208"/>
      <c r="P1108" s="208"/>
      <c r="Q1108" s="208"/>
      <c r="R1108" s="208"/>
      <c r="S1108" s="208"/>
      <c r="T1108" s="208"/>
      <c r="U1108" s="208"/>
      <c r="V1108" s="234"/>
      <c r="W1108" s="232"/>
      <c r="X1108" s="232"/>
      <c r="Y1108" s="232"/>
      <c r="Z1108" s="232"/>
      <c r="AA1108" s="232"/>
      <c r="AB1108" s="232"/>
      <c r="AC1108" s="232"/>
      <c r="AD1108" s="232"/>
      <c r="AE1108" s="232"/>
      <c r="AF1108" s="232"/>
      <c r="AG1108" s="208"/>
      <c r="AH1108" s="208"/>
      <c r="AI1108" s="208"/>
      <c r="AJ1108" s="208"/>
      <c r="AK1108" s="208"/>
    </row>
    <row r="1109">
      <c r="A1109" s="208"/>
      <c r="B1109" s="208"/>
      <c r="C1109" s="208"/>
      <c r="D1109" s="208"/>
      <c r="E1109" s="208"/>
      <c r="F1109" s="208"/>
      <c r="G1109" s="208"/>
      <c r="H1109" s="232"/>
      <c r="I1109" s="233"/>
      <c r="J1109" s="208"/>
      <c r="K1109" s="208"/>
      <c r="L1109" s="208"/>
      <c r="M1109" s="208"/>
      <c r="N1109" s="208"/>
      <c r="O1109" s="208"/>
      <c r="P1109" s="208"/>
      <c r="Q1109" s="208"/>
      <c r="R1109" s="208"/>
      <c r="S1109" s="208"/>
      <c r="T1109" s="208"/>
      <c r="U1109" s="208"/>
      <c r="V1109" s="234"/>
      <c r="W1109" s="232"/>
      <c r="X1109" s="232"/>
      <c r="Y1109" s="232"/>
      <c r="Z1109" s="232"/>
      <c r="AA1109" s="232"/>
      <c r="AB1109" s="232"/>
      <c r="AC1109" s="232"/>
      <c r="AD1109" s="232"/>
      <c r="AE1109" s="232"/>
      <c r="AF1109" s="232"/>
      <c r="AG1109" s="208"/>
      <c r="AH1109" s="208"/>
      <c r="AI1109" s="208"/>
      <c r="AJ1109" s="208"/>
      <c r="AK1109" s="208"/>
    </row>
    <row r="1110">
      <c r="A1110" s="208"/>
      <c r="B1110" s="208"/>
      <c r="C1110" s="208"/>
      <c r="D1110" s="208"/>
      <c r="E1110" s="208"/>
      <c r="F1110" s="208"/>
      <c r="G1110" s="208"/>
      <c r="H1110" s="232"/>
      <c r="I1110" s="233"/>
      <c r="J1110" s="208"/>
      <c r="K1110" s="208"/>
      <c r="L1110" s="208"/>
      <c r="M1110" s="208"/>
      <c r="N1110" s="208"/>
      <c r="O1110" s="208"/>
      <c r="P1110" s="208"/>
      <c r="Q1110" s="208"/>
      <c r="R1110" s="208"/>
      <c r="S1110" s="208"/>
      <c r="T1110" s="208"/>
      <c r="U1110" s="208"/>
      <c r="V1110" s="234"/>
      <c r="W1110" s="232"/>
      <c r="X1110" s="232"/>
      <c r="Y1110" s="232"/>
      <c r="Z1110" s="232"/>
      <c r="AA1110" s="232"/>
      <c r="AB1110" s="232"/>
      <c r="AC1110" s="232"/>
      <c r="AD1110" s="232"/>
      <c r="AE1110" s="232"/>
      <c r="AF1110" s="232"/>
      <c r="AG1110" s="208"/>
      <c r="AH1110" s="208"/>
      <c r="AI1110" s="208"/>
      <c r="AJ1110" s="208"/>
      <c r="AK1110" s="208"/>
    </row>
    <row r="1111">
      <c r="A1111" s="208"/>
      <c r="B1111" s="208"/>
      <c r="C1111" s="208"/>
      <c r="D1111" s="208"/>
      <c r="E1111" s="208"/>
      <c r="F1111" s="208"/>
      <c r="G1111" s="208"/>
      <c r="H1111" s="232"/>
      <c r="I1111" s="233"/>
      <c r="J1111" s="208"/>
      <c r="K1111" s="208"/>
      <c r="L1111" s="208"/>
      <c r="M1111" s="208"/>
      <c r="N1111" s="208"/>
      <c r="O1111" s="208"/>
      <c r="P1111" s="208"/>
      <c r="Q1111" s="208"/>
      <c r="R1111" s="208"/>
      <c r="S1111" s="208"/>
      <c r="T1111" s="208"/>
      <c r="U1111" s="208"/>
      <c r="V1111" s="234"/>
      <c r="W1111" s="232"/>
      <c r="X1111" s="232"/>
      <c r="Y1111" s="232"/>
      <c r="Z1111" s="232"/>
      <c r="AA1111" s="232"/>
      <c r="AB1111" s="232"/>
      <c r="AC1111" s="232"/>
      <c r="AD1111" s="232"/>
      <c r="AE1111" s="232"/>
      <c r="AF1111" s="232"/>
      <c r="AG1111" s="208"/>
      <c r="AH1111" s="208"/>
      <c r="AI1111" s="208"/>
      <c r="AJ1111" s="208"/>
      <c r="AK1111" s="208"/>
    </row>
    <row r="1112">
      <c r="A1112" s="208"/>
      <c r="B1112" s="208"/>
      <c r="C1112" s="208"/>
      <c r="D1112" s="208"/>
      <c r="E1112" s="208"/>
      <c r="F1112" s="208"/>
      <c r="G1112" s="208"/>
      <c r="H1112" s="232"/>
      <c r="I1112" s="233"/>
      <c r="J1112" s="208"/>
      <c r="K1112" s="208"/>
      <c r="L1112" s="208"/>
      <c r="M1112" s="208"/>
      <c r="N1112" s="208"/>
      <c r="O1112" s="208"/>
      <c r="P1112" s="208"/>
      <c r="Q1112" s="208"/>
      <c r="R1112" s="208"/>
      <c r="S1112" s="208"/>
      <c r="T1112" s="208"/>
      <c r="U1112" s="208"/>
      <c r="V1112" s="234"/>
      <c r="W1112" s="232"/>
      <c r="X1112" s="232"/>
      <c r="Y1112" s="232"/>
      <c r="Z1112" s="232"/>
      <c r="AA1112" s="232"/>
      <c r="AB1112" s="232"/>
      <c r="AC1112" s="232"/>
      <c r="AD1112" s="232"/>
      <c r="AE1112" s="232"/>
      <c r="AF1112" s="232"/>
      <c r="AG1112" s="208"/>
      <c r="AH1112" s="208"/>
      <c r="AI1112" s="208"/>
      <c r="AJ1112" s="208"/>
      <c r="AK1112" s="208"/>
    </row>
    <row r="1113">
      <c r="A1113" s="208"/>
      <c r="B1113" s="208"/>
      <c r="C1113" s="208"/>
      <c r="D1113" s="208"/>
      <c r="E1113" s="208"/>
      <c r="F1113" s="208"/>
      <c r="G1113" s="208"/>
      <c r="H1113" s="232"/>
      <c r="I1113" s="233"/>
      <c r="J1113" s="208"/>
      <c r="K1113" s="208"/>
      <c r="L1113" s="208"/>
      <c r="M1113" s="208"/>
      <c r="N1113" s="208"/>
      <c r="O1113" s="208"/>
      <c r="P1113" s="208"/>
      <c r="Q1113" s="208"/>
      <c r="R1113" s="208"/>
      <c r="S1113" s="208"/>
      <c r="T1113" s="208"/>
      <c r="U1113" s="208"/>
      <c r="V1113" s="234"/>
      <c r="W1113" s="232"/>
      <c r="X1113" s="232"/>
      <c r="Y1113" s="232"/>
      <c r="Z1113" s="232"/>
      <c r="AA1113" s="232"/>
      <c r="AB1113" s="232"/>
      <c r="AC1113" s="232"/>
      <c r="AD1113" s="232"/>
      <c r="AE1113" s="232"/>
      <c r="AF1113" s="232"/>
      <c r="AG1113" s="208"/>
      <c r="AH1113" s="208"/>
      <c r="AI1113" s="208"/>
      <c r="AJ1113" s="208"/>
      <c r="AK1113" s="208"/>
    </row>
    <row r="1114">
      <c r="A1114" s="208"/>
      <c r="B1114" s="208"/>
      <c r="C1114" s="208"/>
      <c r="D1114" s="208"/>
      <c r="E1114" s="208"/>
      <c r="F1114" s="208"/>
      <c r="G1114" s="208"/>
      <c r="H1114" s="232"/>
      <c r="I1114" s="233"/>
      <c r="J1114" s="208"/>
      <c r="K1114" s="208"/>
      <c r="L1114" s="208"/>
      <c r="M1114" s="208"/>
      <c r="N1114" s="208"/>
      <c r="O1114" s="208"/>
      <c r="P1114" s="208"/>
      <c r="Q1114" s="208"/>
      <c r="R1114" s="208"/>
      <c r="S1114" s="208"/>
      <c r="T1114" s="208"/>
      <c r="U1114" s="208"/>
      <c r="V1114" s="234"/>
      <c r="W1114" s="232"/>
      <c r="X1114" s="232"/>
      <c r="Y1114" s="232"/>
      <c r="Z1114" s="232"/>
      <c r="AA1114" s="232"/>
      <c r="AB1114" s="232"/>
      <c r="AC1114" s="232"/>
      <c r="AD1114" s="232"/>
      <c r="AE1114" s="232"/>
      <c r="AF1114" s="232"/>
      <c r="AG1114" s="208"/>
      <c r="AH1114" s="208"/>
      <c r="AI1114" s="208"/>
      <c r="AJ1114" s="208"/>
      <c r="AK1114" s="208"/>
    </row>
    <row r="1115">
      <c r="A1115" s="208"/>
      <c r="B1115" s="208"/>
      <c r="C1115" s="208"/>
      <c r="D1115" s="208"/>
      <c r="E1115" s="208"/>
      <c r="F1115" s="208"/>
      <c r="G1115" s="208"/>
      <c r="H1115" s="232"/>
      <c r="I1115" s="233"/>
      <c r="J1115" s="208"/>
      <c r="K1115" s="208"/>
      <c r="L1115" s="208"/>
      <c r="M1115" s="208"/>
      <c r="N1115" s="208"/>
      <c r="O1115" s="208"/>
      <c r="P1115" s="208"/>
      <c r="Q1115" s="208"/>
      <c r="R1115" s="208"/>
      <c r="S1115" s="208"/>
      <c r="T1115" s="208"/>
      <c r="U1115" s="208"/>
      <c r="V1115" s="234"/>
      <c r="W1115" s="232"/>
      <c r="X1115" s="232"/>
      <c r="Y1115" s="232"/>
      <c r="Z1115" s="232"/>
      <c r="AA1115" s="232"/>
      <c r="AB1115" s="232"/>
      <c r="AC1115" s="232"/>
      <c r="AD1115" s="232"/>
      <c r="AE1115" s="232"/>
      <c r="AF1115" s="232"/>
      <c r="AG1115" s="208"/>
      <c r="AH1115" s="208"/>
      <c r="AI1115" s="208"/>
      <c r="AJ1115" s="208"/>
      <c r="AK1115" s="208"/>
    </row>
    <row r="1116">
      <c r="A1116" s="208"/>
      <c r="B1116" s="208"/>
      <c r="C1116" s="208"/>
      <c r="D1116" s="208"/>
      <c r="E1116" s="208"/>
      <c r="F1116" s="208"/>
      <c r="G1116" s="208"/>
      <c r="H1116" s="232"/>
      <c r="I1116" s="233"/>
      <c r="J1116" s="208"/>
      <c r="K1116" s="208"/>
      <c r="L1116" s="208"/>
      <c r="M1116" s="208"/>
      <c r="N1116" s="208"/>
      <c r="O1116" s="208"/>
      <c r="P1116" s="208"/>
      <c r="Q1116" s="208"/>
      <c r="R1116" s="208"/>
      <c r="S1116" s="208"/>
      <c r="T1116" s="208"/>
      <c r="U1116" s="208"/>
      <c r="V1116" s="234"/>
      <c r="W1116" s="232"/>
      <c r="X1116" s="232"/>
      <c r="Y1116" s="232"/>
      <c r="Z1116" s="232"/>
      <c r="AA1116" s="232"/>
      <c r="AB1116" s="232"/>
      <c r="AC1116" s="232"/>
      <c r="AD1116" s="232"/>
      <c r="AE1116" s="232"/>
      <c r="AF1116" s="232"/>
      <c r="AG1116" s="208"/>
      <c r="AH1116" s="208"/>
      <c r="AI1116" s="208"/>
      <c r="AJ1116" s="208"/>
      <c r="AK1116" s="208"/>
    </row>
    <row r="1117">
      <c r="A1117" s="208"/>
      <c r="B1117" s="208"/>
      <c r="C1117" s="208"/>
      <c r="D1117" s="208"/>
      <c r="E1117" s="208"/>
      <c r="F1117" s="208"/>
      <c r="G1117" s="208"/>
      <c r="H1117" s="232"/>
      <c r="I1117" s="233"/>
      <c r="J1117" s="208"/>
      <c r="K1117" s="208"/>
      <c r="L1117" s="208"/>
      <c r="M1117" s="208"/>
      <c r="N1117" s="208"/>
      <c r="O1117" s="208"/>
      <c r="P1117" s="208"/>
      <c r="Q1117" s="208"/>
      <c r="R1117" s="208"/>
      <c r="S1117" s="208"/>
      <c r="T1117" s="208"/>
      <c r="U1117" s="208"/>
      <c r="V1117" s="234"/>
      <c r="W1117" s="232"/>
      <c r="X1117" s="232"/>
      <c r="Y1117" s="232"/>
      <c r="Z1117" s="232"/>
      <c r="AA1117" s="232"/>
      <c r="AB1117" s="232"/>
      <c r="AC1117" s="232"/>
      <c r="AD1117" s="232"/>
      <c r="AE1117" s="232"/>
      <c r="AF1117" s="232"/>
      <c r="AG1117" s="208"/>
      <c r="AH1117" s="208"/>
      <c r="AI1117" s="208"/>
      <c r="AJ1117" s="208"/>
      <c r="AK1117" s="208"/>
    </row>
    <row r="1118">
      <c r="A1118" s="208"/>
      <c r="B1118" s="208"/>
      <c r="C1118" s="208"/>
      <c r="D1118" s="208"/>
      <c r="E1118" s="208"/>
      <c r="F1118" s="208"/>
      <c r="G1118" s="208"/>
      <c r="H1118" s="232"/>
      <c r="I1118" s="233"/>
      <c r="J1118" s="208"/>
      <c r="K1118" s="208"/>
      <c r="L1118" s="208"/>
      <c r="M1118" s="208"/>
      <c r="N1118" s="208"/>
      <c r="O1118" s="208"/>
      <c r="P1118" s="208"/>
      <c r="Q1118" s="208"/>
      <c r="R1118" s="208"/>
      <c r="S1118" s="208"/>
      <c r="T1118" s="208"/>
      <c r="U1118" s="208"/>
      <c r="V1118" s="234"/>
      <c r="W1118" s="232"/>
      <c r="X1118" s="232"/>
      <c r="Y1118" s="232"/>
      <c r="Z1118" s="232"/>
      <c r="AA1118" s="232"/>
      <c r="AB1118" s="232"/>
      <c r="AC1118" s="232"/>
      <c r="AD1118" s="232"/>
      <c r="AE1118" s="232"/>
      <c r="AF1118" s="232"/>
      <c r="AG1118" s="208"/>
      <c r="AH1118" s="208"/>
      <c r="AI1118" s="208"/>
      <c r="AJ1118" s="208"/>
      <c r="AK1118" s="208"/>
    </row>
    <row r="1119">
      <c r="A1119" s="208"/>
      <c r="B1119" s="208"/>
      <c r="C1119" s="208"/>
      <c r="D1119" s="208"/>
      <c r="E1119" s="208"/>
      <c r="F1119" s="208"/>
      <c r="G1119" s="208"/>
      <c r="H1119" s="232"/>
      <c r="I1119" s="233"/>
      <c r="J1119" s="208"/>
      <c r="K1119" s="208"/>
      <c r="L1119" s="208"/>
      <c r="M1119" s="208"/>
      <c r="N1119" s="208"/>
      <c r="O1119" s="208"/>
      <c r="P1119" s="208"/>
      <c r="Q1119" s="208"/>
      <c r="R1119" s="208"/>
      <c r="S1119" s="208"/>
      <c r="T1119" s="208"/>
      <c r="U1119" s="208"/>
      <c r="V1119" s="234"/>
      <c r="W1119" s="232"/>
      <c r="X1119" s="232"/>
      <c r="Y1119" s="232"/>
      <c r="Z1119" s="232"/>
      <c r="AA1119" s="232"/>
      <c r="AB1119" s="232"/>
      <c r="AC1119" s="232"/>
      <c r="AD1119" s="232"/>
      <c r="AE1119" s="232"/>
      <c r="AF1119" s="232"/>
      <c r="AG1119" s="208"/>
      <c r="AH1119" s="208"/>
      <c r="AI1119" s="208"/>
      <c r="AJ1119" s="208"/>
      <c r="AK1119" s="208"/>
    </row>
    <row r="1120">
      <c r="A1120" s="208"/>
      <c r="B1120" s="208"/>
      <c r="C1120" s="208"/>
      <c r="D1120" s="208"/>
      <c r="E1120" s="208"/>
      <c r="F1120" s="208"/>
      <c r="G1120" s="208"/>
      <c r="H1120" s="232"/>
      <c r="I1120" s="233"/>
      <c r="J1120" s="208"/>
      <c r="K1120" s="208"/>
      <c r="L1120" s="208"/>
      <c r="M1120" s="208"/>
      <c r="N1120" s="208"/>
      <c r="O1120" s="208"/>
      <c r="P1120" s="208"/>
      <c r="Q1120" s="208"/>
      <c r="R1120" s="208"/>
      <c r="S1120" s="208"/>
      <c r="T1120" s="208"/>
      <c r="U1120" s="208"/>
      <c r="V1120" s="234"/>
      <c r="W1120" s="232"/>
      <c r="X1120" s="232"/>
      <c r="Y1120" s="232"/>
      <c r="Z1120" s="232"/>
      <c r="AA1120" s="232"/>
      <c r="AB1120" s="232"/>
      <c r="AC1120" s="232"/>
      <c r="AD1120" s="232"/>
      <c r="AE1120" s="232"/>
      <c r="AF1120" s="232"/>
      <c r="AG1120" s="208"/>
      <c r="AH1120" s="208"/>
      <c r="AI1120" s="208"/>
      <c r="AJ1120" s="208"/>
      <c r="AK1120" s="208"/>
    </row>
    <row r="1121">
      <c r="A1121" s="208"/>
      <c r="B1121" s="208"/>
      <c r="C1121" s="208"/>
      <c r="D1121" s="208"/>
      <c r="E1121" s="208"/>
      <c r="F1121" s="208"/>
      <c r="G1121" s="208"/>
      <c r="H1121" s="232"/>
      <c r="I1121" s="233"/>
      <c r="J1121" s="208"/>
      <c r="K1121" s="208"/>
      <c r="L1121" s="208"/>
      <c r="M1121" s="208"/>
      <c r="N1121" s="208"/>
      <c r="O1121" s="208"/>
      <c r="P1121" s="208"/>
      <c r="Q1121" s="208"/>
      <c r="R1121" s="208"/>
      <c r="S1121" s="208"/>
      <c r="T1121" s="208"/>
      <c r="U1121" s="208"/>
      <c r="V1121" s="234"/>
      <c r="W1121" s="232"/>
      <c r="X1121" s="232"/>
      <c r="Y1121" s="232"/>
      <c r="Z1121" s="232"/>
      <c r="AA1121" s="232"/>
      <c r="AB1121" s="232"/>
      <c r="AC1121" s="232"/>
      <c r="AD1121" s="232"/>
      <c r="AE1121" s="232"/>
      <c r="AF1121" s="232"/>
      <c r="AG1121" s="208"/>
      <c r="AH1121" s="208"/>
      <c r="AI1121" s="208"/>
      <c r="AJ1121" s="208"/>
      <c r="AK1121" s="208"/>
    </row>
    <row r="1122">
      <c r="A1122" s="208"/>
      <c r="B1122" s="208"/>
      <c r="C1122" s="208"/>
      <c r="D1122" s="208"/>
      <c r="E1122" s="208"/>
      <c r="F1122" s="208"/>
      <c r="G1122" s="208"/>
      <c r="H1122" s="232"/>
      <c r="I1122" s="233"/>
      <c r="J1122" s="208"/>
      <c r="K1122" s="208"/>
      <c r="L1122" s="208"/>
      <c r="M1122" s="208"/>
      <c r="N1122" s="208"/>
      <c r="O1122" s="208"/>
      <c r="P1122" s="208"/>
      <c r="Q1122" s="208"/>
      <c r="R1122" s="208"/>
      <c r="S1122" s="208"/>
      <c r="T1122" s="208"/>
      <c r="U1122" s="208"/>
      <c r="V1122" s="234"/>
      <c r="W1122" s="232"/>
      <c r="X1122" s="232"/>
      <c r="Y1122" s="232"/>
      <c r="Z1122" s="232"/>
      <c r="AA1122" s="232"/>
      <c r="AB1122" s="232"/>
      <c r="AC1122" s="232"/>
      <c r="AD1122" s="232"/>
      <c r="AE1122" s="232"/>
      <c r="AF1122" s="232"/>
      <c r="AG1122" s="208"/>
      <c r="AH1122" s="208"/>
      <c r="AI1122" s="208"/>
      <c r="AJ1122" s="208"/>
      <c r="AK1122" s="208"/>
    </row>
    <row r="1123">
      <c r="A1123" s="208"/>
      <c r="B1123" s="208"/>
      <c r="C1123" s="208"/>
      <c r="D1123" s="208"/>
      <c r="E1123" s="208"/>
      <c r="F1123" s="208"/>
      <c r="G1123" s="208"/>
      <c r="H1123" s="232"/>
      <c r="I1123" s="233"/>
      <c r="J1123" s="208"/>
      <c r="K1123" s="208"/>
      <c r="L1123" s="208"/>
      <c r="M1123" s="208"/>
      <c r="N1123" s="208"/>
      <c r="O1123" s="208"/>
      <c r="P1123" s="208"/>
      <c r="Q1123" s="208"/>
      <c r="R1123" s="208"/>
      <c r="S1123" s="208"/>
      <c r="T1123" s="208"/>
      <c r="U1123" s="208"/>
      <c r="V1123" s="234"/>
      <c r="W1123" s="232"/>
      <c r="X1123" s="232"/>
      <c r="Y1123" s="232"/>
      <c r="Z1123" s="232"/>
      <c r="AA1123" s="232"/>
      <c r="AB1123" s="232"/>
      <c r="AC1123" s="232"/>
      <c r="AD1123" s="232"/>
      <c r="AE1123" s="232"/>
      <c r="AF1123" s="232"/>
      <c r="AG1123" s="208"/>
      <c r="AH1123" s="208"/>
      <c r="AI1123" s="208"/>
      <c r="AJ1123" s="208"/>
      <c r="AK1123" s="208"/>
    </row>
    <row r="1124">
      <c r="A1124" s="208"/>
      <c r="B1124" s="208"/>
      <c r="C1124" s="208"/>
      <c r="D1124" s="208"/>
      <c r="E1124" s="208"/>
      <c r="F1124" s="208"/>
      <c r="G1124" s="208"/>
      <c r="H1124" s="232"/>
      <c r="I1124" s="233"/>
      <c r="J1124" s="208"/>
      <c r="K1124" s="208"/>
      <c r="L1124" s="208"/>
      <c r="M1124" s="208"/>
      <c r="N1124" s="208"/>
      <c r="O1124" s="208"/>
      <c r="P1124" s="208"/>
      <c r="Q1124" s="208"/>
      <c r="R1124" s="208"/>
      <c r="S1124" s="208"/>
      <c r="T1124" s="208"/>
      <c r="U1124" s="208"/>
      <c r="V1124" s="234"/>
      <c r="W1124" s="232"/>
      <c r="X1124" s="232"/>
      <c r="Y1124" s="232"/>
      <c r="Z1124" s="232"/>
      <c r="AA1124" s="232"/>
      <c r="AB1124" s="232"/>
      <c r="AC1124" s="232"/>
      <c r="AD1124" s="232"/>
      <c r="AE1124" s="232"/>
      <c r="AF1124" s="232"/>
      <c r="AG1124" s="208"/>
      <c r="AH1124" s="208"/>
      <c r="AI1124" s="208"/>
      <c r="AJ1124" s="208"/>
      <c r="AK1124" s="208"/>
    </row>
    <row r="1125">
      <c r="A1125" s="208"/>
      <c r="B1125" s="208"/>
      <c r="C1125" s="208"/>
      <c r="D1125" s="208"/>
      <c r="E1125" s="208"/>
      <c r="F1125" s="208"/>
      <c r="G1125" s="208"/>
      <c r="H1125" s="232"/>
      <c r="I1125" s="233"/>
      <c r="J1125" s="208"/>
      <c r="K1125" s="208"/>
      <c r="L1125" s="208"/>
      <c r="M1125" s="208"/>
      <c r="N1125" s="208"/>
      <c r="O1125" s="208"/>
      <c r="P1125" s="208"/>
      <c r="Q1125" s="208"/>
      <c r="R1125" s="208"/>
      <c r="S1125" s="208"/>
      <c r="T1125" s="208"/>
      <c r="U1125" s="208"/>
      <c r="V1125" s="234"/>
      <c r="W1125" s="232"/>
      <c r="X1125" s="232"/>
      <c r="Y1125" s="232"/>
      <c r="Z1125" s="232"/>
      <c r="AA1125" s="232"/>
      <c r="AB1125" s="232"/>
      <c r="AC1125" s="232"/>
      <c r="AD1125" s="232"/>
      <c r="AE1125" s="232"/>
      <c r="AF1125" s="232"/>
      <c r="AG1125" s="208"/>
      <c r="AH1125" s="208"/>
      <c r="AI1125" s="208"/>
      <c r="AJ1125" s="208"/>
      <c r="AK1125" s="208"/>
    </row>
    <row r="1126">
      <c r="A1126" s="208"/>
      <c r="B1126" s="208"/>
      <c r="C1126" s="208"/>
      <c r="D1126" s="208"/>
      <c r="E1126" s="208"/>
      <c r="F1126" s="208"/>
      <c r="G1126" s="208"/>
      <c r="H1126" s="232"/>
      <c r="I1126" s="233"/>
      <c r="J1126" s="208"/>
      <c r="K1126" s="208"/>
      <c r="L1126" s="208"/>
      <c r="M1126" s="208"/>
      <c r="N1126" s="208"/>
      <c r="O1126" s="208"/>
      <c r="P1126" s="208"/>
      <c r="Q1126" s="208"/>
      <c r="R1126" s="208"/>
      <c r="S1126" s="208"/>
      <c r="T1126" s="208"/>
      <c r="U1126" s="208"/>
      <c r="V1126" s="234"/>
      <c r="W1126" s="232"/>
      <c r="X1126" s="232"/>
      <c r="Y1126" s="232"/>
      <c r="Z1126" s="232"/>
      <c r="AA1126" s="232"/>
      <c r="AB1126" s="232"/>
      <c r="AC1126" s="232"/>
      <c r="AD1126" s="232"/>
      <c r="AE1126" s="232"/>
      <c r="AF1126" s="232"/>
      <c r="AG1126" s="208"/>
      <c r="AH1126" s="208"/>
      <c r="AI1126" s="208"/>
      <c r="AJ1126" s="208"/>
      <c r="AK1126" s="208"/>
    </row>
    <row r="1127">
      <c r="A1127" s="208"/>
      <c r="B1127" s="208"/>
      <c r="C1127" s="208"/>
      <c r="D1127" s="208"/>
      <c r="E1127" s="208"/>
      <c r="F1127" s="208"/>
      <c r="G1127" s="208"/>
      <c r="H1127" s="232"/>
      <c r="I1127" s="233"/>
      <c r="J1127" s="208"/>
      <c r="K1127" s="208"/>
      <c r="L1127" s="208"/>
      <c r="M1127" s="208"/>
      <c r="N1127" s="208"/>
      <c r="O1127" s="208"/>
      <c r="P1127" s="208"/>
      <c r="Q1127" s="208"/>
      <c r="R1127" s="208"/>
      <c r="S1127" s="208"/>
      <c r="T1127" s="208"/>
      <c r="U1127" s="208"/>
      <c r="V1127" s="234"/>
      <c r="W1127" s="232"/>
      <c r="X1127" s="232"/>
      <c r="Y1127" s="232"/>
      <c r="Z1127" s="232"/>
      <c r="AA1127" s="232"/>
      <c r="AB1127" s="232"/>
      <c r="AC1127" s="232"/>
      <c r="AD1127" s="232"/>
      <c r="AE1127" s="232"/>
      <c r="AF1127" s="232"/>
      <c r="AG1127" s="208"/>
      <c r="AH1127" s="208"/>
      <c r="AI1127" s="208"/>
      <c r="AJ1127" s="208"/>
      <c r="AK1127" s="208"/>
    </row>
    <row r="1128">
      <c r="A1128" s="208"/>
      <c r="B1128" s="208"/>
      <c r="C1128" s="208"/>
      <c r="D1128" s="208"/>
      <c r="E1128" s="208"/>
      <c r="F1128" s="208"/>
      <c r="G1128" s="208"/>
      <c r="H1128" s="232"/>
      <c r="I1128" s="233"/>
      <c r="J1128" s="208"/>
      <c r="K1128" s="208"/>
      <c r="L1128" s="208"/>
      <c r="M1128" s="208"/>
      <c r="N1128" s="208"/>
      <c r="O1128" s="208"/>
      <c r="P1128" s="208"/>
      <c r="Q1128" s="208"/>
      <c r="R1128" s="208"/>
      <c r="S1128" s="208"/>
      <c r="T1128" s="208"/>
      <c r="U1128" s="208"/>
      <c r="V1128" s="234"/>
      <c r="W1128" s="232"/>
      <c r="X1128" s="232"/>
      <c r="Y1128" s="232"/>
      <c r="Z1128" s="232"/>
      <c r="AA1128" s="232"/>
      <c r="AB1128" s="232"/>
      <c r="AC1128" s="232"/>
      <c r="AD1128" s="232"/>
      <c r="AE1128" s="232"/>
      <c r="AF1128" s="232"/>
      <c r="AG1128" s="208"/>
      <c r="AH1128" s="208"/>
      <c r="AI1128" s="208"/>
      <c r="AJ1128" s="208"/>
      <c r="AK1128" s="208"/>
    </row>
    <row r="1129">
      <c r="A1129" s="208"/>
      <c r="B1129" s="208"/>
      <c r="C1129" s="208"/>
      <c r="D1129" s="208"/>
      <c r="E1129" s="208"/>
      <c r="F1129" s="208"/>
      <c r="G1129" s="208"/>
      <c r="H1129" s="232"/>
      <c r="I1129" s="233"/>
      <c r="J1129" s="208"/>
      <c r="K1129" s="208"/>
      <c r="L1129" s="208"/>
      <c r="M1129" s="208"/>
      <c r="N1129" s="208"/>
      <c r="O1129" s="208"/>
      <c r="P1129" s="208"/>
      <c r="Q1129" s="208"/>
      <c r="R1129" s="208"/>
      <c r="S1129" s="208"/>
      <c r="T1129" s="208"/>
      <c r="U1129" s="208"/>
      <c r="V1129" s="234"/>
      <c r="W1129" s="232"/>
      <c r="X1129" s="232"/>
      <c r="Y1129" s="232"/>
      <c r="Z1129" s="232"/>
      <c r="AA1129" s="232"/>
      <c r="AB1129" s="232"/>
      <c r="AC1129" s="232"/>
      <c r="AD1129" s="232"/>
      <c r="AE1129" s="232"/>
      <c r="AF1129" s="232"/>
      <c r="AG1129" s="208"/>
      <c r="AH1129" s="208"/>
      <c r="AI1129" s="208"/>
      <c r="AJ1129" s="208"/>
      <c r="AK1129" s="208"/>
    </row>
    <row r="1130">
      <c r="A1130" s="208"/>
      <c r="B1130" s="208"/>
      <c r="C1130" s="208"/>
      <c r="D1130" s="208"/>
      <c r="E1130" s="208"/>
      <c r="F1130" s="208"/>
      <c r="G1130" s="208"/>
      <c r="H1130" s="232"/>
      <c r="I1130" s="233"/>
      <c r="J1130" s="208"/>
      <c r="K1130" s="208"/>
      <c r="L1130" s="208"/>
      <c r="M1130" s="208"/>
      <c r="N1130" s="208"/>
      <c r="O1130" s="208"/>
      <c r="P1130" s="208"/>
      <c r="Q1130" s="208"/>
      <c r="R1130" s="208"/>
      <c r="S1130" s="208"/>
      <c r="T1130" s="208"/>
      <c r="U1130" s="208"/>
      <c r="V1130" s="234"/>
      <c r="W1130" s="232"/>
      <c r="X1130" s="232"/>
      <c r="Y1130" s="232"/>
      <c r="Z1130" s="232"/>
      <c r="AA1130" s="232"/>
      <c r="AB1130" s="232"/>
      <c r="AC1130" s="232"/>
      <c r="AD1130" s="232"/>
      <c r="AE1130" s="232"/>
      <c r="AF1130" s="232"/>
      <c r="AG1130" s="208"/>
      <c r="AH1130" s="208"/>
      <c r="AI1130" s="208"/>
      <c r="AJ1130" s="208"/>
      <c r="AK1130" s="208"/>
    </row>
    <row r="1131">
      <c r="A1131" s="208"/>
      <c r="B1131" s="208"/>
      <c r="C1131" s="208"/>
      <c r="D1131" s="208"/>
      <c r="E1131" s="208"/>
      <c r="F1131" s="208"/>
      <c r="G1131" s="208"/>
      <c r="H1131" s="232"/>
      <c r="I1131" s="233"/>
      <c r="J1131" s="208"/>
      <c r="K1131" s="208"/>
      <c r="L1131" s="208"/>
      <c r="M1131" s="208"/>
      <c r="N1131" s="208"/>
      <c r="O1131" s="208"/>
      <c r="P1131" s="208"/>
      <c r="Q1131" s="208"/>
      <c r="R1131" s="208"/>
      <c r="S1131" s="208"/>
      <c r="T1131" s="208"/>
      <c r="U1131" s="208"/>
      <c r="V1131" s="234"/>
      <c r="W1131" s="232"/>
      <c r="X1131" s="232"/>
      <c r="Y1131" s="232"/>
      <c r="Z1131" s="232"/>
      <c r="AA1131" s="232"/>
      <c r="AB1131" s="232"/>
      <c r="AC1131" s="232"/>
      <c r="AD1131" s="232"/>
      <c r="AE1131" s="232"/>
      <c r="AF1131" s="232"/>
      <c r="AG1131" s="208"/>
      <c r="AH1131" s="208"/>
      <c r="AI1131" s="208"/>
      <c r="AJ1131" s="208"/>
      <c r="AK1131" s="208"/>
    </row>
    <row r="1132">
      <c r="A1132" s="208"/>
      <c r="B1132" s="208"/>
      <c r="C1132" s="208"/>
      <c r="D1132" s="208"/>
      <c r="E1132" s="208"/>
      <c r="F1132" s="208"/>
      <c r="G1132" s="208"/>
      <c r="H1132" s="232"/>
      <c r="I1132" s="233"/>
      <c r="J1132" s="208"/>
      <c r="K1132" s="208"/>
      <c r="L1132" s="208"/>
      <c r="M1132" s="208"/>
      <c r="N1132" s="208"/>
      <c r="O1132" s="208"/>
      <c r="P1132" s="208"/>
      <c r="Q1132" s="208"/>
      <c r="R1132" s="208"/>
      <c r="S1132" s="208"/>
      <c r="T1132" s="208"/>
      <c r="U1132" s="208"/>
      <c r="V1132" s="234"/>
      <c r="W1132" s="232"/>
      <c r="X1132" s="232"/>
      <c r="Y1132" s="232"/>
      <c r="Z1132" s="232"/>
      <c r="AA1132" s="232"/>
      <c r="AB1132" s="232"/>
      <c r="AC1132" s="232"/>
      <c r="AD1132" s="232"/>
      <c r="AE1132" s="232"/>
      <c r="AF1132" s="232"/>
      <c r="AG1132" s="208"/>
      <c r="AH1132" s="208"/>
      <c r="AI1132" s="208"/>
      <c r="AJ1132" s="208"/>
      <c r="AK1132" s="208"/>
    </row>
    <row r="1133">
      <c r="A1133" s="208"/>
      <c r="B1133" s="208"/>
      <c r="C1133" s="208"/>
      <c r="D1133" s="208"/>
      <c r="E1133" s="208"/>
      <c r="F1133" s="208"/>
      <c r="G1133" s="208"/>
      <c r="H1133" s="232"/>
      <c r="I1133" s="233"/>
      <c r="J1133" s="208"/>
      <c r="K1133" s="208"/>
      <c r="L1133" s="208"/>
      <c r="M1133" s="208"/>
      <c r="N1133" s="208"/>
      <c r="O1133" s="208"/>
      <c r="P1133" s="208"/>
      <c r="Q1133" s="208"/>
      <c r="R1133" s="208"/>
      <c r="S1133" s="208"/>
      <c r="T1133" s="208"/>
      <c r="U1133" s="208"/>
      <c r="V1133" s="234"/>
      <c r="W1133" s="232"/>
      <c r="X1133" s="232"/>
      <c r="Y1133" s="232"/>
      <c r="Z1133" s="232"/>
      <c r="AA1133" s="232"/>
      <c r="AB1133" s="232"/>
      <c r="AC1133" s="232"/>
      <c r="AD1133" s="232"/>
      <c r="AE1133" s="232"/>
      <c r="AF1133" s="232"/>
      <c r="AG1133" s="208"/>
      <c r="AH1133" s="208"/>
      <c r="AI1133" s="208"/>
      <c r="AJ1133" s="208"/>
      <c r="AK1133" s="208"/>
    </row>
    <row r="1134">
      <c r="A1134" s="208"/>
      <c r="B1134" s="208"/>
      <c r="C1134" s="208"/>
      <c r="D1134" s="208"/>
      <c r="E1134" s="208"/>
      <c r="F1134" s="208"/>
      <c r="G1134" s="208"/>
      <c r="H1134" s="232"/>
      <c r="I1134" s="233"/>
      <c r="J1134" s="208"/>
      <c r="K1134" s="208"/>
      <c r="L1134" s="208"/>
      <c r="M1134" s="208"/>
      <c r="N1134" s="208"/>
      <c r="O1134" s="208"/>
      <c r="P1134" s="208"/>
      <c r="Q1134" s="208"/>
      <c r="R1134" s="208"/>
      <c r="S1134" s="208"/>
      <c r="T1134" s="208"/>
      <c r="U1134" s="208"/>
      <c r="V1134" s="234"/>
      <c r="W1134" s="232"/>
      <c r="X1134" s="232"/>
      <c r="Y1134" s="232"/>
      <c r="Z1134" s="232"/>
      <c r="AA1134" s="232"/>
      <c r="AB1134" s="232"/>
      <c r="AC1134" s="232"/>
      <c r="AD1134" s="232"/>
      <c r="AE1134" s="232"/>
      <c r="AF1134" s="232"/>
      <c r="AG1134" s="208"/>
      <c r="AH1134" s="208"/>
      <c r="AI1134" s="208"/>
      <c r="AJ1134" s="208"/>
      <c r="AK1134" s="208"/>
    </row>
    <row r="1135">
      <c r="A1135" s="208"/>
      <c r="B1135" s="208"/>
      <c r="C1135" s="208"/>
      <c r="D1135" s="208"/>
      <c r="E1135" s="208"/>
      <c r="F1135" s="208"/>
      <c r="G1135" s="208"/>
      <c r="H1135" s="232"/>
      <c r="I1135" s="233"/>
      <c r="J1135" s="208"/>
      <c r="K1135" s="208"/>
      <c r="L1135" s="208"/>
      <c r="M1135" s="208"/>
      <c r="N1135" s="208"/>
      <c r="O1135" s="208"/>
      <c r="P1135" s="208"/>
      <c r="Q1135" s="208"/>
      <c r="R1135" s="208"/>
      <c r="S1135" s="208"/>
      <c r="T1135" s="208"/>
      <c r="U1135" s="208"/>
      <c r="V1135" s="234"/>
      <c r="W1135" s="232"/>
      <c r="X1135" s="232"/>
      <c r="Y1135" s="232"/>
      <c r="Z1135" s="232"/>
      <c r="AA1135" s="232"/>
      <c r="AB1135" s="232"/>
      <c r="AC1135" s="232"/>
      <c r="AD1135" s="232"/>
      <c r="AE1135" s="232"/>
      <c r="AF1135" s="232"/>
      <c r="AG1135" s="208"/>
      <c r="AH1135" s="208"/>
      <c r="AI1135" s="208"/>
      <c r="AJ1135" s="208"/>
      <c r="AK1135" s="208"/>
    </row>
    <row r="1136">
      <c r="A1136" s="208"/>
      <c r="B1136" s="208"/>
      <c r="C1136" s="208"/>
      <c r="D1136" s="208"/>
      <c r="E1136" s="208"/>
      <c r="F1136" s="208"/>
      <c r="G1136" s="208"/>
      <c r="H1136" s="232"/>
      <c r="I1136" s="233"/>
      <c r="J1136" s="208"/>
      <c r="K1136" s="208"/>
      <c r="L1136" s="208"/>
      <c r="M1136" s="208"/>
      <c r="N1136" s="208"/>
      <c r="O1136" s="208"/>
      <c r="P1136" s="208"/>
      <c r="Q1136" s="208"/>
      <c r="R1136" s="208"/>
      <c r="S1136" s="208"/>
      <c r="T1136" s="208"/>
      <c r="U1136" s="208"/>
      <c r="V1136" s="234"/>
      <c r="W1136" s="232"/>
      <c r="X1136" s="232"/>
      <c r="Y1136" s="232"/>
      <c r="Z1136" s="232"/>
      <c r="AA1136" s="232"/>
      <c r="AB1136" s="232"/>
      <c r="AC1136" s="232"/>
      <c r="AD1136" s="232"/>
      <c r="AE1136" s="232"/>
      <c r="AF1136" s="232"/>
      <c r="AG1136" s="208"/>
      <c r="AH1136" s="208"/>
      <c r="AI1136" s="208"/>
      <c r="AJ1136" s="208"/>
      <c r="AK1136" s="208"/>
    </row>
    <row r="1137">
      <c r="A1137" s="208"/>
      <c r="B1137" s="208"/>
      <c r="C1137" s="208"/>
      <c r="D1137" s="208"/>
      <c r="E1137" s="208"/>
      <c r="F1137" s="208"/>
      <c r="G1137" s="208"/>
      <c r="H1137" s="232"/>
      <c r="I1137" s="233"/>
      <c r="J1137" s="208"/>
      <c r="K1137" s="208"/>
      <c r="L1137" s="208"/>
      <c r="M1137" s="208"/>
      <c r="N1137" s="208"/>
      <c r="O1137" s="208"/>
      <c r="P1137" s="208"/>
      <c r="Q1137" s="208"/>
      <c r="R1137" s="208"/>
      <c r="S1137" s="208"/>
      <c r="T1137" s="208"/>
      <c r="U1137" s="208"/>
      <c r="V1137" s="234"/>
      <c r="W1137" s="232"/>
      <c r="X1137" s="232"/>
      <c r="Y1137" s="232"/>
      <c r="Z1137" s="232"/>
      <c r="AA1137" s="232"/>
      <c r="AB1137" s="232"/>
      <c r="AC1137" s="232"/>
      <c r="AD1137" s="232"/>
      <c r="AE1137" s="232"/>
      <c r="AF1137" s="232"/>
      <c r="AG1137" s="208"/>
      <c r="AH1137" s="208"/>
      <c r="AI1137" s="208"/>
      <c r="AJ1137" s="208"/>
      <c r="AK1137" s="208"/>
    </row>
    <row r="1138">
      <c r="A1138" s="208"/>
      <c r="B1138" s="208"/>
      <c r="C1138" s="208"/>
      <c r="D1138" s="208"/>
      <c r="E1138" s="208"/>
      <c r="F1138" s="208"/>
      <c r="G1138" s="208"/>
      <c r="H1138" s="232"/>
      <c r="I1138" s="233"/>
      <c r="J1138" s="208"/>
      <c r="K1138" s="208"/>
      <c r="L1138" s="208"/>
      <c r="M1138" s="208"/>
      <c r="N1138" s="208"/>
      <c r="O1138" s="208"/>
      <c r="P1138" s="208"/>
      <c r="Q1138" s="208"/>
      <c r="R1138" s="208"/>
      <c r="S1138" s="208"/>
      <c r="T1138" s="208"/>
      <c r="U1138" s="208"/>
      <c r="V1138" s="234"/>
      <c r="W1138" s="232"/>
      <c r="X1138" s="232"/>
      <c r="Y1138" s="232"/>
      <c r="Z1138" s="232"/>
      <c r="AA1138" s="232"/>
      <c r="AB1138" s="232"/>
      <c r="AC1138" s="232"/>
      <c r="AD1138" s="232"/>
      <c r="AE1138" s="232"/>
      <c r="AF1138" s="232"/>
      <c r="AG1138" s="208"/>
      <c r="AH1138" s="208"/>
      <c r="AI1138" s="208"/>
      <c r="AJ1138" s="208"/>
      <c r="AK1138" s="208"/>
    </row>
    <row r="1139">
      <c r="A1139" s="208"/>
      <c r="B1139" s="208"/>
      <c r="C1139" s="208"/>
      <c r="D1139" s="208"/>
      <c r="E1139" s="208"/>
      <c r="F1139" s="208"/>
      <c r="G1139" s="208"/>
      <c r="H1139" s="232"/>
      <c r="I1139" s="233"/>
      <c r="J1139" s="208"/>
      <c r="K1139" s="208"/>
      <c r="L1139" s="208"/>
      <c r="M1139" s="208"/>
      <c r="N1139" s="208"/>
      <c r="O1139" s="208"/>
      <c r="P1139" s="208"/>
      <c r="Q1139" s="208"/>
      <c r="R1139" s="208"/>
      <c r="S1139" s="208"/>
      <c r="T1139" s="208"/>
      <c r="U1139" s="208"/>
      <c r="V1139" s="234"/>
      <c r="W1139" s="232"/>
      <c r="X1139" s="232"/>
      <c r="Y1139" s="232"/>
      <c r="Z1139" s="232"/>
      <c r="AA1139" s="232"/>
      <c r="AB1139" s="232"/>
      <c r="AC1139" s="232"/>
      <c r="AD1139" s="232"/>
      <c r="AE1139" s="232"/>
      <c r="AF1139" s="232"/>
      <c r="AG1139" s="208"/>
      <c r="AH1139" s="208"/>
      <c r="AI1139" s="208"/>
      <c r="AJ1139" s="208"/>
      <c r="AK1139" s="208"/>
    </row>
    <row r="1140">
      <c r="A1140" s="208"/>
      <c r="B1140" s="208"/>
      <c r="C1140" s="208"/>
      <c r="D1140" s="208"/>
      <c r="E1140" s="208"/>
      <c r="F1140" s="208"/>
      <c r="G1140" s="208"/>
      <c r="H1140" s="232"/>
      <c r="I1140" s="233"/>
      <c r="J1140" s="208"/>
      <c r="K1140" s="208"/>
      <c r="L1140" s="208"/>
      <c r="M1140" s="208"/>
      <c r="N1140" s="208"/>
      <c r="O1140" s="208"/>
      <c r="P1140" s="208"/>
      <c r="Q1140" s="208"/>
      <c r="R1140" s="208"/>
      <c r="S1140" s="208"/>
      <c r="T1140" s="208"/>
      <c r="U1140" s="208"/>
      <c r="V1140" s="234"/>
      <c r="W1140" s="232"/>
      <c r="X1140" s="232"/>
      <c r="Y1140" s="232"/>
      <c r="Z1140" s="232"/>
      <c r="AA1140" s="232"/>
      <c r="AB1140" s="232"/>
      <c r="AC1140" s="232"/>
      <c r="AD1140" s="232"/>
      <c r="AE1140" s="232"/>
      <c r="AF1140" s="232"/>
      <c r="AG1140" s="208"/>
      <c r="AH1140" s="208"/>
      <c r="AI1140" s="208"/>
      <c r="AJ1140" s="208"/>
      <c r="AK1140" s="208"/>
    </row>
    <row r="1141">
      <c r="A1141" s="208"/>
      <c r="B1141" s="208"/>
      <c r="C1141" s="208"/>
      <c r="D1141" s="208"/>
      <c r="E1141" s="208"/>
      <c r="F1141" s="208"/>
      <c r="G1141" s="208"/>
      <c r="H1141" s="232"/>
      <c r="I1141" s="233"/>
      <c r="J1141" s="208"/>
      <c r="K1141" s="208"/>
      <c r="L1141" s="208"/>
      <c r="M1141" s="208"/>
      <c r="N1141" s="208"/>
      <c r="O1141" s="208"/>
      <c r="P1141" s="208"/>
      <c r="Q1141" s="208"/>
      <c r="R1141" s="208"/>
      <c r="S1141" s="208"/>
      <c r="T1141" s="208"/>
      <c r="U1141" s="208"/>
      <c r="V1141" s="234"/>
      <c r="W1141" s="232"/>
      <c r="X1141" s="232"/>
      <c r="Y1141" s="232"/>
      <c r="Z1141" s="232"/>
      <c r="AA1141" s="232"/>
      <c r="AB1141" s="232"/>
      <c r="AC1141" s="232"/>
      <c r="AD1141" s="232"/>
      <c r="AE1141" s="232"/>
      <c r="AF1141" s="232"/>
      <c r="AG1141" s="208"/>
      <c r="AH1141" s="208"/>
      <c r="AI1141" s="208"/>
      <c r="AJ1141" s="208"/>
      <c r="AK1141" s="208"/>
    </row>
    <row r="1142">
      <c r="A1142" s="208"/>
      <c r="B1142" s="208"/>
      <c r="C1142" s="208"/>
      <c r="D1142" s="208"/>
      <c r="E1142" s="208"/>
      <c r="F1142" s="208"/>
      <c r="G1142" s="208"/>
      <c r="H1142" s="232"/>
      <c r="I1142" s="233"/>
      <c r="J1142" s="208"/>
      <c r="K1142" s="208"/>
      <c r="L1142" s="208"/>
      <c r="M1142" s="208"/>
      <c r="N1142" s="208"/>
      <c r="O1142" s="208"/>
      <c r="P1142" s="208"/>
      <c r="Q1142" s="208"/>
      <c r="R1142" s="208"/>
      <c r="S1142" s="208"/>
      <c r="T1142" s="208"/>
      <c r="U1142" s="208"/>
      <c r="V1142" s="234"/>
      <c r="W1142" s="232"/>
      <c r="X1142" s="232"/>
      <c r="Y1142" s="232"/>
      <c r="Z1142" s="232"/>
      <c r="AA1142" s="232"/>
      <c r="AB1142" s="232"/>
      <c r="AC1142" s="232"/>
      <c r="AD1142" s="232"/>
      <c r="AE1142" s="232"/>
      <c r="AF1142" s="232"/>
      <c r="AG1142" s="208"/>
      <c r="AH1142" s="208"/>
      <c r="AI1142" s="208"/>
      <c r="AJ1142" s="208"/>
      <c r="AK1142" s="208"/>
    </row>
    <row r="1143">
      <c r="A1143" s="208"/>
      <c r="B1143" s="208"/>
      <c r="C1143" s="208"/>
      <c r="D1143" s="208"/>
      <c r="E1143" s="208"/>
      <c r="F1143" s="208"/>
      <c r="G1143" s="208"/>
      <c r="H1143" s="232"/>
      <c r="I1143" s="233"/>
      <c r="J1143" s="208"/>
      <c r="K1143" s="208"/>
      <c r="L1143" s="208"/>
      <c r="M1143" s="208"/>
      <c r="N1143" s="208"/>
      <c r="O1143" s="208"/>
      <c r="P1143" s="208"/>
      <c r="Q1143" s="208"/>
      <c r="R1143" s="208"/>
      <c r="S1143" s="208"/>
      <c r="T1143" s="208"/>
      <c r="U1143" s="208"/>
      <c r="V1143" s="234"/>
      <c r="W1143" s="232"/>
      <c r="X1143" s="232"/>
      <c r="Y1143" s="232"/>
      <c r="Z1143" s="232"/>
      <c r="AA1143" s="232"/>
      <c r="AB1143" s="232"/>
      <c r="AC1143" s="232"/>
      <c r="AD1143" s="232"/>
      <c r="AE1143" s="232"/>
      <c r="AF1143" s="232"/>
      <c r="AG1143" s="208"/>
      <c r="AH1143" s="208"/>
      <c r="AI1143" s="208"/>
      <c r="AJ1143" s="208"/>
      <c r="AK1143" s="208"/>
    </row>
    <row r="1144">
      <c r="A1144" s="208"/>
      <c r="B1144" s="208"/>
      <c r="C1144" s="208"/>
      <c r="D1144" s="208"/>
      <c r="E1144" s="208"/>
      <c r="F1144" s="208"/>
      <c r="G1144" s="208"/>
      <c r="H1144" s="232"/>
      <c r="I1144" s="233"/>
      <c r="J1144" s="208"/>
      <c r="K1144" s="208"/>
      <c r="L1144" s="208"/>
      <c r="M1144" s="208"/>
      <c r="N1144" s="208"/>
      <c r="O1144" s="208"/>
      <c r="P1144" s="208"/>
      <c r="Q1144" s="208"/>
      <c r="R1144" s="208"/>
      <c r="S1144" s="208"/>
      <c r="T1144" s="208"/>
      <c r="U1144" s="208"/>
      <c r="V1144" s="234"/>
      <c r="W1144" s="232"/>
      <c r="X1144" s="232"/>
      <c r="Y1144" s="232"/>
      <c r="Z1144" s="232"/>
      <c r="AA1144" s="232"/>
      <c r="AB1144" s="232"/>
      <c r="AC1144" s="232"/>
      <c r="AD1144" s="232"/>
      <c r="AE1144" s="232"/>
      <c r="AF1144" s="232"/>
      <c r="AG1144" s="208"/>
      <c r="AH1144" s="208"/>
      <c r="AI1144" s="208"/>
      <c r="AJ1144" s="208"/>
      <c r="AK1144" s="208"/>
    </row>
    <row r="1145">
      <c r="A1145" s="208"/>
      <c r="B1145" s="208"/>
      <c r="C1145" s="208"/>
      <c r="D1145" s="208"/>
      <c r="E1145" s="208"/>
      <c r="F1145" s="208"/>
      <c r="G1145" s="208"/>
      <c r="H1145" s="232"/>
      <c r="I1145" s="233"/>
      <c r="J1145" s="208"/>
      <c r="K1145" s="208"/>
      <c r="L1145" s="208"/>
      <c r="M1145" s="208"/>
      <c r="N1145" s="208"/>
      <c r="O1145" s="208"/>
      <c r="P1145" s="208"/>
      <c r="Q1145" s="208"/>
      <c r="R1145" s="208"/>
      <c r="S1145" s="208"/>
      <c r="T1145" s="208"/>
      <c r="U1145" s="208"/>
      <c r="V1145" s="234"/>
      <c r="W1145" s="232"/>
      <c r="X1145" s="232"/>
      <c r="Y1145" s="232"/>
      <c r="Z1145" s="232"/>
      <c r="AA1145" s="232"/>
      <c r="AB1145" s="232"/>
      <c r="AC1145" s="232"/>
      <c r="AD1145" s="232"/>
      <c r="AE1145" s="232"/>
      <c r="AF1145" s="232"/>
      <c r="AG1145" s="208"/>
      <c r="AH1145" s="208"/>
      <c r="AI1145" s="208"/>
      <c r="AJ1145" s="208"/>
      <c r="AK1145" s="208"/>
    </row>
    <row r="1146">
      <c r="A1146" s="208"/>
      <c r="B1146" s="208"/>
      <c r="C1146" s="208"/>
      <c r="D1146" s="208"/>
      <c r="E1146" s="208"/>
      <c r="F1146" s="208"/>
      <c r="G1146" s="208"/>
      <c r="H1146" s="232"/>
      <c r="I1146" s="233"/>
      <c r="J1146" s="208"/>
      <c r="K1146" s="208"/>
      <c r="L1146" s="208"/>
      <c r="M1146" s="208"/>
      <c r="N1146" s="208"/>
      <c r="O1146" s="208"/>
      <c r="P1146" s="208"/>
      <c r="Q1146" s="208"/>
      <c r="R1146" s="208"/>
      <c r="S1146" s="208"/>
      <c r="T1146" s="208"/>
      <c r="U1146" s="208"/>
      <c r="V1146" s="234"/>
      <c r="W1146" s="232"/>
      <c r="X1146" s="232"/>
      <c r="Y1146" s="232"/>
      <c r="Z1146" s="232"/>
      <c r="AA1146" s="232"/>
      <c r="AB1146" s="232"/>
      <c r="AC1146" s="232"/>
      <c r="AD1146" s="232"/>
      <c r="AE1146" s="232"/>
      <c r="AF1146" s="232"/>
      <c r="AG1146" s="208"/>
      <c r="AH1146" s="208"/>
      <c r="AI1146" s="208"/>
      <c r="AJ1146" s="208"/>
      <c r="AK1146" s="208"/>
    </row>
    <row r="1147">
      <c r="A1147" s="208"/>
      <c r="B1147" s="208"/>
      <c r="C1147" s="208"/>
      <c r="D1147" s="208"/>
      <c r="E1147" s="208"/>
      <c r="F1147" s="208"/>
      <c r="G1147" s="208"/>
      <c r="H1147" s="232"/>
      <c r="I1147" s="233"/>
      <c r="J1147" s="208"/>
      <c r="K1147" s="208"/>
      <c r="L1147" s="208"/>
      <c r="M1147" s="208"/>
      <c r="N1147" s="208"/>
      <c r="O1147" s="208"/>
      <c r="P1147" s="208"/>
      <c r="Q1147" s="208"/>
      <c r="R1147" s="208"/>
      <c r="S1147" s="208"/>
      <c r="T1147" s="208"/>
      <c r="U1147" s="208"/>
      <c r="V1147" s="234"/>
      <c r="W1147" s="232"/>
      <c r="X1147" s="232"/>
      <c r="Y1147" s="232"/>
      <c r="Z1147" s="232"/>
      <c r="AA1147" s="232"/>
      <c r="AB1147" s="232"/>
      <c r="AC1147" s="232"/>
      <c r="AD1147" s="232"/>
      <c r="AE1147" s="232"/>
      <c r="AF1147" s="232"/>
      <c r="AG1147" s="208"/>
      <c r="AH1147" s="208"/>
      <c r="AI1147" s="208"/>
      <c r="AJ1147" s="208"/>
      <c r="AK1147" s="208"/>
    </row>
    <row r="1148">
      <c r="A1148" s="208"/>
      <c r="B1148" s="208"/>
      <c r="C1148" s="208"/>
      <c r="D1148" s="208"/>
      <c r="E1148" s="208"/>
      <c r="F1148" s="208"/>
      <c r="G1148" s="208"/>
      <c r="H1148" s="232"/>
      <c r="I1148" s="233"/>
      <c r="J1148" s="208"/>
      <c r="K1148" s="208"/>
      <c r="L1148" s="208"/>
      <c r="M1148" s="208"/>
      <c r="N1148" s="208"/>
      <c r="O1148" s="208"/>
      <c r="P1148" s="208"/>
      <c r="Q1148" s="208"/>
      <c r="R1148" s="208"/>
      <c r="S1148" s="208"/>
      <c r="T1148" s="208"/>
      <c r="U1148" s="208"/>
      <c r="V1148" s="234"/>
      <c r="W1148" s="232"/>
      <c r="X1148" s="232"/>
      <c r="Y1148" s="232"/>
      <c r="Z1148" s="232"/>
      <c r="AA1148" s="232"/>
      <c r="AB1148" s="232"/>
      <c r="AC1148" s="232"/>
      <c r="AD1148" s="232"/>
      <c r="AE1148" s="232"/>
      <c r="AF1148" s="232"/>
      <c r="AG1148" s="208"/>
      <c r="AH1148" s="208"/>
      <c r="AI1148" s="208"/>
      <c r="AJ1148" s="208"/>
      <c r="AK1148" s="208"/>
    </row>
    <row r="1149">
      <c r="A1149" s="208"/>
      <c r="B1149" s="208"/>
      <c r="C1149" s="208"/>
      <c r="D1149" s="208"/>
      <c r="E1149" s="208"/>
      <c r="F1149" s="208"/>
      <c r="G1149" s="208"/>
      <c r="H1149" s="232"/>
      <c r="I1149" s="233"/>
      <c r="J1149" s="208"/>
      <c r="K1149" s="208"/>
      <c r="L1149" s="208"/>
      <c r="M1149" s="208"/>
      <c r="N1149" s="208"/>
      <c r="O1149" s="208"/>
      <c r="P1149" s="208"/>
      <c r="Q1149" s="208"/>
      <c r="R1149" s="208"/>
      <c r="S1149" s="208"/>
      <c r="T1149" s="208"/>
      <c r="U1149" s="208"/>
      <c r="V1149" s="234"/>
      <c r="W1149" s="232"/>
      <c r="X1149" s="232"/>
      <c r="Y1149" s="232"/>
      <c r="Z1149" s="232"/>
      <c r="AA1149" s="232"/>
      <c r="AB1149" s="232"/>
      <c r="AC1149" s="232"/>
      <c r="AD1149" s="232"/>
      <c r="AE1149" s="232"/>
      <c r="AF1149" s="232"/>
      <c r="AG1149" s="208"/>
      <c r="AH1149" s="208"/>
      <c r="AI1149" s="208"/>
      <c r="AJ1149" s="208"/>
      <c r="AK1149" s="208"/>
    </row>
    <row r="1150">
      <c r="A1150" s="208"/>
      <c r="B1150" s="208"/>
      <c r="C1150" s="208"/>
      <c r="D1150" s="208"/>
      <c r="E1150" s="208"/>
      <c r="F1150" s="208"/>
      <c r="G1150" s="208"/>
      <c r="H1150" s="232"/>
      <c r="I1150" s="233"/>
      <c r="J1150" s="208"/>
      <c r="K1150" s="208"/>
      <c r="L1150" s="208"/>
      <c r="M1150" s="208"/>
      <c r="N1150" s="208"/>
      <c r="O1150" s="208"/>
      <c r="P1150" s="208"/>
      <c r="Q1150" s="208"/>
      <c r="R1150" s="208"/>
      <c r="S1150" s="208"/>
      <c r="T1150" s="208"/>
      <c r="U1150" s="208"/>
      <c r="V1150" s="234"/>
      <c r="W1150" s="232"/>
      <c r="X1150" s="232"/>
      <c r="Y1150" s="232"/>
      <c r="Z1150" s="232"/>
      <c r="AA1150" s="232"/>
      <c r="AB1150" s="232"/>
      <c r="AC1150" s="232"/>
      <c r="AD1150" s="232"/>
      <c r="AE1150" s="232"/>
      <c r="AF1150" s="232"/>
      <c r="AG1150" s="208"/>
      <c r="AH1150" s="208"/>
      <c r="AI1150" s="208"/>
      <c r="AJ1150" s="208"/>
      <c r="AK1150" s="208"/>
    </row>
    <row r="1151">
      <c r="A1151" s="208"/>
      <c r="B1151" s="208"/>
      <c r="C1151" s="208"/>
      <c r="D1151" s="208"/>
      <c r="E1151" s="208"/>
      <c r="F1151" s="208"/>
      <c r="G1151" s="208"/>
      <c r="H1151" s="232"/>
      <c r="I1151" s="233"/>
      <c r="J1151" s="208"/>
      <c r="K1151" s="208"/>
      <c r="L1151" s="208"/>
      <c r="M1151" s="208"/>
      <c r="N1151" s="208"/>
      <c r="O1151" s="208"/>
      <c r="P1151" s="208"/>
      <c r="Q1151" s="208"/>
      <c r="R1151" s="208"/>
      <c r="S1151" s="208"/>
      <c r="T1151" s="208"/>
      <c r="U1151" s="208"/>
      <c r="V1151" s="234"/>
      <c r="W1151" s="232"/>
      <c r="X1151" s="232"/>
      <c r="Y1151" s="232"/>
      <c r="Z1151" s="232"/>
      <c r="AA1151" s="232"/>
      <c r="AB1151" s="232"/>
      <c r="AC1151" s="232"/>
      <c r="AD1151" s="232"/>
      <c r="AE1151" s="232"/>
      <c r="AF1151" s="232"/>
      <c r="AG1151" s="208"/>
      <c r="AH1151" s="208"/>
      <c r="AI1151" s="208"/>
      <c r="AJ1151" s="208"/>
      <c r="AK1151" s="208"/>
    </row>
    <row r="1152">
      <c r="A1152" s="208"/>
      <c r="B1152" s="208"/>
      <c r="C1152" s="208"/>
      <c r="D1152" s="208"/>
      <c r="E1152" s="208"/>
      <c r="F1152" s="208"/>
      <c r="G1152" s="208"/>
      <c r="H1152" s="232"/>
      <c r="I1152" s="233"/>
      <c r="J1152" s="208"/>
      <c r="K1152" s="208"/>
      <c r="L1152" s="208"/>
      <c r="M1152" s="208"/>
      <c r="N1152" s="208"/>
      <c r="O1152" s="208"/>
      <c r="P1152" s="208"/>
      <c r="Q1152" s="208"/>
      <c r="R1152" s="208"/>
      <c r="S1152" s="208"/>
      <c r="T1152" s="208"/>
      <c r="U1152" s="208"/>
      <c r="V1152" s="234"/>
      <c r="W1152" s="232"/>
      <c r="X1152" s="232"/>
      <c r="Y1152" s="232"/>
      <c r="Z1152" s="232"/>
      <c r="AA1152" s="232"/>
      <c r="AB1152" s="232"/>
      <c r="AC1152" s="232"/>
      <c r="AD1152" s="232"/>
      <c r="AE1152" s="232"/>
      <c r="AF1152" s="232"/>
      <c r="AG1152" s="208"/>
      <c r="AH1152" s="208"/>
      <c r="AI1152" s="208"/>
      <c r="AJ1152" s="208"/>
      <c r="AK1152" s="208"/>
    </row>
    <row r="1153">
      <c r="A1153" s="208"/>
      <c r="B1153" s="208"/>
      <c r="C1153" s="208"/>
      <c r="D1153" s="208"/>
      <c r="E1153" s="208"/>
      <c r="F1153" s="208"/>
      <c r="G1153" s="208"/>
      <c r="H1153" s="232"/>
      <c r="I1153" s="233"/>
      <c r="J1153" s="208"/>
      <c r="K1153" s="208"/>
      <c r="L1153" s="208"/>
      <c r="M1153" s="208"/>
      <c r="N1153" s="208"/>
      <c r="O1153" s="208"/>
      <c r="P1153" s="208"/>
      <c r="Q1153" s="208"/>
      <c r="R1153" s="208"/>
      <c r="S1153" s="208"/>
      <c r="T1153" s="208"/>
      <c r="U1153" s="208"/>
      <c r="V1153" s="234"/>
      <c r="W1153" s="232"/>
      <c r="X1153" s="232"/>
      <c r="Y1153" s="232"/>
      <c r="Z1153" s="232"/>
      <c r="AA1153" s="232"/>
      <c r="AB1153" s="232"/>
      <c r="AC1153" s="232"/>
      <c r="AD1153" s="232"/>
      <c r="AE1153" s="232"/>
      <c r="AF1153" s="232"/>
      <c r="AG1153" s="208"/>
      <c r="AH1153" s="208"/>
      <c r="AI1153" s="208"/>
      <c r="AJ1153" s="208"/>
      <c r="AK1153" s="208"/>
    </row>
    <row r="1154">
      <c r="A1154" s="208"/>
      <c r="B1154" s="208"/>
      <c r="C1154" s="208"/>
      <c r="D1154" s="208"/>
      <c r="E1154" s="208"/>
      <c r="F1154" s="208"/>
      <c r="G1154" s="208"/>
      <c r="H1154" s="232"/>
      <c r="I1154" s="233"/>
      <c r="J1154" s="208"/>
      <c r="K1154" s="208"/>
      <c r="L1154" s="208"/>
      <c r="M1154" s="208"/>
      <c r="N1154" s="208"/>
      <c r="O1154" s="208"/>
      <c r="P1154" s="208"/>
      <c r="Q1154" s="208"/>
      <c r="R1154" s="208"/>
      <c r="S1154" s="208"/>
      <c r="T1154" s="208"/>
      <c r="U1154" s="208"/>
      <c r="V1154" s="234"/>
      <c r="W1154" s="232"/>
      <c r="X1154" s="232"/>
      <c r="Y1154" s="232"/>
      <c r="Z1154" s="232"/>
      <c r="AA1154" s="232"/>
      <c r="AB1154" s="232"/>
      <c r="AC1154" s="232"/>
      <c r="AD1154" s="232"/>
      <c r="AE1154" s="232"/>
      <c r="AF1154" s="232"/>
      <c r="AG1154" s="208"/>
      <c r="AH1154" s="208"/>
      <c r="AI1154" s="208"/>
      <c r="AJ1154" s="208"/>
      <c r="AK1154" s="208"/>
    </row>
    <row r="1155">
      <c r="A1155" s="208"/>
      <c r="B1155" s="208"/>
      <c r="C1155" s="208"/>
      <c r="D1155" s="208"/>
      <c r="E1155" s="208"/>
      <c r="F1155" s="208"/>
      <c r="G1155" s="208"/>
      <c r="H1155" s="232"/>
      <c r="I1155" s="233"/>
      <c r="J1155" s="208"/>
      <c r="K1155" s="208"/>
      <c r="L1155" s="208"/>
      <c r="M1155" s="208"/>
      <c r="N1155" s="208"/>
      <c r="O1155" s="208"/>
      <c r="P1155" s="208"/>
      <c r="Q1155" s="208"/>
      <c r="R1155" s="208"/>
      <c r="S1155" s="208"/>
      <c r="T1155" s="208"/>
      <c r="U1155" s="208"/>
      <c r="V1155" s="234"/>
      <c r="W1155" s="232"/>
      <c r="X1155" s="232"/>
      <c r="Y1155" s="232"/>
      <c r="Z1155" s="232"/>
      <c r="AA1155" s="232"/>
      <c r="AB1155" s="232"/>
      <c r="AC1155" s="232"/>
      <c r="AD1155" s="232"/>
      <c r="AE1155" s="232"/>
      <c r="AF1155" s="232"/>
      <c r="AG1155" s="208"/>
      <c r="AH1155" s="208"/>
      <c r="AI1155" s="208"/>
      <c r="AJ1155" s="208"/>
      <c r="AK1155" s="208"/>
    </row>
    <row r="1156">
      <c r="A1156" s="208"/>
      <c r="B1156" s="208"/>
      <c r="C1156" s="208"/>
      <c r="D1156" s="208"/>
      <c r="E1156" s="208"/>
      <c r="F1156" s="208"/>
      <c r="G1156" s="208"/>
      <c r="H1156" s="232"/>
      <c r="I1156" s="233"/>
      <c r="J1156" s="208"/>
      <c r="K1156" s="208"/>
      <c r="L1156" s="208"/>
      <c r="M1156" s="208"/>
      <c r="N1156" s="208"/>
      <c r="O1156" s="208"/>
      <c r="P1156" s="208"/>
      <c r="Q1156" s="208"/>
      <c r="R1156" s="208"/>
      <c r="S1156" s="208"/>
      <c r="T1156" s="208"/>
      <c r="U1156" s="208"/>
      <c r="V1156" s="234"/>
      <c r="W1156" s="232"/>
      <c r="X1156" s="232"/>
      <c r="Y1156" s="232"/>
      <c r="Z1156" s="232"/>
      <c r="AA1156" s="232"/>
      <c r="AB1156" s="232"/>
      <c r="AC1156" s="232"/>
      <c r="AD1156" s="232"/>
      <c r="AE1156" s="232"/>
      <c r="AF1156" s="232"/>
      <c r="AG1156" s="208"/>
      <c r="AH1156" s="208"/>
      <c r="AI1156" s="208"/>
      <c r="AJ1156" s="208"/>
      <c r="AK1156" s="208"/>
    </row>
    <row r="1157">
      <c r="A1157" s="208"/>
      <c r="B1157" s="208"/>
      <c r="C1157" s="208"/>
      <c r="D1157" s="208"/>
      <c r="E1157" s="208"/>
      <c r="F1157" s="208"/>
      <c r="G1157" s="208"/>
      <c r="H1157" s="232"/>
      <c r="I1157" s="233"/>
      <c r="J1157" s="208"/>
      <c r="K1157" s="208"/>
      <c r="L1157" s="208"/>
      <c r="M1157" s="208"/>
      <c r="N1157" s="208"/>
      <c r="O1157" s="208"/>
      <c r="P1157" s="208"/>
      <c r="Q1157" s="208"/>
      <c r="R1157" s="208"/>
      <c r="S1157" s="208"/>
      <c r="T1157" s="208"/>
      <c r="U1157" s="208"/>
      <c r="V1157" s="234"/>
      <c r="W1157" s="232"/>
      <c r="X1157" s="232"/>
      <c r="Y1157" s="232"/>
      <c r="Z1157" s="232"/>
      <c r="AA1157" s="232"/>
      <c r="AB1157" s="232"/>
      <c r="AC1157" s="232"/>
      <c r="AD1157" s="232"/>
      <c r="AE1157" s="232"/>
      <c r="AF1157" s="232"/>
      <c r="AG1157" s="208"/>
      <c r="AH1157" s="208"/>
      <c r="AI1157" s="208"/>
      <c r="AJ1157" s="208"/>
      <c r="AK1157" s="208"/>
    </row>
    <row r="1158">
      <c r="A1158" s="208"/>
      <c r="B1158" s="208"/>
      <c r="C1158" s="208"/>
      <c r="D1158" s="208"/>
      <c r="E1158" s="208"/>
      <c r="F1158" s="208"/>
      <c r="G1158" s="208"/>
      <c r="H1158" s="232"/>
      <c r="I1158" s="233"/>
      <c r="J1158" s="208"/>
      <c r="K1158" s="208"/>
      <c r="L1158" s="208"/>
      <c r="M1158" s="208"/>
      <c r="N1158" s="208"/>
      <c r="O1158" s="208"/>
      <c r="P1158" s="208"/>
      <c r="Q1158" s="208"/>
      <c r="R1158" s="208"/>
      <c r="S1158" s="208"/>
      <c r="T1158" s="208"/>
      <c r="U1158" s="208"/>
      <c r="V1158" s="234"/>
      <c r="W1158" s="232"/>
      <c r="X1158" s="232"/>
      <c r="Y1158" s="232"/>
      <c r="Z1158" s="232"/>
      <c r="AA1158" s="232"/>
      <c r="AB1158" s="232"/>
      <c r="AC1158" s="232"/>
      <c r="AD1158" s="232"/>
      <c r="AE1158" s="232"/>
      <c r="AF1158" s="232"/>
      <c r="AG1158" s="208"/>
      <c r="AH1158" s="208"/>
      <c r="AI1158" s="208"/>
      <c r="AJ1158" s="208"/>
      <c r="AK1158" s="208"/>
    </row>
    <row r="1159">
      <c r="A1159" s="208"/>
      <c r="B1159" s="208"/>
      <c r="C1159" s="208"/>
      <c r="D1159" s="208"/>
      <c r="E1159" s="208"/>
      <c r="F1159" s="208"/>
      <c r="G1159" s="208"/>
      <c r="H1159" s="232"/>
      <c r="I1159" s="233"/>
      <c r="J1159" s="208"/>
      <c r="K1159" s="208"/>
      <c r="L1159" s="208"/>
      <c r="M1159" s="208"/>
      <c r="N1159" s="208"/>
      <c r="O1159" s="208"/>
      <c r="P1159" s="208"/>
      <c r="Q1159" s="208"/>
      <c r="R1159" s="208"/>
      <c r="S1159" s="208"/>
      <c r="T1159" s="208"/>
      <c r="U1159" s="208"/>
      <c r="V1159" s="234"/>
      <c r="W1159" s="232"/>
      <c r="X1159" s="232"/>
      <c r="Y1159" s="232"/>
      <c r="Z1159" s="232"/>
      <c r="AA1159" s="232"/>
      <c r="AB1159" s="232"/>
      <c r="AC1159" s="232"/>
      <c r="AD1159" s="232"/>
      <c r="AE1159" s="232"/>
      <c r="AF1159" s="232"/>
      <c r="AG1159" s="208"/>
      <c r="AH1159" s="208"/>
      <c r="AI1159" s="208"/>
      <c r="AJ1159" s="208"/>
      <c r="AK1159" s="208"/>
    </row>
    <row r="1160">
      <c r="A1160" s="208"/>
      <c r="B1160" s="208"/>
      <c r="C1160" s="208"/>
      <c r="D1160" s="208"/>
      <c r="E1160" s="208"/>
      <c r="F1160" s="208"/>
      <c r="G1160" s="208"/>
      <c r="H1160" s="232"/>
      <c r="I1160" s="233"/>
      <c r="J1160" s="208"/>
      <c r="K1160" s="208"/>
      <c r="L1160" s="208"/>
      <c r="M1160" s="208"/>
      <c r="N1160" s="208"/>
      <c r="O1160" s="208"/>
      <c r="P1160" s="208"/>
      <c r="Q1160" s="208"/>
      <c r="R1160" s="208"/>
      <c r="S1160" s="208"/>
      <c r="T1160" s="208"/>
      <c r="U1160" s="208"/>
      <c r="V1160" s="234"/>
      <c r="W1160" s="232"/>
      <c r="X1160" s="232"/>
      <c r="Y1160" s="232"/>
      <c r="Z1160" s="232"/>
      <c r="AA1160" s="232"/>
      <c r="AB1160" s="232"/>
      <c r="AC1160" s="232"/>
      <c r="AD1160" s="232"/>
      <c r="AE1160" s="232"/>
      <c r="AF1160" s="232"/>
      <c r="AG1160" s="208"/>
      <c r="AH1160" s="208"/>
      <c r="AI1160" s="208"/>
      <c r="AJ1160" s="208"/>
      <c r="AK1160" s="208"/>
    </row>
    <row r="1161">
      <c r="A1161" s="208"/>
      <c r="B1161" s="208"/>
      <c r="C1161" s="208"/>
      <c r="D1161" s="208"/>
      <c r="E1161" s="208"/>
      <c r="F1161" s="208"/>
      <c r="G1161" s="208"/>
      <c r="H1161" s="232"/>
      <c r="I1161" s="233"/>
      <c r="J1161" s="208"/>
      <c r="K1161" s="208"/>
      <c r="L1161" s="208"/>
      <c r="M1161" s="208"/>
      <c r="N1161" s="208"/>
      <c r="O1161" s="208"/>
      <c r="P1161" s="208"/>
      <c r="Q1161" s="208"/>
      <c r="R1161" s="208"/>
      <c r="S1161" s="208"/>
      <c r="T1161" s="208"/>
      <c r="U1161" s="208"/>
      <c r="V1161" s="234"/>
      <c r="W1161" s="232"/>
      <c r="X1161" s="232"/>
      <c r="Y1161" s="232"/>
      <c r="Z1161" s="232"/>
      <c r="AA1161" s="232"/>
      <c r="AB1161" s="232"/>
      <c r="AC1161" s="232"/>
      <c r="AD1161" s="232"/>
      <c r="AE1161" s="232"/>
      <c r="AF1161" s="232"/>
      <c r="AG1161" s="208"/>
      <c r="AH1161" s="208"/>
      <c r="AI1161" s="208"/>
      <c r="AJ1161" s="208"/>
      <c r="AK1161" s="208"/>
    </row>
    <row r="1162">
      <c r="A1162" s="208"/>
      <c r="B1162" s="208"/>
      <c r="C1162" s="208"/>
      <c r="D1162" s="208"/>
      <c r="E1162" s="208"/>
      <c r="F1162" s="208"/>
      <c r="G1162" s="208"/>
      <c r="H1162" s="232"/>
      <c r="I1162" s="233"/>
      <c r="J1162" s="208"/>
      <c r="K1162" s="208"/>
      <c r="L1162" s="208"/>
      <c r="M1162" s="208"/>
      <c r="N1162" s="208"/>
      <c r="O1162" s="208"/>
      <c r="P1162" s="208"/>
      <c r="Q1162" s="208"/>
      <c r="R1162" s="208"/>
      <c r="S1162" s="208"/>
      <c r="T1162" s="208"/>
      <c r="U1162" s="208"/>
      <c r="V1162" s="234"/>
      <c r="W1162" s="232"/>
      <c r="X1162" s="232"/>
      <c r="Y1162" s="232"/>
      <c r="Z1162" s="232"/>
      <c r="AA1162" s="232"/>
      <c r="AB1162" s="232"/>
      <c r="AC1162" s="232"/>
      <c r="AD1162" s="232"/>
      <c r="AE1162" s="232"/>
      <c r="AF1162" s="232"/>
      <c r="AG1162" s="208"/>
      <c r="AH1162" s="208"/>
      <c r="AI1162" s="208"/>
      <c r="AJ1162" s="208"/>
      <c r="AK1162" s="208"/>
    </row>
    <row r="1163">
      <c r="A1163" s="208"/>
      <c r="B1163" s="208"/>
      <c r="C1163" s="208"/>
      <c r="D1163" s="208"/>
      <c r="E1163" s="208"/>
      <c r="F1163" s="208"/>
      <c r="G1163" s="208"/>
      <c r="H1163" s="232"/>
      <c r="I1163" s="233"/>
      <c r="J1163" s="208"/>
      <c r="K1163" s="208"/>
      <c r="L1163" s="208"/>
      <c r="M1163" s="208"/>
      <c r="N1163" s="208"/>
      <c r="O1163" s="208"/>
      <c r="P1163" s="208"/>
      <c r="Q1163" s="208"/>
      <c r="R1163" s="208"/>
      <c r="S1163" s="208"/>
      <c r="T1163" s="208"/>
      <c r="U1163" s="208"/>
      <c r="V1163" s="234"/>
      <c r="W1163" s="232"/>
      <c r="X1163" s="232"/>
      <c r="Y1163" s="232"/>
      <c r="Z1163" s="232"/>
      <c r="AA1163" s="232"/>
      <c r="AB1163" s="232"/>
      <c r="AC1163" s="232"/>
      <c r="AD1163" s="232"/>
      <c r="AE1163" s="232"/>
      <c r="AF1163" s="232"/>
      <c r="AG1163" s="208"/>
      <c r="AH1163" s="208"/>
      <c r="AI1163" s="208"/>
      <c r="AJ1163" s="208"/>
      <c r="AK1163" s="208"/>
    </row>
    <row r="1164">
      <c r="A1164" s="208"/>
      <c r="B1164" s="208"/>
      <c r="C1164" s="208"/>
      <c r="D1164" s="208"/>
      <c r="E1164" s="208"/>
      <c r="F1164" s="208"/>
      <c r="G1164" s="208"/>
      <c r="H1164" s="232"/>
      <c r="I1164" s="233"/>
      <c r="J1164" s="208"/>
      <c r="K1164" s="208"/>
      <c r="L1164" s="208"/>
      <c r="M1164" s="208"/>
      <c r="N1164" s="208"/>
      <c r="O1164" s="208"/>
      <c r="P1164" s="208"/>
      <c r="Q1164" s="208"/>
      <c r="R1164" s="208"/>
      <c r="S1164" s="208"/>
      <c r="T1164" s="208"/>
      <c r="U1164" s="208"/>
      <c r="V1164" s="234"/>
      <c r="W1164" s="232"/>
      <c r="X1164" s="232"/>
      <c r="Y1164" s="232"/>
      <c r="Z1164" s="232"/>
      <c r="AA1164" s="232"/>
      <c r="AB1164" s="232"/>
      <c r="AC1164" s="232"/>
      <c r="AD1164" s="232"/>
      <c r="AE1164" s="232"/>
      <c r="AF1164" s="232"/>
      <c r="AG1164" s="208"/>
      <c r="AH1164" s="208"/>
      <c r="AI1164" s="208"/>
      <c r="AJ1164" s="208"/>
      <c r="AK1164" s="208"/>
    </row>
    <row r="1165">
      <c r="A1165" s="208"/>
      <c r="B1165" s="208"/>
      <c r="C1165" s="208"/>
      <c r="D1165" s="208"/>
      <c r="E1165" s="208"/>
      <c r="F1165" s="208"/>
      <c r="G1165" s="208"/>
      <c r="H1165" s="232"/>
      <c r="I1165" s="233"/>
      <c r="J1165" s="208"/>
      <c r="K1165" s="208"/>
      <c r="L1165" s="208"/>
      <c r="M1165" s="208"/>
      <c r="N1165" s="208"/>
      <c r="O1165" s="208"/>
      <c r="P1165" s="208"/>
      <c r="Q1165" s="208"/>
      <c r="R1165" s="208"/>
      <c r="S1165" s="208"/>
      <c r="T1165" s="208"/>
      <c r="U1165" s="208"/>
      <c r="V1165" s="234"/>
      <c r="W1165" s="232"/>
      <c r="X1165" s="232"/>
      <c r="Y1165" s="232"/>
      <c r="Z1165" s="232"/>
      <c r="AA1165" s="232"/>
      <c r="AB1165" s="232"/>
      <c r="AC1165" s="232"/>
      <c r="AD1165" s="232"/>
      <c r="AE1165" s="232"/>
      <c r="AF1165" s="232"/>
      <c r="AG1165" s="208"/>
      <c r="AH1165" s="208"/>
      <c r="AI1165" s="208"/>
      <c r="AJ1165" s="208"/>
      <c r="AK1165" s="208"/>
    </row>
    <row r="1166">
      <c r="A1166" s="208"/>
      <c r="B1166" s="208"/>
      <c r="C1166" s="208"/>
      <c r="D1166" s="208"/>
      <c r="E1166" s="208"/>
      <c r="F1166" s="208"/>
      <c r="G1166" s="208"/>
      <c r="H1166" s="232"/>
      <c r="I1166" s="233"/>
      <c r="J1166" s="208"/>
      <c r="K1166" s="208"/>
      <c r="L1166" s="208"/>
      <c r="M1166" s="208"/>
      <c r="N1166" s="208"/>
      <c r="O1166" s="208"/>
      <c r="P1166" s="208"/>
      <c r="Q1166" s="208"/>
      <c r="R1166" s="208"/>
      <c r="S1166" s="208"/>
      <c r="T1166" s="208"/>
      <c r="U1166" s="208"/>
      <c r="V1166" s="234"/>
      <c r="W1166" s="232"/>
      <c r="X1166" s="232"/>
      <c r="Y1166" s="232"/>
      <c r="Z1166" s="232"/>
      <c r="AA1166" s="232"/>
      <c r="AB1166" s="232"/>
      <c r="AC1166" s="232"/>
      <c r="AD1166" s="232"/>
      <c r="AE1166" s="232"/>
      <c r="AF1166" s="232"/>
      <c r="AG1166" s="208"/>
      <c r="AH1166" s="208"/>
      <c r="AI1166" s="208"/>
      <c r="AJ1166" s="208"/>
      <c r="AK1166" s="208"/>
    </row>
    <row r="1167">
      <c r="A1167" s="208"/>
      <c r="B1167" s="208"/>
      <c r="C1167" s="208"/>
      <c r="D1167" s="208"/>
      <c r="E1167" s="208"/>
      <c r="F1167" s="208"/>
      <c r="G1167" s="208"/>
      <c r="H1167" s="232"/>
      <c r="I1167" s="233"/>
      <c r="J1167" s="208"/>
      <c r="K1167" s="208"/>
      <c r="L1167" s="208"/>
      <c r="M1167" s="208"/>
      <c r="N1167" s="208"/>
      <c r="O1167" s="208"/>
      <c r="P1167" s="208"/>
      <c r="Q1167" s="208"/>
      <c r="R1167" s="208"/>
      <c r="S1167" s="208"/>
      <c r="T1167" s="208"/>
      <c r="U1167" s="208"/>
      <c r="V1167" s="234"/>
      <c r="W1167" s="232"/>
      <c r="X1167" s="232"/>
      <c r="Y1167" s="232"/>
      <c r="Z1167" s="232"/>
      <c r="AA1167" s="232"/>
      <c r="AB1167" s="232"/>
      <c r="AC1167" s="232"/>
      <c r="AD1167" s="232"/>
      <c r="AE1167" s="232"/>
      <c r="AF1167" s="232"/>
      <c r="AG1167" s="208"/>
      <c r="AH1167" s="208"/>
      <c r="AI1167" s="208"/>
      <c r="AJ1167" s="208"/>
      <c r="AK1167" s="208"/>
    </row>
    <row r="1168">
      <c r="A1168" s="208"/>
      <c r="B1168" s="208"/>
      <c r="C1168" s="208"/>
      <c r="D1168" s="208"/>
      <c r="E1168" s="208"/>
      <c r="F1168" s="208"/>
      <c r="G1168" s="208"/>
      <c r="H1168" s="232"/>
      <c r="I1168" s="233"/>
      <c r="J1168" s="208"/>
      <c r="K1168" s="208"/>
      <c r="L1168" s="208"/>
      <c r="M1168" s="208"/>
      <c r="N1168" s="208"/>
      <c r="O1168" s="208"/>
      <c r="P1168" s="208"/>
      <c r="Q1168" s="208"/>
      <c r="R1168" s="208"/>
      <c r="S1168" s="208"/>
      <c r="T1168" s="208"/>
      <c r="U1168" s="208"/>
      <c r="V1168" s="234"/>
      <c r="W1168" s="232"/>
      <c r="X1168" s="232"/>
      <c r="Y1168" s="232"/>
      <c r="Z1168" s="232"/>
      <c r="AA1168" s="232"/>
      <c r="AB1168" s="232"/>
      <c r="AC1168" s="232"/>
      <c r="AD1168" s="232"/>
      <c r="AE1168" s="232"/>
      <c r="AF1168" s="232"/>
      <c r="AG1168" s="208"/>
      <c r="AH1168" s="208"/>
      <c r="AI1168" s="208"/>
      <c r="AJ1168" s="208"/>
      <c r="AK1168" s="208"/>
    </row>
    <row r="1169">
      <c r="A1169" s="208"/>
      <c r="B1169" s="208"/>
      <c r="C1169" s="208"/>
      <c r="D1169" s="208"/>
      <c r="E1169" s="208"/>
      <c r="F1169" s="208"/>
      <c r="G1169" s="208"/>
      <c r="H1169" s="232"/>
      <c r="I1169" s="233"/>
      <c r="J1169" s="208"/>
      <c r="K1169" s="208"/>
      <c r="L1169" s="208"/>
      <c r="M1169" s="208"/>
      <c r="N1169" s="208"/>
      <c r="O1169" s="208"/>
      <c r="P1169" s="208"/>
      <c r="Q1169" s="208"/>
      <c r="R1169" s="208"/>
      <c r="S1169" s="208"/>
      <c r="T1169" s="208"/>
      <c r="U1169" s="208"/>
      <c r="V1169" s="234"/>
      <c r="W1169" s="232"/>
      <c r="X1169" s="232"/>
      <c r="Y1169" s="232"/>
      <c r="Z1169" s="232"/>
      <c r="AA1169" s="232"/>
      <c r="AB1169" s="232"/>
      <c r="AC1169" s="232"/>
      <c r="AD1169" s="232"/>
      <c r="AE1169" s="232"/>
      <c r="AF1169" s="232"/>
      <c r="AG1169" s="208"/>
      <c r="AH1169" s="208"/>
      <c r="AI1169" s="208"/>
      <c r="AJ1169" s="208"/>
      <c r="AK1169" s="208"/>
    </row>
    <row r="1170">
      <c r="A1170" s="208"/>
      <c r="B1170" s="208"/>
      <c r="C1170" s="208"/>
      <c r="D1170" s="208"/>
      <c r="E1170" s="208"/>
      <c r="F1170" s="208"/>
      <c r="G1170" s="208"/>
      <c r="H1170" s="232"/>
      <c r="I1170" s="233"/>
      <c r="J1170" s="208"/>
      <c r="K1170" s="208"/>
      <c r="L1170" s="208"/>
      <c r="M1170" s="208"/>
      <c r="N1170" s="208"/>
      <c r="O1170" s="208"/>
      <c r="P1170" s="208"/>
      <c r="Q1170" s="208"/>
      <c r="R1170" s="208"/>
      <c r="S1170" s="208"/>
      <c r="T1170" s="208"/>
      <c r="U1170" s="208"/>
      <c r="V1170" s="234"/>
      <c r="W1170" s="232"/>
      <c r="X1170" s="232"/>
      <c r="Y1170" s="232"/>
      <c r="Z1170" s="232"/>
      <c r="AA1170" s="232"/>
      <c r="AB1170" s="232"/>
      <c r="AC1170" s="232"/>
      <c r="AD1170" s="232"/>
      <c r="AE1170" s="232"/>
      <c r="AF1170" s="232"/>
      <c r="AG1170" s="208"/>
      <c r="AH1170" s="208"/>
      <c r="AI1170" s="208"/>
      <c r="AJ1170" s="208"/>
      <c r="AK1170" s="208"/>
    </row>
    <row r="1171">
      <c r="A1171" s="208"/>
      <c r="B1171" s="208"/>
      <c r="C1171" s="208"/>
      <c r="D1171" s="208"/>
      <c r="E1171" s="208"/>
      <c r="F1171" s="208"/>
      <c r="G1171" s="208"/>
      <c r="H1171" s="232"/>
      <c r="I1171" s="233"/>
      <c r="J1171" s="208"/>
      <c r="K1171" s="208"/>
      <c r="L1171" s="208"/>
      <c r="M1171" s="208"/>
      <c r="N1171" s="208"/>
      <c r="O1171" s="208"/>
      <c r="P1171" s="208"/>
      <c r="Q1171" s="208"/>
      <c r="R1171" s="208"/>
      <c r="S1171" s="208"/>
      <c r="T1171" s="208"/>
      <c r="U1171" s="208"/>
      <c r="V1171" s="234"/>
      <c r="W1171" s="232"/>
      <c r="X1171" s="232"/>
      <c r="Y1171" s="232"/>
      <c r="Z1171" s="232"/>
      <c r="AA1171" s="232"/>
      <c r="AB1171" s="232"/>
      <c r="AC1171" s="232"/>
      <c r="AD1171" s="232"/>
      <c r="AE1171" s="232"/>
      <c r="AF1171" s="232"/>
      <c r="AG1171" s="208"/>
      <c r="AH1171" s="208"/>
      <c r="AI1171" s="208"/>
      <c r="AJ1171" s="208"/>
      <c r="AK1171" s="208"/>
    </row>
    <row r="1172">
      <c r="A1172" s="208"/>
      <c r="B1172" s="208"/>
      <c r="C1172" s="208"/>
      <c r="D1172" s="208"/>
      <c r="E1172" s="208"/>
      <c r="F1172" s="208"/>
      <c r="G1172" s="208"/>
      <c r="H1172" s="232"/>
      <c r="I1172" s="233"/>
      <c r="J1172" s="208"/>
      <c r="K1172" s="208"/>
      <c r="L1172" s="208"/>
      <c r="M1172" s="208"/>
      <c r="N1172" s="208"/>
      <c r="O1172" s="208"/>
      <c r="P1172" s="208"/>
      <c r="Q1172" s="208"/>
      <c r="R1172" s="208"/>
      <c r="S1172" s="208"/>
      <c r="T1172" s="208"/>
      <c r="U1172" s="208"/>
      <c r="V1172" s="234"/>
      <c r="W1172" s="232"/>
      <c r="X1172" s="232"/>
      <c r="Y1172" s="232"/>
      <c r="Z1172" s="232"/>
      <c r="AA1172" s="232"/>
      <c r="AB1172" s="232"/>
      <c r="AC1172" s="232"/>
      <c r="AD1172" s="232"/>
      <c r="AE1172" s="232"/>
      <c r="AF1172" s="232"/>
      <c r="AG1172" s="208"/>
      <c r="AH1172" s="208"/>
      <c r="AI1172" s="208"/>
      <c r="AJ1172" s="208"/>
      <c r="AK1172" s="208"/>
    </row>
    <row r="1173">
      <c r="A1173" s="208"/>
      <c r="B1173" s="208"/>
      <c r="C1173" s="208"/>
      <c r="D1173" s="208"/>
      <c r="E1173" s="208"/>
      <c r="F1173" s="208"/>
      <c r="G1173" s="208"/>
      <c r="H1173" s="232"/>
      <c r="I1173" s="233"/>
      <c r="J1173" s="208"/>
      <c r="K1173" s="208"/>
      <c r="L1173" s="208"/>
      <c r="M1173" s="208"/>
      <c r="N1173" s="208"/>
      <c r="O1173" s="208"/>
      <c r="P1173" s="208"/>
      <c r="Q1173" s="208"/>
      <c r="R1173" s="208"/>
      <c r="S1173" s="208"/>
      <c r="T1173" s="208"/>
      <c r="U1173" s="208"/>
      <c r="V1173" s="234"/>
      <c r="W1173" s="232"/>
      <c r="X1173" s="232"/>
      <c r="Y1173" s="232"/>
      <c r="Z1173" s="232"/>
      <c r="AA1173" s="232"/>
      <c r="AB1173" s="232"/>
      <c r="AC1173" s="232"/>
      <c r="AD1173" s="232"/>
      <c r="AE1173" s="232"/>
      <c r="AF1173" s="232"/>
      <c r="AG1173" s="208"/>
      <c r="AH1173" s="208"/>
      <c r="AI1173" s="208"/>
      <c r="AJ1173" s="208"/>
      <c r="AK1173" s="208"/>
    </row>
    <row r="1174">
      <c r="A1174" s="208"/>
      <c r="B1174" s="208"/>
      <c r="C1174" s="208"/>
      <c r="D1174" s="208"/>
      <c r="E1174" s="208"/>
      <c r="F1174" s="208"/>
      <c r="G1174" s="208"/>
      <c r="H1174" s="232"/>
      <c r="I1174" s="233"/>
      <c r="J1174" s="208"/>
      <c r="K1174" s="208"/>
      <c r="L1174" s="208"/>
      <c r="M1174" s="208"/>
      <c r="N1174" s="208"/>
      <c r="O1174" s="208"/>
      <c r="P1174" s="208"/>
      <c r="Q1174" s="208"/>
      <c r="R1174" s="208"/>
      <c r="S1174" s="208"/>
      <c r="T1174" s="208"/>
      <c r="U1174" s="208"/>
      <c r="V1174" s="234"/>
      <c r="W1174" s="232"/>
      <c r="X1174" s="232"/>
      <c r="Y1174" s="232"/>
      <c r="Z1174" s="232"/>
      <c r="AA1174" s="232"/>
      <c r="AB1174" s="232"/>
      <c r="AC1174" s="232"/>
      <c r="AD1174" s="232"/>
      <c r="AE1174" s="232"/>
      <c r="AF1174" s="232"/>
      <c r="AG1174" s="208"/>
      <c r="AH1174" s="208"/>
      <c r="AI1174" s="208"/>
      <c r="AJ1174" s="208"/>
      <c r="AK1174" s="208"/>
    </row>
    <row r="1175">
      <c r="A1175" s="208"/>
      <c r="B1175" s="208"/>
      <c r="C1175" s="208"/>
      <c r="D1175" s="208"/>
      <c r="E1175" s="208"/>
      <c r="F1175" s="208"/>
      <c r="G1175" s="208"/>
      <c r="H1175" s="232"/>
      <c r="I1175" s="233"/>
      <c r="J1175" s="208"/>
      <c r="K1175" s="208"/>
      <c r="L1175" s="208"/>
      <c r="M1175" s="208"/>
      <c r="N1175" s="208"/>
      <c r="O1175" s="208"/>
      <c r="P1175" s="208"/>
      <c r="Q1175" s="208"/>
      <c r="R1175" s="208"/>
      <c r="S1175" s="208"/>
      <c r="T1175" s="208"/>
      <c r="U1175" s="208"/>
      <c r="V1175" s="234"/>
      <c r="W1175" s="232"/>
      <c r="X1175" s="232"/>
      <c r="Y1175" s="232"/>
      <c r="Z1175" s="232"/>
      <c r="AA1175" s="232"/>
      <c r="AB1175" s="232"/>
      <c r="AC1175" s="232"/>
      <c r="AD1175" s="232"/>
      <c r="AE1175" s="232"/>
      <c r="AF1175" s="232"/>
      <c r="AG1175" s="208"/>
      <c r="AH1175" s="208"/>
      <c r="AI1175" s="208"/>
      <c r="AJ1175" s="208"/>
      <c r="AK1175" s="208"/>
    </row>
    <row r="1176">
      <c r="A1176" s="208"/>
      <c r="B1176" s="208"/>
      <c r="C1176" s="208"/>
      <c r="D1176" s="208"/>
      <c r="E1176" s="208"/>
      <c r="F1176" s="208"/>
      <c r="G1176" s="208"/>
      <c r="H1176" s="232"/>
      <c r="I1176" s="233"/>
      <c r="J1176" s="208"/>
      <c r="K1176" s="208"/>
      <c r="L1176" s="208"/>
      <c r="M1176" s="208"/>
      <c r="N1176" s="208"/>
      <c r="O1176" s="208"/>
      <c r="P1176" s="208"/>
      <c r="Q1176" s="208"/>
      <c r="R1176" s="208"/>
      <c r="S1176" s="208"/>
      <c r="T1176" s="208"/>
      <c r="U1176" s="208"/>
      <c r="V1176" s="234"/>
      <c r="W1176" s="232"/>
      <c r="X1176" s="232"/>
      <c r="Y1176" s="232"/>
      <c r="Z1176" s="232"/>
      <c r="AA1176" s="232"/>
      <c r="AB1176" s="232"/>
      <c r="AC1176" s="232"/>
      <c r="AD1176" s="232"/>
      <c r="AE1176" s="232"/>
      <c r="AF1176" s="232"/>
      <c r="AG1176" s="208"/>
      <c r="AH1176" s="208"/>
      <c r="AI1176" s="208"/>
      <c r="AJ1176" s="208"/>
      <c r="AK1176" s="208"/>
    </row>
    <row r="1177">
      <c r="A1177" s="208"/>
      <c r="B1177" s="208"/>
      <c r="C1177" s="208"/>
      <c r="D1177" s="208"/>
      <c r="E1177" s="208"/>
      <c r="F1177" s="208"/>
      <c r="G1177" s="208"/>
      <c r="H1177" s="232"/>
      <c r="I1177" s="233"/>
      <c r="J1177" s="208"/>
      <c r="K1177" s="208"/>
      <c r="L1177" s="208"/>
      <c r="M1177" s="208"/>
      <c r="N1177" s="208"/>
      <c r="O1177" s="208"/>
      <c r="P1177" s="208"/>
      <c r="Q1177" s="208"/>
      <c r="R1177" s="208"/>
      <c r="S1177" s="208"/>
      <c r="T1177" s="208"/>
      <c r="U1177" s="208"/>
      <c r="V1177" s="234"/>
      <c r="W1177" s="232"/>
      <c r="X1177" s="232"/>
      <c r="Y1177" s="232"/>
      <c r="Z1177" s="232"/>
      <c r="AA1177" s="232"/>
      <c r="AB1177" s="232"/>
      <c r="AC1177" s="232"/>
      <c r="AD1177" s="232"/>
      <c r="AE1177" s="232"/>
      <c r="AF1177" s="232"/>
      <c r="AG1177" s="208"/>
      <c r="AH1177" s="208"/>
      <c r="AI1177" s="208"/>
      <c r="AJ1177" s="208"/>
      <c r="AK1177" s="208"/>
    </row>
    <row r="1178">
      <c r="A1178" s="208"/>
      <c r="B1178" s="208"/>
      <c r="C1178" s="208"/>
      <c r="D1178" s="208"/>
      <c r="E1178" s="208"/>
      <c r="F1178" s="208"/>
      <c r="G1178" s="208"/>
      <c r="H1178" s="232"/>
      <c r="I1178" s="233"/>
      <c r="J1178" s="208"/>
      <c r="K1178" s="208"/>
      <c r="L1178" s="208"/>
      <c r="M1178" s="208"/>
      <c r="N1178" s="208"/>
      <c r="O1178" s="208"/>
      <c r="P1178" s="208"/>
      <c r="Q1178" s="208"/>
      <c r="R1178" s="208"/>
      <c r="S1178" s="208"/>
      <c r="T1178" s="208"/>
      <c r="U1178" s="208"/>
      <c r="V1178" s="234"/>
      <c r="W1178" s="232"/>
      <c r="X1178" s="232"/>
      <c r="Y1178" s="232"/>
      <c r="Z1178" s="232"/>
      <c r="AA1178" s="232"/>
      <c r="AB1178" s="232"/>
      <c r="AC1178" s="232"/>
      <c r="AD1178" s="232"/>
      <c r="AE1178" s="232"/>
      <c r="AF1178" s="232"/>
      <c r="AG1178" s="208"/>
      <c r="AH1178" s="208"/>
      <c r="AI1178" s="208"/>
      <c r="AJ1178" s="208"/>
      <c r="AK1178" s="208"/>
    </row>
    <row r="1179">
      <c r="A1179" s="208"/>
      <c r="B1179" s="208"/>
      <c r="C1179" s="208"/>
      <c r="D1179" s="208"/>
      <c r="E1179" s="208"/>
      <c r="F1179" s="208"/>
      <c r="G1179" s="208"/>
      <c r="H1179" s="232"/>
      <c r="I1179" s="233"/>
      <c r="J1179" s="208"/>
      <c r="K1179" s="208"/>
      <c r="L1179" s="208"/>
      <c r="M1179" s="208"/>
      <c r="N1179" s="208"/>
      <c r="O1179" s="208"/>
      <c r="P1179" s="208"/>
      <c r="Q1179" s="208"/>
      <c r="R1179" s="208"/>
      <c r="S1179" s="208"/>
      <c r="T1179" s="208"/>
      <c r="U1179" s="208"/>
      <c r="V1179" s="234"/>
      <c r="W1179" s="232"/>
      <c r="X1179" s="232"/>
      <c r="Y1179" s="232"/>
      <c r="Z1179" s="232"/>
      <c r="AA1179" s="232"/>
      <c r="AB1179" s="232"/>
      <c r="AC1179" s="232"/>
      <c r="AD1179" s="232"/>
      <c r="AE1179" s="232"/>
      <c r="AF1179" s="232"/>
      <c r="AG1179" s="208"/>
      <c r="AH1179" s="208"/>
      <c r="AI1179" s="208"/>
      <c r="AJ1179" s="208"/>
      <c r="AK1179" s="208"/>
    </row>
    <row r="1180">
      <c r="A1180" s="208"/>
      <c r="B1180" s="208"/>
      <c r="C1180" s="208"/>
      <c r="D1180" s="208"/>
      <c r="E1180" s="208"/>
      <c r="F1180" s="208"/>
      <c r="G1180" s="208"/>
      <c r="H1180" s="232"/>
      <c r="I1180" s="233"/>
      <c r="J1180" s="208"/>
      <c r="K1180" s="208"/>
      <c r="L1180" s="208"/>
      <c r="M1180" s="208"/>
      <c r="N1180" s="208"/>
      <c r="O1180" s="208"/>
      <c r="P1180" s="208"/>
      <c r="Q1180" s="208"/>
      <c r="R1180" s="208"/>
      <c r="S1180" s="208"/>
      <c r="T1180" s="208"/>
      <c r="U1180" s="208"/>
      <c r="V1180" s="234"/>
      <c r="W1180" s="232"/>
      <c r="X1180" s="232"/>
      <c r="Y1180" s="232"/>
      <c r="Z1180" s="232"/>
      <c r="AA1180" s="232"/>
      <c r="AB1180" s="232"/>
      <c r="AC1180" s="232"/>
      <c r="AD1180" s="232"/>
      <c r="AE1180" s="232"/>
      <c r="AF1180" s="232"/>
      <c r="AG1180" s="208"/>
      <c r="AH1180" s="208"/>
      <c r="AI1180" s="208"/>
      <c r="AJ1180" s="208"/>
      <c r="AK1180" s="208"/>
    </row>
    <row r="1181">
      <c r="A1181" s="208"/>
      <c r="B1181" s="208"/>
      <c r="C1181" s="208"/>
      <c r="D1181" s="208"/>
      <c r="E1181" s="208"/>
      <c r="F1181" s="208"/>
      <c r="G1181" s="208"/>
      <c r="H1181" s="232"/>
      <c r="I1181" s="233"/>
      <c r="J1181" s="208"/>
      <c r="K1181" s="208"/>
      <c r="L1181" s="208"/>
      <c r="M1181" s="208"/>
      <c r="N1181" s="208"/>
      <c r="O1181" s="208"/>
      <c r="P1181" s="208"/>
      <c r="Q1181" s="208"/>
      <c r="R1181" s="208"/>
      <c r="S1181" s="208"/>
      <c r="T1181" s="208"/>
      <c r="U1181" s="208"/>
      <c r="V1181" s="234"/>
      <c r="W1181" s="232"/>
      <c r="X1181" s="232"/>
      <c r="Y1181" s="232"/>
      <c r="Z1181" s="232"/>
      <c r="AA1181" s="232"/>
      <c r="AB1181" s="232"/>
      <c r="AC1181" s="232"/>
      <c r="AD1181" s="232"/>
      <c r="AE1181" s="232"/>
      <c r="AF1181" s="232"/>
      <c r="AG1181" s="208"/>
      <c r="AH1181" s="208"/>
      <c r="AI1181" s="208"/>
      <c r="AJ1181" s="208"/>
      <c r="AK1181" s="208"/>
    </row>
    <row r="1182">
      <c r="A1182" s="208"/>
      <c r="B1182" s="208"/>
      <c r="C1182" s="208"/>
      <c r="D1182" s="208"/>
      <c r="E1182" s="208"/>
      <c r="F1182" s="208"/>
      <c r="G1182" s="208"/>
      <c r="H1182" s="232"/>
      <c r="I1182" s="233"/>
      <c r="J1182" s="208"/>
      <c r="K1182" s="208"/>
      <c r="L1182" s="208"/>
      <c r="M1182" s="208"/>
      <c r="N1182" s="208"/>
      <c r="O1182" s="208"/>
      <c r="P1182" s="208"/>
      <c r="Q1182" s="208"/>
      <c r="R1182" s="208"/>
      <c r="S1182" s="208"/>
      <c r="T1182" s="208"/>
      <c r="U1182" s="208"/>
      <c r="V1182" s="234"/>
      <c r="W1182" s="232"/>
      <c r="X1182" s="232"/>
      <c r="Y1182" s="232"/>
      <c r="Z1182" s="232"/>
      <c r="AA1182" s="232"/>
      <c r="AB1182" s="232"/>
      <c r="AC1182" s="232"/>
      <c r="AD1182" s="232"/>
      <c r="AE1182" s="232"/>
      <c r="AF1182" s="232"/>
      <c r="AG1182" s="208"/>
      <c r="AH1182" s="208"/>
      <c r="AI1182" s="208"/>
      <c r="AJ1182" s="208"/>
      <c r="AK1182" s="208"/>
    </row>
    <row r="1183">
      <c r="A1183" s="208"/>
      <c r="B1183" s="208"/>
      <c r="C1183" s="208"/>
      <c r="D1183" s="208"/>
      <c r="E1183" s="208"/>
      <c r="F1183" s="208"/>
      <c r="G1183" s="208"/>
      <c r="H1183" s="232"/>
      <c r="I1183" s="233"/>
      <c r="J1183" s="208"/>
      <c r="K1183" s="208"/>
      <c r="L1183" s="208"/>
      <c r="M1183" s="208"/>
      <c r="N1183" s="208"/>
      <c r="O1183" s="208"/>
      <c r="P1183" s="208"/>
      <c r="Q1183" s="208"/>
      <c r="R1183" s="208"/>
      <c r="S1183" s="208"/>
      <c r="T1183" s="208"/>
      <c r="U1183" s="208"/>
      <c r="V1183" s="234"/>
      <c r="W1183" s="232"/>
      <c r="X1183" s="232"/>
      <c r="Y1183" s="232"/>
      <c r="Z1183" s="232"/>
      <c r="AA1183" s="232"/>
      <c r="AB1183" s="232"/>
      <c r="AC1183" s="232"/>
      <c r="AD1183" s="232"/>
      <c r="AE1183" s="232"/>
      <c r="AF1183" s="232"/>
      <c r="AG1183" s="208"/>
      <c r="AH1183" s="208"/>
      <c r="AI1183" s="208"/>
      <c r="AJ1183" s="208"/>
      <c r="AK1183" s="208"/>
    </row>
    <row r="1184">
      <c r="A1184" s="208"/>
      <c r="B1184" s="208"/>
      <c r="C1184" s="208"/>
      <c r="D1184" s="208"/>
      <c r="E1184" s="208"/>
      <c r="F1184" s="208"/>
      <c r="G1184" s="208"/>
      <c r="H1184" s="232"/>
      <c r="I1184" s="233"/>
      <c r="J1184" s="208"/>
      <c r="K1184" s="208"/>
      <c r="L1184" s="208"/>
      <c r="M1184" s="208"/>
      <c r="N1184" s="208"/>
      <c r="O1184" s="208"/>
      <c r="P1184" s="208"/>
      <c r="Q1184" s="208"/>
      <c r="R1184" s="208"/>
      <c r="S1184" s="208"/>
      <c r="T1184" s="208"/>
      <c r="U1184" s="208"/>
      <c r="V1184" s="234"/>
      <c r="W1184" s="232"/>
      <c r="X1184" s="232"/>
      <c r="Y1184" s="232"/>
      <c r="Z1184" s="232"/>
      <c r="AA1184" s="232"/>
      <c r="AB1184" s="232"/>
      <c r="AC1184" s="232"/>
      <c r="AD1184" s="232"/>
      <c r="AE1184" s="232"/>
      <c r="AF1184" s="232"/>
      <c r="AG1184" s="208"/>
      <c r="AH1184" s="208"/>
      <c r="AI1184" s="208"/>
      <c r="AJ1184" s="208"/>
      <c r="AK1184" s="208"/>
    </row>
    <row r="1185">
      <c r="A1185" s="208"/>
      <c r="B1185" s="208"/>
      <c r="C1185" s="208"/>
      <c r="D1185" s="208"/>
      <c r="E1185" s="208"/>
      <c r="F1185" s="208"/>
      <c r="G1185" s="208"/>
      <c r="H1185" s="232"/>
      <c r="I1185" s="233"/>
      <c r="J1185" s="208"/>
      <c r="K1185" s="208"/>
      <c r="L1185" s="208"/>
      <c r="M1185" s="208"/>
      <c r="N1185" s="208"/>
      <c r="O1185" s="208"/>
      <c r="P1185" s="208"/>
      <c r="Q1185" s="208"/>
      <c r="R1185" s="208"/>
      <c r="S1185" s="208"/>
      <c r="T1185" s="208"/>
      <c r="U1185" s="208"/>
      <c r="V1185" s="234"/>
      <c r="W1185" s="232"/>
      <c r="X1185" s="232"/>
      <c r="Y1185" s="232"/>
      <c r="Z1185" s="232"/>
      <c r="AA1185" s="232"/>
      <c r="AB1185" s="232"/>
      <c r="AC1185" s="232"/>
      <c r="AD1185" s="232"/>
      <c r="AE1185" s="232"/>
      <c r="AF1185" s="232"/>
      <c r="AG1185" s="208"/>
      <c r="AH1185" s="208"/>
      <c r="AI1185" s="208"/>
      <c r="AJ1185" s="208"/>
      <c r="AK1185" s="208"/>
    </row>
    <row r="1186">
      <c r="A1186" s="208"/>
      <c r="B1186" s="208"/>
      <c r="C1186" s="208"/>
      <c r="D1186" s="208"/>
      <c r="E1186" s="208"/>
      <c r="F1186" s="208"/>
      <c r="G1186" s="208"/>
      <c r="H1186" s="232"/>
      <c r="I1186" s="233"/>
      <c r="J1186" s="208"/>
      <c r="K1186" s="208"/>
      <c r="L1186" s="208"/>
      <c r="M1186" s="208"/>
      <c r="N1186" s="208"/>
      <c r="O1186" s="208"/>
      <c r="P1186" s="208"/>
      <c r="Q1186" s="208"/>
      <c r="R1186" s="208"/>
      <c r="S1186" s="208"/>
      <c r="T1186" s="208"/>
      <c r="U1186" s="208"/>
      <c r="V1186" s="234"/>
      <c r="W1186" s="232"/>
      <c r="X1186" s="232"/>
      <c r="Y1186" s="232"/>
      <c r="Z1186" s="232"/>
      <c r="AA1186" s="232"/>
      <c r="AB1186" s="232"/>
      <c r="AC1186" s="232"/>
      <c r="AD1186" s="232"/>
      <c r="AE1186" s="232"/>
      <c r="AF1186" s="232"/>
      <c r="AG1186" s="208"/>
      <c r="AH1186" s="208"/>
      <c r="AI1186" s="208"/>
      <c r="AJ1186" s="208"/>
      <c r="AK1186" s="208"/>
    </row>
    <row r="1187">
      <c r="A1187" s="208"/>
      <c r="B1187" s="208"/>
      <c r="C1187" s="208"/>
      <c r="D1187" s="208"/>
      <c r="E1187" s="208"/>
      <c r="F1187" s="208"/>
      <c r="G1187" s="208"/>
      <c r="H1187" s="232"/>
      <c r="I1187" s="233"/>
      <c r="J1187" s="208"/>
      <c r="K1187" s="208"/>
      <c r="L1187" s="208"/>
      <c r="M1187" s="208"/>
      <c r="N1187" s="208"/>
      <c r="O1187" s="208"/>
      <c r="P1187" s="208"/>
      <c r="Q1187" s="208"/>
      <c r="R1187" s="208"/>
      <c r="S1187" s="208"/>
      <c r="T1187" s="208"/>
      <c r="U1187" s="208"/>
      <c r="V1187" s="234"/>
      <c r="W1187" s="232"/>
      <c r="X1187" s="232"/>
      <c r="Y1187" s="232"/>
      <c r="Z1187" s="232"/>
      <c r="AA1187" s="232"/>
      <c r="AB1187" s="232"/>
      <c r="AC1187" s="232"/>
      <c r="AD1187" s="232"/>
      <c r="AE1187" s="232"/>
      <c r="AF1187" s="232"/>
      <c r="AG1187" s="208"/>
      <c r="AH1187" s="208"/>
      <c r="AI1187" s="208"/>
      <c r="AJ1187" s="208"/>
      <c r="AK1187" s="208"/>
    </row>
    <row r="1188">
      <c r="A1188" s="208"/>
      <c r="B1188" s="208"/>
      <c r="C1188" s="208"/>
      <c r="D1188" s="208"/>
      <c r="E1188" s="208"/>
      <c r="F1188" s="208"/>
      <c r="G1188" s="208"/>
      <c r="H1188" s="232"/>
      <c r="I1188" s="233"/>
      <c r="J1188" s="208"/>
      <c r="K1188" s="208"/>
      <c r="L1188" s="208"/>
      <c r="M1188" s="208"/>
      <c r="N1188" s="208"/>
      <c r="O1188" s="208"/>
      <c r="P1188" s="208"/>
      <c r="Q1188" s="208"/>
      <c r="R1188" s="208"/>
      <c r="S1188" s="208"/>
      <c r="T1188" s="208"/>
      <c r="U1188" s="208"/>
      <c r="V1188" s="234"/>
      <c r="W1188" s="232"/>
      <c r="X1188" s="232"/>
      <c r="Y1188" s="232"/>
      <c r="Z1188" s="232"/>
      <c r="AA1188" s="232"/>
      <c r="AB1188" s="232"/>
      <c r="AC1188" s="232"/>
      <c r="AD1188" s="232"/>
      <c r="AE1188" s="232"/>
      <c r="AF1188" s="232"/>
      <c r="AG1188" s="208"/>
      <c r="AH1188" s="208"/>
      <c r="AI1188" s="208"/>
      <c r="AJ1188" s="208"/>
      <c r="AK1188" s="208"/>
    </row>
    <row r="1189">
      <c r="A1189" s="208"/>
      <c r="B1189" s="208"/>
      <c r="C1189" s="208"/>
      <c r="D1189" s="208"/>
      <c r="E1189" s="208"/>
      <c r="F1189" s="208"/>
      <c r="G1189" s="208"/>
      <c r="H1189" s="232"/>
      <c r="I1189" s="233"/>
      <c r="J1189" s="208"/>
      <c r="K1189" s="208"/>
      <c r="L1189" s="208"/>
      <c r="M1189" s="208"/>
      <c r="N1189" s="208"/>
      <c r="O1189" s="208"/>
      <c r="P1189" s="208"/>
      <c r="Q1189" s="208"/>
      <c r="R1189" s="208"/>
      <c r="S1189" s="208"/>
      <c r="T1189" s="208"/>
      <c r="U1189" s="208"/>
      <c r="V1189" s="234"/>
      <c r="W1189" s="232"/>
      <c r="X1189" s="232"/>
      <c r="Y1189" s="232"/>
      <c r="Z1189" s="232"/>
      <c r="AA1189" s="232"/>
      <c r="AB1189" s="232"/>
      <c r="AC1189" s="232"/>
      <c r="AD1189" s="232"/>
      <c r="AE1189" s="232"/>
      <c r="AF1189" s="232"/>
      <c r="AG1189" s="208"/>
      <c r="AH1189" s="208"/>
      <c r="AI1189" s="208"/>
      <c r="AJ1189" s="208"/>
      <c r="AK1189" s="208"/>
    </row>
    <row r="1190">
      <c r="A1190" s="208"/>
      <c r="B1190" s="208"/>
      <c r="C1190" s="208"/>
      <c r="D1190" s="208"/>
      <c r="E1190" s="208"/>
      <c r="F1190" s="208"/>
      <c r="G1190" s="208"/>
      <c r="H1190" s="232"/>
      <c r="I1190" s="233"/>
      <c r="J1190" s="208"/>
      <c r="K1190" s="208"/>
      <c r="L1190" s="208"/>
      <c r="M1190" s="208"/>
      <c r="N1190" s="208"/>
      <c r="O1190" s="208"/>
      <c r="P1190" s="208"/>
      <c r="Q1190" s="208"/>
      <c r="R1190" s="208"/>
      <c r="S1190" s="208"/>
      <c r="T1190" s="208"/>
      <c r="U1190" s="208"/>
      <c r="V1190" s="234"/>
      <c r="W1190" s="232"/>
      <c r="X1190" s="232"/>
      <c r="Y1190" s="232"/>
      <c r="Z1190" s="232"/>
      <c r="AA1190" s="232"/>
      <c r="AB1190" s="232"/>
      <c r="AC1190" s="232"/>
      <c r="AD1190" s="232"/>
      <c r="AE1190" s="232"/>
      <c r="AF1190" s="232"/>
      <c r="AG1190" s="208"/>
      <c r="AH1190" s="208"/>
      <c r="AI1190" s="208"/>
      <c r="AJ1190" s="208"/>
      <c r="AK1190" s="208"/>
    </row>
    <row r="1191">
      <c r="A1191" s="208"/>
      <c r="B1191" s="208"/>
      <c r="C1191" s="208"/>
      <c r="D1191" s="208"/>
      <c r="E1191" s="208"/>
      <c r="F1191" s="208"/>
      <c r="G1191" s="208"/>
      <c r="H1191" s="232"/>
      <c r="I1191" s="233"/>
      <c r="J1191" s="208"/>
      <c r="K1191" s="208"/>
      <c r="L1191" s="208"/>
      <c r="M1191" s="208"/>
      <c r="N1191" s="208"/>
      <c r="O1191" s="208"/>
      <c r="P1191" s="208"/>
      <c r="Q1191" s="208"/>
      <c r="R1191" s="208"/>
      <c r="S1191" s="208"/>
      <c r="T1191" s="208"/>
      <c r="U1191" s="208"/>
      <c r="V1191" s="234"/>
      <c r="W1191" s="232"/>
      <c r="X1191" s="232"/>
      <c r="Y1191" s="232"/>
      <c r="Z1191" s="232"/>
      <c r="AA1191" s="232"/>
      <c r="AB1191" s="232"/>
      <c r="AC1191" s="232"/>
      <c r="AD1191" s="232"/>
      <c r="AE1191" s="232"/>
      <c r="AF1191" s="232"/>
      <c r="AG1191" s="208"/>
      <c r="AH1191" s="208"/>
      <c r="AI1191" s="208"/>
      <c r="AJ1191" s="208"/>
      <c r="AK1191" s="208"/>
    </row>
    <row r="1192">
      <c r="A1192" s="208"/>
      <c r="B1192" s="208"/>
      <c r="C1192" s="208"/>
      <c r="D1192" s="208"/>
      <c r="E1192" s="208"/>
      <c r="F1192" s="208"/>
      <c r="G1192" s="208"/>
      <c r="H1192" s="232"/>
      <c r="I1192" s="233"/>
      <c r="J1192" s="208"/>
      <c r="K1192" s="208"/>
      <c r="L1192" s="208"/>
      <c r="M1192" s="208"/>
      <c r="N1192" s="208"/>
      <c r="O1192" s="208"/>
      <c r="P1192" s="208"/>
      <c r="Q1192" s="208"/>
      <c r="R1192" s="208"/>
      <c r="S1192" s="208"/>
      <c r="T1192" s="208"/>
      <c r="U1192" s="208"/>
      <c r="V1192" s="234"/>
      <c r="W1192" s="232"/>
      <c r="X1192" s="232"/>
      <c r="Y1192" s="232"/>
      <c r="Z1192" s="232"/>
      <c r="AA1192" s="232"/>
      <c r="AB1192" s="232"/>
      <c r="AC1192" s="232"/>
      <c r="AD1192" s="232"/>
      <c r="AE1192" s="232"/>
      <c r="AF1192" s="232"/>
      <c r="AG1192" s="208"/>
      <c r="AH1192" s="208"/>
      <c r="AI1192" s="208"/>
      <c r="AJ1192" s="208"/>
      <c r="AK1192" s="208"/>
    </row>
    <row r="1193">
      <c r="A1193" s="208"/>
      <c r="B1193" s="208"/>
      <c r="C1193" s="208"/>
      <c r="D1193" s="208"/>
      <c r="E1193" s="208"/>
      <c r="F1193" s="208"/>
      <c r="G1193" s="208"/>
      <c r="H1193" s="232"/>
      <c r="I1193" s="233"/>
      <c r="J1193" s="208"/>
      <c r="K1193" s="208"/>
      <c r="L1193" s="208"/>
      <c r="M1193" s="208"/>
      <c r="N1193" s="208"/>
      <c r="O1193" s="208"/>
      <c r="P1193" s="208"/>
      <c r="Q1193" s="208"/>
      <c r="R1193" s="208"/>
      <c r="S1193" s="208"/>
      <c r="T1193" s="208"/>
      <c r="U1193" s="208"/>
      <c r="V1193" s="234"/>
      <c r="W1193" s="232"/>
      <c r="X1193" s="232"/>
      <c r="Y1193" s="232"/>
      <c r="Z1193" s="232"/>
      <c r="AA1193" s="232"/>
      <c r="AB1193" s="232"/>
      <c r="AC1193" s="232"/>
      <c r="AD1193" s="232"/>
      <c r="AE1193" s="232"/>
      <c r="AF1193" s="232"/>
      <c r="AG1193" s="208"/>
      <c r="AH1193" s="208"/>
      <c r="AI1193" s="208"/>
      <c r="AJ1193" s="208"/>
      <c r="AK1193" s="208"/>
    </row>
    <row r="1194">
      <c r="A1194" s="208"/>
      <c r="B1194" s="208"/>
      <c r="C1194" s="208"/>
      <c r="D1194" s="208"/>
      <c r="E1194" s="208"/>
      <c r="F1194" s="208"/>
      <c r="G1194" s="208"/>
      <c r="H1194" s="232"/>
      <c r="I1194" s="233"/>
      <c r="J1194" s="208"/>
      <c r="K1194" s="208"/>
      <c r="L1194" s="208"/>
      <c r="M1194" s="208"/>
      <c r="N1194" s="208"/>
      <c r="O1194" s="208"/>
      <c r="P1194" s="208"/>
      <c r="Q1194" s="208"/>
      <c r="R1194" s="208"/>
      <c r="S1194" s="208"/>
      <c r="T1194" s="208"/>
      <c r="U1194" s="208"/>
      <c r="V1194" s="234"/>
      <c r="W1194" s="232"/>
      <c r="X1194" s="232"/>
      <c r="Y1194" s="232"/>
      <c r="Z1194" s="232"/>
      <c r="AA1194" s="232"/>
      <c r="AB1194" s="232"/>
      <c r="AC1194" s="232"/>
      <c r="AD1194" s="232"/>
      <c r="AE1194" s="232"/>
      <c r="AF1194" s="232"/>
      <c r="AG1194" s="208"/>
      <c r="AH1194" s="208"/>
      <c r="AI1194" s="208"/>
      <c r="AJ1194" s="208"/>
      <c r="AK1194" s="208"/>
    </row>
    <row r="1195">
      <c r="A1195" s="208"/>
      <c r="B1195" s="208"/>
      <c r="C1195" s="208"/>
      <c r="D1195" s="208"/>
      <c r="E1195" s="208"/>
      <c r="F1195" s="208"/>
      <c r="G1195" s="208"/>
      <c r="H1195" s="232"/>
      <c r="I1195" s="233"/>
      <c r="J1195" s="208"/>
      <c r="K1195" s="208"/>
      <c r="L1195" s="208"/>
      <c r="M1195" s="208"/>
      <c r="N1195" s="208"/>
      <c r="O1195" s="208"/>
      <c r="P1195" s="208"/>
      <c r="Q1195" s="208"/>
      <c r="R1195" s="208"/>
      <c r="S1195" s="208"/>
      <c r="T1195" s="208"/>
      <c r="U1195" s="208"/>
      <c r="V1195" s="234"/>
      <c r="W1195" s="232"/>
      <c r="X1195" s="232"/>
      <c r="Y1195" s="232"/>
      <c r="Z1195" s="232"/>
      <c r="AA1195" s="232"/>
      <c r="AB1195" s="232"/>
      <c r="AC1195" s="232"/>
      <c r="AD1195" s="232"/>
      <c r="AE1195" s="232"/>
      <c r="AF1195" s="232"/>
      <c r="AG1195" s="208"/>
      <c r="AH1195" s="208"/>
      <c r="AI1195" s="208"/>
      <c r="AJ1195" s="208"/>
      <c r="AK1195" s="208"/>
    </row>
    <row r="1196">
      <c r="A1196" s="208"/>
      <c r="B1196" s="208"/>
      <c r="C1196" s="208"/>
      <c r="D1196" s="208"/>
      <c r="E1196" s="208"/>
      <c r="F1196" s="208"/>
      <c r="G1196" s="208"/>
      <c r="H1196" s="232"/>
      <c r="I1196" s="233"/>
      <c r="J1196" s="208"/>
      <c r="K1196" s="208"/>
      <c r="L1196" s="208"/>
      <c r="M1196" s="208"/>
      <c r="N1196" s="208"/>
      <c r="O1196" s="208"/>
      <c r="P1196" s="208"/>
      <c r="Q1196" s="208"/>
      <c r="R1196" s="208"/>
      <c r="S1196" s="208"/>
      <c r="T1196" s="208"/>
      <c r="U1196" s="208"/>
      <c r="V1196" s="234"/>
      <c r="W1196" s="232"/>
      <c r="X1196" s="232"/>
      <c r="Y1196" s="232"/>
      <c r="Z1196" s="232"/>
      <c r="AA1196" s="232"/>
      <c r="AB1196" s="232"/>
      <c r="AC1196" s="232"/>
      <c r="AD1196" s="232"/>
      <c r="AE1196" s="232"/>
      <c r="AF1196" s="232"/>
      <c r="AG1196" s="208"/>
      <c r="AH1196" s="208"/>
      <c r="AI1196" s="208"/>
      <c r="AJ1196" s="208"/>
      <c r="AK1196" s="208"/>
    </row>
    <row r="1197">
      <c r="A1197" s="208"/>
      <c r="B1197" s="208"/>
      <c r="C1197" s="208"/>
      <c r="D1197" s="208"/>
      <c r="E1197" s="208"/>
      <c r="F1197" s="208"/>
      <c r="G1197" s="208"/>
      <c r="H1197" s="232"/>
      <c r="I1197" s="233"/>
      <c r="J1197" s="208"/>
      <c r="K1197" s="208"/>
      <c r="L1197" s="208"/>
      <c r="M1197" s="208"/>
      <c r="N1197" s="208"/>
      <c r="O1197" s="208"/>
      <c r="P1197" s="208"/>
      <c r="Q1197" s="208"/>
      <c r="R1197" s="208"/>
      <c r="S1197" s="208"/>
      <c r="T1197" s="208"/>
      <c r="U1197" s="208"/>
      <c r="V1197" s="234"/>
      <c r="W1197" s="232"/>
      <c r="X1197" s="232"/>
      <c r="Y1197" s="232"/>
      <c r="Z1197" s="232"/>
      <c r="AA1197" s="232"/>
      <c r="AB1197" s="232"/>
      <c r="AC1197" s="232"/>
      <c r="AD1197" s="232"/>
      <c r="AE1197" s="232"/>
      <c r="AF1197" s="232"/>
      <c r="AG1197" s="208"/>
      <c r="AH1197" s="208"/>
      <c r="AI1197" s="208"/>
      <c r="AJ1197" s="208"/>
      <c r="AK1197" s="208"/>
    </row>
    <row r="1198">
      <c r="A1198" s="208"/>
      <c r="B1198" s="208"/>
      <c r="C1198" s="208"/>
      <c r="D1198" s="208"/>
      <c r="E1198" s="208"/>
      <c r="F1198" s="208"/>
      <c r="G1198" s="208"/>
      <c r="H1198" s="232"/>
      <c r="I1198" s="233"/>
      <c r="J1198" s="208"/>
      <c r="K1198" s="208"/>
      <c r="L1198" s="208"/>
      <c r="M1198" s="208"/>
      <c r="N1198" s="208"/>
      <c r="O1198" s="208"/>
      <c r="P1198" s="208"/>
      <c r="Q1198" s="208"/>
      <c r="R1198" s="208"/>
      <c r="S1198" s="208"/>
      <c r="T1198" s="208"/>
      <c r="U1198" s="208"/>
      <c r="V1198" s="234"/>
      <c r="W1198" s="232"/>
      <c r="X1198" s="232"/>
      <c r="Y1198" s="232"/>
      <c r="Z1198" s="232"/>
      <c r="AA1198" s="232"/>
      <c r="AB1198" s="232"/>
      <c r="AC1198" s="232"/>
      <c r="AD1198" s="232"/>
      <c r="AE1198" s="232"/>
      <c r="AF1198" s="232"/>
      <c r="AG1198" s="208"/>
      <c r="AH1198" s="208"/>
      <c r="AI1198" s="208"/>
      <c r="AJ1198" s="208"/>
      <c r="AK1198" s="208"/>
    </row>
    <row r="1199">
      <c r="A1199" s="208"/>
      <c r="B1199" s="208"/>
      <c r="C1199" s="208"/>
      <c r="D1199" s="208"/>
      <c r="E1199" s="208"/>
      <c r="F1199" s="208"/>
      <c r="G1199" s="208"/>
      <c r="H1199" s="232"/>
      <c r="I1199" s="233"/>
      <c r="J1199" s="208"/>
      <c r="K1199" s="208"/>
      <c r="L1199" s="208"/>
      <c r="M1199" s="208"/>
      <c r="N1199" s="208"/>
      <c r="O1199" s="208"/>
      <c r="P1199" s="208"/>
      <c r="Q1199" s="208"/>
      <c r="R1199" s="208"/>
      <c r="S1199" s="208"/>
      <c r="T1199" s="208"/>
      <c r="U1199" s="208"/>
      <c r="V1199" s="234"/>
      <c r="W1199" s="232"/>
      <c r="X1199" s="232"/>
      <c r="Y1199" s="232"/>
      <c r="Z1199" s="232"/>
      <c r="AA1199" s="232"/>
      <c r="AB1199" s="232"/>
      <c r="AC1199" s="232"/>
      <c r="AD1199" s="232"/>
      <c r="AE1199" s="232"/>
      <c r="AF1199" s="232"/>
      <c r="AG1199" s="208"/>
      <c r="AH1199" s="208"/>
      <c r="AI1199" s="208"/>
      <c r="AJ1199" s="208"/>
      <c r="AK1199" s="208"/>
    </row>
    <row r="1200">
      <c r="A1200" s="208"/>
      <c r="B1200" s="208"/>
      <c r="C1200" s="208"/>
      <c r="D1200" s="208"/>
      <c r="E1200" s="208"/>
      <c r="F1200" s="208"/>
      <c r="G1200" s="208"/>
      <c r="H1200" s="232"/>
      <c r="I1200" s="233"/>
      <c r="J1200" s="208"/>
      <c r="K1200" s="208"/>
      <c r="L1200" s="208"/>
      <c r="M1200" s="208"/>
      <c r="N1200" s="208"/>
      <c r="O1200" s="208"/>
      <c r="P1200" s="208"/>
      <c r="Q1200" s="208"/>
      <c r="R1200" s="208"/>
      <c r="S1200" s="208"/>
      <c r="T1200" s="208"/>
      <c r="U1200" s="208"/>
      <c r="V1200" s="234"/>
      <c r="W1200" s="232"/>
      <c r="X1200" s="232"/>
      <c r="Y1200" s="232"/>
      <c r="Z1200" s="232"/>
      <c r="AA1200" s="232"/>
      <c r="AB1200" s="232"/>
      <c r="AC1200" s="232"/>
      <c r="AD1200" s="232"/>
      <c r="AE1200" s="232"/>
      <c r="AF1200" s="232"/>
      <c r="AG1200" s="208"/>
      <c r="AH1200" s="208"/>
      <c r="AI1200" s="208"/>
      <c r="AJ1200" s="208"/>
      <c r="AK1200" s="208"/>
    </row>
    <row r="1201">
      <c r="A1201" s="208"/>
      <c r="B1201" s="208"/>
      <c r="C1201" s="208"/>
      <c r="D1201" s="208"/>
      <c r="E1201" s="208"/>
      <c r="F1201" s="208"/>
      <c r="G1201" s="208"/>
      <c r="H1201" s="232"/>
      <c r="I1201" s="233"/>
      <c r="J1201" s="208"/>
      <c r="K1201" s="208"/>
      <c r="L1201" s="208"/>
      <c r="M1201" s="208"/>
      <c r="N1201" s="208"/>
      <c r="O1201" s="208"/>
      <c r="P1201" s="208"/>
      <c r="Q1201" s="208"/>
      <c r="R1201" s="208"/>
      <c r="S1201" s="208"/>
      <c r="T1201" s="208"/>
      <c r="U1201" s="208"/>
      <c r="V1201" s="234"/>
      <c r="W1201" s="232"/>
      <c r="X1201" s="232"/>
      <c r="Y1201" s="232"/>
      <c r="Z1201" s="232"/>
      <c r="AA1201" s="232"/>
      <c r="AB1201" s="232"/>
      <c r="AC1201" s="232"/>
      <c r="AD1201" s="232"/>
      <c r="AE1201" s="232"/>
      <c r="AF1201" s="232"/>
      <c r="AG1201" s="208"/>
      <c r="AH1201" s="208"/>
      <c r="AI1201" s="208"/>
      <c r="AJ1201" s="208"/>
      <c r="AK1201" s="208"/>
    </row>
    <row r="1202">
      <c r="A1202" s="208"/>
      <c r="B1202" s="208"/>
      <c r="C1202" s="208"/>
      <c r="D1202" s="208"/>
      <c r="E1202" s="208"/>
      <c r="F1202" s="208"/>
      <c r="G1202" s="208"/>
      <c r="H1202" s="232"/>
      <c r="I1202" s="233"/>
      <c r="J1202" s="208"/>
      <c r="K1202" s="208"/>
      <c r="L1202" s="208"/>
      <c r="M1202" s="208"/>
      <c r="N1202" s="208"/>
      <c r="O1202" s="208"/>
      <c r="P1202" s="208"/>
      <c r="Q1202" s="208"/>
      <c r="R1202" s="208"/>
      <c r="S1202" s="208"/>
      <c r="T1202" s="208"/>
      <c r="U1202" s="208"/>
      <c r="V1202" s="234"/>
      <c r="W1202" s="232"/>
      <c r="X1202" s="232"/>
      <c r="Y1202" s="232"/>
      <c r="Z1202" s="232"/>
      <c r="AA1202" s="232"/>
      <c r="AB1202" s="232"/>
      <c r="AC1202" s="232"/>
      <c r="AD1202" s="232"/>
      <c r="AE1202" s="232"/>
      <c r="AF1202" s="232"/>
      <c r="AG1202" s="208"/>
      <c r="AH1202" s="208"/>
      <c r="AI1202" s="208"/>
      <c r="AJ1202" s="208"/>
      <c r="AK1202" s="208"/>
    </row>
    <row r="1203">
      <c r="A1203" s="208"/>
      <c r="B1203" s="208"/>
      <c r="C1203" s="208"/>
      <c r="D1203" s="208"/>
      <c r="E1203" s="208"/>
      <c r="F1203" s="208"/>
      <c r="G1203" s="208"/>
      <c r="H1203" s="232"/>
      <c r="I1203" s="233"/>
      <c r="J1203" s="208"/>
      <c r="K1203" s="208"/>
      <c r="L1203" s="208"/>
      <c r="M1203" s="208"/>
      <c r="N1203" s="208"/>
      <c r="O1203" s="208"/>
      <c r="P1203" s="208"/>
      <c r="Q1203" s="208"/>
      <c r="R1203" s="208"/>
      <c r="S1203" s="208"/>
      <c r="T1203" s="208"/>
      <c r="U1203" s="208"/>
      <c r="V1203" s="234"/>
      <c r="W1203" s="232"/>
      <c r="X1203" s="232"/>
      <c r="Y1203" s="232"/>
      <c r="Z1203" s="232"/>
      <c r="AA1203" s="232"/>
      <c r="AB1203" s="232"/>
      <c r="AC1203" s="232"/>
      <c r="AD1203" s="232"/>
      <c r="AE1203" s="232"/>
      <c r="AF1203" s="232"/>
      <c r="AG1203" s="208"/>
      <c r="AH1203" s="208"/>
      <c r="AI1203" s="208"/>
      <c r="AJ1203" s="208"/>
      <c r="AK1203" s="208"/>
    </row>
    <row r="1204">
      <c r="A1204" s="208"/>
      <c r="B1204" s="208"/>
      <c r="C1204" s="208"/>
      <c r="D1204" s="208"/>
      <c r="E1204" s="208"/>
      <c r="F1204" s="208"/>
      <c r="G1204" s="208"/>
      <c r="H1204" s="232"/>
      <c r="I1204" s="233"/>
      <c r="J1204" s="208"/>
      <c r="K1204" s="208"/>
      <c r="L1204" s="208"/>
      <c r="M1204" s="208"/>
      <c r="N1204" s="208"/>
      <c r="O1204" s="208"/>
      <c r="P1204" s="208"/>
      <c r="Q1204" s="208"/>
      <c r="R1204" s="208"/>
      <c r="S1204" s="208"/>
      <c r="T1204" s="208"/>
      <c r="U1204" s="208"/>
      <c r="V1204" s="234"/>
      <c r="W1204" s="232"/>
      <c r="X1204" s="232"/>
      <c r="Y1204" s="232"/>
      <c r="Z1204" s="232"/>
      <c r="AA1204" s="232"/>
      <c r="AB1204" s="232"/>
      <c r="AC1204" s="232"/>
      <c r="AD1204" s="232"/>
      <c r="AE1204" s="232"/>
      <c r="AF1204" s="232"/>
      <c r="AG1204" s="208"/>
      <c r="AH1204" s="208"/>
      <c r="AI1204" s="208"/>
      <c r="AJ1204" s="208"/>
      <c r="AK1204" s="208"/>
    </row>
    <row r="1205">
      <c r="A1205" s="208"/>
      <c r="B1205" s="208"/>
      <c r="C1205" s="208"/>
      <c r="D1205" s="208"/>
      <c r="E1205" s="208"/>
      <c r="F1205" s="208"/>
      <c r="G1205" s="208"/>
      <c r="H1205" s="232"/>
      <c r="I1205" s="233"/>
      <c r="J1205" s="208"/>
      <c r="K1205" s="208"/>
      <c r="L1205" s="208"/>
      <c r="M1205" s="208"/>
      <c r="N1205" s="208"/>
      <c r="O1205" s="208"/>
      <c r="P1205" s="208"/>
      <c r="Q1205" s="208"/>
      <c r="R1205" s="208"/>
      <c r="S1205" s="208"/>
      <c r="T1205" s="208"/>
      <c r="U1205" s="208"/>
      <c r="V1205" s="234"/>
      <c r="W1205" s="232"/>
      <c r="X1205" s="232"/>
      <c r="Y1205" s="232"/>
      <c r="Z1205" s="232"/>
      <c r="AA1205" s="232"/>
      <c r="AB1205" s="232"/>
      <c r="AC1205" s="232"/>
      <c r="AD1205" s="232"/>
      <c r="AE1205" s="232"/>
      <c r="AF1205" s="232"/>
      <c r="AG1205" s="208"/>
      <c r="AH1205" s="208"/>
      <c r="AI1205" s="208"/>
      <c r="AJ1205" s="208"/>
      <c r="AK1205" s="208"/>
    </row>
    <row r="1206">
      <c r="A1206" s="208"/>
      <c r="B1206" s="208"/>
      <c r="C1206" s="208"/>
      <c r="D1206" s="208"/>
      <c r="E1206" s="208"/>
      <c r="F1206" s="208"/>
      <c r="G1206" s="208"/>
      <c r="H1206" s="232"/>
      <c r="I1206" s="233"/>
      <c r="J1206" s="208"/>
      <c r="K1206" s="208"/>
      <c r="L1206" s="208"/>
      <c r="M1206" s="208"/>
      <c r="N1206" s="208"/>
      <c r="O1206" s="208"/>
      <c r="P1206" s="208"/>
      <c r="Q1206" s="208"/>
      <c r="R1206" s="208"/>
      <c r="S1206" s="208"/>
      <c r="T1206" s="208"/>
      <c r="U1206" s="208"/>
      <c r="V1206" s="234"/>
      <c r="W1206" s="232"/>
      <c r="X1206" s="232"/>
      <c r="Y1206" s="232"/>
      <c r="Z1206" s="232"/>
      <c r="AA1206" s="232"/>
      <c r="AB1206" s="232"/>
      <c r="AC1206" s="232"/>
      <c r="AD1206" s="232"/>
      <c r="AE1206" s="232"/>
      <c r="AF1206" s="232"/>
      <c r="AG1206" s="208"/>
      <c r="AH1206" s="208"/>
      <c r="AI1206" s="208"/>
      <c r="AJ1206" s="208"/>
      <c r="AK1206" s="208"/>
    </row>
    <row r="1207">
      <c r="A1207" s="208"/>
      <c r="B1207" s="208"/>
      <c r="C1207" s="208"/>
      <c r="D1207" s="208"/>
      <c r="E1207" s="208"/>
      <c r="F1207" s="208"/>
      <c r="G1207" s="208"/>
      <c r="H1207" s="232"/>
      <c r="I1207" s="233"/>
      <c r="J1207" s="208"/>
      <c r="K1207" s="208"/>
      <c r="L1207" s="208"/>
      <c r="M1207" s="208"/>
      <c r="N1207" s="208"/>
      <c r="O1207" s="208"/>
      <c r="P1207" s="208"/>
      <c r="Q1207" s="208"/>
      <c r="R1207" s="208"/>
      <c r="S1207" s="208"/>
      <c r="T1207" s="208"/>
      <c r="U1207" s="208"/>
      <c r="V1207" s="234"/>
      <c r="W1207" s="232"/>
      <c r="X1207" s="232"/>
      <c r="Y1207" s="232"/>
      <c r="Z1207" s="232"/>
      <c r="AA1207" s="232"/>
      <c r="AB1207" s="232"/>
      <c r="AC1207" s="232"/>
      <c r="AD1207" s="232"/>
      <c r="AE1207" s="232"/>
      <c r="AF1207" s="232"/>
      <c r="AG1207" s="208"/>
      <c r="AH1207" s="208"/>
      <c r="AI1207" s="208"/>
      <c r="AJ1207" s="208"/>
      <c r="AK1207" s="208"/>
    </row>
    <row r="1208">
      <c r="A1208" s="208"/>
      <c r="B1208" s="208"/>
      <c r="C1208" s="208"/>
      <c r="D1208" s="208"/>
      <c r="E1208" s="208"/>
      <c r="F1208" s="208"/>
      <c r="G1208" s="208"/>
      <c r="H1208" s="232"/>
      <c r="I1208" s="233"/>
      <c r="J1208" s="208"/>
      <c r="K1208" s="208"/>
      <c r="L1208" s="208"/>
      <c r="M1208" s="208"/>
      <c r="N1208" s="208"/>
      <c r="O1208" s="208"/>
      <c r="P1208" s="208"/>
      <c r="Q1208" s="208"/>
      <c r="R1208" s="208"/>
      <c r="S1208" s="208"/>
      <c r="T1208" s="208"/>
      <c r="U1208" s="208"/>
      <c r="V1208" s="234"/>
      <c r="W1208" s="232"/>
      <c r="X1208" s="232"/>
      <c r="Y1208" s="232"/>
      <c r="Z1208" s="232"/>
      <c r="AA1208" s="232"/>
      <c r="AB1208" s="232"/>
      <c r="AC1208" s="232"/>
      <c r="AD1208" s="232"/>
      <c r="AE1208" s="232"/>
      <c r="AF1208" s="232"/>
      <c r="AG1208" s="208"/>
      <c r="AH1208" s="208"/>
      <c r="AI1208" s="208"/>
      <c r="AJ1208" s="208"/>
      <c r="AK1208" s="208"/>
    </row>
    <row r="1209">
      <c r="A1209" s="208"/>
      <c r="B1209" s="208"/>
      <c r="C1209" s="208"/>
      <c r="D1209" s="208"/>
      <c r="E1209" s="208"/>
      <c r="F1209" s="208"/>
      <c r="G1209" s="208"/>
      <c r="H1209" s="232"/>
      <c r="I1209" s="233"/>
      <c r="J1209" s="208"/>
      <c r="K1209" s="208"/>
      <c r="L1209" s="208"/>
      <c r="M1209" s="208"/>
      <c r="N1209" s="208"/>
      <c r="O1209" s="208"/>
      <c r="P1209" s="208"/>
      <c r="Q1209" s="208"/>
      <c r="R1209" s="208"/>
      <c r="S1209" s="208"/>
      <c r="T1209" s="208"/>
      <c r="U1209" s="208"/>
      <c r="V1209" s="234"/>
      <c r="W1209" s="232"/>
      <c r="X1209" s="232"/>
      <c r="Y1209" s="232"/>
      <c r="Z1209" s="232"/>
      <c r="AA1209" s="232"/>
      <c r="AB1209" s="232"/>
      <c r="AC1209" s="232"/>
      <c r="AD1209" s="232"/>
      <c r="AE1209" s="232"/>
      <c r="AF1209" s="232"/>
      <c r="AG1209" s="208"/>
      <c r="AH1209" s="208"/>
      <c r="AI1209" s="208"/>
      <c r="AJ1209" s="208"/>
      <c r="AK1209" s="208"/>
    </row>
    <row r="1210">
      <c r="A1210" s="208"/>
      <c r="B1210" s="208"/>
      <c r="C1210" s="208"/>
      <c r="D1210" s="208"/>
      <c r="E1210" s="208"/>
      <c r="F1210" s="208"/>
      <c r="G1210" s="208"/>
      <c r="H1210" s="232"/>
      <c r="I1210" s="233"/>
      <c r="J1210" s="208"/>
      <c r="K1210" s="208"/>
      <c r="L1210" s="208"/>
      <c r="M1210" s="208"/>
      <c r="N1210" s="208"/>
      <c r="O1210" s="208"/>
      <c r="P1210" s="208"/>
      <c r="Q1210" s="208"/>
      <c r="R1210" s="208"/>
      <c r="S1210" s="208"/>
      <c r="T1210" s="208"/>
      <c r="U1210" s="208"/>
      <c r="V1210" s="234"/>
      <c r="W1210" s="232"/>
      <c r="X1210" s="232"/>
      <c r="Y1210" s="232"/>
      <c r="Z1210" s="232"/>
      <c r="AA1210" s="232"/>
      <c r="AB1210" s="232"/>
      <c r="AC1210" s="232"/>
      <c r="AD1210" s="232"/>
      <c r="AE1210" s="232"/>
      <c r="AF1210" s="232"/>
      <c r="AG1210" s="208"/>
      <c r="AH1210" s="208"/>
      <c r="AI1210" s="208"/>
      <c r="AJ1210" s="208"/>
      <c r="AK1210" s="208"/>
    </row>
    <row r="1211">
      <c r="A1211" s="208"/>
      <c r="B1211" s="208"/>
      <c r="C1211" s="208"/>
      <c r="D1211" s="208"/>
      <c r="E1211" s="208"/>
      <c r="F1211" s="208"/>
      <c r="G1211" s="208"/>
      <c r="H1211" s="232"/>
      <c r="I1211" s="233"/>
      <c r="J1211" s="208"/>
      <c r="K1211" s="208"/>
      <c r="L1211" s="208"/>
      <c r="M1211" s="208"/>
      <c r="N1211" s="208"/>
      <c r="O1211" s="208"/>
      <c r="P1211" s="208"/>
      <c r="Q1211" s="208"/>
      <c r="R1211" s="208"/>
      <c r="S1211" s="208"/>
      <c r="T1211" s="208"/>
      <c r="U1211" s="208"/>
      <c r="V1211" s="234"/>
      <c r="W1211" s="232"/>
      <c r="X1211" s="232"/>
      <c r="Y1211" s="232"/>
      <c r="Z1211" s="232"/>
      <c r="AA1211" s="232"/>
      <c r="AB1211" s="232"/>
      <c r="AC1211" s="232"/>
      <c r="AD1211" s="232"/>
      <c r="AE1211" s="232"/>
      <c r="AF1211" s="232"/>
      <c r="AG1211" s="208"/>
      <c r="AH1211" s="208"/>
      <c r="AI1211" s="208"/>
      <c r="AJ1211" s="208"/>
      <c r="AK1211" s="208"/>
    </row>
    <row r="1212">
      <c r="A1212" s="208"/>
      <c r="B1212" s="208"/>
      <c r="C1212" s="208"/>
      <c r="D1212" s="208"/>
      <c r="E1212" s="208"/>
      <c r="F1212" s="208"/>
      <c r="G1212" s="208"/>
      <c r="H1212" s="232"/>
      <c r="I1212" s="233"/>
      <c r="J1212" s="208"/>
      <c r="K1212" s="208"/>
      <c r="L1212" s="208"/>
      <c r="M1212" s="208"/>
      <c r="N1212" s="208"/>
      <c r="O1212" s="208"/>
      <c r="P1212" s="208"/>
      <c r="Q1212" s="208"/>
      <c r="R1212" s="208"/>
      <c r="S1212" s="208"/>
      <c r="T1212" s="208"/>
      <c r="U1212" s="208"/>
      <c r="V1212" s="234"/>
      <c r="W1212" s="232"/>
      <c r="X1212" s="232"/>
      <c r="Y1212" s="232"/>
      <c r="Z1212" s="232"/>
      <c r="AA1212" s="232"/>
      <c r="AB1212" s="232"/>
      <c r="AC1212" s="232"/>
      <c r="AD1212" s="232"/>
      <c r="AE1212" s="232"/>
      <c r="AF1212" s="232"/>
      <c r="AG1212" s="208"/>
      <c r="AH1212" s="208"/>
      <c r="AI1212" s="208"/>
      <c r="AJ1212" s="208"/>
      <c r="AK1212" s="208"/>
    </row>
    <row r="1213">
      <c r="A1213" s="208"/>
      <c r="B1213" s="208"/>
      <c r="C1213" s="208"/>
      <c r="D1213" s="208"/>
      <c r="E1213" s="208"/>
      <c r="F1213" s="208"/>
      <c r="G1213" s="208"/>
      <c r="H1213" s="232"/>
      <c r="I1213" s="233"/>
      <c r="J1213" s="208"/>
      <c r="K1213" s="208"/>
      <c r="L1213" s="208"/>
      <c r="M1213" s="208"/>
      <c r="N1213" s="208"/>
      <c r="O1213" s="208"/>
      <c r="P1213" s="208"/>
      <c r="Q1213" s="208"/>
      <c r="R1213" s="208"/>
      <c r="S1213" s="208"/>
      <c r="T1213" s="208"/>
      <c r="U1213" s="208"/>
      <c r="V1213" s="234"/>
      <c r="W1213" s="232"/>
      <c r="X1213" s="232"/>
      <c r="Y1213" s="232"/>
      <c r="Z1213" s="232"/>
      <c r="AA1213" s="232"/>
      <c r="AB1213" s="232"/>
      <c r="AC1213" s="232"/>
      <c r="AD1213" s="232"/>
      <c r="AE1213" s="232"/>
      <c r="AF1213" s="232"/>
      <c r="AG1213" s="208"/>
      <c r="AH1213" s="208"/>
      <c r="AI1213" s="208"/>
      <c r="AJ1213" s="208"/>
      <c r="AK1213" s="208"/>
    </row>
    <row r="1214">
      <c r="A1214" s="208"/>
      <c r="B1214" s="208"/>
      <c r="C1214" s="208"/>
      <c r="D1214" s="208"/>
      <c r="E1214" s="208"/>
      <c r="F1214" s="208"/>
      <c r="G1214" s="208"/>
      <c r="H1214" s="232"/>
      <c r="I1214" s="233"/>
      <c r="J1214" s="208"/>
      <c r="K1214" s="208"/>
      <c r="L1214" s="208"/>
      <c r="M1214" s="208"/>
      <c r="N1214" s="208"/>
      <c r="O1214" s="208"/>
      <c r="P1214" s="208"/>
      <c r="Q1214" s="208"/>
      <c r="R1214" s="208"/>
      <c r="S1214" s="208"/>
      <c r="T1214" s="208"/>
      <c r="U1214" s="208"/>
      <c r="V1214" s="234"/>
      <c r="W1214" s="232"/>
      <c r="X1214" s="232"/>
      <c r="Y1214" s="232"/>
      <c r="Z1214" s="232"/>
      <c r="AA1214" s="232"/>
      <c r="AB1214" s="232"/>
      <c r="AC1214" s="232"/>
      <c r="AD1214" s="232"/>
      <c r="AE1214" s="232"/>
      <c r="AF1214" s="232"/>
      <c r="AG1214" s="208"/>
      <c r="AH1214" s="208"/>
      <c r="AI1214" s="208"/>
      <c r="AJ1214" s="208"/>
      <c r="AK1214" s="208"/>
    </row>
    <row r="1215">
      <c r="A1215" s="208"/>
      <c r="B1215" s="208"/>
      <c r="C1215" s="208"/>
      <c r="D1215" s="208"/>
      <c r="E1215" s="208"/>
      <c r="F1215" s="208"/>
      <c r="G1215" s="208"/>
      <c r="H1215" s="232"/>
      <c r="I1215" s="233"/>
      <c r="J1215" s="208"/>
      <c r="K1215" s="208"/>
      <c r="L1215" s="208"/>
      <c r="M1215" s="208"/>
      <c r="N1215" s="208"/>
      <c r="O1215" s="208"/>
      <c r="P1215" s="208"/>
      <c r="Q1215" s="208"/>
      <c r="R1215" s="208"/>
      <c r="S1215" s="208"/>
      <c r="T1215" s="208"/>
      <c r="U1215" s="208"/>
      <c r="V1215" s="234"/>
      <c r="W1215" s="232"/>
      <c r="X1215" s="232"/>
      <c r="Y1215" s="232"/>
      <c r="Z1215" s="232"/>
      <c r="AA1215" s="232"/>
      <c r="AB1215" s="232"/>
      <c r="AC1215" s="232"/>
      <c r="AD1215" s="232"/>
      <c r="AE1215" s="232"/>
      <c r="AF1215" s="232"/>
      <c r="AG1215" s="208"/>
      <c r="AH1215" s="208"/>
      <c r="AI1215" s="208"/>
      <c r="AJ1215" s="208"/>
      <c r="AK1215" s="208"/>
    </row>
    <row r="1216">
      <c r="A1216" s="208"/>
      <c r="B1216" s="208"/>
      <c r="C1216" s="208"/>
      <c r="D1216" s="208"/>
      <c r="E1216" s="208"/>
      <c r="F1216" s="208"/>
      <c r="G1216" s="208"/>
      <c r="H1216" s="232"/>
      <c r="I1216" s="233"/>
      <c r="J1216" s="208"/>
      <c r="K1216" s="208"/>
      <c r="L1216" s="208"/>
      <c r="M1216" s="208"/>
      <c r="N1216" s="208"/>
      <c r="O1216" s="208"/>
      <c r="P1216" s="208"/>
      <c r="Q1216" s="208"/>
      <c r="R1216" s="208"/>
      <c r="S1216" s="208"/>
      <c r="T1216" s="208"/>
      <c r="U1216" s="208"/>
      <c r="V1216" s="234"/>
      <c r="W1216" s="232"/>
      <c r="X1216" s="232"/>
      <c r="Y1216" s="232"/>
      <c r="Z1216" s="232"/>
      <c r="AA1216" s="232"/>
      <c r="AB1216" s="232"/>
      <c r="AC1216" s="232"/>
      <c r="AD1216" s="232"/>
      <c r="AE1216" s="232"/>
      <c r="AF1216" s="232"/>
      <c r="AG1216" s="208"/>
      <c r="AH1216" s="208"/>
      <c r="AI1216" s="208"/>
      <c r="AJ1216" s="208"/>
      <c r="AK1216" s="208"/>
    </row>
    <row r="1217">
      <c r="A1217" s="208"/>
      <c r="B1217" s="208"/>
      <c r="C1217" s="208"/>
      <c r="D1217" s="208"/>
      <c r="E1217" s="208"/>
      <c r="F1217" s="208"/>
      <c r="G1217" s="208"/>
      <c r="H1217" s="232"/>
      <c r="I1217" s="233"/>
      <c r="J1217" s="208"/>
      <c r="K1217" s="208"/>
      <c r="L1217" s="208"/>
      <c r="M1217" s="208"/>
      <c r="N1217" s="208"/>
      <c r="O1217" s="208"/>
      <c r="P1217" s="208"/>
      <c r="Q1217" s="208"/>
      <c r="R1217" s="208"/>
      <c r="S1217" s="208"/>
      <c r="T1217" s="208"/>
      <c r="U1217" s="208"/>
      <c r="V1217" s="234"/>
      <c r="W1217" s="232"/>
      <c r="X1217" s="232"/>
      <c r="Y1217" s="232"/>
      <c r="Z1217" s="232"/>
      <c r="AA1217" s="232"/>
      <c r="AB1217" s="232"/>
      <c r="AC1217" s="232"/>
      <c r="AD1217" s="232"/>
      <c r="AE1217" s="232"/>
      <c r="AF1217" s="232"/>
      <c r="AG1217" s="208"/>
      <c r="AH1217" s="208"/>
      <c r="AI1217" s="208"/>
      <c r="AJ1217" s="208"/>
      <c r="AK1217" s="208"/>
    </row>
    <row r="1218">
      <c r="A1218" s="208"/>
      <c r="B1218" s="208"/>
      <c r="C1218" s="208"/>
      <c r="D1218" s="208"/>
      <c r="E1218" s="208"/>
      <c r="F1218" s="208"/>
      <c r="G1218" s="208"/>
      <c r="H1218" s="232"/>
      <c r="I1218" s="233"/>
      <c r="J1218" s="208"/>
      <c r="K1218" s="208"/>
      <c r="L1218" s="208"/>
      <c r="M1218" s="208"/>
      <c r="N1218" s="208"/>
      <c r="O1218" s="208"/>
      <c r="P1218" s="208"/>
      <c r="Q1218" s="208"/>
      <c r="R1218" s="208"/>
      <c r="S1218" s="208"/>
      <c r="T1218" s="208"/>
      <c r="U1218" s="208"/>
      <c r="V1218" s="234"/>
      <c r="W1218" s="232"/>
      <c r="X1218" s="232"/>
      <c r="Y1218" s="232"/>
      <c r="Z1218" s="232"/>
      <c r="AA1218" s="232"/>
      <c r="AB1218" s="232"/>
      <c r="AC1218" s="232"/>
      <c r="AD1218" s="232"/>
      <c r="AE1218" s="232"/>
      <c r="AF1218" s="232"/>
      <c r="AG1218" s="208"/>
      <c r="AH1218" s="208"/>
      <c r="AI1218" s="208"/>
      <c r="AJ1218" s="208"/>
      <c r="AK1218" s="208"/>
    </row>
    <row r="1219">
      <c r="A1219" s="208"/>
      <c r="B1219" s="208"/>
      <c r="C1219" s="208"/>
      <c r="D1219" s="208"/>
      <c r="E1219" s="208"/>
      <c r="F1219" s="208"/>
      <c r="G1219" s="208"/>
      <c r="H1219" s="232"/>
      <c r="I1219" s="233"/>
      <c r="J1219" s="208"/>
      <c r="K1219" s="208"/>
      <c r="L1219" s="208"/>
      <c r="M1219" s="208"/>
      <c r="N1219" s="208"/>
      <c r="O1219" s="208"/>
      <c r="P1219" s="208"/>
      <c r="Q1219" s="208"/>
      <c r="R1219" s="208"/>
      <c r="S1219" s="208"/>
      <c r="T1219" s="208"/>
      <c r="U1219" s="208"/>
      <c r="V1219" s="234"/>
      <c r="W1219" s="232"/>
      <c r="X1219" s="232"/>
      <c r="Y1219" s="232"/>
      <c r="Z1219" s="232"/>
      <c r="AA1219" s="232"/>
      <c r="AB1219" s="232"/>
      <c r="AC1219" s="232"/>
      <c r="AD1219" s="232"/>
      <c r="AE1219" s="232"/>
      <c r="AF1219" s="232"/>
      <c r="AG1219" s="208"/>
      <c r="AH1219" s="208"/>
      <c r="AI1219" s="208"/>
      <c r="AJ1219" s="208"/>
      <c r="AK1219" s="208"/>
    </row>
    <row r="1220">
      <c r="A1220" s="208"/>
      <c r="B1220" s="208"/>
      <c r="C1220" s="208"/>
      <c r="D1220" s="208"/>
      <c r="E1220" s="208"/>
      <c r="F1220" s="208"/>
      <c r="G1220" s="208"/>
      <c r="H1220" s="232"/>
      <c r="I1220" s="233"/>
      <c r="J1220" s="208"/>
      <c r="K1220" s="208"/>
      <c r="L1220" s="208"/>
      <c r="M1220" s="208"/>
      <c r="N1220" s="208"/>
      <c r="O1220" s="208"/>
      <c r="P1220" s="208"/>
      <c r="Q1220" s="208"/>
      <c r="R1220" s="208"/>
      <c r="S1220" s="208"/>
      <c r="T1220" s="208"/>
      <c r="U1220" s="208"/>
      <c r="V1220" s="234"/>
      <c r="W1220" s="232"/>
      <c r="X1220" s="232"/>
      <c r="Y1220" s="232"/>
      <c r="Z1220" s="232"/>
      <c r="AA1220" s="232"/>
      <c r="AB1220" s="232"/>
      <c r="AC1220" s="232"/>
      <c r="AD1220" s="232"/>
      <c r="AE1220" s="232"/>
      <c r="AF1220" s="232"/>
      <c r="AG1220" s="208"/>
      <c r="AH1220" s="208"/>
      <c r="AI1220" s="208"/>
      <c r="AJ1220" s="208"/>
      <c r="AK1220" s="208"/>
    </row>
    <row r="1221">
      <c r="A1221" s="208"/>
      <c r="B1221" s="208"/>
      <c r="C1221" s="208"/>
      <c r="D1221" s="208"/>
      <c r="E1221" s="208"/>
      <c r="F1221" s="208"/>
      <c r="G1221" s="208"/>
      <c r="H1221" s="232"/>
      <c r="I1221" s="233"/>
      <c r="J1221" s="208"/>
      <c r="K1221" s="208"/>
      <c r="L1221" s="208"/>
      <c r="M1221" s="208"/>
      <c r="N1221" s="208"/>
      <c r="O1221" s="208"/>
      <c r="P1221" s="208"/>
      <c r="Q1221" s="208"/>
      <c r="R1221" s="208"/>
      <c r="S1221" s="208"/>
      <c r="T1221" s="208"/>
      <c r="U1221" s="208"/>
      <c r="V1221" s="234"/>
      <c r="W1221" s="232"/>
      <c r="X1221" s="232"/>
      <c r="Y1221" s="232"/>
      <c r="Z1221" s="232"/>
      <c r="AA1221" s="232"/>
      <c r="AB1221" s="232"/>
      <c r="AC1221" s="232"/>
      <c r="AD1221" s="232"/>
      <c r="AE1221" s="232"/>
      <c r="AF1221" s="232"/>
      <c r="AG1221" s="208"/>
      <c r="AH1221" s="208"/>
      <c r="AI1221" s="208"/>
      <c r="AJ1221" s="208"/>
      <c r="AK1221" s="208"/>
    </row>
    <row r="1222">
      <c r="A1222" s="208"/>
      <c r="B1222" s="208"/>
      <c r="C1222" s="208"/>
      <c r="D1222" s="208"/>
      <c r="E1222" s="208"/>
      <c r="F1222" s="208"/>
      <c r="G1222" s="208"/>
      <c r="H1222" s="232"/>
      <c r="I1222" s="233"/>
      <c r="J1222" s="208"/>
      <c r="K1222" s="208"/>
      <c r="L1222" s="208"/>
      <c r="M1222" s="208"/>
      <c r="N1222" s="208"/>
      <c r="O1222" s="208"/>
      <c r="P1222" s="208"/>
      <c r="Q1222" s="208"/>
      <c r="R1222" s="208"/>
      <c r="S1222" s="208"/>
      <c r="T1222" s="208"/>
      <c r="U1222" s="208"/>
      <c r="V1222" s="234"/>
      <c r="W1222" s="232"/>
      <c r="X1222" s="232"/>
      <c r="Y1222" s="232"/>
      <c r="Z1222" s="232"/>
      <c r="AA1222" s="232"/>
      <c r="AB1222" s="232"/>
      <c r="AC1222" s="232"/>
      <c r="AD1222" s="232"/>
      <c r="AE1222" s="232"/>
      <c r="AF1222" s="232"/>
      <c r="AG1222" s="208"/>
      <c r="AH1222" s="208"/>
      <c r="AI1222" s="208"/>
      <c r="AJ1222" s="208"/>
      <c r="AK1222" s="208"/>
    </row>
    <row r="1223">
      <c r="A1223" s="208"/>
      <c r="B1223" s="208"/>
      <c r="C1223" s="208"/>
      <c r="D1223" s="208"/>
      <c r="E1223" s="208"/>
      <c r="F1223" s="208"/>
      <c r="G1223" s="208"/>
      <c r="H1223" s="232"/>
      <c r="I1223" s="233"/>
      <c r="J1223" s="208"/>
      <c r="K1223" s="208"/>
      <c r="L1223" s="208"/>
      <c r="M1223" s="208"/>
      <c r="N1223" s="208"/>
      <c r="O1223" s="208"/>
      <c r="P1223" s="208"/>
      <c r="Q1223" s="208"/>
      <c r="R1223" s="208"/>
      <c r="S1223" s="208"/>
      <c r="T1223" s="208"/>
      <c r="U1223" s="208"/>
      <c r="V1223" s="234"/>
      <c r="W1223" s="232"/>
      <c r="X1223" s="232"/>
      <c r="Y1223" s="232"/>
      <c r="Z1223" s="232"/>
      <c r="AA1223" s="232"/>
      <c r="AB1223" s="232"/>
      <c r="AC1223" s="232"/>
      <c r="AD1223" s="232"/>
      <c r="AE1223" s="232"/>
      <c r="AF1223" s="232"/>
      <c r="AG1223" s="208"/>
      <c r="AH1223" s="208"/>
      <c r="AI1223" s="208"/>
      <c r="AJ1223" s="208"/>
      <c r="AK1223" s="208"/>
    </row>
    <row r="1224">
      <c r="A1224" s="208"/>
      <c r="B1224" s="208"/>
      <c r="C1224" s="208"/>
      <c r="D1224" s="208"/>
      <c r="E1224" s="208"/>
      <c r="F1224" s="208"/>
      <c r="G1224" s="208"/>
      <c r="H1224" s="232"/>
      <c r="I1224" s="233"/>
      <c r="J1224" s="208"/>
      <c r="K1224" s="208"/>
      <c r="L1224" s="208"/>
      <c r="M1224" s="208"/>
      <c r="N1224" s="208"/>
      <c r="O1224" s="208"/>
      <c r="P1224" s="208"/>
      <c r="Q1224" s="208"/>
      <c r="R1224" s="208"/>
      <c r="S1224" s="208"/>
      <c r="T1224" s="208"/>
      <c r="U1224" s="208"/>
      <c r="V1224" s="234"/>
      <c r="W1224" s="232"/>
      <c r="X1224" s="232"/>
      <c r="Y1224" s="232"/>
      <c r="Z1224" s="232"/>
      <c r="AA1224" s="232"/>
      <c r="AB1224" s="232"/>
      <c r="AC1224" s="232"/>
      <c r="AD1224" s="232"/>
      <c r="AE1224" s="232"/>
      <c r="AF1224" s="232"/>
      <c r="AG1224" s="208"/>
      <c r="AH1224" s="208"/>
      <c r="AI1224" s="208"/>
      <c r="AJ1224" s="208"/>
      <c r="AK1224" s="208"/>
    </row>
    <row r="1225">
      <c r="A1225" s="208"/>
      <c r="B1225" s="208"/>
      <c r="C1225" s="208"/>
      <c r="D1225" s="208"/>
      <c r="E1225" s="208"/>
      <c r="F1225" s="208"/>
      <c r="G1225" s="208"/>
      <c r="H1225" s="232"/>
      <c r="I1225" s="233"/>
      <c r="J1225" s="208"/>
      <c r="K1225" s="208"/>
      <c r="L1225" s="208"/>
      <c r="M1225" s="208"/>
      <c r="N1225" s="208"/>
      <c r="O1225" s="208"/>
      <c r="P1225" s="208"/>
      <c r="Q1225" s="208"/>
      <c r="R1225" s="208"/>
      <c r="S1225" s="208"/>
      <c r="T1225" s="208"/>
      <c r="U1225" s="208"/>
      <c r="V1225" s="234"/>
      <c r="W1225" s="232"/>
      <c r="X1225" s="232"/>
      <c r="Y1225" s="232"/>
      <c r="Z1225" s="232"/>
      <c r="AA1225" s="232"/>
      <c r="AB1225" s="232"/>
      <c r="AC1225" s="232"/>
      <c r="AD1225" s="232"/>
      <c r="AE1225" s="232"/>
      <c r="AF1225" s="232"/>
      <c r="AG1225" s="208"/>
      <c r="AH1225" s="208"/>
      <c r="AI1225" s="208"/>
      <c r="AJ1225" s="208"/>
      <c r="AK1225" s="208"/>
    </row>
    <row r="1226">
      <c r="A1226" s="208"/>
      <c r="B1226" s="208"/>
      <c r="C1226" s="208"/>
      <c r="D1226" s="208"/>
      <c r="E1226" s="208"/>
      <c r="F1226" s="208"/>
      <c r="G1226" s="208"/>
      <c r="H1226" s="232"/>
      <c r="I1226" s="233"/>
      <c r="J1226" s="208"/>
      <c r="K1226" s="208"/>
      <c r="L1226" s="208"/>
      <c r="M1226" s="208"/>
      <c r="N1226" s="208"/>
      <c r="O1226" s="208"/>
      <c r="P1226" s="208"/>
      <c r="Q1226" s="208"/>
      <c r="R1226" s="208"/>
      <c r="S1226" s="208"/>
      <c r="T1226" s="208"/>
      <c r="U1226" s="208"/>
      <c r="V1226" s="234"/>
      <c r="W1226" s="232"/>
      <c r="X1226" s="232"/>
      <c r="Y1226" s="232"/>
      <c r="Z1226" s="232"/>
      <c r="AA1226" s="232"/>
      <c r="AB1226" s="232"/>
      <c r="AC1226" s="232"/>
      <c r="AD1226" s="232"/>
      <c r="AE1226" s="232"/>
      <c r="AF1226" s="232"/>
      <c r="AG1226" s="208"/>
      <c r="AH1226" s="208"/>
      <c r="AI1226" s="208"/>
      <c r="AJ1226" s="208"/>
      <c r="AK1226" s="208"/>
    </row>
    <row r="1227">
      <c r="A1227" s="208"/>
      <c r="B1227" s="208"/>
      <c r="C1227" s="208"/>
      <c r="D1227" s="208"/>
      <c r="E1227" s="208"/>
      <c r="F1227" s="208"/>
      <c r="G1227" s="208"/>
      <c r="H1227" s="232"/>
      <c r="I1227" s="233"/>
      <c r="J1227" s="208"/>
      <c r="K1227" s="208"/>
      <c r="L1227" s="208"/>
      <c r="M1227" s="208"/>
      <c r="N1227" s="208"/>
      <c r="O1227" s="208"/>
      <c r="P1227" s="208"/>
      <c r="Q1227" s="208"/>
      <c r="R1227" s="208"/>
      <c r="S1227" s="208"/>
      <c r="T1227" s="208"/>
      <c r="U1227" s="208"/>
      <c r="V1227" s="234"/>
      <c r="W1227" s="232"/>
      <c r="X1227" s="232"/>
      <c r="Y1227" s="232"/>
      <c r="Z1227" s="232"/>
      <c r="AA1227" s="232"/>
      <c r="AB1227" s="232"/>
      <c r="AC1227" s="232"/>
      <c r="AD1227" s="232"/>
      <c r="AE1227" s="232"/>
      <c r="AF1227" s="232"/>
      <c r="AG1227" s="208"/>
      <c r="AH1227" s="208"/>
      <c r="AI1227" s="208"/>
      <c r="AJ1227" s="208"/>
      <c r="AK1227" s="208"/>
    </row>
    <row r="1228">
      <c r="A1228" s="208"/>
      <c r="B1228" s="208"/>
      <c r="C1228" s="208"/>
      <c r="D1228" s="208"/>
      <c r="E1228" s="208"/>
      <c r="F1228" s="208"/>
      <c r="G1228" s="208"/>
      <c r="H1228" s="232"/>
      <c r="I1228" s="233"/>
      <c r="J1228" s="208"/>
      <c r="K1228" s="208"/>
      <c r="L1228" s="208"/>
      <c r="M1228" s="208"/>
      <c r="N1228" s="208"/>
      <c r="O1228" s="208"/>
      <c r="P1228" s="208"/>
      <c r="Q1228" s="208"/>
      <c r="R1228" s="208"/>
      <c r="S1228" s="208"/>
      <c r="T1228" s="208"/>
      <c r="U1228" s="208"/>
      <c r="V1228" s="234"/>
      <c r="W1228" s="232"/>
      <c r="X1228" s="232"/>
      <c r="Y1228" s="232"/>
      <c r="Z1228" s="232"/>
      <c r="AA1228" s="232"/>
      <c r="AB1228" s="232"/>
      <c r="AC1228" s="232"/>
      <c r="AD1228" s="232"/>
      <c r="AE1228" s="232"/>
      <c r="AF1228" s="232"/>
      <c r="AG1228" s="208"/>
      <c r="AH1228" s="208"/>
      <c r="AI1228" s="208"/>
      <c r="AJ1228" s="208"/>
      <c r="AK1228" s="208"/>
    </row>
    <row r="1229">
      <c r="A1229" s="208"/>
      <c r="B1229" s="208"/>
      <c r="C1229" s="208"/>
      <c r="D1229" s="208"/>
      <c r="E1229" s="208"/>
      <c r="F1229" s="208"/>
      <c r="G1229" s="208"/>
      <c r="H1229" s="232"/>
      <c r="I1229" s="233"/>
      <c r="J1229" s="208"/>
      <c r="K1229" s="208"/>
      <c r="L1229" s="208"/>
      <c r="M1229" s="208"/>
      <c r="N1229" s="208"/>
      <c r="O1229" s="208"/>
      <c r="P1229" s="208"/>
      <c r="Q1229" s="208"/>
      <c r="R1229" s="208"/>
      <c r="S1229" s="208"/>
      <c r="T1229" s="208"/>
      <c r="U1229" s="208"/>
      <c r="V1229" s="234"/>
      <c r="W1229" s="232"/>
      <c r="X1229" s="232"/>
      <c r="Y1229" s="232"/>
      <c r="Z1229" s="232"/>
      <c r="AA1229" s="232"/>
      <c r="AB1229" s="232"/>
      <c r="AC1229" s="232"/>
      <c r="AD1229" s="232"/>
      <c r="AE1229" s="232"/>
      <c r="AF1229" s="232"/>
      <c r="AG1229" s="208"/>
      <c r="AH1229" s="208"/>
      <c r="AI1229" s="208"/>
      <c r="AJ1229" s="208"/>
      <c r="AK1229" s="208"/>
    </row>
    <row r="1230">
      <c r="A1230" s="208"/>
      <c r="B1230" s="208"/>
      <c r="C1230" s="208"/>
      <c r="D1230" s="208"/>
      <c r="E1230" s="208"/>
      <c r="F1230" s="208"/>
      <c r="G1230" s="208"/>
      <c r="H1230" s="232"/>
      <c r="I1230" s="233"/>
      <c r="J1230" s="208"/>
      <c r="K1230" s="208"/>
      <c r="L1230" s="208"/>
      <c r="M1230" s="208"/>
      <c r="N1230" s="208"/>
      <c r="O1230" s="208"/>
      <c r="P1230" s="208"/>
      <c r="Q1230" s="208"/>
      <c r="R1230" s="208"/>
      <c r="S1230" s="208"/>
      <c r="T1230" s="208"/>
      <c r="U1230" s="208"/>
      <c r="V1230" s="234"/>
      <c r="W1230" s="232"/>
      <c r="X1230" s="232"/>
      <c r="Y1230" s="232"/>
      <c r="Z1230" s="232"/>
      <c r="AA1230" s="232"/>
      <c r="AB1230" s="232"/>
      <c r="AC1230" s="232"/>
      <c r="AD1230" s="232"/>
      <c r="AE1230" s="232"/>
      <c r="AF1230" s="232"/>
      <c r="AG1230" s="208"/>
      <c r="AH1230" s="208"/>
      <c r="AI1230" s="208"/>
      <c r="AJ1230" s="208"/>
      <c r="AK1230" s="208"/>
    </row>
    <row r="1231">
      <c r="A1231" s="208"/>
      <c r="B1231" s="208"/>
      <c r="C1231" s="208"/>
      <c r="D1231" s="208"/>
      <c r="E1231" s="208"/>
      <c r="F1231" s="208"/>
      <c r="G1231" s="208"/>
      <c r="H1231" s="232"/>
      <c r="I1231" s="233"/>
      <c r="J1231" s="208"/>
      <c r="K1231" s="208"/>
      <c r="L1231" s="208"/>
      <c r="M1231" s="208"/>
      <c r="N1231" s="208"/>
      <c r="O1231" s="208"/>
      <c r="P1231" s="208"/>
      <c r="Q1231" s="208"/>
      <c r="R1231" s="208"/>
      <c r="S1231" s="208"/>
      <c r="T1231" s="208"/>
      <c r="U1231" s="208"/>
      <c r="V1231" s="234"/>
      <c r="W1231" s="232"/>
      <c r="X1231" s="232"/>
      <c r="Y1231" s="232"/>
      <c r="Z1231" s="232"/>
      <c r="AA1231" s="232"/>
      <c r="AB1231" s="232"/>
      <c r="AC1231" s="232"/>
      <c r="AD1231" s="232"/>
      <c r="AE1231" s="232"/>
      <c r="AF1231" s="232"/>
      <c r="AG1231" s="208"/>
      <c r="AH1231" s="208"/>
      <c r="AI1231" s="208"/>
      <c r="AJ1231" s="208"/>
      <c r="AK1231" s="208"/>
    </row>
    <row r="1232">
      <c r="A1232" s="208"/>
      <c r="B1232" s="208"/>
      <c r="C1232" s="208"/>
      <c r="D1232" s="208"/>
      <c r="E1232" s="208"/>
      <c r="F1232" s="208"/>
      <c r="G1232" s="208"/>
      <c r="H1232" s="232"/>
      <c r="I1232" s="233"/>
      <c r="J1232" s="208"/>
      <c r="K1232" s="208"/>
      <c r="L1232" s="208"/>
      <c r="M1232" s="208"/>
      <c r="N1232" s="208"/>
      <c r="O1232" s="208"/>
      <c r="P1232" s="208"/>
      <c r="Q1232" s="208"/>
      <c r="R1232" s="208"/>
      <c r="S1232" s="208"/>
      <c r="T1232" s="208"/>
      <c r="U1232" s="208"/>
      <c r="V1232" s="234"/>
      <c r="W1232" s="232"/>
      <c r="X1232" s="232"/>
      <c r="Y1232" s="232"/>
      <c r="Z1232" s="232"/>
      <c r="AA1232" s="232"/>
      <c r="AB1232" s="232"/>
      <c r="AC1232" s="232"/>
      <c r="AD1232" s="232"/>
      <c r="AE1232" s="232"/>
      <c r="AF1232" s="232"/>
      <c r="AG1232" s="208"/>
      <c r="AH1232" s="208"/>
      <c r="AI1232" s="208"/>
      <c r="AJ1232" s="208"/>
      <c r="AK1232" s="208"/>
    </row>
    <row r="1233">
      <c r="A1233" s="208"/>
      <c r="B1233" s="208"/>
      <c r="C1233" s="208"/>
      <c r="D1233" s="208"/>
      <c r="E1233" s="208"/>
      <c r="F1233" s="208"/>
      <c r="G1233" s="208"/>
      <c r="H1233" s="232"/>
      <c r="I1233" s="233"/>
      <c r="J1233" s="208"/>
      <c r="K1233" s="208"/>
      <c r="L1233" s="208"/>
      <c r="M1233" s="208"/>
      <c r="N1233" s="208"/>
      <c r="O1233" s="208"/>
      <c r="P1233" s="208"/>
      <c r="Q1233" s="208"/>
      <c r="R1233" s="208"/>
      <c r="S1233" s="208"/>
      <c r="T1233" s="208"/>
      <c r="U1233" s="208"/>
      <c r="V1233" s="234"/>
      <c r="W1233" s="232"/>
      <c r="X1233" s="232"/>
      <c r="Y1233" s="232"/>
      <c r="Z1233" s="232"/>
      <c r="AA1233" s="232"/>
      <c r="AB1233" s="232"/>
      <c r="AC1233" s="232"/>
      <c r="AD1233" s="232"/>
      <c r="AE1233" s="232"/>
      <c r="AF1233" s="232"/>
      <c r="AG1233" s="208"/>
      <c r="AH1233" s="208"/>
      <c r="AI1233" s="208"/>
      <c r="AJ1233" s="208"/>
      <c r="AK1233" s="208"/>
    </row>
    <row r="1234">
      <c r="A1234" s="208"/>
      <c r="B1234" s="208"/>
      <c r="C1234" s="208"/>
      <c r="D1234" s="208"/>
      <c r="E1234" s="208"/>
      <c r="F1234" s="208"/>
      <c r="G1234" s="208"/>
      <c r="H1234" s="232"/>
      <c r="I1234" s="233"/>
      <c r="J1234" s="208"/>
      <c r="K1234" s="208"/>
      <c r="L1234" s="208"/>
      <c r="M1234" s="208"/>
      <c r="N1234" s="208"/>
      <c r="O1234" s="208"/>
      <c r="P1234" s="208"/>
      <c r="Q1234" s="208"/>
      <c r="R1234" s="208"/>
      <c r="S1234" s="208"/>
      <c r="T1234" s="208"/>
      <c r="U1234" s="208"/>
      <c r="V1234" s="234"/>
      <c r="W1234" s="232"/>
      <c r="X1234" s="232"/>
      <c r="Y1234" s="232"/>
      <c r="Z1234" s="232"/>
      <c r="AA1234" s="232"/>
      <c r="AB1234" s="232"/>
      <c r="AC1234" s="232"/>
      <c r="AD1234" s="232"/>
      <c r="AE1234" s="232"/>
      <c r="AF1234" s="232"/>
      <c r="AG1234" s="208"/>
      <c r="AH1234" s="208"/>
      <c r="AI1234" s="208"/>
      <c r="AJ1234" s="208"/>
      <c r="AK1234" s="208"/>
    </row>
    <row r="1235">
      <c r="A1235" s="208"/>
      <c r="B1235" s="208"/>
      <c r="C1235" s="208"/>
      <c r="D1235" s="208"/>
      <c r="E1235" s="208"/>
      <c r="F1235" s="208"/>
      <c r="G1235" s="208"/>
      <c r="H1235" s="232"/>
      <c r="I1235" s="233"/>
      <c r="J1235" s="208"/>
      <c r="K1235" s="208"/>
      <c r="L1235" s="208"/>
      <c r="M1235" s="208"/>
      <c r="N1235" s="208"/>
      <c r="O1235" s="208"/>
      <c r="P1235" s="208"/>
      <c r="Q1235" s="208"/>
      <c r="R1235" s="208"/>
      <c r="S1235" s="208"/>
      <c r="T1235" s="208"/>
      <c r="U1235" s="208"/>
      <c r="V1235" s="234"/>
      <c r="W1235" s="232"/>
      <c r="X1235" s="232"/>
      <c r="Y1235" s="232"/>
      <c r="Z1235" s="232"/>
      <c r="AA1235" s="232"/>
      <c r="AB1235" s="232"/>
      <c r="AC1235" s="232"/>
      <c r="AD1235" s="232"/>
      <c r="AE1235" s="232"/>
      <c r="AF1235" s="232"/>
      <c r="AG1235" s="208"/>
      <c r="AH1235" s="208"/>
      <c r="AI1235" s="208"/>
      <c r="AJ1235" s="208"/>
      <c r="AK1235" s="208"/>
    </row>
    <row r="1236">
      <c r="A1236" s="208"/>
      <c r="B1236" s="208"/>
      <c r="C1236" s="208"/>
      <c r="D1236" s="208"/>
      <c r="E1236" s="208"/>
      <c r="F1236" s="208"/>
      <c r="G1236" s="208"/>
      <c r="H1236" s="232"/>
      <c r="I1236" s="233"/>
      <c r="J1236" s="208"/>
      <c r="K1236" s="208"/>
      <c r="L1236" s="208"/>
      <c r="M1236" s="208"/>
      <c r="N1236" s="208"/>
      <c r="O1236" s="208"/>
      <c r="P1236" s="208"/>
      <c r="Q1236" s="208"/>
      <c r="R1236" s="208"/>
      <c r="S1236" s="208"/>
      <c r="T1236" s="208"/>
      <c r="U1236" s="208"/>
      <c r="V1236" s="234"/>
      <c r="W1236" s="232"/>
      <c r="X1236" s="232"/>
      <c r="Y1236" s="232"/>
      <c r="Z1236" s="232"/>
      <c r="AA1236" s="232"/>
      <c r="AB1236" s="232"/>
      <c r="AC1236" s="232"/>
      <c r="AD1236" s="232"/>
      <c r="AE1236" s="232"/>
      <c r="AF1236" s="232"/>
      <c r="AG1236" s="208"/>
      <c r="AH1236" s="208"/>
      <c r="AI1236" s="208"/>
      <c r="AJ1236" s="208"/>
      <c r="AK1236" s="208"/>
    </row>
    <row r="1237">
      <c r="A1237" s="208"/>
      <c r="B1237" s="208"/>
      <c r="C1237" s="208"/>
      <c r="D1237" s="208"/>
      <c r="E1237" s="208"/>
      <c r="F1237" s="208"/>
      <c r="G1237" s="208"/>
      <c r="H1237" s="232"/>
      <c r="I1237" s="233"/>
      <c r="J1237" s="208"/>
      <c r="K1237" s="208"/>
      <c r="L1237" s="208"/>
      <c r="M1237" s="208"/>
      <c r="N1237" s="208"/>
      <c r="O1237" s="208"/>
      <c r="P1237" s="208"/>
      <c r="Q1237" s="208"/>
      <c r="R1237" s="208"/>
      <c r="S1237" s="208"/>
      <c r="T1237" s="208"/>
      <c r="U1237" s="208"/>
      <c r="V1237" s="234"/>
      <c r="W1237" s="232"/>
      <c r="X1237" s="232"/>
      <c r="Y1237" s="232"/>
      <c r="Z1237" s="232"/>
      <c r="AA1237" s="232"/>
      <c r="AB1237" s="232"/>
      <c r="AC1237" s="232"/>
      <c r="AD1237" s="232"/>
      <c r="AE1237" s="232"/>
      <c r="AF1237" s="232"/>
      <c r="AG1237" s="208"/>
      <c r="AH1237" s="208"/>
      <c r="AI1237" s="208"/>
      <c r="AJ1237" s="208"/>
      <c r="AK1237" s="208"/>
    </row>
    <row r="1238">
      <c r="A1238" s="208"/>
      <c r="B1238" s="208"/>
      <c r="C1238" s="208"/>
      <c r="D1238" s="208"/>
      <c r="E1238" s="208"/>
      <c r="F1238" s="208"/>
      <c r="G1238" s="208"/>
      <c r="H1238" s="232"/>
      <c r="I1238" s="233"/>
      <c r="J1238" s="208"/>
      <c r="K1238" s="208"/>
      <c r="L1238" s="208"/>
      <c r="M1238" s="208"/>
      <c r="N1238" s="208"/>
      <c r="O1238" s="208"/>
      <c r="P1238" s="208"/>
      <c r="Q1238" s="208"/>
      <c r="R1238" s="208"/>
      <c r="S1238" s="208"/>
      <c r="T1238" s="208"/>
      <c r="U1238" s="208"/>
      <c r="V1238" s="234"/>
      <c r="W1238" s="232"/>
      <c r="X1238" s="232"/>
      <c r="Y1238" s="232"/>
      <c r="Z1238" s="232"/>
      <c r="AA1238" s="232"/>
      <c r="AB1238" s="232"/>
      <c r="AC1238" s="232"/>
      <c r="AD1238" s="232"/>
      <c r="AE1238" s="232"/>
      <c r="AF1238" s="232"/>
      <c r="AG1238" s="208"/>
      <c r="AH1238" s="208"/>
      <c r="AI1238" s="208"/>
      <c r="AJ1238" s="208"/>
      <c r="AK1238" s="208"/>
    </row>
    <row r="1239">
      <c r="A1239" s="208"/>
      <c r="B1239" s="208"/>
      <c r="C1239" s="208"/>
      <c r="D1239" s="208"/>
      <c r="E1239" s="208"/>
      <c r="F1239" s="208"/>
      <c r="G1239" s="208"/>
      <c r="H1239" s="232"/>
      <c r="I1239" s="233"/>
      <c r="J1239" s="208"/>
      <c r="K1239" s="208"/>
      <c r="L1239" s="208"/>
      <c r="M1239" s="208"/>
      <c r="N1239" s="208"/>
      <c r="O1239" s="208"/>
      <c r="P1239" s="208"/>
      <c r="Q1239" s="208"/>
      <c r="R1239" s="208"/>
      <c r="S1239" s="208"/>
      <c r="T1239" s="208"/>
      <c r="U1239" s="208"/>
      <c r="V1239" s="234"/>
      <c r="W1239" s="232"/>
      <c r="X1239" s="232"/>
      <c r="Y1239" s="232"/>
      <c r="Z1239" s="232"/>
      <c r="AA1239" s="232"/>
      <c r="AB1239" s="232"/>
      <c r="AC1239" s="232"/>
      <c r="AD1239" s="232"/>
      <c r="AE1239" s="232"/>
      <c r="AF1239" s="232"/>
      <c r="AG1239" s="208"/>
      <c r="AH1239" s="208"/>
      <c r="AI1239" s="208"/>
      <c r="AJ1239" s="208"/>
      <c r="AK1239" s="208"/>
    </row>
    <row r="1240">
      <c r="A1240" s="208"/>
      <c r="B1240" s="208"/>
      <c r="C1240" s="208"/>
      <c r="D1240" s="208"/>
      <c r="E1240" s="208"/>
      <c r="F1240" s="208"/>
      <c r="G1240" s="208"/>
      <c r="H1240" s="232"/>
      <c r="I1240" s="233"/>
      <c r="J1240" s="208"/>
      <c r="K1240" s="208"/>
      <c r="L1240" s="208"/>
      <c r="M1240" s="208"/>
      <c r="N1240" s="208"/>
      <c r="O1240" s="208"/>
      <c r="P1240" s="208"/>
      <c r="Q1240" s="208"/>
      <c r="R1240" s="208"/>
      <c r="S1240" s="208"/>
      <c r="T1240" s="208"/>
      <c r="U1240" s="208"/>
      <c r="V1240" s="234"/>
      <c r="W1240" s="232"/>
      <c r="X1240" s="232"/>
      <c r="Y1240" s="232"/>
      <c r="Z1240" s="232"/>
      <c r="AA1240" s="232"/>
      <c r="AB1240" s="232"/>
      <c r="AC1240" s="232"/>
      <c r="AD1240" s="232"/>
      <c r="AE1240" s="232"/>
      <c r="AF1240" s="232"/>
      <c r="AG1240" s="208"/>
      <c r="AH1240" s="208"/>
      <c r="AI1240" s="208"/>
      <c r="AJ1240" s="208"/>
      <c r="AK1240" s="208"/>
    </row>
    <row r="1241">
      <c r="A1241" s="208"/>
      <c r="B1241" s="208"/>
      <c r="C1241" s="208"/>
      <c r="D1241" s="208"/>
      <c r="E1241" s="208"/>
      <c r="F1241" s="208"/>
      <c r="G1241" s="208"/>
      <c r="H1241" s="232"/>
      <c r="I1241" s="233"/>
      <c r="J1241" s="208"/>
      <c r="K1241" s="208"/>
      <c r="L1241" s="208"/>
      <c r="M1241" s="208"/>
      <c r="N1241" s="208"/>
      <c r="O1241" s="208"/>
      <c r="P1241" s="208"/>
      <c r="Q1241" s="208"/>
      <c r="R1241" s="208"/>
      <c r="S1241" s="208"/>
      <c r="T1241" s="208"/>
      <c r="U1241" s="208"/>
      <c r="V1241" s="234"/>
      <c r="W1241" s="232"/>
      <c r="X1241" s="232"/>
      <c r="Y1241" s="232"/>
      <c r="Z1241" s="232"/>
      <c r="AA1241" s="232"/>
      <c r="AB1241" s="232"/>
      <c r="AC1241" s="232"/>
      <c r="AD1241" s="232"/>
      <c r="AE1241" s="232"/>
      <c r="AF1241" s="232"/>
      <c r="AG1241" s="208"/>
      <c r="AH1241" s="208"/>
      <c r="AI1241" s="208"/>
      <c r="AJ1241" s="208"/>
      <c r="AK1241" s="208"/>
    </row>
    <row r="1242">
      <c r="A1242" s="208"/>
      <c r="B1242" s="208"/>
      <c r="C1242" s="208"/>
      <c r="D1242" s="208"/>
      <c r="E1242" s="208"/>
      <c r="F1242" s="208"/>
      <c r="G1242" s="208"/>
      <c r="H1242" s="232"/>
      <c r="I1242" s="233"/>
      <c r="J1242" s="208"/>
      <c r="K1242" s="208"/>
      <c r="L1242" s="208"/>
      <c r="M1242" s="208"/>
      <c r="N1242" s="208"/>
      <c r="O1242" s="208"/>
      <c r="P1242" s="208"/>
      <c r="Q1242" s="208"/>
      <c r="R1242" s="208"/>
      <c r="S1242" s="208"/>
      <c r="T1242" s="208"/>
      <c r="U1242" s="208"/>
      <c r="V1242" s="234"/>
      <c r="W1242" s="232"/>
      <c r="X1242" s="232"/>
      <c r="Y1242" s="232"/>
      <c r="Z1242" s="232"/>
      <c r="AA1242" s="232"/>
      <c r="AB1242" s="232"/>
      <c r="AC1242" s="232"/>
      <c r="AD1242" s="232"/>
      <c r="AE1242" s="232"/>
      <c r="AF1242" s="232"/>
      <c r="AG1242" s="208"/>
      <c r="AH1242" s="208"/>
      <c r="AI1242" s="208"/>
      <c r="AJ1242" s="208"/>
      <c r="AK1242" s="208"/>
    </row>
    <row r="1243">
      <c r="A1243" s="208"/>
      <c r="B1243" s="208"/>
      <c r="C1243" s="208"/>
      <c r="D1243" s="208"/>
      <c r="E1243" s="208"/>
      <c r="F1243" s="208"/>
      <c r="G1243" s="208"/>
      <c r="H1243" s="232"/>
      <c r="I1243" s="233"/>
      <c r="J1243" s="208"/>
      <c r="K1243" s="208"/>
      <c r="L1243" s="208"/>
      <c r="M1243" s="208"/>
      <c r="N1243" s="208"/>
      <c r="O1243" s="208"/>
      <c r="P1243" s="208"/>
      <c r="Q1243" s="208"/>
      <c r="R1243" s="208"/>
      <c r="S1243" s="208"/>
      <c r="T1243" s="208"/>
      <c r="U1243" s="208"/>
      <c r="V1243" s="234"/>
      <c r="W1243" s="232"/>
      <c r="X1243" s="232"/>
      <c r="Y1243" s="232"/>
      <c r="Z1243" s="232"/>
      <c r="AA1243" s="232"/>
      <c r="AB1243" s="232"/>
      <c r="AC1243" s="232"/>
      <c r="AD1243" s="232"/>
      <c r="AE1243" s="232"/>
      <c r="AF1243" s="232"/>
      <c r="AG1243" s="208"/>
      <c r="AH1243" s="208"/>
      <c r="AI1243" s="208"/>
      <c r="AJ1243" s="208"/>
      <c r="AK1243" s="208"/>
    </row>
    <row r="1244">
      <c r="A1244" s="208"/>
      <c r="B1244" s="208"/>
      <c r="C1244" s="208"/>
      <c r="D1244" s="208"/>
      <c r="E1244" s="208"/>
      <c r="F1244" s="208"/>
      <c r="G1244" s="208"/>
      <c r="H1244" s="232"/>
      <c r="I1244" s="233"/>
      <c r="J1244" s="208"/>
      <c r="K1244" s="208"/>
      <c r="L1244" s="208"/>
      <c r="M1244" s="208"/>
      <c r="N1244" s="208"/>
      <c r="O1244" s="208"/>
      <c r="P1244" s="208"/>
      <c r="Q1244" s="208"/>
      <c r="R1244" s="208"/>
      <c r="S1244" s="208"/>
      <c r="T1244" s="208"/>
      <c r="U1244" s="208"/>
      <c r="V1244" s="234"/>
      <c r="W1244" s="232"/>
      <c r="X1244" s="232"/>
      <c r="Y1244" s="232"/>
      <c r="Z1244" s="232"/>
      <c r="AA1244" s="232"/>
      <c r="AB1244" s="232"/>
      <c r="AC1244" s="232"/>
      <c r="AD1244" s="232"/>
      <c r="AE1244" s="232"/>
      <c r="AF1244" s="232"/>
      <c r="AG1244" s="208"/>
      <c r="AH1244" s="208"/>
      <c r="AI1244" s="208"/>
      <c r="AJ1244" s="208"/>
      <c r="AK1244" s="208"/>
    </row>
    <row r="1245">
      <c r="A1245" s="208"/>
      <c r="B1245" s="208"/>
      <c r="C1245" s="208"/>
      <c r="D1245" s="208"/>
      <c r="E1245" s="208"/>
      <c r="F1245" s="208"/>
      <c r="G1245" s="208"/>
      <c r="H1245" s="232"/>
      <c r="I1245" s="233"/>
      <c r="J1245" s="208"/>
      <c r="K1245" s="208"/>
      <c r="L1245" s="208"/>
      <c r="M1245" s="208"/>
      <c r="N1245" s="208"/>
      <c r="O1245" s="208"/>
      <c r="P1245" s="208"/>
      <c r="Q1245" s="208"/>
      <c r="R1245" s="208"/>
      <c r="S1245" s="208"/>
      <c r="T1245" s="208"/>
      <c r="U1245" s="208"/>
      <c r="V1245" s="234"/>
      <c r="W1245" s="232"/>
      <c r="X1245" s="232"/>
      <c r="Y1245" s="232"/>
      <c r="Z1245" s="232"/>
      <c r="AA1245" s="232"/>
      <c r="AB1245" s="232"/>
      <c r="AC1245" s="232"/>
      <c r="AD1245" s="232"/>
      <c r="AE1245" s="232"/>
      <c r="AF1245" s="232"/>
      <c r="AG1245" s="208"/>
      <c r="AH1245" s="208"/>
      <c r="AI1245" s="208"/>
      <c r="AJ1245" s="208"/>
      <c r="AK1245" s="208"/>
    </row>
    <row r="1246">
      <c r="A1246" s="208"/>
      <c r="B1246" s="208"/>
      <c r="C1246" s="208"/>
      <c r="D1246" s="208"/>
      <c r="E1246" s="208"/>
      <c r="F1246" s="208"/>
      <c r="G1246" s="208"/>
      <c r="H1246" s="232"/>
      <c r="I1246" s="233"/>
      <c r="J1246" s="208"/>
      <c r="K1246" s="208"/>
      <c r="L1246" s="208"/>
      <c r="M1246" s="208"/>
      <c r="N1246" s="208"/>
      <c r="O1246" s="208"/>
      <c r="P1246" s="208"/>
      <c r="Q1246" s="208"/>
      <c r="R1246" s="208"/>
      <c r="S1246" s="208"/>
      <c r="T1246" s="208"/>
      <c r="U1246" s="208"/>
      <c r="V1246" s="234"/>
      <c r="W1246" s="232"/>
      <c r="X1246" s="232"/>
      <c r="Y1246" s="232"/>
      <c r="Z1246" s="232"/>
      <c r="AA1246" s="232"/>
      <c r="AB1246" s="232"/>
      <c r="AC1246" s="232"/>
      <c r="AD1246" s="232"/>
      <c r="AE1246" s="232"/>
      <c r="AF1246" s="232"/>
      <c r="AG1246" s="208"/>
      <c r="AH1246" s="208"/>
      <c r="AI1246" s="208"/>
      <c r="AJ1246" s="208"/>
      <c r="AK1246" s="208"/>
    </row>
    <row r="1247">
      <c r="A1247" s="208"/>
      <c r="B1247" s="208"/>
      <c r="C1247" s="208"/>
      <c r="D1247" s="208"/>
      <c r="E1247" s="208"/>
      <c r="F1247" s="208"/>
      <c r="G1247" s="208"/>
      <c r="H1247" s="232"/>
      <c r="I1247" s="233"/>
      <c r="J1247" s="208"/>
      <c r="K1247" s="208"/>
      <c r="L1247" s="208"/>
      <c r="M1247" s="208"/>
      <c r="N1247" s="208"/>
      <c r="O1247" s="208"/>
      <c r="P1247" s="208"/>
      <c r="Q1247" s="208"/>
      <c r="R1247" s="208"/>
      <c r="S1247" s="208"/>
      <c r="T1247" s="208"/>
      <c r="U1247" s="208"/>
      <c r="V1247" s="234"/>
      <c r="W1247" s="232"/>
      <c r="X1247" s="232"/>
      <c r="Y1247" s="232"/>
      <c r="Z1247" s="232"/>
      <c r="AA1247" s="232"/>
      <c r="AB1247" s="232"/>
      <c r="AC1247" s="232"/>
      <c r="AD1247" s="232"/>
      <c r="AE1247" s="232"/>
      <c r="AF1247" s="232"/>
      <c r="AG1247" s="208"/>
      <c r="AH1247" s="208"/>
      <c r="AI1247" s="208"/>
      <c r="AJ1247" s="208"/>
      <c r="AK1247" s="208"/>
    </row>
    <row r="1248">
      <c r="A1248" s="208"/>
      <c r="B1248" s="208"/>
      <c r="C1248" s="208"/>
      <c r="D1248" s="208"/>
      <c r="E1248" s="208"/>
      <c r="F1248" s="208"/>
      <c r="G1248" s="208"/>
      <c r="H1248" s="232"/>
      <c r="I1248" s="233"/>
      <c r="J1248" s="208"/>
      <c r="K1248" s="208"/>
      <c r="L1248" s="208"/>
      <c r="M1248" s="208"/>
      <c r="N1248" s="208"/>
      <c r="O1248" s="208"/>
      <c r="P1248" s="208"/>
      <c r="Q1248" s="208"/>
      <c r="R1248" s="208"/>
      <c r="S1248" s="208"/>
      <c r="T1248" s="208"/>
      <c r="U1248" s="208"/>
      <c r="V1248" s="234"/>
      <c r="W1248" s="232"/>
      <c r="X1248" s="232"/>
      <c r="Y1248" s="232"/>
      <c r="Z1248" s="232"/>
      <c r="AA1248" s="232"/>
      <c r="AB1248" s="232"/>
      <c r="AC1248" s="232"/>
      <c r="AD1248" s="232"/>
      <c r="AE1248" s="232"/>
      <c r="AF1248" s="232"/>
      <c r="AG1248" s="208"/>
      <c r="AH1248" s="208"/>
      <c r="AI1248" s="208"/>
      <c r="AJ1248" s="208"/>
      <c r="AK1248" s="208"/>
    </row>
    <row r="1249">
      <c r="A1249" s="208"/>
      <c r="B1249" s="208"/>
      <c r="C1249" s="208"/>
      <c r="D1249" s="208"/>
      <c r="E1249" s="208"/>
      <c r="F1249" s="208"/>
      <c r="G1249" s="208"/>
      <c r="H1249" s="232"/>
      <c r="I1249" s="233"/>
      <c r="J1249" s="208"/>
      <c r="K1249" s="208"/>
      <c r="L1249" s="208"/>
      <c r="M1249" s="208"/>
      <c r="N1249" s="208"/>
      <c r="O1249" s="208"/>
      <c r="P1249" s="208"/>
      <c r="Q1249" s="208"/>
      <c r="R1249" s="208"/>
      <c r="S1249" s="208"/>
      <c r="T1249" s="208"/>
      <c r="U1249" s="208"/>
      <c r="V1249" s="234"/>
      <c r="W1249" s="232"/>
      <c r="X1249" s="232"/>
      <c r="Y1249" s="232"/>
      <c r="Z1249" s="232"/>
      <c r="AA1249" s="232"/>
      <c r="AB1249" s="232"/>
      <c r="AC1249" s="232"/>
      <c r="AD1249" s="232"/>
      <c r="AE1249" s="232"/>
      <c r="AF1249" s="232"/>
      <c r="AG1249" s="208"/>
      <c r="AH1249" s="208"/>
      <c r="AI1249" s="208"/>
      <c r="AJ1249" s="208"/>
      <c r="AK1249" s="208"/>
    </row>
    <row r="1250">
      <c r="A1250" s="208"/>
      <c r="B1250" s="208"/>
      <c r="C1250" s="208"/>
      <c r="D1250" s="208"/>
      <c r="E1250" s="208"/>
      <c r="F1250" s="208"/>
      <c r="G1250" s="208"/>
      <c r="H1250" s="232"/>
      <c r="I1250" s="233"/>
      <c r="J1250" s="208"/>
      <c r="K1250" s="208"/>
      <c r="L1250" s="208"/>
      <c r="M1250" s="208"/>
      <c r="N1250" s="208"/>
      <c r="O1250" s="208"/>
      <c r="P1250" s="208"/>
      <c r="Q1250" s="208"/>
      <c r="R1250" s="208"/>
      <c r="S1250" s="208"/>
      <c r="T1250" s="208"/>
      <c r="U1250" s="208"/>
      <c r="V1250" s="234"/>
      <c r="W1250" s="232"/>
      <c r="X1250" s="232"/>
      <c r="Y1250" s="232"/>
      <c r="Z1250" s="232"/>
      <c r="AA1250" s="232"/>
      <c r="AB1250" s="232"/>
      <c r="AC1250" s="232"/>
      <c r="AD1250" s="232"/>
      <c r="AE1250" s="232"/>
      <c r="AF1250" s="232"/>
      <c r="AG1250" s="208"/>
      <c r="AH1250" s="208"/>
      <c r="AI1250" s="208"/>
      <c r="AJ1250" s="208"/>
      <c r="AK1250" s="208"/>
    </row>
    <row r="1251">
      <c r="A1251" s="208"/>
      <c r="B1251" s="208"/>
      <c r="C1251" s="208"/>
      <c r="D1251" s="208"/>
      <c r="E1251" s="208"/>
      <c r="F1251" s="208"/>
      <c r="G1251" s="208"/>
      <c r="H1251" s="232"/>
      <c r="I1251" s="233"/>
      <c r="J1251" s="208"/>
      <c r="K1251" s="208"/>
      <c r="L1251" s="208"/>
      <c r="M1251" s="208"/>
      <c r="N1251" s="208"/>
      <c r="O1251" s="208"/>
      <c r="P1251" s="208"/>
      <c r="Q1251" s="208"/>
      <c r="R1251" s="208"/>
      <c r="S1251" s="208"/>
      <c r="T1251" s="208"/>
      <c r="U1251" s="208"/>
      <c r="V1251" s="234"/>
      <c r="W1251" s="232"/>
      <c r="X1251" s="232"/>
      <c r="Y1251" s="232"/>
      <c r="Z1251" s="232"/>
      <c r="AA1251" s="232"/>
      <c r="AB1251" s="232"/>
      <c r="AC1251" s="232"/>
      <c r="AD1251" s="232"/>
      <c r="AE1251" s="232"/>
      <c r="AF1251" s="232"/>
      <c r="AG1251" s="208"/>
      <c r="AH1251" s="208"/>
      <c r="AI1251" s="208"/>
      <c r="AJ1251" s="208"/>
      <c r="AK1251" s="208"/>
    </row>
    <row r="1252">
      <c r="A1252" s="208"/>
      <c r="B1252" s="208"/>
      <c r="C1252" s="208"/>
      <c r="D1252" s="208"/>
      <c r="E1252" s="208"/>
      <c r="F1252" s="208"/>
      <c r="G1252" s="208"/>
      <c r="H1252" s="232"/>
      <c r="I1252" s="233"/>
      <c r="J1252" s="208"/>
      <c r="K1252" s="208"/>
      <c r="L1252" s="208"/>
      <c r="M1252" s="208"/>
      <c r="N1252" s="208"/>
      <c r="O1252" s="208"/>
      <c r="P1252" s="208"/>
      <c r="Q1252" s="208"/>
      <c r="R1252" s="208"/>
      <c r="S1252" s="208"/>
      <c r="T1252" s="208"/>
      <c r="U1252" s="208"/>
      <c r="V1252" s="234"/>
      <c r="W1252" s="232"/>
      <c r="X1252" s="232"/>
      <c r="Y1252" s="232"/>
      <c r="Z1252" s="232"/>
      <c r="AA1252" s="232"/>
      <c r="AB1252" s="232"/>
      <c r="AC1252" s="232"/>
      <c r="AD1252" s="232"/>
      <c r="AE1252" s="232"/>
      <c r="AF1252" s="232"/>
      <c r="AG1252" s="208"/>
      <c r="AH1252" s="208"/>
      <c r="AI1252" s="208"/>
      <c r="AJ1252" s="208"/>
      <c r="AK1252" s="208"/>
    </row>
    <row r="1253">
      <c r="A1253" s="208"/>
      <c r="B1253" s="208"/>
      <c r="C1253" s="208"/>
      <c r="D1253" s="208"/>
      <c r="E1253" s="208"/>
      <c r="F1253" s="208"/>
      <c r="G1253" s="208"/>
      <c r="H1253" s="232"/>
      <c r="I1253" s="233"/>
      <c r="J1253" s="208"/>
      <c r="K1253" s="208"/>
      <c r="L1253" s="208"/>
      <c r="M1253" s="208"/>
      <c r="N1253" s="208"/>
      <c r="O1253" s="208"/>
      <c r="P1253" s="208"/>
      <c r="Q1253" s="208"/>
      <c r="R1253" s="208"/>
      <c r="S1253" s="208"/>
      <c r="T1253" s="208"/>
      <c r="U1253" s="208"/>
      <c r="V1253" s="234"/>
      <c r="W1253" s="232"/>
      <c r="X1253" s="232"/>
      <c r="Y1253" s="232"/>
      <c r="Z1253" s="232"/>
      <c r="AA1253" s="232"/>
      <c r="AB1253" s="232"/>
      <c r="AC1253" s="232"/>
      <c r="AD1253" s="232"/>
      <c r="AE1253" s="232"/>
      <c r="AF1253" s="232"/>
      <c r="AG1253" s="208"/>
      <c r="AH1253" s="208"/>
      <c r="AI1253" s="208"/>
      <c r="AJ1253" s="208"/>
      <c r="AK1253" s="208"/>
    </row>
    <row r="1254">
      <c r="A1254" s="208"/>
      <c r="B1254" s="208"/>
      <c r="C1254" s="208"/>
      <c r="D1254" s="208"/>
      <c r="E1254" s="208"/>
      <c r="F1254" s="208"/>
      <c r="G1254" s="208"/>
      <c r="H1254" s="232"/>
      <c r="I1254" s="233"/>
      <c r="J1254" s="208"/>
      <c r="K1254" s="208"/>
      <c r="L1254" s="208"/>
      <c r="M1254" s="208"/>
      <c r="N1254" s="208"/>
      <c r="O1254" s="208"/>
      <c r="P1254" s="208"/>
      <c r="Q1254" s="208"/>
      <c r="R1254" s="208"/>
      <c r="S1254" s="208"/>
      <c r="T1254" s="208"/>
      <c r="U1254" s="208"/>
      <c r="V1254" s="234"/>
      <c r="W1254" s="232"/>
      <c r="X1254" s="232"/>
      <c r="Y1254" s="232"/>
      <c r="Z1254" s="232"/>
      <c r="AA1254" s="232"/>
      <c r="AB1254" s="232"/>
      <c r="AC1254" s="232"/>
      <c r="AD1254" s="232"/>
      <c r="AE1254" s="232"/>
      <c r="AF1254" s="232"/>
      <c r="AG1254" s="208"/>
      <c r="AH1254" s="208"/>
      <c r="AI1254" s="208"/>
      <c r="AJ1254" s="208"/>
      <c r="AK1254" s="208"/>
    </row>
    <row r="1255">
      <c r="A1255" s="208"/>
      <c r="B1255" s="208"/>
      <c r="C1255" s="208"/>
      <c r="D1255" s="208"/>
      <c r="E1255" s="208"/>
      <c r="F1255" s="208"/>
      <c r="G1255" s="208"/>
      <c r="H1255" s="232"/>
      <c r="I1255" s="233"/>
      <c r="J1255" s="208"/>
      <c r="K1255" s="208"/>
      <c r="L1255" s="208"/>
      <c r="M1255" s="208"/>
      <c r="N1255" s="208"/>
      <c r="O1255" s="208"/>
      <c r="P1255" s="208"/>
      <c r="Q1255" s="208"/>
      <c r="R1255" s="208"/>
      <c r="S1255" s="208"/>
      <c r="T1255" s="208"/>
      <c r="U1255" s="208"/>
      <c r="V1255" s="234"/>
      <c r="W1255" s="232"/>
      <c r="X1255" s="232"/>
      <c r="Y1255" s="232"/>
      <c r="Z1255" s="232"/>
      <c r="AA1255" s="232"/>
      <c r="AB1255" s="232"/>
      <c r="AC1255" s="232"/>
      <c r="AD1255" s="232"/>
      <c r="AE1255" s="232"/>
      <c r="AF1255" s="232"/>
      <c r="AG1255" s="208"/>
      <c r="AH1255" s="208"/>
      <c r="AI1255" s="208"/>
      <c r="AJ1255" s="208"/>
      <c r="AK1255" s="208"/>
    </row>
    <row r="1256">
      <c r="A1256" s="208"/>
      <c r="B1256" s="208"/>
      <c r="C1256" s="208"/>
      <c r="D1256" s="208"/>
      <c r="E1256" s="208"/>
      <c r="F1256" s="208"/>
      <c r="G1256" s="208"/>
      <c r="H1256" s="232"/>
      <c r="I1256" s="233"/>
      <c r="J1256" s="208"/>
      <c r="K1256" s="208"/>
      <c r="L1256" s="208"/>
      <c r="M1256" s="208"/>
      <c r="N1256" s="208"/>
      <c r="O1256" s="208"/>
      <c r="P1256" s="208"/>
      <c r="Q1256" s="208"/>
      <c r="R1256" s="208"/>
      <c r="S1256" s="208"/>
      <c r="T1256" s="208"/>
      <c r="U1256" s="208"/>
      <c r="V1256" s="234"/>
      <c r="W1256" s="232"/>
      <c r="X1256" s="232"/>
      <c r="Y1256" s="232"/>
      <c r="Z1256" s="232"/>
      <c r="AA1256" s="232"/>
      <c r="AB1256" s="232"/>
      <c r="AC1256" s="232"/>
      <c r="AD1256" s="232"/>
      <c r="AE1256" s="232"/>
      <c r="AF1256" s="232"/>
      <c r="AG1256" s="208"/>
      <c r="AH1256" s="208"/>
      <c r="AI1256" s="208"/>
      <c r="AJ1256" s="208"/>
      <c r="AK1256" s="208"/>
    </row>
    <row r="1257">
      <c r="A1257" s="208"/>
      <c r="B1257" s="208"/>
      <c r="C1257" s="208"/>
      <c r="D1257" s="208"/>
      <c r="E1257" s="208"/>
      <c r="F1257" s="208"/>
      <c r="G1257" s="208"/>
      <c r="H1257" s="232"/>
      <c r="I1257" s="233"/>
      <c r="J1257" s="208"/>
      <c r="K1257" s="208"/>
      <c r="L1257" s="208"/>
      <c r="M1257" s="208"/>
      <c r="N1257" s="208"/>
      <c r="O1257" s="208"/>
      <c r="P1257" s="208"/>
      <c r="Q1257" s="208"/>
      <c r="R1257" s="208"/>
      <c r="S1257" s="208"/>
      <c r="T1257" s="208"/>
      <c r="U1257" s="208"/>
      <c r="V1257" s="234"/>
      <c r="W1257" s="232"/>
      <c r="X1257" s="232"/>
      <c r="Y1257" s="232"/>
      <c r="Z1257" s="232"/>
      <c r="AA1257" s="232"/>
      <c r="AB1257" s="232"/>
      <c r="AC1257" s="232"/>
      <c r="AD1257" s="232"/>
      <c r="AE1257" s="232"/>
      <c r="AF1257" s="232"/>
      <c r="AG1257" s="208"/>
      <c r="AH1257" s="208"/>
      <c r="AI1257" s="208"/>
      <c r="AJ1257" s="208"/>
      <c r="AK1257" s="208"/>
    </row>
    <row r="1258">
      <c r="A1258" s="208"/>
      <c r="B1258" s="208"/>
      <c r="C1258" s="208"/>
      <c r="D1258" s="208"/>
      <c r="E1258" s="208"/>
      <c r="F1258" s="208"/>
      <c r="G1258" s="208"/>
      <c r="H1258" s="232"/>
      <c r="I1258" s="233"/>
      <c r="J1258" s="208"/>
      <c r="K1258" s="208"/>
      <c r="L1258" s="208"/>
      <c r="M1258" s="208"/>
      <c r="N1258" s="208"/>
      <c r="O1258" s="208"/>
      <c r="P1258" s="208"/>
      <c r="Q1258" s="208"/>
      <c r="R1258" s="208"/>
      <c r="S1258" s="208"/>
      <c r="T1258" s="208"/>
      <c r="U1258" s="208"/>
      <c r="V1258" s="234"/>
      <c r="W1258" s="232"/>
      <c r="X1258" s="232"/>
      <c r="Y1258" s="232"/>
      <c r="Z1258" s="232"/>
      <c r="AA1258" s="232"/>
      <c r="AB1258" s="232"/>
      <c r="AC1258" s="232"/>
      <c r="AD1258" s="232"/>
      <c r="AE1258" s="232"/>
      <c r="AF1258" s="232"/>
      <c r="AG1258" s="208"/>
      <c r="AH1258" s="208"/>
      <c r="AI1258" s="208"/>
      <c r="AJ1258" s="208"/>
      <c r="AK1258" s="208"/>
    </row>
    <row r="1259">
      <c r="A1259" s="208"/>
      <c r="B1259" s="208"/>
      <c r="C1259" s="208"/>
      <c r="D1259" s="208"/>
      <c r="E1259" s="208"/>
      <c r="F1259" s="208"/>
      <c r="G1259" s="208"/>
      <c r="H1259" s="232"/>
      <c r="I1259" s="233"/>
      <c r="J1259" s="208"/>
      <c r="K1259" s="208"/>
      <c r="L1259" s="208"/>
      <c r="M1259" s="208"/>
      <c r="N1259" s="208"/>
      <c r="O1259" s="208"/>
      <c r="P1259" s="208"/>
      <c r="Q1259" s="208"/>
      <c r="R1259" s="208"/>
      <c r="S1259" s="208"/>
      <c r="T1259" s="208"/>
      <c r="U1259" s="208"/>
      <c r="V1259" s="234"/>
      <c r="W1259" s="232"/>
      <c r="X1259" s="232"/>
      <c r="Y1259" s="232"/>
      <c r="Z1259" s="232"/>
      <c r="AA1259" s="232"/>
      <c r="AB1259" s="232"/>
      <c r="AC1259" s="232"/>
      <c r="AD1259" s="232"/>
      <c r="AE1259" s="232"/>
      <c r="AF1259" s="232"/>
      <c r="AG1259" s="208"/>
      <c r="AH1259" s="208"/>
      <c r="AI1259" s="208"/>
      <c r="AJ1259" s="208"/>
      <c r="AK1259" s="208"/>
    </row>
    <row r="1260">
      <c r="A1260" s="208"/>
      <c r="B1260" s="208"/>
      <c r="C1260" s="208"/>
      <c r="D1260" s="208"/>
      <c r="E1260" s="208"/>
      <c r="F1260" s="208"/>
      <c r="G1260" s="208"/>
      <c r="H1260" s="232"/>
      <c r="I1260" s="233"/>
      <c r="J1260" s="208"/>
      <c r="K1260" s="208"/>
      <c r="L1260" s="208"/>
      <c r="M1260" s="208"/>
      <c r="N1260" s="208"/>
      <c r="O1260" s="208"/>
      <c r="P1260" s="208"/>
      <c r="Q1260" s="208"/>
      <c r="R1260" s="208"/>
      <c r="S1260" s="208"/>
      <c r="T1260" s="208"/>
      <c r="U1260" s="208"/>
      <c r="V1260" s="234"/>
      <c r="W1260" s="232"/>
      <c r="X1260" s="232"/>
      <c r="Y1260" s="232"/>
      <c r="Z1260" s="232"/>
      <c r="AA1260" s="232"/>
      <c r="AB1260" s="232"/>
      <c r="AC1260" s="232"/>
      <c r="AD1260" s="232"/>
      <c r="AE1260" s="232"/>
      <c r="AF1260" s="232"/>
      <c r="AG1260" s="208"/>
      <c r="AH1260" s="208"/>
      <c r="AI1260" s="208"/>
      <c r="AJ1260" s="208"/>
      <c r="AK1260" s="208"/>
    </row>
    <row r="1261">
      <c r="A1261" s="208"/>
      <c r="B1261" s="208"/>
      <c r="C1261" s="208"/>
      <c r="D1261" s="208"/>
      <c r="E1261" s="208"/>
      <c r="F1261" s="208"/>
      <c r="G1261" s="208"/>
      <c r="H1261" s="232"/>
      <c r="I1261" s="233"/>
      <c r="J1261" s="208"/>
      <c r="K1261" s="208"/>
      <c r="L1261" s="208"/>
      <c r="M1261" s="208"/>
      <c r="N1261" s="208"/>
      <c r="O1261" s="208"/>
      <c r="P1261" s="208"/>
      <c r="Q1261" s="208"/>
      <c r="R1261" s="208"/>
      <c r="S1261" s="208"/>
      <c r="T1261" s="208"/>
      <c r="U1261" s="208"/>
      <c r="V1261" s="234"/>
      <c r="W1261" s="232"/>
      <c r="X1261" s="232"/>
      <c r="Y1261" s="232"/>
      <c r="Z1261" s="232"/>
      <c r="AA1261" s="232"/>
      <c r="AB1261" s="232"/>
      <c r="AC1261" s="232"/>
      <c r="AD1261" s="232"/>
      <c r="AE1261" s="232"/>
      <c r="AF1261" s="232"/>
      <c r="AG1261" s="208"/>
      <c r="AH1261" s="208"/>
      <c r="AI1261" s="208"/>
      <c r="AJ1261" s="208"/>
      <c r="AK1261" s="208"/>
    </row>
    <row r="1262">
      <c r="A1262" s="208"/>
      <c r="B1262" s="208"/>
      <c r="C1262" s="208"/>
      <c r="D1262" s="208"/>
      <c r="E1262" s="208"/>
      <c r="F1262" s="208"/>
      <c r="G1262" s="208"/>
      <c r="H1262" s="232"/>
      <c r="I1262" s="233"/>
      <c r="J1262" s="208"/>
      <c r="K1262" s="208"/>
      <c r="L1262" s="208"/>
      <c r="M1262" s="208"/>
      <c r="N1262" s="208"/>
      <c r="O1262" s="208"/>
      <c r="P1262" s="208"/>
      <c r="Q1262" s="208"/>
      <c r="R1262" s="208"/>
      <c r="S1262" s="208"/>
      <c r="T1262" s="208"/>
      <c r="U1262" s="208"/>
      <c r="V1262" s="234"/>
      <c r="W1262" s="232"/>
      <c r="X1262" s="232"/>
      <c r="Y1262" s="232"/>
      <c r="Z1262" s="232"/>
      <c r="AA1262" s="232"/>
      <c r="AB1262" s="232"/>
      <c r="AC1262" s="232"/>
      <c r="AD1262" s="232"/>
      <c r="AE1262" s="232"/>
      <c r="AF1262" s="232"/>
      <c r="AG1262" s="208"/>
      <c r="AH1262" s="208"/>
      <c r="AI1262" s="208"/>
      <c r="AJ1262" s="208"/>
      <c r="AK1262" s="208"/>
    </row>
    <row r="1263">
      <c r="A1263" s="208"/>
      <c r="B1263" s="208"/>
      <c r="C1263" s="208"/>
      <c r="D1263" s="208"/>
      <c r="E1263" s="208"/>
      <c r="F1263" s="208"/>
      <c r="G1263" s="208"/>
      <c r="H1263" s="232"/>
      <c r="I1263" s="233"/>
      <c r="J1263" s="208"/>
      <c r="K1263" s="208"/>
      <c r="L1263" s="208"/>
      <c r="M1263" s="208"/>
      <c r="N1263" s="208"/>
      <c r="O1263" s="208"/>
      <c r="P1263" s="208"/>
      <c r="Q1263" s="208"/>
      <c r="R1263" s="208"/>
      <c r="S1263" s="208"/>
      <c r="T1263" s="208"/>
      <c r="U1263" s="208"/>
      <c r="V1263" s="234"/>
      <c r="W1263" s="232"/>
      <c r="X1263" s="232"/>
      <c r="Y1263" s="232"/>
      <c r="Z1263" s="232"/>
      <c r="AA1263" s="232"/>
      <c r="AB1263" s="232"/>
      <c r="AC1263" s="232"/>
      <c r="AD1263" s="232"/>
      <c r="AE1263" s="232"/>
      <c r="AF1263" s="232"/>
      <c r="AG1263" s="208"/>
      <c r="AH1263" s="208"/>
      <c r="AI1263" s="208"/>
      <c r="AJ1263" s="208"/>
      <c r="AK1263" s="208"/>
    </row>
    <row r="1264">
      <c r="A1264" s="208"/>
      <c r="B1264" s="208"/>
      <c r="C1264" s="208"/>
      <c r="D1264" s="208"/>
      <c r="E1264" s="208"/>
      <c r="F1264" s="208"/>
      <c r="G1264" s="208"/>
      <c r="H1264" s="232"/>
      <c r="I1264" s="233"/>
      <c r="J1264" s="208"/>
      <c r="K1264" s="208"/>
      <c r="L1264" s="208"/>
      <c r="M1264" s="208"/>
      <c r="N1264" s="208"/>
      <c r="O1264" s="208"/>
      <c r="P1264" s="208"/>
      <c r="Q1264" s="208"/>
      <c r="R1264" s="208"/>
      <c r="S1264" s="208"/>
      <c r="T1264" s="208"/>
      <c r="U1264" s="208"/>
      <c r="V1264" s="234"/>
      <c r="W1264" s="232"/>
      <c r="X1264" s="232"/>
      <c r="Y1264" s="232"/>
      <c r="Z1264" s="232"/>
      <c r="AA1264" s="232"/>
      <c r="AB1264" s="232"/>
      <c r="AC1264" s="232"/>
      <c r="AD1264" s="232"/>
      <c r="AE1264" s="232"/>
      <c r="AF1264" s="232"/>
      <c r="AG1264" s="208"/>
      <c r="AH1264" s="208"/>
      <c r="AI1264" s="208"/>
      <c r="AJ1264" s="208"/>
      <c r="AK1264" s="208"/>
    </row>
    <row r="1265">
      <c r="A1265" s="208"/>
      <c r="B1265" s="208"/>
      <c r="C1265" s="208"/>
      <c r="D1265" s="208"/>
      <c r="E1265" s="208"/>
      <c r="F1265" s="208"/>
      <c r="G1265" s="208"/>
      <c r="H1265" s="232"/>
      <c r="I1265" s="233"/>
      <c r="J1265" s="208"/>
      <c r="K1265" s="208"/>
      <c r="L1265" s="208"/>
      <c r="M1265" s="208"/>
      <c r="N1265" s="208"/>
      <c r="O1265" s="208"/>
      <c r="P1265" s="208"/>
      <c r="Q1265" s="208"/>
      <c r="R1265" s="208"/>
      <c r="S1265" s="208"/>
      <c r="T1265" s="208"/>
      <c r="U1265" s="208"/>
      <c r="V1265" s="234"/>
      <c r="W1265" s="232"/>
      <c r="X1265" s="232"/>
      <c r="Y1265" s="232"/>
      <c r="Z1265" s="232"/>
      <c r="AA1265" s="232"/>
      <c r="AB1265" s="232"/>
      <c r="AC1265" s="232"/>
      <c r="AD1265" s="232"/>
      <c r="AE1265" s="232"/>
      <c r="AF1265" s="232"/>
      <c r="AG1265" s="208"/>
      <c r="AH1265" s="208"/>
      <c r="AI1265" s="208"/>
      <c r="AJ1265" s="208"/>
      <c r="AK1265" s="208"/>
    </row>
    <row r="1266">
      <c r="A1266" s="208"/>
      <c r="B1266" s="208"/>
      <c r="C1266" s="208"/>
      <c r="D1266" s="208"/>
      <c r="E1266" s="208"/>
      <c r="F1266" s="208"/>
      <c r="G1266" s="208"/>
      <c r="H1266" s="232"/>
      <c r="I1266" s="233"/>
      <c r="J1266" s="208"/>
      <c r="K1266" s="208"/>
      <c r="L1266" s="208"/>
      <c r="M1266" s="208"/>
      <c r="N1266" s="208"/>
      <c r="O1266" s="208"/>
      <c r="P1266" s="208"/>
      <c r="Q1266" s="208"/>
      <c r="R1266" s="208"/>
      <c r="S1266" s="208"/>
      <c r="T1266" s="208"/>
      <c r="U1266" s="208"/>
      <c r="V1266" s="234"/>
      <c r="W1266" s="232"/>
      <c r="X1266" s="232"/>
      <c r="Y1266" s="232"/>
      <c r="Z1266" s="232"/>
      <c r="AA1266" s="232"/>
      <c r="AB1266" s="232"/>
      <c r="AC1266" s="232"/>
      <c r="AD1266" s="232"/>
      <c r="AE1266" s="232"/>
      <c r="AF1266" s="232"/>
      <c r="AG1266" s="208"/>
      <c r="AH1266" s="208"/>
      <c r="AI1266" s="208"/>
      <c r="AJ1266" s="208"/>
      <c r="AK1266" s="208"/>
    </row>
    <row r="1267">
      <c r="A1267" s="208"/>
      <c r="B1267" s="208"/>
      <c r="C1267" s="208"/>
      <c r="D1267" s="208"/>
      <c r="E1267" s="208"/>
      <c r="F1267" s="208"/>
      <c r="G1267" s="208"/>
      <c r="H1267" s="232"/>
      <c r="I1267" s="233"/>
      <c r="J1267" s="208"/>
      <c r="K1267" s="208"/>
      <c r="L1267" s="208"/>
      <c r="M1267" s="208"/>
      <c r="N1267" s="208"/>
      <c r="O1267" s="208"/>
      <c r="P1267" s="208"/>
      <c r="Q1267" s="208"/>
      <c r="R1267" s="208"/>
      <c r="S1267" s="208"/>
      <c r="T1267" s="208"/>
      <c r="U1267" s="208"/>
      <c r="V1267" s="234"/>
      <c r="W1267" s="232"/>
      <c r="X1267" s="232"/>
      <c r="Y1267" s="232"/>
      <c r="Z1267" s="232"/>
      <c r="AA1267" s="232"/>
      <c r="AB1267" s="232"/>
      <c r="AC1267" s="232"/>
      <c r="AD1267" s="232"/>
      <c r="AE1267" s="232"/>
      <c r="AF1267" s="232"/>
      <c r="AG1267" s="208"/>
      <c r="AH1267" s="208"/>
      <c r="AI1267" s="208"/>
      <c r="AJ1267" s="208"/>
      <c r="AK1267" s="208"/>
    </row>
    <row r="1268">
      <c r="A1268" s="208"/>
      <c r="B1268" s="208"/>
      <c r="C1268" s="208"/>
      <c r="D1268" s="208"/>
      <c r="E1268" s="208"/>
      <c r="F1268" s="208"/>
      <c r="G1268" s="208"/>
      <c r="H1268" s="232"/>
      <c r="I1268" s="233"/>
      <c r="J1268" s="208"/>
      <c r="K1268" s="208"/>
      <c r="L1268" s="208"/>
      <c r="M1268" s="208"/>
      <c r="N1268" s="208"/>
      <c r="O1268" s="208"/>
      <c r="P1268" s="208"/>
      <c r="Q1268" s="208"/>
      <c r="R1268" s="208"/>
      <c r="S1268" s="208"/>
      <c r="T1268" s="208"/>
      <c r="U1268" s="208"/>
      <c r="V1268" s="234"/>
      <c r="W1268" s="232"/>
      <c r="X1268" s="232"/>
      <c r="Y1268" s="232"/>
      <c r="Z1268" s="232"/>
      <c r="AA1268" s="232"/>
      <c r="AB1268" s="232"/>
      <c r="AC1268" s="232"/>
      <c r="AD1268" s="232"/>
      <c r="AE1268" s="232"/>
      <c r="AF1268" s="232"/>
      <c r="AG1268" s="208"/>
      <c r="AH1268" s="208"/>
      <c r="AI1268" s="208"/>
      <c r="AJ1268" s="208"/>
      <c r="AK1268" s="208"/>
    </row>
    <row r="1269">
      <c r="A1269" s="208"/>
      <c r="B1269" s="208"/>
      <c r="C1269" s="208"/>
      <c r="D1269" s="208"/>
      <c r="E1269" s="208"/>
      <c r="F1269" s="208"/>
      <c r="G1269" s="208"/>
      <c r="H1269" s="232"/>
      <c r="I1269" s="233"/>
      <c r="J1269" s="208"/>
      <c r="K1269" s="208"/>
      <c r="L1269" s="208"/>
      <c r="M1269" s="208"/>
      <c r="N1269" s="208"/>
      <c r="O1269" s="208"/>
      <c r="P1269" s="208"/>
      <c r="Q1269" s="208"/>
      <c r="R1269" s="208"/>
      <c r="S1269" s="208"/>
      <c r="T1269" s="208"/>
      <c r="U1269" s="208"/>
      <c r="V1269" s="234"/>
      <c r="W1269" s="232"/>
      <c r="X1269" s="232"/>
      <c r="Y1269" s="232"/>
      <c r="Z1269" s="232"/>
      <c r="AA1269" s="232"/>
      <c r="AB1269" s="232"/>
      <c r="AC1269" s="232"/>
      <c r="AD1269" s="232"/>
      <c r="AE1269" s="232"/>
      <c r="AF1269" s="232"/>
      <c r="AG1269" s="208"/>
      <c r="AH1269" s="208"/>
      <c r="AI1269" s="208"/>
      <c r="AJ1269" s="208"/>
      <c r="AK1269" s="208"/>
    </row>
    <row r="1270">
      <c r="A1270" s="208"/>
      <c r="B1270" s="208"/>
      <c r="C1270" s="208"/>
      <c r="D1270" s="208"/>
      <c r="E1270" s="208"/>
      <c r="F1270" s="208"/>
      <c r="G1270" s="208"/>
      <c r="H1270" s="232"/>
      <c r="I1270" s="233"/>
      <c r="J1270" s="208"/>
      <c r="K1270" s="208"/>
      <c r="L1270" s="208"/>
      <c r="M1270" s="208"/>
      <c r="N1270" s="208"/>
      <c r="O1270" s="208"/>
      <c r="P1270" s="208"/>
      <c r="Q1270" s="208"/>
      <c r="R1270" s="208"/>
      <c r="S1270" s="208"/>
      <c r="T1270" s="208"/>
      <c r="U1270" s="208"/>
      <c r="V1270" s="234"/>
      <c r="W1270" s="232"/>
      <c r="X1270" s="232"/>
      <c r="Y1270" s="232"/>
      <c r="Z1270" s="232"/>
      <c r="AA1270" s="232"/>
      <c r="AB1270" s="232"/>
      <c r="AC1270" s="232"/>
      <c r="AD1270" s="232"/>
      <c r="AE1270" s="232"/>
      <c r="AF1270" s="232"/>
      <c r="AG1270" s="208"/>
      <c r="AH1270" s="208"/>
      <c r="AI1270" s="208"/>
      <c r="AJ1270" s="208"/>
      <c r="AK1270" s="208"/>
    </row>
    <row r="1271">
      <c r="A1271" s="208"/>
      <c r="B1271" s="208"/>
      <c r="C1271" s="208"/>
      <c r="D1271" s="208"/>
      <c r="E1271" s="208"/>
      <c r="F1271" s="208"/>
      <c r="G1271" s="208"/>
      <c r="H1271" s="232"/>
      <c r="I1271" s="233"/>
      <c r="J1271" s="208"/>
      <c r="K1271" s="208"/>
      <c r="L1271" s="208"/>
      <c r="M1271" s="208"/>
      <c r="N1271" s="208"/>
      <c r="O1271" s="208"/>
      <c r="P1271" s="208"/>
      <c r="Q1271" s="208"/>
      <c r="R1271" s="208"/>
      <c r="S1271" s="208"/>
      <c r="T1271" s="208"/>
      <c r="U1271" s="208"/>
      <c r="V1271" s="234"/>
      <c r="W1271" s="232"/>
      <c r="X1271" s="232"/>
      <c r="Y1271" s="232"/>
      <c r="Z1271" s="232"/>
      <c r="AA1271" s="232"/>
      <c r="AB1271" s="232"/>
      <c r="AC1271" s="232"/>
      <c r="AD1271" s="232"/>
      <c r="AE1271" s="232"/>
      <c r="AF1271" s="232"/>
      <c r="AG1271" s="208"/>
      <c r="AH1271" s="208"/>
      <c r="AI1271" s="208"/>
      <c r="AJ1271" s="208"/>
      <c r="AK1271" s="208"/>
    </row>
    <row r="1272">
      <c r="A1272" s="208"/>
      <c r="B1272" s="208"/>
      <c r="C1272" s="208"/>
      <c r="D1272" s="208"/>
      <c r="E1272" s="208"/>
      <c r="F1272" s="208"/>
      <c r="G1272" s="208"/>
      <c r="H1272" s="232"/>
      <c r="I1272" s="233"/>
      <c r="J1272" s="208"/>
      <c r="K1272" s="208"/>
      <c r="L1272" s="208"/>
      <c r="M1272" s="208"/>
      <c r="N1272" s="208"/>
      <c r="O1272" s="208"/>
      <c r="P1272" s="208"/>
      <c r="Q1272" s="208"/>
      <c r="R1272" s="208"/>
      <c r="S1272" s="208"/>
      <c r="T1272" s="208"/>
      <c r="U1272" s="208"/>
      <c r="V1272" s="234"/>
      <c r="W1272" s="232"/>
      <c r="X1272" s="232"/>
      <c r="Y1272" s="232"/>
      <c r="Z1272" s="232"/>
      <c r="AA1272" s="232"/>
      <c r="AB1272" s="232"/>
      <c r="AC1272" s="232"/>
      <c r="AD1272" s="232"/>
      <c r="AE1272" s="232"/>
      <c r="AF1272" s="232"/>
      <c r="AG1272" s="208"/>
      <c r="AH1272" s="208"/>
      <c r="AI1272" s="208"/>
      <c r="AJ1272" s="208"/>
      <c r="AK1272" s="208"/>
    </row>
    <row r="1273">
      <c r="A1273" s="208"/>
      <c r="B1273" s="208"/>
      <c r="C1273" s="208"/>
      <c r="D1273" s="208"/>
      <c r="E1273" s="208"/>
      <c r="F1273" s="208"/>
      <c r="G1273" s="208"/>
      <c r="H1273" s="232"/>
      <c r="I1273" s="233"/>
      <c r="J1273" s="208"/>
      <c r="K1273" s="208"/>
      <c r="L1273" s="208"/>
      <c r="M1273" s="208"/>
      <c r="N1273" s="208"/>
      <c r="O1273" s="208"/>
      <c r="P1273" s="208"/>
      <c r="Q1273" s="208"/>
      <c r="R1273" s="208"/>
      <c r="S1273" s="208"/>
      <c r="T1273" s="208"/>
      <c r="U1273" s="208"/>
      <c r="V1273" s="234"/>
      <c r="W1273" s="232"/>
      <c r="X1273" s="232"/>
      <c r="Y1273" s="232"/>
      <c r="Z1273" s="232"/>
      <c r="AA1273" s="232"/>
      <c r="AB1273" s="232"/>
      <c r="AC1273" s="232"/>
      <c r="AD1273" s="232"/>
      <c r="AE1273" s="232"/>
      <c r="AF1273" s="232"/>
      <c r="AG1273" s="208"/>
      <c r="AH1273" s="208"/>
      <c r="AI1273" s="208"/>
      <c r="AJ1273" s="208"/>
      <c r="AK1273" s="208"/>
    </row>
    <row r="1274">
      <c r="A1274" s="208"/>
      <c r="B1274" s="208"/>
      <c r="C1274" s="208"/>
      <c r="D1274" s="208"/>
      <c r="E1274" s="208"/>
      <c r="F1274" s="208"/>
      <c r="G1274" s="208"/>
      <c r="H1274" s="232"/>
      <c r="I1274" s="233"/>
      <c r="J1274" s="208"/>
      <c r="K1274" s="208"/>
      <c r="L1274" s="208"/>
      <c r="M1274" s="208"/>
      <c r="N1274" s="208"/>
      <c r="O1274" s="208"/>
      <c r="P1274" s="208"/>
      <c r="Q1274" s="208"/>
      <c r="R1274" s="208"/>
      <c r="S1274" s="208"/>
      <c r="T1274" s="208"/>
      <c r="U1274" s="208"/>
      <c r="V1274" s="234"/>
      <c r="W1274" s="232"/>
      <c r="X1274" s="232"/>
      <c r="Y1274" s="232"/>
      <c r="Z1274" s="232"/>
      <c r="AA1274" s="232"/>
      <c r="AB1274" s="232"/>
      <c r="AC1274" s="232"/>
      <c r="AD1274" s="232"/>
      <c r="AE1274" s="232"/>
      <c r="AF1274" s="232"/>
      <c r="AG1274" s="208"/>
      <c r="AH1274" s="208"/>
      <c r="AI1274" s="208"/>
      <c r="AJ1274" s="208"/>
      <c r="AK1274" s="208"/>
    </row>
    <row r="1275">
      <c r="A1275" s="208"/>
      <c r="B1275" s="208"/>
      <c r="C1275" s="208"/>
      <c r="D1275" s="208"/>
      <c r="E1275" s="208"/>
      <c r="F1275" s="208"/>
      <c r="G1275" s="208"/>
      <c r="H1275" s="232"/>
      <c r="I1275" s="233"/>
      <c r="J1275" s="208"/>
      <c r="K1275" s="208"/>
      <c r="L1275" s="208"/>
      <c r="M1275" s="208"/>
      <c r="N1275" s="208"/>
      <c r="O1275" s="208"/>
      <c r="P1275" s="208"/>
      <c r="Q1275" s="208"/>
      <c r="R1275" s="208"/>
      <c r="S1275" s="208"/>
      <c r="T1275" s="208"/>
      <c r="U1275" s="208"/>
      <c r="V1275" s="234"/>
      <c r="W1275" s="232"/>
      <c r="X1275" s="232"/>
      <c r="Y1275" s="232"/>
      <c r="Z1275" s="232"/>
      <c r="AA1275" s="232"/>
      <c r="AB1275" s="232"/>
      <c r="AC1275" s="232"/>
      <c r="AD1275" s="232"/>
      <c r="AE1275" s="232"/>
      <c r="AF1275" s="232"/>
      <c r="AG1275" s="208"/>
      <c r="AH1275" s="208"/>
      <c r="AI1275" s="208"/>
      <c r="AJ1275" s="208"/>
      <c r="AK1275" s="208"/>
    </row>
    <row r="1276">
      <c r="A1276" s="208"/>
      <c r="B1276" s="208"/>
      <c r="C1276" s="208"/>
      <c r="D1276" s="208"/>
      <c r="E1276" s="208"/>
      <c r="F1276" s="208"/>
      <c r="G1276" s="208"/>
      <c r="H1276" s="232"/>
      <c r="I1276" s="233"/>
      <c r="J1276" s="208"/>
      <c r="K1276" s="208"/>
      <c r="L1276" s="208"/>
      <c r="M1276" s="208"/>
      <c r="N1276" s="208"/>
      <c r="O1276" s="208"/>
      <c r="P1276" s="208"/>
      <c r="Q1276" s="208"/>
      <c r="R1276" s="208"/>
      <c r="S1276" s="208"/>
      <c r="T1276" s="208"/>
      <c r="U1276" s="208"/>
      <c r="V1276" s="234"/>
      <c r="W1276" s="232"/>
      <c r="X1276" s="232"/>
      <c r="Y1276" s="232"/>
      <c r="Z1276" s="232"/>
      <c r="AA1276" s="232"/>
      <c r="AB1276" s="232"/>
      <c r="AC1276" s="232"/>
      <c r="AD1276" s="232"/>
      <c r="AE1276" s="232"/>
      <c r="AF1276" s="232"/>
      <c r="AG1276" s="208"/>
      <c r="AH1276" s="208"/>
      <c r="AI1276" s="208"/>
      <c r="AJ1276" s="208"/>
      <c r="AK1276" s="208"/>
    </row>
    <row r="1277">
      <c r="A1277" s="208"/>
      <c r="B1277" s="208"/>
      <c r="C1277" s="208"/>
      <c r="D1277" s="208"/>
      <c r="E1277" s="208"/>
      <c r="F1277" s="208"/>
      <c r="G1277" s="208"/>
      <c r="H1277" s="232"/>
      <c r="I1277" s="233"/>
      <c r="J1277" s="208"/>
      <c r="K1277" s="208"/>
      <c r="L1277" s="208"/>
      <c r="M1277" s="208"/>
      <c r="N1277" s="208"/>
      <c r="O1277" s="208"/>
      <c r="P1277" s="208"/>
      <c r="Q1277" s="208"/>
      <c r="R1277" s="208"/>
      <c r="S1277" s="208"/>
      <c r="T1277" s="208"/>
      <c r="U1277" s="208"/>
      <c r="V1277" s="234"/>
      <c r="W1277" s="232"/>
      <c r="X1277" s="232"/>
      <c r="Y1277" s="232"/>
      <c r="Z1277" s="232"/>
      <c r="AA1277" s="232"/>
      <c r="AB1277" s="232"/>
      <c r="AC1277" s="232"/>
      <c r="AD1277" s="232"/>
      <c r="AE1277" s="232"/>
      <c r="AF1277" s="232"/>
      <c r="AG1277" s="208"/>
      <c r="AH1277" s="208"/>
      <c r="AI1277" s="208"/>
      <c r="AJ1277" s="208"/>
      <c r="AK1277" s="208"/>
    </row>
    <row r="1278">
      <c r="A1278" s="208"/>
      <c r="B1278" s="208"/>
      <c r="C1278" s="208"/>
      <c r="D1278" s="208"/>
      <c r="E1278" s="208"/>
      <c r="F1278" s="208"/>
      <c r="G1278" s="208"/>
      <c r="H1278" s="232"/>
      <c r="I1278" s="233"/>
      <c r="J1278" s="208"/>
      <c r="K1278" s="208"/>
      <c r="L1278" s="208"/>
      <c r="M1278" s="208"/>
      <c r="N1278" s="208"/>
      <c r="O1278" s="208"/>
      <c r="P1278" s="208"/>
      <c r="Q1278" s="208"/>
      <c r="R1278" s="208"/>
      <c r="S1278" s="208"/>
      <c r="T1278" s="208"/>
      <c r="U1278" s="208"/>
      <c r="V1278" s="234"/>
      <c r="W1278" s="232"/>
      <c r="X1278" s="232"/>
      <c r="Y1278" s="232"/>
      <c r="Z1278" s="232"/>
      <c r="AA1278" s="232"/>
      <c r="AB1278" s="232"/>
      <c r="AC1278" s="232"/>
      <c r="AD1278" s="232"/>
      <c r="AE1278" s="232"/>
      <c r="AF1278" s="232"/>
      <c r="AG1278" s="208"/>
      <c r="AH1278" s="208"/>
      <c r="AI1278" s="208"/>
      <c r="AJ1278" s="208"/>
      <c r="AK1278" s="208"/>
    </row>
    <row r="1279">
      <c r="A1279" s="208"/>
      <c r="B1279" s="208"/>
      <c r="C1279" s="208"/>
      <c r="D1279" s="208"/>
      <c r="E1279" s="208"/>
      <c r="F1279" s="208"/>
      <c r="G1279" s="208"/>
      <c r="H1279" s="232"/>
      <c r="I1279" s="233"/>
      <c r="J1279" s="208"/>
      <c r="K1279" s="208"/>
      <c r="L1279" s="208"/>
      <c r="M1279" s="208"/>
      <c r="N1279" s="208"/>
      <c r="O1279" s="208"/>
      <c r="P1279" s="208"/>
      <c r="Q1279" s="208"/>
      <c r="R1279" s="208"/>
      <c r="S1279" s="208"/>
      <c r="T1279" s="208"/>
      <c r="U1279" s="208"/>
      <c r="V1279" s="234"/>
      <c r="W1279" s="232"/>
      <c r="X1279" s="232"/>
      <c r="Y1279" s="232"/>
      <c r="Z1279" s="232"/>
      <c r="AA1279" s="232"/>
      <c r="AB1279" s="232"/>
      <c r="AC1279" s="232"/>
      <c r="AD1279" s="232"/>
      <c r="AE1279" s="232"/>
      <c r="AF1279" s="232"/>
      <c r="AG1279" s="208"/>
      <c r="AH1279" s="208"/>
      <c r="AI1279" s="208"/>
      <c r="AJ1279" s="208"/>
      <c r="AK1279" s="208"/>
    </row>
    <row r="1280">
      <c r="A1280" s="208"/>
      <c r="B1280" s="208"/>
      <c r="C1280" s="208"/>
      <c r="D1280" s="208"/>
      <c r="E1280" s="208"/>
      <c r="F1280" s="208"/>
      <c r="G1280" s="208"/>
      <c r="H1280" s="232"/>
      <c r="I1280" s="233"/>
      <c r="J1280" s="208"/>
      <c r="K1280" s="208"/>
      <c r="L1280" s="208"/>
      <c r="M1280" s="208"/>
      <c r="N1280" s="208"/>
      <c r="O1280" s="208"/>
      <c r="P1280" s="208"/>
      <c r="Q1280" s="208"/>
      <c r="R1280" s="208"/>
      <c r="S1280" s="208"/>
      <c r="T1280" s="208"/>
      <c r="U1280" s="208"/>
      <c r="V1280" s="234"/>
      <c r="W1280" s="232"/>
      <c r="X1280" s="232"/>
      <c r="Y1280" s="232"/>
      <c r="Z1280" s="232"/>
      <c r="AA1280" s="232"/>
      <c r="AB1280" s="232"/>
      <c r="AC1280" s="232"/>
      <c r="AD1280" s="232"/>
      <c r="AE1280" s="232"/>
      <c r="AF1280" s="232"/>
      <c r="AG1280" s="208"/>
      <c r="AH1280" s="208"/>
      <c r="AI1280" s="208"/>
      <c r="AJ1280" s="208"/>
      <c r="AK1280" s="208"/>
    </row>
    <row r="1281">
      <c r="A1281" s="208"/>
      <c r="B1281" s="208"/>
      <c r="C1281" s="208"/>
      <c r="D1281" s="208"/>
      <c r="E1281" s="208"/>
      <c r="F1281" s="208"/>
      <c r="G1281" s="208"/>
      <c r="H1281" s="232"/>
      <c r="I1281" s="233"/>
      <c r="J1281" s="208"/>
      <c r="K1281" s="208"/>
      <c r="L1281" s="208"/>
      <c r="M1281" s="208"/>
      <c r="N1281" s="208"/>
      <c r="O1281" s="208"/>
      <c r="P1281" s="208"/>
      <c r="Q1281" s="208"/>
      <c r="R1281" s="208"/>
      <c r="S1281" s="208"/>
      <c r="T1281" s="208"/>
      <c r="U1281" s="208"/>
      <c r="V1281" s="234"/>
      <c r="W1281" s="232"/>
      <c r="X1281" s="232"/>
      <c r="Y1281" s="232"/>
      <c r="Z1281" s="232"/>
      <c r="AA1281" s="232"/>
      <c r="AB1281" s="232"/>
      <c r="AC1281" s="232"/>
      <c r="AD1281" s="232"/>
      <c r="AE1281" s="232"/>
      <c r="AF1281" s="232"/>
      <c r="AG1281" s="208"/>
      <c r="AH1281" s="208"/>
      <c r="AI1281" s="208"/>
      <c r="AJ1281" s="208"/>
      <c r="AK1281" s="208"/>
    </row>
    <row r="1282">
      <c r="A1282" s="208"/>
      <c r="B1282" s="208"/>
      <c r="C1282" s="208"/>
      <c r="D1282" s="208"/>
      <c r="E1282" s="208"/>
      <c r="F1282" s="208"/>
      <c r="G1282" s="208"/>
      <c r="H1282" s="232"/>
      <c r="I1282" s="233"/>
      <c r="J1282" s="208"/>
      <c r="K1282" s="208"/>
      <c r="L1282" s="208"/>
      <c r="M1282" s="208"/>
      <c r="N1282" s="208"/>
      <c r="O1282" s="208"/>
      <c r="P1282" s="208"/>
      <c r="Q1282" s="208"/>
      <c r="R1282" s="208"/>
      <c r="S1282" s="208"/>
      <c r="T1282" s="208"/>
      <c r="U1282" s="208"/>
      <c r="V1282" s="234"/>
      <c r="W1282" s="232"/>
      <c r="X1282" s="232"/>
      <c r="Y1282" s="232"/>
      <c r="Z1282" s="232"/>
      <c r="AA1282" s="232"/>
      <c r="AB1282" s="232"/>
      <c r="AC1282" s="232"/>
      <c r="AD1282" s="232"/>
      <c r="AE1282" s="232"/>
      <c r="AF1282" s="232"/>
      <c r="AG1282" s="208"/>
      <c r="AH1282" s="208"/>
      <c r="AI1282" s="208"/>
      <c r="AJ1282" s="208"/>
      <c r="AK1282" s="208"/>
    </row>
    <row r="1283">
      <c r="A1283" s="208"/>
      <c r="B1283" s="208"/>
      <c r="C1283" s="208"/>
      <c r="D1283" s="208"/>
      <c r="E1283" s="208"/>
      <c r="F1283" s="208"/>
      <c r="G1283" s="208"/>
      <c r="H1283" s="232"/>
      <c r="I1283" s="233"/>
      <c r="J1283" s="208"/>
      <c r="K1283" s="208"/>
      <c r="L1283" s="208"/>
      <c r="M1283" s="208"/>
      <c r="N1283" s="208"/>
      <c r="O1283" s="208"/>
      <c r="P1283" s="208"/>
      <c r="Q1283" s="208"/>
      <c r="R1283" s="208"/>
      <c r="S1283" s="208"/>
      <c r="T1283" s="208"/>
      <c r="U1283" s="208"/>
      <c r="V1283" s="234"/>
      <c r="W1283" s="232"/>
      <c r="X1283" s="232"/>
      <c r="Y1283" s="232"/>
      <c r="Z1283" s="232"/>
      <c r="AA1283" s="232"/>
      <c r="AB1283" s="232"/>
      <c r="AC1283" s="232"/>
      <c r="AD1283" s="232"/>
      <c r="AE1283" s="232"/>
      <c r="AF1283" s="232"/>
      <c r="AG1283" s="208"/>
      <c r="AH1283" s="208"/>
      <c r="AI1283" s="208"/>
      <c r="AJ1283" s="208"/>
      <c r="AK1283" s="208"/>
    </row>
    <row r="1284">
      <c r="A1284" s="208"/>
      <c r="B1284" s="208"/>
      <c r="C1284" s="208"/>
      <c r="D1284" s="208"/>
      <c r="E1284" s="208"/>
      <c r="F1284" s="208"/>
      <c r="G1284" s="208"/>
      <c r="H1284" s="232"/>
      <c r="I1284" s="233"/>
      <c r="J1284" s="208"/>
      <c r="K1284" s="208"/>
      <c r="L1284" s="208"/>
      <c r="M1284" s="208"/>
      <c r="N1284" s="208"/>
      <c r="O1284" s="208"/>
      <c r="P1284" s="208"/>
      <c r="Q1284" s="208"/>
      <c r="R1284" s="208"/>
      <c r="S1284" s="208"/>
      <c r="T1284" s="208"/>
      <c r="U1284" s="208"/>
      <c r="V1284" s="234"/>
      <c r="W1284" s="232"/>
      <c r="X1284" s="232"/>
      <c r="Y1284" s="232"/>
      <c r="Z1284" s="232"/>
      <c r="AA1284" s="232"/>
      <c r="AB1284" s="232"/>
      <c r="AC1284" s="232"/>
      <c r="AD1284" s="232"/>
      <c r="AE1284" s="232"/>
      <c r="AF1284" s="232"/>
      <c r="AG1284" s="208"/>
      <c r="AH1284" s="208"/>
      <c r="AI1284" s="208"/>
      <c r="AJ1284" s="208"/>
      <c r="AK1284" s="208"/>
    </row>
    <row r="1285">
      <c r="A1285" s="208"/>
      <c r="B1285" s="208"/>
      <c r="C1285" s="208"/>
      <c r="D1285" s="208"/>
      <c r="E1285" s="208"/>
      <c r="F1285" s="208"/>
      <c r="G1285" s="208"/>
      <c r="H1285" s="232"/>
      <c r="I1285" s="233"/>
      <c r="J1285" s="208"/>
      <c r="K1285" s="208"/>
      <c r="L1285" s="208"/>
      <c r="M1285" s="208"/>
      <c r="N1285" s="208"/>
      <c r="O1285" s="208"/>
      <c r="P1285" s="208"/>
      <c r="Q1285" s="208"/>
      <c r="R1285" s="208"/>
      <c r="S1285" s="208"/>
      <c r="T1285" s="208"/>
      <c r="U1285" s="208"/>
      <c r="V1285" s="234"/>
      <c r="W1285" s="232"/>
      <c r="X1285" s="232"/>
      <c r="Y1285" s="232"/>
      <c r="Z1285" s="232"/>
      <c r="AA1285" s="232"/>
      <c r="AB1285" s="232"/>
      <c r="AC1285" s="232"/>
      <c r="AD1285" s="232"/>
      <c r="AE1285" s="232"/>
      <c r="AF1285" s="232"/>
      <c r="AG1285" s="208"/>
      <c r="AH1285" s="208"/>
      <c r="AI1285" s="208"/>
      <c r="AJ1285" s="208"/>
      <c r="AK1285" s="208"/>
    </row>
    <row r="1286">
      <c r="A1286" s="208"/>
      <c r="B1286" s="208"/>
      <c r="C1286" s="208"/>
      <c r="D1286" s="208"/>
      <c r="E1286" s="208"/>
      <c r="F1286" s="208"/>
      <c r="G1286" s="208"/>
      <c r="H1286" s="232"/>
      <c r="I1286" s="233"/>
      <c r="J1286" s="208"/>
      <c r="K1286" s="208"/>
      <c r="L1286" s="208"/>
      <c r="M1286" s="208"/>
      <c r="N1286" s="208"/>
      <c r="O1286" s="208"/>
      <c r="P1286" s="208"/>
      <c r="Q1286" s="208"/>
      <c r="R1286" s="208"/>
      <c r="S1286" s="208"/>
      <c r="T1286" s="208"/>
      <c r="U1286" s="208"/>
      <c r="V1286" s="234"/>
      <c r="W1286" s="232"/>
      <c r="X1286" s="232"/>
      <c r="Y1286" s="232"/>
      <c r="Z1286" s="232"/>
      <c r="AA1286" s="232"/>
      <c r="AB1286" s="232"/>
      <c r="AC1286" s="232"/>
      <c r="AD1286" s="232"/>
      <c r="AE1286" s="232"/>
      <c r="AF1286" s="232"/>
      <c r="AG1286" s="208"/>
      <c r="AH1286" s="208"/>
      <c r="AI1286" s="208"/>
      <c r="AJ1286" s="208"/>
      <c r="AK1286" s="208"/>
    </row>
    <row r="1287">
      <c r="A1287" s="208"/>
      <c r="B1287" s="208"/>
      <c r="C1287" s="208"/>
      <c r="D1287" s="208"/>
      <c r="E1287" s="208"/>
      <c r="F1287" s="208"/>
      <c r="G1287" s="208"/>
      <c r="H1287" s="232"/>
      <c r="I1287" s="233"/>
      <c r="J1287" s="208"/>
      <c r="K1287" s="208"/>
      <c r="L1287" s="208"/>
      <c r="M1287" s="208"/>
      <c r="N1287" s="208"/>
      <c r="O1287" s="208"/>
      <c r="P1287" s="208"/>
      <c r="Q1287" s="208"/>
      <c r="R1287" s="208"/>
      <c r="S1287" s="208"/>
      <c r="T1287" s="208"/>
      <c r="U1287" s="208"/>
      <c r="V1287" s="234"/>
      <c r="W1287" s="232"/>
      <c r="X1287" s="232"/>
      <c r="Y1287" s="232"/>
      <c r="Z1287" s="232"/>
      <c r="AA1287" s="232"/>
      <c r="AB1287" s="232"/>
      <c r="AC1287" s="232"/>
      <c r="AD1287" s="232"/>
      <c r="AE1287" s="232"/>
      <c r="AF1287" s="232"/>
      <c r="AG1287" s="208"/>
      <c r="AH1287" s="208"/>
      <c r="AI1287" s="208"/>
      <c r="AJ1287" s="208"/>
      <c r="AK1287" s="208"/>
    </row>
    <row r="1288">
      <c r="A1288" s="208"/>
      <c r="B1288" s="208"/>
      <c r="C1288" s="208"/>
      <c r="D1288" s="208"/>
      <c r="E1288" s="208"/>
      <c r="F1288" s="208"/>
      <c r="G1288" s="208"/>
      <c r="H1288" s="232"/>
      <c r="I1288" s="233"/>
      <c r="J1288" s="208"/>
      <c r="K1288" s="208"/>
      <c r="L1288" s="208"/>
      <c r="M1288" s="208"/>
      <c r="N1288" s="208"/>
      <c r="O1288" s="208"/>
      <c r="P1288" s="208"/>
      <c r="Q1288" s="208"/>
      <c r="R1288" s="208"/>
      <c r="S1288" s="208"/>
      <c r="T1288" s="208"/>
      <c r="U1288" s="208"/>
      <c r="V1288" s="234"/>
      <c r="W1288" s="232"/>
      <c r="X1288" s="232"/>
      <c r="Y1288" s="232"/>
      <c r="Z1288" s="232"/>
      <c r="AA1288" s="232"/>
      <c r="AB1288" s="232"/>
      <c r="AC1288" s="232"/>
      <c r="AD1288" s="232"/>
      <c r="AE1288" s="232"/>
      <c r="AF1288" s="232"/>
      <c r="AG1288" s="208"/>
      <c r="AH1288" s="208"/>
      <c r="AI1288" s="208"/>
      <c r="AJ1288" s="208"/>
      <c r="AK1288" s="208"/>
    </row>
    <row r="1289">
      <c r="A1289" s="208"/>
      <c r="B1289" s="208"/>
      <c r="C1289" s="208"/>
      <c r="D1289" s="208"/>
      <c r="E1289" s="208"/>
      <c r="F1289" s="208"/>
      <c r="G1289" s="208"/>
      <c r="H1289" s="232"/>
      <c r="I1289" s="233"/>
      <c r="J1289" s="208"/>
      <c r="K1289" s="208"/>
      <c r="L1289" s="208"/>
      <c r="M1289" s="208"/>
      <c r="N1289" s="208"/>
      <c r="O1289" s="208"/>
      <c r="P1289" s="208"/>
      <c r="Q1289" s="208"/>
      <c r="R1289" s="208"/>
      <c r="S1289" s="208"/>
      <c r="T1289" s="208"/>
      <c r="U1289" s="208"/>
      <c r="V1289" s="234"/>
      <c r="W1289" s="232"/>
      <c r="X1289" s="232"/>
      <c r="Y1289" s="232"/>
      <c r="Z1289" s="232"/>
      <c r="AA1289" s="232"/>
      <c r="AB1289" s="232"/>
      <c r="AC1289" s="232"/>
      <c r="AD1289" s="232"/>
      <c r="AE1289" s="232"/>
      <c r="AF1289" s="232"/>
      <c r="AG1289" s="208"/>
      <c r="AH1289" s="208"/>
      <c r="AI1289" s="208"/>
      <c r="AJ1289" s="208"/>
      <c r="AK1289" s="208"/>
    </row>
    <row r="1290">
      <c r="A1290" s="208"/>
      <c r="B1290" s="208"/>
      <c r="C1290" s="208"/>
      <c r="D1290" s="208"/>
      <c r="E1290" s="208"/>
      <c r="F1290" s="208"/>
      <c r="G1290" s="208"/>
      <c r="H1290" s="232"/>
      <c r="I1290" s="233"/>
      <c r="J1290" s="208"/>
      <c r="K1290" s="208"/>
      <c r="L1290" s="208"/>
      <c r="M1290" s="208"/>
      <c r="N1290" s="208"/>
      <c r="O1290" s="208"/>
      <c r="P1290" s="208"/>
      <c r="Q1290" s="208"/>
      <c r="R1290" s="208"/>
      <c r="S1290" s="208"/>
      <c r="T1290" s="208"/>
      <c r="U1290" s="208"/>
      <c r="V1290" s="234"/>
      <c r="W1290" s="232"/>
      <c r="X1290" s="232"/>
      <c r="Y1290" s="232"/>
      <c r="Z1290" s="232"/>
      <c r="AA1290" s="232"/>
      <c r="AB1290" s="232"/>
      <c r="AC1290" s="232"/>
      <c r="AD1290" s="232"/>
      <c r="AE1290" s="232"/>
      <c r="AF1290" s="232"/>
      <c r="AG1290" s="208"/>
      <c r="AH1290" s="208"/>
      <c r="AI1290" s="208"/>
      <c r="AJ1290" s="208"/>
      <c r="AK1290" s="208"/>
    </row>
    <row r="1291">
      <c r="A1291" s="208"/>
      <c r="B1291" s="208"/>
      <c r="C1291" s="208"/>
      <c r="D1291" s="208"/>
      <c r="E1291" s="208"/>
      <c r="F1291" s="208"/>
      <c r="G1291" s="208"/>
      <c r="H1291" s="232"/>
      <c r="I1291" s="233"/>
      <c r="J1291" s="208"/>
      <c r="K1291" s="208"/>
      <c r="L1291" s="208"/>
      <c r="M1291" s="208"/>
      <c r="N1291" s="208"/>
      <c r="O1291" s="208"/>
      <c r="P1291" s="208"/>
      <c r="Q1291" s="208"/>
      <c r="R1291" s="208"/>
      <c r="S1291" s="208"/>
      <c r="T1291" s="208"/>
      <c r="U1291" s="208"/>
      <c r="V1291" s="234"/>
      <c r="W1291" s="232"/>
      <c r="X1291" s="232"/>
      <c r="Y1291" s="232"/>
      <c r="Z1291" s="232"/>
      <c r="AA1291" s="232"/>
      <c r="AB1291" s="232"/>
      <c r="AC1291" s="232"/>
      <c r="AD1291" s="232"/>
      <c r="AE1291" s="232"/>
      <c r="AF1291" s="232"/>
      <c r="AG1291" s="208"/>
      <c r="AH1291" s="208"/>
      <c r="AI1291" s="208"/>
      <c r="AJ1291" s="208"/>
      <c r="AK1291" s="208"/>
    </row>
    <row r="1292">
      <c r="A1292" s="208"/>
      <c r="B1292" s="208"/>
      <c r="C1292" s="208"/>
      <c r="D1292" s="208"/>
      <c r="E1292" s="208"/>
      <c r="F1292" s="208"/>
      <c r="G1292" s="208"/>
      <c r="H1292" s="232"/>
      <c r="I1292" s="233"/>
      <c r="J1292" s="208"/>
      <c r="K1292" s="208"/>
      <c r="L1292" s="208"/>
      <c r="M1292" s="208"/>
      <c r="N1292" s="208"/>
      <c r="O1292" s="208"/>
      <c r="P1292" s="208"/>
      <c r="Q1292" s="208"/>
      <c r="R1292" s="208"/>
      <c r="S1292" s="208"/>
      <c r="T1292" s="208"/>
      <c r="U1292" s="208"/>
      <c r="V1292" s="234"/>
      <c r="W1292" s="232"/>
      <c r="X1292" s="232"/>
      <c r="Y1292" s="232"/>
      <c r="Z1292" s="232"/>
      <c r="AA1292" s="232"/>
      <c r="AB1292" s="232"/>
      <c r="AC1292" s="232"/>
      <c r="AD1292" s="232"/>
      <c r="AE1292" s="232"/>
      <c r="AF1292" s="232"/>
      <c r="AG1292" s="208"/>
      <c r="AH1292" s="208"/>
      <c r="AI1292" s="208"/>
      <c r="AJ1292" s="208"/>
      <c r="AK1292" s="208"/>
    </row>
    <row r="1293">
      <c r="A1293" s="208"/>
      <c r="B1293" s="208"/>
      <c r="C1293" s="208"/>
      <c r="D1293" s="208"/>
      <c r="E1293" s="208"/>
      <c r="F1293" s="208"/>
      <c r="G1293" s="208"/>
      <c r="H1293" s="232"/>
      <c r="I1293" s="233"/>
      <c r="J1293" s="208"/>
      <c r="K1293" s="208"/>
      <c r="L1293" s="208"/>
      <c r="M1293" s="208"/>
      <c r="N1293" s="208"/>
      <c r="O1293" s="208"/>
      <c r="P1293" s="208"/>
      <c r="Q1293" s="208"/>
      <c r="R1293" s="208"/>
      <c r="S1293" s="208"/>
      <c r="T1293" s="208"/>
      <c r="U1293" s="208"/>
      <c r="V1293" s="234"/>
      <c r="W1293" s="232"/>
      <c r="X1293" s="232"/>
      <c r="Y1293" s="232"/>
      <c r="Z1293" s="232"/>
      <c r="AA1293" s="232"/>
      <c r="AB1293" s="232"/>
      <c r="AC1293" s="232"/>
      <c r="AD1293" s="232"/>
      <c r="AE1293" s="232"/>
      <c r="AF1293" s="232"/>
      <c r="AG1293" s="208"/>
      <c r="AH1293" s="208"/>
      <c r="AI1293" s="208"/>
      <c r="AJ1293" s="208"/>
      <c r="AK1293" s="208"/>
    </row>
    <row r="1294">
      <c r="A1294" s="208"/>
      <c r="B1294" s="208"/>
      <c r="C1294" s="208"/>
      <c r="D1294" s="208"/>
      <c r="E1294" s="208"/>
      <c r="F1294" s="208"/>
      <c r="G1294" s="208"/>
      <c r="H1294" s="232"/>
      <c r="I1294" s="233"/>
      <c r="J1294" s="208"/>
      <c r="K1294" s="208"/>
      <c r="L1294" s="208"/>
      <c r="M1294" s="208"/>
      <c r="N1294" s="208"/>
      <c r="O1294" s="208"/>
      <c r="P1294" s="208"/>
      <c r="Q1294" s="208"/>
      <c r="R1294" s="208"/>
      <c r="S1294" s="208"/>
      <c r="T1294" s="208"/>
      <c r="U1294" s="208"/>
      <c r="V1294" s="234"/>
      <c r="W1294" s="232"/>
      <c r="X1294" s="232"/>
      <c r="Y1294" s="232"/>
      <c r="Z1294" s="232"/>
      <c r="AA1294" s="232"/>
      <c r="AB1294" s="232"/>
      <c r="AC1294" s="232"/>
      <c r="AD1294" s="232"/>
      <c r="AE1294" s="232"/>
      <c r="AF1294" s="232"/>
      <c r="AG1294" s="208"/>
      <c r="AH1294" s="208"/>
      <c r="AI1294" s="208"/>
      <c r="AJ1294" s="208"/>
      <c r="AK1294" s="208"/>
    </row>
    <row r="1295">
      <c r="A1295" s="208"/>
      <c r="B1295" s="208"/>
      <c r="C1295" s="208"/>
      <c r="D1295" s="208"/>
      <c r="E1295" s="208"/>
      <c r="F1295" s="208"/>
      <c r="G1295" s="208"/>
      <c r="H1295" s="232"/>
      <c r="I1295" s="233"/>
      <c r="J1295" s="208"/>
      <c r="K1295" s="208"/>
      <c r="L1295" s="208"/>
      <c r="M1295" s="208"/>
      <c r="N1295" s="208"/>
      <c r="O1295" s="208"/>
      <c r="P1295" s="208"/>
      <c r="Q1295" s="208"/>
      <c r="R1295" s="208"/>
      <c r="S1295" s="208"/>
      <c r="T1295" s="208"/>
      <c r="U1295" s="208"/>
      <c r="V1295" s="234"/>
      <c r="W1295" s="232"/>
      <c r="X1295" s="232"/>
      <c r="Y1295" s="232"/>
      <c r="Z1295" s="232"/>
      <c r="AA1295" s="232"/>
      <c r="AB1295" s="232"/>
      <c r="AC1295" s="232"/>
      <c r="AD1295" s="232"/>
      <c r="AE1295" s="232"/>
      <c r="AF1295" s="232"/>
      <c r="AG1295" s="208"/>
      <c r="AH1295" s="208"/>
      <c r="AI1295" s="208"/>
      <c r="AJ1295" s="208"/>
      <c r="AK1295" s="208"/>
    </row>
    <row r="1296">
      <c r="A1296" s="208"/>
      <c r="B1296" s="208"/>
      <c r="C1296" s="208"/>
      <c r="D1296" s="208"/>
      <c r="E1296" s="208"/>
      <c r="F1296" s="208"/>
      <c r="G1296" s="208"/>
      <c r="H1296" s="232"/>
      <c r="I1296" s="233"/>
      <c r="J1296" s="208"/>
      <c r="K1296" s="208"/>
      <c r="L1296" s="208"/>
      <c r="M1296" s="208"/>
      <c r="N1296" s="208"/>
      <c r="O1296" s="208"/>
      <c r="P1296" s="208"/>
      <c r="Q1296" s="208"/>
      <c r="R1296" s="208"/>
      <c r="S1296" s="208"/>
      <c r="T1296" s="208"/>
      <c r="U1296" s="208"/>
      <c r="V1296" s="234"/>
      <c r="W1296" s="232"/>
      <c r="X1296" s="232"/>
      <c r="Y1296" s="232"/>
      <c r="Z1296" s="232"/>
      <c r="AA1296" s="232"/>
      <c r="AB1296" s="232"/>
      <c r="AC1296" s="232"/>
      <c r="AD1296" s="232"/>
      <c r="AE1296" s="232"/>
      <c r="AF1296" s="232"/>
      <c r="AG1296" s="208"/>
      <c r="AH1296" s="208"/>
      <c r="AI1296" s="208"/>
      <c r="AJ1296" s="208"/>
      <c r="AK1296" s="208"/>
    </row>
    <row r="1297">
      <c r="A1297" s="208"/>
      <c r="B1297" s="208"/>
      <c r="C1297" s="208"/>
      <c r="D1297" s="208"/>
      <c r="E1297" s="208"/>
      <c r="F1297" s="208"/>
      <c r="G1297" s="208"/>
      <c r="H1297" s="232"/>
      <c r="I1297" s="233"/>
      <c r="J1297" s="208"/>
      <c r="K1297" s="208"/>
      <c r="L1297" s="208"/>
      <c r="M1297" s="208"/>
      <c r="N1297" s="208"/>
      <c r="O1297" s="208"/>
      <c r="P1297" s="208"/>
      <c r="Q1297" s="208"/>
      <c r="R1297" s="208"/>
      <c r="S1297" s="208"/>
      <c r="T1297" s="208"/>
      <c r="U1297" s="208"/>
      <c r="V1297" s="234"/>
      <c r="W1297" s="232"/>
      <c r="X1297" s="232"/>
      <c r="Y1297" s="232"/>
      <c r="Z1297" s="232"/>
      <c r="AA1297" s="232"/>
      <c r="AB1297" s="232"/>
      <c r="AC1297" s="232"/>
      <c r="AD1297" s="232"/>
      <c r="AE1297" s="232"/>
      <c r="AF1297" s="232"/>
      <c r="AG1297" s="208"/>
      <c r="AH1297" s="208"/>
      <c r="AI1297" s="208"/>
      <c r="AJ1297" s="208"/>
      <c r="AK1297" s="208"/>
    </row>
    <row r="1298">
      <c r="A1298" s="208"/>
      <c r="B1298" s="208"/>
      <c r="C1298" s="208"/>
      <c r="D1298" s="208"/>
      <c r="E1298" s="208"/>
      <c r="F1298" s="208"/>
      <c r="G1298" s="208"/>
      <c r="H1298" s="232"/>
      <c r="I1298" s="233"/>
      <c r="J1298" s="208"/>
      <c r="K1298" s="208"/>
      <c r="L1298" s="208"/>
      <c r="M1298" s="208"/>
      <c r="N1298" s="208"/>
      <c r="O1298" s="208"/>
      <c r="P1298" s="208"/>
      <c r="Q1298" s="208"/>
      <c r="R1298" s="208"/>
      <c r="S1298" s="208"/>
      <c r="T1298" s="208"/>
      <c r="U1298" s="208"/>
      <c r="V1298" s="234"/>
      <c r="W1298" s="232"/>
      <c r="X1298" s="232"/>
      <c r="Y1298" s="232"/>
      <c r="Z1298" s="232"/>
      <c r="AA1298" s="232"/>
      <c r="AB1298" s="232"/>
      <c r="AC1298" s="232"/>
      <c r="AD1298" s="232"/>
      <c r="AE1298" s="232"/>
      <c r="AF1298" s="232"/>
      <c r="AG1298" s="208"/>
      <c r="AH1298" s="208"/>
      <c r="AI1298" s="208"/>
      <c r="AJ1298" s="208"/>
      <c r="AK1298" s="208"/>
    </row>
    <row r="1299">
      <c r="A1299" s="208"/>
      <c r="B1299" s="208"/>
      <c r="C1299" s="208"/>
      <c r="D1299" s="208"/>
      <c r="E1299" s="208"/>
      <c r="F1299" s="208"/>
      <c r="G1299" s="208"/>
      <c r="H1299" s="232"/>
      <c r="I1299" s="233"/>
      <c r="J1299" s="208"/>
      <c r="K1299" s="208"/>
      <c r="L1299" s="208"/>
      <c r="M1299" s="208"/>
      <c r="N1299" s="208"/>
      <c r="O1299" s="208"/>
      <c r="P1299" s="208"/>
      <c r="Q1299" s="208"/>
      <c r="R1299" s="208"/>
      <c r="S1299" s="208"/>
      <c r="T1299" s="208"/>
      <c r="U1299" s="208"/>
      <c r="V1299" s="234"/>
      <c r="W1299" s="232"/>
      <c r="X1299" s="232"/>
      <c r="Y1299" s="232"/>
      <c r="Z1299" s="232"/>
      <c r="AA1299" s="232"/>
      <c r="AB1299" s="232"/>
      <c r="AC1299" s="232"/>
      <c r="AD1299" s="232"/>
      <c r="AE1299" s="232"/>
      <c r="AF1299" s="232"/>
      <c r="AG1299" s="208"/>
      <c r="AH1299" s="208"/>
      <c r="AI1299" s="208"/>
      <c r="AJ1299" s="208"/>
      <c r="AK1299" s="208"/>
    </row>
    <row r="1300">
      <c r="A1300" s="208"/>
      <c r="B1300" s="208"/>
      <c r="C1300" s="208"/>
      <c r="D1300" s="208"/>
      <c r="E1300" s="208"/>
      <c r="F1300" s="208"/>
      <c r="G1300" s="208"/>
      <c r="H1300" s="232"/>
      <c r="I1300" s="233"/>
      <c r="J1300" s="208"/>
      <c r="K1300" s="208"/>
      <c r="L1300" s="208"/>
      <c r="M1300" s="208"/>
      <c r="N1300" s="208"/>
      <c r="O1300" s="208"/>
      <c r="P1300" s="208"/>
      <c r="Q1300" s="208"/>
      <c r="R1300" s="208"/>
      <c r="S1300" s="208"/>
      <c r="T1300" s="208"/>
      <c r="U1300" s="208"/>
      <c r="V1300" s="234"/>
      <c r="W1300" s="232"/>
      <c r="X1300" s="232"/>
      <c r="Y1300" s="232"/>
      <c r="Z1300" s="232"/>
      <c r="AA1300" s="232"/>
      <c r="AB1300" s="232"/>
      <c r="AC1300" s="232"/>
      <c r="AD1300" s="232"/>
      <c r="AE1300" s="232"/>
      <c r="AF1300" s="232"/>
      <c r="AG1300" s="208"/>
      <c r="AH1300" s="208"/>
      <c r="AI1300" s="208"/>
      <c r="AJ1300" s="208"/>
      <c r="AK1300" s="208"/>
    </row>
    <row r="1301">
      <c r="A1301" s="208"/>
      <c r="B1301" s="208"/>
      <c r="C1301" s="208"/>
      <c r="D1301" s="208"/>
      <c r="E1301" s="208"/>
      <c r="F1301" s="208"/>
      <c r="G1301" s="208"/>
      <c r="H1301" s="232"/>
      <c r="I1301" s="233"/>
      <c r="J1301" s="208"/>
      <c r="K1301" s="208"/>
      <c r="L1301" s="208"/>
      <c r="M1301" s="208"/>
      <c r="N1301" s="208"/>
      <c r="O1301" s="208"/>
      <c r="P1301" s="208"/>
      <c r="Q1301" s="208"/>
      <c r="R1301" s="208"/>
      <c r="S1301" s="208"/>
      <c r="T1301" s="208"/>
      <c r="U1301" s="208"/>
      <c r="V1301" s="234"/>
      <c r="W1301" s="232"/>
      <c r="X1301" s="232"/>
      <c r="Y1301" s="232"/>
      <c r="Z1301" s="232"/>
      <c r="AA1301" s="232"/>
      <c r="AB1301" s="232"/>
      <c r="AC1301" s="232"/>
      <c r="AD1301" s="232"/>
      <c r="AE1301" s="232"/>
      <c r="AF1301" s="232"/>
      <c r="AG1301" s="208"/>
      <c r="AH1301" s="208"/>
      <c r="AI1301" s="208"/>
      <c r="AJ1301" s="208"/>
      <c r="AK1301" s="208"/>
    </row>
    <row r="1302">
      <c r="A1302" s="208"/>
      <c r="B1302" s="208"/>
      <c r="C1302" s="208"/>
      <c r="D1302" s="208"/>
      <c r="E1302" s="208"/>
      <c r="F1302" s="208"/>
      <c r="G1302" s="208"/>
      <c r="H1302" s="232"/>
      <c r="I1302" s="233"/>
      <c r="J1302" s="208"/>
      <c r="K1302" s="208"/>
      <c r="L1302" s="208"/>
      <c r="M1302" s="208"/>
      <c r="N1302" s="208"/>
      <c r="O1302" s="208"/>
      <c r="P1302" s="208"/>
      <c r="Q1302" s="208"/>
      <c r="R1302" s="208"/>
      <c r="S1302" s="208"/>
      <c r="T1302" s="208"/>
      <c r="U1302" s="208"/>
      <c r="V1302" s="234"/>
      <c r="W1302" s="232"/>
      <c r="X1302" s="232"/>
      <c r="Y1302" s="232"/>
      <c r="Z1302" s="232"/>
      <c r="AA1302" s="232"/>
      <c r="AB1302" s="232"/>
      <c r="AC1302" s="232"/>
      <c r="AD1302" s="232"/>
      <c r="AE1302" s="232"/>
      <c r="AF1302" s="232"/>
      <c r="AG1302" s="208"/>
      <c r="AH1302" s="208"/>
      <c r="AI1302" s="208"/>
      <c r="AJ1302" s="208"/>
      <c r="AK1302" s="208"/>
    </row>
    <row r="1303">
      <c r="A1303" s="208"/>
      <c r="B1303" s="208"/>
      <c r="C1303" s="208"/>
      <c r="D1303" s="208"/>
      <c r="E1303" s="208"/>
      <c r="F1303" s="208"/>
      <c r="G1303" s="208"/>
      <c r="H1303" s="232"/>
      <c r="I1303" s="233"/>
      <c r="J1303" s="208"/>
      <c r="K1303" s="208"/>
      <c r="L1303" s="208"/>
      <c r="M1303" s="208"/>
      <c r="N1303" s="208"/>
      <c r="O1303" s="208"/>
      <c r="P1303" s="208"/>
      <c r="Q1303" s="208"/>
      <c r="R1303" s="208"/>
      <c r="S1303" s="208"/>
      <c r="T1303" s="208"/>
      <c r="U1303" s="208"/>
      <c r="V1303" s="234"/>
      <c r="W1303" s="232"/>
      <c r="X1303" s="232"/>
      <c r="Y1303" s="232"/>
      <c r="Z1303" s="232"/>
      <c r="AA1303" s="232"/>
      <c r="AB1303" s="232"/>
      <c r="AC1303" s="232"/>
      <c r="AD1303" s="232"/>
      <c r="AE1303" s="232"/>
      <c r="AF1303" s="232"/>
      <c r="AG1303" s="208"/>
      <c r="AH1303" s="208"/>
      <c r="AI1303" s="208"/>
      <c r="AJ1303" s="208"/>
      <c r="AK1303" s="208"/>
    </row>
    <row r="1304">
      <c r="A1304" s="208"/>
      <c r="B1304" s="208"/>
      <c r="C1304" s="208"/>
      <c r="D1304" s="208"/>
      <c r="E1304" s="208"/>
      <c r="F1304" s="208"/>
      <c r="G1304" s="208"/>
      <c r="H1304" s="232"/>
      <c r="I1304" s="233"/>
      <c r="J1304" s="208"/>
      <c r="K1304" s="208"/>
      <c r="L1304" s="208"/>
      <c r="M1304" s="208"/>
      <c r="N1304" s="208"/>
      <c r="O1304" s="208"/>
      <c r="P1304" s="208"/>
      <c r="Q1304" s="208"/>
      <c r="R1304" s="208"/>
      <c r="S1304" s="208"/>
      <c r="T1304" s="208"/>
      <c r="U1304" s="208"/>
      <c r="V1304" s="234"/>
      <c r="W1304" s="232"/>
      <c r="X1304" s="232"/>
      <c r="Y1304" s="232"/>
      <c r="Z1304" s="232"/>
      <c r="AA1304" s="232"/>
      <c r="AB1304" s="232"/>
      <c r="AC1304" s="232"/>
      <c r="AD1304" s="232"/>
      <c r="AE1304" s="232"/>
      <c r="AF1304" s="232"/>
      <c r="AG1304" s="208"/>
      <c r="AH1304" s="208"/>
      <c r="AI1304" s="208"/>
      <c r="AJ1304" s="208"/>
      <c r="AK1304" s="208"/>
    </row>
    <row r="1305">
      <c r="A1305" s="208"/>
      <c r="B1305" s="208"/>
      <c r="C1305" s="208"/>
      <c r="D1305" s="208"/>
      <c r="E1305" s="208"/>
      <c r="F1305" s="208"/>
      <c r="G1305" s="208"/>
      <c r="H1305" s="232"/>
      <c r="I1305" s="233"/>
      <c r="J1305" s="208"/>
      <c r="K1305" s="208"/>
      <c r="L1305" s="208"/>
      <c r="M1305" s="208"/>
      <c r="N1305" s="208"/>
      <c r="O1305" s="208"/>
      <c r="P1305" s="208"/>
      <c r="Q1305" s="208"/>
      <c r="R1305" s="208"/>
      <c r="S1305" s="208"/>
      <c r="T1305" s="208"/>
      <c r="U1305" s="208"/>
      <c r="V1305" s="234"/>
      <c r="W1305" s="232"/>
      <c r="X1305" s="232"/>
      <c r="Y1305" s="232"/>
      <c r="Z1305" s="232"/>
      <c r="AA1305" s="232"/>
      <c r="AB1305" s="232"/>
      <c r="AC1305" s="232"/>
      <c r="AD1305" s="232"/>
      <c r="AE1305" s="232"/>
      <c r="AF1305" s="232"/>
      <c r="AG1305" s="208"/>
      <c r="AH1305" s="208"/>
      <c r="AI1305" s="208"/>
      <c r="AJ1305" s="208"/>
      <c r="AK1305" s="208"/>
    </row>
    <row r="1306">
      <c r="A1306" s="208"/>
      <c r="B1306" s="208"/>
      <c r="C1306" s="208"/>
      <c r="D1306" s="208"/>
      <c r="E1306" s="208"/>
      <c r="F1306" s="208"/>
      <c r="G1306" s="208"/>
      <c r="H1306" s="232"/>
      <c r="I1306" s="233"/>
      <c r="J1306" s="208"/>
      <c r="K1306" s="208"/>
      <c r="L1306" s="208"/>
      <c r="M1306" s="208"/>
      <c r="N1306" s="208"/>
      <c r="O1306" s="208"/>
      <c r="P1306" s="208"/>
      <c r="Q1306" s="208"/>
      <c r="R1306" s="208"/>
      <c r="S1306" s="208"/>
      <c r="T1306" s="208"/>
      <c r="U1306" s="208"/>
      <c r="V1306" s="234"/>
      <c r="W1306" s="232"/>
      <c r="X1306" s="232"/>
      <c r="Y1306" s="232"/>
      <c r="Z1306" s="232"/>
      <c r="AA1306" s="232"/>
      <c r="AB1306" s="232"/>
      <c r="AC1306" s="232"/>
      <c r="AD1306" s="232"/>
      <c r="AE1306" s="232"/>
      <c r="AF1306" s="232"/>
      <c r="AG1306" s="208"/>
      <c r="AH1306" s="208"/>
      <c r="AI1306" s="208"/>
      <c r="AJ1306" s="208"/>
      <c r="AK1306" s="208"/>
    </row>
    <row r="1307">
      <c r="A1307" s="208"/>
      <c r="B1307" s="208"/>
      <c r="C1307" s="208"/>
      <c r="D1307" s="208"/>
      <c r="E1307" s="208"/>
      <c r="F1307" s="208"/>
      <c r="G1307" s="208"/>
      <c r="H1307" s="232"/>
      <c r="I1307" s="233"/>
      <c r="J1307" s="208"/>
      <c r="K1307" s="208"/>
      <c r="L1307" s="208"/>
      <c r="M1307" s="208"/>
      <c r="N1307" s="208"/>
      <c r="O1307" s="208"/>
      <c r="P1307" s="208"/>
      <c r="Q1307" s="208"/>
      <c r="R1307" s="208"/>
      <c r="S1307" s="208"/>
      <c r="T1307" s="208"/>
      <c r="U1307" s="208"/>
      <c r="V1307" s="234"/>
      <c r="W1307" s="232"/>
      <c r="X1307" s="232"/>
      <c r="Y1307" s="232"/>
      <c r="Z1307" s="232"/>
      <c r="AA1307" s="232"/>
      <c r="AB1307" s="232"/>
      <c r="AC1307" s="232"/>
      <c r="AD1307" s="232"/>
      <c r="AE1307" s="232"/>
      <c r="AF1307" s="232"/>
      <c r="AG1307" s="208"/>
      <c r="AH1307" s="208"/>
      <c r="AI1307" s="208"/>
      <c r="AJ1307" s="208"/>
      <c r="AK1307" s="208"/>
    </row>
    <row r="1308">
      <c r="A1308" s="208"/>
      <c r="B1308" s="208"/>
      <c r="C1308" s="208"/>
      <c r="D1308" s="208"/>
      <c r="E1308" s="208"/>
      <c r="F1308" s="208"/>
      <c r="G1308" s="208"/>
      <c r="H1308" s="232"/>
      <c r="I1308" s="233"/>
      <c r="J1308" s="208"/>
      <c r="K1308" s="208"/>
      <c r="L1308" s="208"/>
      <c r="M1308" s="208"/>
      <c r="N1308" s="208"/>
      <c r="O1308" s="208"/>
      <c r="P1308" s="208"/>
      <c r="Q1308" s="208"/>
      <c r="R1308" s="208"/>
      <c r="S1308" s="208"/>
      <c r="T1308" s="208"/>
      <c r="U1308" s="208"/>
      <c r="V1308" s="234"/>
      <c r="W1308" s="232"/>
      <c r="X1308" s="232"/>
      <c r="Y1308" s="232"/>
      <c r="Z1308" s="232"/>
      <c r="AA1308" s="232"/>
      <c r="AB1308" s="232"/>
      <c r="AC1308" s="232"/>
      <c r="AD1308" s="232"/>
      <c r="AE1308" s="232"/>
      <c r="AF1308" s="232"/>
      <c r="AG1308" s="208"/>
      <c r="AH1308" s="208"/>
      <c r="AI1308" s="208"/>
      <c r="AJ1308" s="208"/>
      <c r="AK1308" s="208"/>
    </row>
    <row r="1309">
      <c r="A1309" s="208"/>
      <c r="B1309" s="208"/>
      <c r="C1309" s="208"/>
      <c r="D1309" s="208"/>
      <c r="E1309" s="208"/>
      <c r="F1309" s="208"/>
      <c r="G1309" s="208"/>
      <c r="H1309" s="232"/>
      <c r="I1309" s="233"/>
      <c r="J1309" s="208"/>
      <c r="K1309" s="208"/>
      <c r="L1309" s="208"/>
      <c r="M1309" s="208"/>
      <c r="N1309" s="208"/>
      <c r="O1309" s="208"/>
      <c r="P1309" s="208"/>
      <c r="Q1309" s="208"/>
      <c r="R1309" s="208"/>
      <c r="S1309" s="208"/>
      <c r="T1309" s="208"/>
      <c r="U1309" s="208"/>
      <c r="V1309" s="234"/>
      <c r="W1309" s="232"/>
      <c r="X1309" s="232"/>
      <c r="Y1309" s="232"/>
      <c r="Z1309" s="232"/>
      <c r="AA1309" s="232"/>
      <c r="AB1309" s="232"/>
      <c r="AC1309" s="232"/>
      <c r="AD1309" s="232"/>
      <c r="AE1309" s="232"/>
      <c r="AF1309" s="232"/>
      <c r="AG1309" s="208"/>
      <c r="AH1309" s="208"/>
      <c r="AI1309" s="208"/>
      <c r="AJ1309" s="208"/>
      <c r="AK1309" s="208"/>
    </row>
    <row r="1310">
      <c r="A1310" s="208"/>
      <c r="B1310" s="208"/>
      <c r="C1310" s="208"/>
      <c r="D1310" s="208"/>
      <c r="E1310" s="208"/>
      <c r="F1310" s="208"/>
      <c r="G1310" s="208"/>
      <c r="H1310" s="232"/>
      <c r="I1310" s="233"/>
      <c r="J1310" s="208"/>
      <c r="K1310" s="208"/>
      <c r="L1310" s="208"/>
      <c r="M1310" s="208"/>
      <c r="N1310" s="208"/>
      <c r="O1310" s="208"/>
      <c r="P1310" s="208"/>
      <c r="Q1310" s="208"/>
      <c r="R1310" s="208"/>
      <c r="S1310" s="208"/>
      <c r="T1310" s="208"/>
      <c r="U1310" s="208"/>
      <c r="V1310" s="234"/>
      <c r="W1310" s="232"/>
      <c r="X1310" s="232"/>
      <c r="Y1310" s="232"/>
      <c r="Z1310" s="232"/>
      <c r="AA1310" s="232"/>
      <c r="AB1310" s="232"/>
      <c r="AC1310" s="232"/>
      <c r="AD1310" s="232"/>
      <c r="AE1310" s="232"/>
      <c r="AF1310" s="232"/>
      <c r="AG1310" s="208"/>
      <c r="AH1310" s="208"/>
      <c r="AI1310" s="208"/>
      <c r="AJ1310" s="208"/>
      <c r="AK1310" s="208"/>
    </row>
    <row r="1311">
      <c r="A1311" s="208"/>
      <c r="B1311" s="208"/>
      <c r="C1311" s="208"/>
      <c r="D1311" s="208"/>
      <c r="E1311" s="208"/>
      <c r="F1311" s="208"/>
      <c r="G1311" s="208"/>
      <c r="H1311" s="232"/>
      <c r="I1311" s="233"/>
      <c r="J1311" s="208"/>
      <c r="K1311" s="208"/>
      <c r="L1311" s="208"/>
      <c r="M1311" s="208"/>
      <c r="N1311" s="208"/>
      <c r="O1311" s="208"/>
      <c r="P1311" s="208"/>
      <c r="Q1311" s="208"/>
      <c r="R1311" s="208"/>
      <c r="S1311" s="208"/>
      <c r="T1311" s="208"/>
      <c r="U1311" s="208"/>
      <c r="V1311" s="234"/>
      <c r="W1311" s="232"/>
      <c r="X1311" s="232"/>
      <c r="Y1311" s="232"/>
      <c r="Z1311" s="232"/>
      <c r="AA1311" s="232"/>
      <c r="AB1311" s="232"/>
      <c r="AC1311" s="232"/>
      <c r="AD1311" s="232"/>
      <c r="AE1311" s="232"/>
      <c r="AF1311" s="232"/>
      <c r="AG1311" s="208"/>
      <c r="AH1311" s="208"/>
      <c r="AI1311" s="208"/>
      <c r="AJ1311" s="208"/>
      <c r="AK1311" s="208"/>
    </row>
    <row r="1312">
      <c r="A1312" s="208"/>
      <c r="B1312" s="208"/>
      <c r="C1312" s="208"/>
      <c r="D1312" s="208"/>
      <c r="E1312" s="208"/>
      <c r="F1312" s="208"/>
      <c r="G1312" s="208"/>
      <c r="H1312" s="232"/>
      <c r="I1312" s="233"/>
      <c r="J1312" s="208"/>
      <c r="K1312" s="208"/>
      <c r="L1312" s="208"/>
      <c r="M1312" s="208"/>
      <c r="N1312" s="208"/>
      <c r="O1312" s="208"/>
      <c r="P1312" s="208"/>
      <c r="Q1312" s="208"/>
      <c r="R1312" s="208"/>
      <c r="S1312" s="208"/>
      <c r="T1312" s="208"/>
      <c r="U1312" s="208"/>
      <c r="V1312" s="234"/>
      <c r="W1312" s="232"/>
      <c r="X1312" s="232"/>
      <c r="Y1312" s="232"/>
      <c r="Z1312" s="232"/>
      <c r="AA1312" s="232"/>
      <c r="AB1312" s="232"/>
      <c r="AC1312" s="232"/>
      <c r="AD1312" s="232"/>
      <c r="AE1312" s="232"/>
      <c r="AF1312" s="232"/>
      <c r="AG1312" s="208"/>
      <c r="AH1312" s="208"/>
      <c r="AI1312" s="208"/>
      <c r="AJ1312" s="208"/>
      <c r="AK1312" s="208"/>
    </row>
    <row r="1313">
      <c r="A1313" s="208"/>
      <c r="B1313" s="208"/>
      <c r="C1313" s="208"/>
      <c r="D1313" s="208"/>
      <c r="E1313" s="208"/>
      <c r="F1313" s="208"/>
      <c r="G1313" s="208"/>
      <c r="H1313" s="232"/>
      <c r="I1313" s="233"/>
      <c r="J1313" s="208"/>
      <c r="K1313" s="208"/>
      <c r="L1313" s="208"/>
      <c r="M1313" s="208"/>
      <c r="N1313" s="208"/>
      <c r="O1313" s="208"/>
      <c r="P1313" s="208"/>
      <c r="Q1313" s="208"/>
      <c r="R1313" s="208"/>
      <c r="S1313" s="208"/>
      <c r="T1313" s="208"/>
      <c r="U1313" s="208"/>
      <c r="V1313" s="234"/>
      <c r="W1313" s="232"/>
      <c r="X1313" s="232"/>
      <c r="Y1313" s="232"/>
      <c r="Z1313" s="232"/>
      <c r="AA1313" s="232"/>
      <c r="AB1313" s="232"/>
      <c r="AC1313" s="232"/>
      <c r="AD1313" s="232"/>
      <c r="AE1313" s="232"/>
      <c r="AF1313" s="232"/>
      <c r="AG1313" s="208"/>
      <c r="AH1313" s="208"/>
      <c r="AI1313" s="208"/>
      <c r="AJ1313" s="208"/>
      <c r="AK1313" s="208"/>
    </row>
    <row r="1314">
      <c r="A1314" s="208"/>
      <c r="B1314" s="208"/>
      <c r="C1314" s="208"/>
      <c r="D1314" s="208"/>
      <c r="E1314" s="208"/>
      <c r="F1314" s="208"/>
      <c r="G1314" s="208"/>
      <c r="H1314" s="232"/>
      <c r="I1314" s="233"/>
      <c r="J1314" s="208"/>
      <c r="K1314" s="208"/>
      <c r="L1314" s="208"/>
      <c r="M1314" s="208"/>
      <c r="N1314" s="208"/>
      <c r="O1314" s="208"/>
      <c r="P1314" s="208"/>
      <c r="Q1314" s="208"/>
      <c r="R1314" s="208"/>
      <c r="S1314" s="208"/>
      <c r="T1314" s="208"/>
      <c r="U1314" s="208"/>
      <c r="V1314" s="234"/>
      <c r="W1314" s="232"/>
      <c r="X1314" s="232"/>
      <c r="Y1314" s="232"/>
      <c r="Z1314" s="232"/>
      <c r="AA1314" s="232"/>
      <c r="AB1314" s="232"/>
      <c r="AC1314" s="232"/>
      <c r="AD1314" s="232"/>
      <c r="AE1314" s="232"/>
      <c r="AF1314" s="232"/>
      <c r="AG1314" s="208"/>
      <c r="AH1314" s="208"/>
      <c r="AI1314" s="208"/>
      <c r="AJ1314" s="208"/>
      <c r="AK1314" s="208"/>
    </row>
    <row r="1315">
      <c r="A1315" s="208"/>
      <c r="B1315" s="208"/>
      <c r="C1315" s="208"/>
      <c r="D1315" s="208"/>
      <c r="E1315" s="208"/>
      <c r="F1315" s="208"/>
      <c r="G1315" s="208"/>
      <c r="H1315" s="232"/>
      <c r="I1315" s="233"/>
      <c r="J1315" s="208"/>
      <c r="K1315" s="208"/>
      <c r="L1315" s="208"/>
      <c r="M1315" s="208"/>
      <c r="N1315" s="208"/>
      <c r="O1315" s="208"/>
      <c r="P1315" s="208"/>
      <c r="Q1315" s="208"/>
      <c r="R1315" s="208"/>
      <c r="S1315" s="208"/>
      <c r="T1315" s="208"/>
      <c r="U1315" s="208"/>
      <c r="V1315" s="234"/>
      <c r="W1315" s="232"/>
      <c r="X1315" s="232"/>
      <c r="Y1315" s="232"/>
      <c r="Z1315" s="232"/>
      <c r="AA1315" s="232"/>
      <c r="AB1315" s="232"/>
      <c r="AC1315" s="232"/>
      <c r="AD1315" s="232"/>
      <c r="AE1315" s="232"/>
      <c r="AF1315" s="232"/>
      <c r="AG1315" s="208"/>
      <c r="AH1315" s="208"/>
      <c r="AI1315" s="208"/>
      <c r="AJ1315" s="208"/>
      <c r="AK1315" s="208"/>
    </row>
    <row r="1316">
      <c r="A1316" s="208"/>
      <c r="B1316" s="208"/>
      <c r="C1316" s="208"/>
      <c r="D1316" s="208"/>
      <c r="E1316" s="208"/>
      <c r="F1316" s="208"/>
      <c r="G1316" s="208"/>
      <c r="H1316" s="232"/>
      <c r="I1316" s="233"/>
      <c r="J1316" s="208"/>
      <c r="K1316" s="208"/>
      <c r="L1316" s="208"/>
      <c r="M1316" s="208"/>
      <c r="N1316" s="208"/>
      <c r="O1316" s="208"/>
      <c r="P1316" s="208"/>
      <c r="Q1316" s="208"/>
      <c r="R1316" s="208"/>
      <c r="S1316" s="208"/>
      <c r="T1316" s="208"/>
      <c r="U1316" s="208"/>
      <c r="V1316" s="234"/>
      <c r="W1316" s="232"/>
      <c r="X1316" s="232"/>
      <c r="Y1316" s="232"/>
      <c r="Z1316" s="232"/>
      <c r="AA1316" s="232"/>
      <c r="AB1316" s="232"/>
      <c r="AC1316" s="232"/>
      <c r="AD1316" s="232"/>
      <c r="AE1316" s="232"/>
      <c r="AF1316" s="232"/>
      <c r="AG1316" s="208"/>
      <c r="AH1316" s="208"/>
      <c r="AI1316" s="208"/>
      <c r="AJ1316" s="208"/>
      <c r="AK1316" s="208"/>
    </row>
    <row r="1317">
      <c r="A1317" s="208"/>
      <c r="B1317" s="208"/>
      <c r="C1317" s="208"/>
      <c r="D1317" s="208"/>
      <c r="E1317" s="208"/>
      <c r="F1317" s="208"/>
      <c r="G1317" s="208"/>
      <c r="H1317" s="232"/>
      <c r="I1317" s="233"/>
      <c r="J1317" s="208"/>
      <c r="K1317" s="208"/>
      <c r="L1317" s="208"/>
      <c r="M1317" s="208"/>
      <c r="N1317" s="208"/>
      <c r="O1317" s="208"/>
      <c r="P1317" s="208"/>
      <c r="Q1317" s="208"/>
      <c r="R1317" s="208"/>
      <c r="S1317" s="208"/>
      <c r="T1317" s="208"/>
      <c r="U1317" s="208"/>
      <c r="V1317" s="234"/>
      <c r="W1317" s="232"/>
      <c r="X1317" s="232"/>
      <c r="Y1317" s="232"/>
      <c r="Z1317" s="232"/>
      <c r="AA1317" s="232"/>
      <c r="AB1317" s="232"/>
      <c r="AC1317" s="232"/>
      <c r="AD1317" s="232"/>
      <c r="AE1317" s="232"/>
      <c r="AF1317" s="232"/>
      <c r="AG1317" s="208"/>
      <c r="AH1317" s="208"/>
      <c r="AI1317" s="208"/>
      <c r="AJ1317" s="208"/>
      <c r="AK1317" s="208"/>
    </row>
    <row r="1318">
      <c r="A1318" s="208"/>
      <c r="B1318" s="208"/>
      <c r="C1318" s="208"/>
      <c r="D1318" s="208"/>
      <c r="E1318" s="208"/>
      <c r="F1318" s="208"/>
      <c r="G1318" s="208"/>
      <c r="H1318" s="232"/>
      <c r="I1318" s="233"/>
      <c r="J1318" s="208"/>
      <c r="K1318" s="208"/>
      <c r="L1318" s="208"/>
      <c r="M1318" s="208"/>
      <c r="N1318" s="208"/>
      <c r="O1318" s="208"/>
      <c r="P1318" s="208"/>
      <c r="Q1318" s="208"/>
      <c r="R1318" s="208"/>
      <c r="S1318" s="208"/>
      <c r="T1318" s="208"/>
      <c r="U1318" s="208"/>
      <c r="V1318" s="234"/>
      <c r="W1318" s="232"/>
      <c r="X1318" s="232"/>
      <c r="Y1318" s="232"/>
      <c r="Z1318" s="232"/>
      <c r="AA1318" s="232"/>
      <c r="AB1318" s="232"/>
      <c r="AC1318" s="232"/>
      <c r="AD1318" s="232"/>
      <c r="AE1318" s="232"/>
      <c r="AF1318" s="232"/>
      <c r="AG1318" s="208"/>
      <c r="AH1318" s="208"/>
      <c r="AI1318" s="208"/>
      <c r="AJ1318" s="208"/>
      <c r="AK1318" s="208"/>
    </row>
    <row r="1319">
      <c r="A1319" s="208"/>
      <c r="B1319" s="208"/>
      <c r="C1319" s="208"/>
      <c r="D1319" s="208"/>
      <c r="E1319" s="208"/>
      <c r="F1319" s="208"/>
      <c r="G1319" s="208"/>
      <c r="H1319" s="232"/>
      <c r="I1319" s="233"/>
      <c r="J1319" s="208"/>
      <c r="K1319" s="208"/>
      <c r="L1319" s="208"/>
      <c r="M1319" s="208"/>
      <c r="N1319" s="208"/>
      <c r="O1319" s="208"/>
      <c r="P1319" s="208"/>
      <c r="Q1319" s="208"/>
      <c r="R1319" s="208"/>
      <c r="S1319" s="208"/>
      <c r="T1319" s="208"/>
      <c r="U1319" s="208"/>
      <c r="V1319" s="234"/>
      <c r="W1319" s="232"/>
      <c r="X1319" s="232"/>
      <c r="Y1319" s="232"/>
      <c r="Z1319" s="232"/>
      <c r="AA1319" s="232"/>
      <c r="AB1319" s="232"/>
      <c r="AC1319" s="232"/>
      <c r="AD1319" s="232"/>
      <c r="AE1319" s="232"/>
      <c r="AF1319" s="232"/>
      <c r="AG1319" s="208"/>
      <c r="AH1319" s="208"/>
      <c r="AI1319" s="208"/>
      <c r="AJ1319" s="208"/>
      <c r="AK1319" s="208"/>
    </row>
    <row r="1320">
      <c r="A1320" s="208"/>
      <c r="B1320" s="208"/>
      <c r="C1320" s="208"/>
      <c r="D1320" s="208"/>
      <c r="E1320" s="208"/>
      <c r="F1320" s="208"/>
      <c r="G1320" s="208"/>
      <c r="H1320" s="232"/>
      <c r="I1320" s="233"/>
      <c r="J1320" s="208"/>
      <c r="K1320" s="208"/>
      <c r="L1320" s="208"/>
      <c r="M1320" s="208"/>
      <c r="N1320" s="208"/>
      <c r="O1320" s="208"/>
      <c r="P1320" s="208"/>
      <c r="Q1320" s="208"/>
      <c r="R1320" s="208"/>
      <c r="S1320" s="208"/>
      <c r="T1320" s="208"/>
      <c r="U1320" s="208"/>
      <c r="V1320" s="234"/>
      <c r="W1320" s="232"/>
      <c r="X1320" s="232"/>
      <c r="Y1320" s="232"/>
      <c r="Z1320" s="232"/>
      <c r="AA1320" s="232"/>
      <c r="AB1320" s="232"/>
      <c r="AC1320" s="232"/>
      <c r="AD1320" s="232"/>
      <c r="AE1320" s="232"/>
      <c r="AF1320" s="232"/>
      <c r="AG1320" s="208"/>
      <c r="AH1320" s="208"/>
      <c r="AI1320" s="208"/>
      <c r="AJ1320" s="208"/>
      <c r="AK1320" s="208"/>
    </row>
    <row r="1321">
      <c r="A1321" s="208"/>
      <c r="B1321" s="208"/>
      <c r="C1321" s="208"/>
      <c r="D1321" s="208"/>
      <c r="E1321" s="208"/>
      <c r="F1321" s="208"/>
      <c r="G1321" s="208"/>
      <c r="H1321" s="232"/>
      <c r="I1321" s="233"/>
      <c r="J1321" s="208"/>
      <c r="K1321" s="208"/>
      <c r="L1321" s="208"/>
      <c r="M1321" s="208"/>
      <c r="N1321" s="208"/>
      <c r="O1321" s="208"/>
      <c r="P1321" s="208"/>
      <c r="Q1321" s="208"/>
      <c r="R1321" s="208"/>
      <c r="S1321" s="208"/>
      <c r="T1321" s="208"/>
      <c r="U1321" s="208"/>
      <c r="V1321" s="234"/>
      <c r="W1321" s="232"/>
      <c r="X1321" s="232"/>
      <c r="Y1321" s="232"/>
      <c r="Z1321" s="232"/>
      <c r="AA1321" s="232"/>
      <c r="AB1321" s="232"/>
      <c r="AC1321" s="232"/>
      <c r="AD1321" s="232"/>
      <c r="AE1321" s="232"/>
      <c r="AF1321" s="232"/>
      <c r="AG1321" s="208"/>
      <c r="AH1321" s="208"/>
      <c r="AI1321" s="208"/>
      <c r="AJ1321" s="208"/>
      <c r="AK1321" s="208"/>
    </row>
    <row r="1322">
      <c r="A1322" s="208"/>
      <c r="B1322" s="208"/>
      <c r="C1322" s="208"/>
      <c r="D1322" s="208"/>
      <c r="E1322" s="208"/>
      <c r="F1322" s="208"/>
      <c r="G1322" s="208"/>
      <c r="H1322" s="232"/>
      <c r="I1322" s="233"/>
      <c r="J1322" s="208"/>
      <c r="K1322" s="208"/>
      <c r="L1322" s="208"/>
      <c r="M1322" s="208"/>
      <c r="N1322" s="208"/>
      <c r="O1322" s="208"/>
      <c r="P1322" s="208"/>
      <c r="Q1322" s="208"/>
      <c r="R1322" s="208"/>
      <c r="S1322" s="208"/>
      <c r="T1322" s="208"/>
      <c r="U1322" s="208"/>
      <c r="V1322" s="234"/>
      <c r="W1322" s="232"/>
      <c r="X1322" s="232"/>
      <c r="Y1322" s="232"/>
      <c r="Z1322" s="232"/>
      <c r="AA1322" s="232"/>
      <c r="AB1322" s="232"/>
      <c r="AC1322" s="232"/>
      <c r="AD1322" s="232"/>
      <c r="AE1322" s="232"/>
      <c r="AF1322" s="232"/>
      <c r="AG1322" s="208"/>
      <c r="AH1322" s="208"/>
      <c r="AI1322" s="208"/>
      <c r="AJ1322" s="208"/>
      <c r="AK1322" s="208"/>
    </row>
    <row r="1323">
      <c r="A1323" s="208"/>
      <c r="B1323" s="208"/>
      <c r="C1323" s="208"/>
      <c r="D1323" s="208"/>
      <c r="E1323" s="208"/>
      <c r="F1323" s="208"/>
      <c r="G1323" s="208"/>
      <c r="H1323" s="232"/>
      <c r="I1323" s="233"/>
      <c r="J1323" s="208"/>
      <c r="K1323" s="208"/>
      <c r="L1323" s="208"/>
      <c r="M1323" s="208"/>
      <c r="N1323" s="208"/>
      <c r="O1323" s="208"/>
      <c r="P1323" s="208"/>
      <c r="Q1323" s="208"/>
      <c r="R1323" s="208"/>
      <c r="S1323" s="208"/>
      <c r="T1323" s="208"/>
      <c r="U1323" s="208"/>
      <c r="V1323" s="234"/>
      <c r="W1323" s="232"/>
      <c r="X1323" s="232"/>
      <c r="Y1323" s="232"/>
      <c r="Z1323" s="232"/>
      <c r="AA1323" s="232"/>
      <c r="AB1323" s="232"/>
      <c r="AC1323" s="232"/>
      <c r="AD1323" s="232"/>
      <c r="AE1323" s="232"/>
      <c r="AF1323" s="232"/>
      <c r="AG1323" s="208"/>
      <c r="AH1323" s="208"/>
      <c r="AI1323" s="208"/>
      <c r="AJ1323" s="208"/>
      <c r="AK1323" s="208"/>
    </row>
    <row r="1324">
      <c r="A1324" s="208"/>
      <c r="B1324" s="208"/>
      <c r="C1324" s="208"/>
      <c r="D1324" s="208"/>
      <c r="E1324" s="208"/>
      <c r="F1324" s="208"/>
      <c r="G1324" s="208"/>
      <c r="H1324" s="232"/>
      <c r="I1324" s="233"/>
      <c r="J1324" s="208"/>
      <c r="K1324" s="208"/>
      <c r="L1324" s="208"/>
      <c r="M1324" s="208"/>
      <c r="N1324" s="208"/>
      <c r="O1324" s="208"/>
      <c r="P1324" s="208"/>
      <c r="Q1324" s="208"/>
      <c r="R1324" s="208"/>
      <c r="S1324" s="208"/>
      <c r="T1324" s="208"/>
      <c r="U1324" s="208"/>
      <c r="V1324" s="234"/>
      <c r="W1324" s="232"/>
      <c r="X1324" s="232"/>
      <c r="Y1324" s="232"/>
      <c r="Z1324" s="232"/>
      <c r="AA1324" s="232"/>
      <c r="AB1324" s="232"/>
      <c r="AC1324" s="232"/>
      <c r="AD1324" s="232"/>
      <c r="AE1324" s="232"/>
      <c r="AF1324" s="232"/>
      <c r="AG1324" s="208"/>
      <c r="AH1324" s="208"/>
      <c r="AI1324" s="208"/>
      <c r="AJ1324" s="208"/>
      <c r="AK1324" s="208"/>
    </row>
    <row r="1325">
      <c r="A1325" s="208"/>
      <c r="B1325" s="208"/>
      <c r="C1325" s="208"/>
      <c r="D1325" s="208"/>
      <c r="E1325" s="208"/>
      <c r="F1325" s="208"/>
      <c r="G1325" s="208"/>
      <c r="H1325" s="232"/>
      <c r="I1325" s="233"/>
      <c r="J1325" s="208"/>
      <c r="K1325" s="208"/>
      <c r="L1325" s="208"/>
      <c r="M1325" s="208"/>
      <c r="N1325" s="208"/>
      <c r="O1325" s="208"/>
      <c r="P1325" s="208"/>
      <c r="Q1325" s="208"/>
      <c r="R1325" s="208"/>
      <c r="S1325" s="208"/>
      <c r="T1325" s="208"/>
      <c r="U1325" s="208"/>
      <c r="V1325" s="234"/>
      <c r="W1325" s="232"/>
      <c r="X1325" s="232"/>
      <c r="Y1325" s="232"/>
      <c r="Z1325" s="232"/>
      <c r="AA1325" s="232"/>
      <c r="AB1325" s="232"/>
      <c r="AC1325" s="232"/>
      <c r="AD1325" s="232"/>
      <c r="AE1325" s="232"/>
      <c r="AF1325" s="232"/>
      <c r="AG1325" s="208"/>
      <c r="AH1325" s="208"/>
      <c r="AI1325" s="208"/>
      <c r="AJ1325" s="208"/>
      <c r="AK1325" s="208"/>
    </row>
    <row r="1326">
      <c r="A1326" s="208"/>
      <c r="B1326" s="208"/>
      <c r="C1326" s="208"/>
      <c r="D1326" s="208"/>
      <c r="E1326" s="208"/>
      <c r="F1326" s="208"/>
      <c r="G1326" s="208"/>
      <c r="H1326" s="232"/>
      <c r="I1326" s="233"/>
      <c r="J1326" s="208"/>
      <c r="K1326" s="208"/>
      <c r="L1326" s="208"/>
      <c r="M1326" s="208"/>
      <c r="N1326" s="208"/>
      <c r="O1326" s="208"/>
      <c r="P1326" s="208"/>
      <c r="Q1326" s="208"/>
      <c r="R1326" s="208"/>
      <c r="S1326" s="208"/>
      <c r="T1326" s="208"/>
      <c r="U1326" s="208"/>
      <c r="V1326" s="234"/>
      <c r="W1326" s="232"/>
      <c r="X1326" s="232"/>
      <c r="Y1326" s="232"/>
      <c r="Z1326" s="232"/>
      <c r="AA1326" s="232"/>
      <c r="AB1326" s="232"/>
      <c r="AC1326" s="232"/>
      <c r="AD1326" s="232"/>
      <c r="AE1326" s="232"/>
      <c r="AF1326" s="232"/>
      <c r="AG1326" s="208"/>
      <c r="AH1326" s="208"/>
      <c r="AI1326" s="208"/>
      <c r="AJ1326" s="208"/>
      <c r="AK1326" s="208"/>
    </row>
    <row r="1327">
      <c r="A1327" s="208"/>
      <c r="B1327" s="208"/>
      <c r="C1327" s="208"/>
      <c r="D1327" s="208"/>
      <c r="E1327" s="208"/>
      <c r="F1327" s="208"/>
      <c r="G1327" s="208"/>
      <c r="H1327" s="232"/>
      <c r="I1327" s="233"/>
      <c r="J1327" s="208"/>
      <c r="K1327" s="208"/>
      <c r="L1327" s="208"/>
      <c r="M1327" s="208"/>
      <c r="N1327" s="208"/>
      <c r="O1327" s="208"/>
      <c r="P1327" s="208"/>
      <c r="Q1327" s="208"/>
      <c r="R1327" s="208"/>
      <c r="S1327" s="208"/>
      <c r="T1327" s="208"/>
      <c r="U1327" s="208"/>
      <c r="V1327" s="234"/>
      <c r="W1327" s="232"/>
      <c r="X1327" s="232"/>
      <c r="Y1327" s="232"/>
      <c r="Z1327" s="232"/>
      <c r="AA1327" s="232"/>
      <c r="AB1327" s="232"/>
      <c r="AC1327" s="232"/>
      <c r="AD1327" s="232"/>
      <c r="AE1327" s="232"/>
      <c r="AF1327" s="232"/>
      <c r="AG1327" s="208"/>
      <c r="AH1327" s="208"/>
      <c r="AI1327" s="208"/>
      <c r="AJ1327" s="208"/>
      <c r="AK1327" s="208"/>
    </row>
    <row r="1328">
      <c r="A1328" s="208"/>
      <c r="B1328" s="208"/>
      <c r="C1328" s="208"/>
      <c r="D1328" s="208"/>
      <c r="E1328" s="208"/>
      <c r="F1328" s="208"/>
      <c r="G1328" s="208"/>
      <c r="H1328" s="232"/>
      <c r="I1328" s="233"/>
      <c r="J1328" s="208"/>
      <c r="K1328" s="208"/>
      <c r="L1328" s="208"/>
      <c r="M1328" s="208"/>
      <c r="N1328" s="208"/>
      <c r="O1328" s="208"/>
      <c r="P1328" s="208"/>
      <c r="Q1328" s="208"/>
      <c r="R1328" s="208"/>
      <c r="S1328" s="208"/>
      <c r="T1328" s="208"/>
      <c r="U1328" s="208"/>
      <c r="V1328" s="234"/>
      <c r="W1328" s="232"/>
      <c r="X1328" s="232"/>
      <c r="Y1328" s="232"/>
      <c r="Z1328" s="232"/>
      <c r="AA1328" s="232"/>
      <c r="AB1328" s="232"/>
      <c r="AC1328" s="232"/>
      <c r="AD1328" s="232"/>
      <c r="AE1328" s="232"/>
      <c r="AF1328" s="232"/>
      <c r="AG1328" s="208"/>
      <c r="AH1328" s="208"/>
      <c r="AI1328" s="208"/>
      <c r="AJ1328" s="208"/>
      <c r="AK1328" s="208"/>
    </row>
    <row r="1329">
      <c r="A1329" s="208"/>
      <c r="B1329" s="208"/>
      <c r="C1329" s="208"/>
      <c r="D1329" s="208"/>
      <c r="E1329" s="208"/>
      <c r="F1329" s="208"/>
      <c r="G1329" s="208"/>
      <c r="H1329" s="232"/>
      <c r="I1329" s="233"/>
      <c r="J1329" s="208"/>
      <c r="K1329" s="208"/>
      <c r="L1329" s="208"/>
      <c r="M1329" s="208"/>
      <c r="N1329" s="208"/>
      <c r="O1329" s="208"/>
      <c r="P1329" s="208"/>
      <c r="Q1329" s="208"/>
      <c r="R1329" s="208"/>
      <c r="S1329" s="208"/>
      <c r="T1329" s="208"/>
      <c r="U1329" s="208"/>
      <c r="V1329" s="234"/>
      <c r="W1329" s="232"/>
      <c r="X1329" s="232"/>
      <c r="Y1329" s="232"/>
      <c r="Z1329" s="232"/>
      <c r="AA1329" s="232"/>
      <c r="AB1329" s="232"/>
      <c r="AC1329" s="232"/>
      <c r="AD1329" s="232"/>
      <c r="AE1329" s="232"/>
      <c r="AF1329" s="232"/>
      <c r="AG1329" s="208"/>
      <c r="AH1329" s="208"/>
      <c r="AI1329" s="208"/>
      <c r="AJ1329" s="208"/>
      <c r="AK1329" s="208"/>
    </row>
    <row r="1330">
      <c r="A1330" s="208"/>
      <c r="B1330" s="208"/>
      <c r="C1330" s="208"/>
      <c r="D1330" s="208"/>
      <c r="E1330" s="208"/>
      <c r="F1330" s="208"/>
      <c r="G1330" s="208"/>
      <c r="H1330" s="232"/>
      <c r="I1330" s="233"/>
      <c r="J1330" s="208"/>
      <c r="K1330" s="208"/>
      <c r="L1330" s="208"/>
      <c r="M1330" s="208"/>
      <c r="N1330" s="208"/>
      <c r="O1330" s="208"/>
      <c r="P1330" s="208"/>
      <c r="Q1330" s="208"/>
      <c r="R1330" s="208"/>
      <c r="S1330" s="208"/>
      <c r="T1330" s="208"/>
      <c r="U1330" s="208"/>
      <c r="V1330" s="234"/>
      <c r="W1330" s="232"/>
      <c r="X1330" s="232"/>
      <c r="Y1330" s="232"/>
      <c r="Z1330" s="232"/>
      <c r="AA1330" s="232"/>
      <c r="AB1330" s="232"/>
      <c r="AC1330" s="232"/>
      <c r="AD1330" s="232"/>
      <c r="AE1330" s="232"/>
      <c r="AF1330" s="232"/>
      <c r="AG1330" s="208"/>
      <c r="AH1330" s="208"/>
      <c r="AI1330" s="208"/>
      <c r="AJ1330" s="208"/>
      <c r="AK1330" s="208"/>
    </row>
    <row r="1331">
      <c r="A1331" s="208"/>
      <c r="B1331" s="208"/>
      <c r="C1331" s="208"/>
      <c r="D1331" s="208"/>
      <c r="E1331" s="208"/>
      <c r="F1331" s="208"/>
      <c r="G1331" s="208"/>
      <c r="H1331" s="232"/>
      <c r="I1331" s="233"/>
      <c r="J1331" s="208"/>
      <c r="K1331" s="208"/>
      <c r="L1331" s="208"/>
      <c r="M1331" s="208"/>
      <c r="N1331" s="208"/>
      <c r="O1331" s="208"/>
      <c r="P1331" s="208"/>
      <c r="Q1331" s="208"/>
      <c r="R1331" s="208"/>
      <c r="S1331" s="208"/>
      <c r="T1331" s="208"/>
      <c r="U1331" s="208"/>
      <c r="V1331" s="234"/>
      <c r="W1331" s="232"/>
      <c r="X1331" s="232"/>
      <c r="Y1331" s="232"/>
      <c r="Z1331" s="232"/>
      <c r="AA1331" s="232"/>
      <c r="AB1331" s="232"/>
      <c r="AC1331" s="232"/>
      <c r="AD1331" s="232"/>
      <c r="AE1331" s="232"/>
      <c r="AF1331" s="232"/>
      <c r="AG1331" s="208"/>
      <c r="AH1331" s="208"/>
      <c r="AI1331" s="208"/>
      <c r="AJ1331" s="208"/>
      <c r="AK1331" s="208"/>
    </row>
    <row r="1332">
      <c r="A1332" s="208"/>
      <c r="B1332" s="208"/>
      <c r="C1332" s="208"/>
      <c r="D1332" s="208"/>
      <c r="E1332" s="208"/>
      <c r="F1332" s="208"/>
      <c r="G1332" s="208"/>
      <c r="H1332" s="232"/>
      <c r="I1332" s="233"/>
      <c r="J1332" s="208"/>
      <c r="K1332" s="208"/>
      <c r="L1332" s="208"/>
      <c r="M1332" s="208"/>
      <c r="N1332" s="208"/>
      <c r="O1332" s="208"/>
      <c r="P1332" s="208"/>
      <c r="Q1332" s="208"/>
      <c r="R1332" s="208"/>
      <c r="S1332" s="208"/>
      <c r="T1332" s="208"/>
      <c r="U1332" s="208"/>
      <c r="V1332" s="234"/>
      <c r="W1332" s="232"/>
      <c r="X1332" s="232"/>
      <c r="Y1332" s="232"/>
      <c r="Z1332" s="232"/>
      <c r="AA1332" s="232"/>
      <c r="AB1332" s="232"/>
      <c r="AC1332" s="232"/>
      <c r="AD1332" s="232"/>
      <c r="AE1332" s="232"/>
      <c r="AF1332" s="232"/>
      <c r="AG1332" s="208"/>
      <c r="AH1332" s="208"/>
      <c r="AI1332" s="208"/>
      <c r="AJ1332" s="208"/>
      <c r="AK1332" s="208"/>
    </row>
    <row r="1333">
      <c r="A1333" s="208"/>
      <c r="B1333" s="208"/>
      <c r="C1333" s="208"/>
      <c r="D1333" s="208"/>
      <c r="E1333" s="208"/>
      <c r="F1333" s="208"/>
      <c r="G1333" s="208"/>
      <c r="H1333" s="232"/>
      <c r="I1333" s="233"/>
      <c r="J1333" s="208"/>
      <c r="K1333" s="208"/>
      <c r="L1333" s="208"/>
      <c r="M1333" s="208"/>
      <c r="N1333" s="208"/>
      <c r="O1333" s="208"/>
      <c r="P1333" s="208"/>
      <c r="Q1333" s="208"/>
      <c r="R1333" s="208"/>
      <c r="S1333" s="208"/>
      <c r="T1333" s="208"/>
      <c r="U1333" s="208"/>
      <c r="V1333" s="234"/>
      <c r="W1333" s="232"/>
      <c r="X1333" s="232"/>
      <c r="Y1333" s="232"/>
      <c r="Z1333" s="232"/>
      <c r="AA1333" s="232"/>
      <c r="AB1333" s="232"/>
      <c r="AC1333" s="232"/>
      <c r="AD1333" s="232"/>
      <c r="AE1333" s="232"/>
      <c r="AF1333" s="232"/>
      <c r="AG1333" s="208"/>
      <c r="AH1333" s="208"/>
      <c r="AI1333" s="208"/>
      <c r="AJ1333" s="208"/>
      <c r="AK1333" s="208"/>
    </row>
    <row r="1334">
      <c r="A1334" s="208"/>
      <c r="B1334" s="208"/>
      <c r="C1334" s="208"/>
      <c r="D1334" s="208"/>
      <c r="E1334" s="208"/>
      <c r="F1334" s="208"/>
      <c r="G1334" s="208"/>
      <c r="H1334" s="232"/>
      <c r="I1334" s="233"/>
      <c r="J1334" s="208"/>
      <c r="K1334" s="208"/>
      <c r="L1334" s="208"/>
      <c r="M1334" s="208"/>
      <c r="N1334" s="208"/>
      <c r="O1334" s="208"/>
      <c r="P1334" s="208"/>
      <c r="Q1334" s="208"/>
      <c r="R1334" s="208"/>
      <c r="S1334" s="208"/>
      <c r="T1334" s="208"/>
      <c r="U1334" s="208"/>
      <c r="V1334" s="234"/>
      <c r="W1334" s="232"/>
      <c r="X1334" s="232"/>
      <c r="Y1334" s="232"/>
      <c r="Z1334" s="232"/>
      <c r="AA1334" s="232"/>
      <c r="AB1334" s="232"/>
      <c r="AC1334" s="232"/>
      <c r="AD1334" s="232"/>
      <c r="AE1334" s="232"/>
      <c r="AF1334" s="232"/>
      <c r="AG1334" s="208"/>
      <c r="AH1334" s="208"/>
      <c r="AI1334" s="208"/>
      <c r="AJ1334" s="208"/>
      <c r="AK1334" s="208"/>
    </row>
    <row r="1335">
      <c r="A1335" s="208"/>
      <c r="B1335" s="208"/>
      <c r="C1335" s="208"/>
      <c r="D1335" s="208"/>
      <c r="E1335" s="208"/>
      <c r="F1335" s="208"/>
      <c r="G1335" s="208"/>
      <c r="H1335" s="232"/>
      <c r="I1335" s="233"/>
      <c r="J1335" s="208"/>
      <c r="K1335" s="208"/>
      <c r="L1335" s="208"/>
      <c r="M1335" s="208"/>
      <c r="N1335" s="208"/>
      <c r="O1335" s="208"/>
      <c r="P1335" s="208"/>
      <c r="Q1335" s="208"/>
      <c r="R1335" s="208"/>
      <c r="S1335" s="208"/>
      <c r="T1335" s="208"/>
      <c r="U1335" s="208"/>
      <c r="V1335" s="234"/>
      <c r="W1335" s="232"/>
      <c r="X1335" s="232"/>
      <c r="Y1335" s="232"/>
      <c r="Z1335" s="232"/>
      <c r="AA1335" s="232"/>
      <c r="AB1335" s="232"/>
      <c r="AC1335" s="232"/>
      <c r="AD1335" s="232"/>
      <c r="AE1335" s="232"/>
      <c r="AF1335" s="232"/>
      <c r="AG1335" s="208"/>
      <c r="AH1335" s="208"/>
      <c r="AI1335" s="208"/>
      <c r="AJ1335" s="208"/>
      <c r="AK1335" s="208"/>
    </row>
    <row r="1336">
      <c r="A1336" s="208"/>
      <c r="B1336" s="208"/>
      <c r="C1336" s="208"/>
      <c r="D1336" s="208"/>
      <c r="E1336" s="208"/>
      <c r="F1336" s="208"/>
      <c r="G1336" s="208"/>
      <c r="H1336" s="232"/>
      <c r="I1336" s="233"/>
      <c r="J1336" s="208"/>
      <c r="K1336" s="208"/>
      <c r="L1336" s="208"/>
      <c r="M1336" s="208"/>
      <c r="N1336" s="208"/>
      <c r="O1336" s="208"/>
      <c r="P1336" s="208"/>
      <c r="Q1336" s="208"/>
      <c r="R1336" s="208"/>
      <c r="S1336" s="208"/>
      <c r="T1336" s="208"/>
      <c r="U1336" s="208"/>
      <c r="V1336" s="234"/>
      <c r="W1336" s="232"/>
      <c r="X1336" s="232"/>
      <c r="Y1336" s="232"/>
      <c r="Z1336" s="232"/>
      <c r="AA1336" s="232"/>
      <c r="AB1336" s="232"/>
      <c r="AC1336" s="232"/>
      <c r="AD1336" s="232"/>
      <c r="AE1336" s="232"/>
      <c r="AF1336" s="232"/>
      <c r="AG1336" s="208"/>
      <c r="AH1336" s="208"/>
      <c r="AI1336" s="208"/>
      <c r="AJ1336" s="208"/>
      <c r="AK1336" s="208"/>
    </row>
    <row r="1337">
      <c r="A1337" s="208"/>
      <c r="B1337" s="208"/>
      <c r="C1337" s="208"/>
      <c r="D1337" s="208"/>
      <c r="E1337" s="208"/>
      <c r="F1337" s="208"/>
      <c r="G1337" s="208"/>
      <c r="H1337" s="232"/>
      <c r="I1337" s="233"/>
      <c r="J1337" s="208"/>
      <c r="K1337" s="208"/>
      <c r="L1337" s="208"/>
      <c r="M1337" s="208"/>
      <c r="N1337" s="208"/>
      <c r="O1337" s="208"/>
      <c r="P1337" s="208"/>
      <c r="Q1337" s="208"/>
      <c r="R1337" s="208"/>
      <c r="S1337" s="208"/>
      <c r="T1337" s="208"/>
      <c r="U1337" s="208"/>
      <c r="V1337" s="234"/>
      <c r="W1337" s="232"/>
      <c r="X1337" s="232"/>
      <c r="Y1337" s="232"/>
      <c r="Z1337" s="232"/>
      <c r="AA1337" s="232"/>
      <c r="AB1337" s="232"/>
      <c r="AC1337" s="232"/>
      <c r="AD1337" s="232"/>
      <c r="AE1337" s="232"/>
      <c r="AF1337" s="232"/>
      <c r="AG1337" s="208"/>
      <c r="AH1337" s="208"/>
      <c r="AI1337" s="208"/>
      <c r="AJ1337" s="208"/>
      <c r="AK1337" s="208"/>
    </row>
    <row r="1338">
      <c r="A1338" s="208"/>
      <c r="B1338" s="208"/>
      <c r="C1338" s="208"/>
      <c r="D1338" s="208"/>
      <c r="E1338" s="208"/>
      <c r="F1338" s="208"/>
      <c r="G1338" s="208"/>
      <c r="H1338" s="232"/>
      <c r="I1338" s="233"/>
      <c r="J1338" s="208"/>
      <c r="K1338" s="208"/>
      <c r="L1338" s="208"/>
      <c r="M1338" s="208"/>
      <c r="N1338" s="208"/>
      <c r="O1338" s="208"/>
      <c r="P1338" s="208"/>
      <c r="Q1338" s="208"/>
      <c r="R1338" s="208"/>
      <c r="S1338" s="208"/>
      <c r="T1338" s="208"/>
      <c r="U1338" s="208"/>
      <c r="V1338" s="234"/>
      <c r="W1338" s="232"/>
      <c r="X1338" s="232"/>
      <c r="Y1338" s="232"/>
      <c r="Z1338" s="232"/>
      <c r="AA1338" s="232"/>
      <c r="AB1338" s="232"/>
      <c r="AC1338" s="232"/>
      <c r="AD1338" s="232"/>
      <c r="AE1338" s="232"/>
      <c r="AF1338" s="232"/>
      <c r="AG1338" s="208"/>
      <c r="AH1338" s="208"/>
      <c r="AI1338" s="208"/>
      <c r="AJ1338" s="208"/>
      <c r="AK1338" s="208"/>
    </row>
    <row r="1339">
      <c r="A1339" s="208"/>
      <c r="B1339" s="208"/>
      <c r="C1339" s="208"/>
      <c r="D1339" s="208"/>
      <c r="E1339" s="208"/>
      <c r="F1339" s="208"/>
      <c r="G1339" s="208"/>
      <c r="H1339" s="232"/>
      <c r="I1339" s="233"/>
      <c r="J1339" s="208"/>
      <c r="K1339" s="208"/>
      <c r="L1339" s="208"/>
      <c r="M1339" s="208"/>
      <c r="N1339" s="208"/>
      <c r="O1339" s="208"/>
      <c r="P1339" s="208"/>
      <c r="Q1339" s="208"/>
      <c r="R1339" s="208"/>
      <c r="S1339" s="208"/>
      <c r="T1339" s="208"/>
      <c r="U1339" s="208"/>
      <c r="V1339" s="234"/>
      <c r="W1339" s="232"/>
      <c r="X1339" s="232"/>
      <c r="Y1339" s="232"/>
      <c r="Z1339" s="232"/>
      <c r="AA1339" s="232"/>
      <c r="AB1339" s="232"/>
      <c r="AC1339" s="232"/>
      <c r="AD1339" s="232"/>
      <c r="AE1339" s="232"/>
      <c r="AF1339" s="232"/>
      <c r="AG1339" s="208"/>
      <c r="AH1339" s="208"/>
      <c r="AI1339" s="208"/>
      <c r="AJ1339" s="208"/>
      <c r="AK1339" s="208"/>
    </row>
    <row r="1340">
      <c r="A1340" s="208"/>
      <c r="B1340" s="208"/>
      <c r="C1340" s="208"/>
      <c r="D1340" s="208"/>
      <c r="E1340" s="208"/>
      <c r="F1340" s="208"/>
      <c r="G1340" s="208"/>
      <c r="H1340" s="232"/>
      <c r="I1340" s="233"/>
      <c r="J1340" s="208"/>
      <c r="K1340" s="208"/>
      <c r="L1340" s="208"/>
      <c r="M1340" s="208"/>
      <c r="N1340" s="208"/>
      <c r="O1340" s="208"/>
      <c r="P1340" s="208"/>
      <c r="Q1340" s="208"/>
      <c r="R1340" s="208"/>
      <c r="S1340" s="208"/>
      <c r="T1340" s="208"/>
      <c r="U1340" s="208"/>
      <c r="V1340" s="234"/>
      <c r="W1340" s="232"/>
      <c r="X1340" s="232"/>
      <c r="Y1340" s="232"/>
      <c r="Z1340" s="232"/>
      <c r="AA1340" s="232"/>
      <c r="AB1340" s="232"/>
      <c r="AC1340" s="232"/>
      <c r="AD1340" s="232"/>
      <c r="AE1340" s="232"/>
      <c r="AF1340" s="232"/>
      <c r="AG1340" s="208"/>
      <c r="AH1340" s="208"/>
      <c r="AI1340" s="208"/>
      <c r="AJ1340" s="208"/>
      <c r="AK1340" s="208"/>
    </row>
    <row r="1341">
      <c r="A1341" s="208"/>
      <c r="B1341" s="208"/>
      <c r="C1341" s="208"/>
      <c r="D1341" s="208"/>
      <c r="E1341" s="208"/>
      <c r="F1341" s="208"/>
      <c r="G1341" s="208"/>
      <c r="H1341" s="232"/>
      <c r="I1341" s="233"/>
      <c r="J1341" s="208"/>
      <c r="K1341" s="208"/>
      <c r="L1341" s="208"/>
      <c r="M1341" s="208"/>
      <c r="N1341" s="208"/>
      <c r="O1341" s="208"/>
      <c r="P1341" s="208"/>
      <c r="Q1341" s="208"/>
      <c r="R1341" s="208"/>
      <c r="S1341" s="208"/>
      <c r="T1341" s="208"/>
      <c r="U1341" s="208"/>
      <c r="V1341" s="234"/>
      <c r="W1341" s="232"/>
      <c r="X1341" s="232"/>
      <c r="Y1341" s="232"/>
      <c r="Z1341" s="232"/>
      <c r="AA1341" s="232"/>
      <c r="AB1341" s="232"/>
      <c r="AC1341" s="232"/>
      <c r="AD1341" s="232"/>
      <c r="AE1341" s="232"/>
      <c r="AF1341" s="232"/>
      <c r="AG1341" s="208"/>
      <c r="AH1341" s="208"/>
      <c r="AI1341" s="208"/>
      <c r="AJ1341" s="208"/>
      <c r="AK1341" s="208"/>
    </row>
    <row r="1342">
      <c r="A1342" s="208"/>
      <c r="B1342" s="208"/>
      <c r="C1342" s="208"/>
      <c r="D1342" s="208"/>
      <c r="E1342" s="208"/>
      <c r="F1342" s="208"/>
      <c r="G1342" s="208"/>
      <c r="H1342" s="232"/>
      <c r="I1342" s="233"/>
      <c r="J1342" s="208"/>
      <c r="K1342" s="208"/>
      <c r="L1342" s="208"/>
      <c r="M1342" s="208"/>
      <c r="N1342" s="208"/>
      <c r="O1342" s="208"/>
      <c r="P1342" s="208"/>
      <c r="Q1342" s="208"/>
      <c r="R1342" s="208"/>
      <c r="S1342" s="208"/>
      <c r="T1342" s="208"/>
      <c r="U1342" s="208"/>
      <c r="V1342" s="234"/>
      <c r="W1342" s="232"/>
      <c r="X1342" s="232"/>
      <c r="Y1342" s="232"/>
      <c r="Z1342" s="232"/>
      <c r="AA1342" s="232"/>
      <c r="AB1342" s="232"/>
      <c r="AC1342" s="232"/>
      <c r="AD1342" s="232"/>
      <c r="AE1342" s="232"/>
      <c r="AF1342" s="232"/>
      <c r="AG1342" s="208"/>
      <c r="AH1342" s="208"/>
      <c r="AI1342" s="208"/>
      <c r="AJ1342" s="208"/>
      <c r="AK1342" s="208"/>
    </row>
    <row r="1343">
      <c r="A1343" s="208"/>
      <c r="B1343" s="208"/>
      <c r="C1343" s="208"/>
      <c r="D1343" s="208"/>
      <c r="E1343" s="208"/>
      <c r="F1343" s="208"/>
      <c r="G1343" s="208"/>
      <c r="H1343" s="232"/>
      <c r="I1343" s="233"/>
      <c r="J1343" s="208"/>
      <c r="K1343" s="208"/>
      <c r="L1343" s="208"/>
      <c r="M1343" s="208"/>
      <c r="N1343" s="208"/>
      <c r="O1343" s="208"/>
      <c r="P1343" s="208"/>
      <c r="Q1343" s="208"/>
      <c r="R1343" s="208"/>
      <c r="S1343" s="208"/>
      <c r="T1343" s="208"/>
      <c r="U1343" s="208"/>
      <c r="V1343" s="234"/>
      <c r="W1343" s="232"/>
      <c r="X1343" s="232"/>
      <c r="Y1343" s="232"/>
      <c r="Z1343" s="232"/>
      <c r="AA1343" s="232"/>
      <c r="AB1343" s="232"/>
      <c r="AC1343" s="232"/>
      <c r="AD1343" s="232"/>
      <c r="AE1343" s="232"/>
      <c r="AF1343" s="232"/>
      <c r="AG1343" s="208"/>
      <c r="AH1343" s="208"/>
      <c r="AI1343" s="208"/>
      <c r="AJ1343" s="208"/>
      <c r="AK1343" s="208"/>
    </row>
    <row r="1344">
      <c r="A1344" s="208"/>
      <c r="B1344" s="208"/>
      <c r="C1344" s="208"/>
      <c r="D1344" s="208"/>
      <c r="E1344" s="208"/>
      <c r="F1344" s="208"/>
      <c r="G1344" s="208"/>
      <c r="H1344" s="232"/>
      <c r="I1344" s="233"/>
      <c r="J1344" s="208"/>
      <c r="K1344" s="208"/>
      <c r="L1344" s="208"/>
      <c r="M1344" s="208"/>
      <c r="N1344" s="208"/>
      <c r="O1344" s="208"/>
      <c r="P1344" s="208"/>
      <c r="Q1344" s="208"/>
      <c r="R1344" s="208"/>
      <c r="S1344" s="208"/>
      <c r="T1344" s="208"/>
      <c r="U1344" s="208"/>
      <c r="V1344" s="234"/>
      <c r="W1344" s="232"/>
      <c r="X1344" s="232"/>
      <c r="Y1344" s="232"/>
      <c r="Z1344" s="232"/>
      <c r="AA1344" s="232"/>
      <c r="AB1344" s="232"/>
      <c r="AC1344" s="232"/>
      <c r="AD1344" s="232"/>
      <c r="AE1344" s="232"/>
      <c r="AF1344" s="232"/>
      <c r="AG1344" s="208"/>
      <c r="AH1344" s="208"/>
      <c r="AI1344" s="208"/>
      <c r="AJ1344" s="208"/>
      <c r="AK1344" s="208"/>
    </row>
    <row r="1345">
      <c r="A1345" s="208"/>
      <c r="B1345" s="208"/>
      <c r="C1345" s="208"/>
      <c r="D1345" s="208"/>
      <c r="E1345" s="208"/>
      <c r="F1345" s="208"/>
      <c r="G1345" s="208"/>
      <c r="H1345" s="232"/>
      <c r="I1345" s="233"/>
      <c r="J1345" s="208"/>
      <c r="K1345" s="208"/>
      <c r="L1345" s="208"/>
      <c r="M1345" s="208"/>
      <c r="N1345" s="208"/>
      <c r="O1345" s="208"/>
      <c r="P1345" s="208"/>
      <c r="Q1345" s="208"/>
      <c r="R1345" s="208"/>
      <c r="S1345" s="208"/>
      <c r="T1345" s="208"/>
      <c r="U1345" s="208"/>
      <c r="V1345" s="234"/>
      <c r="W1345" s="232"/>
      <c r="X1345" s="232"/>
      <c r="Y1345" s="232"/>
      <c r="Z1345" s="232"/>
      <c r="AA1345" s="232"/>
      <c r="AB1345" s="232"/>
      <c r="AC1345" s="232"/>
      <c r="AD1345" s="232"/>
      <c r="AE1345" s="232"/>
      <c r="AF1345" s="232"/>
      <c r="AG1345" s="208"/>
      <c r="AH1345" s="208"/>
      <c r="AI1345" s="208"/>
      <c r="AJ1345" s="208"/>
      <c r="AK1345" s="208"/>
    </row>
    <row r="1346">
      <c r="A1346" s="208"/>
      <c r="B1346" s="208"/>
      <c r="C1346" s="208"/>
      <c r="D1346" s="208"/>
      <c r="E1346" s="208"/>
      <c r="F1346" s="208"/>
      <c r="G1346" s="208"/>
      <c r="H1346" s="232"/>
      <c r="I1346" s="233"/>
      <c r="J1346" s="208"/>
      <c r="K1346" s="208"/>
      <c r="L1346" s="208"/>
      <c r="M1346" s="208"/>
      <c r="N1346" s="208"/>
      <c r="O1346" s="208"/>
      <c r="P1346" s="208"/>
      <c r="Q1346" s="208"/>
      <c r="R1346" s="208"/>
      <c r="S1346" s="208"/>
      <c r="T1346" s="208"/>
      <c r="U1346" s="208"/>
      <c r="V1346" s="234"/>
      <c r="W1346" s="232"/>
      <c r="X1346" s="232"/>
      <c r="Y1346" s="232"/>
      <c r="Z1346" s="232"/>
      <c r="AA1346" s="232"/>
      <c r="AB1346" s="232"/>
      <c r="AC1346" s="232"/>
      <c r="AD1346" s="232"/>
      <c r="AE1346" s="232"/>
      <c r="AF1346" s="232"/>
      <c r="AG1346" s="208"/>
      <c r="AH1346" s="208"/>
      <c r="AI1346" s="208"/>
      <c r="AJ1346" s="208"/>
      <c r="AK1346" s="208"/>
    </row>
    <row r="1347">
      <c r="A1347" s="208"/>
      <c r="B1347" s="208"/>
      <c r="C1347" s="208"/>
      <c r="D1347" s="208"/>
      <c r="E1347" s="208"/>
      <c r="F1347" s="208"/>
      <c r="G1347" s="208"/>
      <c r="H1347" s="232"/>
      <c r="I1347" s="233"/>
      <c r="J1347" s="208"/>
      <c r="K1347" s="208"/>
      <c r="L1347" s="208"/>
      <c r="M1347" s="208"/>
      <c r="N1347" s="208"/>
      <c r="O1347" s="208"/>
      <c r="P1347" s="208"/>
      <c r="Q1347" s="208"/>
      <c r="R1347" s="208"/>
      <c r="S1347" s="208"/>
      <c r="T1347" s="208"/>
      <c r="U1347" s="208"/>
      <c r="V1347" s="234"/>
      <c r="W1347" s="232"/>
      <c r="X1347" s="232"/>
      <c r="Y1347" s="232"/>
      <c r="Z1347" s="232"/>
      <c r="AA1347" s="232"/>
      <c r="AB1347" s="232"/>
      <c r="AC1347" s="232"/>
      <c r="AD1347" s="232"/>
      <c r="AE1347" s="232"/>
      <c r="AF1347" s="232"/>
      <c r="AG1347" s="208"/>
      <c r="AH1347" s="208"/>
      <c r="AI1347" s="208"/>
      <c r="AJ1347" s="208"/>
      <c r="AK1347" s="208"/>
    </row>
    <row r="1348">
      <c r="A1348" s="208"/>
      <c r="B1348" s="208"/>
      <c r="C1348" s="208"/>
      <c r="D1348" s="208"/>
      <c r="E1348" s="208"/>
      <c r="F1348" s="208"/>
      <c r="G1348" s="208"/>
      <c r="H1348" s="232"/>
      <c r="I1348" s="233"/>
      <c r="J1348" s="208"/>
      <c r="K1348" s="208"/>
      <c r="L1348" s="208"/>
      <c r="M1348" s="208"/>
      <c r="N1348" s="208"/>
      <c r="O1348" s="208"/>
      <c r="P1348" s="208"/>
      <c r="Q1348" s="208"/>
      <c r="R1348" s="208"/>
      <c r="S1348" s="208"/>
      <c r="T1348" s="208"/>
      <c r="U1348" s="208"/>
      <c r="V1348" s="234"/>
      <c r="W1348" s="232"/>
      <c r="X1348" s="232"/>
      <c r="Y1348" s="232"/>
      <c r="Z1348" s="232"/>
      <c r="AA1348" s="232"/>
      <c r="AB1348" s="232"/>
      <c r="AC1348" s="232"/>
      <c r="AD1348" s="232"/>
      <c r="AE1348" s="232"/>
      <c r="AF1348" s="232"/>
      <c r="AG1348" s="208"/>
      <c r="AH1348" s="208"/>
      <c r="AI1348" s="208"/>
      <c r="AJ1348" s="208"/>
      <c r="AK1348" s="208"/>
    </row>
    <row r="1349">
      <c r="A1349" s="208"/>
      <c r="B1349" s="208"/>
      <c r="C1349" s="208"/>
      <c r="D1349" s="208"/>
      <c r="E1349" s="208"/>
      <c r="F1349" s="208"/>
      <c r="G1349" s="208"/>
      <c r="H1349" s="232"/>
      <c r="I1349" s="233"/>
      <c r="J1349" s="208"/>
      <c r="K1349" s="208"/>
      <c r="L1349" s="208"/>
      <c r="M1349" s="208"/>
      <c r="N1349" s="208"/>
      <c r="O1349" s="208"/>
      <c r="P1349" s="208"/>
      <c r="Q1349" s="208"/>
      <c r="R1349" s="208"/>
      <c r="S1349" s="208"/>
      <c r="T1349" s="208"/>
      <c r="U1349" s="208"/>
      <c r="V1349" s="234"/>
      <c r="W1349" s="232"/>
      <c r="X1349" s="232"/>
      <c r="Y1349" s="232"/>
      <c r="Z1349" s="232"/>
      <c r="AA1349" s="232"/>
      <c r="AB1349" s="232"/>
      <c r="AC1349" s="232"/>
      <c r="AD1349" s="232"/>
      <c r="AE1349" s="232"/>
      <c r="AF1349" s="232"/>
      <c r="AG1349" s="208"/>
      <c r="AH1349" s="208"/>
      <c r="AI1349" s="208"/>
      <c r="AJ1349" s="208"/>
      <c r="AK1349" s="208"/>
    </row>
    <row r="1350">
      <c r="A1350" s="208"/>
      <c r="B1350" s="208"/>
      <c r="C1350" s="208"/>
      <c r="D1350" s="208"/>
      <c r="E1350" s="208"/>
      <c r="F1350" s="208"/>
      <c r="G1350" s="208"/>
      <c r="H1350" s="232"/>
      <c r="I1350" s="233"/>
      <c r="J1350" s="208"/>
      <c r="K1350" s="208"/>
      <c r="L1350" s="208"/>
      <c r="M1350" s="208"/>
      <c r="N1350" s="208"/>
      <c r="O1350" s="208"/>
      <c r="P1350" s="208"/>
      <c r="Q1350" s="208"/>
      <c r="R1350" s="208"/>
      <c r="S1350" s="208"/>
      <c r="T1350" s="208"/>
      <c r="U1350" s="208"/>
      <c r="V1350" s="234"/>
      <c r="W1350" s="232"/>
      <c r="X1350" s="232"/>
      <c r="Y1350" s="232"/>
      <c r="Z1350" s="232"/>
      <c r="AA1350" s="232"/>
      <c r="AB1350" s="232"/>
      <c r="AC1350" s="232"/>
      <c r="AD1350" s="232"/>
      <c r="AE1350" s="232"/>
      <c r="AF1350" s="232"/>
      <c r="AG1350" s="208"/>
      <c r="AH1350" s="208"/>
      <c r="AI1350" s="208"/>
      <c r="AJ1350" s="208"/>
      <c r="AK1350" s="208"/>
    </row>
    <row r="1351">
      <c r="A1351" s="208"/>
      <c r="B1351" s="208"/>
      <c r="C1351" s="208"/>
      <c r="D1351" s="208"/>
      <c r="E1351" s="208"/>
      <c r="F1351" s="208"/>
      <c r="G1351" s="208"/>
      <c r="H1351" s="232"/>
      <c r="I1351" s="233"/>
      <c r="J1351" s="208"/>
      <c r="K1351" s="208"/>
      <c r="L1351" s="208"/>
      <c r="M1351" s="208"/>
      <c r="N1351" s="208"/>
      <c r="O1351" s="208"/>
      <c r="P1351" s="208"/>
      <c r="Q1351" s="208"/>
      <c r="R1351" s="208"/>
      <c r="S1351" s="208"/>
      <c r="T1351" s="208"/>
      <c r="U1351" s="208"/>
      <c r="V1351" s="234"/>
      <c r="W1351" s="232"/>
      <c r="X1351" s="232"/>
      <c r="Y1351" s="232"/>
      <c r="Z1351" s="232"/>
      <c r="AA1351" s="232"/>
      <c r="AB1351" s="232"/>
      <c r="AC1351" s="232"/>
      <c r="AD1351" s="232"/>
      <c r="AE1351" s="232"/>
      <c r="AF1351" s="232"/>
      <c r="AG1351" s="208"/>
      <c r="AH1351" s="208"/>
      <c r="AI1351" s="208"/>
      <c r="AJ1351" s="208"/>
      <c r="AK1351" s="208"/>
    </row>
    <row r="1352">
      <c r="A1352" s="208"/>
      <c r="B1352" s="208"/>
      <c r="C1352" s="208"/>
      <c r="D1352" s="208"/>
      <c r="E1352" s="208"/>
      <c r="F1352" s="208"/>
      <c r="G1352" s="208"/>
      <c r="H1352" s="232"/>
      <c r="I1352" s="233"/>
      <c r="J1352" s="208"/>
      <c r="K1352" s="208"/>
      <c r="L1352" s="208"/>
      <c r="M1352" s="208"/>
      <c r="N1352" s="208"/>
      <c r="O1352" s="208"/>
      <c r="P1352" s="208"/>
      <c r="Q1352" s="208"/>
      <c r="R1352" s="208"/>
      <c r="S1352" s="208"/>
      <c r="T1352" s="208"/>
      <c r="U1352" s="208"/>
      <c r="V1352" s="234"/>
      <c r="W1352" s="232"/>
      <c r="X1352" s="232"/>
      <c r="Y1352" s="232"/>
      <c r="Z1352" s="232"/>
      <c r="AA1352" s="232"/>
      <c r="AB1352" s="232"/>
      <c r="AC1352" s="232"/>
      <c r="AD1352" s="232"/>
      <c r="AE1352" s="232"/>
      <c r="AF1352" s="232"/>
      <c r="AG1352" s="208"/>
      <c r="AH1352" s="208"/>
      <c r="AI1352" s="208"/>
      <c r="AJ1352" s="208"/>
      <c r="AK1352" s="208"/>
    </row>
    <row r="1353">
      <c r="A1353" s="208"/>
      <c r="B1353" s="208"/>
      <c r="C1353" s="208"/>
      <c r="D1353" s="208"/>
      <c r="E1353" s="208"/>
      <c r="F1353" s="208"/>
      <c r="G1353" s="208"/>
      <c r="H1353" s="232"/>
      <c r="I1353" s="233"/>
      <c r="J1353" s="208"/>
      <c r="K1353" s="208"/>
      <c r="L1353" s="208"/>
      <c r="M1353" s="208"/>
      <c r="N1353" s="208"/>
      <c r="O1353" s="208"/>
      <c r="P1353" s="208"/>
      <c r="Q1353" s="208"/>
      <c r="R1353" s="208"/>
      <c r="S1353" s="208"/>
      <c r="T1353" s="208"/>
      <c r="U1353" s="208"/>
      <c r="V1353" s="234"/>
      <c r="W1353" s="232"/>
      <c r="X1353" s="232"/>
      <c r="Y1353" s="232"/>
      <c r="Z1353" s="232"/>
      <c r="AA1353" s="232"/>
      <c r="AB1353" s="232"/>
      <c r="AC1353" s="232"/>
      <c r="AD1353" s="232"/>
      <c r="AE1353" s="232"/>
      <c r="AF1353" s="232"/>
      <c r="AG1353" s="208"/>
      <c r="AH1353" s="208"/>
      <c r="AI1353" s="208"/>
      <c r="AJ1353" s="208"/>
      <c r="AK1353" s="208"/>
    </row>
    <row r="1354">
      <c r="A1354" s="208"/>
      <c r="B1354" s="208"/>
      <c r="C1354" s="208"/>
      <c r="D1354" s="208"/>
      <c r="E1354" s="208"/>
      <c r="F1354" s="208"/>
      <c r="G1354" s="208"/>
      <c r="H1354" s="232"/>
      <c r="I1354" s="233"/>
      <c r="J1354" s="208"/>
      <c r="K1354" s="208"/>
      <c r="L1354" s="208"/>
      <c r="M1354" s="208"/>
      <c r="N1354" s="208"/>
      <c r="O1354" s="208"/>
      <c r="P1354" s="208"/>
      <c r="Q1354" s="208"/>
      <c r="R1354" s="208"/>
      <c r="S1354" s="208"/>
      <c r="T1354" s="208"/>
      <c r="U1354" s="208"/>
      <c r="V1354" s="234"/>
      <c r="W1354" s="232"/>
      <c r="X1354" s="232"/>
      <c r="Y1354" s="232"/>
      <c r="Z1354" s="232"/>
      <c r="AA1354" s="232"/>
      <c r="AB1354" s="232"/>
      <c r="AC1354" s="232"/>
      <c r="AD1354" s="232"/>
      <c r="AE1354" s="232"/>
      <c r="AF1354" s="232"/>
      <c r="AG1354" s="208"/>
      <c r="AH1354" s="208"/>
      <c r="AI1354" s="208"/>
      <c r="AJ1354" s="208"/>
      <c r="AK1354" s="208"/>
    </row>
    <row r="1355">
      <c r="A1355" s="208"/>
      <c r="B1355" s="208"/>
      <c r="C1355" s="208"/>
      <c r="D1355" s="208"/>
      <c r="E1355" s="208"/>
      <c r="F1355" s="208"/>
      <c r="G1355" s="208"/>
      <c r="H1355" s="232"/>
      <c r="I1355" s="233"/>
      <c r="J1355" s="208"/>
      <c r="K1355" s="208"/>
      <c r="L1355" s="208"/>
      <c r="M1355" s="208"/>
      <c r="N1355" s="208"/>
      <c r="O1355" s="208"/>
      <c r="P1355" s="208"/>
      <c r="Q1355" s="208"/>
      <c r="R1355" s="208"/>
      <c r="S1355" s="208"/>
      <c r="T1355" s="208"/>
      <c r="U1355" s="208"/>
      <c r="V1355" s="234"/>
      <c r="W1355" s="232"/>
      <c r="X1355" s="232"/>
      <c r="Y1355" s="232"/>
      <c r="Z1355" s="232"/>
      <c r="AA1355" s="232"/>
      <c r="AB1355" s="232"/>
      <c r="AC1355" s="232"/>
      <c r="AD1355" s="232"/>
      <c r="AE1355" s="232"/>
      <c r="AF1355" s="232"/>
      <c r="AG1355" s="208"/>
      <c r="AH1355" s="208"/>
      <c r="AI1355" s="208"/>
      <c r="AJ1355" s="208"/>
      <c r="AK1355" s="208"/>
    </row>
    <row r="1356">
      <c r="A1356" s="208"/>
      <c r="B1356" s="208"/>
      <c r="C1356" s="208"/>
      <c r="D1356" s="208"/>
      <c r="E1356" s="208"/>
      <c r="F1356" s="208"/>
      <c r="G1356" s="208"/>
      <c r="H1356" s="232"/>
      <c r="I1356" s="233"/>
      <c r="J1356" s="208"/>
      <c r="K1356" s="208"/>
      <c r="L1356" s="208"/>
      <c r="M1356" s="208"/>
      <c r="N1356" s="208"/>
      <c r="O1356" s="208"/>
      <c r="P1356" s="208"/>
      <c r="Q1356" s="208"/>
      <c r="R1356" s="208"/>
      <c r="S1356" s="208"/>
      <c r="T1356" s="208"/>
      <c r="U1356" s="208"/>
      <c r="V1356" s="234"/>
      <c r="W1356" s="232"/>
      <c r="X1356" s="232"/>
      <c r="Y1356" s="232"/>
      <c r="Z1356" s="232"/>
      <c r="AA1356" s="232"/>
      <c r="AB1356" s="232"/>
      <c r="AC1356" s="232"/>
      <c r="AD1356" s="232"/>
      <c r="AE1356" s="232"/>
      <c r="AF1356" s="232"/>
      <c r="AG1356" s="208"/>
      <c r="AH1356" s="208"/>
      <c r="AI1356" s="208"/>
      <c r="AJ1356" s="208"/>
      <c r="AK1356" s="208"/>
    </row>
    <row r="1357">
      <c r="A1357" s="208"/>
      <c r="B1357" s="208"/>
      <c r="C1357" s="208"/>
      <c r="D1357" s="208"/>
      <c r="E1357" s="208"/>
      <c r="F1357" s="208"/>
      <c r="G1357" s="208"/>
      <c r="H1357" s="232"/>
      <c r="I1357" s="233"/>
      <c r="J1357" s="208"/>
      <c r="K1357" s="208"/>
      <c r="L1357" s="208"/>
      <c r="M1357" s="208"/>
      <c r="N1357" s="208"/>
      <c r="O1357" s="208"/>
      <c r="P1357" s="208"/>
      <c r="Q1357" s="208"/>
      <c r="R1357" s="208"/>
      <c r="S1357" s="208"/>
      <c r="T1357" s="208"/>
      <c r="U1357" s="208"/>
      <c r="V1357" s="234"/>
      <c r="W1357" s="232"/>
      <c r="X1357" s="232"/>
      <c r="Y1357" s="232"/>
      <c r="Z1357" s="232"/>
      <c r="AA1357" s="232"/>
      <c r="AB1357" s="232"/>
      <c r="AC1357" s="232"/>
      <c r="AD1357" s="232"/>
      <c r="AE1357" s="232"/>
      <c r="AF1357" s="232"/>
      <c r="AG1357" s="208"/>
      <c r="AH1357" s="208"/>
      <c r="AI1357" s="208"/>
      <c r="AJ1357" s="208"/>
      <c r="AK1357" s="208"/>
    </row>
    <row r="1358">
      <c r="A1358" s="208"/>
      <c r="B1358" s="208"/>
      <c r="C1358" s="208"/>
      <c r="D1358" s="208"/>
      <c r="E1358" s="208"/>
      <c r="F1358" s="208"/>
      <c r="G1358" s="208"/>
      <c r="H1358" s="232"/>
      <c r="I1358" s="233"/>
      <c r="J1358" s="208"/>
      <c r="K1358" s="208"/>
      <c r="L1358" s="208"/>
      <c r="M1358" s="208"/>
      <c r="N1358" s="208"/>
      <c r="O1358" s="208"/>
      <c r="P1358" s="208"/>
      <c r="Q1358" s="208"/>
      <c r="R1358" s="208"/>
      <c r="S1358" s="208"/>
      <c r="T1358" s="208"/>
      <c r="U1358" s="208"/>
      <c r="V1358" s="234"/>
      <c r="W1358" s="232"/>
      <c r="X1358" s="232"/>
      <c r="Y1358" s="232"/>
      <c r="Z1358" s="232"/>
      <c r="AA1358" s="232"/>
      <c r="AB1358" s="232"/>
      <c r="AC1358" s="232"/>
      <c r="AD1358" s="232"/>
      <c r="AE1358" s="232"/>
      <c r="AF1358" s="232"/>
      <c r="AG1358" s="208"/>
      <c r="AH1358" s="208"/>
      <c r="AI1358" s="208"/>
      <c r="AJ1358" s="208"/>
      <c r="AK1358" s="208"/>
    </row>
    <row r="1359">
      <c r="A1359" s="208"/>
      <c r="B1359" s="208"/>
      <c r="C1359" s="208"/>
      <c r="D1359" s="208"/>
      <c r="E1359" s="208"/>
      <c r="F1359" s="208"/>
      <c r="G1359" s="208"/>
      <c r="H1359" s="232"/>
      <c r="I1359" s="233"/>
      <c r="J1359" s="208"/>
      <c r="K1359" s="208"/>
      <c r="L1359" s="208"/>
      <c r="M1359" s="208"/>
      <c r="N1359" s="208"/>
      <c r="O1359" s="208"/>
      <c r="P1359" s="208"/>
      <c r="Q1359" s="208"/>
      <c r="R1359" s="208"/>
      <c r="S1359" s="208"/>
      <c r="T1359" s="208"/>
      <c r="U1359" s="208"/>
      <c r="V1359" s="234"/>
      <c r="W1359" s="232"/>
      <c r="X1359" s="232"/>
      <c r="Y1359" s="232"/>
      <c r="Z1359" s="232"/>
      <c r="AA1359" s="232"/>
      <c r="AB1359" s="232"/>
      <c r="AC1359" s="232"/>
      <c r="AD1359" s="232"/>
      <c r="AE1359" s="232"/>
      <c r="AF1359" s="232"/>
      <c r="AG1359" s="208"/>
      <c r="AH1359" s="208"/>
      <c r="AI1359" s="208"/>
      <c r="AJ1359" s="208"/>
      <c r="AK1359" s="208"/>
    </row>
    <row r="1360">
      <c r="A1360" s="208"/>
      <c r="B1360" s="208"/>
      <c r="C1360" s="208"/>
      <c r="D1360" s="208"/>
      <c r="E1360" s="208"/>
      <c r="F1360" s="208"/>
      <c r="G1360" s="208"/>
      <c r="H1360" s="232"/>
      <c r="I1360" s="233"/>
      <c r="J1360" s="208"/>
      <c r="K1360" s="208"/>
      <c r="L1360" s="208"/>
      <c r="M1360" s="208"/>
      <c r="N1360" s="208"/>
      <c r="O1360" s="208"/>
      <c r="P1360" s="208"/>
      <c r="Q1360" s="208"/>
      <c r="R1360" s="208"/>
      <c r="S1360" s="208"/>
      <c r="T1360" s="208"/>
      <c r="U1360" s="208"/>
      <c r="V1360" s="234"/>
      <c r="W1360" s="232"/>
      <c r="X1360" s="232"/>
      <c r="Y1360" s="232"/>
      <c r="Z1360" s="232"/>
      <c r="AA1360" s="232"/>
      <c r="AB1360" s="232"/>
      <c r="AC1360" s="232"/>
      <c r="AD1360" s="232"/>
      <c r="AE1360" s="232"/>
      <c r="AF1360" s="232"/>
      <c r="AG1360" s="208"/>
      <c r="AH1360" s="208"/>
      <c r="AI1360" s="208"/>
      <c r="AJ1360" s="208"/>
      <c r="AK1360" s="208"/>
    </row>
    <row r="1361">
      <c r="A1361" s="208"/>
      <c r="B1361" s="208"/>
      <c r="C1361" s="208"/>
      <c r="D1361" s="208"/>
      <c r="E1361" s="208"/>
      <c r="F1361" s="208"/>
      <c r="G1361" s="208"/>
      <c r="H1361" s="232"/>
      <c r="I1361" s="233"/>
      <c r="J1361" s="208"/>
      <c r="K1361" s="208"/>
      <c r="L1361" s="208"/>
      <c r="M1361" s="208"/>
      <c r="N1361" s="208"/>
      <c r="O1361" s="208"/>
      <c r="P1361" s="208"/>
      <c r="Q1361" s="208"/>
      <c r="R1361" s="208"/>
      <c r="S1361" s="208"/>
      <c r="T1361" s="208"/>
      <c r="U1361" s="208"/>
      <c r="V1361" s="234"/>
      <c r="W1361" s="232"/>
      <c r="X1361" s="232"/>
      <c r="Y1361" s="232"/>
      <c r="Z1361" s="232"/>
      <c r="AA1361" s="232"/>
      <c r="AB1361" s="232"/>
      <c r="AC1361" s="232"/>
      <c r="AD1361" s="232"/>
      <c r="AE1361" s="232"/>
      <c r="AF1361" s="232"/>
      <c r="AG1361" s="208"/>
      <c r="AH1361" s="208"/>
      <c r="AI1361" s="208"/>
      <c r="AJ1361" s="208"/>
      <c r="AK1361" s="208"/>
    </row>
    <row r="1362">
      <c r="A1362" s="208"/>
      <c r="B1362" s="208"/>
      <c r="C1362" s="208"/>
      <c r="D1362" s="208"/>
      <c r="E1362" s="208"/>
      <c r="F1362" s="208"/>
      <c r="G1362" s="208"/>
      <c r="H1362" s="232"/>
      <c r="I1362" s="233"/>
      <c r="J1362" s="208"/>
      <c r="K1362" s="208"/>
      <c r="L1362" s="208"/>
      <c r="M1362" s="208"/>
      <c r="N1362" s="208"/>
      <c r="O1362" s="208"/>
      <c r="P1362" s="208"/>
      <c r="Q1362" s="208"/>
      <c r="R1362" s="208"/>
      <c r="S1362" s="208"/>
      <c r="T1362" s="208"/>
      <c r="U1362" s="208"/>
      <c r="V1362" s="234"/>
      <c r="W1362" s="232"/>
      <c r="X1362" s="232"/>
      <c r="Y1362" s="232"/>
      <c r="Z1362" s="232"/>
      <c r="AA1362" s="232"/>
      <c r="AB1362" s="232"/>
      <c r="AC1362" s="232"/>
      <c r="AD1362" s="232"/>
      <c r="AE1362" s="232"/>
      <c r="AF1362" s="232"/>
      <c r="AG1362" s="208"/>
      <c r="AH1362" s="208"/>
      <c r="AI1362" s="208"/>
      <c r="AJ1362" s="208"/>
      <c r="AK1362" s="208"/>
    </row>
    <row r="1363">
      <c r="A1363" s="208"/>
      <c r="B1363" s="208"/>
      <c r="C1363" s="208"/>
      <c r="D1363" s="208"/>
      <c r="E1363" s="208"/>
      <c r="F1363" s="208"/>
      <c r="G1363" s="208"/>
      <c r="H1363" s="232"/>
      <c r="I1363" s="233"/>
      <c r="J1363" s="208"/>
      <c r="K1363" s="208"/>
      <c r="L1363" s="208"/>
      <c r="M1363" s="208"/>
      <c r="N1363" s="208"/>
      <c r="O1363" s="208"/>
      <c r="P1363" s="208"/>
      <c r="Q1363" s="208"/>
      <c r="R1363" s="208"/>
      <c r="S1363" s="208"/>
      <c r="T1363" s="208"/>
      <c r="U1363" s="208"/>
      <c r="V1363" s="234"/>
      <c r="W1363" s="232"/>
      <c r="X1363" s="232"/>
      <c r="Y1363" s="232"/>
      <c r="Z1363" s="232"/>
      <c r="AA1363" s="232"/>
      <c r="AB1363" s="232"/>
      <c r="AC1363" s="232"/>
      <c r="AD1363" s="232"/>
      <c r="AE1363" s="232"/>
      <c r="AF1363" s="232"/>
      <c r="AG1363" s="208"/>
      <c r="AH1363" s="208"/>
      <c r="AI1363" s="208"/>
      <c r="AJ1363" s="208"/>
      <c r="AK1363" s="208"/>
    </row>
    <row r="1364">
      <c r="A1364" s="208"/>
      <c r="B1364" s="208"/>
      <c r="C1364" s="208"/>
      <c r="D1364" s="208"/>
      <c r="E1364" s="208"/>
      <c r="F1364" s="208"/>
      <c r="G1364" s="208"/>
      <c r="H1364" s="232"/>
      <c r="I1364" s="233"/>
      <c r="J1364" s="208"/>
      <c r="K1364" s="208"/>
      <c r="L1364" s="208"/>
      <c r="M1364" s="208"/>
      <c r="N1364" s="208"/>
      <c r="O1364" s="208"/>
      <c r="P1364" s="208"/>
      <c r="Q1364" s="208"/>
      <c r="R1364" s="208"/>
      <c r="S1364" s="208"/>
      <c r="T1364" s="208"/>
      <c r="U1364" s="208"/>
      <c r="V1364" s="234"/>
      <c r="W1364" s="232"/>
      <c r="X1364" s="232"/>
      <c r="Y1364" s="232"/>
      <c r="Z1364" s="232"/>
      <c r="AA1364" s="232"/>
      <c r="AB1364" s="232"/>
      <c r="AC1364" s="232"/>
      <c r="AD1364" s="232"/>
      <c r="AE1364" s="232"/>
      <c r="AF1364" s="232"/>
      <c r="AG1364" s="208"/>
      <c r="AH1364" s="208"/>
      <c r="AI1364" s="208"/>
      <c r="AJ1364" s="208"/>
      <c r="AK1364" s="208"/>
    </row>
    <row r="1365">
      <c r="A1365" s="208"/>
      <c r="B1365" s="208"/>
      <c r="C1365" s="208"/>
      <c r="D1365" s="208"/>
      <c r="E1365" s="208"/>
      <c r="F1365" s="208"/>
      <c r="G1365" s="208"/>
      <c r="H1365" s="232"/>
      <c r="I1365" s="233"/>
      <c r="J1365" s="208"/>
      <c r="K1365" s="208"/>
      <c r="L1365" s="208"/>
      <c r="M1365" s="208"/>
      <c r="N1365" s="208"/>
      <c r="O1365" s="208"/>
      <c r="P1365" s="208"/>
      <c r="Q1365" s="208"/>
      <c r="R1365" s="208"/>
      <c r="S1365" s="208"/>
      <c r="T1365" s="208"/>
      <c r="U1365" s="208"/>
      <c r="V1365" s="234"/>
      <c r="W1365" s="232"/>
      <c r="X1365" s="232"/>
      <c r="Y1365" s="232"/>
      <c r="Z1365" s="232"/>
      <c r="AA1365" s="232"/>
      <c r="AB1365" s="232"/>
      <c r="AC1365" s="232"/>
      <c r="AD1365" s="232"/>
      <c r="AE1365" s="232"/>
      <c r="AF1365" s="232"/>
      <c r="AG1365" s="208"/>
      <c r="AH1365" s="208"/>
      <c r="AI1365" s="208"/>
      <c r="AJ1365" s="208"/>
      <c r="AK1365" s="208"/>
    </row>
    <row r="1366">
      <c r="A1366" s="208"/>
      <c r="B1366" s="208"/>
      <c r="C1366" s="208"/>
      <c r="D1366" s="208"/>
      <c r="E1366" s="208"/>
      <c r="F1366" s="208"/>
      <c r="G1366" s="208"/>
      <c r="H1366" s="232"/>
      <c r="I1366" s="233"/>
      <c r="J1366" s="208"/>
      <c r="K1366" s="208"/>
      <c r="L1366" s="208"/>
      <c r="M1366" s="208"/>
      <c r="N1366" s="208"/>
      <c r="O1366" s="208"/>
      <c r="P1366" s="208"/>
      <c r="Q1366" s="208"/>
      <c r="R1366" s="208"/>
      <c r="S1366" s="208"/>
      <c r="T1366" s="208"/>
      <c r="U1366" s="208"/>
      <c r="V1366" s="234"/>
      <c r="W1366" s="232"/>
      <c r="X1366" s="232"/>
      <c r="Y1366" s="232"/>
      <c r="Z1366" s="232"/>
      <c r="AA1366" s="232"/>
      <c r="AB1366" s="232"/>
      <c r="AC1366" s="232"/>
      <c r="AD1366" s="232"/>
      <c r="AE1366" s="232"/>
      <c r="AF1366" s="232"/>
      <c r="AG1366" s="208"/>
      <c r="AH1366" s="208"/>
      <c r="AI1366" s="208"/>
      <c r="AJ1366" s="208"/>
      <c r="AK1366" s="208"/>
    </row>
    <row r="1367">
      <c r="A1367" s="208"/>
      <c r="B1367" s="208"/>
      <c r="C1367" s="208"/>
      <c r="D1367" s="208"/>
      <c r="E1367" s="208"/>
      <c r="F1367" s="208"/>
      <c r="G1367" s="208"/>
      <c r="H1367" s="232"/>
      <c r="I1367" s="233"/>
      <c r="J1367" s="208"/>
      <c r="K1367" s="208"/>
      <c r="L1367" s="208"/>
      <c r="M1367" s="208"/>
      <c r="N1367" s="208"/>
      <c r="O1367" s="208"/>
      <c r="P1367" s="208"/>
      <c r="Q1367" s="208"/>
      <c r="R1367" s="208"/>
      <c r="S1367" s="208"/>
      <c r="T1367" s="208"/>
      <c r="U1367" s="208"/>
      <c r="V1367" s="234"/>
      <c r="W1367" s="232"/>
      <c r="X1367" s="232"/>
      <c r="Y1367" s="232"/>
      <c r="Z1367" s="232"/>
      <c r="AA1367" s="232"/>
      <c r="AB1367" s="232"/>
      <c r="AC1367" s="232"/>
      <c r="AD1367" s="232"/>
      <c r="AE1367" s="232"/>
      <c r="AF1367" s="232"/>
      <c r="AG1367" s="208"/>
      <c r="AH1367" s="208"/>
      <c r="AI1367" s="208"/>
      <c r="AJ1367" s="208"/>
      <c r="AK1367" s="208"/>
    </row>
    <row r="1368">
      <c r="A1368" s="208"/>
      <c r="B1368" s="208"/>
      <c r="C1368" s="208"/>
      <c r="D1368" s="208"/>
      <c r="E1368" s="208"/>
      <c r="F1368" s="208"/>
      <c r="G1368" s="208"/>
      <c r="H1368" s="232"/>
      <c r="I1368" s="233"/>
      <c r="J1368" s="208"/>
      <c r="K1368" s="208"/>
      <c r="L1368" s="208"/>
      <c r="M1368" s="208"/>
      <c r="N1368" s="208"/>
      <c r="O1368" s="208"/>
      <c r="P1368" s="208"/>
      <c r="Q1368" s="208"/>
      <c r="R1368" s="208"/>
      <c r="S1368" s="208"/>
      <c r="T1368" s="208"/>
      <c r="U1368" s="208"/>
      <c r="V1368" s="234"/>
      <c r="W1368" s="232"/>
      <c r="X1368" s="232"/>
      <c r="Y1368" s="232"/>
      <c r="Z1368" s="232"/>
      <c r="AA1368" s="232"/>
      <c r="AB1368" s="232"/>
      <c r="AC1368" s="232"/>
      <c r="AD1368" s="232"/>
      <c r="AE1368" s="232"/>
      <c r="AF1368" s="232"/>
      <c r="AG1368" s="208"/>
      <c r="AH1368" s="208"/>
      <c r="AI1368" s="208"/>
      <c r="AJ1368" s="208"/>
      <c r="AK1368" s="208"/>
    </row>
    <row r="1369">
      <c r="A1369" s="208"/>
      <c r="B1369" s="208"/>
      <c r="C1369" s="208"/>
      <c r="D1369" s="208"/>
      <c r="E1369" s="208"/>
      <c r="F1369" s="208"/>
      <c r="G1369" s="208"/>
      <c r="H1369" s="232"/>
      <c r="I1369" s="233"/>
      <c r="J1369" s="208"/>
      <c r="K1369" s="208"/>
      <c r="L1369" s="208"/>
      <c r="M1369" s="208"/>
      <c r="N1369" s="208"/>
      <c r="O1369" s="208"/>
      <c r="P1369" s="208"/>
      <c r="Q1369" s="208"/>
      <c r="R1369" s="208"/>
      <c r="S1369" s="208"/>
      <c r="T1369" s="208"/>
      <c r="U1369" s="208"/>
      <c r="V1369" s="234"/>
      <c r="W1369" s="232"/>
      <c r="X1369" s="232"/>
      <c r="Y1369" s="232"/>
      <c r="Z1369" s="232"/>
      <c r="AA1369" s="232"/>
      <c r="AB1369" s="232"/>
      <c r="AC1369" s="232"/>
      <c r="AD1369" s="232"/>
      <c r="AE1369" s="232"/>
      <c r="AF1369" s="232"/>
      <c r="AG1369" s="208"/>
      <c r="AH1369" s="208"/>
      <c r="AI1369" s="208"/>
      <c r="AJ1369" s="208"/>
      <c r="AK1369" s="208"/>
    </row>
    <row r="1370">
      <c r="A1370" s="208"/>
      <c r="B1370" s="208"/>
      <c r="C1370" s="208"/>
      <c r="D1370" s="208"/>
      <c r="E1370" s="208"/>
      <c r="F1370" s="208"/>
      <c r="G1370" s="208"/>
      <c r="H1370" s="232"/>
      <c r="I1370" s="233"/>
      <c r="J1370" s="208"/>
      <c r="K1370" s="208"/>
      <c r="L1370" s="208"/>
      <c r="M1370" s="208"/>
      <c r="N1370" s="208"/>
      <c r="O1370" s="208"/>
      <c r="P1370" s="208"/>
      <c r="Q1370" s="208"/>
      <c r="R1370" s="208"/>
      <c r="S1370" s="208"/>
      <c r="T1370" s="208"/>
      <c r="U1370" s="208"/>
      <c r="V1370" s="234"/>
      <c r="W1370" s="232"/>
      <c r="X1370" s="232"/>
      <c r="Y1370" s="232"/>
      <c r="Z1370" s="232"/>
      <c r="AA1370" s="232"/>
      <c r="AB1370" s="232"/>
      <c r="AC1370" s="232"/>
      <c r="AD1370" s="232"/>
      <c r="AE1370" s="232"/>
      <c r="AF1370" s="232"/>
      <c r="AG1370" s="208"/>
      <c r="AH1370" s="208"/>
      <c r="AI1370" s="208"/>
      <c r="AJ1370" s="208"/>
      <c r="AK1370" s="208"/>
    </row>
    <row r="1371">
      <c r="A1371" s="208"/>
      <c r="B1371" s="208"/>
      <c r="C1371" s="208"/>
      <c r="D1371" s="208"/>
      <c r="E1371" s="208"/>
      <c r="F1371" s="208"/>
      <c r="G1371" s="208"/>
      <c r="H1371" s="232"/>
      <c r="I1371" s="233"/>
      <c r="J1371" s="208"/>
      <c r="K1371" s="208"/>
      <c r="L1371" s="208"/>
      <c r="M1371" s="208"/>
      <c r="N1371" s="208"/>
      <c r="O1371" s="208"/>
      <c r="P1371" s="208"/>
      <c r="Q1371" s="208"/>
      <c r="R1371" s="208"/>
      <c r="S1371" s="208"/>
      <c r="T1371" s="208"/>
      <c r="U1371" s="208"/>
      <c r="V1371" s="234"/>
      <c r="W1371" s="232"/>
      <c r="X1371" s="232"/>
      <c r="Y1371" s="232"/>
      <c r="Z1371" s="232"/>
      <c r="AA1371" s="232"/>
      <c r="AB1371" s="232"/>
      <c r="AC1371" s="232"/>
      <c r="AD1371" s="232"/>
      <c r="AE1371" s="232"/>
      <c r="AF1371" s="232"/>
      <c r="AG1371" s="208"/>
      <c r="AH1371" s="208"/>
      <c r="AI1371" s="208"/>
      <c r="AJ1371" s="208"/>
      <c r="AK1371" s="208"/>
    </row>
    <row r="1372">
      <c r="A1372" s="208"/>
      <c r="B1372" s="208"/>
      <c r="C1372" s="208"/>
      <c r="D1372" s="208"/>
      <c r="E1372" s="208"/>
      <c r="F1372" s="208"/>
      <c r="G1372" s="208"/>
      <c r="H1372" s="232"/>
      <c r="I1372" s="233"/>
      <c r="J1372" s="208"/>
      <c r="K1372" s="208"/>
      <c r="L1372" s="208"/>
      <c r="M1372" s="208"/>
      <c r="N1372" s="208"/>
      <c r="O1372" s="208"/>
      <c r="P1372" s="208"/>
      <c r="Q1372" s="208"/>
      <c r="R1372" s="208"/>
      <c r="S1372" s="208"/>
      <c r="T1372" s="208"/>
      <c r="U1372" s="208"/>
      <c r="V1372" s="234"/>
      <c r="W1372" s="232"/>
      <c r="X1372" s="232"/>
      <c r="Y1372" s="232"/>
      <c r="Z1372" s="232"/>
      <c r="AA1372" s="232"/>
      <c r="AB1372" s="232"/>
      <c r="AC1372" s="232"/>
      <c r="AD1372" s="232"/>
      <c r="AE1372" s="232"/>
      <c r="AF1372" s="232"/>
      <c r="AG1372" s="208"/>
      <c r="AH1372" s="208"/>
      <c r="AI1372" s="208"/>
      <c r="AJ1372" s="208"/>
      <c r="AK1372" s="208"/>
    </row>
    <row r="1373">
      <c r="A1373" s="208"/>
      <c r="B1373" s="208"/>
      <c r="C1373" s="208"/>
      <c r="D1373" s="208"/>
      <c r="E1373" s="208"/>
      <c r="F1373" s="208"/>
      <c r="G1373" s="208"/>
      <c r="H1373" s="232"/>
      <c r="I1373" s="233"/>
      <c r="J1373" s="208"/>
      <c r="K1373" s="208"/>
      <c r="L1373" s="208"/>
      <c r="M1373" s="208"/>
      <c r="N1373" s="208"/>
      <c r="O1373" s="208"/>
      <c r="P1373" s="208"/>
      <c r="Q1373" s="208"/>
      <c r="R1373" s="208"/>
      <c r="S1373" s="208"/>
      <c r="T1373" s="208"/>
      <c r="U1373" s="208"/>
      <c r="V1373" s="234"/>
      <c r="W1373" s="232"/>
      <c r="X1373" s="232"/>
      <c r="Y1373" s="232"/>
      <c r="Z1373" s="232"/>
      <c r="AA1373" s="232"/>
      <c r="AB1373" s="232"/>
      <c r="AC1373" s="232"/>
      <c r="AD1373" s="232"/>
      <c r="AE1373" s="232"/>
      <c r="AF1373" s="232"/>
      <c r="AG1373" s="208"/>
      <c r="AH1373" s="208"/>
      <c r="AI1373" s="208"/>
      <c r="AJ1373" s="208"/>
      <c r="AK1373" s="208"/>
    </row>
    <row r="1374">
      <c r="A1374" s="208"/>
      <c r="B1374" s="208"/>
      <c r="C1374" s="208"/>
      <c r="D1374" s="208"/>
      <c r="E1374" s="208"/>
      <c r="F1374" s="208"/>
      <c r="G1374" s="208"/>
      <c r="H1374" s="232"/>
      <c r="I1374" s="233"/>
      <c r="J1374" s="208"/>
      <c r="K1374" s="208"/>
      <c r="L1374" s="208"/>
      <c r="M1374" s="208"/>
      <c r="N1374" s="208"/>
      <c r="O1374" s="208"/>
      <c r="P1374" s="208"/>
      <c r="Q1374" s="208"/>
      <c r="R1374" s="208"/>
      <c r="S1374" s="208"/>
      <c r="T1374" s="208"/>
      <c r="U1374" s="208"/>
      <c r="V1374" s="234"/>
      <c r="W1374" s="232"/>
      <c r="X1374" s="232"/>
      <c r="Y1374" s="232"/>
      <c r="Z1374" s="232"/>
      <c r="AA1374" s="232"/>
      <c r="AB1374" s="232"/>
      <c r="AC1374" s="232"/>
      <c r="AD1374" s="232"/>
      <c r="AE1374" s="232"/>
      <c r="AF1374" s="232"/>
      <c r="AG1374" s="208"/>
      <c r="AH1374" s="208"/>
      <c r="AI1374" s="208"/>
      <c r="AJ1374" s="208"/>
      <c r="AK1374" s="208"/>
    </row>
    <row r="1375">
      <c r="A1375" s="208"/>
      <c r="B1375" s="208"/>
      <c r="C1375" s="208"/>
      <c r="D1375" s="208"/>
      <c r="E1375" s="208"/>
      <c r="F1375" s="208"/>
      <c r="G1375" s="208"/>
      <c r="H1375" s="232"/>
      <c r="I1375" s="233"/>
      <c r="J1375" s="208"/>
      <c r="K1375" s="208"/>
      <c r="L1375" s="208"/>
      <c r="M1375" s="208"/>
      <c r="N1375" s="208"/>
      <c r="O1375" s="208"/>
      <c r="P1375" s="208"/>
      <c r="Q1375" s="208"/>
      <c r="R1375" s="208"/>
      <c r="S1375" s="208"/>
      <c r="T1375" s="208"/>
      <c r="U1375" s="208"/>
      <c r="V1375" s="234"/>
      <c r="W1375" s="232"/>
      <c r="X1375" s="232"/>
      <c r="Y1375" s="232"/>
      <c r="Z1375" s="232"/>
      <c r="AA1375" s="232"/>
      <c r="AB1375" s="232"/>
      <c r="AC1375" s="232"/>
      <c r="AD1375" s="232"/>
      <c r="AE1375" s="232"/>
      <c r="AF1375" s="232"/>
      <c r="AG1375" s="208"/>
      <c r="AH1375" s="208"/>
      <c r="AI1375" s="208"/>
      <c r="AJ1375" s="208"/>
      <c r="AK1375" s="208"/>
    </row>
    <row r="1376">
      <c r="A1376" s="208"/>
      <c r="B1376" s="208"/>
      <c r="C1376" s="208"/>
      <c r="D1376" s="208"/>
      <c r="E1376" s="208"/>
      <c r="F1376" s="208"/>
      <c r="G1376" s="208"/>
      <c r="H1376" s="232"/>
      <c r="I1376" s="233"/>
      <c r="J1376" s="208"/>
      <c r="K1376" s="208"/>
      <c r="L1376" s="208"/>
      <c r="M1376" s="208"/>
      <c r="N1376" s="208"/>
      <c r="O1376" s="208"/>
      <c r="P1376" s="208"/>
      <c r="Q1376" s="208"/>
      <c r="R1376" s="208"/>
      <c r="S1376" s="208"/>
      <c r="T1376" s="208"/>
      <c r="U1376" s="208"/>
      <c r="V1376" s="234"/>
      <c r="W1376" s="232"/>
      <c r="X1376" s="232"/>
      <c r="Y1376" s="232"/>
      <c r="Z1376" s="232"/>
      <c r="AA1376" s="232"/>
      <c r="AB1376" s="232"/>
      <c r="AC1376" s="232"/>
      <c r="AD1376" s="232"/>
      <c r="AE1376" s="232"/>
      <c r="AF1376" s="232"/>
      <c r="AG1376" s="208"/>
      <c r="AH1376" s="208"/>
      <c r="AI1376" s="208"/>
      <c r="AJ1376" s="208"/>
      <c r="AK1376" s="208"/>
    </row>
    <row r="1377">
      <c r="A1377" s="208"/>
      <c r="B1377" s="208"/>
      <c r="C1377" s="208"/>
      <c r="D1377" s="208"/>
      <c r="E1377" s="208"/>
      <c r="F1377" s="208"/>
      <c r="G1377" s="208"/>
      <c r="H1377" s="232"/>
      <c r="I1377" s="233"/>
      <c r="J1377" s="208"/>
      <c r="K1377" s="208"/>
      <c r="L1377" s="208"/>
      <c r="M1377" s="208"/>
      <c r="N1377" s="208"/>
      <c r="O1377" s="208"/>
      <c r="P1377" s="208"/>
      <c r="Q1377" s="208"/>
      <c r="R1377" s="208"/>
      <c r="S1377" s="208"/>
      <c r="T1377" s="208"/>
      <c r="U1377" s="208"/>
      <c r="V1377" s="234"/>
      <c r="W1377" s="232"/>
      <c r="X1377" s="232"/>
      <c r="Y1377" s="232"/>
      <c r="Z1377" s="232"/>
      <c r="AA1377" s="232"/>
      <c r="AB1377" s="232"/>
      <c r="AC1377" s="232"/>
      <c r="AD1377" s="232"/>
      <c r="AE1377" s="232"/>
      <c r="AF1377" s="232"/>
      <c r="AG1377" s="208"/>
      <c r="AH1377" s="208"/>
      <c r="AI1377" s="208"/>
      <c r="AJ1377" s="208"/>
      <c r="AK1377" s="208"/>
    </row>
    <row r="1378">
      <c r="A1378" s="208"/>
      <c r="B1378" s="208"/>
      <c r="C1378" s="208"/>
      <c r="D1378" s="208"/>
      <c r="E1378" s="208"/>
      <c r="F1378" s="208"/>
      <c r="G1378" s="208"/>
      <c r="H1378" s="232"/>
      <c r="I1378" s="233"/>
      <c r="J1378" s="208"/>
      <c r="K1378" s="208"/>
      <c r="L1378" s="208"/>
      <c r="M1378" s="208"/>
      <c r="N1378" s="208"/>
      <c r="O1378" s="208"/>
      <c r="P1378" s="208"/>
      <c r="Q1378" s="208"/>
      <c r="R1378" s="208"/>
      <c r="S1378" s="208"/>
      <c r="T1378" s="208"/>
      <c r="U1378" s="208"/>
      <c r="V1378" s="234"/>
      <c r="W1378" s="232"/>
      <c r="X1378" s="232"/>
      <c r="Y1378" s="232"/>
      <c r="Z1378" s="232"/>
      <c r="AA1378" s="232"/>
      <c r="AB1378" s="232"/>
      <c r="AC1378" s="232"/>
      <c r="AD1378" s="232"/>
      <c r="AE1378" s="232"/>
      <c r="AF1378" s="232"/>
      <c r="AG1378" s="208"/>
      <c r="AH1378" s="208"/>
      <c r="AI1378" s="208"/>
      <c r="AJ1378" s="208"/>
      <c r="AK1378" s="208"/>
    </row>
    <row r="1379">
      <c r="A1379" s="208"/>
      <c r="B1379" s="208"/>
      <c r="C1379" s="208"/>
      <c r="D1379" s="208"/>
      <c r="E1379" s="208"/>
      <c r="F1379" s="208"/>
      <c r="G1379" s="208"/>
      <c r="H1379" s="232"/>
      <c r="I1379" s="233"/>
      <c r="J1379" s="208"/>
      <c r="K1379" s="208"/>
      <c r="L1379" s="208"/>
      <c r="M1379" s="208"/>
      <c r="N1379" s="208"/>
      <c r="O1379" s="208"/>
      <c r="P1379" s="208"/>
      <c r="Q1379" s="208"/>
      <c r="R1379" s="208"/>
      <c r="S1379" s="208"/>
      <c r="T1379" s="208"/>
      <c r="U1379" s="208"/>
      <c r="V1379" s="234"/>
      <c r="W1379" s="232"/>
      <c r="X1379" s="232"/>
      <c r="Y1379" s="232"/>
      <c r="Z1379" s="232"/>
      <c r="AA1379" s="232"/>
      <c r="AB1379" s="232"/>
      <c r="AC1379" s="232"/>
      <c r="AD1379" s="232"/>
      <c r="AE1379" s="232"/>
      <c r="AF1379" s="232"/>
      <c r="AG1379" s="208"/>
      <c r="AH1379" s="208"/>
      <c r="AI1379" s="208"/>
      <c r="AJ1379" s="208"/>
      <c r="AK1379" s="208"/>
    </row>
    <row r="1380">
      <c r="A1380" s="208"/>
      <c r="B1380" s="208"/>
      <c r="C1380" s="208"/>
      <c r="D1380" s="208"/>
      <c r="E1380" s="208"/>
      <c r="F1380" s="208"/>
      <c r="G1380" s="208"/>
      <c r="H1380" s="232"/>
      <c r="I1380" s="233"/>
      <c r="J1380" s="208"/>
      <c r="K1380" s="208"/>
      <c r="L1380" s="208"/>
      <c r="M1380" s="208"/>
      <c r="N1380" s="208"/>
      <c r="O1380" s="208"/>
      <c r="P1380" s="208"/>
      <c r="Q1380" s="208"/>
      <c r="R1380" s="208"/>
      <c r="S1380" s="208"/>
      <c r="T1380" s="208"/>
      <c r="U1380" s="208"/>
      <c r="V1380" s="234"/>
      <c r="W1380" s="232"/>
      <c r="X1380" s="232"/>
      <c r="Y1380" s="232"/>
      <c r="Z1380" s="232"/>
      <c r="AA1380" s="232"/>
      <c r="AB1380" s="232"/>
      <c r="AC1380" s="232"/>
      <c r="AD1380" s="232"/>
      <c r="AE1380" s="232"/>
      <c r="AF1380" s="232"/>
      <c r="AG1380" s="208"/>
      <c r="AH1380" s="208"/>
      <c r="AI1380" s="208"/>
      <c r="AJ1380" s="208"/>
      <c r="AK1380" s="208"/>
    </row>
    <row r="1381">
      <c r="A1381" s="208"/>
      <c r="B1381" s="208"/>
      <c r="C1381" s="208"/>
      <c r="D1381" s="208"/>
      <c r="E1381" s="208"/>
      <c r="F1381" s="208"/>
      <c r="G1381" s="208"/>
      <c r="H1381" s="232"/>
      <c r="I1381" s="233"/>
      <c r="J1381" s="208"/>
      <c r="K1381" s="208"/>
      <c r="L1381" s="208"/>
      <c r="M1381" s="208"/>
      <c r="N1381" s="208"/>
      <c r="O1381" s="208"/>
      <c r="P1381" s="208"/>
      <c r="Q1381" s="208"/>
      <c r="R1381" s="208"/>
      <c r="S1381" s="208"/>
      <c r="T1381" s="208"/>
      <c r="U1381" s="208"/>
      <c r="V1381" s="234"/>
      <c r="W1381" s="232"/>
      <c r="X1381" s="232"/>
      <c r="Y1381" s="232"/>
      <c r="Z1381" s="232"/>
      <c r="AA1381" s="232"/>
      <c r="AB1381" s="232"/>
      <c r="AC1381" s="232"/>
      <c r="AD1381" s="232"/>
      <c r="AE1381" s="232"/>
      <c r="AF1381" s="232"/>
      <c r="AG1381" s="208"/>
      <c r="AH1381" s="208"/>
      <c r="AI1381" s="208"/>
      <c r="AJ1381" s="208"/>
      <c r="AK1381" s="208"/>
    </row>
    <row r="1382">
      <c r="A1382" s="208"/>
      <c r="B1382" s="208"/>
      <c r="C1382" s="208"/>
      <c r="D1382" s="208"/>
      <c r="E1382" s="208"/>
      <c r="F1382" s="208"/>
      <c r="G1382" s="208"/>
      <c r="H1382" s="232"/>
      <c r="I1382" s="233"/>
      <c r="J1382" s="208"/>
      <c r="K1382" s="208"/>
      <c r="L1382" s="208"/>
      <c r="M1382" s="208"/>
      <c r="N1382" s="208"/>
      <c r="O1382" s="208"/>
      <c r="P1382" s="208"/>
      <c r="Q1382" s="208"/>
      <c r="R1382" s="208"/>
      <c r="S1382" s="208"/>
      <c r="T1382" s="208"/>
      <c r="U1382" s="208"/>
      <c r="V1382" s="234"/>
      <c r="W1382" s="232"/>
      <c r="X1382" s="232"/>
      <c r="Y1382" s="232"/>
      <c r="Z1382" s="232"/>
      <c r="AA1382" s="232"/>
      <c r="AB1382" s="232"/>
      <c r="AC1382" s="232"/>
      <c r="AD1382" s="232"/>
      <c r="AE1382" s="232"/>
      <c r="AF1382" s="232"/>
      <c r="AG1382" s="208"/>
      <c r="AH1382" s="208"/>
      <c r="AI1382" s="208"/>
      <c r="AJ1382" s="208"/>
      <c r="AK1382" s="208"/>
    </row>
    <row r="1383">
      <c r="A1383" s="208"/>
      <c r="B1383" s="208"/>
      <c r="C1383" s="208"/>
      <c r="D1383" s="208"/>
      <c r="E1383" s="208"/>
      <c r="F1383" s="208"/>
      <c r="G1383" s="208"/>
      <c r="H1383" s="232"/>
      <c r="I1383" s="233"/>
      <c r="J1383" s="208"/>
      <c r="K1383" s="208"/>
      <c r="L1383" s="208"/>
      <c r="M1383" s="208"/>
      <c r="N1383" s="208"/>
      <c r="O1383" s="208"/>
      <c r="P1383" s="208"/>
      <c r="Q1383" s="208"/>
      <c r="R1383" s="208"/>
      <c r="S1383" s="208"/>
      <c r="T1383" s="208"/>
      <c r="U1383" s="208"/>
      <c r="V1383" s="234"/>
      <c r="W1383" s="232"/>
      <c r="X1383" s="232"/>
      <c r="Y1383" s="232"/>
      <c r="Z1383" s="232"/>
      <c r="AA1383" s="232"/>
      <c r="AB1383" s="232"/>
      <c r="AC1383" s="232"/>
      <c r="AD1383" s="232"/>
      <c r="AE1383" s="232"/>
      <c r="AF1383" s="232"/>
      <c r="AG1383" s="208"/>
      <c r="AH1383" s="208"/>
      <c r="AI1383" s="208"/>
      <c r="AJ1383" s="208"/>
      <c r="AK1383" s="208"/>
    </row>
    <row r="1384">
      <c r="A1384" s="208"/>
      <c r="B1384" s="208"/>
      <c r="C1384" s="208"/>
      <c r="D1384" s="208"/>
      <c r="E1384" s="208"/>
      <c r="F1384" s="208"/>
      <c r="G1384" s="208"/>
      <c r="H1384" s="232"/>
      <c r="I1384" s="233"/>
      <c r="J1384" s="208"/>
      <c r="K1384" s="208"/>
      <c r="L1384" s="208"/>
      <c r="M1384" s="208"/>
      <c r="N1384" s="208"/>
      <c r="O1384" s="208"/>
      <c r="P1384" s="208"/>
      <c r="Q1384" s="208"/>
      <c r="R1384" s="208"/>
      <c r="S1384" s="208"/>
      <c r="T1384" s="208"/>
      <c r="U1384" s="208"/>
      <c r="V1384" s="234"/>
      <c r="W1384" s="232"/>
      <c r="X1384" s="232"/>
      <c r="Y1384" s="232"/>
      <c r="Z1384" s="232"/>
      <c r="AA1384" s="232"/>
      <c r="AB1384" s="232"/>
      <c r="AC1384" s="232"/>
      <c r="AD1384" s="232"/>
      <c r="AE1384" s="232"/>
      <c r="AF1384" s="232"/>
      <c r="AG1384" s="208"/>
      <c r="AH1384" s="208"/>
      <c r="AI1384" s="208"/>
      <c r="AJ1384" s="208"/>
      <c r="AK1384" s="208"/>
    </row>
    <row r="1385">
      <c r="A1385" s="208"/>
      <c r="B1385" s="208"/>
      <c r="C1385" s="208"/>
      <c r="D1385" s="208"/>
      <c r="E1385" s="208"/>
      <c r="F1385" s="208"/>
      <c r="G1385" s="208"/>
      <c r="H1385" s="232"/>
      <c r="I1385" s="233"/>
      <c r="J1385" s="208"/>
      <c r="K1385" s="208"/>
      <c r="L1385" s="208"/>
      <c r="M1385" s="208"/>
      <c r="N1385" s="208"/>
      <c r="O1385" s="208"/>
      <c r="P1385" s="208"/>
      <c r="Q1385" s="208"/>
      <c r="R1385" s="208"/>
      <c r="S1385" s="208"/>
      <c r="T1385" s="208"/>
      <c r="U1385" s="208"/>
      <c r="V1385" s="234"/>
      <c r="W1385" s="232"/>
      <c r="X1385" s="232"/>
      <c r="Y1385" s="232"/>
      <c r="Z1385" s="232"/>
      <c r="AA1385" s="232"/>
      <c r="AB1385" s="232"/>
      <c r="AC1385" s="232"/>
      <c r="AD1385" s="232"/>
      <c r="AE1385" s="232"/>
      <c r="AF1385" s="232"/>
      <c r="AG1385" s="208"/>
      <c r="AH1385" s="208"/>
      <c r="AI1385" s="208"/>
      <c r="AJ1385" s="208"/>
      <c r="AK1385" s="208"/>
    </row>
    <row r="1386">
      <c r="A1386" s="208"/>
      <c r="B1386" s="208"/>
      <c r="C1386" s="208"/>
      <c r="D1386" s="208"/>
      <c r="E1386" s="208"/>
      <c r="F1386" s="208"/>
      <c r="G1386" s="208"/>
      <c r="H1386" s="232"/>
      <c r="I1386" s="233"/>
      <c r="J1386" s="208"/>
      <c r="K1386" s="208"/>
      <c r="L1386" s="208"/>
      <c r="M1386" s="208"/>
      <c r="N1386" s="208"/>
      <c r="O1386" s="208"/>
      <c r="P1386" s="208"/>
      <c r="Q1386" s="208"/>
      <c r="R1386" s="208"/>
      <c r="S1386" s="208"/>
      <c r="T1386" s="208"/>
      <c r="U1386" s="208"/>
      <c r="V1386" s="234"/>
      <c r="W1386" s="232"/>
      <c r="X1386" s="232"/>
      <c r="Y1386" s="232"/>
      <c r="Z1386" s="232"/>
      <c r="AA1386" s="232"/>
      <c r="AB1386" s="232"/>
      <c r="AC1386" s="232"/>
      <c r="AD1386" s="232"/>
      <c r="AE1386" s="232"/>
      <c r="AF1386" s="232"/>
      <c r="AG1386" s="208"/>
      <c r="AH1386" s="208"/>
      <c r="AI1386" s="208"/>
      <c r="AJ1386" s="208"/>
      <c r="AK1386" s="208"/>
    </row>
    <row r="1387">
      <c r="A1387" s="208"/>
      <c r="B1387" s="208"/>
      <c r="C1387" s="208"/>
      <c r="D1387" s="208"/>
      <c r="E1387" s="208"/>
      <c r="F1387" s="208"/>
      <c r="G1387" s="208"/>
      <c r="H1387" s="232"/>
      <c r="I1387" s="233"/>
      <c r="J1387" s="208"/>
      <c r="K1387" s="208"/>
      <c r="L1387" s="208"/>
      <c r="M1387" s="208"/>
      <c r="N1387" s="208"/>
      <c r="O1387" s="208"/>
      <c r="P1387" s="208"/>
      <c r="Q1387" s="208"/>
      <c r="R1387" s="208"/>
      <c r="S1387" s="208"/>
      <c r="T1387" s="208"/>
      <c r="U1387" s="208"/>
      <c r="V1387" s="234"/>
      <c r="W1387" s="232"/>
      <c r="X1387" s="232"/>
      <c r="Y1387" s="232"/>
      <c r="Z1387" s="232"/>
      <c r="AA1387" s="232"/>
      <c r="AB1387" s="232"/>
      <c r="AC1387" s="232"/>
      <c r="AD1387" s="232"/>
      <c r="AE1387" s="232"/>
      <c r="AF1387" s="232"/>
      <c r="AG1387" s="208"/>
      <c r="AH1387" s="208"/>
      <c r="AI1387" s="208"/>
      <c r="AJ1387" s="208"/>
      <c r="AK1387" s="208"/>
    </row>
    <row r="1388">
      <c r="A1388" s="208"/>
      <c r="B1388" s="208"/>
      <c r="C1388" s="208"/>
      <c r="D1388" s="208"/>
      <c r="E1388" s="208"/>
      <c r="F1388" s="208"/>
      <c r="G1388" s="208"/>
      <c r="H1388" s="232"/>
      <c r="I1388" s="233"/>
      <c r="J1388" s="208"/>
      <c r="K1388" s="208"/>
      <c r="L1388" s="208"/>
      <c r="M1388" s="208"/>
      <c r="N1388" s="208"/>
      <c r="O1388" s="208"/>
      <c r="P1388" s="208"/>
      <c r="Q1388" s="208"/>
      <c r="R1388" s="208"/>
      <c r="S1388" s="208"/>
      <c r="T1388" s="208"/>
      <c r="U1388" s="208"/>
      <c r="V1388" s="234"/>
      <c r="W1388" s="232"/>
      <c r="X1388" s="232"/>
      <c r="Y1388" s="232"/>
      <c r="Z1388" s="232"/>
      <c r="AA1388" s="232"/>
      <c r="AB1388" s="232"/>
      <c r="AC1388" s="232"/>
      <c r="AD1388" s="232"/>
      <c r="AE1388" s="232"/>
      <c r="AF1388" s="232"/>
      <c r="AG1388" s="208"/>
      <c r="AH1388" s="208"/>
      <c r="AI1388" s="208"/>
      <c r="AJ1388" s="208"/>
      <c r="AK1388" s="208"/>
    </row>
    <row r="1389">
      <c r="A1389" s="208"/>
      <c r="B1389" s="208"/>
      <c r="C1389" s="208"/>
      <c r="D1389" s="208"/>
      <c r="E1389" s="208"/>
      <c r="F1389" s="208"/>
      <c r="G1389" s="208"/>
      <c r="H1389" s="232"/>
      <c r="I1389" s="233"/>
      <c r="J1389" s="208"/>
      <c r="K1389" s="208"/>
      <c r="L1389" s="208"/>
      <c r="M1389" s="208"/>
      <c r="N1389" s="208"/>
      <c r="O1389" s="208"/>
      <c r="P1389" s="208"/>
      <c r="Q1389" s="208"/>
      <c r="R1389" s="208"/>
      <c r="S1389" s="208"/>
      <c r="T1389" s="208"/>
      <c r="U1389" s="208"/>
      <c r="V1389" s="234"/>
      <c r="W1389" s="232"/>
      <c r="X1389" s="232"/>
      <c r="Y1389" s="232"/>
      <c r="Z1389" s="232"/>
      <c r="AA1389" s="232"/>
      <c r="AB1389" s="232"/>
      <c r="AC1389" s="232"/>
      <c r="AD1389" s="232"/>
      <c r="AE1389" s="232"/>
      <c r="AF1389" s="232"/>
      <c r="AG1389" s="208"/>
      <c r="AH1389" s="208"/>
      <c r="AI1389" s="208"/>
      <c r="AJ1389" s="208"/>
      <c r="AK1389" s="208"/>
    </row>
    <row r="1390">
      <c r="A1390" s="208"/>
      <c r="B1390" s="208"/>
      <c r="C1390" s="208"/>
      <c r="D1390" s="208"/>
      <c r="E1390" s="208"/>
      <c r="F1390" s="208"/>
      <c r="G1390" s="208"/>
      <c r="H1390" s="232"/>
      <c r="I1390" s="233"/>
      <c r="J1390" s="208"/>
      <c r="K1390" s="208"/>
      <c r="L1390" s="208"/>
      <c r="M1390" s="208"/>
      <c r="N1390" s="208"/>
      <c r="O1390" s="208"/>
      <c r="P1390" s="208"/>
      <c r="Q1390" s="208"/>
      <c r="R1390" s="208"/>
      <c r="S1390" s="208"/>
      <c r="T1390" s="208"/>
      <c r="U1390" s="208"/>
      <c r="V1390" s="234"/>
      <c r="W1390" s="232"/>
      <c r="X1390" s="232"/>
      <c r="Y1390" s="232"/>
      <c r="Z1390" s="232"/>
      <c r="AA1390" s="232"/>
      <c r="AB1390" s="232"/>
      <c r="AC1390" s="232"/>
      <c r="AD1390" s="232"/>
      <c r="AE1390" s="232"/>
      <c r="AF1390" s="232"/>
      <c r="AG1390" s="208"/>
      <c r="AH1390" s="208"/>
      <c r="AI1390" s="208"/>
      <c r="AJ1390" s="208"/>
      <c r="AK1390" s="208"/>
    </row>
    <row r="1391">
      <c r="A1391" s="208"/>
      <c r="B1391" s="208"/>
      <c r="C1391" s="208"/>
      <c r="D1391" s="208"/>
      <c r="E1391" s="208"/>
      <c r="F1391" s="208"/>
      <c r="G1391" s="208"/>
      <c r="H1391" s="232"/>
      <c r="I1391" s="233"/>
      <c r="J1391" s="208"/>
      <c r="K1391" s="208"/>
      <c r="L1391" s="208"/>
      <c r="M1391" s="208"/>
      <c r="N1391" s="208"/>
      <c r="O1391" s="208"/>
      <c r="P1391" s="208"/>
      <c r="Q1391" s="208"/>
      <c r="R1391" s="208"/>
      <c r="S1391" s="208"/>
      <c r="T1391" s="208"/>
      <c r="U1391" s="208"/>
      <c r="V1391" s="234"/>
      <c r="W1391" s="232"/>
      <c r="X1391" s="232"/>
      <c r="Y1391" s="232"/>
      <c r="Z1391" s="232"/>
      <c r="AA1391" s="232"/>
      <c r="AB1391" s="232"/>
      <c r="AC1391" s="232"/>
      <c r="AD1391" s="232"/>
      <c r="AE1391" s="232"/>
      <c r="AF1391" s="232"/>
      <c r="AG1391" s="208"/>
      <c r="AH1391" s="208"/>
      <c r="AI1391" s="208"/>
      <c r="AJ1391" s="208"/>
      <c r="AK1391" s="208"/>
    </row>
    <row r="1392">
      <c r="A1392" s="208"/>
      <c r="B1392" s="208"/>
      <c r="C1392" s="208"/>
      <c r="D1392" s="208"/>
      <c r="E1392" s="208"/>
      <c r="F1392" s="208"/>
      <c r="G1392" s="208"/>
      <c r="H1392" s="232"/>
      <c r="I1392" s="233"/>
      <c r="J1392" s="208"/>
      <c r="K1392" s="208"/>
      <c r="L1392" s="208"/>
      <c r="M1392" s="208"/>
      <c r="N1392" s="208"/>
      <c r="O1392" s="208"/>
      <c r="P1392" s="208"/>
      <c r="Q1392" s="208"/>
      <c r="R1392" s="208"/>
      <c r="S1392" s="208"/>
      <c r="T1392" s="208"/>
      <c r="U1392" s="208"/>
      <c r="V1392" s="234"/>
      <c r="W1392" s="232"/>
      <c r="X1392" s="232"/>
      <c r="Y1392" s="232"/>
      <c r="Z1392" s="232"/>
      <c r="AA1392" s="232"/>
      <c r="AB1392" s="232"/>
      <c r="AC1392" s="232"/>
      <c r="AD1392" s="232"/>
      <c r="AE1392" s="232"/>
      <c r="AF1392" s="232"/>
      <c r="AG1392" s="208"/>
      <c r="AH1392" s="208"/>
      <c r="AI1392" s="208"/>
      <c r="AJ1392" s="208"/>
      <c r="AK1392" s="208"/>
    </row>
    <row r="1393">
      <c r="A1393" s="208"/>
      <c r="B1393" s="208"/>
      <c r="C1393" s="208"/>
      <c r="D1393" s="208"/>
      <c r="E1393" s="208"/>
      <c r="F1393" s="208"/>
      <c r="G1393" s="208"/>
      <c r="H1393" s="232"/>
      <c r="I1393" s="233"/>
      <c r="J1393" s="208"/>
      <c r="K1393" s="208"/>
      <c r="L1393" s="208"/>
      <c r="M1393" s="208"/>
      <c r="N1393" s="208"/>
      <c r="O1393" s="208"/>
      <c r="P1393" s="208"/>
      <c r="Q1393" s="208"/>
      <c r="R1393" s="208"/>
      <c r="S1393" s="208"/>
      <c r="T1393" s="208"/>
      <c r="U1393" s="208"/>
      <c r="V1393" s="234"/>
      <c r="W1393" s="232"/>
      <c r="X1393" s="232"/>
      <c r="Y1393" s="232"/>
      <c r="Z1393" s="232"/>
      <c r="AA1393" s="232"/>
      <c r="AB1393" s="232"/>
      <c r="AC1393" s="232"/>
      <c r="AD1393" s="232"/>
      <c r="AE1393" s="232"/>
      <c r="AF1393" s="232"/>
      <c r="AG1393" s="208"/>
      <c r="AH1393" s="208"/>
      <c r="AI1393" s="208"/>
      <c r="AJ1393" s="208"/>
      <c r="AK1393" s="208"/>
    </row>
    <row r="1394">
      <c r="A1394" s="208"/>
      <c r="B1394" s="208"/>
      <c r="C1394" s="208"/>
      <c r="D1394" s="208"/>
      <c r="E1394" s="208"/>
      <c r="F1394" s="208"/>
      <c r="G1394" s="208"/>
      <c r="H1394" s="232"/>
      <c r="I1394" s="233"/>
      <c r="J1394" s="208"/>
      <c r="K1394" s="208"/>
      <c r="L1394" s="208"/>
      <c r="M1394" s="208"/>
      <c r="N1394" s="208"/>
      <c r="O1394" s="208"/>
      <c r="P1394" s="208"/>
      <c r="Q1394" s="208"/>
      <c r="R1394" s="208"/>
      <c r="S1394" s="208"/>
      <c r="T1394" s="208"/>
      <c r="U1394" s="208"/>
      <c r="V1394" s="234"/>
      <c r="W1394" s="232"/>
      <c r="X1394" s="232"/>
      <c r="Y1394" s="232"/>
      <c r="Z1394" s="232"/>
      <c r="AA1394" s="232"/>
      <c r="AB1394" s="232"/>
      <c r="AC1394" s="232"/>
      <c r="AD1394" s="232"/>
      <c r="AE1394" s="232"/>
      <c r="AF1394" s="232"/>
      <c r="AG1394" s="208"/>
      <c r="AH1394" s="208"/>
      <c r="AI1394" s="208"/>
      <c r="AJ1394" s="208"/>
      <c r="AK1394" s="208"/>
    </row>
    <row r="1395">
      <c r="A1395" s="208"/>
      <c r="B1395" s="208"/>
      <c r="C1395" s="208"/>
      <c r="D1395" s="208"/>
      <c r="E1395" s="208"/>
      <c r="F1395" s="208"/>
      <c r="G1395" s="208"/>
      <c r="H1395" s="232"/>
      <c r="I1395" s="233"/>
      <c r="J1395" s="208"/>
      <c r="K1395" s="208"/>
      <c r="L1395" s="208"/>
      <c r="M1395" s="208"/>
      <c r="N1395" s="208"/>
      <c r="O1395" s="208"/>
      <c r="P1395" s="208"/>
      <c r="Q1395" s="208"/>
      <c r="R1395" s="208"/>
      <c r="S1395" s="208"/>
      <c r="T1395" s="208"/>
      <c r="U1395" s="208"/>
      <c r="V1395" s="234"/>
      <c r="W1395" s="232"/>
      <c r="X1395" s="232"/>
      <c r="Y1395" s="232"/>
      <c r="Z1395" s="232"/>
      <c r="AA1395" s="232"/>
      <c r="AB1395" s="232"/>
      <c r="AC1395" s="232"/>
      <c r="AD1395" s="232"/>
      <c r="AE1395" s="232"/>
      <c r="AF1395" s="232"/>
      <c r="AG1395" s="208"/>
      <c r="AH1395" s="208"/>
      <c r="AI1395" s="208"/>
      <c r="AJ1395" s="208"/>
      <c r="AK1395" s="208"/>
    </row>
    <row r="1396">
      <c r="A1396" s="208"/>
      <c r="B1396" s="208"/>
      <c r="C1396" s="208"/>
      <c r="D1396" s="208"/>
      <c r="E1396" s="208"/>
      <c r="F1396" s="208"/>
      <c r="G1396" s="208"/>
      <c r="H1396" s="232"/>
      <c r="I1396" s="233"/>
      <c r="J1396" s="208"/>
      <c r="K1396" s="208"/>
      <c r="L1396" s="208"/>
      <c r="M1396" s="208"/>
      <c r="N1396" s="208"/>
      <c r="O1396" s="208"/>
      <c r="P1396" s="208"/>
      <c r="Q1396" s="208"/>
      <c r="R1396" s="208"/>
      <c r="S1396" s="208"/>
      <c r="T1396" s="208"/>
      <c r="U1396" s="208"/>
      <c r="V1396" s="234"/>
      <c r="W1396" s="232"/>
      <c r="X1396" s="232"/>
      <c r="Y1396" s="232"/>
      <c r="Z1396" s="232"/>
      <c r="AA1396" s="232"/>
      <c r="AB1396" s="232"/>
      <c r="AC1396" s="232"/>
      <c r="AD1396" s="232"/>
      <c r="AE1396" s="232"/>
      <c r="AF1396" s="232"/>
      <c r="AG1396" s="208"/>
      <c r="AH1396" s="208"/>
      <c r="AI1396" s="208"/>
      <c r="AJ1396" s="208"/>
      <c r="AK1396" s="208"/>
    </row>
    <row r="1397">
      <c r="A1397" s="208"/>
      <c r="B1397" s="208"/>
      <c r="C1397" s="208"/>
      <c r="D1397" s="208"/>
      <c r="E1397" s="208"/>
      <c r="F1397" s="208"/>
      <c r="G1397" s="208"/>
      <c r="H1397" s="232"/>
      <c r="I1397" s="233"/>
      <c r="J1397" s="208"/>
      <c r="K1397" s="208"/>
      <c r="L1397" s="208"/>
      <c r="M1397" s="208"/>
      <c r="N1397" s="208"/>
      <c r="O1397" s="208"/>
      <c r="P1397" s="208"/>
      <c r="Q1397" s="208"/>
      <c r="R1397" s="208"/>
      <c r="S1397" s="208"/>
      <c r="T1397" s="208"/>
      <c r="U1397" s="208"/>
      <c r="V1397" s="234"/>
      <c r="W1397" s="232"/>
      <c r="X1397" s="232"/>
      <c r="Y1397" s="232"/>
      <c r="Z1397" s="232"/>
      <c r="AA1397" s="232"/>
      <c r="AB1397" s="232"/>
      <c r="AC1397" s="232"/>
      <c r="AD1397" s="232"/>
      <c r="AE1397" s="232"/>
      <c r="AF1397" s="232"/>
      <c r="AG1397" s="208"/>
      <c r="AH1397" s="208"/>
      <c r="AI1397" s="208"/>
      <c r="AJ1397" s="208"/>
      <c r="AK1397" s="208"/>
    </row>
    <row r="1398">
      <c r="A1398" s="208"/>
      <c r="B1398" s="208"/>
      <c r="C1398" s="208"/>
      <c r="D1398" s="208"/>
      <c r="E1398" s="208"/>
      <c r="F1398" s="208"/>
      <c r="G1398" s="208"/>
      <c r="H1398" s="232"/>
      <c r="I1398" s="233"/>
      <c r="J1398" s="208"/>
      <c r="K1398" s="208"/>
      <c r="L1398" s="208"/>
      <c r="M1398" s="208"/>
      <c r="N1398" s="208"/>
      <c r="O1398" s="208"/>
      <c r="P1398" s="208"/>
      <c r="Q1398" s="208"/>
      <c r="R1398" s="208"/>
      <c r="S1398" s="208"/>
      <c r="T1398" s="208"/>
      <c r="U1398" s="208"/>
      <c r="V1398" s="234"/>
      <c r="W1398" s="232"/>
      <c r="X1398" s="232"/>
      <c r="Y1398" s="232"/>
      <c r="Z1398" s="232"/>
      <c r="AA1398" s="232"/>
      <c r="AB1398" s="232"/>
      <c r="AC1398" s="232"/>
      <c r="AD1398" s="232"/>
      <c r="AE1398" s="232"/>
      <c r="AF1398" s="232"/>
      <c r="AG1398" s="208"/>
      <c r="AH1398" s="208"/>
      <c r="AI1398" s="208"/>
      <c r="AJ1398" s="208"/>
      <c r="AK1398" s="208"/>
    </row>
    <row r="1399">
      <c r="A1399" s="208"/>
      <c r="B1399" s="208"/>
      <c r="C1399" s="208"/>
      <c r="D1399" s="208"/>
      <c r="E1399" s="208"/>
      <c r="F1399" s="208"/>
      <c r="G1399" s="208"/>
      <c r="H1399" s="232"/>
      <c r="I1399" s="233"/>
      <c r="J1399" s="208"/>
      <c r="K1399" s="208"/>
      <c r="L1399" s="208"/>
      <c r="M1399" s="208"/>
      <c r="N1399" s="208"/>
      <c r="O1399" s="208"/>
      <c r="P1399" s="208"/>
      <c r="Q1399" s="208"/>
      <c r="R1399" s="208"/>
      <c r="S1399" s="208"/>
      <c r="T1399" s="208"/>
      <c r="U1399" s="208"/>
      <c r="V1399" s="234"/>
      <c r="W1399" s="232"/>
      <c r="X1399" s="232"/>
      <c r="Y1399" s="232"/>
      <c r="Z1399" s="232"/>
      <c r="AA1399" s="232"/>
      <c r="AB1399" s="232"/>
      <c r="AC1399" s="232"/>
      <c r="AD1399" s="232"/>
      <c r="AE1399" s="232"/>
      <c r="AF1399" s="232"/>
      <c r="AG1399" s="208"/>
      <c r="AH1399" s="208"/>
      <c r="AI1399" s="208"/>
      <c r="AJ1399" s="208"/>
      <c r="AK1399" s="208"/>
    </row>
    <row r="1400">
      <c r="A1400" s="208"/>
      <c r="B1400" s="208"/>
      <c r="C1400" s="208"/>
      <c r="D1400" s="208"/>
      <c r="E1400" s="208"/>
      <c r="F1400" s="208"/>
      <c r="G1400" s="208"/>
      <c r="H1400" s="232"/>
      <c r="I1400" s="233"/>
      <c r="J1400" s="208"/>
      <c r="K1400" s="208"/>
      <c r="L1400" s="208"/>
      <c r="M1400" s="208"/>
      <c r="N1400" s="208"/>
      <c r="O1400" s="208"/>
      <c r="P1400" s="208"/>
      <c r="Q1400" s="208"/>
      <c r="R1400" s="208"/>
      <c r="S1400" s="208"/>
      <c r="T1400" s="208"/>
      <c r="U1400" s="208"/>
      <c r="V1400" s="234"/>
      <c r="W1400" s="232"/>
      <c r="X1400" s="232"/>
      <c r="Y1400" s="232"/>
      <c r="Z1400" s="232"/>
      <c r="AA1400" s="232"/>
      <c r="AB1400" s="232"/>
      <c r="AC1400" s="232"/>
      <c r="AD1400" s="232"/>
      <c r="AE1400" s="232"/>
      <c r="AF1400" s="232"/>
      <c r="AG1400" s="208"/>
      <c r="AH1400" s="208"/>
      <c r="AI1400" s="208"/>
      <c r="AJ1400" s="208"/>
      <c r="AK1400" s="208"/>
    </row>
    <row r="1401">
      <c r="A1401" s="208"/>
      <c r="B1401" s="208"/>
      <c r="C1401" s="208"/>
      <c r="D1401" s="208"/>
      <c r="E1401" s="208"/>
      <c r="F1401" s="208"/>
      <c r="G1401" s="208"/>
      <c r="H1401" s="232"/>
      <c r="I1401" s="233"/>
      <c r="J1401" s="208"/>
      <c r="K1401" s="208"/>
      <c r="L1401" s="208"/>
      <c r="M1401" s="208"/>
      <c r="N1401" s="208"/>
      <c r="O1401" s="208"/>
      <c r="P1401" s="208"/>
      <c r="Q1401" s="208"/>
      <c r="R1401" s="208"/>
      <c r="S1401" s="208"/>
      <c r="T1401" s="208"/>
      <c r="U1401" s="208"/>
      <c r="V1401" s="234"/>
      <c r="W1401" s="232"/>
      <c r="X1401" s="232"/>
      <c r="Y1401" s="232"/>
      <c r="Z1401" s="232"/>
      <c r="AA1401" s="232"/>
      <c r="AB1401" s="232"/>
      <c r="AC1401" s="232"/>
      <c r="AD1401" s="232"/>
      <c r="AE1401" s="232"/>
      <c r="AF1401" s="232"/>
      <c r="AG1401" s="208"/>
      <c r="AH1401" s="208"/>
      <c r="AI1401" s="208"/>
      <c r="AJ1401" s="208"/>
      <c r="AK1401" s="208"/>
    </row>
    <row r="1402">
      <c r="A1402" s="208"/>
      <c r="B1402" s="208"/>
      <c r="C1402" s="208"/>
      <c r="D1402" s="208"/>
      <c r="E1402" s="208"/>
      <c r="F1402" s="208"/>
      <c r="G1402" s="208"/>
      <c r="H1402" s="232"/>
      <c r="I1402" s="233"/>
      <c r="J1402" s="208"/>
      <c r="K1402" s="208"/>
      <c r="L1402" s="208"/>
      <c r="M1402" s="208"/>
      <c r="N1402" s="208"/>
      <c r="O1402" s="208"/>
      <c r="P1402" s="208"/>
      <c r="Q1402" s="208"/>
      <c r="R1402" s="208"/>
      <c r="S1402" s="208"/>
      <c r="T1402" s="208"/>
      <c r="U1402" s="208"/>
      <c r="V1402" s="234"/>
      <c r="W1402" s="232"/>
      <c r="X1402" s="232"/>
      <c r="Y1402" s="232"/>
      <c r="Z1402" s="232"/>
      <c r="AA1402" s="232"/>
      <c r="AB1402" s="232"/>
      <c r="AC1402" s="232"/>
      <c r="AD1402" s="232"/>
      <c r="AE1402" s="232"/>
      <c r="AF1402" s="232"/>
      <c r="AG1402" s="208"/>
      <c r="AH1402" s="208"/>
      <c r="AI1402" s="208"/>
      <c r="AJ1402" s="208"/>
      <c r="AK1402" s="208"/>
    </row>
    <row r="1403">
      <c r="A1403" s="208"/>
      <c r="B1403" s="208"/>
      <c r="C1403" s="208"/>
      <c r="D1403" s="208"/>
      <c r="E1403" s="208"/>
      <c r="F1403" s="208"/>
      <c r="G1403" s="208"/>
      <c r="H1403" s="232"/>
      <c r="I1403" s="233"/>
      <c r="J1403" s="208"/>
      <c r="K1403" s="208"/>
      <c r="L1403" s="208"/>
      <c r="M1403" s="208"/>
      <c r="N1403" s="208"/>
      <c r="O1403" s="208"/>
      <c r="P1403" s="208"/>
      <c r="Q1403" s="208"/>
      <c r="R1403" s="208"/>
      <c r="S1403" s="208"/>
      <c r="T1403" s="208"/>
      <c r="U1403" s="208"/>
      <c r="V1403" s="234"/>
      <c r="W1403" s="232"/>
      <c r="X1403" s="232"/>
      <c r="Y1403" s="232"/>
      <c r="Z1403" s="232"/>
      <c r="AA1403" s="232"/>
      <c r="AB1403" s="232"/>
      <c r="AC1403" s="232"/>
      <c r="AD1403" s="232"/>
      <c r="AE1403" s="232"/>
      <c r="AF1403" s="232"/>
      <c r="AG1403" s="208"/>
      <c r="AH1403" s="208"/>
      <c r="AI1403" s="208"/>
      <c r="AJ1403" s="208"/>
      <c r="AK1403" s="208"/>
    </row>
    <row r="1404">
      <c r="A1404" s="208"/>
      <c r="B1404" s="208"/>
      <c r="C1404" s="208"/>
      <c r="D1404" s="208"/>
      <c r="E1404" s="208"/>
      <c r="F1404" s="208"/>
      <c r="G1404" s="208"/>
      <c r="H1404" s="232"/>
      <c r="I1404" s="233"/>
      <c r="J1404" s="208"/>
      <c r="K1404" s="208"/>
      <c r="L1404" s="208"/>
      <c r="M1404" s="208"/>
      <c r="N1404" s="208"/>
      <c r="O1404" s="208"/>
      <c r="P1404" s="208"/>
      <c r="Q1404" s="208"/>
      <c r="R1404" s="208"/>
      <c r="S1404" s="208"/>
      <c r="T1404" s="208"/>
      <c r="U1404" s="208"/>
      <c r="V1404" s="234"/>
      <c r="W1404" s="232"/>
      <c r="X1404" s="232"/>
      <c r="Y1404" s="232"/>
      <c r="Z1404" s="232"/>
      <c r="AA1404" s="232"/>
      <c r="AB1404" s="232"/>
      <c r="AC1404" s="232"/>
      <c r="AD1404" s="232"/>
      <c r="AE1404" s="232"/>
      <c r="AF1404" s="232"/>
      <c r="AG1404" s="208"/>
      <c r="AH1404" s="208"/>
      <c r="AI1404" s="208"/>
      <c r="AJ1404" s="208"/>
      <c r="AK1404" s="208"/>
    </row>
    <row r="1405">
      <c r="A1405" s="208"/>
      <c r="B1405" s="208"/>
      <c r="C1405" s="208"/>
      <c r="D1405" s="208"/>
      <c r="E1405" s="208"/>
      <c r="F1405" s="208"/>
      <c r="G1405" s="208"/>
      <c r="H1405" s="232"/>
      <c r="I1405" s="233"/>
      <c r="J1405" s="208"/>
      <c r="K1405" s="208"/>
      <c r="L1405" s="208"/>
      <c r="M1405" s="208"/>
      <c r="N1405" s="208"/>
      <c r="O1405" s="208"/>
      <c r="P1405" s="208"/>
      <c r="Q1405" s="208"/>
      <c r="R1405" s="208"/>
      <c r="S1405" s="208"/>
      <c r="T1405" s="208"/>
      <c r="U1405" s="208"/>
      <c r="V1405" s="234"/>
      <c r="W1405" s="232"/>
      <c r="X1405" s="232"/>
      <c r="Y1405" s="232"/>
      <c r="Z1405" s="232"/>
      <c r="AA1405" s="232"/>
      <c r="AB1405" s="232"/>
      <c r="AC1405" s="232"/>
      <c r="AD1405" s="232"/>
      <c r="AE1405" s="232"/>
      <c r="AF1405" s="232"/>
      <c r="AG1405" s="208"/>
      <c r="AH1405" s="208"/>
      <c r="AI1405" s="208"/>
      <c r="AJ1405" s="208"/>
      <c r="AK1405" s="208"/>
    </row>
    <row r="1406">
      <c r="A1406" s="208"/>
      <c r="B1406" s="208"/>
      <c r="C1406" s="208"/>
      <c r="D1406" s="208"/>
      <c r="E1406" s="208"/>
      <c r="F1406" s="208"/>
      <c r="G1406" s="208"/>
      <c r="H1406" s="232"/>
      <c r="I1406" s="233"/>
      <c r="J1406" s="208"/>
      <c r="K1406" s="208"/>
      <c r="L1406" s="208"/>
      <c r="M1406" s="208"/>
      <c r="N1406" s="208"/>
      <c r="O1406" s="208"/>
      <c r="P1406" s="208"/>
      <c r="Q1406" s="208"/>
      <c r="R1406" s="208"/>
      <c r="S1406" s="208"/>
      <c r="T1406" s="208"/>
      <c r="U1406" s="208"/>
      <c r="V1406" s="234"/>
      <c r="W1406" s="232"/>
      <c r="X1406" s="232"/>
      <c r="Y1406" s="232"/>
      <c r="Z1406" s="232"/>
      <c r="AA1406" s="232"/>
      <c r="AB1406" s="232"/>
      <c r="AC1406" s="232"/>
      <c r="AD1406" s="232"/>
      <c r="AE1406" s="232"/>
      <c r="AF1406" s="232"/>
      <c r="AG1406" s="208"/>
      <c r="AH1406" s="208"/>
      <c r="AI1406" s="208"/>
      <c r="AJ1406" s="208"/>
      <c r="AK1406" s="208"/>
    </row>
    <row r="1407">
      <c r="A1407" s="208"/>
      <c r="B1407" s="208"/>
      <c r="C1407" s="208"/>
      <c r="D1407" s="208"/>
      <c r="E1407" s="208"/>
      <c r="F1407" s="208"/>
      <c r="G1407" s="208"/>
      <c r="H1407" s="232"/>
      <c r="I1407" s="233"/>
      <c r="J1407" s="208"/>
      <c r="K1407" s="208"/>
      <c r="L1407" s="208"/>
      <c r="M1407" s="208"/>
      <c r="N1407" s="208"/>
      <c r="O1407" s="208"/>
      <c r="P1407" s="208"/>
      <c r="Q1407" s="208"/>
      <c r="R1407" s="208"/>
      <c r="S1407" s="208"/>
      <c r="T1407" s="208"/>
      <c r="U1407" s="208"/>
      <c r="V1407" s="234"/>
      <c r="W1407" s="232"/>
      <c r="X1407" s="232"/>
      <c r="Y1407" s="232"/>
      <c r="Z1407" s="232"/>
      <c r="AA1407" s="232"/>
      <c r="AB1407" s="232"/>
      <c r="AC1407" s="232"/>
      <c r="AD1407" s="232"/>
      <c r="AE1407" s="232"/>
      <c r="AF1407" s="232"/>
      <c r="AG1407" s="208"/>
      <c r="AH1407" s="208"/>
      <c r="AI1407" s="208"/>
      <c r="AJ1407" s="208"/>
      <c r="AK1407" s="208"/>
    </row>
    <row r="1408">
      <c r="A1408" s="208"/>
      <c r="B1408" s="208"/>
      <c r="C1408" s="208"/>
      <c r="D1408" s="208"/>
      <c r="E1408" s="208"/>
      <c r="F1408" s="208"/>
      <c r="G1408" s="208"/>
      <c r="H1408" s="232"/>
      <c r="I1408" s="233"/>
      <c r="J1408" s="208"/>
      <c r="K1408" s="208"/>
      <c r="L1408" s="208"/>
      <c r="M1408" s="208"/>
      <c r="N1408" s="208"/>
      <c r="O1408" s="208"/>
      <c r="P1408" s="208"/>
      <c r="Q1408" s="208"/>
      <c r="R1408" s="208"/>
      <c r="S1408" s="208"/>
      <c r="T1408" s="208"/>
      <c r="U1408" s="208"/>
      <c r="V1408" s="234"/>
      <c r="W1408" s="232"/>
      <c r="X1408" s="232"/>
      <c r="Y1408" s="232"/>
      <c r="Z1408" s="232"/>
      <c r="AA1408" s="232"/>
      <c r="AB1408" s="232"/>
      <c r="AC1408" s="232"/>
      <c r="AD1408" s="232"/>
      <c r="AE1408" s="232"/>
      <c r="AF1408" s="232"/>
      <c r="AG1408" s="208"/>
      <c r="AH1408" s="208"/>
      <c r="AI1408" s="208"/>
      <c r="AJ1408" s="208"/>
      <c r="AK1408" s="208"/>
    </row>
    <row r="1409">
      <c r="A1409" s="208"/>
      <c r="B1409" s="208"/>
      <c r="C1409" s="208"/>
      <c r="D1409" s="208"/>
      <c r="E1409" s="208"/>
      <c r="F1409" s="208"/>
      <c r="G1409" s="208"/>
      <c r="H1409" s="232"/>
      <c r="I1409" s="233"/>
      <c r="J1409" s="208"/>
      <c r="K1409" s="208"/>
      <c r="L1409" s="208"/>
      <c r="M1409" s="208"/>
      <c r="N1409" s="208"/>
      <c r="O1409" s="208"/>
      <c r="P1409" s="208"/>
      <c r="Q1409" s="208"/>
      <c r="R1409" s="208"/>
      <c r="S1409" s="208"/>
      <c r="T1409" s="208"/>
      <c r="U1409" s="208"/>
      <c r="V1409" s="234"/>
      <c r="W1409" s="232"/>
      <c r="X1409" s="232"/>
      <c r="Y1409" s="232"/>
      <c r="Z1409" s="232"/>
      <c r="AA1409" s="232"/>
      <c r="AB1409" s="232"/>
      <c r="AC1409" s="232"/>
      <c r="AD1409" s="232"/>
      <c r="AE1409" s="232"/>
      <c r="AF1409" s="232"/>
      <c r="AG1409" s="208"/>
      <c r="AH1409" s="208"/>
      <c r="AI1409" s="208"/>
      <c r="AJ1409" s="208"/>
      <c r="AK1409" s="208"/>
    </row>
    <row r="1410">
      <c r="A1410" s="208"/>
      <c r="B1410" s="208"/>
      <c r="C1410" s="208"/>
      <c r="D1410" s="208"/>
      <c r="E1410" s="208"/>
      <c r="F1410" s="208"/>
      <c r="G1410" s="208"/>
      <c r="H1410" s="232"/>
      <c r="I1410" s="233"/>
      <c r="J1410" s="208"/>
      <c r="K1410" s="208"/>
      <c r="L1410" s="208"/>
      <c r="M1410" s="208"/>
      <c r="N1410" s="208"/>
      <c r="O1410" s="208"/>
      <c r="P1410" s="208"/>
      <c r="Q1410" s="208"/>
      <c r="R1410" s="208"/>
      <c r="S1410" s="208"/>
      <c r="T1410" s="208"/>
      <c r="U1410" s="208"/>
      <c r="V1410" s="234"/>
      <c r="W1410" s="232"/>
      <c r="X1410" s="232"/>
      <c r="Y1410" s="232"/>
      <c r="Z1410" s="232"/>
      <c r="AA1410" s="232"/>
      <c r="AB1410" s="232"/>
      <c r="AC1410" s="232"/>
      <c r="AD1410" s="232"/>
      <c r="AE1410" s="232"/>
      <c r="AF1410" s="232"/>
      <c r="AG1410" s="208"/>
      <c r="AH1410" s="208"/>
      <c r="AI1410" s="208"/>
      <c r="AJ1410" s="208"/>
      <c r="AK1410" s="208"/>
    </row>
    <row r="1411">
      <c r="A1411" s="208"/>
      <c r="B1411" s="208"/>
      <c r="C1411" s="208"/>
      <c r="D1411" s="208"/>
      <c r="E1411" s="208"/>
      <c r="F1411" s="208"/>
      <c r="G1411" s="208"/>
      <c r="H1411" s="232"/>
      <c r="I1411" s="233"/>
      <c r="J1411" s="208"/>
      <c r="K1411" s="208"/>
      <c r="L1411" s="208"/>
      <c r="M1411" s="208"/>
      <c r="N1411" s="208"/>
      <c r="O1411" s="208"/>
      <c r="P1411" s="208"/>
      <c r="Q1411" s="208"/>
      <c r="R1411" s="208"/>
      <c r="S1411" s="208"/>
      <c r="T1411" s="208"/>
      <c r="U1411" s="208"/>
      <c r="V1411" s="234"/>
      <c r="W1411" s="232"/>
      <c r="X1411" s="232"/>
      <c r="Y1411" s="232"/>
      <c r="Z1411" s="232"/>
      <c r="AA1411" s="232"/>
      <c r="AB1411" s="232"/>
      <c r="AC1411" s="232"/>
      <c r="AD1411" s="232"/>
      <c r="AE1411" s="232"/>
      <c r="AF1411" s="232"/>
      <c r="AG1411" s="208"/>
      <c r="AH1411" s="208"/>
      <c r="AI1411" s="208"/>
      <c r="AJ1411" s="208"/>
      <c r="AK1411" s="208"/>
    </row>
    <row r="1412">
      <c r="A1412" s="208"/>
      <c r="B1412" s="208"/>
      <c r="C1412" s="208"/>
      <c r="D1412" s="208"/>
      <c r="E1412" s="208"/>
      <c r="F1412" s="208"/>
      <c r="G1412" s="208"/>
      <c r="H1412" s="232"/>
      <c r="I1412" s="233"/>
      <c r="J1412" s="208"/>
      <c r="K1412" s="208"/>
      <c r="L1412" s="208"/>
      <c r="M1412" s="208"/>
      <c r="N1412" s="208"/>
      <c r="O1412" s="208"/>
      <c r="P1412" s="208"/>
      <c r="Q1412" s="208"/>
      <c r="R1412" s="208"/>
      <c r="S1412" s="208"/>
      <c r="T1412" s="208"/>
      <c r="U1412" s="208"/>
      <c r="V1412" s="234"/>
      <c r="W1412" s="232"/>
      <c r="X1412" s="232"/>
      <c r="Y1412" s="232"/>
      <c r="Z1412" s="232"/>
      <c r="AA1412" s="232"/>
      <c r="AB1412" s="232"/>
      <c r="AC1412" s="232"/>
      <c r="AD1412" s="232"/>
      <c r="AE1412" s="232"/>
      <c r="AF1412" s="232"/>
      <c r="AG1412" s="208"/>
      <c r="AH1412" s="208"/>
      <c r="AI1412" s="208"/>
      <c r="AJ1412" s="208"/>
      <c r="AK1412" s="208"/>
    </row>
    <row r="1413">
      <c r="A1413" s="208"/>
      <c r="B1413" s="208"/>
      <c r="C1413" s="208"/>
      <c r="D1413" s="208"/>
      <c r="E1413" s="208"/>
      <c r="F1413" s="208"/>
      <c r="G1413" s="208"/>
      <c r="H1413" s="232"/>
      <c r="I1413" s="233"/>
      <c r="J1413" s="208"/>
      <c r="K1413" s="208"/>
      <c r="L1413" s="208"/>
      <c r="M1413" s="208"/>
      <c r="N1413" s="208"/>
      <c r="O1413" s="208"/>
      <c r="P1413" s="208"/>
      <c r="Q1413" s="208"/>
      <c r="R1413" s="208"/>
      <c r="S1413" s="208"/>
      <c r="T1413" s="208"/>
      <c r="U1413" s="208"/>
      <c r="V1413" s="234"/>
      <c r="W1413" s="232"/>
      <c r="X1413" s="232"/>
      <c r="Y1413" s="232"/>
      <c r="Z1413" s="232"/>
      <c r="AA1413" s="232"/>
      <c r="AB1413" s="232"/>
      <c r="AC1413" s="232"/>
      <c r="AD1413" s="232"/>
      <c r="AE1413" s="232"/>
      <c r="AF1413" s="232"/>
      <c r="AG1413" s="208"/>
      <c r="AH1413" s="208"/>
      <c r="AI1413" s="208"/>
      <c r="AJ1413" s="208"/>
      <c r="AK1413" s="208"/>
    </row>
    <row r="1414">
      <c r="A1414" s="208"/>
      <c r="B1414" s="208"/>
      <c r="C1414" s="208"/>
      <c r="D1414" s="208"/>
      <c r="E1414" s="208"/>
      <c r="F1414" s="208"/>
      <c r="G1414" s="208"/>
      <c r="H1414" s="232"/>
      <c r="I1414" s="233"/>
      <c r="J1414" s="208"/>
      <c r="K1414" s="208"/>
      <c r="L1414" s="208"/>
      <c r="M1414" s="208"/>
      <c r="N1414" s="208"/>
      <c r="O1414" s="208"/>
      <c r="P1414" s="208"/>
      <c r="Q1414" s="208"/>
      <c r="R1414" s="208"/>
      <c r="S1414" s="208"/>
      <c r="T1414" s="208"/>
      <c r="U1414" s="208"/>
      <c r="V1414" s="234"/>
      <c r="W1414" s="232"/>
      <c r="X1414" s="232"/>
      <c r="Y1414" s="232"/>
      <c r="Z1414" s="232"/>
      <c r="AA1414" s="232"/>
      <c r="AB1414" s="232"/>
      <c r="AC1414" s="232"/>
      <c r="AD1414" s="232"/>
      <c r="AE1414" s="232"/>
      <c r="AF1414" s="232"/>
      <c r="AG1414" s="208"/>
      <c r="AH1414" s="208"/>
      <c r="AI1414" s="208"/>
      <c r="AJ1414" s="208"/>
      <c r="AK1414" s="208"/>
    </row>
    <row r="1415">
      <c r="A1415" s="208"/>
      <c r="B1415" s="208"/>
      <c r="C1415" s="208"/>
      <c r="D1415" s="208"/>
      <c r="E1415" s="208"/>
      <c r="F1415" s="208"/>
      <c r="G1415" s="208"/>
      <c r="H1415" s="232"/>
      <c r="I1415" s="233"/>
      <c r="J1415" s="208"/>
      <c r="K1415" s="208"/>
      <c r="L1415" s="208"/>
      <c r="M1415" s="208"/>
      <c r="N1415" s="208"/>
      <c r="O1415" s="208"/>
      <c r="P1415" s="208"/>
      <c r="Q1415" s="208"/>
      <c r="R1415" s="208"/>
      <c r="S1415" s="208"/>
      <c r="T1415" s="208"/>
      <c r="U1415" s="208"/>
      <c r="V1415" s="234"/>
      <c r="W1415" s="232"/>
      <c r="X1415" s="232"/>
      <c r="Y1415" s="232"/>
      <c r="Z1415" s="232"/>
      <c r="AA1415" s="232"/>
      <c r="AB1415" s="232"/>
      <c r="AC1415" s="232"/>
      <c r="AD1415" s="232"/>
      <c r="AE1415" s="232"/>
      <c r="AF1415" s="232"/>
      <c r="AG1415" s="208"/>
      <c r="AH1415" s="208"/>
      <c r="AI1415" s="208"/>
      <c r="AJ1415" s="208"/>
      <c r="AK1415" s="208"/>
    </row>
    <row r="1416">
      <c r="A1416" s="208"/>
      <c r="B1416" s="208"/>
      <c r="C1416" s="208"/>
      <c r="D1416" s="208"/>
      <c r="E1416" s="208"/>
      <c r="F1416" s="208"/>
      <c r="G1416" s="208"/>
      <c r="H1416" s="232"/>
      <c r="I1416" s="233"/>
      <c r="J1416" s="208"/>
      <c r="K1416" s="208"/>
      <c r="L1416" s="208"/>
      <c r="M1416" s="208"/>
      <c r="N1416" s="208"/>
      <c r="O1416" s="208"/>
      <c r="P1416" s="208"/>
      <c r="Q1416" s="208"/>
      <c r="R1416" s="208"/>
      <c r="S1416" s="208"/>
      <c r="T1416" s="208"/>
      <c r="U1416" s="208"/>
      <c r="V1416" s="234"/>
      <c r="W1416" s="232"/>
      <c r="X1416" s="232"/>
      <c r="Y1416" s="232"/>
      <c r="Z1416" s="232"/>
      <c r="AA1416" s="232"/>
      <c r="AB1416" s="232"/>
      <c r="AC1416" s="232"/>
      <c r="AD1416" s="232"/>
      <c r="AE1416" s="232"/>
      <c r="AF1416" s="232"/>
      <c r="AG1416" s="208"/>
      <c r="AH1416" s="208"/>
      <c r="AI1416" s="208"/>
      <c r="AJ1416" s="208"/>
      <c r="AK1416" s="208"/>
    </row>
    <row r="1417">
      <c r="A1417" s="208"/>
      <c r="B1417" s="208"/>
      <c r="C1417" s="208"/>
      <c r="D1417" s="208"/>
      <c r="E1417" s="208"/>
      <c r="F1417" s="208"/>
      <c r="G1417" s="208"/>
      <c r="H1417" s="232"/>
      <c r="I1417" s="233"/>
      <c r="J1417" s="208"/>
      <c r="K1417" s="208"/>
      <c r="L1417" s="208"/>
      <c r="M1417" s="208"/>
      <c r="N1417" s="208"/>
      <c r="O1417" s="208"/>
      <c r="P1417" s="208"/>
      <c r="Q1417" s="208"/>
      <c r="R1417" s="208"/>
      <c r="S1417" s="208"/>
      <c r="T1417" s="208"/>
      <c r="U1417" s="208"/>
      <c r="V1417" s="234"/>
      <c r="W1417" s="232"/>
      <c r="X1417" s="232"/>
      <c r="Y1417" s="232"/>
      <c r="Z1417" s="232"/>
      <c r="AA1417" s="232"/>
      <c r="AB1417" s="232"/>
      <c r="AC1417" s="232"/>
      <c r="AD1417" s="232"/>
      <c r="AE1417" s="232"/>
      <c r="AF1417" s="232"/>
      <c r="AG1417" s="208"/>
      <c r="AH1417" s="208"/>
      <c r="AI1417" s="208"/>
      <c r="AJ1417" s="208"/>
      <c r="AK1417" s="208"/>
    </row>
    <row r="1418">
      <c r="A1418" s="208"/>
      <c r="B1418" s="208"/>
      <c r="C1418" s="208"/>
      <c r="D1418" s="208"/>
      <c r="E1418" s="208"/>
      <c r="F1418" s="208"/>
      <c r="G1418" s="208"/>
      <c r="H1418" s="232"/>
      <c r="I1418" s="233"/>
      <c r="J1418" s="208"/>
      <c r="K1418" s="208"/>
      <c r="L1418" s="208"/>
      <c r="M1418" s="208"/>
      <c r="N1418" s="208"/>
      <c r="O1418" s="208"/>
      <c r="P1418" s="208"/>
      <c r="Q1418" s="208"/>
      <c r="R1418" s="208"/>
      <c r="S1418" s="208"/>
      <c r="T1418" s="208"/>
      <c r="U1418" s="208"/>
      <c r="V1418" s="234"/>
      <c r="W1418" s="232"/>
      <c r="X1418" s="232"/>
      <c r="Y1418" s="232"/>
      <c r="Z1418" s="232"/>
      <c r="AA1418" s="232"/>
      <c r="AB1418" s="232"/>
      <c r="AC1418" s="232"/>
      <c r="AD1418" s="232"/>
      <c r="AE1418" s="232"/>
      <c r="AF1418" s="232"/>
      <c r="AG1418" s="208"/>
      <c r="AH1418" s="208"/>
      <c r="AI1418" s="208"/>
      <c r="AJ1418" s="208"/>
      <c r="AK1418" s="208"/>
    </row>
    <row r="1419">
      <c r="A1419" s="208"/>
      <c r="B1419" s="208"/>
      <c r="C1419" s="208"/>
      <c r="D1419" s="208"/>
      <c r="E1419" s="208"/>
      <c r="F1419" s="208"/>
      <c r="G1419" s="208"/>
      <c r="H1419" s="232"/>
      <c r="I1419" s="233"/>
      <c r="J1419" s="208"/>
      <c r="K1419" s="208"/>
      <c r="L1419" s="208"/>
      <c r="M1419" s="208"/>
      <c r="N1419" s="208"/>
      <c r="O1419" s="208"/>
      <c r="P1419" s="208"/>
      <c r="Q1419" s="208"/>
      <c r="R1419" s="208"/>
      <c r="S1419" s="208"/>
      <c r="T1419" s="208"/>
      <c r="U1419" s="208"/>
      <c r="V1419" s="234"/>
      <c r="W1419" s="232"/>
      <c r="X1419" s="232"/>
      <c r="Y1419" s="232"/>
      <c r="Z1419" s="232"/>
      <c r="AA1419" s="232"/>
      <c r="AB1419" s="232"/>
      <c r="AC1419" s="232"/>
      <c r="AD1419" s="232"/>
      <c r="AE1419" s="232"/>
      <c r="AF1419" s="232"/>
      <c r="AG1419" s="208"/>
      <c r="AH1419" s="208"/>
      <c r="AI1419" s="208"/>
      <c r="AJ1419" s="208"/>
      <c r="AK1419" s="208"/>
    </row>
    <row r="1420">
      <c r="A1420" s="208"/>
      <c r="B1420" s="208"/>
      <c r="C1420" s="208"/>
      <c r="D1420" s="208"/>
      <c r="E1420" s="208"/>
      <c r="F1420" s="208"/>
      <c r="G1420" s="208"/>
      <c r="H1420" s="232"/>
      <c r="I1420" s="233"/>
      <c r="J1420" s="208"/>
      <c r="K1420" s="208"/>
      <c r="L1420" s="208"/>
      <c r="M1420" s="208"/>
      <c r="N1420" s="208"/>
      <c r="O1420" s="208"/>
      <c r="P1420" s="208"/>
      <c r="Q1420" s="208"/>
      <c r="R1420" s="208"/>
      <c r="S1420" s="208"/>
      <c r="T1420" s="208"/>
      <c r="U1420" s="208"/>
      <c r="V1420" s="234"/>
      <c r="W1420" s="232"/>
      <c r="X1420" s="232"/>
      <c r="Y1420" s="232"/>
      <c r="Z1420" s="232"/>
      <c r="AA1420" s="232"/>
      <c r="AB1420" s="232"/>
      <c r="AC1420" s="232"/>
      <c r="AD1420" s="232"/>
      <c r="AE1420" s="232"/>
      <c r="AF1420" s="232"/>
      <c r="AG1420" s="208"/>
      <c r="AH1420" s="208"/>
      <c r="AI1420" s="208"/>
      <c r="AJ1420" s="208"/>
      <c r="AK1420" s="208"/>
    </row>
    <row r="1421">
      <c r="A1421" s="208"/>
      <c r="B1421" s="208"/>
      <c r="C1421" s="208"/>
      <c r="D1421" s="208"/>
      <c r="E1421" s="208"/>
      <c r="F1421" s="208"/>
      <c r="G1421" s="208"/>
      <c r="H1421" s="232"/>
      <c r="I1421" s="233"/>
      <c r="J1421" s="208"/>
      <c r="K1421" s="208"/>
      <c r="L1421" s="208"/>
      <c r="M1421" s="208"/>
      <c r="N1421" s="208"/>
      <c r="O1421" s="208"/>
      <c r="P1421" s="208"/>
      <c r="Q1421" s="208"/>
      <c r="R1421" s="208"/>
      <c r="S1421" s="208"/>
      <c r="T1421" s="208"/>
      <c r="U1421" s="208"/>
      <c r="V1421" s="234"/>
      <c r="W1421" s="232"/>
      <c r="X1421" s="232"/>
      <c r="Y1421" s="232"/>
      <c r="Z1421" s="232"/>
      <c r="AA1421" s="232"/>
      <c r="AB1421" s="232"/>
      <c r="AC1421" s="232"/>
      <c r="AD1421" s="232"/>
      <c r="AE1421" s="232"/>
      <c r="AF1421" s="232"/>
      <c r="AG1421" s="208"/>
      <c r="AH1421" s="208"/>
      <c r="AI1421" s="208"/>
      <c r="AJ1421" s="208"/>
      <c r="AK1421" s="208"/>
    </row>
    <row r="1422">
      <c r="A1422" s="208"/>
      <c r="B1422" s="208"/>
      <c r="C1422" s="208"/>
      <c r="D1422" s="208"/>
      <c r="E1422" s="208"/>
      <c r="F1422" s="208"/>
      <c r="G1422" s="208"/>
      <c r="H1422" s="232"/>
      <c r="I1422" s="233"/>
      <c r="J1422" s="208"/>
      <c r="K1422" s="208"/>
      <c r="L1422" s="208"/>
      <c r="M1422" s="208"/>
      <c r="N1422" s="208"/>
      <c r="O1422" s="208"/>
      <c r="P1422" s="208"/>
      <c r="Q1422" s="208"/>
      <c r="R1422" s="208"/>
      <c r="S1422" s="208"/>
      <c r="T1422" s="208"/>
      <c r="U1422" s="208"/>
      <c r="V1422" s="234"/>
      <c r="W1422" s="232"/>
      <c r="X1422" s="232"/>
      <c r="Y1422" s="232"/>
      <c r="Z1422" s="232"/>
      <c r="AA1422" s="232"/>
      <c r="AB1422" s="232"/>
      <c r="AC1422" s="232"/>
      <c r="AD1422" s="232"/>
      <c r="AE1422" s="232"/>
      <c r="AF1422" s="232"/>
      <c r="AG1422" s="208"/>
      <c r="AH1422" s="208"/>
      <c r="AI1422" s="208"/>
      <c r="AJ1422" s="208"/>
      <c r="AK1422" s="208"/>
    </row>
    <row r="1423">
      <c r="A1423" s="208"/>
      <c r="B1423" s="208"/>
      <c r="C1423" s="208"/>
      <c r="D1423" s="208"/>
      <c r="E1423" s="208"/>
      <c r="F1423" s="208"/>
      <c r="G1423" s="208"/>
      <c r="H1423" s="232"/>
      <c r="I1423" s="233"/>
      <c r="J1423" s="208"/>
      <c r="K1423" s="208"/>
      <c r="L1423" s="208"/>
      <c r="M1423" s="208"/>
      <c r="N1423" s="208"/>
      <c r="O1423" s="208"/>
      <c r="P1423" s="208"/>
      <c r="Q1423" s="208"/>
      <c r="R1423" s="208"/>
      <c r="S1423" s="208"/>
      <c r="T1423" s="208"/>
      <c r="U1423" s="208"/>
      <c r="V1423" s="234"/>
      <c r="W1423" s="232"/>
      <c r="X1423" s="232"/>
      <c r="Y1423" s="232"/>
      <c r="Z1423" s="232"/>
      <c r="AA1423" s="232"/>
      <c r="AB1423" s="232"/>
      <c r="AC1423" s="232"/>
      <c r="AD1423" s="232"/>
      <c r="AE1423" s="232"/>
      <c r="AF1423" s="232"/>
      <c r="AG1423" s="208"/>
      <c r="AH1423" s="208"/>
      <c r="AI1423" s="208"/>
      <c r="AJ1423" s="208"/>
      <c r="AK1423" s="208"/>
    </row>
    <row r="1424">
      <c r="A1424" s="208"/>
      <c r="B1424" s="208"/>
      <c r="C1424" s="208"/>
      <c r="D1424" s="208"/>
      <c r="E1424" s="208"/>
      <c r="F1424" s="208"/>
      <c r="G1424" s="208"/>
      <c r="H1424" s="232"/>
      <c r="I1424" s="233"/>
      <c r="J1424" s="208"/>
      <c r="K1424" s="208"/>
      <c r="L1424" s="208"/>
      <c r="M1424" s="208"/>
      <c r="N1424" s="208"/>
      <c r="O1424" s="208"/>
      <c r="P1424" s="208"/>
      <c r="Q1424" s="208"/>
      <c r="R1424" s="208"/>
      <c r="S1424" s="208"/>
      <c r="T1424" s="208"/>
      <c r="U1424" s="208"/>
      <c r="V1424" s="234"/>
      <c r="W1424" s="232"/>
      <c r="X1424" s="232"/>
      <c r="Y1424" s="232"/>
      <c r="Z1424" s="232"/>
      <c r="AA1424" s="232"/>
      <c r="AB1424" s="232"/>
      <c r="AC1424" s="232"/>
      <c r="AD1424" s="232"/>
      <c r="AE1424" s="232"/>
      <c r="AF1424" s="232"/>
      <c r="AG1424" s="208"/>
      <c r="AH1424" s="208"/>
      <c r="AI1424" s="208"/>
      <c r="AJ1424" s="208"/>
      <c r="AK1424" s="208"/>
    </row>
    <row r="1425">
      <c r="A1425" s="208"/>
      <c r="B1425" s="208"/>
      <c r="C1425" s="208"/>
      <c r="D1425" s="208"/>
      <c r="E1425" s="208"/>
      <c r="F1425" s="208"/>
      <c r="G1425" s="208"/>
      <c r="H1425" s="232"/>
      <c r="I1425" s="233"/>
      <c r="J1425" s="208"/>
      <c r="K1425" s="208"/>
      <c r="L1425" s="208"/>
      <c r="M1425" s="208"/>
      <c r="N1425" s="208"/>
      <c r="O1425" s="208"/>
      <c r="P1425" s="208"/>
      <c r="Q1425" s="208"/>
      <c r="R1425" s="208"/>
      <c r="S1425" s="208"/>
      <c r="T1425" s="208"/>
      <c r="U1425" s="208"/>
      <c r="V1425" s="234"/>
      <c r="W1425" s="232"/>
      <c r="X1425" s="232"/>
      <c r="Y1425" s="232"/>
      <c r="Z1425" s="232"/>
      <c r="AA1425" s="232"/>
      <c r="AB1425" s="232"/>
      <c r="AC1425" s="232"/>
      <c r="AD1425" s="232"/>
      <c r="AE1425" s="232"/>
      <c r="AF1425" s="232"/>
      <c r="AG1425" s="208"/>
      <c r="AH1425" s="208"/>
      <c r="AI1425" s="208"/>
      <c r="AJ1425" s="208"/>
      <c r="AK1425" s="208"/>
    </row>
    <row r="1426">
      <c r="A1426" s="208"/>
      <c r="B1426" s="208"/>
      <c r="C1426" s="208"/>
      <c r="D1426" s="208"/>
      <c r="E1426" s="208"/>
      <c r="F1426" s="208"/>
      <c r="G1426" s="208"/>
      <c r="H1426" s="232"/>
      <c r="I1426" s="233"/>
      <c r="J1426" s="208"/>
      <c r="K1426" s="208"/>
      <c r="L1426" s="208"/>
      <c r="M1426" s="208"/>
      <c r="N1426" s="208"/>
      <c r="O1426" s="208"/>
      <c r="P1426" s="208"/>
      <c r="Q1426" s="208"/>
      <c r="R1426" s="208"/>
      <c r="S1426" s="208"/>
      <c r="T1426" s="208"/>
      <c r="U1426" s="208"/>
      <c r="V1426" s="234"/>
      <c r="W1426" s="232"/>
      <c r="X1426" s="232"/>
      <c r="Y1426" s="232"/>
      <c r="Z1426" s="232"/>
      <c r="AA1426" s="232"/>
      <c r="AB1426" s="232"/>
      <c r="AC1426" s="232"/>
      <c r="AD1426" s="232"/>
      <c r="AE1426" s="232"/>
      <c r="AF1426" s="232"/>
      <c r="AG1426" s="208"/>
      <c r="AH1426" s="208"/>
      <c r="AI1426" s="208"/>
      <c r="AJ1426" s="208"/>
      <c r="AK1426" s="208"/>
    </row>
    <row r="1427">
      <c r="A1427" s="208"/>
      <c r="B1427" s="208"/>
      <c r="C1427" s="208"/>
      <c r="D1427" s="208"/>
      <c r="E1427" s="208"/>
      <c r="F1427" s="208"/>
      <c r="G1427" s="208"/>
      <c r="H1427" s="232"/>
      <c r="I1427" s="233"/>
      <c r="J1427" s="208"/>
      <c r="K1427" s="208"/>
      <c r="L1427" s="208"/>
      <c r="M1427" s="208"/>
      <c r="N1427" s="208"/>
      <c r="O1427" s="208"/>
      <c r="P1427" s="208"/>
      <c r="Q1427" s="208"/>
      <c r="R1427" s="208"/>
      <c r="S1427" s="208"/>
      <c r="T1427" s="208"/>
      <c r="U1427" s="208"/>
      <c r="V1427" s="234"/>
      <c r="W1427" s="232"/>
      <c r="X1427" s="232"/>
      <c r="Y1427" s="232"/>
      <c r="Z1427" s="232"/>
      <c r="AA1427" s="232"/>
      <c r="AB1427" s="232"/>
      <c r="AC1427" s="232"/>
      <c r="AD1427" s="232"/>
      <c r="AE1427" s="232"/>
      <c r="AF1427" s="232"/>
      <c r="AG1427" s="208"/>
      <c r="AH1427" s="208"/>
      <c r="AI1427" s="208"/>
      <c r="AJ1427" s="208"/>
      <c r="AK1427" s="208"/>
    </row>
    <row r="1428">
      <c r="A1428" s="208"/>
      <c r="B1428" s="208"/>
      <c r="C1428" s="208"/>
      <c r="D1428" s="208"/>
      <c r="E1428" s="208"/>
      <c r="F1428" s="208"/>
      <c r="G1428" s="208"/>
      <c r="H1428" s="232"/>
      <c r="I1428" s="233"/>
      <c r="J1428" s="208"/>
      <c r="K1428" s="208"/>
      <c r="L1428" s="208"/>
      <c r="M1428" s="208"/>
      <c r="N1428" s="208"/>
      <c r="O1428" s="208"/>
      <c r="P1428" s="208"/>
      <c r="Q1428" s="208"/>
      <c r="R1428" s="208"/>
      <c r="S1428" s="208"/>
      <c r="T1428" s="208"/>
      <c r="U1428" s="208"/>
      <c r="V1428" s="234"/>
      <c r="W1428" s="232"/>
      <c r="X1428" s="232"/>
      <c r="Y1428" s="232"/>
      <c r="Z1428" s="232"/>
      <c r="AA1428" s="232"/>
      <c r="AB1428" s="232"/>
      <c r="AC1428" s="232"/>
      <c r="AD1428" s="232"/>
      <c r="AE1428" s="232"/>
      <c r="AF1428" s="232"/>
      <c r="AG1428" s="208"/>
      <c r="AH1428" s="208"/>
      <c r="AI1428" s="208"/>
      <c r="AJ1428" s="208"/>
      <c r="AK1428" s="208"/>
    </row>
    <row r="1429">
      <c r="A1429" s="208"/>
      <c r="B1429" s="208"/>
      <c r="C1429" s="208"/>
      <c r="D1429" s="208"/>
      <c r="E1429" s="208"/>
      <c r="F1429" s="208"/>
      <c r="G1429" s="208"/>
      <c r="H1429" s="232"/>
      <c r="I1429" s="233"/>
      <c r="J1429" s="208"/>
      <c r="K1429" s="208"/>
      <c r="L1429" s="208"/>
      <c r="M1429" s="208"/>
      <c r="N1429" s="208"/>
      <c r="O1429" s="208"/>
      <c r="P1429" s="208"/>
      <c r="Q1429" s="208"/>
      <c r="R1429" s="208"/>
      <c r="S1429" s="208"/>
      <c r="T1429" s="208"/>
      <c r="U1429" s="208"/>
      <c r="V1429" s="234"/>
      <c r="W1429" s="232"/>
      <c r="X1429" s="232"/>
      <c r="Y1429" s="232"/>
      <c r="Z1429" s="232"/>
      <c r="AA1429" s="232"/>
      <c r="AB1429" s="232"/>
      <c r="AC1429" s="232"/>
      <c r="AD1429" s="232"/>
      <c r="AE1429" s="232"/>
      <c r="AF1429" s="232"/>
      <c r="AG1429" s="208"/>
      <c r="AH1429" s="208"/>
      <c r="AI1429" s="208"/>
      <c r="AJ1429" s="208"/>
      <c r="AK1429" s="208"/>
    </row>
    <row r="1430">
      <c r="A1430" s="208"/>
      <c r="B1430" s="208"/>
      <c r="C1430" s="208"/>
      <c r="D1430" s="208"/>
      <c r="E1430" s="208"/>
      <c r="F1430" s="208"/>
      <c r="G1430" s="208"/>
      <c r="H1430" s="232"/>
      <c r="I1430" s="233"/>
      <c r="J1430" s="208"/>
      <c r="K1430" s="208"/>
      <c r="L1430" s="208"/>
      <c r="M1430" s="208"/>
      <c r="N1430" s="208"/>
      <c r="O1430" s="208"/>
      <c r="P1430" s="208"/>
      <c r="Q1430" s="208"/>
      <c r="R1430" s="208"/>
      <c r="S1430" s="208"/>
      <c r="T1430" s="208"/>
      <c r="U1430" s="208"/>
      <c r="V1430" s="234"/>
      <c r="W1430" s="232"/>
      <c r="X1430" s="232"/>
      <c r="Y1430" s="232"/>
      <c r="Z1430" s="232"/>
      <c r="AA1430" s="232"/>
      <c r="AB1430" s="232"/>
      <c r="AC1430" s="232"/>
      <c r="AD1430" s="232"/>
      <c r="AE1430" s="232"/>
      <c r="AF1430" s="232"/>
      <c r="AG1430" s="208"/>
      <c r="AH1430" s="208"/>
      <c r="AI1430" s="208"/>
      <c r="AJ1430" s="208"/>
      <c r="AK1430" s="208"/>
    </row>
    <row r="1431">
      <c r="A1431" s="208"/>
      <c r="B1431" s="208"/>
      <c r="C1431" s="208"/>
      <c r="D1431" s="208"/>
      <c r="E1431" s="208"/>
      <c r="F1431" s="208"/>
      <c r="G1431" s="208"/>
      <c r="H1431" s="232"/>
      <c r="I1431" s="233"/>
      <c r="J1431" s="208"/>
      <c r="K1431" s="208"/>
      <c r="L1431" s="208"/>
      <c r="M1431" s="208"/>
      <c r="N1431" s="208"/>
      <c r="O1431" s="208"/>
      <c r="P1431" s="208"/>
      <c r="Q1431" s="208"/>
      <c r="R1431" s="208"/>
      <c r="S1431" s="208"/>
      <c r="T1431" s="208"/>
      <c r="U1431" s="208"/>
      <c r="V1431" s="234"/>
      <c r="W1431" s="232"/>
      <c r="X1431" s="232"/>
      <c r="Y1431" s="232"/>
      <c r="Z1431" s="232"/>
      <c r="AA1431" s="232"/>
      <c r="AB1431" s="232"/>
      <c r="AC1431" s="232"/>
      <c r="AD1431" s="232"/>
      <c r="AE1431" s="232"/>
      <c r="AF1431" s="232"/>
      <c r="AG1431" s="208"/>
      <c r="AH1431" s="208"/>
      <c r="AI1431" s="208"/>
      <c r="AJ1431" s="208"/>
      <c r="AK1431" s="208"/>
    </row>
    <row r="1432">
      <c r="A1432" s="208"/>
      <c r="B1432" s="208"/>
      <c r="C1432" s="208"/>
      <c r="D1432" s="208"/>
      <c r="E1432" s="208"/>
      <c r="F1432" s="208"/>
      <c r="G1432" s="208"/>
      <c r="H1432" s="232"/>
      <c r="I1432" s="233"/>
      <c r="J1432" s="208"/>
      <c r="K1432" s="208"/>
      <c r="L1432" s="208"/>
      <c r="M1432" s="208"/>
      <c r="N1432" s="208"/>
      <c r="O1432" s="208"/>
      <c r="P1432" s="208"/>
      <c r="Q1432" s="208"/>
      <c r="R1432" s="208"/>
      <c r="S1432" s="208"/>
      <c r="T1432" s="208"/>
      <c r="U1432" s="208"/>
      <c r="V1432" s="234"/>
      <c r="W1432" s="232"/>
      <c r="X1432" s="232"/>
      <c r="Y1432" s="232"/>
      <c r="Z1432" s="232"/>
      <c r="AA1432" s="232"/>
      <c r="AB1432" s="232"/>
      <c r="AC1432" s="232"/>
      <c r="AD1432" s="232"/>
      <c r="AE1432" s="232"/>
      <c r="AF1432" s="232"/>
      <c r="AG1432" s="208"/>
      <c r="AH1432" s="208"/>
      <c r="AI1432" s="208"/>
      <c r="AJ1432" s="208"/>
      <c r="AK1432" s="208"/>
    </row>
    <row r="1433">
      <c r="A1433" s="208"/>
      <c r="B1433" s="208"/>
      <c r="C1433" s="208"/>
      <c r="D1433" s="208"/>
      <c r="E1433" s="208"/>
      <c r="F1433" s="208"/>
      <c r="G1433" s="208"/>
      <c r="H1433" s="232"/>
      <c r="I1433" s="233"/>
      <c r="J1433" s="208"/>
      <c r="K1433" s="208"/>
      <c r="L1433" s="208"/>
      <c r="M1433" s="208"/>
      <c r="N1433" s="208"/>
      <c r="O1433" s="208"/>
      <c r="P1433" s="208"/>
      <c r="Q1433" s="208"/>
      <c r="R1433" s="208"/>
      <c r="S1433" s="208"/>
      <c r="T1433" s="208"/>
      <c r="U1433" s="208"/>
      <c r="V1433" s="234"/>
      <c r="W1433" s="232"/>
      <c r="X1433" s="232"/>
      <c r="Y1433" s="232"/>
      <c r="Z1433" s="232"/>
      <c r="AA1433" s="232"/>
      <c r="AB1433" s="232"/>
      <c r="AC1433" s="232"/>
      <c r="AD1433" s="232"/>
      <c r="AE1433" s="232"/>
      <c r="AF1433" s="232"/>
      <c r="AG1433" s="208"/>
      <c r="AH1433" s="208"/>
      <c r="AI1433" s="208"/>
      <c r="AJ1433" s="208"/>
      <c r="AK1433" s="208"/>
    </row>
    <row r="1434">
      <c r="A1434" s="208"/>
      <c r="B1434" s="208"/>
      <c r="C1434" s="208"/>
      <c r="D1434" s="208"/>
      <c r="E1434" s="208"/>
      <c r="F1434" s="208"/>
      <c r="G1434" s="208"/>
      <c r="H1434" s="232"/>
      <c r="I1434" s="233"/>
      <c r="J1434" s="208"/>
      <c r="K1434" s="208"/>
      <c r="L1434" s="208"/>
      <c r="M1434" s="208"/>
      <c r="N1434" s="208"/>
      <c r="O1434" s="208"/>
      <c r="P1434" s="208"/>
      <c r="Q1434" s="208"/>
      <c r="R1434" s="208"/>
      <c r="S1434" s="208"/>
      <c r="T1434" s="208"/>
      <c r="U1434" s="208"/>
      <c r="V1434" s="234"/>
      <c r="W1434" s="232"/>
      <c r="X1434" s="232"/>
      <c r="Y1434" s="232"/>
      <c r="Z1434" s="232"/>
      <c r="AA1434" s="232"/>
      <c r="AB1434" s="232"/>
      <c r="AC1434" s="232"/>
      <c r="AD1434" s="232"/>
      <c r="AE1434" s="232"/>
      <c r="AF1434" s="232"/>
      <c r="AG1434" s="208"/>
      <c r="AH1434" s="208"/>
      <c r="AI1434" s="208"/>
      <c r="AJ1434" s="208"/>
      <c r="AK1434" s="208"/>
    </row>
    <row r="1435">
      <c r="A1435" s="208"/>
      <c r="B1435" s="208"/>
      <c r="C1435" s="208"/>
      <c r="D1435" s="208"/>
      <c r="E1435" s="208"/>
      <c r="F1435" s="208"/>
      <c r="G1435" s="208"/>
      <c r="H1435" s="232"/>
      <c r="I1435" s="233"/>
      <c r="J1435" s="208"/>
      <c r="K1435" s="208"/>
      <c r="L1435" s="208"/>
      <c r="M1435" s="208"/>
      <c r="N1435" s="208"/>
      <c r="O1435" s="208"/>
      <c r="P1435" s="208"/>
      <c r="Q1435" s="208"/>
      <c r="R1435" s="208"/>
      <c r="S1435" s="208"/>
      <c r="T1435" s="208"/>
      <c r="U1435" s="208"/>
      <c r="V1435" s="234"/>
      <c r="W1435" s="232"/>
      <c r="X1435" s="232"/>
      <c r="Y1435" s="232"/>
      <c r="Z1435" s="232"/>
      <c r="AA1435" s="232"/>
      <c r="AB1435" s="232"/>
      <c r="AC1435" s="232"/>
      <c r="AD1435" s="232"/>
      <c r="AE1435" s="232"/>
      <c r="AF1435" s="232"/>
      <c r="AG1435" s="208"/>
      <c r="AH1435" s="208"/>
      <c r="AI1435" s="208"/>
      <c r="AJ1435" s="208"/>
      <c r="AK1435" s="208"/>
    </row>
    <row r="1436">
      <c r="A1436" s="208"/>
      <c r="B1436" s="208"/>
      <c r="C1436" s="208"/>
      <c r="D1436" s="208"/>
      <c r="E1436" s="208"/>
      <c r="F1436" s="208"/>
      <c r="G1436" s="208"/>
      <c r="H1436" s="232"/>
      <c r="I1436" s="233"/>
      <c r="J1436" s="208"/>
      <c r="K1436" s="208"/>
      <c r="L1436" s="208"/>
      <c r="M1436" s="208"/>
      <c r="N1436" s="208"/>
      <c r="O1436" s="208"/>
      <c r="P1436" s="208"/>
      <c r="Q1436" s="208"/>
      <c r="R1436" s="208"/>
      <c r="S1436" s="208"/>
      <c r="T1436" s="208"/>
      <c r="U1436" s="208"/>
      <c r="V1436" s="234"/>
      <c r="W1436" s="232"/>
      <c r="X1436" s="232"/>
      <c r="Y1436" s="232"/>
      <c r="Z1436" s="232"/>
      <c r="AA1436" s="232"/>
      <c r="AB1436" s="232"/>
      <c r="AC1436" s="232"/>
      <c r="AD1436" s="232"/>
      <c r="AE1436" s="232"/>
      <c r="AF1436" s="232"/>
      <c r="AG1436" s="208"/>
      <c r="AH1436" s="208"/>
      <c r="AI1436" s="208"/>
      <c r="AJ1436" s="208"/>
      <c r="AK1436" s="208"/>
    </row>
    <row r="1437">
      <c r="A1437" s="208"/>
      <c r="B1437" s="208"/>
      <c r="C1437" s="208"/>
      <c r="D1437" s="208"/>
      <c r="E1437" s="208"/>
      <c r="F1437" s="208"/>
      <c r="G1437" s="208"/>
      <c r="H1437" s="232"/>
      <c r="I1437" s="233"/>
      <c r="J1437" s="208"/>
      <c r="K1437" s="208"/>
      <c r="L1437" s="208"/>
      <c r="M1437" s="208"/>
      <c r="N1437" s="208"/>
      <c r="O1437" s="208"/>
      <c r="P1437" s="208"/>
      <c r="Q1437" s="208"/>
      <c r="R1437" s="208"/>
      <c r="S1437" s="208"/>
      <c r="T1437" s="208"/>
      <c r="U1437" s="208"/>
      <c r="V1437" s="234"/>
      <c r="W1437" s="232"/>
      <c r="X1437" s="232"/>
      <c r="Y1437" s="232"/>
      <c r="Z1437" s="232"/>
      <c r="AA1437" s="232"/>
      <c r="AB1437" s="232"/>
      <c r="AC1437" s="232"/>
      <c r="AD1437" s="232"/>
      <c r="AE1437" s="232"/>
      <c r="AF1437" s="232"/>
      <c r="AG1437" s="208"/>
      <c r="AH1437" s="208"/>
      <c r="AI1437" s="208"/>
      <c r="AJ1437" s="208"/>
      <c r="AK1437" s="208"/>
    </row>
    <row r="1438">
      <c r="A1438" s="208"/>
      <c r="B1438" s="208"/>
      <c r="C1438" s="208"/>
      <c r="D1438" s="208"/>
      <c r="E1438" s="208"/>
      <c r="F1438" s="208"/>
      <c r="G1438" s="208"/>
      <c r="H1438" s="232"/>
      <c r="I1438" s="233"/>
      <c r="J1438" s="208"/>
      <c r="K1438" s="208"/>
      <c r="L1438" s="208"/>
      <c r="M1438" s="208"/>
      <c r="N1438" s="208"/>
      <c r="O1438" s="208"/>
      <c r="P1438" s="208"/>
      <c r="Q1438" s="208"/>
      <c r="R1438" s="208"/>
      <c r="S1438" s="208"/>
      <c r="T1438" s="208"/>
      <c r="U1438" s="208"/>
      <c r="V1438" s="234"/>
      <c r="W1438" s="232"/>
      <c r="X1438" s="232"/>
      <c r="Y1438" s="232"/>
      <c r="Z1438" s="232"/>
      <c r="AA1438" s="232"/>
      <c r="AB1438" s="232"/>
      <c r="AC1438" s="232"/>
      <c r="AD1438" s="232"/>
      <c r="AE1438" s="232"/>
      <c r="AF1438" s="232"/>
      <c r="AG1438" s="208"/>
      <c r="AH1438" s="208"/>
      <c r="AI1438" s="208"/>
      <c r="AJ1438" s="208"/>
      <c r="AK1438" s="208"/>
    </row>
    <row r="1439">
      <c r="A1439" s="208"/>
      <c r="B1439" s="208"/>
      <c r="C1439" s="208"/>
      <c r="D1439" s="208"/>
      <c r="E1439" s="208"/>
      <c r="F1439" s="208"/>
      <c r="G1439" s="208"/>
      <c r="H1439" s="232"/>
      <c r="I1439" s="233"/>
      <c r="J1439" s="208"/>
      <c r="K1439" s="208"/>
      <c r="L1439" s="208"/>
      <c r="M1439" s="208"/>
      <c r="N1439" s="208"/>
      <c r="O1439" s="208"/>
      <c r="P1439" s="208"/>
      <c r="Q1439" s="208"/>
      <c r="R1439" s="208"/>
      <c r="S1439" s="208"/>
      <c r="T1439" s="208"/>
      <c r="U1439" s="208"/>
      <c r="V1439" s="234"/>
      <c r="W1439" s="232"/>
      <c r="X1439" s="232"/>
      <c r="Y1439" s="232"/>
      <c r="Z1439" s="232"/>
      <c r="AA1439" s="232"/>
      <c r="AB1439" s="232"/>
      <c r="AC1439" s="232"/>
      <c r="AD1439" s="232"/>
      <c r="AE1439" s="232"/>
      <c r="AF1439" s="232"/>
      <c r="AG1439" s="208"/>
      <c r="AH1439" s="208"/>
      <c r="AI1439" s="208"/>
      <c r="AJ1439" s="208"/>
      <c r="AK1439" s="208"/>
    </row>
    <row r="1440">
      <c r="A1440" s="208"/>
      <c r="B1440" s="208"/>
      <c r="C1440" s="208"/>
      <c r="D1440" s="208"/>
      <c r="E1440" s="208"/>
      <c r="F1440" s="208"/>
      <c r="G1440" s="208"/>
      <c r="H1440" s="232"/>
      <c r="I1440" s="233"/>
      <c r="J1440" s="208"/>
      <c r="K1440" s="208"/>
      <c r="L1440" s="208"/>
      <c r="M1440" s="208"/>
      <c r="N1440" s="208"/>
      <c r="O1440" s="208"/>
      <c r="P1440" s="208"/>
      <c r="Q1440" s="208"/>
      <c r="R1440" s="208"/>
      <c r="S1440" s="208"/>
      <c r="T1440" s="208"/>
      <c r="U1440" s="208"/>
      <c r="V1440" s="234"/>
      <c r="W1440" s="232"/>
      <c r="X1440" s="232"/>
      <c r="Y1440" s="232"/>
      <c r="Z1440" s="232"/>
      <c r="AA1440" s="232"/>
      <c r="AB1440" s="232"/>
      <c r="AC1440" s="232"/>
      <c r="AD1440" s="232"/>
      <c r="AE1440" s="232"/>
      <c r="AF1440" s="232"/>
      <c r="AG1440" s="208"/>
      <c r="AH1440" s="208"/>
      <c r="AI1440" s="208"/>
      <c r="AJ1440" s="208"/>
      <c r="AK1440" s="208"/>
    </row>
    <row r="1441">
      <c r="A1441" s="208"/>
      <c r="B1441" s="208"/>
      <c r="C1441" s="208"/>
      <c r="D1441" s="208"/>
      <c r="E1441" s="208"/>
      <c r="F1441" s="208"/>
      <c r="G1441" s="208"/>
      <c r="H1441" s="232"/>
      <c r="I1441" s="233"/>
      <c r="J1441" s="208"/>
      <c r="K1441" s="208"/>
      <c r="L1441" s="208"/>
      <c r="M1441" s="208"/>
      <c r="N1441" s="208"/>
      <c r="O1441" s="208"/>
      <c r="P1441" s="208"/>
      <c r="Q1441" s="208"/>
      <c r="R1441" s="208"/>
      <c r="S1441" s="208"/>
      <c r="T1441" s="208"/>
      <c r="U1441" s="208"/>
      <c r="V1441" s="234"/>
      <c r="W1441" s="232"/>
      <c r="X1441" s="232"/>
      <c r="Y1441" s="232"/>
      <c r="Z1441" s="232"/>
      <c r="AA1441" s="232"/>
      <c r="AB1441" s="232"/>
      <c r="AC1441" s="232"/>
      <c r="AD1441" s="232"/>
      <c r="AE1441" s="232"/>
      <c r="AF1441" s="232"/>
      <c r="AG1441" s="208"/>
      <c r="AH1441" s="208"/>
      <c r="AI1441" s="208"/>
      <c r="AJ1441" s="208"/>
      <c r="AK1441" s="208"/>
    </row>
    <row r="1442">
      <c r="A1442" s="208"/>
      <c r="B1442" s="208"/>
      <c r="C1442" s="208"/>
      <c r="D1442" s="208"/>
      <c r="E1442" s="208"/>
      <c r="F1442" s="208"/>
      <c r="G1442" s="208"/>
      <c r="H1442" s="232"/>
      <c r="I1442" s="233"/>
      <c r="J1442" s="208"/>
      <c r="K1442" s="208"/>
      <c r="L1442" s="208"/>
      <c r="M1442" s="208"/>
      <c r="N1442" s="208"/>
      <c r="O1442" s="208"/>
      <c r="P1442" s="208"/>
      <c r="Q1442" s="208"/>
      <c r="R1442" s="208"/>
      <c r="S1442" s="208"/>
      <c r="T1442" s="208"/>
      <c r="U1442" s="208"/>
      <c r="V1442" s="234"/>
      <c r="W1442" s="232"/>
      <c r="X1442" s="232"/>
      <c r="Y1442" s="232"/>
      <c r="Z1442" s="232"/>
      <c r="AA1442" s="232"/>
      <c r="AB1442" s="232"/>
      <c r="AC1442" s="232"/>
      <c r="AD1442" s="232"/>
      <c r="AE1442" s="232"/>
      <c r="AF1442" s="232"/>
      <c r="AG1442" s="208"/>
      <c r="AH1442" s="208"/>
      <c r="AI1442" s="208"/>
      <c r="AJ1442" s="208"/>
      <c r="AK1442" s="208"/>
    </row>
    <row r="1443">
      <c r="A1443" s="208"/>
      <c r="B1443" s="208"/>
      <c r="C1443" s="208"/>
      <c r="D1443" s="208"/>
      <c r="E1443" s="208"/>
      <c r="F1443" s="208"/>
      <c r="G1443" s="208"/>
      <c r="H1443" s="232"/>
      <c r="I1443" s="233"/>
      <c r="J1443" s="208"/>
      <c r="K1443" s="208"/>
      <c r="L1443" s="208"/>
      <c r="M1443" s="208"/>
      <c r="N1443" s="208"/>
      <c r="O1443" s="208"/>
      <c r="P1443" s="208"/>
      <c r="Q1443" s="208"/>
      <c r="R1443" s="208"/>
      <c r="S1443" s="208"/>
      <c r="T1443" s="208"/>
      <c r="U1443" s="208"/>
      <c r="V1443" s="234"/>
      <c r="W1443" s="232"/>
      <c r="X1443" s="232"/>
      <c r="Y1443" s="232"/>
      <c r="Z1443" s="232"/>
      <c r="AA1443" s="232"/>
      <c r="AB1443" s="232"/>
      <c r="AC1443" s="232"/>
      <c r="AD1443" s="232"/>
      <c r="AE1443" s="232"/>
      <c r="AF1443" s="232"/>
      <c r="AG1443" s="208"/>
      <c r="AH1443" s="208"/>
      <c r="AI1443" s="208"/>
      <c r="AJ1443" s="208"/>
      <c r="AK1443" s="208"/>
    </row>
    <row r="1444">
      <c r="A1444" s="208"/>
      <c r="B1444" s="208"/>
      <c r="C1444" s="208"/>
      <c r="D1444" s="208"/>
      <c r="E1444" s="208"/>
      <c r="F1444" s="208"/>
      <c r="G1444" s="208"/>
      <c r="H1444" s="232"/>
      <c r="I1444" s="233"/>
      <c r="J1444" s="208"/>
      <c r="K1444" s="208"/>
      <c r="L1444" s="208"/>
      <c r="M1444" s="208"/>
      <c r="N1444" s="208"/>
      <c r="O1444" s="208"/>
      <c r="P1444" s="208"/>
      <c r="Q1444" s="208"/>
      <c r="R1444" s="208"/>
      <c r="S1444" s="208"/>
      <c r="T1444" s="208"/>
      <c r="U1444" s="208"/>
      <c r="V1444" s="234"/>
      <c r="W1444" s="232"/>
      <c r="X1444" s="232"/>
      <c r="Y1444" s="232"/>
      <c r="Z1444" s="232"/>
      <c r="AA1444" s="232"/>
      <c r="AB1444" s="232"/>
      <c r="AC1444" s="232"/>
      <c r="AD1444" s="232"/>
      <c r="AE1444" s="232"/>
      <c r="AF1444" s="232"/>
      <c r="AG1444" s="208"/>
      <c r="AH1444" s="208"/>
      <c r="AI1444" s="208"/>
      <c r="AJ1444" s="208"/>
      <c r="AK1444" s="208"/>
    </row>
    <row r="1445">
      <c r="A1445" s="208"/>
      <c r="B1445" s="208"/>
      <c r="C1445" s="208"/>
      <c r="D1445" s="208"/>
      <c r="E1445" s="208"/>
      <c r="F1445" s="208"/>
      <c r="G1445" s="208"/>
      <c r="H1445" s="232"/>
      <c r="I1445" s="233"/>
      <c r="J1445" s="208"/>
      <c r="K1445" s="208"/>
      <c r="L1445" s="208"/>
      <c r="M1445" s="208"/>
      <c r="N1445" s="208"/>
      <c r="O1445" s="208"/>
      <c r="P1445" s="208"/>
      <c r="Q1445" s="208"/>
      <c r="R1445" s="208"/>
      <c r="S1445" s="208"/>
      <c r="T1445" s="208"/>
      <c r="U1445" s="208"/>
      <c r="V1445" s="234"/>
      <c r="W1445" s="232"/>
      <c r="X1445" s="232"/>
      <c r="Y1445" s="232"/>
      <c r="Z1445" s="232"/>
      <c r="AA1445" s="232"/>
      <c r="AB1445" s="232"/>
      <c r="AC1445" s="232"/>
      <c r="AD1445" s="232"/>
      <c r="AE1445" s="232"/>
      <c r="AF1445" s="232"/>
      <c r="AG1445" s="208"/>
      <c r="AH1445" s="208"/>
      <c r="AI1445" s="208"/>
      <c r="AJ1445" s="208"/>
      <c r="AK1445" s="208"/>
    </row>
    <row r="1446">
      <c r="A1446" s="208"/>
      <c r="B1446" s="208"/>
      <c r="C1446" s="208"/>
      <c r="D1446" s="208"/>
      <c r="E1446" s="208"/>
      <c r="F1446" s="208"/>
      <c r="G1446" s="208"/>
      <c r="H1446" s="232"/>
      <c r="I1446" s="233"/>
      <c r="J1446" s="208"/>
      <c r="K1446" s="208"/>
      <c r="L1446" s="208"/>
      <c r="M1446" s="208"/>
      <c r="N1446" s="208"/>
      <c r="O1446" s="208"/>
      <c r="P1446" s="208"/>
      <c r="Q1446" s="208"/>
      <c r="R1446" s="208"/>
      <c r="S1446" s="208"/>
      <c r="T1446" s="208"/>
      <c r="U1446" s="208"/>
      <c r="V1446" s="234"/>
      <c r="W1446" s="232"/>
      <c r="X1446" s="232"/>
      <c r="Y1446" s="232"/>
      <c r="Z1446" s="232"/>
      <c r="AA1446" s="232"/>
      <c r="AB1446" s="232"/>
      <c r="AC1446" s="232"/>
      <c r="AD1446" s="232"/>
      <c r="AE1446" s="232"/>
      <c r="AF1446" s="232"/>
      <c r="AG1446" s="208"/>
      <c r="AH1446" s="208"/>
      <c r="AI1446" s="208"/>
      <c r="AJ1446" s="208"/>
      <c r="AK1446" s="208"/>
    </row>
    <row r="1447">
      <c r="A1447" s="208"/>
      <c r="B1447" s="208"/>
      <c r="C1447" s="208"/>
      <c r="D1447" s="208"/>
      <c r="E1447" s="208"/>
      <c r="F1447" s="208"/>
      <c r="G1447" s="208"/>
      <c r="H1447" s="232"/>
      <c r="I1447" s="233"/>
      <c r="J1447" s="208"/>
      <c r="K1447" s="208"/>
      <c r="L1447" s="208"/>
      <c r="M1447" s="208"/>
      <c r="N1447" s="208"/>
      <c r="O1447" s="208"/>
      <c r="P1447" s="208"/>
      <c r="Q1447" s="208"/>
      <c r="R1447" s="208"/>
      <c r="S1447" s="208"/>
      <c r="T1447" s="208"/>
      <c r="U1447" s="208"/>
      <c r="V1447" s="234"/>
      <c r="W1447" s="232"/>
      <c r="X1447" s="232"/>
      <c r="Y1447" s="232"/>
      <c r="Z1447" s="232"/>
      <c r="AA1447" s="232"/>
      <c r="AB1447" s="232"/>
      <c r="AC1447" s="232"/>
      <c r="AD1447" s="232"/>
      <c r="AE1447" s="232"/>
      <c r="AF1447" s="232"/>
      <c r="AG1447" s="208"/>
      <c r="AH1447" s="208"/>
      <c r="AI1447" s="208"/>
      <c r="AJ1447" s="208"/>
      <c r="AK1447" s="208"/>
    </row>
    <row r="1448">
      <c r="A1448" s="208"/>
      <c r="B1448" s="208"/>
      <c r="C1448" s="208"/>
      <c r="D1448" s="208"/>
      <c r="E1448" s="208"/>
      <c r="F1448" s="208"/>
      <c r="G1448" s="208"/>
      <c r="H1448" s="232"/>
      <c r="I1448" s="233"/>
      <c r="J1448" s="208"/>
      <c r="K1448" s="208"/>
      <c r="L1448" s="208"/>
      <c r="M1448" s="208"/>
      <c r="N1448" s="208"/>
      <c r="O1448" s="208"/>
      <c r="P1448" s="208"/>
      <c r="Q1448" s="208"/>
      <c r="R1448" s="208"/>
      <c r="S1448" s="208"/>
      <c r="T1448" s="208"/>
      <c r="U1448" s="208"/>
      <c r="V1448" s="234"/>
      <c r="W1448" s="232"/>
      <c r="X1448" s="232"/>
      <c r="Y1448" s="232"/>
      <c r="Z1448" s="232"/>
      <c r="AA1448" s="232"/>
      <c r="AB1448" s="232"/>
      <c r="AC1448" s="232"/>
      <c r="AD1448" s="232"/>
      <c r="AE1448" s="232"/>
      <c r="AF1448" s="232"/>
      <c r="AG1448" s="208"/>
      <c r="AH1448" s="208"/>
      <c r="AI1448" s="208"/>
      <c r="AJ1448" s="208"/>
      <c r="AK1448" s="208"/>
    </row>
    <row r="1449">
      <c r="A1449" s="208"/>
      <c r="B1449" s="208"/>
      <c r="C1449" s="208"/>
      <c r="D1449" s="208"/>
      <c r="E1449" s="208"/>
      <c r="F1449" s="208"/>
      <c r="G1449" s="208"/>
      <c r="H1449" s="232"/>
      <c r="I1449" s="233"/>
      <c r="J1449" s="208"/>
      <c r="K1449" s="208"/>
      <c r="L1449" s="208"/>
      <c r="M1449" s="208"/>
      <c r="N1449" s="208"/>
      <c r="O1449" s="208"/>
      <c r="P1449" s="208"/>
      <c r="Q1449" s="208"/>
      <c r="R1449" s="208"/>
      <c r="S1449" s="208"/>
      <c r="T1449" s="208"/>
      <c r="U1449" s="208"/>
      <c r="V1449" s="234"/>
      <c r="W1449" s="232"/>
      <c r="X1449" s="232"/>
      <c r="Y1449" s="232"/>
      <c r="Z1449" s="232"/>
      <c r="AA1449" s="232"/>
      <c r="AB1449" s="232"/>
      <c r="AC1449" s="232"/>
      <c r="AD1449" s="232"/>
      <c r="AE1449" s="232"/>
      <c r="AF1449" s="232"/>
      <c r="AG1449" s="208"/>
      <c r="AH1449" s="208"/>
      <c r="AI1449" s="208"/>
      <c r="AJ1449" s="208"/>
      <c r="AK1449" s="208"/>
    </row>
    <row r="1450">
      <c r="A1450" s="208"/>
      <c r="B1450" s="208"/>
      <c r="C1450" s="208"/>
      <c r="D1450" s="208"/>
      <c r="E1450" s="208"/>
      <c r="F1450" s="208"/>
      <c r="G1450" s="208"/>
      <c r="H1450" s="232"/>
      <c r="I1450" s="233"/>
      <c r="J1450" s="208"/>
      <c r="K1450" s="208"/>
      <c r="L1450" s="208"/>
      <c r="M1450" s="208"/>
      <c r="N1450" s="208"/>
      <c r="O1450" s="208"/>
      <c r="P1450" s="208"/>
      <c r="Q1450" s="208"/>
      <c r="R1450" s="208"/>
      <c r="S1450" s="208"/>
      <c r="T1450" s="208"/>
      <c r="U1450" s="208"/>
      <c r="V1450" s="234"/>
      <c r="W1450" s="232"/>
      <c r="X1450" s="232"/>
      <c r="Y1450" s="232"/>
      <c r="Z1450" s="232"/>
      <c r="AA1450" s="232"/>
      <c r="AB1450" s="232"/>
      <c r="AC1450" s="232"/>
      <c r="AD1450" s="232"/>
      <c r="AE1450" s="232"/>
      <c r="AF1450" s="232"/>
      <c r="AG1450" s="208"/>
      <c r="AH1450" s="208"/>
      <c r="AI1450" s="208"/>
      <c r="AJ1450" s="208"/>
      <c r="AK1450" s="208"/>
    </row>
    <row r="1451">
      <c r="A1451" s="208"/>
      <c r="B1451" s="208"/>
      <c r="C1451" s="208"/>
      <c r="D1451" s="208"/>
      <c r="E1451" s="208"/>
      <c r="F1451" s="208"/>
      <c r="G1451" s="208"/>
      <c r="H1451" s="232"/>
      <c r="I1451" s="233"/>
      <c r="J1451" s="208"/>
      <c r="K1451" s="208"/>
      <c r="L1451" s="208"/>
      <c r="M1451" s="208"/>
      <c r="N1451" s="208"/>
      <c r="O1451" s="208"/>
      <c r="P1451" s="208"/>
      <c r="Q1451" s="208"/>
      <c r="R1451" s="208"/>
      <c r="S1451" s="208"/>
      <c r="T1451" s="208"/>
      <c r="U1451" s="208"/>
      <c r="V1451" s="234"/>
      <c r="W1451" s="232"/>
      <c r="X1451" s="232"/>
      <c r="Y1451" s="232"/>
      <c r="Z1451" s="232"/>
      <c r="AA1451" s="232"/>
      <c r="AB1451" s="232"/>
      <c r="AC1451" s="232"/>
      <c r="AD1451" s="232"/>
      <c r="AE1451" s="232"/>
      <c r="AF1451" s="232"/>
      <c r="AG1451" s="208"/>
      <c r="AH1451" s="208"/>
      <c r="AI1451" s="208"/>
      <c r="AJ1451" s="208"/>
      <c r="AK1451" s="208"/>
    </row>
    <row r="1452">
      <c r="A1452" s="208"/>
      <c r="B1452" s="208"/>
      <c r="C1452" s="208"/>
      <c r="D1452" s="208"/>
      <c r="E1452" s="208"/>
      <c r="F1452" s="208"/>
      <c r="G1452" s="208"/>
      <c r="H1452" s="232"/>
      <c r="I1452" s="233"/>
      <c r="J1452" s="208"/>
      <c r="K1452" s="208"/>
      <c r="L1452" s="208"/>
      <c r="M1452" s="208"/>
      <c r="N1452" s="208"/>
      <c r="O1452" s="208"/>
      <c r="P1452" s="208"/>
      <c r="Q1452" s="208"/>
      <c r="R1452" s="208"/>
      <c r="S1452" s="208"/>
      <c r="T1452" s="208"/>
      <c r="U1452" s="208"/>
      <c r="V1452" s="234"/>
      <c r="W1452" s="232"/>
      <c r="X1452" s="232"/>
      <c r="Y1452" s="232"/>
      <c r="Z1452" s="232"/>
      <c r="AA1452" s="232"/>
      <c r="AB1452" s="232"/>
      <c r="AC1452" s="232"/>
      <c r="AD1452" s="232"/>
      <c r="AE1452" s="232"/>
      <c r="AF1452" s="232"/>
      <c r="AG1452" s="208"/>
      <c r="AH1452" s="208"/>
      <c r="AI1452" s="208"/>
      <c r="AJ1452" s="208"/>
      <c r="AK1452" s="208"/>
    </row>
    <row r="1453">
      <c r="A1453" s="208"/>
      <c r="B1453" s="208"/>
      <c r="C1453" s="208"/>
      <c r="D1453" s="208"/>
      <c r="E1453" s="208"/>
      <c r="F1453" s="208"/>
      <c r="G1453" s="208"/>
      <c r="H1453" s="232"/>
      <c r="I1453" s="233"/>
      <c r="J1453" s="208"/>
      <c r="K1453" s="208"/>
      <c r="L1453" s="208"/>
      <c r="M1453" s="208"/>
      <c r="N1453" s="208"/>
      <c r="O1453" s="208"/>
      <c r="P1453" s="208"/>
      <c r="Q1453" s="208"/>
      <c r="R1453" s="208"/>
      <c r="S1453" s="208"/>
      <c r="T1453" s="208"/>
      <c r="U1453" s="208"/>
      <c r="V1453" s="234"/>
      <c r="W1453" s="232"/>
      <c r="X1453" s="232"/>
      <c r="Y1453" s="232"/>
      <c r="Z1453" s="232"/>
      <c r="AA1453" s="232"/>
      <c r="AB1453" s="232"/>
      <c r="AC1453" s="232"/>
      <c r="AD1453" s="232"/>
      <c r="AE1453" s="232"/>
      <c r="AF1453" s="232"/>
      <c r="AG1453" s="208"/>
      <c r="AH1453" s="208"/>
      <c r="AI1453" s="208"/>
      <c r="AJ1453" s="208"/>
      <c r="AK1453" s="208"/>
    </row>
    <row r="1454">
      <c r="A1454" s="208"/>
      <c r="B1454" s="208"/>
      <c r="C1454" s="208"/>
      <c r="D1454" s="208"/>
      <c r="E1454" s="208"/>
      <c r="F1454" s="208"/>
      <c r="G1454" s="208"/>
      <c r="H1454" s="232"/>
      <c r="I1454" s="233"/>
      <c r="J1454" s="208"/>
      <c r="K1454" s="208"/>
      <c r="L1454" s="208"/>
      <c r="M1454" s="208"/>
      <c r="N1454" s="208"/>
      <c r="O1454" s="208"/>
      <c r="P1454" s="208"/>
      <c r="Q1454" s="208"/>
      <c r="R1454" s="208"/>
      <c r="S1454" s="208"/>
      <c r="T1454" s="208"/>
      <c r="U1454" s="208"/>
      <c r="V1454" s="234"/>
      <c r="W1454" s="232"/>
      <c r="X1454" s="232"/>
      <c r="Y1454" s="232"/>
      <c r="Z1454" s="232"/>
      <c r="AA1454" s="232"/>
      <c r="AB1454" s="232"/>
      <c r="AC1454" s="232"/>
      <c r="AD1454" s="232"/>
      <c r="AE1454" s="232"/>
      <c r="AF1454" s="232"/>
      <c r="AG1454" s="208"/>
      <c r="AH1454" s="208"/>
      <c r="AI1454" s="208"/>
      <c r="AJ1454" s="208"/>
      <c r="AK1454" s="208"/>
    </row>
    <row r="1455">
      <c r="A1455" s="208"/>
      <c r="B1455" s="208"/>
      <c r="C1455" s="208"/>
      <c r="D1455" s="208"/>
      <c r="E1455" s="208"/>
      <c r="F1455" s="208"/>
      <c r="G1455" s="208"/>
      <c r="H1455" s="232"/>
      <c r="I1455" s="233"/>
      <c r="J1455" s="208"/>
      <c r="K1455" s="208"/>
      <c r="L1455" s="208"/>
      <c r="M1455" s="208"/>
      <c r="N1455" s="208"/>
      <c r="O1455" s="208"/>
      <c r="P1455" s="208"/>
      <c r="Q1455" s="208"/>
      <c r="R1455" s="208"/>
      <c r="S1455" s="208"/>
      <c r="T1455" s="208"/>
      <c r="U1455" s="208"/>
      <c r="V1455" s="234"/>
      <c r="W1455" s="232"/>
      <c r="X1455" s="232"/>
      <c r="Y1455" s="232"/>
      <c r="Z1455" s="232"/>
      <c r="AA1455" s="232"/>
      <c r="AB1455" s="232"/>
      <c r="AC1455" s="232"/>
      <c r="AD1455" s="232"/>
      <c r="AE1455" s="232"/>
      <c r="AF1455" s="232"/>
      <c r="AG1455" s="208"/>
      <c r="AH1455" s="208"/>
      <c r="AI1455" s="208"/>
      <c r="AJ1455" s="208"/>
      <c r="AK1455" s="208"/>
    </row>
    <row r="1456">
      <c r="A1456" s="208"/>
      <c r="B1456" s="208"/>
      <c r="C1456" s="208"/>
      <c r="D1456" s="208"/>
      <c r="E1456" s="208"/>
      <c r="F1456" s="208"/>
      <c r="G1456" s="208"/>
      <c r="H1456" s="232"/>
      <c r="I1456" s="233"/>
      <c r="J1456" s="208"/>
      <c r="K1456" s="208"/>
      <c r="L1456" s="208"/>
      <c r="M1456" s="208"/>
      <c r="N1456" s="208"/>
      <c r="O1456" s="208"/>
      <c r="P1456" s="208"/>
      <c r="Q1456" s="208"/>
      <c r="R1456" s="208"/>
      <c r="S1456" s="208"/>
      <c r="T1456" s="208"/>
      <c r="U1456" s="208"/>
      <c r="V1456" s="234"/>
      <c r="W1456" s="232"/>
      <c r="X1456" s="232"/>
      <c r="Y1456" s="232"/>
      <c r="Z1456" s="232"/>
      <c r="AA1456" s="232"/>
      <c r="AB1456" s="232"/>
      <c r="AC1456" s="232"/>
      <c r="AD1456" s="232"/>
      <c r="AE1456" s="232"/>
      <c r="AF1456" s="232"/>
      <c r="AG1456" s="208"/>
      <c r="AH1456" s="208"/>
      <c r="AI1456" s="208"/>
      <c r="AJ1456" s="208"/>
      <c r="AK1456" s="208"/>
    </row>
    <row r="1457">
      <c r="A1457" s="208"/>
      <c r="B1457" s="208"/>
      <c r="C1457" s="208"/>
      <c r="D1457" s="208"/>
      <c r="E1457" s="208"/>
      <c r="F1457" s="208"/>
      <c r="G1457" s="208"/>
      <c r="H1457" s="232"/>
      <c r="I1457" s="233"/>
      <c r="J1457" s="208"/>
      <c r="K1457" s="208"/>
      <c r="L1457" s="208"/>
      <c r="M1457" s="208"/>
      <c r="N1457" s="208"/>
      <c r="O1457" s="208"/>
      <c r="P1457" s="208"/>
      <c r="Q1457" s="208"/>
      <c r="R1457" s="208"/>
      <c r="S1457" s="208"/>
      <c r="T1457" s="208"/>
      <c r="U1457" s="208"/>
      <c r="V1457" s="234"/>
      <c r="W1457" s="232"/>
      <c r="X1457" s="232"/>
      <c r="Y1457" s="232"/>
      <c r="Z1457" s="232"/>
      <c r="AA1457" s="232"/>
      <c r="AB1457" s="232"/>
      <c r="AC1457" s="232"/>
      <c r="AD1457" s="232"/>
      <c r="AE1457" s="232"/>
      <c r="AF1457" s="232"/>
      <c r="AG1457" s="208"/>
      <c r="AH1457" s="208"/>
      <c r="AI1457" s="208"/>
      <c r="AJ1457" s="208"/>
      <c r="AK1457" s="208"/>
    </row>
    <row r="1458">
      <c r="A1458" s="208"/>
      <c r="B1458" s="208"/>
      <c r="C1458" s="208"/>
      <c r="D1458" s="208"/>
      <c r="E1458" s="208"/>
      <c r="F1458" s="208"/>
      <c r="G1458" s="208"/>
      <c r="H1458" s="232"/>
      <c r="I1458" s="233"/>
      <c r="J1458" s="208"/>
      <c r="K1458" s="208"/>
      <c r="L1458" s="208"/>
      <c r="M1458" s="208"/>
      <c r="N1458" s="208"/>
      <c r="O1458" s="208"/>
      <c r="P1458" s="208"/>
      <c r="Q1458" s="208"/>
      <c r="R1458" s="208"/>
      <c r="S1458" s="208"/>
      <c r="T1458" s="208"/>
      <c r="U1458" s="208"/>
      <c r="V1458" s="234"/>
      <c r="W1458" s="232"/>
      <c r="X1458" s="232"/>
      <c r="Y1458" s="232"/>
      <c r="Z1458" s="232"/>
      <c r="AA1458" s="232"/>
      <c r="AB1458" s="232"/>
      <c r="AC1458" s="232"/>
      <c r="AD1458" s="232"/>
      <c r="AE1458" s="232"/>
      <c r="AF1458" s="232"/>
      <c r="AG1458" s="208"/>
      <c r="AH1458" s="208"/>
      <c r="AI1458" s="208"/>
      <c r="AJ1458" s="208"/>
      <c r="AK1458" s="208"/>
    </row>
    <row r="1459">
      <c r="A1459" s="208"/>
      <c r="B1459" s="208"/>
      <c r="C1459" s="208"/>
      <c r="D1459" s="208"/>
      <c r="E1459" s="208"/>
      <c r="F1459" s="208"/>
      <c r="G1459" s="208"/>
      <c r="H1459" s="232"/>
      <c r="I1459" s="233"/>
      <c r="J1459" s="208"/>
      <c r="K1459" s="208"/>
      <c r="L1459" s="208"/>
      <c r="M1459" s="208"/>
      <c r="N1459" s="208"/>
      <c r="O1459" s="208"/>
      <c r="P1459" s="208"/>
      <c r="Q1459" s="208"/>
      <c r="R1459" s="208"/>
      <c r="S1459" s="208"/>
      <c r="T1459" s="208"/>
      <c r="U1459" s="208"/>
      <c r="V1459" s="234"/>
      <c r="W1459" s="232"/>
      <c r="X1459" s="232"/>
      <c r="Y1459" s="232"/>
      <c r="Z1459" s="232"/>
      <c r="AA1459" s="232"/>
      <c r="AB1459" s="232"/>
      <c r="AC1459" s="232"/>
      <c r="AD1459" s="232"/>
      <c r="AE1459" s="232"/>
      <c r="AF1459" s="232"/>
      <c r="AG1459" s="208"/>
      <c r="AH1459" s="208"/>
      <c r="AI1459" s="208"/>
      <c r="AJ1459" s="208"/>
      <c r="AK1459" s="208"/>
    </row>
    <row r="1460">
      <c r="A1460" s="208"/>
      <c r="B1460" s="208"/>
      <c r="C1460" s="208"/>
      <c r="D1460" s="208"/>
      <c r="E1460" s="208"/>
      <c r="F1460" s="208"/>
      <c r="G1460" s="208"/>
      <c r="H1460" s="232"/>
      <c r="I1460" s="233"/>
      <c r="J1460" s="208"/>
      <c r="K1460" s="208"/>
      <c r="L1460" s="208"/>
      <c r="M1460" s="208"/>
      <c r="N1460" s="208"/>
      <c r="O1460" s="208"/>
      <c r="P1460" s="208"/>
      <c r="Q1460" s="208"/>
      <c r="R1460" s="208"/>
      <c r="S1460" s="208"/>
      <c r="T1460" s="208"/>
      <c r="U1460" s="208"/>
      <c r="V1460" s="234"/>
      <c r="W1460" s="232"/>
      <c r="X1460" s="232"/>
      <c r="Y1460" s="232"/>
      <c r="Z1460" s="232"/>
      <c r="AA1460" s="232"/>
      <c r="AB1460" s="232"/>
      <c r="AC1460" s="232"/>
      <c r="AD1460" s="232"/>
      <c r="AE1460" s="232"/>
      <c r="AF1460" s="232"/>
      <c r="AG1460" s="208"/>
      <c r="AH1460" s="208"/>
      <c r="AI1460" s="208"/>
      <c r="AJ1460" s="208"/>
      <c r="AK1460" s="208"/>
    </row>
    <row r="1461">
      <c r="A1461" s="208"/>
      <c r="B1461" s="208"/>
      <c r="C1461" s="208"/>
      <c r="D1461" s="208"/>
      <c r="E1461" s="208"/>
      <c r="F1461" s="208"/>
      <c r="G1461" s="208"/>
      <c r="H1461" s="232"/>
      <c r="I1461" s="233"/>
      <c r="J1461" s="208"/>
      <c r="K1461" s="208"/>
      <c r="L1461" s="208"/>
      <c r="M1461" s="208"/>
      <c r="N1461" s="208"/>
      <c r="O1461" s="208"/>
      <c r="P1461" s="208"/>
      <c r="Q1461" s="208"/>
      <c r="R1461" s="208"/>
      <c r="S1461" s="208"/>
      <c r="T1461" s="208"/>
      <c r="U1461" s="208"/>
      <c r="V1461" s="234"/>
      <c r="W1461" s="232"/>
      <c r="X1461" s="232"/>
      <c r="Y1461" s="232"/>
      <c r="Z1461" s="232"/>
      <c r="AA1461" s="232"/>
      <c r="AB1461" s="232"/>
      <c r="AC1461" s="232"/>
      <c r="AD1461" s="232"/>
      <c r="AE1461" s="232"/>
      <c r="AF1461" s="232"/>
      <c r="AG1461" s="208"/>
      <c r="AH1461" s="208"/>
      <c r="AI1461" s="208"/>
      <c r="AJ1461" s="208"/>
      <c r="AK1461" s="208"/>
    </row>
    <row r="1462">
      <c r="A1462" s="208"/>
      <c r="B1462" s="208"/>
      <c r="C1462" s="208"/>
      <c r="D1462" s="208"/>
      <c r="E1462" s="208"/>
      <c r="F1462" s="208"/>
      <c r="G1462" s="208"/>
      <c r="H1462" s="232"/>
      <c r="I1462" s="233"/>
      <c r="J1462" s="208"/>
      <c r="K1462" s="208"/>
      <c r="L1462" s="208"/>
      <c r="M1462" s="208"/>
      <c r="N1462" s="208"/>
      <c r="O1462" s="208"/>
      <c r="P1462" s="208"/>
      <c r="Q1462" s="208"/>
      <c r="R1462" s="208"/>
      <c r="S1462" s="208"/>
      <c r="T1462" s="208"/>
      <c r="U1462" s="208"/>
      <c r="V1462" s="234"/>
      <c r="W1462" s="232"/>
      <c r="X1462" s="232"/>
      <c r="Y1462" s="232"/>
      <c r="Z1462" s="232"/>
      <c r="AA1462" s="232"/>
      <c r="AB1462" s="232"/>
      <c r="AC1462" s="232"/>
      <c r="AD1462" s="232"/>
      <c r="AE1462" s="232"/>
      <c r="AF1462" s="232"/>
      <c r="AG1462" s="208"/>
      <c r="AH1462" s="208"/>
      <c r="AI1462" s="208"/>
      <c r="AJ1462" s="208"/>
      <c r="AK1462" s="208"/>
    </row>
    <row r="1463">
      <c r="A1463" s="208"/>
      <c r="B1463" s="208"/>
      <c r="C1463" s="208"/>
      <c r="D1463" s="208"/>
      <c r="E1463" s="208"/>
      <c r="F1463" s="208"/>
      <c r="G1463" s="208"/>
      <c r="H1463" s="232"/>
      <c r="I1463" s="233"/>
      <c r="J1463" s="208"/>
      <c r="K1463" s="208"/>
      <c r="L1463" s="208"/>
      <c r="M1463" s="208"/>
      <c r="N1463" s="208"/>
      <c r="O1463" s="208"/>
      <c r="P1463" s="208"/>
      <c r="Q1463" s="208"/>
      <c r="R1463" s="208"/>
      <c r="S1463" s="208"/>
      <c r="T1463" s="208"/>
      <c r="U1463" s="208"/>
      <c r="V1463" s="234"/>
      <c r="W1463" s="232"/>
      <c r="X1463" s="232"/>
      <c r="Y1463" s="232"/>
      <c r="Z1463" s="232"/>
      <c r="AA1463" s="232"/>
      <c r="AB1463" s="232"/>
      <c r="AC1463" s="232"/>
      <c r="AD1463" s="232"/>
      <c r="AE1463" s="232"/>
      <c r="AF1463" s="232"/>
      <c r="AG1463" s="208"/>
      <c r="AH1463" s="208"/>
      <c r="AI1463" s="208"/>
      <c r="AJ1463" s="208"/>
      <c r="AK1463" s="208"/>
    </row>
    <row r="1464">
      <c r="A1464" s="208"/>
      <c r="B1464" s="208"/>
      <c r="C1464" s="208"/>
      <c r="D1464" s="208"/>
      <c r="E1464" s="208"/>
      <c r="F1464" s="208"/>
      <c r="G1464" s="208"/>
      <c r="H1464" s="232"/>
      <c r="I1464" s="233"/>
      <c r="J1464" s="208"/>
      <c r="K1464" s="208"/>
      <c r="L1464" s="208"/>
      <c r="M1464" s="208"/>
      <c r="N1464" s="208"/>
      <c r="O1464" s="208"/>
      <c r="P1464" s="208"/>
      <c r="Q1464" s="208"/>
      <c r="R1464" s="208"/>
      <c r="S1464" s="208"/>
      <c r="T1464" s="208"/>
      <c r="U1464" s="208"/>
      <c r="V1464" s="234"/>
      <c r="W1464" s="232"/>
      <c r="X1464" s="232"/>
      <c r="Y1464" s="232"/>
      <c r="Z1464" s="232"/>
      <c r="AA1464" s="232"/>
      <c r="AB1464" s="232"/>
      <c r="AC1464" s="232"/>
      <c r="AD1464" s="232"/>
      <c r="AE1464" s="232"/>
      <c r="AF1464" s="232"/>
      <c r="AG1464" s="208"/>
      <c r="AH1464" s="208"/>
      <c r="AI1464" s="208"/>
      <c r="AJ1464" s="208"/>
      <c r="AK1464" s="208"/>
    </row>
    <row r="1465">
      <c r="A1465" s="208"/>
      <c r="B1465" s="208"/>
      <c r="C1465" s="208"/>
      <c r="D1465" s="208"/>
      <c r="E1465" s="208"/>
      <c r="F1465" s="208"/>
      <c r="G1465" s="208"/>
      <c r="H1465" s="232"/>
      <c r="I1465" s="233"/>
      <c r="J1465" s="208"/>
      <c r="K1465" s="208"/>
      <c r="L1465" s="208"/>
      <c r="M1465" s="208"/>
      <c r="N1465" s="208"/>
      <c r="O1465" s="208"/>
      <c r="P1465" s="208"/>
      <c r="Q1465" s="208"/>
      <c r="R1465" s="208"/>
      <c r="S1465" s="208"/>
      <c r="T1465" s="208"/>
      <c r="U1465" s="208"/>
      <c r="V1465" s="234"/>
      <c r="W1465" s="232"/>
      <c r="X1465" s="232"/>
      <c r="Y1465" s="232"/>
      <c r="Z1465" s="232"/>
      <c r="AA1465" s="232"/>
      <c r="AB1465" s="232"/>
      <c r="AC1465" s="232"/>
      <c r="AD1465" s="232"/>
      <c r="AE1465" s="232"/>
      <c r="AF1465" s="232"/>
      <c r="AG1465" s="208"/>
      <c r="AH1465" s="208"/>
      <c r="AI1465" s="208"/>
      <c r="AJ1465" s="208"/>
      <c r="AK1465" s="208"/>
    </row>
    <row r="1466">
      <c r="A1466" s="208"/>
      <c r="B1466" s="208"/>
      <c r="C1466" s="208"/>
      <c r="D1466" s="208"/>
      <c r="E1466" s="208"/>
      <c r="F1466" s="208"/>
      <c r="G1466" s="208"/>
      <c r="H1466" s="232"/>
      <c r="I1466" s="233"/>
      <c r="J1466" s="208"/>
      <c r="K1466" s="208"/>
      <c r="L1466" s="208"/>
      <c r="M1466" s="208"/>
      <c r="N1466" s="208"/>
      <c r="O1466" s="208"/>
      <c r="P1466" s="208"/>
      <c r="Q1466" s="208"/>
      <c r="R1466" s="208"/>
      <c r="S1466" s="208"/>
      <c r="T1466" s="208"/>
      <c r="U1466" s="208"/>
      <c r="V1466" s="234"/>
      <c r="W1466" s="232"/>
      <c r="X1466" s="232"/>
      <c r="Y1466" s="232"/>
      <c r="Z1466" s="232"/>
      <c r="AA1466" s="232"/>
      <c r="AB1466" s="232"/>
      <c r="AC1466" s="232"/>
      <c r="AD1466" s="232"/>
      <c r="AE1466" s="232"/>
      <c r="AF1466" s="232"/>
      <c r="AG1466" s="208"/>
      <c r="AH1466" s="208"/>
      <c r="AI1466" s="208"/>
      <c r="AJ1466" s="208"/>
      <c r="AK1466" s="208"/>
    </row>
    <row r="1467">
      <c r="A1467" s="208"/>
      <c r="B1467" s="208"/>
      <c r="C1467" s="208"/>
      <c r="D1467" s="208"/>
      <c r="E1467" s="208"/>
      <c r="F1467" s="208"/>
      <c r="G1467" s="208"/>
      <c r="H1467" s="232"/>
      <c r="I1467" s="233"/>
      <c r="J1467" s="208"/>
      <c r="K1467" s="208"/>
      <c r="L1467" s="208"/>
      <c r="M1467" s="208"/>
      <c r="N1467" s="208"/>
      <c r="O1467" s="208"/>
      <c r="P1467" s="208"/>
      <c r="Q1467" s="208"/>
      <c r="R1467" s="208"/>
      <c r="S1467" s="208"/>
      <c r="T1467" s="208"/>
      <c r="U1467" s="208"/>
      <c r="V1467" s="234"/>
      <c r="W1467" s="232"/>
      <c r="X1467" s="232"/>
      <c r="Y1467" s="232"/>
      <c r="Z1467" s="232"/>
      <c r="AA1467" s="232"/>
      <c r="AB1467" s="232"/>
      <c r="AC1467" s="232"/>
      <c r="AD1467" s="232"/>
      <c r="AE1467" s="232"/>
      <c r="AF1467" s="232"/>
      <c r="AG1467" s="208"/>
      <c r="AH1467" s="208"/>
      <c r="AI1467" s="208"/>
      <c r="AJ1467" s="208"/>
      <c r="AK1467" s="208"/>
    </row>
    <row r="1468">
      <c r="A1468" s="208"/>
      <c r="B1468" s="208"/>
      <c r="C1468" s="208"/>
      <c r="D1468" s="208"/>
      <c r="E1468" s="208"/>
      <c r="F1468" s="208"/>
      <c r="G1468" s="208"/>
      <c r="H1468" s="232"/>
      <c r="I1468" s="233"/>
      <c r="J1468" s="208"/>
      <c r="K1468" s="208"/>
      <c r="L1468" s="208"/>
      <c r="M1468" s="208"/>
      <c r="N1468" s="208"/>
      <c r="O1468" s="208"/>
      <c r="P1468" s="208"/>
      <c r="Q1468" s="208"/>
      <c r="R1468" s="208"/>
      <c r="S1468" s="208"/>
      <c r="T1468" s="208"/>
      <c r="U1468" s="208"/>
      <c r="V1468" s="234"/>
      <c r="W1468" s="232"/>
      <c r="X1468" s="232"/>
      <c r="Y1468" s="232"/>
      <c r="Z1468" s="232"/>
      <c r="AA1468" s="232"/>
      <c r="AB1468" s="232"/>
      <c r="AC1468" s="232"/>
      <c r="AD1468" s="232"/>
      <c r="AE1468" s="232"/>
      <c r="AF1468" s="232"/>
      <c r="AG1468" s="208"/>
      <c r="AH1468" s="208"/>
      <c r="AI1468" s="208"/>
      <c r="AJ1468" s="208"/>
      <c r="AK1468" s="208"/>
    </row>
    <row r="1469">
      <c r="A1469" s="208"/>
      <c r="B1469" s="208"/>
      <c r="C1469" s="208"/>
      <c r="D1469" s="208"/>
      <c r="E1469" s="208"/>
      <c r="F1469" s="208"/>
      <c r="G1469" s="208"/>
      <c r="H1469" s="232"/>
      <c r="I1469" s="233"/>
      <c r="J1469" s="208"/>
      <c r="K1469" s="208"/>
      <c r="L1469" s="208"/>
      <c r="M1469" s="208"/>
      <c r="N1469" s="208"/>
      <c r="O1469" s="208"/>
      <c r="P1469" s="208"/>
      <c r="Q1469" s="208"/>
      <c r="R1469" s="208"/>
      <c r="S1469" s="208"/>
      <c r="T1469" s="208"/>
      <c r="U1469" s="208"/>
      <c r="V1469" s="234"/>
      <c r="W1469" s="232"/>
      <c r="X1469" s="232"/>
      <c r="Y1469" s="232"/>
      <c r="Z1469" s="232"/>
      <c r="AA1469" s="232"/>
      <c r="AB1469" s="232"/>
      <c r="AC1469" s="232"/>
      <c r="AD1469" s="232"/>
      <c r="AE1469" s="232"/>
      <c r="AF1469" s="232"/>
      <c r="AG1469" s="208"/>
      <c r="AH1469" s="208"/>
      <c r="AI1469" s="208"/>
      <c r="AJ1469" s="208"/>
      <c r="AK1469" s="208"/>
    </row>
    <row r="1470">
      <c r="A1470" s="208"/>
      <c r="B1470" s="208"/>
      <c r="C1470" s="208"/>
      <c r="D1470" s="208"/>
      <c r="E1470" s="208"/>
      <c r="F1470" s="208"/>
      <c r="G1470" s="208"/>
      <c r="H1470" s="232"/>
      <c r="I1470" s="233"/>
      <c r="J1470" s="208"/>
      <c r="K1470" s="208"/>
      <c r="L1470" s="208"/>
      <c r="M1470" s="208"/>
      <c r="N1470" s="208"/>
      <c r="O1470" s="208"/>
      <c r="P1470" s="208"/>
      <c r="Q1470" s="208"/>
      <c r="R1470" s="208"/>
      <c r="S1470" s="208"/>
      <c r="T1470" s="208"/>
      <c r="U1470" s="208"/>
      <c r="V1470" s="234"/>
      <c r="W1470" s="232"/>
      <c r="X1470" s="232"/>
      <c r="Y1470" s="232"/>
      <c r="Z1470" s="232"/>
      <c r="AA1470" s="232"/>
      <c r="AB1470" s="232"/>
      <c r="AC1470" s="232"/>
      <c r="AD1470" s="232"/>
      <c r="AE1470" s="232"/>
      <c r="AF1470" s="232"/>
      <c r="AG1470" s="208"/>
      <c r="AH1470" s="208"/>
      <c r="AI1470" s="208"/>
      <c r="AJ1470" s="208"/>
      <c r="AK1470" s="208"/>
    </row>
    <row r="1471">
      <c r="A1471" s="208"/>
      <c r="B1471" s="208"/>
      <c r="C1471" s="208"/>
      <c r="D1471" s="208"/>
      <c r="E1471" s="208"/>
      <c r="F1471" s="208"/>
      <c r="G1471" s="208"/>
      <c r="H1471" s="232"/>
      <c r="I1471" s="233"/>
      <c r="J1471" s="208"/>
      <c r="K1471" s="208"/>
      <c r="L1471" s="208"/>
      <c r="M1471" s="208"/>
      <c r="N1471" s="208"/>
      <c r="O1471" s="208"/>
      <c r="P1471" s="208"/>
      <c r="Q1471" s="208"/>
      <c r="R1471" s="208"/>
      <c r="S1471" s="208"/>
      <c r="T1471" s="208"/>
      <c r="U1471" s="208"/>
      <c r="V1471" s="234"/>
      <c r="W1471" s="232"/>
      <c r="X1471" s="232"/>
      <c r="Y1471" s="232"/>
      <c r="Z1471" s="232"/>
      <c r="AA1471" s="232"/>
      <c r="AB1471" s="232"/>
      <c r="AC1471" s="232"/>
      <c r="AD1471" s="232"/>
      <c r="AE1471" s="232"/>
      <c r="AF1471" s="232"/>
      <c r="AG1471" s="208"/>
      <c r="AH1471" s="208"/>
      <c r="AI1471" s="208"/>
      <c r="AJ1471" s="208"/>
      <c r="AK1471" s="208"/>
    </row>
    <row r="1472">
      <c r="A1472" s="208"/>
      <c r="B1472" s="208"/>
      <c r="C1472" s="208"/>
      <c r="D1472" s="208"/>
      <c r="E1472" s="208"/>
      <c r="F1472" s="208"/>
      <c r="G1472" s="208"/>
      <c r="H1472" s="232"/>
      <c r="I1472" s="233"/>
      <c r="J1472" s="208"/>
      <c r="K1472" s="208"/>
      <c r="L1472" s="208"/>
      <c r="M1472" s="208"/>
      <c r="N1472" s="208"/>
      <c r="O1472" s="208"/>
      <c r="P1472" s="208"/>
      <c r="Q1472" s="208"/>
      <c r="R1472" s="208"/>
      <c r="S1472" s="208"/>
      <c r="T1472" s="208"/>
      <c r="U1472" s="208"/>
      <c r="V1472" s="234"/>
      <c r="W1472" s="232"/>
      <c r="X1472" s="232"/>
      <c r="Y1472" s="232"/>
      <c r="Z1472" s="232"/>
      <c r="AA1472" s="232"/>
      <c r="AB1472" s="232"/>
      <c r="AC1472" s="232"/>
      <c r="AD1472" s="232"/>
      <c r="AE1472" s="232"/>
      <c r="AF1472" s="232"/>
      <c r="AG1472" s="208"/>
      <c r="AH1472" s="208"/>
      <c r="AI1472" s="208"/>
      <c r="AJ1472" s="208"/>
      <c r="AK1472" s="208"/>
    </row>
    <row r="1473">
      <c r="A1473" s="208"/>
      <c r="B1473" s="208"/>
      <c r="C1473" s="208"/>
      <c r="D1473" s="208"/>
      <c r="E1473" s="208"/>
      <c r="F1473" s="208"/>
      <c r="G1473" s="208"/>
      <c r="H1473" s="232"/>
      <c r="I1473" s="233"/>
      <c r="J1473" s="208"/>
      <c r="K1473" s="208"/>
      <c r="L1473" s="208"/>
      <c r="M1473" s="208"/>
      <c r="N1473" s="208"/>
      <c r="O1473" s="208"/>
      <c r="P1473" s="208"/>
      <c r="Q1473" s="208"/>
      <c r="R1473" s="208"/>
      <c r="S1473" s="208"/>
      <c r="T1473" s="208"/>
      <c r="U1473" s="208"/>
      <c r="V1473" s="234"/>
      <c r="W1473" s="232"/>
      <c r="X1473" s="232"/>
      <c r="Y1473" s="232"/>
      <c r="Z1473" s="232"/>
      <c r="AA1473" s="232"/>
      <c r="AB1473" s="232"/>
      <c r="AC1473" s="232"/>
      <c r="AD1473" s="232"/>
      <c r="AE1473" s="232"/>
      <c r="AF1473" s="232"/>
      <c r="AG1473" s="208"/>
      <c r="AH1473" s="208"/>
      <c r="AI1473" s="208"/>
      <c r="AJ1473" s="208"/>
      <c r="AK1473" s="208"/>
    </row>
    <row r="1474">
      <c r="A1474" s="208"/>
      <c r="B1474" s="208"/>
      <c r="C1474" s="208"/>
      <c r="D1474" s="208"/>
      <c r="E1474" s="208"/>
      <c r="F1474" s="208"/>
      <c r="G1474" s="208"/>
      <c r="H1474" s="232"/>
      <c r="I1474" s="233"/>
      <c r="J1474" s="208"/>
      <c r="K1474" s="208"/>
      <c r="L1474" s="208"/>
      <c r="M1474" s="208"/>
      <c r="N1474" s="208"/>
      <c r="O1474" s="208"/>
      <c r="P1474" s="208"/>
      <c r="Q1474" s="208"/>
      <c r="R1474" s="208"/>
      <c r="S1474" s="208"/>
      <c r="T1474" s="208"/>
      <c r="U1474" s="208"/>
      <c r="V1474" s="234"/>
      <c r="W1474" s="232"/>
      <c r="X1474" s="232"/>
      <c r="Y1474" s="232"/>
      <c r="Z1474" s="232"/>
      <c r="AA1474" s="232"/>
      <c r="AB1474" s="232"/>
      <c r="AC1474" s="232"/>
      <c r="AD1474" s="232"/>
      <c r="AE1474" s="232"/>
      <c r="AF1474" s="232"/>
      <c r="AG1474" s="208"/>
      <c r="AH1474" s="208"/>
      <c r="AI1474" s="208"/>
      <c r="AJ1474" s="208"/>
      <c r="AK1474" s="208"/>
    </row>
    <row r="1475">
      <c r="A1475" s="208"/>
      <c r="B1475" s="208"/>
      <c r="C1475" s="208"/>
      <c r="D1475" s="208"/>
      <c r="E1475" s="208"/>
      <c r="F1475" s="208"/>
      <c r="G1475" s="208"/>
      <c r="H1475" s="232"/>
      <c r="I1475" s="233"/>
      <c r="J1475" s="208"/>
      <c r="K1475" s="208"/>
      <c r="L1475" s="208"/>
      <c r="M1475" s="208"/>
      <c r="N1475" s="208"/>
      <c r="O1475" s="208"/>
      <c r="P1475" s="208"/>
      <c r="Q1475" s="208"/>
      <c r="R1475" s="208"/>
      <c r="S1475" s="208"/>
      <c r="T1475" s="208"/>
      <c r="U1475" s="208"/>
      <c r="V1475" s="234"/>
      <c r="W1475" s="232"/>
      <c r="X1475" s="232"/>
      <c r="Y1475" s="232"/>
      <c r="Z1475" s="232"/>
      <c r="AA1475" s="232"/>
      <c r="AB1475" s="232"/>
      <c r="AC1475" s="232"/>
      <c r="AD1475" s="232"/>
      <c r="AE1475" s="232"/>
      <c r="AF1475" s="232"/>
      <c r="AG1475" s="208"/>
      <c r="AH1475" s="208"/>
      <c r="AI1475" s="208"/>
      <c r="AJ1475" s="208"/>
      <c r="AK1475" s="208"/>
    </row>
    <row r="1476">
      <c r="A1476" s="208"/>
      <c r="B1476" s="208"/>
      <c r="C1476" s="208"/>
      <c r="D1476" s="208"/>
      <c r="E1476" s="208"/>
      <c r="F1476" s="208"/>
      <c r="G1476" s="208"/>
      <c r="H1476" s="232"/>
      <c r="I1476" s="233"/>
      <c r="J1476" s="208"/>
      <c r="K1476" s="208"/>
      <c r="L1476" s="208"/>
      <c r="M1476" s="208"/>
      <c r="N1476" s="208"/>
      <c r="O1476" s="208"/>
      <c r="P1476" s="208"/>
      <c r="Q1476" s="208"/>
      <c r="R1476" s="208"/>
      <c r="S1476" s="208"/>
      <c r="T1476" s="208"/>
      <c r="U1476" s="208"/>
      <c r="V1476" s="234"/>
      <c r="W1476" s="232"/>
      <c r="X1476" s="232"/>
      <c r="Y1476" s="232"/>
      <c r="Z1476" s="232"/>
      <c r="AA1476" s="232"/>
      <c r="AB1476" s="232"/>
      <c r="AC1476" s="232"/>
      <c r="AD1476" s="232"/>
      <c r="AE1476" s="232"/>
      <c r="AF1476" s="232"/>
      <c r="AG1476" s="208"/>
      <c r="AH1476" s="208"/>
      <c r="AI1476" s="208"/>
      <c r="AJ1476" s="208"/>
      <c r="AK1476" s="208"/>
    </row>
    <row r="1477">
      <c r="A1477" s="208"/>
      <c r="B1477" s="208"/>
      <c r="C1477" s="208"/>
      <c r="D1477" s="208"/>
      <c r="E1477" s="208"/>
      <c r="F1477" s="208"/>
      <c r="G1477" s="208"/>
      <c r="H1477" s="232"/>
      <c r="I1477" s="233"/>
      <c r="J1477" s="208"/>
      <c r="K1477" s="208"/>
      <c r="L1477" s="208"/>
      <c r="M1477" s="208"/>
      <c r="N1477" s="208"/>
      <c r="O1477" s="208"/>
      <c r="P1477" s="208"/>
      <c r="Q1477" s="208"/>
      <c r="R1477" s="208"/>
      <c r="S1477" s="208"/>
      <c r="T1477" s="208"/>
      <c r="U1477" s="208"/>
      <c r="V1477" s="234"/>
      <c r="W1477" s="232"/>
      <c r="X1477" s="232"/>
      <c r="Y1477" s="232"/>
      <c r="Z1477" s="232"/>
      <c r="AA1477" s="232"/>
      <c r="AB1477" s="232"/>
      <c r="AC1477" s="232"/>
      <c r="AD1477" s="232"/>
      <c r="AE1477" s="232"/>
      <c r="AF1477" s="232"/>
      <c r="AG1477" s="208"/>
      <c r="AH1477" s="208"/>
      <c r="AI1477" s="208"/>
      <c r="AJ1477" s="208"/>
      <c r="AK1477" s="208"/>
    </row>
    <row r="1478">
      <c r="A1478" s="208"/>
      <c r="B1478" s="208"/>
      <c r="C1478" s="208"/>
      <c r="D1478" s="208"/>
      <c r="E1478" s="208"/>
      <c r="F1478" s="208"/>
      <c r="G1478" s="208"/>
      <c r="H1478" s="232"/>
      <c r="I1478" s="233"/>
      <c r="J1478" s="208"/>
      <c r="K1478" s="208"/>
      <c r="L1478" s="208"/>
      <c r="M1478" s="208"/>
      <c r="N1478" s="208"/>
      <c r="O1478" s="208"/>
      <c r="P1478" s="208"/>
      <c r="Q1478" s="208"/>
      <c r="R1478" s="208"/>
      <c r="S1478" s="208"/>
      <c r="T1478" s="208"/>
      <c r="U1478" s="208"/>
      <c r="V1478" s="234"/>
      <c r="W1478" s="232"/>
      <c r="X1478" s="232"/>
      <c r="Y1478" s="232"/>
      <c r="Z1478" s="232"/>
      <c r="AA1478" s="232"/>
      <c r="AB1478" s="232"/>
      <c r="AC1478" s="232"/>
      <c r="AD1478" s="232"/>
      <c r="AE1478" s="232"/>
      <c r="AF1478" s="232"/>
      <c r="AG1478" s="208"/>
      <c r="AH1478" s="208"/>
      <c r="AI1478" s="208"/>
      <c r="AJ1478" s="208"/>
      <c r="AK1478" s="208"/>
    </row>
    <row r="1479">
      <c r="A1479" s="208"/>
      <c r="B1479" s="208"/>
      <c r="C1479" s="208"/>
      <c r="D1479" s="208"/>
      <c r="E1479" s="208"/>
      <c r="F1479" s="208"/>
      <c r="G1479" s="208"/>
      <c r="H1479" s="232"/>
      <c r="I1479" s="233"/>
      <c r="J1479" s="208"/>
      <c r="K1479" s="208"/>
      <c r="L1479" s="208"/>
      <c r="M1479" s="208"/>
      <c r="N1479" s="208"/>
      <c r="O1479" s="208"/>
      <c r="P1479" s="208"/>
      <c r="Q1479" s="208"/>
      <c r="R1479" s="208"/>
      <c r="S1479" s="208"/>
      <c r="T1479" s="208"/>
      <c r="U1479" s="208"/>
      <c r="V1479" s="234"/>
      <c r="W1479" s="232"/>
      <c r="X1479" s="232"/>
      <c r="Y1479" s="232"/>
      <c r="Z1479" s="232"/>
      <c r="AA1479" s="232"/>
      <c r="AB1479" s="232"/>
      <c r="AC1479" s="232"/>
      <c r="AD1479" s="232"/>
      <c r="AE1479" s="232"/>
      <c r="AF1479" s="232"/>
      <c r="AG1479" s="208"/>
      <c r="AH1479" s="208"/>
      <c r="AI1479" s="208"/>
      <c r="AJ1479" s="208"/>
      <c r="AK1479" s="208"/>
    </row>
    <row r="1480">
      <c r="A1480" s="208"/>
      <c r="B1480" s="208"/>
      <c r="C1480" s="208"/>
      <c r="D1480" s="208"/>
      <c r="E1480" s="208"/>
      <c r="F1480" s="208"/>
      <c r="G1480" s="208"/>
      <c r="H1480" s="232"/>
      <c r="I1480" s="233"/>
      <c r="J1480" s="208"/>
      <c r="K1480" s="208"/>
      <c r="L1480" s="208"/>
      <c r="M1480" s="208"/>
      <c r="N1480" s="208"/>
      <c r="O1480" s="208"/>
      <c r="P1480" s="208"/>
      <c r="Q1480" s="208"/>
      <c r="R1480" s="208"/>
      <c r="S1480" s="208"/>
      <c r="T1480" s="208"/>
      <c r="U1480" s="208"/>
      <c r="V1480" s="234"/>
      <c r="W1480" s="232"/>
      <c r="X1480" s="232"/>
      <c r="Y1480" s="232"/>
      <c r="Z1480" s="232"/>
      <c r="AA1480" s="232"/>
      <c r="AB1480" s="232"/>
      <c r="AC1480" s="232"/>
      <c r="AD1480" s="232"/>
      <c r="AE1480" s="232"/>
      <c r="AF1480" s="232"/>
      <c r="AG1480" s="208"/>
      <c r="AH1480" s="208"/>
      <c r="AI1480" s="208"/>
      <c r="AJ1480" s="208"/>
      <c r="AK1480" s="208"/>
    </row>
    <row r="1481">
      <c r="A1481" s="208"/>
      <c r="B1481" s="208"/>
      <c r="C1481" s="208"/>
      <c r="D1481" s="208"/>
      <c r="E1481" s="208"/>
      <c r="F1481" s="208"/>
      <c r="G1481" s="208"/>
      <c r="H1481" s="232"/>
      <c r="I1481" s="233"/>
      <c r="J1481" s="208"/>
      <c r="K1481" s="208"/>
      <c r="L1481" s="208"/>
      <c r="M1481" s="208"/>
      <c r="N1481" s="208"/>
      <c r="O1481" s="208"/>
      <c r="P1481" s="208"/>
      <c r="Q1481" s="208"/>
      <c r="R1481" s="208"/>
      <c r="S1481" s="208"/>
      <c r="T1481" s="208"/>
      <c r="U1481" s="208"/>
      <c r="V1481" s="234"/>
      <c r="W1481" s="232"/>
      <c r="X1481" s="232"/>
      <c r="Y1481" s="232"/>
      <c r="Z1481" s="232"/>
      <c r="AA1481" s="232"/>
      <c r="AB1481" s="232"/>
      <c r="AC1481" s="232"/>
      <c r="AD1481" s="232"/>
      <c r="AE1481" s="232"/>
      <c r="AF1481" s="232"/>
      <c r="AG1481" s="208"/>
      <c r="AH1481" s="208"/>
      <c r="AI1481" s="208"/>
      <c r="AJ1481" s="208"/>
      <c r="AK1481" s="208"/>
    </row>
    <row r="1482">
      <c r="A1482" s="208"/>
      <c r="B1482" s="208"/>
      <c r="C1482" s="208"/>
      <c r="D1482" s="208"/>
      <c r="E1482" s="208"/>
      <c r="F1482" s="208"/>
      <c r="G1482" s="208"/>
      <c r="H1482" s="232"/>
      <c r="I1482" s="233"/>
      <c r="J1482" s="208"/>
      <c r="K1482" s="208"/>
      <c r="L1482" s="208"/>
      <c r="M1482" s="208"/>
      <c r="N1482" s="208"/>
      <c r="O1482" s="208"/>
      <c r="P1482" s="208"/>
      <c r="Q1482" s="208"/>
      <c r="R1482" s="208"/>
      <c r="S1482" s="208"/>
      <c r="T1482" s="208"/>
      <c r="U1482" s="208"/>
      <c r="V1482" s="234"/>
      <c r="W1482" s="232"/>
      <c r="X1482" s="232"/>
      <c r="Y1482" s="232"/>
      <c r="Z1482" s="232"/>
      <c r="AA1482" s="232"/>
      <c r="AB1482" s="232"/>
      <c r="AC1482" s="232"/>
      <c r="AD1482" s="232"/>
      <c r="AE1482" s="232"/>
      <c r="AF1482" s="232"/>
      <c r="AG1482" s="208"/>
      <c r="AH1482" s="208"/>
      <c r="AI1482" s="208"/>
      <c r="AJ1482" s="208"/>
      <c r="AK1482" s="208"/>
    </row>
    <row r="1483">
      <c r="A1483" s="208"/>
      <c r="B1483" s="208"/>
      <c r="C1483" s="208"/>
      <c r="D1483" s="208"/>
      <c r="E1483" s="208"/>
      <c r="F1483" s="208"/>
      <c r="G1483" s="208"/>
      <c r="H1483" s="232"/>
      <c r="I1483" s="233"/>
      <c r="J1483" s="208"/>
      <c r="K1483" s="208"/>
      <c r="L1483" s="208"/>
      <c r="M1483" s="208"/>
      <c r="N1483" s="208"/>
      <c r="O1483" s="208"/>
      <c r="P1483" s="208"/>
      <c r="Q1483" s="208"/>
      <c r="R1483" s="208"/>
      <c r="S1483" s="208"/>
      <c r="T1483" s="208"/>
      <c r="U1483" s="208"/>
      <c r="V1483" s="234"/>
      <c r="W1483" s="232"/>
      <c r="X1483" s="232"/>
      <c r="Y1483" s="232"/>
      <c r="Z1483" s="232"/>
      <c r="AA1483" s="232"/>
      <c r="AB1483" s="232"/>
      <c r="AC1483" s="232"/>
      <c r="AD1483" s="232"/>
      <c r="AE1483" s="232"/>
      <c r="AF1483" s="232"/>
      <c r="AG1483" s="208"/>
      <c r="AH1483" s="208"/>
      <c r="AI1483" s="208"/>
      <c r="AJ1483" s="208"/>
      <c r="AK1483" s="208"/>
    </row>
    <row r="1484">
      <c r="A1484" s="208"/>
      <c r="B1484" s="208"/>
      <c r="C1484" s="208"/>
      <c r="D1484" s="208"/>
      <c r="E1484" s="208"/>
      <c r="F1484" s="208"/>
      <c r="G1484" s="208"/>
      <c r="H1484" s="232"/>
      <c r="I1484" s="233"/>
      <c r="J1484" s="208"/>
      <c r="K1484" s="208"/>
      <c r="L1484" s="208"/>
      <c r="M1484" s="208"/>
      <c r="N1484" s="208"/>
      <c r="O1484" s="208"/>
      <c r="P1484" s="208"/>
      <c r="Q1484" s="208"/>
      <c r="R1484" s="208"/>
      <c r="S1484" s="208"/>
      <c r="T1484" s="208"/>
      <c r="U1484" s="208"/>
      <c r="V1484" s="234"/>
      <c r="W1484" s="232"/>
      <c r="X1484" s="232"/>
      <c r="Y1484" s="232"/>
      <c r="Z1484" s="232"/>
      <c r="AA1484" s="232"/>
      <c r="AB1484" s="232"/>
      <c r="AC1484" s="232"/>
      <c r="AD1484" s="232"/>
      <c r="AE1484" s="232"/>
      <c r="AF1484" s="232"/>
      <c r="AG1484" s="208"/>
      <c r="AH1484" s="208"/>
      <c r="AI1484" s="208"/>
      <c r="AJ1484" s="208"/>
      <c r="AK1484" s="208"/>
    </row>
    <row r="1485">
      <c r="A1485" s="208"/>
      <c r="B1485" s="208"/>
      <c r="C1485" s="208"/>
      <c r="D1485" s="208"/>
      <c r="E1485" s="208"/>
      <c r="F1485" s="208"/>
      <c r="G1485" s="208"/>
      <c r="H1485" s="232"/>
      <c r="I1485" s="233"/>
      <c r="J1485" s="208"/>
      <c r="K1485" s="208"/>
      <c r="L1485" s="208"/>
      <c r="M1485" s="208"/>
      <c r="N1485" s="208"/>
      <c r="O1485" s="208"/>
      <c r="P1485" s="208"/>
      <c r="Q1485" s="208"/>
      <c r="R1485" s="208"/>
      <c r="S1485" s="208"/>
      <c r="T1485" s="208"/>
      <c r="U1485" s="208"/>
      <c r="V1485" s="234"/>
      <c r="W1485" s="232"/>
      <c r="X1485" s="232"/>
      <c r="Y1485" s="232"/>
      <c r="Z1485" s="232"/>
      <c r="AA1485" s="232"/>
      <c r="AB1485" s="232"/>
      <c r="AC1485" s="232"/>
      <c r="AD1485" s="232"/>
      <c r="AE1485" s="232"/>
      <c r="AF1485" s="232"/>
      <c r="AG1485" s="208"/>
      <c r="AH1485" s="208"/>
      <c r="AI1485" s="208"/>
      <c r="AJ1485" s="208"/>
      <c r="AK1485" s="208"/>
    </row>
    <row r="1486">
      <c r="A1486" s="208"/>
      <c r="B1486" s="208"/>
      <c r="C1486" s="208"/>
      <c r="D1486" s="208"/>
      <c r="E1486" s="208"/>
      <c r="F1486" s="208"/>
      <c r="G1486" s="208"/>
      <c r="H1486" s="232"/>
      <c r="I1486" s="233"/>
      <c r="J1486" s="208"/>
      <c r="K1486" s="208"/>
      <c r="L1486" s="208"/>
      <c r="M1486" s="208"/>
      <c r="N1486" s="208"/>
      <c r="O1486" s="208"/>
      <c r="P1486" s="208"/>
      <c r="Q1486" s="208"/>
      <c r="R1486" s="208"/>
      <c r="S1486" s="208"/>
      <c r="T1486" s="208"/>
      <c r="U1486" s="208"/>
      <c r="V1486" s="234"/>
      <c r="W1486" s="232"/>
      <c r="X1486" s="232"/>
      <c r="Y1486" s="232"/>
      <c r="Z1486" s="232"/>
      <c r="AA1486" s="232"/>
      <c r="AB1486" s="232"/>
      <c r="AC1486" s="232"/>
      <c r="AD1486" s="232"/>
      <c r="AE1486" s="232"/>
      <c r="AF1486" s="232"/>
      <c r="AG1486" s="208"/>
      <c r="AH1486" s="208"/>
      <c r="AI1486" s="208"/>
      <c r="AJ1486" s="208"/>
      <c r="AK1486" s="208"/>
    </row>
    <row r="1487">
      <c r="A1487" s="208"/>
      <c r="B1487" s="208"/>
      <c r="C1487" s="208"/>
      <c r="D1487" s="208"/>
      <c r="E1487" s="208"/>
      <c r="F1487" s="208"/>
      <c r="G1487" s="208"/>
      <c r="H1487" s="232"/>
      <c r="I1487" s="233"/>
      <c r="J1487" s="208"/>
      <c r="K1487" s="208"/>
      <c r="L1487" s="208"/>
      <c r="M1487" s="208"/>
      <c r="N1487" s="208"/>
      <c r="O1487" s="208"/>
      <c r="P1487" s="208"/>
      <c r="Q1487" s="208"/>
      <c r="R1487" s="208"/>
      <c r="S1487" s="208"/>
      <c r="T1487" s="208"/>
      <c r="U1487" s="208"/>
      <c r="V1487" s="234"/>
      <c r="W1487" s="232"/>
      <c r="X1487" s="232"/>
      <c r="Y1487" s="232"/>
      <c r="Z1487" s="232"/>
      <c r="AA1487" s="232"/>
      <c r="AB1487" s="232"/>
      <c r="AC1487" s="232"/>
      <c r="AD1487" s="232"/>
      <c r="AE1487" s="232"/>
      <c r="AF1487" s="232"/>
      <c r="AG1487" s="208"/>
      <c r="AH1487" s="208"/>
      <c r="AI1487" s="208"/>
      <c r="AJ1487" s="208"/>
      <c r="AK1487" s="208"/>
    </row>
    <row r="1488">
      <c r="A1488" s="208"/>
      <c r="B1488" s="208"/>
      <c r="C1488" s="208"/>
      <c r="D1488" s="208"/>
      <c r="E1488" s="208"/>
      <c r="F1488" s="208"/>
      <c r="G1488" s="208"/>
      <c r="H1488" s="232"/>
      <c r="I1488" s="233"/>
      <c r="J1488" s="208"/>
      <c r="K1488" s="208"/>
      <c r="L1488" s="208"/>
      <c r="M1488" s="208"/>
      <c r="N1488" s="208"/>
      <c r="O1488" s="208"/>
      <c r="P1488" s="208"/>
      <c r="Q1488" s="208"/>
      <c r="R1488" s="208"/>
      <c r="S1488" s="208"/>
      <c r="T1488" s="208"/>
      <c r="U1488" s="208"/>
      <c r="V1488" s="234"/>
      <c r="W1488" s="232"/>
      <c r="X1488" s="232"/>
      <c r="Y1488" s="232"/>
      <c r="Z1488" s="232"/>
      <c r="AA1488" s="232"/>
      <c r="AB1488" s="232"/>
      <c r="AC1488" s="232"/>
      <c r="AD1488" s="232"/>
      <c r="AE1488" s="232"/>
      <c r="AF1488" s="232"/>
      <c r="AG1488" s="208"/>
      <c r="AH1488" s="208"/>
      <c r="AI1488" s="208"/>
      <c r="AJ1488" s="208"/>
      <c r="AK1488" s="208"/>
    </row>
    <row r="1489">
      <c r="A1489" s="208"/>
      <c r="B1489" s="208"/>
      <c r="C1489" s="208"/>
      <c r="D1489" s="208"/>
      <c r="E1489" s="208"/>
      <c r="F1489" s="208"/>
      <c r="G1489" s="208"/>
      <c r="H1489" s="232"/>
      <c r="I1489" s="233"/>
      <c r="J1489" s="208"/>
      <c r="K1489" s="208"/>
      <c r="L1489" s="208"/>
      <c r="M1489" s="208"/>
      <c r="N1489" s="208"/>
      <c r="O1489" s="208"/>
      <c r="P1489" s="208"/>
      <c r="Q1489" s="208"/>
      <c r="R1489" s="208"/>
      <c r="S1489" s="208"/>
      <c r="T1489" s="208"/>
      <c r="U1489" s="208"/>
      <c r="V1489" s="234"/>
      <c r="W1489" s="232"/>
      <c r="X1489" s="232"/>
      <c r="Y1489" s="232"/>
      <c r="Z1489" s="232"/>
      <c r="AA1489" s="232"/>
      <c r="AB1489" s="232"/>
      <c r="AC1489" s="232"/>
      <c r="AD1489" s="232"/>
      <c r="AE1489" s="232"/>
      <c r="AF1489" s="232"/>
      <c r="AG1489" s="208"/>
      <c r="AH1489" s="208"/>
      <c r="AI1489" s="208"/>
      <c r="AJ1489" s="208"/>
      <c r="AK1489" s="208"/>
    </row>
    <row r="1490">
      <c r="A1490" s="208"/>
      <c r="B1490" s="208"/>
      <c r="C1490" s="208"/>
      <c r="D1490" s="208"/>
      <c r="E1490" s="208"/>
      <c r="F1490" s="208"/>
      <c r="G1490" s="208"/>
      <c r="H1490" s="232"/>
      <c r="I1490" s="233"/>
      <c r="J1490" s="208"/>
      <c r="K1490" s="208"/>
      <c r="L1490" s="208"/>
      <c r="M1490" s="208"/>
      <c r="N1490" s="208"/>
      <c r="O1490" s="208"/>
      <c r="P1490" s="208"/>
      <c r="Q1490" s="208"/>
      <c r="R1490" s="208"/>
      <c r="S1490" s="208"/>
      <c r="T1490" s="208"/>
      <c r="U1490" s="208"/>
      <c r="V1490" s="234"/>
      <c r="W1490" s="232"/>
      <c r="X1490" s="232"/>
      <c r="Y1490" s="232"/>
      <c r="Z1490" s="232"/>
      <c r="AA1490" s="232"/>
      <c r="AB1490" s="232"/>
      <c r="AC1490" s="232"/>
      <c r="AD1490" s="232"/>
      <c r="AE1490" s="232"/>
      <c r="AF1490" s="232"/>
      <c r="AG1490" s="208"/>
      <c r="AH1490" s="208"/>
      <c r="AI1490" s="208"/>
      <c r="AJ1490" s="208"/>
      <c r="AK1490" s="208"/>
    </row>
    <row r="1491">
      <c r="A1491" s="208"/>
      <c r="B1491" s="208"/>
      <c r="C1491" s="208"/>
      <c r="D1491" s="208"/>
      <c r="E1491" s="208"/>
      <c r="F1491" s="208"/>
      <c r="G1491" s="208"/>
      <c r="H1491" s="232"/>
      <c r="I1491" s="233"/>
      <c r="J1491" s="208"/>
      <c r="K1491" s="208"/>
      <c r="L1491" s="208"/>
      <c r="M1491" s="208"/>
      <c r="N1491" s="208"/>
      <c r="O1491" s="208"/>
      <c r="P1491" s="208"/>
      <c r="Q1491" s="208"/>
      <c r="R1491" s="208"/>
      <c r="S1491" s="208"/>
      <c r="T1491" s="208"/>
      <c r="U1491" s="208"/>
      <c r="V1491" s="234"/>
      <c r="W1491" s="232"/>
      <c r="X1491" s="232"/>
      <c r="Y1491" s="232"/>
      <c r="Z1491" s="232"/>
      <c r="AA1491" s="232"/>
      <c r="AB1491" s="232"/>
      <c r="AC1491" s="232"/>
      <c r="AD1491" s="232"/>
      <c r="AE1491" s="232"/>
      <c r="AF1491" s="232"/>
      <c r="AG1491" s="208"/>
      <c r="AH1491" s="208"/>
      <c r="AI1491" s="208"/>
      <c r="AJ1491" s="208"/>
      <c r="AK1491" s="208"/>
    </row>
    <row r="1492">
      <c r="A1492" s="208"/>
      <c r="B1492" s="208"/>
      <c r="C1492" s="208"/>
      <c r="D1492" s="208"/>
      <c r="E1492" s="208"/>
      <c r="F1492" s="208"/>
      <c r="G1492" s="208"/>
      <c r="H1492" s="232"/>
      <c r="I1492" s="233"/>
      <c r="J1492" s="208"/>
      <c r="K1492" s="208"/>
      <c r="L1492" s="208"/>
      <c r="M1492" s="208"/>
      <c r="N1492" s="208"/>
      <c r="O1492" s="208"/>
      <c r="P1492" s="208"/>
      <c r="Q1492" s="208"/>
      <c r="R1492" s="208"/>
      <c r="S1492" s="208"/>
      <c r="T1492" s="208"/>
      <c r="U1492" s="208"/>
      <c r="V1492" s="234"/>
      <c r="W1492" s="232"/>
      <c r="X1492" s="232"/>
      <c r="Y1492" s="232"/>
      <c r="Z1492" s="232"/>
      <c r="AA1492" s="232"/>
      <c r="AB1492" s="232"/>
      <c r="AC1492" s="232"/>
      <c r="AD1492" s="232"/>
      <c r="AE1492" s="232"/>
      <c r="AF1492" s="232"/>
      <c r="AG1492" s="208"/>
      <c r="AH1492" s="208"/>
      <c r="AI1492" s="208"/>
      <c r="AJ1492" s="208"/>
      <c r="AK1492" s="208"/>
    </row>
    <row r="1493">
      <c r="A1493" s="208"/>
      <c r="B1493" s="208"/>
      <c r="C1493" s="208"/>
      <c r="D1493" s="208"/>
      <c r="E1493" s="208"/>
      <c r="F1493" s="208"/>
      <c r="G1493" s="208"/>
      <c r="H1493" s="232"/>
      <c r="I1493" s="233"/>
      <c r="J1493" s="208"/>
      <c r="K1493" s="208"/>
      <c r="L1493" s="208"/>
      <c r="M1493" s="208"/>
      <c r="N1493" s="208"/>
      <c r="O1493" s="208"/>
      <c r="P1493" s="208"/>
      <c r="Q1493" s="208"/>
      <c r="R1493" s="208"/>
      <c r="S1493" s="208"/>
      <c r="T1493" s="208"/>
      <c r="U1493" s="208"/>
      <c r="V1493" s="234"/>
      <c r="W1493" s="232"/>
      <c r="X1493" s="232"/>
      <c r="Y1493" s="232"/>
      <c r="Z1493" s="232"/>
      <c r="AA1493" s="232"/>
      <c r="AB1493" s="232"/>
      <c r="AC1493" s="232"/>
      <c r="AD1493" s="232"/>
      <c r="AE1493" s="232"/>
      <c r="AF1493" s="232"/>
      <c r="AG1493" s="208"/>
      <c r="AH1493" s="208"/>
      <c r="AI1493" s="208"/>
      <c r="AJ1493" s="208"/>
      <c r="AK1493" s="208"/>
    </row>
    <row r="1494">
      <c r="A1494" s="208"/>
      <c r="B1494" s="208"/>
      <c r="C1494" s="208"/>
      <c r="D1494" s="208"/>
      <c r="E1494" s="208"/>
      <c r="F1494" s="208"/>
      <c r="G1494" s="208"/>
      <c r="H1494" s="232"/>
      <c r="I1494" s="233"/>
      <c r="J1494" s="208"/>
      <c r="K1494" s="208"/>
      <c r="L1494" s="208"/>
      <c r="M1494" s="208"/>
      <c r="N1494" s="208"/>
      <c r="O1494" s="208"/>
      <c r="P1494" s="208"/>
      <c r="Q1494" s="208"/>
      <c r="R1494" s="208"/>
      <c r="S1494" s="208"/>
      <c r="T1494" s="208"/>
      <c r="U1494" s="208"/>
      <c r="V1494" s="234"/>
      <c r="W1494" s="232"/>
      <c r="X1494" s="232"/>
      <c r="Y1494" s="232"/>
      <c r="Z1494" s="232"/>
      <c r="AA1494" s="232"/>
      <c r="AB1494" s="232"/>
      <c r="AC1494" s="232"/>
      <c r="AD1494" s="232"/>
      <c r="AE1494" s="232"/>
      <c r="AF1494" s="232"/>
      <c r="AG1494" s="208"/>
      <c r="AH1494" s="208"/>
      <c r="AI1494" s="208"/>
      <c r="AJ1494" s="208"/>
      <c r="AK1494" s="208"/>
    </row>
    <row r="1495">
      <c r="A1495" s="208"/>
      <c r="B1495" s="208"/>
      <c r="C1495" s="208"/>
      <c r="D1495" s="208"/>
      <c r="E1495" s="208"/>
      <c r="F1495" s="208"/>
      <c r="G1495" s="208"/>
      <c r="H1495" s="232"/>
      <c r="I1495" s="233"/>
      <c r="J1495" s="208"/>
      <c r="K1495" s="208"/>
      <c r="L1495" s="208"/>
      <c r="M1495" s="208"/>
      <c r="N1495" s="208"/>
      <c r="O1495" s="208"/>
      <c r="P1495" s="208"/>
      <c r="Q1495" s="208"/>
      <c r="R1495" s="208"/>
      <c r="S1495" s="208"/>
      <c r="T1495" s="208"/>
      <c r="U1495" s="208"/>
      <c r="V1495" s="234"/>
      <c r="W1495" s="232"/>
      <c r="X1495" s="232"/>
      <c r="Y1495" s="232"/>
      <c r="Z1495" s="232"/>
      <c r="AA1495" s="232"/>
      <c r="AB1495" s="232"/>
      <c r="AC1495" s="232"/>
      <c r="AD1495" s="232"/>
      <c r="AE1495" s="232"/>
      <c r="AF1495" s="232"/>
      <c r="AG1495" s="208"/>
      <c r="AH1495" s="208"/>
      <c r="AI1495" s="208"/>
      <c r="AJ1495" s="208"/>
      <c r="AK1495" s="208"/>
    </row>
    <row r="1496">
      <c r="A1496" s="208"/>
      <c r="B1496" s="208"/>
      <c r="C1496" s="208"/>
      <c r="D1496" s="208"/>
      <c r="E1496" s="208"/>
      <c r="F1496" s="208"/>
      <c r="G1496" s="208"/>
      <c r="H1496" s="232"/>
      <c r="I1496" s="233"/>
      <c r="J1496" s="208"/>
      <c r="K1496" s="208"/>
      <c r="L1496" s="208"/>
      <c r="M1496" s="208"/>
      <c r="N1496" s="208"/>
      <c r="O1496" s="208"/>
      <c r="P1496" s="208"/>
      <c r="Q1496" s="208"/>
      <c r="R1496" s="208"/>
      <c r="S1496" s="208"/>
      <c r="T1496" s="208"/>
      <c r="U1496" s="208"/>
      <c r="V1496" s="234"/>
      <c r="W1496" s="232"/>
      <c r="X1496" s="232"/>
      <c r="Y1496" s="232"/>
      <c r="Z1496" s="232"/>
      <c r="AA1496" s="232"/>
      <c r="AB1496" s="232"/>
      <c r="AC1496" s="232"/>
      <c r="AD1496" s="232"/>
      <c r="AE1496" s="232"/>
      <c r="AF1496" s="232"/>
      <c r="AG1496" s="208"/>
      <c r="AH1496" s="208"/>
      <c r="AI1496" s="208"/>
      <c r="AJ1496" s="208"/>
      <c r="AK1496" s="208"/>
    </row>
    <row r="1497">
      <c r="A1497" s="208"/>
      <c r="B1497" s="208"/>
      <c r="C1497" s="208"/>
      <c r="D1497" s="208"/>
      <c r="E1497" s="208"/>
      <c r="F1497" s="208"/>
      <c r="G1497" s="208"/>
      <c r="H1497" s="232"/>
      <c r="I1497" s="233"/>
      <c r="J1497" s="208"/>
      <c r="K1497" s="208"/>
      <c r="L1497" s="208"/>
      <c r="M1497" s="208"/>
      <c r="N1497" s="208"/>
      <c r="O1497" s="208"/>
      <c r="P1497" s="208"/>
      <c r="Q1497" s="208"/>
      <c r="R1497" s="208"/>
      <c r="S1497" s="208"/>
      <c r="T1497" s="208"/>
      <c r="U1497" s="208"/>
      <c r="V1497" s="234"/>
      <c r="W1497" s="232"/>
      <c r="X1497" s="232"/>
      <c r="Y1497" s="232"/>
      <c r="Z1497" s="232"/>
      <c r="AA1497" s="232"/>
      <c r="AB1497" s="232"/>
      <c r="AC1497" s="232"/>
      <c r="AD1497" s="232"/>
      <c r="AE1497" s="232"/>
      <c r="AF1497" s="232"/>
      <c r="AG1497" s="208"/>
      <c r="AH1497" s="208"/>
      <c r="AI1497" s="208"/>
      <c r="AJ1497" s="208"/>
      <c r="AK1497" s="208"/>
    </row>
    <row r="1498">
      <c r="A1498" s="208"/>
      <c r="B1498" s="208"/>
      <c r="C1498" s="208"/>
      <c r="D1498" s="208"/>
      <c r="E1498" s="208"/>
      <c r="F1498" s="208"/>
      <c r="G1498" s="208"/>
      <c r="H1498" s="232"/>
      <c r="I1498" s="233"/>
      <c r="J1498" s="208"/>
      <c r="K1498" s="208"/>
      <c r="L1498" s="208"/>
      <c r="M1498" s="208"/>
      <c r="N1498" s="208"/>
      <c r="O1498" s="208"/>
      <c r="P1498" s="208"/>
      <c r="Q1498" s="208"/>
      <c r="R1498" s="208"/>
      <c r="S1498" s="208"/>
      <c r="T1498" s="208"/>
      <c r="U1498" s="208"/>
      <c r="V1498" s="234"/>
      <c r="W1498" s="232"/>
      <c r="X1498" s="232"/>
      <c r="Y1498" s="232"/>
      <c r="Z1498" s="232"/>
      <c r="AA1498" s="232"/>
      <c r="AB1498" s="232"/>
      <c r="AC1498" s="232"/>
      <c r="AD1498" s="232"/>
      <c r="AE1498" s="232"/>
      <c r="AF1498" s="232"/>
      <c r="AG1498" s="208"/>
      <c r="AH1498" s="208"/>
      <c r="AI1498" s="208"/>
      <c r="AJ1498" s="208"/>
      <c r="AK1498" s="208"/>
    </row>
    <row r="1499">
      <c r="A1499" s="208"/>
      <c r="B1499" s="208"/>
      <c r="C1499" s="208"/>
      <c r="D1499" s="208"/>
      <c r="E1499" s="208"/>
      <c r="F1499" s="208"/>
      <c r="G1499" s="208"/>
      <c r="H1499" s="232"/>
      <c r="I1499" s="233"/>
      <c r="J1499" s="208"/>
      <c r="K1499" s="208"/>
      <c r="L1499" s="208"/>
      <c r="M1499" s="208"/>
      <c r="N1499" s="208"/>
      <c r="O1499" s="208"/>
      <c r="P1499" s="208"/>
      <c r="Q1499" s="208"/>
      <c r="R1499" s="208"/>
      <c r="S1499" s="208"/>
      <c r="T1499" s="208"/>
      <c r="U1499" s="208"/>
      <c r="V1499" s="234"/>
      <c r="W1499" s="232"/>
      <c r="X1499" s="232"/>
      <c r="Y1499" s="232"/>
      <c r="Z1499" s="232"/>
      <c r="AA1499" s="232"/>
      <c r="AB1499" s="232"/>
      <c r="AC1499" s="232"/>
      <c r="AD1499" s="232"/>
      <c r="AE1499" s="232"/>
      <c r="AF1499" s="232"/>
      <c r="AG1499" s="208"/>
      <c r="AH1499" s="208"/>
      <c r="AI1499" s="208"/>
      <c r="AJ1499" s="208"/>
      <c r="AK1499" s="208"/>
    </row>
    <row r="1500">
      <c r="A1500" s="208"/>
      <c r="B1500" s="208"/>
      <c r="C1500" s="208"/>
      <c r="D1500" s="208"/>
      <c r="E1500" s="208"/>
      <c r="F1500" s="208"/>
      <c r="G1500" s="208"/>
      <c r="H1500" s="232"/>
      <c r="I1500" s="233"/>
      <c r="J1500" s="208"/>
      <c r="K1500" s="208"/>
      <c r="L1500" s="208"/>
      <c r="M1500" s="208"/>
      <c r="N1500" s="208"/>
      <c r="O1500" s="208"/>
      <c r="P1500" s="208"/>
      <c r="Q1500" s="208"/>
      <c r="R1500" s="208"/>
      <c r="S1500" s="208"/>
      <c r="T1500" s="208"/>
      <c r="U1500" s="208"/>
      <c r="V1500" s="234"/>
      <c r="W1500" s="232"/>
      <c r="X1500" s="232"/>
      <c r="Y1500" s="232"/>
      <c r="Z1500" s="232"/>
      <c r="AA1500" s="232"/>
      <c r="AB1500" s="232"/>
      <c r="AC1500" s="232"/>
      <c r="AD1500" s="232"/>
      <c r="AE1500" s="232"/>
      <c r="AF1500" s="232"/>
      <c r="AG1500" s="208"/>
      <c r="AH1500" s="208"/>
      <c r="AI1500" s="208"/>
      <c r="AJ1500" s="208"/>
      <c r="AK1500" s="208"/>
    </row>
    <row r="1501">
      <c r="A1501" s="208"/>
      <c r="B1501" s="208"/>
      <c r="C1501" s="208"/>
      <c r="D1501" s="208"/>
      <c r="E1501" s="208"/>
      <c r="F1501" s="208"/>
      <c r="G1501" s="208"/>
      <c r="H1501" s="232"/>
      <c r="I1501" s="233"/>
      <c r="J1501" s="208"/>
      <c r="K1501" s="208"/>
      <c r="L1501" s="208"/>
      <c r="M1501" s="208"/>
      <c r="N1501" s="208"/>
      <c r="O1501" s="208"/>
      <c r="P1501" s="208"/>
      <c r="Q1501" s="208"/>
      <c r="R1501" s="208"/>
      <c r="S1501" s="208"/>
      <c r="T1501" s="208"/>
      <c r="U1501" s="208"/>
      <c r="V1501" s="234"/>
      <c r="W1501" s="232"/>
      <c r="X1501" s="232"/>
      <c r="Y1501" s="232"/>
      <c r="Z1501" s="232"/>
      <c r="AA1501" s="232"/>
      <c r="AB1501" s="232"/>
      <c r="AC1501" s="232"/>
      <c r="AD1501" s="232"/>
      <c r="AE1501" s="232"/>
      <c r="AF1501" s="232"/>
      <c r="AG1501" s="208"/>
      <c r="AH1501" s="208"/>
      <c r="AI1501" s="208"/>
      <c r="AJ1501" s="208"/>
      <c r="AK1501" s="208"/>
    </row>
    <row r="1502">
      <c r="A1502" s="208"/>
      <c r="B1502" s="208"/>
      <c r="C1502" s="208"/>
      <c r="D1502" s="208"/>
      <c r="E1502" s="208"/>
      <c r="F1502" s="208"/>
      <c r="G1502" s="208"/>
      <c r="H1502" s="232"/>
      <c r="I1502" s="233"/>
      <c r="J1502" s="208"/>
      <c r="K1502" s="208"/>
      <c r="L1502" s="208"/>
      <c r="M1502" s="208"/>
      <c r="N1502" s="208"/>
      <c r="O1502" s="208"/>
      <c r="P1502" s="208"/>
      <c r="Q1502" s="208"/>
      <c r="R1502" s="208"/>
      <c r="S1502" s="208"/>
      <c r="T1502" s="208"/>
      <c r="U1502" s="208"/>
      <c r="V1502" s="234"/>
      <c r="W1502" s="232"/>
      <c r="X1502" s="232"/>
      <c r="Y1502" s="232"/>
      <c r="Z1502" s="232"/>
      <c r="AA1502" s="232"/>
      <c r="AB1502" s="232"/>
      <c r="AC1502" s="232"/>
      <c r="AD1502" s="232"/>
      <c r="AE1502" s="232"/>
      <c r="AF1502" s="232"/>
      <c r="AG1502" s="208"/>
      <c r="AH1502" s="208"/>
      <c r="AI1502" s="208"/>
      <c r="AJ1502" s="208"/>
      <c r="AK1502" s="208"/>
    </row>
    <row r="1503">
      <c r="A1503" s="208"/>
      <c r="B1503" s="208"/>
      <c r="C1503" s="208"/>
      <c r="D1503" s="208"/>
      <c r="E1503" s="208"/>
      <c r="F1503" s="208"/>
      <c r="G1503" s="208"/>
      <c r="H1503" s="232"/>
      <c r="I1503" s="233"/>
      <c r="J1503" s="208"/>
      <c r="K1503" s="208"/>
      <c r="L1503" s="208"/>
      <c r="M1503" s="208"/>
      <c r="N1503" s="208"/>
      <c r="O1503" s="208"/>
      <c r="P1503" s="208"/>
      <c r="Q1503" s="208"/>
      <c r="R1503" s="208"/>
      <c r="S1503" s="208"/>
      <c r="T1503" s="208"/>
      <c r="U1503" s="208"/>
      <c r="V1503" s="234"/>
      <c r="W1503" s="232"/>
      <c r="X1503" s="232"/>
      <c r="Y1503" s="232"/>
      <c r="Z1503" s="232"/>
      <c r="AA1503" s="232"/>
      <c r="AB1503" s="232"/>
      <c r="AC1503" s="232"/>
      <c r="AD1503" s="232"/>
      <c r="AE1503" s="232"/>
      <c r="AF1503" s="232"/>
      <c r="AG1503" s="208"/>
      <c r="AH1503" s="208"/>
      <c r="AI1503" s="208"/>
      <c r="AJ1503" s="208"/>
      <c r="AK1503" s="208"/>
    </row>
    <row r="1504">
      <c r="A1504" s="208"/>
      <c r="B1504" s="208"/>
      <c r="C1504" s="208"/>
      <c r="D1504" s="208"/>
      <c r="E1504" s="208"/>
      <c r="F1504" s="208"/>
      <c r="G1504" s="208"/>
      <c r="H1504" s="232"/>
      <c r="I1504" s="233"/>
      <c r="J1504" s="208"/>
      <c r="K1504" s="208"/>
      <c r="L1504" s="208"/>
      <c r="M1504" s="208"/>
      <c r="N1504" s="208"/>
      <c r="O1504" s="208"/>
      <c r="P1504" s="208"/>
      <c r="Q1504" s="208"/>
      <c r="R1504" s="208"/>
      <c r="S1504" s="208"/>
      <c r="T1504" s="208"/>
      <c r="U1504" s="208"/>
      <c r="V1504" s="234"/>
      <c r="W1504" s="232"/>
      <c r="X1504" s="232"/>
      <c r="Y1504" s="232"/>
      <c r="Z1504" s="232"/>
      <c r="AA1504" s="232"/>
      <c r="AB1504" s="232"/>
      <c r="AC1504" s="232"/>
      <c r="AD1504" s="232"/>
      <c r="AE1504" s="232"/>
      <c r="AF1504" s="232"/>
      <c r="AG1504" s="208"/>
      <c r="AH1504" s="208"/>
      <c r="AI1504" s="208"/>
      <c r="AJ1504" s="208"/>
      <c r="AK1504" s="208"/>
    </row>
    <row r="1505">
      <c r="A1505" s="208"/>
      <c r="B1505" s="208"/>
      <c r="C1505" s="208"/>
      <c r="D1505" s="208"/>
      <c r="E1505" s="208"/>
      <c r="F1505" s="208"/>
      <c r="G1505" s="208"/>
      <c r="H1505" s="232"/>
      <c r="I1505" s="233"/>
      <c r="J1505" s="208"/>
      <c r="K1505" s="208"/>
      <c r="L1505" s="208"/>
      <c r="M1505" s="208"/>
      <c r="N1505" s="208"/>
      <c r="O1505" s="208"/>
      <c r="P1505" s="208"/>
      <c r="Q1505" s="208"/>
      <c r="R1505" s="208"/>
      <c r="S1505" s="208"/>
      <c r="T1505" s="208"/>
      <c r="U1505" s="208"/>
      <c r="V1505" s="234"/>
      <c r="W1505" s="232"/>
      <c r="X1505" s="232"/>
      <c r="Y1505" s="232"/>
      <c r="Z1505" s="232"/>
      <c r="AA1505" s="232"/>
      <c r="AB1505" s="232"/>
      <c r="AC1505" s="232"/>
      <c r="AD1505" s="232"/>
      <c r="AE1505" s="232"/>
      <c r="AF1505" s="232"/>
      <c r="AG1505" s="208"/>
      <c r="AH1505" s="208"/>
      <c r="AI1505" s="208"/>
      <c r="AJ1505" s="208"/>
      <c r="AK1505" s="208"/>
    </row>
    <row r="1506">
      <c r="A1506" s="208"/>
      <c r="B1506" s="208"/>
      <c r="C1506" s="208"/>
      <c r="D1506" s="208"/>
      <c r="E1506" s="208"/>
      <c r="F1506" s="208"/>
      <c r="G1506" s="208"/>
      <c r="H1506" s="232"/>
      <c r="I1506" s="233"/>
      <c r="J1506" s="208"/>
      <c r="K1506" s="208"/>
      <c r="L1506" s="208"/>
      <c r="M1506" s="208"/>
      <c r="N1506" s="208"/>
      <c r="O1506" s="208"/>
      <c r="P1506" s="208"/>
      <c r="Q1506" s="208"/>
      <c r="R1506" s="208"/>
      <c r="S1506" s="208"/>
      <c r="T1506" s="208"/>
      <c r="U1506" s="208"/>
      <c r="V1506" s="234"/>
      <c r="W1506" s="232"/>
      <c r="X1506" s="232"/>
      <c r="Y1506" s="232"/>
      <c r="Z1506" s="232"/>
      <c r="AA1506" s="232"/>
      <c r="AB1506" s="232"/>
      <c r="AC1506" s="232"/>
      <c r="AD1506" s="232"/>
      <c r="AE1506" s="232"/>
      <c r="AF1506" s="232"/>
      <c r="AG1506" s="208"/>
      <c r="AH1506" s="208"/>
      <c r="AI1506" s="208"/>
      <c r="AJ1506" s="208"/>
      <c r="AK1506" s="208"/>
    </row>
    <row r="1507">
      <c r="A1507" s="208"/>
      <c r="B1507" s="208"/>
      <c r="C1507" s="208"/>
      <c r="D1507" s="208"/>
      <c r="E1507" s="208"/>
      <c r="F1507" s="208"/>
      <c r="G1507" s="208"/>
      <c r="H1507" s="232"/>
      <c r="I1507" s="233"/>
      <c r="J1507" s="208"/>
      <c r="K1507" s="208"/>
      <c r="L1507" s="208"/>
      <c r="M1507" s="208"/>
      <c r="N1507" s="208"/>
      <c r="O1507" s="208"/>
      <c r="P1507" s="208"/>
      <c r="Q1507" s="208"/>
      <c r="R1507" s="208"/>
      <c r="S1507" s="208"/>
      <c r="T1507" s="208"/>
      <c r="U1507" s="208"/>
      <c r="V1507" s="234"/>
      <c r="W1507" s="232"/>
      <c r="X1507" s="232"/>
      <c r="Y1507" s="232"/>
      <c r="Z1507" s="232"/>
      <c r="AA1507" s="232"/>
      <c r="AB1507" s="232"/>
      <c r="AC1507" s="232"/>
      <c r="AD1507" s="232"/>
      <c r="AE1507" s="232"/>
      <c r="AF1507" s="232"/>
      <c r="AG1507" s="208"/>
      <c r="AH1507" s="208"/>
      <c r="AI1507" s="208"/>
      <c r="AJ1507" s="208"/>
      <c r="AK1507" s="208"/>
    </row>
    <row r="1508">
      <c r="A1508" s="208"/>
      <c r="B1508" s="208"/>
      <c r="C1508" s="208"/>
      <c r="D1508" s="208"/>
      <c r="E1508" s="208"/>
      <c r="F1508" s="208"/>
      <c r="G1508" s="208"/>
      <c r="H1508" s="232"/>
      <c r="I1508" s="233"/>
      <c r="J1508" s="208"/>
      <c r="K1508" s="208"/>
      <c r="L1508" s="208"/>
      <c r="M1508" s="208"/>
      <c r="N1508" s="208"/>
      <c r="O1508" s="208"/>
      <c r="P1508" s="208"/>
      <c r="Q1508" s="208"/>
      <c r="R1508" s="208"/>
      <c r="S1508" s="208"/>
      <c r="T1508" s="208"/>
      <c r="U1508" s="208"/>
      <c r="V1508" s="234"/>
      <c r="W1508" s="232"/>
      <c r="X1508" s="232"/>
      <c r="Y1508" s="232"/>
      <c r="Z1508" s="232"/>
      <c r="AA1508" s="232"/>
      <c r="AB1508" s="232"/>
      <c r="AC1508" s="232"/>
      <c r="AD1508" s="232"/>
      <c r="AE1508" s="232"/>
      <c r="AF1508" s="232"/>
      <c r="AG1508" s="208"/>
      <c r="AH1508" s="208"/>
      <c r="AI1508" s="208"/>
      <c r="AJ1508" s="208"/>
      <c r="AK1508" s="208"/>
    </row>
    <row r="1509">
      <c r="A1509" s="208"/>
      <c r="B1509" s="208"/>
      <c r="C1509" s="208"/>
      <c r="D1509" s="208"/>
      <c r="E1509" s="208"/>
      <c r="F1509" s="208"/>
      <c r="G1509" s="208"/>
      <c r="H1509" s="232"/>
      <c r="I1509" s="233"/>
      <c r="J1509" s="208"/>
      <c r="K1509" s="208"/>
      <c r="L1509" s="208"/>
      <c r="M1509" s="208"/>
      <c r="N1509" s="208"/>
      <c r="O1509" s="208"/>
      <c r="P1509" s="208"/>
      <c r="Q1509" s="208"/>
      <c r="R1509" s="208"/>
      <c r="S1509" s="208"/>
      <c r="T1509" s="208"/>
      <c r="U1509" s="208"/>
      <c r="V1509" s="234"/>
      <c r="W1509" s="232"/>
      <c r="X1509" s="232"/>
      <c r="Y1509" s="232"/>
      <c r="Z1509" s="232"/>
      <c r="AA1509" s="232"/>
      <c r="AB1509" s="232"/>
      <c r="AC1509" s="232"/>
      <c r="AD1509" s="232"/>
      <c r="AE1509" s="232"/>
      <c r="AF1509" s="232"/>
      <c r="AG1509" s="208"/>
      <c r="AH1509" s="208"/>
      <c r="AI1509" s="208"/>
      <c r="AJ1509" s="208"/>
      <c r="AK1509" s="208"/>
    </row>
    <row r="1510">
      <c r="A1510" s="208"/>
      <c r="B1510" s="208"/>
      <c r="C1510" s="208"/>
      <c r="D1510" s="208"/>
      <c r="E1510" s="208"/>
      <c r="F1510" s="208"/>
      <c r="G1510" s="208"/>
      <c r="H1510" s="232"/>
      <c r="I1510" s="233"/>
      <c r="J1510" s="208"/>
      <c r="K1510" s="208"/>
      <c r="L1510" s="208"/>
      <c r="M1510" s="208"/>
      <c r="N1510" s="208"/>
      <c r="O1510" s="208"/>
      <c r="P1510" s="208"/>
      <c r="Q1510" s="208"/>
      <c r="R1510" s="208"/>
      <c r="S1510" s="208"/>
      <c r="T1510" s="208"/>
      <c r="U1510" s="208"/>
      <c r="V1510" s="234"/>
      <c r="W1510" s="232"/>
      <c r="X1510" s="232"/>
      <c r="Y1510" s="232"/>
      <c r="Z1510" s="232"/>
      <c r="AA1510" s="232"/>
      <c r="AB1510" s="232"/>
      <c r="AC1510" s="232"/>
      <c r="AD1510" s="232"/>
      <c r="AE1510" s="232"/>
      <c r="AF1510" s="232"/>
      <c r="AG1510" s="208"/>
      <c r="AH1510" s="208"/>
      <c r="AI1510" s="208"/>
      <c r="AJ1510" s="208"/>
      <c r="AK1510" s="208"/>
    </row>
    <row r="1511">
      <c r="A1511" s="208"/>
      <c r="B1511" s="208"/>
      <c r="C1511" s="208"/>
      <c r="D1511" s="208"/>
      <c r="E1511" s="208"/>
      <c r="F1511" s="208"/>
      <c r="G1511" s="208"/>
      <c r="H1511" s="232"/>
      <c r="I1511" s="233"/>
      <c r="J1511" s="208"/>
      <c r="K1511" s="208"/>
      <c r="L1511" s="208"/>
      <c r="M1511" s="208"/>
      <c r="N1511" s="208"/>
      <c r="O1511" s="208"/>
      <c r="P1511" s="208"/>
      <c r="Q1511" s="208"/>
      <c r="R1511" s="208"/>
      <c r="S1511" s="208"/>
      <c r="T1511" s="208"/>
      <c r="U1511" s="208"/>
      <c r="V1511" s="234"/>
      <c r="W1511" s="232"/>
      <c r="X1511" s="232"/>
      <c r="Y1511" s="232"/>
      <c r="Z1511" s="232"/>
      <c r="AA1511" s="232"/>
      <c r="AB1511" s="232"/>
      <c r="AC1511" s="232"/>
      <c r="AD1511" s="232"/>
      <c r="AE1511" s="232"/>
      <c r="AF1511" s="232"/>
      <c r="AG1511" s="208"/>
      <c r="AH1511" s="208"/>
      <c r="AI1511" s="208"/>
      <c r="AJ1511" s="208"/>
      <c r="AK1511" s="208"/>
    </row>
    <row r="1512">
      <c r="A1512" s="208"/>
      <c r="B1512" s="208"/>
      <c r="C1512" s="208"/>
      <c r="D1512" s="208"/>
      <c r="E1512" s="208"/>
      <c r="F1512" s="208"/>
      <c r="G1512" s="208"/>
      <c r="H1512" s="232"/>
      <c r="I1512" s="233"/>
      <c r="J1512" s="208"/>
      <c r="K1512" s="208"/>
      <c r="L1512" s="208"/>
      <c r="M1512" s="208"/>
      <c r="N1512" s="208"/>
      <c r="O1512" s="208"/>
      <c r="P1512" s="208"/>
      <c r="Q1512" s="208"/>
      <c r="R1512" s="208"/>
      <c r="S1512" s="208"/>
      <c r="T1512" s="208"/>
      <c r="U1512" s="208"/>
      <c r="V1512" s="234"/>
      <c r="W1512" s="232"/>
      <c r="X1512" s="232"/>
      <c r="Y1512" s="232"/>
      <c r="Z1512" s="232"/>
      <c r="AA1512" s="232"/>
      <c r="AB1512" s="232"/>
      <c r="AC1512" s="232"/>
      <c r="AD1512" s="232"/>
      <c r="AE1512" s="232"/>
      <c r="AF1512" s="232"/>
      <c r="AG1512" s="208"/>
      <c r="AH1512" s="208"/>
      <c r="AI1512" s="208"/>
      <c r="AJ1512" s="208"/>
      <c r="AK1512" s="208"/>
    </row>
    <row r="1513">
      <c r="A1513" s="208"/>
      <c r="B1513" s="208"/>
      <c r="C1513" s="208"/>
      <c r="D1513" s="208"/>
      <c r="E1513" s="208"/>
      <c r="F1513" s="208"/>
      <c r="G1513" s="208"/>
      <c r="H1513" s="232"/>
      <c r="I1513" s="233"/>
      <c r="J1513" s="208"/>
      <c r="K1513" s="208"/>
      <c r="L1513" s="208"/>
      <c r="M1513" s="208"/>
      <c r="N1513" s="208"/>
      <c r="O1513" s="208"/>
      <c r="P1513" s="208"/>
      <c r="Q1513" s="208"/>
      <c r="R1513" s="208"/>
      <c r="S1513" s="208"/>
      <c r="T1513" s="208"/>
      <c r="U1513" s="208"/>
      <c r="V1513" s="234"/>
      <c r="W1513" s="232"/>
      <c r="X1513" s="232"/>
      <c r="Y1513" s="232"/>
      <c r="Z1513" s="232"/>
      <c r="AA1513" s="232"/>
      <c r="AB1513" s="232"/>
      <c r="AC1513" s="232"/>
      <c r="AD1513" s="232"/>
      <c r="AE1513" s="232"/>
      <c r="AF1513" s="232"/>
      <c r="AG1513" s="208"/>
      <c r="AH1513" s="208"/>
      <c r="AI1513" s="208"/>
      <c r="AJ1513" s="208"/>
      <c r="AK1513" s="208"/>
    </row>
    <row r="1514">
      <c r="A1514" s="208"/>
      <c r="B1514" s="208"/>
      <c r="C1514" s="208"/>
      <c r="D1514" s="208"/>
      <c r="E1514" s="208"/>
      <c r="F1514" s="208"/>
      <c r="G1514" s="208"/>
      <c r="H1514" s="232"/>
      <c r="I1514" s="233"/>
      <c r="J1514" s="208"/>
      <c r="K1514" s="208"/>
      <c r="L1514" s="208"/>
      <c r="M1514" s="208"/>
      <c r="N1514" s="208"/>
      <c r="O1514" s="208"/>
      <c r="P1514" s="208"/>
      <c r="Q1514" s="208"/>
      <c r="R1514" s="208"/>
      <c r="S1514" s="208"/>
      <c r="T1514" s="208"/>
      <c r="U1514" s="208"/>
      <c r="V1514" s="234"/>
      <c r="W1514" s="232"/>
      <c r="X1514" s="232"/>
      <c r="Y1514" s="232"/>
      <c r="Z1514" s="232"/>
      <c r="AA1514" s="232"/>
      <c r="AB1514" s="232"/>
      <c r="AC1514" s="232"/>
      <c r="AD1514" s="232"/>
      <c r="AE1514" s="232"/>
      <c r="AF1514" s="232"/>
      <c r="AG1514" s="208"/>
      <c r="AH1514" s="208"/>
      <c r="AI1514" s="208"/>
      <c r="AJ1514" s="208"/>
      <c r="AK1514" s="208"/>
    </row>
    <row r="1515">
      <c r="A1515" s="208"/>
      <c r="B1515" s="208"/>
      <c r="C1515" s="208"/>
      <c r="D1515" s="208"/>
      <c r="E1515" s="208"/>
      <c r="F1515" s="208"/>
      <c r="G1515" s="208"/>
      <c r="H1515" s="232"/>
      <c r="I1515" s="233"/>
      <c r="J1515" s="208"/>
      <c r="K1515" s="208"/>
      <c r="L1515" s="208"/>
      <c r="M1515" s="208"/>
      <c r="N1515" s="208"/>
      <c r="O1515" s="208"/>
      <c r="P1515" s="208"/>
      <c r="Q1515" s="208"/>
      <c r="R1515" s="208"/>
      <c r="S1515" s="208"/>
      <c r="T1515" s="208"/>
      <c r="U1515" s="208"/>
      <c r="V1515" s="234"/>
      <c r="W1515" s="232"/>
      <c r="X1515" s="232"/>
      <c r="Y1515" s="232"/>
      <c r="Z1515" s="232"/>
      <c r="AA1515" s="232"/>
      <c r="AB1515" s="232"/>
      <c r="AC1515" s="232"/>
      <c r="AD1515" s="232"/>
      <c r="AE1515" s="232"/>
      <c r="AF1515" s="232"/>
      <c r="AG1515" s="208"/>
      <c r="AH1515" s="208"/>
      <c r="AI1515" s="208"/>
      <c r="AJ1515" s="208"/>
      <c r="AK1515" s="208"/>
    </row>
    <row r="1516">
      <c r="A1516" s="208"/>
      <c r="B1516" s="208"/>
      <c r="C1516" s="208"/>
      <c r="D1516" s="208"/>
      <c r="E1516" s="208"/>
      <c r="F1516" s="208"/>
      <c r="G1516" s="208"/>
      <c r="H1516" s="232"/>
      <c r="I1516" s="233"/>
      <c r="J1516" s="208"/>
      <c r="K1516" s="208"/>
      <c r="L1516" s="208"/>
      <c r="M1516" s="208"/>
      <c r="N1516" s="208"/>
      <c r="O1516" s="208"/>
      <c r="P1516" s="208"/>
      <c r="Q1516" s="208"/>
      <c r="R1516" s="208"/>
      <c r="S1516" s="208"/>
      <c r="T1516" s="208"/>
      <c r="U1516" s="208"/>
      <c r="V1516" s="234"/>
      <c r="W1516" s="232"/>
      <c r="X1516" s="232"/>
      <c r="Y1516" s="232"/>
      <c r="Z1516" s="232"/>
      <c r="AA1516" s="232"/>
      <c r="AB1516" s="232"/>
      <c r="AC1516" s="232"/>
      <c r="AD1516" s="232"/>
      <c r="AE1516" s="232"/>
      <c r="AF1516" s="232"/>
      <c r="AG1516" s="208"/>
      <c r="AH1516" s="208"/>
      <c r="AI1516" s="208"/>
      <c r="AJ1516" s="208"/>
      <c r="AK1516" s="208"/>
    </row>
    <row r="1517">
      <c r="A1517" s="208"/>
      <c r="B1517" s="208"/>
      <c r="C1517" s="208"/>
      <c r="D1517" s="208"/>
      <c r="E1517" s="208"/>
      <c r="F1517" s="208"/>
      <c r="G1517" s="208"/>
      <c r="H1517" s="232"/>
      <c r="I1517" s="233"/>
      <c r="J1517" s="208"/>
      <c r="K1517" s="208"/>
      <c r="L1517" s="208"/>
      <c r="M1517" s="208"/>
      <c r="N1517" s="208"/>
      <c r="O1517" s="208"/>
      <c r="P1517" s="208"/>
      <c r="Q1517" s="208"/>
      <c r="R1517" s="208"/>
      <c r="S1517" s="208"/>
      <c r="T1517" s="208"/>
      <c r="U1517" s="208"/>
      <c r="V1517" s="234"/>
      <c r="W1517" s="232"/>
      <c r="X1517" s="232"/>
      <c r="Y1517" s="232"/>
      <c r="Z1517" s="232"/>
      <c r="AA1517" s="232"/>
      <c r="AB1517" s="232"/>
      <c r="AC1517" s="232"/>
      <c r="AD1517" s="232"/>
      <c r="AE1517" s="232"/>
      <c r="AF1517" s="232"/>
      <c r="AG1517" s="208"/>
      <c r="AH1517" s="208"/>
      <c r="AI1517" s="208"/>
      <c r="AJ1517" s="208"/>
      <c r="AK1517" s="208"/>
    </row>
    <row r="1518">
      <c r="A1518" s="208"/>
      <c r="B1518" s="208"/>
      <c r="C1518" s="208"/>
      <c r="D1518" s="208"/>
      <c r="E1518" s="208"/>
      <c r="F1518" s="208"/>
      <c r="G1518" s="208"/>
      <c r="H1518" s="232"/>
      <c r="I1518" s="233"/>
      <c r="J1518" s="208"/>
      <c r="K1518" s="208"/>
      <c r="L1518" s="208"/>
      <c r="M1518" s="208"/>
      <c r="N1518" s="208"/>
      <c r="O1518" s="208"/>
      <c r="P1518" s="208"/>
      <c r="Q1518" s="208"/>
      <c r="R1518" s="208"/>
      <c r="S1518" s="208"/>
      <c r="T1518" s="208"/>
      <c r="U1518" s="208"/>
      <c r="V1518" s="234"/>
      <c r="W1518" s="232"/>
      <c r="X1518" s="232"/>
      <c r="Y1518" s="232"/>
      <c r="Z1518" s="232"/>
      <c r="AA1518" s="232"/>
      <c r="AB1518" s="232"/>
      <c r="AC1518" s="232"/>
      <c r="AD1518" s="232"/>
      <c r="AE1518" s="232"/>
      <c r="AF1518" s="232"/>
      <c r="AG1518" s="208"/>
      <c r="AH1518" s="208"/>
      <c r="AI1518" s="208"/>
      <c r="AJ1518" s="208"/>
      <c r="AK1518" s="208"/>
    </row>
    <row r="1519">
      <c r="A1519" s="208"/>
      <c r="B1519" s="208"/>
      <c r="C1519" s="208"/>
      <c r="D1519" s="208"/>
      <c r="E1519" s="208"/>
      <c r="F1519" s="208"/>
      <c r="G1519" s="208"/>
      <c r="H1519" s="232"/>
      <c r="I1519" s="233"/>
      <c r="J1519" s="208"/>
      <c r="K1519" s="208"/>
      <c r="L1519" s="208"/>
      <c r="M1519" s="208"/>
      <c r="N1519" s="208"/>
      <c r="O1519" s="208"/>
      <c r="P1519" s="208"/>
      <c r="Q1519" s="208"/>
      <c r="R1519" s="208"/>
      <c r="S1519" s="208"/>
      <c r="T1519" s="208"/>
      <c r="U1519" s="208"/>
      <c r="V1519" s="234"/>
      <c r="W1519" s="232"/>
      <c r="X1519" s="232"/>
      <c r="Y1519" s="232"/>
      <c r="Z1519" s="232"/>
      <c r="AA1519" s="232"/>
      <c r="AB1519" s="232"/>
      <c r="AC1519" s="232"/>
      <c r="AD1519" s="232"/>
      <c r="AE1519" s="232"/>
      <c r="AF1519" s="232"/>
      <c r="AG1519" s="208"/>
      <c r="AH1519" s="208"/>
      <c r="AI1519" s="208"/>
      <c r="AJ1519" s="208"/>
      <c r="AK1519" s="208"/>
    </row>
    <row r="1520">
      <c r="A1520" s="208"/>
      <c r="B1520" s="208"/>
      <c r="C1520" s="208"/>
      <c r="D1520" s="208"/>
      <c r="E1520" s="208"/>
      <c r="F1520" s="208"/>
      <c r="G1520" s="208"/>
      <c r="H1520" s="232"/>
      <c r="I1520" s="233"/>
      <c r="J1520" s="208"/>
      <c r="K1520" s="208"/>
      <c r="L1520" s="208"/>
      <c r="M1520" s="208"/>
      <c r="N1520" s="208"/>
      <c r="O1520" s="208"/>
      <c r="P1520" s="208"/>
      <c r="Q1520" s="208"/>
      <c r="R1520" s="208"/>
      <c r="S1520" s="208"/>
      <c r="T1520" s="208"/>
      <c r="U1520" s="208"/>
      <c r="V1520" s="234"/>
      <c r="W1520" s="232"/>
      <c r="X1520" s="232"/>
      <c r="Y1520" s="232"/>
      <c r="Z1520" s="232"/>
      <c r="AA1520" s="232"/>
      <c r="AB1520" s="232"/>
      <c r="AC1520" s="232"/>
      <c r="AD1520" s="232"/>
      <c r="AE1520" s="232"/>
      <c r="AF1520" s="232"/>
      <c r="AG1520" s="208"/>
      <c r="AH1520" s="208"/>
      <c r="AI1520" s="208"/>
      <c r="AJ1520" s="208"/>
      <c r="AK1520" s="208"/>
    </row>
    <row r="1521">
      <c r="A1521" s="208"/>
      <c r="B1521" s="208"/>
      <c r="C1521" s="208"/>
      <c r="D1521" s="208"/>
      <c r="E1521" s="208"/>
      <c r="F1521" s="208"/>
      <c r="G1521" s="208"/>
      <c r="H1521" s="232"/>
      <c r="I1521" s="233"/>
      <c r="J1521" s="208"/>
      <c r="K1521" s="208"/>
      <c r="L1521" s="208"/>
      <c r="M1521" s="208"/>
      <c r="N1521" s="208"/>
      <c r="O1521" s="208"/>
      <c r="P1521" s="208"/>
      <c r="Q1521" s="208"/>
      <c r="R1521" s="208"/>
      <c r="S1521" s="208"/>
      <c r="T1521" s="208"/>
      <c r="U1521" s="208"/>
      <c r="V1521" s="234"/>
      <c r="W1521" s="232"/>
      <c r="X1521" s="232"/>
      <c r="Y1521" s="232"/>
      <c r="Z1521" s="232"/>
      <c r="AA1521" s="232"/>
      <c r="AB1521" s="232"/>
      <c r="AC1521" s="232"/>
      <c r="AD1521" s="232"/>
      <c r="AE1521" s="232"/>
      <c r="AF1521" s="232"/>
      <c r="AG1521" s="208"/>
      <c r="AH1521" s="208"/>
      <c r="AI1521" s="208"/>
      <c r="AJ1521" s="208"/>
      <c r="AK1521" s="208"/>
    </row>
    <row r="1522">
      <c r="A1522" s="208"/>
      <c r="B1522" s="208"/>
      <c r="C1522" s="208"/>
      <c r="D1522" s="208"/>
      <c r="E1522" s="208"/>
      <c r="F1522" s="208"/>
      <c r="G1522" s="208"/>
      <c r="H1522" s="232"/>
      <c r="I1522" s="233"/>
      <c r="J1522" s="208"/>
      <c r="K1522" s="208"/>
      <c r="L1522" s="208"/>
      <c r="M1522" s="208"/>
      <c r="N1522" s="208"/>
      <c r="O1522" s="208"/>
      <c r="P1522" s="208"/>
      <c r="Q1522" s="208"/>
      <c r="R1522" s="208"/>
      <c r="S1522" s="208"/>
      <c r="T1522" s="208"/>
      <c r="U1522" s="208"/>
      <c r="V1522" s="234"/>
      <c r="W1522" s="232"/>
      <c r="X1522" s="232"/>
      <c r="Y1522" s="232"/>
      <c r="Z1522" s="232"/>
      <c r="AA1522" s="232"/>
      <c r="AB1522" s="232"/>
      <c r="AC1522" s="232"/>
      <c r="AD1522" s="232"/>
      <c r="AE1522" s="232"/>
      <c r="AF1522" s="232"/>
      <c r="AG1522" s="208"/>
      <c r="AH1522" s="208"/>
      <c r="AI1522" s="208"/>
      <c r="AJ1522" s="208"/>
      <c r="AK1522" s="208"/>
    </row>
    <row r="1523">
      <c r="A1523" s="208"/>
      <c r="B1523" s="208"/>
      <c r="C1523" s="208"/>
      <c r="D1523" s="208"/>
      <c r="E1523" s="208"/>
      <c r="F1523" s="208"/>
      <c r="G1523" s="208"/>
      <c r="H1523" s="232"/>
      <c r="I1523" s="233"/>
      <c r="J1523" s="208"/>
      <c r="K1523" s="208"/>
      <c r="L1523" s="208"/>
      <c r="M1523" s="208"/>
      <c r="N1523" s="208"/>
      <c r="O1523" s="208"/>
      <c r="P1523" s="208"/>
      <c r="Q1523" s="208"/>
      <c r="R1523" s="208"/>
      <c r="S1523" s="208"/>
      <c r="T1523" s="208"/>
      <c r="U1523" s="208"/>
      <c r="V1523" s="234"/>
      <c r="W1523" s="232"/>
      <c r="X1523" s="232"/>
      <c r="Y1523" s="232"/>
      <c r="Z1523" s="232"/>
      <c r="AA1523" s="232"/>
      <c r="AB1523" s="232"/>
      <c r="AC1523" s="232"/>
      <c r="AD1523" s="232"/>
      <c r="AE1523" s="232"/>
      <c r="AF1523" s="232"/>
      <c r="AG1523" s="208"/>
      <c r="AH1523" s="208"/>
      <c r="AI1523" s="208"/>
      <c r="AJ1523" s="208"/>
      <c r="AK1523" s="208"/>
    </row>
    <row r="1524">
      <c r="A1524" s="208"/>
      <c r="B1524" s="208"/>
      <c r="C1524" s="208"/>
      <c r="D1524" s="208"/>
      <c r="E1524" s="208"/>
      <c r="F1524" s="208"/>
      <c r="G1524" s="208"/>
      <c r="H1524" s="232"/>
      <c r="I1524" s="233"/>
      <c r="J1524" s="208"/>
      <c r="K1524" s="208"/>
      <c r="L1524" s="208"/>
      <c r="M1524" s="208"/>
      <c r="N1524" s="208"/>
      <c r="O1524" s="208"/>
      <c r="P1524" s="208"/>
      <c r="Q1524" s="208"/>
      <c r="R1524" s="208"/>
      <c r="S1524" s="208"/>
      <c r="T1524" s="208"/>
      <c r="U1524" s="208"/>
      <c r="V1524" s="234"/>
      <c r="W1524" s="232"/>
      <c r="X1524" s="232"/>
      <c r="Y1524" s="232"/>
      <c r="Z1524" s="232"/>
      <c r="AA1524" s="232"/>
      <c r="AB1524" s="232"/>
      <c r="AC1524" s="232"/>
      <c r="AD1524" s="232"/>
      <c r="AE1524" s="232"/>
      <c r="AF1524" s="232"/>
      <c r="AG1524" s="208"/>
      <c r="AH1524" s="208"/>
      <c r="AI1524" s="208"/>
      <c r="AJ1524" s="208"/>
      <c r="AK1524" s="208"/>
    </row>
    <row r="1525">
      <c r="A1525" s="208"/>
      <c r="B1525" s="208"/>
      <c r="C1525" s="208"/>
      <c r="D1525" s="208"/>
      <c r="E1525" s="208"/>
      <c r="F1525" s="208"/>
      <c r="G1525" s="208"/>
      <c r="H1525" s="232"/>
      <c r="I1525" s="233"/>
      <c r="J1525" s="208"/>
      <c r="K1525" s="208"/>
      <c r="L1525" s="208"/>
      <c r="M1525" s="208"/>
      <c r="N1525" s="208"/>
      <c r="O1525" s="208"/>
      <c r="P1525" s="208"/>
      <c r="Q1525" s="208"/>
      <c r="R1525" s="208"/>
      <c r="S1525" s="208"/>
      <c r="T1525" s="208"/>
      <c r="U1525" s="208"/>
      <c r="V1525" s="234"/>
      <c r="W1525" s="232"/>
      <c r="X1525" s="232"/>
      <c r="Y1525" s="232"/>
      <c r="Z1525" s="232"/>
      <c r="AA1525" s="232"/>
      <c r="AB1525" s="232"/>
      <c r="AC1525" s="232"/>
      <c r="AD1525" s="232"/>
      <c r="AE1525" s="232"/>
      <c r="AF1525" s="232"/>
      <c r="AG1525" s="208"/>
      <c r="AH1525" s="208"/>
      <c r="AI1525" s="208"/>
      <c r="AJ1525" s="208"/>
      <c r="AK1525" s="208"/>
    </row>
    <row r="1526">
      <c r="A1526" s="208"/>
      <c r="B1526" s="208"/>
      <c r="C1526" s="208"/>
      <c r="D1526" s="208"/>
      <c r="E1526" s="208"/>
      <c r="F1526" s="208"/>
      <c r="G1526" s="208"/>
      <c r="H1526" s="232"/>
      <c r="I1526" s="233"/>
      <c r="J1526" s="208"/>
      <c r="K1526" s="208"/>
      <c r="L1526" s="208"/>
      <c r="M1526" s="208"/>
      <c r="N1526" s="208"/>
      <c r="O1526" s="208"/>
      <c r="P1526" s="208"/>
      <c r="Q1526" s="208"/>
      <c r="R1526" s="208"/>
      <c r="S1526" s="208"/>
      <c r="T1526" s="208"/>
      <c r="U1526" s="208"/>
      <c r="V1526" s="234"/>
      <c r="W1526" s="232"/>
      <c r="X1526" s="232"/>
      <c r="Y1526" s="232"/>
      <c r="Z1526" s="232"/>
      <c r="AA1526" s="232"/>
      <c r="AB1526" s="232"/>
      <c r="AC1526" s="232"/>
      <c r="AD1526" s="232"/>
      <c r="AE1526" s="232"/>
      <c r="AF1526" s="232"/>
      <c r="AG1526" s="208"/>
      <c r="AH1526" s="208"/>
      <c r="AI1526" s="208"/>
      <c r="AJ1526" s="208"/>
      <c r="AK1526" s="208"/>
    </row>
    <row r="1527">
      <c r="A1527" s="208"/>
      <c r="B1527" s="208"/>
      <c r="C1527" s="208"/>
      <c r="D1527" s="208"/>
      <c r="E1527" s="208"/>
      <c r="F1527" s="208"/>
      <c r="G1527" s="208"/>
      <c r="H1527" s="232"/>
      <c r="I1527" s="233"/>
      <c r="J1527" s="208"/>
      <c r="K1527" s="208"/>
      <c r="L1527" s="208"/>
      <c r="M1527" s="208"/>
      <c r="N1527" s="208"/>
      <c r="O1527" s="208"/>
      <c r="P1527" s="208"/>
      <c r="Q1527" s="208"/>
      <c r="R1527" s="208"/>
      <c r="S1527" s="208"/>
      <c r="T1527" s="208"/>
      <c r="U1527" s="208"/>
      <c r="V1527" s="234"/>
      <c r="W1527" s="232"/>
      <c r="X1527" s="232"/>
      <c r="Y1527" s="232"/>
      <c r="Z1527" s="232"/>
      <c r="AA1527" s="232"/>
      <c r="AB1527" s="232"/>
      <c r="AC1527" s="232"/>
      <c r="AD1527" s="232"/>
      <c r="AE1527" s="232"/>
      <c r="AF1527" s="232"/>
      <c r="AG1527" s="208"/>
      <c r="AH1527" s="208"/>
      <c r="AI1527" s="208"/>
      <c r="AJ1527" s="208"/>
      <c r="AK1527" s="208"/>
    </row>
    <row r="1528">
      <c r="A1528" s="208"/>
      <c r="B1528" s="208"/>
      <c r="C1528" s="208"/>
      <c r="D1528" s="208"/>
      <c r="E1528" s="208"/>
      <c r="F1528" s="208"/>
      <c r="G1528" s="208"/>
      <c r="H1528" s="232"/>
      <c r="I1528" s="233"/>
      <c r="J1528" s="208"/>
      <c r="K1528" s="208"/>
      <c r="L1528" s="208"/>
      <c r="M1528" s="208"/>
      <c r="N1528" s="208"/>
      <c r="O1528" s="208"/>
      <c r="P1528" s="208"/>
      <c r="Q1528" s="208"/>
      <c r="R1528" s="208"/>
      <c r="S1528" s="208"/>
      <c r="T1528" s="208"/>
      <c r="U1528" s="208"/>
      <c r="V1528" s="234"/>
      <c r="W1528" s="232"/>
      <c r="X1528" s="232"/>
      <c r="Y1528" s="232"/>
      <c r="Z1528" s="232"/>
      <c r="AA1528" s="232"/>
      <c r="AB1528" s="232"/>
      <c r="AC1528" s="232"/>
      <c r="AD1528" s="232"/>
      <c r="AE1528" s="232"/>
      <c r="AF1528" s="232"/>
      <c r="AG1528" s="208"/>
      <c r="AH1528" s="208"/>
      <c r="AI1528" s="208"/>
      <c r="AJ1528" s="208"/>
      <c r="AK1528" s="208"/>
    </row>
    <row r="1529">
      <c r="A1529" s="208"/>
      <c r="B1529" s="208"/>
      <c r="C1529" s="208"/>
      <c r="D1529" s="208"/>
      <c r="E1529" s="208"/>
      <c r="F1529" s="208"/>
      <c r="G1529" s="208"/>
      <c r="H1529" s="232"/>
      <c r="I1529" s="233"/>
      <c r="J1529" s="208"/>
      <c r="K1529" s="208"/>
      <c r="L1529" s="208"/>
      <c r="M1529" s="208"/>
      <c r="N1529" s="208"/>
      <c r="O1529" s="208"/>
      <c r="P1529" s="208"/>
      <c r="Q1529" s="208"/>
      <c r="R1529" s="208"/>
      <c r="S1529" s="208"/>
      <c r="T1529" s="208"/>
      <c r="U1529" s="208"/>
      <c r="V1529" s="234"/>
      <c r="W1529" s="232"/>
      <c r="X1529" s="232"/>
      <c r="Y1529" s="232"/>
      <c r="Z1529" s="232"/>
      <c r="AA1529" s="232"/>
      <c r="AB1529" s="232"/>
      <c r="AC1529" s="232"/>
      <c r="AD1529" s="232"/>
      <c r="AE1529" s="232"/>
      <c r="AF1529" s="232"/>
      <c r="AG1529" s="208"/>
      <c r="AH1529" s="208"/>
      <c r="AI1529" s="208"/>
      <c r="AJ1529" s="208"/>
      <c r="AK1529" s="208"/>
    </row>
    <row r="1530">
      <c r="A1530" s="208"/>
      <c r="B1530" s="208"/>
      <c r="C1530" s="208"/>
      <c r="D1530" s="208"/>
      <c r="E1530" s="208"/>
      <c r="F1530" s="208"/>
      <c r="G1530" s="208"/>
      <c r="H1530" s="232"/>
      <c r="I1530" s="233"/>
      <c r="J1530" s="208"/>
      <c r="K1530" s="208"/>
      <c r="L1530" s="208"/>
      <c r="M1530" s="208"/>
      <c r="N1530" s="208"/>
      <c r="O1530" s="208"/>
      <c r="P1530" s="208"/>
      <c r="Q1530" s="208"/>
      <c r="R1530" s="208"/>
      <c r="S1530" s="208"/>
      <c r="T1530" s="208"/>
      <c r="U1530" s="208"/>
      <c r="V1530" s="234"/>
      <c r="W1530" s="232"/>
      <c r="X1530" s="232"/>
      <c r="Y1530" s="232"/>
      <c r="Z1530" s="232"/>
      <c r="AA1530" s="232"/>
      <c r="AB1530" s="232"/>
      <c r="AC1530" s="232"/>
      <c r="AD1530" s="232"/>
      <c r="AE1530" s="232"/>
      <c r="AF1530" s="232"/>
      <c r="AG1530" s="208"/>
      <c r="AH1530" s="208"/>
      <c r="AI1530" s="208"/>
      <c r="AJ1530" s="208"/>
      <c r="AK1530" s="208"/>
    </row>
    <row r="1531">
      <c r="A1531" s="208"/>
      <c r="B1531" s="208"/>
      <c r="C1531" s="208"/>
      <c r="D1531" s="208"/>
      <c r="E1531" s="208"/>
      <c r="F1531" s="208"/>
      <c r="G1531" s="208"/>
      <c r="H1531" s="232"/>
      <c r="I1531" s="233"/>
      <c r="J1531" s="208"/>
      <c r="K1531" s="208"/>
      <c r="L1531" s="208"/>
      <c r="M1531" s="208"/>
      <c r="N1531" s="208"/>
      <c r="O1531" s="208"/>
      <c r="P1531" s="208"/>
      <c r="Q1531" s="208"/>
      <c r="R1531" s="208"/>
      <c r="S1531" s="208"/>
      <c r="T1531" s="208"/>
      <c r="U1531" s="208"/>
      <c r="V1531" s="234"/>
      <c r="W1531" s="232"/>
      <c r="X1531" s="232"/>
      <c r="Y1531" s="232"/>
      <c r="Z1531" s="232"/>
      <c r="AA1531" s="232"/>
      <c r="AB1531" s="232"/>
      <c r="AC1531" s="232"/>
      <c r="AD1531" s="232"/>
      <c r="AE1531" s="232"/>
      <c r="AF1531" s="232"/>
      <c r="AG1531" s="208"/>
      <c r="AH1531" s="208"/>
      <c r="AI1531" s="208"/>
      <c r="AJ1531" s="208"/>
      <c r="AK1531" s="208"/>
    </row>
    <row r="1532">
      <c r="A1532" s="208"/>
      <c r="B1532" s="208"/>
      <c r="C1532" s="208"/>
      <c r="D1532" s="208"/>
      <c r="E1532" s="208"/>
      <c r="F1532" s="208"/>
      <c r="G1532" s="208"/>
      <c r="H1532" s="232"/>
      <c r="I1532" s="233"/>
      <c r="J1532" s="208"/>
      <c r="K1532" s="208"/>
      <c r="L1532" s="208"/>
      <c r="M1532" s="208"/>
      <c r="N1532" s="208"/>
      <c r="O1532" s="208"/>
      <c r="P1532" s="208"/>
      <c r="Q1532" s="208"/>
      <c r="R1532" s="208"/>
      <c r="S1532" s="208"/>
      <c r="T1532" s="208"/>
      <c r="U1532" s="208"/>
      <c r="V1532" s="234"/>
      <c r="W1532" s="232"/>
      <c r="X1532" s="232"/>
      <c r="Y1532" s="232"/>
      <c r="Z1532" s="232"/>
      <c r="AA1532" s="232"/>
      <c r="AB1532" s="232"/>
      <c r="AC1532" s="232"/>
      <c r="AD1532" s="232"/>
      <c r="AE1532" s="232"/>
      <c r="AF1532" s="232"/>
      <c r="AG1532" s="208"/>
      <c r="AH1532" s="208"/>
      <c r="AI1532" s="208"/>
      <c r="AJ1532" s="208"/>
      <c r="AK1532" s="208"/>
    </row>
    <row r="1533">
      <c r="A1533" s="208"/>
      <c r="B1533" s="208"/>
      <c r="C1533" s="208"/>
      <c r="D1533" s="208"/>
      <c r="E1533" s="208"/>
      <c r="F1533" s="208"/>
      <c r="G1533" s="208"/>
      <c r="H1533" s="232"/>
      <c r="I1533" s="233"/>
      <c r="J1533" s="208"/>
      <c r="K1533" s="208"/>
      <c r="L1533" s="208"/>
      <c r="M1533" s="208"/>
      <c r="N1533" s="208"/>
      <c r="O1533" s="208"/>
      <c r="P1533" s="208"/>
      <c r="Q1533" s="208"/>
      <c r="R1533" s="208"/>
      <c r="S1533" s="208"/>
      <c r="T1533" s="208"/>
      <c r="U1533" s="208"/>
      <c r="V1533" s="234"/>
      <c r="W1533" s="232"/>
      <c r="X1533" s="232"/>
      <c r="Y1533" s="232"/>
      <c r="Z1533" s="232"/>
      <c r="AA1533" s="232"/>
      <c r="AB1533" s="232"/>
      <c r="AC1533" s="232"/>
      <c r="AD1533" s="232"/>
      <c r="AE1533" s="232"/>
      <c r="AF1533" s="232"/>
      <c r="AG1533" s="208"/>
      <c r="AH1533" s="208"/>
      <c r="AI1533" s="208"/>
      <c r="AJ1533" s="208"/>
      <c r="AK1533" s="208"/>
    </row>
    <row r="1534">
      <c r="A1534" s="208"/>
      <c r="B1534" s="208"/>
      <c r="C1534" s="208"/>
      <c r="D1534" s="208"/>
      <c r="E1534" s="208"/>
      <c r="F1534" s="208"/>
      <c r="G1534" s="208"/>
      <c r="H1534" s="232"/>
      <c r="I1534" s="233"/>
      <c r="J1534" s="208"/>
      <c r="K1534" s="208"/>
      <c r="L1534" s="208"/>
      <c r="M1534" s="208"/>
      <c r="N1534" s="208"/>
      <c r="O1534" s="208"/>
      <c r="P1534" s="208"/>
      <c r="Q1534" s="208"/>
      <c r="R1534" s="208"/>
      <c r="S1534" s="208"/>
      <c r="T1534" s="208"/>
      <c r="U1534" s="208"/>
      <c r="V1534" s="234"/>
      <c r="W1534" s="232"/>
      <c r="X1534" s="232"/>
      <c r="Y1534" s="232"/>
      <c r="Z1534" s="232"/>
      <c r="AA1534" s="232"/>
      <c r="AB1534" s="232"/>
      <c r="AC1534" s="232"/>
      <c r="AD1534" s="232"/>
      <c r="AE1534" s="232"/>
      <c r="AF1534" s="232"/>
      <c r="AG1534" s="208"/>
      <c r="AH1534" s="208"/>
      <c r="AI1534" s="208"/>
      <c r="AJ1534" s="208"/>
      <c r="AK1534" s="208"/>
    </row>
    <row r="1535">
      <c r="A1535" s="208"/>
      <c r="B1535" s="208"/>
      <c r="C1535" s="208"/>
      <c r="D1535" s="208"/>
      <c r="E1535" s="208"/>
      <c r="F1535" s="208"/>
      <c r="G1535" s="208"/>
      <c r="H1535" s="232"/>
      <c r="I1535" s="233"/>
      <c r="J1535" s="208"/>
      <c r="K1535" s="208"/>
      <c r="L1535" s="208"/>
      <c r="M1535" s="208"/>
      <c r="N1535" s="208"/>
      <c r="O1535" s="208"/>
      <c r="P1535" s="208"/>
      <c r="Q1535" s="208"/>
      <c r="R1535" s="208"/>
      <c r="S1535" s="208"/>
      <c r="T1535" s="208"/>
      <c r="U1535" s="208"/>
      <c r="V1535" s="234"/>
      <c r="W1535" s="232"/>
      <c r="X1535" s="232"/>
      <c r="Y1535" s="232"/>
      <c r="Z1535" s="232"/>
      <c r="AA1535" s="232"/>
      <c r="AB1535" s="232"/>
      <c r="AC1535" s="232"/>
      <c r="AD1535" s="232"/>
      <c r="AE1535" s="232"/>
      <c r="AF1535" s="232"/>
      <c r="AG1535" s="208"/>
      <c r="AH1535" s="208"/>
      <c r="AI1535" s="208"/>
      <c r="AJ1535" s="208"/>
      <c r="AK1535" s="208"/>
    </row>
    <row r="1536">
      <c r="A1536" s="208"/>
      <c r="B1536" s="208"/>
      <c r="C1536" s="208"/>
      <c r="D1536" s="208"/>
      <c r="E1536" s="208"/>
      <c r="F1536" s="208"/>
      <c r="G1536" s="208"/>
      <c r="H1536" s="232"/>
      <c r="I1536" s="233"/>
      <c r="J1536" s="208"/>
      <c r="K1536" s="208"/>
      <c r="L1536" s="208"/>
      <c r="M1536" s="208"/>
      <c r="N1536" s="208"/>
      <c r="O1536" s="208"/>
      <c r="P1536" s="208"/>
      <c r="Q1536" s="208"/>
      <c r="R1536" s="208"/>
      <c r="S1536" s="208"/>
      <c r="T1536" s="208"/>
      <c r="U1536" s="208"/>
      <c r="V1536" s="234"/>
      <c r="W1536" s="232"/>
      <c r="X1536" s="232"/>
      <c r="Y1536" s="232"/>
      <c r="Z1536" s="232"/>
      <c r="AA1536" s="232"/>
      <c r="AB1536" s="232"/>
      <c r="AC1536" s="232"/>
      <c r="AD1536" s="232"/>
      <c r="AE1536" s="232"/>
      <c r="AF1536" s="232"/>
      <c r="AG1536" s="208"/>
      <c r="AH1536" s="208"/>
      <c r="AI1536" s="208"/>
      <c r="AJ1536" s="208"/>
      <c r="AK1536" s="208"/>
    </row>
    <row r="1537">
      <c r="A1537" s="208"/>
      <c r="B1537" s="208"/>
      <c r="C1537" s="208"/>
      <c r="D1537" s="208"/>
      <c r="E1537" s="208"/>
      <c r="F1537" s="208"/>
      <c r="G1537" s="208"/>
      <c r="H1537" s="232"/>
      <c r="I1537" s="233"/>
      <c r="J1537" s="208"/>
      <c r="K1537" s="208"/>
      <c r="L1537" s="208"/>
      <c r="M1537" s="208"/>
      <c r="N1537" s="208"/>
      <c r="O1537" s="208"/>
      <c r="P1537" s="208"/>
      <c r="Q1537" s="208"/>
      <c r="R1537" s="208"/>
      <c r="S1537" s="208"/>
      <c r="T1537" s="208"/>
      <c r="U1537" s="208"/>
      <c r="V1537" s="234"/>
      <c r="W1537" s="232"/>
      <c r="X1537" s="232"/>
      <c r="Y1537" s="232"/>
      <c r="Z1537" s="232"/>
      <c r="AA1537" s="232"/>
      <c r="AB1537" s="232"/>
      <c r="AC1537" s="232"/>
      <c r="AD1537" s="232"/>
      <c r="AE1537" s="232"/>
      <c r="AF1537" s="232"/>
      <c r="AG1537" s="208"/>
      <c r="AH1537" s="208"/>
      <c r="AI1537" s="208"/>
      <c r="AJ1537" s="208"/>
      <c r="AK1537" s="208"/>
    </row>
    <row r="1538">
      <c r="A1538" s="208"/>
      <c r="B1538" s="208"/>
      <c r="C1538" s="208"/>
      <c r="D1538" s="208"/>
      <c r="E1538" s="208"/>
      <c r="F1538" s="208"/>
      <c r="G1538" s="208"/>
      <c r="H1538" s="232"/>
      <c r="I1538" s="233"/>
      <c r="J1538" s="208"/>
      <c r="K1538" s="208"/>
      <c r="L1538" s="208"/>
      <c r="M1538" s="208"/>
      <c r="N1538" s="208"/>
      <c r="O1538" s="208"/>
      <c r="P1538" s="208"/>
      <c r="Q1538" s="208"/>
      <c r="R1538" s="208"/>
      <c r="S1538" s="208"/>
      <c r="T1538" s="208"/>
      <c r="U1538" s="208"/>
      <c r="V1538" s="234"/>
      <c r="W1538" s="232"/>
      <c r="X1538" s="232"/>
      <c r="Y1538" s="232"/>
      <c r="Z1538" s="232"/>
      <c r="AA1538" s="232"/>
      <c r="AB1538" s="232"/>
      <c r="AC1538" s="232"/>
      <c r="AD1538" s="232"/>
      <c r="AE1538" s="232"/>
      <c r="AF1538" s="232"/>
      <c r="AG1538" s="208"/>
      <c r="AH1538" s="208"/>
      <c r="AI1538" s="208"/>
      <c r="AJ1538" s="208"/>
      <c r="AK1538" s="208"/>
    </row>
    <row r="1539">
      <c r="A1539" s="208"/>
      <c r="B1539" s="208"/>
      <c r="C1539" s="208"/>
      <c r="D1539" s="208"/>
      <c r="E1539" s="208"/>
      <c r="F1539" s="208"/>
      <c r="G1539" s="208"/>
      <c r="H1539" s="232"/>
      <c r="I1539" s="233"/>
      <c r="J1539" s="208"/>
      <c r="K1539" s="208"/>
      <c r="L1539" s="208"/>
      <c r="M1539" s="208"/>
      <c r="N1539" s="208"/>
      <c r="O1539" s="208"/>
      <c r="P1539" s="208"/>
      <c r="Q1539" s="208"/>
      <c r="R1539" s="208"/>
      <c r="S1539" s="208"/>
      <c r="T1539" s="208"/>
      <c r="U1539" s="208"/>
      <c r="V1539" s="234"/>
      <c r="W1539" s="232"/>
      <c r="X1539" s="232"/>
      <c r="Y1539" s="232"/>
      <c r="Z1539" s="232"/>
      <c r="AA1539" s="232"/>
      <c r="AB1539" s="232"/>
      <c r="AC1539" s="232"/>
      <c r="AD1539" s="232"/>
      <c r="AE1539" s="232"/>
      <c r="AF1539" s="232"/>
      <c r="AG1539" s="208"/>
      <c r="AH1539" s="208"/>
      <c r="AI1539" s="208"/>
      <c r="AJ1539" s="208"/>
      <c r="AK1539" s="208"/>
    </row>
    <row r="1540">
      <c r="A1540" s="208"/>
      <c r="B1540" s="208"/>
      <c r="C1540" s="208"/>
      <c r="D1540" s="208"/>
      <c r="E1540" s="208"/>
      <c r="F1540" s="208"/>
      <c r="G1540" s="208"/>
      <c r="H1540" s="232"/>
      <c r="I1540" s="233"/>
      <c r="J1540" s="208"/>
      <c r="K1540" s="208"/>
      <c r="L1540" s="208"/>
      <c r="M1540" s="208"/>
      <c r="N1540" s="208"/>
      <c r="O1540" s="208"/>
      <c r="P1540" s="208"/>
      <c r="Q1540" s="208"/>
      <c r="R1540" s="208"/>
      <c r="S1540" s="208"/>
      <c r="T1540" s="208"/>
      <c r="U1540" s="208"/>
      <c r="V1540" s="234"/>
      <c r="W1540" s="232"/>
      <c r="X1540" s="232"/>
      <c r="Y1540" s="232"/>
      <c r="Z1540" s="232"/>
      <c r="AA1540" s="232"/>
      <c r="AB1540" s="232"/>
      <c r="AC1540" s="232"/>
      <c r="AD1540" s="232"/>
      <c r="AE1540" s="232"/>
      <c r="AF1540" s="232"/>
      <c r="AG1540" s="208"/>
      <c r="AH1540" s="208"/>
      <c r="AI1540" s="208"/>
      <c r="AJ1540" s="208"/>
      <c r="AK1540" s="208"/>
    </row>
    <row r="1541">
      <c r="A1541" s="208"/>
      <c r="B1541" s="208"/>
      <c r="C1541" s="208"/>
      <c r="D1541" s="208"/>
      <c r="E1541" s="208"/>
      <c r="F1541" s="208"/>
      <c r="G1541" s="208"/>
      <c r="H1541" s="232"/>
      <c r="I1541" s="233"/>
      <c r="J1541" s="208"/>
      <c r="K1541" s="208"/>
      <c r="L1541" s="208"/>
      <c r="M1541" s="208"/>
      <c r="N1541" s="208"/>
      <c r="O1541" s="208"/>
      <c r="P1541" s="208"/>
      <c r="Q1541" s="208"/>
      <c r="R1541" s="208"/>
      <c r="S1541" s="208"/>
      <c r="T1541" s="208"/>
      <c r="U1541" s="208"/>
      <c r="V1541" s="234"/>
      <c r="W1541" s="232"/>
      <c r="X1541" s="232"/>
      <c r="Y1541" s="232"/>
      <c r="Z1541" s="232"/>
      <c r="AA1541" s="232"/>
      <c r="AB1541" s="232"/>
      <c r="AC1541" s="232"/>
      <c r="AD1541" s="232"/>
      <c r="AE1541" s="232"/>
      <c r="AF1541" s="232"/>
      <c r="AG1541" s="208"/>
      <c r="AH1541" s="208"/>
      <c r="AI1541" s="208"/>
      <c r="AJ1541" s="208"/>
      <c r="AK1541" s="208"/>
    </row>
    <row r="1542">
      <c r="A1542" s="208"/>
      <c r="B1542" s="208"/>
      <c r="C1542" s="208"/>
      <c r="D1542" s="208"/>
      <c r="E1542" s="208"/>
      <c r="F1542" s="208"/>
      <c r="G1542" s="208"/>
      <c r="H1542" s="232"/>
      <c r="I1542" s="233"/>
      <c r="J1542" s="208"/>
      <c r="K1542" s="208"/>
      <c r="L1542" s="208"/>
      <c r="M1542" s="208"/>
      <c r="N1542" s="208"/>
      <c r="O1542" s="208"/>
      <c r="P1542" s="208"/>
      <c r="Q1542" s="208"/>
      <c r="R1542" s="208"/>
      <c r="S1542" s="208"/>
      <c r="T1542" s="208"/>
      <c r="U1542" s="208"/>
      <c r="V1542" s="234"/>
      <c r="W1542" s="232"/>
      <c r="X1542" s="232"/>
      <c r="Y1542" s="232"/>
      <c r="Z1542" s="232"/>
      <c r="AA1542" s="232"/>
      <c r="AB1542" s="232"/>
      <c r="AC1542" s="232"/>
      <c r="AD1542" s="232"/>
      <c r="AE1542" s="232"/>
      <c r="AF1542" s="232"/>
      <c r="AG1542" s="208"/>
      <c r="AH1542" s="208"/>
      <c r="AI1542" s="208"/>
      <c r="AJ1542" s="208"/>
      <c r="AK1542" s="208"/>
    </row>
    <row r="1543">
      <c r="A1543" s="208"/>
      <c r="B1543" s="208"/>
      <c r="C1543" s="208"/>
      <c r="D1543" s="208"/>
      <c r="E1543" s="208"/>
      <c r="F1543" s="208"/>
      <c r="G1543" s="208"/>
      <c r="H1543" s="232"/>
      <c r="I1543" s="233"/>
      <c r="J1543" s="208"/>
      <c r="K1543" s="208"/>
      <c r="L1543" s="208"/>
      <c r="M1543" s="208"/>
      <c r="N1543" s="208"/>
      <c r="O1543" s="208"/>
      <c r="P1543" s="208"/>
      <c r="Q1543" s="208"/>
      <c r="R1543" s="208"/>
      <c r="S1543" s="208"/>
      <c r="T1543" s="208"/>
      <c r="U1543" s="208"/>
      <c r="V1543" s="234"/>
      <c r="W1543" s="232"/>
      <c r="X1543" s="232"/>
      <c r="Y1543" s="232"/>
      <c r="Z1543" s="232"/>
      <c r="AA1543" s="232"/>
      <c r="AB1543" s="232"/>
      <c r="AC1543" s="232"/>
      <c r="AD1543" s="232"/>
      <c r="AE1543" s="232"/>
      <c r="AF1543" s="232"/>
      <c r="AG1543" s="208"/>
      <c r="AH1543" s="208"/>
      <c r="AI1543" s="208"/>
      <c r="AJ1543" s="208"/>
      <c r="AK1543" s="208"/>
    </row>
    <row r="1544">
      <c r="A1544" s="208"/>
      <c r="B1544" s="208"/>
      <c r="C1544" s="208"/>
      <c r="D1544" s="208"/>
      <c r="E1544" s="208"/>
      <c r="F1544" s="208"/>
      <c r="G1544" s="208"/>
      <c r="H1544" s="232"/>
      <c r="I1544" s="233"/>
      <c r="J1544" s="208"/>
      <c r="K1544" s="208"/>
      <c r="L1544" s="208"/>
      <c r="M1544" s="208"/>
      <c r="N1544" s="208"/>
      <c r="O1544" s="208"/>
      <c r="P1544" s="208"/>
      <c r="Q1544" s="208"/>
      <c r="R1544" s="208"/>
      <c r="S1544" s="208"/>
      <c r="T1544" s="208"/>
      <c r="U1544" s="208"/>
      <c r="V1544" s="234"/>
      <c r="W1544" s="232"/>
      <c r="X1544" s="232"/>
      <c r="Y1544" s="232"/>
      <c r="Z1544" s="232"/>
      <c r="AA1544" s="232"/>
      <c r="AB1544" s="232"/>
      <c r="AC1544" s="232"/>
      <c r="AD1544" s="232"/>
      <c r="AE1544" s="232"/>
      <c r="AF1544" s="232"/>
      <c r="AG1544" s="208"/>
      <c r="AH1544" s="208"/>
      <c r="AI1544" s="208"/>
      <c r="AJ1544" s="208"/>
      <c r="AK1544" s="208"/>
    </row>
    <row r="1545">
      <c r="A1545" s="208"/>
      <c r="B1545" s="208"/>
      <c r="C1545" s="208"/>
      <c r="D1545" s="208"/>
      <c r="E1545" s="208"/>
      <c r="F1545" s="208"/>
      <c r="G1545" s="208"/>
      <c r="H1545" s="232"/>
      <c r="I1545" s="233"/>
      <c r="J1545" s="208"/>
      <c r="K1545" s="208"/>
      <c r="L1545" s="208"/>
      <c r="M1545" s="208"/>
      <c r="N1545" s="208"/>
      <c r="O1545" s="208"/>
      <c r="P1545" s="208"/>
      <c r="Q1545" s="208"/>
      <c r="R1545" s="208"/>
      <c r="S1545" s="208"/>
      <c r="T1545" s="208"/>
      <c r="U1545" s="208"/>
      <c r="V1545" s="234"/>
      <c r="W1545" s="232"/>
      <c r="X1545" s="232"/>
      <c r="Y1545" s="232"/>
      <c r="Z1545" s="232"/>
      <c r="AA1545" s="232"/>
      <c r="AB1545" s="232"/>
      <c r="AC1545" s="232"/>
      <c r="AD1545" s="232"/>
      <c r="AE1545" s="232"/>
      <c r="AF1545" s="232"/>
      <c r="AG1545" s="208"/>
      <c r="AH1545" s="208"/>
      <c r="AI1545" s="208"/>
      <c r="AJ1545" s="208"/>
      <c r="AK1545" s="208"/>
    </row>
    <row r="1546">
      <c r="A1546" s="208"/>
      <c r="B1546" s="208"/>
      <c r="C1546" s="208"/>
      <c r="D1546" s="208"/>
      <c r="E1546" s="208"/>
      <c r="F1546" s="208"/>
      <c r="G1546" s="208"/>
      <c r="H1546" s="232"/>
      <c r="I1546" s="233"/>
      <c r="J1546" s="208"/>
      <c r="K1546" s="208"/>
      <c r="L1546" s="208"/>
      <c r="M1546" s="208"/>
      <c r="N1546" s="208"/>
      <c r="O1546" s="208"/>
      <c r="P1546" s="208"/>
      <c r="Q1546" s="208"/>
      <c r="R1546" s="208"/>
      <c r="S1546" s="208"/>
      <c r="T1546" s="208"/>
      <c r="U1546" s="208"/>
      <c r="V1546" s="234"/>
      <c r="W1546" s="232"/>
      <c r="X1546" s="232"/>
      <c r="Y1546" s="232"/>
      <c r="Z1546" s="232"/>
      <c r="AA1546" s="232"/>
      <c r="AB1546" s="232"/>
      <c r="AC1546" s="232"/>
      <c r="AD1546" s="232"/>
      <c r="AE1546" s="232"/>
      <c r="AF1546" s="232"/>
      <c r="AG1546" s="208"/>
      <c r="AH1546" s="208"/>
      <c r="AI1546" s="208"/>
      <c r="AJ1546" s="208"/>
      <c r="AK1546" s="208"/>
    </row>
    <row r="1547">
      <c r="A1547" s="208"/>
      <c r="B1547" s="208"/>
      <c r="C1547" s="208"/>
      <c r="D1547" s="208"/>
      <c r="E1547" s="208"/>
      <c r="F1547" s="208"/>
      <c r="G1547" s="208"/>
      <c r="H1547" s="232"/>
      <c r="I1547" s="233"/>
      <c r="J1547" s="208"/>
      <c r="K1547" s="208"/>
      <c r="L1547" s="208"/>
      <c r="M1547" s="208"/>
      <c r="N1547" s="208"/>
      <c r="O1547" s="208"/>
      <c r="P1547" s="208"/>
      <c r="Q1547" s="208"/>
      <c r="R1547" s="208"/>
      <c r="S1547" s="208"/>
      <c r="T1547" s="208"/>
      <c r="U1547" s="208"/>
      <c r="V1547" s="234"/>
      <c r="W1547" s="232"/>
      <c r="X1547" s="232"/>
      <c r="Y1547" s="232"/>
      <c r="Z1547" s="232"/>
      <c r="AA1547" s="232"/>
      <c r="AB1547" s="232"/>
      <c r="AC1547" s="232"/>
      <c r="AD1547" s="232"/>
      <c r="AE1547" s="232"/>
      <c r="AF1547" s="232"/>
      <c r="AG1547" s="208"/>
      <c r="AH1547" s="208"/>
      <c r="AI1547" s="208"/>
      <c r="AJ1547" s="208"/>
      <c r="AK1547" s="208"/>
    </row>
    <row r="1548">
      <c r="A1548" s="208"/>
      <c r="B1548" s="208"/>
      <c r="C1548" s="208"/>
      <c r="D1548" s="208"/>
      <c r="E1548" s="208"/>
      <c r="F1548" s="208"/>
      <c r="G1548" s="208"/>
      <c r="H1548" s="232"/>
      <c r="I1548" s="233"/>
      <c r="J1548" s="208"/>
      <c r="K1548" s="208"/>
      <c r="L1548" s="208"/>
      <c r="M1548" s="208"/>
      <c r="N1548" s="208"/>
      <c r="O1548" s="208"/>
      <c r="P1548" s="208"/>
      <c r="Q1548" s="208"/>
      <c r="R1548" s="208"/>
      <c r="S1548" s="208"/>
      <c r="T1548" s="208"/>
      <c r="U1548" s="208"/>
      <c r="V1548" s="234"/>
      <c r="W1548" s="232"/>
      <c r="X1548" s="232"/>
      <c r="Y1548" s="232"/>
      <c r="Z1548" s="232"/>
      <c r="AA1548" s="232"/>
      <c r="AB1548" s="232"/>
      <c r="AC1548" s="232"/>
      <c r="AD1548" s="232"/>
      <c r="AE1548" s="232"/>
      <c r="AF1548" s="232"/>
      <c r="AG1548" s="208"/>
      <c r="AH1548" s="208"/>
      <c r="AI1548" s="208"/>
      <c r="AJ1548" s="208"/>
      <c r="AK1548" s="208"/>
    </row>
    <row r="1549">
      <c r="A1549" s="208"/>
      <c r="B1549" s="208"/>
      <c r="C1549" s="208"/>
      <c r="D1549" s="208"/>
      <c r="E1549" s="208"/>
      <c r="F1549" s="208"/>
      <c r="G1549" s="208"/>
      <c r="H1549" s="232"/>
      <c r="I1549" s="233"/>
      <c r="J1549" s="208"/>
      <c r="K1549" s="208"/>
      <c r="L1549" s="208"/>
      <c r="M1549" s="208"/>
      <c r="N1549" s="208"/>
      <c r="O1549" s="208"/>
      <c r="P1549" s="208"/>
      <c r="Q1549" s="208"/>
      <c r="R1549" s="208"/>
      <c r="S1549" s="208"/>
      <c r="T1549" s="208"/>
      <c r="U1549" s="208"/>
      <c r="V1549" s="234"/>
      <c r="W1549" s="232"/>
      <c r="X1549" s="232"/>
      <c r="Y1549" s="232"/>
      <c r="Z1549" s="232"/>
      <c r="AA1549" s="232"/>
      <c r="AB1549" s="232"/>
      <c r="AC1549" s="232"/>
      <c r="AD1549" s="232"/>
      <c r="AE1549" s="232"/>
      <c r="AF1549" s="232"/>
      <c r="AG1549" s="208"/>
      <c r="AH1549" s="208"/>
      <c r="AI1549" s="208"/>
      <c r="AJ1549" s="208"/>
      <c r="AK1549" s="208"/>
    </row>
    <row r="1550">
      <c r="A1550" s="208"/>
      <c r="B1550" s="208"/>
      <c r="C1550" s="208"/>
      <c r="D1550" s="208"/>
      <c r="E1550" s="208"/>
      <c r="F1550" s="208"/>
      <c r="G1550" s="208"/>
      <c r="H1550" s="232"/>
      <c r="I1550" s="233"/>
      <c r="J1550" s="208"/>
      <c r="K1550" s="208"/>
      <c r="L1550" s="208"/>
      <c r="M1550" s="208"/>
      <c r="N1550" s="208"/>
      <c r="O1550" s="208"/>
      <c r="P1550" s="208"/>
      <c r="Q1550" s="208"/>
      <c r="R1550" s="208"/>
      <c r="S1550" s="208"/>
      <c r="T1550" s="208"/>
      <c r="U1550" s="208"/>
      <c r="V1550" s="234"/>
      <c r="W1550" s="232"/>
      <c r="X1550" s="232"/>
      <c r="Y1550" s="232"/>
      <c r="Z1550" s="232"/>
      <c r="AA1550" s="232"/>
      <c r="AB1550" s="232"/>
      <c r="AC1550" s="232"/>
      <c r="AD1550" s="232"/>
      <c r="AE1550" s="232"/>
      <c r="AF1550" s="232"/>
      <c r="AG1550" s="208"/>
      <c r="AH1550" s="208"/>
      <c r="AI1550" s="208"/>
      <c r="AJ1550" s="208"/>
      <c r="AK1550" s="208"/>
    </row>
    <row r="1551">
      <c r="A1551" s="208"/>
      <c r="B1551" s="208"/>
      <c r="C1551" s="208"/>
      <c r="D1551" s="208"/>
      <c r="E1551" s="208"/>
      <c r="F1551" s="208"/>
      <c r="G1551" s="208"/>
      <c r="H1551" s="232"/>
      <c r="I1551" s="233"/>
      <c r="J1551" s="208"/>
      <c r="K1551" s="208"/>
      <c r="L1551" s="208"/>
      <c r="M1551" s="208"/>
      <c r="N1551" s="208"/>
      <c r="O1551" s="208"/>
      <c r="P1551" s="208"/>
      <c r="Q1551" s="208"/>
      <c r="R1551" s="208"/>
      <c r="S1551" s="208"/>
      <c r="T1551" s="208"/>
      <c r="U1551" s="208"/>
      <c r="V1551" s="234"/>
      <c r="W1551" s="232"/>
      <c r="X1551" s="232"/>
      <c r="Y1551" s="232"/>
      <c r="Z1551" s="232"/>
      <c r="AA1551" s="232"/>
      <c r="AB1551" s="232"/>
      <c r="AC1551" s="232"/>
      <c r="AD1551" s="232"/>
      <c r="AE1551" s="232"/>
      <c r="AF1551" s="232"/>
      <c r="AG1551" s="208"/>
      <c r="AH1551" s="208"/>
      <c r="AI1551" s="208"/>
      <c r="AJ1551" s="208"/>
      <c r="AK1551" s="208"/>
    </row>
    <row r="1552">
      <c r="A1552" s="208"/>
      <c r="B1552" s="208"/>
      <c r="C1552" s="208"/>
      <c r="D1552" s="208"/>
      <c r="E1552" s="208"/>
      <c r="F1552" s="208"/>
      <c r="G1552" s="208"/>
      <c r="H1552" s="232"/>
      <c r="I1552" s="233"/>
      <c r="J1552" s="208"/>
      <c r="K1552" s="208"/>
      <c r="L1552" s="208"/>
      <c r="M1552" s="208"/>
      <c r="N1552" s="208"/>
      <c r="O1552" s="208"/>
      <c r="P1552" s="208"/>
      <c r="Q1552" s="208"/>
      <c r="R1552" s="208"/>
      <c r="S1552" s="208"/>
      <c r="T1552" s="208"/>
      <c r="U1552" s="208"/>
      <c r="V1552" s="234"/>
      <c r="W1552" s="232"/>
      <c r="X1552" s="232"/>
      <c r="Y1552" s="232"/>
      <c r="Z1552" s="232"/>
      <c r="AA1552" s="232"/>
      <c r="AB1552" s="232"/>
      <c r="AC1552" s="232"/>
      <c r="AD1552" s="232"/>
      <c r="AE1552" s="232"/>
      <c r="AF1552" s="232"/>
      <c r="AG1552" s="208"/>
      <c r="AH1552" s="208"/>
      <c r="AI1552" s="208"/>
      <c r="AJ1552" s="208"/>
      <c r="AK1552" s="208"/>
    </row>
    <row r="1553">
      <c r="A1553" s="208"/>
      <c r="B1553" s="208"/>
      <c r="C1553" s="208"/>
      <c r="D1553" s="208"/>
      <c r="E1553" s="208"/>
      <c r="F1553" s="208"/>
      <c r="G1553" s="208"/>
      <c r="H1553" s="232"/>
      <c r="I1553" s="233"/>
      <c r="J1553" s="208"/>
      <c r="K1553" s="208"/>
      <c r="L1553" s="208"/>
      <c r="M1553" s="208"/>
      <c r="N1553" s="208"/>
      <c r="O1553" s="208"/>
      <c r="P1553" s="208"/>
      <c r="Q1553" s="208"/>
      <c r="R1553" s="208"/>
      <c r="S1553" s="208"/>
      <c r="T1553" s="208"/>
      <c r="U1553" s="208"/>
      <c r="V1553" s="234"/>
      <c r="W1553" s="232"/>
      <c r="X1553" s="232"/>
      <c r="Y1553" s="232"/>
      <c r="Z1553" s="232"/>
      <c r="AA1553" s="232"/>
      <c r="AB1553" s="232"/>
      <c r="AC1553" s="232"/>
      <c r="AD1553" s="232"/>
      <c r="AE1553" s="232"/>
      <c r="AF1553" s="232"/>
      <c r="AG1553" s="208"/>
      <c r="AH1553" s="208"/>
      <c r="AI1553" s="208"/>
      <c r="AJ1553" s="208"/>
      <c r="AK1553" s="208"/>
    </row>
    <row r="1554">
      <c r="A1554" s="208"/>
      <c r="B1554" s="208"/>
      <c r="C1554" s="208"/>
      <c r="D1554" s="208"/>
      <c r="E1554" s="208"/>
      <c r="F1554" s="208"/>
      <c r="G1554" s="208"/>
      <c r="H1554" s="232"/>
      <c r="I1554" s="233"/>
      <c r="J1554" s="208"/>
      <c r="K1554" s="208"/>
      <c r="L1554" s="208"/>
      <c r="M1554" s="208"/>
      <c r="N1554" s="208"/>
      <c r="O1554" s="208"/>
      <c r="P1554" s="208"/>
      <c r="Q1554" s="208"/>
      <c r="R1554" s="208"/>
      <c r="S1554" s="208"/>
      <c r="T1554" s="208"/>
      <c r="U1554" s="208"/>
      <c r="V1554" s="234"/>
      <c r="W1554" s="232"/>
      <c r="X1554" s="232"/>
      <c r="Y1554" s="232"/>
      <c r="Z1554" s="232"/>
      <c r="AA1554" s="232"/>
      <c r="AB1554" s="232"/>
      <c r="AC1554" s="232"/>
      <c r="AD1554" s="232"/>
      <c r="AE1554" s="232"/>
      <c r="AF1554" s="232"/>
      <c r="AG1554" s="208"/>
      <c r="AH1554" s="208"/>
      <c r="AI1554" s="208"/>
      <c r="AJ1554" s="208"/>
      <c r="AK1554" s="208"/>
    </row>
    <row r="1555">
      <c r="A1555" s="208"/>
      <c r="B1555" s="208"/>
      <c r="C1555" s="208"/>
      <c r="D1555" s="208"/>
      <c r="E1555" s="208"/>
      <c r="F1555" s="208"/>
      <c r="G1555" s="208"/>
      <c r="H1555" s="232"/>
      <c r="I1555" s="233"/>
      <c r="J1555" s="208"/>
      <c r="K1555" s="208"/>
      <c r="L1555" s="208"/>
      <c r="M1555" s="208"/>
      <c r="N1555" s="208"/>
      <c r="O1555" s="208"/>
      <c r="P1555" s="208"/>
      <c r="Q1555" s="208"/>
      <c r="R1555" s="208"/>
      <c r="S1555" s="208"/>
      <c r="T1555" s="208"/>
      <c r="U1555" s="208"/>
      <c r="V1555" s="234"/>
      <c r="W1555" s="232"/>
      <c r="X1555" s="232"/>
      <c r="Y1555" s="232"/>
      <c r="Z1555" s="232"/>
      <c r="AA1555" s="232"/>
      <c r="AB1555" s="232"/>
      <c r="AC1555" s="232"/>
      <c r="AD1555" s="232"/>
      <c r="AE1555" s="232"/>
      <c r="AF1555" s="232"/>
      <c r="AG1555" s="208"/>
      <c r="AH1555" s="208"/>
      <c r="AI1555" s="208"/>
      <c r="AJ1555" s="208"/>
      <c r="AK1555" s="208"/>
    </row>
    <row r="1556">
      <c r="A1556" s="208"/>
      <c r="B1556" s="208"/>
      <c r="C1556" s="208"/>
      <c r="D1556" s="208"/>
      <c r="E1556" s="208"/>
      <c r="F1556" s="208"/>
      <c r="G1556" s="208"/>
      <c r="H1556" s="232"/>
      <c r="I1556" s="233"/>
      <c r="J1556" s="208"/>
      <c r="K1556" s="208"/>
      <c r="L1556" s="208"/>
      <c r="M1556" s="208"/>
      <c r="N1556" s="208"/>
      <c r="O1556" s="208"/>
      <c r="P1556" s="208"/>
      <c r="Q1556" s="208"/>
      <c r="R1556" s="208"/>
      <c r="S1556" s="208"/>
      <c r="T1556" s="208"/>
      <c r="U1556" s="208"/>
      <c r="V1556" s="234"/>
      <c r="W1556" s="232"/>
      <c r="X1556" s="232"/>
      <c r="Y1556" s="232"/>
      <c r="Z1556" s="232"/>
      <c r="AA1556" s="232"/>
      <c r="AB1556" s="232"/>
      <c r="AC1556" s="232"/>
      <c r="AD1556" s="232"/>
      <c r="AE1556" s="232"/>
      <c r="AF1556" s="232"/>
      <c r="AG1556" s="208"/>
      <c r="AH1556" s="208"/>
      <c r="AI1556" s="208"/>
      <c r="AJ1556" s="208"/>
      <c r="AK1556" s="208"/>
    </row>
    <row r="1557">
      <c r="A1557" s="208"/>
      <c r="B1557" s="208"/>
      <c r="C1557" s="208"/>
      <c r="D1557" s="208"/>
      <c r="E1557" s="208"/>
      <c r="F1557" s="208"/>
      <c r="G1557" s="208"/>
      <c r="H1557" s="232"/>
      <c r="I1557" s="233"/>
      <c r="J1557" s="208"/>
      <c r="K1557" s="208"/>
      <c r="L1557" s="208"/>
      <c r="M1557" s="208"/>
      <c r="N1557" s="208"/>
      <c r="O1557" s="208"/>
      <c r="P1557" s="208"/>
      <c r="Q1557" s="208"/>
      <c r="R1557" s="208"/>
      <c r="S1557" s="208"/>
      <c r="T1557" s="208"/>
      <c r="U1557" s="208"/>
      <c r="V1557" s="234"/>
      <c r="W1557" s="232"/>
      <c r="X1557" s="232"/>
      <c r="Y1557" s="232"/>
      <c r="Z1557" s="232"/>
      <c r="AA1557" s="232"/>
      <c r="AB1557" s="232"/>
      <c r="AC1557" s="232"/>
      <c r="AD1557" s="232"/>
      <c r="AE1557" s="232"/>
      <c r="AF1557" s="232"/>
      <c r="AG1557" s="208"/>
      <c r="AH1557" s="208"/>
      <c r="AI1557" s="208"/>
      <c r="AJ1557" s="208"/>
      <c r="AK1557" s="208"/>
    </row>
    <row r="1558">
      <c r="A1558" s="208"/>
      <c r="B1558" s="208"/>
      <c r="C1558" s="208"/>
      <c r="D1558" s="208"/>
      <c r="E1558" s="208"/>
      <c r="F1558" s="208"/>
      <c r="G1558" s="208"/>
      <c r="H1558" s="232"/>
      <c r="I1558" s="233"/>
      <c r="J1558" s="208"/>
      <c r="K1558" s="208"/>
      <c r="L1558" s="208"/>
      <c r="M1558" s="208"/>
      <c r="N1558" s="208"/>
      <c r="O1558" s="208"/>
      <c r="P1558" s="208"/>
      <c r="Q1558" s="208"/>
      <c r="R1558" s="208"/>
      <c r="S1558" s="208"/>
      <c r="T1558" s="208"/>
      <c r="U1558" s="208"/>
      <c r="V1558" s="234"/>
      <c r="W1558" s="232"/>
      <c r="X1558" s="232"/>
      <c r="Y1558" s="232"/>
      <c r="Z1558" s="232"/>
      <c r="AA1558" s="232"/>
      <c r="AB1558" s="232"/>
      <c r="AC1558" s="232"/>
      <c r="AD1558" s="232"/>
      <c r="AE1558" s="232"/>
      <c r="AF1558" s="232"/>
      <c r="AG1558" s="208"/>
      <c r="AH1558" s="208"/>
      <c r="AI1558" s="208"/>
      <c r="AJ1558" s="208"/>
      <c r="AK1558" s="208"/>
    </row>
    <row r="1559">
      <c r="A1559" s="208"/>
      <c r="B1559" s="208"/>
      <c r="C1559" s="208"/>
      <c r="D1559" s="208"/>
      <c r="E1559" s="208"/>
      <c r="F1559" s="208"/>
      <c r="G1559" s="208"/>
      <c r="H1559" s="232"/>
      <c r="I1559" s="233"/>
      <c r="J1559" s="208"/>
      <c r="K1559" s="208"/>
      <c r="L1559" s="208"/>
      <c r="M1559" s="208"/>
      <c r="N1559" s="208"/>
      <c r="O1559" s="208"/>
      <c r="P1559" s="208"/>
      <c r="Q1559" s="208"/>
      <c r="R1559" s="208"/>
      <c r="S1559" s="208"/>
      <c r="T1559" s="208"/>
      <c r="U1559" s="208"/>
      <c r="V1559" s="234"/>
      <c r="W1559" s="232"/>
      <c r="X1559" s="232"/>
      <c r="Y1559" s="232"/>
      <c r="Z1559" s="232"/>
      <c r="AA1559" s="232"/>
      <c r="AB1559" s="232"/>
      <c r="AC1559" s="232"/>
      <c r="AD1559" s="232"/>
      <c r="AE1559" s="232"/>
      <c r="AF1559" s="232"/>
      <c r="AG1559" s="208"/>
      <c r="AH1559" s="208"/>
      <c r="AI1559" s="208"/>
      <c r="AJ1559" s="208"/>
      <c r="AK1559" s="208"/>
    </row>
    <row r="1560">
      <c r="A1560" s="208"/>
      <c r="B1560" s="208"/>
      <c r="C1560" s="208"/>
      <c r="D1560" s="208"/>
      <c r="E1560" s="208"/>
      <c r="F1560" s="208"/>
      <c r="G1560" s="208"/>
      <c r="H1560" s="232"/>
      <c r="I1560" s="233"/>
      <c r="J1560" s="208"/>
      <c r="K1560" s="208"/>
      <c r="L1560" s="208"/>
      <c r="M1560" s="208"/>
      <c r="N1560" s="208"/>
      <c r="O1560" s="208"/>
      <c r="P1560" s="208"/>
      <c r="Q1560" s="208"/>
      <c r="R1560" s="208"/>
      <c r="S1560" s="208"/>
      <c r="T1560" s="208"/>
      <c r="U1560" s="208"/>
      <c r="V1560" s="234"/>
      <c r="W1560" s="232"/>
      <c r="X1560" s="232"/>
      <c r="Y1560" s="232"/>
      <c r="Z1560" s="232"/>
      <c r="AA1560" s="232"/>
      <c r="AB1560" s="232"/>
      <c r="AC1560" s="232"/>
      <c r="AD1560" s="232"/>
      <c r="AE1560" s="232"/>
      <c r="AF1560" s="232"/>
      <c r="AG1560" s="208"/>
      <c r="AH1560" s="208"/>
      <c r="AI1560" s="208"/>
      <c r="AJ1560" s="208"/>
      <c r="AK1560" s="208"/>
    </row>
    <row r="1561">
      <c r="A1561" s="208"/>
      <c r="B1561" s="208"/>
      <c r="C1561" s="208"/>
      <c r="D1561" s="208"/>
      <c r="E1561" s="208"/>
      <c r="F1561" s="208"/>
      <c r="G1561" s="208"/>
      <c r="H1561" s="232"/>
      <c r="I1561" s="233"/>
      <c r="J1561" s="208"/>
      <c r="K1561" s="208"/>
      <c r="L1561" s="208"/>
      <c r="M1561" s="208"/>
      <c r="N1561" s="208"/>
      <c r="O1561" s="208"/>
      <c r="P1561" s="208"/>
      <c r="Q1561" s="208"/>
      <c r="R1561" s="208"/>
      <c r="S1561" s="208"/>
      <c r="T1561" s="208"/>
      <c r="U1561" s="208"/>
      <c r="V1561" s="234"/>
      <c r="W1561" s="232"/>
      <c r="X1561" s="232"/>
      <c r="Y1561" s="232"/>
      <c r="Z1561" s="232"/>
      <c r="AA1561" s="232"/>
      <c r="AB1561" s="232"/>
      <c r="AC1561" s="232"/>
      <c r="AD1561" s="232"/>
      <c r="AE1561" s="232"/>
      <c r="AF1561" s="232"/>
      <c r="AG1561" s="208"/>
      <c r="AH1561" s="208"/>
      <c r="AI1561" s="208"/>
      <c r="AJ1561" s="208"/>
      <c r="AK1561" s="208"/>
    </row>
    <row r="1562">
      <c r="A1562" s="208"/>
      <c r="B1562" s="208"/>
      <c r="C1562" s="208"/>
      <c r="D1562" s="208"/>
      <c r="E1562" s="208"/>
      <c r="F1562" s="208"/>
      <c r="G1562" s="208"/>
      <c r="H1562" s="232"/>
      <c r="I1562" s="233"/>
      <c r="J1562" s="208"/>
      <c r="K1562" s="208"/>
      <c r="L1562" s="208"/>
      <c r="M1562" s="208"/>
      <c r="N1562" s="208"/>
      <c r="O1562" s="208"/>
      <c r="P1562" s="208"/>
      <c r="Q1562" s="208"/>
      <c r="R1562" s="208"/>
      <c r="S1562" s="208"/>
      <c r="T1562" s="208"/>
      <c r="U1562" s="208"/>
      <c r="V1562" s="234"/>
      <c r="W1562" s="232"/>
      <c r="X1562" s="232"/>
      <c r="Y1562" s="232"/>
      <c r="Z1562" s="232"/>
      <c r="AA1562" s="232"/>
      <c r="AB1562" s="232"/>
      <c r="AC1562" s="232"/>
      <c r="AD1562" s="232"/>
      <c r="AE1562" s="232"/>
      <c r="AF1562" s="232"/>
      <c r="AG1562" s="208"/>
      <c r="AH1562" s="208"/>
      <c r="AI1562" s="208"/>
      <c r="AJ1562" s="208"/>
      <c r="AK1562" s="208"/>
    </row>
    <row r="1563">
      <c r="A1563" s="208"/>
      <c r="B1563" s="208"/>
      <c r="C1563" s="208"/>
      <c r="D1563" s="208"/>
      <c r="E1563" s="208"/>
      <c r="F1563" s="208"/>
      <c r="G1563" s="208"/>
      <c r="H1563" s="232"/>
      <c r="I1563" s="233"/>
      <c r="J1563" s="208"/>
      <c r="K1563" s="208"/>
      <c r="L1563" s="208"/>
      <c r="M1563" s="208"/>
      <c r="N1563" s="208"/>
      <c r="O1563" s="208"/>
      <c r="P1563" s="208"/>
      <c r="Q1563" s="208"/>
      <c r="R1563" s="208"/>
      <c r="S1563" s="208"/>
      <c r="T1563" s="208"/>
      <c r="U1563" s="208"/>
      <c r="V1563" s="234"/>
      <c r="W1563" s="232"/>
      <c r="X1563" s="232"/>
      <c r="Y1563" s="232"/>
      <c r="Z1563" s="232"/>
      <c r="AA1563" s="232"/>
      <c r="AB1563" s="232"/>
      <c r="AC1563" s="232"/>
      <c r="AD1563" s="232"/>
      <c r="AE1563" s="232"/>
      <c r="AF1563" s="232"/>
      <c r="AG1563" s="208"/>
      <c r="AH1563" s="208"/>
      <c r="AI1563" s="208"/>
      <c r="AJ1563" s="208"/>
      <c r="AK1563" s="208"/>
    </row>
    <row r="1564">
      <c r="A1564" s="208"/>
      <c r="B1564" s="208"/>
      <c r="C1564" s="208"/>
      <c r="D1564" s="208"/>
      <c r="E1564" s="208"/>
      <c r="F1564" s="208"/>
      <c r="G1564" s="208"/>
      <c r="H1564" s="232"/>
      <c r="I1564" s="233"/>
      <c r="J1564" s="208"/>
      <c r="K1564" s="208"/>
      <c r="L1564" s="208"/>
      <c r="M1564" s="208"/>
      <c r="N1564" s="208"/>
      <c r="O1564" s="208"/>
      <c r="P1564" s="208"/>
      <c r="Q1564" s="208"/>
      <c r="R1564" s="208"/>
      <c r="S1564" s="208"/>
      <c r="T1564" s="208"/>
      <c r="U1564" s="208"/>
      <c r="V1564" s="234"/>
      <c r="W1564" s="232"/>
      <c r="X1564" s="232"/>
      <c r="Y1564" s="232"/>
      <c r="Z1564" s="232"/>
      <c r="AA1564" s="232"/>
      <c r="AB1564" s="232"/>
      <c r="AC1564" s="232"/>
      <c r="AD1564" s="232"/>
      <c r="AE1564" s="232"/>
      <c r="AF1564" s="232"/>
      <c r="AG1564" s="208"/>
      <c r="AH1564" s="208"/>
      <c r="AI1564" s="208"/>
      <c r="AJ1564" s="208"/>
      <c r="AK1564" s="208"/>
    </row>
    <row r="1565">
      <c r="A1565" s="208"/>
      <c r="B1565" s="208"/>
      <c r="C1565" s="208"/>
      <c r="D1565" s="208"/>
      <c r="E1565" s="208"/>
      <c r="F1565" s="208"/>
      <c r="G1565" s="208"/>
      <c r="H1565" s="232"/>
      <c r="I1565" s="233"/>
      <c r="J1565" s="208"/>
      <c r="K1565" s="208"/>
      <c r="L1565" s="208"/>
      <c r="M1565" s="208"/>
      <c r="N1565" s="208"/>
      <c r="O1565" s="208"/>
      <c r="P1565" s="208"/>
      <c r="Q1565" s="208"/>
      <c r="R1565" s="208"/>
      <c r="S1565" s="208"/>
      <c r="T1565" s="208"/>
      <c r="U1565" s="208"/>
      <c r="V1565" s="234"/>
      <c r="W1565" s="232"/>
      <c r="X1565" s="232"/>
      <c r="Y1565" s="232"/>
      <c r="Z1565" s="232"/>
      <c r="AA1565" s="232"/>
      <c r="AB1565" s="232"/>
      <c r="AC1565" s="232"/>
      <c r="AD1565" s="232"/>
      <c r="AE1565" s="232"/>
      <c r="AF1565" s="232"/>
      <c r="AG1565" s="208"/>
      <c r="AH1565" s="208"/>
      <c r="AI1565" s="208"/>
      <c r="AJ1565" s="208"/>
      <c r="AK1565" s="208"/>
    </row>
    <row r="1566">
      <c r="A1566" s="208"/>
      <c r="B1566" s="208"/>
      <c r="C1566" s="208"/>
      <c r="D1566" s="208"/>
      <c r="E1566" s="208"/>
      <c r="F1566" s="208"/>
      <c r="G1566" s="208"/>
      <c r="H1566" s="232"/>
      <c r="I1566" s="233"/>
      <c r="J1566" s="208"/>
      <c r="K1566" s="208"/>
      <c r="L1566" s="208"/>
      <c r="M1566" s="208"/>
      <c r="N1566" s="208"/>
      <c r="O1566" s="208"/>
      <c r="P1566" s="208"/>
      <c r="Q1566" s="208"/>
      <c r="R1566" s="208"/>
      <c r="S1566" s="208"/>
      <c r="T1566" s="208"/>
      <c r="U1566" s="208"/>
      <c r="V1566" s="234"/>
      <c r="W1566" s="232"/>
      <c r="X1566" s="232"/>
      <c r="Y1566" s="232"/>
      <c r="Z1566" s="232"/>
      <c r="AA1566" s="232"/>
      <c r="AB1566" s="232"/>
      <c r="AC1566" s="232"/>
      <c r="AD1566" s="232"/>
      <c r="AE1566" s="232"/>
      <c r="AF1566" s="232"/>
      <c r="AG1566" s="208"/>
      <c r="AH1566" s="208"/>
      <c r="AI1566" s="208"/>
      <c r="AJ1566" s="208"/>
      <c r="AK1566" s="208"/>
    </row>
    <row r="1567">
      <c r="A1567" s="208"/>
      <c r="B1567" s="208"/>
      <c r="C1567" s="208"/>
      <c r="D1567" s="208"/>
      <c r="E1567" s="208"/>
      <c r="F1567" s="208"/>
      <c r="G1567" s="208"/>
      <c r="H1567" s="232"/>
      <c r="I1567" s="233"/>
      <c r="J1567" s="208"/>
      <c r="K1567" s="208"/>
      <c r="L1567" s="208"/>
      <c r="M1567" s="208"/>
      <c r="N1567" s="208"/>
      <c r="O1567" s="208"/>
      <c r="P1567" s="208"/>
      <c r="Q1567" s="208"/>
      <c r="R1567" s="208"/>
      <c r="S1567" s="208"/>
      <c r="T1567" s="208"/>
      <c r="U1567" s="208"/>
      <c r="V1567" s="234"/>
      <c r="W1567" s="232"/>
      <c r="X1567" s="232"/>
      <c r="Y1567" s="232"/>
      <c r="Z1567" s="232"/>
      <c r="AA1567" s="232"/>
      <c r="AB1567" s="232"/>
      <c r="AC1567" s="232"/>
      <c r="AD1567" s="232"/>
      <c r="AE1567" s="232"/>
      <c r="AF1567" s="232"/>
      <c r="AG1567" s="208"/>
      <c r="AH1567" s="208"/>
      <c r="AI1567" s="208"/>
      <c r="AJ1567" s="208"/>
      <c r="AK1567" s="208"/>
    </row>
    <row r="1568">
      <c r="A1568" s="208"/>
      <c r="B1568" s="208"/>
      <c r="C1568" s="208"/>
      <c r="D1568" s="208"/>
      <c r="E1568" s="208"/>
      <c r="F1568" s="208"/>
      <c r="G1568" s="208"/>
      <c r="H1568" s="232"/>
      <c r="I1568" s="233"/>
      <c r="J1568" s="208"/>
      <c r="K1568" s="208"/>
      <c r="L1568" s="208"/>
      <c r="M1568" s="208"/>
      <c r="N1568" s="208"/>
      <c r="O1568" s="208"/>
      <c r="P1568" s="208"/>
      <c r="Q1568" s="208"/>
      <c r="R1568" s="208"/>
      <c r="S1568" s="208"/>
      <c r="T1568" s="208"/>
      <c r="U1568" s="208"/>
      <c r="V1568" s="234"/>
      <c r="W1568" s="232"/>
      <c r="X1568" s="232"/>
      <c r="Y1568" s="232"/>
      <c r="Z1568" s="232"/>
      <c r="AA1568" s="232"/>
      <c r="AB1568" s="232"/>
      <c r="AC1568" s="232"/>
      <c r="AD1568" s="232"/>
      <c r="AE1568" s="232"/>
      <c r="AF1568" s="232"/>
      <c r="AG1568" s="208"/>
      <c r="AH1568" s="208"/>
      <c r="AI1568" s="208"/>
      <c r="AJ1568" s="208"/>
      <c r="AK1568" s="208"/>
    </row>
    <row r="1569">
      <c r="A1569" s="208"/>
      <c r="B1569" s="208"/>
      <c r="C1569" s="208"/>
      <c r="D1569" s="208"/>
      <c r="E1569" s="208"/>
      <c r="F1569" s="208"/>
      <c r="G1569" s="208"/>
      <c r="H1569" s="232"/>
      <c r="I1569" s="233"/>
      <c r="J1569" s="208"/>
      <c r="K1569" s="208"/>
      <c r="L1569" s="208"/>
      <c r="M1569" s="208"/>
      <c r="N1569" s="208"/>
      <c r="O1569" s="208"/>
      <c r="P1569" s="208"/>
      <c r="Q1569" s="208"/>
      <c r="R1569" s="208"/>
      <c r="S1569" s="208"/>
      <c r="T1569" s="208"/>
      <c r="U1569" s="208"/>
      <c r="V1569" s="234"/>
      <c r="W1569" s="232"/>
      <c r="X1569" s="232"/>
      <c r="Y1569" s="232"/>
      <c r="Z1569" s="232"/>
      <c r="AA1569" s="232"/>
      <c r="AB1569" s="232"/>
      <c r="AC1569" s="232"/>
      <c r="AD1569" s="232"/>
      <c r="AE1569" s="232"/>
      <c r="AF1569" s="232"/>
      <c r="AG1569" s="208"/>
      <c r="AH1569" s="208"/>
      <c r="AI1569" s="208"/>
      <c r="AJ1569" s="208"/>
      <c r="AK1569" s="208"/>
    </row>
    <row r="1570">
      <c r="A1570" s="208"/>
      <c r="B1570" s="208"/>
      <c r="C1570" s="208"/>
      <c r="D1570" s="208"/>
      <c r="E1570" s="208"/>
      <c r="F1570" s="208"/>
      <c r="G1570" s="208"/>
      <c r="H1570" s="232"/>
      <c r="I1570" s="233"/>
      <c r="J1570" s="208"/>
      <c r="K1570" s="208"/>
      <c r="L1570" s="208"/>
      <c r="M1570" s="208"/>
      <c r="N1570" s="208"/>
      <c r="O1570" s="208"/>
      <c r="P1570" s="208"/>
      <c r="Q1570" s="208"/>
      <c r="R1570" s="208"/>
      <c r="S1570" s="208"/>
      <c r="T1570" s="208"/>
      <c r="U1570" s="208"/>
      <c r="V1570" s="234"/>
      <c r="W1570" s="232"/>
      <c r="X1570" s="232"/>
      <c r="Y1570" s="232"/>
      <c r="Z1570" s="232"/>
      <c r="AA1570" s="232"/>
      <c r="AB1570" s="232"/>
      <c r="AC1570" s="232"/>
      <c r="AD1570" s="232"/>
      <c r="AE1570" s="232"/>
      <c r="AF1570" s="232"/>
      <c r="AG1570" s="208"/>
      <c r="AH1570" s="208"/>
      <c r="AI1570" s="208"/>
      <c r="AJ1570" s="208"/>
      <c r="AK1570" s="208"/>
    </row>
    <row r="1571">
      <c r="A1571" s="208"/>
      <c r="B1571" s="208"/>
      <c r="C1571" s="208"/>
      <c r="D1571" s="208"/>
      <c r="E1571" s="208"/>
      <c r="F1571" s="208"/>
      <c r="G1571" s="208"/>
      <c r="H1571" s="232"/>
      <c r="I1571" s="233"/>
      <c r="J1571" s="208"/>
      <c r="K1571" s="208"/>
      <c r="L1571" s="208"/>
      <c r="M1571" s="208"/>
      <c r="N1571" s="208"/>
      <c r="O1571" s="208"/>
      <c r="P1571" s="208"/>
      <c r="Q1571" s="208"/>
      <c r="R1571" s="208"/>
      <c r="S1571" s="208"/>
      <c r="T1571" s="208"/>
      <c r="U1571" s="208"/>
      <c r="V1571" s="234"/>
      <c r="W1571" s="232"/>
      <c r="X1571" s="232"/>
      <c r="Y1571" s="232"/>
      <c r="Z1571" s="232"/>
      <c r="AA1571" s="232"/>
      <c r="AB1571" s="232"/>
      <c r="AC1571" s="232"/>
      <c r="AD1571" s="232"/>
      <c r="AE1571" s="232"/>
      <c r="AF1571" s="232"/>
      <c r="AG1571" s="208"/>
      <c r="AH1571" s="208"/>
      <c r="AI1571" s="208"/>
      <c r="AJ1571" s="208"/>
      <c r="AK1571" s="208"/>
    </row>
    <row r="1572">
      <c r="A1572" s="208"/>
      <c r="B1572" s="208"/>
      <c r="C1572" s="208"/>
      <c r="D1572" s="208"/>
      <c r="E1572" s="208"/>
      <c r="F1572" s="208"/>
      <c r="G1572" s="208"/>
      <c r="H1572" s="232"/>
      <c r="I1572" s="233"/>
      <c r="J1572" s="208"/>
      <c r="K1572" s="208"/>
      <c r="L1572" s="208"/>
      <c r="M1572" s="208"/>
      <c r="N1572" s="208"/>
      <c r="O1572" s="208"/>
      <c r="P1572" s="208"/>
      <c r="Q1572" s="208"/>
      <c r="R1572" s="208"/>
      <c r="S1572" s="208"/>
      <c r="T1572" s="208"/>
      <c r="U1572" s="208"/>
      <c r="V1572" s="234"/>
      <c r="W1572" s="232"/>
      <c r="X1572" s="232"/>
      <c r="Y1572" s="232"/>
      <c r="Z1572" s="232"/>
      <c r="AA1572" s="232"/>
      <c r="AB1572" s="232"/>
      <c r="AC1572" s="232"/>
      <c r="AD1572" s="232"/>
      <c r="AE1572" s="232"/>
      <c r="AF1572" s="232"/>
      <c r="AG1572" s="208"/>
      <c r="AH1572" s="208"/>
      <c r="AI1572" s="208"/>
      <c r="AJ1572" s="208"/>
      <c r="AK1572" s="208"/>
    </row>
    <row r="1573">
      <c r="A1573" s="208"/>
      <c r="B1573" s="208"/>
      <c r="C1573" s="208"/>
      <c r="D1573" s="208"/>
      <c r="E1573" s="208"/>
      <c r="F1573" s="208"/>
      <c r="G1573" s="208"/>
      <c r="H1573" s="232"/>
      <c r="I1573" s="233"/>
      <c r="J1573" s="208"/>
      <c r="K1573" s="208"/>
      <c r="L1573" s="208"/>
      <c r="M1573" s="208"/>
      <c r="N1573" s="208"/>
      <c r="O1573" s="208"/>
      <c r="P1573" s="208"/>
      <c r="Q1573" s="208"/>
      <c r="R1573" s="208"/>
      <c r="S1573" s="208"/>
      <c r="T1573" s="208"/>
      <c r="U1573" s="208"/>
      <c r="V1573" s="234"/>
      <c r="W1573" s="232"/>
      <c r="X1573" s="232"/>
      <c r="Y1573" s="232"/>
      <c r="Z1573" s="232"/>
      <c r="AA1573" s="232"/>
      <c r="AB1573" s="232"/>
      <c r="AC1573" s="232"/>
      <c r="AD1573" s="232"/>
      <c r="AE1573" s="232"/>
      <c r="AF1573" s="232"/>
      <c r="AG1573" s="208"/>
      <c r="AH1573" s="208"/>
      <c r="AI1573" s="208"/>
      <c r="AJ1573" s="208"/>
      <c r="AK1573" s="208"/>
    </row>
    <row r="1574">
      <c r="A1574" s="208"/>
      <c r="B1574" s="208"/>
      <c r="C1574" s="208"/>
      <c r="D1574" s="208"/>
      <c r="E1574" s="208"/>
      <c r="F1574" s="208"/>
      <c r="G1574" s="208"/>
      <c r="H1574" s="232"/>
      <c r="I1574" s="233"/>
      <c r="J1574" s="208"/>
      <c r="K1574" s="208"/>
      <c r="L1574" s="208"/>
      <c r="M1574" s="208"/>
      <c r="N1574" s="208"/>
      <c r="O1574" s="208"/>
      <c r="P1574" s="208"/>
      <c r="Q1574" s="208"/>
      <c r="R1574" s="208"/>
      <c r="S1574" s="208"/>
      <c r="T1574" s="208"/>
      <c r="U1574" s="208"/>
      <c r="V1574" s="234"/>
      <c r="W1574" s="232"/>
      <c r="X1574" s="232"/>
      <c r="Y1574" s="232"/>
      <c r="Z1574" s="232"/>
      <c r="AA1574" s="232"/>
      <c r="AB1574" s="232"/>
      <c r="AC1574" s="232"/>
      <c r="AD1574" s="232"/>
      <c r="AE1574" s="232"/>
      <c r="AF1574" s="232"/>
      <c r="AG1574" s="208"/>
      <c r="AH1574" s="208"/>
      <c r="AI1574" s="208"/>
      <c r="AJ1574" s="208"/>
      <c r="AK1574" s="208"/>
    </row>
    <row r="1575">
      <c r="A1575" s="208"/>
      <c r="B1575" s="208"/>
      <c r="C1575" s="208"/>
      <c r="D1575" s="208"/>
      <c r="E1575" s="208"/>
      <c r="F1575" s="208"/>
      <c r="G1575" s="208"/>
      <c r="H1575" s="232"/>
      <c r="I1575" s="233"/>
      <c r="J1575" s="208"/>
      <c r="K1575" s="208"/>
      <c r="L1575" s="208"/>
      <c r="M1575" s="208"/>
      <c r="N1575" s="208"/>
      <c r="O1575" s="208"/>
      <c r="P1575" s="208"/>
      <c r="Q1575" s="208"/>
      <c r="R1575" s="208"/>
      <c r="S1575" s="208"/>
      <c r="T1575" s="208"/>
      <c r="U1575" s="208"/>
      <c r="V1575" s="234"/>
      <c r="W1575" s="232"/>
      <c r="X1575" s="232"/>
      <c r="Y1575" s="232"/>
      <c r="Z1575" s="232"/>
      <c r="AA1575" s="232"/>
      <c r="AB1575" s="232"/>
      <c r="AC1575" s="232"/>
      <c r="AD1575" s="232"/>
      <c r="AE1575" s="232"/>
      <c r="AF1575" s="232"/>
      <c r="AG1575" s="208"/>
      <c r="AH1575" s="208"/>
      <c r="AI1575" s="208"/>
      <c r="AJ1575" s="208"/>
      <c r="AK1575" s="208"/>
    </row>
    <row r="1576">
      <c r="A1576" s="208"/>
      <c r="B1576" s="208"/>
      <c r="C1576" s="208"/>
      <c r="D1576" s="208"/>
      <c r="E1576" s="208"/>
      <c r="F1576" s="208"/>
      <c r="G1576" s="208"/>
      <c r="H1576" s="232"/>
      <c r="I1576" s="233"/>
      <c r="J1576" s="208"/>
      <c r="K1576" s="208"/>
      <c r="L1576" s="208"/>
      <c r="M1576" s="208"/>
      <c r="N1576" s="208"/>
      <c r="O1576" s="208"/>
      <c r="P1576" s="208"/>
      <c r="Q1576" s="208"/>
      <c r="R1576" s="208"/>
      <c r="S1576" s="208"/>
      <c r="T1576" s="208"/>
      <c r="U1576" s="208"/>
      <c r="V1576" s="234"/>
      <c r="W1576" s="232"/>
      <c r="X1576" s="232"/>
      <c r="Y1576" s="232"/>
      <c r="Z1576" s="232"/>
      <c r="AA1576" s="232"/>
      <c r="AB1576" s="232"/>
      <c r="AC1576" s="232"/>
      <c r="AD1576" s="232"/>
      <c r="AE1576" s="232"/>
      <c r="AF1576" s="232"/>
      <c r="AG1576" s="208"/>
      <c r="AH1576" s="208"/>
      <c r="AI1576" s="208"/>
      <c r="AJ1576" s="208"/>
      <c r="AK1576" s="208"/>
    </row>
    <row r="1577">
      <c r="A1577" s="208"/>
      <c r="B1577" s="208"/>
      <c r="C1577" s="208"/>
      <c r="D1577" s="208"/>
      <c r="E1577" s="208"/>
      <c r="F1577" s="208"/>
      <c r="G1577" s="208"/>
      <c r="H1577" s="232"/>
      <c r="I1577" s="233"/>
      <c r="J1577" s="208"/>
      <c r="K1577" s="208"/>
      <c r="L1577" s="208"/>
      <c r="M1577" s="208"/>
      <c r="N1577" s="208"/>
      <c r="O1577" s="208"/>
      <c r="P1577" s="208"/>
      <c r="Q1577" s="208"/>
      <c r="R1577" s="208"/>
      <c r="S1577" s="208"/>
      <c r="T1577" s="208"/>
      <c r="U1577" s="208"/>
      <c r="V1577" s="234"/>
      <c r="W1577" s="232"/>
      <c r="X1577" s="232"/>
      <c r="Y1577" s="232"/>
      <c r="Z1577" s="232"/>
      <c r="AA1577" s="232"/>
      <c r="AB1577" s="232"/>
      <c r="AC1577" s="232"/>
      <c r="AD1577" s="232"/>
      <c r="AE1577" s="232"/>
      <c r="AF1577" s="232"/>
      <c r="AG1577" s="208"/>
      <c r="AH1577" s="208"/>
      <c r="AI1577" s="208"/>
      <c r="AJ1577" s="208"/>
      <c r="AK1577" s="208"/>
    </row>
    <row r="1578">
      <c r="A1578" s="208"/>
      <c r="B1578" s="208"/>
      <c r="C1578" s="208"/>
      <c r="D1578" s="208"/>
      <c r="E1578" s="208"/>
      <c r="F1578" s="208"/>
      <c r="G1578" s="208"/>
      <c r="H1578" s="232"/>
      <c r="I1578" s="233"/>
      <c r="J1578" s="208"/>
      <c r="K1578" s="208"/>
      <c r="L1578" s="208"/>
      <c r="M1578" s="208"/>
      <c r="N1578" s="208"/>
      <c r="O1578" s="208"/>
      <c r="P1578" s="208"/>
      <c r="Q1578" s="208"/>
      <c r="R1578" s="208"/>
      <c r="S1578" s="208"/>
      <c r="T1578" s="208"/>
      <c r="U1578" s="208"/>
      <c r="V1578" s="234"/>
      <c r="W1578" s="232"/>
      <c r="X1578" s="232"/>
      <c r="Y1578" s="232"/>
      <c r="Z1578" s="232"/>
      <c r="AA1578" s="232"/>
      <c r="AB1578" s="232"/>
      <c r="AC1578" s="232"/>
      <c r="AD1578" s="232"/>
      <c r="AE1578" s="232"/>
      <c r="AF1578" s="232"/>
      <c r="AG1578" s="208"/>
      <c r="AH1578" s="208"/>
      <c r="AI1578" s="208"/>
      <c r="AJ1578" s="208"/>
      <c r="AK1578" s="208"/>
    </row>
    <row r="1579">
      <c r="A1579" s="208"/>
      <c r="B1579" s="208"/>
      <c r="C1579" s="208"/>
      <c r="D1579" s="208"/>
      <c r="E1579" s="208"/>
      <c r="F1579" s="208"/>
      <c r="G1579" s="208"/>
      <c r="H1579" s="232"/>
      <c r="I1579" s="233"/>
      <c r="J1579" s="208"/>
      <c r="K1579" s="208"/>
      <c r="L1579" s="208"/>
      <c r="M1579" s="208"/>
      <c r="N1579" s="208"/>
      <c r="O1579" s="208"/>
      <c r="P1579" s="208"/>
      <c r="Q1579" s="208"/>
      <c r="R1579" s="208"/>
      <c r="S1579" s="208"/>
      <c r="T1579" s="208"/>
      <c r="U1579" s="208"/>
      <c r="V1579" s="234"/>
      <c r="W1579" s="232"/>
      <c r="X1579" s="232"/>
      <c r="Y1579" s="232"/>
      <c r="Z1579" s="232"/>
      <c r="AA1579" s="232"/>
      <c r="AB1579" s="232"/>
      <c r="AC1579" s="232"/>
      <c r="AD1579" s="232"/>
      <c r="AE1579" s="232"/>
      <c r="AF1579" s="232"/>
      <c r="AG1579" s="208"/>
      <c r="AH1579" s="208"/>
      <c r="AI1579" s="208"/>
      <c r="AJ1579" s="208"/>
      <c r="AK1579" s="208"/>
    </row>
    <row r="1580">
      <c r="A1580" s="208"/>
      <c r="B1580" s="208"/>
      <c r="C1580" s="208"/>
      <c r="D1580" s="208"/>
      <c r="E1580" s="208"/>
      <c r="F1580" s="208"/>
      <c r="G1580" s="208"/>
      <c r="H1580" s="232"/>
      <c r="I1580" s="233"/>
      <c r="J1580" s="208"/>
      <c r="K1580" s="208"/>
      <c r="L1580" s="208"/>
      <c r="M1580" s="208"/>
      <c r="N1580" s="208"/>
      <c r="O1580" s="208"/>
      <c r="P1580" s="208"/>
      <c r="Q1580" s="208"/>
      <c r="R1580" s="208"/>
      <c r="S1580" s="208"/>
      <c r="T1580" s="208"/>
      <c r="U1580" s="208"/>
      <c r="V1580" s="234"/>
      <c r="W1580" s="232"/>
      <c r="X1580" s="232"/>
      <c r="Y1580" s="232"/>
      <c r="Z1580" s="232"/>
      <c r="AA1580" s="232"/>
      <c r="AB1580" s="232"/>
      <c r="AC1580" s="232"/>
      <c r="AD1580" s="232"/>
      <c r="AE1580" s="232"/>
      <c r="AF1580" s="232"/>
      <c r="AG1580" s="208"/>
      <c r="AH1580" s="208"/>
      <c r="AI1580" s="208"/>
      <c r="AJ1580" s="208"/>
      <c r="AK1580" s="208"/>
    </row>
    <row r="1581">
      <c r="A1581" s="208"/>
      <c r="B1581" s="208"/>
      <c r="C1581" s="208"/>
      <c r="D1581" s="208"/>
      <c r="E1581" s="208"/>
      <c r="F1581" s="208"/>
      <c r="G1581" s="208"/>
      <c r="H1581" s="232"/>
      <c r="I1581" s="233"/>
      <c r="J1581" s="208"/>
      <c r="K1581" s="208"/>
      <c r="L1581" s="208"/>
      <c r="M1581" s="208"/>
      <c r="N1581" s="208"/>
      <c r="O1581" s="208"/>
      <c r="P1581" s="208"/>
      <c r="Q1581" s="208"/>
      <c r="R1581" s="208"/>
      <c r="S1581" s="208"/>
      <c r="T1581" s="208"/>
      <c r="U1581" s="208"/>
      <c r="V1581" s="234"/>
      <c r="W1581" s="232"/>
      <c r="X1581" s="232"/>
      <c r="Y1581" s="232"/>
      <c r="Z1581" s="232"/>
      <c r="AA1581" s="232"/>
      <c r="AB1581" s="232"/>
      <c r="AC1581" s="232"/>
      <c r="AD1581" s="232"/>
      <c r="AE1581" s="232"/>
      <c r="AF1581" s="232"/>
      <c r="AG1581" s="208"/>
      <c r="AH1581" s="208"/>
      <c r="AI1581" s="208"/>
      <c r="AJ1581" s="208"/>
      <c r="AK1581" s="208"/>
    </row>
    <row r="1582">
      <c r="A1582" s="208"/>
      <c r="B1582" s="208"/>
      <c r="C1582" s="208"/>
      <c r="D1582" s="208"/>
      <c r="E1582" s="208"/>
      <c r="F1582" s="208"/>
      <c r="G1582" s="208"/>
      <c r="H1582" s="232"/>
      <c r="I1582" s="233"/>
      <c r="J1582" s="208"/>
      <c r="K1582" s="208"/>
      <c r="L1582" s="208"/>
      <c r="M1582" s="208"/>
      <c r="N1582" s="208"/>
      <c r="O1582" s="208"/>
      <c r="P1582" s="208"/>
      <c r="Q1582" s="208"/>
      <c r="R1582" s="208"/>
      <c r="S1582" s="208"/>
      <c r="T1582" s="208"/>
      <c r="U1582" s="208"/>
      <c r="V1582" s="234"/>
      <c r="W1582" s="232"/>
      <c r="X1582" s="232"/>
      <c r="Y1582" s="232"/>
      <c r="Z1582" s="232"/>
      <c r="AA1582" s="232"/>
      <c r="AB1582" s="232"/>
      <c r="AC1582" s="232"/>
      <c r="AD1582" s="232"/>
      <c r="AE1582" s="232"/>
      <c r="AF1582" s="232"/>
      <c r="AG1582" s="208"/>
      <c r="AH1582" s="208"/>
      <c r="AI1582" s="208"/>
      <c r="AJ1582" s="208"/>
      <c r="AK1582" s="208"/>
    </row>
    <row r="1583">
      <c r="A1583" s="208"/>
      <c r="B1583" s="208"/>
      <c r="C1583" s="208"/>
      <c r="D1583" s="208"/>
      <c r="E1583" s="208"/>
      <c r="F1583" s="208"/>
      <c r="G1583" s="208"/>
      <c r="H1583" s="232"/>
      <c r="I1583" s="233"/>
      <c r="J1583" s="208"/>
      <c r="K1583" s="208"/>
      <c r="L1583" s="208"/>
      <c r="M1583" s="208"/>
      <c r="N1583" s="208"/>
      <c r="O1583" s="208"/>
      <c r="P1583" s="208"/>
      <c r="Q1583" s="208"/>
      <c r="R1583" s="208"/>
      <c r="S1583" s="208"/>
      <c r="T1583" s="208"/>
      <c r="U1583" s="208"/>
      <c r="V1583" s="234"/>
      <c r="W1583" s="232"/>
      <c r="X1583" s="232"/>
      <c r="Y1583" s="232"/>
      <c r="Z1583" s="232"/>
      <c r="AA1583" s="232"/>
      <c r="AB1583" s="232"/>
      <c r="AC1583" s="232"/>
      <c r="AD1583" s="232"/>
      <c r="AE1583" s="232"/>
      <c r="AF1583" s="232"/>
      <c r="AG1583" s="208"/>
      <c r="AH1583" s="208"/>
      <c r="AI1583" s="208"/>
      <c r="AJ1583" s="208"/>
      <c r="AK1583" s="208"/>
    </row>
    <row r="1584">
      <c r="A1584" s="208"/>
      <c r="B1584" s="208"/>
      <c r="C1584" s="208"/>
      <c r="D1584" s="208"/>
      <c r="E1584" s="208"/>
      <c r="F1584" s="208"/>
      <c r="G1584" s="208"/>
      <c r="H1584" s="232"/>
      <c r="I1584" s="233"/>
      <c r="J1584" s="208"/>
      <c r="K1584" s="208"/>
      <c r="L1584" s="208"/>
      <c r="M1584" s="208"/>
      <c r="N1584" s="208"/>
      <c r="O1584" s="208"/>
      <c r="P1584" s="208"/>
      <c r="Q1584" s="208"/>
      <c r="R1584" s="208"/>
      <c r="S1584" s="208"/>
      <c r="T1584" s="208"/>
      <c r="U1584" s="208"/>
      <c r="V1584" s="234"/>
      <c r="W1584" s="232"/>
      <c r="X1584" s="232"/>
      <c r="Y1584" s="232"/>
      <c r="Z1584" s="232"/>
      <c r="AA1584" s="232"/>
      <c r="AB1584" s="232"/>
      <c r="AC1584" s="232"/>
      <c r="AD1584" s="232"/>
      <c r="AE1584" s="232"/>
      <c r="AF1584" s="232"/>
      <c r="AG1584" s="208"/>
      <c r="AH1584" s="208"/>
      <c r="AI1584" s="208"/>
      <c r="AJ1584" s="208"/>
      <c r="AK1584" s="208"/>
    </row>
    <row r="1585">
      <c r="A1585" s="208"/>
      <c r="B1585" s="208"/>
      <c r="C1585" s="208"/>
      <c r="D1585" s="208"/>
      <c r="E1585" s="208"/>
      <c r="F1585" s="208"/>
      <c r="G1585" s="208"/>
      <c r="H1585" s="232"/>
      <c r="I1585" s="233"/>
      <c r="J1585" s="208"/>
      <c r="K1585" s="208"/>
      <c r="L1585" s="208"/>
      <c r="M1585" s="208"/>
      <c r="N1585" s="208"/>
      <c r="O1585" s="208"/>
      <c r="P1585" s="208"/>
      <c r="Q1585" s="208"/>
      <c r="R1585" s="208"/>
      <c r="S1585" s="208"/>
      <c r="T1585" s="208"/>
      <c r="U1585" s="208"/>
      <c r="V1585" s="234"/>
      <c r="W1585" s="232"/>
      <c r="X1585" s="232"/>
      <c r="Y1585" s="232"/>
      <c r="Z1585" s="232"/>
      <c r="AA1585" s="232"/>
      <c r="AB1585" s="232"/>
      <c r="AC1585" s="232"/>
      <c r="AD1585" s="232"/>
      <c r="AE1585" s="232"/>
      <c r="AF1585" s="232"/>
      <c r="AG1585" s="208"/>
      <c r="AH1585" s="208"/>
      <c r="AI1585" s="208"/>
      <c r="AJ1585" s="208"/>
      <c r="AK1585" s="208"/>
    </row>
    <row r="1586">
      <c r="A1586" s="208"/>
      <c r="B1586" s="208"/>
      <c r="C1586" s="208"/>
      <c r="D1586" s="208"/>
      <c r="E1586" s="208"/>
      <c r="F1586" s="208"/>
      <c r="G1586" s="208"/>
      <c r="H1586" s="232"/>
      <c r="I1586" s="233"/>
      <c r="J1586" s="208"/>
      <c r="K1586" s="208"/>
      <c r="L1586" s="208"/>
      <c r="M1586" s="208"/>
      <c r="N1586" s="208"/>
      <c r="O1586" s="208"/>
      <c r="P1586" s="208"/>
      <c r="Q1586" s="208"/>
      <c r="R1586" s="208"/>
      <c r="S1586" s="208"/>
      <c r="T1586" s="208"/>
      <c r="U1586" s="208"/>
      <c r="V1586" s="234"/>
      <c r="W1586" s="232"/>
      <c r="X1586" s="232"/>
      <c r="Y1586" s="232"/>
      <c r="Z1586" s="232"/>
      <c r="AA1586" s="232"/>
      <c r="AB1586" s="232"/>
      <c r="AC1586" s="232"/>
      <c r="AD1586" s="232"/>
      <c r="AE1586" s="232"/>
      <c r="AF1586" s="232"/>
      <c r="AG1586" s="208"/>
      <c r="AH1586" s="208"/>
      <c r="AI1586" s="208"/>
      <c r="AJ1586" s="208"/>
      <c r="AK1586" s="208"/>
    </row>
    <row r="1587">
      <c r="A1587" s="208"/>
      <c r="B1587" s="208"/>
      <c r="C1587" s="208"/>
      <c r="D1587" s="208"/>
      <c r="E1587" s="208"/>
      <c r="F1587" s="208"/>
      <c r="G1587" s="208"/>
      <c r="H1587" s="232"/>
      <c r="I1587" s="233"/>
      <c r="J1587" s="208"/>
      <c r="K1587" s="208"/>
      <c r="L1587" s="208"/>
      <c r="M1587" s="208"/>
      <c r="N1587" s="208"/>
      <c r="O1587" s="208"/>
      <c r="P1587" s="208"/>
      <c r="Q1587" s="208"/>
      <c r="R1587" s="208"/>
      <c r="S1587" s="208"/>
      <c r="T1587" s="208"/>
      <c r="U1587" s="208"/>
      <c r="V1587" s="234"/>
      <c r="W1587" s="232"/>
      <c r="X1587" s="232"/>
      <c r="Y1587" s="232"/>
      <c r="Z1587" s="232"/>
      <c r="AA1587" s="232"/>
      <c r="AB1587" s="232"/>
      <c r="AC1587" s="232"/>
      <c r="AD1587" s="232"/>
      <c r="AE1587" s="232"/>
      <c r="AF1587" s="232"/>
      <c r="AG1587" s="208"/>
      <c r="AH1587" s="208"/>
      <c r="AI1587" s="208"/>
      <c r="AJ1587" s="208"/>
      <c r="AK1587" s="208"/>
    </row>
    <row r="1588">
      <c r="A1588" s="208"/>
      <c r="B1588" s="208"/>
      <c r="C1588" s="208"/>
      <c r="D1588" s="208"/>
      <c r="E1588" s="208"/>
      <c r="F1588" s="208"/>
      <c r="G1588" s="208"/>
      <c r="H1588" s="232"/>
      <c r="I1588" s="233"/>
      <c r="J1588" s="208"/>
      <c r="K1588" s="208"/>
      <c r="L1588" s="208"/>
      <c r="M1588" s="208"/>
      <c r="N1588" s="208"/>
      <c r="O1588" s="208"/>
      <c r="P1588" s="208"/>
      <c r="Q1588" s="208"/>
      <c r="R1588" s="208"/>
      <c r="S1588" s="208"/>
      <c r="T1588" s="208"/>
      <c r="U1588" s="208"/>
      <c r="V1588" s="234"/>
      <c r="W1588" s="232"/>
      <c r="X1588" s="232"/>
      <c r="Y1588" s="232"/>
      <c r="Z1588" s="232"/>
      <c r="AA1588" s="232"/>
      <c r="AB1588" s="232"/>
      <c r="AC1588" s="232"/>
      <c r="AD1588" s="232"/>
      <c r="AE1588" s="232"/>
      <c r="AF1588" s="232"/>
      <c r="AG1588" s="208"/>
      <c r="AH1588" s="208"/>
      <c r="AI1588" s="208"/>
      <c r="AJ1588" s="208"/>
      <c r="AK1588" s="208"/>
    </row>
    <row r="1589">
      <c r="A1589" s="208"/>
      <c r="B1589" s="208"/>
      <c r="C1589" s="208"/>
      <c r="D1589" s="208"/>
      <c r="E1589" s="208"/>
      <c r="F1589" s="208"/>
      <c r="G1589" s="208"/>
      <c r="H1589" s="232"/>
      <c r="I1589" s="233"/>
      <c r="J1589" s="208"/>
      <c r="K1589" s="208"/>
      <c r="L1589" s="208"/>
      <c r="M1589" s="208"/>
      <c r="N1589" s="208"/>
      <c r="O1589" s="208"/>
      <c r="P1589" s="208"/>
      <c r="Q1589" s="208"/>
      <c r="R1589" s="208"/>
      <c r="S1589" s="208"/>
      <c r="T1589" s="208"/>
      <c r="U1589" s="208"/>
      <c r="V1589" s="234"/>
      <c r="W1589" s="232"/>
      <c r="X1589" s="232"/>
      <c r="Y1589" s="232"/>
      <c r="Z1589" s="232"/>
      <c r="AA1589" s="232"/>
      <c r="AB1589" s="232"/>
      <c r="AC1589" s="232"/>
      <c r="AD1589" s="232"/>
      <c r="AE1589" s="232"/>
      <c r="AF1589" s="232"/>
      <c r="AG1589" s="208"/>
      <c r="AH1589" s="208"/>
      <c r="AI1589" s="208"/>
      <c r="AJ1589" s="208"/>
      <c r="AK1589" s="208"/>
    </row>
    <row r="1590">
      <c r="A1590" s="208"/>
      <c r="B1590" s="208"/>
      <c r="C1590" s="208"/>
      <c r="D1590" s="208"/>
      <c r="E1590" s="208"/>
      <c r="F1590" s="208"/>
      <c r="G1590" s="208"/>
      <c r="H1590" s="232"/>
      <c r="I1590" s="233"/>
      <c r="J1590" s="208"/>
      <c r="K1590" s="208"/>
      <c r="L1590" s="208"/>
      <c r="M1590" s="208"/>
      <c r="N1590" s="208"/>
      <c r="O1590" s="208"/>
      <c r="P1590" s="208"/>
      <c r="Q1590" s="208"/>
      <c r="R1590" s="208"/>
      <c r="S1590" s="208"/>
      <c r="T1590" s="208"/>
      <c r="U1590" s="208"/>
      <c r="V1590" s="234"/>
      <c r="W1590" s="232"/>
      <c r="X1590" s="232"/>
      <c r="Y1590" s="232"/>
      <c r="Z1590" s="232"/>
      <c r="AA1590" s="232"/>
      <c r="AB1590" s="232"/>
      <c r="AC1590" s="232"/>
      <c r="AD1590" s="232"/>
      <c r="AE1590" s="232"/>
      <c r="AF1590" s="232"/>
      <c r="AG1590" s="208"/>
      <c r="AH1590" s="208"/>
      <c r="AI1590" s="208"/>
      <c r="AJ1590" s="208"/>
      <c r="AK1590" s="208"/>
    </row>
    <row r="1591">
      <c r="A1591" s="208"/>
      <c r="B1591" s="208"/>
      <c r="C1591" s="208"/>
      <c r="D1591" s="208"/>
      <c r="E1591" s="208"/>
      <c r="F1591" s="208"/>
      <c r="G1591" s="208"/>
      <c r="H1591" s="232"/>
      <c r="I1591" s="233"/>
      <c r="J1591" s="208"/>
      <c r="K1591" s="208"/>
      <c r="L1591" s="208"/>
      <c r="M1591" s="208"/>
      <c r="N1591" s="208"/>
      <c r="O1591" s="208"/>
      <c r="P1591" s="208"/>
      <c r="Q1591" s="208"/>
      <c r="R1591" s="208"/>
      <c r="S1591" s="208"/>
      <c r="T1591" s="208"/>
      <c r="U1591" s="208"/>
      <c r="V1591" s="234"/>
      <c r="W1591" s="232"/>
      <c r="X1591" s="232"/>
      <c r="Y1591" s="232"/>
      <c r="Z1591" s="232"/>
      <c r="AA1591" s="232"/>
      <c r="AB1591" s="232"/>
      <c r="AC1591" s="232"/>
      <c r="AD1591" s="232"/>
      <c r="AE1591" s="232"/>
      <c r="AF1591" s="232"/>
      <c r="AG1591" s="208"/>
      <c r="AH1591" s="208"/>
      <c r="AI1591" s="208"/>
      <c r="AJ1591" s="208"/>
      <c r="AK1591" s="208"/>
    </row>
    <row r="1592">
      <c r="A1592" s="208"/>
      <c r="B1592" s="208"/>
      <c r="C1592" s="208"/>
      <c r="D1592" s="208"/>
      <c r="E1592" s="208"/>
      <c r="F1592" s="208"/>
      <c r="G1592" s="208"/>
      <c r="H1592" s="232"/>
      <c r="I1592" s="233"/>
      <c r="J1592" s="208"/>
      <c r="K1592" s="208"/>
      <c r="L1592" s="208"/>
      <c r="M1592" s="208"/>
      <c r="N1592" s="208"/>
      <c r="O1592" s="208"/>
      <c r="P1592" s="208"/>
      <c r="Q1592" s="208"/>
      <c r="R1592" s="208"/>
      <c r="S1592" s="208"/>
      <c r="T1592" s="208"/>
      <c r="U1592" s="208"/>
      <c r="V1592" s="234"/>
      <c r="W1592" s="232"/>
      <c r="X1592" s="232"/>
      <c r="Y1592" s="232"/>
      <c r="Z1592" s="232"/>
      <c r="AA1592" s="232"/>
      <c r="AB1592" s="232"/>
      <c r="AC1592" s="232"/>
      <c r="AD1592" s="232"/>
      <c r="AE1592" s="232"/>
      <c r="AF1592" s="232"/>
      <c r="AG1592" s="208"/>
      <c r="AH1592" s="208"/>
      <c r="AI1592" s="208"/>
      <c r="AJ1592" s="208"/>
      <c r="AK1592" s="208"/>
    </row>
    <row r="1593">
      <c r="A1593" s="208"/>
      <c r="B1593" s="208"/>
      <c r="C1593" s="208"/>
      <c r="D1593" s="208"/>
      <c r="E1593" s="208"/>
      <c r="F1593" s="208"/>
      <c r="G1593" s="208"/>
      <c r="H1593" s="232"/>
      <c r="I1593" s="233"/>
      <c r="J1593" s="208"/>
      <c r="K1593" s="208"/>
      <c r="L1593" s="208"/>
      <c r="M1593" s="208"/>
      <c r="N1593" s="208"/>
      <c r="O1593" s="208"/>
      <c r="P1593" s="208"/>
      <c r="Q1593" s="208"/>
      <c r="R1593" s="208"/>
      <c r="S1593" s="208"/>
      <c r="T1593" s="208"/>
      <c r="U1593" s="208"/>
      <c r="V1593" s="234"/>
      <c r="W1593" s="232"/>
      <c r="X1593" s="232"/>
      <c r="Y1593" s="232"/>
      <c r="Z1593" s="232"/>
      <c r="AA1593" s="232"/>
      <c r="AB1593" s="232"/>
      <c r="AC1593" s="232"/>
      <c r="AD1593" s="232"/>
      <c r="AE1593" s="232"/>
      <c r="AF1593" s="232"/>
      <c r="AG1593" s="208"/>
      <c r="AH1593" s="208"/>
      <c r="AI1593" s="208"/>
      <c r="AJ1593" s="208"/>
      <c r="AK1593" s="208"/>
    </row>
    <row r="1594">
      <c r="A1594" s="208"/>
      <c r="B1594" s="208"/>
      <c r="C1594" s="208"/>
      <c r="D1594" s="208"/>
      <c r="E1594" s="208"/>
      <c r="F1594" s="208"/>
      <c r="G1594" s="208"/>
      <c r="H1594" s="232"/>
      <c r="I1594" s="233"/>
      <c r="J1594" s="208"/>
      <c r="K1594" s="208"/>
      <c r="L1594" s="208"/>
      <c r="M1594" s="208"/>
      <c r="N1594" s="208"/>
      <c r="O1594" s="208"/>
      <c r="P1594" s="208"/>
      <c r="Q1594" s="208"/>
      <c r="R1594" s="208"/>
      <c r="S1594" s="208"/>
      <c r="T1594" s="208"/>
      <c r="U1594" s="208"/>
      <c r="V1594" s="234"/>
      <c r="W1594" s="232"/>
      <c r="X1594" s="232"/>
      <c r="Y1594" s="232"/>
      <c r="Z1594" s="232"/>
      <c r="AA1594" s="232"/>
      <c r="AB1594" s="232"/>
      <c r="AC1594" s="232"/>
      <c r="AD1594" s="232"/>
      <c r="AE1594" s="232"/>
      <c r="AF1594" s="232"/>
      <c r="AG1594" s="208"/>
      <c r="AH1594" s="208"/>
      <c r="AI1594" s="208"/>
      <c r="AJ1594" s="208"/>
      <c r="AK1594" s="208"/>
    </row>
    <row r="1595">
      <c r="A1595" s="208"/>
      <c r="B1595" s="208"/>
      <c r="C1595" s="208"/>
      <c r="D1595" s="208"/>
      <c r="E1595" s="208"/>
      <c r="F1595" s="208"/>
      <c r="G1595" s="208"/>
      <c r="H1595" s="232"/>
      <c r="I1595" s="233"/>
      <c r="J1595" s="208"/>
      <c r="K1595" s="208"/>
      <c r="L1595" s="208"/>
      <c r="M1595" s="208"/>
      <c r="N1595" s="208"/>
      <c r="O1595" s="208"/>
      <c r="P1595" s="208"/>
      <c r="Q1595" s="208"/>
      <c r="R1595" s="208"/>
      <c r="S1595" s="208"/>
      <c r="T1595" s="208"/>
      <c r="U1595" s="208"/>
      <c r="V1595" s="234"/>
      <c r="W1595" s="232"/>
      <c r="X1595" s="232"/>
      <c r="Y1595" s="232"/>
      <c r="Z1595" s="232"/>
      <c r="AA1595" s="232"/>
      <c r="AB1595" s="232"/>
      <c r="AC1595" s="232"/>
      <c r="AD1595" s="232"/>
      <c r="AE1595" s="232"/>
      <c r="AF1595" s="232"/>
      <c r="AG1595" s="208"/>
      <c r="AH1595" s="208"/>
      <c r="AI1595" s="208"/>
      <c r="AJ1595" s="208"/>
      <c r="AK1595" s="208"/>
    </row>
    <row r="1596">
      <c r="A1596" s="208"/>
      <c r="B1596" s="208"/>
      <c r="C1596" s="208"/>
      <c r="D1596" s="208"/>
      <c r="E1596" s="208"/>
      <c r="F1596" s="208"/>
      <c r="G1596" s="208"/>
      <c r="H1596" s="232"/>
      <c r="I1596" s="233"/>
      <c r="J1596" s="208"/>
      <c r="K1596" s="208"/>
      <c r="L1596" s="208"/>
      <c r="M1596" s="208"/>
      <c r="N1596" s="208"/>
      <c r="O1596" s="208"/>
      <c r="P1596" s="208"/>
      <c r="Q1596" s="208"/>
      <c r="R1596" s="208"/>
      <c r="S1596" s="208"/>
      <c r="T1596" s="208"/>
      <c r="U1596" s="208"/>
      <c r="V1596" s="234"/>
      <c r="W1596" s="232"/>
      <c r="X1596" s="232"/>
      <c r="Y1596" s="232"/>
      <c r="Z1596" s="232"/>
      <c r="AA1596" s="232"/>
      <c r="AB1596" s="232"/>
      <c r="AC1596" s="232"/>
      <c r="AD1596" s="232"/>
      <c r="AE1596" s="232"/>
      <c r="AF1596" s="232"/>
      <c r="AG1596" s="208"/>
      <c r="AH1596" s="208"/>
      <c r="AI1596" s="208"/>
      <c r="AJ1596" s="208"/>
      <c r="AK1596" s="208"/>
    </row>
    <row r="1597">
      <c r="A1597" s="208"/>
      <c r="B1597" s="208"/>
      <c r="C1597" s="208"/>
      <c r="D1597" s="208"/>
      <c r="E1597" s="208"/>
      <c r="F1597" s="208"/>
      <c r="G1597" s="208"/>
      <c r="H1597" s="232"/>
      <c r="I1597" s="233"/>
      <c r="J1597" s="208"/>
      <c r="K1597" s="208"/>
      <c r="L1597" s="208"/>
      <c r="M1597" s="208"/>
      <c r="N1597" s="208"/>
      <c r="O1597" s="208"/>
      <c r="P1597" s="208"/>
      <c r="Q1597" s="208"/>
      <c r="R1597" s="208"/>
      <c r="S1597" s="208"/>
      <c r="T1597" s="208"/>
      <c r="U1597" s="208"/>
      <c r="V1597" s="234"/>
      <c r="W1597" s="232"/>
      <c r="X1597" s="232"/>
      <c r="Y1597" s="232"/>
      <c r="Z1597" s="232"/>
      <c r="AA1597" s="232"/>
      <c r="AB1597" s="232"/>
      <c r="AC1597" s="232"/>
      <c r="AD1597" s="232"/>
      <c r="AE1597" s="232"/>
      <c r="AF1597" s="232"/>
      <c r="AG1597" s="208"/>
      <c r="AH1597" s="208"/>
      <c r="AI1597" s="208"/>
      <c r="AJ1597" s="208"/>
      <c r="AK1597" s="208"/>
    </row>
    <row r="1598">
      <c r="A1598" s="208"/>
      <c r="B1598" s="208"/>
      <c r="C1598" s="208"/>
      <c r="D1598" s="208"/>
      <c r="E1598" s="208"/>
      <c r="F1598" s="208"/>
      <c r="G1598" s="208"/>
      <c r="H1598" s="232"/>
      <c r="I1598" s="233"/>
      <c r="J1598" s="208"/>
      <c r="K1598" s="208"/>
      <c r="L1598" s="208"/>
      <c r="M1598" s="208"/>
      <c r="N1598" s="208"/>
      <c r="O1598" s="208"/>
      <c r="P1598" s="208"/>
      <c r="Q1598" s="208"/>
      <c r="R1598" s="208"/>
      <c r="S1598" s="208"/>
      <c r="T1598" s="208"/>
      <c r="U1598" s="208"/>
      <c r="V1598" s="234"/>
      <c r="W1598" s="232"/>
      <c r="X1598" s="232"/>
      <c r="Y1598" s="232"/>
      <c r="Z1598" s="232"/>
      <c r="AA1598" s="232"/>
      <c r="AB1598" s="232"/>
      <c r="AC1598" s="232"/>
      <c r="AD1598" s="232"/>
      <c r="AE1598" s="232"/>
      <c r="AF1598" s="232"/>
      <c r="AG1598" s="208"/>
      <c r="AH1598" s="208"/>
      <c r="AI1598" s="208"/>
      <c r="AJ1598" s="208"/>
      <c r="AK1598" s="208"/>
    </row>
    <row r="1599">
      <c r="A1599" s="208"/>
      <c r="B1599" s="208"/>
      <c r="C1599" s="208"/>
      <c r="D1599" s="208"/>
      <c r="E1599" s="208"/>
      <c r="F1599" s="208"/>
      <c r="G1599" s="208"/>
      <c r="H1599" s="232"/>
      <c r="I1599" s="233"/>
      <c r="J1599" s="208"/>
      <c r="K1599" s="208"/>
      <c r="L1599" s="208"/>
      <c r="M1599" s="208"/>
      <c r="N1599" s="208"/>
      <c r="O1599" s="208"/>
      <c r="P1599" s="208"/>
      <c r="Q1599" s="208"/>
      <c r="R1599" s="208"/>
      <c r="S1599" s="208"/>
      <c r="T1599" s="208"/>
      <c r="U1599" s="208"/>
      <c r="V1599" s="234"/>
      <c r="W1599" s="232"/>
      <c r="X1599" s="232"/>
      <c r="Y1599" s="232"/>
      <c r="Z1599" s="232"/>
      <c r="AA1599" s="232"/>
      <c r="AB1599" s="232"/>
      <c r="AC1599" s="232"/>
      <c r="AD1599" s="232"/>
      <c r="AE1599" s="232"/>
      <c r="AF1599" s="232"/>
      <c r="AG1599" s="208"/>
      <c r="AH1599" s="208"/>
      <c r="AI1599" s="208"/>
      <c r="AJ1599" s="208"/>
      <c r="AK1599" s="208"/>
    </row>
    <row r="1600">
      <c r="A1600" s="208"/>
      <c r="B1600" s="208"/>
      <c r="C1600" s="208"/>
      <c r="D1600" s="208"/>
      <c r="E1600" s="208"/>
      <c r="F1600" s="208"/>
      <c r="G1600" s="208"/>
      <c r="H1600" s="232"/>
      <c r="I1600" s="233"/>
      <c r="J1600" s="208"/>
      <c r="K1600" s="208"/>
      <c r="L1600" s="208"/>
      <c r="M1600" s="208"/>
      <c r="N1600" s="208"/>
      <c r="O1600" s="208"/>
      <c r="P1600" s="208"/>
      <c r="Q1600" s="208"/>
      <c r="R1600" s="208"/>
      <c r="S1600" s="208"/>
      <c r="T1600" s="208"/>
      <c r="U1600" s="208"/>
      <c r="V1600" s="234"/>
      <c r="W1600" s="232"/>
      <c r="X1600" s="232"/>
      <c r="Y1600" s="232"/>
      <c r="Z1600" s="232"/>
      <c r="AA1600" s="232"/>
      <c r="AB1600" s="232"/>
      <c r="AC1600" s="232"/>
      <c r="AD1600" s="232"/>
      <c r="AE1600" s="232"/>
      <c r="AF1600" s="232"/>
      <c r="AG1600" s="208"/>
      <c r="AH1600" s="208"/>
      <c r="AI1600" s="208"/>
      <c r="AJ1600" s="208"/>
      <c r="AK1600" s="208"/>
    </row>
    <row r="1601">
      <c r="A1601" s="208"/>
      <c r="B1601" s="208"/>
      <c r="C1601" s="208"/>
      <c r="D1601" s="208"/>
      <c r="E1601" s="208"/>
      <c r="F1601" s="208"/>
      <c r="G1601" s="208"/>
      <c r="H1601" s="232"/>
      <c r="I1601" s="233"/>
      <c r="J1601" s="208"/>
      <c r="K1601" s="208"/>
      <c r="L1601" s="208"/>
      <c r="M1601" s="208"/>
      <c r="N1601" s="208"/>
      <c r="O1601" s="208"/>
      <c r="P1601" s="208"/>
      <c r="Q1601" s="208"/>
      <c r="R1601" s="208"/>
      <c r="S1601" s="208"/>
      <c r="T1601" s="208"/>
      <c r="U1601" s="208"/>
      <c r="V1601" s="234"/>
      <c r="W1601" s="232"/>
      <c r="X1601" s="232"/>
      <c r="Y1601" s="232"/>
      <c r="Z1601" s="232"/>
      <c r="AA1601" s="232"/>
      <c r="AB1601" s="232"/>
      <c r="AC1601" s="232"/>
      <c r="AD1601" s="232"/>
      <c r="AE1601" s="232"/>
      <c r="AF1601" s="232"/>
      <c r="AG1601" s="208"/>
      <c r="AH1601" s="208"/>
      <c r="AI1601" s="208"/>
      <c r="AJ1601" s="208"/>
      <c r="AK1601" s="208"/>
    </row>
    <row r="1602">
      <c r="A1602" s="208"/>
      <c r="B1602" s="208"/>
      <c r="C1602" s="208"/>
      <c r="D1602" s="208"/>
      <c r="E1602" s="208"/>
      <c r="F1602" s="208"/>
      <c r="G1602" s="208"/>
      <c r="H1602" s="232"/>
      <c r="I1602" s="233"/>
      <c r="J1602" s="208"/>
      <c r="K1602" s="208"/>
      <c r="L1602" s="208"/>
      <c r="M1602" s="208"/>
      <c r="N1602" s="208"/>
      <c r="O1602" s="208"/>
      <c r="P1602" s="208"/>
      <c r="Q1602" s="208"/>
      <c r="R1602" s="208"/>
      <c r="S1602" s="208"/>
      <c r="T1602" s="208"/>
      <c r="U1602" s="208"/>
      <c r="V1602" s="234"/>
      <c r="W1602" s="232"/>
      <c r="X1602" s="232"/>
      <c r="Y1602" s="232"/>
      <c r="Z1602" s="232"/>
      <c r="AA1602" s="232"/>
      <c r="AB1602" s="232"/>
      <c r="AC1602" s="232"/>
      <c r="AD1602" s="232"/>
      <c r="AE1602" s="232"/>
      <c r="AF1602" s="232"/>
      <c r="AG1602" s="208"/>
      <c r="AH1602" s="208"/>
      <c r="AI1602" s="208"/>
      <c r="AJ1602" s="208"/>
      <c r="AK1602" s="208"/>
    </row>
    <row r="1603">
      <c r="A1603" s="208"/>
      <c r="B1603" s="208"/>
      <c r="C1603" s="208"/>
      <c r="D1603" s="208"/>
      <c r="E1603" s="208"/>
      <c r="F1603" s="208"/>
      <c r="G1603" s="208"/>
      <c r="H1603" s="232"/>
      <c r="I1603" s="233"/>
      <c r="J1603" s="208"/>
      <c r="K1603" s="208"/>
      <c r="L1603" s="208"/>
      <c r="M1603" s="208"/>
      <c r="N1603" s="208"/>
      <c r="O1603" s="208"/>
      <c r="P1603" s="208"/>
      <c r="Q1603" s="208"/>
      <c r="R1603" s="208"/>
      <c r="S1603" s="208"/>
      <c r="T1603" s="208"/>
      <c r="U1603" s="208"/>
      <c r="V1603" s="234"/>
      <c r="W1603" s="232"/>
      <c r="X1603" s="232"/>
      <c r="Y1603" s="232"/>
      <c r="Z1603" s="232"/>
      <c r="AA1603" s="232"/>
      <c r="AB1603" s="232"/>
      <c r="AC1603" s="232"/>
      <c r="AD1603" s="232"/>
      <c r="AE1603" s="232"/>
      <c r="AF1603" s="232"/>
      <c r="AG1603" s="208"/>
      <c r="AH1603" s="208"/>
      <c r="AI1603" s="208"/>
      <c r="AJ1603" s="208"/>
      <c r="AK1603" s="208"/>
    </row>
    <row r="1604">
      <c r="A1604" s="208"/>
      <c r="B1604" s="208"/>
      <c r="C1604" s="208"/>
      <c r="D1604" s="208"/>
      <c r="E1604" s="208"/>
      <c r="F1604" s="208"/>
      <c r="G1604" s="208"/>
      <c r="H1604" s="232"/>
      <c r="I1604" s="233"/>
      <c r="J1604" s="208"/>
      <c r="K1604" s="208"/>
      <c r="L1604" s="208"/>
      <c r="M1604" s="208"/>
      <c r="N1604" s="208"/>
      <c r="O1604" s="208"/>
      <c r="P1604" s="208"/>
      <c r="Q1604" s="208"/>
      <c r="R1604" s="208"/>
      <c r="S1604" s="208"/>
      <c r="T1604" s="208"/>
      <c r="U1604" s="208"/>
      <c r="V1604" s="234"/>
      <c r="W1604" s="232"/>
      <c r="X1604" s="232"/>
      <c r="Y1604" s="232"/>
      <c r="Z1604" s="232"/>
      <c r="AA1604" s="232"/>
      <c r="AB1604" s="232"/>
      <c r="AC1604" s="232"/>
      <c r="AD1604" s="232"/>
      <c r="AE1604" s="232"/>
      <c r="AF1604" s="232"/>
      <c r="AG1604" s="208"/>
      <c r="AH1604" s="208"/>
      <c r="AI1604" s="208"/>
      <c r="AJ1604" s="208"/>
      <c r="AK1604" s="208"/>
    </row>
    <row r="1605">
      <c r="A1605" s="208"/>
      <c r="B1605" s="208"/>
      <c r="C1605" s="208"/>
      <c r="D1605" s="208"/>
      <c r="E1605" s="208"/>
      <c r="F1605" s="208"/>
      <c r="G1605" s="208"/>
      <c r="H1605" s="232"/>
      <c r="I1605" s="233"/>
      <c r="J1605" s="208"/>
      <c r="K1605" s="208"/>
      <c r="L1605" s="208"/>
      <c r="M1605" s="208"/>
      <c r="N1605" s="208"/>
      <c r="O1605" s="208"/>
      <c r="P1605" s="208"/>
      <c r="Q1605" s="208"/>
      <c r="R1605" s="208"/>
      <c r="S1605" s="208"/>
      <c r="T1605" s="208"/>
      <c r="U1605" s="208"/>
      <c r="V1605" s="234"/>
      <c r="W1605" s="232"/>
      <c r="X1605" s="232"/>
      <c r="Y1605" s="232"/>
      <c r="Z1605" s="232"/>
      <c r="AA1605" s="232"/>
      <c r="AB1605" s="232"/>
      <c r="AC1605" s="232"/>
      <c r="AD1605" s="232"/>
      <c r="AE1605" s="232"/>
      <c r="AF1605" s="232"/>
      <c r="AG1605" s="208"/>
      <c r="AH1605" s="208"/>
      <c r="AI1605" s="208"/>
      <c r="AJ1605" s="208"/>
      <c r="AK1605" s="208"/>
    </row>
    <row r="1606">
      <c r="A1606" s="208"/>
      <c r="B1606" s="208"/>
      <c r="C1606" s="208"/>
      <c r="D1606" s="208"/>
      <c r="E1606" s="208"/>
      <c r="F1606" s="208"/>
      <c r="G1606" s="208"/>
      <c r="H1606" s="232"/>
      <c r="I1606" s="233"/>
      <c r="J1606" s="208"/>
      <c r="K1606" s="208"/>
      <c r="L1606" s="208"/>
      <c r="M1606" s="208"/>
      <c r="N1606" s="208"/>
      <c r="O1606" s="208"/>
      <c r="P1606" s="208"/>
      <c r="Q1606" s="208"/>
      <c r="R1606" s="208"/>
      <c r="S1606" s="208"/>
      <c r="T1606" s="208"/>
      <c r="U1606" s="208"/>
      <c r="V1606" s="234"/>
      <c r="W1606" s="232"/>
      <c r="X1606" s="232"/>
      <c r="Y1606" s="232"/>
      <c r="Z1606" s="232"/>
      <c r="AA1606" s="232"/>
      <c r="AB1606" s="232"/>
      <c r="AC1606" s="232"/>
      <c r="AD1606" s="232"/>
      <c r="AE1606" s="232"/>
      <c r="AF1606" s="232"/>
      <c r="AG1606" s="208"/>
      <c r="AH1606" s="208"/>
      <c r="AI1606" s="208"/>
      <c r="AJ1606" s="208"/>
      <c r="AK1606" s="208"/>
    </row>
    <row r="1607">
      <c r="A1607" s="208"/>
      <c r="B1607" s="208"/>
      <c r="C1607" s="208"/>
      <c r="D1607" s="208"/>
      <c r="E1607" s="208"/>
      <c r="F1607" s="208"/>
      <c r="G1607" s="208"/>
      <c r="H1607" s="232"/>
      <c r="I1607" s="233"/>
      <c r="J1607" s="208"/>
      <c r="K1607" s="208"/>
      <c r="L1607" s="208"/>
      <c r="M1607" s="208"/>
      <c r="N1607" s="208"/>
      <c r="O1607" s="208"/>
      <c r="P1607" s="208"/>
      <c r="Q1607" s="208"/>
      <c r="R1607" s="208"/>
      <c r="S1607" s="208"/>
      <c r="T1607" s="208"/>
      <c r="U1607" s="208"/>
      <c r="V1607" s="234"/>
      <c r="W1607" s="232"/>
      <c r="X1607" s="232"/>
      <c r="Y1607" s="232"/>
      <c r="Z1607" s="232"/>
      <c r="AA1607" s="232"/>
      <c r="AB1607" s="232"/>
      <c r="AC1607" s="232"/>
      <c r="AD1607" s="232"/>
      <c r="AE1607" s="232"/>
      <c r="AF1607" s="232"/>
      <c r="AG1607" s="208"/>
      <c r="AH1607" s="208"/>
      <c r="AI1607" s="208"/>
      <c r="AJ1607" s="208"/>
      <c r="AK1607" s="208"/>
    </row>
    <row r="1608">
      <c r="A1608" s="208"/>
      <c r="B1608" s="208"/>
      <c r="C1608" s="208"/>
      <c r="D1608" s="208"/>
      <c r="E1608" s="208"/>
      <c r="F1608" s="208"/>
      <c r="G1608" s="208"/>
      <c r="H1608" s="232"/>
      <c r="I1608" s="233"/>
      <c r="J1608" s="208"/>
      <c r="K1608" s="208"/>
      <c r="L1608" s="208"/>
      <c r="M1608" s="208"/>
      <c r="N1608" s="208"/>
      <c r="O1608" s="208"/>
      <c r="P1608" s="208"/>
      <c r="Q1608" s="208"/>
      <c r="R1608" s="208"/>
      <c r="S1608" s="208"/>
      <c r="T1608" s="208"/>
      <c r="U1608" s="208"/>
      <c r="V1608" s="234"/>
      <c r="W1608" s="232"/>
      <c r="X1608" s="232"/>
      <c r="Y1608" s="232"/>
      <c r="Z1608" s="232"/>
      <c r="AA1608" s="232"/>
      <c r="AB1608" s="232"/>
      <c r="AC1608" s="232"/>
      <c r="AD1608" s="232"/>
      <c r="AE1608" s="232"/>
      <c r="AF1608" s="232"/>
      <c r="AG1608" s="208"/>
      <c r="AH1608" s="208"/>
      <c r="AI1608" s="208"/>
      <c r="AJ1608" s="208"/>
      <c r="AK1608" s="208"/>
    </row>
    <row r="1609">
      <c r="A1609" s="208"/>
      <c r="B1609" s="208"/>
      <c r="C1609" s="208"/>
      <c r="D1609" s="208"/>
      <c r="E1609" s="208"/>
      <c r="F1609" s="208"/>
      <c r="G1609" s="208"/>
      <c r="H1609" s="232"/>
      <c r="I1609" s="233"/>
      <c r="J1609" s="208"/>
      <c r="K1609" s="208"/>
      <c r="L1609" s="208"/>
      <c r="M1609" s="208"/>
      <c r="N1609" s="208"/>
      <c r="O1609" s="208"/>
      <c r="P1609" s="208"/>
      <c r="Q1609" s="208"/>
      <c r="R1609" s="208"/>
      <c r="S1609" s="208"/>
      <c r="T1609" s="208"/>
      <c r="U1609" s="208"/>
      <c r="V1609" s="234"/>
      <c r="W1609" s="232"/>
      <c r="X1609" s="232"/>
      <c r="Y1609" s="232"/>
      <c r="Z1609" s="232"/>
      <c r="AA1609" s="232"/>
      <c r="AB1609" s="232"/>
      <c r="AC1609" s="232"/>
      <c r="AD1609" s="232"/>
      <c r="AE1609" s="232"/>
      <c r="AF1609" s="232"/>
      <c r="AG1609" s="208"/>
      <c r="AH1609" s="208"/>
      <c r="AI1609" s="208"/>
      <c r="AJ1609" s="208"/>
      <c r="AK1609" s="208"/>
    </row>
    <row r="1610">
      <c r="A1610" s="208"/>
      <c r="B1610" s="208"/>
      <c r="C1610" s="208"/>
      <c r="D1610" s="208"/>
      <c r="E1610" s="208"/>
      <c r="F1610" s="208"/>
      <c r="G1610" s="208"/>
      <c r="H1610" s="232"/>
      <c r="I1610" s="233"/>
      <c r="J1610" s="208"/>
      <c r="K1610" s="208"/>
      <c r="L1610" s="208"/>
      <c r="M1610" s="208"/>
      <c r="N1610" s="208"/>
      <c r="O1610" s="208"/>
      <c r="P1610" s="208"/>
      <c r="Q1610" s="208"/>
      <c r="R1610" s="208"/>
      <c r="S1610" s="208"/>
      <c r="T1610" s="208"/>
      <c r="U1610" s="208"/>
      <c r="V1610" s="234"/>
      <c r="W1610" s="232"/>
      <c r="X1610" s="232"/>
      <c r="Y1610" s="232"/>
      <c r="Z1610" s="232"/>
      <c r="AA1610" s="232"/>
      <c r="AB1610" s="232"/>
      <c r="AC1610" s="232"/>
      <c r="AD1610" s="232"/>
      <c r="AE1610" s="232"/>
      <c r="AF1610" s="232"/>
      <c r="AG1610" s="208"/>
      <c r="AH1610" s="208"/>
      <c r="AI1610" s="208"/>
      <c r="AJ1610" s="208"/>
      <c r="AK1610" s="208"/>
    </row>
    <row r="1611">
      <c r="A1611" s="208"/>
      <c r="B1611" s="208"/>
      <c r="C1611" s="208"/>
      <c r="D1611" s="208"/>
      <c r="E1611" s="208"/>
      <c r="F1611" s="208"/>
      <c r="G1611" s="208"/>
      <c r="H1611" s="232"/>
      <c r="I1611" s="233"/>
      <c r="J1611" s="208"/>
      <c r="K1611" s="208"/>
      <c r="L1611" s="208"/>
      <c r="M1611" s="208"/>
      <c r="N1611" s="208"/>
      <c r="O1611" s="208"/>
      <c r="P1611" s="208"/>
      <c r="Q1611" s="208"/>
      <c r="R1611" s="208"/>
      <c r="S1611" s="208"/>
      <c r="T1611" s="208"/>
      <c r="U1611" s="208"/>
      <c r="V1611" s="234"/>
      <c r="W1611" s="232"/>
      <c r="X1611" s="232"/>
      <c r="Y1611" s="232"/>
      <c r="Z1611" s="232"/>
      <c r="AA1611" s="232"/>
      <c r="AB1611" s="232"/>
      <c r="AC1611" s="232"/>
      <c r="AD1611" s="232"/>
      <c r="AE1611" s="232"/>
      <c r="AF1611" s="232"/>
      <c r="AG1611" s="208"/>
      <c r="AH1611" s="208"/>
      <c r="AI1611" s="208"/>
      <c r="AJ1611" s="208"/>
      <c r="AK1611" s="208"/>
    </row>
    <row r="1612">
      <c r="A1612" s="208"/>
      <c r="B1612" s="208"/>
      <c r="C1612" s="208"/>
      <c r="D1612" s="208"/>
      <c r="E1612" s="208"/>
      <c r="F1612" s="208"/>
      <c r="G1612" s="208"/>
      <c r="H1612" s="232"/>
      <c r="I1612" s="233"/>
      <c r="J1612" s="208"/>
      <c r="K1612" s="208"/>
      <c r="L1612" s="208"/>
      <c r="M1612" s="208"/>
      <c r="N1612" s="208"/>
      <c r="O1612" s="208"/>
      <c r="P1612" s="208"/>
      <c r="Q1612" s="208"/>
      <c r="R1612" s="208"/>
      <c r="S1612" s="208"/>
      <c r="T1612" s="208"/>
      <c r="U1612" s="208"/>
      <c r="V1612" s="234"/>
      <c r="W1612" s="232"/>
      <c r="X1612" s="232"/>
      <c r="Y1612" s="232"/>
      <c r="Z1612" s="232"/>
      <c r="AA1612" s="232"/>
      <c r="AB1612" s="232"/>
      <c r="AC1612" s="232"/>
      <c r="AD1612" s="232"/>
      <c r="AE1612" s="232"/>
      <c r="AF1612" s="232"/>
      <c r="AG1612" s="208"/>
      <c r="AH1612" s="208"/>
      <c r="AI1612" s="208"/>
      <c r="AJ1612" s="208"/>
      <c r="AK1612" s="208"/>
    </row>
    <row r="1613">
      <c r="A1613" s="208"/>
      <c r="B1613" s="208"/>
      <c r="C1613" s="208"/>
      <c r="D1613" s="208"/>
      <c r="E1613" s="208"/>
      <c r="F1613" s="208"/>
      <c r="G1613" s="208"/>
      <c r="H1613" s="232"/>
      <c r="I1613" s="233"/>
      <c r="J1613" s="208"/>
      <c r="K1613" s="208"/>
      <c r="L1613" s="208"/>
      <c r="M1613" s="208"/>
      <c r="N1613" s="208"/>
      <c r="O1613" s="208"/>
      <c r="P1613" s="208"/>
      <c r="Q1613" s="208"/>
      <c r="R1613" s="208"/>
      <c r="S1613" s="208"/>
      <c r="T1613" s="208"/>
      <c r="U1613" s="208"/>
      <c r="V1613" s="234"/>
      <c r="W1613" s="232"/>
      <c r="X1613" s="232"/>
      <c r="Y1613" s="232"/>
      <c r="Z1613" s="232"/>
      <c r="AA1613" s="232"/>
      <c r="AB1613" s="232"/>
      <c r="AC1613" s="232"/>
      <c r="AD1613" s="232"/>
      <c r="AE1613" s="232"/>
      <c r="AF1613" s="232"/>
      <c r="AG1613" s="208"/>
      <c r="AH1613" s="208"/>
      <c r="AI1613" s="208"/>
      <c r="AJ1613" s="208"/>
      <c r="AK1613" s="208"/>
    </row>
    <row r="1614">
      <c r="A1614" s="208"/>
      <c r="B1614" s="208"/>
      <c r="C1614" s="208"/>
      <c r="D1614" s="208"/>
      <c r="E1614" s="208"/>
      <c r="F1614" s="208"/>
      <c r="G1614" s="208"/>
      <c r="H1614" s="232"/>
      <c r="I1614" s="233"/>
      <c r="J1614" s="208"/>
      <c r="K1614" s="208"/>
      <c r="L1614" s="208"/>
      <c r="M1614" s="208"/>
      <c r="N1614" s="208"/>
      <c r="O1614" s="208"/>
      <c r="P1614" s="208"/>
      <c r="Q1614" s="208"/>
      <c r="R1614" s="208"/>
      <c r="S1614" s="208"/>
      <c r="T1614" s="208"/>
      <c r="U1614" s="208"/>
      <c r="V1614" s="234"/>
      <c r="W1614" s="232"/>
      <c r="X1614" s="232"/>
      <c r="Y1614" s="232"/>
      <c r="Z1614" s="232"/>
      <c r="AA1614" s="232"/>
      <c r="AB1614" s="232"/>
      <c r="AC1614" s="232"/>
      <c r="AD1614" s="232"/>
      <c r="AE1614" s="232"/>
      <c r="AF1614" s="232"/>
      <c r="AG1614" s="208"/>
      <c r="AH1614" s="208"/>
      <c r="AI1614" s="208"/>
      <c r="AJ1614" s="208"/>
      <c r="AK1614" s="208"/>
    </row>
    <row r="1615">
      <c r="A1615" s="208"/>
      <c r="B1615" s="208"/>
      <c r="C1615" s="208"/>
      <c r="D1615" s="208"/>
      <c r="E1615" s="208"/>
      <c r="F1615" s="208"/>
      <c r="G1615" s="208"/>
      <c r="H1615" s="232"/>
      <c r="I1615" s="233"/>
      <c r="J1615" s="208"/>
      <c r="K1615" s="208"/>
      <c r="L1615" s="208"/>
      <c r="M1615" s="208"/>
      <c r="N1615" s="208"/>
      <c r="O1615" s="208"/>
      <c r="P1615" s="208"/>
      <c r="Q1615" s="208"/>
      <c r="R1615" s="208"/>
      <c r="S1615" s="208"/>
      <c r="T1615" s="208"/>
      <c r="U1615" s="208"/>
      <c r="V1615" s="234"/>
      <c r="W1615" s="232"/>
      <c r="X1615" s="232"/>
      <c r="Y1615" s="232"/>
      <c r="Z1615" s="232"/>
      <c r="AA1615" s="232"/>
      <c r="AB1615" s="232"/>
      <c r="AC1615" s="232"/>
      <c r="AD1615" s="232"/>
      <c r="AE1615" s="232"/>
      <c r="AF1615" s="232"/>
      <c r="AG1615" s="208"/>
      <c r="AH1615" s="208"/>
      <c r="AI1615" s="208"/>
      <c r="AJ1615" s="208"/>
      <c r="AK1615" s="208"/>
    </row>
    <row r="1616">
      <c r="A1616" s="208"/>
      <c r="B1616" s="208"/>
      <c r="C1616" s="208"/>
      <c r="D1616" s="208"/>
      <c r="E1616" s="208"/>
      <c r="F1616" s="208"/>
      <c r="G1616" s="208"/>
      <c r="H1616" s="232"/>
      <c r="I1616" s="233"/>
      <c r="J1616" s="208"/>
      <c r="K1616" s="208"/>
      <c r="L1616" s="208"/>
      <c r="M1616" s="208"/>
      <c r="N1616" s="208"/>
      <c r="O1616" s="208"/>
      <c r="P1616" s="208"/>
      <c r="Q1616" s="208"/>
      <c r="R1616" s="208"/>
      <c r="S1616" s="208"/>
      <c r="T1616" s="208"/>
      <c r="U1616" s="208"/>
      <c r="V1616" s="234"/>
      <c r="W1616" s="232"/>
      <c r="X1616" s="232"/>
      <c r="Y1616" s="232"/>
      <c r="Z1616" s="232"/>
      <c r="AA1616" s="232"/>
      <c r="AB1616" s="232"/>
      <c r="AC1616" s="232"/>
      <c r="AD1616" s="232"/>
      <c r="AE1616" s="232"/>
      <c r="AF1616" s="232"/>
      <c r="AG1616" s="208"/>
      <c r="AH1616" s="208"/>
      <c r="AI1616" s="208"/>
      <c r="AJ1616" s="208"/>
      <c r="AK1616" s="208"/>
    </row>
    <row r="1617">
      <c r="A1617" s="208"/>
      <c r="B1617" s="208"/>
      <c r="C1617" s="208"/>
      <c r="D1617" s="208"/>
      <c r="E1617" s="208"/>
      <c r="F1617" s="208"/>
      <c r="G1617" s="208"/>
      <c r="H1617" s="232"/>
      <c r="I1617" s="233"/>
      <c r="J1617" s="208"/>
      <c r="K1617" s="208"/>
      <c r="L1617" s="208"/>
      <c r="M1617" s="208"/>
      <c r="N1617" s="208"/>
      <c r="O1617" s="208"/>
      <c r="P1617" s="208"/>
      <c r="Q1617" s="208"/>
      <c r="R1617" s="208"/>
      <c r="S1617" s="208"/>
      <c r="T1617" s="208"/>
      <c r="U1617" s="208"/>
      <c r="V1617" s="234"/>
      <c r="W1617" s="232"/>
      <c r="X1617" s="232"/>
      <c r="Y1617" s="232"/>
      <c r="Z1617" s="232"/>
      <c r="AA1617" s="232"/>
      <c r="AB1617" s="232"/>
      <c r="AC1617" s="232"/>
      <c r="AD1617" s="232"/>
      <c r="AE1617" s="232"/>
      <c r="AF1617" s="232"/>
      <c r="AG1617" s="208"/>
      <c r="AH1617" s="208"/>
      <c r="AI1617" s="208"/>
      <c r="AJ1617" s="208"/>
      <c r="AK1617" s="208"/>
    </row>
    <row r="1618">
      <c r="A1618" s="208"/>
      <c r="B1618" s="208"/>
      <c r="C1618" s="208"/>
      <c r="D1618" s="208"/>
      <c r="E1618" s="208"/>
      <c r="F1618" s="208"/>
      <c r="G1618" s="208"/>
      <c r="H1618" s="232"/>
      <c r="I1618" s="233"/>
      <c r="J1618" s="208"/>
      <c r="K1618" s="208"/>
      <c r="L1618" s="208"/>
      <c r="M1618" s="208"/>
      <c r="N1618" s="208"/>
      <c r="O1618" s="208"/>
      <c r="P1618" s="208"/>
      <c r="Q1618" s="208"/>
      <c r="R1618" s="208"/>
      <c r="S1618" s="208"/>
      <c r="T1618" s="208"/>
      <c r="U1618" s="208"/>
      <c r="V1618" s="234"/>
      <c r="W1618" s="232"/>
      <c r="X1618" s="232"/>
      <c r="Y1618" s="232"/>
      <c r="Z1618" s="232"/>
      <c r="AA1618" s="232"/>
      <c r="AB1618" s="232"/>
      <c r="AC1618" s="232"/>
      <c r="AD1618" s="232"/>
      <c r="AE1618" s="232"/>
      <c r="AF1618" s="232"/>
      <c r="AG1618" s="208"/>
      <c r="AH1618" s="208"/>
      <c r="AI1618" s="208"/>
      <c r="AJ1618" s="208"/>
      <c r="AK1618" s="208"/>
    </row>
    <row r="1619">
      <c r="A1619" s="208"/>
      <c r="B1619" s="208"/>
      <c r="C1619" s="208"/>
      <c r="D1619" s="208"/>
      <c r="E1619" s="208"/>
      <c r="F1619" s="208"/>
      <c r="G1619" s="208"/>
      <c r="H1619" s="232"/>
      <c r="I1619" s="233"/>
      <c r="J1619" s="208"/>
      <c r="K1619" s="208"/>
      <c r="L1619" s="208"/>
      <c r="M1619" s="208"/>
      <c r="N1619" s="208"/>
      <c r="O1619" s="208"/>
      <c r="P1619" s="208"/>
      <c r="Q1619" s="208"/>
      <c r="R1619" s="208"/>
      <c r="S1619" s="208"/>
      <c r="T1619" s="208"/>
      <c r="U1619" s="208"/>
      <c r="V1619" s="234"/>
      <c r="W1619" s="232"/>
      <c r="X1619" s="232"/>
      <c r="Y1619" s="232"/>
      <c r="Z1619" s="232"/>
      <c r="AA1619" s="232"/>
      <c r="AB1619" s="232"/>
      <c r="AC1619" s="232"/>
      <c r="AD1619" s="232"/>
      <c r="AE1619" s="232"/>
      <c r="AF1619" s="232"/>
      <c r="AG1619" s="208"/>
      <c r="AH1619" s="208"/>
      <c r="AI1619" s="208"/>
      <c r="AJ1619" s="208"/>
      <c r="AK1619" s="208"/>
    </row>
    <row r="1620">
      <c r="A1620" s="208"/>
      <c r="B1620" s="208"/>
      <c r="C1620" s="208"/>
      <c r="D1620" s="208"/>
      <c r="E1620" s="208"/>
      <c r="F1620" s="208"/>
      <c r="G1620" s="208"/>
      <c r="H1620" s="232"/>
      <c r="I1620" s="233"/>
      <c r="J1620" s="208"/>
      <c r="K1620" s="208"/>
      <c r="L1620" s="208"/>
      <c r="M1620" s="208"/>
      <c r="N1620" s="208"/>
      <c r="O1620" s="208"/>
      <c r="P1620" s="208"/>
      <c r="Q1620" s="208"/>
      <c r="R1620" s="208"/>
      <c r="S1620" s="208"/>
      <c r="T1620" s="208"/>
      <c r="U1620" s="208"/>
      <c r="V1620" s="234"/>
      <c r="W1620" s="232"/>
      <c r="X1620" s="232"/>
      <c r="Y1620" s="232"/>
      <c r="Z1620" s="232"/>
      <c r="AA1620" s="232"/>
      <c r="AB1620" s="232"/>
      <c r="AC1620" s="232"/>
      <c r="AD1620" s="232"/>
      <c r="AE1620" s="232"/>
      <c r="AF1620" s="232"/>
      <c r="AG1620" s="208"/>
      <c r="AH1620" s="208"/>
      <c r="AI1620" s="208"/>
      <c r="AJ1620" s="208"/>
      <c r="AK1620" s="208"/>
    </row>
    <row r="1621">
      <c r="A1621" s="208"/>
      <c r="B1621" s="208"/>
      <c r="C1621" s="208"/>
      <c r="D1621" s="208"/>
      <c r="E1621" s="208"/>
      <c r="F1621" s="208"/>
      <c r="G1621" s="208"/>
      <c r="H1621" s="232"/>
      <c r="I1621" s="233"/>
      <c r="J1621" s="208"/>
      <c r="K1621" s="208"/>
      <c r="L1621" s="208"/>
      <c r="M1621" s="208"/>
      <c r="N1621" s="208"/>
      <c r="O1621" s="208"/>
      <c r="P1621" s="208"/>
      <c r="Q1621" s="208"/>
      <c r="R1621" s="208"/>
      <c r="S1621" s="208"/>
      <c r="T1621" s="208"/>
      <c r="U1621" s="208"/>
      <c r="V1621" s="234"/>
      <c r="W1621" s="232"/>
      <c r="X1621" s="232"/>
      <c r="Y1621" s="232"/>
      <c r="Z1621" s="232"/>
      <c r="AA1621" s="232"/>
      <c r="AB1621" s="232"/>
      <c r="AC1621" s="232"/>
      <c r="AD1621" s="232"/>
      <c r="AE1621" s="232"/>
      <c r="AF1621" s="232"/>
      <c r="AG1621" s="208"/>
      <c r="AH1621" s="208"/>
      <c r="AI1621" s="208"/>
      <c r="AJ1621" s="208"/>
      <c r="AK1621" s="208"/>
    </row>
    <row r="1622">
      <c r="A1622" s="208"/>
      <c r="B1622" s="208"/>
      <c r="C1622" s="208"/>
      <c r="D1622" s="208"/>
      <c r="E1622" s="208"/>
      <c r="F1622" s="208"/>
      <c r="G1622" s="208"/>
      <c r="H1622" s="232"/>
      <c r="I1622" s="233"/>
      <c r="J1622" s="208"/>
      <c r="K1622" s="208"/>
      <c r="L1622" s="208"/>
      <c r="M1622" s="208"/>
      <c r="N1622" s="208"/>
      <c r="O1622" s="208"/>
      <c r="P1622" s="208"/>
      <c r="Q1622" s="208"/>
      <c r="R1622" s="208"/>
      <c r="S1622" s="208"/>
      <c r="T1622" s="208"/>
      <c r="U1622" s="208"/>
      <c r="V1622" s="234"/>
      <c r="W1622" s="232"/>
      <c r="X1622" s="232"/>
      <c r="Y1622" s="232"/>
      <c r="Z1622" s="232"/>
      <c r="AA1622" s="232"/>
      <c r="AB1622" s="232"/>
      <c r="AC1622" s="232"/>
      <c r="AD1622" s="232"/>
      <c r="AE1622" s="232"/>
      <c r="AF1622" s="232"/>
      <c r="AG1622" s="208"/>
      <c r="AH1622" s="208"/>
      <c r="AI1622" s="208"/>
      <c r="AJ1622" s="208"/>
      <c r="AK1622" s="208"/>
    </row>
    <row r="1623">
      <c r="A1623" s="208"/>
      <c r="B1623" s="208"/>
      <c r="C1623" s="208"/>
      <c r="D1623" s="208"/>
      <c r="E1623" s="208"/>
      <c r="F1623" s="208"/>
      <c r="G1623" s="208"/>
      <c r="H1623" s="232"/>
      <c r="I1623" s="233"/>
      <c r="J1623" s="208"/>
      <c r="K1623" s="208"/>
      <c r="L1623" s="208"/>
      <c r="M1623" s="208"/>
      <c r="N1623" s="208"/>
      <c r="O1623" s="208"/>
      <c r="P1623" s="208"/>
      <c r="Q1623" s="208"/>
      <c r="R1623" s="208"/>
      <c r="S1623" s="208"/>
      <c r="T1623" s="208"/>
      <c r="U1623" s="208"/>
      <c r="V1623" s="234"/>
      <c r="W1623" s="232"/>
      <c r="X1623" s="232"/>
      <c r="Y1623" s="232"/>
      <c r="Z1623" s="232"/>
      <c r="AA1623" s="232"/>
      <c r="AB1623" s="232"/>
      <c r="AC1623" s="232"/>
      <c r="AD1623" s="232"/>
      <c r="AE1623" s="232"/>
      <c r="AF1623" s="232"/>
      <c r="AG1623" s="208"/>
      <c r="AH1623" s="208"/>
      <c r="AI1623" s="208"/>
      <c r="AJ1623" s="208"/>
      <c r="AK1623" s="208"/>
    </row>
    <row r="1624">
      <c r="A1624" s="208"/>
      <c r="B1624" s="208"/>
      <c r="C1624" s="208"/>
      <c r="D1624" s="208"/>
      <c r="E1624" s="208"/>
      <c r="F1624" s="208"/>
      <c r="G1624" s="208"/>
      <c r="H1624" s="232"/>
      <c r="I1624" s="233"/>
      <c r="J1624" s="208"/>
      <c r="K1624" s="208"/>
      <c r="L1624" s="208"/>
      <c r="M1624" s="208"/>
      <c r="N1624" s="208"/>
      <c r="O1624" s="208"/>
      <c r="P1624" s="208"/>
      <c r="Q1624" s="208"/>
      <c r="R1624" s="208"/>
      <c r="S1624" s="208"/>
      <c r="T1624" s="208"/>
      <c r="U1624" s="208"/>
      <c r="V1624" s="234"/>
      <c r="W1624" s="232"/>
      <c r="X1624" s="232"/>
      <c r="Y1624" s="232"/>
      <c r="Z1624" s="232"/>
      <c r="AA1624" s="232"/>
      <c r="AB1624" s="232"/>
      <c r="AC1624" s="232"/>
      <c r="AD1624" s="232"/>
      <c r="AE1624" s="232"/>
      <c r="AF1624" s="232"/>
      <c r="AG1624" s="208"/>
      <c r="AH1624" s="208"/>
      <c r="AI1624" s="208"/>
      <c r="AJ1624" s="208"/>
      <c r="AK1624" s="208"/>
    </row>
    <row r="1625">
      <c r="A1625" s="208"/>
      <c r="B1625" s="208"/>
      <c r="C1625" s="208"/>
      <c r="D1625" s="208"/>
      <c r="E1625" s="208"/>
      <c r="F1625" s="208"/>
      <c r="G1625" s="208"/>
      <c r="H1625" s="232"/>
      <c r="I1625" s="233"/>
      <c r="J1625" s="208"/>
      <c r="K1625" s="208"/>
      <c r="L1625" s="208"/>
      <c r="M1625" s="208"/>
      <c r="N1625" s="208"/>
      <c r="O1625" s="208"/>
      <c r="P1625" s="208"/>
      <c r="Q1625" s="208"/>
      <c r="R1625" s="208"/>
      <c r="S1625" s="208"/>
      <c r="T1625" s="208"/>
      <c r="U1625" s="208"/>
      <c r="V1625" s="234"/>
      <c r="W1625" s="232"/>
      <c r="X1625" s="232"/>
      <c r="Y1625" s="232"/>
      <c r="Z1625" s="232"/>
      <c r="AA1625" s="232"/>
      <c r="AB1625" s="232"/>
      <c r="AC1625" s="232"/>
      <c r="AD1625" s="232"/>
      <c r="AE1625" s="232"/>
      <c r="AF1625" s="232"/>
      <c r="AG1625" s="208"/>
      <c r="AH1625" s="208"/>
      <c r="AI1625" s="208"/>
      <c r="AJ1625" s="208"/>
      <c r="AK1625" s="208"/>
    </row>
    <row r="1626">
      <c r="A1626" s="208"/>
      <c r="B1626" s="208"/>
      <c r="C1626" s="208"/>
      <c r="D1626" s="208"/>
      <c r="E1626" s="208"/>
      <c r="F1626" s="208"/>
      <c r="G1626" s="208"/>
      <c r="H1626" s="232"/>
      <c r="I1626" s="233"/>
      <c r="J1626" s="208"/>
      <c r="K1626" s="208"/>
      <c r="L1626" s="208"/>
      <c r="M1626" s="208"/>
      <c r="N1626" s="208"/>
      <c r="O1626" s="208"/>
      <c r="P1626" s="208"/>
      <c r="Q1626" s="208"/>
      <c r="R1626" s="208"/>
      <c r="S1626" s="208"/>
      <c r="T1626" s="208"/>
      <c r="U1626" s="208"/>
      <c r="V1626" s="234"/>
      <c r="W1626" s="232"/>
      <c r="X1626" s="232"/>
      <c r="Y1626" s="232"/>
      <c r="Z1626" s="232"/>
      <c r="AA1626" s="232"/>
      <c r="AB1626" s="232"/>
      <c r="AC1626" s="232"/>
      <c r="AD1626" s="232"/>
      <c r="AE1626" s="232"/>
      <c r="AF1626" s="232"/>
      <c r="AG1626" s="208"/>
      <c r="AH1626" s="208"/>
      <c r="AI1626" s="208"/>
      <c r="AJ1626" s="208"/>
      <c r="AK1626" s="208"/>
    </row>
    <row r="1627">
      <c r="A1627" s="208"/>
      <c r="B1627" s="208"/>
      <c r="C1627" s="208"/>
      <c r="D1627" s="208"/>
      <c r="E1627" s="208"/>
      <c r="F1627" s="208"/>
      <c r="G1627" s="208"/>
      <c r="H1627" s="232"/>
      <c r="I1627" s="233"/>
      <c r="J1627" s="208"/>
      <c r="K1627" s="208"/>
      <c r="L1627" s="208"/>
      <c r="M1627" s="208"/>
      <c r="N1627" s="208"/>
      <c r="O1627" s="208"/>
      <c r="P1627" s="208"/>
      <c r="Q1627" s="208"/>
      <c r="R1627" s="208"/>
      <c r="S1627" s="208"/>
      <c r="T1627" s="208"/>
      <c r="U1627" s="208"/>
      <c r="V1627" s="234"/>
      <c r="W1627" s="232"/>
      <c r="X1627" s="232"/>
      <c r="Y1627" s="232"/>
      <c r="Z1627" s="232"/>
      <c r="AA1627" s="232"/>
      <c r="AB1627" s="232"/>
      <c r="AC1627" s="232"/>
      <c r="AD1627" s="232"/>
      <c r="AE1627" s="232"/>
      <c r="AF1627" s="232"/>
      <c r="AG1627" s="208"/>
      <c r="AH1627" s="208"/>
      <c r="AI1627" s="208"/>
      <c r="AJ1627" s="208"/>
      <c r="AK1627" s="208"/>
    </row>
    <row r="1628">
      <c r="A1628" s="208"/>
      <c r="B1628" s="208"/>
      <c r="C1628" s="208"/>
      <c r="D1628" s="208"/>
      <c r="E1628" s="208"/>
      <c r="F1628" s="208"/>
      <c r="G1628" s="208"/>
      <c r="H1628" s="232"/>
      <c r="I1628" s="233"/>
      <c r="J1628" s="208"/>
      <c r="K1628" s="208"/>
      <c r="L1628" s="208"/>
      <c r="M1628" s="208"/>
      <c r="N1628" s="208"/>
      <c r="O1628" s="208"/>
      <c r="P1628" s="208"/>
      <c r="Q1628" s="208"/>
      <c r="R1628" s="208"/>
      <c r="S1628" s="208"/>
      <c r="T1628" s="208"/>
      <c r="U1628" s="208"/>
      <c r="V1628" s="234"/>
      <c r="W1628" s="232"/>
      <c r="X1628" s="232"/>
      <c r="Y1628" s="232"/>
      <c r="Z1628" s="232"/>
      <c r="AA1628" s="232"/>
      <c r="AB1628" s="232"/>
      <c r="AC1628" s="232"/>
      <c r="AD1628" s="232"/>
      <c r="AE1628" s="232"/>
      <c r="AF1628" s="232"/>
      <c r="AG1628" s="208"/>
      <c r="AH1628" s="208"/>
      <c r="AI1628" s="208"/>
      <c r="AJ1628" s="208"/>
      <c r="AK1628" s="208"/>
    </row>
    <row r="1629">
      <c r="A1629" s="208"/>
      <c r="B1629" s="208"/>
      <c r="C1629" s="208"/>
      <c r="D1629" s="208"/>
      <c r="E1629" s="208"/>
      <c r="F1629" s="208"/>
      <c r="G1629" s="208"/>
      <c r="H1629" s="232"/>
      <c r="I1629" s="233"/>
      <c r="J1629" s="208"/>
      <c r="K1629" s="208"/>
      <c r="L1629" s="208"/>
      <c r="M1629" s="208"/>
      <c r="N1629" s="208"/>
      <c r="O1629" s="208"/>
      <c r="P1629" s="208"/>
      <c r="Q1629" s="208"/>
      <c r="R1629" s="208"/>
      <c r="S1629" s="208"/>
      <c r="T1629" s="208"/>
      <c r="U1629" s="208"/>
      <c r="V1629" s="234"/>
      <c r="W1629" s="232"/>
      <c r="X1629" s="232"/>
      <c r="Y1629" s="232"/>
      <c r="Z1629" s="232"/>
      <c r="AA1629" s="232"/>
      <c r="AB1629" s="232"/>
      <c r="AC1629" s="232"/>
      <c r="AD1629" s="232"/>
      <c r="AE1629" s="232"/>
      <c r="AF1629" s="232"/>
      <c r="AG1629" s="208"/>
      <c r="AH1629" s="208"/>
      <c r="AI1629" s="208"/>
      <c r="AJ1629" s="208"/>
      <c r="AK1629" s="208"/>
    </row>
    <row r="1630">
      <c r="A1630" s="208"/>
      <c r="B1630" s="208"/>
      <c r="C1630" s="208"/>
      <c r="D1630" s="208"/>
      <c r="E1630" s="208"/>
      <c r="F1630" s="208"/>
      <c r="G1630" s="208"/>
      <c r="H1630" s="232"/>
      <c r="I1630" s="233"/>
      <c r="J1630" s="208"/>
      <c r="K1630" s="208"/>
      <c r="L1630" s="208"/>
      <c r="M1630" s="208"/>
      <c r="N1630" s="208"/>
      <c r="O1630" s="208"/>
      <c r="P1630" s="208"/>
      <c r="Q1630" s="208"/>
      <c r="R1630" s="208"/>
      <c r="S1630" s="208"/>
      <c r="T1630" s="208"/>
      <c r="U1630" s="208"/>
      <c r="V1630" s="234"/>
      <c r="W1630" s="232"/>
      <c r="X1630" s="232"/>
      <c r="Y1630" s="232"/>
      <c r="Z1630" s="232"/>
      <c r="AA1630" s="232"/>
      <c r="AB1630" s="232"/>
      <c r="AC1630" s="232"/>
      <c r="AD1630" s="232"/>
      <c r="AE1630" s="232"/>
      <c r="AF1630" s="232"/>
      <c r="AG1630" s="208"/>
      <c r="AH1630" s="208"/>
      <c r="AI1630" s="208"/>
      <c r="AJ1630" s="208"/>
      <c r="AK1630" s="208"/>
    </row>
    <row r="1631">
      <c r="A1631" s="208"/>
      <c r="B1631" s="208"/>
      <c r="C1631" s="208"/>
      <c r="D1631" s="208"/>
      <c r="E1631" s="208"/>
      <c r="F1631" s="208"/>
      <c r="G1631" s="208"/>
      <c r="H1631" s="232"/>
      <c r="I1631" s="233"/>
      <c r="J1631" s="208"/>
      <c r="K1631" s="208"/>
      <c r="L1631" s="208"/>
      <c r="M1631" s="208"/>
      <c r="N1631" s="208"/>
      <c r="O1631" s="208"/>
      <c r="P1631" s="208"/>
      <c r="Q1631" s="208"/>
      <c r="R1631" s="208"/>
      <c r="S1631" s="208"/>
      <c r="T1631" s="208"/>
      <c r="U1631" s="208"/>
      <c r="V1631" s="234"/>
      <c r="W1631" s="232"/>
      <c r="X1631" s="232"/>
      <c r="Y1631" s="232"/>
      <c r="Z1631" s="232"/>
      <c r="AA1631" s="232"/>
      <c r="AB1631" s="232"/>
      <c r="AC1631" s="232"/>
      <c r="AD1631" s="232"/>
      <c r="AE1631" s="232"/>
      <c r="AF1631" s="232"/>
      <c r="AG1631" s="208"/>
      <c r="AH1631" s="208"/>
      <c r="AI1631" s="208"/>
      <c r="AJ1631" s="208"/>
      <c r="AK1631" s="208"/>
    </row>
    <row r="1632">
      <c r="A1632" s="208"/>
      <c r="B1632" s="208"/>
      <c r="C1632" s="208"/>
      <c r="D1632" s="208"/>
      <c r="E1632" s="208"/>
      <c r="F1632" s="208"/>
      <c r="G1632" s="208"/>
      <c r="H1632" s="232"/>
      <c r="I1632" s="233"/>
      <c r="J1632" s="208"/>
      <c r="K1632" s="208"/>
      <c r="L1632" s="208"/>
      <c r="M1632" s="208"/>
      <c r="N1632" s="208"/>
      <c r="O1632" s="208"/>
      <c r="P1632" s="208"/>
      <c r="Q1632" s="208"/>
      <c r="R1632" s="208"/>
      <c r="S1632" s="208"/>
      <c r="T1632" s="208"/>
      <c r="U1632" s="208"/>
      <c r="V1632" s="234"/>
      <c r="W1632" s="232"/>
      <c r="X1632" s="232"/>
      <c r="Y1632" s="232"/>
      <c r="Z1632" s="232"/>
      <c r="AA1632" s="232"/>
      <c r="AB1632" s="232"/>
      <c r="AC1632" s="232"/>
      <c r="AD1632" s="232"/>
      <c r="AE1632" s="232"/>
      <c r="AF1632" s="232"/>
      <c r="AG1632" s="208"/>
      <c r="AH1632" s="208"/>
      <c r="AI1632" s="208"/>
      <c r="AJ1632" s="208"/>
      <c r="AK1632" s="208"/>
    </row>
    <row r="1633">
      <c r="A1633" s="208"/>
      <c r="B1633" s="208"/>
      <c r="C1633" s="208"/>
      <c r="D1633" s="208"/>
      <c r="E1633" s="208"/>
      <c r="F1633" s="208"/>
      <c r="G1633" s="208"/>
      <c r="H1633" s="232"/>
      <c r="I1633" s="233"/>
      <c r="J1633" s="208"/>
      <c r="K1633" s="208"/>
      <c r="L1633" s="208"/>
      <c r="M1633" s="208"/>
      <c r="N1633" s="208"/>
      <c r="O1633" s="208"/>
      <c r="P1633" s="208"/>
      <c r="Q1633" s="208"/>
      <c r="R1633" s="208"/>
      <c r="S1633" s="208"/>
      <c r="T1633" s="208"/>
      <c r="U1633" s="208"/>
      <c r="V1633" s="234"/>
      <c r="W1633" s="232"/>
      <c r="X1633" s="232"/>
      <c r="Y1633" s="232"/>
      <c r="Z1633" s="232"/>
      <c r="AA1633" s="232"/>
      <c r="AB1633" s="232"/>
      <c r="AC1633" s="232"/>
      <c r="AD1633" s="232"/>
      <c r="AE1633" s="232"/>
      <c r="AF1633" s="232"/>
      <c r="AG1633" s="208"/>
      <c r="AH1633" s="208"/>
      <c r="AI1633" s="208"/>
      <c r="AJ1633" s="208"/>
      <c r="AK1633" s="208"/>
    </row>
    <row r="1634">
      <c r="A1634" s="208"/>
      <c r="B1634" s="208"/>
      <c r="C1634" s="208"/>
      <c r="D1634" s="208"/>
      <c r="E1634" s="208"/>
      <c r="F1634" s="208"/>
      <c r="G1634" s="208"/>
      <c r="H1634" s="232"/>
      <c r="I1634" s="233"/>
      <c r="J1634" s="208"/>
      <c r="K1634" s="208"/>
      <c r="L1634" s="208"/>
      <c r="M1634" s="208"/>
      <c r="N1634" s="208"/>
      <c r="O1634" s="208"/>
      <c r="P1634" s="208"/>
      <c r="Q1634" s="208"/>
      <c r="R1634" s="208"/>
      <c r="S1634" s="208"/>
      <c r="T1634" s="208"/>
      <c r="U1634" s="208"/>
      <c r="V1634" s="234"/>
      <c r="W1634" s="232"/>
      <c r="X1634" s="232"/>
      <c r="Y1634" s="232"/>
      <c r="Z1634" s="232"/>
      <c r="AA1634" s="232"/>
      <c r="AB1634" s="232"/>
      <c r="AC1634" s="232"/>
      <c r="AD1634" s="232"/>
      <c r="AE1634" s="232"/>
      <c r="AF1634" s="232"/>
      <c r="AG1634" s="208"/>
      <c r="AH1634" s="208"/>
      <c r="AI1634" s="208"/>
      <c r="AJ1634" s="208"/>
      <c r="AK1634" s="208"/>
    </row>
    <row r="1635">
      <c r="A1635" s="208"/>
      <c r="B1635" s="208"/>
      <c r="C1635" s="208"/>
      <c r="D1635" s="208"/>
      <c r="E1635" s="208"/>
      <c r="F1635" s="208"/>
      <c r="G1635" s="208"/>
      <c r="H1635" s="232"/>
      <c r="I1635" s="233"/>
      <c r="J1635" s="208"/>
      <c r="K1635" s="208"/>
      <c r="L1635" s="208"/>
      <c r="M1635" s="208"/>
      <c r="N1635" s="208"/>
      <c r="O1635" s="208"/>
      <c r="P1635" s="208"/>
      <c r="Q1635" s="208"/>
      <c r="R1635" s="208"/>
      <c r="S1635" s="208"/>
      <c r="T1635" s="208"/>
      <c r="U1635" s="208"/>
      <c r="V1635" s="234"/>
      <c r="W1635" s="232"/>
      <c r="X1635" s="232"/>
      <c r="Y1635" s="232"/>
      <c r="Z1635" s="232"/>
      <c r="AA1635" s="232"/>
      <c r="AB1635" s="232"/>
      <c r="AC1635" s="232"/>
      <c r="AD1635" s="232"/>
      <c r="AE1635" s="232"/>
      <c r="AF1635" s="232"/>
      <c r="AG1635" s="208"/>
      <c r="AH1635" s="208"/>
      <c r="AI1635" s="208"/>
      <c r="AJ1635" s="208"/>
      <c r="AK1635" s="208"/>
    </row>
    <row r="1636">
      <c r="A1636" s="208"/>
      <c r="B1636" s="208"/>
      <c r="C1636" s="208"/>
      <c r="D1636" s="208"/>
      <c r="E1636" s="208"/>
      <c r="F1636" s="208"/>
      <c r="G1636" s="208"/>
      <c r="H1636" s="232"/>
      <c r="I1636" s="233"/>
      <c r="J1636" s="208"/>
      <c r="K1636" s="208"/>
      <c r="L1636" s="208"/>
      <c r="M1636" s="208"/>
      <c r="N1636" s="208"/>
      <c r="O1636" s="208"/>
      <c r="P1636" s="208"/>
      <c r="Q1636" s="208"/>
      <c r="R1636" s="208"/>
      <c r="S1636" s="208"/>
      <c r="T1636" s="208"/>
      <c r="U1636" s="208"/>
      <c r="V1636" s="234"/>
      <c r="W1636" s="232"/>
      <c r="X1636" s="232"/>
      <c r="Y1636" s="232"/>
      <c r="Z1636" s="232"/>
      <c r="AA1636" s="232"/>
      <c r="AB1636" s="232"/>
      <c r="AC1636" s="232"/>
      <c r="AD1636" s="232"/>
      <c r="AE1636" s="232"/>
      <c r="AF1636" s="232"/>
      <c r="AG1636" s="208"/>
      <c r="AH1636" s="208"/>
      <c r="AI1636" s="208"/>
      <c r="AJ1636" s="208"/>
      <c r="AK1636" s="208"/>
    </row>
    <row r="1637">
      <c r="A1637" s="208"/>
      <c r="B1637" s="208"/>
      <c r="C1637" s="208"/>
      <c r="D1637" s="208"/>
      <c r="E1637" s="208"/>
      <c r="F1637" s="208"/>
      <c r="G1637" s="208"/>
      <c r="H1637" s="232"/>
      <c r="I1637" s="233"/>
      <c r="J1637" s="208"/>
      <c r="K1637" s="208"/>
      <c r="L1637" s="208"/>
      <c r="M1637" s="208"/>
      <c r="N1637" s="208"/>
      <c r="O1637" s="208"/>
      <c r="P1637" s="208"/>
      <c r="Q1637" s="208"/>
      <c r="R1637" s="208"/>
      <c r="S1637" s="208"/>
      <c r="T1637" s="208"/>
      <c r="U1637" s="208"/>
      <c r="V1637" s="234"/>
      <c r="W1637" s="232"/>
      <c r="X1637" s="232"/>
      <c r="Y1637" s="232"/>
      <c r="Z1637" s="232"/>
      <c r="AA1637" s="232"/>
      <c r="AB1637" s="232"/>
      <c r="AC1637" s="232"/>
      <c r="AD1637" s="232"/>
      <c r="AE1637" s="232"/>
      <c r="AF1637" s="232"/>
      <c r="AG1637" s="208"/>
      <c r="AH1637" s="208"/>
      <c r="AI1637" s="208"/>
      <c r="AJ1637" s="208"/>
      <c r="AK1637" s="208"/>
    </row>
    <row r="1638">
      <c r="A1638" s="208"/>
      <c r="B1638" s="208"/>
      <c r="C1638" s="208"/>
      <c r="D1638" s="208"/>
      <c r="E1638" s="208"/>
      <c r="F1638" s="208"/>
      <c r="G1638" s="208"/>
      <c r="H1638" s="232"/>
      <c r="I1638" s="233"/>
      <c r="J1638" s="208"/>
      <c r="K1638" s="208"/>
      <c r="L1638" s="208"/>
      <c r="M1638" s="208"/>
      <c r="N1638" s="208"/>
      <c r="O1638" s="208"/>
      <c r="P1638" s="208"/>
      <c r="Q1638" s="208"/>
      <c r="R1638" s="208"/>
      <c r="S1638" s="208"/>
      <c r="T1638" s="208"/>
      <c r="U1638" s="208"/>
      <c r="V1638" s="234"/>
      <c r="W1638" s="232"/>
      <c r="X1638" s="232"/>
      <c r="Y1638" s="232"/>
      <c r="Z1638" s="232"/>
      <c r="AA1638" s="232"/>
      <c r="AB1638" s="232"/>
      <c r="AC1638" s="232"/>
      <c r="AD1638" s="232"/>
      <c r="AE1638" s="232"/>
      <c r="AF1638" s="232"/>
      <c r="AG1638" s="208"/>
      <c r="AH1638" s="208"/>
      <c r="AI1638" s="208"/>
      <c r="AJ1638" s="208"/>
      <c r="AK1638" s="208"/>
    </row>
    <row r="1639">
      <c r="A1639" s="208"/>
      <c r="B1639" s="208"/>
      <c r="C1639" s="208"/>
      <c r="D1639" s="208"/>
      <c r="E1639" s="208"/>
      <c r="F1639" s="208"/>
      <c r="G1639" s="208"/>
      <c r="H1639" s="232"/>
      <c r="I1639" s="233"/>
      <c r="J1639" s="208"/>
      <c r="K1639" s="208"/>
      <c r="L1639" s="208"/>
      <c r="M1639" s="208"/>
      <c r="N1639" s="208"/>
      <c r="O1639" s="208"/>
      <c r="P1639" s="208"/>
      <c r="Q1639" s="208"/>
      <c r="R1639" s="208"/>
      <c r="S1639" s="208"/>
      <c r="T1639" s="208"/>
      <c r="U1639" s="208"/>
      <c r="V1639" s="234"/>
      <c r="W1639" s="232"/>
      <c r="X1639" s="232"/>
      <c r="Y1639" s="232"/>
      <c r="Z1639" s="232"/>
      <c r="AA1639" s="232"/>
      <c r="AB1639" s="232"/>
      <c r="AC1639" s="232"/>
      <c r="AD1639" s="232"/>
      <c r="AE1639" s="232"/>
      <c r="AF1639" s="232"/>
      <c r="AG1639" s="208"/>
      <c r="AH1639" s="208"/>
      <c r="AI1639" s="208"/>
      <c r="AJ1639" s="208"/>
      <c r="AK1639" s="208"/>
    </row>
    <row r="1640">
      <c r="A1640" s="208"/>
      <c r="B1640" s="208"/>
      <c r="C1640" s="208"/>
      <c r="D1640" s="208"/>
      <c r="E1640" s="208"/>
      <c r="F1640" s="208"/>
      <c r="G1640" s="208"/>
      <c r="H1640" s="232"/>
      <c r="I1640" s="233"/>
      <c r="J1640" s="208"/>
      <c r="K1640" s="208"/>
      <c r="L1640" s="208"/>
      <c r="M1640" s="208"/>
      <c r="N1640" s="208"/>
      <c r="O1640" s="208"/>
      <c r="P1640" s="208"/>
      <c r="Q1640" s="208"/>
      <c r="R1640" s="208"/>
      <c r="S1640" s="208"/>
      <c r="T1640" s="208"/>
      <c r="U1640" s="208"/>
      <c r="V1640" s="234"/>
      <c r="W1640" s="232"/>
      <c r="X1640" s="232"/>
      <c r="Y1640" s="232"/>
      <c r="Z1640" s="232"/>
      <c r="AA1640" s="232"/>
      <c r="AB1640" s="232"/>
      <c r="AC1640" s="232"/>
      <c r="AD1640" s="232"/>
      <c r="AE1640" s="232"/>
      <c r="AF1640" s="232"/>
      <c r="AG1640" s="208"/>
      <c r="AH1640" s="208"/>
      <c r="AI1640" s="208"/>
      <c r="AJ1640" s="208"/>
      <c r="AK1640" s="208"/>
    </row>
    <row r="1641">
      <c r="A1641" s="208"/>
      <c r="B1641" s="208"/>
      <c r="C1641" s="208"/>
      <c r="D1641" s="208"/>
      <c r="E1641" s="208"/>
      <c r="F1641" s="208"/>
      <c r="G1641" s="208"/>
      <c r="H1641" s="232"/>
      <c r="I1641" s="233"/>
      <c r="J1641" s="208"/>
      <c r="K1641" s="208"/>
      <c r="L1641" s="208"/>
      <c r="M1641" s="208"/>
      <c r="N1641" s="208"/>
      <c r="O1641" s="208"/>
      <c r="P1641" s="208"/>
      <c r="Q1641" s="208"/>
      <c r="R1641" s="208"/>
      <c r="S1641" s="208"/>
      <c r="T1641" s="208"/>
      <c r="U1641" s="208"/>
      <c r="V1641" s="234"/>
      <c r="W1641" s="232"/>
      <c r="X1641" s="232"/>
      <c r="Y1641" s="232"/>
      <c r="Z1641" s="232"/>
      <c r="AA1641" s="232"/>
      <c r="AB1641" s="232"/>
      <c r="AC1641" s="232"/>
      <c r="AD1641" s="232"/>
      <c r="AE1641" s="232"/>
      <c r="AF1641" s="232"/>
      <c r="AG1641" s="208"/>
      <c r="AH1641" s="208"/>
      <c r="AI1641" s="208"/>
      <c r="AJ1641" s="208"/>
      <c r="AK1641" s="208"/>
    </row>
    <row r="1642">
      <c r="A1642" s="208"/>
      <c r="B1642" s="208"/>
      <c r="C1642" s="208"/>
      <c r="D1642" s="208"/>
      <c r="E1642" s="208"/>
      <c r="F1642" s="208"/>
      <c r="G1642" s="208"/>
      <c r="H1642" s="232"/>
      <c r="I1642" s="233"/>
      <c r="J1642" s="208"/>
      <c r="K1642" s="208"/>
      <c r="L1642" s="208"/>
      <c r="M1642" s="208"/>
      <c r="N1642" s="208"/>
      <c r="O1642" s="208"/>
      <c r="P1642" s="208"/>
      <c r="Q1642" s="208"/>
      <c r="R1642" s="208"/>
      <c r="S1642" s="208"/>
      <c r="T1642" s="208"/>
      <c r="U1642" s="208"/>
      <c r="V1642" s="234"/>
      <c r="W1642" s="232"/>
      <c r="X1642" s="232"/>
      <c r="Y1642" s="232"/>
      <c r="Z1642" s="232"/>
      <c r="AA1642" s="232"/>
      <c r="AB1642" s="232"/>
      <c r="AC1642" s="232"/>
      <c r="AD1642" s="232"/>
      <c r="AE1642" s="232"/>
      <c r="AF1642" s="232"/>
      <c r="AG1642" s="208"/>
      <c r="AH1642" s="208"/>
      <c r="AI1642" s="208"/>
      <c r="AJ1642" s="208"/>
      <c r="AK1642" s="208"/>
    </row>
    <row r="1643">
      <c r="A1643" s="208"/>
      <c r="B1643" s="208"/>
      <c r="C1643" s="208"/>
      <c r="D1643" s="208"/>
      <c r="E1643" s="208"/>
      <c r="F1643" s="208"/>
      <c r="G1643" s="208"/>
      <c r="H1643" s="232"/>
      <c r="I1643" s="233"/>
      <c r="J1643" s="208"/>
      <c r="K1643" s="208"/>
      <c r="L1643" s="208"/>
      <c r="M1643" s="208"/>
      <c r="N1643" s="208"/>
      <c r="O1643" s="208"/>
      <c r="P1643" s="208"/>
      <c r="Q1643" s="208"/>
      <c r="R1643" s="208"/>
      <c r="S1643" s="208"/>
      <c r="T1643" s="208"/>
      <c r="U1643" s="208"/>
      <c r="V1643" s="234"/>
      <c r="W1643" s="232"/>
      <c r="X1643" s="232"/>
      <c r="Y1643" s="232"/>
      <c r="Z1643" s="232"/>
      <c r="AA1643" s="232"/>
      <c r="AB1643" s="232"/>
      <c r="AC1643" s="232"/>
      <c r="AD1643" s="232"/>
      <c r="AE1643" s="232"/>
      <c r="AF1643" s="232"/>
      <c r="AG1643" s="208"/>
      <c r="AH1643" s="208"/>
      <c r="AI1643" s="208"/>
      <c r="AJ1643" s="208"/>
      <c r="AK1643" s="208"/>
    </row>
    <row r="1644">
      <c r="A1644" s="208"/>
      <c r="B1644" s="208"/>
      <c r="C1644" s="208"/>
      <c r="D1644" s="208"/>
      <c r="E1644" s="208"/>
      <c r="F1644" s="208"/>
      <c r="G1644" s="208"/>
      <c r="H1644" s="232"/>
      <c r="I1644" s="233"/>
      <c r="J1644" s="208"/>
      <c r="K1644" s="208"/>
      <c r="L1644" s="208"/>
      <c r="M1644" s="208"/>
      <c r="N1644" s="208"/>
      <c r="O1644" s="208"/>
      <c r="P1644" s="208"/>
      <c r="Q1644" s="208"/>
      <c r="R1644" s="208"/>
      <c r="S1644" s="208"/>
      <c r="T1644" s="208"/>
      <c r="U1644" s="208"/>
      <c r="V1644" s="234"/>
      <c r="W1644" s="232"/>
      <c r="X1644" s="232"/>
      <c r="Y1644" s="232"/>
      <c r="Z1644" s="232"/>
      <c r="AA1644" s="232"/>
      <c r="AB1644" s="232"/>
      <c r="AC1644" s="232"/>
      <c r="AD1644" s="232"/>
      <c r="AE1644" s="232"/>
      <c r="AF1644" s="232"/>
      <c r="AG1644" s="208"/>
      <c r="AH1644" s="208"/>
      <c r="AI1644" s="208"/>
      <c r="AJ1644" s="208"/>
      <c r="AK1644" s="208"/>
    </row>
    <row r="1645">
      <c r="A1645" s="208"/>
      <c r="B1645" s="208"/>
      <c r="C1645" s="208"/>
      <c r="D1645" s="208"/>
      <c r="E1645" s="208"/>
      <c r="F1645" s="208"/>
      <c r="G1645" s="208"/>
      <c r="H1645" s="232"/>
      <c r="I1645" s="233"/>
      <c r="J1645" s="208"/>
      <c r="K1645" s="208"/>
      <c r="L1645" s="208"/>
      <c r="M1645" s="208"/>
      <c r="N1645" s="208"/>
      <c r="O1645" s="208"/>
      <c r="P1645" s="208"/>
      <c r="Q1645" s="208"/>
      <c r="R1645" s="208"/>
      <c r="S1645" s="208"/>
      <c r="T1645" s="208"/>
      <c r="U1645" s="208"/>
      <c r="V1645" s="234"/>
      <c r="W1645" s="232"/>
      <c r="X1645" s="232"/>
      <c r="Y1645" s="232"/>
      <c r="Z1645" s="232"/>
      <c r="AA1645" s="232"/>
      <c r="AB1645" s="232"/>
      <c r="AC1645" s="232"/>
      <c r="AD1645" s="232"/>
      <c r="AE1645" s="232"/>
      <c r="AF1645" s="232"/>
      <c r="AG1645" s="208"/>
      <c r="AH1645" s="208"/>
      <c r="AI1645" s="208"/>
      <c r="AJ1645" s="208"/>
      <c r="AK1645" s="208"/>
    </row>
    <row r="1646">
      <c r="A1646" s="208"/>
      <c r="B1646" s="208"/>
      <c r="C1646" s="208"/>
      <c r="D1646" s="208"/>
      <c r="E1646" s="208"/>
      <c r="F1646" s="208"/>
      <c r="G1646" s="208"/>
      <c r="H1646" s="232"/>
      <c r="I1646" s="233"/>
      <c r="J1646" s="208"/>
      <c r="K1646" s="208"/>
      <c r="L1646" s="208"/>
      <c r="M1646" s="208"/>
      <c r="N1646" s="208"/>
      <c r="O1646" s="208"/>
      <c r="P1646" s="208"/>
      <c r="Q1646" s="208"/>
      <c r="R1646" s="208"/>
      <c r="S1646" s="208"/>
      <c r="T1646" s="208"/>
      <c r="U1646" s="208"/>
      <c r="V1646" s="234"/>
      <c r="W1646" s="232"/>
      <c r="X1646" s="232"/>
      <c r="Y1646" s="232"/>
      <c r="Z1646" s="232"/>
      <c r="AA1646" s="232"/>
      <c r="AB1646" s="232"/>
      <c r="AC1646" s="232"/>
      <c r="AD1646" s="232"/>
      <c r="AE1646" s="232"/>
      <c r="AF1646" s="232"/>
      <c r="AG1646" s="208"/>
      <c r="AH1646" s="208"/>
      <c r="AI1646" s="208"/>
      <c r="AJ1646" s="208"/>
      <c r="AK1646" s="208"/>
    </row>
    <row r="1647">
      <c r="A1647" s="208"/>
      <c r="B1647" s="208"/>
      <c r="C1647" s="208"/>
      <c r="D1647" s="208"/>
      <c r="E1647" s="208"/>
      <c r="F1647" s="208"/>
      <c r="G1647" s="208"/>
      <c r="H1647" s="232"/>
      <c r="I1647" s="233"/>
      <c r="J1647" s="208"/>
      <c r="K1647" s="208"/>
      <c r="L1647" s="208"/>
      <c r="M1647" s="208"/>
      <c r="N1647" s="208"/>
      <c r="O1647" s="208"/>
      <c r="P1647" s="208"/>
      <c r="Q1647" s="208"/>
      <c r="R1647" s="208"/>
      <c r="S1647" s="208"/>
      <c r="T1647" s="208"/>
      <c r="U1647" s="208"/>
      <c r="V1647" s="234"/>
      <c r="W1647" s="232"/>
      <c r="X1647" s="232"/>
      <c r="Y1647" s="232"/>
      <c r="Z1647" s="232"/>
      <c r="AA1647" s="232"/>
      <c r="AB1647" s="232"/>
      <c r="AC1647" s="232"/>
      <c r="AD1647" s="232"/>
      <c r="AE1647" s="232"/>
      <c r="AF1647" s="232"/>
      <c r="AG1647" s="208"/>
      <c r="AH1647" s="208"/>
      <c r="AI1647" s="208"/>
      <c r="AJ1647" s="208"/>
      <c r="AK1647" s="208"/>
    </row>
    <row r="1648">
      <c r="A1648" s="208"/>
      <c r="B1648" s="208"/>
      <c r="C1648" s="208"/>
      <c r="D1648" s="208"/>
      <c r="E1648" s="208"/>
      <c r="F1648" s="208"/>
      <c r="G1648" s="208"/>
      <c r="H1648" s="232"/>
      <c r="I1648" s="233"/>
      <c r="J1648" s="208"/>
      <c r="K1648" s="208"/>
      <c r="L1648" s="208"/>
      <c r="M1648" s="208"/>
      <c r="N1648" s="208"/>
      <c r="O1648" s="208"/>
      <c r="P1648" s="208"/>
      <c r="Q1648" s="208"/>
      <c r="R1648" s="208"/>
      <c r="S1648" s="208"/>
      <c r="T1648" s="208"/>
      <c r="U1648" s="208"/>
      <c r="V1648" s="234"/>
      <c r="W1648" s="232"/>
      <c r="X1648" s="232"/>
      <c r="Y1648" s="232"/>
      <c r="Z1648" s="232"/>
      <c r="AA1648" s="232"/>
      <c r="AB1648" s="232"/>
      <c r="AC1648" s="232"/>
      <c r="AD1648" s="232"/>
      <c r="AE1648" s="232"/>
      <c r="AF1648" s="232"/>
      <c r="AG1648" s="208"/>
      <c r="AH1648" s="208"/>
      <c r="AI1648" s="208"/>
      <c r="AJ1648" s="208"/>
      <c r="AK1648" s="208"/>
    </row>
    <row r="1649">
      <c r="A1649" s="208"/>
      <c r="B1649" s="208"/>
      <c r="C1649" s="208"/>
      <c r="D1649" s="208"/>
      <c r="E1649" s="208"/>
      <c r="F1649" s="208"/>
      <c r="G1649" s="208"/>
      <c r="H1649" s="232"/>
      <c r="I1649" s="233"/>
      <c r="J1649" s="208"/>
      <c r="K1649" s="208"/>
      <c r="L1649" s="208"/>
      <c r="M1649" s="208"/>
      <c r="N1649" s="208"/>
      <c r="O1649" s="208"/>
      <c r="P1649" s="208"/>
      <c r="Q1649" s="208"/>
      <c r="R1649" s="208"/>
      <c r="S1649" s="208"/>
      <c r="T1649" s="208"/>
      <c r="U1649" s="208"/>
      <c r="V1649" s="234"/>
      <c r="W1649" s="232"/>
      <c r="X1649" s="232"/>
      <c r="Y1649" s="232"/>
      <c r="Z1649" s="232"/>
      <c r="AA1649" s="232"/>
      <c r="AB1649" s="232"/>
      <c r="AC1649" s="232"/>
      <c r="AD1649" s="232"/>
      <c r="AE1649" s="232"/>
      <c r="AF1649" s="232"/>
      <c r="AG1649" s="208"/>
      <c r="AH1649" s="208"/>
      <c r="AI1649" s="208"/>
      <c r="AJ1649" s="208"/>
      <c r="AK1649" s="208"/>
    </row>
    <row r="1650">
      <c r="A1650" s="208"/>
      <c r="B1650" s="208"/>
      <c r="C1650" s="208"/>
      <c r="D1650" s="208"/>
      <c r="E1650" s="208"/>
      <c r="F1650" s="208"/>
      <c r="G1650" s="208"/>
      <c r="H1650" s="232"/>
      <c r="I1650" s="233"/>
      <c r="J1650" s="208"/>
      <c r="K1650" s="208"/>
      <c r="L1650" s="208"/>
      <c r="M1650" s="208"/>
      <c r="N1650" s="208"/>
      <c r="O1650" s="208"/>
      <c r="P1650" s="208"/>
      <c r="Q1650" s="208"/>
      <c r="R1650" s="208"/>
      <c r="S1650" s="208"/>
      <c r="T1650" s="208"/>
      <c r="U1650" s="208"/>
      <c r="V1650" s="234"/>
      <c r="W1650" s="232"/>
      <c r="X1650" s="232"/>
      <c r="Y1650" s="232"/>
      <c r="Z1650" s="232"/>
      <c r="AA1650" s="232"/>
      <c r="AB1650" s="232"/>
      <c r="AC1650" s="232"/>
      <c r="AD1650" s="232"/>
      <c r="AE1650" s="232"/>
      <c r="AF1650" s="232"/>
      <c r="AG1650" s="208"/>
      <c r="AH1650" s="208"/>
      <c r="AI1650" s="208"/>
      <c r="AJ1650" s="208"/>
      <c r="AK1650" s="208"/>
    </row>
    <row r="1651">
      <c r="A1651" s="208"/>
      <c r="B1651" s="208"/>
      <c r="C1651" s="208"/>
      <c r="D1651" s="208"/>
      <c r="E1651" s="208"/>
      <c r="F1651" s="208"/>
      <c r="G1651" s="208"/>
      <c r="H1651" s="232"/>
      <c r="I1651" s="233"/>
      <c r="J1651" s="208"/>
      <c r="K1651" s="208"/>
      <c r="L1651" s="208"/>
      <c r="M1651" s="208"/>
      <c r="N1651" s="208"/>
      <c r="O1651" s="208"/>
      <c r="P1651" s="208"/>
      <c r="Q1651" s="208"/>
      <c r="R1651" s="208"/>
      <c r="S1651" s="208"/>
      <c r="T1651" s="208"/>
      <c r="U1651" s="208"/>
      <c r="V1651" s="234"/>
      <c r="W1651" s="232"/>
      <c r="X1651" s="232"/>
      <c r="Y1651" s="232"/>
      <c r="Z1651" s="232"/>
      <c r="AA1651" s="232"/>
      <c r="AB1651" s="232"/>
      <c r="AC1651" s="232"/>
      <c r="AD1651" s="232"/>
      <c r="AE1651" s="232"/>
      <c r="AF1651" s="232"/>
      <c r="AG1651" s="208"/>
      <c r="AH1651" s="208"/>
      <c r="AI1651" s="208"/>
      <c r="AJ1651" s="208"/>
      <c r="AK1651" s="208"/>
    </row>
    <row r="1652">
      <c r="A1652" s="208"/>
      <c r="B1652" s="208"/>
      <c r="C1652" s="208"/>
      <c r="D1652" s="208"/>
      <c r="E1652" s="208"/>
      <c r="F1652" s="208"/>
      <c r="G1652" s="208"/>
      <c r="H1652" s="232"/>
      <c r="I1652" s="233"/>
      <c r="J1652" s="208"/>
      <c r="K1652" s="208"/>
      <c r="L1652" s="208"/>
      <c r="M1652" s="208"/>
      <c r="N1652" s="208"/>
      <c r="O1652" s="208"/>
      <c r="P1652" s="208"/>
      <c r="Q1652" s="208"/>
      <c r="R1652" s="208"/>
      <c r="S1652" s="208"/>
      <c r="T1652" s="208"/>
      <c r="U1652" s="208"/>
      <c r="V1652" s="234"/>
      <c r="W1652" s="232"/>
      <c r="X1652" s="232"/>
      <c r="Y1652" s="232"/>
      <c r="Z1652" s="232"/>
      <c r="AA1652" s="232"/>
      <c r="AB1652" s="232"/>
      <c r="AC1652" s="232"/>
      <c r="AD1652" s="232"/>
      <c r="AE1652" s="232"/>
      <c r="AF1652" s="232"/>
      <c r="AG1652" s="208"/>
      <c r="AH1652" s="208"/>
      <c r="AI1652" s="208"/>
      <c r="AJ1652" s="208"/>
      <c r="AK1652" s="208"/>
    </row>
    <row r="1653">
      <c r="A1653" s="208"/>
      <c r="B1653" s="208"/>
      <c r="C1653" s="208"/>
      <c r="D1653" s="208"/>
      <c r="E1653" s="208"/>
      <c r="F1653" s="208"/>
      <c r="G1653" s="208"/>
      <c r="H1653" s="232"/>
      <c r="I1653" s="233"/>
      <c r="J1653" s="208"/>
      <c r="K1653" s="208"/>
      <c r="L1653" s="208"/>
      <c r="M1653" s="208"/>
      <c r="N1653" s="208"/>
      <c r="O1653" s="208"/>
      <c r="P1653" s="208"/>
      <c r="Q1653" s="208"/>
      <c r="R1653" s="208"/>
      <c r="S1653" s="208"/>
      <c r="T1653" s="208"/>
      <c r="U1653" s="208"/>
      <c r="V1653" s="234"/>
      <c r="W1653" s="232"/>
      <c r="X1653" s="232"/>
      <c r="Y1653" s="232"/>
      <c r="Z1653" s="232"/>
      <c r="AA1653" s="232"/>
      <c r="AB1653" s="232"/>
      <c r="AC1653" s="232"/>
      <c r="AD1653" s="232"/>
      <c r="AE1653" s="232"/>
      <c r="AF1653" s="232"/>
      <c r="AG1653" s="208"/>
      <c r="AH1653" s="208"/>
      <c r="AI1653" s="208"/>
      <c r="AJ1653" s="208"/>
      <c r="AK1653" s="208"/>
    </row>
    <row r="1654">
      <c r="A1654" s="208"/>
      <c r="B1654" s="208"/>
      <c r="C1654" s="208"/>
      <c r="D1654" s="208"/>
      <c r="E1654" s="208"/>
      <c r="F1654" s="208"/>
      <c r="G1654" s="208"/>
      <c r="H1654" s="232"/>
      <c r="I1654" s="233"/>
      <c r="J1654" s="208"/>
      <c r="K1654" s="208"/>
      <c r="L1654" s="208"/>
      <c r="M1654" s="208"/>
      <c r="N1654" s="208"/>
      <c r="O1654" s="208"/>
      <c r="P1654" s="208"/>
      <c r="Q1654" s="208"/>
      <c r="R1654" s="208"/>
      <c r="S1654" s="208"/>
      <c r="T1654" s="208"/>
      <c r="U1654" s="208"/>
      <c r="V1654" s="234"/>
      <c r="W1654" s="232"/>
      <c r="X1654" s="232"/>
      <c r="Y1654" s="232"/>
      <c r="Z1654" s="232"/>
      <c r="AA1654" s="232"/>
      <c r="AB1654" s="232"/>
      <c r="AC1654" s="232"/>
      <c r="AD1654" s="232"/>
      <c r="AE1654" s="232"/>
      <c r="AF1654" s="232"/>
      <c r="AG1654" s="208"/>
      <c r="AH1654" s="208"/>
      <c r="AI1654" s="208"/>
      <c r="AJ1654" s="208"/>
      <c r="AK1654" s="208"/>
    </row>
    <row r="1655">
      <c r="A1655" s="208"/>
      <c r="B1655" s="208"/>
      <c r="C1655" s="208"/>
      <c r="D1655" s="208"/>
      <c r="E1655" s="208"/>
      <c r="F1655" s="208"/>
      <c r="G1655" s="208"/>
      <c r="H1655" s="232"/>
      <c r="I1655" s="233"/>
      <c r="J1655" s="208"/>
      <c r="K1655" s="208"/>
      <c r="L1655" s="208"/>
      <c r="M1655" s="208"/>
      <c r="N1655" s="208"/>
      <c r="O1655" s="208"/>
      <c r="P1655" s="208"/>
      <c r="Q1655" s="208"/>
      <c r="R1655" s="208"/>
      <c r="S1655" s="208"/>
      <c r="T1655" s="208"/>
      <c r="U1655" s="208"/>
      <c r="V1655" s="234"/>
      <c r="W1655" s="232"/>
      <c r="X1655" s="232"/>
      <c r="Y1655" s="232"/>
      <c r="Z1655" s="232"/>
      <c r="AA1655" s="232"/>
      <c r="AB1655" s="232"/>
      <c r="AC1655" s="232"/>
      <c r="AD1655" s="232"/>
      <c r="AE1655" s="232"/>
      <c r="AF1655" s="232"/>
      <c r="AG1655" s="208"/>
      <c r="AH1655" s="208"/>
      <c r="AI1655" s="208"/>
      <c r="AJ1655" s="208"/>
      <c r="AK1655" s="208"/>
    </row>
    <row r="1656">
      <c r="A1656" s="208"/>
      <c r="B1656" s="208"/>
      <c r="C1656" s="208"/>
      <c r="D1656" s="208"/>
      <c r="E1656" s="208"/>
      <c r="F1656" s="208"/>
      <c r="G1656" s="208"/>
      <c r="H1656" s="232"/>
      <c r="I1656" s="233"/>
      <c r="J1656" s="208"/>
      <c r="K1656" s="208"/>
      <c r="L1656" s="208"/>
      <c r="M1656" s="208"/>
      <c r="N1656" s="208"/>
      <c r="O1656" s="208"/>
      <c r="P1656" s="208"/>
      <c r="Q1656" s="208"/>
      <c r="R1656" s="208"/>
      <c r="S1656" s="208"/>
      <c r="T1656" s="208"/>
      <c r="U1656" s="208"/>
      <c r="V1656" s="234"/>
      <c r="W1656" s="232"/>
      <c r="X1656" s="232"/>
      <c r="Y1656" s="232"/>
      <c r="Z1656" s="232"/>
      <c r="AA1656" s="232"/>
      <c r="AB1656" s="232"/>
      <c r="AC1656" s="232"/>
      <c r="AD1656" s="232"/>
      <c r="AE1656" s="232"/>
      <c r="AF1656" s="232"/>
      <c r="AG1656" s="208"/>
      <c r="AH1656" s="208"/>
      <c r="AI1656" s="208"/>
      <c r="AJ1656" s="208"/>
      <c r="AK1656" s="208"/>
    </row>
    <row r="1657">
      <c r="A1657" s="208"/>
      <c r="B1657" s="208"/>
      <c r="C1657" s="208"/>
      <c r="D1657" s="208"/>
      <c r="E1657" s="208"/>
      <c r="F1657" s="208"/>
      <c r="G1657" s="208"/>
      <c r="H1657" s="232"/>
      <c r="I1657" s="233"/>
      <c r="J1657" s="208"/>
      <c r="K1657" s="208"/>
      <c r="L1657" s="208"/>
      <c r="M1657" s="208"/>
      <c r="N1657" s="208"/>
      <c r="O1657" s="208"/>
      <c r="P1657" s="208"/>
      <c r="Q1657" s="208"/>
      <c r="R1657" s="208"/>
      <c r="S1657" s="208"/>
      <c r="T1657" s="208"/>
      <c r="U1657" s="208"/>
      <c r="V1657" s="234"/>
      <c r="W1657" s="232"/>
      <c r="X1657" s="232"/>
      <c r="Y1657" s="232"/>
      <c r="Z1657" s="232"/>
      <c r="AA1657" s="232"/>
      <c r="AB1657" s="232"/>
      <c r="AC1657" s="232"/>
      <c r="AD1657" s="232"/>
      <c r="AE1657" s="232"/>
      <c r="AF1657" s="232"/>
      <c r="AG1657" s="208"/>
      <c r="AH1657" s="208"/>
      <c r="AI1657" s="208"/>
      <c r="AJ1657" s="208"/>
      <c r="AK1657" s="208"/>
    </row>
    <row r="1658">
      <c r="A1658" s="208"/>
      <c r="B1658" s="208"/>
      <c r="C1658" s="208"/>
      <c r="D1658" s="208"/>
      <c r="E1658" s="208"/>
      <c r="F1658" s="208"/>
      <c r="G1658" s="208"/>
      <c r="H1658" s="232"/>
      <c r="I1658" s="233"/>
      <c r="J1658" s="208"/>
      <c r="K1658" s="208"/>
      <c r="L1658" s="208"/>
      <c r="M1658" s="208"/>
      <c r="N1658" s="208"/>
      <c r="O1658" s="208"/>
      <c r="P1658" s="208"/>
      <c r="Q1658" s="208"/>
      <c r="R1658" s="208"/>
      <c r="S1658" s="208"/>
      <c r="T1658" s="208"/>
      <c r="U1658" s="208"/>
      <c r="V1658" s="234"/>
      <c r="W1658" s="232"/>
      <c r="X1658" s="232"/>
      <c r="Y1658" s="232"/>
      <c r="Z1658" s="232"/>
      <c r="AA1658" s="232"/>
      <c r="AB1658" s="232"/>
      <c r="AC1658" s="232"/>
      <c r="AD1658" s="232"/>
      <c r="AE1658" s="232"/>
      <c r="AF1658" s="232"/>
      <c r="AG1658" s="208"/>
      <c r="AH1658" s="208"/>
      <c r="AI1658" s="208"/>
      <c r="AJ1658" s="208"/>
      <c r="AK1658" s="208"/>
    </row>
    <row r="1659">
      <c r="A1659" s="208"/>
      <c r="B1659" s="208"/>
      <c r="C1659" s="208"/>
      <c r="D1659" s="208"/>
      <c r="E1659" s="208"/>
      <c r="F1659" s="208"/>
      <c r="G1659" s="208"/>
      <c r="H1659" s="232"/>
      <c r="I1659" s="233"/>
      <c r="J1659" s="208"/>
      <c r="K1659" s="208"/>
      <c r="L1659" s="208"/>
      <c r="M1659" s="208"/>
      <c r="N1659" s="208"/>
      <c r="O1659" s="208"/>
      <c r="P1659" s="208"/>
      <c r="Q1659" s="208"/>
      <c r="R1659" s="208"/>
      <c r="S1659" s="208"/>
      <c r="T1659" s="208"/>
      <c r="U1659" s="208"/>
      <c r="V1659" s="234"/>
      <c r="W1659" s="232"/>
      <c r="X1659" s="232"/>
      <c r="Y1659" s="232"/>
      <c r="Z1659" s="232"/>
      <c r="AA1659" s="232"/>
      <c r="AB1659" s="232"/>
      <c r="AC1659" s="232"/>
      <c r="AD1659" s="232"/>
      <c r="AE1659" s="232"/>
      <c r="AF1659" s="232"/>
      <c r="AG1659" s="208"/>
      <c r="AH1659" s="208"/>
      <c r="AI1659" s="208"/>
      <c r="AJ1659" s="208"/>
      <c r="AK1659" s="208"/>
    </row>
    <row r="1660">
      <c r="A1660" s="208"/>
      <c r="B1660" s="208"/>
      <c r="C1660" s="208"/>
      <c r="D1660" s="208"/>
      <c r="E1660" s="208"/>
      <c r="F1660" s="208"/>
      <c r="G1660" s="208"/>
      <c r="H1660" s="232"/>
      <c r="I1660" s="233"/>
      <c r="J1660" s="208"/>
      <c r="K1660" s="208"/>
      <c r="L1660" s="208"/>
      <c r="M1660" s="208"/>
      <c r="N1660" s="208"/>
      <c r="O1660" s="208"/>
      <c r="P1660" s="208"/>
      <c r="Q1660" s="208"/>
      <c r="R1660" s="208"/>
      <c r="S1660" s="208"/>
      <c r="T1660" s="208"/>
      <c r="U1660" s="208"/>
      <c r="V1660" s="234"/>
      <c r="W1660" s="232"/>
      <c r="X1660" s="232"/>
      <c r="Y1660" s="232"/>
      <c r="Z1660" s="232"/>
      <c r="AA1660" s="232"/>
      <c r="AB1660" s="232"/>
      <c r="AC1660" s="232"/>
      <c r="AD1660" s="232"/>
      <c r="AE1660" s="232"/>
      <c r="AF1660" s="232"/>
      <c r="AG1660" s="208"/>
      <c r="AH1660" s="208"/>
      <c r="AI1660" s="208"/>
      <c r="AJ1660" s="208"/>
      <c r="AK1660" s="208"/>
    </row>
    <row r="1661">
      <c r="A1661" s="208"/>
      <c r="B1661" s="208"/>
      <c r="C1661" s="208"/>
      <c r="D1661" s="208"/>
      <c r="E1661" s="208"/>
      <c r="F1661" s="208"/>
      <c r="G1661" s="208"/>
      <c r="H1661" s="232"/>
      <c r="I1661" s="233"/>
      <c r="J1661" s="208"/>
      <c r="K1661" s="208"/>
      <c r="L1661" s="208"/>
      <c r="M1661" s="208"/>
      <c r="N1661" s="208"/>
      <c r="O1661" s="208"/>
      <c r="P1661" s="208"/>
      <c r="Q1661" s="208"/>
      <c r="R1661" s="208"/>
      <c r="S1661" s="208"/>
      <c r="T1661" s="208"/>
      <c r="U1661" s="208"/>
      <c r="V1661" s="234"/>
      <c r="W1661" s="232"/>
      <c r="X1661" s="232"/>
      <c r="Y1661" s="232"/>
      <c r="Z1661" s="232"/>
      <c r="AA1661" s="232"/>
      <c r="AB1661" s="232"/>
      <c r="AC1661" s="232"/>
      <c r="AD1661" s="232"/>
      <c r="AE1661" s="232"/>
      <c r="AF1661" s="232"/>
      <c r="AG1661" s="208"/>
      <c r="AH1661" s="208"/>
      <c r="AI1661" s="208"/>
      <c r="AJ1661" s="208"/>
      <c r="AK1661" s="208"/>
    </row>
    <row r="1662">
      <c r="A1662" s="208"/>
      <c r="B1662" s="208"/>
      <c r="C1662" s="208"/>
      <c r="D1662" s="208"/>
      <c r="E1662" s="208"/>
      <c r="F1662" s="208"/>
      <c r="G1662" s="208"/>
      <c r="H1662" s="232"/>
      <c r="I1662" s="233"/>
      <c r="J1662" s="208"/>
      <c r="K1662" s="208"/>
      <c r="L1662" s="208"/>
      <c r="M1662" s="208"/>
      <c r="N1662" s="208"/>
      <c r="O1662" s="208"/>
      <c r="P1662" s="208"/>
      <c r="Q1662" s="208"/>
      <c r="R1662" s="208"/>
      <c r="S1662" s="208"/>
      <c r="T1662" s="208"/>
      <c r="U1662" s="208"/>
      <c r="V1662" s="234"/>
      <c r="W1662" s="232"/>
      <c r="X1662" s="232"/>
      <c r="Y1662" s="232"/>
      <c r="Z1662" s="232"/>
      <c r="AA1662" s="232"/>
      <c r="AB1662" s="232"/>
      <c r="AC1662" s="232"/>
      <c r="AD1662" s="232"/>
      <c r="AE1662" s="232"/>
      <c r="AF1662" s="232"/>
      <c r="AG1662" s="208"/>
      <c r="AH1662" s="208"/>
      <c r="AI1662" s="208"/>
      <c r="AJ1662" s="208"/>
      <c r="AK1662" s="208"/>
    </row>
    <row r="1663">
      <c r="A1663" s="208"/>
      <c r="B1663" s="208"/>
      <c r="C1663" s="208"/>
      <c r="D1663" s="208"/>
      <c r="E1663" s="208"/>
      <c r="F1663" s="208"/>
      <c r="G1663" s="208"/>
      <c r="H1663" s="232"/>
      <c r="I1663" s="233"/>
      <c r="J1663" s="208"/>
      <c r="K1663" s="208"/>
      <c r="L1663" s="208"/>
      <c r="M1663" s="208"/>
      <c r="N1663" s="208"/>
      <c r="O1663" s="208"/>
      <c r="P1663" s="208"/>
      <c r="Q1663" s="208"/>
      <c r="R1663" s="208"/>
      <c r="S1663" s="208"/>
      <c r="T1663" s="208"/>
      <c r="U1663" s="208"/>
      <c r="V1663" s="234"/>
      <c r="W1663" s="232"/>
      <c r="X1663" s="232"/>
      <c r="Y1663" s="232"/>
      <c r="Z1663" s="232"/>
      <c r="AA1663" s="232"/>
      <c r="AB1663" s="232"/>
      <c r="AC1663" s="232"/>
      <c r="AD1663" s="232"/>
      <c r="AE1663" s="232"/>
      <c r="AF1663" s="232"/>
      <c r="AG1663" s="208"/>
      <c r="AH1663" s="208"/>
      <c r="AI1663" s="208"/>
      <c r="AJ1663" s="208"/>
      <c r="AK1663" s="208"/>
    </row>
    <row r="1664">
      <c r="A1664" s="208"/>
      <c r="B1664" s="208"/>
      <c r="C1664" s="208"/>
      <c r="D1664" s="208"/>
      <c r="E1664" s="208"/>
      <c r="F1664" s="208"/>
      <c r="G1664" s="208"/>
      <c r="H1664" s="232"/>
      <c r="I1664" s="233"/>
      <c r="J1664" s="208"/>
      <c r="K1664" s="208"/>
      <c r="L1664" s="208"/>
      <c r="M1664" s="208"/>
      <c r="N1664" s="208"/>
      <c r="O1664" s="208"/>
      <c r="P1664" s="208"/>
      <c r="Q1664" s="208"/>
      <c r="R1664" s="208"/>
      <c r="S1664" s="208"/>
      <c r="T1664" s="208"/>
      <c r="U1664" s="208"/>
      <c r="V1664" s="234"/>
      <c r="W1664" s="232"/>
      <c r="X1664" s="232"/>
      <c r="Y1664" s="232"/>
      <c r="Z1664" s="232"/>
      <c r="AA1664" s="232"/>
      <c r="AB1664" s="232"/>
      <c r="AC1664" s="232"/>
      <c r="AD1664" s="232"/>
      <c r="AE1664" s="232"/>
      <c r="AF1664" s="232"/>
      <c r="AG1664" s="208"/>
      <c r="AH1664" s="208"/>
      <c r="AI1664" s="208"/>
      <c r="AJ1664" s="208"/>
      <c r="AK1664" s="208"/>
    </row>
    <row r="1665">
      <c r="A1665" s="208"/>
      <c r="B1665" s="208"/>
      <c r="C1665" s="208"/>
      <c r="D1665" s="208"/>
      <c r="E1665" s="208"/>
      <c r="F1665" s="208"/>
      <c r="G1665" s="208"/>
      <c r="H1665" s="232"/>
      <c r="I1665" s="233"/>
      <c r="J1665" s="208"/>
      <c r="K1665" s="208"/>
      <c r="L1665" s="208"/>
      <c r="M1665" s="208"/>
      <c r="N1665" s="208"/>
      <c r="O1665" s="208"/>
      <c r="P1665" s="208"/>
      <c r="Q1665" s="208"/>
      <c r="R1665" s="208"/>
      <c r="S1665" s="208"/>
      <c r="T1665" s="208"/>
      <c r="U1665" s="208"/>
      <c r="V1665" s="234"/>
      <c r="W1665" s="232"/>
      <c r="X1665" s="232"/>
      <c r="Y1665" s="232"/>
      <c r="Z1665" s="232"/>
      <c r="AA1665" s="232"/>
      <c r="AB1665" s="232"/>
      <c r="AC1665" s="232"/>
      <c r="AD1665" s="232"/>
      <c r="AE1665" s="232"/>
      <c r="AF1665" s="232"/>
      <c r="AG1665" s="208"/>
      <c r="AH1665" s="208"/>
      <c r="AI1665" s="208"/>
      <c r="AJ1665" s="208"/>
      <c r="AK1665" s="208"/>
    </row>
    <row r="1666">
      <c r="A1666" s="208"/>
      <c r="B1666" s="208"/>
      <c r="C1666" s="208"/>
      <c r="D1666" s="208"/>
      <c r="E1666" s="208"/>
      <c r="F1666" s="208"/>
      <c r="G1666" s="208"/>
      <c r="H1666" s="232"/>
      <c r="I1666" s="233"/>
      <c r="J1666" s="208"/>
      <c r="K1666" s="208"/>
      <c r="L1666" s="208"/>
      <c r="M1666" s="208"/>
      <c r="N1666" s="208"/>
      <c r="O1666" s="208"/>
      <c r="P1666" s="208"/>
      <c r="Q1666" s="208"/>
      <c r="R1666" s="208"/>
      <c r="S1666" s="208"/>
      <c r="T1666" s="208"/>
      <c r="U1666" s="208"/>
      <c r="V1666" s="234"/>
      <c r="W1666" s="232"/>
      <c r="X1666" s="232"/>
      <c r="Y1666" s="232"/>
      <c r="Z1666" s="232"/>
      <c r="AA1666" s="232"/>
      <c r="AB1666" s="232"/>
      <c r="AC1666" s="232"/>
      <c r="AD1666" s="232"/>
      <c r="AE1666" s="232"/>
      <c r="AF1666" s="232"/>
      <c r="AG1666" s="208"/>
      <c r="AH1666" s="208"/>
      <c r="AI1666" s="208"/>
      <c r="AJ1666" s="208"/>
      <c r="AK1666" s="208"/>
    </row>
    <row r="1667">
      <c r="A1667" s="208"/>
      <c r="B1667" s="208"/>
      <c r="C1667" s="208"/>
      <c r="D1667" s="208"/>
      <c r="E1667" s="208"/>
      <c r="F1667" s="208"/>
      <c r="G1667" s="208"/>
      <c r="H1667" s="232"/>
      <c r="I1667" s="233"/>
      <c r="J1667" s="208"/>
      <c r="K1667" s="208"/>
      <c r="L1667" s="208"/>
      <c r="M1667" s="208"/>
      <c r="N1667" s="208"/>
      <c r="O1667" s="208"/>
      <c r="P1667" s="208"/>
      <c r="Q1667" s="208"/>
      <c r="R1667" s="208"/>
      <c r="S1667" s="208"/>
      <c r="T1667" s="208"/>
      <c r="U1667" s="208"/>
      <c r="V1667" s="234"/>
      <c r="W1667" s="232"/>
      <c r="X1667" s="232"/>
      <c r="Y1667" s="232"/>
      <c r="Z1667" s="232"/>
      <c r="AA1667" s="232"/>
      <c r="AB1667" s="232"/>
      <c r="AC1667" s="232"/>
      <c r="AD1667" s="232"/>
      <c r="AE1667" s="232"/>
      <c r="AF1667" s="232"/>
      <c r="AG1667" s="208"/>
      <c r="AH1667" s="208"/>
      <c r="AI1667" s="208"/>
      <c r="AJ1667" s="208"/>
      <c r="AK1667" s="208"/>
    </row>
    <row r="1668">
      <c r="A1668" s="208"/>
      <c r="B1668" s="208"/>
      <c r="C1668" s="208"/>
      <c r="D1668" s="208"/>
      <c r="E1668" s="208"/>
      <c r="F1668" s="208"/>
      <c r="G1668" s="208"/>
      <c r="H1668" s="232"/>
      <c r="I1668" s="233"/>
      <c r="J1668" s="208"/>
      <c r="K1668" s="208"/>
      <c r="L1668" s="208"/>
      <c r="M1668" s="208"/>
      <c r="N1668" s="208"/>
      <c r="O1668" s="208"/>
      <c r="P1668" s="208"/>
      <c r="Q1668" s="208"/>
      <c r="R1668" s="208"/>
      <c r="S1668" s="208"/>
      <c r="T1668" s="208"/>
      <c r="U1668" s="208"/>
      <c r="V1668" s="234"/>
      <c r="W1668" s="232"/>
      <c r="X1668" s="232"/>
      <c r="Y1668" s="232"/>
      <c r="Z1668" s="232"/>
      <c r="AA1668" s="232"/>
      <c r="AB1668" s="232"/>
      <c r="AC1668" s="232"/>
      <c r="AD1668" s="232"/>
      <c r="AE1668" s="232"/>
      <c r="AF1668" s="232"/>
      <c r="AG1668" s="208"/>
      <c r="AH1668" s="208"/>
      <c r="AI1668" s="208"/>
      <c r="AJ1668" s="208"/>
      <c r="AK1668" s="208"/>
    </row>
    <row r="1669">
      <c r="A1669" s="208"/>
      <c r="B1669" s="208"/>
      <c r="C1669" s="208"/>
      <c r="D1669" s="208"/>
      <c r="E1669" s="208"/>
      <c r="F1669" s="208"/>
      <c r="G1669" s="208"/>
      <c r="H1669" s="232"/>
      <c r="I1669" s="233"/>
      <c r="J1669" s="208"/>
      <c r="K1669" s="208"/>
      <c r="L1669" s="208"/>
      <c r="M1669" s="208"/>
      <c r="N1669" s="208"/>
      <c r="O1669" s="208"/>
      <c r="P1669" s="208"/>
      <c r="Q1669" s="208"/>
      <c r="R1669" s="208"/>
      <c r="S1669" s="208"/>
      <c r="T1669" s="208"/>
      <c r="U1669" s="208"/>
      <c r="V1669" s="234"/>
      <c r="W1669" s="232"/>
      <c r="X1669" s="232"/>
      <c r="Y1669" s="232"/>
      <c r="Z1669" s="232"/>
      <c r="AA1669" s="232"/>
      <c r="AB1669" s="232"/>
      <c r="AC1669" s="232"/>
      <c r="AD1669" s="232"/>
      <c r="AE1669" s="232"/>
      <c r="AF1669" s="232"/>
      <c r="AG1669" s="208"/>
      <c r="AH1669" s="208"/>
      <c r="AI1669" s="208"/>
      <c r="AJ1669" s="208"/>
      <c r="AK1669" s="208"/>
    </row>
    <row r="1670">
      <c r="A1670" s="208"/>
      <c r="B1670" s="208"/>
      <c r="C1670" s="208"/>
      <c r="D1670" s="208"/>
      <c r="E1670" s="208"/>
      <c r="F1670" s="208"/>
      <c r="G1670" s="208"/>
      <c r="H1670" s="232"/>
      <c r="I1670" s="233"/>
      <c r="J1670" s="208"/>
      <c r="K1670" s="208"/>
      <c r="L1670" s="208"/>
      <c r="M1670" s="208"/>
      <c r="N1670" s="208"/>
      <c r="O1670" s="208"/>
      <c r="P1670" s="208"/>
      <c r="Q1670" s="208"/>
      <c r="R1670" s="208"/>
      <c r="S1670" s="208"/>
      <c r="T1670" s="208"/>
      <c r="U1670" s="208"/>
      <c r="V1670" s="234"/>
      <c r="W1670" s="232"/>
      <c r="X1670" s="232"/>
      <c r="Y1670" s="232"/>
      <c r="Z1670" s="232"/>
      <c r="AA1670" s="232"/>
      <c r="AB1670" s="232"/>
      <c r="AC1670" s="232"/>
      <c r="AD1670" s="232"/>
      <c r="AE1670" s="232"/>
      <c r="AF1670" s="232"/>
      <c r="AG1670" s="208"/>
      <c r="AH1670" s="208"/>
      <c r="AI1670" s="208"/>
      <c r="AJ1670" s="208"/>
      <c r="AK1670" s="208"/>
    </row>
    <row r="1671">
      <c r="A1671" s="208"/>
      <c r="B1671" s="208"/>
      <c r="C1671" s="208"/>
      <c r="D1671" s="208"/>
      <c r="E1671" s="208"/>
      <c r="F1671" s="208"/>
      <c r="G1671" s="208"/>
      <c r="H1671" s="232"/>
      <c r="I1671" s="233"/>
      <c r="J1671" s="208"/>
      <c r="K1671" s="208"/>
      <c r="L1671" s="208"/>
      <c r="M1671" s="208"/>
      <c r="N1671" s="208"/>
      <c r="O1671" s="208"/>
      <c r="P1671" s="208"/>
      <c r="Q1671" s="208"/>
      <c r="R1671" s="208"/>
      <c r="S1671" s="208"/>
      <c r="T1671" s="208"/>
      <c r="U1671" s="208"/>
      <c r="V1671" s="234"/>
      <c r="W1671" s="232"/>
      <c r="X1671" s="232"/>
      <c r="Y1671" s="232"/>
      <c r="Z1671" s="232"/>
      <c r="AA1671" s="232"/>
      <c r="AB1671" s="232"/>
      <c r="AC1671" s="232"/>
      <c r="AD1671" s="232"/>
      <c r="AE1671" s="232"/>
      <c r="AF1671" s="232"/>
      <c r="AG1671" s="208"/>
      <c r="AH1671" s="208"/>
      <c r="AI1671" s="208"/>
      <c r="AJ1671" s="208"/>
      <c r="AK1671" s="208"/>
    </row>
    <row r="1672">
      <c r="A1672" s="208"/>
      <c r="B1672" s="208"/>
      <c r="C1672" s="208"/>
      <c r="D1672" s="208"/>
      <c r="E1672" s="208"/>
      <c r="F1672" s="208"/>
      <c r="G1672" s="208"/>
      <c r="H1672" s="232"/>
      <c r="I1672" s="233"/>
      <c r="J1672" s="208"/>
      <c r="K1672" s="208"/>
      <c r="L1672" s="208"/>
      <c r="M1672" s="208"/>
      <c r="N1672" s="208"/>
      <c r="O1672" s="208"/>
      <c r="P1672" s="208"/>
      <c r="Q1672" s="208"/>
      <c r="R1672" s="208"/>
      <c r="S1672" s="208"/>
      <c r="T1672" s="208"/>
      <c r="U1672" s="208"/>
      <c r="V1672" s="234"/>
      <c r="W1672" s="232"/>
      <c r="X1672" s="232"/>
      <c r="Y1672" s="232"/>
      <c r="Z1672" s="232"/>
      <c r="AA1672" s="232"/>
      <c r="AB1672" s="232"/>
      <c r="AC1672" s="232"/>
      <c r="AD1672" s="232"/>
      <c r="AE1672" s="232"/>
      <c r="AF1672" s="232"/>
      <c r="AG1672" s="208"/>
      <c r="AH1672" s="208"/>
      <c r="AI1672" s="208"/>
      <c r="AJ1672" s="208"/>
      <c r="AK1672" s="208"/>
    </row>
    <row r="1673">
      <c r="A1673" s="208"/>
      <c r="B1673" s="208"/>
      <c r="C1673" s="208"/>
      <c r="D1673" s="208"/>
      <c r="E1673" s="208"/>
      <c r="F1673" s="208"/>
      <c r="G1673" s="208"/>
      <c r="H1673" s="232"/>
      <c r="I1673" s="233"/>
      <c r="J1673" s="208"/>
      <c r="K1673" s="208"/>
      <c r="L1673" s="208"/>
      <c r="M1673" s="208"/>
      <c r="N1673" s="208"/>
      <c r="O1673" s="208"/>
      <c r="P1673" s="208"/>
      <c r="Q1673" s="208"/>
      <c r="R1673" s="208"/>
      <c r="S1673" s="208"/>
      <c r="T1673" s="208"/>
      <c r="U1673" s="208"/>
      <c r="V1673" s="234"/>
      <c r="W1673" s="232"/>
      <c r="X1673" s="232"/>
      <c r="Y1673" s="232"/>
      <c r="Z1673" s="232"/>
      <c r="AA1673" s="232"/>
      <c r="AB1673" s="232"/>
      <c r="AC1673" s="232"/>
      <c r="AD1673" s="232"/>
      <c r="AE1673" s="232"/>
      <c r="AF1673" s="232"/>
      <c r="AG1673" s="208"/>
      <c r="AH1673" s="208"/>
      <c r="AI1673" s="208"/>
      <c r="AJ1673" s="208"/>
      <c r="AK1673" s="208"/>
    </row>
    <row r="1674">
      <c r="A1674" s="208"/>
      <c r="B1674" s="208"/>
      <c r="C1674" s="208"/>
      <c r="D1674" s="208"/>
      <c r="E1674" s="208"/>
      <c r="F1674" s="208"/>
      <c r="G1674" s="208"/>
      <c r="H1674" s="232"/>
      <c r="I1674" s="233"/>
      <c r="J1674" s="208"/>
      <c r="K1674" s="208"/>
      <c r="L1674" s="208"/>
      <c r="M1674" s="208"/>
      <c r="N1674" s="208"/>
      <c r="O1674" s="208"/>
      <c r="P1674" s="208"/>
      <c r="Q1674" s="208"/>
      <c r="R1674" s="208"/>
      <c r="S1674" s="208"/>
      <c r="T1674" s="208"/>
      <c r="U1674" s="208"/>
      <c r="V1674" s="234"/>
      <c r="W1674" s="232"/>
      <c r="X1674" s="232"/>
      <c r="Y1674" s="232"/>
      <c r="Z1674" s="232"/>
      <c r="AA1674" s="232"/>
      <c r="AB1674" s="232"/>
      <c r="AC1674" s="232"/>
      <c r="AD1674" s="232"/>
      <c r="AE1674" s="232"/>
      <c r="AF1674" s="232"/>
      <c r="AG1674" s="208"/>
      <c r="AH1674" s="208"/>
      <c r="AI1674" s="208"/>
      <c r="AJ1674" s="208"/>
      <c r="AK1674" s="208"/>
    </row>
    <row r="1675">
      <c r="A1675" s="208"/>
      <c r="B1675" s="208"/>
      <c r="C1675" s="208"/>
      <c r="D1675" s="208"/>
      <c r="E1675" s="208"/>
      <c r="F1675" s="208"/>
      <c r="G1675" s="208"/>
      <c r="H1675" s="232"/>
      <c r="I1675" s="233"/>
      <c r="J1675" s="208"/>
      <c r="K1675" s="208"/>
      <c r="L1675" s="208"/>
      <c r="M1675" s="208"/>
      <c r="N1675" s="208"/>
      <c r="O1675" s="208"/>
      <c r="P1675" s="208"/>
      <c r="Q1675" s="208"/>
      <c r="R1675" s="208"/>
      <c r="S1675" s="208"/>
      <c r="T1675" s="208"/>
      <c r="U1675" s="208"/>
      <c r="V1675" s="234"/>
      <c r="W1675" s="232"/>
      <c r="X1675" s="232"/>
      <c r="Y1675" s="232"/>
      <c r="Z1675" s="232"/>
      <c r="AA1675" s="232"/>
      <c r="AB1675" s="232"/>
      <c r="AC1675" s="232"/>
      <c r="AD1675" s="232"/>
      <c r="AE1675" s="232"/>
      <c r="AF1675" s="232"/>
      <c r="AG1675" s="208"/>
      <c r="AH1675" s="208"/>
      <c r="AI1675" s="208"/>
      <c r="AJ1675" s="208"/>
      <c r="AK1675" s="208"/>
    </row>
    <row r="1676">
      <c r="A1676" s="208"/>
      <c r="B1676" s="208"/>
      <c r="C1676" s="208"/>
      <c r="D1676" s="208"/>
      <c r="E1676" s="208"/>
      <c r="F1676" s="208"/>
      <c r="G1676" s="208"/>
      <c r="H1676" s="232"/>
      <c r="I1676" s="233"/>
      <c r="J1676" s="208"/>
      <c r="K1676" s="208"/>
      <c r="L1676" s="208"/>
      <c r="M1676" s="208"/>
      <c r="N1676" s="208"/>
      <c r="O1676" s="208"/>
      <c r="P1676" s="208"/>
      <c r="Q1676" s="208"/>
      <c r="R1676" s="208"/>
      <c r="S1676" s="208"/>
      <c r="T1676" s="208"/>
      <c r="U1676" s="208"/>
      <c r="V1676" s="234"/>
      <c r="W1676" s="232"/>
      <c r="X1676" s="232"/>
      <c r="Y1676" s="232"/>
      <c r="Z1676" s="232"/>
      <c r="AA1676" s="232"/>
      <c r="AB1676" s="232"/>
      <c r="AC1676" s="232"/>
      <c r="AD1676" s="232"/>
      <c r="AE1676" s="232"/>
      <c r="AF1676" s="232"/>
      <c r="AG1676" s="208"/>
      <c r="AH1676" s="208"/>
      <c r="AI1676" s="208"/>
      <c r="AJ1676" s="208"/>
      <c r="AK1676" s="208"/>
    </row>
    <row r="1677">
      <c r="A1677" s="208"/>
      <c r="B1677" s="208"/>
      <c r="C1677" s="208"/>
      <c r="D1677" s="208"/>
      <c r="E1677" s="208"/>
      <c r="F1677" s="208"/>
      <c r="G1677" s="208"/>
      <c r="H1677" s="232"/>
      <c r="I1677" s="233"/>
      <c r="J1677" s="208"/>
      <c r="K1677" s="208"/>
      <c r="L1677" s="208"/>
      <c r="M1677" s="208"/>
      <c r="N1677" s="208"/>
      <c r="O1677" s="208"/>
      <c r="P1677" s="208"/>
      <c r="Q1677" s="208"/>
      <c r="R1677" s="208"/>
      <c r="S1677" s="208"/>
      <c r="T1677" s="208"/>
      <c r="U1677" s="208"/>
      <c r="V1677" s="234"/>
      <c r="W1677" s="232"/>
      <c r="X1677" s="232"/>
      <c r="Y1677" s="232"/>
      <c r="Z1677" s="232"/>
      <c r="AA1677" s="232"/>
      <c r="AB1677" s="232"/>
      <c r="AC1677" s="232"/>
      <c r="AD1677" s="232"/>
      <c r="AE1677" s="232"/>
      <c r="AF1677" s="232"/>
      <c r="AG1677" s="208"/>
      <c r="AH1677" s="208"/>
      <c r="AI1677" s="208"/>
      <c r="AJ1677" s="208"/>
      <c r="AK1677" s="208"/>
    </row>
    <row r="1678">
      <c r="A1678" s="208"/>
      <c r="B1678" s="208"/>
      <c r="C1678" s="208"/>
      <c r="D1678" s="208"/>
      <c r="E1678" s="208"/>
      <c r="F1678" s="208"/>
      <c r="G1678" s="208"/>
      <c r="H1678" s="232"/>
      <c r="I1678" s="233"/>
      <c r="J1678" s="208"/>
      <c r="K1678" s="208"/>
      <c r="L1678" s="208"/>
      <c r="M1678" s="208"/>
      <c r="N1678" s="208"/>
      <c r="O1678" s="208"/>
      <c r="P1678" s="208"/>
      <c r="Q1678" s="208"/>
      <c r="R1678" s="208"/>
      <c r="S1678" s="208"/>
      <c r="T1678" s="208"/>
      <c r="U1678" s="208"/>
      <c r="V1678" s="234"/>
      <c r="W1678" s="232"/>
      <c r="X1678" s="232"/>
      <c r="Y1678" s="232"/>
      <c r="Z1678" s="232"/>
      <c r="AA1678" s="232"/>
      <c r="AB1678" s="232"/>
      <c r="AC1678" s="232"/>
      <c r="AD1678" s="232"/>
      <c r="AE1678" s="232"/>
      <c r="AF1678" s="232"/>
      <c r="AG1678" s="208"/>
      <c r="AH1678" s="208"/>
      <c r="AI1678" s="208"/>
      <c r="AJ1678" s="208"/>
      <c r="AK1678" s="208"/>
    </row>
    <row r="1679">
      <c r="A1679" s="208"/>
      <c r="B1679" s="208"/>
      <c r="C1679" s="208"/>
      <c r="D1679" s="208"/>
      <c r="E1679" s="208"/>
      <c r="F1679" s="208"/>
      <c r="G1679" s="208"/>
      <c r="H1679" s="232"/>
      <c r="I1679" s="233"/>
      <c r="J1679" s="208"/>
      <c r="K1679" s="208"/>
      <c r="L1679" s="208"/>
      <c r="M1679" s="208"/>
      <c r="N1679" s="208"/>
      <c r="O1679" s="208"/>
      <c r="P1679" s="208"/>
      <c r="Q1679" s="208"/>
      <c r="R1679" s="208"/>
      <c r="S1679" s="208"/>
      <c r="T1679" s="208"/>
      <c r="U1679" s="208"/>
      <c r="V1679" s="234"/>
      <c r="W1679" s="232"/>
      <c r="X1679" s="232"/>
      <c r="Y1679" s="232"/>
      <c r="Z1679" s="232"/>
      <c r="AA1679" s="232"/>
      <c r="AB1679" s="232"/>
      <c r="AC1679" s="232"/>
      <c r="AD1679" s="232"/>
      <c r="AE1679" s="232"/>
      <c r="AF1679" s="232"/>
      <c r="AG1679" s="208"/>
      <c r="AH1679" s="208"/>
      <c r="AI1679" s="208"/>
      <c r="AJ1679" s="208"/>
      <c r="AK1679" s="208"/>
    </row>
    <row r="1680">
      <c r="A1680" s="208"/>
      <c r="B1680" s="208"/>
      <c r="C1680" s="208"/>
      <c r="D1680" s="208"/>
      <c r="E1680" s="208"/>
      <c r="F1680" s="208"/>
      <c r="G1680" s="208"/>
      <c r="H1680" s="232"/>
      <c r="I1680" s="233"/>
      <c r="J1680" s="208"/>
      <c r="K1680" s="208"/>
      <c r="L1680" s="208"/>
      <c r="M1680" s="208"/>
      <c r="N1680" s="208"/>
      <c r="O1680" s="208"/>
      <c r="P1680" s="208"/>
      <c r="Q1680" s="208"/>
      <c r="R1680" s="208"/>
      <c r="S1680" s="208"/>
      <c r="T1680" s="208"/>
      <c r="U1680" s="208"/>
      <c r="V1680" s="234"/>
      <c r="W1680" s="232"/>
      <c r="X1680" s="232"/>
      <c r="Y1680" s="232"/>
      <c r="Z1680" s="232"/>
      <c r="AA1680" s="232"/>
      <c r="AB1680" s="232"/>
      <c r="AC1680" s="232"/>
      <c r="AD1680" s="232"/>
      <c r="AE1680" s="232"/>
      <c r="AF1680" s="232"/>
      <c r="AG1680" s="208"/>
      <c r="AH1680" s="208"/>
      <c r="AI1680" s="208"/>
      <c r="AJ1680" s="208"/>
      <c r="AK1680" s="208"/>
    </row>
    <row r="1681">
      <c r="A1681" s="208"/>
      <c r="B1681" s="208"/>
      <c r="C1681" s="208"/>
      <c r="D1681" s="208"/>
      <c r="E1681" s="208"/>
      <c r="F1681" s="208"/>
      <c r="G1681" s="208"/>
      <c r="H1681" s="232"/>
      <c r="I1681" s="233"/>
      <c r="J1681" s="208"/>
      <c r="K1681" s="208"/>
      <c r="L1681" s="208"/>
      <c r="M1681" s="208"/>
      <c r="N1681" s="208"/>
      <c r="O1681" s="208"/>
      <c r="P1681" s="208"/>
      <c r="Q1681" s="208"/>
      <c r="R1681" s="208"/>
      <c r="S1681" s="208"/>
      <c r="T1681" s="208"/>
      <c r="U1681" s="208"/>
      <c r="V1681" s="234"/>
      <c r="W1681" s="232"/>
      <c r="X1681" s="232"/>
      <c r="Y1681" s="232"/>
      <c r="Z1681" s="232"/>
      <c r="AA1681" s="232"/>
      <c r="AB1681" s="232"/>
      <c r="AC1681" s="232"/>
      <c r="AD1681" s="232"/>
      <c r="AE1681" s="232"/>
      <c r="AF1681" s="232"/>
      <c r="AG1681" s="208"/>
      <c r="AH1681" s="208"/>
      <c r="AI1681" s="208"/>
      <c r="AJ1681" s="208"/>
      <c r="AK1681" s="208"/>
    </row>
    <row r="1682">
      <c r="A1682" s="208"/>
      <c r="B1682" s="208"/>
      <c r="C1682" s="208"/>
      <c r="D1682" s="208"/>
      <c r="E1682" s="208"/>
      <c r="F1682" s="208"/>
      <c r="G1682" s="208"/>
      <c r="H1682" s="232"/>
      <c r="I1682" s="233"/>
      <c r="J1682" s="208"/>
      <c r="K1682" s="208"/>
      <c r="L1682" s="208"/>
      <c r="M1682" s="208"/>
      <c r="N1682" s="208"/>
      <c r="O1682" s="208"/>
      <c r="P1682" s="208"/>
      <c r="Q1682" s="208"/>
      <c r="R1682" s="208"/>
      <c r="S1682" s="208"/>
      <c r="T1682" s="208"/>
      <c r="U1682" s="208"/>
      <c r="V1682" s="234"/>
      <c r="W1682" s="232"/>
      <c r="X1682" s="232"/>
      <c r="Y1682" s="232"/>
      <c r="Z1682" s="232"/>
      <c r="AA1682" s="232"/>
      <c r="AB1682" s="232"/>
      <c r="AC1682" s="232"/>
      <c r="AD1682" s="232"/>
      <c r="AE1682" s="232"/>
      <c r="AF1682" s="232"/>
      <c r="AG1682" s="208"/>
      <c r="AH1682" s="208"/>
      <c r="AI1682" s="208"/>
      <c r="AJ1682" s="208"/>
      <c r="AK1682" s="208"/>
    </row>
    <row r="1683">
      <c r="A1683" s="208"/>
      <c r="B1683" s="208"/>
      <c r="C1683" s="208"/>
      <c r="D1683" s="208"/>
      <c r="E1683" s="208"/>
      <c r="F1683" s="208"/>
      <c r="G1683" s="208"/>
      <c r="H1683" s="232"/>
      <c r="I1683" s="233"/>
      <c r="J1683" s="208"/>
      <c r="K1683" s="208"/>
      <c r="L1683" s="208"/>
      <c r="M1683" s="208"/>
      <c r="N1683" s="208"/>
      <c r="O1683" s="208"/>
      <c r="P1683" s="208"/>
      <c r="Q1683" s="208"/>
      <c r="R1683" s="208"/>
      <c r="S1683" s="208"/>
      <c r="T1683" s="208"/>
      <c r="U1683" s="208"/>
      <c r="V1683" s="234"/>
      <c r="W1683" s="232"/>
      <c r="X1683" s="232"/>
      <c r="Y1683" s="232"/>
      <c r="Z1683" s="232"/>
      <c r="AA1683" s="232"/>
      <c r="AB1683" s="232"/>
      <c r="AC1683" s="232"/>
      <c r="AD1683" s="232"/>
      <c r="AE1683" s="232"/>
      <c r="AF1683" s="232"/>
      <c r="AG1683" s="208"/>
      <c r="AH1683" s="208"/>
      <c r="AI1683" s="208"/>
      <c r="AJ1683" s="208"/>
      <c r="AK1683" s="208"/>
    </row>
    <row r="1684">
      <c r="A1684" s="208"/>
      <c r="B1684" s="208"/>
      <c r="C1684" s="208"/>
      <c r="D1684" s="208"/>
      <c r="E1684" s="208"/>
      <c r="F1684" s="208"/>
      <c r="G1684" s="208"/>
      <c r="H1684" s="232"/>
      <c r="I1684" s="233"/>
      <c r="J1684" s="208"/>
      <c r="K1684" s="208"/>
      <c r="L1684" s="208"/>
      <c r="M1684" s="208"/>
      <c r="N1684" s="208"/>
      <c r="O1684" s="208"/>
      <c r="P1684" s="208"/>
      <c r="Q1684" s="208"/>
      <c r="R1684" s="208"/>
      <c r="S1684" s="208"/>
      <c r="T1684" s="208"/>
      <c r="U1684" s="208"/>
      <c r="V1684" s="234"/>
      <c r="W1684" s="232"/>
      <c r="X1684" s="232"/>
      <c r="Y1684" s="232"/>
      <c r="Z1684" s="232"/>
      <c r="AA1684" s="232"/>
      <c r="AB1684" s="232"/>
      <c r="AC1684" s="232"/>
      <c r="AD1684" s="232"/>
      <c r="AE1684" s="232"/>
      <c r="AF1684" s="232"/>
      <c r="AG1684" s="208"/>
      <c r="AH1684" s="208"/>
      <c r="AI1684" s="208"/>
      <c r="AJ1684" s="208"/>
      <c r="AK1684" s="208"/>
    </row>
    <row r="1685">
      <c r="A1685" s="208"/>
      <c r="B1685" s="208"/>
      <c r="C1685" s="208"/>
      <c r="D1685" s="208"/>
      <c r="E1685" s="208"/>
      <c r="F1685" s="208"/>
      <c r="G1685" s="208"/>
      <c r="H1685" s="232"/>
      <c r="I1685" s="233"/>
      <c r="J1685" s="208"/>
      <c r="K1685" s="208"/>
      <c r="L1685" s="208"/>
      <c r="M1685" s="208"/>
      <c r="N1685" s="208"/>
      <c r="O1685" s="208"/>
      <c r="P1685" s="208"/>
      <c r="Q1685" s="208"/>
      <c r="R1685" s="208"/>
      <c r="S1685" s="208"/>
      <c r="T1685" s="208"/>
      <c r="U1685" s="208"/>
      <c r="V1685" s="234"/>
      <c r="W1685" s="232"/>
      <c r="X1685" s="232"/>
      <c r="Y1685" s="232"/>
      <c r="Z1685" s="232"/>
      <c r="AA1685" s="232"/>
      <c r="AB1685" s="232"/>
      <c r="AC1685" s="232"/>
      <c r="AD1685" s="232"/>
      <c r="AE1685" s="232"/>
      <c r="AF1685" s="232"/>
      <c r="AG1685" s="208"/>
      <c r="AH1685" s="208"/>
      <c r="AI1685" s="208"/>
      <c r="AJ1685" s="208"/>
      <c r="AK1685" s="208"/>
    </row>
    <row r="1686">
      <c r="A1686" s="208"/>
      <c r="B1686" s="208"/>
      <c r="C1686" s="208"/>
      <c r="D1686" s="208"/>
      <c r="E1686" s="208"/>
      <c r="F1686" s="208"/>
      <c r="G1686" s="208"/>
      <c r="H1686" s="232"/>
      <c r="I1686" s="233"/>
      <c r="J1686" s="208"/>
      <c r="K1686" s="208"/>
      <c r="L1686" s="208"/>
      <c r="M1686" s="208"/>
      <c r="N1686" s="208"/>
      <c r="O1686" s="208"/>
      <c r="P1686" s="208"/>
      <c r="Q1686" s="208"/>
      <c r="R1686" s="208"/>
      <c r="S1686" s="208"/>
      <c r="T1686" s="208"/>
      <c r="U1686" s="208"/>
      <c r="V1686" s="234"/>
      <c r="W1686" s="232"/>
      <c r="X1686" s="232"/>
      <c r="Y1686" s="232"/>
      <c r="Z1686" s="232"/>
      <c r="AA1686" s="232"/>
      <c r="AB1686" s="232"/>
      <c r="AC1686" s="232"/>
      <c r="AD1686" s="232"/>
      <c r="AE1686" s="232"/>
      <c r="AF1686" s="232"/>
      <c r="AG1686" s="208"/>
      <c r="AH1686" s="208"/>
      <c r="AI1686" s="208"/>
      <c r="AJ1686" s="208"/>
      <c r="AK1686" s="208"/>
    </row>
    <row r="1687">
      <c r="A1687" s="208"/>
      <c r="B1687" s="208"/>
      <c r="C1687" s="208"/>
      <c r="D1687" s="208"/>
      <c r="E1687" s="208"/>
      <c r="F1687" s="208"/>
      <c r="G1687" s="208"/>
      <c r="H1687" s="232"/>
      <c r="I1687" s="233"/>
      <c r="J1687" s="208"/>
      <c r="K1687" s="208"/>
      <c r="L1687" s="208"/>
      <c r="M1687" s="208"/>
      <c r="N1687" s="208"/>
      <c r="O1687" s="208"/>
      <c r="P1687" s="208"/>
      <c r="Q1687" s="208"/>
      <c r="R1687" s="208"/>
      <c r="S1687" s="208"/>
      <c r="T1687" s="208"/>
      <c r="U1687" s="208"/>
      <c r="V1687" s="234"/>
      <c r="W1687" s="232"/>
      <c r="X1687" s="232"/>
      <c r="Y1687" s="232"/>
      <c r="Z1687" s="232"/>
      <c r="AA1687" s="232"/>
      <c r="AB1687" s="232"/>
      <c r="AC1687" s="232"/>
      <c r="AD1687" s="232"/>
      <c r="AE1687" s="232"/>
      <c r="AF1687" s="232"/>
      <c r="AG1687" s="208"/>
      <c r="AH1687" s="208"/>
      <c r="AI1687" s="208"/>
      <c r="AJ1687" s="208"/>
      <c r="AK1687" s="208"/>
    </row>
    <row r="1688">
      <c r="A1688" s="208"/>
      <c r="B1688" s="208"/>
      <c r="C1688" s="208"/>
      <c r="D1688" s="208"/>
      <c r="E1688" s="208"/>
      <c r="F1688" s="208"/>
      <c r="G1688" s="208"/>
      <c r="H1688" s="232"/>
      <c r="I1688" s="233"/>
      <c r="J1688" s="208"/>
      <c r="K1688" s="208"/>
      <c r="L1688" s="208"/>
      <c r="M1688" s="208"/>
      <c r="N1688" s="208"/>
      <c r="O1688" s="208"/>
      <c r="P1688" s="208"/>
      <c r="Q1688" s="208"/>
      <c r="R1688" s="208"/>
      <c r="S1688" s="208"/>
      <c r="T1688" s="208"/>
      <c r="U1688" s="208"/>
      <c r="V1688" s="234"/>
      <c r="W1688" s="232"/>
      <c r="X1688" s="232"/>
      <c r="Y1688" s="232"/>
      <c r="Z1688" s="232"/>
      <c r="AA1688" s="232"/>
      <c r="AB1688" s="232"/>
      <c r="AC1688" s="232"/>
      <c r="AD1688" s="232"/>
      <c r="AE1688" s="232"/>
      <c r="AF1688" s="232"/>
      <c r="AG1688" s="208"/>
      <c r="AH1688" s="208"/>
      <c r="AI1688" s="208"/>
      <c r="AJ1688" s="208"/>
      <c r="AK1688" s="208"/>
    </row>
    <row r="1689">
      <c r="A1689" s="208"/>
      <c r="B1689" s="208"/>
      <c r="C1689" s="208"/>
      <c r="D1689" s="208"/>
      <c r="E1689" s="208"/>
      <c r="F1689" s="208"/>
      <c r="G1689" s="208"/>
      <c r="H1689" s="232"/>
      <c r="I1689" s="233"/>
      <c r="J1689" s="208"/>
      <c r="K1689" s="208"/>
      <c r="L1689" s="208"/>
      <c r="M1689" s="208"/>
      <c r="N1689" s="208"/>
      <c r="O1689" s="208"/>
      <c r="P1689" s="208"/>
      <c r="Q1689" s="208"/>
      <c r="R1689" s="208"/>
      <c r="S1689" s="208"/>
      <c r="T1689" s="208"/>
      <c r="U1689" s="208"/>
      <c r="V1689" s="234"/>
      <c r="W1689" s="232"/>
      <c r="X1689" s="232"/>
      <c r="Y1689" s="232"/>
      <c r="Z1689" s="232"/>
      <c r="AA1689" s="232"/>
      <c r="AB1689" s="232"/>
      <c r="AC1689" s="232"/>
      <c r="AD1689" s="232"/>
      <c r="AE1689" s="232"/>
      <c r="AF1689" s="232"/>
      <c r="AG1689" s="208"/>
      <c r="AH1689" s="208"/>
      <c r="AI1689" s="208"/>
      <c r="AJ1689" s="208"/>
      <c r="AK1689" s="208"/>
    </row>
    <row r="1690">
      <c r="A1690" s="208"/>
      <c r="B1690" s="208"/>
      <c r="C1690" s="208"/>
      <c r="D1690" s="208"/>
      <c r="E1690" s="208"/>
      <c r="F1690" s="208"/>
      <c r="G1690" s="208"/>
      <c r="H1690" s="232"/>
      <c r="I1690" s="233"/>
      <c r="J1690" s="208"/>
      <c r="K1690" s="208"/>
      <c r="L1690" s="208"/>
      <c r="M1690" s="208"/>
      <c r="N1690" s="208"/>
      <c r="O1690" s="208"/>
      <c r="P1690" s="208"/>
      <c r="Q1690" s="208"/>
      <c r="R1690" s="208"/>
      <c r="S1690" s="208"/>
      <c r="T1690" s="208"/>
      <c r="U1690" s="208"/>
      <c r="V1690" s="234"/>
      <c r="W1690" s="232"/>
      <c r="X1690" s="232"/>
      <c r="Y1690" s="232"/>
      <c r="Z1690" s="232"/>
      <c r="AA1690" s="232"/>
      <c r="AB1690" s="232"/>
      <c r="AC1690" s="232"/>
      <c r="AD1690" s="232"/>
      <c r="AE1690" s="232"/>
      <c r="AF1690" s="232"/>
      <c r="AG1690" s="208"/>
      <c r="AH1690" s="208"/>
      <c r="AI1690" s="208"/>
      <c r="AJ1690" s="208"/>
      <c r="AK1690" s="208"/>
    </row>
    <row r="1691">
      <c r="A1691" s="208"/>
      <c r="B1691" s="208"/>
      <c r="C1691" s="208"/>
      <c r="D1691" s="208"/>
      <c r="E1691" s="208"/>
      <c r="F1691" s="208"/>
      <c r="G1691" s="208"/>
      <c r="H1691" s="232"/>
      <c r="I1691" s="233"/>
      <c r="J1691" s="208"/>
      <c r="K1691" s="208"/>
      <c r="L1691" s="208"/>
      <c r="M1691" s="208"/>
      <c r="N1691" s="208"/>
      <c r="O1691" s="208"/>
      <c r="P1691" s="208"/>
      <c r="Q1691" s="208"/>
      <c r="R1691" s="208"/>
      <c r="S1691" s="208"/>
      <c r="T1691" s="208"/>
      <c r="U1691" s="208"/>
      <c r="V1691" s="234"/>
      <c r="W1691" s="232"/>
      <c r="X1691" s="232"/>
      <c r="Y1691" s="232"/>
      <c r="Z1691" s="232"/>
      <c r="AA1691" s="232"/>
      <c r="AB1691" s="232"/>
      <c r="AC1691" s="232"/>
      <c r="AD1691" s="232"/>
      <c r="AE1691" s="232"/>
      <c r="AF1691" s="232"/>
      <c r="AG1691" s="208"/>
      <c r="AH1691" s="208"/>
      <c r="AI1691" s="208"/>
      <c r="AJ1691" s="208"/>
      <c r="AK1691" s="208"/>
    </row>
    <row r="1692">
      <c r="A1692" s="208"/>
      <c r="B1692" s="208"/>
      <c r="C1692" s="208"/>
      <c r="D1692" s="208"/>
      <c r="E1692" s="208"/>
      <c r="F1692" s="208"/>
      <c r="G1692" s="208"/>
      <c r="H1692" s="232"/>
      <c r="I1692" s="233"/>
      <c r="J1692" s="208"/>
      <c r="K1692" s="208"/>
      <c r="L1692" s="208"/>
      <c r="M1692" s="208"/>
      <c r="N1692" s="208"/>
      <c r="O1692" s="208"/>
      <c r="P1692" s="208"/>
      <c r="Q1692" s="208"/>
      <c r="R1692" s="208"/>
      <c r="S1692" s="208"/>
      <c r="T1692" s="208"/>
      <c r="U1692" s="208"/>
      <c r="V1692" s="234"/>
      <c r="W1692" s="232"/>
      <c r="X1692" s="232"/>
      <c r="Y1692" s="232"/>
      <c r="Z1692" s="232"/>
      <c r="AA1692" s="232"/>
      <c r="AB1692" s="232"/>
      <c r="AC1692" s="232"/>
      <c r="AD1692" s="232"/>
      <c r="AE1692" s="232"/>
      <c r="AF1692" s="232"/>
      <c r="AG1692" s="208"/>
      <c r="AH1692" s="208"/>
      <c r="AI1692" s="208"/>
      <c r="AJ1692" s="208"/>
      <c r="AK1692" s="208"/>
    </row>
    <row r="1693">
      <c r="A1693" s="208"/>
      <c r="B1693" s="208"/>
      <c r="C1693" s="208"/>
      <c r="D1693" s="208"/>
      <c r="E1693" s="208"/>
      <c r="F1693" s="208"/>
      <c r="G1693" s="208"/>
      <c r="H1693" s="232"/>
      <c r="I1693" s="233"/>
      <c r="J1693" s="208"/>
      <c r="K1693" s="208"/>
      <c r="L1693" s="208"/>
      <c r="M1693" s="208"/>
      <c r="N1693" s="208"/>
      <c r="O1693" s="208"/>
      <c r="P1693" s="208"/>
      <c r="Q1693" s="208"/>
      <c r="R1693" s="208"/>
      <c r="S1693" s="208"/>
      <c r="T1693" s="208"/>
      <c r="U1693" s="208"/>
      <c r="V1693" s="234"/>
      <c r="W1693" s="232"/>
      <c r="X1693" s="232"/>
      <c r="Y1693" s="232"/>
      <c r="Z1693" s="232"/>
      <c r="AA1693" s="232"/>
      <c r="AB1693" s="232"/>
      <c r="AC1693" s="232"/>
      <c r="AD1693" s="232"/>
      <c r="AE1693" s="232"/>
      <c r="AF1693" s="232"/>
      <c r="AG1693" s="208"/>
      <c r="AH1693" s="208"/>
      <c r="AI1693" s="208"/>
      <c r="AJ1693" s="208"/>
      <c r="AK1693" s="208"/>
    </row>
    <row r="1694">
      <c r="A1694" s="208"/>
      <c r="B1694" s="208"/>
      <c r="C1694" s="208"/>
      <c r="D1694" s="208"/>
      <c r="E1694" s="208"/>
      <c r="F1694" s="208"/>
      <c r="G1694" s="208"/>
      <c r="H1694" s="232"/>
      <c r="I1694" s="233"/>
      <c r="J1694" s="208"/>
      <c r="K1694" s="208"/>
      <c r="L1694" s="208"/>
      <c r="M1694" s="208"/>
      <c r="N1694" s="208"/>
      <c r="O1694" s="208"/>
      <c r="P1694" s="208"/>
      <c r="Q1694" s="208"/>
      <c r="R1694" s="208"/>
      <c r="S1694" s="208"/>
      <c r="T1694" s="208"/>
      <c r="U1694" s="208"/>
      <c r="V1694" s="234"/>
      <c r="W1694" s="232"/>
      <c r="X1694" s="232"/>
      <c r="Y1694" s="232"/>
      <c r="Z1694" s="232"/>
      <c r="AA1694" s="232"/>
      <c r="AB1694" s="232"/>
      <c r="AC1694" s="232"/>
      <c r="AD1694" s="232"/>
      <c r="AE1694" s="232"/>
      <c r="AF1694" s="232"/>
      <c r="AG1694" s="208"/>
      <c r="AH1694" s="208"/>
      <c r="AI1694" s="208"/>
      <c r="AJ1694" s="208"/>
      <c r="AK1694" s="208"/>
    </row>
    <row r="1695">
      <c r="A1695" s="208"/>
      <c r="B1695" s="208"/>
      <c r="C1695" s="208"/>
      <c r="D1695" s="208"/>
      <c r="E1695" s="208"/>
      <c r="F1695" s="208"/>
      <c r="G1695" s="208"/>
      <c r="H1695" s="232"/>
      <c r="I1695" s="233"/>
      <c r="J1695" s="208"/>
      <c r="K1695" s="208"/>
      <c r="L1695" s="208"/>
      <c r="M1695" s="208"/>
      <c r="N1695" s="208"/>
      <c r="O1695" s="208"/>
      <c r="P1695" s="208"/>
      <c r="Q1695" s="208"/>
      <c r="R1695" s="208"/>
      <c r="S1695" s="208"/>
      <c r="T1695" s="208"/>
      <c r="U1695" s="208"/>
      <c r="V1695" s="234"/>
      <c r="W1695" s="232"/>
      <c r="X1695" s="232"/>
      <c r="Y1695" s="232"/>
      <c r="Z1695" s="232"/>
      <c r="AA1695" s="232"/>
      <c r="AB1695" s="232"/>
      <c r="AC1695" s="232"/>
      <c r="AD1695" s="232"/>
      <c r="AE1695" s="232"/>
      <c r="AF1695" s="232"/>
      <c r="AG1695" s="208"/>
      <c r="AH1695" s="208"/>
      <c r="AI1695" s="208"/>
      <c r="AJ1695" s="208"/>
      <c r="AK1695" s="208"/>
    </row>
    <row r="1696">
      <c r="A1696" s="208"/>
      <c r="B1696" s="208"/>
      <c r="C1696" s="208"/>
      <c r="D1696" s="208"/>
      <c r="E1696" s="208"/>
      <c r="F1696" s="208"/>
      <c r="G1696" s="208"/>
      <c r="H1696" s="232"/>
      <c r="I1696" s="233"/>
      <c r="J1696" s="208"/>
      <c r="K1696" s="208"/>
      <c r="L1696" s="208"/>
      <c r="M1696" s="208"/>
      <c r="N1696" s="208"/>
      <c r="O1696" s="208"/>
      <c r="P1696" s="208"/>
      <c r="Q1696" s="208"/>
      <c r="R1696" s="208"/>
      <c r="S1696" s="208"/>
      <c r="T1696" s="208"/>
      <c r="U1696" s="208"/>
      <c r="V1696" s="234"/>
      <c r="W1696" s="232"/>
      <c r="X1696" s="232"/>
      <c r="Y1696" s="232"/>
      <c r="Z1696" s="232"/>
      <c r="AA1696" s="232"/>
      <c r="AB1696" s="232"/>
      <c r="AC1696" s="232"/>
      <c r="AD1696" s="232"/>
      <c r="AE1696" s="232"/>
      <c r="AF1696" s="232"/>
      <c r="AG1696" s="208"/>
      <c r="AH1696" s="208"/>
      <c r="AI1696" s="208"/>
      <c r="AJ1696" s="208"/>
      <c r="AK1696" s="208"/>
    </row>
    <row r="1697">
      <c r="A1697" s="208"/>
      <c r="B1697" s="208"/>
      <c r="C1697" s="208"/>
      <c r="D1697" s="208"/>
      <c r="E1697" s="208"/>
      <c r="F1697" s="208"/>
      <c r="G1697" s="208"/>
      <c r="H1697" s="232"/>
      <c r="I1697" s="233"/>
      <c r="J1697" s="208"/>
      <c r="K1697" s="208"/>
      <c r="L1697" s="208"/>
      <c r="M1697" s="208"/>
      <c r="N1697" s="208"/>
      <c r="O1697" s="208"/>
      <c r="P1697" s="208"/>
      <c r="Q1697" s="208"/>
      <c r="R1697" s="208"/>
      <c r="S1697" s="208"/>
      <c r="T1697" s="208"/>
      <c r="U1697" s="208"/>
      <c r="V1697" s="234"/>
      <c r="W1697" s="232"/>
      <c r="X1697" s="232"/>
      <c r="Y1697" s="232"/>
      <c r="Z1697" s="232"/>
      <c r="AA1697" s="232"/>
      <c r="AB1697" s="232"/>
      <c r="AC1697" s="232"/>
      <c r="AD1697" s="232"/>
      <c r="AE1697" s="232"/>
      <c r="AF1697" s="232"/>
      <c r="AG1697" s="208"/>
      <c r="AH1697" s="208"/>
      <c r="AI1697" s="208"/>
      <c r="AJ1697" s="208"/>
      <c r="AK1697" s="208"/>
    </row>
    <row r="1698">
      <c r="A1698" s="208"/>
      <c r="B1698" s="208"/>
      <c r="C1698" s="208"/>
      <c r="D1698" s="208"/>
      <c r="E1698" s="208"/>
      <c r="F1698" s="208"/>
      <c r="G1698" s="208"/>
      <c r="H1698" s="232"/>
      <c r="I1698" s="233"/>
      <c r="J1698" s="208"/>
      <c r="K1698" s="208"/>
      <c r="L1698" s="208"/>
      <c r="M1698" s="208"/>
      <c r="N1698" s="208"/>
      <c r="O1698" s="208"/>
      <c r="P1698" s="208"/>
      <c r="Q1698" s="208"/>
      <c r="R1698" s="208"/>
      <c r="S1698" s="208"/>
      <c r="T1698" s="208"/>
      <c r="U1698" s="208"/>
      <c r="V1698" s="234"/>
      <c r="W1698" s="232"/>
      <c r="X1698" s="232"/>
      <c r="Y1698" s="232"/>
      <c r="Z1698" s="232"/>
      <c r="AA1698" s="232"/>
      <c r="AB1698" s="232"/>
      <c r="AC1698" s="232"/>
      <c r="AD1698" s="232"/>
      <c r="AE1698" s="232"/>
      <c r="AF1698" s="232"/>
      <c r="AG1698" s="208"/>
      <c r="AH1698" s="208"/>
      <c r="AI1698" s="208"/>
      <c r="AJ1698" s="208"/>
      <c r="AK1698" s="208"/>
    </row>
    <row r="1699">
      <c r="A1699" s="208"/>
      <c r="B1699" s="208"/>
      <c r="C1699" s="208"/>
      <c r="D1699" s="208"/>
      <c r="E1699" s="208"/>
      <c r="F1699" s="208"/>
      <c r="G1699" s="208"/>
      <c r="H1699" s="232"/>
      <c r="I1699" s="233"/>
      <c r="J1699" s="208"/>
      <c r="K1699" s="208"/>
      <c r="L1699" s="208"/>
      <c r="M1699" s="208"/>
      <c r="N1699" s="208"/>
      <c r="O1699" s="208"/>
      <c r="P1699" s="208"/>
      <c r="Q1699" s="208"/>
      <c r="R1699" s="208"/>
      <c r="S1699" s="208"/>
      <c r="T1699" s="208"/>
      <c r="U1699" s="208"/>
      <c r="V1699" s="234"/>
      <c r="W1699" s="232"/>
      <c r="X1699" s="232"/>
      <c r="Y1699" s="232"/>
      <c r="Z1699" s="232"/>
      <c r="AA1699" s="232"/>
      <c r="AB1699" s="232"/>
      <c r="AC1699" s="232"/>
      <c r="AD1699" s="232"/>
      <c r="AE1699" s="232"/>
      <c r="AF1699" s="232"/>
      <c r="AG1699" s="208"/>
      <c r="AH1699" s="208"/>
      <c r="AI1699" s="208"/>
      <c r="AJ1699" s="208"/>
      <c r="AK1699" s="208"/>
    </row>
    <row r="1700">
      <c r="A1700" s="208"/>
      <c r="B1700" s="208"/>
      <c r="C1700" s="208"/>
      <c r="D1700" s="208"/>
      <c r="E1700" s="208"/>
      <c r="F1700" s="208"/>
      <c r="G1700" s="208"/>
      <c r="H1700" s="232"/>
      <c r="I1700" s="233"/>
      <c r="J1700" s="208"/>
      <c r="K1700" s="208"/>
      <c r="L1700" s="208"/>
      <c r="M1700" s="208"/>
      <c r="N1700" s="208"/>
      <c r="O1700" s="208"/>
      <c r="P1700" s="208"/>
      <c r="Q1700" s="208"/>
      <c r="R1700" s="208"/>
      <c r="S1700" s="208"/>
      <c r="T1700" s="208"/>
      <c r="U1700" s="208"/>
      <c r="V1700" s="234"/>
      <c r="W1700" s="232"/>
      <c r="X1700" s="232"/>
      <c r="Y1700" s="232"/>
      <c r="Z1700" s="232"/>
      <c r="AA1700" s="232"/>
      <c r="AB1700" s="232"/>
      <c r="AC1700" s="232"/>
      <c r="AD1700" s="232"/>
      <c r="AE1700" s="232"/>
      <c r="AF1700" s="232"/>
      <c r="AG1700" s="208"/>
      <c r="AH1700" s="208"/>
      <c r="AI1700" s="208"/>
      <c r="AJ1700" s="208"/>
      <c r="AK1700" s="208"/>
    </row>
    <row r="1701">
      <c r="A1701" s="208"/>
      <c r="B1701" s="208"/>
      <c r="C1701" s="208"/>
      <c r="D1701" s="208"/>
      <c r="E1701" s="208"/>
      <c r="F1701" s="208"/>
      <c r="G1701" s="208"/>
      <c r="H1701" s="232"/>
      <c r="I1701" s="233"/>
      <c r="J1701" s="208"/>
      <c r="K1701" s="208"/>
      <c r="L1701" s="208"/>
      <c r="M1701" s="208"/>
      <c r="N1701" s="208"/>
      <c r="O1701" s="208"/>
      <c r="P1701" s="208"/>
      <c r="Q1701" s="208"/>
      <c r="R1701" s="208"/>
      <c r="S1701" s="208"/>
      <c r="T1701" s="208"/>
      <c r="U1701" s="208"/>
      <c r="V1701" s="234"/>
      <c r="W1701" s="232"/>
      <c r="X1701" s="232"/>
      <c r="Y1701" s="232"/>
      <c r="Z1701" s="232"/>
      <c r="AA1701" s="232"/>
      <c r="AB1701" s="232"/>
      <c r="AC1701" s="232"/>
      <c r="AD1701" s="232"/>
      <c r="AE1701" s="232"/>
      <c r="AF1701" s="232"/>
      <c r="AG1701" s="208"/>
      <c r="AH1701" s="208"/>
      <c r="AI1701" s="208"/>
      <c r="AJ1701" s="208"/>
      <c r="AK1701" s="208"/>
    </row>
    <row r="1702">
      <c r="A1702" s="208"/>
      <c r="B1702" s="208"/>
      <c r="C1702" s="208"/>
      <c r="D1702" s="208"/>
      <c r="E1702" s="208"/>
      <c r="F1702" s="208"/>
      <c r="G1702" s="208"/>
      <c r="H1702" s="232"/>
      <c r="I1702" s="233"/>
      <c r="J1702" s="208"/>
      <c r="K1702" s="208"/>
      <c r="L1702" s="208"/>
      <c r="M1702" s="208"/>
      <c r="N1702" s="208"/>
      <c r="O1702" s="208"/>
      <c r="P1702" s="208"/>
      <c r="Q1702" s="208"/>
      <c r="R1702" s="208"/>
      <c r="S1702" s="208"/>
      <c r="T1702" s="208"/>
      <c r="U1702" s="208"/>
      <c r="V1702" s="234"/>
      <c r="W1702" s="232"/>
      <c r="X1702" s="232"/>
      <c r="Y1702" s="232"/>
      <c r="Z1702" s="232"/>
      <c r="AA1702" s="232"/>
      <c r="AB1702" s="232"/>
      <c r="AC1702" s="232"/>
      <c r="AD1702" s="232"/>
      <c r="AE1702" s="232"/>
      <c r="AF1702" s="232"/>
      <c r="AG1702" s="208"/>
      <c r="AH1702" s="208"/>
      <c r="AI1702" s="208"/>
      <c r="AJ1702" s="208"/>
      <c r="AK1702" s="208"/>
    </row>
    <row r="1703">
      <c r="A1703" s="208"/>
      <c r="B1703" s="208"/>
      <c r="C1703" s="208"/>
      <c r="D1703" s="208"/>
      <c r="E1703" s="208"/>
      <c r="F1703" s="208"/>
      <c r="G1703" s="208"/>
      <c r="H1703" s="232"/>
      <c r="I1703" s="233"/>
      <c r="J1703" s="208"/>
      <c r="K1703" s="208"/>
      <c r="L1703" s="208"/>
      <c r="M1703" s="208"/>
      <c r="N1703" s="208"/>
      <c r="O1703" s="208"/>
      <c r="P1703" s="208"/>
      <c r="Q1703" s="208"/>
      <c r="R1703" s="208"/>
      <c r="S1703" s="208"/>
      <c r="T1703" s="208"/>
      <c r="U1703" s="208"/>
      <c r="V1703" s="234"/>
      <c r="W1703" s="232"/>
      <c r="X1703" s="232"/>
      <c r="Y1703" s="232"/>
      <c r="Z1703" s="232"/>
      <c r="AA1703" s="232"/>
      <c r="AB1703" s="232"/>
      <c r="AC1703" s="232"/>
      <c r="AD1703" s="232"/>
      <c r="AE1703" s="232"/>
      <c r="AF1703" s="232"/>
      <c r="AG1703" s="208"/>
      <c r="AH1703" s="208"/>
      <c r="AI1703" s="208"/>
      <c r="AJ1703" s="208"/>
      <c r="AK1703" s="208"/>
    </row>
    <row r="1704">
      <c r="A1704" s="208"/>
      <c r="B1704" s="208"/>
      <c r="C1704" s="208"/>
      <c r="D1704" s="208"/>
      <c r="E1704" s="208"/>
      <c r="F1704" s="208"/>
      <c r="G1704" s="208"/>
      <c r="H1704" s="232"/>
      <c r="I1704" s="233"/>
      <c r="J1704" s="208"/>
      <c r="K1704" s="208"/>
      <c r="L1704" s="208"/>
      <c r="M1704" s="208"/>
      <c r="N1704" s="208"/>
      <c r="O1704" s="208"/>
      <c r="P1704" s="208"/>
      <c r="Q1704" s="208"/>
      <c r="R1704" s="208"/>
      <c r="S1704" s="208"/>
      <c r="T1704" s="208"/>
      <c r="U1704" s="208"/>
      <c r="V1704" s="234"/>
      <c r="W1704" s="232"/>
      <c r="X1704" s="232"/>
      <c r="Y1704" s="232"/>
      <c r="Z1704" s="232"/>
      <c r="AA1704" s="232"/>
      <c r="AB1704" s="232"/>
      <c r="AC1704" s="232"/>
      <c r="AD1704" s="232"/>
      <c r="AE1704" s="232"/>
      <c r="AF1704" s="232"/>
      <c r="AG1704" s="208"/>
      <c r="AH1704" s="208"/>
      <c r="AI1704" s="208"/>
      <c r="AJ1704" s="208"/>
      <c r="AK1704" s="208"/>
    </row>
    <row r="1705">
      <c r="A1705" s="208"/>
      <c r="B1705" s="208"/>
      <c r="C1705" s="208"/>
      <c r="D1705" s="208"/>
      <c r="E1705" s="208"/>
      <c r="F1705" s="208"/>
      <c r="G1705" s="208"/>
      <c r="H1705" s="232"/>
      <c r="I1705" s="233"/>
      <c r="J1705" s="208"/>
      <c r="K1705" s="208"/>
      <c r="L1705" s="208"/>
      <c r="M1705" s="208"/>
      <c r="N1705" s="208"/>
      <c r="O1705" s="208"/>
      <c r="P1705" s="208"/>
      <c r="Q1705" s="208"/>
      <c r="R1705" s="208"/>
      <c r="S1705" s="208"/>
      <c r="T1705" s="208"/>
      <c r="U1705" s="208"/>
      <c r="V1705" s="234"/>
      <c r="W1705" s="232"/>
      <c r="X1705" s="232"/>
      <c r="Y1705" s="232"/>
      <c r="Z1705" s="232"/>
      <c r="AA1705" s="232"/>
      <c r="AB1705" s="232"/>
      <c r="AC1705" s="232"/>
      <c r="AD1705" s="232"/>
      <c r="AE1705" s="232"/>
      <c r="AF1705" s="232"/>
      <c r="AG1705" s="208"/>
      <c r="AH1705" s="208"/>
      <c r="AI1705" s="208"/>
      <c r="AJ1705" s="208"/>
      <c r="AK1705" s="208"/>
    </row>
    <row r="1706">
      <c r="A1706" s="208"/>
      <c r="B1706" s="208"/>
      <c r="C1706" s="208"/>
      <c r="D1706" s="208"/>
      <c r="E1706" s="208"/>
      <c r="F1706" s="208"/>
      <c r="G1706" s="208"/>
      <c r="H1706" s="232"/>
      <c r="I1706" s="233"/>
      <c r="J1706" s="208"/>
      <c r="K1706" s="208"/>
      <c r="L1706" s="208"/>
      <c r="M1706" s="208"/>
      <c r="N1706" s="208"/>
      <c r="O1706" s="208"/>
      <c r="P1706" s="208"/>
      <c r="Q1706" s="208"/>
      <c r="R1706" s="208"/>
      <c r="S1706" s="208"/>
      <c r="T1706" s="208"/>
      <c r="U1706" s="208"/>
      <c r="V1706" s="234"/>
      <c r="W1706" s="232"/>
      <c r="X1706" s="232"/>
      <c r="Y1706" s="232"/>
      <c r="Z1706" s="232"/>
      <c r="AA1706" s="232"/>
      <c r="AB1706" s="232"/>
      <c r="AC1706" s="232"/>
      <c r="AD1706" s="232"/>
      <c r="AE1706" s="232"/>
      <c r="AF1706" s="232"/>
      <c r="AG1706" s="208"/>
      <c r="AH1706" s="208"/>
      <c r="AI1706" s="208"/>
      <c r="AJ1706" s="208"/>
      <c r="AK1706" s="208"/>
    </row>
    <row r="1707">
      <c r="A1707" s="208"/>
      <c r="B1707" s="208"/>
      <c r="C1707" s="208"/>
      <c r="D1707" s="208"/>
      <c r="E1707" s="208"/>
      <c r="F1707" s="208"/>
      <c r="G1707" s="208"/>
      <c r="H1707" s="232"/>
      <c r="I1707" s="233"/>
      <c r="J1707" s="208"/>
      <c r="K1707" s="208"/>
      <c r="L1707" s="208"/>
      <c r="M1707" s="208"/>
      <c r="N1707" s="208"/>
      <c r="O1707" s="208"/>
      <c r="P1707" s="208"/>
      <c r="Q1707" s="208"/>
      <c r="R1707" s="208"/>
      <c r="S1707" s="208"/>
      <c r="T1707" s="208"/>
      <c r="U1707" s="208"/>
      <c r="V1707" s="234"/>
      <c r="W1707" s="232"/>
      <c r="X1707" s="232"/>
      <c r="Y1707" s="232"/>
      <c r="Z1707" s="232"/>
      <c r="AA1707" s="232"/>
      <c r="AB1707" s="232"/>
      <c r="AC1707" s="232"/>
      <c r="AD1707" s="232"/>
      <c r="AE1707" s="232"/>
      <c r="AF1707" s="232"/>
      <c r="AG1707" s="208"/>
      <c r="AH1707" s="208"/>
      <c r="AI1707" s="208"/>
      <c r="AJ1707" s="208"/>
      <c r="AK1707" s="208"/>
    </row>
    <row r="1708">
      <c r="A1708" s="208"/>
      <c r="B1708" s="208"/>
      <c r="C1708" s="208"/>
      <c r="D1708" s="208"/>
      <c r="E1708" s="208"/>
      <c r="F1708" s="208"/>
      <c r="G1708" s="208"/>
      <c r="H1708" s="232"/>
      <c r="I1708" s="233"/>
      <c r="J1708" s="208"/>
      <c r="K1708" s="208"/>
      <c r="L1708" s="208"/>
      <c r="M1708" s="208"/>
      <c r="N1708" s="208"/>
      <c r="O1708" s="208"/>
      <c r="P1708" s="208"/>
      <c r="Q1708" s="208"/>
      <c r="R1708" s="208"/>
      <c r="S1708" s="208"/>
      <c r="T1708" s="208"/>
      <c r="U1708" s="208"/>
      <c r="V1708" s="234"/>
      <c r="W1708" s="232"/>
      <c r="X1708" s="232"/>
      <c r="Y1708" s="232"/>
      <c r="Z1708" s="232"/>
      <c r="AA1708" s="232"/>
      <c r="AB1708" s="232"/>
      <c r="AC1708" s="232"/>
      <c r="AD1708" s="232"/>
      <c r="AE1708" s="232"/>
      <c r="AF1708" s="232"/>
      <c r="AG1708" s="208"/>
      <c r="AH1708" s="208"/>
      <c r="AI1708" s="208"/>
      <c r="AJ1708" s="208"/>
      <c r="AK1708" s="208"/>
    </row>
    <row r="1709">
      <c r="A1709" s="208"/>
      <c r="B1709" s="208"/>
      <c r="C1709" s="208"/>
      <c r="D1709" s="208"/>
      <c r="E1709" s="208"/>
      <c r="F1709" s="208"/>
      <c r="G1709" s="208"/>
      <c r="H1709" s="232"/>
      <c r="I1709" s="233"/>
      <c r="J1709" s="208"/>
      <c r="K1709" s="208"/>
      <c r="L1709" s="208"/>
      <c r="M1709" s="208"/>
      <c r="N1709" s="208"/>
      <c r="O1709" s="208"/>
      <c r="P1709" s="208"/>
      <c r="Q1709" s="208"/>
      <c r="R1709" s="208"/>
      <c r="S1709" s="208"/>
      <c r="T1709" s="208"/>
      <c r="U1709" s="208"/>
      <c r="V1709" s="234"/>
      <c r="W1709" s="232"/>
      <c r="X1709" s="232"/>
      <c r="Y1709" s="232"/>
      <c r="Z1709" s="232"/>
      <c r="AA1709" s="232"/>
      <c r="AB1709" s="232"/>
      <c r="AC1709" s="232"/>
      <c r="AD1709" s="232"/>
      <c r="AE1709" s="232"/>
      <c r="AF1709" s="232"/>
      <c r="AG1709" s="208"/>
      <c r="AH1709" s="208"/>
      <c r="AI1709" s="208"/>
      <c r="AJ1709" s="208"/>
      <c r="AK1709" s="208"/>
    </row>
    <row r="1710">
      <c r="A1710" s="208"/>
      <c r="B1710" s="208"/>
      <c r="C1710" s="208"/>
      <c r="D1710" s="208"/>
      <c r="E1710" s="208"/>
      <c r="F1710" s="208"/>
      <c r="G1710" s="208"/>
      <c r="H1710" s="232"/>
      <c r="I1710" s="233"/>
      <c r="J1710" s="208"/>
      <c r="K1710" s="208"/>
      <c r="L1710" s="208"/>
      <c r="M1710" s="208"/>
      <c r="N1710" s="208"/>
      <c r="O1710" s="208"/>
      <c r="P1710" s="208"/>
      <c r="Q1710" s="208"/>
      <c r="R1710" s="208"/>
      <c r="S1710" s="208"/>
      <c r="T1710" s="208"/>
      <c r="U1710" s="208"/>
      <c r="V1710" s="234"/>
      <c r="W1710" s="232"/>
      <c r="X1710" s="232"/>
      <c r="Y1710" s="232"/>
      <c r="Z1710" s="232"/>
      <c r="AA1710" s="232"/>
      <c r="AB1710" s="232"/>
      <c r="AC1710" s="232"/>
      <c r="AD1710" s="232"/>
      <c r="AE1710" s="232"/>
      <c r="AF1710" s="232"/>
      <c r="AG1710" s="208"/>
      <c r="AH1710" s="208"/>
      <c r="AI1710" s="208"/>
      <c r="AJ1710" s="208"/>
      <c r="AK1710" s="208"/>
    </row>
    <row r="1711">
      <c r="A1711" s="208"/>
      <c r="B1711" s="208"/>
      <c r="C1711" s="208"/>
      <c r="D1711" s="208"/>
      <c r="E1711" s="208"/>
      <c r="F1711" s="208"/>
      <c r="G1711" s="208"/>
      <c r="H1711" s="232"/>
      <c r="I1711" s="233"/>
      <c r="J1711" s="208"/>
      <c r="K1711" s="208"/>
      <c r="L1711" s="208"/>
      <c r="M1711" s="208"/>
      <c r="N1711" s="208"/>
      <c r="O1711" s="208"/>
      <c r="P1711" s="208"/>
      <c r="Q1711" s="208"/>
      <c r="R1711" s="208"/>
      <c r="S1711" s="208"/>
      <c r="T1711" s="208"/>
      <c r="U1711" s="208"/>
      <c r="V1711" s="234"/>
      <c r="W1711" s="232"/>
      <c r="X1711" s="232"/>
      <c r="Y1711" s="232"/>
      <c r="Z1711" s="232"/>
      <c r="AA1711" s="232"/>
      <c r="AB1711" s="232"/>
      <c r="AC1711" s="232"/>
      <c r="AD1711" s="232"/>
      <c r="AE1711" s="232"/>
      <c r="AF1711" s="232"/>
      <c r="AG1711" s="208"/>
      <c r="AH1711" s="208"/>
      <c r="AI1711" s="208"/>
      <c r="AJ1711" s="208"/>
      <c r="AK1711" s="208"/>
    </row>
    <row r="1712">
      <c r="A1712" s="208"/>
      <c r="B1712" s="208"/>
      <c r="C1712" s="208"/>
      <c r="D1712" s="208"/>
      <c r="E1712" s="208"/>
      <c r="F1712" s="208"/>
      <c r="G1712" s="208"/>
      <c r="H1712" s="232"/>
      <c r="I1712" s="233"/>
      <c r="J1712" s="208"/>
      <c r="K1712" s="208"/>
      <c r="L1712" s="208"/>
      <c r="M1712" s="208"/>
      <c r="N1712" s="208"/>
      <c r="O1712" s="208"/>
      <c r="P1712" s="208"/>
      <c r="Q1712" s="208"/>
      <c r="R1712" s="208"/>
      <c r="S1712" s="208"/>
      <c r="T1712" s="208"/>
      <c r="U1712" s="208"/>
      <c r="V1712" s="234"/>
      <c r="W1712" s="232"/>
      <c r="X1712" s="232"/>
      <c r="Y1712" s="232"/>
      <c r="Z1712" s="232"/>
      <c r="AA1712" s="232"/>
      <c r="AB1712" s="232"/>
      <c r="AC1712" s="232"/>
      <c r="AD1712" s="232"/>
      <c r="AE1712" s="232"/>
      <c r="AF1712" s="232"/>
      <c r="AG1712" s="208"/>
      <c r="AH1712" s="208"/>
      <c r="AI1712" s="208"/>
      <c r="AJ1712" s="208"/>
      <c r="AK1712" s="208"/>
    </row>
    <row r="1713">
      <c r="A1713" s="208"/>
      <c r="B1713" s="208"/>
      <c r="C1713" s="208"/>
      <c r="D1713" s="208"/>
      <c r="E1713" s="208"/>
      <c r="F1713" s="208"/>
      <c r="G1713" s="208"/>
      <c r="H1713" s="232"/>
      <c r="I1713" s="233"/>
      <c r="J1713" s="208"/>
      <c r="K1713" s="208"/>
      <c r="L1713" s="208"/>
      <c r="M1713" s="208"/>
      <c r="N1713" s="208"/>
      <c r="O1713" s="208"/>
      <c r="P1713" s="208"/>
      <c r="Q1713" s="208"/>
      <c r="R1713" s="208"/>
      <c r="S1713" s="208"/>
      <c r="T1713" s="208"/>
      <c r="U1713" s="208"/>
      <c r="V1713" s="234"/>
      <c r="W1713" s="232"/>
      <c r="X1713" s="232"/>
      <c r="Y1713" s="232"/>
      <c r="Z1713" s="232"/>
      <c r="AA1713" s="232"/>
      <c r="AB1713" s="232"/>
      <c r="AC1713" s="232"/>
      <c r="AD1713" s="232"/>
      <c r="AE1713" s="232"/>
      <c r="AF1713" s="232"/>
      <c r="AG1713" s="208"/>
      <c r="AH1713" s="208"/>
      <c r="AI1713" s="208"/>
      <c r="AJ1713" s="208"/>
      <c r="AK1713" s="208"/>
    </row>
    <row r="1714">
      <c r="A1714" s="208"/>
      <c r="B1714" s="208"/>
      <c r="C1714" s="208"/>
      <c r="D1714" s="208"/>
      <c r="E1714" s="208"/>
      <c r="F1714" s="208"/>
      <c r="G1714" s="208"/>
      <c r="H1714" s="232"/>
      <c r="I1714" s="233"/>
      <c r="J1714" s="208"/>
      <c r="K1714" s="208"/>
      <c r="L1714" s="208"/>
      <c r="M1714" s="208"/>
      <c r="N1714" s="208"/>
      <c r="O1714" s="208"/>
      <c r="P1714" s="208"/>
      <c r="Q1714" s="208"/>
      <c r="R1714" s="208"/>
      <c r="S1714" s="208"/>
      <c r="T1714" s="208"/>
      <c r="U1714" s="208"/>
      <c r="V1714" s="234"/>
      <c r="W1714" s="232"/>
      <c r="X1714" s="232"/>
      <c r="Y1714" s="232"/>
      <c r="Z1714" s="232"/>
      <c r="AA1714" s="232"/>
      <c r="AB1714" s="232"/>
      <c r="AC1714" s="232"/>
      <c r="AD1714" s="232"/>
      <c r="AE1714" s="232"/>
      <c r="AF1714" s="232"/>
      <c r="AG1714" s="208"/>
      <c r="AH1714" s="208"/>
      <c r="AI1714" s="208"/>
      <c r="AJ1714" s="208"/>
      <c r="AK1714" s="208"/>
    </row>
    <row r="1715">
      <c r="A1715" s="208"/>
      <c r="B1715" s="208"/>
      <c r="C1715" s="208"/>
      <c r="D1715" s="208"/>
      <c r="E1715" s="208"/>
      <c r="F1715" s="208"/>
      <c r="G1715" s="208"/>
      <c r="H1715" s="232"/>
      <c r="I1715" s="233"/>
      <c r="J1715" s="208"/>
      <c r="K1715" s="208"/>
      <c r="L1715" s="208"/>
      <c r="M1715" s="208"/>
      <c r="N1715" s="208"/>
      <c r="O1715" s="208"/>
      <c r="P1715" s="208"/>
      <c r="Q1715" s="208"/>
      <c r="R1715" s="208"/>
      <c r="S1715" s="208"/>
      <c r="T1715" s="208"/>
      <c r="U1715" s="208"/>
      <c r="V1715" s="234"/>
      <c r="W1715" s="232"/>
      <c r="X1715" s="232"/>
      <c r="Y1715" s="232"/>
      <c r="Z1715" s="232"/>
      <c r="AA1715" s="232"/>
      <c r="AB1715" s="232"/>
      <c r="AC1715" s="232"/>
      <c r="AD1715" s="232"/>
      <c r="AE1715" s="232"/>
      <c r="AF1715" s="232"/>
      <c r="AG1715" s="208"/>
      <c r="AH1715" s="208"/>
      <c r="AI1715" s="208"/>
      <c r="AJ1715" s="208"/>
      <c r="AK1715" s="208"/>
    </row>
    <row r="1716">
      <c r="A1716" s="208"/>
      <c r="B1716" s="208"/>
      <c r="C1716" s="208"/>
      <c r="D1716" s="208"/>
      <c r="E1716" s="208"/>
      <c r="F1716" s="208"/>
      <c r="G1716" s="208"/>
      <c r="H1716" s="232"/>
      <c r="I1716" s="233"/>
      <c r="J1716" s="208"/>
      <c r="K1716" s="208"/>
      <c r="L1716" s="208"/>
      <c r="M1716" s="208"/>
      <c r="N1716" s="208"/>
      <c r="O1716" s="208"/>
      <c r="P1716" s="208"/>
      <c r="Q1716" s="208"/>
      <c r="R1716" s="208"/>
      <c r="S1716" s="208"/>
      <c r="T1716" s="208"/>
      <c r="U1716" s="208"/>
      <c r="V1716" s="234"/>
      <c r="W1716" s="232"/>
      <c r="X1716" s="232"/>
      <c r="Y1716" s="232"/>
      <c r="Z1716" s="232"/>
      <c r="AA1716" s="232"/>
      <c r="AB1716" s="232"/>
      <c r="AC1716" s="232"/>
      <c r="AD1716" s="232"/>
      <c r="AE1716" s="232"/>
      <c r="AF1716" s="232"/>
      <c r="AG1716" s="208"/>
      <c r="AH1716" s="208"/>
      <c r="AI1716" s="208"/>
      <c r="AJ1716" s="208"/>
      <c r="AK1716" s="208"/>
    </row>
    <row r="1717">
      <c r="A1717" s="208"/>
      <c r="B1717" s="208"/>
      <c r="C1717" s="208"/>
      <c r="D1717" s="208"/>
      <c r="E1717" s="208"/>
      <c r="F1717" s="208"/>
      <c r="G1717" s="208"/>
      <c r="H1717" s="232"/>
      <c r="I1717" s="233"/>
      <c r="J1717" s="208"/>
      <c r="K1717" s="208"/>
      <c r="L1717" s="208"/>
      <c r="M1717" s="208"/>
      <c r="N1717" s="208"/>
      <c r="O1717" s="208"/>
      <c r="P1717" s="208"/>
      <c r="Q1717" s="208"/>
      <c r="R1717" s="208"/>
      <c r="S1717" s="208"/>
      <c r="T1717" s="208"/>
      <c r="U1717" s="208"/>
      <c r="V1717" s="234"/>
      <c r="W1717" s="232"/>
      <c r="X1717" s="232"/>
      <c r="Y1717" s="232"/>
      <c r="Z1717" s="232"/>
      <c r="AA1717" s="232"/>
      <c r="AB1717" s="232"/>
      <c r="AC1717" s="232"/>
      <c r="AD1717" s="232"/>
      <c r="AE1717" s="232"/>
      <c r="AF1717" s="232"/>
      <c r="AG1717" s="208"/>
      <c r="AH1717" s="208"/>
      <c r="AI1717" s="208"/>
      <c r="AJ1717" s="208"/>
      <c r="AK1717" s="208"/>
    </row>
    <row r="1718">
      <c r="A1718" s="208"/>
      <c r="B1718" s="208"/>
      <c r="C1718" s="208"/>
      <c r="D1718" s="208"/>
      <c r="E1718" s="208"/>
      <c r="F1718" s="208"/>
      <c r="G1718" s="208"/>
      <c r="H1718" s="232"/>
      <c r="I1718" s="233"/>
      <c r="J1718" s="208"/>
      <c r="K1718" s="208"/>
      <c r="L1718" s="208"/>
      <c r="M1718" s="208"/>
      <c r="N1718" s="208"/>
      <c r="O1718" s="208"/>
      <c r="P1718" s="208"/>
      <c r="Q1718" s="208"/>
      <c r="R1718" s="208"/>
      <c r="S1718" s="208"/>
      <c r="T1718" s="208"/>
      <c r="U1718" s="208"/>
      <c r="V1718" s="234"/>
      <c r="W1718" s="232"/>
      <c r="X1718" s="232"/>
      <c r="Y1718" s="232"/>
      <c r="Z1718" s="232"/>
      <c r="AA1718" s="232"/>
      <c r="AB1718" s="232"/>
      <c r="AC1718" s="232"/>
      <c r="AD1718" s="232"/>
      <c r="AE1718" s="232"/>
      <c r="AF1718" s="232"/>
      <c r="AG1718" s="208"/>
      <c r="AH1718" s="208"/>
      <c r="AI1718" s="208"/>
      <c r="AJ1718" s="208"/>
      <c r="AK1718" s="208"/>
    </row>
    <row r="1719">
      <c r="A1719" s="208"/>
      <c r="B1719" s="208"/>
      <c r="C1719" s="208"/>
      <c r="D1719" s="208"/>
      <c r="E1719" s="208"/>
      <c r="F1719" s="208"/>
      <c r="G1719" s="208"/>
      <c r="H1719" s="232"/>
      <c r="I1719" s="233"/>
      <c r="J1719" s="208"/>
      <c r="K1719" s="208"/>
      <c r="L1719" s="208"/>
      <c r="M1719" s="208"/>
      <c r="N1719" s="208"/>
      <c r="O1719" s="208"/>
      <c r="P1719" s="208"/>
      <c r="Q1719" s="208"/>
      <c r="R1719" s="208"/>
      <c r="S1719" s="208"/>
      <c r="T1719" s="208"/>
      <c r="U1719" s="208"/>
      <c r="V1719" s="234"/>
      <c r="W1719" s="232"/>
      <c r="X1719" s="232"/>
      <c r="Y1719" s="232"/>
      <c r="Z1719" s="232"/>
      <c r="AA1719" s="232"/>
      <c r="AB1719" s="232"/>
      <c r="AC1719" s="232"/>
      <c r="AD1719" s="232"/>
      <c r="AE1719" s="232"/>
      <c r="AF1719" s="232"/>
      <c r="AG1719" s="208"/>
      <c r="AH1719" s="208"/>
      <c r="AI1719" s="208"/>
      <c r="AJ1719" s="208"/>
      <c r="AK1719" s="208"/>
    </row>
    <row r="1720">
      <c r="A1720" s="208"/>
      <c r="B1720" s="208"/>
      <c r="C1720" s="208"/>
      <c r="D1720" s="208"/>
      <c r="E1720" s="208"/>
      <c r="F1720" s="208"/>
      <c r="G1720" s="208"/>
      <c r="H1720" s="232"/>
      <c r="I1720" s="233"/>
      <c r="J1720" s="208"/>
      <c r="K1720" s="208"/>
      <c r="L1720" s="208"/>
      <c r="M1720" s="208"/>
      <c r="N1720" s="208"/>
      <c r="O1720" s="208"/>
      <c r="P1720" s="208"/>
      <c r="Q1720" s="208"/>
      <c r="R1720" s="208"/>
      <c r="S1720" s="208"/>
      <c r="T1720" s="208"/>
      <c r="U1720" s="208"/>
      <c r="V1720" s="234"/>
      <c r="W1720" s="232"/>
      <c r="X1720" s="232"/>
      <c r="Y1720" s="232"/>
      <c r="Z1720" s="232"/>
      <c r="AA1720" s="232"/>
      <c r="AB1720" s="232"/>
      <c r="AC1720" s="232"/>
      <c r="AD1720" s="232"/>
      <c r="AE1720" s="232"/>
      <c r="AF1720" s="232"/>
      <c r="AG1720" s="208"/>
      <c r="AH1720" s="208"/>
      <c r="AI1720" s="208"/>
      <c r="AJ1720" s="208"/>
      <c r="AK1720" s="208"/>
    </row>
    <row r="1721">
      <c r="A1721" s="208"/>
      <c r="B1721" s="208"/>
      <c r="C1721" s="208"/>
      <c r="D1721" s="208"/>
      <c r="E1721" s="208"/>
      <c r="F1721" s="208"/>
      <c r="G1721" s="208"/>
      <c r="H1721" s="232"/>
      <c r="I1721" s="233"/>
      <c r="J1721" s="208"/>
      <c r="K1721" s="208"/>
      <c r="L1721" s="208"/>
      <c r="M1721" s="208"/>
      <c r="N1721" s="208"/>
      <c r="O1721" s="208"/>
      <c r="P1721" s="208"/>
      <c r="Q1721" s="208"/>
      <c r="R1721" s="208"/>
      <c r="S1721" s="208"/>
      <c r="T1721" s="208"/>
      <c r="U1721" s="208"/>
      <c r="V1721" s="234"/>
      <c r="W1721" s="232"/>
      <c r="X1721" s="232"/>
      <c r="Y1721" s="232"/>
      <c r="Z1721" s="232"/>
      <c r="AA1721" s="232"/>
      <c r="AB1721" s="232"/>
      <c r="AC1721" s="232"/>
      <c r="AD1721" s="232"/>
      <c r="AE1721" s="232"/>
      <c r="AF1721" s="232"/>
      <c r="AG1721" s="208"/>
      <c r="AH1721" s="208"/>
      <c r="AI1721" s="208"/>
      <c r="AJ1721" s="208"/>
      <c r="AK1721" s="208"/>
    </row>
    <row r="1722">
      <c r="A1722" s="208"/>
      <c r="B1722" s="208"/>
      <c r="C1722" s="208"/>
      <c r="D1722" s="208"/>
      <c r="E1722" s="208"/>
      <c r="F1722" s="208"/>
      <c r="G1722" s="208"/>
      <c r="H1722" s="232"/>
      <c r="I1722" s="233"/>
      <c r="J1722" s="208"/>
      <c r="K1722" s="208"/>
      <c r="L1722" s="208"/>
      <c r="M1722" s="208"/>
      <c r="N1722" s="208"/>
      <c r="O1722" s="208"/>
      <c r="P1722" s="208"/>
      <c r="Q1722" s="208"/>
      <c r="R1722" s="208"/>
      <c r="S1722" s="208"/>
      <c r="T1722" s="208"/>
      <c r="U1722" s="208"/>
      <c r="V1722" s="234"/>
      <c r="W1722" s="232"/>
      <c r="X1722" s="232"/>
      <c r="Y1722" s="232"/>
      <c r="Z1722" s="232"/>
      <c r="AA1722" s="232"/>
      <c r="AB1722" s="232"/>
      <c r="AC1722" s="232"/>
      <c r="AD1722" s="232"/>
      <c r="AE1722" s="232"/>
      <c r="AF1722" s="232"/>
      <c r="AG1722" s="208"/>
      <c r="AH1722" s="208"/>
      <c r="AI1722" s="208"/>
      <c r="AJ1722" s="208"/>
      <c r="AK1722" s="208"/>
    </row>
    <row r="1723">
      <c r="A1723" s="208"/>
      <c r="B1723" s="208"/>
      <c r="C1723" s="208"/>
      <c r="D1723" s="208"/>
      <c r="E1723" s="208"/>
      <c r="F1723" s="208"/>
      <c r="G1723" s="208"/>
      <c r="H1723" s="232"/>
      <c r="I1723" s="233"/>
      <c r="J1723" s="208"/>
      <c r="K1723" s="208"/>
      <c r="L1723" s="208"/>
      <c r="M1723" s="208"/>
      <c r="N1723" s="208"/>
      <c r="O1723" s="208"/>
      <c r="P1723" s="208"/>
      <c r="Q1723" s="208"/>
      <c r="R1723" s="208"/>
      <c r="S1723" s="208"/>
      <c r="T1723" s="208"/>
      <c r="U1723" s="208"/>
      <c r="V1723" s="234"/>
      <c r="W1723" s="232"/>
      <c r="X1723" s="232"/>
      <c r="Y1723" s="232"/>
      <c r="Z1723" s="232"/>
      <c r="AA1723" s="232"/>
      <c r="AB1723" s="232"/>
      <c r="AC1723" s="232"/>
      <c r="AD1723" s="232"/>
      <c r="AE1723" s="232"/>
      <c r="AF1723" s="232"/>
      <c r="AG1723" s="208"/>
      <c r="AH1723" s="208"/>
      <c r="AI1723" s="208"/>
      <c r="AJ1723" s="208"/>
      <c r="AK1723" s="208"/>
    </row>
    <row r="1724">
      <c r="A1724" s="208"/>
      <c r="B1724" s="208"/>
      <c r="C1724" s="208"/>
      <c r="D1724" s="208"/>
      <c r="E1724" s="208"/>
      <c r="F1724" s="208"/>
      <c r="G1724" s="208"/>
      <c r="H1724" s="232"/>
      <c r="I1724" s="233"/>
      <c r="J1724" s="208"/>
      <c r="K1724" s="208"/>
      <c r="L1724" s="208"/>
      <c r="M1724" s="208"/>
      <c r="N1724" s="208"/>
      <c r="O1724" s="208"/>
      <c r="P1724" s="208"/>
      <c r="Q1724" s="208"/>
      <c r="R1724" s="208"/>
      <c r="S1724" s="208"/>
      <c r="T1724" s="208"/>
      <c r="U1724" s="208"/>
      <c r="V1724" s="234"/>
      <c r="W1724" s="232"/>
      <c r="X1724" s="232"/>
      <c r="Y1724" s="232"/>
      <c r="Z1724" s="232"/>
      <c r="AA1724" s="232"/>
      <c r="AB1724" s="232"/>
      <c r="AC1724" s="232"/>
      <c r="AD1724" s="232"/>
      <c r="AE1724" s="232"/>
      <c r="AF1724" s="232"/>
      <c r="AG1724" s="208"/>
      <c r="AH1724" s="208"/>
      <c r="AI1724" s="208"/>
      <c r="AJ1724" s="208"/>
      <c r="AK1724" s="208"/>
    </row>
    <row r="1725">
      <c r="A1725" s="208"/>
      <c r="B1725" s="208"/>
      <c r="C1725" s="208"/>
      <c r="D1725" s="208"/>
      <c r="E1725" s="208"/>
      <c r="F1725" s="208"/>
      <c r="G1725" s="208"/>
      <c r="H1725" s="232"/>
      <c r="I1725" s="233"/>
      <c r="J1725" s="208"/>
      <c r="K1725" s="208"/>
      <c r="L1725" s="208"/>
      <c r="M1725" s="208"/>
      <c r="N1725" s="208"/>
      <c r="O1725" s="208"/>
      <c r="P1725" s="208"/>
      <c r="Q1725" s="208"/>
      <c r="R1725" s="208"/>
      <c r="S1725" s="208"/>
      <c r="T1725" s="208"/>
      <c r="U1725" s="208"/>
      <c r="V1725" s="234"/>
      <c r="W1725" s="232"/>
      <c r="X1725" s="232"/>
      <c r="Y1725" s="232"/>
      <c r="Z1725" s="232"/>
      <c r="AA1725" s="232"/>
      <c r="AB1725" s="232"/>
      <c r="AC1725" s="232"/>
      <c r="AD1725" s="232"/>
      <c r="AE1725" s="232"/>
      <c r="AF1725" s="232"/>
      <c r="AG1725" s="208"/>
      <c r="AH1725" s="208"/>
      <c r="AI1725" s="208"/>
      <c r="AJ1725" s="208"/>
      <c r="AK1725" s="208"/>
    </row>
    <row r="1726">
      <c r="A1726" s="208"/>
      <c r="B1726" s="208"/>
      <c r="C1726" s="208"/>
      <c r="D1726" s="208"/>
      <c r="E1726" s="208"/>
      <c r="F1726" s="208"/>
      <c r="G1726" s="208"/>
      <c r="H1726" s="232"/>
      <c r="I1726" s="233"/>
      <c r="J1726" s="208"/>
      <c r="K1726" s="208"/>
      <c r="L1726" s="208"/>
      <c r="M1726" s="208"/>
      <c r="N1726" s="208"/>
      <c r="O1726" s="208"/>
      <c r="P1726" s="208"/>
      <c r="Q1726" s="208"/>
      <c r="R1726" s="208"/>
      <c r="S1726" s="208"/>
      <c r="T1726" s="208"/>
      <c r="U1726" s="208"/>
      <c r="V1726" s="234"/>
      <c r="W1726" s="232"/>
      <c r="X1726" s="232"/>
      <c r="Y1726" s="232"/>
      <c r="Z1726" s="232"/>
      <c r="AA1726" s="232"/>
      <c r="AB1726" s="232"/>
      <c r="AC1726" s="232"/>
      <c r="AD1726" s="232"/>
      <c r="AE1726" s="232"/>
      <c r="AF1726" s="232"/>
      <c r="AG1726" s="208"/>
      <c r="AH1726" s="208"/>
      <c r="AI1726" s="208"/>
      <c r="AJ1726" s="208"/>
      <c r="AK1726" s="208"/>
    </row>
    <row r="1727">
      <c r="A1727" s="208"/>
      <c r="B1727" s="208"/>
      <c r="C1727" s="208"/>
      <c r="D1727" s="208"/>
      <c r="E1727" s="208"/>
      <c r="F1727" s="208"/>
      <c r="G1727" s="208"/>
      <c r="H1727" s="232"/>
      <c r="I1727" s="233"/>
      <c r="J1727" s="208"/>
      <c r="K1727" s="208"/>
      <c r="L1727" s="208"/>
      <c r="M1727" s="208"/>
      <c r="N1727" s="208"/>
      <c r="O1727" s="208"/>
      <c r="P1727" s="208"/>
      <c r="Q1727" s="208"/>
      <c r="R1727" s="208"/>
      <c r="S1727" s="208"/>
      <c r="T1727" s="208"/>
      <c r="U1727" s="208"/>
      <c r="V1727" s="234"/>
      <c r="W1727" s="232"/>
      <c r="X1727" s="232"/>
      <c r="Y1727" s="232"/>
      <c r="Z1727" s="232"/>
      <c r="AA1727" s="232"/>
      <c r="AB1727" s="232"/>
      <c r="AC1727" s="232"/>
      <c r="AD1727" s="232"/>
      <c r="AE1727" s="232"/>
      <c r="AF1727" s="232"/>
      <c r="AG1727" s="208"/>
      <c r="AH1727" s="208"/>
      <c r="AI1727" s="208"/>
      <c r="AJ1727" s="208"/>
      <c r="AK1727" s="208"/>
    </row>
    <row r="1728">
      <c r="A1728" s="208"/>
      <c r="B1728" s="208"/>
      <c r="C1728" s="208"/>
      <c r="D1728" s="208"/>
      <c r="E1728" s="208"/>
      <c r="F1728" s="208"/>
      <c r="G1728" s="208"/>
      <c r="H1728" s="232"/>
      <c r="I1728" s="233"/>
      <c r="J1728" s="208"/>
      <c r="K1728" s="208"/>
      <c r="L1728" s="208"/>
      <c r="M1728" s="208"/>
      <c r="N1728" s="208"/>
      <c r="O1728" s="208"/>
      <c r="P1728" s="208"/>
      <c r="Q1728" s="208"/>
      <c r="R1728" s="208"/>
      <c r="S1728" s="208"/>
      <c r="T1728" s="208"/>
      <c r="U1728" s="208"/>
      <c r="V1728" s="234"/>
      <c r="W1728" s="232"/>
      <c r="X1728" s="232"/>
      <c r="Y1728" s="232"/>
      <c r="Z1728" s="232"/>
      <c r="AA1728" s="232"/>
      <c r="AB1728" s="232"/>
      <c r="AC1728" s="232"/>
      <c r="AD1728" s="232"/>
      <c r="AE1728" s="232"/>
      <c r="AF1728" s="232"/>
      <c r="AG1728" s="208"/>
      <c r="AH1728" s="208"/>
      <c r="AI1728" s="208"/>
      <c r="AJ1728" s="208"/>
      <c r="AK1728" s="208"/>
    </row>
    <row r="1729">
      <c r="A1729" s="208"/>
      <c r="B1729" s="208"/>
      <c r="C1729" s="208"/>
      <c r="D1729" s="208"/>
      <c r="E1729" s="208"/>
      <c r="F1729" s="208"/>
      <c r="G1729" s="208"/>
      <c r="H1729" s="232"/>
      <c r="I1729" s="233"/>
      <c r="J1729" s="208"/>
      <c r="K1729" s="208"/>
      <c r="L1729" s="208"/>
      <c r="M1729" s="208"/>
      <c r="N1729" s="208"/>
      <c r="O1729" s="208"/>
      <c r="P1729" s="208"/>
      <c r="Q1729" s="208"/>
      <c r="R1729" s="208"/>
      <c r="S1729" s="208"/>
      <c r="T1729" s="208"/>
      <c r="U1729" s="208"/>
      <c r="V1729" s="234"/>
      <c r="W1729" s="232"/>
      <c r="X1729" s="232"/>
      <c r="Y1729" s="232"/>
      <c r="Z1729" s="232"/>
      <c r="AA1729" s="232"/>
      <c r="AB1729" s="232"/>
      <c r="AC1729" s="232"/>
      <c r="AD1729" s="232"/>
      <c r="AE1729" s="232"/>
      <c r="AF1729" s="232"/>
      <c r="AG1729" s="208"/>
      <c r="AH1729" s="208"/>
      <c r="AI1729" s="208"/>
      <c r="AJ1729" s="208"/>
      <c r="AK1729" s="208"/>
    </row>
    <row r="1730">
      <c r="A1730" s="208"/>
      <c r="B1730" s="208"/>
      <c r="C1730" s="208"/>
      <c r="D1730" s="208"/>
      <c r="E1730" s="208"/>
      <c r="F1730" s="208"/>
      <c r="G1730" s="208"/>
      <c r="H1730" s="232"/>
      <c r="I1730" s="233"/>
      <c r="J1730" s="208"/>
      <c r="K1730" s="208"/>
      <c r="L1730" s="208"/>
      <c r="M1730" s="208"/>
      <c r="N1730" s="208"/>
      <c r="O1730" s="208"/>
      <c r="P1730" s="208"/>
      <c r="Q1730" s="208"/>
      <c r="R1730" s="208"/>
      <c r="S1730" s="208"/>
      <c r="T1730" s="208"/>
      <c r="U1730" s="208"/>
      <c r="V1730" s="234"/>
      <c r="W1730" s="232"/>
      <c r="X1730" s="232"/>
      <c r="Y1730" s="232"/>
      <c r="Z1730" s="232"/>
      <c r="AA1730" s="232"/>
      <c r="AB1730" s="232"/>
      <c r="AC1730" s="232"/>
      <c r="AD1730" s="232"/>
      <c r="AE1730" s="232"/>
      <c r="AF1730" s="232"/>
      <c r="AG1730" s="208"/>
      <c r="AH1730" s="208"/>
      <c r="AI1730" s="208"/>
      <c r="AJ1730" s="208"/>
      <c r="AK1730" s="208"/>
    </row>
    <row r="1731">
      <c r="A1731" s="208"/>
      <c r="B1731" s="208"/>
      <c r="C1731" s="208"/>
      <c r="D1731" s="208"/>
      <c r="E1731" s="208"/>
      <c r="F1731" s="208"/>
      <c r="G1731" s="208"/>
      <c r="H1731" s="232"/>
      <c r="I1731" s="233"/>
      <c r="J1731" s="208"/>
      <c r="K1731" s="208"/>
      <c r="L1731" s="208"/>
      <c r="M1731" s="208"/>
      <c r="N1731" s="208"/>
      <c r="O1731" s="208"/>
      <c r="P1731" s="208"/>
      <c r="Q1731" s="208"/>
      <c r="R1731" s="208"/>
      <c r="S1731" s="208"/>
      <c r="T1731" s="208"/>
      <c r="U1731" s="208"/>
      <c r="V1731" s="234"/>
      <c r="W1731" s="232"/>
      <c r="X1731" s="232"/>
      <c r="Y1731" s="232"/>
      <c r="Z1731" s="232"/>
      <c r="AA1731" s="232"/>
      <c r="AB1731" s="232"/>
      <c r="AC1731" s="232"/>
      <c r="AD1731" s="232"/>
      <c r="AE1731" s="232"/>
      <c r="AF1731" s="232"/>
      <c r="AG1731" s="208"/>
      <c r="AH1731" s="208"/>
      <c r="AI1731" s="208"/>
      <c r="AJ1731" s="208"/>
      <c r="AK1731" s="208"/>
    </row>
    <row r="1732">
      <c r="A1732" s="208"/>
      <c r="B1732" s="208"/>
      <c r="C1732" s="208"/>
      <c r="D1732" s="208"/>
      <c r="E1732" s="208"/>
      <c r="F1732" s="208"/>
      <c r="G1732" s="208"/>
      <c r="H1732" s="232"/>
      <c r="I1732" s="233"/>
      <c r="J1732" s="208"/>
      <c r="K1732" s="208"/>
      <c r="L1732" s="208"/>
      <c r="M1732" s="208"/>
      <c r="N1732" s="208"/>
      <c r="O1732" s="208"/>
      <c r="P1732" s="208"/>
      <c r="Q1732" s="208"/>
      <c r="R1732" s="208"/>
      <c r="S1732" s="208"/>
      <c r="T1732" s="208"/>
      <c r="U1732" s="208"/>
      <c r="V1732" s="234"/>
      <c r="W1732" s="232"/>
      <c r="X1732" s="232"/>
      <c r="Y1732" s="232"/>
      <c r="Z1732" s="232"/>
      <c r="AA1732" s="232"/>
      <c r="AB1732" s="232"/>
      <c r="AC1732" s="232"/>
      <c r="AD1732" s="232"/>
      <c r="AE1732" s="232"/>
      <c r="AF1732" s="232"/>
      <c r="AG1732" s="208"/>
      <c r="AH1732" s="208"/>
      <c r="AI1732" s="208"/>
      <c r="AJ1732" s="208"/>
      <c r="AK1732" s="208"/>
    </row>
    <row r="1733">
      <c r="A1733" s="208"/>
      <c r="B1733" s="208"/>
      <c r="C1733" s="208"/>
      <c r="D1733" s="208"/>
      <c r="E1733" s="208"/>
      <c r="F1733" s="208"/>
      <c r="G1733" s="208"/>
      <c r="H1733" s="232"/>
      <c r="I1733" s="233"/>
      <c r="J1733" s="208"/>
      <c r="K1733" s="208"/>
      <c r="L1733" s="208"/>
      <c r="M1733" s="208"/>
      <c r="N1733" s="208"/>
      <c r="O1733" s="208"/>
      <c r="P1733" s="208"/>
      <c r="Q1733" s="208"/>
      <c r="R1733" s="208"/>
      <c r="S1733" s="208"/>
      <c r="T1733" s="208"/>
      <c r="U1733" s="208"/>
      <c r="V1733" s="234"/>
      <c r="W1733" s="232"/>
      <c r="X1733" s="232"/>
      <c r="Y1733" s="232"/>
      <c r="Z1733" s="232"/>
      <c r="AA1733" s="232"/>
      <c r="AB1733" s="232"/>
      <c r="AC1733" s="232"/>
      <c r="AD1733" s="232"/>
      <c r="AE1733" s="232"/>
      <c r="AF1733" s="232"/>
      <c r="AG1733" s="208"/>
      <c r="AH1733" s="208"/>
      <c r="AI1733" s="208"/>
      <c r="AJ1733" s="208"/>
      <c r="AK1733" s="208"/>
    </row>
    <row r="1734">
      <c r="A1734" s="208"/>
      <c r="B1734" s="208"/>
      <c r="C1734" s="208"/>
      <c r="D1734" s="208"/>
      <c r="E1734" s="208"/>
      <c r="F1734" s="208"/>
      <c r="G1734" s="208"/>
      <c r="H1734" s="232"/>
      <c r="I1734" s="233"/>
      <c r="J1734" s="208"/>
      <c r="K1734" s="208"/>
      <c r="L1734" s="208"/>
      <c r="M1734" s="208"/>
      <c r="N1734" s="208"/>
      <c r="O1734" s="208"/>
      <c r="P1734" s="208"/>
      <c r="Q1734" s="208"/>
      <c r="R1734" s="208"/>
      <c r="S1734" s="208"/>
      <c r="T1734" s="208"/>
      <c r="U1734" s="208"/>
      <c r="V1734" s="234"/>
      <c r="W1734" s="232"/>
      <c r="X1734" s="232"/>
      <c r="Y1734" s="232"/>
      <c r="Z1734" s="232"/>
      <c r="AA1734" s="232"/>
      <c r="AB1734" s="232"/>
      <c r="AC1734" s="232"/>
      <c r="AD1734" s="232"/>
      <c r="AE1734" s="232"/>
      <c r="AF1734" s="232"/>
      <c r="AG1734" s="208"/>
      <c r="AH1734" s="208"/>
      <c r="AI1734" s="208"/>
      <c r="AJ1734" s="208"/>
      <c r="AK1734" s="208"/>
    </row>
    <row r="1735">
      <c r="A1735" s="208"/>
      <c r="B1735" s="208"/>
      <c r="C1735" s="208"/>
      <c r="D1735" s="208"/>
      <c r="E1735" s="208"/>
      <c r="F1735" s="208"/>
      <c r="G1735" s="208"/>
      <c r="H1735" s="232"/>
      <c r="I1735" s="233"/>
      <c r="J1735" s="208"/>
      <c r="K1735" s="208"/>
      <c r="L1735" s="208"/>
      <c r="M1735" s="208"/>
      <c r="N1735" s="208"/>
      <c r="O1735" s="208"/>
      <c r="P1735" s="208"/>
      <c r="Q1735" s="208"/>
      <c r="R1735" s="208"/>
      <c r="S1735" s="208"/>
      <c r="T1735" s="208"/>
      <c r="U1735" s="208"/>
      <c r="V1735" s="234"/>
      <c r="W1735" s="232"/>
      <c r="X1735" s="232"/>
      <c r="Y1735" s="232"/>
      <c r="Z1735" s="232"/>
      <c r="AA1735" s="232"/>
      <c r="AB1735" s="232"/>
      <c r="AC1735" s="232"/>
      <c r="AD1735" s="232"/>
      <c r="AE1735" s="232"/>
      <c r="AF1735" s="232"/>
      <c r="AG1735" s="208"/>
      <c r="AH1735" s="208"/>
      <c r="AI1735" s="208"/>
      <c r="AJ1735" s="208"/>
      <c r="AK1735" s="208"/>
    </row>
    <row r="1736">
      <c r="A1736" s="208"/>
      <c r="B1736" s="208"/>
      <c r="C1736" s="208"/>
      <c r="D1736" s="208"/>
      <c r="E1736" s="208"/>
      <c r="F1736" s="208"/>
      <c r="G1736" s="208"/>
      <c r="H1736" s="232"/>
      <c r="I1736" s="233"/>
      <c r="J1736" s="208"/>
      <c r="K1736" s="208"/>
      <c r="L1736" s="208"/>
      <c r="M1736" s="208"/>
      <c r="N1736" s="208"/>
      <c r="O1736" s="208"/>
      <c r="P1736" s="208"/>
      <c r="Q1736" s="208"/>
      <c r="R1736" s="208"/>
      <c r="S1736" s="208"/>
      <c r="T1736" s="208"/>
      <c r="U1736" s="208"/>
      <c r="V1736" s="234"/>
      <c r="W1736" s="232"/>
      <c r="X1736" s="232"/>
      <c r="Y1736" s="232"/>
      <c r="Z1736" s="232"/>
      <c r="AA1736" s="232"/>
      <c r="AB1736" s="232"/>
      <c r="AC1736" s="232"/>
      <c r="AD1736" s="232"/>
      <c r="AE1736" s="232"/>
      <c r="AF1736" s="232"/>
      <c r="AG1736" s="208"/>
      <c r="AH1736" s="208"/>
      <c r="AI1736" s="208"/>
      <c r="AJ1736" s="208"/>
      <c r="AK1736" s="208"/>
    </row>
    <row r="1737">
      <c r="A1737" s="208"/>
      <c r="B1737" s="208"/>
      <c r="C1737" s="208"/>
      <c r="D1737" s="208"/>
      <c r="E1737" s="208"/>
      <c r="F1737" s="208"/>
      <c r="G1737" s="208"/>
      <c r="H1737" s="232"/>
      <c r="I1737" s="233"/>
      <c r="J1737" s="208"/>
      <c r="K1737" s="208"/>
      <c r="L1737" s="208"/>
      <c r="M1737" s="208"/>
      <c r="N1737" s="208"/>
      <c r="O1737" s="208"/>
      <c r="P1737" s="208"/>
      <c r="Q1737" s="208"/>
      <c r="R1737" s="208"/>
      <c r="S1737" s="208"/>
      <c r="T1737" s="208"/>
      <c r="U1737" s="208"/>
      <c r="V1737" s="234"/>
      <c r="W1737" s="232"/>
      <c r="X1737" s="232"/>
      <c r="Y1737" s="232"/>
      <c r="Z1737" s="232"/>
      <c r="AA1737" s="232"/>
      <c r="AB1737" s="232"/>
      <c r="AC1737" s="232"/>
      <c r="AD1737" s="232"/>
      <c r="AE1737" s="232"/>
      <c r="AF1737" s="232"/>
      <c r="AG1737" s="208"/>
      <c r="AH1737" s="208"/>
      <c r="AI1737" s="208"/>
      <c r="AJ1737" s="208"/>
      <c r="AK1737" s="208"/>
    </row>
    <row r="1738">
      <c r="A1738" s="208"/>
      <c r="B1738" s="208"/>
      <c r="C1738" s="208"/>
      <c r="D1738" s="208"/>
      <c r="E1738" s="208"/>
      <c r="F1738" s="208"/>
      <c r="G1738" s="208"/>
      <c r="H1738" s="232"/>
      <c r="I1738" s="233"/>
      <c r="J1738" s="208"/>
      <c r="K1738" s="208"/>
      <c r="L1738" s="208"/>
      <c r="M1738" s="208"/>
      <c r="N1738" s="208"/>
      <c r="O1738" s="208"/>
      <c r="P1738" s="208"/>
      <c r="Q1738" s="208"/>
      <c r="R1738" s="208"/>
      <c r="S1738" s="208"/>
      <c r="T1738" s="208"/>
      <c r="U1738" s="208"/>
      <c r="V1738" s="234"/>
      <c r="W1738" s="232"/>
      <c r="X1738" s="232"/>
      <c r="Y1738" s="232"/>
      <c r="Z1738" s="232"/>
      <c r="AA1738" s="232"/>
      <c r="AB1738" s="232"/>
      <c r="AC1738" s="232"/>
      <c r="AD1738" s="232"/>
      <c r="AE1738" s="232"/>
      <c r="AF1738" s="232"/>
      <c r="AG1738" s="208"/>
      <c r="AH1738" s="208"/>
      <c r="AI1738" s="208"/>
      <c r="AJ1738" s="208"/>
      <c r="AK1738" s="208"/>
    </row>
    <row r="1739">
      <c r="A1739" s="208"/>
      <c r="B1739" s="208"/>
      <c r="C1739" s="208"/>
      <c r="D1739" s="208"/>
      <c r="E1739" s="208"/>
      <c r="F1739" s="208"/>
      <c r="G1739" s="208"/>
      <c r="H1739" s="232"/>
      <c r="I1739" s="233"/>
      <c r="J1739" s="208"/>
      <c r="K1739" s="208"/>
      <c r="L1739" s="208"/>
      <c r="M1739" s="208"/>
      <c r="N1739" s="208"/>
      <c r="O1739" s="208"/>
      <c r="P1739" s="208"/>
      <c r="Q1739" s="208"/>
      <c r="R1739" s="208"/>
      <c r="S1739" s="208"/>
      <c r="T1739" s="208"/>
      <c r="U1739" s="208"/>
      <c r="V1739" s="234"/>
      <c r="W1739" s="232"/>
      <c r="X1739" s="232"/>
      <c r="Y1739" s="232"/>
      <c r="Z1739" s="232"/>
      <c r="AA1739" s="232"/>
      <c r="AB1739" s="232"/>
      <c r="AC1739" s="232"/>
      <c r="AD1739" s="232"/>
      <c r="AE1739" s="232"/>
      <c r="AF1739" s="232"/>
      <c r="AG1739" s="208"/>
      <c r="AH1739" s="208"/>
      <c r="AI1739" s="208"/>
      <c r="AJ1739" s="208"/>
      <c r="AK1739" s="208"/>
    </row>
    <row r="1740">
      <c r="A1740" s="208"/>
      <c r="B1740" s="208"/>
      <c r="C1740" s="208"/>
      <c r="D1740" s="208"/>
      <c r="E1740" s="208"/>
      <c r="F1740" s="208"/>
      <c r="G1740" s="208"/>
      <c r="H1740" s="232"/>
      <c r="I1740" s="233"/>
      <c r="J1740" s="208"/>
      <c r="K1740" s="208"/>
      <c r="L1740" s="208"/>
      <c r="M1740" s="208"/>
      <c r="N1740" s="208"/>
      <c r="O1740" s="208"/>
      <c r="P1740" s="208"/>
      <c r="Q1740" s="208"/>
      <c r="R1740" s="208"/>
      <c r="S1740" s="208"/>
      <c r="T1740" s="208"/>
      <c r="U1740" s="208"/>
      <c r="V1740" s="234"/>
      <c r="W1740" s="232"/>
      <c r="X1740" s="232"/>
      <c r="Y1740" s="232"/>
      <c r="Z1740" s="232"/>
      <c r="AA1740" s="232"/>
      <c r="AB1740" s="232"/>
      <c r="AC1740" s="232"/>
      <c r="AD1740" s="232"/>
      <c r="AE1740" s="232"/>
      <c r="AF1740" s="232"/>
      <c r="AG1740" s="208"/>
      <c r="AH1740" s="208"/>
      <c r="AI1740" s="208"/>
      <c r="AJ1740" s="208"/>
      <c r="AK1740" s="208"/>
    </row>
    <row r="1741">
      <c r="A1741" s="208"/>
      <c r="B1741" s="208"/>
      <c r="C1741" s="208"/>
      <c r="D1741" s="208"/>
      <c r="E1741" s="208"/>
      <c r="F1741" s="208"/>
      <c r="G1741" s="208"/>
      <c r="H1741" s="232"/>
      <c r="I1741" s="233"/>
      <c r="J1741" s="208"/>
      <c r="K1741" s="208"/>
      <c r="L1741" s="208"/>
      <c r="M1741" s="208"/>
      <c r="N1741" s="208"/>
      <c r="O1741" s="208"/>
      <c r="P1741" s="208"/>
      <c r="Q1741" s="208"/>
      <c r="R1741" s="208"/>
      <c r="S1741" s="208"/>
      <c r="T1741" s="208"/>
      <c r="U1741" s="208"/>
      <c r="V1741" s="234"/>
      <c r="W1741" s="232"/>
      <c r="X1741" s="232"/>
      <c r="Y1741" s="232"/>
      <c r="Z1741" s="232"/>
      <c r="AA1741" s="232"/>
      <c r="AB1741" s="232"/>
      <c r="AC1741" s="232"/>
      <c r="AD1741" s="232"/>
      <c r="AE1741" s="232"/>
      <c r="AF1741" s="232"/>
      <c r="AG1741" s="208"/>
      <c r="AH1741" s="208"/>
      <c r="AI1741" s="208"/>
      <c r="AJ1741" s="208"/>
      <c r="AK1741" s="208"/>
    </row>
    <row r="1742">
      <c r="A1742" s="208"/>
      <c r="B1742" s="208"/>
      <c r="C1742" s="208"/>
      <c r="D1742" s="208"/>
      <c r="E1742" s="208"/>
      <c r="F1742" s="208"/>
      <c r="G1742" s="208"/>
      <c r="H1742" s="232"/>
      <c r="I1742" s="233"/>
      <c r="J1742" s="208"/>
      <c r="K1742" s="208"/>
      <c r="L1742" s="208"/>
      <c r="M1742" s="208"/>
      <c r="N1742" s="208"/>
      <c r="O1742" s="208"/>
      <c r="P1742" s="208"/>
      <c r="Q1742" s="208"/>
      <c r="R1742" s="208"/>
      <c r="S1742" s="208"/>
      <c r="T1742" s="208"/>
      <c r="U1742" s="208"/>
      <c r="V1742" s="234"/>
      <c r="W1742" s="232"/>
      <c r="X1742" s="232"/>
      <c r="Y1742" s="232"/>
      <c r="Z1742" s="232"/>
      <c r="AA1742" s="232"/>
      <c r="AB1742" s="232"/>
      <c r="AC1742" s="232"/>
      <c r="AD1742" s="232"/>
      <c r="AE1742" s="232"/>
      <c r="AF1742" s="232"/>
      <c r="AG1742" s="208"/>
      <c r="AH1742" s="208"/>
      <c r="AI1742" s="208"/>
      <c r="AJ1742" s="208"/>
      <c r="AK1742" s="208"/>
    </row>
    <row r="1743">
      <c r="A1743" s="208"/>
      <c r="B1743" s="208"/>
      <c r="C1743" s="208"/>
      <c r="D1743" s="208"/>
      <c r="E1743" s="208"/>
      <c r="F1743" s="208"/>
      <c r="G1743" s="208"/>
      <c r="H1743" s="232"/>
      <c r="I1743" s="233"/>
      <c r="J1743" s="208"/>
      <c r="K1743" s="208"/>
      <c r="L1743" s="208"/>
      <c r="M1743" s="208"/>
      <c r="N1743" s="208"/>
      <c r="O1743" s="208"/>
      <c r="P1743" s="208"/>
      <c r="Q1743" s="208"/>
      <c r="R1743" s="208"/>
      <c r="S1743" s="208"/>
      <c r="T1743" s="208"/>
      <c r="U1743" s="208"/>
      <c r="V1743" s="234"/>
      <c r="W1743" s="232"/>
      <c r="X1743" s="232"/>
      <c r="Y1743" s="232"/>
      <c r="Z1743" s="232"/>
      <c r="AA1743" s="232"/>
      <c r="AB1743" s="232"/>
      <c r="AC1743" s="232"/>
      <c r="AD1743" s="232"/>
      <c r="AE1743" s="232"/>
      <c r="AF1743" s="232"/>
      <c r="AG1743" s="208"/>
      <c r="AH1743" s="208"/>
      <c r="AI1743" s="208"/>
      <c r="AJ1743" s="208"/>
      <c r="AK1743" s="208"/>
    </row>
    <row r="1744">
      <c r="A1744" s="208"/>
      <c r="B1744" s="208"/>
      <c r="C1744" s="208"/>
      <c r="D1744" s="208"/>
      <c r="E1744" s="208"/>
      <c r="F1744" s="208"/>
      <c r="G1744" s="208"/>
      <c r="H1744" s="232"/>
      <c r="I1744" s="233"/>
      <c r="J1744" s="208"/>
      <c r="K1744" s="208"/>
      <c r="L1744" s="208"/>
      <c r="M1744" s="208"/>
      <c r="N1744" s="208"/>
      <c r="O1744" s="208"/>
      <c r="P1744" s="208"/>
      <c r="Q1744" s="208"/>
      <c r="R1744" s="208"/>
      <c r="S1744" s="208"/>
      <c r="T1744" s="208"/>
      <c r="U1744" s="208"/>
      <c r="V1744" s="234"/>
      <c r="W1744" s="232"/>
      <c r="X1744" s="232"/>
      <c r="Y1744" s="232"/>
      <c r="Z1744" s="232"/>
      <c r="AA1744" s="232"/>
      <c r="AB1744" s="232"/>
      <c r="AC1744" s="232"/>
      <c r="AD1744" s="232"/>
      <c r="AE1744" s="232"/>
      <c r="AF1744" s="232"/>
      <c r="AG1744" s="208"/>
      <c r="AH1744" s="208"/>
      <c r="AI1744" s="208"/>
      <c r="AJ1744" s="208"/>
      <c r="AK1744" s="208"/>
    </row>
    <row r="1745">
      <c r="A1745" s="208"/>
      <c r="B1745" s="208"/>
      <c r="C1745" s="208"/>
      <c r="D1745" s="208"/>
      <c r="E1745" s="208"/>
      <c r="F1745" s="208"/>
      <c r="G1745" s="208"/>
      <c r="H1745" s="232"/>
      <c r="I1745" s="233"/>
      <c r="J1745" s="208"/>
      <c r="K1745" s="208"/>
      <c r="L1745" s="208"/>
      <c r="M1745" s="208"/>
      <c r="N1745" s="208"/>
      <c r="O1745" s="208"/>
      <c r="P1745" s="208"/>
      <c r="Q1745" s="208"/>
      <c r="R1745" s="208"/>
      <c r="S1745" s="208"/>
      <c r="T1745" s="208"/>
      <c r="U1745" s="208"/>
      <c r="V1745" s="234"/>
      <c r="W1745" s="232"/>
      <c r="X1745" s="232"/>
      <c r="Y1745" s="232"/>
      <c r="Z1745" s="232"/>
      <c r="AA1745" s="232"/>
      <c r="AB1745" s="232"/>
      <c r="AC1745" s="232"/>
      <c r="AD1745" s="232"/>
      <c r="AE1745" s="232"/>
      <c r="AF1745" s="232"/>
      <c r="AG1745" s="208"/>
      <c r="AH1745" s="208"/>
      <c r="AI1745" s="208"/>
      <c r="AJ1745" s="208"/>
      <c r="AK1745" s="208"/>
    </row>
    <row r="1746">
      <c r="A1746" s="208"/>
      <c r="B1746" s="208"/>
      <c r="C1746" s="208"/>
      <c r="D1746" s="208"/>
      <c r="E1746" s="208"/>
      <c r="F1746" s="208"/>
      <c r="G1746" s="208"/>
      <c r="H1746" s="232"/>
      <c r="I1746" s="233"/>
      <c r="J1746" s="208"/>
      <c r="K1746" s="208"/>
      <c r="L1746" s="208"/>
      <c r="M1746" s="208"/>
      <c r="N1746" s="208"/>
      <c r="O1746" s="208"/>
      <c r="P1746" s="208"/>
      <c r="Q1746" s="208"/>
      <c r="R1746" s="208"/>
      <c r="S1746" s="208"/>
      <c r="T1746" s="208"/>
      <c r="U1746" s="208"/>
      <c r="V1746" s="234"/>
      <c r="W1746" s="232"/>
      <c r="X1746" s="232"/>
      <c r="Y1746" s="232"/>
      <c r="Z1746" s="232"/>
      <c r="AA1746" s="232"/>
      <c r="AB1746" s="232"/>
      <c r="AC1746" s="232"/>
      <c r="AD1746" s="232"/>
      <c r="AE1746" s="232"/>
      <c r="AF1746" s="232"/>
      <c r="AG1746" s="208"/>
      <c r="AH1746" s="208"/>
      <c r="AI1746" s="208"/>
      <c r="AJ1746" s="208"/>
      <c r="AK1746" s="208"/>
    </row>
    <row r="1747">
      <c r="A1747" s="208"/>
      <c r="B1747" s="208"/>
      <c r="C1747" s="208"/>
      <c r="D1747" s="208"/>
      <c r="E1747" s="208"/>
      <c r="F1747" s="208"/>
      <c r="G1747" s="208"/>
      <c r="H1747" s="232"/>
      <c r="I1747" s="233"/>
      <c r="J1747" s="208"/>
      <c r="K1747" s="208"/>
      <c r="L1747" s="208"/>
      <c r="M1747" s="208"/>
      <c r="N1747" s="208"/>
      <c r="O1747" s="208"/>
      <c r="P1747" s="208"/>
      <c r="Q1747" s="208"/>
      <c r="R1747" s="208"/>
      <c r="S1747" s="208"/>
      <c r="T1747" s="208"/>
      <c r="U1747" s="208"/>
      <c r="V1747" s="234"/>
      <c r="W1747" s="232"/>
      <c r="X1747" s="232"/>
      <c r="Y1747" s="232"/>
      <c r="Z1747" s="232"/>
      <c r="AA1747" s="232"/>
      <c r="AB1747" s="232"/>
      <c r="AC1747" s="232"/>
      <c r="AD1747" s="232"/>
      <c r="AE1747" s="232"/>
      <c r="AF1747" s="232"/>
      <c r="AG1747" s="208"/>
      <c r="AH1747" s="208"/>
      <c r="AI1747" s="208"/>
      <c r="AJ1747" s="208"/>
      <c r="AK1747" s="208"/>
    </row>
    <row r="1748">
      <c r="A1748" s="208"/>
      <c r="B1748" s="208"/>
      <c r="C1748" s="208"/>
      <c r="D1748" s="208"/>
      <c r="E1748" s="208"/>
      <c r="F1748" s="208"/>
      <c r="G1748" s="208"/>
      <c r="H1748" s="232"/>
      <c r="I1748" s="233"/>
      <c r="J1748" s="208"/>
      <c r="K1748" s="208"/>
      <c r="L1748" s="208"/>
      <c r="M1748" s="208"/>
      <c r="N1748" s="208"/>
      <c r="O1748" s="208"/>
      <c r="P1748" s="208"/>
      <c r="Q1748" s="208"/>
      <c r="R1748" s="208"/>
      <c r="S1748" s="208"/>
      <c r="T1748" s="208"/>
      <c r="U1748" s="208"/>
      <c r="V1748" s="234"/>
      <c r="W1748" s="232"/>
      <c r="X1748" s="232"/>
      <c r="Y1748" s="232"/>
      <c r="Z1748" s="232"/>
      <c r="AA1748" s="232"/>
      <c r="AB1748" s="232"/>
      <c r="AC1748" s="232"/>
      <c r="AD1748" s="232"/>
      <c r="AE1748" s="232"/>
      <c r="AF1748" s="232"/>
      <c r="AG1748" s="208"/>
      <c r="AH1748" s="208"/>
      <c r="AI1748" s="208"/>
      <c r="AJ1748" s="208"/>
      <c r="AK1748" s="208"/>
    </row>
    <row r="1749">
      <c r="A1749" s="208"/>
      <c r="B1749" s="208"/>
      <c r="C1749" s="208"/>
      <c r="D1749" s="208"/>
      <c r="E1749" s="208"/>
      <c r="F1749" s="208"/>
      <c r="G1749" s="208"/>
      <c r="H1749" s="232"/>
      <c r="I1749" s="233"/>
      <c r="J1749" s="208"/>
      <c r="K1749" s="208"/>
      <c r="L1749" s="208"/>
      <c r="M1749" s="208"/>
      <c r="N1749" s="208"/>
      <c r="O1749" s="208"/>
      <c r="P1749" s="208"/>
      <c r="Q1749" s="208"/>
      <c r="R1749" s="208"/>
      <c r="S1749" s="208"/>
      <c r="T1749" s="208"/>
      <c r="U1749" s="208"/>
      <c r="V1749" s="234"/>
      <c r="W1749" s="232"/>
      <c r="X1749" s="232"/>
      <c r="Y1749" s="232"/>
      <c r="Z1749" s="232"/>
      <c r="AA1749" s="232"/>
      <c r="AB1749" s="232"/>
      <c r="AC1749" s="232"/>
      <c r="AD1749" s="232"/>
      <c r="AE1749" s="232"/>
      <c r="AF1749" s="232"/>
      <c r="AG1749" s="208"/>
      <c r="AH1749" s="208"/>
      <c r="AI1749" s="208"/>
      <c r="AJ1749" s="208"/>
      <c r="AK1749" s="208"/>
    </row>
    <row r="1750">
      <c r="A1750" s="208"/>
      <c r="B1750" s="208"/>
      <c r="C1750" s="208"/>
      <c r="D1750" s="208"/>
      <c r="E1750" s="208"/>
      <c r="F1750" s="208"/>
      <c r="G1750" s="208"/>
      <c r="H1750" s="232"/>
      <c r="I1750" s="233"/>
      <c r="J1750" s="208"/>
      <c r="K1750" s="208"/>
      <c r="L1750" s="208"/>
      <c r="M1750" s="208"/>
      <c r="N1750" s="208"/>
      <c r="O1750" s="208"/>
      <c r="P1750" s="208"/>
      <c r="Q1750" s="208"/>
      <c r="R1750" s="208"/>
      <c r="S1750" s="208"/>
      <c r="T1750" s="208"/>
      <c r="U1750" s="208"/>
      <c r="V1750" s="234"/>
      <c r="W1750" s="232"/>
      <c r="X1750" s="232"/>
      <c r="Y1750" s="232"/>
      <c r="Z1750" s="232"/>
      <c r="AA1750" s="232"/>
      <c r="AB1750" s="232"/>
      <c r="AC1750" s="232"/>
      <c r="AD1750" s="232"/>
      <c r="AE1750" s="232"/>
      <c r="AF1750" s="232"/>
      <c r="AG1750" s="208"/>
      <c r="AH1750" s="208"/>
      <c r="AI1750" s="208"/>
      <c r="AJ1750" s="208"/>
      <c r="AK1750" s="208"/>
    </row>
    <row r="1751">
      <c r="A1751" s="208"/>
      <c r="B1751" s="208"/>
      <c r="C1751" s="208"/>
      <c r="D1751" s="208"/>
      <c r="E1751" s="208"/>
      <c r="F1751" s="208"/>
      <c r="G1751" s="208"/>
      <c r="H1751" s="232"/>
      <c r="I1751" s="233"/>
      <c r="J1751" s="208"/>
      <c r="K1751" s="208"/>
      <c r="L1751" s="208"/>
      <c r="M1751" s="208"/>
      <c r="N1751" s="208"/>
      <c r="O1751" s="208"/>
      <c r="P1751" s="208"/>
      <c r="Q1751" s="208"/>
      <c r="R1751" s="208"/>
      <c r="S1751" s="208"/>
      <c r="T1751" s="208"/>
      <c r="U1751" s="208"/>
      <c r="V1751" s="234"/>
      <c r="W1751" s="232"/>
      <c r="X1751" s="232"/>
      <c r="Y1751" s="232"/>
      <c r="Z1751" s="232"/>
      <c r="AA1751" s="232"/>
      <c r="AB1751" s="232"/>
      <c r="AC1751" s="232"/>
      <c r="AD1751" s="232"/>
      <c r="AE1751" s="232"/>
      <c r="AF1751" s="232"/>
      <c r="AG1751" s="208"/>
      <c r="AH1751" s="208"/>
      <c r="AI1751" s="208"/>
      <c r="AJ1751" s="208"/>
      <c r="AK1751" s="208"/>
    </row>
    <row r="1752">
      <c r="A1752" s="208"/>
      <c r="B1752" s="208"/>
      <c r="C1752" s="208"/>
      <c r="D1752" s="208"/>
      <c r="E1752" s="208"/>
      <c r="F1752" s="208"/>
      <c r="G1752" s="208"/>
      <c r="H1752" s="232"/>
      <c r="I1752" s="233"/>
      <c r="J1752" s="208"/>
      <c r="K1752" s="208"/>
      <c r="L1752" s="208"/>
      <c r="M1752" s="208"/>
      <c r="N1752" s="208"/>
      <c r="O1752" s="208"/>
      <c r="P1752" s="208"/>
      <c r="Q1752" s="208"/>
      <c r="R1752" s="208"/>
      <c r="S1752" s="208"/>
      <c r="T1752" s="208"/>
      <c r="U1752" s="208"/>
      <c r="V1752" s="234"/>
      <c r="W1752" s="232"/>
      <c r="X1752" s="232"/>
      <c r="Y1752" s="232"/>
      <c r="Z1752" s="232"/>
      <c r="AA1752" s="232"/>
      <c r="AB1752" s="232"/>
      <c r="AC1752" s="232"/>
      <c r="AD1752" s="232"/>
      <c r="AE1752" s="232"/>
      <c r="AF1752" s="232"/>
      <c r="AG1752" s="208"/>
      <c r="AH1752" s="208"/>
      <c r="AI1752" s="208"/>
      <c r="AJ1752" s="208"/>
      <c r="AK1752" s="208"/>
    </row>
    <row r="1753">
      <c r="A1753" s="208"/>
      <c r="B1753" s="208"/>
      <c r="C1753" s="208"/>
      <c r="D1753" s="208"/>
      <c r="E1753" s="208"/>
      <c r="F1753" s="208"/>
      <c r="G1753" s="208"/>
      <c r="H1753" s="232"/>
      <c r="I1753" s="233"/>
      <c r="J1753" s="208"/>
      <c r="K1753" s="208"/>
      <c r="L1753" s="208"/>
      <c r="M1753" s="208"/>
      <c r="N1753" s="208"/>
      <c r="O1753" s="208"/>
      <c r="P1753" s="208"/>
      <c r="Q1753" s="208"/>
      <c r="R1753" s="208"/>
      <c r="S1753" s="208"/>
      <c r="T1753" s="208"/>
      <c r="U1753" s="208"/>
      <c r="V1753" s="234"/>
      <c r="W1753" s="232"/>
      <c r="X1753" s="232"/>
      <c r="Y1753" s="232"/>
      <c r="Z1753" s="232"/>
      <c r="AA1753" s="232"/>
      <c r="AB1753" s="232"/>
      <c r="AC1753" s="232"/>
      <c r="AD1753" s="232"/>
      <c r="AE1753" s="232"/>
      <c r="AF1753" s="232"/>
      <c r="AG1753" s="208"/>
      <c r="AH1753" s="208"/>
      <c r="AI1753" s="208"/>
      <c r="AJ1753" s="208"/>
      <c r="AK1753" s="208"/>
    </row>
    <row r="1754">
      <c r="A1754" s="208"/>
      <c r="B1754" s="208"/>
      <c r="C1754" s="208"/>
      <c r="D1754" s="208"/>
      <c r="E1754" s="208"/>
      <c r="F1754" s="208"/>
      <c r="G1754" s="208"/>
      <c r="H1754" s="232"/>
      <c r="I1754" s="233"/>
      <c r="J1754" s="208"/>
      <c r="K1754" s="208"/>
      <c r="L1754" s="208"/>
      <c r="M1754" s="208"/>
      <c r="N1754" s="208"/>
      <c r="O1754" s="208"/>
      <c r="P1754" s="208"/>
      <c r="Q1754" s="208"/>
      <c r="R1754" s="208"/>
      <c r="S1754" s="208"/>
      <c r="T1754" s="208"/>
      <c r="U1754" s="208"/>
      <c r="V1754" s="234"/>
      <c r="W1754" s="232"/>
      <c r="X1754" s="232"/>
      <c r="Y1754" s="232"/>
      <c r="Z1754" s="232"/>
      <c r="AA1754" s="232"/>
      <c r="AB1754" s="232"/>
      <c r="AC1754" s="232"/>
      <c r="AD1754" s="232"/>
      <c r="AE1754" s="232"/>
      <c r="AF1754" s="232"/>
      <c r="AG1754" s="208"/>
      <c r="AH1754" s="208"/>
      <c r="AI1754" s="208"/>
      <c r="AJ1754" s="208"/>
      <c r="AK1754" s="208"/>
    </row>
    <row r="1755">
      <c r="A1755" s="208"/>
      <c r="B1755" s="208"/>
      <c r="C1755" s="208"/>
      <c r="D1755" s="208"/>
      <c r="E1755" s="208"/>
      <c r="F1755" s="208"/>
      <c r="G1755" s="208"/>
      <c r="H1755" s="232"/>
      <c r="I1755" s="233"/>
      <c r="J1755" s="208"/>
      <c r="K1755" s="208"/>
      <c r="L1755" s="208"/>
      <c r="M1755" s="208"/>
      <c r="N1755" s="208"/>
      <c r="O1755" s="208"/>
      <c r="P1755" s="208"/>
      <c r="Q1755" s="208"/>
      <c r="R1755" s="208"/>
      <c r="S1755" s="208"/>
      <c r="T1755" s="208"/>
      <c r="U1755" s="208"/>
      <c r="V1755" s="234"/>
      <c r="W1755" s="232"/>
      <c r="X1755" s="232"/>
      <c r="Y1755" s="232"/>
      <c r="Z1755" s="232"/>
      <c r="AA1755" s="232"/>
      <c r="AB1755" s="232"/>
      <c r="AC1755" s="232"/>
      <c r="AD1755" s="232"/>
      <c r="AE1755" s="232"/>
      <c r="AF1755" s="232"/>
      <c r="AG1755" s="208"/>
      <c r="AH1755" s="208"/>
      <c r="AI1755" s="208"/>
      <c r="AJ1755" s="208"/>
      <c r="AK1755" s="208"/>
    </row>
    <row r="1756">
      <c r="A1756" s="208"/>
      <c r="B1756" s="208"/>
      <c r="C1756" s="208"/>
      <c r="D1756" s="208"/>
      <c r="E1756" s="208"/>
      <c r="F1756" s="208"/>
      <c r="G1756" s="208"/>
      <c r="H1756" s="232"/>
      <c r="I1756" s="233"/>
      <c r="J1756" s="208"/>
      <c r="K1756" s="208"/>
      <c r="L1756" s="208"/>
      <c r="M1756" s="208"/>
      <c r="N1756" s="208"/>
      <c r="O1756" s="208"/>
      <c r="P1756" s="208"/>
      <c r="Q1756" s="208"/>
      <c r="R1756" s="208"/>
      <c r="S1756" s="208"/>
      <c r="T1756" s="208"/>
      <c r="U1756" s="208"/>
      <c r="V1756" s="234"/>
      <c r="W1756" s="232"/>
      <c r="X1756" s="232"/>
      <c r="Y1756" s="232"/>
      <c r="Z1756" s="232"/>
      <c r="AA1756" s="232"/>
      <c r="AB1756" s="232"/>
      <c r="AC1756" s="232"/>
      <c r="AD1756" s="232"/>
      <c r="AE1756" s="232"/>
      <c r="AF1756" s="232"/>
      <c r="AG1756" s="208"/>
      <c r="AH1756" s="208"/>
      <c r="AI1756" s="208"/>
      <c r="AJ1756" s="208"/>
      <c r="AK1756" s="208"/>
    </row>
    <row r="1757">
      <c r="A1757" s="208"/>
      <c r="B1757" s="208"/>
      <c r="C1757" s="208"/>
      <c r="D1757" s="208"/>
      <c r="E1757" s="208"/>
      <c r="F1757" s="208"/>
      <c r="G1757" s="208"/>
      <c r="H1757" s="232"/>
      <c r="I1757" s="233"/>
      <c r="J1757" s="208"/>
      <c r="K1757" s="208"/>
      <c r="L1757" s="208"/>
      <c r="M1757" s="208"/>
      <c r="N1757" s="208"/>
      <c r="O1757" s="208"/>
      <c r="P1757" s="208"/>
      <c r="Q1757" s="208"/>
      <c r="R1757" s="208"/>
      <c r="S1757" s="208"/>
      <c r="T1757" s="208"/>
      <c r="U1757" s="208"/>
      <c r="V1757" s="234"/>
      <c r="W1757" s="232"/>
      <c r="X1757" s="232"/>
      <c r="Y1757" s="232"/>
      <c r="Z1757" s="232"/>
      <c r="AA1757" s="232"/>
      <c r="AB1757" s="232"/>
      <c r="AC1757" s="232"/>
      <c r="AD1757" s="232"/>
      <c r="AE1757" s="232"/>
      <c r="AF1757" s="232"/>
      <c r="AG1757" s="208"/>
      <c r="AH1757" s="208"/>
      <c r="AI1757" s="208"/>
      <c r="AJ1757" s="208"/>
      <c r="AK1757" s="208"/>
    </row>
    <row r="1758">
      <c r="A1758" s="208"/>
      <c r="B1758" s="208"/>
      <c r="C1758" s="208"/>
      <c r="D1758" s="208"/>
      <c r="E1758" s="208"/>
      <c r="F1758" s="208"/>
      <c r="G1758" s="208"/>
      <c r="H1758" s="232"/>
      <c r="I1758" s="233"/>
      <c r="J1758" s="208"/>
      <c r="K1758" s="208"/>
      <c r="L1758" s="208"/>
      <c r="M1758" s="208"/>
      <c r="N1758" s="208"/>
      <c r="O1758" s="208"/>
      <c r="P1758" s="208"/>
      <c r="Q1758" s="208"/>
      <c r="R1758" s="208"/>
      <c r="S1758" s="208"/>
      <c r="T1758" s="208"/>
      <c r="U1758" s="208"/>
      <c r="V1758" s="234"/>
      <c r="W1758" s="232"/>
      <c r="X1758" s="232"/>
      <c r="Y1758" s="232"/>
      <c r="Z1758" s="232"/>
      <c r="AA1758" s="232"/>
      <c r="AB1758" s="232"/>
      <c r="AC1758" s="232"/>
      <c r="AD1758" s="232"/>
      <c r="AE1758" s="232"/>
      <c r="AF1758" s="232"/>
      <c r="AG1758" s="208"/>
      <c r="AH1758" s="208"/>
      <c r="AI1758" s="208"/>
      <c r="AJ1758" s="208"/>
      <c r="AK1758" s="208"/>
    </row>
    <row r="1759">
      <c r="A1759" s="208"/>
      <c r="B1759" s="208"/>
      <c r="C1759" s="208"/>
      <c r="D1759" s="208"/>
      <c r="E1759" s="208"/>
      <c r="F1759" s="208"/>
      <c r="G1759" s="208"/>
      <c r="H1759" s="232"/>
      <c r="I1759" s="233"/>
      <c r="J1759" s="208"/>
      <c r="K1759" s="208"/>
      <c r="L1759" s="208"/>
      <c r="M1759" s="208"/>
      <c r="N1759" s="208"/>
      <c r="O1759" s="208"/>
      <c r="P1759" s="208"/>
      <c r="Q1759" s="208"/>
      <c r="R1759" s="208"/>
      <c r="S1759" s="208"/>
      <c r="T1759" s="208"/>
      <c r="U1759" s="208"/>
      <c r="V1759" s="234"/>
      <c r="W1759" s="232"/>
      <c r="X1759" s="232"/>
      <c r="Y1759" s="232"/>
      <c r="Z1759" s="232"/>
      <c r="AA1759" s="232"/>
      <c r="AB1759" s="232"/>
      <c r="AC1759" s="232"/>
      <c r="AD1759" s="232"/>
      <c r="AE1759" s="232"/>
      <c r="AF1759" s="232"/>
      <c r="AG1759" s="208"/>
      <c r="AH1759" s="208"/>
      <c r="AI1759" s="208"/>
      <c r="AJ1759" s="208"/>
      <c r="AK1759" s="208"/>
    </row>
    <row r="1760">
      <c r="A1760" s="208"/>
      <c r="B1760" s="208"/>
      <c r="C1760" s="208"/>
      <c r="D1760" s="208"/>
      <c r="E1760" s="208"/>
      <c r="F1760" s="208"/>
      <c r="G1760" s="208"/>
      <c r="H1760" s="232"/>
      <c r="I1760" s="233"/>
      <c r="J1760" s="208"/>
      <c r="K1760" s="208"/>
      <c r="L1760" s="208"/>
      <c r="M1760" s="208"/>
      <c r="N1760" s="208"/>
      <c r="O1760" s="208"/>
      <c r="P1760" s="208"/>
      <c r="Q1760" s="208"/>
      <c r="R1760" s="208"/>
      <c r="S1760" s="208"/>
      <c r="T1760" s="208"/>
      <c r="U1760" s="208"/>
      <c r="V1760" s="234"/>
      <c r="W1760" s="232"/>
      <c r="X1760" s="232"/>
      <c r="Y1760" s="232"/>
      <c r="Z1760" s="232"/>
      <c r="AA1760" s="232"/>
      <c r="AB1760" s="232"/>
      <c r="AC1760" s="232"/>
      <c r="AD1760" s="232"/>
      <c r="AE1760" s="232"/>
      <c r="AF1760" s="232"/>
      <c r="AG1760" s="208"/>
      <c r="AH1760" s="208"/>
      <c r="AI1760" s="208"/>
      <c r="AJ1760" s="208"/>
      <c r="AK1760" s="208"/>
    </row>
    <row r="1761">
      <c r="A1761" s="208"/>
      <c r="B1761" s="208"/>
      <c r="C1761" s="208"/>
      <c r="D1761" s="208"/>
      <c r="E1761" s="208"/>
      <c r="F1761" s="208"/>
      <c r="G1761" s="208"/>
      <c r="H1761" s="232"/>
      <c r="I1761" s="233"/>
      <c r="J1761" s="208"/>
      <c r="K1761" s="208"/>
      <c r="L1761" s="208"/>
      <c r="M1761" s="208"/>
      <c r="N1761" s="208"/>
      <c r="O1761" s="208"/>
      <c r="P1761" s="208"/>
      <c r="Q1761" s="208"/>
      <c r="R1761" s="208"/>
      <c r="S1761" s="208"/>
      <c r="T1761" s="208"/>
      <c r="U1761" s="208"/>
      <c r="V1761" s="234"/>
      <c r="W1761" s="232"/>
      <c r="X1761" s="232"/>
      <c r="Y1761" s="232"/>
      <c r="Z1761" s="232"/>
      <c r="AA1761" s="232"/>
      <c r="AB1761" s="232"/>
      <c r="AC1761" s="232"/>
      <c r="AD1761" s="232"/>
      <c r="AE1761" s="232"/>
      <c r="AF1761" s="232"/>
      <c r="AG1761" s="208"/>
      <c r="AH1761" s="208"/>
      <c r="AI1761" s="208"/>
      <c r="AJ1761" s="208"/>
      <c r="AK1761" s="208"/>
    </row>
    <row r="1762">
      <c r="A1762" s="208"/>
      <c r="B1762" s="208"/>
      <c r="C1762" s="208"/>
      <c r="D1762" s="208"/>
      <c r="E1762" s="208"/>
      <c r="F1762" s="208"/>
      <c r="G1762" s="208"/>
      <c r="H1762" s="232"/>
      <c r="I1762" s="233"/>
      <c r="J1762" s="208"/>
      <c r="K1762" s="208"/>
      <c r="L1762" s="208"/>
      <c r="M1762" s="208"/>
      <c r="N1762" s="208"/>
      <c r="O1762" s="208"/>
      <c r="P1762" s="208"/>
      <c r="Q1762" s="208"/>
      <c r="R1762" s="208"/>
      <c r="S1762" s="208"/>
      <c r="T1762" s="208"/>
      <c r="U1762" s="208"/>
      <c r="V1762" s="234"/>
      <c r="W1762" s="232"/>
      <c r="X1762" s="232"/>
      <c r="Y1762" s="232"/>
      <c r="Z1762" s="232"/>
      <c r="AA1762" s="232"/>
      <c r="AB1762" s="232"/>
      <c r="AC1762" s="232"/>
      <c r="AD1762" s="232"/>
      <c r="AE1762" s="232"/>
      <c r="AF1762" s="232"/>
      <c r="AG1762" s="208"/>
      <c r="AH1762" s="208"/>
      <c r="AI1762" s="208"/>
      <c r="AJ1762" s="208"/>
      <c r="AK1762" s="208"/>
    </row>
    <row r="1763">
      <c r="A1763" s="208"/>
      <c r="B1763" s="208"/>
      <c r="C1763" s="208"/>
      <c r="D1763" s="208"/>
      <c r="E1763" s="208"/>
      <c r="F1763" s="208"/>
      <c r="G1763" s="208"/>
      <c r="H1763" s="232"/>
      <c r="I1763" s="233"/>
      <c r="J1763" s="208"/>
      <c r="K1763" s="208"/>
      <c r="L1763" s="208"/>
      <c r="M1763" s="208"/>
      <c r="N1763" s="208"/>
      <c r="O1763" s="208"/>
      <c r="P1763" s="208"/>
      <c r="Q1763" s="208"/>
      <c r="R1763" s="208"/>
      <c r="S1763" s="208"/>
      <c r="T1763" s="208"/>
      <c r="U1763" s="208"/>
      <c r="V1763" s="234"/>
      <c r="W1763" s="232"/>
      <c r="X1763" s="232"/>
      <c r="Y1763" s="232"/>
      <c r="Z1763" s="232"/>
      <c r="AA1763" s="232"/>
      <c r="AB1763" s="232"/>
      <c r="AC1763" s="232"/>
      <c r="AD1763" s="232"/>
      <c r="AE1763" s="232"/>
      <c r="AF1763" s="232"/>
      <c r="AG1763" s="208"/>
      <c r="AH1763" s="208"/>
      <c r="AI1763" s="208"/>
      <c r="AJ1763" s="208"/>
      <c r="AK1763" s="208"/>
    </row>
    <row r="1764">
      <c r="A1764" s="208"/>
      <c r="B1764" s="208"/>
      <c r="C1764" s="208"/>
      <c r="D1764" s="208"/>
      <c r="E1764" s="208"/>
      <c r="F1764" s="208"/>
      <c r="G1764" s="208"/>
      <c r="H1764" s="232"/>
      <c r="I1764" s="233"/>
      <c r="J1764" s="208"/>
      <c r="K1764" s="208"/>
      <c r="L1764" s="208"/>
      <c r="M1764" s="208"/>
      <c r="N1764" s="208"/>
      <c r="O1764" s="208"/>
      <c r="P1764" s="208"/>
      <c r="Q1764" s="208"/>
      <c r="R1764" s="208"/>
      <c r="S1764" s="208"/>
      <c r="T1764" s="208"/>
      <c r="U1764" s="208"/>
      <c r="V1764" s="234"/>
      <c r="W1764" s="232"/>
      <c r="X1764" s="232"/>
      <c r="Y1764" s="232"/>
      <c r="Z1764" s="232"/>
      <c r="AA1764" s="232"/>
      <c r="AB1764" s="232"/>
      <c r="AC1764" s="232"/>
      <c r="AD1764" s="232"/>
      <c r="AE1764" s="232"/>
      <c r="AF1764" s="232"/>
      <c r="AG1764" s="208"/>
      <c r="AH1764" s="208"/>
      <c r="AI1764" s="208"/>
      <c r="AJ1764" s="208"/>
      <c r="AK1764" s="208"/>
    </row>
    <row r="1765">
      <c r="A1765" s="208"/>
      <c r="B1765" s="208"/>
      <c r="C1765" s="208"/>
      <c r="D1765" s="208"/>
      <c r="E1765" s="208"/>
      <c r="F1765" s="208"/>
      <c r="G1765" s="208"/>
      <c r="H1765" s="232"/>
      <c r="I1765" s="233"/>
      <c r="J1765" s="208"/>
      <c r="K1765" s="208"/>
      <c r="L1765" s="208"/>
      <c r="M1765" s="208"/>
      <c r="N1765" s="208"/>
      <c r="O1765" s="208"/>
      <c r="P1765" s="208"/>
      <c r="Q1765" s="208"/>
      <c r="R1765" s="208"/>
      <c r="S1765" s="208"/>
      <c r="T1765" s="208"/>
      <c r="U1765" s="208"/>
      <c r="V1765" s="234"/>
      <c r="W1765" s="232"/>
      <c r="X1765" s="232"/>
      <c r="Y1765" s="232"/>
      <c r="Z1765" s="232"/>
      <c r="AA1765" s="232"/>
      <c r="AB1765" s="232"/>
      <c r="AC1765" s="232"/>
      <c r="AD1765" s="232"/>
      <c r="AE1765" s="232"/>
      <c r="AF1765" s="232"/>
      <c r="AG1765" s="208"/>
      <c r="AH1765" s="208"/>
      <c r="AI1765" s="208"/>
      <c r="AJ1765" s="208"/>
      <c r="AK1765" s="208"/>
    </row>
    <row r="1766">
      <c r="A1766" s="208"/>
      <c r="B1766" s="208"/>
      <c r="C1766" s="208"/>
      <c r="D1766" s="208"/>
      <c r="E1766" s="208"/>
      <c r="F1766" s="208"/>
      <c r="G1766" s="208"/>
      <c r="H1766" s="232"/>
      <c r="I1766" s="233"/>
      <c r="J1766" s="208"/>
      <c r="K1766" s="208"/>
      <c r="L1766" s="208"/>
      <c r="M1766" s="208"/>
      <c r="N1766" s="208"/>
      <c r="O1766" s="208"/>
      <c r="P1766" s="208"/>
      <c r="Q1766" s="208"/>
      <c r="R1766" s="208"/>
      <c r="S1766" s="208"/>
      <c r="T1766" s="208"/>
      <c r="U1766" s="208"/>
      <c r="V1766" s="234"/>
      <c r="W1766" s="232"/>
      <c r="X1766" s="232"/>
      <c r="Y1766" s="232"/>
      <c r="Z1766" s="232"/>
      <c r="AA1766" s="232"/>
      <c r="AB1766" s="232"/>
      <c r="AC1766" s="232"/>
      <c r="AD1766" s="232"/>
      <c r="AE1766" s="232"/>
      <c r="AF1766" s="232"/>
      <c r="AG1766" s="208"/>
      <c r="AH1766" s="208"/>
      <c r="AI1766" s="208"/>
      <c r="AJ1766" s="208"/>
      <c r="AK1766" s="208"/>
    </row>
    <row r="1767">
      <c r="A1767" s="208"/>
      <c r="B1767" s="208"/>
      <c r="C1767" s="208"/>
      <c r="D1767" s="208"/>
      <c r="E1767" s="208"/>
      <c r="F1767" s="208"/>
      <c r="G1767" s="208"/>
      <c r="H1767" s="232"/>
      <c r="I1767" s="233"/>
      <c r="J1767" s="208"/>
      <c r="K1767" s="208"/>
      <c r="L1767" s="208"/>
      <c r="M1767" s="208"/>
      <c r="N1767" s="208"/>
      <c r="O1767" s="208"/>
      <c r="P1767" s="208"/>
      <c r="Q1767" s="208"/>
      <c r="R1767" s="208"/>
      <c r="S1767" s="208"/>
      <c r="T1767" s="208"/>
      <c r="U1767" s="208"/>
      <c r="V1767" s="234"/>
      <c r="W1767" s="232"/>
      <c r="X1767" s="232"/>
      <c r="Y1767" s="232"/>
      <c r="Z1767" s="232"/>
      <c r="AA1767" s="232"/>
      <c r="AB1767" s="232"/>
      <c r="AC1767" s="232"/>
      <c r="AD1767" s="232"/>
      <c r="AE1767" s="232"/>
      <c r="AF1767" s="232"/>
      <c r="AG1767" s="208"/>
      <c r="AH1767" s="208"/>
      <c r="AI1767" s="208"/>
      <c r="AJ1767" s="208"/>
      <c r="AK1767" s="208"/>
    </row>
    <row r="1768">
      <c r="A1768" s="208"/>
      <c r="B1768" s="208"/>
      <c r="C1768" s="208"/>
      <c r="D1768" s="208"/>
      <c r="E1768" s="208"/>
      <c r="F1768" s="208"/>
      <c r="G1768" s="208"/>
      <c r="H1768" s="232"/>
      <c r="I1768" s="233"/>
      <c r="J1768" s="208"/>
      <c r="K1768" s="208"/>
      <c r="L1768" s="208"/>
      <c r="M1768" s="208"/>
      <c r="N1768" s="208"/>
      <c r="O1768" s="208"/>
      <c r="P1768" s="208"/>
      <c r="Q1768" s="208"/>
      <c r="R1768" s="208"/>
      <c r="S1768" s="208"/>
      <c r="T1768" s="208"/>
      <c r="U1768" s="208"/>
      <c r="V1768" s="234"/>
      <c r="W1768" s="232"/>
      <c r="X1768" s="232"/>
      <c r="Y1768" s="232"/>
      <c r="Z1768" s="232"/>
      <c r="AA1768" s="232"/>
      <c r="AB1768" s="232"/>
      <c r="AC1768" s="232"/>
      <c r="AD1768" s="232"/>
      <c r="AE1768" s="232"/>
      <c r="AF1768" s="232"/>
      <c r="AG1768" s="208"/>
      <c r="AH1768" s="208"/>
      <c r="AI1768" s="208"/>
      <c r="AJ1768" s="208"/>
      <c r="AK1768" s="208"/>
    </row>
    <row r="1769">
      <c r="A1769" s="208"/>
      <c r="B1769" s="208"/>
      <c r="C1769" s="208"/>
      <c r="D1769" s="208"/>
      <c r="E1769" s="208"/>
      <c r="F1769" s="208"/>
      <c r="G1769" s="208"/>
      <c r="H1769" s="232"/>
      <c r="I1769" s="233"/>
      <c r="J1769" s="208"/>
      <c r="K1769" s="208"/>
      <c r="L1769" s="208"/>
      <c r="M1769" s="208"/>
      <c r="N1769" s="208"/>
      <c r="O1769" s="208"/>
      <c r="P1769" s="208"/>
      <c r="Q1769" s="208"/>
      <c r="R1769" s="208"/>
      <c r="S1769" s="208"/>
      <c r="T1769" s="208"/>
      <c r="U1769" s="208"/>
      <c r="V1769" s="234"/>
      <c r="W1769" s="232"/>
      <c r="X1769" s="232"/>
      <c r="Y1769" s="232"/>
      <c r="Z1769" s="232"/>
      <c r="AA1769" s="232"/>
      <c r="AB1769" s="232"/>
      <c r="AC1769" s="232"/>
      <c r="AD1769" s="232"/>
      <c r="AE1769" s="232"/>
      <c r="AF1769" s="232"/>
      <c r="AG1769" s="208"/>
      <c r="AH1769" s="208"/>
      <c r="AI1769" s="208"/>
      <c r="AJ1769" s="208"/>
      <c r="AK1769" s="208"/>
    </row>
    <row r="1770">
      <c r="A1770" s="208"/>
      <c r="B1770" s="208"/>
      <c r="C1770" s="208"/>
      <c r="D1770" s="208"/>
      <c r="E1770" s="208"/>
      <c r="F1770" s="208"/>
      <c r="G1770" s="208"/>
      <c r="H1770" s="232"/>
      <c r="I1770" s="233"/>
      <c r="J1770" s="208"/>
      <c r="K1770" s="208"/>
      <c r="L1770" s="208"/>
      <c r="M1770" s="208"/>
      <c r="N1770" s="208"/>
      <c r="O1770" s="208"/>
      <c r="P1770" s="208"/>
      <c r="Q1770" s="208"/>
      <c r="R1770" s="208"/>
      <c r="S1770" s="208"/>
      <c r="T1770" s="208"/>
      <c r="U1770" s="208"/>
      <c r="V1770" s="234"/>
      <c r="W1770" s="232"/>
      <c r="X1770" s="232"/>
      <c r="Y1770" s="232"/>
      <c r="Z1770" s="232"/>
      <c r="AA1770" s="232"/>
      <c r="AB1770" s="232"/>
      <c r="AC1770" s="232"/>
      <c r="AD1770" s="232"/>
      <c r="AE1770" s="232"/>
      <c r="AF1770" s="232"/>
      <c r="AG1770" s="208"/>
      <c r="AH1770" s="208"/>
      <c r="AI1770" s="208"/>
      <c r="AJ1770" s="208"/>
      <c r="AK1770" s="208"/>
    </row>
    <row r="1771">
      <c r="A1771" s="208"/>
      <c r="B1771" s="208"/>
      <c r="C1771" s="208"/>
      <c r="D1771" s="208"/>
      <c r="E1771" s="208"/>
      <c r="F1771" s="208"/>
      <c r="G1771" s="208"/>
      <c r="H1771" s="232"/>
      <c r="I1771" s="233"/>
      <c r="J1771" s="208"/>
      <c r="K1771" s="208"/>
      <c r="L1771" s="208"/>
      <c r="M1771" s="208"/>
      <c r="N1771" s="208"/>
      <c r="O1771" s="208"/>
      <c r="P1771" s="208"/>
      <c r="Q1771" s="208"/>
      <c r="R1771" s="208"/>
      <c r="S1771" s="208"/>
      <c r="T1771" s="208"/>
      <c r="U1771" s="208"/>
      <c r="V1771" s="234"/>
      <c r="W1771" s="232"/>
      <c r="X1771" s="232"/>
      <c r="Y1771" s="232"/>
      <c r="Z1771" s="232"/>
      <c r="AA1771" s="232"/>
      <c r="AB1771" s="232"/>
      <c r="AC1771" s="232"/>
      <c r="AD1771" s="232"/>
      <c r="AE1771" s="232"/>
      <c r="AF1771" s="232"/>
      <c r="AG1771" s="208"/>
      <c r="AH1771" s="208"/>
      <c r="AI1771" s="208"/>
      <c r="AJ1771" s="208"/>
      <c r="AK1771" s="208"/>
    </row>
    <row r="1772">
      <c r="A1772" s="208"/>
      <c r="B1772" s="208"/>
      <c r="C1772" s="208"/>
      <c r="D1772" s="208"/>
      <c r="E1772" s="208"/>
      <c r="F1772" s="208"/>
      <c r="G1772" s="208"/>
      <c r="H1772" s="232"/>
      <c r="I1772" s="233"/>
      <c r="J1772" s="208"/>
      <c r="K1772" s="208"/>
      <c r="L1772" s="208"/>
      <c r="M1772" s="208"/>
      <c r="N1772" s="208"/>
      <c r="O1772" s="208"/>
      <c r="P1772" s="208"/>
      <c r="Q1772" s="208"/>
      <c r="R1772" s="208"/>
      <c r="S1772" s="208"/>
      <c r="T1772" s="208"/>
      <c r="U1772" s="208"/>
      <c r="V1772" s="234"/>
      <c r="W1772" s="232"/>
      <c r="X1772" s="232"/>
      <c r="Y1772" s="232"/>
      <c r="Z1772" s="232"/>
      <c r="AA1772" s="232"/>
      <c r="AB1772" s="232"/>
      <c r="AC1772" s="232"/>
      <c r="AD1772" s="232"/>
      <c r="AE1772" s="232"/>
      <c r="AF1772" s="232"/>
      <c r="AG1772" s="208"/>
      <c r="AH1772" s="208"/>
      <c r="AI1772" s="208"/>
      <c r="AJ1772" s="208"/>
      <c r="AK1772" s="208"/>
    </row>
    <row r="1773">
      <c r="A1773" s="208"/>
      <c r="B1773" s="208"/>
      <c r="C1773" s="208"/>
      <c r="D1773" s="208"/>
      <c r="E1773" s="208"/>
      <c r="F1773" s="208"/>
      <c r="G1773" s="208"/>
      <c r="H1773" s="232"/>
      <c r="I1773" s="233"/>
      <c r="J1773" s="208"/>
      <c r="K1773" s="208"/>
      <c r="L1773" s="208"/>
      <c r="M1773" s="208"/>
      <c r="N1773" s="208"/>
      <c r="O1773" s="208"/>
      <c r="P1773" s="208"/>
      <c r="Q1773" s="208"/>
      <c r="R1773" s="208"/>
      <c r="S1773" s="208"/>
      <c r="T1773" s="208"/>
      <c r="U1773" s="208"/>
      <c r="V1773" s="234"/>
      <c r="W1773" s="232"/>
      <c r="X1773" s="232"/>
      <c r="Y1773" s="232"/>
      <c r="Z1773" s="232"/>
      <c r="AA1773" s="232"/>
      <c r="AB1773" s="232"/>
      <c r="AC1773" s="232"/>
      <c r="AD1773" s="232"/>
      <c r="AE1773" s="232"/>
      <c r="AF1773" s="232"/>
      <c r="AG1773" s="208"/>
      <c r="AH1773" s="208"/>
      <c r="AI1773" s="208"/>
      <c r="AJ1773" s="208"/>
      <c r="AK1773" s="208"/>
    </row>
    <row r="1774">
      <c r="A1774" s="208"/>
      <c r="B1774" s="208"/>
      <c r="C1774" s="208"/>
      <c r="D1774" s="208"/>
      <c r="E1774" s="208"/>
      <c r="F1774" s="208"/>
      <c r="G1774" s="208"/>
      <c r="H1774" s="232"/>
      <c r="I1774" s="233"/>
      <c r="J1774" s="208"/>
      <c r="K1774" s="208"/>
      <c r="L1774" s="208"/>
      <c r="M1774" s="208"/>
      <c r="N1774" s="208"/>
      <c r="O1774" s="208"/>
      <c r="P1774" s="208"/>
      <c r="Q1774" s="208"/>
      <c r="R1774" s="208"/>
      <c r="S1774" s="208"/>
      <c r="T1774" s="208"/>
      <c r="U1774" s="208"/>
      <c r="V1774" s="234"/>
      <c r="W1774" s="232"/>
      <c r="X1774" s="232"/>
      <c r="Y1774" s="232"/>
      <c r="Z1774" s="232"/>
      <c r="AA1774" s="232"/>
      <c r="AB1774" s="232"/>
      <c r="AC1774" s="232"/>
      <c r="AD1774" s="232"/>
      <c r="AE1774" s="232"/>
      <c r="AF1774" s="232"/>
      <c r="AG1774" s="208"/>
      <c r="AH1774" s="208"/>
      <c r="AI1774" s="208"/>
      <c r="AJ1774" s="208"/>
      <c r="AK1774" s="208"/>
    </row>
    <row r="1775">
      <c r="A1775" s="208"/>
      <c r="B1775" s="208"/>
      <c r="C1775" s="208"/>
      <c r="D1775" s="208"/>
      <c r="E1775" s="208"/>
      <c r="F1775" s="208"/>
      <c r="G1775" s="208"/>
      <c r="H1775" s="232"/>
      <c r="I1775" s="233"/>
      <c r="J1775" s="208"/>
      <c r="K1775" s="208"/>
      <c r="L1775" s="208"/>
      <c r="M1775" s="208"/>
      <c r="N1775" s="208"/>
      <c r="O1775" s="208"/>
      <c r="P1775" s="208"/>
      <c r="Q1775" s="208"/>
      <c r="R1775" s="208"/>
      <c r="S1775" s="208"/>
      <c r="T1775" s="208"/>
      <c r="U1775" s="208"/>
      <c r="V1775" s="234"/>
      <c r="W1775" s="232"/>
      <c r="X1775" s="232"/>
      <c r="Y1775" s="232"/>
      <c r="Z1775" s="232"/>
      <c r="AA1775" s="232"/>
      <c r="AB1775" s="232"/>
      <c r="AC1775" s="232"/>
      <c r="AD1775" s="232"/>
      <c r="AE1775" s="232"/>
      <c r="AF1775" s="232"/>
      <c r="AG1775" s="208"/>
      <c r="AH1775" s="208"/>
      <c r="AI1775" s="208"/>
      <c r="AJ1775" s="208"/>
      <c r="AK1775" s="208"/>
    </row>
    <row r="1776">
      <c r="A1776" s="208"/>
      <c r="B1776" s="208"/>
      <c r="C1776" s="208"/>
      <c r="D1776" s="208"/>
      <c r="E1776" s="208"/>
      <c r="F1776" s="208"/>
      <c r="G1776" s="208"/>
      <c r="H1776" s="232"/>
      <c r="I1776" s="233"/>
      <c r="J1776" s="208"/>
      <c r="K1776" s="208"/>
      <c r="L1776" s="208"/>
      <c r="M1776" s="208"/>
      <c r="N1776" s="208"/>
      <c r="O1776" s="208"/>
      <c r="P1776" s="208"/>
      <c r="Q1776" s="208"/>
      <c r="R1776" s="208"/>
      <c r="S1776" s="208"/>
      <c r="T1776" s="208"/>
      <c r="U1776" s="208"/>
      <c r="V1776" s="234"/>
      <c r="W1776" s="232"/>
      <c r="X1776" s="232"/>
      <c r="Y1776" s="232"/>
      <c r="Z1776" s="232"/>
      <c r="AA1776" s="232"/>
      <c r="AB1776" s="232"/>
      <c r="AC1776" s="232"/>
      <c r="AD1776" s="232"/>
      <c r="AE1776" s="232"/>
      <c r="AF1776" s="232"/>
      <c r="AG1776" s="208"/>
      <c r="AH1776" s="208"/>
      <c r="AI1776" s="208"/>
      <c r="AJ1776" s="208"/>
      <c r="AK1776" s="208"/>
    </row>
    <row r="1777">
      <c r="A1777" s="208"/>
      <c r="B1777" s="208"/>
      <c r="C1777" s="208"/>
      <c r="D1777" s="208"/>
      <c r="E1777" s="208"/>
      <c r="F1777" s="208"/>
      <c r="G1777" s="208"/>
      <c r="H1777" s="232"/>
      <c r="I1777" s="233"/>
      <c r="J1777" s="208"/>
      <c r="K1777" s="208"/>
      <c r="L1777" s="208"/>
      <c r="M1777" s="208"/>
      <c r="N1777" s="208"/>
      <c r="O1777" s="208"/>
      <c r="P1777" s="208"/>
      <c r="Q1777" s="208"/>
      <c r="R1777" s="208"/>
      <c r="S1777" s="208"/>
      <c r="T1777" s="208"/>
      <c r="U1777" s="208"/>
      <c r="V1777" s="234"/>
      <c r="W1777" s="232"/>
      <c r="X1777" s="232"/>
      <c r="Y1777" s="232"/>
      <c r="Z1777" s="232"/>
      <c r="AA1777" s="232"/>
      <c r="AB1777" s="232"/>
      <c r="AC1777" s="232"/>
      <c r="AD1777" s="232"/>
      <c r="AE1777" s="232"/>
      <c r="AF1777" s="232"/>
      <c r="AG1777" s="208"/>
      <c r="AH1777" s="208"/>
      <c r="AI1777" s="208"/>
      <c r="AJ1777" s="208"/>
      <c r="AK1777" s="208"/>
    </row>
    <row r="1778">
      <c r="A1778" s="208"/>
      <c r="B1778" s="208"/>
      <c r="C1778" s="208"/>
      <c r="D1778" s="208"/>
      <c r="E1778" s="208"/>
      <c r="F1778" s="208"/>
      <c r="G1778" s="208"/>
      <c r="H1778" s="232"/>
      <c r="I1778" s="233"/>
      <c r="J1778" s="208"/>
      <c r="K1778" s="208"/>
      <c r="L1778" s="208"/>
      <c r="M1778" s="208"/>
      <c r="N1778" s="208"/>
      <c r="O1778" s="208"/>
      <c r="P1778" s="208"/>
      <c r="Q1778" s="208"/>
      <c r="R1778" s="208"/>
      <c r="S1778" s="208"/>
      <c r="T1778" s="208"/>
      <c r="U1778" s="208"/>
      <c r="V1778" s="234"/>
      <c r="W1778" s="232"/>
      <c r="X1778" s="232"/>
      <c r="Y1778" s="232"/>
      <c r="Z1778" s="232"/>
      <c r="AA1778" s="232"/>
      <c r="AB1778" s="232"/>
      <c r="AC1778" s="232"/>
      <c r="AD1778" s="232"/>
      <c r="AE1778" s="232"/>
      <c r="AF1778" s="232"/>
      <c r="AG1778" s="208"/>
      <c r="AH1778" s="208"/>
      <c r="AI1778" s="208"/>
      <c r="AJ1778" s="208"/>
      <c r="AK1778" s="208"/>
    </row>
    <row r="1779">
      <c r="A1779" s="208"/>
      <c r="B1779" s="208"/>
      <c r="C1779" s="208"/>
      <c r="D1779" s="208"/>
      <c r="E1779" s="208"/>
      <c r="F1779" s="208"/>
      <c r="G1779" s="208"/>
      <c r="H1779" s="232"/>
      <c r="I1779" s="233"/>
      <c r="J1779" s="208"/>
      <c r="K1779" s="208"/>
      <c r="L1779" s="208"/>
      <c r="M1779" s="208"/>
      <c r="N1779" s="208"/>
      <c r="O1779" s="208"/>
      <c r="P1779" s="208"/>
      <c r="Q1779" s="208"/>
      <c r="R1779" s="208"/>
      <c r="S1779" s="208"/>
      <c r="T1779" s="208"/>
      <c r="U1779" s="208"/>
      <c r="V1779" s="234"/>
      <c r="W1779" s="232"/>
      <c r="X1779" s="232"/>
      <c r="Y1779" s="232"/>
      <c r="Z1779" s="232"/>
      <c r="AA1779" s="232"/>
      <c r="AB1779" s="232"/>
      <c r="AC1779" s="232"/>
      <c r="AD1779" s="232"/>
      <c r="AE1779" s="232"/>
      <c r="AF1779" s="232"/>
      <c r="AG1779" s="208"/>
      <c r="AH1779" s="208"/>
      <c r="AI1779" s="208"/>
      <c r="AJ1779" s="208"/>
      <c r="AK1779" s="208"/>
    </row>
    <row r="1780">
      <c r="A1780" s="208"/>
      <c r="B1780" s="208"/>
      <c r="C1780" s="208"/>
      <c r="D1780" s="208"/>
      <c r="E1780" s="208"/>
      <c r="F1780" s="208"/>
      <c r="G1780" s="208"/>
      <c r="H1780" s="232"/>
      <c r="I1780" s="233"/>
      <c r="J1780" s="208"/>
      <c r="K1780" s="208"/>
      <c r="L1780" s="208"/>
      <c r="M1780" s="208"/>
      <c r="N1780" s="208"/>
      <c r="O1780" s="208"/>
      <c r="P1780" s="208"/>
      <c r="Q1780" s="208"/>
      <c r="R1780" s="208"/>
      <c r="S1780" s="208"/>
      <c r="T1780" s="208"/>
      <c r="U1780" s="208"/>
      <c r="V1780" s="234"/>
      <c r="W1780" s="232"/>
      <c r="X1780" s="232"/>
      <c r="Y1780" s="232"/>
      <c r="Z1780" s="232"/>
      <c r="AA1780" s="232"/>
      <c r="AB1780" s="232"/>
      <c r="AC1780" s="232"/>
      <c r="AD1780" s="232"/>
      <c r="AE1780" s="232"/>
      <c r="AF1780" s="232"/>
      <c r="AG1780" s="208"/>
      <c r="AH1780" s="208"/>
      <c r="AI1780" s="208"/>
      <c r="AJ1780" s="208"/>
      <c r="AK1780" s="208"/>
    </row>
    <row r="1781">
      <c r="A1781" s="208"/>
      <c r="B1781" s="208"/>
      <c r="C1781" s="208"/>
      <c r="D1781" s="208"/>
      <c r="E1781" s="208"/>
      <c r="F1781" s="208"/>
      <c r="G1781" s="208"/>
      <c r="H1781" s="232"/>
      <c r="I1781" s="233"/>
      <c r="J1781" s="208"/>
      <c r="K1781" s="208"/>
      <c r="L1781" s="208"/>
      <c r="M1781" s="208"/>
      <c r="N1781" s="208"/>
      <c r="O1781" s="208"/>
      <c r="P1781" s="208"/>
      <c r="Q1781" s="208"/>
      <c r="R1781" s="208"/>
      <c r="S1781" s="208"/>
      <c r="T1781" s="208"/>
      <c r="U1781" s="208"/>
      <c r="V1781" s="234"/>
      <c r="W1781" s="232"/>
      <c r="X1781" s="232"/>
      <c r="Y1781" s="232"/>
      <c r="Z1781" s="232"/>
      <c r="AA1781" s="232"/>
      <c r="AB1781" s="232"/>
      <c r="AC1781" s="232"/>
      <c r="AD1781" s="232"/>
      <c r="AE1781" s="232"/>
      <c r="AF1781" s="232"/>
      <c r="AG1781" s="208"/>
      <c r="AH1781" s="208"/>
      <c r="AI1781" s="208"/>
      <c r="AJ1781" s="208"/>
      <c r="AK1781" s="208"/>
    </row>
    <row r="1782">
      <c r="A1782" s="208"/>
      <c r="B1782" s="208"/>
      <c r="C1782" s="208"/>
      <c r="D1782" s="208"/>
      <c r="E1782" s="208"/>
      <c r="F1782" s="208"/>
      <c r="G1782" s="208"/>
      <c r="H1782" s="232"/>
      <c r="I1782" s="233"/>
      <c r="J1782" s="208"/>
      <c r="K1782" s="208"/>
      <c r="L1782" s="208"/>
      <c r="M1782" s="208"/>
      <c r="N1782" s="208"/>
      <c r="O1782" s="208"/>
      <c r="P1782" s="208"/>
      <c r="Q1782" s="208"/>
      <c r="R1782" s="208"/>
      <c r="S1782" s="208"/>
      <c r="T1782" s="208"/>
      <c r="U1782" s="208"/>
      <c r="V1782" s="234"/>
      <c r="W1782" s="232"/>
      <c r="X1782" s="232"/>
      <c r="Y1782" s="232"/>
      <c r="Z1782" s="232"/>
      <c r="AA1782" s="232"/>
      <c r="AB1782" s="232"/>
      <c r="AC1782" s="232"/>
      <c r="AD1782" s="232"/>
      <c r="AE1782" s="232"/>
      <c r="AF1782" s="232"/>
      <c r="AG1782" s="208"/>
      <c r="AH1782" s="208"/>
      <c r="AI1782" s="208"/>
      <c r="AJ1782" s="208"/>
      <c r="AK1782" s="208"/>
    </row>
    <row r="1783">
      <c r="A1783" s="208"/>
      <c r="B1783" s="208"/>
      <c r="C1783" s="208"/>
      <c r="D1783" s="208"/>
      <c r="E1783" s="208"/>
      <c r="F1783" s="208"/>
      <c r="G1783" s="208"/>
      <c r="H1783" s="232"/>
      <c r="I1783" s="233"/>
      <c r="J1783" s="208"/>
      <c r="K1783" s="208"/>
      <c r="L1783" s="208"/>
      <c r="M1783" s="208"/>
      <c r="N1783" s="208"/>
      <c r="O1783" s="208"/>
      <c r="P1783" s="208"/>
      <c r="Q1783" s="208"/>
      <c r="R1783" s="208"/>
      <c r="S1783" s="208"/>
      <c r="T1783" s="208"/>
      <c r="U1783" s="208"/>
      <c r="V1783" s="234"/>
      <c r="W1783" s="232"/>
      <c r="X1783" s="232"/>
      <c r="Y1783" s="232"/>
      <c r="Z1783" s="232"/>
      <c r="AA1783" s="232"/>
      <c r="AB1783" s="232"/>
      <c r="AC1783" s="232"/>
      <c r="AD1783" s="232"/>
      <c r="AE1783" s="232"/>
      <c r="AF1783" s="232"/>
      <c r="AG1783" s="208"/>
      <c r="AH1783" s="208"/>
      <c r="AI1783" s="208"/>
      <c r="AJ1783" s="208"/>
      <c r="AK1783" s="208"/>
    </row>
    <row r="1784">
      <c r="A1784" s="208"/>
      <c r="B1784" s="208"/>
      <c r="C1784" s="208"/>
      <c r="D1784" s="208"/>
      <c r="E1784" s="208"/>
      <c r="F1784" s="208"/>
      <c r="G1784" s="208"/>
      <c r="H1784" s="232"/>
      <c r="I1784" s="233"/>
      <c r="J1784" s="208"/>
      <c r="K1784" s="208"/>
      <c r="L1784" s="208"/>
      <c r="M1784" s="208"/>
      <c r="N1784" s="208"/>
      <c r="O1784" s="208"/>
      <c r="P1784" s="208"/>
      <c r="Q1784" s="208"/>
      <c r="R1784" s="208"/>
      <c r="S1784" s="208"/>
      <c r="T1784" s="208"/>
      <c r="U1784" s="208"/>
      <c r="V1784" s="234"/>
      <c r="W1784" s="232"/>
      <c r="X1784" s="232"/>
      <c r="Y1784" s="232"/>
      <c r="Z1784" s="232"/>
      <c r="AA1784" s="232"/>
      <c r="AB1784" s="232"/>
      <c r="AC1784" s="232"/>
      <c r="AD1784" s="232"/>
      <c r="AE1784" s="232"/>
      <c r="AF1784" s="232"/>
      <c r="AG1784" s="208"/>
      <c r="AH1784" s="208"/>
      <c r="AI1784" s="208"/>
      <c r="AJ1784" s="208"/>
      <c r="AK1784" s="208"/>
    </row>
    <row r="1785">
      <c r="A1785" s="208"/>
      <c r="B1785" s="208"/>
      <c r="C1785" s="208"/>
      <c r="D1785" s="208"/>
      <c r="E1785" s="208"/>
      <c r="F1785" s="208"/>
      <c r="G1785" s="208"/>
      <c r="H1785" s="232"/>
      <c r="I1785" s="233"/>
      <c r="J1785" s="208"/>
      <c r="K1785" s="208"/>
      <c r="L1785" s="208"/>
      <c r="M1785" s="208"/>
      <c r="N1785" s="208"/>
      <c r="O1785" s="208"/>
      <c r="P1785" s="208"/>
      <c r="Q1785" s="208"/>
      <c r="R1785" s="208"/>
      <c r="S1785" s="208"/>
      <c r="T1785" s="208"/>
      <c r="U1785" s="208"/>
      <c r="V1785" s="234"/>
      <c r="W1785" s="232"/>
      <c r="X1785" s="232"/>
      <c r="Y1785" s="232"/>
      <c r="Z1785" s="232"/>
      <c r="AA1785" s="232"/>
      <c r="AB1785" s="232"/>
      <c r="AC1785" s="232"/>
      <c r="AD1785" s="232"/>
      <c r="AE1785" s="232"/>
      <c r="AF1785" s="232"/>
      <c r="AG1785" s="208"/>
      <c r="AH1785" s="208"/>
      <c r="AI1785" s="208"/>
      <c r="AJ1785" s="208"/>
      <c r="AK1785" s="208"/>
    </row>
    <row r="1786">
      <c r="A1786" s="208"/>
      <c r="B1786" s="208"/>
      <c r="C1786" s="208"/>
      <c r="D1786" s="208"/>
      <c r="E1786" s="208"/>
      <c r="F1786" s="208"/>
      <c r="G1786" s="208"/>
      <c r="H1786" s="232"/>
      <c r="I1786" s="233"/>
      <c r="J1786" s="208"/>
      <c r="K1786" s="208"/>
      <c r="L1786" s="208"/>
      <c r="M1786" s="208"/>
      <c r="N1786" s="208"/>
      <c r="O1786" s="208"/>
      <c r="P1786" s="208"/>
      <c r="Q1786" s="208"/>
      <c r="R1786" s="208"/>
      <c r="S1786" s="208"/>
      <c r="T1786" s="208"/>
      <c r="U1786" s="208"/>
      <c r="V1786" s="234"/>
      <c r="W1786" s="232"/>
      <c r="X1786" s="232"/>
      <c r="Y1786" s="232"/>
      <c r="Z1786" s="232"/>
      <c r="AA1786" s="232"/>
      <c r="AB1786" s="232"/>
      <c r="AC1786" s="232"/>
      <c r="AD1786" s="232"/>
      <c r="AE1786" s="232"/>
      <c r="AF1786" s="232"/>
      <c r="AG1786" s="208"/>
      <c r="AH1786" s="208"/>
      <c r="AI1786" s="208"/>
      <c r="AJ1786" s="208"/>
      <c r="AK1786" s="208"/>
    </row>
    <row r="1787">
      <c r="A1787" s="208"/>
      <c r="B1787" s="208"/>
      <c r="C1787" s="208"/>
      <c r="D1787" s="208"/>
      <c r="E1787" s="208"/>
      <c r="F1787" s="208"/>
      <c r="G1787" s="208"/>
      <c r="H1787" s="232"/>
      <c r="I1787" s="233"/>
      <c r="J1787" s="208"/>
      <c r="K1787" s="208"/>
      <c r="L1787" s="208"/>
      <c r="M1787" s="208"/>
      <c r="N1787" s="208"/>
      <c r="O1787" s="208"/>
      <c r="P1787" s="208"/>
      <c r="Q1787" s="208"/>
      <c r="R1787" s="208"/>
      <c r="S1787" s="208"/>
      <c r="T1787" s="208"/>
      <c r="U1787" s="208"/>
      <c r="V1787" s="234"/>
      <c r="W1787" s="232"/>
      <c r="X1787" s="232"/>
      <c r="Y1787" s="232"/>
      <c r="Z1787" s="232"/>
      <c r="AA1787" s="232"/>
      <c r="AB1787" s="232"/>
      <c r="AC1787" s="232"/>
      <c r="AD1787" s="232"/>
      <c r="AE1787" s="232"/>
      <c r="AF1787" s="232"/>
      <c r="AG1787" s="208"/>
      <c r="AH1787" s="208"/>
      <c r="AI1787" s="208"/>
      <c r="AJ1787" s="208"/>
      <c r="AK1787" s="208"/>
    </row>
    <row r="1788">
      <c r="A1788" s="208"/>
      <c r="B1788" s="208"/>
      <c r="C1788" s="208"/>
      <c r="D1788" s="208"/>
      <c r="E1788" s="208"/>
      <c r="F1788" s="208"/>
      <c r="G1788" s="208"/>
      <c r="H1788" s="232"/>
      <c r="I1788" s="233"/>
      <c r="J1788" s="208"/>
      <c r="K1788" s="208"/>
      <c r="L1788" s="208"/>
      <c r="M1788" s="208"/>
      <c r="N1788" s="208"/>
      <c r="O1788" s="208"/>
      <c r="P1788" s="208"/>
      <c r="Q1788" s="208"/>
      <c r="R1788" s="208"/>
      <c r="S1788" s="208"/>
      <c r="T1788" s="208"/>
      <c r="U1788" s="208"/>
      <c r="V1788" s="234"/>
      <c r="W1788" s="232"/>
      <c r="X1788" s="232"/>
      <c r="Y1788" s="232"/>
      <c r="Z1788" s="232"/>
      <c r="AA1788" s="232"/>
      <c r="AB1788" s="232"/>
      <c r="AC1788" s="232"/>
      <c r="AD1788" s="232"/>
      <c r="AE1788" s="232"/>
      <c r="AF1788" s="232"/>
      <c r="AG1788" s="208"/>
      <c r="AH1788" s="208"/>
      <c r="AI1788" s="208"/>
      <c r="AJ1788" s="208"/>
      <c r="AK1788" s="208"/>
    </row>
    <row r="1789">
      <c r="A1789" s="208"/>
      <c r="B1789" s="208"/>
      <c r="C1789" s="208"/>
      <c r="D1789" s="208"/>
      <c r="E1789" s="208"/>
      <c r="F1789" s="208"/>
      <c r="G1789" s="208"/>
      <c r="H1789" s="232"/>
      <c r="I1789" s="233"/>
      <c r="J1789" s="208"/>
      <c r="K1789" s="208"/>
      <c r="L1789" s="208"/>
      <c r="M1789" s="208"/>
      <c r="N1789" s="208"/>
      <c r="O1789" s="208"/>
      <c r="P1789" s="208"/>
      <c r="Q1789" s="208"/>
      <c r="R1789" s="208"/>
      <c r="S1789" s="208"/>
      <c r="T1789" s="208"/>
      <c r="U1789" s="208"/>
      <c r="V1789" s="234"/>
      <c r="W1789" s="232"/>
      <c r="X1789" s="232"/>
      <c r="Y1789" s="232"/>
      <c r="Z1789" s="232"/>
      <c r="AA1789" s="232"/>
      <c r="AB1789" s="232"/>
      <c r="AC1789" s="232"/>
      <c r="AD1789" s="232"/>
      <c r="AE1789" s="232"/>
      <c r="AF1789" s="232"/>
      <c r="AG1789" s="208"/>
      <c r="AH1789" s="208"/>
      <c r="AI1789" s="208"/>
      <c r="AJ1789" s="208"/>
      <c r="AK1789" s="208"/>
    </row>
    <row r="1790">
      <c r="A1790" s="208"/>
      <c r="B1790" s="208"/>
      <c r="C1790" s="208"/>
      <c r="D1790" s="208"/>
      <c r="E1790" s="208"/>
      <c r="F1790" s="208"/>
      <c r="G1790" s="208"/>
      <c r="H1790" s="232"/>
      <c r="I1790" s="233"/>
      <c r="J1790" s="208"/>
      <c r="K1790" s="208"/>
      <c r="L1790" s="208"/>
      <c r="M1790" s="208"/>
      <c r="N1790" s="208"/>
      <c r="O1790" s="208"/>
      <c r="P1790" s="208"/>
      <c r="Q1790" s="208"/>
      <c r="R1790" s="208"/>
      <c r="S1790" s="208"/>
      <c r="T1790" s="208"/>
      <c r="U1790" s="208"/>
      <c r="V1790" s="234"/>
      <c r="W1790" s="232"/>
      <c r="X1790" s="232"/>
      <c r="Y1790" s="232"/>
      <c r="Z1790" s="232"/>
      <c r="AA1790" s="232"/>
      <c r="AB1790" s="232"/>
      <c r="AC1790" s="232"/>
      <c r="AD1790" s="232"/>
      <c r="AE1790" s="232"/>
      <c r="AF1790" s="232"/>
      <c r="AG1790" s="208"/>
      <c r="AH1790" s="208"/>
      <c r="AI1790" s="208"/>
      <c r="AJ1790" s="208"/>
      <c r="AK1790" s="208"/>
    </row>
    <row r="1791">
      <c r="A1791" s="208"/>
      <c r="B1791" s="208"/>
      <c r="C1791" s="208"/>
      <c r="D1791" s="208"/>
      <c r="E1791" s="208"/>
      <c r="F1791" s="208"/>
      <c r="G1791" s="208"/>
      <c r="H1791" s="232"/>
      <c r="I1791" s="233"/>
      <c r="J1791" s="208"/>
      <c r="K1791" s="208"/>
      <c r="L1791" s="208"/>
      <c r="M1791" s="208"/>
      <c r="N1791" s="208"/>
      <c r="O1791" s="208"/>
      <c r="P1791" s="208"/>
      <c r="Q1791" s="208"/>
      <c r="R1791" s="208"/>
      <c r="S1791" s="208"/>
      <c r="T1791" s="208"/>
      <c r="U1791" s="208"/>
      <c r="V1791" s="234"/>
      <c r="W1791" s="232"/>
      <c r="X1791" s="232"/>
      <c r="Y1791" s="232"/>
      <c r="Z1791" s="232"/>
      <c r="AA1791" s="232"/>
      <c r="AB1791" s="232"/>
      <c r="AC1791" s="232"/>
      <c r="AD1791" s="232"/>
      <c r="AE1791" s="232"/>
      <c r="AF1791" s="232"/>
      <c r="AG1791" s="208"/>
      <c r="AH1791" s="208"/>
      <c r="AI1791" s="208"/>
      <c r="AJ1791" s="208"/>
      <c r="AK1791" s="208"/>
    </row>
    <row r="1792">
      <c r="A1792" s="208"/>
      <c r="B1792" s="208"/>
      <c r="C1792" s="208"/>
      <c r="D1792" s="208"/>
      <c r="E1792" s="208"/>
      <c r="F1792" s="208"/>
      <c r="G1792" s="208"/>
      <c r="H1792" s="232"/>
      <c r="I1792" s="233"/>
      <c r="J1792" s="208"/>
      <c r="K1792" s="208"/>
      <c r="L1792" s="208"/>
      <c r="M1792" s="208"/>
      <c r="N1792" s="208"/>
      <c r="O1792" s="208"/>
      <c r="P1792" s="208"/>
      <c r="Q1792" s="208"/>
      <c r="R1792" s="208"/>
      <c r="S1792" s="208"/>
      <c r="T1792" s="208"/>
      <c r="U1792" s="208"/>
      <c r="V1792" s="234"/>
      <c r="W1792" s="232"/>
      <c r="X1792" s="232"/>
      <c r="Y1792" s="232"/>
      <c r="Z1792" s="232"/>
      <c r="AA1792" s="232"/>
      <c r="AB1792" s="232"/>
      <c r="AC1792" s="232"/>
      <c r="AD1792" s="232"/>
      <c r="AE1792" s="232"/>
      <c r="AF1792" s="232"/>
      <c r="AG1792" s="208"/>
      <c r="AH1792" s="208"/>
      <c r="AI1792" s="208"/>
      <c r="AJ1792" s="208"/>
      <c r="AK1792" s="208"/>
    </row>
    <row r="1793">
      <c r="A1793" s="208"/>
      <c r="B1793" s="208"/>
      <c r="C1793" s="208"/>
      <c r="D1793" s="208"/>
      <c r="E1793" s="208"/>
      <c r="F1793" s="208"/>
      <c r="G1793" s="208"/>
      <c r="H1793" s="232"/>
      <c r="I1793" s="233"/>
      <c r="J1793" s="208"/>
      <c r="K1793" s="208"/>
      <c r="L1793" s="208"/>
      <c r="M1793" s="208"/>
      <c r="N1793" s="208"/>
      <c r="O1793" s="208"/>
      <c r="P1793" s="208"/>
      <c r="Q1793" s="208"/>
      <c r="R1793" s="208"/>
      <c r="S1793" s="208"/>
      <c r="T1793" s="208"/>
      <c r="U1793" s="208"/>
      <c r="V1793" s="234"/>
      <c r="W1793" s="232"/>
      <c r="X1793" s="232"/>
      <c r="Y1793" s="232"/>
      <c r="Z1793" s="232"/>
      <c r="AA1793" s="232"/>
      <c r="AB1793" s="232"/>
      <c r="AC1793" s="232"/>
      <c r="AD1793" s="232"/>
      <c r="AE1793" s="232"/>
      <c r="AF1793" s="232"/>
      <c r="AG1793" s="208"/>
      <c r="AH1793" s="208"/>
      <c r="AI1793" s="208"/>
      <c r="AJ1793" s="208"/>
      <c r="AK1793" s="208"/>
    </row>
    <row r="1794">
      <c r="A1794" s="208"/>
      <c r="B1794" s="208"/>
      <c r="C1794" s="208"/>
      <c r="D1794" s="208"/>
      <c r="E1794" s="208"/>
      <c r="F1794" s="208"/>
      <c r="G1794" s="208"/>
      <c r="H1794" s="232"/>
      <c r="I1794" s="233"/>
      <c r="J1794" s="208"/>
      <c r="K1794" s="208"/>
      <c r="L1794" s="208"/>
      <c r="M1794" s="208"/>
      <c r="N1794" s="208"/>
      <c r="O1794" s="208"/>
      <c r="P1794" s="208"/>
      <c r="Q1794" s="208"/>
      <c r="R1794" s="208"/>
      <c r="S1794" s="208"/>
      <c r="T1794" s="208"/>
      <c r="U1794" s="208"/>
      <c r="V1794" s="234"/>
      <c r="W1794" s="232"/>
      <c r="X1794" s="232"/>
      <c r="Y1794" s="232"/>
      <c r="Z1794" s="232"/>
      <c r="AA1794" s="232"/>
      <c r="AB1794" s="232"/>
      <c r="AC1794" s="232"/>
      <c r="AD1794" s="232"/>
      <c r="AE1794" s="232"/>
      <c r="AF1794" s="232"/>
      <c r="AG1794" s="208"/>
      <c r="AH1794" s="208"/>
      <c r="AI1794" s="208"/>
      <c r="AJ1794" s="208"/>
      <c r="AK1794" s="208"/>
    </row>
    <row r="1795">
      <c r="A1795" s="208"/>
      <c r="B1795" s="208"/>
      <c r="C1795" s="208"/>
      <c r="D1795" s="208"/>
      <c r="E1795" s="208"/>
      <c r="F1795" s="208"/>
      <c r="G1795" s="208"/>
      <c r="H1795" s="232"/>
      <c r="I1795" s="233"/>
      <c r="J1795" s="208"/>
      <c r="K1795" s="208"/>
      <c r="L1795" s="208"/>
      <c r="M1795" s="208"/>
      <c r="N1795" s="208"/>
      <c r="O1795" s="208"/>
      <c r="P1795" s="208"/>
      <c r="Q1795" s="208"/>
      <c r="R1795" s="208"/>
      <c r="S1795" s="208"/>
      <c r="T1795" s="208"/>
      <c r="U1795" s="208"/>
      <c r="V1795" s="234"/>
      <c r="W1795" s="232"/>
      <c r="X1795" s="232"/>
      <c r="Y1795" s="232"/>
      <c r="Z1795" s="232"/>
      <c r="AA1795" s="232"/>
      <c r="AB1795" s="232"/>
      <c r="AC1795" s="232"/>
      <c r="AD1795" s="232"/>
      <c r="AE1795" s="232"/>
      <c r="AF1795" s="232"/>
      <c r="AG1795" s="208"/>
      <c r="AH1795" s="208"/>
      <c r="AI1795" s="208"/>
      <c r="AJ1795" s="208"/>
      <c r="AK1795" s="208"/>
    </row>
    <row r="1796">
      <c r="A1796" s="208"/>
      <c r="B1796" s="208"/>
      <c r="C1796" s="208"/>
      <c r="D1796" s="208"/>
      <c r="E1796" s="208"/>
      <c r="F1796" s="208"/>
      <c r="G1796" s="208"/>
      <c r="H1796" s="232"/>
      <c r="I1796" s="233"/>
      <c r="J1796" s="208"/>
      <c r="K1796" s="208"/>
      <c r="L1796" s="208"/>
      <c r="M1796" s="208"/>
      <c r="N1796" s="208"/>
      <c r="O1796" s="208"/>
      <c r="P1796" s="208"/>
      <c r="Q1796" s="208"/>
      <c r="R1796" s="208"/>
      <c r="S1796" s="208"/>
      <c r="T1796" s="208"/>
      <c r="U1796" s="208"/>
      <c r="V1796" s="234"/>
      <c r="W1796" s="232"/>
      <c r="X1796" s="232"/>
      <c r="Y1796" s="232"/>
      <c r="Z1796" s="232"/>
      <c r="AA1796" s="232"/>
      <c r="AB1796" s="232"/>
      <c r="AC1796" s="232"/>
      <c r="AD1796" s="232"/>
      <c r="AE1796" s="232"/>
      <c r="AF1796" s="232"/>
      <c r="AG1796" s="208"/>
      <c r="AH1796" s="208"/>
      <c r="AI1796" s="208"/>
      <c r="AJ1796" s="208"/>
      <c r="AK1796" s="208"/>
    </row>
    <row r="1797">
      <c r="A1797" s="208"/>
      <c r="B1797" s="208"/>
      <c r="C1797" s="208"/>
      <c r="D1797" s="208"/>
      <c r="E1797" s="208"/>
      <c r="F1797" s="208"/>
      <c r="G1797" s="208"/>
      <c r="H1797" s="232"/>
      <c r="I1797" s="233"/>
      <c r="J1797" s="208"/>
      <c r="K1797" s="208"/>
      <c r="L1797" s="208"/>
      <c r="M1797" s="208"/>
      <c r="N1797" s="208"/>
      <c r="O1797" s="208"/>
      <c r="P1797" s="208"/>
      <c r="Q1797" s="208"/>
      <c r="R1797" s="208"/>
      <c r="S1797" s="208"/>
      <c r="T1797" s="208"/>
      <c r="U1797" s="208"/>
      <c r="V1797" s="234"/>
      <c r="W1797" s="232"/>
      <c r="X1797" s="232"/>
      <c r="Y1797" s="232"/>
      <c r="Z1797" s="232"/>
      <c r="AA1797" s="232"/>
      <c r="AB1797" s="232"/>
      <c r="AC1797" s="232"/>
      <c r="AD1797" s="232"/>
      <c r="AE1797" s="232"/>
      <c r="AF1797" s="232"/>
      <c r="AG1797" s="208"/>
      <c r="AH1797" s="208"/>
      <c r="AI1797" s="208"/>
      <c r="AJ1797" s="208"/>
      <c r="AK1797" s="208"/>
    </row>
    <row r="1798">
      <c r="A1798" s="208"/>
      <c r="B1798" s="208"/>
      <c r="C1798" s="208"/>
      <c r="D1798" s="208"/>
      <c r="E1798" s="208"/>
      <c r="F1798" s="208"/>
      <c r="G1798" s="208"/>
      <c r="H1798" s="232"/>
      <c r="I1798" s="233"/>
      <c r="J1798" s="208"/>
      <c r="K1798" s="208"/>
      <c r="L1798" s="208"/>
      <c r="M1798" s="208"/>
      <c r="N1798" s="208"/>
      <c r="O1798" s="208"/>
      <c r="P1798" s="208"/>
      <c r="Q1798" s="208"/>
      <c r="R1798" s="208"/>
      <c r="S1798" s="208"/>
      <c r="T1798" s="208"/>
      <c r="U1798" s="208"/>
      <c r="V1798" s="234"/>
      <c r="W1798" s="232"/>
      <c r="X1798" s="232"/>
      <c r="Y1798" s="232"/>
      <c r="Z1798" s="232"/>
      <c r="AA1798" s="232"/>
      <c r="AB1798" s="232"/>
      <c r="AC1798" s="232"/>
      <c r="AD1798" s="232"/>
      <c r="AE1798" s="232"/>
      <c r="AF1798" s="232"/>
      <c r="AG1798" s="208"/>
      <c r="AH1798" s="208"/>
      <c r="AI1798" s="208"/>
      <c r="AJ1798" s="208"/>
      <c r="AK1798" s="208"/>
    </row>
    <row r="1799">
      <c r="A1799" s="208"/>
      <c r="B1799" s="208"/>
      <c r="C1799" s="208"/>
      <c r="D1799" s="208"/>
      <c r="E1799" s="208"/>
      <c r="F1799" s="208"/>
      <c r="G1799" s="208"/>
      <c r="H1799" s="232"/>
      <c r="I1799" s="233"/>
      <c r="J1799" s="208"/>
      <c r="K1799" s="208"/>
      <c r="L1799" s="208"/>
      <c r="M1799" s="208"/>
      <c r="N1799" s="208"/>
      <c r="O1799" s="208"/>
      <c r="P1799" s="208"/>
      <c r="Q1799" s="208"/>
      <c r="R1799" s="208"/>
      <c r="S1799" s="208"/>
      <c r="T1799" s="208"/>
      <c r="U1799" s="208"/>
      <c r="V1799" s="234"/>
      <c r="W1799" s="232"/>
      <c r="X1799" s="232"/>
      <c r="Y1799" s="232"/>
      <c r="Z1799" s="232"/>
      <c r="AA1799" s="232"/>
      <c r="AB1799" s="232"/>
      <c r="AC1799" s="232"/>
      <c r="AD1799" s="232"/>
      <c r="AE1799" s="232"/>
      <c r="AF1799" s="232"/>
      <c r="AG1799" s="208"/>
      <c r="AH1799" s="208"/>
      <c r="AI1799" s="208"/>
      <c r="AJ1799" s="208"/>
      <c r="AK1799" s="208"/>
    </row>
    <row r="1800">
      <c r="A1800" s="208"/>
      <c r="B1800" s="208"/>
      <c r="C1800" s="208"/>
      <c r="D1800" s="208"/>
      <c r="E1800" s="208"/>
      <c r="F1800" s="208"/>
      <c r="G1800" s="208"/>
      <c r="H1800" s="232"/>
      <c r="I1800" s="233"/>
      <c r="J1800" s="208"/>
      <c r="K1800" s="208"/>
      <c r="L1800" s="208"/>
      <c r="M1800" s="208"/>
      <c r="N1800" s="208"/>
      <c r="O1800" s="208"/>
      <c r="P1800" s="208"/>
      <c r="Q1800" s="208"/>
      <c r="R1800" s="208"/>
      <c r="S1800" s="208"/>
      <c r="T1800" s="208"/>
      <c r="U1800" s="208"/>
      <c r="V1800" s="234"/>
      <c r="W1800" s="232"/>
      <c r="X1800" s="232"/>
      <c r="Y1800" s="232"/>
      <c r="Z1800" s="232"/>
      <c r="AA1800" s="232"/>
      <c r="AB1800" s="232"/>
      <c r="AC1800" s="232"/>
      <c r="AD1800" s="232"/>
      <c r="AE1800" s="232"/>
      <c r="AF1800" s="232"/>
      <c r="AG1800" s="208"/>
      <c r="AH1800" s="208"/>
      <c r="AI1800" s="208"/>
      <c r="AJ1800" s="208"/>
      <c r="AK1800" s="208"/>
    </row>
    <row r="1801">
      <c r="A1801" s="208"/>
      <c r="B1801" s="208"/>
      <c r="C1801" s="208"/>
      <c r="D1801" s="208"/>
      <c r="E1801" s="208"/>
      <c r="F1801" s="208"/>
      <c r="G1801" s="208"/>
      <c r="H1801" s="232"/>
      <c r="I1801" s="233"/>
      <c r="J1801" s="208"/>
      <c r="K1801" s="208"/>
      <c r="L1801" s="208"/>
      <c r="M1801" s="208"/>
      <c r="N1801" s="208"/>
      <c r="O1801" s="208"/>
      <c r="P1801" s="208"/>
      <c r="Q1801" s="208"/>
      <c r="R1801" s="208"/>
      <c r="S1801" s="208"/>
      <c r="T1801" s="208"/>
      <c r="U1801" s="208"/>
      <c r="V1801" s="234"/>
      <c r="W1801" s="232"/>
      <c r="X1801" s="232"/>
      <c r="Y1801" s="232"/>
      <c r="Z1801" s="232"/>
      <c r="AA1801" s="232"/>
      <c r="AB1801" s="232"/>
      <c r="AC1801" s="232"/>
      <c r="AD1801" s="232"/>
      <c r="AE1801" s="232"/>
      <c r="AF1801" s="232"/>
      <c r="AG1801" s="208"/>
      <c r="AH1801" s="208"/>
      <c r="AI1801" s="208"/>
      <c r="AJ1801" s="208"/>
      <c r="AK1801" s="208"/>
    </row>
    <row r="1802">
      <c r="A1802" s="208"/>
      <c r="B1802" s="208"/>
      <c r="C1802" s="208"/>
      <c r="D1802" s="208"/>
      <c r="E1802" s="208"/>
      <c r="F1802" s="208"/>
      <c r="G1802" s="208"/>
      <c r="H1802" s="232"/>
      <c r="I1802" s="233"/>
      <c r="J1802" s="208"/>
      <c r="K1802" s="208"/>
      <c r="L1802" s="208"/>
      <c r="M1802" s="208"/>
      <c r="N1802" s="208"/>
      <c r="O1802" s="208"/>
      <c r="P1802" s="208"/>
      <c r="Q1802" s="208"/>
      <c r="R1802" s="208"/>
      <c r="S1802" s="208"/>
      <c r="T1802" s="208"/>
      <c r="U1802" s="208"/>
      <c r="V1802" s="234"/>
      <c r="W1802" s="232"/>
      <c r="X1802" s="232"/>
      <c r="Y1802" s="232"/>
      <c r="Z1802" s="232"/>
      <c r="AA1802" s="232"/>
      <c r="AB1802" s="232"/>
      <c r="AC1802" s="232"/>
      <c r="AD1802" s="232"/>
      <c r="AE1802" s="232"/>
      <c r="AF1802" s="232"/>
      <c r="AG1802" s="208"/>
      <c r="AH1802" s="208"/>
      <c r="AI1802" s="208"/>
      <c r="AJ1802" s="208"/>
      <c r="AK1802" s="208"/>
    </row>
    <row r="1803">
      <c r="A1803" s="208"/>
      <c r="B1803" s="208"/>
      <c r="C1803" s="208"/>
      <c r="D1803" s="208"/>
      <c r="E1803" s="208"/>
      <c r="F1803" s="208"/>
      <c r="G1803" s="208"/>
      <c r="H1803" s="232"/>
      <c r="I1803" s="233"/>
      <c r="J1803" s="208"/>
      <c r="K1803" s="208"/>
      <c r="L1803" s="208"/>
      <c r="M1803" s="208"/>
      <c r="N1803" s="208"/>
      <c r="O1803" s="208"/>
      <c r="P1803" s="208"/>
      <c r="Q1803" s="208"/>
      <c r="R1803" s="208"/>
      <c r="S1803" s="208"/>
      <c r="T1803" s="208"/>
      <c r="U1803" s="208"/>
      <c r="V1803" s="234"/>
      <c r="W1803" s="232"/>
      <c r="X1803" s="232"/>
      <c r="Y1803" s="232"/>
      <c r="Z1803" s="232"/>
      <c r="AA1803" s="232"/>
      <c r="AB1803" s="232"/>
      <c r="AC1803" s="232"/>
      <c r="AD1803" s="232"/>
      <c r="AE1803" s="232"/>
      <c r="AF1803" s="232"/>
      <c r="AG1803" s="208"/>
      <c r="AH1803" s="208"/>
      <c r="AI1803" s="208"/>
      <c r="AJ1803" s="208"/>
      <c r="AK1803" s="208"/>
    </row>
    <row r="1804">
      <c r="A1804" s="208"/>
      <c r="B1804" s="208"/>
      <c r="C1804" s="208"/>
      <c r="D1804" s="208"/>
      <c r="E1804" s="208"/>
      <c r="F1804" s="208"/>
      <c r="G1804" s="208"/>
      <c r="H1804" s="232"/>
      <c r="I1804" s="233"/>
      <c r="J1804" s="208"/>
      <c r="K1804" s="208"/>
      <c r="L1804" s="208"/>
      <c r="M1804" s="208"/>
      <c r="N1804" s="208"/>
      <c r="O1804" s="208"/>
      <c r="P1804" s="208"/>
      <c r="Q1804" s="208"/>
      <c r="R1804" s="208"/>
      <c r="S1804" s="208"/>
      <c r="T1804" s="208"/>
      <c r="U1804" s="208"/>
      <c r="V1804" s="234"/>
      <c r="W1804" s="232"/>
      <c r="X1804" s="232"/>
      <c r="Y1804" s="232"/>
      <c r="Z1804" s="232"/>
      <c r="AA1804" s="232"/>
      <c r="AB1804" s="232"/>
      <c r="AC1804" s="232"/>
      <c r="AD1804" s="232"/>
      <c r="AE1804" s="232"/>
      <c r="AF1804" s="232"/>
      <c r="AG1804" s="208"/>
      <c r="AH1804" s="208"/>
      <c r="AI1804" s="208"/>
      <c r="AJ1804" s="208"/>
      <c r="AK1804" s="208"/>
    </row>
    <row r="1805">
      <c r="A1805" s="208"/>
      <c r="B1805" s="208"/>
      <c r="C1805" s="208"/>
      <c r="D1805" s="208"/>
      <c r="E1805" s="208"/>
      <c r="F1805" s="208"/>
      <c r="G1805" s="208"/>
      <c r="H1805" s="232"/>
      <c r="I1805" s="233"/>
      <c r="J1805" s="208"/>
      <c r="K1805" s="208"/>
      <c r="L1805" s="208"/>
      <c r="M1805" s="208"/>
      <c r="N1805" s="208"/>
      <c r="O1805" s="208"/>
      <c r="P1805" s="208"/>
      <c r="Q1805" s="208"/>
      <c r="R1805" s="208"/>
      <c r="S1805" s="208"/>
      <c r="T1805" s="208"/>
      <c r="U1805" s="208"/>
      <c r="V1805" s="234"/>
      <c r="W1805" s="232"/>
      <c r="X1805" s="232"/>
      <c r="Y1805" s="232"/>
      <c r="Z1805" s="232"/>
      <c r="AA1805" s="232"/>
      <c r="AB1805" s="232"/>
      <c r="AC1805" s="232"/>
      <c r="AD1805" s="232"/>
      <c r="AE1805" s="232"/>
      <c r="AF1805" s="232"/>
      <c r="AG1805" s="208"/>
      <c r="AH1805" s="208"/>
      <c r="AI1805" s="208"/>
      <c r="AJ1805" s="208"/>
      <c r="AK1805" s="208"/>
    </row>
    <row r="1806">
      <c r="A1806" s="208"/>
      <c r="B1806" s="208"/>
      <c r="C1806" s="208"/>
      <c r="D1806" s="208"/>
      <c r="E1806" s="208"/>
      <c r="F1806" s="208"/>
      <c r="G1806" s="208"/>
      <c r="H1806" s="232"/>
      <c r="I1806" s="233"/>
      <c r="J1806" s="208"/>
      <c r="K1806" s="208"/>
      <c r="L1806" s="208"/>
      <c r="M1806" s="208"/>
      <c r="N1806" s="208"/>
      <c r="O1806" s="208"/>
      <c r="P1806" s="208"/>
      <c r="Q1806" s="208"/>
      <c r="R1806" s="208"/>
      <c r="S1806" s="208"/>
      <c r="T1806" s="208"/>
      <c r="U1806" s="208"/>
      <c r="V1806" s="234"/>
      <c r="W1806" s="232"/>
      <c r="X1806" s="232"/>
      <c r="Y1806" s="232"/>
      <c r="Z1806" s="232"/>
      <c r="AA1806" s="232"/>
      <c r="AB1806" s="232"/>
      <c r="AC1806" s="232"/>
      <c r="AD1806" s="232"/>
      <c r="AE1806" s="232"/>
      <c r="AF1806" s="232"/>
      <c r="AG1806" s="208"/>
      <c r="AH1806" s="208"/>
      <c r="AI1806" s="208"/>
      <c r="AJ1806" s="208"/>
      <c r="AK1806" s="208"/>
    </row>
    <row r="1807">
      <c r="A1807" s="208"/>
      <c r="B1807" s="208"/>
      <c r="C1807" s="208"/>
      <c r="D1807" s="208"/>
      <c r="E1807" s="208"/>
      <c r="F1807" s="208"/>
      <c r="G1807" s="208"/>
      <c r="H1807" s="232"/>
      <c r="I1807" s="233"/>
      <c r="J1807" s="208"/>
      <c r="K1807" s="208"/>
      <c r="L1807" s="208"/>
      <c r="M1807" s="208"/>
      <c r="N1807" s="208"/>
      <c r="O1807" s="208"/>
      <c r="P1807" s="208"/>
      <c r="Q1807" s="208"/>
      <c r="R1807" s="208"/>
      <c r="S1807" s="208"/>
      <c r="T1807" s="208"/>
      <c r="U1807" s="208"/>
      <c r="V1807" s="234"/>
      <c r="W1807" s="232"/>
      <c r="X1807" s="232"/>
      <c r="Y1807" s="232"/>
      <c r="Z1807" s="232"/>
      <c r="AA1807" s="232"/>
      <c r="AB1807" s="232"/>
      <c r="AC1807" s="232"/>
      <c r="AD1807" s="232"/>
      <c r="AE1807" s="232"/>
      <c r="AF1807" s="232"/>
      <c r="AG1807" s="208"/>
      <c r="AH1807" s="208"/>
      <c r="AI1807" s="208"/>
      <c r="AJ1807" s="208"/>
      <c r="AK1807" s="208"/>
    </row>
    <row r="1808">
      <c r="A1808" s="208"/>
      <c r="B1808" s="208"/>
      <c r="C1808" s="208"/>
      <c r="D1808" s="208"/>
      <c r="E1808" s="208"/>
      <c r="F1808" s="208"/>
      <c r="G1808" s="208"/>
      <c r="H1808" s="232"/>
      <c r="I1808" s="233"/>
      <c r="J1808" s="208"/>
      <c r="K1808" s="208"/>
      <c r="L1808" s="208"/>
      <c r="M1808" s="208"/>
      <c r="N1808" s="208"/>
      <c r="O1808" s="208"/>
      <c r="P1808" s="208"/>
      <c r="Q1808" s="208"/>
      <c r="R1808" s="208"/>
      <c r="S1808" s="208"/>
      <c r="T1808" s="208"/>
      <c r="U1808" s="208"/>
      <c r="V1808" s="234"/>
      <c r="W1808" s="232"/>
      <c r="X1808" s="232"/>
      <c r="Y1808" s="232"/>
      <c r="Z1808" s="232"/>
      <c r="AA1808" s="232"/>
      <c r="AB1808" s="232"/>
      <c r="AC1808" s="232"/>
      <c r="AD1808" s="232"/>
      <c r="AE1808" s="232"/>
      <c r="AF1808" s="232"/>
      <c r="AG1808" s="208"/>
      <c r="AH1808" s="208"/>
      <c r="AI1808" s="208"/>
      <c r="AJ1808" s="208"/>
      <c r="AK1808" s="208"/>
    </row>
    <row r="1809">
      <c r="A1809" s="208"/>
      <c r="B1809" s="208"/>
      <c r="C1809" s="208"/>
      <c r="D1809" s="208"/>
      <c r="E1809" s="208"/>
      <c r="F1809" s="208"/>
      <c r="G1809" s="208"/>
      <c r="H1809" s="232"/>
      <c r="I1809" s="233"/>
      <c r="J1809" s="208"/>
      <c r="K1809" s="208"/>
      <c r="L1809" s="208"/>
      <c r="M1809" s="208"/>
      <c r="N1809" s="208"/>
      <c r="O1809" s="208"/>
      <c r="P1809" s="208"/>
      <c r="Q1809" s="208"/>
      <c r="R1809" s="208"/>
      <c r="S1809" s="208"/>
      <c r="T1809" s="208"/>
      <c r="U1809" s="208"/>
      <c r="V1809" s="234"/>
      <c r="W1809" s="232"/>
      <c r="X1809" s="232"/>
      <c r="Y1809" s="232"/>
      <c r="Z1809" s="232"/>
      <c r="AA1809" s="232"/>
      <c r="AB1809" s="232"/>
      <c r="AC1809" s="232"/>
      <c r="AD1809" s="232"/>
      <c r="AE1809" s="232"/>
      <c r="AF1809" s="232"/>
      <c r="AG1809" s="208"/>
      <c r="AH1809" s="208"/>
      <c r="AI1809" s="208"/>
      <c r="AJ1809" s="208"/>
      <c r="AK1809" s="208"/>
    </row>
    <row r="1810">
      <c r="A1810" s="208"/>
      <c r="B1810" s="208"/>
      <c r="C1810" s="208"/>
      <c r="D1810" s="208"/>
      <c r="E1810" s="208"/>
      <c r="F1810" s="208"/>
      <c r="G1810" s="208"/>
      <c r="H1810" s="232"/>
      <c r="I1810" s="233"/>
      <c r="J1810" s="208"/>
      <c r="K1810" s="208"/>
      <c r="L1810" s="208"/>
      <c r="M1810" s="208"/>
      <c r="N1810" s="208"/>
      <c r="O1810" s="208"/>
      <c r="P1810" s="208"/>
      <c r="Q1810" s="208"/>
      <c r="R1810" s="208"/>
      <c r="S1810" s="208"/>
      <c r="T1810" s="208"/>
      <c r="U1810" s="208"/>
      <c r="V1810" s="234"/>
      <c r="W1810" s="232"/>
      <c r="X1810" s="232"/>
      <c r="Y1810" s="232"/>
      <c r="Z1810" s="232"/>
      <c r="AA1810" s="232"/>
      <c r="AB1810" s="232"/>
      <c r="AC1810" s="232"/>
      <c r="AD1810" s="232"/>
      <c r="AE1810" s="232"/>
      <c r="AF1810" s="232"/>
      <c r="AG1810" s="208"/>
      <c r="AH1810" s="208"/>
      <c r="AI1810" s="208"/>
      <c r="AJ1810" s="208"/>
      <c r="AK1810" s="208"/>
    </row>
    <row r="1811">
      <c r="A1811" s="208"/>
      <c r="B1811" s="208"/>
      <c r="C1811" s="208"/>
      <c r="D1811" s="208"/>
      <c r="E1811" s="208"/>
      <c r="F1811" s="208"/>
      <c r="G1811" s="208"/>
      <c r="H1811" s="232"/>
      <c r="I1811" s="233"/>
      <c r="J1811" s="208"/>
      <c r="K1811" s="208"/>
      <c r="L1811" s="208"/>
      <c r="M1811" s="208"/>
      <c r="N1811" s="208"/>
      <c r="O1811" s="208"/>
      <c r="P1811" s="208"/>
      <c r="Q1811" s="208"/>
      <c r="R1811" s="208"/>
      <c r="S1811" s="208"/>
      <c r="T1811" s="208"/>
      <c r="U1811" s="208"/>
      <c r="V1811" s="234"/>
      <c r="W1811" s="232"/>
      <c r="X1811" s="232"/>
      <c r="Y1811" s="232"/>
      <c r="Z1811" s="232"/>
      <c r="AA1811" s="232"/>
      <c r="AB1811" s="232"/>
      <c r="AC1811" s="232"/>
      <c r="AD1811" s="232"/>
      <c r="AE1811" s="232"/>
      <c r="AF1811" s="232"/>
      <c r="AG1811" s="208"/>
      <c r="AH1811" s="208"/>
      <c r="AI1811" s="208"/>
      <c r="AJ1811" s="208"/>
      <c r="AK1811" s="208"/>
    </row>
    <row r="1812">
      <c r="A1812" s="208"/>
      <c r="B1812" s="208"/>
      <c r="C1812" s="208"/>
      <c r="D1812" s="208"/>
      <c r="E1812" s="208"/>
      <c r="F1812" s="208"/>
      <c r="G1812" s="208"/>
      <c r="H1812" s="232"/>
      <c r="I1812" s="233"/>
      <c r="J1812" s="208"/>
      <c r="K1812" s="208"/>
      <c r="L1812" s="208"/>
      <c r="M1812" s="208"/>
      <c r="N1812" s="208"/>
      <c r="O1812" s="208"/>
      <c r="P1812" s="208"/>
      <c r="Q1812" s="208"/>
      <c r="R1812" s="208"/>
      <c r="S1812" s="208"/>
      <c r="T1812" s="208"/>
      <c r="U1812" s="208"/>
      <c r="V1812" s="234"/>
      <c r="W1812" s="232"/>
      <c r="X1812" s="232"/>
      <c r="Y1812" s="232"/>
      <c r="Z1812" s="232"/>
      <c r="AA1812" s="232"/>
      <c r="AB1812" s="232"/>
      <c r="AC1812" s="232"/>
      <c r="AD1812" s="232"/>
      <c r="AE1812" s="232"/>
      <c r="AF1812" s="232"/>
      <c r="AG1812" s="208"/>
      <c r="AH1812" s="208"/>
      <c r="AI1812" s="208"/>
      <c r="AJ1812" s="208"/>
      <c r="AK1812" s="208"/>
    </row>
    <row r="1813">
      <c r="A1813" s="208"/>
      <c r="B1813" s="208"/>
      <c r="C1813" s="208"/>
      <c r="D1813" s="208"/>
      <c r="E1813" s="208"/>
      <c r="F1813" s="208"/>
      <c r="G1813" s="208"/>
      <c r="H1813" s="232"/>
      <c r="I1813" s="233"/>
      <c r="J1813" s="208"/>
      <c r="K1813" s="208"/>
      <c r="L1813" s="208"/>
      <c r="M1813" s="208"/>
      <c r="N1813" s="208"/>
      <c r="O1813" s="208"/>
      <c r="P1813" s="208"/>
      <c r="Q1813" s="208"/>
      <c r="R1813" s="208"/>
      <c r="S1813" s="208"/>
      <c r="T1813" s="208"/>
      <c r="U1813" s="208"/>
      <c r="V1813" s="234"/>
      <c r="W1813" s="232"/>
      <c r="X1813" s="232"/>
      <c r="Y1813" s="232"/>
      <c r="Z1813" s="232"/>
      <c r="AA1813" s="232"/>
      <c r="AB1813" s="232"/>
      <c r="AC1813" s="232"/>
      <c r="AD1813" s="232"/>
      <c r="AE1813" s="232"/>
      <c r="AF1813" s="232"/>
      <c r="AG1813" s="208"/>
      <c r="AH1813" s="208"/>
      <c r="AI1813" s="208"/>
      <c r="AJ1813" s="208"/>
      <c r="AK1813" s="208"/>
    </row>
    <row r="1814">
      <c r="A1814" s="208"/>
      <c r="B1814" s="208"/>
      <c r="C1814" s="208"/>
      <c r="D1814" s="208"/>
      <c r="E1814" s="208"/>
      <c r="F1814" s="208"/>
      <c r="G1814" s="208"/>
      <c r="H1814" s="232"/>
      <c r="I1814" s="233"/>
      <c r="J1814" s="208"/>
      <c r="K1814" s="208"/>
      <c r="L1814" s="208"/>
      <c r="M1814" s="208"/>
      <c r="N1814" s="208"/>
      <c r="O1814" s="208"/>
      <c r="P1814" s="208"/>
      <c r="Q1814" s="208"/>
      <c r="R1814" s="208"/>
      <c r="S1814" s="208"/>
      <c r="T1814" s="208"/>
      <c r="U1814" s="208"/>
      <c r="V1814" s="234"/>
      <c r="W1814" s="232"/>
      <c r="X1814" s="232"/>
      <c r="Y1814" s="232"/>
      <c r="Z1814" s="232"/>
      <c r="AA1814" s="232"/>
      <c r="AB1814" s="232"/>
      <c r="AC1814" s="232"/>
      <c r="AD1814" s="232"/>
      <c r="AE1814" s="232"/>
      <c r="AF1814" s="232"/>
      <c r="AG1814" s="208"/>
      <c r="AH1814" s="208"/>
      <c r="AI1814" s="208"/>
      <c r="AJ1814" s="208"/>
      <c r="AK1814" s="208"/>
    </row>
    <row r="1815">
      <c r="A1815" s="208"/>
      <c r="B1815" s="208"/>
      <c r="C1815" s="208"/>
      <c r="D1815" s="208"/>
      <c r="E1815" s="208"/>
      <c r="F1815" s="208"/>
      <c r="G1815" s="208"/>
      <c r="H1815" s="232"/>
      <c r="I1815" s="233"/>
      <c r="J1815" s="208"/>
      <c r="K1815" s="208"/>
      <c r="L1815" s="208"/>
      <c r="M1815" s="208"/>
      <c r="N1815" s="208"/>
      <c r="O1815" s="208"/>
      <c r="P1815" s="208"/>
      <c r="Q1815" s="208"/>
      <c r="R1815" s="208"/>
      <c r="S1815" s="208"/>
      <c r="T1815" s="208"/>
      <c r="U1815" s="208"/>
      <c r="V1815" s="234"/>
      <c r="W1815" s="232"/>
      <c r="X1815" s="232"/>
      <c r="Y1815" s="232"/>
      <c r="Z1815" s="232"/>
      <c r="AA1815" s="232"/>
      <c r="AB1815" s="232"/>
      <c r="AC1815" s="232"/>
      <c r="AD1815" s="232"/>
      <c r="AE1815" s="232"/>
      <c r="AF1815" s="232"/>
      <c r="AG1815" s="208"/>
      <c r="AH1815" s="208"/>
      <c r="AI1815" s="208"/>
      <c r="AJ1815" s="208"/>
      <c r="AK1815" s="208"/>
    </row>
    <row r="1816">
      <c r="A1816" s="208"/>
      <c r="B1816" s="208"/>
      <c r="C1816" s="208"/>
      <c r="D1816" s="208"/>
      <c r="E1816" s="208"/>
      <c r="F1816" s="208"/>
      <c r="G1816" s="208"/>
      <c r="H1816" s="232"/>
      <c r="I1816" s="233"/>
      <c r="J1816" s="208"/>
      <c r="K1816" s="208"/>
      <c r="L1816" s="208"/>
      <c r="M1816" s="208"/>
      <c r="N1816" s="208"/>
      <c r="O1816" s="208"/>
      <c r="P1816" s="208"/>
      <c r="Q1816" s="208"/>
      <c r="R1816" s="208"/>
      <c r="S1816" s="208"/>
      <c r="T1816" s="208"/>
      <c r="U1816" s="208"/>
      <c r="V1816" s="234"/>
      <c r="W1816" s="232"/>
      <c r="X1816" s="232"/>
      <c r="Y1816" s="232"/>
      <c r="Z1816" s="232"/>
      <c r="AA1816" s="232"/>
      <c r="AB1816" s="232"/>
      <c r="AC1816" s="232"/>
      <c r="AD1816" s="232"/>
      <c r="AE1816" s="232"/>
      <c r="AF1816" s="232"/>
      <c r="AG1816" s="208"/>
      <c r="AH1816" s="208"/>
      <c r="AI1816" s="208"/>
      <c r="AJ1816" s="208"/>
      <c r="AK1816" s="208"/>
    </row>
    <row r="1817">
      <c r="A1817" s="208"/>
      <c r="B1817" s="208"/>
      <c r="C1817" s="208"/>
      <c r="D1817" s="208"/>
      <c r="E1817" s="208"/>
      <c r="F1817" s="208"/>
      <c r="G1817" s="208"/>
      <c r="H1817" s="232"/>
      <c r="I1817" s="233"/>
      <c r="J1817" s="208"/>
      <c r="K1817" s="208"/>
      <c r="L1817" s="208"/>
      <c r="M1817" s="208"/>
      <c r="N1817" s="208"/>
      <c r="O1817" s="208"/>
      <c r="P1817" s="208"/>
      <c r="Q1817" s="208"/>
      <c r="R1817" s="208"/>
      <c r="S1817" s="208"/>
      <c r="T1817" s="208"/>
      <c r="U1817" s="208"/>
      <c r="V1817" s="234"/>
      <c r="W1817" s="232"/>
      <c r="X1817" s="232"/>
      <c r="Y1817" s="232"/>
      <c r="Z1817" s="232"/>
      <c r="AA1817" s="232"/>
      <c r="AB1817" s="232"/>
      <c r="AC1817" s="232"/>
      <c r="AD1817" s="232"/>
      <c r="AE1817" s="232"/>
      <c r="AF1817" s="232"/>
      <c r="AG1817" s="208"/>
      <c r="AH1817" s="208"/>
      <c r="AI1817" s="208"/>
      <c r="AJ1817" s="208"/>
      <c r="AK1817" s="208"/>
    </row>
    <row r="1818">
      <c r="A1818" s="208"/>
      <c r="B1818" s="208"/>
      <c r="C1818" s="208"/>
      <c r="D1818" s="208"/>
      <c r="E1818" s="208"/>
      <c r="F1818" s="208"/>
      <c r="G1818" s="208"/>
      <c r="H1818" s="232"/>
      <c r="I1818" s="233"/>
      <c r="J1818" s="208"/>
      <c r="K1818" s="208"/>
      <c r="L1818" s="208"/>
      <c r="M1818" s="208"/>
      <c r="N1818" s="208"/>
      <c r="O1818" s="208"/>
      <c r="P1818" s="208"/>
      <c r="Q1818" s="208"/>
      <c r="R1818" s="208"/>
      <c r="S1818" s="208"/>
      <c r="T1818" s="208"/>
      <c r="U1818" s="208"/>
      <c r="V1818" s="234"/>
      <c r="W1818" s="232"/>
      <c r="X1818" s="232"/>
      <c r="Y1818" s="232"/>
      <c r="Z1818" s="232"/>
      <c r="AA1818" s="232"/>
      <c r="AB1818" s="232"/>
      <c r="AC1818" s="232"/>
      <c r="AD1818" s="232"/>
      <c r="AE1818" s="232"/>
      <c r="AF1818" s="232"/>
      <c r="AG1818" s="208"/>
      <c r="AH1818" s="208"/>
      <c r="AI1818" s="208"/>
      <c r="AJ1818" s="208"/>
      <c r="AK1818" s="208"/>
    </row>
    <row r="1819">
      <c r="A1819" s="208"/>
      <c r="B1819" s="208"/>
      <c r="C1819" s="208"/>
      <c r="D1819" s="208"/>
      <c r="E1819" s="208"/>
      <c r="F1819" s="208"/>
      <c r="G1819" s="208"/>
      <c r="H1819" s="232"/>
      <c r="I1819" s="233"/>
      <c r="J1819" s="208"/>
      <c r="K1819" s="208"/>
      <c r="L1819" s="208"/>
      <c r="M1819" s="208"/>
      <c r="N1819" s="208"/>
      <c r="O1819" s="208"/>
      <c r="P1819" s="208"/>
      <c r="Q1819" s="208"/>
      <c r="R1819" s="208"/>
      <c r="S1819" s="208"/>
      <c r="T1819" s="208"/>
      <c r="U1819" s="208"/>
      <c r="V1819" s="234"/>
      <c r="W1819" s="232"/>
      <c r="X1819" s="232"/>
      <c r="Y1819" s="232"/>
      <c r="Z1819" s="232"/>
      <c r="AA1819" s="232"/>
      <c r="AB1819" s="232"/>
      <c r="AC1819" s="232"/>
      <c r="AD1819" s="232"/>
      <c r="AE1819" s="232"/>
      <c r="AF1819" s="232"/>
      <c r="AG1819" s="208"/>
      <c r="AH1819" s="208"/>
      <c r="AI1819" s="208"/>
      <c r="AJ1819" s="208"/>
      <c r="AK1819" s="208"/>
    </row>
    <row r="1820">
      <c r="A1820" s="208"/>
      <c r="B1820" s="208"/>
      <c r="C1820" s="208"/>
      <c r="D1820" s="208"/>
      <c r="E1820" s="208"/>
      <c r="F1820" s="208"/>
      <c r="G1820" s="208"/>
      <c r="H1820" s="232"/>
      <c r="I1820" s="233"/>
      <c r="J1820" s="208"/>
      <c r="K1820" s="208"/>
      <c r="L1820" s="208"/>
      <c r="M1820" s="208"/>
      <c r="N1820" s="208"/>
      <c r="O1820" s="208"/>
      <c r="P1820" s="208"/>
      <c r="Q1820" s="208"/>
      <c r="R1820" s="208"/>
      <c r="S1820" s="208"/>
      <c r="T1820" s="208"/>
      <c r="U1820" s="208"/>
      <c r="V1820" s="234"/>
      <c r="W1820" s="232"/>
      <c r="X1820" s="232"/>
      <c r="Y1820" s="232"/>
      <c r="Z1820" s="232"/>
      <c r="AA1820" s="232"/>
      <c r="AB1820" s="232"/>
      <c r="AC1820" s="232"/>
      <c r="AD1820" s="232"/>
      <c r="AE1820" s="232"/>
      <c r="AF1820" s="232"/>
      <c r="AG1820" s="208"/>
      <c r="AH1820" s="208"/>
      <c r="AI1820" s="208"/>
      <c r="AJ1820" s="208"/>
      <c r="AK1820" s="208"/>
    </row>
    <row r="1821">
      <c r="A1821" s="208"/>
      <c r="B1821" s="208"/>
      <c r="C1821" s="208"/>
      <c r="D1821" s="208"/>
      <c r="E1821" s="208"/>
      <c r="F1821" s="208"/>
      <c r="G1821" s="208"/>
      <c r="H1821" s="232"/>
      <c r="I1821" s="233"/>
      <c r="J1821" s="208"/>
      <c r="K1821" s="208"/>
      <c r="L1821" s="208"/>
      <c r="M1821" s="208"/>
      <c r="N1821" s="208"/>
      <c r="O1821" s="208"/>
      <c r="P1821" s="208"/>
      <c r="Q1821" s="208"/>
      <c r="R1821" s="208"/>
      <c r="S1821" s="208"/>
      <c r="T1821" s="208"/>
      <c r="U1821" s="208"/>
      <c r="V1821" s="234"/>
      <c r="W1821" s="232"/>
      <c r="X1821" s="232"/>
      <c r="Y1821" s="232"/>
      <c r="Z1821" s="232"/>
      <c r="AA1821" s="232"/>
      <c r="AB1821" s="232"/>
      <c r="AC1821" s="232"/>
      <c r="AD1821" s="232"/>
      <c r="AE1821" s="232"/>
      <c r="AF1821" s="232"/>
      <c r="AG1821" s="208"/>
      <c r="AH1821" s="208"/>
      <c r="AI1821" s="208"/>
      <c r="AJ1821" s="208"/>
      <c r="AK1821" s="208"/>
    </row>
    <row r="1822">
      <c r="A1822" s="208"/>
      <c r="B1822" s="208"/>
      <c r="C1822" s="208"/>
      <c r="D1822" s="208"/>
      <c r="E1822" s="208"/>
      <c r="F1822" s="208"/>
      <c r="G1822" s="208"/>
      <c r="H1822" s="232"/>
      <c r="I1822" s="233"/>
      <c r="J1822" s="208"/>
      <c r="K1822" s="208"/>
      <c r="L1822" s="208"/>
      <c r="M1822" s="208"/>
      <c r="N1822" s="208"/>
      <c r="O1822" s="208"/>
      <c r="P1822" s="208"/>
      <c r="Q1822" s="208"/>
      <c r="R1822" s="208"/>
      <c r="S1822" s="208"/>
      <c r="T1822" s="208"/>
      <c r="U1822" s="208"/>
      <c r="V1822" s="234"/>
      <c r="W1822" s="232"/>
      <c r="X1822" s="232"/>
      <c r="Y1822" s="232"/>
      <c r="Z1822" s="232"/>
      <c r="AA1822" s="232"/>
      <c r="AB1822" s="232"/>
      <c r="AC1822" s="232"/>
      <c r="AD1822" s="232"/>
      <c r="AE1822" s="232"/>
      <c r="AF1822" s="232"/>
      <c r="AG1822" s="208"/>
      <c r="AH1822" s="208"/>
      <c r="AI1822" s="208"/>
      <c r="AJ1822" s="208"/>
      <c r="AK1822" s="208"/>
    </row>
    <row r="1823">
      <c r="A1823" s="208"/>
      <c r="B1823" s="208"/>
      <c r="C1823" s="208"/>
      <c r="D1823" s="208"/>
      <c r="E1823" s="208"/>
      <c r="F1823" s="208"/>
      <c r="G1823" s="208"/>
      <c r="H1823" s="232"/>
      <c r="I1823" s="233"/>
      <c r="J1823" s="208"/>
      <c r="K1823" s="208"/>
      <c r="L1823" s="208"/>
      <c r="M1823" s="208"/>
      <c r="N1823" s="208"/>
      <c r="O1823" s="208"/>
      <c r="P1823" s="208"/>
      <c r="Q1823" s="208"/>
      <c r="R1823" s="208"/>
      <c r="S1823" s="208"/>
      <c r="T1823" s="208"/>
      <c r="U1823" s="208"/>
      <c r="V1823" s="234"/>
      <c r="W1823" s="232"/>
      <c r="X1823" s="232"/>
      <c r="Y1823" s="232"/>
      <c r="Z1823" s="232"/>
      <c r="AA1823" s="232"/>
      <c r="AB1823" s="232"/>
      <c r="AC1823" s="232"/>
      <c r="AD1823" s="232"/>
      <c r="AE1823" s="232"/>
      <c r="AF1823" s="232"/>
      <c r="AG1823" s="208"/>
      <c r="AH1823" s="208"/>
      <c r="AI1823" s="208"/>
      <c r="AJ1823" s="208"/>
      <c r="AK1823" s="208"/>
    </row>
    <row r="1824">
      <c r="A1824" s="208"/>
      <c r="B1824" s="208"/>
      <c r="C1824" s="208"/>
      <c r="D1824" s="208"/>
      <c r="E1824" s="208"/>
      <c r="F1824" s="208"/>
      <c r="G1824" s="208"/>
      <c r="H1824" s="232"/>
      <c r="I1824" s="233"/>
      <c r="J1824" s="208"/>
      <c r="K1824" s="208"/>
      <c r="L1824" s="208"/>
      <c r="M1824" s="208"/>
      <c r="N1824" s="208"/>
      <c r="O1824" s="208"/>
      <c r="P1824" s="208"/>
      <c r="Q1824" s="208"/>
      <c r="R1824" s="208"/>
      <c r="S1824" s="208"/>
      <c r="T1824" s="208"/>
      <c r="U1824" s="208"/>
      <c r="V1824" s="234"/>
      <c r="W1824" s="232"/>
      <c r="X1824" s="232"/>
      <c r="Y1824" s="232"/>
      <c r="Z1824" s="232"/>
      <c r="AA1824" s="232"/>
      <c r="AB1824" s="232"/>
      <c r="AC1824" s="232"/>
      <c r="AD1824" s="232"/>
      <c r="AE1824" s="232"/>
      <c r="AF1824" s="232"/>
      <c r="AG1824" s="208"/>
      <c r="AH1824" s="208"/>
      <c r="AI1824" s="208"/>
      <c r="AJ1824" s="208"/>
      <c r="AK1824" s="208"/>
    </row>
    <row r="1825">
      <c r="A1825" s="208"/>
      <c r="B1825" s="208"/>
      <c r="C1825" s="208"/>
      <c r="D1825" s="208"/>
      <c r="E1825" s="208"/>
      <c r="F1825" s="208"/>
      <c r="G1825" s="208"/>
      <c r="H1825" s="232"/>
      <c r="I1825" s="233"/>
      <c r="J1825" s="208"/>
      <c r="K1825" s="208"/>
      <c r="L1825" s="208"/>
      <c r="M1825" s="208"/>
      <c r="N1825" s="208"/>
      <c r="O1825" s="208"/>
      <c r="P1825" s="208"/>
      <c r="Q1825" s="208"/>
      <c r="R1825" s="208"/>
      <c r="S1825" s="208"/>
      <c r="T1825" s="208"/>
      <c r="U1825" s="208"/>
      <c r="V1825" s="234"/>
      <c r="W1825" s="232"/>
      <c r="X1825" s="232"/>
      <c r="Y1825" s="232"/>
      <c r="Z1825" s="232"/>
      <c r="AA1825" s="232"/>
      <c r="AB1825" s="232"/>
      <c r="AC1825" s="232"/>
      <c r="AD1825" s="232"/>
      <c r="AE1825" s="232"/>
      <c r="AF1825" s="232"/>
      <c r="AG1825" s="208"/>
      <c r="AH1825" s="208"/>
      <c r="AI1825" s="208"/>
      <c r="AJ1825" s="208"/>
      <c r="AK1825" s="208"/>
    </row>
    <row r="1826">
      <c r="A1826" s="208"/>
      <c r="B1826" s="208"/>
      <c r="C1826" s="208"/>
      <c r="D1826" s="208"/>
      <c r="E1826" s="208"/>
      <c r="F1826" s="208"/>
      <c r="G1826" s="208"/>
      <c r="H1826" s="232"/>
      <c r="I1826" s="233"/>
      <c r="J1826" s="208"/>
      <c r="K1826" s="208"/>
      <c r="L1826" s="208"/>
      <c r="M1826" s="208"/>
      <c r="N1826" s="208"/>
      <c r="O1826" s="208"/>
      <c r="P1826" s="208"/>
      <c r="Q1826" s="208"/>
      <c r="R1826" s="208"/>
      <c r="S1826" s="208"/>
      <c r="T1826" s="208"/>
      <c r="U1826" s="208"/>
      <c r="V1826" s="234"/>
      <c r="W1826" s="232"/>
      <c r="X1826" s="232"/>
      <c r="Y1826" s="232"/>
      <c r="Z1826" s="232"/>
      <c r="AA1826" s="232"/>
      <c r="AB1826" s="232"/>
      <c r="AC1826" s="232"/>
      <c r="AD1826" s="232"/>
      <c r="AE1826" s="232"/>
      <c r="AF1826" s="232"/>
      <c r="AG1826" s="208"/>
      <c r="AH1826" s="208"/>
      <c r="AI1826" s="208"/>
      <c r="AJ1826" s="208"/>
      <c r="AK1826" s="208"/>
    </row>
    <row r="1827">
      <c r="A1827" s="208"/>
      <c r="B1827" s="208"/>
      <c r="C1827" s="208"/>
      <c r="D1827" s="208"/>
      <c r="E1827" s="208"/>
      <c r="F1827" s="208"/>
      <c r="G1827" s="208"/>
      <c r="H1827" s="232"/>
      <c r="I1827" s="233"/>
      <c r="J1827" s="208"/>
      <c r="K1827" s="208"/>
      <c r="L1827" s="208"/>
      <c r="M1827" s="208"/>
      <c r="N1827" s="208"/>
      <c r="O1827" s="208"/>
      <c r="P1827" s="208"/>
      <c r="Q1827" s="208"/>
      <c r="R1827" s="208"/>
      <c r="S1827" s="208"/>
      <c r="T1827" s="208"/>
      <c r="U1827" s="208"/>
      <c r="V1827" s="234"/>
      <c r="W1827" s="232"/>
      <c r="X1827" s="232"/>
      <c r="Y1827" s="232"/>
      <c r="Z1827" s="232"/>
      <c r="AA1827" s="232"/>
      <c r="AB1827" s="232"/>
      <c r="AC1827" s="232"/>
      <c r="AD1827" s="232"/>
      <c r="AE1827" s="232"/>
      <c r="AF1827" s="232"/>
      <c r="AG1827" s="208"/>
      <c r="AH1827" s="208"/>
      <c r="AI1827" s="208"/>
      <c r="AJ1827" s="208"/>
      <c r="AK1827" s="208"/>
    </row>
    <row r="1828">
      <c r="A1828" s="208"/>
      <c r="B1828" s="208"/>
      <c r="C1828" s="208"/>
      <c r="D1828" s="208"/>
      <c r="E1828" s="208"/>
      <c r="F1828" s="208"/>
      <c r="G1828" s="208"/>
      <c r="H1828" s="232"/>
      <c r="I1828" s="233"/>
      <c r="J1828" s="208"/>
      <c r="K1828" s="208"/>
      <c r="L1828" s="208"/>
      <c r="M1828" s="208"/>
      <c r="N1828" s="208"/>
      <c r="O1828" s="208"/>
      <c r="P1828" s="208"/>
      <c r="Q1828" s="208"/>
      <c r="R1828" s="208"/>
      <c r="S1828" s="208"/>
      <c r="T1828" s="208"/>
      <c r="U1828" s="208"/>
      <c r="V1828" s="234"/>
      <c r="W1828" s="232"/>
      <c r="X1828" s="232"/>
      <c r="Y1828" s="232"/>
      <c r="Z1828" s="232"/>
      <c r="AA1828" s="232"/>
      <c r="AB1828" s="232"/>
      <c r="AC1828" s="232"/>
      <c r="AD1828" s="232"/>
      <c r="AE1828" s="232"/>
      <c r="AF1828" s="232"/>
      <c r="AG1828" s="208"/>
      <c r="AH1828" s="208"/>
      <c r="AI1828" s="208"/>
      <c r="AJ1828" s="208"/>
      <c r="AK1828" s="208"/>
    </row>
    <row r="1829">
      <c r="A1829" s="208"/>
      <c r="B1829" s="208"/>
      <c r="C1829" s="208"/>
      <c r="D1829" s="208"/>
      <c r="E1829" s="208"/>
      <c r="F1829" s="208"/>
      <c r="G1829" s="208"/>
      <c r="H1829" s="232"/>
      <c r="I1829" s="233"/>
      <c r="J1829" s="208"/>
      <c r="K1829" s="208"/>
      <c r="L1829" s="208"/>
      <c r="M1829" s="208"/>
      <c r="N1829" s="208"/>
      <c r="O1829" s="208"/>
      <c r="P1829" s="208"/>
      <c r="Q1829" s="208"/>
      <c r="R1829" s="208"/>
      <c r="S1829" s="208"/>
      <c r="T1829" s="208"/>
      <c r="U1829" s="208"/>
      <c r="V1829" s="234"/>
      <c r="W1829" s="232"/>
      <c r="X1829" s="232"/>
      <c r="Y1829" s="232"/>
      <c r="Z1829" s="232"/>
      <c r="AA1829" s="232"/>
      <c r="AB1829" s="232"/>
      <c r="AC1829" s="232"/>
      <c r="AD1829" s="232"/>
      <c r="AE1829" s="232"/>
      <c r="AF1829" s="232"/>
      <c r="AG1829" s="208"/>
      <c r="AH1829" s="208"/>
      <c r="AI1829" s="208"/>
      <c r="AJ1829" s="208"/>
      <c r="AK1829" s="208"/>
    </row>
    <row r="1830">
      <c r="A1830" s="208"/>
      <c r="B1830" s="208"/>
      <c r="C1830" s="208"/>
      <c r="D1830" s="208"/>
      <c r="E1830" s="208"/>
      <c r="F1830" s="208"/>
      <c r="G1830" s="208"/>
      <c r="H1830" s="232"/>
      <c r="I1830" s="233"/>
      <c r="J1830" s="208"/>
      <c r="K1830" s="208"/>
      <c r="L1830" s="208"/>
      <c r="M1830" s="208"/>
      <c r="N1830" s="208"/>
      <c r="O1830" s="208"/>
      <c r="P1830" s="208"/>
      <c r="Q1830" s="208"/>
      <c r="R1830" s="208"/>
      <c r="S1830" s="208"/>
      <c r="T1830" s="208"/>
      <c r="U1830" s="208"/>
      <c r="V1830" s="234"/>
      <c r="W1830" s="232"/>
      <c r="X1830" s="232"/>
      <c r="Y1830" s="232"/>
      <c r="Z1830" s="232"/>
      <c r="AA1830" s="232"/>
      <c r="AB1830" s="232"/>
      <c r="AC1830" s="232"/>
      <c r="AD1830" s="232"/>
      <c r="AE1830" s="232"/>
      <c r="AF1830" s="232"/>
      <c r="AG1830" s="208"/>
      <c r="AH1830" s="208"/>
      <c r="AI1830" s="208"/>
      <c r="AJ1830" s="208"/>
      <c r="AK1830" s="208"/>
    </row>
    <row r="1831">
      <c r="A1831" s="208"/>
      <c r="B1831" s="208"/>
      <c r="C1831" s="208"/>
      <c r="D1831" s="208"/>
      <c r="E1831" s="208"/>
      <c r="F1831" s="208"/>
      <c r="G1831" s="208"/>
      <c r="H1831" s="232"/>
      <c r="I1831" s="233"/>
      <c r="J1831" s="208"/>
      <c r="K1831" s="208"/>
      <c r="L1831" s="208"/>
      <c r="M1831" s="208"/>
      <c r="N1831" s="208"/>
      <c r="O1831" s="208"/>
      <c r="P1831" s="208"/>
      <c r="Q1831" s="208"/>
      <c r="R1831" s="208"/>
      <c r="S1831" s="208"/>
      <c r="T1831" s="208"/>
      <c r="U1831" s="208"/>
      <c r="V1831" s="234"/>
      <c r="W1831" s="232"/>
      <c r="X1831" s="232"/>
      <c r="Y1831" s="232"/>
      <c r="Z1831" s="232"/>
      <c r="AA1831" s="232"/>
      <c r="AB1831" s="232"/>
      <c r="AC1831" s="232"/>
      <c r="AD1831" s="232"/>
      <c r="AE1831" s="232"/>
      <c r="AF1831" s="232"/>
      <c r="AG1831" s="208"/>
      <c r="AH1831" s="208"/>
      <c r="AI1831" s="208"/>
      <c r="AJ1831" s="208"/>
      <c r="AK1831" s="208"/>
    </row>
    <row r="1832">
      <c r="A1832" s="208"/>
      <c r="B1832" s="208"/>
      <c r="C1832" s="208"/>
      <c r="D1832" s="208"/>
      <c r="E1832" s="208"/>
      <c r="F1832" s="208"/>
      <c r="G1832" s="208"/>
      <c r="H1832" s="232"/>
      <c r="I1832" s="233"/>
      <c r="J1832" s="208"/>
      <c r="K1832" s="208"/>
      <c r="L1832" s="208"/>
      <c r="M1832" s="208"/>
      <c r="N1832" s="208"/>
      <c r="O1832" s="208"/>
      <c r="P1832" s="208"/>
      <c r="Q1832" s="208"/>
      <c r="R1832" s="208"/>
      <c r="S1832" s="208"/>
      <c r="T1832" s="208"/>
      <c r="U1832" s="208"/>
      <c r="V1832" s="234"/>
      <c r="W1832" s="232"/>
      <c r="X1832" s="232"/>
      <c r="Y1832" s="232"/>
      <c r="Z1832" s="232"/>
      <c r="AA1832" s="232"/>
      <c r="AB1832" s="232"/>
      <c r="AC1832" s="232"/>
      <c r="AD1832" s="232"/>
      <c r="AE1832" s="232"/>
      <c r="AF1832" s="232"/>
      <c r="AG1832" s="208"/>
      <c r="AH1832" s="208"/>
      <c r="AI1832" s="208"/>
      <c r="AJ1832" s="208"/>
      <c r="AK1832" s="208"/>
    </row>
    <row r="1833">
      <c r="A1833" s="208"/>
      <c r="B1833" s="208"/>
      <c r="C1833" s="208"/>
      <c r="D1833" s="208"/>
      <c r="E1833" s="208"/>
      <c r="F1833" s="208"/>
      <c r="G1833" s="208"/>
      <c r="H1833" s="232"/>
      <c r="I1833" s="233"/>
      <c r="J1833" s="208"/>
      <c r="K1833" s="208"/>
      <c r="L1833" s="208"/>
      <c r="M1833" s="208"/>
      <c r="N1833" s="208"/>
      <c r="O1833" s="208"/>
      <c r="P1833" s="208"/>
      <c r="Q1833" s="208"/>
      <c r="R1833" s="208"/>
      <c r="S1833" s="208"/>
      <c r="T1833" s="208"/>
      <c r="U1833" s="208"/>
      <c r="V1833" s="234"/>
      <c r="W1833" s="232"/>
      <c r="X1833" s="232"/>
      <c r="Y1833" s="232"/>
      <c r="Z1833" s="232"/>
      <c r="AA1833" s="232"/>
      <c r="AB1833" s="232"/>
      <c r="AC1833" s="232"/>
      <c r="AD1833" s="232"/>
      <c r="AE1833" s="232"/>
      <c r="AF1833" s="232"/>
      <c r="AG1833" s="208"/>
      <c r="AH1833" s="208"/>
      <c r="AI1833" s="208"/>
      <c r="AJ1833" s="208"/>
      <c r="AK1833" s="208"/>
    </row>
    <row r="1834">
      <c r="A1834" s="208"/>
      <c r="B1834" s="208"/>
      <c r="C1834" s="208"/>
      <c r="D1834" s="208"/>
      <c r="E1834" s="208"/>
      <c r="F1834" s="208"/>
      <c r="G1834" s="208"/>
      <c r="H1834" s="232"/>
      <c r="I1834" s="233"/>
      <c r="J1834" s="208"/>
      <c r="K1834" s="208"/>
      <c r="L1834" s="208"/>
      <c r="M1834" s="208"/>
      <c r="N1834" s="208"/>
      <c r="O1834" s="208"/>
      <c r="P1834" s="208"/>
      <c r="Q1834" s="208"/>
      <c r="R1834" s="208"/>
      <c r="S1834" s="208"/>
      <c r="T1834" s="208"/>
      <c r="U1834" s="208"/>
      <c r="V1834" s="234"/>
      <c r="W1834" s="232"/>
      <c r="X1834" s="232"/>
      <c r="Y1834" s="232"/>
      <c r="Z1834" s="232"/>
      <c r="AA1834" s="232"/>
      <c r="AB1834" s="232"/>
      <c r="AC1834" s="232"/>
      <c r="AD1834" s="232"/>
      <c r="AE1834" s="232"/>
      <c r="AF1834" s="232"/>
      <c r="AG1834" s="208"/>
      <c r="AH1834" s="208"/>
      <c r="AI1834" s="208"/>
      <c r="AJ1834" s="208"/>
      <c r="AK1834" s="208"/>
    </row>
    <row r="1835">
      <c r="A1835" s="208"/>
      <c r="B1835" s="208"/>
      <c r="C1835" s="208"/>
      <c r="D1835" s="208"/>
      <c r="E1835" s="208"/>
      <c r="F1835" s="208"/>
      <c r="G1835" s="208"/>
      <c r="H1835" s="232"/>
      <c r="I1835" s="233"/>
      <c r="J1835" s="208"/>
      <c r="K1835" s="208"/>
      <c r="L1835" s="208"/>
      <c r="M1835" s="208"/>
      <c r="N1835" s="208"/>
      <c r="O1835" s="208"/>
      <c r="P1835" s="208"/>
      <c r="Q1835" s="208"/>
      <c r="R1835" s="208"/>
      <c r="S1835" s="208"/>
      <c r="T1835" s="208"/>
      <c r="U1835" s="208"/>
      <c r="V1835" s="234"/>
      <c r="W1835" s="232"/>
      <c r="X1835" s="232"/>
      <c r="Y1835" s="232"/>
      <c r="Z1835" s="232"/>
      <c r="AA1835" s="232"/>
      <c r="AB1835" s="232"/>
      <c r="AC1835" s="232"/>
      <c r="AD1835" s="232"/>
      <c r="AE1835" s="232"/>
      <c r="AF1835" s="232"/>
      <c r="AG1835" s="208"/>
      <c r="AH1835" s="208"/>
      <c r="AI1835" s="208"/>
      <c r="AJ1835" s="208"/>
      <c r="AK1835" s="208"/>
    </row>
    <row r="1836">
      <c r="A1836" s="208"/>
      <c r="B1836" s="208"/>
      <c r="C1836" s="208"/>
      <c r="D1836" s="208"/>
      <c r="E1836" s="208"/>
      <c r="F1836" s="208"/>
      <c r="G1836" s="208"/>
      <c r="H1836" s="232"/>
      <c r="I1836" s="233"/>
      <c r="J1836" s="208"/>
      <c r="K1836" s="208"/>
      <c r="L1836" s="208"/>
      <c r="M1836" s="208"/>
      <c r="N1836" s="208"/>
      <c r="O1836" s="208"/>
      <c r="P1836" s="208"/>
      <c r="Q1836" s="208"/>
      <c r="R1836" s="208"/>
      <c r="S1836" s="208"/>
      <c r="T1836" s="208"/>
      <c r="U1836" s="208"/>
      <c r="V1836" s="234"/>
      <c r="W1836" s="232"/>
      <c r="X1836" s="232"/>
      <c r="Y1836" s="232"/>
      <c r="Z1836" s="232"/>
      <c r="AA1836" s="232"/>
      <c r="AB1836" s="232"/>
      <c r="AC1836" s="232"/>
      <c r="AD1836" s="232"/>
      <c r="AE1836" s="232"/>
      <c r="AF1836" s="232"/>
      <c r="AG1836" s="208"/>
      <c r="AH1836" s="208"/>
      <c r="AI1836" s="208"/>
      <c r="AJ1836" s="208"/>
      <c r="AK1836" s="208"/>
    </row>
    <row r="1837">
      <c r="A1837" s="208"/>
      <c r="B1837" s="208"/>
      <c r="C1837" s="208"/>
      <c r="D1837" s="208"/>
      <c r="E1837" s="208"/>
      <c r="F1837" s="208"/>
      <c r="G1837" s="208"/>
      <c r="H1837" s="232"/>
      <c r="I1837" s="233"/>
      <c r="J1837" s="208"/>
      <c r="K1837" s="208"/>
      <c r="L1837" s="208"/>
      <c r="M1837" s="208"/>
      <c r="N1837" s="208"/>
      <c r="O1837" s="208"/>
      <c r="P1837" s="208"/>
      <c r="Q1837" s="208"/>
      <c r="R1837" s="208"/>
      <c r="S1837" s="208"/>
      <c r="T1837" s="208"/>
      <c r="U1837" s="208"/>
      <c r="V1837" s="234"/>
      <c r="W1837" s="232"/>
      <c r="X1837" s="232"/>
      <c r="Y1837" s="232"/>
      <c r="Z1837" s="232"/>
      <c r="AA1837" s="232"/>
      <c r="AB1837" s="232"/>
      <c r="AC1837" s="232"/>
      <c r="AD1837" s="232"/>
      <c r="AE1837" s="232"/>
      <c r="AF1837" s="232"/>
      <c r="AG1837" s="208"/>
      <c r="AH1837" s="208"/>
      <c r="AI1837" s="208"/>
      <c r="AJ1837" s="208"/>
      <c r="AK1837" s="208"/>
    </row>
    <row r="1838">
      <c r="A1838" s="208"/>
      <c r="B1838" s="208"/>
      <c r="C1838" s="208"/>
      <c r="D1838" s="208"/>
      <c r="E1838" s="208"/>
      <c r="F1838" s="208"/>
      <c r="G1838" s="208"/>
      <c r="H1838" s="232"/>
      <c r="I1838" s="233"/>
      <c r="J1838" s="208"/>
      <c r="K1838" s="208"/>
      <c r="L1838" s="208"/>
      <c r="M1838" s="208"/>
      <c r="N1838" s="208"/>
      <c r="O1838" s="208"/>
      <c r="P1838" s="208"/>
      <c r="Q1838" s="208"/>
      <c r="R1838" s="208"/>
      <c r="S1838" s="208"/>
      <c r="T1838" s="208"/>
      <c r="U1838" s="208"/>
      <c r="V1838" s="234"/>
      <c r="W1838" s="232"/>
      <c r="X1838" s="232"/>
      <c r="Y1838" s="232"/>
      <c r="Z1838" s="232"/>
      <c r="AA1838" s="232"/>
      <c r="AB1838" s="232"/>
      <c r="AC1838" s="232"/>
      <c r="AD1838" s="232"/>
      <c r="AE1838" s="232"/>
      <c r="AF1838" s="232"/>
      <c r="AG1838" s="208"/>
      <c r="AH1838" s="208"/>
      <c r="AI1838" s="208"/>
      <c r="AJ1838" s="208"/>
      <c r="AK1838" s="208"/>
    </row>
    <row r="1839">
      <c r="A1839" s="208"/>
      <c r="B1839" s="208"/>
      <c r="C1839" s="208"/>
      <c r="D1839" s="208"/>
      <c r="E1839" s="208"/>
      <c r="F1839" s="208"/>
      <c r="G1839" s="208"/>
      <c r="H1839" s="232"/>
      <c r="I1839" s="233"/>
      <c r="J1839" s="208"/>
      <c r="K1839" s="208"/>
      <c r="L1839" s="208"/>
      <c r="M1839" s="208"/>
      <c r="N1839" s="208"/>
      <c r="O1839" s="208"/>
      <c r="P1839" s="208"/>
      <c r="Q1839" s="208"/>
      <c r="R1839" s="208"/>
      <c r="S1839" s="208"/>
      <c r="T1839" s="208"/>
      <c r="U1839" s="208"/>
      <c r="V1839" s="234"/>
      <c r="W1839" s="232"/>
      <c r="X1839" s="232"/>
      <c r="Y1839" s="232"/>
      <c r="Z1839" s="232"/>
      <c r="AA1839" s="232"/>
      <c r="AB1839" s="232"/>
      <c r="AC1839" s="232"/>
      <c r="AD1839" s="232"/>
      <c r="AE1839" s="232"/>
      <c r="AF1839" s="232"/>
      <c r="AG1839" s="208"/>
      <c r="AH1839" s="208"/>
      <c r="AI1839" s="208"/>
      <c r="AJ1839" s="208"/>
      <c r="AK1839" s="208"/>
    </row>
    <row r="1840">
      <c r="A1840" s="208"/>
      <c r="B1840" s="208"/>
      <c r="C1840" s="208"/>
      <c r="D1840" s="208"/>
      <c r="E1840" s="208"/>
      <c r="F1840" s="208"/>
      <c r="G1840" s="208"/>
      <c r="H1840" s="232"/>
      <c r="I1840" s="233"/>
      <c r="J1840" s="208"/>
      <c r="K1840" s="208"/>
      <c r="L1840" s="208"/>
      <c r="M1840" s="208"/>
      <c r="N1840" s="208"/>
      <c r="O1840" s="208"/>
      <c r="P1840" s="208"/>
      <c r="Q1840" s="208"/>
      <c r="R1840" s="208"/>
      <c r="S1840" s="208"/>
      <c r="T1840" s="208"/>
      <c r="U1840" s="208"/>
      <c r="V1840" s="234"/>
      <c r="W1840" s="232"/>
      <c r="X1840" s="232"/>
      <c r="Y1840" s="232"/>
      <c r="Z1840" s="232"/>
      <c r="AA1840" s="232"/>
      <c r="AB1840" s="232"/>
      <c r="AC1840" s="232"/>
      <c r="AD1840" s="232"/>
      <c r="AE1840" s="232"/>
      <c r="AF1840" s="232"/>
      <c r="AG1840" s="208"/>
      <c r="AH1840" s="208"/>
      <c r="AI1840" s="208"/>
      <c r="AJ1840" s="208"/>
      <c r="AK1840" s="208"/>
    </row>
    <row r="1841">
      <c r="A1841" s="208"/>
      <c r="B1841" s="208"/>
      <c r="C1841" s="208"/>
      <c r="D1841" s="208"/>
      <c r="E1841" s="208"/>
      <c r="F1841" s="208"/>
      <c r="G1841" s="208"/>
      <c r="H1841" s="232"/>
      <c r="I1841" s="233"/>
      <c r="J1841" s="208"/>
      <c r="K1841" s="208"/>
      <c r="L1841" s="208"/>
      <c r="M1841" s="208"/>
      <c r="N1841" s="208"/>
      <c r="O1841" s="208"/>
      <c r="P1841" s="208"/>
      <c r="Q1841" s="208"/>
      <c r="R1841" s="208"/>
      <c r="S1841" s="208"/>
      <c r="T1841" s="208"/>
      <c r="U1841" s="208"/>
      <c r="V1841" s="234"/>
      <c r="W1841" s="232"/>
      <c r="X1841" s="232"/>
      <c r="Y1841" s="232"/>
      <c r="Z1841" s="232"/>
      <c r="AA1841" s="232"/>
      <c r="AB1841" s="232"/>
      <c r="AC1841" s="232"/>
      <c r="AD1841" s="232"/>
      <c r="AE1841" s="232"/>
      <c r="AF1841" s="232"/>
      <c r="AG1841" s="208"/>
      <c r="AH1841" s="208"/>
      <c r="AI1841" s="208"/>
      <c r="AJ1841" s="208"/>
      <c r="AK1841" s="208"/>
    </row>
    <row r="1842">
      <c r="A1842" s="208"/>
      <c r="B1842" s="208"/>
      <c r="C1842" s="208"/>
      <c r="D1842" s="208"/>
      <c r="E1842" s="208"/>
      <c r="F1842" s="208"/>
      <c r="G1842" s="208"/>
      <c r="H1842" s="232"/>
      <c r="I1842" s="233"/>
      <c r="J1842" s="208"/>
      <c r="K1842" s="208"/>
      <c r="L1842" s="208"/>
      <c r="M1842" s="208"/>
      <c r="N1842" s="208"/>
      <c r="O1842" s="208"/>
      <c r="P1842" s="208"/>
      <c r="Q1842" s="208"/>
      <c r="R1842" s="208"/>
      <c r="S1842" s="208"/>
      <c r="T1842" s="208"/>
      <c r="U1842" s="208"/>
      <c r="V1842" s="234"/>
      <c r="W1842" s="232"/>
      <c r="X1842" s="232"/>
      <c r="Y1842" s="232"/>
      <c r="Z1842" s="232"/>
      <c r="AA1842" s="232"/>
      <c r="AB1842" s="232"/>
      <c r="AC1842" s="232"/>
      <c r="AD1842" s="232"/>
      <c r="AE1842" s="232"/>
      <c r="AF1842" s="232"/>
      <c r="AG1842" s="208"/>
      <c r="AH1842" s="208"/>
      <c r="AI1842" s="208"/>
      <c r="AJ1842" s="208"/>
      <c r="AK1842" s="208"/>
    </row>
    <row r="1843">
      <c r="A1843" s="208"/>
      <c r="B1843" s="208"/>
      <c r="C1843" s="208"/>
      <c r="D1843" s="208"/>
      <c r="E1843" s="208"/>
      <c r="F1843" s="208"/>
      <c r="G1843" s="208"/>
      <c r="H1843" s="232"/>
      <c r="I1843" s="233"/>
      <c r="J1843" s="208"/>
      <c r="K1843" s="208"/>
      <c r="L1843" s="208"/>
      <c r="M1843" s="208"/>
      <c r="N1843" s="208"/>
      <c r="O1843" s="208"/>
      <c r="P1843" s="208"/>
      <c r="Q1843" s="208"/>
      <c r="R1843" s="208"/>
      <c r="S1843" s="208"/>
      <c r="T1843" s="208"/>
      <c r="U1843" s="208"/>
      <c r="V1843" s="234"/>
      <c r="W1843" s="232"/>
      <c r="X1843" s="232"/>
      <c r="Y1843" s="232"/>
      <c r="Z1843" s="232"/>
      <c r="AA1843" s="232"/>
      <c r="AB1843" s="232"/>
      <c r="AC1843" s="232"/>
      <c r="AD1843" s="232"/>
      <c r="AE1843" s="232"/>
      <c r="AF1843" s="232"/>
      <c r="AG1843" s="208"/>
      <c r="AH1843" s="208"/>
      <c r="AI1843" s="208"/>
      <c r="AJ1843" s="208"/>
      <c r="AK1843" s="208"/>
    </row>
    <row r="1844">
      <c r="A1844" s="208"/>
      <c r="B1844" s="208"/>
      <c r="C1844" s="208"/>
      <c r="D1844" s="208"/>
      <c r="E1844" s="208"/>
      <c r="F1844" s="208"/>
      <c r="G1844" s="208"/>
      <c r="H1844" s="232"/>
      <c r="I1844" s="233"/>
      <c r="J1844" s="208"/>
      <c r="K1844" s="208"/>
      <c r="L1844" s="208"/>
      <c r="M1844" s="208"/>
      <c r="N1844" s="208"/>
      <c r="O1844" s="208"/>
      <c r="P1844" s="208"/>
      <c r="Q1844" s="208"/>
      <c r="R1844" s="208"/>
      <c r="S1844" s="208"/>
      <c r="T1844" s="208"/>
      <c r="U1844" s="208"/>
      <c r="V1844" s="234"/>
      <c r="W1844" s="232"/>
      <c r="X1844" s="232"/>
      <c r="Y1844" s="232"/>
      <c r="Z1844" s="232"/>
      <c r="AA1844" s="232"/>
      <c r="AB1844" s="232"/>
      <c r="AC1844" s="232"/>
      <c r="AD1844" s="232"/>
      <c r="AE1844" s="232"/>
      <c r="AF1844" s="232"/>
      <c r="AG1844" s="208"/>
      <c r="AH1844" s="208"/>
      <c r="AI1844" s="208"/>
      <c r="AJ1844" s="208"/>
      <c r="AK1844" s="208"/>
    </row>
    <row r="1845">
      <c r="A1845" s="208"/>
      <c r="B1845" s="208"/>
      <c r="C1845" s="208"/>
      <c r="D1845" s="208"/>
      <c r="E1845" s="208"/>
      <c r="F1845" s="208"/>
      <c r="G1845" s="208"/>
      <c r="H1845" s="232"/>
      <c r="I1845" s="233"/>
      <c r="J1845" s="208"/>
      <c r="K1845" s="208"/>
      <c r="L1845" s="208"/>
      <c r="M1845" s="208"/>
      <c r="N1845" s="208"/>
      <c r="O1845" s="208"/>
      <c r="P1845" s="208"/>
      <c r="Q1845" s="208"/>
      <c r="R1845" s="208"/>
      <c r="S1845" s="208"/>
      <c r="T1845" s="208"/>
      <c r="U1845" s="208"/>
      <c r="V1845" s="234"/>
      <c r="W1845" s="232"/>
      <c r="X1845" s="232"/>
      <c r="Y1845" s="232"/>
      <c r="Z1845" s="232"/>
      <c r="AA1845" s="232"/>
      <c r="AB1845" s="232"/>
      <c r="AC1845" s="232"/>
      <c r="AD1845" s="232"/>
      <c r="AE1845" s="232"/>
      <c r="AF1845" s="232"/>
      <c r="AG1845" s="208"/>
      <c r="AH1845" s="208"/>
      <c r="AI1845" s="208"/>
      <c r="AJ1845" s="208"/>
      <c r="AK1845" s="208"/>
    </row>
    <row r="1846">
      <c r="A1846" s="208"/>
      <c r="B1846" s="208"/>
      <c r="C1846" s="208"/>
      <c r="D1846" s="208"/>
      <c r="E1846" s="208"/>
      <c r="F1846" s="208"/>
      <c r="G1846" s="208"/>
      <c r="H1846" s="232"/>
      <c r="I1846" s="233"/>
      <c r="J1846" s="208"/>
      <c r="K1846" s="208"/>
      <c r="L1846" s="208"/>
      <c r="M1846" s="208"/>
      <c r="N1846" s="208"/>
      <c r="O1846" s="208"/>
      <c r="P1846" s="208"/>
      <c r="Q1846" s="208"/>
      <c r="R1846" s="208"/>
      <c r="S1846" s="208"/>
      <c r="T1846" s="208"/>
      <c r="U1846" s="208"/>
      <c r="V1846" s="234"/>
      <c r="W1846" s="232"/>
      <c r="X1846" s="232"/>
      <c r="Y1846" s="232"/>
      <c r="Z1846" s="232"/>
      <c r="AA1846" s="232"/>
      <c r="AB1846" s="232"/>
      <c r="AC1846" s="232"/>
      <c r="AD1846" s="232"/>
      <c r="AE1846" s="232"/>
      <c r="AF1846" s="232"/>
      <c r="AG1846" s="208"/>
      <c r="AH1846" s="208"/>
      <c r="AI1846" s="208"/>
      <c r="AJ1846" s="208"/>
      <c r="AK1846" s="208"/>
    </row>
    <row r="1847">
      <c r="A1847" s="208"/>
      <c r="B1847" s="208"/>
      <c r="C1847" s="208"/>
      <c r="D1847" s="208"/>
      <c r="E1847" s="208"/>
      <c r="F1847" s="208"/>
      <c r="G1847" s="208"/>
      <c r="H1847" s="232"/>
      <c r="I1847" s="233"/>
      <c r="J1847" s="208"/>
      <c r="K1847" s="208"/>
      <c r="L1847" s="208"/>
      <c r="M1847" s="208"/>
      <c r="N1847" s="208"/>
      <c r="O1847" s="208"/>
      <c r="P1847" s="208"/>
      <c r="Q1847" s="208"/>
      <c r="R1847" s="208"/>
      <c r="S1847" s="208"/>
      <c r="T1847" s="208"/>
      <c r="U1847" s="208"/>
      <c r="V1847" s="234"/>
      <c r="W1847" s="232"/>
      <c r="X1847" s="232"/>
      <c r="Y1847" s="232"/>
      <c r="Z1847" s="232"/>
      <c r="AA1847" s="232"/>
      <c r="AB1847" s="232"/>
      <c r="AC1847" s="232"/>
      <c r="AD1847" s="232"/>
      <c r="AE1847" s="232"/>
      <c r="AF1847" s="232"/>
      <c r="AG1847" s="208"/>
      <c r="AH1847" s="208"/>
      <c r="AI1847" s="208"/>
      <c r="AJ1847" s="208"/>
      <c r="AK1847" s="208"/>
    </row>
    <row r="1848">
      <c r="A1848" s="208"/>
      <c r="B1848" s="208"/>
      <c r="C1848" s="208"/>
      <c r="D1848" s="208"/>
      <c r="E1848" s="208"/>
      <c r="F1848" s="208"/>
      <c r="G1848" s="208"/>
      <c r="H1848" s="232"/>
      <c r="I1848" s="233"/>
      <c r="J1848" s="208"/>
      <c r="K1848" s="208"/>
      <c r="L1848" s="208"/>
      <c r="M1848" s="208"/>
      <c r="N1848" s="208"/>
      <c r="O1848" s="208"/>
      <c r="P1848" s="208"/>
      <c r="Q1848" s="208"/>
      <c r="R1848" s="208"/>
      <c r="S1848" s="208"/>
      <c r="T1848" s="208"/>
      <c r="U1848" s="208"/>
      <c r="V1848" s="234"/>
      <c r="W1848" s="232"/>
      <c r="X1848" s="232"/>
      <c r="Y1848" s="232"/>
      <c r="Z1848" s="232"/>
      <c r="AA1848" s="232"/>
      <c r="AB1848" s="232"/>
      <c r="AC1848" s="232"/>
      <c r="AD1848" s="232"/>
      <c r="AE1848" s="232"/>
      <c r="AF1848" s="232"/>
      <c r="AG1848" s="208"/>
      <c r="AH1848" s="208"/>
      <c r="AI1848" s="208"/>
      <c r="AJ1848" s="208"/>
      <c r="AK1848" s="208"/>
    </row>
    <row r="1849">
      <c r="A1849" s="208"/>
      <c r="B1849" s="208"/>
      <c r="C1849" s="208"/>
      <c r="D1849" s="208"/>
      <c r="E1849" s="208"/>
      <c r="F1849" s="208"/>
      <c r="G1849" s="208"/>
      <c r="H1849" s="232"/>
      <c r="I1849" s="233"/>
      <c r="J1849" s="208"/>
      <c r="K1849" s="208"/>
      <c r="L1849" s="208"/>
      <c r="M1849" s="208"/>
      <c r="N1849" s="208"/>
      <c r="O1849" s="208"/>
      <c r="P1849" s="208"/>
      <c r="Q1849" s="208"/>
      <c r="R1849" s="208"/>
      <c r="S1849" s="208"/>
      <c r="T1849" s="208"/>
      <c r="U1849" s="208"/>
      <c r="V1849" s="234"/>
      <c r="W1849" s="232"/>
      <c r="X1849" s="232"/>
      <c r="Y1849" s="232"/>
      <c r="Z1849" s="232"/>
      <c r="AA1849" s="232"/>
      <c r="AB1849" s="232"/>
      <c r="AC1849" s="232"/>
      <c r="AD1849" s="232"/>
      <c r="AE1849" s="232"/>
      <c r="AF1849" s="232"/>
      <c r="AG1849" s="208"/>
      <c r="AH1849" s="208"/>
      <c r="AI1849" s="208"/>
      <c r="AJ1849" s="208"/>
      <c r="AK1849" s="208"/>
    </row>
    <row r="1850">
      <c r="A1850" s="208"/>
      <c r="B1850" s="208"/>
      <c r="C1850" s="208"/>
      <c r="D1850" s="208"/>
      <c r="E1850" s="208"/>
      <c r="F1850" s="208"/>
      <c r="G1850" s="208"/>
      <c r="H1850" s="232"/>
      <c r="I1850" s="233"/>
      <c r="J1850" s="208"/>
      <c r="K1850" s="208"/>
      <c r="L1850" s="208"/>
      <c r="M1850" s="208"/>
      <c r="N1850" s="208"/>
      <c r="O1850" s="208"/>
      <c r="P1850" s="208"/>
      <c r="Q1850" s="208"/>
      <c r="R1850" s="208"/>
      <c r="S1850" s="208"/>
      <c r="T1850" s="208"/>
      <c r="U1850" s="208"/>
      <c r="V1850" s="234"/>
      <c r="W1850" s="232"/>
      <c r="X1850" s="232"/>
      <c r="Y1850" s="232"/>
      <c r="Z1850" s="232"/>
      <c r="AA1850" s="232"/>
      <c r="AB1850" s="232"/>
      <c r="AC1850" s="232"/>
      <c r="AD1850" s="232"/>
      <c r="AE1850" s="232"/>
      <c r="AF1850" s="232"/>
      <c r="AG1850" s="208"/>
      <c r="AH1850" s="208"/>
      <c r="AI1850" s="208"/>
      <c r="AJ1850" s="208"/>
      <c r="AK1850" s="208"/>
    </row>
    <row r="1851">
      <c r="A1851" s="208"/>
      <c r="B1851" s="208"/>
      <c r="C1851" s="208"/>
      <c r="D1851" s="208"/>
      <c r="E1851" s="208"/>
      <c r="F1851" s="208"/>
      <c r="G1851" s="208"/>
      <c r="H1851" s="232"/>
      <c r="I1851" s="233"/>
      <c r="J1851" s="208"/>
      <c r="K1851" s="208"/>
      <c r="L1851" s="208"/>
      <c r="M1851" s="208"/>
      <c r="N1851" s="208"/>
      <c r="O1851" s="208"/>
      <c r="P1851" s="208"/>
      <c r="Q1851" s="208"/>
      <c r="R1851" s="208"/>
      <c r="S1851" s="208"/>
      <c r="T1851" s="208"/>
      <c r="U1851" s="208"/>
      <c r="V1851" s="234"/>
      <c r="W1851" s="232"/>
      <c r="X1851" s="232"/>
      <c r="Y1851" s="232"/>
      <c r="Z1851" s="232"/>
      <c r="AA1851" s="232"/>
      <c r="AB1851" s="232"/>
      <c r="AC1851" s="232"/>
      <c r="AD1851" s="232"/>
      <c r="AE1851" s="232"/>
      <c r="AF1851" s="232"/>
      <c r="AG1851" s="208"/>
      <c r="AH1851" s="208"/>
      <c r="AI1851" s="208"/>
      <c r="AJ1851" s="208"/>
      <c r="AK1851" s="208"/>
    </row>
    <row r="1852">
      <c r="A1852" s="208"/>
      <c r="B1852" s="208"/>
      <c r="C1852" s="208"/>
      <c r="D1852" s="208"/>
      <c r="E1852" s="208"/>
      <c r="F1852" s="208"/>
      <c r="G1852" s="208"/>
      <c r="H1852" s="232"/>
      <c r="I1852" s="233"/>
      <c r="J1852" s="208"/>
      <c r="K1852" s="208"/>
      <c r="L1852" s="208"/>
      <c r="M1852" s="208"/>
      <c r="N1852" s="208"/>
      <c r="O1852" s="208"/>
      <c r="P1852" s="208"/>
      <c r="Q1852" s="208"/>
      <c r="R1852" s="208"/>
      <c r="S1852" s="208"/>
      <c r="T1852" s="208"/>
      <c r="U1852" s="208"/>
      <c r="V1852" s="234"/>
      <c r="W1852" s="232"/>
      <c r="X1852" s="232"/>
      <c r="Y1852" s="232"/>
      <c r="Z1852" s="232"/>
      <c r="AA1852" s="232"/>
      <c r="AB1852" s="232"/>
      <c r="AC1852" s="232"/>
      <c r="AD1852" s="232"/>
      <c r="AE1852" s="232"/>
      <c r="AF1852" s="232"/>
      <c r="AG1852" s="208"/>
      <c r="AH1852" s="208"/>
      <c r="AI1852" s="208"/>
      <c r="AJ1852" s="208"/>
      <c r="AK1852" s="208"/>
    </row>
    <row r="1853">
      <c r="A1853" s="208"/>
      <c r="B1853" s="208"/>
      <c r="C1853" s="208"/>
      <c r="D1853" s="208"/>
      <c r="E1853" s="208"/>
      <c r="F1853" s="208"/>
      <c r="G1853" s="208"/>
      <c r="H1853" s="232"/>
      <c r="I1853" s="233"/>
      <c r="J1853" s="208"/>
      <c r="K1853" s="208"/>
      <c r="L1853" s="208"/>
      <c r="M1853" s="208"/>
      <c r="N1853" s="208"/>
      <c r="O1853" s="208"/>
      <c r="P1853" s="208"/>
      <c r="Q1853" s="208"/>
      <c r="R1853" s="208"/>
      <c r="S1853" s="208"/>
      <c r="T1853" s="208"/>
      <c r="U1853" s="208"/>
      <c r="V1853" s="234"/>
      <c r="W1853" s="232"/>
      <c r="X1853" s="232"/>
      <c r="Y1853" s="232"/>
      <c r="Z1853" s="232"/>
      <c r="AA1853" s="232"/>
      <c r="AB1853" s="232"/>
      <c r="AC1853" s="232"/>
      <c r="AD1853" s="232"/>
      <c r="AE1853" s="232"/>
      <c r="AF1853" s="232"/>
      <c r="AG1853" s="208"/>
      <c r="AH1853" s="208"/>
      <c r="AI1853" s="208"/>
      <c r="AJ1853" s="208"/>
      <c r="AK1853" s="208"/>
    </row>
    <row r="1854">
      <c r="A1854" s="208"/>
      <c r="B1854" s="208"/>
      <c r="C1854" s="208"/>
      <c r="D1854" s="208"/>
      <c r="E1854" s="208"/>
      <c r="F1854" s="208"/>
      <c r="G1854" s="208"/>
      <c r="H1854" s="232"/>
      <c r="I1854" s="233"/>
      <c r="J1854" s="208"/>
      <c r="K1854" s="208"/>
      <c r="L1854" s="208"/>
      <c r="M1854" s="208"/>
      <c r="N1854" s="208"/>
      <c r="O1854" s="208"/>
      <c r="P1854" s="208"/>
      <c r="Q1854" s="208"/>
      <c r="R1854" s="208"/>
      <c r="S1854" s="208"/>
      <c r="T1854" s="208"/>
      <c r="U1854" s="208"/>
      <c r="V1854" s="234"/>
      <c r="W1854" s="232"/>
      <c r="X1854" s="232"/>
      <c r="Y1854" s="232"/>
      <c r="Z1854" s="232"/>
      <c r="AA1854" s="232"/>
      <c r="AB1854" s="232"/>
      <c r="AC1854" s="232"/>
      <c r="AD1854" s="232"/>
      <c r="AE1854" s="232"/>
      <c r="AF1854" s="232"/>
      <c r="AG1854" s="208"/>
      <c r="AH1854" s="208"/>
      <c r="AI1854" s="208"/>
      <c r="AJ1854" s="208"/>
      <c r="AK1854" s="208"/>
    </row>
    <row r="1855">
      <c r="A1855" s="208"/>
      <c r="B1855" s="208"/>
      <c r="C1855" s="208"/>
      <c r="D1855" s="208"/>
      <c r="E1855" s="208"/>
      <c r="F1855" s="208"/>
      <c r="G1855" s="208"/>
      <c r="H1855" s="232"/>
      <c r="I1855" s="233"/>
      <c r="J1855" s="208"/>
      <c r="K1855" s="208"/>
      <c r="L1855" s="208"/>
      <c r="M1855" s="208"/>
      <c r="N1855" s="208"/>
      <c r="O1855" s="208"/>
      <c r="P1855" s="208"/>
      <c r="Q1855" s="208"/>
      <c r="R1855" s="208"/>
      <c r="S1855" s="208"/>
      <c r="T1855" s="208"/>
      <c r="U1855" s="208"/>
      <c r="V1855" s="234"/>
      <c r="W1855" s="232"/>
      <c r="X1855" s="232"/>
      <c r="Y1855" s="232"/>
      <c r="Z1855" s="232"/>
      <c r="AA1855" s="232"/>
      <c r="AB1855" s="232"/>
      <c r="AC1855" s="232"/>
      <c r="AD1855" s="232"/>
      <c r="AE1855" s="232"/>
      <c r="AF1855" s="232"/>
      <c r="AG1855" s="208"/>
      <c r="AH1855" s="208"/>
      <c r="AI1855" s="208"/>
      <c r="AJ1855" s="208"/>
      <c r="AK1855" s="208"/>
    </row>
    <row r="1856">
      <c r="A1856" s="208"/>
      <c r="B1856" s="208"/>
      <c r="C1856" s="208"/>
      <c r="D1856" s="208"/>
      <c r="E1856" s="208"/>
      <c r="F1856" s="208"/>
      <c r="G1856" s="208"/>
      <c r="H1856" s="232"/>
      <c r="I1856" s="233"/>
      <c r="J1856" s="208"/>
      <c r="K1856" s="208"/>
      <c r="L1856" s="208"/>
      <c r="M1856" s="208"/>
      <c r="N1856" s="208"/>
      <c r="O1856" s="208"/>
      <c r="P1856" s="208"/>
      <c r="Q1856" s="208"/>
      <c r="R1856" s="208"/>
      <c r="S1856" s="208"/>
      <c r="T1856" s="208"/>
      <c r="U1856" s="208"/>
      <c r="V1856" s="234"/>
      <c r="W1856" s="232"/>
      <c r="X1856" s="232"/>
      <c r="Y1856" s="232"/>
      <c r="Z1856" s="232"/>
      <c r="AA1856" s="232"/>
      <c r="AB1856" s="232"/>
      <c r="AC1856" s="232"/>
      <c r="AD1856" s="232"/>
      <c r="AE1856" s="232"/>
      <c r="AF1856" s="232"/>
      <c r="AG1856" s="208"/>
      <c r="AH1856" s="208"/>
      <c r="AI1856" s="208"/>
      <c r="AJ1856" s="208"/>
      <c r="AK1856" s="208"/>
    </row>
    <row r="1857">
      <c r="A1857" s="208"/>
      <c r="B1857" s="208"/>
      <c r="C1857" s="208"/>
      <c r="D1857" s="208"/>
      <c r="E1857" s="208"/>
      <c r="F1857" s="208"/>
      <c r="G1857" s="208"/>
      <c r="H1857" s="232"/>
      <c r="I1857" s="233"/>
      <c r="J1857" s="208"/>
      <c r="K1857" s="208"/>
      <c r="L1857" s="208"/>
      <c r="M1857" s="208"/>
      <c r="N1857" s="208"/>
      <c r="O1857" s="208"/>
      <c r="P1857" s="208"/>
      <c r="Q1857" s="208"/>
      <c r="R1857" s="208"/>
      <c r="S1857" s="208"/>
      <c r="T1857" s="208"/>
      <c r="U1857" s="208"/>
      <c r="V1857" s="234"/>
      <c r="W1857" s="232"/>
      <c r="X1857" s="232"/>
      <c r="Y1857" s="232"/>
      <c r="Z1857" s="232"/>
      <c r="AA1857" s="232"/>
      <c r="AB1857" s="232"/>
      <c r="AC1857" s="232"/>
      <c r="AD1857" s="232"/>
      <c r="AE1857" s="232"/>
      <c r="AF1857" s="232"/>
      <c r="AG1857" s="208"/>
      <c r="AH1857" s="208"/>
      <c r="AI1857" s="208"/>
      <c r="AJ1857" s="208"/>
      <c r="AK1857" s="208"/>
    </row>
    <row r="1858">
      <c r="A1858" s="208"/>
      <c r="B1858" s="208"/>
      <c r="C1858" s="208"/>
      <c r="D1858" s="208"/>
      <c r="E1858" s="208"/>
      <c r="F1858" s="208"/>
      <c r="G1858" s="208"/>
      <c r="H1858" s="232"/>
      <c r="I1858" s="233"/>
      <c r="J1858" s="208"/>
      <c r="K1858" s="208"/>
      <c r="L1858" s="208"/>
      <c r="M1858" s="208"/>
      <c r="N1858" s="208"/>
      <c r="O1858" s="208"/>
      <c r="P1858" s="208"/>
      <c r="Q1858" s="208"/>
      <c r="R1858" s="208"/>
      <c r="S1858" s="208"/>
      <c r="T1858" s="208"/>
      <c r="U1858" s="208"/>
      <c r="V1858" s="234"/>
      <c r="W1858" s="232"/>
      <c r="X1858" s="232"/>
      <c r="Y1858" s="232"/>
      <c r="Z1858" s="232"/>
      <c r="AA1858" s="232"/>
      <c r="AB1858" s="232"/>
      <c r="AC1858" s="232"/>
      <c r="AD1858" s="232"/>
      <c r="AE1858" s="232"/>
      <c r="AF1858" s="232"/>
      <c r="AG1858" s="208"/>
      <c r="AH1858" s="208"/>
      <c r="AI1858" s="208"/>
      <c r="AJ1858" s="208"/>
      <c r="AK1858" s="208"/>
    </row>
    <row r="1859">
      <c r="A1859" s="208"/>
      <c r="B1859" s="208"/>
      <c r="C1859" s="208"/>
      <c r="D1859" s="208"/>
      <c r="E1859" s="208"/>
      <c r="F1859" s="208"/>
      <c r="G1859" s="208"/>
      <c r="H1859" s="232"/>
      <c r="I1859" s="233"/>
      <c r="J1859" s="208"/>
      <c r="K1859" s="208"/>
      <c r="L1859" s="208"/>
      <c r="M1859" s="208"/>
      <c r="N1859" s="208"/>
      <c r="O1859" s="208"/>
      <c r="P1859" s="208"/>
      <c r="Q1859" s="208"/>
      <c r="R1859" s="208"/>
      <c r="S1859" s="208"/>
      <c r="T1859" s="208"/>
      <c r="U1859" s="208"/>
      <c r="V1859" s="234"/>
      <c r="W1859" s="232"/>
      <c r="X1859" s="232"/>
      <c r="Y1859" s="232"/>
      <c r="Z1859" s="232"/>
      <c r="AA1859" s="232"/>
      <c r="AB1859" s="232"/>
      <c r="AC1859" s="232"/>
      <c r="AD1859" s="232"/>
      <c r="AE1859" s="232"/>
      <c r="AF1859" s="232"/>
      <c r="AG1859" s="208"/>
      <c r="AH1859" s="208"/>
      <c r="AI1859" s="208"/>
      <c r="AJ1859" s="208"/>
      <c r="AK1859" s="208"/>
    </row>
    <row r="1860">
      <c r="A1860" s="208"/>
      <c r="B1860" s="208"/>
      <c r="C1860" s="208"/>
      <c r="D1860" s="208"/>
      <c r="E1860" s="208"/>
      <c r="F1860" s="208"/>
      <c r="G1860" s="208"/>
      <c r="H1860" s="232"/>
      <c r="I1860" s="233"/>
      <c r="J1860" s="208"/>
      <c r="K1860" s="208"/>
      <c r="L1860" s="208"/>
      <c r="M1860" s="208"/>
      <c r="N1860" s="208"/>
      <c r="O1860" s="208"/>
      <c r="P1860" s="208"/>
      <c r="Q1860" s="208"/>
      <c r="R1860" s="208"/>
      <c r="S1860" s="208"/>
      <c r="T1860" s="208"/>
      <c r="U1860" s="208"/>
      <c r="V1860" s="234"/>
      <c r="W1860" s="232"/>
      <c r="X1860" s="232"/>
      <c r="Y1860" s="232"/>
      <c r="Z1860" s="232"/>
      <c r="AA1860" s="232"/>
      <c r="AB1860" s="232"/>
      <c r="AC1860" s="232"/>
      <c r="AD1860" s="232"/>
      <c r="AE1860" s="232"/>
      <c r="AF1860" s="232"/>
      <c r="AG1860" s="208"/>
      <c r="AH1860" s="208"/>
      <c r="AI1860" s="208"/>
      <c r="AJ1860" s="208"/>
      <c r="AK1860" s="208"/>
    </row>
    <row r="1861">
      <c r="A1861" s="208"/>
      <c r="B1861" s="208"/>
      <c r="C1861" s="208"/>
      <c r="D1861" s="208"/>
      <c r="E1861" s="208"/>
      <c r="F1861" s="208"/>
      <c r="G1861" s="208"/>
      <c r="H1861" s="232"/>
      <c r="I1861" s="233"/>
      <c r="J1861" s="208"/>
      <c r="K1861" s="208"/>
      <c r="L1861" s="208"/>
      <c r="M1861" s="208"/>
      <c r="N1861" s="208"/>
      <c r="O1861" s="208"/>
      <c r="P1861" s="208"/>
      <c r="Q1861" s="208"/>
      <c r="R1861" s="208"/>
      <c r="S1861" s="208"/>
      <c r="T1861" s="208"/>
      <c r="U1861" s="208"/>
      <c r="V1861" s="234"/>
      <c r="W1861" s="232"/>
      <c r="X1861" s="232"/>
      <c r="Y1861" s="232"/>
      <c r="Z1861" s="232"/>
      <c r="AA1861" s="232"/>
      <c r="AB1861" s="232"/>
      <c r="AC1861" s="232"/>
      <c r="AD1861" s="232"/>
      <c r="AE1861" s="232"/>
      <c r="AF1861" s="232"/>
      <c r="AG1861" s="208"/>
      <c r="AH1861" s="208"/>
      <c r="AI1861" s="208"/>
      <c r="AJ1861" s="208"/>
      <c r="AK1861" s="208"/>
    </row>
    <row r="1862">
      <c r="A1862" s="208"/>
      <c r="B1862" s="208"/>
      <c r="C1862" s="208"/>
      <c r="D1862" s="208"/>
      <c r="E1862" s="208"/>
      <c r="F1862" s="208"/>
      <c r="G1862" s="208"/>
      <c r="H1862" s="232"/>
      <c r="I1862" s="233"/>
      <c r="J1862" s="208"/>
      <c r="K1862" s="208"/>
      <c r="L1862" s="208"/>
      <c r="M1862" s="208"/>
      <c r="N1862" s="208"/>
      <c r="O1862" s="208"/>
      <c r="P1862" s="208"/>
      <c r="Q1862" s="208"/>
      <c r="R1862" s="208"/>
      <c r="S1862" s="208"/>
      <c r="T1862" s="208"/>
      <c r="U1862" s="208"/>
      <c r="V1862" s="234"/>
      <c r="W1862" s="232"/>
      <c r="X1862" s="232"/>
      <c r="Y1862" s="232"/>
      <c r="Z1862" s="232"/>
      <c r="AA1862" s="232"/>
      <c r="AB1862" s="232"/>
      <c r="AC1862" s="232"/>
      <c r="AD1862" s="232"/>
      <c r="AE1862" s="232"/>
      <c r="AF1862" s="232"/>
      <c r="AG1862" s="208"/>
      <c r="AH1862" s="208"/>
      <c r="AI1862" s="208"/>
      <c r="AJ1862" s="208"/>
      <c r="AK1862" s="208"/>
    </row>
    <row r="1863">
      <c r="A1863" s="208"/>
      <c r="B1863" s="208"/>
      <c r="C1863" s="208"/>
      <c r="D1863" s="208"/>
      <c r="E1863" s="208"/>
      <c r="F1863" s="208"/>
      <c r="G1863" s="208"/>
      <c r="H1863" s="232"/>
      <c r="I1863" s="233"/>
      <c r="J1863" s="208"/>
      <c r="K1863" s="208"/>
      <c r="L1863" s="208"/>
      <c r="M1863" s="208"/>
      <c r="N1863" s="208"/>
      <c r="O1863" s="208"/>
      <c r="P1863" s="208"/>
      <c r="Q1863" s="208"/>
      <c r="R1863" s="208"/>
      <c r="S1863" s="208"/>
      <c r="T1863" s="208"/>
      <c r="U1863" s="208"/>
      <c r="V1863" s="234"/>
      <c r="W1863" s="232"/>
      <c r="X1863" s="232"/>
      <c r="Y1863" s="232"/>
      <c r="Z1863" s="232"/>
      <c r="AA1863" s="232"/>
      <c r="AB1863" s="232"/>
      <c r="AC1863" s="232"/>
      <c r="AD1863" s="232"/>
      <c r="AE1863" s="232"/>
      <c r="AF1863" s="232"/>
      <c r="AG1863" s="208"/>
      <c r="AH1863" s="208"/>
      <c r="AI1863" s="208"/>
      <c r="AJ1863" s="208"/>
      <c r="AK1863" s="208"/>
    </row>
    <row r="1864">
      <c r="A1864" s="208"/>
      <c r="B1864" s="208"/>
      <c r="C1864" s="208"/>
      <c r="D1864" s="208"/>
      <c r="E1864" s="208"/>
      <c r="F1864" s="208"/>
      <c r="G1864" s="208"/>
      <c r="H1864" s="232"/>
      <c r="I1864" s="233"/>
      <c r="J1864" s="208"/>
      <c r="K1864" s="208"/>
      <c r="L1864" s="208"/>
      <c r="M1864" s="208"/>
      <c r="N1864" s="208"/>
      <c r="O1864" s="208"/>
      <c r="P1864" s="208"/>
      <c r="Q1864" s="208"/>
      <c r="R1864" s="208"/>
      <c r="S1864" s="208"/>
      <c r="T1864" s="208"/>
      <c r="U1864" s="208"/>
      <c r="V1864" s="234"/>
      <c r="W1864" s="232"/>
      <c r="X1864" s="232"/>
      <c r="Y1864" s="232"/>
      <c r="Z1864" s="232"/>
      <c r="AA1864" s="232"/>
      <c r="AB1864" s="232"/>
      <c r="AC1864" s="232"/>
      <c r="AD1864" s="232"/>
      <c r="AE1864" s="232"/>
      <c r="AF1864" s="232"/>
      <c r="AG1864" s="208"/>
      <c r="AH1864" s="208"/>
      <c r="AI1864" s="208"/>
      <c r="AJ1864" s="208"/>
      <c r="AK1864" s="208"/>
    </row>
    <row r="1865">
      <c r="A1865" s="208"/>
      <c r="B1865" s="208"/>
      <c r="C1865" s="208"/>
      <c r="D1865" s="208"/>
      <c r="E1865" s="208"/>
      <c r="F1865" s="208"/>
      <c r="G1865" s="208"/>
      <c r="H1865" s="232"/>
      <c r="I1865" s="233"/>
      <c r="J1865" s="208"/>
      <c r="K1865" s="208"/>
      <c r="L1865" s="208"/>
      <c r="M1865" s="208"/>
      <c r="N1865" s="208"/>
      <c r="O1865" s="208"/>
      <c r="P1865" s="208"/>
      <c r="Q1865" s="208"/>
      <c r="R1865" s="208"/>
      <c r="S1865" s="208"/>
      <c r="T1865" s="208"/>
      <c r="U1865" s="208"/>
      <c r="V1865" s="234"/>
      <c r="W1865" s="232"/>
      <c r="X1865" s="232"/>
      <c r="Y1865" s="232"/>
      <c r="Z1865" s="232"/>
      <c r="AA1865" s="232"/>
      <c r="AB1865" s="232"/>
      <c r="AC1865" s="232"/>
      <c r="AD1865" s="232"/>
      <c r="AE1865" s="232"/>
      <c r="AF1865" s="232"/>
      <c r="AG1865" s="208"/>
      <c r="AH1865" s="208"/>
      <c r="AI1865" s="208"/>
      <c r="AJ1865" s="208"/>
      <c r="AK1865" s="208"/>
    </row>
    <row r="1866">
      <c r="A1866" s="208"/>
      <c r="B1866" s="208"/>
      <c r="C1866" s="208"/>
      <c r="D1866" s="208"/>
      <c r="E1866" s="208"/>
      <c r="F1866" s="208"/>
      <c r="G1866" s="208"/>
      <c r="H1866" s="232"/>
      <c r="I1866" s="233"/>
      <c r="J1866" s="208"/>
      <c r="K1866" s="208"/>
      <c r="L1866" s="208"/>
      <c r="M1866" s="208"/>
      <c r="N1866" s="208"/>
      <c r="O1866" s="208"/>
      <c r="P1866" s="208"/>
      <c r="Q1866" s="208"/>
      <c r="R1866" s="208"/>
      <c r="S1866" s="208"/>
      <c r="T1866" s="208"/>
      <c r="U1866" s="208"/>
      <c r="V1866" s="234"/>
      <c r="W1866" s="232"/>
      <c r="X1866" s="232"/>
      <c r="Y1866" s="232"/>
      <c r="Z1866" s="232"/>
      <c r="AA1866" s="232"/>
      <c r="AB1866" s="232"/>
      <c r="AC1866" s="232"/>
      <c r="AD1866" s="232"/>
      <c r="AE1866" s="232"/>
      <c r="AF1866" s="232"/>
      <c r="AG1866" s="208"/>
      <c r="AH1866" s="208"/>
      <c r="AI1866" s="208"/>
      <c r="AJ1866" s="208"/>
      <c r="AK1866" s="208"/>
    </row>
    <row r="1867">
      <c r="A1867" s="208"/>
      <c r="B1867" s="208"/>
      <c r="C1867" s="208"/>
      <c r="D1867" s="208"/>
      <c r="E1867" s="208"/>
      <c r="F1867" s="208"/>
      <c r="G1867" s="208"/>
      <c r="H1867" s="232"/>
      <c r="I1867" s="233"/>
      <c r="J1867" s="208"/>
      <c r="K1867" s="208"/>
      <c r="L1867" s="208"/>
      <c r="M1867" s="208"/>
      <c r="N1867" s="208"/>
      <c r="O1867" s="208"/>
      <c r="P1867" s="208"/>
      <c r="Q1867" s="208"/>
      <c r="R1867" s="208"/>
      <c r="S1867" s="208"/>
      <c r="T1867" s="208"/>
      <c r="U1867" s="208"/>
      <c r="V1867" s="234"/>
      <c r="W1867" s="232"/>
      <c r="X1867" s="232"/>
      <c r="Y1867" s="232"/>
      <c r="Z1867" s="232"/>
      <c r="AA1867" s="232"/>
      <c r="AB1867" s="232"/>
      <c r="AC1867" s="232"/>
      <c r="AD1867" s="232"/>
      <c r="AE1867" s="232"/>
      <c r="AF1867" s="232"/>
      <c r="AG1867" s="208"/>
      <c r="AH1867" s="208"/>
      <c r="AI1867" s="208"/>
      <c r="AJ1867" s="208"/>
      <c r="AK1867" s="208"/>
    </row>
    <row r="1868">
      <c r="A1868" s="208"/>
      <c r="B1868" s="208"/>
      <c r="C1868" s="208"/>
      <c r="D1868" s="208"/>
      <c r="E1868" s="208"/>
      <c r="F1868" s="208"/>
      <c r="G1868" s="208"/>
      <c r="H1868" s="232"/>
      <c r="I1868" s="233"/>
      <c r="J1868" s="208"/>
      <c r="K1868" s="208"/>
      <c r="L1868" s="208"/>
      <c r="M1868" s="208"/>
      <c r="N1868" s="208"/>
      <c r="O1868" s="208"/>
      <c r="P1868" s="208"/>
      <c r="Q1868" s="208"/>
      <c r="R1868" s="208"/>
      <c r="S1868" s="208"/>
      <c r="T1868" s="208"/>
      <c r="U1868" s="208"/>
      <c r="V1868" s="234"/>
      <c r="W1868" s="232"/>
      <c r="X1868" s="232"/>
      <c r="Y1868" s="232"/>
      <c r="Z1868" s="232"/>
      <c r="AA1868" s="232"/>
      <c r="AB1868" s="232"/>
      <c r="AC1868" s="232"/>
      <c r="AD1868" s="232"/>
      <c r="AE1868" s="232"/>
      <c r="AF1868" s="232"/>
      <c r="AG1868" s="208"/>
      <c r="AH1868" s="208"/>
      <c r="AI1868" s="208"/>
      <c r="AJ1868" s="208"/>
      <c r="AK1868" s="208"/>
    </row>
    <row r="1869">
      <c r="A1869" s="208"/>
      <c r="B1869" s="208"/>
      <c r="C1869" s="208"/>
      <c r="D1869" s="208"/>
      <c r="E1869" s="208"/>
      <c r="F1869" s="208"/>
      <c r="G1869" s="208"/>
      <c r="H1869" s="232"/>
      <c r="I1869" s="233"/>
      <c r="J1869" s="208"/>
      <c r="K1869" s="208"/>
      <c r="L1869" s="208"/>
      <c r="M1869" s="208"/>
      <c r="N1869" s="208"/>
      <c r="O1869" s="208"/>
      <c r="P1869" s="208"/>
      <c r="Q1869" s="208"/>
      <c r="R1869" s="208"/>
      <c r="S1869" s="208"/>
      <c r="T1869" s="208"/>
      <c r="U1869" s="208"/>
      <c r="V1869" s="234"/>
      <c r="W1869" s="232"/>
      <c r="X1869" s="232"/>
      <c r="Y1869" s="232"/>
      <c r="Z1869" s="232"/>
      <c r="AA1869" s="232"/>
      <c r="AB1869" s="232"/>
      <c r="AC1869" s="232"/>
      <c r="AD1869" s="232"/>
      <c r="AE1869" s="232"/>
      <c r="AF1869" s="232"/>
      <c r="AG1869" s="208"/>
      <c r="AH1869" s="208"/>
      <c r="AI1869" s="208"/>
      <c r="AJ1869" s="208"/>
      <c r="AK1869" s="208"/>
    </row>
    <row r="1870">
      <c r="A1870" s="208"/>
      <c r="B1870" s="208"/>
      <c r="C1870" s="208"/>
      <c r="D1870" s="208"/>
      <c r="E1870" s="208"/>
      <c r="F1870" s="208"/>
      <c r="G1870" s="208"/>
      <c r="H1870" s="232"/>
      <c r="I1870" s="233"/>
      <c r="J1870" s="208"/>
      <c r="K1870" s="208"/>
      <c r="L1870" s="208"/>
      <c r="M1870" s="208"/>
      <c r="N1870" s="208"/>
      <c r="O1870" s="208"/>
      <c r="P1870" s="208"/>
      <c r="Q1870" s="208"/>
      <c r="R1870" s="208"/>
      <c r="S1870" s="208"/>
      <c r="T1870" s="208"/>
      <c r="U1870" s="208"/>
      <c r="V1870" s="234"/>
      <c r="W1870" s="232"/>
      <c r="X1870" s="232"/>
      <c r="Y1870" s="232"/>
      <c r="Z1870" s="232"/>
      <c r="AA1870" s="232"/>
      <c r="AB1870" s="232"/>
      <c r="AC1870" s="232"/>
      <c r="AD1870" s="232"/>
      <c r="AE1870" s="232"/>
      <c r="AF1870" s="232"/>
      <c r="AG1870" s="208"/>
      <c r="AH1870" s="208"/>
      <c r="AI1870" s="208"/>
      <c r="AJ1870" s="208"/>
      <c r="AK1870" s="208"/>
    </row>
    <row r="1871">
      <c r="A1871" s="208"/>
      <c r="B1871" s="208"/>
      <c r="C1871" s="208"/>
      <c r="D1871" s="208"/>
      <c r="E1871" s="208"/>
      <c r="F1871" s="208"/>
      <c r="G1871" s="208"/>
      <c r="H1871" s="232"/>
      <c r="I1871" s="233"/>
      <c r="J1871" s="208"/>
      <c r="K1871" s="208"/>
      <c r="L1871" s="208"/>
      <c r="M1871" s="208"/>
      <c r="N1871" s="208"/>
      <c r="O1871" s="208"/>
      <c r="P1871" s="208"/>
      <c r="Q1871" s="208"/>
      <c r="R1871" s="208"/>
      <c r="S1871" s="208"/>
      <c r="T1871" s="208"/>
      <c r="U1871" s="208"/>
      <c r="V1871" s="234"/>
      <c r="W1871" s="232"/>
      <c r="X1871" s="232"/>
      <c r="Y1871" s="232"/>
      <c r="Z1871" s="232"/>
      <c r="AA1871" s="232"/>
      <c r="AB1871" s="232"/>
      <c r="AC1871" s="232"/>
      <c r="AD1871" s="232"/>
      <c r="AE1871" s="232"/>
      <c r="AF1871" s="232"/>
      <c r="AG1871" s="208"/>
      <c r="AH1871" s="208"/>
      <c r="AI1871" s="208"/>
      <c r="AJ1871" s="208"/>
      <c r="AK1871" s="208"/>
    </row>
    <row r="1872">
      <c r="A1872" s="208"/>
      <c r="B1872" s="208"/>
      <c r="C1872" s="208"/>
      <c r="D1872" s="208"/>
      <c r="E1872" s="208"/>
      <c r="F1872" s="208"/>
      <c r="G1872" s="208"/>
      <c r="H1872" s="232"/>
      <c r="I1872" s="233"/>
      <c r="J1872" s="208"/>
      <c r="K1872" s="208"/>
      <c r="L1872" s="208"/>
      <c r="M1872" s="208"/>
      <c r="N1872" s="208"/>
      <c r="O1872" s="208"/>
      <c r="P1872" s="208"/>
      <c r="Q1872" s="208"/>
      <c r="R1872" s="208"/>
      <c r="S1872" s="208"/>
      <c r="T1872" s="208"/>
      <c r="U1872" s="208"/>
      <c r="V1872" s="234"/>
      <c r="W1872" s="232"/>
      <c r="X1872" s="232"/>
      <c r="Y1872" s="232"/>
      <c r="Z1872" s="232"/>
      <c r="AA1872" s="232"/>
      <c r="AB1872" s="232"/>
      <c r="AC1872" s="232"/>
      <c r="AD1872" s="232"/>
      <c r="AE1872" s="232"/>
      <c r="AF1872" s="232"/>
      <c r="AG1872" s="208"/>
      <c r="AH1872" s="208"/>
      <c r="AI1872" s="208"/>
      <c r="AJ1872" s="208"/>
      <c r="AK1872" s="208"/>
    </row>
    <row r="1873">
      <c r="A1873" s="208"/>
      <c r="B1873" s="208"/>
      <c r="C1873" s="208"/>
      <c r="D1873" s="208"/>
      <c r="E1873" s="208"/>
      <c r="F1873" s="208"/>
      <c r="G1873" s="208"/>
      <c r="H1873" s="232"/>
      <c r="I1873" s="233"/>
      <c r="J1873" s="208"/>
      <c r="K1873" s="208"/>
      <c r="L1873" s="208"/>
      <c r="M1873" s="208"/>
      <c r="N1873" s="208"/>
      <c r="O1873" s="208"/>
      <c r="P1873" s="208"/>
      <c r="Q1873" s="208"/>
      <c r="R1873" s="208"/>
      <c r="S1873" s="208"/>
      <c r="T1873" s="208"/>
      <c r="U1873" s="208"/>
      <c r="V1873" s="234"/>
      <c r="W1873" s="232"/>
      <c r="X1873" s="232"/>
      <c r="Y1873" s="232"/>
      <c r="Z1873" s="232"/>
      <c r="AA1873" s="232"/>
      <c r="AB1873" s="232"/>
      <c r="AC1873" s="232"/>
      <c r="AD1873" s="232"/>
      <c r="AE1873" s="232"/>
      <c r="AF1873" s="232"/>
      <c r="AG1873" s="208"/>
      <c r="AH1873" s="208"/>
      <c r="AI1873" s="208"/>
      <c r="AJ1873" s="208"/>
      <c r="AK1873" s="208"/>
    </row>
    <row r="1874">
      <c r="A1874" s="208"/>
      <c r="B1874" s="208"/>
      <c r="C1874" s="208"/>
      <c r="D1874" s="208"/>
      <c r="E1874" s="208"/>
      <c r="F1874" s="208"/>
      <c r="G1874" s="208"/>
      <c r="H1874" s="232"/>
      <c r="I1874" s="233"/>
      <c r="J1874" s="208"/>
      <c r="K1874" s="208"/>
      <c r="L1874" s="208"/>
      <c r="M1874" s="208"/>
      <c r="N1874" s="208"/>
      <c r="O1874" s="208"/>
      <c r="P1874" s="208"/>
      <c r="Q1874" s="208"/>
      <c r="R1874" s="208"/>
      <c r="S1874" s="208"/>
      <c r="T1874" s="208"/>
      <c r="U1874" s="208"/>
      <c r="V1874" s="234"/>
      <c r="W1874" s="232"/>
      <c r="X1874" s="232"/>
      <c r="Y1874" s="232"/>
      <c r="Z1874" s="232"/>
      <c r="AA1874" s="232"/>
      <c r="AB1874" s="232"/>
      <c r="AC1874" s="232"/>
      <c r="AD1874" s="232"/>
      <c r="AE1874" s="232"/>
      <c r="AF1874" s="232"/>
      <c r="AG1874" s="208"/>
      <c r="AH1874" s="208"/>
      <c r="AI1874" s="208"/>
      <c r="AJ1874" s="208"/>
      <c r="AK1874" s="208"/>
    </row>
    <row r="1875">
      <c r="A1875" s="208"/>
      <c r="B1875" s="208"/>
      <c r="C1875" s="208"/>
      <c r="D1875" s="208"/>
      <c r="E1875" s="208"/>
      <c r="F1875" s="208"/>
      <c r="G1875" s="208"/>
      <c r="H1875" s="232"/>
      <c r="I1875" s="233"/>
      <c r="J1875" s="208"/>
      <c r="K1875" s="208"/>
      <c r="L1875" s="208"/>
      <c r="M1875" s="208"/>
      <c r="N1875" s="208"/>
      <c r="O1875" s="208"/>
      <c r="P1875" s="208"/>
      <c r="Q1875" s="208"/>
      <c r="R1875" s="208"/>
      <c r="S1875" s="208"/>
      <c r="T1875" s="208"/>
      <c r="U1875" s="208"/>
      <c r="V1875" s="234"/>
      <c r="W1875" s="232"/>
      <c r="X1875" s="232"/>
      <c r="Y1875" s="232"/>
      <c r="Z1875" s="232"/>
      <c r="AA1875" s="232"/>
      <c r="AB1875" s="232"/>
      <c r="AC1875" s="232"/>
      <c r="AD1875" s="232"/>
      <c r="AE1875" s="232"/>
      <c r="AF1875" s="232"/>
      <c r="AG1875" s="208"/>
      <c r="AH1875" s="208"/>
      <c r="AI1875" s="208"/>
      <c r="AJ1875" s="208"/>
      <c r="AK1875" s="208"/>
    </row>
    <row r="1876">
      <c r="A1876" s="208"/>
      <c r="B1876" s="208"/>
      <c r="C1876" s="208"/>
      <c r="D1876" s="208"/>
      <c r="E1876" s="208"/>
      <c r="F1876" s="208"/>
      <c r="G1876" s="208"/>
      <c r="H1876" s="232"/>
      <c r="I1876" s="233"/>
      <c r="J1876" s="208"/>
      <c r="K1876" s="208"/>
      <c r="L1876" s="208"/>
      <c r="M1876" s="208"/>
      <c r="N1876" s="208"/>
      <c r="O1876" s="208"/>
      <c r="P1876" s="208"/>
      <c r="Q1876" s="208"/>
      <c r="R1876" s="208"/>
      <c r="S1876" s="208"/>
      <c r="T1876" s="208"/>
      <c r="U1876" s="208"/>
      <c r="V1876" s="234"/>
      <c r="W1876" s="232"/>
      <c r="X1876" s="232"/>
      <c r="Y1876" s="232"/>
      <c r="Z1876" s="232"/>
      <c r="AA1876" s="232"/>
      <c r="AB1876" s="232"/>
      <c r="AC1876" s="232"/>
      <c r="AD1876" s="232"/>
      <c r="AE1876" s="232"/>
      <c r="AF1876" s="232"/>
      <c r="AG1876" s="208"/>
      <c r="AH1876" s="208"/>
      <c r="AI1876" s="208"/>
      <c r="AJ1876" s="208"/>
      <c r="AK1876" s="208"/>
    </row>
    <row r="1877">
      <c r="A1877" s="208"/>
      <c r="B1877" s="208"/>
      <c r="C1877" s="208"/>
      <c r="D1877" s="208"/>
      <c r="E1877" s="208"/>
      <c r="F1877" s="208"/>
      <c r="G1877" s="208"/>
      <c r="H1877" s="232"/>
      <c r="I1877" s="233"/>
      <c r="J1877" s="208"/>
      <c r="K1877" s="208"/>
      <c r="L1877" s="208"/>
      <c r="M1877" s="208"/>
      <c r="N1877" s="208"/>
      <c r="O1877" s="208"/>
      <c r="P1877" s="208"/>
      <c r="Q1877" s="208"/>
      <c r="R1877" s="208"/>
      <c r="S1877" s="208"/>
      <c r="T1877" s="208"/>
      <c r="U1877" s="208"/>
      <c r="V1877" s="234"/>
      <c r="W1877" s="232"/>
      <c r="X1877" s="232"/>
      <c r="Y1877" s="232"/>
      <c r="Z1877" s="232"/>
      <c r="AA1877" s="232"/>
      <c r="AB1877" s="232"/>
      <c r="AC1877" s="232"/>
      <c r="AD1877" s="232"/>
      <c r="AE1877" s="232"/>
      <c r="AF1877" s="232"/>
      <c r="AG1877" s="208"/>
      <c r="AH1877" s="208"/>
      <c r="AI1877" s="208"/>
      <c r="AJ1877" s="208"/>
      <c r="AK1877" s="208"/>
    </row>
    <row r="1878">
      <c r="A1878" s="208"/>
      <c r="B1878" s="208"/>
      <c r="C1878" s="208"/>
      <c r="D1878" s="208"/>
      <c r="E1878" s="208"/>
      <c r="F1878" s="208"/>
      <c r="G1878" s="208"/>
      <c r="H1878" s="232"/>
      <c r="I1878" s="233"/>
      <c r="J1878" s="208"/>
      <c r="K1878" s="208"/>
      <c r="L1878" s="208"/>
      <c r="M1878" s="208"/>
      <c r="N1878" s="208"/>
      <c r="O1878" s="208"/>
      <c r="P1878" s="208"/>
      <c r="Q1878" s="208"/>
      <c r="R1878" s="208"/>
      <c r="S1878" s="208"/>
      <c r="T1878" s="208"/>
      <c r="U1878" s="208"/>
      <c r="V1878" s="234"/>
      <c r="W1878" s="232"/>
      <c r="X1878" s="232"/>
      <c r="Y1878" s="232"/>
      <c r="Z1878" s="232"/>
      <c r="AA1878" s="232"/>
      <c r="AB1878" s="232"/>
      <c r="AC1878" s="232"/>
      <c r="AD1878" s="232"/>
      <c r="AE1878" s="232"/>
      <c r="AF1878" s="232"/>
      <c r="AG1878" s="208"/>
      <c r="AH1878" s="208"/>
      <c r="AI1878" s="208"/>
      <c r="AJ1878" s="208"/>
      <c r="AK1878" s="208"/>
    </row>
    <row r="1879">
      <c r="A1879" s="208"/>
      <c r="B1879" s="208"/>
      <c r="C1879" s="208"/>
      <c r="D1879" s="208"/>
      <c r="E1879" s="208"/>
      <c r="F1879" s="208"/>
      <c r="G1879" s="208"/>
      <c r="H1879" s="232"/>
      <c r="I1879" s="233"/>
      <c r="J1879" s="208"/>
      <c r="K1879" s="208"/>
      <c r="L1879" s="208"/>
      <c r="M1879" s="208"/>
      <c r="N1879" s="208"/>
      <c r="O1879" s="208"/>
      <c r="P1879" s="208"/>
      <c r="Q1879" s="208"/>
      <c r="R1879" s="208"/>
      <c r="S1879" s="208"/>
      <c r="T1879" s="208"/>
      <c r="U1879" s="208"/>
      <c r="V1879" s="234"/>
      <c r="W1879" s="232"/>
      <c r="X1879" s="232"/>
      <c r="Y1879" s="232"/>
      <c r="Z1879" s="232"/>
      <c r="AA1879" s="232"/>
      <c r="AB1879" s="232"/>
      <c r="AC1879" s="232"/>
      <c r="AD1879" s="232"/>
      <c r="AE1879" s="232"/>
      <c r="AF1879" s="232"/>
      <c r="AG1879" s="208"/>
      <c r="AH1879" s="208"/>
      <c r="AI1879" s="208"/>
      <c r="AJ1879" s="208"/>
      <c r="AK1879" s="208"/>
    </row>
    <row r="1880">
      <c r="A1880" s="208"/>
      <c r="B1880" s="208"/>
      <c r="C1880" s="208"/>
      <c r="D1880" s="208"/>
      <c r="E1880" s="208"/>
      <c r="F1880" s="208"/>
      <c r="G1880" s="208"/>
      <c r="H1880" s="232"/>
      <c r="I1880" s="233"/>
      <c r="J1880" s="208"/>
      <c r="K1880" s="208"/>
      <c r="L1880" s="208"/>
      <c r="M1880" s="208"/>
      <c r="N1880" s="208"/>
      <c r="O1880" s="208"/>
      <c r="P1880" s="208"/>
      <c r="Q1880" s="208"/>
      <c r="R1880" s="208"/>
      <c r="S1880" s="208"/>
      <c r="T1880" s="208"/>
      <c r="U1880" s="208"/>
      <c r="V1880" s="234"/>
      <c r="W1880" s="232"/>
      <c r="X1880" s="232"/>
      <c r="Y1880" s="232"/>
      <c r="Z1880" s="232"/>
      <c r="AA1880" s="232"/>
      <c r="AB1880" s="232"/>
      <c r="AC1880" s="232"/>
      <c r="AD1880" s="232"/>
      <c r="AE1880" s="232"/>
      <c r="AF1880" s="232"/>
      <c r="AG1880" s="208"/>
      <c r="AH1880" s="208"/>
      <c r="AI1880" s="208"/>
      <c r="AJ1880" s="208"/>
      <c r="AK1880" s="208"/>
    </row>
    <row r="1881">
      <c r="A1881" s="208"/>
      <c r="B1881" s="208"/>
      <c r="C1881" s="208"/>
      <c r="D1881" s="208"/>
      <c r="E1881" s="208"/>
      <c r="F1881" s="208"/>
      <c r="G1881" s="208"/>
      <c r="H1881" s="232"/>
      <c r="I1881" s="233"/>
      <c r="J1881" s="208"/>
      <c r="K1881" s="208"/>
      <c r="L1881" s="208"/>
      <c r="M1881" s="208"/>
      <c r="N1881" s="208"/>
      <c r="O1881" s="208"/>
      <c r="P1881" s="208"/>
      <c r="Q1881" s="208"/>
      <c r="R1881" s="208"/>
      <c r="S1881" s="208"/>
      <c r="T1881" s="208"/>
      <c r="U1881" s="208"/>
      <c r="V1881" s="234"/>
      <c r="W1881" s="232"/>
      <c r="X1881" s="232"/>
      <c r="Y1881" s="232"/>
      <c r="Z1881" s="232"/>
      <c r="AA1881" s="232"/>
      <c r="AB1881" s="232"/>
      <c r="AC1881" s="232"/>
      <c r="AD1881" s="232"/>
      <c r="AE1881" s="232"/>
      <c r="AF1881" s="232"/>
      <c r="AG1881" s="208"/>
      <c r="AH1881" s="208"/>
      <c r="AI1881" s="208"/>
      <c r="AJ1881" s="208"/>
      <c r="AK1881" s="208"/>
    </row>
    <row r="1882">
      <c r="A1882" s="208"/>
      <c r="B1882" s="208"/>
      <c r="C1882" s="208"/>
      <c r="D1882" s="208"/>
      <c r="E1882" s="208"/>
      <c r="F1882" s="208"/>
      <c r="G1882" s="208"/>
      <c r="H1882" s="232"/>
      <c r="I1882" s="233"/>
      <c r="J1882" s="208"/>
      <c r="K1882" s="208"/>
      <c r="L1882" s="208"/>
      <c r="M1882" s="208"/>
      <c r="N1882" s="208"/>
      <c r="O1882" s="208"/>
      <c r="P1882" s="208"/>
      <c r="Q1882" s="208"/>
      <c r="R1882" s="208"/>
      <c r="S1882" s="208"/>
      <c r="T1882" s="208"/>
      <c r="U1882" s="208"/>
      <c r="V1882" s="234"/>
      <c r="W1882" s="232"/>
      <c r="X1882" s="232"/>
      <c r="Y1882" s="232"/>
      <c r="Z1882" s="232"/>
      <c r="AA1882" s="232"/>
      <c r="AB1882" s="232"/>
      <c r="AC1882" s="232"/>
      <c r="AD1882" s="232"/>
      <c r="AE1882" s="232"/>
      <c r="AF1882" s="232"/>
      <c r="AG1882" s="208"/>
      <c r="AH1882" s="208"/>
      <c r="AI1882" s="208"/>
      <c r="AJ1882" s="208"/>
      <c r="AK1882" s="208"/>
    </row>
    <row r="1883">
      <c r="A1883" s="208"/>
      <c r="B1883" s="208"/>
      <c r="C1883" s="208"/>
      <c r="D1883" s="208"/>
      <c r="E1883" s="208"/>
      <c r="F1883" s="208"/>
      <c r="G1883" s="208"/>
      <c r="H1883" s="232"/>
      <c r="I1883" s="233"/>
      <c r="J1883" s="208"/>
      <c r="K1883" s="208"/>
      <c r="L1883" s="208"/>
      <c r="M1883" s="208"/>
      <c r="N1883" s="208"/>
      <c r="O1883" s="208"/>
      <c r="P1883" s="208"/>
      <c r="Q1883" s="208"/>
      <c r="R1883" s="208"/>
      <c r="S1883" s="208"/>
      <c r="T1883" s="208"/>
      <c r="U1883" s="208"/>
      <c r="V1883" s="234"/>
      <c r="W1883" s="232"/>
      <c r="X1883" s="232"/>
      <c r="Y1883" s="232"/>
      <c r="Z1883" s="232"/>
      <c r="AA1883" s="232"/>
      <c r="AB1883" s="232"/>
      <c r="AC1883" s="232"/>
      <c r="AD1883" s="232"/>
      <c r="AE1883" s="232"/>
      <c r="AF1883" s="232"/>
      <c r="AG1883" s="208"/>
      <c r="AH1883" s="208"/>
      <c r="AI1883" s="208"/>
      <c r="AJ1883" s="208"/>
      <c r="AK1883" s="208"/>
    </row>
    <row r="1884">
      <c r="A1884" s="208"/>
      <c r="B1884" s="208"/>
      <c r="C1884" s="208"/>
      <c r="D1884" s="208"/>
      <c r="E1884" s="208"/>
      <c r="F1884" s="208"/>
      <c r="G1884" s="208"/>
      <c r="H1884" s="232"/>
      <c r="I1884" s="233"/>
      <c r="J1884" s="208"/>
      <c r="K1884" s="208"/>
      <c r="L1884" s="208"/>
      <c r="M1884" s="208"/>
      <c r="N1884" s="208"/>
      <c r="O1884" s="208"/>
      <c r="P1884" s="208"/>
      <c r="Q1884" s="208"/>
      <c r="R1884" s="208"/>
      <c r="S1884" s="208"/>
      <c r="T1884" s="208"/>
      <c r="U1884" s="208"/>
      <c r="V1884" s="234"/>
      <c r="W1884" s="232"/>
      <c r="X1884" s="232"/>
      <c r="Y1884" s="232"/>
      <c r="Z1884" s="232"/>
      <c r="AA1884" s="232"/>
      <c r="AB1884" s="232"/>
      <c r="AC1884" s="232"/>
      <c r="AD1884" s="232"/>
      <c r="AE1884" s="232"/>
      <c r="AF1884" s="232"/>
      <c r="AG1884" s="208"/>
      <c r="AH1884" s="208"/>
      <c r="AI1884" s="208"/>
      <c r="AJ1884" s="208"/>
      <c r="AK1884" s="208"/>
    </row>
    <row r="1885">
      <c r="A1885" s="208"/>
      <c r="B1885" s="208"/>
      <c r="C1885" s="208"/>
      <c r="D1885" s="208"/>
      <c r="E1885" s="208"/>
      <c r="F1885" s="208"/>
      <c r="G1885" s="208"/>
      <c r="H1885" s="232"/>
      <c r="I1885" s="233"/>
      <c r="J1885" s="208"/>
      <c r="K1885" s="208"/>
      <c r="L1885" s="208"/>
      <c r="M1885" s="208"/>
      <c r="N1885" s="208"/>
      <c r="O1885" s="208"/>
      <c r="P1885" s="208"/>
      <c r="Q1885" s="208"/>
      <c r="R1885" s="208"/>
      <c r="S1885" s="208"/>
      <c r="T1885" s="208"/>
      <c r="U1885" s="208"/>
      <c r="V1885" s="234"/>
      <c r="W1885" s="232"/>
      <c r="X1885" s="232"/>
      <c r="Y1885" s="232"/>
      <c r="Z1885" s="232"/>
      <c r="AA1885" s="232"/>
      <c r="AB1885" s="232"/>
      <c r="AC1885" s="232"/>
      <c r="AD1885" s="232"/>
      <c r="AE1885" s="232"/>
      <c r="AF1885" s="232"/>
      <c r="AG1885" s="208"/>
      <c r="AH1885" s="208"/>
      <c r="AI1885" s="208"/>
      <c r="AJ1885" s="208"/>
      <c r="AK1885" s="208"/>
    </row>
    <row r="1886">
      <c r="A1886" s="208"/>
      <c r="B1886" s="208"/>
      <c r="C1886" s="208"/>
      <c r="D1886" s="208"/>
      <c r="E1886" s="208"/>
      <c r="F1886" s="208"/>
      <c r="G1886" s="208"/>
      <c r="H1886" s="232"/>
      <c r="I1886" s="233"/>
      <c r="J1886" s="208"/>
      <c r="K1886" s="208"/>
      <c r="L1886" s="208"/>
      <c r="M1886" s="208"/>
      <c r="N1886" s="208"/>
      <c r="O1886" s="208"/>
      <c r="P1886" s="208"/>
      <c r="Q1886" s="208"/>
      <c r="R1886" s="208"/>
      <c r="S1886" s="208"/>
      <c r="T1886" s="208"/>
      <c r="U1886" s="208"/>
      <c r="V1886" s="234"/>
      <c r="W1886" s="232"/>
      <c r="X1886" s="232"/>
      <c r="Y1886" s="232"/>
      <c r="Z1886" s="232"/>
      <c r="AA1886" s="232"/>
      <c r="AB1886" s="232"/>
      <c r="AC1886" s="232"/>
      <c r="AD1886" s="232"/>
      <c r="AE1886" s="232"/>
      <c r="AF1886" s="232"/>
      <c r="AG1886" s="208"/>
      <c r="AH1886" s="208"/>
      <c r="AI1886" s="208"/>
      <c r="AJ1886" s="208"/>
      <c r="AK1886" s="208"/>
    </row>
    <row r="1887">
      <c r="A1887" s="208"/>
      <c r="B1887" s="208"/>
      <c r="C1887" s="208"/>
      <c r="D1887" s="208"/>
      <c r="E1887" s="208"/>
      <c r="F1887" s="208"/>
      <c r="G1887" s="208"/>
      <c r="H1887" s="232"/>
      <c r="I1887" s="233"/>
      <c r="J1887" s="208"/>
      <c r="K1887" s="208"/>
      <c r="L1887" s="208"/>
      <c r="M1887" s="208"/>
      <c r="N1887" s="208"/>
      <c r="O1887" s="208"/>
      <c r="P1887" s="208"/>
      <c r="Q1887" s="208"/>
      <c r="R1887" s="208"/>
      <c r="S1887" s="208"/>
      <c r="T1887" s="208"/>
      <c r="U1887" s="208"/>
      <c r="V1887" s="234"/>
      <c r="W1887" s="232"/>
      <c r="X1887" s="232"/>
      <c r="Y1887" s="232"/>
      <c r="Z1887" s="232"/>
      <c r="AA1887" s="232"/>
      <c r="AB1887" s="232"/>
      <c r="AC1887" s="232"/>
      <c r="AD1887" s="232"/>
      <c r="AE1887" s="232"/>
      <c r="AF1887" s="232"/>
      <c r="AG1887" s="208"/>
      <c r="AH1887" s="208"/>
      <c r="AI1887" s="208"/>
      <c r="AJ1887" s="208"/>
      <c r="AK1887" s="208"/>
    </row>
    <row r="1888">
      <c r="A1888" s="208"/>
      <c r="B1888" s="208"/>
      <c r="C1888" s="208"/>
      <c r="D1888" s="208"/>
      <c r="E1888" s="208"/>
      <c r="F1888" s="208"/>
      <c r="G1888" s="208"/>
      <c r="H1888" s="232"/>
      <c r="I1888" s="233"/>
      <c r="J1888" s="208"/>
      <c r="K1888" s="208"/>
      <c r="L1888" s="208"/>
      <c r="M1888" s="208"/>
      <c r="N1888" s="208"/>
      <c r="O1888" s="208"/>
      <c r="P1888" s="208"/>
      <c r="Q1888" s="208"/>
      <c r="R1888" s="208"/>
      <c r="S1888" s="208"/>
      <c r="T1888" s="208"/>
      <c r="U1888" s="208"/>
      <c r="V1888" s="234"/>
      <c r="W1888" s="232"/>
      <c r="X1888" s="232"/>
      <c r="Y1888" s="232"/>
      <c r="Z1888" s="232"/>
      <c r="AA1888" s="232"/>
      <c r="AB1888" s="232"/>
      <c r="AC1888" s="232"/>
      <c r="AD1888" s="232"/>
      <c r="AE1888" s="232"/>
      <c r="AF1888" s="232"/>
      <c r="AG1888" s="208"/>
      <c r="AH1888" s="208"/>
      <c r="AI1888" s="208"/>
      <c r="AJ1888" s="208"/>
      <c r="AK1888" s="208"/>
    </row>
    <row r="1889">
      <c r="A1889" s="208"/>
      <c r="B1889" s="208"/>
      <c r="C1889" s="208"/>
      <c r="D1889" s="208"/>
      <c r="E1889" s="208"/>
      <c r="F1889" s="208"/>
      <c r="G1889" s="208"/>
      <c r="H1889" s="232"/>
      <c r="I1889" s="233"/>
      <c r="J1889" s="208"/>
      <c r="K1889" s="208"/>
      <c r="L1889" s="208"/>
      <c r="M1889" s="208"/>
      <c r="N1889" s="208"/>
      <c r="O1889" s="208"/>
      <c r="P1889" s="208"/>
      <c r="Q1889" s="208"/>
      <c r="R1889" s="208"/>
      <c r="S1889" s="208"/>
      <c r="T1889" s="208"/>
      <c r="U1889" s="208"/>
      <c r="V1889" s="234"/>
      <c r="W1889" s="232"/>
      <c r="X1889" s="232"/>
      <c r="Y1889" s="232"/>
      <c r="Z1889" s="232"/>
      <c r="AA1889" s="232"/>
      <c r="AB1889" s="232"/>
      <c r="AC1889" s="232"/>
      <c r="AD1889" s="232"/>
      <c r="AE1889" s="232"/>
      <c r="AF1889" s="232"/>
      <c r="AG1889" s="208"/>
      <c r="AH1889" s="208"/>
      <c r="AI1889" s="208"/>
      <c r="AJ1889" s="208"/>
      <c r="AK1889" s="208"/>
    </row>
    <row r="1890">
      <c r="A1890" s="208"/>
      <c r="B1890" s="208"/>
      <c r="C1890" s="208"/>
      <c r="D1890" s="208"/>
      <c r="E1890" s="208"/>
      <c r="F1890" s="208"/>
      <c r="G1890" s="208"/>
      <c r="H1890" s="232"/>
      <c r="I1890" s="233"/>
      <c r="J1890" s="208"/>
      <c r="K1890" s="208"/>
      <c r="L1890" s="208"/>
      <c r="M1890" s="208"/>
      <c r="N1890" s="208"/>
      <c r="O1890" s="208"/>
      <c r="P1890" s="208"/>
      <c r="Q1890" s="208"/>
      <c r="R1890" s="208"/>
      <c r="S1890" s="208"/>
      <c r="T1890" s="208"/>
      <c r="U1890" s="208"/>
      <c r="V1890" s="234"/>
      <c r="W1890" s="232"/>
      <c r="X1890" s="232"/>
      <c r="Y1890" s="232"/>
      <c r="Z1890" s="232"/>
      <c r="AA1890" s="232"/>
      <c r="AB1890" s="232"/>
      <c r="AC1890" s="232"/>
      <c r="AD1890" s="232"/>
      <c r="AE1890" s="232"/>
      <c r="AF1890" s="232"/>
      <c r="AG1890" s="208"/>
      <c r="AH1890" s="208"/>
      <c r="AI1890" s="208"/>
      <c r="AJ1890" s="208"/>
      <c r="AK1890" s="208"/>
    </row>
    <row r="1891">
      <c r="A1891" s="208"/>
      <c r="B1891" s="208"/>
      <c r="C1891" s="208"/>
      <c r="D1891" s="208"/>
      <c r="E1891" s="208"/>
      <c r="F1891" s="208"/>
      <c r="G1891" s="208"/>
      <c r="H1891" s="232"/>
      <c r="I1891" s="233"/>
      <c r="J1891" s="208"/>
      <c r="K1891" s="208"/>
      <c r="L1891" s="208"/>
      <c r="M1891" s="208"/>
      <c r="N1891" s="208"/>
      <c r="O1891" s="208"/>
      <c r="P1891" s="208"/>
      <c r="Q1891" s="208"/>
      <c r="R1891" s="208"/>
      <c r="S1891" s="208"/>
      <c r="T1891" s="208"/>
      <c r="U1891" s="208"/>
      <c r="V1891" s="234"/>
      <c r="W1891" s="232"/>
      <c r="X1891" s="232"/>
      <c r="Y1891" s="232"/>
      <c r="Z1891" s="232"/>
      <c r="AA1891" s="232"/>
      <c r="AB1891" s="232"/>
      <c r="AC1891" s="232"/>
      <c r="AD1891" s="232"/>
      <c r="AE1891" s="232"/>
      <c r="AF1891" s="232"/>
      <c r="AG1891" s="208"/>
      <c r="AH1891" s="208"/>
      <c r="AI1891" s="208"/>
      <c r="AJ1891" s="208"/>
      <c r="AK1891" s="208"/>
    </row>
    <row r="1892">
      <c r="A1892" s="208"/>
      <c r="B1892" s="208"/>
      <c r="C1892" s="208"/>
      <c r="D1892" s="208"/>
      <c r="E1892" s="208"/>
      <c r="F1892" s="208"/>
      <c r="G1892" s="208"/>
      <c r="H1892" s="232"/>
      <c r="I1892" s="233"/>
      <c r="J1892" s="208"/>
      <c r="K1892" s="208"/>
      <c r="L1892" s="208"/>
      <c r="M1892" s="208"/>
      <c r="N1892" s="208"/>
      <c r="O1892" s="208"/>
      <c r="P1892" s="208"/>
      <c r="Q1892" s="208"/>
      <c r="R1892" s="208"/>
      <c r="S1892" s="208"/>
      <c r="T1892" s="208"/>
      <c r="U1892" s="208"/>
      <c r="V1892" s="234"/>
      <c r="W1892" s="232"/>
      <c r="X1892" s="232"/>
      <c r="Y1892" s="232"/>
      <c r="Z1892" s="232"/>
      <c r="AA1892" s="232"/>
      <c r="AB1892" s="232"/>
      <c r="AC1892" s="232"/>
      <c r="AD1892" s="232"/>
      <c r="AE1892" s="232"/>
      <c r="AF1892" s="232"/>
      <c r="AG1892" s="208"/>
      <c r="AH1892" s="208"/>
      <c r="AI1892" s="208"/>
      <c r="AJ1892" s="208"/>
      <c r="AK1892" s="208"/>
    </row>
    <row r="1893">
      <c r="A1893" s="208"/>
      <c r="B1893" s="208"/>
      <c r="C1893" s="208"/>
      <c r="D1893" s="208"/>
      <c r="E1893" s="208"/>
      <c r="F1893" s="208"/>
      <c r="G1893" s="208"/>
      <c r="H1893" s="232"/>
      <c r="I1893" s="233"/>
      <c r="J1893" s="208"/>
      <c r="K1893" s="208"/>
      <c r="L1893" s="208"/>
      <c r="M1893" s="208"/>
      <c r="N1893" s="208"/>
      <c r="O1893" s="208"/>
      <c r="P1893" s="208"/>
      <c r="Q1893" s="208"/>
      <c r="R1893" s="208"/>
      <c r="S1893" s="208"/>
      <c r="T1893" s="208"/>
      <c r="U1893" s="208"/>
      <c r="V1893" s="234"/>
      <c r="W1893" s="232"/>
      <c r="X1893" s="232"/>
      <c r="Y1893" s="232"/>
      <c r="Z1893" s="232"/>
      <c r="AA1893" s="232"/>
      <c r="AB1893" s="232"/>
      <c r="AC1893" s="232"/>
      <c r="AD1893" s="232"/>
      <c r="AE1893" s="232"/>
      <c r="AF1893" s="232"/>
      <c r="AG1893" s="208"/>
      <c r="AH1893" s="208"/>
      <c r="AI1893" s="208"/>
      <c r="AJ1893" s="208"/>
      <c r="AK1893" s="208"/>
    </row>
    <row r="1894">
      <c r="A1894" s="208"/>
      <c r="B1894" s="208"/>
      <c r="C1894" s="208"/>
      <c r="D1894" s="208"/>
      <c r="E1894" s="208"/>
      <c r="F1894" s="208"/>
      <c r="G1894" s="208"/>
      <c r="H1894" s="232"/>
      <c r="I1894" s="233"/>
      <c r="J1894" s="208"/>
      <c r="K1894" s="208"/>
      <c r="L1894" s="208"/>
      <c r="M1894" s="208"/>
      <c r="N1894" s="208"/>
      <c r="O1894" s="208"/>
      <c r="P1894" s="208"/>
      <c r="Q1894" s="208"/>
      <c r="R1894" s="208"/>
      <c r="S1894" s="208"/>
      <c r="T1894" s="208"/>
      <c r="U1894" s="208"/>
      <c r="V1894" s="234"/>
      <c r="W1894" s="232"/>
      <c r="X1894" s="232"/>
      <c r="Y1894" s="232"/>
      <c r="Z1894" s="232"/>
      <c r="AA1894" s="232"/>
      <c r="AB1894" s="232"/>
      <c r="AC1894" s="232"/>
      <c r="AD1894" s="232"/>
      <c r="AE1894" s="232"/>
      <c r="AF1894" s="232"/>
      <c r="AG1894" s="208"/>
      <c r="AH1894" s="208"/>
      <c r="AI1894" s="208"/>
      <c r="AJ1894" s="208"/>
      <c r="AK1894" s="208"/>
    </row>
    <row r="1895">
      <c r="A1895" s="208"/>
      <c r="B1895" s="208"/>
      <c r="C1895" s="208"/>
      <c r="D1895" s="208"/>
      <c r="E1895" s="208"/>
      <c r="F1895" s="208"/>
      <c r="G1895" s="208"/>
      <c r="H1895" s="232"/>
      <c r="I1895" s="233"/>
      <c r="J1895" s="208"/>
      <c r="K1895" s="208"/>
      <c r="L1895" s="208"/>
      <c r="M1895" s="208"/>
      <c r="N1895" s="208"/>
      <c r="O1895" s="208"/>
      <c r="P1895" s="208"/>
      <c r="Q1895" s="208"/>
      <c r="R1895" s="208"/>
      <c r="S1895" s="208"/>
      <c r="T1895" s="208"/>
      <c r="U1895" s="208"/>
      <c r="V1895" s="234"/>
      <c r="W1895" s="232"/>
      <c r="X1895" s="232"/>
      <c r="Y1895" s="232"/>
      <c r="Z1895" s="232"/>
      <c r="AA1895" s="232"/>
      <c r="AB1895" s="232"/>
      <c r="AC1895" s="232"/>
      <c r="AD1895" s="232"/>
      <c r="AE1895" s="232"/>
      <c r="AF1895" s="232"/>
      <c r="AG1895" s="208"/>
      <c r="AH1895" s="208"/>
      <c r="AI1895" s="208"/>
      <c r="AJ1895" s="208"/>
      <c r="AK1895" s="208"/>
    </row>
    <row r="1896">
      <c r="A1896" s="208"/>
      <c r="B1896" s="208"/>
      <c r="C1896" s="208"/>
      <c r="D1896" s="208"/>
      <c r="E1896" s="208"/>
      <c r="F1896" s="208"/>
      <c r="G1896" s="208"/>
      <c r="H1896" s="232"/>
      <c r="I1896" s="233"/>
      <c r="J1896" s="208"/>
      <c r="K1896" s="208"/>
      <c r="L1896" s="208"/>
      <c r="M1896" s="208"/>
      <c r="N1896" s="208"/>
      <c r="O1896" s="208"/>
      <c r="P1896" s="208"/>
      <c r="Q1896" s="208"/>
      <c r="R1896" s="208"/>
      <c r="S1896" s="208"/>
      <c r="T1896" s="208"/>
      <c r="U1896" s="208"/>
      <c r="V1896" s="234"/>
      <c r="W1896" s="232"/>
      <c r="X1896" s="232"/>
      <c r="Y1896" s="232"/>
      <c r="Z1896" s="232"/>
      <c r="AA1896" s="232"/>
      <c r="AB1896" s="232"/>
      <c r="AC1896" s="232"/>
      <c r="AD1896" s="232"/>
      <c r="AE1896" s="232"/>
      <c r="AF1896" s="232"/>
      <c r="AG1896" s="208"/>
      <c r="AH1896" s="208"/>
      <c r="AI1896" s="208"/>
      <c r="AJ1896" s="208"/>
      <c r="AK1896" s="208"/>
    </row>
    <row r="1897">
      <c r="A1897" s="208"/>
      <c r="B1897" s="208"/>
      <c r="C1897" s="208"/>
      <c r="D1897" s="208"/>
      <c r="E1897" s="208"/>
      <c r="F1897" s="208"/>
      <c r="G1897" s="208"/>
      <c r="H1897" s="232"/>
      <c r="I1897" s="233"/>
      <c r="J1897" s="208"/>
      <c r="K1897" s="208"/>
      <c r="L1897" s="208"/>
      <c r="M1897" s="208"/>
      <c r="N1897" s="208"/>
      <c r="O1897" s="208"/>
      <c r="P1897" s="208"/>
      <c r="Q1897" s="208"/>
      <c r="R1897" s="208"/>
      <c r="S1897" s="208"/>
      <c r="T1897" s="208"/>
      <c r="U1897" s="208"/>
      <c r="V1897" s="234"/>
      <c r="W1897" s="232"/>
      <c r="X1897" s="232"/>
      <c r="Y1897" s="232"/>
      <c r="Z1897" s="232"/>
      <c r="AA1897" s="232"/>
      <c r="AB1897" s="232"/>
      <c r="AC1897" s="232"/>
      <c r="AD1897" s="232"/>
      <c r="AE1897" s="232"/>
      <c r="AF1897" s="232"/>
      <c r="AG1897" s="208"/>
      <c r="AH1897" s="208"/>
      <c r="AI1897" s="208"/>
      <c r="AJ1897" s="208"/>
      <c r="AK1897" s="208"/>
    </row>
    <row r="1898">
      <c r="A1898" s="208"/>
      <c r="B1898" s="208"/>
      <c r="C1898" s="208"/>
      <c r="D1898" s="208"/>
      <c r="E1898" s="208"/>
      <c r="F1898" s="208"/>
      <c r="G1898" s="208"/>
      <c r="H1898" s="232"/>
      <c r="I1898" s="233"/>
      <c r="J1898" s="208"/>
      <c r="K1898" s="208"/>
      <c r="L1898" s="208"/>
      <c r="M1898" s="208"/>
      <c r="N1898" s="208"/>
      <c r="O1898" s="208"/>
      <c r="P1898" s="208"/>
      <c r="Q1898" s="208"/>
      <c r="R1898" s="208"/>
      <c r="S1898" s="208"/>
      <c r="T1898" s="208"/>
      <c r="U1898" s="208"/>
      <c r="V1898" s="234"/>
      <c r="W1898" s="232"/>
      <c r="X1898" s="232"/>
      <c r="Y1898" s="232"/>
      <c r="Z1898" s="232"/>
      <c r="AA1898" s="232"/>
      <c r="AB1898" s="232"/>
      <c r="AC1898" s="232"/>
      <c r="AD1898" s="232"/>
      <c r="AE1898" s="232"/>
      <c r="AF1898" s="232"/>
      <c r="AG1898" s="208"/>
      <c r="AH1898" s="208"/>
      <c r="AI1898" s="208"/>
      <c r="AJ1898" s="208"/>
      <c r="AK1898" s="208"/>
    </row>
    <row r="1899">
      <c r="A1899" s="208"/>
      <c r="B1899" s="208"/>
      <c r="C1899" s="208"/>
      <c r="D1899" s="208"/>
      <c r="E1899" s="208"/>
      <c r="F1899" s="208"/>
      <c r="G1899" s="208"/>
      <c r="H1899" s="232"/>
      <c r="I1899" s="233"/>
      <c r="J1899" s="208"/>
      <c r="K1899" s="208"/>
      <c r="L1899" s="208"/>
      <c r="M1899" s="208"/>
      <c r="N1899" s="208"/>
      <c r="O1899" s="208"/>
      <c r="P1899" s="208"/>
      <c r="Q1899" s="208"/>
      <c r="R1899" s="208"/>
      <c r="S1899" s="208"/>
      <c r="T1899" s="208"/>
      <c r="U1899" s="208"/>
      <c r="V1899" s="234"/>
      <c r="W1899" s="232"/>
      <c r="X1899" s="232"/>
      <c r="Y1899" s="232"/>
      <c r="Z1899" s="232"/>
      <c r="AA1899" s="232"/>
      <c r="AB1899" s="232"/>
      <c r="AC1899" s="232"/>
      <c r="AD1899" s="232"/>
      <c r="AE1899" s="232"/>
      <c r="AF1899" s="232"/>
      <c r="AG1899" s="208"/>
      <c r="AH1899" s="208"/>
      <c r="AI1899" s="208"/>
      <c r="AJ1899" s="208"/>
      <c r="AK1899" s="208"/>
    </row>
    <row r="1900">
      <c r="A1900" s="208"/>
      <c r="B1900" s="208"/>
      <c r="C1900" s="208"/>
      <c r="D1900" s="208"/>
      <c r="E1900" s="208"/>
      <c r="F1900" s="208"/>
      <c r="G1900" s="208"/>
      <c r="H1900" s="232"/>
      <c r="I1900" s="233"/>
      <c r="J1900" s="208"/>
      <c r="K1900" s="208"/>
      <c r="L1900" s="208"/>
      <c r="M1900" s="208"/>
      <c r="N1900" s="208"/>
      <c r="O1900" s="208"/>
      <c r="P1900" s="208"/>
      <c r="Q1900" s="208"/>
      <c r="R1900" s="208"/>
      <c r="S1900" s="208"/>
      <c r="T1900" s="208"/>
      <c r="U1900" s="208"/>
      <c r="V1900" s="234"/>
      <c r="W1900" s="232"/>
      <c r="X1900" s="232"/>
      <c r="Y1900" s="232"/>
      <c r="Z1900" s="232"/>
      <c r="AA1900" s="232"/>
      <c r="AB1900" s="232"/>
      <c r="AC1900" s="232"/>
      <c r="AD1900" s="232"/>
      <c r="AE1900" s="232"/>
      <c r="AF1900" s="232"/>
      <c r="AG1900" s="208"/>
      <c r="AH1900" s="208"/>
      <c r="AI1900" s="208"/>
      <c r="AJ1900" s="208"/>
      <c r="AK1900" s="208"/>
    </row>
    <row r="1901">
      <c r="A1901" s="208"/>
      <c r="B1901" s="208"/>
      <c r="C1901" s="208"/>
      <c r="D1901" s="208"/>
      <c r="E1901" s="208"/>
      <c r="F1901" s="208"/>
      <c r="G1901" s="208"/>
      <c r="H1901" s="232"/>
      <c r="I1901" s="233"/>
      <c r="J1901" s="208"/>
      <c r="K1901" s="208"/>
      <c r="L1901" s="208"/>
      <c r="M1901" s="208"/>
      <c r="N1901" s="208"/>
      <c r="O1901" s="208"/>
      <c r="P1901" s="208"/>
      <c r="Q1901" s="208"/>
      <c r="R1901" s="208"/>
      <c r="S1901" s="208"/>
      <c r="T1901" s="208"/>
      <c r="U1901" s="208"/>
      <c r="V1901" s="234"/>
      <c r="W1901" s="232"/>
      <c r="X1901" s="232"/>
      <c r="Y1901" s="232"/>
      <c r="Z1901" s="232"/>
      <c r="AA1901" s="232"/>
      <c r="AB1901" s="232"/>
      <c r="AC1901" s="232"/>
      <c r="AD1901" s="232"/>
      <c r="AE1901" s="232"/>
      <c r="AF1901" s="232"/>
      <c r="AG1901" s="208"/>
      <c r="AH1901" s="208"/>
      <c r="AI1901" s="208"/>
      <c r="AJ1901" s="208"/>
      <c r="AK1901" s="208"/>
    </row>
    <row r="1902">
      <c r="A1902" s="208"/>
      <c r="B1902" s="208"/>
      <c r="C1902" s="208"/>
      <c r="D1902" s="208"/>
      <c r="E1902" s="208"/>
      <c r="F1902" s="208"/>
      <c r="G1902" s="208"/>
      <c r="H1902" s="232"/>
      <c r="I1902" s="233"/>
      <c r="J1902" s="208"/>
      <c r="K1902" s="208"/>
      <c r="L1902" s="208"/>
      <c r="M1902" s="208"/>
      <c r="N1902" s="208"/>
      <c r="O1902" s="208"/>
      <c r="P1902" s="208"/>
      <c r="Q1902" s="208"/>
      <c r="R1902" s="208"/>
      <c r="S1902" s="208"/>
      <c r="T1902" s="208"/>
      <c r="U1902" s="208"/>
      <c r="V1902" s="234"/>
      <c r="W1902" s="232"/>
      <c r="X1902" s="232"/>
      <c r="Y1902" s="232"/>
      <c r="Z1902" s="232"/>
      <c r="AA1902" s="232"/>
      <c r="AB1902" s="232"/>
      <c r="AC1902" s="232"/>
      <c r="AD1902" s="232"/>
      <c r="AE1902" s="232"/>
      <c r="AF1902" s="232"/>
      <c r="AG1902" s="208"/>
      <c r="AH1902" s="208"/>
      <c r="AI1902" s="208"/>
      <c r="AJ1902" s="208"/>
      <c r="AK1902" s="208"/>
    </row>
    <row r="1903">
      <c r="A1903" s="208"/>
      <c r="B1903" s="208"/>
      <c r="C1903" s="208"/>
      <c r="D1903" s="208"/>
      <c r="E1903" s="208"/>
      <c r="F1903" s="208"/>
      <c r="G1903" s="208"/>
      <c r="H1903" s="232"/>
      <c r="I1903" s="233"/>
      <c r="J1903" s="208"/>
      <c r="K1903" s="208"/>
      <c r="L1903" s="208"/>
      <c r="M1903" s="208"/>
      <c r="N1903" s="208"/>
      <c r="O1903" s="208"/>
      <c r="P1903" s="208"/>
      <c r="Q1903" s="208"/>
      <c r="R1903" s="208"/>
      <c r="S1903" s="208"/>
      <c r="T1903" s="208"/>
      <c r="U1903" s="208"/>
      <c r="V1903" s="234"/>
      <c r="W1903" s="232"/>
      <c r="X1903" s="232"/>
      <c r="Y1903" s="232"/>
      <c r="Z1903" s="232"/>
      <c r="AA1903" s="232"/>
      <c r="AB1903" s="232"/>
      <c r="AC1903" s="232"/>
      <c r="AD1903" s="232"/>
      <c r="AE1903" s="232"/>
      <c r="AF1903" s="232"/>
      <c r="AG1903" s="208"/>
      <c r="AH1903" s="208"/>
      <c r="AI1903" s="208"/>
      <c r="AJ1903" s="208"/>
      <c r="AK1903" s="208"/>
    </row>
    <row r="1904">
      <c r="A1904" s="208"/>
      <c r="B1904" s="208"/>
      <c r="C1904" s="208"/>
      <c r="D1904" s="208"/>
      <c r="E1904" s="208"/>
      <c r="F1904" s="208"/>
      <c r="G1904" s="208"/>
      <c r="H1904" s="232"/>
      <c r="I1904" s="233"/>
      <c r="J1904" s="208"/>
      <c r="K1904" s="208"/>
      <c r="L1904" s="208"/>
      <c r="M1904" s="208"/>
      <c r="N1904" s="208"/>
      <c r="O1904" s="208"/>
      <c r="P1904" s="208"/>
      <c r="Q1904" s="208"/>
      <c r="R1904" s="208"/>
      <c r="S1904" s="208"/>
      <c r="T1904" s="208"/>
      <c r="U1904" s="208"/>
      <c r="V1904" s="234"/>
      <c r="W1904" s="232"/>
      <c r="X1904" s="232"/>
      <c r="Y1904" s="232"/>
      <c r="Z1904" s="232"/>
      <c r="AA1904" s="232"/>
      <c r="AB1904" s="232"/>
      <c r="AC1904" s="232"/>
      <c r="AD1904" s="232"/>
      <c r="AE1904" s="232"/>
      <c r="AF1904" s="232"/>
      <c r="AG1904" s="208"/>
      <c r="AH1904" s="208"/>
      <c r="AI1904" s="208"/>
      <c r="AJ1904" s="208"/>
      <c r="AK1904" s="208"/>
    </row>
    <row r="1905">
      <c r="A1905" s="208"/>
      <c r="B1905" s="208"/>
      <c r="C1905" s="208"/>
      <c r="D1905" s="208"/>
      <c r="E1905" s="208"/>
      <c r="F1905" s="208"/>
      <c r="G1905" s="208"/>
      <c r="H1905" s="232"/>
      <c r="I1905" s="233"/>
      <c r="J1905" s="208"/>
      <c r="K1905" s="208"/>
      <c r="L1905" s="208"/>
      <c r="M1905" s="208"/>
      <c r="N1905" s="208"/>
      <c r="O1905" s="208"/>
      <c r="P1905" s="208"/>
      <c r="Q1905" s="208"/>
      <c r="R1905" s="208"/>
      <c r="S1905" s="208"/>
      <c r="T1905" s="208"/>
      <c r="U1905" s="208"/>
      <c r="V1905" s="234"/>
      <c r="W1905" s="232"/>
      <c r="X1905" s="232"/>
      <c r="Y1905" s="232"/>
      <c r="Z1905" s="232"/>
      <c r="AA1905" s="232"/>
      <c r="AB1905" s="232"/>
      <c r="AC1905" s="232"/>
      <c r="AD1905" s="232"/>
      <c r="AE1905" s="232"/>
      <c r="AF1905" s="232"/>
      <c r="AG1905" s="208"/>
      <c r="AH1905" s="208"/>
      <c r="AI1905" s="208"/>
      <c r="AJ1905" s="208"/>
      <c r="AK1905" s="208"/>
    </row>
    <row r="1906">
      <c r="A1906" s="208"/>
      <c r="B1906" s="208"/>
      <c r="C1906" s="208"/>
      <c r="D1906" s="208"/>
      <c r="E1906" s="208"/>
      <c r="F1906" s="208"/>
      <c r="G1906" s="208"/>
      <c r="H1906" s="232"/>
      <c r="I1906" s="233"/>
      <c r="J1906" s="208"/>
      <c r="K1906" s="208"/>
      <c r="L1906" s="208"/>
      <c r="M1906" s="208"/>
      <c r="N1906" s="208"/>
      <c r="O1906" s="208"/>
      <c r="P1906" s="208"/>
      <c r="Q1906" s="208"/>
      <c r="R1906" s="208"/>
      <c r="S1906" s="208"/>
      <c r="T1906" s="208"/>
      <c r="U1906" s="208"/>
      <c r="V1906" s="234"/>
      <c r="W1906" s="232"/>
      <c r="X1906" s="232"/>
      <c r="Y1906" s="232"/>
      <c r="Z1906" s="232"/>
      <c r="AA1906" s="232"/>
      <c r="AB1906" s="232"/>
      <c r="AC1906" s="232"/>
      <c r="AD1906" s="232"/>
      <c r="AE1906" s="232"/>
      <c r="AF1906" s="232"/>
      <c r="AG1906" s="208"/>
      <c r="AH1906" s="208"/>
      <c r="AI1906" s="208"/>
      <c r="AJ1906" s="208"/>
      <c r="AK1906" s="208"/>
    </row>
    <row r="1907">
      <c r="A1907" s="208"/>
      <c r="B1907" s="208"/>
      <c r="C1907" s="208"/>
      <c r="D1907" s="208"/>
      <c r="E1907" s="208"/>
      <c r="F1907" s="208"/>
      <c r="G1907" s="208"/>
      <c r="H1907" s="232"/>
      <c r="I1907" s="233"/>
      <c r="J1907" s="208"/>
      <c r="K1907" s="208"/>
      <c r="L1907" s="208"/>
      <c r="M1907" s="208"/>
      <c r="N1907" s="208"/>
      <c r="O1907" s="208"/>
      <c r="P1907" s="208"/>
      <c r="Q1907" s="208"/>
      <c r="R1907" s="208"/>
      <c r="S1907" s="208"/>
      <c r="T1907" s="208"/>
      <c r="U1907" s="208"/>
      <c r="V1907" s="234"/>
      <c r="W1907" s="232"/>
      <c r="X1907" s="232"/>
      <c r="Y1907" s="232"/>
      <c r="Z1907" s="232"/>
      <c r="AA1907" s="232"/>
      <c r="AB1907" s="232"/>
      <c r="AC1907" s="232"/>
      <c r="AD1907" s="232"/>
      <c r="AE1907" s="232"/>
      <c r="AF1907" s="232"/>
      <c r="AG1907" s="208"/>
      <c r="AH1907" s="208"/>
      <c r="AI1907" s="208"/>
      <c r="AJ1907" s="208"/>
      <c r="AK1907" s="208"/>
    </row>
    <row r="1908">
      <c r="A1908" s="208"/>
      <c r="B1908" s="208"/>
      <c r="C1908" s="208"/>
      <c r="D1908" s="208"/>
      <c r="E1908" s="208"/>
      <c r="F1908" s="208"/>
      <c r="G1908" s="208"/>
      <c r="H1908" s="232"/>
      <c r="I1908" s="233"/>
      <c r="J1908" s="208"/>
      <c r="K1908" s="208"/>
      <c r="L1908" s="208"/>
      <c r="M1908" s="208"/>
      <c r="N1908" s="208"/>
      <c r="O1908" s="208"/>
      <c r="P1908" s="208"/>
      <c r="Q1908" s="208"/>
      <c r="R1908" s="208"/>
      <c r="S1908" s="208"/>
      <c r="T1908" s="208"/>
      <c r="U1908" s="208"/>
      <c r="V1908" s="234"/>
      <c r="W1908" s="232"/>
      <c r="X1908" s="232"/>
      <c r="Y1908" s="232"/>
      <c r="Z1908" s="232"/>
      <c r="AA1908" s="232"/>
      <c r="AB1908" s="232"/>
      <c r="AC1908" s="232"/>
      <c r="AD1908" s="232"/>
      <c r="AE1908" s="232"/>
      <c r="AF1908" s="232"/>
      <c r="AG1908" s="208"/>
      <c r="AH1908" s="208"/>
      <c r="AI1908" s="208"/>
      <c r="AJ1908" s="208"/>
      <c r="AK1908" s="208"/>
    </row>
    <row r="1909">
      <c r="A1909" s="208"/>
      <c r="B1909" s="208"/>
      <c r="C1909" s="208"/>
      <c r="D1909" s="208"/>
      <c r="E1909" s="208"/>
      <c r="F1909" s="208"/>
      <c r="G1909" s="208"/>
      <c r="H1909" s="232"/>
      <c r="I1909" s="233"/>
      <c r="J1909" s="208"/>
      <c r="K1909" s="208"/>
      <c r="L1909" s="208"/>
      <c r="M1909" s="208"/>
      <c r="N1909" s="208"/>
      <c r="O1909" s="208"/>
      <c r="P1909" s="208"/>
      <c r="Q1909" s="208"/>
      <c r="R1909" s="208"/>
      <c r="S1909" s="208"/>
      <c r="T1909" s="208"/>
      <c r="U1909" s="208"/>
      <c r="V1909" s="234"/>
      <c r="W1909" s="232"/>
      <c r="X1909" s="232"/>
      <c r="Y1909" s="232"/>
      <c r="Z1909" s="232"/>
      <c r="AA1909" s="232"/>
      <c r="AB1909" s="232"/>
      <c r="AC1909" s="232"/>
      <c r="AD1909" s="232"/>
      <c r="AE1909" s="232"/>
      <c r="AF1909" s="232"/>
      <c r="AG1909" s="208"/>
      <c r="AH1909" s="208"/>
      <c r="AI1909" s="208"/>
      <c r="AJ1909" s="208"/>
      <c r="AK1909" s="208"/>
    </row>
    <row r="1910">
      <c r="A1910" s="208"/>
      <c r="B1910" s="208"/>
      <c r="C1910" s="208"/>
      <c r="D1910" s="208"/>
      <c r="E1910" s="208"/>
      <c r="F1910" s="208"/>
      <c r="G1910" s="208"/>
      <c r="H1910" s="232"/>
      <c r="I1910" s="233"/>
      <c r="J1910" s="208"/>
      <c r="K1910" s="208"/>
      <c r="L1910" s="208"/>
      <c r="M1910" s="208"/>
      <c r="N1910" s="208"/>
      <c r="O1910" s="208"/>
      <c r="P1910" s="208"/>
      <c r="Q1910" s="208"/>
      <c r="R1910" s="208"/>
      <c r="S1910" s="208"/>
      <c r="T1910" s="208"/>
      <c r="U1910" s="208"/>
      <c r="V1910" s="234"/>
      <c r="W1910" s="232"/>
      <c r="X1910" s="232"/>
      <c r="Y1910" s="232"/>
      <c r="Z1910" s="232"/>
      <c r="AA1910" s="232"/>
      <c r="AB1910" s="232"/>
      <c r="AC1910" s="232"/>
      <c r="AD1910" s="232"/>
      <c r="AE1910" s="232"/>
      <c r="AF1910" s="232"/>
      <c r="AG1910" s="208"/>
      <c r="AH1910" s="208"/>
      <c r="AI1910" s="208"/>
      <c r="AJ1910" s="208"/>
      <c r="AK1910" s="208"/>
    </row>
    <row r="1911">
      <c r="A1911" s="208"/>
      <c r="B1911" s="208"/>
      <c r="C1911" s="208"/>
      <c r="D1911" s="208"/>
      <c r="E1911" s="208"/>
      <c r="F1911" s="208"/>
      <c r="G1911" s="208"/>
      <c r="H1911" s="232"/>
      <c r="I1911" s="233"/>
      <c r="J1911" s="208"/>
      <c r="K1911" s="208"/>
      <c r="L1911" s="208"/>
      <c r="M1911" s="208"/>
      <c r="N1911" s="208"/>
      <c r="O1911" s="208"/>
      <c r="P1911" s="208"/>
      <c r="Q1911" s="208"/>
      <c r="R1911" s="208"/>
      <c r="S1911" s="208"/>
      <c r="T1911" s="208"/>
      <c r="U1911" s="208"/>
      <c r="V1911" s="234"/>
      <c r="W1911" s="232"/>
      <c r="X1911" s="232"/>
      <c r="Y1911" s="232"/>
      <c r="Z1911" s="232"/>
      <c r="AA1911" s="232"/>
      <c r="AB1911" s="232"/>
      <c r="AC1911" s="232"/>
      <c r="AD1911" s="232"/>
      <c r="AE1911" s="232"/>
      <c r="AF1911" s="232"/>
      <c r="AG1911" s="208"/>
      <c r="AH1911" s="208"/>
      <c r="AI1911" s="208"/>
      <c r="AJ1911" s="208"/>
      <c r="AK1911" s="208"/>
    </row>
    <row r="1912">
      <c r="A1912" s="208"/>
      <c r="B1912" s="208"/>
      <c r="C1912" s="208"/>
      <c r="D1912" s="208"/>
      <c r="E1912" s="208"/>
      <c r="F1912" s="208"/>
      <c r="G1912" s="208"/>
      <c r="H1912" s="232"/>
      <c r="I1912" s="233"/>
      <c r="J1912" s="208"/>
      <c r="K1912" s="208"/>
      <c r="L1912" s="208"/>
      <c r="M1912" s="208"/>
      <c r="N1912" s="208"/>
      <c r="O1912" s="208"/>
      <c r="P1912" s="208"/>
      <c r="Q1912" s="208"/>
      <c r="R1912" s="208"/>
      <c r="S1912" s="208"/>
      <c r="T1912" s="208"/>
      <c r="U1912" s="208"/>
      <c r="V1912" s="234"/>
      <c r="W1912" s="232"/>
      <c r="X1912" s="232"/>
      <c r="Y1912" s="232"/>
      <c r="Z1912" s="232"/>
      <c r="AA1912" s="232"/>
      <c r="AB1912" s="232"/>
      <c r="AC1912" s="232"/>
      <c r="AD1912" s="232"/>
      <c r="AE1912" s="232"/>
      <c r="AF1912" s="232"/>
      <c r="AG1912" s="208"/>
      <c r="AH1912" s="208"/>
      <c r="AI1912" s="208"/>
      <c r="AJ1912" s="208"/>
      <c r="AK1912" s="208"/>
    </row>
    <row r="1913">
      <c r="A1913" s="208"/>
      <c r="B1913" s="208"/>
      <c r="C1913" s="208"/>
      <c r="D1913" s="208"/>
      <c r="E1913" s="208"/>
      <c r="F1913" s="208"/>
      <c r="G1913" s="208"/>
      <c r="H1913" s="232"/>
      <c r="I1913" s="233"/>
      <c r="J1913" s="208"/>
      <c r="K1913" s="208"/>
      <c r="L1913" s="208"/>
      <c r="M1913" s="208"/>
      <c r="N1913" s="208"/>
      <c r="O1913" s="208"/>
      <c r="P1913" s="208"/>
      <c r="Q1913" s="208"/>
      <c r="R1913" s="208"/>
      <c r="S1913" s="208"/>
      <c r="T1913" s="208"/>
      <c r="U1913" s="208"/>
      <c r="V1913" s="234"/>
      <c r="W1913" s="232"/>
      <c r="X1913" s="232"/>
      <c r="Y1913" s="232"/>
      <c r="Z1913" s="232"/>
      <c r="AA1913" s="232"/>
      <c r="AB1913" s="232"/>
      <c r="AC1913" s="232"/>
      <c r="AD1913" s="232"/>
      <c r="AE1913" s="232"/>
      <c r="AF1913" s="232"/>
      <c r="AG1913" s="208"/>
      <c r="AH1913" s="208"/>
      <c r="AI1913" s="208"/>
      <c r="AJ1913" s="208"/>
      <c r="AK1913" s="208"/>
    </row>
    <row r="1914">
      <c r="A1914" s="208"/>
      <c r="B1914" s="208"/>
      <c r="C1914" s="208"/>
      <c r="D1914" s="208"/>
      <c r="E1914" s="208"/>
      <c r="F1914" s="208"/>
      <c r="G1914" s="208"/>
      <c r="H1914" s="232"/>
      <c r="I1914" s="233"/>
      <c r="J1914" s="208"/>
      <c r="K1914" s="208"/>
      <c r="L1914" s="208"/>
      <c r="M1914" s="208"/>
      <c r="N1914" s="208"/>
      <c r="O1914" s="208"/>
      <c r="P1914" s="208"/>
      <c r="Q1914" s="208"/>
      <c r="R1914" s="208"/>
      <c r="S1914" s="208"/>
      <c r="T1914" s="208"/>
      <c r="U1914" s="208"/>
      <c r="V1914" s="234"/>
      <c r="W1914" s="232"/>
      <c r="X1914" s="232"/>
      <c r="Y1914" s="232"/>
      <c r="Z1914" s="232"/>
      <c r="AA1914" s="232"/>
      <c r="AB1914" s="232"/>
      <c r="AC1914" s="232"/>
      <c r="AD1914" s="232"/>
      <c r="AE1914" s="232"/>
      <c r="AF1914" s="232"/>
      <c r="AG1914" s="208"/>
      <c r="AH1914" s="208"/>
      <c r="AI1914" s="208"/>
      <c r="AJ1914" s="208"/>
      <c r="AK1914" s="208"/>
    </row>
    <row r="1915">
      <c r="A1915" s="208"/>
      <c r="B1915" s="208"/>
      <c r="C1915" s="208"/>
      <c r="D1915" s="208"/>
      <c r="E1915" s="208"/>
      <c r="F1915" s="208"/>
      <c r="G1915" s="208"/>
      <c r="H1915" s="232"/>
      <c r="I1915" s="233"/>
      <c r="J1915" s="208"/>
      <c r="K1915" s="208"/>
      <c r="L1915" s="208"/>
      <c r="M1915" s="208"/>
      <c r="N1915" s="208"/>
      <c r="O1915" s="208"/>
      <c r="P1915" s="208"/>
      <c r="Q1915" s="208"/>
      <c r="R1915" s="208"/>
      <c r="S1915" s="208"/>
      <c r="T1915" s="208"/>
      <c r="U1915" s="208"/>
      <c r="V1915" s="234"/>
      <c r="W1915" s="232"/>
      <c r="X1915" s="232"/>
      <c r="Y1915" s="232"/>
      <c r="Z1915" s="232"/>
      <c r="AA1915" s="232"/>
      <c r="AB1915" s="232"/>
      <c r="AC1915" s="232"/>
      <c r="AD1915" s="232"/>
      <c r="AE1915" s="232"/>
      <c r="AF1915" s="232"/>
      <c r="AG1915" s="208"/>
      <c r="AH1915" s="208"/>
      <c r="AI1915" s="208"/>
      <c r="AJ1915" s="208"/>
      <c r="AK1915" s="208"/>
    </row>
    <row r="1916">
      <c r="A1916" s="208"/>
      <c r="B1916" s="208"/>
      <c r="C1916" s="208"/>
      <c r="D1916" s="208"/>
      <c r="E1916" s="208"/>
      <c r="F1916" s="208"/>
      <c r="G1916" s="208"/>
      <c r="H1916" s="232"/>
      <c r="I1916" s="233"/>
      <c r="J1916" s="208"/>
      <c r="K1916" s="208"/>
      <c r="L1916" s="208"/>
      <c r="M1916" s="208"/>
      <c r="N1916" s="208"/>
      <c r="O1916" s="208"/>
      <c r="P1916" s="208"/>
      <c r="Q1916" s="208"/>
      <c r="R1916" s="208"/>
      <c r="S1916" s="208"/>
      <c r="T1916" s="208"/>
      <c r="U1916" s="208"/>
      <c r="V1916" s="234"/>
      <c r="W1916" s="232"/>
      <c r="X1916" s="232"/>
      <c r="Y1916" s="232"/>
      <c r="Z1916" s="232"/>
      <c r="AA1916" s="232"/>
      <c r="AB1916" s="232"/>
      <c r="AC1916" s="232"/>
      <c r="AD1916" s="232"/>
      <c r="AE1916" s="232"/>
      <c r="AF1916" s="232"/>
      <c r="AG1916" s="208"/>
      <c r="AH1916" s="208"/>
      <c r="AI1916" s="208"/>
      <c r="AJ1916" s="208"/>
      <c r="AK1916" s="208"/>
    </row>
    <row r="1917">
      <c r="A1917" s="208"/>
      <c r="B1917" s="208"/>
      <c r="C1917" s="208"/>
      <c r="D1917" s="208"/>
      <c r="E1917" s="208"/>
      <c r="F1917" s="208"/>
      <c r="G1917" s="208"/>
      <c r="H1917" s="232"/>
      <c r="I1917" s="233"/>
      <c r="J1917" s="208"/>
      <c r="K1917" s="208"/>
      <c r="L1917" s="208"/>
      <c r="M1917" s="208"/>
      <c r="N1917" s="208"/>
      <c r="O1917" s="208"/>
      <c r="P1917" s="208"/>
      <c r="Q1917" s="208"/>
      <c r="R1917" s="208"/>
      <c r="S1917" s="208"/>
      <c r="T1917" s="208"/>
      <c r="U1917" s="208"/>
      <c r="V1917" s="234"/>
      <c r="W1917" s="232"/>
      <c r="X1917" s="232"/>
      <c r="Y1917" s="232"/>
      <c r="Z1917" s="232"/>
      <c r="AA1917" s="232"/>
      <c r="AB1917" s="232"/>
      <c r="AC1917" s="232"/>
      <c r="AD1917" s="232"/>
      <c r="AE1917" s="232"/>
      <c r="AF1917" s="232"/>
      <c r="AG1917" s="208"/>
      <c r="AH1917" s="208"/>
      <c r="AI1917" s="208"/>
      <c r="AJ1917" s="208"/>
      <c r="AK1917" s="208"/>
    </row>
    <row r="1918">
      <c r="A1918" s="208"/>
      <c r="B1918" s="208"/>
      <c r="C1918" s="208"/>
      <c r="D1918" s="208"/>
      <c r="E1918" s="208"/>
      <c r="F1918" s="208"/>
      <c r="G1918" s="208"/>
      <c r="H1918" s="232"/>
      <c r="I1918" s="233"/>
      <c r="J1918" s="208"/>
      <c r="K1918" s="208"/>
      <c r="L1918" s="208"/>
      <c r="M1918" s="208"/>
      <c r="N1918" s="208"/>
      <c r="O1918" s="208"/>
      <c r="P1918" s="208"/>
      <c r="Q1918" s="208"/>
      <c r="R1918" s="208"/>
      <c r="S1918" s="208"/>
      <c r="T1918" s="208"/>
      <c r="U1918" s="208"/>
      <c r="V1918" s="234"/>
      <c r="W1918" s="232"/>
      <c r="X1918" s="232"/>
      <c r="Y1918" s="232"/>
      <c r="Z1918" s="232"/>
      <c r="AA1918" s="232"/>
      <c r="AB1918" s="232"/>
      <c r="AC1918" s="232"/>
      <c r="AD1918" s="232"/>
      <c r="AE1918" s="232"/>
      <c r="AF1918" s="232"/>
      <c r="AG1918" s="208"/>
      <c r="AH1918" s="208"/>
      <c r="AI1918" s="208"/>
      <c r="AJ1918" s="208"/>
      <c r="AK1918" s="208"/>
    </row>
    <row r="1919">
      <c r="A1919" s="208"/>
      <c r="B1919" s="208"/>
      <c r="C1919" s="208"/>
      <c r="D1919" s="208"/>
      <c r="E1919" s="208"/>
      <c r="F1919" s="208"/>
      <c r="G1919" s="208"/>
      <c r="H1919" s="232"/>
      <c r="I1919" s="233"/>
      <c r="J1919" s="208"/>
      <c r="K1919" s="208"/>
      <c r="L1919" s="208"/>
      <c r="M1919" s="208"/>
      <c r="N1919" s="208"/>
      <c r="O1919" s="208"/>
      <c r="P1919" s="208"/>
      <c r="Q1919" s="208"/>
      <c r="R1919" s="208"/>
      <c r="S1919" s="208"/>
      <c r="T1919" s="208"/>
      <c r="U1919" s="208"/>
      <c r="V1919" s="234"/>
      <c r="W1919" s="232"/>
      <c r="X1919" s="232"/>
      <c r="Y1919" s="232"/>
      <c r="Z1919" s="232"/>
      <c r="AA1919" s="232"/>
      <c r="AB1919" s="232"/>
      <c r="AC1919" s="232"/>
      <c r="AD1919" s="232"/>
      <c r="AE1919" s="232"/>
      <c r="AF1919" s="232"/>
      <c r="AG1919" s="208"/>
      <c r="AH1919" s="208"/>
      <c r="AI1919" s="208"/>
      <c r="AJ1919" s="208"/>
      <c r="AK1919" s="208"/>
    </row>
    <row r="1920">
      <c r="A1920" s="208"/>
      <c r="B1920" s="208"/>
      <c r="C1920" s="208"/>
      <c r="D1920" s="208"/>
      <c r="E1920" s="208"/>
      <c r="F1920" s="208"/>
      <c r="G1920" s="208"/>
      <c r="H1920" s="232"/>
      <c r="I1920" s="233"/>
      <c r="J1920" s="208"/>
      <c r="K1920" s="208"/>
      <c r="L1920" s="208"/>
      <c r="M1920" s="208"/>
      <c r="N1920" s="208"/>
      <c r="O1920" s="208"/>
      <c r="P1920" s="208"/>
      <c r="Q1920" s="208"/>
      <c r="R1920" s="208"/>
      <c r="S1920" s="208"/>
      <c r="T1920" s="208"/>
      <c r="U1920" s="208"/>
      <c r="V1920" s="234"/>
      <c r="W1920" s="232"/>
      <c r="X1920" s="232"/>
      <c r="Y1920" s="232"/>
      <c r="Z1920" s="232"/>
      <c r="AA1920" s="232"/>
      <c r="AB1920" s="232"/>
      <c r="AC1920" s="232"/>
      <c r="AD1920" s="232"/>
      <c r="AE1920" s="232"/>
      <c r="AF1920" s="232"/>
      <c r="AG1920" s="208"/>
      <c r="AH1920" s="208"/>
      <c r="AI1920" s="208"/>
      <c r="AJ1920" s="208"/>
      <c r="AK1920" s="208"/>
    </row>
    <row r="1921">
      <c r="A1921" s="208"/>
      <c r="B1921" s="208"/>
      <c r="C1921" s="208"/>
      <c r="D1921" s="208"/>
      <c r="E1921" s="208"/>
      <c r="F1921" s="208"/>
      <c r="G1921" s="208"/>
      <c r="H1921" s="232"/>
      <c r="I1921" s="233"/>
      <c r="J1921" s="208"/>
      <c r="K1921" s="208"/>
      <c r="L1921" s="208"/>
      <c r="M1921" s="208"/>
      <c r="N1921" s="208"/>
      <c r="O1921" s="208"/>
      <c r="P1921" s="208"/>
      <c r="Q1921" s="208"/>
      <c r="R1921" s="208"/>
      <c r="S1921" s="208"/>
      <c r="T1921" s="208"/>
      <c r="U1921" s="208"/>
      <c r="V1921" s="234"/>
      <c r="W1921" s="232"/>
      <c r="X1921" s="232"/>
      <c r="Y1921" s="232"/>
      <c r="Z1921" s="232"/>
      <c r="AA1921" s="232"/>
      <c r="AB1921" s="232"/>
      <c r="AC1921" s="232"/>
      <c r="AD1921" s="232"/>
      <c r="AE1921" s="232"/>
      <c r="AF1921" s="232"/>
      <c r="AG1921" s="208"/>
      <c r="AH1921" s="208"/>
      <c r="AI1921" s="208"/>
      <c r="AJ1921" s="208"/>
      <c r="AK1921" s="208"/>
    </row>
    <row r="1922">
      <c r="A1922" s="208"/>
      <c r="B1922" s="208"/>
      <c r="C1922" s="208"/>
      <c r="D1922" s="208"/>
      <c r="E1922" s="208"/>
      <c r="F1922" s="208"/>
      <c r="G1922" s="208"/>
      <c r="H1922" s="232"/>
      <c r="I1922" s="233"/>
      <c r="J1922" s="208"/>
      <c r="K1922" s="208"/>
      <c r="L1922" s="208"/>
      <c r="M1922" s="208"/>
      <c r="N1922" s="208"/>
      <c r="O1922" s="208"/>
      <c r="P1922" s="208"/>
      <c r="Q1922" s="208"/>
      <c r="R1922" s="208"/>
      <c r="S1922" s="208"/>
      <c r="T1922" s="208"/>
      <c r="U1922" s="208"/>
      <c r="V1922" s="234"/>
      <c r="W1922" s="232"/>
      <c r="X1922" s="232"/>
      <c r="Y1922" s="232"/>
      <c r="Z1922" s="232"/>
      <c r="AA1922" s="232"/>
      <c r="AB1922" s="232"/>
      <c r="AC1922" s="232"/>
      <c r="AD1922" s="232"/>
      <c r="AE1922" s="232"/>
      <c r="AF1922" s="232"/>
      <c r="AG1922" s="208"/>
      <c r="AH1922" s="208"/>
      <c r="AI1922" s="208"/>
      <c r="AJ1922" s="208"/>
      <c r="AK1922" s="208"/>
    </row>
    <row r="1923">
      <c r="A1923" s="208"/>
      <c r="B1923" s="208"/>
      <c r="C1923" s="208"/>
      <c r="D1923" s="208"/>
      <c r="E1923" s="208"/>
      <c r="F1923" s="208"/>
      <c r="G1923" s="208"/>
      <c r="H1923" s="232"/>
      <c r="I1923" s="233"/>
      <c r="J1923" s="208"/>
      <c r="K1923" s="208"/>
      <c r="L1923" s="208"/>
      <c r="M1923" s="208"/>
      <c r="N1923" s="208"/>
      <c r="O1923" s="208"/>
      <c r="P1923" s="208"/>
      <c r="Q1923" s="208"/>
      <c r="R1923" s="208"/>
      <c r="S1923" s="208"/>
      <c r="T1923" s="208"/>
      <c r="U1923" s="208"/>
      <c r="V1923" s="234"/>
      <c r="W1923" s="232"/>
      <c r="X1923" s="232"/>
      <c r="Y1923" s="232"/>
      <c r="Z1923" s="232"/>
      <c r="AA1923" s="232"/>
      <c r="AB1923" s="232"/>
      <c r="AC1923" s="232"/>
      <c r="AD1923" s="232"/>
      <c r="AE1923" s="232"/>
      <c r="AF1923" s="232"/>
      <c r="AG1923" s="208"/>
      <c r="AH1923" s="208"/>
      <c r="AI1923" s="208"/>
      <c r="AJ1923" s="208"/>
      <c r="AK1923" s="208"/>
    </row>
    <row r="1924">
      <c r="A1924" s="208"/>
      <c r="B1924" s="208"/>
      <c r="C1924" s="208"/>
      <c r="D1924" s="208"/>
      <c r="E1924" s="208"/>
      <c r="F1924" s="208"/>
      <c r="G1924" s="208"/>
      <c r="H1924" s="232"/>
      <c r="I1924" s="233"/>
      <c r="J1924" s="208"/>
      <c r="K1924" s="208"/>
      <c r="L1924" s="208"/>
      <c r="M1924" s="208"/>
      <c r="N1924" s="208"/>
      <c r="O1924" s="208"/>
      <c r="P1924" s="208"/>
      <c r="Q1924" s="208"/>
      <c r="R1924" s="208"/>
      <c r="S1924" s="208"/>
      <c r="T1924" s="208"/>
      <c r="U1924" s="208"/>
      <c r="V1924" s="234"/>
      <c r="W1924" s="232"/>
      <c r="X1924" s="232"/>
      <c r="Y1924" s="232"/>
      <c r="Z1924" s="232"/>
      <c r="AA1924" s="232"/>
      <c r="AB1924" s="232"/>
      <c r="AC1924" s="232"/>
      <c r="AD1924" s="232"/>
      <c r="AE1924" s="232"/>
      <c r="AF1924" s="232"/>
      <c r="AG1924" s="208"/>
      <c r="AH1924" s="208"/>
      <c r="AI1924" s="208"/>
      <c r="AJ1924" s="208"/>
      <c r="AK1924" s="208"/>
    </row>
    <row r="1925">
      <c r="A1925" s="208"/>
      <c r="B1925" s="208"/>
      <c r="C1925" s="208"/>
      <c r="D1925" s="208"/>
      <c r="E1925" s="208"/>
      <c r="F1925" s="208"/>
      <c r="G1925" s="208"/>
      <c r="H1925" s="232"/>
      <c r="I1925" s="233"/>
      <c r="J1925" s="208"/>
      <c r="K1925" s="208"/>
      <c r="L1925" s="208"/>
      <c r="M1925" s="208"/>
      <c r="N1925" s="208"/>
      <c r="O1925" s="208"/>
      <c r="P1925" s="208"/>
      <c r="Q1925" s="208"/>
      <c r="R1925" s="208"/>
      <c r="S1925" s="208"/>
      <c r="T1925" s="208"/>
      <c r="U1925" s="208"/>
      <c r="V1925" s="234"/>
      <c r="W1925" s="232"/>
      <c r="X1925" s="232"/>
      <c r="Y1925" s="232"/>
      <c r="Z1925" s="232"/>
      <c r="AA1925" s="232"/>
      <c r="AB1925" s="232"/>
      <c r="AC1925" s="232"/>
      <c r="AD1925" s="232"/>
      <c r="AE1925" s="232"/>
      <c r="AF1925" s="232"/>
      <c r="AG1925" s="208"/>
      <c r="AH1925" s="208"/>
      <c r="AI1925" s="208"/>
      <c r="AJ1925" s="208"/>
      <c r="AK1925" s="208"/>
    </row>
    <row r="1926">
      <c r="A1926" s="208"/>
      <c r="B1926" s="208"/>
      <c r="C1926" s="208"/>
      <c r="D1926" s="208"/>
      <c r="E1926" s="208"/>
      <c r="F1926" s="208"/>
      <c r="G1926" s="208"/>
      <c r="H1926" s="232"/>
      <c r="I1926" s="233"/>
      <c r="J1926" s="208"/>
      <c r="K1926" s="208"/>
      <c r="L1926" s="208"/>
      <c r="M1926" s="208"/>
      <c r="N1926" s="208"/>
      <c r="O1926" s="208"/>
      <c r="P1926" s="208"/>
      <c r="Q1926" s="208"/>
      <c r="R1926" s="208"/>
      <c r="S1926" s="208"/>
      <c r="T1926" s="208"/>
      <c r="U1926" s="208"/>
      <c r="V1926" s="234"/>
      <c r="W1926" s="232"/>
      <c r="X1926" s="232"/>
      <c r="Y1926" s="232"/>
      <c r="Z1926" s="232"/>
      <c r="AA1926" s="232"/>
      <c r="AB1926" s="232"/>
      <c r="AC1926" s="232"/>
      <c r="AD1926" s="232"/>
      <c r="AE1926" s="232"/>
      <c r="AF1926" s="232"/>
      <c r="AG1926" s="208"/>
      <c r="AH1926" s="208"/>
      <c r="AI1926" s="208"/>
      <c r="AJ1926" s="208"/>
      <c r="AK1926" s="208"/>
    </row>
    <row r="1927">
      <c r="A1927" s="208"/>
      <c r="B1927" s="208"/>
      <c r="C1927" s="208"/>
      <c r="D1927" s="208"/>
      <c r="E1927" s="208"/>
      <c r="F1927" s="208"/>
      <c r="G1927" s="208"/>
      <c r="H1927" s="232"/>
      <c r="I1927" s="233"/>
      <c r="J1927" s="208"/>
      <c r="K1927" s="208"/>
      <c r="L1927" s="208"/>
      <c r="M1927" s="208"/>
      <c r="N1927" s="208"/>
      <c r="O1927" s="208"/>
      <c r="P1927" s="208"/>
      <c r="Q1927" s="208"/>
      <c r="R1927" s="208"/>
      <c r="S1927" s="208"/>
      <c r="T1927" s="208"/>
      <c r="U1927" s="208"/>
      <c r="V1927" s="234"/>
      <c r="W1927" s="232"/>
      <c r="X1927" s="232"/>
      <c r="Y1927" s="232"/>
      <c r="Z1927" s="232"/>
      <c r="AA1927" s="232"/>
      <c r="AB1927" s="232"/>
      <c r="AC1927" s="232"/>
      <c r="AD1927" s="232"/>
      <c r="AE1927" s="232"/>
      <c r="AF1927" s="232"/>
      <c r="AG1927" s="208"/>
      <c r="AH1927" s="208"/>
      <c r="AI1927" s="208"/>
      <c r="AJ1927" s="208"/>
      <c r="AK1927" s="208"/>
    </row>
    <row r="1928">
      <c r="A1928" s="208"/>
      <c r="B1928" s="208"/>
      <c r="C1928" s="208"/>
      <c r="D1928" s="208"/>
      <c r="E1928" s="208"/>
      <c r="F1928" s="208"/>
      <c r="G1928" s="208"/>
      <c r="H1928" s="232"/>
      <c r="I1928" s="233"/>
      <c r="J1928" s="208"/>
      <c r="K1928" s="208"/>
      <c r="L1928" s="208"/>
      <c r="M1928" s="208"/>
      <c r="N1928" s="208"/>
      <c r="O1928" s="208"/>
      <c r="P1928" s="208"/>
      <c r="Q1928" s="208"/>
      <c r="R1928" s="208"/>
      <c r="S1928" s="208"/>
      <c r="T1928" s="208"/>
      <c r="U1928" s="208"/>
      <c r="V1928" s="234"/>
      <c r="W1928" s="232"/>
      <c r="X1928" s="232"/>
      <c r="Y1928" s="232"/>
      <c r="Z1928" s="232"/>
      <c r="AA1928" s="232"/>
      <c r="AB1928" s="232"/>
      <c r="AC1928" s="232"/>
      <c r="AD1928" s="232"/>
      <c r="AE1928" s="232"/>
      <c r="AF1928" s="232"/>
      <c r="AG1928" s="208"/>
      <c r="AH1928" s="208"/>
      <c r="AI1928" s="208"/>
      <c r="AJ1928" s="208"/>
      <c r="AK1928" s="208"/>
    </row>
    <row r="1929">
      <c r="A1929" s="208"/>
      <c r="B1929" s="208"/>
      <c r="C1929" s="208"/>
      <c r="D1929" s="208"/>
      <c r="E1929" s="208"/>
      <c r="F1929" s="208"/>
      <c r="G1929" s="208"/>
      <c r="H1929" s="232"/>
      <c r="I1929" s="233"/>
      <c r="J1929" s="208"/>
      <c r="K1929" s="208"/>
      <c r="L1929" s="208"/>
      <c r="M1929" s="208"/>
      <c r="N1929" s="208"/>
      <c r="O1929" s="208"/>
      <c r="P1929" s="208"/>
      <c r="Q1929" s="208"/>
      <c r="R1929" s="208"/>
      <c r="S1929" s="208"/>
      <c r="T1929" s="208"/>
      <c r="U1929" s="208"/>
      <c r="V1929" s="234"/>
      <c r="W1929" s="232"/>
      <c r="X1929" s="232"/>
      <c r="Y1929" s="232"/>
      <c r="Z1929" s="232"/>
      <c r="AA1929" s="232"/>
      <c r="AB1929" s="232"/>
      <c r="AC1929" s="232"/>
      <c r="AD1929" s="232"/>
      <c r="AE1929" s="232"/>
      <c r="AF1929" s="232"/>
      <c r="AG1929" s="208"/>
      <c r="AH1929" s="208"/>
      <c r="AI1929" s="208"/>
      <c r="AJ1929" s="208"/>
      <c r="AK1929" s="208"/>
    </row>
    <row r="1930">
      <c r="A1930" s="208"/>
      <c r="B1930" s="208"/>
      <c r="C1930" s="208"/>
      <c r="D1930" s="208"/>
      <c r="E1930" s="208"/>
      <c r="F1930" s="208"/>
      <c r="G1930" s="208"/>
      <c r="H1930" s="232"/>
      <c r="I1930" s="233"/>
      <c r="J1930" s="208"/>
      <c r="K1930" s="208"/>
      <c r="L1930" s="208"/>
      <c r="M1930" s="208"/>
      <c r="N1930" s="208"/>
      <c r="O1930" s="208"/>
      <c r="P1930" s="208"/>
      <c r="Q1930" s="208"/>
      <c r="R1930" s="208"/>
      <c r="S1930" s="208"/>
      <c r="T1930" s="208"/>
      <c r="U1930" s="208"/>
      <c r="V1930" s="234"/>
      <c r="W1930" s="232"/>
      <c r="X1930" s="232"/>
      <c r="Y1930" s="232"/>
      <c r="Z1930" s="232"/>
      <c r="AA1930" s="232"/>
      <c r="AB1930" s="232"/>
      <c r="AC1930" s="232"/>
      <c r="AD1930" s="232"/>
      <c r="AE1930" s="232"/>
      <c r="AF1930" s="232"/>
      <c r="AG1930" s="208"/>
      <c r="AH1930" s="208"/>
      <c r="AI1930" s="208"/>
      <c r="AJ1930" s="208"/>
      <c r="AK1930" s="208"/>
    </row>
    <row r="1931">
      <c r="A1931" s="208"/>
      <c r="B1931" s="208"/>
      <c r="C1931" s="208"/>
      <c r="D1931" s="208"/>
      <c r="E1931" s="208"/>
      <c r="F1931" s="208"/>
      <c r="G1931" s="208"/>
      <c r="H1931" s="232"/>
      <c r="I1931" s="233"/>
      <c r="J1931" s="208"/>
      <c r="K1931" s="208"/>
      <c r="L1931" s="208"/>
      <c r="M1931" s="208"/>
      <c r="N1931" s="208"/>
      <c r="O1931" s="208"/>
      <c r="P1931" s="208"/>
      <c r="Q1931" s="208"/>
      <c r="R1931" s="208"/>
      <c r="S1931" s="208"/>
      <c r="T1931" s="208"/>
      <c r="U1931" s="208"/>
      <c r="V1931" s="234"/>
      <c r="W1931" s="232"/>
      <c r="X1931" s="232"/>
      <c r="Y1931" s="232"/>
      <c r="Z1931" s="232"/>
      <c r="AA1931" s="232"/>
      <c r="AB1931" s="232"/>
      <c r="AC1931" s="232"/>
      <c r="AD1931" s="232"/>
      <c r="AE1931" s="232"/>
      <c r="AF1931" s="232"/>
      <c r="AG1931" s="208"/>
      <c r="AH1931" s="208"/>
      <c r="AI1931" s="208"/>
      <c r="AJ1931" s="208"/>
      <c r="AK1931" s="208"/>
    </row>
    <row r="1932">
      <c r="A1932" s="208"/>
      <c r="B1932" s="208"/>
      <c r="C1932" s="208"/>
      <c r="D1932" s="208"/>
      <c r="E1932" s="208"/>
      <c r="F1932" s="208"/>
      <c r="G1932" s="208"/>
      <c r="H1932" s="232"/>
      <c r="I1932" s="233"/>
      <c r="J1932" s="208"/>
      <c r="K1932" s="208"/>
      <c r="L1932" s="208"/>
      <c r="M1932" s="208"/>
      <c r="N1932" s="208"/>
      <c r="O1932" s="208"/>
      <c r="P1932" s="208"/>
      <c r="Q1932" s="208"/>
      <c r="R1932" s="208"/>
      <c r="S1932" s="208"/>
      <c r="T1932" s="208"/>
      <c r="U1932" s="208"/>
      <c r="V1932" s="234"/>
      <c r="W1932" s="232"/>
      <c r="X1932" s="232"/>
      <c r="Y1932" s="232"/>
      <c r="Z1932" s="232"/>
      <c r="AA1932" s="232"/>
      <c r="AB1932" s="232"/>
      <c r="AC1932" s="232"/>
      <c r="AD1932" s="232"/>
      <c r="AE1932" s="232"/>
      <c r="AF1932" s="232"/>
      <c r="AG1932" s="208"/>
      <c r="AH1932" s="208"/>
      <c r="AI1932" s="208"/>
      <c r="AJ1932" s="208"/>
      <c r="AK1932" s="208"/>
    </row>
    <row r="1933">
      <c r="A1933" s="208"/>
      <c r="B1933" s="208"/>
      <c r="C1933" s="208"/>
      <c r="D1933" s="208"/>
      <c r="E1933" s="208"/>
      <c r="F1933" s="208"/>
      <c r="G1933" s="208"/>
      <c r="H1933" s="232"/>
      <c r="I1933" s="233"/>
      <c r="J1933" s="208"/>
      <c r="K1933" s="208"/>
      <c r="L1933" s="208"/>
      <c r="M1933" s="208"/>
      <c r="N1933" s="208"/>
      <c r="O1933" s="208"/>
      <c r="P1933" s="208"/>
      <c r="Q1933" s="208"/>
      <c r="R1933" s="208"/>
      <c r="S1933" s="208"/>
      <c r="T1933" s="208"/>
      <c r="U1933" s="208"/>
      <c r="V1933" s="234"/>
      <c r="W1933" s="232"/>
      <c r="X1933" s="232"/>
      <c r="Y1933" s="232"/>
      <c r="Z1933" s="232"/>
      <c r="AA1933" s="232"/>
      <c r="AB1933" s="232"/>
      <c r="AC1933" s="232"/>
      <c r="AD1933" s="232"/>
      <c r="AE1933" s="232"/>
      <c r="AF1933" s="232"/>
      <c r="AG1933" s="208"/>
      <c r="AH1933" s="208"/>
      <c r="AI1933" s="208"/>
      <c r="AJ1933" s="208"/>
      <c r="AK1933" s="208"/>
    </row>
    <row r="1934">
      <c r="A1934" s="208"/>
      <c r="B1934" s="208"/>
      <c r="C1934" s="208"/>
      <c r="D1934" s="208"/>
      <c r="E1934" s="208"/>
      <c r="F1934" s="208"/>
      <c r="G1934" s="208"/>
      <c r="H1934" s="232"/>
      <c r="I1934" s="233"/>
      <c r="J1934" s="208"/>
      <c r="K1934" s="208"/>
      <c r="L1934" s="208"/>
      <c r="M1934" s="208"/>
      <c r="N1934" s="208"/>
      <c r="O1934" s="208"/>
      <c r="P1934" s="208"/>
      <c r="Q1934" s="208"/>
      <c r="R1934" s="208"/>
      <c r="S1934" s="208"/>
      <c r="T1934" s="208"/>
      <c r="U1934" s="208"/>
      <c r="V1934" s="234"/>
      <c r="W1934" s="232"/>
      <c r="X1934" s="232"/>
      <c r="Y1934" s="232"/>
      <c r="Z1934" s="232"/>
      <c r="AA1934" s="232"/>
      <c r="AB1934" s="232"/>
      <c r="AC1934" s="232"/>
      <c r="AD1934" s="232"/>
      <c r="AE1934" s="232"/>
      <c r="AF1934" s="232"/>
      <c r="AG1934" s="208"/>
      <c r="AH1934" s="208"/>
      <c r="AI1934" s="208"/>
      <c r="AJ1934" s="208"/>
      <c r="AK1934" s="208"/>
    </row>
    <row r="1935">
      <c r="A1935" s="208"/>
      <c r="B1935" s="208"/>
      <c r="C1935" s="208"/>
      <c r="D1935" s="208"/>
      <c r="E1935" s="208"/>
      <c r="F1935" s="208"/>
      <c r="G1935" s="208"/>
      <c r="H1935" s="232"/>
      <c r="I1935" s="233"/>
      <c r="J1935" s="208"/>
      <c r="K1935" s="208"/>
      <c r="L1935" s="208"/>
      <c r="M1935" s="208"/>
      <c r="N1935" s="208"/>
      <c r="O1935" s="208"/>
      <c r="P1935" s="208"/>
      <c r="Q1935" s="208"/>
      <c r="R1935" s="208"/>
      <c r="S1935" s="208"/>
      <c r="T1935" s="208"/>
      <c r="U1935" s="208"/>
      <c r="V1935" s="234"/>
      <c r="W1935" s="232"/>
      <c r="X1935" s="232"/>
      <c r="Y1935" s="232"/>
      <c r="Z1935" s="232"/>
      <c r="AA1935" s="232"/>
      <c r="AB1935" s="232"/>
      <c r="AC1935" s="232"/>
      <c r="AD1935" s="232"/>
      <c r="AE1935" s="232"/>
      <c r="AF1935" s="232"/>
      <c r="AG1935" s="208"/>
      <c r="AH1935" s="208"/>
      <c r="AI1935" s="208"/>
      <c r="AJ1935" s="208"/>
      <c r="AK1935" s="208"/>
    </row>
    <row r="1936">
      <c r="A1936" s="208"/>
      <c r="B1936" s="208"/>
      <c r="C1936" s="208"/>
      <c r="D1936" s="208"/>
      <c r="E1936" s="208"/>
      <c r="F1936" s="208"/>
      <c r="G1936" s="208"/>
      <c r="H1936" s="232"/>
      <c r="I1936" s="233"/>
      <c r="J1936" s="208"/>
      <c r="K1936" s="208"/>
      <c r="L1936" s="208"/>
      <c r="M1936" s="208"/>
      <c r="N1936" s="208"/>
      <c r="O1936" s="208"/>
      <c r="P1936" s="208"/>
      <c r="Q1936" s="208"/>
      <c r="R1936" s="208"/>
      <c r="S1936" s="208"/>
      <c r="T1936" s="208"/>
      <c r="U1936" s="208"/>
      <c r="V1936" s="234"/>
      <c r="W1936" s="232"/>
      <c r="X1936" s="232"/>
      <c r="Y1936" s="232"/>
      <c r="Z1936" s="232"/>
      <c r="AA1936" s="232"/>
      <c r="AB1936" s="232"/>
      <c r="AC1936" s="232"/>
      <c r="AD1936" s="232"/>
      <c r="AE1936" s="232"/>
      <c r="AF1936" s="232"/>
      <c r="AG1936" s="208"/>
      <c r="AH1936" s="208"/>
      <c r="AI1936" s="208"/>
      <c r="AJ1936" s="208"/>
      <c r="AK1936" s="208"/>
    </row>
    <row r="1937">
      <c r="A1937" s="208"/>
      <c r="B1937" s="208"/>
      <c r="C1937" s="208"/>
      <c r="D1937" s="208"/>
      <c r="E1937" s="208"/>
      <c r="F1937" s="208"/>
      <c r="G1937" s="208"/>
      <c r="H1937" s="232"/>
      <c r="I1937" s="233"/>
      <c r="J1937" s="208"/>
      <c r="K1937" s="208"/>
      <c r="L1937" s="208"/>
      <c r="M1937" s="208"/>
      <c r="N1937" s="208"/>
      <c r="O1937" s="208"/>
      <c r="P1937" s="208"/>
      <c r="Q1937" s="208"/>
      <c r="R1937" s="208"/>
      <c r="S1937" s="208"/>
      <c r="T1937" s="208"/>
      <c r="U1937" s="208"/>
      <c r="V1937" s="234"/>
      <c r="W1937" s="232"/>
      <c r="X1937" s="232"/>
      <c r="Y1937" s="232"/>
      <c r="Z1937" s="232"/>
      <c r="AA1937" s="232"/>
      <c r="AB1937" s="232"/>
      <c r="AC1937" s="232"/>
      <c r="AD1937" s="232"/>
      <c r="AE1937" s="232"/>
      <c r="AF1937" s="232"/>
      <c r="AG1937" s="208"/>
      <c r="AH1937" s="208"/>
      <c r="AI1937" s="208"/>
      <c r="AJ1937" s="208"/>
      <c r="AK1937" s="208"/>
    </row>
    <row r="1938">
      <c r="A1938" s="208"/>
      <c r="B1938" s="208"/>
      <c r="C1938" s="208"/>
      <c r="D1938" s="208"/>
      <c r="E1938" s="208"/>
      <c r="F1938" s="208"/>
      <c r="G1938" s="208"/>
      <c r="H1938" s="232"/>
      <c r="I1938" s="233"/>
      <c r="J1938" s="208"/>
      <c r="K1938" s="208"/>
      <c r="L1938" s="208"/>
      <c r="M1938" s="208"/>
      <c r="N1938" s="208"/>
      <c r="O1938" s="208"/>
      <c r="P1938" s="208"/>
      <c r="Q1938" s="208"/>
      <c r="R1938" s="208"/>
      <c r="S1938" s="208"/>
      <c r="T1938" s="208"/>
      <c r="U1938" s="208"/>
      <c r="V1938" s="234"/>
      <c r="W1938" s="232"/>
      <c r="X1938" s="232"/>
      <c r="Y1938" s="232"/>
      <c r="Z1938" s="232"/>
      <c r="AA1938" s="232"/>
      <c r="AB1938" s="232"/>
      <c r="AC1938" s="232"/>
      <c r="AD1938" s="232"/>
      <c r="AE1938" s="232"/>
      <c r="AF1938" s="232"/>
      <c r="AG1938" s="208"/>
      <c r="AH1938" s="208"/>
      <c r="AI1938" s="208"/>
      <c r="AJ1938" s="208"/>
      <c r="AK1938" s="208"/>
    </row>
    <row r="1939">
      <c r="A1939" s="208"/>
      <c r="B1939" s="208"/>
      <c r="C1939" s="208"/>
      <c r="D1939" s="208"/>
      <c r="E1939" s="208"/>
      <c r="F1939" s="208"/>
      <c r="G1939" s="208"/>
      <c r="H1939" s="232"/>
      <c r="I1939" s="233"/>
      <c r="J1939" s="208"/>
      <c r="K1939" s="208"/>
      <c r="L1939" s="208"/>
      <c r="M1939" s="208"/>
      <c r="N1939" s="208"/>
      <c r="O1939" s="208"/>
      <c r="P1939" s="208"/>
      <c r="Q1939" s="208"/>
      <c r="R1939" s="208"/>
      <c r="S1939" s="208"/>
      <c r="T1939" s="208"/>
      <c r="U1939" s="208"/>
      <c r="V1939" s="234"/>
      <c r="W1939" s="232"/>
      <c r="X1939" s="232"/>
      <c r="Y1939" s="232"/>
      <c r="Z1939" s="232"/>
      <c r="AA1939" s="232"/>
      <c r="AB1939" s="232"/>
      <c r="AC1939" s="232"/>
      <c r="AD1939" s="232"/>
      <c r="AE1939" s="232"/>
      <c r="AF1939" s="232"/>
      <c r="AG1939" s="208"/>
      <c r="AH1939" s="208"/>
      <c r="AI1939" s="208"/>
      <c r="AJ1939" s="208"/>
      <c r="AK1939" s="208"/>
    </row>
    <row r="1940">
      <c r="A1940" s="208"/>
      <c r="B1940" s="208"/>
      <c r="C1940" s="208"/>
      <c r="D1940" s="208"/>
      <c r="E1940" s="208"/>
      <c r="F1940" s="208"/>
      <c r="G1940" s="208"/>
      <c r="H1940" s="232"/>
      <c r="I1940" s="233"/>
      <c r="J1940" s="208"/>
      <c r="K1940" s="208"/>
      <c r="L1940" s="208"/>
      <c r="M1940" s="208"/>
      <c r="N1940" s="208"/>
      <c r="O1940" s="208"/>
      <c r="P1940" s="208"/>
      <c r="Q1940" s="208"/>
      <c r="R1940" s="208"/>
      <c r="S1940" s="208"/>
      <c r="T1940" s="208"/>
      <c r="U1940" s="208"/>
      <c r="V1940" s="234"/>
      <c r="W1940" s="232"/>
      <c r="X1940" s="232"/>
      <c r="Y1940" s="232"/>
      <c r="Z1940" s="232"/>
      <c r="AA1940" s="232"/>
      <c r="AB1940" s="232"/>
      <c r="AC1940" s="232"/>
      <c r="AD1940" s="232"/>
      <c r="AE1940" s="232"/>
      <c r="AF1940" s="232"/>
      <c r="AG1940" s="208"/>
      <c r="AH1940" s="208"/>
      <c r="AI1940" s="208"/>
      <c r="AJ1940" s="208"/>
      <c r="AK1940" s="208"/>
    </row>
    <row r="1941">
      <c r="A1941" s="208"/>
      <c r="B1941" s="208"/>
      <c r="C1941" s="208"/>
      <c r="D1941" s="208"/>
      <c r="E1941" s="208"/>
      <c r="F1941" s="208"/>
      <c r="G1941" s="208"/>
      <c r="H1941" s="232"/>
      <c r="I1941" s="233"/>
      <c r="J1941" s="208"/>
      <c r="K1941" s="208"/>
      <c r="L1941" s="208"/>
      <c r="M1941" s="208"/>
      <c r="N1941" s="208"/>
      <c r="O1941" s="208"/>
      <c r="P1941" s="208"/>
      <c r="Q1941" s="208"/>
      <c r="R1941" s="208"/>
      <c r="S1941" s="208"/>
      <c r="T1941" s="208"/>
      <c r="U1941" s="208"/>
      <c r="V1941" s="234"/>
      <c r="W1941" s="232"/>
      <c r="X1941" s="232"/>
      <c r="Y1941" s="232"/>
      <c r="Z1941" s="232"/>
      <c r="AA1941" s="232"/>
      <c r="AB1941" s="232"/>
      <c r="AC1941" s="232"/>
      <c r="AD1941" s="232"/>
      <c r="AE1941" s="232"/>
      <c r="AF1941" s="232"/>
      <c r="AG1941" s="208"/>
      <c r="AH1941" s="208"/>
      <c r="AI1941" s="208"/>
      <c r="AJ1941" s="208"/>
      <c r="AK1941" s="208"/>
    </row>
    <row r="1942">
      <c r="A1942" s="208"/>
      <c r="B1942" s="208"/>
      <c r="C1942" s="208"/>
      <c r="D1942" s="208"/>
      <c r="E1942" s="208"/>
      <c r="F1942" s="208"/>
      <c r="G1942" s="208"/>
      <c r="H1942" s="232"/>
      <c r="I1942" s="233"/>
      <c r="J1942" s="208"/>
      <c r="K1942" s="208"/>
      <c r="L1942" s="208"/>
      <c r="M1942" s="208"/>
      <c r="N1942" s="208"/>
      <c r="O1942" s="208"/>
      <c r="P1942" s="208"/>
      <c r="Q1942" s="208"/>
      <c r="R1942" s="208"/>
      <c r="S1942" s="208"/>
      <c r="T1942" s="208"/>
      <c r="U1942" s="208"/>
      <c r="V1942" s="234"/>
      <c r="W1942" s="232"/>
      <c r="X1942" s="232"/>
      <c r="Y1942" s="232"/>
      <c r="Z1942" s="232"/>
      <c r="AA1942" s="232"/>
      <c r="AB1942" s="232"/>
      <c r="AC1942" s="232"/>
      <c r="AD1942" s="232"/>
      <c r="AE1942" s="232"/>
      <c r="AF1942" s="232"/>
      <c r="AG1942" s="208"/>
      <c r="AH1942" s="208"/>
      <c r="AI1942" s="208"/>
      <c r="AJ1942" s="208"/>
      <c r="AK1942" s="208"/>
    </row>
    <row r="1943">
      <c r="A1943" s="208"/>
      <c r="B1943" s="208"/>
      <c r="C1943" s="208"/>
      <c r="D1943" s="208"/>
      <c r="E1943" s="208"/>
      <c r="F1943" s="208"/>
      <c r="G1943" s="208"/>
      <c r="H1943" s="232"/>
      <c r="I1943" s="233"/>
      <c r="J1943" s="208"/>
      <c r="K1943" s="208"/>
      <c r="L1943" s="208"/>
      <c r="M1943" s="208"/>
      <c r="N1943" s="208"/>
      <c r="O1943" s="208"/>
      <c r="P1943" s="208"/>
      <c r="Q1943" s="208"/>
      <c r="R1943" s="208"/>
      <c r="S1943" s="208"/>
      <c r="T1943" s="208"/>
      <c r="U1943" s="208"/>
      <c r="V1943" s="234"/>
      <c r="W1943" s="232"/>
      <c r="X1943" s="232"/>
      <c r="Y1943" s="232"/>
      <c r="Z1943" s="232"/>
      <c r="AA1943" s="232"/>
      <c r="AB1943" s="232"/>
      <c r="AC1943" s="232"/>
      <c r="AD1943" s="232"/>
      <c r="AE1943" s="232"/>
      <c r="AF1943" s="232"/>
      <c r="AG1943" s="208"/>
      <c r="AH1943" s="208"/>
      <c r="AI1943" s="208"/>
      <c r="AJ1943" s="208"/>
      <c r="AK1943" s="208"/>
    </row>
    <row r="1944">
      <c r="A1944" s="208"/>
      <c r="B1944" s="208"/>
      <c r="C1944" s="208"/>
      <c r="D1944" s="208"/>
      <c r="E1944" s="208"/>
      <c r="F1944" s="208"/>
      <c r="G1944" s="208"/>
      <c r="H1944" s="232"/>
      <c r="I1944" s="233"/>
      <c r="J1944" s="208"/>
      <c r="K1944" s="208"/>
      <c r="L1944" s="208"/>
      <c r="M1944" s="208"/>
      <c r="N1944" s="208"/>
      <c r="O1944" s="208"/>
      <c r="P1944" s="208"/>
      <c r="Q1944" s="208"/>
      <c r="R1944" s="208"/>
      <c r="S1944" s="208"/>
      <c r="T1944" s="208"/>
      <c r="U1944" s="208"/>
      <c r="V1944" s="234"/>
      <c r="W1944" s="232"/>
      <c r="X1944" s="232"/>
      <c r="Y1944" s="232"/>
      <c r="Z1944" s="232"/>
      <c r="AA1944" s="232"/>
      <c r="AB1944" s="232"/>
      <c r="AC1944" s="232"/>
      <c r="AD1944" s="232"/>
      <c r="AE1944" s="232"/>
      <c r="AF1944" s="232"/>
      <c r="AG1944" s="208"/>
      <c r="AH1944" s="208"/>
      <c r="AI1944" s="208"/>
      <c r="AJ1944" s="208"/>
      <c r="AK1944" s="208"/>
    </row>
    <row r="1945">
      <c r="A1945" s="208"/>
      <c r="B1945" s="208"/>
      <c r="C1945" s="208"/>
      <c r="D1945" s="208"/>
      <c r="E1945" s="208"/>
      <c r="F1945" s="208"/>
      <c r="G1945" s="208"/>
      <c r="H1945" s="232"/>
      <c r="I1945" s="233"/>
      <c r="J1945" s="208"/>
      <c r="K1945" s="208"/>
      <c r="L1945" s="208"/>
      <c r="M1945" s="208"/>
      <c r="N1945" s="208"/>
      <c r="O1945" s="208"/>
      <c r="P1945" s="208"/>
      <c r="Q1945" s="208"/>
      <c r="R1945" s="208"/>
      <c r="S1945" s="208"/>
      <c r="T1945" s="208"/>
      <c r="U1945" s="208"/>
      <c r="V1945" s="234"/>
      <c r="W1945" s="232"/>
      <c r="X1945" s="232"/>
      <c r="Y1945" s="232"/>
      <c r="Z1945" s="232"/>
      <c r="AA1945" s="232"/>
      <c r="AB1945" s="232"/>
      <c r="AC1945" s="232"/>
      <c r="AD1945" s="232"/>
      <c r="AE1945" s="232"/>
      <c r="AF1945" s="232"/>
      <c r="AG1945" s="208"/>
      <c r="AH1945" s="208"/>
      <c r="AI1945" s="208"/>
      <c r="AJ1945" s="208"/>
      <c r="AK1945" s="208"/>
    </row>
    <row r="1946">
      <c r="A1946" s="208"/>
      <c r="B1946" s="208"/>
      <c r="C1946" s="208"/>
      <c r="D1946" s="208"/>
      <c r="E1946" s="208"/>
      <c r="F1946" s="208"/>
      <c r="G1946" s="208"/>
      <c r="H1946" s="232"/>
      <c r="I1946" s="233"/>
      <c r="J1946" s="208"/>
      <c r="K1946" s="208"/>
      <c r="L1946" s="208"/>
      <c r="M1946" s="208"/>
      <c r="N1946" s="208"/>
      <c r="O1946" s="208"/>
      <c r="P1946" s="208"/>
      <c r="Q1946" s="208"/>
      <c r="R1946" s="208"/>
      <c r="S1946" s="208"/>
      <c r="T1946" s="208"/>
      <c r="U1946" s="208"/>
      <c r="V1946" s="234"/>
      <c r="W1946" s="232"/>
      <c r="X1946" s="232"/>
      <c r="Y1946" s="232"/>
      <c r="Z1946" s="232"/>
      <c r="AA1946" s="232"/>
      <c r="AB1946" s="232"/>
      <c r="AC1946" s="232"/>
      <c r="AD1946" s="232"/>
      <c r="AE1946" s="232"/>
      <c r="AF1946" s="232"/>
      <c r="AG1946" s="208"/>
      <c r="AH1946" s="208"/>
      <c r="AI1946" s="208"/>
      <c r="AJ1946" s="208"/>
      <c r="AK1946" s="208"/>
    </row>
    <row r="1947">
      <c r="A1947" s="208"/>
      <c r="B1947" s="208"/>
      <c r="C1947" s="208"/>
      <c r="D1947" s="208"/>
      <c r="E1947" s="208"/>
      <c r="F1947" s="208"/>
      <c r="G1947" s="208"/>
      <c r="H1947" s="232"/>
      <c r="I1947" s="233"/>
      <c r="J1947" s="208"/>
      <c r="K1947" s="208"/>
      <c r="L1947" s="208"/>
      <c r="M1947" s="208"/>
      <c r="N1947" s="208"/>
      <c r="O1947" s="208"/>
      <c r="P1947" s="208"/>
      <c r="Q1947" s="208"/>
      <c r="R1947" s="208"/>
      <c r="S1947" s="208"/>
      <c r="T1947" s="208"/>
      <c r="U1947" s="208"/>
      <c r="V1947" s="234"/>
      <c r="W1947" s="232"/>
      <c r="X1947" s="232"/>
      <c r="Y1947" s="232"/>
      <c r="Z1947" s="232"/>
      <c r="AA1947" s="232"/>
      <c r="AB1947" s="232"/>
      <c r="AC1947" s="232"/>
      <c r="AD1947" s="232"/>
      <c r="AE1947" s="232"/>
      <c r="AF1947" s="232"/>
      <c r="AG1947" s="208"/>
      <c r="AH1947" s="208"/>
      <c r="AI1947" s="208"/>
      <c r="AJ1947" s="208"/>
      <c r="AK1947" s="208"/>
    </row>
    <row r="1948">
      <c r="A1948" s="208"/>
      <c r="B1948" s="208"/>
      <c r="C1948" s="208"/>
      <c r="D1948" s="208"/>
      <c r="E1948" s="208"/>
      <c r="F1948" s="208"/>
      <c r="G1948" s="208"/>
      <c r="H1948" s="232"/>
      <c r="I1948" s="233"/>
      <c r="J1948" s="208"/>
      <c r="K1948" s="208"/>
      <c r="L1948" s="208"/>
      <c r="M1948" s="208"/>
      <c r="N1948" s="208"/>
      <c r="O1948" s="208"/>
      <c r="P1948" s="208"/>
      <c r="Q1948" s="208"/>
      <c r="R1948" s="208"/>
      <c r="S1948" s="208"/>
      <c r="T1948" s="208"/>
      <c r="U1948" s="208"/>
      <c r="V1948" s="234"/>
      <c r="W1948" s="232"/>
      <c r="X1948" s="232"/>
      <c r="Y1948" s="232"/>
      <c r="Z1948" s="232"/>
      <c r="AA1948" s="232"/>
      <c r="AB1948" s="232"/>
      <c r="AC1948" s="232"/>
      <c r="AD1948" s="232"/>
      <c r="AE1948" s="232"/>
      <c r="AF1948" s="232"/>
      <c r="AG1948" s="208"/>
      <c r="AH1948" s="208"/>
      <c r="AI1948" s="208"/>
      <c r="AJ1948" s="208"/>
      <c r="AK1948" s="208"/>
    </row>
    <row r="1949">
      <c r="A1949" s="208"/>
      <c r="B1949" s="208"/>
      <c r="C1949" s="208"/>
      <c r="D1949" s="208"/>
      <c r="E1949" s="208"/>
      <c r="F1949" s="208"/>
      <c r="G1949" s="208"/>
      <c r="H1949" s="232"/>
      <c r="I1949" s="233"/>
      <c r="J1949" s="208"/>
      <c r="K1949" s="208"/>
      <c r="L1949" s="208"/>
      <c r="M1949" s="208"/>
      <c r="N1949" s="208"/>
      <c r="O1949" s="208"/>
      <c r="P1949" s="208"/>
      <c r="Q1949" s="208"/>
      <c r="R1949" s="208"/>
      <c r="S1949" s="208"/>
      <c r="T1949" s="208"/>
      <c r="U1949" s="208"/>
      <c r="V1949" s="234"/>
      <c r="W1949" s="232"/>
      <c r="X1949" s="232"/>
      <c r="Y1949" s="232"/>
      <c r="Z1949" s="232"/>
      <c r="AA1949" s="232"/>
      <c r="AB1949" s="232"/>
      <c r="AC1949" s="232"/>
      <c r="AD1949" s="232"/>
      <c r="AE1949" s="232"/>
      <c r="AF1949" s="232"/>
      <c r="AG1949" s="208"/>
      <c r="AH1949" s="208"/>
      <c r="AI1949" s="208"/>
      <c r="AJ1949" s="208"/>
      <c r="AK1949" s="208"/>
    </row>
    <row r="1950">
      <c r="A1950" s="208"/>
      <c r="B1950" s="208"/>
      <c r="C1950" s="208"/>
      <c r="D1950" s="208"/>
      <c r="E1950" s="208"/>
      <c r="F1950" s="208"/>
      <c r="G1950" s="208"/>
      <c r="H1950" s="232"/>
      <c r="I1950" s="233"/>
      <c r="J1950" s="208"/>
      <c r="K1950" s="208"/>
      <c r="L1950" s="208"/>
      <c r="M1950" s="208"/>
      <c r="N1950" s="208"/>
      <c r="O1950" s="208"/>
      <c r="P1950" s="208"/>
      <c r="Q1950" s="208"/>
      <c r="R1950" s="208"/>
      <c r="S1950" s="208"/>
      <c r="T1950" s="208"/>
      <c r="U1950" s="208"/>
      <c r="V1950" s="234"/>
      <c r="W1950" s="232"/>
      <c r="X1950" s="232"/>
      <c r="Y1950" s="232"/>
      <c r="Z1950" s="232"/>
      <c r="AA1950" s="232"/>
      <c r="AB1950" s="232"/>
      <c r="AC1950" s="232"/>
      <c r="AD1950" s="232"/>
      <c r="AE1950" s="232"/>
      <c r="AF1950" s="232"/>
      <c r="AG1950" s="208"/>
      <c r="AH1950" s="208"/>
      <c r="AI1950" s="208"/>
      <c r="AJ1950" s="208"/>
      <c r="AK1950" s="208"/>
    </row>
    <row r="1951">
      <c r="A1951" s="208"/>
      <c r="B1951" s="208"/>
      <c r="C1951" s="208"/>
      <c r="D1951" s="208"/>
      <c r="E1951" s="208"/>
      <c r="F1951" s="208"/>
      <c r="G1951" s="208"/>
      <c r="H1951" s="232"/>
      <c r="I1951" s="233"/>
      <c r="J1951" s="208"/>
      <c r="K1951" s="208"/>
      <c r="L1951" s="208"/>
      <c r="M1951" s="208"/>
      <c r="N1951" s="208"/>
      <c r="O1951" s="208"/>
      <c r="P1951" s="208"/>
      <c r="Q1951" s="208"/>
      <c r="R1951" s="208"/>
      <c r="S1951" s="208"/>
      <c r="T1951" s="208"/>
      <c r="U1951" s="208"/>
      <c r="V1951" s="234"/>
      <c r="W1951" s="232"/>
      <c r="X1951" s="232"/>
      <c r="Y1951" s="232"/>
      <c r="Z1951" s="232"/>
      <c r="AA1951" s="232"/>
      <c r="AB1951" s="232"/>
      <c r="AC1951" s="232"/>
      <c r="AD1951" s="232"/>
      <c r="AE1951" s="232"/>
      <c r="AF1951" s="232"/>
      <c r="AG1951" s="208"/>
      <c r="AH1951" s="208"/>
      <c r="AI1951" s="208"/>
      <c r="AJ1951" s="208"/>
      <c r="AK1951" s="208"/>
    </row>
    <row r="1952">
      <c r="A1952" s="208"/>
      <c r="B1952" s="208"/>
      <c r="C1952" s="208"/>
      <c r="D1952" s="208"/>
      <c r="E1952" s="208"/>
      <c r="F1952" s="208"/>
      <c r="G1952" s="208"/>
      <c r="H1952" s="232"/>
      <c r="I1952" s="233"/>
      <c r="J1952" s="208"/>
      <c r="K1952" s="208"/>
      <c r="L1952" s="208"/>
      <c r="M1952" s="208"/>
      <c r="N1952" s="208"/>
      <c r="O1952" s="208"/>
      <c r="P1952" s="208"/>
      <c r="Q1952" s="208"/>
      <c r="R1952" s="208"/>
      <c r="S1952" s="208"/>
      <c r="T1952" s="208"/>
      <c r="U1952" s="208"/>
      <c r="V1952" s="234"/>
      <c r="W1952" s="232"/>
      <c r="X1952" s="232"/>
      <c r="Y1952" s="232"/>
      <c r="Z1952" s="232"/>
      <c r="AA1952" s="232"/>
      <c r="AB1952" s="232"/>
      <c r="AC1952" s="232"/>
      <c r="AD1952" s="232"/>
      <c r="AE1952" s="232"/>
      <c r="AF1952" s="232"/>
      <c r="AG1952" s="208"/>
      <c r="AH1952" s="208"/>
      <c r="AI1952" s="208"/>
      <c r="AJ1952" s="208"/>
      <c r="AK1952" s="208"/>
    </row>
    <row r="1953">
      <c r="A1953" s="208"/>
      <c r="B1953" s="208"/>
      <c r="C1953" s="208"/>
      <c r="D1953" s="208"/>
      <c r="E1953" s="208"/>
      <c r="F1953" s="208"/>
      <c r="G1953" s="208"/>
      <c r="H1953" s="232"/>
      <c r="I1953" s="233"/>
      <c r="J1953" s="208"/>
      <c r="K1953" s="208"/>
      <c r="L1953" s="208"/>
      <c r="M1953" s="208"/>
      <c r="N1953" s="208"/>
      <c r="O1953" s="208"/>
      <c r="P1953" s="208"/>
      <c r="Q1953" s="208"/>
      <c r="R1953" s="208"/>
      <c r="S1953" s="208"/>
      <c r="T1953" s="208"/>
      <c r="U1953" s="208"/>
      <c r="V1953" s="234"/>
      <c r="W1953" s="232"/>
      <c r="X1953" s="232"/>
      <c r="Y1953" s="232"/>
      <c r="Z1953" s="232"/>
      <c r="AA1953" s="232"/>
      <c r="AB1953" s="232"/>
      <c r="AC1953" s="232"/>
      <c r="AD1953" s="232"/>
      <c r="AE1953" s="232"/>
      <c r="AF1953" s="232"/>
      <c r="AG1953" s="208"/>
      <c r="AH1953" s="208"/>
      <c r="AI1953" s="208"/>
      <c r="AJ1953" s="208"/>
      <c r="AK1953" s="208"/>
    </row>
    <row r="1954">
      <c r="A1954" s="208"/>
      <c r="B1954" s="208"/>
      <c r="C1954" s="208"/>
      <c r="D1954" s="208"/>
      <c r="E1954" s="208"/>
      <c r="F1954" s="208"/>
      <c r="G1954" s="208"/>
      <c r="H1954" s="232"/>
      <c r="I1954" s="233"/>
      <c r="J1954" s="208"/>
      <c r="K1954" s="208"/>
      <c r="L1954" s="208"/>
      <c r="M1954" s="208"/>
      <c r="N1954" s="208"/>
      <c r="O1954" s="208"/>
      <c r="P1954" s="208"/>
      <c r="Q1954" s="208"/>
      <c r="R1954" s="208"/>
      <c r="S1954" s="208"/>
      <c r="T1954" s="208"/>
      <c r="U1954" s="208"/>
      <c r="V1954" s="234"/>
      <c r="W1954" s="232"/>
      <c r="X1954" s="232"/>
      <c r="Y1954" s="232"/>
      <c r="Z1954" s="232"/>
      <c r="AA1954" s="232"/>
      <c r="AB1954" s="232"/>
      <c r="AC1954" s="232"/>
      <c r="AD1954" s="232"/>
      <c r="AE1954" s="232"/>
      <c r="AF1954" s="232"/>
      <c r="AG1954" s="208"/>
      <c r="AH1954" s="208"/>
      <c r="AI1954" s="208"/>
      <c r="AJ1954" s="208"/>
      <c r="AK1954" s="208"/>
    </row>
    <row r="1955">
      <c r="A1955" s="208"/>
      <c r="B1955" s="208"/>
      <c r="C1955" s="208"/>
      <c r="D1955" s="208"/>
      <c r="E1955" s="208"/>
      <c r="F1955" s="208"/>
      <c r="G1955" s="208"/>
      <c r="H1955" s="232"/>
      <c r="I1955" s="233"/>
      <c r="J1955" s="208"/>
      <c r="K1955" s="208"/>
      <c r="L1955" s="208"/>
      <c r="M1955" s="208"/>
      <c r="N1955" s="208"/>
      <c r="O1955" s="208"/>
      <c r="P1955" s="208"/>
      <c r="Q1955" s="208"/>
      <c r="R1955" s="208"/>
      <c r="S1955" s="208"/>
      <c r="T1955" s="208"/>
      <c r="U1955" s="208"/>
      <c r="V1955" s="234"/>
      <c r="W1955" s="232"/>
      <c r="X1955" s="232"/>
      <c r="Y1955" s="232"/>
      <c r="Z1955" s="232"/>
      <c r="AA1955" s="232"/>
      <c r="AB1955" s="232"/>
      <c r="AC1955" s="232"/>
      <c r="AD1955" s="232"/>
      <c r="AE1955" s="232"/>
      <c r="AF1955" s="232"/>
      <c r="AG1955" s="208"/>
      <c r="AH1955" s="208"/>
      <c r="AI1955" s="208"/>
      <c r="AJ1955" s="208"/>
      <c r="AK1955" s="208"/>
    </row>
    <row r="1956">
      <c r="A1956" s="208"/>
      <c r="B1956" s="208"/>
      <c r="C1956" s="208"/>
      <c r="D1956" s="208"/>
      <c r="E1956" s="208"/>
      <c r="F1956" s="208"/>
      <c r="G1956" s="208"/>
      <c r="H1956" s="232"/>
      <c r="I1956" s="233"/>
      <c r="J1956" s="208"/>
      <c r="K1956" s="208"/>
      <c r="L1956" s="208"/>
      <c r="M1956" s="208"/>
      <c r="N1956" s="208"/>
      <c r="O1956" s="208"/>
      <c r="P1956" s="208"/>
      <c r="Q1956" s="208"/>
      <c r="R1956" s="208"/>
      <c r="S1956" s="208"/>
      <c r="T1956" s="208"/>
      <c r="U1956" s="208"/>
      <c r="V1956" s="234"/>
      <c r="W1956" s="232"/>
      <c r="X1956" s="232"/>
      <c r="Y1956" s="232"/>
      <c r="Z1956" s="232"/>
      <c r="AA1956" s="232"/>
      <c r="AB1956" s="232"/>
      <c r="AC1956" s="232"/>
      <c r="AD1956" s="232"/>
      <c r="AE1956" s="232"/>
      <c r="AF1956" s="232"/>
      <c r="AG1956" s="208"/>
      <c r="AH1956" s="208"/>
      <c r="AI1956" s="208"/>
      <c r="AJ1956" s="208"/>
      <c r="AK1956" s="208"/>
    </row>
    <row r="1957">
      <c r="A1957" s="208"/>
      <c r="B1957" s="208"/>
      <c r="C1957" s="208"/>
      <c r="D1957" s="208"/>
      <c r="E1957" s="208"/>
      <c r="F1957" s="208"/>
      <c r="G1957" s="208"/>
      <c r="H1957" s="232"/>
      <c r="I1957" s="233"/>
      <c r="J1957" s="208"/>
      <c r="K1957" s="208"/>
      <c r="L1957" s="208"/>
      <c r="M1957" s="208"/>
      <c r="N1957" s="208"/>
      <c r="O1957" s="208"/>
      <c r="P1957" s="208"/>
      <c r="Q1957" s="208"/>
      <c r="R1957" s="208"/>
      <c r="S1957" s="208"/>
      <c r="T1957" s="208"/>
      <c r="U1957" s="208"/>
      <c r="V1957" s="234"/>
      <c r="W1957" s="232"/>
      <c r="X1957" s="232"/>
      <c r="Y1957" s="232"/>
      <c r="Z1957" s="232"/>
      <c r="AA1957" s="232"/>
      <c r="AB1957" s="232"/>
      <c r="AC1957" s="232"/>
      <c r="AD1957" s="232"/>
      <c r="AE1957" s="232"/>
      <c r="AF1957" s="232"/>
      <c r="AG1957" s="208"/>
      <c r="AH1957" s="208"/>
      <c r="AI1957" s="208"/>
      <c r="AJ1957" s="208"/>
      <c r="AK1957" s="208"/>
    </row>
    <row r="1958">
      <c r="A1958" s="208"/>
      <c r="B1958" s="208"/>
      <c r="C1958" s="208"/>
      <c r="D1958" s="208"/>
      <c r="E1958" s="208"/>
      <c r="F1958" s="208"/>
      <c r="G1958" s="208"/>
      <c r="H1958" s="232"/>
      <c r="I1958" s="233"/>
      <c r="J1958" s="208"/>
      <c r="K1958" s="208"/>
      <c r="L1958" s="208"/>
      <c r="M1958" s="208"/>
      <c r="N1958" s="208"/>
      <c r="O1958" s="208"/>
      <c r="P1958" s="208"/>
      <c r="Q1958" s="208"/>
      <c r="R1958" s="208"/>
      <c r="S1958" s="208"/>
      <c r="T1958" s="208"/>
      <c r="U1958" s="208"/>
      <c r="V1958" s="234"/>
      <c r="W1958" s="232"/>
      <c r="X1958" s="232"/>
      <c r="Y1958" s="232"/>
      <c r="Z1958" s="232"/>
      <c r="AA1958" s="232"/>
      <c r="AB1958" s="232"/>
      <c r="AC1958" s="232"/>
      <c r="AD1958" s="232"/>
      <c r="AE1958" s="232"/>
      <c r="AF1958" s="232"/>
      <c r="AG1958" s="208"/>
      <c r="AH1958" s="208"/>
      <c r="AI1958" s="208"/>
      <c r="AJ1958" s="208"/>
      <c r="AK1958" s="208"/>
    </row>
    <row r="1959">
      <c r="A1959" s="208"/>
      <c r="B1959" s="208"/>
      <c r="C1959" s="208"/>
      <c r="D1959" s="208"/>
      <c r="E1959" s="208"/>
      <c r="F1959" s="208"/>
      <c r="G1959" s="208"/>
      <c r="H1959" s="232"/>
      <c r="I1959" s="233"/>
      <c r="J1959" s="208"/>
      <c r="K1959" s="208"/>
      <c r="L1959" s="208"/>
      <c r="M1959" s="208"/>
      <c r="N1959" s="208"/>
      <c r="O1959" s="208"/>
      <c r="P1959" s="208"/>
      <c r="Q1959" s="208"/>
      <c r="R1959" s="208"/>
      <c r="S1959" s="208"/>
      <c r="T1959" s="208"/>
      <c r="U1959" s="208"/>
      <c r="V1959" s="234"/>
      <c r="W1959" s="232"/>
      <c r="X1959" s="232"/>
      <c r="Y1959" s="232"/>
      <c r="Z1959" s="232"/>
      <c r="AA1959" s="232"/>
      <c r="AB1959" s="232"/>
      <c r="AC1959" s="232"/>
      <c r="AD1959" s="232"/>
      <c r="AE1959" s="232"/>
      <c r="AF1959" s="232"/>
      <c r="AG1959" s="208"/>
      <c r="AH1959" s="208"/>
      <c r="AI1959" s="208"/>
      <c r="AJ1959" s="208"/>
      <c r="AK1959" s="208"/>
    </row>
    <row r="1960">
      <c r="A1960" s="208"/>
      <c r="B1960" s="208"/>
      <c r="C1960" s="208"/>
      <c r="D1960" s="208"/>
      <c r="E1960" s="208"/>
      <c r="F1960" s="208"/>
      <c r="G1960" s="208"/>
      <c r="H1960" s="232"/>
      <c r="I1960" s="233"/>
      <c r="J1960" s="208"/>
      <c r="K1960" s="208"/>
      <c r="L1960" s="208"/>
      <c r="M1960" s="208"/>
      <c r="N1960" s="208"/>
      <c r="O1960" s="208"/>
      <c r="P1960" s="208"/>
      <c r="Q1960" s="208"/>
      <c r="R1960" s="208"/>
      <c r="S1960" s="208"/>
      <c r="T1960" s="208"/>
      <c r="U1960" s="208"/>
      <c r="V1960" s="234"/>
      <c r="W1960" s="232"/>
      <c r="X1960" s="232"/>
      <c r="Y1960" s="232"/>
      <c r="Z1960" s="232"/>
      <c r="AA1960" s="232"/>
      <c r="AB1960" s="232"/>
      <c r="AC1960" s="232"/>
      <c r="AD1960" s="232"/>
      <c r="AE1960" s="232"/>
      <c r="AF1960" s="232"/>
      <c r="AG1960" s="208"/>
      <c r="AH1960" s="208"/>
      <c r="AI1960" s="208"/>
      <c r="AJ1960" s="208"/>
      <c r="AK1960" s="208"/>
    </row>
    <row r="1961">
      <c r="A1961" s="208"/>
      <c r="B1961" s="208"/>
      <c r="C1961" s="208"/>
      <c r="D1961" s="208"/>
      <c r="E1961" s="208"/>
      <c r="F1961" s="208"/>
      <c r="G1961" s="208"/>
      <c r="H1961" s="232"/>
      <c r="I1961" s="233"/>
      <c r="J1961" s="208"/>
      <c r="K1961" s="208"/>
      <c r="L1961" s="208"/>
      <c r="M1961" s="208"/>
      <c r="N1961" s="208"/>
      <c r="O1961" s="208"/>
      <c r="P1961" s="208"/>
      <c r="Q1961" s="208"/>
      <c r="R1961" s="208"/>
      <c r="S1961" s="208"/>
      <c r="T1961" s="208"/>
      <c r="U1961" s="208"/>
      <c r="V1961" s="234"/>
      <c r="W1961" s="232"/>
      <c r="X1961" s="232"/>
      <c r="Y1961" s="232"/>
      <c r="Z1961" s="232"/>
      <c r="AA1961" s="232"/>
      <c r="AB1961" s="232"/>
      <c r="AC1961" s="232"/>
      <c r="AD1961" s="232"/>
      <c r="AE1961" s="232"/>
      <c r="AF1961" s="232"/>
      <c r="AG1961" s="208"/>
      <c r="AH1961" s="208"/>
      <c r="AI1961" s="208"/>
      <c r="AJ1961" s="208"/>
      <c r="AK1961" s="208"/>
    </row>
    <row r="1962">
      <c r="A1962" s="208"/>
      <c r="B1962" s="208"/>
      <c r="C1962" s="208"/>
      <c r="D1962" s="208"/>
      <c r="E1962" s="208"/>
      <c r="F1962" s="208"/>
      <c r="G1962" s="208"/>
      <c r="H1962" s="232"/>
      <c r="I1962" s="233"/>
      <c r="J1962" s="208"/>
      <c r="K1962" s="208"/>
      <c r="L1962" s="208"/>
      <c r="M1962" s="208"/>
      <c r="N1962" s="208"/>
      <c r="O1962" s="208"/>
      <c r="P1962" s="208"/>
      <c r="Q1962" s="208"/>
      <c r="R1962" s="208"/>
      <c r="S1962" s="208"/>
      <c r="T1962" s="208"/>
      <c r="U1962" s="208"/>
      <c r="V1962" s="234"/>
      <c r="W1962" s="232"/>
      <c r="X1962" s="232"/>
      <c r="Y1962" s="232"/>
      <c r="Z1962" s="232"/>
      <c r="AA1962" s="232"/>
      <c r="AB1962" s="232"/>
      <c r="AC1962" s="232"/>
      <c r="AD1962" s="232"/>
      <c r="AE1962" s="232"/>
      <c r="AF1962" s="232"/>
      <c r="AG1962" s="208"/>
      <c r="AH1962" s="208"/>
      <c r="AI1962" s="208"/>
      <c r="AJ1962" s="208"/>
      <c r="AK1962" s="208"/>
    </row>
    <row r="1963">
      <c r="A1963" s="208"/>
      <c r="B1963" s="208"/>
      <c r="C1963" s="208"/>
      <c r="D1963" s="208"/>
      <c r="E1963" s="208"/>
      <c r="F1963" s="208"/>
      <c r="G1963" s="208"/>
      <c r="H1963" s="232"/>
      <c r="I1963" s="233"/>
      <c r="J1963" s="208"/>
      <c r="K1963" s="208"/>
      <c r="L1963" s="208"/>
      <c r="M1963" s="208"/>
      <c r="N1963" s="208"/>
      <c r="O1963" s="208"/>
      <c r="P1963" s="208"/>
      <c r="Q1963" s="208"/>
      <c r="R1963" s="208"/>
      <c r="S1963" s="208"/>
      <c r="T1963" s="208"/>
      <c r="U1963" s="208"/>
      <c r="V1963" s="234"/>
      <c r="W1963" s="232"/>
      <c r="X1963" s="232"/>
      <c r="Y1963" s="232"/>
      <c r="Z1963" s="232"/>
      <c r="AA1963" s="232"/>
      <c r="AB1963" s="232"/>
      <c r="AC1963" s="232"/>
      <c r="AD1963" s="232"/>
      <c r="AE1963" s="232"/>
      <c r="AF1963" s="232"/>
      <c r="AG1963" s="208"/>
      <c r="AH1963" s="208"/>
      <c r="AI1963" s="208"/>
      <c r="AJ1963" s="208"/>
      <c r="AK1963" s="208"/>
    </row>
    <row r="1964">
      <c r="A1964" s="208"/>
      <c r="B1964" s="208"/>
      <c r="C1964" s="208"/>
      <c r="D1964" s="208"/>
      <c r="E1964" s="208"/>
      <c r="F1964" s="208"/>
      <c r="G1964" s="208"/>
      <c r="H1964" s="232"/>
      <c r="I1964" s="233"/>
      <c r="J1964" s="208"/>
      <c r="K1964" s="208"/>
      <c r="L1964" s="208"/>
      <c r="M1964" s="208"/>
      <c r="N1964" s="208"/>
      <c r="O1964" s="208"/>
      <c r="P1964" s="208"/>
      <c r="Q1964" s="208"/>
      <c r="R1964" s="208"/>
      <c r="S1964" s="208"/>
      <c r="T1964" s="208"/>
      <c r="U1964" s="208"/>
      <c r="V1964" s="234"/>
      <c r="W1964" s="232"/>
      <c r="X1964" s="232"/>
      <c r="Y1964" s="232"/>
      <c r="Z1964" s="232"/>
      <c r="AA1964" s="232"/>
      <c r="AB1964" s="232"/>
      <c r="AC1964" s="232"/>
      <c r="AD1964" s="232"/>
      <c r="AE1964" s="232"/>
      <c r="AF1964" s="232"/>
      <c r="AG1964" s="208"/>
      <c r="AH1964" s="208"/>
      <c r="AI1964" s="208"/>
      <c r="AJ1964" s="208"/>
      <c r="AK1964" s="208"/>
    </row>
    <row r="1965">
      <c r="A1965" s="208"/>
      <c r="B1965" s="208"/>
      <c r="C1965" s="208"/>
      <c r="D1965" s="208"/>
      <c r="E1965" s="208"/>
      <c r="F1965" s="208"/>
      <c r="G1965" s="208"/>
      <c r="H1965" s="232"/>
      <c r="I1965" s="233"/>
      <c r="J1965" s="208"/>
      <c r="K1965" s="208"/>
      <c r="L1965" s="208"/>
      <c r="M1965" s="208"/>
      <c r="N1965" s="208"/>
      <c r="O1965" s="208"/>
      <c r="P1965" s="208"/>
      <c r="Q1965" s="208"/>
      <c r="R1965" s="208"/>
      <c r="S1965" s="208"/>
      <c r="T1965" s="208"/>
      <c r="U1965" s="208"/>
      <c r="V1965" s="234"/>
      <c r="W1965" s="232"/>
      <c r="X1965" s="232"/>
      <c r="Y1965" s="232"/>
      <c r="Z1965" s="232"/>
      <c r="AA1965" s="232"/>
      <c r="AB1965" s="232"/>
      <c r="AC1965" s="232"/>
      <c r="AD1965" s="232"/>
      <c r="AE1965" s="232"/>
      <c r="AF1965" s="232"/>
      <c r="AG1965" s="208"/>
      <c r="AH1965" s="208"/>
      <c r="AI1965" s="208"/>
      <c r="AJ1965" s="208"/>
      <c r="AK1965" s="208"/>
    </row>
    <row r="1966">
      <c r="A1966" s="208"/>
      <c r="B1966" s="208"/>
      <c r="C1966" s="208"/>
      <c r="D1966" s="208"/>
      <c r="E1966" s="208"/>
      <c r="F1966" s="208"/>
      <c r="G1966" s="208"/>
      <c r="H1966" s="232"/>
      <c r="I1966" s="233"/>
      <c r="J1966" s="208"/>
      <c r="K1966" s="208"/>
      <c r="L1966" s="208"/>
      <c r="M1966" s="208"/>
      <c r="N1966" s="208"/>
      <c r="O1966" s="208"/>
      <c r="P1966" s="208"/>
      <c r="Q1966" s="208"/>
      <c r="R1966" s="208"/>
      <c r="S1966" s="208"/>
      <c r="T1966" s="208"/>
      <c r="U1966" s="208"/>
      <c r="V1966" s="234"/>
      <c r="W1966" s="232"/>
      <c r="X1966" s="232"/>
      <c r="Y1966" s="232"/>
      <c r="Z1966" s="232"/>
      <c r="AA1966" s="232"/>
      <c r="AB1966" s="232"/>
      <c r="AC1966" s="232"/>
      <c r="AD1966" s="232"/>
      <c r="AE1966" s="232"/>
      <c r="AF1966" s="232"/>
      <c r="AG1966" s="208"/>
      <c r="AH1966" s="208"/>
      <c r="AI1966" s="208"/>
      <c r="AJ1966" s="208"/>
      <c r="AK1966" s="208"/>
    </row>
    <row r="1967">
      <c r="A1967" s="208"/>
      <c r="B1967" s="208"/>
      <c r="C1967" s="208"/>
      <c r="D1967" s="208"/>
      <c r="E1967" s="208"/>
      <c r="F1967" s="208"/>
      <c r="G1967" s="208"/>
      <c r="H1967" s="232"/>
      <c r="I1967" s="233"/>
      <c r="J1967" s="208"/>
      <c r="K1967" s="208"/>
      <c r="L1967" s="208"/>
      <c r="M1967" s="208"/>
      <c r="N1967" s="208"/>
      <c r="O1967" s="208"/>
      <c r="P1967" s="208"/>
      <c r="Q1967" s="208"/>
      <c r="R1967" s="208"/>
      <c r="S1967" s="208"/>
      <c r="T1967" s="208"/>
      <c r="U1967" s="208"/>
      <c r="V1967" s="234"/>
      <c r="W1967" s="232"/>
      <c r="X1967" s="232"/>
      <c r="Y1967" s="232"/>
      <c r="Z1967" s="232"/>
      <c r="AA1967" s="232"/>
      <c r="AB1967" s="232"/>
      <c r="AC1967" s="232"/>
      <c r="AD1967" s="232"/>
      <c r="AE1967" s="232"/>
      <c r="AF1967" s="232"/>
      <c r="AG1967" s="208"/>
      <c r="AH1967" s="208"/>
      <c r="AI1967" s="208"/>
      <c r="AJ1967" s="208"/>
      <c r="AK1967" s="208"/>
    </row>
    <row r="1968">
      <c r="A1968" s="208"/>
      <c r="B1968" s="208"/>
      <c r="C1968" s="208"/>
      <c r="D1968" s="208"/>
      <c r="E1968" s="208"/>
      <c r="F1968" s="208"/>
      <c r="G1968" s="208"/>
      <c r="H1968" s="232"/>
      <c r="I1968" s="233"/>
      <c r="J1968" s="208"/>
      <c r="K1968" s="208"/>
      <c r="L1968" s="208"/>
      <c r="M1968" s="208"/>
      <c r="N1968" s="208"/>
      <c r="O1968" s="208"/>
      <c r="P1968" s="208"/>
      <c r="Q1968" s="208"/>
      <c r="R1968" s="208"/>
      <c r="S1968" s="208"/>
      <c r="T1968" s="208"/>
      <c r="U1968" s="208"/>
      <c r="V1968" s="234"/>
      <c r="W1968" s="232"/>
      <c r="X1968" s="232"/>
      <c r="Y1968" s="232"/>
      <c r="Z1968" s="232"/>
      <c r="AA1968" s="232"/>
      <c r="AB1968" s="232"/>
      <c r="AC1968" s="232"/>
      <c r="AD1968" s="232"/>
      <c r="AE1968" s="232"/>
      <c r="AF1968" s="232"/>
      <c r="AG1968" s="208"/>
      <c r="AH1968" s="208"/>
      <c r="AI1968" s="208"/>
      <c r="AJ1968" s="208"/>
      <c r="AK1968" s="208"/>
    </row>
    <row r="1969">
      <c r="A1969" s="208"/>
      <c r="B1969" s="208"/>
      <c r="C1969" s="208"/>
      <c r="D1969" s="208"/>
      <c r="E1969" s="208"/>
      <c r="F1969" s="208"/>
      <c r="G1969" s="208"/>
      <c r="H1969" s="232"/>
      <c r="I1969" s="233"/>
      <c r="J1969" s="208"/>
      <c r="K1969" s="208"/>
      <c r="L1969" s="208"/>
      <c r="M1969" s="208"/>
      <c r="N1969" s="208"/>
      <c r="O1969" s="208"/>
      <c r="P1969" s="208"/>
      <c r="Q1969" s="208"/>
      <c r="R1969" s="208"/>
      <c r="S1969" s="208"/>
      <c r="T1969" s="208"/>
      <c r="U1969" s="208"/>
      <c r="V1969" s="234"/>
      <c r="W1969" s="232"/>
      <c r="X1969" s="232"/>
      <c r="Y1969" s="232"/>
      <c r="Z1969" s="232"/>
      <c r="AA1969" s="232"/>
      <c r="AB1969" s="232"/>
      <c r="AC1969" s="232"/>
      <c r="AD1969" s="232"/>
      <c r="AE1969" s="232"/>
      <c r="AF1969" s="232"/>
      <c r="AG1969" s="208"/>
      <c r="AH1969" s="208"/>
      <c r="AI1969" s="208"/>
      <c r="AJ1969" s="208"/>
      <c r="AK1969" s="208"/>
    </row>
    <row r="1970">
      <c r="A1970" s="208"/>
      <c r="B1970" s="208"/>
      <c r="C1970" s="208"/>
      <c r="D1970" s="208"/>
      <c r="E1970" s="208"/>
      <c r="F1970" s="208"/>
      <c r="G1970" s="208"/>
      <c r="H1970" s="232"/>
      <c r="I1970" s="233"/>
      <c r="J1970" s="208"/>
      <c r="K1970" s="208"/>
      <c r="L1970" s="208"/>
      <c r="M1970" s="208"/>
      <c r="N1970" s="208"/>
      <c r="O1970" s="208"/>
      <c r="P1970" s="208"/>
      <c r="Q1970" s="208"/>
      <c r="R1970" s="208"/>
      <c r="S1970" s="208"/>
      <c r="T1970" s="208"/>
      <c r="U1970" s="208"/>
      <c r="V1970" s="234"/>
      <c r="W1970" s="232"/>
      <c r="X1970" s="232"/>
      <c r="Y1970" s="232"/>
      <c r="Z1970" s="232"/>
      <c r="AA1970" s="232"/>
      <c r="AB1970" s="232"/>
      <c r="AC1970" s="232"/>
      <c r="AD1970" s="232"/>
      <c r="AE1970" s="232"/>
      <c r="AF1970" s="232"/>
      <c r="AG1970" s="208"/>
      <c r="AH1970" s="208"/>
      <c r="AI1970" s="208"/>
      <c r="AJ1970" s="208"/>
      <c r="AK1970" s="208"/>
    </row>
    <row r="1971">
      <c r="A1971" s="208"/>
      <c r="B1971" s="208"/>
      <c r="C1971" s="208"/>
      <c r="D1971" s="208"/>
      <c r="E1971" s="208"/>
      <c r="F1971" s="208"/>
      <c r="G1971" s="208"/>
      <c r="H1971" s="232"/>
      <c r="I1971" s="233"/>
      <c r="J1971" s="208"/>
      <c r="K1971" s="208"/>
      <c r="L1971" s="208"/>
      <c r="M1971" s="208"/>
      <c r="N1971" s="208"/>
      <c r="O1971" s="208"/>
      <c r="P1971" s="208"/>
      <c r="Q1971" s="208"/>
      <c r="R1971" s="208"/>
      <c r="S1971" s="208"/>
      <c r="T1971" s="208"/>
      <c r="U1971" s="208"/>
      <c r="V1971" s="234"/>
      <c r="W1971" s="232"/>
      <c r="X1971" s="232"/>
      <c r="Y1971" s="232"/>
      <c r="Z1971" s="232"/>
      <c r="AA1971" s="232"/>
      <c r="AB1971" s="232"/>
      <c r="AC1971" s="232"/>
      <c r="AD1971" s="232"/>
      <c r="AE1971" s="232"/>
      <c r="AF1971" s="232"/>
      <c r="AG1971" s="208"/>
      <c r="AH1971" s="208"/>
      <c r="AI1971" s="208"/>
      <c r="AJ1971" s="208"/>
      <c r="AK1971" s="208"/>
    </row>
    <row r="1972">
      <c r="A1972" s="208"/>
      <c r="B1972" s="208"/>
      <c r="C1972" s="208"/>
      <c r="D1972" s="208"/>
      <c r="E1972" s="208"/>
      <c r="F1972" s="208"/>
      <c r="G1972" s="208"/>
      <c r="H1972" s="232"/>
      <c r="I1972" s="233"/>
      <c r="J1972" s="208"/>
      <c r="K1972" s="208"/>
      <c r="L1972" s="208"/>
      <c r="M1972" s="208"/>
      <c r="N1972" s="208"/>
      <c r="O1972" s="208"/>
      <c r="P1972" s="208"/>
      <c r="Q1972" s="208"/>
      <c r="R1972" s="208"/>
      <c r="S1972" s="208"/>
      <c r="T1972" s="208"/>
      <c r="U1972" s="208"/>
      <c r="V1972" s="234"/>
      <c r="W1972" s="232"/>
      <c r="X1972" s="232"/>
      <c r="Y1972" s="232"/>
      <c r="Z1972" s="232"/>
      <c r="AA1972" s="232"/>
      <c r="AB1972" s="232"/>
      <c r="AC1972" s="232"/>
      <c r="AD1972" s="232"/>
      <c r="AE1972" s="232"/>
      <c r="AF1972" s="232"/>
      <c r="AG1972" s="208"/>
      <c r="AH1972" s="208"/>
      <c r="AI1972" s="208"/>
      <c r="AJ1972" s="208"/>
      <c r="AK1972" s="208"/>
    </row>
    <row r="1973">
      <c r="A1973" s="208"/>
      <c r="B1973" s="208"/>
      <c r="C1973" s="208"/>
      <c r="D1973" s="208"/>
      <c r="E1973" s="208"/>
      <c r="F1973" s="208"/>
      <c r="G1973" s="208"/>
      <c r="H1973" s="232"/>
      <c r="I1973" s="233"/>
      <c r="J1973" s="208"/>
      <c r="K1973" s="208"/>
      <c r="L1973" s="208"/>
      <c r="M1973" s="208"/>
      <c r="N1973" s="208"/>
      <c r="O1973" s="208"/>
      <c r="P1973" s="208"/>
      <c r="Q1973" s="208"/>
      <c r="R1973" s="208"/>
      <c r="S1973" s="208"/>
      <c r="T1973" s="208"/>
      <c r="U1973" s="208"/>
      <c r="V1973" s="234"/>
      <c r="W1973" s="232"/>
      <c r="X1973" s="232"/>
      <c r="Y1973" s="232"/>
      <c r="Z1973" s="232"/>
      <c r="AA1973" s="232"/>
      <c r="AB1973" s="232"/>
      <c r="AC1973" s="232"/>
      <c r="AD1973" s="232"/>
      <c r="AE1973" s="232"/>
      <c r="AF1973" s="232"/>
      <c r="AG1973" s="208"/>
      <c r="AH1973" s="208"/>
      <c r="AI1973" s="208"/>
      <c r="AJ1973" s="208"/>
      <c r="AK1973" s="208"/>
    </row>
    <row r="1974">
      <c r="A1974" s="208"/>
      <c r="B1974" s="208"/>
      <c r="C1974" s="208"/>
      <c r="D1974" s="208"/>
      <c r="E1974" s="208"/>
      <c r="F1974" s="208"/>
      <c r="G1974" s="208"/>
      <c r="H1974" s="232"/>
      <c r="I1974" s="233"/>
      <c r="J1974" s="208"/>
      <c r="K1974" s="208"/>
      <c r="L1974" s="208"/>
      <c r="M1974" s="208"/>
      <c r="N1974" s="208"/>
      <c r="O1974" s="208"/>
      <c r="P1974" s="208"/>
      <c r="Q1974" s="208"/>
      <c r="R1974" s="208"/>
      <c r="S1974" s="208"/>
      <c r="T1974" s="208"/>
      <c r="U1974" s="208"/>
      <c r="V1974" s="234"/>
      <c r="W1974" s="232"/>
      <c r="X1974" s="232"/>
      <c r="Y1974" s="232"/>
      <c r="Z1974" s="232"/>
      <c r="AA1974" s="232"/>
      <c r="AB1974" s="232"/>
      <c r="AC1974" s="232"/>
      <c r="AD1974" s="232"/>
      <c r="AE1974" s="232"/>
      <c r="AF1974" s="232"/>
      <c r="AG1974" s="208"/>
      <c r="AH1974" s="208"/>
      <c r="AI1974" s="208"/>
      <c r="AJ1974" s="208"/>
      <c r="AK1974" s="208"/>
    </row>
    <row r="1975">
      <c r="A1975" s="208"/>
      <c r="B1975" s="208"/>
      <c r="C1975" s="208"/>
      <c r="D1975" s="208"/>
      <c r="E1975" s="208"/>
      <c r="F1975" s="208"/>
      <c r="G1975" s="208"/>
      <c r="H1975" s="232"/>
      <c r="I1975" s="233"/>
      <c r="J1975" s="208"/>
      <c r="K1975" s="208"/>
      <c r="L1975" s="208"/>
      <c r="M1975" s="208"/>
      <c r="N1975" s="208"/>
      <c r="O1975" s="208"/>
      <c r="P1975" s="208"/>
      <c r="Q1975" s="208"/>
      <c r="R1975" s="208"/>
      <c r="S1975" s="208"/>
      <c r="T1975" s="208"/>
      <c r="U1975" s="208"/>
      <c r="V1975" s="234"/>
      <c r="W1975" s="232"/>
      <c r="X1975" s="232"/>
      <c r="Y1975" s="232"/>
      <c r="Z1975" s="232"/>
      <c r="AA1975" s="232"/>
      <c r="AB1975" s="232"/>
      <c r="AC1975" s="232"/>
      <c r="AD1975" s="232"/>
      <c r="AE1975" s="232"/>
      <c r="AF1975" s="232"/>
      <c r="AG1975" s="208"/>
      <c r="AH1975" s="208"/>
      <c r="AI1975" s="208"/>
      <c r="AJ1975" s="208"/>
      <c r="AK1975" s="208"/>
    </row>
    <row r="1976">
      <c r="A1976" s="208"/>
      <c r="B1976" s="208"/>
      <c r="C1976" s="208"/>
      <c r="D1976" s="208"/>
      <c r="E1976" s="208"/>
      <c r="F1976" s="208"/>
      <c r="G1976" s="208"/>
      <c r="H1976" s="232"/>
      <c r="I1976" s="233"/>
      <c r="J1976" s="208"/>
      <c r="K1976" s="208"/>
      <c r="L1976" s="208"/>
      <c r="M1976" s="208"/>
      <c r="N1976" s="208"/>
      <c r="O1976" s="208"/>
      <c r="P1976" s="208"/>
      <c r="Q1976" s="208"/>
      <c r="R1976" s="208"/>
      <c r="S1976" s="208"/>
      <c r="T1976" s="208"/>
      <c r="U1976" s="208"/>
      <c r="V1976" s="234"/>
      <c r="W1976" s="232"/>
      <c r="X1976" s="232"/>
      <c r="Y1976" s="232"/>
      <c r="Z1976" s="232"/>
      <c r="AA1976" s="232"/>
      <c r="AB1976" s="232"/>
      <c r="AC1976" s="232"/>
      <c r="AD1976" s="232"/>
      <c r="AE1976" s="232"/>
      <c r="AF1976" s="232"/>
      <c r="AG1976" s="208"/>
      <c r="AH1976" s="208"/>
      <c r="AI1976" s="208"/>
      <c r="AJ1976" s="208"/>
      <c r="AK1976" s="208"/>
    </row>
    <row r="1977">
      <c r="A1977" s="208"/>
      <c r="B1977" s="208"/>
      <c r="C1977" s="208"/>
      <c r="D1977" s="208"/>
      <c r="E1977" s="208"/>
      <c r="F1977" s="208"/>
      <c r="G1977" s="208"/>
      <c r="H1977" s="232"/>
      <c r="I1977" s="233"/>
      <c r="J1977" s="208"/>
      <c r="K1977" s="208"/>
      <c r="L1977" s="208"/>
      <c r="M1977" s="208"/>
      <c r="N1977" s="208"/>
      <c r="O1977" s="208"/>
      <c r="P1977" s="208"/>
      <c r="Q1977" s="208"/>
      <c r="R1977" s="208"/>
      <c r="S1977" s="208"/>
      <c r="T1977" s="208"/>
      <c r="U1977" s="208"/>
      <c r="V1977" s="234"/>
      <c r="W1977" s="232"/>
      <c r="X1977" s="232"/>
      <c r="Y1977" s="232"/>
      <c r="Z1977" s="232"/>
      <c r="AA1977" s="232"/>
      <c r="AB1977" s="232"/>
      <c r="AC1977" s="232"/>
      <c r="AD1977" s="232"/>
      <c r="AE1977" s="232"/>
      <c r="AF1977" s="232"/>
      <c r="AG1977" s="208"/>
      <c r="AH1977" s="208"/>
      <c r="AI1977" s="208"/>
      <c r="AJ1977" s="208"/>
      <c r="AK1977" s="208"/>
    </row>
    <row r="1978">
      <c r="A1978" s="208"/>
      <c r="B1978" s="208"/>
      <c r="C1978" s="208"/>
      <c r="D1978" s="208"/>
      <c r="E1978" s="208"/>
      <c r="F1978" s="208"/>
      <c r="G1978" s="208"/>
      <c r="H1978" s="232"/>
      <c r="I1978" s="233"/>
      <c r="J1978" s="208"/>
      <c r="K1978" s="208"/>
      <c r="L1978" s="208"/>
      <c r="M1978" s="208"/>
      <c r="N1978" s="208"/>
      <c r="O1978" s="208"/>
      <c r="P1978" s="208"/>
      <c r="Q1978" s="208"/>
      <c r="R1978" s="208"/>
      <c r="S1978" s="208"/>
      <c r="T1978" s="208"/>
      <c r="U1978" s="208"/>
      <c r="V1978" s="234"/>
      <c r="W1978" s="232"/>
      <c r="X1978" s="232"/>
      <c r="Y1978" s="232"/>
      <c r="Z1978" s="232"/>
      <c r="AA1978" s="232"/>
      <c r="AB1978" s="232"/>
      <c r="AC1978" s="232"/>
      <c r="AD1978" s="232"/>
      <c r="AE1978" s="232"/>
      <c r="AF1978" s="232"/>
      <c r="AG1978" s="208"/>
      <c r="AH1978" s="208"/>
      <c r="AI1978" s="208"/>
      <c r="AJ1978" s="208"/>
      <c r="AK1978" s="208"/>
    </row>
    <row r="1979">
      <c r="A1979" s="208"/>
      <c r="B1979" s="208"/>
      <c r="C1979" s="208"/>
      <c r="D1979" s="208"/>
      <c r="E1979" s="208"/>
      <c r="F1979" s="208"/>
      <c r="G1979" s="208"/>
      <c r="H1979" s="232"/>
      <c r="I1979" s="233"/>
      <c r="J1979" s="208"/>
      <c r="K1979" s="208"/>
      <c r="L1979" s="208"/>
      <c r="M1979" s="208"/>
      <c r="N1979" s="208"/>
      <c r="O1979" s="208"/>
      <c r="P1979" s="208"/>
      <c r="Q1979" s="208"/>
      <c r="R1979" s="208"/>
      <c r="S1979" s="208"/>
      <c r="T1979" s="208"/>
      <c r="U1979" s="208"/>
      <c r="V1979" s="234"/>
      <c r="W1979" s="232"/>
      <c r="X1979" s="232"/>
      <c r="Y1979" s="232"/>
      <c r="Z1979" s="232"/>
      <c r="AA1979" s="232"/>
      <c r="AB1979" s="232"/>
      <c r="AC1979" s="232"/>
      <c r="AD1979" s="232"/>
      <c r="AE1979" s="232"/>
      <c r="AF1979" s="232"/>
      <c r="AG1979" s="208"/>
      <c r="AH1979" s="208"/>
      <c r="AI1979" s="208"/>
      <c r="AJ1979" s="208"/>
      <c r="AK1979" s="208"/>
    </row>
    <row r="1980">
      <c r="A1980" s="208"/>
      <c r="B1980" s="208"/>
      <c r="C1980" s="208"/>
      <c r="D1980" s="208"/>
      <c r="E1980" s="208"/>
      <c r="F1980" s="208"/>
      <c r="G1980" s="208"/>
      <c r="H1980" s="232"/>
      <c r="I1980" s="233"/>
      <c r="J1980" s="208"/>
      <c r="K1980" s="208"/>
      <c r="L1980" s="208"/>
      <c r="M1980" s="208"/>
      <c r="N1980" s="208"/>
      <c r="O1980" s="208"/>
      <c r="P1980" s="208"/>
      <c r="Q1980" s="208"/>
      <c r="R1980" s="208"/>
      <c r="S1980" s="208"/>
      <c r="T1980" s="208"/>
      <c r="U1980" s="208"/>
      <c r="V1980" s="234"/>
      <c r="W1980" s="232"/>
      <c r="X1980" s="232"/>
      <c r="Y1980" s="232"/>
      <c r="Z1980" s="232"/>
      <c r="AA1980" s="232"/>
      <c r="AB1980" s="232"/>
      <c r="AC1980" s="232"/>
      <c r="AD1980" s="232"/>
      <c r="AE1980" s="232"/>
      <c r="AF1980" s="232"/>
      <c r="AG1980" s="208"/>
      <c r="AH1980" s="208"/>
      <c r="AI1980" s="208"/>
      <c r="AJ1980" s="208"/>
      <c r="AK1980" s="208"/>
    </row>
    <row r="1981">
      <c r="A1981" s="208"/>
      <c r="B1981" s="208"/>
      <c r="C1981" s="208"/>
      <c r="D1981" s="208"/>
      <c r="E1981" s="208"/>
      <c r="F1981" s="208"/>
      <c r="G1981" s="208"/>
      <c r="H1981" s="232"/>
      <c r="I1981" s="233"/>
      <c r="J1981" s="208"/>
      <c r="K1981" s="208"/>
      <c r="L1981" s="208"/>
      <c r="M1981" s="208"/>
      <c r="N1981" s="208"/>
      <c r="O1981" s="208"/>
      <c r="P1981" s="208"/>
      <c r="Q1981" s="208"/>
      <c r="R1981" s="208"/>
      <c r="S1981" s="208"/>
      <c r="T1981" s="208"/>
      <c r="U1981" s="208"/>
      <c r="V1981" s="234"/>
      <c r="W1981" s="232"/>
      <c r="X1981" s="232"/>
      <c r="Y1981" s="232"/>
      <c r="Z1981" s="232"/>
      <c r="AA1981" s="232"/>
      <c r="AB1981" s="232"/>
      <c r="AC1981" s="232"/>
      <c r="AD1981" s="232"/>
      <c r="AE1981" s="232"/>
      <c r="AF1981" s="232"/>
      <c r="AG1981" s="208"/>
      <c r="AH1981" s="208"/>
      <c r="AI1981" s="208"/>
      <c r="AJ1981" s="208"/>
      <c r="AK1981" s="208"/>
    </row>
    <row r="1982">
      <c r="A1982" s="208"/>
      <c r="B1982" s="208"/>
      <c r="C1982" s="208"/>
      <c r="D1982" s="208"/>
      <c r="E1982" s="208"/>
      <c r="F1982" s="208"/>
      <c r="G1982" s="208"/>
      <c r="H1982" s="232"/>
      <c r="I1982" s="233"/>
      <c r="J1982" s="208"/>
      <c r="K1982" s="208"/>
      <c r="L1982" s="208"/>
      <c r="M1982" s="208"/>
      <c r="N1982" s="208"/>
      <c r="O1982" s="208"/>
      <c r="P1982" s="208"/>
      <c r="Q1982" s="208"/>
      <c r="R1982" s="208"/>
      <c r="S1982" s="208"/>
      <c r="T1982" s="208"/>
      <c r="U1982" s="208"/>
      <c r="V1982" s="234"/>
      <c r="W1982" s="232"/>
      <c r="X1982" s="232"/>
      <c r="Y1982" s="232"/>
      <c r="Z1982" s="232"/>
      <c r="AA1982" s="232"/>
      <c r="AB1982" s="232"/>
      <c r="AC1982" s="232"/>
      <c r="AD1982" s="232"/>
      <c r="AE1982" s="232"/>
      <c r="AF1982" s="232"/>
      <c r="AG1982" s="208"/>
      <c r="AH1982" s="208"/>
      <c r="AI1982" s="208"/>
      <c r="AJ1982" s="208"/>
      <c r="AK1982" s="208"/>
    </row>
    <row r="1983">
      <c r="A1983" s="208"/>
      <c r="B1983" s="208"/>
      <c r="C1983" s="208"/>
      <c r="D1983" s="208"/>
      <c r="E1983" s="208"/>
      <c r="F1983" s="208"/>
      <c r="G1983" s="208"/>
      <c r="H1983" s="232"/>
      <c r="I1983" s="233"/>
      <c r="J1983" s="208"/>
      <c r="K1983" s="208"/>
      <c r="L1983" s="208"/>
      <c r="M1983" s="208"/>
      <c r="N1983" s="208"/>
      <c r="O1983" s="208"/>
      <c r="P1983" s="208"/>
      <c r="Q1983" s="208"/>
      <c r="R1983" s="208"/>
      <c r="S1983" s="208"/>
      <c r="T1983" s="208"/>
      <c r="U1983" s="208"/>
      <c r="V1983" s="234"/>
      <c r="W1983" s="232"/>
      <c r="X1983" s="232"/>
      <c r="Y1983" s="232"/>
      <c r="Z1983" s="232"/>
      <c r="AA1983" s="232"/>
      <c r="AB1983" s="232"/>
      <c r="AC1983" s="232"/>
      <c r="AD1983" s="232"/>
      <c r="AE1983" s="232"/>
      <c r="AF1983" s="232"/>
      <c r="AG1983" s="208"/>
      <c r="AH1983" s="208"/>
      <c r="AI1983" s="208"/>
      <c r="AJ1983" s="208"/>
      <c r="AK1983" s="208"/>
    </row>
    <row r="1984">
      <c r="A1984" s="208"/>
      <c r="B1984" s="208"/>
      <c r="C1984" s="208"/>
      <c r="D1984" s="208"/>
      <c r="E1984" s="208"/>
      <c r="F1984" s="208"/>
      <c r="G1984" s="208"/>
      <c r="H1984" s="232"/>
      <c r="I1984" s="233"/>
      <c r="J1984" s="208"/>
      <c r="K1984" s="208"/>
      <c r="L1984" s="208"/>
      <c r="M1984" s="208"/>
      <c r="N1984" s="208"/>
      <c r="O1984" s="208"/>
      <c r="P1984" s="208"/>
      <c r="Q1984" s="208"/>
      <c r="R1984" s="208"/>
      <c r="S1984" s="208"/>
      <c r="T1984" s="208"/>
      <c r="U1984" s="208"/>
      <c r="V1984" s="234"/>
      <c r="W1984" s="232"/>
      <c r="X1984" s="232"/>
      <c r="Y1984" s="232"/>
      <c r="Z1984" s="232"/>
      <c r="AA1984" s="232"/>
      <c r="AB1984" s="232"/>
      <c r="AC1984" s="232"/>
      <c r="AD1984" s="232"/>
      <c r="AE1984" s="232"/>
      <c r="AF1984" s="232"/>
      <c r="AG1984" s="208"/>
      <c r="AH1984" s="208"/>
      <c r="AI1984" s="208"/>
      <c r="AJ1984" s="208"/>
      <c r="AK1984" s="208"/>
    </row>
    <row r="1985">
      <c r="A1985" s="208"/>
      <c r="B1985" s="208"/>
      <c r="C1985" s="208"/>
      <c r="D1985" s="208"/>
      <c r="E1985" s="208"/>
      <c r="F1985" s="208"/>
      <c r="G1985" s="208"/>
      <c r="H1985" s="232"/>
      <c r="I1985" s="233"/>
      <c r="J1985" s="208"/>
      <c r="K1985" s="208"/>
      <c r="L1985" s="208"/>
      <c r="M1985" s="208"/>
      <c r="N1985" s="208"/>
      <c r="O1985" s="208"/>
      <c r="P1985" s="208"/>
      <c r="Q1985" s="208"/>
      <c r="R1985" s="208"/>
      <c r="S1985" s="208"/>
      <c r="T1985" s="208"/>
      <c r="U1985" s="208"/>
      <c r="V1985" s="234"/>
      <c r="W1985" s="232"/>
      <c r="X1985" s="232"/>
      <c r="Y1985" s="232"/>
      <c r="Z1985" s="232"/>
      <c r="AA1985" s="232"/>
      <c r="AB1985" s="232"/>
      <c r="AC1985" s="232"/>
      <c r="AD1985" s="232"/>
      <c r="AE1985" s="232"/>
      <c r="AF1985" s="232"/>
      <c r="AG1985" s="208"/>
      <c r="AH1985" s="208"/>
      <c r="AI1985" s="208"/>
      <c r="AJ1985" s="208"/>
      <c r="AK1985" s="208"/>
    </row>
    <row r="1986">
      <c r="A1986" s="208"/>
      <c r="B1986" s="208"/>
      <c r="C1986" s="208"/>
      <c r="D1986" s="208"/>
      <c r="E1986" s="208"/>
      <c r="F1986" s="208"/>
      <c r="G1986" s="208"/>
      <c r="H1986" s="232"/>
      <c r="I1986" s="233"/>
      <c r="J1986" s="208"/>
      <c r="K1986" s="208"/>
      <c r="L1986" s="208"/>
      <c r="M1986" s="208"/>
      <c r="N1986" s="208"/>
      <c r="O1986" s="208"/>
      <c r="P1986" s="208"/>
      <c r="Q1986" s="208"/>
      <c r="R1986" s="208"/>
      <c r="S1986" s="208"/>
      <c r="T1986" s="208"/>
      <c r="U1986" s="208"/>
      <c r="V1986" s="234"/>
      <c r="W1986" s="232"/>
      <c r="X1986" s="232"/>
      <c r="Y1986" s="232"/>
      <c r="Z1986" s="232"/>
      <c r="AA1986" s="232"/>
      <c r="AB1986" s="232"/>
      <c r="AC1986" s="232"/>
      <c r="AD1986" s="232"/>
      <c r="AE1986" s="232"/>
      <c r="AF1986" s="232"/>
      <c r="AG1986" s="208"/>
      <c r="AH1986" s="208"/>
      <c r="AI1986" s="208"/>
      <c r="AJ1986" s="208"/>
      <c r="AK1986" s="208"/>
    </row>
    <row r="1987">
      <c r="A1987" s="208"/>
      <c r="B1987" s="208"/>
      <c r="C1987" s="208"/>
      <c r="D1987" s="208"/>
      <c r="E1987" s="208"/>
      <c r="F1987" s="208"/>
      <c r="G1987" s="208"/>
      <c r="H1987" s="232"/>
      <c r="I1987" s="233"/>
      <c r="J1987" s="208"/>
      <c r="K1987" s="208"/>
      <c r="L1987" s="208"/>
      <c r="M1987" s="208"/>
      <c r="N1987" s="208"/>
      <c r="O1987" s="208"/>
      <c r="P1987" s="208"/>
      <c r="Q1987" s="208"/>
      <c r="R1987" s="208"/>
      <c r="S1987" s="208"/>
      <c r="T1987" s="208"/>
      <c r="U1987" s="208"/>
      <c r="V1987" s="234"/>
      <c r="W1987" s="232"/>
      <c r="X1987" s="232"/>
      <c r="Y1987" s="232"/>
      <c r="Z1987" s="232"/>
      <c r="AA1987" s="232"/>
      <c r="AB1987" s="232"/>
      <c r="AC1987" s="232"/>
      <c r="AD1987" s="232"/>
      <c r="AE1987" s="232"/>
      <c r="AF1987" s="232"/>
      <c r="AG1987" s="208"/>
      <c r="AH1987" s="208"/>
      <c r="AI1987" s="208"/>
      <c r="AJ1987" s="208"/>
      <c r="AK1987" s="208"/>
    </row>
    <row r="1988">
      <c r="A1988" s="208"/>
      <c r="B1988" s="208"/>
      <c r="C1988" s="208"/>
      <c r="D1988" s="208"/>
      <c r="E1988" s="208"/>
      <c r="F1988" s="208"/>
      <c r="G1988" s="208"/>
      <c r="H1988" s="232"/>
      <c r="I1988" s="233"/>
      <c r="J1988" s="208"/>
      <c r="K1988" s="208"/>
      <c r="L1988" s="208"/>
      <c r="M1988" s="208"/>
      <c r="N1988" s="208"/>
      <c r="O1988" s="208"/>
      <c r="P1988" s="208"/>
      <c r="Q1988" s="208"/>
      <c r="R1988" s="208"/>
      <c r="S1988" s="208"/>
      <c r="T1988" s="208"/>
      <c r="U1988" s="208"/>
      <c r="V1988" s="234"/>
      <c r="W1988" s="232"/>
      <c r="X1988" s="232"/>
      <c r="Y1988" s="232"/>
      <c r="Z1988" s="232"/>
      <c r="AA1988" s="232"/>
      <c r="AB1988" s="232"/>
      <c r="AC1988" s="232"/>
      <c r="AD1988" s="232"/>
      <c r="AE1988" s="232"/>
      <c r="AF1988" s="232"/>
      <c r="AG1988" s="208"/>
      <c r="AH1988" s="208"/>
      <c r="AI1988" s="208"/>
      <c r="AJ1988" s="208"/>
      <c r="AK1988" s="208"/>
    </row>
    <row r="1989">
      <c r="A1989" s="208"/>
      <c r="B1989" s="208"/>
      <c r="C1989" s="208"/>
      <c r="D1989" s="208"/>
      <c r="E1989" s="208"/>
      <c r="F1989" s="208"/>
      <c r="G1989" s="208"/>
      <c r="H1989" s="232"/>
      <c r="I1989" s="233"/>
      <c r="J1989" s="208"/>
      <c r="K1989" s="208"/>
      <c r="L1989" s="208"/>
      <c r="M1989" s="208"/>
      <c r="N1989" s="208"/>
      <c r="O1989" s="208"/>
      <c r="P1989" s="208"/>
      <c r="Q1989" s="208"/>
      <c r="R1989" s="208"/>
      <c r="S1989" s="208"/>
      <c r="T1989" s="208"/>
      <c r="U1989" s="208"/>
      <c r="V1989" s="234"/>
      <c r="W1989" s="232"/>
      <c r="X1989" s="232"/>
      <c r="Y1989" s="232"/>
      <c r="Z1989" s="232"/>
      <c r="AA1989" s="232"/>
      <c r="AB1989" s="232"/>
      <c r="AC1989" s="232"/>
      <c r="AD1989" s="232"/>
      <c r="AE1989" s="232"/>
      <c r="AF1989" s="232"/>
      <c r="AG1989" s="208"/>
      <c r="AH1989" s="208"/>
      <c r="AI1989" s="208"/>
      <c r="AJ1989" s="208"/>
      <c r="AK1989" s="208"/>
    </row>
    <row r="1990">
      <c r="A1990" s="208"/>
      <c r="B1990" s="208"/>
      <c r="C1990" s="208"/>
      <c r="D1990" s="208"/>
      <c r="E1990" s="208"/>
      <c r="F1990" s="208"/>
      <c r="G1990" s="208"/>
      <c r="H1990" s="232"/>
      <c r="I1990" s="233"/>
      <c r="J1990" s="208"/>
      <c r="K1990" s="208"/>
      <c r="L1990" s="208"/>
      <c r="M1990" s="208"/>
      <c r="N1990" s="208"/>
      <c r="O1990" s="208"/>
      <c r="P1990" s="208"/>
      <c r="Q1990" s="208"/>
      <c r="R1990" s="208"/>
      <c r="S1990" s="208"/>
      <c r="T1990" s="208"/>
      <c r="U1990" s="208"/>
      <c r="V1990" s="234"/>
      <c r="W1990" s="232"/>
      <c r="X1990" s="232"/>
      <c r="Y1990" s="232"/>
      <c r="Z1990" s="232"/>
      <c r="AA1990" s="232"/>
      <c r="AB1990" s="232"/>
      <c r="AC1990" s="232"/>
      <c r="AD1990" s="232"/>
      <c r="AE1990" s="232"/>
      <c r="AF1990" s="232"/>
      <c r="AG1990" s="208"/>
      <c r="AH1990" s="208"/>
      <c r="AI1990" s="208"/>
      <c r="AJ1990" s="208"/>
      <c r="AK1990" s="208"/>
    </row>
    <row r="1991">
      <c r="A1991" s="208"/>
      <c r="B1991" s="208"/>
      <c r="C1991" s="208"/>
      <c r="D1991" s="208"/>
      <c r="E1991" s="208"/>
      <c r="F1991" s="208"/>
      <c r="G1991" s="208"/>
      <c r="H1991" s="232"/>
      <c r="I1991" s="233"/>
      <c r="J1991" s="208"/>
      <c r="K1991" s="208"/>
      <c r="L1991" s="208"/>
      <c r="M1991" s="208"/>
      <c r="N1991" s="208"/>
      <c r="O1991" s="208"/>
      <c r="P1991" s="208"/>
      <c r="Q1991" s="208"/>
      <c r="R1991" s="208"/>
      <c r="S1991" s="208"/>
      <c r="T1991" s="208"/>
      <c r="U1991" s="208"/>
      <c r="V1991" s="234"/>
      <c r="W1991" s="232"/>
      <c r="X1991" s="232"/>
      <c r="Y1991" s="232"/>
      <c r="Z1991" s="232"/>
      <c r="AA1991" s="232"/>
      <c r="AB1991" s="232"/>
      <c r="AC1991" s="232"/>
      <c r="AD1991" s="232"/>
      <c r="AE1991" s="232"/>
      <c r="AF1991" s="232"/>
      <c r="AG1991" s="208"/>
      <c r="AH1991" s="208"/>
      <c r="AI1991" s="208"/>
      <c r="AJ1991" s="208"/>
      <c r="AK1991" s="208"/>
    </row>
    <row r="1992">
      <c r="A1992" s="208"/>
      <c r="B1992" s="208"/>
      <c r="C1992" s="208"/>
      <c r="D1992" s="208"/>
      <c r="E1992" s="208"/>
      <c r="F1992" s="208"/>
      <c r="G1992" s="208"/>
      <c r="H1992" s="232"/>
      <c r="I1992" s="233"/>
      <c r="J1992" s="208"/>
      <c r="K1992" s="208"/>
      <c r="L1992" s="208"/>
      <c r="M1992" s="208"/>
      <c r="N1992" s="208"/>
      <c r="O1992" s="208"/>
      <c r="P1992" s="208"/>
      <c r="Q1992" s="208"/>
      <c r="R1992" s="208"/>
      <c r="S1992" s="208"/>
      <c r="T1992" s="208"/>
      <c r="U1992" s="208"/>
      <c r="V1992" s="234"/>
      <c r="W1992" s="232"/>
      <c r="X1992" s="232"/>
      <c r="Y1992" s="232"/>
      <c r="Z1992" s="232"/>
      <c r="AA1992" s="232"/>
      <c r="AB1992" s="232"/>
      <c r="AC1992" s="232"/>
      <c r="AD1992" s="232"/>
      <c r="AE1992" s="232"/>
      <c r="AF1992" s="232"/>
      <c r="AG1992" s="208"/>
      <c r="AH1992" s="208"/>
      <c r="AI1992" s="208"/>
      <c r="AJ1992" s="208"/>
      <c r="AK1992" s="208"/>
    </row>
    <row r="1993">
      <c r="A1993" s="208"/>
      <c r="B1993" s="208"/>
      <c r="C1993" s="208"/>
      <c r="D1993" s="208"/>
      <c r="E1993" s="208"/>
      <c r="F1993" s="208"/>
      <c r="G1993" s="208"/>
      <c r="H1993" s="232"/>
      <c r="I1993" s="233"/>
      <c r="J1993" s="208"/>
      <c r="K1993" s="208"/>
      <c r="L1993" s="208"/>
      <c r="M1993" s="208"/>
      <c r="N1993" s="208"/>
      <c r="O1993" s="208"/>
      <c r="P1993" s="208"/>
      <c r="Q1993" s="208"/>
      <c r="R1993" s="208"/>
      <c r="S1993" s="208"/>
      <c r="T1993" s="208"/>
      <c r="U1993" s="208"/>
      <c r="V1993" s="234"/>
      <c r="W1993" s="232"/>
      <c r="X1993" s="232"/>
      <c r="Y1993" s="232"/>
      <c r="Z1993" s="232"/>
      <c r="AA1993" s="232"/>
      <c r="AB1993" s="232"/>
      <c r="AC1993" s="232"/>
      <c r="AD1993" s="232"/>
      <c r="AE1993" s="232"/>
      <c r="AF1993" s="232"/>
      <c r="AG1993" s="208"/>
      <c r="AH1993" s="208"/>
      <c r="AI1993" s="208"/>
      <c r="AJ1993" s="208"/>
      <c r="AK1993" s="208"/>
    </row>
    <row r="1994">
      <c r="A1994" s="208"/>
      <c r="B1994" s="208"/>
      <c r="C1994" s="208"/>
      <c r="D1994" s="208"/>
      <c r="E1994" s="208"/>
      <c r="F1994" s="208"/>
      <c r="G1994" s="208"/>
      <c r="H1994" s="232"/>
      <c r="I1994" s="233"/>
      <c r="J1994" s="208"/>
      <c r="K1994" s="208"/>
      <c r="L1994" s="208"/>
      <c r="M1994" s="208"/>
      <c r="N1994" s="208"/>
      <c r="O1994" s="208"/>
      <c r="P1994" s="208"/>
      <c r="Q1994" s="208"/>
      <c r="R1994" s="208"/>
      <c r="S1994" s="208"/>
      <c r="T1994" s="208"/>
      <c r="U1994" s="208"/>
      <c r="V1994" s="234"/>
      <c r="W1994" s="232"/>
      <c r="X1994" s="232"/>
      <c r="Y1994" s="232"/>
      <c r="Z1994" s="232"/>
      <c r="AA1994" s="232"/>
      <c r="AB1994" s="232"/>
      <c r="AC1994" s="232"/>
      <c r="AD1994" s="232"/>
      <c r="AE1994" s="232"/>
      <c r="AF1994" s="232"/>
      <c r="AG1994" s="208"/>
      <c r="AH1994" s="208"/>
      <c r="AI1994" s="208"/>
      <c r="AJ1994" s="208"/>
      <c r="AK1994" s="208"/>
    </row>
    <row r="1995">
      <c r="A1995" s="208"/>
      <c r="B1995" s="208"/>
      <c r="C1995" s="208"/>
      <c r="D1995" s="208"/>
      <c r="E1995" s="208"/>
      <c r="F1995" s="208"/>
      <c r="G1995" s="208"/>
      <c r="H1995" s="232"/>
      <c r="I1995" s="233"/>
      <c r="J1995" s="208"/>
      <c r="K1995" s="208"/>
      <c r="L1995" s="208"/>
      <c r="M1995" s="208"/>
      <c r="N1995" s="208"/>
      <c r="O1995" s="208"/>
      <c r="P1995" s="208"/>
      <c r="Q1995" s="208"/>
      <c r="R1995" s="208"/>
      <c r="S1995" s="208"/>
      <c r="T1995" s="208"/>
      <c r="U1995" s="208"/>
      <c r="V1995" s="234"/>
      <c r="W1995" s="232"/>
      <c r="X1995" s="232"/>
      <c r="Y1995" s="232"/>
      <c r="Z1995" s="232"/>
      <c r="AA1995" s="232"/>
      <c r="AB1995" s="232"/>
      <c r="AC1995" s="232"/>
      <c r="AD1995" s="232"/>
      <c r="AE1995" s="232"/>
      <c r="AF1995" s="232"/>
      <c r="AG1995" s="208"/>
      <c r="AH1995" s="208"/>
      <c r="AI1995" s="208"/>
      <c r="AJ1995" s="208"/>
      <c r="AK1995" s="208"/>
    </row>
    <row r="1996">
      <c r="A1996" s="208"/>
      <c r="B1996" s="208"/>
      <c r="C1996" s="208"/>
      <c r="D1996" s="208"/>
      <c r="E1996" s="208"/>
      <c r="F1996" s="208"/>
      <c r="G1996" s="208"/>
      <c r="H1996" s="232"/>
      <c r="I1996" s="233"/>
      <c r="J1996" s="208"/>
      <c r="K1996" s="208"/>
      <c r="L1996" s="208"/>
      <c r="M1996" s="208"/>
      <c r="N1996" s="208"/>
      <c r="O1996" s="208"/>
      <c r="P1996" s="208"/>
      <c r="Q1996" s="208"/>
      <c r="R1996" s="208"/>
      <c r="S1996" s="208"/>
      <c r="T1996" s="208"/>
      <c r="U1996" s="208"/>
      <c r="V1996" s="234"/>
      <c r="W1996" s="232"/>
      <c r="X1996" s="232"/>
      <c r="Y1996" s="232"/>
      <c r="Z1996" s="232"/>
      <c r="AA1996" s="232"/>
      <c r="AB1996" s="232"/>
      <c r="AC1996" s="232"/>
      <c r="AD1996" s="232"/>
      <c r="AE1996" s="232"/>
      <c r="AF1996" s="232"/>
      <c r="AG1996" s="208"/>
      <c r="AH1996" s="208"/>
      <c r="AI1996" s="208"/>
      <c r="AJ1996" s="208"/>
      <c r="AK1996" s="208"/>
    </row>
    <row r="1997">
      <c r="A1997" s="208"/>
      <c r="B1997" s="208"/>
      <c r="C1997" s="208"/>
      <c r="D1997" s="208"/>
      <c r="E1997" s="208"/>
      <c r="F1997" s="208"/>
      <c r="G1997" s="208"/>
      <c r="H1997" s="232"/>
      <c r="I1997" s="233"/>
      <c r="J1997" s="208"/>
      <c r="K1997" s="208"/>
      <c r="L1997" s="208"/>
      <c r="M1997" s="208"/>
      <c r="N1997" s="208"/>
      <c r="O1997" s="208"/>
      <c r="P1997" s="208"/>
      <c r="Q1997" s="208"/>
      <c r="R1997" s="208"/>
      <c r="S1997" s="208"/>
      <c r="T1997" s="208"/>
      <c r="U1997" s="208"/>
      <c r="V1997" s="234"/>
      <c r="W1997" s="232"/>
      <c r="X1997" s="232"/>
      <c r="Y1997" s="232"/>
      <c r="Z1997" s="232"/>
      <c r="AA1997" s="232"/>
      <c r="AB1997" s="232"/>
      <c r="AC1997" s="232"/>
      <c r="AD1997" s="232"/>
      <c r="AE1997" s="232"/>
      <c r="AF1997" s="232"/>
      <c r="AG1997" s="208"/>
      <c r="AH1997" s="208"/>
      <c r="AI1997" s="208"/>
      <c r="AJ1997" s="208"/>
      <c r="AK1997" s="208"/>
    </row>
    <row r="1998">
      <c r="A1998" s="208"/>
      <c r="B1998" s="208"/>
      <c r="C1998" s="208"/>
      <c r="D1998" s="208"/>
      <c r="E1998" s="208"/>
      <c r="F1998" s="208"/>
      <c r="G1998" s="208"/>
      <c r="H1998" s="232"/>
      <c r="I1998" s="233"/>
      <c r="J1998" s="208"/>
      <c r="K1998" s="208"/>
      <c r="L1998" s="208"/>
      <c r="M1998" s="208"/>
      <c r="N1998" s="208"/>
      <c r="O1998" s="208"/>
      <c r="P1998" s="208"/>
      <c r="Q1998" s="208"/>
      <c r="R1998" s="208"/>
      <c r="S1998" s="208"/>
      <c r="T1998" s="208"/>
      <c r="U1998" s="208"/>
      <c r="V1998" s="234"/>
      <c r="W1998" s="232"/>
      <c r="X1998" s="232"/>
      <c r="Y1998" s="232"/>
      <c r="Z1998" s="232"/>
      <c r="AA1998" s="232"/>
      <c r="AB1998" s="232"/>
      <c r="AC1998" s="232"/>
      <c r="AD1998" s="232"/>
      <c r="AE1998" s="232"/>
      <c r="AF1998" s="232"/>
      <c r="AG1998" s="208"/>
      <c r="AH1998" s="208"/>
      <c r="AI1998" s="208"/>
      <c r="AJ1998" s="208"/>
      <c r="AK1998" s="208"/>
    </row>
  </sheetData>
  <autoFilter ref="$A$1:$AF$1080">
    <filterColumn colId="0">
      <filters>
        <filter val="5 July 2026"/>
        <filter val="4 July 2026"/>
        <filter val="2 July 2026"/>
        <filter val="3 July 2026"/>
      </filters>
    </filterColumn>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63"/>
    <col customWidth="1" min="2" max="3" width="9.88"/>
    <col customWidth="1" min="4" max="4" width="17.13"/>
    <col customWidth="1" min="5" max="5" width="6.13"/>
    <col customWidth="1" min="6" max="6" width="25.25"/>
    <col customWidth="1" min="7" max="7" width="34.38"/>
    <col customWidth="1" min="8" max="8" width="45.0"/>
    <col customWidth="1" min="9" max="9" width="40.75"/>
    <col customWidth="1" min="10" max="10" width="9.25"/>
    <col customWidth="1" min="11" max="11" width="13.38"/>
    <col customWidth="1" min="12" max="12" width="12.0"/>
    <col customWidth="1" min="13" max="13" width="9.75"/>
    <col customWidth="1" min="14" max="14" width="9.63"/>
    <col customWidth="1" min="15" max="15" width="10.25"/>
    <col customWidth="1" min="16" max="16" width="11.25"/>
    <col customWidth="1" min="17" max="17" width="6.0"/>
    <col customWidth="1" min="18" max="18" width="15.0"/>
    <col customWidth="1" min="19" max="19" width="14.75"/>
    <col customWidth="1" min="20" max="20" width="14.63"/>
    <col customWidth="1" min="21" max="21" width="23.0"/>
    <col customWidth="1" min="22" max="22" width="19.5"/>
    <col customWidth="1" min="23" max="23" width="12.0"/>
    <col customWidth="1" min="24" max="24" width="23.75"/>
    <col customWidth="1" min="25" max="25" width="19.0"/>
    <col customWidth="1" min="26" max="26" width="24.13"/>
    <col customWidth="1" min="27" max="27" width="25.88"/>
    <col customWidth="1" min="28" max="29" width="32.25"/>
    <col customWidth="1" min="30" max="30" width="16.0"/>
    <col customWidth="1" min="31" max="32" width="22.38"/>
    <col customWidth="1" min="33" max="52" width="52.38"/>
  </cols>
  <sheetData>
    <row r="1" ht="49.5" customHeight="1">
      <c r="A1" s="289" t="str">
        <f>IFERROR(__xludf.DUMMYFUNCTION("QUERY(Mastersheet!A1:AF1000, ""SELECT * WHERE E = 'CK'"", 1)"),"Date")</f>
        <v>Date</v>
      </c>
      <c r="B1" s="289" t="str">
        <f>IFERROR(__xludf.DUMMYFUNCTION("""COMPUTED_VALUE"""),"Send Time")</f>
        <v>Send Time</v>
      </c>
      <c r="C1" s="289" t="str">
        <f>IFERROR(__xludf.DUMMYFUNCTION("""COMPUTED_VALUE"""),"Channel")</f>
        <v>Channel</v>
      </c>
      <c r="D1" s="289" t="str">
        <f>IFERROR(__xludf.DUMMYFUNCTION("""COMPUTED_VALUE"""),"Campaign Type")</f>
        <v>Campaign Type</v>
      </c>
      <c r="E1" s="289" t="str">
        <f>IFERROR(__xludf.DUMMYFUNCTION("""COMPUTED_VALUE"""),"Brand")</f>
        <v>Brand</v>
      </c>
      <c r="F1" s="289" t="str">
        <f>IFERROR(__xludf.DUMMYFUNCTION("""COMPUTED_VALUE"""),"Master Campaign / Offer Category")</f>
        <v>Master Campaign / Offer Category</v>
      </c>
      <c r="G1" s="289" t="str">
        <f>IFERROR(__xludf.DUMMYFUNCTION("""COMPUTED_VALUE"""),"Campaign Name")</f>
        <v>Campaign Name</v>
      </c>
      <c r="H1" s="289" t="str">
        <f>IFERROR(__xludf.DUMMYFUNCTION("""COMPUTED_VALUE"""),"Segment Name")</f>
        <v>Segment Name</v>
      </c>
      <c r="I1" s="289" t="str">
        <f>IFERROR(__xludf.DUMMYFUNCTION("""COMPUTED_VALUE"""),"Segment Logic")</f>
        <v>Segment Logic</v>
      </c>
      <c r="J1" s="289" t="str">
        <f>IFERROR(__xludf.DUMMYFUNCTION("""COMPUTED_VALUE"""),"Total Sent")</f>
        <v>Total Sent</v>
      </c>
      <c r="K1" s="289" t="str">
        <f>IFERROR(__xludf.DUMMYFUNCTION("""COMPUTED_VALUE"""),"Total Delivered")</f>
        <v>Total Delivered</v>
      </c>
      <c r="L1" s="289" t="str">
        <f>IFERROR(__xludf.DUMMYFUNCTION("""COMPUTED_VALUE"""),"Delivery Rate")</f>
        <v>Delivery Rate</v>
      </c>
      <c r="M1" s="289" t="str">
        <f>IFERROR(__xludf.DUMMYFUNCTION("""COMPUTED_VALUE"""),"Total Read")</f>
        <v>Total Read</v>
      </c>
      <c r="N1" s="289" t="str">
        <f>IFERROR(__xludf.DUMMYFUNCTION("""COMPUTED_VALUE"""),"Read Rate")</f>
        <v>Read Rate</v>
      </c>
      <c r="O1" s="289" t="str">
        <f>IFERROR(__xludf.DUMMYFUNCTION("""COMPUTED_VALUE"""),"Total Clicks")</f>
        <v>Total Clicks</v>
      </c>
      <c r="P1" s="290" t="str">
        <f>IFERROR(__xludf.DUMMYFUNCTION("""COMPUTED_VALUE"""),"Unique Clicks")</f>
        <v>Unique Clicks</v>
      </c>
      <c r="Q1" s="290" t="str">
        <f>IFERROR(__xludf.DUMMYFUNCTION("""COMPUTED_VALUE"""),"CTR")</f>
        <v>CTR</v>
      </c>
      <c r="R1" s="290" t="str">
        <f>IFERROR(__xludf.DUMMYFUNCTION("""COMPUTED_VALUE"""),"Click to Open Rate")</f>
        <v>Click to Open Rate</v>
      </c>
      <c r="S1" s="290" t="str">
        <f>IFERROR(__xludf.DUMMYFUNCTION("""COMPUTED_VALUE"""),"Goal 1 Conversions")</f>
        <v>Goal 1 Conversions</v>
      </c>
      <c r="T1" s="290" t="str">
        <f>IFERROR(__xludf.DUMMYFUNCTION("""COMPUTED_VALUE"""),"Goal 2 Add to Cart")</f>
        <v>Goal 2 Add to Cart</v>
      </c>
      <c r="U1" s="290" t="str">
        <f>IFERROR(__xludf.DUMMYFUNCTION("""COMPUTED_VALUE"""),"Total Campaign Revenue INR")</f>
        <v>Total Campaign Revenue INR</v>
      </c>
      <c r="V1" s="290" t="str">
        <f>IFERROR(__xludf.DUMMYFUNCTION("""COMPUTED_VALUE"""),"Campaign Channel Type")</f>
        <v>Campaign Channel Type</v>
      </c>
      <c r="W1" s="290" t="str">
        <f>IFERROR(__xludf.DUMMYFUNCTION("""COMPUTED_VALUE"""),"Template Type")</f>
        <v>Template Type</v>
      </c>
      <c r="X1" s="290" t="str">
        <f>IFERROR(__xludf.DUMMYFUNCTION("""COMPUTED_VALUE"""),"Segment Customer Base Type")</f>
        <v>Segment Customer Base Type</v>
      </c>
      <c r="Y1" s="290" t="str">
        <f>IFERROR(__xludf.DUMMYFUNCTION("""COMPUTED_VALUE"""),"Track Goals for")</f>
        <v>Track Goals for</v>
      </c>
      <c r="Z1" s="290" t="str">
        <f>IFERROR(__xludf.DUMMYFUNCTION("""COMPUTED_VALUE"""),"Campaign ID")</f>
        <v>Campaign ID</v>
      </c>
      <c r="AA1" s="290" t="str">
        <f>IFERROR(__xludf.DUMMYFUNCTION("""COMPUTED_VALUE"""),"Campaign Purchased Customers")</f>
        <v>Campaign Purchased Customers</v>
      </c>
      <c r="AB1" s="290" t="str">
        <f>IFERROR(__xludf.DUMMYFUNCTION("""COMPUTED_VALUE"""),"Campaign Purchased Customers - Online")</f>
        <v>Campaign Purchased Customers - Online</v>
      </c>
      <c r="AC1" s="290" t="str">
        <f>IFERROR(__xludf.DUMMYFUNCTION("""COMPUTED_VALUE"""),"Campaign Purchased Customers - Offline")</f>
        <v>Campaign Purchased Customers - Offline</v>
      </c>
      <c r="AD1" s="290" t="str">
        <f>IFERROR(__xludf.DUMMYFUNCTION("""COMPUTED_VALUE"""),"Influenced Revenue")</f>
        <v>Influenced Revenue</v>
      </c>
      <c r="AE1" s="290" t="str">
        <f>IFERROR(__xludf.DUMMYFUNCTION("""COMPUTED_VALUE"""),"Influenced Revenue - Online")</f>
        <v>Influenced Revenue - Online</v>
      </c>
      <c r="AF1" s="290" t="str">
        <f>IFERROR(__xludf.DUMMYFUNCTION("""COMPUTED_VALUE"""),"Influenced Revenue - Offline")</f>
        <v>Influenced Revenue - Offline</v>
      </c>
      <c r="AG1" s="291"/>
      <c r="AH1" s="291"/>
      <c r="AI1" s="291"/>
      <c r="AJ1" s="291"/>
      <c r="AK1" s="291"/>
      <c r="AL1" s="291"/>
      <c r="AM1" s="291"/>
      <c r="AN1" s="291"/>
      <c r="AO1" s="291"/>
      <c r="AP1" s="291"/>
      <c r="AQ1" s="291"/>
      <c r="AR1" s="291"/>
      <c r="AS1" s="291"/>
      <c r="AT1" s="291"/>
      <c r="AU1" s="291"/>
      <c r="AV1" s="291"/>
      <c r="AW1" s="291"/>
      <c r="AX1" s="291"/>
      <c r="AY1" s="291"/>
      <c r="AZ1" s="291"/>
    </row>
    <row r="2" hidden="1">
      <c r="A2" s="209">
        <f>IFERROR(__xludf.DUMMYFUNCTION("""COMPUTED_VALUE"""),46025.0)</f>
        <v>46025</v>
      </c>
      <c r="B2" s="247">
        <f>IFERROR(__xludf.DUMMYFUNCTION("""COMPUTED_VALUE"""),0.4166666666678793)</f>
        <v>0.4166666667</v>
      </c>
      <c r="C2" s="218" t="str">
        <f>IFERROR(__xludf.DUMMYFUNCTION("""COMPUTED_VALUE"""),"Whatsapp")</f>
        <v>Whatsapp</v>
      </c>
      <c r="D2" s="218" t="str">
        <f>IFERROR(__xludf.DUMMYFUNCTION("""COMPUTED_VALUE"""),"Promotional")</f>
        <v>Promotional</v>
      </c>
      <c r="E2" s="218" t="str">
        <f>IFERROR(__xludf.DUMMYFUNCTION("""COMPUTED_VALUE"""),"CK")</f>
        <v>CK</v>
      </c>
      <c r="F2" s="218" t="str">
        <f>IFERROR(__xludf.DUMMYFUNCTION("""COMPUTED_VALUE"""),"ESS")</f>
        <v>ESS</v>
      </c>
      <c r="G2" s="218" t="str">
        <f>IFERROR(__xludf.DUMMYFUNCTION("""COMPUTED_VALUE"""),"ESS 3rd Jan_1")</f>
        <v>ESS 3rd Jan_1</v>
      </c>
      <c r="H2" s="218" t="str">
        <f>IFERROR(__xludf.DUMMYFUNCTION("""COMPUTED_VALUE"""),"ck_off_pr_last_36mnths_gen_25_Nov OR ck_on_pr_last_36mnths_gen_25_Nov OR CK_Online_Base_1jan_17nov OR ck_on_pr_evntbuyers_bfs_25_Nov OR ck_off_pr_evntbuyers_bfs_25_Nov OR AGIPL_Internal")</f>
        <v>ck_off_pr_last_36mnths_gen_25_Nov OR ck_on_pr_last_36mnths_gen_25_Nov OR CK_Online_Base_1jan_17nov OR ck_on_pr_evntbuyers_bfs_25_Nov OR ck_off_pr_evntbuyers_bfs_25_Nov OR AGIPL_Internal</v>
      </c>
      <c r="I2" s="218" t="str">
        <f>IFERROR(__xludf.DUMMYFUNCTION("""COMPUTED_VALUE"""),"Customers who have purchased from 22nd Nov 2023 to 27th Nov 2023 with txn channel offline OR 27th Nov 2024 to 2nd Dec 2024 with txn channel offline OR 26th Nov 2025 to 1st Dec 2025 with txn channel offline
Customers who have purchased in the last 86 days"&amp;" with txn channel offline and Excluding the event buyers segmentCustomers who have purchased from 22nd Nov 2023 to 27th Nov 2023 with txn channel offline OR 27th Nov 2024 to 2nd Dec 2024 with txn channel offline OR 26th Nov 2025 to 1st Dec 2025 with txn c"&amp;"hannel offline
Customers who have purchased in the last 86 days with txn channel offline and Excluding the event buyers segment")</f>
        <v>Customers who have purchased from 22nd Nov 2023 to 27th Nov 2023 with txn channel offline OR 27th Nov 2024 to 2nd Dec 2024 with txn channel offline OR 26th Nov 2025 to 1st Dec 2025 with txn channel offline
Customers who have purchased in the last 86 days with txn channel offline and Excluding the event buyers segmentCustomers who have purchased from 22nd Nov 2023 to 27th Nov 2023 with txn channel offline OR 27th Nov 2024 to 2nd Dec 2024 with txn channel offline OR 26th Nov 2025 to 1st Dec 2025 with txn channel offline
Customers who have purchased in the last 86 days with txn channel offline and Excluding the event buyers segment</v>
      </c>
      <c r="J2" s="213">
        <f>IFERROR(__xludf.DUMMYFUNCTION("""COMPUTED_VALUE"""),53902.0)</f>
        <v>53902</v>
      </c>
      <c r="K2" s="213">
        <f>IFERROR(__xludf.DUMMYFUNCTION("""COMPUTED_VALUE"""),21457.0)</f>
        <v>21457</v>
      </c>
      <c r="L2" s="214">
        <f>IFERROR(__xludf.DUMMYFUNCTION("""COMPUTED_VALUE"""),0.398074283)</f>
        <v>0.398074283</v>
      </c>
      <c r="M2" s="213">
        <f>IFERROR(__xludf.DUMMYFUNCTION("""COMPUTED_VALUE"""),7542.0)</f>
        <v>7542</v>
      </c>
      <c r="N2" s="214">
        <f>IFERROR(__xludf.DUMMYFUNCTION("""COMPUTED_VALUE"""),0.3514)</f>
        <v>0.3514</v>
      </c>
      <c r="O2" s="213">
        <f>IFERROR(__xludf.DUMMYFUNCTION("""COMPUTED_VALUE"""),635.0)</f>
        <v>635</v>
      </c>
      <c r="P2" s="213">
        <f>IFERROR(__xludf.DUMMYFUNCTION("""COMPUTED_VALUE"""),594.0)</f>
        <v>594</v>
      </c>
      <c r="Q2" s="214">
        <f>IFERROR(__xludf.DUMMYFUNCTION("""COMPUTED_VALUE"""),0.0277)</f>
        <v>0.0277</v>
      </c>
      <c r="R2" s="214">
        <f>IFERROR(__xludf.DUMMYFUNCTION("""COMPUTED_VALUE"""),0.0788)</f>
        <v>0.0788</v>
      </c>
      <c r="S2" s="270"/>
      <c r="T2" s="270"/>
      <c r="U2" s="270"/>
      <c r="V2" s="101" t="str">
        <f>IFERROR(__xludf.DUMMYFUNCTION("""COMPUTED_VALUE"""),"Overall")</f>
        <v>Overall</v>
      </c>
      <c r="W2" s="101" t="str">
        <f>IFERROR(__xludf.DUMMYFUNCTION("""COMPUTED_VALUE"""),"simple")</f>
        <v>simple</v>
      </c>
      <c r="X2" s="212" t="str">
        <f>IFERROR(__xludf.DUMMYFUNCTION("""COMPUTED_VALUE"""),"Generic")</f>
        <v>Generic</v>
      </c>
      <c r="Y2" s="212" t="str">
        <f>IFERROR(__xludf.DUMMYFUNCTION("""COMPUTED_VALUE"""),"3rd Jan - 4th Jan")</f>
        <v>3rd Jan - 4th Jan</v>
      </c>
      <c r="Z2" s="212" t="str">
        <f>IFERROR(__xludf.DUMMYFUNCTION("""COMPUTED_VALUE"""),"6957904007b78e4c36e4e510")</f>
        <v>6957904007b78e4c36e4e510</v>
      </c>
      <c r="AA2" s="287">
        <f>IFERROR(__xludf.DUMMYFUNCTION("""COMPUTED_VALUE"""),27.0)</f>
        <v>27</v>
      </c>
      <c r="AB2" s="213">
        <f>IFERROR(__xludf.DUMMYFUNCTION("""COMPUTED_VALUE"""),0.0)</f>
        <v>0</v>
      </c>
      <c r="AC2" s="213">
        <f>IFERROR(__xludf.DUMMYFUNCTION("""COMPUTED_VALUE"""),27.0)</f>
        <v>27</v>
      </c>
      <c r="AD2" s="213">
        <f>IFERROR(__xludf.DUMMYFUNCTION("""COMPUTED_VALUE"""),386660.0)</f>
        <v>386660</v>
      </c>
      <c r="AE2" s="213">
        <f>IFERROR(__xludf.DUMMYFUNCTION("""COMPUTED_VALUE"""),0.0)</f>
        <v>0</v>
      </c>
      <c r="AF2" s="213">
        <f>IFERROR(__xludf.DUMMYFUNCTION("""COMPUTED_VALUE"""),386660.0)</f>
        <v>386660</v>
      </c>
      <c r="AG2" s="282"/>
      <c r="AH2" s="282"/>
      <c r="AI2" s="282"/>
      <c r="AJ2" s="282"/>
      <c r="AK2" s="282"/>
      <c r="AL2" s="282"/>
      <c r="AM2" s="282"/>
      <c r="AN2" s="282"/>
      <c r="AO2" s="282"/>
      <c r="AP2" s="282"/>
      <c r="AQ2" s="282"/>
      <c r="AR2" s="282"/>
      <c r="AS2" s="282"/>
      <c r="AT2" s="282"/>
      <c r="AU2" s="282"/>
      <c r="AV2" s="282"/>
      <c r="AW2" s="282"/>
      <c r="AX2" s="282"/>
      <c r="AY2" s="282"/>
      <c r="AZ2" s="282"/>
    </row>
    <row r="3" hidden="1">
      <c r="A3" s="209">
        <f>IFERROR(__xludf.DUMMYFUNCTION("""COMPUTED_VALUE"""),46025.0)</f>
        <v>46025</v>
      </c>
      <c r="B3" s="247">
        <f>IFERROR(__xludf.DUMMYFUNCTION("""COMPUTED_VALUE"""),0.4166666666678793)</f>
        <v>0.4166666667</v>
      </c>
      <c r="C3" s="218" t="str">
        <f>IFERROR(__xludf.DUMMYFUNCTION("""COMPUTED_VALUE"""),"Whatsapp")</f>
        <v>Whatsapp</v>
      </c>
      <c r="D3" s="218" t="str">
        <f>IFERROR(__xludf.DUMMYFUNCTION("""COMPUTED_VALUE"""),"Promotional")</f>
        <v>Promotional</v>
      </c>
      <c r="E3" s="218" t="str">
        <f>IFERROR(__xludf.DUMMYFUNCTION("""COMPUTED_VALUE"""),"CK")</f>
        <v>CK</v>
      </c>
      <c r="F3" s="218" t="str">
        <f>IFERROR(__xludf.DUMMYFUNCTION("""COMPUTED_VALUE"""),"ESS")</f>
        <v>ESS</v>
      </c>
      <c r="G3" s="218" t="str">
        <f>IFERROR(__xludf.DUMMYFUNCTION("""COMPUTED_VALUE"""),"ESS 3rd Jan_2")</f>
        <v>ESS 3rd Jan_2</v>
      </c>
      <c r="H3" s="218" t="str">
        <f>IFERROR(__xludf.DUMMYFUNCTION("""COMPUTED_VALUE"""),"Dormant Base Overall 19th Dec")</f>
        <v>Dormant Base Overall 19th Dec</v>
      </c>
      <c r="I3" s="218" t="str">
        <f>IFERROR(__xludf.DUMMYFUNCTION("""COMPUTED_VALUE"""),"Custom upload")</f>
        <v>Custom upload</v>
      </c>
      <c r="J3" s="213">
        <f>IFERROR(__xludf.DUMMYFUNCTION("""COMPUTED_VALUE"""),211584.0)</f>
        <v>211584</v>
      </c>
      <c r="K3" s="213">
        <f>IFERROR(__xludf.DUMMYFUNCTION("""COMPUTED_VALUE"""),97333.0)</f>
        <v>97333</v>
      </c>
      <c r="L3" s="214">
        <f>IFERROR(__xludf.DUMMYFUNCTION("""COMPUTED_VALUE"""),0.460020606)</f>
        <v>0.460020606</v>
      </c>
      <c r="M3" s="213">
        <f>IFERROR(__xludf.DUMMYFUNCTION("""COMPUTED_VALUE"""),33163.0)</f>
        <v>33163</v>
      </c>
      <c r="N3" s="214">
        <f>IFERROR(__xludf.DUMMYFUNCTION("""COMPUTED_VALUE"""),0.3407)</f>
        <v>0.3407</v>
      </c>
      <c r="O3" s="213">
        <f>IFERROR(__xludf.DUMMYFUNCTION("""COMPUTED_VALUE"""),2439.0)</f>
        <v>2439</v>
      </c>
      <c r="P3" s="213">
        <f>IFERROR(__xludf.DUMMYFUNCTION("""COMPUTED_VALUE"""),2296.0)</f>
        <v>2296</v>
      </c>
      <c r="Q3" s="214">
        <f>IFERROR(__xludf.DUMMYFUNCTION("""COMPUTED_VALUE"""),0.0236)</f>
        <v>0.0236</v>
      </c>
      <c r="R3" s="214">
        <f>IFERROR(__xludf.DUMMYFUNCTION("""COMPUTED_VALUE"""),0.0692)</f>
        <v>0.0692</v>
      </c>
      <c r="S3" s="270"/>
      <c r="T3" s="270"/>
      <c r="U3" s="270"/>
      <c r="V3" s="101" t="str">
        <f>IFERROR(__xludf.DUMMYFUNCTION("""COMPUTED_VALUE"""),"Overall")</f>
        <v>Overall</v>
      </c>
      <c r="W3" s="101" t="str">
        <f>IFERROR(__xludf.DUMMYFUNCTION("""COMPUTED_VALUE"""),"simple")</f>
        <v>simple</v>
      </c>
      <c r="X3" s="212" t="str">
        <f>IFERROR(__xludf.DUMMYFUNCTION("""COMPUTED_VALUE"""),"Dormant")</f>
        <v>Dormant</v>
      </c>
      <c r="Y3" s="212" t="str">
        <f>IFERROR(__xludf.DUMMYFUNCTION("""COMPUTED_VALUE"""),"3rd Jan - 4th Jan")</f>
        <v>3rd Jan - 4th Jan</v>
      </c>
      <c r="Z3" s="212" t="str">
        <f>IFERROR(__xludf.DUMMYFUNCTION("""COMPUTED_VALUE"""),"695790785ea591e69ee19d25")</f>
        <v>695790785ea591e69ee19d25</v>
      </c>
      <c r="AA3" s="287">
        <f>IFERROR(__xludf.DUMMYFUNCTION("""COMPUTED_VALUE"""),106.0)</f>
        <v>106</v>
      </c>
      <c r="AB3" s="213">
        <f>IFERROR(__xludf.DUMMYFUNCTION("""COMPUTED_VALUE"""),0.0)</f>
        <v>0</v>
      </c>
      <c r="AC3" s="213">
        <f>IFERROR(__xludf.DUMMYFUNCTION("""COMPUTED_VALUE"""),106.0)</f>
        <v>106</v>
      </c>
      <c r="AD3" s="213">
        <f>IFERROR(__xludf.DUMMYFUNCTION("""COMPUTED_VALUE"""),1267374.0)</f>
        <v>1267374</v>
      </c>
      <c r="AE3" s="213">
        <f>IFERROR(__xludf.DUMMYFUNCTION("""COMPUTED_VALUE"""),0.0)</f>
        <v>0</v>
      </c>
      <c r="AF3" s="213">
        <f>IFERROR(__xludf.DUMMYFUNCTION("""COMPUTED_VALUE"""),1267374.0)</f>
        <v>1267374</v>
      </c>
      <c r="AG3" s="282"/>
      <c r="AH3" s="282"/>
      <c r="AI3" s="282"/>
      <c r="AJ3" s="282"/>
      <c r="AK3" s="282"/>
      <c r="AL3" s="282"/>
      <c r="AM3" s="282"/>
      <c r="AN3" s="282"/>
      <c r="AO3" s="282"/>
      <c r="AP3" s="282"/>
      <c r="AQ3" s="282"/>
      <c r="AR3" s="282"/>
      <c r="AS3" s="282"/>
      <c r="AT3" s="282"/>
      <c r="AU3" s="282"/>
      <c r="AV3" s="282"/>
      <c r="AW3" s="282"/>
      <c r="AX3" s="282"/>
      <c r="AY3" s="282"/>
      <c r="AZ3" s="282"/>
    </row>
    <row r="4" hidden="1">
      <c r="A4" s="209">
        <f>IFERROR(__xludf.DUMMYFUNCTION("""COMPUTED_VALUE"""),46025.0)</f>
        <v>46025</v>
      </c>
      <c r="B4" s="247">
        <f>IFERROR(__xludf.DUMMYFUNCTION("""COMPUTED_VALUE"""),0.5)</f>
        <v>0.5</v>
      </c>
      <c r="C4" s="218" t="str">
        <f>IFERROR(__xludf.DUMMYFUNCTION("""COMPUTED_VALUE"""),"Sms")</f>
        <v>Sms</v>
      </c>
      <c r="D4" s="218" t="str">
        <f>IFERROR(__xludf.DUMMYFUNCTION("""COMPUTED_VALUE"""),"Fallback Campaign")</f>
        <v>Fallback Campaign</v>
      </c>
      <c r="E4" s="218" t="str">
        <f>IFERROR(__xludf.DUMMYFUNCTION("""COMPUTED_VALUE"""),"CK")</f>
        <v>CK</v>
      </c>
      <c r="F4" s="218" t="str">
        <f>IFERROR(__xludf.DUMMYFUNCTION("""COMPUTED_VALUE"""),"ESS")</f>
        <v>ESS</v>
      </c>
      <c r="G4" s="218" t="str">
        <f>IFERROR(__xludf.DUMMYFUNCTION("""COMPUTED_VALUE"""),"ESS 3rd Jan_2_Fallback")</f>
        <v>ESS 3rd Jan_2_Fallback</v>
      </c>
      <c r="H4" s="218" t="str">
        <f>IFERROR(__xludf.DUMMYFUNCTION("""COMPUTED_VALUE"""),"Dormant Base Overall 19th Dec")</f>
        <v>Dormant Base Overall 19th Dec</v>
      </c>
      <c r="I4" s="218" t="str">
        <f>IFERROR(__xludf.DUMMYFUNCTION("""COMPUTED_VALUE"""),"WA Undelivered")</f>
        <v>WA Undelivered</v>
      </c>
      <c r="J4" s="213">
        <f>IFERROR(__xludf.DUMMYFUNCTION("""COMPUTED_VALUE"""),110497.0)</f>
        <v>110497</v>
      </c>
      <c r="K4" s="213">
        <f>IFERROR(__xludf.DUMMYFUNCTION("""COMPUTED_VALUE"""),60991.0)</f>
        <v>60991</v>
      </c>
      <c r="L4" s="214">
        <f>IFERROR(__xludf.DUMMYFUNCTION("""COMPUTED_VALUE"""),0.551969737)</f>
        <v>0.551969737</v>
      </c>
      <c r="M4" s="213"/>
      <c r="N4" s="214"/>
      <c r="O4" s="213">
        <f>IFERROR(__xludf.DUMMYFUNCTION("""COMPUTED_VALUE"""),0.0)</f>
        <v>0</v>
      </c>
      <c r="P4" s="213"/>
      <c r="Q4" s="214">
        <f>IFERROR(__xludf.DUMMYFUNCTION("""COMPUTED_VALUE"""),0.0)</f>
        <v>0</v>
      </c>
      <c r="R4" s="214"/>
      <c r="S4" s="270"/>
      <c r="T4" s="270"/>
      <c r="U4" s="270"/>
      <c r="V4" s="101" t="str">
        <f>IFERROR(__xludf.DUMMYFUNCTION("""COMPUTED_VALUE"""),"Overall")</f>
        <v>Overall</v>
      </c>
      <c r="W4" s="101" t="str">
        <f>IFERROR(__xludf.DUMMYFUNCTION("""COMPUTED_VALUE"""),"SMS")</f>
        <v>SMS</v>
      </c>
      <c r="X4" s="212" t="str">
        <f>IFERROR(__xludf.DUMMYFUNCTION("""COMPUTED_VALUE"""),"Dormant")</f>
        <v>Dormant</v>
      </c>
      <c r="Y4" s="212" t="str">
        <f>IFERROR(__xludf.DUMMYFUNCTION("""COMPUTED_VALUE"""),"3rd Jan - 4th Jan")</f>
        <v>3rd Jan - 4th Jan</v>
      </c>
      <c r="Z4" s="212" t="str">
        <f>IFERROR(__xludf.DUMMYFUNCTION("""COMPUTED_VALUE"""),"6957af79264b7654c215b8e7")</f>
        <v>6957af79264b7654c215b8e7</v>
      </c>
      <c r="AA4" s="287">
        <f>IFERROR(__xludf.DUMMYFUNCTION("""COMPUTED_VALUE"""),75.0)</f>
        <v>75</v>
      </c>
      <c r="AB4" s="213">
        <f>IFERROR(__xludf.DUMMYFUNCTION("""COMPUTED_VALUE"""),0.0)</f>
        <v>0</v>
      </c>
      <c r="AC4" s="213">
        <f>IFERROR(__xludf.DUMMYFUNCTION("""COMPUTED_VALUE"""),75.0)</f>
        <v>75</v>
      </c>
      <c r="AD4" s="213">
        <f>IFERROR(__xludf.DUMMYFUNCTION("""COMPUTED_VALUE"""),879069.0)</f>
        <v>879069</v>
      </c>
      <c r="AE4" s="213">
        <f>IFERROR(__xludf.DUMMYFUNCTION("""COMPUTED_VALUE"""),0.0)</f>
        <v>0</v>
      </c>
      <c r="AF4" s="213">
        <f>IFERROR(__xludf.DUMMYFUNCTION("""COMPUTED_VALUE"""),879069.0)</f>
        <v>879069</v>
      </c>
      <c r="AG4" s="282"/>
      <c r="AH4" s="282"/>
      <c r="AI4" s="282"/>
      <c r="AJ4" s="282"/>
      <c r="AK4" s="282"/>
      <c r="AL4" s="282"/>
      <c r="AM4" s="282"/>
      <c r="AN4" s="282"/>
      <c r="AO4" s="282"/>
      <c r="AP4" s="282"/>
      <c r="AQ4" s="282"/>
      <c r="AR4" s="282"/>
      <c r="AS4" s="282"/>
      <c r="AT4" s="282"/>
      <c r="AU4" s="282"/>
      <c r="AV4" s="282"/>
      <c r="AW4" s="282"/>
      <c r="AX4" s="282"/>
      <c r="AY4" s="282"/>
      <c r="AZ4" s="282"/>
    </row>
    <row r="5" hidden="1">
      <c r="A5" s="209">
        <f>IFERROR(__xludf.DUMMYFUNCTION("""COMPUTED_VALUE"""),46025.0)</f>
        <v>46025</v>
      </c>
      <c r="B5" s="247">
        <f>IFERROR(__xludf.DUMMYFUNCTION("""COMPUTED_VALUE"""),0.5)</f>
        <v>0.5</v>
      </c>
      <c r="C5" s="218" t="str">
        <f>IFERROR(__xludf.DUMMYFUNCTION("""COMPUTED_VALUE"""),"Sms")</f>
        <v>Sms</v>
      </c>
      <c r="D5" s="218" t="str">
        <f>IFERROR(__xludf.DUMMYFUNCTION("""COMPUTED_VALUE"""),"Fallback Campaign")</f>
        <v>Fallback Campaign</v>
      </c>
      <c r="E5" s="218" t="str">
        <f>IFERROR(__xludf.DUMMYFUNCTION("""COMPUTED_VALUE"""),"CK")</f>
        <v>CK</v>
      </c>
      <c r="F5" s="218" t="str">
        <f>IFERROR(__xludf.DUMMYFUNCTION("""COMPUTED_VALUE"""),"ESS")</f>
        <v>ESS</v>
      </c>
      <c r="G5" s="218" t="str">
        <f>IFERROR(__xludf.DUMMYFUNCTION("""COMPUTED_VALUE"""),"ESS 3rd Jan_1_Fallback")</f>
        <v>ESS 3rd Jan_1_Fallback</v>
      </c>
      <c r="H5" s="218" t="str">
        <f>IFERROR(__xludf.DUMMYFUNCTION("""COMPUTED_VALUE"""),"ck_off_pr_last_36mnths_gen_25_Nov OR ck_on_pr_last_36mnths_gen_25_Nov OR CK_Online_Base_1jan_17nov OR ck_on_pr_evntbuyers_bfs_25_Nov OR ck_off_pr_evntbuyers_bfs_25_Nov OR AGIPL_Internal")</f>
        <v>ck_off_pr_last_36mnths_gen_25_Nov OR ck_on_pr_last_36mnths_gen_25_Nov OR CK_Online_Base_1jan_17nov OR ck_on_pr_evntbuyers_bfs_25_Nov OR ck_off_pr_evntbuyers_bfs_25_Nov OR AGIPL_Internal</v>
      </c>
      <c r="I5" s="218" t="str">
        <f>IFERROR(__xludf.DUMMYFUNCTION("""COMPUTED_VALUE"""),"WA Undelivered")</f>
        <v>WA Undelivered</v>
      </c>
      <c r="J5" s="213">
        <f>IFERROR(__xludf.DUMMYFUNCTION("""COMPUTED_VALUE"""),31487.0)</f>
        <v>31487</v>
      </c>
      <c r="K5" s="213">
        <f>IFERROR(__xludf.DUMMYFUNCTION("""COMPUTED_VALUE"""),17650.0)</f>
        <v>17650</v>
      </c>
      <c r="L5" s="214">
        <f>IFERROR(__xludf.DUMMYFUNCTION("""COMPUTED_VALUE"""),0.560548798)</f>
        <v>0.560548798</v>
      </c>
      <c r="M5" s="213"/>
      <c r="N5" s="214"/>
      <c r="O5" s="213">
        <f>IFERROR(__xludf.DUMMYFUNCTION("""COMPUTED_VALUE"""),0.0)</f>
        <v>0</v>
      </c>
      <c r="P5" s="213"/>
      <c r="Q5" s="214">
        <f>IFERROR(__xludf.DUMMYFUNCTION("""COMPUTED_VALUE"""),0.0)</f>
        <v>0</v>
      </c>
      <c r="R5" s="214"/>
      <c r="S5" s="270"/>
      <c r="T5" s="270"/>
      <c r="U5" s="270"/>
      <c r="V5" s="101" t="str">
        <f>IFERROR(__xludf.DUMMYFUNCTION("""COMPUTED_VALUE"""),"Overall")</f>
        <v>Overall</v>
      </c>
      <c r="W5" s="101" t="str">
        <f>IFERROR(__xludf.DUMMYFUNCTION("""COMPUTED_VALUE"""),"SMS")</f>
        <v>SMS</v>
      </c>
      <c r="X5" s="212" t="str">
        <f>IFERROR(__xludf.DUMMYFUNCTION("""COMPUTED_VALUE"""),"Generic")</f>
        <v>Generic</v>
      </c>
      <c r="Y5" s="212" t="str">
        <f>IFERROR(__xludf.DUMMYFUNCTION("""COMPUTED_VALUE"""),"3rd Jan - 4th Jan")</f>
        <v>3rd Jan - 4th Jan</v>
      </c>
      <c r="Z5" s="212" t="str">
        <f>IFERROR(__xludf.DUMMYFUNCTION("""COMPUTED_VALUE"""),"6957af854942e1d0f037bd86")</f>
        <v>6957af854942e1d0f037bd86</v>
      </c>
      <c r="AA5" s="287">
        <f>IFERROR(__xludf.DUMMYFUNCTION("""COMPUTED_VALUE"""),27.0)</f>
        <v>27</v>
      </c>
      <c r="AB5" s="213">
        <f>IFERROR(__xludf.DUMMYFUNCTION("""COMPUTED_VALUE"""),0.0)</f>
        <v>0</v>
      </c>
      <c r="AC5" s="213">
        <f>IFERROR(__xludf.DUMMYFUNCTION("""COMPUTED_VALUE"""),27.0)</f>
        <v>27</v>
      </c>
      <c r="AD5" s="213">
        <f>IFERROR(__xludf.DUMMYFUNCTION("""COMPUTED_VALUE"""),275524.0)</f>
        <v>275524</v>
      </c>
      <c r="AE5" s="213">
        <f>IFERROR(__xludf.DUMMYFUNCTION("""COMPUTED_VALUE"""),0.0)</f>
        <v>0</v>
      </c>
      <c r="AF5" s="213">
        <f>IFERROR(__xludf.DUMMYFUNCTION("""COMPUTED_VALUE"""),275524.0)</f>
        <v>275524</v>
      </c>
      <c r="AG5" s="282"/>
      <c r="AH5" s="282"/>
      <c r="AI5" s="282"/>
      <c r="AJ5" s="282"/>
      <c r="AK5" s="282"/>
      <c r="AL5" s="282"/>
      <c r="AM5" s="282"/>
      <c r="AN5" s="282"/>
      <c r="AO5" s="282"/>
      <c r="AP5" s="282"/>
      <c r="AQ5" s="282"/>
      <c r="AR5" s="282"/>
      <c r="AS5" s="282"/>
      <c r="AT5" s="282"/>
      <c r="AU5" s="282"/>
      <c r="AV5" s="282"/>
      <c r="AW5" s="282"/>
      <c r="AX5" s="282"/>
      <c r="AY5" s="282"/>
      <c r="AZ5" s="282"/>
    </row>
    <row r="6" hidden="1">
      <c r="A6" s="209">
        <f>IFERROR(__xludf.DUMMYFUNCTION("""COMPUTED_VALUE"""),46032.0)</f>
        <v>46032</v>
      </c>
      <c r="B6" s="247">
        <f>IFERROR(__xludf.DUMMYFUNCTION("""COMPUTED_VALUE"""),0.4583333333321207)</f>
        <v>0.4583333333</v>
      </c>
      <c r="C6" s="218" t="str">
        <f>IFERROR(__xludf.DUMMYFUNCTION("""COMPUTED_VALUE"""),"Sms")</f>
        <v>Sms</v>
      </c>
      <c r="D6" s="218" t="str">
        <f>IFERROR(__xludf.DUMMYFUNCTION("""COMPUTED_VALUE"""),"Promotional")</f>
        <v>Promotional</v>
      </c>
      <c r="E6" s="218" t="str">
        <f>IFERROR(__xludf.DUMMYFUNCTION("""COMPUTED_VALUE"""),"CK")</f>
        <v>CK</v>
      </c>
      <c r="F6" s="218" t="str">
        <f>IFERROR(__xludf.DUMMYFUNCTION("""COMPUTED_VALUE"""),"ESS")</f>
        <v>ESS</v>
      </c>
      <c r="G6" s="218" t="str">
        <f>IFERROR(__xludf.DUMMYFUNCTION("""COMPUTED_VALUE"""),"ESS 10th Jan_1")</f>
        <v>ESS 10th Jan_1</v>
      </c>
      <c r="H6" s="218" t="str">
        <f>IFERROR(__xludf.DUMMYFUNCTION("""COMPUTED_VALUE"""),"ck_on_pr_evntbuyers_bfs_25_Nov +
ck_on_pr_last_36mnths_gen_25_Nov +
ck_off_pr_evntbuyers_bfs_25_Nov +
ck_off_pr_last_36mnths_gen_25_Nov +")</f>
        <v>ck_on_pr_evntbuyers_bfs_25_Nov +
ck_on_pr_last_36mnths_gen_25_Nov +
ck_off_pr_evntbuyers_bfs_25_Nov +
ck_off_pr_last_36mnths_gen_25_Nov +</v>
      </c>
      <c r="I6" s="218" t="str">
        <f>IFERROR(__xludf.DUMMYFUNCTION("""COMPUTED_VALUE"""),"Customers who have purchased from 22nd Nov 2023 to 27th Nov 2023 with txn channel online OR 27th Nov 2024 to 2nd Dec 2024 with txn channel online.
Customers who have purchased atleast 1 time in the last 36 months with txn channel online AND exclude the ev"&amp;"ent buyers segment.
Customers who have purchased from 22nd Nov 2023 to 27th Nov 2023 with txn channel offline OR 27th Nov 2024 to 2nd Dec 2024 with txn channel offline OR 26th Nov 2025 to 1st Dec 2025 with txn channel offline.
Customers who have purchased"&amp;" in the entire duration with txn channel offline AND customer who have not purchased in the last 86 days with txn channel offline and excluding the events buyers segment")</f>
        <v>Customers who have purchased from 22nd Nov 2023 to 27th Nov 2023 with txn channel online OR 27th Nov 2024 to 2nd Dec 2024 with txn channel online.
Customers who have purchased atleast 1 time in the last 36 months with txn channel online AND exclude the event buyers segment.
Customers who have purchased from 22nd Nov 2023 to 27th Nov 2023 with txn channel offline OR 27th Nov 2024 to 2nd Dec 2024 with txn channel offline OR 26th Nov 2025 to 1st Dec 2025 with txn channel offline.
Customers who have purchased in the entire duration with txn channel offline AND customer who have not purchased in the last 86 days with txn channel offline and excluding the events buyers segment</v>
      </c>
      <c r="J6" s="213">
        <f>IFERROR(__xludf.DUMMYFUNCTION("""COMPUTED_VALUE"""),51374.0)</f>
        <v>51374</v>
      </c>
      <c r="K6" s="213">
        <f>IFERROR(__xludf.DUMMYFUNCTION("""COMPUTED_VALUE"""),29414.0)</f>
        <v>29414</v>
      </c>
      <c r="L6" s="214">
        <f>IFERROR(__xludf.DUMMYFUNCTION("""COMPUTED_VALUE"""),0.573)</f>
        <v>0.573</v>
      </c>
      <c r="M6" s="213"/>
      <c r="N6" s="214"/>
      <c r="O6" s="213"/>
      <c r="P6" s="213"/>
      <c r="Q6" s="214"/>
      <c r="R6" s="214"/>
      <c r="S6" s="270"/>
      <c r="T6" s="270"/>
      <c r="U6" s="270"/>
      <c r="V6" s="101" t="str">
        <f>IFERROR(__xludf.DUMMYFUNCTION("""COMPUTED_VALUE"""),"Overall")</f>
        <v>Overall</v>
      </c>
      <c r="W6" s="101" t="str">
        <f>IFERROR(__xludf.DUMMYFUNCTION("""COMPUTED_VALUE"""),"SMS")</f>
        <v>SMS</v>
      </c>
      <c r="X6" s="212" t="str">
        <f>IFERROR(__xludf.DUMMYFUNCTION("""COMPUTED_VALUE"""),"Event Buyers")</f>
        <v>Event Buyers</v>
      </c>
      <c r="Y6" s="212" t="str">
        <f>IFERROR(__xludf.DUMMYFUNCTION("""COMPUTED_VALUE"""),"10th - 12th jan")</f>
        <v>10th - 12th jan</v>
      </c>
      <c r="Z6" s="212" t="str">
        <f>IFERROR(__xludf.DUMMYFUNCTION("""COMPUTED_VALUE"""),"6960e8d94cd08948c2cad08a")</f>
        <v>6960e8d94cd08948c2cad08a</v>
      </c>
      <c r="AA6" s="287">
        <f>IFERROR(__xludf.DUMMYFUNCTION("""COMPUTED_VALUE"""),45.0)</f>
        <v>45</v>
      </c>
      <c r="AB6" s="213">
        <f>IFERROR(__xludf.DUMMYFUNCTION("""COMPUTED_VALUE"""),0.0)</f>
        <v>0</v>
      </c>
      <c r="AC6" s="213">
        <f>IFERROR(__xludf.DUMMYFUNCTION("""COMPUTED_VALUE"""),45.0)</f>
        <v>45</v>
      </c>
      <c r="AD6" s="213">
        <f>IFERROR(__xludf.DUMMYFUNCTION("""COMPUTED_VALUE"""),586844.0)</f>
        <v>586844</v>
      </c>
      <c r="AE6" s="213">
        <f>IFERROR(__xludf.DUMMYFUNCTION("""COMPUTED_VALUE"""),0.0)</f>
        <v>0</v>
      </c>
      <c r="AF6" s="213">
        <f>IFERROR(__xludf.DUMMYFUNCTION("""COMPUTED_VALUE"""),586844.0)</f>
        <v>586844</v>
      </c>
      <c r="AG6" s="282"/>
      <c r="AH6" s="282"/>
      <c r="AI6" s="282"/>
      <c r="AJ6" s="282"/>
      <c r="AK6" s="282"/>
      <c r="AL6" s="282"/>
      <c r="AM6" s="282"/>
      <c r="AN6" s="282"/>
      <c r="AO6" s="282"/>
      <c r="AP6" s="282"/>
      <c r="AQ6" s="282"/>
      <c r="AR6" s="282"/>
      <c r="AS6" s="282"/>
      <c r="AT6" s="282"/>
      <c r="AU6" s="282"/>
      <c r="AV6" s="282"/>
      <c r="AW6" s="282"/>
      <c r="AX6" s="282"/>
      <c r="AY6" s="282"/>
      <c r="AZ6" s="282"/>
    </row>
    <row r="7" hidden="1">
      <c r="A7" s="209">
        <f>IFERROR(__xludf.DUMMYFUNCTION("""COMPUTED_VALUE"""),46032.0)</f>
        <v>46032</v>
      </c>
      <c r="B7" s="247">
        <f>IFERROR(__xludf.DUMMYFUNCTION("""COMPUTED_VALUE"""),0.4583333333321207)</f>
        <v>0.4583333333</v>
      </c>
      <c r="C7" s="218" t="str">
        <f>IFERROR(__xludf.DUMMYFUNCTION("""COMPUTED_VALUE"""),"Sms")</f>
        <v>Sms</v>
      </c>
      <c r="D7" s="218" t="str">
        <f>IFERROR(__xludf.DUMMYFUNCTION("""COMPUTED_VALUE"""),"Promotional")</f>
        <v>Promotional</v>
      </c>
      <c r="E7" s="218" t="str">
        <f>IFERROR(__xludf.DUMMYFUNCTION("""COMPUTED_VALUE"""),"CK")</f>
        <v>CK</v>
      </c>
      <c r="F7" s="218" t="str">
        <f>IFERROR(__xludf.DUMMYFUNCTION("""COMPUTED_VALUE"""),"ESS")</f>
        <v>ESS</v>
      </c>
      <c r="G7" s="218" t="str">
        <f>IFERROR(__xludf.DUMMYFUNCTION("""COMPUTED_VALUE"""),"ESS 10th Jan_2")</f>
        <v>ESS 10th Jan_2</v>
      </c>
      <c r="H7" s="218" t="str">
        <f>IFERROR(__xludf.DUMMYFUNCTION("""COMPUTED_VALUE"""),"Dormant Base Overall 19th Dec")</f>
        <v>Dormant Base Overall 19th Dec</v>
      </c>
      <c r="I7" s="218" t="str">
        <f>IFERROR(__xludf.DUMMYFUNCTION("""COMPUTED_VALUE"""),"Custom Upload")</f>
        <v>Custom Upload</v>
      </c>
      <c r="J7" s="213">
        <f>IFERROR(__xludf.DUMMYFUNCTION("""COMPUTED_VALUE"""),210052.0)</f>
        <v>210052</v>
      </c>
      <c r="K7" s="213">
        <f>IFERROR(__xludf.DUMMYFUNCTION("""COMPUTED_VALUE"""),120170.0)</f>
        <v>120170</v>
      </c>
      <c r="L7" s="214">
        <f>IFERROR(__xludf.DUMMYFUNCTION("""COMPUTED_VALUE"""),0.572)</f>
        <v>0.572</v>
      </c>
      <c r="M7" s="213"/>
      <c r="N7" s="214"/>
      <c r="O7" s="213"/>
      <c r="P7" s="213"/>
      <c r="Q7" s="214"/>
      <c r="R7" s="214"/>
      <c r="S7" s="270"/>
      <c r="T7" s="270"/>
      <c r="U7" s="270"/>
      <c r="V7" s="101" t="str">
        <f>IFERROR(__xludf.DUMMYFUNCTION("""COMPUTED_VALUE"""),"Overall")</f>
        <v>Overall</v>
      </c>
      <c r="W7" s="101" t="str">
        <f>IFERROR(__xludf.DUMMYFUNCTION("""COMPUTED_VALUE"""),"SMS")</f>
        <v>SMS</v>
      </c>
      <c r="X7" s="212" t="str">
        <f>IFERROR(__xludf.DUMMYFUNCTION("""COMPUTED_VALUE"""),"Custom Upload")</f>
        <v>Custom Upload</v>
      </c>
      <c r="Y7" s="212" t="str">
        <f>IFERROR(__xludf.DUMMYFUNCTION("""COMPUTED_VALUE"""),"10th - 12th jan")</f>
        <v>10th - 12th jan</v>
      </c>
      <c r="Z7" s="212" t="str">
        <f>IFERROR(__xludf.DUMMYFUNCTION("""COMPUTED_VALUE"""),"6960e80f7782178a1c0d3906")</f>
        <v>6960e80f7782178a1c0d3906</v>
      </c>
      <c r="AA7" s="287">
        <f>IFERROR(__xludf.DUMMYFUNCTION("""COMPUTED_VALUE"""),138.0)</f>
        <v>138</v>
      </c>
      <c r="AB7" s="213">
        <f>IFERROR(__xludf.DUMMYFUNCTION("""COMPUTED_VALUE"""),0.0)</f>
        <v>0</v>
      </c>
      <c r="AC7" s="213">
        <f>IFERROR(__xludf.DUMMYFUNCTION("""COMPUTED_VALUE"""),138.0)</f>
        <v>138</v>
      </c>
      <c r="AD7" s="213">
        <f>IFERROR(__xludf.DUMMYFUNCTION("""COMPUTED_VALUE"""),1699038.0)</f>
        <v>1699038</v>
      </c>
      <c r="AE7" s="213">
        <f>IFERROR(__xludf.DUMMYFUNCTION("""COMPUTED_VALUE"""),0.0)</f>
        <v>0</v>
      </c>
      <c r="AF7" s="213">
        <f>IFERROR(__xludf.DUMMYFUNCTION("""COMPUTED_VALUE"""),1699038.0)</f>
        <v>1699038</v>
      </c>
      <c r="AG7" s="282"/>
      <c r="AH7" s="282"/>
      <c r="AI7" s="282"/>
      <c r="AJ7" s="282"/>
      <c r="AK7" s="282"/>
      <c r="AL7" s="282"/>
      <c r="AM7" s="282"/>
      <c r="AN7" s="282"/>
      <c r="AO7" s="282"/>
      <c r="AP7" s="282"/>
      <c r="AQ7" s="282"/>
      <c r="AR7" s="282"/>
      <c r="AS7" s="282"/>
      <c r="AT7" s="282"/>
      <c r="AU7" s="282"/>
      <c r="AV7" s="282"/>
      <c r="AW7" s="282"/>
      <c r="AX7" s="282"/>
      <c r="AY7" s="282"/>
      <c r="AZ7" s="282"/>
    </row>
    <row r="8" hidden="1">
      <c r="A8" s="209">
        <f>IFERROR(__xludf.DUMMYFUNCTION("""COMPUTED_VALUE"""),46036.0)</f>
        <v>46036</v>
      </c>
      <c r="B8" s="247">
        <f>IFERROR(__xludf.DUMMYFUNCTION("""COMPUTED_VALUE"""),0.4166666666678793)</f>
        <v>0.4166666667</v>
      </c>
      <c r="C8" s="218" t="str">
        <f>IFERROR(__xludf.DUMMYFUNCTION("""COMPUTED_VALUE"""),"Whatsapp")</f>
        <v>Whatsapp</v>
      </c>
      <c r="D8" s="218" t="str">
        <f>IFERROR(__xludf.DUMMYFUNCTION("""COMPUTED_VALUE"""),"Promotional")</f>
        <v>Promotional</v>
      </c>
      <c r="E8" s="218" t="str">
        <f>IFERROR(__xludf.DUMMYFUNCTION("""COMPUTED_VALUE"""),"CK")</f>
        <v>CK</v>
      </c>
      <c r="F8" s="218" t="str">
        <f>IFERROR(__xludf.DUMMYFUNCTION("""COMPUTED_VALUE"""),"Replinishment camapigns")</f>
        <v>Replinishment camapigns</v>
      </c>
      <c r="G8" s="218" t="str">
        <f>IFERROR(__xludf.DUMMYFUNCTION("""COMPUTED_VALUE"""),"Replineshment_base com_Shoes")</f>
        <v>Replineshment_base com_Shoes</v>
      </c>
      <c r="H8" s="218" t="str">
        <f>IFERROR(__xludf.DUMMYFUNCTION("""COMPUTED_VALUE"""),"ck_off_nopr_90days_footwear")</f>
        <v>ck_off_nopr_90days_footwear</v>
      </c>
      <c r="I8" s="218" t="str">
        <f>IFERROR(__xludf.DUMMYFUNCTION("""COMPUTED_VALUE"""),"Customers who have purchased Cat L1 Footwear in entire duration witth txn channel offline  AND have not purchased in the last 90 days Cat L1 Footwear with txn channel offline")</f>
        <v>Customers who have purchased Cat L1 Footwear in entire duration witth txn channel offline  AND have not purchased in the last 90 days Cat L1 Footwear with txn channel offline</v>
      </c>
      <c r="J8" s="213">
        <f>IFERROR(__xludf.DUMMYFUNCTION("""COMPUTED_VALUE"""),23677.0)</f>
        <v>23677</v>
      </c>
      <c r="K8" s="213">
        <f>IFERROR(__xludf.DUMMYFUNCTION("""COMPUTED_VALUE"""),7499.0)</f>
        <v>7499</v>
      </c>
      <c r="L8" s="214">
        <f>IFERROR(__xludf.DUMMYFUNCTION("""COMPUTED_VALUE"""),0.3167)</f>
        <v>0.3167</v>
      </c>
      <c r="M8" s="213">
        <f>IFERROR(__xludf.DUMMYFUNCTION("""COMPUTED_VALUE"""),2640.0)</f>
        <v>2640</v>
      </c>
      <c r="N8" s="214">
        <f>IFERROR(__xludf.DUMMYFUNCTION("""COMPUTED_VALUE"""),0.3519)</f>
        <v>0.3519</v>
      </c>
      <c r="O8" s="213">
        <f>IFERROR(__xludf.DUMMYFUNCTION("""COMPUTED_VALUE"""),160.0)</f>
        <v>160</v>
      </c>
      <c r="P8" s="213">
        <f>IFERROR(__xludf.DUMMYFUNCTION("""COMPUTED_VALUE"""),151.0)</f>
        <v>151</v>
      </c>
      <c r="Q8" s="214">
        <f>IFERROR(__xludf.DUMMYFUNCTION("""COMPUTED_VALUE"""),0.0201)</f>
        <v>0.0201</v>
      </c>
      <c r="R8" s="214">
        <f>IFERROR(__xludf.DUMMYFUNCTION("""COMPUTED_VALUE"""),0.0572)</f>
        <v>0.0572</v>
      </c>
      <c r="S8" s="270"/>
      <c r="T8" s="270"/>
      <c r="U8" s="270"/>
      <c r="V8" s="101" t="str">
        <f>IFERROR(__xludf.DUMMYFUNCTION("""COMPUTED_VALUE"""),"offline")</f>
        <v>offline</v>
      </c>
      <c r="W8" s="101" t="str">
        <f>IFERROR(__xludf.DUMMYFUNCTION("""COMPUTED_VALUE"""),"simple")</f>
        <v>simple</v>
      </c>
      <c r="X8" s="212" t="str">
        <f>IFERROR(__xludf.DUMMYFUNCTION("""COMPUTED_VALUE"""),"Dormant")</f>
        <v>Dormant</v>
      </c>
      <c r="Y8" s="212" t="str">
        <f>IFERROR(__xludf.DUMMYFUNCTION("""COMPUTED_VALUE"""),"14th - 19th Jan")</f>
        <v>14th - 19th Jan</v>
      </c>
      <c r="Z8" s="212" t="str">
        <f>IFERROR(__xludf.DUMMYFUNCTION("""COMPUTED_VALUE"""),"696635f207a4b985a61edf48")</f>
        <v>696635f207a4b985a61edf48</v>
      </c>
      <c r="AA8" s="287">
        <f>IFERROR(__xludf.DUMMYFUNCTION("""COMPUTED_VALUE"""),36.0)</f>
        <v>36</v>
      </c>
      <c r="AB8" s="213"/>
      <c r="AC8" s="213">
        <f>IFERROR(__xludf.DUMMYFUNCTION("""COMPUTED_VALUE"""),36.0)</f>
        <v>36</v>
      </c>
      <c r="AD8" s="213">
        <f>IFERROR(__xludf.DUMMYFUNCTION("""COMPUTED_VALUE"""),637038.0)</f>
        <v>637038</v>
      </c>
      <c r="AE8" s="213"/>
      <c r="AF8" s="213">
        <f>IFERROR(__xludf.DUMMYFUNCTION("""COMPUTED_VALUE"""),637038.0)</f>
        <v>637038</v>
      </c>
      <c r="AG8" s="282"/>
      <c r="AH8" s="282"/>
      <c r="AI8" s="282"/>
      <c r="AJ8" s="282"/>
      <c r="AK8" s="282"/>
      <c r="AL8" s="282"/>
      <c r="AM8" s="282"/>
      <c r="AN8" s="282"/>
      <c r="AO8" s="282"/>
      <c r="AP8" s="282"/>
      <c r="AQ8" s="282"/>
      <c r="AR8" s="282"/>
      <c r="AS8" s="282"/>
      <c r="AT8" s="282"/>
      <c r="AU8" s="282"/>
      <c r="AV8" s="282"/>
      <c r="AW8" s="282"/>
      <c r="AX8" s="282"/>
      <c r="AY8" s="282"/>
      <c r="AZ8" s="282"/>
    </row>
    <row r="9" hidden="1">
      <c r="A9" s="209">
        <f>IFERROR(__xludf.DUMMYFUNCTION("""COMPUTED_VALUE"""),46036.0)</f>
        <v>46036</v>
      </c>
      <c r="B9" s="247">
        <f>IFERROR(__xludf.DUMMYFUNCTION("""COMPUTED_VALUE"""),0.4166666666678793)</f>
        <v>0.4166666667</v>
      </c>
      <c r="C9" s="218" t="str">
        <f>IFERROR(__xludf.DUMMYFUNCTION("""COMPUTED_VALUE"""),"Whatsapp")</f>
        <v>Whatsapp</v>
      </c>
      <c r="D9" s="218" t="str">
        <f>IFERROR(__xludf.DUMMYFUNCTION("""COMPUTED_VALUE"""),"Promotional")</f>
        <v>Promotional</v>
      </c>
      <c r="E9" s="218" t="str">
        <f>IFERROR(__xludf.DUMMYFUNCTION("""COMPUTED_VALUE"""),"CK")</f>
        <v>CK</v>
      </c>
      <c r="F9" s="218" t="str">
        <f>IFERROR(__xludf.DUMMYFUNCTION("""COMPUTED_VALUE"""),"Replinishment camapigns")</f>
        <v>Replinishment camapigns</v>
      </c>
      <c r="G9" s="218" t="str">
        <f>IFERROR(__xludf.DUMMYFUNCTION("""COMPUTED_VALUE"""),"Replineshment_base com_wallets")</f>
        <v>Replineshment_base com_wallets</v>
      </c>
      <c r="H9" s="218" t="str">
        <f>IFERROR(__xludf.DUMMYFUNCTION("""COMPUTED_VALUE"""),"ck_off_nopr_90days_wallet")</f>
        <v>ck_off_nopr_90days_wallet</v>
      </c>
      <c r="I9" s="218" t="str">
        <f>IFERROR(__xludf.DUMMYFUNCTION("""COMPUTED_VALUE"""),"Customers who have purchased Cat L3 Wallet in entire duration witth txn channel offline  AND have not purchased in the last 90 days Cat L3 Wallet with txn channel offline")</f>
        <v>Customers who have purchased Cat L3 Wallet in entire duration witth txn channel offline  AND have not purchased in the last 90 days Cat L3 Wallet with txn channel offline</v>
      </c>
      <c r="J9" s="213">
        <f>IFERROR(__xludf.DUMMYFUNCTION("""COMPUTED_VALUE"""),22590.0)</f>
        <v>22590</v>
      </c>
      <c r="K9" s="213">
        <f>IFERROR(__xludf.DUMMYFUNCTION("""COMPUTED_VALUE"""),8248.0)</f>
        <v>8248</v>
      </c>
      <c r="L9" s="214">
        <f>IFERROR(__xludf.DUMMYFUNCTION("""COMPUTED_VALUE"""),0.3651)</f>
        <v>0.3651</v>
      </c>
      <c r="M9" s="213">
        <f>IFERROR(__xludf.DUMMYFUNCTION("""COMPUTED_VALUE"""),2902.0)</f>
        <v>2902</v>
      </c>
      <c r="N9" s="214">
        <f>IFERROR(__xludf.DUMMYFUNCTION("""COMPUTED_VALUE"""),0.3516)</f>
        <v>0.3516</v>
      </c>
      <c r="O9" s="213">
        <f>IFERROR(__xludf.DUMMYFUNCTION("""COMPUTED_VALUE"""),112.0)</f>
        <v>112</v>
      </c>
      <c r="P9" s="213">
        <f>IFERROR(__xludf.DUMMYFUNCTION("""COMPUTED_VALUE"""),104.0)</f>
        <v>104</v>
      </c>
      <c r="Q9" s="214">
        <f>IFERROR(__xludf.DUMMYFUNCTION("""COMPUTED_VALUE"""),0.0126)</f>
        <v>0.0126</v>
      </c>
      <c r="R9" s="214">
        <f>IFERROR(__xludf.DUMMYFUNCTION("""COMPUTED_VALUE"""),0.0359)</f>
        <v>0.0359</v>
      </c>
      <c r="S9" s="270"/>
      <c r="T9" s="270"/>
      <c r="U9" s="270"/>
      <c r="V9" s="101" t="str">
        <f>IFERROR(__xludf.DUMMYFUNCTION("""COMPUTED_VALUE"""),"offline")</f>
        <v>offline</v>
      </c>
      <c r="W9" s="101" t="str">
        <f>IFERROR(__xludf.DUMMYFUNCTION("""COMPUTED_VALUE"""),"simple")</f>
        <v>simple</v>
      </c>
      <c r="X9" s="212" t="str">
        <f>IFERROR(__xludf.DUMMYFUNCTION("""COMPUTED_VALUE"""),"Dormant")</f>
        <v>Dormant</v>
      </c>
      <c r="Y9" s="212" t="str">
        <f>IFERROR(__xludf.DUMMYFUNCTION("""COMPUTED_VALUE"""),"14th - 19th Jan")</f>
        <v>14th - 19th Jan</v>
      </c>
      <c r="Z9" s="212" t="str">
        <f>IFERROR(__xludf.DUMMYFUNCTION("""COMPUTED_VALUE"""),"6966361a1aeecbbf12b120c9")</f>
        <v>6966361a1aeecbbf12b120c9</v>
      </c>
      <c r="AA9" s="287">
        <f>IFERROR(__xludf.DUMMYFUNCTION("""COMPUTED_VALUE"""),37.0)</f>
        <v>37</v>
      </c>
      <c r="AB9" s="213"/>
      <c r="AC9" s="213">
        <f>IFERROR(__xludf.DUMMYFUNCTION("""COMPUTED_VALUE"""),37.0)</f>
        <v>37</v>
      </c>
      <c r="AD9" s="213">
        <f>IFERROR(__xludf.DUMMYFUNCTION("""COMPUTED_VALUE"""),457752.0)</f>
        <v>457752</v>
      </c>
      <c r="AE9" s="213"/>
      <c r="AF9" s="213">
        <f>IFERROR(__xludf.DUMMYFUNCTION("""COMPUTED_VALUE"""),457752.0)</f>
        <v>457752</v>
      </c>
      <c r="AG9" s="282"/>
      <c r="AH9" s="282"/>
      <c r="AI9" s="282"/>
      <c r="AJ9" s="282"/>
      <c r="AK9" s="282"/>
      <c r="AL9" s="282"/>
      <c r="AM9" s="282"/>
      <c r="AN9" s="282"/>
      <c r="AO9" s="282"/>
      <c r="AP9" s="282"/>
      <c r="AQ9" s="282"/>
      <c r="AR9" s="282"/>
      <c r="AS9" s="282"/>
      <c r="AT9" s="282"/>
      <c r="AU9" s="282"/>
      <c r="AV9" s="282"/>
      <c r="AW9" s="282"/>
      <c r="AX9" s="282"/>
      <c r="AY9" s="282"/>
      <c r="AZ9" s="282"/>
    </row>
    <row r="10" hidden="1">
      <c r="A10" s="209">
        <f>IFERROR(__xludf.DUMMYFUNCTION("""COMPUTED_VALUE"""),46036.0)</f>
        <v>46036</v>
      </c>
      <c r="B10" s="247">
        <f>IFERROR(__xludf.DUMMYFUNCTION("""COMPUTED_VALUE"""),0.4166666666678793)</f>
        <v>0.4166666667</v>
      </c>
      <c r="C10" s="218" t="str">
        <f>IFERROR(__xludf.DUMMYFUNCTION("""COMPUTED_VALUE"""),"Whatsapp")</f>
        <v>Whatsapp</v>
      </c>
      <c r="D10" s="218" t="str">
        <f>IFERROR(__xludf.DUMMYFUNCTION("""COMPUTED_VALUE"""),"Promotional")</f>
        <v>Promotional</v>
      </c>
      <c r="E10" s="218" t="str">
        <f>IFERROR(__xludf.DUMMYFUNCTION("""COMPUTED_VALUE"""),"CK")</f>
        <v>CK</v>
      </c>
      <c r="F10" s="218" t="str">
        <f>IFERROR(__xludf.DUMMYFUNCTION("""COMPUTED_VALUE"""),"Replinishment camapigns")</f>
        <v>Replinishment camapigns</v>
      </c>
      <c r="G10" s="218" t="str">
        <f>IFERROR(__xludf.DUMMYFUNCTION("""COMPUTED_VALUE"""),"Replineshment_base com_Handbag")</f>
        <v>Replineshment_base com_Handbag</v>
      </c>
      <c r="H10" s="218" t="str">
        <f>IFERROR(__xludf.DUMMYFUNCTION("""COMPUTED_VALUE"""),"ck_off_nopr_90days_handbags")</f>
        <v>ck_off_nopr_90days_handbags</v>
      </c>
      <c r="I10" s="218" t="str">
        <f>IFERROR(__xludf.DUMMYFUNCTION("""COMPUTED_VALUE"""),"Customers who have purchased Cat L2 Handbags in entire duration witth txn channel offline  AND have not purchased in the last 90 days Cat L2 Handbags with txn channel offline")</f>
        <v>Customers who have purchased Cat L2 Handbags in entire duration witth txn channel offline  AND have not purchased in the last 90 days Cat L2 Handbags with txn channel offline</v>
      </c>
      <c r="J10" s="213">
        <f>IFERROR(__xludf.DUMMYFUNCTION("""COMPUTED_VALUE"""),84931.0)</f>
        <v>84931</v>
      </c>
      <c r="K10" s="213">
        <f>IFERROR(__xludf.DUMMYFUNCTION("""COMPUTED_VALUE"""),32706.0)</f>
        <v>32706</v>
      </c>
      <c r="L10" s="214">
        <f>IFERROR(__xludf.DUMMYFUNCTION("""COMPUTED_VALUE"""),0.3851)</f>
        <v>0.3851</v>
      </c>
      <c r="M10" s="213">
        <f>IFERROR(__xludf.DUMMYFUNCTION("""COMPUTED_VALUE"""),11976.0)</f>
        <v>11976</v>
      </c>
      <c r="N10" s="214">
        <f>IFERROR(__xludf.DUMMYFUNCTION("""COMPUTED_VALUE"""),0.366)</f>
        <v>0.366</v>
      </c>
      <c r="O10" s="213">
        <f>IFERROR(__xludf.DUMMYFUNCTION("""COMPUTED_VALUE"""),484.0)</f>
        <v>484</v>
      </c>
      <c r="P10" s="213">
        <f>IFERROR(__xludf.DUMMYFUNCTION("""COMPUTED_VALUE"""),466.0)</f>
        <v>466</v>
      </c>
      <c r="Q10" s="214">
        <f>IFERROR(__xludf.DUMMYFUNCTION("""COMPUTED_VALUE"""),0.0142)</f>
        <v>0.0142</v>
      </c>
      <c r="R10" s="214">
        <f>IFERROR(__xludf.DUMMYFUNCTION("""COMPUTED_VALUE"""),0.0389)</f>
        <v>0.0389</v>
      </c>
      <c r="S10" s="270"/>
      <c r="T10" s="270"/>
      <c r="U10" s="270"/>
      <c r="V10" s="101" t="str">
        <f>IFERROR(__xludf.DUMMYFUNCTION("""COMPUTED_VALUE"""),"offline")</f>
        <v>offline</v>
      </c>
      <c r="W10" s="101" t="str">
        <f>IFERROR(__xludf.DUMMYFUNCTION("""COMPUTED_VALUE"""),"simple")</f>
        <v>simple</v>
      </c>
      <c r="X10" s="212" t="str">
        <f>IFERROR(__xludf.DUMMYFUNCTION("""COMPUTED_VALUE"""),"Dormant")</f>
        <v>Dormant</v>
      </c>
      <c r="Y10" s="212" t="str">
        <f>IFERROR(__xludf.DUMMYFUNCTION("""COMPUTED_VALUE"""),"14th - 19th Jan")</f>
        <v>14th - 19th Jan</v>
      </c>
      <c r="Z10" s="212" t="str">
        <f>IFERROR(__xludf.DUMMYFUNCTION("""COMPUTED_VALUE"""),"69663640de0788a70fb30864")</f>
        <v>69663640de0788a70fb30864</v>
      </c>
      <c r="AA10" s="287">
        <f>IFERROR(__xludf.DUMMYFUNCTION("""COMPUTED_VALUE"""),93.0)</f>
        <v>93</v>
      </c>
      <c r="AB10" s="213"/>
      <c r="AC10" s="213">
        <f>IFERROR(__xludf.DUMMYFUNCTION("""COMPUTED_VALUE"""),93.0)</f>
        <v>93</v>
      </c>
      <c r="AD10" s="213">
        <f>IFERROR(__xludf.DUMMYFUNCTION("""COMPUTED_VALUE"""),1087993.0)</f>
        <v>1087993</v>
      </c>
      <c r="AE10" s="213"/>
      <c r="AF10" s="213">
        <f>IFERROR(__xludf.DUMMYFUNCTION("""COMPUTED_VALUE"""),1087993.0)</f>
        <v>1087993</v>
      </c>
      <c r="AG10" s="282"/>
      <c r="AH10" s="282"/>
      <c r="AI10" s="282"/>
      <c r="AJ10" s="282"/>
      <c r="AK10" s="282"/>
      <c r="AL10" s="282"/>
      <c r="AM10" s="282"/>
      <c r="AN10" s="282"/>
      <c r="AO10" s="282"/>
      <c r="AP10" s="282"/>
      <c r="AQ10" s="282"/>
      <c r="AR10" s="282"/>
      <c r="AS10" s="282"/>
      <c r="AT10" s="282"/>
      <c r="AU10" s="282"/>
      <c r="AV10" s="282"/>
      <c r="AW10" s="282"/>
      <c r="AX10" s="282"/>
      <c r="AY10" s="282"/>
      <c r="AZ10" s="282"/>
    </row>
    <row r="11" hidden="1">
      <c r="A11" s="209">
        <f>IFERROR(__xludf.DUMMYFUNCTION("""COMPUTED_VALUE"""),46036.0)</f>
        <v>46036</v>
      </c>
      <c r="B11" s="247">
        <f>IFERROR(__xludf.DUMMYFUNCTION("""COMPUTED_VALUE"""),0.5)</f>
        <v>0.5</v>
      </c>
      <c r="C11" s="218" t="str">
        <f>IFERROR(__xludf.DUMMYFUNCTION("""COMPUTED_VALUE"""),"Sms")</f>
        <v>Sms</v>
      </c>
      <c r="D11" s="218" t="str">
        <f>IFERROR(__xludf.DUMMYFUNCTION("""COMPUTED_VALUE"""),"Fallback Campaign")</f>
        <v>Fallback Campaign</v>
      </c>
      <c r="E11" s="218" t="str">
        <f>IFERROR(__xludf.DUMMYFUNCTION("""COMPUTED_VALUE"""),"CK")</f>
        <v>CK</v>
      </c>
      <c r="F11" s="218" t="str">
        <f>IFERROR(__xludf.DUMMYFUNCTION("""COMPUTED_VALUE"""),"Replinishment camapigns")</f>
        <v>Replinishment camapigns</v>
      </c>
      <c r="G11" s="218" t="str">
        <f>IFERROR(__xludf.DUMMYFUNCTION("""COMPUTED_VALUE"""),"Replineshment_base com_wallets_fallback")</f>
        <v>Replineshment_base com_wallets_fallback</v>
      </c>
      <c r="H11" s="218" t="str">
        <f>IFERROR(__xludf.DUMMYFUNCTION("""COMPUTED_VALUE"""),"ck_off_nopr_90days_wallet")</f>
        <v>ck_off_nopr_90days_wallet</v>
      </c>
      <c r="I11" s="218" t="str">
        <f>IFERROR(__xludf.DUMMYFUNCTION("""COMPUTED_VALUE"""),"WA Undelivered")</f>
        <v>WA Undelivered</v>
      </c>
      <c r="J11" s="213">
        <f>IFERROR(__xludf.DUMMYFUNCTION("""COMPUTED_VALUE"""),14024.0)</f>
        <v>14024</v>
      </c>
      <c r="K11" s="213">
        <f>IFERROR(__xludf.DUMMYFUNCTION("""COMPUTED_VALUE"""),8167.0)</f>
        <v>8167</v>
      </c>
      <c r="L11" s="214">
        <f>IFERROR(__xludf.DUMMYFUNCTION("""COMPUTED_VALUE"""),0.5824)</f>
        <v>0.5824</v>
      </c>
      <c r="M11" s="213"/>
      <c r="N11" s="214"/>
      <c r="O11" s="213">
        <f>IFERROR(__xludf.DUMMYFUNCTION("""COMPUTED_VALUE"""),0.0)</f>
        <v>0</v>
      </c>
      <c r="P11" s="213"/>
      <c r="Q11" s="214">
        <f>IFERROR(__xludf.DUMMYFUNCTION("""COMPUTED_VALUE"""),0.0)</f>
        <v>0</v>
      </c>
      <c r="R11" s="214"/>
      <c r="S11" s="270"/>
      <c r="T11" s="270"/>
      <c r="U11" s="270"/>
      <c r="V11" s="101" t="str">
        <f>IFERROR(__xludf.DUMMYFUNCTION("""COMPUTED_VALUE"""),"offline")</f>
        <v>offline</v>
      </c>
      <c r="W11" s="101" t="str">
        <f>IFERROR(__xludf.DUMMYFUNCTION("""COMPUTED_VALUE"""),"SMS")</f>
        <v>SMS</v>
      </c>
      <c r="X11" s="212" t="str">
        <f>IFERROR(__xludf.DUMMYFUNCTION("""COMPUTED_VALUE"""),"Dormant")</f>
        <v>Dormant</v>
      </c>
      <c r="Y11" s="212" t="str">
        <f>IFERROR(__xludf.DUMMYFUNCTION("""COMPUTED_VALUE"""),"14th - 19th Jan")</f>
        <v>14th - 19th Jan</v>
      </c>
      <c r="Z11" s="212" t="str">
        <f>IFERROR(__xludf.DUMMYFUNCTION("""COMPUTED_VALUE"""),"696636cab4911129bad507a6")</f>
        <v>696636cab4911129bad507a6</v>
      </c>
      <c r="AA11" s="287">
        <f>IFERROR(__xludf.DUMMYFUNCTION("""COMPUTED_VALUE"""),48.0)</f>
        <v>48</v>
      </c>
      <c r="AB11" s="213"/>
      <c r="AC11" s="213">
        <f>IFERROR(__xludf.DUMMYFUNCTION("""COMPUTED_VALUE"""),48.0)</f>
        <v>48</v>
      </c>
      <c r="AD11" s="213">
        <f>IFERROR(__xludf.DUMMYFUNCTION("""COMPUTED_VALUE"""),642736.0)</f>
        <v>642736</v>
      </c>
      <c r="AE11" s="213"/>
      <c r="AF11" s="213">
        <f>IFERROR(__xludf.DUMMYFUNCTION("""COMPUTED_VALUE"""),642736.0)</f>
        <v>642736</v>
      </c>
      <c r="AG11" s="282"/>
      <c r="AH11" s="282"/>
      <c r="AI11" s="282"/>
      <c r="AJ11" s="282"/>
      <c r="AK11" s="282"/>
      <c r="AL11" s="282"/>
      <c r="AM11" s="282"/>
      <c r="AN11" s="282"/>
      <c r="AO11" s="282"/>
      <c r="AP11" s="282"/>
      <c r="AQ11" s="282"/>
      <c r="AR11" s="282"/>
      <c r="AS11" s="282"/>
      <c r="AT11" s="282"/>
      <c r="AU11" s="282"/>
      <c r="AV11" s="282"/>
      <c r="AW11" s="282"/>
      <c r="AX11" s="282"/>
      <c r="AY11" s="282"/>
      <c r="AZ11" s="282"/>
    </row>
    <row r="12" hidden="1">
      <c r="A12" s="209">
        <f>IFERROR(__xludf.DUMMYFUNCTION("""COMPUTED_VALUE"""),46036.0)</f>
        <v>46036</v>
      </c>
      <c r="B12" s="247">
        <f>IFERROR(__xludf.DUMMYFUNCTION("""COMPUTED_VALUE"""),0.5)</f>
        <v>0.5</v>
      </c>
      <c r="C12" s="218" t="str">
        <f>IFERROR(__xludf.DUMMYFUNCTION("""COMPUTED_VALUE"""),"Sms")</f>
        <v>Sms</v>
      </c>
      <c r="D12" s="218" t="str">
        <f>IFERROR(__xludf.DUMMYFUNCTION("""COMPUTED_VALUE"""),"Fallback Campaign")</f>
        <v>Fallback Campaign</v>
      </c>
      <c r="E12" s="218" t="str">
        <f>IFERROR(__xludf.DUMMYFUNCTION("""COMPUTED_VALUE"""),"CK")</f>
        <v>CK</v>
      </c>
      <c r="F12" s="218" t="str">
        <f>IFERROR(__xludf.DUMMYFUNCTION("""COMPUTED_VALUE"""),"Replinishment camapigns")</f>
        <v>Replinishment camapigns</v>
      </c>
      <c r="G12" s="218" t="str">
        <f>IFERROR(__xludf.DUMMYFUNCTION("""COMPUTED_VALUE"""),"Replineshment_base com_Shoes_fallback")</f>
        <v>Replineshment_base com_Shoes_fallback</v>
      </c>
      <c r="H12" s="218" t="str">
        <f>IFERROR(__xludf.DUMMYFUNCTION("""COMPUTED_VALUE"""),"ck_off_nopr_90days_footwear")</f>
        <v>ck_off_nopr_90days_footwear</v>
      </c>
      <c r="I12" s="218" t="str">
        <f>IFERROR(__xludf.DUMMYFUNCTION("""COMPUTED_VALUE"""),"WA Undelivered")</f>
        <v>WA Undelivered</v>
      </c>
      <c r="J12" s="213">
        <f>IFERROR(__xludf.DUMMYFUNCTION("""COMPUTED_VALUE"""),15806.0)</f>
        <v>15806</v>
      </c>
      <c r="K12" s="213">
        <f>IFERROR(__xludf.DUMMYFUNCTION("""COMPUTED_VALUE"""),7968.0)</f>
        <v>7968</v>
      </c>
      <c r="L12" s="214">
        <f>IFERROR(__xludf.DUMMYFUNCTION("""COMPUTED_VALUE"""),0.5041)</f>
        <v>0.5041</v>
      </c>
      <c r="M12" s="213"/>
      <c r="N12" s="214"/>
      <c r="O12" s="213">
        <f>IFERROR(__xludf.DUMMYFUNCTION("""COMPUTED_VALUE"""),0.0)</f>
        <v>0</v>
      </c>
      <c r="P12" s="213"/>
      <c r="Q12" s="214">
        <f>IFERROR(__xludf.DUMMYFUNCTION("""COMPUTED_VALUE"""),0.0)</f>
        <v>0</v>
      </c>
      <c r="R12" s="214"/>
      <c r="S12" s="270"/>
      <c r="T12" s="270"/>
      <c r="U12" s="270"/>
      <c r="V12" s="101" t="str">
        <f>IFERROR(__xludf.DUMMYFUNCTION("""COMPUTED_VALUE"""),"offline")</f>
        <v>offline</v>
      </c>
      <c r="W12" s="101" t="str">
        <f>IFERROR(__xludf.DUMMYFUNCTION("""COMPUTED_VALUE"""),"SMS")</f>
        <v>SMS</v>
      </c>
      <c r="X12" s="212" t="str">
        <f>IFERROR(__xludf.DUMMYFUNCTION("""COMPUTED_VALUE"""),"Dormant")</f>
        <v>Dormant</v>
      </c>
      <c r="Y12" s="212" t="str">
        <f>IFERROR(__xludf.DUMMYFUNCTION("""COMPUTED_VALUE"""),"14th - 19th Jan")</f>
        <v>14th - 19th Jan</v>
      </c>
      <c r="Z12" s="212" t="str">
        <f>IFERROR(__xludf.DUMMYFUNCTION("""COMPUTED_VALUE"""),"6966375e25952f92feeb2235")</f>
        <v>6966375e25952f92feeb2235</v>
      </c>
      <c r="AA12" s="287">
        <f>IFERROR(__xludf.DUMMYFUNCTION("""COMPUTED_VALUE"""),46.0)</f>
        <v>46</v>
      </c>
      <c r="AB12" s="213"/>
      <c r="AC12" s="213">
        <f>IFERROR(__xludf.DUMMYFUNCTION("""COMPUTED_VALUE"""),46.0)</f>
        <v>46</v>
      </c>
      <c r="AD12" s="213">
        <f>IFERROR(__xludf.DUMMYFUNCTION("""COMPUTED_VALUE"""),636937.0)</f>
        <v>636937</v>
      </c>
      <c r="AE12" s="213"/>
      <c r="AF12" s="213">
        <f>IFERROR(__xludf.DUMMYFUNCTION("""COMPUTED_VALUE"""),636937.0)</f>
        <v>636937</v>
      </c>
      <c r="AG12" s="282"/>
      <c r="AH12" s="282"/>
      <c r="AI12" s="282"/>
      <c r="AJ12" s="282"/>
      <c r="AK12" s="282"/>
      <c r="AL12" s="282"/>
      <c r="AM12" s="282"/>
      <c r="AN12" s="282"/>
      <c r="AO12" s="282"/>
      <c r="AP12" s="282"/>
      <c r="AQ12" s="282"/>
      <c r="AR12" s="282"/>
      <c r="AS12" s="282"/>
      <c r="AT12" s="282"/>
      <c r="AU12" s="282"/>
      <c r="AV12" s="282"/>
      <c r="AW12" s="282"/>
      <c r="AX12" s="282"/>
      <c r="AY12" s="282"/>
      <c r="AZ12" s="282"/>
    </row>
    <row r="13" hidden="1">
      <c r="A13" s="209">
        <f>IFERROR(__xludf.DUMMYFUNCTION("""COMPUTED_VALUE"""),46036.0)</f>
        <v>46036</v>
      </c>
      <c r="B13" s="247">
        <f>IFERROR(__xludf.DUMMYFUNCTION("""COMPUTED_VALUE"""),0.5)</f>
        <v>0.5</v>
      </c>
      <c r="C13" s="218" t="str">
        <f>IFERROR(__xludf.DUMMYFUNCTION("""COMPUTED_VALUE"""),"Sms")</f>
        <v>Sms</v>
      </c>
      <c r="D13" s="218" t="str">
        <f>IFERROR(__xludf.DUMMYFUNCTION("""COMPUTED_VALUE"""),"Fallback Campaign")</f>
        <v>Fallback Campaign</v>
      </c>
      <c r="E13" s="218" t="str">
        <f>IFERROR(__xludf.DUMMYFUNCTION("""COMPUTED_VALUE"""),"CK")</f>
        <v>CK</v>
      </c>
      <c r="F13" s="218" t="str">
        <f>IFERROR(__xludf.DUMMYFUNCTION("""COMPUTED_VALUE"""),"Replinishment camapigns")</f>
        <v>Replinishment camapigns</v>
      </c>
      <c r="G13" s="218" t="str">
        <f>IFERROR(__xludf.DUMMYFUNCTION("""COMPUTED_VALUE"""),"Replineshment_base com_Handbag_fallback")</f>
        <v>Replineshment_base com_Handbag_fallback</v>
      </c>
      <c r="H13" s="218" t="str">
        <f>IFERROR(__xludf.DUMMYFUNCTION("""COMPUTED_VALUE"""),"ck_off_nopr_90days_handbags")</f>
        <v>ck_off_nopr_90days_handbags</v>
      </c>
      <c r="I13" s="218" t="str">
        <f>IFERROR(__xludf.DUMMYFUNCTION("""COMPUTED_VALUE"""),"WA Undelivered")</f>
        <v>WA Undelivered</v>
      </c>
      <c r="J13" s="213">
        <f>IFERROR(__xludf.DUMMYFUNCTION("""COMPUTED_VALUE"""),50944.0)</f>
        <v>50944</v>
      </c>
      <c r="K13" s="213">
        <f>IFERROR(__xludf.DUMMYFUNCTION("""COMPUTED_VALUE"""),29000.0)</f>
        <v>29000</v>
      </c>
      <c r="L13" s="214">
        <f>IFERROR(__xludf.DUMMYFUNCTION("""COMPUTED_VALUE"""),0.5693)</f>
        <v>0.5693</v>
      </c>
      <c r="M13" s="213"/>
      <c r="N13" s="214"/>
      <c r="O13" s="213">
        <f>IFERROR(__xludf.DUMMYFUNCTION("""COMPUTED_VALUE"""),0.0)</f>
        <v>0</v>
      </c>
      <c r="P13" s="213"/>
      <c r="Q13" s="214">
        <f>IFERROR(__xludf.DUMMYFUNCTION("""COMPUTED_VALUE"""),0.0)</f>
        <v>0</v>
      </c>
      <c r="R13" s="214"/>
      <c r="S13" s="270"/>
      <c r="T13" s="270"/>
      <c r="U13" s="270"/>
      <c r="V13" s="101" t="str">
        <f>IFERROR(__xludf.DUMMYFUNCTION("""COMPUTED_VALUE"""),"offline")</f>
        <v>offline</v>
      </c>
      <c r="W13" s="101" t="str">
        <f>IFERROR(__xludf.DUMMYFUNCTION("""COMPUTED_VALUE"""),"SMS")</f>
        <v>SMS</v>
      </c>
      <c r="X13" s="212" t="str">
        <f>IFERROR(__xludf.DUMMYFUNCTION("""COMPUTED_VALUE"""),"Dormant")</f>
        <v>Dormant</v>
      </c>
      <c r="Y13" s="212" t="str">
        <f>IFERROR(__xludf.DUMMYFUNCTION("""COMPUTED_VALUE"""),"14th - 19th Jan")</f>
        <v>14th - 19th Jan</v>
      </c>
      <c r="Z13" s="212" t="str">
        <f>IFERROR(__xludf.DUMMYFUNCTION("""COMPUTED_VALUE"""),"69663873b3d697be975ce14f")</f>
        <v>69663873b3d697be975ce14f</v>
      </c>
      <c r="AA13" s="287">
        <f>IFERROR(__xludf.DUMMYFUNCTION("""COMPUTED_VALUE"""),120.0)</f>
        <v>120</v>
      </c>
      <c r="AB13" s="213"/>
      <c r="AC13" s="213">
        <f>IFERROR(__xludf.DUMMYFUNCTION("""COMPUTED_VALUE"""),120.0)</f>
        <v>120</v>
      </c>
      <c r="AD13" s="213">
        <f>IFERROR(__xludf.DUMMYFUNCTION("""COMPUTED_VALUE"""),1549256.0)</f>
        <v>1549256</v>
      </c>
      <c r="AE13" s="213"/>
      <c r="AF13" s="213">
        <f>IFERROR(__xludf.DUMMYFUNCTION("""COMPUTED_VALUE"""),1549256.0)</f>
        <v>1549256</v>
      </c>
      <c r="AG13" s="282"/>
      <c r="AH13" s="282"/>
      <c r="AI13" s="282"/>
      <c r="AJ13" s="282"/>
      <c r="AK13" s="282"/>
      <c r="AL13" s="282"/>
      <c r="AM13" s="282"/>
      <c r="AN13" s="282"/>
      <c r="AO13" s="282"/>
      <c r="AP13" s="282"/>
      <c r="AQ13" s="282"/>
      <c r="AR13" s="282"/>
      <c r="AS13" s="282"/>
      <c r="AT13" s="282"/>
      <c r="AU13" s="282"/>
      <c r="AV13" s="282"/>
      <c r="AW13" s="282"/>
      <c r="AX13" s="282"/>
      <c r="AY13" s="282"/>
      <c r="AZ13" s="282"/>
    </row>
    <row r="14" hidden="1">
      <c r="A14" s="209">
        <f>IFERROR(__xludf.DUMMYFUNCTION("""COMPUTED_VALUE"""),46039.0)</f>
        <v>46039</v>
      </c>
      <c r="B14" s="247">
        <f>IFERROR(__xludf.DUMMYFUNCTION("""COMPUTED_VALUE"""),0.4166666666678793)</f>
        <v>0.4166666667</v>
      </c>
      <c r="C14" s="218" t="str">
        <f>IFERROR(__xludf.DUMMYFUNCTION("""COMPUTED_VALUE"""),"Whatsapp")</f>
        <v>Whatsapp</v>
      </c>
      <c r="D14" s="218" t="str">
        <f>IFERROR(__xludf.DUMMYFUNCTION("""COMPUTED_VALUE"""),"Promotional")</f>
        <v>Promotional</v>
      </c>
      <c r="E14" s="218" t="str">
        <f>IFERROR(__xludf.DUMMYFUNCTION("""COMPUTED_VALUE"""),"CK")</f>
        <v>CK</v>
      </c>
      <c r="F14" s="218" t="str">
        <f>IFERROR(__xludf.DUMMYFUNCTION("""COMPUTED_VALUE"""),"Upto 50%")</f>
        <v>Upto 50%</v>
      </c>
      <c r="G14" s="218" t="str">
        <f>IFERROR(__xludf.DUMMYFUNCTION("""COMPUTED_VALUE"""),"Further reductions_upto 50% off_1")</f>
        <v>Further reductions_upto 50% off_1</v>
      </c>
      <c r="H14" s="218" t="str">
        <f>IFERROR(__xludf.DUMMYFUNCTION("""COMPUTED_VALUE"""),"ck_on_pr_evntbuyers_bfs_25_Nov OR ck_off_pr_evntbuyers_bfs_25_Nov")</f>
        <v>ck_on_pr_evntbuyers_bfs_25_Nov OR ck_off_pr_evntbuyers_bfs_25_Nov</v>
      </c>
      <c r="I14" s="218" t="str">
        <f>IFERROR(__xludf.DUMMYFUNCTION("""COMPUTED_VALUE"""),"Customers who have purchased from 22nd Nov 2023 to 27th Nov 2023 with txn channel online OR 27th Nov 2024 to 2nd Dec 2024 with txn channel online.  Customers who have purchased from 22nd Nov 2023 to 27th Nov 2023 with txn channel offline OR 27th Nov 2024 "&amp;"to 2nd Dec 2024 with txn channel offline OR 26th Nov 2025 to 1st Dec 2025 with txn channel offline")</f>
        <v>Customers who have purchased from 22nd Nov 2023 to 27th Nov 2023 with txn channel online OR 27th Nov 2024 to 2nd Dec 2024 with txn channel online.  Customers who have purchased from 22nd Nov 2023 to 27th Nov 2023 with txn channel offline OR 27th Nov 2024 to 2nd Dec 2024 with txn channel offline OR 26th Nov 2025 to 1st Dec 2025 with txn channel offline</v>
      </c>
      <c r="J14" s="213">
        <f>IFERROR(__xludf.DUMMYFUNCTION("""COMPUTED_VALUE"""),10153.0)</f>
        <v>10153</v>
      </c>
      <c r="K14" s="213">
        <f>IFERROR(__xludf.DUMMYFUNCTION("""COMPUTED_VALUE"""),2907.0)</f>
        <v>2907</v>
      </c>
      <c r="L14" s="214">
        <f>IFERROR(__xludf.DUMMYFUNCTION("""COMPUTED_VALUE"""),0.2863)</f>
        <v>0.2863</v>
      </c>
      <c r="M14" s="213">
        <f>IFERROR(__xludf.DUMMYFUNCTION("""COMPUTED_VALUE"""),1097.0)</f>
        <v>1097</v>
      </c>
      <c r="N14" s="214">
        <f>IFERROR(__xludf.DUMMYFUNCTION("""COMPUTED_VALUE"""),0.3774)</f>
        <v>0.3774</v>
      </c>
      <c r="O14" s="213">
        <f>IFERROR(__xludf.DUMMYFUNCTION("""COMPUTED_VALUE"""),119.0)</f>
        <v>119</v>
      </c>
      <c r="P14" s="213">
        <f>IFERROR(__xludf.DUMMYFUNCTION("""COMPUTED_VALUE"""),116.0)</f>
        <v>116</v>
      </c>
      <c r="Q14" s="214">
        <f>IFERROR(__xludf.DUMMYFUNCTION("""COMPUTED_VALUE"""),0.0399)</f>
        <v>0.0399</v>
      </c>
      <c r="R14" s="214">
        <f>IFERROR(__xludf.DUMMYFUNCTION("""COMPUTED_VALUE"""),0.1057)</f>
        <v>0.1057</v>
      </c>
      <c r="S14" s="270"/>
      <c r="T14" s="270"/>
      <c r="U14" s="270"/>
      <c r="V14" s="101" t="str">
        <f>IFERROR(__xludf.DUMMYFUNCTION("""COMPUTED_VALUE"""),"overall")</f>
        <v>overall</v>
      </c>
      <c r="W14" s="101" t="str">
        <f>IFERROR(__xludf.DUMMYFUNCTION("""COMPUTED_VALUE"""),"simple")</f>
        <v>simple</v>
      </c>
      <c r="X14" s="212" t="str">
        <f>IFERROR(__xludf.DUMMYFUNCTION("""COMPUTED_VALUE"""),"Event Buyers")</f>
        <v>Event Buyers</v>
      </c>
      <c r="Y14" s="212" t="str">
        <f>IFERROR(__xludf.DUMMYFUNCTION("""COMPUTED_VALUE"""),"17th - 19th jan")</f>
        <v>17th - 19th jan</v>
      </c>
      <c r="Z14" s="212" t="str">
        <f>IFERROR(__xludf.DUMMYFUNCTION("""COMPUTED_VALUE"""),"696a22004fe83ac50f2e9866")</f>
        <v>696a22004fe83ac50f2e9866</v>
      </c>
      <c r="AA14" s="287">
        <f>IFERROR(__xludf.DUMMYFUNCTION("""COMPUTED_VALUE"""),6.0)</f>
        <v>6</v>
      </c>
      <c r="AB14" s="213"/>
      <c r="AC14" s="213">
        <f>IFERROR(__xludf.DUMMYFUNCTION("""COMPUTED_VALUE"""),6.0)</f>
        <v>6</v>
      </c>
      <c r="AD14" s="213">
        <f>IFERROR(__xludf.DUMMYFUNCTION("""COMPUTED_VALUE"""),100693.0)</f>
        <v>100693</v>
      </c>
      <c r="AE14" s="213"/>
      <c r="AF14" s="213">
        <f>IFERROR(__xludf.DUMMYFUNCTION("""COMPUTED_VALUE"""),100693.0)</f>
        <v>100693</v>
      </c>
      <c r="AG14" s="282"/>
      <c r="AH14" s="282"/>
      <c r="AI14" s="282"/>
      <c r="AJ14" s="282"/>
      <c r="AK14" s="282"/>
      <c r="AL14" s="282"/>
      <c r="AM14" s="282"/>
      <c r="AN14" s="282"/>
      <c r="AO14" s="282"/>
      <c r="AP14" s="282"/>
      <c r="AQ14" s="282"/>
      <c r="AR14" s="282"/>
      <c r="AS14" s="282"/>
      <c r="AT14" s="282"/>
      <c r="AU14" s="282"/>
      <c r="AV14" s="282"/>
      <c r="AW14" s="282"/>
      <c r="AX14" s="282"/>
      <c r="AY14" s="282"/>
      <c r="AZ14" s="282"/>
    </row>
    <row r="15" hidden="1">
      <c r="A15" s="209">
        <f>IFERROR(__xludf.DUMMYFUNCTION("""COMPUTED_VALUE"""),46039.0)</f>
        <v>46039</v>
      </c>
      <c r="B15" s="247">
        <f>IFERROR(__xludf.DUMMYFUNCTION("""COMPUTED_VALUE"""),0.4166666666678793)</f>
        <v>0.4166666667</v>
      </c>
      <c r="C15" s="218" t="str">
        <f>IFERROR(__xludf.DUMMYFUNCTION("""COMPUTED_VALUE"""),"Whatsapp")</f>
        <v>Whatsapp</v>
      </c>
      <c r="D15" s="218" t="str">
        <f>IFERROR(__xludf.DUMMYFUNCTION("""COMPUTED_VALUE"""),"Promotional")</f>
        <v>Promotional</v>
      </c>
      <c r="E15" s="218" t="str">
        <f>IFERROR(__xludf.DUMMYFUNCTION("""COMPUTED_VALUE"""),"CK")</f>
        <v>CK</v>
      </c>
      <c r="F15" s="218" t="str">
        <f>IFERROR(__xludf.DUMMYFUNCTION("""COMPUTED_VALUE"""),"Upto 50%")</f>
        <v>Upto 50%</v>
      </c>
      <c r="G15" s="218" t="str">
        <f>IFERROR(__xludf.DUMMYFUNCTION("""COMPUTED_VALUE"""),"Further reductions_upto 50% off_2")</f>
        <v>Further reductions_upto 50% off_2</v>
      </c>
      <c r="H15" s="218" t="str">
        <f>IFERROR(__xludf.DUMMYFUNCTION("""COMPUTED_VALUE"""),"ck_on_pr_last_36mnths_gen_25_Nov OR ck_off_pr_last_36mnths_gen_25_Nov OR AGIPL_Internal")</f>
        <v>ck_on_pr_last_36mnths_gen_25_Nov OR ck_off_pr_last_36mnths_gen_25_Nov OR AGIPL_Internal</v>
      </c>
      <c r="I15" s="218" t="str">
        <f>IFERROR(__xludf.DUMMYFUNCTION("""COMPUTED_VALUE"""),"Customers who have purchased atleast 1 time in the last 36 months with txn channel online AND exclude the event buyers segment  Customers who have purchased in the last 86 days with txn channel offline and Excluding the event buyers segment")</f>
        <v>Customers who have purchased atleast 1 time in the last 36 months with txn channel online AND exclude the event buyers segment  Customers who have purchased in the last 86 days with txn channel offline and Excluding the event buyers segment</v>
      </c>
      <c r="J15" s="213">
        <f>IFERROR(__xludf.DUMMYFUNCTION("""COMPUTED_VALUE"""),39713.0)</f>
        <v>39713</v>
      </c>
      <c r="K15" s="213">
        <f>IFERROR(__xludf.DUMMYFUNCTION("""COMPUTED_VALUE"""),11239.0)</f>
        <v>11239</v>
      </c>
      <c r="L15" s="214">
        <f>IFERROR(__xludf.DUMMYFUNCTION("""COMPUTED_VALUE"""),0.283)</f>
        <v>0.283</v>
      </c>
      <c r="M15" s="213">
        <f>IFERROR(__xludf.DUMMYFUNCTION("""COMPUTED_VALUE"""),3975.0)</f>
        <v>3975</v>
      </c>
      <c r="N15" s="214">
        <f>IFERROR(__xludf.DUMMYFUNCTION("""COMPUTED_VALUE"""),0.3537)</f>
        <v>0.3537</v>
      </c>
      <c r="O15" s="213">
        <f>IFERROR(__xludf.DUMMYFUNCTION("""COMPUTED_VALUE"""),346.0)</f>
        <v>346</v>
      </c>
      <c r="P15" s="213">
        <f>IFERROR(__xludf.DUMMYFUNCTION("""COMPUTED_VALUE"""),322.0)</f>
        <v>322</v>
      </c>
      <c r="Q15" s="214">
        <f>IFERROR(__xludf.DUMMYFUNCTION("""COMPUTED_VALUE"""),0.0287)</f>
        <v>0.0287</v>
      </c>
      <c r="R15" s="214">
        <f>IFERROR(__xludf.DUMMYFUNCTION("""COMPUTED_VALUE"""),0.081)</f>
        <v>0.081</v>
      </c>
      <c r="S15" s="270"/>
      <c r="T15" s="270"/>
      <c r="U15" s="270"/>
      <c r="V15" s="101" t="str">
        <f>IFERROR(__xludf.DUMMYFUNCTION("""COMPUTED_VALUE"""),"overall")</f>
        <v>overall</v>
      </c>
      <c r="W15" s="101" t="str">
        <f>IFERROR(__xludf.DUMMYFUNCTION("""COMPUTED_VALUE"""),"simple")</f>
        <v>simple</v>
      </c>
      <c r="X15" s="212" t="str">
        <f>IFERROR(__xludf.DUMMYFUNCTION("""COMPUTED_VALUE"""),"Recent")</f>
        <v>Recent</v>
      </c>
      <c r="Y15" s="212" t="str">
        <f>IFERROR(__xludf.DUMMYFUNCTION("""COMPUTED_VALUE"""),"17th - 19th jan")</f>
        <v>17th - 19th jan</v>
      </c>
      <c r="Z15" s="212" t="str">
        <f>IFERROR(__xludf.DUMMYFUNCTION("""COMPUTED_VALUE"""),"696a2241a5cb093ca4d46b6a")</f>
        <v>696a2241a5cb093ca4d46b6a</v>
      </c>
      <c r="AA15" s="287">
        <f>IFERROR(__xludf.DUMMYFUNCTION("""COMPUTED_VALUE"""),16.0)</f>
        <v>16</v>
      </c>
      <c r="AB15" s="213"/>
      <c r="AC15" s="213">
        <f>IFERROR(__xludf.DUMMYFUNCTION("""COMPUTED_VALUE"""),16.0)</f>
        <v>16</v>
      </c>
      <c r="AD15" s="213">
        <f>IFERROR(__xludf.DUMMYFUNCTION("""COMPUTED_VALUE"""),170882.0)</f>
        <v>170882</v>
      </c>
      <c r="AE15" s="213"/>
      <c r="AF15" s="213">
        <f>IFERROR(__xludf.DUMMYFUNCTION("""COMPUTED_VALUE"""),170882.0)</f>
        <v>170882</v>
      </c>
      <c r="AG15" s="282"/>
      <c r="AH15" s="282"/>
      <c r="AI15" s="282"/>
      <c r="AJ15" s="282"/>
      <c r="AK15" s="282"/>
      <c r="AL15" s="282"/>
      <c r="AM15" s="282"/>
      <c r="AN15" s="282"/>
      <c r="AO15" s="282"/>
      <c r="AP15" s="282"/>
      <c r="AQ15" s="282"/>
      <c r="AR15" s="282"/>
      <c r="AS15" s="282"/>
      <c r="AT15" s="282"/>
      <c r="AU15" s="282"/>
      <c r="AV15" s="282"/>
      <c r="AW15" s="282"/>
      <c r="AX15" s="282"/>
      <c r="AY15" s="282"/>
      <c r="AZ15" s="282"/>
    </row>
    <row r="16" hidden="1">
      <c r="A16" s="209">
        <f>IFERROR(__xludf.DUMMYFUNCTION("""COMPUTED_VALUE"""),46039.0)</f>
        <v>46039</v>
      </c>
      <c r="B16" s="247">
        <f>IFERROR(__xludf.DUMMYFUNCTION("""COMPUTED_VALUE"""),0.4166666666678793)</f>
        <v>0.4166666667</v>
      </c>
      <c r="C16" s="218" t="str">
        <f>IFERROR(__xludf.DUMMYFUNCTION("""COMPUTED_VALUE"""),"Whatsapp")</f>
        <v>Whatsapp</v>
      </c>
      <c r="D16" s="218" t="str">
        <f>IFERROR(__xludf.DUMMYFUNCTION("""COMPUTED_VALUE"""),"Promotional")</f>
        <v>Promotional</v>
      </c>
      <c r="E16" s="218" t="str">
        <f>IFERROR(__xludf.DUMMYFUNCTION("""COMPUTED_VALUE"""),"CK")</f>
        <v>CK</v>
      </c>
      <c r="F16" s="218" t="str">
        <f>IFERROR(__xludf.DUMMYFUNCTION("""COMPUTED_VALUE"""),"Upto 50%")</f>
        <v>Upto 50%</v>
      </c>
      <c r="G16" s="218" t="str">
        <f>IFERROR(__xludf.DUMMYFUNCTION("""COMPUTED_VALUE"""),"Further reductions_upto 50% off_3")</f>
        <v>Further reductions_upto 50% off_3</v>
      </c>
      <c r="H16" s="218" t="str">
        <f>IFERROR(__xludf.DUMMYFUNCTION("""COMPUTED_VALUE"""),"Dormant Base Overall 19th Dec")</f>
        <v>Dormant Base Overall 19th Dec</v>
      </c>
      <c r="I16" s="218" t="str">
        <f>IFERROR(__xludf.DUMMYFUNCTION("""COMPUTED_VALUE"""),"Custom upload")</f>
        <v>Custom upload</v>
      </c>
      <c r="J16" s="213">
        <f>IFERROR(__xludf.DUMMYFUNCTION("""COMPUTED_VALUE"""),208864.0)</f>
        <v>208864</v>
      </c>
      <c r="K16" s="213">
        <f>IFERROR(__xludf.DUMMYFUNCTION("""COMPUTED_VALUE"""),69367.0)</f>
        <v>69367</v>
      </c>
      <c r="L16" s="214">
        <f>IFERROR(__xludf.DUMMYFUNCTION("""COMPUTED_VALUE"""),0.3321)</f>
        <v>0.3321</v>
      </c>
      <c r="M16" s="213">
        <f>IFERROR(__xludf.DUMMYFUNCTION("""COMPUTED_VALUE"""),22865.0)</f>
        <v>22865</v>
      </c>
      <c r="N16" s="214">
        <f>IFERROR(__xludf.DUMMYFUNCTION("""COMPUTED_VALUE"""),0.3296)</f>
        <v>0.3296</v>
      </c>
      <c r="O16" s="213">
        <f>IFERROR(__xludf.DUMMYFUNCTION("""COMPUTED_VALUE"""),1690.0)</f>
        <v>1690</v>
      </c>
      <c r="P16" s="213">
        <f>IFERROR(__xludf.DUMMYFUNCTION("""COMPUTED_VALUE"""),1591.0)</f>
        <v>1591</v>
      </c>
      <c r="Q16" s="214">
        <f>IFERROR(__xludf.DUMMYFUNCTION("""COMPUTED_VALUE"""),0.0229)</f>
        <v>0.0229</v>
      </c>
      <c r="R16" s="214">
        <f>IFERROR(__xludf.DUMMYFUNCTION("""COMPUTED_VALUE"""),0.0696)</f>
        <v>0.0696</v>
      </c>
      <c r="S16" s="270"/>
      <c r="T16" s="270"/>
      <c r="U16" s="270"/>
      <c r="V16" s="101" t="str">
        <f>IFERROR(__xludf.DUMMYFUNCTION("""COMPUTED_VALUE"""),"overall")</f>
        <v>overall</v>
      </c>
      <c r="W16" s="101" t="str">
        <f>IFERROR(__xludf.DUMMYFUNCTION("""COMPUTED_VALUE"""),"simple")</f>
        <v>simple</v>
      </c>
      <c r="X16" s="212" t="str">
        <f>IFERROR(__xludf.DUMMYFUNCTION("""COMPUTED_VALUE"""),"Dormant")</f>
        <v>Dormant</v>
      </c>
      <c r="Y16" s="212" t="str">
        <f>IFERROR(__xludf.DUMMYFUNCTION("""COMPUTED_VALUE"""),"17th - 19th jan")</f>
        <v>17th - 19th jan</v>
      </c>
      <c r="Z16" s="212" t="str">
        <f>IFERROR(__xludf.DUMMYFUNCTION("""COMPUTED_VALUE"""),"696a2263e5e2cc58bf2bf38a")</f>
        <v>696a2263e5e2cc58bf2bf38a</v>
      </c>
      <c r="AA16" s="287">
        <f>IFERROR(__xludf.DUMMYFUNCTION("""COMPUTED_VALUE"""),83.0)</f>
        <v>83</v>
      </c>
      <c r="AB16" s="213"/>
      <c r="AC16" s="213">
        <f>IFERROR(__xludf.DUMMYFUNCTION("""COMPUTED_VALUE"""),83.0)</f>
        <v>83</v>
      </c>
      <c r="AD16" s="213">
        <f>IFERROR(__xludf.DUMMYFUNCTION("""COMPUTED_VALUE"""),946010.0)</f>
        <v>946010</v>
      </c>
      <c r="AE16" s="213"/>
      <c r="AF16" s="213">
        <f>IFERROR(__xludf.DUMMYFUNCTION("""COMPUTED_VALUE"""),946010.0)</f>
        <v>946010</v>
      </c>
      <c r="AG16" s="282"/>
      <c r="AH16" s="282"/>
      <c r="AI16" s="282"/>
      <c r="AJ16" s="282"/>
      <c r="AK16" s="282"/>
      <c r="AL16" s="282"/>
      <c r="AM16" s="282"/>
      <c r="AN16" s="282"/>
      <c r="AO16" s="282"/>
      <c r="AP16" s="282"/>
      <c r="AQ16" s="282"/>
      <c r="AR16" s="282"/>
      <c r="AS16" s="282"/>
      <c r="AT16" s="282"/>
      <c r="AU16" s="282"/>
      <c r="AV16" s="282"/>
      <c r="AW16" s="282"/>
      <c r="AX16" s="282"/>
      <c r="AY16" s="282"/>
      <c r="AZ16" s="282"/>
    </row>
    <row r="17" hidden="1">
      <c r="A17" s="209">
        <f>IFERROR(__xludf.DUMMYFUNCTION("""COMPUTED_VALUE"""),46039.0)</f>
        <v>46039</v>
      </c>
      <c r="B17" s="247">
        <f>IFERROR(__xludf.DUMMYFUNCTION("""COMPUTED_VALUE"""),0.5)</f>
        <v>0.5</v>
      </c>
      <c r="C17" s="218" t="str">
        <f>IFERROR(__xludf.DUMMYFUNCTION("""COMPUTED_VALUE"""),"Sms")</f>
        <v>Sms</v>
      </c>
      <c r="D17" s="218" t="str">
        <f>IFERROR(__xludf.DUMMYFUNCTION("""COMPUTED_VALUE"""),"Fallback Campaign")</f>
        <v>Fallback Campaign</v>
      </c>
      <c r="E17" s="218" t="str">
        <f>IFERROR(__xludf.DUMMYFUNCTION("""COMPUTED_VALUE"""),"CK")</f>
        <v>CK</v>
      </c>
      <c r="F17" s="218" t="str">
        <f>IFERROR(__xludf.DUMMYFUNCTION("""COMPUTED_VALUE"""),"Upto 50%")</f>
        <v>Upto 50%</v>
      </c>
      <c r="G17" s="218" t="str">
        <f>IFERROR(__xludf.DUMMYFUNCTION("""COMPUTED_VALUE"""),"Further reductions_upto 50% off_1-Fallback")</f>
        <v>Further reductions_upto 50% off_1-Fallback</v>
      </c>
      <c r="H17" s="218" t="str">
        <f>IFERROR(__xludf.DUMMYFUNCTION("""COMPUTED_VALUE"""),"ck_on_pr_evntbuyers_bfs_25_Nov OR ck_off_pr_evntbuyers_bfs_25_Nov")</f>
        <v>ck_on_pr_evntbuyers_bfs_25_Nov OR ck_off_pr_evntbuyers_bfs_25_Nov</v>
      </c>
      <c r="I17" s="218" t="str">
        <f>IFERROR(__xludf.DUMMYFUNCTION("""COMPUTED_VALUE"""),"WA Undelivered")</f>
        <v>WA Undelivered</v>
      </c>
      <c r="J17" s="213">
        <f>IFERROR(__xludf.DUMMYFUNCTION("""COMPUTED_VALUE"""),7144.0)</f>
        <v>7144</v>
      </c>
      <c r="K17" s="213">
        <f>IFERROR(__xludf.DUMMYFUNCTION("""COMPUTED_VALUE"""),3901.0)</f>
        <v>3901</v>
      </c>
      <c r="L17" s="214">
        <f>IFERROR(__xludf.DUMMYFUNCTION("""COMPUTED_VALUE"""),0.5461)</f>
        <v>0.5461</v>
      </c>
      <c r="M17" s="213"/>
      <c r="N17" s="214"/>
      <c r="O17" s="213">
        <f>IFERROR(__xludf.DUMMYFUNCTION("""COMPUTED_VALUE"""),0.0)</f>
        <v>0</v>
      </c>
      <c r="P17" s="213"/>
      <c r="Q17" s="214">
        <f>IFERROR(__xludf.DUMMYFUNCTION("""COMPUTED_VALUE"""),0.0)</f>
        <v>0</v>
      </c>
      <c r="R17" s="214"/>
      <c r="S17" s="270"/>
      <c r="T17" s="270"/>
      <c r="U17" s="270"/>
      <c r="V17" s="101" t="str">
        <f>IFERROR(__xludf.DUMMYFUNCTION("""COMPUTED_VALUE"""),"overall")</f>
        <v>overall</v>
      </c>
      <c r="W17" s="101" t="str">
        <f>IFERROR(__xludf.DUMMYFUNCTION("""COMPUTED_VALUE"""),"SMS")</f>
        <v>SMS</v>
      </c>
      <c r="X17" s="212" t="str">
        <f>IFERROR(__xludf.DUMMYFUNCTION("""COMPUTED_VALUE"""),"Event Buyers")</f>
        <v>Event Buyers</v>
      </c>
      <c r="Y17" s="212" t="str">
        <f>IFERROR(__xludf.DUMMYFUNCTION("""COMPUTED_VALUE"""),"17th - 19th jan")</f>
        <v>17th - 19th jan</v>
      </c>
      <c r="Z17" s="212" t="str">
        <f>IFERROR(__xludf.DUMMYFUNCTION("""COMPUTED_VALUE"""),"696a272d5ffac82526163dc2")</f>
        <v>696a272d5ffac82526163dc2</v>
      </c>
      <c r="AA17" s="287">
        <f>IFERROR(__xludf.DUMMYFUNCTION("""COMPUTED_VALUE"""),12.0)</f>
        <v>12</v>
      </c>
      <c r="AB17" s="213"/>
      <c r="AC17" s="213">
        <f>IFERROR(__xludf.DUMMYFUNCTION("""COMPUTED_VALUE"""),12.0)</f>
        <v>12</v>
      </c>
      <c r="AD17" s="213">
        <f>IFERROR(__xludf.DUMMYFUNCTION("""COMPUTED_VALUE"""),109189.0)</f>
        <v>109189</v>
      </c>
      <c r="AE17" s="213"/>
      <c r="AF17" s="213">
        <f>IFERROR(__xludf.DUMMYFUNCTION("""COMPUTED_VALUE"""),109189.0)</f>
        <v>109189</v>
      </c>
      <c r="AG17" s="282"/>
      <c r="AH17" s="282"/>
      <c r="AI17" s="282"/>
      <c r="AJ17" s="282"/>
      <c r="AK17" s="282"/>
      <c r="AL17" s="282"/>
      <c r="AM17" s="282"/>
      <c r="AN17" s="282"/>
      <c r="AO17" s="282"/>
      <c r="AP17" s="282"/>
      <c r="AQ17" s="282"/>
      <c r="AR17" s="282"/>
      <c r="AS17" s="282"/>
      <c r="AT17" s="282"/>
      <c r="AU17" s="282"/>
      <c r="AV17" s="282"/>
      <c r="AW17" s="282"/>
      <c r="AX17" s="282"/>
      <c r="AY17" s="282"/>
      <c r="AZ17" s="282"/>
    </row>
    <row r="18" hidden="1">
      <c r="A18" s="209">
        <f>IFERROR(__xludf.DUMMYFUNCTION("""COMPUTED_VALUE"""),46039.0)</f>
        <v>46039</v>
      </c>
      <c r="B18" s="247">
        <f>IFERROR(__xludf.DUMMYFUNCTION("""COMPUTED_VALUE"""),0.5)</f>
        <v>0.5</v>
      </c>
      <c r="C18" s="218" t="str">
        <f>IFERROR(__xludf.DUMMYFUNCTION("""COMPUTED_VALUE"""),"Sms")</f>
        <v>Sms</v>
      </c>
      <c r="D18" s="218" t="str">
        <f>IFERROR(__xludf.DUMMYFUNCTION("""COMPUTED_VALUE"""),"Fallback Campaign")</f>
        <v>Fallback Campaign</v>
      </c>
      <c r="E18" s="218" t="str">
        <f>IFERROR(__xludf.DUMMYFUNCTION("""COMPUTED_VALUE"""),"CK")</f>
        <v>CK</v>
      </c>
      <c r="F18" s="218" t="str">
        <f>IFERROR(__xludf.DUMMYFUNCTION("""COMPUTED_VALUE"""),"Upto 50%")</f>
        <v>Upto 50%</v>
      </c>
      <c r="G18" s="218" t="str">
        <f>IFERROR(__xludf.DUMMYFUNCTION("""COMPUTED_VALUE"""),"Further reductions_upto 50% off_2_Fallback")</f>
        <v>Further reductions_upto 50% off_2_Fallback</v>
      </c>
      <c r="H18" s="218" t="str">
        <f>IFERROR(__xludf.DUMMYFUNCTION("""COMPUTED_VALUE"""),"ck_on_pr_last_36mnths_gen_25_Nov OR ck_off_pr_last_36mnths_gen_25_Nov OR AGIPL_Internal")</f>
        <v>ck_on_pr_last_36mnths_gen_25_Nov OR ck_off_pr_last_36mnths_gen_25_Nov OR AGIPL_Internal</v>
      </c>
      <c r="I18" s="218" t="str">
        <f>IFERROR(__xludf.DUMMYFUNCTION("""COMPUTED_VALUE"""),"WA Undelivered")</f>
        <v>WA Undelivered</v>
      </c>
      <c r="J18" s="213">
        <f>IFERROR(__xludf.DUMMYFUNCTION("""COMPUTED_VALUE"""),27854.0)</f>
        <v>27854</v>
      </c>
      <c r="K18" s="213">
        <f>IFERROR(__xludf.DUMMYFUNCTION("""COMPUTED_VALUE"""),15583.0)</f>
        <v>15583</v>
      </c>
      <c r="L18" s="214">
        <f>IFERROR(__xludf.DUMMYFUNCTION("""COMPUTED_VALUE"""),0.5595)</f>
        <v>0.5595</v>
      </c>
      <c r="M18" s="213"/>
      <c r="N18" s="214"/>
      <c r="O18" s="213">
        <f>IFERROR(__xludf.DUMMYFUNCTION("""COMPUTED_VALUE"""),0.0)</f>
        <v>0</v>
      </c>
      <c r="P18" s="213"/>
      <c r="Q18" s="214">
        <f>IFERROR(__xludf.DUMMYFUNCTION("""COMPUTED_VALUE"""),0.0)</f>
        <v>0</v>
      </c>
      <c r="R18" s="214"/>
      <c r="S18" s="270"/>
      <c r="T18" s="270"/>
      <c r="U18" s="270"/>
      <c r="V18" s="101" t="str">
        <f>IFERROR(__xludf.DUMMYFUNCTION("""COMPUTED_VALUE"""),"overall")</f>
        <v>overall</v>
      </c>
      <c r="W18" s="101" t="str">
        <f>IFERROR(__xludf.DUMMYFUNCTION("""COMPUTED_VALUE"""),"SMS")</f>
        <v>SMS</v>
      </c>
      <c r="X18" s="212" t="str">
        <f>IFERROR(__xludf.DUMMYFUNCTION("""COMPUTED_VALUE"""),"Recent")</f>
        <v>Recent</v>
      </c>
      <c r="Y18" s="212" t="str">
        <f>IFERROR(__xludf.DUMMYFUNCTION("""COMPUTED_VALUE"""),"17th - 19th jan")</f>
        <v>17th - 19th jan</v>
      </c>
      <c r="Z18" s="212" t="str">
        <f>IFERROR(__xludf.DUMMYFUNCTION("""COMPUTED_VALUE"""),"696a27452a8c5e83d29947e6")</f>
        <v>696a27452a8c5e83d29947e6</v>
      </c>
      <c r="AA18" s="287">
        <f>IFERROR(__xludf.DUMMYFUNCTION("""COMPUTED_VALUE"""),25.0)</f>
        <v>25</v>
      </c>
      <c r="AB18" s="213"/>
      <c r="AC18" s="213">
        <f>IFERROR(__xludf.DUMMYFUNCTION("""COMPUTED_VALUE"""),25.0)</f>
        <v>25</v>
      </c>
      <c r="AD18" s="213">
        <f>IFERROR(__xludf.DUMMYFUNCTION("""COMPUTED_VALUE"""),403658.0)</f>
        <v>403658</v>
      </c>
      <c r="AE18" s="213"/>
      <c r="AF18" s="213">
        <f>IFERROR(__xludf.DUMMYFUNCTION("""COMPUTED_VALUE"""),403658.0)</f>
        <v>403658</v>
      </c>
      <c r="AG18" s="282"/>
      <c r="AH18" s="282"/>
      <c r="AI18" s="282"/>
      <c r="AJ18" s="282"/>
      <c r="AK18" s="282"/>
      <c r="AL18" s="282"/>
      <c r="AM18" s="282"/>
      <c r="AN18" s="282"/>
      <c r="AO18" s="282"/>
      <c r="AP18" s="282"/>
      <c r="AQ18" s="282"/>
      <c r="AR18" s="282"/>
      <c r="AS18" s="282"/>
      <c r="AT18" s="282"/>
      <c r="AU18" s="282"/>
      <c r="AV18" s="282"/>
      <c r="AW18" s="282"/>
      <c r="AX18" s="282"/>
      <c r="AY18" s="282"/>
      <c r="AZ18" s="282"/>
    </row>
    <row r="19" hidden="1">
      <c r="A19" s="209">
        <f>IFERROR(__xludf.DUMMYFUNCTION("""COMPUTED_VALUE"""),46039.0)</f>
        <v>46039</v>
      </c>
      <c r="B19" s="247">
        <f>IFERROR(__xludf.DUMMYFUNCTION("""COMPUTED_VALUE"""),0.5)</f>
        <v>0.5</v>
      </c>
      <c r="C19" s="218" t="str">
        <f>IFERROR(__xludf.DUMMYFUNCTION("""COMPUTED_VALUE"""),"Sms")</f>
        <v>Sms</v>
      </c>
      <c r="D19" s="218" t="str">
        <f>IFERROR(__xludf.DUMMYFUNCTION("""COMPUTED_VALUE"""),"Fallback Campaign")</f>
        <v>Fallback Campaign</v>
      </c>
      <c r="E19" s="218" t="str">
        <f>IFERROR(__xludf.DUMMYFUNCTION("""COMPUTED_VALUE"""),"CK")</f>
        <v>CK</v>
      </c>
      <c r="F19" s="218" t="str">
        <f>IFERROR(__xludf.DUMMYFUNCTION("""COMPUTED_VALUE"""),"Upto 50%")</f>
        <v>Upto 50%</v>
      </c>
      <c r="G19" s="218" t="str">
        <f>IFERROR(__xludf.DUMMYFUNCTION("""COMPUTED_VALUE"""),"Further reductions_upto 50% off_3_fallback")</f>
        <v>Further reductions_upto 50% off_3_fallback</v>
      </c>
      <c r="H19" s="218" t="str">
        <f>IFERROR(__xludf.DUMMYFUNCTION("""COMPUTED_VALUE"""),"Dormant Base Overall 19th Dec")</f>
        <v>Dormant Base Overall 19th Dec</v>
      </c>
      <c r="I19" s="218" t="str">
        <f>IFERROR(__xludf.DUMMYFUNCTION("""COMPUTED_VALUE"""),"WA Undelivered")</f>
        <v>WA Undelivered</v>
      </c>
      <c r="J19" s="213">
        <f>IFERROR(__xludf.DUMMYFUNCTION("""COMPUTED_VALUE"""),136538.0)</f>
        <v>136538</v>
      </c>
      <c r="K19" s="213">
        <f>IFERROR(__xludf.DUMMYFUNCTION("""COMPUTED_VALUE"""),75727.0)</f>
        <v>75727</v>
      </c>
      <c r="L19" s="214">
        <f>IFERROR(__xludf.DUMMYFUNCTION("""COMPUTED_VALUE"""),0.5546)</f>
        <v>0.5546</v>
      </c>
      <c r="M19" s="213"/>
      <c r="N19" s="214"/>
      <c r="O19" s="213">
        <f>IFERROR(__xludf.DUMMYFUNCTION("""COMPUTED_VALUE"""),0.0)</f>
        <v>0</v>
      </c>
      <c r="P19" s="213"/>
      <c r="Q19" s="214">
        <f>IFERROR(__xludf.DUMMYFUNCTION("""COMPUTED_VALUE"""),0.0)</f>
        <v>0</v>
      </c>
      <c r="R19" s="214"/>
      <c r="S19" s="270"/>
      <c r="T19" s="270"/>
      <c r="U19" s="270"/>
      <c r="V19" s="101" t="str">
        <f>IFERROR(__xludf.DUMMYFUNCTION("""COMPUTED_VALUE"""),"overall")</f>
        <v>overall</v>
      </c>
      <c r="W19" s="101" t="str">
        <f>IFERROR(__xludf.DUMMYFUNCTION("""COMPUTED_VALUE"""),"SMS")</f>
        <v>SMS</v>
      </c>
      <c r="X19" s="212" t="str">
        <f>IFERROR(__xludf.DUMMYFUNCTION("""COMPUTED_VALUE"""),"Dormant")</f>
        <v>Dormant</v>
      </c>
      <c r="Y19" s="212" t="str">
        <f>IFERROR(__xludf.DUMMYFUNCTION("""COMPUTED_VALUE"""),"17th - 19th jan")</f>
        <v>17th - 19th jan</v>
      </c>
      <c r="Z19" s="212" t="str">
        <f>IFERROR(__xludf.DUMMYFUNCTION("""COMPUTED_VALUE"""),"696a2767627e3f3baf82008b")</f>
        <v>696a2767627e3f3baf82008b</v>
      </c>
      <c r="AA19" s="287">
        <f>IFERROR(__xludf.DUMMYFUNCTION("""COMPUTED_VALUE"""),116.0)</f>
        <v>116</v>
      </c>
      <c r="AB19" s="213"/>
      <c r="AC19" s="213">
        <f>IFERROR(__xludf.DUMMYFUNCTION("""COMPUTED_VALUE"""),116.0)</f>
        <v>116</v>
      </c>
      <c r="AD19" s="213">
        <f>IFERROR(__xludf.DUMMYFUNCTION("""COMPUTED_VALUE"""),1472059.0)</f>
        <v>1472059</v>
      </c>
      <c r="AE19" s="213"/>
      <c r="AF19" s="213">
        <f>IFERROR(__xludf.DUMMYFUNCTION("""COMPUTED_VALUE"""),1472059.0)</f>
        <v>1472059</v>
      </c>
      <c r="AG19" s="282"/>
      <c r="AH19" s="282"/>
      <c r="AI19" s="282"/>
      <c r="AJ19" s="282"/>
      <c r="AK19" s="282"/>
      <c r="AL19" s="282"/>
      <c r="AM19" s="282"/>
      <c r="AN19" s="282"/>
      <c r="AO19" s="282"/>
      <c r="AP19" s="282"/>
      <c r="AQ19" s="282"/>
      <c r="AR19" s="282"/>
      <c r="AS19" s="282"/>
      <c r="AT19" s="282"/>
      <c r="AU19" s="282"/>
      <c r="AV19" s="282"/>
      <c r="AW19" s="282"/>
      <c r="AX19" s="282"/>
      <c r="AY19" s="282"/>
      <c r="AZ19" s="282"/>
    </row>
    <row r="20" hidden="1">
      <c r="A20" s="209">
        <f>IFERROR(__xludf.DUMMYFUNCTION("""COMPUTED_VALUE"""),46046.0)</f>
        <v>46046</v>
      </c>
      <c r="B20" s="247">
        <f>IFERROR(__xludf.DUMMYFUNCTION("""COMPUTED_VALUE"""),0.4166666666678793)</f>
        <v>0.4166666667</v>
      </c>
      <c r="C20" s="218" t="str">
        <f>IFERROR(__xludf.DUMMYFUNCTION("""COMPUTED_VALUE"""),"Sms")</f>
        <v>Sms</v>
      </c>
      <c r="D20" s="218" t="str">
        <f>IFERROR(__xludf.DUMMYFUNCTION("""COMPUTED_VALUE"""),"Promotional")</f>
        <v>Promotional</v>
      </c>
      <c r="E20" s="218" t="str">
        <f>IFERROR(__xludf.DUMMYFUNCTION("""COMPUTED_VALUE"""),"CK")</f>
        <v>CK</v>
      </c>
      <c r="F20" s="218" t="str">
        <f>IFERROR(__xludf.DUMMYFUNCTION("""COMPUTED_VALUE"""),"ESS")</f>
        <v>ESS</v>
      </c>
      <c r="G20" s="218" t="str">
        <f>IFERROR(__xludf.DUMMYFUNCTION("""COMPUTED_VALUE"""),"Last chance_24th Jan_1")</f>
        <v>Last chance_24th Jan_1</v>
      </c>
      <c r="H20" s="218" t="str">
        <f>IFERROR(__xludf.DUMMYFUNCTION("""COMPUTED_VALUE"""),"ck_on_pr_evntbuyers_bfs_25_Nov
ck_off_pr_evntbuyers_bfs_25_Nov")</f>
        <v>ck_on_pr_evntbuyers_bfs_25_Nov
ck_off_pr_evntbuyers_bfs_25_Nov</v>
      </c>
      <c r="I20" s="218" t="str">
        <f>IFERROR(__xludf.DUMMYFUNCTION("""COMPUTED_VALUE"""),"Customers who have purchased from 22nd Nov 2023 to 27th Nov 2023 with txn channel online OR 27th Nov 2024 to 2nd Dec 2024 with txn channel online.
Customers who have purchased from 22nd Nov 2023 to 27th Nov 2023 with txn channel offline OR 27th Nov 2024 t"&amp;"o 2nd Dec 2024 with txn channel offline OR 26th Nov 2025 to 1st Dec 2025 with txn channel offline")</f>
        <v>Customers who have purchased from 22nd Nov 2023 to 27th Nov 2023 with txn channel online OR 27th Nov 2024 to 2nd Dec 2024 with txn channel online.
Customers who have purchased from 22nd Nov 2023 to 27th Nov 2023 with txn channel offline OR 27th Nov 2024 to 2nd Dec 2024 with txn channel offline OR 26th Nov 2025 to 1st Dec 2025 with txn channel offline</v>
      </c>
      <c r="J20" s="213">
        <f>IFERROR(__xludf.DUMMYFUNCTION("""COMPUTED_VALUE"""),10129.0)</f>
        <v>10129</v>
      </c>
      <c r="K20" s="213">
        <f>IFERROR(__xludf.DUMMYFUNCTION("""COMPUTED_VALUE"""),5671.0)</f>
        <v>5671</v>
      </c>
      <c r="L20" s="214">
        <f>IFERROR(__xludf.DUMMYFUNCTION("""COMPUTED_VALUE"""),0.56)</f>
        <v>0.56</v>
      </c>
      <c r="M20" s="213"/>
      <c r="N20" s="214"/>
      <c r="O20" s="213"/>
      <c r="P20" s="213"/>
      <c r="Q20" s="214"/>
      <c r="R20" s="214"/>
      <c r="S20" s="270"/>
      <c r="T20" s="270"/>
      <c r="U20" s="270"/>
      <c r="V20" s="101" t="str">
        <f>IFERROR(__xludf.DUMMYFUNCTION("""COMPUTED_VALUE"""),"overall")</f>
        <v>overall</v>
      </c>
      <c r="W20" s="101" t="str">
        <f>IFERROR(__xludf.DUMMYFUNCTION("""COMPUTED_VALUE"""),"SMS")</f>
        <v>SMS</v>
      </c>
      <c r="X20" s="212" t="str">
        <f>IFERROR(__xludf.DUMMYFUNCTION("""COMPUTED_VALUE"""),"Event Buyers")</f>
        <v>Event Buyers</v>
      </c>
      <c r="Y20" s="212" t="str">
        <f>IFERROR(__xludf.DUMMYFUNCTION("""COMPUTED_VALUE"""),"24-26th January 2026")</f>
        <v>24-26th January 2026</v>
      </c>
      <c r="Z20" s="212" t="str">
        <f>IFERROR(__xludf.DUMMYFUNCTION("""COMPUTED_VALUE"""),"6973244229062daa8e322d18")</f>
        <v>6973244229062daa8e322d18</v>
      </c>
      <c r="AA20" s="287">
        <f>IFERROR(__xludf.DUMMYFUNCTION("""COMPUTED_VALUE"""),12.0)</f>
        <v>12</v>
      </c>
      <c r="AB20" s="213">
        <f>IFERROR(__xludf.DUMMYFUNCTION("""COMPUTED_VALUE"""),0.0)</f>
        <v>0</v>
      </c>
      <c r="AC20" s="213">
        <f>IFERROR(__xludf.DUMMYFUNCTION("""COMPUTED_VALUE"""),12.0)</f>
        <v>12</v>
      </c>
      <c r="AD20" s="213">
        <f>IFERROR(__xludf.DUMMYFUNCTION("""COMPUTED_VALUE"""),170984.0)</f>
        <v>170984</v>
      </c>
      <c r="AE20" s="213">
        <f>IFERROR(__xludf.DUMMYFUNCTION("""COMPUTED_VALUE"""),0.0)</f>
        <v>0</v>
      </c>
      <c r="AF20" s="213">
        <f>IFERROR(__xludf.DUMMYFUNCTION("""COMPUTED_VALUE"""),170984.0)</f>
        <v>170984</v>
      </c>
      <c r="AG20" s="282"/>
      <c r="AH20" s="282"/>
      <c r="AI20" s="282"/>
      <c r="AJ20" s="282"/>
      <c r="AK20" s="282"/>
      <c r="AL20" s="282"/>
      <c r="AM20" s="282"/>
      <c r="AN20" s="282"/>
      <c r="AO20" s="282"/>
      <c r="AP20" s="282"/>
      <c r="AQ20" s="282"/>
      <c r="AR20" s="282"/>
      <c r="AS20" s="282"/>
      <c r="AT20" s="282"/>
      <c r="AU20" s="282"/>
      <c r="AV20" s="282"/>
      <c r="AW20" s="282"/>
      <c r="AX20" s="282"/>
      <c r="AY20" s="282"/>
      <c r="AZ20" s="282"/>
    </row>
    <row r="21" hidden="1">
      <c r="A21" s="209">
        <f>IFERROR(__xludf.DUMMYFUNCTION("""COMPUTED_VALUE"""),46046.0)</f>
        <v>46046</v>
      </c>
      <c r="B21" s="247">
        <f>IFERROR(__xludf.DUMMYFUNCTION("""COMPUTED_VALUE"""),0.4166666666678793)</f>
        <v>0.4166666667</v>
      </c>
      <c r="C21" s="218" t="str">
        <f>IFERROR(__xludf.DUMMYFUNCTION("""COMPUTED_VALUE"""),"Sms")</f>
        <v>Sms</v>
      </c>
      <c r="D21" s="218" t="str">
        <f>IFERROR(__xludf.DUMMYFUNCTION("""COMPUTED_VALUE"""),"Promotional")</f>
        <v>Promotional</v>
      </c>
      <c r="E21" s="218" t="str">
        <f>IFERROR(__xludf.DUMMYFUNCTION("""COMPUTED_VALUE"""),"CK")</f>
        <v>CK</v>
      </c>
      <c r="F21" s="218" t="str">
        <f>IFERROR(__xludf.DUMMYFUNCTION("""COMPUTED_VALUE"""),"ESS")</f>
        <v>ESS</v>
      </c>
      <c r="G21" s="218" t="str">
        <f>IFERROR(__xludf.DUMMYFUNCTION("""COMPUTED_VALUE"""),"Last chance_24th Jan_2")</f>
        <v>Last chance_24th Jan_2</v>
      </c>
      <c r="H21" s="218" t="str">
        <f>IFERROR(__xludf.DUMMYFUNCTION("""COMPUTED_VALUE"""),"ck_off_pr_last_36mnths_gen_25_Nov
ck_on_pr_last_36mnths_gen_25_Nov")</f>
        <v>ck_off_pr_last_36mnths_gen_25_Nov
ck_on_pr_last_36mnths_gen_25_Nov</v>
      </c>
      <c r="I21" s="218" t="str">
        <f>IFERROR(__xludf.DUMMYFUNCTION("""COMPUTED_VALUE"""),"Customers who have purchased atleast 1 time in the last 36 months with txn channel online AND exclude the event buyers segment.
Customers who have purchased in the last 86 days with txn channel offline and Excluding the event buyers segment")</f>
        <v>Customers who have purchased atleast 1 time in the last 36 months with txn channel online AND exclude the event buyers segment.
Customers who have purchased in the last 86 days with txn channel offline and Excluding the event buyers segment</v>
      </c>
      <c r="J21" s="213">
        <f>IFERROR(__xludf.DUMMYFUNCTION("""COMPUTED_VALUE"""),38446.0)</f>
        <v>38446</v>
      </c>
      <c r="K21" s="213">
        <f>IFERROR(__xludf.DUMMYFUNCTION("""COMPUTED_VALUE"""),22022.0)</f>
        <v>22022</v>
      </c>
      <c r="L21" s="214">
        <f>IFERROR(__xludf.DUMMYFUNCTION("""COMPUTED_VALUE"""),0.573)</f>
        <v>0.573</v>
      </c>
      <c r="M21" s="213"/>
      <c r="N21" s="214"/>
      <c r="O21" s="213"/>
      <c r="P21" s="213"/>
      <c r="Q21" s="214"/>
      <c r="R21" s="214"/>
      <c r="S21" s="270"/>
      <c r="T21" s="270"/>
      <c r="U21" s="270"/>
      <c r="V21" s="101" t="str">
        <f>IFERROR(__xludf.DUMMYFUNCTION("""COMPUTED_VALUE"""),"overall")</f>
        <v>overall</v>
      </c>
      <c r="W21" s="101" t="str">
        <f>IFERROR(__xludf.DUMMYFUNCTION("""COMPUTED_VALUE"""),"SMS")</f>
        <v>SMS</v>
      </c>
      <c r="X21" s="212" t="str">
        <f>IFERROR(__xludf.DUMMYFUNCTION("""COMPUTED_VALUE"""),"Recent")</f>
        <v>Recent</v>
      </c>
      <c r="Y21" s="212" t="str">
        <f>IFERROR(__xludf.DUMMYFUNCTION("""COMPUTED_VALUE"""),"24-26th January 2026")</f>
        <v>24-26th January 2026</v>
      </c>
      <c r="Z21" s="212" t="str">
        <f>IFERROR(__xludf.DUMMYFUNCTION("""COMPUTED_VALUE"""),"6973246aa19cd84665ffec58")</f>
        <v>6973246aa19cd84665ffec58</v>
      </c>
      <c r="AA21" s="287">
        <f>IFERROR(__xludf.DUMMYFUNCTION("""COMPUTED_VALUE"""),36.0)</f>
        <v>36</v>
      </c>
      <c r="AB21" s="213">
        <f>IFERROR(__xludf.DUMMYFUNCTION("""COMPUTED_VALUE"""),0.0)</f>
        <v>0</v>
      </c>
      <c r="AC21" s="213">
        <f>IFERROR(__xludf.DUMMYFUNCTION("""COMPUTED_VALUE"""),36.0)</f>
        <v>36</v>
      </c>
      <c r="AD21" s="213">
        <f>IFERROR(__xludf.DUMMYFUNCTION("""COMPUTED_VALUE"""),430459.0)</f>
        <v>430459</v>
      </c>
      <c r="AE21" s="213">
        <f>IFERROR(__xludf.DUMMYFUNCTION("""COMPUTED_VALUE"""),0.0)</f>
        <v>0</v>
      </c>
      <c r="AF21" s="213">
        <f>IFERROR(__xludf.DUMMYFUNCTION("""COMPUTED_VALUE"""),430459.0)</f>
        <v>430459</v>
      </c>
      <c r="AG21" s="282"/>
      <c r="AH21" s="282"/>
      <c r="AI21" s="282"/>
      <c r="AJ21" s="282"/>
      <c r="AK21" s="282"/>
      <c r="AL21" s="282"/>
      <c r="AM21" s="282"/>
      <c r="AN21" s="282"/>
      <c r="AO21" s="282"/>
      <c r="AP21" s="282"/>
      <c r="AQ21" s="282"/>
      <c r="AR21" s="282"/>
      <c r="AS21" s="282"/>
      <c r="AT21" s="282"/>
      <c r="AU21" s="282"/>
      <c r="AV21" s="282"/>
      <c r="AW21" s="282"/>
      <c r="AX21" s="282"/>
      <c r="AY21" s="282"/>
      <c r="AZ21" s="282"/>
    </row>
    <row r="22" hidden="1">
      <c r="A22" s="209">
        <f>IFERROR(__xludf.DUMMYFUNCTION("""COMPUTED_VALUE"""),46046.0)</f>
        <v>46046</v>
      </c>
      <c r="B22" s="247">
        <f>IFERROR(__xludf.DUMMYFUNCTION("""COMPUTED_VALUE"""),0.4166666666678793)</f>
        <v>0.4166666667</v>
      </c>
      <c r="C22" s="218" t="str">
        <f>IFERROR(__xludf.DUMMYFUNCTION("""COMPUTED_VALUE"""),"Sms")</f>
        <v>Sms</v>
      </c>
      <c r="D22" s="218" t="str">
        <f>IFERROR(__xludf.DUMMYFUNCTION("""COMPUTED_VALUE"""),"Promotional")</f>
        <v>Promotional</v>
      </c>
      <c r="E22" s="218" t="str">
        <f>IFERROR(__xludf.DUMMYFUNCTION("""COMPUTED_VALUE"""),"CK")</f>
        <v>CK</v>
      </c>
      <c r="F22" s="218" t="str">
        <f>IFERROR(__xludf.DUMMYFUNCTION("""COMPUTED_VALUE"""),"ESS")</f>
        <v>ESS</v>
      </c>
      <c r="G22" s="218" t="str">
        <f>IFERROR(__xludf.DUMMYFUNCTION("""COMPUTED_VALUE"""),"Last chance_24th Jan_3")</f>
        <v>Last chance_24th Jan_3</v>
      </c>
      <c r="H22" s="218" t="str">
        <f>IFERROR(__xludf.DUMMYFUNCTION("""COMPUTED_VALUE"""),"Dormant Base Overall 19th Dec")</f>
        <v>Dormant Base Overall 19th Dec</v>
      </c>
      <c r="I22" s="218" t="str">
        <f>IFERROR(__xludf.DUMMYFUNCTION("""COMPUTED_VALUE"""),"Custom upload")</f>
        <v>Custom upload</v>
      </c>
      <c r="J22" s="213">
        <f>IFERROR(__xludf.DUMMYFUNCTION("""COMPUTED_VALUE"""),208900.0)</f>
        <v>208900</v>
      </c>
      <c r="K22" s="213">
        <f>IFERROR(__xludf.DUMMYFUNCTION("""COMPUTED_VALUE"""),119430.0)</f>
        <v>119430</v>
      </c>
      <c r="L22" s="214">
        <f>IFERROR(__xludf.DUMMYFUNCTION("""COMPUTED_VALUE"""),0.572)</f>
        <v>0.572</v>
      </c>
      <c r="M22" s="213"/>
      <c r="N22" s="214"/>
      <c r="O22" s="213"/>
      <c r="P22" s="213"/>
      <c r="Q22" s="214"/>
      <c r="R22" s="214"/>
      <c r="S22" s="270"/>
      <c r="T22" s="270"/>
      <c r="U22" s="270"/>
      <c r="V22" s="101" t="str">
        <f>IFERROR(__xludf.DUMMYFUNCTION("""COMPUTED_VALUE"""),"overall")</f>
        <v>overall</v>
      </c>
      <c r="W22" s="101" t="str">
        <f>IFERROR(__xludf.DUMMYFUNCTION("""COMPUTED_VALUE"""),"SMS")</f>
        <v>SMS</v>
      </c>
      <c r="X22" s="212" t="str">
        <f>IFERROR(__xludf.DUMMYFUNCTION("""COMPUTED_VALUE"""),"Dormant")</f>
        <v>Dormant</v>
      </c>
      <c r="Y22" s="212" t="str">
        <f>IFERROR(__xludf.DUMMYFUNCTION("""COMPUTED_VALUE"""),"24-26th January 2026")</f>
        <v>24-26th January 2026</v>
      </c>
      <c r="Z22" s="212" t="str">
        <f>IFERROR(__xludf.DUMMYFUNCTION("""COMPUTED_VALUE"""),"69732491bcd1ef9e94ec5f22")</f>
        <v>69732491bcd1ef9e94ec5f22</v>
      </c>
      <c r="AA22" s="287">
        <f>IFERROR(__xludf.DUMMYFUNCTION("""COMPUTED_VALUE"""),163.0)</f>
        <v>163</v>
      </c>
      <c r="AB22" s="213"/>
      <c r="AC22" s="213">
        <f>IFERROR(__xludf.DUMMYFUNCTION("""COMPUTED_VALUE"""),163.0)</f>
        <v>163</v>
      </c>
      <c r="AD22" s="213">
        <f>IFERROR(__xludf.DUMMYFUNCTION("""COMPUTED_VALUE"""),2046404.0)</f>
        <v>2046404</v>
      </c>
      <c r="AE22" s="213"/>
      <c r="AF22" s="213">
        <f>IFERROR(__xludf.DUMMYFUNCTION("""COMPUTED_VALUE"""),2046404.0)</f>
        <v>2046404</v>
      </c>
      <c r="AG22" s="282"/>
      <c r="AH22" s="282"/>
      <c r="AI22" s="282"/>
      <c r="AJ22" s="282"/>
      <c r="AK22" s="282"/>
      <c r="AL22" s="282"/>
      <c r="AM22" s="282"/>
      <c r="AN22" s="282"/>
      <c r="AO22" s="282"/>
      <c r="AP22" s="282"/>
      <c r="AQ22" s="282"/>
      <c r="AR22" s="282"/>
      <c r="AS22" s="282"/>
      <c r="AT22" s="282"/>
      <c r="AU22" s="282"/>
      <c r="AV22" s="282"/>
      <c r="AW22" s="282"/>
      <c r="AX22" s="282"/>
      <c r="AY22" s="282"/>
      <c r="AZ22" s="282"/>
    </row>
    <row r="23" hidden="1">
      <c r="A23" s="209">
        <f>IFERROR(__xludf.DUMMYFUNCTION("""COMPUTED_VALUE"""),46053.0)</f>
        <v>46053</v>
      </c>
      <c r="B23" s="247">
        <f>IFERROR(__xludf.DUMMYFUNCTION("""COMPUTED_VALUE"""),0.4166666666678793)</f>
        <v>0.4166666667</v>
      </c>
      <c r="C23" s="218" t="str">
        <f>IFERROR(__xludf.DUMMYFUNCTION("""COMPUTED_VALUE"""),"Whatsapp")</f>
        <v>Whatsapp</v>
      </c>
      <c r="D23" s="218" t="str">
        <f>IFERROR(__xludf.DUMMYFUNCTION("""COMPUTED_VALUE"""),"Promotional")</f>
        <v>Promotional</v>
      </c>
      <c r="E23" s="218" t="str">
        <f>IFERROR(__xludf.DUMMYFUNCTION("""COMPUTED_VALUE"""),"CK")</f>
        <v>CK</v>
      </c>
      <c r="F23" s="218" t="str">
        <f>IFERROR(__xludf.DUMMYFUNCTION("""COMPUTED_VALUE"""),"Valentines Day campaign")</f>
        <v>Valentines Day campaign</v>
      </c>
      <c r="G23" s="218" t="str">
        <f>IFERROR(__xludf.DUMMYFUNCTION("""COMPUTED_VALUE"""),"V-Day GWP_31st jan_1")</f>
        <v>V-Day GWP_31st jan_1</v>
      </c>
      <c r="H23" s="218" t="str">
        <f>IFERROR(__xludf.DUMMYFUNCTION("""COMPUTED_VALUE"""),"ck_on_pr_last_36mnths_gen_25_Nov OR ck_off_pr_last_36mnths_gen_25_Nov OR AGIPL_Internal")</f>
        <v>ck_on_pr_last_36mnths_gen_25_Nov OR ck_off_pr_last_36mnths_gen_25_Nov OR AGIPL_Internal</v>
      </c>
      <c r="I23" s="218" t="str">
        <f>IFERROR(__xludf.DUMMYFUNCTION("""COMPUTED_VALUE"""),"Customers who have purchased atleast 1 time in the last 36 months with txn channel online AND exclude the event buyers segment, Customers who have purchased in the last 86 days with txn channel offline and Excluding the event buyers segment")</f>
        <v>Customers who have purchased atleast 1 time in the last 36 months with txn channel online AND exclude the event buyers segment, Customers who have purchased in the last 86 days with txn channel offline and Excluding the event buyers segment</v>
      </c>
      <c r="J23" s="213">
        <f>IFERROR(__xludf.DUMMYFUNCTION("""COMPUTED_VALUE"""),51013.0)</f>
        <v>51013</v>
      </c>
      <c r="K23" s="213">
        <f>IFERROR(__xludf.DUMMYFUNCTION("""COMPUTED_VALUE"""),7128.0)</f>
        <v>7128</v>
      </c>
      <c r="L23" s="214">
        <f>IFERROR(__xludf.DUMMYFUNCTION("""COMPUTED_VALUE"""),0.1397)</f>
        <v>0.1397</v>
      </c>
      <c r="M23" s="213">
        <f>IFERROR(__xludf.DUMMYFUNCTION("""COMPUTED_VALUE"""),4671.0)</f>
        <v>4671</v>
      </c>
      <c r="N23" s="214">
        <f>IFERROR(__xludf.DUMMYFUNCTION("""COMPUTED_VALUE"""),0.6553)</f>
        <v>0.6553</v>
      </c>
      <c r="O23" s="213">
        <f>IFERROR(__xludf.DUMMYFUNCTION("""COMPUTED_VALUE"""),293.0)</f>
        <v>293</v>
      </c>
      <c r="P23" s="213">
        <f>IFERROR(__xludf.DUMMYFUNCTION("""COMPUTED_VALUE"""),285.0)</f>
        <v>285</v>
      </c>
      <c r="Q23" s="214">
        <f>IFERROR(__xludf.DUMMYFUNCTION("""COMPUTED_VALUE"""),0.04)</f>
        <v>0.04</v>
      </c>
      <c r="R23" s="214">
        <f>IFERROR(__xludf.DUMMYFUNCTION("""COMPUTED_VALUE"""),0.061)</f>
        <v>0.061</v>
      </c>
      <c r="S23" s="270"/>
      <c r="T23" s="270"/>
      <c r="U23" s="270"/>
      <c r="V23" s="101" t="str">
        <f>IFERROR(__xludf.DUMMYFUNCTION("""COMPUTED_VALUE"""),"overall")</f>
        <v>overall</v>
      </c>
      <c r="W23" s="101" t="str">
        <f>IFERROR(__xludf.DUMMYFUNCTION("""COMPUTED_VALUE"""),"simple")</f>
        <v>simple</v>
      </c>
      <c r="X23" s="212" t="str">
        <f>IFERROR(__xludf.DUMMYFUNCTION("""COMPUTED_VALUE"""),"Recent")</f>
        <v>Recent</v>
      </c>
      <c r="Y23" s="212" t="str">
        <f>IFERROR(__xludf.DUMMYFUNCTION("""COMPUTED_VALUE"""),"31st- 1st feb")</f>
        <v>31st- 1st feb</v>
      </c>
      <c r="Z23" s="212" t="str">
        <f>IFERROR(__xludf.DUMMYFUNCTION("""COMPUTED_VALUE"""),"697c94d3a8c114ad0022c7e1")</f>
        <v>697c94d3a8c114ad0022c7e1</v>
      </c>
      <c r="AA23" s="287">
        <f>IFERROR(__xludf.DUMMYFUNCTION("""COMPUTED_VALUE"""),10.0)</f>
        <v>10</v>
      </c>
      <c r="AB23" s="213">
        <f>IFERROR(__xludf.DUMMYFUNCTION("""COMPUTED_VALUE"""),0.0)</f>
        <v>0</v>
      </c>
      <c r="AC23" s="213">
        <f>IFERROR(__xludf.DUMMYFUNCTION("""COMPUTED_VALUE"""),10.0)</f>
        <v>10</v>
      </c>
      <c r="AD23" s="213">
        <f>IFERROR(__xludf.DUMMYFUNCTION("""COMPUTED_VALUE"""),101987.0)</f>
        <v>101987</v>
      </c>
      <c r="AE23" s="213">
        <f>IFERROR(__xludf.DUMMYFUNCTION("""COMPUTED_VALUE"""),0.0)</f>
        <v>0</v>
      </c>
      <c r="AF23" s="213">
        <f>IFERROR(__xludf.DUMMYFUNCTION("""COMPUTED_VALUE"""),101987.0)</f>
        <v>101987</v>
      </c>
      <c r="AG23" s="282"/>
      <c r="AH23" s="282"/>
      <c r="AI23" s="282"/>
      <c r="AJ23" s="282"/>
      <c r="AK23" s="282"/>
      <c r="AL23" s="282"/>
      <c r="AM23" s="282"/>
      <c r="AN23" s="282"/>
      <c r="AO23" s="282"/>
      <c r="AP23" s="282"/>
      <c r="AQ23" s="282"/>
      <c r="AR23" s="282"/>
      <c r="AS23" s="282"/>
      <c r="AT23" s="282"/>
      <c r="AU23" s="282"/>
      <c r="AV23" s="282"/>
      <c r="AW23" s="282"/>
      <c r="AX23" s="282"/>
      <c r="AY23" s="282"/>
      <c r="AZ23" s="282"/>
    </row>
    <row r="24" hidden="1">
      <c r="A24" s="209">
        <f>IFERROR(__xludf.DUMMYFUNCTION("""COMPUTED_VALUE"""),46053.0)</f>
        <v>46053</v>
      </c>
      <c r="B24" s="247">
        <f>IFERROR(__xludf.DUMMYFUNCTION("""COMPUTED_VALUE"""),0.4166666666678793)</f>
        <v>0.4166666667</v>
      </c>
      <c r="C24" s="218" t="str">
        <f>IFERROR(__xludf.DUMMYFUNCTION("""COMPUTED_VALUE"""),"Whatsapp")</f>
        <v>Whatsapp</v>
      </c>
      <c r="D24" s="218" t="str">
        <f>IFERROR(__xludf.DUMMYFUNCTION("""COMPUTED_VALUE"""),"Promotional")</f>
        <v>Promotional</v>
      </c>
      <c r="E24" s="218" t="str">
        <f>IFERROR(__xludf.DUMMYFUNCTION("""COMPUTED_VALUE"""),"CK")</f>
        <v>CK</v>
      </c>
      <c r="F24" s="218" t="str">
        <f>IFERROR(__xludf.DUMMYFUNCTION("""COMPUTED_VALUE"""),"Valentines Day campaign")</f>
        <v>Valentines Day campaign</v>
      </c>
      <c r="G24" s="218" t="str">
        <f>IFERROR(__xludf.DUMMYFUNCTION("""COMPUTED_VALUE"""),"V-Day GWP_31st jan_2")</f>
        <v>V-Day GWP_31st jan_2</v>
      </c>
      <c r="H24" s="218" t="str">
        <f>IFERROR(__xludf.DUMMYFUNCTION("""COMPUTED_VALUE"""),"Dormant Base Overall 19th Dec")</f>
        <v>Dormant Base Overall 19th Dec</v>
      </c>
      <c r="I24" s="218" t="str">
        <f>IFERROR(__xludf.DUMMYFUNCTION("""COMPUTED_VALUE"""),"Custom upload")</f>
        <v>Custom upload</v>
      </c>
      <c r="J24" s="213">
        <f>IFERROR(__xludf.DUMMYFUNCTION("""COMPUTED_VALUE"""),211599.0)</f>
        <v>211599</v>
      </c>
      <c r="K24" s="213">
        <f>IFERROR(__xludf.DUMMYFUNCTION("""COMPUTED_VALUE"""),86941.0)</f>
        <v>86941</v>
      </c>
      <c r="L24" s="214">
        <f>IFERROR(__xludf.DUMMYFUNCTION("""COMPUTED_VALUE"""),0.4109)</f>
        <v>0.4109</v>
      </c>
      <c r="M24" s="213">
        <f>IFERROR(__xludf.DUMMYFUNCTION("""COMPUTED_VALUE"""),29111.0)</f>
        <v>29111</v>
      </c>
      <c r="N24" s="214">
        <f>IFERROR(__xludf.DUMMYFUNCTION("""COMPUTED_VALUE"""),0.3347)</f>
        <v>0.3347</v>
      </c>
      <c r="O24" s="213">
        <f>IFERROR(__xludf.DUMMYFUNCTION("""COMPUTED_VALUE"""),2301.0)</f>
        <v>2301</v>
      </c>
      <c r="P24" s="213">
        <f>IFERROR(__xludf.DUMMYFUNCTION("""COMPUTED_VALUE"""),2189.0)</f>
        <v>2189</v>
      </c>
      <c r="Q24" s="214">
        <f>IFERROR(__xludf.DUMMYFUNCTION("""COMPUTED_VALUE"""),0.0252)</f>
        <v>0.0252</v>
      </c>
      <c r="R24" s="214">
        <f>IFERROR(__xludf.DUMMYFUNCTION("""COMPUTED_VALUE"""),0.0752)</f>
        <v>0.0752</v>
      </c>
      <c r="S24" s="270"/>
      <c r="T24" s="270"/>
      <c r="U24" s="270"/>
      <c r="V24" s="101" t="str">
        <f>IFERROR(__xludf.DUMMYFUNCTION("""COMPUTED_VALUE"""),"overall")</f>
        <v>overall</v>
      </c>
      <c r="W24" s="101" t="str">
        <f>IFERROR(__xludf.DUMMYFUNCTION("""COMPUTED_VALUE"""),"simple")</f>
        <v>simple</v>
      </c>
      <c r="X24" s="212" t="str">
        <f>IFERROR(__xludf.DUMMYFUNCTION("""COMPUTED_VALUE"""),"Dormant")</f>
        <v>Dormant</v>
      </c>
      <c r="Y24" s="212" t="str">
        <f>IFERROR(__xludf.DUMMYFUNCTION("""COMPUTED_VALUE"""),"31st- 1st feb")</f>
        <v>31st- 1st feb</v>
      </c>
      <c r="Z24" s="212" t="str">
        <f>IFERROR(__xludf.DUMMYFUNCTION("""COMPUTED_VALUE"""),"697ca57a609b8fe6f4f97f58")</f>
        <v>697ca57a609b8fe6f4f97f58</v>
      </c>
      <c r="AA24" s="287">
        <f>IFERROR(__xludf.DUMMYFUNCTION("""COMPUTED_VALUE"""),66.0)</f>
        <v>66</v>
      </c>
      <c r="AB24" s="213">
        <f>IFERROR(__xludf.DUMMYFUNCTION("""COMPUTED_VALUE"""),0.0)</f>
        <v>0</v>
      </c>
      <c r="AC24" s="213">
        <f>IFERROR(__xludf.DUMMYFUNCTION("""COMPUTED_VALUE"""),66.0)</f>
        <v>66</v>
      </c>
      <c r="AD24" s="213">
        <f>IFERROR(__xludf.DUMMYFUNCTION("""COMPUTED_VALUE"""),759820.0)</f>
        <v>759820</v>
      </c>
      <c r="AE24" s="213">
        <f>IFERROR(__xludf.DUMMYFUNCTION("""COMPUTED_VALUE"""),0.0)</f>
        <v>0</v>
      </c>
      <c r="AF24" s="213">
        <f>IFERROR(__xludf.DUMMYFUNCTION("""COMPUTED_VALUE"""),759820.0)</f>
        <v>759820</v>
      </c>
      <c r="AG24" s="282"/>
      <c r="AH24" s="282"/>
      <c r="AI24" s="282"/>
      <c r="AJ24" s="282"/>
      <c r="AK24" s="282"/>
      <c r="AL24" s="282"/>
      <c r="AM24" s="282"/>
      <c r="AN24" s="282"/>
      <c r="AO24" s="282"/>
      <c r="AP24" s="282"/>
      <c r="AQ24" s="282"/>
      <c r="AR24" s="282"/>
      <c r="AS24" s="282"/>
      <c r="AT24" s="282"/>
      <c r="AU24" s="282"/>
      <c r="AV24" s="282"/>
      <c r="AW24" s="282"/>
      <c r="AX24" s="282"/>
      <c r="AY24" s="282"/>
      <c r="AZ24" s="282"/>
    </row>
    <row r="25" hidden="1">
      <c r="A25" s="209">
        <f>IFERROR(__xludf.DUMMYFUNCTION("""COMPUTED_VALUE"""),46053.0)</f>
        <v>46053</v>
      </c>
      <c r="B25" s="247">
        <f>IFERROR(__xludf.DUMMYFUNCTION("""COMPUTED_VALUE"""),0.5)</f>
        <v>0.5</v>
      </c>
      <c r="C25" s="218" t="str">
        <f>IFERROR(__xludf.DUMMYFUNCTION("""COMPUTED_VALUE"""),"Sms")</f>
        <v>Sms</v>
      </c>
      <c r="D25" s="218" t="str">
        <f>IFERROR(__xludf.DUMMYFUNCTION("""COMPUTED_VALUE"""),"Fallback Campaign")</f>
        <v>Fallback Campaign</v>
      </c>
      <c r="E25" s="218" t="str">
        <f>IFERROR(__xludf.DUMMYFUNCTION("""COMPUTED_VALUE"""),"CK")</f>
        <v>CK</v>
      </c>
      <c r="F25" s="218" t="str">
        <f>IFERROR(__xludf.DUMMYFUNCTION("""COMPUTED_VALUE"""),"Valentines Day campaign")</f>
        <v>Valentines Day campaign</v>
      </c>
      <c r="G25" s="218" t="str">
        <f>IFERROR(__xludf.DUMMYFUNCTION("""COMPUTED_VALUE"""),"V-Day GWP_31st jan_1_fallback")</f>
        <v>V-Day GWP_31st jan_1_fallback</v>
      </c>
      <c r="H25" s="218" t="str">
        <f>IFERROR(__xludf.DUMMYFUNCTION("""COMPUTED_VALUE"""),"ck_on_pr_last_36mnths_gen_25_Nov OR ck_off_pr_last_36mnths_gen_25_Nov OR AGIPL_Internal")</f>
        <v>ck_on_pr_last_36mnths_gen_25_Nov OR ck_off_pr_last_36mnths_gen_25_Nov OR AGIPL_Internal</v>
      </c>
      <c r="I25" s="218" t="str">
        <f>IFERROR(__xludf.DUMMYFUNCTION("""COMPUTED_VALUE"""),"WA Undelivered")</f>
        <v>WA Undelivered</v>
      </c>
      <c r="J25" s="213">
        <f>IFERROR(__xludf.DUMMYFUNCTION("""COMPUTED_VALUE"""),43363.0)</f>
        <v>43363</v>
      </c>
      <c r="K25" s="213">
        <f>IFERROR(__xludf.DUMMYFUNCTION("""COMPUTED_VALUE"""),25039.0)</f>
        <v>25039</v>
      </c>
      <c r="L25" s="214">
        <f>IFERROR(__xludf.DUMMYFUNCTION("""COMPUTED_VALUE"""),0.5774)</f>
        <v>0.5774</v>
      </c>
      <c r="M25" s="213"/>
      <c r="N25" s="214"/>
      <c r="O25" s="213">
        <f>IFERROR(__xludf.DUMMYFUNCTION("""COMPUTED_VALUE"""),0.0)</f>
        <v>0</v>
      </c>
      <c r="P25" s="213"/>
      <c r="Q25" s="214">
        <f>IFERROR(__xludf.DUMMYFUNCTION("""COMPUTED_VALUE"""),0.0)</f>
        <v>0</v>
      </c>
      <c r="R25" s="214"/>
      <c r="S25" s="270"/>
      <c r="T25" s="270"/>
      <c r="U25" s="270"/>
      <c r="V25" s="101" t="str">
        <f>IFERROR(__xludf.DUMMYFUNCTION("""COMPUTED_VALUE"""),"overall")</f>
        <v>overall</v>
      </c>
      <c r="W25" s="101" t="str">
        <f>IFERROR(__xludf.DUMMYFUNCTION("""COMPUTED_VALUE"""),"SMS")</f>
        <v>SMS</v>
      </c>
      <c r="X25" s="212" t="str">
        <f>IFERROR(__xludf.DUMMYFUNCTION("""COMPUTED_VALUE"""),"Recent")</f>
        <v>Recent</v>
      </c>
      <c r="Y25" s="212" t="str">
        <f>IFERROR(__xludf.DUMMYFUNCTION("""COMPUTED_VALUE"""),"31st- 1st feb")</f>
        <v>31st- 1st feb</v>
      </c>
      <c r="Z25" s="212" t="str">
        <f>IFERROR(__xludf.DUMMYFUNCTION("""COMPUTED_VALUE"""),"697c95bbf164107f82419da9")</f>
        <v>697c95bbf164107f82419da9</v>
      </c>
      <c r="AA25" s="287">
        <f>IFERROR(__xludf.DUMMYFUNCTION("""COMPUTED_VALUE"""),36.0)</f>
        <v>36</v>
      </c>
      <c r="AB25" s="213">
        <f>IFERROR(__xludf.DUMMYFUNCTION("""COMPUTED_VALUE"""),0.0)</f>
        <v>0</v>
      </c>
      <c r="AC25" s="213">
        <f>IFERROR(__xludf.DUMMYFUNCTION("""COMPUTED_VALUE"""),36.0)</f>
        <v>36</v>
      </c>
      <c r="AD25" s="213">
        <f>IFERROR(__xludf.DUMMYFUNCTION("""COMPUTED_VALUE"""),429756.0)</f>
        <v>429756</v>
      </c>
      <c r="AE25" s="213">
        <f>IFERROR(__xludf.DUMMYFUNCTION("""COMPUTED_VALUE"""),0.0)</f>
        <v>0</v>
      </c>
      <c r="AF25" s="213">
        <f>IFERROR(__xludf.DUMMYFUNCTION("""COMPUTED_VALUE"""),429756.0)</f>
        <v>429756</v>
      </c>
      <c r="AG25" s="282"/>
      <c r="AH25" s="282"/>
      <c r="AI25" s="282"/>
      <c r="AJ25" s="282"/>
      <c r="AK25" s="282"/>
      <c r="AL25" s="282"/>
      <c r="AM25" s="282"/>
      <c r="AN25" s="282"/>
      <c r="AO25" s="282"/>
      <c r="AP25" s="282"/>
      <c r="AQ25" s="282"/>
      <c r="AR25" s="282"/>
      <c r="AS25" s="282"/>
      <c r="AT25" s="282"/>
      <c r="AU25" s="282"/>
      <c r="AV25" s="282"/>
      <c r="AW25" s="282"/>
      <c r="AX25" s="282"/>
      <c r="AY25" s="282"/>
      <c r="AZ25" s="282"/>
    </row>
    <row r="26" hidden="1">
      <c r="A26" s="209">
        <f>IFERROR(__xludf.DUMMYFUNCTION("""COMPUTED_VALUE"""),46053.0)</f>
        <v>46053</v>
      </c>
      <c r="B26" s="247">
        <f>IFERROR(__xludf.DUMMYFUNCTION("""COMPUTED_VALUE"""),0.5)</f>
        <v>0.5</v>
      </c>
      <c r="C26" s="218" t="str">
        <f>IFERROR(__xludf.DUMMYFUNCTION("""COMPUTED_VALUE"""),"Sms")</f>
        <v>Sms</v>
      </c>
      <c r="D26" s="218" t="str">
        <f>IFERROR(__xludf.DUMMYFUNCTION("""COMPUTED_VALUE"""),"Fallback Campaign")</f>
        <v>Fallback Campaign</v>
      </c>
      <c r="E26" s="218" t="str">
        <f>IFERROR(__xludf.DUMMYFUNCTION("""COMPUTED_VALUE"""),"CK")</f>
        <v>CK</v>
      </c>
      <c r="F26" s="218" t="str">
        <f>IFERROR(__xludf.DUMMYFUNCTION("""COMPUTED_VALUE"""),"Valentines Day campaign")</f>
        <v>Valentines Day campaign</v>
      </c>
      <c r="G26" s="218" t="str">
        <f>IFERROR(__xludf.DUMMYFUNCTION("""COMPUTED_VALUE"""),"V-Day GWP_31st jan_2_fallback")</f>
        <v>V-Day GWP_31st jan_2_fallback</v>
      </c>
      <c r="H26" s="218" t="str">
        <f>IFERROR(__xludf.DUMMYFUNCTION("""COMPUTED_VALUE"""),"Dormant Base Overall 19th Dec")</f>
        <v>Dormant Base Overall 19th Dec</v>
      </c>
      <c r="I26" s="218" t="str">
        <f>IFERROR(__xludf.DUMMYFUNCTION("""COMPUTED_VALUE"""),"WA Undelivered")</f>
        <v>WA Undelivered</v>
      </c>
      <c r="J26" s="213">
        <f>IFERROR(__xludf.DUMMYFUNCTION("""COMPUTED_VALUE"""),120326.0)</f>
        <v>120326</v>
      </c>
      <c r="K26" s="213">
        <f>IFERROR(__xludf.DUMMYFUNCTION("""COMPUTED_VALUE"""),66924.0)</f>
        <v>66924</v>
      </c>
      <c r="L26" s="214">
        <f>IFERROR(__xludf.DUMMYFUNCTION("""COMPUTED_VALUE"""),0.5562)</f>
        <v>0.5562</v>
      </c>
      <c r="M26" s="213"/>
      <c r="N26" s="214"/>
      <c r="O26" s="213">
        <f>IFERROR(__xludf.DUMMYFUNCTION("""COMPUTED_VALUE"""),0.0)</f>
        <v>0</v>
      </c>
      <c r="P26" s="213"/>
      <c r="Q26" s="214">
        <f>IFERROR(__xludf.DUMMYFUNCTION("""COMPUTED_VALUE"""),0.0)</f>
        <v>0</v>
      </c>
      <c r="R26" s="214"/>
      <c r="S26" s="270"/>
      <c r="T26" s="270"/>
      <c r="U26" s="270"/>
      <c r="V26" s="101" t="str">
        <f>IFERROR(__xludf.DUMMYFUNCTION("""COMPUTED_VALUE"""),"overall")</f>
        <v>overall</v>
      </c>
      <c r="W26" s="101" t="str">
        <f>IFERROR(__xludf.DUMMYFUNCTION("""COMPUTED_VALUE"""),"SMS")</f>
        <v>SMS</v>
      </c>
      <c r="X26" s="212" t="str">
        <f>IFERROR(__xludf.DUMMYFUNCTION("""COMPUTED_VALUE"""),"Dormant")</f>
        <v>Dormant</v>
      </c>
      <c r="Y26" s="212" t="str">
        <f>IFERROR(__xludf.DUMMYFUNCTION("""COMPUTED_VALUE"""),"31st- 1st feb")</f>
        <v>31st- 1st feb</v>
      </c>
      <c r="Z26" s="212" t="str">
        <f>IFERROR(__xludf.DUMMYFUNCTION("""COMPUTED_VALUE"""),"697ca5d9a8c114ad0022ce0a")</f>
        <v>697ca5d9a8c114ad0022ce0a</v>
      </c>
      <c r="AA26" s="287">
        <f>IFERROR(__xludf.DUMMYFUNCTION("""COMPUTED_VALUE"""),63.0)</f>
        <v>63</v>
      </c>
      <c r="AB26" s="213">
        <f>IFERROR(__xludf.DUMMYFUNCTION("""COMPUTED_VALUE"""),0.0)</f>
        <v>0</v>
      </c>
      <c r="AC26" s="213">
        <f>IFERROR(__xludf.DUMMYFUNCTION("""COMPUTED_VALUE"""),63.0)</f>
        <v>63</v>
      </c>
      <c r="AD26" s="213">
        <f>IFERROR(__xludf.DUMMYFUNCTION("""COMPUTED_VALUE"""),828020.0)</f>
        <v>828020</v>
      </c>
      <c r="AE26" s="213">
        <f>IFERROR(__xludf.DUMMYFUNCTION("""COMPUTED_VALUE"""),0.0)</f>
        <v>0</v>
      </c>
      <c r="AF26" s="213">
        <f>IFERROR(__xludf.DUMMYFUNCTION("""COMPUTED_VALUE"""),828020.0)</f>
        <v>828020</v>
      </c>
      <c r="AG26" s="282"/>
      <c r="AH26" s="282"/>
      <c r="AI26" s="282"/>
      <c r="AJ26" s="282"/>
      <c r="AK26" s="282"/>
      <c r="AL26" s="282"/>
      <c r="AM26" s="282"/>
      <c r="AN26" s="282"/>
      <c r="AO26" s="282"/>
      <c r="AP26" s="282"/>
      <c r="AQ26" s="282"/>
      <c r="AR26" s="282"/>
      <c r="AS26" s="282"/>
      <c r="AT26" s="282"/>
      <c r="AU26" s="282"/>
      <c r="AV26" s="282"/>
      <c r="AW26" s="282"/>
      <c r="AX26" s="282"/>
      <c r="AY26" s="282"/>
      <c r="AZ26" s="282"/>
    </row>
    <row r="27">
      <c r="A27" s="209">
        <f>IFERROR(__xludf.DUMMYFUNCTION("""COMPUTED_VALUE"""),46060.0)</f>
        <v>46060</v>
      </c>
      <c r="B27" s="247">
        <f>IFERROR(__xludf.DUMMYFUNCTION("""COMPUTED_VALUE"""),0.5)</f>
        <v>0.5</v>
      </c>
      <c r="C27" s="218" t="str">
        <f>IFERROR(__xludf.DUMMYFUNCTION("""COMPUTED_VALUE"""),"Sms")</f>
        <v>Sms</v>
      </c>
      <c r="D27" s="218" t="str">
        <f>IFERROR(__xludf.DUMMYFUNCTION("""COMPUTED_VALUE"""),"Fallback Campaign")</f>
        <v>Fallback Campaign</v>
      </c>
      <c r="E27" s="218" t="str">
        <f>IFERROR(__xludf.DUMMYFUNCTION("""COMPUTED_VALUE"""),"CK")</f>
        <v>CK</v>
      </c>
      <c r="F27" s="218" t="str">
        <f>IFERROR(__xludf.DUMMYFUNCTION("""COMPUTED_VALUE"""),"Valentine's Day")</f>
        <v>Valentine's Day</v>
      </c>
      <c r="G27" s="218" t="str">
        <f>IFERROR(__xludf.DUMMYFUNCTION("""COMPUTED_VALUE"""),"V-Day collection_6th Jan_1_Fallback")</f>
        <v>V-Day collection_6th Jan_1_Fallback</v>
      </c>
      <c r="H27" s="218" t="str">
        <f>IFERROR(__xludf.DUMMYFUNCTION("""COMPUTED_VALUE"""),"ck_off_pr_recent_6thFeb OR CK_Online_Base_1jan_17nov OR ck_on_pr_last_36mnths_gen_25_Nov OR AGIPL_Internal")</f>
        <v>ck_off_pr_recent_6thFeb OR CK_Online_Base_1jan_17nov OR ck_on_pr_last_36mnths_gen_25_Nov OR AGIPL_Internal</v>
      </c>
      <c r="I27" s="218" t="str">
        <f>IFERROR(__xludf.DUMMYFUNCTION("""COMPUTED_VALUE"""),"WA Undelivered")</f>
        <v>WA Undelivered</v>
      </c>
      <c r="J27" s="213">
        <f>IFERROR(__xludf.DUMMYFUNCTION("""COMPUTED_VALUE"""),39457.0)</f>
        <v>39457</v>
      </c>
      <c r="K27" s="213">
        <f>IFERROR(__xludf.DUMMYFUNCTION("""COMPUTED_VALUE"""),22088.0)</f>
        <v>22088</v>
      </c>
      <c r="L27" s="214">
        <f>IFERROR(__xludf.DUMMYFUNCTION("""COMPUTED_VALUE"""),0.5598)</f>
        <v>0.5598</v>
      </c>
      <c r="M27" s="213"/>
      <c r="N27" s="214"/>
      <c r="O27" s="213">
        <f>IFERROR(__xludf.DUMMYFUNCTION("""COMPUTED_VALUE"""),0.0)</f>
        <v>0</v>
      </c>
      <c r="P27" s="213"/>
      <c r="Q27" s="214">
        <f>IFERROR(__xludf.DUMMYFUNCTION("""COMPUTED_VALUE"""),0.0)</f>
        <v>0</v>
      </c>
      <c r="R27" s="214"/>
      <c r="S27" s="270"/>
      <c r="T27" s="270"/>
      <c r="U27" s="270"/>
      <c r="V27" s="101" t="str">
        <f>IFERROR(__xludf.DUMMYFUNCTION("""COMPUTED_VALUE"""),"overall")</f>
        <v>overall</v>
      </c>
      <c r="W27" s="101" t="str">
        <f>IFERROR(__xludf.DUMMYFUNCTION("""COMPUTED_VALUE"""),"SMS")</f>
        <v>SMS</v>
      </c>
      <c r="X27" s="212" t="str">
        <f>IFERROR(__xludf.DUMMYFUNCTION("""COMPUTED_VALUE"""),"Churned")</f>
        <v>Churned</v>
      </c>
      <c r="Y27" s="212" t="str">
        <f>IFERROR(__xludf.DUMMYFUNCTION("""COMPUTED_VALUE"""),"7th feb- 14th feb")</f>
        <v>7th feb- 14th feb</v>
      </c>
      <c r="Z27" s="212" t="str">
        <f>IFERROR(__xludf.DUMMYFUNCTION("""COMPUTED_VALUE"""),"6985e35a3fd7ec5762f0a1d3")</f>
        <v>6985e35a3fd7ec5762f0a1d3</v>
      </c>
      <c r="AA27" s="287">
        <f>IFERROR(__xludf.DUMMYFUNCTION("""COMPUTED_VALUE"""),117.0)</f>
        <v>117</v>
      </c>
      <c r="AB27" s="213">
        <f>IFERROR(__xludf.DUMMYFUNCTION("""COMPUTED_VALUE"""),0.0)</f>
        <v>0</v>
      </c>
      <c r="AC27" s="213">
        <f>IFERROR(__xludf.DUMMYFUNCTION("""COMPUTED_VALUE"""),117.0)</f>
        <v>117</v>
      </c>
      <c r="AD27" s="213">
        <f>IFERROR(__xludf.DUMMYFUNCTION("""COMPUTED_VALUE"""),1484752.0)</f>
        <v>1484752</v>
      </c>
      <c r="AE27" s="213">
        <f>IFERROR(__xludf.DUMMYFUNCTION("""COMPUTED_VALUE"""),0.0)</f>
        <v>0</v>
      </c>
      <c r="AF27" s="213">
        <f>IFERROR(__xludf.DUMMYFUNCTION("""COMPUTED_VALUE"""),1484752.0)</f>
        <v>1484752</v>
      </c>
      <c r="AG27" s="282"/>
      <c r="AH27" s="282"/>
      <c r="AI27" s="282"/>
      <c r="AJ27" s="282"/>
      <c r="AK27" s="282"/>
      <c r="AL27" s="282"/>
      <c r="AM27" s="282"/>
      <c r="AN27" s="282"/>
      <c r="AO27" s="282"/>
      <c r="AP27" s="282"/>
      <c r="AQ27" s="282"/>
      <c r="AR27" s="282"/>
      <c r="AS27" s="282"/>
      <c r="AT27" s="282"/>
      <c r="AU27" s="282"/>
      <c r="AV27" s="282"/>
      <c r="AW27" s="282"/>
      <c r="AX27" s="282"/>
      <c r="AY27" s="282"/>
      <c r="AZ27" s="282"/>
    </row>
    <row r="28">
      <c r="A28" s="209">
        <f>IFERROR(__xludf.DUMMYFUNCTION("""COMPUTED_VALUE"""),46060.0)</f>
        <v>46060</v>
      </c>
      <c r="B28" s="247">
        <f>IFERROR(__xludf.DUMMYFUNCTION("""COMPUTED_VALUE"""),0.5)</f>
        <v>0.5</v>
      </c>
      <c r="C28" s="218" t="str">
        <f>IFERROR(__xludf.DUMMYFUNCTION("""COMPUTED_VALUE"""),"Sms")</f>
        <v>Sms</v>
      </c>
      <c r="D28" s="218" t="str">
        <f>IFERROR(__xludf.DUMMYFUNCTION("""COMPUTED_VALUE"""),"Fallback Campaign")</f>
        <v>Fallback Campaign</v>
      </c>
      <c r="E28" s="218" t="str">
        <f>IFERROR(__xludf.DUMMYFUNCTION("""COMPUTED_VALUE"""),"CK")</f>
        <v>CK</v>
      </c>
      <c r="F28" s="218" t="str">
        <f>IFERROR(__xludf.DUMMYFUNCTION("""COMPUTED_VALUE"""),"Valentine's Day")</f>
        <v>Valentine's Day</v>
      </c>
      <c r="G28" s="218" t="str">
        <f>IFERROR(__xludf.DUMMYFUNCTION("""COMPUTED_VALUE"""),"V-Day collection_6th Jan_2_Fallback")</f>
        <v>V-Day collection_6th Jan_2_Fallback</v>
      </c>
      <c r="H28" s="218" t="str">
        <f>IFERROR(__xludf.DUMMYFUNCTION("""COMPUTED_VALUE"""),"ck_off_pr_dormant_6thFeb")</f>
        <v>ck_off_pr_dormant_6thFeb</v>
      </c>
      <c r="I28" s="218" t="str">
        <f>IFERROR(__xludf.DUMMYFUNCTION("""COMPUTED_VALUE"""),"WA Undelivered")</f>
        <v>WA Undelivered</v>
      </c>
      <c r="J28" s="213">
        <f>IFERROR(__xludf.DUMMYFUNCTION("""COMPUTED_VALUE"""),73966.0)</f>
        <v>73966</v>
      </c>
      <c r="K28" s="213">
        <f>IFERROR(__xludf.DUMMYFUNCTION("""COMPUTED_VALUE"""),40535.0)</f>
        <v>40535</v>
      </c>
      <c r="L28" s="214">
        <f>IFERROR(__xludf.DUMMYFUNCTION("""COMPUTED_VALUE"""),0.548)</f>
        <v>0.548</v>
      </c>
      <c r="M28" s="213"/>
      <c r="N28" s="214"/>
      <c r="O28" s="213">
        <f>IFERROR(__xludf.DUMMYFUNCTION("""COMPUTED_VALUE"""),0.0)</f>
        <v>0</v>
      </c>
      <c r="P28" s="213"/>
      <c r="Q28" s="214">
        <f>IFERROR(__xludf.DUMMYFUNCTION("""COMPUTED_VALUE"""),0.0)</f>
        <v>0</v>
      </c>
      <c r="R28" s="214"/>
      <c r="S28" s="270"/>
      <c r="T28" s="270"/>
      <c r="U28" s="270"/>
      <c r="V28" s="101" t="str">
        <f>IFERROR(__xludf.DUMMYFUNCTION("""COMPUTED_VALUE"""),"offline")</f>
        <v>offline</v>
      </c>
      <c r="W28" s="101" t="str">
        <f>IFERROR(__xludf.DUMMYFUNCTION("""COMPUTED_VALUE"""),"SMS")</f>
        <v>SMS</v>
      </c>
      <c r="X28" s="212" t="str">
        <f>IFERROR(__xludf.DUMMYFUNCTION("""COMPUTED_VALUE"""),"Dormant")</f>
        <v>Dormant</v>
      </c>
      <c r="Y28" s="212" t="str">
        <f>IFERROR(__xludf.DUMMYFUNCTION("""COMPUTED_VALUE"""),"7th feb- 14th feb")</f>
        <v>7th feb- 14th feb</v>
      </c>
      <c r="Z28" s="212" t="str">
        <f>IFERROR(__xludf.DUMMYFUNCTION("""COMPUTED_VALUE"""),"6985e3e8aed98f679d1f6ab1")</f>
        <v>6985e3e8aed98f679d1f6ab1</v>
      </c>
      <c r="AA28" s="287">
        <f>IFERROR(__xludf.DUMMYFUNCTION("""COMPUTED_VALUE"""),132.0)</f>
        <v>132</v>
      </c>
      <c r="AB28" s="213">
        <f>IFERROR(__xludf.DUMMYFUNCTION("""COMPUTED_VALUE"""),0.0)</f>
        <v>0</v>
      </c>
      <c r="AC28" s="213">
        <f>IFERROR(__xludf.DUMMYFUNCTION("""COMPUTED_VALUE"""),132.0)</f>
        <v>132</v>
      </c>
      <c r="AD28" s="213">
        <f>IFERROR(__xludf.DUMMYFUNCTION("""COMPUTED_VALUE"""),1662840.0)</f>
        <v>1662840</v>
      </c>
      <c r="AE28" s="213">
        <f>IFERROR(__xludf.DUMMYFUNCTION("""COMPUTED_VALUE"""),0.0)</f>
        <v>0</v>
      </c>
      <c r="AF28" s="213">
        <f>IFERROR(__xludf.DUMMYFUNCTION("""COMPUTED_VALUE"""),1662840.0)</f>
        <v>1662840</v>
      </c>
      <c r="AG28" s="282"/>
      <c r="AH28" s="282"/>
      <c r="AI28" s="282"/>
      <c r="AJ28" s="282"/>
      <c r="AK28" s="282"/>
      <c r="AL28" s="282"/>
      <c r="AM28" s="282"/>
      <c r="AN28" s="282"/>
      <c r="AO28" s="282"/>
      <c r="AP28" s="282"/>
      <c r="AQ28" s="282"/>
      <c r="AR28" s="282"/>
      <c r="AS28" s="282"/>
      <c r="AT28" s="282"/>
      <c r="AU28" s="282"/>
      <c r="AV28" s="282"/>
      <c r="AW28" s="282"/>
      <c r="AX28" s="282"/>
      <c r="AY28" s="282"/>
      <c r="AZ28" s="282"/>
    </row>
    <row r="29">
      <c r="A29" s="209">
        <f>IFERROR(__xludf.DUMMYFUNCTION("""COMPUTED_VALUE"""),46060.0)</f>
        <v>46060</v>
      </c>
      <c r="B29" s="247">
        <f>IFERROR(__xludf.DUMMYFUNCTION("""COMPUTED_VALUE"""),0.5)</f>
        <v>0.5</v>
      </c>
      <c r="C29" s="218" t="str">
        <f>IFERROR(__xludf.DUMMYFUNCTION("""COMPUTED_VALUE"""),"Sms")</f>
        <v>Sms</v>
      </c>
      <c r="D29" s="218" t="str">
        <f>IFERROR(__xludf.DUMMYFUNCTION("""COMPUTED_VALUE"""),"Fallback Campaign")</f>
        <v>Fallback Campaign</v>
      </c>
      <c r="E29" s="218" t="str">
        <f>IFERROR(__xludf.DUMMYFUNCTION("""COMPUTED_VALUE"""),"CK")</f>
        <v>CK</v>
      </c>
      <c r="F29" s="218" t="str">
        <f>IFERROR(__xludf.DUMMYFUNCTION("""COMPUTED_VALUE"""),"Valentine's Day")</f>
        <v>Valentine's Day</v>
      </c>
      <c r="G29" s="218" t="str">
        <f>IFERROR(__xludf.DUMMYFUNCTION("""COMPUTED_VALUE"""),"V-Day collection_6th Jan_3_Fallback")</f>
        <v>V-Day collection_6th Jan_3_Fallback</v>
      </c>
      <c r="H29" s="218" t="str">
        <f>IFERROR(__xludf.DUMMYFUNCTION("""COMPUTED_VALUE"""),"ck_off_pr_Order_Net_val_6thFeb")</f>
        <v>ck_off_pr_Order_Net_val_6thFeb</v>
      </c>
      <c r="I29" s="218" t="str">
        <f>IFERROR(__xludf.DUMMYFUNCTION("""COMPUTED_VALUE"""),"WA Undelivered")</f>
        <v>WA Undelivered</v>
      </c>
      <c r="J29" s="213">
        <f>IFERROR(__xludf.DUMMYFUNCTION("""COMPUTED_VALUE"""),15131.0)</f>
        <v>15131</v>
      </c>
      <c r="K29" s="213">
        <f>IFERROR(__xludf.DUMMYFUNCTION("""COMPUTED_VALUE"""),7800.0)</f>
        <v>7800</v>
      </c>
      <c r="L29" s="214">
        <f>IFERROR(__xludf.DUMMYFUNCTION("""COMPUTED_VALUE"""),0.5155)</f>
        <v>0.5155</v>
      </c>
      <c r="M29" s="213"/>
      <c r="N29" s="214"/>
      <c r="O29" s="213">
        <f>IFERROR(__xludf.DUMMYFUNCTION("""COMPUTED_VALUE"""),0.0)</f>
        <v>0</v>
      </c>
      <c r="P29" s="213"/>
      <c r="Q29" s="214">
        <f>IFERROR(__xludf.DUMMYFUNCTION("""COMPUTED_VALUE"""),0.0)</f>
        <v>0</v>
      </c>
      <c r="R29" s="214"/>
      <c r="S29" s="270"/>
      <c r="T29" s="270"/>
      <c r="U29" s="270"/>
      <c r="V29" s="101" t="str">
        <f>IFERROR(__xludf.DUMMYFUNCTION("""COMPUTED_VALUE"""),"offline")</f>
        <v>offline</v>
      </c>
      <c r="W29" s="101" t="str">
        <f>IFERROR(__xludf.DUMMYFUNCTION("""COMPUTED_VALUE"""),"SMS")</f>
        <v>SMS</v>
      </c>
      <c r="X29" s="212" t="str">
        <f>IFERROR(__xludf.DUMMYFUNCTION("""COMPUTED_VALUE"""),"no brief")</f>
        <v>no brief</v>
      </c>
      <c r="Y29" s="212" t="str">
        <f>IFERROR(__xludf.DUMMYFUNCTION("""COMPUTED_VALUE"""),"7th feb- 14th feb")</f>
        <v>7th feb- 14th feb</v>
      </c>
      <c r="Z29" s="212" t="str">
        <f>IFERROR(__xludf.DUMMYFUNCTION("""COMPUTED_VALUE"""),"6985e449bda2ccd016ebecdf")</f>
        <v>6985e449bda2ccd016ebecdf</v>
      </c>
      <c r="AA29" s="287">
        <f>IFERROR(__xludf.DUMMYFUNCTION("""COMPUTED_VALUE"""),47.0)</f>
        <v>47</v>
      </c>
      <c r="AB29" s="213">
        <f>IFERROR(__xludf.DUMMYFUNCTION("""COMPUTED_VALUE"""),0.0)</f>
        <v>0</v>
      </c>
      <c r="AC29" s="213">
        <f>IFERROR(__xludf.DUMMYFUNCTION("""COMPUTED_VALUE"""),47.0)</f>
        <v>47</v>
      </c>
      <c r="AD29" s="213">
        <f>IFERROR(__xludf.DUMMYFUNCTION("""COMPUTED_VALUE"""),742923.0)</f>
        <v>742923</v>
      </c>
      <c r="AE29" s="213">
        <f>IFERROR(__xludf.DUMMYFUNCTION("""COMPUTED_VALUE"""),0.0)</f>
        <v>0</v>
      </c>
      <c r="AF29" s="213">
        <f>IFERROR(__xludf.DUMMYFUNCTION("""COMPUTED_VALUE"""),742923.0)</f>
        <v>742923</v>
      </c>
      <c r="AG29" s="282"/>
      <c r="AH29" s="282"/>
      <c r="AI29" s="282"/>
      <c r="AJ29" s="282"/>
      <c r="AK29" s="282"/>
      <c r="AL29" s="282"/>
      <c r="AM29" s="282"/>
      <c r="AN29" s="282"/>
      <c r="AO29" s="282"/>
      <c r="AP29" s="282"/>
      <c r="AQ29" s="282"/>
      <c r="AR29" s="282"/>
      <c r="AS29" s="282"/>
      <c r="AT29" s="282"/>
      <c r="AU29" s="282"/>
      <c r="AV29" s="282"/>
      <c r="AW29" s="282"/>
      <c r="AX29" s="282"/>
      <c r="AY29" s="282"/>
      <c r="AZ29" s="282"/>
    </row>
    <row r="30">
      <c r="A30" s="209">
        <f>IFERROR(__xludf.DUMMYFUNCTION("""COMPUTED_VALUE"""),46060.0)</f>
        <v>46060</v>
      </c>
      <c r="B30" s="247">
        <f>IFERROR(__xludf.DUMMYFUNCTION("""COMPUTED_VALUE"""),0.4166666666678793)</f>
        <v>0.4166666667</v>
      </c>
      <c r="C30" s="218" t="str">
        <f>IFERROR(__xludf.DUMMYFUNCTION("""COMPUTED_VALUE"""),"Whatsapp")</f>
        <v>Whatsapp</v>
      </c>
      <c r="D30" s="218" t="str">
        <f>IFERROR(__xludf.DUMMYFUNCTION("""COMPUTED_VALUE"""),"Promotional")</f>
        <v>Promotional</v>
      </c>
      <c r="E30" s="218" t="str">
        <f>IFERROR(__xludf.DUMMYFUNCTION("""COMPUTED_VALUE"""),"CK")</f>
        <v>CK</v>
      </c>
      <c r="F30" s="218" t="str">
        <f>IFERROR(__xludf.DUMMYFUNCTION("""COMPUTED_VALUE"""),"Valentine's Day")</f>
        <v>Valentine's Day</v>
      </c>
      <c r="G30" s="218" t="str">
        <f>IFERROR(__xludf.DUMMYFUNCTION("""COMPUTED_VALUE"""),"V-Day collection_6th Jan_1")</f>
        <v>V-Day collection_6th Jan_1</v>
      </c>
      <c r="H30" s="218" t="str">
        <f>IFERROR(__xludf.DUMMYFUNCTION("""COMPUTED_VALUE"""),"ck_off_pr_recent_6thFeb OR CK_Online_Base_1jan_17nov OR ck_on_pr_last_36mnths_gen_25_Nov OR AGIPL_Internal")</f>
        <v>ck_off_pr_recent_6thFeb OR CK_Online_Base_1jan_17nov OR ck_on_pr_last_36mnths_gen_25_Nov OR AGIPL_Internal</v>
      </c>
      <c r="I30" s="218" t="str">
        <f>IFERROR(__xludf.DUMMYFUNCTION("""COMPUTED_VALUE"""),"Offline customers who have purchased atleast 1 time in the last 91 days Exclude Custom Segment :- Full Price Shopper")</f>
        <v>Offline customers who have purchased atleast 1 time in the last 91 days Exclude Custom Segment :- Full Price Shopper</v>
      </c>
      <c r="J30" s="213">
        <f>IFERROR(__xludf.DUMMYFUNCTION("""COMPUTED_VALUE"""),56890.0)</f>
        <v>56890</v>
      </c>
      <c r="K30" s="213">
        <f>IFERROR(__xludf.DUMMYFUNCTION("""COMPUTED_VALUE"""),16698.0)</f>
        <v>16698</v>
      </c>
      <c r="L30" s="214">
        <f>IFERROR(__xludf.DUMMYFUNCTION("""COMPUTED_VALUE"""),0.2935)</f>
        <v>0.2935</v>
      </c>
      <c r="M30" s="213">
        <f>IFERROR(__xludf.DUMMYFUNCTION("""COMPUTED_VALUE"""),6568.0)</f>
        <v>6568</v>
      </c>
      <c r="N30" s="214">
        <f>IFERROR(__xludf.DUMMYFUNCTION("""COMPUTED_VALUE"""),0.3934)</f>
        <v>0.3934</v>
      </c>
      <c r="O30" s="213">
        <f>IFERROR(__xludf.DUMMYFUNCTION("""COMPUTED_VALUE"""),417.0)</f>
        <v>417</v>
      </c>
      <c r="P30" s="213">
        <f>IFERROR(__xludf.DUMMYFUNCTION("""COMPUTED_VALUE"""),388.0)</f>
        <v>388</v>
      </c>
      <c r="Q30" s="214">
        <f>IFERROR(__xludf.DUMMYFUNCTION("""COMPUTED_VALUE"""),0.0232)</f>
        <v>0.0232</v>
      </c>
      <c r="R30" s="214">
        <f>IFERROR(__xludf.DUMMYFUNCTION("""COMPUTED_VALUE"""),0.0591)</f>
        <v>0.0591</v>
      </c>
      <c r="S30" s="270"/>
      <c r="T30" s="270"/>
      <c r="U30" s="270"/>
      <c r="V30" s="101" t="str">
        <f>IFERROR(__xludf.DUMMYFUNCTION("""COMPUTED_VALUE"""),"overall")</f>
        <v>overall</v>
      </c>
      <c r="W30" s="101" t="str">
        <f>IFERROR(__xludf.DUMMYFUNCTION("""COMPUTED_VALUE"""),"simple")</f>
        <v>simple</v>
      </c>
      <c r="X30" s="212"/>
      <c r="Y30" s="212" t="str">
        <f>IFERROR(__xludf.DUMMYFUNCTION("""COMPUTED_VALUE"""),"7th feb- 14th feb")</f>
        <v>7th feb- 14th feb</v>
      </c>
      <c r="Z30" s="212" t="str">
        <f>IFERROR(__xludf.DUMMYFUNCTION("""COMPUTED_VALUE"""),"6985e284f7a5dcffcb876844")</f>
        <v>6985e284f7a5dcffcb876844</v>
      </c>
      <c r="AA30" s="287">
        <f>IFERROR(__xludf.DUMMYFUNCTION("""COMPUTED_VALUE"""),68.0)</f>
        <v>68</v>
      </c>
      <c r="AB30" s="213">
        <f>IFERROR(__xludf.DUMMYFUNCTION("""COMPUTED_VALUE"""),0.0)</f>
        <v>0</v>
      </c>
      <c r="AC30" s="213">
        <f>IFERROR(__xludf.DUMMYFUNCTION("""COMPUTED_VALUE"""),68.0)</f>
        <v>68</v>
      </c>
      <c r="AD30" s="213">
        <f>IFERROR(__xludf.DUMMYFUNCTION("""COMPUTED_VALUE"""),851815.0)</f>
        <v>851815</v>
      </c>
      <c r="AE30" s="213">
        <f>IFERROR(__xludf.DUMMYFUNCTION("""COMPUTED_VALUE"""),0.0)</f>
        <v>0</v>
      </c>
      <c r="AF30" s="213">
        <f>IFERROR(__xludf.DUMMYFUNCTION("""COMPUTED_VALUE"""),851815.0)</f>
        <v>851815</v>
      </c>
      <c r="AG30" s="282"/>
      <c r="AH30" s="282"/>
      <c r="AI30" s="282"/>
      <c r="AJ30" s="282"/>
      <c r="AK30" s="282"/>
      <c r="AL30" s="282"/>
      <c r="AM30" s="282"/>
      <c r="AN30" s="282"/>
      <c r="AO30" s="282"/>
      <c r="AP30" s="282"/>
      <c r="AQ30" s="282"/>
      <c r="AR30" s="282"/>
      <c r="AS30" s="282"/>
      <c r="AT30" s="282"/>
      <c r="AU30" s="282"/>
      <c r="AV30" s="282"/>
      <c r="AW30" s="282"/>
      <c r="AX30" s="282"/>
      <c r="AY30" s="282"/>
      <c r="AZ30" s="282"/>
    </row>
    <row r="31">
      <c r="A31" s="209">
        <f>IFERROR(__xludf.DUMMYFUNCTION("""COMPUTED_VALUE"""),46060.0)</f>
        <v>46060</v>
      </c>
      <c r="B31" s="247">
        <f>IFERROR(__xludf.DUMMYFUNCTION("""COMPUTED_VALUE"""),0.4166666666678793)</f>
        <v>0.4166666667</v>
      </c>
      <c r="C31" s="218" t="str">
        <f>IFERROR(__xludf.DUMMYFUNCTION("""COMPUTED_VALUE"""),"Whatsapp")</f>
        <v>Whatsapp</v>
      </c>
      <c r="D31" s="218" t="str">
        <f>IFERROR(__xludf.DUMMYFUNCTION("""COMPUTED_VALUE"""),"Promotional")</f>
        <v>Promotional</v>
      </c>
      <c r="E31" s="218" t="str">
        <f>IFERROR(__xludf.DUMMYFUNCTION("""COMPUTED_VALUE"""),"CK")</f>
        <v>CK</v>
      </c>
      <c r="F31" s="218" t="str">
        <f>IFERROR(__xludf.DUMMYFUNCTION("""COMPUTED_VALUE"""),"Valentine's Day")</f>
        <v>Valentine's Day</v>
      </c>
      <c r="G31" s="218" t="str">
        <f>IFERROR(__xludf.DUMMYFUNCTION("""COMPUTED_VALUE"""),"V-Day collection_6th Jan_2")</f>
        <v>V-Day collection_6th Jan_2</v>
      </c>
      <c r="H31" s="218" t="str">
        <f>IFERROR(__xludf.DUMMYFUNCTION("""COMPUTED_VALUE"""),"ck_off_pr_dormant_6thFeb")</f>
        <v>ck_off_pr_dormant_6thFeb</v>
      </c>
      <c r="I31" s="218" t="str">
        <f>IFERROR(__xludf.DUMMYFUNCTION("""COMPUTED_VALUE"""),"Offline customers who have not purchased in the last 91 days but have purchased in the last 36 months and Exclude custom segment :- Full Price Shopper")</f>
        <v>Offline customers who have not purchased in the last 91 days but have purchased in the last 36 months and Exclude custom segment :- Full Price Shopper</v>
      </c>
      <c r="J31" s="213">
        <f>IFERROR(__xludf.DUMMYFUNCTION("""COMPUTED_VALUE"""),117867.0)</f>
        <v>117867</v>
      </c>
      <c r="K31" s="213">
        <f>IFERROR(__xludf.DUMMYFUNCTION("""COMPUTED_VALUE"""),41890.0)</f>
        <v>41890</v>
      </c>
      <c r="L31" s="214">
        <f>IFERROR(__xludf.DUMMYFUNCTION("""COMPUTED_VALUE"""),0.3554)</f>
        <v>0.3554</v>
      </c>
      <c r="M31" s="213">
        <f>IFERROR(__xludf.DUMMYFUNCTION("""COMPUTED_VALUE"""),13794.0)</f>
        <v>13794</v>
      </c>
      <c r="N31" s="214">
        <f>IFERROR(__xludf.DUMMYFUNCTION("""COMPUTED_VALUE"""),0.3293)</f>
        <v>0.3293</v>
      </c>
      <c r="O31" s="213">
        <f>IFERROR(__xludf.DUMMYFUNCTION("""COMPUTED_VALUE"""),633.0)</f>
        <v>633</v>
      </c>
      <c r="P31" s="213">
        <f>IFERROR(__xludf.DUMMYFUNCTION("""COMPUTED_VALUE"""),588.0)</f>
        <v>588</v>
      </c>
      <c r="Q31" s="214">
        <f>IFERROR(__xludf.DUMMYFUNCTION("""COMPUTED_VALUE"""),0.014)</f>
        <v>0.014</v>
      </c>
      <c r="R31" s="214">
        <f>IFERROR(__xludf.DUMMYFUNCTION("""COMPUTED_VALUE"""),0.0426)</f>
        <v>0.0426</v>
      </c>
      <c r="S31" s="270"/>
      <c r="T31" s="270"/>
      <c r="U31" s="270"/>
      <c r="V31" s="101" t="str">
        <f>IFERROR(__xludf.DUMMYFUNCTION("""COMPUTED_VALUE"""),"offline")</f>
        <v>offline</v>
      </c>
      <c r="W31" s="101" t="str">
        <f>IFERROR(__xludf.DUMMYFUNCTION("""COMPUTED_VALUE"""),"simple")</f>
        <v>simple</v>
      </c>
      <c r="X31" s="212" t="str">
        <f>IFERROR(__xludf.DUMMYFUNCTION("""COMPUTED_VALUE"""),"Dormant")</f>
        <v>Dormant</v>
      </c>
      <c r="Y31" s="212" t="str">
        <f>IFERROR(__xludf.DUMMYFUNCTION("""COMPUTED_VALUE"""),"7th feb- 14th feb")</f>
        <v>7th feb- 14th feb</v>
      </c>
      <c r="Z31" s="212" t="str">
        <f>IFERROR(__xludf.DUMMYFUNCTION("""COMPUTED_VALUE"""),"6985e2ac2b7701caa72b17ee")</f>
        <v>6985e2ac2b7701caa72b17ee</v>
      </c>
      <c r="AA31" s="287">
        <f>IFERROR(__xludf.DUMMYFUNCTION("""COMPUTED_VALUE"""),117.0)</f>
        <v>117</v>
      </c>
      <c r="AB31" s="213">
        <f>IFERROR(__xludf.DUMMYFUNCTION("""COMPUTED_VALUE"""),0.0)</f>
        <v>0</v>
      </c>
      <c r="AC31" s="213">
        <f>IFERROR(__xludf.DUMMYFUNCTION("""COMPUTED_VALUE"""),117.0)</f>
        <v>117</v>
      </c>
      <c r="AD31" s="213">
        <f>IFERROR(__xludf.DUMMYFUNCTION("""COMPUTED_VALUE"""),1466458.0)</f>
        <v>1466458</v>
      </c>
      <c r="AE31" s="213">
        <f>IFERROR(__xludf.DUMMYFUNCTION("""COMPUTED_VALUE"""),0.0)</f>
        <v>0</v>
      </c>
      <c r="AF31" s="213">
        <f>IFERROR(__xludf.DUMMYFUNCTION("""COMPUTED_VALUE"""),1466458.0)</f>
        <v>1466458</v>
      </c>
      <c r="AG31" s="282"/>
      <c r="AH31" s="282"/>
      <c r="AI31" s="282"/>
      <c r="AJ31" s="282"/>
      <c r="AK31" s="282"/>
      <c r="AL31" s="282"/>
      <c r="AM31" s="282"/>
      <c r="AN31" s="282"/>
      <c r="AO31" s="282"/>
      <c r="AP31" s="282"/>
      <c r="AQ31" s="282"/>
      <c r="AR31" s="282"/>
      <c r="AS31" s="282"/>
      <c r="AT31" s="282"/>
      <c r="AU31" s="282"/>
      <c r="AV31" s="282"/>
      <c r="AW31" s="282"/>
      <c r="AX31" s="282"/>
      <c r="AY31" s="282"/>
      <c r="AZ31" s="282"/>
    </row>
    <row r="32">
      <c r="A32" s="209">
        <f>IFERROR(__xludf.DUMMYFUNCTION("""COMPUTED_VALUE"""),46060.0)</f>
        <v>46060</v>
      </c>
      <c r="B32" s="247">
        <f>IFERROR(__xludf.DUMMYFUNCTION("""COMPUTED_VALUE"""),0.4166666666678793)</f>
        <v>0.4166666667</v>
      </c>
      <c r="C32" s="218" t="str">
        <f>IFERROR(__xludf.DUMMYFUNCTION("""COMPUTED_VALUE"""),"Whatsapp")</f>
        <v>Whatsapp</v>
      </c>
      <c r="D32" s="218" t="str">
        <f>IFERROR(__xludf.DUMMYFUNCTION("""COMPUTED_VALUE"""),"Promotional")</f>
        <v>Promotional</v>
      </c>
      <c r="E32" s="218" t="str">
        <f>IFERROR(__xludf.DUMMYFUNCTION("""COMPUTED_VALUE"""),"CK")</f>
        <v>CK</v>
      </c>
      <c r="F32" s="218" t="str">
        <f>IFERROR(__xludf.DUMMYFUNCTION("""COMPUTED_VALUE"""),"Valentine's Day")</f>
        <v>Valentine's Day</v>
      </c>
      <c r="G32" s="218" t="str">
        <f>IFERROR(__xludf.DUMMYFUNCTION("""COMPUTED_VALUE"""),"V-Day collection_6th Jan_3")</f>
        <v>V-Day collection_6th Jan_3</v>
      </c>
      <c r="H32" s="218" t="str">
        <f>IFERROR(__xludf.DUMMYFUNCTION("""COMPUTED_VALUE"""),"ck_off_pr_Order_Net_val_6thFeb")</f>
        <v>ck_off_pr_Order_Net_val_6thFeb</v>
      </c>
      <c r="I32" s="218" t="str">
        <f>IFERROR(__xludf.DUMMYFUNCTION("""COMPUTED_VALUE"""),"Offline customers who have purchased with Order_Net_Value is greater than 14999 ANd Exclude Customers who have purchased in the last 91 days")</f>
        <v>Offline customers who have purchased with Order_Net_Value is greater than 14999 ANd Exclude Customers who have purchased in the last 91 days</v>
      </c>
      <c r="J32" s="213">
        <f>IFERROR(__xludf.DUMMYFUNCTION("""COMPUTED_VALUE"""),20322.0)</f>
        <v>20322</v>
      </c>
      <c r="K32" s="213">
        <f>IFERROR(__xludf.DUMMYFUNCTION("""COMPUTED_VALUE"""),4896.0)</f>
        <v>4896</v>
      </c>
      <c r="L32" s="214">
        <f>IFERROR(__xludf.DUMMYFUNCTION("""COMPUTED_VALUE"""),0.2409)</f>
        <v>0.2409</v>
      </c>
      <c r="M32" s="213">
        <f>IFERROR(__xludf.DUMMYFUNCTION("""COMPUTED_VALUE"""),1879.0)</f>
        <v>1879</v>
      </c>
      <c r="N32" s="214">
        <f>IFERROR(__xludf.DUMMYFUNCTION("""COMPUTED_VALUE"""),0.3838)</f>
        <v>0.3838</v>
      </c>
      <c r="O32" s="213">
        <f>IFERROR(__xludf.DUMMYFUNCTION("""COMPUTED_VALUE"""),96.0)</f>
        <v>96</v>
      </c>
      <c r="P32" s="213">
        <f>IFERROR(__xludf.DUMMYFUNCTION("""COMPUTED_VALUE"""),89.0)</f>
        <v>89</v>
      </c>
      <c r="Q32" s="214">
        <f>IFERROR(__xludf.DUMMYFUNCTION("""COMPUTED_VALUE"""),0.0182)</f>
        <v>0.0182</v>
      </c>
      <c r="R32" s="214">
        <f>IFERROR(__xludf.DUMMYFUNCTION("""COMPUTED_VALUE"""),0.0474)</f>
        <v>0.0474</v>
      </c>
      <c r="S32" s="270"/>
      <c r="T32" s="270"/>
      <c r="U32" s="270"/>
      <c r="V32" s="101" t="str">
        <f>IFERROR(__xludf.DUMMYFUNCTION("""COMPUTED_VALUE"""),"offline")</f>
        <v>offline</v>
      </c>
      <c r="W32" s="101" t="str">
        <f>IFERROR(__xludf.DUMMYFUNCTION("""COMPUTED_VALUE"""),"simple")</f>
        <v>simple</v>
      </c>
      <c r="X32" s="212" t="str">
        <f>IFERROR(__xludf.DUMMYFUNCTION("""COMPUTED_VALUE"""),"no brief")</f>
        <v>no brief</v>
      </c>
      <c r="Y32" s="212" t="str">
        <f>IFERROR(__xludf.DUMMYFUNCTION("""COMPUTED_VALUE"""),"7th feb- 14th feb")</f>
        <v>7th feb- 14th feb</v>
      </c>
      <c r="Z32" s="212" t="str">
        <f>IFERROR(__xludf.DUMMYFUNCTION("""COMPUTED_VALUE"""),"6985e2e6dfcf880b14e220c8")</f>
        <v>6985e2e6dfcf880b14e220c8</v>
      </c>
      <c r="AA32" s="287">
        <f>IFERROR(__xludf.DUMMYFUNCTION("""COMPUTED_VALUE"""),23.0)</f>
        <v>23</v>
      </c>
      <c r="AB32" s="213"/>
      <c r="AC32" s="213">
        <f>IFERROR(__xludf.DUMMYFUNCTION("""COMPUTED_VALUE"""),23.0)</f>
        <v>23</v>
      </c>
      <c r="AD32" s="213">
        <f>IFERROR(__xludf.DUMMYFUNCTION("""COMPUTED_VALUE"""),318566.0)</f>
        <v>318566</v>
      </c>
      <c r="AE32" s="213">
        <f>IFERROR(__xludf.DUMMYFUNCTION("""COMPUTED_VALUE"""),0.0)</f>
        <v>0</v>
      </c>
      <c r="AF32" s="213">
        <f>IFERROR(__xludf.DUMMYFUNCTION("""COMPUTED_VALUE"""),318566.0)</f>
        <v>318566</v>
      </c>
      <c r="AG32" s="282"/>
      <c r="AH32" s="282"/>
      <c r="AI32" s="282"/>
      <c r="AJ32" s="282"/>
      <c r="AK32" s="282"/>
      <c r="AL32" s="282"/>
      <c r="AM32" s="282"/>
      <c r="AN32" s="282"/>
      <c r="AO32" s="282"/>
      <c r="AP32" s="282"/>
      <c r="AQ32" s="282"/>
      <c r="AR32" s="282"/>
      <c r="AS32" s="282"/>
      <c r="AT32" s="282"/>
      <c r="AU32" s="282"/>
      <c r="AV32" s="282"/>
      <c r="AW32" s="282"/>
      <c r="AX32" s="282"/>
      <c r="AY32" s="282"/>
      <c r="AZ32" s="282"/>
    </row>
    <row r="33">
      <c r="A33" s="209">
        <f>IFERROR(__xludf.DUMMYFUNCTION("""COMPUTED_VALUE"""),46067.0)</f>
        <v>46067</v>
      </c>
      <c r="B33" s="247">
        <f>IFERROR(__xludf.DUMMYFUNCTION("""COMPUTED_VALUE"""),0.4583333333321207)</f>
        <v>0.4583333333</v>
      </c>
      <c r="C33" s="218" t="str">
        <f>IFERROR(__xludf.DUMMYFUNCTION("""COMPUTED_VALUE"""),"Sms")</f>
        <v>Sms</v>
      </c>
      <c r="D33" s="218" t="str">
        <f>IFERROR(__xludf.DUMMYFUNCTION("""COMPUTED_VALUE"""),"Promotional")</f>
        <v>Promotional</v>
      </c>
      <c r="E33" s="218" t="str">
        <f>IFERROR(__xludf.DUMMYFUNCTION("""COMPUTED_VALUE"""),"CK")</f>
        <v>CK</v>
      </c>
      <c r="F33" s="218" t="str">
        <f>IFERROR(__xludf.DUMMYFUNCTION("""COMPUTED_VALUE"""),"Valentine's Day")</f>
        <v>Valentine's Day</v>
      </c>
      <c r="G33" s="218" t="str">
        <f>IFERROR(__xludf.DUMMYFUNCTION("""COMPUTED_VALUE"""),"V-Day GWP promo_14th Feb-1")</f>
        <v>V-Day GWP promo_14th Feb-1</v>
      </c>
      <c r="H33" s="218" t="str">
        <f>IFERROR(__xludf.DUMMYFUNCTION("""COMPUTED_VALUE"""),"ck_off_pr_recent_6thFeb OR CK_Online_Base_1jan_17nov OR ck_on_pr_last_36mnths_gen_25_Nov OR AGIPL_Internal")</f>
        <v>ck_off_pr_recent_6thFeb OR CK_Online_Base_1jan_17nov OR ck_on_pr_last_36mnths_gen_25_Nov OR AGIPL_Internal</v>
      </c>
      <c r="I33" s="218" t="str">
        <f>IFERROR(__xludf.DUMMYFUNCTION("""COMPUTED_VALUE"""),"Offline customers who have purchased atleast 1 time in the last 91 days Exclude Custom Segment :- Full Price Shopper")</f>
        <v>Offline customers who have purchased atleast 1 time in the last 91 days Exclude Custom Segment :- Full Price Shopper</v>
      </c>
      <c r="J33" s="213">
        <f>IFERROR(__xludf.DUMMYFUNCTION("""COMPUTED_VALUE"""),58191.0)</f>
        <v>58191</v>
      </c>
      <c r="K33" s="213">
        <f>IFERROR(__xludf.DUMMYFUNCTION("""COMPUTED_VALUE"""),33094.0)</f>
        <v>33094</v>
      </c>
      <c r="L33" s="214">
        <f>IFERROR(__xludf.DUMMYFUNCTION("""COMPUTED_VALUE"""),0.5687)</f>
        <v>0.5687</v>
      </c>
      <c r="M33" s="213"/>
      <c r="N33" s="214"/>
      <c r="O33" s="213"/>
      <c r="P33" s="213"/>
      <c r="Q33" s="214"/>
      <c r="R33" s="214"/>
      <c r="S33" s="270"/>
      <c r="T33" s="270"/>
      <c r="U33" s="270"/>
      <c r="V33" s="101" t="str">
        <f>IFERROR(__xludf.DUMMYFUNCTION("""COMPUTED_VALUE"""),"overall")</f>
        <v>overall</v>
      </c>
      <c r="W33" s="101" t="str">
        <f>IFERROR(__xludf.DUMMYFUNCTION("""COMPUTED_VALUE"""),"SMS")</f>
        <v>SMS</v>
      </c>
      <c r="X33" s="212" t="str">
        <f>IFERROR(__xludf.DUMMYFUNCTION("""COMPUTED_VALUE"""),"Recent")</f>
        <v>Recent</v>
      </c>
      <c r="Y33" s="212" t="str">
        <f>IFERROR(__xludf.DUMMYFUNCTION("""COMPUTED_VALUE"""),"14th-16th Feb")</f>
        <v>14th-16th Feb</v>
      </c>
      <c r="Z33" s="212" t="str">
        <f>IFERROR(__xludf.DUMMYFUNCTION("""COMPUTED_VALUE"""),"698f2721609e6d3a70f9ff0b")</f>
        <v>698f2721609e6d3a70f9ff0b</v>
      </c>
      <c r="AA33" s="287">
        <f>IFERROR(__xludf.DUMMYFUNCTION("""COMPUTED_VALUE"""),44.0)</f>
        <v>44</v>
      </c>
      <c r="AB33" s="213"/>
      <c r="AC33" s="213">
        <f>IFERROR(__xludf.DUMMYFUNCTION("""COMPUTED_VALUE"""),44.0)</f>
        <v>44</v>
      </c>
      <c r="AD33" s="213">
        <f>IFERROR(__xludf.DUMMYFUNCTION("""COMPUTED_VALUE"""),502848.0)</f>
        <v>502848</v>
      </c>
      <c r="AE33" s="213"/>
      <c r="AF33" s="213">
        <f>IFERROR(__xludf.DUMMYFUNCTION("""COMPUTED_VALUE"""),502848.0)</f>
        <v>502848</v>
      </c>
      <c r="AG33" s="282"/>
      <c r="AH33" s="282"/>
      <c r="AI33" s="282"/>
      <c r="AJ33" s="282"/>
      <c r="AK33" s="282"/>
      <c r="AL33" s="282"/>
      <c r="AM33" s="282"/>
      <c r="AN33" s="282"/>
      <c r="AO33" s="282"/>
      <c r="AP33" s="282"/>
      <c r="AQ33" s="282"/>
      <c r="AR33" s="282"/>
      <c r="AS33" s="282"/>
      <c r="AT33" s="282"/>
      <c r="AU33" s="282"/>
      <c r="AV33" s="282"/>
      <c r="AW33" s="282"/>
      <c r="AX33" s="282"/>
      <c r="AY33" s="282"/>
      <c r="AZ33" s="282"/>
    </row>
    <row r="34">
      <c r="A34" s="209">
        <f>IFERROR(__xludf.DUMMYFUNCTION("""COMPUTED_VALUE"""),46067.0)</f>
        <v>46067</v>
      </c>
      <c r="B34" s="247">
        <f>IFERROR(__xludf.DUMMYFUNCTION("""COMPUTED_VALUE"""),0.4583333333321207)</f>
        <v>0.4583333333</v>
      </c>
      <c r="C34" s="218" t="str">
        <f>IFERROR(__xludf.DUMMYFUNCTION("""COMPUTED_VALUE"""),"Sms")</f>
        <v>Sms</v>
      </c>
      <c r="D34" s="218" t="str">
        <f>IFERROR(__xludf.DUMMYFUNCTION("""COMPUTED_VALUE"""),"Promotional")</f>
        <v>Promotional</v>
      </c>
      <c r="E34" s="218" t="str">
        <f>IFERROR(__xludf.DUMMYFUNCTION("""COMPUTED_VALUE"""),"CK")</f>
        <v>CK</v>
      </c>
      <c r="F34" s="218" t="str">
        <f>IFERROR(__xludf.DUMMYFUNCTION("""COMPUTED_VALUE"""),"Valentine's Day")</f>
        <v>Valentine's Day</v>
      </c>
      <c r="G34" s="218" t="str">
        <f>IFERROR(__xludf.DUMMYFUNCTION("""COMPUTED_VALUE"""),"V-Day GWP promo_14th Feb-2")</f>
        <v>V-Day GWP promo_14th Feb-2</v>
      </c>
      <c r="H34" s="218" t="str">
        <f>IFERROR(__xludf.DUMMYFUNCTION("""COMPUTED_VALUE"""),"ck_off_pr_dormant_6thFeb")</f>
        <v>ck_off_pr_dormant_6thFeb</v>
      </c>
      <c r="I34" s="218" t="str">
        <f>IFERROR(__xludf.DUMMYFUNCTION("""COMPUTED_VALUE"""),"Offline customers who have not purchased in the last 91 days but have purchased in the last 36 months and Exclude custom segment :- Full Price Shopper")</f>
        <v>Offline customers who have not purchased in the last 91 days but have purchased in the last 36 months and Exclude custom segment :- Full Price Shopper</v>
      </c>
      <c r="J34" s="213">
        <f>IFERROR(__xludf.DUMMYFUNCTION("""COMPUTED_VALUE"""),118532.0)</f>
        <v>118532</v>
      </c>
      <c r="K34" s="213">
        <f>IFERROR(__xludf.DUMMYFUNCTION("""COMPUTED_VALUE"""),67231.0)</f>
        <v>67231</v>
      </c>
      <c r="L34" s="214">
        <f>IFERROR(__xludf.DUMMYFUNCTION("""COMPUTED_VALUE"""),0.5672)</f>
        <v>0.5672</v>
      </c>
      <c r="M34" s="213"/>
      <c r="N34" s="214"/>
      <c r="O34" s="213"/>
      <c r="P34" s="213"/>
      <c r="Q34" s="214"/>
      <c r="R34" s="214"/>
      <c r="S34" s="270"/>
      <c r="T34" s="270"/>
      <c r="U34" s="270"/>
      <c r="V34" s="101" t="str">
        <f>IFERROR(__xludf.DUMMYFUNCTION("""COMPUTED_VALUE"""),"offline")</f>
        <v>offline</v>
      </c>
      <c r="W34" s="101" t="str">
        <f>IFERROR(__xludf.DUMMYFUNCTION("""COMPUTED_VALUE"""),"SMS")</f>
        <v>SMS</v>
      </c>
      <c r="X34" s="212" t="str">
        <f>IFERROR(__xludf.DUMMYFUNCTION("""COMPUTED_VALUE"""),"Dormant")</f>
        <v>Dormant</v>
      </c>
      <c r="Y34" s="212" t="str">
        <f>IFERROR(__xludf.DUMMYFUNCTION("""COMPUTED_VALUE"""),"14th-16th Feb")</f>
        <v>14th-16th Feb</v>
      </c>
      <c r="Z34" s="212" t="str">
        <f>IFERROR(__xludf.DUMMYFUNCTION("""COMPUTED_VALUE"""),"698f27344220e2515b9856bb")</f>
        <v>698f27344220e2515b9856bb</v>
      </c>
      <c r="AA34" s="287">
        <f>IFERROR(__xludf.DUMMYFUNCTION("""COMPUTED_VALUE"""),67.0)</f>
        <v>67</v>
      </c>
      <c r="AB34" s="213"/>
      <c r="AC34" s="213">
        <f>IFERROR(__xludf.DUMMYFUNCTION("""COMPUTED_VALUE"""),67.0)</f>
        <v>67</v>
      </c>
      <c r="AD34" s="213">
        <f>IFERROR(__xludf.DUMMYFUNCTION("""COMPUTED_VALUE"""),877811.0)</f>
        <v>877811</v>
      </c>
      <c r="AE34" s="213"/>
      <c r="AF34" s="213">
        <f>IFERROR(__xludf.DUMMYFUNCTION("""COMPUTED_VALUE"""),877811.0)</f>
        <v>877811</v>
      </c>
      <c r="AG34" s="282"/>
      <c r="AH34" s="282"/>
      <c r="AI34" s="282"/>
      <c r="AJ34" s="282"/>
      <c r="AK34" s="282"/>
      <c r="AL34" s="282"/>
      <c r="AM34" s="282"/>
      <c r="AN34" s="282"/>
      <c r="AO34" s="282"/>
      <c r="AP34" s="282"/>
      <c r="AQ34" s="282"/>
      <c r="AR34" s="282"/>
      <c r="AS34" s="282"/>
      <c r="AT34" s="282"/>
      <c r="AU34" s="282"/>
      <c r="AV34" s="282"/>
      <c r="AW34" s="282"/>
      <c r="AX34" s="282"/>
      <c r="AY34" s="282"/>
      <c r="AZ34" s="282"/>
    </row>
    <row r="35">
      <c r="A35" s="209">
        <f>IFERROR(__xludf.DUMMYFUNCTION("""COMPUTED_VALUE"""),46067.0)</f>
        <v>46067</v>
      </c>
      <c r="B35" s="247">
        <f>IFERROR(__xludf.DUMMYFUNCTION("""COMPUTED_VALUE"""),0.4583333333321207)</f>
        <v>0.4583333333</v>
      </c>
      <c r="C35" s="218" t="str">
        <f>IFERROR(__xludf.DUMMYFUNCTION("""COMPUTED_VALUE"""),"Sms")</f>
        <v>Sms</v>
      </c>
      <c r="D35" s="218" t="str">
        <f>IFERROR(__xludf.DUMMYFUNCTION("""COMPUTED_VALUE"""),"Promotional")</f>
        <v>Promotional</v>
      </c>
      <c r="E35" s="218" t="str">
        <f>IFERROR(__xludf.DUMMYFUNCTION("""COMPUTED_VALUE"""),"CK")</f>
        <v>CK</v>
      </c>
      <c r="F35" s="218" t="str">
        <f>IFERROR(__xludf.DUMMYFUNCTION("""COMPUTED_VALUE"""),"Valentine's Day")</f>
        <v>Valentine's Day</v>
      </c>
      <c r="G35" s="218" t="str">
        <f>IFERROR(__xludf.DUMMYFUNCTION("""COMPUTED_VALUE"""),"V-Day GWP promo_14th Feb-3")</f>
        <v>V-Day GWP promo_14th Feb-3</v>
      </c>
      <c r="H35" s="218" t="str">
        <f>IFERROR(__xludf.DUMMYFUNCTION("""COMPUTED_VALUE"""),"ck_off_pr_Order_Net_val_6thFeb")</f>
        <v>ck_off_pr_Order_Net_val_6thFeb</v>
      </c>
      <c r="I35" s="218" t="str">
        <f>IFERROR(__xludf.DUMMYFUNCTION("""COMPUTED_VALUE"""),"Offline customers who have purchased with Order_Net_Value is greater than 14999 ANd Exclude Customers who have purchased in the last 91 days")</f>
        <v>Offline customers who have purchased with Order_Net_Value is greater than 14999 ANd Exclude Customers who have purchased in the last 91 days</v>
      </c>
      <c r="J35" s="213">
        <f>IFERROR(__xludf.DUMMYFUNCTION("""COMPUTED_VALUE"""),20428.0)</f>
        <v>20428</v>
      </c>
      <c r="K35" s="213">
        <f>IFERROR(__xludf.DUMMYFUNCTION("""COMPUTED_VALUE"""),10879.0)</f>
        <v>10879</v>
      </c>
      <c r="L35" s="214">
        <f>IFERROR(__xludf.DUMMYFUNCTION("""COMPUTED_VALUE"""),0.5326)</f>
        <v>0.5326</v>
      </c>
      <c r="M35" s="213"/>
      <c r="N35" s="214"/>
      <c r="O35" s="213"/>
      <c r="P35" s="213"/>
      <c r="Q35" s="214"/>
      <c r="R35" s="214"/>
      <c r="S35" s="270"/>
      <c r="T35" s="270"/>
      <c r="U35" s="270"/>
      <c r="V35" s="101" t="str">
        <f>IFERROR(__xludf.DUMMYFUNCTION("""COMPUTED_VALUE"""),"offline")</f>
        <v>offline</v>
      </c>
      <c r="W35" s="101" t="str">
        <f>IFERROR(__xludf.DUMMYFUNCTION("""COMPUTED_VALUE"""),"SMS")</f>
        <v>SMS</v>
      </c>
      <c r="X35" s="212" t="str">
        <f>IFERROR(__xludf.DUMMYFUNCTION("""COMPUTED_VALUE"""),"High Order Net Val&gt;14999")</f>
        <v>High Order Net Val&gt;14999</v>
      </c>
      <c r="Y35" s="212" t="str">
        <f>IFERROR(__xludf.DUMMYFUNCTION("""COMPUTED_VALUE"""),"14th-16th Feb")</f>
        <v>14th-16th Feb</v>
      </c>
      <c r="Z35" s="212" t="str">
        <f>IFERROR(__xludf.DUMMYFUNCTION("""COMPUTED_VALUE"""),"698f2747e610a066c9908ec1")</f>
        <v>698f2747e610a066c9908ec1</v>
      </c>
      <c r="AA35" s="287">
        <f>IFERROR(__xludf.DUMMYFUNCTION("""COMPUTED_VALUE"""),19.0)</f>
        <v>19</v>
      </c>
      <c r="AB35" s="213"/>
      <c r="AC35" s="213">
        <f>IFERROR(__xludf.DUMMYFUNCTION("""COMPUTED_VALUE"""),19.0)</f>
        <v>19</v>
      </c>
      <c r="AD35" s="213">
        <f>IFERROR(__xludf.DUMMYFUNCTION("""COMPUTED_VALUE"""),297967.0)</f>
        <v>297967</v>
      </c>
      <c r="AE35" s="213"/>
      <c r="AF35" s="213">
        <f>IFERROR(__xludf.DUMMYFUNCTION("""COMPUTED_VALUE"""),297967.0)</f>
        <v>297967</v>
      </c>
      <c r="AG35" s="282"/>
      <c r="AH35" s="282"/>
      <c r="AI35" s="282"/>
      <c r="AJ35" s="282"/>
      <c r="AK35" s="282"/>
      <c r="AL35" s="282"/>
      <c r="AM35" s="282"/>
      <c r="AN35" s="282"/>
      <c r="AO35" s="282"/>
      <c r="AP35" s="282"/>
      <c r="AQ35" s="282"/>
      <c r="AR35" s="282"/>
      <c r="AS35" s="282"/>
      <c r="AT35" s="282"/>
      <c r="AU35" s="282"/>
      <c r="AV35" s="282"/>
      <c r="AW35" s="282"/>
      <c r="AX35" s="282"/>
      <c r="AY35" s="282"/>
      <c r="AZ35" s="282"/>
    </row>
    <row r="36">
      <c r="A36" s="209">
        <f>IFERROR(__xludf.DUMMYFUNCTION("""COMPUTED_VALUE"""),46081.0)</f>
        <v>46081</v>
      </c>
      <c r="B36" s="247">
        <f>IFERROR(__xludf.DUMMYFUNCTION("""COMPUTED_VALUE"""),0.4166666666678793)</f>
        <v>0.4166666667</v>
      </c>
      <c r="C36" s="218" t="str">
        <f>IFERROR(__xludf.DUMMYFUNCTION("""COMPUTED_VALUE"""),"Whatsapp")</f>
        <v>Whatsapp</v>
      </c>
      <c r="D36" s="218" t="str">
        <f>IFERROR(__xludf.DUMMYFUNCTION("""COMPUTED_VALUE"""),"Promotional")</f>
        <v>Promotional</v>
      </c>
      <c r="E36" s="218" t="str">
        <f>IFERROR(__xludf.DUMMYFUNCTION("""COMPUTED_VALUE"""),"CK")</f>
        <v>CK</v>
      </c>
      <c r="F36" s="218" t="str">
        <f>IFERROR(__xludf.DUMMYFUNCTION("""COMPUTED_VALUE"""),"Spring 2026 campaign")</f>
        <v>Spring 2026 campaign</v>
      </c>
      <c r="G36" s="218" t="str">
        <f>IFERROR(__xludf.DUMMYFUNCTION("""COMPUTED_VALUE"""),"Spring 2026 campaign")</f>
        <v>Spring 2026 campaign</v>
      </c>
      <c r="H36" s="218" t="str">
        <f>IFERROR(__xludf.DUMMYFUNCTION("""COMPUTED_VALUE"""),"ck_off_nopr_90days_handbags OR CK_Online_Dormant_27Feb26")</f>
        <v>ck_off_nopr_90days_handbags OR CK_Online_Dormant_27Feb26</v>
      </c>
      <c r="I36" s="218" t="str">
        <f>IFERROR(__xludf.DUMMYFUNCTION("""COMPUTED_VALUE"""),"Customers who have purchased Cat L2 Handbags in entire duration witth txn channel offline  AND have not purchased in the last 90 days Cat L2 Handbags with txn channel offline")</f>
        <v>Customers who have purchased Cat L2 Handbags in entire duration witth txn channel offline  AND have not purchased in the last 90 days Cat L2 Handbags with txn channel offline</v>
      </c>
      <c r="J36" s="213">
        <f>IFERROR(__xludf.DUMMYFUNCTION("""COMPUTED_VALUE"""),175239.0)</f>
        <v>175239</v>
      </c>
      <c r="K36" s="213">
        <f>IFERROR(__xludf.DUMMYFUNCTION("""COMPUTED_VALUE"""),51108.0)</f>
        <v>51108</v>
      </c>
      <c r="L36" s="214">
        <f>IFERROR(__xludf.DUMMYFUNCTION("""COMPUTED_VALUE"""),0.2916)</f>
        <v>0.2916</v>
      </c>
      <c r="M36" s="213">
        <f>IFERROR(__xludf.DUMMYFUNCTION("""COMPUTED_VALUE"""),18394.0)</f>
        <v>18394</v>
      </c>
      <c r="N36" s="214">
        <f>IFERROR(__xludf.DUMMYFUNCTION("""COMPUTED_VALUE"""),0.3599)</f>
        <v>0.3599</v>
      </c>
      <c r="O36" s="213">
        <f>IFERROR(__xludf.DUMMYFUNCTION("""COMPUTED_VALUE"""),953.0)</f>
        <v>953</v>
      </c>
      <c r="P36" s="213">
        <f>IFERROR(__xludf.DUMMYFUNCTION("""COMPUTED_VALUE"""),896.0)</f>
        <v>896</v>
      </c>
      <c r="Q36" s="214">
        <f>IFERROR(__xludf.DUMMYFUNCTION("""COMPUTED_VALUE"""),0.0175)</f>
        <v>0.0175</v>
      </c>
      <c r="R36" s="214">
        <f>IFERROR(__xludf.DUMMYFUNCTION("""COMPUTED_VALUE"""),0.0487)</f>
        <v>0.0487</v>
      </c>
      <c r="S36" s="270"/>
      <c r="T36" s="270"/>
      <c r="U36" s="270"/>
      <c r="V36" s="101" t="str">
        <f>IFERROR(__xludf.DUMMYFUNCTION("""COMPUTED_VALUE"""),"overall")</f>
        <v>overall</v>
      </c>
      <c r="W36" s="101" t="str">
        <f>IFERROR(__xludf.DUMMYFUNCTION("""COMPUTED_VALUE"""),"simple")</f>
        <v>simple</v>
      </c>
      <c r="X36" s="212" t="str">
        <f>IFERROR(__xludf.DUMMYFUNCTION("""COMPUTED_VALUE"""),"Dormant")</f>
        <v>Dormant</v>
      </c>
      <c r="Y36" s="212" t="str">
        <f>IFERROR(__xludf.DUMMYFUNCTION("""COMPUTED_VALUE"""),"28th feb- 6th march")</f>
        <v>28th feb- 6th march</v>
      </c>
      <c r="Z36" s="212" t="str">
        <f>IFERROR(__xludf.DUMMYFUNCTION("""COMPUTED_VALUE"""),"69a19ff82f4b4d6cba546ed7")</f>
        <v>69a19ff82f4b4d6cba546ed7</v>
      </c>
      <c r="AA36" s="287">
        <f>IFERROR(__xludf.DUMMYFUNCTION("""COMPUTED_VALUE"""),90.0)</f>
        <v>90</v>
      </c>
      <c r="AB36" s="213"/>
      <c r="AC36" s="213">
        <f>IFERROR(__xludf.DUMMYFUNCTION("""COMPUTED_VALUE"""),90.0)</f>
        <v>90</v>
      </c>
      <c r="AD36" s="213">
        <f>IFERROR(__xludf.DUMMYFUNCTION("""COMPUTED_VALUE"""),1083983.0)</f>
        <v>1083983</v>
      </c>
      <c r="AE36" s="213"/>
      <c r="AF36" s="213">
        <f>IFERROR(__xludf.DUMMYFUNCTION("""COMPUTED_VALUE"""),1083983.0)</f>
        <v>1083983</v>
      </c>
      <c r="AG36" s="282"/>
      <c r="AH36" s="282"/>
      <c r="AI36" s="282"/>
      <c r="AJ36" s="282"/>
      <c r="AK36" s="282"/>
      <c r="AL36" s="282"/>
      <c r="AM36" s="282"/>
      <c r="AN36" s="282"/>
      <c r="AO36" s="282"/>
      <c r="AP36" s="282"/>
      <c r="AQ36" s="282"/>
      <c r="AR36" s="282"/>
      <c r="AS36" s="282"/>
      <c r="AT36" s="282"/>
      <c r="AU36" s="282"/>
      <c r="AV36" s="282"/>
      <c r="AW36" s="282"/>
      <c r="AX36" s="282"/>
      <c r="AY36" s="282"/>
      <c r="AZ36" s="282"/>
    </row>
    <row r="37">
      <c r="A37" s="209">
        <f>IFERROR(__xludf.DUMMYFUNCTION("""COMPUTED_VALUE"""),46081.0)</f>
        <v>46081</v>
      </c>
      <c r="B37" s="247">
        <f>IFERROR(__xludf.DUMMYFUNCTION("""COMPUTED_VALUE"""),0.4166666666678793)</f>
        <v>0.4166666667</v>
      </c>
      <c r="C37" s="218" t="str">
        <f>IFERROR(__xludf.DUMMYFUNCTION("""COMPUTED_VALUE"""),"Whatsapp")</f>
        <v>Whatsapp</v>
      </c>
      <c r="D37" s="218" t="str">
        <f>IFERROR(__xludf.DUMMYFUNCTION("""COMPUTED_VALUE"""),"Promotional")</f>
        <v>Promotional</v>
      </c>
      <c r="E37" s="218" t="str">
        <f>IFERROR(__xludf.DUMMYFUNCTION("""COMPUTED_VALUE"""),"CK")</f>
        <v>CK</v>
      </c>
      <c r="F37" s="218" t="str">
        <f>IFERROR(__xludf.DUMMYFUNCTION("""COMPUTED_VALUE"""),"Shoe New arrivals")</f>
        <v>Shoe New arrivals</v>
      </c>
      <c r="G37" s="218" t="str">
        <f>IFERROR(__xludf.DUMMYFUNCTION("""COMPUTED_VALUE"""),"Shoe New arrivals")</f>
        <v>Shoe New arrivals</v>
      </c>
      <c r="H37" s="218" t="str">
        <f>IFERROR(__xludf.DUMMYFUNCTION("""COMPUTED_VALUE"""),"ck_off_nopr_90days_footwear")</f>
        <v>ck_off_nopr_90days_footwear</v>
      </c>
      <c r="I37" s="218" t="str">
        <f>IFERROR(__xludf.DUMMYFUNCTION("""COMPUTED_VALUE"""),"Customers who have purchased Cat L1 Footwear in entire duration witth txn channel offline  AND have not purchased in the last 90 days Cat L1 Footwear with txn channel offline")</f>
        <v>Customers who have purchased Cat L1 Footwear in entire duration witth txn channel offline  AND have not purchased in the last 90 days Cat L1 Footwear with txn channel offline</v>
      </c>
      <c r="J37" s="213">
        <f>IFERROR(__xludf.DUMMYFUNCTION("""COMPUTED_VALUE"""),23049.0)</f>
        <v>23049</v>
      </c>
      <c r="K37" s="213">
        <f>IFERROR(__xludf.DUMMYFUNCTION("""COMPUTED_VALUE"""),1808.0)</f>
        <v>1808</v>
      </c>
      <c r="L37" s="214">
        <f>IFERROR(__xludf.DUMMYFUNCTION("""COMPUTED_VALUE"""),0.0784)</f>
        <v>0.0784</v>
      </c>
      <c r="M37" s="213">
        <f>IFERROR(__xludf.DUMMYFUNCTION("""COMPUTED_VALUE"""),1240.0)</f>
        <v>1240</v>
      </c>
      <c r="N37" s="214">
        <f>IFERROR(__xludf.DUMMYFUNCTION("""COMPUTED_VALUE"""),0.6858)</f>
        <v>0.6858</v>
      </c>
      <c r="O37" s="213">
        <f>IFERROR(__xludf.DUMMYFUNCTION("""COMPUTED_VALUE"""),55.0)</f>
        <v>55</v>
      </c>
      <c r="P37" s="213">
        <f>IFERROR(__xludf.DUMMYFUNCTION("""COMPUTED_VALUE"""),51.0)</f>
        <v>51</v>
      </c>
      <c r="Q37" s="214">
        <f>IFERROR(__xludf.DUMMYFUNCTION("""COMPUTED_VALUE"""),0.0282)</f>
        <v>0.0282</v>
      </c>
      <c r="R37" s="214">
        <f>IFERROR(__xludf.DUMMYFUNCTION("""COMPUTED_VALUE"""),0.0411)</f>
        <v>0.0411</v>
      </c>
      <c r="S37" s="270"/>
      <c r="T37" s="270"/>
      <c r="U37" s="270"/>
      <c r="V37" s="101" t="str">
        <f>IFERROR(__xludf.DUMMYFUNCTION("""COMPUTED_VALUE"""),"offline")</f>
        <v>offline</v>
      </c>
      <c r="W37" s="101" t="str">
        <f>IFERROR(__xludf.DUMMYFUNCTION("""COMPUTED_VALUE"""),"simple")</f>
        <v>simple</v>
      </c>
      <c r="X37" s="212" t="str">
        <f>IFERROR(__xludf.DUMMYFUNCTION("""COMPUTED_VALUE"""),"no brief")</f>
        <v>no brief</v>
      </c>
      <c r="Y37" s="212" t="str">
        <f>IFERROR(__xludf.DUMMYFUNCTION("""COMPUTED_VALUE"""),"28th feb- 6th march")</f>
        <v>28th feb- 6th march</v>
      </c>
      <c r="Z37" s="212" t="str">
        <f>IFERROR(__xludf.DUMMYFUNCTION("""COMPUTED_VALUE"""),"69a1a0e347f72e643c00a555")</f>
        <v>69a1a0e347f72e643c00a555</v>
      </c>
      <c r="AA37" s="287">
        <f>IFERROR(__xludf.DUMMYFUNCTION("""COMPUTED_VALUE"""),7.0)</f>
        <v>7</v>
      </c>
      <c r="AB37" s="213"/>
      <c r="AC37" s="213">
        <f>IFERROR(__xludf.DUMMYFUNCTION("""COMPUTED_VALUE"""),7.0)</f>
        <v>7</v>
      </c>
      <c r="AD37" s="213">
        <f>IFERROR(__xludf.DUMMYFUNCTION("""COMPUTED_VALUE"""),105989.0)</f>
        <v>105989</v>
      </c>
      <c r="AE37" s="213"/>
      <c r="AF37" s="213">
        <f>IFERROR(__xludf.DUMMYFUNCTION("""COMPUTED_VALUE"""),105989.0)</f>
        <v>105989</v>
      </c>
      <c r="AG37" s="282"/>
      <c r="AH37" s="282"/>
      <c r="AI37" s="282"/>
      <c r="AJ37" s="282"/>
      <c r="AK37" s="282"/>
      <c r="AL37" s="282"/>
      <c r="AM37" s="282"/>
      <c r="AN37" s="282"/>
      <c r="AO37" s="282"/>
      <c r="AP37" s="282"/>
      <c r="AQ37" s="282"/>
      <c r="AR37" s="282"/>
      <c r="AS37" s="282"/>
      <c r="AT37" s="282"/>
      <c r="AU37" s="282"/>
      <c r="AV37" s="282"/>
      <c r="AW37" s="282"/>
      <c r="AX37" s="282"/>
      <c r="AY37" s="282"/>
      <c r="AZ37" s="282"/>
    </row>
    <row r="38">
      <c r="A38" s="209">
        <f>IFERROR(__xludf.DUMMYFUNCTION("""COMPUTED_VALUE"""),46081.0)</f>
        <v>46081</v>
      </c>
      <c r="B38" s="247">
        <f>IFERROR(__xludf.DUMMYFUNCTION("""COMPUTED_VALUE"""),0.5)</f>
        <v>0.5</v>
      </c>
      <c r="C38" s="218" t="str">
        <f>IFERROR(__xludf.DUMMYFUNCTION("""COMPUTED_VALUE"""),"Sms")</f>
        <v>Sms</v>
      </c>
      <c r="D38" s="218" t="str">
        <f>IFERROR(__xludf.DUMMYFUNCTION("""COMPUTED_VALUE"""),"Fallback Campaign")</f>
        <v>Fallback Campaign</v>
      </c>
      <c r="E38" s="218" t="str">
        <f>IFERROR(__xludf.DUMMYFUNCTION("""COMPUTED_VALUE"""),"CK")</f>
        <v>CK</v>
      </c>
      <c r="F38" s="218" t="str">
        <f>IFERROR(__xludf.DUMMYFUNCTION("""COMPUTED_VALUE"""),"Shoe New arrivals")</f>
        <v>Shoe New arrivals</v>
      </c>
      <c r="G38" s="218" t="str">
        <f>IFERROR(__xludf.DUMMYFUNCTION("""COMPUTED_VALUE"""),"Shoe New arrivals_1")</f>
        <v>Shoe New arrivals_1</v>
      </c>
      <c r="H38" s="218" t="str">
        <f>IFERROR(__xludf.DUMMYFUNCTION("""COMPUTED_VALUE"""),"ck_off_nopr_90days_footwear")</f>
        <v>ck_off_nopr_90days_footwear</v>
      </c>
      <c r="I38" s="218" t="str">
        <f>IFERROR(__xludf.DUMMYFUNCTION("""COMPUTED_VALUE"""),"WA Undelivered")</f>
        <v>WA Undelivered</v>
      </c>
      <c r="J38" s="213">
        <f>IFERROR(__xludf.DUMMYFUNCTION("""COMPUTED_VALUE"""),21137.0)</f>
        <v>21137</v>
      </c>
      <c r="K38" s="213">
        <f>IFERROR(__xludf.DUMMYFUNCTION("""COMPUTED_VALUE"""),10764.0)</f>
        <v>10764</v>
      </c>
      <c r="L38" s="214">
        <f>IFERROR(__xludf.DUMMYFUNCTION("""COMPUTED_VALUE"""),0.5092)</f>
        <v>0.5092</v>
      </c>
      <c r="M38" s="213"/>
      <c r="N38" s="214"/>
      <c r="O38" s="213">
        <f>IFERROR(__xludf.DUMMYFUNCTION("""COMPUTED_VALUE"""),0.0)</f>
        <v>0</v>
      </c>
      <c r="P38" s="213"/>
      <c r="Q38" s="214">
        <f>IFERROR(__xludf.DUMMYFUNCTION("""COMPUTED_VALUE"""),0.0)</f>
        <v>0</v>
      </c>
      <c r="R38" s="214"/>
      <c r="S38" s="270"/>
      <c r="T38" s="270"/>
      <c r="U38" s="270"/>
      <c r="V38" s="101" t="str">
        <f>IFERROR(__xludf.DUMMYFUNCTION("""COMPUTED_VALUE"""),"offline")</f>
        <v>offline</v>
      </c>
      <c r="W38" s="101" t="str">
        <f>IFERROR(__xludf.DUMMYFUNCTION("""COMPUTED_VALUE"""),"SMS")</f>
        <v>SMS</v>
      </c>
      <c r="X38" s="212" t="str">
        <f>IFERROR(__xludf.DUMMYFUNCTION("""COMPUTED_VALUE"""),"no brief")</f>
        <v>no brief</v>
      </c>
      <c r="Y38" s="212" t="str">
        <f>IFERROR(__xludf.DUMMYFUNCTION("""COMPUTED_VALUE"""),"28th feb- 6th march")</f>
        <v>28th feb- 6th march</v>
      </c>
      <c r="Z38" s="212" t="str">
        <f>IFERROR(__xludf.DUMMYFUNCTION("""COMPUTED_VALUE"""),"69a1a8eadc1e014bdb3205e5")</f>
        <v>69a1a8eadc1e014bdb3205e5</v>
      </c>
      <c r="AA38" s="287">
        <f>IFERROR(__xludf.DUMMYFUNCTION("""COMPUTED_VALUE"""),62.0)</f>
        <v>62</v>
      </c>
      <c r="AB38" s="213"/>
      <c r="AC38" s="213">
        <f>IFERROR(__xludf.DUMMYFUNCTION("""COMPUTED_VALUE"""),62.0)</f>
        <v>62</v>
      </c>
      <c r="AD38" s="213">
        <f>IFERROR(__xludf.DUMMYFUNCTION("""COMPUTED_VALUE"""),916505.0)</f>
        <v>916505</v>
      </c>
      <c r="AE38" s="213"/>
      <c r="AF38" s="213">
        <f>IFERROR(__xludf.DUMMYFUNCTION("""COMPUTED_VALUE"""),916505.0)</f>
        <v>916505</v>
      </c>
      <c r="AG38" s="282"/>
      <c r="AH38" s="282"/>
      <c r="AI38" s="282"/>
      <c r="AJ38" s="282"/>
      <c r="AK38" s="282"/>
      <c r="AL38" s="282"/>
      <c r="AM38" s="282"/>
      <c r="AN38" s="282"/>
      <c r="AO38" s="282"/>
      <c r="AP38" s="282"/>
      <c r="AQ38" s="282"/>
      <c r="AR38" s="282"/>
      <c r="AS38" s="282"/>
      <c r="AT38" s="282"/>
      <c r="AU38" s="282"/>
      <c r="AV38" s="282"/>
      <c r="AW38" s="282"/>
      <c r="AX38" s="282"/>
      <c r="AY38" s="282"/>
      <c r="AZ38" s="282"/>
    </row>
    <row r="39">
      <c r="A39" s="209">
        <f>IFERROR(__xludf.DUMMYFUNCTION("""COMPUTED_VALUE"""),46081.0)</f>
        <v>46081</v>
      </c>
      <c r="B39" s="247">
        <f>IFERROR(__xludf.DUMMYFUNCTION("""COMPUTED_VALUE"""),0.5)</f>
        <v>0.5</v>
      </c>
      <c r="C39" s="218" t="str">
        <f>IFERROR(__xludf.DUMMYFUNCTION("""COMPUTED_VALUE"""),"Sms")</f>
        <v>Sms</v>
      </c>
      <c r="D39" s="218" t="str">
        <f>IFERROR(__xludf.DUMMYFUNCTION("""COMPUTED_VALUE"""),"Fallback Campaign")</f>
        <v>Fallback Campaign</v>
      </c>
      <c r="E39" s="218" t="str">
        <f>IFERROR(__xludf.DUMMYFUNCTION("""COMPUTED_VALUE"""),"CK")</f>
        <v>CK</v>
      </c>
      <c r="F39" s="218" t="str">
        <f>IFERROR(__xludf.DUMMYFUNCTION("""COMPUTED_VALUE"""),"Spring 2026 campaign")</f>
        <v>Spring 2026 campaign</v>
      </c>
      <c r="G39" s="218" t="str">
        <f>IFERROR(__xludf.DUMMYFUNCTION("""COMPUTED_VALUE"""),"Spring 2026 campaign_1")</f>
        <v>Spring 2026 campaign_1</v>
      </c>
      <c r="H39" s="218" t="str">
        <f>IFERROR(__xludf.DUMMYFUNCTION("""COMPUTED_VALUE"""),"ck_off_nopr_90days_handbags OR CK_Online_Dormant_27Feb26")</f>
        <v>ck_off_nopr_90days_handbags OR CK_Online_Dormant_27Feb26</v>
      </c>
      <c r="I39" s="218" t="str">
        <f>IFERROR(__xludf.DUMMYFUNCTION("""COMPUTED_VALUE"""),"WA Undelivered")</f>
        <v>WA Undelivered</v>
      </c>
      <c r="J39" s="213">
        <f>IFERROR(__xludf.DUMMYFUNCTION("""COMPUTED_VALUE"""),122083.0)</f>
        <v>122083</v>
      </c>
      <c r="K39" s="213">
        <f>IFERROR(__xludf.DUMMYFUNCTION("""COMPUTED_VALUE"""),70697.0)</f>
        <v>70697</v>
      </c>
      <c r="L39" s="214">
        <f>IFERROR(__xludf.DUMMYFUNCTION("""COMPUTED_VALUE"""),0.5791)</f>
        <v>0.5791</v>
      </c>
      <c r="M39" s="213"/>
      <c r="N39" s="214"/>
      <c r="O39" s="213">
        <f>IFERROR(__xludf.DUMMYFUNCTION("""COMPUTED_VALUE"""),0.0)</f>
        <v>0</v>
      </c>
      <c r="P39" s="213"/>
      <c r="Q39" s="214">
        <f>IFERROR(__xludf.DUMMYFUNCTION("""COMPUTED_VALUE"""),0.0)</f>
        <v>0</v>
      </c>
      <c r="R39" s="214"/>
      <c r="S39" s="270"/>
      <c r="T39" s="270"/>
      <c r="U39" s="270"/>
      <c r="V39" s="101" t="str">
        <f>IFERROR(__xludf.DUMMYFUNCTION("""COMPUTED_VALUE"""),"overall")</f>
        <v>overall</v>
      </c>
      <c r="W39" s="101" t="str">
        <f>IFERROR(__xludf.DUMMYFUNCTION("""COMPUTED_VALUE"""),"SMS")</f>
        <v>SMS</v>
      </c>
      <c r="X39" s="212" t="str">
        <f>IFERROR(__xludf.DUMMYFUNCTION("""COMPUTED_VALUE"""),"Dormant")</f>
        <v>Dormant</v>
      </c>
      <c r="Y39" s="212" t="str">
        <f>IFERROR(__xludf.DUMMYFUNCTION("""COMPUTED_VALUE"""),"28th feb- 6th march")</f>
        <v>28th feb- 6th march</v>
      </c>
      <c r="Z39" s="212" t="str">
        <f>IFERROR(__xludf.DUMMYFUNCTION("""COMPUTED_VALUE"""),"69a1a990daef443a2120e14e")</f>
        <v>69a1a990daef443a2120e14e</v>
      </c>
      <c r="AA39" s="287">
        <f>IFERROR(__xludf.DUMMYFUNCTION("""COMPUTED_VALUE"""),165.0)</f>
        <v>165</v>
      </c>
      <c r="AB39" s="213"/>
      <c r="AC39" s="213">
        <f>IFERROR(__xludf.DUMMYFUNCTION("""COMPUTED_VALUE"""),165.0)</f>
        <v>165</v>
      </c>
      <c r="AD39" s="213">
        <f>IFERROR(__xludf.DUMMYFUNCTION("""COMPUTED_VALUE"""),2079688.0)</f>
        <v>2079688</v>
      </c>
      <c r="AE39" s="213"/>
      <c r="AF39" s="213">
        <f>IFERROR(__xludf.DUMMYFUNCTION("""COMPUTED_VALUE"""),2079688.0)</f>
        <v>2079688</v>
      </c>
      <c r="AG39" s="282"/>
      <c r="AH39" s="282"/>
      <c r="AI39" s="282"/>
      <c r="AJ39" s="282"/>
      <c r="AK39" s="282"/>
      <c r="AL39" s="282"/>
      <c r="AM39" s="282"/>
      <c r="AN39" s="282"/>
      <c r="AO39" s="282"/>
      <c r="AP39" s="282"/>
      <c r="AQ39" s="282"/>
      <c r="AR39" s="282"/>
      <c r="AS39" s="282"/>
      <c r="AT39" s="282"/>
      <c r="AU39" s="282"/>
      <c r="AV39" s="282"/>
      <c r="AW39" s="282"/>
      <c r="AX39" s="282"/>
      <c r="AY39" s="282"/>
      <c r="AZ39" s="282"/>
    </row>
    <row r="40">
      <c r="A40" s="209">
        <f>IFERROR(__xludf.DUMMYFUNCTION("""COMPUTED_VALUE"""),46086.0)</f>
        <v>46086</v>
      </c>
      <c r="B40" s="247">
        <f>IFERROR(__xludf.DUMMYFUNCTION("""COMPUTED_VALUE"""),0.4583333333321207)</f>
        <v>0.4583333333</v>
      </c>
      <c r="C40" s="218" t="str">
        <f>IFERROR(__xludf.DUMMYFUNCTION("""COMPUTED_VALUE"""),"Sms")</f>
        <v>Sms</v>
      </c>
      <c r="D40" s="218" t="str">
        <f>IFERROR(__xludf.DUMMYFUNCTION("""COMPUTED_VALUE"""),"Promotional")</f>
        <v>Promotional</v>
      </c>
      <c r="E40" s="218" t="str">
        <f>IFERROR(__xludf.DUMMYFUNCTION("""COMPUTED_VALUE"""),"CK")</f>
        <v>CK</v>
      </c>
      <c r="F40" s="218" t="str">
        <f>IFERROR(__xludf.DUMMYFUNCTION("""COMPUTED_VALUE"""),"Women's Day")</f>
        <v>Women's Day</v>
      </c>
      <c r="G40" s="218" t="str">
        <f>IFERROR(__xludf.DUMMYFUNCTION("""COMPUTED_VALUE"""),"CK_IWD promo_5th Mar_1")</f>
        <v>CK_IWD promo_5th Mar_1</v>
      </c>
      <c r="H40" s="218" t="str">
        <f>IFERROR(__xludf.DUMMYFUNCTION("""COMPUTED_VALUE"""),"ck_off_pr_last_36mnths_gen_25_Nov")</f>
        <v>ck_off_pr_last_36mnths_gen_25_Nov</v>
      </c>
      <c r="I40" s="218" t="str">
        <f>IFERROR(__xludf.DUMMYFUNCTION("""COMPUTED_VALUE"""),"Customers who have purchased in the last 86 days with txn channel offline and Excluding the event buyers segment")</f>
        <v>Customers who have purchased in the last 86 days with txn channel offline and Excluding the event buyers segment</v>
      </c>
      <c r="J40" s="213">
        <f>IFERROR(__xludf.DUMMYFUNCTION("""COMPUTED_VALUE"""),23812.0)</f>
        <v>23812</v>
      </c>
      <c r="K40" s="213">
        <f>IFERROR(__xludf.DUMMYFUNCTION("""COMPUTED_VALUE"""),14167.0)</f>
        <v>14167</v>
      </c>
      <c r="L40" s="214">
        <f>IFERROR(__xludf.DUMMYFUNCTION("""COMPUTED_VALUE"""),0.595)</f>
        <v>0.595</v>
      </c>
      <c r="M40" s="213"/>
      <c r="N40" s="214"/>
      <c r="O40" s="213">
        <f>IFERROR(__xludf.DUMMYFUNCTION("""COMPUTED_VALUE"""),0.0)</f>
        <v>0</v>
      </c>
      <c r="P40" s="213"/>
      <c r="Q40" s="214">
        <f>IFERROR(__xludf.DUMMYFUNCTION("""COMPUTED_VALUE"""),0.0)</f>
        <v>0</v>
      </c>
      <c r="R40" s="214"/>
      <c r="S40" s="270"/>
      <c r="T40" s="270"/>
      <c r="U40" s="270"/>
      <c r="V40" s="101" t="str">
        <f>IFERROR(__xludf.DUMMYFUNCTION("""COMPUTED_VALUE"""),"offline")</f>
        <v>offline</v>
      </c>
      <c r="W40" s="101" t="str">
        <f>IFERROR(__xludf.DUMMYFUNCTION("""COMPUTED_VALUE"""),"SMS")</f>
        <v>SMS</v>
      </c>
      <c r="X40" s="212" t="str">
        <f>IFERROR(__xludf.DUMMYFUNCTION("""COMPUTED_VALUE"""),"Recent")</f>
        <v>Recent</v>
      </c>
      <c r="Y40" s="212" t="str">
        <f>IFERROR(__xludf.DUMMYFUNCTION("""COMPUTED_VALUE"""),"5th to 9th march")</f>
        <v>5th to 9th march</v>
      </c>
      <c r="Z40" s="212" t="str">
        <f>IFERROR(__xludf.DUMMYFUNCTION("""COMPUTED_VALUE"""),"69a6825c97ce528f631504a5")</f>
        <v>69a6825c97ce528f631504a5</v>
      </c>
      <c r="AA40" s="287">
        <f>IFERROR(__xludf.DUMMYFUNCTION("""COMPUTED_VALUE"""),76.0)</f>
        <v>76</v>
      </c>
      <c r="AB40" s="213"/>
      <c r="AC40" s="213">
        <f>IFERROR(__xludf.DUMMYFUNCTION("""COMPUTED_VALUE"""),76.0)</f>
        <v>76</v>
      </c>
      <c r="AD40" s="213">
        <f>IFERROR(__xludf.DUMMYFUNCTION("""COMPUTED_VALUE"""),1052584.0)</f>
        <v>1052584</v>
      </c>
      <c r="AE40" s="213"/>
      <c r="AF40" s="213">
        <f>IFERROR(__xludf.DUMMYFUNCTION("""COMPUTED_VALUE"""),1052584.0)</f>
        <v>1052584</v>
      </c>
      <c r="AG40" s="282"/>
      <c r="AH40" s="282"/>
      <c r="AI40" s="282"/>
      <c r="AJ40" s="282"/>
      <c r="AK40" s="282"/>
      <c r="AL40" s="282"/>
      <c r="AM40" s="282"/>
      <c r="AN40" s="282"/>
      <c r="AO40" s="282"/>
      <c r="AP40" s="282"/>
      <c r="AQ40" s="282"/>
      <c r="AR40" s="282"/>
      <c r="AS40" s="282"/>
      <c r="AT40" s="282"/>
      <c r="AU40" s="282"/>
      <c r="AV40" s="282"/>
      <c r="AW40" s="282"/>
      <c r="AX40" s="282"/>
      <c r="AY40" s="282"/>
      <c r="AZ40" s="282"/>
    </row>
    <row r="41">
      <c r="A41" s="209">
        <f>IFERROR(__xludf.DUMMYFUNCTION("""COMPUTED_VALUE"""),46086.0)</f>
        <v>46086</v>
      </c>
      <c r="B41" s="247">
        <f>IFERROR(__xludf.DUMMYFUNCTION("""COMPUTED_VALUE"""),0.4583333333321207)</f>
        <v>0.4583333333</v>
      </c>
      <c r="C41" s="218" t="str">
        <f>IFERROR(__xludf.DUMMYFUNCTION("""COMPUTED_VALUE"""),"Sms")</f>
        <v>Sms</v>
      </c>
      <c r="D41" s="218" t="str">
        <f>IFERROR(__xludf.DUMMYFUNCTION("""COMPUTED_VALUE"""),"Promotional")</f>
        <v>Promotional</v>
      </c>
      <c r="E41" s="218" t="str">
        <f>IFERROR(__xludf.DUMMYFUNCTION("""COMPUTED_VALUE"""),"CK")</f>
        <v>CK</v>
      </c>
      <c r="F41" s="218" t="str">
        <f>IFERROR(__xludf.DUMMYFUNCTION("""COMPUTED_VALUE"""),"Women's Day")</f>
        <v>Women's Day</v>
      </c>
      <c r="G41" s="218" t="str">
        <f>IFERROR(__xludf.DUMMYFUNCTION("""COMPUTED_VALUE"""),"CK_IWD promo_5th Mar_2")</f>
        <v>CK_IWD promo_5th Mar_2</v>
      </c>
      <c r="H41" s="218" t="str">
        <f>IFERROR(__xludf.DUMMYFUNCTION("""COMPUTED_VALUE"""),"ck_off_pr_evntbuyers_bfs_25_Nov OR ck_off_pr_notpr_last86days_16thDec")</f>
        <v>ck_off_pr_evntbuyers_bfs_25_Nov OR ck_off_pr_notpr_last86days_16thDec</v>
      </c>
      <c r="I41" s="218" t="str">
        <f>IFERROR(__xludf.DUMMYFUNCTION("""COMPUTED_VALUE"""),"Customers who have purchased from 22nd Nov 2023 to 27th Nov 2023 with txn channel offline OR 27th Nov 2024 to 2nd Dec 2024 with txn channel offline OR 26th Nov 2025 to 1st Dec 2025 with txn channel offline, Customers who have purchased in the entire durat"&amp;"ion with txn channel offline AND customer who have not purchased in the last 86 days with txn channel offline and excluding the events buyers segment")</f>
        <v>Customers who have purchased from 22nd Nov 2023 to 27th Nov 2023 with txn channel offline OR 27th Nov 2024 to 2nd Dec 2024 with txn channel offline OR 26th Nov 2025 to 1st Dec 2025 with txn channel offline, Customers who have purchased in the entire duration with txn channel offline AND customer who have not purchased in the last 86 days with txn channel offline and excluding the events buyers segment</v>
      </c>
      <c r="J41" s="213">
        <f>IFERROR(__xludf.DUMMYFUNCTION("""COMPUTED_VALUE"""),143568.0)</f>
        <v>143568</v>
      </c>
      <c r="K41" s="213">
        <f>IFERROR(__xludf.DUMMYFUNCTION("""COMPUTED_VALUE"""),80992.0)</f>
        <v>80992</v>
      </c>
      <c r="L41" s="214">
        <f>IFERROR(__xludf.DUMMYFUNCTION("""COMPUTED_VALUE"""),0.5641)</f>
        <v>0.5641</v>
      </c>
      <c r="M41" s="213"/>
      <c r="N41" s="214"/>
      <c r="O41" s="213">
        <f>IFERROR(__xludf.DUMMYFUNCTION("""COMPUTED_VALUE"""),0.0)</f>
        <v>0</v>
      </c>
      <c r="P41" s="213"/>
      <c r="Q41" s="214">
        <f>IFERROR(__xludf.DUMMYFUNCTION("""COMPUTED_VALUE"""),0.0)</f>
        <v>0</v>
      </c>
      <c r="R41" s="214"/>
      <c r="S41" s="270"/>
      <c r="T41" s="270"/>
      <c r="U41" s="270"/>
      <c r="V41" s="101" t="str">
        <f>IFERROR(__xludf.DUMMYFUNCTION("""COMPUTED_VALUE"""),"offline")</f>
        <v>offline</v>
      </c>
      <c r="W41" s="101" t="str">
        <f>IFERROR(__xludf.DUMMYFUNCTION("""COMPUTED_VALUE"""),"SMS")</f>
        <v>SMS</v>
      </c>
      <c r="X41" s="212" t="str">
        <f>IFERROR(__xludf.DUMMYFUNCTION("""COMPUTED_VALUE"""),"Event Buyers")</f>
        <v>Event Buyers</v>
      </c>
      <c r="Y41" s="212" t="str">
        <f>IFERROR(__xludf.DUMMYFUNCTION("""COMPUTED_VALUE"""),"5th to 9th march")</f>
        <v>5th to 9th march</v>
      </c>
      <c r="Z41" s="212" t="str">
        <f>IFERROR(__xludf.DUMMYFUNCTION("""COMPUTED_VALUE"""),"69a6834db6deadc69162406e")</f>
        <v>69a6834db6deadc69162406e</v>
      </c>
      <c r="AA41" s="287">
        <f>IFERROR(__xludf.DUMMYFUNCTION("""COMPUTED_VALUE"""),234.0)</f>
        <v>234</v>
      </c>
      <c r="AB41" s="213"/>
      <c r="AC41" s="213">
        <f>IFERROR(__xludf.DUMMYFUNCTION("""COMPUTED_VALUE"""),234.0)</f>
        <v>234</v>
      </c>
      <c r="AD41" s="213">
        <f>IFERROR(__xludf.DUMMYFUNCTION("""COMPUTED_VALUE"""),3179641.0)</f>
        <v>3179641</v>
      </c>
      <c r="AE41" s="213"/>
      <c r="AF41" s="213">
        <f>IFERROR(__xludf.DUMMYFUNCTION("""COMPUTED_VALUE"""),3179641.0)</f>
        <v>3179641</v>
      </c>
      <c r="AG41" s="282"/>
      <c r="AH41" s="282"/>
      <c r="AI41" s="282"/>
      <c r="AJ41" s="282"/>
      <c r="AK41" s="282"/>
      <c r="AL41" s="282"/>
      <c r="AM41" s="282"/>
      <c r="AN41" s="282"/>
      <c r="AO41" s="282"/>
      <c r="AP41" s="282"/>
      <c r="AQ41" s="282"/>
      <c r="AR41" s="282"/>
      <c r="AS41" s="282"/>
      <c r="AT41" s="282"/>
      <c r="AU41" s="282"/>
      <c r="AV41" s="282"/>
      <c r="AW41" s="282"/>
      <c r="AX41" s="282"/>
      <c r="AY41" s="282"/>
      <c r="AZ41" s="282"/>
    </row>
    <row r="42">
      <c r="A42" s="209">
        <f>IFERROR(__xludf.DUMMYFUNCTION("""COMPUTED_VALUE"""),46088.0)</f>
        <v>46088</v>
      </c>
      <c r="B42" s="247">
        <f>IFERROR(__xludf.DUMMYFUNCTION("""COMPUTED_VALUE"""),0.4166666666678793)</f>
        <v>0.4166666667</v>
      </c>
      <c r="C42" s="218" t="str">
        <f>IFERROR(__xludf.DUMMYFUNCTION("""COMPUTED_VALUE"""),"Whatsapp")</f>
        <v>Whatsapp</v>
      </c>
      <c r="D42" s="218" t="str">
        <f>IFERROR(__xludf.DUMMYFUNCTION("""COMPUTED_VALUE"""),"Promotional")</f>
        <v>Promotional</v>
      </c>
      <c r="E42" s="218" t="str">
        <f>IFERROR(__xludf.DUMMYFUNCTION("""COMPUTED_VALUE"""),"CK")</f>
        <v>CK</v>
      </c>
      <c r="F42" s="218" t="str">
        <f>IFERROR(__xludf.DUMMYFUNCTION("""COMPUTED_VALUE"""),"Women's Day")</f>
        <v>Women's Day</v>
      </c>
      <c r="G42" s="218" t="str">
        <f>IFERROR(__xludf.DUMMYFUNCTION("""COMPUTED_VALUE"""),"IWD promo_7th March_1")</f>
        <v>IWD promo_7th March_1</v>
      </c>
      <c r="H42" s="218" t="str">
        <f>IFERROR(__xludf.DUMMYFUNCTION("""COMPUTED_VALUE"""),"ck_onoff_pr_Recent_6thMarch26")</f>
        <v>ck_onoff_pr_Recent_6thMarch26</v>
      </c>
      <c r="I42" s="218" t="str">
        <f>IFERROR(__xludf.DUMMYFUNCTION("""COMPUTED_VALUE"""),"Customers who have purchased atleast 1 time in the last 91 days AND excluding Event Buyers segment")</f>
        <v>Customers who have purchased atleast 1 time in the last 91 days AND excluding Event Buyers segment</v>
      </c>
      <c r="J42" s="213">
        <f>IFERROR(__xludf.DUMMYFUNCTION("""COMPUTED_VALUE"""),10209.0)</f>
        <v>10209</v>
      </c>
      <c r="K42" s="213">
        <f>IFERROR(__xludf.DUMMYFUNCTION("""COMPUTED_VALUE"""),3564.0)</f>
        <v>3564</v>
      </c>
      <c r="L42" s="214">
        <f>IFERROR(__xludf.DUMMYFUNCTION("""COMPUTED_VALUE"""),0.3491)</f>
        <v>0.3491</v>
      </c>
      <c r="M42" s="213">
        <f>IFERROR(__xludf.DUMMYFUNCTION("""COMPUTED_VALUE"""),1650.0)</f>
        <v>1650</v>
      </c>
      <c r="N42" s="214">
        <f>IFERROR(__xludf.DUMMYFUNCTION("""COMPUTED_VALUE"""),0.463)</f>
        <v>0.463</v>
      </c>
      <c r="O42" s="213">
        <f>IFERROR(__xludf.DUMMYFUNCTION("""COMPUTED_VALUE"""),144.0)</f>
        <v>144</v>
      </c>
      <c r="P42" s="213">
        <f>IFERROR(__xludf.DUMMYFUNCTION("""COMPUTED_VALUE"""),134.0)</f>
        <v>134</v>
      </c>
      <c r="Q42" s="214">
        <f>IFERROR(__xludf.DUMMYFUNCTION("""COMPUTED_VALUE"""),0.0376)</f>
        <v>0.0376</v>
      </c>
      <c r="R42" s="214">
        <f>IFERROR(__xludf.DUMMYFUNCTION("""COMPUTED_VALUE"""),0.0812)</f>
        <v>0.0812</v>
      </c>
      <c r="S42" s="270"/>
      <c r="T42" s="270"/>
      <c r="U42" s="270"/>
      <c r="V42" s="101" t="str">
        <f>IFERROR(__xludf.DUMMYFUNCTION("""COMPUTED_VALUE"""),"overall")</f>
        <v>overall</v>
      </c>
      <c r="W42" s="101" t="str">
        <f>IFERROR(__xludf.DUMMYFUNCTION("""COMPUTED_VALUE"""),"simple")</f>
        <v>simple</v>
      </c>
      <c r="X42" s="212" t="str">
        <f>IFERROR(__xludf.DUMMYFUNCTION("""COMPUTED_VALUE"""),"Recent")</f>
        <v>Recent</v>
      </c>
      <c r="Y42" s="212" t="str">
        <f>IFERROR(__xludf.DUMMYFUNCTION("""COMPUTED_VALUE"""),"7-9th March 2026 ")</f>
        <v>7-9th March 2026 </v>
      </c>
      <c r="Z42" s="212" t="str">
        <f>IFERROR(__xludf.DUMMYFUNCTION("""COMPUTED_VALUE"""),"69aac56be09d91aaffeb7f86")</f>
        <v>69aac56be09d91aaffeb7f86</v>
      </c>
      <c r="AA42" s="287">
        <f>IFERROR(__xludf.DUMMYFUNCTION("""COMPUTED_VALUE"""),9.0)</f>
        <v>9</v>
      </c>
      <c r="AB42" s="213"/>
      <c r="AC42" s="213">
        <f>IFERROR(__xludf.DUMMYFUNCTION("""COMPUTED_VALUE"""),9.0)</f>
        <v>9</v>
      </c>
      <c r="AD42" s="213">
        <f>IFERROR(__xludf.DUMMYFUNCTION("""COMPUTED_VALUE"""),81991.0)</f>
        <v>81991</v>
      </c>
      <c r="AE42" s="213"/>
      <c r="AF42" s="213">
        <f>IFERROR(__xludf.DUMMYFUNCTION("""COMPUTED_VALUE"""),81991.0)</f>
        <v>81991</v>
      </c>
      <c r="AG42" s="282"/>
      <c r="AH42" s="282"/>
      <c r="AI42" s="282"/>
      <c r="AJ42" s="282"/>
      <c r="AK42" s="282"/>
      <c r="AL42" s="282"/>
      <c r="AM42" s="282"/>
      <c r="AN42" s="282"/>
      <c r="AO42" s="282"/>
      <c r="AP42" s="282"/>
      <c r="AQ42" s="282"/>
      <c r="AR42" s="282"/>
      <c r="AS42" s="282"/>
      <c r="AT42" s="282"/>
      <c r="AU42" s="282"/>
      <c r="AV42" s="282"/>
      <c r="AW42" s="282"/>
      <c r="AX42" s="282"/>
      <c r="AY42" s="282"/>
      <c r="AZ42" s="282"/>
    </row>
    <row r="43">
      <c r="A43" s="209">
        <f>IFERROR(__xludf.DUMMYFUNCTION("""COMPUTED_VALUE"""),46088.0)</f>
        <v>46088</v>
      </c>
      <c r="B43" s="247">
        <f>IFERROR(__xludf.DUMMYFUNCTION("""COMPUTED_VALUE"""),0.4166666666678793)</f>
        <v>0.4166666667</v>
      </c>
      <c r="C43" s="218" t="str">
        <f>IFERROR(__xludf.DUMMYFUNCTION("""COMPUTED_VALUE"""),"Whatsapp")</f>
        <v>Whatsapp</v>
      </c>
      <c r="D43" s="218" t="str">
        <f>IFERROR(__xludf.DUMMYFUNCTION("""COMPUTED_VALUE"""),"Promotional")</f>
        <v>Promotional</v>
      </c>
      <c r="E43" s="218" t="str">
        <f>IFERROR(__xludf.DUMMYFUNCTION("""COMPUTED_VALUE"""),"CK")</f>
        <v>CK</v>
      </c>
      <c r="F43" s="218" t="str">
        <f>IFERROR(__xludf.DUMMYFUNCTION("""COMPUTED_VALUE"""),"Women's Day")</f>
        <v>Women's Day</v>
      </c>
      <c r="G43" s="218" t="str">
        <f>IFERROR(__xludf.DUMMYFUNCTION("""COMPUTED_VALUE"""),"IWD promo_7th March_2")</f>
        <v>IWD promo_7th March_2</v>
      </c>
      <c r="H43" s="218" t="str">
        <f>IFERROR(__xludf.DUMMYFUNCTION("""COMPUTED_VALUE"""),"ck_onoff_pr_Dormant_6thMarch26 OR ck_onoff_pr_eventbuyers_6thMarch26")</f>
        <v>ck_onoff_pr_Dormant_6thMarch26 OR ck_onoff_pr_eventbuyers_6thMarch26</v>
      </c>
      <c r="I43" s="218" t="str">
        <f>IFERROR(__xludf.DUMMYFUNCTION("""COMPUTED_VALUE"""),"Customers who have purchased in the entire duration and have notpurchased in the last 91 days AND Excluding Event Buyers Segment, Customers who have purchased on these dates:- 22th June 2023 to 04th Aug 2023, 11th Nov 2023 to 14th Nov 2023, 23rd Nov 2023 "&amp;"to 28th Nov 2023, 14th Dec 2023 to 4th Feb 2024, 19th June 2024 to 4th Aug 2024, 27th Sept 2024 to 29th Sept 2024, 9th Nov 2024 to 12 th Nov 2024, 28th Nov 2024 to 2nd Dec 2024, 18th Dec 2024 to 26th Jan 2025, 17th June 2025 to 3rd Aug 2025, 26th Nov 2025"&amp;" to 1st Dec 2025, 18th Dec 2025 to 26th Jan 2026")</f>
        <v>Customers who have purchased in the entire duration and have notpurchased in the last 91 days AND Excluding Event Buyers Segment, Customers who have purchased on these dates:- 22th June 2023 to 04th Aug 2023, 11th Nov 2023 to 14th Nov 2023, 23rd Nov 2023 to 28th Nov 2023, 14th Dec 2023 to 4th Feb 2024, 19th June 2024 to 4th Aug 2024, 27th Sept 2024 to 29th Sept 2024, 9th Nov 2024 to 12 th Nov 2024, 28th Nov 2024 to 2nd Dec 2024, 18th Dec 2024 to 26th Jan 2025, 17th June 2025 to 3rd Aug 2025, 26th Nov 2025 to 1st Dec 2025, 18th Dec 2025 to 26th Jan 2026</v>
      </c>
      <c r="J43" s="213">
        <f>IFERROR(__xludf.DUMMYFUNCTION("""COMPUTED_VALUE"""),182473.0)</f>
        <v>182473</v>
      </c>
      <c r="K43" s="213">
        <f>IFERROR(__xludf.DUMMYFUNCTION("""COMPUTED_VALUE"""),75765.0)</f>
        <v>75765</v>
      </c>
      <c r="L43" s="214">
        <f>IFERROR(__xludf.DUMMYFUNCTION("""COMPUTED_VALUE"""),0.4152)</f>
        <v>0.4152</v>
      </c>
      <c r="M43" s="213">
        <f>IFERROR(__xludf.DUMMYFUNCTION("""COMPUTED_VALUE"""),27104.0)</f>
        <v>27104</v>
      </c>
      <c r="N43" s="214">
        <f>IFERROR(__xludf.DUMMYFUNCTION("""COMPUTED_VALUE"""),0.3577)</f>
        <v>0.3577</v>
      </c>
      <c r="O43" s="213">
        <f>IFERROR(__xludf.DUMMYFUNCTION("""COMPUTED_VALUE"""),1795.0)</f>
        <v>1795</v>
      </c>
      <c r="P43" s="213">
        <f>IFERROR(__xludf.DUMMYFUNCTION("""COMPUTED_VALUE"""),1713.0)</f>
        <v>1713</v>
      </c>
      <c r="Q43" s="214">
        <f>IFERROR(__xludf.DUMMYFUNCTION("""COMPUTED_VALUE"""),0.0226)</f>
        <v>0.0226</v>
      </c>
      <c r="R43" s="214">
        <f>IFERROR(__xludf.DUMMYFUNCTION("""COMPUTED_VALUE"""),0.0632)</f>
        <v>0.0632</v>
      </c>
      <c r="S43" s="270"/>
      <c r="T43" s="270"/>
      <c r="U43" s="270"/>
      <c r="V43" s="101" t="str">
        <f>IFERROR(__xludf.DUMMYFUNCTION("""COMPUTED_VALUE"""),"overall")</f>
        <v>overall</v>
      </c>
      <c r="W43" s="101" t="str">
        <f>IFERROR(__xludf.DUMMYFUNCTION("""COMPUTED_VALUE"""),"simple")</f>
        <v>simple</v>
      </c>
      <c r="X43" s="212" t="str">
        <f>IFERROR(__xludf.DUMMYFUNCTION("""COMPUTED_VALUE"""),"Dormant")</f>
        <v>Dormant</v>
      </c>
      <c r="Y43" s="212" t="str">
        <f>IFERROR(__xludf.DUMMYFUNCTION("""COMPUTED_VALUE"""),"7-9th March 2026 ")</f>
        <v>7-9th March 2026 </v>
      </c>
      <c r="Z43" s="212" t="str">
        <f>IFERROR(__xludf.DUMMYFUNCTION("""COMPUTED_VALUE"""),"69aac5d368ceee98fb6ffab9")</f>
        <v>69aac5d368ceee98fb6ffab9</v>
      </c>
      <c r="AA43" s="287">
        <f>IFERROR(__xludf.DUMMYFUNCTION("""COMPUTED_VALUE"""),133.0)</f>
        <v>133</v>
      </c>
      <c r="AB43" s="213"/>
      <c r="AC43" s="213">
        <f>IFERROR(__xludf.DUMMYFUNCTION("""COMPUTED_VALUE"""),133.0)</f>
        <v>133</v>
      </c>
      <c r="AD43" s="213">
        <f>IFERROR(__xludf.DUMMYFUNCTION("""COMPUTED_VALUE"""),1703909.0)</f>
        <v>1703909</v>
      </c>
      <c r="AE43" s="213"/>
      <c r="AF43" s="213">
        <f>IFERROR(__xludf.DUMMYFUNCTION("""COMPUTED_VALUE"""),1703909.0)</f>
        <v>1703909</v>
      </c>
      <c r="AG43" s="282"/>
      <c r="AH43" s="282"/>
      <c r="AI43" s="282"/>
      <c r="AJ43" s="282"/>
      <c r="AK43" s="282"/>
      <c r="AL43" s="282"/>
      <c r="AM43" s="282"/>
      <c r="AN43" s="282"/>
      <c r="AO43" s="282"/>
      <c r="AP43" s="282"/>
      <c r="AQ43" s="282"/>
      <c r="AR43" s="282"/>
      <c r="AS43" s="282"/>
      <c r="AT43" s="282"/>
      <c r="AU43" s="282"/>
      <c r="AV43" s="282"/>
      <c r="AW43" s="282"/>
      <c r="AX43" s="282"/>
      <c r="AY43" s="282"/>
      <c r="AZ43" s="282"/>
    </row>
    <row r="44">
      <c r="A44" s="209">
        <f>IFERROR(__xludf.DUMMYFUNCTION("""COMPUTED_VALUE"""),46088.0)</f>
        <v>46088</v>
      </c>
      <c r="B44" s="247">
        <f>IFERROR(__xludf.DUMMYFUNCTION("""COMPUTED_VALUE"""),0.5)</f>
        <v>0.5</v>
      </c>
      <c r="C44" s="218" t="str">
        <f>IFERROR(__xludf.DUMMYFUNCTION("""COMPUTED_VALUE"""),"Sms")</f>
        <v>Sms</v>
      </c>
      <c r="D44" s="218" t="str">
        <f>IFERROR(__xludf.DUMMYFUNCTION("""COMPUTED_VALUE"""),"Fallback Campaign")</f>
        <v>Fallback Campaign</v>
      </c>
      <c r="E44" s="218" t="str">
        <f>IFERROR(__xludf.DUMMYFUNCTION("""COMPUTED_VALUE"""),"CK")</f>
        <v>CK</v>
      </c>
      <c r="F44" s="218" t="str">
        <f>IFERROR(__xludf.DUMMYFUNCTION("""COMPUTED_VALUE"""),"Women's Day")</f>
        <v>Women's Day</v>
      </c>
      <c r="G44" s="218" t="str">
        <f>IFERROR(__xludf.DUMMYFUNCTION("""COMPUTED_VALUE"""),"IWD promo_7th March_1_Fallback")</f>
        <v>IWD promo_7th March_1_Fallback</v>
      </c>
      <c r="H44" s="218" t="str">
        <f>IFERROR(__xludf.DUMMYFUNCTION("""COMPUTED_VALUE"""),"ck_onoff_pr_Recent_6thMarch26")</f>
        <v>ck_onoff_pr_Recent_6thMarch26</v>
      </c>
      <c r="I44" s="218" t="str">
        <f>IFERROR(__xludf.DUMMYFUNCTION("""COMPUTED_VALUE"""),"WA Undelivered")</f>
        <v>WA Undelivered</v>
      </c>
      <c r="J44" s="213">
        <f>IFERROR(__xludf.DUMMYFUNCTION("""COMPUTED_VALUE"""),6568.0)</f>
        <v>6568</v>
      </c>
      <c r="K44" s="213">
        <f>IFERROR(__xludf.DUMMYFUNCTION("""COMPUTED_VALUE"""),3923.0)</f>
        <v>3923</v>
      </c>
      <c r="L44" s="214">
        <f>IFERROR(__xludf.DUMMYFUNCTION("""COMPUTED_VALUE"""),0.5973)</f>
        <v>0.5973</v>
      </c>
      <c r="M44" s="213"/>
      <c r="N44" s="214"/>
      <c r="O44" s="213">
        <f>IFERROR(__xludf.DUMMYFUNCTION("""COMPUTED_VALUE"""),0.0)</f>
        <v>0</v>
      </c>
      <c r="P44" s="213"/>
      <c r="Q44" s="214">
        <f>IFERROR(__xludf.DUMMYFUNCTION("""COMPUTED_VALUE"""),0.0)</f>
        <v>0</v>
      </c>
      <c r="R44" s="214"/>
      <c r="S44" s="270"/>
      <c r="T44" s="270"/>
      <c r="U44" s="270"/>
      <c r="V44" s="101" t="str">
        <f>IFERROR(__xludf.DUMMYFUNCTION("""COMPUTED_VALUE"""),"overall")</f>
        <v>overall</v>
      </c>
      <c r="W44" s="101"/>
      <c r="X44" s="212" t="str">
        <f>IFERROR(__xludf.DUMMYFUNCTION("""COMPUTED_VALUE"""),"Recent")</f>
        <v>Recent</v>
      </c>
      <c r="Y44" s="212" t="str">
        <f>IFERROR(__xludf.DUMMYFUNCTION("""COMPUTED_VALUE"""),"7-9th March 2026 ")</f>
        <v>7-9th March 2026 </v>
      </c>
      <c r="Z44" s="212" t="str">
        <f>IFERROR(__xludf.DUMMYFUNCTION("""COMPUTED_VALUE"""),"69aac799d3203ec97cb5e765")</f>
        <v>69aac799d3203ec97cb5e765</v>
      </c>
      <c r="AA44" s="287">
        <f>IFERROR(__xludf.DUMMYFUNCTION("""COMPUTED_VALUE"""),17.0)</f>
        <v>17</v>
      </c>
      <c r="AB44" s="213"/>
      <c r="AC44" s="213">
        <f>IFERROR(__xludf.DUMMYFUNCTION("""COMPUTED_VALUE"""),17.0)</f>
        <v>17</v>
      </c>
      <c r="AD44" s="213">
        <f>IFERROR(__xludf.DUMMYFUNCTION("""COMPUTED_VALUE"""),183279.0)</f>
        <v>183279</v>
      </c>
      <c r="AE44" s="213"/>
      <c r="AF44" s="213">
        <f>IFERROR(__xludf.DUMMYFUNCTION("""COMPUTED_VALUE"""),183279.0)</f>
        <v>183279</v>
      </c>
      <c r="AG44" s="282"/>
      <c r="AH44" s="282"/>
      <c r="AI44" s="282"/>
      <c r="AJ44" s="282"/>
      <c r="AK44" s="282"/>
      <c r="AL44" s="282"/>
      <c r="AM44" s="282"/>
      <c r="AN44" s="282"/>
      <c r="AO44" s="282"/>
      <c r="AP44" s="282"/>
      <c r="AQ44" s="282"/>
      <c r="AR44" s="282"/>
      <c r="AS44" s="282"/>
      <c r="AT44" s="282"/>
      <c r="AU44" s="282"/>
      <c r="AV44" s="282"/>
      <c r="AW44" s="282"/>
      <c r="AX44" s="282"/>
      <c r="AY44" s="282"/>
      <c r="AZ44" s="282"/>
    </row>
    <row r="45">
      <c r="A45" s="209">
        <f>IFERROR(__xludf.DUMMYFUNCTION("""COMPUTED_VALUE"""),46088.0)</f>
        <v>46088</v>
      </c>
      <c r="B45" s="247">
        <f>IFERROR(__xludf.DUMMYFUNCTION("""COMPUTED_VALUE"""),0.5)</f>
        <v>0.5</v>
      </c>
      <c r="C45" s="218" t="str">
        <f>IFERROR(__xludf.DUMMYFUNCTION("""COMPUTED_VALUE"""),"Sms")</f>
        <v>Sms</v>
      </c>
      <c r="D45" s="218" t="str">
        <f>IFERROR(__xludf.DUMMYFUNCTION("""COMPUTED_VALUE"""),"Fallback Campaign")</f>
        <v>Fallback Campaign</v>
      </c>
      <c r="E45" s="218" t="str">
        <f>IFERROR(__xludf.DUMMYFUNCTION("""COMPUTED_VALUE"""),"CK")</f>
        <v>CK</v>
      </c>
      <c r="F45" s="218" t="str">
        <f>IFERROR(__xludf.DUMMYFUNCTION("""COMPUTED_VALUE"""),"Women's Day")</f>
        <v>Women's Day</v>
      </c>
      <c r="G45" s="218" t="str">
        <f>IFERROR(__xludf.DUMMYFUNCTION("""COMPUTED_VALUE"""),"IWD promo_7th March_2_Fallback")</f>
        <v>IWD promo_7th March_2_Fallback</v>
      </c>
      <c r="H45" s="218" t="str">
        <f>IFERROR(__xludf.DUMMYFUNCTION("""COMPUTED_VALUE"""),"ck_onoff_pr_Dormant_6thMarch26 OR ck_onoff_pr_eventbuyers_6thMarch26")</f>
        <v>ck_onoff_pr_Dormant_6thMarch26 OR ck_onoff_pr_eventbuyers_6thMarch26</v>
      </c>
      <c r="I45" s="218" t="str">
        <f>IFERROR(__xludf.DUMMYFUNCTION("""COMPUTED_VALUE"""),"WA Undelivered")</f>
        <v>WA Undelivered</v>
      </c>
      <c r="J45" s="213">
        <f>IFERROR(__xludf.DUMMYFUNCTION("""COMPUTED_VALUE"""),102784.0)</f>
        <v>102784</v>
      </c>
      <c r="K45" s="213">
        <f>IFERROR(__xludf.DUMMYFUNCTION("""COMPUTED_VALUE"""),57127.0)</f>
        <v>57127</v>
      </c>
      <c r="L45" s="214">
        <f>IFERROR(__xludf.DUMMYFUNCTION("""COMPUTED_VALUE"""),0.5558)</f>
        <v>0.5558</v>
      </c>
      <c r="M45" s="213"/>
      <c r="N45" s="214"/>
      <c r="O45" s="213">
        <f>IFERROR(__xludf.DUMMYFUNCTION("""COMPUTED_VALUE"""),0.0)</f>
        <v>0</v>
      </c>
      <c r="P45" s="213"/>
      <c r="Q45" s="214">
        <f>IFERROR(__xludf.DUMMYFUNCTION("""COMPUTED_VALUE"""),0.0)</f>
        <v>0</v>
      </c>
      <c r="R45" s="214"/>
      <c r="S45" s="270"/>
      <c r="T45" s="270"/>
      <c r="U45" s="270"/>
      <c r="V45" s="101" t="str">
        <f>IFERROR(__xludf.DUMMYFUNCTION("""COMPUTED_VALUE"""),"overall")</f>
        <v>overall</v>
      </c>
      <c r="W45" s="101" t="str">
        <f>IFERROR(__xludf.DUMMYFUNCTION("""COMPUTED_VALUE"""),"SMS")</f>
        <v>SMS</v>
      </c>
      <c r="X45" s="212" t="str">
        <f>IFERROR(__xludf.DUMMYFUNCTION("""COMPUTED_VALUE"""),"Dormant")</f>
        <v>Dormant</v>
      </c>
      <c r="Y45" s="212" t="str">
        <f>IFERROR(__xludf.DUMMYFUNCTION("""COMPUTED_VALUE"""),"7-9th March 2026 ")</f>
        <v>7-9th March 2026 </v>
      </c>
      <c r="Z45" s="212" t="str">
        <f>IFERROR(__xludf.DUMMYFUNCTION("""COMPUTED_VALUE"""),"69aac7e385dada1d06c3f296")</f>
        <v>69aac7e385dada1d06c3f296</v>
      </c>
      <c r="AA45" s="287">
        <f>IFERROR(__xludf.DUMMYFUNCTION("""COMPUTED_VALUE"""),110.0)</f>
        <v>110</v>
      </c>
      <c r="AB45" s="213"/>
      <c r="AC45" s="213">
        <f>IFERROR(__xludf.DUMMYFUNCTION("""COMPUTED_VALUE"""),110.0)</f>
        <v>110</v>
      </c>
      <c r="AD45" s="213">
        <f>IFERROR(__xludf.DUMMYFUNCTION("""COMPUTED_VALUE"""),1502527.0)</f>
        <v>1502527</v>
      </c>
      <c r="AE45" s="213"/>
      <c r="AF45" s="213">
        <f>IFERROR(__xludf.DUMMYFUNCTION("""COMPUTED_VALUE"""),1502527.0)</f>
        <v>1502527</v>
      </c>
      <c r="AG45" s="282"/>
      <c r="AH45" s="282"/>
      <c r="AI45" s="282"/>
      <c r="AJ45" s="282"/>
      <c r="AK45" s="282"/>
      <c r="AL45" s="282"/>
      <c r="AM45" s="282"/>
      <c r="AN45" s="282"/>
      <c r="AO45" s="282"/>
      <c r="AP45" s="282"/>
      <c r="AQ45" s="282"/>
      <c r="AR45" s="282"/>
      <c r="AS45" s="282"/>
      <c r="AT45" s="282"/>
      <c r="AU45" s="282"/>
      <c r="AV45" s="282"/>
      <c r="AW45" s="282"/>
      <c r="AX45" s="282"/>
      <c r="AY45" s="282"/>
      <c r="AZ45" s="282"/>
    </row>
    <row r="46">
      <c r="A46" s="209">
        <f>IFERROR(__xludf.DUMMYFUNCTION("""COMPUTED_VALUE"""),46089.0)</f>
        <v>46089</v>
      </c>
      <c r="B46" s="247">
        <f>IFERROR(__xludf.DUMMYFUNCTION("""COMPUTED_VALUE"""),0.4583333333321207)</f>
        <v>0.4583333333</v>
      </c>
      <c r="C46" s="218" t="str">
        <f>IFERROR(__xludf.DUMMYFUNCTION("""COMPUTED_VALUE"""),"Sms")</f>
        <v>Sms</v>
      </c>
      <c r="D46" s="218" t="str">
        <f>IFERROR(__xludf.DUMMYFUNCTION("""COMPUTED_VALUE"""),"Promotional")</f>
        <v>Promotional</v>
      </c>
      <c r="E46" s="218" t="str">
        <f>IFERROR(__xludf.DUMMYFUNCTION("""COMPUTED_VALUE"""),"CK")</f>
        <v>CK</v>
      </c>
      <c r="F46" s="218" t="str">
        <f>IFERROR(__xludf.DUMMYFUNCTION("""COMPUTED_VALUE"""),"Women's Day")</f>
        <v>Women's Day</v>
      </c>
      <c r="G46" s="218" t="str">
        <f>IFERROR(__xludf.DUMMYFUNCTION("""COMPUTED_VALUE"""),"IWD promo_8th March_2")</f>
        <v>IWD promo_8th March_2</v>
      </c>
      <c r="H46" s="218" t="str">
        <f>IFERROR(__xludf.DUMMYFUNCTION("""COMPUTED_VALUE"""),"ck_onoff_pr_Dormant_6thMarch26 OR ck_onoff_pr_eventbuyers_6thMarch26")</f>
        <v>ck_onoff_pr_Dormant_6thMarch26 OR ck_onoff_pr_eventbuyers_6thMarch26</v>
      </c>
      <c r="I46" s="218" t="str">
        <f>IFERROR(__xludf.DUMMYFUNCTION("""COMPUTED_VALUE"""),"Customers who have purchased in the entire duration and have notpurchased in the last 91 days AND Excluding Event Buyers Segment, Customers who have purchased on these dates:- 22th June 2023 to 04th Aug 2023, 11th Nov 2023 to 14th Nov 2023, 23rd Nov 2023 "&amp;"to 28th Nov 2023, 14th Dec 2023 to 4th Feb 2024, 19th June 2024 to 4th Aug 2024, 27th Sept 2024 to 29th Sept 2024, 9th Nov 2024 to 12 th Nov 2024, 28th Nov 2024 to 2nd Dec 2024, 18th Dec 2024 to 26th Jan 2025, 17th June 2025 to 3rd Aug 2025, 26th Nov 2025"&amp;" to 1st Dec 2025, 18th Dec 2025 to 26th Jan 2026")</f>
        <v>Customers who have purchased in the entire duration and have notpurchased in the last 91 days AND Excluding Event Buyers Segment, Customers who have purchased on these dates:- 22th June 2023 to 04th Aug 2023, 11th Nov 2023 to 14th Nov 2023, 23rd Nov 2023 to 28th Nov 2023, 14th Dec 2023 to 4th Feb 2024, 19th June 2024 to 4th Aug 2024, 27th Sept 2024 to 29th Sept 2024, 9th Nov 2024 to 12 th Nov 2024, 28th Nov 2024 to 2nd Dec 2024, 18th Dec 2024 to 26th Jan 2025, 17th June 2025 to 3rd Aug 2025, 26th Nov 2025 to 1st Dec 2025, 18th Dec 2025 to 26th Jan 2026</v>
      </c>
      <c r="J46" s="213">
        <f>IFERROR(__xludf.DUMMYFUNCTION("""COMPUTED_VALUE"""),183070.0)</f>
        <v>183070</v>
      </c>
      <c r="K46" s="213">
        <f>IFERROR(__xludf.DUMMYFUNCTION("""COMPUTED_VALUE"""),103267.0)</f>
        <v>103267</v>
      </c>
      <c r="L46" s="214">
        <f>IFERROR(__xludf.DUMMYFUNCTION("""COMPUTED_VALUE"""),0.5641)</f>
        <v>0.5641</v>
      </c>
      <c r="M46" s="213"/>
      <c r="N46" s="214"/>
      <c r="O46" s="213">
        <f>IFERROR(__xludf.DUMMYFUNCTION("""COMPUTED_VALUE"""),0.0)</f>
        <v>0</v>
      </c>
      <c r="P46" s="213"/>
      <c r="Q46" s="214">
        <f>IFERROR(__xludf.DUMMYFUNCTION("""COMPUTED_VALUE"""),0.0)</f>
        <v>0</v>
      </c>
      <c r="R46" s="214"/>
      <c r="S46" s="270"/>
      <c r="T46" s="270"/>
      <c r="U46" s="270"/>
      <c r="V46" s="101" t="str">
        <f>IFERROR(__xludf.DUMMYFUNCTION("""COMPUTED_VALUE"""),"overall")</f>
        <v>overall</v>
      </c>
      <c r="W46" s="101" t="str">
        <f>IFERROR(__xludf.DUMMYFUNCTION("""COMPUTED_VALUE"""),"SMS")</f>
        <v>SMS</v>
      </c>
      <c r="X46" s="212" t="str">
        <f>IFERROR(__xludf.DUMMYFUNCTION("""COMPUTED_VALUE"""),"Event Buyers")</f>
        <v>Event Buyers</v>
      </c>
      <c r="Y46" s="212" t="str">
        <f>IFERROR(__xludf.DUMMYFUNCTION("""COMPUTED_VALUE"""),"8th march")</f>
        <v>8th march</v>
      </c>
      <c r="Z46" s="212" t="str">
        <f>IFERROR(__xludf.DUMMYFUNCTION("""COMPUTED_VALUE"""),"69aac973412c37f591a2fd66")</f>
        <v>69aac973412c37f591a2fd66</v>
      </c>
      <c r="AA46" s="287">
        <f>IFERROR(__xludf.DUMMYFUNCTION("""COMPUTED_VALUE"""),79.0)</f>
        <v>79</v>
      </c>
      <c r="AB46" s="213"/>
      <c r="AC46" s="213">
        <f>IFERROR(__xludf.DUMMYFUNCTION("""COMPUTED_VALUE"""),79.0)</f>
        <v>79</v>
      </c>
      <c r="AD46" s="213">
        <f>IFERROR(__xludf.DUMMYFUNCTION("""COMPUTED_VALUE"""),1070577.0)</f>
        <v>1070577</v>
      </c>
      <c r="AE46" s="213"/>
      <c r="AF46" s="213">
        <f>IFERROR(__xludf.DUMMYFUNCTION("""COMPUTED_VALUE"""),1070577.0)</f>
        <v>1070577</v>
      </c>
      <c r="AG46" s="282"/>
      <c r="AH46" s="282"/>
      <c r="AI46" s="282"/>
      <c r="AJ46" s="282"/>
      <c r="AK46" s="282"/>
      <c r="AL46" s="282"/>
      <c r="AM46" s="282"/>
      <c r="AN46" s="282"/>
      <c r="AO46" s="282"/>
      <c r="AP46" s="282"/>
      <c r="AQ46" s="282"/>
      <c r="AR46" s="282"/>
      <c r="AS46" s="282"/>
      <c r="AT46" s="282"/>
      <c r="AU46" s="282"/>
      <c r="AV46" s="282"/>
      <c r="AW46" s="282"/>
      <c r="AX46" s="282"/>
      <c r="AY46" s="282"/>
      <c r="AZ46" s="282"/>
    </row>
    <row r="47">
      <c r="A47" s="209">
        <f>IFERROR(__xludf.DUMMYFUNCTION("""COMPUTED_VALUE"""),46089.0)</f>
        <v>46089</v>
      </c>
      <c r="B47" s="247">
        <f>IFERROR(__xludf.DUMMYFUNCTION("""COMPUTED_VALUE"""),0.4583333333321207)</f>
        <v>0.4583333333</v>
      </c>
      <c r="C47" s="218" t="str">
        <f>IFERROR(__xludf.DUMMYFUNCTION("""COMPUTED_VALUE"""),"Sms")</f>
        <v>Sms</v>
      </c>
      <c r="D47" s="218" t="str">
        <f>IFERROR(__xludf.DUMMYFUNCTION("""COMPUTED_VALUE"""),"Promotional")</f>
        <v>Promotional</v>
      </c>
      <c r="E47" s="218" t="str">
        <f>IFERROR(__xludf.DUMMYFUNCTION("""COMPUTED_VALUE"""),"CK")</f>
        <v>CK</v>
      </c>
      <c r="F47" s="218" t="str">
        <f>IFERROR(__xludf.DUMMYFUNCTION("""COMPUTED_VALUE"""),"Women's Day")</f>
        <v>Women's Day</v>
      </c>
      <c r="G47" s="218" t="str">
        <f>IFERROR(__xludf.DUMMYFUNCTION("""COMPUTED_VALUE"""),"IWD promo_8th March_1")</f>
        <v>IWD promo_8th March_1</v>
      </c>
      <c r="H47" s="218" t="str">
        <f>IFERROR(__xludf.DUMMYFUNCTION("""COMPUTED_VALUE"""),"ck_onoff_pr_Recent_6thMarch26")</f>
        <v>ck_onoff_pr_Recent_6thMarch26</v>
      </c>
      <c r="I47" s="218" t="str">
        <f>IFERROR(__xludf.DUMMYFUNCTION("""COMPUTED_VALUE"""),"Customers who have purchased atleast 1 time in the last 91 days AND excluding Event Buyers segment")</f>
        <v>Customers who have purchased atleast 1 time in the last 91 days AND excluding Event Buyers segment</v>
      </c>
      <c r="J47" s="213">
        <f>IFERROR(__xludf.DUMMYFUNCTION("""COMPUTED_VALUE"""),9936.0)</f>
        <v>9936</v>
      </c>
      <c r="K47" s="213">
        <f>IFERROR(__xludf.DUMMYFUNCTION("""COMPUTED_VALUE"""),5973.0)</f>
        <v>5973</v>
      </c>
      <c r="L47" s="214">
        <f>IFERROR(__xludf.DUMMYFUNCTION("""COMPUTED_VALUE"""),0.6011)</f>
        <v>0.6011</v>
      </c>
      <c r="M47" s="213"/>
      <c r="N47" s="214"/>
      <c r="O47" s="213">
        <f>IFERROR(__xludf.DUMMYFUNCTION("""COMPUTED_VALUE"""),0.0)</f>
        <v>0</v>
      </c>
      <c r="P47" s="213"/>
      <c r="Q47" s="214">
        <f>IFERROR(__xludf.DUMMYFUNCTION("""COMPUTED_VALUE"""),0.0)</f>
        <v>0</v>
      </c>
      <c r="R47" s="214"/>
      <c r="S47" s="270"/>
      <c r="T47" s="270"/>
      <c r="U47" s="270"/>
      <c r="V47" s="101" t="str">
        <f>IFERROR(__xludf.DUMMYFUNCTION("""COMPUTED_VALUE"""),"overall")</f>
        <v>overall</v>
      </c>
      <c r="W47" s="101" t="str">
        <f>IFERROR(__xludf.DUMMYFUNCTION("""COMPUTED_VALUE"""),"SMS")</f>
        <v>SMS</v>
      </c>
      <c r="X47" s="212" t="str">
        <f>IFERROR(__xludf.DUMMYFUNCTION("""COMPUTED_VALUE"""),"Recent")</f>
        <v>Recent</v>
      </c>
      <c r="Y47" s="212" t="str">
        <f>IFERROR(__xludf.DUMMYFUNCTION("""COMPUTED_VALUE"""),"8th march")</f>
        <v>8th march</v>
      </c>
      <c r="Z47" s="212" t="str">
        <f>IFERROR(__xludf.DUMMYFUNCTION("""COMPUTED_VALUE"""),"69aac99bb5a8f919748c49fc")</f>
        <v>69aac99bb5a8f919748c49fc</v>
      </c>
      <c r="AA47" s="287">
        <f>IFERROR(__xludf.DUMMYFUNCTION("""COMPUTED_VALUE"""),8.0)</f>
        <v>8</v>
      </c>
      <c r="AB47" s="213"/>
      <c r="AC47" s="213">
        <f>IFERROR(__xludf.DUMMYFUNCTION("""COMPUTED_VALUE"""),8.0)</f>
        <v>8</v>
      </c>
      <c r="AD47" s="213">
        <f>IFERROR(__xludf.DUMMYFUNCTION("""COMPUTED_VALUE"""),77792.0)</f>
        <v>77792</v>
      </c>
      <c r="AE47" s="213"/>
      <c r="AF47" s="213">
        <f>IFERROR(__xludf.DUMMYFUNCTION("""COMPUTED_VALUE"""),77792.0)</f>
        <v>77792</v>
      </c>
      <c r="AG47" s="282"/>
      <c r="AH47" s="282"/>
      <c r="AI47" s="282"/>
      <c r="AJ47" s="282"/>
      <c r="AK47" s="282"/>
      <c r="AL47" s="282"/>
      <c r="AM47" s="282"/>
      <c r="AN47" s="282"/>
      <c r="AO47" s="282"/>
      <c r="AP47" s="282"/>
      <c r="AQ47" s="282"/>
      <c r="AR47" s="282"/>
      <c r="AS47" s="282"/>
      <c r="AT47" s="282"/>
      <c r="AU47" s="282"/>
      <c r="AV47" s="282"/>
      <c r="AW47" s="282"/>
      <c r="AX47" s="282"/>
      <c r="AY47" s="282"/>
      <c r="AZ47" s="282"/>
    </row>
    <row r="48">
      <c r="A48" s="209">
        <f>IFERROR(__xludf.DUMMYFUNCTION("""COMPUTED_VALUE"""),46102.0)</f>
        <v>46102</v>
      </c>
      <c r="B48" s="247">
        <f>IFERROR(__xludf.DUMMYFUNCTION("""COMPUTED_VALUE"""),0.4166666666678793)</f>
        <v>0.4166666667</v>
      </c>
      <c r="C48" s="218" t="str">
        <f>IFERROR(__xludf.DUMMYFUNCTION("""COMPUTED_VALUE"""),"Whatsapp")</f>
        <v>Whatsapp</v>
      </c>
      <c r="D48" s="218" t="str">
        <f>IFERROR(__xludf.DUMMYFUNCTION("""COMPUTED_VALUE"""),"Promotional")</f>
        <v>Promotional</v>
      </c>
      <c r="E48" s="218" t="str">
        <f>IFERROR(__xludf.DUMMYFUNCTION("""COMPUTED_VALUE"""),"CK")</f>
        <v>CK</v>
      </c>
      <c r="F48" s="218" t="str">
        <f>IFERROR(__xludf.DUMMYFUNCTION("""COMPUTED_VALUE"""),"Handbags")</f>
        <v>Handbags</v>
      </c>
      <c r="G48" s="218" t="str">
        <f>IFERROR(__xludf.DUMMYFUNCTION("""COMPUTED_VALUE"""),"High Aov handbags_21st Mar")</f>
        <v>High Aov handbags_21st Mar</v>
      </c>
      <c r="H48" s="218" t="str">
        <f>IFERROR(__xludf.DUMMYFUNCTION("""COMPUTED_VALUE"""),"HandBags_NoPr_Footwear OR AGIPL_Internal")</f>
        <v>HandBags_NoPr_Footwear OR AGIPL_Internal</v>
      </c>
      <c r="I48" s="218" t="str">
        <f>IFERROR(__xludf.DUMMYFUNCTION("""COMPUTED_VALUE"""),"Customers who have purchased HandBags whose LTV greater than 12000 in the entire date range AND Customers who have not purchased Footwear in the etire date range")</f>
        <v>Customers who have purchased HandBags whose LTV greater than 12000 in the entire date range AND Customers who have not purchased Footwear in the etire date range</v>
      </c>
      <c r="J48" s="213">
        <f>IFERROR(__xludf.DUMMYFUNCTION("""COMPUTED_VALUE"""),33779.0)</f>
        <v>33779</v>
      </c>
      <c r="K48" s="213">
        <f>IFERROR(__xludf.DUMMYFUNCTION("""COMPUTED_VALUE"""),5083.0)</f>
        <v>5083</v>
      </c>
      <c r="L48" s="214">
        <f>IFERROR(__xludf.DUMMYFUNCTION("""COMPUTED_VALUE"""),0.1505)</f>
        <v>0.1505</v>
      </c>
      <c r="M48" s="213">
        <f>IFERROR(__xludf.DUMMYFUNCTION("""COMPUTED_VALUE"""),3512.0)</f>
        <v>3512</v>
      </c>
      <c r="N48" s="214">
        <f>IFERROR(__xludf.DUMMYFUNCTION("""COMPUTED_VALUE"""),0.6911)</f>
        <v>0.6911</v>
      </c>
      <c r="O48" s="213">
        <f>IFERROR(__xludf.DUMMYFUNCTION("""COMPUTED_VALUE"""),109.0)</f>
        <v>109</v>
      </c>
      <c r="P48" s="213">
        <f>IFERROR(__xludf.DUMMYFUNCTION("""COMPUTED_VALUE"""),103.0)</f>
        <v>103</v>
      </c>
      <c r="Q48" s="214">
        <f>IFERROR(__xludf.DUMMYFUNCTION("""COMPUTED_VALUE"""),0.0203)</f>
        <v>0.0203</v>
      </c>
      <c r="R48" s="214">
        <f>IFERROR(__xludf.DUMMYFUNCTION("""COMPUTED_VALUE"""),0.0293)</f>
        <v>0.0293</v>
      </c>
      <c r="S48" s="270"/>
      <c r="T48" s="270"/>
      <c r="U48" s="270"/>
      <c r="V48" s="101" t="str">
        <f>IFERROR(__xludf.DUMMYFUNCTION("""COMPUTED_VALUE"""),"offline")</f>
        <v>offline</v>
      </c>
      <c r="W48" s="101" t="str">
        <f>IFERROR(__xludf.DUMMYFUNCTION("""COMPUTED_VALUE"""),"simple")</f>
        <v>simple</v>
      </c>
      <c r="X48" s="212" t="str">
        <f>IFERROR(__xludf.DUMMYFUNCTION("""COMPUTED_VALUE"""),"Category Movers")</f>
        <v>Category Movers</v>
      </c>
      <c r="Y48" s="212" t="str">
        <f>IFERROR(__xludf.DUMMYFUNCTION("""COMPUTED_VALUE"""),"21-29th March")</f>
        <v>21-29th March</v>
      </c>
      <c r="Z48" s="212" t="str">
        <f>IFERROR(__xludf.DUMMYFUNCTION("""COMPUTED_VALUE"""),"69ba7958f489dd902e97e02a")</f>
        <v>69ba7958f489dd902e97e02a</v>
      </c>
      <c r="AA48" s="287">
        <f>IFERROR(__xludf.DUMMYFUNCTION("""COMPUTED_VALUE"""),17.0)</f>
        <v>17</v>
      </c>
      <c r="AB48" s="213"/>
      <c r="AC48" s="213">
        <f>IFERROR(__xludf.DUMMYFUNCTION("""COMPUTED_VALUE"""),17.0)</f>
        <v>17</v>
      </c>
      <c r="AD48" s="213">
        <f>IFERROR(__xludf.DUMMYFUNCTION("""COMPUTED_VALUE"""),197379.0)</f>
        <v>197379</v>
      </c>
      <c r="AE48" s="213"/>
      <c r="AF48" s="213">
        <f>IFERROR(__xludf.DUMMYFUNCTION("""COMPUTED_VALUE"""),197379.0)</f>
        <v>197379</v>
      </c>
      <c r="AG48" s="282"/>
      <c r="AH48" s="282"/>
      <c r="AI48" s="282"/>
      <c r="AJ48" s="282"/>
      <c r="AK48" s="282"/>
      <c r="AL48" s="282"/>
      <c r="AM48" s="282"/>
      <c r="AN48" s="282"/>
      <c r="AO48" s="282"/>
      <c r="AP48" s="282"/>
      <c r="AQ48" s="282"/>
      <c r="AR48" s="282"/>
      <c r="AS48" s="282"/>
      <c r="AT48" s="282"/>
      <c r="AU48" s="282"/>
      <c r="AV48" s="282"/>
      <c r="AW48" s="282"/>
      <c r="AX48" s="282"/>
      <c r="AY48" s="282"/>
      <c r="AZ48" s="282"/>
    </row>
    <row r="49">
      <c r="A49" s="209">
        <f>IFERROR(__xludf.DUMMYFUNCTION("""COMPUTED_VALUE"""),46102.0)</f>
        <v>46102</v>
      </c>
      <c r="B49" s="247">
        <f>IFERROR(__xludf.DUMMYFUNCTION("""COMPUTED_VALUE"""),0.4166666666678793)</f>
        <v>0.4166666667</v>
      </c>
      <c r="C49" s="218" t="str">
        <f>IFERROR(__xludf.DUMMYFUNCTION("""COMPUTED_VALUE"""),"Whatsapp")</f>
        <v>Whatsapp</v>
      </c>
      <c r="D49" s="218" t="str">
        <f>IFERROR(__xludf.DUMMYFUNCTION("""COMPUTED_VALUE"""),"Promotional")</f>
        <v>Promotional</v>
      </c>
      <c r="E49" s="218" t="str">
        <f>IFERROR(__xludf.DUMMYFUNCTION("""COMPUTED_VALUE"""),"CK")</f>
        <v>CK</v>
      </c>
      <c r="F49" s="218" t="str">
        <f>IFERROR(__xludf.DUMMYFUNCTION("""COMPUTED_VALUE"""),"Handbags")</f>
        <v>Handbags</v>
      </c>
      <c r="G49" s="218" t="str">
        <f>IFERROR(__xludf.DUMMYFUNCTION("""COMPUTED_VALUE"""),"High Aov handbags_21st Mar_2")</f>
        <v>High Aov handbags_21st Mar_2</v>
      </c>
      <c r="H49" s="218" t="str">
        <f>IFERROR(__xludf.DUMMYFUNCTION("""COMPUTED_VALUE"""),"Footwear_NoPr_Handbags")</f>
        <v>Footwear_NoPr_Handbags</v>
      </c>
      <c r="I49" s="218" t="str">
        <f>IFERROR(__xludf.DUMMYFUNCTION("""COMPUTED_VALUE"""),"Customers who have purchased Footwear whose LTV greater than 12000 in the entire date range AND Customers who have not purchased Handbags in the etire date range")</f>
        <v>Customers who have purchased Footwear whose LTV greater than 12000 in the entire date range AND Customers who have not purchased Handbags in the etire date range</v>
      </c>
      <c r="J49" s="213">
        <f>IFERROR(__xludf.DUMMYFUNCTION("""COMPUTED_VALUE"""),6345.0)</f>
        <v>6345</v>
      </c>
      <c r="K49" s="213">
        <f>IFERROR(__xludf.DUMMYFUNCTION("""COMPUTED_VALUE"""),774.0)</f>
        <v>774</v>
      </c>
      <c r="L49" s="214">
        <f>IFERROR(__xludf.DUMMYFUNCTION("""COMPUTED_VALUE"""),0.122)</f>
        <v>0.122</v>
      </c>
      <c r="M49" s="213">
        <f>IFERROR(__xludf.DUMMYFUNCTION("""COMPUTED_VALUE"""),499.0)</f>
        <v>499</v>
      </c>
      <c r="N49" s="214">
        <f>IFERROR(__xludf.DUMMYFUNCTION("""COMPUTED_VALUE"""),0.6447)</f>
        <v>0.6447</v>
      </c>
      <c r="O49" s="213">
        <f>IFERROR(__xludf.DUMMYFUNCTION("""COMPUTED_VALUE"""),16.0)</f>
        <v>16</v>
      </c>
      <c r="P49" s="213">
        <f>IFERROR(__xludf.DUMMYFUNCTION("""COMPUTED_VALUE"""),15.0)</f>
        <v>15</v>
      </c>
      <c r="Q49" s="214">
        <f>IFERROR(__xludf.DUMMYFUNCTION("""COMPUTED_VALUE"""),0.0194)</f>
        <v>0.0194</v>
      </c>
      <c r="R49" s="214">
        <f>IFERROR(__xludf.DUMMYFUNCTION("""COMPUTED_VALUE"""),0.0301)</f>
        <v>0.0301</v>
      </c>
      <c r="S49" s="270"/>
      <c r="T49" s="270"/>
      <c r="U49" s="270"/>
      <c r="V49" s="101" t="str">
        <f>IFERROR(__xludf.DUMMYFUNCTION("""COMPUTED_VALUE"""),"offline")</f>
        <v>offline</v>
      </c>
      <c r="W49" s="101" t="str">
        <f>IFERROR(__xludf.DUMMYFUNCTION("""COMPUTED_VALUE"""),"simple")</f>
        <v>simple</v>
      </c>
      <c r="X49" s="212" t="str">
        <f>IFERROR(__xludf.DUMMYFUNCTION("""COMPUTED_VALUE"""),"Category Movers")</f>
        <v>Category Movers</v>
      </c>
      <c r="Y49" s="212" t="str">
        <f>IFERROR(__xludf.DUMMYFUNCTION("""COMPUTED_VALUE"""),"21-29th March")</f>
        <v>21-29th March</v>
      </c>
      <c r="Z49" s="212" t="str">
        <f>IFERROR(__xludf.DUMMYFUNCTION("""COMPUTED_VALUE"""),"69ba79803039040af3a8aa77")</f>
        <v>69ba79803039040af3a8aa77</v>
      </c>
      <c r="AA49" s="287">
        <f>IFERROR(__xludf.DUMMYFUNCTION("""COMPUTED_VALUE"""),4.0)</f>
        <v>4</v>
      </c>
      <c r="AB49" s="213"/>
      <c r="AC49" s="213">
        <f>IFERROR(__xludf.DUMMYFUNCTION("""COMPUTED_VALUE"""),4.0)</f>
        <v>4</v>
      </c>
      <c r="AD49" s="213">
        <f>IFERROR(__xludf.DUMMYFUNCTION("""COMPUTED_VALUE"""),36996.0)</f>
        <v>36996</v>
      </c>
      <c r="AE49" s="213"/>
      <c r="AF49" s="213">
        <f>IFERROR(__xludf.DUMMYFUNCTION("""COMPUTED_VALUE"""),36996.0)</f>
        <v>36996</v>
      </c>
      <c r="AG49" s="282"/>
      <c r="AH49" s="282"/>
      <c r="AI49" s="282"/>
      <c r="AJ49" s="282"/>
      <c r="AK49" s="282"/>
      <c r="AL49" s="282"/>
      <c r="AM49" s="282"/>
      <c r="AN49" s="282"/>
      <c r="AO49" s="282"/>
      <c r="AP49" s="282"/>
      <c r="AQ49" s="282"/>
      <c r="AR49" s="282"/>
      <c r="AS49" s="282"/>
      <c r="AT49" s="282"/>
      <c r="AU49" s="282"/>
      <c r="AV49" s="282"/>
      <c r="AW49" s="282"/>
      <c r="AX49" s="282"/>
      <c r="AY49" s="282"/>
      <c r="AZ49" s="282"/>
    </row>
    <row r="50">
      <c r="A50" s="209">
        <f>IFERROR(__xludf.DUMMYFUNCTION("""COMPUTED_VALUE"""),46102.0)</f>
        <v>46102</v>
      </c>
      <c r="B50" s="247">
        <f>IFERROR(__xludf.DUMMYFUNCTION("""COMPUTED_VALUE"""),0.5)</f>
        <v>0.5</v>
      </c>
      <c r="C50" s="218" t="str">
        <f>IFERROR(__xludf.DUMMYFUNCTION("""COMPUTED_VALUE"""),"Sms")</f>
        <v>Sms</v>
      </c>
      <c r="D50" s="218" t="str">
        <f>IFERROR(__xludf.DUMMYFUNCTION("""COMPUTED_VALUE"""),"Fallback Campaign")</f>
        <v>Fallback Campaign</v>
      </c>
      <c r="E50" s="218" t="str">
        <f>IFERROR(__xludf.DUMMYFUNCTION("""COMPUTED_VALUE"""),"CK")</f>
        <v>CK</v>
      </c>
      <c r="F50" s="218" t="str">
        <f>IFERROR(__xludf.DUMMYFUNCTION("""COMPUTED_VALUE"""),"Handbags")</f>
        <v>Handbags</v>
      </c>
      <c r="G50" s="218" t="str">
        <f>IFERROR(__xludf.DUMMYFUNCTION("""COMPUTED_VALUE"""),"High Aov handbags_21st Mar_SMS")</f>
        <v>High Aov handbags_21st Mar_SMS</v>
      </c>
      <c r="H50" s="218" t="str">
        <f>IFERROR(__xludf.DUMMYFUNCTION("""COMPUTED_VALUE"""),"HandBags_NoPr_Footwear OR AGIPL_Internal")</f>
        <v>HandBags_NoPr_Footwear OR AGIPL_Internal</v>
      </c>
      <c r="I50" s="218" t="str">
        <f>IFERROR(__xludf.DUMMYFUNCTION("""COMPUTED_VALUE"""),"WA Undelivered")</f>
        <v>WA Undelivered</v>
      </c>
      <c r="J50" s="213">
        <f>IFERROR(__xludf.DUMMYFUNCTION("""COMPUTED_VALUE"""),28454.0)</f>
        <v>28454</v>
      </c>
      <c r="K50" s="213">
        <f>IFERROR(__xludf.DUMMYFUNCTION("""COMPUTED_VALUE"""),16198.0)</f>
        <v>16198</v>
      </c>
      <c r="L50" s="214">
        <f>IFERROR(__xludf.DUMMYFUNCTION("""COMPUTED_VALUE"""),0.5693)</f>
        <v>0.5693</v>
      </c>
      <c r="M50" s="213"/>
      <c r="N50" s="214"/>
      <c r="O50" s="213">
        <f>IFERROR(__xludf.DUMMYFUNCTION("""COMPUTED_VALUE"""),0.0)</f>
        <v>0</v>
      </c>
      <c r="P50" s="213"/>
      <c r="Q50" s="214">
        <f>IFERROR(__xludf.DUMMYFUNCTION("""COMPUTED_VALUE"""),0.0)</f>
        <v>0</v>
      </c>
      <c r="R50" s="214"/>
      <c r="S50" s="270"/>
      <c r="T50" s="270"/>
      <c r="U50" s="270"/>
      <c r="V50" s="101" t="str">
        <f>IFERROR(__xludf.DUMMYFUNCTION("""COMPUTED_VALUE"""),"offline")</f>
        <v>offline</v>
      </c>
      <c r="W50" s="101" t="str">
        <f>IFERROR(__xludf.DUMMYFUNCTION("""COMPUTED_VALUE"""),"SMS")</f>
        <v>SMS</v>
      </c>
      <c r="X50" s="212" t="str">
        <f>IFERROR(__xludf.DUMMYFUNCTION("""COMPUTED_VALUE"""),"Category Movers")</f>
        <v>Category Movers</v>
      </c>
      <c r="Y50" s="212" t="str">
        <f>IFERROR(__xludf.DUMMYFUNCTION("""COMPUTED_VALUE"""),"21-29th March")</f>
        <v>21-29th March</v>
      </c>
      <c r="Z50" s="212" t="str">
        <f>IFERROR(__xludf.DUMMYFUNCTION("""COMPUTED_VALUE"""),"69ba83dcad80c10e61b4ee26")</f>
        <v>69ba83dcad80c10e61b4ee26</v>
      </c>
      <c r="AA50" s="287">
        <f>IFERROR(__xludf.DUMMYFUNCTION("""COMPUTED_VALUE"""),70.0)</f>
        <v>70</v>
      </c>
      <c r="AB50" s="213"/>
      <c r="AC50" s="213">
        <f>IFERROR(__xludf.DUMMYFUNCTION("""COMPUTED_VALUE"""),70.0)</f>
        <v>70</v>
      </c>
      <c r="AD50" s="213">
        <f>IFERROR(__xludf.DUMMYFUNCTION("""COMPUTED_VALUE"""),766415.0)</f>
        <v>766415</v>
      </c>
      <c r="AE50" s="213"/>
      <c r="AF50" s="213">
        <f>IFERROR(__xludf.DUMMYFUNCTION("""COMPUTED_VALUE"""),766415.0)</f>
        <v>766415</v>
      </c>
      <c r="AG50" s="282"/>
      <c r="AH50" s="282"/>
      <c r="AI50" s="282"/>
      <c r="AJ50" s="282"/>
      <c r="AK50" s="282"/>
      <c r="AL50" s="282"/>
      <c r="AM50" s="282"/>
      <c r="AN50" s="282"/>
      <c r="AO50" s="282"/>
      <c r="AP50" s="282"/>
      <c r="AQ50" s="282"/>
      <c r="AR50" s="282"/>
      <c r="AS50" s="282"/>
      <c r="AT50" s="282"/>
      <c r="AU50" s="282"/>
      <c r="AV50" s="282"/>
      <c r="AW50" s="282"/>
      <c r="AX50" s="282"/>
      <c r="AY50" s="282"/>
      <c r="AZ50" s="282"/>
    </row>
    <row r="51">
      <c r="A51" s="209">
        <f>IFERROR(__xludf.DUMMYFUNCTION("""COMPUTED_VALUE"""),46102.0)</f>
        <v>46102</v>
      </c>
      <c r="B51" s="247">
        <f>IFERROR(__xludf.DUMMYFUNCTION("""COMPUTED_VALUE"""),0.5)</f>
        <v>0.5</v>
      </c>
      <c r="C51" s="218" t="str">
        <f>IFERROR(__xludf.DUMMYFUNCTION("""COMPUTED_VALUE"""),"Sms")</f>
        <v>Sms</v>
      </c>
      <c r="D51" s="218" t="str">
        <f>IFERROR(__xludf.DUMMYFUNCTION("""COMPUTED_VALUE"""),"Fallback Campaign")</f>
        <v>Fallback Campaign</v>
      </c>
      <c r="E51" s="218" t="str">
        <f>IFERROR(__xludf.DUMMYFUNCTION("""COMPUTED_VALUE"""),"CK")</f>
        <v>CK</v>
      </c>
      <c r="F51" s="218" t="str">
        <f>IFERROR(__xludf.DUMMYFUNCTION("""COMPUTED_VALUE"""),"Handbags")</f>
        <v>Handbags</v>
      </c>
      <c r="G51" s="218" t="str">
        <f>IFERROR(__xludf.DUMMYFUNCTION("""COMPUTED_VALUE"""),"High Aov handbags_21st Mar_SMS_2")</f>
        <v>High Aov handbags_21st Mar_SMS_2</v>
      </c>
      <c r="H51" s="218" t="str">
        <f>IFERROR(__xludf.DUMMYFUNCTION("""COMPUTED_VALUE"""),"Footwear_NoPr_Handbags")</f>
        <v>Footwear_NoPr_Handbags</v>
      </c>
      <c r="I51" s="218" t="str">
        <f>IFERROR(__xludf.DUMMYFUNCTION("""COMPUTED_VALUE"""),"WA Undelivered")</f>
        <v>WA Undelivered</v>
      </c>
      <c r="J51" s="213">
        <f>IFERROR(__xludf.DUMMYFUNCTION("""COMPUTED_VALUE"""),5525.0)</f>
        <v>5525</v>
      </c>
      <c r="K51" s="213">
        <f>IFERROR(__xludf.DUMMYFUNCTION("""COMPUTED_VALUE"""),2657.0)</f>
        <v>2657</v>
      </c>
      <c r="L51" s="214">
        <f>IFERROR(__xludf.DUMMYFUNCTION("""COMPUTED_VALUE"""),0.4809)</f>
        <v>0.4809</v>
      </c>
      <c r="M51" s="213"/>
      <c r="N51" s="214"/>
      <c r="O51" s="213">
        <f>IFERROR(__xludf.DUMMYFUNCTION("""COMPUTED_VALUE"""),0.0)</f>
        <v>0</v>
      </c>
      <c r="P51" s="213"/>
      <c r="Q51" s="214">
        <f>IFERROR(__xludf.DUMMYFUNCTION("""COMPUTED_VALUE"""),0.0)</f>
        <v>0</v>
      </c>
      <c r="R51" s="214"/>
      <c r="S51" s="270"/>
      <c r="T51" s="270"/>
      <c r="U51" s="270"/>
      <c r="V51" s="101" t="str">
        <f>IFERROR(__xludf.DUMMYFUNCTION("""COMPUTED_VALUE"""),"offline")</f>
        <v>offline</v>
      </c>
      <c r="W51" s="101" t="str">
        <f>IFERROR(__xludf.DUMMYFUNCTION("""COMPUTED_VALUE"""),"SMS")</f>
        <v>SMS</v>
      </c>
      <c r="X51" s="212" t="str">
        <f>IFERROR(__xludf.DUMMYFUNCTION("""COMPUTED_VALUE"""),"Category Movers")</f>
        <v>Category Movers</v>
      </c>
      <c r="Y51" s="212" t="str">
        <f>IFERROR(__xludf.DUMMYFUNCTION("""COMPUTED_VALUE"""),"21-29th March")</f>
        <v>21-29th March</v>
      </c>
      <c r="Z51" s="212" t="str">
        <f>IFERROR(__xludf.DUMMYFUNCTION("""COMPUTED_VALUE"""),"69ba8402a88b0be57cd3b090")</f>
        <v>69ba8402a88b0be57cd3b090</v>
      </c>
      <c r="AA51" s="287">
        <f>IFERROR(__xludf.DUMMYFUNCTION("""COMPUTED_VALUE"""),15.0)</f>
        <v>15</v>
      </c>
      <c r="AB51" s="213"/>
      <c r="AC51" s="213">
        <f>IFERROR(__xludf.DUMMYFUNCTION("""COMPUTED_VALUE"""),15.0)</f>
        <v>15</v>
      </c>
      <c r="AD51" s="213">
        <f>IFERROR(__xludf.DUMMYFUNCTION("""COMPUTED_VALUE"""),241474.0)</f>
        <v>241474</v>
      </c>
      <c r="AE51" s="213"/>
      <c r="AF51" s="213">
        <f>IFERROR(__xludf.DUMMYFUNCTION("""COMPUTED_VALUE"""),241474.0)</f>
        <v>241474</v>
      </c>
      <c r="AG51" s="282"/>
      <c r="AH51" s="282"/>
      <c r="AI51" s="282"/>
      <c r="AJ51" s="282"/>
      <c r="AK51" s="282"/>
      <c r="AL51" s="282"/>
      <c r="AM51" s="282"/>
      <c r="AN51" s="282"/>
      <c r="AO51" s="282"/>
      <c r="AP51" s="282"/>
      <c r="AQ51" s="282"/>
      <c r="AR51" s="282"/>
      <c r="AS51" s="282"/>
      <c r="AT51" s="282"/>
      <c r="AU51" s="282"/>
      <c r="AV51" s="282"/>
      <c r="AW51" s="282"/>
      <c r="AX51" s="282"/>
      <c r="AY51" s="282"/>
      <c r="AZ51" s="282"/>
    </row>
    <row r="52">
      <c r="A52" s="209">
        <f>IFERROR(__xludf.DUMMYFUNCTION("""COMPUTED_VALUE"""),46115.0)</f>
        <v>46115</v>
      </c>
      <c r="B52" s="247">
        <f>IFERROR(__xludf.DUMMYFUNCTION("""COMPUTED_VALUE"""),0.4166666666678793)</f>
        <v>0.4166666667</v>
      </c>
      <c r="C52" s="218" t="str">
        <f>IFERROR(__xludf.DUMMYFUNCTION("""COMPUTED_VALUE"""),"Whatsapp")</f>
        <v>Whatsapp</v>
      </c>
      <c r="D52" s="218" t="str">
        <f>IFERROR(__xludf.DUMMYFUNCTION("""COMPUTED_VALUE"""),"Promotional")</f>
        <v>Promotional</v>
      </c>
      <c r="E52" s="218" t="str">
        <f>IFERROR(__xludf.DUMMYFUNCTION("""COMPUTED_VALUE"""),"CK")</f>
        <v>CK</v>
      </c>
      <c r="F52" s="218" t="str">
        <f>IFERROR(__xludf.DUMMYFUNCTION("""COMPUTED_VALUE"""),"CK Essentials")</f>
        <v>CK Essentials</v>
      </c>
      <c r="G52" s="218" t="str">
        <f>IFERROR(__xludf.DUMMYFUNCTION("""COMPUTED_VALUE"""),"CK_2nd April_bigbags_online+offline")</f>
        <v>CK_2nd April_bigbags_online+offline</v>
      </c>
      <c r="H52" s="218" t="str">
        <f>IFERROR(__xludf.DUMMYFUNCTION("""COMPUTED_VALUE"""),"Large_Handbags_OnOff OR AGIPL_Internal")</f>
        <v>Large_Handbags_OnOff OR AGIPL_Internal</v>
      </c>
      <c r="I52" s="218" t="str">
        <f>IFERROR(__xludf.DUMMYFUNCTION("""COMPUTED_VALUE"""),"Customers who have purchased Large Handbags in the last 1095D")</f>
        <v>Customers who have purchased Large Handbags in the last 1095D</v>
      </c>
      <c r="J52" s="213">
        <f>IFERROR(__xludf.DUMMYFUNCTION("""COMPUTED_VALUE"""),32499.0)</f>
        <v>32499</v>
      </c>
      <c r="K52" s="213">
        <f>IFERROR(__xludf.DUMMYFUNCTION("""COMPUTED_VALUE"""),11279.0)</f>
        <v>11279</v>
      </c>
      <c r="L52" s="214">
        <f>IFERROR(__xludf.DUMMYFUNCTION("""COMPUTED_VALUE"""),0.3471)</f>
        <v>0.3471</v>
      </c>
      <c r="M52" s="213">
        <f>IFERROR(__xludf.DUMMYFUNCTION("""COMPUTED_VALUE"""),4500.0)</f>
        <v>4500</v>
      </c>
      <c r="N52" s="214">
        <f>IFERROR(__xludf.DUMMYFUNCTION("""COMPUTED_VALUE"""),0.399)</f>
        <v>0.399</v>
      </c>
      <c r="O52" s="213">
        <f>IFERROR(__xludf.DUMMYFUNCTION("""COMPUTED_VALUE"""),289.0)</f>
        <v>289</v>
      </c>
      <c r="P52" s="213">
        <f>IFERROR(__xludf.DUMMYFUNCTION("""COMPUTED_VALUE"""),268.0)</f>
        <v>268</v>
      </c>
      <c r="Q52" s="214">
        <f>IFERROR(__xludf.DUMMYFUNCTION("""COMPUTED_VALUE"""),0.0238)</f>
        <v>0.0238</v>
      </c>
      <c r="R52" s="214">
        <f>IFERROR(__xludf.DUMMYFUNCTION("""COMPUTED_VALUE"""),0.0596)</f>
        <v>0.0596</v>
      </c>
      <c r="S52" s="270"/>
      <c r="T52" s="270"/>
      <c r="U52" s="270"/>
      <c r="V52" s="101" t="str">
        <f>IFERROR(__xludf.DUMMYFUNCTION("""COMPUTED_VALUE"""),"overall")</f>
        <v>overall</v>
      </c>
      <c r="W52" s="101" t="str">
        <f>IFERROR(__xludf.DUMMYFUNCTION("""COMPUTED_VALUE"""),"simple")</f>
        <v>simple</v>
      </c>
      <c r="X52" s="212" t="str">
        <f>IFERROR(__xludf.DUMMYFUNCTION("""COMPUTED_VALUE"""),"Category Movers")</f>
        <v>Category Movers</v>
      </c>
      <c r="Y52" s="212" t="str">
        <f>IFERROR(__xludf.DUMMYFUNCTION("""COMPUTED_VALUE"""),"3rd april- 10th April")</f>
        <v>3rd april- 10th April</v>
      </c>
      <c r="Z52" s="212" t="str">
        <f>IFERROR(__xludf.DUMMYFUNCTION("""COMPUTED_VALUE"""),"69ce59574b6bdd36eb8c996d")</f>
        <v>69ce59574b6bdd36eb8c996d</v>
      </c>
      <c r="AA52" s="287">
        <f>IFERROR(__xludf.DUMMYFUNCTION("""COMPUTED_VALUE"""),64.0)</f>
        <v>64</v>
      </c>
      <c r="AB52" s="213">
        <f>IFERROR(__xludf.DUMMYFUNCTION("""COMPUTED_VALUE"""),0.0)</f>
        <v>0</v>
      </c>
      <c r="AC52" s="213">
        <f>IFERROR(__xludf.DUMMYFUNCTION("""COMPUTED_VALUE"""),64.0)</f>
        <v>64</v>
      </c>
      <c r="AD52" s="213">
        <f>IFERROR(__xludf.DUMMYFUNCTION("""COMPUTED_VALUE"""),853208.0)</f>
        <v>853208</v>
      </c>
      <c r="AE52" s="213">
        <f>IFERROR(__xludf.DUMMYFUNCTION("""COMPUTED_VALUE"""),0.0)</f>
        <v>0</v>
      </c>
      <c r="AF52" s="213">
        <f>IFERROR(__xludf.DUMMYFUNCTION("""COMPUTED_VALUE"""),853208.0)</f>
        <v>853208</v>
      </c>
      <c r="AG52" s="282"/>
      <c r="AH52" s="282"/>
      <c r="AI52" s="282"/>
      <c r="AJ52" s="282"/>
      <c r="AK52" s="282"/>
      <c r="AL52" s="282"/>
      <c r="AM52" s="282"/>
      <c r="AN52" s="282"/>
      <c r="AO52" s="282"/>
      <c r="AP52" s="282"/>
      <c r="AQ52" s="282"/>
      <c r="AR52" s="282"/>
      <c r="AS52" s="282"/>
      <c r="AT52" s="282"/>
      <c r="AU52" s="282"/>
      <c r="AV52" s="282"/>
      <c r="AW52" s="282"/>
      <c r="AX52" s="282"/>
      <c r="AY52" s="282"/>
      <c r="AZ52" s="282"/>
    </row>
    <row r="53">
      <c r="A53" s="209">
        <f>IFERROR(__xludf.DUMMYFUNCTION("""COMPUTED_VALUE"""),46115.0)</f>
        <v>46115</v>
      </c>
      <c r="B53" s="247">
        <f>IFERROR(__xludf.DUMMYFUNCTION("""COMPUTED_VALUE"""),0.4166666666678793)</f>
        <v>0.4166666667</v>
      </c>
      <c r="C53" s="218" t="str">
        <f>IFERROR(__xludf.DUMMYFUNCTION("""COMPUTED_VALUE"""),"Whatsapp")</f>
        <v>Whatsapp</v>
      </c>
      <c r="D53" s="218" t="str">
        <f>IFERROR(__xludf.DUMMYFUNCTION("""COMPUTED_VALUE"""),"Promotional")</f>
        <v>Promotional</v>
      </c>
      <c r="E53" s="218" t="str">
        <f>IFERROR(__xludf.DUMMYFUNCTION("""COMPUTED_VALUE"""),"CK")</f>
        <v>CK</v>
      </c>
      <c r="F53" s="218" t="str">
        <f>IFERROR(__xludf.DUMMYFUNCTION("""COMPUTED_VALUE"""),"CK Essentials")</f>
        <v>CK Essentials</v>
      </c>
      <c r="G53" s="218" t="str">
        <f>IFERROR(__xludf.DUMMYFUNCTION("""COMPUTED_VALUE"""),"CK_2nd April_everyday bags_online+offline")</f>
        <v>CK_2nd April_everyday bags_online+offline</v>
      </c>
      <c r="H53" s="218" t="str">
        <f>IFERROR(__xludf.DUMMYFUNCTION("""COMPUTED_VALUE"""),"S_M_Handbags_OnOff OR AGIPL_Internal")</f>
        <v>S_M_Handbags_OnOff OR AGIPL_Internal</v>
      </c>
      <c r="I53" s="218" t="str">
        <f>IFERROR(__xludf.DUMMYFUNCTION("""COMPUTED_VALUE"""),"Customers who have purchased Small and Medium Handbags in the last 1095D")</f>
        <v>Customers who have purchased Small and Medium Handbags in the last 1095D</v>
      </c>
      <c r="J53" s="213">
        <f>IFERROR(__xludf.DUMMYFUNCTION("""COMPUTED_VALUE"""),52850.0)</f>
        <v>52850</v>
      </c>
      <c r="K53" s="213">
        <f>IFERROR(__xludf.DUMMYFUNCTION("""COMPUTED_VALUE"""),24062.0)</f>
        <v>24062</v>
      </c>
      <c r="L53" s="214">
        <f>IFERROR(__xludf.DUMMYFUNCTION("""COMPUTED_VALUE"""),0.4553)</f>
        <v>0.4553</v>
      </c>
      <c r="M53" s="213">
        <f>IFERROR(__xludf.DUMMYFUNCTION("""COMPUTED_VALUE"""),8772.0)</f>
        <v>8772</v>
      </c>
      <c r="N53" s="214">
        <f>IFERROR(__xludf.DUMMYFUNCTION("""COMPUTED_VALUE"""),0.3646)</f>
        <v>0.3646</v>
      </c>
      <c r="O53" s="213">
        <f>IFERROR(__xludf.DUMMYFUNCTION("""COMPUTED_VALUE"""),549.0)</f>
        <v>549</v>
      </c>
      <c r="P53" s="213">
        <f>IFERROR(__xludf.DUMMYFUNCTION("""COMPUTED_VALUE"""),518.0)</f>
        <v>518</v>
      </c>
      <c r="Q53" s="214">
        <f>IFERROR(__xludf.DUMMYFUNCTION("""COMPUTED_VALUE"""),0.0215)</f>
        <v>0.0215</v>
      </c>
      <c r="R53" s="214">
        <f>IFERROR(__xludf.DUMMYFUNCTION("""COMPUTED_VALUE"""),0.0591)</f>
        <v>0.0591</v>
      </c>
      <c r="S53" s="270"/>
      <c r="T53" s="270"/>
      <c r="U53" s="270"/>
      <c r="V53" s="101" t="str">
        <f>IFERROR(__xludf.DUMMYFUNCTION("""COMPUTED_VALUE"""),"overall")</f>
        <v>overall</v>
      </c>
      <c r="W53" s="101" t="str">
        <f>IFERROR(__xludf.DUMMYFUNCTION("""COMPUTED_VALUE"""),"simple")</f>
        <v>simple</v>
      </c>
      <c r="X53" s="212" t="str">
        <f>IFERROR(__xludf.DUMMYFUNCTION("""COMPUTED_VALUE"""),"Category Movers")</f>
        <v>Category Movers</v>
      </c>
      <c r="Y53" s="212" t="str">
        <f>IFERROR(__xludf.DUMMYFUNCTION("""COMPUTED_VALUE"""),"3rd april- 10th April")</f>
        <v>3rd april- 10th April</v>
      </c>
      <c r="Z53" s="212" t="str">
        <f>IFERROR(__xludf.DUMMYFUNCTION("""COMPUTED_VALUE"""),"69ce5ae72c9398742c07b9db")</f>
        <v>69ce5ae72c9398742c07b9db</v>
      </c>
      <c r="AA53" s="287">
        <f>IFERROR(__xludf.DUMMYFUNCTION("""COMPUTED_VALUE"""),72.0)</f>
        <v>72</v>
      </c>
      <c r="AB53" s="213">
        <f>IFERROR(__xludf.DUMMYFUNCTION("""COMPUTED_VALUE"""),0.0)</f>
        <v>0</v>
      </c>
      <c r="AC53" s="213">
        <f>IFERROR(__xludf.DUMMYFUNCTION("""COMPUTED_VALUE"""),72.0)</f>
        <v>72</v>
      </c>
      <c r="AD53" s="213">
        <f>IFERROR(__xludf.DUMMYFUNCTION("""COMPUTED_VALUE"""),864003.0)</f>
        <v>864003</v>
      </c>
      <c r="AE53" s="213">
        <f>IFERROR(__xludf.DUMMYFUNCTION("""COMPUTED_VALUE"""),0.0)</f>
        <v>0</v>
      </c>
      <c r="AF53" s="213">
        <f>IFERROR(__xludf.DUMMYFUNCTION("""COMPUTED_VALUE"""),864003.0)</f>
        <v>864003</v>
      </c>
      <c r="AG53" s="282"/>
      <c r="AH53" s="282"/>
      <c r="AI53" s="282"/>
      <c r="AJ53" s="282"/>
      <c r="AK53" s="282"/>
      <c r="AL53" s="282"/>
      <c r="AM53" s="282"/>
      <c r="AN53" s="282"/>
      <c r="AO53" s="282"/>
      <c r="AP53" s="282"/>
      <c r="AQ53" s="282"/>
      <c r="AR53" s="282"/>
      <c r="AS53" s="282"/>
      <c r="AT53" s="282"/>
      <c r="AU53" s="282"/>
      <c r="AV53" s="282"/>
      <c r="AW53" s="282"/>
      <c r="AX53" s="282"/>
      <c r="AY53" s="282"/>
      <c r="AZ53" s="282"/>
    </row>
    <row r="54">
      <c r="A54" s="209">
        <f>IFERROR(__xludf.DUMMYFUNCTION("""COMPUTED_VALUE"""),46115.0)</f>
        <v>46115</v>
      </c>
      <c r="B54" s="247">
        <f>IFERROR(__xludf.DUMMYFUNCTION("""COMPUTED_VALUE"""),0.4166666666678793)</f>
        <v>0.4166666667</v>
      </c>
      <c r="C54" s="218" t="str">
        <f>IFERROR(__xludf.DUMMYFUNCTION("""COMPUTED_VALUE"""),"Whatsapp")</f>
        <v>Whatsapp</v>
      </c>
      <c r="D54" s="218" t="str">
        <f>IFERROR(__xludf.DUMMYFUNCTION("""COMPUTED_VALUE"""),"Promotional")</f>
        <v>Promotional</v>
      </c>
      <c r="E54" s="218" t="str">
        <f>IFERROR(__xludf.DUMMYFUNCTION("""COMPUTED_VALUE"""),"CK")</f>
        <v>CK</v>
      </c>
      <c r="F54" s="218" t="str">
        <f>IFERROR(__xludf.DUMMYFUNCTION("""COMPUTED_VALUE"""),"CK Essentials")</f>
        <v>CK Essentials</v>
      </c>
      <c r="G54" s="218" t="str">
        <f>IFERROR(__xludf.DUMMYFUNCTION("""COMPUTED_VALUE"""),"CK_2nd April_must-have shoes_offline + Online")</f>
        <v>CK_2nd April_must-have shoes_offline + Online</v>
      </c>
      <c r="H54" s="218" t="str">
        <f>IFERROR(__xludf.DUMMYFUNCTION("""COMPUTED_VALUE"""),"Footwear_OnOff OR AGIPL_Internal")</f>
        <v>Footwear_OnOff OR AGIPL_Internal</v>
      </c>
      <c r="I54" s="218" t="str">
        <f>IFERROR(__xludf.DUMMYFUNCTION("""COMPUTED_VALUE"""),"Customers who have purchased Footwear in the last 1095D")</f>
        <v>Customers who have purchased Footwear in the last 1095D</v>
      </c>
      <c r="J54" s="213">
        <f>IFERROR(__xludf.DUMMYFUNCTION("""COMPUTED_VALUE"""),37779.0)</f>
        <v>37779</v>
      </c>
      <c r="K54" s="213">
        <f>IFERROR(__xludf.DUMMYFUNCTION("""COMPUTED_VALUE"""),16568.0)</f>
        <v>16568</v>
      </c>
      <c r="L54" s="214">
        <f>IFERROR(__xludf.DUMMYFUNCTION("""COMPUTED_VALUE"""),0.4386)</f>
        <v>0.4386</v>
      </c>
      <c r="M54" s="213">
        <f>IFERROR(__xludf.DUMMYFUNCTION("""COMPUTED_VALUE"""),5553.0)</f>
        <v>5553</v>
      </c>
      <c r="N54" s="214">
        <f>IFERROR(__xludf.DUMMYFUNCTION("""COMPUTED_VALUE"""),0.3352)</f>
        <v>0.3352</v>
      </c>
      <c r="O54" s="213">
        <f>IFERROR(__xludf.DUMMYFUNCTION("""COMPUTED_VALUE"""),582.0)</f>
        <v>582</v>
      </c>
      <c r="P54" s="213">
        <f>IFERROR(__xludf.DUMMYFUNCTION("""COMPUTED_VALUE"""),538.0)</f>
        <v>538</v>
      </c>
      <c r="Q54" s="214">
        <f>IFERROR(__xludf.DUMMYFUNCTION("""COMPUTED_VALUE"""),0.0325)</f>
        <v>0.0325</v>
      </c>
      <c r="R54" s="214">
        <f>IFERROR(__xludf.DUMMYFUNCTION("""COMPUTED_VALUE"""),0.0969)</f>
        <v>0.0969</v>
      </c>
      <c r="S54" s="270"/>
      <c r="T54" s="270"/>
      <c r="U54" s="270"/>
      <c r="V54" s="101" t="str">
        <f>IFERROR(__xludf.DUMMYFUNCTION("""COMPUTED_VALUE"""),"overall")</f>
        <v>overall</v>
      </c>
      <c r="W54" s="101" t="str">
        <f>IFERROR(__xludf.DUMMYFUNCTION("""COMPUTED_VALUE"""),"simple")</f>
        <v>simple</v>
      </c>
      <c r="X54" s="212" t="str">
        <f>IFERROR(__xludf.DUMMYFUNCTION("""COMPUTED_VALUE"""),"Category Movers")</f>
        <v>Category Movers</v>
      </c>
      <c r="Y54" s="212" t="str">
        <f>IFERROR(__xludf.DUMMYFUNCTION("""COMPUTED_VALUE"""),"3rd april- 10th April")</f>
        <v>3rd april- 10th April</v>
      </c>
      <c r="Z54" s="212" t="str">
        <f>IFERROR(__xludf.DUMMYFUNCTION("""COMPUTED_VALUE"""),"69ce5b49ef5dde37ce701c71")</f>
        <v>69ce5b49ef5dde37ce701c71</v>
      </c>
      <c r="AA54" s="287">
        <f>IFERROR(__xludf.DUMMYFUNCTION("""COMPUTED_VALUE"""),78.0)</f>
        <v>78</v>
      </c>
      <c r="AB54" s="213">
        <f>IFERROR(__xludf.DUMMYFUNCTION("""COMPUTED_VALUE"""),0.0)</f>
        <v>0</v>
      </c>
      <c r="AC54" s="213">
        <f>IFERROR(__xludf.DUMMYFUNCTION("""COMPUTED_VALUE"""),78.0)</f>
        <v>78</v>
      </c>
      <c r="AD54" s="213">
        <f>IFERROR(__xludf.DUMMYFUNCTION("""COMPUTED_VALUE"""),1091486.0)</f>
        <v>1091486</v>
      </c>
      <c r="AE54" s="213">
        <f>IFERROR(__xludf.DUMMYFUNCTION("""COMPUTED_VALUE"""),0.0)</f>
        <v>0</v>
      </c>
      <c r="AF54" s="213">
        <f>IFERROR(__xludf.DUMMYFUNCTION("""COMPUTED_VALUE"""),1091486.0)</f>
        <v>1091486</v>
      </c>
      <c r="AG54" s="282"/>
      <c r="AH54" s="282"/>
      <c r="AI54" s="282"/>
      <c r="AJ54" s="282"/>
      <c r="AK54" s="282"/>
      <c r="AL54" s="282"/>
      <c r="AM54" s="282"/>
      <c r="AN54" s="282"/>
      <c r="AO54" s="282"/>
      <c r="AP54" s="282"/>
      <c r="AQ54" s="282"/>
      <c r="AR54" s="282"/>
      <c r="AS54" s="282"/>
      <c r="AT54" s="282"/>
      <c r="AU54" s="282"/>
      <c r="AV54" s="282"/>
      <c r="AW54" s="282"/>
      <c r="AX54" s="282"/>
      <c r="AY54" s="282"/>
      <c r="AZ54" s="282"/>
    </row>
    <row r="55">
      <c r="A55" s="209">
        <f>IFERROR(__xludf.DUMMYFUNCTION("""COMPUTED_VALUE"""),46115.0)</f>
        <v>46115</v>
      </c>
      <c r="B55" s="247">
        <f>IFERROR(__xludf.DUMMYFUNCTION("""COMPUTED_VALUE"""),0.4166666666678793)</f>
        <v>0.4166666667</v>
      </c>
      <c r="C55" s="218" t="str">
        <f>IFERROR(__xludf.DUMMYFUNCTION("""COMPUTED_VALUE"""),"Whatsapp")</f>
        <v>Whatsapp</v>
      </c>
      <c r="D55" s="218" t="str">
        <f>IFERROR(__xludf.DUMMYFUNCTION("""COMPUTED_VALUE"""),"Promotional")</f>
        <v>Promotional</v>
      </c>
      <c r="E55" s="218" t="str">
        <f>IFERROR(__xludf.DUMMYFUNCTION("""COMPUTED_VALUE"""),"CK")</f>
        <v>CK</v>
      </c>
      <c r="F55" s="218" t="str">
        <f>IFERROR(__xludf.DUMMYFUNCTION("""COMPUTED_VALUE"""),"CK Essentials")</f>
        <v>CK Essentials</v>
      </c>
      <c r="G55" s="218" t="str">
        <f>IFERROR(__xludf.DUMMYFUNCTION("""COMPUTED_VALUE"""),"CK_2nd April_must-have wallets_offline + Online")</f>
        <v>CK_2nd April_must-have wallets_offline + Online</v>
      </c>
      <c r="H55" s="218" t="str">
        <f>IFERROR(__xludf.DUMMYFUNCTION("""COMPUTED_VALUE"""),"Wallet_OnOff OR AGIPL_Internal")</f>
        <v>Wallet_OnOff OR AGIPL_Internal</v>
      </c>
      <c r="I55" s="218" t="str">
        <f>IFERROR(__xludf.DUMMYFUNCTION("""COMPUTED_VALUE"""),"Customers who have purchased Wallets in the last 1095D")</f>
        <v>Customers who have purchased Wallets in the last 1095D</v>
      </c>
      <c r="J55" s="213">
        <f>IFERROR(__xludf.DUMMYFUNCTION("""COMPUTED_VALUE"""),14785.0)</f>
        <v>14785</v>
      </c>
      <c r="K55" s="213">
        <f>IFERROR(__xludf.DUMMYFUNCTION("""COMPUTED_VALUE"""),7915.0)</f>
        <v>7915</v>
      </c>
      <c r="L55" s="214">
        <f>IFERROR(__xludf.DUMMYFUNCTION("""COMPUTED_VALUE"""),0.5353)</f>
        <v>0.5353</v>
      </c>
      <c r="M55" s="213">
        <f>IFERROR(__xludf.DUMMYFUNCTION("""COMPUTED_VALUE"""),2484.0)</f>
        <v>2484</v>
      </c>
      <c r="N55" s="214">
        <f>IFERROR(__xludf.DUMMYFUNCTION("""COMPUTED_VALUE"""),0.3138)</f>
        <v>0.3138</v>
      </c>
      <c r="O55" s="213">
        <f>IFERROR(__xludf.DUMMYFUNCTION("""COMPUTED_VALUE"""),125.0)</f>
        <v>125</v>
      </c>
      <c r="P55" s="213">
        <f>IFERROR(__xludf.DUMMYFUNCTION("""COMPUTED_VALUE"""),119.0)</f>
        <v>119</v>
      </c>
      <c r="Q55" s="214">
        <f>IFERROR(__xludf.DUMMYFUNCTION("""COMPUTED_VALUE"""),0.015)</f>
        <v>0.015</v>
      </c>
      <c r="R55" s="214">
        <f>IFERROR(__xludf.DUMMYFUNCTION("""COMPUTED_VALUE"""),0.0479)</f>
        <v>0.0479</v>
      </c>
      <c r="S55" s="270"/>
      <c r="T55" s="270"/>
      <c r="U55" s="270"/>
      <c r="V55" s="101" t="str">
        <f>IFERROR(__xludf.DUMMYFUNCTION("""COMPUTED_VALUE"""),"overall")</f>
        <v>overall</v>
      </c>
      <c r="W55" s="101" t="str">
        <f>IFERROR(__xludf.DUMMYFUNCTION("""COMPUTED_VALUE"""),"simple")</f>
        <v>simple</v>
      </c>
      <c r="X55" s="212" t="str">
        <f>IFERROR(__xludf.DUMMYFUNCTION("""COMPUTED_VALUE"""),"Category Movers")</f>
        <v>Category Movers</v>
      </c>
      <c r="Y55" s="212" t="str">
        <f>IFERROR(__xludf.DUMMYFUNCTION("""COMPUTED_VALUE"""),"3rd april- 10th April")</f>
        <v>3rd april- 10th April</v>
      </c>
      <c r="Z55" s="212" t="str">
        <f>IFERROR(__xludf.DUMMYFUNCTION("""COMPUTED_VALUE"""),"69ce5bb15912b596bec7d7f3")</f>
        <v>69ce5bb15912b596bec7d7f3</v>
      </c>
      <c r="AA55" s="287">
        <f>IFERROR(__xludf.DUMMYFUNCTION("""COMPUTED_VALUE"""),27.0)</f>
        <v>27</v>
      </c>
      <c r="AB55" s="213">
        <f>IFERROR(__xludf.DUMMYFUNCTION("""COMPUTED_VALUE"""),0.0)</f>
        <v>0</v>
      </c>
      <c r="AC55" s="213">
        <f>IFERROR(__xludf.DUMMYFUNCTION("""COMPUTED_VALUE"""),27.0)</f>
        <v>27</v>
      </c>
      <c r="AD55" s="213">
        <f>IFERROR(__xludf.DUMMYFUNCTION("""COMPUTED_VALUE"""),294160.0)</f>
        <v>294160</v>
      </c>
      <c r="AE55" s="213">
        <f>IFERROR(__xludf.DUMMYFUNCTION("""COMPUTED_VALUE"""),0.0)</f>
        <v>0</v>
      </c>
      <c r="AF55" s="213">
        <f>IFERROR(__xludf.DUMMYFUNCTION("""COMPUTED_VALUE"""),294160.0)</f>
        <v>294160</v>
      </c>
      <c r="AG55" s="282"/>
      <c r="AH55" s="282"/>
      <c r="AI55" s="282"/>
      <c r="AJ55" s="282"/>
      <c r="AK55" s="282"/>
      <c r="AL55" s="282"/>
      <c r="AM55" s="282"/>
      <c r="AN55" s="282"/>
      <c r="AO55" s="282"/>
      <c r="AP55" s="282"/>
      <c r="AQ55" s="282"/>
      <c r="AR55" s="282"/>
      <c r="AS55" s="282"/>
      <c r="AT55" s="282"/>
      <c r="AU55" s="282"/>
      <c r="AV55" s="282"/>
      <c r="AW55" s="282"/>
      <c r="AX55" s="282"/>
      <c r="AY55" s="282"/>
      <c r="AZ55" s="282"/>
    </row>
    <row r="56">
      <c r="A56" s="209">
        <f>IFERROR(__xludf.DUMMYFUNCTION("""COMPUTED_VALUE"""),46115.0)</f>
        <v>46115</v>
      </c>
      <c r="B56" s="247">
        <f>IFERROR(__xludf.DUMMYFUNCTION("""COMPUTED_VALUE"""),0.5)</f>
        <v>0.5</v>
      </c>
      <c r="C56" s="218" t="str">
        <f>IFERROR(__xludf.DUMMYFUNCTION("""COMPUTED_VALUE"""),"Sms")</f>
        <v>Sms</v>
      </c>
      <c r="D56" s="218" t="str">
        <f>IFERROR(__xludf.DUMMYFUNCTION("""COMPUTED_VALUE"""),"Fallback Campaign")</f>
        <v>Fallback Campaign</v>
      </c>
      <c r="E56" s="218" t="str">
        <f>IFERROR(__xludf.DUMMYFUNCTION("""COMPUTED_VALUE"""),"CK")</f>
        <v>CK</v>
      </c>
      <c r="F56" s="218" t="str">
        <f>IFERROR(__xludf.DUMMYFUNCTION("""COMPUTED_VALUE"""),"CK Essentials")</f>
        <v>CK Essentials</v>
      </c>
      <c r="G56" s="218" t="str">
        <f>IFERROR(__xludf.DUMMYFUNCTION("""COMPUTED_VALUE"""),"CK_2nd April_bigbags_online+offline_SMS")</f>
        <v>CK_2nd April_bigbags_online+offline_SMS</v>
      </c>
      <c r="H56" s="218" t="str">
        <f>IFERROR(__xludf.DUMMYFUNCTION("""COMPUTED_VALUE"""),"Large_Handbags_OnOff OR AGIPL_Internal")</f>
        <v>Large_Handbags_OnOff OR AGIPL_Internal</v>
      </c>
      <c r="I56" s="218" t="str">
        <f>IFERROR(__xludf.DUMMYFUNCTION("""COMPUTED_VALUE"""),"WA Undelivered")</f>
        <v>WA Undelivered</v>
      </c>
      <c r="J56" s="213">
        <f>IFERROR(__xludf.DUMMYFUNCTION("""COMPUTED_VALUE"""),20730.0)</f>
        <v>20730</v>
      </c>
      <c r="K56" s="213">
        <f>IFERROR(__xludf.DUMMYFUNCTION("""COMPUTED_VALUE"""),12071.0)</f>
        <v>12071</v>
      </c>
      <c r="L56" s="214">
        <f>IFERROR(__xludf.DUMMYFUNCTION("""COMPUTED_VALUE"""),0.5823)</f>
        <v>0.5823</v>
      </c>
      <c r="M56" s="213"/>
      <c r="N56" s="214"/>
      <c r="O56" s="213">
        <f>IFERROR(__xludf.DUMMYFUNCTION("""COMPUTED_VALUE"""),0.0)</f>
        <v>0</v>
      </c>
      <c r="P56" s="213"/>
      <c r="Q56" s="214">
        <f>IFERROR(__xludf.DUMMYFUNCTION("""COMPUTED_VALUE"""),0.0)</f>
        <v>0</v>
      </c>
      <c r="R56" s="214"/>
      <c r="S56" s="270"/>
      <c r="T56" s="270"/>
      <c r="U56" s="270"/>
      <c r="V56" s="101" t="str">
        <f>IFERROR(__xludf.DUMMYFUNCTION("""COMPUTED_VALUE"""),"overall")</f>
        <v>overall</v>
      </c>
      <c r="W56" s="101" t="str">
        <f>IFERROR(__xludf.DUMMYFUNCTION("""COMPUTED_VALUE"""),"SMS")</f>
        <v>SMS</v>
      </c>
      <c r="X56" s="212" t="str">
        <f>IFERROR(__xludf.DUMMYFUNCTION("""COMPUTED_VALUE"""),"Category Movers")</f>
        <v>Category Movers</v>
      </c>
      <c r="Y56" s="212" t="str">
        <f>IFERROR(__xludf.DUMMYFUNCTION("""COMPUTED_VALUE"""),"3rd april- 10th April")</f>
        <v>3rd april- 10th April</v>
      </c>
      <c r="Z56" s="212" t="str">
        <f>IFERROR(__xludf.DUMMYFUNCTION("""COMPUTED_VALUE"""),"69ce5a8cb762760b94e0b368")</f>
        <v>69ce5a8cb762760b94e0b368</v>
      </c>
      <c r="AA56" s="287">
        <f>IFERROR(__xludf.DUMMYFUNCTION("""COMPUTED_VALUE"""),69.0)</f>
        <v>69</v>
      </c>
      <c r="AB56" s="213">
        <f>IFERROR(__xludf.DUMMYFUNCTION("""COMPUTED_VALUE"""),0.0)</f>
        <v>0</v>
      </c>
      <c r="AC56" s="213">
        <f>IFERROR(__xludf.DUMMYFUNCTION("""COMPUTED_VALUE"""),69.0)</f>
        <v>69</v>
      </c>
      <c r="AD56" s="213">
        <f>IFERROR(__xludf.DUMMYFUNCTION("""COMPUTED_VALUE"""),954200.0)</f>
        <v>954200</v>
      </c>
      <c r="AE56" s="213">
        <f>IFERROR(__xludf.DUMMYFUNCTION("""COMPUTED_VALUE"""),0.0)</f>
        <v>0</v>
      </c>
      <c r="AF56" s="213">
        <f>IFERROR(__xludf.DUMMYFUNCTION("""COMPUTED_VALUE"""),954200.0)</f>
        <v>954200</v>
      </c>
      <c r="AG56" s="282"/>
      <c r="AH56" s="282"/>
      <c r="AI56" s="282"/>
      <c r="AJ56" s="282"/>
      <c r="AK56" s="282"/>
      <c r="AL56" s="282"/>
      <c r="AM56" s="282"/>
      <c r="AN56" s="282"/>
      <c r="AO56" s="282"/>
      <c r="AP56" s="282"/>
      <c r="AQ56" s="282"/>
      <c r="AR56" s="282"/>
      <c r="AS56" s="282"/>
      <c r="AT56" s="282"/>
      <c r="AU56" s="282"/>
      <c r="AV56" s="282"/>
      <c r="AW56" s="282"/>
      <c r="AX56" s="282"/>
      <c r="AY56" s="282"/>
      <c r="AZ56" s="282"/>
    </row>
    <row r="57">
      <c r="A57" s="209">
        <f>IFERROR(__xludf.DUMMYFUNCTION("""COMPUTED_VALUE"""),46115.0)</f>
        <v>46115</v>
      </c>
      <c r="B57" s="247">
        <f>IFERROR(__xludf.DUMMYFUNCTION("""COMPUTED_VALUE"""),0.5)</f>
        <v>0.5</v>
      </c>
      <c r="C57" s="218" t="str">
        <f>IFERROR(__xludf.DUMMYFUNCTION("""COMPUTED_VALUE"""),"Sms")</f>
        <v>Sms</v>
      </c>
      <c r="D57" s="218" t="str">
        <f>IFERROR(__xludf.DUMMYFUNCTION("""COMPUTED_VALUE"""),"Fallback Campaign")</f>
        <v>Fallback Campaign</v>
      </c>
      <c r="E57" s="218" t="str">
        <f>IFERROR(__xludf.DUMMYFUNCTION("""COMPUTED_VALUE"""),"CK")</f>
        <v>CK</v>
      </c>
      <c r="F57" s="218" t="str">
        <f>IFERROR(__xludf.DUMMYFUNCTION("""COMPUTED_VALUE"""),"CK Essentials")</f>
        <v>CK Essentials</v>
      </c>
      <c r="G57" s="218" t="str">
        <f>IFERROR(__xludf.DUMMYFUNCTION("""COMPUTED_VALUE"""),"CK_2nd April_everyday bags_online+offline_SMS")</f>
        <v>CK_2nd April_everyday bags_online+offline_SMS</v>
      </c>
      <c r="H57" s="218" t="str">
        <f>IFERROR(__xludf.DUMMYFUNCTION("""COMPUTED_VALUE"""),"S_M_Handbags_OnOff OR AGIPL_Internal")</f>
        <v>S_M_Handbags_OnOff OR AGIPL_Internal</v>
      </c>
      <c r="I57" s="218" t="str">
        <f>IFERROR(__xludf.DUMMYFUNCTION("""COMPUTED_VALUE"""),"WA Undelivered")</f>
        <v>WA Undelivered</v>
      </c>
      <c r="J57" s="213">
        <f>IFERROR(__xludf.DUMMYFUNCTION("""COMPUTED_VALUE"""),27804.0)</f>
        <v>27804</v>
      </c>
      <c r="K57" s="213">
        <f>IFERROR(__xludf.DUMMYFUNCTION("""COMPUTED_VALUE"""),16203.0)</f>
        <v>16203</v>
      </c>
      <c r="L57" s="214">
        <f>IFERROR(__xludf.DUMMYFUNCTION("""COMPUTED_VALUE"""),0.5828)</f>
        <v>0.5828</v>
      </c>
      <c r="M57" s="213"/>
      <c r="N57" s="214"/>
      <c r="O57" s="213">
        <f>IFERROR(__xludf.DUMMYFUNCTION("""COMPUTED_VALUE"""),0.0)</f>
        <v>0</v>
      </c>
      <c r="P57" s="213"/>
      <c r="Q57" s="214">
        <f>IFERROR(__xludf.DUMMYFUNCTION("""COMPUTED_VALUE"""),0.0)</f>
        <v>0</v>
      </c>
      <c r="R57" s="214"/>
      <c r="S57" s="270"/>
      <c r="T57" s="270"/>
      <c r="U57" s="270"/>
      <c r="V57" s="101" t="str">
        <f>IFERROR(__xludf.DUMMYFUNCTION("""COMPUTED_VALUE"""),"overall")</f>
        <v>overall</v>
      </c>
      <c r="W57" s="101" t="str">
        <f>IFERROR(__xludf.DUMMYFUNCTION("""COMPUTED_VALUE"""),"SMS")</f>
        <v>SMS</v>
      </c>
      <c r="X57" s="212" t="str">
        <f>IFERROR(__xludf.DUMMYFUNCTION("""COMPUTED_VALUE"""),"Category Movers")</f>
        <v>Category Movers</v>
      </c>
      <c r="Y57" s="212" t="str">
        <f>IFERROR(__xludf.DUMMYFUNCTION("""COMPUTED_VALUE"""),"3rd april- 10th April")</f>
        <v>3rd april- 10th April</v>
      </c>
      <c r="Z57" s="212" t="str">
        <f>IFERROR(__xludf.DUMMYFUNCTION("""COMPUTED_VALUE"""),"69ce5c757065498a799ae544")</f>
        <v>69ce5c757065498a799ae544</v>
      </c>
      <c r="AA57" s="287">
        <f>IFERROR(__xludf.DUMMYFUNCTION("""COMPUTED_VALUE"""),66.0)</f>
        <v>66</v>
      </c>
      <c r="AB57" s="213">
        <f>IFERROR(__xludf.DUMMYFUNCTION("""COMPUTED_VALUE"""),0.0)</f>
        <v>0</v>
      </c>
      <c r="AC57" s="213">
        <f>IFERROR(__xludf.DUMMYFUNCTION("""COMPUTED_VALUE"""),66.0)</f>
        <v>66</v>
      </c>
      <c r="AD57" s="213">
        <f>IFERROR(__xludf.DUMMYFUNCTION("""COMPUTED_VALUE"""),793113.0)</f>
        <v>793113</v>
      </c>
      <c r="AE57" s="213">
        <f>IFERROR(__xludf.DUMMYFUNCTION("""COMPUTED_VALUE"""),0.0)</f>
        <v>0</v>
      </c>
      <c r="AF57" s="213">
        <f>IFERROR(__xludf.DUMMYFUNCTION("""COMPUTED_VALUE"""),793113.0)</f>
        <v>793113</v>
      </c>
      <c r="AG57" s="282"/>
      <c r="AH57" s="282"/>
      <c r="AI57" s="282"/>
      <c r="AJ57" s="282"/>
      <c r="AK57" s="282"/>
      <c r="AL57" s="282"/>
      <c r="AM57" s="282"/>
      <c r="AN57" s="282"/>
      <c r="AO57" s="282"/>
      <c r="AP57" s="282"/>
      <c r="AQ57" s="282"/>
      <c r="AR57" s="282"/>
      <c r="AS57" s="282"/>
      <c r="AT57" s="282"/>
      <c r="AU57" s="282"/>
      <c r="AV57" s="282"/>
      <c r="AW57" s="282"/>
      <c r="AX57" s="282"/>
      <c r="AY57" s="282"/>
      <c r="AZ57" s="282"/>
    </row>
    <row r="58">
      <c r="A58" s="209">
        <f>IFERROR(__xludf.DUMMYFUNCTION("""COMPUTED_VALUE"""),46115.0)</f>
        <v>46115</v>
      </c>
      <c r="B58" s="247">
        <f>IFERROR(__xludf.DUMMYFUNCTION("""COMPUTED_VALUE"""),0.5)</f>
        <v>0.5</v>
      </c>
      <c r="C58" s="218" t="str">
        <f>IFERROR(__xludf.DUMMYFUNCTION("""COMPUTED_VALUE"""),"Sms")</f>
        <v>Sms</v>
      </c>
      <c r="D58" s="218" t="str">
        <f>IFERROR(__xludf.DUMMYFUNCTION("""COMPUTED_VALUE"""),"Fallback Campaign")</f>
        <v>Fallback Campaign</v>
      </c>
      <c r="E58" s="218" t="str">
        <f>IFERROR(__xludf.DUMMYFUNCTION("""COMPUTED_VALUE"""),"CK")</f>
        <v>CK</v>
      </c>
      <c r="F58" s="218" t="str">
        <f>IFERROR(__xludf.DUMMYFUNCTION("""COMPUTED_VALUE"""),"CK Essentials")</f>
        <v>CK Essentials</v>
      </c>
      <c r="G58" s="218" t="str">
        <f>IFERROR(__xludf.DUMMYFUNCTION("""COMPUTED_VALUE"""),"CK_2nd April_must-have shoes_offline + Online_SMS")</f>
        <v>CK_2nd April_must-have shoes_offline + Online_SMS</v>
      </c>
      <c r="H58" s="218" t="str">
        <f>IFERROR(__xludf.DUMMYFUNCTION("""COMPUTED_VALUE"""),"Footwear_OnOff OR AGIPL_Internal")</f>
        <v>Footwear_OnOff OR AGIPL_Internal</v>
      </c>
      <c r="I58" s="218" t="str">
        <f>IFERROR(__xludf.DUMMYFUNCTION("""COMPUTED_VALUE"""),"WA Undelivered")</f>
        <v>WA Undelivered</v>
      </c>
      <c r="J58" s="213">
        <f>IFERROR(__xludf.DUMMYFUNCTION("""COMPUTED_VALUE"""),20292.0)</f>
        <v>20292</v>
      </c>
      <c r="K58" s="213">
        <f>IFERROR(__xludf.DUMMYFUNCTION("""COMPUTED_VALUE"""),10197.0)</f>
        <v>10197</v>
      </c>
      <c r="L58" s="214">
        <f>IFERROR(__xludf.DUMMYFUNCTION("""COMPUTED_VALUE"""),0.5025)</f>
        <v>0.5025</v>
      </c>
      <c r="M58" s="213"/>
      <c r="N58" s="214"/>
      <c r="O58" s="213">
        <f>IFERROR(__xludf.DUMMYFUNCTION("""COMPUTED_VALUE"""),0.0)</f>
        <v>0</v>
      </c>
      <c r="P58" s="213"/>
      <c r="Q58" s="214">
        <f>IFERROR(__xludf.DUMMYFUNCTION("""COMPUTED_VALUE"""),0.0)</f>
        <v>0</v>
      </c>
      <c r="R58" s="214"/>
      <c r="S58" s="270"/>
      <c r="T58" s="270"/>
      <c r="U58" s="270"/>
      <c r="V58" s="101" t="str">
        <f>IFERROR(__xludf.DUMMYFUNCTION("""COMPUTED_VALUE"""),"overall")</f>
        <v>overall</v>
      </c>
      <c r="W58" s="101" t="str">
        <f>IFERROR(__xludf.DUMMYFUNCTION("""COMPUTED_VALUE"""),"SMS")</f>
        <v>SMS</v>
      </c>
      <c r="X58" s="212" t="str">
        <f>IFERROR(__xludf.DUMMYFUNCTION("""COMPUTED_VALUE"""),"Category Movers")</f>
        <v>Category Movers</v>
      </c>
      <c r="Y58" s="212" t="str">
        <f>IFERROR(__xludf.DUMMYFUNCTION("""COMPUTED_VALUE"""),"3rd april- 10th April")</f>
        <v>3rd april- 10th April</v>
      </c>
      <c r="Z58" s="212" t="str">
        <f>IFERROR(__xludf.DUMMYFUNCTION("""COMPUTED_VALUE"""),"69ce5cb292e167b128729dcb")</f>
        <v>69ce5cb292e167b128729dcb</v>
      </c>
      <c r="AA58" s="287">
        <f>IFERROR(__xludf.DUMMYFUNCTION("""COMPUTED_VALUE"""),53.0)</f>
        <v>53</v>
      </c>
      <c r="AB58" s="213">
        <f>IFERROR(__xludf.DUMMYFUNCTION("""COMPUTED_VALUE"""),0.0)</f>
        <v>0</v>
      </c>
      <c r="AC58" s="213">
        <f>IFERROR(__xludf.DUMMYFUNCTION("""COMPUTED_VALUE"""),53.0)</f>
        <v>53</v>
      </c>
      <c r="AD58" s="213">
        <f>IFERROR(__xludf.DUMMYFUNCTION("""COMPUTED_VALUE"""),662722.0)</f>
        <v>662722</v>
      </c>
      <c r="AE58" s="213">
        <f>IFERROR(__xludf.DUMMYFUNCTION("""COMPUTED_VALUE"""),0.0)</f>
        <v>0</v>
      </c>
      <c r="AF58" s="213">
        <f>IFERROR(__xludf.DUMMYFUNCTION("""COMPUTED_VALUE"""),662722.0)</f>
        <v>662722</v>
      </c>
      <c r="AG58" s="282"/>
      <c r="AH58" s="282"/>
      <c r="AI58" s="282"/>
      <c r="AJ58" s="282"/>
      <c r="AK58" s="282"/>
      <c r="AL58" s="282"/>
      <c r="AM58" s="282"/>
      <c r="AN58" s="282"/>
      <c r="AO58" s="282"/>
      <c r="AP58" s="282"/>
      <c r="AQ58" s="282"/>
      <c r="AR58" s="282"/>
      <c r="AS58" s="282"/>
      <c r="AT58" s="282"/>
      <c r="AU58" s="282"/>
      <c r="AV58" s="282"/>
      <c r="AW58" s="282"/>
      <c r="AX58" s="282"/>
      <c r="AY58" s="282"/>
      <c r="AZ58" s="282"/>
    </row>
    <row r="59">
      <c r="A59" s="209">
        <f>IFERROR(__xludf.DUMMYFUNCTION("""COMPUTED_VALUE"""),46115.0)</f>
        <v>46115</v>
      </c>
      <c r="B59" s="247">
        <f>IFERROR(__xludf.DUMMYFUNCTION("""COMPUTED_VALUE"""),0.5)</f>
        <v>0.5</v>
      </c>
      <c r="C59" s="218" t="str">
        <f>IFERROR(__xludf.DUMMYFUNCTION("""COMPUTED_VALUE"""),"Sms")</f>
        <v>Sms</v>
      </c>
      <c r="D59" s="218" t="str">
        <f>IFERROR(__xludf.DUMMYFUNCTION("""COMPUTED_VALUE"""),"Fallback Campaign")</f>
        <v>Fallback Campaign</v>
      </c>
      <c r="E59" s="218" t="str">
        <f>IFERROR(__xludf.DUMMYFUNCTION("""COMPUTED_VALUE"""),"CK")</f>
        <v>CK</v>
      </c>
      <c r="F59" s="218" t="str">
        <f>IFERROR(__xludf.DUMMYFUNCTION("""COMPUTED_VALUE"""),"CK Essentials")</f>
        <v>CK Essentials</v>
      </c>
      <c r="G59" s="218" t="str">
        <f>IFERROR(__xludf.DUMMYFUNCTION("""COMPUTED_VALUE"""),"CK_2nd April_must-have wallets_offline + Online_SMS")</f>
        <v>CK_2nd April_must-have wallets_offline + Online_SMS</v>
      </c>
      <c r="H59" s="218" t="str">
        <f>IFERROR(__xludf.DUMMYFUNCTION("""COMPUTED_VALUE"""),"Wallet_OnOff OR AGIPL_Internal")</f>
        <v>Wallet_OnOff OR AGIPL_Internal</v>
      </c>
      <c r="I59" s="218" t="str">
        <f>IFERROR(__xludf.DUMMYFUNCTION("""COMPUTED_VALUE"""),"WA Undelivered")</f>
        <v>WA Undelivered</v>
      </c>
      <c r="J59" s="213">
        <f>IFERROR(__xludf.DUMMYFUNCTION("""COMPUTED_VALUE"""),6589.0)</f>
        <v>6589</v>
      </c>
      <c r="K59" s="213">
        <f>IFERROR(__xludf.DUMMYFUNCTION("""COMPUTED_VALUE"""),4009.0)</f>
        <v>4009</v>
      </c>
      <c r="L59" s="214">
        <f>IFERROR(__xludf.DUMMYFUNCTION("""COMPUTED_VALUE"""),0.6084)</f>
        <v>0.6084</v>
      </c>
      <c r="M59" s="213"/>
      <c r="N59" s="214"/>
      <c r="O59" s="213">
        <f>IFERROR(__xludf.DUMMYFUNCTION("""COMPUTED_VALUE"""),0.0)</f>
        <v>0</v>
      </c>
      <c r="P59" s="213"/>
      <c r="Q59" s="214">
        <f>IFERROR(__xludf.DUMMYFUNCTION("""COMPUTED_VALUE"""),0.0)</f>
        <v>0</v>
      </c>
      <c r="R59" s="214"/>
      <c r="S59" s="270"/>
      <c r="T59" s="270"/>
      <c r="U59" s="270"/>
      <c r="V59" s="101" t="str">
        <f>IFERROR(__xludf.DUMMYFUNCTION("""COMPUTED_VALUE"""),"overall")</f>
        <v>overall</v>
      </c>
      <c r="W59" s="101" t="str">
        <f>IFERROR(__xludf.DUMMYFUNCTION("""COMPUTED_VALUE"""),"SMS")</f>
        <v>SMS</v>
      </c>
      <c r="X59" s="212" t="str">
        <f>IFERROR(__xludf.DUMMYFUNCTION("""COMPUTED_VALUE"""),"Category Movers")</f>
        <v>Category Movers</v>
      </c>
      <c r="Y59" s="212" t="str">
        <f>IFERROR(__xludf.DUMMYFUNCTION("""COMPUTED_VALUE"""),"3rd april- 10th April")</f>
        <v>3rd april- 10th April</v>
      </c>
      <c r="Z59" s="212" t="str">
        <f>IFERROR(__xludf.DUMMYFUNCTION("""COMPUTED_VALUE"""),"69ce5cea8bc3c189ae5b8ea1")</f>
        <v>69ce5cea8bc3c189ae5b8ea1</v>
      </c>
      <c r="AA59" s="287">
        <f>IFERROR(__xludf.DUMMYFUNCTION("""COMPUTED_VALUE"""),17.0)</f>
        <v>17</v>
      </c>
      <c r="AB59" s="213">
        <f>IFERROR(__xludf.DUMMYFUNCTION("""COMPUTED_VALUE"""),0.0)</f>
        <v>0</v>
      </c>
      <c r="AC59" s="213">
        <f>IFERROR(__xludf.DUMMYFUNCTION("""COMPUTED_VALUE"""),17.0)</f>
        <v>17</v>
      </c>
      <c r="AD59" s="213">
        <f>IFERROR(__xludf.DUMMYFUNCTION("""COMPUTED_VALUE"""),219774.0)</f>
        <v>219774</v>
      </c>
      <c r="AE59" s="213">
        <f>IFERROR(__xludf.DUMMYFUNCTION("""COMPUTED_VALUE"""),0.0)</f>
        <v>0</v>
      </c>
      <c r="AF59" s="213">
        <f>IFERROR(__xludf.DUMMYFUNCTION("""COMPUTED_VALUE"""),219774.0)</f>
        <v>219774</v>
      </c>
      <c r="AG59" s="282"/>
      <c r="AH59" s="282"/>
      <c r="AI59" s="282"/>
      <c r="AJ59" s="282"/>
      <c r="AK59" s="282"/>
      <c r="AL59" s="282"/>
      <c r="AM59" s="282"/>
      <c r="AN59" s="282"/>
      <c r="AO59" s="282"/>
      <c r="AP59" s="282"/>
      <c r="AQ59" s="282"/>
      <c r="AR59" s="282"/>
      <c r="AS59" s="282"/>
      <c r="AT59" s="282"/>
      <c r="AU59" s="282"/>
      <c r="AV59" s="282"/>
      <c r="AW59" s="282"/>
      <c r="AX59" s="282"/>
      <c r="AY59" s="282"/>
      <c r="AZ59" s="282"/>
    </row>
    <row r="60">
      <c r="A60" s="209">
        <f>IFERROR(__xludf.DUMMYFUNCTION("""COMPUTED_VALUE"""),46123.0)</f>
        <v>46123</v>
      </c>
      <c r="B60" s="247">
        <f>IFERROR(__xludf.DUMMYFUNCTION("""COMPUTED_VALUE"""),0.5416666666678793)</f>
        <v>0.5416666667</v>
      </c>
      <c r="C60" s="218" t="str">
        <f>IFERROR(__xludf.DUMMYFUNCTION("""COMPUTED_VALUE"""),"Whatsapp")</f>
        <v>Whatsapp</v>
      </c>
      <c r="D60" s="218" t="str">
        <f>IFERROR(__xludf.DUMMYFUNCTION("""COMPUTED_VALUE"""),"Promotional")</f>
        <v>Promotional</v>
      </c>
      <c r="E60" s="218" t="str">
        <f>IFERROR(__xludf.DUMMYFUNCTION("""COMPUTED_VALUE"""),"CK")</f>
        <v>CK</v>
      </c>
      <c r="F60" s="218" t="str">
        <f>IFERROR(__xludf.DUMMYFUNCTION("""COMPUTED_VALUE"""),"New arrivals")</f>
        <v>New arrivals</v>
      </c>
      <c r="G60" s="218" t="str">
        <f>IFERROR(__xludf.DUMMYFUNCTION("""COMPUTED_VALUE"""),"CK_10th April_New Arrivals_ Online")</f>
        <v>CK_10th April_New Arrivals_ Online</v>
      </c>
      <c r="H60" s="218" t="str">
        <f>IFERROR(__xludf.DUMMYFUNCTION("""COMPUTED_VALUE"""),"CK_Online_Dormant_27Feb26")</f>
        <v>CK_Online_Dormant_27Feb26</v>
      </c>
      <c r="I60" s="218" t="str">
        <f>IFERROR(__xludf.DUMMYFUNCTION("""COMPUTED_VALUE"""),"All Online Customers who have purchased at least once in the last 1095 days; from custom file upload")</f>
        <v>All Online Customers who have purchased at least once in the last 1095 days; from custom file upload</v>
      </c>
      <c r="J60" s="213">
        <f>IFERROR(__xludf.DUMMYFUNCTION("""COMPUTED_VALUE"""),94349.0)</f>
        <v>94349</v>
      </c>
      <c r="K60" s="213">
        <f>IFERROR(__xludf.DUMMYFUNCTION("""COMPUTED_VALUE"""),31072.0)</f>
        <v>31072</v>
      </c>
      <c r="L60" s="214">
        <f>IFERROR(__xludf.DUMMYFUNCTION("""COMPUTED_VALUE"""),0.3293)</f>
        <v>0.3293</v>
      </c>
      <c r="M60" s="213">
        <f>IFERROR(__xludf.DUMMYFUNCTION("""COMPUTED_VALUE"""),9891.0)</f>
        <v>9891</v>
      </c>
      <c r="N60" s="214">
        <f>IFERROR(__xludf.DUMMYFUNCTION("""COMPUTED_VALUE"""),0.3183)</f>
        <v>0.3183</v>
      </c>
      <c r="O60" s="213">
        <f>IFERROR(__xludf.DUMMYFUNCTION("""COMPUTED_VALUE"""),593.0)</f>
        <v>593</v>
      </c>
      <c r="P60" s="213">
        <f>IFERROR(__xludf.DUMMYFUNCTION("""COMPUTED_VALUE"""),556.0)</f>
        <v>556</v>
      </c>
      <c r="Q60" s="214">
        <f>IFERROR(__xludf.DUMMYFUNCTION("""COMPUTED_VALUE"""),0.0179)</f>
        <v>0.0179</v>
      </c>
      <c r="R60" s="214">
        <f>IFERROR(__xludf.DUMMYFUNCTION("""COMPUTED_VALUE"""),0.0562)</f>
        <v>0.0562</v>
      </c>
      <c r="S60" s="270">
        <f>IFERROR(__xludf.DUMMYFUNCTION("""COMPUTED_VALUE"""),0.0)</f>
        <v>0</v>
      </c>
      <c r="T60" s="270">
        <f>IFERROR(__xludf.DUMMYFUNCTION("""COMPUTED_VALUE"""),0.0)</f>
        <v>0</v>
      </c>
      <c r="U60" s="270">
        <f>IFERROR(__xludf.DUMMYFUNCTION("""COMPUTED_VALUE"""),0.0)</f>
        <v>0</v>
      </c>
      <c r="V60" s="101" t="str">
        <f>IFERROR(__xludf.DUMMYFUNCTION("""COMPUTED_VALUE"""),"online")</f>
        <v>online</v>
      </c>
      <c r="W60" s="101" t="str">
        <f>IFERROR(__xludf.DUMMYFUNCTION("""COMPUTED_VALUE"""),"simple")</f>
        <v>simple</v>
      </c>
      <c r="X60" s="212" t="str">
        <f>IFERROR(__xludf.DUMMYFUNCTION("""COMPUTED_VALUE"""),"No Brief")</f>
        <v>No Brief</v>
      </c>
      <c r="Y60" s="212" t="str">
        <f>IFERROR(__xludf.DUMMYFUNCTION("""COMPUTED_VALUE"""),"11-18 April")</f>
        <v>11-18 April</v>
      </c>
      <c r="Z60" s="212" t="str">
        <f>IFERROR(__xludf.DUMMYFUNCTION("""COMPUTED_VALUE"""),"69d8f5006e76ed76582c41ba")</f>
        <v>69d8f5006e76ed76582c41ba</v>
      </c>
      <c r="AA60" s="287">
        <f>IFERROR(__xludf.DUMMYFUNCTION("""COMPUTED_VALUE"""),0.0)</f>
        <v>0</v>
      </c>
      <c r="AB60" s="213">
        <f>IFERROR(__xludf.DUMMYFUNCTION("""COMPUTED_VALUE"""),0.0)</f>
        <v>0</v>
      </c>
      <c r="AC60" s="213"/>
      <c r="AD60" s="213">
        <f>IFERROR(__xludf.DUMMYFUNCTION("""COMPUTED_VALUE"""),0.0)</f>
        <v>0</v>
      </c>
      <c r="AE60" s="213">
        <f>IFERROR(__xludf.DUMMYFUNCTION("""COMPUTED_VALUE"""),0.0)</f>
        <v>0</v>
      </c>
      <c r="AF60" s="213"/>
      <c r="AG60" s="282"/>
      <c r="AH60" s="282"/>
      <c r="AI60" s="282"/>
      <c r="AJ60" s="282"/>
      <c r="AK60" s="282"/>
      <c r="AL60" s="282"/>
      <c r="AM60" s="282"/>
      <c r="AN60" s="282"/>
      <c r="AO60" s="282"/>
      <c r="AP60" s="282"/>
      <c r="AQ60" s="282"/>
      <c r="AR60" s="282"/>
      <c r="AS60" s="282"/>
      <c r="AT60" s="282"/>
      <c r="AU60" s="282"/>
      <c r="AV60" s="282"/>
      <c r="AW60" s="282"/>
      <c r="AX60" s="282"/>
      <c r="AY60" s="282"/>
      <c r="AZ60" s="282"/>
    </row>
    <row r="61">
      <c r="A61" s="209">
        <f>IFERROR(__xludf.DUMMYFUNCTION("""COMPUTED_VALUE"""),46123.0)</f>
        <v>46123</v>
      </c>
      <c r="B61" s="247">
        <f>IFERROR(__xludf.DUMMYFUNCTION("""COMPUTED_VALUE"""),0.6666666666678793)</f>
        <v>0.6666666667</v>
      </c>
      <c r="C61" s="218" t="str">
        <f>IFERROR(__xludf.DUMMYFUNCTION("""COMPUTED_VALUE"""),"Sms")</f>
        <v>Sms</v>
      </c>
      <c r="D61" s="218" t="str">
        <f>IFERROR(__xludf.DUMMYFUNCTION("""COMPUTED_VALUE"""),"Fallback campaign")</f>
        <v>Fallback campaign</v>
      </c>
      <c r="E61" s="218" t="str">
        <f>IFERROR(__xludf.DUMMYFUNCTION("""COMPUTED_VALUE"""),"CK")</f>
        <v>CK</v>
      </c>
      <c r="F61" s="218" t="str">
        <f>IFERROR(__xludf.DUMMYFUNCTION("""COMPUTED_VALUE"""),"New arrivals")</f>
        <v>New arrivals</v>
      </c>
      <c r="G61" s="218" t="str">
        <f>IFERROR(__xludf.DUMMYFUNCTION("""COMPUTED_VALUE"""),"CK_10th April_New Arrivals_ Online_SMS Fallback")</f>
        <v>CK_10th April_New Arrivals_ Online_SMS Fallback</v>
      </c>
      <c r="H61" s="218" t="str">
        <f>IFERROR(__xludf.DUMMYFUNCTION("""COMPUTED_VALUE"""),"CK_Online_Dormant_27Feb26")</f>
        <v>CK_Online_Dormant_27Feb26</v>
      </c>
      <c r="I61" s="218" t="str">
        <f>IFERROR(__xludf.DUMMYFUNCTION("""COMPUTED_VALUE"""),"WA Undelivered")</f>
        <v>WA Undelivered</v>
      </c>
      <c r="J61" s="213">
        <f>IFERROR(__xludf.DUMMYFUNCTION("""COMPUTED_VALUE"""),61972.0)</f>
        <v>61972</v>
      </c>
      <c r="K61" s="213">
        <f>IFERROR(__xludf.DUMMYFUNCTION("""COMPUTED_VALUE"""),35765.0)</f>
        <v>35765</v>
      </c>
      <c r="L61" s="214">
        <f>IFERROR(__xludf.DUMMYFUNCTION("""COMPUTED_VALUE"""),0.5771)</f>
        <v>0.5771</v>
      </c>
      <c r="M61" s="213"/>
      <c r="N61" s="214"/>
      <c r="O61" s="213">
        <f>IFERROR(__xludf.DUMMYFUNCTION("""COMPUTED_VALUE"""),0.0)</f>
        <v>0</v>
      </c>
      <c r="P61" s="213"/>
      <c r="Q61" s="214">
        <f>IFERROR(__xludf.DUMMYFUNCTION("""COMPUTED_VALUE"""),0.0)</f>
        <v>0</v>
      </c>
      <c r="R61" s="214"/>
      <c r="S61" s="270">
        <f>IFERROR(__xludf.DUMMYFUNCTION("""COMPUTED_VALUE"""),0.0)</f>
        <v>0</v>
      </c>
      <c r="T61" s="270">
        <f>IFERROR(__xludf.DUMMYFUNCTION("""COMPUTED_VALUE"""),0.0)</f>
        <v>0</v>
      </c>
      <c r="U61" s="270">
        <f>IFERROR(__xludf.DUMMYFUNCTION("""COMPUTED_VALUE"""),0.0)</f>
        <v>0</v>
      </c>
      <c r="V61" s="101" t="str">
        <f>IFERROR(__xludf.DUMMYFUNCTION("""COMPUTED_VALUE"""),"online")</f>
        <v>online</v>
      </c>
      <c r="W61" s="101" t="str">
        <f>IFERROR(__xludf.DUMMYFUNCTION("""COMPUTED_VALUE"""),"SMS")</f>
        <v>SMS</v>
      </c>
      <c r="X61" s="212" t="str">
        <f>IFERROR(__xludf.DUMMYFUNCTION("""COMPUTED_VALUE"""),"No Brief")</f>
        <v>No Brief</v>
      </c>
      <c r="Y61" s="212" t="str">
        <f>IFERROR(__xludf.DUMMYFUNCTION("""COMPUTED_VALUE"""),"11-18 April")</f>
        <v>11-18 April</v>
      </c>
      <c r="Z61" s="212" t="str">
        <f>IFERROR(__xludf.DUMMYFUNCTION("""COMPUTED_VALUE"""),"69d8f583302822daa2c68bd6")</f>
        <v>69d8f583302822daa2c68bd6</v>
      </c>
      <c r="AA61" s="287">
        <f>IFERROR(__xludf.DUMMYFUNCTION("""COMPUTED_VALUE"""),0.0)</f>
        <v>0</v>
      </c>
      <c r="AB61" s="213">
        <f>IFERROR(__xludf.DUMMYFUNCTION("""COMPUTED_VALUE"""),0.0)</f>
        <v>0</v>
      </c>
      <c r="AC61" s="213"/>
      <c r="AD61" s="213">
        <f>IFERROR(__xludf.DUMMYFUNCTION("""COMPUTED_VALUE"""),0.0)</f>
        <v>0</v>
      </c>
      <c r="AE61" s="213">
        <f>IFERROR(__xludf.DUMMYFUNCTION("""COMPUTED_VALUE"""),0.0)</f>
        <v>0</v>
      </c>
      <c r="AF61" s="213"/>
      <c r="AG61" s="282"/>
      <c r="AH61" s="282"/>
      <c r="AI61" s="282"/>
      <c r="AJ61" s="282"/>
      <c r="AK61" s="282"/>
      <c r="AL61" s="282"/>
      <c r="AM61" s="282"/>
      <c r="AN61" s="282"/>
      <c r="AO61" s="282"/>
      <c r="AP61" s="282"/>
      <c r="AQ61" s="282"/>
      <c r="AR61" s="282"/>
      <c r="AS61" s="282"/>
      <c r="AT61" s="282"/>
      <c r="AU61" s="282"/>
      <c r="AV61" s="282"/>
      <c r="AW61" s="282"/>
      <c r="AX61" s="282"/>
      <c r="AY61" s="282"/>
      <c r="AZ61" s="282"/>
    </row>
    <row r="62">
      <c r="A62" s="209">
        <f>IFERROR(__xludf.DUMMYFUNCTION("""COMPUTED_VALUE"""),46130.0)</f>
        <v>46130</v>
      </c>
      <c r="B62" s="247">
        <f>IFERROR(__xludf.DUMMYFUNCTION("""COMPUTED_VALUE"""),0.4166666666678793)</f>
        <v>0.4166666667</v>
      </c>
      <c r="C62" s="218" t="str">
        <f>IFERROR(__xludf.DUMMYFUNCTION("""COMPUTED_VALUE"""),"Whatsapp")</f>
        <v>Whatsapp</v>
      </c>
      <c r="D62" s="218" t="str">
        <f>IFERROR(__xludf.DUMMYFUNCTION("""COMPUTED_VALUE"""),"Promtional")</f>
        <v>Promtional</v>
      </c>
      <c r="E62" s="218" t="str">
        <f>IFERROR(__xludf.DUMMYFUNCTION("""COMPUTED_VALUE"""),"CK")</f>
        <v>CK</v>
      </c>
      <c r="F62" s="218" t="str">
        <f>IFERROR(__xludf.DUMMYFUNCTION("""COMPUTED_VALUE"""),"New collection")</f>
        <v>New collection</v>
      </c>
      <c r="G62" s="218" t="str">
        <f>IFERROR(__xludf.DUMMYFUNCTION("""COMPUTED_VALUE"""),"CK New collection_Handbag_ campaign")</f>
        <v>CK New collection_Handbag_ campaign</v>
      </c>
      <c r="H62" s="218" t="str">
        <f>IFERROR(__xludf.DUMMYFUNCTION("""COMPUTED_VALUE"""),"CK_OFF_FootWear_Active_8_Apr")</f>
        <v>CK_OFF_FootWear_Active_8_Apr</v>
      </c>
      <c r="I62" s="218" t="str">
        <f>IFERROR(__xludf.DUMMYFUNCTION("""COMPUTED_VALUE"""),"Customers who have purchased L1: Footwear in Feb - March 2026")</f>
        <v>Customers who have purchased L1: Footwear in Feb - March 2026</v>
      </c>
      <c r="J62" s="213">
        <f>IFERROR(__xludf.DUMMYFUNCTION("""COMPUTED_VALUE"""),4232.0)</f>
        <v>4232</v>
      </c>
      <c r="K62" s="213">
        <f>IFERROR(__xludf.DUMMYFUNCTION("""COMPUTED_VALUE"""),1800.0)</f>
        <v>1800</v>
      </c>
      <c r="L62" s="214">
        <f>IFERROR(__xludf.DUMMYFUNCTION("""COMPUTED_VALUE"""),0.4253)</f>
        <v>0.4253</v>
      </c>
      <c r="M62" s="213">
        <f>IFERROR(__xludf.DUMMYFUNCTION("""COMPUTED_VALUE"""),647.0)</f>
        <v>647</v>
      </c>
      <c r="N62" s="214">
        <f>IFERROR(__xludf.DUMMYFUNCTION("""COMPUTED_VALUE"""),0.3594)</f>
        <v>0.3594</v>
      </c>
      <c r="O62" s="213">
        <f>IFERROR(__xludf.DUMMYFUNCTION("""COMPUTED_VALUE"""),74.0)</f>
        <v>74</v>
      </c>
      <c r="P62" s="213">
        <f>IFERROR(__xludf.DUMMYFUNCTION("""COMPUTED_VALUE"""),70.0)</f>
        <v>70</v>
      </c>
      <c r="Q62" s="214">
        <f>IFERROR(__xludf.DUMMYFUNCTION("""COMPUTED_VALUE"""),0.0389)</f>
        <v>0.0389</v>
      </c>
      <c r="R62" s="214">
        <f>IFERROR(__xludf.DUMMYFUNCTION("""COMPUTED_VALUE"""),0.1082)</f>
        <v>0.1082</v>
      </c>
      <c r="S62" s="270">
        <f>IFERROR(__xludf.DUMMYFUNCTION("""COMPUTED_VALUE"""),0.0)</f>
        <v>0</v>
      </c>
      <c r="T62" s="270">
        <f>IFERROR(__xludf.DUMMYFUNCTION("""COMPUTED_VALUE"""),0.0)</f>
        <v>0</v>
      </c>
      <c r="U62" s="270">
        <f>IFERROR(__xludf.DUMMYFUNCTION("""COMPUTED_VALUE"""),0.0)</f>
        <v>0</v>
      </c>
      <c r="V62" s="101" t="str">
        <f>IFERROR(__xludf.DUMMYFUNCTION("""COMPUTED_VALUE"""),"offline")</f>
        <v>offline</v>
      </c>
      <c r="W62" s="101" t="str">
        <f>IFERROR(__xludf.DUMMYFUNCTION("""COMPUTED_VALUE"""),"simple")</f>
        <v>simple</v>
      </c>
      <c r="X62" s="212" t="str">
        <f>IFERROR(__xludf.DUMMYFUNCTION("""COMPUTED_VALUE"""),"No Brief")</f>
        <v>No Brief</v>
      </c>
      <c r="Y62" s="212" t="str">
        <f>IFERROR(__xludf.DUMMYFUNCTION("""COMPUTED_VALUE"""),"18-24 April")</f>
        <v>18-24 April</v>
      </c>
      <c r="Z62" s="212" t="str">
        <f>IFERROR(__xludf.DUMMYFUNCTION("""COMPUTED_VALUE"""),"69e22b56d3b0d5d2348c5c77")</f>
        <v>69e22b56d3b0d5d2348c5c77</v>
      </c>
      <c r="AA62" s="287">
        <f>IFERROR(__xludf.DUMMYFUNCTION("""COMPUTED_VALUE"""),13.0)</f>
        <v>13</v>
      </c>
      <c r="AB62" s="213"/>
      <c r="AC62" s="213">
        <f>IFERROR(__xludf.DUMMYFUNCTION("""COMPUTED_VALUE"""),13.0)</f>
        <v>13</v>
      </c>
      <c r="AD62" s="213">
        <f>IFERROR(__xludf.DUMMYFUNCTION("""COMPUTED_VALUE"""),150985.0)</f>
        <v>150985</v>
      </c>
      <c r="AE62" s="213"/>
      <c r="AF62" s="213">
        <f>IFERROR(__xludf.DUMMYFUNCTION("""COMPUTED_VALUE"""),150985.0)</f>
        <v>150985</v>
      </c>
      <c r="AG62" s="282"/>
      <c r="AH62" s="282"/>
      <c r="AI62" s="282"/>
      <c r="AJ62" s="282"/>
      <c r="AK62" s="282"/>
      <c r="AL62" s="282"/>
      <c r="AM62" s="282"/>
      <c r="AN62" s="282"/>
      <c r="AO62" s="282"/>
      <c r="AP62" s="282"/>
      <c r="AQ62" s="282"/>
      <c r="AR62" s="282"/>
      <c r="AS62" s="282"/>
      <c r="AT62" s="282"/>
      <c r="AU62" s="282"/>
      <c r="AV62" s="282"/>
      <c r="AW62" s="282"/>
      <c r="AX62" s="282"/>
      <c r="AY62" s="282"/>
      <c r="AZ62" s="282"/>
    </row>
    <row r="63">
      <c r="A63" s="209">
        <f>IFERROR(__xludf.DUMMYFUNCTION("""COMPUTED_VALUE"""),46130.0)</f>
        <v>46130</v>
      </c>
      <c r="B63" s="247">
        <f>IFERROR(__xludf.DUMMYFUNCTION("""COMPUTED_VALUE"""),0.4166666666678793)</f>
        <v>0.4166666667</v>
      </c>
      <c r="C63" s="218" t="str">
        <f>IFERROR(__xludf.DUMMYFUNCTION("""COMPUTED_VALUE"""),"Whatsapp")</f>
        <v>Whatsapp</v>
      </c>
      <c r="D63" s="218" t="str">
        <f>IFERROR(__xludf.DUMMYFUNCTION("""COMPUTED_VALUE"""),"Promtional")</f>
        <v>Promtional</v>
      </c>
      <c r="E63" s="218" t="str">
        <f>IFERROR(__xludf.DUMMYFUNCTION("""COMPUTED_VALUE"""),"CK")</f>
        <v>CK</v>
      </c>
      <c r="F63" s="218" t="str">
        <f>IFERROR(__xludf.DUMMYFUNCTION("""COMPUTED_VALUE"""),"New collection")</f>
        <v>New collection</v>
      </c>
      <c r="G63" s="218" t="str">
        <f>IFERROR(__xludf.DUMMYFUNCTION("""COMPUTED_VALUE"""),"CK New collection_Handbag campaign_1")</f>
        <v>CK New collection_Handbag campaign_1</v>
      </c>
      <c r="H63" s="218" t="str">
        <f>IFERROR(__xludf.DUMMYFUNCTION("""COMPUTED_VALUE"""),"CK_OFF_Wallet_Active_8_Apr")</f>
        <v>CK_OFF_Wallet_Active_8_Apr</v>
      </c>
      <c r="I63" s="218" t="str">
        <f>IFERROR(__xludf.DUMMYFUNCTION("""COMPUTED_VALUE"""),"Customers who have purchased L3: Wallet in Feb - March 2026")</f>
        <v>Customers who have purchased L3: Wallet in Feb - March 2026</v>
      </c>
      <c r="J63" s="213">
        <f>IFERROR(__xludf.DUMMYFUNCTION("""COMPUTED_VALUE"""),1613.0)</f>
        <v>1613</v>
      </c>
      <c r="K63" s="213">
        <f>IFERROR(__xludf.DUMMYFUNCTION("""COMPUTED_VALUE"""),906.0)</f>
        <v>906</v>
      </c>
      <c r="L63" s="214">
        <f>IFERROR(__xludf.DUMMYFUNCTION("""COMPUTED_VALUE"""),0.5617)</f>
        <v>0.5617</v>
      </c>
      <c r="M63" s="213">
        <f>IFERROR(__xludf.DUMMYFUNCTION("""COMPUTED_VALUE"""),293.0)</f>
        <v>293</v>
      </c>
      <c r="N63" s="214">
        <f>IFERROR(__xludf.DUMMYFUNCTION("""COMPUTED_VALUE"""),0.3234)</f>
        <v>0.3234</v>
      </c>
      <c r="O63" s="213">
        <f>IFERROR(__xludf.DUMMYFUNCTION("""COMPUTED_VALUE"""),17.0)</f>
        <v>17</v>
      </c>
      <c r="P63" s="213">
        <f>IFERROR(__xludf.DUMMYFUNCTION("""COMPUTED_VALUE"""),17.0)</f>
        <v>17</v>
      </c>
      <c r="Q63" s="214">
        <f>IFERROR(__xludf.DUMMYFUNCTION("""COMPUTED_VALUE"""),0.0188)</f>
        <v>0.0188</v>
      </c>
      <c r="R63" s="214">
        <f>IFERROR(__xludf.DUMMYFUNCTION("""COMPUTED_VALUE"""),0.058)</f>
        <v>0.058</v>
      </c>
      <c r="S63" s="270">
        <f>IFERROR(__xludf.DUMMYFUNCTION("""COMPUTED_VALUE"""),0.0)</f>
        <v>0</v>
      </c>
      <c r="T63" s="270">
        <f>IFERROR(__xludf.DUMMYFUNCTION("""COMPUTED_VALUE"""),0.0)</f>
        <v>0</v>
      </c>
      <c r="U63" s="270">
        <f>IFERROR(__xludf.DUMMYFUNCTION("""COMPUTED_VALUE"""),0.0)</f>
        <v>0</v>
      </c>
      <c r="V63" s="101" t="str">
        <f>IFERROR(__xludf.DUMMYFUNCTION("""COMPUTED_VALUE"""),"offline")</f>
        <v>offline</v>
      </c>
      <c r="W63" s="101" t="str">
        <f>IFERROR(__xludf.DUMMYFUNCTION("""COMPUTED_VALUE"""),"simple")</f>
        <v>simple</v>
      </c>
      <c r="X63" s="212" t="str">
        <f>IFERROR(__xludf.DUMMYFUNCTION("""COMPUTED_VALUE"""),"No Brief")</f>
        <v>No Brief</v>
      </c>
      <c r="Y63" s="212" t="str">
        <f>IFERROR(__xludf.DUMMYFUNCTION("""COMPUTED_VALUE"""),"18-24 April")</f>
        <v>18-24 April</v>
      </c>
      <c r="Z63" s="212" t="str">
        <f>IFERROR(__xludf.DUMMYFUNCTION("""COMPUTED_VALUE"""),"69e22ba6c3b398d37f825ba9")</f>
        <v>69e22ba6c3b398d37f825ba9</v>
      </c>
      <c r="AA63" s="287">
        <f>IFERROR(__xludf.DUMMYFUNCTION("""COMPUTED_VALUE"""),4.0)</f>
        <v>4</v>
      </c>
      <c r="AB63" s="213"/>
      <c r="AC63" s="213">
        <f>IFERROR(__xludf.DUMMYFUNCTION("""COMPUTED_VALUE"""),4.0)</f>
        <v>4</v>
      </c>
      <c r="AD63" s="213">
        <f>IFERROR(__xludf.DUMMYFUNCTION("""COMPUTED_VALUE"""),60494.0)</f>
        <v>60494</v>
      </c>
      <c r="AE63" s="213"/>
      <c r="AF63" s="213">
        <f>IFERROR(__xludf.DUMMYFUNCTION("""COMPUTED_VALUE"""),60494.0)</f>
        <v>60494</v>
      </c>
      <c r="AG63" s="282"/>
      <c r="AH63" s="282"/>
      <c r="AI63" s="282"/>
      <c r="AJ63" s="282"/>
      <c r="AK63" s="282"/>
      <c r="AL63" s="282"/>
      <c r="AM63" s="282"/>
      <c r="AN63" s="282"/>
      <c r="AO63" s="282"/>
      <c r="AP63" s="282"/>
      <c r="AQ63" s="282"/>
      <c r="AR63" s="282"/>
      <c r="AS63" s="282"/>
      <c r="AT63" s="282"/>
      <c r="AU63" s="282"/>
      <c r="AV63" s="282"/>
      <c r="AW63" s="282"/>
      <c r="AX63" s="282"/>
      <c r="AY63" s="282"/>
      <c r="AZ63" s="282"/>
    </row>
    <row r="64">
      <c r="A64" s="209">
        <f>IFERROR(__xludf.DUMMYFUNCTION("""COMPUTED_VALUE"""),46130.0)</f>
        <v>46130</v>
      </c>
      <c r="B64" s="247">
        <f>IFERROR(__xludf.DUMMYFUNCTION("""COMPUTED_VALUE"""),0.4166666666678793)</f>
        <v>0.4166666667</v>
      </c>
      <c r="C64" s="218" t="str">
        <f>IFERROR(__xludf.DUMMYFUNCTION("""COMPUTED_VALUE"""),"Whatsapp")</f>
        <v>Whatsapp</v>
      </c>
      <c r="D64" s="218" t="str">
        <f>IFERROR(__xludf.DUMMYFUNCTION("""COMPUTED_VALUE"""),"Promtional")</f>
        <v>Promtional</v>
      </c>
      <c r="E64" s="218" t="str">
        <f>IFERROR(__xludf.DUMMYFUNCTION("""COMPUTED_VALUE"""),"CK")</f>
        <v>CK</v>
      </c>
      <c r="F64" s="218" t="str">
        <f>IFERROR(__xludf.DUMMYFUNCTION("""COMPUTED_VALUE"""),"New collection")</f>
        <v>New collection</v>
      </c>
      <c r="G64" s="218" t="str">
        <f>IFERROR(__xludf.DUMMYFUNCTION("""COMPUTED_VALUE"""),"CK New collection_dormant base campaign")</f>
        <v>CK New collection_dormant base campaign</v>
      </c>
      <c r="H64" s="218" t="str">
        <f>IFERROR(__xludf.DUMMYFUNCTION("""COMPUTED_VALUE"""),"CK_OFF_Dormant_8_Apr")</f>
        <v>CK_OFF_Dormant_8_Apr</v>
      </c>
      <c r="I64" s="218" t="str">
        <f>IFERROR(__xludf.DUMMYFUNCTION("""COMPUTED_VALUE"""),"Customers who have not purchased after 31 Jan 2026")</f>
        <v>Customers who have not purchased after 31 Jan 2026</v>
      </c>
      <c r="J64" s="213">
        <f>IFERROR(__xludf.DUMMYFUNCTION("""COMPUTED_VALUE"""),178589.0)</f>
        <v>178589</v>
      </c>
      <c r="K64" s="213">
        <f>IFERROR(__xludf.DUMMYFUNCTION("""COMPUTED_VALUE"""),75830.0)</f>
        <v>75830</v>
      </c>
      <c r="L64" s="214">
        <f>IFERROR(__xludf.DUMMYFUNCTION("""COMPUTED_VALUE"""),0.4246)</f>
        <v>0.4246</v>
      </c>
      <c r="M64" s="213">
        <f>IFERROR(__xludf.DUMMYFUNCTION("""COMPUTED_VALUE"""),24495.0)</f>
        <v>24495</v>
      </c>
      <c r="N64" s="214">
        <f>IFERROR(__xludf.DUMMYFUNCTION("""COMPUTED_VALUE"""),0.323)</f>
        <v>0.323</v>
      </c>
      <c r="O64" s="213">
        <f>IFERROR(__xludf.DUMMYFUNCTION("""COMPUTED_VALUE"""),1243.0)</f>
        <v>1243</v>
      </c>
      <c r="P64" s="213">
        <f>IFERROR(__xludf.DUMMYFUNCTION("""COMPUTED_VALUE"""),1174.0)</f>
        <v>1174</v>
      </c>
      <c r="Q64" s="214">
        <f>IFERROR(__xludf.DUMMYFUNCTION("""COMPUTED_VALUE"""),0.0155)</f>
        <v>0.0155</v>
      </c>
      <c r="R64" s="214">
        <f>IFERROR(__xludf.DUMMYFUNCTION("""COMPUTED_VALUE"""),0.0479)</f>
        <v>0.0479</v>
      </c>
      <c r="S64" s="270">
        <f>IFERROR(__xludf.DUMMYFUNCTION("""COMPUTED_VALUE"""),0.0)</f>
        <v>0</v>
      </c>
      <c r="T64" s="270">
        <f>IFERROR(__xludf.DUMMYFUNCTION("""COMPUTED_VALUE"""),0.0)</f>
        <v>0</v>
      </c>
      <c r="U64" s="270">
        <f>IFERROR(__xludf.DUMMYFUNCTION("""COMPUTED_VALUE"""),0.0)</f>
        <v>0</v>
      </c>
      <c r="V64" s="101" t="str">
        <f>IFERROR(__xludf.DUMMYFUNCTION("""COMPUTED_VALUE"""),"offline")</f>
        <v>offline</v>
      </c>
      <c r="W64" s="101" t="str">
        <f>IFERROR(__xludf.DUMMYFUNCTION("""COMPUTED_VALUE"""),"simple")</f>
        <v>simple</v>
      </c>
      <c r="X64" s="212" t="str">
        <f>IFERROR(__xludf.DUMMYFUNCTION("""COMPUTED_VALUE"""),"No Brief")</f>
        <v>No Brief</v>
      </c>
      <c r="Y64" s="212" t="str">
        <f>IFERROR(__xludf.DUMMYFUNCTION("""COMPUTED_VALUE"""),"18-24 April")</f>
        <v>18-24 April</v>
      </c>
      <c r="Z64" s="212" t="str">
        <f>IFERROR(__xludf.DUMMYFUNCTION("""COMPUTED_VALUE"""),"69e22bc528cd390a4924ace0")</f>
        <v>69e22bc528cd390a4924ace0</v>
      </c>
      <c r="AA64" s="287">
        <f>IFERROR(__xludf.DUMMYFUNCTION("""COMPUTED_VALUE"""),161.0)</f>
        <v>161</v>
      </c>
      <c r="AB64" s="213"/>
      <c r="AC64" s="213">
        <f>IFERROR(__xludf.DUMMYFUNCTION("""COMPUTED_VALUE"""),161.0)</f>
        <v>161</v>
      </c>
      <c r="AD64" s="213">
        <f>IFERROR(__xludf.DUMMYFUNCTION("""COMPUTED_VALUE"""),2161085.0)</f>
        <v>2161085</v>
      </c>
      <c r="AE64" s="213"/>
      <c r="AF64" s="213">
        <f>IFERROR(__xludf.DUMMYFUNCTION("""COMPUTED_VALUE"""),2161085.0)</f>
        <v>2161085</v>
      </c>
      <c r="AG64" s="282"/>
      <c r="AH64" s="282"/>
      <c r="AI64" s="282"/>
      <c r="AJ64" s="282"/>
      <c r="AK64" s="282"/>
      <c r="AL64" s="282"/>
      <c r="AM64" s="282"/>
      <c r="AN64" s="282"/>
      <c r="AO64" s="282"/>
      <c r="AP64" s="282"/>
      <c r="AQ64" s="282"/>
      <c r="AR64" s="282"/>
      <c r="AS64" s="282"/>
      <c r="AT64" s="282"/>
      <c r="AU64" s="282"/>
      <c r="AV64" s="282"/>
      <c r="AW64" s="282"/>
      <c r="AX64" s="282"/>
      <c r="AY64" s="282"/>
      <c r="AZ64" s="282"/>
    </row>
    <row r="65">
      <c r="A65" s="209">
        <f>IFERROR(__xludf.DUMMYFUNCTION("""COMPUTED_VALUE"""),46130.0)</f>
        <v>46130</v>
      </c>
      <c r="B65" s="247">
        <f>IFERROR(__xludf.DUMMYFUNCTION("""COMPUTED_VALUE"""),0.4166666666678793)</f>
        <v>0.4166666667</v>
      </c>
      <c r="C65" s="218" t="str">
        <f>IFERROR(__xludf.DUMMYFUNCTION("""COMPUTED_VALUE"""),"Whatsapp")</f>
        <v>Whatsapp</v>
      </c>
      <c r="D65" s="218" t="str">
        <f>IFERROR(__xludf.DUMMYFUNCTION("""COMPUTED_VALUE"""),"Promtional")</f>
        <v>Promtional</v>
      </c>
      <c r="E65" s="218" t="str">
        <f>IFERROR(__xludf.DUMMYFUNCTION("""COMPUTED_VALUE"""),"CK")</f>
        <v>CK</v>
      </c>
      <c r="F65" s="218" t="str">
        <f>IFERROR(__xludf.DUMMYFUNCTION("""COMPUTED_VALUE"""),"New collection")</f>
        <v>New collection</v>
      </c>
      <c r="G65" s="218" t="str">
        <f>IFERROR(__xludf.DUMMYFUNCTION("""COMPUTED_VALUE"""),"CK New collection_Shoe campaign")</f>
        <v>CK New collection_Shoe campaign</v>
      </c>
      <c r="H65" s="218" t="str">
        <f>IFERROR(__xludf.DUMMYFUNCTION("""COMPUTED_VALUE"""),"CK_OFF_Handbags_Active_8_Apr")</f>
        <v>CK_OFF_Handbags_Active_8_Apr</v>
      </c>
      <c r="I65" s="218" t="str">
        <f>IFERROR(__xludf.DUMMYFUNCTION("""COMPUTED_VALUE"""),"Customers who have purchased L2: Handbags in Feb - March 2026")</f>
        <v>Customers who have purchased L2: Handbags in Feb - March 2026</v>
      </c>
      <c r="J65" s="213">
        <f>IFERROR(__xludf.DUMMYFUNCTION("""COMPUTED_VALUE"""),8002.0)</f>
        <v>8002</v>
      </c>
      <c r="K65" s="213">
        <f>IFERROR(__xludf.DUMMYFUNCTION("""COMPUTED_VALUE"""),4084.0)</f>
        <v>4084</v>
      </c>
      <c r="L65" s="214">
        <f>IFERROR(__xludf.DUMMYFUNCTION("""COMPUTED_VALUE"""),0.5104)</f>
        <v>0.5104</v>
      </c>
      <c r="M65" s="213">
        <f>IFERROR(__xludf.DUMMYFUNCTION("""COMPUTED_VALUE"""),1560.0)</f>
        <v>1560</v>
      </c>
      <c r="N65" s="214">
        <f>IFERROR(__xludf.DUMMYFUNCTION("""COMPUTED_VALUE"""),0.3817)</f>
        <v>0.3817</v>
      </c>
      <c r="O65" s="213">
        <f>IFERROR(__xludf.DUMMYFUNCTION("""COMPUTED_VALUE"""),99.0)</f>
        <v>99</v>
      </c>
      <c r="P65" s="213">
        <f>IFERROR(__xludf.DUMMYFUNCTION("""COMPUTED_VALUE"""),94.0)</f>
        <v>94</v>
      </c>
      <c r="Q65" s="214">
        <f>IFERROR(__xludf.DUMMYFUNCTION("""COMPUTED_VALUE"""),0.023)</f>
        <v>0.023</v>
      </c>
      <c r="R65" s="214">
        <f>IFERROR(__xludf.DUMMYFUNCTION("""COMPUTED_VALUE"""),0.0603)</f>
        <v>0.0603</v>
      </c>
      <c r="S65" s="270">
        <f>IFERROR(__xludf.DUMMYFUNCTION("""COMPUTED_VALUE"""),0.0)</f>
        <v>0</v>
      </c>
      <c r="T65" s="270">
        <f>IFERROR(__xludf.DUMMYFUNCTION("""COMPUTED_VALUE"""),0.0)</f>
        <v>0</v>
      </c>
      <c r="U65" s="270">
        <f>IFERROR(__xludf.DUMMYFUNCTION("""COMPUTED_VALUE"""),0.0)</f>
        <v>0</v>
      </c>
      <c r="V65" s="101" t="str">
        <f>IFERROR(__xludf.DUMMYFUNCTION("""COMPUTED_VALUE"""),"offline")</f>
        <v>offline</v>
      </c>
      <c r="W65" s="101" t="str">
        <f>IFERROR(__xludf.DUMMYFUNCTION("""COMPUTED_VALUE"""),"simple")</f>
        <v>simple</v>
      </c>
      <c r="X65" s="212" t="str">
        <f>IFERROR(__xludf.DUMMYFUNCTION("""COMPUTED_VALUE"""),"No Brief")</f>
        <v>No Brief</v>
      </c>
      <c r="Y65" s="212" t="str">
        <f>IFERROR(__xludf.DUMMYFUNCTION("""COMPUTED_VALUE"""),"18-24 April")</f>
        <v>18-24 April</v>
      </c>
      <c r="Z65" s="212" t="str">
        <f>IFERROR(__xludf.DUMMYFUNCTION("""COMPUTED_VALUE"""),"69e235c5c3b398d37f825d6a")</f>
        <v>69e235c5c3b398d37f825d6a</v>
      </c>
      <c r="AA65" s="287">
        <f>IFERROR(__xludf.DUMMYFUNCTION("""COMPUTED_VALUE"""),21.0)</f>
        <v>21</v>
      </c>
      <c r="AB65" s="213"/>
      <c r="AC65" s="213">
        <f>IFERROR(__xludf.DUMMYFUNCTION("""COMPUTED_VALUE"""),21.0)</f>
        <v>21</v>
      </c>
      <c r="AD65" s="213">
        <f>IFERROR(__xludf.DUMMYFUNCTION("""COMPUTED_VALUE"""),387265.0)</f>
        <v>387265</v>
      </c>
      <c r="AE65" s="213"/>
      <c r="AF65" s="213">
        <f>IFERROR(__xludf.DUMMYFUNCTION("""COMPUTED_VALUE"""),387265.0)</f>
        <v>387265</v>
      </c>
      <c r="AG65" s="282"/>
      <c r="AH65" s="282"/>
      <c r="AI65" s="282"/>
      <c r="AJ65" s="282"/>
      <c r="AK65" s="282"/>
      <c r="AL65" s="282"/>
      <c r="AM65" s="282"/>
      <c r="AN65" s="282"/>
      <c r="AO65" s="282"/>
      <c r="AP65" s="282"/>
      <c r="AQ65" s="282"/>
      <c r="AR65" s="282"/>
      <c r="AS65" s="282"/>
      <c r="AT65" s="282"/>
      <c r="AU65" s="282"/>
      <c r="AV65" s="282"/>
      <c r="AW65" s="282"/>
      <c r="AX65" s="282"/>
      <c r="AY65" s="282"/>
      <c r="AZ65" s="282"/>
    </row>
    <row r="66">
      <c r="A66" s="209">
        <f>IFERROR(__xludf.DUMMYFUNCTION("""COMPUTED_VALUE"""),46130.0)</f>
        <v>46130</v>
      </c>
      <c r="B66" s="247">
        <f>IFERROR(__xludf.DUMMYFUNCTION("""COMPUTED_VALUE"""),0.5)</f>
        <v>0.5</v>
      </c>
      <c r="C66" s="218" t="str">
        <f>IFERROR(__xludf.DUMMYFUNCTION("""COMPUTED_VALUE"""),"Sms")</f>
        <v>Sms</v>
      </c>
      <c r="D66" s="218" t="str">
        <f>IFERROR(__xludf.DUMMYFUNCTION("""COMPUTED_VALUE"""),"Fallback campaign")</f>
        <v>Fallback campaign</v>
      </c>
      <c r="E66" s="218" t="str">
        <f>IFERROR(__xludf.DUMMYFUNCTION("""COMPUTED_VALUE"""),"CK")</f>
        <v>CK</v>
      </c>
      <c r="F66" s="218" t="str">
        <f>IFERROR(__xludf.DUMMYFUNCTION("""COMPUTED_VALUE"""),"New collection")</f>
        <v>New collection</v>
      </c>
      <c r="G66" s="218" t="str">
        <f>IFERROR(__xludf.DUMMYFUNCTION("""COMPUTED_VALUE"""),"CK New collection_Handbag_ campaign_Fallback SMS")</f>
        <v>CK New collection_Handbag_ campaign_Fallback SMS</v>
      </c>
      <c r="H66" s="218" t="str">
        <f>IFERROR(__xludf.DUMMYFUNCTION("""COMPUTED_VALUE"""),"CK_OFF_FootWear_Active_8_Apr")</f>
        <v>CK_OFF_FootWear_Active_8_Apr</v>
      </c>
      <c r="I66" s="218" t="str">
        <f>IFERROR(__xludf.DUMMYFUNCTION("""COMPUTED_VALUE"""),"WA Undelivered")</f>
        <v>WA Undelivered</v>
      </c>
      <c r="J66" s="213">
        <f>IFERROR(__xludf.DUMMYFUNCTION("""COMPUTED_VALUE"""),2402.0)</f>
        <v>2402</v>
      </c>
      <c r="K66" s="213">
        <f>IFERROR(__xludf.DUMMYFUNCTION("""COMPUTED_VALUE"""),1238.0)</f>
        <v>1238</v>
      </c>
      <c r="L66" s="214">
        <f>IFERROR(__xludf.DUMMYFUNCTION("""COMPUTED_VALUE"""),0.5154)</f>
        <v>0.5154</v>
      </c>
      <c r="M66" s="213">
        <f>IFERROR(__xludf.DUMMYFUNCTION("""COMPUTED_VALUE"""),0.0)</f>
        <v>0</v>
      </c>
      <c r="N66" s="214">
        <f>IFERROR(__xludf.DUMMYFUNCTION("""COMPUTED_VALUE"""),0.0)</f>
        <v>0</v>
      </c>
      <c r="O66" s="213">
        <f>IFERROR(__xludf.DUMMYFUNCTION("""COMPUTED_VALUE"""),0.0)</f>
        <v>0</v>
      </c>
      <c r="P66" s="213">
        <f>IFERROR(__xludf.DUMMYFUNCTION("""COMPUTED_VALUE"""),0.0)</f>
        <v>0</v>
      </c>
      <c r="Q66" s="214">
        <f>IFERROR(__xludf.DUMMYFUNCTION("""COMPUTED_VALUE"""),0.0)</f>
        <v>0</v>
      </c>
      <c r="R66" s="214">
        <f>IFERROR(__xludf.DUMMYFUNCTION("""COMPUTED_VALUE"""),0.0)</f>
        <v>0</v>
      </c>
      <c r="S66" s="270">
        <f>IFERROR(__xludf.DUMMYFUNCTION("""COMPUTED_VALUE"""),0.0)</f>
        <v>0</v>
      </c>
      <c r="T66" s="270">
        <f>IFERROR(__xludf.DUMMYFUNCTION("""COMPUTED_VALUE"""),0.0)</f>
        <v>0</v>
      </c>
      <c r="U66" s="270">
        <f>IFERROR(__xludf.DUMMYFUNCTION("""COMPUTED_VALUE"""),0.0)</f>
        <v>0</v>
      </c>
      <c r="V66" s="101" t="str">
        <f>IFERROR(__xludf.DUMMYFUNCTION("""COMPUTED_VALUE"""),"offline")</f>
        <v>offline</v>
      </c>
      <c r="W66" s="101" t="str">
        <f>IFERROR(__xludf.DUMMYFUNCTION("""COMPUTED_VALUE"""),"sms")</f>
        <v>sms</v>
      </c>
      <c r="X66" s="212" t="str">
        <f>IFERROR(__xludf.DUMMYFUNCTION("""COMPUTED_VALUE"""),"No Brief")</f>
        <v>No Brief</v>
      </c>
      <c r="Y66" s="212" t="str">
        <f>IFERROR(__xludf.DUMMYFUNCTION("""COMPUTED_VALUE"""),"18-24 April")</f>
        <v>18-24 April</v>
      </c>
      <c r="Z66" s="212" t="str">
        <f>IFERROR(__xludf.DUMMYFUNCTION("""COMPUTED_VALUE"""),"69e22c00b93a17ddf995b213")</f>
        <v>69e22c00b93a17ddf995b213</v>
      </c>
      <c r="AA66" s="287">
        <f>IFERROR(__xludf.DUMMYFUNCTION("""COMPUTED_VALUE"""),16.0)</f>
        <v>16</v>
      </c>
      <c r="AB66" s="213"/>
      <c r="AC66" s="213">
        <f>IFERROR(__xludf.DUMMYFUNCTION("""COMPUTED_VALUE"""),16.0)</f>
        <v>16</v>
      </c>
      <c r="AD66" s="213">
        <f>IFERROR(__xludf.DUMMYFUNCTION("""COMPUTED_VALUE"""),250475.0)</f>
        <v>250475</v>
      </c>
      <c r="AE66" s="213"/>
      <c r="AF66" s="213">
        <f>IFERROR(__xludf.DUMMYFUNCTION("""COMPUTED_VALUE"""),250475.0)</f>
        <v>250475</v>
      </c>
      <c r="AG66" s="282"/>
      <c r="AH66" s="282"/>
      <c r="AI66" s="282"/>
      <c r="AJ66" s="282"/>
      <c r="AK66" s="282"/>
      <c r="AL66" s="282"/>
      <c r="AM66" s="282"/>
      <c r="AN66" s="282"/>
      <c r="AO66" s="282"/>
      <c r="AP66" s="282"/>
      <c r="AQ66" s="282"/>
      <c r="AR66" s="282"/>
      <c r="AS66" s="282"/>
      <c r="AT66" s="282"/>
      <c r="AU66" s="282"/>
      <c r="AV66" s="282"/>
      <c r="AW66" s="282"/>
      <c r="AX66" s="282"/>
      <c r="AY66" s="282"/>
      <c r="AZ66" s="282"/>
    </row>
    <row r="67">
      <c r="A67" s="209">
        <f>IFERROR(__xludf.DUMMYFUNCTION("""COMPUTED_VALUE"""),46130.0)</f>
        <v>46130</v>
      </c>
      <c r="B67" s="247">
        <f>IFERROR(__xludf.DUMMYFUNCTION("""COMPUTED_VALUE"""),0.5)</f>
        <v>0.5</v>
      </c>
      <c r="C67" s="218" t="str">
        <f>IFERROR(__xludf.DUMMYFUNCTION("""COMPUTED_VALUE"""),"Sms")</f>
        <v>Sms</v>
      </c>
      <c r="D67" s="218" t="str">
        <f>IFERROR(__xludf.DUMMYFUNCTION("""COMPUTED_VALUE"""),"Fallback campaign")</f>
        <v>Fallback campaign</v>
      </c>
      <c r="E67" s="218" t="str">
        <f>IFERROR(__xludf.DUMMYFUNCTION("""COMPUTED_VALUE"""),"CK")</f>
        <v>CK</v>
      </c>
      <c r="F67" s="218" t="str">
        <f>IFERROR(__xludf.DUMMYFUNCTION("""COMPUTED_VALUE"""),"New collection")</f>
        <v>New collection</v>
      </c>
      <c r="G67" s="218" t="str">
        <f>IFERROR(__xludf.DUMMYFUNCTION("""COMPUTED_VALUE"""),"CK New collection_Handbag campaign_Fallback SMS_1")</f>
        <v>CK New collection_Handbag campaign_Fallback SMS_1</v>
      </c>
      <c r="H67" s="218" t="str">
        <f>IFERROR(__xludf.DUMMYFUNCTION("""COMPUTED_VALUE"""),"CK_OFF_Wallet_Active_8_Apr")</f>
        <v>CK_OFF_Wallet_Active_8_Apr</v>
      </c>
      <c r="I67" s="218" t="str">
        <f>IFERROR(__xludf.DUMMYFUNCTION("""COMPUTED_VALUE"""),"WA Undelivered")</f>
        <v>WA Undelivered</v>
      </c>
      <c r="J67" s="213">
        <f>IFERROR(__xludf.DUMMYFUNCTION("""COMPUTED_VALUE"""),696.0)</f>
        <v>696</v>
      </c>
      <c r="K67" s="213">
        <f>IFERROR(__xludf.DUMMYFUNCTION("""COMPUTED_VALUE"""),431.0)</f>
        <v>431</v>
      </c>
      <c r="L67" s="214">
        <f>IFERROR(__xludf.DUMMYFUNCTION("""COMPUTED_VALUE"""),0.6193)</f>
        <v>0.6193</v>
      </c>
      <c r="M67" s="213">
        <f>IFERROR(__xludf.DUMMYFUNCTION("""COMPUTED_VALUE"""),0.0)</f>
        <v>0</v>
      </c>
      <c r="N67" s="214">
        <f>IFERROR(__xludf.DUMMYFUNCTION("""COMPUTED_VALUE"""),0.0)</f>
        <v>0</v>
      </c>
      <c r="O67" s="213">
        <f>IFERROR(__xludf.DUMMYFUNCTION("""COMPUTED_VALUE"""),0.0)</f>
        <v>0</v>
      </c>
      <c r="P67" s="213">
        <f>IFERROR(__xludf.DUMMYFUNCTION("""COMPUTED_VALUE"""),0.0)</f>
        <v>0</v>
      </c>
      <c r="Q67" s="214">
        <f>IFERROR(__xludf.DUMMYFUNCTION("""COMPUTED_VALUE"""),0.0)</f>
        <v>0</v>
      </c>
      <c r="R67" s="214">
        <f>IFERROR(__xludf.DUMMYFUNCTION("""COMPUTED_VALUE"""),0.0)</f>
        <v>0</v>
      </c>
      <c r="S67" s="270">
        <f>IFERROR(__xludf.DUMMYFUNCTION("""COMPUTED_VALUE"""),0.0)</f>
        <v>0</v>
      </c>
      <c r="T67" s="270">
        <f>IFERROR(__xludf.DUMMYFUNCTION("""COMPUTED_VALUE"""),0.0)</f>
        <v>0</v>
      </c>
      <c r="U67" s="270">
        <f>IFERROR(__xludf.DUMMYFUNCTION("""COMPUTED_VALUE"""),0.0)</f>
        <v>0</v>
      </c>
      <c r="V67" s="101" t="str">
        <f>IFERROR(__xludf.DUMMYFUNCTION("""COMPUTED_VALUE"""),"offline")</f>
        <v>offline</v>
      </c>
      <c r="W67" s="101" t="str">
        <f>IFERROR(__xludf.DUMMYFUNCTION("""COMPUTED_VALUE"""),"sms")</f>
        <v>sms</v>
      </c>
      <c r="X67" s="212" t="str">
        <f>IFERROR(__xludf.DUMMYFUNCTION("""COMPUTED_VALUE"""),"No Brief")</f>
        <v>No Brief</v>
      </c>
      <c r="Y67" s="212" t="str">
        <f>IFERROR(__xludf.DUMMYFUNCTION("""COMPUTED_VALUE"""),"18-24 April")</f>
        <v>18-24 April</v>
      </c>
      <c r="Z67" s="212" t="str">
        <f>IFERROR(__xludf.DUMMYFUNCTION("""COMPUTED_VALUE"""),"69e22c42945564f6f4e68e04")</f>
        <v>69e22c42945564f6f4e68e04</v>
      </c>
      <c r="AA67" s="287">
        <f>IFERROR(__xludf.DUMMYFUNCTION("""COMPUTED_VALUE"""),1.0)</f>
        <v>1</v>
      </c>
      <c r="AB67" s="213"/>
      <c r="AC67" s="213">
        <f>IFERROR(__xludf.DUMMYFUNCTION("""COMPUTED_VALUE"""),1.0)</f>
        <v>1</v>
      </c>
      <c r="AD67" s="213">
        <f>IFERROR(__xludf.DUMMYFUNCTION("""COMPUTED_VALUE"""),6499.0)</f>
        <v>6499</v>
      </c>
      <c r="AE67" s="213"/>
      <c r="AF67" s="213">
        <f>IFERROR(__xludf.DUMMYFUNCTION("""COMPUTED_VALUE"""),6499.0)</f>
        <v>6499</v>
      </c>
      <c r="AG67" s="282"/>
      <c r="AH67" s="282"/>
      <c r="AI67" s="282"/>
      <c r="AJ67" s="282"/>
      <c r="AK67" s="282"/>
      <c r="AL67" s="282"/>
      <c r="AM67" s="282"/>
      <c r="AN67" s="282"/>
      <c r="AO67" s="282"/>
      <c r="AP67" s="282"/>
      <c r="AQ67" s="282"/>
      <c r="AR67" s="282"/>
      <c r="AS67" s="282"/>
      <c r="AT67" s="282"/>
      <c r="AU67" s="282"/>
      <c r="AV67" s="282"/>
      <c r="AW67" s="282"/>
      <c r="AX67" s="282"/>
      <c r="AY67" s="282"/>
      <c r="AZ67" s="282"/>
    </row>
    <row r="68">
      <c r="A68" s="209">
        <f>IFERROR(__xludf.DUMMYFUNCTION("""COMPUTED_VALUE"""),46130.0)</f>
        <v>46130</v>
      </c>
      <c r="B68" s="247">
        <f>IFERROR(__xludf.DUMMYFUNCTION("""COMPUTED_VALUE"""),0.5)</f>
        <v>0.5</v>
      </c>
      <c r="C68" s="218" t="str">
        <f>IFERROR(__xludf.DUMMYFUNCTION("""COMPUTED_VALUE"""),"Sms")</f>
        <v>Sms</v>
      </c>
      <c r="D68" s="218" t="str">
        <f>IFERROR(__xludf.DUMMYFUNCTION("""COMPUTED_VALUE"""),"Fallback campaign")</f>
        <v>Fallback campaign</v>
      </c>
      <c r="E68" s="218" t="str">
        <f>IFERROR(__xludf.DUMMYFUNCTION("""COMPUTED_VALUE"""),"CK")</f>
        <v>CK</v>
      </c>
      <c r="F68" s="218" t="str">
        <f>IFERROR(__xludf.DUMMYFUNCTION("""COMPUTED_VALUE"""),"New collection")</f>
        <v>New collection</v>
      </c>
      <c r="G68" s="218" t="str">
        <f>IFERROR(__xludf.DUMMYFUNCTION("""COMPUTED_VALUE"""),"CK New collection_dormant base campaign_Fallback SMS")</f>
        <v>CK New collection_dormant base campaign_Fallback SMS</v>
      </c>
      <c r="H68" s="218" t="str">
        <f>IFERROR(__xludf.DUMMYFUNCTION("""COMPUTED_VALUE"""),"CK_OFF_Dormant_8_Apr")</f>
        <v>CK_OFF_Dormant_8_Apr</v>
      </c>
      <c r="I68" s="218" t="str">
        <f>IFERROR(__xludf.DUMMYFUNCTION("""COMPUTED_VALUE"""),"WA Undelivered")</f>
        <v>WA Undelivered</v>
      </c>
      <c r="J68" s="213">
        <f>IFERROR(__xludf.DUMMYFUNCTION("""COMPUTED_VALUE"""),99253.0)</f>
        <v>99253</v>
      </c>
      <c r="K68" s="213">
        <f>IFERROR(__xludf.DUMMYFUNCTION("""COMPUTED_VALUE"""),53569.0)</f>
        <v>53569</v>
      </c>
      <c r="L68" s="214">
        <f>IFERROR(__xludf.DUMMYFUNCTION("""COMPUTED_VALUE"""),0.5397)</f>
        <v>0.5397</v>
      </c>
      <c r="M68" s="213">
        <f>IFERROR(__xludf.DUMMYFUNCTION("""COMPUTED_VALUE"""),0.0)</f>
        <v>0</v>
      </c>
      <c r="N68" s="214">
        <f>IFERROR(__xludf.DUMMYFUNCTION("""COMPUTED_VALUE"""),0.0)</f>
        <v>0</v>
      </c>
      <c r="O68" s="213">
        <f>IFERROR(__xludf.DUMMYFUNCTION("""COMPUTED_VALUE"""),0.0)</f>
        <v>0</v>
      </c>
      <c r="P68" s="213">
        <f>IFERROR(__xludf.DUMMYFUNCTION("""COMPUTED_VALUE"""),0.0)</f>
        <v>0</v>
      </c>
      <c r="Q68" s="214">
        <f>IFERROR(__xludf.DUMMYFUNCTION("""COMPUTED_VALUE"""),0.0)</f>
        <v>0</v>
      </c>
      <c r="R68" s="214">
        <f>IFERROR(__xludf.DUMMYFUNCTION("""COMPUTED_VALUE"""),0.0)</f>
        <v>0</v>
      </c>
      <c r="S68" s="270">
        <f>IFERROR(__xludf.DUMMYFUNCTION("""COMPUTED_VALUE"""),0.0)</f>
        <v>0</v>
      </c>
      <c r="T68" s="270">
        <f>IFERROR(__xludf.DUMMYFUNCTION("""COMPUTED_VALUE"""),0.0)</f>
        <v>0</v>
      </c>
      <c r="U68" s="270">
        <f>IFERROR(__xludf.DUMMYFUNCTION("""COMPUTED_VALUE"""),0.0)</f>
        <v>0</v>
      </c>
      <c r="V68" s="101" t="str">
        <f>IFERROR(__xludf.DUMMYFUNCTION("""COMPUTED_VALUE"""),"offline")</f>
        <v>offline</v>
      </c>
      <c r="W68" s="101" t="str">
        <f>IFERROR(__xludf.DUMMYFUNCTION("""COMPUTED_VALUE"""),"sms")</f>
        <v>sms</v>
      </c>
      <c r="X68" s="212" t="str">
        <f>IFERROR(__xludf.DUMMYFUNCTION("""COMPUTED_VALUE"""),"No Brief")</f>
        <v>No Brief</v>
      </c>
      <c r="Y68" s="212" t="str">
        <f>IFERROR(__xludf.DUMMYFUNCTION("""COMPUTED_VALUE"""),"18-24 April")</f>
        <v>18-24 April</v>
      </c>
      <c r="Z68" s="212" t="str">
        <f>IFERROR(__xludf.DUMMYFUNCTION("""COMPUTED_VALUE"""),"69e22c7e88536f9e9528aba2")</f>
        <v>69e22c7e88536f9e9528aba2</v>
      </c>
      <c r="AA68" s="287">
        <f>IFERROR(__xludf.DUMMYFUNCTION("""COMPUTED_VALUE"""),167.0)</f>
        <v>167</v>
      </c>
      <c r="AB68" s="213"/>
      <c r="AC68" s="213">
        <f>IFERROR(__xludf.DUMMYFUNCTION("""COMPUTED_VALUE"""),167.0)</f>
        <v>167</v>
      </c>
      <c r="AD68" s="213">
        <f>IFERROR(__xludf.DUMMYFUNCTION("""COMPUTED_VALUE"""),2156679.0)</f>
        <v>2156679</v>
      </c>
      <c r="AE68" s="213"/>
      <c r="AF68" s="213">
        <f>IFERROR(__xludf.DUMMYFUNCTION("""COMPUTED_VALUE"""),2156679.0)</f>
        <v>2156679</v>
      </c>
      <c r="AG68" s="282"/>
      <c r="AH68" s="282"/>
      <c r="AI68" s="282"/>
      <c r="AJ68" s="282"/>
      <c r="AK68" s="282"/>
      <c r="AL68" s="282"/>
      <c r="AM68" s="282"/>
      <c r="AN68" s="282"/>
      <c r="AO68" s="282"/>
      <c r="AP68" s="282"/>
      <c r="AQ68" s="282"/>
      <c r="AR68" s="282"/>
      <c r="AS68" s="282"/>
      <c r="AT68" s="282"/>
      <c r="AU68" s="282"/>
      <c r="AV68" s="282"/>
      <c r="AW68" s="282"/>
      <c r="AX68" s="282"/>
      <c r="AY68" s="282"/>
      <c r="AZ68" s="282"/>
    </row>
    <row r="69">
      <c r="A69" s="209">
        <f>IFERROR(__xludf.DUMMYFUNCTION("""COMPUTED_VALUE"""),46130.0)</f>
        <v>46130</v>
      </c>
      <c r="B69" s="247">
        <f>IFERROR(__xludf.DUMMYFUNCTION("""COMPUTED_VALUE"""),0.5)</f>
        <v>0.5</v>
      </c>
      <c r="C69" s="218" t="str">
        <f>IFERROR(__xludf.DUMMYFUNCTION("""COMPUTED_VALUE"""),"Sms")</f>
        <v>Sms</v>
      </c>
      <c r="D69" s="218" t="str">
        <f>IFERROR(__xludf.DUMMYFUNCTION("""COMPUTED_VALUE"""),"Fallback campaign")</f>
        <v>Fallback campaign</v>
      </c>
      <c r="E69" s="218" t="str">
        <f>IFERROR(__xludf.DUMMYFUNCTION("""COMPUTED_VALUE"""),"CK")</f>
        <v>CK</v>
      </c>
      <c r="F69" s="218" t="str">
        <f>IFERROR(__xludf.DUMMYFUNCTION("""COMPUTED_VALUE"""),"New collection")</f>
        <v>New collection</v>
      </c>
      <c r="G69" s="218" t="str">
        <f>IFERROR(__xludf.DUMMYFUNCTION("""COMPUTED_VALUE"""),"CK New collection_Shoe campaign_Fallback SMS")</f>
        <v>CK New collection_Shoe campaign_Fallback SMS</v>
      </c>
      <c r="H69" s="218" t="str">
        <f>IFERROR(__xludf.DUMMYFUNCTION("""COMPUTED_VALUE"""),"CK_OFF_Handbags_Active_8_Apr")</f>
        <v>CK_OFF_Handbags_Active_8_Apr</v>
      </c>
      <c r="I69" s="218" t="str">
        <f>IFERROR(__xludf.DUMMYFUNCTION("""COMPUTED_VALUE"""),"WA Undelivered")</f>
        <v>WA Undelivered</v>
      </c>
      <c r="J69" s="213">
        <f>IFERROR(__xludf.DUMMYFUNCTION("""COMPUTED_VALUE"""),3878.0)</f>
        <v>3878</v>
      </c>
      <c r="K69" s="213">
        <f>IFERROR(__xludf.DUMMYFUNCTION("""COMPUTED_VALUE"""),2312.0)</f>
        <v>2312</v>
      </c>
      <c r="L69" s="214">
        <f>IFERROR(__xludf.DUMMYFUNCTION("""COMPUTED_VALUE"""),0.5962)</f>
        <v>0.5962</v>
      </c>
      <c r="M69" s="213">
        <f>IFERROR(__xludf.DUMMYFUNCTION("""COMPUTED_VALUE"""),0.0)</f>
        <v>0</v>
      </c>
      <c r="N69" s="214">
        <f>IFERROR(__xludf.DUMMYFUNCTION("""COMPUTED_VALUE"""),0.0)</f>
        <v>0</v>
      </c>
      <c r="O69" s="213">
        <f>IFERROR(__xludf.DUMMYFUNCTION("""COMPUTED_VALUE"""),0.0)</f>
        <v>0</v>
      </c>
      <c r="P69" s="213">
        <f>IFERROR(__xludf.DUMMYFUNCTION("""COMPUTED_VALUE"""),0.0)</f>
        <v>0</v>
      </c>
      <c r="Q69" s="214">
        <f>IFERROR(__xludf.DUMMYFUNCTION("""COMPUTED_VALUE"""),0.0)</f>
        <v>0</v>
      </c>
      <c r="R69" s="214">
        <f>IFERROR(__xludf.DUMMYFUNCTION("""COMPUTED_VALUE"""),0.0)</f>
        <v>0</v>
      </c>
      <c r="S69" s="270">
        <f>IFERROR(__xludf.DUMMYFUNCTION("""COMPUTED_VALUE"""),0.0)</f>
        <v>0</v>
      </c>
      <c r="T69" s="270">
        <f>IFERROR(__xludf.DUMMYFUNCTION("""COMPUTED_VALUE"""),0.0)</f>
        <v>0</v>
      </c>
      <c r="U69" s="270">
        <f>IFERROR(__xludf.DUMMYFUNCTION("""COMPUTED_VALUE"""),0.0)</f>
        <v>0</v>
      </c>
      <c r="V69" s="101" t="str">
        <f>IFERROR(__xludf.DUMMYFUNCTION("""COMPUTED_VALUE"""),"offline")</f>
        <v>offline</v>
      </c>
      <c r="W69" s="101" t="str">
        <f>IFERROR(__xludf.DUMMYFUNCTION("""COMPUTED_VALUE"""),"sms")</f>
        <v>sms</v>
      </c>
      <c r="X69" s="212" t="str">
        <f>IFERROR(__xludf.DUMMYFUNCTION("""COMPUTED_VALUE"""),"No Brief")</f>
        <v>No Brief</v>
      </c>
      <c r="Y69" s="212" t="str">
        <f>IFERROR(__xludf.DUMMYFUNCTION("""COMPUTED_VALUE"""),"18-24 April")</f>
        <v>18-24 April</v>
      </c>
      <c r="Z69" s="212" t="str">
        <f>IFERROR(__xludf.DUMMYFUNCTION("""COMPUTED_VALUE"""),"69e2361a812b9f90d0e2e923")</f>
        <v>69e2361a812b9f90d0e2e923</v>
      </c>
      <c r="AA69" s="287">
        <f>IFERROR(__xludf.DUMMYFUNCTION("""COMPUTED_VALUE"""),8.0)</f>
        <v>8</v>
      </c>
      <c r="AB69" s="213"/>
      <c r="AC69" s="213">
        <f>IFERROR(__xludf.DUMMYFUNCTION("""COMPUTED_VALUE"""),8.0)</f>
        <v>8</v>
      </c>
      <c r="AD69" s="213">
        <f>IFERROR(__xludf.DUMMYFUNCTION("""COMPUTED_VALUE"""),89992.0)</f>
        <v>89992</v>
      </c>
      <c r="AE69" s="213"/>
      <c r="AF69" s="213">
        <f>IFERROR(__xludf.DUMMYFUNCTION("""COMPUTED_VALUE"""),89992.0)</f>
        <v>89992</v>
      </c>
      <c r="AG69" s="282"/>
      <c r="AH69" s="282"/>
      <c r="AI69" s="282"/>
      <c r="AJ69" s="282"/>
      <c r="AK69" s="282"/>
      <c r="AL69" s="282"/>
      <c r="AM69" s="282"/>
      <c r="AN69" s="282"/>
      <c r="AO69" s="282"/>
      <c r="AP69" s="282"/>
      <c r="AQ69" s="282"/>
      <c r="AR69" s="282"/>
      <c r="AS69" s="282"/>
      <c r="AT69" s="282"/>
      <c r="AU69" s="282"/>
      <c r="AV69" s="282"/>
      <c r="AW69" s="282"/>
      <c r="AX69" s="282"/>
      <c r="AY69" s="282"/>
      <c r="AZ69" s="282"/>
    </row>
    <row r="70">
      <c r="A70" s="209">
        <f>IFERROR(__xludf.DUMMYFUNCTION("""COMPUTED_VALUE"""),46143.0)</f>
        <v>46143</v>
      </c>
      <c r="B70" s="247">
        <f>IFERROR(__xludf.DUMMYFUNCTION("""COMPUTED_VALUE"""),0.4166666666678793)</f>
        <v>0.4166666667</v>
      </c>
      <c r="C70" s="218" t="str">
        <f>IFERROR(__xludf.DUMMYFUNCTION("""COMPUTED_VALUE"""),"Whatsapp")</f>
        <v>Whatsapp</v>
      </c>
      <c r="D70" s="218" t="str">
        <f>IFERROR(__xludf.DUMMYFUNCTION("""COMPUTED_VALUE"""),"Promtional")</f>
        <v>Promtional</v>
      </c>
      <c r="E70" s="218" t="str">
        <f>IFERROR(__xludf.DUMMYFUNCTION("""COMPUTED_VALUE"""),"CK")</f>
        <v>CK</v>
      </c>
      <c r="F70" s="218" t="str">
        <f>IFERROR(__xludf.DUMMYFUNCTION("""COMPUTED_VALUE"""),"Summer's calling - Full Price")</f>
        <v>Summer's calling - Full Price</v>
      </c>
      <c r="G70" s="218" t="str">
        <f>IFERROR(__xludf.DUMMYFUNCTION("""COMPUTED_VALUE"""),"Summer's calling_active")</f>
        <v>Summer's calling_active</v>
      </c>
      <c r="H70" s="218" t="str">
        <f>IFERROR(__xludf.DUMMYFUNCTION("""COMPUTED_VALUE"""),"ck_onoff_pr_Recent_6thMarch26, ck_online_active_29thapril_2026")</f>
        <v>ck_onoff_pr_Recent_6thMarch26, ck_online_active_29thapril_2026</v>
      </c>
      <c r="I70" s="218" t="str">
        <f>IFERROR(__xludf.DUMMYFUNCTION("""COMPUTED_VALUE"""),"Customers who have purchased atleast 1 time in the last 91 days AND excluding Event Buyers segment")</f>
        <v>Customers who have purchased atleast 1 time in the last 91 days AND excluding Event Buyers segment</v>
      </c>
      <c r="J70" s="213">
        <f>IFERROR(__xludf.DUMMYFUNCTION("""COMPUTED_VALUE"""),83525.0)</f>
        <v>83525</v>
      </c>
      <c r="K70" s="213">
        <f>IFERROR(__xludf.DUMMYFUNCTION("""COMPUTED_VALUE"""),35447.0)</f>
        <v>35447</v>
      </c>
      <c r="L70" s="214">
        <f>IFERROR(__xludf.DUMMYFUNCTION("""COMPUTED_VALUE"""),0.4243)</f>
        <v>0.4243</v>
      </c>
      <c r="M70" s="213">
        <f>IFERROR(__xludf.DUMMYFUNCTION("""COMPUTED_VALUE"""),12414.0)</f>
        <v>12414</v>
      </c>
      <c r="N70" s="214">
        <f>IFERROR(__xludf.DUMMYFUNCTION("""COMPUTED_VALUE"""),0.3502)</f>
        <v>0.3502</v>
      </c>
      <c r="O70" s="213">
        <f>IFERROR(__xludf.DUMMYFUNCTION("""COMPUTED_VALUE"""),586.0)</f>
        <v>586</v>
      </c>
      <c r="P70" s="213">
        <f>IFERROR(__xludf.DUMMYFUNCTION("""COMPUTED_VALUE"""),541.0)</f>
        <v>541</v>
      </c>
      <c r="Q70" s="214">
        <f>IFERROR(__xludf.DUMMYFUNCTION("""COMPUTED_VALUE"""),0.0153)</f>
        <v>0.0153</v>
      </c>
      <c r="R70" s="214">
        <f>IFERROR(__xludf.DUMMYFUNCTION("""COMPUTED_VALUE"""),0.0436)</f>
        <v>0.0436</v>
      </c>
      <c r="S70" s="270">
        <f>IFERROR(__xludf.DUMMYFUNCTION("""COMPUTED_VALUE"""),0.0)</f>
        <v>0</v>
      </c>
      <c r="T70" s="270">
        <f>IFERROR(__xludf.DUMMYFUNCTION("""COMPUTED_VALUE"""),0.0)</f>
        <v>0</v>
      </c>
      <c r="U70" s="270">
        <f>IFERROR(__xludf.DUMMYFUNCTION("""COMPUTED_VALUE"""),0.0)</f>
        <v>0</v>
      </c>
      <c r="V70" s="101" t="str">
        <f>IFERROR(__xludf.DUMMYFUNCTION("""COMPUTED_VALUE"""),"overall")</f>
        <v>overall</v>
      </c>
      <c r="W70" s="101" t="str">
        <f>IFERROR(__xludf.DUMMYFUNCTION("""COMPUTED_VALUE"""),"simple")</f>
        <v>simple</v>
      </c>
      <c r="X70" s="212" t="str">
        <f>IFERROR(__xludf.DUMMYFUNCTION("""COMPUTED_VALUE"""),"Recent")</f>
        <v>Recent</v>
      </c>
      <c r="Y70" s="212" t="str">
        <f>IFERROR(__xludf.DUMMYFUNCTION("""COMPUTED_VALUE"""),"1st May to 8th May")</f>
        <v>1st May to 8th May</v>
      </c>
      <c r="Z70" s="212" t="str">
        <f>IFERROR(__xludf.DUMMYFUNCTION("""COMPUTED_VALUE"""),"69f1ea7e288a93fdb79a5c1c")</f>
        <v>69f1ea7e288a93fdb79a5c1c</v>
      </c>
      <c r="AA70" s="287">
        <f>IFERROR(__xludf.DUMMYFUNCTION("""COMPUTED_VALUE"""),127.0)</f>
        <v>127</v>
      </c>
      <c r="AB70" s="213">
        <f>IFERROR(__xludf.DUMMYFUNCTION("""COMPUTED_VALUE"""),0.0)</f>
        <v>0</v>
      </c>
      <c r="AC70" s="213">
        <f>IFERROR(__xludf.DUMMYFUNCTION("""COMPUTED_VALUE"""),127.0)</f>
        <v>127</v>
      </c>
      <c r="AD70" s="213">
        <f>IFERROR(__xludf.DUMMYFUNCTION("""COMPUTED_VALUE"""),1678023.0)</f>
        <v>1678023</v>
      </c>
      <c r="AE70" s="213">
        <f>IFERROR(__xludf.DUMMYFUNCTION("""COMPUTED_VALUE"""),0.0)</f>
        <v>0</v>
      </c>
      <c r="AF70" s="213">
        <f>IFERROR(__xludf.DUMMYFUNCTION("""COMPUTED_VALUE"""),1678023.0)</f>
        <v>1678023</v>
      </c>
      <c r="AG70" s="282"/>
      <c r="AH70" s="282"/>
      <c r="AI70" s="282"/>
      <c r="AJ70" s="282"/>
      <c r="AK70" s="282"/>
      <c r="AL70" s="282"/>
      <c r="AM70" s="282"/>
      <c r="AN70" s="282"/>
      <c r="AO70" s="282"/>
      <c r="AP70" s="282"/>
      <c r="AQ70" s="282"/>
      <c r="AR70" s="282"/>
      <c r="AS70" s="282"/>
      <c r="AT70" s="282"/>
      <c r="AU70" s="282"/>
      <c r="AV70" s="282"/>
      <c r="AW70" s="282"/>
      <c r="AX70" s="282"/>
      <c r="AY70" s="282"/>
      <c r="AZ70" s="282"/>
    </row>
    <row r="71">
      <c r="A71" s="209">
        <f>IFERROR(__xludf.DUMMYFUNCTION("""COMPUTED_VALUE"""),46143.0)</f>
        <v>46143</v>
      </c>
      <c r="B71" s="247">
        <f>IFERROR(__xludf.DUMMYFUNCTION("""COMPUTED_VALUE"""),0.4166666666678793)</f>
        <v>0.4166666667</v>
      </c>
      <c r="C71" s="218" t="str">
        <f>IFERROR(__xludf.DUMMYFUNCTION("""COMPUTED_VALUE"""),"Whatsapp")</f>
        <v>Whatsapp</v>
      </c>
      <c r="D71" s="218" t="str">
        <f>IFERROR(__xludf.DUMMYFUNCTION("""COMPUTED_VALUE"""),"Promtional")</f>
        <v>Promtional</v>
      </c>
      <c r="E71" s="218" t="str">
        <f>IFERROR(__xludf.DUMMYFUNCTION("""COMPUTED_VALUE"""),"CK")</f>
        <v>CK</v>
      </c>
      <c r="F71" s="218" t="str">
        <f>IFERROR(__xludf.DUMMYFUNCTION("""COMPUTED_VALUE"""),"Summer's calling - Full Price")</f>
        <v>Summer's calling - Full Price</v>
      </c>
      <c r="G71" s="218" t="str">
        <f>IFERROR(__xludf.DUMMYFUNCTION("""COMPUTED_VALUE"""),"Summer's calling_dormat")</f>
        <v>Summer's calling_dormat</v>
      </c>
      <c r="H71" s="218" t="str">
        <f>IFERROR(__xludf.DUMMYFUNCTION("""COMPUTED_VALUE"""),"ck_onoff_pr_Dormant_6thMarch26, ck_online_dormant_29thapril_2026")</f>
        <v>ck_onoff_pr_Dormant_6thMarch26, ck_online_dormant_29thapril_2026</v>
      </c>
      <c r="I71" s="218" t="str">
        <f>IFERROR(__xludf.DUMMYFUNCTION("""COMPUTED_VALUE"""),"Customers who have purchased in the entire duration and have notpurchased in the last 91 days AND Excluding Event Buyers Segment, Custom data upload (dormant)")</f>
        <v>Customers who have purchased in the entire duration and have notpurchased in the last 91 days AND Excluding Event Buyers Segment, Custom data upload (dormant)</v>
      </c>
      <c r="J71" s="213">
        <f>IFERROR(__xludf.DUMMYFUNCTION("""COMPUTED_VALUE"""),175382.0)</f>
        <v>175382</v>
      </c>
      <c r="K71" s="213">
        <f>IFERROR(__xludf.DUMMYFUNCTION("""COMPUTED_VALUE"""),68567.0)</f>
        <v>68567</v>
      </c>
      <c r="L71" s="214">
        <f>IFERROR(__xludf.DUMMYFUNCTION("""COMPUTED_VALUE"""),0.3909)</f>
        <v>0.3909</v>
      </c>
      <c r="M71" s="213">
        <f>IFERROR(__xludf.DUMMYFUNCTION("""COMPUTED_VALUE"""),22219.0)</f>
        <v>22219</v>
      </c>
      <c r="N71" s="214">
        <f>IFERROR(__xludf.DUMMYFUNCTION("""COMPUTED_VALUE"""),0.3241)</f>
        <v>0.3241</v>
      </c>
      <c r="O71" s="213">
        <f>IFERROR(__xludf.DUMMYFUNCTION("""COMPUTED_VALUE"""),1080.0)</f>
        <v>1080</v>
      </c>
      <c r="P71" s="213">
        <f>IFERROR(__xludf.DUMMYFUNCTION("""COMPUTED_VALUE"""),1021.0)</f>
        <v>1021</v>
      </c>
      <c r="Q71" s="214">
        <f>IFERROR(__xludf.DUMMYFUNCTION("""COMPUTED_VALUE"""),0.0149)</f>
        <v>0.0149</v>
      </c>
      <c r="R71" s="214">
        <f>IFERROR(__xludf.DUMMYFUNCTION("""COMPUTED_VALUE"""),0.046)</f>
        <v>0.046</v>
      </c>
      <c r="S71" s="270">
        <f>IFERROR(__xludf.DUMMYFUNCTION("""COMPUTED_VALUE"""),0.0)</f>
        <v>0</v>
      </c>
      <c r="T71" s="270">
        <f>IFERROR(__xludf.DUMMYFUNCTION("""COMPUTED_VALUE"""),0.0)</f>
        <v>0</v>
      </c>
      <c r="U71" s="270">
        <f>IFERROR(__xludf.DUMMYFUNCTION("""COMPUTED_VALUE"""),0.0)</f>
        <v>0</v>
      </c>
      <c r="V71" s="101" t="str">
        <f>IFERROR(__xludf.DUMMYFUNCTION("""COMPUTED_VALUE"""),"overall")</f>
        <v>overall</v>
      </c>
      <c r="W71" s="101" t="str">
        <f>IFERROR(__xludf.DUMMYFUNCTION("""COMPUTED_VALUE"""),"simple")</f>
        <v>simple</v>
      </c>
      <c r="X71" s="212" t="str">
        <f>IFERROR(__xludf.DUMMYFUNCTION("""COMPUTED_VALUE"""),"Dormant")</f>
        <v>Dormant</v>
      </c>
      <c r="Y71" s="212" t="str">
        <f>IFERROR(__xludf.DUMMYFUNCTION("""COMPUTED_VALUE"""),"1st May to 8th May")</f>
        <v>1st May to 8th May</v>
      </c>
      <c r="Z71" s="212" t="str">
        <f>IFERROR(__xludf.DUMMYFUNCTION("""COMPUTED_VALUE"""),"69f1eace4463aee0c3ed5ef5")</f>
        <v>69f1eace4463aee0c3ed5ef5</v>
      </c>
      <c r="AA71" s="287">
        <f>IFERROR(__xludf.DUMMYFUNCTION("""COMPUTED_VALUE"""),142.0)</f>
        <v>142</v>
      </c>
      <c r="AB71" s="213">
        <f>IFERROR(__xludf.DUMMYFUNCTION("""COMPUTED_VALUE"""),0.0)</f>
        <v>0</v>
      </c>
      <c r="AC71" s="213">
        <f>IFERROR(__xludf.DUMMYFUNCTION("""COMPUTED_VALUE"""),142.0)</f>
        <v>142</v>
      </c>
      <c r="AD71" s="213">
        <f>IFERROR(__xludf.DUMMYFUNCTION("""COMPUTED_VALUE"""),1853011.0)</f>
        <v>1853011</v>
      </c>
      <c r="AE71" s="213">
        <f>IFERROR(__xludf.DUMMYFUNCTION("""COMPUTED_VALUE"""),0.0)</f>
        <v>0</v>
      </c>
      <c r="AF71" s="213">
        <f>IFERROR(__xludf.DUMMYFUNCTION("""COMPUTED_VALUE"""),1853011.0)</f>
        <v>1853011</v>
      </c>
      <c r="AG71" s="282"/>
      <c r="AH71" s="282"/>
      <c r="AI71" s="282"/>
      <c r="AJ71" s="282"/>
      <c r="AK71" s="282"/>
      <c r="AL71" s="282"/>
      <c r="AM71" s="282"/>
      <c r="AN71" s="282"/>
      <c r="AO71" s="282"/>
      <c r="AP71" s="282"/>
      <c r="AQ71" s="282"/>
      <c r="AR71" s="282"/>
      <c r="AS71" s="282"/>
      <c r="AT71" s="282"/>
      <c r="AU71" s="282"/>
      <c r="AV71" s="282"/>
      <c r="AW71" s="282"/>
      <c r="AX71" s="282"/>
      <c r="AY71" s="282"/>
      <c r="AZ71" s="282"/>
    </row>
    <row r="72">
      <c r="A72" s="209">
        <f>IFERROR(__xludf.DUMMYFUNCTION("""COMPUTED_VALUE"""),46143.0)</f>
        <v>46143</v>
      </c>
      <c r="B72" s="247">
        <f>IFERROR(__xludf.DUMMYFUNCTION("""COMPUTED_VALUE"""),0.5)</f>
        <v>0.5</v>
      </c>
      <c r="C72" s="218" t="str">
        <f>IFERROR(__xludf.DUMMYFUNCTION("""COMPUTED_VALUE"""),"Sms")</f>
        <v>Sms</v>
      </c>
      <c r="D72" s="218" t="str">
        <f>IFERROR(__xludf.DUMMYFUNCTION("""COMPUTED_VALUE"""),"Fallback campaign")</f>
        <v>Fallback campaign</v>
      </c>
      <c r="E72" s="218" t="str">
        <f>IFERROR(__xludf.DUMMYFUNCTION("""COMPUTED_VALUE"""),"CK")</f>
        <v>CK</v>
      </c>
      <c r="F72" s="218" t="str">
        <f>IFERROR(__xludf.DUMMYFUNCTION("""COMPUTED_VALUE"""),"Summer's calling - Full Price")</f>
        <v>Summer's calling - Full Price</v>
      </c>
      <c r="G72" s="218" t="str">
        <f>IFERROR(__xludf.DUMMYFUNCTION("""COMPUTED_VALUE"""),"Summer's calling_active_fallback")</f>
        <v>Summer's calling_active_fallback</v>
      </c>
      <c r="H72" s="218" t="str">
        <f>IFERROR(__xludf.DUMMYFUNCTION("""COMPUTED_VALUE"""),"ck_onoff_pr_Recent_6thMarch26, ck_online_active_29thapril_2026")</f>
        <v>ck_onoff_pr_Recent_6thMarch26, ck_online_active_29thapril_2026</v>
      </c>
      <c r="I72" s="218" t="str">
        <f>IFERROR(__xludf.DUMMYFUNCTION("""COMPUTED_VALUE"""),"WA Undelivered")</f>
        <v>WA Undelivered</v>
      </c>
      <c r="J72" s="213">
        <f>IFERROR(__xludf.DUMMYFUNCTION("""COMPUTED_VALUE"""),47047.0)</f>
        <v>47047</v>
      </c>
      <c r="K72" s="213">
        <f>IFERROR(__xludf.DUMMYFUNCTION("""COMPUTED_VALUE"""),26629.0)</f>
        <v>26629</v>
      </c>
      <c r="L72" s="214">
        <f>IFERROR(__xludf.DUMMYFUNCTION("""COMPUTED_VALUE"""),0.566)</f>
        <v>0.566</v>
      </c>
      <c r="M72" s="213">
        <f>IFERROR(__xludf.DUMMYFUNCTION("""COMPUTED_VALUE"""),0.0)</f>
        <v>0</v>
      </c>
      <c r="N72" s="214">
        <f>IFERROR(__xludf.DUMMYFUNCTION("""COMPUTED_VALUE"""),0.0)</f>
        <v>0</v>
      </c>
      <c r="O72" s="213">
        <f>IFERROR(__xludf.DUMMYFUNCTION("""COMPUTED_VALUE"""),0.0)</f>
        <v>0</v>
      </c>
      <c r="P72" s="213">
        <f>IFERROR(__xludf.DUMMYFUNCTION("""COMPUTED_VALUE"""),0.0)</f>
        <v>0</v>
      </c>
      <c r="Q72" s="214">
        <f>IFERROR(__xludf.DUMMYFUNCTION("""COMPUTED_VALUE"""),0.0)</f>
        <v>0</v>
      </c>
      <c r="R72" s="214">
        <f>IFERROR(__xludf.DUMMYFUNCTION("""COMPUTED_VALUE"""),0.0)</f>
        <v>0</v>
      </c>
      <c r="S72" s="270">
        <f>IFERROR(__xludf.DUMMYFUNCTION("""COMPUTED_VALUE"""),0.0)</f>
        <v>0</v>
      </c>
      <c r="T72" s="270">
        <f>IFERROR(__xludf.DUMMYFUNCTION("""COMPUTED_VALUE"""),0.0)</f>
        <v>0</v>
      </c>
      <c r="U72" s="270">
        <f>IFERROR(__xludf.DUMMYFUNCTION("""COMPUTED_VALUE"""),0.0)</f>
        <v>0</v>
      </c>
      <c r="V72" s="101" t="str">
        <f>IFERROR(__xludf.DUMMYFUNCTION("""COMPUTED_VALUE"""),"overall")</f>
        <v>overall</v>
      </c>
      <c r="W72" s="101" t="str">
        <f>IFERROR(__xludf.DUMMYFUNCTION("""COMPUTED_VALUE"""),"sms")</f>
        <v>sms</v>
      </c>
      <c r="X72" s="212" t="str">
        <f>IFERROR(__xludf.DUMMYFUNCTION("""COMPUTED_VALUE"""),"Recent")</f>
        <v>Recent</v>
      </c>
      <c r="Y72" s="212" t="str">
        <f>IFERROR(__xludf.DUMMYFUNCTION("""COMPUTED_VALUE"""),"1st May to 8th May")</f>
        <v>1st May to 8th May</v>
      </c>
      <c r="Z72" s="212" t="str">
        <f>IFERROR(__xludf.DUMMYFUNCTION("""COMPUTED_VALUE"""),"69f1eb591de42d766da654cd")</f>
        <v>69f1eb591de42d766da654cd</v>
      </c>
      <c r="AA72" s="287">
        <f>IFERROR(__xludf.DUMMYFUNCTION("""COMPUTED_VALUE"""),81.0)</f>
        <v>81</v>
      </c>
      <c r="AB72" s="213">
        <f>IFERROR(__xludf.DUMMYFUNCTION("""COMPUTED_VALUE"""),0.0)</f>
        <v>0</v>
      </c>
      <c r="AC72" s="213">
        <f>IFERROR(__xludf.DUMMYFUNCTION("""COMPUTED_VALUE"""),81.0)</f>
        <v>81</v>
      </c>
      <c r="AD72" s="213">
        <f>IFERROR(__xludf.DUMMYFUNCTION("""COMPUTED_VALUE"""),962602.0)</f>
        <v>962602</v>
      </c>
      <c r="AE72" s="213">
        <f>IFERROR(__xludf.DUMMYFUNCTION("""COMPUTED_VALUE"""),0.0)</f>
        <v>0</v>
      </c>
      <c r="AF72" s="213">
        <f>IFERROR(__xludf.DUMMYFUNCTION("""COMPUTED_VALUE"""),962602.0)</f>
        <v>962602</v>
      </c>
      <c r="AG72" s="282"/>
      <c r="AH72" s="282"/>
      <c r="AI72" s="282"/>
      <c r="AJ72" s="282"/>
      <c r="AK72" s="282"/>
      <c r="AL72" s="282"/>
      <c r="AM72" s="282"/>
      <c r="AN72" s="282"/>
      <c r="AO72" s="282"/>
      <c r="AP72" s="282"/>
      <c r="AQ72" s="282"/>
      <c r="AR72" s="282"/>
      <c r="AS72" s="282"/>
      <c r="AT72" s="282"/>
      <c r="AU72" s="282"/>
      <c r="AV72" s="282"/>
      <c r="AW72" s="282"/>
      <c r="AX72" s="282"/>
      <c r="AY72" s="282"/>
      <c r="AZ72" s="282"/>
    </row>
    <row r="73">
      <c r="A73" s="209">
        <f>IFERROR(__xludf.DUMMYFUNCTION("""COMPUTED_VALUE"""),46143.0)</f>
        <v>46143</v>
      </c>
      <c r="B73" s="247">
        <f>IFERROR(__xludf.DUMMYFUNCTION("""COMPUTED_VALUE"""),0.5)</f>
        <v>0.5</v>
      </c>
      <c r="C73" s="218" t="str">
        <f>IFERROR(__xludf.DUMMYFUNCTION("""COMPUTED_VALUE"""),"Sms")</f>
        <v>Sms</v>
      </c>
      <c r="D73" s="218" t="str">
        <f>IFERROR(__xludf.DUMMYFUNCTION("""COMPUTED_VALUE"""),"Fallback campaign")</f>
        <v>Fallback campaign</v>
      </c>
      <c r="E73" s="218" t="str">
        <f>IFERROR(__xludf.DUMMYFUNCTION("""COMPUTED_VALUE"""),"CK")</f>
        <v>CK</v>
      </c>
      <c r="F73" s="218" t="str">
        <f>IFERROR(__xludf.DUMMYFUNCTION("""COMPUTED_VALUE"""),"Summer's calling - Full Price")</f>
        <v>Summer's calling - Full Price</v>
      </c>
      <c r="G73" s="218" t="str">
        <f>IFERROR(__xludf.DUMMYFUNCTION("""COMPUTED_VALUE"""),"Summer's calling_dormat_fallback")</f>
        <v>Summer's calling_dormat_fallback</v>
      </c>
      <c r="H73" s="218" t="str">
        <f>IFERROR(__xludf.DUMMYFUNCTION("""COMPUTED_VALUE"""),"ck_onoff_pr_Dormant_6thMarch26, ck_online_dormant_29thapril_2026")</f>
        <v>ck_onoff_pr_Dormant_6thMarch26, ck_online_dormant_29thapril_2026</v>
      </c>
      <c r="I73" s="218" t="str">
        <f>IFERROR(__xludf.DUMMYFUNCTION("""COMPUTED_VALUE"""),"WA Undelivered")</f>
        <v>WA Undelivered</v>
      </c>
      <c r="J73" s="213">
        <f>IFERROR(__xludf.DUMMYFUNCTION("""COMPUTED_VALUE"""),103969.0)</f>
        <v>103969</v>
      </c>
      <c r="K73" s="213">
        <f>IFERROR(__xludf.DUMMYFUNCTION("""COMPUTED_VALUE"""),57759.0)</f>
        <v>57759</v>
      </c>
      <c r="L73" s="214">
        <f>IFERROR(__xludf.DUMMYFUNCTION("""COMPUTED_VALUE"""),0.5555)</f>
        <v>0.5555</v>
      </c>
      <c r="M73" s="213">
        <f>IFERROR(__xludf.DUMMYFUNCTION("""COMPUTED_VALUE"""),0.0)</f>
        <v>0</v>
      </c>
      <c r="N73" s="214">
        <f>IFERROR(__xludf.DUMMYFUNCTION("""COMPUTED_VALUE"""),0.0)</f>
        <v>0</v>
      </c>
      <c r="O73" s="213">
        <f>IFERROR(__xludf.DUMMYFUNCTION("""COMPUTED_VALUE"""),0.0)</f>
        <v>0</v>
      </c>
      <c r="P73" s="213">
        <f>IFERROR(__xludf.DUMMYFUNCTION("""COMPUTED_VALUE"""),0.0)</f>
        <v>0</v>
      </c>
      <c r="Q73" s="214">
        <f>IFERROR(__xludf.DUMMYFUNCTION("""COMPUTED_VALUE"""),0.0)</f>
        <v>0</v>
      </c>
      <c r="R73" s="214">
        <f>IFERROR(__xludf.DUMMYFUNCTION("""COMPUTED_VALUE"""),0.0)</f>
        <v>0</v>
      </c>
      <c r="S73" s="270">
        <f>IFERROR(__xludf.DUMMYFUNCTION("""COMPUTED_VALUE"""),0.0)</f>
        <v>0</v>
      </c>
      <c r="T73" s="270">
        <f>IFERROR(__xludf.DUMMYFUNCTION("""COMPUTED_VALUE"""),0.0)</f>
        <v>0</v>
      </c>
      <c r="U73" s="270">
        <f>IFERROR(__xludf.DUMMYFUNCTION("""COMPUTED_VALUE"""),0.0)</f>
        <v>0</v>
      </c>
      <c r="V73" s="101" t="str">
        <f>IFERROR(__xludf.DUMMYFUNCTION("""COMPUTED_VALUE"""),"overall")</f>
        <v>overall</v>
      </c>
      <c r="W73" s="101" t="str">
        <f>IFERROR(__xludf.DUMMYFUNCTION("""COMPUTED_VALUE"""),"sms")</f>
        <v>sms</v>
      </c>
      <c r="X73" s="212" t="str">
        <f>IFERROR(__xludf.DUMMYFUNCTION("""COMPUTED_VALUE"""),"Dormant")</f>
        <v>Dormant</v>
      </c>
      <c r="Y73" s="212" t="str">
        <f>IFERROR(__xludf.DUMMYFUNCTION("""COMPUTED_VALUE"""),"1st May to 8th May")</f>
        <v>1st May to 8th May</v>
      </c>
      <c r="Z73" s="212" t="str">
        <f>IFERROR(__xludf.DUMMYFUNCTION("""COMPUTED_VALUE"""),"69f1eb86721f5844bd8620ee")</f>
        <v>69f1eb86721f5844bd8620ee</v>
      </c>
      <c r="AA73" s="287">
        <f>IFERROR(__xludf.DUMMYFUNCTION("""COMPUTED_VALUE"""),136.0)</f>
        <v>136</v>
      </c>
      <c r="AB73" s="213">
        <f>IFERROR(__xludf.DUMMYFUNCTION("""COMPUTED_VALUE"""),0.0)</f>
        <v>0</v>
      </c>
      <c r="AC73" s="213">
        <f>IFERROR(__xludf.DUMMYFUNCTION("""COMPUTED_VALUE"""),136.0)</f>
        <v>136</v>
      </c>
      <c r="AD73" s="213">
        <f>IFERROR(__xludf.DUMMYFUNCTION("""COMPUTED_VALUE"""),1822917.0)</f>
        <v>1822917</v>
      </c>
      <c r="AE73" s="213">
        <f>IFERROR(__xludf.DUMMYFUNCTION("""COMPUTED_VALUE"""),0.0)</f>
        <v>0</v>
      </c>
      <c r="AF73" s="213">
        <f>IFERROR(__xludf.DUMMYFUNCTION("""COMPUTED_VALUE"""),1822917.0)</f>
        <v>1822917</v>
      </c>
      <c r="AG73" s="282"/>
      <c r="AH73" s="282"/>
      <c r="AI73" s="282"/>
      <c r="AJ73" s="282"/>
      <c r="AK73" s="282"/>
      <c r="AL73" s="282"/>
      <c r="AM73" s="282"/>
      <c r="AN73" s="282"/>
      <c r="AO73" s="282"/>
      <c r="AP73" s="282"/>
      <c r="AQ73" s="282"/>
      <c r="AR73" s="282"/>
      <c r="AS73" s="282"/>
      <c r="AT73" s="282"/>
      <c r="AU73" s="282"/>
      <c r="AV73" s="282"/>
      <c r="AW73" s="282"/>
      <c r="AX73" s="282"/>
      <c r="AY73" s="282"/>
      <c r="AZ73" s="282"/>
    </row>
    <row r="74">
      <c r="A74" s="209">
        <f>IFERROR(__xludf.DUMMYFUNCTION("""COMPUTED_VALUE"""),46158.0)</f>
        <v>46158</v>
      </c>
      <c r="B74" s="247">
        <f>IFERROR(__xludf.DUMMYFUNCTION("""COMPUTED_VALUE"""),0.4166666666678793)</f>
        <v>0.4166666667</v>
      </c>
      <c r="C74" s="218" t="str">
        <f>IFERROR(__xludf.DUMMYFUNCTION("""COMPUTED_VALUE"""),"Whatsapp")</f>
        <v>Whatsapp</v>
      </c>
      <c r="D74" s="218" t="str">
        <f>IFERROR(__xludf.DUMMYFUNCTION("""COMPUTED_VALUE"""),"Promtional")</f>
        <v>Promtional</v>
      </c>
      <c r="E74" s="218" t="str">
        <f>IFERROR(__xludf.DUMMYFUNCTION("""COMPUTED_VALUE"""),"CK")</f>
        <v>CK</v>
      </c>
      <c r="F74" s="218" t="str">
        <f>IFERROR(__xludf.DUMMYFUNCTION("""COMPUTED_VALUE"""),"Inrobit store opening - Full price")</f>
        <v>Inrobit store opening - Full price</v>
      </c>
      <c r="G74" s="218" t="str">
        <f>IFERROR(__xludf.DUMMYFUNCTION("""COMPUTED_VALUE"""),"New store opening_inorbit Mall")</f>
        <v>New store opening_inorbit Mall</v>
      </c>
      <c r="H74" s="218" t="str">
        <f>IFERROR(__xludf.DUMMYFUNCTION("""COMPUTED_VALUE"""),"CK_InfinityMallMalad_Off")</f>
        <v>CK_InfinityMallMalad_Off</v>
      </c>
      <c r="I74" s="218" t="str">
        <f>IFERROR(__xludf.DUMMYFUNCTION("""COMPUTED_VALUE"""),"All customer who shopped at Infiniti Mall, Malad")</f>
        <v>All customer who shopped at Infiniti Mall, Malad</v>
      </c>
      <c r="J74" s="213">
        <f>IFERROR(__xludf.DUMMYFUNCTION("""COMPUTED_VALUE"""),5816.0)</f>
        <v>5816</v>
      </c>
      <c r="K74" s="213">
        <f>IFERROR(__xludf.DUMMYFUNCTION("""COMPUTED_VALUE"""),2099.0)</f>
        <v>2099</v>
      </c>
      <c r="L74" s="214">
        <f>IFERROR(__xludf.DUMMYFUNCTION("""COMPUTED_VALUE"""),0.3609)</f>
        <v>0.3609</v>
      </c>
      <c r="M74" s="213">
        <f>IFERROR(__xludf.DUMMYFUNCTION("""COMPUTED_VALUE"""),824.0)</f>
        <v>824</v>
      </c>
      <c r="N74" s="214">
        <f>IFERROR(__xludf.DUMMYFUNCTION("""COMPUTED_VALUE"""),0.3926)</f>
        <v>0.3926</v>
      </c>
      <c r="O74" s="213">
        <f>IFERROR(__xludf.DUMMYFUNCTION("""COMPUTED_VALUE"""),102.0)</f>
        <v>102</v>
      </c>
      <c r="P74" s="213">
        <f>IFERROR(__xludf.DUMMYFUNCTION("""COMPUTED_VALUE"""),98.0)</f>
        <v>98</v>
      </c>
      <c r="Q74" s="214">
        <f>IFERROR(__xludf.DUMMYFUNCTION("""COMPUTED_VALUE"""),0.0467)</f>
        <v>0.0467</v>
      </c>
      <c r="R74" s="214">
        <f>IFERROR(__xludf.DUMMYFUNCTION("""COMPUTED_VALUE"""),0.1189)</f>
        <v>0.1189</v>
      </c>
      <c r="S74" s="270"/>
      <c r="T74" s="270"/>
      <c r="U74" s="270"/>
      <c r="V74" s="101" t="str">
        <f>IFERROR(__xludf.DUMMYFUNCTION("""COMPUTED_VALUE"""),"offline")</f>
        <v>offline</v>
      </c>
      <c r="W74" s="101" t="str">
        <f>IFERROR(__xludf.DUMMYFUNCTION("""COMPUTED_VALUE"""),"simple")</f>
        <v>simple</v>
      </c>
      <c r="X74" s="212" t="str">
        <f>IFERROR(__xludf.DUMMYFUNCTION("""COMPUTED_VALUE"""),"No Brief")</f>
        <v>No Brief</v>
      </c>
      <c r="Y74" s="212" t="str">
        <f>IFERROR(__xludf.DUMMYFUNCTION("""COMPUTED_VALUE"""),"16th - 23rd May")</f>
        <v>16th - 23rd May</v>
      </c>
      <c r="Z74" s="212" t="str">
        <f>IFERROR(__xludf.DUMMYFUNCTION("""COMPUTED_VALUE"""),"6a070a674207a5dda24436e8")</f>
        <v>6a070a674207a5dda24436e8</v>
      </c>
      <c r="AA74" s="287">
        <f>IFERROR(__xludf.DUMMYFUNCTION("""COMPUTED_VALUE"""),6.0)</f>
        <v>6</v>
      </c>
      <c r="AB74" s="213"/>
      <c r="AC74" s="213">
        <f>IFERROR(__xludf.DUMMYFUNCTION("""COMPUTED_VALUE"""),6.0)</f>
        <v>6</v>
      </c>
      <c r="AD74" s="213">
        <f>IFERROR(__xludf.DUMMYFUNCTION("""COMPUTED_VALUE"""),163484.0)</f>
        <v>163484</v>
      </c>
      <c r="AE74" s="213"/>
      <c r="AF74" s="213">
        <f>IFERROR(__xludf.DUMMYFUNCTION("""COMPUTED_VALUE"""),163484.0)</f>
        <v>163484</v>
      </c>
      <c r="AG74" s="282"/>
      <c r="AH74" s="282"/>
      <c r="AI74" s="282"/>
      <c r="AJ74" s="282"/>
      <c r="AK74" s="282"/>
      <c r="AL74" s="282"/>
      <c r="AM74" s="282"/>
      <c r="AN74" s="282"/>
      <c r="AO74" s="282"/>
      <c r="AP74" s="282"/>
      <c r="AQ74" s="282"/>
      <c r="AR74" s="282"/>
      <c r="AS74" s="282"/>
      <c r="AT74" s="282"/>
      <c r="AU74" s="282"/>
      <c r="AV74" s="282"/>
      <c r="AW74" s="282"/>
      <c r="AX74" s="282"/>
      <c r="AY74" s="282"/>
      <c r="AZ74" s="282"/>
    </row>
    <row r="75">
      <c r="A75" s="209">
        <f>IFERROR(__xludf.DUMMYFUNCTION("""COMPUTED_VALUE"""),46158.0)</f>
        <v>46158</v>
      </c>
      <c r="B75" s="247">
        <f>IFERROR(__xludf.DUMMYFUNCTION("""COMPUTED_VALUE"""),0.4166666666678793)</f>
        <v>0.4166666667</v>
      </c>
      <c r="C75" s="218" t="str">
        <f>IFERROR(__xludf.DUMMYFUNCTION("""COMPUTED_VALUE"""),"Whatsapp")</f>
        <v>Whatsapp</v>
      </c>
      <c r="D75" s="218" t="str">
        <f>IFERROR(__xludf.DUMMYFUNCTION("""COMPUTED_VALUE"""),"Promtional")</f>
        <v>Promtional</v>
      </c>
      <c r="E75" s="218" t="str">
        <f>IFERROR(__xludf.DUMMYFUNCTION("""COMPUTED_VALUE"""),"CK")</f>
        <v>CK</v>
      </c>
      <c r="F75" s="218" t="str">
        <f>IFERROR(__xludf.DUMMYFUNCTION("""COMPUTED_VALUE"""),"Crusin By communication_active - Full price")</f>
        <v>Crusin By communication_active - Full price</v>
      </c>
      <c r="G75" s="218" t="str">
        <f>IFERROR(__xludf.DUMMYFUNCTION("""COMPUTED_VALUE"""),"New collection_active")</f>
        <v>New collection_active</v>
      </c>
      <c r="H75" s="218" t="str">
        <f>IFERROR(__xludf.DUMMYFUNCTION("""COMPUTED_VALUE"""),"CK_Recent_Above10999_Off, ck_online_active_29thapril_2026")</f>
        <v>CK_Recent_Above10999_Off, ck_online_active_29thapril_2026</v>
      </c>
      <c r="I75" s="218" t="str">
        <f>IFERROR(__xludf.DUMMYFUNCTION("""COMPUTED_VALUE"""),"All customers who shopped above 10,999 in last 90 days (active), Custom data upload (active)")</f>
        <v>All customers who shopped above 10,999 in last 90 days (active), Custom data upload (active)</v>
      </c>
      <c r="J75" s="213">
        <f>IFERROR(__xludf.DUMMYFUNCTION("""COMPUTED_VALUE"""),74420.0)</f>
        <v>74420</v>
      </c>
      <c r="K75" s="213">
        <f>IFERROR(__xludf.DUMMYFUNCTION("""COMPUTED_VALUE"""),26911.0)</f>
        <v>26911</v>
      </c>
      <c r="L75" s="214">
        <f>IFERROR(__xludf.DUMMYFUNCTION("""COMPUTED_VALUE"""),0.3616)</f>
        <v>0.3616</v>
      </c>
      <c r="M75" s="213">
        <f>IFERROR(__xludf.DUMMYFUNCTION("""COMPUTED_VALUE"""),9226.0)</f>
        <v>9226</v>
      </c>
      <c r="N75" s="214">
        <f>IFERROR(__xludf.DUMMYFUNCTION("""COMPUTED_VALUE"""),0.3429)</f>
        <v>0.3429</v>
      </c>
      <c r="O75" s="213">
        <f>IFERROR(__xludf.DUMMYFUNCTION("""COMPUTED_VALUE"""),396.0)</f>
        <v>396</v>
      </c>
      <c r="P75" s="213">
        <f>IFERROR(__xludf.DUMMYFUNCTION("""COMPUTED_VALUE"""),381.0)</f>
        <v>381</v>
      </c>
      <c r="Q75" s="214">
        <f>IFERROR(__xludf.DUMMYFUNCTION("""COMPUTED_VALUE"""),0.0142)</f>
        <v>0.0142</v>
      </c>
      <c r="R75" s="214">
        <f>IFERROR(__xludf.DUMMYFUNCTION("""COMPUTED_VALUE"""),0.0413)</f>
        <v>0.0413</v>
      </c>
      <c r="S75" s="270"/>
      <c r="T75" s="270"/>
      <c r="U75" s="270"/>
      <c r="V75" s="101" t="str">
        <f>IFERROR(__xludf.DUMMYFUNCTION("""COMPUTED_VALUE"""),"overall")</f>
        <v>overall</v>
      </c>
      <c r="W75" s="101" t="str">
        <f>IFERROR(__xludf.DUMMYFUNCTION("""COMPUTED_VALUE"""),"simple")</f>
        <v>simple</v>
      </c>
      <c r="X75" s="212" t="str">
        <f>IFERROR(__xludf.DUMMYFUNCTION("""COMPUTED_VALUE"""),"No Brief")</f>
        <v>No Brief</v>
      </c>
      <c r="Y75" s="212" t="str">
        <f>IFERROR(__xludf.DUMMYFUNCTION("""COMPUTED_VALUE"""),"16th - 23rd May")</f>
        <v>16th - 23rd May</v>
      </c>
      <c r="Z75" s="212" t="str">
        <f>IFERROR(__xludf.DUMMYFUNCTION("""COMPUTED_VALUE"""),"6a070ad229d1e921c9a0a707")</f>
        <v>6a070ad229d1e921c9a0a707</v>
      </c>
      <c r="AA75" s="287">
        <f>IFERROR(__xludf.DUMMYFUNCTION("""COMPUTED_VALUE"""),62.0)</f>
        <v>62</v>
      </c>
      <c r="AB75" s="213">
        <f>IFERROR(__xludf.DUMMYFUNCTION("""COMPUTED_VALUE"""),0.0)</f>
        <v>0</v>
      </c>
      <c r="AC75" s="213">
        <f>IFERROR(__xludf.DUMMYFUNCTION("""COMPUTED_VALUE"""),62.0)</f>
        <v>62</v>
      </c>
      <c r="AD75" s="213">
        <f>IFERROR(__xludf.DUMMYFUNCTION("""COMPUTED_VALUE"""),849117.0)</f>
        <v>849117</v>
      </c>
      <c r="AE75" s="213">
        <f>IFERROR(__xludf.DUMMYFUNCTION("""COMPUTED_VALUE"""),0.0)</f>
        <v>0</v>
      </c>
      <c r="AF75" s="213">
        <f>IFERROR(__xludf.DUMMYFUNCTION("""COMPUTED_VALUE"""),849117.0)</f>
        <v>849117</v>
      </c>
      <c r="AG75" s="282"/>
      <c r="AH75" s="282"/>
      <c r="AI75" s="282"/>
      <c r="AJ75" s="282"/>
      <c r="AK75" s="282"/>
      <c r="AL75" s="282"/>
      <c r="AM75" s="282"/>
      <c r="AN75" s="282"/>
      <c r="AO75" s="282"/>
      <c r="AP75" s="282"/>
      <c r="AQ75" s="282"/>
      <c r="AR75" s="282"/>
      <c r="AS75" s="282"/>
      <c r="AT75" s="282"/>
      <c r="AU75" s="282"/>
      <c r="AV75" s="282"/>
      <c r="AW75" s="282"/>
      <c r="AX75" s="282"/>
      <c r="AY75" s="282"/>
      <c r="AZ75" s="282"/>
    </row>
    <row r="76">
      <c r="A76" s="209">
        <f>IFERROR(__xludf.DUMMYFUNCTION("""COMPUTED_VALUE"""),46158.0)</f>
        <v>46158</v>
      </c>
      <c r="B76" s="247">
        <f>IFERROR(__xludf.DUMMYFUNCTION("""COMPUTED_VALUE"""),0.4166666666678793)</f>
        <v>0.4166666667</v>
      </c>
      <c r="C76" s="218" t="str">
        <f>IFERROR(__xludf.DUMMYFUNCTION("""COMPUTED_VALUE"""),"Whatsapp")</f>
        <v>Whatsapp</v>
      </c>
      <c r="D76" s="218" t="str">
        <f>IFERROR(__xludf.DUMMYFUNCTION("""COMPUTED_VALUE"""),"Promtional")</f>
        <v>Promtional</v>
      </c>
      <c r="E76" s="218" t="str">
        <f>IFERROR(__xludf.DUMMYFUNCTION("""COMPUTED_VALUE"""),"CK")</f>
        <v>CK</v>
      </c>
      <c r="F76" s="218" t="str">
        <f>IFERROR(__xludf.DUMMYFUNCTION("""COMPUTED_VALUE"""),"Crusin By communication_dormant - Full price")</f>
        <v>Crusin By communication_dormant - Full price</v>
      </c>
      <c r="G76" s="218" t="str">
        <f>IFERROR(__xludf.DUMMYFUNCTION("""COMPUTED_VALUE"""),"New collection_dormant")</f>
        <v>New collection_dormant</v>
      </c>
      <c r="H76" s="218" t="str">
        <f>IFERROR(__xludf.DUMMYFUNCTION("""COMPUTED_VALUE"""),"CK_Dormant_Above10999_Off, ck_online_dormant_29thapril_2026")</f>
        <v>CK_Dormant_Above10999_Off, ck_online_dormant_29thapril_2026</v>
      </c>
      <c r="I76" s="218" t="str">
        <f>IFERROR(__xludf.DUMMYFUNCTION("""COMPUTED_VALUE"""),"All customers who shopped above 10,999 in before 90 days (dormant), Custom data upload (dormant)")</f>
        <v>All customers who shopped above 10,999 in before 90 days (dormant), Custom data upload (dormant)</v>
      </c>
      <c r="J76" s="213">
        <f>IFERROR(__xludf.DUMMYFUNCTION("""COMPUTED_VALUE"""),142490.0)</f>
        <v>142490</v>
      </c>
      <c r="K76" s="213">
        <f>IFERROR(__xludf.DUMMYFUNCTION("""COMPUTED_VALUE"""),49069.0)</f>
        <v>49069</v>
      </c>
      <c r="L76" s="214">
        <f>IFERROR(__xludf.DUMMYFUNCTION("""COMPUTED_VALUE"""),0.3444)</f>
        <v>0.3444</v>
      </c>
      <c r="M76" s="213">
        <f>IFERROR(__xludf.DUMMYFUNCTION("""COMPUTED_VALUE"""),16048.0)</f>
        <v>16048</v>
      </c>
      <c r="N76" s="214">
        <f>IFERROR(__xludf.DUMMYFUNCTION("""COMPUTED_VALUE"""),0.3271)</f>
        <v>0.3271</v>
      </c>
      <c r="O76" s="213">
        <f>IFERROR(__xludf.DUMMYFUNCTION("""COMPUTED_VALUE"""),800.0)</f>
        <v>800</v>
      </c>
      <c r="P76" s="213">
        <f>IFERROR(__xludf.DUMMYFUNCTION("""COMPUTED_VALUE"""),763.0)</f>
        <v>763</v>
      </c>
      <c r="Q76" s="214">
        <f>IFERROR(__xludf.DUMMYFUNCTION("""COMPUTED_VALUE"""),0.0155)</f>
        <v>0.0155</v>
      </c>
      <c r="R76" s="214">
        <f>IFERROR(__xludf.DUMMYFUNCTION("""COMPUTED_VALUE"""),0.0475)</f>
        <v>0.0475</v>
      </c>
      <c r="S76" s="270"/>
      <c r="T76" s="270"/>
      <c r="U76" s="270"/>
      <c r="V76" s="101" t="str">
        <f>IFERROR(__xludf.DUMMYFUNCTION("""COMPUTED_VALUE"""),"overall")</f>
        <v>overall</v>
      </c>
      <c r="W76" s="101" t="str">
        <f>IFERROR(__xludf.DUMMYFUNCTION("""COMPUTED_VALUE"""),"simple")</f>
        <v>simple</v>
      </c>
      <c r="X76" s="212" t="str">
        <f>IFERROR(__xludf.DUMMYFUNCTION("""COMPUTED_VALUE"""),"No Brief")</f>
        <v>No Brief</v>
      </c>
      <c r="Y76" s="212" t="str">
        <f>IFERROR(__xludf.DUMMYFUNCTION("""COMPUTED_VALUE"""),"16th - 23rd May")</f>
        <v>16th - 23rd May</v>
      </c>
      <c r="Z76" s="212" t="str">
        <f>IFERROR(__xludf.DUMMYFUNCTION("""COMPUTED_VALUE"""),"6a070b4f15b0bc92aa0554c9")</f>
        <v>6a070b4f15b0bc92aa0554c9</v>
      </c>
      <c r="AA76" s="287">
        <f>IFERROR(__xludf.DUMMYFUNCTION("""COMPUTED_VALUE"""),132.0)</f>
        <v>132</v>
      </c>
      <c r="AB76" s="213">
        <f>IFERROR(__xludf.DUMMYFUNCTION("""COMPUTED_VALUE"""),0.0)</f>
        <v>0</v>
      </c>
      <c r="AC76" s="213">
        <f>IFERROR(__xludf.DUMMYFUNCTION("""COMPUTED_VALUE"""),132.0)</f>
        <v>132</v>
      </c>
      <c r="AD76" s="213">
        <f>IFERROR(__xludf.DUMMYFUNCTION("""COMPUTED_VALUE"""),1794526.0)</f>
        <v>1794526</v>
      </c>
      <c r="AE76" s="213">
        <f>IFERROR(__xludf.DUMMYFUNCTION("""COMPUTED_VALUE"""),0.0)</f>
        <v>0</v>
      </c>
      <c r="AF76" s="213">
        <f>IFERROR(__xludf.DUMMYFUNCTION("""COMPUTED_VALUE"""),1794526.0)</f>
        <v>1794526</v>
      </c>
      <c r="AG76" s="282"/>
      <c r="AH76" s="282"/>
      <c r="AI76" s="282"/>
      <c r="AJ76" s="282"/>
      <c r="AK76" s="282"/>
      <c r="AL76" s="282"/>
      <c r="AM76" s="282"/>
      <c r="AN76" s="282"/>
      <c r="AO76" s="282"/>
      <c r="AP76" s="282"/>
      <c r="AQ76" s="282"/>
      <c r="AR76" s="282"/>
      <c r="AS76" s="282"/>
      <c r="AT76" s="282"/>
      <c r="AU76" s="282"/>
      <c r="AV76" s="282"/>
      <c r="AW76" s="282"/>
      <c r="AX76" s="282"/>
      <c r="AY76" s="282"/>
      <c r="AZ76" s="282"/>
    </row>
    <row r="77">
      <c r="A77" s="209">
        <f>IFERROR(__xludf.DUMMYFUNCTION("""COMPUTED_VALUE"""),46158.0)</f>
        <v>46158</v>
      </c>
      <c r="B77" s="247">
        <f>IFERROR(__xludf.DUMMYFUNCTION("""COMPUTED_VALUE"""),0.5)</f>
        <v>0.5</v>
      </c>
      <c r="C77" s="218" t="str">
        <f>IFERROR(__xludf.DUMMYFUNCTION("""COMPUTED_VALUE"""),"Sms")</f>
        <v>Sms</v>
      </c>
      <c r="D77" s="218" t="str">
        <f>IFERROR(__xludf.DUMMYFUNCTION("""COMPUTED_VALUE"""),"Fallback campaign")</f>
        <v>Fallback campaign</v>
      </c>
      <c r="E77" s="218" t="str">
        <f>IFERROR(__xludf.DUMMYFUNCTION("""COMPUTED_VALUE"""),"CK")</f>
        <v>CK</v>
      </c>
      <c r="F77" s="218" t="str">
        <f>IFERROR(__xludf.DUMMYFUNCTION("""COMPUTED_VALUE"""),"Inrobit store opening - Full price")</f>
        <v>Inrobit store opening - Full price</v>
      </c>
      <c r="G77" s="218" t="str">
        <f>IFERROR(__xludf.DUMMYFUNCTION("""COMPUTED_VALUE"""),"New store opening_inorbit Mall_fallback")</f>
        <v>New store opening_inorbit Mall_fallback</v>
      </c>
      <c r="H77" s="218" t="str">
        <f>IFERROR(__xludf.DUMMYFUNCTION("""COMPUTED_VALUE"""),"CK_InfinityMallMalad_Off")</f>
        <v>CK_InfinityMallMalad_Off</v>
      </c>
      <c r="I77" s="218" t="str">
        <f>IFERROR(__xludf.DUMMYFUNCTION("""COMPUTED_VALUE"""),"WA Undelivered")</f>
        <v>WA Undelivered</v>
      </c>
      <c r="J77" s="213">
        <f>IFERROR(__xludf.DUMMYFUNCTION("""COMPUTED_VALUE"""),3629.0)</f>
        <v>3629</v>
      </c>
      <c r="K77" s="213">
        <f>IFERROR(__xludf.DUMMYFUNCTION("""COMPUTED_VALUE"""),1870.0)</f>
        <v>1870</v>
      </c>
      <c r="L77" s="214">
        <f>IFERROR(__xludf.DUMMYFUNCTION("""COMPUTED_VALUE"""),0.5153)</f>
        <v>0.5153</v>
      </c>
      <c r="M77" s="213">
        <f>IFERROR(__xludf.DUMMYFUNCTION("""COMPUTED_VALUE"""),0.0)</f>
        <v>0</v>
      </c>
      <c r="N77" s="214">
        <f>IFERROR(__xludf.DUMMYFUNCTION("""COMPUTED_VALUE"""),0.0)</f>
        <v>0</v>
      </c>
      <c r="O77" s="213">
        <f>IFERROR(__xludf.DUMMYFUNCTION("""COMPUTED_VALUE"""),0.0)</f>
        <v>0</v>
      </c>
      <c r="P77" s="213">
        <f>IFERROR(__xludf.DUMMYFUNCTION("""COMPUTED_VALUE"""),0.0)</f>
        <v>0</v>
      </c>
      <c r="Q77" s="214">
        <f>IFERROR(__xludf.DUMMYFUNCTION("""COMPUTED_VALUE"""),0.0)</f>
        <v>0</v>
      </c>
      <c r="R77" s="214">
        <f>IFERROR(__xludf.DUMMYFUNCTION("""COMPUTED_VALUE"""),0.0)</f>
        <v>0</v>
      </c>
      <c r="S77" s="270"/>
      <c r="T77" s="270"/>
      <c r="U77" s="270"/>
      <c r="V77" s="101" t="str">
        <f>IFERROR(__xludf.DUMMYFUNCTION("""COMPUTED_VALUE"""),"offline")</f>
        <v>offline</v>
      </c>
      <c r="W77" s="101" t="str">
        <f>IFERROR(__xludf.DUMMYFUNCTION("""COMPUTED_VALUE"""),"Sms")</f>
        <v>Sms</v>
      </c>
      <c r="X77" s="212" t="str">
        <f>IFERROR(__xludf.DUMMYFUNCTION("""COMPUTED_VALUE"""),"No Brief")</f>
        <v>No Brief</v>
      </c>
      <c r="Y77" s="212" t="str">
        <f>IFERROR(__xludf.DUMMYFUNCTION("""COMPUTED_VALUE"""),"16th - 23rd May")</f>
        <v>16th - 23rd May</v>
      </c>
      <c r="Z77" s="212" t="str">
        <f>IFERROR(__xludf.DUMMYFUNCTION("""COMPUTED_VALUE"""),"6a070be8c293f8206cea9141")</f>
        <v>6a070be8c293f8206cea9141</v>
      </c>
      <c r="AA77" s="287">
        <f>IFERROR(__xludf.DUMMYFUNCTION("""COMPUTED_VALUE"""),12.0)</f>
        <v>12</v>
      </c>
      <c r="AB77" s="213"/>
      <c r="AC77" s="213">
        <f>IFERROR(__xludf.DUMMYFUNCTION("""COMPUTED_VALUE"""),12.0)</f>
        <v>12</v>
      </c>
      <c r="AD77" s="213">
        <f>IFERROR(__xludf.DUMMYFUNCTION("""COMPUTED_VALUE"""),151985.0)</f>
        <v>151985</v>
      </c>
      <c r="AE77" s="213"/>
      <c r="AF77" s="213">
        <f>IFERROR(__xludf.DUMMYFUNCTION("""COMPUTED_VALUE"""),151985.0)</f>
        <v>151985</v>
      </c>
      <c r="AG77" s="282"/>
      <c r="AH77" s="282"/>
      <c r="AI77" s="282"/>
      <c r="AJ77" s="282"/>
      <c r="AK77" s="282"/>
      <c r="AL77" s="282"/>
      <c r="AM77" s="282"/>
      <c r="AN77" s="282"/>
      <c r="AO77" s="282"/>
      <c r="AP77" s="282"/>
      <c r="AQ77" s="282"/>
      <c r="AR77" s="282"/>
      <c r="AS77" s="282"/>
      <c r="AT77" s="282"/>
      <c r="AU77" s="282"/>
      <c r="AV77" s="282"/>
      <c r="AW77" s="282"/>
      <c r="AX77" s="282"/>
      <c r="AY77" s="282"/>
      <c r="AZ77" s="282"/>
    </row>
    <row r="78">
      <c r="A78" s="209">
        <f>IFERROR(__xludf.DUMMYFUNCTION("""COMPUTED_VALUE"""),46158.0)</f>
        <v>46158</v>
      </c>
      <c r="B78" s="247">
        <f>IFERROR(__xludf.DUMMYFUNCTION("""COMPUTED_VALUE"""),0.5)</f>
        <v>0.5</v>
      </c>
      <c r="C78" s="218" t="str">
        <f>IFERROR(__xludf.DUMMYFUNCTION("""COMPUTED_VALUE"""),"Sms")</f>
        <v>Sms</v>
      </c>
      <c r="D78" s="218" t="str">
        <f>IFERROR(__xludf.DUMMYFUNCTION("""COMPUTED_VALUE"""),"Fallback campaign")</f>
        <v>Fallback campaign</v>
      </c>
      <c r="E78" s="218" t="str">
        <f>IFERROR(__xludf.DUMMYFUNCTION("""COMPUTED_VALUE"""),"CK")</f>
        <v>CK</v>
      </c>
      <c r="F78" s="218" t="str">
        <f>IFERROR(__xludf.DUMMYFUNCTION("""COMPUTED_VALUE"""),"Crusin By communication_active - Full price")</f>
        <v>Crusin By communication_active - Full price</v>
      </c>
      <c r="G78" s="218" t="str">
        <f>IFERROR(__xludf.DUMMYFUNCTION("""COMPUTED_VALUE"""),"New collection_active_Fallback")</f>
        <v>New collection_active_Fallback</v>
      </c>
      <c r="H78" s="218" t="str">
        <f>IFERROR(__xludf.DUMMYFUNCTION("""COMPUTED_VALUE"""),"CK_Recent_Above10999_Off, ck_online_active_29thapril_2026")</f>
        <v>CK_Recent_Above10999_Off, ck_online_active_29thapril_2026</v>
      </c>
      <c r="I78" s="218" t="str">
        <f>IFERROR(__xludf.DUMMYFUNCTION("""COMPUTED_VALUE"""),"WA Undelivered")</f>
        <v>WA Undelivered</v>
      </c>
      <c r="J78" s="213">
        <f>IFERROR(__xludf.DUMMYFUNCTION("""COMPUTED_VALUE"""),46557.0)</f>
        <v>46557</v>
      </c>
      <c r="K78" s="213">
        <f>IFERROR(__xludf.DUMMYFUNCTION("""COMPUTED_VALUE"""),26466.0)</f>
        <v>26466</v>
      </c>
      <c r="L78" s="214">
        <f>IFERROR(__xludf.DUMMYFUNCTION("""COMPUTED_VALUE"""),0.5685)</f>
        <v>0.5685</v>
      </c>
      <c r="M78" s="213">
        <f>IFERROR(__xludf.DUMMYFUNCTION("""COMPUTED_VALUE"""),0.0)</f>
        <v>0</v>
      </c>
      <c r="N78" s="214">
        <f>IFERROR(__xludf.DUMMYFUNCTION("""COMPUTED_VALUE"""),0.0)</f>
        <v>0</v>
      </c>
      <c r="O78" s="213">
        <f>IFERROR(__xludf.DUMMYFUNCTION("""COMPUTED_VALUE"""),0.0)</f>
        <v>0</v>
      </c>
      <c r="P78" s="213">
        <f>IFERROR(__xludf.DUMMYFUNCTION("""COMPUTED_VALUE"""),0.0)</f>
        <v>0</v>
      </c>
      <c r="Q78" s="214">
        <f>IFERROR(__xludf.DUMMYFUNCTION("""COMPUTED_VALUE"""),0.0)</f>
        <v>0</v>
      </c>
      <c r="R78" s="214">
        <f>IFERROR(__xludf.DUMMYFUNCTION("""COMPUTED_VALUE"""),0.0)</f>
        <v>0</v>
      </c>
      <c r="S78" s="270"/>
      <c r="T78" s="270"/>
      <c r="U78" s="270"/>
      <c r="V78" s="101" t="str">
        <f>IFERROR(__xludf.DUMMYFUNCTION("""COMPUTED_VALUE"""),"overall")</f>
        <v>overall</v>
      </c>
      <c r="W78" s="101" t="str">
        <f>IFERROR(__xludf.DUMMYFUNCTION("""COMPUTED_VALUE"""),"Sms")</f>
        <v>Sms</v>
      </c>
      <c r="X78" s="212" t="str">
        <f>IFERROR(__xludf.DUMMYFUNCTION("""COMPUTED_VALUE"""),"No Brief")</f>
        <v>No Brief</v>
      </c>
      <c r="Y78" s="212" t="str">
        <f>IFERROR(__xludf.DUMMYFUNCTION("""COMPUTED_VALUE"""),"16th - 23rd May")</f>
        <v>16th - 23rd May</v>
      </c>
      <c r="Z78" s="212" t="str">
        <f>IFERROR(__xludf.DUMMYFUNCTION("""COMPUTED_VALUE"""),"6a070c82ec4d59b9386b7254")</f>
        <v>6a070c82ec4d59b9386b7254</v>
      </c>
      <c r="AA78" s="287">
        <f>IFERROR(__xludf.DUMMYFUNCTION("""COMPUTED_VALUE"""),69.0)</f>
        <v>69</v>
      </c>
      <c r="AB78" s="213"/>
      <c r="AC78" s="213">
        <f>IFERROR(__xludf.DUMMYFUNCTION("""COMPUTED_VALUE"""),69.0)</f>
        <v>69</v>
      </c>
      <c r="AD78" s="213">
        <f>IFERROR(__xludf.DUMMYFUNCTION("""COMPUTED_VALUE"""),1058298.0)</f>
        <v>1058298</v>
      </c>
      <c r="AE78" s="213"/>
      <c r="AF78" s="213">
        <f>IFERROR(__xludf.DUMMYFUNCTION("""COMPUTED_VALUE"""),1058298.0)</f>
        <v>1058298</v>
      </c>
      <c r="AG78" s="282"/>
      <c r="AH78" s="282"/>
      <c r="AI78" s="282"/>
      <c r="AJ78" s="282"/>
      <c r="AK78" s="282"/>
      <c r="AL78" s="282"/>
      <c r="AM78" s="282"/>
      <c r="AN78" s="282"/>
      <c r="AO78" s="282"/>
      <c r="AP78" s="282"/>
      <c r="AQ78" s="282"/>
      <c r="AR78" s="282"/>
      <c r="AS78" s="282"/>
      <c r="AT78" s="282"/>
      <c r="AU78" s="282"/>
      <c r="AV78" s="282"/>
      <c r="AW78" s="282"/>
      <c r="AX78" s="282"/>
      <c r="AY78" s="282"/>
      <c r="AZ78" s="282"/>
    </row>
    <row r="79">
      <c r="A79" s="209">
        <f>IFERROR(__xludf.DUMMYFUNCTION("""COMPUTED_VALUE"""),46158.0)</f>
        <v>46158</v>
      </c>
      <c r="B79" s="247">
        <f>IFERROR(__xludf.DUMMYFUNCTION("""COMPUTED_VALUE"""),0.5)</f>
        <v>0.5</v>
      </c>
      <c r="C79" s="218" t="str">
        <f>IFERROR(__xludf.DUMMYFUNCTION("""COMPUTED_VALUE"""),"Sms")</f>
        <v>Sms</v>
      </c>
      <c r="D79" s="218" t="str">
        <f>IFERROR(__xludf.DUMMYFUNCTION("""COMPUTED_VALUE"""),"Fallback campaign")</f>
        <v>Fallback campaign</v>
      </c>
      <c r="E79" s="218" t="str">
        <f>IFERROR(__xludf.DUMMYFUNCTION("""COMPUTED_VALUE"""),"CK")</f>
        <v>CK</v>
      </c>
      <c r="F79" s="218" t="str">
        <f>IFERROR(__xludf.DUMMYFUNCTION("""COMPUTED_VALUE"""),"Crusin By communication_dormant - Full price")</f>
        <v>Crusin By communication_dormant - Full price</v>
      </c>
      <c r="G79" s="218" t="str">
        <f>IFERROR(__xludf.DUMMYFUNCTION("""COMPUTED_VALUE"""),"New collection_dormant_fallback")</f>
        <v>New collection_dormant_fallback</v>
      </c>
      <c r="H79" s="218" t="str">
        <f>IFERROR(__xludf.DUMMYFUNCTION("""COMPUTED_VALUE"""),"CK_Dormant_Above10999_Off, ck_online_dormant_29thapril_2026")</f>
        <v>CK_Dormant_Above10999_Off, ck_online_dormant_29thapril_2026</v>
      </c>
      <c r="I79" s="218" t="str">
        <f>IFERROR(__xludf.DUMMYFUNCTION("""COMPUTED_VALUE"""),"WA Undelivered")</f>
        <v>WA Undelivered</v>
      </c>
      <c r="J79" s="213">
        <f>IFERROR(__xludf.DUMMYFUNCTION("""COMPUTED_VALUE"""),91317.0)</f>
        <v>91317</v>
      </c>
      <c r="K79" s="213">
        <f>IFERROR(__xludf.DUMMYFUNCTION("""COMPUTED_VALUE"""),51737.0)</f>
        <v>51737</v>
      </c>
      <c r="L79" s="214">
        <f>IFERROR(__xludf.DUMMYFUNCTION("""COMPUTED_VALUE"""),0.5666)</f>
        <v>0.5666</v>
      </c>
      <c r="M79" s="213">
        <f>IFERROR(__xludf.DUMMYFUNCTION("""COMPUTED_VALUE"""),0.0)</f>
        <v>0</v>
      </c>
      <c r="N79" s="214">
        <f>IFERROR(__xludf.DUMMYFUNCTION("""COMPUTED_VALUE"""),0.0)</f>
        <v>0</v>
      </c>
      <c r="O79" s="213">
        <f>IFERROR(__xludf.DUMMYFUNCTION("""COMPUTED_VALUE"""),0.0)</f>
        <v>0</v>
      </c>
      <c r="P79" s="213">
        <f>IFERROR(__xludf.DUMMYFUNCTION("""COMPUTED_VALUE"""),0.0)</f>
        <v>0</v>
      </c>
      <c r="Q79" s="214">
        <f>IFERROR(__xludf.DUMMYFUNCTION("""COMPUTED_VALUE"""),0.0)</f>
        <v>0</v>
      </c>
      <c r="R79" s="214">
        <f>IFERROR(__xludf.DUMMYFUNCTION("""COMPUTED_VALUE"""),0.0)</f>
        <v>0</v>
      </c>
      <c r="S79" s="270"/>
      <c r="T79" s="270"/>
      <c r="U79" s="270"/>
      <c r="V79" s="101" t="str">
        <f>IFERROR(__xludf.DUMMYFUNCTION("""COMPUTED_VALUE"""),"overall")</f>
        <v>overall</v>
      </c>
      <c r="W79" s="101" t="str">
        <f>IFERROR(__xludf.DUMMYFUNCTION("""COMPUTED_VALUE"""),"Sms")</f>
        <v>Sms</v>
      </c>
      <c r="X79" s="212" t="str">
        <f>IFERROR(__xludf.DUMMYFUNCTION("""COMPUTED_VALUE"""),"No Brief")</f>
        <v>No Brief</v>
      </c>
      <c r="Y79" s="212" t="str">
        <f>IFERROR(__xludf.DUMMYFUNCTION("""COMPUTED_VALUE"""),"16th - 23rd May")</f>
        <v>16th - 23rd May</v>
      </c>
      <c r="Z79" s="212" t="str">
        <f>IFERROR(__xludf.DUMMYFUNCTION("""COMPUTED_VALUE"""),"6a070cf966060a2da403ca05")</f>
        <v>6a070cf966060a2da403ca05</v>
      </c>
      <c r="AA79" s="287">
        <f>IFERROR(__xludf.DUMMYFUNCTION("""COMPUTED_VALUE"""),142.0)</f>
        <v>142</v>
      </c>
      <c r="AB79" s="213">
        <f>IFERROR(__xludf.DUMMYFUNCTION("""COMPUTED_VALUE"""),0.0)</f>
        <v>0</v>
      </c>
      <c r="AC79" s="213">
        <f>IFERROR(__xludf.DUMMYFUNCTION("""COMPUTED_VALUE"""),142.0)</f>
        <v>142</v>
      </c>
      <c r="AD79" s="213">
        <f>IFERROR(__xludf.DUMMYFUNCTION("""COMPUTED_VALUE"""),2190886.0)</f>
        <v>2190886</v>
      </c>
      <c r="AE79" s="213">
        <f>IFERROR(__xludf.DUMMYFUNCTION("""COMPUTED_VALUE"""),0.0)</f>
        <v>0</v>
      </c>
      <c r="AF79" s="213">
        <f>IFERROR(__xludf.DUMMYFUNCTION("""COMPUTED_VALUE"""),2190886.0)</f>
        <v>2190886</v>
      </c>
      <c r="AG79" s="282"/>
      <c r="AH79" s="282"/>
      <c r="AI79" s="282"/>
      <c r="AJ79" s="282"/>
      <c r="AK79" s="282"/>
      <c r="AL79" s="282"/>
      <c r="AM79" s="282"/>
      <c r="AN79" s="282"/>
      <c r="AO79" s="282"/>
      <c r="AP79" s="282"/>
      <c r="AQ79" s="282"/>
      <c r="AR79" s="282"/>
      <c r="AS79" s="282"/>
      <c r="AT79" s="282"/>
      <c r="AU79" s="282"/>
      <c r="AV79" s="282"/>
      <c r="AW79" s="282"/>
      <c r="AX79" s="282"/>
      <c r="AY79" s="282"/>
      <c r="AZ79" s="282"/>
    </row>
    <row r="80">
      <c r="A80" s="209">
        <f>IFERROR(__xludf.DUMMYFUNCTION("""COMPUTED_VALUE"""),46163.0)</f>
        <v>46163</v>
      </c>
      <c r="B80" s="247">
        <f>IFERROR(__xludf.DUMMYFUNCTION("""COMPUTED_VALUE"""),0.75)</f>
        <v>0.75</v>
      </c>
      <c r="C80" s="218" t="str">
        <f>IFERROR(__xludf.DUMMYFUNCTION("""COMPUTED_VALUE"""),"Whatsapp")</f>
        <v>Whatsapp</v>
      </c>
      <c r="D80" s="218" t="str">
        <f>IFERROR(__xludf.DUMMYFUNCTION("""COMPUTED_VALUE"""),"Promotional")</f>
        <v>Promotional</v>
      </c>
      <c r="E80" s="218" t="str">
        <f>IFERROR(__xludf.DUMMYFUNCTION("""COMPUTED_VALUE"""),"CK")</f>
        <v>CK</v>
      </c>
      <c r="F80" s="218" t="str">
        <f>IFERROR(__xludf.DUMMYFUNCTION("""COMPUTED_VALUE"""),"SF2 3rd Anni promo - Flat 10% off")</f>
        <v>SF2 3rd Anni promo - Flat 10% off</v>
      </c>
      <c r="G80" s="218" t="str">
        <f>IFERROR(__xludf.DUMMYFUNCTION("""COMPUTED_VALUE"""),"SF2 3rd Anni promo_Day 1_event shoppers")</f>
        <v>SF2 3rd Anni promo_Day 1_event shoppers</v>
      </c>
      <c r="H80" s="218" t="str">
        <f>IFERROR(__xludf.DUMMYFUNCTION("""COMPUTED_VALUE"""),"ck_onoff_pr_eventbuyers_6thMarch26")</f>
        <v>ck_onoff_pr_eventbuyers_6thMarch26</v>
      </c>
      <c r="I80" s="218" t="str">
        <f>IFERROR(__xludf.DUMMYFUNCTION("""COMPUTED_VALUE"""),"Event shoppers")</f>
        <v>Event shoppers</v>
      </c>
      <c r="J80" s="213">
        <f>IFERROR(__xludf.DUMMYFUNCTION("""COMPUTED_VALUE"""),88044.0)</f>
        <v>88044</v>
      </c>
      <c r="K80" s="213">
        <f>IFERROR(__xludf.DUMMYFUNCTION("""COMPUTED_VALUE"""),30245.0)</f>
        <v>30245</v>
      </c>
      <c r="L80" s="214">
        <f>IFERROR(__xludf.DUMMYFUNCTION("""COMPUTED_VALUE"""),0.3435)</f>
        <v>0.3435</v>
      </c>
      <c r="M80" s="213">
        <f>IFERROR(__xludf.DUMMYFUNCTION("""COMPUTED_VALUE"""),12313.0)</f>
        <v>12313</v>
      </c>
      <c r="N80" s="214">
        <f>IFERROR(__xludf.DUMMYFUNCTION("""COMPUTED_VALUE"""),0.4071)</f>
        <v>0.4071</v>
      </c>
      <c r="O80" s="213">
        <f>IFERROR(__xludf.DUMMYFUNCTION("""COMPUTED_VALUE"""),1116.0)</f>
        <v>1116</v>
      </c>
      <c r="P80" s="213">
        <f>IFERROR(__xludf.DUMMYFUNCTION("""COMPUTED_VALUE"""),1047.0)</f>
        <v>1047</v>
      </c>
      <c r="Q80" s="214">
        <f>IFERROR(__xludf.DUMMYFUNCTION("""COMPUTED_VALUE"""),0.0346)</f>
        <v>0.0346</v>
      </c>
      <c r="R80" s="214">
        <f>IFERROR(__xludf.DUMMYFUNCTION("""COMPUTED_VALUE"""),0.0851)</f>
        <v>0.0851</v>
      </c>
      <c r="S80" s="270">
        <f>IFERROR(__xludf.DUMMYFUNCTION("""COMPUTED_VALUE"""),0.0)</f>
        <v>0</v>
      </c>
      <c r="T80" s="270">
        <f>IFERROR(__xludf.DUMMYFUNCTION("""COMPUTED_VALUE"""),0.0)</f>
        <v>0</v>
      </c>
      <c r="U80" s="270">
        <f>IFERROR(__xludf.DUMMYFUNCTION("""COMPUTED_VALUE"""),0.0)</f>
        <v>0</v>
      </c>
      <c r="V80" s="101" t="str">
        <f>IFERROR(__xludf.DUMMYFUNCTION("""COMPUTED_VALUE"""),"overall")</f>
        <v>overall</v>
      </c>
      <c r="W80" s="101" t="str">
        <f>IFERROR(__xludf.DUMMYFUNCTION("""COMPUTED_VALUE"""),"simple")</f>
        <v>simple</v>
      </c>
      <c r="X80" s="212" t="str">
        <f>IFERROR(__xludf.DUMMYFUNCTION("""COMPUTED_VALUE"""),"Event Buyers")</f>
        <v>Event Buyers</v>
      </c>
      <c r="Y80" s="212" t="str">
        <f>IFERROR(__xludf.DUMMYFUNCTION("""COMPUTED_VALUE"""),"22nd May to 25th May")</f>
        <v>22nd May to 25th May</v>
      </c>
      <c r="Z80" s="212" t="str">
        <f>IFERROR(__xludf.DUMMYFUNCTION("""COMPUTED_VALUE"""),"6a0d6b46e7854072f6b0c9f1")</f>
        <v>6a0d6b46e7854072f6b0c9f1</v>
      </c>
      <c r="AA80" s="287">
        <f>IFERROR(__xludf.DUMMYFUNCTION("""COMPUTED_VALUE"""),57.0)</f>
        <v>57</v>
      </c>
      <c r="AB80" s="213">
        <f>IFERROR(__xludf.DUMMYFUNCTION("""COMPUTED_VALUE"""),0.0)</f>
        <v>0</v>
      </c>
      <c r="AC80" s="213">
        <f>IFERROR(__xludf.DUMMYFUNCTION("""COMPUTED_VALUE"""),57.0)</f>
        <v>57</v>
      </c>
      <c r="AD80" s="213">
        <f>IFERROR(__xludf.DUMMYFUNCTION("""COMPUTED_VALUE"""),750423.0)</f>
        <v>750423</v>
      </c>
      <c r="AE80" s="213">
        <f>IFERROR(__xludf.DUMMYFUNCTION("""COMPUTED_VALUE"""),0.0)</f>
        <v>0</v>
      </c>
      <c r="AF80" s="213">
        <f>IFERROR(__xludf.DUMMYFUNCTION("""COMPUTED_VALUE"""),750423.0)</f>
        <v>750423</v>
      </c>
      <c r="AG80" s="282"/>
      <c r="AH80" s="282"/>
      <c r="AI80" s="282"/>
      <c r="AJ80" s="282"/>
      <c r="AK80" s="282"/>
      <c r="AL80" s="282"/>
      <c r="AM80" s="282"/>
      <c r="AN80" s="282"/>
      <c r="AO80" s="282"/>
      <c r="AP80" s="282"/>
      <c r="AQ80" s="282"/>
      <c r="AR80" s="282"/>
      <c r="AS80" s="282"/>
      <c r="AT80" s="282"/>
      <c r="AU80" s="282"/>
      <c r="AV80" s="282"/>
      <c r="AW80" s="282"/>
      <c r="AX80" s="282"/>
      <c r="AY80" s="282"/>
      <c r="AZ80" s="282"/>
    </row>
    <row r="81">
      <c r="A81" s="209">
        <f>IFERROR(__xludf.DUMMYFUNCTION("""COMPUTED_VALUE"""),46163.0)</f>
        <v>46163</v>
      </c>
      <c r="B81" s="247">
        <f>IFERROR(__xludf.DUMMYFUNCTION("""COMPUTED_VALUE"""),0.75)</f>
        <v>0.75</v>
      </c>
      <c r="C81" s="218" t="str">
        <f>IFERROR(__xludf.DUMMYFUNCTION("""COMPUTED_VALUE"""),"Whatsapp")</f>
        <v>Whatsapp</v>
      </c>
      <c r="D81" s="218" t="str">
        <f>IFERROR(__xludf.DUMMYFUNCTION("""COMPUTED_VALUE"""),"Promotional")</f>
        <v>Promotional</v>
      </c>
      <c r="E81" s="218" t="str">
        <f>IFERROR(__xludf.DUMMYFUNCTION("""COMPUTED_VALUE"""),"CK")</f>
        <v>CK</v>
      </c>
      <c r="F81" s="218" t="str">
        <f>IFERROR(__xludf.DUMMYFUNCTION("""COMPUTED_VALUE"""),"SF2 3rd Anni promo - Flat 10% off")</f>
        <v>SF2 3rd Anni promo - Flat 10% off</v>
      </c>
      <c r="G81" s="218" t="str">
        <f>IFERROR(__xludf.DUMMYFUNCTION("""COMPUTED_VALUE"""),"SF2 3rd Anni promo_Day 1_dormant")</f>
        <v>SF2 3rd Anni promo_Day 1_dormant</v>
      </c>
      <c r="H81" s="218" t="str">
        <f>IFERROR(__xludf.DUMMYFUNCTION("""COMPUTED_VALUE"""),"ck_online_dormant_29thapril_2026, CK_Dormant_Churned_Off")</f>
        <v>ck_online_dormant_29thapril_2026, CK_Dormant_Churned_Off</v>
      </c>
      <c r="I81" s="218" t="str">
        <f>IFERROR(__xludf.DUMMYFUNCTION("""COMPUTED_VALUE"""),"Custom data upload (dormant)")</f>
        <v>Custom data upload (dormant)</v>
      </c>
      <c r="J81" s="213">
        <f>IFERROR(__xludf.DUMMYFUNCTION("""COMPUTED_VALUE"""),173868.0)</f>
        <v>173868</v>
      </c>
      <c r="K81" s="213">
        <f>IFERROR(__xludf.DUMMYFUNCTION("""COMPUTED_VALUE"""),62520.0)</f>
        <v>62520</v>
      </c>
      <c r="L81" s="214">
        <f>IFERROR(__xludf.DUMMYFUNCTION("""COMPUTED_VALUE"""),0.3595)</f>
        <v>0.3595</v>
      </c>
      <c r="M81" s="213">
        <f>IFERROR(__xludf.DUMMYFUNCTION("""COMPUTED_VALUE"""),24501.0)</f>
        <v>24501</v>
      </c>
      <c r="N81" s="214">
        <f>IFERROR(__xludf.DUMMYFUNCTION("""COMPUTED_VALUE"""),0.3919)</f>
        <v>0.3919</v>
      </c>
      <c r="O81" s="213">
        <f>IFERROR(__xludf.DUMMYFUNCTION("""COMPUTED_VALUE"""),1904.0)</f>
        <v>1904</v>
      </c>
      <c r="P81" s="213">
        <f>IFERROR(__xludf.DUMMYFUNCTION("""COMPUTED_VALUE"""),1778.0)</f>
        <v>1778</v>
      </c>
      <c r="Q81" s="214">
        <f>IFERROR(__xludf.DUMMYFUNCTION("""COMPUTED_VALUE"""),0.0284)</f>
        <v>0.0284</v>
      </c>
      <c r="R81" s="214">
        <f>IFERROR(__xludf.DUMMYFUNCTION("""COMPUTED_VALUE"""),0.0726)</f>
        <v>0.0726</v>
      </c>
      <c r="S81" s="270">
        <f>IFERROR(__xludf.DUMMYFUNCTION("""COMPUTED_VALUE"""),0.0)</f>
        <v>0</v>
      </c>
      <c r="T81" s="270">
        <f>IFERROR(__xludf.DUMMYFUNCTION("""COMPUTED_VALUE"""),0.0)</f>
        <v>0</v>
      </c>
      <c r="U81" s="270">
        <f>IFERROR(__xludf.DUMMYFUNCTION("""COMPUTED_VALUE"""),0.0)</f>
        <v>0</v>
      </c>
      <c r="V81" s="101" t="str">
        <f>IFERROR(__xludf.DUMMYFUNCTION("""COMPUTED_VALUE"""),"overall")</f>
        <v>overall</v>
      </c>
      <c r="W81" s="101" t="str">
        <f>IFERROR(__xludf.DUMMYFUNCTION("""COMPUTED_VALUE"""),"simple")</f>
        <v>simple</v>
      </c>
      <c r="X81" s="212" t="str">
        <f>IFERROR(__xludf.DUMMYFUNCTION("""COMPUTED_VALUE"""),"Dormant")</f>
        <v>Dormant</v>
      </c>
      <c r="Y81" s="212" t="str">
        <f>IFERROR(__xludf.DUMMYFUNCTION("""COMPUTED_VALUE"""),"22nd May to 25th May")</f>
        <v>22nd May to 25th May</v>
      </c>
      <c r="Z81" s="212" t="str">
        <f>IFERROR(__xludf.DUMMYFUNCTION("""COMPUTED_VALUE"""),"6a0d6b6ab190efedf7272216")</f>
        <v>6a0d6b6ab190efedf7272216</v>
      </c>
      <c r="AA81" s="287">
        <f>IFERROR(__xludf.DUMMYFUNCTION("""COMPUTED_VALUE"""),72.0)</f>
        <v>72</v>
      </c>
      <c r="AB81" s="213">
        <f>IFERROR(__xludf.DUMMYFUNCTION("""COMPUTED_VALUE"""),0.0)</f>
        <v>0</v>
      </c>
      <c r="AC81" s="213">
        <f>IFERROR(__xludf.DUMMYFUNCTION("""COMPUTED_VALUE"""),72.0)</f>
        <v>72</v>
      </c>
      <c r="AD81" s="213">
        <f>IFERROR(__xludf.DUMMYFUNCTION("""COMPUTED_VALUE"""),853411.0)</f>
        <v>853411</v>
      </c>
      <c r="AE81" s="213">
        <f>IFERROR(__xludf.DUMMYFUNCTION("""COMPUTED_VALUE"""),0.0)</f>
        <v>0</v>
      </c>
      <c r="AF81" s="213">
        <f>IFERROR(__xludf.DUMMYFUNCTION("""COMPUTED_VALUE"""),853411.0)</f>
        <v>853411</v>
      </c>
      <c r="AG81" s="282"/>
      <c r="AH81" s="282"/>
      <c r="AI81" s="282"/>
      <c r="AJ81" s="282"/>
      <c r="AK81" s="282"/>
      <c r="AL81" s="282"/>
      <c r="AM81" s="282"/>
      <c r="AN81" s="282"/>
      <c r="AO81" s="282"/>
      <c r="AP81" s="282"/>
      <c r="AQ81" s="282"/>
      <c r="AR81" s="282"/>
      <c r="AS81" s="282"/>
      <c r="AT81" s="282"/>
      <c r="AU81" s="282"/>
      <c r="AV81" s="282"/>
      <c r="AW81" s="282"/>
      <c r="AX81" s="282"/>
      <c r="AY81" s="282"/>
      <c r="AZ81" s="282"/>
    </row>
    <row r="82">
      <c r="A82" s="209">
        <f>IFERROR(__xludf.DUMMYFUNCTION("""COMPUTED_VALUE"""),46163.0)</f>
        <v>46163</v>
      </c>
      <c r="B82" s="247">
        <f>IFERROR(__xludf.DUMMYFUNCTION("""COMPUTED_VALUE"""),0.75)</f>
        <v>0.75</v>
      </c>
      <c r="C82" s="218" t="str">
        <f>IFERROR(__xludf.DUMMYFUNCTION("""COMPUTED_VALUE"""),"Whatsapp")</f>
        <v>Whatsapp</v>
      </c>
      <c r="D82" s="218" t="str">
        <f>IFERROR(__xludf.DUMMYFUNCTION("""COMPUTED_VALUE"""),"Promotional")</f>
        <v>Promotional</v>
      </c>
      <c r="E82" s="218" t="str">
        <f>IFERROR(__xludf.DUMMYFUNCTION("""COMPUTED_VALUE"""),"CK")</f>
        <v>CK</v>
      </c>
      <c r="F82" s="218" t="str">
        <f>IFERROR(__xludf.DUMMYFUNCTION("""COMPUTED_VALUE"""),"SF2 3rd Anni promo - Flat 10% off")</f>
        <v>SF2 3rd Anni promo - Flat 10% off</v>
      </c>
      <c r="G82" s="218" t="str">
        <f>IFERROR(__xludf.DUMMYFUNCTION("""COMPUTED_VALUE"""),"SF2 3rd Anni promo_Day 1_active")</f>
        <v>SF2 3rd Anni promo_Day 1_active</v>
      </c>
      <c r="H82" s="218" t="str">
        <f>IFERROR(__xludf.DUMMYFUNCTION("""COMPUTED_VALUE"""),"ck_online_active_29thapril_2026, ck_onoff_pr_Recent_6thMarch26")</f>
        <v>ck_online_active_29thapril_2026, ck_onoff_pr_Recent_6thMarch26</v>
      </c>
      <c r="I82" s="218" t="str">
        <f>IFERROR(__xludf.DUMMYFUNCTION("""COMPUTED_VALUE"""),"Custom data upload (active)")</f>
        <v>Custom data upload (active)</v>
      </c>
      <c r="J82" s="213">
        <f>IFERROR(__xludf.DUMMYFUNCTION("""COMPUTED_VALUE"""),83796.0)</f>
        <v>83796</v>
      </c>
      <c r="K82" s="213">
        <f>IFERROR(__xludf.DUMMYFUNCTION("""COMPUTED_VALUE"""),30492.0)</f>
        <v>30492</v>
      </c>
      <c r="L82" s="214">
        <f>IFERROR(__xludf.DUMMYFUNCTION("""COMPUTED_VALUE"""),0.3638)</f>
        <v>0.3638</v>
      </c>
      <c r="M82" s="213">
        <f>IFERROR(__xludf.DUMMYFUNCTION("""COMPUTED_VALUE"""),12678.0)</f>
        <v>12678</v>
      </c>
      <c r="N82" s="214">
        <f>IFERROR(__xludf.DUMMYFUNCTION("""COMPUTED_VALUE"""),0.4157)</f>
        <v>0.4157</v>
      </c>
      <c r="O82" s="213">
        <f>IFERROR(__xludf.DUMMYFUNCTION("""COMPUTED_VALUE"""),995.0)</f>
        <v>995</v>
      </c>
      <c r="P82" s="213">
        <f>IFERROR(__xludf.DUMMYFUNCTION("""COMPUTED_VALUE"""),932.0)</f>
        <v>932</v>
      </c>
      <c r="Q82" s="214">
        <f>IFERROR(__xludf.DUMMYFUNCTION("""COMPUTED_VALUE"""),0.0306)</f>
        <v>0.0306</v>
      </c>
      <c r="R82" s="214">
        <f>IFERROR(__xludf.DUMMYFUNCTION("""COMPUTED_VALUE"""),0.0736)</f>
        <v>0.0736</v>
      </c>
      <c r="S82" s="270">
        <f>IFERROR(__xludf.DUMMYFUNCTION("""COMPUTED_VALUE"""),0.0)</f>
        <v>0</v>
      </c>
      <c r="T82" s="270">
        <f>IFERROR(__xludf.DUMMYFUNCTION("""COMPUTED_VALUE"""),0.0)</f>
        <v>0</v>
      </c>
      <c r="U82" s="270">
        <f>IFERROR(__xludf.DUMMYFUNCTION("""COMPUTED_VALUE"""),0.0)</f>
        <v>0</v>
      </c>
      <c r="V82" s="101" t="str">
        <f>IFERROR(__xludf.DUMMYFUNCTION("""COMPUTED_VALUE"""),"overall")</f>
        <v>overall</v>
      </c>
      <c r="W82" s="101" t="str">
        <f>IFERROR(__xludf.DUMMYFUNCTION("""COMPUTED_VALUE"""),"simple")</f>
        <v>simple</v>
      </c>
      <c r="X82" s="212" t="str">
        <f>IFERROR(__xludf.DUMMYFUNCTION("""COMPUTED_VALUE"""),"Active")</f>
        <v>Active</v>
      </c>
      <c r="Y82" s="212" t="str">
        <f>IFERROR(__xludf.DUMMYFUNCTION("""COMPUTED_VALUE"""),"22nd May to 25th May")</f>
        <v>22nd May to 25th May</v>
      </c>
      <c r="Z82" s="212" t="str">
        <f>IFERROR(__xludf.DUMMYFUNCTION("""COMPUTED_VALUE"""),"6a0d6b90474e92e05fbabb40")</f>
        <v>6a0d6b90474e92e05fbabb40</v>
      </c>
      <c r="AA82" s="287">
        <f>IFERROR(__xludf.DUMMYFUNCTION("""COMPUTED_VALUE"""),58.0)</f>
        <v>58</v>
      </c>
      <c r="AB82" s="213">
        <f>IFERROR(__xludf.DUMMYFUNCTION("""COMPUTED_VALUE"""),0.0)</f>
        <v>0</v>
      </c>
      <c r="AC82" s="213">
        <f>IFERROR(__xludf.DUMMYFUNCTION("""COMPUTED_VALUE"""),58.0)</f>
        <v>58</v>
      </c>
      <c r="AD82" s="213">
        <f>IFERROR(__xludf.DUMMYFUNCTION("""COMPUTED_VALUE"""),675027.0)</f>
        <v>675027</v>
      </c>
      <c r="AE82" s="213">
        <f>IFERROR(__xludf.DUMMYFUNCTION("""COMPUTED_VALUE"""),0.0)</f>
        <v>0</v>
      </c>
      <c r="AF82" s="213">
        <f>IFERROR(__xludf.DUMMYFUNCTION("""COMPUTED_VALUE"""),675027.0)</f>
        <v>675027</v>
      </c>
      <c r="AG82" s="282"/>
      <c r="AH82" s="282"/>
      <c r="AI82" s="282"/>
      <c r="AJ82" s="282"/>
      <c r="AK82" s="282"/>
      <c r="AL82" s="282"/>
      <c r="AM82" s="282"/>
      <c r="AN82" s="282"/>
      <c r="AO82" s="282"/>
      <c r="AP82" s="282"/>
      <c r="AQ82" s="282"/>
      <c r="AR82" s="282"/>
      <c r="AS82" s="282"/>
      <c r="AT82" s="282"/>
      <c r="AU82" s="282"/>
      <c r="AV82" s="282"/>
      <c r="AW82" s="282"/>
      <c r="AX82" s="282"/>
      <c r="AY82" s="282"/>
      <c r="AZ82" s="282"/>
    </row>
    <row r="83">
      <c r="A83" s="209">
        <f>IFERROR(__xludf.DUMMYFUNCTION("""COMPUTED_VALUE"""),46163.0)</f>
        <v>46163</v>
      </c>
      <c r="B83" s="247">
        <f>IFERROR(__xludf.DUMMYFUNCTION("""COMPUTED_VALUE"""),0.8333333333321207)</f>
        <v>0.8333333333</v>
      </c>
      <c r="C83" s="218" t="str">
        <f>IFERROR(__xludf.DUMMYFUNCTION("""COMPUTED_VALUE"""),"Sms")</f>
        <v>Sms</v>
      </c>
      <c r="D83" s="218" t="str">
        <f>IFERROR(__xludf.DUMMYFUNCTION("""COMPUTED_VALUE"""),"Fallback campaign")</f>
        <v>Fallback campaign</v>
      </c>
      <c r="E83" s="218" t="str">
        <f>IFERROR(__xludf.DUMMYFUNCTION("""COMPUTED_VALUE"""),"CK")</f>
        <v>CK</v>
      </c>
      <c r="F83" s="218" t="str">
        <f>IFERROR(__xludf.DUMMYFUNCTION("""COMPUTED_VALUE"""),"SF2 3rd Anni promo - Flat 10% off")</f>
        <v>SF2 3rd Anni promo - Flat 10% off</v>
      </c>
      <c r="G83" s="218" t="str">
        <f>IFERROR(__xludf.DUMMYFUNCTION("""COMPUTED_VALUE"""),"SF2 3rd Anni promo_Day 1_active-Fallback")</f>
        <v>SF2 3rd Anni promo_Day 1_active-Fallback</v>
      </c>
      <c r="H83" s="218" t="str">
        <f>IFERROR(__xludf.DUMMYFUNCTION("""COMPUTED_VALUE"""),"ck_online_active_29thapril_2026, ck_onoff_pr_Recent_6thMarch26")</f>
        <v>ck_online_active_29thapril_2026, ck_onoff_pr_Recent_6thMarch26</v>
      </c>
      <c r="I83" s="218" t="str">
        <f>IFERROR(__xludf.DUMMYFUNCTION("""COMPUTED_VALUE"""),"WA Undelivered")</f>
        <v>WA Undelivered</v>
      </c>
      <c r="J83" s="213">
        <f>IFERROR(__xludf.DUMMYFUNCTION("""COMPUTED_VALUE"""),52391.0)</f>
        <v>52391</v>
      </c>
      <c r="K83" s="213">
        <f>IFERROR(__xludf.DUMMYFUNCTION("""COMPUTED_VALUE"""),29874.0)</f>
        <v>29874</v>
      </c>
      <c r="L83" s="214">
        <f>IFERROR(__xludf.DUMMYFUNCTION("""COMPUTED_VALUE"""),0.5702)</f>
        <v>0.5702</v>
      </c>
      <c r="M83" s="213">
        <f>IFERROR(__xludf.DUMMYFUNCTION("""COMPUTED_VALUE"""),0.0)</f>
        <v>0</v>
      </c>
      <c r="N83" s="214">
        <f>IFERROR(__xludf.DUMMYFUNCTION("""COMPUTED_VALUE"""),0.0)</f>
        <v>0</v>
      </c>
      <c r="O83" s="213">
        <f>IFERROR(__xludf.DUMMYFUNCTION("""COMPUTED_VALUE"""),0.0)</f>
        <v>0</v>
      </c>
      <c r="P83" s="213">
        <f>IFERROR(__xludf.DUMMYFUNCTION("""COMPUTED_VALUE"""),0.0)</f>
        <v>0</v>
      </c>
      <c r="Q83" s="214">
        <f>IFERROR(__xludf.DUMMYFUNCTION("""COMPUTED_VALUE"""),0.0)</f>
        <v>0</v>
      </c>
      <c r="R83" s="214">
        <f>IFERROR(__xludf.DUMMYFUNCTION("""COMPUTED_VALUE"""),0.0)</f>
        <v>0</v>
      </c>
      <c r="S83" s="270">
        <f>IFERROR(__xludf.DUMMYFUNCTION("""COMPUTED_VALUE"""),1.0)</f>
        <v>1</v>
      </c>
      <c r="T83" s="270">
        <f>IFERROR(__xludf.DUMMYFUNCTION("""COMPUTED_VALUE"""),0.0)</f>
        <v>0</v>
      </c>
      <c r="U83" s="270">
        <f>IFERROR(__xludf.DUMMYFUNCTION("""COMPUTED_VALUE"""),9999.0)</f>
        <v>9999</v>
      </c>
      <c r="V83" s="101" t="str">
        <f>IFERROR(__xludf.DUMMYFUNCTION("""COMPUTED_VALUE"""),"overall")</f>
        <v>overall</v>
      </c>
      <c r="W83" s="101" t="str">
        <f>IFERROR(__xludf.DUMMYFUNCTION("""COMPUTED_VALUE"""),"SMS")</f>
        <v>SMS</v>
      </c>
      <c r="X83" s="212" t="str">
        <f>IFERROR(__xludf.DUMMYFUNCTION("""COMPUTED_VALUE"""),"Active")</f>
        <v>Active</v>
      </c>
      <c r="Y83" s="212" t="str">
        <f>IFERROR(__xludf.DUMMYFUNCTION("""COMPUTED_VALUE"""),"22nd May to 25th May")</f>
        <v>22nd May to 25th May</v>
      </c>
      <c r="Z83" s="212" t="str">
        <f>IFERROR(__xludf.DUMMYFUNCTION("""COMPUTED_VALUE"""),"6a0d6cd9fdbc429c192e8297")</f>
        <v>6a0d6cd9fdbc429c192e8297</v>
      </c>
      <c r="AA83" s="287">
        <f>IFERROR(__xludf.DUMMYFUNCTION("""COMPUTED_VALUE"""),41.0)</f>
        <v>41</v>
      </c>
      <c r="AB83" s="213">
        <f>IFERROR(__xludf.DUMMYFUNCTION("""COMPUTED_VALUE"""),0.0)</f>
        <v>0</v>
      </c>
      <c r="AC83" s="213">
        <f>IFERROR(__xludf.DUMMYFUNCTION("""COMPUTED_VALUE"""),41.0)</f>
        <v>41</v>
      </c>
      <c r="AD83" s="213">
        <f>IFERROR(__xludf.DUMMYFUNCTION("""COMPUTED_VALUE"""),495954.0)</f>
        <v>495954</v>
      </c>
      <c r="AE83" s="213">
        <f>IFERROR(__xludf.DUMMYFUNCTION("""COMPUTED_VALUE"""),0.0)</f>
        <v>0</v>
      </c>
      <c r="AF83" s="213">
        <f>IFERROR(__xludf.DUMMYFUNCTION("""COMPUTED_VALUE"""),495954.0)</f>
        <v>495954</v>
      </c>
      <c r="AG83" s="282"/>
      <c r="AH83" s="282"/>
      <c r="AI83" s="282"/>
      <c r="AJ83" s="282"/>
      <c r="AK83" s="282"/>
      <c r="AL83" s="282"/>
      <c r="AM83" s="282"/>
      <c r="AN83" s="282"/>
      <c r="AO83" s="282"/>
      <c r="AP83" s="282"/>
      <c r="AQ83" s="282"/>
      <c r="AR83" s="282"/>
      <c r="AS83" s="282"/>
      <c r="AT83" s="282"/>
      <c r="AU83" s="282"/>
      <c r="AV83" s="282"/>
      <c r="AW83" s="282"/>
      <c r="AX83" s="282"/>
      <c r="AY83" s="282"/>
      <c r="AZ83" s="282"/>
    </row>
    <row r="84">
      <c r="A84" s="209">
        <f>IFERROR(__xludf.DUMMYFUNCTION("""COMPUTED_VALUE"""),46163.0)</f>
        <v>46163</v>
      </c>
      <c r="B84" s="247">
        <f>IFERROR(__xludf.DUMMYFUNCTION("""COMPUTED_VALUE"""),0.8333333333321207)</f>
        <v>0.8333333333</v>
      </c>
      <c r="C84" s="218" t="str">
        <f>IFERROR(__xludf.DUMMYFUNCTION("""COMPUTED_VALUE"""),"Sms")</f>
        <v>Sms</v>
      </c>
      <c r="D84" s="218" t="str">
        <f>IFERROR(__xludf.DUMMYFUNCTION("""COMPUTED_VALUE"""),"Fallback campaign")</f>
        <v>Fallback campaign</v>
      </c>
      <c r="E84" s="218" t="str">
        <f>IFERROR(__xludf.DUMMYFUNCTION("""COMPUTED_VALUE"""),"CK")</f>
        <v>CK</v>
      </c>
      <c r="F84" s="218" t="str">
        <f>IFERROR(__xludf.DUMMYFUNCTION("""COMPUTED_VALUE"""),"SF2 3rd Anni promo - Flat 10% off")</f>
        <v>SF2 3rd Anni promo - Flat 10% off</v>
      </c>
      <c r="G84" s="218" t="str">
        <f>IFERROR(__xludf.DUMMYFUNCTION("""COMPUTED_VALUE"""),"SF2 3rd Anni promo_Day 1_dormant_fallback")</f>
        <v>SF2 3rd Anni promo_Day 1_dormant_fallback</v>
      </c>
      <c r="H84" s="218" t="str">
        <f>IFERROR(__xludf.DUMMYFUNCTION("""COMPUTED_VALUE"""),"ck_online_dormant_29thapril_2026, CK_Dormant_Churned_Off")</f>
        <v>ck_online_dormant_29thapril_2026, CK_Dormant_Churned_Off</v>
      </c>
      <c r="I84" s="218" t="str">
        <f>IFERROR(__xludf.DUMMYFUNCTION("""COMPUTED_VALUE"""),"WA Undelivered")</f>
        <v>WA Undelivered</v>
      </c>
      <c r="J84" s="213">
        <f>IFERROR(__xludf.DUMMYFUNCTION("""COMPUTED_VALUE"""),108928.0)</f>
        <v>108928</v>
      </c>
      <c r="K84" s="213">
        <f>IFERROR(__xludf.DUMMYFUNCTION("""COMPUTED_VALUE"""),61269.0)</f>
        <v>61269</v>
      </c>
      <c r="L84" s="214">
        <f>IFERROR(__xludf.DUMMYFUNCTION("""COMPUTED_VALUE"""),0.5625)</f>
        <v>0.5625</v>
      </c>
      <c r="M84" s="213">
        <f>IFERROR(__xludf.DUMMYFUNCTION("""COMPUTED_VALUE"""),0.0)</f>
        <v>0</v>
      </c>
      <c r="N84" s="214">
        <f>IFERROR(__xludf.DUMMYFUNCTION("""COMPUTED_VALUE"""),0.0)</f>
        <v>0</v>
      </c>
      <c r="O84" s="213">
        <f>IFERROR(__xludf.DUMMYFUNCTION("""COMPUTED_VALUE"""),0.0)</f>
        <v>0</v>
      </c>
      <c r="P84" s="213">
        <f>IFERROR(__xludf.DUMMYFUNCTION("""COMPUTED_VALUE"""),0.0)</f>
        <v>0</v>
      </c>
      <c r="Q84" s="214">
        <f>IFERROR(__xludf.DUMMYFUNCTION("""COMPUTED_VALUE"""),0.0)</f>
        <v>0</v>
      </c>
      <c r="R84" s="214">
        <f>IFERROR(__xludf.DUMMYFUNCTION("""COMPUTED_VALUE"""),0.0)</f>
        <v>0</v>
      </c>
      <c r="S84" s="270">
        <f>IFERROR(__xludf.DUMMYFUNCTION("""COMPUTED_VALUE"""),5.0)</f>
        <v>5</v>
      </c>
      <c r="T84" s="270">
        <f>IFERROR(__xludf.DUMMYFUNCTION("""COMPUTED_VALUE"""),0.0)</f>
        <v>0</v>
      </c>
      <c r="U84" s="270">
        <f>IFERROR(__xludf.DUMMYFUNCTION("""COMPUTED_VALUE"""),56994.0)</f>
        <v>56994</v>
      </c>
      <c r="V84" s="101" t="str">
        <f>IFERROR(__xludf.DUMMYFUNCTION("""COMPUTED_VALUE"""),"overall")</f>
        <v>overall</v>
      </c>
      <c r="W84" s="101" t="str">
        <f>IFERROR(__xludf.DUMMYFUNCTION("""COMPUTED_VALUE"""),"SMS")</f>
        <v>SMS</v>
      </c>
      <c r="X84" s="212" t="str">
        <f>IFERROR(__xludf.DUMMYFUNCTION("""COMPUTED_VALUE"""),"Dormant")</f>
        <v>Dormant</v>
      </c>
      <c r="Y84" s="212" t="str">
        <f>IFERROR(__xludf.DUMMYFUNCTION("""COMPUTED_VALUE"""),"22nd May to 25th May")</f>
        <v>22nd May to 25th May</v>
      </c>
      <c r="Z84" s="212" t="str">
        <f>IFERROR(__xludf.DUMMYFUNCTION("""COMPUTED_VALUE"""),"6a0d6d1872a5b6bd4229b6d1")</f>
        <v>6a0d6d1872a5b6bd4229b6d1</v>
      </c>
      <c r="AA84" s="287">
        <f>IFERROR(__xludf.DUMMYFUNCTION("""COMPUTED_VALUE"""),87.0)</f>
        <v>87</v>
      </c>
      <c r="AB84" s="213">
        <f>IFERROR(__xludf.DUMMYFUNCTION("""COMPUTED_VALUE"""),0.0)</f>
        <v>0</v>
      </c>
      <c r="AC84" s="213">
        <f>IFERROR(__xludf.DUMMYFUNCTION("""COMPUTED_VALUE"""),87.0)</f>
        <v>87</v>
      </c>
      <c r="AD84" s="213">
        <f>IFERROR(__xludf.DUMMYFUNCTION("""COMPUTED_VALUE"""),1291777.0)</f>
        <v>1291777</v>
      </c>
      <c r="AE84" s="213">
        <f>IFERROR(__xludf.DUMMYFUNCTION("""COMPUTED_VALUE"""),0.0)</f>
        <v>0</v>
      </c>
      <c r="AF84" s="213">
        <f>IFERROR(__xludf.DUMMYFUNCTION("""COMPUTED_VALUE"""),1291777.0)</f>
        <v>1291777</v>
      </c>
      <c r="AG84" s="282"/>
      <c r="AH84" s="282"/>
      <c r="AI84" s="282"/>
      <c r="AJ84" s="282"/>
      <c r="AK84" s="282"/>
      <c r="AL84" s="282"/>
      <c r="AM84" s="282"/>
      <c r="AN84" s="282"/>
      <c r="AO84" s="282"/>
      <c r="AP84" s="282"/>
      <c r="AQ84" s="282"/>
      <c r="AR84" s="282"/>
      <c r="AS84" s="282"/>
      <c r="AT84" s="282"/>
      <c r="AU84" s="282"/>
      <c r="AV84" s="282"/>
      <c r="AW84" s="282"/>
      <c r="AX84" s="282"/>
      <c r="AY84" s="282"/>
      <c r="AZ84" s="282"/>
    </row>
    <row r="85">
      <c r="A85" s="209">
        <f>IFERROR(__xludf.DUMMYFUNCTION("""COMPUTED_VALUE"""),46163.0)</f>
        <v>46163</v>
      </c>
      <c r="B85" s="247">
        <f>IFERROR(__xludf.DUMMYFUNCTION("""COMPUTED_VALUE"""),0.8333333333321207)</f>
        <v>0.8333333333</v>
      </c>
      <c r="C85" s="218" t="str">
        <f>IFERROR(__xludf.DUMMYFUNCTION("""COMPUTED_VALUE"""),"Sms")</f>
        <v>Sms</v>
      </c>
      <c r="D85" s="218" t="str">
        <f>IFERROR(__xludf.DUMMYFUNCTION("""COMPUTED_VALUE"""),"Fallback campaign")</f>
        <v>Fallback campaign</v>
      </c>
      <c r="E85" s="218" t="str">
        <f>IFERROR(__xludf.DUMMYFUNCTION("""COMPUTED_VALUE"""),"CK")</f>
        <v>CK</v>
      </c>
      <c r="F85" s="218" t="str">
        <f>IFERROR(__xludf.DUMMYFUNCTION("""COMPUTED_VALUE"""),"SF2 3rd Anni promo - Flat 10% off")</f>
        <v>SF2 3rd Anni promo - Flat 10% off</v>
      </c>
      <c r="G85" s="218" t="str">
        <f>IFERROR(__xludf.DUMMYFUNCTION("""COMPUTED_VALUE"""),"SF2 3rd Anni promo_Day 1_event shoppers_fallback")</f>
        <v>SF2 3rd Anni promo_Day 1_event shoppers_fallback</v>
      </c>
      <c r="H85" s="218" t="str">
        <f>IFERROR(__xludf.DUMMYFUNCTION("""COMPUTED_VALUE"""),"ck_onoff_pr_eventbuyers_6thMarch26")</f>
        <v>ck_onoff_pr_eventbuyers_6thMarch26</v>
      </c>
      <c r="I85" s="218" t="str">
        <f>IFERROR(__xludf.DUMMYFUNCTION("""COMPUTED_VALUE"""),"WA Undelivered")</f>
        <v>WA Undelivered</v>
      </c>
      <c r="J85" s="213">
        <f>IFERROR(__xludf.DUMMYFUNCTION("""COMPUTED_VALUE"""),56632.0)</f>
        <v>56632</v>
      </c>
      <c r="K85" s="213">
        <f>IFERROR(__xludf.DUMMYFUNCTION("""COMPUTED_VALUE"""),30808.0)</f>
        <v>30808</v>
      </c>
      <c r="L85" s="214">
        <f>IFERROR(__xludf.DUMMYFUNCTION("""COMPUTED_VALUE"""),0.544)</f>
        <v>0.544</v>
      </c>
      <c r="M85" s="213">
        <f>IFERROR(__xludf.DUMMYFUNCTION("""COMPUTED_VALUE"""),0.0)</f>
        <v>0</v>
      </c>
      <c r="N85" s="214">
        <f>IFERROR(__xludf.DUMMYFUNCTION("""COMPUTED_VALUE"""),0.0)</f>
        <v>0</v>
      </c>
      <c r="O85" s="213">
        <f>IFERROR(__xludf.DUMMYFUNCTION("""COMPUTED_VALUE"""),0.0)</f>
        <v>0</v>
      </c>
      <c r="P85" s="213">
        <f>IFERROR(__xludf.DUMMYFUNCTION("""COMPUTED_VALUE"""),0.0)</f>
        <v>0</v>
      </c>
      <c r="Q85" s="214">
        <f>IFERROR(__xludf.DUMMYFUNCTION("""COMPUTED_VALUE"""),0.0)</f>
        <v>0</v>
      </c>
      <c r="R85" s="214">
        <f>IFERROR(__xludf.DUMMYFUNCTION("""COMPUTED_VALUE"""),0.0)</f>
        <v>0</v>
      </c>
      <c r="S85" s="270">
        <f>IFERROR(__xludf.DUMMYFUNCTION("""COMPUTED_VALUE"""),0.0)</f>
        <v>0</v>
      </c>
      <c r="T85" s="270">
        <f>IFERROR(__xludf.DUMMYFUNCTION("""COMPUTED_VALUE"""),0.0)</f>
        <v>0</v>
      </c>
      <c r="U85" s="270">
        <f>IFERROR(__xludf.DUMMYFUNCTION("""COMPUTED_VALUE"""),0.0)</f>
        <v>0</v>
      </c>
      <c r="V85" s="101" t="str">
        <f>IFERROR(__xludf.DUMMYFUNCTION("""COMPUTED_VALUE"""),"overall")</f>
        <v>overall</v>
      </c>
      <c r="W85" s="101" t="str">
        <f>IFERROR(__xludf.DUMMYFUNCTION("""COMPUTED_VALUE"""),"SMS")</f>
        <v>SMS</v>
      </c>
      <c r="X85" s="212" t="str">
        <f>IFERROR(__xludf.DUMMYFUNCTION("""COMPUTED_VALUE"""),"Event Buyers")</f>
        <v>Event Buyers</v>
      </c>
      <c r="Y85" s="212" t="str">
        <f>IFERROR(__xludf.DUMMYFUNCTION("""COMPUTED_VALUE"""),"22nd May to 25th May")</f>
        <v>22nd May to 25th May</v>
      </c>
      <c r="Z85" s="212" t="str">
        <f>IFERROR(__xludf.DUMMYFUNCTION("""COMPUTED_VALUE"""),"6a0d6d5ee5fd631e78489450")</f>
        <v>6a0d6d5ee5fd631e78489450</v>
      </c>
      <c r="AA85" s="287">
        <f>IFERROR(__xludf.DUMMYFUNCTION("""COMPUTED_VALUE"""),85.0)</f>
        <v>85</v>
      </c>
      <c r="AB85" s="213">
        <f>IFERROR(__xludf.DUMMYFUNCTION("""COMPUTED_VALUE"""),0.0)</f>
        <v>0</v>
      </c>
      <c r="AC85" s="213">
        <f>IFERROR(__xludf.DUMMYFUNCTION("""COMPUTED_VALUE"""),85.0)</f>
        <v>85</v>
      </c>
      <c r="AD85" s="213">
        <f>IFERROR(__xludf.DUMMYFUNCTION("""COMPUTED_VALUE"""),1238877.0)</f>
        <v>1238877</v>
      </c>
      <c r="AE85" s="213">
        <f>IFERROR(__xludf.DUMMYFUNCTION("""COMPUTED_VALUE"""),0.0)</f>
        <v>0</v>
      </c>
      <c r="AF85" s="213">
        <f>IFERROR(__xludf.DUMMYFUNCTION("""COMPUTED_VALUE"""),1238877.0)</f>
        <v>1238877</v>
      </c>
      <c r="AG85" s="282"/>
      <c r="AH85" s="282"/>
      <c r="AI85" s="282"/>
      <c r="AJ85" s="282"/>
      <c r="AK85" s="282"/>
      <c r="AL85" s="282"/>
      <c r="AM85" s="282"/>
      <c r="AN85" s="282"/>
      <c r="AO85" s="282"/>
      <c r="AP85" s="282"/>
      <c r="AQ85" s="282"/>
      <c r="AR85" s="282"/>
      <c r="AS85" s="282"/>
      <c r="AT85" s="282"/>
      <c r="AU85" s="282"/>
      <c r="AV85" s="282"/>
      <c r="AW85" s="282"/>
      <c r="AX85" s="282"/>
      <c r="AY85" s="282"/>
      <c r="AZ85" s="282"/>
    </row>
    <row r="86">
      <c r="A86" s="209">
        <f>IFERROR(__xludf.DUMMYFUNCTION("""COMPUTED_VALUE"""),46165.0)</f>
        <v>46165</v>
      </c>
      <c r="B86" s="247">
        <f>IFERROR(__xludf.DUMMYFUNCTION("""COMPUTED_VALUE"""),0.4166666666678793)</f>
        <v>0.4166666667</v>
      </c>
      <c r="C86" s="218" t="str">
        <f>IFERROR(__xludf.DUMMYFUNCTION("""COMPUTED_VALUE"""),"Whatsapp")</f>
        <v>Whatsapp</v>
      </c>
      <c r="D86" s="218" t="str">
        <f>IFERROR(__xludf.DUMMYFUNCTION("""COMPUTED_VALUE"""),"Promotional")</f>
        <v>Promotional</v>
      </c>
      <c r="E86" s="218" t="str">
        <f>IFERROR(__xludf.DUMMYFUNCTION("""COMPUTED_VALUE"""),"CK")</f>
        <v>CK</v>
      </c>
      <c r="F86" s="218" t="str">
        <f>IFERROR(__xludf.DUMMYFUNCTION("""COMPUTED_VALUE"""),"SF2 3rd Anni promo - Flat 10% off")</f>
        <v>SF2 3rd Anni promo - Flat 10% off</v>
      </c>
      <c r="G86" s="218" t="str">
        <f>IFERROR(__xludf.DUMMYFUNCTION("""COMPUTED_VALUE"""),"SF2 3rd Anni promo_Day 3_active")</f>
        <v>SF2 3rd Anni promo_Day 3_active</v>
      </c>
      <c r="H86" s="218" t="str">
        <f>IFERROR(__xludf.DUMMYFUNCTION("""COMPUTED_VALUE"""),"ck_online_active_29thapril_2026, ck_onoff_pr_Recent_6thMarch26")</f>
        <v>ck_online_active_29thapril_2026, ck_onoff_pr_Recent_6thMarch26</v>
      </c>
      <c r="I86" s="218" t="str">
        <f>IFERROR(__xludf.DUMMYFUNCTION("""COMPUTED_VALUE"""),"Custom data upload (active)")</f>
        <v>Custom data upload (active)</v>
      </c>
      <c r="J86" s="213">
        <f>IFERROR(__xludf.DUMMYFUNCTION("""COMPUTED_VALUE"""),83472.0)</f>
        <v>83472</v>
      </c>
      <c r="K86" s="213">
        <f>IFERROR(__xludf.DUMMYFUNCTION("""COMPUTED_VALUE"""),29372.0)</f>
        <v>29372</v>
      </c>
      <c r="L86" s="214">
        <f>IFERROR(__xludf.DUMMYFUNCTION("""COMPUTED_VALUE"""),0.3518)</f>
        <v>0.3518</v>
      </c>
      <c r="M86" s="213">
        <f>IFERROR(__xludf.DUMMYFUNCTION("""COMPUTED_VALUE"""),10904.0)</f>
        <v>10904</v>
      </c>
      <c r="N86" s="214">
        <f>IFERROR(__xludf.DUMMYFUNCTION("""COMPUTED_VALUE"""),0.3713)</f>
        <v>0.3713</v>
      </c>
      <c r="O86" s="213">
        <f>IFERROR(__xludf.DUMMYFUNCTION("""COMPUTED_VALUE"""),843.0)</f>
        <v>843</v>
      </c>
      <c r="P86" s="213">
        <f>IFERROR(__xludf.DUMMYFUNCTION("""COMPUTED_VALUE"""),798.0)</f>
        <v>798</v>
      </c>
      <c r="Q86" s="214">
        <f>IFERROR(__xludf.DUMMYFUNCTION("""COMPUTED_VALUE"""),0.0272)</f>
        <v>0.0272</v>
      </c>
      <c r="R86" s="214">
        <f>IFERROR(__xludf.DUMMYFUNCTION("""COMPUTED_VALUE"""),0.0732)</f>
        <v>0.0732</v>
      </c>
      <c r="S86" s="270">
        <f>IFERROR(__xludf.DUMMYFUNCTION("""COMPUTED_VALUE"""),0.0)</f>
        <v>0</v>
      </c>
      <c r="T86" s="270">
        <f>IFERROR(__xludf.DUMMYFUNCTION("""COMPUTED_VALUE"""),0.0)</f>
        <v>0</v>
      </c>
      <c r="U86" s="270">
        <f>IFERROR(__xludf.DUMMYFUNCTION("""COMPUTED_VALUE"""),0.0)</f>
        <v>0</v>
      </c>
      <c r="V86" s="101" t="str">
        <f>IFERROR(__xludf.DUMMYFUNCTION("""COMPUTED_VALUE"""),"overall")</f>
        <v>overall</v>
      </c>
      <c r="W86" s="101" t="str">
        <f>IFERROR(__xludf.DUMMYFUNCTION("""COMPUTED_VALUE"""),"simple")</f>
        <v>simple</v>
      </c>
      <c r="X86" s="212" t="str">
        <f>IFERROR(__xludf.DUMMYFUNCTION("""COMPUTED_VALUE"""),"Active")</f>
        <v>Active</v>
      </c>
      <c r="Y86" s="212" t="str">
        <f>IFERROR(__xludf.DUMMYFUNCTION("""COMPUTED_VALUE"""),"24nd May to 25th May")</f>
        <v>24nd May to 25th May</v>
      </c>
      <c r="Z86" s="212" t="str">
        <f>IFERROR(__xludf.DUMMYFUNCTION("""COMPUTED_VALUE"""),"6a0d9a8868da8b20c6f89f02")</f>
        <v>6a0d9a8868da8b20c6f89f02</v>
      </c>
      <c r="AA86" s="287">
        <f>IFERROR(__xludf.DUMMYFUNCTION("""COMPUTED_VALUE"""),34.0)</f>
        <v>34</v>
      </c>
      <c r="AB86" s="213">
        <f>IFERROR(__xludf.DUMMYFUNCTION("""COMPUTED_VALUE"""),0.0)</f>
        <v>0</v>
      </c>
      <c r="AC86" s="213">
        <f>IFERROR(__xludf.DUMMYFUNCTION("""COMPUTED_VALUE"""),34.0)</f>
        <v>34</v>
      </c>
      <c r="AD86" s="213">
        <f>IFERROR(__xludf.DUMMYFUNCTION("""COMPUTED_VALUE"""),386561.0)</f>
        <v>386561</v>
      </c>
      <c r="AE86" s="213">
        <f>IFERROR(__xludf.DUMMYFUNCTION("""COMPUTED_VALUE"""),0.0)</f>
        <v>0</v>
      </c>
      <c r="AF86" s="213">
        <f>IFERROR(__xludf.DUMMYFUNCTION("""COMPUTED_VALUE"""),386561.0)</f>
        <v>386561</v>
      </c>
      <c r="AG86" s="282"/>
      <c r="AH86" s="282"/>
      <c r="AI86" s="282"/>
      <c r="AJ86" s="282"/>
      <c r="AK86" s="282"/>
      <c r="AL86" s="282"/>
      <c r="AM86" s="282"/>
      <c r="AN86" s="282"/>
      <c r="AO86" s="282"/>
      <c r="AP86" s="282"/>
      <c r="AQ86" s="282"/>
      <c r="AR86" s="282"/>
      <c r="AS86" s="282"/>
      <c r="AT86" s="282"/>
      <c r="AU86" s="282"/>
      <c r="AV86" s="282"/>
      <c r="AW86" s="282"/>
      <c r="AX86" s="282"/>
      <c r="AY86" s="282"/>
      <c r="AZ86" s="282"/>
    </row>
    <row r="87">
      <c r="A87" s="209">
        <f>IFERROR(__xludf.DUMMYFUNCTION("""COMPUTED_VALUE"""),46165.0)</f>
        <v>46165</v>
      </c>
      <c r="B87" s="247">
        <f>IFERROR(__xludf.DUMMYFUNCTION("""COMPUTED_VALUE"""),0.4166666666678793)</f>
        <v>0.4166666667</v>
      </c>
      <c r="C87" s="218" t="str">
        <f>IFERROR(__xludf.DUMMYFUNCTION("""COMPUTED_VALUE"""),"Whatsapp")</f>
        <v>Whatsapp</v>
      </c>
      <c r="D87" s="218" t="str">
        <f>IFERROR(__xludf.DUMMYFUNCTION("""COMPUTED_VALUE"""),"Promotional")</f>
        <v>Promotional</v>
      </c>
      <c r="E87" s="218" t="str">
        <f>IFERROR(__xludf.DUMMYFUNCTION("""COMPUTED_VALUE"""),"CK")</f>
        <v>CK</v>
      </c>
      <c r="F87" s="218" t="str">
        <f>IFERROR(__xludf.DUMMYFUNCTION("""COMPUTED_VALUE"""),"SF2 3rd Anni promo - Flat 10% off")</f>
        <v>SF2 3rd Anni promo - Flat 10% off</v>
      </c>
      <c r="G87" s="218" t="str">
        <f>IFERROR(__xludf.DUMMYFUNCTION("""COMPUTED_VALUE"""),"SF2 3rd Anni promo_Day 3_dormant")</f>
        <v>SF2 3rd Anni promo_Day 3_dormant</v>
      </c>
      <c r="H87" s="218" t="str">
        <f>IFERROR(__xludf.DUMMYFUNCTION("""COMPUTED_VALUE"""),"ck_online_dormant_29thapril_2026, CK_Dormant_Churned_Off")</f>
        <v>ck_online_dormant_29thapril_2026, CK_Dormant_Churned_Off</v>
      </c>
      <c r="I87" s="218" t="str">
        <f>IFERROR(__xludf.DUMMYFUNCTION("""COMPUTED_VALUE"""),"Custom data upload (dormant)")</f>
        <v>Custom data upload (dormant)</v>
      </c>
      <c r="J87" s="213">
        <f>IFERROR(__xludf.DUMMYFUNCTION("""COMPUTED_VALUE"""),174008.0)</f>
        <v>174008</v>
      </c>
      <c r="K87" s="213">
        <f>IFERROR(__xludf.DUMMYFUNCTION("""COMPUTED_VALUE"""),59580.0)</f>
        <v>59580</v>
      </c>
      <c r="L87" s="214">
        <f>IFERROR(__xludf.DUMMYFUNCTION("""COMPUTED_VALUE"""),0.3423)</f>
        <v>0.3423</v>
      </c>
      <c r="M87" s="213">
        <f>IFERROR(__xludf.DUMMYFUNCTION("""COMPUTED_VALUE"""),21191.0)</f>
        <v>21191</v>
      </c>
      <c r="N87" s="214">
        <f>IFERROR(__xludf.DUMMYFUNCTION("""COMPUTED_VALUE"""),0.3557)</f>
        <v>0.3557</v>
      </c>
      <c r="O87" s="213">
        <f>IFERROR(__xludf.DUMMYFUNCTION("""COMPUTED_VALUE"""),1535.0)</f>
        <v>1535</v>
      </c>
      <c r="P87" s="213">
        <f>IFERROR(__xludf.DUMMYFUNCTION("""COMPUTED_VALUE"""),1473.0)</f>
        <v>1473</v>
      </c>
      <c r="Q87" s="214">
        <f>IFERROR(__xludf.DUMMYFUNCTION("""COMPUTED_VALUE"""),0.0247)</f>
        <v>0.0247</v>
      </c>
      <c r="R87" s="214">
        <f>IFERROR(__xludf.DUMMYFUNCTION("""COMPUTED_VALUE"""),0.0695)</f>
        <v>0.0695</v>
      </c>
      <c r="S87" s="270">
        <f>IFERROR(__xludf.DUMMYFUNCTION("""COMPUTED_VALUE"""),0.0)</f>
        <v>0</v>
      </c>
      <c r="T87" s="270">
        <f>IFERROR(__xludf.DUMMYFUNCTION("""COMPUTED_VALUE"""),0.0)</f>
        <v>0</v>
      </c>
      <c r="U87" s="270">
        <f>IFERROR(__xludf.DUMMYFUNCTION("""COMPUTED_VALUE"""),0.0)</f>
        <v>0</v>
      </c>
      <c r="V87" s="101" t="str">
        <f>IFERROR(__xludf.DUMMYFUNCTION("""COMPUTED_VALUE"""),"overall")</f>
        <v>overall</v>
      </c>
      <c r="W87" s="101" t="str">
        <f>IFERROR(__xludf.DUMMYFUNCTION("""COMPUTED_VALUE"""),"simple")</f>
        <v>simple</v>
      </c>
      <c r="X87" s="212" t="str">
        <f>IFERROR(__xludf.DUMMYFUNCTION("""COMPUTED_VALUE"""),"Dormant")</f>
        <v>Dormant</v>
      </c>
      <c r="Y87" s="212" t="str">
        <f>IFERROR(__xludf.DUMMYFUNCTION("""COMPUTED_VALUE"""),"24nd May to 25th May")</f>
        <v>24nd May to 25th May</v>
      </c>
      <c r="Z87" s="212" t="str">
        <f>IFERROR(__xludf.DUMMYFUNCTION("""COMPUTED_VALUE"""),"6a0d9aa41fe3331d9ee8b59e")</f>
        <v>6a0d9aa41fe3331d9ee8b59e</v>
      </c>
      <c r="AA87" s="287">
        <f>IFERROR(__xludf.DUMMYFUNCTION("""COMPUTED_VALUE"""),31.0)</f>
        <v>31</v>
      </c>
      <c r="AB87" s="213">
        <f>IFERROR(__xludf.DUMMYFUNCTION("""COMPUTED_VALUE"""),0.0)</f>
        <v>0</v>
      </c>
      <c r="AC87" s="213">
        <f>IFERROR(__xludf.DUMMYFUNCTION("""COMPUTED_VALUE"""),31.0)</f>
        <v>31</v>
      </c>
      <c r="AD87" s="213">
        <f>IFERROR(__xludf.DUMMYFUNCTION("""COMPUTED_VALUE"""),383462.0)</f>
        <v>383462</v>
      </c>
      <c r="AE87" s="213">
        <f>IFERROR(__xludf.DUMMYFUNCTION("""COMPUTED_VALUE"""),0.0)</f>
        <v>0</v>
      </c>
      <c r="AF87" s="213">
        <f>IFERROR(__xludf.DUMMYFUNCTION("""COMPUTED_VALUE"""),383462.0)</f>
        <v>383462</v>
      </c>
      <c r="AG87" s="282"/>
      <c r="AH87" s="282"/>
      <c r="AI87" s="282"/>
      <c r="AJ87" s="282"/>
      <c r="AK87" s="282"/>
      <c r="AL87" s="282"/>
      <c r="AM87" s="282"/>
      <c r="AN87" s="282"/>
      <c r="AO87" s="282"/>
      <c r="AP87" s="282"/>
      <c r="AQ87" s="282"/>
      <c r="AR87" s="282"/>
      <c r="AS87" s="282"/>
      <c r="AT87" s="282"/>
      <c r="AU87" s="282"/>
      <c r="AV87" s="282"/>
      <c r="AW87" s="282"/>
      <c r="AX87" s="282"/>
      <c r="AY87" s="282"/>
      <c r="AZ87" s="282"/>
    </row>
    <row r="88">
      <c r="A88" s="209">
        <f>IFERROR(__xludf.DUMMYFUNCTION("""COMPUTED_VALUE"""),46165.0)</f>
        <v>46165</v>
      </c>
      <c r="B88" s="247">
        <f>IFERROR(__xludf.DUMMYFUNCTION("""COMPUTED_VALUE"""),0.4166666666678793)</f>
        <v>0.4166666667</v>
      </c>
      <c r="C88" s="218" t="str">
        <f>IFERROR(__xludf.DUMMYFUNCTION("""COMPUTED_VALUE"""),"Whatsapp")</f>
        <v>Whatsapp</v>
      </c>
      <c r="D88" s="218" t="str">
        <f>IFERROR(__xludf.DUMMYFUNCTION("""COMPUTED_VALUE"""),"Promotional")</f>
        <v>Promotional</v>
      </c>
      <c r="E88" s="218" t="str">
        <f>IFERROR(__xludf.DUMMYFUNCTION("""COMPUTED_VALUE"""),"CK")</f>
        <v>CK</v>
      </c>
      <c r="F88" s="218" t="str">
        <f>IFERROR(__xludf.DUMMYFUNCTION("""COMPUTED_VALUE"""),"SF2 3rd Anni promo - Flat 10% off")</f>
        <v>SF2 3rd Anni promo - Flat 10% off</v>
      </c>
      <c r="G88" s="218" t="str">
        <f>IFERROR(__xludf.DUMMYFUNCTION("""COMPUTED_VALUE"""),"SF2 3rd Anni promo_Day 3_event shoppers")</f>
        <v>SF2 3rd Anni promo_Day 3_event shoppers</v>
      </c>
      <c r="H88" s="218" t="str">
        <f>IFERROR(__xludf.DUMMYFUNCTION("""COMPUTED_VALUE"""),"ck_onoff_pr_eventbuyers_6thMarch26")</f>
        <v>ck_onoff_pr_eventbuyers_6thMarch26</v>
      </c>
      <c r="I88" s="218" t="str">
        <f>IFERROR(__xludf.DUMMYFUNCTION("""COMPUTED_VALUE"""),"Event shoppers")</f>
        <v>Event shoppers</v>
      </c>
      <c r="J88" s="213">
        <f>IFERROR(__xludf.DUMMYFUNCTION("""COMPUTED_VALUE"""),88011.0)</f>
        <v>88011</v>
      </c>
      <c r="K88" s="213">
        <f>IFERROR(__xludf.DUMMYFUNCTION("""COMPUTED_VALUE"""),29977.0)</f>
        <v>29977</v>
      </c>
      <c r="L88" s="214">
        <f>IFERROR(__xludf.DUMMYFUNCTION("""COMPUTED_VALUE"""),0.3406)</f>
        <v>0.3406</v>
      </c>
      <c r="M88" s="213">
        <f>IFERROR(__xludf.DUMMYFUNCTION("""COMPUTED_VALUE"""),11225.0)</f>
        <v>11225</v>
      </c>
      <c r="N88" s="214">
        <f>IFERROR(__xludf.DUMMYFUNCTION("""COMPUTED_VALUE"""),0.3744)</f>
        <v>0.3744</v>
      </c>
      <c r="O88" s="213">
        <f>IFERROR(__xludf.DUMMYFUNCTION("""COMPUTED_VALUE"""),1011.0)</f>
        <v>1011</v>
      </c>
      <c r="P88" s="213">
        <f>IFERROR(__xludf.DUMMYFUNCTION("""COMPUTED_VALUE"""),970.0)</f>
        <v>970</v>
      </c>
      <c r="Q88" s="214">
        <f>IFERROR(__xludf.DUMMYFUNCTION("""COMPUTED_VALUE"""),0.0324)</f>
        <v>0.0324</v>
      </c>
      <c r="R88" s="214">
        <f>IFERROR(__xludf.DUMMYFUNCTION("""COMPUTED_VALUE"""),0.0864)</f>
        <v>0.0864</v>
      </c>
      <c r="S88" s="270">
        <f>IFERROR(__xludf.DUMMYFUNCTION("""COMPUTED_VALUE"""),0.0)</f>
        <v>0</v>
      </c>
      <c r="T88" s="270">
        <f>IFERROR(__xludf.DUMMYFUNCTION("""COMPUTED_VALUE"""),0.0)</f>
        <v>0</v>
      </c>
      <c r="U88" s="270">
        <f>IFERROR(__xludf.DUMMYFUNCTION("""COMPUTED_VALUE"""),0.0)</f>
        <v>0</v>
      </c>
      <c r="V88" s="101" t="str">
        <f>IFERROR(__xludf.DUMMYFUNCTION("""COMPUTED_VALUE"""),"overall")</f>
        <v>overall</v>
      </c>
      <c r="W88" s="101" t="str">
        <f>IFERROR(__xludf.DUMMYFUNCTION("""COMPUTED_VALUE"""),"simple")</f>
        <v>simple</v>
      </c>
      <c r="X88" s="212" t="str">
        <f>IFERROR(__xludf.DUMMYFUNCTION("""COMPUTED_VALUE"""),"Event Buyers")</f>
        <v>Event Buyers</v>
      </c>
      <c r="Y88" s="212" t="str">
        <f>IFERROR(__xludf.DUMMYFUNCTION("""COMPUTED_VALUE"""),"24nd May to 25th May")</f>
        <v>24nd May to 25th May</v>
      </c>
      <c r="Z88" s="212" t="str">
        <f>IFERROR(__xludf.DUMMYFUNCTION("""COMPUTED_VALUE"""),"6a0d9abbf8bd0e2e8e872a2b")</f>
        <v>6a0d9abbf8bd0e2e8e872a2b</v>
      </c>
      <c r="AA88" s="287">
        <f>IFERROR(__xludf.DUMMYFUNCTION("""COMPUTED_VALUE"""),29.0)</f>
        <v>29</v>
      </c>
      <c r="AB88" s="213">
        <f>IFERROR(__xludf.DUMMYFUNCTION("""COMPUTED_VALUE"""),0.0)</f>
        <v>0</v>
      </c>
      <c r="AC88" s="213">
        <f>IFERROR(__xludf.DUMMYFUNCTION("""COMPUTED_VALUE"""),29.0)</f>
        <v>29</v>
      </c>
      <c r="AD88" s="213">
        <f>IFERROR(__xludf.DUMMYFUNCTION("""COMPUTED_VALUE"""),428956.0)</f>
        <v>428956</v>
      </c>
      <c r="AE88" s="213">
        <f>IFERROR(__xludf.DUMMYFUNCTION("""COMPUTED_VALUE"""),0.0)</f>
        <v>0</v>
      </c>
      <c r="AF88" s="213">
        <f>IFERROR(__xludf.DUMMYFUNCTION("""COMPUTED_VALUE"""),428956.0)</f>
        <v>428956</v>
      </c>
      <c r="AG88" s="282"/>
      <c r="AH88" s="282"/>
      <c r="AI88" s="282"/>
      <c r="AJ88" s="282"/>
      <c r="AK88" s="282"/>
      <c r="AL88" s="282"/>
      <c r="AM88" s="282"/>
      <c r="AN88" s="282"/>
      <c r="AO88" s="282"/>
      <c r="AP88" s="282"/>
      <c r="AQ88" s="282"/>
      <c r="AR88" s="282"/>
      <c r="AS88" s="282"/>
      <c r="AT88" s="282"/>
      <c r="AU88" s="282"/>
      <c r="AV88" s="282"/>
      <c r="AW88" s="282"/>
      <c r="AX88" s="282"/>
      <c r="AY88" s="282"/>
      <c r="AZ88" s="282"/>
    </row>
    <row r="89">
      <c r="A89" s="209">
        <f>IFERROR(__xludf.DUMMYFUNCTION("""COMPUTED_VALUE"""),46165.0)</f>
        <v>46165</v>
      </c>
      <c r="B89" s="247">
        <f>IFERROR(__xludf.DUMMYFUNCTION("""COMPUTED_VALUE"""),0.5)</f>
        <v>0.5</v>
      </c>
      <c r="C89" s="218" t="str">
        <f>IFERROR(__xludf.DUMMYFUNCTION("""COMPUTED_VALUE"""),"Sms")</f>
        <v>Sms</v>
      </c>
      <c r="D89" s="218" t="str">
        <f>IFERROR(__xludf.DUMMYFUNCTION("""COMPUTED_VALUE"""),"Fallback campaign")</f>
        <v>Fallback campaign</v>
      </c>
      <c r="E89" s="218" t="str">
        <f>IFERROR(__xludf.DUMMYFUNCTION("""COMPUTED_VALUE"""),"CK")</f>
        <v>CK</v>
      </c>
      <c r="F89" s="218" t="str">
        <f>IFERROR(__xludf.DUMMYFUNCTION("""COMPUTED_VALUE"""),"SF2 3rd Anni promo - Flat 10% off")</f>
        <v>SF2 3rd Anni promo - Flat 10% off</v>
      </c>
      <c r="G89" s="218" t="str">
        <f>IFERROR(__xludf.DUMMYFUNCTION("""COMPUTED_VALUE"""),"SF2 3rd Anni promo_Day 3_active-Fallback")</f>
        <v>SF2 3rd Anni promo_Day 3_active-Fallback</v>
      </c>
      <c r="H89" s="218" t="str">
        <f>IFERROR(__xludf.DUMMYFUNCTION("""COMPUTED_VALUE"""),"ck_online_active_29thapril_2026, ck_onoff_pr_Recent_6thMarch26")</f>
        <v>ck_online_active_29thapril_2026, ck_onoff_pr_Recent_6thMarch26</v>
      </c>
      <c r="I89" s="218" t="str">
        <f>IFERROR(__xludf.DUMMYFUNCTION("""COMPUTED_VALUE"""),"WA Undelivered")</f>
        <v>WA Undelivered</v>
      </c>
      <c r="J89" s="213">
        <f>IFERROR(__xludf.DUMMYFUNCTION("""COMPUTED_VALUE"""),53029.0)</f>
        <v>53029</v>
      </c>
      <c r="K89" s="213">
        <f>IFERROR(__xludf.DUMMYFUNCTION("""COMPUTED_VALUE"""),30270.0)</f>
        <v>30270</v>
      </c>
      <c r="L89" s="214">
        <f>IFERROR(__xludf.DUMMYFUNCTION("""COMPUTED_VALUE"""),0.5708)</f>
        <v>0.5708</v>
      </c>
      <c r="M89" s="213">
        <f>IFERROR(__xludf.DUMMYFUNCTION("""COMPUTED_VALUE"""),0.0)</f>
        <v>0</v>
      </c>
      <c r="N89" s="214">
        <f>IFERROR(__xludf.DUMMYFUNCTION("""COMPUTED_VALUE"""),0.0)</f>
        <v>0</v>
      </c>
      <c r="O89" s="213">
        <f>IFERROR(__xludf.DUMMYFUNCTION("""COMPUTED_VALUE"""),0.0)</f>
        <v>0</v>
      </c>
      <c r="P89" s="213">
        <f>IFERROR(__xludf.DUMMYFUNCTION("""COMPUTED_VALUE"""),0.0)</f>
        <v>0</v>
      </c>
      <c r="Q89" s="214">
        <f>IFERROR(__xludf.DUMMYFUNCTION("""COMPUTED_VALUE"""),0.0)</f>
        <v>0</v>
      </c>
      <c r="R89" s="214">
        <f>IFERROR(__xludf.DUMMYFUNCTION("""COMPUTED_VALUE"""),0.0)</f>
        <v>0</v>
      </c>
      <c r="S89" s="270">
        <f>IFERROR(__xludf.DUMMYFUNCTION("""COMPUTED_VALUE"""),0.0)</f>
        <v>0</v>
      </c>
      <c r="T89" s="270">
        <f>IFERROR(__xludf.DUMMYFUNCTION("""COMPUTED_VALUE"""),0.0)</f>
        <v>0</v>
      </c>
      <c r="U89" s="270">
        <f>IFERROR(__xludf.DUMMYFUNCTION("""COMPUTED_VALUE"""),0.0)</f>
        <v>0</v>
      </c>
      <c r="V89" s="101" t="str">
        <f>IFERROR(__xludf.DUMMYFUNCTION("""COMPUTED_VALUE"""),"overall")</f>
        <v>overall</v>
      </c>
      <c r="W89" s="101" t="str">
        <f>IFERROR(__xludf.DUMMYFUNCTION("""COMPUTED_VALUE"""),"SMS")</f>
        <v>SMS</v>
      </c>
      <c r="X89" s="212" t="str">
        <f>IFERROR(__xludf.DUMMYFUNCTION("""COMPUTED_VALUE"""),"Active")</f>
        <v>Active</v>
      </c>
      <c r="Y89" s="212" t="str">
        <f>IFERROR(__xludf.DUMMYFUNCTION("""COMPUTED_VALUE"""),"24nd May to 25th May")</f>
        <v>24nd May to 25th May</v>
      </c>
      <c r="Z89" s="212" t="str">
        <f>IFERROR(__xludf.DUMMYFUNCTION("""COMPUTED_VALUE"""),"6a0d9ce8798618a80f5ef1a7")</f>
        <v>6a0d9ce8798618a80f5ef1a7</v>
      </c>
      <c r="AA89" s="287">
        <f>IFERROR(__xludf.DUMMYFUNCTION("""COMPUTED_VALUE"""),40.0)</f>
        <v>40</v>
      </c>
      <c r="AB89" s="213">
        <f>IFERROR(__xludf.DUMMYFUNCTION("""COMPUTED_VALUE"""),0.0)</f>
        <v>0</v>
      </c>
      <c r="AC89" s="213">
        <f>IFERROR(__xludf.DUMMYFUNCTION("""COMPUTED_VALUE"""),40.0)</f>
        <v>40</v>
      </c>
      <c r="AD89" s="213">
        <f>IFERROR(__xludf.DUMMYFUNCTION("""COMPUTED_VALUE"""),481351.0)</f>
        <v>481351</v>
      </c>
      <c r="AE89" s="213">
        <f>IFERROR(__xludf.DUMMYFUNCTION("""COMPUTED_VALUE"""),0.0)</f>
        <v>0</v>
      </c>
      <c r="AF89" s="213">
        <f>IFERROR(__xludf.DUMMYFUNCTION("""COMPUTED_VALUE"""),481351.0)</f>
        <v>481351</v>
      </c>
      <c r="AG89" s="282"/>
      <c r="AH89" s="282"/>
      <c r="AI89" s="282"/>
      <c r="AJ89" s="282"/>
      <c r="AK89" s="282"/>
      <c r="AL89" s="282"/>
      <c r="AM89" s="282"/>
      <c r="AN89" s="282"/>
      <c r="AO89" s="282"/>
      <c r="AP89" s="282"/>
      <c r="AQ89" s="282"/>
      <c r="AR89" s="282"/>
      <c r="AS89" s="282"/>
      <c r="AT89" s="282"/>
      <c r="AU89" s="282"/>
      <c r="AV89" s="282"/>
      <c r="AW89" s="282"/>
      <c r="AX89" s="282"/>
      <c r="AY89" s="282"/>
      <c r="AZ89" s="282"/>
    </row>
    <row r="90">
      <c r="A90" s="209">
        <f>IFERROR(__xludf.DUMMYFUNCTION("""COMPUTED_VALUE"""),46165.0)</f>
        <v>46165</v>
      </c>
      <c r="B90" s="247">
        <f>IFERROR(__xludf.DUMMYFUNCTION("""COMPUTED_VALUE"""),0.5)</f>
        <v>0.5</v>
      </c>
      <c r="C90" s="218" t="str">
        <f>IFERROR(__xludf.DUMMYFUNCTION("""COMPUTED_VALUE"""),"Sms")</f>
        <v>Sms</v>
      </c>
      <c r="D90" s="218" t="str">
        <f>IFERROR(__xludf.DUMMYFUNCTION("""COMPUTED_VALUE"""),"Fallback campaign")</f>
        <v>Fallback campaign</v>
      </c>
      <c r="E90" s="218" t="str">
        <f>IFERROR(__xludf.DUMMYFUNCTION("""COMPUTED_VALUE"""),"CK")</f>
        <v>CK</v>
      </c>
      <c r="F90" s="218" t="str">
        <f>IFERROR(__xludf.DUMMYFUNCTION("""COMPUTED_VALUE"""),"SF2 3rd Anni promo - Flat 10% off")</f>
        <v>SF2 3rd Anni promo - Flat 10% off</v>
      </c>
      <c r="G90" s="218" t="str">
        <f>IFERROR(__xludf.DUMMYFUNCTION("""COMPUTED_VALUE"""),"SF2 3rd Anni promo_Day 3_dormant_fallback")</f>
        <v>SF2 3rd Anni promo_Day 3_dormant_fallback</v>
      </c>
      <c r="H90" s="218" t="str">
        <f>IFERROR(__xludf.DUMMYFUNCTION("""COMPUTED_VALUE"""),"ck_online_dormant_29thapril_2026, CK_Dormant_Churned_Off")</f>
        <v>ck_online_dormant_29thapril_2026, CK_Dormant_Churned_Off</v>
      </c>
      <c r="I90" s="218" t="str">
        <f>IFERROR(__xludf.DUMMYFUNCTION("""COMPUTED_VALUE"""),"WA Undelivered")</f>
        <v>WA Undelivered</v>
      </c>
      <c r="J90" s="213">
        <f>IFERROR(__xludf.DUMMYFUNCTION("""COMPUTED_VALUE"""),111670.0)</f>
        <v>111670</v>
      </c>
      <c r="K90" s="213">
        <f>IFERROR(__xludf.DUMMYFUNCTION("""COMPUTED_VALUE"""),62620.0)</f>
        <v>62620</v>
      </c>
      <c r="L90" s="214">
        <f>IFERROR(__xludf.DUMMYFUNCTION("""COMPUTED_VALUE"""),0.5608)</f>
        <v>0.5608</v>
      </c>
      <c r="M90" s="213">
        <f>IFERROR(__xludf.DUMMYFUNCTION("""COMPUTED_VALUE"""),0.0)</f>
        <v>0</v>
      </c>
      <c r="N90" s="214">
        <f>IFERROR(__xludf.DUMMYFUNCTION("""COMPUTED_VALUE"""),0.0)</f>
        <v>0</v>
      </c>
      <c r="O90" s="213">
        <f>IFERROR(__xludf.DUMMYFUNCTION("""COMPUTED_VALUE"""),0.0)</f>
        <v>0</v>
      </c>
      <c r="P90" s="213">
        <f>IFERROR(__xludf.DUMMYFUNCTION("""COMPUTED_VALUE"""),0.0)</f>
        <v>0</v>
      </c>
      <c r="Q90" s="214">
        <f>IFERROR(__xludf.DUMMYFUNCTION("""COMPUTED_VALUE"""),0.0)</f>
        <v>0</v>
      </c>
      <c r="R90" s="214">
        <f>IFERROR(__xludf.DUMMYFUNCTION("""COMPUTED_VALUE"""),0.0)</f>
        <v>0</v>
      </c>
      <c r="S90" s="270">
        <f>IFERROR(__xludf.DUMMYFUNCTION("""COMPUTED_VALUE"""),0.0)</f>
        <v>0</v>
      </c>
      <c r="T90" s="270">
        <f>IFERROR(__xludf.DUMMYFUNCTION("""COMPUTED_VALUE"""),0.0)</f>
        <v>0</v>
      </c>
      <c r="U90" s="270">
        <f>IFERROR(__xludf.DUMMYFUNCTION("""COMPUTED_VALUE"""),0.0)</f>
        <v>0</v>
      </c>
      <c r="V90" s="101" t="str">
        <f>IFERROR(__xludf.DUMMYFUNCTION("""COMPUTED_VALUE"""),"overall")</f>
        <v>overall</v>
      </c>
      <c r="W90" s="101" t="str">
        <f>IFERROR(__xludf.DUMMYFUNCTION("""COMPUTED_VALUE"""),"SMS")</f>
        <v>SMS</v>
      </c>
      <c r="X90" s="212" t="str">
        <f>IFERROR(__xludf.DUMMYFUNCTION("""COMPUTED_VALUE"""),"Dormant")</f>
        <v>Dormant</v>
      </c>
      <c r="Y90" s="212" t="str">
        <f>IFERROR(__xludf.DUMMYFUNCTION("""COMPUTED_VALUE"""),"24nd May to 25th May")</f>
        <v>24nd May to 25th May</v>
      </c>
      <c r="Z90" s="212" t="str">
        <f>IFERROR(__xludf.DUMMYFUNCTION("""COMPUTED_VALUE"""),"6a0d9cf1afbbdc30074b0a42")</f>
        <v>6a0d9cf1afbbdc30074b0a42</v>
      </c>
      <c r="AA90" s="287">
        <f>IFERROR(__xludf.DUMMYFUNCTION("""COMPUTED_VALUE"""),20.0)</f>
        <v>20</v>
      </c>
      <c r="AB90" s="213">
        <f>IFERROR(__xludf.DUMMYFUNCTION("""COMPUTED_VALUE"""),0.0)</f>
        <v>0</v>
      </c>
      <c r="AC90" s="213">
        <f>IFERROR(__xludf.DUMMYFUNCTION("""COMPUTED_VALUE"""),20.0)</f>
        <v>20</v>
      </c>
      <c r="AD90" s="213">
        <f>IFERROR(__xludf.DUMMYFUNCTION("""COMPUTED_VALUE"""),211377.0)</f>
        <v>211377</v>
      </c>
      <c r="AE90" s="213">
        <f>IFERROR(__xludf.DUMMYFUNCTION("""COMPUTED_VALUE"""),0.0)</f>
        <v>0</v>
      </c>
      <c r="AF90" s="213">
        <f>IFERROR(__xludf.DUMMYFUNCTION("""COMPUTED_VALUE"""),211377.0)</f>
        <v>211377</v>
      </c>
      <c r="AG90" s="282"/>
      <c r="AH90" s="282"/>
      <c r="AI90" s="282"/>
      <c r="AJ90" s="282"/>
      <c r="AK90" s="282"/>
      <c r="AL90" s="282"/>
      <c r="AM90" s="282"/>
      <c r="AN90" s="282"/>
      <c r="AO90" s="282"/>
      <c r="AP90" s="282"/>
      <c r="AQ90" s="282"/>
      <c r="AR90" s="282"/>
      <c r="AS90" s="282"/>
      <c r="AT90" s="282"/>
      <c r="AU90" s="282"/>
      <c r="AV90" s="282"/>
      <c r="AW90" s="282"/>
      <c r="AX90" s="282"/>
      <c r="AY90" s="282"/>
      <c r="AZ90" s="282"/>
    </row>
    <row r="91">
      <c r="A91" s="209">
        <f>IFERROR(__xludf.DUMMYFUNCTION("""COMPUTED_VALUE"""),46165.0)</f>
        <v>46165</v>
      </c>
      <c r="B91" s="247">
        <f>IFERROR(__xludf.DUMMYFUNCTION("""COMPUTED_VALUE"""),0.5)</f>
        <v>0.5</v>
      </c>
      <c r="C91" s="218" t="str">
        <f>IFERROR(__xludf.DUMMYFUNCTION("""COMPUTED_VALUE"""),"Sms")</f>
        <v>Sms</v>
      </c>
      <c r="D91" s="218" t="str">
        <f>IFERROR(__xludf.DUMMYFUNCTION("""COMPUTED_VALUE"""),"Fallback campaign")</f>
        <v>Fallback campaign</v>
      </c>
      <c r="E91" s="218" t="str">
        <f>IFERROR(__xludf.DUMMYFUNCTION("""COMPUTED_VALUE"""),"CK")</f>
        <v>CK</v>
      </c>
      <c r="F91" s="218" t="str">
        <f>IFERROR(__xludf.DUMMYFUNCTION("""COMPUTED_VALUE"""),"SF2 3rd Anni promo - Flat 10% off")</f>
        <v>SF2 3rd Anni promo - Flat 10% off</v>
      </c>
      <c r="G91" s="218" t="str">
        <f>IFERROR(__xludf.DUMMYFUNCTION("""COMPUTED_VALUE"""),"SF2 3rd Anni promo_Day 3_event shoppers_fallback")</f>
        <v>SF2 3rd Anni promo_Day 3_event shoppers_fallback</v>
      </c>
      <c r="H91" s="218" t="str">
        <f>IFERROR(__xludf.DUMMYFUNCTION("""COMPUTED_VALUE"""),"ck_onoff_pr_eventbuyers_6thMarch26")</f>
        <v>ck_onoff_pr_eventbuyers_6thMarch26</v>
      </c>
      <c r="I91" s="218" t="str">
        <f>IFERROR(__xludf.DUMMYFUNCTION("""COMPUTED_VALUE"""),"WA Undelivered")</f>
        <v>WA Undelivered</v>
      </c>
      <c r="J91" s="213">
        <f>IFERROR(__xludf.DUMMYFUNCTION("""COMPUTED_VALUE"""),56740.0)</f>
        <v>56740</v>
      </c>
      <c r="K91" s="213">
        <f>IFERROR(__xludf.DUMMYFUNCTION("""COMPUTED_VALUE"""),30745.0)</f>
        <v>30745</v>
      </c>
      <c r="L91" s="214">
        <f>IFERROR(__xludf.DUMMYFUNCTION("""COMPUTED_VALUE"""),0.5419)</f>
        <v>0.5419</v>
      </c>
      <c r="M91" s="213">
        <f>IFERROR(__xludf.DUMMYFUNCTION("""COMPUTED_VALUE"""),0.0)</f>
        <v>0</v>
      </c>
      <c r="N91" s="214">
        <f>IFERROR(__xludf.DUMMYFUNCTION("""COMPUTED_VALUE"""),0.0)</f>
        <v>0</v>
      </c>
      <c r="O91" s="213">
        <f>IFERROR(__xludf.DUMMYFUNCTION("""COMPUTED_VALUE"""),0.0)</f>
        <v>0</v>
      </c>
      <c r="P91" s="213">
        <f>IFERROR(__xludf.DUMMYFUNCTION("""COMPUTED_VALUE"""),0.0)</f>
        <v>0</v>
      </c>
      <c r="Q91" s="214">
        <f>IFERROR(__xludf.DUMMYFUNCTION("""COMPUTED_VALUE"""),0.0)</f>
        <v>0</v>
      </c>
      <c r="R91" s="214">
        <f>IFERROR(__xludf.DUMMYFUNCTION("""COMPUTED_VALUE"""),0.0)</f>
        <v>0</v>
      </c>
      <c r="S91" s="270">
        <f>IFERROR(__xludf.DUMMYFUNCTION("""COMPUTED_VALUE"""),0.0)</f>
        <v>0</v>
      </c>
      <c r="T91" s="270">
        <f>IFERROR(__xludf.DUMMYFUNCTION("""COMPUTED_VALUE"""),0.0)</f>
        <v>0</v>
      </c>
      <c r="U91" s="270">
        <f>IFERROR(__xludf.DUMMYFUNCTION("""COMPUTED_VALUE"""),0.0)</f>
        <v>0</v>
      </c>
      <c r="V91" s="101" t="str">
        <f>IFERROR(__xludf.DUMMYFUNCTION("""COMPUTED_VALUE"""),"overall")</f>
        <v>overall</v>
      </c>
      <c r="W91" s="101" t="str">
        <f>IFERROR(__xludf.DUMMYFUNCTION("""COMPUTED_VALUE"""),"SMS")</f>
        <v>SMS</v>
      </c>
      <c r="X91" s="212" t="str">
        <f>IFERROR(__xludf.DUMMYFUNCTION("""COMPUTED_VALUE"""),"Event Buyers")</f>
        <v>Event Buyers</v>
      </c>
      <c r="Y91" s="212" t="str">
        <f>IFERROR(__xludf.DUMMYFUNCTION("""COMPUTED_VALUE"""),"24nd May to 25th May")</f>
        <v>24nd May to 25th May</v>
      </c>
      <c r="Z91" s="212" t="str">
        <f>IFERROR(__xludf.DUMMYFUNCTION("""COMPUTED_VALUE"""),"6a0d9cfc1839c918ef9b4f24")</f>
        <v>6a0d9cfc1839c918ef9b4f24</v>
      </c>
      <c r="AA91" s="287">
        <f>IFERROR(__xludf.DUMMYFUNCTION("""COMPUTED_VALUE"""),40.0)</f>
        <v>40</v>
      </c>
      <c r="AB91" s="213">
        <f>IFERROR(__xludf.DUMMYFUNCTION("""COMPUTED_VALUE"""),0.0)</f>
        <v>0</v>
      </c>
      <c r="AC91" s="213">
        <f>IFERROR(__xludf.DUMMYFUNCTION("""COMPUTED_VALUE"""),40.0)</f>
        <v>40</v>
      </c>
      <c r="AD91" s="213">
        <f>IFERROR(__xludf.DUMMYFUNCTION("""COMPUTED_VALUE"""),525448.0)</f>
        <v>525448</v>
      </c>
      <c r="AE91" s="213">
        <f>IFERROR(__xludf.DUMMYFUNCTION("""COMPUTED_VALUE"""),0.0)</f>
        <v>0</v>
      </c>
      <c r="AF91" s="213">
        <f>IFERROR(__xludf.DUMMYFUNCTION("""COMPUTED_VALUE"""),525448.0)</f>
        <v>525448</v>
      </c>
      <c r="AG91" s="282"/>
      <c r="AH91" s="282"/>
      <c r="AI91" s="282"/>
      <c r="AJ91" s="282"/>
      <c r="AK91" s="282"/>
      <c r="AL91" s="282"/>
      <c r="AM91" s="282"/>
      <c r="AN91" s="282"/>
      <c r="AO91" s="282"/>
      <c r="AP91" s="282"/>
      <c r="AQ91" s="282"/>
      <c r="AR91" s="282"/>
      <c r="AS91" s="282"/>
      <c r="AT91" s="282"/>
      <c r="AU91" s="282"/>
      <c r="AV91" s="282"/>
      <c r="AW91" s="282"/>
      <c r="AX91" s="282"/>
      <c r="AY91" s="282"/>
      <c r="AZ91" s="282"/>
    </row>
    <row r="92">
      <c r="A92" s="209">
        <f>IFERROR(__xludf.DUMMYFUNCTION("""COMPUTED_VALUE"""),46166.0)</f>
        <v>46166</v>
      </c>
      <c r="B92" s="247">
        <f>IFERROR(__xludf.DUMMYFUNCTION("""COMPUTED_VALUE"""),0.4166666666678793)</f>
        <v>0.4166666667</v>
      </c>
      <c r="C92" s="218" t="str">
        <f>IFERROR(__xludf.DUMMYFUNCTION("""COMPUTED_VALUE"""),"Whatsapp")</f>
        <v>Whatsapp</v>
      </c>
      <c r="D92" s="218" t="str">
        <f>IFERROR(__xludf.DUMMYFUNCTION("""COMPUTED_VALUE"""),"Promotional")</f>
        <v>Promotional</v>
      </c>
      <c r="E92" s="218" t="str">
        <f>IFERROR(__xludf.DUMMYFUNCTION("""COMPUTED_VALUE"""),"CK")</f>
        <v>CK</v>
      </c>
      <c r="F92" s="218" t="str">
        <f>IFERROR(__xludf.DUMMYFUNCTION("""COMPUTED_VALUE"""),"SF2 3rd Anni promo - Flat 10% off")</f>
        <v>SF2 3rd Anni promo - Flat 10% off</v>
      </c>
      <c r="G92" s="218" t="str">
        <f>IFERROR(__xludf.DUMMYFUNCTION("""COMPUTED_VALUE"""),"SF2 3rd Anni promo_Day 4_active")</f>
        <v>SF2 3rd Anni promo_Day 4_active</v>
      </c>
      <c r="H92" s="218" t="str">
        <f>IFERROR(__xludf.DUMMYFUNCTION("""COMPUTED_VALUE"""),"ck_online_active_29thapril_2026, ck_onoff_pr_Recent_6thMarch26")</f>
        <v>ck_online_active_29thapril_2026, ck_onoff_pr_Recent_6thMarch26</v>
      </c>
      <c r="I92" s="218" t="str">
        <f>IFERROR(__xludf.DUMMYFUNCTION("""COMPUTED_VALUE"""),"Custom data upload (active)")</f>
        <v>Custom data upload (active)</v>
      </c>
      <c r="J92" s="213">
        <f>IFERROR(__xludf.DUMMYFUNCTION("""COMPUTED_VALUE"""),83232.0)</f>
        <v>83232</v>
      </c>
      <c r="K92" s="213">
        <f>IFERROR(__xludf.DUMMYFUNCTION("""COMPUTED_VALUE"""),25016.0)</f>
        <v>25016</v>
      </c>
      <c r="L92" s="214">
        <f>IFERROR(__xludf.DUMMYFUNCTION("""COMPUTED_VALUE"""),0.3005)</f>
        <v>0.3005</v>
      </c>
      <c r="M92" s="213">
        <f>IFERROR(__xludf.DUMMYFUNCTION("""COMPUTED_VALUE"""),8471.0)</f>
        <v>8471</v>
      </c>
      <c r="N92" s="214">
        <f>IFERROR(__xludf.DUMMYFUNCTION("""COMPUTED_VALUE"""),0.3386)</f>
        <v>0.3386</v>
      </c>
      <c r="O92" s="213">
        <f>IFERROR(__xludf.DUMMYFUNCTION("""COMPUTED_VALUE"""),335.0)</f>
        <v>335</v>
      </c>
      <c r="P92" s="213">
        <f>IFERROR(__xludf.DUMMYFUNCTION("""COMPUTED_VALUE"""),314.0)</f>
        <v>314</v>
      </c>
      <c r="Q92" s="214">
        <f>IFERROR(__xludf.DUMMYFUNCTION("""COMPUTED_VALUE"""),0.0126)</f>
        <v>0.0126</v>
      </c>
      <c r="R92" s="214">
        <f>IFERROR(__xludf.DUMMYFUNCTION("""COMPUTED_VALUE"""),0.0371)</f>
        <v>0.0371</v>
      </c>
      <c r="S92" s="270">
        <f>IFERROR(__xludf.DUMMYFUNCTION("""COMPUTED_VALUE"""),0.0)</f>
        <v>0</v>
      </c>
      <c r="T92" s="270">
        <f>IFERROR(__xludf.DUMMYFUNCTION("""COMPUTED_VALUE"""),0.0)</f>
        <v>0</v>
      </c>
      <c r="U92" s="270">
        <f>IFERROR(__xludf.DUMMYFUNCTION("""COMPUTED_VALUE"""),0.0)</f>
        <v>0</v>
      </c>
      <c r="V92" s="101" t="str">
        <f>IFERROR(__xludf.DUMMYFUNCTION("""COMPUTED_VALUE"""),"overall")</f>
        <v>overall</v>
      </c>
      <c r="W92" s="101" t="str">
        <f>IFERROR(__xludf.DUMMYFUNCTION("""COMPUTED_VALUE"""),"simple")</f>
        <v>simple</v>
      </c>
      <c r="X92" s="212" t="str">
        <f>IFERROR(__xludf.DUMMYFUNCTION("""COMPUTED_VALUE"""),"Active")</f>
        <v>Active</v>
      </c>
      <c r="Y92" s="212" t="str">
        <f>IFERROR(__xludf.DUMMYFUNCTION("""COMPUTED_VALUE"""),"25th May")</f>
        <v>25th May</v>
      </c>
      <c r="Z92" s="212" t="str">
        <f>IFERROR(__xludf.DUMMYFUNCTION("""COMPUTED_VALUE"""),"6a0d9ad64e93f662e6b5b731")</f>
        <v>6a0d9ad64e93f662e6b5b731</v>
      </c>
      <c r="AA92" s="287">
        <f>IFERROR(__xludf.DUMMYFUNCTION("""COMPUTED_VALUE"""),10.0)</f>
        <v>10</v>
      </c>
      <c r="AB92" s="213">
        <f>IFERROR(__xludf.DUMMYFUNCTION("""COMPUTED_VALUE"""),0.0)</f>
        <v>0</v>
      </c>
      <c r="AC92" s="213">
        <f>IFERROR(__xludf.DUMMYFUNCTION("""COMPUTED_VALUE"""),10.0)</f>
        <v>10</v>
      </c>
      <c r="AD92" s="213">
        <f>IFERROR(__xludf.DUMMYFUNCTION("""COMPUTED_VALUE"""),102790.0)</f>
        <v>102790</v>
      </c>
      <c r="AE92" s="213">
        <f>IFERROR(__xludf.DUMMYFUNCTION("""COMPUTED_VALUE"""),0.0)</f>
        <v>0</v>
      </c>
      <c r="AF92" s="213">
        <f>IFERROR(__xludf.DUMMYFUNCTION("""COMPUTED_VALUE"""),102790.0)</f>
        <v>102790</v>
      </c>
      <c r="AG92" s="282"/>
      <c r="AH92" s="282"/>
      <c r="AI92" s="282"/>
      <c r="AJ92" s="282"/>
      <c r="AK92" s="282"/>
      <c r="AL92" s="282"/>
      <c r="AM92" s="282"/>
      <c r="AN92" s="282"/>
      <c r="AO92" s="282"/>
      <c r="AP92" s="282"/>
      <c r="AQ92" s="282"/>
      <c r="AR92" s="282"/>
      <c r="AS92" s="282"/>
      <c r="AT92" s="282"/>
      <c r="AU92" s="282"/>
      <c r="AV92" s="282"/>
      <c r="AW92" s="282"/>
      <c r="AX92" s="282"/>
      <c r="AY92" s="282"/>
      <c r="AZ92" s="282"/>
    </row>
    <row r="93">
      <c r="A93" s="209">
        <f>IFERROR(__xludf.DUMMYFUNCTION("""COMPUTED_VALUE"""),46166.0)</f>
        <v>46166</v>
      </c>
      <c r="B93" s="247">
        <f>IFERROR(__xludf.DUMMYFUNCTION("""COMPUTED_VALUE"""),0.4166666666678793)</f>
        <v>0.4166666667</v>
      </c>
      <c r="C93" s="218" t="str">
        <f>IFERROR(__xludf.DUMMYFUNCTION("""COMPUTED_VALUE"""),"Whatsapp")</f>
        <v>Whatsapp</v>
      </c>
      <c r="D93" s="218" t="str">
        <f>IFERROR(__xludf.DUMMYFUNCTION("""COMPUTED_VALUE"""),"Promotional")</f>
        <v>Promotional</v>
      </c>
      <c r="E93" s="218" t="str">
        <f>IFERROR(__xludf.DUMMYFUNCTION("""COMPUTED_VALUE"""),"CK")</f>
        <v>CK</v>
      </c>
      <c r="F93" s="218" t="str">
        <f>IFERROR(__xludf.DUMMYFUNCTION("""COMPUTED_VALUE"""),"SF2 3rd Anni promo - Flat 10% off")</f>
        <v>SF2 3rd Anni promo - Flat 10% off</v>
      </c>
      <c r="G93" s="218" t="str">
        <f>IFERROR(__xludf.DUMMYFUNCTION("""COMPUTED_VALUE"""),"SF2 3rd Anni promo_Day 4_dormant")</f>
        <v>SF2 3rd Anni promo_Day 4_dormant</v>
      </c>
      <c r="H93" s="218" t="str">
        <f>IFERROR(__xludf.DUMMYFUNCTION("""COMPUTED_VALUE"""),"ck_online_dormant_29thapril_2026, CK_Dormant_Churned_Off")</f>
        <v>ck_online_dormant_29thapril_2026, CK_Dormant_Churned_Off</v>
      </c>
      <c r="I93" s="218" t="str">
        <f>IFERROR(__xludf.DUMMYFUNCTION("""COMPUTED_VALUE"""),"Custom data upload (dormant)")</f>
        <v>Custom data upload (dormant)</v>
      </c>
      <c r="J93" s="213">
        <f>IFERROR(__xludf.DUMMYFUNCTION("""COMPUTED_VALUE"""),174187.0)</f>
        <v>174187</v>
      </c>
      <c r="K93" s="213">
        <f>IFERROR(__xludf.DUMMYFUNCTION("""COMPUTED_VALUE"""),56764.0)</f>
        <v>56764</v>
      </c>
      <c r="L93" s="214">
        <f>IFERROR(__xludf.DUMMYFUNCTION("""COMPUTED_VALUE"""),0.3258)</f>
        <v>0.3258</v>
      </c>
      <c r="M93" s="213">
        <f>IFERROR(__xludf.DUMMYFUNCTION("""COMPUTED_VALUE"""),17896.0)</f>
        <v>17896</v>
      </c>
      <c r="N93" s="214">
        <f>IFERROR(__xludf.DUMMYFUNCTION("""COMPUTED_VALUE"""),0.3152)</f>
        <v>0.3152</v>
      </c>
      <c r="O93" s="213">
        <f>IFERROR(__xludf.DUMMYFUNCTION("""COMPUTED_VALUE"""),1324.0)</f>
        <v>1324</v>
      </c>
      <c r="P93" s="213">
        <f>IFERROR(__xludf.DUMMYFUNCTION("""COMPUTED_VALUE"""),1265.0)</f>
        <v>1265</v>
      </c>
      <c r="Q93" s="214">
        <f>IFERROR(__xludf.DUMMYFUNCTION("""COMPUTED_VALUE"""),0.0223)</f>
        <v>0.0223</v>
      </c>
      <c r="R93" s="214">
        <f>IFERROR(__xludf.DUMMYFUNCTION("""COMPUTED_VALUE"""),0.0707)</f>
        <v>0.0707</v>
      </c>
      <c r="S93" s="270">
        <f>IFERROR(__xludf.DUMMYFUNCTION("""COMPUTED_VALUE"""),0.0)</f>
        <v>0</v>
      </c>
      <c r="T93" s="270">
        <f>IFERROR(__xludf.DUMMYFUNCTION("""COMPUTED_VALUE"""),0.0)</f>
        <v>0</v>
      </c>
      <c r="U93" s="270">
        <f>IFERROR(__xludf.DUMMYFUNCTION("""COMPUTED_VALUE"""),0.0)</f>
        <v>0</v>
      </c>
      <c r="V93" s="101" t="str">
        <f>IFERROR(__xludf.DUMMYFUNCTION("""COMPUTED_VALUE"""),"overall")</f>
        <v>overall</v>
      </c>
      <c r="W93" s="101" t="str">
        <f>IFERROR(__xludf.DUMMYFUNCTION("""COMPUTED_VALUE"""),"simple")</f>
        <v>simple</v>
      </c>
      <c r="X93" s="212" t="str">
        <f>IFERROR(__xludf.DUMMYFUNCTION("""COMPUTED_VALUE"""),"Dormant")</f>
        <v>Dormant</v>
      </c>
      <c r="Y93" s="212" t="str">
        <f>IFERROR(__xludf.DUMMYFUNCTION("""COMPUTED_VALUE"""),"25th May")</f>
        <v>25th May</v>
      </c>
      <c r="Z93" s="212" t="str">
        <f>IFERROR(__xludf.DUMMYFUNCTION("""COMPUTED_VALUE"""),"6a0d9aef68da8b20c6f89f3f")</f>
        <v>6a0d9aef68da8b20c6f89f3f</v>
      </c>
      <c r="AA93" s="287">
        <f>IFERROR(__xludf.DUMMYFUNCTION("""COMPUTED_VALUE"""),14.0)</f>
        <v>14</v>
      </c>
      <c r="AB93" s="213">
        <f>IFERROR(__xludf.DUMMYFUNCTION("""COMPUTED_VALUE"""),0.0)</f>
        <v>0</v>
      </c>
      <c r="AC93" s="213">
        <f>IFERROR(__xludf.DUMMYFUNCTION("""COMPUTED_VALUE"""),14.0)</f>
        <v>14</v>
      </c>
      <c r="AD93" s="213">
        <f>IFERROR(__xludf.DUMMYFUNCTION("""COMPUTED_VALUE"""),157984.0)</f>
        <v>157984</v>
      </c>
      <c r="AE93" s="213">
        <f>IFERROR(__xludf.DUMMYFUNCTION("""COMPUTED_VALUE"""),0.0)</f>
        <v>0</v>
      </c>
      <c r="AF93" s="213">
        <f>IFERROR(__xludf.DUMMYFUNCTION("""COMPUTED_VALUE"""),157984.0)</f>
        <v>157984</v>
      </c>
      <c r="AG93" s="282"/>
      <c r="AH93" s="282"/>
      <c r="AI93" s="282"/>
      <c r="AJ93" s="282"/>
      <c r="AK93" s="282"/>
      <c r="AL93" s="282"/>
      <c r="AM93" s="282"/>
      <c r="AN93" s="282"/>
      <c r="AO93" s="282"/>
      <c r="AP93" s="282"/>
      <c r="AQ93" s="282"/>
      <c r="AR93" s="282"/>
      <c r="AS93" s="282"/>
      <c r="AT93" s="282"/>
      <c r="AU93" s="282"/>
      <c r="AV93" s="282"/>
      <c r="AW93" s="282"/>
      <c r="AX93" s="282"/>
      <c r="AY93" s="282"/>
      <c r="AZ93" s="282"/>
    </row>
    <row r="94">
      <c r="A94" s="209">
        <f>IFERROR(__xludf.DUMMYFUNCTION("""COMPUTED_VALUE"""),46166.0)</f>
        <v>46166</v>
      </c>
      <c r="B94" s="247">
        <f>IFERROR(__xludf.DUMMYFUNCTION("""COMPUTED_VALUE"""),0.4166666666678793)</f>
        <v>0.4166666667</v>
      </c>
      <c r="C94" s="218" t="str">
        <f>IFERROR(__xludf.DUMMYFUNCTION("""COMPUTED_VALUE"""),"Whatsapp")</f>
        <v>Whatsapp</v>
      </c>
      <c r="D94" s="218" t="str">
        <f>IFERROR(__xludf.DUMMYFUNCTION("""COMPUTED_VALUE"""),"Promotional")</f>
        <v>Promotional</v>
      </c>
      <c r="E94" s="218" t="str">
        <f>IFERROR(__xludf.DUMMYFUNCTION("""COMPUTED_VALUE"""),"CK")</f>
        <v>CK</v>
      </c>
      <c r="F94" s="218" t="str">
        <f>IFERROR(__xludf.DUMMYFUNCTION("""COMPUTED_VALUE"""),"SF2 3rd Anni promo - Flat 10% off")</f>
        <v>SF2 3rd Anni promo - Flat 10% off</v>
      </c>
      <c r="G94" s="218" t="str">
        <f>IFERROR(__xludf.DUMMYFUNCTION("""COMPUTED_VALUE"""),"SF2 3rd Anni promo_Day 4_event shoppers")</f>
        <v>SF2 3rd Anni promo_Day 4_event shoppers</v>
      </c>
      <c r="H94" s="218" t="str">
        <f>IFERROR(__xludf.DUMMYFUNCTION("""COMPUTED_VALUE"""),"ck_onoff_pr_eventbuyers_6thMarch26")</f>
        <v>ck_onoff_pr_eventbuyers_6thMarch26</v>
      </c>
      <c r="I94" s="218" t="str">
        <f>IFERROR(__xludf.DUMMYFUNCTION("""COMPUTED_VALUE"""),"Event shoppers")</f>
        <v>Event shoppers</v>
      </c>
      <c r="J94" s="213">
        <f>IFERROR(__xludf.DUMMYFUNCTION("""COMPUTED_VALUE"""),88011.0)</f>
        <v>88011</v>
      </c>
      <c r="K94" s="213">
        <f>IFERROR(__xludf.DUMMYFUNCTION("""COMPUTED_VALUE"""),28606.0)</f>
        <v>28606</v>
      </c>
      <c r="L94" s="214">
        <f>IFERROR(__xludf.DUMMYFUNCTION("""COMPUTED_VALUE"""),0.3249)</f>
        <v>0.3249</v>
      </c>
      <c r="M94" s="213">
        <f>IFERROR(__xludf.DUMMYFUNCTION("""COMPUTED_VALUE"""),9665.0)</f>
        <v>9665</v>
      </c>
      <c r="N94" s="214">
        <f>IFERROR(__xludf.DUMMYFUNCTION("""COMPUTED_VALUE"""),0.3379)</f>
        <v>0.3379</v>
      </c>
      <c r="O94" s="213">
        <f>IFERROR(__xludf.DUMMYFUNCTION("""COMPUTED_VALUE"""),849.0)</f>
        <v>849</v>
      </c>
      <c r="P94" s="213">
        <f>IFERROR(__xludf.DUMMYFUNCTION("""COMPUTED_VALUE"""),808.0)</f>
        <v>808</v>
      </c>
      <c r="Q94" s="214">
        <f>IFERROR(__xludf.DUMMYFUNCTION("""COMPUTED_VALUE"""),0.0283)</f>
        <v>0.0283</v>
      </c>
      <c r="R94" s="214">
        <f>IFERROR(__xludf.DUMMYFUNCTION("""COMPUTED_VALUE"""),0.0836)</f>
        <v>0.0836</v>
      </c>
      <c r="S94" s="270">
        <f>IFERROR(__xludf.DUMMYFUNCTION("""COMPUTED_VALUE"""),0.0)</f>
        <v>0</v>
      </c>
      <c r="T94" s="270">
        <f>IFERROR(__xludf.DUMMYFUNCTION("""COMPUTED_VALUE"""),0.0)</f>
        <v>0</v>
      </c>
      <c r="U94" s="270">
        <f>IFERROR(__xludf.DUMMYFUNCTION("""COMPUTED_VALUE"""),0.0)</f>
        <v>0</v>
      </c>
      <c r="V94" s="101" t="str">
        <f>IFERROR(__xludf.DUMMYFUNCTION("""COMPUTED_VALUE"""),"overall")</f>
        <v>overall</v>
      </c>
      <c r="W94" s="101" t="str">
        <f>IFERROR(__xludf.DUMMYFUNCTION("""COMPUTED_VALUE"""),"simple")</f>
        <v>simple</v>
      </c>
      <c r="X94" s="212" t="str">
        <f>IFERROR(__xludf.DUMMYFUNCTION("""COMPUTED_VALUE"""),"Event Buyers")</f>
        <v>Event Buyers</v>
      </c>
      <c r="Y94" s="212" t="str">
        <f>IFERROR(__xludf.DUMMYFUNCTION("""COMPUTED_VALUE"""),"25th May")</f>
        <v>25th May</v>
      </c>
      <c r="Z94" s="212" t="str">
        <f>IFERROR(__xludf.DUMMYFUNCTION("""COMPUTED_VALUE"""),"6a0d9b08adc58dfcaff6b9a8")</f>
        <v>6a0d9b08adc58dfcaff6b9a8</v>
      </c>
      <c r="AA94" s="287">
        <f>IFERROR(__xludf.DUMMYFUNCTION("""COMPUTED_VALUE"""),12.0)</f>
        <v>12</v>
      </c>
      <c r="AB94" s="213">
        <f>IFERROR(__xludf.DUMMYFUNCTION("""COMPUTED_VALUE"""),0.0)</f>
        <v>0</v>
      </c>
      <c r="AC94" s="213">
        <f>IFERROR(__xludf.DUMMYFUNCTION("""COMPUTED_VALUE"""),12.0)</f>
        <v>12</v>
      </c>
      <c r="AD94" s="213">
        <f>IFERROR(__xludf.DUMMYFUNCTION("""COMPUTED_VALUE"""),184980.0)</f>
        <v>184980</v>
      </c>
      <c r="AE94" s="213">
        <f>IFERROR(__xludf.DUMMYFUNCTION("""COMPUTED_VALUE"""),0.0)</f>
        <v>0</v>
      </c>
      <c r="AF94" s="213">
        <f>IFERROR(__xludf.DUMMYFUNCTION("""COMPUTED_VALUE"""),184980.0)</f>
        <v>184980</v>
      </c>
      <c r="AG94" s="282"/>
      <c r="AH94" s="282"/>
      <c r="AI94" s="282"/>
      <c r="AJ94" s="282"/>
      <c r="AK94" s="282"/>
      <c r="AL94" s="282"/>
      <c r="AM94" s="282"/>
      <c r="AN94" s="282"/>
      <c r="AO94" s="282"/>
      <c r="AP94" s="282"/>
      <c r="AQ94" s="282"/>
      <c r="AR94" s="282"/>
      <c r="AS94" s="282"/>
      <c r="AT94" s="282"/>
      <c r="AU94" s="282"/>
      <c r="AV94" s="282"/>
      <c r="AW94" s="282"/>
      <c r="AX94" s="282"/>
      <c r="AY94" s="282"/>
      <c r="AZ94" s="282"/>
    </row>
    <row r="95">
      <c r="A95" s="209">
        <f>IFERROR(__xludf.DUMMYFUNCTION("""COMPUTED_VALUE"""),46166.0)</f>
        <v>46166</v>
      </c>
      <c r="B95" s="247">
        <f>IFERROR(__xludf.DUMMYFUNCTION("""COMPUTED_VALUE"""),0.5)</f>
        <v>0.5</v>
      </c>
      <c r="C95" s="218" t="str">
        <f>IFERROR(__xludf.DUMMYFUNCTION("""COMPUTED_VALUE"""),"Sms")</f>
        <v>Sms</v>
      </c>
      <c r="D95" s="218" t="str">
        <f>IFERROR(__xludf.DUMMYFUNCTION("""COMPUTED_VALUE"""),"Fallback campaign")</f>
        <v>Fallback campaign</v>
      </c>
      <c r="E95" s="218" t="str">
        <f>IFERROR(__xludf.DUMMYFUNCTION("""COMPUTED_VALUE"""),"CK")</f>
        <v>CK</v>
      </c>
      <c r="F95" s="218" t="str">
        <f>IFERROR(__xludf.DUMMYFUNCTION("""COMPUTED_VALUE"""),"SF2 3rd Anni promo - Flat 10% off")</f>
        <v>SF2 3rd Anni promo - Flat 10% off</v>
      </c>
      <c r="G95" s="218" t="str">
        <f>IFERROR(__xludf.DUMMYFUNCTION("""COMPUTED_VALUE"""),"SF2 3rd Anni promo_Day 4_active-Fallback")</f>
        <v>SF2 3rd Anni promo_Day 4_active-Fallback</v>
      </c>
      <c r="H95" s="218" t="str">
        <f>IFERROR(__xludf.DUMMYFUNCTION("""COMPUTED_VALUE"""),"ck_online_active_29thapril_2026, ck_onoff_pr_Recent_6thMarch26")</f>
        <v>ck_online_active_29thapril_2026, ck_onoff_pr_Recent_6thMarch26</v>
      </c>
      <c r="I95" s="218" t="str">
        <f>IFERROR(__xludf.DUMMYFUNCTION("""COMPUTED_VALUE"""),"WA Undelivered")</f>
        <v>WA Undelivered</v>
      </c>
      <c r="J95" s="213">
        <f>IFERROR(__xludf.DUMMYFUNCTION("""COMPUTED_VALUE"""),57151.0)</f>
        <v>57151</v>
      </c>
      <c r="K95" s="213">
        <f>IFERROR(__xludf.DUMMYFUNCTION("""COMPUTED_VALUE"""),32819.0)</f>
        <v>32819</v>
      </c>
      <c r="L95" s="214">
        <f>IFERROR(__xludf.DUMMYFUNCTION("""COMPUTED_VALUE"""),0.5743)</f>
        <v>0.5743</v>
      </c>
      <c r="M95" s="213">
        <f>IFERROR(__xludf.DUMMYFUNCTION("""COMPUTED_VALUE"""),0.0)</f>
        <v>0</v>
      </c>
      <c r="N95" s="214">
        <f>IFERROR(__xludf.DUMMYFUNCTION("""COMPUTED_VALUE"""),0.0)</f>
        <v>0</v>
      </c>
      <c r="O95" s="213">
        <f>IFERROR(__xludf.DUMMYFUNCTION("""COMPUTED_VALUE"""),0.0)</f>
        <v>0</v>
      </c>
      <c r="P95" s="213">
        <f>IFERROR(__xludf.DUMMYFUNCTION("""COMPUTED_VALUE"""),0.0)</f>
        <v>0</v>
      </c>
      <c r="Q95" s="214">
        <f>IFERROR(__xludf.DUMMYFUNCTION("""COMPUTED_VALUE"""),0.0)</f>
        <v>0</v>
      </c>
      <c r="R95" s="214">
        <f>IFERROR(__xludf.DUMMYFUNCTION("""COMPUTED_VALUE"""),0.0)</f>
        <v>0</v>
      </c>
      <c r="S95" s="270">
        <f>IFERROR(__xludf.DUMMYFUNCTION("""COMPUTED_VALUE"""),0.0)</f>
        <v>0</v>
      </c>
      <c r="T95" s="270">
        <f>IFERROR(__xludf.DUMMYFUNCTION("""COMPUTED_VALUE"""),0.0)</f>
        <v>0</v>
      </c>
      <c r="U95" s="270">
        <f>IFERROR(__xludf.DUMMYFUNCTION("""COMPUTED_VALUE"""),0.0)</f>
        <v>0</v>
      </c>
      <c r="V95" s="101" t="str">
        <f>IFERROR(__xludf.DUMMYFUNCTION("""COMPUTED_VALUE"""),"overall")</f>
        <v>overall</v>
      </c>
      <c r="W95" s="101" t="str">
        <f>IFERROR(__xludf.DUMMYFUNCTION("""COMPUTED_VALUE"""),"SMS")</f>
        <v>SMS</v>
      </c>
      <c r="X95" s="212" t="str">
        <f>IFERROR(__xludf.DUMMYFUNCTION("""COMPUTED_VALUE"""),"Active")</f>
        <v>Active</v>
      </c>
      <c r="Y95" s="212" t="str">
        <f>IFERROR(__xludf.DUMMYFUNCTION("""COMPUTED_VALUE"""),"25 May")</f>
        <v>25 May</v>
      </c>
      <c r="Z95" s="212" t="str">
        <f>IFERROR(__xludf.DUMMYFUNCTION("""COMPUTED_VALUE"""),"6a0eac40a3a40e15684e97a4")</f>
        <v>6a0eac40a3a40e15684e97a4</v>
      </c>
      <c r="AA95" s="287">
        <f>IFERROR(__xludf.DUMMYFUNCTION("""COMPUTED_VALUE"""),10.0)</f>
        <v>10</v>
      </c>
      <c r="AB95" s="213">
        <f>IFERROR(__xludf.DUMMYFUNCTION("""COMPUTED_VALUE"""),0.0)</f>
        <v>0</v>
      </c>
      <c r="AC95" s="213">
        <f>IFERROR(__xludf.DUMMYFUNCTION("""COMPUTED_VALUE"""),10.0)</f>
        <v>10</v>
      </c>
      <c r="AD95" s="213">
        <f>IFERROR(__xludf.DUMMYFUNCTION("""COMPUTED_VALUE"""),103490.0)</f>
        <v>103490</v>
      </c>
      <c r="AE95" s="213">
        <f>IFERROR(__xludf.DUMMYFUNCTION("""COMPUTED_VALUE"""),0.0)</f>
        <v>0</v>
      </c>
      <c r="AF95" s="213">
        <f>IFERROR(__xludf.DUMMYFUNCTION("""COMPUTED_VALUE"""),103490.0)</f>
        <v>103490</v>
      </c>
      <c r="AG95" s="282"/>
      <c r="AH95" s="282"/>
      <c r="AI95" s="282"/>
      <c r="AJ95" s="282"/>
      <c r="AK95" s="282"/>
      <c r="AL95" s="282"/>
      <c r="AM95" s="282"/>
      <c r="AN95" s="282"/>
      <c r="AO95" s="282"/>
      <c r="AP95" s="282"/>
      <c r="AQ95" s="282"/>
      <c r="AR95" s="282"/>
      <c r="AS95" s="282"/>
      <c r="AT95" s="282"/>
      <c r="AU95" s="282"/>
      <c r="AV95" s="282"/>
      <c r="AW95" s="282"/>
      <c r="AX95" s="282"/>
      <c r="AY95" s="282"/>
      <c r="AZ95" s="282"/>
    </row>
    <row r="96">
      <c r="A96" s="209">
        <f>IFERROR(__xludf.DUMMYFUNCTION("""COMPUTED_VALUE"""),46166.0)</f>
        <v>46166</v>
      </c>
      <c r="B96" s="247">
        <f>IFERROR(__xludf.DUMMYFUNCTION("""COMPUTED_VALUE"""),0.5)</f>
        <v>0.5</v>
      </c>
      <c r="C96" s="218" t="str">
        <f>IFERROR(__xludf.DUMMYFUNCTION("""COMPUTED_VALUE"""),"Sms")</f>
        <v>Sms</v>
      </c>
      <c r="D96" s="218" t="str">
        <f>IFERROR(__xludf.DUMMYFUNCTION("""COMPUTED_VALUE"""),"Fallback campaign")</f>
        <v>Fallback campaign</v>
      </c>
      <c r="E96" s="218" t="str">
        <f>IFERROR(__xludf.DUMMYFUNCTION("""COMPUTED_VALUE"""),"CK")</f>
        <v>CK</v>
      </c>
      <c r="F96" s="218" t="str">
        <f>IFERROR(__xludf.DUMMYFUNCTION("""COMPUTED_VALUE"""),"SF2 3rd Anni promo - Flat 10% off")</f>
        <v>SF2 3rd Anni promo - Flat 10% off</v>
      </c>
      <c r="G96" s="218" t="str">
        <f>IFERROR(__xludf.DUMMYFUNCTION("""COMPUTED_VALUE"""),"SF2 3rd Anni promo_Day 4_dormant_fallback")</f>
        <v>SF2 3rd Anni promo_Day 4_dormant_fallback</v>
      </c>
      <c r="H96" s="218" t="str">
        <f>IFERROR(__xludf.DUMMYFUNCTION("""COMPUTED_VALUE"""),"ck_online_dormant_29thapril_2026, CK_Dormant_Churned_Off")</f>
        <v>ck_online_dormant_29thapril_2026, CK_Dormant_Churned_Off</v>
      </c>
      <c r="I96" s="218" t="str">
        <f>IFERROR(__xludf.DUMMYFUNCTION("""COMPUTED_VALUE"""),"WA Undelivered")</f>
        <v>WA Undelivered</v>
      </c>
      <c r="J96" s="213">
        <f>IFERROR(__xludf.DUMMYFUNCTION("""COMPUTED_VALUE"""),114759.0)</f>
        <v>114759</v>
      </c>
      <c r="K96" s="213">
        <f>IFERROR(__xludf.DUMMYFUNCTION("""COMPUTED_VALUE"""),64770.0)</f>
        <v>64770</v>
      </c>
      <c r="L96" s="214">
        <f>IFERROR(__xludf.DUMMYFUNCTION("""COMPUTED_VALUE"""),0.5644)</f>
        <v>0.5644</v>
      </c>
      <c r="M96" s="213">
        <f>IFERROR(__xludf.DUMMYFUNCTION("""COMPUTED_VALUE"""),0.0)</f>
        <v>0</v>
      </c>
      <c r="N96" s="214">
        <f>IFERROR(__xludf.DUMMYFUNCTION("""COMPUTED_VALUE"""),0.0)</f>
        <v>0</v>
      </c>
      <c r="O96" s="213">
        <f>IFERROR(__xludf.DUMMYFUNCTION("""COMPUTED_VALUE"""),0.0)</f>
        <v>0</v>
      </c>
      <c r="P96" s="213">
        <f>IFERROR(__xludf.DUMMYFUNCTION("""COMPUTED_VALUE"""),0.0)</f>
        <v>0</v>
      </c>
      <c r="Q96" s="214">
        <f>IFERROR(__xludf.DUMMYFUNCTION("""COMPUTED_VALUE"""),0.0)</f>
        <v>0</v>
      </c>
      <c r="R96" s="214">
        <f>IFERROR(__xludf.DUMMYFUNCTION("""COMPUTED_VALUE"""),0.0)</f>
        <v>0</v>
      </c>
      <c r="S96" s="270">
        <f>IFERROR(__xludf.DUMMYFUNCTION("""COMPUTED_VALUE"""),0.0)</f>
        <v>0</v>
      </c>
      <c r="T96" s="270">
        <f>IFERROR(__xludf.DUMMYFUNCTION("""COMPUTED_VALUE"""),0.0)</f>
        <v>0</v>
      </c>
      <c r="U96" s="270">
        <f>IFERROR(__xludf.DUMMYFUNCTION("""COMPUTED_VALUE"""),0.0)</f>
        <v>0</v>
      </c>
      <c r="V96" s="101" t="str">
        <f>IFERROR(__xludf.DUMMYFUNCTION("""COMPUTED_VALUE"""),"overall")</f>
        <v>overall</v>
      </c>
      <c r="W96" s="101" t="str">
        <f>IFERROR(__xludf.DUMMYFUNCTION("""COMPUTED_VALUE"""),"SMS")</f>
        <v>SMS</v>
      </c>
      <c r="X96" s="212" t="str">
        <f>IFERROR(__xludf.DUMMYFUNCTION("""COMPUTED_VALUE"""),"Dormant")</f>
        <v>Dormant</v>
      </c>
      <c r="Y96" s="212" t="str">
        <f>IFERROR(__xludf.DUMMYFUNCTION("""COMPUTED_VALUE"""),"25 May")</f>
        <v>25 May</v>
      </c>
      <c r="Z96" s="212" t="str">
        <f>IFERROR(__xludf.DUMMYFUNCTION("""COMPUTED_VALUE"""),"6a0eacf2c9991e9cfb6778d7")</f>
        <v>6a0eacf2c9991e9cfb6778d7</v>
      </c>
      <c r="AA96" s="287">
        <f>IFERROR(__xludf.DUMMYFUNCTION("""COMPUTED_VALUE"""),16.0)</f>
        <v>16</v>
      </c>
      <c r="AB96" s="213">
        <f>IFERROR(__xludf.DUMMYFUNCTION("""COMPUTED_VALUE"""),0.0)</f>
        <v>0</v>
      </c>
      <c r="AC96" s="213">
        <f>IFERROR(__xludf.DUMMYFUNCTION("""COMPUTED_VALUE"""),16.0)</f>
        <v>16</v>
      </c>
      <c r="AD96" s="213">
        <f>IFERROR(__xludf.DUMMYFUNCTION("""COMPUTED_VALUE"""),220479.0)</f>
        <v>220479</v>
      </c>
      <c r="AE96" s="213">
        <f>IFERROR(__xludf.DUMMYFUNCTION("""COMPUTED_VALUE"""),0.0)</f>
        <v>0</v>
      </c>
      <c r="AF96" s="213">
        <f>IFERROR(__xludf.DUMMYFUNCTION("""COMPUTED_VALUE"""),220479.0)</f>
        <v>220479</v>
      </c>
      <c r="AG96" s="282"/>
      <c r="AH96" s="282"/>
      <c r="AI96" s="282"/>
      <c r="AJ96" s="282"/>
      <c r="AK96" s="282"/>
      <c r="AL96" s="282"/>
      <c r="AM96" s="282"/>
      <c r="AN96" s="282"/>
      <c r="AO96" s="282"/>
      <c r="AP96" s="282"/>
      <c r="AQ96" s="282"/>
      <c r="AR96" s="282"/>
      <c r="AS96" s="282"/>
      <c r="AT96" s="282"/>
      <c r="AU96" s="282"/>
      <c r="AV96" s="282"/>
      <c r="AW96" s="282"/>
      <c r="AX96" s="282"/>
      <c r="AY96" s="282"/>
      <c r="AZ96" s="282"/>
    </row>
    <row r="97">
      <c r="A97" s="209">
        <f>IFERROR(__xludf.DUMMYFUNCTION("""COMPUTED_VALUE"""),46166.0)</f>
        <v>46166</v>
      </c>
      <c r="B97" s="247">
        <f>IFERROR(__xludf.DUMMYFUNCTION("""COMPUTED_VALUE"""),0.5)</f>
        <v>0.5</v>
      </c>
      <c r="C97" s="218" t="str">
        <f>IFERROR(__xludf.DUMMYFUNCTION("""COMPUTED_VALUE"""),"Sms")</f>
        <v>Sms</v>
      </c>
      <c r="D97" s="218" t="str">
        <f>IFERROR(__xludf.DUMMYFUNCTION("""COMPUTED_VALUE"""),"Fallback campaign")</f>
        <v>Fallback campaign</v>
      </c>
      <c r="E97" s="218" t="str">
        <f>IFERROR(__xludf.DUMMYFUNCTION("""COMPUTED_VALUE"""),"CK")</f>
        <v>CK</v>
      </c>
      <c r="F97" s="218" t="str">
        <f>IFERROR(__xludf.DUMMYFUNCTION("""COMPUTED_VALUE"""),"SF2 3rd Anni promo - Flat 10% off")</f>
        <v>SF2 3rd Anni promo - Flat 10% off</v>
      </c>
      <c r="G97" s="218" t="str">
        <f>IFERROR(__xludf.DUMMYFUNCTION("""COMPUTED_VALUE"""),"SF2 3rd Anni promo_Day 4_event shoppers_fallback")</f>
        <v>SF2 3rd Anni promo_Day 4_event shoppers_fallback</v>
      </c>
      <c r="H97" s="218" t="str">
        <f>IFERROR(__xludf.DUMMYFUNCTION("""COMPUTED_VALUE"""),"ck_onoff_pr_eventbuyers_6thMarch26")</f>
        <v>ck_onoff_pr_eventbuyers_6thMarch26</v>
      </c>
      <c r="I97" s="218" t="str">
        <f>IFERROR(__xludf.DUMMYFUNCTION("""COMPUTED_VALUE"""),"WA Undelivered")</f>
        <v>WA Undelivered</v>
      </c>
      <c r="J97" s="213">
        <f>IFERROR(__xludf.DUMMYFUNCTION("""COMPUTED_VALUE"""),58142.0)</f>
        <v>58142</v>
      </c>
      <c r="K97" s="213">
        <f>IFERROR(__xludf.DUMMYFUNCTION("""COMPUTED_VALUE"""),31555.0)</f>
        <v>31555</v>
      </c>
      <c r="L97" s="214">
        <f>IFERROR(__xludf.DUMMYFUNCTION("""COMPUTED_VALUE"""),0.5427)</f>
        <v>0.5427</v>
      </c>
      <c r="M97" s="213">
        <f>IFERROR(__xludf.DUMMYFUNCTION("""COMPUTED_VALUE"""),0.0)</f>
        <v>0</v>
      </c>
      <c r="N97" s="214">
        <f>IFERROR(__xludf.DUMMYFUNCTION("""COMPUTED_VALUE"""),0.0)</f>
        <v>0</v>
      </c>
      <c r="O97" s="213">
        <f>IFERROR(__xludf.DUMMYFUNCTION("""COMPUTED_VALUE"""),0.0)</f>
        <v>0</v>
      </c>
      <c r="P97" s="213">
        <f>IFERROR(__xludf.DUMMYFUNCTION("""COMPUTED_VALUE"""),0.0)</f>
        <v>0</v>
      </c>
      <c r="Q97" s="214">
        <f>IFERROR(__xludf.DUMMYFUNCTION("""COMPUTED_VALUE"""),0.0)</f>
        <v>0</v>
      </c>
      <c r="R97" s="214">
        <f>IFERROR(__xludf.DUMMYFUNCTION("""COMPUTED_VALUE"""),0.0)</f>
        <v>0</v>
      </c>
      <c r="S97" s="270">
        <f>IFERROR(__xludf.DUMMYFUNCTION("""COMPUTED_VALUE"""),0.0)</f>
        <v>0</v>
      </c>
      <c r="T97" s="270">
        <f>IFERROR(__xludf.DUMMYFUNCTION("""COMPUTED_VALUE"""),0.0)</f>
        <v>0</v>
      </c>
      <c r="U97" s="270">
        <f>IFERROR(__xludf.DUMMYFUNCTION("""COMPUTED_VALUE"""),0.0)</f>
        <v>0</v>
      </c>
      <c r="V97" s="101" t="str">
        <f>IFERROR(__xludf.DUMMYFUNCTION("""COMPUTED_VALUE"""),"overall")</f>
        <v>overall</v>
      </c>
      <c r="W97" s="101" t="str">
        <f>IFERROR(__xludf.DUMMYFUNCTION("""COMPUTED_VALUE"""),"SMS")</f>
        <v>SMS</v>
      </c>
      <c r="X97" s="212" t="str">
        <f>IFERROR(__xludf.DUMMYFUNCTION("""COMPUTED_VALUE"""),"Event Buyers")</f>
        <v>Event Buyers</v>
      </c>
      <c r="Y97" s="212" t="str">
        <f>IFERROR(__xludf.DUMMYFUNCTION("""COMPUTED_VALUE"""),"25 May")</f>
        <v>25 May</v>
      </c>
      <c r="Z97" s="212" t="str">
        <f>IFERROR(__xludf.DUMMYFUNCTION("""COMPUTED_VALUE"""),"6a0eadcd602c98d5faa15fd7")</f>
        <v>6a0eadcd602c98d5faa15fd7</v>
      </c>
      <c r="AA97" s="287">
        <f>IFERROR(__xludf.DUMMYFUNCTION("""COMPUTED_VALUE"""),10.0)</f>
        <v>10</v>
      </c>
      <c r="AB97" s="213">
        <f>IFERROR(__xludf.DUMMYFUNCTION("""COMPUTED_VALUE"""),0.0)</f>
        <v>0</v>
      </c>
      <c r="AC97" s="213">
        <f>IFERROR(__xludf.DUMMYFUNCTION("""COMPUTED_VALUE"""),10.0)</f>
        <v>10</v>
      </c>
      <c r="AD97" s="213">
        <f>IFERROR(__xludf.DUMMYFUNCTION("""COMPUTED_VALUE"""),144486.0)</f>
        <v>144486</v>
      </c>
      <c r="AE97" s="213">
        <f>IFERROR(__xludf.DUMMYFUNCTION("""COMPUTED_VALUE"""),0.0)</f>
        <v>0</v>
      </c>
      <c r="AF97" s="213">
        <f>IFERROR(__xludf.DUMMYFUNCTION("""COMPUTED_VALUE"""),144486.0)</f>
        <v>144486</v>
      </c>
      <c r="AG97" s="282"/>
      <c r="AH97" s="282"/>
      <c r="AI97" s="282"/>
      <c r="AJ97" s="282"/>
      <c r="AK97" s="282"/>
      <c r="AL97" s="282"/>
      <c r="AM97" s="282"/>
      <c r="AN97" s="282"/>
      <c r="AO97" s="282"/>
      <c r="AP97" s="282"/>
      <c r="AQ97" s="282"/>
      <c r="AR97" s="282"/>
      <c r="AS97" s="282"/>
      <c r="AT97" s="282"/>
      <c r="AU97" s="282"/>
      <c r="AV97" s="282"/>
      <c r="AW97" s="282"/>
      <c r="AX97" s="282"/>
      <c r="AY97" s="282"/>
      <c r="AZ97" s="282"/>
    </row>
    <row r="98">
      <c r="A98" s="209">
        <f>IFERROR(__xludf.DUMMYFUNCTION("""COMPUTED_VALUE"""),46179.0)</f>
        <v>46179</v>
      </c>
      <c r="B98" s="247">
        <f>IFERROR(__xludf.DUMMYFUNCTION("""COMPUTED_VALUE"""),0.4166666666678793)</f>
        <v>0.4166666667</v>
      </c>
      <c r="C98" s="218" t="str">
        <f>IFERROR(__xludf.DUMMYFUNCTION("""COMPUTED_VALUE"""),"Whatsapp")</f>
        <v>Whatsapp</v>
      </c>
      <c r="D98" s="218" t="str">
        <f>IFERROR(__xludf.DUMMYFUNCTION("""COMPUTED_VALUE"""),"Promotional")</f>
        <v>Promotional</v>
      </c>
      <c r="E98" s="218" t="str">
        <f>IFERROR(__xludf.DUMMYFUNCTION("""COMPUTED_VALUE"""),"CK")</f>
        <v>CK</v>
      </c>
      <c r="F98" s="218" t="str">
        <f>IFERROR(__xludf.DUMMYFUNCTION("""COMPUTED_VALUE"""),"New collection")</f>
        <v>New collection</v>
      </c>
      <c r="G98" s="218" t="str">
        <f>IFERROR(__xludf.DUMMYFUNCTION("""COMPUTED_VALUE"""),"Summer new arrivals_active")</f>
        <v>Summer new arrivals_active</v>
      </c>
      <c r="H98" s="218" t="str">
        <f>IFERROR(__xludf.DUMMYFUNCTION("""COMPUTED_VALUE"""),"CK_Active_Base, ck_online_active_29thapril_2026")</f>
        <v>CK_Active_Base, ck_online_active_29thapril_2026</v>
      </c>
      <c r="I98" s="218" t="str">
        <f>IFERROR(__xludf.DUMMYFUNCTION("""COMPUTED_VALUE"""),"Recent")</f>
        <v>Recent</v>
      </c>
      <c r="J98" s="213">
        <f>IFERROR(__xludf.DUMMYFUNCTION("""COMPUTED_VALUE"""),87131.0)</f>
        <v>87131</v>
      </c>
      <c r="K98" s="213">
        <f>IFERROR(__xludf.DUMMYFUNCTION("""COMPUTED_VALUE"""),33543.0)</f>
        <v>33543</v>
      </c>
      <c r="L98" s="214">
        <f>IFERROR(__xludf.DUMMYFUNCTION("""COMPUTED_VALUE"""),0.3849)</f>
        <v>0.3849</v>
      </c>
      <c r="M98" s="213">
        <f>IFERROR(__xludf.DUMMYFUNCTION("""COMPUTED_VALUE"""),11345.0)</f>
        <v>11345</v>
      </c>
      <c r="N98" s="214">
        <f>IFERROR(__xludf.DUMMYFUNCTION("""COMPUTED_VALUE"""),0.3382)</f>
        <v>0.3382</v>
      </c>
      <c r="O98" s="213">
        <f>IFERROR(__xludf.DUMMYFUNCTION("""COMPUTED_VALUE"""),832.0)</f>
        <v>832</v>
      </c>
      <c r="P98" s="213">
        <f>IFERROR(__xludf.DUMMYFUNCTION("""COMPUTED_VALUE"""),807.0)</f>
        <v>807</v>
      </c>
      <c r="Q98" s="214">
        <f>IFERROR(__xludf.DUMMYFUNCTION("""COMPUTED_VALUE"""),0.0241)</f>
        <v>0.0241</v>
      </c>
      <c r="R98" s="214">
        <f>IFERROR(__xludf.DUMMYFUNCTION("""COMPUTED_VALUE"""),0.0711)</f>
        <v>0.0711</v>
      </c>
      <c r="S98" s="270">
        <f>IFERROR(__xludf.DUMMYFUNCTION("""COMPUTED_VALUE"""),0.0)</f>
        <v>0</v>
      </c>
      <c r="T98" s="270">
        <f>IFERROR(__xludf.DUMMYFUNCTION("""COMPUTED_VALUE"""),0.0)</f>
        <v>0</v>
      </c>
      <c r="U98" s="270">
        <f>IFERROR(__xludf.DUMMYFUNCTION("""COMPUTED_VALUE"""),0.0)</f>
        <v>0</v>
      </c>
      <c r="V98" s="101" t="str">
        <f>IFERROR(__xludf.DUMMYFUNCTION("""COMPUTED_VALUE"""),"online")</f>
        <v>online</v>
      </c>
      <c r="W98" s="101" t="str">
        <f>IFERROR(__xludf.DUMMYFUNCTION("""COMPUTED_VALUE"""),"carousel")</f>
        <v>carousel</v>
      </c>
      <c r="X98" s="212" t="str">
        <f>IFERROR(__xludf.DUMMYFUNCTION("""COMPUTED_VALUE"""),"No Brief")</f>
        <v>No Brief</v>
      </c>
      <c r="Y98" s="212" t="str">
        <f>IFERROR(__xludf.DUMMYFUNCTION("""COMPUTED_VALUE"""),"6th June - 13th June ")</f>
        <v>6th June - 13th June </v>
      </c>
      <c r="Z98" s="212" t="str">
        <f>IFERROR(__xludf.DUMMYFUNCTION("""COMPUTED_VALUE"""),"6a227f57c348f34ca9789340")</f>
        <v>6a227f57c348f34ca9789340</v>
      </c>
      <c r="AA98" s="287">
        <f>IFERROR(__xludf.DUMMYFUNCTION("""COMPUTED_VALUE"""),0.0)</f>
        <v>0</v>
      </c>
      <c r="AB98" s="213">
        <f>IFERROR(__xludf.DUMMYFUNCTION("""COMPUTED_VALUE"""),0.0)</f>
        <v>0</v>
      </c>
      <c r="AC98" s="213"/>
      <c r="AD98" s="213">
        <f>IFERROR(__xludf.DUMMYFUNCTION("""COMPUTED_VALUE"""),0.0)</f>
        <v>0</v>
      </c>
      <c r="AE98" s="213">
        <f>IFERROR(__xludf.DUMMYFUNCTION("""COMPUTED_VALUE"""),0.0)</f>
        <v>0</v>
      </c>
      <c r="AF98" s="213"/>
      <c r="AG98" s="282"/>
      <c r="AH98" s="282"/>
      <c r="AI98" s="282"/>
      <c r="AJ98" s="282"/>
      <c r="AK98" s="282"/>
      <c r="AL98" s="282"/>
      <c r="AM98" s="282"/>
      <c r="AN98" s="282"/>
      <c r="AO98" s="282"/>
      <c r="AP98" s="282"/>
      <c r="AQ98" s="282"/>
      <c r="AR98" s="282"/>
      <c r="AS98" s="282"/>
      <c r="AT98" s="282"/>
      <c r="AU98" s="282"/>
      <c r="AV98" s="282"/>
      <c r="AW98" s="282"/>
      <c r="AX98" s="282"/>
      <c r="AY98" s="282"/>
      <c r="AZ98" s="282"/>
    </row>
    <row r="99">
      <c r="A99" s="209">
        <f>IFERROR(__xludf.DUMMYFUNCTION("""COMPUTED_VALUE"""),46179.0)</f>
        <v>46179</v>
      </c>
      <c r="B99" s="247">
        <f>IFERROR(__xludf.DUMMYFUNCTION("""COMPUTED_VALUE"""),0.4166666666678793)</f>
        <v>0.4166666667</v>
      </c>
      <c r="C99" s="218" t="str">
        <f>IFERROR(__xludf.DUMMYFUNCTION("""COMPUTED_VALUE"""),"Whatsapp")</f>
        <v>Whatsapp</v>
      </c>
      <c r="D99" s="218" t="str">
        <f>IFERROR(__xludf.DUMMYFUNCTION("""COMPUTED_VALUE"""),"Promotional")</f>
        <v>Promotional</v>
      </c>
      <c r="E99" s="218" t="str">
        <f>IFERROR(__xludf.DUMMYFUNCTION("""COMPUTED_VALUE"""),"CK")</f>
        <v>CK</v>
      </c>
      <c r="F99" s="218" t="str">
        <f>IFERROR(__xludf.DUMMYFUNCTION("""COMPUTED_VALUE"""),"New collection")</f>
        <v>New collection</v>
      </c>
      <c r="G99" s="218" t="str">
        <f>IFERROR(__xludf.DUMMYFUNCTION("""COMPUTED_VALUE"""),"Summer new arrivals_dormant")</f>
        <v>Summer new arrivals_dormant</v>
      </c>
      <c r="H99" s="218" t="str">
        <f>IFERROR(__xludf.DUMMYFUNCTION("""COMPUTED_VALUE"""),"CK_Dormant_Base, ck_online_dormant_29thapril_2026")</f>
        <v>CK_Dormant_Base, ck_online_dormant_29thapril_2026</v>
      </c>
      <c r="I99" s="218" t="str">
        <f>IFERROR(__xludf.DUMMYFUNCTION("""COMPUTED_VALUE"""),"Dormant")</f>
        <v>Dormant</v>
      </c>
      <c r="J99" s="213">
        <f>IFERROR(__xludf.DUMMYFUNCTION("""COMPUTED_VALUE"""),149331.0)</f>
        <v>149331</v>
      </c>
      <c r="K99" s="213">
        <f>IFERROR(__xludf.DUMMYFUNCTION("""COMPUTED_VALUE"""),56041.0)</f>
        <v>56041</v>
      </c>
      <c r="L99" s="214">
        <f>IFERROR(__xludf.DUMMYFUNCTION("""COMPUTED_VALUE"""),0.3753)</f>
        <v>0.3753</v>
      </c>
      <c r="M99" s="213">
        <f>IFERROR(__xludf.DUMMYFUNCTION("""COMPUTED_VALUE"""),18118.0)</f>
        <v>18118</v>
      </c>
      <c r="N99" s="214">
        <f>IFERROR(__xludf.DUMMYFUNCTION("""COMPUTED_VALUE"""),0.3233)</f>
        <v>0.3233</v>
      </c>
      <c r="O99" s="213">
        <f>IFERROR(__xludf.DUMMYFUNCTION("""COMPUTED_VALUE"""),1195.0)</f>
        <v>1195</v>
      </c>
      <c r="P99" s="213">
        <f>IFERROR(__xludf.DUMMYFUNCTION("""COMPUTED_VALUE"""),1146.0)</f>
        <v>1146</v>
      </c>
      <c r="Q99" s="214">
        <f>IFERROR(__xludf.DUMMYFUNCTION("""COMPUTED_VALUE"""),0.0205)</f>
        <v>0.0205</v>
      </c>
      <c r="R99" s="214">
        <f>IFERROR(__xludf.DUMMYFUNCTION("""COMPUTED_VALUE"""),0.0633)</f>
        <v>0.0633</v>
      </c>
      <c r="S99" s="270">
        <f>IFERROR(__xludf.DUMMYFUNCTION("""COMPUTED_VALUE"""),0.0)</f>
        <v>0</v>
      </c>
      <c r="T99" s="270">
        <f>IFERROR(__xludf.DUMMYFUNCTION("""COMPUTED_VALUE"""),0.0)</f>
        <v>0</v>
      </c>
      <c r="U99" s="270">
        <f>IFERROR(__xludf.DUMMYFUNCTION("""COMPUTED_VALUE"""),0.0)</f>
        <v>0</v>
      </c>
      <c r="V99" s="101" t="str">
        <f>IFERROR(__xludf.DUMMYFUNCTION("""COMPUTED_VALUE"""),"online")</f>
        <v>online</v>
      </c>
      <c r="W99" s="101" t="str">
        <f>IFERROR(__xludf.DUMMYFUNCTION("""COMPUTED_VALUE"""),"carousel")</f>
        <v>carousel</v>
      </c>
      <c r="X99" s="212" t="str">
        <f>IFERROR(__xludf.DUMMYFUNCTION("""COMPUTED_VALUE"""),"No Brief")</f>
        <v>No Brief</v>
      </c>
      <c r="Y99" s="212" t="str">
        <f>IFERROR(__xludf.DUMMYFUNCTION("""COMPUTED_VALUE"""),"6th June - 13th June ")</f>
        <v>6th June - 13th June </v>
      </c>
      <c r="Z99" s="212" t="str">
        <f>IFERROR(__xludf.DUMMYFUNCTION("""COMPUTED_VALUE"""),"6a228044377c9f6c47495a28")</f>
        <v>6a228044377c9f6c47495a28</v>
      </c>
      <c r="AA99" s="287">
        <f>IFERROR(__xludf.DUMMYFUNCTION("""COMPUTED_VALUE"""),0.0)</f>
        <v>0</v>
      </c>
      <c r="AB99" s="213">
        <f>IFERROR(__xludf.DUMMYFUNCTION("""COMPUTED_VALUE"""),0.0)</f>
        <v>0</v>
      </c>
      <c r="AC99" s="213"/>
      <c r="AD99" s="213">
        <f>IFERROR(__xludf.DUMMYFUNCTION("""COMPUTED_VALUE"""),0.0)</f>
        <v>0</v>
      </c>
      <c r="AE99" s="213">
        <f>IFERROR(__xludf.DUMMYFUNCTION("""COMPUTED_VALUE"""),0.0)</f>
        <v>0</v>
      </c>
      <c r="AF99" s="213"/>
      <c r="AG99" s="282"/>
      <c r="AH99" s="282"/>
      <c r="AI99" s="282"/>
      <c r="AJ99" s="282"/>
      <c r="AK99" s="282"/>
      <c r="AL99" s="282"/>
      <c r="AM99" s="282"/>
      <c r="AN99" s="282"/>
      <c r="AO99" s="282"/>
      <c r="AP99" s="282"/>
      <c r="AQ99" s="282"/>
      <c r="AR99" s="282"/>
      <c r="AS99" s="282"/>
      <c r="AT99" s="282"/>
      <c r="AU99" s="282"/>
      <c r="AV99" s="282"/>
      <c r="AW99" s="282"/>
      <c r="AX99" s="282"/>
      <c r="AY99" s="282"/>
      <c r="AZ99" s="282"/>
    </row>
    <row r="100">
      <c r="A100" s="209">
        <f>IFERROR(__xludf.DUMMYFUNCTION("""COMPUTED_VALUE"""),46179.0)</f>
        <v>46179</v>
      </c>
      <c r="B100" s="247">
        <f>IFERROR(__xludf.DUMMYFUNCTION("""COMPUTED_VALUE"""),0.4166666666678793)</f>
        <v>0.4166666667</v>
      </c>
      <c r="C100" s="218" t="str">
        <f>IFERROR(__xludf.DUMMYFUNCTION("""COMPUTED_VALUE"""),"Whatsapp")</f>
        <v>Whatsapp</v>
      </c>
      <c r="D100" s="218" t="str">
        <f>IFERROR(__xludf.DUMMYFUNCTION("""COMPUTED_VALUE"""),"Promotional")</f>
        <v>Promotional</v>
      </c>
      <c r="E100" s="218" t="str">
        <f>IFERROR(__xludf.DUMMYFUNCTION("""COMPUTED_VALUE"""),"CK")</f>
        <v>CK</v>
      </c>
      <c r="F100" s="218" t="str">
        <f>IFERROR(__xludf.DUMMYFUNCTION("""COMPUTED_VALUE"""),"New collection")</f>
        <v>New collection</v>
      </c>
      <c r="G100" s="218" t="str">
        <f>IFERROR(__xludf.DUMMYFUNCTION("""COMPUTED_VALUE"""),"Summer new_Charned")</f>
        <v>Summer new_Charned</v>
      </c>
      <c r="H100" s="218" t="str">
        <f>IFERROR(__xludf.DUMMYFUNCTION("""COMPUTED_VALUE"""),"CK_Churned_Base")</f>
        <v>CK_Churned_Base</v>
      </c>
      <c r="I100" s="218" t="str">
        <f>IFERROR(__xludf.DUMMYFUNCTION("""COMPUTED_VALUE"""),"Churned customers")</f>
        <v>Churned customers</v>
      </c>
      <c r="J100" s="213">
        <f>IFERROR(__xludf.DUMMYFUNCTION("""COMPUTED_VALUE"""),119535.0)</f>
        <v>119535</v>
      </c>
      <c r="K100" s="213">
        <f>IFERROR(__xludf.DUMMYFUNCTION("""COMPUTED_VALUE"""),35571.0)</f>
        <v>35571</v>
      </c>
      <c r="L100" s="214">
        <f>IFERROR(__xludf.DUMMYFUNCTION("""COMPUTED_VALUE"""),0.2976)</f>
        <v>0.2976</v>
      </c>
      <c r="M100" s="213">
        <f>IFERROR(__xludf.DUMMYFUNCTION("""COMPUTED_VALUE"""),11175.0)</f>
        <v>11175</v>
      </c>
      <c r="N100" s="214">
        <f>IFERROR(__xludf.DUMMYFUNCTION("""COMPUTED_VALUE"""),0.3142)</f>
        <v>0.3142</v>
      </c>
      <c r="O100" s="213">
        <f>IFERROR(__xludf.DUMMYFUNCTION("""COMPUTED_VALUE"""),671.0)</f>
        <v>671</v>
      </c>
      <c r="P100" s="213">
        <f>IFERROR(__xludf.DUMMYFUNCTION("""COMPUTED_VALUE"""),647.0)</f>
        <v>647</v>
      </c>
      <c r="Q100" s="214">
        <f>IFERROR(__xludf.DUMMYFUNCTION("""COMPUTED_VALUE"""),0.0182)</f>
        <v>0.0182</v>
      </c>
      <c r="R100" s="214">
        <f>IFERROR(__xludf.DUMMYFUNCTION("""COMPUTED_VALUE"""),0.0579)</f>
        <v>0.0579</v>
      </c>
      <c r="S100" s="270">
        <f>IFERROR(__xludf.DUMMYFUNCTION("""COMPUTED_VALUE"""),0.0)</f>
        <v>0</v>
      </c>
      <c r="T100" s="270">
        <f>IFERROR(__xludf.DUMMYFUNCTION("""COMPUTED_VALUE"""),0.0)</f>
        <v>0</v>
      </c>
      <c r="U100" s="270">
        <f>IFERROR(__xludf.DUMMYFUNCTION("""COMPUTED_VALUE"""),0.0)</f>
        <v>0</v>
      </c>
      <c r="V100" s="101" t="str">
        <f>IFERROR(__xludf.DUMMYFUNCTION("""COMPUTED_VALUE"""),"overall")</f>
        <v>overall</v>
      </c>
      <c r="W100" s="101" t="str">
        <f>IFERROR(__xludf.DUMMYFUNCTION("""COMPUTED_VALUE"""),"carousel")</f>
        <v>carousel</v>
      </c>
      <c r="X100" s="212" t="str">
        <f>IFERROR(__xludf.DUMMYFUNCTION("""COMPUTED_VALUE"""),"No Brief")</f>
        <v>No Brief</v>
      </c>
      <c r="Y100" s="212" t="str">
        <f>IFERROR(__xludf.DUMMYFUNCTION("""COMPUTED_VALUE"""),"6th June - 13th June ")</f>
        <v>6th June - 13th June </v>
      </c>
      <c r="Z100" s="212" t="str">
        <f>IFERROR(__xludf.DUMMYFUNCTION("""COMPUTED_VALUE"""),"6a22811fb19b24fe5d456459")</f>
        <v>6a22811fb19b24fe5d456459</v>
      </c>
      <c r="AA100" s="287">
        <f>IFERROR(__xludf.DUMMYFUNCTION("""COMPUTED_VALUE"""),70.0)</f>
        <v>70</v>
      </c>
      <c r="AB100" s="213">
        <f>IFERROR(__xludf.DUMMYFUNCTION("""COMPUTED_VALUE"""),0.0)</f>
        <v>0</v>
      </c>
      <c r="AC100" s="213">
        <f>IFERROR(__xludf.DUMMYFUNCTION("""COMPUTED_VALUE"""),70.0)</f>
        <v>70</v>
      </c>
      <c r="AD100" s="213">
        <f>IFERROR(__xludf.DUMMYFUNCTION("""COMPUTED_VALUE"""),889411.0)</f>
        <v>889411</v>
      </c>
      <c r="AE100" s="213">
        <f>IFERROR(__xludf.DUMMYFUNCTION("""COMPUTED_VALUE"""),0.0)</f>
        <v>0</v>
      </c>
      <c r="AF100" s="213">
        <f>IFERROR(__xludf.DUMMYFUNCTION("""COMPUTED_VALUE"""),889411.0)</f>
        <v>889411</v>
      </c>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row>
    <row r="101">
      <c r="A101" s="209">
        <f>IFERROR(__xludf.DUMMYFUNCTION("""COMPUTED_VALUE"""),46179.0)</f>
        <v>46179</v>
      </c>
      <c r="B101" s="247">
        <f>IFERROR(__xludf.DUMMYFUNCTION("""COMPUTED_VALUE"""),0.5)</f>
        <v>0.5</v>
      </c>
      <c r="C101" s="218" t="str">
        <f>IFERROR(__xludf.DUMMYFUNCTION("""COMPUTED_VALUE"""),"Sms")</f>
        <v>Sms</v>
      </c>
      <c r="D101" s="218" t="str">
        <f>IFERROR(__xludf.DUMMYFUNCTION("""COMPUTED_VALUE"""),"Fallback campaign")</f>
        <v>Fallback campaign</v>
      </c>
      <c r="E101" s="218" t="str">
        <f>IFERROR(__xludf.DUMMYFUNCTION("""COMPUTED_VALUE"""),"CK")</f>
        <v>CK</v>
      </c>
      <c r="F101" s="218" t="str">
        <f>IFERROR(__xludf.DUMMYFUNCTION("""COMPUTED_VALUE"""),"New collection")</f>
        <v>New collection</v>
      </c>
      <c r="G101" s="218" t="str">
        <f>IFERROR(__xludf.DUMMYFUNCTION("""COMPUTED_VALUE"""),"Summer new arrivals_active_fallback")</f>
        <v>Summer new arrivals_active_fallback</v>
      </c>
      <c r="H101" s="218" t="str">
        <f>IFERROR(__xludf.DUMMYFUNCTION("""COMPUTED_VALUE"""),"CK_Active_Base, ck_online_active_29thapril_2026")</f>
        <v>CK_Active_Base, ck_online_active_29thapril_2026</v>
      </c>
      <c r="I101" s="218" t="str">
        <f>IFERROR(__xludf.DUMMYFUNCTION("""COMPUTED_VALUE"""),"WA Undelivered")</f>
        <v>WA Undelivered</v>
      </c>
      <c r="J101" s="213">
        <f>IFERROR(__xludf.DUMMYFUNCTION("""COMPUTED_VALUE"""),52306.0)</f>
        <v>52306</v>
      </c>
      <c r="K101" s="213">
        <f>IFERROR(__xludf.DUMMYFUNCTION("""COMPUTED_VALUE"""),30074.0)</f>
        <v>30074</v>
      </c>
      <c r="L101" s="214">
        <f>IFERROR(__xludf.DUMMYFUNCTION("""COMPUTED_VALUE"""),0.575)</f>
        <v>0.575</v>
      </c>
      <c r="M101" s="213">
        <f>IFERROR(__xludf.DUMMYFUNCTION("""COMPUTED_VALUE"""),0.0)</f>
        <v>0</v>
      </c>
      <c r="N101" s="214">
        <f>IFERROR(__xludf.DUMMYFUNCTION("""COMPUTED_VALUE"""),0.0)</f>
        <v>0</v>
      </c>
      <c r="O101" s="213">
        <f>IFERROR(__xludf.DUMMYFUNCTION("""COMPUTED_VALUE"""),0.0)</f>
        <v>0</v>
      </c>
      <c r="P101" s="213">
        <f>IFERROR(__xludf.DUMMYFUNCTION("""COMPUTED_VALUE"""),0.0)</f>
        <v>0</v>
      </c>
      <c r="Q101" s="214">
        <f>IFERROR(__xludf.DUMMYFUNCTION("""COMPUTED_VALUE"""),0.0)</f>
        <v>0</v>
      </c>
      <c r="R101" s="214">
        <f>IFERROR(__xludf.DUMMYFUNCTION("""COMPUTED_VALUE"""),0.0)</f>
        <v>0</v>
      </c>
      <c r="S101" s="270">
        <f>IFERROR(__xludf.DUMMYFUNCTION("""COMPUTED_VALUE"""),17.0)</f>
        <v>17</v>
      </c>
      <c r="T101" s="270">
        <f>IFERROR(__xludf.DUMMYFUNCTION("""COMPUTED_VALUE"""),0.0)</f>
        <v>0</v>
      </c>
      <c r="U101" s="270">
        <f>IFERROR(__xludf.DUMMYFUNCTION("""COMPUTED_VALUE"""),270473.0)</f>
        <v>270473</v>
      </c>
      <c r="V101" s="101" t="str">
        <f>IFERROR(__xludf.DUMMYFUNCTION("""COMPUTED_VALUE"""),"online")</f>
        <v>online</v>
      </c>
      <c r="W101" s="101" t="str">
        <f>IFERROR(__xludf.DUMMYFUNCTION("""COMPUTED_VALUE"""),"Sms")</f>
        <v>Sms</v>
      </c>
      <c r="X101" s="212" t="str">
        <f>IFERROR(__xludf.DUMMYFUNCTION("""COMPUTED_VALUE"""),"No Brief")</f>
        <v>No Brief</v>
      </c>
      <c r="Y101" s="212" t="str">
        <f>IFERROR(__xludf.DUMMYFUNCTION("""COMPUTED_VALUE"""),"6th June - 13th June ")</f>
        <v>6th June - 13th June </v>
      </c>
      <c r="Z101" s="212" t="str">
        <f>IFERROR(__xludf.DUMMYFUNCTION("""COMPUTED_VALUE"""),"6a22821740021887f3557571")</f>
        <v>6a22821740021887f3557571</v>
      </c>
      <c r="AA101" s="287">
        <f>IFERROR(__xludf.DUMMYFUNCTION("""COMPUTED_VALUE"""),0.0)</f>
        <v>0</v>
      </c>
      <c r="AB101" s="213">
        <f>IFERROR(__xludf.DUMMYFUNCTION("""COMPUTED_VALUE"""),0.0)</f>
        <v>0</v>
      </c>
      <c r="AC101" s="213"/>
      <c r="AD101" s="213">
        <f>IFERROR(__xludf.DUMMYFUNCTION("""COMPUTED_VALUE"""),0.0)</f>
        <v>0</v>
      </c>
      <c r="AE101" s="213">
        <f>IFERROR(__xludf.DUMMYFUNCTION("""COMPUTED_VALUE"""),0.0)</f>
        <v>0</v>
      </c>
      <c r="AF101" s="213"/>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row>
    <row r="102">
      <c r="A102" s="292">
        <f>IFERROR(__xludf.DUMMYFUNCTION("""COMPUTED_VALUE"""),46179.0)</f>
        <v>46179</v>
      </c>
      <c r="B102" s="293">
        <f>IFERROR(__xludf.DUMMYFUNCTION("""COMPUTED_VALUE"""),0.5)</f>
        <v>0.5</v>
      </c>
      <c r="C102" s="294" t="str">
        <f>IFERROR(__xludf.DUMMYFUNCTION("""COMPUTED_VALUE"""),"Sms")</f>
        <v>Sms</v>
      </c>
      <c r="D102" s="293" t="str">
        <f>IFERROR(__xludf.DUMMYFUNCTION("""COMPUTED_VALUE"""),"Fallback campaign")</f>
        <v>Fallback campaign</v>
      </c>
      <c r="E102" s="293" t="str">
        <f>IFERROR(__xludf.DUMMYFUNCTION("""COMPUTED_VALUE"""),"CK")</f>
        <v>CK</v>
      </c>
      <c r="F102" s="293" t="str">
        <f>IFERROR(__xludf.DUMMYFUNCTION("""COMPUTED_VALUE"""),"New collection")</f>
        <v>New collection</v>
      </c>
      <c r="G102" s="293" t="str">
        <f>IFERROR(__xludf.DUMMYFUNCTION("""COMPUTED_VALUE"""),"Summer new arrivals_dormant_fallback")</f>
        <v>Summer new arrivals_dormant_fallback</v>
      </c>
      <c r="H102" s="295" t="str">
        <f>IFERROR(__xludf.DUMMYFUNCTION("""COMPUTED_VALUE"""),"CK_Dormant_Base, ck_online_dormant_29thapril_2026")</f>
        <v>CK_Dormant_Base, ck_online_dormant_29thapril_2026</v>
      </c>
      <c r="I102" s="295" t="str">
        <f>IFERROR(__xludf.DUMMYFUNCTION("""COMPUTED_VALUE"""),"WA Undelivered")</f>
        <v>WA Undelivered</v>
      </c>
      <c r="J102" s="296">
        <f>IFERROR(__xludf.DUMMYFUNCTION("""COMPUTED_VALUE"""),91108.0)</f>
        <v>91108</v>
      </c>
      <c r="K102" s="296">
        <f>IFERROR(__xludf.DUMMYFUNCTION("""COMPUTED_VALUE"""),52510.0)</f>
        <v>52510</v>
      </c>
      <c r="L102" s="297">
        <f>IFERROR(__xludf.DUMMYFUNCTION("""COMPUTED_VALUE"""),0.5763)</f>
        <v>0.5763</v>
      </c>
      <c r="M102" s="296">
        <f>IFERROR(__xludf.DUMMYFUNCTION("""COMPUTED_VALUE"""),0.0)</f>
        <v>0</v>
      </c>
      <c r="N102" s="297">
        <f>IFERROR(__xludf.DUMMYFUNCTION("""COMPUTED_VALUE"""),0.0)</f>
        <v>0</v>
      </c>
      <c r="O102" s="296">
        <f>IFERROR(__xludf.DUMMYFUNCTION("""COMPUTED_VALUE"""),0.0)</f>
        <v>0</v>
      </c>
      <c r="P102" s="296">
        <f>IFERROR(__xludf.DUMMYFUNCTION("""COMPUTED_VALUE"""),0.0)</f>
        <v>0</v>
      </c>
      <c r="Q102" s="297">
        <f>IFERROR(__xludf.DUMMYFUNCTION("""COMPUTED_VALUE"""),0.0)</f>
        <v>0</v>
      </c>
      <c r="R102" s="297">
        <f>IFERROR(__xludf.DUMMYFUNCTION("""COMPUTED_VALUE"""),0.0)</f>
        <v>0</v>
      </c>
      <c r="S102" s="296">
        <f>IFERROR(__xludf.DUMMYFUNCTION("""COMPUTED_VALUE"""),29.0)</f>
        <v>29</v>
      </c>
      <c r="T102" s="296">
        <f>IFERROR(__xludf.DUMMYFUNCTION("""COMPUTED_VALUE"""),0.0)</f>
        <v>0</v>
      </c>
      <c r="U102" s="296">
        <f>IFERROR(__xludf.DUMMYFUNCTION("""COMPUTED_VALUE"""),410958.0)</f>
        <v>410958</v>
      </c>
      <c r="V102" s="298" t="str">
        <f>IFERROR(__xludf.DUMMYFUNCTION("""COMPUTED_VALUE"""),"online")</f>
        <v>online</v>
      </c>
      <c r="W102" s="298" t="str">
        <f>IFERROR(__xludf.DUMMYFUNCTION("""COMPUTED_VALUE"""),"Sms")</f>
        <v>Sms</v>
      </c>
      <c r="X102" s="298" t="str">
        <f>IFERROR(__xludf.DUMMYFUNCTION("""COMPUTED_VALUE"""),"No Brief")</f>
        <v>No Brief</v>
      </c>
      <c r="Y102" s="298" t="str">
        <f>IFERROR(__xludf.DUMMYFUNCTION("""COMPUTED_VALUE"""),"6th June - 13th June ")</f>
        <v>6th June - 13th June </v>
      </c>
      <c r="Z102" s="298" t="str">
        <f>IFERROR(__xludf.DUMMYFUNCTION("""COMPUTED_VALUE"""),"6a2285d74a49747f96af9411")</f>
        <v>6a2285d74a49747f96af9411</v>
      </c>
      <c r="AA102" s="296">
        <f>IFERROR(__xludf.DUMMYFUNCTION("""COMPUTED_VALUE"""),0.0)</f>
        <v>0</v>
      </c>
      <c r="AB102" s="296">
        <f>IFERROR(__xludf.DUMMYFUNCTION("""COMPUTED_VALUE"""),0.0)</f>
        <v>0</v>
      </c>
      <c r="AC102" s="296"/>
      <c r="AD102" s="296">
        <f>IFERROR(__xludf.DUMMYFUNCTION("""COMPUTED_VALUE"""),0.0)</f>
        <v>0</v>
      </c>
      <c r="AE102" s="296">
        <f>IFERROR(__xludf.DUMMYFUNCTION("""COMPUTED_VALUE"""),0.0)</f>
        <v>0</v>
      </c>
      <c r="AF102" s="296"/>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row>
    <row r="103">
      <c r="A103" s="292">
        <f>IFERROR(__xludf.DUMMYFUNCTION("""COMPUTED_VALUE"""),46179.0)</f>
        <v>46179</v>
      </c>
      <c r="B103" s="293">
        <f>IFERROR(__xludf.DUMMYFUNCTION("""COMPUTED_VALUE"""),0.5)</f>
        <v>0.5</v>
      </c>
      <c r="C103" s="294" t="str">
        <f>IFERROR(__xludf.DUMMYFUNCTION("""COMPUTED_VALUE"""),"Sms")</f>
        <v>Sms</v>
      </c>
      <c r="D103" s="293" t="str">
        <f>IFERROR(__xludf.DUMMYFUNCTION("""COMPUTED_VALUE"""),"Fallback campaign")</f>
        <v>Fallback campaign</v>
      </c>
      <c r="E103" s="293" t="str">
        <f>IFERROR(__xludf.DUMMYFUNCTION("""COMPUTED_VALUE"""),"CK")</f>
        <v>CK</v>
      </c>
      <c r="F103" s="293" t="str">
        <f>IFERROR(__xludf.DUMMYFUNCTION("""COMPUTED_VALUE"""),"New collection")</f>
        <v>New collection</v>
      </c>
      <c r="G103" s="293" t="str">
        <f>IFERROR(__xludf.DUMMYFUNCTION("""COMPUTED_VALUE"""),"Summer new_Charned_fallback")</f>
        <v>Summer new_Charned_fallback</v>
      </c>
      <c r="H103" s="295" t="str">
        <f>IFERROR(__xludf.DUMMYFUNCTION("""COMPUTED_VALUE"""),"CK_Churned_Base")</f>
        <v>CK_Churned_Base</v>
      </c>
      <c r="I103" s="295" t="str">
        <f>IFERROR(__xludf.DUMMYFUNCTION("""COMPUTED_VALUE"""),"WA Undelivered")</f>
        <v>WA Undelivered</v>
      </c>
      <c r="J103" s="296">
        <f>IFERROR(__xludf.DUMMYFUNCTION("""COMPUTED_VALUE"""),81953.0)</f>
        <v>81953</v>
      </c>
      <c r="K103" s="296">
        <f>IFERROR(__xludf.DUMMYFUNCTION("""COMPUTED_VALUE"""),44527.0)</f>
        <v>44527</v>
      </c>
      <c r="L103" s="297">
        <f>IFERROR(__xludf.DUMMYFUNCTION("""COMPUTED_VALUE"""),0.5433)</f>
        <v>0.5433</v>
      </c>
      <c r="M103" s="296">
        <f>IFERROR(__xludf.DUMMYFUNCTION("""COMPUTED_VALUE"""),0.0)</f>
        <v>0</v>
      </c>
      <c r="N103" s="297">
        <f>IFERROR(__xludf.DUMMYFUNCTION("""COMPUTED_VALUE"""),0.0)</f>
        <v>0</v>
      </c>
      <c r="O103" s="296">
        <f>IFERROR(__xludf.DUMMYFUNCTION("""COMPUTED_VALUE"""),0.0)</f>
        <v>0</v>
      </c>
      <c r="P103" s="296">
        <f>IFERROR(__xludf.DUMMYFUNCTION("""COMPUTED_VALUE"""),0.0)</f>
        <v>0</v>
      </c>
      <c r="Q103" s="297">
        <f>IFERROR(__xludf.DUMMYFUNCTION("""COMPUTED_VALUE"""),0.0)</f>
        <v>0</v>
      </c>
      <c r="R103" s="297">
        <f>IFERROR(__xludf.DUMMYFUNCTION("""COMPUTED_VALUE"""),0.0)</f>
        <v>0</v>
      </c>
      <c r="S103" s="296">
        <f>IFERROR(__xludf.DUMMYFUNCTION("""COMPUTED_VALUE"""),20.0)</f>
        <v>20</v>
      </c>
      <c r="T103" s="296">
        <f>IFERROR(__xludf.DUMMYFUNCTION("""COMPUTED_VALUE"""),0.0)</f>
        <v>0</v>
      </c>
      <c r="U103" s="296">
        <f>IFERROR(__xludf.DUMMYFUNCTION("""COMPUTED_VALUE"""),246578.0)</f>
        <v>246578</v>
      </c>
      <c r="V103" s="298" t="str">
        <f>IFERROR(__xludf.DUMMYFUNCTION("""COMPUTED_VALUE"""),"overall")</f>
        <v>overall</v>
      </c>
      <c r="W103" s="298" t="str">
        <f>IFERROR(__xludf.DUMMYFUNCTION("""COMPUTED_VALUE"""),"Sms")</f>
        <v>Sms</v>
      </c>
      <c r="X103" s="298" t="str">
        <f>IFERROR(__xludf.DUMMYFUNCTION("""COMPUTED_VALUE"""),"No Brief")</f>
        <v>No Brief</v>
      </c>
      <c r="Y103" s="298" t="str">
        <f>IFERROR(__xludf.DUMMYFUNCTION("""COMPUTED_VALUE"""),"6th June - 13th June ")</f>
        <v>6th June - 13th June </v>
      </c>
      <c r="Z103" s="298" t="str">
        <f>IFERROR(__xludf.DUMMYFUNCTION("""COMPUTED_VALUE"""),"6a2286154162dbb631c4bb89")</f>
        <v>6a2286154162dbb631c4bb89</v>
      </c>
      <c r="AA103" s="296">
        <f>IFERROR(__xludf.DUMMYFUNCTION("""COMPUTED_VALUE"""),108.0)</f>
        <v>108</v>
      </c>
      <c r="AB103" s="296">
        <f>IFERROR(__xludf.DUMMYFUNCTION("""COMPUTED_VALUE"""),0.0)</f>
        <v>0</v>
      </c>
      <c r="AC103" s="296">
        <f>IFERROR(__xludf.DUMMYFUNCTION("""COMPUTED_VALUE"""),108.0)</f>
        <v>108</v>
      </c>
      <c r="AD103" s="296">
        <f>IFERROR(__xludf.DUMMYFUNCTION("""COMPUTED_VALUE"""),1389165.0)</f>
        <v>1389165</v>
      </c>
      <c r="AE103" s="296">
        <f>IFERROR(__xludf.DUMMYFUNCTION("""COMPUTED_VALUE"""),0.0)</f>
        <v>0</v>
      </c>
      <c r="AF103" s="296">
        <f>IFERROR(__xludf.DUMMYFUNCTION("""COMPUTED_VALUE"""),1389165.0)</f>
        <v>1389165</v>
      </c>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row>
    <row r="104">
      <c r="A104" s="292">
        <f>IFERROR(__xludf.DUMMYFUNCTION("""COMPUTED_VALUE"""),46190.0)</f>
        <v>46190</v>
      </c>
      <c r="B104" s="293">
        <f>IFERROR(__xludf.DUMMYFUNCTION("""COMPUTED_VALUE"""),0.6666666666678793)</f>
        <v>0.6666666667</v>
      </c>
      <c r="C104" s="294" t="str">
        <f>IFERROR(__xludf.DUMMYFUNCTION("""COMPUTED_VALUE"""),"Whatsapp")</f>
        <v>Whatsapp</v>
      </c>
      <c r="D104" s="293" t="str">
        <f>IFERROR(__xludf.DUMMYFUNCTION("""COMPUTED_VALUE"""),"Promotional")</f>
        <v>Promotional</v>
      </c>
      <c r="E104" s="293" t="str">
        <f>IFERROR(__xludf.DUMMYFUNCTION("""COMPUTED_VALUE"""),"CK")</f>
        <v>CK</v>
      </c>
      <c r="F104" s="293" t="str">
        <f>IFERROR(__xludf.DUMMYFUNCTION("""COMPUTED_VALUE"""),"Summer End of Season Sale - Up to 30% off")</f>
        <v>Summer End of Season Sale - Up to 30% off</v>
      </c>
      <c r="G104" s="293" t="str">
        <f>IFERROR(__xludf.DUMMYFUNCTION("""COMPUTED_VALUE"""),"Summer ESS_Online")</f>
        <v>Summer ESS_Online</v>
      </c>
      <c r="H104" s="295" t="str">
        <f>IFERROR(__xludf.DUMMYFUNCTION("""COMPUTED_VALUE"""),"CK_Online_Active_16thJune26 AND  CK_Online_Dormant_16thJune26_V2")</f>
        <v>CK_Online_Active_16thJune26 AND  CK_Online_Dormant_16thJune26_V2</v>
      </c>
      <c r="I104" s="295" t="str">
        <f>IFERROR(__xludf.DUMMYFUNCTION("""COMPUTED_VALUE"""),"Custom data upload (active), Custom data upload (dormant)")</f>
        <v>Custom data upload (active), Custom data upload (dormant)</v>
      </c>
      <c r="J104" s="296">
        <f>IFERROR(__xludf.DUMMYFUNCTION("""COMPUTED_VALUE"""),64657.0)</f>
        <v>64657</v>
      </c>
      <c r="K104" s="296">
        <f>IFERROR(__xludf.DUMMYFUNCTION("""COMPUTED_VALUE"""),23177.0)</f>
        <v>23177</v>
      </c>
      <c r="L104" s="297">
        <f>IFERROR(__xludf.DUMMYFUNCTION("""COMPUTED_VALUE"""),0.3584)</f>
        <v>0.3584</v>
      </c>
      <c r="M104" s="296">
        <f>IFERROR(__xludf.DUMMYFUNCTION("""COMPUTED_VALUE"""),7885.0)</f>
        <v>7885</v>
      </c>
      <c r="N104" s="297">
        <f>IFERROR(__xludf.DUMMYFUNCTION("""COMPUTED_VALUE"""),0.3401)</f>
        <v>0.3401</v>
      </c>
      <c r="O104" s="296">
        <f>IFERROR(__xludf.DUMMYFUNCTION("""COMPUTED_VALUE"""),1470.0)</f>
        <v>1470</v>
      </c>
      <c r="P104" s="296">
        <f>IFERROR(__xludf.DUMMYFUNCTION("""COMPUTED_VALUE"""),1346.0)</f>
        <v>1346</v>
      </c>
      <c r="Q104" s="297">
        <f>IFERROR(__xludf.DUMMYFUNCTION("""COMPUTED_VALUE"""),0.0581)</f>
        <v>0.0581</v>
      </c>
      <c r="R104" s="297">
        <f>IFERROR(__xludf.DUMMYFUNCTION("""COMPUTED_VALUE"""),0.1708)</f>
        <v>0.1708</v>
      </c>
      <c r="S104" s="296">
        <f>IFERROR(__xludf.DUMMYFUNCTION("""COMPUTED_VALUE"""),0.0)</f>
        <v>0</v>
      </c>
      <c r="T104" s="296">
        <f>IFERROR(__xludf.DUMMYFUNCTION("""COMPUTED_VALUE"""),0.0)</f>
        <v>0</v>
      </c>
      <c r="U104" s="296">
        <f>IFERROR(__xludf.DUMMYFUNCTION("""COMPUTED_VALUE"""),0.0)</f>
        <v>0</v>
      </c>
      <c r="V104" s="298" t="str">
        <f>IFERROR(__xludf.DUMMYFUNCTION("""COMPUTED_VALUE"""),"online")</f>
        <v>online</v>
      </c>
      <c r="W104" s="298" t="str">
        <f>IFERROR(__xludf.DUMMYFUNCTION("""COMPUTED_VALUE"""),"simple")</f>
        <v>simple</v>
      </c>
      <c r="X104" s="298" t="str">
        <f>IFERROR(__xludf.DUMMYFUNCTION("""COMPUTED_VALUE"""),"Active, Dormant")</f>
        <v>Active, Dormant</v>
      </c>
      <c r="Y104" s="298" t="str">
        <f>IFERROR(__xludf.DUMMYFUNCTION("""COMPUTED_VALUE"""),"17 - 19th June")</f>
        <v>17 - 19th June</v>
      </c>
      <c r="Z104" s="298" t="str">
        <f>IFERROR(__xludf.DUMMYFUNCTION("""COMPUTED_VALUE"""),"6a32404727b0451d8778b598")</f>
        <v>6a32404727b0451d8778b598</v>
      </c>
      <c r="AA104" s="296">
        <f>IFERROR(__xludf.DUMMYFUNCTION("""COMPUTED_VALUE"""),0.0)</f>
        <v>0</v>
      </c>
      <c r="AB104" s="296">
        <f>IFERROR(__xludf.DUMMYFUNCTION("""COMPUTED_VALUE"""),0.0)</f>
        <v>0</v>
      </c>
      <c r="AC104" s="296"/>
      <c r="AD104" s="296">
        <f>IFERROR(__xludf.DUMMYFUNCTION("""COMPUTED_VALUE"""),0.0)</f>
        <v>0</v>
      </c>
      <c r="AE104" s="296">
        <f>IFERROR(__xludf.DUMMYFUNCTION("""COMPUTED_VALUE"""),0.0)</f>
        <v>0</v>
      </c>
      <c r="AF104" s="296"/>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row>
    <row r="105">
      <c r="A105" s="292">
        <f>IFERROR(__xludf.DUMMYFUNCTION("""COMPUTED_VALUE"""),46191.0)</f>
        <v>46191</v>
      </c>
      <c r="B105" s="293">
        <f>IFERROR(__xludf.DUMMYFUNCTION("""COMPUTED_VALUE"""),0.4166666666678793)</f>
        <v>0.4166666667</v>
      </c>
      <c r="C105" s="294" t="str">
        <f>IFERROR(__xludf.DUMMYFUNCTION("""COMPUTED_VALUE"""),"Whatsapp")</f>
        <v>Whatsapp</v>
      </c>
      <c r="D105" s="293" t="str">
        <f>IFERROR(__xludf.DUMMYFUNCTION("""COMPUTED_VALUE"""),"Promotional")</f>
        <v>Promotional</v>
      </c>
      <c r="E105" s="293" t="str">
        <f>IFERROR(__xludf.DUMMYFUNCTION("""COMPUTED_VALUE"""),"CK")</f>
        <v>CK</v>
      </c>
      <c r="F105" s="293" t="str">
        <f>IFERROR(__xludf.DUMMYFUNCTION("""COMPUTED_VALUE"""),"Summer End of Season Sale - Up to 30% off")</f>
        <v>Summer End of Season Sale - Up to 30% off</v>
      </c>
      <c r="G105" s="293" t="str">
        <f>IFERROR(__xludf.DUMMYFUNCTION("""COMPUTED_VALUE"""),"Summer ESS_Offline_event shoppers")</f>
        <v>Summer ESS_Offline_event shoppers</v>
      </c>
      <c r="H105" s="295" t="str">
        <f>IFERROR(__xludf.DUMMYFUNCTION("""COMPUTED_VALUE"""),"ck_onoff_pr_eventbuyers_6thMarch26")</f>
        <v>ck_onoff_pr_eventbuyers_6thMarch26</v>
      </c>
      <c r="I105" s="295" t="str">
        <f>IFERROR(__xludf.DUMMYFUNCTION("""COMPUTED_VALUE"""),"Event shoppers")</f>
        <v>Event shoppers</v>
      </c>
      <c r="J105" s="296">
        <f>IFERROR(__xludf.DUMMYFUNCTION("""COMPUTED_VALUE"""),88044.0)</f>
        <v>88044</v>
      </c>
      <c r="K105" s="296">
        <f>IFERROR(__xludf.DUMMYFUNCTION("""COMPUTED_VALUE"""),35568.0)</f>
        <v>35568</v>
      </c>
      <c r="L105" s="297">
        <f>IFERROR(__xludf.DUMMYFUNCTION("""COMPUTED_VALUE"""),0.404)</f>
        <v>0.404</v>
      </c>
      <c r="M105" s="296">
        <f>IFERROR(__xludf.DUMMYFUNCTION("""COMPUTED_VALUE"""),12032.0)</f>
        <v>12032</v>
      </c>
      <c r="N105" s="297">
        <f>IFERROR(__xludf.DUMMYFUNCTION("""COMPUTED_VALUE"""),0.3381)</f>
        <v>0.3381</v>
      </c>
      <c r="O105" s="296">
        <f>IFERROR(__xludf.DUMMYFUNCTION("""COMPUTED_VALUE"""),2414.0)</f>
        <v>2414</v>
      </c>
      <c r="P105" s="296">
        <f>IFERROR(__xludf.DUMMYFUNCTION("""COMPUTED_VALUE"""),2180.0)</f>
        <v>2180</v>
      </c>
      <c r="Q105" s="297">
        <f>IFERROR(__xludf.DUMMYFUNCTION("""COMPUTED_VALUE"""),0.0613)</f>
        <v>0.0613</v>
      </c>
      <c r="R105" s="297">
        <f>IFERROR(__xludf.DUMMYFUNCTION("""COMPUTED_VALUE"""),0.1813)</f>
        <v>0.1813</v>
      </c>
      <c r="S105" s="296">
        <f>IFERROR(__xludf.DUMMYFUNCTION("""COMPUTED_VALUE"""),67.0)</f>
        <v>67</v>
      </c>
      <c r="T105" s="296">
        <f>IFERROR(__xludf.DUMMYFUNCTION("""COMPUTED_VALUE"""),0.0)</f>
        <v>0</v>
      </c>
      <c r="U105" s="296">
        <f>IFERROR(__xludf.DUMMYFUNCTION("""COMPUTED_VALUE"""),917726.0)</f>
        <v>917726</v>
      </c>
      <c r="V105" s="298" t="str">
        <f>IFERROR(__xludf.DUMMYFUNCTION("""COMPUTED_VALUE"""),"overall")</f>
        <v>overall</v>
      </c>
      <c r="W105" s="298" t="str">
        <f>IFERROR(__xludf.DUMMYFUNCTION("""COMPUTED_VALUE"""),"simple")</f>
        <v>simple</v>
      </c>
      <c r="X105" s="298" t="str">
        <f>IFERROR(__xludf.DUMMYFUNCTION("""COMPUTED_VALUE"""),"Event Buyers")</f>
        <v>Event Buyers</v>
      </c>
      <c r="Y105" s="298" t="str">
        <f>IFERROR(__xludf.DUMMYFUNCTION("""COMPUTED_VALUE"""),"18th to 20th june")</f>
        <v>18th to 20th june</v>
      </c>
      <c r="Z105" s="298" t="str">
        <f>IFERROR(__xludf.DUMMYFUNCTION("""COMPUTED_VALUE"""),"6a324bfd81723105d3e94110")</f>
        <v>6a324bfd81723105d3e94110</v>
      </c>
      <c r="AA105" s="296">
        <f>IFERROR(__xludf.DUMMYFUNCTION("""COMPUTED_VALUE"""),67.0)</f>
        <v>67</v>
      </c>
      <c r="AB105" s="296">
        <f>IFERROR(__xludf.DUMMYFUNCTION("""COMPUTED_VALUE"""),0.0)</f>
        <v>0</v>
      </c>
      <c r="AC105" s="296">
        <f>IFERROR(__xludf.DUMMYFUNCTION("""COMPUTED_VALUE"""),67.0)</f>
        <v>67</v>
      </c>
      <c r="AD105" s="296">
        <f>IFERROR(__xludf.DUMMYFUNCTION("""COMPUTED_VALUE"""),917726.0)</f>
        <v>917726</v>
      </c>
      <c r="AE105" s="296">
        <f>IFERROR(__xludf.DUMMYFUNCTION("""COMPUTED_VALUE"""),0.0)</f>
        <v>0</v>
      </c>
      <c r="AF105" s="296">
        <f>IFERROR(__xludf.DUMMYFUNCTION("""COMPUTED_VALUE"""),917726.0)</f>
        <v>917726</v>
      </c>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row>
    <row r="106">
      <c r="A106" s="292">
        <f>IFERROR(__xludf.DUMMYFUNCTION("""COMPUTED_VALUE"""),46193.0)</f>
        <v>46193</v>
      </c>
      <c r="B106" s="293">
        <f>IFERROR(__xludf.DUMMYFUNCTION("""COMPUTED_VALUE"""),0.4166666666678793)</f>
        <v>0.4166666667</v>
      </c>
      <c r="C106" s="294" t="str">
        <f>IFERROR(__xludf.DUMMYFUNCTION("""COMPUTED_VALUE"""),"Whatsapp")</f>
        <v>Whatsapp</v>
      </c>
      <c r="D106" s="293" t="str">
        <f>IFERROR(__xludf.DUMMYFUNCTION("""COMPUTED_VALUE"""),"Promotional")</f>
        <v>Promotional</v>
      </c>
      <c r="E106" s="293" t="str">
        <f>IFERROR(__xludf.DUMMYFUNCTION("""COMPUTED_VALUE"""),"CK")</f>
        <v>CK</v>
      </c>
      <c r="F106" s="293" t="str">
        <f>IFERROR(__xludf.DUMMYFUNCTION("""COMPUTED_VALUE"""),"Summer End of Season Sale - Up to 30% off")</f>
        <v>Summer End of Season Sale - Up to 30% off</v>
      </c>
      <c r="G106" s="293" t="str">
        <f>IFERROR(__xludf.DUMMYFUNCTION("""COMPUTED_VALUE"""),"Summer ESS_Online + offline_active_day2")</f>
        <v>Summer ESS_Online + offline_active_day2</v>
      </c>
      <c r="H106" s="295" t="str">
        <f>IFERROR(__xludf.DUMMYFUNCTION("""COMPUTED_VALUE"""),"CK_Active_Base, CK_Online_Active_16thJune26")</f>
        <v>CK_Active_Base, CK_Online_Active_16thJune26</v>
      </c>
      <c r="I106" s="295" t="str">
        <f>IFERROR(__xludf.DUMMYFUNCTION("""COMPUTED_VALUE"""),"All customers who shopped in last 91 days, Custom data upload (active)")</f>
        <v>All customers who shopped in last 91 days, Custom data upload (active)</v>
      </c>
      <c r="J106" s="296">
        <f>IFERROR(__xludf.DUMMYFUNCTION("""COMPUTED_VALUE"""),87743.0)</f>
        <v>87743</v>
      </c>
      <c r="K106" s="296">
        <f>IFERROR(__xludf.DUMMYFUNCTION("""COMPUTED_VALUE"""),34123.0)</f>
        <v>34123</v>
      </c>
      <c r="L106" s="297">
        <f>IFERROR(__xludf.DUMMYFUNCTION("""COMPUTED_VALUE"""),0.3651)</f>
        <v>0.3651</v>
      </c>
      <c r="M106" s="296">
        <f>IFERROR(__xludf.DUMMYFUNCTION("""COMPUTED_VALUE"""),10694.0)</f>
        <v>10694</v>
      </c>
      <c r="N106" s="297">
        <f>IFERROR(__xludf.DUMMYFUNCTION("""COMPUTED_VALUE"""),0.32)</f>
        <v>0.32</v>
      </c>
      <c r="O106" s="296">
        <f>IFERROR(__xludf.DUMMYFUNCTION("""COMPUTED_VALUE"""),970.0)</f>
        <v>970</v>
      </c>
      <c r="P106" s="296">
        <f>IFERROR(__xludf.DUMMYFUNCTION("""COMPUTED_VALUE"""),855.0)</f>
        <v>855</v>
      </c>
      <c r="Q106" s="297">
        <f>IFERROR(__xludf.DUMMYFUNCTION("""COMPUTED_VALUE"""),0.0267)</f>
        <v>0.0267</v>
      </c>
      <c r="R106" s="297">
        <f>IFERROR(__xludf.DUMMYFUNCTION("""COMPUTED_VALUE"""),0.0834)</f>
        <v>0.0834</v>
      </c>
      <c r="S106" s="296">
        <f>IFERROR(__xludf.DUMMYFUNCTION("""COMPUTED_VALUE"""),0.0)</f>
        <v>0</v>
      </c>
      <c r="T106" s="296">
        <f>IFERROR(__xludf.DUMMYFUNCTION("""COMPUTED_VALUE"""),0.0)</f>
        <v>0</v>
      </c>
      <c r="U106" s="296">
        <f>IFERROR(__xludf.DUMMYFUNCTION("""COMPUTED_VALUE"""),0.0)</f>
        <v>0</v>
      </c>
      <c r="V106" s="298" t="str">
        <f>IFERROR(__xludf.DUMMYFUNCTION("""COMPUTED_VALUE"""),"overall")</f>
        <v>overall</v>
      </c>
      <c r="W106" s="298" t="str">
        <f>IFERROR(__xludf.DUMMYFUNCTION("""COMPUTED_VALUE"""),"simple")</f>
        <v>simple</v>
      </c>
      <c r="X106" s="298" t="str">
        <f>IFERROR(__xludf.DUMMYFUNCTION("""COMPUTED_VALUE"""),"Active")</f>
        <v>Active</v>
      </c>
      <c r="Y106" s="298" t="str">
        <f>IFERROR(__xludf.DUMMYFUNCTION("""COMPUTED_VALUE"""),"20th to 22nd june")</f>
        <v>20th to 22nd june</v>
      </c>
      <c r="Z106" s="298" t="str">
        <f>IFERROR(__xludf.DUMMYFUNCTION("""COMPUTED_VALUE"""),"6a3285d1cd14ca44bf02b66a")</f>
        <v>6a3285d1cd14ca44bf02b66a</v>
      </c>
      <c r="AA106" s="296">
        <f>IFERROR(__xludf.DUMMYFUNCTION("""COMPUTED_VALUE"""),56.0)</f>
        <v>56</v>
      </c>
      <c r="AB106" s="296">
        <f>IFERROR(__xludf.DUMMYFUNCTION("""COMPUTED_VALUE"""),0.0)</f>
        <v>0</v>
      </c>
      <c r="AC106" s="296">
        <f>IFERROR(__xludf.DUMMYFUNCTION("""COMPUTED_VALUE"""),56.0)</f>
        <v>56</v>
      </c>
      <c r="AD106" s="296">
        <f>IFERROR(__xludf.DUMMYFUNCTION("""COMPUTED_VALUE"""),768130.0)</f>
        <v>768130</v>
      </c>
      <c r="AE106" s="296">
        <f>IFERROR(__xludf.DUMMYFUNCTION("""COMPUTED_VALUE"""),0.0)</f>
        <v>0</v>
      </c>
      <c r="AF106" s="296">
        <f>IFERROR(__xludf.DUMMYFUNCTION("""COMPUTED_VALUE"""),768130.0)</f>
        <v>768130</v>
      </c>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row>
    <row r="107">
      <c r="A107" s="292">
        <f>IFERROR(__xludf.DUMMYFUNCTION("""COMPUTED_VALUE"""),46193.0)</f>
        <v>46193</v>
      </c>
      <c r="B107" s="293">
        <f>IFERROR(__xludf.DUMMYFUNCTION("""COMPUTED_VALUE"""),0.4166666666678793)</f>
        <v>0.4166666667</v>
      </c>
      <c r="C107" s="294" t="str">
        <f>IFERROR(__xludf.DUMMYFUNCTION("""COMPUTED_VALUE"""),"Whatsapp")</f>
        <v>Whatsapp</v>
      </c>
      <c r="D107" s="293" t="str">
        <f>IFERROR(__xludf.DUMMYFUNCTION("""COMPUTED_VALUE"""),"Promotional")</f>
        <v>Promotional</v>
      </c>
      <c r="E107" s="293" t="str">
        <f>IFERROR(__xludf.DUMMYFUNCTION("""COMPUTED_VALUE"""),"CK")</f>
        <v>CK</v>
      </c>
      <c r="F107" s="293" t="str">
        <f>IFERROR(__xludf.DUMMYFUNCTION("""COMPUTED_VALUE"""),"Summer End of Season Sale - Up to 30% off")</f>
        <v>Summer End of Season Sale - Up to 30% off</v>
      </c>
      <c r="G107" s="293" t="str">
        <f>IFERROR(__xludf.DUMMYFUNCTION("""COMPUTED_VALUE"""),"Summer ESS_Online + offline_dormant_day2")</f>
        <v>Summer ESS_Online + offline_dormant_day2</v>
      </c>
      <c r="H107" s="295" t="str">
        <f>IFERROR(__xludf.DUMMYFUNCTION("""COMPUTED_VALUE"""),"CK_Dormant_Base, CK_Churned_Base, CK_Online_Dormant_16thJune26_V2")</f>
        <v>CK_Dormant_Base, CK_Churned_Base, CK_Online_Dormant_16thJune26_V2</v>
      </c>
      <c r="I107" s="295" t="str">
        <f>IFERROR(__xludf.DUMMYFUNCTION("""COMPUTED_VALUE"""),"All customers who shopped before 91 days, Churned customers, Custom data upload (dormant)")</f>
        <v>All customers who shopped before 91 days, Churned customers, Custom data upload (dormant)</v>
      </c>
      <c r="J107" s="296">
        <f>IFERROR(__xludf.DUMMYFUNCTION("""COMPUTED_VALUE"""),248421.0)</f>
        <v>248421</v>
      </c>
      <c r="K107" s="296">
        <f>IFERROR(__xludf.DUMMYFUNCTION("""COMPUTED_VALUE"""),73879.0)</f>
        <v>73879</v>
      </c>
      <c r="L107" s="297">
        <f>IFERROR(__xludf.DUMMYFUNCTION("""COMPUTED_VALUE"""),0.2913)</f>
        <v>0.2913</v>
      </c>
      <c r="M107" s="296">
        <f>IFERROR(__xludf.DUMMYFUNCTION("""COMPUTED_VALUE"""),22372.0)</f>
        <v>22372</v>
      </c>
      <c r="N107" s="297">
        <f>IFERROR(__xludf.DUMMYFUNCTION("""COMPUTED_VALUE"""),0.2978)</f>
        <v>0.2978</v>
      </c>
      <c r="O107" s="296">
        <f>IFERROR(__xludf.DUMMYFUNCTION("""COMPUTED_VALUE"""),1948.0)</f>
        <v>1948</v>
      </c>
      <c r="P107" s="296">
        <f>IFERROR(__xludf.DUMMYFUNCTION("""COMPUTED_VALUE"""),1750.0)</f>
        <v>1750</v>
      </c>
      <c r="Q107" s="297">
        <f>IFERROR(__xludf.DUMMYFUNCTION("""COMPUTED_VALUE"""),0.0242)</f>
        <v>0.0242</v>
      </c>
      <c r="R107" s="297">
        <f>IFERROR(__xludf.DUMMYFUNCTION("""COMPUTED_VALUE"""),0.0812)</f>
        <v>0.0812</v>
      </c>
      <c r="S107" s="296">
        <f>IFERROR(__xludf.DUMMYFUNCTION("""COMPUTED_VALUE"""),0.0)</f>
        <v>0</v>
      </c>
      <c r="T107" s="296">
        <f>IFERROR(__xludf.DUMMYFUNCTION("""COMPUTED_VALUE"""),0.0)</f>
        <v>0</v>
      </c>
      <c r="U107" s="296">
        <f>IFERROR(__xludf.DUMMYFUNCTION("""COMPUTED_VALUE"""),0.0)</f>
        <v>0</v>
      </c>
      <c r="V107" s="298" t="str">
        <f>IFERROR(__xludf.DUMMYFUNCTION("""COMPUTED_VALUE"""),"overall")</f>
        <v>overall</v>
      </c>
      <c r="W107" s="298" t="str">
        <f>IFERROR(__xludf.DUMMYFUNCTION("""COMPUTED_VALUE"""),"simple")</f>
        <v>simple</v>
      </c>
      <c r="X107" s="298" t="str">
        <f>IFERROR(__xludf.DUMMYFUNCTION("""COMPUTED_VALUE"""),"Dormant, Churned")</f>
        <v>Dormant, Churned</v>
      </c>
      <c r="Y107" s="298" t="str">
        <f>IFERROR(__xludf.DUMMYFUNCTION("""COMPUTED_VALUE"""),"20th to 22nd june")</f>
        <v>20th to 22nd june</v>
      </c>
      <c r="Z107" s="298" t="str">
        <f>IFERROR(__xludf.DUMMYFUNCTION("""COMPUTED_VALUE"""),"6a32864e27b0451d8778c99f")</f>
        <v>6a32864e27b0451d8778c99f</v>
      </c>
      <c r="AA107" s="296">
        <f>IFERROR(__xludf.DUMMYFUNCTION("""COMPUTED_VALUE"""),88.0)</f>
        <v>88</v>
      </c>
      <c r="AB107" s="296">
        <f>IFERROR(__xludf.DUMMYFUNCTION("""COMPUTED_VALUE"""),0.0)</f>
        <v>0</v>
      </c>
      <c r="AC107" s="296">
        <f>IFERROR(__xludf.DUMMYFUNCTION("""COMPUTED_VALUE"""),88.0)</f>
        <v>88</v>
      </c>
      <c r="AD107" s="296">
        <f>IFERROR(__xludf.DUMMYFUNCTION("""COMPUTED_VALUE"""),1153600.0)</f>
        <v>1153600</v>
      </c>
      <c r="AE107" s="296">
        <f>IFERROR(__xludf.DUMMYFUNCTION("""COMPUTED_VALUE"""),0.0)</f>
        <v>0</v>
      </c>
      <c r="AF107" s="296">
        <f>IFERROR(__xludf.DUMMYFUNCTION("""COMPUTED_VALUE"""),1153600.0)</f>
        <v>1153600</v>
      </c>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row>
    <row r="108">
      <c r="A108" s="292">
        <f>IFERROR(__xludf.DUMMYFUNCTION("""COMPUTED_VALUE"""),46193.0)</f>
        <v>46193</v>
      </c>
      <c r="B108" s="293">
        <f>IFERROR(__xludf.DUMMYFUNCTION("""COMPUTED_VALUE"""),0.4166666666678793)</f>
        <v>0.4166666667</v>
      </c>
      <c r="C108" s="294" t="str">
        <f>IFERROR(__xludf.DUMMYFUNCTION("""COMPUTED_VALUE"""),"Whatsapp")</f>
        <v>Whatsapp</v>
      </c>
      <c r="D108" s="293" t="str">
        <f>IFERROR(__xludf.DUMMYFUNCTION("""COMPUTED_VALUE"""),"Promotional")</f>
        <v>Promotional</v>
      </c>
      <c r="E108" s="293" t="str">
        <f>IFERROR(__xludf.DUMMYFUNCTION("""COMPUTED_VALUE"""),"CK")</f>
        <v>CK</v>
      </c>
      <c r="F108" s="293" t="str">
        <f>IFERROR(__xludf.DUMMYFUNCTION("""COMPUTED_VALUE"""),"Summer End of Season Sale - Up to 30% off")</f>
        <v>Summer End of Season Sale - Up to 30% off</v>
      </c>
      <c r="G108" s="293" t="str">
        <f>IFERROR(__xludf.DUMMYFUNCTION("""COMPUTED_VALUE"""),"Summer ESS_Offline_event shoppers_day2")</f>
        <v>Summer ESS_Offline_event shoppers_day2</v>
      </c>
      <c r="H108" s="295" t="str">
        <f>IFERROR(__xludf.DUMMYFUNCTION("""COMPUTED_VALUE"""),"ck_onoff_pr_eventbuyers_6thMarch26")</f>
        <v>ck_onoff_pr_eventbuyers_6thMarch26</v>
      </c>
      <c r="I108" s="295" t="str">
        <f>IFERROR(__xludf.DUMMYFUNCTION("""COMPUTED_VALUE"""),"Event shoppers")</f>
        <v>Event shoppers</v>
      </c>
      <c r="J108" s="296">
        <f>IFERROR(__xludf.DUMMYFUNCTION("""COMPUTED_VALUE"""),87979.0)</f>
        <v>87979</v>
      </c>
      <c r="K108" s="296">
        <f>IFERROR(__xludf.DUMMYFUNCTION("""COMPUTED_VALUE"""),30160.0)</f>
        <v>30160</v>
      </c>
      <c r="L108" s="297">
        <f>IFERROR(__xludf.DUMMYFUNCTION("""COMPUTED_VALUE"""),0.3227)</f>
        <v>0.3227</v>
      </c>
      <c r="M108" s="296">
        <f>IFERROR(__xludf.DUMMYFUNCTION("""COMPUTED_VALUE"""),9076.0)</f>
        <v>9076</v>
      </c>
      <c r="N108" s="297">
        <f>IFERROR(__xludf.DUMMYFUNCTION("""COMPUTED_VALUE"""),0.307)</f>
        <v>0.307</v>
      </c>
      <c r="O108" s="296">
        <f>IFERROR(__xludf.DUMMYFUNCTION("""COMPUTED_VALUE"""),634.0)</f>
        <v>634</v>
      </c>
      <c r="P108" s="296">
        <f>IFERROR(__xludf.DUMMYFUNCTION("""COMPUTED_VALUE"""),580.0)</f>
        <v>580</v>
      </c>
      <c r="Q108" s="297">
        <f>IFERROR(__xludf.DUMMYFUNCTION("""COMPUTED_VALUE"""),0.0204)</f>
        <v>0.0204</v>
      </c>
      <c r="R108" s="297">
        <f>IFERROR(__xludf.DUMMYFUNCTION("""COMPUTED_VALUE"""),0.0666)</f>
        <v>0.0666</v>
      </c>
      <c r="S108" s="296">
        <f>IFERROR(__xludf.DUMMYFUNCTION("""COMPUTED_VALUE"""),16.0)</f>
        <v>16</v>
      </c>
      <c r="T108" s="296">
        <f>IFERROR(__xludf.DUMMYFUNCTION("""COMPUTED_VALUE"""),0.0)</f>
        <v>0</v>
      </c>
      <c r="U108" s="296">
        <f>IFERROR(__xludf.DUMMYFUNCTION("""COMPUTED_VALUE"""),212884.0)</f>
        <v>212884</v>
      </c>
      <c r="V108" s="298" t="str">
        <f>IFERROR(__xludf.DUMMYFUNCTION("""COMPUTED_VALUE"""),"overall")</f>
        <v>overall</v>
      </c>
      <c r="W108" s="298" t="str">
        <f>IFERROR(__xludf.DUMMYFUNCTION("""COMPUTED_VALUE"""),"simple")</f>
        <v>simple</v>
      </c>
      <c r="X108" s="299" t="str">
        <f>IFERROR(__xludf.DUMMYFUNCTION("""COMPUTED_VALUE"""),"Event Buyers")</f>
        <v>Event Buyers</v>
      </c>
      <c r="Y108" s="299" t="str">
        <f>IFERROR(__xludf.DUMMYFUNCTION("""COMPUTED_VALUE"""),"20th to 22nd june")</f>
        <v>20th to 22nd june</v>
      </c>
      <c r="Z108" s="299" t="str">
        <f>IFERROR(__xludf.DUMMYFUNCTION("""COMPUTED_VALUE"""),"6a3286a2f3936e23f27fa4cc")</f>
        <v>6a3286a2f3936e23f27fa4cc</v>
      </c>
      <c r="AA108" s="300">
        <f>IFERROR(__xludf.DUMMYFUNCTION("""COMPUTED_VALUE"""),46.0)</f>
        <v>46</v>
      </c>
      <c r="AB108" s="296">
        <f>IFERROR(__xludf.DUMMYFUNCTION("""COMPUTED_VALUE"""),0.0)</f>
        <v>0</v>
      </c>
      <c r="AC108" s="296">
        <f>IFERROR(__xludf.DUMMYFUNCTION("""COMPUTED_VALUE"""),46.0)</f>
        <v>46</v>
      </c>
      <c r="AD108" s="296">
        <f>IFERROR(__xludf.DUMMYFUNCTION("""COMPUTED_VALUE"""),572455.0)</f>
        <v>572455</v>
      </c>
      <c r="AE108" s="296">
        <f>IFERROR(__xludf.DUMMYFUNCTION("""COMPUTED_VALUE"""),0.0)</f>
        <v>0</v>
      </c>
      <c r="AF108" s="296">
        <f>IFERROR(__xludf.DUMMYFUNCTION("""COMPUTED_VALUE"""),572455.0)</f>
        <v>572455</v>
      </c>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row>
    <row r="109">
      <c r="A109" s="292">
        <f>IFERROR(__xludf.DUMMYFUNCTION("""COMPUTED_VALUE"""),46190.0)</f>
        <v>46190</v>
      </c>
      <c r="B109" s="293">
        <f>IFERROR(__xludf.DUMMYFUNCTION("""COMPUTED_VALUE"""),0.75)</f>
        <v>0.75</v>
      </c>
      <c r="C109" s="294" t="str">
        <f>IFERROR(__xludf.DUMMYFUNCTION("""COMPUTED_VALUE"""),"Sms")</f>
        <v>Sms</v>
      </c>
      <c r="D109" s="293" t="str">
        <f>IFERROR(__xludf.DUMMYFUNCTION("""COMPUTED_VALUE"""),"Fallback campaign")</f>
        <v>Fallback campaign</v>
      </c>
      <c r="E109" s="293" t="str">
        <f>IFERROR(__xludf.DUMMYFUNCTION("""COMPUTED_VALUE"""),"CK")</f>
        <v>CK</v>
      </c>
      <c r="F109" s="293" t="str">
        <f>IFERROR(__xludf.DUMMYFUNCTION("""COMPUTED_VALUE"""),"Summer ESS - up to 30% off")</f>
        <v>Summer ESS - up to 30% off</v>
      </c>
      <c r="G109" s="293" t="str">
        <f>IFERROR(__xludf.DUMMYFUNCTION("""COMPUTED_VALUE"""),"Summer ESS_Online_fallback")</f>
        <v>Summer ESS_Online_fallback</v>
      </c>
      <c r="H109" s="295" t="str">
        <f>IFERROR(__xludf.DUMMYFUNCTION("""COMPUTED_VALUE"""),"CK_Online_Active_16thJune26 AND  CK_Online_Dormant_16thJune26_V2")</f>
        <v>CK_Online_Active_16thJune26 AND  CK_Online_Dormant_16thJune26_V2</v>
      </c>
      <c r="I109" s="295" t="str">
        <f>IFERROR(__xludf.DUMMYFUNCTION("""COMPUTED_VALUE"""),"WA Undelivered")</f>
        <v>WA Undelivered</v>
      </c>
      <c r="J109" s="296">
        <f>IFERROR(__xludf.DUMMYFUNCTION("""COMPUTED_VALUE"""),40285.0)</f>
        <v>40285</v>
      </c>
      <c r="K109" s="296">
        <f>IFERROR(__xludf.DUMMYFUNCTION("""COMPUTED_VALUE"""),22147.0)</f>
        <v>22147</v>
      </c>
      <c r="L109" s="297">
        <f>IFERROR(__xludf.DUMMYFUNCTION("""COMPUTED_VALUE"""),0.5498)</f>
        <v>0.5498</v>
      </c>
      <c r="M109" s="296">
        <f>IFERROR(__xludf.DUMMYFUNCTION("""COMPUTED_VALUE"""),0.0)</f>
        <v>0</v>
      </c>
      <c r="N109" s="297">
        <f>IFERROR(__xludf.DUMMYFUNCTION("""COMPUTED_VALUE"""),0.0)</f>
        <v>0</v>
      </c>
      <c r="O109" s="296">
        <f>IFERROR(__xludf.DUMMYFUNCTION("""COMPUTED_VALUE"""),0.0)</f>
        <v>0</v>
      </c>
      <c r="P109" s="296">
        <f>IFERROR(__xludf.DUMMYFUNCTION("""COMPUTED_VALUE"""),0.0)</f>
        <v>0</v>
      </c>
      <c r="Q109" s="297">
        <f>IFERROR(__xludf.DUMMYFUNCTION("""COMPUTED_VALUE"""),0.0)</f>
        <v>0</v>
      </c>
      <c r="R109" s="297">
        <f>IFERROR(__xludf.DUMMYFUNCTION("""COMPUTED_VALUE"""),0.0)</f>
        <v>0</v>
      </c>
      <c r="S109" s="296">
        <f>IFERROR(__xludf.DUMMYFUNCTION("""COMPUTED_VALUE"""),0.0)</f>
        <v>0</v>
      </c>
      <c r="T109" s="296">
        <f>IFERROR(__xludf.DUMMYFUNCTION("""COMPUTED_VALUE"""),0.0)</f>
        <v>0</v>
      </c>
      <c r="U109" s="296">
        <f>IFERROR(__xludf.DUMMYFUNCTION("""COMPUTED_VALUE"""),0.0)</f>
        <v>0</v>
      </c>
      <c r="V109" s="298" t="str">
        <f>IFERROR(__xludf.DUMMYFUNCTION("""COMPUTED_VALUE"""),"online")</f>
        <v>online</v>
      </c>
      <c r="W109" s="298" t="str">
        <f>IFERROR(__xludf.DUMMYFUNCTION("""COMPUTED_VALUE"""),"Sms")</f>
        <v>Sms</v>
      </c>
      <c r="X109" s="299" t="str">
        <f>IFERROR(__xludf.DUMMYFUNCTION("""COMPUTED_VALUE"""),"Active, Dormant")</f>
        <v>Active, Dormant</v>
      </c>
      <c r="Y109" s="299" t="str">
        <f>IFERROR(__xludf.DUMMYFUNCTION("""COMPUTED_VALUE"""),"17-19 June")</f>
        <v>17-19 June</v>
      </c>
      <c r="Z109" s="299" t="str">
        <f>IFERROR(__xludf.DUMMYFUNCTION("""COMPUTED_VALUE"""),"6a32409b60a142f59e3ccfd7")</f>
        <v>6a32409b60a142f59e3ccfd7</v>
      </c>
      <c r="AA109" s="300">
        <f>IFERROR(__xludf.DUMMYFUNCTION("""COMPUTED_VALUE"""),0.0)</f>
        <v>0</v>
      </c>
      <c r="AB109" s="296">
        <f>IFERROR(__xludf.DUMMYFUNCTION("""COMPUTED_VALUE"""),0.0)</f>
        <v>0</v>
      </c>
      <c r="AC109" s="296"/>
      <c r="AD109" s="296">
        <f>IFERROR(__xludf.DUMMYFUNCTION("""COMPUTED_VALUE"""),0.0)</f>
        <v>0</v>
      </c>
      <c r="AE109" s="296">
        <f>IFERROR(__xludf.DUMMYFUNCTION("""COMPUTED_VALUE"""),0.0)</f>
        <v>0</v>
      </c>
      <c r="AF109" s="296"/>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row>
    <row r="110">
      <c r="A110" s="292">
        <f>IFERROR(__xludf.DUMMYFUNCTION("""COMPUTED_VALUE"""),46191.0)</f>
        <v>46191</v>
      </c>
      <c r="B110" s="293">
        <f>IFERROR(__xludf.DUMMYFUNCTION("""COMPUTED_VALUE"""),0.5)</f>
        <v>0.5</v>
      </c>
      <c r="C110" s="294" t="str">
        <f>IFERROR(__xludf.DUMMYFUNCTION("""COMPUTED_VALUE"""),"Sms")</f>
        <v>Sms</v>
      </c>
      <c r="D110" s="293" t="str">
        <f>IFERROR(__xludf.DUMMYFUNCTION("""COMPUTED_VALUE"""),"Fallback campaign")</f>
        <v>Fallback campaign</v>
      </c>
      <c r="E110" s="293" t="str">
        <f>IFERROR(__xludf.DUMMYFUNCTION("""COMPUTED_VALUE"""),"CK")</f>
        <v>CK</v>
      </c>
      <c r="F110" s="293" t="str">
        <f>IFERROR(__xludf.DUMMYFUNCTION("""COMPUTED_VALUE"""),"Summer ESS - up to 30% off")</f>
        <v>Summer ESS - up to 30% off</v>
      </c>
      <c r="G110" s="293" t="str">
        <f>IFERROR(__xludf.DUMMYFUNCTION("""COMPUTED_VALUE"""),"Summer ESS_Offline_event shoppers_fallback")</f>
        <v>Summer ESS_Offline_event shoppers_fallback</v>
      </c>
      <c r="H110" s="295" t="str">
        <f>IFERROR(__xludf.DUMMYFUNCTION("""COMPUTED_VALUE"""),"ck_onoff_pr_eventbuyers_6thMarch26")</f>
        <v>ck_onoff_pr_eventbuyers_6thMarch26</v>
      </c>
      <c r="I110" s="295" t="str">
        <f>IFERROR(__xludf.DUMMYFUNCTION("""COMPUTED_VALUE"""),"WA Undelivered")</f>
        <v>WA Undelivered</v>
      </c>
      <c r="J110" s="296">
        <f>IFERROR(__xludf.DUMMYFUNCTION("""COMPUTED_VALUE"""),51049.0)</f>
        <v>51049</v>
      </c>
      <c r="K110" s="296">
        <f>IFERROR(__xludf.DUMMYFUNCTION("""COMPUTED_VALUE"""),27385.0)</f>
        <v>27385</v>
      </c>
      <c r="L110" s="297">
        <f>IFERROR(__xludf.DUMMYFUNCTION("""COMPUTED_VALUE"""),0.5364)</f>
        <v>0.5364</v>
      </c>
      <c r="M110" s="296">
        <f>IFERROR(__xludf.DUMMYFUNCTION("""COMPUTED_VALUE"""),0.0)</f>
        <v>0</v>
      </c>
      <c r="N110" s="297">
        <f>IFERROR(__xludf.DUMMYFUNCTION("""COMPUTED_VALUE"""),0.0)</f>
        <v>0</v>
      </c>
      <c r="O110" s="296">
        <f>IFERROR(__xludf.DUMMYFUNCTION("""COMPUTED_VALUE"""),0.0)</f>
        <v>0</v>
      </c>
      <c r="P110" s="296">
        <f>IFERROR(__xludf.DUMMYFUNCTION("""COMPUTED_VALUE"""),0.0)</f>
        <v>0</v>
      </c>
      <c r="Q110" s="297">
        <f>IFERROR(__xludf.DUMMYFUNCTION("""COMPUTED_VALUE"""),0.0)</f>
        <v>0</v>
      </c>
      <c r="R110" s="297">
        <f>IFERROR(__xludf.DUMMYFUNCTION("""COMPUTED_VALUE"""),0.0)</f>
        <v>0</v>
      </c>
      <c r="S110" s="296">
        <f>IFERROR(__xludf.DUMMYFUNCTION("""COMPUTED_VALUE"""),56.0)</f>
        <v>56</v>
      </c>
      <c r="T110" s="296">
        <f>IFERROR(__xludf.DUMMYFUNCTION("""COMPUTED_VALUE"""),0.0)</f>
        <v>0</v>
      </c>
      <c r="U110" s="296">
        <f>IFERROR(__xludf.DUMMYFUNCTION("""COMPUTED_VALUE"""),740838.0)</f>
        <v>740838</v>
      </c>
      <c r="V110" s="298" t="str">
        <f>IFERROR(__xludf.DUMMYFUNCTION("""COMPUTED_VALUE"""),"offline")</f>
        <v>offline</v>
      </c>
      <c r="W110" s="298" t="str">
        <f>IFERROR(__xludf.DUMMYFUNCTION("""COMPUTED_VALUE"""),"Sms")</f>
        <v>Sms</v>
      </c>
      <c r="X110" s="299" t="str">
        <f>IFERROR(__xludf.DUMMYFUNCTION("""COMPUTED_VALUE"""),"Event Buyers")</f>
        <v>Event Buyers</v>
      </c>
      <c r="Y110" s="299" t="str">
        <f>IFERROR(__xludf.DUMMYFUNCTION("""COMPUTED_VALUE"""),"18-20 June")</f>
        <v>18-20 June</v>
      </c>
      <c r="Z110" s="299" t="str">
        <f>IFERROR(__xludf.DUMMYFUNCTION("""COMPUTED_VALUE"""),"6a324fc1804ea0e79bc2051e")</f>
        <v>6a324fc1804ea0e79bc2051e</v>
      </c>
      <c r="AA110" s="300">
        <f>IFERROR(__xludf.DUMMYFUNCTION("""COMPUTED_VALUE"""),57.0)</f>
        <v>57</v>
      </c>
      <c r="AB110" s="296"/>
      <c r="AC110" s="296">
        <f>IFERROR(__xludf.DUMMYFUNCTION("""COMPUTED_VALUE"""),57.0)</f>
        <v>57</v>
      </c>
      <c r="AD110" s="296">
        <f>IFERROR(__xludf.DUMMYFUNCTION("""COMPUTED_VALUE"""),722637.0)</f>
        <v>722637</v>
      </c>
      <c r="AE110" s="296"/>
      <c r="AF110" s="296">
        <f>IFERROR(__xludf.DUMMYFUNCTION("""COMPUTED_VALUE"""),722637.0)</f>
        <v>722637</v>
      </c>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row>
    <row r="111">
      <c r="A111" s="292">
        <f>IFERROR(__xludf.DUMMYFUNCTION("""COMPUTED_VALUE"""),46193.0)</f>
        <v>46193</v>
      </c>
      <c r="B111" s="293">
        <f>IFERROR(__xludf.DUMMYFUNCTION("""COMPUTED_VALUE"""),0.5)</f>
        <v>0.5</v>
      </c>
      <c r="C111" s="294" t="str">
        <f>IFERROR(__xludf.DUMMYFUNCTION("""COMPUTED_VALUE"""),"Sms")</f>
        <v>Sms</v>
      </c>
      <c r="D111" s="293" t="str">
        <f>IFERROR(__xludf.DUMMYFUNCTION("""COMPUTED_VALUE"""),"Fallback campaign")</f>
        <v>Fallback campaign</v>
      </c>
      <c r="E111" s="293" t="str">
        <f>IFERROR(__xludf.DUMMYFUNCTION("""COMPUTED_VALUE"""),"CK")</f>
        <v>CK</v>
      </c>
      <c r="F111" s="293" t="str">
        <f>IFERROR(__xludf.DUMMYFUNCTION("""COMPUTED_VALUE"""),"Summer ESS - up to 30% off")</f>
        <v>Summer ESS - up to 30% off</v>
      </c>
      <c r="G111" s="293" t="str">
        <f>IFERROR(__xludf.DUMMYFUNCTION("""COMPUTED_VALUE"""),"Summer ESS_Online + offline_active_day2_fallback")</f>
        <v>Summer ESS_Online + offline_active_day2_fallback</v>
      </c>
      <c r="H111" s="295" t="str">
        <f>IFERROR(__xludf.DUMMYFUNCTION("""COMPUTED_VALUE"""),"CK_Active_Base, CK_Online_Active_16thJune26")</f>
        <v>CK_Active_Base, CK_Online_Active_16thJune26</v>
      </c>
      <c r="I111" s="295" t="str">
        <f>IFERROR(__xludf.DUMMYFUNCTION("""COMPUTED_VALUE"""),"WA Undelivered")</f>
        <v>WA Undelivered</v>
      </c>
      <c r="J111" s="296">
        <f>IFERROR(__xludf.DUMMYFUNCTION("""COMPUTED_VALUE"""),54028.0)</f>
        <v>54028</v>
      </c>
      <c r="K111" s="296">
        <f>IFERROR(__xludf.DUMMYFUNCTION("""COMPUTED_VALUE"""),30746.0)</f>
        <v>30746</v>
      </c>
      <c r="L111" s="297">
        <f>IFERROR(__xludf.DUMMYFUNCTION("""COMPUTED_VALUE"""),0.5691)</f>
        <v>0.5691</v>
      </c>
      <c r="M111" s="296">
        <f>IFERROR(__xludf.DUMMYFUNCTION("""COMPUTED_VALUE"""),0.0)</f>
        <v>0</v>
      </c>
      <c r="N111" s="297">
        <f>IFERROR(__xludf.DUMMYFUNCTION("""COMPUTED_VALUE"""),0.0)</f>
        <v>0</v>
      </c>
      <c r="O111" s="296">
        <f>IFERROR(__xludf.DUMMYFUNCTION("""COMPUTED_VALUE"""),0.0)</f>
        <v>0</v>
      </c>
      <c r="P111" s="296">
        <f>IFERROR(__xludf.DUMMYFUNCTION("""COMPUTED_VALUE"""),0.0)</f>
        <v>0</v>
      </c>
      <c r="Q111" s="297">
        <f>IFERROR(__xludf.DUMMYFUNCTION("""COMPUTED_VALUE"""),0.0)</f>
        <v>0</v>
      </c>
      <c r="R111" s="297">
        <f>IFERROR(__xludf.DUMMYFUNCTION("""COMPUTED_VALUE"""),0.0)</f>
        <v>0</v>
      </c>
      <c r="S111" s="296">
        <f>IFERROR(__xludf.DUMMYFUNCTION("""COMPUTED_VALUE"""),0.0)</f>
        <v>0</v>
      </c>
      <c r="T111" s="296">
        <f>IFERROR(__xludf.DUMMYFUNCTION("""COMPUTED_VALUE"""),0.0)</f>
        <v>0</v>
      </c>
      <c r="U111" s="296">
        <f>IFERROR(__xludf.DUMMYFUNCTION("""COMPUTED_VALUE"""),0.0)</f>
        <v>0</v>
      </c>
      <c r="V111" s="298" t="str">
        <f>IFERROR(__xludf.DUMMYFUNCTION("""COMPUTED_VALUE"""),"overall")</f>
        <v>overall</v>
      </c>
      <c r="W111" s="298" t="str">
        <f>IFERROR(__xludf.DUMMYFUNCTION("""COMPUTED_VALUE"""),"Sms")</f>
        <v>Sms</v>
      </c>
      <c r="X111" s="299" t="str">
        <f>IFERROR(__xludf.DUMMYFUNCTION("""COMPUTED_VALUE"""),"Active")</f>
        <v>Active</v>
      </c>
      <c r="Y111" s="299" t="str">
        <f>IFERROR(__xludf.DUMMYFUNCTION("""COMPUTED_VALUE"""),"20-22 June")</f>
        <v>20-22 June</v>
      </c>
      <c r="Z111" s="299" t="str">
        <f>IFERROR(__xludf.DUMMYFUNCTION("""COMPUTED_VALUE"""),"6a3287473dd4c58d362a209f")</f>
        <v>6a3287473dd4c58d362a209f</v>
      </c>
      <c r="AA111" s="296">
        <f>IFERROR(__xludf.DUMMYFUNCTION("""COMPUTED_VALUE"""),74.0)</f>
        <v>74</v>
      </c>
      <c r="AB111" s="296">
        <f>IFERROR(__xludf.DUMMYFUNCTION("""COMPUTED_VALUE"""),0.0)</f>
        <v>0</v>
      </c>
      <c r="AC111" s="296">
        <f>IFERROR(__xludf.DUMMYFUNCTION("""COMPUTED_VALUE"""),74.0)</f>
        <v>74</v>
      </c>
      <c r="AD111" s="296">
        <f>IFERROR(__xludf.DUMMYFUNCTION("""COMPUTED_VALUE"""),968821.0)</f>
        <v>968821</v>
      </c>
      <c r="AE111" s="296">
        <f>IFERROR(__xludf.DUMMYFUNCTION("""COMPUTED_VALUE"""),0.0)</f>
        <v>0</v>
      </c>
      <c r="AF111" s="296">
        <f>IFERROR(__xludf.DUMMYFUNCTION("""COMPUTED_VALUE"""),968821.0)</f>
        <v>968821</v>
      </c>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row>
    <row r="112">
      <c r="A112" s="292">
        <f>IFERROR(__xludf.DUMMYFUNCTION("""COMPUTED_VALUE"""),46193.0)</f>
        <v>46193</v>
      </c>
      <c r="B112" s="293">
        <f>IFERROR(__xludf.DUMMYFUNCTION("""COMPUTED_VALUE"""),0.5)</f>
        <v>0.5</v>
      </c>
      <c r="C112" s="294" t="str">
        <f>IFERROR(__xludf.DUMMYFUNCTION("""COMPUTED_VALUE"""),"Sms")</f>
        <v>Sms</v>
      </c>
      <c r="D112" s="293" t="str">
        <f>IFERROR(__xludf.DUMMYFUNCTION("""COMPUTED_VALUE"""),"Fallback campaign")</f>
        <v>Fallback campaign</v>
      </c>
      <c r="E112" s="293" t="str">
        <f>IFERROR(__xludf.DUMMYFUNCTION("""COMPUTED_VALUE"""),"CK")</f>
        <v>CK</v>
      </c>
      <c r="F112" s="293" t="str">
        <f>IFERROR(__xludf.DUMMYFUNCTION("""COMPUTED_VALUE"""),"Summer ESS - up to 30% off")</f>
        <v>Summer ESS - up to 30% off</v>
      </c>
      <c r="G112" s="293" t="str">
        <f>IFERROR(__xludf.DUMMYFUNCTION("""COMPUTED_VALUE"""),"Summer ESS_Online + offline_dormant_day2_fallback")</f>
        <v>Summer ESS_Online + offline_dormant_day2_fallback</v>
      </c>
      <c r="H112" s="295" t="str">
        <f>IFERROR(__xludf.DUMMYFUNCTION("""COMPUTED_VALUE"""),"CK_Dormant_Base, CK_Churned_Base, CK_Online_Dormant_16thJune26_V2")</f>
        <v>CK_Dormant_Base, CK_Churned_Base, CK_Online_Dormant_16thJune26_V2</v>
      </c>
      <c r="I112" s="295" t="str">
        <f>IFERROR(__xludf.DUMMYFUNCTION("""COMPUTED_VALUE"""),"WA Undelivered")</f>
        <v>WA Undelivered</v>
      </c>
      <c r="J112" s="296">
        <f>IFERROR(__xludf.DUMMYFUNCTION("""COMPUTED_VALUE"""),168978.0)</f>
        <v>168978</v>
      </c>
      <c r="K112" s="296">
        <f>IFERROR(__xludf.DUMMYFUNCTION("""COMPUTED_VALUE"""),94145.0)</f>
        <v>94145</v>
      </c>
      <c r="L112" s="297">
        <f>IFERROR(__xludf.DUMMYFUNCTION("""COMPUTED_VALUE"""),0.5571)</f>
        <v>0.5571</v>
      </c>
      <c r="M112" s="296">
        <f>IFERROR(__xludf.DUMMYFUNCTION("""COMPUTED_VALUE"""),0.0)</f>
        <v>0</v>
      </c>
      <c r="N112" s="297">
        <f>IFERROR(__xludf.DUMMYFUNCTION("""COMPUTED_VALUE"""),0.0)</f>
        <v>0</v>
      </c>
      <c r="O112" s="296">
        <f>IFERROR(__xludf.DUMMYFUNCTION("""COMPUTED_VALUE"""),0.0)</f>
        <v>0</v>
      </c>
      <c r="P112" s="296">
        <f>IFERROR(__xludf.DUMMYFUNCTION("""COMPUTED_VALUE"""),0.0)</f>
        <v>0</v>
      </c>
      <c r="Q112" s="297">
        <f>IFERROR(__xludf.DUMMYFUNCTION("""COMPUTED_VALUE"""),0.0)</f>
        <v>0</v>
      </c>
      <c r="R112" s="297">
        <f>IFERROR(__xludf.DUMMYFUNCTION("""COMPUTED_VALUE"""),0.0)</f>
        <v>0</v>
      </c>
      <c r="S112" s="296">
        <f>IFERROR(__xludf.DUMMYFUNCTION("""COMPUTED_VALUE"""),0.0)</f>
        <v>0</v>
      </c>
      <c r="T112" s="296">
        <f>IFERROR(__xludf.DUMMYFUNCTION("""COMPUTED_VALUE"""),0.0)</f>
        <v>0</v>
      </c>
      <c r="U112" s="296">
        <f>IFERROR(__xludf.DUMMYFUNCTION("""COMPUTED_VALUE"""),0.0)</f>
        <v>0</v>
      </c>
      <c r="V112" s="298" t="str">
        <f>IFERROR(__xludf.DUMMYFUNCTION("""COMPUTED_VALUE"""),"overall")</f>
        <v>overall</v>
      </c>
      <c r="W112" s="298" t="str">
        <f>IFERROR(__xludf.DUMMYFUNCTION("""COMPUTED_VALUE"""),"Sms")</f>
        <v>Sms</v>
      </c>
      <c r="X112" s="299" t="str">
        <f>IFERROR(__xludf.DUMMYFUNCTION("""COMPUTED_VALUE"""),"Dormant, Churned")</f>
        <v>Dormant, Churned</v>
      </c>
      <c r="Y112" s="299" t="str">
        <f>IFERROR(__xludf.DUMMYFUNCTION("""COMPUTED_VALUE"""),"20-22 June")</f>
        <v>20-22 June</v>
      </c>
      <c r="Z112" s="299" t="str">
        <f>IFERROR(__xludf.DUMMYFUNCTION("""COMPUTED_VALUE"""),"6a3287d7a814a57f778a0ab9")</f>
        <v>6a3287d7a814a57f778a0ab9</v>
      </c>
      <c r="AA112" s="296">
        <f>IFERROR(__xludf.DUMMYFUNCTION("""COMPUTED_VALUE"""),131.0)</f>
        <v>131</v>
      </c>
      <c r="AB112" s="296">
        <f>IFERROR(__xludf.DUMMYFUNCTION("""COMPUTED_VALUE"""),0.0)</f>
        <v>0</v>
      </c>
      <c r="AC112" s="296">
        <f>IFERROR(__xludf.DUMMYFUNCTION("""COMPUTED_VALUE"""),131.0)</f>
        <v>131</v>
      </c>
      <c r="AD112" s="296">
        <f>IFERROR(__xludf.DUMMYFUNCTION("""COMPUTED_VALUE"""),1620983.0)</f>
        <v>1620983</v>
      </c>
      <c r="AE112" s="296">
        <f>IFERROR(__xludf.DUMMYFUNCTION("""COMPUTED_VALUE"""),0.0)</f>
        <v>0</v>
      </c>
      <c r="AF112" s="296">
        <f>IFERROR(__xludf.DUMMYFUNCTION("""COMPUTED_VALUE"""),1620983.0)</f>
        <v>1620983</v>
      </c>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row>
    <row r="113">
      <c r="A113" s="292">
        <f>IFERROR(__xludf.DUMMYFUNCTION("""COMPUTED_VALUE"""),46193.0)</f>
        <v>46193</v>
      </c>
      <c r="B113" s="293">
        <f>IFERROR(__xludf.DUMMYFUNCTION("""COMPUTED_VALUE"""),0.5)</f>
        <v>0.5</v>
      </c>
      <c r="C113" s="294" t="str">
        <f>IFERROR(__xludf.DUMMYFUNCTION("""COMPUTED_VALUE"""),"Sms")</f>
        <v>Sms</v>
      </c>
      <c r="D113" s="293" t="str">
        <f>IFERROR(__xludf.DUMMYFUNCTION("""COMPUTED_VALUE"""),"Fallback campaign")</f>
        <v>Fallback campaign</v>
      </c>
      <c r="E113" s="293" t="str">
        <f>IFERROR(__xludf.DUMMYFUNCTION("""COMPUTED_VALUE"""),"CK")</f>
        <v>CK</v>
      </c>
      <c r="F113" s="293" t="str">
        <f>IFERROR(__xludf.DUMMYFUNCTION("""COMPUTED_VALUE"""),"Summer ESS - up to 30% off")</f>
        <v>Summer ESS - up to 30% off</v>
      </c>
      <c r="G113" s="293" t="str">
        <f>IFERROR(__xludf.DUMMYFUNCTION("""COMPUTED_VALUE"""),"Summer ESS_Offline_event shoppers_day2_fallback")</f>
        <v>Summer ESS_Offline_event shoppers_day2_fallback</v>
      </c>
      <c r="H113" s="295" t="str">
        <f>IFERROR(__xludf.DUMMYFUNCTION("""COMPUTED_VALUE"""),"ck_onoff_pr_eventbuyers_6thMarch26")</f>
        <v>ck_onoff_pr_eventbuyers_6thMarch26</v>
      </c>
      <c r="I113" s="295" t="str">
        <f>IFERROR(__xludf.DUMMYFUNCTION("""COMPUTED_VALUE"""),"WA Undelivered")</f>
        <v>WA Undelivered</v>
      </c>
      <c r="J113" s="296">
        <f>IFERROR(__xludf.DUMMYFUNCTION("""COMPUTED_VALUE"""),57598.0)</f>
        <v>57598</v>
      </c>
      <c r="K113" s="296">
        <f>IFERROR(__xludf.DUMMYFUNCTION("""COMPUTED_VALUE"""),31268.0)</f>
        <v>31268</v>
      </c>
      <c r="L113" s="297">
        <f>IFERROR(__xludf.DUMMYFUNCTION("""COMPUTED_VALUE"""),0.5429)</f>
        <v>0.5429</v>
      </c>
      <c r="M113" s="296">
        <f>IFERROR(__xludf.DUMMYFUNCTION("""COMPUTED_VALUE"""),0.0)</f>
        <v>0</v>
      </c>
      <c r="N113" s="297">
        <f>IFERROR(__xludf.DUMMYFUNCTION("""COMPUTED_VALUE"""),0.0)</f>
        <v>0</v>
      </c>
      <c r="O113" s="296">
        <f>IFERROR(__xludf.DUMMYFUNCTION("""COMPUTED_VALUE"""),0.0)</f>
        <v>0</v>
      </c>
      <c r="P113" s="296">
        <f>IFERROR(__xludf.DUMMYFUNCTION("""COMPUTED_VALUE"""),0.0)</f>
        <v>0</v>
      </c>
      <c r="Q113" s="297">
        <f>IFERROR(__xludf.DUMMYFUNCTION("""COMPUTED_VALUE"""),0.0)</f>
        <v>0</v>
      </c>
      <c r="R113" s="297">
        <f>IFERROR(__xludf.DUMMYFUNCTION("""COMPUTED_VALUE"""),0.0)</f>
        <v>0</v>
      </c>
      <c r="S113" s="296">
        <f>IFERROR(__xludf.DUMMYFUNCTION("""COMPUTED_VALUE"""),25.0)</f>
        <v>25</v>
      </c>
      <c r="T113" s="296">
        <f>IFERROR(__xludf.DUMMYFUNCTION("""COMPUTED_VALUE"""),0.0)</f>
        <v>0</v>
      </c>
      <c r="U113" s="296">
        <f>IFERROR(__xludf.DUMMYFUNCTION("""COMPUTED_VALUE"""),327575.0)</f>
        <v>327575</v>
      </c>
      <c r="V113" s="298" t="str">
        <f>IFERROR(__xludf.DUMMYFUNCTION("""COMPUTED_VALUE"""),"offline")</f>
        <v>offline</v>
      </c>
      <c r="W113" s="298" t="str">
        <f>IFERROR(__xludf.DUMMYFUNCTION("""COMPUTED_VALUE"""),"Sms")</f>
        <v>Sms</v>
      </c>
      <c r="X113" s="299" t="str">
        <f>IFERROR(__xludf.DUMMYFUNCTION("""COMPUTED_VALUE"""),"Event Buyers")</f>
        <v>Event Buyers</v>
      </c>
      <c r="Y113" s="299" t="str">
        <f>IFERROR(__xludf.DUMMYFUNCTION("""COMPUTED_VALUE"""),"20-22 June")</f>
        <v>20-22 June</v>
      </c>
      <c r="Z113" s="299" t="str">
        <f>IFERROR(__xludf.DUMMYFUNCTION("""COMPUTED_VALUE"""),"6a328831ad3040726faa8313")</f>
        <v>6a328831ad3040726faa8313</v>
      </c>
      <c r="AA113" s="300">
        <f>IFERROR(__xludf.DUMMYFUNCTION("""COMPUTED_VALUE"""),73.0)</f>
        <v>73</v>
      </c>
      <c r="AB113" s="296"/>
      <c r="AC113" s="296">
        <f>IFERROR(__xludf.DUMMYFUNCTION("""COMPUTED_VALUE"""),73.0)</f>
        <v>73</v>
      </c>
      <c r="AD113" s="296">
        <f>IFERROR(__xludf.DUMMYFUNCTION("""COMPUTED_VALUE"""),857538.0)</f>
        <v>857538</v>
      </c>
      <c r="AE113" s="296"/>
      <c r="AF113" s="296">
        <f>IFERROR(__xludf.DUMMYFUNCTION("""COMPUTED_VALUE"""),857538.0)</f>
        <v>857538</v>
      </c>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row>
    <row r="114">
      <c r="A114" s="292">
        <f>IFERROR(__xludf.DUMMYFUNCTION("""COMPUTED_VALUE"""),46199.0)</f>
        <v>46199</v>
      </c>
      <c r="B114" s="293">
        <f>IFERROR(__xludf.DUMMYFUNCTION("""COMPUTED_VALUE"""),0.6666666666678793)</f>
        <v>0.6666666667</v>
      </c>
      <c r="C114" s="294" t="str">
        <f>IFERROR(__xludf.DUMMYFUNCTION("""COMPUTED_VALUE"""),"Sms")</f>
        <v>Sms</v>
      </c>
      <c r="D114" s="293" t="str">
        <f>IFERROR(__xludf.DUMMYFUNCTION("""COMPUTED_VALUE"""),"Promotional")</f>
        <v>Promotional</v>
      </c>
      <c r="E114" s="293" t="str">
        <f>IFERROR(__xludf.DUMMYFUNCTION("""COMPUTED_VALUE"""),"CK")</f>
        <v>CK</v>
      </c>
      <c r="F114" s="293" t="str">
        <f>IFERROR(__xludf.DUMMYFUNCTION("""COMPUTED_VALUE"""),"Summer ESS - up to 30% + extra 5% off")</f>
        <v>Summer ESS - up to 30% + extra 5% off</v>
      </c>
      <c r="G114" s="293" t="str">
        <f>IFERROR(__xludf.DUMMYFUNCTION("""COMPUTED_VALUE"""),"Summer ESS_Online_extra 5")</f>
        <v>Summer ESS_Online_extra 5</v>
      </c>
      <c r="H114" s="295" t="str">
        <f>IFERROR(__xludf.DUMMYFUNCTION("""COMPUTED_VALUE"""),"CK_Online_Dormant_16thJune26_V2, CK_Online_Active_16thJune26")</f>
        <v>CK_Online_Dormant_16thJune26_V2, CK_Online_Active_16thJune26</v>
      </c>
      <c r="I114" s="295" t="str">
        <f>IFERROR(__xludf.DUMMYFUNCTION("""COMPUTED_VALUE"""),"Custom data upload (dormant), Custom data upload (active)")</f>
        <v>Custom data upload (dormant), Custom data upload (active)</v>
      </c>
      <c r="J114" s="296">
        <f>IFERROR(__xludf.DUMMYFUNCTION("""COMPUTED_VALUE"""),100527.0)</f>
        <v>100527</v>
      </c>
      <c r="K114" s="296">
        <f>IFERROR(__xludf.DUMMYFUNCTION("""COMPUTED_VALUE"""),58693.0)</f>
        <v>58693</v>
      </c>
      <c r="L114" s="297">
        <f>IFERROR(__xludf.DUMMYFUNCTION("""COMPUTED_VALUE"""),0.5839)</f>
        <v>0.5839</v>
      </c>
      <c r="M114" s="296">
        <f>IFERROR(__xludf.DUMMYFUNCTION("""COMPUTED_VALUE"""),0.0)</f>
        <v>0</v>
      </c>
      <c r="N114" s="297">
        <f>IFERROR(__xludf.DUMMYFUNCTION("""COMPUTED_VALUE"""),0.0)</f>
        <v>0</v>
      </c>
      <c r="O114" s="296">
        <f>IFERROR(__xludf.DUMMYFUNCTION("""COMPUTED_VALUE"""),0.0)</f>
        <v>0</v>
      </c>
      <c r="P114" s="296">
        <f>IFERROR(__xludf.DUMMYFUNCTION("""COMPUTED_VALUE"""),0.0)</f>
        <v>0</v>
      </c>
      <c r="Q114" s="297">
        <f>IFERROR(__xludf.DUMMYFUNCTION("""COMPUTED_VALUE"""),0.0)</f>
        <v>0</v>
      </c>
      <c r="R114" s="297">
        <f>IFERROR(__xludf.DUMMYFUNCTION("""COMPUTED_VALUE"""),0.0)</f>
        <v>0</v>
      </c>
      <c r="S114" s="296">
        <f>IFERROR(__xludf.DUMMYFUNCTION("""COMPUTED_VALUE"""),30.0)</f>
        <v>30</v>
      </c>
      <c r="T114" s="296">
        <f>IFERROR(__xludf.DUMMYFUNCTION("""COMPUTED_VALUE"""),0.0)</f>
        <v>0</v>
      </c>
      <c r="U114" s="296">
        <f>IFERROR(__xludf.DUMMYFUNCTION("""COMPUTED_VALUE"""),288627.0)</f>
        <v>288627</v>
      </c>
      <c r="V114" s="298" t="str">
        <f>IFERROR(__xludf.DUMMYFUNCTION("""COMPUTED_VALUE"""),"online")</f>
        <v>online</v>
      </c>
      <c r="W114" s="298" t="str">
        <f>IFERROR(__xludf.DUMMYFUNCTION("""COMPUTED_VALUE"""),"Sms")</f>
        <v>Sms</v>
      </c>
      <c r="X114" s="299" t="str">
        <f>IFERROR(__xludf.DUMMYFUNCTION("""COMPUTED_VALUE"""),"Active, Dormant")</f>
        <v>Active, Dormant</v>
      </c>
      <c r="Y114" s="299" t="str">
        <f>IFERROR(__xludf.DUMMYFUNCTION("""COMPUTED_VALUE"""),"27th June - 1st July")</f>
        <v>27th June - 1st July</v>
      </c>
      <c r="Z114" s="299" t="str">
        <f>IFERROR(__xludf.DUMMYFUNCTION("""COMPUTED_VALUE"""),"6a3e11b0321f27783ed10258")</f>
        <v>6a3e11b0321f27783ed10258</v>
      </c>
      <c r="AA114" s="300">
        <f>IFERROR(__xludf.DUMMYFUNCTION("""COMPUTED_VALUE"""),76.0)</f>
        <v>76</v>
      </c>
      <c r="AB114" s="296">
        <f>IFERROR(__xludf.DUMMYFUNCTION("""COMPUTED_VALUE"""),76.0)</f>
        <v>76</v>
      </c>
      <c r="AC114" s="296"/>
      <c r="AD114" s="296">
        <f>IFERROR(__xludf.DUMMYFUNCTION("""COMPUTED_VALUE"""),912264.0)</f>
        <v>912264</v>
      </c>
      <c r="AE114" s="296">
        <f>IFERROR(__xludf.DUMMYFUNCTION("""COMPUTED_VALUE"""),912264.0)</f>
        <v>912264</v>
      </c>
      <c r="AF114" s="296"/>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row>
    <row r="115">
      <c r="A115" s="292">
        <f>IFERROR(__xludf.DUMMYFUNCTION("""COMPUTED_VALUE"""),46200.0)</f>
        <v>46200</v>
      </c>
      <c r="B115" s="293">
        <f>IFERROR(__xludf.DUMMYFUNCTION("""COMPUTED_VALUE"""),0.4583333333321207)</f>
        <v>0.4583333333</v>
      </c>
      <c r="C115" s="294" t="str">
        <f>IFERROR(__xludf.DUMMYFUNCTION("""COMPUTED_VALUE"""),"Sms")</f>
        <v>Sms</v>
      </c>
      <c r="D115" s="293" t="str">
        <f>IFERROR(__xludf.DUMMYFUNCTION("""COMPUTED_VALUE"""),"Promotional")</f>
        <v>Promotional</v>
      </c>
      <c r="E115" s="293" t="str">
        <f>IFERROR(__xludf.DUMMYFUNCTION("""COMPUTED_VALUE"""),"CK")</f>
        <v>CK</v>
      </c>
      <c r="F115" s="293" t="str">
        <f>IFERROR(__xludf.DUMMYFUNCTION("""COMPUTED_VALUE"""),"Summer ESS - up to 30% off")</f>
        <v>Summer ESS - up to 30% off</v>
      </c>
      <c r="G115" s="293" t="str">
        <f>IFERROR(__xludf.DUMMYFUNCTION("""COMPUTED_VALUE"""),"Summer ESS_Offline_week2")</f>
        <v>Summer ESS_Offline_week2</v>
      </c>
      <c r="H115" s="295" t="str">
        <f>IFERROR(__xludf.DUMMYFUNCTION("""COMPUTED_VALUE"""),"CK_Event_Buyers_24_06_26, CK_Full_Price_Active, CK_Full_Price_Dormant, CK_Full_Price_Churned")</f>
        <v>CK_Event_Buyers_24_06_26, CK_Full_Price_Active, CK_Full_Price_Dormant, CK_Full_Price_Churned</v>
      </c>
      <c r="I115" s="295" t="str">
        <f>IFERROR(__xludf.DUMMYFUNCTION("""COMPUTED_VALUE"""),"All customers who have made at least one purchase during any of the following sale periods: June 22, 2023 to August 4, 2023; November 11, 2023 to November 14, 2023; November 23, 2023 to November 28, 2023; December 14, 2023 to February 4, 2024; June 19, 20"&amp;"24 to August 4, 2024; September 27, 2024 to September 29, 2024; November 9, 2024 to November 12, 2024; November 28, 2024 to December 2, 2024; December 18, 2024 to January 26, 2025; June 17, 2025 to August 3, 2025; November 26, 2025 to December 1, 2025; an"&amp;"d December 18, 2025 to January 26, 2026, All customers who have purchased at least 1 time with Order_Disc_Val is equal to 0 in the last 90 days, All customers who have purchased at least 1 time with Order_Disc_Val is equal to 0 in the last 365 days, All c"&amp;"ustomers who have purchased at least 1 time with Order_Disc_Val is equal to 0 in the last 1095 days")</f>
        <v>All customers who have made at least one purchase during any of the following sale periods: June 22, 2023 to August 4, 2023; November 11, 2023 to November 14, 2023; November 23, 2023 to November 28, 2023; December 14, 2023 to February 4, 2024; June 19, 2024 to August 4, 2024; September 27, 2024 to September 29, 2024; November 9, 2024 to November 12, 2024; November 28, 2024 to December 2, 2024; December 18, 2024 to January 26, 2025; June 17, 2025 to August 3, 2025; November 26, 2025 to December 1, 2025; and December 18, 2025 to January 26, 2026, All customers who have purchased at least 1 time with Order_Disc_Val is equal to 0 in the last 90 days, All customers who have purchased at least 1 time with Order_Disc_Val is equal to 0 in the last 365 days, All customers who have purchased at least 1 time with Order_Disc_Val is equal to 0 in the last 1095 days</v>
      </c>
      <c r="J115" s="296">
        <f>IFERROR(__xludf.DUMMYFUNCTION("""COMPUTED_VALUE"""),184175.0)</f>
        <v>184175</v>
      </c>
      <c r="K115" s="296">
        <f>IFERROR(__xludf.DUMMYFUNCTION("""COMPUTED_VALUE"""),116225.0)</f>
        <v>116225</v>
      </c>
      <c r="L115" s="297">
        <f>IFERROR(__xludf.DUMMYFUNCTION("""COMPUTED_VALUE"""),0.6311)</f>
        <v>0.6311</v>
      </c>
      <c r="M115" s="296">
        <f>IFERROR(__xludf.DUMMYFUNCTION("""COMPUTED_VALUE"""),0.0)</f>
        <v>0</v>
      </c>
      <c r="N115" s="297">
        <f>IFERROR(__xludf.DUMMYFUNCTION("""COMPUTED_VALUE"""),0.0)</f>
        <v>0</v>
      </c>
      <c r="O115" s="296">
        <f>IFERROR(__xludf.DUMMYFUNCTION("""COMPUTED_VALUE"""),0.0)</f>
        <v>0</v>
      </c>
      <c r="P115" s="296">
        <f>IFERROR(__xludf.DUMMYFUNCTION("""COMPUTED_VALUE"""),0.0)</f>
        <v>0</v>
      </c>
      <c r="Q115" s="297">
        <f>IFERROR(__xludf.DUMMYFUNCTION("""COMPUTED_VALUE"""),0.0)</f>
        <v>0</v>
      </c>
      <c r="R115" s="297">
        <f>IFERROR(__xludf.DUMMYFUNCTION("""COMPUTED_VALUE"""),0.0)</f>
        <v>0</v>
      </c>
      <c r="S115" s="296">
        <f>IFERROR(__xludf.DUMMYFUNCTION("""COMPUTED_VALUE"""),83.0)</f>
        <v>83</v>
      </c>
      <c r="T115" s="296">
        <f>IFERROR(__xludf.DUMMYFUNCTION("""COMPUTED_VALUE"""),0.0)</f>
        <v>0</v>
      </c>
      <c r="U115" s="296">
        <f>IFERROR(__xludf.DUMMYFUNCTION("""COMPUTED_VALUE"""),1021620.0)</f>
        <v>1021620</v>
      </c>
      <c r="V115" s="298" t="str">
        <f>IFERROR(__xludf.DUMMYFUNCTION("""COMPUTED_VALUE"""),"offline")</f>
        <v>offline</v>
      </c>
      <c r="W115" s="298" t="str">
        <f>IFERROR(__xludf.DUMMYFUNCTION("""COMPUTED_VALUE"""),"Sms")</f>
        <v>Sms</v>
      </c>
      <c r="X115" s="299" t="str">
        <f>IFERROR(__xludf.DUMMYFUNCTION("""COMPUTED_VALUE"""),"Event Buyers, Full Price - Active, Full Price - Dormant, Full Price - Churned")</f>
        <v>Event Buyers, Full Price - Active, Full Price - Dormant, Full Price - Churned</v>
      </c>
      <c r="Y115" s="299" t="str">
        <f>IFERROR(__xludf.DUMMYFUNCTION("""COMPUTED_VALUE"""),"28th June - 5th July")</f>
        <v>28th June - 5th July</v>
      </c>
      <c r="Z115" s="299" t="str">
        <f>IFERROR(__xludf.DUMMYFUNCTION("""COMPUTED_VALUE"""),"6a3e127c7493735d6523c52e")</f>
        <v>6a3e127c7493735d6523c52e</v>
      </c>
      <c r="AA115" s="300">
        <f>IFERROR(__xludf.DUMMYFUNCTION("""COMPUTED_VALUE"""),471.0)</f>
        <v>471</v>
      </c>
      <c r="AB115" s="296"/>
      <c r="AC115" s="296">
        <f>IFERROR(__xludf.DUMMYFUNCTION("""COMPUTED_VALUE"""),471.0)</f>
        <v>471</v>
      </c>
      <c r="AD115" s="296">
        <f>IFERROR(__xludf.DUMMYFUNCTION("""COMPUTED_VALUE"""),5830730.0)</f>
        <v>5830730</v>
      </c>
      <c r="AE115" s="296"/>
      <c r="AF115" s="296">
        <f>IFERROR(__xludf.DUMMYFUNCTION("""COMPUTED_VALUE"""),5830730.0)</f>
        <v>5830730</v>
      </c>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row>
    <row r="116">
      <c r="A116" s="301">
        <f>IFERROR(__xludf.DUMMYFUNCTION("""COMPUTED_VALUE"""),46201.0)</f>
        <v>46201</v>
      </c>
      <c r="B116" s="302">
        <f>IFERROR(__xludf.DUMMYFUNCTION("""COMPUTED_VALUE"""),0.5833333333321207)</f>
        <v>0.5833333333</v>
      </c>
      <c r="C116" s="298" t="str">
        <f>IFERROR(__xludf.DUMMYFUNCTION("""COMPUTED_VALUE"""),"Sms")</f>
        <v>Sms</v>
      </c>
      <c r="D116" s="282" t="str">
        <f>IFERROR(__xludf.DUMMYFUNCTION("""COMPUTED_VALUE"""),"Promotional")</f>
        <v>Promotional</v>
      </c>
      <c r="E116" s="282" t="str">
        <f>IFERROR(__xludf.DUMMYFUNCTION("""COMPUTED_VALUE"""),"CK")</f>
        <v>CK</v>
      </c>
      <c r="F116" s="282" t="str">
        <f>IFERROR(__xludf.DUMMYFUNCTION("""COMPUTED_VALUE"""),"Summer ESS - up to 30% + extra 5% off")</f>
        <v>Summer ESS - up to 30% + extra 5% off</v>
      </c>
      <c r="G116" s="282" t="str">
        <f>IFERROR(__xludf.DUMMYFUNCTION("""COMPUTED_VALUE"""),"Summer ESS_Online_extra 5_1")</f>
        <v>Summer ESS_Online_extra 5_1</v>
      </c>
      <c r="H116" s="282" t="str">
        <f>IFERROR(__xludf.DUMMYFUNCTION("""COMPUTED_VALUE"""),"CK_Online_Dormant_16thJune26_V2, CK_Online_Active_16thJune26")</f>
        <v>CK_Online_Dormant_16thJune26_V2, CK_Online_Active_16thJune26</v>
      </c>
      <c r="I116" s="282" t="str">
        <f>IFERROR(__xludf.DUMMYFUNCTION("""COMPUTED_VALUE"""),"Custom data upload (dormant), Custom data upload (active)")</f>
        <v>Custom data upload (dormant), Custom data upload (active)</v>
      </c>
      <c r="J116" s="296">
        <f>IFERROR(__xludf.DUMMYFUNCTION("""COMPUTED_VALUE"""),118897.0)</f>
        <v>118897</v>
      </c>
      <c r="K116" s="296">
        <f>IFERROR(__xludf.DUMMYFUNCTION("""COMPUTED_VALUE"""),59300.0)</f>
        <v>59300</v>
      </c>
      <c r="L116" s="297">
        <f>IFERROR(__xludf.DUMMYFUNCTION("""COMPUTED_VALUE"""),0.4988)</f>
        <v>0.4988</v>
      </c>
      <c r="M116" s="296">
        <f>IFERROR(__xludf.DUMMYFUNCTION("""COMPUTED_VALUE"""),0.0)</f>
        <v>0</v>
      </c>
      <c r="N116" s="297">
        <f>IFERROR(__xludf.DUMMYFUNCTION("""COMPUTED_VALUE"""),0.0)</f>
        <v>0</v>
      </c>
      <c r="O116" s="296">
        <f>IFERROR(__xludf.DUMMYFUNCTION("""COMPUTED_VALUE"""),0.0)</f>
        <v>0</v>
      </c>
      <c r="P116" s="296">
        <f>IFERROR(__xludf.DUMMYFUNCTION("""COMPUTED_VALUE"""),0.0)</f>
        <v>0</v>
      </c>
      <c r="Q116" s="297">
        <f>IFERROR(__xludf.DUMMYFUNCTION("""COMPUTED_VALUE"""),0.0)</f>
        <v>0</v>
      </c>
      <c r="R116" s="297">
        <f>IFERROR(__xludf.DUMMYFUNCTION("""COMPUTED_VALUE"""),0.0)</f>
        <v>0</v>
      </c>
      <c r="S116" s="303">
        <f>IFERROR(__xludf.DUMMYFUNCTION("""COMPUTED_VALUE"""),0.0)</f>
        <v>0</v>
      </c>
      <c r="T116" s="303">
        <f>IFERROR(__xludf.DUMMYFUNCTION("""COMPUTED_VALUE"""),0.0)</f>
        <v>0</v>
      </c>
      <c r="U116" s="303">
        <f>IFERROR(__xludf.DUMMYFUNCTION("""COMPUTED_VALUE"""),0.0)</f>
        <v>0</v>
      </c>
      <c r="V116" s="298" t="str">
        <f>IFERROR(__xludf.DUMMYFUNCTION("""COMPUTED_VALUE"""),"online")</f>
        <v>online</v>
      </c>
      <c r="W116" s="298" t="str">
        <f>IFERROR(__xludf.DUMMYFUNCTION("""COMPUTED_VALUE"""),"Sms")</f>
        <v>Sms</v>
      </c>
      <c r="X116" s="299" t="str">
        <f>IFERROR(__xludf.DUMMYFUNCTION("""COMPUTED_VALUE"""),"Active, Dormant")</f>
        <v>Active, Dormant</v>
      </c>
      <c r="Y116" s="299" t="str">
        <f>IFERROR(__xludf.DUMMYFUNCTION("""COMPUTED_VALUE"""),"29th June - 1st July")</f>
        <v>29th June - 1st July</v>
      </c>
      <c r="Z116" s="299" t="str">
        <f>IFERROR(__xludf.DUMMYFUNCTION("""COMPUTED_VALUE"""),"6a3e12e9b326a8d12c16cd54")</f>
        <v>6a3e12e9b326a8d12c16cd54</v>
      </c>
      <c r="AA116" s="300">
        <f>IFERROR(__xludf.DUMMYFUNCTION("""COMPUTED_VALUE"""),45.0)</f>
        <v>45</v>
      </c>
      <c r="AB116" s="296">
        <f>IFERROR(__xludf.DUMMYFUNCTION("""COMPUTED_VALUE"""),45.0)</f>
        <v>45</v>
      </c>
      <c r="AC116" s="296"/>
      <c r="AD116" s="296">
        <f>IFERROR(__xludf.DUMMYFUNCTION("""COMPUTED_VALUE"""),583484.0)</f>
        <v>583484</v>
      </c>
      <c r="AE116" s="296">
        <f>IFERROR(__xludf.DUMMYFUNCTION("""COMPUTED_VALUE"""),583484.0)</f>
        <v>583484</v>
      </c>
      <c r="AF116" s="296"/>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row>
    <row r="117">
      <c r="A117" s="301">
        <f>IFERROR(__xludf.DUMMYFUNCTION("""COMPUTED_VALUE"""),46207.0)</f>
        <v>46207</v>
      </c>
      <c r="B117" s="302">
        <f>IFERROR(__xludf.DUMMYFUNCTION("""COMPUTED_VALUE"""),0.4166666666678793)</f>
        <v>0.4166666667</v>
      </c>
      <c r="C117" s="298" t="str">
        <f>IFERROR(__xludf.DUMMYFUNCTION("""COMPUTED_VALUE"""),"Whatsapp")</f>
        <v>Whatsapp</v>
      </c>
      <c r="D117" s="282" t="str">
        <f>IFERROR(__xludf.DUMMYFUNCTION("""COMPUTED_VALUE"""),"Promotional")</f>
        <v>Promotional</v>
      </c>
      <c r="E117" s="282" t="str">
        <f>IFERROR(__xludf.DUMMYFUNCTION("""COMPUTED_VALUE"""),"CK")</f>
        <v>CK</v>
      </c>
      <c r="F117" s="282" t="str">
        <f>IFERROR(__xludf.DUMMYFUNCTION("""COMPUTED_VALUE"""),"Summer End of Season Sale - Up to 40% + additional 5% off")</f>
        <v>Summer End of Season Sale - Up to 40% + additional 5% off</v>
      </c>
      <c r="G117" s="282" t="str">
        <f>IFERROR(__xludf.DUMMYFUNCTION("""COMPUTED_VALUE"""),"SummerESS_Phase 2_online")</f>
        <v>SummerESS_Phase 2_online</v>
      </c>
      <c r="H117" s="282" t="str">
        <f>IFERROR(__xludf.DUMMYFUNCTION("""COMPUTED_VALUE"""),"CK_Online_Active_16thJune26, CK_Online_Dormant_16thJune26_V2")</f>
        <v>CK_Online_Active_16thJune26, CK_Online_Dormant_16thJune26_V2</v>
      </c>
      <c r="I117" s="282" t="str">
        <f>IFERROR(__xludf.DUMMYFUNCTION("""COMPUTED_VALUE"""),"Custom data upload (active),Custom data upload (dormant)")</f>
        <v>Custom data upload (active),Custom data upload (dormant)</v>
      </c>
      <c r="J117" s="296">
        <f>IFERROR(__xludf.DUMMYFUNCTION("""COMPUTED_VALUE"""),99853.0)</f>
        <v>99853</v>
      </c>
      <c r="K117" s="296">
        <f>IFERROR(__xludf.DUMMYFUNCTION("""COMPUTED_VALUE"""),38483.0)</f>
        <v>38483</v>
      </c>
      <c r="L117" s="297">
        <f>IFERROR(__xludf.DUMMYFUNCTION("""COMPUTED_VALUE"""),0.3853)</f>
        <v>0.3853</v>
      </c>
      <c r="M117" s="296">
        <f>IFERROR(__xludf.DUMMYFUNCTION("""COMPUTED_VALUE"""),11459.0)</f>
        <v>11459</v>
      </c>
      <c r="N117" s="297">
        <f>IFERROR(__xludf.DUMMYFUNCTION("""COMPUTED_VALUE"""),0.2977)</f>
        <v>0.2977</v>
      </c>
      <c r="O117" s="296">
        <f>IFERROR(__xludf.DUMMYFUNCTION("""COMPUTED_VALUE"""),2351.0)</f>
        <v>2351</v>
      </c>
      <c r="P117" s="296">
        <f>IFERROR(__xludf.DUMMYFUNCTION("""COMPUTED_VALUE"""),2203.0)</f>
        <v>2203</v>
      </c>
      <c r="Q117" s="297">
        <f>IFERROR(__xludf.DUMMYFUNCTION("""COMPUTED_VALUE"""),0.0573)</f>
        <v>0.0573</v>
      </c>
      <c r="R117" s="297">
        <f>IFERROR(__xludf.DUMMYFUNCTION("""COMPUTED_VALUE"""),0.1923)</f>
        <v>0.1923</v>
      </c>
      <c r="S117" s="303">
        <f>IFERROR(__xludf.DUMMYFUNCTION("""COMPUTED_VALUE"""),25.0)</f>
        <v>25</v>
      </c>
      <c r="T117" s="303">
        <f>IFERROR(__xludf.DUMMYFUNCTION("""COMPUTED_VALUE"""),0.0)</f>
        <v>0</v>
      </c>
      <c r="U117" s="303">
        <f>IFERROR(__xludf.DUMMYFUNCTION("""COMPUTED_VALUE"""),190911.0)</f>
        <v>190911</v>
      </c>
      <c r="V117" s="298" t="str">
        <f>IFERROR(__xludf.DUMMYFUNCTION("""COMPUTED_VALUE"""),"online")</f>
        <v>online</v>
      </c>
      <c r="W117" s="298" t="str">
        <f>IFERROR(__xludf.DUMMYFUNCTION("""COMPUTED_VALUE"""),"simple")</f>
        <v>simple</v>
      </c>
      <c r="X117" s="299" t="str">
        <f>IFERROR(__xludf.DUMMYFUNCTION("""COMPUTED_VALUE"""),"Active, Dormant")</f>
        <v>Active, Dormant</v>
      </c>
      <c r="Y117" s="299" t="str">
        <f>IFERROR(__xludf.DUMMYFUNCTION("""COMPUTED_VALUE"""),"4-11 July")</f>
        <v>4-11 July</v>
      </c>
      <c r="Z117" s="299" t="str">
        <f>IFERROR(__xludf.DUMMYFUNCTION("""COMPUTED_VALUE"""),"6a4604c945ea2e0ae856d44b")</f>
        <v>6a4604c945ea2e0ae856d44b</v>
      </c>
      <c r="AA117" s="300"/>
      <c r="AB117" s="296"/>
      <c r="AC117" s="296"/>
      <c r="AD117" s="296"/>
      <c r="AE117" s="296"/>
      <c r="AF117" s="296"/>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row>
    <row r="118">
      <c r="A118" s="301">
        <f>IFERROR(__xludf.DUMMYFUNCTION("""COMPUTED_VALUE"""),46207.0)</f>
        <v>46207</v>
      </c>
      <c r="B118" s="302">
        <f>IFERROR(__xludf.DUMMYFUNCTION("""COMPUTED_VALUE"""),0.4166666666678793)</f>
        <v>0.4166666667</v>
      </c>
      <c r="C118" s="298" t="str">
        <f>IFERROR(__xludf.DUMMYFUNCTION("""COMPUTED_VALUE"""),"Whatsapp")</f>
        <v>Whatsapp</v>
      </c>
      <c r="D118" s="282" t="str">
        <f>IFERROR(__xludf.DUMMYFUNCTION("""COMPUTED_VALUE"""),"Promotional")</f>
        <v>Promotional</v>
      </c>
      <c r="E118" s="282" t="str">
        <f>IFERROR(__xludf.DUMMYFUNCTION("""COMPUTED_VALUE"""),"CK")</f>
        <v>CK</v>
      </c>
      <c r="F118" s="282" t="str">
        <f>IFERROR(__xludf.DUMMYFUNCTION("""COMPUTED_VALUE"""),"Summer End of Season Sale - Up to 40% off")</f>
        <v>Summer End of Season Sale - Up to 40% off</v>
      </c>
      <c r="G118" s="282" t="str">
        <f>IFERROR(__xludf.DUMMYFUNCTION("""COMPUTED_VALUE"""),"SummerESS_Phase 2_offline_active")</f>
        <v>SummerESS_Phase 2_offline_active</v>
      </c>
      <c r="H118" s="282" t="str">
        <f>IFERROR(__xludf.DUMMYFUNCTION("""COMPUTED_VALUE"""),"CK_Full_Price_Active")</f>
        <v>CK_Full_Price_Active</v>
      </c>
      <c r="I118" s="282" t="str">
        <f>IFERROR(__xludf.DUMMYFUNCTION("""COMPUTED_VALUE"""),"All customers who have purchased at least 1 time with Order_Disc_Val is equal to 0 in the last 90 days")</f>
        <v>All customers who have purchased at least 1 time with Order_Disc_Val is equal to 0 in the last 90 days</v>
      </c>
      <c r="J118" s="296">
        <f>IFERROR(__xludf.DUMMYFUNCTION("""COMPUTED_VALUE"""),16945.0)</f>
        <v>16945</v>
      </c>
      <c r="K118" s="296">
        <f>IFERROR(__xludf.DUMMYFUNCTION("""COMPUTED_VALUE"""),6957.0)</f>
        <v>6957</v>
      </c>
      <c r="L118" s="297">
        <f>IFERROR(__xludf.DUMMYFUNCTION("""COMPUTED_VALUE"""),0.4106)</f>
        <v>0.4106</v>
      </c>
      <c r="M118" s="296">
        <f>IFERROR(__xludf.DUMMYFUNCTION("""COMPUTED_VALUE"""),2611.0)</f>
        <v>2611</v>
      </c>
      <c r="N118" s="297">
        <f>IFERROR(__xludf.DUMMYFUNCTION("""COMPUTED_VALUE"""),0.3753)</f>
        <v>0.3753</v>
      </c>
      <c r="O118" s="296">
        <f>IFERROR(__xludf.DUMMYFUNCTION("""COMPUTED_VALUE"""),529.0)</f>
        <v>529</v>
      </c>
      <c r="P118" s="296">
        <f>IFERROR(__xludf.DUMMYFUNCTION("""COMPUTED_VALUE"""),475.0)</f>
        <v>475</v>
      </c>
      <c r="Q118" s="297">
        <f>IFERROR(__xludf.DUMMYFUNCTION("""COMPUTED_VALUE"""),0.0683)</f>
        <v>0.0683</v>
      </c>
      <c r="R118" s="297">
        <f>IFERROR(__xludf.DUMMYFUNCTION("""COMPUTED_VALUE"""),0.1819)</f>
        <v>0.1819</v>
      </c>
      <c r="S118" s="303">
        <f>IFERROR(__xludf.DUMMYFUNCTION("""COMPUTED_VALUE"""),5.0)</f>
        <v>5</v>
      </c>
      <c r="T118" s="303">
        <f>IFERROR(__xludf.DUMMYFUNCTION("""COMPUTED_VALUE"""),0.0)</f>
        <v>0</v>
      </c>
      <c r="U118" s="303">
        <f>IFERROR(__xludf.DUMMYFUNCTION("""COMPUTED_VALUE"""),47196.0)</f>
        <v>47196</v>
      </c>
      <c r="V118" s="298" t="str">
        <f>IFERROR(__xludf.DUMMYFUNCTION("""COMPUTED_VALUE"""),"offline")</f>
        <v>offline</v>
      </c>
      <c r="W118" s="298" t="str">
        <f>IFERROR(__xludf.DUMMYFUNCTION("""COMPUTED_VALUE"""),"simple")</f>
        <v>simple</v>
      </c>
      <c r="X118" s="299" t="str">
        <f>IFERROR(__xludf.DUMMYFUNCTION("""COMPUTED_VALUE"""),"Full Price - Active")</f>
        <v>Full Price - Active</v>
      </c>
      <c r="Y118" s="299" t="str">
        <f>IFERROR(__xludf.DUMMYFUNCTION("""COMPUTED_VALUE"""),"4-11 July")</f>
        <v>4-11 July</v>
      </c>
      <c r="Z118" s="299" t="str">
        <f>IFERROR(__xludf.DUMMYFUNCTION("""COMPUTED_VALUE"""),"6a46059e10d4da32ee5b22f8")</f>
        <v>6a46059e10d4da32ee5b22f8</v>
      </c>
      <c r="AA118" s="300"/>
      <c r="AB118" s="296"/>
      <c r="AC118" s="296"/>
      <c r="AD118" s="296"/>
      <c r="AE118" s="296"/>
      <c r="AF118" s="296"/>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row>
    <row r="119">
      <c r="A119" s="301">
        <f>IFERROR(__xludf.DUMMYFUNCTION("""COMPUTED_VALUE"""),46207.0)</f>
        <v>46207</v>
      </c>
      <c r="B119" s="302">
        <f>IFERROR(__xludf.DUMMYFUNCTION("""COMPUTED_VALUE"""),0.4166666666678793)</f>
        <v>0.4166666667</v>
      </c>
      <c r="C119" s="298" t="str">
        <f>IFERROR(__xludf.DUMMYFUNCTION("""COMPUTED_VALUE"""),"Whatsapp")</f>
        <v>Whatsapp</v>
      </c>
      <c r="D119" s="282" t="str">
        <f>IFERROR(__xludf.DUMMYFUNCTION("""COMPUTED_VALUE"""),"Promotional")</f>
        <v>Promotional</v>
      </c>
      <c r="E119" s="282" t="str">
        <f>IFERROR(__xludf.DUMMYFUNCTION("""COMPUTED_VALUE"""),"CK")</f>
        <v>CK</v>
      </c>
      <c r="F119" s="282" t="str">
        <f>IFERROR(__xludf.DUMMYFUNCTION("""COMPUTED_VALUE"""),"Summer End of Season Sale - Up to 40% off")</f>
        <v>Summer End of Season Sale - Up to 40% off</v>
      </c>
      <c r="G119" s="282" t="str">
        <f>IFERROR(__xludf.DUMMYFUNCTION("""COMPUTED_VALUE"""),"SummerESS_Phase 2_offline_dormant")</f>
        <v>SummerESS_Phase 2_offline_dormant</v>
      </c>
      <c r="H119" s="282" t="str">
        <f>IFERROR(__xludf.DUMMYFUNCTION("""COMPUTED_VALUE"""),"CK_Full_Price_Dormant, CK_Event_Buyers_24_06_26")</f>
        <v>CK_Full_Price_Dormant, CK_Event_Buyers_24_06_26</v>
      </c>
      <c r="I119" s="282" t="str">
        <f>IFERROR(__xludf.DUMMYFUNCTION("""COMPUTED_VALUE"""),"All customers who have purchased at least 1 time with Order_Disc_Val is equal to 0 in the last 365 days, All customers who have made at least one purchase during any of the following sale periods: June 22, 2023 to August 4, 2023; November 11, 2023 to Nove"&amp;"mber 14, 2023; November 23, 2023 to November 28, 2023; December 14, 2023 to February 4, 2024; June 19, 2024 to August 4, 2024; September 27, 2024 to September 29, 2024; November 9, 2024 to November 12, 2024; November 28, 2024 to December 2, 2024; December"&amp;" 18, 2024 to January 26, 2025; June 17, 2025 to August 3, 2025; November 26, 2025 to December 1, 2025; and December 18, 2025 to January 26, 2026.")</f>
        <v>All customers who have purchased at least 1 time with Order_Disc_Val is equal to 0 in the last 365 days, All customers who have made at least one purchase during any of the following sale periods: June 22, 2023 to August 4, 2023; November 11, 2023 to November 14, 2023; November 23, 2023 to November 28, 2023; December 14, 2023 to February 4, 2024; June 19, 2024 to August 4, 2024; September 27, 2024 to September 29, 2024; November 9, 2024 to November 12, 2024; November 28, 2024 to December 2, 2024; December 18, 2024 to January 26, 2025; June 17, 2025 to August 3, 2025; November 26, 2025 to December 1, 2025; and December 18, 2025 to January 26, 2026.</v>
      </c>
      <c r="J119" s="296">
        <f>IFERROR(__xludf.DUMMYFUNCTION("""COMPUTED_VALUE"""),114465.0)</f>
        <v>114465</v>
      </c>
      <c r="K119" s="296">
        <f>IFERROR(__xludf.DUMMYFUNCTION("""COMPUTED_VALUE"""),41440.0)</f>
        <v>41440</v>
      </c>
      <c r="L119" s="297">
        <f>IFERROR(__xludf.DUMMYFUNCTION("""COMPUTED_VALUE"""),0.362)</f>
        <v>0.362</v>
      </c>
      <c r="M119" s="296">
        <f>IFERROR(__xludf.DUMMYFUNCTION("""COMPUTED_VALUE"""),13122.0)</f>
        <v>13122</v>
      </c>
      <c r="N119" s="297">
        <f>IFERROR(__xludf.DUMMYFUNCTION("""COMPUTED_VALUE"""),0.3165)</f>
        <v>0.3165</v>
      </c>
      <c r="O119" s="296">
        <f>IFERROR(__xludf.DUMMYFUNCTION("""COMPUTED_VALUE"""),1601.0)</f>
        <v>1601</v>
      </c>
      <c r="P119" s="296">
        <f>IFERROR(__xludf.DUMMYFUNCTION("""COMPUTED_VALUE"""),1456.0)</f>
        <v>1456</v>
      </c>
      <c r="Q119" s="297">
        <f>IFERROR(__xludf.DUMMYFUNCTION("""COMPUTED_VALUE"""),0.0351)</f>
        <v>0.0351</v>
      </c>
      <c r="R119" s="297">
        <f>IFERROR(__xludf.DUMMYFUNCTION("""COMPUTED_VALUE"""),0.111)</f>
        <v>0.111</v>
      </c>
      <c r="S119" s="303">
        <f>IFERROR(__xludf.DUMMYFUNCTION("""COMPUTED_VALUE"""),25.0)</f>
        <v>25</v>
      </c>
      <c r="T119" s="303">
        <f>IFERROR(__xludf.DUMMYFUNCTION("""COMPUTED_VALUE"""),0.0)</f>
        <v>0</v>
      </c>
      <c r="U119" s="303">
        <f>IFERROR(__xludf.DUMMYFUNCTION("""COMPUTED_VALUE"""),333571.0)</f>
        <v>333571</v>
      </c>
      <c r="V119" s="298" t="str">
        <f>IFERROR(__xludf.DUMMYFUNCTION("""COMPUTED_VALUE"""),"offline")</f>
        <v>offline</v>
      </c>
      <c r="W119" s="298" t="str">
        <f>IFERROR(__xludf.DUMMYFUNCTION("""COMPUTED_VALUE"""),"simple")</f>
        <v>simple</v>
      </c>
      <c r="X119" s="299" t="str">
        <f>IFERROR(__xludf.DUMMYFUNCTION("""COMPUTED_VALUE"""),"Full Price - Dormant, Event Buyers")</f>
        <v>Full Price - Dormant, Event Buyers</v>
      </c>
      <c r="Y119" s="299" t="str">
        <f>IFERROR(__xludf.DUMMYFUNCTION("""COMPUTED_VALUE"""),"4-11 July")</f>
        <v>4-11 July</v>
      </c>
      <c r="Z119" s="299" t="str">
        <f>IFERROR(__xludf.DUMMYFUNCTION("""COMPUTED_VALUE"""),"6a46062c1aa6213b83e4c8f2")</f>
        <v>6a46062c1aa6213b83e4c8f2</v>
      </c>
      <c r="AA119" s="300"/>
      <c r="AB119" s="296"/>
      <c r="AC119" s="296"/>
      <c r="AD119" s="296"/>
      <c r="AE119" s="296"/>
      <c r="AF119" s="296"/>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row>
    <row r="120">
      <c r="A120" s="301">
        <f>IFERROR(__xludf.DUMMYFUNCTION("""COMPUTED_VALUE"""),46207.0)</f>
        <v>46207</v>
      </c>
      <c r="B120" s="302">
        <f>IFERROR(__xludf.DUMMYFUNCTION("""COMPUTED_VALUE"""),0.4166666666678793)</f>
        <v>0.4166666667</v>
      </c>
      <c r="C120" s="298" t="str">
        <f>IFERROR(__xludf.DUMMYFUNCTION("""COMPUTED_VALUE"""),"Whatsapp")</f>
        <v>Whatsapp</v>
      </c>
      <c r="D120" s="282" t="str">
        <f>IFERROR(__xludf.DUMMYFUNCTION("""COMPUTED_VALUE"""),"Promotional")</f>
        <v>Promotional</v>
      </c>
      <c r="E120" s="282" t="str">
        <f>IFERROR(__xludf.DUMMYFUNCTION("""COMPUTED_VALUE"""),"CK")</f>
        <v>CK</v>
      </c>
      <c r="F120" s="282" t="str">
        <f>IFERROR(__xludf.DUMMYFUNCTION("""COMPUTED_VALUE"""),"Summer End of Season Sale - Up to 40% off")</f>
        <v>Summer End of Season Sale - Up to 40% off</v>
      </c>
      <c r="G120" s="282" t="str">
        <f>IFERROR(__xludf.DUMMYFUNCTION("""COMPUTED_VALUE"""),"SummerESS_Phase 2_offline_Churned")</f>
        <v>SummerESS_Phase 2_offline_Churned</v>
      </c>
      <c r="H120" s="282" t="str">
        <f>IFERROR(__xludf.DUMMYFUNCTION("""COMPUTED_VALUE"""),"CK_Full_Price_Churned")</f>
        <v>CK_Full_Price_Churned</v>
      </c>
      <c r="I120" s="282" t="str">
        <f>IFERROR(__xludf.DUMMYFUNCTION("""COMPUTED_VALUE"""),"All customers who have purchased at least 1 time with Order_Disc_Val is equal to 0 in the last 1095 days")</f>
        <v>All customers who have purchased at least 1 time with Order_Disc_Val is equal to 0 in the last 1095 days</v>
      </c>
      <c r="J120" s="296">
        <f>IFERROR(__xludf.DUMMYFUNCTION("""COMPUTED_VALUE"""),51762.0)</f>
        <v>51762</v>
      </c>
      <c r="K120" s="296">
        <f>IFERROR(__xludf.DUMMYFUNCTION("""COMPUTED_VALUE"""),18169.0)</f>
        <v>18169</v>
      </c>
      <c r="L120" s="297">
        <f>IFERROR(__xludf.DUMMYFUNCTION("""COMPUTED_VALUE"""),0.351)</f>
        <v>0.351</v>
      </c>
      <c r="M120" s="296">
        <f>IFERROR(__xludf.DUMMYFUNCTION("""COMPUTED_VALUE"""),5919.0)</f>
        <v>5919</v>
      </c>
      <c r="N120" s="297">
        <f>IFERROR(__xludf.DUMMYFUNCTION("""COMPUTED_VALUE"""),0.3257)</f>
        <v>0.3257</v>
      </c>
      <c r="O120" s="296">
        <f>IFERROR(__xludf.DUMMYFUNCTION("""COMPUTED_VALUE"""),604.0)</f>
        <v>604</v>
      </c>
      <c r="P120" s="296">
        <f>IFERROR(__xludf.DUMMYFUNCTION("""COMPUTED_VALUE"""),552.0)</f>
        <v>552</v>
      </c>
      <c r="Q120" s="297">
        <f>IFERROR(__xludf.DUMMYFUNCTION("""COMPUTED_VALUE"""),0.0304)</f>
        <v>0.0304</v>
      </c>
      <c r="R120" s="297">
        <f>IFERROR(__xludf.DUMMYFUNCTION("""COMPUTED_VALUE"""),0.0933)</f>
        <v>0.0933</v>
      </c>
      <c r="S120" s="303">
        <f>IFERROR(__xludf.DUMMYFUNCTION("""COMPUTED_VALUE"""),7.0)</f>
        <v>7</v>
      </c>
      <c r="T120" s="303">
        <f>IFERROR(__xludf.DUMMYFUNCTION("""COMPUTED_VALUE"""),0.0)</f>
        <v>0</v>
      </c>
      <c r="U120" s="303">
        <f>IFERROR(__xludf.DUMMYFUNCTION("""COMPUTED_VALUE"""),79595.0)</f>
        <v>79595</v>
      </c>
      <c r="V120" s="298" t="str">
        <f>IFERROR(__xludf.DUMMYFUNCTION("""COMPUTED_VALUE"""),"offline")</f>
        <v>offline</v>
      </c>
      <c r="W120" s="298" t="str">
        <f>IFERROR(__xludf.DUMMYFUNCTION("""COMPUTED_VALUE"""),"simple")</f>
        <v>simple</v>
      </c>
      <c r="X120" s="299" t="str">
        <f>IFERROR(__xludf.DUMMYFUNCTION("""COMPUTED_VALUE"""),"Full Price - Churned")</f>
        <v>Full Price - Churned</v>
      </c>
      <c r="Y120" s="299" t="str">
        <f>IFERROR(__xludf.DUMMYFUNCTION("""COMPUTED_VALUE"""),"4-11 July")</f>
        <v>4-11 July</v>
      </c>
      <c r="Z120" s="299" t="str">
        <f>IFERROR(__xludf.DUMMYFUNCTION("""COMPUTED_VALUE"""),"6a4607d40acea9b20f6c682a")</f>
        <v>6a4607d40acea9b20f6c682a</v>
      </c>
      <c r="AA120" s="300"/>
      <c r="AB120" s="296"/>
      <c r="AC120" s="296"/>
      <c r="AD120" s="296"/>
      <c r="AE120" s="296"/>
      <c r="AF120" s="296"/>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row>
    <row r="121">
      <c r="A121" s="301">
        <f>IFERROR(__xludf.DUMMYFUNCTION("""COMPUTED_VALUE"""),46207.0)</f>
        <v>46207</v>
      </c>
      <c r="B121" s="302">
        <f>IFERROR(__xludf.DUMMYFUNCTION("""COMPUTED_VALUE"""),0.5)</f>
        <v>0.5</v>
      </c>
      <c r="C121" s="298" t="str">
        <f>IFERROR(__xludf.DUMMYFUNCTION("""COMPUTED_VALUE"""),"Sms")</f>
        <v>Sms</v>
      </c>
      <c r="D121" s="282" t="str">
        <f>IFERROR(__xludf.DUMMYFUNCTION("""COMPUTED_VALUE"""),"Fallback campaign")</f>
        <v>Fallback campaign</v>
      </c>
      <c r="E121" s="282" t="str">
        <f>IFERROR(__xludf.DUMMYFUNCTION("""COMPUTED_VALUE"""),"CK")</f>
        <v>CK</v>
      </c>
      <c r="F121" s="282" t="str">
        <f>IFERROR(__xludf.DUMMYFUNCTION("""COMPUTED_VALUE"""),"Summer End of Season Sale - No Brief")</f>
        <v>Summer End of Season Sale - No Brief</v>
      </c>
      <c r="G121" s="282" t="str">
        <f>IFERROR(__xludf.DUMMYFUNCTION("""COMPUTED_VALUE"""),"SummerESS_Phase 2_online_fallback")</f>
        <v>SummerESS_Phase 2_online_fallback</v>
      </c>
      <c r="H121" s="282" t="str">
        <f>IFERROR(__xludf.DUMMYFUNCTION("""COMPUTED_VALUE"""),"CK_Online_Active_16thJune26, CK_Online_Dormant_16thJune26_V2")</f>
        <v>CK_Online_Active_16thJune26, CK_Online_Dormant_16thJune26_V2</v>
      </c>
      <c r="I121" s="282" t="str">
        <f>IFERROR(__xludf.DUMMYFUNCTION("""COMPUTED_VALUE"""),"WA Undelivered")</f>
        <v>WA Undelivered</v>
      </c>
      <c r="J121" s="296">
        <f>IFERROR(__xludf.DUMMYFUNCTION("""COMPUTED_VALUE"""),57873.0)</f>
        <v>57873</v>
      </c>
      <c r="K121" s="296">
        <f>IFERROR(__xludf.DUMMYFUNCTION("""COMPUTED_VALUE"""),32663.0)</f>
        <v>32663</v>
      </c>
      <c r="L121" s="297">
        <f>IFERROR(__xludf.DUMMYFUNCTION("""COMPUTED_VALUE"""),0.5644)</f>
        <v>0.5644</v>
      </c>
      <c r="M121" s="296">
        <f>IFERROR(__xludf.DUMMYFUNCTION("""COMPUTED_VALUE"""),0.0)</f>
        <v>0</v>
      </c>
      <c r="N121" s="297">
        <f>IFERROR(__xludf.DUMMYFUNCTION("""COMPUTED_VALUE"""),0.0)</f>
        <v>0</v>
      </c>
      <c r="O121" s="296">
        <f>IFERROR(__xludf.DUMMYFUNCTION("""COMPUTED_VALUE"""),0.0)</f>
        <v>0</v>
      </c>
      <c r="P121" s="296">
        <f>IFERROR(__xludf.DUMMYFUNCTION("""COMPUTED_VALUE"""),0.0)</f>
        <v>0</v>
      </c>
      <c r="Q121" s="297">
        <f>IFERROR(__xludf.DUMMYFUNCTION("""COMPUTED_VALUE"""),0.0)</f>
        <v>0</v>
      </c>
      <c r="R121" s="297">
        <f>IFERROR(__xludf.DUMMYFUNCTION("""COMPUTED_VALUE"""),0.0)</f>
        <v>0</v>
      </c>
      <c r="S121" s="303">
        <f>IFERROR(__xludf.DUMMYFUNCTION("""COMPUTED_VALUE"""),9.0)</f>
        <v>9</v>
      </c>
      <c r="T121" s="303">
        <f>IFERROR(__xludf.DUMMYFUNCTION("""COMPUTED_VALUE"""),0.0)</f>
        <v>0</v>
      </c>
      <c r="U121" s="303">
        <f>IFERROR(__xludf.DUMMYFUNCTION("""COMPUTED_VALUE"""),80843.0)</f>
        <v>80843</v>
      </c>
      <c r="V121" s="298" t="str">
        <f>IFERROR(__xludf.DUMMYFUNCTION("""COMPUTED_VALUE"""),"online")</f>
        <v>online</v>
      </c>
      <c r="W121" s="298" t="str">
        <f>IFERROR(__xludf.DUMMYFUNCTION("""COMPUTED_VALUE"""),"simple")</f>
        <v>simple</v>
      </c>
      <c r="X121" s="299" t="str">
        <f>IFERROR(__xludf.DUMMYFUNCTION("""COMPUTED_VALUE"""),"Active, Dormant")</f>
        <v>Active, Dormant</v>
      </c>
      <c r="Y121" s="299" t="str">
        <f>IFERROR(__xludf.DUMMYFUNCTION("""COMPUTED_VALUE"""),"4-11 July")</f>
        <v>4-11 July</v>
      </c>
      <c r="Z121" s="299" t="str">
        <f>IFERROR(__xludf.DUMMYFUNCTION("""COMPUTED_VALUE"""),"6a463ba470ad202e3c6d4775")</f>
        <v>6a463ba470ad202e3c6d4775</v>
      </c>
      <c r="AA121" s="300">
        <f>IFERROR(__xludf.DUMMYFUNCTION("""COMPUTED_VALUE"""),99.0)</f>
        <v>99</v>
      </c>
      <c r="AB121" s="296">
        <f>IFERROR(__xludf.DUMMYFUNCTION("""COMPUTED_VALUE"""),99.0)</f>
        <v>99</v>
      </c>
      <c r="AC121" s="296"/>
      <c r="AD121" s="296">
        <f>IFERROR(__xludf.DUMMYFUNCTION("""COMPUTED_VALUE"""),992213.0)</f>
        <v>992213</v>
      </c>
      <c r="AE121" s="296">
        <f>IFERROR(__xludf.DUMMYFUNCTION("""COMPUTED_VALUE"""),992213.0)</f>
        <v>992213</v>
      </c>
      <c r="AF121" s="296"/>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row>
    <row r="122">
      <c r="A122" s="301">
        <f>IFERROR(__xludf.DUMMYFUNCTION("""COMPUTED_VALUE"""),46207.0)</f>
        <v>46207</v>
      </c>
      <c r="B122" s="302">
        <f>IFERROR(__xludf.DUMMYFUNCTION("""COMPUTED_VALUE"""),0.5)</f>
        <v>0.5</v>
      </c>
      <c r="C122" s="298" t="str">
        <f>IFERROR(__xludf.DUMMYFUNCTION("""COMPUTED_VALUE"""),"Sms")</f>
        <v>Sms</v>
      </c>
      <c r="D122" s="282" t="str">
        <f>IFERROR(__xludf.DUMMYFUNCTION("""COMPUTED_VALUE"""),"Fallback campaign")</f>
        <v>Fallback campaign</v>
      </c>
      <c r="E122" s="282" t="str">
        <f>IFERROR(__xludf.DUMMYFUNCTION("""COMPUTED_VALUE"""),"CK")</f>
        <v>CK</v>
      </c>
      <c r="F122" s="282" t="str">
        <f>IFERROR(__xludf.DUMMYFUNCTION("""COMPUTED_VALUE"""),"Summer End of Season Sale - No Brief")</f>
        <v>Summer End of Season Sale - No Brief</v>
      </c>
      <c r="G122" s="282" t="str">
        <f>IFERROR(__xludf.DUMMYFUNCTION("""COMPUTED_VALUE"""),"SummerESS_Phase 2_offline_active_fallback")</f>
        <v>SummerESS_Phase 2_offline_active_fallback</v>
      </c>
      <c r="H122" s="282" t="str">
        <f>IFERROR(__xludf.DUMMYFUNCTION("""COMPUTED_VALUE"""),"CK_Full_Price_Active")</f>
        <v>CK_Full_Price_Active</v>
      </c>
      <c r="I122" s="282" t="str">
        <f>IFERROR(__xludf.DUMMYFUNCTION("""COMPUTED_VALUE"""),"WA Undelivered")</f>
        <v>WA Undelivered</v>
      </c>
      <c r="J122" s="296">
        <f>IFERROR(__xludf.DUMMYFUNCTION("""COMPUTED_VALUE"""),8863.0)</f>
        <v>8863</v>
      </c>
      <c r="K122" s="296">
        <f>IFERROR(__xludf.DUMMYFUNCTION("""COMPUTED_VALUE"""),5085.0)</f>
        <v>5085</v>
      </c>
      <c r="L122" s="297">
        <f>IFERROR(__xludf.DUMMYFUNCTION("""COMPUTED_VALUE"""),0.5737)</f>
        <v>0.5737</v>
      </c>
      <c r="M122" s="296">
        <f>IFERROR(__xludf.DUMMYFUNCTION("""COMPUTED_VALUE"""),0.0)</f>
        <v>0</v>
      </c>
      <c r="N122" s="297">
        <f>IFERROR(__xludf.DUMMYFUNCTION("""COMPUTED_VALUE"""),0.0)</f>
        <v>0</v>
      </c>
      <c r="O122" s="296">
        <f>IFERROR(__xludf.DUMMYFUNCTION("""COMPUTED_VALUE"""),0.0)</f>
        <v>0</v>
      </c>
      <c r="P122" s="296">
        <f>IFERROR(__xludf.DUMMYFUNCTION("""COMPUTED_VALUE"""),0.0)</f>
        <v>0</v>
      </c>
      <c r="Q122" s="297">
        <f>IFERROR(__xludf.DUMMYFUNCTION("""COMPUTED_VALUE"""),0.0)</f>
        <v>0</v>
      </c>
      <c r="R122" s="297">
        <f>IFERROR(__xludf.DUMMYFUNCTION("""COMPUTED_VALUE"""),0.0)</f>
        <v>0</v>
      </c>
      <c r="S122" s="303">
        <f>IFERROR(__xludf.DUMMYFUNCTION("""COMPUTED_VALUE"""),9.0)</f>
        <v>9</v>
      </c>
      <c r="T122" s="303">
        <f>IFERROR(__xludf.DUMMYFUNCTION("""COMPUTED_VALUE"""),0.0)</f>
        <v>0</v>
      </c>
      <c r="U122" s="303">
        <f>IFERROR(__xludf.DUMMYFUNCTION("""COMPUTED_VALUE"""),111097.0)</f>
        <v>111097</v>
      </c>
      <c r="V122" s="298" t="str">
        <f>IFERROR(__xludf.DUMMYFUNCTION("""COMPUTED_VALUE"""),"offline")</f>
        <v>offline</v>
      </c>
      <c r="W122" s="298" t="str">
        <f>IFERROR(__xludf.DUMMYFUNCTION("""COMPUTED_VALUE"""),"SMS")</f>
        <v>SMS</v>
      </c>
      <c r="X122" s="299" t="str">
        <f>IFERROR(__xludf.DUMMYFUNCTION("""COMPUTED_VALUE"""),"Full Price - Active")</f>
        <v>Full Price - Active</v>
      </c>
      <c r="Y122" s="299" t="str">
        <f>IFERROR(__xludf.DUMMYFUNCTION("""COMPUTED_VALUE"""),"4-11 July")</f>
        <v>4-11 July</v>
      </c>
      <c r="Z122" s="299" t="str">
        <f>IFERROR(__xludf.DUMMYFUNCTION("""COMPUTED_VALUE"""),"6a463be70171765d160b812e")</f>
        <v>6a463be70171765d160b812e</v>
      </c>
      <c r="AA122" s="300">
        <f>IFERROR(__xludf.DUMMYFUNCTION("""COMPUTED_VALUE"""),45.0)</f>
        <v>45</v>
      </c>
      <c r="AB122" s="296"/>
      <c r="AC122" s="296">
        <f>IFERROR(__xludf.DUMMYFUNCTION("""COMPUTED_VALUE"""),45.0)</f>
        <v>45</v>
      </c>
      <c r="AD122" s="296">
        <f>IFERROR(__xludf.DUMMYFUNCTION("""COMPUTED_VALUE"""),506262.0)</f>
        <v>506262</v>
      </c>
      <c r="AE122" s="296"/>
      <c r="AF122" s="296">
        <f>IFERROR(__xludf.DUMMYFUNCTION("""COMPUTED_VALUE"""),506262.0)</f>
        <v>506262</v>
      </c>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row>
    <row r="123">
      <c r="A123" s="301">
        <f>IFERROR(__xludf.DUMMYFUNCTION("""COMPUTED_VALUE"""),46207.0)</f>
        <v>46207</v>
      </c>
      <c r="B123" s="302">
        <f>IFERROR(__xludf.DUMMYFUNCTION("""COMPUTED_VALUE"""),0.5)</f>
        <v>0.5</v>
      </c>
      <c r="C123" s="298" t="str">
        <f>IFERROR(__xludf.DUMMYFUNCTION("""COMPUTED_VALUE"""),"Sms")</f>
        <v>Sms</v>
      </c>
      <c r="D123" s="282" t="str">
        <f>IFERROR(__xludf.DUMMYFUNCTION("""COMPUTED_VALUE"""),"Fallback campaign")</f>
        <v>Fallback campaign</v>
      </c>
      <c r="E123" s="282" t="str">
        <f>IFERROR(__xludf.DUMMYFUNCTION("""COMPUTED_VALUE"""),"CK")</f>
        <v>CK</v>
      </c>
      <c r="F123" s="282" t="str">
        <f>IFERROR(__xludf.DUMMYFUNCTION("""COMPUTED_VALUE"""),"Summer End of Season Sale - No Brief")</f>
        <v>Summer End of Season Sale - No Brief</v>
      </c>
      <c r="G123" s="282" t="str">
        <f>IFERROR(__xludf.DUMMYFUNCTION("""COMPUTED_VALUE"""),"SummerESS_Phase 2_offline_dormant_fallback")</f>
        <v>SummerESS_Phase 2_offline_dormant_fallback</v>
      </c>
      <c r="H123" s="282" t="str">
        <f>IFERROR(__xludf.DUMMYFUNCTION("""COMPUTED_VALUE"""),"CK_Full_Price_Dormant, CK_Event_Buyers_24_06_26")</f>
        <v>CK_Full_Price_Dormant, CK_Event_Buyers_24_06_26</v>
      </c>
      <c r="I123" s="282" t="str">
        <f>IFERROR(__xludf.DUMMYFUNCTION("""COMPUTED_VALUE"""),"WA Undelivered")</f>
        <v>WA Undelivered</v>
      </c>
      <c r="J123" s="296">
        <f>IFERROR(__xludf.DUMMYFUNCTION("""COMPUTED_VALUE"""),67268.0)</f>
        <v>67268</v>
      </c>
      <c r="K123" s="296">
        <f>IFERROR(__xludf.DUMMYFUNCTION("""COMPUTED_VALUE"""),36970.0)</f>
        <v>36970</v>
      </c>
      <c r="L123" s="297">
        <f>IFERROR(__xludf.DUMMYFUNCTION("""COMPUTED_VALUE"""),0.5496)</f>
        <v>0.5496</v>
      </c>
      <c r="M123" s="296">
        <f>IFERROR(__xludf.DUMMYFUNCTION("""COMPUTED_VALUE"""),0.0)</f>
        <v>0</v>
      </c>
      <c r="N123" s="297">
        <f>IFERROR(__xludf.DUMMYFUNCTION("""COMPUTED_VALUE"""),0.0)</f>
        <v>0</v>
      </c>
      <c r="O123" s="296">
        <f>IFERROR(__xludf.DUMMYFUNCTION("""COMPUTED_VALUE"""),0.0)</f>
        <v>0</v>
      </c>
      <c r="P123" s="296">
        <f>IFERROR(__xludf.DUMMYFUNCTION("""COMPUTED_VALUE"""),0.0)</f>
        <v>0</v>
      </c>
      <c r="Q123" s="297">
        <f>IFERROR(__xludf.DUMMYFUNCTION("""COMPUTED_VALUE"""),0.0)</f>
        <v>0</v>
      </c>
      <c r="R123" s="297">
        <f>IFERROR(__xludf.DUMMYFUNCTION("""COMPUTED_VALUE"""),0.0)</f>
        <v>0</v>
      </c>
      <c r="S123" s="303">
        <f>IFERROR(__xludf.DUMMYFUNCTION("""COMPUTED_VALUE"""),38.0)</f>
        <v>38</v>
      </c>
      <c r="T123" s="303">
        <f>IFERROR(__xludf.DUMMYFUNCTION("""COMPUTED_VALUE"""),0.0)</f>
        <v>0</v>
      </c>
      <c r="U123" s="303">
        <f>IFERROR(__xludf.DUMMYFUNCTION("""COMPUTED_VALUE"""),504462.0)</f>
        <v>504462</v>
      </c>
      <c r="V123" s="298" t="str">
        <f>IFERROR(__xludf.DUMMYFUNCTION("""COMPUTED_VALUE"""),"offline")</f>
        <v>offline</v>
      </c>
      <c r="W123" s="298" t="str">
        <f>IFERROR(__xludf.DUMMYFUNCTION("""COMPUTED_VALUE"""),"simple")</f>
        <v>simple</v>
      </c>
      <c r="X123" s="299" t="str">
        <f>IFERROR(__xludf.DUMMYFUNCTION("""COMPUTED_VALUE"""),"Full Price - Dormant, Event Buyers")</f>
        <v>Full Price - Dormant, Event Buyers</v>
      </c>
      <c r="Y123" s="299" t="str">
        <f>IFERROR(__xludf.DUMMYFUNCTION("""COMPUTED_VALUE"""),"4-11 July")</f>
        <v>4-11 July</v>
      </c>
      <c r="Z123" s="299" t="str">
        <f>IFERROR(__xludf.DUMMYFUNCTION("""COMPUTED_VALUE"""),"6a463ca50171765d160b8171")</f>
        <v>6a463ca50171765d160b8171</v>
      </c>
      <c r="AA123" s="300">
        <f>IFERROR(__xludf.DUMMYFUNCTION("""COMPUTED_VALUE"""),210.0)</f>
        <v>210</v>
      </c>
      <c r="AB123" s="296"/>
      <c r="AC123" s="296">
        <f>IFERROR(__xludf.DUMMYFUNCTION("""COMPUTED_VALUE"""),210.0)</f>
        <v>210</v>
      </c>
      <c r="AD123" s="296">
        <f>IFERROR(__xludf.DUMMYFUNCTION("""COMPUTED_VALUE"""),2708392.0)</f>
        <v>2708392</v>
      </c>
      <c r="AE123" s="296"/>
      <c r="AF123" s="296">
        <f>IFERROR(__xludf.DUMMYFUNCTION("""COMPUTED_VALUE"""),2708392.0)</f>
        <v>2708392</v>
      </c>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row>
    <row r="124">
      <c r="A124" s="301">
        <f>IFERROR(__xludf.DUMMYFUNCTION("""COMPUTED_VALUE"""),46207.0)</f>
        <v>46207</v>
      </c>
      <c r="B124" s="302">
        <f>IFERROR(__xludf.DUMMYFUNCTION("""COMPUTED_VALUE"""),0.5)</f>
        <v>0.5</v>
      </c>
      <c r="C124" s="298" t="str">
        <f>IFERROR(__xludf.DUMMYFUNCTION("""COMPUTED_VALUE"""),"Sms")</f>
        <v>Sms</v>
      </c>
      <c r="D124" s="282" t="str">
        <f>IFERROR(__xludf.DUMMYFUNCTION("""COMPUTED_VALUE"""),"Fallback campaign")</f>
        <v>Fallback campaign</v>
      </c>
      <c r="E124" s="282" t="str">
        <f>IFERROR(__xludf.DUMMYFUNCTION("""COMPUTED_VALUE"""),"CK")</f>
        <v>CK</v>
      </c>
      <c r="F124" s="282" t="str">
        <f>IFERROR(__xludf.DUMMYFUNCTION("""COMPUTED_VALUE"""),"Summer End of Season Sale - No Brief")</f>
        <v>Summer End of Season Sale - No Brief</v>
      </c>
      <c r="G124" s="282" t="str">
        <f>IFERROR(__xludf.DUMMYFUNCTION("""COMPUTED_VALUE"""),"SummerESS_Phase 2_offline_Churned_falback")</f>
        <v>SummerESS_Phase 2_offline_Churned_falback</v>
      </c>
      <c r="H124" s="282" t="str">
        <f>IFERROR(__xludf.DUMMYFUNCTION("""COMPUTED_VALUE"""),"CK_Full_Price_Churned")</f>
        <v>CK_Full_Price_Churned</v>
      </c>
      <c r="I124" s="282" t="str">
        <f>IFERROR(__xludf.DUMMYFUNCTION("""COMPUTED_VALUE"""),"WA Undelivered")</f>
        <v>WA Undelivered</v>
      </c>
      <c r="J124" s="296">
        <f>IFERROR(__xludf.DUMMYFUNCTION("""COMPUTED_VALUE"""),17663.0)</f>
        <v>17663</v>
      </c>
      <c r="K124" s="296">
        <f>IFERROR(__xludf.DUMMYFUNCTION("""COMPUTED_VALUE"""),9098.0)</f>
        <v>9098</v>
      </c>
      <c r="L124" s="297">
        <f>IFERROR(__xludf.DUMMYFUNCTION("""COMPUTED_VALUE"""),0.5151)</f>
        <v>0.5151</v>
      </c>
      <c r="M124" s="296">
        <f>IFERROR(__xludf.DUMMYFUNCTION("""COMPUTED_VALUE"""),0.0)</f>
        <v>0</v>
      </c>
      <c r="N124" s="297">
        <f>IFERROR(__xludf.DUMMYFUNCTION("""COMPUTED_VALUE"""),0.0)</f>
        <v>0</v>
      </c>
      <c r="O124" s="296">
        <f>IFERROR(__xludf.DUMMYFUNCTION("""COMPUTED_VALUE"""),0.0)</f>
        <v>0</v>
      </c>
      <c r="P124" s="296">
        <f>IFERROR(__xludf.DUMMYFUNCTION("""COMPUTED_VALUE"""),0.0)</f>
        <v>0</v>
      </c>
      <c r="Q124" s="297">
        <f>IFERROR(__xludf.DUMMYFUNCTION("""COMPUTED_VALUE"""),0.0)</f>
        <v>0</v>
      </c>
      <c r="R124" s="297">
        <f>IFERROR(__xludf.DUMMYFUNCTION("""COMPUTED_VALUE"""),0.0)</f>
        <v>0</v>
      </c>
      <c r="S124" s="303">
        <f>IFERROR(__xludf.DUMMYFUNCTION("""COMPUTED_VALUE"""),4.0)</f>
        <v>4</v>
      </c>
      <c r="T124" s="303">
        <f>IFERROR(__xludf.DUMMYFUNCTION("""COMPUTED_VALUE"""),0.0)</f>
        <v>0</v>
      </c>
      <c r="U124" s="303">
        <f>IFERROR(__xludf.DUMMYFUNCTION("""COMPUTED_VALUE"""),40997.0)</f>
        <v>40997</v>
      </c>
      <c r="V124" s="298" t="str">
        <f>IFERROR(__xludf.DUMMYFUNCTION("""COMPUTED_VALUE"""),"offline")</f>
        <v>offline</v>
      </c>
      <c r="W124" s="298" t="str">
        <f>IFERROR(__xludf.DUMMYFUNCTION("""COMPUTED_VALUE"""),"SMS")</f>
        <v>SMS</v>
      </c>
      <c r="X124" s="299" t="str">
        <f>IFERROR(__xludf.DUMMYFUNCTION("""COMPUTED_VALUE"""),"Full Price - Churned")</f>
        <v>Full Price - Churned</v>
      </c>
      <c r="Y124" s="299" t="str">
        <f>IFERROR(__xludf.DUMMYFUNCTION("""COMPUTED_VALUE"""),"4-11 July")</f>
        <v>4-11 July</v>
      </c>
      <c r="Z124" s="299" t="str">
        <f>IFERROR(__xludf.DUMMYFUNCTION("""COMPUTED_VALUE"""),"6a463d03dcd764e3bc4b0d80")</f>
        <v>6a463d03dcd764e3bc4b0d80</v>
      </c>
      <c r="AA124" s="300">
        <f>IFERROR(__xludf.DUMMYFUNCTION("""COMPUTED_VALUE"""),24.0)</f>
        <v>24</v>
      </c>
      <c r="AB124" s="296"/>
      <c r="AC124" s="296">
        <f>IFERROR(__xludf.DUMMYFUNCTION("""COMPUTED_VALUE"""),24.0)</f>
        <v>24</v>
      </c>
      <c r="AD124" s="296">
        <f>IFERROR(__xludf.DUMMYFUNCTION("""COMPUTED_VALUE"""),256881.0)</f>
        <v>256881</v>
      </c>
      <c r="AE124" s="296"/>
      <c r="AF124" s="296">
        <f>IFERROR(__xludf.DUMMYFUNCTION("""COMPUTED_VALUE"""),256881.0)</f>
        <v>256881</v>
      </c>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row>
    <row r="125">
      <c r="A125" s="301">
        <f>IFERROR(__xludf.DUMMYFUNCTION("""COMPUTED_VALUE"""),46214.0)</f>
        <v>46214</v>
      </c>
      <c r="B125" s="302">
        <f>IFERROR(__xludf.DUMMYFUNCTION("""COMPUTED_VALUE"""),0.7916666666678793)</f>
        <v>0.7916666667</v>
      </c>
      <c r="C125" s="298" t="str">
        <f>IFERROR(__xludf.DUMMYFUNCTION("""COMPUTED_VALUE"""),"Whatsapp")</f>
        <v>Whatsapp</v>
      </c>
      <c r="D125" s="282" t="str">
        <f>IFERROR(__xludf.DUMMYFUNCTION("""COMPUTED_VALUE"""),"Promotional")</f>
        <v>Promotional</v>
      </c>
      <c r="E125" s="282" t="str">
        <f>IFERROR(__xludf.DUMMYFUNCTION("""COMPUTED_VALUE"""),"CK")</f>
        <v>CK</v>
      </c>
      <c r="F125" s="282" t="str">
        <f>IFERROR(__xludf.DUMMYFUNCTION("""COMPUTED_VALUE"""),"Summer End of Season Sale - up to 40 % off + additional 10% off")</f>
        <v>Summer End of Season Sale - up to 40 % off + additional 10% off</v>
      </c>
      <c r="G125" s="282" t="str">
        <f>IFERROR(__xludf.DUMMYFUNCTION("""COMPUTED_VALUE"""),"SummerESS_Flash Sale_Online")</f>
        <v>SummerESS_Flash Sale_Online</v>
      </c>
      <c r="H125" s="282" t="str">
        <f>IFERROR(__xludf.DUMMYFUNCTION("""COMPUTED_VALUE"""),"CK_Online_Active_16thJune26, CK_Online_Dormant_16thJune26_V2")</f>
        <v>CK_Online_Active_16thJune26, CK_Online_Dormant_16thJune26_V2</v>
      </c>
      <c r="I125" s="282" t="str">
        <f>IFERROR(__xludf.DUMMYFUNCTION("""COMPUTED_VALUE"""),"Custom data upload (active), Custom data upload (dormant)")</f>
        <v>Custom data upload (active), Custom data upload (dormant)</v>
      </c>
      <c r="J125" s="296">
        <f>IFERROR(__xludf.DUMMYFUNCTION("""COMPUTED_VALUE"""),99853.0)</f>
        <v>99853</v>
      </c>
      <c r="K125" s="296">
        <f>IFERROR(__xludf.DUMMYFUNCTION("""COMPUTED_VALUE"""),35861.0)</f>
        <v>35861</v>
      </c>
      <c r="L125" s="297">
        <f>IFERROR(__xludf.DUMMYFUNCTION("""COMPUTED_VALUE"""),0.359)</f>
        <v>0.359</v>
      </c>
      <c r="M125" s="296">
        <f>IFERROR(__xludf.DUMMYFUNCTION("""COMPUTED_VALUE"""),10570.0)</f>
        <v>10570</v>
      </c>
      <c r="N125" s="297">
        <f>IFERROR(__xludf.DUMMYFUNCTION("""COMPUTED_VALUE"""),0.2948)</f>
        <v>0.2948</v>
      </c>
      <c r="O125" s="296">
        <f>IFERROR(__xludf.DUMMYFUNCTION("""COMPUTED_VALUE"""),2024.0)</f>
        <v>2024</v>
      </c>
      <c r="P125" s="296">
        <f>IFERROR(__xludf.DUMMYFUNCTION("""COMPUTED_VALUE"""),1838.0)</f>
        <v>1838</v>
      </c>
      <c r="Q125" s="297">
        <f>IFERROR(__xludf.DUMMYFUNCTION("""COMPUTED_VALUE"""),0.0513)</f>
        <v>0.0513</v>
      </c>
      <c r="R125" s="297">
        <f>IFERROR(__xludf.DUMMYFUNCTION("""COMPUTED_VALUE"""),0.1739)</f>
        <v>0.1739</v>
      </c>
      <c r="S125" s="303">
        <f>IFERROR(__xludf.DUMMYFUNCTION("""COMPUTED_VALUE"""),4.0)</f>
        <v>4</v>
      </c>
      <c r="T125" s="303">
        <f>IFERROR(__xludf.DUMMYFUNCTION("""COMPUTED_VALUE"""),0.0)</f>
        <v>0</v>
      </c>
      <c r="U125" s="303">
        <f>IFERROR(__xludf.DUMMYFUNCTION("""COMPUTED_VALUE"""),35797.0)</f>
        <v>35797</v>
      </c>
      <c r="V125" s="298" t="str">
        <f>IFERROR(__xludf.DUMMYFUNCTION("""COMPUTED_VALUE"""),"online")</f>
        <v>online</v>
      </c>
      <c r="W125" s="298" t="str">
        <f>IFERROR(__xludf.DUMMYFUNCTION("""COMPUTED_VALUE"""),"simple")</f>
        <v>simple</v>
      </c>
      <c r="X125" s="299" t="str">
        <f>IFERROR(__xludf.DUMMYFUNCTION("""COMPUTED_VALUE"""),"Active, Dormant")</f>
        <v>Active, Dormant</v>
      </c>
      <c r="Y125" s="299" t="str">
        <f>IFERROR(__xludf.DUMMYFUNCTION("""COMPUTED_VALUE"""),"11th to 12th July ")</f>
        <v>11th to 12th July </v>
      </c>
      <c r="Z125" s="299" t="str">
        <f>IFERROR(__xludf.DUMMYFUNCTION("""COMPUTED_VALUE"""),"6a4f86cdc71f297b82aaf448")</f>
        <v>6a4f86cdc71f297b82aaf448</v>
      </c>
      <c r="AA125" s="300">
        <f>IFERROR(__xludf.DUMMYFUNCTION("""COMPUTED_VALUE"""),38.0)</f>
        <v>38</v>
      </c>
      <c r="AB125" s="296">
        <f>IFERROR(__xludf.DUMMYFUNCTION("""COMPUTED_VALUE"""),38.0)</f>
        <v>38</v>
      </c>
      <c r="AC125" s="296"/>
      <c r="AD125" s="296">
        <f>IFERROR(__xludf.DUMMYFUNCTION("""COMPUTED_VALUE"""),332129.0)</f>
        <v>332129</v>
      </c>
      <c r="AE125" s="296">
        <f>IFERROR(__xludf.DUMMYFUNCTION("""COMPUTED_VALUE"""),332129.0)</f>
        <v>332129</v>
      </c>
      <c r="AF125" s="296"/>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row>
    <row r="126">
      <c r="A126" s="301">
        <f>IFERROR(__xludf.DUMMYFUNCTION("""COMPUTED_VALUE"""),46214.0)</f>
        <v>46214</v>
      </c>
      <c r="B126" s="302">
        <f>IFERROR(__xludf.DUMMYFUNCTION("""COMPUTED_VALUE"""),0.7916666666678793)</f>
        <v>0.7916666667</v>
      </c>
      <c r="C126" s="298" t="str">
        <f>IFERROR(__xludf.DUMMYFUNCTION("""COMPUTED_VALUE"""),"Whatsapp")</f>
        <v>Whatsapp</v>
      </c>
      <c r="D126" s="282" t="str">
        <f>IFERROR(__xludf.DUMMYFUNCTION("""COMPUTED_VALUE"""),"Promotional")</f>
        <v>Promotional</v>
      </c>
      <c r="E126" s="282" t="str">
        <f>IFERROR(__xludf.DUMMYFUNCTION("""COMPUTED_VALUE"""),"CK")</f>
        <v>CK</v>
      </c>
      <c r="F126" s="282" t="str">
        <f>IFERROR(__xludf.DUMMYFUNCTION("""COMPUTED_VALUE"""),"Summer End of Season Sale - up to 40 % off + additional 10% off")</f>
        <v>Summer End of Season Sale - up to 40 % off + additional 10% off</v>
      </c>
      <c r="G126" s="282" t="str">
        <f>IFERROR(__xludf.DUMMYFUNCTION("""COMPUTED_VALUE"""),"SummerESS_Flash Sale_Churned")</f>
        <v>SummerESS_Flash Sale_Churned</v>
      </c>
      <c r="H126" s="282" t="str">
        <f>IFERROR(__xludf.DUMMYFUNCTION("""COMPUTED_VALUE"""),"CK_Full_Price_Churned")</f>
        <v>CK_Full_Price_Churned</v>
      </c>
      <c r="I126" s="282" t="str">
        <f>IFERROR(__xludf.DUMMYFUNCTION("""COMPUTED_VALUE"""),"All customers who have purchased at least 1 time with Order_Disc_Val is equal to 0 in the last 1095 days")</f>
        <v>All customers who have purchased at least 1 time with Order_Disc_Val is equal to 0 in the last 1095 days</v>
      </c>
      <c r="J126" s="296">
        <f>IFERROR(__xludf.DUMMYFUNCTION("""COMPUTED_VALUE"""),51768.0)</f>
        <v>51768</v>
      </c>
      <c r="K126" s="296">
        <f>IFERROR(__xludf.DUMMYFUNCTION("""COMPUTED_VALUE"""),18588.0)</f>
        <v>18588</v>
      </c>
      <c r="L126" s="297">
        <f>IFERROR(__xludf.DUMMYFUNCTION("""COMPUTED_VALUE"""),0.359)</f>
        <v>0.359</v>
      </c>
      <c r="M126" s="296">
        <f>IFERROR(__xludf.DUMMYFUNCTION("""COMPUTED_VALUE"""),5470.0)</f>
        <v>5470</v>
      </c>
      <c r="N126" s="297">
        <f>IFERROR(__xludf.DUMMYFUNCTION("""COMPUTED_VALUE"""),0.2943)</f>
        <v>0.2943</v>
      </c>
      <c r="O126" s="296">
        <f>IFERROR(__xludf.DUMMYFUNCTION("""COMPUTED_VALUE"""),708.0)</f>
        <v>708</v>
      </c>
      <c r="P126" s="296">
        <f>IFERROR(__xludf.DUMMYFUNCTION("""COMPUTED_VALUE"""),643.0)</f>
        <v>643</v>
      </c>
      <c r="Q126" s="297">
        <f>IFERROR(__xludf.DUMMYFUNCTION("""COMPUTED_VALUE"""),0.0346)</f>
        <v>0.0346</v>
      </c>
      <c r="R126" s="297">
        <f>IFERROR(__xludf.DUMMYFUNCTION("""COMPUTED_VALUE"""),0.1176)</f>
        <v>0.1176</v>
      </c>
      <c r="S126" s="303">
        <f>IFERROR(__xludf.DUMMYFUNCTION("""COMPUTED_VALUE"""),1.0)</f>
        <v>1</v>
      </c>
      <c r="T126" s="303">
        <f>IFERROR(__xludf.DUMMYFUNCTION("""COMPUTED_VALUE"""),0.0)</f>
        <v>0</v>
      </c>
      <c r="U126" s="303">
        <f>IFERROR(__xludf.DUMMYFUNCTION("""COMPUTED_VALUE"""),8499.0)</f>
        <v>8499</v>
      </c>
      <c r="V126" s="298" t="str">
        <f>IFERROR(__xludf.DUMMYFUNCTION("""COMPUTED_VALUE"""),"overall")</f>
        <v>overall</v>
      </c>
      <c r="W126" s="298" t="str">
        <f>IFERROR(__xludf.DUMMYFUNCTION("""COMPUTED_VALUE"""),"simple")</f>
        <v>simple</v>
      </c>
      <c r="X126" s="299" t="str">
        <f>IFERROR(__xludf.DUMMYFUNCTION("""COMPUTED_VALUE"""),"Full Price - Churned")</f>
        <v>Full Price - Churned</v>
      </c>
      <c r="Y126" s="299" t="str">
        <f>IFERROR(__xludf.DUMMYFUNCTION("""COMPUTED_VALUE"""),"11th to 12th July ")</f>
        <v>11th to 12th July </v>
      </c>
      <c r="Z126" s="299" t="str">
        <f>IFERROR(__xludf.DUMMYFUNCTION("""COMPUTED_VALUE"""),"6a4f8758409c3073110fdc50")</f>
        <v>6a4f8758409c3073110fdc50</v>
      </c>
      <c r="AA126" s="300">
        <f>IFERROR(__xludf.DUMMYFUNCTION("""COMPUTED_VALUE"""),18.0)</f>
        <v>18</v>
      </c>
      <c r="AB126" s="296">
        <f>IFERROR(__xludf.DUMMYFUNCTION("""COMPUTED_VALUE"""),7.0)</f>
        <v>7</v>
      </c>
      <c r="AC126" s="296">
        <f>IFERROR(__xludf.DUMMYFUNCTION("""COMPUTED_VALUE"""),11.0)</f>
        <v>11</v>
      </c>
      <c r="AD126" s="296">
        <f>IFERROR(__xludf.DUMMYFUNCTION("""COMPUTED_VALUE"""),174347.0)</f>
        <v>174347</v>
      </c>
      <c r="AE126" s="296">
        <f>IFERROR(__xludf.DUMMYFUNCTION("""COMPUTED_VALUE"""),64458.0)</f>
        <v>64458</v>
      </c>
      <c r="AF126" s="296">
        <f>IFERROR(__xludf.DUMMYFUNCTION("""COMPUTED_VALUE"""),109889.0)</f>
        <v>109889</v>
      </c>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row>
    <row r="127">
      <c r="A127" s="301">
        <f>IFERROR(__xludf.DUMMYFUNCTION("""COMPUTED_VALUE"""),46214.0)</f>
        <v>46214</v>
      </c>
      <c r="B127" s="302">
        <f>IFERROR(__xludf.DUMMYFUNCTION("""COMPUTED_VALUE"""),0.7916666666678793)</f>
        <v>0.7916666667</v>
      </c>
      <c r="C127" s="298" t="str">
        <f>IFERROR(__xludf.DUMMYFUNCTION("""COMPUTED_VALUE"""),"Whatsapp")</f>
        <v>Whatsapp</v>
      </c>
      <c r="D127" s="282" t="str">
        <f>IFERROR(__xludf.DUMMYFUNCTION("""COMPUTED_VALUE"""),"Promotional")</f>
        <v>Promotional</v>
      </c>
      <c r="E127" s="282" t="str">
        <f>IFERROR(__xludf.DUMMYFUNCTION("""COMPUTED_VALUE"""),"CK")</f>
        <v>CK</v>
      </c>
      <c r="F127" s="282" t="str">
        <f>IFERROR(__xludf.DUMMYFUNCTION("""COMPUTED_VALUE"""),"Summer End of Season Sale - up to 40 % off + additional 10% off")</f>
        <v>Summer End of Season Sale - up to 40 % off + additional 10% off</v>
      </c>
      <c r="G127" s="282" t="str">
        <f>IFERROR(__xludf.DUMMYFUNCTION("""COMPUTED_VALUE"""),"SummerESS_Flash Sale_active")</f>
        <v>SummerESS_Flash Sale_active</v>
      </c>
      <c r="H127" s="282" t="str">
        <f>IFERROR(__xludf.DUMMYFUNCTION("""COMPUTED_VALUE"""),"CK_Full_Price_Active")</f>
        <v>CK_Full_Price_Active</v>
      </c>
      <c r="I127" s="282" t="str">
        <f>IFERROR(__xludf.DUMMYFUNCTION("""COMPUTED_VALUE"""),"All customers who have purchased at least 1 time with Order_Disc_Val is equal to 0 in the last 90 days")</f>
        <v>All customers who have purchased at least 1 time with Order_Disc_Val is equal to 0 in the last 90 days</v>
      </c>
      <c r="J127" s="296">
        <f>IFERROR(__xludf.DUMMYFUNCTION("""COMPUTED_VALUE"""),15558.0)</f>
        <v>15558</v>
      </c>
      <c r="K127" s="296">
        <f>IFERROR(__xludf.DUMMYFUNCTION("""COMPUTED_VALUE"""),6283.0)</f>
        <v>6283</v>
      </c>
      <c r="L127" s="297">
        <f>IFERROR(__xludf.DUMMYFUNCTION("""COMPUTED_VALUE"""),0.4038)</f>
        <v>0.4038</v>
      </c>
      <c r="M127" s="296">
        <f>IFERROR(__xludf.DUMMYFUNCTION("""COMPUTED_VALUE"""),2219.0)</f>
        <v>2219</v>
      </c>
      <c r="N127" s="297">
        <f>IFERROR(__xludf.DUMMYFUNCTION("""COMPUTED_VALUE"""),0.3532)</f>
        <v>0.3532</v>
      </c>
      <c r="O127" s="296">
        <f>IFERROR(__xludf.DUMMYFUNCTION("""COMPUTED_VALUE"""),500.0)</f>
        <v>500</v>
      </c>
      <c r="P127" s="296">
        <f>IFERROR(__xludf.DUMMYFUNCTION("""COMPUTED_VALUE"""),451.0)</f>
        <v>451</v>
      </c>
      <c r="Q127" s="297">
        <f>IFERROR(__xludf.DUMMYFUNCTION("""COMPUTED_VALUE"""),0.0718)</f>
        <v>0.0718</v>
      </c>
      <c r="R127" s="297">
        <f>IFERROR(__xludf.DUMMYFUNCTION("""COMPUTED_VALUE"""),0.2032)</f>
        <v>0.2032</v>
      </c>
      <c r="S127" s="303">
        <f>IFERROR(__xludf.DUMMYFUNCTION("""COMPUTED_VALUE"""),4.0)</f>
        <v>4</v>
      </c>
      <c r="T127" s="303">
        <f>IFERROR(__xludf.DUMMYFUNCTION("""COMPUTED_VALUE"""),0.0)</f>
        <v>0</v>
      </c>
      <c r="U127" s="303">
        <f>IFERROR(__xludf.DUMMYFUNCTION("""COMPUTED_VALUE"""),36997.0)</f>
        <v>36997</v>
      </c>
      <c r="V127" s="298" t="str">
        <f>IFERROR(__xludf.DUMMYFUNCTION("""COMPUTED_VALUE"""),"overall")</f>
        <v>overall</v>
      </c>
      <c r="W127" s="298" t="str">
        <f>IFERROR(__xludf.DUMMYFUNCTION("""COMPUTED_VALUE"""),"simple")</f>
        <v>simple</v>
      </c>
      <c r="X127" s="299" t="str">
        <f>IFERROR(__xludf.DUMMYFUNCTION("""COMPUTED_VALUE"""),"Full Price - Active")</f>
        <v>Full Price - Active</v>
      </c>
      <c r="Y127" s="299" t="str">
        <f>IFERROR(__xludf.DUMMYFUNCTION("""COMPUTED_VALUE"""),"11th to 12th July ")</f>
        <v>11th to 12th July </v>
      </c>
      <c r="Z127" s="299" t="str">
        <f>IFERROR(__xludf.DUMMYFUNCTION("""COMPUTED_VALUE"""),"6a4f87b9531eb47f641abd36")</f>
        <v>6a4f87b9531eb47f641abd36</v>
      </c>
      <c r="AA127" s="300">
        <f>IFERROR(__xludf.DUMMYFUNCTION("""COMPUTED_VALUE"""),24.0)</f>
        <v>24</v>
      </c>
      <c r="AB127" s="296">
        <f>IFERROR(__xludf.DUMMYFUNCTION("""COMPUTED_VALUE"""),5.0)</f>
        <v>5</v>
      </c>
      <c r="AC127" s="296">
        <f>IFERROR(__xludf.DUMMYFUNCTION("""COMPUTED_VALUE"""),19.0)</f>
        <v>19</v>
      </c>
      <c r="AD127" s="296">
        <f>IFERROR(__xludf.DUMMYFUNCTION("""COMPUTED_VALUE"""),226589.0)</f>
        <v>226589</v>
      </c>
      <c r="AE127" s="296">
        <f>IFERROR(__xludf.DUMMYFUNCTION("""COMPUTED_VALUE"""),43804.0)</f>
        <v>43804</v>
      </c>
      <c r="AF127" s="296">
        <f>IFERROR(__xludf.DUMMYFUNCTION("""COMPUTED_VALUE"""),182785.0)</f>
        <v>182785</v>
      </c>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row>
    <row r="128">
      <c r="A128" s="301">
        <f>IFERROR(__xludf.DUMMYFUNCTION("""COMPUTED_VALUE"""),46214.0)</f>
        <v>46214</v>
      </c>
      <c r="B128" s="302">
        <f>IFERROR(__xludf.DUMMYFUNCTION("""COMPUTED_VALUE"""),0.7916666666678793)</f>
        <v>0.7916666667</v>
      </c>
      <c r="C128" s="298" t="str">
        <f>IFERROR(__xludf.DUMMYFUNCTION("""COMPUTED_VALUE"""),"Whatsapp")</f>
        <v>Whatsapp</v>
      </c>
      <c r="D128" s="282" t="str">
        <f>IFERROR(__xludf.DUMMYFUNCTION("""COMPUTED_VALUE"""),"Promotional")</f>
        <v>Promotional</v>
      </c>
      <c r="E128" s="282" t="str">
        <f>IFERROR(__xludf.DUMMYFUNCTION("""COMPUTED_VALUE"""),"CK")</f>
        <v>CK</v>
      </c>
      <c r="F128" s="282" t="str">
        <f>IFERROR(__xludf.DUMMYFUNCTION("""COMPUTED_VALUE"""),"Summer End of Season Sale - up to 40 % off + additional 10% off")</f>
        <v>Summer End of Season Sale - up to 40 % off + additional 10% off</v>
      </c>
      <c r="G128" s="282" t="str">
        <f>IFERROR(__xludf.DUMMYFUNCTION("""COMPUTED_VALUE"""),"SummerESS_Flash Sale_dormant")</f>
        <v>SummerESS_Flash Sale_dormant</v>
      </c>
      <c r="H128" s="282" t="str">
        <f>IFERROR(__xludf.DUMMYFUNCTION("""COMPUTED_VALUE"""),"CK_Full_Price_Dormant")</f>
        <v>CK_Full_Price_Dormant</v>
      </c>
      <c r="I128" s="282" t="str">
        <f>IFERROR(__xludf.DUMMYFUNCTION("""COMPUTED_VALUE"""),"All customers who have purchased at least 1 time with Order_Disc_Val is equal to 0 in the last 365 days")</f>
        <v>All customers who have purchased at least 1 time with Order_Disc_Val is equal to 0 in the last 365 days</v>
      </c>
      <c r="J128" s="296">
        <f>IFERROR(__xludf.DUMMYFUNCTION("""COMPUTED_VALUE"""),31711.0)</f>
        <v>31711</v>
      </c>
      <c r="K128" s="296">
        <f>IFERROR(__xludf.DUMMYFUNCTION("""COMPUTED_VALUE"""),12222.0)</f>
        <v>12222</v>
      </c>
      <c r="L128" s="297">
        <f>IFERROR(__xludf.DUMMYFUNCTION("""COMPUTED_VALUE"""),0.3854)</f>
        <v>0.3854</v>
      </c>
      <c r="M128" s="296">
        <f>IFERROR(__xludf.DUMMYFUNCTION("""COMPUTED_VALUE"""),3787.0)</f>
        <v>3787</v>
      </c>
      <c r="N128" s="297">
        <f>IFERROR(__xludf.DUMMYFUNCTION("""COMPUTED_VALUE"""),0.3099)</f>
        <v>0.3099</v>
      </c>
      <c r="O128" s="296">
        <f>IFERROR(__xludf.DUMMYFUNCTION("""COMPUTED_VALUE"""),616.0)</f>
        <v>616</v>
      </c>
      <c r="P128" s="296">
        <f>IFERROR(__xludf.DUMMYFUNCTION("""COMPUTED_VALUE"""),573.0)</f>
        <v>573</v>
      </c>
      <c r="Q128" s="297">
        <f>IFERROR(__xludf.DUMMYFUNCTION("""COMPUTED_VALUE"""),0.0469)</f>
        <v>0.0469</v>
      </c>
      <c r="R128" s="297">
        <f>IFERROR(__xludf.DUMMYFUNCTION("""COMPUTED_VALUE"""),0.1513)</f>
        <v>0.1513</v>
      </c>
      <c r="S128" s="303">
        <f>IFERROR(__xludf.DUMMYFUNCTION("""COMPUTED_VALUE"""),1.0)</f>
        <v>1</v>
      </c>
      <c r="T128" s="303">
        <f>IFERROR(__xludf.DUMMYFUNCTION("""COMPUTED_VALUE"""),0.0)</f>
        <v>0</v>
      </c>
      <c r="U128" s="303">
        <f>IFERROR(__xludf.DUMMYFUNCTION("""COMPUTED_VALUE"""),12999.0)</f>
        <v>12999</v>
      </c>
      <c r="V128" s="298" t="str">
        <f>IFERROR(__xludf.DUMMYFUNCTION("""COMPUTED_VALUE"""),"overall")</f>
        <v>overall</v>
      </c>
      <c r="W128" s="298" t="str">
        <f>IFERROR(__xludf.DUMMYFUNCTION("""COMPUTED_VALUE"""),"simple")</f>
        <v>simple</v>
      </c>
      <c r="X128" s="299" t="str">
        <f>IFERROR(__xludf.DUMMYFUNCTION("""COMPUTED_VALUE"""),"Full Price - Dormant")</f>
        <v>Full Price - Dormant</v>
      </c>
      <c r="Y128" s="299" t="str">
        <f>IFERROR(__xludf.DUMMYFUNCTION("""COMPUTED_VALUE"""),"11th to 12th July ")</f>
        <v>11th to 12th July </v>
      </c>
      <c r="Z128" s="299" t="str">
        <f>IFERROR(__xludf.DUMMYFUNCTION("""COMPUTED_VALUE"""),"6a4f880f91a55b146be1fbaa")</f>
        <v>6a4f880f91a55b146be1fbaa</v>
      </c>
      <c r="AA128" s="300">
        <f>IFERROR(__xludf.DUMMYFUNCTION("""COMPUTED_VALUE"""),27.0)</f>
        <v>27</v>
      </c>
      <c r="AB128" s="296">
        <f>IFERROR(__xludf.DUMMYFUNCTION("""COMPUTED_VALUE"""),8.0)</f>
        <v>8</v>
      </c>
      <c r="AC128" s="296">
        <f>IFERROR(__xludf.DUMMYFUNCTION("""COMPUTED_VALUE"""),19.0)</f>
        <v>19</v>
      </c>
      <c r="AD128" s="296">
        <f>IFERROR(__xludf.DUMMYFUNCTION("""COMPUTED_VALUE"""),359387.0)</f>
        <v>359387</v>
      </c>
      <c r="AE128" s="296">
        <f>IFERROR(__xludf.DUMMYFUNCTION("""COMPUTED_VALUE"""),119404.0)</f>
        <v>119404</v>
      </c>
      <c r="AF128" s="296">
        <f>IFERROR(__xludf.DUMMYFUNCTION("""COMPUTED_VALUE"""),239983.0)</f>
        <v>239983</v>
      </c>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row>
    <row r="129">
      <c r="A129" s="301">
        <f>IFERROR(__xludf.DUMMYFUNCTION("""COMPUTED_VALUE"""),46214.0)</f>
        <v>46214</v>
      </c>
      <c r="B129" s="302">
        <f>IFERROR(__xludf.DUMMYFUNCTION("""COMPUTED_VALUE"""),0.7916666666678793)</f>
        <v>0.7916666667</v>
      </c>
      <c r="C129" s="298" t="str">
        <f>IFERROR(__xludf.DUMMYFUNCTION("""COMPUTED_VALUE"""),"Whatsapp")</f>
        <v>Whatsapp</v>
      </c>
      <c r="D129" s="282" t="str">
        <f>IFERROR(__xludf.DUMMYFUNCTION("""COMPUTED_VALUE"""),"Promotional")</f>
        <v>Promotional</v>
      </c>
      <c r="E129" s="282" t="str">
        <f>IFERROR(__xludf.DUMMYFUNCTION("""COMPUTED_VALUE"""),"CK")</f>
        <v>CK</v>
      </c>
      <c r="F129" s="282" t="str">
        <f>IFERROR(__xludf.DUMMYFUNCTION("""COMPUTED_VALUE"""),"Summer End of Season Sale - up to 40 % off + additional 10% off")</f>
        <v>Summer End of Season Sale - up to 40 % off + additional 10% off</v>
      </c>
      <c r="G129" s="282" t="str">
        <f>IFERROR(__xludf.DUMMYFUNCTION("""COMPUTED_VALUE"""),"SummerESS_Flash Sale_event shoppers")</f>
        <v>SummerESS_Flash Sale_event shoppers</v>
      </c>
      <c r="H129" s="282" t="str">
        <f>IFERROR(__xludf.DUMMYFUNCTION("""COMPUTED_VALUE"""),"CK_Event_Buyers_24_06_26")</f>
        <v>CK_Event_Buyers_24_06_26</v>
      </c>
      <c r="I129" s="282" t="str">
        <f>IFERROR(__xludf.DUMMYFUNCTION("""COMPUTED_VALUE"""),"All customers who have made at least one purchase during any of the following sale periods: June 22, 2023 to August 4, 2023; November 11, 2023 to November 14, 2023; November 23, 2023 to November 28, 2023; December 14, 2023 to February 4, 2024; June 19, 20"&amp;"24 to August 4, 2024; September 27, 2024 to September 29, 2024; November 9, 2024 to November 12, 2024; November 28, 2024 to December 2, 2024; December 18, 2024 to January 26, 2025; June 17, 2025 to August 3, 2025; November 26, 2025 to December 1, 2025; an"&amp;"d December 18, 2025 to January 26, 2026.")</f>
        <v>All customers who have made at least one purchase during any of the following sale periods: June 22, 2023 to August 4, 2023; November 11, 2023 to November 14, 2023; November 23, 2023 to November 28, 2023; December 14, 2023 to February 4, 2024; June 19, 2024 to August 4, 2024; September 27, 2024 to September 29, 2024; November 9, 2024 to November 12, 2024; November 28, 2024 to December 2, 2024; December 18, 2024 to January 26, 2025; June 17, 2025 to August 3, 2025; November 26, 2025 to December 1, 2025; and December 18, 2025 to January 26, 2026.</v>
      </c>
      <c r="J129" s="296">
        <f>IFERROR(__xludf.DUMMYFUNCTION("""COMPUTED_VALUE"""),81868.0)</f>
        <v>81868</v>
      </c>
      <c r="K129" s="296">
        <f>IFERROR(__xludf.DUMMYFUNCTION("""COMPUTED_VALUE"""),27514.0)</f>
        <v>27514</v>
      </c>
      <c r="L129" s="297">
        <f>IFERROR(__xludf.DUMMYFUNCTION("""COMPUTED_VALUE"""),0.336)</f>
        <v>0.336</v>
      </c>
      <c r="M129" s="296">
        <f>IFERROR(__xludf.DUMMYFUNCTION("""COMPUTED_VALUE"""),8552.0)</f>
        <v>8552</v>
      </c>
      <c r="N129" s="297">
        <f>IFERROR(__xludf.DUMMYFUNCTION("""COMPUTED_VALUE"""),0.3109)</f>
        <v>0.3109</v>
      </c>
      <c r="O129" s="296">
        <f>IFERROR(__xludf.DUMMYFUNCTION("""COMPUTED_VALUE"""),1604.0)</f>
        <v>1604</v>
      </c>
      <c r="P129" s="296">
        <f>IFERROR(__xludf.DUMMYFUNCTION("""COMPUTED_VALUE"""),1429.0)</f>
        <v>1429</v>
      </c>
      <c r="Q129" s="297">
        <f>IFERROR(__xludf.DUMMYFUNCTION("""COMPUTED_VALUE"""),0.052)</f>
        <v>0.052</v>
      </c>
      <c r="R129" s="297">
        <f>IFERROR(__xludf.DUMMYFUNCTION("""COMPUTED_VALUE"""),0.1671)</f>
        <v>0.1671</v>
      </c>
      <c r="S129" s="303">
        <f>IFERROR(__xludf.DUMMYFUNCTION("""COMPUTED_VALUE"""),4.0)</f>
        <v>4</v>
      </c>
      <c r="T129" s="303">
        <f>IFERROR(__xludf.DUMMYFUNCTION("""COMPUTED_VALUE"""),0.0)</f>
        <v>0</v>
      </c>
      <c r="U129" s="303">
        <f>IFERROR(__xludf.DUMMYFUNCTION("""COMPUTED_VALUE"""),48397.0)</f>
        <v>48397</v>
      </c>
      <c r="V129" s="298" t="str">
        <f>IFERROR(__xludf.DUMMYFUNCTION("""COMPUTED_VALUE"""),"overall")</f>
        <v>overall</v>
      </c>
      <c r="W129" s="298" t="str">
        <f>IFERROR(__xludf.DUMMYFUNCTION("""COMPUTED_VALUE"""),"simple")</f>
        <v>simple</v>
      </c>
      <c r="X129" s="299" t="str">
        <f>IFERROR(__xludf.DUMMYFUNCTION("""COMPUTED_VALUE"""),"No Brief")</f>
        <v>No Brief</v>
      </c>
      <c r="Y129" s="299" t="str">
        <f>IFERROR(__xludf.DUMMYFUNCTION("""COMPUTED_VALUE"""),"11th to 12th July ")</f>
        <v>11th to 12th July </v>
      </c>
      <c r="Z129" s="299" t="str">
        <f>IFERROR(__xludf.DUMMYFUNCTION("""COMPUTED_VALUE"""),"6a4f884f37c05423b4c50336")</f>
        <v>6a4f884f37c05423b4c50336</v>
      </c>
      <c r="AA129" s="300">
        <f>IFERROR(__xludf.DUMMYFUNCTION("""COMPUTED_VALUE"""),65.0)</f>
        <v>65</v>
      </c>
      <c r="AB129" s="296">
        <f>IFERROR(__xludf.DUMMYFUNCTION("""COMPUTED_VALUE"""),17.0)</f>
        <v>17</v>
      </c>
      <c r="AC129" s="296">
        <f>IFERROR(__xludf.DUMMYFUNCTION("""COMPUTED_VALUE"""),48.0)</f>
        <v>48</v>
      </c>
      <c r="AD129" s="296">
        <f>IFERROR(__xludf.DUMMYFUNCTION("""COMPUTED_VALUE"""),714853.0)</f>
        <v>714853</v>
      </c>
      <c r="AE129" s="296">
        <f>IFERROR(__xludf.DUMMYFUNCTION("""COMPUTED_VALUE"""),138691.0)</f>
        <v>138691</v>
      </c>
      <c r="AF129" s="296">
        <f>IFERROR(__xludf.DUMMYFUNCTION("""COMPUTED_VALUE"""),576162.0)</f>
        <v>576162</v>
      </c>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row>
    <row r="130">
      <c r="A130" s="301">
        <f>IFERROR(__xludf.DUMMYFUNCTION("""COMPUTED_VALUE"""),46213.0)</f>
        <v>46213</v>
      </c>
      <c r="B130" s="302">
        <f>IFERROR(__xludf.DUMMYFUNCTION("""COMPUTED_VALUE"""),0.4583333333321207)</f>
        <v>0.4583333333</v>
      </c>
      <c r="C130" s="298" t="str">
        <f>IFERROR(__xludf.DUMMYFUNCTION("""COMPUTED_VALUE"""),"Sms")</f>
        <v>Sms</v>
      </c>
      <c r="D130" s="282" t="str">
        <f>IFERROR(__xludf.DUMMYFUNCTION("""COMPUTED_VALUE"""),"Promotional")</f>
        <v>Promotional</v>
      </c>
      <c r="E130" s="282" t="str">
        <f>IFERROR(__xludf.DUMMYFUNCTION("""COMPUTED_VALUE"""),"CK")</f>
        <v>CK</v>
      </c>
      <c r="F130" s="282" t="str">
        <f>IFERROR(__xludf.DUMMYFUNCTION("""COMPUTED_VALUE"""),"Summer End of Season Sale - up to 40 % off")</f>
        <v>Summer End of Season Sale - up to 40 % off</v>
      </c>
      <c r="G130" s="282" t="str">
        <f>IFERROR(__xludf.DUMMYFUNCTION("""COMPUTED_VALUE"""),"Summer ESS_phase2_offline")</f>
        <v>Summer ESS_phase2_offline</v>
      </c>
      <c r="H130" s="282" t="str">
        <f>IFERROR(__xludf.DUMMYFUNCTION("""COMPUTED_VALUE"""),"CK_Event_Buyers_24_06_26, CK_Full_Price_Active, CK_Full_Price_Dormant, CK_Full_Price_Churned")</f>
        <v>CK_Event_Buyers_24_06_26, CK_Full_Price_Active, CK_Full_Price_Dormant, CK_Full_Price_Churned</v>
      </c>
      <c r="I130" s="282" t="str">
        <f>IFERROR(__xludf.DUMMYFUNCTION("""COMPUTED_VALUE"""),"All customers who have made at least one purchase during any of the following sale periods: June 22, 2023 to August 4, 2023; November 11, 2023 to November 14, 2023; November 23, 2023 to November 28, 2023; December 14, 2023 to February 4, 2024; June 19, 20"&amp;"24 to August 4, 2024; September 27, 2024 to September 29, 2024; November 9, 2024 to November 12, 2024; November 28, 2024 to December 2, 2024; December 18, 2024 to January 26, 2025; June 17, 2025 to August 3, 2025; November 26, 2025 to December 1, 2025; an"&amp;"d December 18, 2025 to January 26, 2026., 
All customers who have purchased at least 1 time with Order_Disc_Val is equal to 0 in the last 90 days,
All customers who have purchased at least 1 time with Order_Disc_Val is equal to 0 in the last 365 days
All "&amp;"customers who have purchased at least 1 time with Order_Disc_Val is equal to 0 in the last 1095 days")</f>
        <v>All customers who have made at least one purchase during any of the following sale periods: June 22, 2023 to August 4, 2023; November 11, 2023 to November 14, 2023; November 23, 2023 to November 28, 2023; December 14, 2023 to February 4, 2024; June 19, 2024 to August 4, 2024; September 27, 2024 to September 29, 2024; November 9, 2024 to November 12, 2024; November 28, 2024 to December 2, 2024; December 18, 2024 to January 26, 2025; June 17, 2025 to August 3, 2025; November 26, 2025 to December 1, 2025; and December 18, 2025 to January 26, 2026., 
All customers who have purchased at least 1 time with Order_Disc_Val is equal to 0 in the last 90 days,
All customers who have purchased at least 1 time with Order_Disc_Val is equal to 0 in the last 365 days
All customers who have purchased at least 1 time with Order_Disc_Val is equal to 0 in the last 1095 days</v>
      </c>
      <c r="J130" s="296">
        <f>IFERROR(__xludf.DUMMYFUNCTION("""COMPUTED_VALUE"""),184203.0)</f>
        <v>184203</v>
      </c>
      <c r="K130" s="296">
        <f>IFERROR(__xludf.DUMMYFUNCTION("""COMPUTED_VALUE"""),105459.0)</f>
        <v>105459</v>
      </c>
      <c r="L130" s="297">
        <f>IFERROR(__xludf.DUMMYFUNCTION("""COMPUTED_VALUE"""),0.5725)</f>
        <v>0.5725</v>
      </c>
      <c r="M130" s="296">
        <f>IFERROR(__xludf.DUMMYFUNCTION("""COMPUTED_VALUE"""),0.0)</f>
        <v>0</v>
      </c>
      <c r="N130" s="297">
        <f>IFERROR(__xludf.DUMMYFUNCTION("""COMPUTED_VALUE"""),0.0)</f>
        <v>0</v>
      </c>
      <c r="O130" s="296">
        <f>IFERROR(__xludf.DUMMYFUNCTION("""COMPUTED_VALUE"""),0.0)</f>
        <v>0</v>
      </c>
      <c r="P130" s="296">
        <f>IFERROR(__xludf.DUMMYFUNCTION("""COMPUTED_VALUE"""),0.0)</f>
        <v>0</v>
      </c>
      <c r="Q130" s="297">
        <f>IFERROR(__xludf.DUMMYFUNCTION("""COMPUTED_VALUE"""),0.0)</f>
        <v>0</v>
      </c>
      <c r="R130" s="297">
        <f>IFERROR(__xludf.DUMMYFUNCTION("""COMPUTED_VALUE"""),0.0)</f>
        <v>0</v>
      </c>
      <c r="S130" s="303">
        <f>IFERROR(__xludf.DUMMYFUNCTION("""COMPUTED_VALUE"""),121.0)</f>
        <v>121</v>
      </c>
      <c r="T130" s="303">
        <f>IFERROR(__xludf.DUMMYFUNCTION("""COMPUTED_VALUE"""),0.0)</f>
        <v>0</v>
      </c>
      <c r="U130" s="303">
        <f>IFERROR(__xludf.DUMMYFUNCTION("""COMPUTED_VALUE"""),1407189.0)</f>
        <v>1407189</v>
      </c>
      <c r="V130" s="298" t="str">
        <f>IFERROR(__xludf.DUMMYFUNCTION("""COMPUTED_VALUE"""),"offline")</f>
        <v>offline</v>
      </c>
      <c r="W130" s="298" t="str">
        <f>IFERROR(__xludf.DUMMYFUNCTION("""COMPUTED_VALUE"""),"Sms")</f>
        <v>Sms</v>
      </c>
      <c r="X130" s="299" t="str">
        <f>IFERROR(__xludf.DUMMYFUNCTION("""COMPUTED_VALUE"""),"Full Price - Active
Full Price - Dormant
Full Price - Churned")</f>
        <v>Full Price - Active
Full Price - Dormant
Full Price - Churned</v>
      </c>
      <c r="Y130" s="299" t="str">
        <f>IFERROR(__xludf.DUMMYFUNCTION("""COMPUTED_VALUE"""),"10th - 18th July")</f>
        <v>10th - 18th July</v>
      </c>
      <c r="Z130" s="299" t="str">
        <f>IFERROR(__xludf.DUMMYFUNCTION("""COMPUTED_VALUE"""),"6a4f6276b6710d0333911d02")</f>
        <v>6a4f6276b6710d0333911d02</v>
      </c>
      <c r="AA130" s="300"/>
      <c r="AB130" s="296"/>
      <c r="AC130" s="296"/>
      <c r="AD130" s="296"/>
      <c r="AE130" s="296"/>
      <c r="AF130" s="296"/>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row>
    <row r="131">
      <c r="A131" s="301">
        <f>IFERROR(__xludf.DUMMYFUNCTION("""COMPUTED_VALUE"""),46214.0)</f>
        <v>46214</v>
      </c>
      <c r="B131" s="302">
        <f>IFERROR(__xludf.DUMMYFUNCTION("""COMPUTED_VALUE"""),0.8333333333321207)</f>
        <v>0.8333333333</v>
      </c>
      <c r="C131" s="298" t="str">
        <f>IFERROR(__xludf.DUMMYFUNCTION("""COMPUTED_VALUE"""),"Sms")</f>
        <v>Sms</v>
      </c>
      <c r="D131" s="282" t="str">
        <f>IFERROR(__xludf.DUMMYFUNCTION("""COMPUTED_VALUE"""),"Fallback campaign")</f>
        <v>Fallback campaign</v>
      </c>
      <c r="E131" s="282" t="str">
        <f>IFERROR(__xludf.DUMMYFUNCTION("""COMPUTED_VALUE"""),"CK")</f>
        <v>CK</v>
      </c>
      <c r="F131" s="282" t="str">
        <f>IFERROR(__xludf.DUMMYFUNCTION("""COMPUTED_VALUE"""),"Summer End of Season Sale - up to 40 % off + additional 10% off")</f>
        <v>Summer End of Season Sale - up to 40 % off + additional 10% off</v>
      </c>
      <c r="G131" s="282" t="str">
        <f>IFERROR(__xludf.DUMMYFUNCTION("""COMPUTED_VALUE"""),"SummerESS_Flash Sale_Online_fallback")</f>
        <v>SummerESS_Flash Sale_Online_fallback</v>
      </c>
      <c r="H131" s="282" t="str">
        <f>IFERROR(__xludf.DUMMYFUNCTION("""COMPUTED_VALUE"""),"CK_Online_Active_16thJune26, CK_Online_Dormant_16thJune26_V2")</f>
        <v>CK_Online_Active_16thJune26, CK_Online_Dormant_16thJune26_V2</v>
      </c>
      <c r="I131" s="282" t="str">
        <f>IFERROR(__xludf.DUMMYFUNCTION("""COMPUTED_VALUE"""),"WA Undelivered")</f>
        <v>WA Undelivered</v>
      </c>
      <c r="J131" s="296">
        <f>IFERROR(__xludf.DUMMYFUNCTION("""COMPUTED_VALUE"""),59459.0)</f>
        <v>59459</v>
      </c>
      <c r="K131" s="296">
        <f>IFERROR(__xludf.DUMMYFUNCTION("""COMPUTED_VALUE"""),33052.0)</f>
        <v>33052</v>
      </c>
      <c r="L131" s="297">
        <f>IFERROR(__xludf.DUMMYFUNCTION("""COMPUTED_VALUE"""),0.5559)</f>
        <v>0.5559</v>
      </c>
      <c r="M131" s="296">
        <f>IFERROR(__xludf.DUMMYFUNCTION("""COMPUTED_VALUE"""),0.0)</f>
        <v>0</v>
      </c>
      <c r="N131" s="297">
        <f>IFERROR(__xludf.DUMMYFUNCTION("""COMPUTED_VALUE"""),0.0)</f>
        <v>0</v>
      </c>
      <c r="O131" s="296">
        <f>IFERROR(__xludf.DUMMYFUNCTION("""COMPUTED_VALUE"""),0.0)</f>
        <v>0</v>
      </c>
      <c r="P131" s="296">
        <f>IFERROR(__xludf.DUMMYFUNCTION("""COMPUTED_VALUE"""),0.0)</f>
        <v>0</v>
      </c>
      <c r="Q131" s="297">
        <f>IFERROR(__xludf.DUMMYFUNCTION("""COMPUTED_VALUE"""),0.0)</f>
        <v>0</v>
      </c>
      <c r="R131" s="297">
        <f>IFERROR(__xludf.DUMMYFUNCTION("""COMPUTED_VALUE"""),0.0)</f>
        <v>0</v>
      </c>
      <c r="S131" s="303">
        <f>IFERROR(__xludf.DUMMYFUNCTION("""COMPUTED_VALUE"""),1.0)</f>
        <v>1</v>
      </c>
      <c r="T131" s="303">
        <f>IFERROR(__xludf.DUMMYFUNCTION("""COMPUTED_VALUE"""),0.0)</f>
        <v>0</v>
      </c>
      <c r="U131" s="303">
        <f>IFERROR(__xludf.DUMMYFUNCTION("""COMPUTED_VALUE"""),12499.0)</f>
        <v>12499</v>
      </c>
      <c r="V131" s="298" t="str">
        <f>IFERROR(__xludf.DUMMYFUNCTION("""COMPUTED_VALUE"""),"online")</f>
        <v>online</v>
      </c>
      <c r="W131" s="298" t="str">
        <f>IFERROR(__xludf.DUMMYFUNCTION("""COMPUTED_VALUE"""),"Sms")</f>
        <v>Sms</v>
      </c>
      <c r="X131" s="299" t="str">
        <f>IFERROR(__xludf.DUMMYFUNCTION("""COMPUTED_VALUE"""),"Active, Dormant")</f>
        <v>Active, Dormant</v>
      </c>
      <c r="Y131" s="299" t="str">
        <f>IFERROR(__xludf.DUMMYFUNCTION("""COMPUTED_VALUE"""),"11th to 12th July ")</f>
        <v>11th to 12th July </v>
      </c>
      <c r="Z131" s="299" t="str">
        <f>IFERROR(__xludf.DUMMYFUNCTION("""COMPUTED_VALUE"""),"6a4f8b3b1753fbc346f049ea")</f>
        <v>6a4f8b3b1753fbc346f049ea</v>
      </c>
      <c r="AA131" s="300">
        <f>IFERROR(__xludf.DUMMYFUNCTION("""COMPUTED_VALUE"""),24.0)</f>
        <v>24</v>
      </c>
      <c r="AB131" s="296">
        <f>IFERROR(__xludf.DUMMYFUNCTION("""COMPUTED_VALUE"""),24.0)</f>
        <v>24</v>
      </c>
      <c r="AC131" s="296"/>
      <c r="AD131" s="296">
        <f>IFERROR(__xludf.DUMMYFUNCTION("""COMPUTED_VALUE"""),264255.0)</f>
        <v>264255</v>
      </c>
      <c r="AE131" s="296">
        <f>IFERROR(__xludf.DUMMYFUNCTION("""COMPUTED_VALUE"""),264255.0)</f>
        <v>264255</v>
      </c>
      <c r="AF131" s="296"/>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row>
    <row r="132">
      <c r="A132" s="301">
        <f>IFERROR(__xludf.DUMMYFUNCTION("""COMPUTED_VALUE"""),46214.0)</f>
        <v>46214</v>
      </c>
      <c r="B132" s="302">
        <f>IFERROR(__xludf.DUMMYFUNCTION("""COMPUTED_VALUE"""),0.8333333333321207)</f>
        <v>0.8333333333</v>
      </c>
      <c r="C132" s="298" t="str">
        <f>IFERROR(__xludf.DUMMYFUNCTION("""COMPUTED_VALUE"""),"Sms")</f>
        <v>Sms</v>
      </c>
      <c r="D132" s="282" t="str">
        <f>IFERROR(__xludf.DUMMYFUNCTION("""COMPUTED_VALUE"""),"Fallback campaign")</f>
        <v>Fallback campaign</v>
      </c>
      <c r="E132" s="282" t="str">
        <f>IFERROR(__xludf.DUMMYFUNCTION("""COMPUTED_VALUE"""),"CK")</f>
        <v>CK</v>
      </c>
      <c r="F132" s="282" t="str">
        <f>IFERROR(__xludf.DUMMYFUNCTION("""COMPUTED_VALUE"""),"Summer End of Season Sale - up to 40 % off + additional 10% off")</f>
        <v>Summer End of Season Sale - up to 40 % off + additional 10% off</v>
      </c>
      <c r="G132" s="282" t="str">
        <f>IFERROR(__xludf.DUMMYFUNCTION("""COMPUTED_VALUE"""),"SummerESS_Flash Sale_Churned_fallback")</f>
        <v>SummerESS_Flash Sale_Churned_fallback</v>
      </c>
      <c r="H132" s="282" t="str">
        <f>IFERROR(__xludf.DUMMYFUNCTION("""COMPUTED_VALUE"""),"CK_Full_Price_Churned")</f>
        <v>CK_Full_Price_Churned</v>
      </c>
      <c r="I132" s="282" t="str">
        <f>IFERROR(__xludf.DUMMYFUNCTION("""COMPUTED_VALUE"""),"WA Undelivered")</f>
        <v>WA Undelivered</v>
      </c>
      <c r="J132" s="296">
        <f>IFERROR(__xludf.DUMMYFUNCTION("""COMPUTED_VALUE"""),30460.0)</f>
        <v>30460</v>
      </c>
      <c r="K132" s="296">
        <f>IFERROR(__xludf.DUMMYFUNCTION("""COMPUTED_VALUE"""),16088.0)</f>
        <v>16088</v>
      </c>
      <c r="L132" s="297">
        <f>IFERROR(__xludf.DUMMYFUNCTION("""COMPUTED_VALUE"""),0.5282)</f>
        <v>0.5282</v>
      </c>
      <c r="M132" s="296">
        <f>IFERROR(__xludf.DUMMYFUNCTION("""COMPUTED_VALUE"""),0.0)</f>
        <v>0</v>
      </c>
      <c r="N132" s="297">
        <f>IFERROR(__xludf.DUMMYFUNCTION("""COMPUTED_VALUE"""),0.0)</f>
        <v>0</v>
      </c>
      <c r="O132" s="296">
        <f>IFERROR(__xludf.DUMMYFUNCTION("""COMPUTED_VALUE"""),0.0)</f>
        <v>0</v>
      </c>
      <c r="P132" s="296">
        <f>IFERROR(__xludf.DUMMYFUNCTION("""COMPUTED_VALUE"""),0.0)</f>
        <v>0</v>
      </c>
      <c r="Q132" s="297">
        <f>IFERROR(__xludf.DUMMYFUNCTION("""COMPUTED_VALUE"""),0.0)</f>
        <v>0</v>
      </c>
      <c r="R132" s="297">
        <f>IFERROR(__xludf.DUMMYFUNCTION("""COMPUTED_VALUE"""),0.0)</f>
        <v>0</v>
      </c>
      <c r="S132" s="303">
        <f>IFERROR(__xludf.DUMMYFUNCTION("""COMPUTED_VALUE"""),1.0)</f>
        <v>1</v>
      </c>
      <c r="T132" s="303">
        <f>IFERROR(__xludf.DUMMYFUNCTION("""COMPUTED_VALUE"""),0.0)</f>
        <v>0</v>
      </c>
      <c r="U132" s="303">
        <f>IFERROR(__xludf.DUMMYFUNCTION("""COMPUTED_VALUE"""),10999.0)</f>
        <v>10999</v>
      </c>
      <c r="V132" s="298" t="str">
        <f>IFERROR(__xludf.DUMMYFUNCTION("""COMPUTED_VALUE"""),"offline")</f>
        <v>offline</v>
      </c>
      <c r="W132" s="298" t="str">
        <f>IFERROR(__xludf.DUMMYFUNCTION("""COMPUTED_VALUE"""),"Sms")</f>
        <v>Sms</v>
      </c>
      <c r="X132" s="299" t="str">
        <f>IFERROR(__xludf.DUMMYFUNCTION("""COMPUTED_VALUE"""),"Full Price - Churned")</f>
        <v>Full Price - Churned</v>
      </c>
      <c r="Y132" s="299" t="str">
        <f>IFERROR(__xludf.DUMMYFUNCTION("""COMPUTED_VALUE"""),"11th to 12th July ")</f>
        <v>11th to 12th July </v>
      </c>
      <c r="Z132" s="299" t="str">
        <f>IFERROR(__xludf.DUMMYFUNCTION("""COMPUTED_VALUE"""),"6a4f8b80b55af4a712dd9cde")</f>
        <v>6a4f8b80b55af4a712dd9cde</v>
      </c>
      <c r="AA132" s="300">
        <f>IFERROR(__xludf.DUMMYFUNCTION("""COMPUTED_VALUE"""),18.0)</f>
        <v>18</v>
      </c>
      <c r="AB132" s="296"/>
      <c r="AC132" s="296">
        <f>IFERROR(__xludf.DUMMYFUNCTION("""COMPUTED_VALUE"""),18.0)</f>
        <v>18</v>
      </c>
      <c r="AD132" s="296">
        <f>IFERROR(__xludf.DUMMYFUNCTION("""COMPUTED_VALUE"""),209082.0)</f>
        <v>209082</v>
      </c>
      <c r="AE132" s="296"/>
      <c r="AF132" s="296">
        <f>IFERROR(__xludf.DUMMYFUNCTION("""COMPUTED_VALUE"""),209082.0)</f>
        <v>209082</v>
      </c>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row>
    <row r="133">
      <c r="A133" s="301">
        <f>IFERROR(__xludf.DUMMYFUNCTION("""COMPUTED_VALUE"""),46214.0)</f>
        <v>46214</v>
      </c>
      <c r="B133" s="302">
        <f>IFERROR(__xludf.DUMMYFUNCTION("""COMPUTED_VALUE"""),0.8333333333321207)</f>
        <v>0.8333333333</v>
      </c>
      <c r="C133" s="298" t="str">
        <f>IFERROR(__xludf.DUMMYFUNCTION("""COMPUTED_VALUE"""),"Sms")</f>
        <v>Sms</v>
      </c>
      <c r="D133" s="282" t="str">
        <f>IFERROR(__xludf.DUMMYFUNCTION("""COMPUTED_VALUE"""),"Fallback campaign")</f>
        <v>Fallback campaign</v>
      </c>
      <c r="E133" s="282" t="str">
        <f>IFERROR(__xludf.DUMMYFUNCTION("""COMPUTED_VALUE"""),"CK")</f>
        <v>CK</v>
      </c>
      <c r="F133" s="282" t="str">
        <f>IFERROR(__xludf.DUMMYFUNCTION("""COMPUTED_VALUE"""),"Summer End of Season Sale - up to 40 % off + additional 10% off")</f>
        <v>Summer End of Season Sale - up to 40 % off + additional 10% off</v>
      </c>
      <c r="G133" s="282" t="str">
        <f>IFERROR(__xludf.DUMMYFUNCTION("""COMPUTED_VALUE"""),"SummerESS_Flash Sale_active_fallback")</f>
        <v>SummerESS_Flash Sale_active_fallback</v>
      </c>
      <c r="H133" s="282" t="str">
        <f>IFERROR(__xludf.DUMMYFUNCTION("""COMPUTED_VALUE"""),"CK_Full_Price_Active")</f>
        <v>CK_Full_Price_Active</v>
      </c>
      <c r="I133" s="282" t="str">
        <f>IFERROR(__xludf.DUMMYFUNCTION("""COMPUTED_VALUE"""),"WA Undelivered")</f>
        <v>WA Undelivered</v>
      </c>
      <c r="J133" s="296">
        <f>IFERROR(__xludf.DUMMYFUNCTION("""COMPUTED_VALUE"""),8950.0)</f>
        <v>8950</v>
      </c>
      <c r="K133" s="296">
        <f>IFERROR(__xludf.DUMMYFUNCTION("""COMPUTED_VALUE"""),5050.0)</f>
        <v>5050</v>
      </c>
      <c r="L133" s="297">
        <f>IFERROR(__xludf.DUMMYFUNCTION("""COMPUTED_VALUE"""),0.5642)</f>
        <v>0.5642</v>
      </c>
      <c r="M133" s="296">
        <f>IFERROR(__xludf.DUMMYFUNCTION("""COMPUTED_VALUE"""),0.0)</f>
        <v>0</v>
      </c>
      <c r="N133" s="297">
        <f>IFERROR(__xludf.DUMMYFUNCTION("""COMPUTED_VALUE"""),0.0)</f>
        <v>0</v>
      </c>
      <c r="O133" s="296">
        <f>IFERROR(__xludf.DUMMYFUNCTION("""COMPUTED_VALUE"""),0.0)</f>
        <v>0</v>
      </c>
      <c r="P133" s="296">
        <f>IFERROR(__xludf.DUMMYFUNCTION("""COMPUTED_VALUE"""),0.0)</f>
        <v>0</v>
      </c>
      <c r="Q133" s="297">
        <f>IFERROR(__xludf.DUMMYFUNCTION("""COMPUTED_VALUE"""),0.0)</f>
        <v>0</v>
      </c>
      <c r="R133" s="297">
        <f>IFERROR(__xludf.DUMMYFUNCTION("""COMPUTED_VALUE"""),0.0)</f>
        <v>0</v>
      </c>
      <c r="S133" s="303">
        <f>IFERROR(__xludf.DUMMYFUNCTION("""COMPUTED_VALUE"""),0.0)</f>
        <v>0</v>
      </c>
      <c r="T133" s="303">
        <f>IFERROR(__xludf.DUMMYFUNCTION("""COMPUTED_VALUE"""),0.0)</f>
        <v>0</v>
      </c>
      <c r="U133" s="303">
        <f>IFERROR(__xludf.DUMMYFUNCTION("""COMPUTED_VALUE"""),0.0)</f>
        <v>0</v>
      </c>
      <c r="V133" s="298" t="str">
        <f>IFERROR(__xludf.DUMMYFUNCTION("""COMPUTED_VALUE"""),"offline")</f>
        <v>offline</v>
      </c>
      <c r="W133" s="298" t="str">
        <f>IFERROR(__xludf.DUMMYFUNCTION("""COMPUTED_VALUE"""),"Sms")</f>
        <v>Sms</v>
      </c>
      <c r="X133" s="299" t="str">
        <f>IFERROR(__xludf.DUMMYFUNCTION("""COMPUTED_VALUE"""),"Full Price - Active")</f>
        <v>Full Price - Active</v>
      </c>
      <c r="Y133" s="299" t="str">
        <f>IFERROR(__xludf.DUMMYFUNCTION("""COMPUTED_VALUE"""),"11th to 12th July ")</f>
        <v>11th to 12th July </v>
      </c>
      <c r="Z133" s="299" t="str">
        <f>IFERROR(__xludf.DUMMYFUNCTION("""COMPUTED_VALUE"""),"6a4f8bca3f1defff3126df54")</f>
        <v>6a4f8bca3f1defff3126df54</v>
      </c>
      <c r="AA133" s="300">
        <f>IFERROR(__xludf.DUMMYFUNCTION("""COMPUTED_VALUE"""),10.0)</f>
        <v>10</v>
      </c>
      <c r="AB133" s="296"/>
      <c r="AC133" s="296">
        <f>IFERROR(__xludf.DUMMYFUNCTION("""COMPUTED_VALUE"""),10.0)</f>
        <v>10</v>
      </c>
      <c r="AD133" s="296">
        <f>IFERROR(__xludf.DUMMYFUNCTION("""COMPUTED_VALUE"""),142890.0)</f>
        <v>142890</v>
      </c>
      <c r="AE133" s="296"/>
      <c r="AF133" s="296">
        <f>IFERROR(__xludf.DUMMYFUNCTION("""COMPUTED_VALUE"""),142890.0)</f>
        <v>142890</v>
      </c>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row>
    <row r="134">
      <c r="A134" s="301">
        <f>IFERROR(__xludf.DUMMYFUNCTION("""COMPUTED_VALUE"""),46214.0)</f>
        <v>46214</v>
      </c>
      <c r="B134" s="302">
        <f>IFERROR(__xludf.DUMMYFUNCTION("""COMPUTED_VALUE"""),0.8333333333321207)</f>
        <v>0.8333333333</v>
      </c>
      <c r="C134" s="298" t="str">
        <f>IFERROR(__xludf.DUMMYFUNCTION("""COMPUTED_VALUE"""),"Sms")</f>
        <v>Sms</v>
      </c>
      <c r="D134" s="282" t="str">
        <f>IFERROR(__xludf.DUMMYFUNCTION("""COMPUTED_VALUE"""),"Fallback campaign")</f>
        <v>Fallback campaign</v>
      </c>
      <c r="E134" s="282" t="str">
        <f>IFERROR(__xludf.DUMMYFUNCTION("""COMPUTED_VALUE"""),"CK")</f>
        <v>CK</v>
      </c>
      <c r="F134" s="282" t="str">
        <f>IFERROR(__xludf.DUMMYFUNCTION("""COMPUTED_VALUE"""),"Summer End of Season Sale - up to 40 % off + additional 10% off")</f>
        <v>Summer End of Season Sale - up to 40 % off + additional 10% off</v>
      </c>
      <c r="G134" s="282" t="str">
        <f>IFERROR(__xludf.DUMMYFUNCTION("""COMPUTED_VALUE"""),"SummerESS_Flash Sale_dormant_fallback")</f>
        <v>SummerESS_Flash Sale_dormant_fallback</v>
      </c>
      <c r="H134" s="282" t="str">
        <f>IFERROR(__xludf.DUMMYFUNCTION("""COMPUTED_VALUE"""),"CK_Full_Price_Dormant")</f>
        <v>CK_Full_Price_Dormant</v>
      </c>
      <c r="I134" s="282" t="str">
        <f>IFERROR(__xludf.DUMMYFUNCTION("""COMPUTED_VALUE"""),"WA Undelivered")</f>
        <v>WA Undelivered</v>
      </c>
      <c r="J134" s="296">
        <f>IFERROR(__xludf.DUMMYFUNCTION("""COMPUTED_VALUE"""),18352.0)</f>
        <v>18352</v>
      </c>
      <c r="K134" s="296">
        <f>IFERROR(__xludf.DUMMYFUNCTION("""COMPUTED_VALUE"""),10537.0)</f>
        <v>10537</v>
      </c>
      <c r="L134" s="297">
        <f>IFERROR(__xludf.DUMMYFUNCTION("""COMPUTED_VALUE"""),0.5742)</f>
        <v>0.5742</v>
      </c>
      <c r="M134" s="296">
        <f>IFERROR(__xludf.DUMMYFUNCTION("""COMPUTED_VALUE"""),0.0)</f>
        <v>0</v>
      </c>
      <c r="N134" s="297">
        <f>IFERROR(__xludf.DUMMYFUNCTION("""COMPUTED_VALUE"""),0.0)</f>
        <v>0</v>
      </c>
      <c r="O134" s="296">
        <f>IFERROR(__xludf.DUMMYFUNCTION("""COMPUTED_VALUE"""),0.0)</f>
        <v>0</v>
      </c>
      <c r="P134" s="296">
        <f>IFERROR(__xludf.DUMMYFUNCTION("""COMPUTED_VALUE"""),0.0)</f>
        <v>0</v>
      </c>
      <c r="Q134" s="297">
        <f>IFERROR(__xludf.DUMMYFUNCTION("""COMPUTED_VALUE"""),0.0)</f>
        <v>0</v>
      </c>
      <c r="R134" s="297">
        <f>IFERROR(__xludf.DUMMYFUNCTION("""COMPUTED_VALUE"""),0.0)</f>
        <v>0</v>
      </c>
      <c r="S134" s="303">
        <f>IFERROR(__xludf.DUMMYFUNCTION("""COMPUTED_VALUE"""),0.0)</f>
        <v>0</v>
      </c>
      <c r="T134" s="303">
        <f>IFERROR(__xludf.DUMMYFUNCTION("""COMPUTED_VALUE"""),0.0)</f>
        <v>0</v>
      </c>
      <c r="U134" s="303">
        <f>IFERROR(__xludf.DUMMYFUNCTION("""COMPUTED_VALUE"""),0.0)</f>
        <v>0</v>
      </c>
      <c r="V134" s="298" t="str">
        <f>IFERROR(__xludf.DUMMYFUNCTION("""COMPUTED_VALUE"""),"offline")</f>
        <v>offline</v>
      </c>
      <c r="W134" s="298" t="str">
        <f>IFERROR(__xludf.DUMMYFUNCTION("""COMPUTED_VALUE"""),"Sms")</f>
        <v>Sms</v>
      </c>
      <c r="X134" s="299" t="str">
        <f>IFERROR(__xludf.DUMMYFUNCTION("""COMPUTED_VALUE"""),"Full Price - Dormant")</f>
        <v>Full Price - Dormant</v>
      </c>
      <c r="Y134" s="299" t="str">
        <f>IFERROR(__xludf.DUMMYFUNCTION("""COMPUTED_VALUE"""),"11th to 12th July ")</f>
        <v>11th to 12th July </v>
      </c>
      <c r="Z134" s="299" t="str">
        <f>IFERROR(__xludf.DUMMYFUNCTION("""COMPUTED_VALUE"""),"6a4f8c0b9279f5889f8f6c47")</f>
        <v>6a4f8c0b9279f5889f8f6c47</v>
      </c>
      <c r="AA134" s="300">
        <f>IFERROR(__xludf.DUMMYFUNCTION("""COMPUTED_VALUE"""),18.0)</f>
        <v>18</v>
      </c>
      <c r="AB134" s="296"/>
      <c r="AC134" s="296">
        <f>IFERROR(__xludf.DUMMYFUNCTION("""COMPUTED_VALUE"""),18.0)</f>
        <v>18</v>
      </c>
      <c r="AD134" s="296">
        <f>IFERROR(__xludf.DUMMYFUNCTION("""COMPUTED_VALUE"""),192384.0)</f>
        <v>192384</v>
      </c>
      <c r="AE134" s="296"/>
      <c r="AF134" s="296">
        <f>IFERROR(__xludf.DUMMYFUNCTION("""COMPUTED_VALUE"""),192384.0)</f>
        <v>192384</v>
      </c>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row>
    <row r="135">
      <c r="A135" s="301">
        <f>IFERROR(__xludf.DUMMYFUNCTION("""COMPUTED_VALUE"""),46214.0)</f>
        <v>46214</v>
      </c>
      <c r="B135" s="302">
        <f>IFERROR(__xludf.DUMMYFUNCTION("""COMPUTED_VALUE"""),0.8333333333321207)</f>
        <v>0.8333333333</v>
      </c>
      <c r="C135" s="298" t="str">
        <f>IFERROR(__xludf.DUMMYFUNCTION("""COMPUTED_VALUE"""),"Sms")</f>
        <v>Sms</v>
      </c>
      <c r="D135" s="282" t="str">
        <f>IFERROR(__xludf.DUMMYFUNCTION("""COMPUTED_VALUE"""),"Fallback campaign")</f>
        <v>Fallback campaign</v>
      </c>
      <c r="E135" s="282" t="str">
        <f>IFERROR(__xludf.DUMMYFUNCTION("""COMPUTED_VALUE"""),"CK")</f>
        <v>CK</v>
      </c>
      <c r="F135" s="282" t="str">
        <f>IFERROR(__xludf.DUMMYFUNCTION("""COMPUTED_VALUE"""),"Summer End of Season Sale - up to 40 % off + additional 10% off")</f>
        <v>Summer End of Season Sale - up to 40 % off + additional 10% off</v>
      </c>
      <c r="G135" s="282" t="str">
        <f>IFERROR(__xludf.DUMMYFUNCTION("""COMPUTED_VALUE"""),"SummerESS_Flash Sale_event shoppers_Fallback")</f>
        <v>SummerESS_Flash Sale_event shoppers_Fallback</v>
      </c>
      <c r="H135" s="282" t="str">
        <f>IFERROR(__xludf.DUMMYFUNCTION("""COMPUTED_VALUE"""),"CK_Event_Buyers_24_06_26")</f>
        <v>CK_Event_Buyers_24_06_26</v>
      </c>
      <c r="I135" s="282" t="str">
        <f>IFERROR(__xludf.DUMMYFUNCTION("""COMPUTED_VALUE"""),"WA Undelivered")</f>
        <v>WA Undelivered</v>
      </c>
      <c r="J135" s="296">
        <f>IFERROR(__xludf.DUMMYFUNCTION("""COMPUTED_VALUE"""),49394.0)</f>
        <v>49394</v>
      </c>
      <c r="K135" s="296">
        <f>IFERROR(__xludf.DUMMYFUNCTION("""COMPUTED_VALUE"""),26247.0)</f>
        <v>26247</v>
      </c>
      <c r="L135" s="297">
        <f>IFERROR(__xludf.DUMMYFUNCTION("""COMPUTED_VALUE"""),0.5314)</f>
        <v>0.5314</v>
      </c>
      <c r="M135" s="296">
        <f>IFERROR(__xludf.DUMMYFUNCTION("""COMPUTED_VALUE"""),0.0)</f>
        <v>0</v>
      </c>
      <c r="N135" s="297">
        <f>IFERROR(__xludf.DUMMYFUNCTION("""COMPUTED_VALUE"""),0.0)</f>
        <v>0</v>
      </c>
      <c r="O135" s="296">
        <f>IFERROR(__xludf.DUMMYFUNCTION("""COMPUTED_VALUE"""),0.0)</f>
        <v>0</v>
      </c>
      <c r="P135" s="296">
        <f>IFERROR(__xludf.DUMMYFUNCTION("""COMPUTED_VALUE"""),0.0)</f>
        <v>0</v>
      </c>
      <c r="Q135" s="297">
        <f>IFERROR(__xludf.DUMMYFUNCTION("""COMPUTED_VALUE"""),0.0)</f>
        <v>0</v>
      </c>
      <c r="R135" s="297">
        <f>IFERROR(__xludf.DUMMYFUNCTION("""COMPUTED_VALUE"""),0.0)</f>
        <v>0</v>
      </c>
      <c r="S135" s="303">
        <f>IFERROR(__xludf.DUMMYFUNCTION("""COMPUTED_VALUE"""),4.0)</f>
        <v>4</v>
      </c>
      <c r="T135" s="303">
        <f>IFERROR(__xludf.DUMMYFUNCTION("""COMPUTED_VALUE"""),0.0)</f>
        <v>0</v>
      </c>
      <c r="U135" s="303">
        <f>IFERROR(__xludf.DUMMYFUNCTION("""COMPUTED_VALUE"""),35097.0)</f>
        <v>35097</v>
      </c>
      <c r="V135" s="298" t="str">
        <f>IFERROR(__xludf.DUMMYFUNCTION("""COMPUTED_VALUE"""),"offline")</f>
        <v>offline</v>
      </c>
      <c r="W135" s="298" t="str">
        <f>IFERROR(__xludf.DUMMYFUNCTION("""COMPUTED_VALUE"""),"Sms")</f>
        <v>Sms</v>
      </c>
      <c r="X135" s="299" t="str">
        <f>IFERROR(__xludf.DUMMYFUNCTION("""COMPUTED_VALUE"""),"No Brief")</f>
        <v>No Brief</v>
      </c>
      <c r="Y135" s="299" t="str">
        <f>IFERROR(__xludf.DUMMYFUNCTION("""COMPUTED_VALUE"""),"11th to 12th July ")</f>
        <v>11th to 12th July </v>
      </c>
      <c r="Z135" s="299" t="str">
        <f>IFERROR(__xludf.DUMMYFUNCTION("""COMPUTED_VALUE"""),"6a4f8c6291ad22a7f92b113d")</f>
        <v>6a4f8c6291ad22a7f92b113d</v>
      </c>
      <c r="AA135" s="300">
        <f>IFERROR(__xludf.DUMMYFUNCTION("""COMPUTED_VALUE"""),48.0)</f>
        <v>48</v>
      </c>
      <c r="AB135" s="296"/>
      <c r="AC135" s="296">
        <f>IFERROR(__xludf.DUMMYFUNCTION("""COMPUTED_VALUE"""),48.0)</f>
        <v>48</v>
      </c>
      <c r="AD135" s="296">
        <f>IFERROR(__xludf.DUMMYFUNCTION("""COMPUTED_VALUE"""),551057.0)</f>
        <v>551057</v>
      </c>
      <c r="AE135" s="296"/>
      <c r="AF135" s="296">
        <f>IFERROR(__xludf.DUMMYFUNCTION("""COMPUTED_VALUE"""),551057.0)</f>
        <v>551057</v>
      </c>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row>
    <row r="136">
      <c r="A136" s="301"/>
      <c r="B136" s="302"/>
      <c r="C136" s="298"/>
      <c r="D136" s="282"/>
      <c r="E136" s="282"/>
      <c r="F136" s="282"/>
      <c r="G136" s="282"/>
      <c r="H136" s="282"/>
      <c r="I136" s="282"/>
      <c r="J136" s="296"/>
      <c r="K136" s="296"/>
      <c r="L136" s="297"/>
      <c r="M136" s="296"/>
      <c r="N136" s="297"/>
      <c r="O136" s="296"/>
      <c r="P136" s="296"/>
      <c r="Q136" s="297"/>
      <c r="R136" s="297"/>
      <c r="S136" s="303"/>
      <c r="T136" s="303"/>
      <c r="U136" s="303"/>
      <c r="V136" s="298"/>
      <c r="W136" s="298"/>
      <c r="X136" s="299"/>
      <c r="Y136" s="299"/>
      <c r="Z136" s="299"/>
      <c r="AA136" s="300"/>
      <c r="AB136" s="296"/>
      <c r="AC136" s="296"/>
      <c r="AD136" s="296"/>
      <c r="AE136" s="296"/>
      <c r="AF136" s="296"/>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row>
    <row r="137">
      <c r="A137" s="301"/>
      <c r="B137" s="302"/>
      <c r="C137" s="298"/>
      <c r="D137" s="282"/>
      <c r="E137" s="282"/>
      <c r="F137" s="282"/>
      <c r="G137" s="282"/>
      <c r="H137" s="282"/>
      <c r="I137" s="282"/>
      <c r="J137" s="296"/>
      <c r="K137" s="296"/>
      <c r="L137" s="297"/>
      <c r="M137" s="296"/>
      <c r="N137" s="297"/>
      <c r="O137" s="296"/>
      <c r="P137" s="296"/>
      <c r="Q137" s="297"/>
      <c r="R137" s="297"/>
      <c r="S137" s="303"/>
      <c r="T137" s="303"/>
      <c r="U137" s="303"/>
      <c r="V137" s="298"/>
      <c r="W137" s="298"/>
      <c r="X137" s="299"/>
      <c r="Y137" s="299"/>
      <c r="Z137" s="299"/>
      <c r="AA137" s="300"/>
      <c r="AB137" s="296"/>
      <c r="AC137" s="296"/>
      <c r="AD137" s="296"/>
      <c r="AE137" s="296"/>
      <c r="AF137" s="296"/>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row>
    <row r="138">
      <c r="A138" s="301"/>
      <c r="B138" s="302"/>
      <c r="C138" s="298"/>
      <c r="D138" s="282"/>
      <c r="E138" s="282"/>
      <c r="F138" s="282"/>
      <c r="G138" s="282"/>
      <c r="H138" s="282"/>
      <c r="I138" s="282"/>
      <c r="J138" s="296"/>
      <c r="K138" s="296"/>
      <c r="L138" s="297"/>
      <c r="M138" s="296"/>
      <c r="N138" s="297"/>
      <c r="O138" s="296"/>
      <c r="P138" s="296"/>
      <c r="Q138" s="297"/>
      <c r="R138" s="297"/>
      <c r="S138" s="303"/>
      <c r="T138" s="303"/>
      <c r="U138" s="303"/>
      <c r="V138" s="298"/>
      <c r="W138" s="298"/>
      <c r="X138" s="299"/>
      <c r="Y138" s="299"/>
      <c r="Z138" s="299"/>
      <c r="AA138" s="300"/>
      <c r="AB138" s="296"/>
      <c r="AC138" s="296"/>
      <c r="AD138" s="296"/>
      <c r="AE138" s="296"/>
      <c r="AF138" s="296"/>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row>
    <row r="139">
      <c r="A139" s="301"/>
      <c r="B139" s="302"/>
      <c r="C139" s="298"/>
      <c r="D139" s="282"/>
      <c r="E139" s="282"/>
      <c r="F139" s="282"/>
      <c r="G139" s="282"/>
      <c r="H139" s="282"/>
      <c r="I139" s="282"/>
      <c r="J139" s="296"/>
      <c r="K139" s="296"/>
      <c r="L139" s="297"/>
      <c r="M139" s="296"/>
      <c r="N139" s="297"/>
      <c r="O139" s="296"/>
      <c r="P139" s="296"/>
      <c r="Q139" s="297"/>
      <c r="R139" s="297"/>
      <c r="S139" s="303"/>
      <c r="T139" s="303"/>
      <c r="U139" s="303"/>
      <c r="V139" s="298"/>
      <c r="W139" s="298"/>
      <c r="X139" s="299"/>
      <c r="Y139" s="299"/>
      <c r="Z139" s="299"/>
      <c r="AA139" s="300"/>
      <c r="AB139" s="296"/>
      <c r="AC139" s="296"/>
      <c r="AD139" s="296"/>
      <c r="AE139" s="296"/>
      <c r="AF139" s="296"/>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row>
    <row r="140">
      <c r="A140" s="301"/>
      <c r="B140" s="302"/>
      <c r="C140" s="298"/>
      <c r="D140" s="282"/>
      <c r="E140" s="282"/>
      <c r="F140" s="282"/>
      <c r="G140" s="282"/>
      <c r="H140" s="282"/>
      <c r="I140" s="282"/>
      <c r="J140" s="296"/>
      <c r="K140" s="296"/>
      <c r="L140" s="297"/>
      <c r="M140" s="296"/>
      <c r="N140" s="297"/>
      <c r="O140" s="296"/>
      <c r="P140" s="296"/>
      <c r="Q140" s="297"/>
      <c r="R140" s="297"/>
      <c r="S140" s="303"/>
      <c r="T140" s="303"/>
      <c r="U140" s="303"/>
      <c r="V140" s="298"/>
      <c r="W140" s="298"/>
      <c r="X140" s="299"/>
      <c r="Y140" s="299"/>
      <c r="Z140" s="299"/>
      <c r="AA140" s="300"/>
      <c r="AB140" s="296"/>
      <c r="AC140" s="296"/>
      <c r="AD140" s="296"/>
      <c r="AE140" s="296"/>
      <c r="AF140" s="296"/>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row>
    <row r="141">
      <c r="A141" s="301"/>
      <c r="B141" s="302"/>
      <c r="C141" s="298"/>
      <c r="D141" s="282"/>
      <c r="E141" s="282"/>
      <c r="F141" s="282"/>
      <c r="G141" s="282"/>
      <c r="H141" s="282"/>
      <c r="I141" s="282"/>
      <c r="J141" s="296"/>
      <c r="K141" s="296"/>
      <c r="L141" s="297"/>
      <c r="M141" s="296"/>
      <c r="N141" s="297"/>
      <c r="O141" s="296"/>
      <c r="P141" s="296"/>
      <c r="Q141" s="297"/>
      <c r="R141" s="297"/>
      <c r="S141" s="303"/>
      <c r="T141" s="303"/>
      <c r="U141" s="303"/>
      <c r="V141" s="298"/>
      <c r="W141" s="298"/>
      <c r="X141" s="299"/>
      <c r="Y141" s="299"/>
      <c r="Z141" s="299"/>
      <c r="AA141" s="300"/>
      <c r="AB141" s="296"/>
      <c r="AC141" s="296"/>
      <c r="AD141" s="296"/>
      <c r="AE141" s="296"/>
      <c r="AF141" s="296"/>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row>
    <row r="142">
      <c r="A142" s="301"/>
      <c r="B142" s="302"/>
      <c r="C142" s="298"/>
      <c r="D142" s="282"/>
      <c r="E142" s="282"/>
      <c r="F142" s="282"/>
      <c r="G142" s="282"/>
      <c r="H142" s="282"/>
      <c r="I142" s="282"/>
      <c r="J142" s="296"/>
      <c r="K142" s="296"/>
      <c r="L142" s="297"/>
      <c r="M142" s="296"/>
      <c r="N142" s="297"/>
      <c r="O142" s="296"/>
      <c r="P142" s="296"/>
      <c r="Q142" s="297"/>
      <c r="R142" s="297"/>
      <c r="S142" s="303"/>
      <c r="T142" s="303"/>
      <c r="U142" s="303"/>
      <c r="V142" s="298"/>
      <c r="W142" s="298"/>
      <c r="X142" s="299"/>
      <c r="Y142" s="299"/>
      <c r="Z142" s="299"/>
      <c r="AA142" s="300"/>
      <c r="AB142" s="296"/>
      <c r="AC142" s="296"/>
      <c r="AD142" s="296"/>
      <c r="AE142" s="296"/>
      <c r="AF142" s="296"/>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row>
    <row r="143">
      <c r="A143" s="301"/>
      <c r="B143" s="302"/>
      <c r="C143" s="298"/>
      <c r="D143" s="282"/>
      <c r="E143" s="282"/>
      <c r="F143" s="282"/>
      <c r="G143" s="282"/>
      <c r="H143" s="282"/>
      <c r="I143" s="282"/>
      <c r="J143" s="296"/>
      <c r="K143" s="296"/>
      <c r="L143" s="297"/>
      <c r="M143" s="296"/>
      <c r="N143" s="297"/>
      <c r="O143" s="296"/>
      <c r="P143" s="296"/>
      <c r="Q143" s="297"/>
      <c r="R143" s="297"/>
      <c r="S143" s="303"/>
      <c r="T143" s="303"/>
      <c r="U143" s="303"/>
      <c r="V143" s="298"/>
      <c r="W143" s="298"/>
      <c r="X143" s="299"/>
      <c r="Y143" s="299"/>
      <c r="Z143" s="299"/>
      <c r="AA143" s="300"/>
      <c r="AB143" s="296"/>
      <c r="AC143" s="296"/>
      <c r="AD143" s="296"/>
      <c r="AE143" s="296"/>
      <c r="AF143" s="296"/>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row>
    <row r="144">
      <c r="A144" s="301"/>
      <c r="B144" s="302"/>
      <c r="C144" s="298"/>
      <c r="D144" s="282"/>
      <c r="E144" s="282"/>
      <c r="F144" s="282"/>
      <c r="G144" s="282"/>
      <c r="H144" s="282"/>
      <c r="I144" s="282"/>
      <c r="J144" s="296"/>
      <c r="K144" s="296"/>
      <c r="L144" s="297"/>
      <c r="M144" s="296"/>
      <c r="N144" s="297"/>
      <c r="O144" s="296"/>
      <c r="P144" s="296"/>
      <c r="Q144" s="297"/>
      <c r="R144" s="297"/>
      <c r="S144" s="303"/>
      <c r="T144" s="303"/>
      <c r="U144" s="303"/>
      <c r="V144" s="298"/>
      <c r="W144" s="298"/>
      <c r="X144" s="299"/>
      <c r="Y144" s="299"/>
      <c r="Z144" s="299"/>
      <c r="AA144" s="300"/>
      <c r="AB144" s="296"/>
      <c r="AC144" s="296"/>
      <c r="AD144" s="296"/>
      <c r="AE144" s="296"/>
      <c r="AF144" s="296"/>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row>
    <row r="145">
      <c r="A145" s="301"/>
      <c r="B145" s="302"/>
      <c r="C145" s="298"/>
      <c r="D145" s="282"/>
      <c r="E145" s="282"/>
      <c r="F145" s="282"/>
      <c r="G145" s="282"/>
      <c r="H145" s="282"/>
      <c r="I145" s="282"/>
      <c r="J145" s="296"/>
      <c r="K145" s="296"/>
      <c r="L145" s="297"/>
      <c r="M145" s="296"/>
      <c r="N145" s="297"/>
      <c r="O145" s="296"/>
      <c r="P145" s="296"/>
      <c r="Q145" s="297"/>
      <c r="R145" s="297"/>
      <c r="S145" s="303"/>
      <c r="T145" s="303"/>
      <c r="U145" s="303"/>
      <c r="V145" s="298"/>
      <c r="W145" s="298"/>
      <c r="X145" s="299"/>
      <c r="Y145" s="299"/>
      <c r="Z145" s="299"/>
      <c r="AA145" s="300"/>
      <c r="AB145" s="296"/>
      <c r="AC145" s="296"/>
      <c r="AD145" s="296"/>
      <c r="AE145" s="296"/>
      <c r="AF145" s="296"/>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row>
    <row r="146">
      <c r="A146" s="301"/>
      <c r="B146" s="302"/>
      <c r="C146" s="298"/>
      <c r="D146" s="282"/>
      <c r="E146" s="282"/>
      <c r="F146" s="282"/>
      <c r="G146" s="282"/>
      <c r="H146" s="282"/>
      <c r="I146" s="282"/>
      <c r="J146" s="296"/>
      <c r="K146" s="296"/>
      <c r="L146" s="297"/>
      <c r="M146" s="296"/>
      <c r="N146" s="297"/>
      <c r="O146" s="296"/>
      <c r="P146" s="296"/>
      <c r="Q146" s="297"/>
      <c r="R146" s="297"/>
      <c r="S146" s="303"/>
      <c r="T146" s="303"/>
      <c r="U146" s="303"/>
      <c r="V146" s="298"/>
      <c r="W146" s="298"/>
      <c r="X146" s="299"/>
      <c r="Y146" s="299"/>
      <c r="Z146" s="299"/>
      <c r="AA146" s="300"/>
      <c r="AB146" s="296"/>
      <c r="AC146" s="296"/>
      <c r="AD146" s="296"/>
      <c r="AE146" s="296"/>
      <c r="AF146" s="296"/>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row>
    <row r="147">
      <c r="A147" s="301"/>
      <c r="B147" s="302"/>
      <c r="C147" s="298"/>
      <c r="D147" s="282"/>
      <c r="E147" s="282"/>
      <c r="F147" s="282"/>
      <c r="G147" s="282"/>
      <c r="H147" s="282"/>
      <c r="I147" s="282"/>
      <c r="J147" s="296"/>
      <c r="K147" s="296"/>
      <c r="L147" s="297"/>
      <c r="M147" s="296"/>
      <c r="N147" s="297"/>
      <c r="O147" s="296"/>
      <c r="P147" s="296"/>
      <c r="Q147" s="297"/>
      <c r="R147" s="297"/>
      <c r="S147" s="303"/>
      <c r="T147" s="303"/>
      <c r="U147" s="303"/>
      <c r="V147" s="298"/>
      <c r="W147" s="298"/>
      <c r="X147" s="299"/>
      <c r="Y147" s="299"/>
      <c r="Z147" s="299"/>
      <c r="AA147" s="300"/>
      <c r="AB147" s="296"/>
      <c r="AC147" s="296"/>
      <c r="AD147" s="296"/>
      <c r="AE147" s="296"/>
      <c r="AF147" s="296"/>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row>
    <row r="148">
      <c r="A148" s="301"/>
      <c r="B148" s="302"/>
      <c r="C148" s="298"/>
      <c r="D148" s="282"/>
      <c r="E148" s="282"/>
      <c r="F148" s="282"/>
      <c r="G148" s="282"/>
      <c r="H148" s="282"/>
      <c r="I148" s="282"/>
      <c r="J148" s="296"/>
      <c r="K148" s="296"/>
      <c r="L148" s="297"/>
      <c r="M148" s="296"/>
      <c r="N148" s="297"/>
      <c r="O148" s="296"/>
      <c r="P148" s="296"/>
      <c r="Q148" s="297"/>
      <c r="R148" s="297"/>
      <c r="S148" s="303"/>
      <c r="T148" s="303"/>
      <c r="U148" s="303"/>
      <c r="V148" s="298"/>
      <c r="W148" s="298"/>
      <c r="X148" s="299"/>
      <c r="Y148" s="299"/>
      <c r="Z148" s="299"/>
      <c r="AA148" s="300"/>
      <c r="AB148" s="296"/>
      <c r="AC148" s="296"/>
      <c r="AD148" s="296"/>
      <c r="AE148" s="296"/>
      <c r="AF148" s="296"/>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row>
    <row r="149">
      <c r="A149" s="301"/>
      <c r="B149" s="302"/>
      <c r="C149" s="298"/>
      <c r="D149" s="282"/>
      <c r="E149" s="282"/>
      <c r="F149" s="282"/>
      <c r="G149" s="282"/>
      <c r="H149" s="282"/>
      <c r="I149" s="282"/>
      <c r="J149" s="296"/>
      <c r="K149" s="296"/>
      <c r="L149" s="297"/>
      <c r="M149" s="296"/>
      <c r="N149" s="297"/>
      <c r="O149" s="296"/>
      <c r="P149" s="296"/>
      <c r="Q149" s="297"/>
      <c r="R149" s="297"/>
      <c r="S149" s="303"/>
      <c r="T149" s="303"/>
      <c r="U149" s="303"/>
      <c r="V149" s="298"/>
      <c r="W149" s="298"/>
      <c r="X149" s="299"/>
      <c r="Y149" s="299"/>
      <c r="Z149" s="299"/>
      <c r="AA149" s="300"/>
      <c r="AB149" s="296"/>
      <c r="AC149" s="296"/>
      <c r="AD149" s="296"/>
      <c r="AE149" s="296"/>
      <c r="AF149" s="296"/>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row>
    <row r="150">
      <c r="A150" s="301"/>
      <c r="B150" s="302"/>
      <c r="C150" s="298"/>
      <c r="D150" s="282"/>
      <c r="E150" s="282"/>
      <c r="F150" s="282"/>
      <c r="G150" s="282"/>
      <c r="H150" s="282"/>
      <c r="I150" s="282"/>
      <c r="J150" s="296"/>
      <c r="K150" s="296"/>
      <c r="L150" s="297"/>
      <c r="M150" s="296"/>
      <c r="N150" s="297"/>
      <c r="O150" s="296"/>
      <c r="P150" s="296"/>
      <c r="Q150" s="297"/>
      <c r="R150" s="297"/>
      <c r="S150" s="303"/>
      <c r="T150" s="303"/>
      <c r="U150" s="303"/>
      <c r="V150" s="298"/>
      <c r="W150" s="298"/>
      <c r="X150" s="299"/>
      <c r="Y150" s="299"/>
      <c r="Z150" s="299"/>
      <c r="AA150" s="300"/>
      <c r="AB150" s="296"/>
      <c r="AC150" s="296"/>
      <c r="AD150" s="296"/>
      <c r="AE150" s="296"/>
      <c r="AF150" s="296"/>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row>
    <row r="151">
      <c r="A151" s="301"/>
      <c r="B151" s="302"/>
      <c r="C151" s="298"/>
      <c r="D151" s="282"/>
      <c r="E151" s="282"/>
      <c r="F151" s="282"/>
      <c r="G151" s="282"/>
      <c r="H151" s="282"/>
      <c r="I151" s="282"/>
      <c r="J151" s="296"/>
      <c r="K151" s="296"/>
      <c r="L151" s="297"/>
      <c r="M151" s="296"/>
      <c r="N151" s="297"/>
      <c r="O151" s="296"/>
      <c r="P151" s="296"/>
      <c r="Q151" s="297"/>
      <c r="R151" s="297"/>
      <c r="S151" s="303"/>
      <c r="T151" s="303"/>
      <c r="U151" s="303"/>
      <c r="V151" s="298"/>
      <c r="W151" s="298"/>
      <c r="X151" s="299"/>
      <c r="Y151" s="299"/>
      <c r="Z151" s="299"/>
      <c r="AA151" s="300"/>
      <c r="AB151" s="296"/>
      <c r="AC151" s="296"/>
      <c r="AD151" s="296"/>
      <c r="AE151" s="296"/>
      <c r="AF151" s="296"/>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row>
    <row r="152">
      <c r="A152" s="301"/>
      <c r="B152" s="302"/>
      <c r="C152" s="298"/>
      <c r="D152" s="282"/>
      <c r="E152" s="282"/>
      <c r="F152" s="282"/>
      <c r="G152" s="282"/>
      <c r="H152" s="282"/>
      <c r="I152" s="282"/>
      <c r="J152" s="296"/>
      <c r="K152" s="296"/>
      <c r="L152" s="297"/>
      <c r="M152" s="296"/>
      <c r="N152" s="297"/>
      <c r="O152" s="296"/>
      <c r="P152" s="296"/>
      <c r="Q152" s="297"/>
      <c r="R152" s="297"/>
      <c r="S152" s="303"/>
      <c r="T152" s="303"/>
      <c r="U152" s="303"/>
      <c r="V152" s="298"/>
      <c r="W152" s="298"/>
      <c r="X152" s="299"/>
      <c r="Y152" s="299"/>
      <c r="Z152" s="299"/>
      <c r="AA152" s="300"/>
      <c r="AB152" s="296"/>
      <c r="AC152" s="296"/>
      <c r="AD152" s="296"/>
      <c r="AE152" s="296"/>
      <c r="AF152" s="296"/>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row>
    <row r="153">
      <c r="A153" s="301"/>
      <c r="B153" s="302"/>
      <c r="C153" s="298"/>
      <c r="D153" s="282"/>
      <c r="E153" s="282"/>
      <c r="F153" s="282"/>
      <c r="G153" s="282"/>
      <c r="H153" s="282"/>
      <c r="I153" s="282"/>
      <c r="J153" s="296"/>
      <c r="K153" s="296"/>
      <c r="L153" s="297"/>
      <c r="M153" s="296"/>
      <c r="N153" s="297"/>
      <c r="O153" s="296"/>
      <c r="P153" s="296"/>
      <c r="Q153" s="297"/>
      <c r="R153" s="297"/>
      <c r="S153" s="303"/>
      <c r="T153" s="303"/>
      <c r="U153" s="303"/>
      <c r="V153" s="298"/>
      <c r="W153" s="298"/>
      <c r="X153" s="299"/>
      <c r="Y153" s="299"/>
      <c r="Z153" s="299"/>
      <c r="AA153" s="300"/>
      <c r="AB153" s="296"/>
      <c r="AC153" s="296"/>
      <c r="AD153" s="296"/>
      <c r="AE153" s="296"/>
      <c r="AF153" s="296"/>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row>
    <row r="154">
      <c r="A154" s="301"/>
      <c r="B154" s="302"/>
      <c r="C154" s="298"/>
      <c r="D154" s="282"/>
      <c r="E154" s="282"/>
      <c r="F154" s="282"/>
      <c r="G154" s="282"/>
      <c r="H154" s="282"/>
      <c r="I154" s="282"/>
      <c r="J154" s="296"/>
      <c r="K154" s="296"/>
      <c r="L154" s="297"/>
      <c r="M154" s="296"/>
      <c r="N154" s="297"/>
      <c r="O154" s="296"/>
      <c r="P154" s="296"/>
      <c r="Q154" s="297"/>
      <c r="R154" s="297"/>
      <c r="S154" s="303"/>
      <c r="T154" s="303"/>
      <c r="U154" s="303"/>
      <c r="V154" s="298"/>
      <c r="W154" s="298"/>
      <c r="X154" s="299"/>
      <c r="Y154" s="299"/>
      <c r="Z154" s="299"/>
      <c r="AA154" s="300"/>
      <c r="AB154" s="296"/>
      <c r="AC154" s="296"/>
      <c r="AD154" s="296"/>
      <c r="AE154" s="296"/>
      <c r="AF154" s="296"/>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row>
    <row r="155">
      <c r="A155" s="301"/>
      <c r="B155" s="302"/>
      <c r="C155" s="298"/>
      <c r="D155" s="282"/>
      <c r="E155" s="282"/>
      <c r="F155" s="282"/>
      <c r="G155" s="282"/>
      <c r="H155" s="282"/>
      <c r="I155" s="282"/>
      <c r="J155" s="296"/>
      <c r="K155" s="296"/>
      <c r="L155" s="297"/>
      <c r="M155" s="296"/>
      <c r="N155" s="297"/>
      <c r="O155" s="296"/>
      <c r="P155" s="296"/>
      <c r="Q155" s="297"/>
      <c r="R155" s="297"/>
      <c r="S155" s="303"/>
      <c r="T155" s="303"/>
      <c r="U155" s="303"/>
      <c r="V155" s="298"/>
      <c r="W155" s="298"/>
      <c r="X155" s="299"/>
      <c r="Y155" s="299"/>
      <c r="Z155" s="299"/>
      <c r="AA155" s="300"/>
      <c r="AB155" s="296"/>
      <c r="AC155" s="296"/>
      <c r="AD155" s="296"/>
      <c r="AE155" s="296"/>
      <c r="AF155" s="296"/>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row>
    <row r="156">
      <c r="A156" s="301"/>
      <c r="B156" s="302"/>
      <c r="C156" s="298"/>
      <c r="D156" s="282"/>
      <c r="E156" s="282"/>
      <c r="F156" s="282"/>
      <c r="G156" s="282"/>
      <c r="H156" s="282"/>
      <c r="I156" s="282"/>
      <c r="J156" s="296"/>
      <c r="K156" s="296"/>
      <c r="L156" s="297"/>
      <c r="M156" s="296"/>
      <c r="N156" s="297"/>
      <c r="O156" s="296"/>
      <c r="P156" s="296"/>
      <c r="Q156" s="297"/>
      <c r="R156" s="297"/>
      <c r="S156" s="303"/>
      <c r="T156" s="303"/>
      <c r="U156" s="303"/>
      <c r="V156" s="298"/>
      <c r="W156" s="298"/>
      <c r="X156" s="299"/>
      <c r="Y156" s="299"/>
      <c r="Z156" s="299"/>
      <c r="AA156" s="300"/>
      <c r="AB156" s="296"/>
      <c r="AC156" s="296"/>
      <c r="AD156" s="296"/>
      <c r="AE156" s="296"/>
      <c r="AF156" s="296"/>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row>
    <row r="157">
      <c r="A157" s="301"/>
      <c r="B157" s="302"/>
      <c r="C157" s="298"/>
      <c r="D157" s="282"/>
      <c r="E157" s="282"/>
      <c r="F157" s="282"/>
      <c r="G157" s="282"/>
      <c r="H157" s="282"/>
      <c r="I157" s="282"/>
      <c r="J157" s="296"/>
      <c r="K157" s="296"/>
      <c r="L157" s="297"/>
      <c r="M157" s="296"/>
      <c r="N157" s="297"/>
      <c r="O157" s="296"/>
      <c r="P157" s="296"/>
      <c r="Q157" s="297"/>
      <c r="R157" s="297"/>
      <c r="S157" s="303"/>
      <c r="T157" s="303"/>
      <c r="U157" s="303"/>
      <c r="V157" s="298"/>
      <c r="W157" s="298"/>
      <c r="X157" s="299"/>
      <c r="Y157" s="299"/>
      <c r="Z157" s="299"/>
      <c r="AA157" s="300"/>
      <c r="AB157" s="296"/>
      <c r="AC157" s="296"/>
      <c r="AD157" s="296"/>
      <c r="AE157" s="296"/>
      <c r="AF157" s="296"/>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row>
    <row r="158">
      <c r="A158" s="301"/>
      <c r="B158" s="302"/>
      <c r="C158" s="298"/>
      <c r="D158" s="282"/>
      <c r="E158" s="282"/>
      <c r="F158" s="282"/>
      <c r="G158" s="282"/>
      <c r="H158" s="282"/>
      <c r="I158" s="282"/>
      <c r="J158" s="296"/>
      <c r="K158" s="296"/>
      <c r="L158" s="297"/>
      <c r="M158" s="296"/>
      <c r="N158" s="297"/>
      <c r="O158" s="296"/>
      <c r="P158" s="296"/>
      <c r="Q158" s="297"/>
      <c r="R158" s="297"/>
      <c r="S158" s="303"/>
      <c r="T158" s="303"/>
      <c r="U158" s="303"/>
      <c r="V158" s="298"/>
      <c r="W158" s="298"/>
      <c r="X158" s="299"/>
      <c r="Y158" s="299"/>
      <c r="Z158" s="299"/>
      <c r="AA158" s="300"/>
      <c r="AB158" s="296"/>
      <c r="AC158" s="296"/>
      <c r="AD158" s="296"/>
      <c r="AE158" s="296"/>
      <c r="AF158" s="296"/>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row>
    <row r="159">
      <c r="A159" s="301"/>
      <c r="B159" s="302"/>
      <c r="C159" s="298"/>
      <c r="D159" s="282"/>
      <c r="E159" s="282"/>
      <c r="F159" s="282"/>
      <c r="G159" s="282"/>
      <c r="H159" s="282"/>
      <c r="I159" s="282"/>
      <c r="J159" s="296"/>
      <c r="K159" s="296"/>
      <c r="L159" s="297"/>
      <c r="M159" s="296"/>
      <c r="N159" s="297"/>
      <c r="O159" s="296"/>
      <c r="P159" s="296"/>
      <c r="Q159" s="297"/>
      <c r="R159" s="297"/>
      <c r="S159" s="303"/>
      <c r="T159" s="303"/>
      <c r="U159" s="303"/>
      <c r="V159" s="298"/>
      <c r="W159" s="298"/>
      <c r="X159" s="299"/>
      <c r="Y159" s="299"/>
      <c r="Z159" s="299"/>
      <c r="AA159" s="300"/>
      <c r="AB159" s="296"/>
      <c r="AC159" s="296"/>
      <c r="AD159" s="296"/>
      <c r="AE159" s="296"/>
      <c r="AF159" s="296"/>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row>
    <row r="160">
      <c r="A160" s="301"/>
      <c r="B160" s="302"/>
      <c r="C160" s="298"/>
      <c r="D160" s="282"/>
      <c r="E160" s="282"/>
      <c r="F160" s="282"/>
      <c r="G160" s="282"/>
      <c r="H160" s="282"/>
      <c r="I160" s="282"/>
      <c r="J160" s="296"/>
      <c r="K160" s="296"/>
      <c r="L160" s="297"/>
      <c r="M160" s="296"/>
      <c r="N160" s="297"/>
      <c r="O160" s="296"/>
      <c r="P160" s="296"/>
      <c r="Q160" s="297"/>
      <c r="R160" s="297"/>
      <c r="S160" s="303"/>
      <c r="T160" s="303"/>
      <c r="U160" s="303"/>
      <c r="V160" s="298"/>
      <c r="W160" s="298"/>
      <c r="X160" s="299"/>
      <c r="Y160" s="299"/>
      <c r="Z160" s="299"/>
      <c r="AA160" s="300"/>
      <c r="AB160" s="296"/>
      <c r="AC160" s="296"/>
      <c r="AD160" s="296"/>
      <c r="AE160" s="296"/>
      <c r="AF160" s="296"/>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row>
    <row r="161">
      <c r="A161" s="301"/>
      <c r="B161" s="302"/>
      <c r="C161" s="298"/>
      <c r="D161" s="282"/>
      <c r="E161" s="282"/>
      <c r="F161" s="282"/>
      <c r="G161" s="282"/>
      <c r="H161" s="282"/>
      <c r="I161" s="282"/>
      <c r="J161" s="296"/>
      <c r="K161" s="296"/>
      <c r="L161" s="297"/>
      <c r="M161" s="296"/>
      <c r="N161" s="297"/>
      <c r="O161" s="296"/>
      <c r="P161" s="296"/>
      <c r="Q161" s="297"/>
      <c r="R161" s="297"/>
      <c r="S161" s="303"/>
      <c r="T161" s="303"/>
      <c r="U161" s="303"/>
      <c r="V161" s="298"/>
      <c r="W161" s="298"/>
      <c r="X161" s="299"/>
      <c r="Y161" s="299"/>
      <c r="Z161" s="299"/>
      <c r="AA161" s="300"/>
      <c r="AB161" s="296"/>
      <c r="AC161" s="296"/>
      <c r="AD161" s="296"/>
      <c r="AE161" s="296"/>
      <c r="AF161" s="296"/>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row>
    <row r="162">
      <c r="A162" s="301"/>
      <c r="B162" s="302"/>
      <c r="C162" s="298"/>
      <c r="D162" s="282"/>
      <c r="E162" s="282"/>
      <c r="F162" s="282"/>
      <c r="G162" s="282"/>
      <c r="H162" s="282"/>
      <c r="I162" s="282"/>
      <c r="J162" s="296"/>
      <c r="K162" s="296"/>
      <c r="L162" s="297"/>
      <c r="M162" s="296"/>
      <c r="N162" s="297"/>
      <c r="O162" s="296"/>
      <c r="P162" s="296"/>
      <c r="Q162" s="297"/>
      <c r="R162" s="297"/>
      <c r="S162" s="303"/>
      <c r="T162" s="303"/>
      <c r="U162" s="303"/>
      <c r="V162" s="298"/>
      <c r="W162" s="298"/>
      <c r="X162" s="299"/>
      <c r="Y162" s="299"/>
      <c r="Z162" s="299"/>
      <c r="AA162" s="300"/>
      <c r="AB162" s="296"/>
      <c r="AC162" s="296"/>
      <c r="AD162" s="296"/>
      <c r="AE162" s="296"/>
      <c r="AF162" s="296"/>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row>
    <row r="163">
      <c r="A163" s="301"/>
      <c r="B163" s="302"/>
      <c r="C163" s="298"/>
      <c r="D163" s="282"/>
      <c r="E163" s="282"/>
      <c r="F163" s="282"/>
      <c r="G163" s="282"/>
      <c r="H163" s="282"/>
      <c r="I163" s="282"/>
      <c r="J163" s="296"/>
      <c r="K163" s="296"/>
      <c r="L163" s="297"/>
      <c r="M163" s="296"/>
      <c r="N163" s="297"/>
      <c r="O163" s="296"/>
      <c r="P163" s="296"/>
      <c r="Q163" s="297"/>
      <c r="R163" s="297"/>
      <c r="S163" s="303"/>
      <c r="T163" s="303"/>
      <c r="U163" s="303"/>
      <c r="V163" s="298"/>
      <c r="W163" s="298"/>
      <c r="X163" s="299"/>
      <c r="Y163" s="299"/>
      <c r="Z163" s="299"/>
      <c r="AA163" s="300"/>
      <c r="AB163" s="296"/>
      <c r="AC163" s="296"/>
      <c r="AD163" s="296"/>
      <c r="AE163" s="296"/>
      <c r="AF163" s="296"/>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row>
    <row r="164">
      <c r="A164" s="301"/>
      <c r="B164" s="302"/>
      <c r="C164" s="298"/>
      <c r="D164" s="282"/>
      <c r="E164" s="282"/>
      <c r="F164" s="282"/>
      <c r="G164" s="282"/>
      <c r="H164" s="282"/>
      <c r="I164" s="282"/>
      <c r="J164" s="296"/>
      <c r="K164" s="296"/>
      <c r="L164" s="297"/>
      <c r="M164" s="296"/>
      <c r="N164" s="297"/>
      <c r="O164" s="296"/>
      <c r="P164" s="296"/>
      <c r="Q164" s="297"/>
      <c r="R164" s="297"/>
      <c r="S164" s="303"/>
      <c r="T164" s="303"/>
      <c r="U164" s="303"/>
      <c r="V164" s="298"/>
      <c r="W164" s="298"/>
      <c r="X164" s="299"/>
      <c r="Y164" s="299"/>
      <c r="Z164" s="299"/>
      <c r="AA164" s="300"/>
      <c r="AB164" s="296"/>
      <c r="AC164" s="296"/>
      <c r="AD164" s="296"/>
      <c r="AE164" s="296"/>
      <c r="AF164" s="296"/>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row>
    <row r="165">
      <c r="A165" s="301"/>
      <c r="B165" s="302"/>
      <c r="C165" s="298"/>
      <c r="D165" s="282"/>
      <c r="E165" s="282"/>
      <c r="F165" s="282"/>
      <c r="G165" s="282"/>
      <c r="H165" s="282"/>
      <c r="I165" s="282"/>
      <c r="J165" s="296"/>
      <c r="K165" s="296"/>
      <c r="L165" s="297"/>
      <c r="M165" s="296"/>
      <c r="N165" s="297"/>
      <c r="O165" s="296"/>
      <c r="P165" s="296"/>
      <c r="Q165" s="297"/>
      <c r="R165" s="297"/>
      <c r="S165" s="303"/>
      <c r="T165" s="303"/>
      <c r="U165" s="303"/>
      <c r="V165" s="298"/>
      <c r="W165" s="298"/>
      <c r="X165" s="299"/>
      <c r="Y165" s="299"/>
      <c r="Z165" s="299"/>
      <c r="AA165" s="300"/>
      <c r="AB165" s="296"/>
      <c r="AC165" s="296"/>
      <c r="AD165" s="296"/>
      <c r="AE165" s="296"/>
      <c r="AF165" s="296"/>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row>
    <row r="166">
      <c r="A166" s="301"/>
      <c r="B166" s="302"/>
      <c r="C166" s="298"/>
      <c r="D166" s="282"/>
      <c r="E166" s="282"/>
      <c r="F166" s="282"/>
      <c r="G166" s="282"/>
      <c r="H166" s="282"/>
      <c r="I166" s="282"/>
      <c r="J166" s="296"/>
      <c r="K166" s="296"/>
      <c r="L166" s="297"/>
      <c r="M166" s="296"/>
      <c r="N166" s="297"/>
      <c r="O166" s="296"/>
      <c r="P166" s="296"/>
      <c r="Q166" s="297"/>
      <c r="R166" s="297"/>
      <c r="S166" s="303"/>
      <c r="T166" s="303"/>
      <c r="U166" s="303"/>
      <c r="V166" s="298"/>
      <c r="W166" s="298"/>
      <c r="X166" s="299"/>
      <c r="Y166" s="299"/>
      <c r="Z166" s="299"/>
      <c r="AA166" s="300"/>
      <c r="AB166" s="296"/>
      <c r="AC166" s="296"/>
      <c r="AD166" s="296"/>
      <c r="AE166" s="296"/>
      <c r="AF166" s="296"/>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row>
    <row r="167">
      <c r="A167" s="301"/>
      <c r="B167" s="302"/>
      <c r="C167" s="298"/>
      <c r="D167" s="282"/>
      <c r="E167" s="282"/>
      <c r="F167" s="282"/>
      <c r="G167" s="282"/>
      <c r="H167" s="282"/>
      <c r="I167" s="282"/>
      <c r="J167" s="296"/>
      <c r="K167" s="296"/>
      <c r="L167" s="297"/>
      <c r="M167" s="296"/>
      <c r="N167" s="297"/>
      <c r="O167" s="296"/>
      <c r="P167" s="296"/>
      <c r="Q167" s="297"/>
      <c r="R167" s="297"/>
      <c r="S167" s="303"/>
      <c r="T167" s="303"/>
      <c r="U167" s="303"/>
      <c r="V167" s="298"/>
      <c r="W167" s="298"/>
      <c r="X167" s="299"/>
      <c r="Y167" s="299"/>
      <c r="Z167" s="299"/>
      <c r="AA167" s="300"/>
      <c r="AB167" s="296"/>
      <c r="AC167" s="296"/>
      <c r="AD167" s="296"/>
      <c r="AE167" s="296"/>
      <c r="AF167" s="296"/>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row>
    <row r="168">
      <c r="A168" s="301"/>
      <c r="B168" s="302"/>
      <c r="C168" s="298"/>
      <c r="D168" s="282"/>
      <c r="E168" s="282"/>
      <c r="F168" s="282"/>
      <c r="G168" s="282"/>
      <c r="H168" s="282"/>
      <c r="I168" s="282"/>
      <c r="J168" s="296"/>
      <c r="K168" s="296"/>
      <c r="L168" s="297"/>
      <c r="M168" s="296"/>
      <c r="N168" s="297"/>
      <c r="O168" s="296"/>
      <c r="P168" s="296"/>
      <c r="Q168" s="297"/>
      <c r="R168" s="297"/>
      <c r="S168" s="303"/>
      <c r="T168" s="303"/>
      <c r="U168" s="303"/>
      <c r="V168" s="298"/>
      <c r="W168" s="298"/>
      <c r="X168" s="299"/>
      <c r="Y168" s="299"/>
      <c r="Z168" s="299"/>
      <c r="AA168" s="300"/>
      <c r="AB168" s="296"/>
      <c r="AC168" s="296"/>
      <c r="AD168" s="296"/>
      <c r="AE168" s="296"/>
      <c r="AF168" s="296"/>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row>
    <row r="169">
      <c r="A169" s="301"/>
      <c r="B169" s="302"/>
      <c r="C169" s="298"/>
      <c r="D169" s="282"/>
      <c r="E169" s="282"/>
      <c r="F169" s="282"/>
      <c r="G169" s="282"/>
      <c r="H169" s="282"/>
      <c r="I169" s="282"/>
      <c r="J169" s="296"/>
      <c r="K169" s="296"/>
      <c r="L169" s="297"/>
      <c r="M169" s="296"/>
      <c r="N169" s="297"/>
      <c r="O169" s="296"/>
      <c r="P169" s="296"/>
      <c r="Q169" s="297"/>
      <c r="R169" s="297"/>
      <c r="S169" s="303"/>
      <c r="T169" s="303"/>
      <c r="U169" s="303"/>
      <c r="V169" s="298"/>
      <c r="W169" s="298"/>
      <c r="X169" s="299"/>
      <c r="Y169" s="299"/>
      <c r="Z169" s="299"/>
      <c r="AA169" s="300"/>
      <c r="AB169" s="296"/>
      <c r="AC169" s="296"/>
      <c r="AD169" s="296"/>
      <c r="AE169" s="296"/>
      <c r="AF169" s="296"/>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row>
    <row r="170">
      <c r="A170" s="301"/>
      <c r="B170" s="302"/>
      <c r="C170" s="298"/>
      <c r="D170" s="282"/>
      <c r="E170" s="282"/>
      <c r="F170" s="282"/>
      <c r="G170" s="282"/>
      <c r="H170" s="282"/>
      <c r="I170" s="282"/>
      <c r="J170" s="296"/>
      <c r="K170" s="296"/>
      <c r="L170" s="297"/>
      <c r="M170" s="296"/>
      <c r="N170" s="297"/>
      <c r="O170" s="296"/>
      <c r="P170" s="296"/>
      <c r="Q170" s="297"/>
      <c r="R170" s="297"/>
      <c r="S170" s="303"/>
      <c r="T170" s="303"/>
      <c r="U170" s="303"/>
      <c r="V170" s="298"/>
      <c r="W170" s="298"/>
      <c r="X170" s="299"/>
      <c r="Y170" s="299"/>
      <c r="Z170" s="299"/>
      <c r="AA170" s="300"/>
      <c r="AB170" s="296"/>
      <c r="AC170" s="296"/>
      <c r="AD170" s="296"/>
      <c r="AE170" s="296"/>
      <c r="AF170" s="296"/>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row>
    <row r="171">
      <c r="A171" s="301"/>
      <c r="B171" s="302"/>
      <c r="C171" s="298"/>
      <c r="D171" s="282"/>
      <c r="E171" s="282"/>
      <c r="F171" s="282"/>
      <c r="G171" s="282"/>
      <c r="H171" s="282"/>
      <c r="I171" s="282"/>
      <c r="J171" s="296"/>
      <c r="K171" s="296"/>
      <c r="L171" s="297"/>
      <c r="M171" s="296"/>
      <c r="N171" s="297"/>
      <c r="O171" s="296"/>
      <c r="P171" s="296"/>
      <c r="Q171" s="297"/>
      <c r="R171" s="297"/>
      <c r="S171" s="303"/>
      <c r="T171" s="303"/>
      <c r="U171" s="303"/>
      <c r="V171" s="298"/>
      <c r="W171" s="298"/>
      <c r="X171" s="299"/>
      <c r="Y171" s="299"/>
      <c r="Z171" s="299"/>
      <c r="AA171" s="300"/>
      <c r="AB171" s="296"/>
      <c r="AC171" s="296"/>
      <c r="AD171" s="296"/>
      <c r="AE171" s="296"/>
      <c r="AF171" s="296"/>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row>
    <row r="172">
      <c r="A172" s="301"/>
      <c r="B172" s="302"/>
      <c r="C172" s="298"/>
      <c r="D172" s="282"/>
      <c r="E172" s="282"/>
      <c r="F172" s="282"/>
      <c r="G172" s="282"/>
      <c r="H172" s="282"/>
      <c r="I172" s="282"/>
      <c r="J172" s="296"/>
      <c r="K172" s="296"/>
      <c r="L172" s="297"/>
      <c r="M172" s="296"/>
      <c r="N172" s="297"/>
      <c r="O172" s="296"/>
      <c r="P172" s="296"/>
      <c r="Q172" s="297"/>
      <c r="R172" s="297"/>
      <c r="S172" s="303"/>
      <c r="T172" s="303"/>
      <c r="U172" s="303"/>
      <c r="V172" s="298"/>
      <c r="W172" s="298"/>
      <c r="X172" s="299"/>
      <c r="Y172" s="299"/>
      <c r="Z172" s="299"/>
      <c r="AA172" s="300"/>
      <c r="AB172" s="296"/>
      <c r="AC172" s="296"/>
      <c r="AD172" s="296"/>
      <c r="AE172" s="296"/>
      <c r="AF172" s="296"/>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row>
    <row r="173">
      <c r="A173" s="301"/>
      <c r="B173" s="302"/>
      <c r="C173" s="298"/>
      <c r="D173" s="282"/>
      <c r="E173" s="282"/>
      <c r="F173" s="282"/>
      <c r="G173" s="282"/>
      <c r="H173" s="282"/>
      <c r="I173" s="282"/>
      <c r="J173" s="296"/>
      <c r="K173" s="296"/>
      <c r="L173" s="297"/>
      <c r="M173" s="296"/>
      <c r="N173" s="297"/>
      <c r="O173" s="296"/>
      <c r="P173" s="296"/>
      <c r="Q173" s="297"/>
      <c r="R173" s="297"/>
      <c r="S173" s="303"/>
      <c r="T173" s="303"/>
      <c r="U173" s="303"/>
      <c r="V173" s="298"/>
      <c r="W173" s="298"/>
      <c r="X173" s="299"/>
      <c r="Y173" s="299"/>
      <c r="Z173" s="299"/>
      <c r="AA173" s="300"/>
      <c r="AB173" s="296"/>
      <c r="AC173" s="296"/>
      <c r="AD173" s="296"/>
      <c r="AE173" s="296"/>
      <c r="AF173" s="296"/>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row>
    <row r="174">
      <c r="A174" s="301"/>
      <c r="B174" s="302"/>
      <c r="C174" s="298"/>
      <c r="D174" s="282"/>
      <c r="E174" s="282"/>
      <c r="F174" s="282"/>
      <c r="G174" s="282"/>
      <c r="H174" s="282"/>
      <c r="I174" s="282"/>
      <c r="J174" s="296"/>
      <c r="K174" s="296"/>
      <c r="L174" s="297"/>
      <c r="M174" s="296"/>
      <c r="N174" s="297"/>
      <c r="O174" s="296"/>
      <c r="P174" s="296"/>
      <c r="Q174" s="297"/>
      <c r="R174" s="297"/>
      <c r="S174" s="303"/>
      <c r="T174" s="303"/>
      <c r="U174" s="303"/>
      <c r="V174" s="298"/>
      <c r="W174" s="298"/>
      <c r="X174" s="299"/>
      <c r="Y174" s="299"/>
      <c r="Z174" s="299"/>
      <c r="AA174" s="300"/>
      <c r="AB174" s="296"/>
      <c r="AC174" s="296"/>
      <c r="AD174" s="296"/>
      <c r="AE174" s="296"/>
      <c r="AF174" s="296"/>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row>
    <row r="175">
      <c r="A175" s="301"/>
      <c r="B175" s="302"/>
      <c r="C175" s="298"/>
      <c r="D175" s="282"/>
      <c r="E175" s="282"/>
      <c r="F175" s="282"/>
      <c r="G175" s="282"/>
      <c r="H175" s="282"/>
      <c r="I175" s="282"/>
      <c r="J175" s="296"/>
      <c r="K175" s="296"/>
      <c r="L175" s="297"/>
      <c r="M175" s="296"/>
      <c r="N175" s="297"/>
      <c r="O175" s="296"/>
      <c r="P175" s="296"/>
      <c r="Q175" s="297"/>
      <c r="R175" s="297"/>
      <c r="S175" s="303"/>
      <c r="T175" s="303"/>
      <c r="U175" s="303"/>
      <c r="V175" s="298"/>
      <c r="W175" s="298"/>
      <c r="X175" s="299"/>
      <c r="Y175" s="299"/>
      <c r="Z175" s="299"/>
      <c r="AA175" s="300"/>
      <c r="AB175" s="296"/>
      <c r="AC175" s="296"/>
      <c r="AD175" s="296"/>
      <c r="AE175" s="296"/>
      <c r="AF175" s="296"/>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row>
    <row r="176">
      <c r="A176" s="301"/>
      <c r="B176" s="302"/>
      <c r="C176" s="298"/>
      <c r="D176" s="282"/>
      <c r="E176" s="282"/>
      <c r="F176" s="282"/>
      <c r="G176" s="282"/>
      <c r="H176" s="282"/>
      <c r="I176" s="282"/>
      <c r="J176" s="296"/>
      <c r="K176" s="296"/>
      <c r="L176" s="297"/>
      <c r="M176" s="296"/>
      <c r="N176" s="297"/>
      <c r="O176" s="296"/>
      <c r="P176" s="296"/>
      <c r="Q176" s="297"/>
      <c r="R176" s="297"/>
      <c r="S176" s="303"/>
      <c r="T176" s="303"/>
      <c r="U176" s="303"/>
      <c r="V176" s="298"/>
      <c r="W176" s="298"/>
      <c r="X176" s="299"/>
      <c r="Y176" s="299"/>
      <c r="Z176" s="299"/>
      <c r="AA176" s="300"/>
      <c r="AB176" s="296"/>
      <c r="AC176" s="296"/>
      <c r="AD176" s="296"/>
      <c r="AE176" s="296"/>
      <c r="AF176" s="296"/>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row>
    <row r="177">
      <c r="A177" s="301"/>
      <c r="B177" s="302"/>
      <c r="C177" s="298"/>
      <c r="D177" s="282"/>
      <c r="E177" s="282"/>
      <c r="F177" s="282"/>
      <c r="G177" s="282"/>
      <c r="H177" s="282"/>
      <c r="I177" s="282"/>
      <c r="J177" s="296"/>
      <c r="K177" s="296"/>
      <c r="L177" s="297"/>
      <c r="M177" s="296"/>
      <c r="N177" s="297"/>
      <c r="O177" s="296"/>
      <c r="P177" s="296"/>
      <c r="Q177" s="297"/>
      <c r="R177" s="297"/>
      <c r="S177" s="303"/>
      <c r="T177" s="303"/>
      <c r="U177" s="303"/>
      <c r="V177" s="298"/>
      <c r="W177" s="298"/>
      <c r="X177" s="299"/>
      <c r="Y177" s="299"/>
      <c r="Z177" s="299"/>
      <c r="AA177" s="300"/>
      <c r="AB177" s="296"/>
      <c r="AC177" s="296"/>
      <c r="AD177" s="296"/>
      <c r="AE177" s="296"/>
      <c r="AF177" s="296"/>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row>
    <row r="178">
      <c r="A178" s="301"/>
      <c r="B178" s="302"/>
      <c r="C178" s="298"/>
      <c r="D178" s="282"/>
      <c r="E178" s="282"/>
      <c r="F178" s="282"/>
      <c r="G178" s="282"/>
      <c r="H178" s="282"/>
      <c r="I178" s="282"/>
      <c r="J178" s="296"/>
      <c r="K178" s="296"/>
      <c r="L178" s="297"/>
      <c r="M178" s="296"/>
      <c r="N178" s="297"/>
      <c r="O178" s="296"/>
      <c r="P178" s="296"/>
      <c r="Q178" s="297"/>
      <c r="R178" s="297"/>
      <c r="S178" s="303"/>
      <c r="T178" s="303"/>
      <c r="U178" s="303"/>
      <c r="V178" s="298"/>
      <c r="W178" s="298"/>
      <c r="X178" s="299"/>
      <c r="Y178" s="299"/>
      <c r="Z178" s="299"/>
      <c r="AA178" s="300"/>
      <c r="AB178" s="296"/>
      <c r="AC178" s="296"/>
      <c r="AD178" s="296"/>
      <c r="AE178" s="296"/>
      <c r="AF178" s="296"/>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row>
    <row r="179">
      <c r="A179" s="301"/>
      <c r="B179" s="302"/>
      <c r="C179" s="298"/>
      <c r="D179" s="282"/>
      <c r="E179" s="282"/>
      <c r="F179" s="282"/>
      <c r="G179" s="282"/>
      <c r="H179" s="282"/>
      <c r="I179" s="282"/>
      <c r="J179" s="296"/>
      <c r="K179" s="296"/>
      <c r="L179" s="297"/>
      <c r="M179" s="296"/>
      <c r="N179" s="297"/>
      <c r="O179" s="296"/>
      <c r="P179" s="296"/>
      <c r="Q179" s="297"/>
      <c r="R179" s="297"/>
      <c r="S179" s="303"/>
      <c r="T179" s="303"/>
      <c r="U179" s="303"/>
      <c r="V179" s="298"/>
      <c r="W179" s="298"/>
      <c r="X179" s="299"/>
      <c r="Y179" s="299"/>
      <c r="Z179" s="299"/>
      <c r="AA179" s="300"/>
      <c r="AB179" s="296"/>
      <c r="AC179" s="296"/>
      <c r="AD179" s="296"/>
      <c r="AE179" s="296"/>
      <c r="AF179" s="296"/>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row>
    <row r="180">
      <c r="A180" s="301"/>
      <c r="B180" s="302"/>
      <c r="C180" s="298"/>
      <c r="D180" s="282"/>
      <c r="E180" s="282"/>
      <c r="F180" s="282"/>
      <c r="G180" s="282"/>
      <c r="H180" s="282"/>
      <c r="I180" s="282"/>
      <c r="J180" s="296"/>
      <c r="K180" s="296"/>
      <c r="L180" s="297"/>
      <c r="M180" s="296"/>
      <c r="N180" s="297"/>
      <c r="O180" s="296"/>
      <c r="P180" s="296"/>
      <c r="Q180" s="297"/>
      <c r="R180" s="297"/>
      <c r="S180" s="303"/>
      <c r="T180" s="303"/>
      <c r="U180" s="303"/>
      <c r="V180" s="298"/>
      <c r="W180" s="298"/>
      <c r="X180" s="299"/>
      <c r="Y180" s="299"/>
      <c r="Z180" s="299"/>
      <c r="AA180" s="300"/>
      <c r="AB180" s="296"/>
      <c r="AC180" s="296"/>
      <c r="AD180" s="296"/>
      <c r="AE180" s="296"/>
      <c r="AF180" s="296"/>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row>
    <row r="181">
      <c r="A181" s="301"/>
      <c r="B181" s="302"/>
      <c r="C181" s="298"/>
      <c r="D181" s="282"/>
      <c r="E181" s="282"/>
      <c r="F181" s="282"/>
      <c r="G181" s="282"/>
      <c r="H181" s="282"/>
      <c r="I181" s="282"/>
      <c r="J181" s="296"/>
      <c r="K181" s="296"/>
      <c r="L181" s="297"/>
      <c r="M181" s="296"/>
      <c r="N181" s="297"/>
      <c r="O181" s="296"/>
      <c r="P181" s="296"/>
      <c r="Q181" s="297"/>
      <c r="R181" s="297"/>
      <c r="S181" s="303"/>
      <c r="T181" s="303"/>
      <c r="U181" s="303"/>
      <c r="V181" s="298"/>
      <c r="W181" s="298"/>
      <c r="X181" s="299"/>
      <c r="Y181" s="299"/>
      <c r="Z181" s="299"/>
      <c r="AA181" s="300"/>
      <c r="AB181" s="296"/>
      <c r="AC181" s="296"/>
      <c r="AD181" s="296"/>
      <c r="AE181" s="296"/>
      <c r="AF181" s="296"/>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row>
    <row r="182">
      <c r="A182" s="301"/>
      <c r="B182" s="302"/>
      <c r="C182" s="298"/>
      <c r="D182" s="282"/>
      <c r="E182" s="282"/>
      <c r="F182" s="282"/>
      <c r="G182" s="282"/>
      <c r="H182" s="282"/>
      <c r="I182" s="282"/>
      <c r="J182" s="296"/>
      <c r="K182" s="296"/>
      <c r="L182" s="297"/>
      <c r="M182" s="296"/>
      <c r="N182" s="297"/>
      <c r="O182" s="296"/>
      <c r="P182" s="296"/>
      <c r="Q182" s="297"/>
      <c r="R182" s="297"/>
      <c r="S182" s="303"/>
      <c r="T182" s="303"/>
      <c r="U182" s="303"/>
      <c r="V182" s="298"/>
      <c r="W182" s="298"/>
      <c r="X182" s="299"/>
      <c r="Y182" s="299"/>
      <c r="Z182" s="299"/>
      <c r="AA182" s="300"/>
      <c r="AB182" s="296"/>
      <c r="AC182" s="296"/>
      <c r="AD182" s="296"/>
      <c r="AE182" s="296"/>
      <c r="AF182" s="296"/>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row>
    <row r="183">
      <c r="A183" s="301"/>
      <c r="B183" s="302"/>
      <c r="C183" s="298"/>
      <c r="D183" s="282"/>
      <c r="E183" s="282"/>
      <c r="F183" s="282"/>
      <c r="G183" s="282"/>
      <c r="H183" s="282"/>
      <c r="I183" s="282"/>
      <c r="J183" s="296"/>
      <c r="K183" s="296"/>
      <c r="L183" s="297"/>
      <c r="M183" s="296"/>
      <c r="N183" s="297"/>
      <c r="O183" s="296"/>
      <c r="P183" s="296"/>
      <c r="Q183" s="297"/>
      <c r="R183" s="297"/>
      <c r="S183" s="303"/>
      <c r="T183" s="303"/>
      <c r="U183" s="303"/>
      <c r="V183" s="298"/>
      <c r="W183" s="298"/>
      <c r="X183" s="299"/>
      <c r="Y183" s="299"/>
      <c r="Z183" s="299"/>
      <c r="AA183" s="300"/>
      <c r="AB183" s="296"/>
      <c r="AC183" s="296"/>
      <c r="AD183" s="296"/>
      <c r="AE183" s="296"/>
      <c r="AF183" s="296"/>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row>
    <row r="184">
      <c r="A184" s="301"/>
      <c r="B184" s="302"/>
      <c r="C184" s="298"/>
      <c r="D184" s="282"/>
      <c r="E184" s="282"/>
      <c r="F184" s="282"/>
      <c r="G184" s="282"/>
      <c r="H184" s="282"/>
      <c r="I184" s="282"/>
      <c r="J184" s="296"/>
      <c r="K184" s="296"/>
      <c r="L184" s="297"/>
      <c r="M184" s="296"/>
      <c r="N184" s="297"/>
      <c r="O184" s="296"/>
      <c r="P184" s="296"/>
      <c r="Q184" s="297"/>
      <c r="R184" s="297"/>
      <c r="S184" s="303"/>
      <c r="T184" s="303"/>
      <c r="U184" s="303"/>
      <c r="V184" s="298"/>
      <c r="W184" s="298"/>
      <c r="X184" s="299"/>
      <c r="Y184" s="299"/>
      <c r="Z184" s="299"/>
      <c r="AA184" s="300"/>
      <c r="AB184" s="296"/>
      <c r="AC184" s="296"/>
      <c r="AD184" s="296"/>
      <c r="AE184" s="296"/>
      <c r="AF184" s="296"/>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row>
    <row r="185">
      <c r="A185" s="301"/>
      <c r="B185" s="302"/>
      <c r="C185" s="298"/>
      <c r="D185" s="282"/>
      <c r="E185" s="282"/>
      <c r="F185" s="282"/>
      <c r="G185" s="282"/>
      <c r="H185" s="282"/>
      <c r="I185" s="282"/>
      <c r="J185" s="296"/>
      <c r="K185" s="296"/>
      <c r="L185" s="297"/>
      <c r="M185" s="296"/>
      <c r="N185" s="297"/>
      <c r="O185" s="296"/>
      <c r="P185" s="296"/>
      <c r="Q185" s="297"/>
      <c r="R185" s="297"/>
      <c r="S185" s="303"/>
      <c r="T185" s="303"/>
      <c r="U185" s="303"/>
      <c r="V185" s="298"/>
      <c r="W185" s="298"/>
      <c r="X185" s="299"/>
      <c r="Y185" s="299"/>
      <c r="Z185" s="299"/>
      <c r="AA185" s="300"/>
      <c r="AB185" s="296"/>
      <c r="AC185" s="296"/>
      <c r="AD185" s="296"/>
      <c r="AE185" s="296"/>
      <c r="AF185" s="296"/>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row>
    <row r="186">
      <c r="A186" s="301"/>
      <c r="B186" s="302"/>
      <c r="C186" s="298"/>
      <c r="D186" s="282"/>
      <c r="E186" s="282"/>
      <c r="F186" s="282"/>
      <c r="G186" s="282"/>
      <c r="H186" s="282"/>
      <c r="I186" s="282"/>
      <c r="J186" s="296"/>
      <c r="K186" s="296"/>
      <c r="L186" s="297"/>
      <c r="M186" s="296"/>
      <c r="N186" s="297"/>
      <c r="O186" s="296"/>
      <c r="P186" s="296"/>
      <c r="Q186" s="297"/>
      <c r="R186" s="297"/>
      <c r="S186" s="303"/>
      <c r="T186" s="303"/>
      <c r="U186" s="303"/>
      <c r="V186" s="298"/>
      <c r="W186" s="298"/>
      <c r="X186" s="299"/>
      <c r="Y186" s="299"/>
      <c r="Z186" s="299"/>
      <c r="AA186" s="300"/>
      <c r="AB186" s="296"/>
      <c r="AC186" s="296"/>
      <c r="AD186" s="296"/>
      <c r="AE186" s="296"/>
      <c r="AF186" s="296"/>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row>
    <row r="187">
      <c r="A187" s="301"/>
      <c r="B187" s="302"/>
      <c r="C187" s="298"/>
      <c r="D187" s="282"/>
      <c r="E187" s="282"/>
      <c r="F187" s="282"/>
      <c r="G187" s="282"/>
      <c r="H187" s="282"/>
      <c r="I187" s="282"/>
      <c r="J187" s="296"/>
      <c r="K187" s="296"/>
      <c r="L187" s="297"/>
      <c r="M187" s="296"/>
      <c r="N187" s="297"/>
      <c r="O187" s="296"/>
      <c r="P187" s="296"/>
      <c r="Q187" s="297"/>
      <c r="R187" s="297"/>
      <c r="S187" s="303"/>
      <c r="T187" s="303"/>
      <c r="U187" s="303"/>
      <c r="V187" s="298"/>
      <c r="W187" s="298"/>
      <c r="X187" s="299"/>
      <c r="Y187" s="299"/>
      <c r="Z187" s="299"/>
      <c r="AA187" s="300"/>
      <c r="AB187" s="296"/>
      <c r="AC187" s="296"/>
      <c r="AD187" s="296"/>
      <c r="AE187" s="296"/>
      <c r="AF187" s="296"/>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row>
    <row r="188">
      <c r="A188" s="301"/>
      <c r="B188" s="302"/>
      <c r="C188" s="298"/>
      <c r="D188" s="282"/>
      <c r="E188" s="282"/>
      <c r="F188" s="282"/>
      <c r="G188" s="282"/>
      <c r="H188" s="282"/>
      <c r="I188" s="282"/>
      <c r="J188" s="296"/>
      <c r="K188" s="296"/>
      <c r="L188" s="297"/>
      <c r="M188" s="296"/>
      <c r="N188" s="297"/>
      <c r="O188" s="296"/>
      <c r="P188" s="296"/>
      <c r="Q188" s="297"/>
      <c r="R188" s="297"/>
      <c r="S188" s="303"/>
      <c r="T188" s="303"/>
      <c r="U188" s="303"/>
      <c r="V188" s="298"/>
      <c r="W188" s="298"/>
      <c r="X188" s="299"/>
      <c r="Y188" s="299"/>
      <c r="Z188" s="299"/>
      <c r="AA188" s="300"/>
      <c r="AB188" s="296"/>
      <c r="AC188" s="296"/>
      <c r="AD188" s="296"/>
      <c r="AE188" s="296"/>
      <c r="AF188" s="296"/>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row>
    <row r="189">
      <c r="A189" s="301"/>
      <c r="B189" s="302"/>
      <c r="C189" s="298"/>
      <c r="D189" s="282"/>
      <c r="E189" s="282"/>
      <c r="F189" s="282"/>
      <c r="G189" s="282"/>
      <c r="H189" s="282"/>
      <c r="I189" s="282"/>
      <c r="J189" s="296"/>
      <c r="K189" s="296"/>
      <c r="L189" s="297"/>
      <c r="M189" s="296"/>
      <c r="N189" s="297"/>
      <c r="O189" s="296"/>
      <c r="P189" s="296"/>
      <c r="Q189" s="297"/>
      <c r="R189" s="297"/>
      <c r="S189" s="303"/>
      <c r="T189" s="303"/>
      <c r="U189" s="303"/>
      <c r="V189" s="298"/>
      <c r="W189" s="298"/>
      <c r="X189" s="299"/>
      <c r="Y189" s="299"/>
      <c r="Z189" s="299"/>
      <c r="AA189" s="300"/>
      <c r="AB189" s="296"/>
      <c r="AC189" s="296"/>
      <c r="AD189" s="296"/>
      <c r="AE189" s="296"/>
      <c r="AF189" s="296"/>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row>
    <row r="190">
      <c r="A190" s="301"/>
      <c r="B190" s="302"/>
      <c r="C190" s="298"/>
      <c r="D190" s="282"/>
      <c r="E190" s="282"/>
      <c r="F190" s="282"/>
      <c r="G190" s="282"/>
      <c r="H190" s="282"/>
      <c r="I190" s="282"/>
      <c r="J190" s="296"/>
      <c r="K190" s="296"/>
      <c r="L190" s="297"/>
      <c r="M190" s="296"/>
      <c r="N190" s="297"/>
      <c r="O190" s="296"/>
      <c r="P190" s="296"/>
      <c r="Q190" s="297"/>
      <c r="R190" s="297"/>
      <c r="S190" s="303"/>
      <c r="T190" s="303"/>
      <c r="U190" s="303"/>
      <c r="V190" s="298"/>
      <c r="W190" s="298"/>
      <c r="X190" s="299"/>
      <c r="Y190" s="299"/>
      <c r="Z190" s="299"/>
      <c r="AA190" s="300"/>
      <c r="AB190" s="296"/>
      <c r="AC190" s="296"/>
      <c r="AD190" s="296"/>
      <c r="AE190" s="296"/>
      <c r="AF190" s="296"/>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row>
    <row r="191">
      <c r="A191" s="301"/>
      <c r="B191" s="302"/>
      <c r="C191" s="298"/>
      <c r="D191" s="282"/>
      <c r="E191" s="282"/>
      <c r="F191" s="282"/>
      <c r="G191" s="282"/>
      <c r="H191" s="282"/>
      <c r="I191" s="282"/>
      <c r="J191" s="296"/>
      <c r="K191" s="296"/>
      <c r="L191" s="297"/>
      <c r="M191" s="296"/>
      <c r="N191" s="297"/>
      <c r="O191" s="296"/>
      <c r="P191" s="296"/>
      <c r="Q191" s="297"/>
      <c r="R191" s="297"/>
      <c r="S191" s="303"/>
      <c r="T191" s="303"/>
      <c r="U191" s="303"/>
      <c r="V191" s="298"/>
      <c r="W191" s="298"/>
      <c r="X191" s="299"/>
      <c r="Y191" s="299"/>
      <c r="Z191" s="299"/>
      <c r="AA191" s="300"/>
      <c r="AB191" s="296"/>
      <c r="AC191" s="296"/>
      <c r="AD191" s="296"/>
      <c r="AE191" s="296"/>
      <c r="AF191" s="296"/>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row>
    <row r="192">
      <c r="A192" s="301"/>
      <c r="B192" s="302"/>
      <c r="C192" s="298"/>
      <c r="D192" s="282"/>
      <c r="E192" s="282"/>
      <c r="F192" s="282"/>
      <c r="G192" s="282"/>
      <c r="H192" s="282"/>
      <c r="I192" s="282"/>
      <c r="J192" s="296"/>
      <c r="K192" s="296"/>
      <c r="L192" s="297"/>
      <c r="M192" s="296"/>
      <c r="N192" s="297"/>
      <c r="O192" s="296"/>
      <c r="P192" s="296"/>
      <c r="Q192" s="297"/>
      <c r="R192" s="297"/>
      <c r="S192" s="303"/>
      <c r="T192" s="303"/>
      <c r="U192" s="303"/>
      <c r="V192" s="298"/>
      <c r="W192" s="298"/>
      <c r="X192" s="299"/>
      <c r="Y192" s="299"/>
      <c r="Z192" s="299"/>
      <c r="AA192" s="300"/>
      <c r="AB192" s="296"/>
      <c r="AC192" s="296"/>
      <c r="AD192" s="296"/>
      <c r="AE192" s="296"/>
      <c r="AF192" s="296"/>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row>
    <row r="193">
      <c r="A193" s="301"/>
      <c r="B193" s="302"/>
      <c r="C193" s="298"/>
      <c r="D193" s="282"/>
      <c r="E193" s="282"/>
      <c r="F193" s="282"/>
      <c r="G193" s="282"/>
      <c r="H193" s="282"/>
      <c r="I193" s="282"/>
      <c r="J193" s="296"/>
      <c r="K193" s="296"/>
      <c r="L193" s="297"/>
      <c r="M193" s="296"/>
      <c r="N193" s="297"/>
      <c r="O193" s="296"/>
      <c r="P193" s="296"/>
      <c r="Q193" s="297"/>
      <c r="R193" s="297"/>
      <c r="S193" s="303"/>
      <c r="T193" s="303"/>
      <c r="U193" s="303"/>
      <c r="V193" s="298"/>
      <c r="W193" s="298"/>
      <c r="X193" s="299"/>
      <c r="Y193" s="299"/>
      <c r="Z193" s="299"/>
      <c r="AA193" s="300"/>
      <c r="AB193" s="296"/>
      <c r="AC193" s="296"/>
      <c r="AD193" s="296"/>
      <c r="AE193" s="296"/>
      <c r="AF193" s="296"/>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row>
    <row r="194">
      <c r="A194" s="304"/>
      <c r="B194" s="282"/>
      <c r="C194" s="298"/>
      <c r="D194" s="282"/>
      <c r="E194" s="282"/>
      <c r="F194" s="282"/>
      <c r="G194" s="282"/>
      <c r="H194" s="282"/>
      <c r="I194" s="282"/>
      <c r="J194" s="282"/>
      <c r="K194" s="282"/>
      <c r="L194" s="282"/>
      <c r="M194" s="282"/>
      <c r="N194" s="282"/>
      <c r="O194" s="282"/>
      <c r="P194" s="282"/>
      <c r="Q194" s="282"/>
      <c r="R194" s="282"/>
      <c r="S194" s="282"/>
      <c r="T194" s="282"/>
      <c r="U194" s="282"/>
      <c r="V194" s="298"/>
      <c r="W194" s="298"/>
      <c r="X194" s="298"/>
      <c r="Y194" s="298"/>
      <c r="Z194" s="298"/>
      <c r="AA194" s="298"/>
      <c r="AB194" s="298"/>
      <c r="AC194" s="298"/>
      <c r="AD194" s="298"/>
      <c r="AE194" s="298"/>
      <c r="AF194" s="298"/>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row>
    <row r="195">
      <c r="A195" s="304"/>
      <c r="B195" s="282"/>
      <c r="C195" s="298"/>
      <c r="D195" s="282"/>
      <c r="E195" s="282"/>
      <c r="F195" s="282"/>
      <c r="G195" s="282"/>
      <c r="H195" s="282"/>
      <c r="I195" s="282"/>
      <c r="J195" s="282"/>
      <c r="K195" s="282"/>
      <c r="L195" s="282"/>
      <c r="M195" s="282"/>
      <c r="N195" s="282"/>
      <c r="O195" s="282"/>
      <c r="P195" s="282"/>
      <c r="Q195" s="282"/>
      <c r="R195" s="282"/>
      <c r="S195" s="282"/>
      <c r="T195" s="282"/>
      <c r="U195" s="282"/>
      <c r="V195" s="298"/>
      <c r="W195" s="298"/>
      <c r="X195" s="298"/>
      <c r="Y195" s="298"/>
      <c r="Z195" s="298"/>
      <c r="AA195" s="298"/>
      <c r="AB195" s="298"/>
      <c r="AC195" s="298"/>
      <c r="AD195" s="298"/>
      <c r="AE195" s="298"/>
      <c r="AF195" s="298"/>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row>
    <row r="196">
      <c r="A196" s="304"/>
      <c r="B196" s="282"/>
      <c r="C196" s="298"/>
      <c r="D196" s="282"/>
      <c r="E196" s="282"/>
      <c r="F196" s="282"/>
      <c r="G196" s="282"/>
      <c r="H196" s="282"/>
      <c r="I196" s="282"/>
      <c r="J196" s="282"/>
      <c r="K196" s="282"/>
      <c r="L196" s="282"/>
      <c r="M196" s="282"/>
      <c r="N196" s="282"/>
      <c r="O196" s="282"/>
      <c r="P196" s="282"/>
      <c r="Q196" s="282"/>
      <c r="R196" s="282"/>
      <c r="S196" s="282"/>
      <c r="T196" s="282"/>
      <c r="U196" s="282"/>
      <c r="V196" s="298"/>
      <c r="W196" s="298"/>
      <c r="X196" s="298"/>
      <c r="Y196" s="298"/>
      <c r="Z196" s="298"/>
      <c r="AA196" s="298"/>
      <c r="AB196" s="298"/>
      <c r="AC196" s="298"/>
      <c r="AD196" s="298"/>
      <c r="AE196" s="298"/>
      <c r="AF196" s="298"/>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row>
    <row r="197">
      <c r="A197" s="304"/>
      <c r="B197" s="282"/>
      <c r="C197" s="298"/>
      <c r="D197" s="282"/>
      <c r="E197" s="282"/>
      <c r="F197" s="282"/>
      <c r="G197" s="282"/>
      <c r="H197" s="282"/>
      <c r="I197" s="282"/>
      <c r="J197" s="282"/>
      <c r="K197" s="282"/>
      <c r="L197" s="282"/>
      <c r="M197" s="282"/>
      <c r="N197" s="282"/>
      <c r="O197" s="282"/>
      <c r="P197" s="282"/>
      <c r="Q197" s="282"/>
      <c r="R197" s="282"/>
      <c r="S197" s="282"/>
      <c r="T197" s="282"/>
      <c r="U197" s="282"/>
      <c r="V197" s="298"/>
      <c r="W197" s="298"/>
      <c r="X197" s="298"/>
      <c r="Y197" s="298"/>
      <c r="Z197" s="298"/>
      <c r="AA197" s="298"/>
      <c r="AB197" s="298"/>
      <c r="AC197" s="298"/>
      <c r="AD197" s="298"/>
      <c r="AE197" s="298"/>
      <c r="AF197" s="298"/>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row>
    <row r="198">
      <c r="A198" s="304"/>
      <c r="B198" s="282"/>
      <c r="C198" s="298"/>
      <c r="D198" s="282"/>
      <c r="E198" s="282"/>
      <c r="F198" s="282"/>
      <c r="G198" s="282"/>
      <c r="H198" s="282"/>
      <c r="I198" s="282"/>
      <c r="J198" s="282"/>
      <c r="K198" s="282"/>
      <c r="L198" s="282"/>
      <c r="M198" s="282"/>
      <c r="N198" s="282"/>
      <c r="O198" s="282"/>
      <c r="P198" s="282"/>
      <c r="Q198" s="282"/>
      <c r="R198" s="282"/>
      <c r="S198" s="282"/>
      <c r="T198" s="282"/>
      <c r="U198" s="282"/>
      <c r="V198" s="298"/>
      <c r="W198" s="298"/>
      <c r="X198" s="298"/>
      <c r="Y198" s="298"/>
      <c r="Z198" s="298"/>
      <c r="AA198" s="298"/>
      <c r="AB198" s="298"/>
      <c r="AC198" s="298"/>
      <c r="AD198" s="298"/>
      <c r="AE198" s="298"/>
      <c r="AF198" s="298"/>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row>
    <row r="199">
      <c r="A199" s="304"/>
      <c r="B199" s="282"/>
      <c r="C199" s="298"/>
      <c r="D199" s="282"/>
      <c r="E199" s="282"/>
      <c r="F199" s="282"/>
      <c r="G199" s="282"/>
      <c r="H199" s="282"/>
      <c r="I199" s="282"/>
      <c r="J199" s="282"/>
      <c r="K199" s="282"/>
      <c r="L199" s="282"/>
      <c r="M199" s="282"/>
      <c r="N199" s="282"/>
      <c r="O199" s="282"/>
      <c r="P199" s="282"/>
      <c r="Q199" s="282"/>
      <c r="R199" s="282"/>
      <c r="S199" s="282"/>
      <c r="T199" s="282"/>
      <c r="U199" s="282"/>
      <c r="V199" s="298"/>
      <c r="W199" s="298"/>
      <c r="X199" s="298"/>
      <c r="Y199" s="298"/>
      <c r="Z199" s="298"/>
      <c r="AA199" s="298"/>
      <c r="AB199" s="298"/>
      <c r="AC199" s="298"/>
      <c r="AD199" s="298"/>
      <c r="AE199" s="298"/>
      <c r="AF199" s="298"/>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row>
    <row r="200">
      <c r="A200" s="304"/>
      <c r="B200" s="282"/>
      <c r="C200" s="298"/>
      <c r="D200" s="282"/>
      <c r="E200" s="282"/>
      <c r="F200" s="282"/>
      <c r="G200" s="282"/>
      <c r="H200" s="282"/>
      <c r="I200" s="282"/>
      <c r="J200" s="282"/>
      <c r="K200" s="282"/>
      <c r="L200" s="282"/>
      <c r="M200" s="282"/>
      <c r="N200" s="282"/>
      <c r="O200" s="282"/>
      <c r="P200" s="282"/>
      <c r="Q200" s="282"/>
      <c r="R200" s="282"/>
      <c r="S200" s="282"/>
      <c r="T200" s="282"/>
      <c r="U200" s="282"/>
      <c r="V200" s="298"/>
      <c r="W200" s="298"/>
      <c r="X200" s="298"/>
      <c r="Y200" s="298"/>
      <c r="Z200" s="298"/>
      <c r="AA200" s="298"/>
      <c r="AB200" s="298"/>
      <c r="AC200" s="298"/>
      <c r="AD200" s="298"/>
      <c r="AE200" s="298"/>
      <c r="AF200" s="298"/>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row>
    <row r="201">
      <c r="A201" s="304"/>
      <c r="B201" s="282"/>
      <c r="C201" s="298"/>
      <c r="D201" s="282"/>
      <c r="E201" s="282"/>
      <c r="F201" s="282"/>
      <c r="G201" s="282"/>
      <c r="H201" s="282"/>
      <c r="I201" s="282"/>
      <c r="J201" s="282"/>
      <c r="K201" s="282"/>
      <c r="L201" s="282"/>
      <c r="M201" s="282"/>
      <c r="N201" s="282"/>
      <c r="O201" s="282"/>
      <c r="P201" s="282"/>
      <c r="Q201" s="282"/>
      <c r="R201" s="282"/>
      <c r="S201" s="282"/>
      <c r="T201" s="282"/>
      <c r="U201" s="282"/>
      <c r="V201" s="298"/>
      <c r="W201" s="298"/>
      <c r="X201" s="298"/>
      <c r="Y201" s="298"/>
      <c r="Z201" s="298"/>
      <c r="AA201" s="298"/>
      <c r="AB201" s="298"/>
      <c r="AC201" s="298"/>
      <c r="AD201" s="298"/>
      <c r="AE201" s="298"/>
      <c r="AF201" s="298"/>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row>
    <row r="202">
      <c r="A202" s="304"/>
      <c r="B202" s="282"/>
      <c r="C202" s="298"/>
      <c r="D202" s="282"/>
      <c r="E202" s="282"/>
      <c r="F202" s="282"/>
      <c r="G202" s="282"/>
      <c r="H202" s="282"/>
      <c r="I202" s="282"/>
      <c r="J202" s="282"/>
      <c r="K202" s="282"/>
      <c r="L202" s="282"/>
      <c r="M202" s="282"/>
      <c r="N202" s="282"/>
      <c r="O202" s="282"/>
      <c r="P202" s="282"/>
      <c r="Q202" s="282"/>
      <c r="R202" s="282"/>
      <c r="S202" s="282"/>
      <c r="T202" s="282"/>
      <c r="U202" s="282"/>
      <c r="V202" s="298"/>
      <c r="W202" s="298"/>
      <c r="X202" s="298"/>
      <c r="Y202" s="298"/>
      <c r="Z202" s="298"/>
      <c r="AA202" s="298"/>
      <c r="AB202" s="298"/>
      <c r="AC202" s="298"/>
      <c r="AD202" s="298"/>
      <c r="AE202" s="298"/>
      <c r="AF202" s="298"/>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row>
    <row r="203">
      <c r="A203" s="304"/>
      <c r="B203" s="282"/>
      <c r="C203" s="298"/>
      <c r="D203" s="282"/>
      <c r="E203" s="282"/>
      <c r="F203" s="282"/>
      <c r="G203" s="282"/>
      <c r="H203" s="282"/>
      <c r="I203" s="282"/>
      <c r="J203" s="282"/>
      <c r="K203" s="282"/>
      <c r="L203" s="282"/>
      <c r="M203" s="282"/>
      <c r="N203" s="282"/>
      <c r="O203" s="282"/>
      <c r="P203" s="282"/>
      <c r="Q203" s="282"/>
      <c r="R203" s="282"/>
      <c r="S203" s="282"/>
      <c r="T203" s="282"/>
      <c r="U203" s="282"/>
      <c r="V203" s="298"/>
      <c r="W203" s="298"/>
      <c r="X203" s="298"/>
      <c r="Y203" s="298"/>
      <c r="Z203" s="298"/>
      <c r="AA203" s="298"/>
      <c r="AB203" s="298"/>
      <c r="AC203" s="298"/>
      <c r="AD203" s="298"/>
      <c r="AE203" s="298"/>
      <c r="AF203" s="298"/>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row>
    <row r="204">
      <c r="A204" s="304"/>
      <c r="B204" s="282"/>
      <c r="C204" s="298"/>
      <c r="D204" s="282"/>
      <c r="E204" s="282"/>
      <c r="F204" s="282"/>
      <c r="G204" s="282"/>
      <c r="H204" s="282"/>
      <c r="I204" s="282"/>
      <c r="J204" s="282"/>
      <c r="K204" s="282"/>
      <c r="L204" s="282"/>
      <c r="M204" s="282"/>
      <c r="N204" s="282"/>
      <c r="O204" s="282"/>
      <c r="P204" s="282"/>
      <c r="Q204" s="282"/>
      <c r="R204" s="282"/>
      <c r="S204" s="282"/>
      <c r="T204" s="282"/>
      <c r="U204" s="282"/>
      <c r="V204" s="298"/>
      <c r="W204" s="298"/>
      <c r="X204" s="298"/>
      <c r="Y204" s="298"/>
      <c r="Z204" s="298"/>
      <c r="AA204" s="298"/>
      <c r="AB204" s="298"/>
      <c r="AC204" s="298"/>
      <c r="AD204" s="298"/>
      <c r="AE204" s="298"/>
      <c r="AF204" s="298"/>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row>
    <row r="205">
      <c r="A205" s="304"/>
      <c r="B205" s="282"/>
      <c r="C205" s="298"/>
      <c r="D205" s="282"/>
      <c r="E205" s="282"/>
      <c r="F205" s="282"/>
      <c r="G205" s="282"/>
      <c r="H205" s="282"/>
      <c r="I205" s="282"/>
      <c r="J205" s="282"/>
      <c r="K205" s="282"/>
      <c r="L205" s="282"/>
      <c r="M205" s="282"/>
      <c r="N205" s="282"/>
      <c r="O205" s="282"/>
      <c r="P205" s="282"/>
      <c r="Q205" s="282"/>
      <c r="R205" s="282"/>
      <c r="S205" s="282"/>
      <c r="T205" s="282"/>
      <c r="U205" s="282"/>
      <c r="V205" s="298"/>
      <c r="W205" s="298"/>
      <c r="X205" s="298"/>
      <c r="Y205" s="298"/>
      <c r="Z205" s="298"/>
      <c r="AA205" s="298"/>
      <c r="AB205" s="298"/>
      <c r="AC205" s="298"/>
      <c r="AD205" s="298"/>
      <c r="AE205" s="298"/>
      <c r="AF205" s="298"/>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row>
    <row r="206">
      <c r="A206" s="304"/>
      <c r="B206" s="282"/>
      <c r="C206" s="298"/>
      <c r="D206" s="282"/>
      <c r="E206" s="282"/>
      <c r="F206" s="282"/>
      <c r="G206" s="282"/>
      <c r="H206" s="282"/>
      <c r="I206" s="282"/>
      <c r="J206" s="282"/>
      <c r="K206" s="282"/>
      <c r="L206" s="282"/>
      <c r="M206" s="282"/>
      <c r="N206" s="282"/>
      <c r="O206" s="282"/>
      <c r="P206" s="282"/>
      <c r="Q206" s="282"/>
      <c r="R206" s="282"/>
      <c r="S206" s="282"/>
      <c r="T206" s="282"/>
      <c r="U206" s="282"/>
      <c r="V206" s="298"/>
      <c r="W206" s="298"/>
      <c r="X206" s="298"/>
      <c r="Y206" s="298"/>
      <c r="Z206" s="298"/>
      <c r="AA206" s="298"/>
      <c r="AB206" s="298"/>
      <c r="AC206" s="298"/>
      <c r="AD206" s="298"/>
      <c r="AE206" s="298"/>
      <c r="AF206" s="298"/>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row>
    <row r="207">
      <c r="A207" s="304"/>
      <c r="B207" s="282"/>
      <c r="C207" s="298"/>
      <c r="D207" s="282"/>
      <c r="E207" s="282"/>
      <c r="F207" s="282"/>
      <c r="G207" s="282"/>
      <c r="H207" s="282"/>
      <c r="I207" s="282"/>
      <c r="J207" s="282"/>
      <c r="K207" s="282"/>
      <c r="L207" s="282"/>
      <c r="M207" s="282"/>
      <c r="N207" s="282"/>
      <c r="O207" s="282"/>
      <c r="P207" s="282"/>
      <c r="Q207" s="282"/>
      <c r="R207" s="282"/>
      <c r="S207" s="282"/>
      <c r="T207" s="282"/>
      <c r="U207" s="282"/>
      <c r="V207" s="298"/>
      <c r="W207" s="298"/>
      <c r="X207" s="298"/>
      <c r="Y207" s="298"/>
      <c r="Z207" s="298"/>
      <c r="AA207" s="298"/>
      <c r="AB207" s="298"/>
      <c r="AC207" s="298"/>
      <c r="AD207" s="298"/>
      <c r="AE207" s="298"/>
      <c r="AF207" s="298"/>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row>
    <row r="208">
      <c r="A208" s="304"/>
      <c r="B208" s="282"/>
      <c r="C208" s="298"/>
      <c r="D208" s="282"/>
      <c r="E208" s="282"/>
      <c r="F208" s="282"/>
      <c r="G208" s="282"/>
      <c r="H208" s="282"/>
      <c r="I208" s="282"/>
      <c r="J208" s="282"/>
      <c r="K208" s="282"/>
      <c r="L208" s="282"/>
      <c r="M208" s="282"/>
      <c r="N208" s="282"/>
      <c r="O208" s="282"/>
      <c r="P208" s="282"/>
      <c r="Q208" s="282"/>
      <c r="R208" s="282"/>
      <c r="S208" s="282"/>
      <c r="T208" s="282"/>
      <c r="U208" s="282"/>
      <c r="V208" s="298"/>
      <c r="W208" s="298"/>
      <c r="X208" s="298"/>
      <c r="Y208" s="298"/>
      <c r="Z208" s="298"/>
      <c r="AA208" s="298"/>
      <c r="AB208" s="298"/>
      <c r="AC208" s="298"/>
      <c r="AD208" s="298"/>
      <c r="AE208" s="298"/>
      <c r="AF208" s="298"/>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row>
    <row r="209">
      <c r="A209" s="304"/>
      <c r="B209" s="282"/>
      <c r="C209" s="298"/>
      <c r="D209" s="282"/>
      <c r="E209" s="282"/>
      <c r="F209" s="282"/>
      <c r="G209" s="282"/>
      <c r="H209" s="282"/>
      <c r="I209" s="282"/>
      <c r="J209" s="282"/>
      <c r="K209" s="282"/>
      <c r="L209" s="282"/>
      <c r="M209" s="282"/>
      <c r="N209" s="282"/>
      <c r="O209" s="282"/>
      <c r="P209" s="282"/>
      <c r="Q209" s="282"/>
      <c r="R209" s="282"/>
      <c r="S209" s="282"/>
      <c r="T209" s="282"/>
      <c r="U209" s="282"/>
      <c r="V209" s="298"/>
      <c r="W209" s="298"/>
      <c r="X209" s="298"/>
      <c r="Y209" s="298"/>
      <c r="Z209" s="298"/>
      <c r="AA209" s="298"/>
      <c r="AB209" s="298"/>
      <c r="AC209" s="298"/>
      <c r="AD209" s="298"/>
      <c r="AE209" s="298"/>
      <c r="AF209" s="298"/>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row>
    <row r="210">
      <c r="A210" s="304"/>
      <c r="B210" s="282"/>
      <c r="C210" s="298"/>
      <c r="D210" s="282"/>
      <c r="E210" s="282"/>
      <c r="F210" s="282"/>
      <c r="G210" s="282"/>
      <c r="H210" s="282"/>
      <c r="I210" s="282"/>
      <c r="J210" s="282"/>
      <c r="K210" s="282"/>
      <c r="L210" s="282"/>
      <c r="M210" s="282"/>
      <c r="N210" s="282"/>
      <c r="O210" s="282"/>
      <c r="P210" s="282"/>
      <c r="Q210" s="282"/>
      <c r="R210" s="282"/>
      <c r="S210" s="282"/>
      <c r="T210" s="282"/>
      <c r="U210" s="282"/>
      <c r="V210" s="298"/>
      <c r="W210" s="298"/>
      <c r="X210" s="298"/>
      <c r="Y210" s="298"/>
      <c r="Z210" s="298"/>
      <c r="AA210" s="298"/>
      <c r="AB210" s="298"/>
      <c r="AC210" s="298"/>
      <c r="AD210" s="298"/>
      <c r="AE210" s="298"/>
      <c r="AF210" s="298"/>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row>
    <row r="211">
      <c r="A211" s="304"/>
      <c r="B211" s="282"/>
      <c r="C211" s="298"/>
      <c r="D211" s="282"/>
      <c r="E211" s="282"/>
      <c r="F211" s="282"/>
      <c r="G211" s="282"/>
      <c r="H211" s="282"/>
      <c r="I211" s="282"/>
      <c r="J211" s="282"/>
      <c r="K211" s="282"/>
      <c r="L211" s="282"/>
      <c r="M211" s="282"/>
      <c r="N211" s="282"/>
      <c r="O211" s="282"/>
      <c r="P211" s="282"/>
      <c r="Q211" s="282"/>
      <c r="R211" s="282"/>
      <c r="S211" s="282"/>
      <c r="T211" s="282"/>
      <c r="U211" s="282"/>
      <c r="V211" s="298"/>
      <c r="W211" s="298"/>
      <c r="X211" s="298"/>
      <c r="Y211" s="298"/>
      <c r="Z211" s="298"/>
      <c r="AA211" s="298"/>
      <c r="AB211" s="298"/>
      <c r="AC211" s="298"/>
      <c r="AD211" s="298"/>
      <c r="AE211" s="298"/>
      <c r="AF211" s="298"/>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row>
    <row r="212">
      <c r="A212" s="304"/>
      <c r="B212" s="282"/>
      <c r="C212" s="298"/>
      <c r="D212" s="282"/>
      <c r="E212" s="282"/>
      <c r="F212" s="282"/>
      <c r="G212" s="282"/>
      <c r="H212" s="282"/>
      <c r="I212" s="282"/>
      <c r="J212" s="282"/>
      <c r="K212" s="282"/>
      <c r="L212" s="282"/>
      <c r="M212" s="282"/>
      <c r="N212" s="282"/>
      <c r="O212" s="282"/>
      <c r="P212" s="282"/>
      <c r="Q212" s="282"/>
      <c r="R212" s="282"/>
      <c r="S212" s="282"/>
      <c r="T212" s="282"/>
      <c r="U212" s="282"/>
      <c r="V212" s="298"/>
      <c r="W212" s="298"/>
      <c r="X212" s="298"/>
      <c r="Y212" s="298"/>
      <c r="Z212" s="298"/>
      <c r="AA212" s="298"/>
      <c r="AB212" s="298"/>
      <c r="AC212" s="298"/>
      <c r="AD212" s="298"/>
      <c r="AE212" s="298"/>
      <c r="AF212" s="298"/>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row>
    <row r="213">
      <c r="A213" s="304"/>
      <c r="B213" s="282"/>
      <c r="C213" s="298"/>
      <c r="D213" s="282"/>
      <c r="E213" s="282"/>
      <c r="F213" s="282"/>
      <c r="G213" s="282"/>
      <c r="H213" s="282"/>
      <c r="I213" s="282"/>
      <c r="J213" s="282"/>
      <c r="K213" s="282"/>
      <c r="L213" s="282"/>
      <c r="M213" s="282"/>
      <c r="N213" s="282"/>
      <c r="O213" s="282"/>
      <c r="P213" s="282"/>
      <c r="Q213" s="282"/>
      <c r="R213" s="282"/>
      <c r="S213" s="282"/>
      <c r="T213" s="282"/>
      <c r="U213" s="282"/>
      <c r="V213" s="298"/>
      <c r="W213" s="298"/>
      <c r="X213" s="298"/>
      <c r="Y213" s="298"/>
      <c r="Z213" s="298"/>
      <c r="AA213" s="298"/>
      <c r="AB213" s="298"/>
      <c r="AC213" s="298"/>
      <c r="AD213" s="298"/>
      <c r="AE213" s="298"/>
      <c r="AF213" s="298"/>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row>
    <row r="214">
      <c r="A214" s="304"/>
      <c r="B214" s="282"/>
      <c r="C214" s="298"/>
      <c r="D214" s="282"/>
      <c r="E214" s="282"/>
      <c r="F214" s="282"/>
      <c r="G214" s="282"/>
      <c r="H214" s="282"/>
      <c r="I214" s="282"/>
      <c r="J214" s="282"/>
      <c r="K214" s="282"/>
      <c r="L214" s="282"/>
      <c r="M214" s="282"/>
      <c r="N214" s="282"/>
      <c r="O214" s="282"/>
      <c r="P214" s="282"/>
      <c r="Q214" s="282"/>
      <c r="R214" s="282"/>
      <c r="S214" s="282"/>
      <c r="T214" s="282"/>
      <c r="U214" s="282"/>
      <c r="V214" s="298"/>
      <c r="W214" s="298"/>
      <c r="X214" s="298"/>
      <c r="Y214" s="298"/>
      <c r="Z214" s="298"/>
      <c r="AA214" s="298"/>
      <c r="AB214" s="298"/>
      <c r="AC214" s="298"/>
      <c r="AD214" s="298"/>
      <c r="AE214" s="298"/>
      <c r="AF214" s="298"/>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row>
    <row r="215">
      <c r="A215" s="304"/>
      <c r="B215" s="282"/>
      <c r="C215" s="298"/>
      <c r="D215" s="282"/>
      <c r="E215" s="282"/>
      <c r="F215" s="282"/>
      <c r="G215" s="282"/>
      <c r="H215" s="282"/>
      <c r="I215" s="282"/>
      <c r="J215" s="282"/>
      <c r="K215" s="282"/>
      <c r="L215" s="282"/>
      <c r="M215" s="282"/>
      <c r="N215" s="282"/>
      <c r="O215" s="282"/>
      <c r="P215" s="282"/>
      <c r="Q215" s="282"/>
      <c r="R215" s="282"/>
      <c r="S215" s="282"/>
      <c r="T215" s="282"/>
      <c r="U215" s="282"/>
      <c r="V215" s="298"/>
      <c r="W215" s="298"/>
      <c r="X215" s="298"/>
      <c r="Y215" s="298"/>
      <c r="Z215" s="298"/>
      <c r="AA215" s="298"/>
      <c r="AB215" s="298"/>
      <c r="AC215" s="298"/>
      <c r="AD215" s="298"/>
      <c r="AE215" s="298"/>
      <c r="AF215" s="298"/>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row>
    <row r="216">
      <c r="A216" s="304"/>
      <c r="B216" s="282"/>
      <c r="C216" s="298"/>
      <c r="D216" s="282"/>
      <c r="E216" s="282"/>
      <c r="F216" s="282"/>
      <c r="G216" s="282"/>
      <c r="H216" s="282"/>
      <c r="I216" s="282"/>
      <c r="J216" s="282"/>
      <c r="K216" s="282"/>
      <c r="L216" s="282"/>
      <c r="M216" s="282"/>
      <c r="N216" s="282"/>
      <c r="O216" s="282"/>
      <c r="P216" s="282"/>
      <c r="Q216" s="282"/>
      <c r="R216" s="282"/>
      <c r="S216" s="282"/>
      <c r="T216" s="282"/>
      <c r="U216" s="282"/>
      <c r="V216" s="298"/>
      <c r="W216" s="298"/>
      <c r="X216" s="298"/>
      <c r="Y216" s="298"/>
      <c r="Z216" s="298"/>
      <c r="AA216" s="298"/>
      <c r="AB216" s="298"/>
      <c r="AC216" s="298"/>
      <c r="AD216" s="298"/>
      <c r="AE216" s="298"/>
      <c r="AF216" s="298"/>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row>
    <row r="217">
      <c r="A217" s="304"/>
      <c r="B217" s="282"/>
      <c r="C217" s="298"/>
      <c r="D217" s="282"/>
      <c r="E217" s="282"/>
      <c r="F217" s="282"/>
      <c r="G217" s="282"/>
      <c r="H217" s="282"/>
      <c r="I217" s="282"/>
      <c r="J217" s="282"/>
      <c r="K217" s="282"/>
      <c r="L217" s="282"/>
      <c r="M217" s="282"/>
      <c r="N217" s="282"/>
      <c r="O217" s="282"/>
      <c r="P217" s="282"/>
      <c r="Q217" s="282"/>
      <c r="R217" s="282"/>
      <c r="S217" s="282"/>
      <c r="T217" s="282"/>
      <c r="U217" s="282"/>
      <c r="V217" s="298"/>
      <c r="W217" s="298"/>
      <c r="X217" s="298"/>
      <c r="Y217" s="298"/>
      <c r="Z217" s="298"/>
      <c r="AA217" s="298"/>
      <c r="AB217" s="298"/>
      <c r="AC217" s="298"/>
      <c r="AD217" s="298"/>
      <c r="AE217" s="298"/>
      <c r="AF217" s="298"/>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row>
    <row r="218">
      <c r="A218" s="304"/>
      <c r="B218" s="282"/>
      <c r="C218" s="298"/>
      <c r="D218" s="282"/>
      <c r="E218" s="282"/>
      <c r="F218" s="282"/>
      <c r="G218" s="282"/>
      <c r="H218" s="282"/>
      <c r="I218" s="282"/>
      <c r="J218" s="282"/>
      <c r="K218" s="282"/>
      <c r="L218" s="282"/>
      <c r="M218" s="282"/>
      <c r="N218" s="282"/>
      <c r="O218" s="282"/>
      <c r="P218" s="282"/>
      <c r="Q218" s="282"/>
      <c r="R218" s="282"/>
      <c r="S218" s="282"/>
      <c r="T218" s="282"/>
      <c r="U218" s="282"/>
      <c r="V218" s="298"/>
      <c r="W218" s="298"/>
      <c r="X218" s="298"/>
      <c r="Y218" s="298"/>
      <c r="Z218" s="298"/>
      <c r="AA218" s="298"/>
      <c r="AB218" s="298"/>
      <c r="AC218" s="298"/>
      <c r="AD218" s="298"/>
      <c r="AE218" s="298"/>
      <c r="AF218" s="298"/>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row>
    <row r="219">
      <c r="A219" s="304"/>
      <c r="B219" s="282"/>
      <c r="C219" s="298"/>
      <c r="D219" s="282"/>
      <c r="E219" s="282"/>
      <c r="F219" s="282"/>
      <c r="G219" s="282"/>
      <c r="H219" s="282"/>
      <c r="I219" s="282"/>
      <c r="J219" s="282"/>
      <c r="K219" s="282"/>
      <c r="L219" s="282"/>
      <c r="M219" s="282"/>
      <c r="N219" s="282"/>
      <c r="O219" s="282"/>
      <c r="P219" s="282"/>
      <c r="Q219" s="282"/>
      <c r="R219" s="282"/>
      <c r="S219" s="282"/>
      <c r="T219" s="282"/>
      <c r="U219" s="282"/>
      <c r="V219" s="298"/>
      <c r="W219" s="298"/>
      <c r="X219" s="298"/>
      <c r="Y219" s="298"/>
      <c r="Z219" s="298"/>
      <c r="AA219" s="298"/>
      <c r="AB219" s="298"/>
      <c r="AC219" s="298"/>
      <c r="AD219" s="298"/>
      <c r="AE219" s="298"/>
      <c r="AF219" s="298"/>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row>
    <row r="220">
      <c r="A220" s="304"/>
      <c r="B220" s="282"/>
      <c r="C220" s="298"/>
      <c r="D220" s="282"/>
      <c r="E220" s="282"/>
      <c r="F220" s="282"/>
      <c r="G220" s="282"/>
      <c r="H220" s="282"/>
      <c r="I220" s="282"/>
      <c r="J220" s="282"/>
      <c r="K220" s="282"/>
      <c r="L220" s="282"/>
      <c r="M220" s="282"/>
      <c r="N220" s="282"/>
      <c r="O220" s="282"/>
      <c r="P220" s="282"/>
      <c r="Q220" s="282"/>
      <c r="R220" s="282"/>
      <c r="S220" s="282"/>
      <c r="T220" s="282"/>
      <c r="U220" s="282"/>
      <c r="V220" s="298"/>
      <c r="W220" s="298"/>
      <c r="X220" s="298"/>
      <c r="Y220" s="298"/>
      <c r="Z220" s="298"/>
      <c r="AA220" s="298"/>
      <c r="AB220" s="298"/>
      <c r="AC220" s="298"/>
      <c r="AD220" s="298"/>
      <c r="AE220" s="298"/>
      <c r="AF220" s="298"/>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row>
    <row r="221">
      <c r="A221" s="304"/>
      <c r="B221" s="282"/>
      <c r="C221" s="298"/>
      <c r="D221" s="282"/>
      <c r="E221" s="282"/>
      <c r="F221" s="282"/>
      <c r="G221" s="282"/>
      <c r="H221" s="282"/>
      <c r="I221" s="282"/>
      <c r="J221" s="282"/>
      <c r="K221" s="282"/>
      <c r="L221" s="282"/>
      <c r="M221" s="282"/>
      <c r="N221" s="282"/>
      <c r="O221" s="282"/>
      <c r="P221" s="282"/>
      <c r="Q221" s="282"/>
      <c r="R221" s="282"/>
      <c r="S221" s="282"/>
      <c r="T221" s="282"/>
      <c r="U221" s="282"/>
      <c r="V221" s="298"/>
      <c r="W221" s="298"/>
      <c r="X221" s="298"/>
      <c r="Y221" s="298"/>
      <c r="Z221" s="298"/>
      <c r="AA221" s="298"/>
      <c r="AB221" s="298"/>
      <c r="AC221" s="298"/>
      <c r="AD221" s="298"/>
      <c r="AE221" s="298"/>
      <c r="AF221" s="298"/>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row>
    <row r="222">
      <c r="A222" s="304"/>
      <c r="B222" s="282"/>
      <c r="C222" s="298"/>
      <c r="D222" s="282"/>
      <c r="E222" s="282"/>
      <c r="F222" s="282"/>
      <c r="G222" s="282"/>
      <c r="H222" s="282"/>
      <c r="I222" s="282"/>
      <c r="J222" s="282"/>
      <c r="K222" s="282"/>
      <c r="L222" s="282"/>
      <c r="M222" s="282"/>
      <c r="N222" s="282"/>
      <c r="O222" s="282"/>
      <c r="P222" s="282"/>
      <c r="Q222" s="282"/>
      <c r="R222" s="282"/>
      <c r="S222" s="282"/>
      <c r="T222" s="282"/>
      <c r="U222" s="282"/>
      <c r="V222" s="298"/>
      <c r="W222" s="298"/>
      <c r="X222" s="298"/>
      <c r="Y222" s="298"/>
      <c r="Z222" s="298"/>
      <c r="AA222" s="298"/>
      <c r="AB222" s="298"/>
      <c r="AC222" s="298"/>
      <c r="AD222" s="298"/>
      <c r="AE222" s="298"/>
      <c r="AF222" s="298"/>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row>
    <row r="223">
      <c r="A223" s="304"/>
      <c r="B223" s="282"/>
      <c r="C223" s="298"/>
      <c r="D223" s="282"/>
      <c r="E223" s="282"/>
      <c r="F223" s="282"/>
      <c r="G223" s="282"/>
      <c r="H223" s="282"/>
      <c r="I223" s="282"/>
      <c r="J223" s="282"/>
      <c r="K223" s="282"/>
      <c r="L223" s="282"/>
      <c r="M223" s="282"/>
      <c r="N223" s="282"/>
      <c r="O223" s="282"/>
      <c r="P223" s="282"/>
      <c r="Q223" s="282"/>
      <c r="R223" s="282"/>
      <c r="S223" s="282"/>
      <c r="T223" s="282"/>
      <c r="U223" s="282"/>
      <c r="V223" s="298"/>
      <c r="W223" s="298"/>
      <c r="X223" s="298"/>
      <c r="Y223" s="298"/>
      <c r="Z223" s="298"/>
      <c r="AA223" s="298"/>
      <c r="AB223" s="298"/>
      <c r="AC223" s="298"/>
      <c r="AD223" s="298"/>
      <c r="AE223" s="298"/>
      <c r="AF223" s="298"/>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row>
    <row r="224">
      <c r="A224" s="304"/>
      <c r="B224" s="282"/>
      <c r="C224" s="298"/>
      <c r="D224" s="282"/>
      <c r="E224" s="282"/>
      <c r="F224" s="282"/>
      <c r="G224" s="282"/>
      <c r="H224" s="282"/>
      <c r="I224" s="282"/>
      <c r="J224" s="282"/>
      <c r="K224" s="282"/>
      <c r="L224" s="282"/>
      <c r="M224" s="282"/>
      <c r="N224" s="282"/>
      <c r="O224" s="282"/>
      <c r="P224" s="282"/>
      <c r="Q224" s="282"/>
      <c r="R224" s="282"/>
      <c r="S224" s="282"/>
      <c r="T224" s="282"/>
      <c r="U224" s="282"/>
      <c r="V224" s="298"/>
      <c r="W224" s="298"/>
      <c r="X224" s="298"/>
      <c r="Y224" s="298"/>
      <c r="Z224" s="298"/>
      <c r="AA224" s="298"/>
      <c r="AB224" s="298"/>
      <c r="AC224" s="298"/>
      <c r="AD224" s="298"/>
      <c r="AE224" s="298"/>
      <c r="AF224" s="298"/>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row>
    <row r="225">
      <c r="A225" s="304"/>
      <c r="B225" s="282"/>
      <c r="C225" s="298"/>
      <c r="D225" s="282"/>
      <c r="E225" s="282"/>
      <c r="F225" s="282"/>
      <c r="G225" s="282"/>
      <c r="H225" s="282"/>
      <c r="I225" s="282"/>
      <c r="J225" s="282"/>
      <c r="K225" s="282"/>
      <c r="L225" s="282"/>
      <c r="M225" s="282"/>
      <c r="N225" s="282"/>
      <c r="O225" s="282"/>
      <c r="P225" s="282"/>
      <c r="Q225" s="282"/>
      <c r="R225" s="282"/>
      <c r="S225" s="282"/>
      <c r="T225" s="282"/>
      <c r="U225" s="282"/>
      <c r="V225" s="298"/>
      <c r="W225" s="298"/>
      <c r="X225" s="298"/>
      <c r="Y225" s="298"/>
      <c r="Z225" s="298"/>
      <c r="AA225" s="298"/>
      <c r="AB225" s="298"/>
      <c r="AC225" s="298"/>
      <c r="AD225" s="298"/>
      <c r="AE225" s="298"/>
      <c r="AF225" s="298"/>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row>
    <row r="226">
      <c r="A226" s="304"/>
      <c r="B226" s="282"/>
      <c r="C226" s="298"/>
      <c r="D226" s="282"/>
      <c r="E226" s="282"/>
      <c r="F226" s="282"/>
      <c r="G226" s="282"/>
      <c r="H226" s="282"/>
      <c r="I226" s="282"/>
      <c r="J226" s="282"/>
      <c r="K226" s="282"/>
      <c r="L226" s="282"/>
      <c r="M226" s="282"/>
      <c r="N226" s="282"/>
      <c r="O226" s="282"/>
      <c r="P226" s="282"/>
      <c r="Q226" s="282"/>
      <c r="R226" s="282"/>
      <c r="S226" s="282"/>
      <c r="T226" s="282"/>
      <c r="U226" s="282"/>
      <c r="V226" s="298"/>
      <c r="W226" s="298"/>
      <c r="X226" s="298"/>
      <c r="Y226" s="298"/>
      <c r="Z226" s="298"/>
      <c r="AA226" s="298"/>
      <c r="AB226" s="298"/>
      <c r="AC226" s="298"/>
      <c r="AD226" s="298"/>
      <c r="AE226" s="298"/>
      <c r="AF226" s="298"/>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row>
    <row r="227">
      <c r="A227" s="304"/>
      <c r="B227" s="282"/>
      <c r="C227" s="298"/>
      <c r="D227" s="282"/>
      <c r="E227" s="282"/>
      <c r="F227" s="282"/>
      <c r="G227" s="282"/>
      <c r="H227" s="282"/>
      <c r="I227" s="282"/>
      <c r="J227" s="282"/>
      <c r="K227" s="282"/>
      <c r="L227" s="282"/>
      <c r="M227" s="282"/>
      <c r="N227" s="282"/>
      <c r="O227" s="282"/>
      <c r="P227" s="282"/>
      <c r="Q227" s="282"/>
      <c r="R227" s="282"/>
      <c r="S227" s="282"/>
      <c r="T227" s="282"/>
      <c r="U227" s="282"/>
      <c r="V227" s="298"/>
      <c r="W227" s="298"/>
      <c r="X227" s="298"/>
      <c r="Y227" s="298"/>
      <c r="Z227" s="298"/>
      <c r="AA227" s="298"/>
      <c r="AB227" s="298"/>
      <c r="AC227" s="298"/>
      <c r="AD227" s="298"/>
      <c r="AE227" s="298"/>
      <c r="AF227" s="298"/>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row>
    <row r="228">
      <c r="A228" s="304"/>
      <c r="B228" s="282"/>
      <c r="C228" s="298"/>
      <c r="D228" s="282"/>
      <c r="E228" s="282"/>
      <c r="F228" s="282"/>
      <c r="G228" s="282"/>
      <c r="H228" s="282"/>
      <c r="I228" s="282"/>
      <c r="J228" s="282"/>
      <c r="K228" s="282"/>
      <c r="L228" s="282"/>
      <c r="M228" s="282"/>
      <c r="N228" s="282"/>
      <c r="O228" s="282"/>
      <c r="P228" s="282"/>
      <c r="Q228" s="282"/>
      <c r="R228" s="282"/>
      <c r="S228" s="282"/>
      <c r="T228" s="282"/>
      <c r="U228" s="282"/>
      <c r="V228" s="298"/>
      <c r="W228" s="298"/>
      <c r="X228" s="298"/>
      <c r="Y228" s="298"/>
      <c r="Z228" s="298"/>
      <c r="AA228" s="298"/>
      <c r="AB228" s="298"/>
      <c r="AC228" s="298"/>
      <c r="AD228" s="298"/>
      <c r="AE228" s="298"/>
      <c r="AF228" s="298"/>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row>
    <row r="229">
      <c r="A229" s="304"/>
      <c r="B229" s="282"/>
      <c r="C229" s="298"/>
      <c r="D229" s="282"/>
      <c r="E229" s="282"/>
      <c r="F229" s="282"/>
      <c r="G229" s="282"/>
      <c r="H229" s="282"/>
      <c r="I229" s="282"/>
      <c r="J229" s="282"/>
      <c r="K229" s="282"/>
      <c r="L229" s="282"/>
      <c r="M229" s="282"/>
      <c r="N229" s="282"/>
      <c r="O229" s="282"/>
      <c r="P229" s="282"/>
      <c r="Q229" s="282"/>
      <c r="R229" s="282"/>
      <c r="S229" s="282"/>
      <c r="T229" s="282"/>
      <c r="U229" s="282"/>
      <c r="V229" s="298"/>
      <c r="W229" s="298"/>
      <c r="X229" s="298"/>
      <c r="Y229" s="298"/>
      <c r="Z229" s="298"/>
      <c r="AA229" s="298"/>
      <c r="AB229" s="298"/>
      <c r="AC229" s="298"/>
      <c r="AD229" s="298"/>
      <c r="AE229" s="298"/>
      <c r="AF229" s="298"/>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row>
    <row r="230">
      <c r="A230" s="304"/>
      <c r="B230" s="282"/>
      <c r="C230" s="298"/>
      <c r="D230" s="282"/>
      <c r="E230" s="282"/>
      <c r="F230" s="282"/>
      <c r="G230" s="282"/>
      <c r="H230" s="282"/>
      <c r="I230" s="282"/>
      <c r="J230" s="282"/>
      <c r="K230" s="282"/>
      <c r="L230" s="282"/>
      <c r="M230" s="282"/>
      <c r="N230" s="282"/>
      <c r="O230" s="282"/>
      <c r="P230" s="282"/>
      <c r="Q230" s="282"/>
      <c r="R230" s="282"/>
      <c r="S230" s="282"/>
      <c r="T230" s="282"/>
      <c r="U230" s="282"/>
      <c r="V230" s="298"/>
      <c r="W230" s="298"/>
      <c r="X230" s="298"/>
      <c r="Y230" s="298"/>
      <c r="Z230" s="298"/>
      <c r="AA230" s="298"/>
      <c r="AB230" s="298"/>
      <c r="AC230" s="298"/>
      <c r="AD230" s="298"/>
      <c r="AE230" s="298"/>
      <c r="AF230" s="298"/>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row>
    <row r="231">
      <c r="A231" s="304"/>
      <c r="B231" s="282"/>
      <c r="C231" s="298"/>
      <c r="D231" s="282"/>
      <c r="E231" s="282"/>
      <c r="F231" s="282"/>
      <c r="G231" s="282"/>
      <c r="H231" s="282"/>
      <c r="I231" s="282"/>
      <c r="J231" s="282"/>
      <c r="K231" s="282"/>
      <c r="L231" s="282"/>
      <c r="M231" s="282"/>
      <c r="N231" s="282"/>
      <c r="O231" s="282"/>
      <c r="P231" s="282"/>
      <c r="Q231" s="282"/>
      <c r="R231" s="282"/>
      <c r="S231" s="282"/>
      <c r="T231" s="282"/>
      <c r="U231" s="282"/>
      <c r="V231" s="298"/>
      <c r="W231" s="298"/>
      <c r="X231" s="298"/>
      <c r="Y231" s="298"/>
      <c r="Z231" s="298"/>
      <c r="AA231" s="298"/>
      <c r="AB231" s="298"/>
      <c r="AC231" s="298"/>
      <c r="AD231" s="298"/>
      <c r="AE231" s="298"/>
      <c r="AF231" s="298"/>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row>
    <row r="232">
      <c r="A232" s="304"/>
      <c r="B232" s="282"/>
      <c r="C232" s="298"/>
      <c r="D232" s="282"/>
      <c r="E232" s="282"/>
      <c r="F232" s="282"/>
      <c r="G232" s="282"/>
      <c r="H232" s="282"/>
      <c r="I232" s="282"/>
      <c r="J232" s="282"/>
      <c r="K232" s="282"/>
      <c r="L232" s="282"/>
      <c r="M232" s="282"/>
      <c r="N232" s="282"/>
      <c r="O232" s="282"/>
      <c r="P232" s="282"/>
      <c r="Q232" s="282"/>
      <c r="R232" s="282"/>
      <c r="S232" s="282"/>
      <c r="T232" s="282"/>
      <c r="U232" s="282"/>
      <c r="V232" s="298"/>
      <c r="W232" s="298"/>
      <c r="X232" s="298"/>
      <c r="Y232" s="298"/>
      <c r="Z232" s="298"/>
      <c r="AA232" s="298"/>
      <c r="AB232" s="298"/>
      <c r="AC232" s="298"/>
      <c r="AD232" s="298"/>
      <c r="AE232" s="298"/>
      <c r="AF232" s="298"/>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row>
    <row r="233">
      <c r="A233" s="304"/>
      <c r="B233" s="282"/>
      <c r="C233" s="298"/>
      <c r="D233" s="282"/>
      <c r="E233" s="282"/>
      <c r="F233" s="282"/>
      <c r="G233" s="282"/>
      <c r="H233" s="282"/>
      <c r="I233" s="282"/>
      <c r="J233" s="282"/>
      <c r="K233" s="282"/>
      <c r="L233" s="282"/>
      <c r="M233" s="282"/>
      <c r="N233" s="282"/>
      <c r="O233" s="282"/>
      <c r="P233" s="282"/>
      <c r="Q233" s="282"/>
      <c r="R233" s="282"/>
      <c r="S233" s="282"/>
      <c r="T233" s="282"/>
      <c r="U233" s="282"/>
      <c r="V233" s="298"/>
      <c r="W233" s="298"/>
      <c r="X233" s="298"/>
      <c r="Y233" s="298"/>
      <c r="Z233" s="298"/>
      <c r="AA233" s="298"/>
      <c r="AB233" s="298"/>
      <c r="AC233" s="298"/>
      <c r="AD233" s="298"/>
      <c r="AE233" s="298"/>
      <c r="AF233" s="298"/>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row>
    <row r="234">
      <c r="A234" s="304"/>
      <c r="B234" s="282"/>
      <c r="C234" s="298"/>
      <c r="D234" s="282"/>
      <c r="E234" s="282"/>
      <c r="F234" s="282"/>
      <c r="G234" s="282"/>
      <c r="H234" s="282"/>
      <c r="I234" s="282"/>
      <c r="J234" s="282"/>
      <c r="K234" s="282"/>
      <c r="L234" s="282"/>
      <c r="M234" s="282"/>
      <c r="N234" s="282"/>
      <c r="O234" s="282"/>
      <c r="P234" s="282"/>
      <c r="Q234" s="282"/>
      <c r="R234" s="282"/>
      <c r="S234" s="282"/>
      <c r="T234" s="282"/>
      <c r="U234" s="282"/>
      <c r="V234" s="298"/>
      <c r="W234" s="298"/>
      <c r="X234" s="298"/>
      <c r="Y234" s="298"/>
      <c r="Z234" s="298"/>
      <c r="AA234" s="298"/>
      <c r="AB234" s="298"/>
      <c r="AC234" s="298"/>
      <c r="AD234" s="298"/>
      <c r="AE234" s="298"/>
      <c r="AF234" s="298"/>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row>
    <row r="235">
      <c r="A235" s="304"/>
      <c r="B235" s="282"/>
      <c r="C235" s="298"/>
      <c r="D235" s="282"/>
      <c r="E235" s="282"/>
      <c r="F235" s="282"/>
      <c r="G235" s="282"/>
      <c r="H235" s="282"/>
      <c r="I235" s="282"/>
      <c r="J235" s="282"/>
      <c r="K235" s="282"/>
      <c r="L235" s="282"/>
      <c r="M235" s="282"/>
      <c r="N235" s="282"/>
      <c r="O235" s="282"/>
      <c r="P235" s="282"/>
      <c r="Q235" s="282"/>
      <c r="R235" s="282"/>
      <c r="S235" s="282"/>
      <c r="T235" s="282"/>
      <c r="U235" s="282"/>
      <c r="V235" s="298"/>
      <c r="W235" s="298"/>
      <c r="X235" s="298"/>
      <c r="Y235" s="298"/>
      <c r="Z235" s="298"/>
      <c r="AA235" s="298"/>
      <c r="AB235" s="298"/>
      <c r="AC235" s="298"/>
      <c r="AD235" s="298"/>
      <c r="AE235" s="298"/>
      <c r="AF235" s="298"/>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row>
    <row r="236">
      <c r="A236" s="304"/>
      <c r="B236" s="282"/>
      <c r="C236" s="298"/>
      <c r="D236" s="282"/>
      <c r="E236" s="282"/>
      <c r="F236" s="282"/>
      <c r="G236" s="282"/>
      <c r="H236" s="282"/>
      <c r="I236" s="282"/>
      <c r="J236" s="282"/>
      <c r="K236" s="282"/>
      <c r="L236" s="282"/>
      <c r="M236" s="282"/>
      <c r="N236" s="282"/>
      <c r="O236" s="282"/>
      <c r="P236" s="282"/>
      <c r="Q236" s="282"/>
      <c r="R236" s="282"/>
      <c r="S236" s="282"/>
      <c r="T236" s="282"/>
      <c r="U236" s="282"/>
      <c r="V236" s="298"/>
      <c r="W236" s="298"/>
      <c r="X236" s="298"/>
      <c r="Y236" s="298"/>
      <c r="Z236" s="298"/>
      <c r="AA236" s="298"/>
      <c r="AB236" s="298"/>
      <c r="AC236" s="298"/>
      <c r="AD236" s="298"/>
      <c r="AE236" s="298"/>
      <c r="AF236" s="298"/>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row>
    <row r="237">
      <c r="A237" s="304"/>
      <c r="B237" s="282"/>
      <c r="C237" s="298"/>
      <c r="D237" s="282"/>
      <c r="E237" s="282"/>
      <c r="F237" s="282"/>
      <c r="G237" s="282"/>
      <c r="H237" s="282"/>
      <c r="I237" s="282"/>
      <c r="J237" s="282"/>
      <c r="K237" s="282"/>
      <c r="L237" s="282"/>
      <c r="M237" s="282"/>
      <c r="N237" s="282"/>
      <c r="O237" s="282"/>
      <c r="P237" s="282"/>
      <c r="Q237" s="282"/>
      <c r="R237" s="282"/>
      <c r="S237" s="282"/>
      <c r="T237" s="282"/>
      <c r="U237" s="282"/>
      <c r="V237" s="298"/>
      <c r="W237" s="298"/>
      <c r="X237" s="298"/>
      <c r="Y237" s="298"/>
      <c r="Z237" s="298"/>
      <c r="AA237" s="298"/>
      <c r="AB237" s="298"/>
      <c r="AC237" s="298"/>
      <c r="AD237" s="298"/>
      <c r="AE237" s="298"/>
      <c r="AF237" s="298"/>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row>
    <row r="238">
      <c r="A238" s="304"/>
      <c r="B238" s="282"/>
      <c r="C238" s="298"/>
      <c r="D238" s="282"/>
      <c r="E238" s="282"/>
      <c r="F238" s="282"/>
      <c r="G238" s="282"/>
      <c r="H238" s="282"/>
      <c r="I238" s="282"/>
      <c r="J238" s="282"/>
      <c r="K238" s="282"/>
      <c r="L238" s="282"/>
      <c r="M238" s="282"/>
      <c r="N238" s="282"/>
      <c r="O238" s="282"/>
      <c r="P238" s="282"/>
      <c r="Q238" s="282"/>
      <c r="R238" s="282"/>
      <c r="S238" s="282"/>
      <c r="T238" s="282"/>
      <c r="U238" s="282"/>
      <c r="V238" s="298"/>
      <c r="W238" s="298"/>
      <c r="X238" s="298"/>
      <c r="Y238" s="298"/>
      <c r="Z238" s="298"/>
      <c r="AA238" s="298"/>
      <c r="AB238" s="298"/>
      <c r="AC238" s="298"/>
      <c r="AD238" s="298"/>
      <c r="AE238" s="298"/>
      <c r="AF238" s="298"/>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row>
    <row r="239">
      <c r="A239" s="304"/>
      <c r="B239" s="282"/>
      <c r="C239" s="298"/>
      <c r="D239" s="282"/>
      <c r="E239" s="282"/>
      <c r="F239" s="282"/>
      <c r="G239" s="282"/>
      <c r="H239" s="282"/>
      <c r="I239" s="282"/>
      <c r="J239" s="282"/>
      <c r="K239" s="282"/>
      <c r="L239" s="282"/>
      <c r="M239" s="282"/>
      <c r="N239" s="282"/>
      <c r="O239" s="282"/>
      <c r="P239" s="282"/>
      <c r="Q239" s="282"/>
      <c r="R239" s="282"/>
      <c r="S239" s="282"/>
      <c r="T239" s="282"/>
      <c r="U239" s="282"/>
      <c r="V239" s="298"/>
      <c r="W239" s="298"/>
      <c r="X239" s="298"/>
      <c r="Y239" s="298"/>
      <c r="Z239" s="298"/>
      <c r="AA239" s="298"/>
      <c r="AB239" s="298"/>
      <c r="AC239" s="298"/>
      <c r="AD239" s="298"/>
      <c r="AE239" s="298"/>
      <c r="AF239" s="298"/>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row>
    <row r="240">
      <c r="A240" s="304"/>
      <c r="B240" s="282"/>
      <c r="C240" s="298"/>
      <c r="D240" s="282"/>
      <c r="E240" s="282"/>
      <c r="F240" s="282"/>
      <c r="G240" s="282"/>
      <c r="H240" s="282"/>
      <c r="I240" s="282"/>
      <c r="J240" s="282"/>
      <c r="K240" s="282"/>
      <c r="L240" s="282"/>
      <c r="M240" s="282"/>
      <c r="N240" s="282"/>
      <c r="O240" s="282"/>
      <c r="P240" s="282"/>
      <c r="Q240" s="282"/>
      <c r="R240" s="282"/>
      <c r="S240" s="282"/>
      <c r="T240" s="282"/>
      <c r="U240" s="282"/>
      <c r="V240" s="298"/>
      <c r="W240" s="298"/>
      <c r="X240" s="298"/>
      <c r="Y240" s="298"/>
      <c r="Z240" s="298"/>
      <c r="AA240" s="298"/>
      <c r="AB240" s="298"/>
      <c r="AC240" s="298"/>
      <c r="AD240" s="298"/>
      <c r="AE240" s="298"/>
      <c r="AF240" s="298"/>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row>
    <row r="241">
      <c r="A241" s="304"/>
      <c r="B241" s="282"/>
      <c r="C241" s="298"/>
      <c r="D241" s="282"/>
      <c r="E241" s="282"/>
      <c r="F241" s="282"/>
      <c r="G241" s="282"/>
      <c r="H241" s="282"/>
      <c r="I241" s="282"/>
      <c r="J241" s="282"/>
      <c r="K241" s="282"/>
      <c r="L241" s="282"/>
      <c r="M241" s="282"/>
      <c r="N241" s="282"/>
      <c r="O241" s="282"/>
      <c r="P241" s="282"/>
      <c r="Q241" s="282"/>
      <c r="R241" s="282"/>
      <c r="S241" s="282"/>
      <c r="T241" s="282"/>
      <c r="U241" s="282"/>
      <c r="V241" s="298"/>
      <c r="W241" s="298"/>
      <c r="X241" s="298"/>
      <c r="Y241" s="298"/>
      <c r="Z241" s="298"/>
      <c r="AA241" s="298"/>
      <c r="AB241" s="298"/>
      <c r="AC241" s="298"/>
      <c r="AD241" s="298"/>
      <c r="AE241" s="298"/>
      <c r="AF241" s="298"/>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row>
    <row r="242">
      <c r="A242" s="304"/>
      <c r="B242" s="282"/>
      <c r="C242" s="298"/>
      <c r="D242" s="282"/>
      <c r="E242" s="282"/>
      <c r="F242" s="282"/>
      <c r="G242" s="282"/>
      <c r="H242" s="282"/>
      <c r="I242" s="282"/>
      <c r="J242" s="282"/>
      <c r="K242" s="282"/>
      <c r="L242" s="282"/>
      <c r="M242" s="282"/>
      <c r="N242" s="282"/>
      <c r="O242" s="282"/>
      <c r="P242" s="282"/>
      <c r="Q242" s="282"/>
      <c r="R242" s="282"/>
      <c r="S242" s="282"/>
      <c r="T242" s="282"/>
      <c r="U242" s="282"/>
      <c r="V242" s="298"/>
      <c r="W242" s="298"/>
      <c r="X242" s="298"/>
      <c r="Y242" s="298"/>
      <c r="Z242" s="298"/>
      <c r="AA242" s="298"/>
      <c r="AB242" s="298"/>
      <c r="AC242" s="298"/>
      <c r="AD242" s="298"/>
      <c r="AE242" s="298"/>
      <c r="AF242" s="298"/>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row>
    <row r="243">
      <c r="A243" s="304"/>
      <c r="B243" s="282"/>
      <c r="C243" s="298"/>
      <c r="D243" s="282"/>
      <c r="E243" s="282"/>
      <c r="F243" s="282"/>
      <c r="G243" s="282"/>
      <c r="H243" s="282"/>
      <c r="I243" s="282"/>
      <c r="J243" s="282"/>
      <c r="K243" s="282"/>
      <c r="L243" s="282"/>
      <c r="M243" s="282"/>
      <c r="N243" s="282"/>
      <c r="O243" s="282"/>
      <c r="P243" s="282"/>
      <c r="Q243" s="282"/>
      <c r="R243" s="282"/>
      <c r="S243" s="282"/>
      <c r="T243" s="282"/>
      <c r="U243" s="282"/>
      <c r="V243" s="298"/>
      <c r="W243" s="298"/>
      <c r="X243" s="298"/>
      <c r="Y243" s="298"/>
      <c r="Z243" s="298"/>
      <c r="AA243" s="298"/>
      <c r="AB243" s="298"/>
      <c r="AC243" s="298"/>
      <c r="AD243" s="298"/>
      <c r="AE243" s="298"/>
      <c r="AF243" s="298"/>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row>
    <row r="244">
      <c r="A244" s="304"/>
      <c r="B244" s="282"/>
      <c r="C244" s="298"/>
      <c r="D244" s="282"/>
      <c r="E244" s="282"/>
      <c r="F244" s="282"/>
      <c r="G244" s="282"/>
      <c r="H244" s="282"/>
      <c r="I244" s="282"/>
      <c r="J244" s="282"/>
      <c r="K244" s="282"/>
      <c r="L244" s="282"/>
      <c r="M244" s="282"/>
      <c r="N244" s="282"/>
      <c r="O244" s="282"/>
      <c r="P244" s="282"/>
      <c r="Q244" s="282"/>
      <c r="R244" s="282"/>
      <c r="S244" s="282"/>
      <c r="T244" s="282"/>
      <c r="U244" s="282"/>
      <c r="V244" s="298"/>
      <c r="W244" s="298"/>
      <c r="X244" s="298"/>
      <c r="Y244" s="298"/>
      <c r="Z244" s="298"/>
      <c r="AA244" s="298"/>
      <c r="AB244" s="298"/>
      <c r="AC244" s="298"/>
      <c r="AD244" s="298"/>
      <c r="AE244" s="298"/>
      <c r="AF244" s="298"/>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row>
    <row r="245">
      <c r="A245" s="304"/>
      <c r="B245" s="282"/>
      <c r="C245" s="298"/>
      <c r="D245" s="282"/>
      <c r="E245" s="282"/>
      <c r="F245" s="282"/>
      <c r="G245" s="282"/>
      <c r="H245" s="282"/>
      <c r="I245" s="282"/>
      <c r="J245" s="282"/>
      <c r="K245" s="282"/>
      <c r="L245" s="282"/>
      <c r="M245" s="282"/>
      <c r="N245" s="282"/>
      <c r="O245" s="282"/>
      <c r="P245" s="282"/>
      <c r="Q245" s="282"/>
      <c r="R245" s="282"/>
      <c r="S245" s="282"/>
      <c r="T245" s="282"/>
      <c r="U245" s="282"/>
      <c r="V245" s="298"/>
      <c r="W245" s="298"/>
      <c r="X245" s="298"/>
      <c r="Y245" s="298"/>
      <c r="Z245" s="298"/>
      <c r="AA245" s="298"/>
      <c r="AB245" s="298"/>
      <c r="AC245" s="298"/>
      <c r="AD245" s="298"/>
      <c r="AE245" s="298"/>
      <c r="AF245" s="298"/>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row>
    <row r="246">
      <c r="A246" s="304"/>
      <c r="B246" s="282"/>
      <c r="C246" s="298"/>
      <c r="D246" s="282"/>
      <c r="E246" s="282"/>
      <c r="F246" s="282"/>
      <c r="G246" s="282"/>
      <c r="H246" s="282"/>
      <c r="I246" s="282"/>
      <c r="J246" s="282"/>
      <c r="K246" s="282"/>
      <c r="L246" s="282"/>
      <c r="M246" s="282"/>
      <c r="N246" s="282"/>
      <c r="O246" s="282"/>
      <c r="P246" s="282"/>
      <c r="Q246" s="282"/>
      <c r="R246" s="282"/>
      <c r="S246" s="282"/>
      <c r="T246" s="282"/>
      <c r="U246" s="282"/>
      <c r="V246" s="298"/>
      <c r="W246" s="298"/>
      <c r="X246" s="298"/>
      <c r="Y246" s="298"/>
      <c r="Z246" s="298"/>
      <c r="AA246" s="298"/>
      <c r="AB246" s="298"/>
      <c r="AC246" s="298"/>
      <c r="AD246" s="298"/>
      <c r="AE246" s="298"/>
      <c r="AF246" s="298"/>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row>
    <row r="247">
      <c r="A247" s="304"/>
      <c r="B247" s="282"/>
      <c r="C247" s="298"/>
      <c r="D247" s="282"/>
      <c r="E247" s="282"/>
      <c r="F247" s="282"/>
      <c r="G247" s="282"/>
      <c r="H247" s="282"/>
      <c r="I247" s="282"/>
      <c r="J247" s="282"/>
      <c r="K247" s="282"/>
      <c r="L247" s="282"/>
      <c r="M247" s="282"/>
      <c r="N247" s="282"/>
      <c r="O247" s="282"/>
      <c r="P247" s="282"/>
      <c r="Q247" s="282"/>
      <c r="R247" s="282"/>
      <c r="S247" s="282"/>
      <c r="T247" s="282"/>
      <c r="U247" s="282"/>
      <c r="V247" s="298"/>
      <c r="W247" s="298"/>
      <c r="X247" s="298"/>
      <c r="Y247" s="298"/>
      <c r="Z247" s="298"/>
      <c r="AA247" s="298"/>
      <c r="AB247" s="298"/>
      <c r="AC247" s="298"/>
      <c r="AD247" s="298"/>
      <c r="AE247" s="298"/>
      <c r="AF247" s="298"/>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row>
    <row r="248">
      <c r="A248" s="304"/>
      <c r="B248" s="282"/>
      <c r="C248" s="298"/>
      <c r="D248" s="282"/>
      <c r="E248" s="282"/>
      <c r="F248" s="282"/>
      <c r="G248" s="282"/>
      <c r="H248" s="282"/>
      <c r="I248" s="282"/>
      <c r="J248" s="282"/>
      <c r="K248" s="282"/>
      <c r="L248" s="282"/>
      <c r="M248" s="282"/>
      <c r="N248" s="282"/>
      <c r="O248" s="282"/>
      <c r="P248" s="282"/>
      <c r="Q248" s="282"/>
      <c r="R248" s="282"/>
      <c r="S248" s="282"/>
      <c r="T248" s="282"/>
      <c r="U248" s="282"/>
      <c r="V248" s="298"/>
      <c r="W248" s="298"/>
      <c r="X248" s="298"/>
      <c r="Y248" s="298"/>
      <c r="Z248" s="298"/>
      <c r="AA248" s="298"/>
      <c r="AB248" s="298"/>
      <c r="AC248" s="298"/>
      <c r="AD248" s="298"/>
      <c r="AE248" s="298"/>
      <c r="AF248" s="298"/>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row>
    <row r="249">
      <c r="A249" s="304"/>
      <c r="B249" s="282"/>
      <c r="C249" s="298"/>
      <c r="D249" s="282"/>
      <c r="E249" s="282"/>
      <c r="F249" s="282"/>
      <c r="G249" s="282"/>
      <c r="H249" s="282"/>
      <c r="I249" s="282"/>
      <c r="J249" s="282"/>
      <c r="K249" s="282"/>
      <c r="L249" s="282"/>
      <c r="M249" s="282"/>
      <c r="N249" s="282"/>
      <c r="O249" s="282"/>
      <c r="P249" s="282"/>
      <c r="Q249" s="282"/>
      <c r="R249" s="282"/>
      <c r="S249" s="282"/>
      <c r="T249" s="282"/>
      <c r="U249" s="282"/>
      <c r="V249" s="298"/>
      <c r="W249" s="298"/>
      <c r="X249" s="298"/>
      <c r="Y249" s="298"/>
      <c r="Z249" s="298"/>
      <c r="AA249" s="298"/>
      <c r="AB249" s="298"/>
      <c r="AC249" s="298"/>
      <c r="AD249" s="298"/>
      <c r="AE249" s="298"/>
      <c r="AF249" s="298"/>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row>
    <row r="250">
      <c r="A250" s="304"/>
      <c r="B250" s="282"/>
      <c r="C250" s="298"/>
      <c r="D250" s="282"/>
      <c r="E250" s="282"/>
      <c r="F250" s="282"/>
      <c r="G250" s="282"/>
      <c r="H250" s="282"/>
      <c r="I250" s="282"/>
      <c r="J250" s="282"/>
      <c r="K250" s="282"/>
      <c r="L250" s="282"/>
      <c r="M250" s="282"/>
      <c r="N250" s="282"/>
      <c r="O250" s="282"/>
      <c r="P250" s="282"/>
      <c r="Q250" s="282"/>
      <c r="R250" s="282"/>
      <c r="S250" s="282"/>
      <c r="T250" s="282"/>
      <c r="U250" s="282"/>
      <c r="V250" s="298"/>
      <c r="W250" s="298"/>
      <c r="X250" s="298"/>
      <c r="Y250" s="298"/>
      <c r="Z250" s="298"/>
      <c r="AA250" s="298"/>
      <c r="AB250" s="298"/>
      <c r="AC250" s="298"/>
      <c r="AD250" s="298"/>
      <c r="AE250" s="298"/>
      <c r="AF250" s="298"/>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row>
    <row r="251">
      <c r="A251" s="304"/>
      <c r="B251" s="282"/>
      <c r="C251" s="298"/>
      <c r="D251" s="282"/>
      <c r="E251" s="282"/>
      <c r="F251" s="282"/>
      <c r="G251" s="282"/>
      <c r="H251" s="282"/>
      <c r="I251" s="282"/>
      <c r="J251" s="282"/>
      <c r="K251" s="282"/>
      <c r="L251" s="282"/>
      <c r="M251" s="282"/>
      <c r="N251" s="282"/>
      <c r="O251" s="282"/>
      <c r="P251" s="282"/>
      <c r="Q251" s="282"/>
      <c r="R251" s="282"/>
      <c r="S251" s="282"/>
      <c r="T251" s="282"/>
      <c r="U251" s="282"/>
      <c r="V251" s="298"/>
      <c r="W251" s="298"/>
      <c r="X251" s="298"/>
      <c r="Y251" s="298"/>
      <c r="Z251" s="298"/>
      <c r="AA251" s="298"/>
      <c r="AB251" s="298"/>
      <c r="AC251" s="298"/>
      <c r="AD251" s="298"/>
      <c r="AE251" s="298"/>
      <c r="AF251" s="298"/>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row>
    <row r="252">
      <c r="A252" s="304"/>
      <c r="B252" s="282"/>
      <c r="C252" s="298"/>
      <c r="D252" s="282"/>
      <c r="E252" s="282"/>
      <c r="F252" s="282"/>
      <c r="G252" s="282"/>
      <c r="H252" s="282"/>
      <c r="I252" s="282"/>
      <c r="J252" s="282"/>
      <c r="K252" s="282"/>
      <c r="L252" s="282"/>
      <c r="M252" s="282"/>
      <c r="N252" s="282"/>
      <c r="O252" s="282"/>
      <c r="P252" s="282"/>
      <c r="Q252" s="282"/>
      <c r="R252" s="282"/>
      <c r="S252" s="282"/>
      <c r="T252" s="282"/>
      <c r="U252" s="282"/>
      <c r="V252" s="298"/>
      <c r="W252" s="298"/>
      <c r="X252" s="298"/>
      <c r="Y252" s="298"/>
      <c r="Z252" s="298"/>
      <c r="AA252" s="298"/>
      <c r="AB252" s="298"/>
      <c r="AC252" s="298"/>
      <c r="AD252" s="298"/>
      <c r="AE252" s="298"/>
      <c r="AF252" s="298"/>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row>
    <row r="253">
      <c r="A253" s="304"/>
      <c r="B253" s="282"/>
      <c r="C253" s="298"/>
      <c r="D253" s="282"/>
      <c r="E253" s="282"/>
      <c r="F253" s="282"/>
      <c r="G253" s="282"/>
      <c r="H253" s="282"/>
      <c r="I253" s="282"/>
      <c r="J253" s="282"/>
      <c r="K253" s="282"/>
      <c r="L253" s="282"/>
      <c r="M253" s="282"/>
      <c r="N253" s="282"/>
      <c r="O253" s="282"/>
      <c r="P253" s="282"/>
      <c r="Q253" s="282"/>
      <c r="R253" s="282"/>
      <c r="S253" s="282"/>
      <c r="T253" s="282"/>
      <c r="U253" s="282"/>
      <c r="V253" s="298"/>
      <c r="W253" s="298"/>
      <c r="X253" s="298"/>
      <c r="Y253" s="298"/>
      <c r="Z253" s="298"/>
      <c r="AA253" s="298"/>
      <c r="AB253" s="298"/>
      <c r="AC253" s="298"/>
      <c r="AD253" s="298"/>
      <c r="AE253" s="298"/>
      <c r="AF253" s="298"/>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row>
    <row r="254">
      <c r="A254" s="304"/>
      <c r="B254" s="282"/>
      <c r="C254" s="298"/>
      <c r="D254" s="282"/>
      <c r="E254" s="282"/>
      <c r="F254" s="282"/>
      <c r="G254" s="282"/>
      <c r="H254" s="282"/>
      <c r="I254" s="282"/>
      <c r="J254" s="282"/>
      <c r="K254" s="282"/>
      <c r="L254" s="282"/>
      <c r="M254" s="282"/>
      <c r="N254" s="282"/>
      <c r="O254" s="282"/>
      <c r="P254" s="282"/>
      <c r="Q254" s="282"/>
      <c r="R254" s="282"/>
      <c r="S254" s="282"/>
      <c r="T254" s="282"/>
      <c r="U254" s="282"/>
      <c r="V254" s="298"/>
      <c r="W254" s="298"/>
      <c r="X254" s="298"/>
      <c r="Y254" s="298"/>
      <c r="Z254" s="298"/>
      <c r="AA254" s="298"/>
      <c r="AB254" s="298"/>
      <c r="AC254" s="298"/>
      <c r="AD254" s="298"/>
      <c r="AE254" s="298"/>
      <c r="AF254" s="298"/>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row>
    <row r="255">
      <c r="A255" s="304"/>
      <c r="B255" s="282"/>
      <c r="C255" s="298"/>
      <c r="D255" s="282"/>
      <c r="E255" s="282"/>
      <c r="F255" s="282"/>
      <c r="G255" s="282"/>
      <c r="H255" s="282"/>
      <c r="I255" s="282"/>
      <c r="J255" s="282"/>
      <c r="K255" s="282"/>
      <c r="L255" s="282"/>
      <c r="M255" s="282"/>
      <c r="N255" s="282"/>
      <c r="O255" s="282"/>
      <c r="P255" s="282"/>
      <c r="Q255" s="282"/>
      <c r="R255" s="282"/>
      <c r="S255" s="282"/>
      <c r="T255" s="282"/>
      <c r="U255" s="282"/>
      <c r="V255" s="298"/>
      <c r="W255" s="298"/>
      <c r="X255" s="298"/>
      <c r="Y255" s="298"/>
      <c r="Z255" s="298"/>
      <c r="AA255" s="298"/>
      <c r="AB255" s="298"/>
      <c r="AC255" s="298"/>
      <c r="AD255" s="298"/>
      <c r="AE255" s="298"/>
      <c r="AF255" s="298"/>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row>
    <row r="256">
      <c r="A256" s="304"/>
      <c r="B256" s="282"/>
      <c r="C256" s="298"/>
      <c r="D256" s="282"/>
      <c r="E256" s="282"/>
      <c r="F256" s="282"/>
      <c r="G256" s="282"/>
      <c r="H256" s="282"/>
      <c r="I256" s="282"/>
      <c r="J256" s="282"/>
      <c r="K256" s="282"/>
      <c r="L256" s="282"/>
      <c r="M256" s="282"/>
      <c r="N256" s="282"/>
      <c r="O256" s="282"/>
      <c r="P256" s="282"/>
      <c r="Q256" s="282"/>
      <c r="R256" s="282"/>
      <c r="S256" s="282"/>
      <c r="T256" s="282"/>
      <c r="U256" s="282"/>
      <c r="V256" s="298"/>
      <c r="W256" s="298"/>
      <c r="X256" s="298"/>
      <c r="Y256" s="298"/>
      <c r="Z256" s="298"/>
      <c r="AA256" s="298"/>
      <c r="AB256" s="298"/>
      <c r="AC256" s="298"/>
      <c r="AD256" s="298"/>
      <c r="AE256" s="298"/>
      <c r="AF256" s="298"/>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row>
    <row r="257">
      <c r="A257" s="304"/>
      <c r="B257" s="282"/>
      <c r="C257" s="298"/>
      <c r="D257" s="282"/>
      <c r="E257" s="282"/>
      <c r="F257" s="282"/>
      <c r="G257" s="282"/>
      <c r="H257" s="282"/>
      <c r="I257" s="282"/>
      <c r="J257" s="282"/>
      <c r="K257" s="282"/>
      <c r="L257" s="282"/>
      <c r="M257" s="282"/>
      <c r="N257" s="282"/>
      <c r="O257" s="282"/>
      <c r="P257" s="282"/>
      <c r="Q257" s="282"/>
      <c r="R257" s="282"/>
      <c r="S257" s="282"/>
      <c r="T257" s="282"/>
      <c r="U257" s="282"/>
      <c r="V257" s="298"/>
      <c r="W257" s="298"/>
      <c r="X257" s="298"/>
      <c r="Y257" s="298"/>
      <c r="Z257" s="298"/>
      <c r="AA257" s="298"/>
      <c r="AB257" s="298"/>
      <c r="AC257" s="298"/>
      <c r="AD257" s="298"/>
      <c r="AE257" s="298"/>
      <c r="AF257" s="298"/>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row>
    <row r="258">
      <c r="A258" s="304"/>
      <c r="B258" s="282"/>
      <c r="C258" s="298"/>
      <c r="D258" s="282"/>
      <c r="E258" s="282"/>
      <c r="F258" s="282"/>
      <c r="G258" s="282"/>
      <c r="H258" s="282"/>
      <c r="I258" s="282"/>
      <c r="J258" s="282"/>
      <c r="K258" s="282"/>
      <c r="L258" s="282"/>
      <c r="M258" s="282"/>
      <c r="N258" s="282"/>
      <c r="O258" s="282"/>
      <c r="P258" s="282"/>
      <c r="Q258" s="282"/>
      <c r="R258" s="282"/>
      <c r="S258" s="282"/>
      <c r="T258" s="282"/>
      <c r="U258" s="282"/>
      <c r="V258" s="298"/>
      <c r="W258" s="298"/>
      <c r="X258" s="298"/>
      <c r="Y258" s="298"/>
      <c r="Z258" s="298"/>
      <c r="AA258" s="298"/>
      <c r="AB258" s="298"/>
      <c r="AC258" s="298"/>
      <c r="AD258" s="298"/>
      <c r="AE258" s="298"/>
      <c r="AF258" s="298"/>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row>
    <row r="259">
      <c r="A259" s="304"/>
      <c r="B259" s="282"/>
      <c r="C259" s="298"/>
      <c r="D259" s="282"/>
      <c r="E259" s="282"/>
      <c r="F259" s="282"/>
      <c r="G259" s="282"/>
      <c r="H259" s="282"/>
      <c r="I259" s="282"/>
      <c r="J259" s="282"/>
      <c r="K259" s="282"/>
      <c r="L259" s="282"/>
      <c r="M259" s="282"/>
      <c r="N259" s="282"/>
      <c r="O259" s="282"/>
      <c r="P259" s="282"/>
      <c r="Q259" s="282"/>
      <c r="R259" s="282"/>
      <c r="S259" s="282"/>
      <c r="T259" s="282"/>
      <c r="U259" s="282"/>
      <c r="V259" s="298"/>
      <c r="W259" s="298"/>
      <c r="X259" s="298"/>
      <c r="Y259" s="298"/>
      <c r="Z259" s="298"/>
      <c r="AA259" s="298"/>
      <c r="AB259" s="298"/>
      <c r="AC259" s="298"/>
      <c r="AD259" s="298"/>
      <c r="AE259" s="298"/>
      <c r="AF259" s="298"/>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row>
    <row r="260">
      <c r="A260" s="304"/>
      <c r="B260" s="282"/>
      <c r="C260" s="298"/>
      <c r="D260" s="282"/>
      <c r="E260" s="282"/>
      <c r="F260" s="282"/>
      <c r="G260" s="282"/>
      <c r="H260" s="282"/>
      <c r="I260" s="282"/>
      <c r="J260" s="282"/>
      <c r="K260" s="282"/>
      <c r="L260" s="282"/>
      <c r="M260" s="282"/>
      <c r="N260" s="282"/>
      <c r="O260" s="282"/>
      <c r="P260" s="282"/>
      <c r="Q260" s="282"/>
      <c r="R260" s="282"/>
      <c r="S260" s="282"/>
      <c r="T260" s="282"/>
      <c r="U260" s="282"/>
      <c r="V260" s="298"/>
      <c r="W260" s="298"/>
      <c r="X260" s="298"/>
      <c r="Y260" s="298"/>
      <c r="Z260" s="298"/>
      <c r="AA260" s="298"/>
      <c r="AB260" s="298"/>
      <c r="AC260" s="298"/>
      <c r="AD260" s="298"/>
      <c r="AE260" s="298"/>
      <c r="AF260" s="298"/>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row>
    <row r="261">
      <c r="A261" s="304"/>
      <c r="B261" s="282"/>
      <c r="C261" s="298"/>
      <c r="D261" s="282"/>
      <c r="E261" s="282"/>
      <c r="F261" s="282"/>
      <c r="G261" s="282"/>
      <c r="H261" s="282"/>
      <c r="I261" s="282"/>
      <c r="J261" s="282"/>
      <c r="K261" s="282"/>
      <c r="L261" s="282"/>
      <c r="M261" s="282"/>
      <c r="N261" s="282"/>
      <c r="O261" s="282"/>
      <c r="P261" s="282"/>
      <c r="Q261" s="282"/>
      <c r="R261" s="282"/>
      <c r="S261" s="282"/>
      <c r="T261" s="282"/>
      <c r="U261" s="282"/>
      <c r="V261" s="298"/>
      <c r="W261" s="298"/>
      <c r="X261" s="298"/>
      <c r="Y261" s="298"/>
      <c r="Z261" s="298"/>
      <c r="AA261" s="298"/>
      <c r="AB261" s="298"/>
      <c r="AC261" s="298"/>
      <c r="AD261" s="298"/>
      <c r="AE261" s="298"/>
      <c r="AF261" s="298"/>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row>
    <row r="262">
      <c r="A262" s="304"/>
      <c r="B262" s="282"/>
      <c r="C262" s="298"/>
      <c r="D262" s="282"/>
      <c r="E262" s="282"/>
      <c r="F262" s="282"/>
      <c r="G262" s="282"/>
      <c r="H262" s="282"/>
      <c r="I262" s="282"/>
      <c r="J262" s="282"/>
      <c r="K262" s="282"/>
      <c r="L262" s="282"/>
      <c r="M262" s="282"/>
      <c r="N262" s="282"/>
      <c r="O262" s="282"/>
      <c r="P262" s="282"/>
      <c r="Q262" s="282"/>
      <c r="R262" s="282"/>
      <c r="S262" s="282"/>
      <c r="T262" s="282"/>
      <c r="U262" s="282"/>
      <c r="V262" s="298"/>
      <c r="W262" s="298"/>
      <c r="X262" s="298"/>
      <c r="Y262" s="298"/>
      <c r="Z262" s="298"/>
      <c r="AA262" s="298"/>
      <c r="AB262" s="298"/>
      <c r="AC262" s="298"/>
      <c r="AD262" s="298"/>
      <c r="AE262" s="298"/>
      <c r="AF262" s="298"/>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row>
    <row r="263">
      <c r="A263" s="304"/>
      <c r="B263" s="282"/>
      <c r="C263" s="298"/>
      <c r="D263" s="282"/>
      <c r="E263" s="282"/>
      <c r="F263" s="282"/>
      <c r="G263" s="282"/>
      <c r="H263" s="282"/>
      <c r="I263" s="282"/>
      <c r="J263" s="282"/>
      <c r="K263" s="282"/>
      <c r="L263" s="282"/>
      <c r="M263" s="282"/>
      <c r="N263" s="282"/>
      <c r="O263" s="282"/>
      <c r="P263" s="282"/>
      <c r="Q263" s="282"/>
      <c r="R263" s="282"/>
      <c r="S263" s="282"/>
      <c r="T263" s="282"/>
      <c r="U263" s="282"/>
      <c r="V263" s="298"/>
      <c r="W263" s="298"/>
      <c r="X263" s="298"/>
      <c r="Y263" s="298"/>
      <c r="Z263" s="298"/>
      <c r="AA263" s="298"/>
      <c r="AB263" s="298"/>
      <c r="AC263" s="298"/>
      <c r="AD263" s="298"/>
      <c r="AE263" s="298"/>
      <c r="AF263" s="298"/>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row>
    <row r="264">
      <c r="A264" s="304"/>
      <c r="B264" s="282"/>
      <c r="C264" s="298"/>
      <c r="D264" s="282"/>
      <c r="E264" s="282"/>
      <c r="F264" s="282"/>
      <c r="G264" s="282"/>
      <c r="H264" s="282"/>
      <c r="I264" s="282"/>
      <c r="J264" s="282"/>
      <c r="K264" s="282"/>
      <c r="L264" s="282"/>
      <c r="M264" s="282"/>
      <c r="N264" s="282"/>
      <c r="O264" s="282"/>
      <c r="P264" s="282"/>
      <c r="Q264" s="282"/>
      <c r="R264" s="282"/>
      <c r="S264" s="282"/>
      <c r="T264" s="282"/>
      <c r="U264" s="282"/>
      <c r="V264" s="298"/>
      <c r="W264" s="298"/>
      <c r="X264" s="298"/>
      <c r="Y264" s="298"/>
      <c r="Z264" s="298"/>
      <c r="AA264" s="298"/>
      <c r="AB264" s="298"/>
      <c r="AC264" s="298"/>
      <c r="AD264" s="298"/>
      <c r="AE264" s="298"/>
      <c r="AF264" s="298"/>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row>
    <row r="265">
      <c r="A265" s="304"/>
      <c r="B265" s="282"/>
      <c r="C265" s="298"/>
      <c r="D265" s="282"/>
      <c r="E265" s="282"/>
      <c r="F265" s="282"/>
      <c r="G265" s="282"/>
      <c r="H265" s="282"/>
      <c r="I265" s="282"/>
      <c r="J265" s="282"/>
      <c r="K265" s="282"/>
      <c r="L265" s="282"/>
      <c r="M265" s="282"/>
      <c r="N265" s="282"/>
      <c r="O265" s="282"/>
      <c r="P265" s="282"/>
      <c r="Q265" s="282"/>
      <c r="R265" s="282"/>
      <c r="S265" s="282"/>
      <c r="T265" s="282"/>
      <c r="U265" s="282"/>
      <c r="V265" s="298"/>
      <c r="W265" s="298"/>
      <c r="X265" s="298"/>
      <c r="Y265" s="298"/>
      <c r="Z265" s="298"/>
      <c r="AA265" s="298"/>
      <c r="AB265" s="298"/>
      <c r="AC265" s="298"/>
      <c r="AD265" s="298"/>
      <c r="AE265" s="298"/>
      <c r="AF265" s="298"/>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row>
    <row r="266">
      <c r="A266" s="304"/>
      <c r="B266" s="282"/>
      <c r="C266" s="298"/>
      <c r="D266" s="282"/>
      <c r="E266" s="282"/>
      <c r="F266" s="282"/>
      <c r="G266" s="282"/>
      <c r="H266" s="282"/>
      <c r="I266" s="282"/>
      <c r="J266" s="282"/>
      <c r="K266" s="282"/>
      <c r="L266" s="282"/>
      <c r="M266" s="282"/>
      <c r="N266" s="282"/>
      <c r="O266" s="282"/>
      <c r="P266" s="282"/>
      <c r="Q266" s="282"/>
      <c r="R266" s="282"/>
      <c r="S266" s="282"/>
      <c r="T266" s="282"/>
      <c r="U266" s="282"/>
      <c r="V266" s="298"/>
      <c r="W266" s="298"/>
      <c r="X266" s="298"/>
      <c r="Y266" s="298"/>
      <c r="Z266" s="298"/>
      <c r="AA266" s="298"/>
      <c r="AB266" s="298"/>
      <c r="AC266" s="298"/>
      <c r="AD266" s="298"/>
      <c r="AE266" s="298"/>
      <c r="AF266" s="298"/>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row>
    <row r="267">
      <c r="A267" s="304"/>
      <c r="B267" s="282"/>
      <c r="C267" s="298"/>
      <c r="D267" s="282"/>
      <c r="E267" s="282"/>
      <c r="F267" s="282"/>
      <c r="G267" s="282"/>
      <c r="H267" s="282"/>
      <c r="I267" s="282"/>
      <c r="J267" s="282"/>
      <c r="K267" s="282"/>
      <c r="L267" s="282"/>
      <c r="M267" s="282"/>
      <c r="N267" s="282"/>
      <c r="O267" s="282"/>
      <c r="P267" s="282"/>
      <c r="Q267" s="282"/>
      <c r="R267" s="282"/>
      <c r="S267" s="282"/>
      <c r="T267" s="282"/>
      <c r="U267" s="282"/>
      <c r="V267" s="298"/>
      <c r="W267" s="298"/>
      <c r="X267" s="298"/>
      <c r="Y267" s="298"/>
      <c r="Z267" s="298"/>
      <c r="AA267" s="298"/>
      <c r="AB267" s="298"/>
      <c r="AC267" s="298"/>
      <c r="AD267" s="298"/>
      <c r="AE267" s="298"/>
      <c r="AF267" s="298"/>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row>
    <row r="268">
      <c r="A268" s="304"/>
      <c r="B268" s="282"/>
      <c r="C268" s="298"/>
      <c r="D268" s="282"/>
      <c r="E268" s="282"/>
      <c r="F268" s="282"/>
      <c r="G268" s="282"/>
      <c r="H268" s="282"/>
      <c r="I268" s="282"/>
      <c r="J268" s="282"/>
      <c r="K268" s="282"/>
      <c r="L268" s="282"/>
      <c r="M268" s="282"/>
      <c r="N268" s="282"/>
      <c r="O268" s="282"/>
      <c r="P268" s="282"/>
      <c r="Q268" s="282"/>
      <c r="R268" s="282"/>
      <c r="S268" s="282"/>
      <c r="T268" s="282"/>
      <c r="U268" s="282"/>
      <c r="V268" s="298"/>
      <c r="W268" s="298"/>
      <c r="X268" s="298"/>
      <c r="Y268" s="298"/>
      <c r="Z268" s="298"/>
      <c r="AA268" s="298"/>
      <c r="AB268" s="298"/>
      <c r="AC268" s="298"/>
      <c r="AD268" s="298"/>
      <c r="AE268" s="298"/>
      <c r="AF268" s="298"/>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row>
    <row r="269">
      <c r="A269" s="304"/>
      <c r="B269" s="282"/>
      <c r="C269" s="298"/>
      <c r="D269" s="282"/>
      <c r="E269" s="282"/>
      <c r="F269" s="282"/>
      <c r="G269" s="282"/>
      <c r="H269" s="282"/>
      <c r="I269" s="282"/>
      <c r="J269" s="282"/>
      <c r="K269" s="282"/>
      <c r="L269" s="282"/>
      <c r="M269" s="282"/>
      <c r="N269" s="282"/>
      <c r="O269" s="282"/>
      <c r="P269" s="282"/>
      <c r="Q269" s="282"/>
      <c r="R269" s="282"/>
      <c r="S269" s="282"/>
      <c r="T269" s="282"/>
      <c r="U269" s="282"/>
      <c r="V269" s="298"/>
      <c r="W269" s="298"/>
      <c r="X269" s="298"/>
      <c r="Y269" s="298"/>
      <c r="Z269" s="298"/>
      <c r="AA269" s="298"/>
      <c r="AB269" s="298"/>
      <c r="AC269" s="298"/>
      <c r="AD269" s="298"/>
      <c r="AE269" s="298"/>
      <c r="AF269" s="298"/>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row>
    <row r="270">
      <c r="A270" s="304"/>
      <c r="B270" s="282"/>
      <c r="C270" s="298"/>
      <c r="D270" s="282"/>
      <c r="E270" s="282"/>
      <c r="F270" s="282"/>
      <c r="G270" s="282"/>
      <c r="H270" s="282"/>
      <c r="I270" s="282"/>
      <c r="J270" s="282"/>
      <c r="K270" s="282"/>
      <c r="L270" s="282"/>
      <c r="M270" s="282"/>
      <c r="N270" s="282"/>
      <c r="O270" s="282"/>
      <c r="P270" s="282"/>
      <c r="Q270" s="282"/>
      <c r="R270" s="282"/>
      <c r="S270" s="282"/>
      <c r="T270" s="282"/>
      <c r="U270" s="282"/>
      <c r="V270" s="298"/>
      <c r="W270" s="298"/>
      <c r="X270" s="298"/>
      <c r="Y270" s="298"/>
      <c r="Z270" s="298"/>
      <c r="AA270" s="298"/>
      <c r="AB270" s="298"/>
      <c r="AC270" s="298"/>
      <c r="AD270" s="298"/>
      <c r="AE270" s="298"/>
      <c r="AF270" s="298"/>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row>
    <row r="271">
      <c r="A271" s="304"/>
      <c r="B271" s="282"/>
      <c r="C271" s="298"/>
      <c r="D271" s="282"/>
      <c r="E271" s="282"/>
      <c r="F271" s="282"/>
      <c r="G271" s="282"/>
      <c r="H271" s="282"/>
      <c r="I271" s="282"/>
      <c r="J271" s="282"/>
      <c r="K271" s="282"/>
      <c r="L271" s="282"/>
      <c r="M271" s="282"/>
      <c r="N271" s="282"/>
      <c r="O271" s="282"/>
      <c r="P271" s="282"/>
      <c r="Q271" s="282"/>
      <c r="R271" s="282"/>
      <c r="S271" s="282"/>
      <c r="T271" s="282"/>
      <c r="U271" s="282"/>
      <c r="V271" s="298"/>
      <c r="W271" s="298"/>
      <c r="X271" s="298"/>
      <c r="Y271" s="298"/>
      <c r="Z271" s="298"/>
      <c r="AA271" s="298"/>
      <c r="AB271" s="298"/>
      <c r="AC271" s="298"/>
      <c r="AD271" s="298"/>
      <c r="AE271" s="298"/>
      <c r="AF271" s="298"/>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row>
    <row r="272">
      <c r="A272" s="304"/>
      <c r="B272" s="282"/>
      <c r="C272" s="298"/>
      <c r="D272" s="282"/>
      <c r="E272" s="282"/>
      <c r="F272" s="282"/>
      <c r="G272" s="282"/>
      <c r="H272" s="282"/>
      <c r="I272" s="282"/>
      <c r="J272" s="282"/>
      <c r="K272" s="282"/>
      <c r="L272" s="282"/>
      <c r="M272" s="282"/>
      <c r="N272" s="282"/>
      <c r="O272" s="282"/>
      <c r="P272" s="282"/>
      <c r="Q272" s="282"/>
      <c r="R272" s="282"/>
      <c r="S272" s="282"/>
      <c r="T272" s="282"/>
      <c r="U272" s="282"/>
      <c r="V272" s="298"/>
      <c r="W272" s="298"/>
      <c r="X272" s="298"/>
      <c r="Y272" s="298"/>
      <c r="Z272" s="298"/>
      <c r="AA272" s="298"/>
      <c r="AB272" s="298"/>
      <c r="AC272" s="298"/>
      <c r="AD272" s="298"/>
      <c r="AE272" s="298"/>
      <c r="AF272" s="298"/>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row>
    <row r="273">
      <c r="A273" s="304"/>
      <c r="B273" s="282"/>
      <c r="C273" s="298"/>
      <c r="D273" s="282"/>
      <c r="E273" s="282"/>
      <c r="F273" s="282"/>
      <c r="G273" s="282"/>
      <c r="H273" s="282"/>
      <c r="I273" s="282"/>
      <c r="J273" s="282"/>
      <c r="K273" s="282"/>
      <c r="L273" s="282"/>
      <c r="M273" s="282"/>
      <c r="N273" s="282"/>
      <c r="O273" s="282"/>
      <c r="P273" s="282"/>
      <c r="Q273" s="282"/>
      <c r="R273" s="282"/>
      <c r="S273" s="282"/>
      <c r="T273" s="282"/>
      <c r="U273" s="282"/>
      <c r="V273" s="298"/>
      <c r="W273" s="298"/>
      <c r="X273" s="298"/>
      <c r="Y273" s="298"/>
      <c r="Z273" s="298"/>
      <c r="AA273" s="298"/>
      <c r="AB273" s="298"/>
      <c r="AC273" s="298"/>
      <c r="AD273" s="298"/>
      <c r="AE273" s="298"/>
      <c r="AF273" s="298"/>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row>
    <row r="274">
      <c r="A274" s="304"/>
      <c r="B274" s="282"/>
      <c r="C274" s="298"/>
      <c r="D274" s="282"/>
      <c r="E274" s="282"/>
      <c r="F274" s="282"/>
      <c r="G274" s="282"/>
      <c r="H274" s="282"/>
      <c r="I274" s="282"/>
      <c r="J274" s="282"/>
      <c r="K274" s="282"/>
      <c r="L274" s="282"/>
      <c r="M274" s="282"/>
      <c r="N274" s="282"/>
      <c r="O274" s="282"/>
      <c r="P274" s="282"/>
      <c r="Q274" s="282"/>
      <c r="R274" s="282"/>
      <c r="S274" s="282"/>
      <c r="T274" s="282"/>
      <c r="U274" s="282"/>
      <c r="V274" s="298"/>
      <c r="W274" s="298"/>
      <c r="X274" s="298"/>
      <c r="Y274" s="298"/>
      <c r="Z274" s="298"/>
      <c r="AA274" s="298"/>
      <c r="AB274" s="298"/>
      <c r="AC274" s="298"/>
      <c r="AD274" s="298"/>
      <c r="AE274" s="298"/>
      <c r="AF274" s="298"/>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row>
    <row r="275">
      <c r="A275" s="304"/>
      <c r="B275" s="282"/>
      <c r="C275" s="298"/>
      <c r="D275" s="282"/>
      <c r="E275" s="282"/>
      <c r="F275" s="282"/>
      <c r="G275" s="282"/>
      <c r="H275" s="282"/>
      <c r="I275" s="282"/>
      <c r="J275" s="282"/>
      <c r="K275" s="282"/>
      <c r="L275" s="282"/>
      <c r="M275" s="282"/>
      <c r="N275" s="282"/>
      <c r="O275" s="282"/>
      <c r="P275" s="282"/>
      <c r="Q275" s="282"/>
      <c r="R275" s="282"/>
      <c r="S275" s="282"/>
      <c r="T275" s="282"/>
      <c r="U275" s="282"/>
      <c r="V275" s="298"/>
      <c r="W275" s="298"/>
      <c r="X275" s="298"/>
      <c r="Y275" s="298"/>
      <c r="Z275" s="298"/>
      <c r="AA275" s="298"/>
      <c r="AB275" s="298"/>
      <c r="AC275" s="298"/>
      <c r="AD275" s="298"/>
      <c r="AE275" s="298"/>
      <c r="AF275" s="298"/>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row>
    <row r="276">
      <c r="A276" s="304"/>
      <c r="B276" s="282"/>
      <c r="C276" s="298"/>
      <c r="D276" s="282"/>
      <c r="E276" s="282"/>
      <c r="F276" s="282"/>
      <c r="G276" s="282"/>
      <c r="H276" s="282"/>
      <c r="I276" s="282"/>
      <c r="J276" s="282"/>
      <c r="K276" s="282"/>
      <c r="L276" s="282"/>
      <c r="M276" s="282"/>
      <c r="N276" s="282"/>
      <c r="O276" s="282"/>
      <c r="P276" s="282"/>
      <c r="Q276" s="282"/>
      <c r="R276" s="282"/>
      <c r="S276" s="282"/>
      <c r="T276" s="282"/>
      <c r="U276" s="282"/>
      <c r="V276" s="298"/>
      <c r="W276" s="298"/>
      <c r="X276" s="298"/>
      <c r="Y276" s="298"/>
      <c r="Z276" s="298"/>
      <c r="AA276" s="298"/>
      <c r="AB276" s="298"/>
      <c r="AC276" s="298"/>
      <c r="AD276" s="298"/>
      <c r="AE276" s="298"/>
      <c r="AF276" s="298"/>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row>
    <row r="277">
      <c r="A277" s="304"/>
      <c r="B277" s="282"/>
      <c r="C277" s="298"/>
      <c r="D277" s="282"/>
      <c r="E277" s="282"/>
      <c r="F277" s="282"/>
      <c r="G277" s="282"/>
      <c r="H277" s="282"/>
      <c r="I277" s="282"/>
      <c r="J277" s="282"/>
      <c r="K277" s="282"/>
      <c r="L277" s="282"/>
      <c r="M277" s="282"/>
      <c r="N277" s="282"/>
      <c r="O277" s="282"/>
      <c r="P277" s="282"/>
      <c r="Q277" s="282"/>
      <c r="R277" s="282"/>
      <c r="S277" s="282"/>
      <c r="T277" s="282"/>
      <c r="U277" s="282"/>
      <c r="V277" s="298"/>
      <c r="W277" s="298"/>
      <c r="X277" s="298"/>
      <c r="Y277" s="298"/>
      <c r="Z277" s="298"/>
      <c r="AA277" s="298"/>
      <c r="AB277" s="298"/>
      <c r="AC277" s="298"/>
      <c r="AD277" s="298"/>
      <c r="AE277" s="298"/>
      <c r="AF277" s="298"/>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row>
    <row r="278">
      <c r="A278" s="304"/>
      <c r="B278" s="282"/>
      <c r="C278" s="298"/>
      <c r="D278" s="282"/>
      <c r="E278" s="282"/>
      <c r="F278" s="282"/>
      <c r="G278" s="282"/>
      <c r="H278" s="282"/>
      <c r="I278" s="282"/>
      <c r="J278" s="282"/>
      <c r="K278" s="282"/>
      <c r="L278" s="282"/>
      <c r="M278" s="282"/>
      <c r="N278" s="282"/>
      <c r="O278" s="282"/>
      <c r="P278" s="282"/>
      <c r="Q278" s="282"/>
      <c r="R278" s="282"/>
      <c r="S278" s="282"/>
      <c r="T278" s="282"/>
      <c r="U278" s="282"/>
      <c r="V278" s="298"/>
      <c r="W278" s="298"/>
      <c r="X278" s="298"/>
      <c r="Y278" s="298"/>
      <c r="Z278" s="298"/>
      <c r="AA278" s="298"/>
      <c r="AB278" s="298"/>
      <c r="AC278" s="298"/>
      <c r="AD278" s="298"/>
      <c r="AE278" s="298"/>
      <c r="AF278" s="298"/>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row>
    <row r="279">
      <c r="A279" s="304"/>
      <c r="B279" s="282"/>
      <c r="C279" s="298"/>
      <c r="D279" s="282"/>
      <c r="E279" s="282"/>
      <c r="F279" s="282"/>
      <c r="G279" s="282"/>
      <c r="H279" s="282"/>
      <c r="I279" s="282"/>
      <c r="J279" s="282"/>
      <c r="K279" s="282"/>
      <c r="L279" s="282"/>
      <c r="M279" s="282"/>
      <c r="N279" s="282"/>
      <c r="O279" s="282"/>
      <c r="P279" s="282"/>
      <c r="Q279" s="282"/>
      <c r="R279" s="282"/>
      <c r="S279" s="282"/>
      <c r="T279" s="282"/>
      <c r="U279" s="282"/>
      <c r="V279" s="298"/>
      <c r="W279" s="298"/>
      <c r="X279" s="298"/>
      <c r="Y279" s="298"/>
      <c r="Z279" s="298"/>
      <c r="AA279" s="298"/>
      <c r="AB279" s="298"/>
      <c r="AC279" s="298"/>
      <c r="AD279" s="298"/>
      <c r="AE279" s="298"/>
      <c r="AF279" s="298"/>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row>
    <row r="280">
      <c r="A280" s="304"/>
      <c r="B280" s="282"/>
      <c r="C280" s="298"/>
      <c r="D280" s="282"/>
      <c r="E280" s="282"/>
      <c r="F280" s="282"/>
      <c r="G280" s="282"/>
      <c r="H280" s="282"/>
      <c r="I280" s="282"/>
      <c r="J280" s="282"/>
      <c r="K280" s="282"/>
      <c r="L280" s="282"/>
      <c r="M280" s="282"/>
      <c r="N280" s="282"/>
      <c r="O280" s="282"/>
      <c r="P280" s="282"/>
      <c r="Q280" s="282"/>
      <c r="R280" s="282"/>
      <c r="S280" s="282"/>
      <c r="T280" s="282"/>
      <c r="U280" s="282"/>
      <c r="V280" s="298"/>
      <c r="W280" s="298"/>
      <c r="X280" s="298"/>
      <c r="Y280" s="298"/>
      <c r="Z280" s="298"/>
      <c r="AA280" s="298"/>
      <c r="AB280" s="298"/>
      <c r="AC280" s="298"/>
      <c r="AD280" s="298"/>
      <c r="AE280" s="298"/>
      <c r="AF280" s="298"/>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row>
    <row r="281">
      <c r="A281" s="304"/>
      <c r="B281" s="282"/>
      <c r="C281" s="298"/>
      <c r="D281" s="282"/>
      <c r="E281" s="282"/>
      <c r="F281" s="282"/>
      <c r="G281" s="282"/>
      <c r="H281" s="282"/>
      <c r="I281" s="282"/>
      <c r="J281" s="282"/>
      <c r="K281" s="282"/>
      <c r="L281" s="282"/>
      <c r="M281" s="282"/>
      <c r="N281" s="282"/>
      <c r="O281" s="282"/>
      <c r="P281" s="282"/>
      <c r="Q281" s="282"/>
      <c r="R281" s="282"/>
      <c r="S281" s="282"/>
      <c r="T281" s="282"/>
      <c r="U281" s="282"/>
      <c r="V281" s="298"/>
      <c r="W281" s="298"/>
      <c r="X281" s="298"/>
      <c r="Y281" s="298"/>
      <c r="Z281" s="298"/>
      <c r="AA281" s="298"/>
      <c r="AB281" s="298"/>
      <c r="AC281" s="298"/>
      <c r="AD281" s="298"/>
      <c r="AE281" s="298"/>
      <c r="AF281" s="298"/>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row>
    <row r="282">
      <c r="A282" s="304"/>
      <c r="B282" s="282"/>
      <c r="C282" s="298"/>
      <c r="D282" s="282"/>
      <c r="E282" s="282"/>
      <c r="F282" s="282"/>
      <c r="G282" s="282"/>
      <c r="H282" s="282"/>
      <c r="I282" s="282"/>
      <c r="J282" s="282"/>
      <c r="K282" s="282"/>
      <c r="L282" s="282"/>
      <c r="M282" s="282"/>
      <c r="N282" s="282"/>
      <c r="O282" s="282"/>
      <c r="P282" s="282"/>
      <c r="Q282" s="282"/>
      <c r="R282" s="282"/>
      <c r="S282" s="282"/>
      <c r="T282" s="282"/>
      <c r="U282" s="282"/>
      <c r="V282" s="298"/>
      <c r="W282" s="298"/>
      <c r="X282" s="298"/>
      <c r="Y282" s="298"/>
      <c r="Z282" s="298"/>
      <c r="AA282" s="298"/>
      <c r="AB282" s="298"/>
      <c r="AC282" s="298"/>
      <c r="AD282" s="298"/>
      <c r="AE282" s="298"/>
      <c r="AF282" s="298"/>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row>
    <row r="283">
      <c r="A283" s="304"/>
      <c r="B283" s="282"/>
      <c r="C283" s="298"/>
      <c r="D283" s="282"/>
      <c r="E283" s="282"/>
      <c r="F283" s="282"/>
      <c r="G283" s="282"/>
      <c r="H283" s="282"/>
      <c r="I283" s="282"/>
      <c r="J283" s="282"/>
      <c r="K283" s="282"/>
      <c r="L283" s="282"/>
      <c r="M283" s="282"/>
      <c r="N283" s="282"/>
      <c r="O283" s="282"/>
      <c r="P283" s="282"/>
      <c r="Q283" s="282"/>
      <c r="R283" s="282"/>
      <c r="S283" s="282"/>
      <c r="T283" s="282"/>
      <c r="U283" s="282"/>
      <c r="V283" s="298"/>
      <c r="W283" s="298"/>
      <c r="X283" s="298"/>
      <c r="Y283" s="298"/>
      <c r="Z283" s="298"/>
      <c r="AA283" s="298"/>
      <c r="AB283" s="298"/>
      <c r="AC283" s="298"/>
      <c r="AD283" s="298"/>
      <c r="AE283" s="298"/>
      <c r="AF283" s="298"/>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row>
    <row r="284">
      <c r="A284" s="304"/>
      <c r="B284" s="282"/>
      <c r="C284" s="298"/>
      <c r="D284" s="282"/>
      <c r="E284" s="282"/>
      <c r="F284" s="282"/>
      <c r="G284" s="282"/>
      <c r="H284" s="282"/>
      <c r="I284" s="282"/>
      <c r="J284" s="282"/>
      <c r="K284" s="282"/>
      <c r="L284" s="282"/>
      <c r="M284" s="282"/>
      <c r="N284" s="282"/>
      <c r="O284" s="282"/>
      <c r="P284" s="282"/>
      <c r="Q284" s="282"/>
      <c r="R284" s="282"/>
      <c r="S284" s="282"/>
      <c r="T284" s="282"/>
      <c r="U284" s="282"/>
      <c r="V284" s="298"/>
      <c r="W284" s="298"/>
      <c r="X284" s="298"/>
      <c r="Y284" s="298"/>
      <c r="Z284" s="298"/>
      <c r="AA284" s="298"/>
      <c r="AB284" s="298"/>
      <c r="AC284" s="298"/>
      <c r="AD284" s="298"/>
      <c r="AE284" s="298"/>
      <c r="AF284" s="298"/>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row>
    <row r="285">
      <c r="A285" s="304"/>
      <c r="B285" s="282"/>
      <c r="C285" s="298"/>
      <c r="D285" s="282"/>
      <c r="E285" s="282"/>
      <c r="F285" s="282"/>
      <c r="G285" s="282"/>
      <c r="H285" s="282"/>
      <c r="I285" s="282"/>
      <c r="J285" s="282"/>
      <c r="K285" s="282"/>
      <c r="L285" s="282"/>
      <c r="M285" s="282"/>
      <c r="N285" s="282"/>
      <c r="O285" s="282"/>
      <c r="P285" s="282"/>
      <c r="Q285" s="282"/>
      <c r="R285" s="282"/>
      <c r="S285" s="282"/>
      <c r="T285" s="282"/>
      <c r="U285" s="282"/>
      <c r="V285" s="298"/>
      <c r="W285" s="298"/>
      <c r="X285" s="298"/>
      <c r="Y285" s="298"/>
      <c r="Z285" s="298"/>
      <c r="AA285" s="298"/>
      <c r="AB285" s="298"/>
      <c r="AC285" s="298"/>
      <c r="AD285" s="298"/>
      <c r="AE285" s="298"/>
      <c r="AF285" s="298"/>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row>
    <row r="286">
      <c r="A286" s="304"/>
      <c r="B286" s="282"/>
      <c r="C286" s="298"/>
      <c r="D286" s="282"/>
      <c r="E286" s="282"/>
      <c r="F286" s="282"/>
      <c r="G286" s="282"/>
      <c r="H286" s="282"/>
      <c r="I286" s="282"/>
      <c r="J286" s="282"/>
      <c r="K286" s="282"/>
      <c r="L286" s="282"/>
      <c r="M286" s="282"/>
      <c r="N286" s="282"/>
      <c r="O286" s="282"/>
      <c r="P286" s="282"/>
      <c r="Q286" s="282"/>
      <c r="R286" s="282"/>
      <c r="S286" s="282"/>
      <c r="T286" s="282"/>
      <c r="U286" s="282"/>
      <c r="V286" s="298"/>
      <c r="W286" s="298"/>
      <c r="X286" s="298"/>
      <c r="Y286" s="298"/>
      <c r="Z286" s="298"/>
      <c r="AA286" s="298"/>
      <c r="AB286" s="298"/>
      <c r="AC286" s="298"/>
      <c r="AD286" s="298"/>
      <c r="AE286" s="298"/>
      <c r="AF286" s="298"/>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row>
    <row r="287">
      <c r="A287" s="304"/>
      <c r="B287" s="282"/>
      <c r="C287" s="298"/>
      <c r="D287" s="282"/>
      <c r="E287" s="282"/>
      <c r="F287" s="282"/>
      <c r="G287" s="282"/>
      <c r="H287" s="282"/>
      <c r="I287" s="282"/>
      <c r="J287" s="282"/>
      <c r="K287" s="282"/>
      <c r="L287" s="282"/>
      <c r="M287" s="282"/>
      <c r="N287" s="282"/>
      <c r="O287" s="282"/>
      <c r="P287" s="282"/>
      <c r="Q287" s="282"/>
      <c r="R287" s="282"/>
      <c r="S287" s="282"/>
      <c r="T287" s="282"/>
      <c r="U287" s="282"/>
      <c r="V287" s="298"/>
      <c r="W287" s="298"/>
      <c r="X287" s="298"/>
      <c r="Y287" s="298"/>
      <c r="Z287" s="298"/>
      <c r="AA287" s="298"/>
      <c r="AB287" s="298"/>
      <c r="AC287" s="298"/>
      <c r="AD287" s="298"/>
      <c r="AE287" s="298"/>
      <c r="AF287" s="298"/>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row>
    <row r="288">
      <c r="A288" s="304"/>
      <c r="B288" s="282"/>
      <c r="C288" s="298"/>
      <c r="D288" s="282"/>
      <c r="E288" s="282"/>
      <c r="F288" s="282"/>
      <c r="G288" s="282"/>
      <c r="H288" s="282"/>
      <c r="I288" s="282"/>
      <c r="J288" s="282"/>
      <c r="K288" s="282"/>
      <c r="L288" s="282"/>
      <c r="M288" s="282"/>
      <c r="N288" s="282"/>
      <c r="O288" s="282"/>
      <c r="P288" s="282"/>
      <c r="Q288" s="282"/>
      <c r="R288" s="282"/>
      <c r="S288" s="282"/>
      <c r="T288" s="282"/>
      <c r="U288" s="282"/>
      <c r="V288" s="298"/>
      <c r="W288" s="298"/>
      <c r="X288" s="298"/>
      <c r="Y288" s="298"/>
      <c r="Z288" s="298"/>
      <c r="AA288" s="298"/>
      <c r="AB288" s="298"/>
      <c r="AC288" s="298"/>
      <c r="AD288" s="298"/>
      <c r="AE288" s="298"/>
      <c r="AF288" s="298"/>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row>
    <row r="289">
      <c r="A289" s="304"/>
      <c r="B289" s="282"/>
      <c r="C289" s="298"/>
      <c r="D289" s="282"/>
      <c r="E289" s="282"/>
      <c r="F289" s="282"/>
      <c r="G289" s="282"/>
      <c r="H289" s="282"/>
      <c r="I289" s="282"/>
      <c r="J289" s="282"/>
      <c r="K289" s="282"/>
      <c r="L289" s="282"/>
      <c r="M289" s="282"/>
      <c r="N289" s="282"/>
      <c r="O289" s="282"/>
      <c r="P289" s="282"/>
      <c r="Q289" s="282"/>
      <c r="R289" s="282"/>
      <c r="S289" s="282"/>
      <c r="T289" s="282"/>
      <c r="U289" s="282"/>
      <c r="V289" s="298"/>
      <c r="W289" s="298"/>
      <c r="X289" s="298"/>
      <c r="Y289" s="298"/>
      <c r="Z289" s="298"/>
      <c r="AA289" s="298"/>
      <c r="AB289" s="298"/>
      <c r="AC289" s="298"/>
      <c r="AD289" s="298"/>
      <c r="AE289" s="298"/>
      <c r="AF289" s="298"/>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row>
    <row r="290">
      <c r="A290" s="304"/>
      <c r="B290" s="282"/>
      <c r="C290" s="298"/>
      <c r="D290" s="282"/>
      <c r="E290" s="282"/>
      <c r="F290" s="282"/>
      <c r="G290" s="282"/>
      <c r="H290" s="282"/>
      <c r="I290" s="282"/>
      <c r="J290" s="282"/>
      <c r="K290" s="282"/>
      <c r="L290" s="282"/>
      <c r="M290" s="282"/>
      <c r="N290" s="282"/>
      <c r="O290" s="282"/>
      <c r="P290" s="282"/>
      <c r="Q290" s="282"/>
      <c r="R290" s="282"/>
      <c r="S290" s="282"/>
      <c r="T290" s="282"/>
      <c r="U290" s="282"/>
      <c r="V290" s="298"/>
      <c r="W290" s="298"/>
      <c r="X290" s="298"/>
      <c r="Y290" s="298"/>
      <c r="Z290" s="298"/>
      <c r="AA290" s="298"/>
      <c r="AB290" s="298"/>
      <c r="AC290" s="298"/>
      <c r="AD290" s="298"/>
      <c r="AE290" s="298"/>
      <c r="AF290" s="298"/>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row>
    <row r="291">
      <c r="A291" s="304"/>
      <c r="B291" s="282"/>
      <c r="C291" s="298"/>
      <c r="D291" s="282"/>
      <c r="E291" s="282"/>
      <c r="F291" s="282"/>
      <c r="G291" s="282"/>
      <c r="H291" s="282"/>
      <c r="I291" s="282"/>
      <c r="J291" s="282"/>
      <c r="K291" s="282"/>
      <c r="L291" s="282"/>
      <c r="M291" s="282"/>
      <c r="N291" s="282"/>
      <c r="O291" s="282"/>
      <c r="P291" s="282"/>
      <c r="Q291" s="282"/>
      <c r="R291" s="282"/>
      <c r="S291" s="282"/>
      <c r="T291" s="282"/>
      <c r="U291" s="282"/>
      <c r="V291" s="298"/>
      <c r="W291" s="298"/>
      <c r="X291" s="298"/>
      <c r="Y291" s="298"/>
      <c r="Z291" s="298"/>
      <c r="AA291" s="298"/>
      <c r="AB291" s="298"/>
      <c r="AC291" s="298"/>
      <c r="AD291" s="298"/>
      <c r="AE291" s="298"/>
      <c r="AF291" s="298"/>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row>
    <row r="292">
      <c r="A292" s="304"/>
      <c r="B292" s="282"/>
      <c r="C292" s="298"/>
      <c r="D292" s="282"/>
      <c r="E292" s="282"/>
      <c r="F292" s="282"/>
      <c r="G292" s="282"/>
      <c r="H292" s="282"/>
      <c r="I292" s="282"/>
      <c r="J292" s="282"/>
      <c r="K292" s="282"/>
      <c r="L292" s="282"/>
      <c r="M292" s="282"/>
      <c r="N292" s="282"/>
      <c r="O292" s="282"/>
      <c r="P292" s="282"/>
      <c r="Q292" s="282"/>
      <c r="R292" s="282"/>
      <c r="S292" s="282"/>
      <c r="T292" s="282"/>
      <c r="U292" s="282"/>
      <c r="V292" s="298"/>
      <c r="W292" s="298"/>
      <c r="X292" s="298"/>
      <c r="Y292" s="298"/>
      <c r="Z292" s="298"/>
      <c r="AA292" s="298"/>
      <c r="AB292" s="298"/>
      <c r="AC292" s="298"/>
      <c r="AD292" s="298"/>
      <c r="AE292" s="298"/>
      <c r="AF292" s="298"/>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row>
    <row r="293">
      <c r="A293" s="304"/>
      <c r="B293" s="282"/>
      <c r="C293" s="298"/>
      <c r="D293" s="282"/>
      <c r="E293" s="282"/>
      <c r="F293" s="282"/>
      <c r="G293" s="282"/>
      <c r="H293" s="282"/>
      <c r="I293" s="282"/>
      <c r="J293" s="282"/>
      <c r="K293" s="282"/>
      <c r="L293" s="282"/>
      <c r="M293" s="282"/>
      <c r="N293" s="282"/>
      <c r="O293" s="282"/>
      <c r="P293" s="282"/>
      <c r="Q293" s="282"/>
      <c r="R293" s="282"/>
      <c r="S293" s="282"/>
      <c r="T293" s="282"/>
      <c r="U293" s="282"/>
      <c r="V293" s="298"/>
      <c r="W293" s="298"/>
      <c r="X293" s="298"/>
      <c r="Y293" s="298"/>
      <c r="Z293" s="298"/>
      <c r="AA293" s="298"/>
      <c r="AB293" s="298"/>
      <c r="AC293" s="298"/>
      <c r="AD293" s="298"/>
      <c r="AE293" s="298"/>
      <c r="AF293" s="298"/>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row>
    <row r="294">
      <c r="A294" s="304"/>
      <c r="B294" s="282"/>
      <c r="C294" s="298"/>
      <c r="D294" s="282"/>
      <c r="E294" s="282"/>
      <c r="F294" s="282"/>
      <c r="G294" s="282"/>
      <c r="H294" s="282"/>
      <c r="I294" s="282"/>
      <c r="J294" s="282"/>
      <c r="K294" s="282"/>
      <c r="L294" s="282"/>
      <c r="M294" s="282"/>
      <c r="N294" s="282"/>
      <c r="O294" s="282"/>
      <c r="P294" s="282"/>
      <c r="Q294" s="282"/>
      <c r="R294" s="282"/>
      <c r="S294" s="282"/>
      <c r="T294" s="282"/>
      <c r="U294" s="282"/>
      <c r="V294" s="298"/>
      <c r="W294" s="298"/>
      <c r="X294" s="298"/>
      <c r="Y294" s="298"/>
      <c r="Z294" s="298"/>
      <c r="AA294" s="298"/>
      <c r="AB294" s="298"/>
      <c r="AC294" s="298"/>
      <c r="AD294" s="298"/>
      <c r="AE294" s="298"/>
      <c r="AF294" s="298"/>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row>
    <row r="295">
      <c r="A295" s="304"/>
      <c r="B295" s="282"/>
      <c r="C295" s="298"/>
      <c r="D295" s="282"/>
      <c r="E295" s="282"/>
      <c r="F295" s="282"/>
      <c r="G295" s="282"/>
      <c r="H295" s="282"/>
      <c r="I295" s="282"/>
      <c r="J295" s="282"/>
      <c r="K295" s="282"/>
      <c r="L295" s="282"/>
      <c r="M295" s="282"/>
      <c r="N295" s="282"/>
      <c r="O295" s="282"/>
      <c r="P295" s="282"/>
      <c r="Q295" s="282"/>
      <c r="R295" s="282"/>
      <c r="S295" s="282"/>
      <c r="T295" s="282"/>
      <c r="U295" s="282"/>
      <c r="V295" s="298"/>
      <c r="W295" s="298"/>
      <c r="X295" s="298"/>
      <c r="Y295" s="298"/>
      <c r="Z295" s="298"/>
      <c r="AA295" s="298"/>
      <c r="AB295" s="298"/>
      <c r="AC295" s="298"/>
      <c r="AD295" s="298"/>
      <c r="AE295" s="298"/>
      <c r="AF295" s="298"/>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row>
    <row r="296">
      <c r="A296" s="304"/>
      <c r="B296" s="282"/>
      <c r="C296" s="298"/>
      <c r="D296" s="282"/>
      <c r="E296" s="282"/>
      <c r="F296" s="282"/>
      <c r="G296" s="282"/>
      <c r="H296" s="282"/>
      <c r="I296" s="282"/>
      <c r="J296" s="282"/>
      <c r="K296" s="282"/>
      <c r="L296" s="282"/>
      <c r="M296" s="282"/>
      <c r="N296" s="282"/>
      <c r="O296" s="282"/>
      <c r="P296" s="282"/>
      <c r="Q296" s="282"/>
      <c r="R296" s="282"/>
      <c r="S296" s="282"/>
      <c r="T296" s="282"/>
      <c r="U296" s="282"/>
      <c r="V296" s="298"/>
      <c r="W296" s="298"/>
      <c r="X296" s="298"/>
      <c r="Y296" s="298"/>
      <c r="Z296" s="298"/>
      <c r="AA296" s="298"/>
      <c r="AB296" s="298"/>
      <c r="AC296" s="298"/>
      <c r="AD296" s="298"/>
      <c r="AE296" s="298"/>
      <c r="AF296" s="298"/>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row>
    <row r="297">
      <c r="A297" s="304"/>
      <c r="B297" s="282"/>
      <c r="C297" s="298"/>
      <c r="D297" s="282"/>
      <c r="E297" s="282"/>
      <c r="F297" s="282"/>
      <c r="G297" s="282"/>
      <c r="H297" s="282"/>
      <c r="I297" s="282"/>
      <c r="J297" s="282"/>
      <c r="K297" s="282"/>
      <c r="L297" s="282"/>
      <c r="M297" s="282"/>
      <c r="N297" s="282"/>
      <c r="O297" s="282"/>
      <c r="P297" s="282"/>
      <c r="Q297" s="282"/>
      <c r="R297" s="282"/>
      <c r="S297" s="282"/>
      <c r="T297" s="282"/>
      <c r="U297" s="282"/>
      <c r="V297" s="298"/>
      <c r="W297" s="298"/>
      <c r="X297" s="298"/>
      <c r="Y297" s="298"/>
      <c r="Z297" s="298"/>
      <c r="AA297" s="298"/>
      <c r="AB297" s="298"/>
      <c r="AC297" s="298"/>
      <c r="AD297" s="298"/>
      <c r="AE297" s="298"/>
      <c r="AF297" s="298"/>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row>
    <row r="298">
      <c r="A298" s="304"/>
      <c r="B298" s="282"/>
      <c r="C298" s="298"/>
      <c r="D298" s="282"/>
      <c r="E298" s="282"/>
      <c r="F298" s="282"/>
      <c r="G298" s="282"/>
      <c r="H298" s="282"/>
      <c r="I298" s="282"/>
      <c r="J298" s="282"/>
      <c r="K298" s="282"/>
      <c r="L298" s="282"/>
      <c r="M298" s="282"/>
      <c r="N298" s="282"/>
      <c r="O298" s="282"/>
      <c r="P298" s="282"/>
      <c r="Q298" s="282"/>
      <c r="R298" s="282"/>
      <c r="S298" s="282"/>
      <c r="T298" s="282"/>
      <c r="U298" s="282"/>
      <c r="V298" s="298"/>
      <c r="W298" s="298"/>
      <c r="X298" s="298"/>
      <c r="Y298" s="298"/>
      <c r="Z298" s="298"/>
      <c r="AA298" s="298"/>
      <c r="AB298" s="298"/>
      <c r="AC298" s="298"/>
      <c r="AD298" s="298"/>
      <c r="AE298" s="298"/>
      <c r="AF298" s="298"/>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row>
    <row r="299">
      <c r="A299" s="304"/>
      <c r="B299" s="282"/>
      <c r="C299" s="298"/>
      <c r="D299" s="282"/>
      <c r="E299" s="282"/>
      <c r="F299" s="282"/>
      <c r="G299" s="282"/>
      <c r="H299" s="282"/>
      <c r="I299" s="282"/>
      <c r="J299" s="282"/>
      <c r="K299" s="282"/>
      <c r="L299" s="282"/>
      <c r="M299" s="282"/>
      <c r="N299" s="282"/>
      <c r="O299" s="282"/>
      <c r="P299" s="282"/>
      <c r="Q299" s="282"/>
      <c r="R299" s="282"/>
      <c r="S299" s="282"/>
      <c r="T299" s="282"/>
      <c r="U299" s="282"/>
      <c r="V299" s="298"/>
      <c r="W299" s="298"/>
      <c r="X299" s="298"/>
      <c r="Y299" s="298"/>
      <c r="Z299" s="298"/>
      <c r="AA299" s="298"/>
      <c r="AB299" s="298"/>
      <c r="AC299" s="298"/>
      <c r="AD299" s="298"/>
      <c r="AE299" s="298"/>
      <c r="AF299" s="298"/>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row>
    <row r="300">
      <c r="A300" s="304"/>
      <c r="B300" s="282"/>
      <c r="C300" s="298"/>
      <c r="D300" s="282"/>
      <c r="E300" s="282"/>
      <c r="F300" s="282"/>
      <c r="G300" s="282"/>
      <c r="H300" s="282"/>
      <c r="I300" s="282"/>
      <c r="J300" s="282"/>
      <c r="K300" s="282"/>
      <c r="L300" s="282"/>
      <c r="M300" s="282"/>
      <c r="N300" s="282"/>
      <c r="O300" s="282"/>
      <c r="P300" s="282"/>
      <c r="Q300" s="282"/>
      <c r="R300" s="282"/>
      <c r="S300" s="282"/>
      <c r="T300" s="282"/>
      <c r="U300" s="282"/>
      <c r="V300" s="298"/>
      <c r="W300" s="298"/>
      <c r="X300" s="298"/>
      <c r="Y300" s="298"/>
      <c r="Z300" s="298"/>
      <c r="AA300" s="298"/>
      <c r="AB300" s="298"/>
      <c r="AC300" s="298"/>
      <c r="AD300" s="298"/>
      <c r="AE300" s="298"/>
      <c r="AF300" s="298"/>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row>
    <row r="301">
      <c r="A301" s="304"/>
      <c r="B301" s="282"/>
      <c r="C301" s="298"/>
      <c r="D301" s="282"/>
      <c r="E301" s="282"/>
      <c r="F301" s="282"/>
      <c r="G301" s="282"/>
      <c r="H301" s="282"/>
      <c r="I301" s="282"/>
      <c r="J301" s="282"/>
      <c r="K301" s="282"/>
      <c r="L301" s="282"/>
      <c r="M301" s="282"/>
      <c r="N301" s="282"/>
      <c r="O301" s="282"/>
      <c r="P301" s="282"/>
      <c r="Q301" s="282"/>
      <c r="R301" s="282"/>
      <c r="S301" s="282"/>
      <c r="T301" s="282"/>
      <c r="U301" s="282"/>
      <c r="V301" s="298"/>
      <c r="W301" s="298"/>
      <c r="X301" s="298"/>
      <c r="Y301" s="298"/>
      <c r="Z301" s="298"/>
      <c r="AA301" s="298"/>
      <c r="AB301" s="298"/>
      <c r="AC301" s="298"/>
      <c r="AD301" s="298"/>
      <c r="AE301" s="298"/>
      <c r="AF301" s="298"/>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row>
    <row r="302">
      <c r="A302" s="304"/>
      <c r="B302" s="282"/>
      <c r="C302" s="298"/>
      <c r="D302" s="282"/>
      <c r="E302" s="282"/>
      <c r="F302" s="282"/>
      <c r="G302" s="282"/>
      <c r="H302" s="282"/>
      <c r="I302" s="282"/>
      <c r="J302" s="282"/>
      <c r="K302" s="282"/>
      <c r="L302" s="282"/>
      <c r="M302" s="282"/>
      <c r="N302" s="282"/>
      <c r="O302" s="282"/>
      <c r="P302" s="282"/>
      <c r="Q302" s="282"/>
      <c r="R302" s="282"/>
      <c r="S302" s="282"/>
      <c r="T302" s="282"/>
      <c r="U302" s="282"/>
      <c r="V302" s="298"/>
      <c r="W302" s="298"/>
      <c r="X302" s="298"/>
      <c r="Y302" s="298"/>
      <c r="Z302" s="298"/>
      <c r="AA302" s="298"/>
      <c r="AB302" s="298"/>
      <c r="AC302" s="298"/>
      <c r="AD302" s="298"/>
      <c r="AE302" s="298"/>
      <c r="AF302" s="298"/>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row>
    <row r="303">
      <c r="A303" s="304"/>
      <c r="B303" s="282"/>
      <c r="C303" s="298"/>
      <c r="D303" s="282"/>
      <c r="E303" s="282"/>
      <c r="F303" s="282"/>
      <c r="G303" s="282"/>
      <c r="H303" s="282"/>
      <c r="I303" s="282"/>
      <c r="J303" s="282"/>
      <c r="K303" s="282"/>
      <c r="L303" s="282"/>
      <c r="M303" s="282"/>
      <c r="N303" s="282"/>
      <c r="O303" s="282"/>
      <c r="P303" s="282"/>
      <c r="Q303" s="282"/>
      <c r="R303" s="282"/>
      <c r="S303" s="282"/>
      <c r="T303" s="282"/>
      <c r="U303" s="282"/>
      <c r="V303" s="298"/>
      <c r="W303" s="298"/>
      <c r="X303" s="298"/>
      <c r="Y303" s="298"/>
      <c r="Z303" s="298"/>
      <c r="AA303" s="298"/>
      <c r="AB303" s="298"/>
      <c r="AC303" s="298"/>
      <c r="AD303" s="298"/>
      <c r="AE303" s="298"/>
      <c r="AF303" s="298"/>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row>
    <row r="304">
      <c r="A304" s="304"/>
      <c r="B304" s="282"/>
      <c r="C304" s="298"/>
      <c r="D304" s="282"/>
      <c r="E304" s="282"/>
      <c r="F304" s="282"/>
      <c r="G304" s="282"/>
      <c r="H304" s="282"/>
      <c r="I304" s="282"/>
      <c r="J304" s="282"/>
      <c r="K304" s="282"/>
      <c r="L304" s="282"/>
      <c r="M304" s="282"/>
      <c r="N304" s="282"/>
      <c r="O304" s="282"/>
      <c r="P304" s="282"/>
      <c r="Q304" s="282"/>
      <c r="R304" s="282"/>
      <c r="S304" s="282"/>
      <c r="T304" s="282"/>
      <c r="U304" s="282"/>
      <c r="V304" s="298"/>
      <c r="W304" s="298"/>
      <c r="X304" s="298"/>
      <c r="Y304" s="298"/>
      <c r="Z304" s="298"/>
      <c r="AA304" s="298"/>
      <c r="AB304" s="298"/>
      <c r="AC304" s="298"/>
      <c r="AD304" s="298"/>
      <c r="AE304" s="298"/>
      <c r="AF304" s="298"/>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row>
    <row r="305">
      <c r="A305" s="304"/>
      <c r="B305" s="282"/>
      <c r="C305" s="298"/>
      <c r="D305" s="282"/>
      <c r="E305" s="282"/>
      <c r="F305" s="282"/>
      <c r="G305" s="282"/>
      <c r="H305" s="282"/>
      <c r="I305" s="282"/>
      <c r="J305" s="282"/>
      <c r="K305" s="282"/>
      <c r="L305" s="282"/>
      <c r="M305" s="282"/>
      <c r="N305" s="282"/>
      <c r="O305" s="282"/>
      <c r="P305" s="282"/>
      <c r="Q305" s="282"/>
      <c r="R305" s="282"/>
      <c r="S305" s="282"/>
      <c r="T305" s="282"/>
      <c r="U305" s="282"/>
      <c r="V305" s="298"/>
      <c r="W305" s="298"/>
      <c r="X305" s="298"/>
      <c r="Y305" s="298"/>
      <c r="Z305" s="298"/>
      <c r="AA305" s="298"/>
      <c r="AB305" s="298"/>
      <c r="AC305" s="298"/>
      <c r="AD305" s="298"/>
      <c r="AE305" s="298"/>
      <c r="AF305" s="298"/>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row>
    <row r="306">
      <c r="A306" s="304"/>
      <c r="B306" s="282"/>
      <c r="C306" s="298"/>
      <c r="D306" s="282"/>
      <c r="E306" s="282"/>
      <c r="F306" s="282"/>
      <c r="G306" s="282"/>
      <c r="H306" s="282"/>
      <c r="I306" s="282"/>
      <c r="J306" s="282"/>
      <c r="K306" s="282"/>
      <c r="L306" s="282"/>
      <c r="M306" s="282"/>
      <c r="N306" s="282"/>
      <c r="O306" s="282"/>
      <c r="P306" s="282"/>
      <c r="Q306" s="282"/>
      <c r="R306" s="282"/>
      <c r="S306" s="282"/>
      <c r="T306" s="282"/>
      <c r="U306" s="282"/>
      <c r="V306" s="298"/>
      <c r="W306" s="298"/>
      <c r="X306" s="298"/>
      <c r="Y306" s="298"/>
      <c r="Z306" s="298"/>
      <c r="AA306" s="298"/>
      <c r="AB306" s="298"/>
      <c r="AC306" s="298"/>
      <c r="AD306" s="298"/>
      <c r="AE306" s="298"/>
      <c r="AF306" s="298"/>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row>
    <row r="307">
      <c r="A307" s="304"/>
      <c r="B307" s="282"/>
      <c r="C307" s="298"/>
      <c r="D307" s="282"/>
      <c r="E307" s="282"/>
      <c r="F307" s="282"/>
      <c r="G307" s="282"/>
      <c r="H307" s="282"/>
      <c r="I307" s="282"/>
      <c r="J307" s="282"/>
      <c r="K307" s="282"/>
      <c r="L307" s="282"/>
      <c r="M307" s="282"/>
      <c r="N307" s="282"/>
      <c r="O307" s="282"/>
      <c r="P307" s="282"/>
      <c r="Q307" s="282"/>
      <c r="R307" s="282"/>
      <c r="S307" s="282"/>
      <c r="T307" s="282"/>
      <c r="U307" s="282"/>
      <c r="V307" s="298"/>
      <c r="W307" s="298"/>
      <c r="X307" s="298"/>
      <c r="Y307" s="298"/>
      <c r="Z307" s="298"/>
      <c r="AA307" s="298"/>
      <c r="AB307" s="298"/>
      <c r="AC307" s="298"/>
      <c r="AD307" s="298"/>
      <c r="AE307" s="298"/>
      <c r="AF307" s="298"/>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row>
    <row r="308">
      <c r="A308" s="304"/>
      <c r="B308" s="282"/>
      <c r="C308" s="298"/>
      <c r="D308" s="282"/>
      <c r="E308" s="282"/>
      <c r="F308" s="282"/>
      <c r="G308" s="282"/>
      <c r="H308" s="282"/>
      <c r="I308" s="282"/>
      <c r="J308" s="282"/>
      <c r="K308" s="282"/>
      <c r="L308" s="282"/>
      <c r="M308" s="282"/>
      <c r="N308" s="282"/>
      <c r="O308" s="282"/>
      <c r="P308" s="282"/>
      <c r="Q308" s="282"/>
      <c r="R308" s="282"/>
      <c r="S308" s="282"/>
      <c r="T308" s="282"/>
      <c r="U308" s="282"/>
      <c r="V308" s="298"/>
      <c r="W308" s="298"/>
      <c r="X308" s="298"/>
      <c r="Y308" s="298"/>
      <c r="Z308" s="298"/>
      <c r="AA308" s="298"/>
      <c r="AB308" s="298"/>
      <c r="AC308" s="298"/>
      <c r="AD308" s="298"/>
      <c r="AE308" s="298"/>
      <c r="AF308" s="298"/>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row>
    <row r="309">
      <c r="A309" s="304"/>
      <c r="B309" s="282"/>
      <c r="C309" s="298"/>
      <c r="D309" s="282"/>
      <c r="E309" s="282"/>
      <c r="F309" s="282"/>
      <c r="G309" s="282"/>
      <c r="H309" s="282"/>
      <c r="I309" s="282"/>
      <c r="J309" s="282"/>
      <c r="K309" s="282"/>
      <c r="L309" s="282"/>
      <c r="M309" s="282"/>
      <c r="N309" s="282"/>
      <c r="O309" s="282"/>
      <c r="P309" s="282"/>
      <c r="Q309" s="282"/>
      <c r="R309" s="282"/>
      <c r="S309" s="282"/>
      <c r="T309" s="282"/>
      <c r="U309" s="282"/>
      <c r="V309" s="298"/>
      <c r="W309" s="298"/>
      <c r="X309" s="298"/>
      <c r="Y309" s="298"/>
      <c r="Z309" s="298"/>
      <c r="AA309" s="298"/>
      <c r="AB309" s="298"/>
      <c r="AC309" s="298"/>
      <c r="AD309" s="298"/>
      <c r="AE309" s="298"/>
      <c r="AF309" s="298"/>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row>
    <row r="310">
      <c r="A310" s="304"/>
      <c r="B310" s="282"/>
      <c r="C310" s="298"/>
      <c r="D310" s="282"/>
      <c r="E310" s="282"/>
      <c r="F310" s="282"/>
      <c r="G310" s="282"/>
      <c r="H310" s="282"/>
      <c r="I310" s="282"/>
      <c r="J310" s="282"/>
      <c r="K310" s="282"/>
      <c r="L310" s="282"/>
      <c r="M310" s="282"/>
      <c r="N310" s="282"/>
      <c r="O310" s="282"/>
      <c r="P310" s="282"/>
      <c r="Q310" s="282"/>
      <c r="R310" s="282"/>
      <c r="S310" s="282"/>
      <c r="T310" s="282"/>
      <c r="U310" s="282"/>
      <c r="V310" s="298"/>
      <c r="W310" s="298"/>
      <c r="X310" s="298"/>
      <c r="Y310" s="298"/>
      <c r="Z310" s="298"/>
      <c r="AA310" s="298"/>
      <c r="AB310" s="298"/>
      <c r="AC310" s="298"/>
      <c r="AD310" s="298"/>
      <c r="AE310" s="298"/>
      <c r="AF310" s="298"/>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row>
    <row r="311">
      <c r="A311" s="304"/>
      <c r="B311" s="282"/>
      <c r="C311" s="298"/>
      <c r="D311" s="282"/>
      <c r="E311" s="282"/>
      <c r="F311" s="282"/>
      <c r="G311" s="282"/>
      <c r="H311" s="282"/>
      <c r="I311" s="282"/>
      <c r="J311" s="282"/>
      <c r="K311" s="282"/>
      <c r="L311" s="282"/>
      <c r="M311" s="282"/>
      <c r="N311" s="282"/>
      <c r="O311" s="282"/>
      <c r="P311" s="282"/>
      <c r="Q311" s="282"/>
      <c r="R311" s="282"/>
      <c r="S311" s="282"/>
      <c r="T311" s="282"/>
      <c r="U311" s="282"/>
      <c r="V311" s="298"/>
      <c r="W311" s="298"/>
      <c r="X311" s="298"/>
      <c r="Y311" s="298"/>
      <c r="Z311" s="298"/>
      <c r="AA311" s="298"/>
      <c r="AB311" s="298"/>
      <c r="AC311" s="298"/>
      <c r="AD311" s="298"/>
      <c r="AE311" s="298"/>
      <c r="AF311" s="298"/>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row>
    <row r="312">
      <c r="A312" s="304"/>
      <c r="B312" s="282"/>
      <c r="C312" s="298"/>
      <c r="D312" s="282"/>
      <c r="E312" s="282"/>
      <c r="F312" s="282"/>
      <c r="G312" s="282"/>
      <c r="H312" s="282"/>
      <c r="I312" s="282"/>
      <c r="J312" s="282"/>
      <c r="K312" s="282"/>
      <c r="L312" s="282"/>
      <c r="M312" s="282"/>
      <c r="N312" s="282"/>
      <c r="O312" s="282"/>
      <c r="P312" s="282"/>
      <c r="Q312" s="282"/>
      <c r="R312" s="282"/>
      <c r="S312" s="282"/>
      <c r="T312" s="282"/>
      <c r="U312" s="282"/>
      <c r="V312" s="298"/>
      <c r="W312" s="298"/>
      <c r="X312" s="298"/>
      <c r="Y312" s="298"/>
      <c r="Z312" s="298"/>
      <c r="AA312" s="298"/>
      <c r="AB312" s="298"/>
      <c r="AC312" s="298"/>
      <c r="AD312" s="298"/>
      <c r="AE312" s="298"/>
      <c r="AF312" s="298"/>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row>
    <row r="313">
      <c r="A313" s="304"/>
      <c r="B313" s="282"/>
      <c r="C313" s="298"/>
      <c r="D313" s="282"/>
      <c r="E313" s="282"/>
      <c r="F313" s="282"/>
      <c r="G313" s="282"/>
      <c r="H313" s="282"/>
      <c r="I313" s="282"/>
      <c r="J313" s="282"/>
      <c r="K313" s="282"/>
      <c r="L313" s="282"/>
      <c r="M313" s="282"/>
      <c r="N313" s="282"/>
      <c r="O313" s="282"/>
      <c r="P313" s="282"/>
      <c r="Q313" s="282"/>
      <c r="R313" s="282"/>
      <c r="S313" s="282"/>
      <c r="T313" s="282"/>
      <c r="U313" s="282"/>
      <c r="V313" s="298"/>
      <c r="W313" s="298"/>
      <c r="X313" s="298"/>
      <c r="Y313" s="298"/>
      <c r="Z313" s="298"/>
      <c r="AA313" s="298"/>
      <c r="AB313" s="298"/>
      <c r="AC313" s="298"/>
      <c r="AD313" s="298"/>
      <c r="AE313" s="298"/>
      <c r="AF313" s="298"/>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row>
    <row r="314">
      <c r="A314" s="304"/>
      <c r="B314" s="282"/>
      <c r="C314" s="298"/>
      <c r="D314" s="282"/>
      <c r="E314" s="282"/>
      <c r="F314" s="282"/>
      <c r="G314" s="282"/>
      <c r="H314" s="282"/>
      <c r="I314" s="282"/>
      <c r="J314" s="282"/>
      <c r="K314" s="282"/>
      <c r="L314" s="282"/>
      <c r="M314" s="282"/>
      <c r="N314" s="282"/>
      <c r="O314" s="282"/>
      <c r="P314" s="282"/>
      <c r="Q314" s="282"/>
      <c r="R314" s="282"/>
      <c r="S314" s="282"/>
      <c r="T314" s="282"/>
      <c r="U314" s="282"/>
      <c r="V314" s="298"/>
      <c r="W314" s="298"/>
      <c r="X314" s="298"/>
      <c r="Y314" s="298"/>
      <c r="Z314" s="298"/>
      <c r="AA314" s="298"/>
      <c r="AB314" s="298"/>
      <c r="AC314" s="298"/>
      <c r="AD314" s="298"/>
      <c r="AE314" s="298"/>
      <c r="AF314" s="298"/>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row>
    <row r="315">
      <c r="A315" s="304"/>
      <c r="B315" s="282"/>
      <c r="C315" s="298"/>
      <c r="D315" s="282"/>
      <c r="E315" s="282"/>
      <c r="F315" s="282"/>
      <c r="G315" s="282"/>
      <c r="H315" s="282"/>
      <c r="I315" s="282"/>
      <c r="J315" s="282"/>
      <c r="K315" s="282"/>
      <c r="L315" s="282"/>
      <c r="M315" s="282"/>
      <c r="N315" s="282"/>
      <c r="O315" s="282"/>
      <c r="P315" s="282"/>
      <c r="Q315" s="282"/>
      <c r="R315" s="282"/>
      <c r="S315" s="282"/>
      <c r="T315" s="282"/>
      <c r="U315" s="282"/>
      <c r="V315" s="298"/>
      <c r="W315" s="298"/>
      <c r="X315" s="298"/>
      <c r="Y315" s="298"/>
      <c r="Z315" s="298"/>
      <c r="AA315" s="298"/>
      <c r="AB315" s="298"/>
      <c r="AC315" s="298"/>
      <c r="AD315" s="298"/>
      <c r="AE315" s="298"/>
      <c r="AF315" s="298"/>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row>
    <row r="316">
      <c r="A316" s="304"/>
      <c r="B316" s="282"/>
      <c r="C316" s="298"/>
      <c r="D316" s="282"/>
      <c r="E316" s="282"/>
      <c r="F316" s="282"/>
      <c r="G316" s="282"/>
      <c r="H316" s="282"/>
      <c r="I316" s="282"/>
      <c r="J316" s="282"/>
      <c r="K316" s="282"/>
      <c r="L316" s="282"/>
      <c r="M316" s="282"/>
      <c r="N316" s="282"/>
      <c r="O316" s="282"/>
      <c r="P316" s="282"/>
      <c r="Q316" s="282"/>
      <c r="R316" s="282"/>
      <c r="S316" s="282"/>
      <c r="T316" s="282"/>
      <c r="U316" s="282"/>
      <c r="V316" s="298"/>
      <c r="W316" s="298"/>
      <c r="X316" s="298"/>
      <c r="Y316" s="298"/>
      <c r="Z316" s="298"/>
      <c r="AA316" s="298"/>
      <c r="AB316" s="298"/>
      <c r="AC316" s="298"/>
      <c r="AD316" s="298"/>
      <c r="AE316" s="298"/>
      <c r="AF316" s="298"/>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row>
    <row r="317">
      <c r="A317" s="304"/>
      <c r="B317" s="282"/>
      <c r="C317" s="298"/>
      <c r="D317" s="282"/>
      <c r="E317" s="282"/>
      <c r="F317" s="282"/>
      <c r="G317" s="282"/>
      <c r="H317" s="282"/>
      <c r="I317" s="282"/>
      <c r="J317" s="282"/>
      <c r="K317" s="282"/>
      <c r="L317" s="282"/>
      <c r="M317" s="282"/>
      <c r="N317" s="282"/>
      <c r="O317" s="282"/>
      <c r="P317" s="282"/>
      <c r="Q317" s="282"/>
      <c r="R317" s="282"/>
      <c r="S317" s="282"/>
      <c r="T317" s="282"/>
      <c r="U317" s="282"/>
      <c r="V317" s="298"/>
      <c r="W317" s="298"/>
      <c r="X317" s="298"/>
      <c r="Y317" s="298"/>
      <c r="Z317" s="298"/>
      <c r="AA317" s="298"/>
      <c r="AB317" s="298"/>
      <c r="AC317" s="298"/>
      <c r="AD317" s="298"/>
      <c r="AE317" s="298"/>
      <c r="AF317" s="298"/>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row>
    <row r="318">
      <c r="A318" s="304"/>
      <c r="B318" s="282"/>
      <c r="C318" s="298"/>
      <c r="D318" s="282"/>
      <c r="E318" s="282"/>
      <c r="F318" s="282"/>
      <c r="G318" s="282"/>
      <c r="H318" s="282"/>
      <c r="I318" s="282"/>
      <c r="J318" s="282"/>
      <c r="K318" s="282"/>
      <c r="L318" s="282"/>
      <c r="M318" s="282"/>
      <c r="N318" s="282"/>
      <c r="O318" s="282"/>
      <c r="P318" s="282"/>
      <c r="Q318" s="282"/>
      <c r="R318" s="282"/>
      <c r="S318" s="282"/>
      <c r="T318" s="282"/>
      <c r="U318" s="282"/>
      <c r="V318" s="298"/>
      <c r="W318" s="298"/>
      <c r="X318" s="298"/>
      <c r="Y318" s="298"/>
      <c r="Z318" s="298"/>
      <c r="AA318" s="298"/>
      <c r="AB318" s="298"/>
      <c r="AC318" s="298"/>
      <c r="AD318" s="298"/>
      <c r="AE318" s="298"/>
      <c r="AF318" s="298"/>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row>
    <row r="319">
      <c r="A319" s="304"/>
      <c r="B319" s="282"/>
      <c r="C319" s="298"/>
      <c r="D319" s="282"/>
      <c r="E319" s="282"/>
      <c r="F319" s="282"/>
      <c r="G319" s="282"/>
      <c r="H319" s="282"/>
      <c r="I319" s="282"/>
      <c r="J319" s="282"/>
      <c r="K319" s="282"/>
      <c r="L319" s="282"/>
      <c r="M319" s="282"/>
      <c r="N319" s="282"/>
      <c r="O319" s="282"/>
      <c r="P319" s="282"/>
      <c r="Q319" s="282"/>
      <c r="R319" s="282"/>
      <c r="S319" s="282"/>
      <c r="T319" s="282"/>
      <c r="U319" s="282"/>
      <c r="V319" s="298"/>
      <c r="W319" s="298"/>
      <c r="X319" s="298"/>
      <c r="Y319" s="298"/>
      <c r="Z319" s="298"/>
      <c r="AA319" s="298"/>
      <c r="AB319" s="298"/>
      <c r="AC319" s="298"/>
      <c r="AD319" s="298"/>
      <c r="AE319" s="298"/>
      <c r="AF319" s="298"/>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row>
    <row r="320">
      <c r="A320" s="304"/>
      <c r="B320" s="282"/>
      <c r="C320" s="298"/>
      <c r="D320" s="282"/>
      <c r="E320" s="282"/>
      <c r="F320" s="282"/>
      <c r="G320" s="282"/>
      <c r="H320" s="282"/>
      <c r="I320" s="282"/>
      <c r="J320" s="282"/>
      <c r="K320" s="282"/>
      <c r="L320" s="282"/>
      <c r="M320" s="282"/>
      <c r="N320" s="282"/>
      <c r="O320" s="282"/>
      <c r="P320" s="282"/>
      <c r="Q320" s="282"/>
      <c r="R320" s="282"/>
      <c r="S320" s="282"/>
      <c r="T320" s="282"/>
      <c r="U320" s="282"/>
      <c r="V320" s="298"/>
      <c r="W320" s="298"/>
      <c r="X320" s="298"/>
      <c r="Y320" s="298"/>
      <c r="Z320" s="298"/>
      <c r="AA320" s="298"/>
      <c r="AB320" s="298"/>
      <c r="AC320" s="298"/>
      <c r="AD320" s="298"/>
      <c r="AE320" s="298"/>
      <c r="AF320" s="298"/>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row>
    <row r="321">
      <c r="A321" s="304"/>
      <c r="B321" s="282"/>
      <c r="C321" s="298"/>
      <c r="D321" s="282"/>
      <c r="E321" s="282"/>
      <c r="F321" s="282"/>
      <c r="G321" s="282"/>
      <c r="H321" s="282"/>
      <c r="I321" s="282"/>
      <c r="J321" s="282"/>
      <c r="K321" s="282"/>
      <c r="L321" s="282"/>
      <c r="M321" s="282"/>
      <c r="N321" s="282"/>
      <c r="O321" s="282"/>
      <c r="P321" s="282"/>
      <c r="Q321" s="282"/>
      <c r="R321" s="282"/>
      <c r="S321" s="282"/>
      <c r="T321" s="282"/>
      <c r="U321" s="282"/>
      <c r="V321" s="298"/>
      <c r="W321" s="298"/>
      <c r="X321" s="298"/>
      <c r="Y321" s="298"/>
      <c r="Z321" s="298"/>
      <c r="AA321" s="298"/>
      <c r="AB321" s="298"/>
      <c r="AC321" s="298"/>
      <c r="AD321" s="298"/>
      <c r="AE321" s="298"/>
      <c r="AF321" s="298"/>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row>
    <row r="322">
      <c r="A322" s="304"/>
      <c r="B322" s="282"/>
      <c r="C322" s="298"/>
      <c r="D322" s="282"/>
      <c r="E322" s="282"/>
      <c r="F322" s="282"/>
      <c r="G322" s="282"/>
      <c r="H322" s="282"/>
      <c r="I322" s="282"/>
      <c r="J322" s="282"/>
      <c r="K322" s="282"/>
      <c r="L322" s="282"/>
      <c r="M322" s="282"/>
      <c r="N322" s="282"/>
      <c r="O322" s="282"/>
      <c r="P322" s="282"/>
      <c r="Q322" s="282"/>
      <c r="R322" s="282"/>
      <c r="S322" s="282"/>
      <c r="T322" s="282"/>
      <c r="U322" s="282"/>
      <c r="V322" s="298"/>
      <c r="W322" s="298"/>
      <c r="X322" s="298"/>
      <c r="Y322" s="298"/>
      <c r="Z322" s="298"/>
      <c r="AA322" s="298"/>
      <c r="AB322" s="298"/>
      <c r="AC322" s="298"/>
      <c r="AD322" s="298"/>
      <c r="AE322" s="298"/>
      <c r="AF322" s="298"/>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row>
    <row r="323">
      <c r="A323" s="304"/>
      <c r="B323" s="282"/>
      <c r="C323" s="298"/>
      <c r="D323" s="282"/>
      <c r="E323" s="282"/>
      <c r="F323" s="282"/>
      <c r="G323" s="282"/>
      <c r="H323" s="282"/>
      <c r="I323" s="282"/>
      <c r="J323" s="282"/>
      <c r="K323" s="282"/>
      <c r="L323" s="282"/>
      <c r="M323" s="282"/>
      <c r="N323" s="282"/>
      <c r="O323" s="282"/>
      <c r="P323" s="282"/>
      <c r="Q323" s="282"/>
      <c r="R323" s="282"/>
      <c r="S323" s="282"/>
      <c r="T323" s="282"/>
      <c r="U323" s="282"/>
      <c r="V323" s="298"/>
      <c r="W323" s="298"/>
      <c r="X323" s="298"/>
      <c r="Y323" s="298"/>
      <c r="Z323" s="298"/>
      <c r="AA323" s="298"/>
      <c r="AB323" s="298"/>
      <c r="AC323" s="298"/>
      <c r="AD323" s="298"/>
      <c r="AE323" s="298"/>
      <c r="AF323" s="298"/>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row>
    <row r="324">
      <c r="A324" s="304"/>
      <c r="B324" s="282"/>
      <c r="C324" s="298"/>
      <c r="D324" s="282"/>
      <c r="E324" s="282"/>
      <c r="F324" s="282"/>
      <c r="G324" s="282"/>
      <c r="H324" s="282"/>
      <c r="I324" s="282"/>
      <c r="J324" s="282"/>
      <c r="K324" s="282"/>
      <c r="L324" s="282"/>
      <c r="M324" s="282"/>
      <c r="N324" s="282"/>
      <c r="O324" s="282"/>
      <c r="P324" s="282"/>
      <c r="Q324" s="282"/>
      <c r="R324" s="282"/>
      <c r="S324" s="282"/>
      <c r="T324" s="282"/>
      <c r="U324" s="282"/>
      <c r="V324" s="298"/>
      <c r="W324" s="298"/>
      <c r="X324" s="298"/>
      <c r="Y324" s="298"/>
      <c r="Z324" s="298"/>
      <c r="AA324" s="298"/>
      <c r="AB324" s="298"/>
      <c r="AC324" s="298"/>
      <c r="AD324" s="298"/>
      <c r="AE324" s="298"/>
      <c r="AF324" s="298"/>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row>
    <row r="325">
      <c r="A325" s="304"/>
      <c r="B325" s="282"/>
      <c r="C325" s="298"/>
      <c r="D325" s="282"/>
      <c r="E325" s="282"/>
      <c r="F325" s="282"/>
      <c r="G325" s="282"/>
      <c r="H325" s="282"/>
      <c r="I325" s="282"/>
      <c r="J325" s="282"/>
      <c r="K325" s="282"/>
      <c r="L325" s="282"/>
      <c r="M325" s="282"/>
      <c r="N325" s="282"/>
      <c r="O325" s="282"/>
      <c r="P325" s="282"/>
      <c r="Q325" s="282"/>
      <c r="R325" s="282"/>
      <c r="S325" s="282"/>
      <c r="T325" s="282"/>
      <c r="U325" s="282"/>
      <c r="V325" s="298"/>
      <c r="W325" s="298"/>
      <c r="X325" s="298"/>
      <c r="Y325" s="298"/>
      <c r="Z325" s="298"/>
      <c r="AA325" s="298"/>
      <c r="AB325" s="298"/>
      <c r="AC325" s="298"/>
      <c r="AD325" s="298"/>
      <c r="AE325" s="298"/>
      <c r="AF325" s="298"/>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row>
    <row r="326">
      <c r="A326" s="304"/>
      <c r="B326" s="282"/>
      <c r="C326" s="298"/>
      <c r="D326" s="282"/>
      <c r="E326" s="282"/>
      <c r="F326" s="282"/>
      <c r="G326" s="282"/>
      <c r="H326" s="282"/>
      <c r="I326" s="282"/>
      <c r="J326" s="282"/>
      <c r="K326" s="282"/>
      <c r="L326" s="282"/>
      <c r="M326" s="282"/>
      <c r="N326" s="282"/>
      <c r="O326" s="282"/>
      <c r="P326" s="282"/>
      <c r="Q326" s="282"/>
      <c r="R326" s="282"/>
      <c r="S326" s="282"/>
      <c r="T326" s="282"/>
      <c r="U326" s="282"/>
      <c r="V326" s="298"/>
      <c r="W326" s="298"/>
      <c r="X326" s="298"/>
      <c r="Y326" s="298"/>
      <c r="Z326" s="298"/>
      <c r="AA326" s="298"/>
      <c r="AB326" s="298"/>
      <c r="AC326" s="298"/>
      <c r="AD326" s="298"/>
      <c r="AE326" s="298"/>
      <c r="AF326" s="298"/>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row>
    <row r="327">
      <c r="A327" s="304"/>
      <c r="B327" s="282"/>
      <c r="C327" s="298"/>
      <c r="D327" s="282"/>
      <c r="E327" s="282"/>
      <c r="F327" s="282"/>
      <c r="G327" s="282"/>
      <c r="H327" s="282"/>
      <c r="I327" s="282"/>
      <c r="J327" s="282"/>
      <c r="K327" s="282"/>
      <c r="L327" s="282"/>
      <c r="M327" s="282"/>
      <c r="N327" s="282"/>
      <c r="O327" s="282"/>
      <c r="P327" s="282"/>
      <c r="Q327" s="282"/>
      <c r="R327" s="282"/>
      <c r="S327" s="282"/>
      <c r="T327" s="282"/>
      <c r="U327" s="282"/>
      <c r="V327" s="298"/>
      <c r="W327" s="298"/>
      <c r="X327" s="298"/>
      <c r="Y327" s="298"/>
      <c r="Z327" s="298"/>
      <c r="AA327" s="298"/>
      <c r="AB327" s="298"/>
      <c r="AC327" s="298"/>
      <c r="AD327" s="298"/>
      <c r="AE327" s="298"/>
      <c r="AF327" s="298"/>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row>
    <row r="328">
      <c r="A328" s="304"/>
      <c r="B328" s="282"/>
      <c r="C328" s="298"/>
      <c r="D328" s="282"/>
      <c r="E328" s="282"/>
      <c r="F328" s="282"/>
      <c r="G328" s="282"/>
      <c r="H328" s="282"/>
      <c r="I328" s="282"/>
      <c r="J328" s="282"/>
      <c r="K328" s="282"/>
      <c r="L328" s="282"/>
      <c r="M328" s="282"/>
      <c r="N328" s="282"/>
      <c r="O328" s="282"/>
      <c r="P328" s="282"/>
      <c r="Q328" s="282"/>
      <c r="R328" s="282"/>
      <c r="S328" s="282"/>
      <c r="T328" s="282"/>
      <c r="U328" s="282"/>
      <c r="V328" s="298"/>
      <c r="W328" s="298"/>
      <c r="X328" s="298"/>
      <c r="Y328" s="298"/>
      <c r="Z328" s="298"/>
      <c r="AA328" s="298"/>
      <c r="AB328" s="298"/>
      <c r="AC328" s="298"/>
      <c r="AD328" s="298"/>
      <c r="AE328" s="298"/>
      <c r="AF328" s="298"/>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row>
    <row r="329">
      <c r="A329" s="304"/>
      <c r="B329" s="282"/>
      <c r="C329" s="298"/>
      <c r="D329" s="282"/>
      <c r="E329" s="282"/>
      <c r="F329" s="282"/>
      <c r="G329" s="282"/>
      <c r="H329" s="282"/>
      <c r="I329" s="282"/>
      <c r="J329" s="282"/>
      <c r="K329" s="282"/>
      <c r="L329" s="282"/>
      <c r="M329" s="282"/>
      <c r="N329" s="282"/>
      <c r="O329" s="282"/>
      <c r="P329" s="282"/>
      <c r="Q329" s="282"/>
      <c r="R329" s="282"/>
      <c r="S329" s="282"/>
      <c r="T329" s="282"/>
      <c r="U329" s="282"/>
      <c r="V329" s="298"/>
      <c r="W329" s="298"/>
      <c r="X329" s="298"/>
      <c r="Y329" s="298"/>
      <c r="Z329" s="298"/>
      <c r="AA329" s="298"/>
      <c r="AB329" s="298"/>
      <c r="AC329" s="298"/>
      <c r="AD329" s="298"/>
      <c r="AE329" s="298"/>
      <c r="AF329" s="298"/>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row>
    <row r="330">
      <c r="A330" s="304"/>
      <c r="B330" s="282"/>
      <c r="C330" s="298"/>
      <c r="D330" s="282"/>
      <c r="E330" s="282"/>
      <c r="F330" s="282"/>
      <c r="G330" s="282"/>
      <c r="H330" s="282"/>
      <c r="I330" s="282"/>
      <c r="J330" s="282"/>
      <c r="K330" s="282"/>
      <c r="L330" s="282"/>
      <c r="M330" s="282"/>
      <c r="N330" s="282"/>
      <c r="O330" s="282"/>
      <c r="P330" s="282"/>
      <c r="Q330" s="282"/>
      <c r="R330" s="282"/>
      <c r="S330" s="282"/>
      <c r="T330" s="282"/>
      <c r="U330" s="282"/>
      <c r="V330" s="298"/>
      <c r="W330" s="298"/>
      <c r="X330" s="298"/>
      <c r="Y330" s="298"/>
      <c r="Z330" s="298"/>
      <c r="AA330" s="298"/>
      <c r="AB330" s="298"/>
      <c r="AC330" s="298"/>
      <c r="AD330" s="298"/>
      <c r="AE330" s="298"/>
      <c r="AF330" s="298"/>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row>
    <row r="331">
      <c r="A331" s="304"/>
      <c r="B331" s="282"/>
      <c r="C331" s="298"/>
      <c r="D331" s="282"/>
      <c r="E331" s="282"/>
      <c r="F331" s="282"/>
      <c r="G331" s="282"/>
      <c r="H331" s="282"/>
      <c r="I331" s="282"/>
      <c r="J331" s="282"/>
      <c r="K331" s="282"/>
      <c r="L331" s="282"/>
      <c r="M331" s="282"/>
      <c r="N331" s="282"/>
      <c r="O331" s="282"/>
      <c r="P331" s="282"/>
      <c r="Q331" s="282"/>
      <c r="R331" s="282"/>
      <c r="S331" s="282"/>
      <c r="T331" s="282"/>
      <c r="U331" s="282"/>
      <c r="V331" s="298"/>
      <c r="W331" s="298"/>
      <c r="X331" s="298"/>
      <c r="Y331" s="298"/>
      <c r="Z331" s="298"/>
      <c r="AA331" s="298"/>
      <c r="AB331" s="298"/>
      <c r="AC331" s="298"/>
      <c r="AD331" s="298"/>
      <c r="AE331" s="298"/>
      <c r="AF331" s="298"/>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row>
    <row r="332">
      <c r="A332" s="304"/>
      <c r="B332" s="282"/>
      <c r="C332" s="298"/>
      <c r="D332" s="282"/>
      <c r="E332" s="282"/>
      <c r="F332" s="282"/>
      <c r="G332" s="282"/>
      <c r="H332" s="282"/>
      <c r="I332" s="282"/>
      <c r="J332" s="282"/>
      <c r="K332" s="282"/>
      <c r="L332" s="282"/>
      <c r="M332" s="282"/>
      <c r="N332" s="282"/>
      <c r="O332" s="282"/>
      <c r="P332" s="282"/>
      <c r="Q332" s="282"/>
      <c r="R332" s="282"/>
      <c r="S332" s="282"/>
      <c r="T332" s="282"/>
      <c r="U332" s="282"/>
      <c r="V332" s="298"/>
      <c r="W332" s="298"/>
      <c r="X332" s="298"/>
      <c r="Y332" s="298"/>
      <c r="Z332" s="298"/>
      <c r="AA332" s="298"/>
      <c r="AB332" s="298"/>
      <c r="AC332" s="298"/>
      <c r="AD332" s="298"/>
      <c r="AE332" s="298"/>
      <c r="AF332" s="298"/>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row>
    <row r="333">
      <c r="A333" s="304"/>
      <c r="B333" s="282"/>
      <c r="C333" s="298"/>
      <c r="D333" s="282"/>
      <c r="E333" s="282"/>
      <c r="F333" s="282"/>
      <c r="G333" s="282"/>
      <c r="H333" s="282"/>
      <c r="I333" s="282"/>
      <c r="J333" s="282"/>
      <c r="K333" s="282"/>
      <c r="L333" s="282"/>
      <c r="M333" s="282"/>
      <c r="N333" s="282"/>
      <c r="O333" s="282"/>
      <c r="P333" s="282"/>
      <c r="Q333" s="282"/>
      <c r="R333" s="282"/>
      <c r="S333" s="282"/>
      <c r="T333" s="282"/>
      <c r="U333" s="282"/>
      <c r="V333" s="298"/>
      <c r="W333" s="298"/>
      <c r="X333" s="298"/>
      <c r="Y333" s="298"/>
      <c r="Z333" s="298"/>
      <c r="AA333" s="298"/>
      <c r="AB333" s="298"/>
      <c r="AC333" s="298"/>
      <c r="AD333" s="298"/>
      <c r="AE333" s="298"/>
      <c r="AF333" s="298"/>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row>
    <row r="334">
      <c r="A334" s="304"/>
      <c r="B334" s="282"/>
      <c r="C334" s="298"/>
      <c r="D334" s="282"/>
      <c r="E334" s="282"/>
      <c r="F334" s="282"/>
      <c r="G334" s="282"/>
      <c r="H334" s="282"/>
      <c r="I334" s="282"/>
      <c r="J334" s="282"/>
      <c r="K334" s="282"/>
      <c r="L334" s="282"/>
      <c r="M334" s="282"/>
      <c r="N334" s="282"/>
      <c r="O334" s="282"/>
      <c r="P334" s="282"/>
      <c r="Q334" s="282"/>
      <c r="R334" s="282"/>
      <c r="S334" s="282"/>
      <c r="T334" s="282"/>
      <c r="U334" s="282"/>
      <c r="V334" s="298"/>
      <c r="W334" s="298"/>
      <c r="X334" s="298"/>
      <c r="Y334" s="298"/>
      <c r="Z334" s="298"/>
      <c r="AA334" s="298"/>
      <c r="AB334" s="298"/>
      <c r="AC334" s="298"/>
      <c r="AD334" s="298"/>
      <c r="AE334" s="298"/>
      <c r="AF334" s="298"/>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row>
    <row r="335">
      <c r="A335" s="304"/>
      <c r="B335" s="282"/>
      <c r="C335" s="298"/>
      <c r="D335" s="282"/>
      <c r="E335" s="282"/>
      <c r="F335" s="282"/>
      <c r="G335" s="282"/>
      <c r="H335" s="282"/>
      <c r="I335" s="282"/>
      <c r="J335" s="282"/>
      <c r="K335" s="282"/>
      <c r="L335" s="282"/>
      <c r="M335" s="282"/>
      <c r="N335" s="282"/>
      <c r="O335" s="282"/>
      <c r="P335" s="282"/>
      <c r="Q335" s="282"/>
      <c r="R335" s="282"/>
      <c r="S335" s="282"/>
      <c r="T335" s="282"/>
      <c r="U335" s="282"/>
      <c r="V335" s="298"/>
      <c r="W335" s="298"/>
      <c r="X335" s="298"/>
      <c r="Y335" s="298"/>
      <c r="Z335" s="298"/>
      <c r="AA335" s="298"/>
      <c r="AB335" s="298"/>
      <c r="AC335" s="298"/>
      <c r="AD335" s="298"/>
      <c r="AE335" s="298"/>
      <c r="AF335" s="298"/>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row>
    <row r="336">
      <c r="A336" s="304"/>
      <c r="B336" s="282"/>
      <c r="C336" s="298"/>
      <c r="D336" s="282"/>
      <c r="E336" s="282"/>
      <c r="F336" s="282"/>
      <c r="G336" s="282"/>
      <c r="H336" s="282"/>
      <c r="I336" s="282"/>
      <c r="J336" s="282"/>
      <c r="K336" s="282"/>
      <c r="L336" s="282"/>
      <c r="M336" s="282"/>
      <c r="N336" s="282"/>
      <c r="O336" s="282"/>
      <c r="P336" s="282"/>
      <c r="Q336" s="282"/>
      <c r="R336" s="282"/>
      <c r="S336" s="282"/>
      <c r="T336" s="282"/>
      <c r="U336" s="282"/>
      <c r="V336" s="298"/>
      <c r="W336" s="298"/>
      <c r="X336" s="298"/>
      <c r="Y336" s="298"/>
      <c r="Z336" s="298"/>
      <c r="AA336" s="298"/>
      <c r="AB336" s="298"/>
      <c r="AC336" s="298"/>
      <c r="AD336" s="298"/>
      <c r="AE336" s="298"/>
      <c r="AF336" s="298"/>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row>
    <row r="337">
      <c r="A337" s="304"/>
      <c r="B337" s="282"/>
      <c r="C337" s="298"/>
      <c r="D337" s="282"/>
      <c r="E337" s="282"/>
      <c r="F337" s="282"/>
      <c r="G337" s="282"/>
      <c r="H337" s="282"/>
      <c r="I337" s="282"/>
      <c r="J337" s="282"/>
      <c r="K337" s="282"/>
      <c r="L337" s="282"/>
      <c r="M337" s="282"/>
      <c r="N337" s="282"/>
      <c r="O337" s="282"/>
      <c r="P337" s="282"/>
      <c r="Q337" s="282"/>
      <c r="R337" s="282"/>
      <c r="S337" s="282"/>
      <c r="T337" s="282"/>
      <c r="U337" s="282"/>
      <c r="V337" s="298"/>
      <c r="W337" s="298"/>
      <c r="X337" s="298"/>
      <c r="Y337" s="298"/>
      <c r="Z337" s="298"/>
      <c r="AA337" s="298"/>
      <c r="AB337" s="298"/>
      <c r="AC337" s="298"/>
      <c r="AD337" s="298"/>
      <c r="AE337" s="298"/>
      <c r="AF337" s="298"/>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row>
    <row r="338">
      <c r="A338" s="304"/>
      <c r="B338" s="282"/>
      <c r="C338" s="298"/>
      <c r="D338" s="282"/>
      <c r="E338" s="282"/>
      <c r="F338" s="282"/>
      <c r="G338" s="282"/>
      <c r="H338" s="282"/>
      <c r="I338" s="282"/>
      <c r="J338" s="282"/>
      <c r="K338" s="282"/>
      <c r="L338" s="282"/>
      <c r="M338" s="282"/>
      <c r="N338" s="282"/>
      <c r="O338" s="282"/>
      <c r="P338" s="282"/>
      <c r="Q338" s="282"/>
      <c r="R338" s="282"/>
      <c r="S338" s="282"/>
      <c r="T338" s="282"/>
      <c r="U338" s="282"/>
      <c r="V338" s="298"/>
      <c r="W338" s="298"/>
      <c r="X338" s="298"/>
      <c r="Y338" s="298"/>
      <c r="Z338" s="298"/>
      <c r="AA338" s="298"/>
      <c r="AB338" s="298"/>
      <c r="AC338" s="298"/>
      <c r="AD338" s="298"/>
      <c r="AE338" s="298"/>
      <c r="AF338" s="298"/>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row>
    <row r="339">
      <c r="A339" s="304"/>
      <c r="B339" s="282"/>
      <c r="C339" s="298"/>
      <c r="D339" s="282"/>
      <c r="E339" s="282"/>
      <c r="F339" s="282"/>
      <c r="G339" s="282"/>
      <c r="H339" s="282"/>
      <c r="I339" s="282"/>
      <c r="J339" s="282"/>
      <c r="K339" s="282"/>
      <c r="L339" s="282"/>
      <c r="M339" s="282"/>
      <c r="N339" s="282"/>
      <c r="O339" s="282"/>
      <c r="P339" s="282"/>
      <c r="Q339" s="282"/>
      <c r="R339" s="282"/>
      <c r="S339" s="282"/>
      <c r="T339" s="282"/>
      <c r="U339" s="282"/>
      <c r="V339" s="298"/>
      <c r="W339" s="298"/>
      <c r="X339" s="298"/>
      <c r="Y339" s="298"/>
      <c r="Z339" s="298"/>
      <c r="AA339" s="298"/>
      <c r="AB339" s="298"/>
      <c r="AC339" s="298"/>
      <c r="AD339" s="298"/>
      <c r="AE339" s="298"/>
      <c r="AF339" s="298"/>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row>
    <row r="340">
      <c r="A340" s="304"/>
      <c r="B340" s="282"/>
      <c r="C340" s="298"/>
      <c r="D340" s="282"/>
      <c r="E340" s="282"/>
      <c r="F340" s="282"/>
      <c r="G340" s="282"/>
      <c r="H340" s="282"/>
      <c r="I340" s="282"/>
      <c r="J340" s="282"/>
      <c r="K340" s="282"/>
      <c r="L340" s="282"/>
      <c r="M340" s="282"/>
      <c r="N340" s="282"/>
      <c r="O340" s="282"/>
      <c r="P340" s="282"/>
      <c r="Q340" s="282"/>
      <c r="R340" s="282"/>
      <c r="S340" s="282"/>
      <c r="T340" s="282"/>
      <c r="U340" s="282"/>
      <c r="V340" s="298"/>
      <c r="W340" s="298"/>
      <c r="X340" s="298"/>
      <c r="Y340" s="298"/>
      <c r="Z340" s="298"/>
      <c r="AA340" s="298"/>
      <c r="AB340" s="298"/>
      <c r="AC340" s="298"/>
      <c r="AD340" s="298"/>
      <c r="AE340" s="298"/>
      <c r="AF340" s="298"/>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row>
    <row r="341">
      <c r="A341" s="304"/>
      <c r="B341" s="282"/>
      <c r="C341" s="298"/>
      <c r="D341" s="282"/>
      <c r="E341" s="282"/>
      <c r="F341" s="282"/>
      <c r="G341" s="282"/>
      <c r="H341" s="282"/>
      <c r="I341" s="282"/>
      <c r="J341" s="282"/>
      <c r="K341" s="282"/>
      <c r="L341" s="282"/>
      <c r="M341" s="282"/>
      <c r="N341" s="282"/>
      <c r="O341" s="282"/>
      <c r="P341" s="282"/>
      <c r="Q341" s="282"/>
      <c r="R341" s="282"/>
      <c r="S341" s="282"/>
      <c r="T341" s="282"/>
      <c r="U341" s="282"/>
      <c r="V341" s="298"/>
      <c r="W341" s="298"/>
      <c r="X341" s="298"/>
      <c r="Y341" s="298"/>
      <c r="Z341" s="298"/>
      <c r="AA341" s="298"/>
      <c r="AB341" s="298"/>
      <c r="AC341" s="298"/>
      <c r="AD341" s="298"/>
      <c r="AE341" s="298"/>
      <c r="AF341" s="298"/>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row>
    <row r="342">
      <c r="A342" s="304"/>
      <c r="B342" s="282"/>
      <c r="C342" s="298"/>
      <c r="D342" s="282"/>
      <c r="E342" s="282"/>
      <c r="F342" s="282"/>
      <c r="G342" s="282"/>
      <c r="H342" s="282"/>
      <c r="I342" s="282"/>
      <c r="J342" s="282"/>
      <c r="K342" s="282"/>
      <c r="L342" s="282"/>
      <c r="M342" s="282"/>
      <c r="N342" s="282"/>
      <c r="O342" s="282"/>
      <c r="P342" s="282"/>
      <c r="Q342" s="282"/>
      <c r="R342" s="282"/>
      <c r="S342" s="282"/>
      <c r="T342" s="282"/>
      <c r="U342" s="282"/>
      <c r="V342" s="298"/>
      <c r="W342" s="298"/>
      <c r="X342" s="298"/>
      <c r="Y342" s="298"/>
      <c r="Z342" s="298"/>
      <c r="AA342" s="298"/>
      <c r="AB342" s="298"/>
      <c r="AC342" s="298"/>
      <c r="AD342" s="298"/>
      <c r="AE342" s="298"/>
      <c r="AF342" s="298"/>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row>
    <row r="343">
      <c r="A343" s="304"/>
      <c r="B343" s="282"/>
      <c r="C343" s="298"/>
      <c r="D343" s="282"/>
      <c r="E343" s="282"/>
      <c r="F343" s="282"/>
      <c r="G343" s="282"/>
      <c r="H343" s="282"/>
      <c r="I343" s="282"/>
      <c r="J343" s="282"/>
      <c r="K343" s="282"/>
      <c r="L343" s="282"/>
      <c r="M343" s="282"/>
      <c r="N343" s="282"/>
      <c r="O343" s="282"/>
      <c r="P343" s="282"/>
      <c r="Q343" s="282"/>
      <c r="R343" s="282"/>
      <c r="S343" s="282"/>
      <c r="T343" s="282"/>
      <c r="U343" s="282"/>
      <c r="V343" s="298"/>
      <c r="W343" s="298"/>
      <c r="X343" s="298"/>
      <c r="Y343" s="298"/>
      <c r="Z343" s="298"/>
      <c r="AA343" s="298"/>
      <c r="AB343" s="298"/>
      <c r="AC343" s="298"/>
      <c r="AD343" s="298"/>
      <c r="AE343" s="298"/>
      <c r="AF343" s="298"/>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row>
    <row r="344">
      <c r="A344" s="304"/>
      <c r="B344" s="282"/>
      <c r="C344" s="298"/>
      <c r="D344" s="282"/>
      <c r="E344" s="282"/>
      <c r="F344" s="282"/>
      <c r="G344" s="282"/>
      <c r="H344" s="282"/>
      <c r="I344" s="282"/>
      <c r="J344" s="282"/>
      <c r="K344" s="282"/>
      <c r="L344" s="282"/>
      <c r="M344" s="282"/>
      <c r="N344" s="282"/>
      <c r="O344" s="282"/>
      <c r="P344" s="282"/>
      <c r="Q344" s="282"/>
      <c r="R344" s="282"/>
      <c r="S344" s="282"/>
      <c r="T344" s="282"/>
      <c r="U344" s="282"/>
      <c r="V344" s="298"/>
      <c r="W344" s="298"/>
      <c r="X344" s="298"/>
      <c r="Y344" s="298"/>
      <c r="Z344" s="298"/>
      <c r="AA344" s="298"/>
      <c r="AB344" s="298"/>
      <c r="AC344" s="298"/>
      <c r="AD344" s="298"/>
      <c r="AE344" s="298"/>
      <c r="AF344" s="298"/>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row>
    <row r="345">
      <c r="A345" s="304"/>
      <c r="B345" s="282"/>
      <c r="C345" s="298"/>
      <c r="D345" s="282"/>
      <c r="E345" s="282"/>
      <c r="F345" s="282"/>
      <c r="G345" s="282"/>
      <c r="H345" s="282"/>
      <c r="I345" s="282"/>
      <c r="J345" s="282"/>
      <c r="K345" s="282"/>
      <c r="L345" s="282"/>
      <c r="M345" s="282"/>
      <c r="N345" s="282"/>
      <c r="O345" s="282"/>
      <c r="P345" s="282"/>
      <c r="Q345" s="282"/>
      <c r="R345" s="282"/>
      <c r="S345" s="282"/>
      <c r="T345" s="282"/>
      <c r="U345" s="282"/>
      <c r="V345" s="298"/>
      <c r="W345" s="298"/>
      <c r="X345" s="298"/>
      <c r="Y345" s="298"/>
      <c r="Z345" s="298"/>
      <c r="AA345" s="298"/>
      <c r="AB345" s="298"/>
      <c r="AC345" s="298"/>
      <c r="AD345" s="298"/>
      <c r="AE345" s="298"/>
      <c r="AF345" s="298"/>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row>
    <row r="346">
      <c r="A346" s="304"/>
      <c r="B346" s="282"/>
      <c r="C346" s="298"/>
      <c r="D346" s="282"/>
      <c r="E346" s="282"/>
      <c r="F346" s="282"/>
      <c r="G346" s="282"/>
      <c r="H346" s="282"/>
      <c r="I346" s="282"/>
      <c r="J346" s="282"/>
      <c r="K346" s="282"/>
      <c r="L346" s="282"/>
      <c r="M346" s="282"/>
      <c r="N346" s="282"/>
      <c r="O346" s="282"/>
      <c r="P346" s="282"/>
      <c r="Q346" s="282"/>
      <c r="R346" s="282"/>
      <c r="S346" s="282"/>
      <c r="T346" s="282"/>
      <c r="U346" s="282"/>
      <c r="V346" s="298"/>
      <c r="W346" s="298"/>
      <c r="X346" s="298"/>
      <c r="Y346" s="298"/>
      <c r="Z346" s="298"/>
      <c r="AA346" s="298"/>
      <c r="AB346" s="298"/>
      <c r="AC346" s="298"/>
      <c r="AD346" s="298"/>
      <c r="AE346" s="298"/>
      <c r="AF346" s="298"/>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row>
    <row r="347">
      <c r="A347" s="304"/>
      <c r="B347" s="282"/>
      <c r="C347" s="298"/>
      <c r="D347" s="282"/>
      <c r="E347" s="282"/>
      <c r="F347" s="282"/>
      <c r="G347" s="282"/>
      <c r="H347" s="282"/>
      <c r="I347" s="282"/>
      <c r="J347" s="282"/>
      <c r="K347" s="282"/>
      <c r="L347" s="282"/>
      <c r="M347" s="282"/>
      <c r="N347" s="282"/>
      <c r="O347" s="282"/>
      <c r="P347" s="282"/>
      <c r="Q347" s="282"/>
      <c r="R347" s="282"/>
      <c r="S347" s="282"/>
      <c r="T347" s="282"/>
      <c r="U347" s="282"/>
      <c r="V347" s="298"/>
      <c r="W347" s="298"/>
      <c r="X347" s="298"/>
      <c r="Y347" s="298"/>
      <c r="Z347" s="298"/>
      <c r="AA347" s="298"/>
      <c r="AB347" s="298"/>
      <c r="AC347" s="298"/>
      <c r="AD347" s="298"/>
      <c r="AE347" s="298"/>
      <c r="AF347" s="298"/>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row>
    <row r="348">
      <c r="A348" s="304"/>
      <c r="B348" s="282"/>
      <c r="C348" s="298"/>
      <c r="D348" s="282"/>
      <c r="E348" s="282"/>
      <c r="F348" s="282"/>
      <c r="G348" s="282"/>
      <c r="H348" s="282"/>
      <c r="I348" s="282"/>
      <c r="J348" s="282"/>
      <c r="K348" s="282"/>
      <c r="L348" s="282"/>
      <c r="M348" s="282"/>
      <c r="N348" s="282"/>
      <c r="O348" s="282"/>
      <c r="P348" s="282"/>
      <c r="Q348" s="282"/>
      <c r="R348" s="282"/>
      <c r="S348" s="282"/>
      <c r="T348" s="282"/>
      <c r="U348" s="282"/>
      <c r="V348" s="298"/>
      <c r="W348" s="298"/>
      <c r="X348" s="298"/>
      <c r="Y348" s="298"/>
      <c r="Z348" s="298"/>
      <c r="AA348" s="298"/>
      <c r="AB348" s="298"/>
      <c r="AC348" s="298"/>
      <c r="AD348" s="298"/>
      <c r="AE348" s="298"/>
      <c r="AF348" s="298"/>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row>
    <row r="349">
      <c r="A349" s="304"/>
      <c r="B349" s="282"/>
      <c r="C349" s="298"/>
      <c r="D349" s="282"/>
      <c r="E349" s="282"/>
      <c r="F349" s="282"/>
      <c r="G349" s="282"/>
      <c r="H349" s="282"/>
      <c r="I349" s="282"/>
      <c r="J349" s="282"/>
      <c r="K349" s="282"/>
      <c r="L349" s="282"/>
      <c r="M349" s="282"/>
      <c r="N349" s="282"/>
      <c r="O349" s="282"/>
      <c r="P349" s="282"/>
      <c r="Q349" s="282"/>
      <c r="R349" s="282"/>
      <c r="S349" s="282"/>
      <c r="T349" s="282"/>
      <c r="U349" s="282"/>
      <c r="V349" s="298"/>
      <c r="W349" s="298"/>
      <c r="X349" s="298"/>
      <c r="Y349" s="298"/>
      <c r="Z349" s="298"/>
      <c r="AA349" s="298"/>
      <c r="AB349" s="298"/>
      <c r="AC349" s="298"/>
      <c r="AD349" s="298"/>
      <c r="AE349" s="298"/>
      <c r="AF349" s="298"/>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row>
    <row r="350">
      <c r="A350" s="304"/>
      <c r="B350" s="282"/>
      <c r="C350" s="298"/>
      <c r="D350" s="282"/>
      <c r="E350" s="282"/>
      <c r="F350" s="282"/>
      <c r="G350" s="282"/>
      <c r="H350" s="282"/>
      <c r="I350" s="282"/>
      <c r="J350" s="282"/>
      <c r="K350" s="282"/>
      <c r="L350" s="282"/>
      <c r="M350" s="282"/>
      <c r="N350" s="282"/>
      <c r="O350" s="282"/>
      <c r="P350" s="282"/>
      <c r="Q350" s="282"/>
      <c r="R350" s="282"/>
      <c r="S350" s="282"/>
      <c r="T350" s="282"/>
      <c r="U350" s="282"/>
      <c r="V350" s="298"/>
      <c r="W350" s="298"/>
      <c r="X350" s="298"/>
      <c r="Y350" s="298"/>
      <c r="Z350" s="298"/>
      <c r="AA350" s="298"/>
      <c r="AB350" s="298"/>
      <c r="AC350" s="298"/>
      <c r="AD350" s="298"/>
      <c r="AE350" s="298"/>
      <c r="AF350" s="298"/>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row>
    <row r="351">
      <c r="A351" s="304"/>
      <c r="B351" s="282"/>
      <c r="C351" s="298"/>
      <c r="D351" s="282"/>
      <c r="E351" s="282"/>
      <c r="F351" s="282"/>
      <c r="G351" s="282"/>
      <c r="H351" s="282"/>
      <c r="I351" s="282"/>
      <c r="J351" s="282"/>
      <c r="K351" s="282"/>
      <c r="L351" s="282"/>
      <c r="M351" s="282"/>
      <c r="N351" s="282"/>
      <c r="O351" s="282"/>
      <c r="P351" s="282"/>
      <c r="Q351" s="282"/>
      <c r="R351" s="282"/>
      <c r="S351" s="282"/>
      <c r="T351" s="282"/>
      <c r="U351" s="282"/>
      <c r="V351" s="298"/>
      <c r="W351" s="298"/>
      <c r="X351" s="298"/>
      <c r="Y351" s="298"/>
      <c r="Z351" s="298"/>
      <c r="AA351" s="298"/>
      <c r="AB351" s="298"/>
      <c r="AC351" s="298"/>
      <c r="AD351" s="298"/>
      <c r="AE351" s="298"/>
      <c r="AF351" s="298"/>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row>
    <row r="352">
      <c r="A352" s="304"/>
      <c r="B352" s="282"/>
      <c r="C352" s="298"/>
      <c r="D352" s="282"/>
      <c r="E352" s="282"/>
      <c r="F352" s="282"/>
      <c r="G352" s="282"/>
      <c r="H352" s="282"/>
      <c r="I352" s="282"/>
      <c r="J352" s="282"/>
      <c r="K352" s="282"/>
      <c r="L352" s="282"/>
      <c r="M352" s="282"/>
      <c r="N352" s="282"/>
      <c r="O352" s="282"/>
      <c r="P352" s="282"/>
      <c r="Q352" s="282"/>
      <c r="R352" s="282"/>
      <c r="S352" s="282"/>
      <c r="T352" s="282"/>
      <c r="U352" s="282"/>
      <c r="V352" s="298"/>
      <c r="W352" s="298"/>
      <c r="X352" s="298"/>
      <c r="Y352" s="298"/>
      <c r="Z352" s="298"/>
      <c r="AA352" s="298"/>
      <c r="AB352" s="298"/>
      <c r="AC352" s="298"/>
      <c r="AD352" s="298"/>
      <c r="AE352" s="298"/>
      <c r="AF352" s="298"/>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row>
    <row r="353">
      <c r="A353" s="304"/>
      <c r="B353" s="282"/>
      <c r="C353" s="298"/>
      <c r="D353" s="282"/>
      <c r="E353" s="282"/>
      <c r="F353" s="282"/>
      <c r="G353" s="282"/>
      <c r="H353" s="282"/>
      <c r="I353" s="282"/>
      <c r="J353" s="282"/>
      <c r="K353" s="282"/>
      <c r="L353" s="282"/>
      <c r="M353" s="282"/>
      <c r="N353" s="282"/>
      <c r="O353" s="282"/>
      <c r="P353" s="282"/>
      <c r="Q353" s="282"/>
      <c r="R353" s="282"/>
      <c r="S353" s="282"/>
      <c r="T353" s="282"/>
      <c r="U353" s="282"/>
      <c r="V353" s="298"/>
      <c r="W353" s="298"/>
      <c r="X353" s="298"/>
      <c r="Y353" s="298"/>
      <c r="Z353" s="298"/>
      <c r="AA353" s="298"/>
      <c r="AB353" s="298"/>
      <c r="AC353" s="298"/>
      <c r="AD353" s="298"/>
      <c r="AE353" s="298"/>
      <c r="AF353" s="298"/>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row>
    <row r="354">
      <c r="A354" s="304"/>
      <c r="B354" s="282"/>
      <c r="C354" s="298"/>
      <c r="D354" s="282"/>
      <c r="E354" s="282"/>
      <c r="F354" s="282"/>
      <c r="G354" s="282"/>
      <c r="H354" s="282"/>
      <c r="I354" s="282"/>
      <c r="J354" s="282"/>
      <c r="K354" s="282"/>
      <c r="L354" s="282"/>
      <c r="M354" s="282"/>
      <c r="N354" s="282"/>
      <c r="O354" s="282"/>
      <c r="P354" s="282"/>
      <c r="Q354" s="282"/>
      <c r="R354" s="282"/>
      <c r="S354" s="282"/>
      <c r="T354" s="282"/>
      <c r="U354" s="282"/>
      <c r="V354" s="298"/>
      <c r="W354" s="298"/>
      <c r="X354" s="298"/>
      <c r="Y354" s="298"/>
      <c r="Z354" s="298"/>
      <c r="AA354" s="298"/>
      <c r="AB354" s="298"/>
      <c r="AC354" s="298"/>
      <c r="AD354" s="298"/>
      <c r="AE354" s="298"/>
      <c r="AF354" s="298"/>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row>
    <row r="355">
      <c r="A355" s="304"/>
      <c r="B355" s="282"/>
      <c r="C355" s="298"/>
      <c r="D355" s="282"/>
      <c r="E355" s="282"/>
      <c r="F355" s="282"/>
      <c r="G355" s="282"/>
      <c r="H355" s="282"/>
      <c r="I355" s="282"/>
      <c r="J355" s="282"/>
      <c r="K355" s="282"/>
      <c r="L355" s="282"/>
      <c r="M355" s="282"/>
      <c r="N355" s="282"/>
      <c r="O355" s="282"/>
      <c r="P355" s="282"/>
      <c r="Q355" s="282"/>
      <c r="R355" s="282"/>
      <c r="S355" s="282"/>
      <c r="T355" s="282"/>
      <c r="U355" s="282"/>
      <c r="V355" s="298"/>
      <c r="W355" s="298"/>
      <c r="X355" s="298"/>
      <c r="Y355" s="298"/>
      <c r="Z355" s="298"/>
      <c r="AA355" s="298"/>
      <c r="AB355" s="298"/>
      <c r="AC355" s="298"/>
      <c r="AD355" s="298"/>
      <c r="AE355" s="298"/>
      <c r="AF355" s="298"/>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row>
    <row r="356">
      <c r="A356" s="304"/>
      <c r="B356" s="282"/>
      <c r="C356" s="298"/>
      <c r="D356" s="282"/>
      <c r="E356" s="282"/>
      <c r="F356" s="282"/>
      <c r="G356" s="282"/>
      <c r="H356" s="282"/>
      <c r="I356" s="282"/>
      <c r="J356" s="282"/>
      <c r="K356" s="282"/>
      <c r="L356" s="282"/>
      <c r="M356" s="282"/>
      <c r="N356" s="282"/>
      <c r="O356" s="282"/>
      <c r="P356" s="282"/>
      <c r="Q356" s="282"/>
      <c r="R356" s="282"/>
      <c r="S356" s="282"/>
      <c r="T356" s="282"/>
      <c r="U356" s="282"/>
      <c r="V356" s="298"/>
      <c r="W356" s="298"/>
      <c r="X356" s="298"/>
      <c r="Y356" s="298"/>
      <c r="Z356" s="298"/>
      <c r="AA356" s="298"/>
      <c r="AB356" s="298"/>
      <c r="AC356" s="298"/>
      <c r="AD356" s="298"/>
      <c r="AE356" s="298"/>
      <c r="AF356" s="298"/>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row>
    <row r="357">
      <c r="A357" s="304"/>
      <c r="B357" s="282"/>
      <c r="C357" s="298"/>
      <c r="D357" s="282"/>
      <c r="E357" s="282"/>
      <c r="F357" s="282"/>
      <c r="G357" s="282"/>
      <c r="H357" s="282"/>
      <c r="I357" s="282"/>
      <c r="J357" s="282"/>
      <c r="K357" s="282"/>
      <c r="L357" s="282"/>
      <c r="M357" s="282"/>
      <c r="N357" s="282"/>
      <c r="O357" s="282"/>
      <c r="P357" s="282"/>
      <c r="Q357" s="282"/>
      <c r="R357" s="282"/>
      <c r="S357" s="282"/>
      <c r="T357" s="282"/>
      <c r="U357" s="282"/>
      <c r="V357" s="298"/>
      <c r="W357" s="298"/>
      <c r="X357" s="298"/>
      <c r="Y357" s="298"/>
      <c r="Z357" s="298"/>
      <c r="AA357" s="298"/>
      <c r="AB357" s="298"/>
      <c r="AC357" s="298"/>
      <c r="AD357" s="298"/>
      <c r="AE357" s="298"/>
      <c r="AF357" s="298"/>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row>
    <row r="358">
      <c r="A358" s="304"/>
      <c r="B358" s="282"/>
      <c r="C358" s="298"/>
      <c r="D358" s="282"/>
      <c r="E358" s="282"/>
      <c r="F358" s="282"/>
      <c r="G358" s="282"/>
      <c r="H358" s="282"/>
      <c r="I358" s="282"/>
      <c r="J358" s="282"/>
      <c r="K358" s="282"/>
      <c r="L358" s="282"/>
      <c r="M358" s="282"/>
      <c r="N358" s="282"/>
      <c r="O358" s="282"/>
      <c r="P358" s="282"/>
      <c r="Q358" s="282"/>
      <c r="R358" s="282"/>
      <c r="S358" s="282"/>
      <c r="T358" s="282"/>
      <c r="U358" s="282"/>
      <c r="V358" s="298"/>
      <c r="W358" s="298"/>
      <c r="X358" s="298"/>
      <c r="Y358" s="298"/>
      <c r="Z358" s="298"/>
      <c r="AA358" s="298"/>
      <c r="AB358" s="298"/>
      <c r="AC358" s="298"/>
      <c r="AD358" s="298"/>
      <c r="AE358" s="298"/>
      <c r="AF358" s="298"/>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row>
    <row r="359">
      <c r="A359" s="304"/>
      <c r="B359" s="282"/>
      <c r="C359" s="298"/>
      <c r="D359" s="282"/>
      <c r="E359" s="282"/>
      <c r="F359" s="282"/>
      <c r="G359" s="282"/>
      <c r="H359" s="282"/>
      <c r="I359" s="282"/>
      <c r="J359" s="282"/>
      <c r="K359" s="282"/>
      <c r="L359" s="282"/>
      <c r="M359" s="282"/>
      <c r="N359" s="282"/>
      <c r="O359" s="282"/>
      <c r="P359" s="282"/>
      <c r="Q359" s="282"/>
      <c r="R359" s="282"/>
      <c r="S359" s="282"/>
      <c r="T359" s="282"/>
      <c r="U359" s="282"/>
      <c r="V359" s="298"/>
      <c r="W359" s="298"/>
      <c r="X359" s="298"/>
      <c r="Y359" s="298"/>
      <c r="Z359" s="298"/>
      <c r="AA359" s="298"/>
      <c r="AB359" s="298"/>
      <c r="AC359" s="298"/>
      <c r="AD359" s="298"/>
      <c r="AE359" s="298"/>
      <c r="AF359" s="298"/>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row>
    <row r="360">
      <c r="A360" s="304"/>
      <c r="B360" s="282"/>
      <c r="C360" s="298"/>
      <c r="D360" s="282"/>
      <c r="E360" s="282"/>
      <c r="F360" s="282"/>
      <c r="G360" s="282"/>
      <c r="H360" s="282"/>
      <c r="I360" s="282"/>
      <c r="J360" s="282"/>
      <c r="K360" s="282"/>
      <c r="L360" s="282"/>
      <c r="M360" s="282"/>
      <c r="N360" s="282"/>
      <c r="O360" s="282"/>
      <c r="P360" s="282"/>
      <c r="Q360" s="282"/>
      <c r="R360" s="282"/>
      <c r="S360" s="282"/>
      <c r="T360" s="282"/>
      <c r="U360" s="282"/>
      <c r="V360" s="298"/>
      <c r="W360" s="298"/>
      <c r="X360" s="298"/>
      <c r="Y360" s="298"/>
      <c r="Z360" s="298"/>
      <c r="AA360" s="298"/>
      <c r="AB360" s="298"/>
      <c r="AC360" s="298"/>
      <c r="AD360" s="298"/>
      <c r="AE360" s="298"/>
      <c r="AF360" s="298"/>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row>
    <row r="361">
      <c r="A361" s="304"/>
      <c r="B361" s="282"/>
      <c r="C361" s="298"/>
      <c r="D361" s="282"/>
      <c r="E361" s="282"/>
      <c r="F361" s="282"/>
      <c r="G361" s="282"/>
      <c r="H361" s="282"/>
      <c r="I361" s="282"/>
      <c r="J361" s="282"/>
      <c r="K361" s="282"/>
      <c r="L361" s="282"/>
      <c r="M361" s="282"/>
      <c r="N361" s="282"/>
      <c r="O361" s="282"/>
      <c r="P361" s="282"/>
      <c r="Q361" s="282"/>
      <c r="R361" s="282"/>
      <c r="S361" s="282"/>
      <c r="T361" s="282"/>
      <c r="U361" s="282"/>
      <c r="V361" s="298"/>
      <c r="W361" s="298"/>
      <c r="X361" s="298"/>
      <c r="Y361" s="298"/>
      <c r="Z361" s="298"/>
      <c r="AA361" s="298"/>
      <c r="AB361" s="298"/>
      <c r="AC361" s="298"/>
      <c r="AD361" s="298"/>
      <c r="AE361" s="298"/>
      <c r="AF361" s="298"/>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row>
    <row r="362">
      <c r="A362" s="304"/>
      <c r="B362" s="282"/>
      <c r="C362" s="298"/>
      <c r="D362" s="282"/>
      <c r="E362" s="282"/>
      <c r="F362" s="282"/>
      <c r="G362" s="282"/>
      <c r="H362" s="282"/>
      <c r="I362" s="282"/>
      <c r="J362" s="282"/>
      <c r="K362" s="282"/>
      <c r="L362" s="282"/>
      <c r="M362" s="282"/>
      <c r="N362" s="282"/>
      <c r="O362" s="282"/>
      <c r="P362" s="282"/>
      <c r="Q362" s="282"/>
      <c r="R362" s="282"/>
      <c r="S362" s="282"/>
      <c r="T362" s="282"/>
      <c r="U362" s="282"/>
      <c r="V362" s="298"/>
      <c r="W362" s="298"/>
      <c r="X362" s="298"/>
      <c r="Y362" s="298"/>
      <c r="Z362" s="298"/>
      <c r="AA362" s="298"/>
      <c r="AB362" s="298"/>
      <c r="AC362" s="298"/>
      <c r="AD362" s="298"/>
      <c r="AE362" s="298"/>
      <c r="AF362" s="298"/>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row>
    <row r="363">
      <c r="A363" s="304"/>
      <c r="B363" s="282"/>
      <c r="C363" s="298"/>
      <c r="D363" s="282"/>
      <c r="E363" s="282"/>
      <c r="F363" s="282"/>
      <c r="G363" s="282"/>
      <c r="H363" s="282"/>
      <c r="I363" s="282"/>
      <c r="J363" s="282"/>
      <c r="K363" s="282"/>
      <c r="L363" s="282"/>
      <c r="M363" s="282"/>
      <c r="N363" s="282"/>
      <c r="O363" s="282"/>
      <c r="P363" s="282"/>
      <c r="Q363" s="282"/>
      <c r="R363" s="282"/>
      <c r="S363" s="282"/>
      <c r="T363" s="282"/>
      <c r="U363" s="282"/>
      <c r="V363" s="298"/>
      <c r="W363" s="298"/>
      <c r="X363" s="298"/>
      <c r="Y363" s="298"/>
      <c r="Z363" s="298"/>
      <c r="AA363" s="298"/>
      <c r="AB363" s="298"/>
      <c r="AC363" s="298"/>
      <c r="AD363" s="298"/>
      <c r="AE363" s="298"/>
      <c r="AF363" s="298"/>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row>
    <row r="364">
      <c r="A364" s="304"/>
      <c r="B364" s="282"/>
      <c r="C364" s="298"/>
      <c r="D364" s="282"/>
      <c r="E364" s="282"/>
      <c r="F364" s="282"/>
      <c r="G364" s="282"/>
      <c r="H364" s="282"/>
      <c r="I364" s="282"/>
      <c r="J364" s="282"/>
      <c r="K364" s="282"/>
      <c r="L364" s="282"/>
      <c r="M364" s="282"/>
      <c r="N364" s="282"/>
      <c r="O364" s="282"/>
      <c r="P364" s="282"/>
      <c r="Q364" s="282"/>
      <c r="R364" s="282"/>
      <c r="S364" s="282"/>
      <c r="T364" s="282"/>
      <c r="U364" s="282"/>
      <c r="V364" s="298"/>
      <c r="W364" s="298"/>
      <c r="X364" s="298"/>
      <c r="Y364" s="298"/>
      <c r="Z364" s="298"/>
      <c r="AA364" s="298"/>
      <c r="AB364" s="298"/>
      <c r="AC364" s="298"/>
      <c r="AD364" s="298"/>
      <c r="AE364" s="298"/>
      <c r="AF364" s="298"/>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row>
    <row r="365">
      <c r="A365" s="304"/>
      <c r="B365" s="282"/>
      <c r="C365" s="298"/>
      <c r="D365" s="282"/>
      <c r="E365" s="282"/>
      <c r="F365" s="282"/>
      <c r="G365" s="282"/>
      <c r="H365" s="282"/>
      <c r="I365" s="282"/>
      <c r="J365" s="282"/>
      <c r="K365" s="282"/>
      <c r="L365" s="282"/>
      <c r="M365" s="282"/>
      <c r="N365" s="282"/>
      <c r="O365" s="282"/>
      <c r="P365" s="282"/>
      <c r="Q365" s="282"/>
      <c r="R365" s="282"/>
      <c r="S365" s="282"/>
      <c r="T365" s="282"/>
      <c r="U365" s="282"/>
      <c r="V365" s="298"/>
      <c r="W365" s="298"/>
      <c r="X365" s="298"/>
      <c r="Y365" s="298"/>
      <c r="Z365" s="298"/>
      <c r="AA365" s="298"/>
      <c r="AB365" s="298"/>
      <c r="AC365" s="298"/>
      <c r="AD365" s="298"/>
      <c r="AE365" s="298"/>
      <c r="AF365" s="298"/>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row>
    <row r="366">
      <c r="A366" s="304"/>
      <c r="B366" s="282"/>
      <c r="C366" s="298"/>
      <c r="D366" s="282"/>
      <c r="E366" s="282"/>
      <c r="F366" s="282"/>
      <c r="G366" s="282"/>
      <c r="H366" s="282"/>
      <c r="I366" s="282"/>
      <c r="J366" s="282"/>
      <c r="K366" s="282"/>
      <c r="L366" s="282"/>
      <c r="M366" s="282"/>
      <c r="N366" s="282"/>
      <c r="O366" s="282"/>
      <c r="P366" s="282"/>
      <c r="Q366" s="282"/>
      <c r="R366" s="282"/>
      <c r="S366" s="282"/>
      <c r="T366" s="282"/>
      <c r="U366" s="282"/>
      <c r="V366" s="298"/>
      <c r="W366" s="298"/>
      <c r="X366" s="298"/>
      <c r="Y366" s="298"/>
      <c r="Z366" s="298"/>
      <c r="AA366" s="298"/>
      <c r="AB366" s="298"/>
      <c r="AC366" s="298"/>
      <c r="AD366" s="298"/>
      <c r="AE366" s="298"/>
      <c r="AF366" s="298"/>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row>
    <row r="367">
      <c r="A367" s="304"/>
      <c r="B367" s="282"/>
      <c r="C367" s="298"/>
      <c r="D367" s="282"/>
      <c r="E367" s="282"/>
      <c r="F367" s="282"/>
      <c r="G367" s="282"/>
      <c r="H367" s="282"/>
      <c r="I367" s="282"/>
      <c r="J367" s="282"/>
      <c r="K367" s="282"/>
      <c r="L367" s="282"/>
      <c r="M367" s="282"/>
      <c r="N367" s="282"/>
      <c r="O367" s="282"/>
      <c r="P367" s="282"/>
      <c r="Q367" s="282"/>
      <c r="R367" s="282"/>
      <c r="S367" s="282"/>
      <c r="T367" s="282"/>
      <c r="U367" s="282"/>
      <c r="V367" s="298"/>
      <c r="W367" s="298"/>
      <c r="X367" s="298"/>
      <c r="Y367" s="298"/>
      <c r="Z367" s="298"/>
      <c r="AA367" s="298"/>
      <c r="AB367" s="298"/>
      <c r="AC367" s="298"/>
      <c r="AD367" s="298"/>
      <c r="AE367" s="298"/>
      <c r="AF367" s="298"/>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row>
    <row r="368">
      <c r="A368" s="304"/>
      <c r="B368" s="282"/>
      <c r="C368" s="298"/>
      <c r="D368" s="282"/>
      <c r="E368" s="282"/>
      <c r="F368" s="282"/>
      <c r="G368" s="282"/>
      <c r="H368" s="282"/>
      <c r="I368" s="282"/>
      <c r="J368" s="282"/>
      <c r="K368" s="282"/>
      <c r="L368" s="282"/>
      <c r="M368" s="282"/>
      <c r="N368" s="282"/>
      <c r="O368" s="282"/>
      <c r="P368" s="282"/>
      <c r="Q368" s="282"/>
      <c r="R368" s="282"/>
      <c r="S368" s="282"/>
      <c r="T368" s="282"/>
      <c r="U368" s="282"/>
      <c r="V368" s="298"/>
      <c r="W368" s="298"/>
      <c r="X368" s="298"/>
      <c r="Y368" s="298"/>
      <c r="Z368" s="298"/>
      <c r="AA368" s="298"/>
      <c r="AB368" s="298"/>
      <c r="AC368" s="298"/>
      <c r="AD368" s="298"/>
      <c r="AE368" s="298"/>
      <c r="AF368" s="298"/>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row>
    <row r="369">
      <c r="A369" s="304"/>
      <c r="B369" s="282"/>
      <c r="C369" s="298"/>
      <c r="D369" s="282"/>
      <c r="E369" s="282"/>
      <c r="F369" s="282"/>
      <c r="G369" s="282"/>
      <c r="H369" s="282"/>
      <c r="I369" s="282"/>
      <c r="J369" s="282"/>
      <c r="K369" s="282"/>
      <c r="L369" s="282"/>
      <c r="M369" s="282"/>
      <c r="N369" s="282"/>
      <c r="O369" s="282"/>
      <c r="P369" s="282"/>
      <c r="Q369" s="282"/>
      <c r="R369" s="282"/>
      <c r="S369" s="282"/>
      <c r="T369" s="282"/>
      <c r="U369" s="282"/>
      <c r="V369" s="298"/>
      <c r="W369" s="298"/>
      <c r="X369" s="298"/>
      <c r="Y369" s="298"/>
      <c r="Z369" s="298"/>
      <c r="AA369" s="298"/>
      <c r="AB369" s="298"/>
      <c r="AC369" s="298"/>
      <c r="AD369" s="298"/>
      <c r="AE369" s="298"/>
      <c r="AF369" s="298"/>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row>
    <row r="370">
      <c r="A370" s="304"/>
      <c r="B370" s="282"/>
      <c r="C370" s="298"/>
      <c r="D370" s="282"/>
      <c r="E370" s="282"/>
      <c r="F370" s="282"/>
      <c r="G370" s="282"/>
      <c r="H370" s="282"/>
      <c r="I370" s="282"/>
      <c r="J370" s="282"/>
      <c r="K370" s="282"/>
      <c r="L370" s="282"/>
      <c r="M370" s="282"/>
      <c r="N370" s="282"/>
      <c r="O370" s="282"/>
      <c r="P370" s="282"/>
      <c r="Q370" s="282"/>
      <c r="R370" s="282"/>
      <c r="S370" s="282"/>
      <c r="T370" s="282"/>
      <c r="U370" s="282"/>
      <c r="V370" s="298"/>
      <c r="W370" s="298"/>
      <c r="X370" s="298"/>
      <c r="Y370" s="298"/>
      <c r="Z370" s="298"/>
      <c r="AA370" s="298"/>
      <c r="AB370" s="298"/>
      <c r="AC370" s="298"/>
      <c r="AD370" s="298"/>
      <c r="AE370" s="298"/>
      <c r="AF370" s="298"/>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row>
    <row r="371">
      <c r="A371" s="304"/>
      <c r="B371" s="282"/>
      <c r="C371" s="298"/>
      <c r="D371" s="282"/>
      <c r="E371" s="282"/>
      <c r="F371" s="282"/>
      <c r="G371" s="282"/>
      <c r="H371" s="282"/>
      <c r="I371" s="282"/>
      <c r="J371" s="282"/>
      <c r="K371" s="282"/>
      <c r="L371" s="282"/>
      <c r="M371" s="282"/>
      <c r="N371" s="282"/>
      <c r="O371" s="282"/>
      <c r="P371" s="282"/>
      <c r="Q371" s="282"/>
      <c r="R371" s="282"/>
      <c r="S371" s="282"/>
      <c r="T371" s="282"/>
      <c r="U371" s="282"/>
      <c r="V371" s="298"/>
      <c r="W371" s="298"/>
      <c r="X371" s="298"/>
      <c r="Y371" s="298"/>
      <c r="Z371" s="298"/>
      <c r="AA371" s="298"/>
      <c r="AB371" s="298"/>
      <c r="AC371" s="298"/>
      <c r="AD371" s="298"/>
      <c r="AE371" s="298"/>
      <c r="AF371" s="298"/>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row>
    <row r="372">
      <c r="A372" s="304"/>
      <c r="B372" s="282"/>
      <c r="C372" s="298"/>
      <c r="D372" s="282"/>
      <c r="E372" s="282"/>
      <c r="F372" s="282"/>
      <c r="G372" s="282"/>
      <c r="H372" s="282"/>
      <c r="I372" s="282"/>
      <c r="J372" s="282"/>
      <c r="K372" s="282"/>
      <c r="L372" s="282"/>
      <c r="M372" s="282"/>
      <c r="N372" s="282"/>
      <c r="O372" s="282"/>
      <c r="P372" s="282"/>
      <c r="Q372" s="282"/>
      <c r="R372" s="282"/>
      <c r="S372" s="282"/>
      <c r="T372" s="282"/>
      <c r="U372" s="282"/>
      <c r="V372" s="298"/>
      <c r="W372" s="298"/>
      <c r="X372" s="298"/>
      <c r="Y372" s="298"/>
      <c r="Z372" s="298"/>
      <c r="AA372" s="298"/>
      <c r="AB372" s="298"/>
      <c r="AC372" s="298"/>
      <c r="AD372" s="298"/>
      <c r="AE372" s="298"/>
      <c r="AF372" s="298"/>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row>
    <row r="373">
      <c r="A373" s="304"/>
      <c r="B373" s="282"/>
      <c r="C373" s="298"/>
      <c r="D373" s="282"/>
      <c r="E373" s="282"/>
      <c r="F373" s="282"/>
      <c r="G373" s="282"/>
      <c r="H373" s="282"/>
      <c r="I373" s="282"/>
      <c r="J373" s="282"/>
      <c r="K373" s="282"/>
      <c r="L373" s="282"/>
      <c r="M373" s="282"/>
      <c r="N373" s="282"/>
      <c r="O373" s="282"/>
      <c r="P373" s="282"/>
      <c r="Q373" s="282"/>
      <c r="R373" s="282"/>
      <c r="S373" s="282"/>
      <c r="T373" s="282"/>
      <c r="U373" s="282"/>
      <c r="V373" s="298"/>
      <c r="W373" s="298"/>
      <c r="X373" s="298"/>
      <c r="Y373" s="298"/>
      <c r="Z373" s="298"/>
      <c r="AA373" s="298"/>
      <c r="AB373" s="298"/>
      <c r="AC373" s="298"/>
      <c r="AD373" s="298"/>
      <c r="AE373" s="298"/>
      <c r="AF373" s="298"/>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row>
    <row r="374">
      <c r="A374" s="304"/>
      <c r="B374" s="282"/>
      <c r="C374" s="298"/>
      <c r="D374" s="282"/>
      <c r="E374" s="282"/>
      <c r="F374" s="282"/>
      <c r="G374" s="282"/>
      <c r="H374" s="282"/>
      <c r="I374" s="282"/>
      <c r="J374" s="282"/>
      <c r="K374" s="282"/>
      <c r="L374" s="282"/>
      <c r="M374" s="282"/>
      <c r="N374" s="282"/>
      <c r="O374" s="282"/>
      <c r="P374" s="282"/>
      <c r="Q374" s="282"/>
      <c r="R374" s="282"/>
      <c r="S374" s="282"/>
      <c r="T374" s="282"/>
      <c r="U374" s="282"/>
      <c r="V374" s="298"/>
      <c r="W374" s="298"/>
      <c r="X374" s="298"/>
      <c r="Y374" s="298"/>
      <c r="Z374" s="298"/>
      <c r="AA374" s="298"/>
      <c r="AB374" s="298"/>
      <c r="AC374" s="298"/>
      <c r="AD374" s="298"/>
      <c r="AE374" s="298"/>
      <c r="AF374" s="298"/>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row>
    <row r="375">
      <c r="A375" s="304"/>
      <c r="B375" s="282"/>
      <c r="C375" s="298"/>
      <c r="D375" s="282"/>
      <c r="E375" s="282"/>
      <c r="F375" s="282"/>
      <c r="G375" s="282"/>
      <c r="H375" s="282"/>
      <c r="I375" s="282"/>
      <c r="J375" s="282"/>
      <c r="K375" s="282"/>
      <c r="L375" s="282"/>
      <c r="M375" s="282"/>
      <c r="N375" s="282"/>
      <c r="O375" s="282"/>
      <c r="P375" s="282"/>
      <c r="Q375" s="282"/>
      <c r="R375" s="282"/>
      <c r="S375" s="282"/>
      <c r="T375" s="282"/>
      <c r="U375" s="282"/>
      <c r="V375" s="298"/>
      <c r="W375" s="298"/>
      <c r="X375" s="298"/>
      <c r="Y375" s="298"/>
      <c r="Z375" s="298"/>
      <c r="AA375" s="298"/>
      <c r="AB375" s="298"/>
      <c r="AC375" s="298"/>
      <c r="AD375" s="298"/>
      <c r="AE375" s="298"/>
      <c r="AF375" s="298"/>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row>
    <row r="376">
      <c r="A376" s="304"/>
      <c r="B376" s="282"/>
      <c r="C376" s="298"/>
      <c r="D376" s="282"/>
      <c r="E376" s="282"/>
      <c r="F376" s="282"/>
      <c r="G376" s="282"/>
      <c r="H376" s="282"/>
      <c r="I376" s="282"/>
      <c r="J376" s="282"/>
      <c r="K376" s="282"/>
      <c r="L376" s="282"/>
      <c r="M376" s="282"/>
      <c r="N376" s="282"/>
      <c r="O376" s="282"/>
      <c r="P376" s="282"/>
      <c r="Q376" s="282"/>
      <c r="R376" s="282"/>
      <c r="S376" s="282"/>
      <c r="T376" s="282"/>
      <c r="U376" s="282"/>
      <c r="V376" s="298"/>
      <c r="W376" s="298"/>
      <c r="X376" s="298"/>
      <c r="Y376" s="298"/>
      <c r="Z376" s="298"/>
      <c r="AA376" s="298"/>
      <c r="AB376" s="298"/>
      <c r="AC376" s="298"/>
      <c r="AD376" s="298"/>
      <c r="AE376" s="298"/>
      <c r="AF376" s="298"/>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row>
    <row r="377">
      <c r="A377" s="304"/>
      <c r="B377" s="282"/>
      <c r="C377" s="298"/>
      <c r="D377" s="282"/>
      <c r="E377" s="282"/>
      <c r="F377" s="282"/>
      <c r="G377" s="282"/>
      <c r="H377" s="282"/>
      <c r="I377" s="282"/>
      <c r="J377" s="282"/>
      <c r="K377" s="282"/>
      <c r="L377" s="282"/>
      <c r="M377" s="282"/>
      <c r="N377" s="282"/>
      <c r="O377" s="282"/>
      <c r="P377" s="282"/>
      <c r="Q377" s="282"/>
      <c r="R377" s="282"/>
      <c r="S377" s="282"/>
      <c r="T377" s="282"/>
      <c r="U377" s="282"/>
      <c r="V377" s="298"/>
      <c r="W377" s="298"/>
      <c r="X377" s="298"/>
      <c r="Y377" s="298"/>
      <c r="Z377" s="298"/>
      <c r="AA377" s="298"/>
      <c r="AB377" s="298"/>
      <c r="AC377" s="298"/>
      <c r="AD377" s="298"/>
      <c r="AE377" s="298"/>
      <c r="AF377" s="298"/>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row>
    <row r="378">
      <c r="A378" s="304"/>
      <c r="B378" s="282"/>
      <c r="C378" s="298"/>
      <c r="D378" s="282"/>
      <c r="E378" s="282"/>
      <c r="F378" s="282"/>
      <c r="G378" s="282"/>
      <c r="H378" s="282"/>
      <c r="I378" s="282"/>
      <c r="J378" s="282"/>
      <c r="K378" s="282"/>
      <c r="L378" s="282"/>
      <c r="M378" s="282"/>
      <c r="N378" s="282"/>
      <c r="O378" s="282"/>
      <c r="P378" s="282"/>
      <c r="Q378" s="282"/>
      <c r="R378" s="282"/>
      <c r="S378" s="282"/>
      <c r="T378" s="282"/>
      <c r="U378" s="282"/>
      <c r="V378" s="298"/>
      <c r="W378" s="298"/>
      <c r="X378" s="298"/>
      <c r="Y378" s="298"/>
      <c r="Z378" s="298"/>
      <c r="AA378" s="298"/>
      <c r="AB378" s="298"/>
      <c r="AC378" s="298"/>
      <c r="AD378" s="298"/>
      <c r="AE378" s="298"/>
      <c r="AF378" s="298"/>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row>
    <row r="379">
      <c r="A379" s="304"/>
      <c r="B379" s="282"/>
      <c r="C379" s="298"/>
      <c r="D379" s="282"/>
      <c r="E379" s="282"/>
      <c r="F379" s="282"/>
      <c r="G379" s="282"/>
      <c r="H379" s="282"/>
      <c r="I379" s="282"/>
      <c r="J379" s="282"/>
      <c r="K379" s="282"/>
      <c r="L379" s="282"/>
      <c r="M379" s="282"/>
      <c r="N379" s="282"/>
      <c r="O379" s="282"/>
      <c r="P379" s="282"/>
      <c r="Q379" s="282"/>
      <c r="R379" s="282"/>
      <c r="S379" s="282"/>
      <c r="T379" s="282"/>
      <c r="U379" s="282"/>
      <c r="V379" s="298"/>
      <c r="W379" s="298"/>
      <c r="X379" s="298"/>
      <c r="Y379" s="298"/>
      <c r="Z379" s="298"/>
      <c r="AA379" s="298"/>
      <c r="AB379" s="298"/>
      <c r="AC379" s="298"/>
      <c r="AD379" s="298"/>
      <c r="AE379" s="298"/>
      <c r="AF379" s="298"/>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row>
    <row r="380">
      <c r="A380" s="304"/>
      <c r="B380" s="282"/>
      <c r="C380" s="298"/>
      <c r="D380" s="282"/>
      <c r="E380" s="282"/>
      <c r="F380" s="282"/>
      <c r="G380" s="282"/>
      <c r="H380" s="282"/>
      <c r="I380" s="282"/>
      <c r="J380" s="282"/>
      <c r="K380" s="282"/>
      <c r="L380" s="282"/>
      <c r="M380" s="282"/>
      <c r="N380" s="282"/>
      <c r="O380" s="282"/>
      <c r="P380" s="282"/>
      <c r="Q380" s="282"/>
      <c r="R380" s="282"/>
      <c r="S380" s="282"/>
      <c r="T380" s="282"/>
      <c r="U380" s="282"/>
      <c r="V380" s="298"/>
      <c r="W380" s="298"/>
      <c r="X380" s="298"/>
      <c r="Y380" s="298"/>
      <c r="Z380" s="298"/>
      <c r="AA380" s="298"/>
      <c r="AB380" s="298"/>
      <c r="AC380" s="298"/>
      <c r="AD380" s="298"/>
      <c r="AE380" s="298"/>
      <c r="AF380" s="298"/>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row>
    <row r="381">
      <c r="A381" s="304"/>
      <c r="B381" s="282"/>
      <c r="C381" s="298"/>
      <c r="D381" s="282"/>
      <c r="E381" s="282"/>
      <c r="F381" s="282"/>
      <c r="G381" s="282"/>
      <c r="H381" s="282"/>
      <c r="I381" s="282"/>
      <c r="J381" s="282"/>
      <c r="K381" s="282"/>
      <c r="L381" s="282"/>
      <c r="M381" s="282"/>
      <c r="N381" s="282"/>
      <c r="O381" s="282"/>
      <c r="P381" s="282"/>
      <c r="Q381" s="282"/>
      <c r="R381" s="282"/>
      <c r="S381" s="282"/>
      <c r="T381" s="282"/>
      <c r="U381" s="282"/>
      <c r="V381" s="298"/>
      <c r="W381" s="298"/>
      <c r="X381" s="298"/>
      <c r="Y381" s="298"/>
      <c r="Z381" s="298"/>
      <c r="AA381" s="298"/>
      <c r="AB381" s="298"/>
      <c r="AC381" s="298"/>
      <c r="AD381" s="298"/>
      <c r="AE381" s="298"/>
      <c r="AF381" s="298"/>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row>
    <row r="382">
      <c r="A382" s="304"/>
      <c r="B382" s="282"/>
      <c r="C382" s="298"/>
      <c r="D382" s="282"/>
      <c r="E382" s="282"/>
      <c r="F382" s="282"/>
      <c r="G382" s="282"/>
      <c r="H382" s="282"/>
      <c r="I382" s="282"/>
      <c r="J382" s="282"/>
      <c r="K382" s="282"/>
      <c r="L382" s="282"/>
      <c r="M382" s="282"/>
      <c r="N382" s="282"/>
      <c r="O382" s="282"/>
      <c r="P382" s="282"/>
      <c r="Q382" s="282"/>
      <c r="R382" s="282"/>
      <c r="S382" s="282"/>
      <c r="T382" s="282"/>
      <c r="U382" s="282"/>
      <c r="V382" s="298"/>
      <c r="W382" s="298"/>
      <c r="X382" s="298"/>
      <c r="Y382" s="298"/>
      <c r="Z382" s="298"/>
      <c r="AA382" s="298"/>
      <c r="AB382" s="298"/>
      <c r="AC382" s="298"/>
      <c r="AD382" s="298"/>
      <c r="AE382" s="298"/>
      <c r="AF382" s="298"/>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row>
    <row r="383">
      <c r="A383" s="304"/>
      <c r="B383" s="282"/>
      <c r="C383" s="298"/>
      <c r="D383" s="282"/>
      <c r="E383" s="282"/>
      <c r="F383" s="282"/>
      <c r="G383" s="282"/>
      <c r="H383" s="282"/>
      <c r="I383" s="282"/>
      <c r="J383" s="282"/>
      <c r="K383" s="282"/>
      <c r="L383" s="282"/>
      <c r="M383" s="282"/>
      <c r="N383" s="282"/>
      <c r="O383" s="282"/>
      <c r="P383" s="282"/>
      <c r="Q383" s="282"/>
      <c r="R383" s="282"/>
      <c r="S383" s="282"/>
      <c r="T383" s="282"/>
      <c r="U383" s="282"/>
      <c r="V383" s="298"/>
      <c r="W383" s="298"/>
      <c r="X383" s="298"/>
      <c r="Y383" s="298"/>
      <c r="Z383" s="298"/>
      <c r="AA383" s="298"/>
      <c r="AB383" s="298"/>
      <c r="AC383" s="298"/>
      <c r="AD383" s="298"/>
      <c r="AE383" s="298"/>
      <c r="AF383" s="298"/>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row>
    <row r="384">
      <c r="A384" s="304"/>
      <c r="B384" s="282"/>
      <c r="C384" s="298"/>
      <c r="D384" s="282"/>
      <c r="E384" s="282"/>
      <c r="F384" s="282"/>
      <c r="G384" s="282"/>
      <c r="H384" s="282"/>
      <c r="I384" s="282"/>
      <c r="J384" s="282"/>
      <c r="K384" s="282"/>
      <c r="L384" s="282"/>
      <c r="M384" s="282"/>
      <c r="N384" s="282"/>
      <c r="O384" s="282"/>
      <c r="P384" s="282"/>
      <c r="Q384" s="282"/>
      <c r="R384" s="282"/>
      <c r="S384" s="282"/>
      <c r="T384" s="282"/>
      <c r="U384" s="282"/>
      <c r="V384" s="298"/>
      <c r="W384" s="298"/>
      <c r="X384" s="298"/>
      <c r="Y384" s="298"/>
      <c r="Z384" s="298"/>
      <c r="AA384" s="298"/>
      <c r="AB384" s="298"/>
      <c r="AC384" s="298"/>
      <c r="AD384" s="298"/>
      <c r="AE384" s="298"/>
      <c r="AF384" s="298"/>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row>
    <row r="385">
      <c r="A385" s="304"/>
      <c r="B385" s="282"/>
      <c r="C385" s="298"/>
      <c r="D385" s="282"/>
      <c r="E385" s="282"/>
      <c r="F385" s="282"/>
      <c r="G385" s="282"/>
      <c r="H385" s="282"/>
      <c r="I385" s="282"/>
      <c r="J385" s="282"/>
      <c r="K385" s="282"/>
      <c r="L385" s="282"/>
      <c r="M385" s="282"/>
      <c r="N385" s="282"/>
      <c r="O385" s="282"/>
      <c r="P385" s="282"/>
      <c r="Q385" s="282"/>
      <c r="R385" s="282"/>
      <c r="S385" s="282"/>
      <c r="T385" s="282"/>
      <c r="U385" s="282"/>
      <c r="V385" s="298"/>
      <c r="W385" s="298"/>
      <c r="X385" s="298"/>
      <c r="Y385" s="298"/>
      <c r="Z385" s="298"/>
      <c r="AA385" s="298"/>
      <c r="AB385" s="298"/>
      <c r="AC385" s="298"/>
      <c r="AD385" s="298"/>
      <c r="AE385" s="298"/>
      <c r="AF385" s="298"/>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row>
    <row r="386">
      <c r="A386" s="304"/>
      <c r="B386" s="282"/>
      <c r="C386" s="298"/>
      <c r="D386" s="282"/>
      <c r="E386" s="282"/>
      <c r="F386" s="282"/>
      <c r="G386" s="282"/>
      <c r="H386" s="282"/>
      <c r="I386" s="282"/>
      <c r="J386" s="282"/>
      <c r="K386" s="282"/>
      <c r="L386" s="282"/>
      <c r="M386" s="282"/>
      <c r="N386" s="282"/>
      <c r="O386" s="282"/>
      <c r="P386" s="282"/>
      <c r="Q386" s="282"/>
      <c r="R386" s="282"/>
      <c r="S386" s="282"/>
      <c r="T386" s="282"/>
      <c r="U386" s="282"/>
      <c r="V386" s="298"/>
      <c r="W386" s="298"/>
      <c r="X386" s="298"/>
      <c r="Y386" s="298"/>
      <c r="Z386" s="298"/>
      <c r="AA386" s="298"/>
      <c r="AB386" s="298"/>
      <c r="AC386" s="298"/>
      <c r="AD386" s="298"/>
      <c r="AE386" s="298"/>
      <c r="AF386" s="298"/>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row>
    <row r="387">
      <c r="A387" s="304"/>
      <c r="B387" s="282"/>
      <c r="C387" s="298"/>
      <c r="D387" s="282"/>
      <c r="E387" s="282"/>
      <c r="F387" s="282"/>
      <c r="G387" s="282"/>
      <c r="H387" s="282"/>
      <c r="I387" s="282"/>
      <c r="J387" s="282"/>
      <c r="K387" s="282"/>
      <c r="L387" s="282"/>
      <c r="M387" s="282"/>
      <c r="N387" s="282"/>
      <c r="O387" s="282"/>
      <c r="P387" s="282"/>
      <c r="Q387" s="282"/>
      <c r="R387" s="282"/>
      <c r="S387" s="282"/>
      <c r="T387" s="282"/>
      <c r="U387" s="282"/>
      <c r="V387" s="298"/>
      <c r="W387" s="298"/>
      <c r="X387" s="298"/>
      <c r="Y387" s="298"/>
      <c r="Z387" s="298"/>
      <c r="AA387" s="298"/>
      <c r="AB387" s="298"/>
      <c r="AC387" s="298"/>
      <c r="AD387" s="298"/>
      <c r="AE387" s="298"/>
      <c r="AF387" s="298"/>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row>
    <row r="388">
      <c r="A388" s="304"/>
      <c r="B388" s="282"/>
      <c r="C388" s="298"/>
      <c r="D388" s="282"/>
      <c r="E388" s="282"/>
      <c r="F388" s="282"/>
      <c r="G388" s="282"/>
      <c r="H388" s="282"/>
      <c r="I388" s="282"/>
      <c r="J388" s="282"/>
      <c r="K388" s="282"/>
      <c r="L388" s="282"/>
      <c r="M388" s="282"/>
      <c r="N388" s="282"/>
      <c r="O388" s="282"/>
      <c r="P388" s="282"/>
      <c r="Q388" s="282"/>
      <c r="R388" s="282"/>
      <c r="S388" s="282"/>
      <c r="T388" s="282"/>
      <c r="U388" s="282"/>
      <c r="V388" s="298"/>
      <c r="W388" s="298"/>
      <c r="X388" s="298"/>
      <c r="Y388" s="298"/>
      <c r="Z388" s="298"/>
      <c r="AA388" s="298"/>
      <c r="AB388" s="298"/>
      <c r="AC388" s="298"/>
      <c r="AD388" s="298"/>
      <c r="AE388" s="298"/>
      <c r="AF388" s="298"/>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row>
    <row r="389">
      <c r="A389" s="304"/>
      <c r="B389" s="282"/>
      <c r="C389" s="298"/>
      <c r="D389" s="282"/>
      <c r="E389" s="282"/>
      <c r="F389" s="282"/>
      <c r="G389" s="282"/>
      <c r="H389" s="282"/>
      <c r="I389" s="282"/>
      <c r="J389" s="282"/>
      <c r="K389" s="282"/>
      <c r="L389" s="282"/>
      <c r="M389" s="282"/>
      <c r="N389" s="282"/>
      <c r="O389" s="282"/>
      <c r="P389" s="282"/>
      <c r="Q389" s="282"/>
      <c r="R389" s="282"/>
      <c r="S389" s="282"/>
      <c r="T389" s="282"/>
      <c r="U389" s="282"/>
      <c r="V389" s="298"/>
      <c r="W389" s="298"/>
      <c r="X389" s="298"/>
      <c r="Y389" s="298"/>
      <c r="Z389" s="298"/>
      <c r="AA389" s="298"/>
      <c r="AB389" s="298"/>
      <c r="AC389" s="298"/>
      <c r="AD389" s="298"/>
      <c r="AE389" s="298"/>
      <c r="AF389" s="298"/>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row>
    <row r="390">
      <c r="A390" s="304"/>
      <c r="B390" s="282"/>
      <c r="C390" s="298"/>
      <c r="D390" s="282"/>
      <c r="E390" s="282"/>
      <c r="F390" s="282"/>
      <c r="G390" s="282"/>
      <c r="H390" s="282"/>
      <c r="I390" s="282"/>
      <c r="J390" s="282"/>
      <c r="K390" s="282"/>
      <c r="L390" s="282"/>
      <c r="M390" s="282"/>
      <c r="N390" s="282"/>
      <c r="O390" s="282"/>
      <c r="P390" s="282"/>
      <c r="Q390" s="282"/>
      <c r="R390" s="282"/>
      <c r="S390" s="282"/>
      <c r="T390" s="282"/>
      <c r="U390" s="282"/>
      <c r="V390" s="298"/>
      <c r="W390" s="298"/>
      <c r="X390" s="298"/>
      <c r="Y390" s="298"/>
      <c r="Z390" s="298"/>
      <c r="AA390" s="298"/>
      <c r="AB390" s="298"/>
      <c r="AC390" s="298"/>
      <c r="AD390" s="298"/>
      <c r="AE390" s="298"/>
      <c r="AF390" s="298"/>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row>
    <row r="391">
      <c r="A391" s="304"/>
      <c r="B391" s="282"/>
      <c r="C391" s="298"/>
      <c r="D391" s="282"/>
      <c r="E391" s="282"/>
      <c r="F391" s="282"/>
      <c r="G391" s="282"/>
      <c r="H391" s="282"/>
      <c r="I391" s="282"/>
      <c r="J391" s="282"/>
      <c r="K391" s="282"/>
      <c r="L391" s="282"/>
      <c r="M391" s="282"/>
      <c r="N391" s="282"/>
      <c r="O391" s="282"/>
      <c r="P391" s="282"/>
      <c r="Q391" s="282"/>
      <c r="R391" s="282"/>
      <c r="S391" s="282"/>
      <c r="T391" s="282"/>
      <c r="U391" s="282"/>
      <c r="V391" s="298"/>
      <c r="W391" s="298"/>
      <c r="X391" s="298"/>
      <c r="Y391" s="298"/>
      <c r="Z391" s="298"/>
      <c r="AA391" s="298"/>
      <c r="AB391" s="298"/>
      <c r="AC391" s="298"/>
      <c r="AD391" s="298"/>
      <c r="AE391" s="298"/>
      <c r="AF391" s="298"/>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row>
    <row r="392">
      <c r="A392" s="304"/>
      <c r="B392" s="282"/>
      <c r="C392" s="298"/>
      <c r="D392" s="282"/>
      <c r="E392" s="282"/>
      <c r="F392" s="282"/>
      <c r="G392" s="282"/>
      <c r="H392" s="282"/>
      <c r="I392" s="282"/>
      <c r="J392" s="282"/>
      <c r="K392" s="282"/>
      <c r="L392" s="282"/>
      <c r="M392" s="282"/>
      <c r="N392" s="282"/>
      <c r="O392" s="282"/>
      <c r="P392" s="282"/>
      <c r="Q392" s="282"/>
      <c r="R392" s="282"/>
      <c r="S392" s="282"/>
      <c r="T392" s="282"/>
      <c r="U392" s="282"/>
      <c r="V392" s="298"/>
      <c r="W392" s="298"/>
      <c r="X392" s="298"/>
      <c r="Y392" s="298"/>
      <c r="Z392" s="298"/>
      <c r="AA392" s="298"/>
      <c r="AB392" s="298"/>
      <c r="AC392" s="298"/>
      <c r="AD392" s="298"/>
      <c r="AE392" s="298"/>
      <c r="AF392" s="298"/>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row>
    <row r="393">
      <c r="A393" s="304"/>
      <c r="B393" s="282"/>
      <c r="C393" s="298"/>
      <c r="D393" s="282"/>
      <c r="E393" s="282"/>
      <c r="F393" s="282"/>
      <c r="G393" s="282"/>
      <c r="H393" s="282"/>
      <c r="I393" s="282"/>
      <c r="J393" s="282"/>
      <c r="K393" s="282"/>
      <c r="L393" s="282"/>
      <c r="M393" s="282"/>
      <c r="N393" s="282"/>
      <c r="O393" s="282"/>
      <c r="P393" s="282"/>
      <c r="Q393" s="282"/>
      <c r="R393" s="282"/>
      <c r="S393" s="282"/>
      <c r="T393" s="282"/>
      <c r="U393" s="282"/>
      <c r="V393" s="298"/>
      <c r="W393" s="298"/>
      <c r="X393" s="298"/>
      <c r="Y393" s="298"/>
      <c r="Z393" s="298"/>
      <c r="AA393" s="298"/>
      <c r="AB393" s="298"/>
      <c r="AC393" s="298"/>
      <c r="AD393" s="298"/>
      <c r="AE393" s="298"/>
      <c r="AF393" s="298"/>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row>
    <row r="394">
      <c r="A394" s="304"/>
      <c r="B394" s="282"/>
      <c r="C394" s="298"/>
      <c r="D394" s="282"/>
      <c r="E394" s="282"/>
      <c r="F394" s="282"/>
      <c r="G394" s="282"/>
      <c r="H394" s="282"/>
      <c r="I394" s="282"/>
      <c r="J394" s="282"/>
      <c r="K394" s="282"/>
      <c r="L394" s="282"/>
      <c r="M394" s="282"/>
      <c r="N394" s="282"/>
      <c r="O394" s="282"/>
      <c r="P394" s="282"/>
      <c r="Q394" s="282"/>
      <c r="R394" s="282"/>
      <c r="S394" s="282"/>
      <c r="T394" s="282"/>
      <c r="U394" s="282"/>
      <c r="V394" s="298"/>
      <c r="W394" s="298"/>
      <c r="X394" s="298"/>
      <c r="Y394" s="298"/>
      <c r="Z394" s="298"/>
      <c r="AA394" s="298"/>
      <c r="AB394" s="298"/>
      <c r="AC394" s="298"/>
      <c r="AD394" s="298"/>
      <c r="AE394" s="298"/>
      <c r="AF394" s="298"/>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row>
    <row r="395">
      <c r="A395" s="304"/>
      <c r="B395" s="282"/>
      <c r="C395" s="298"/>
      <c r="D395" s="282"/>
      <c r="E395" s="282"/>
      <c r="F395" s="282"/>
      <c r="G395" s="282"/>
      <c r="H395" s="282"/>
      <c r="I395" s="282"/>
      <c r="J395" s="282"/>
      <c r="K395" s="282"/>
      <c r="L395" s="282"/>
      <c r="M395" s="282"/>
      <c r="N395" s="282"/>
      <c r="O395" s="282"/>
      <c r="P395" s="282"/>
      <c r="Q395" s="282"/>
      <c r="R395" s="282"/>
      <c r="S395" s="282"/>
      <c r="T395" s="282"/>
      <c r="U395" s="282"/>
      <c r="V395" s="298"/>
      <c r="W395" s="298"/>
      <c r="X395" s="298"/>
      <c r="Y395" s="298"/>
      <c r="Z395" s="298"/>
      <c r="AA395" s="298"/>
      <c r="AB395" s="298"/>
      <c r="AC395" s="298"/>
      <c r="AD395" s="298"/>
      <c r="AE395" s="298"/>
      <c r="AF395" s="298"/>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row>
    <row r="396">
      <c r="A396" s="304"/>
      <c r="B396" s="282"/>
      <c r="C396" s="298"/>
      <c r="D396" s="282"/>
      <c r="E396" s="282"/>
      <c r="F396" s="282"/>
      <c r="G396" s="282"/>
      <c r="H396" s="282"/>
      <c r="I396" s="282"/>
      <c r="J396" s="282"/>
      <c r="K396" s="282"/>
      <c r="L396" s="282"/>
      <c r="M396" s="282"/>
      <c r="N396" s="282"/>
      <c r="O396" s="282"/>
      <c r="P396" s="282"/>
      <c r="Q396" s="282"/>
      <c r="R396" s="282"/>
      <c r="S396" s="282"/>
      <c r="T396" s="282"/>
      <c r="U396" s="282"/>
      <c r="V396" s="298"/>
      <c r="W396" s="298"/>
      <c r="X396" s="298"/>
      <c r="Y396" s="298"/>
      <c r="Z396" s="298"/>
      <c r="AA396" s="298"/>
      <c r="AB396" s="298"/>
      <c r="AC396" s="298"/>
      <c r="AD396" s="298"/>
      <c r="AE396" s="298"/>
      <c r="AF396" s="298"/>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row>
    <row r="397">
      <c r="A397" s="304"/>
      <c r="B397" s="282"/>
      <c r="C397" s="298"/>
      <c r="D397" s="282"/>
      <c r="E397" s="282"/>
      <c r="F397" s="282"/>
      <c r="G397" s="282"/>
      <c r="H397" s="282"/>
      <c r="I397" s="282"/>
      <c r="J397" s="282"/>
      <c r="K397" s="282"/>
      <c r="L397" s="282"/>
      <c r="M397" s="282"/>
      <c r="N397" s="282"/>
      <c r="O397" s="282"/>
      <c r="P397" s="282"/>
      <c r="Q397" s="282"/>
      <c r="R397" s="282"/>
      <c r="S397" s="282"/>
      <c r="T397" s="282"/>
      <c r="U397" s="282"/>
      <c r="V397" s="298"/>
      <c r="W397" s="298"/>
      <c r="X397" s="298"/>
      <c r="Y397" s="298"/>
      <c r="Z397" s="298"/>
      <c r="AA397" s="298"/>
      <c r="AB397" s="298"/>
      <c r="AC397" s="298"/>
      <c r="AD397" s="298"/>
      <c r="AE397" s="298"/>
      <c r="AF397" s="298"/>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row>
    <row r="398">
      <c r="A398" s="304"/>
      <c r="B398" s="282"/>
      <c r="C398" s="298"/>
      <c r="D398" s="282"/>
      <c r="E398" s="282"/>
      <c r="F398" s="282"/>
      <c r="G398" s="282"/>
      <c r="H398" s="282"/>
      <c r="I398" s="282"/>
      <c r="J398" s="282"/>
      <c r="K398" s="282"/>
      <c r="L398" s="282"/>
      <c r="M398" s="282"/>
      <c r="N398" s="282"/>
      <c r="O398" s="282"/>
      <c r="P398" s="282"/>
      <c r="Q398" s="282"/>
      <c r="R398" s="282"/>
      <c r="S398" s="282"/>
      <c r="T398" s="282"/>
      <c r="U398" s="282"/>
      <c r="V398" s="298"/>
      <c r="W398" s="298"/>
      <c r="X398" s="298"/>
      <c r="Y398" s="298"/>
      <c r="Z398" s="298"/>
      <c r="AA398" s="298"/>
      <c r="AB398" s="298"/>
      <c r="AC398" s="298"/>
      <c r="AD398" s="298"/>
      <c r="AE398" s="298"/>
      <c r="AF398" s="298"/>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row>
    <row r="399">
      <c r="A399" s="304"/>
      <c r="B399" s="282"/>
      <c r="C399" s="298"/>
      <c r="D399" s="282"/>
      <c r="E399" s="282"/>
      <c r="F399" s="282"/>
      <c r="G399" s="282"/>
      <c r="H399" s="282"/>
      <c r="I399" s="282"/>
      <c r="J399" s="282"/>
      <c r="K399" s="282"/>
      <c r="L399" s="282"/>
      <c r="M399" s="282"/>
      <c r="N399" s="282"/>
      <c r="O399" s="282"/>
      <c r="P399" s="282"/>
      <c r="Q399" s="282"/>
      <c r="R399" s="282"/>
      <c r="S399" s="282"/>
      <c r="T399" s="282"/>
      <c r="U399" s="282"/>
      <c r="V399" s="298"/>
      <c r="W399" s="298"/>
      <c r="X399" s="298"/>
      <c r="Y399" s="298"/>
      <c r="Z399" s="298"/>
      <c r="AA399" s="298"/>
      <c r="AB399" s="298"/>
      <c r="AC399" s="298"/>
      <c r="AD399" s="298"/>
      <c r="AE399" s="298"/>
      <c r="AF399" s="298"/>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row>
    <row r="400">
      <c r="A400" s="304"/>
      <c r="B400" s="282"/>
      <c r="C400" s="298"/>
      <c r="D400" s="282"/>
      <c r="E400" s="282"/>
      <c r="F400" s="282"/>
      <c r="G400" s="282"/>
      <c r="H400" s="282"/>
      <c r="I400" s="282"/>
      <c r="J400" s="282"/>
      <c r="K400" s="282"/>
      <c r="L400" s="282"/>
      <c r="M400" s="282"/>
      <c r="N400" s="282"/>
      <c r="O400" s="282"/>
      <c r="P400" s="282"/>
      <c r="Q400" s="282"/>
      <c r="R400" s="282"/>
      <c r="S400" s="282"/>
      <c r="T400" s="282"/>
      <c r="U400" s="282"/>
      <c r="V400" s="298"/>
      <c r="W400" s="298"/>
      <c r="X400" s="298"/>
      <c r="Y400" s="298"/>
      <c r="Z400" s="298"/>
      <c r="AA400" s="298"/>
      <c r="AB400" s="298"/>
      <c r="AC400" s="298"/>
      <c r="AD400" s="298"/>
      <c r="AE400" s="298"/>
      <c r="AF400" s="298"/>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row>
    <row r="401">
      <c r="A401" s="304"/>
      <c r="B401" s="282"/>
      <c r="C401" s="298"/>
      <c r="D401" s="282"/>
      <c r="E401" s="282"/>
      <c r="F401" s="282"/>
      <c r="G401" s="282"/>
      <c r="H401" s="282"/>
      <c r="I401" s="282"/>
      <c r="J401" s="282"/>
      <c r="K401" s="282"/>
      <c r="L401" s="282"/>
      <c r="M401" s="282"/>
      <c r="N401" s="282"/>
      <c r="O401" s="282"/>
      <c r="P401" s="282"/>
      <c r="Q401" s="282"/>
      <c r="R401" s="282"/>
      <c r="S401" s="282"/>
      <c r="T401" s="282"/>
      <c r="U401" s="282"/>
      <c r="V401" s="298"/>
      <c r="W401" s="298"/>
      <c r="X401" s="298"/>
      <c r="Y401" s="298"/>
      <c r="Z401" s="298"/>
      <c r="AA401" s="298"/>
      <c r="AB401" s="298"/>
      <c r="AC401" s="298"/>
      <c r="AD401" s="298"/>
      <c r="AE401" s="298"/>
      <c r="AF401" s="298"/>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row>
    <row r="402">
      <c r="A402" s="304"/>
      <c r="B402" s="282"/>
      <c r="C402" s="298"/>
      <c r="D402" s="282"/>
      <c r="E402" s="282"/>
      <c r="F402" s="282"/>
      <c r="G402" s="282"/>
      <c r="H402" s="282"/>
      <c r="I402" s="282"/>
      <c r="J402" s="282"/>
      <c r="K402" s="282"/>
      <c r="L402" s="282"/>
      <c r="M402" s="282"/>
      <c r="N402" s="282"/>
      <c r="O402" s="282"/>
      <c r="P402" s="282"/>
      <c r="Q402" s="282"/>
      <c r="R402" s="282"/>
      <c r="S402" s="282"/>
      <c r="T402" s="282"/>
      <c r="U402" s="282"/>
      <c r="V402" s="298"/>
      <c r="W402" s="298"/>
      <c r="X402" s="298"/>
      <c r="Y402" s="298"/>
      <c r="Z402" s="298"/>
      <c r="AA402" s="298"/>
      <c r="AB402" s="298"/>
      <c r="AC402" s="298"/>
      <c r="AD402" s="298"/>
      <c r="AE402" s="298"/>
      <c r="AF402" s="298"/>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row>
    <row r="403">
      <c r="A403" s="304"/>
      <c r="B403" s="282"/>
      <c r="C403" s="298"/>
      <c r="D403" s="282"/>
      <c r="E403" s="282"/>
      <c r="F403" s="282"/>
      <c r="G403" s="282"/>
      <c r="H403" s="282"/>
      <c r="I403" s="282"/>
      <c r="J403" s="282"/>
      <c r="K403" s="282"/>
      <c r="L403" s="282"/>
      <c r="M403" s="282"/>
      <c r="N403" s="282"/>
      <c r="O403" s="282"/>
      <c r="P403" s="282"/>
      <c r="Q403" s="282"/>
      <c r="R403" s="282"/>
      <c r="S403" s="282"/>
      <c r="T403" s="282"/>
      <c r="U403" s="282"/>
      <c r="V403" s="298"/>
      <c r="W403" s="298"/>
      <c r="X403" s="298"/>
      <c r="Y403" s="298"/>
      <c r="Z403" s="298"/>
      <c r="AA403" s="298"/>
      <c r="AB403" s="298"/>
      <c r="AC403" s="298"/>
      <c r="AD403" s="298"/>
      <c r="AE403" s="298"/>
      <c r="AF403" s="298"/>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row>
    <row r="404">
      <c r="A404" s="304"/>
      <c r="B404" s="282"/>
      <c r="C404" s="298"/>
      <c r="D404" s="282"/>
      <c r="E404" s="282"/>
      <c r="F404" s="282"/>
      <c r="G404" s="282"/>
      <c r="H404" s="282"/>
      <c r="I404" s="282"/>
      <c r="J404" s="282"/>
      <c r="K404" s="282"/>
      <c r="L404" s="282"/>
      <c r="M404" s="282"/>
      <c r="N404" s="282"/>
      <c r="O404" s="282"/>
      <c r="P404" s="282"/>
      <c r="Q404" s="282"/>
      <c r="R404" s="282"/>
      <c r="S404" s="282"/>
      <c r="T404" s="282"/>
      <c r="U404" s="282"/>
      <c r="V404" s="298"/>
      <c r="W404" s="298"/>
      <c r="X404" s="298"/>
      <c r="Y404" s="298"/>
      <c r="Z404" s="298"/>
      <c r="AA404" s="298"/>
      <c r="AB404" s="298"/>
      <c r="AC404" s="298"/>
      <c r="AD404" s="298"/>
      <c r="AE404" s="298"/>
      <c r="AF404" s="298"/>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row>
    <row r="405">
      <c r="A405" s="304"/>
      <c r="B405" s="282"/>
      <c r="C405" s="298"/>
      <c r="D405" s="282"/>
      <c r="E405" s="282"/>
      <c r="F405" s="282"/>
      <c r="G405" s="282"/>
      <c r="H405" s="282"/>
      <c r="I405" s="282"/>
      <c r="J405" s="282"/>
      <c r="K405" s="282"/>
      <c r="L405" s="282"/>
      <c r="M405" s="282"/>
      <c r="N405" s="282"/>
      <c r="O405" s="282"/>
      <c r="P405" s="282"/>
      <c r="Q405" s="282"/>
      <c r="R405" s="282"/>
      <c r="S405" s="282"/>
      <c r="T405" s="282"/>
      <c r="U405" s="282"/>
      <c r="V405" s="298"/>
      <c r="W405" s="298"/>
      <c r="X405" s="298"/>
      <c r="Y405" s="298"/>
      <c r="Z405" s="298"/>
      <c r="AA405" s="298"/>
      <c r="AB405" s="298"/>
      <c r="AC405" s="298"/>
      <c r="AD405" s="298"/>
      <c r="AE405" s="298"/>
      <c r="AF405" s="298"/>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row>
    <row r="406">
      <c r="A406" s="304"/>
      <c r="B406" s="282"/>
      <c r="C406" s="298"/>
      <c r="D406" s="282"/>
      <c r="E406" s="282"/>
      <c r="F406" s="282"/>
      <c r="G406" s="282"/>
      <c r="H406" s="282"/>
      <c r="I406" s="282"/>
      <c r="J406" s="282"/>
      <c r="K406" s="282"/>
      <c r="L406" s="282"/>
      <c r="M406" s="282"/>
      <c r="N406" s="282"/>
      <c r="O406" s="282"/>
      <c r="P406" s="282"/>
      <c r="Q406" s="282"/>
      <c r="R406" s="282"/>
      <c r="S406" s="282"/>
      <c r="T406" s="282"/>
      <c r="U406" s="282"/>
      <c r="V406" s="298"/>
      <c r="W406" s="298"/>
      <c r="X406" s="298"/>
      <c r="Y406" s="298"/>
      <c r="Z406" s="298"/>
      <c r="AA406" s="298"/>
      <c r="AB406" s="298"/>
      <c r="AC406" s="298"/>
      <c r="AD406" s="298"/>
      <c r="AE406" s="298"/>
      <c r="AF406" s="298"/>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row>
    <row r="407">
      <c r="A407" s="304"/>
      <c r="B407" s="282"/>
      <c r="C407" s="298"/>
      <c r="D407" s="282"/>
      <c r="E407" s="282"/>
      <c r="F407" s="282"/>
      <c r="G407" s="282"/>
      <c r="H407" s="282"/>
      <c r="I407" s="282"/>
      <c r="J407" s="282"/>
      <c r="K407" s="282"/>
      <c r="L407" s="282"/>
      <c r="M407" s="282"/>
      <c r="N407" s="282"/>
      <c r="O407" s="282"/>
      <c r="P407" s="282"/>
      <c r="Q407" s="282"/>
      <c r="R407" s="282"/>
      <c r="S407" s="282"/>
      <c r="T407" s="282"/>
      <c r="U407" s="282"/>
      <c r="V407" s="298"/>
      <c r="W407" s="298"/>
      <c r="X407" s="298"/>
      <c r="Y407" s="298"/>
      <c r="Z407" s="298"/>
      <c r="AA407" s="298"/>
      <c r="AB407" s="298"/>
      <c r="AC407" s="298"/>
      <c r="AD407" s="298"/>
      <c r="AE407" s="298"/>
      <c r="AF407" s="298"/>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row>
    <row r="408">
      <c r="A408" s="304"/>
      <c r="B408" s="282"/>
      <c r="C408" s="298"/>
      <c r="D408" s="282"/>
      <c r="E408" s="282"/>
      <c r="F408" s="282"/>
      <c r="G408" s="282"/>
      <c r="H408" s="282"/>
      <c r="I408" s="282"/>
      <c r="J408" s="282"/>
      <c r="K408" s="282"/>
      <c r="L408" s="282"/>
      <c r="M408" s="282"/>
      <c r="N408" s="282"/>
      <c r="O408" s="282"/>
      <c r="P408" s="282"/>
      <c r="Q408" s="282"/>
      <c r="R408" s="282"/>
      <c r="S408" s="282"/>
      <c r="T408" s="282"/>
      <c r="U408" s="282"/>
      <c r="V408" s="298"/>
      <c r="W408" s="298"/>
      <c r="X408" s="298"/>
      <c r="Y408" s="298"/>
      <c r="Z408" s="298"/>
      <c r="AA408" s="298"/>
      <c r="AB408" s="298"/>
      <c r="AC408" s="298"/>
      <c r="AD408" s="298"/>
      <c r="AE408" s="298"/>
      <c r="AF408" s="298"/>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row>
    <row r="409">
      <c r="A409" s="304"/>
      <c r="B409" s="282"/>
      <c r="C409" s="298"/>
      <c r="D409" s="282"/>
      <c r="E409" s="282"/>
      <c r="F409" s="282"/>
      <c r="G409" s="282"/>
      <c r="H409" s="282"/>
      <c r="I409" s="282"/>
      <c r="J409" s="282"/>
      <c r="K409" s="282"/>
      <c r="L409" s="282"/>
      <c r="M409" s="282"/>
      <c r="N409" s="282"/>
      <c r="O409" s="282"/>
      <c r="P409" s="282"/>
      <c r="Q409" s="282"/>
      <c r="R409" s="282"/>
      <c r="S409" s="282"/>
      <c r="T409" s="282"/>
      <c r="U409" s="282"/>
      <c r="V409" s="298"/>
      <c r="W409" s="298"/>
      <c r="X409" s="298"/>
      <c r="Y409" s="298"/>
      <c r="Z409" s="298"/>
      <c r="AA409" s="298"/>
      <c r="AB409" s="298"/>
      <c r="AC409" s="298"/>
      <c r="AD409" s="298"/>
      <c r="AE409" s="298"/>
      <c r="AF409" s="298"/>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row>
    <row r="410">
      <c r="A410" s="304"/>
      <c r="B410" s="282"/>
      <c r="C410" s="298"/>
      <c r="D410" s="282"/>
      <c r="E410" s="282"/>
      <c r="F410" s="282"/>
      <c r="G410" s="282"/>
      <c r="H410" s="282"/>
      <c r="I410" s="282"/>
      <c r="J410" s="282"/>
      <c r="K410" s="282"/>
      <c r="L410" s="282"/>
      <c r="M410" s="282"/>
      <c r="N410" s="282"/>
      <c r="O410" s="282"/>
      <c r="P410" s="282"/>
      <c r="Q410" s="282"/>
      <c r="R410" s="282"/>
      <c r="S410" s="282"/>
      <c r="T410" s="282"/>
      <c r="U410" s="282"/>
      <c r="V410" s="298"/>
      <c r="W410" s="298"/>
      <c r="X410" s="298"/>
      <c r="Y410" s="298"/>
      <c r="Z410" s="298"/>
      <c r="AA410" s="298"/>
      <c r="AB410" s="298"/>
      <c r="AC410" s="298"/>
      <c r="AD410" s="298"/>
      <c r="AE410" s="298"/>
      <c r="AF410" s="298"/>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row>
    <row r="411">
      <c r="A411" s="304"/>
      <c r="B411" s="282"/>
      <c r="C411" s="298"/>
      <c r="D411" s="282"/>
      <c r="E411" s="282"/>
      <c r="F411" s="282"/>
      <c r="G411" s="282"/>
      <c r="H411" s="282"/>
      <c r="I411" s="282"/>
      <c r="J411" s="282"/>
      <c r="K411" s="282"/>
      <c r="L411" s="282"/>
      <c r="M411" s="282"/>
      <c r="N411" s="282"/>
      <c r="O411" s="282"/>
      <c r="P411" s="282"/>
      <c r="Q411" s="282"/>
      <c r="R411" s="282"/>
      <c r="S411" s="282"/>
      <c r="T411" s="282"/>
      <c r="U411" s="282"/>
      <c r="V411" s="298"/>
      <c r="W411" s="298"/>
      <c r="X411" s="298"/>
      <c r="Y411" s="298"/>
      <c r="Z411" s="298"/>
      <c r="AA411" s="298"/>
      <c r="AB411" s="298"/>
      <c r="AC411" s="298"/>
      <c r="AD411" s="298"/>
      <c r="AE411" s="298"/>
      <c r="AF411" s="298"/>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row>
    <row r="412">
      <c r="A412" s="304"/>
      <c r="B412" s="282"/>
      <c r="C412" s="298"/>
      <c r="D412" s="282"/>
      <c r="E412" s="282"/>
      <c r="F412" s="282"/>
      <c r="G412" s="282"/>
      <c r="H412" s="282"/>
      <c r="I412" s="282"/>
      <c r="J412" s="282"/>
      <c r="K412" s="282"/>
      <c r="L412" s="282"/>
      <c r="M412" s="282"/>
      <c r="N412" s="282"/>
      <c r="O412" s="282"/>
      <c r="P412" s="282"/>
      <c r="Q412" s="282"/>
      <c r="R412" s="282"/>
      <c r="S412" s="282"/>
      <c r="T412" s="282"/>
      <c r="U412" s="282"/>
      <c r="V412" s="298"/>
      <c r="W412" s="298"/>
      <c r="X412" s="298"/>
      <c r="Y412" s="298"/>
      <c r="Z412" s="298"/>
      <c r="AA412" s="298"/>
      <c r="AB412" s="298"/>
      <c r="AC412" s="298"/>
      <c r="AD412" s="298"/>
      <c r="AE412" s="298"/>
      <c r="AF412" s="298"/>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row>
    <row r="413">
      <c r="A413" s="304"/>
      <c r="B413" s="282"/>
      <c r="C413" s="298"/>
      <c r="D413" s="282"/>
      <c r="E413" s="282"/>
      <c r="F413" s="282"/>
      <c r="G413" s="282"/>
      <c r="H413" s="282"/>
      <c r="I413" s="282"/>
      <c r="J413" s="282"/>
      <c r="K413" s="282"/>
      <c r="L413" s="282"/>
      <c r="M413" s="282"/>
      <c r="N413" s="282"/>
      <c r="O413" s="282"/>
      <c r="P413" s="282"/>
      <c r="Q413" s="282"/>
      <c r="R413" s="282"/>
      <c r="S413" s="282"/>
      <c r="T413" s="282"/>
      <c r="U413" s="282"/>
      <c r="V413" s="298"/>
      <c r="W413" s="298"/>
      <c r="X413" s="298"/>
      <c r="Y413" s="298"/>
      <c r="Z413" s="298"/>
      <c r="AA413" s="298"/>
      <c r="AB413" s="298"/>
      <c r="AC413" s="298"/>
      <c r="AD413" s="298"/>
      <c r="AE413" s="298"/>
      <c r="AF413" s="298"/>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row>
    <row r="414">
      <c r="A414" s="304"/>
      <c r="B414" s="282"/>
      <c r="C414" s="298"/>
      <c r="D414" s="282"/>
      <c r="E414" s="282"/>
      <c r="F414" s="282"/>
      <c r="G414" s="282"/>
      <c r="H414" s="282"/>
      <c r="I414" s="282"/>
      <c r="J414" s="282"/>
      <c r="K414" s="282"/>
      <c r="L414" s="282"/>
      <c r="M414" s="282"/>
      <c r="N414" s="282"/>
      <c r="O414" s="282"/>
      <c r="P414" s="282"/>
      <c r="Q414" s="282"/>
      <c r="R414" s="282"/>
      <c r="S414" s="282"/>
      <c r="T414" s="282"/>
      <c r="U414" s="282"/>
      <c r="V414" s="298"/>
      <c r="W414" s="298"/>
      <c r="X414" s="298"/>
      <c r="Y414" s="298"/>
      <c r="Z414" s="298"/>
      <c r="AA414" s="298"/>
      <c r="AB414" s="298"/>
      <c r="AC414" s="298"/>
      <c r="AD414" s="298"/>
      <c r="AE414" s="298"/>
      <c r="AF414" s="298"/>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row>
    <row r="415">
      <c r="A415" s="304"/>
      <c r="B415" s="282"/>
      <c r="C415" s="298"/>
      <c r="D415" s="282"/>
      <c r="E415" s="282"/>
      <c r="F415" s="282"/>
      <c r="G415" s="282"/>
      <c r="H415" s="282"/>
      <c r="I415" s="282"/>
      <c r="J415" s="282"/>
      <c r="K415" s="282"/>
      <c r="L415" s="282"/>
      <c r="M415" s="282"/>
      <c r="N415" s="282"/>
      <c r="O415" s="282"/>
      <c r="P415" s="282"/>
      <c r="Q415" s="282"/>
      <c r="R415" s="282"/>
      <c r="S415" s="282"/>
      <c r="T415" s="282"/>
      <c r="U415" s="282"/>
      <c r="V415" s="298"/>
      <c r="W415" s="298"/>
      <c r="X415" s="298"/>
      <c r="Y415" s="298"/>
      <c r="Z415" s="298"/>
      <c r="AA415" s="298"/>
      <c r="AB415" s="298"/>
      <c r="AC415" s="298"/>
      <c r="AD415" s="298"/>
      <c r="AE415" s="298"/>
      <c r="AF415" s="298"/>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row>
    <row r="416">
      <c r="A416" s="304"/>
      <c r="B416" s="282"/>
      <c r="C416" s="298"/>
      <c r="D416" s="282"/>
      <c r="E416" s="282"/>
      <c r="F416" s="282"/>
      <c r="G416" s="282"/>
      <c r="H416" s="282"/>
      <c r="I416" s="282"/>
      <c r="J416" s="282"/>
      <c r="K416" s="282"/>
      <c r="L416" s="282"/>
      <c r="M416" s="282"/>
      <c r="N416" s="282"/>
      <c r="O416" s="282"/>
      <c r="P416" s="282"/>
      <c r="Q416" s="282"/>
      <c r="R416" s="282"/>
      <c r="S416" s="282"/>
      <c r="T416" s="282"/>
      <c r="U416" s="282"/>
      <c r="V416" s="298"/>
      <c r="W416" s="298"/>
      <c r="X416" s="298"/>
      <c r="Y416" s="298"/>
      <c r="Z416" s="298"/>
      <c r="AA416" s="298"/>
      <c r="AB416" s="298"/>
      <c r="AC416" s="298"/>
      <c r="AD416" s="298"/>
      <c r="AE416" s="298"/>
      <c r="AF416" s="298"/>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row>
    <row r="417">
      <c r="A417" s="304"/>
      <c r="B417" s="282"/>
      <c r="C417" s="298"/>
      <c r="D417" s="282"/>
      <c r="E417" s="282"/>
      <c r="F417" s="282"/>
      <c r="G417" s="282"/>
      <c r="H417" s="282"/>
      <c r="I417" s="282"/>
      <c r="J417" s="282"/>
      <c r="K417" s="282"/>
      <c r="L417" s="282"/>
      <c r="M417" s="282"/>
      <c r="N417" s="282"/>
      <c r="O417" s="282"/>
      <c r="P417" s="282"/>
      <c r="Q417" s="282"/>
      <c r="R417" s="282"/>
      <c r="S417" s="282"/>
      <c r="T417" s="282"/>
      <c r="U417" s="282"/>
      <c r="V417" s="298"/>
      <c r="W417" s="298"/>
      <c r="X417" s="298"/>
      <c r="Y417" s="298"/>
      <c r="Z417" s="298"/>
      <c r="AA417" s="298"/>
      <c r="AB417" s="298"/>
      <c r="AC417" s="298"/>
      <c r="AD417" s="298"/>
      <c r="AE417" s="298"/>
      <c r="AF417" s="298"/>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row>
    <row r="418">
      <c r="A418" s="304"/>
      <c r="B418" s="282"/>
      <c r="C418" s="298"/>
      <c r="D418" s="282"/>
      <c r="E418" s="282"/>
      <c r="F418" s="282"/>
      <c r="G418" s="282"/>
      <c r="H418" s="282"/>
      <c r="I418" s="282"/>
      <c r="J418" s="282"/>
      <c r="K418" s="282"/>
      <c r="L418" s="282"/>
      <c r="M418" s="282"/>
      <c r="N418" s="282"/>
      <c r="O418" s="282"/>
      <c r="P418" s="282"/>
      <c r="Q418" s="282"/>
      <c r="R418" s="282"/>
      <c r="S418" s="282"/>
      <c r="T418" s="282"/>
      <c r="U418" s="282"/>
      <c r="V418" s="298"/>
      <c r="W418" s="298"/>
      <c r="X418" s="298"/>
      <c r="Y418" s="298"/>
      <c r="Z418" s="298"/>
      <c r="AA418" s="298"/>
      <c r="AB418" s="298"/>
      <c r="AC418" s="298"/>
      <c r="AD418" s="298"/>
      <c r="AE418" s="298"/>
      <c r="AF418" s="298"/>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row>
    <row r="419">
      <c r="A419" s="304"/>
      <c r="B419" s="282"/>
      <c r="C419" s="298"/>
      <c r="D419" s="282"/>
      <c r="E419" s="282"/>
      <c r="F419" s="282"/>
      <c r="G419" s="282"/>
      <c r="H419" s="282"/>
      <c r="I419" s="282"/>
      <c r="J419" s="282"/>
      <c r="K419" s="282"/>
      <c r="L419" s="282"/>
      <c r="M419" s="282"/>
      <c r="N419" s="282"/>
      <c r="O419" s="282"/>
      <c r="P419" s="282"/>
      <c r="Q419" s="282"/>
      <c r="R419" s="282"/>
      <c r="S419" s="282"/>
      <c r="T419" s="282"/>
      <c r="U419" s="282"/>
      <c r="V419" s="298"/>
      <c r="W419" s="298"/>
      <c r="X419" s="298"/>
      <c r="Y419" s="298"/>
      <c r="Z419" s="298"/>
      <c r="AA419" s="298"/>
      <c r="AB419" s="298"/>
      <c r="AC419" s="298"/>
      <c r="AD419" s="298"/>
      <c r="AE419" s="298"/>
      <c r="AF419" s="298"/>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row>
    <row r="420">
      <c r="A420" s="304"/>
      <c r="B420" s="282"/>
      <c r="C420" s="298"/>
      <c r="D420" s="282"/>
      <c r="E420" s="282"/>
      <c r="F420" s="282"/>
      <c r="G420" s="282"/>
      <c r="H420" s="282"/>
      <c r="I420" s="282"/>
      <c r="J420" s="282"/>
      <c r="K420" s="282"/>
      <c r="L420" s="282"/>
      <c r="M420" s="282"/>
      <c r="N420" s="282"/>
      <c r="O420" s="282"/>
      <c r="P420" s="282"/>
      <c r="Q420" s="282"/>
      <c r="R420" s="282"/>
      <c r="S420" s="282"/>
      <c r="T420" s="282"/>
      <c r="U420" s="282"/>
      <c r="V420" s="298"/>
      <c r="W420" s="298"/>
      <c r="X420" s="298"/>
      <c r="Y420" s="298"/>
      <c r="Z420" s="298"/>
      <c r="AA420" s="298"/>
      <c r="AB420" s="298"/>
      <c r="AC420" s="298"/>
      <c r="AD420" s="298"/>
      <c r="AE420" s="298"/>
      <c r="AF420" s="298"/>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row>
    <row r="421">
      <c r="A421" s="304"/>
      <c r="B421" s="282"/>
      <c r="C421" s="298"/>
      <c r="D421" s="282"/>
      <c r="E421" s="282"/>
      <c r="F421" s="282"/>
      <c r="G421" s="282"/>
      <c r="H421" s="282"/>
      <c r="I421" s="282"/>
      <c r="J421" s="282"/>
      <c r="K421" s="282"/>
      <c r="L421" s="282"/>
      <c r="M421" s="282"/>
      <c r="N421" s="282"/>
      <c r="O421" s="282"/>
      <c r="P421" s="282"/>
      <c r="Q421" s="282"/>
      <c r="R421" s="282"/>
      <c r="S421" s="282"/>
      <c r="T421" s="282"/>
      <c r="U421" s="282"/>
      <c r="V421" s="298"/>
      <c r="W421" s="298"/>
      <c r="X421" s="298"/>
      <c r="Y421" s="298"/>
      <c r="Z421" s="298"/>
      <c r="AA421" s="298"/>
      <c r="AB421" s="298"/>
      <c r="AC421" s="298"/>
      <c r="AD421" s="298"/>
      <c r="AE421" s="298"/>
      <c r="AF421" s="298"/>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row>
    <row r="422">
      <c r="A422" s="304"/>
      <c r="B422" s="282"/>
      <c r="C422" s="298"/>
      <c r="D422" s="282"/>
      <c r="E422" s="282"/>
      <c r="F422" s="282"/>
      <c r="G422" s="282"/>
      <c r="H422" s="282"/>
      <c r="I422" s="282"/>
      <c r="J422" s="282"/>
      <c r="K422" s="282"/>
      <c r="L422" s="282"/>
      <c r="M422" s="282"/>
      <c r="N422" s="282"/>
      <c r="O422" s="282"/>
      <c r="P422" s="282"/>
      <c r="Q422" s="282"/>
      <c r="R422" s="282"/>
      <c r="S422" s="282"/>
      <c r="T422" s="282"/>
      <c r="U422" s="282"/>
      <c r="V422" s="298"/>
      <c r="W422" s="298"/>
      <c r="X422" s="298"/>
      <c r="Y422" s="298"/>
      <c r="Z422" s="298"/>
      <c r="AA422" s="298"/>
      <c r="AB422" s="298"/>
      <c r="AC422" s="298"/>
      <c r="AD422" s="298"/>
      <c r="AE422" s="298"/>
      <c r="AF422" s="298"/>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row>
    <row r="423">
      <c r="A423" s="304"/>
      <c r="B423" s="282"/>
      <c r="C423" s="298"/>
      <c r="D423" s="282"/>
      <c r="E423" s="282"/>
      <c r="F423" s="282"/>
      <c r="G423" s="282"/>
      <c r="H423" s="282"/>
      <c r="I423" s="282"/>
      <c r="J423" s="282"/>
      <c r="K423" s="282"/>
      <c r="L423" s="282"/>
      <c r="M423" s="282"/>
      <c r="N423" s="282"/>
      <c r="O423" s="282"/>
      <c r="P423" s="282"/>
      <c r="Q423" s="282"/>
      <c r="R423" s="282"/>
      <c r="S423" s="282"/>
      <c r="T423" s="282"/>
      <c r="U423" s="282"/>
      <c r="V423" s="298"/>
      <c r="W423" s="298"/>
      <c r="X423" s="298"/>
      <c r="Y423" s="298"/>
      <c r="Z423" s="298"/>
      <c r="AA423" s="298"/>
      <c r="AB423" s="298"/>
      <c r="AC423" s="298"/>
      <c r="AD423" s="298"/>
      <c r="AE423" s="298"/>
      <c r="AF423" s="298"/>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row>
    <row r="424">
      <c r="A424" s="304"/>
      <c r="B424" s="282"/>
      <c r="C424" s="298"/>
      <c r="D424" s="282"/>
      <c r="E424" s="282"/>
      <c r="F424" s="282"/>
      <c r="G424" s="282"/>
      <c r="H424" s="282"/>
      <c r="I424" s="282"/>
      <c r="J424" s="282"/>
      <c r="K424" s="282"/>
      <c r="L424" s="282"/>
      <c r="M424" s="282"/>
      <c r="N424" s="282"/>
      <c r="O424" s="282"/>
      <c r="P424" s="282"/>
      <c r="Q424" s="282"/>
      <c r="R424" s="282"/>
      <c r="S424" s="282"/>
      <c r="T424" s="282"/>
      <c r="U424" s="282"/>
      <c r="V424" s="298"/>
      <c r="W424" s="298"/>
      <c r="X424" s="298"/>
      <c r="Y424" s="298"/>
      <c r="Z424" s="298"/>
      <c r="AA424" s="298"/>
      <c r="AB424" s="298"/>
      <c r="AC424" s="298"/>
      <c r="AD424" s="298"/>
      <c r="AE424" s="298"/>
      <c r="AF424" s="298"/>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row>
    <row r="425">
      <c r="A425" s="304"/>
      <c r="B425" s="282"/>
      <c r="C425" s="298"/>
      <c r="D425" s="282"/>
      <c r="E425" s="282"/>
      <c r="F425" s="282"/>
      <c r="G425" s="282"/>
      <c r="H425" s="282"/>
      <c r="I425" s="282"/>
      <c r="J425" s="282"/>
      <c r="K425" s="282"/>
      <c r="L425" s="282"/>
      <c r="M425" s="282"/>
      <c r="N425" s="282"/>
      <c r="O425" s="282"/>
      <c r="P425" s="282"/>
      <c r="Q425" s="282"/>
      <c r="R425" s="282"/>
      <c r="S425" s="282"/>
      <c r="T425" s="282"/>
      <c r="U425" s="282"/>
      <c r="V425" s="298"/>
      <c r="W425" s="298"/>
      <c r="X425" s="298"/>
      <c r="Y425" s="298"/>
      <c r="Z425" s="298"/>
      <c r="AA425" s="298"/>
      <c r="AB425" s="298"/>
      <c r="AC425" s="298"/>
      <c r="AD425" s="298"/>
      <c r="AE425" s="298"/>
      <c r="AF425" s="298"/>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row>
    <row r="426">
      <c r="A426" s="304"/>
      <c r="B426" s="282"/>
      <c r="C426" s="298"/>
      <c r="D426" s="282"/>
      <c r="E426" s="282"/>
      <c r="F426" s="282"/>
      <c r="G426" s="282"/>
      <c r="H426" s="282"/>
      <c r="I426" s="282"/>
      <c r="J426" s="282"/>
      <c r="K426" s="282"/>
      <c r="L426" s="282"/>
      <c r="M426" s="282"/>
      <c r="N426" s="282"/>
      <c r="O426" s="282"/>
      <c r="P426" s="282"/>
      <c r="Q426" s="282"/>
      <c r="R426" s="282"/>
      <c r="S426" s="282"/>
      <c r="T426" s="282"/>
      <c r="U426" s="282"/>
      <c r="V426" s="298"/>
      <c r="W426" s="298"/>
      <c r="X426" s="298"/>
      <c r="Y426" s="298"/>
      <c r="Z426" s="298"/>
      <c r="AA426" s="298"/>
      <c r="AB426" s="298"/>
      <c r="AC426" s="298"/>
      <c r="AD426" s="298"/>
      <c r="AE426" s="298"/>
      <c r="AF426" s="298"/>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row>
    <row r="427">
      <c r="A427" s="304"/>
      <c r="B427" s="282"/>
      <c r="C427" s="298"/>
      <c r="D427" s="282"/>
      <c r="E427" s="282"/>
      <c r="F427" s="282"/>
      <c r="G427" s="282"/>
      <c r="H427" s="282"/>
      <c r="I427" s="282"/>
      <c r="J427" s="282"/>
      <c r="K427" s="282"/>
      <c r="L427" s="282"/>
      <c r="M427" s="282"/>
      <c r="N427" s="282"/>
      <c r="O427" s="282"/>
      <c r="P427" s="282"/>
      <c r="Q427" s="282"/>
      <c r="R427" s="282"/>
      <c r="S427" s="282"/>
      <c r="T427" s="282"/>
      <c r="U427" s="282"/>
      <c r="V427" s="298"/>
      <c r="W427" s="298"/>
      <c r="X427" s="298"/>
      <c r="Y427" s="298"/>
      <c r="Z427" s="298"/>
      <c r="AA427" s="298"/>
      <c r="AB427" s="298"/>
      <c r="AC427" s="298"/>
      <c r="AD427" s="298"/>
      <c r="AE427" s="298"/>
      <c r="AF427" s="298"/>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row>
    <row r="428">
      <c r="A428" s="304"/>
      <c r="B428" s="282"/>
      <c r="C428" s="298"/>
      <c r="D428" s="282"/>
      <c r="E428" s="282"/>
      <c r="F428" s="282"/>
      <c r="G428" s="282"/>
      <c r="H428" s="282"/>
      <c r="I428" s="282"/>
      <c r="J428" s="282"/>
      <c r="K428" s="282"/>
      <c r="L428" s="282"/>
      <c r="M428" s="282"/>
      <c r="N428" s="282"/>
      <c r="O428" s="282"/>
      <c r="P428" s="282"/>
      <c r="Q428" s="282"/>
      <c r="R428" s="282"/>
      <c r="S428" s="282"/>
      <c r="T428" s="282"/>
      <c r="U428" s="282"/>
      <c r="V428" s="298"/>
      <c r="W428" s="298"/>
      <c r="X428" s="298"/>
      <c r="Y428" s="298"/>
      <c r="Z428" s="298"/>
      <c r="AA428" s="298"/>
      <c r="AB428" s="298"/>
      <c r="AC428" s="298"/>
      <c r="AD428" s="298"/>
      <c r="AE428" s="298"/>
      <c r="AF428" s="298"/>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row>
    <row r="429">
      <c r="A429" s="304"/>
      <c r="B429" s="282"/>
      <c r="C429" s="298"/>
      <c r="D429" s="282"/>
      <c r="E429" s="282"/>
      <c r="F429" s="282"/>
      <c r="G429" s="282"/>
      <c r="H429" s="282"/>
      <c r="I429" s="282"/>
      <c r="J429" s="282"/>
      <c r="K429" s="282"/>
      <c r="L429" s="282"/>
      <c r="M429" s="282"/>
      <c r="N429" s="282"/>
      <c r="O429" s="282"/>
      <c r="P429" s="282"/>
      <c r="Q429" s="282"/>
      <c r="R429" s="282"/>
      <c r="S429" s="282"/>
      <c r="T429" s="282"/>
      <c r="U429" s="282"/>
      <c r="V429" s="298"/>
      <c r="W429" s="298"/>
      <c r="X429" s="298"/>
      <c r="Y429" s="298"/>
      <c r="Z429" s="298"/>
      <c r="AA429" s="298"/>
      <c r="AB429" s="298"/>
      <c r="AC429" s="298"/>
      <c r="AD429" s="298"/>
      <c r="AE429" s="298"/>
      <c r="AF429" s="298"/>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row>
    <row r="430">
      <c r="A430" s="304"/>
      <c r="B430" s="282"/>
      <c r="C430" s="298"/>
      <c r="D430" s="282"/>
      <c r="E430" s="282"/>
      <c r="F430" s="282"/>
      <c r="G430" s="282"/>
      <c r="H430" s="282"/>
      <c r="I430" s="282"/>
      <c r="J430" s="282"/>
      <c r="K430" s="282"/>
      <c r="L430" s="282"/>
      <c r="M430" s="282"/>
      <c r="N430" s="282"/>
      <c r="O430" s="282"/>
      <c r="P430" s="282"/>
      <c r="Q430" s="282"/>
      <c r="R430" s="282"/>
      <c r="S430" s="282"/>
      <c r="T430" s="282"/>
      <c r="U430" s="282"/>
      <c r="V430" s="298"/>
      <c r="W430" s="298"/>
      <c r="X430" s="298"/>
      <c r="Y430" s="298"/>
      <c r="Z430" s="298"/>
      <c r="AA430" s="298"/>
      <c r="AB430" s="298"/>
      <c r="AC430" s="298"/>
      <c r="AD430" s="298"/>
      <c r="AE430" s="298"/>
      <c r="AF430" s="298"/>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row>
    <row r="431">
      <c r="A431" s="304"/>
      <c r="B431" s="282"/>
      <c r="C431" s="298"/>
      <c r="D431" s="282"/>
      <c r="E431" s="282"/>
      <c r="F431" s="282"/>
      <c r="G431" s="282"/>
      <c r="H431" s="282"/>
      <c r="I431" s="282"/>
      <c r="J431" s="282"/>
      <c r="K431" s="282"/>
      <c r="L431" s="282"/>
      <c r="M431" s="282"/>
      <c r="N431" s="282"/>
      <c r="O431" s="282"/>
      <c r="P431" s="282"/>
      <c r="Q431" s="282"/>
      <c r="R431" s="282"/>
      <c r="S431" s="282"/>
      <c r="T431" s="282"/>
      <c r="U431" s="282"/>
      <c r="V431" s="298"/>
      <c r="W431" s="298"/>
      <c r="X431" s="298"/>
      <c r="Y431" s="298"/>
      <c r="Z431" s="298"/>
      <c r="AA431" s="298"/>
      <c r="AB431" s="298"/>
      <c r="AC431" s="298"/>
      <c r="AD431" s="298"/>
      <c r="AE431" s="298"/>
      <c r="AF431" s="298"/>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row>
    <row r="432">
      <c r="A432" s="304"/>
      <c r="B432" s="282"/>
      <c r="C432" s="298"/>
      <c r="D432" s="282"/>
      <c r="E432" s="282"/>
      <c r="F432" s="282"/>
      <c r="G432" s="282"/>
      <c r="H432" s="282"/>
      <c r="I432" s="282"/>
      <c r="J432" s="282"/>
      <c r="K432" s="282"/>
      <c r="L432" s="282"/>
      <c r="M432" s="282"/>
      <c r="N432" s="282"/>
      <c r="O432" s="282"/>
      <c r="P432" s="282"/>
      <c r="Q432" s="282"/>
      <c r="R432" s="282"/>
      <c r="S432" s="282"/>
      <c r="T432" s="282"/>
      <c r="U432" s="282"/>
      <c r="V432" s="298"/>
      <c r="W432" s="298"/>
      <c r="X432" s="298"/>
      <c r="Y432" s="298"/>
      <c r="Z432" s="298"/>
      <c r="AA432" s="298"/>
      <c r="AB432" s="298"/>
      <c r="AC432" s="298"/>
      <c r="AD432" s="298"/>
      <c r="AE432" s="298"/>
      <c r="AF432" s="298"/>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row>
    <row r="433">
      <c r="A433" s="304"/>
      <c r="B433" s="282"/>
      <c r="C433" s="298"/>
      <c r="D433" s="282"/>
      <c r="E433" s="282"/>
      <c r="F433" s="282"/>
      <c r="G433" s="282"/>
      <c r="H433" s="282"/>
      <c r="I433" s="282"/>
      <c r="J433" s="282"/>
      <c r="K433" s="282"/>
      <c r="L433" s="282"/>
      <c r="M433" s="282"/>
      <c r="N433" s="282"/>
      <c r="O433" s="282"/>
      <c r="P433" s="282"/>
      <c r="Q433" s="282"/>
      <c r="R433" s="282"/>
      <c r="S433" s="282"/>
      <c r="T433" s="282"/>
      <c r="U433" s="282"/>
      <c r="V433" s="298"/>
      <c r="W433" s="298"/>
      <c r="X433" s="298"/>
      <c r="Y433" s="298"/>
      <c r="Z433" s="298"/>
      <c r="AA433" s="298"/>
      <c r="AB433" s="298"/>
      <c r="AC433" s="298"/>
      <c r="AD433" s="298"/>
      <c r="AE433" s="298"/>
      <c r="AF433" s="298"/>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row>
    <row r="434">
      <c r="A434" s="304"/>
      <c r="B434" s="282"/>
      <c r="C434" s="298"/>
      <c r="D434" s="282"/>
      <c r="E434" s="282"/>
      <c r="F434" s="282"/>
      <c r="G434" s="282"/>
      <c r="H434" s="282"/>
      <c r="I434" s="282"/>
      <c r="J434" s="282"/>
      <c r="K434" s="282"/>
      <c r="L434" s="282"/>
      <c r="M434" s="282"/>
      <c r="N434" s="282"/>
      <c r="O434" s="282"/>
      <c r="P434" s="282"/>
      <c r="Q434" s="282"/>
      <c r="R434" s="282"/>
      <c r="S434" s="282"/>
      <c r="T434" s="282"/>
      <c r="U434" s="282"/>
      <c r="V434" s="298"/>
      <c r="W434" s="298"/>
      <c r="X434" s="298"/>
      <c r="Y434" s="298"/>
      <c r="Z434" s="298"/>
      <c r="AA434" s="298"/>
      <c r="AB434" s="298"/>
      <c r="AC434" s="298"/>
      <c r="AD434" s="298"/>
      <c r="AE434" s="298"/>
      <c r="AF434" s="298"/>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row>
    <row r="435">
      <c r="A435" s="304"/>
      <c r="B435" s="282"/>
      <c r="C435" s="298"/>
      <c r="D435" s="282"/>
      <c r="E435" s="282"/>
      <c r="F435" s="282"/>
      <c r="G435" s="282"/>
      <c r="H435" s="282"/>
      <c r="I435" s="282"/>
      <c r="J435" s="282"/>
      <c r="K435" s="282"/>
      <c r="L435" s="282"/>
      <c r="M435" s="282"/>
      <c r="N435" s="282"/>
      <c r="O435" s="282"/>
      <c r="P435" s="282"/>
      <c r="Q435" s="282"/>
      <c r="R435" s="282"/>
      <c r="S435" s="282"/>
      <c r="T435" s="282"/>
      <c r="U435" s="282"/>
      <c r="V435" s="298"/>
      <c r="W435" s="298"/>
      <c r="X435" s="298"/>
      <c r="Y435" s="298"/>
      <c r="Z435" s="298"/>
      <c r="AA435" s="298"/>
      <c r="AB435" s="298"/>
      <c r="AC435" s="298"/>
      <c r="AD435" s="298"/>
      <c r="AE435" s="298"/>
      <c r="AF435" s="298"/>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row>
    <row r="436">
      <c r="A436" s="304"/>
      <c r="B436" s="282"/>
      <c r="C436" s="298"/>
      <c r="D436" s="282"/>
      <c r="E436" s="282"/>
      <c r="F436" s="282"/>
      <c r="G436" s="282"/>
      <c r="H436" s="282"/>
      <c r="I436" s="282"/>
      <c r="J436" s="282"/>
      <c r="K436" s="282"/>
      <c r="L436" s="282"/>
      <c r="M436" s="282"/>
      <c r="N436" s="282"/>
      <c r="O436" s="282"/>
      <c r="P436" s="282"/>
      <c r="Q436" s="282"/>
      <c r="R436" s="282"/>
      <c r="S436" s="282"/>
      <c r="T436" s="282"/>
      <c r="U436" s="282"/>
      <c r="V436" s="298"/>
      <c r="W436" s="298"/>
      <c r="X436" s="298"/>
      <c r="Y436" s="298"/>
      <c r="Z436" s="298"/>
      <c r="AA436" s="298"/>
      <c r="AB436" s="298"/>
      <c r="AC436" s="298"/>
      <c r="AD436" s="298"/>
      <c r="AE436" s="298"/>
      <c r="AF436" s="298"/>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row>
    <row r="437">
      <c r="A437" s="304"/>
      <c r="B437" s="282"/>
      <c r="C437" s="298"/>
      <c r="D437" s="282"/>
      <c r="E437" s="282"/>
      <c r="F437" s="282"/>
      <c r="G437" s="282"/>
      <c r="H437" s="282"/>
      <c r="I437" s="282"/>
      <c r="J437" s="282"/>
      <c r="K437" s="282"/>
      <c r="L437" s="282"/>
      <c r="M437" s="282"/>
      <c r="N437" s="282"/>
      <c r="O437" s="282"/>
      <c r="P437" s="282"/>
      <c r="Q437" s="282"/>
      <c r="R437" s="282"/>
      <c r="S437" s="282"/>
      <c r="T437" s="282"/>
      <c r="U437" s="282"/>
      <c r="V437" s="298"/>
      <c r="W437" s="298"/>
      <c r="X437" s="298"/>
      <c r="Y437" s="298"/>
      <c r="Z437" s="298"/>
      <c r="AA437" s="298"/>
      <c r="AB437" s="298"/>
      <c r="AC437" s="298"/>
      <c r="AD437" s="298"/>
      <c r="AE437" s="298"/>
      <c r="AF437" s="298"/>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row>
    <row r="438">
      <c r="A438" s="304"/>
      <c r="B438" s="282"/>
      <c r="C438" s="298"/>
      <c r="D438" s="282"/>
      <c r="E438" s="282"/>
      <c r="F438" s="282"/>
      <c r="G438" s="282"/>
      <c r="H438" s="282"/>
      <c r="I438" s="282"/>
      <c r="J438" s="282"/>
      <c r="K438" s="282"/>
      <c r="L438" s="282"/>
      <c r="M438" s="282"/>
      <c r="N438" s="282"/>
      <c r="O438" s="282"/>
      <c r="P438" s="282"/>
      <c r="Q438" s="282"/>
      <c r="R438" s="282"/>
      <c r="S438" s="282"/>
      <c r="T438" s="282"/>
      <c r="U438" s="282"/>
      <c r="V438" s="298"/>
      <c r="W438" s="298"/>
      <c r="X438" s="298"/>
      <c r="Y438" s="298"/>
      <c r="Z438" s="298"/>
      <c r="AA438" s="298"/>
      <c r="AB438" s="298"/>
      <c r="AC438" s="298"/>
      <c r="AD438" s="298"/>
      <c r="AE438" s="298"/>
      <c r="AF438" s="298"/>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row>
    <row r="439">
      <c r="A439" s="304"/>
      <c r="B439" s="282"/>
      <c r="C439" s="298"/>
      <c r="D439" s="282"/>
      <c r="E439" s="282"/>
      <c r="F439" s="282"/>
      <c r="G439" s="282"/>
      <c r="H439" s="282"/>
      <c r="I439" s="282"/>
      <c r="J439" s="282"/>
      <c r="K439" s="282"/>
      <c r="L439" s="282"/>
      <c r="M439" s="282"/>
      <c r="N439" s="282"/>
      <c r="O439" s="282"/>
      <c r="P439" s="282"/>
      <c r="Q439" s="282"/>
      <c r="R439" s="282"/>
      <c r="S439" s="282"/>
      <c r="T439" s="282"/>
      <c r="U439" s="282"/>
      <c r="V439" s="298"/>
      <c r="W439" s="298"/>
      <c r="X439" s="298"/>
      <c r="Y439" s="298"/>
      <c r="Z439" s="298"/>
      <c r="AA439" s="298"/>
      <c r="AB439" s="298"/>
      <c r="AC439" s="298"/>
      <c r="AD439" s="298"/>
      <c r="AE439" s="298"/>
      <c r="AF439" s="298"/>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row>
    <row r="440">
      <c r="A440" s="304"/>
      <c r="B440" s="282"/>
      <c r="C440" s="298"/>
      <c r="D440" s="282"/>
      <c r="E440" s="282"/>
      <c r="F440" s="282"/>
      <c r="G440" s="282"/>
      <c r="H440" s="282"/>
      <c r="I440" s="282"/>
      <c r="J440" s="282"/>
      <c r="K440" s="282"/>
      <c r="L440" s="282"/>
      <c r="M440" s="282"/>
      <c r="N440" s="282"/>
      <c r="O440" s="282"/>
      <c r="P440" s="282"/>
      <c r="Q440" s="282"/>
      <c r="R440" s="282"/>
      <c r="S440" s="282"/>
      <c r="T440" s="282"/>
      <c r="U440" s="282"/>
      <c r="V440" s="298"/>
      <c r="W440" s="298"/>
      <c r="X440" s="298"/>
      <c r="Y440" s="298"/>
      <c r="Z440" s="298"/>
      <c r="AA440" s="298"/>
      <c r="AB440" s="298"/>
      <c r="AC440" s="298"/>
      <c r="AD440" s="298"/>
      <c r="AE440" s="298"/>
      <c r="AF440" s="298"/>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row>
    <row r="441">
      <c r="A441" s="304"/>
      <c r="B441" s="282"/>
      <c r="C441" s="298"/>
      <c r="D441" s="282"/>
      <c r="E441" s="282"/>
      <c r="F441" s="282"/>
      <c r="G441" s="282"/>
      <c r="H441" s="282"/>
      <c r="I441" s="282"/>
      <c r="J441" s="282"/>
      <c r="K441" s="282"/>
      <c r="L441" s="282"/>
      <c r="M441" s="282"/>
      <c r="N441" s="282"/>
      <c r="O441" s="282"/>
      <c r="P441" s="282"/>
      <c r="Q441" s="282"/>
      <c r="R441" s="282"/>
      <c r="S441" s="282"/>
      <c r="T441" s="282"/>
      <c r="U441" s="282"/>
      <c r="V441" s="298"/>
      <c r="W441" s="298"/>
      <c r="X441" s="298"/>
      <c r="Y441" s="298"/>
      <c r="Z441" s="298"/>
      <c r="AA441" s="298"/>
      <c r="AB441" s="298"/>
      <c r="AC441" s="298"/>
      <c r="AD441" s="298"/>
      <c r="AE441" s="298"/>
      <c r="AF441" s="298"/>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row>
    <row r="442">
      <c r="A442" s="304"/>
      <c r="B442" s="282"/>
      <c r="C442" s="298"/>
      <c r="D442" s="282"/>
      <c r="E442" s="282"/>
      <c r="F442" s="282"/>
      <c r="G442" s="282"/>
      <c r="H442" s="282"/>
      <c r="I442" s="282"/>
      <c r="J442" s="282"/>
      <c r="K442" s="282"/>
      <c r="L442" s="282"/>
      <c r="M442" s="282"/>
      <c r="N442" s="282"/>
      <c r="O442" s="282"/>
      <c r="P442" s="282"/>
      <c r="Q442" s="282"/>
      <c r="R442" s="282"/>
      <c r="S442" s="282"/>
      <c r="T442" s="282"/>
      <c r="U442" s="282"/>
      <c r="V442" s="298"/>
      <c r="W442" s="298"/>
      <c r="X442" s="298"/>
      <c r="Y442" s="298"/>
      <c r="Z442" s="298"/>
      <c r="AA442" s="298"/>
      <c r="AB442" s="298"/>
      <c r="AC442" s="298"/>
      <c r="AD442" s="298"/>
      <c r="AE442" s="298"/>
      <c r="AF442" s="298"/>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row>
    <row r="443">
      <c r="A443" s="304"/>
      <c r="B443" s="282"/>
      <c r="C443" s="298"/>
      <c r="D443" s="282"/>
      <c r="E443" s="282"/>
      <c r="F443" s="282"/>
      <c r="G443" s="282"/>
      <c r="H443" s="282"/>
      <c r="I443" s="282"/>
      <c r="J443" s="282"/>
      <c r="K443" s="282"/>
      <c r="L443" s="282"/>
      <c r="M443" s="282"/>
      <c r="N443" s="282"/>
      <c r="O443" s="282"/>
      <c r="P443" s="282"/>
      <c r="Q443" s="282"/>
      <c r="R443" s="282"/>
      <c r="S443" s="282"/>
      <c r="T443" s="282"/>
      <c r="U443" s="282"/>
      <c r="V443" s="298"/>
      <c r="W443" s="298"/>
      <c r="X443" s="298"/>
      <c r="Y443" s="298"/>
      <c r="Z443" s="298"/>
      <c r="AA443" s="298"/>
      <c r="AB443" s="298"/>
      <c r="AC443" s="298"/>
      <c r="AD443" s="298"/>
      <c r="AE443" s="298"/>
      <c r="AF443" s="298"/>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row>
    <row r="444">
      <c r="A444" s="304"/>
      <c r="B444" s="282"/>
      <c r="C444" s="298"/>
      <c r="D444" s="282"/>
      <c r="E444" s="282"/>
      <c r="F444" s="282"/>
      <c r="G444" s="282"/>
      <c r="H444" s="282"/>
      <c r="I444" s="282"/>
      <c r="J444" s="282"/>
      <c r="K444" s="282"/>
      <c r="L444" s="282"/>
      <c r="M444" s="282"/>
      <c r="N444" s="282"/>
      <c r="O444" s="282"/>
      <c r="P444" s="282"/>
      <c r="Q444" s="282"/>
      <c r="R444" s="282"/>
      <c r="S444" s="282"/>
      <c r="T444" s="282"/>
      <c r="U444" s="282"/>
      <c r="V444" s="298"/>
      <c r="W444" s="298"/>
      <c r="X444" s="298"/>
      <c r="Y444" s="298"/>
      <c r="Z444" s="298"/>
      <c r="AA444" s="298"/>
      <c r="AB444" s="298"/>
      <c r="AC444" s="298"/>
      <c r="AD444" s="298"/>
      <c r="AE444" s="298"/>
      <c r="AF444" s="298"/>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row>
    <row r="445">
      <c r="A445" s="304"/>
      <c r="B445" s="282"/>
      <c r="C445" s="298"/>
      <c r="D445" s="282"/>
      <c r="E445" s="282"/>
      <c r="F445" s="282"/>
      <c r="G445" s="282"/>
      <c r="H445" s="282"/>
      <c r="I445" s="282"/>
      <c r="J445" s="282"/>
      <c r="K445" s="282"/>
      <c r="L445" s="282"/>
      <c r="M445" s="282"/>
      <c r="N445" s="282"/>
      <c r="O445" s="282"/>
      <c r="P445" s="282"/>
      <c r="Q445" s="282"/>
      <c r="R445" s="282"/>
      <c r="S445" s="282"/>
      <c r="T445" s="282"/>
      <c r="U445" s="282"/>
      <c r="V445" s="298"/>
      <c r="W445" s="298"/>
      <c r="X445" s="298"/>
      <c r="Y445" s="298"/>
      <c r="Z445" s="298"/>
      <c r="AA445" s="298"/>
      <c r="AB445" s="298"/>
      <c r="AC445" s="298"/>
      <c r="AD445" s="298"/>
      <c r="AE445" s="298"/>
      <c r="AF445" s="298"/>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row>
    <row r="446">
      <c r="A446" s="304"/>
      <c r="B446" s="282"/>
      <c r="C446" s="298"/>
      <c r="D446" s="282"/>
      <c r="E446" s="282"/>
      <c r="F446" s="282"/>
      <c r="G446" s="282"/>
      <c r="H446" s="282"/>
      <c r="I446" s="282"/>
      <c r="J446" s="282"/>
      <c r="K446" s="282"/>
      <c r="L446" s="282"/>
      <c r="M446" s="282"/>
      <c r="N446" s="282"/>
      <c r="O446" s="282"/>
      <c r="P446" s="282"/>
      <c r="Q446" s="282"/>
      <c r="R446" s="282"/>
      <c r="S446" s="282"/>
      <c r="T446" s="282"/>
      <c r="U446" s="282"/>
      <c r="V446" s="298"/>
      <c r="W446" s="298"/>
      <c r="X446" s="298"/>
      <c r="Y446" s="298"/>
      <c r="Z446" s="298"/>
      <c r="AA446" s="298"/>
      <c r="AB446" s="298"/>
      <c r="AC446" s="298"/>
      <c r="AD446" s="298"/>
      <c r="AE446" s="298"/>
      <c r="AF446" s="298"/>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row>
    <row r="447">
      <c r="A447" s="304"/>
      <c r="B447" s="282"/>
      <c r="C447" s="298"/>
      <c r="D447" s="282"/>
      <c r="E447" s="282"/>
      <c r="F447" s="282"/>
      <c r="G447" s="282"/>
      <c r="H447" s="282"/>
      <c r="I447" s="282"/>
      <c r="J447" s="282"/>
      <c r="K447" s="282"/>
      <c r="L447" s="282"/>
      <c r="M447" s="282"/>
      <c r="N447" s="282"/>
      <c r="O447" s="282"/>
      <c r="P447" s="282"/>
      <c r="Q447" s="282"/>
      <c r="R447" s="282"/>
      <c r="S447" s="282"/>
      <c r="T447" s="282"/>
      <c r="U447" s="282"/>
      <c r="V447" s="298"/>
      <c r="W447" s="298"/>
      <c r="X447" s="298"/>
      <c r="Y447" s="298"/>
      <c r="Z447" s="298"/>
      <c r="AA447" s="298"/>
      <c r="AB447" s="298"/>
      <c r="AC447" s="298"/>
      <c r="AD447" s="298"/>
      <c r="AE447" s="298"/>
      <c r="AF447" s="298"/>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row>
    <row r="448">
      <c r="A448" s="304"/>
      <c r="B448" s="282"/>
      <c r="C448" s="298"/>
      <c r="D448" s="282"/>
      <c r="E448" s="282"/>
      <c r="F448" s="282"/>
      <c r="G448" s="282"/>
      <c r="H448" s="282"/>
      <c r="I448" s="282"/>
      <c r="J448" s="282"/>
      <c r="K448" s="282"/>
      <c r="L448" s="282"/>
      <c r="M448" s="282"/>
      <c r="N448" s="282"/>
      <c r="O448" s="282"/>
      <c r="P448" s="282"/>
      <c r="Q448" s="282"/>
      <c r="R448" s="282"/>
      <c r="S448" s="282"/>
      <c r="T448" s="282"/>
      <c r="U448" s="282"/>
      <c r="V448" s="298"/>
      <c r="W448" s="298"/>
      <c r="X448" s="298"/>
      <c r="Y448" s="298"/>
      <c r="Z448" s="298"/>
      <c r="AA448" s="298"/>
      <c r="AB448" s="298"/>
      <c r="AC448" s="298"/>
      <c r="AD448" s="298"/>
      <c r="AE448" s="298"/>
      <c r="AF448" s="298"/>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row>
    <row r="449">
      <c r="A449" s="304"/>
      <c r="B449" s="282"/>
      <c r="C449" s="298"/>
      <c r="D449" s="282"/>
      <c r="E449" s="282"/>
      <c r="F449" s="282"/>
      <c r="G449" s="282"/>
      <c r="H449" s="282"/>
      <c r="I449" s="282"/>
      <c r="J449" s="282"/>
      <c r="K449" s="282"/>
      <c r="L449" s="282"/>
      <c r="M449" s="282"/>
      <c r="N449" s="282"/>
      <c r="O449" s="282"/>
      <c r="P449" s="282"/>
      <c r="Q449" s="282"/>
      <c r="R449" s="282"/>
      <c r="S449" s="282"/>
      <c r="T449" s="282"/>
      <c r="U449" s="282"/>
      <c r="V449" s="298"/>
      <c r="W449" s="298"/>
      <c r="X449" s="298"/>
      <c r="Y449" s="298"/>
      <c r="Z449" s="298"/>
      <c r="AA449" s="298"/>
      <c r="AB449" s="298"/>
      <c r="AC449" s="298"/>
      <c r="AD449" s="298"/>
      <c r="AE449" s="298"/>
      <c r="AF449" s="298"/>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row>
    <row r="450">
      <c r="A450" s="304"/>
      <c r="B450" s="282"/>
      <c r="C450" s="298"/>
      <c r="D450" s="282"/>
      <c r="E450" s="282"/>
      <c r="F450" s="282"/>
      <c r="G450" s="282"/>
      <c r="H450" s="282"/>
      <c r="I450" s="282"/>
      <c r="J450" s="282"/>
      <c r="K450" s="282"/>
      <c r="L450" s="282"/>
      <c r="M450" s="282"/>
      <c r="N450" s="282"/>
      <c r="O450" s="282"/>
      <c r="P450" s="282"/>
      <c r="Q450" s="282"/>
      <c r="R450" s="282"/>
      <c r="S450" s="282"/>
      <c r="T450" s="282"/>
      <c r="U450" s="282"/>
      <c r="V450" s="298"/>
      <c r="W450" s="298"/>
      <c r="X450" s="298"/>
      <c r="Y450" s="298"/>
      <c r="Z450" s="298"/>
      <c r="AA450" s="298"/>
      <c r="AB450" s="298"/>
      <c r="AC450" s="298"/>
      <c r="AD450" s="298"/>
      <c r="AE450" s="298"/>
      <c r="AF450" s="298"/>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row>
    <row r="451">
      <c r="A451" s="304"/>
      <c r="B451" s="282"/>
      <c r="C451" s="298"/>
      <c r="D451" s="282"/>
      <c r="E451" s="282"/>
      <c r="F451" s="282"/>
      <c r="G451" s="282"/>
      <c r="H451" s="282"/>
      <c r="I451" s="282"/>
      <c r="J451" s="282"/>
      <c r="K451" s="282"/>
      <c r="L451" s="282"/>
      <c r="M451" s="282"/>
      <c r="N451" s="282"/>
      <c r="O451" s="282"/>
      <c r="P451" s="282"/>
      <c r="Q451" s="282"/>
      <c r="R451" s="282"/>
      <c r="S451" s="282"/>
      <c r="T451" s="282"/>
      <c r="U451" s="282"/>
      <c r="V451" s="298"/>
      <c r="W451" s="298"/>
      <c r="X451" s="298"/>
      <c r="Y451" s="298"/>
      <c r="Z451" s="298"/>
      <c r="AA451" s="298"/>
      <c r="AB451" s="298"/>
      <c r="AC451" s="298"/>
      <c r="AD451" s="298"/>
      <c r="AE451" s="298"/>
      <c r="AF451" s="298"/>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row>
    <row r="452">
      <c r="A452" s="304"/>
      <c r="B452" s="282"/>
      <c r="C452" s="298"/>
      <c r="D452" s="282"/>
      <c r="E452" s="282"/>
      <c r="F452" s="282"/>
      <c r="G452" s="282"/>
      <c r="H452" s="282"/>
      <c r="I452" s="282"/>
      <c r="J452" s="282"/>
      <c r="K452" s="282"/>
      <c r="L452" s="282"/>
      <c r="M452" s="282"/>
      <c r="N452" s="282"/>
      <c r="O452" s="282"/>
      <c r="P452" s="282"/>
      <c r="Q452" s="282"/>
      <c r="R452" s="282"/>
      <c r="S452" s="282"/>
      <c r="T452" s="282"/>
      <c r="U452" s="282"/>
      <c r="V452" s="298"/>
      <c r="W452" s="298"/>
      <c r="X452" s="298"/>
      <c r="Y452" s="298"/>
      <c r="Z452" s="298"/>
      <c r="AA452" s="298"/>
      <c r="AB452" s="298"/>
      <c r="AC452" s="298"/>
      <c r="AD452" s="298"/>
      <c r="AE452" s="298"/>
      <c r="AF452" s="298"/>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row>
    <row r="453">
      <c r="A453" s="304"/>
      <c r="B453" s="282"/>
      <c r="C453" s="298"/>
      <c r="D453" s="282"/>
      <c r="E453" s="282"/>
      <c r="F453" s="282"/>
      <c r="G453" s="282"/>
      <c r="H453" s="282"/>
      <c r="I453" s="282"/>
      <c r="J453" s="282"/>
      <c r="K453" s="282"/>
      <c r="L453" s="282"/>
      <c r="M453" s="282"/>
      <c r="N453" s="282"/>
      <c r="O453" s="282"/>
      <c r="P453" s="282"/>
      <c r="Q453" s="282"/>
      <c r="R453" s="282"/>
      <c r="S453" s="282"/>
      <c r="T453" s="282"/>
      <c r="U453" s="282"/>
      <c r="V453" s="298"/>
      <c r="W453" s="298"/>
      <c r="X453" s="298"/>
      <c r="Y453" s="298"/>
      <c r="Z453" s="298"/>
      <c r="AA453" s="298"/>
      <c r="AB453" s="298"/>
      <c r="AC453" s="298"/>
      <c r="AD453" s="298"/>
      <c r="AE453" s="298"/>
      <c r="AF453" s="298"/>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row>
    <row r="454">
      <c r="A454" s="304"/>
      <c r="B454" s="282"/>
      <c r="C454" s="298"/>
      <c r="D454" s="282"/>
      <c r="E454" s="282"/>
      <c r="F454" s="282"/>
      <c r="G454" s="282"/>
      <c r="H454" s="282"/>
      <c r="I454" s="282"/>
      <c r="J454" s="282"/>
      <c r="K454" s="282"/>
      <c r="L454" s="282"/>
      <c r="M454" s="282"/>
      <c r="N454" s="282"/>
      <c r="O454" s="282"/>
      <c r="P454" s="282"/>
      <c r="Q454" s="282"/>
      <c r="R454" s="282"/>
      <c r="S454" s="282"/>
      <c r="T454" s="282"/>
      <c r="U454" s="282"/>
      <c r="V454" s="298"/>
      <c r="W454" s="298"/>
      <c r="X454" s="298"/>
      <c r="Y454" s="298"/>
      <c r="Z454" s="298"/>
      <c r="AA454" s="298"/>
      <c r="AB454" s="298"/>
      <c r="AC454" s="298"/>
      <c r="AD454" s="298"/>
      <c r="AE454" s="298"/>
      <c r="AF454" s="298"/>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row>
    <row r="455">
      <c r="A455" s="304"/>
      <c r="B455" s="282"/>
      <c r="C455" s="298"/>
      <c r="D455" s="282"/>
      <c r="E455" s="282"/>
      <c r="F455" s="282"/>
      <c r="G455" s="282"/>
      <c r="H455" s="282"/>
      <c r="I455" s="282"/>
      <c r="J455" s="282"/>
      <c r="K455" s="282"/>
      <c r="L455" s="282"/>
      <c r="M455" s="282"/>
      <c r="N455" s="282"/>
      <c r="O455" s="282"/>
      <c r="P455" s="282"/>
      <c r="Q455" s="282"/>
      <c r="R455" s="282"/>
      <c r="S455" s="282"/>
      <c r="T455" s="282"/>
      <c r="U455" s="282"/>
      <c r="V455" s="298"/>
      <c r="W455" s="298"/>
      <c r="X455" s="298"/>
      <c r="Y455" s="298"/>
      <c r="Z455" s="298"/>
      <c r="AA455" s="298"/>
      <c r="AB455" s="298"/>
      <c r="AC455" s="298"/>
      <c r="AD455" s="298"/>
      <c r="AE455" s="298"/>
      <c r="AF455" s="298"/>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row>
    <row r="456">
      <c r="A456" s="304"/>
      <c r="B456" s="282"/>
      <c r="C456" s="298"/>
      <c r="D456" s="282"/>
      <c r="E456" s="282"/>
      <c r="F456" s="282"/>
      <c r="G456" s="282"/>
      <c r="H456" s="282"/>
      <c r="I456" s="282"/>
      <c r="J456" s="282"/>
      <c r="K456" s="282"/>
      <c r="L456" s="282"/>
      <c r="M456" s="282"/>
      <c r="N456" s="282"/>
      <c r="O456" s="282"/>
      <c r="P456" s="282"/>
      <c r="Q456" s="282"/>
      <c r="R456" s="282"/>
      <c r="S456" s="282"/>
      <c r="T456" s="282"/>
      <c r="U456" s="282"/>
      <c r="V456" s="298"/>
      <c r="W456" s="298"/>
      <c r="X456" s="298"/>
      <c r="Y456" s="298"/>
      <c r="Z456" s="298"/>
      <c r="AA456" s="298"/>
      <c r="AB456" s="298"/>
      <c r="AC456" s="298"/>
      <c r="AD456" s="298"/>
      <c r="AE456" s="298"/>
      <c r="AF456" s="298"/>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row>
    <row r="457">
      <c r="A457" s="304"/>
      <c r="B457" s="282"/>
      <c r="C457" s="298"/>
      <c r="D457" s="282"/>
      <c r="E457" s="282"/>
      <c r="F457" s="282"/>
      <c r="G457" s="282"/>
      <c r="H457" s="282"/>
      <c r="I457" s="282"/>
      <c r="J457" s="282"/>
      <c r="K457" s="282"/>
      <c r="L457" s="282"/>
      <c r="M457" s="282"/>
      <c r="N457" s="282"/>
      <c r="O457" s="282"/>
      <c r="P457" s="282"/>
      <c r="Q457" s="282"/>
      <c r="R457" s="282"/>
      <c r="S457" s="282"/>
      <c r="T457" s="282"/>
      <c r="U457" s="282"/>
      <c r="V457" s="298"/>
      <c r="W457" s="298"/>
      <c r="X457" s="298"/>
      <c r="Y457" s="298"/>
      <c r="Z457" s="298"/>
      <c r="AA457" s="298"/>
      <c r="AB457" s="298"/>
      <c r="AC457" s="298"/>
      <c r="AD457" s="298"/>
      <c r="AE457" s="298"/>
      <c r="AF457" s="298"/>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row>
    <row r="458">
      <c r="A458" s="304"/>
      <c r="B458" s="282"/>
      <c r="C458" s="298"/>
      <c r="D458" s="282"/>
      <c r="E458" s="282"/>
      <c r="F458" s="282"/>
      <c r="G458" s="282"/>
      <c r="H458" s="282"/>
      <c r="I458" s="282"/>
      <c r="J458" s="282"/>
      <c r="K458" s="282"/>
      <c r="L458" s="282"/>
      <c r="M458" s="282"/>
      <c r="N458" s="282"/>
      <c r="O458" s="282"/>
      <c r="P458" s="282"/>
      <c r="Q458" s="282"/>
      <c r="R458" s="282"/>
      <c r="S458" s="282"/>
      <c r="T458" s="282"/>
      <c r="U458" s="282"/>
      <c r="V458" s="298"/>
      <c r="W458" s="298"/>
      <c r="X458" s="298"/>
      <c r="Y458" s="298"/>
      <c r="Z458" s="298"/>
      <c r="AA458" s="298"/>
      <c r="AB458" s="298"/>
      <c r="AC458" s="298"/>
      <c r="AD458" s="298"/>
      <c r="AE458" s="298"/>
      <c r="AF458" s="298"/>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row>
    <row r="459">
      <c r="A459" s="304"/>
      <c r="B459" s="282"/>
      <c r="C459" s="298"/>
      <c r="D459" s="282"/>
      <c r="E459" s="282"/>
      <c r="F459" s="282"/>
      <c r="G459" s="282"/>
      <c r="H459" s="282"/>
      <c r="I459" s="282"/>
      <c r="J459" s="282"/>
      <c r="K459" s="282"/>
      <c r="L459" s="282"/>
      <c r="M459" s="282"/>
      <c r="N459" s="282"/>
      <c r="O459" s="282"/>
      <c r="P459" s="282"/>
      <c r="Q459" s="282"/>
      <c r="R459" s="282"/>
      <c r="S459" s="282"/>
      <c r="T459" s="282"/>
      <c r="U459" s="282"/>
      <c r="V459" s="298"/>
      <c r="W459" s="298"/>
      <c r="X459" s="298"/>
      <c r="Y459" s="298"/>
      <c r="Z459" s="298"/>
      <c r="AA459" s="298"/>
      <c r="AB459" s="298"/>
      <c r="AC459" s="298"/>
      <c r="AD459" s="298"/>
      <c r="AE459" s="298"/>
      <c r="AF459" s="298"/>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row>
    <row r="460">
      <c r="A460" s="304"/>
      <c r="B460" s="282"/>
      <c r="C460" s="298"/>
      <c r="D460" s="282"/>
      <c r="E460" s="282"/>
      <c r="F460" s="282"/>
      <c r="G460" s="282"/>
      <c r="H460" s="282"/>
      <c r="I460" s="282"/>
      <c r="J460" s="282"/>
      <c r="K460" s="282"/>
      <c r="L460" s="282"/>
      <c r="M460" s="282"/>
      <c r="N460" s="282"/>
      <c r="O460" s="282"/>
      <c r="P460" s="282"/>
      <c r="Q460" s="282"/>
      <c r="R460" s="282"/>
      <c r="S460" s="282"/>
      <c r="T460" s="282"/>
      <c r="U460" s="282"/>
      <c r="V460" s="298"/>
      <c r="W460" s="298"/>
      <c r="X460" s="298"/>
      <c r="Y460" s="298"/>
      <c r="Z460" s="298"/>
      <c r="AA460" s="298"/>
      <c r="AB460" s="298"/>
      <c r="AC460" s="298"/>
      <c r="AD460" s="298"/>
      <c r="AE460" s="298"/>
      <c r="AF460" s="298"/>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row>
    <row r="461">
      <c r="A461" s="304"/>
      <c r="B461" s="282"/>
      <c r="C461" s="298"/>
      <c r="D461" s="282"/>
      <c r="E461" s="282"/>
      <c r="F461" s="282"/>
      <c r="G461" s="282"/>
      <c r="H461" s="282"/>
      <c r="I461" s="282"/>
      <c r="J461" s="282"/>
      <c r="K461" s="282"/>
      <c r="L461" s="282"/>
      <c r="M461" s="282"/>
      <c r="N461" s="282"/>
      <c r="O461" s="282"/>
      <c r="P461" s="282"/>
      <c r="Q461" s="282"/>
      <c r="R461" s="282"/>
      <c r="S461" s="282"/>
      <c r="T461" s="282"/>
      <c r="U461" s="282"/>
      <c r="V461" s="298"/>
      <c r="W461" s="298"/>
      <c r="X461" s="298"/>
      <c r="Y461" s="298"/>
      <c r="Z461" s="298"/>
      <c r="AA461" s="298"/>
      <c r="AB461" s="298"/>
      <c r="AC461" s="298"/>
      <c r="AD461" s="298"/>
      <c r="AE461" s="298"/>
      <c r="AF461" s="298"/>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row>
    <row r="462">
      <c r="A462" s="304"/>
      <c r="B462" s="282"/>
      <c r="C462" s="298"/>
      <c r="D462" s="282"/>
      <c r="E462" s="282"/>
      <c r="F462" s="282"/>
      <c r="G462" s="282"/>
      <c r="H462" s="282"/>
      <c r="I462" s="282"/>
      <c r="J462" s="282"/>
      <c r="K462" s="282"/>
      <c r="L462" s="282"/>
      <c r="M462" s="282"/>
      <c r="N462" s="282"/>
      <c r="O462" s="282"/>
      <c r="P462" s="282"/>
      <c r="Q462" s="282"/>
      <c r="R462" s="282"/>
      <c r="S462" s="282"/>
      <c r="T462" s="282"/>
      <c r="U462" s="282"/>
      <c r="V462" s="298"/>
      <c r="W462" s="298"/>
      <c r="X462" s="298"/>
      <c r="Y462" s="298"/>
      <c r="Z462" s="298"/>
      <c r="AA462" s="298"/>
      <c r="AB462" s="298"/>
      <c r="AC462" s="298"/>
      <c r="AD462" s="298"/>
      <c r="AE462" s="298"/>
      <c r="AF462" s="298"/>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row>
    <row r="463">
      <c r="A463" s="304"/>
      <c r="B463" s="282"/>
      <c r="C463" s="298"/>
      <c r="D463" s="282"/>
      <c r="E463" s="282"/>
      <c r="F463" s="282"/>
      <c r="G463" s="282"/>
      <c r="H463" s="282"/>
      <c r="I463" s="282"/>
      <c r="J463" s="282"/>
      <c r="K463" s="282"/>
      <c r="L463" s="282"/>
      <c r="M463" s="282"/>
      <c r="N463" s="282"/>
      <c r="O463" s="282"/>
      <c r="P463" s="282"/>
      <c r="Q463" s="282"/>
      <c r="R463" s="282"/>
      <c r="S463" s="282"/>
      <c r="T463" s="282"/>
      <c r="U463" s="282"/>
      <c r="V463" s="298"/>
      <c r="W463" s="298"/>
      <c r="X463" s="298"/>
      <c r="Y463" s="298"/>
      <c r="Z463" s="298"/>
      <c r="AA463" s="298"/>
      <c r="AB463" s="298"/>
      <c r="AC463" s="298"/>
      <c r="AD463" s="298"/>
      <c r="AE463" s="298"/>
      <c r="AF463" s="298"/>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row>
    <row r="464">
      <c r="A464" s="304"/>
      <c r="B464" s="282"/>
      <c r="C464" s="298"/>
      <c r="D464" s="282"/>
      <c r="E464" s="282"/>
      <c r="F464" s="282"/>
      <c r="G464" s="282"/>
      <c r="H464" s="282"/>
      <c r="I464" s="282"/>
      <c r="J464" s="282"/>
      <c r="K464" s="282"/>
      <c r="L464" s="282"/>
      <c r="M464" s="282"/>
      <c r="N464" s="282"/>
      <c r="O464" s="282"/>
      <c r="P464" s="282"/>
      <c r="Q464" s="282"/>
      <c r="R464" s="282"/>
      <c r="S464" s="282"/>
      <c r="T464" s="282"/>
      <c r="U464" s="282"/>
      <c r="V464" s="298"/>
      <c r="W464" s="298"/>
      <c r="X464" s="298"/>
      <c r="Y464" s="298"/>
      <c r="Z464" s="298"/>
      <c r="AA464" s="298"/>
      <c r="AB464" s="298"/>
      <c r="AC464" s="298"/>
      <c r="AD464" s="298"/>
      <c r="AE464" s="298"/>
      <c r="AF464" s="298"/>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row>
    <row r="465">
      <c r="A465" s="304"/>
      <c r="B465" s="282"/>
      <c r="C465" s="298"/>
      <c r="D465" s="282"/>
      <c r="E465" s="282"/>
      <c r="F465" s="282"/>
      <c r="G465" s="282"/>
      <c r="H465" s="282"/>
      <c r="I465" s="282"/>
      <c r="J465" s="282"/>
      <c r="K465" s="282"/>
      <c r="L465" s="282"/>
      <c r="M465" s="282"/>
      <c r="N465" s="282"/>
      <c r="O465" s="282"/>
      <c r="P465" s="282"/>
      <c r="Q465" s="282"/>
      <c r="R465" s="282"/>
      <c r="S465" s="282"/>
      <c r="T465" s="282"/>
      <c r="U465" s="282"/>
      <c r="V465" s="298"/>
      <c r="W465" s="298"/>
      <c r="X465" s="298"/>
      <c r="Y465" s="298"/>
      <c r="Z465" s="298"/>
      <c r="AA465" s="298"/>
      <c r="AB465" s="298"/>
      <c r="AC465" s="298"/>
      <c r="AD465" s="298"/>
      <c r="AE465" s="298"/>
      <c r="AF465" s="298"/>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row>
    <row r="466">
      <c r="A466" s="304"/>
      <c r="B466" s="282"/>
      <c r="C466" s="298"/>
      <c r="D466" s="282"/>
      <c r="E466" s="282"/>
      <c r="F466" s="282"/>
      <c r="G466" s="282"/>
      <c r="H466" s="282"/>
      <c r="I466" s="282"/>
      <c r="J466" s="282"/>
      <c r="K466" s="282"/>
      <c r="L466" s="282"/>
      <c r="M466" s="282"/>
      <c r="N466" s="282"/>
      <c r="O466" s="282"/>
      <c r="P466" s="282"/>
      <c r="Q466" s="282"/>
      <c r="R466" s="282"/>
      <c r="S466" s="282"/>
      <c r="T466" s="282"/>
      <c r="U466" s="282"/>
      <c r="V466" s="298"/>
      <c r="W466" s="298"/>
      <c r="X466" s="298"/>
      <c r="Y466" s="298"/>
      <c r="Z466" s="298"/>
      <c r="AA466" s="298"/>
      <c r="AB466" s="298"/>
      <c r="AC466" s="298"/>
      <c r="AD466" s="298"/>
      <c r="AE466" s="298"/>
      <c r="AF466" s="298"/>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row>
    <row r="467">
      <c r="A467" s="304"/>
      <c r="B467" s="282"/>
      <c r="C467" s="298"/>
      <c r="D467" s="282"/>
      <c r="E467" s="282"/>
      <c r="F467" s="282"/>
      <c r="G467" s="282"/>
      <c r="H467" s="282"/>
      <c r="I467" s="282"/>
      <c r="J467" s="282"/>
      <c r="K467" s="282"/>
      <c r="L467" s="282"/>
      <c r="M467" s="282"/>
      <c r="N467" s="282"/>
      <c r="O467" s="282"/>
      <c r="P467" s="282"/>
      <c r="Q467" s="282"/>
      <c r="R467" s="282"/>
      <c r="S467" s="282"/>
      <c r="T467" s="282"/>
      <c r="U467" s="282"/>
      <c r="V467" s="298"/>
      <c r="W467" s="298"/>
      <c r="X467" s="298"/>
      <c r="Y467" s="298"/>
      <c r="Z467" s="298"/>
      <c r="AA467" s="298"/>
      <c r="AB467" s="298"/>
      <c r="AC467" s="298"/>
      <c r="AD467" s="298"/>
      <c r="AE467" s="298"/>
      <c r="AF467" s="298"/>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row>
    <row r="468">
      <c r="A468" s="304"/>
      <c r="B468" s="282"/>
      <c r="C468" s="298"/>
      <c r="D468" s="282"/>
      <c r="E468" s="282"/>
      <c r="F468" s="282"/>
      <c r="G468" s="282"/>
      <c r="H468" s="282"/>
      <c r="I468" s="282"/>
      <c r="J468" s="282"/>
      <c r="K468" s="282"/>
      <c r="L468" s="282"/>
      <c r="M468" s="282"/>
      <c r="N468" s="282"/>
      <c r="O468" s="282"/>
      <c r="P468" s="282"/>
      <c r="Q468" s="282"/>
      <c r="R468" s="282"/>
      <c r="S468" s="282"/>
      <c r="T468" s="282"/>
      <c r="U468" s="282"/>
      <c r="V468" s="298"/>
      <c r="W468" s="298"/>
      <c r="X468" s="298"/>
      <c r="Y468" s="298"/>
      <c r="Z468" s="298"/>
      <c r="AA468" s="298"/>
      <c r="AB468" s="298"/>
      <c r="AC468" s="298"/>
      <c r="AD468" s="298"/>
      <c r="AE468" s="298"/>
      <c r="AF468" s="298"/>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row>
    <row r="469">
      <c r="A469" s="304"/>
      <c r="B469" s="282"/>
      <c r="C469" s="298"/>
      <c r="D469" s="282"/>
      <c r="E469" s="282"/>
      <c r="F469" s="282"/>
      <c r="G469" s="282"/>
      <c r="H469" s="282"/>
      <c r="I469" s="282"/>
      <c r="J469" s="282"/>
      <c r="K469" s="282"/>
      <c r="L469" s="282"/>
      <c r="M469" s="282"/>
      <c r="N469" s="282"/>
      <c r="O469" s="282"/>
      <c r="P469" s="282"/>
      <c r="Q469" s="282"/>
      <c r="R469" s="282"/>
      <c r="S469" s="282"/>
      <c r="T469" s="282"/>
      <c r="U469" s="282"/>
      <c r="V469" s="298"/>
      <c r="W469" s="298"/>
      <c r="X469" s="298"/>
      <c r="Y469" s="298"/>
      <c r="Z469" s="298"/>
      <c r="AA469" s="298"/>
      <c r="AB469" s="298"/>
      <c r="AC469" s="298"/>
      <c r="AD469" s="298"/>
      <c r="AE469" s="298"/>
      <c r="AF469" s="298"/>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row>
    <row r="470">
      <c r="A470" s="304"/>
      <c r="B470" s="282"/>
      <c r="C470" s="298"/>
      <c r="D470" s="282"/>
      <c r="E470" s="282"/>
      <c r="F470" s="282"/>
      <c r="G470" s="282"/>
      <c r="H470" s="282"/>
      <c r="I470" s="282"/>
      <c r="J470" s="282"/>
      <c r="K470" s="282"/>
      <c r="L470" s="282"/>
      <c r="M470" s="282"/>
      <c r="N470" s="282"/>
      <c r="O470" s="282"/>
      <c r="P470" s="282"/>
      <c r="Q470" s="282"/>
      <c r="R470" s="282"/>
      <c r="S470" s="282"/>
      <c r="T470" s="282"/>
      <c r="U470" s="282"/>
      <c r="V470" s="298"/>
      <c r="W470" s="298"/>
      <c r="X470" s="298"/>
      <c r="Y470" s="298"/>
      <c r="Z470" s="298"/>
      <c r="AA470" s="298"/>
      <c r="AB470" s="298"/>
      <c r="AC470" s="298"/>
      <c r="AD470" s="298"/>
      <c r="AE470" s="298"/>
      <c r="AF470" s="298"/>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row>
    <row r="471">
      <c r="A471" s="304"/>
      <c r="B471" s="282"/>
      <c r="C471" s="298"/>
      <c r="D471" s="282"/>
      <c r="E471" s="282"/>
      <c r="F471" s="282"/>
      <c r="G471" s="282"/>
      <c r="H471" s="282"/>
      <c r="I471" s="282"/>
      <c r="J471" s="282"/>
      <c r="K471" s="282"/>
      <c r="L471" s="282"/>
      <c r="M471" s="282"/>
      <c r="N471" s="282"/>
      <c r="O471" s="282"/>
      <c r="P471" s="282"/>
      <c r="Q471" s="282"/>
      <c r="R471" s="282"/>
      <c r="S471" s="282"/>
      <c r="T471" s="282"/>
      <c r="U471" s="282"/>
      <c r="V471" s="298"/>
      <c r="W471" s="298"/>
      <c r="X471" s="298"/>
      <c r="Y471" s="298"/>
      <c r="Z471" s="298"/>
      <c r="AA471" s="298"/>
      <c r="AB471" s="298"/>
      <c r="AC471" s="298"/>
      <c r="AD471" s="298"/>
      <c r="AE471" s="298"/>
      <c r="AF471" s="298"/>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row>
    <row r="472">
      <c r="A472" s="304"/>
      <c r="B472" s="282"/>
      <c r="C472" s="298"/>
      <c r="D472" s="282"/>
      <c r="E472" s="282"/>
      <c r="F472" s="282"/>
      <c r="G472" s="282"/>
      <c r="H472" s="282"/>
      <c r="I472" s="282"/>
      <c r="J472" s="282"/>
      <c r="K472" s="282"/>
      <c r="L472" s="282"/>
      <c r="M472" s="282"/>
      <c r="N472" s="282"/>
      <c r="O472" s="282"/>
      <c r="P472" s="282"/>
      <c r="Q472" s="282"/>
      <c r="R472" s="282"/>
      <c r="S472" s="282"/>
      <c r="T472" s="282"/>
      <c r="U472" s="282"/>
      <c r="V472" s="298"/>
      <c r="W472" s="298"/>
      <c r="X472" s="298"/>
      <c r="Y472" s="298"/>
      <c r="Z472" s="298"/>
      <c r="AA472" s="298"/>
      <c r="AB472" s="298"/>
      <c r="AC472" s="298"/>
      <c r="AD472" s="298"/>
      <c r="AE472" s="298"/>
      <c r="AF472" s="298"/>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row>
    <row r="473">
      <c r="A473" s="304"/>
      <c r="B473" s="282"/>
      <c r="C473" s="298"/>
      <c r="D473" s="282"/>
      <c r="E473" s="282"/>
      <c r="F473" s="282"/>
      <c r="G473" s="282"/>
      <c r="H473" s="282"/>
      <c r="I473" s="282"/>
      <c r="J473" s="282"/>
      <c r="K473" s="282"/>
      <c r="L473" s="282"/>
      <c r="M473" s="282"/>
      <c r="N473" s="282"/>
      <c r="O473" s="282"/>
      <c r="P473" s="282"/>
      <c r="Q473" s="282"/>
      <c r="R473" s="282"/>
      <c r="S473" s="282"/>
      <c r="T473" s="282"/>
      <c r="U473" s="282"/>
      <c r="V473" s="298"/>
      <c r="W473" s="298"/>
      <c r="X473" s="298"/>
      <c r="Y473" s="298"/>
      <c r="Z473" s="298"/>
      <c r="AA473" s="298"/>
      <c r="AB473" s="298"/>
      <c r="AC473" s="298"/>
      <c r="AD473" s="298"/>
      <c r="AE473" s="298"/>
      <c r="AF473" s="298"/>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row>
    <row r="474">
      <c r="A474" s="304"/>
      <c r="B474" s="282"/>
      <c r="C474" s="298"/>
      <c r="D474" s="282"/>
      <c r="E474" s="282"/>
      <c r="F474" s="282"/>
      <c r="G474" s="282"/>
      <c r="H474" s="282"/>
      <c r="I474" s="282"/>
      <c r="J474" s="282"/>
      <c r="K474" s="282"/>
      <c r="L474" s="282"/>
      <c r="M474" s="282"/>
      <c r="N474" s="282"/>
      <c r="O474" s="282"/>
      <c r="P474" s="282"/>
      <c r="Q474" s="282"/>
      <c r="R474" s="282"/>
      <c r="S474" s="282"/>
      <c r="T474" s="282"/>
      <c r="U474" s="282"/>
      <c r="V474" s="298"/>
      <c r="W474" s="298"/>
      <c r="X474" s="298"/>
      <c r="Y474" s="298"/>
      <c r="Z474" s="298"/>
      <c r="AA474" s="298"/>
      <c r="AB474" s="298"/>
      <c r="AC474" s="298"/>
      <c r="AD474" s="298"/>
      <c r="AE474" s="298"/>
      <c r="AF474" s="298"/>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row>
    <row r="475">
      <c r="A475" s="304"/>
      <c r="B475" s="282"/>
      <c r="C475" s="298"/>
      <c r="D475" s="282"/>
      <c r="E475" s="282"/>
      <c r="F475" s="282"/>
      <c r="G475" s="282"/>
      <c r="H475" s="282"/>
      <c r="I475" s="282"/>
      <c r="J475" s="282"/>
      <c r="K475" s="282"/>
      <c r="L475" s="282"/>
      <c r="M475" s="282"/>
      <c r="N475" s="282"/>
      <c r="O475" s="282"/>
      <c r="P475" s="282"/>
      <c r="Q475" s="282"/>
      <c r="R475" s="282"/>
      <c r="S475" s="282"/>
      <c r="T475" s="282"/>
      <c r="U475" s="282"/>
      <c r="V475" s="298"/>
      <c r="W475" s="298"/>
      <c r="X475" s="298"/>
      <c r="Y475" s="298"/>
      <c r="Z475" s="298"/>
      <c r="AA475" s="298"/>
      <c r="AB475" s="298"/>
      <c r="AC475" s="298"/>
      <c r="AD475" s="298"/>
      <c r="AE475" s="298"/>
      <c r="AF475" s="298"/>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row>
    <row r="476">
      <c r="A476" s="304"/>
      <c r="B476" s="282"/>
      <c r="C476" s="298"/>
      <c r="D476" s="282"/>
      <c r="E476" s="282"/>
      <c r="F476" s="282"/>
      <c r="G476" s="282"/>
      <c r="H476" s="282"/>
      <c r="I476" s="282"/>
      <c r="J476" s="282"/>
      <c r="K476" s="282"/>
      <c r="L476" s="282"/>
      <c r="M476" s="282"/>
      <c r="N476" s="282"/>
      <c r="O476" s="282"/>
      <c r="P476" s="282"/>
      <c r="Q476" s="282"/>
      <c r="R476" s="282"/>
      <c r="S476" s="282"/>
      <c r="T476" s="282"/>
      <c r="U476" s="282"/>
      <c r="V476" s="298"/>
      <c r="W476" s="298"/>
      <c r="X476" s="298"/>
      <c r="Y476" s="298"/>
      <c r="Z476" s="298"/>
      <c r="AA476" s="298"/>
      <c r="AB476" s="298"/>
      <c r="AC476" s="298"/>
      <c r="AD476" s="298"/>
      <c r="AE476" s="298"/>
      <c r="AF476" s="298"/>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row>
    <row r="477">
      <c r="A477" s="304"/>
      <c r="B477" s="282"/>
      <c r="C477" s="298"/>
      <c r="D477" s="282"/>
      <c r="E477" s="282"/>
      <c r="F477" s="282"/>
      <c r="G477" s="282"/>
      <c r="H477" s="282"/>
      <c r="I477" s="282"/>
      <c r="J477" s="282"/>
      <c r="K477" s="282"/>
      <c r="L477" s="282"/>
      <c r="M477" s="282"/>
      <c r="N477" s="282"/>
      <c r="O477" s="282"/>
      <c r="P477" s="282"/>
      <c r="Q477" s="282"/>
      <c r="R477" s="282"/>
      <c r="S477" s="282"/>
      <c r="T477" s="282"/>
      <c r="U477" s="282"/>
      <c r="V477" s="298"/>
      <c r="W477" s="298"/>
      <c r="X477" s="298"/>
      <c r="Y477" s="298"/>
      <c r="Z477" s="298"/>
      <c r="AA477" s="298"/>
      <c r="AB477" s="298"/>
      <c r="AC477" s="298"/>
      <c r="AD477" s="298"/>
      <c r="AE477" s="298"/>
      <c r="AF477" s="298"/>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row>
    <row r="478">
      <c r="A478" s="304"/>
      <c r="B478" s="282"/>
      <c r="C478" s="298"/>
      <c r="D478" s="282"/>
      <c r="E478" s="282"/>
      <c r="F478" s="282"/>
      <c r="G478" s="282"/>
      <c r="H478" s="282"/>
      <c r="I478" s="282"/>
      <c r="J478" s="282"/>
      <c r="K478" s="282"/>
      <c r="L478" s="282"/>
      <c r="M478" s="282"/>
      <c r="N478" s="282"/>
      <c r="O478" s="282"/>
      <c r="P478" s="282"/>
      <c r="Q478" s="282"/>
      <c r="R478" s="282"/>
      <c r="S478" s="282"/>
      <c r="T478" s="282"/>
      <c r="U478" s="282"/>
      <c r="V478" s="298"/>
      <c r="W478" s="298"/>
      <c r="X478" s="298"/>
      <c r="Y478" s="298"/>
      <c r="Z478" s="298"/>
      <c r="AA478" s="298"/>
      <c r="AB478" s="298"/>
      <c r="AC478" s="298"/>
      <c r="AD478" s="298"/>
      <c r="AE478" s="298"/>
      <c r="AF478" s="298"/>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row>
    <row r="479">
      <c r="A479" s="304"/>
      <c r="B479" s="282"/>
      <c r="C479" s="298"/>
      <c r="D479" s="282"/>
      <c r="E479" s="282"/>
      <c r="F479" s="282"/>
      <c r="G479" s="282"/>
      <c r="H479" s="282"/>
      <c r="I479" s="282"/>
      <c r="J479" s="282"/>
      <c r="K479" s="282"/>
      <c r="L479" s="282"/>
      <c r="M479" s="282"/>
      <c r="N479" s="282"/>
      <c r="O479" s="282"/>
      <c r="P479" s="282"/>
      <c r="Q479" s="282"/>
      <c r="R479" s="282"/>
      <c r="S479" s="282"/>
      <c r="T479" s="282"/>
      <c r="U479" s="282"/>
      <c r="V479" s="298"/>
      <c r="W479" s="298"/>
      <c r="X479" s="298"/>
      <c r="Y479" s="298"/>
      <c r="Z479" s="298"/>
      <c r="AA479" s="298"/>
      <c r="AB479" s="298"/>
      <c r="AC479" s="298"/>
      <c r="AD479" s="298"/>
      <c r="AE479" s="298"/>
      <c r="AF479" s="298"/>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row>
    <row r="480">
      <c r="A480" s="304"/>
      <c r="B480" s="282"/>
      <c r="C480" s="298"/>
      <c r="D480" s="282"/>
      <c r="E480" s="282"/>
      <c r="F480" s="282"/>
      <c r="G480" s="282"/>
      <c r="H480" s="282"/>
      <c r="I480" s="282"/>
      <c r="J480" s="282"/>
      <c r="K480" s="282"/>
      <c r="L480" s="282"/>
      <c r="M480" s="282"/>
      <c r="N480" s="282"/>
      <c r="O480" s="282"/>
      <c r="P480" s="282"/>
      <c r="Q480" s="282"/>
      <c r="R480" s="282"/>
      <c r="S480" s="282"/>
      <c r="T480" s="282"/>
      <c r="U480" s="282"/>
      <c r="V480" s="298"/>
      <c r="W480" s="298"/>
      <c r="X480" s="298"/>
      <c r="Y480" s="298"/>
      <c r="Z480" s="298"/>
      <c r="AA480" s="298"/>
      <c r="AB480" s="298"/>
      <c r="AC480" s="298"/>
      <c r="AD480" s="298"/>
      <c r="AE480" s="298"/>
      <c r="AF480" s="298"/>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row>
    <row r="481">
      <c r="A481" s="304"/>
      <c r="B481" s="282"/>
      <c r="C481" s="298"/>
      <c r="D481" s="282"/>
      <c r="E481" s="282"/>
      <c r="F481" s="282"/>
      <c r="G481" s="282"/>
      <c r="H481" s="282"/>
      <c r="I481" s="282"/>
      <c r="J481" s="282"/>
      <c r="K481" s="282"/>
      <c r="L481" s="282"/>
      <c r="M481" s="282"/>
      <c r="N481" s="282"/>
      <c r="O481" s="282"/>
      <c r="P481" s="282"/>
      <c r="Q481" s="282"/>
      <c r="R481" s="282"/>
      <c r="S481" s="282"/>
      <c r="T481" s="282"/>
      <c r="U481" s="282"/>
      <c r="V481" s="298"/>
      <c r="W481" s="298"/>
      <c r="X481" s="298"/>
      <c r="Y481" s="298"/>
      <c r="Z481" s="298"/>
      <c r="AA481" s="298"/>
      <c r="AB481" s="298"/>
      <c r="AC481" s="298"/>
      <c r="AD481" s="298"/>
      <c r="AE481" s="298"/>
      <c r="AF481" s="298"/>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row>
    <row r="482">
      <c r="A482" s="304"/>
      <c r="B482" s="282"/>
      <c r="C482" s="298"/>
      <c r="D482" s="282"/>
      <c r="E482" s="282"/>
      <c r="F482" s="282"/>
      <c r="G482" s="282"/>
      <c r="H482" s="282"/>
      <c r="I482" s="282"/>
      <c r="J482" s="282"/>
      <c r="K482" s="282"/>
      <c r="L482" s="282"/>
      <c r="M482" s="282"/>
      <c r="N482" s="282"/>
      <c r="O482" s="282"/>
      <c r="P482" s="282"/>
      <c r="Q482" s="282"/>
      <c r="R482" s="282"/>
      <c r="S482" s="282"/>
      <c r="T482" s="282"/>
      <c r="U482" s="282"/>
      <c r="V482" s="298"/>
      <c r="W482" s="298"/>
      <c r="X482" s="298"/>
      <c r="Y482" s="298"/>
      <c r="Z482" s="298"/>
      <c r="AA482" s="298"/>
      <c r="AB482" s="298"/>
      <c r="AC482" s="298"/>
      <c r="AD482" s="298"/>
      <c r="AE482" s="298"/>
      <c r="AF482" s="298"/>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row>
    <row r="483">
      <c r="A483" s="304"/>
      <c r="B483" s="282"/>
      <c r="C483" s="298"/>
      <c r="D483" s="282"/>
      <c r="E483" s="282"/>
      <c r="F483" s="282"/>
      <c r="G483" s="282"/>
      <c r="H483" s="282"/>
      <c r="I483" s="282"/>
      <c r="J483" s="282"/>
      <c r="K483" s="282"/>
      <c r="L483" s="282"/>
      <c r="M483" s="282"/>
      <c r="N483" s="282"/>
      <c r="O483" s="282"/>
      <c r="P483" s="282"/>
      <c r="Q483" s="282"/>
      <c r="R483" s="282"/>
      <c r="S483" s="282"/>
      <c r="T483" s="282"/>
      <c r="U483" s="282"/>
      <c r="V483" s="298"/>
      <c r="W483" s="298"/>
      <c r="X483" s="298"/>
      <c r="Y483" s="298"/>
      <c r="Z483" s="298"/>
      <c r="AA483" s="298"/>
      <c r="AB483" s="298"/>
      <c r="AC483" s="298"/>
      <c r="AD483" s="298"/>
      <c r="AE483" s="298"/>
      <c r="AF483" s="298"/>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row>
    <row r="484">
      <c r="A484" s="304"/>
      <c r="B484" s="282"/>
      <c r="C484" s="298"/>
      <c r="D484" s="282"/>
      <c r="E484" s="282"/>
      <c r="F484" s="282"/>
      <c r="G484" s="282"/>
      <c r="H484" s="282"/>
      <c r="I484" s="282"/>
      <c r="J484" s="282"/>
      <c r="K484" s="282"/>
      <c r="L484" s="282"/>
      <c r="M484" s="282"/>
      <c r="N484" s="282"/>
      <c r="O484" s="282"/>
      <c r="P484" s="282"/>
      <c r="Q484" s="282"/>
      <c r="R484" s="282"/>
      <c r="S484" s="282"/>
      <c r="T484" s="282"/>
      <c r="U484" s="282"/>
      <c r="V484" s="298"/>
      <c r="W484" s="298"/>
      <c r="X484" s="298"/>
      <c r="Y484" s="298"/>
      <c r="Z484" s="298"/>
      <c r="AA484" s="298"/>
      <c r="AB484" s="298"/>
      <c r="AC484" s="298"/>
      <c r="AD484" s="298"/>
      <c r="AE484" s="298"/>
      <c r="AF484" s="298"/>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row>
    <row r="485">
      <c r="A485" s="304"/>
      <c r="B485" s="282"/>
      <c r="C485" s="298"/>
      <c r="D485" s="282"/>
      <c r="E485" s="282"/>
      <c r="F485" s="282"/>
      <c r="G485" s="282"/>
      <c r="H485" s="282"/>
      <c r="I485" s="282"/>
      <c r="J485" s="282"/>
      <c r="K485" s="282"/>
      <c r="L485" s="282"/>
      <c r="M485" s="282"/>
      <c r="N485" s="282"/>
      <c r="O485" s="282"/>
      <c r="P485" s="282"/>
      <c r="Q485" s="282"/>
      <c r="R485" s="282"/>
      <c r="S485" s="282"/>
      <c r="T485" s="282"/>
      <c r="U485" s="282"/>
      <c r="V485" s="298"/>
      <c r="W485" s="298"/>
      <c r="X485" s="298"/>
      <c r="Y485" s="298"/>
      <c r="Z485" s="298"/>
      <c r="AA485" s="298"/>
      <c r="AB485" s="298"/>
      <c r="AC485" s="298"/>
      <c r="AD485" s="298"/>
      <c r="AE485" s="298"/>
      <c r="AF485" s="298"/>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row>
    <row r="486">
      <c r="A486" s="304"/>
      <c r="B486" s="282"/>
      <c r="C486" s="298"/>
      <c r="D486" s="282"/>
      <c r="E486" s="282"/>
      <c r="F486" s="282"/>
      <c r="G486" s="282"/>
      <c r="H486" s="282"/>
      <c r="I486" s="282"/>
      <c r="J486" s="282"/>
      <c r="K486" s="282"/>
      <c r="L486" s="282"/>
      <c r="M486" s="282"/>
      <c r="N486" s="282"/>
      <c r="O486" s="282"/>
      <c r="P486" s="282"/>
      <c r="Q486" s="282"/>
      <c r="R486" s="282"/>
      <c r="S486" s="282"/>
      <c r="T486" s="282"/>
      <c r="U486" s="282"/>
      <c r="V486" s="298"/>
      <c r="W486" s="298"/>
      <c r="X486" s="298"/>
      <c r="Y486" s="298"/>
      <c r="Z486" s="298"/>
      <c r="AA486" s="298"/>
      <c r="AB486" s="298"/>
      <c r="AC486" s="298"/>
      <c r="AD486" s="298"/>
      <c r="AE486" s="298"/>
      <c r="AF486" s="298"/>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row>
    <row r="487">
      <c r="A487" s="304"/>
      <c r="B487" s="282"/>
      <c r="C487" s="298"/>
      <c r="D487" s="282"/>
      <c r="E487" s="282"/>
      <c r="F487" s="282"/>
      <c r="G487" s="282"/>
      <c r="H487" s="282"/>
      <c r="I487" s="282"/>
      <c r="J487" s="282"/>
      <c r="K487" s="282"/>
      <c r="L487" s="282"/>
      <c r="M487" s="282"/>
      <c r="N487" s="282"/>
      <c r="O487" s="282"/>
      <c r="P487" s="282"/>
      <c r="Q487" s="282"/>
      <c r="R487" s="282"/>
      <c r="S487" s="282"/>
      <c r="T487" s="282"/>
      <c r="U487" s="282"/>
      <c r="V487" s="298"/>
      <c r="W487" s="298"/>
      <c r="X487" s="298"/>
      <c r="Y487" s="298"/>
      <c r="Z487" s="298"/>
      <c r="AA487" s="298"/>
      <c r="AB487" s="298"/>
      <c r="AC487" s="298"/>
      <c r="AD487" s="298"/>
      <c r="AE487" s="298"/>
      <c r="AF487" s="298"/>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row>
    <row r="488">
      <c r="A488" s="304"/>
      <c r="B488" s="282"/>
      <c r="C488" s="298"/>
      <c r="D488" s="282"/>
      <c r="E488" s="282"/>
      <c r="F488" s="282"/>
      <c r="G488" s="282"/>
      <c r="H488" s="282"/>
      <c r="I488" s="282"/>
      <c r="J488" s="282"/>
      <c r="K488" s="282"/>
      <c r="L488" s="282"/>
      <c r="M488" s="282"/>
      <c r="N488" s="282"/>
      <c r="O488" s="282"/>
      <c r="P488" s="282"/>
      <c r="Q488" s="282"/>
      <c r="R488" s="282"/>
      <c r="S488" s="282"/>
      <c r="T488" s="282"/>
      <c r="U488" s="282"/>
      <c r="V488" s="298"/>
      <c r="W488" s="298"/>
      <c r="X488" s="298"/>
      <c r="Y488" s="298"/>
      <c r="Z488" s="298"/>
      <c r="AA488" s="298"/>
      <c r="AB488" s="298"/>
      <c r="AC488" s="298"/>
      <c r="AD488" s="298"/>
      <c r="AE488" s="298"/>
      <c r="AF488" s="298"/>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row>
    <row r="489">
      <c r="A489" s="304"/>
      <c r="B489" s="282"/>
      <c r="C489" s="298"/>
      <c r="D489" s="282"/>
      <c r="E489" s="282"/>
      <c r="F489" s="282"/>
      <c r="G489" s="282"/>
      <c r="H489" s="282"/>
      <c r="I489" s="282"/>
      <c r="J489" s="282"/>
      <c r="K489" s="282"/>
      <c r="L489" s="282"/>
      <c r="M489" s="282"/>
      <c r="N489" s="282"/>
      <c r="O489" s="282"/>
      <c r="P489" s="282"/>
      <c r="Q489" s="282"/>
      <c r="R489" s="282"/>
      <c r="S489" s="282"/>
      <c r="T489" s="282"/>
      <c r="U489" s="282"/>
      <c r="V489" s="298"/>
      <c r="W489" s="298"/>
      <c r="X489" s="298"/>
      <c r="Y489" s="298"/>
      <c r="Z489" s="298"/>
      <c r="AA489" s="298"/>
      <c r="AB489" s="298"/>
      <c r="AC489" s="298"/>
      <c r="AD489" s="298"/>
      <c r="AE489" s="298"/>
      <c r="AF489" s="298"/>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row>
    <row r="490">
      <c r="A490" s="304"/>
      <c r="B490" s="282"/>
      <c r="C490" s="298"/>
      <c r="D490" s="282"/>
      <c r="E490" s="282"/>
      <c r="F490" s="282"/>
      <c r="G490" s="282"/>
      <c r="H490" s="282"/>
      <c r="I490" s="282"/>
      <c r="J490" s="282"/>
      <c r="K490" s="282"/>
      <c r="L490" s="282"/>
      <c r="M490" s="282"/>
      <c r="N490" s="282"/>
      <c r="O490" s="282"/>
      <c r="P490" s="282"/>
      <c r="Q490" s="282"/>
      <c r="R490" s="282"/>
      <c r="S490" s="282"/>
      <c r="T490" s="282"/>
      <c r="U490" s="282"/>
      <c r="V490" s="298"/>
      <c r="W490" s="298"/>
      <c r="X490" s="298"/>
      <c r="Y490" s="298"/>
      <c r="Z490" s="298"/>
      <c r="AA490" s="298"/>
      <c r="AB490" s="298"/>
      <c r="AC490" s="298"/>
      <c r="AD490" s="298"/>
      <c r="AE490" s="298"/>
      <c r="AF490" s="298"/>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row>
    <row r="491">
      <c r="A491" s="304"/>
      <c r="B491" s="282"/>
      <c r="C491" s="298"/>
      <c r="D491" s="282"/>
      <c r="E491" s="282"/>
      <c r="F491" s="282"/>
      <c r="G491" s="282"/>
      <c r="H491" s="282"/>
      <c r="I491" s="282"/>
      <c r="J491" s="282"/>
      <c r="K491" s="282"/>
      <c r="L491" s="282"/>
      <c r="M491" s="282"/>
      <c r="N491" s="282"/>
      <c r="O491" s="282"/>
      <c r="P491" s="282"/>
      <c r="Q491" s="282"/>
      <c r="R491" s="282"/>
      <c r="S491" s="282"/>
      <c r="T491" s="282"/>
      <c r="U491" s="282"/>
      <c r="V491" s="298"/>
      <c r="W491" s="298"/>
      <c r="X491" s="298"/>
      <c r="Y491" s="298"/>
      <c r="Z491" s="298"/>
      <c r="AA491" s="298"/>
      <c r="AB491" s="298"/>
      <c r="AC491" s="298"/>
      <c r="AD491" s="298"/>
      <c r="AE491" s="298"/>
      <c r="AF491" s="298"/>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row>
    <row r="492">
      <c r="A492" s="304"/>
      <c r="B492" s="282"/>
      <c r="C492" s="298"/>
      <c r="D492" s="282"/>
      <c r="E492" s="282"/>
      <c r="F492" s="282"/>
      <c r="G492" s="282"/>
      <c r="H492" s="282"/>
      <c r="I492" s="282"/>
      <c r="J492" s="282"/>
      <c r="K492" s="282"/>
      <c r="L492" s="282"/>
      <c r="M492" s="282"/>
      <c r="N492" s="282"/>
      <c r="O492" s="282"/>
      <c r="P492" s="282"/>
      <c r="Q492" s="282"/>
      <c r="R492" s="282"/>
      <c r="S492" s="282"/>
      <c r="T492" s="282"/>
      <c r="U492" s="282"/>
      <c r="V492" s="298"/>
      <c r="W492" s="298"/>
      <c r="X492" s="298"/>
      <c r="Y492" s="298"/>
      <c r="Z492" s="298"/>
      <c r="AA492" s="298"/>
      <c r="AB492" s="298"/>
      <c r="AC492" s="298"/>
      <c r="AD492" s="298"/>
      <c r="AE492" s="298"/>
      <c r="AF492" s="298"/>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row>
    <row r="493">
      <c r="A493" s="304"/>
      <c r="B493" s="282"/>
      <c r="C493" s="298"/>
      <c r="D493" s="282"/>
      <c r="E493" s="282"/>
      <c r="F493" s="282"/>
      <c r="G493" s="282"/>
      <c r="H493" s="282"/>
      <c r="I493" s="282"/>
      <c r="J493" s="282"/>
      <c r="K493" s="282"/>
      <c r="L493" s="282"/>
      <c r="M493" s="282"/>
      <c r="N493" s="282"/>
      <c r="O493" s="282"/>
      <c r="P493" s="282"/>
      <c r="Q493" s="282"/>
      <c r="R493" s="282"/>
      <c r="S493" s="282"/>
      <c r="T493" s="282"/>
      <c r="U493" s="282"/>
      <c r="V493" s="298"/>
      <c r="W493" s="298"/>
      <c r="X493" s="298"/>
      <c r="Y493" s="298"/>
      <c r="Z493" s="298"/>
      <c r="AA493" s="298"/>
      <c r="AB493" s="298"/>
      <c r="AC493" s="298"/>
      <c r="AD493" s="298"/>
      <c r="AE493" s="298"/>
      <c r="AF493" s="298"/>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row>
    <row r="494">
      <c r="A494" s="304"/>
      <c r="B494" s="282"/>
      <c r="C494" s="298"/>
      <c r="D494" s="282"/>
      <c r="E494" s="282"/>
      <c r="F494" s="282"/>
      <c r="G494" s="282"/>
      <c r="H494" s="282"/>
      <c r="I494" s="282"/>
      <c r="J494" s="282"/>
      <c r="K494" s="282"/>
      <c r="L494" s="282"/>
      <c r="M494" s="282"/>
      <c r="N494" s="282"/>
      <c r="O494" s="282"/>
      <c r="P494" s="282"/>
      <c r="Q494" s="282"/>
      <c r="R494" s="282"/>
      <c r="S494" s="282"/>
      <c r="T494" s="282"/>
      <c r="U494" s="282"/>
      <c r="V494" s="298"/>
      <c r="W494" s="298"/>
      <c r="X494" s="298"/>
      <c r="Y494" s="298"/>
      <c r="Z494" s="298"/>
      <c r="AA494" s="298"/>
      <c r="AB494" s="298"/>
      <c r="AC494" s="298"/>
      <c r="AD494" s="298"/>
      <c r="AE494" s="298"/>
      <c r="AF494" s="298"/>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row>
    <row r="495">
      <c r="A495" s="304"/>
      <c r="B495" s="282"/>
      <c r="C495" s="298"/>
      <c r="D495" s="282"/>
      <c r="E495" s="282"/>
      <c r="F495" s="282"/>
      <c r="G495" s="282"/>
      <c r="H495" s="282"/>
      <c r="I495" s="282"/>
      <c r="J495" s="282"/>
      <c r="K495" s="282"/>
      <c r="L495" s="282"/>
      <c r="M495" s="282"/>
      <c r="N495" s="282"/>
      <c r="O495" s="282"/>
      <c r="P495" s="282"/>
      <c r="Q495" s="282"/>
      <c r="R495" s="282"/>
      <c r="S495" s="282"/>
      <c r="T495" s="282"/>
      <c r="U495" s="282"/>
      <c r="V495" s="298"/>
      <c r="W495" s="298"/>
      <c r="X495" s="298"/>
      <c r="Y495" s="298"/>
      <c r="Z495" s="298"/>
      <c r="AA495" s="298"/>
      <c r="AB495" s="298"/>
      <c r="AC495" s="298"/>
      <c r="AD495" s="298"/>
      <c r="AE495" s="298"/>
      <c r="AF495" s="298"/>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row>
    <row r="496">
      <c r="A496" s="304"/>
      <c r="B496" s="282"/>
      <c r="C496" s="298"/>
      <c r="D496" s="282"/>
      <c r="E496" s="282"/>
      <c r="F496" s="282"/>
      <c r="G496" s="282"/>
      <c r="H496" s="282"/>
      <c r="I496" s="282"/>
      <c r="J496" s="282"/>
      <c r="K496" s="282"/>
      <c r="L496" s="282"/>
      <c r="M496" s="282"/>
      <c r="N496" s="282"/>
      <c r="O496" s="282"/>
      <c r="P496" s="282"/>
      <c r="Q496" s="282"/>
      <c r="R496" s="282"/>
      <c r="S496" s="282"/>
      <c r="T496" s="282"/>
      <c r="U496" s="282"/>
      <c r="V496" s="298"/>
      <c r="W496" s="298"/>
      <c r="X496" s="298"/>
      <c r="Y496" s="298"/>
      <c r="Z496" s="298"/>
      <c r="AA496" s="298"/>
      <c r="AB496" s="298"/>
      <c r="AC496" s="298"/>
      <c r="AD496" s="298"/>
      <c r="AE496" s="298"/>
      <c r="AF496" s="298"/>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row>
    <row r="497">
      <c r="A497" s="304"/>
      <c r="B497" s="282"/>
      <c r="C497" s="298"/>
      <c r="D497" s="282"/>
      <c r="E497" s="282"/>
      <c r="F497" s="282"/>
      <c r="G497" s="282"/>
      <c r="H497" s="282"/>
      <c r="I497" s="282"/>
      <c r="J497" s="282"/>
      <c r="K497" s="282"/>
      <c r="L497" s="282"/>
      <c r="M497" s="282"/>
      <c r="N497" s="282"/>
      <c r="O497" s="282"/>
      <c r="P497" s="282"/>
      <c r="Q497" s="282"/>
      <c r="R497" s="282"/>
      <c r="S497" s="282"/>
      <c r="T497" s="282"/>
      <c r="U497" s="282"/>
      <c r="V497" s="298"/>
      <c r="W497" s="298"/>
      <c r="X497" s="298"/>
      <c r="Y497" s="298"/>
      <c r="Z497" s="298"/>
      <c r="AA497" s="298"/>
      <c r="AB497" s="298"/>
      <c r="AC497" s="298"/>
      <c r="AD497" s="298"/>
      <c r="AE497" s="298"/>
      <c r="AF497" s="298"/>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row>
    <row r="498">
      <c r="A498" s="304"/>
      <c r="B498" s="282"/>
      <c r="C498" s="298"/>
      <c r="D498" s="282"/>
      <c r="E498" s="282"/>
      <c r="F498" s="282"/>
      <c r="G498" s="282"/>
      <c r="H498" s="282"/>
      <c r="I498" s="282"/>
      <c r="J498" s="282"/>
      <c r="K498" s="282"/>
      <c r="L498" s="282"/>
      <c r="M498" s="282"/>
      <c r="N498" s="282"/>
      <c r="O498" s="282"/>
      <c r="P498" s="282"/>
      <c r="Q498" s="282"/>
      <c r="R498" s="282"/>
      <c r="S498" s="282"/>
      <c r="T498" s="282"/>
      <c r="U498" s="282"/>
      <c r="V498" s="298"/>
      <c r="W498" s="298"/>
      <c r="X498" s="298"/>
      <c r="Y498" s="298"/>
      <c r="Z498" s="298"/>
      <c r="AA498" s="298"/>
      <c r="AB498" s="298"/>
      <c r="AC498" s="298"/>
      <c r="AD498" s="298"/>
      <c r="AE498" s="298"/>
      <c r="AF498" s="298"/>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row>
    <row r="499">
      <c r="A499" s="304"/>
      <c r="B499" s="282"/>
      <c r="C499" s="298"/>
      <c r="D499" s="282"/>
      <c r="E499" s="282"/>
      <c r="F499" s="282"/>
      <c r="G499" s="282"/>
      <c r="H499" s="282"/>
      <c r="I499" s="282"/>
      <c r="J499" s="282"/>
      <c r="K499" s="282"/>
      <c r="L499" s="282"/>
      <c r="M499" s="282"/>
      <c r="N499" s="282"/>
      <c r="O499" s="282"/>
      <c r="P499" s="282"/>
      <c r="Q499" s="282"/>
      <c r="R499" s="282"/>
      <c r="S499" s="282"/>
      <c r="T499" s="282"/>
      <c r="U499" s="282"/>
      <c r="V499" s="298"/>
      <c r="W499" s="298"/>
      <c r="X499" s="298"/>
      <c r="Y499" s="298"/>
      <c r="Z499" s="298"/>
      <c r="AA499" s="298"/>
      <c r="AB499" s="298"/>
      <c r="AC499" s="298"/>
      <c r="AD499" s="298"/>
      <c r="AE499" s="298"/>
      <c r="AF499" s="298"/>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row>
    <row r="500">
      <c r="A500" s="304"/>
      <c r="B500" s="282"/>
      <c r="C500" s="298"/>
      <c r="D500" s="282"/>
      <c r="E500" s="282"/>
      <c r="F500" s="282"/>
      <c r="G500" s="282"/>
      <c r="H500" s="282"/>
      <c r="I500" s="282"/>
      <c r="J500" s="282"/>
      <c r="K500" s="282"/>
      <c r="L500" s="282"/>
      <c r="M500" s="282"/>
      <c r="N500" s="282"/>
      <c r="O500" s="282"/>
      <c r="P500" s="282"/>
      <c r="Q500" s="282"/>
      <c r="R500" s="282"/>
      <c r="S500" s="282"/>
      <c r="T500" s="282"/>
      <c r="U500" s="282"/>
      <c r="V500" s="298"/>
      <c r="W500" s="298"/>
      <c r="X500" s="298"/>
      <c r="Y500" s="298"/>
      <c r="Z500" s="298"/>
      <c r="AA500" s="298"/>
      <c r="AB500" s="298"/>
      <c r="AC500" s="298"/>
      <c r="AD500" s="298"/>
      <c r="AE500" s="298"/>
      <c r="AF500" s="298"/>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row>
    <row r="501">
      <c r="A501" s="304"/>
      <c r="B501" s="282"/>
      <c r="C501" s="298"/>
      <c r="D501" s="282"/>
      <c r="E501" s="282"/>
      <c r="F501" s="282"/>
      <c r="G501" s="282"/>
      <c r="H501" s="282"/>
      <c r="I501" s="282"/>
      <c r="J501" s="282"/>
      <c r="K501" s="282"/>
      <c r="L501" s="282"/>
      <c r="M501" s="282"/>
      <c r="N501" s="282"/>
      <c r="O501" s="282"/>
      <c r="P501" s="282"/>
      <c r="Q501" s="282"/>
      <c r="R501" s="282"/>
      <c r="S501" s="282"/>
      <c r="T501" s="282"/>
      <c r="U501" s="282"/>
      <c r="V501" s="298"/>
      <c r="W501" s="298"/>
      <c r="X501" s="298"/>
      <c r="Y501" s="298"/>
      <c r="Z501" s="298"/>
      <c r="AA501" s="298"/>
      <c r="AB501" s="298"/>
      <c r="AC501" s="298"/>
      <c r="AD501" s="298"/>
      <c r="AE501" s="298"/>
      <c r="AF501" s="298"/>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row>
    <row r="502">
      <c r="A502" s="304"/>
      <c r="B502" s="282"/>
      <c r="C502" s="298"/>
      <c r="D502" s="282"/>
      <c r="E502" s="282"/>
      <c r="F502" s="282"/>
      <c r="G502" s="282"/>
      <c r="H502" s="282"/>
      <c r="I502" s="282"/>
      <c r="J502" s="282"/>
      <c r="K502" s="282"/>
      <c r="L502" s="282"/>
      <c r="M502" s="282"/>
      <c r="N502" s="282"/>
      <c r="O502" s="282"/>
      <c r="P502" s="282"/>
      <c r="Q502" s="282"/>
      <c r="R502" s="282"/>
      <c r="S502" s="282"/>
      <c r="T502" s="282"/>
      <c r="U502" s="282"/>
      <c r="V502" s="298"/>
      <c r="W502" s="298"/>
      <c r="X502" s="298"/>
      <c r="Y502" s="298"/>
      <c r="Z502" s="298"/>
      <c r="AA502" s="298"/>
      <c r="AB502" s="298"/>
      <c r="AC502" s="298"/>
      <c r="AD502" s="298"/>
      <c r="AE502" s="298"/>
      <c r="AF502" s="298"/>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row>
    <row r="503">
      <c r="A503" s="304"/>
      <c r="B503" s="282"/>
      <c r="C503" s="298"/>
      <c r="D503" s="282"/>
      <c r="E503" s="282"/>
      <c r="F503" s="282"/>
      <c r="G503" s="282"/>
      <c r="H503" s="282"/>
      <c r="I503" s="282"/>
      <c r="J503" s="282"/>
      <c r="K503" s="282"/>
      <c r="L503" s="282"/>
      <c r="M503" s="282"/>
      <c r="N503" s="282"/>
      <c r="O503" s="282"/>
      <c r="P503" s="282"/>
      <c r="Q503" s="282"/>
      <c r="R503" s="282"/>
      <c r="S503" s="282"/>
      <c r="T503" s="282"/>
      <c r="U503" s="282"/>
      <c r="V503" s="298"/>
      <c r="W503" s="298"/>
      <c r="X503" s="298"/>
      <c r="Y503" s="298"/>
      <c r="Z503" s="298"/>
      <c r="AA503" s="298"/>
      <c r="AB503" s="298"/>
      <c r="AC503" s="298"/>
      <c r="AD503" s="298"/>
      <c r="AE503" s="298"/>
      <c r="AF503" s="298"/>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row>
    <row r="504">
      <c r="A504" s="304"/>
      <c r="B504" s="282"/>
      <c r="C504" s="298"/>
      <c r="D504" s="282"/>
      <c r="E504" s="282"/>
      <c r="F504" s="282"/>
      <c r="G504" s="282"/>
      <c r="H504" s="282"/>
      <c r="I504" s="282"/>
      <c r="J504" s="282"/>
      <c r="K504" s="282"/>
      <c r="L504" s="282"/>
      <c r="M504" s="282"/>
      <c r="N504" s="282"/>
      <c r="O504" s="282"/>
      <c r="P504" s="282"/>
      <c r="Q504" s="282"/>
      <c r="R504" s="282"/>
      <c r="S504" s="282"/>
      <c r="T504" s="282"/>
      <c r="U504" s="282"/>
      <c r="V504" s="298"/>
      <c r="W504" s="298"/>
      <c r="X504" s="298"/>
      <c r="Y504" s="298"/>
      <c r="Z504" s="298"/>
      <c r="AA504" s="298"/>
      <c r="AB504" s="298"/>
      <c r="AC504" s="298"/>
      <c r="AD504" s="298"/>
      <c r="AE504" s="298"/>
      <c r="AF504" s="298"/>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row>
    <row r="505">
      <c r="A505" s="304"/>
      <c r="B505" s="282"/>
      <c r="C505" s="298"/>
      <c r="D505" s="282"/>
      <c r="E505" s="282"/>
      <c r="F505" s="282"/>
      <c r="G505" s="282"/>
      <c r="H505" s="282"/>
      <c r="I505" s="282"/>
      <c r="J505" s="282"/>
      <c r="K505" s="282"/>
      <c r="L505" s="282"/>
      <c r="M505" s="282"/>
      <c r="N505" s="282"/>
      <c r="O505" s="282"/>
      <c r="P505" s="282"/>
      <c r="Q505" s="282"/>
      <c r="R505" s="282"/>
      <c r="S505" s="282"/>
      <c r="T505" s="282"/>
      <c r="U505" s="282"/>
      <c r="V505" s="298"/>
      <c r="W505" s="298"/>
      <c r="X505" s="298"/>
      <c r="Y505" s="298"/>
      <c r="Z505" s="298"/>
      <c r="AA505" s="298"/>
      <c r="AB505" s="298"/>
      <c r="AC505" s="298"/>
      <c r="AD505" s="298"/>
      <c r="AE505" s="298"/>
      <c r="AF505" s="298"/>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row>
    <row r="506">
      <c r="A506" s="304"/>
      <c r="B506" s="282"/>
      <c r="C506" s="298"/>
      <c r="D506" s="282"/>
      <c r="E506" s="282"/>
      <c r="F506" s="282"/>
      <c r="G506" s="282"/>
      <c r="H506" s="282"/>
      <c r="I506" s="282"/>
      <c r="J506" s="282"/>
      <c r="K506" s="282"/>
      <c r="L506" s="282"/>
      <c r="M506" s="282"/>
      <c r="N506" s="282"/>
      <c r="O506" s="282"/>
      <c r="P506" s="282"/>
      <c r="Q506" s="282"/>
      <c r="R506" s="282"/>
      <c r="S506" s="282"/>
      <c r="T506" s="282"/>
      <c r="U506" s="282"/>
      <c r="V506" s="298"/>
      <c r="W506" s="298"/>
      <c r="X506" s="298"/>
      <c r="Y506" s="298"/>
      <c r="Z506" s="298"/>
      <c r="AA506" s="298"/>
      <c r="AB506" s="298"/>
      <c r="AC506" s="298"/>
      <c r="AD506" s="298"/>
      <c r="AE506" s="298"/>
      <c r="AF506" s="298"/>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row>
    <row r="507">
      <c r="A507" s="304"/>
      <c r="B507" s="282"/>
      <c r="C507" s="298"/>
      <c r="D507" s="282"/>
      <c r="E507" s="282"/>
      <c r="F507" s="282"/>
      <c r="G507" s="282"/>
      <c r="H507" s="282"/>
      <c r="I507" s="282"/>
      <c r="J507" s="282"/>
      <c r="K507" s="282"/>
      <c r="L507" s="282"/>
      <c r="M507" s="282"/>
      <c r="N507" s="282"/>
      <c r="O507" s="282"/>
      <c r="P507" s="282"/>
      <c r="Q507" s="282"/>
      <c r="R507" s="282"/>
      <c r="S507" s="282"/>
      <c r="T507" s="282"/>
      <c r="U507" s="282"/>
      <c r="V507" s="298"/>
      <c r="W507" s="298"/>
      <c r="X507" s="298"/>
      <c r="Y507" s="298"/>
      <c r="Z507" s="298"/>
      <c r="AA507" s="298"/>
      <c r="AB507" s="298"/>
      <c r="AC507" s="298"/>
      <c r="AD507" s="298"/>
      <c r="AE507" s="298"/>
      <c r="AF507" s="298"/>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row>
    <row r="508">
      <c r="A508" s="304"/>
      <c r="B508" s="282"/>
      <c r="C508" s="298"/>
      <c r="D508" s="282"/>
      <c r="E508" s="282"/>
      <c r="F508" s="282"/>
      <c r="G508" s="282"/>
      <c r="H508" s="282"/>
      <c r="I508" s="282"/>
      <c r="J508" s="282"/>
      <c r="K508" s="282"/>
      <c r="L508" s="282"/>
      <c r="M508" s="282"/>
      <c r="N508" s="282"/>
      <c r="O508" s="282"/>
      <c r="P508" s="282"/>
      <c r="Q508" s="282"/>
      <c r="R508" s="282"/>
      <c r="S508" s="282"/>
      <c r="T508" s="282"/>
      <c r="U508" s="282"/>
      <c r="V508" s="298"/>
      <c r="W508" s="298"/>
      <c r="X508" s="298"/>
      <c r="Y508" s="298"/>
      <c r="Z508" s="298"/>
      <c r="AA508" s="298"/>
      <c r="AB508" s="298"/>
      <c r="AC508" s="298"/>
      <c r="AD508" s="298"/>
      <c r="AE508" s="298"/>
      <c r="AF508" s="298"/>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row>
    <row r="509">
      <c r="A509" s="304"/>
      <c r="B509" s="282"/>
      <c r="C509" s="298"/>
      <c r="D509" s="282"/>
      <c r="E509" s="282"/>
      <c r="F509" s="282"/>
      <c r="G509" s="282"/>
      <c r="H509" s="282"/>
      <c r="I509" s="282"/>
      <c r="J509" s="282"/>
      <c r="K509" s="282"/>
      <c r="L509" s="282"/>
      <c r="M509" s="282"/>
      <c r="N509" s="282"/>
      <c r="O509" s="282"/>
      <c r="P509" s="282"/>
      <c r="Q509" s="282"/>
      <c r="R509" s="282"/>
      <c r="S509" s="282"/>
      <c r="T509" s="282"/>
      <c r="U509" s="282"/>
      <c r="V509" s="298"/>
      <c r="W509" s="298"/>
      <c r="X509" s="298"/>
      <c r="Y509" s="298"/>
      <c r="Z509" s="298"/>
      <c r="AA509" s="298"/>
      <c r="AB509" s="298"/>
      <c r="AC509" s="298"/>
      <c r="AD509" s="298"/>
      <c r="AE509" s="298"/>
      <c r="AF509" s="298"/>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row>
    <row r="510">
      <c r="A510" s="304"/>
      <c r="B510" s="282"/>
      <c r="C510" s="298"/>
      <c r="D510" s="282"/>
      <c r="E510" s="282"/>
      <c r="F510" s="282"/>
      <c r="G510" s="282"/>
      <c r="H510" s="282"/>
      <c r="I510" s="282"/>
      <c r="J510" s="282"/>
      <c r="K510" s="282"/>
      <c r="L510" s="282"/>
      <c r="M510" s="282"/>
      <c r="N510" s="282"/>
      <c r="O510" s="282"/>
      <c r="P510" s="282"/>
      <c r="Q510" s="282"/>
      <c r="R510" s="282"/>
      <c r="S510" s="282"/>
      <c r="T510" s="282"/>
      <c r="U510" s="282"/>
      <c r="V510" s="298"/>
      <c r="W510" s="298"/>
      <c r="X510" s="298"/>
      <c r="Y510" s="298"/>
      <c r="Z510" s="298"/>
      <c r="AA510" s="298"/>
      <c r="AB510" s="298"/>
      <c r="AC510" s="298"/>
      <c r="AD510" s="298"/>
      <c r="AE510" s="298"/>
      <c r="AF510" s="298"/>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row>
    <row r="511">
      <c r="A511" s="304"/>
      <c r="B511" s="282"/>
      <c r="C511" s="298"/>
      <c r="D511" s="282"/>
      <c r="E511" s="282"/>
      <c r="F511" s="282"/>
      <c r="G511" s="282"/>
      <c r="H511" s="282"/>
      <c r="I511" s="282"/>
      <c r="J511" s="282"/>
      <c r="K511" s="282"/>
      <c r="L511" s="282"/>
      <c r="M511" s="282"/>
      <c r="N511" s="282"/>
      <c r="O511" s="282"/>
      <c r="P511" s="282"/>
      <c r="Q511" s="282"/>
      <c r="R511" s="282"/>
      <c r="S511" s="282"/>
      <c r="T511" s="282"/>
      <c r="U511" s="282"/>
      <c r="V511" s="298"/>
      <c r="W511" s="298"/>
      <c r="X511" s="298"/>
      <c r="Y511" s="298"/>
      <c r="Z511" s="298"/>
      <c r="AA511" s="298"/>
      <c r="AB511" s="298"/>
      <c r="AC511" s="298"/>
      <c r="AD511" s="298"/>
      <c r="AE511" s="298"/>
      <c r="AF511" s="298"/>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row>
    <row r="512">
      <c r="A512" s="304"/>
      <c r="B512" s="282"/>
      <c r="C512" s="298"/>
      <c r="D512" s="282"/>
      <c r="E512" s="282"/>
      <c r="F512" s="282"/>
      <c r="G512" s="282"/>
      <c r="H512" s="282"/>
      <c r="I512" s="282"/>
      <c r="J512" s="282"/>
      <c r="K512" s="282"/>
      <c r="L512" s="282"/>
      <c r="M512" s="282"/>
      <c r="N512" s="282"/>
      <c r="O512" s="282"/>
      <c r="P512" s="282"/>
      <c r="Q512" s="282"/>
      <c r="R512" s="282"/>
      <c r="S512" s="282"/>
      <c r="T512" s="282"/>
      <c r="U512" s="282"/>
      <c r="V512" s="298"/>
      <c r="W512" s="298"/>
      <c r="X512" s="298"/>
      <c r="Y512" s="298"/>
      <c r="Z512" s="298"/>
      <c r="AA512" s="298"/>
      <c r="AB512" s="298"/>
      <c r="AC512" s="298"/>
      <c r="AD512" s="298"/>
      <c r="AE512" s="298"/>
      <c r="AF512" s="298"/>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row>
    <row r="513">
      <c r="A513" s="304"/>
      <c r="B513" s="282"/>
      <c r="C513" s="298"/>
      <c r="D513" s="282"/>
      <c r="E513" s="282"/>
      <c r="F513" s="282"/>
      <c r="G513" s="282"/>
      <c r="H513" s="282"/>
      <c r="I513" s="282"/>
      <c r="J513" s="282"/>
      <c r="K513" s="282"/>
      <c r="L513" s="282"/>
      <c r="M513" s="282"/>
      <c r="N513" s="282"/>
      <c r="O513" s="282"/>
      <c r="P513" s="282"/>
      <c r="Q513" s="282"/>
      <c r="R513" s="282"/>
      <c r="S513" s="282"/>
      <c r="T513" s="282"/>
      <c r="U513" s="282"/>
      <c r="V513" s="298"/>
      <c r="W513" s="298"/>
      <c r="X513" s="298"/>
      <c r="Y513" s="298"/>
      <c r="Z513" s="298"/>
      <c r="AA513" s="298"/>
      <c r="AB513" s="298"/>
      <c r="AC513" s="298"/>
      <c r="AD513" s="298"/>
      <c r="AE513" s="298"/>
      <c r="AF513" s="298"/>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row>
    <row r="514">
      <c r="A514" s="304"/>
      <c r="B514" s="282"/>
      <c r="C514" s="298"/>
      <c r="D514" s="282"/>
      <c r="E514" s="282"/>
      <c r="F514" s="282"/>
      <c r="G514" s="282"/>
      <c r="H514" s="282"/>
      <c r="I514" s="282"/>
      <c r="J514" s="282"/>
      <c r="K514" s="282"/>
      <c r="L514" s="282"/>
      <c r="M514" s="282"/>
      <c r="N514" s="282"/>
      <c r="O514" s="282"/>
      <c r="P514" s="282"/>
      <c r="Q514" s="282"/>
      <c r="R514" s="282"/>
      <c r="S514" s="282"/>
      <c r="T514" s="282"/>
      <c r="U514" s="282"/>
      <c r="V514" s="298"/>
      <c r="W514" s="298"/>
      <c r="X514" s="298"/>
      <c r="Y514" s="298"/>
      <c r="Z514" s="298"/>
      <c r="AA514" s="298"/>
      <c r="AB514" s="298"/>
      <c r="AC514" s="298"/>
      <c r="AD514" s="298"/>
      <c r="AE514" s="298"/>
      <c r="AF514" s="298"/>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row>
    <row r="515">
      <c r="A515" s="304"/>
      <c r="B515" s="282"/>
      <c r="C515" s="298"/>
      <c r="D515" s="282"/>
      <c r="E515" s="282"/>
      <c r="F515" s="282"/>
      <c r="G515" s="282"/>
      <c r="H515" s="282"/>
      <c r="I515" s="282"/>
      <c r="J515" s="282"/>
      <c r="K515" s="282"/>
      <c r="L515" s="282"/>
      <c r="M515" s="282"/>
      <c r="N515" s="282"/>
      <c r="O515" s="282"/>
      <c r="P515" s="282"/>
      <c r="Q515" s="282"/>
      <c r="R515" s="282"/>
      <c r="S515" s="282"/>
      <c r="T515" s="282"/>
      <c r="U515" s="282"/>
      <c r="V515" s="298"/>
      <c r="W515" s="298"/>
      <c r="X515" s="298"/>
      <c r="Y515" s="298"/>
      <c r="Z515" s="298"/>
      <c r="AA515" s="298"/>
      <c r="AB515" s="298"/>
      <c r="AC515" s="298"/>
      <c r="AD515" s="298"/>
      <c r="AE515" s="298"/>
      <c r="AF515" s="298"/>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row>
    <row r="516">
      <c r="A516" s="304"/>
      <c r="B516" s="282"/>
      <c r="C516" s="298"/>
      <c r="D516" s="282"/>
      <c r="E516" s="282"/>
      <c r="F516" s="282"/>
      <c r="G516" s="282"/>
      <c r="H516" s="282"/>
      <c r="I516" s="282"/>
      <c r="J516" s="282"/>
      <c r="K516" s="282"/>
      <c r="L516" s="282"/>
      <c r="M516" s="282"/>
      <c r="N516" s="282"/>
      <c r="O516" s="282"/>
      <c r="P516" s="282"/>
      <c r="Q516" s="282"/>
      <c r="R516" s="282"/>
      <c r="S516" s="282"/>
      <c r="T516" s="282"/>
      <c r="U516" s="282"/>
      <c r="V516" s="298"/>
      <c r="W516" s="298"/>
      <c r="X516" s="298"/>
      <c r="Y516" s="298"/>
      <c r="Z516" s="298"/>
      <c r="AA516" s="298"/>
      <c r="AB516" s="298"/>
      <c r="AC516" s="298"/>
      <c r="AD516" s="298"/>
      <c r="AE516" s="298"/>
      <c r="AF516" s="298"/>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row>
    <row r="517">
      <c r="A517" s="304"/>
      <c r="B517" s="282"/>
      <c r="C517" s="298"/>
      <c r="D517" s="282"/>
      <c r="E517" s="282"/>
      <c r="F517" s="282"/>
      <c r="G517" s="282"/>
      <c r="H517" s="282"/>
      <c r="I517" s="282"/>
      <c r="J517" s="282"/>
      <c r="K517" s="282"/>
      <c r="L517" s="282"/>
      <c r="M517" s="282"/>
      <c r="N517" s="282"/>
      <c r="O517" s="282"/>
      <c r="P517" s="282"/>
      <c r="Q517" s="282"/>
      <c r="R517" s="282"/>
      <c r="S517" s="282"/>
      <c r="T517" s="282"/>
      <c r="U517" s="282"/>
      <c r="V517" s="298"/>
      <c r="W517" s="298"/>
      <c r="X517" s="298"/>
      <c r="Y517" s="298"/>
      <c r="Z517" s="298"/>
      <c r="AA517" s="298"/>
      <c r="AB517" s="298"/>
      <c r="AC517" s="298"/>
      <c r="AD517" s="298"/>
      <c r="AE517" s="298"/>
      <c r="AF517" s="298"/>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row>
    <row r="518">
      <c r="A518" s="304"/>
      <c r="B518" s="282"/>
      <c r="C518" s="298"/>
      <c r="D518" s="282"/>
      <c r="E518" s="282"/>
      <c r="F518" s="282"/>
      <c r="G518" s="282"/>
      <c r="H518" s="282"/>
      <c r="I518" s="282"/>
      <c r="J518" s="282"/>
      <c r="K518" s="282"/>
      <c r="L518" s="282"/>
      <c r="M518" s="282"/>
      <c r="N518" s="282"/>
      <c r="O518" s="282"/>
      <c r="P518" s="282"/>
      <c r="Q518" s="282"/>
      <c r="R518" s="282"/>
      <c r="S518" s="282"/>
      <c r="T518" s="282"/>
      <c r="U518" s="282"/>
      <c r="V518" s="298"/>
      <c r="W518" s="298"/>
      <c r="X518" s="298"/>
      <c r="Y518" s="298"/>
      <c r="Z518" s="298"/>
      <c r="AA518" s="298"/>
      <c r="AB518" s="298"/>
      <c r="AC518" s="298"/>
      <c r="AD518" s="298"/>
      <c r="AE518" s="298"/>
      <c r="AF518" s="298"/>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row>
    <row r="519">
      <c r="A519" s="304"/>
      <c r="B519" s="282"/>
      <c r="C519" s="298"/>
      <c r="D519" s="282"/>
      <c r="E519" s="282"/>
      <c r="F519" s="282"/>
      <c r="G519" s="282"/>
      <c r="H519" s="282"/>
      <c r="I519" s="282"/>
      <c r="J519" s="282"/>
      <c r="K519" s="282"/>
      <c r="L519" s="282"/>
      <c r="M519" s="282"/>
      <c r="N519" s="282"/>
      <c r="O519" s="282"/>
      <c r="P519" s="282"/>
      <c r="Q519" s="282"/>
      <c r="R519" s="282"/>
      <c r="S519" s="282"/>
      <c r="T519" s="282"/>
      <c r="U519" s="282"/>
      <c r="V519" s="298"/>
      <c r="W519" s="298"/>
      <c r="X519" s="298"/>
      <c r="Y519" s="298"/>
      <c r="Z519" s="298"/>
      <c r="AA519" s="298"/>
      <c r="AB519" s="298"/>
      <c r="AC519" s="298"/>
      <c r="AD519" s="298"/>
      <c r="AE519" s="298"/>
      <c r="AF519" s="298"/>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row>
    <row r="520">
      <c r="A520" s="304"/>
      <c r="B520" s="282"/>
      <c r="C520" s="298"/>
      <c r="D520" s="282"/>
      <c r="E520" s="282"/>
      <c r="F520" s="282"/>
      <c r="G520" s="282"/>
      <c r="H520" s="282"/>
      <c r="I520" s="282"/>
      <c r="J520" s="282"/>
      <c r="K520" s="282"/>
      <c r="L520" s="282"/>
      <c r="M520" s="282"/>
      <c r="N520" s="282"/>
      <c r="O520" s="282"/>
      <c r="P520" s="282"/>
      <c r="Q520" s="282"/>
      <c r="R520" s="282"/>
      <c r="S520" s="282"/>
      <c r="T520" s="282"/>
      <c r="U520" s="282"/>
      <c r="V520" s="298"/>
      <c r="W520" s="298"/>
      <c r="X520" s="298"/>
      <c r="Y520" s="298"/>
      <c r="Z520" s="298"/>
      <c r="AA520" s="298"/>
      <c r="AB520" s="298"/>
      <c r="AC520" s="298"/>
      <c r="AD520" s="298"/>
      <c r="AE520" s="298"/>
      <c r="AF520" s="298"/>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row>
    <row r="521">
      <c r="A521" s="304"/>
      <c r="B521" s="282"/>
      <c r="C521" s="298"/>
      <c r="D521" s="282"/>
      <c r="E521" s="282"/>
      <c r="F521" s="282"/>
      <c r="G521" s="282"/>
      <c r="H521" s="282"/>
      <c r="I521" s="282"/>
      <c r="J521" s="282"/>
      <c r="K521" s="282"/>
      <c r="L521" s="282"/>
      <c r="M521" s="282"/>
      <c r="N521" s="282"/>
      <c r="O521" s="282"/>
      <c r="P521" s="282"/>
      <c r="Q521" s="282"/>
      <c r="R521" s="282"/>
      <c r="S521" s="282"/>
      <c r="T521" s="282"/>
      <c r="U521" s="282"/>
      <c r="V521" s="298"/>
      <c r="W521" s="298"/>
      <c r="X521" s="298"/>
      <c r="Y521" s="298"/>
      <c r="Z521" s="298"/>
      <c r="AA521" s="298"/>
      <c r="AB521" s="298"/>
      <c r="AC521" s="298"/>
      <c r="AD521" s="298"/>
      <c r="AE521" s="298"/>
      <c r="AF521" s="298"/>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row>
    <row r="522">
      <c r="A522" s="304"/>
      <c r="B522" s="282"/>
      <c r="C522" s="298"/>
      <c r="D522" s="282"/>
      <c r="E522" s="282"/>
      <c r="F522" s="282"/>
      <c r="G522" s="282"/>
      <c r="H522" s="282"/>
      <c r="I522" s="282"/>
      <c r="J522" s="282"/>
      <c r="K522" s="282"/>
      <c r="L522" s="282"/>
      <c r="M522" s="282"/>
      <c r="N522" s="282"/>
      <c r="O522" s="282"/>
      <c r="P522" s="282"/>
      <c r="Q522" s="282"/>
      <c r="R522" s="282"/>
      <c r="S522" s="282"/>
      <c r="T522" s="282"/>
      <c r="U522" s="282"/>
      <c r="V522" s="298"/>
      <c r="W522" s="298"/>
      <c r="X522" s="298"/>
      <c r="Y522" s="298"/>
      <c r="Z522" s="298"/>
      <c r="AA522" s="298"/>
      <c r="AB522" s="298"/>
      <c r="AC522" s="298"/>
      <c r="AD522" s="298"/>
      <c r="AE522" s="298"/>
      <c r="AF522" s="298"/>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row>
    <row r="523">
      <c r="A523" s="304"/>
      <c r="B523" s="282"/>
      <c r="C523" s="298"/>
      <c r="D523" s="282"/>
      <c r="E523" s="282"/>
      <c r="F523" s="282"/>
      <c r="G523" s="282"/>
      <c r="H523" s="282"/>
      <c r="I523" s="282"/>
      <c r="J523" s="282"/>
      <c r="K523" s="282"/>
      <c r="L523" s="282"/>
      <c r="M523" s="282"/>
      <c r="N523" s="282"/>
      <c r="O523" s="282"/>
      <c r="P523" s="282"/>
      <c r="Q523" s="282"/>
      <c r="R523" s="282"/>
      <c r="S523" s="282"/>
      <c r="T523" s="282"/>
      <c r="U523" s="282"/>
      <c r="V523" s="298"/>
      <c r="W523" s="298"/>
      <c r="X523" s="298"/>
      <c r="Y523" s="298"/>
      <c r="Z523" s="298"/>
      <c r="AA523" s="298"/>
      <c r="AB523" s="298"/>
      <c r="AC523" s="298"/>
      <c r="AD523" s="298"/>
      <c r="AE523" s="298"/>
      <c r="AF523" s="298"/>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row>
    <row r="524">
      <c r="A524" s="304"/>
      <c r="B524" s="282"/>
      <c r="C524" s="298"/>
      <c r="D524" s="282"/>
      <c r="E524" s="282"/>
      <c r="F524" s="282"/>
      <c r="G524" s="282"/>
      <c r="H524" s="282"/>
      <c r="I524" s="282"/>
      <c r="J524" s="282"/>
      <c r="K524" s="282"/>
      <c r="L524" s="282"/>
      <c r="M524" s="282"/>
      <c r="N524" s="282"/>
      <c r="O524" s="282"/>
      <c r="P524" s="282"/>
      <c r="Q524" s="282"/>
      <c r="R524" s="282"/>
      <c r="S524" s="282"/>
      <c r="T524" s="282"/>
      <c r="U524" s="282"/>
      <c r="V524" s="298"/>
      <c r="W524" s="298"/>
      <c r="X524" s="298"/>
      <c r="Y524" s="298"/>
      <c r="Z524" s="298"/>
      <c r="AA524" s="298"/>
      <c r="AB524" s="298"/>
      <c r="AC524" s="298"/>
      <c r="AD524" s="298"/>
      <c r="AE524" s="298"/>
      <c r="AF524" s="298"/>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row>
    <row r="525">
      <c r="A525" s="304"/>
      <c r="B525" s="282"/>
      <c r="C525" s="298"/>
      <c r="D525" s="282"/>
      <c r="E525" s="282"/>
      <c r="F525" s="282"/>
      <c r="G525" s="282"/>
      <c r="H525" s="282"/>
      <c r="I525" s="282"/>
      <c r="J525" s="282"/>
      <c r="K525" s="282"/>
      <c r="L525" s="282"/>
      <c r="M525" s="282"/>
      <c r="N525" s="282"/>
      <c r="O525" s="282"/>
      <c r="P525" s="282"/>
      <c r="Q525" s="282"/>
      <c r="R525" s="282"/>
      <c r="S525" s="282"/>
      <c r="T525" s="282"/>
      <c r="U525" s="282"/>
      <c r="V525" s="298"/>
      <c r="W525" s="298"/>
      <c r="X525" s="298"/>
      <c r="Y525" s="298"/>
      <c r="Z525" s="298"/>
      <c r="AA525" s="298"/>
      <c r="AB525" s="298"/>
      <c r="AC525" s="298"/>
      <c r="AD525" s="298"/>
      <c r="AE525" s="298"/>
      <c r="AF525" s="298"/>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row>
    <row r="526">
      <c r="A526" s="304"/>
      <c r="B526" s="282"/>
      <c r="C526" s="298"/>
      <c r="D526" s="282"/>
      <c r="E526" s="282"/>
      <c r="F526" s="282"/>
      <c r="G526" s="282"/>
      <c r="H526" s="282"/>
      <c r="I526" s="282"/>
      <c r="J526" s="282"/>
      <c r="K526" s="282"/>
      <c r="L526" s="282"/>
      <c r="M526" s="282"/>
      <c r="N526" s="282"/>
      <c r="O526" s="282"/>
      <c r="P526" s="282"/>
      <c r="Q526" s="282"/>
      <c r="R526" s="282"/>
      <c r="S526" s="282"/>
      <c r="T526" s="282"/>
      <c r="U526" s="282"/>
      <c r="V526" s="298"/>
      <c r="W526" s="298"/>
      <c r="X526" s="298"/>
      <c r="Y526" s="298"/>
      <c r="Z526" s="298"/>
      <c r="AA526" s="298"/>
      <c r="AB526" s="298"/>
      <c r="AC526" s="298"/>
      <c r="AD526" s="298"/>
      <c r="AE526" s="298"/>
      <c r="AF526" s="298"/>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row>
    <row r="527">
      <c r="A527" s="304"/>
      <c r="B527" s="282"/>
      <c r="C527" s="298"/>
      <c r="D527" s="282"/>
      <c r="E527" s="282"/>
      <c r="F527" s="282"/>
      <c r="G527" s="282"/>
      <c r="H527" s="282"/>
      <c r="I527" s="282"/>
      <c r="J527" s="282"/>
      <c r="K527" s="282"/>
      <c r="L527" s="282"/>
      <c r="M527" s="282"/>
      <c r="N527" s="282"/>
      <c r="O527" s="282"/>
      <c r="P527" s="282"/>
      <c r="Q527" s="282"/>
      <c r="R527" s="282"/>
      <c r="S527" s="282"/>
      <c r="T527" s="282"/>
      <c r="U527" s="282"/>
      <c r="V527" s="298"/>
      <c r="W527" s="298"/>
      <c r="X527" s="298"/>
      <c r="Y527" s="298"/>
      <c r="Z527" s="298"/>
      <c r="AA527" s="298"/>
      <c r="AB527" s="298"/>
      <c r="AC527" s="298"/>
      <c r="AD527" s="298"/>
      <c r="AE527" s="298"/>
      <c r="AF527" s="298"/>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row>
    <row r="528">
      <c r="A528" s="304"/>
      <c r="B528" s="282"/>
      <c r="C528" s="298"/>
      <c r="D528" s="282"/>
      <c r="E528" s="282"/>
      <c r="F528" s="282"/>
      <c r="G528" s="282"/>
      <c r="H528" s="282"/>
      <c r="I528" s="282"/>
      <c r="J528" s="282"/>
      <c r="K528" s="282"/>
      <c r="L528" s="282"/>
      <c r="M528" s="282"/>
      <c r="N528" s="282"/>
      <c r="O528" s="282"/>
      <c r="P528" s="282"/>
      <c r="Q528" s="282"/>
      <c r="R528" s="282"/>
      <c r="S528" s="282"/>
      <c r="T528" s="282"/>
      <c r="U528" s="282"/>
      <c r="V528" s="298"/>
      <c r="W528" s="298"/>
      <c r="X528" s="298"/>
      <c r="Y528" s="298"/>
      <c r="Z528" s="298"/>
      <c r="AA528" s="298"/>
      <c r="AB528" s="298"/>
      <c r="AC528" s="298"/>
      <c r="AD528" s="298"/>
      <c r="AE528" s="298"/>
      <c r="AF528" s="298"/>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row>
    <row r="529">
      <c r="A529" s="304"/>
      <c r="B529" s="282"/>
      <c r="C529" s="298"/>
      <c r="D529" s="282"/>
      <c r="E529" s="282"/>
      <c r="F529" s="282"/>
      <c r="G529" s="282"/>
      <c r="H529" s="282"/>
      <c r="I529" s="282"/>
      <c r="J529" s="282"/>
      <c r="K529" s="282"/>
      <c r="L529" s="282"/>
      <c r="M529" s="282"/>
      <c r="N529" s="282"/>
      <c r="O529" s="282"/>
      <c r="P529" s="282"/>
      <c r="Q529" s="282"/>
      <c r="R529" s="282"/>
      <c r="S529" s="282"/>
      <c r="T529" s="282"/>
      <c r="U529" s="282"/>
      <c r="V529" s="298"/>
      <c r="W529" s="298"/>
      <c r="X529" s="298"/>
      <c r="Y529" s="298"/>
      <c r="Z529" s="298"/>
      <c r="AA529" s="298"/>
      <c r="AB529" s="298"/>
      <c r="AC529" s="298"/>
      <c r="AD529" s="298"/>
      <c r="AE529" s="298"/>
      <c r="AF529" s="298"/>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row>
    <row r="530">
      <c r="A530" s="304"/>
      <c r="B530" s="282"/>
      <c r="C530" s="298"/>
      <c r="D530" s="282"/>
      <c r="E530" s="282"/>
      <c r="F530" s="282"/>
      <c r="G530" s="282"/>
      <c r="H530" s="282"/>
      <c r="I530" s="282"/>
      <c r="J530" s="282"/>
      <c r="K530" s="282"/>
      <c r="L530" s="282"/>
      <c r="M530" s="282"/>
      <c r="N530" s="282"/>
      <c r="O530" s="282"/>
      <c r="P530" s="282"/>
      <c r="Q530" s="282"/>
      <c r="R530" s="282"/>
      <c r="S530" s="282"/>
      <c r="T530" s="282"/>
      <c r="U530" s="282"/>
      <c r="V530" s="298"/>
      <c r="W530" s="298"/>
      <c r="X530" s="298"/>
      <c r="Y530" s="298"/>
      <c r="Z530" s="298"/>
      <c r="AA530" s="298"/>
      <c r="AB530" s="298"/>
      <c r="AC530" s="298"/>
      <c r="AD530" s="298"/>
      <c r="AE530" s="298"/>
      <c r="AF530" s="298"/>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row>
    <row r="531">
      <c r="A531" s="304"/>
      <c r="B531" s="282"/>
      <c r="C531" s="298"/>
      <c r="D531" s="282"/>
      <c r="E531" s="282"/>
      <c r="F531" s="282"/>
      <c r="G531" s="282"/>
      <c r="H531" s="282"/>
      <c r="I531" s="282"/>
      <c r="J531" s="282"/>
      <c r="K531" s="282"/>
      <c r="L531" s="282"/>
      <c r="M531" s="282"/>
      <c r="N531" s="282"/>
      <c r="O531" s="282"/>
      <c r="P531" s="282"/>
      <c r="Q531" s="282"/>
      <c r="R531" s="282"/>
      <c r="S531" s="282"/>
      <c r="T531" s="282"/>
      <c r="U531" s="282"/>
      <c r="V531" s="298"/>
      <c r="W531" s="298"/>
      <c r="X531" s="298"/>
      <c r="Y531" s="298"/>
      <c r="Z531" s="298"/>
      <c r="AA531" s="298"/>
      <c r="AB531" s="298"/>
      <c r="AC531" s="298"/>
      <c r="AD531" s="298"/>
      <c r="AE531" s="298"/>
      <c r="AF531" s="298"/>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row>
    <row r="532">
      <c r="A532" s="304"/>
      <c r="B532" s="282"/>
      <c r="C532" s="298"/>
      <c r="D532" s="282"/>
      <c r="E532" s="282"/>
      <c r="F532" s="282"/>
      <c r="G532" s="282"/>
      <c r="H532" s="282"/>
      <c r="I532" s="282"/>
      <c r="J532" s="282"/>
      <c r="K532" s="282"/>
      <c r="L532" s="282"/>
      <c r="M532" s="282"/>
      <c r="N532" s="282"/>
      <c r="O532" s="282"/>
      <c r="P532" s="282"/>
      <c r="Q532" s="282"/>
      <c r="R532" s="282"/>
      <c r="S532" s="282"/>
      <c r="T532" s="282"/>
      <c r="U532" s="282"/>
      <c r="V532" s="298"/>
      <c r="W532" s="298"/>
      <c r="X532" s="298"/>
      <c r="Y532" s="298"/>
      <c r="Z532" s="298"/>
      <c r="AA532" s="298"/>
      <c r="AB532" s="298"/>
      <c r="AC532" s="298"/>
      <c r="AD532" s="298"/>
      <c r="AE532" s="298"/>
      <c r="AF532" s="298"/>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row>
    <row r="533">
      <c r="A533" s="304"/>
      <c r="B533" s="282"/>
      <c r="C533" s="298"/>
      <c r="D533" s="282"/>
      <c r="E533" s="282"/>
      <c r="F533" s="282"/>
      <c r="G533" s="282"/>
      <c r="H533" s="282"/>
      <c r="I533" s="282"/>
      <c r="J533" s="282"/>
      <c r="K533" s="282"/>
      <c r="L533" s="282"/>
      <c r="M533" s="282"/>
      <c r="N533" s="282"/>
      <c r="O533" s="282"/>
      <c r="P533" s="282"/>
      <c r="Q533" s="282"/>
      <c r="R533" s="282"/>
      <c r="S533" s="282"/>
      <c r="T533" s="282"/>
      <c r="U533" s="282"/>
      <c r="V533" s="298"/>
      <c r="W533" s="298"/>
      <c r="X533" s="298"/>
      <c r="Y533" s="298"/>
      <c r="Z533" s="298"/>
      <c r="AA533" s="298"/>
      <c r="AB533" s="298"/>
      <c r="AC533" s="298"/>
      <c r="AD533" s="298"/>
      <c r="AE533" s="298"/>
      <c r="AF533" s="298"/>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row>
    <row r="534">
      <c r="A534" s="304"/>
      <c r="B534" s="282"/>
      <c r="C534" s="298"/>
      <c r="D534" s="282"/>
      <c r="E534" s="282"/>
      <c r="F534" s="282"/>
      <c r="G534" s="282"/>
      <c r="H534" s="282"/>
      <c r="I534" s="282"/>
      <c r="J534" s="282"/>
      <c r="K534" s="282"/>
      <c r="L534" s="282"/>
      <c r="M534" s="282"/>
      <c r="N534" s="282"/>
      <c r="O534" s="282"/>
      <c r="P534" s="282"/>
      <c r="Q534" s="282"/>
      <c r="R534" s="282"/>
      <c r="S534" s="282"/>
      <c r="T534" s="282"/>
      <c r="U534" s="282"/>
      <c r="V534" s="298"/>
      <c r="W534" s="298"/>
      <c r="X534" s="298"/>
      <c r="Y534" s="298"/>
      <c r="Z534" s="298"/>
      <c r="AA534" s="298"/>
      <c r="AB534" s="298"/>
      <c r="AC534" s="298"/>
      <c r="AD534" s="298"/>
      <c r="AE534" s="298"/>
      <c r="AF534" s="298"/>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row>
    <row r="535">
      <c r="A535" s="304"/>
      <c r="B535" s="282"/>
      <c r="C535" s="298"/>
      <c r="D535" s="282"/>
      <c r="E535" s="282"/>
      <c r="F535" s="282"/>
      <c r="G535" s="282"/>
      <c r="H535" s="282"/>
      <c r="I535" s="282"/>
      <c r="J535" s="282"/>
      <c r="K535" s="282"/>
      <c r="L535" s="282"/>
      <c r="M535" s="282"/>
      <c r="N535" s="282"/>
      <c r="O535" s="282"/>
      <c r="P535" s="282"/>
      <c r="Q535" s="282"/>
      <c r="R535" s="282"/>
      <c r="S535" s="282"/>
      <c r="T535" s="282"/>
      <c r="U535" s="282"/>
      <c r="V535" s="298"/>
      <c r="W535" s="298"/>
      <c r="X535" s="298"/>
      <c r="Y535" s="298"/>
      <c r="Z535" s="298"/>
      <c r="AA535" s="298"/>
      <c r="AB535" s="298"/>
      <c r="AC535" s="298"/>
      <c r="AD535" s="298"/>
      <c r="AE535" s="298"/>
      <c r="AF535" s="298"/>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row>
    <row r="536">
      <c r="A536" s="304"/>
      <c r="B536" s="282"/>
      <c r="C536" s="298"/>
      <c r="D536" s="282"/>
      <c r="E536" s="282"/>
      <c r="F536" s="282"/>
      <c r="G536" s="282"/>
      <c r="H536" s="282"/>
      <c r="I536" s="282"/>
      <c r="J536" s="282"/>
      <c r="K536" s="282"/>
      <c r="L536" s="282"/>
      <c r="M536" s="282"/>
      <c r="N536" s="282"/>
      <c r="O536" s="282"/>
      <c r="P536" s="282"/>
      <c r="Q536" s="282"/>
      <c r="R536" s="282"/>
      <c r="S536" s="282"/>
      <c r="T536" s="282"/>
      <c r="U536" s="282"/>
      <c r="V536" s="298"/>
      <c r="W536" s="298"/>
      <c r="X536" s="298"/>
      <c r="Y536" s="298"/>
      <c r="Z536" s="298"/>
      <c r="AA536" s="298"/>
      <c r="AB536" s="298"/>
      <c r="AC536" s="298"/>
      <c r="AD536" s="298"/>
      <c r="AE536" s="298"/>
      <c r="AF536" s="298"/>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row>
    <row r="537">
      <c r="A537" s="304"/>
      <c r="B537" s="282"/>
      <c r="C537" s="298"/>
      <c r="D537" s="282"/>
      <c r="E537" s="282"/>
      <c r="F537" s="282"/>
      <c r="G537" s="282"/>
      <c r="H537" s="282"/>
      <c r="I537" s="282"/>
      <c r="J537" s="282"/>
      <c r="K537" s="282"/>
      <c r="L537" s="282"/>
      <c r="M537" s="282"/>
      <c r="N537" s="282"/>
      <c r="O537" s="282"/>
      <c r="P537" s="282"/>
      <c r="Q537" s="282"/>
      <c r="R537" s="282"/>
      <c r="S537" s="282"/>
      <c r="T537" s="282"/>
      <c r="U537" s="282"/>
      <c r="V537" s="298"/>
      <c r="W537" s="298"/>
      <c r="X537" s="298"/>
      <c r="Y537" s="298"/>
      <c r="Z537" s="298"/>
      <c r="AA537" s="298"/>
      <c r="AB537" s="298"/>
      <c r="AC537" s="298"/>
      <c r="AD537" s="298"/>
      <c r="AE537" s="298"/>
      <c r="AF537" s="298"/>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row>
    <row r="538">
      <c r="A538" s="304"/>
      <c r="B538" s="282"/>
      <c r="C538" s="298"/>
      <c r="D538" s="282"/>
      <c r="E538" s="282"/>
      <c r="F538" s="282"/>
      <c r="G538" s="282"/>
      <c r="H538" s="282"/>
      <c r="I538" s="282"/>
      <c r="J538" s="282"/>
      <c r="K538" s="282"/>
      <c r="L538" s="282"/>
      <c r="M538" s="282"/>
      <c r="N538" s="282"/>
      <c r="O538" s="282"/>
      <c r="P538" s="282"/>
      <c r="Q538" s="282"/>
      <c r="R538" s="282"/>
      <c r="S538" s="282"/>
      <c r="T538" s="282"/>
      <c r="U538" s="282"/>
      <c r="V538" s="298"/>
      <c r="W538" s="298"/>
      <c r="X538" s="298"/>
      <c r="Y538" s="298"/>
      <c r="Z538" s="298"/>
      <c r="AA538" s="298"/>
      <c r="AB538" s="298"/>
      <c r="AC538" s="298"/>
      <c r="AD538" s="298"/>
      <c r="AE538" s="298"/>
      <c r="AF538" s="298"/>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row>
    <row r="539">
      <c r="A539" s="304"/>
      <c r="B539" s="282"/>
      <c r="C539" s="298"/>
      <c r="D539" s="282"/>
      <c r="E539" s="282"/>
      <c r="F539" s="282"/>
      <c r="G539" s="282"/>
      <c r="H539" s="282"/>
      <c r="I539" s="282"/>
      <c r="J539" s="282"/>
      <c r="K539" s="282"/>
      <c r="L539" s="282"/>
      <c r="M539" s="282"/>
      <c r="N539" s="282"/>
      <c r="O539" s="282"/>
      <c r="P539" s="282"/>
      <c r="Q539" s="282"/>
      <c r="R539" s="282"/>
      <c r="S539" s="282"/>
      <c r="T539" s="282"/>
      <c r="U539" s="282"/>
      <c r="V539" s="298"/>
      <c r="W539" s="298"/>
      <c r="X539" s="298"/>
      <c r="Y539" s="298"/>
      <c r="Z539" s="298"/>
      <c r="AA539" s="298"/>
      <c r="AB539" s="298"/>
      <c r="AC539" s="298"/>
      <c r="AD539" s="298"/>
      <c r="AE539" s="298"/>
      <c r="AF539" s="298"/>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row>
    <row r="540">
      <c r="A540" s="304"/>
      <c r="B540" s="282"/>
      <c r="C540" s="298"/>
      <c r="D540" s="282"/>
      <c r="E540" s="282"/>
      <c r="F540" s="282"/>
      <c r="G540" s="282"/>
      <c r="H540" s="282"/>
      <c r="I540" s="282"/>
      <c r="J540" s="282"/>
      <c r="K540" s="282"/>
      <c r="L540" s="282"/>
      <c r="M540" s="282"/>
      <c r="N540" s="282"/>
      <c r="O540" s="282"/>
      <c r="P540" s="282"/>
      <c r="Q540" s="282"/>
      <c r="R540" s="282"/>
      <c r="S540" s="282"/>
      <c r="T540" s="282"/>
      <c r="U540" s="282"/>
      <c r="V540" s="298"/>
      <c r="W540" s="298"/>
      <c r="X540" s="298"/>
      <c r="Y540" s="298"/>
      <c r="Z540" s="298"/>
      <c r="AA540" s="298"/>
      <c r="AB540" s="298"/>
      <c r="AC540" s="298"/>
      <c r="AD540" s="298"/>
      <c r="AE540" s="298"/>
      <c r="AF540" s="298"/>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row>
    <row r="541">
      <c r="A541" s="304"/>
      <c r="B541" s="282"/>
      <c r="C541" s="298"/>
      <c r="D541" s="282"/>
      <c r="E541" s="282"/>
      <c r="F541" s="282"/>
      <c r="G541" s="282"/>
      <c r="H541" s="282"/>
      <c r="I541" s="282"/>
      <c r="J541" s="282"/>
      <c r="K541" s="282"/>
      <c r="L541" s="282"/>
      <c r="M541" s="282"/>
      <c r="N541" s="282"/>
      <c r="O541" s="282"/>
      <c r="P541" s="282"/>
      <c r="Q541" s="282"/>
      <c r="R541" s="282"/>
      <c r="S541" s="282"/>
      <c r="T541" s="282"/>
      <c r="U541" s="282"/>
      <c r="V541" s="298"/>
      <c r="W541" s="298"/>
      <c r="X541" s="298"/>
      <c r="Y541" s="298"/>
      <c r="Z541" s="298"/>
      <c r="AA541" s="298"/>
      <c r="AB541" s="298"/>
      <c r="AC541" s="298"/>
      <c r="AD541" s="298"/>
      <c r="AE541" s="298"/>
      <c r="AF541" s="298"/>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row>
    <row r="542">
      <c r="A542" s="304"/>
      <c r="B542" s="282"/>
      <c r="C542" s="298"/>
      <c r="D542" s="282"/>
      <c r="E542" s="282"/>
      <c r="F542" s="282"/>
      <c r="G542" s="282"/>
      <c r="H542" s="282"/>
      <c r="I542" s="282"/>
      <c r="J542" s="282"/>
      <c r="K542" s="282"/>
      <c r="L542" s="282"/>
      <c r="M542" s="282"/>
      <c r="N542" s="282"/>
      <c r="O542" s="282"/>
      <c r="P542" s="282"/>
      <c r="Q542" s="282"/>
      <c r="R542" s="282"/>
      <c r="S542" s="282"/>
      <c r="T542" s="282"/>
      <c r="U542" s="282"/>
      <c r="V542" s="298"/>
      <c r="W542" s="298"/>
      <c r="X542" s="298"/>
      <c r="Y542" s="298"/>
      <c r="Z542" s="298"/>
      <c r="AA542" s="298"/>
      <c r="AB542" s="298"/>
      <c r="AC542" s="298"/>
      <c r="AD542" s="298"/>
      <c r="AE542" s="298"/>
      <c r="AF542" s="298"/>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row>
    <row r="543">
      <c r="A543" s="304"/>
      <c r="B543" s="282"/>
      <c r="C543" s="298"/>
      <c r="D543" s="282"/>
      <c r="E543" s="282"/>
      <c r="F543" s="282"/>
      <c r="G543" s="282"/>
      <c r="H543" s="282"/>
      <c r="I543" s="282"/>
      <c r="J543" s="282"/>
      <c r="K543" s="282"/>
      <c r="L543" s="282"/>
      <c r="M543" s="282"/>
      <c r="N543" s="282"/>
      <c r="O543" s="282"/>
      <c r="P543" s="282"/>
      <c r="Q543" s="282"/>
      <c r="R543" s="282"/>
      <c r="S543" s="282"/>
      <c r="T543" s="282"/>
      <c r="U543" s="282"/>
      <c r="V543" s="298"/>
      <c r="W543" s="298"/>
      <c r="X543" s="298"/>
      <c r="Y543" s="298"/>
      <c r="Z543" s="298"/>
      <c r="AA543" s="298"/>
      <c r="AB543" s="298"/>
      <c r="AC543" s="298"/>
      <c r="AD543" s="298"/>
      <c r="AE543" s="298"/>
      <c r="AF543" s="298"/>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row>
    <row r="544">
      <c r="A544" s="304"/>
      <c r="B544" s="282"/>
      <c r="C544" s="298"/>
      <c r="D544" s="282"/>
      <c r="E544" s="282"/>
      <c r="F544" s="282"/>
      <c r="G544" s="282"/>
      <c r="H544" s="282"/>
      <c r="I544" s="282"/>
      <c r="J544" s="282"/>
      <c r="K544" s="282"/>
      <c r="L544" s="282"/>
      <c r="M544" s="282"/>
      <c r="N544" s="282"/>
      <c r="O544" s="282"/>
      <c r="P544" s="282"/>
      <c r="Q544" s="282"/>
      <c r="R544" s="282"/>
      <c r="S544" s="282"/>
      <c r="T544" s="282"/>
      <c r="U544" s="282"/>
      <c r="V544" s="298"/>
      <c r="W544" s="298"/>
      <c r="X544" s="298"/>
      <c r="Y544" s="298"/>
      <c r="Z544" s="298"/>
      <c r="AA544" s="298"/>
      <c r="AB544" s="298"/>
      <c r="AC544" s="298"/>
      <c r="AD544" s="298"/>
      <c r="AE544" s="298"/>
      <c r="AF544" s="298"/>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row>
    <row r="545">
      <c r="A545" s="304"/>
      <c r="B545" s="282"/>
      <c r="C545" s="298"/>
      <c r="D545" s="282"/>
      <c r="E545" s="282"/>
      <c r="F545" s="282"/>
      <c r="G545" s="282"/>
      <c r="H545" s="282"/>
      <c r="I545" s="282"/>
      <c r="J545" s="282"/>
      <c r="K545" s="282"/>
      <c r="L545" s="282"/>
      <c r="M545" s="282"/>
      <c r="N545" s="282"/>
      <c r="O545" s="282"/>
      <c r="P545" s="282"/>
      <c r="Q545" s="282"/>
      <c r="R545" s="282"/>
      <c r="S545" s="282"/>
      <c r="T545" s="282"/>
      <c r="U545" s="282"/>
      <c r="V545" s="298"/>
      <c r="W545" s="298"/>
      <c r="X545" s="298"/>
      <c r="Y545" s="298"/>
      <c r="Z545" s="298"/>
      <c r="AA545" s="298"/>
      <c r="AB545" s="298"/>
      <c r="AC545" s="298"/>
      <c r="AD545" s="298"/>
      <c r="AE545" s="298"/>
      <c r="AF545" s="298"/>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row>
    <row r="546">
      <c r="A546" s="304"/>
      <c r="B546" s="282"/>
      <c r="C546" s="298"/>
      <c r="D546" s="282"/>
      <c r="E546" s="282"/>
      <c r="F546" s="282"/>
      <c r="G546" s="282"/>
      <c r="H546" s="282"/>
      <c r="I546" s="282"/>
      <c r="J546" s="282"/>
      <c r="K546" s="282"/>
      <c r="L546" s="282"/>
      <c r="M546" s="282"/>
      <c r="N546" s="282"/>
      <c r="O546" s="282"/>
      <c r="P546" s="282"/>
      <c r="Q546" s="282"/>
      <c r="R546" s="282"/>
      <c r="S546" s="282"/>
      <c r="T546" s="282"/>
      <c r="U546" s="282"/>
      <c r="V546" s="298"/>
      <c r="W546" s="298"/>
      <c r="X546" s="298"/>
      <c r="Y546" s="298"/>
      <c r="Z546" s="298"/>
      <c r="AA546" s="298"/>
      <c r="AB546" s="298"/>
      <c r="AC546" s="298"/>
      <c r="AD546" s="298"/>
      <c r="AE546" s="298"/>
      <c r="AF546" s="298"/>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row>
    <row r="547">
      <c r="A547" s="304"/>
      <c r="B547" s="282"/>
      <c r="C547" s="298"/>
      <c r="D547" s="282"/>
      <c r="E547" s="282"/>
      <c r="F547" s="282"/>
      <c r="G547" s="282"/>
      <c r="H547" s="282"/>
      <c r="I547" s="282"/>
      <c r="J547" s="282"/>
      <c r="K547" s="282"/>
      <c r="L547" s="282"/>
      <c r="M547" s="282"/>
      <c r="N547" s="282"/>
      <c r="O547" s="282"/>
      <c r="P547" s="282"/>
      <c r="Q547" s="282"/>
      <c r="R547" s="282"/>
      <c r="S547" s="282"/>
      <c r="T547" s="282"/>
      <c r="U547" s="282"/>
      <c r="V547" s="298"/>
      <c r="W547" s="298"/>
      <c r="X547" s="298"/>
      <c r="Y547" s="298"/>
      <c r="Z547" s="298"/>
      <c r="AA547" s="298"/>
      <c r="AB547" s="298"/>
      <c r="AC547" s="298"/>
      <c r="AD547" s="298"/>
      <c r="AE547" s="298"/>
      <c r="AF547" s="298"/>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row>
    <row r="548">
      <c r="A548" s="304"/>
      <c r="B548" s="282"/>
      <c r="C548" s="298"/>
      <c r="D548" s="282"/>
      <c r="E548" s="282"/>
      <c r="F548" s="282"/>
      <c r="G548" s="282"/>
      <c r="H548" s="282"/>
      <c r="I548" s="282"/>
      <c r="J548" s="282"/>
      <c r="K548" s="282"/>
      <c r="L548" s="282"/>
      <c r="M548" s="282"/>
      <c r="N548" s="282"/>
      <c r="O548" s="282"/>
      <c r="P548" s="282"/>
      <c r="Q548" s="282"/>
      <c r="R548" s="282"/>
      <c r="S548" s="282"/>
      <c r="T548" s="282"/>
      <c r="U548" s="282"/>
      <c r="V548" s="298"/>
      <c r="W548" s="298"/>
      <c r="X548" s="298"/>
      <c r="Y548" s="298"/>
      <c r="Z548" s="298"/>
      <c r="AA548" s="298"/>
      <c r="AB548" s="298"/>
      <c r="AC548" s="298"/>
      <c r="AD548" s="298"/>
      <c r="AE548" s="298"/>
      <c r="AF548" s="298"/>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row>
    <row r="549">
      <c r="A549" s="304"/>
      <c r="B549" s="282"/>
      <c r="C549" s="298"/>
      <c r="D549" s="282"/>
      <c r="E549" s="282"/>
      <c r="F549" s="282"/>
      <c r="G549" s="282"/>
      <c r="H549" s="282"/>
      <c r="I549" s="282"/>
      <c r="J549" s="282"/>
      <c r="K549" s="282"/>
      <c r="L549" s="282"/>
      <c r="M549" s="282"/>
      <c r="N549" s="282"/>
      <c r="O549" s="282"/>
      <c r="P549" s="282"/>
      <c r="Q549" s="282"/>
      <c r="R549" s="282"/>
      <c r="S549" s="282"/>
      <c r="T549" s="282"/>
      <c r="U549" s="282"/>
      <c r="V549" s="298"/>
      <c r="W549" s="298"/>
      <c r="X549" s="298"/>
      <c r="Y549" s="298"/>
      <c r="Z549" s="298"/>
      <c r="AA549" s="298"/>
      <c r="AB549" s="298"/>
      <c r="AC549" s="298"/>
      <c r="AD549" s="298"/>
      <c r="AE549" s="298"/>
      <c r="AF549" s="298"/>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row>
    <row r="550">
      <c r="A550" s="304"/>
      <c r="B550" s="282"/>
      <c r="C550" s="298"/>
      <c r="D550" s="282"/>
      <c r="E550" s="282"/>
      <c r="F550" s="282"/>
      <c r="G550" s="282"/>
      <c r="H550" s="282"/>
      <c r="I550" s="282"/>
      <c r="J550" s="282"/>
      <c r="K550" s="282"/>
      <c r="L550" s="282"/>
      <c r="M550" s="282"/>
      <c r="N550" s="282"/>
      <c r="O550" s="282"/>
      <c r="P550" s="282"/>
      <c r="Q550" s="282"/>
      <c r="R550" s="282"/>
      <c r="S550" s="282"/>
      <c r="T550" s="282"/>
      <c r="U550" s="282"/>
      <c r="V550" s="298"/>
      <c r="W550" s="298"/>
      <c r="X550" s="298"/>
      <c r="Y550" s="298"/>
      <c r="Z550" s="298"/>
      <c r="AA550" s="298"/>
      <c r="AB550" s="298"/>
      <c r="AC550" s="298"/>
      <c r="AD550" s="298"/>
      <c r="AE550" s="298"/>
      <c r="AF550" s="298"/>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row>
    <row r="551">
      <c r="A551" s="304"/>
      <c r="B551" s="282"/>
      <c r="C551" s="298"/>
      <c r="D551" s="282"/>
      <c r="E551" s="282"/>
      <c r="F551" s="282"/>
      <c r="G551" s="282"/>
      <c r="H551" s="282"/>
      <c r="I551" s="282"/>
      <c r="J551" s="282"/>
      <c r="K551" s="282"/>
      <c r="L551" s="282"/>
      <c r="M551" s="282"/>
      <c r="N551" s="282"/>
      <c r="O551" s="282"/>
      <c r="P551" s="282"/>
      <c r="Q551" s="282"/>
      <c r="R551" s="282"/>
      <c r="S551" s="282"/>
      <c r="T551" s="282"/>
      <c r="U551" s="282"/>
      <c r="V551" s="298"/>
      <c r="W551" s="298"/>
      <c r="X551" s="298"/>
      <c r="Y551" s="298"/>
      <c r="Z551" s="298"/>
      <c r="AA551" s="298"/>
      <c r="AB551" s="298"/>
      <c r="AC551" s="298"/>
      <c r="AD551" s="298"/>
      <c r="AE551" s="298"/>
      <c r="AF551" s="298"/>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row>
    <row r="552">
      <c r="A552" s="304"/>
      <c r="B552" s="282"/>
      <c r="C552" s="298"/>
      <c r="D552" s="282"/>
      <c r="E552" s="282"/>
      <c r="F552" s="282"/>
      <c r="G552" s="282"/>
      <c r="H552" s="282"/>
      <c r="I552" s="282"/>
      <c r="J552" s="282"/>
      <c r="K552" s="282"/>
      <c r="L552" s="282"/>
      <c r="M552" s="282"/>
      <c r="N552" s="282"/>
      <c r="O552" s="282"/>
      <c r="P552" s="282"/>
      <c r="Q552" s="282"/>
      <c r="R552" s="282"/>
      <c r="S552" s="282"/>
      <c r="T552" s="282"/>
      <c r="U552" s="282"/>
      <c r="V552" s="298"/>
      <c r="W552" s="298"/>
      <c r="X552" s="298"/>
      <c r="Y552" s="298"/>
      <c r="Z552" s="298"/>
      <c r="AA552" s="298"/>
      <c r="AB552" s="298"/>
      <c r="AC552" s="298"/>
      <c r="AD552" s="298"/>
      <c r="AE552" s="298"/>
      <c r="AF552" s="298"/>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row>
    <row r="553">
      <c r="A553" s="304"/>
      <c r="B553" s="282"/>
      <c r="C553" s="298"/>
      <c r="D553" s="282"/>
      <c r="E553" s="282"/>
      <c r="F553" s="282"/>
      <c r="G553" s="282"/>
      <c r="H553" s="282"/>
      <c r="I553" s="282"/>
      <c r="J553" s="282"/>
      <c r="K553" s="282"/>
      <c r="L553" s="282"/>
      <c r="M553" s="282"/>
      <c r="N553" s="282"/>
      <c r="O553" s="282"/>
      <c r="P553" s="282"/>
      <c r="Q553" s="282"/>
      <c r="R553" s="282"/>
      <c r="S553" s="282"/>
      <c r="T553" s="282"/>
      <c r="U553" s="282"/>
      <c r="V553" s="298"/>
      <c r="W553" s="298"/>
      <c r="X553" s="298"/>
      <c r="Y553" s="298"/>
      <c r="Z553" s="298"/>
      <c r="AA553" s="298"/>
      <c r="AB553" s="298"/>
      <c r="AC553" s="298"/>
      <c r="AD553" s="298"/>
      <c r="AE553" s="298"/>
      <c r="AF553" s="298"/>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row>
    <row r="554">
      <c r="A554" s="304"/>
      <c r="B554" s="282"/>
      <c r="C554" s="298"/>
      <c r="D554" s="282"/>
      <c r="E554" s="282"/>
      <c r="F554" s="282"/>
      <c r="G554" s="282"/>
      <c r="H554" s="282"/>
      <c r="I554" s="282"/>
      <c r="J554" s="282"/>
      <c r="K554" s="282"/>
      <c r="L554" s="282"/>
      <c r="M554" s="282"/>
      <c r="N554" s="282"/>
      <c r="O554" s="282"/>
      <c r="P554" s="282"/>
      <c r="Q554" s="282"/>
      <c r="R554" s="282"/>
      <c r="S554" s="282"/>
      <c r="T554" s="282"/>
      <c r="U554" s="282"/>
      <c r="V554" s="298"/>
      <c r="W554" s="298"/>
      <c r="X554" s="298"/>
      <c r="Y554" s="298"/>
      <c r="Z554" s="298"/>
      <c r="AA554" s="298"/>
      <c r="AB554" s="298"/>
      <c r="AC554" s="298"/>
      <c r="AD554" s="298"/>
      <c r="AE554" s="298"/>
      <c r="AF554" s="298"/>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row>
    <row r="555">
      <c r="A555" s="304"/>
      <c r="B555" s="282"/>
      <c r="C555" s="298"/>
      <c r="D555" s="282"/>
      <c r="E555" s="282"/>
      <c r="F555" s="282"/>
      <c r="G555" s="282"/>
      <c r="H555" s="282"/>
      <c r="I555" s="282"/>
      <c r="J555" s="282"/>
      <c r="K555" s="282"/>
      <c r="L555" s="282"/>
      <c r="M555" s="282"/>
      <c r="N555" s="282"/>
      <c r="O555" s="282"/>
      <c r="P555" s="282"/>
      <c r="Q555" s="282"/>
      <c r="R555" s="282"/>
      <c r="S555" s="282"/>
      <c r="T555" s="282"/>
      <c r="U555" s="282"/>
      <c r="V555" s="298"/>
      <c r="W555" s="298"/>
      <c r="X555" s="298"/>
      <c r="Y555" s="298"/>
      <c r="Z555" s="298"/>
      <c r="AA555" s="298"/>
      <c r="AB555" s="298"/>
      <c r="AC555" s="298"/>
      <c r="AD555" s="298"/>
      <c r="AE555" s="298"/>
      <c r="AF555" s="298"/>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row>
    <row r="556">
      <c r="A556" s="304"/>
      <c r="B556" s="282"/>
      <c r="C556" s="298"/>
      <c r="D556" s="282"/>
      <c r="E556" s="282"/>
      <c r="F556" s="282"/>
      <c r="G556" s="282"/>
      <c r="H556" s="282"/>
      <c r="I556" s="282"/>
      <c r="J556" s="282"/>
      <c r="K556" s="282"/>
      <c r="L556" s="282"/>
      <c r="M556" s="282"/>
      <c r="N556" s="282"/>
      <c r="O556" s="282"/>
      <c r="P556" s="282"/>
      <c r="Q556" s="282"/>
      <c r="R556" s="282"/>
      <c r="S556" s="282"/>
      <c r="T556" s="282"/>
      <c r="U556" s="282"/>
      <c r="V556" s="298"/>
      <c r="W556" s="298"/>
      <c r="X556" s="298"/>
      <c r="Y556" s="298"/>
      <c r="Z556" s="298"/>
      <c r="AA556" s="298"/>
      <c r="AB556" s="298"/>
      <c r="AC556" s="298"/>
      <c r="AD556" s="298"/>
      <c r="AE556" s="298"/>
      <c r="AF556" s="298"/>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row>
    <row r="557">
      <c r="A557" s="304"/>
      <c r="B557" s="282"/>
      <c r="C557" s="298"/>
      <c r="D557" s="282"/>
      <c r="E557" s="282"/>
      <c r="F557" s="282"/>
      <c r="G557" s="282"/>
      <c r="H557" s="282"/>
      <c r="I557" s="282"/>
      <c r="J557" s="282"/>
      <c r="K557" s="282"/>
      <c r="L557" s="282"/>
      <c r="M557" s="282"/>
      <c r="N557" s="282"/>
      <c r="O557" s="282"/>
      <c r="P557" s="282"/>
      <c r="Q557" s="282"/>
      <c r="R557" s="282"/>
      <c r="S557" s="282"/>
      <c r="T557" s="282"/>
      <c r="U557" s="282"/>
      <c r="V557" s="298"/>
      <c r="W557" s="298"/>
      <c r="X557" s="298"/>
      <c r="Y557" s="298"/>
      <c r="Z557" s="298"/>
      <c r="AA557" s="298"/>
      <c r="AB557" s="298"/>
      <c r="AC557" s="298"/>
      <c r="AD557" s="298"/>
      <c r="AE557" s="298"/>
      <c r="AF557" s="298"/>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row>
    <row r="558">
      <c r="A558" s="304"/>
      <c r="B558" s="282"/>
      <c r="C558" s="298"/>
      <c r="D558" s="282"/>
      <c r="E558" s="282"/>
      <c r="F558" s="282"/>
      <c r="G558" s="282"/>
      <c r="H558" s="282"/>
      <c r="I558" s="282"/>
      <c r="J558" s="282"/>
      <c r="K558" s="282"/>
      <c r="L558" s="282"/>
      <c r="M558" s="282"/>
      <c r="N558" s="282"/>
      <c r="O558" s="282"/>
      <c r="P558" s="282"/>
      <c r="Q558" s="282"/>
      <c r="R558" s="282"/>
      <c r="S558" s="282"/>
      <c r="T558" s="282"/>
      <c r="U558" s="282"/>
      <c r="V558" s="298"/>
      <c r="W558" s="298"/>
      <c r="X558" s="298"/>
      <c r="Y558" s="298"/>
      <c r="Z558" s="298"/>
      <c r="AA558" s="298"/>
      <c r="AB558" s="298"/>
      <c r="AC558" s="298"/>
      <c r="AD558" s="298"/>
      <c r="AE558" s="298"/>
      <c r="AF558" s="298"/>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row>
    <row r="559">
      <c r="A559" s="304"/>
      <c r="B559" s="282"/>
      <c r="C559" s="298"/>
      <c r="D559" s="282"/>
      <c r="E559" s="282"/>
      <c r="F559" s="282"/>
      <c r="G559" s="282"/>
      <c r="H559" s="282"/>
      <c r="I559" s="282"/>
      <c r="J559" s="282"/>
      <c r="K559" s="282"/>
      <c r="L559" s="282"/>
      <c r="M559" s="282"/>
      <c r="N559" s="282"/>
      <c r="O559" s="282"/>
      <c r="P559" s="282"/>
      <c r="Q559" s="282"/>
      <c r="R559" s="282"/>
      <c r="S559" s="282"/>
      <c r="T559" s="282"/>
      <c r="U559" s="282"/>
      <c r="V559" s="298"/>
      <c r="W559" s="298"/>
      <c r="X559" s="298"/>
      <c r="Y559" s="298"/>
      <c r="Z559" s="298"/>
      <c r="AA559" s="298"/>
      <c r="AB559" s="298"/>
      <c r="AC559" s="298"/>
      <c r="AD559" s="298"/>
      <c r="AE559" s="298"/>
      <c r="AF559" s="298"/>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row>
    <row r="560">
      <c r="A560" s="304"/>
      <c r="B560" s="282"/>
      <c r="C560" s="298"/>
      <c r="D560" s="282"/>
      <c r="E560" s="282"/>
      <c r="F560" s="282"/>
      <c r="G560" s="282"/>
      <c r="H560" s="282"/>
      <c r="I560" s="282"/>
      <c r="J560" s="282"/>
      <c r="K560" s="282"/>
      <c r="L560" s="282"/>
      <c r="M560" s="282"/>
      <c r="N560" s="282"/>
      <c r="O560" s="282"/>
      <c r="P560" s="282"/>
      <c r="Q560" s="282"/>
      <c r="R560" s="282"/>
      <c r="S560" s="282"/>
      <c r="T560" s="282"/>
      <c r="U560" s="282"/>
      <c r="V560" s="298"/>
      <c r="W560" s="298"/>
      <c r="X560" s="298"/>
      <c r="Y560" s="298"/>
      <c r="Z560" s="298"/>
      <c r="AA560" s="298"/>
      <c r="AB560" s="298"/>
      <c r="AC560" s="298"/>
      <c r="AD560" s="298"/>
      <c r="AE560" s="298"/>
      <c r="AF560" s="298"/>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row>
    <row r="561">
      <c r="A561" s="304"/>
      <c r="B561" s="282"/>
      <c r="C561" s="298"/>
      <c r="D561" s="282"/>
      <c r="E561" s="282"/>
      <c r="F561" s="282"/>
      <c r="G561" s="282"/>
      <c r="H561" s="282"/>
      <c r="I561" s="282"/>
      <c r="J561" s="282"/>
      <c r="K561" s="282"/>
      <c r="L561" s="282"/>
      <c r="M561" s="282"/>
      <c r="N561" s="282"/>
      <c r="O561" s="282"/>
      <c r="P561" s="282"/>
      <c r="Q561" s="282"/>
      <c r="R561" s="282"/>
      <c r="S561" s="282"/>
      <c r="T561" s="282"/>
      <c r="U561" s="282"/>
      <c r="V561" s="298"/>
      <c r="W561" s="298"/>
      <c r="X561" s="298"/>
      <c r="Y561" s="298"/>
      <c r="Z561" s="298"/>
      <c r="AA561" s="298"/>
      <c r="AB561" s="298"/>
      <c r="AC561" s="298"/>
      <c r="AD561" s="298"/>
      <c r="AE561" s="298"/>
      <c r="AF561" s="298"/>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row>
    <row r="562">
      <c r="A562" s="304"/>
      <c r="B562" s="282"/>
      <c r="C562" s="298"/>
      <c r="D562" s="282"/>
      <c r="E562" s="282"/>
      <c r="F562" s="282"/>
      <c r="G562" s="282"/>
      <c r="H562" s="282"/>
      <c r="I562" s="282"/>
      <c r="J562" s="282"/>
      <c r="K562" s="282"/>
      <c r="L562" s="282"/>
      <c r="M562" s="282"/>
      <c r="N562" s="282"/>
      <c r="O562" s="282"/>
      <c r="P562" s="282"/>
      <c r="Q562" s="282"/>
      <c r="R562" s="282"/>
      <c r="S562" s="282"/>
      <c r="T562" s="282"/>
      <c r="U562" s="282"/>
      <c r="V562" s="298"/>
      <c r="W562" s="298"/>
      <c r="X562" s="298"/>
      <c r="Y562" s="298"/>
      <c r="Z562" s="298"/>
      <c r="AA562" s="298"/>
      <c r="AB562" s="298"/>
      <c r="AC562" s="298"/>
      <c r="AD562" s="298"/>
      <c r="AE562" s="298"/>
      <c r="AF562" s="298"/>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row>
    <row r="563">
      <c r="A563" s="304"/>
      <c r="B563" s="282"/>
      <c r="C563" s="298"/>
      <c r="D563" s="282"/>
      <c r="E563" s="282"/>
      <c r="F563" s="282"/>
      <c r="G563" s="282"/>
      <c r="H563" s="282"/>
      <c r="I563" s="282"/>
      <c r="J563" s="282"/>
      <c r="K563" s="282"/>
      <c r="L563" s="282"/>
      <c r="M563" s="282"/>
      <c r="N563" s="282"/>
      <c r="O563" s="282"/>
      <c r="P563" s="282"/>
      <c r="Q563" s="282"/>
      <c r="R563" s="282"/>
      <c r="S563" s="282"/>
      <c r="T563" s="282"/>
      <c r="U563" s="282"/>
      <c r="V563" s="298"/>
      <c r="W563" s="298"/>
      <c r="X563" s="298"/>
      <c r="Y563" s="298"/>
      <c r="Z563" s="298"/>
      <c r="AA563" s="298"/>
      <c r="AB563" s="298"/>
      <c r="AC563" s="298"/>
      <c r="AD563" s="298"/>
      <c r="AE563" s="298"/>
      <c r="AF563" s="298"/>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row>
    <row r="564">
      <c r="A564" s="304"/>
      <c r="B564" s="282"/>
      <c r="C564" s="298"/>
      <c r="D564" s="282"/>
      <c r="E564" s="282"/>
      <c r="F564" s="282"/>
      <c r="G564" s="282"/>
      <c r="H564" s="282"/>
      <c r="I564" s="282"/>
      <c r="J564" s="282"/>
      <c r="K564" s="282"/>
      <c r="L564" s="282"/>
      <c r="M564" s="282"/>
      <c r="N564" s="282"/>
      <c r="O564" s="282"/>
      <c r="P564" s="282"/>
      <c r="Q564" s="282"/>
      <c r="R564" s="282"/>
      <c r="S564" s="282"/>
      <c r="T564" s="282"/>
      <c r="U564" s="282"/>
      <c r="V564" s="298"/>
      <c r="W564" s="298"/>
      <c r="X564" s="298"/>
      <c r="Y564" s="298"/>
      <c r="Z564" s="298"/>
      <c r="AA564" s="298"/>
      <c r="AB564" s="298"/>
      <c r="AC564" s="298"/>
      <c r="AD564" s="298"/>
      <c r="AE564" s="298"/>
      <c r="AF564" s="298"/>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row>
    <row r="565">
      <c r="A565" s="304"/>
      <c r="B565" s="282"/>
      <c r="C565" s="298"/>
      <c r="D565" s="282"/>
      <c r="E565" s="282"/>
      <c r="F565" s="282"/>
      <c r="G565" s="282"/>
      <c r="H565" s="282"/>
      <c r="I565" s="282"/>
      <c r="J565" s="282"/>
      <c r="K565" s="282"/>
      <c r="L565" s="282"/>
      <c r="M565" s="282"/>
      <c r="N565" s="282"/>
      <c r="O565" s="282"/>
      <c r="P565" s="282"/>
      <c r="Q565" s="282"/>
      <c r="R565" s="282"/>
      <c r="S565" s="282"/>
      <c r="T565" s="282"/>
      <c r="U565" s="282"/>
      <c r="V565" s="298"/>
      <c r="W565" s="298"/>
      <c r="X565" s="298"/>
      <c r="Y565" s="298"/>
      <c r="Z565" s="298"/>
      <c r="AA565" s="298"/>
      <c r="AB565" s="298"/>
      <c r="AC565" s="298"/>
      <c r="AD565" s="298"/>
      <c r="AE565" s="298"/>
      <c r="AF565" s="298"/>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row>
    <row r="566">
      <c r="A566" s="304"/>
      <c r="B566" s="282"/>
      <c r="C566" s="298"/>
      <c r="D566" s="282"/>
      <c r="E566" s="282"/>
      <c r="F566" s="282"/>
      <c r="G566" s="282"/>
      <c r="H566" s="282"/>
      <c r="I566" s="282"/>
      <c r="J566" s="282"/>
      <c r="K566" s="282"/>
      <c r="L566" s="282"/>
      <c r="M566" s="282"/>
      <c r="N566" s="282"/>
      <c r="O566" s="282"/>
      <c r="P566" s="282"/>
      <c r="Q566" s="282"/>
      <c r="R566" s="282"/>
      <c r="S566" s="282"/>
      <c r="T566" s="282"/>
      <c r="U566" s="282"/>
      <c r="V566" s="298"/>
      <c r="W566" s="298"/>
      <c r="X566" s="298"/>
      <c r="Y566" s="298"/>
      <c r="Z566" s="298"/>
      <c r="AA566" s="298"/>
      <c r="AB566" s="298"/>
      <c r="AC566" s="298"/>
      <c r="AD566" s="298"/>
      <c r="AE566" s="298"/>
      <c r="AF566" s="298"/>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row>
    <row r="567">
      <c r="A567" s="304"/>
      <c r="B567" s="282"/>
      <c r="C567" s="298"/>
      <c r="D567" s="282"/>
      <c r="E567" s="282"/>
      <c r="F567" s="282"/>
      <c r="G567" s="282"/>
      <c r="H567" s="282"/>
      <c r="I567" s="282"/>
      <c r="J567" s="282"/>
      <c r="K567" s="282"/>
      <c r="L567" s="282"/>
      <c r="M567" s="282"/>
      <c r="N567" s="282"/>
      <c r="O567" s="282"/>
      <c r="P567" s="282"/>
      <c r="Q567" s="282"/>
      <c r="R567" s="282"/>
      <c r="S567" s="282"/>
      <c r="T567" s="282"/>
      <c r="U567" s="282"/>
      <c r="V567" s="298"/>
      <c r="W567" s="298"/>
      <c r="X567" s="298"/>
      <c r="Y567" s="298"/>
      <c r="Z567" s="298"/>
      <c r="AA567" s="298"/>
      <c r="AB567" s="298"/>
      <c r="AC567" s="298"/>
      <c r="AD567" s="298"/>
      <c r="AE567" s="298"/>
      <c r="AF567" s="298"/>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row>
    <row r="568">
      <c r="A568" s="304"/>
      <c r="B568" s="282"/>
      <c r="C568" s="298"/>
      <c r="D568" s="282"/>
      <c r="E568" s="282"/>
      <c r="F568" s="282"/>
      <c r="G568" s="282"/>
      <c r="H568" s="282"/>
      <c r="I568" s="282"/>
      <c r="J568" s="282"/>
      <c r="K568" s="282"/>
      <c r="L568" s="282"/>
      <c r="M568" s="282"/>
      <c r="N568" s="282"/>
      <c r="O568" s="282"/>
      <c r="P568" s="282"/>
      <c r="Q568" s="282"/>
      <c r="R568" s="282"/>
      <c r="S568" s="282"/>
      <c r="T568" s="282"/>
      <c r="U568" s="282"/>
      <c r="V568" s="298"/>
      <c r="W568" s="298"/>
      <c r="X568" s="298"/>
      <c r="Y568" s="298"/>
      <c r="Z568" s="298"/>
      <c r="AA568" s="298"/>
      <c r="AB568" s="298"/>
      <c r="AC568" s="298"/>
      <c r="AD568" s="298"/>
      <c r="AE568" s="298"/>
      <c r="AF568" s="298"/>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row>
    <row r="569">
      <c r="A569" s="304"/>
      <c r="B569" s="282"/>
      <c r="C569" s="298"/>
      <c r="D569" s="282"/>
      <c r="E569" s="282"/>
      <c r="F569" s="282"/>
      <c r="G569" s="282"/>
      <c r="H569" s="282"/>
      <c r="I569" s="282"/>
      <c r="J569" s="282"/>
      <c r="K569" s="282"/>
      <c r="L569" s="282"/>
      <c r="M569" s="282"/>
      <c r="N569" s="282"/>
      <c r="O569" s="282"/>
      <c r="P569" s="282"/>
      <c r="Q569" s="282"/>
      <c r="R569" s="282"/>
      <c r="S569" s="282"/>
      <c r="T569" s="282"/>
      <c r="U569" s="282"/>
      <c r="V569" s="298"/>
      <c r="W569" s="298"/>
      <c r="X569" s="298"/>
      <c r="Y569" s="298"/>
      <c r="Z569" s="298"/>
      <c r="AA569" s="298"/>
      <c r="AB569" s="298"/>
      <c r="AC569" s="298"/>
      <c r="AD569" s="298"/>
      <c r="AE569" s="298"/>
      <c r="AF569" s="298"/>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row>
    <row r="570">
      <c r="A570" s="304"/>
      <c r="B570" s="282"/>
      <c r="C570" s="298"/>
      <c r="D570" s="282"/>
      <c r="E570" s="282"/>
      <c r="F570" s="282"/>
      <c r="G570" s="282"/>
      <c r="H570" s="282"/>
      <c r="I570" s="282"/>
      <c r="J570" s="282"/>
      <c r="K570" s="282"/>
      <c r="L570" s="282"/>
      <c r="M570" s="282"/>
      <c r="N570" s="282"/>
      <c r="O570" s="282"/>
      <c r="P570" s="282"/>
      <c r="Q570" s="282"/>
      <c r="R570" s="282"/>
      <c r="S570" s="282"/>
      <c r="T570" s="282"/>
      <c r="U570" s="282"/>
      <c r="V570" s="298"/>
      <c r="W570" s="298"/>
      <c r="X570" s="298"/>
      <c r="Y570" s="298"/>
      <c r="Z570" s="298"/>
      <c r="AA570" s="298"/>
      <c r="AB570" s="298"/>
      <c r="AC570" s="298"/>
      <c r="AD570" s="298"/>
      <c r="AE570" s="298"/>
      <c r="AF570" s="298"/>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row>
    <row r="571">
      <c r="A571" s="304"/>
      <c r="B571" s="282"/>
      <c r="C571" s="298"/>
      <c r="D571" s="282"/>
      <c r="E571" s="282"/>
      <c r="F571" s="282"/>
      <c r="G571" s="282"/>
      <c r="H571" s="282"/>
      <c r="I571" s="282"/>
      <c r="J571" s="282"/>
      <c r="K571" s="282"/>
      <c r="L571" s="282"/>
      <c r="M571" s="282"/>
      <c r="N571" s="282"/>
      <c r="O571" s="282"/>
      <c r="P571" s="282"/>
      <c r="Q571" s="282"/>
      <c r="R571" s="282"/>
      <c r="S571" s="282"/>
      <c r="T571" s="282"/>
      <c r="U571" s="282"/>
      <c r="V571" s="298"/>
      <c r="W571" s="298"/>
      <c r="X571" s="298"/>
      <c r="Y571" s="298"/>
      <c r="Z571" s="298"/>
      <c r="AA571" s="298"/>
      <c r="AB571" s="298"/>
      <c r="AC571" s="298"/>
      <c r="AD571" s="298"/>
      <c r="AE571" s="298"/>
      <c r="AF571" s="298"/>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row>
    <row r="572">
      <c r="A572" s="304"/>
      <c r="B572" s="282"/>
      <c r="C572" s="298"/>
      <c r="D572" s="282"/>
      <c r="E572" s="282"/>
      <c r="F572" s="282"/>
      <c r="G572" s="282"/>
      <c r="H572" s="282"/>
      <c r="I572" s="282"/>
      <c r="J572" s="282"/>
      <c r="K572" s="282"/>
      <c r="L572" s="282"/>
      <c r="M572" s="282"/>
      <c r="N572" s="282"/>
      <c r="O572" s="282"/>
      <c r="P572" s="282"/>
      <c r="Q572" s="282"/>
      <c r="R572" s="282"/>
      <c r="S572" s="282"/>
      <c r="T572" s="282"/>
      <c r="U572" s="282"/>
      <c r="V572" s="298"/>
      <c r="W572" s="298"/>
      <c r="X572" s="298"/>
      <c r="Y572" s="298"/>
      <c r="Z572" s="298"/>
      <c r="AA572" s="298"/>
      <c r="AB572" s="298"/>
      <c r="AC572" s="298"/>
      <c r="AD572" s="298"/>
      <c r="AE572" s="298"/>
      <c r="AF572" s="298"/>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row>
    <row r="573">
      <c r="A573" s="304"/>
      <c r="B573" s="282"/>
      <c r="C573" s="298"/>
      <c r="D573" s="282"/>
      <c r="E573" s="282"/>
      <c r="F573" s="282"/>
      <c r="G573" s="282"/>
      <c r="H573" s="282"/>
      <c r="I573" s="282"/>
      <c r="J573" s="282"/>
      <c r="K573" s="282"/>
      <c r="L573" s="282"/>
      <c r="M573" s="282"/>
      <c r="N573" s="282"/>
      <c r="O573" s="282"/>
      <c r="P573" s="282"/>
      <c r="Q573" s="282"/>
      <c r="R573" s="282"/>
      <c r="S573" s="282"/>
      <c r="T573" s="282"/>
      <c r="U573" s="282"/>
      <c r="V573" s="298"/>
      <c r="W573" s="298"/>
      <c r="X573" s="298"/>
      <c r="Y573" s="298"/>
      <c r="Z573" s="298"/>
      <c r="AA573" s="298"/>
      <c r="AB573" s="298"/>
      <c r="AC573" s="298"/>
      <c r="AD573" s="298"/>
      <c r="AE573" s="298"/>
      <c r="AF573" s="298"/>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row>
    <row r="574">
      <c r="A574" s="304"/>
      <c r="B574" s="282"/>
      <c r="C574" s="298"/>
      <c r="D574" s="282"/>
      <c r="E574" s="282"/>
      <c r="F574" s="282"/>
      <c r="G574" s="282"/>
      <c r="H574" s="282"/>
      <c r="I574" s="282"/>
      <c r="J574" s="282"/>
      <c r="K574" s="282"/>
      <c r="L574" s="282"/>
      <c r="M574" s="282"/>
      <c r="N574" s="282"/>
      <c r="O574" s="282"/>
      <c r="P574" s="282"/>
      <c r="Q574" s="282"/>
      <c r="R574" s="282"/>
      <c r="S574" s="282"/>
      <c r="T574" s="282"/>
      <c r="U574" s="282"/>
      <c r="V574" s="298"/>
      <c r="W574" s="298"/>
      <c r="X574" s="298"/>
      <c r="Y574" s="298"/>
      <c r="Z574" s="298"/>
      <c r="AA574" s="298"/>
      <c r="AB574" s="298"/>
      <c r="AC574" s="298"/>
      <c r="AD574" s="298"/>
      <c r="AE574" s="298"/>
      <c r="AF574" s="298"/>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row>
    <row r="575">
      <c r="A575" s="304"/>
      <c r="B575" s="282"/>
      <c r="C575" s="298"/>
      <c r="D575" s="282"/>
      <c r="E575" s="282"/>
      <c r="F575" s="282"/>
      <c r="G575" s="282"/>
      <c r="H575" s="282"/>
      <c r="I575" s="282"/>
      <c r="J575" s="282"/>
      <c r="K575" s="282"/>
      <c r="L575" s="282"/>
      <c r="M575" s="282"/>
      <c r="N575" s="282"/>
      <c r="O575" s="282"/>
      <c r="P575" s="282"/>
      <c r="Q575" s="282"/>
      <c r="R575" s="282"/>
      <c r="S575" s="282"/>
      <c r="T575" s="282"/>
      <c r="U575" s="282"/>
      <c r="V575" s="298"/>
      <c r="W575" s="298"/>
      <c r="X575" s="298"/>
      <c r="Y575" s="298"/>
      <c r="Z575" s="298"/>
      <c r="AA575" s="298"/>
      <c r="AB575" s="298"/>
      <c r="AC575" s="298"/>
      <c r="AD575" s="298"/>
      <c r="AE575" s="298"/>
      <c r="AF575" s="298"/>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row>
    <row r="576">
      <c r="A576" s="304"/>
      <c r="B576" s="282"/>
      <c r="C576" s="298"/>
      <c r="D576" s="282"/>
      <c r="E576" s="282"/>
      <c r="F576" s="282"/>
      <c r="G576" s="282"/>
      <c r="H576" s="282"/>
      <c r="I576" s="282"/>
      <c r="J576" s="282"/>
      <c r="K576" s="282"/>
      <c r="L576" s="282"/>
      <c r="M576" s="282"/>
      <c r="N576" s="282"/>
      <c r="O576" s="282"/>
      <c r="P576" s="282"/>
      <c r="Q576" s="282"/>
      <c r="R576" s="282"/>
      <c r="S576" s="282"/>
      <c r="T576" s="282"/>
      <c r="U576" s="282"/>
      <c r="V576" s="298"/>
      <c r="W576" s="298"/>
      <c r="X576" s="298"/>
      <c r="Y576" s="298"/>
      <c r="Z576" s="298"/>
      <c r="AA576" s="298"/>
      <c r="AB576" s="298"/>
      <c r="AC576" s="298"/>
      <c r="AD576" s="298"/>
      <c r="AE576" s="298"/>
      <c r="AF576" s="298"/>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row>
    <row r="577">
      <c r="A577" s="304"/>
      <c r="B577" s="282"/>
      <c r="C577" s="298"/>
      <c r="D577" s="282"/>
      <c r="E577" s="282"/>
      <c r="F577" s="282"/>
      <c r="G577" s="282"/>
      <c r="H577" s="282"/>
      <c r="I577" s="282"/>
      <c r="J577" s="282"/>
      <c r="K577" s="282"/>
      <c r="L577" s="282"/>
      <c r="M577" s="282"/>
      <c r="N577" s="282"/>
      <c r="O577" s="282"/>
      <c r="P577" s="282"/>
      <c r="Q577" s="282"/>
      <c r="R577" s="282"/>
      <c r="S577" s="282"/>
      <c r="T577" s="282"/>
      <c r="U577" s="282"/>
      <c r="V577" s="298"/>
      <c r="W577" s="298"/>
      <c r="X577" s="298"/>
      <c r="Y577" s="298"/>
      <c r="Z577" s="298"/>
      <c r="AA577" s="298"/>
      <c r="AB577" s="298"/>
      <c r="AC577" s="298"/>
      <c r="AD577" s="298"/>
      <c r="AE577" s="298"/>
      <c r="AF577" s="298"/>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row>
    <row r="578">
      <c r="A578" s="304"/>
      <c r="B578" s="282"/>
      <c r="C578" s="298"/>
      <c r="D578" s="282"/>
      <c r="E578" s="282"/>
      <c r="F578" s="282"/>
      <c r="G578" s="282"/>
      <c r="H578" s="282"/>
      <c r="I578" s="282"/>
      <c r="J578" s="282"/>
      <c r="K578" s="282"/>
      <c r="L578" s="282"/>
      <c r="M578" s="282"/>
      <c r="N578" s="282"/>
      <c r="O578" s="282"/>
      <c r="P578" s="282"/>
      <c r="Q578" s="282"/>
      <c r="R578" s="282"/>
      <c r="S578" s="282"/>
      <c r="T578" s="282"/>
      <c r="U578" s="282"/>
      <c r="V578" s="298"/>
      <c r="W578" s="298"/>
      <c r="X578" s="298"/>
      <c r="Y578" s="298"/>
      <c r="Z578" s="298"/>
      <c r="AA578" s="298"/>
      <c r="AB578" s="298"/>
      <c r="AC578" s="298"/>
      <c r="AD578" s="298"/>
      <c r="AE578" s="298"/>
      <c r="AF578" s="298"/>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row>
    <row r="579">
      <c r="A579" s="304"/>
      <c r="B579" s="282"/>
      <c r="C579" s="298"/>
      <c r="D579" s="282"/>
      <c r="E579" s="282"/>
      <c r="F579" s="282"/>
      <c r="G579" s="282"/>
      <c r="H579" s="282"/>
      <c r="I579" s="282"/>
      <c r="J579" s="282"/>
      <c r="K579" s="282"/>
      <c r="L579" s="282"/>
      <c r="M579" s="282"/>
      <c r="N579" s="282"/>
      <c r="O579" s="282"/>
      <c r="P579" s="282"/>
      <c r="Q579" s="282"/>
      <c r="R579" s="282"/>
      <c r="S579" s="282"/>
      <c r="T579" s="282"/>
      <c r="U579" s="282"/>
      <c r="V579" s="298"/>
      <c r="W579" s="298"/>
      <c r="X579" s="298"/>
      <c r="Y579" s="298"/>
      <c r="Z579" s="298"/>
      <c r="AA579" s="298"/>
      <c r="AB579" s="298"/>
      <c r="AC579" s="298"/>
      <c r="AD579" s="298"/>
      <c r="AE579" s="298"/>
      <c r="AF579" s="298"/>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row>
    <row r="580">
      <c r="A580" s="304"/>
      <c r="B580" s="282"/>
      <c r="C580" s="298"/>
      <c r="D580" s="282"/>
      <c r="E580" s="282"/>
      <c r="F580" s="282"/>
      <c r="G580" s="282"/>
      <c r="H580" s="282"/>
      <c r="I580" s="282"/>
      <c r="J580" s="282"/>
      <c r="K580" s="282"/>
      <c r="L580" s="282"/>
      <c r="M580" s="282"/>
      <c r="N580" s="282"/>
      <c r="O580" s="282"/>
      <c r="P580" s="282"/>
      <c r="Q580" s="282"/>
      <c r="R580" s="282"/>
      <c r="S580" s="282"/>
      <c r="T580" s="282"/>
      <c r="U580" s="282"/>
      <c r="V580" s="298"/>
      <c r="W580" s="298"/>
      <c r="X580" s="298"/>
      <c r="Y580" s="298"/>
      <c r="Z580" s="298"/>
      <c r="AA580" s="298"/>
      <c r="AB580" s="298"/>
      <c r="AC580" s="298"/>
      <c r="AD580" s="298"/>
      <c r="AE580" s="298"/>
      <c r="AF580" s="298"/>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row>
    <row r="581">
      <c r="A581" s="304"/>
      <c r="B581" s="282"/>
      <c r="C581" s="298"/>
      <c r="D581" s="282"/>
      <c r="E581" s="282"/>
      <c r="F581" s="282"/>
      <c r="G581" s="282"/>
      <c r="H581" s="282"/>
      <c r="I581" s="282"/>
      <c r="J581" s="282"/>
      <c r="K581" s="282"/>
      <c r="L581" s="282"/>
      <c r="M581" s="282"/>
      <c r="N581" s="282"/>
      <c r="O581" s="282"/>
      <c r="P581" s="282"/>
      <c r="Q581" s="282"/>
      <c r="R581" s="282"/>
      <c r="S581" s="282"/>
      <c r="T581" s="282"/>
      <c r="U581" s="282"/>
      <c r="V581" s="298"/>
      <c r="W581" s="298"/>
      <c r="X581" s="298"/>
      <c r="Y581" s="298"/>
      <c r="Z581" s="298"/>
      <c r="AA581" s="298"/>
      <c r="AB581" s="298"/>
      <c r="AC581" s="298"/>
      <c r="AD581" s="298"/>
      <c r="AE581" s="298"/>
      <c r="AF581" s="298"/>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row>
    <row r="582">
      <c r="A582" s="304"/>
      <c r="B582" s="282"/>
      <c r="C582" s="298"/>
      <c r="D582" s="282"/>
      <c r="E582" s="282"/>
      <c r="F582" s="282"/>
      <c r="G582" s="282"/>
      <c r="H582" s="282"/>
      <c r="I582" s="282"/>
      <c r="J582" s="282"/>
      <c r="K582" s="282"/>
      <c r="L582" s="282"/>
      <c r="M582" s="282"/>
      <c r="N582" s="282"/>
      <c r="O582" s="282"/>
      <c r="P582" s="282"/>
      <c r="Q582" s="282"/>
      <c r="R582" s="282"/>
      <c r="S582" s="282"/>
      <c r="T582" s="282"/>
      <c r="U582" s="282"/>
      <c r="V582" s="298"/>
      <c r="W582" s="298"/>
      <c r="X582" s="298"/>
      <c r="Y582" s="298"/>
      <c r="Z582" s="298"/>
      <c r="AA582" s="298"/>
      <c r="AB582" s="298"/>
      <c r="AC582" s="298"/>
      <c r="AD582" s="298"/>
      <c r="AE582" s="298"/>
      <c r="AF582" s="298"/>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row>
    <row r="583">
      <c r="A583" s="304"/>
      <c r="B583" s="282"/>
      <c r="C583" s="298"/>
      <c r="D583" s="282"/>
      <c r="E583" s="282"/>
      <c r="F583" s="282"/>
      <c r="G583" s="282"/>
      <c r="H583" s="282"/>
      <c r="I583" s="282"/>
      <c r="J583" s="282"/>
      <c r="K583" s="282"/>
      <c r="L583" s="282"/>
      <c r="M583" s="282"/>
      <c r="N583" s="282"/>
      <c r="O583" s="282"/>
      <c r="P583" s="282"/>
      <c r="Q583" s="282"/>
      <c r="R583" s="282"/>
      <c r="S583" s="282"/>
      <c r="T583" s="282"/>
      <c r="U583" s="282"/>
      <c r="V583" s="298"/>
      <c r="W583" s="298"/>
      <c r="X583" s="298"/>
      <c r="Y583" s="298"/>
      <c r="Z583" s="298"/>
      <c r="AA583" s="298"/>
      <c r="AB583" s="298"/>
      <c r="AC583" s="298"/>
      <c r="AD583" s="298"/>
      <c r="AE583" s="298"/>
      <c r="AF583" s="298"/>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row>
    <row r="584">
      <c r="A584" s="304"/>
      <c r="B584" s="282"/>
      <c r="C584" s="298"/>
      <c r="D584" s="282"/>
      <c r="E584" s="282"/>
      <c r="F584" s="282"/>
      <c r="G584" s="282"/>
      <c r="H584" s="282"/>
      <c r="I584" s="282"/>
      <c r="J584" s="282"/>
      <c r="K584" s="282"/>
      <c r="L584" s="282"/>
      <c r="M584" s="282"/>
      <c r="N584" s="282"/>
      <c r="O584" s="282"/>
      <c r="P584" s="282"/>
      <c r="Q584" s="282"/>
      <c r="R584" s="282"/>
      <c r="S584" s="282"/>
      <c r="T584" s="282"/>
      <c r="U584" s="282"/>
      <c r="V584" s="298"/>
      <c r="W584" s="298"/>
      <c r="X584" s="298"/>
      <c r="Y584" s="298"/>
      <c r="Z584" s="298"/>
      <c r="AA584" s="298"/>
      <c r="AB584" s="298"/>
      <c r="AC584" s="298"/>
      <c r="AD584" s="298"/>
      <c r="AE584" s="298"/>
      <c r="AF584" s="298"/>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row>
    <row r="585">
      <c r="A585" s="304"/>
      <c r="B585" s="282"/>
      <c r="C585" s="298"/>
      <c r="D585" s="282"/>
      <c r="E585" s="282"/>
      <c r="F585" s="282"/>
      <c r="G585" s="282"/>
      <c r="H585" s="282"/>
      <c r="I585" s="282"/>
      <c r="J585" s="282"/>
      <c r="K585" s="282"/>
      <c r="L585" s="282"/>
      <c r="M585" s="282"/>
      <c r="N585" s="282"/>
      <c r="O585" s="282"/>
      <c r="P585" s="282"/>
      <c r="Q585" s="282"/>
      <c r="R585" s="282"/>
      <c r="S585" s="282"/>
      <c r="T585" s="282"/>
      <c r="U585" s="282"/>
      <c r="V585" s="298"/>
      <c r="W585" s="298"/>
      <c r="X585" s="298"/>
      <c r="Y585" s="298"/>
      <c r="Z585" s="298"/>
      <c r="AA585" s="298"/>
      <c r="AB585" s="298"/>
      <c r="AC585" s="298"/>
      <c r="AD585" s="298"/>
      <c r="AE585" s="298"/>
      <c r="AF585" s="298"/>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row>
    <row r="586">
      <c r="A586" s="304"/>
      <c r="B586" s="282"/>
      <c r="C586" s="298"/>
      <c r="D586" s="282"/>
      <c r="E586" s="282"/>
      <c r="F586" s="282"/>
      <c r="G586" s="282"/>
      <c r="H586" s="282"/>
      <c r="I586" s="282"/>
      <c r="J586" s="282"/>
      <c r="K586" s="282"/>
      <c r="L586" s="282"/>
      <c r="M586" s="282"/>
      <c r="N586" s="282"/>
      <c r="O586" s="282"/>
      <c r="P586" s="282"/>
      <c r="Q586" s="282"/>
      <c r="R586" s="282"/>
      <c r="S586" s="282"/>
      <c r="T586" s="282"/>
      <c r="U586" s="282"/>
      <c r="V586" s="298"/>
      <c r="W586" s="298"/>
      <c r="X586" s="298"/>
      <c r="Y586" s="298"/>
      <c r="Z586" s="298"/>
      <c r="AA586" s="298"/>
      <c r="AB586" s="298"/>
      <c r="AC586" s="298"/>
      <c r="AD586" s="298"/>
      <c r="AE586" s="298"/>
      <c r="AF586" s="298"/>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row>
    <row r="587">
      <c r="A587" s="304"/>
      <c r="B587" s="282"/>
      <c r="C587" s="298"/>
      <c r="D587" s="282"/>
      <c r="E587" s="282"/>
      <c r="F587" s="282"/>
      <c r="G587" s="282"/>
      <c r="H587" s="282"/>
      <c r="I587" s="282"/>
      <c r="J587" s="282"/>
      <c r="K587" s="282"/>
      <c r="L587" s="282"/>
      <c r="M587" s="282"/>
      <c r="N587" s="282"/>
      <c r="O587" s="282"/>
      <c r="P587" s="282"/>
      <c r="Q587" s="282"/>
      <c r="R587" s="282"/>
      <c r="S587" s="282"/>
      <c r="T587" s="282"/>
      <c r="U587" s="282"/>
      <c r="V587" s="298"/>
      <c r="W587" s="298"/>
      <c r="X587" s="298"/>
      <c r="Y587" s="298"/>
      <c r="Z587" s="298"/>
      <c r="AA587" s="298"/>
      <c r="AB587" s="298"/>
      <c r="AC587" s="298"/>
      <c r="AD587" s="298"/>
      <c r="AE587" s="298"/>
      <c r="AF587" s="298"/>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row>
    <row r="588">
      <c r="A588" s="304"/>
      <c r="B588" s="282"/>
      <c r="C588" s="298"/>
      <c r="D588" s="282"/>
      <c r="E588" s="282"/>
      <c r="F588" s="282"/>
      <c r="G588" s="282"/>
      <c r="H588" s="282"/>
      <c r="I588" s="282"/>
      <c r="J588" s="282"/>
      <c r="K588" s="282"/>
      <c r="L588" s="282"/>
      <c r="M588" s="282"/>
      <c r="N588" s="282"/>
      <c r="O588" s="282"/>
      <c r="P588" s="282"/>
      <c r="Q588" s="282"/>
      <c r="R588" s="282"/>
      <c r="S588" s="282"/>
      <c r="T588" s="282"/>
      <c r="U588" s="282"/>
      <c r="V588" s="298"/>
      <c r="W588" s="298"/>
      <c r="X588" s="298"/>
      <c r="Y588" s="298"/>
      <c r="Z588" s="298"/>
      <c r="AA588" s="298"/>
      <c r="AB588" s="298"/>
      <c r="AC588" s="298"/>
      <c r="AD588" s="298"/>
      <c r="AE588" s="298"/>
      <c r="AF588" s="298"/>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row>
    <row r="589">
      <c r="A589" s="304"/>
      <c r="B589" s="282"/>
      <c r="C589" s="298"/>
      <c r="D589" s="282"/>
      <c r="E589" s="282"/>
      <c r="F589" s="282"/>
      <c r="G589" s="282"/>
      <c r="H589" s="282"/>
      <c r="I589" s="282"/>
      <c r="J589" s="282"/>
      <c r="K589" s="282"/>
      <c r="L589" s="282"/>
      <c r="M589" s="282"/>
      <c r="N589" s="282"/>
      <c r="O589" s="282"/>
      <c r="P589" s="282"/>
      <c r="Q589" s="282"/>
      <c r="R589" s="282"/>
      <c r="S589" s="282"/>
      <c r="T589" s="282"/>
      <c r="U589" s="282"/>
      <c r="V589" s="298"/>
      <c r="W589" s="298"/>
      <c r="X589" s="298"/>
      <c r="Y589" s="298"/>
      <c r="Z589" s="298"/>
      <c r="AA589" s="298"/>
      <c r="AB589" s="298"/>
      <c r="AC589" s="298"/>
      <c r="AD589" s="298"/>
      <c r="AE589" s="298"/>
      <c r="AF589" s="298"/>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row>
    <row r="590">
      <c r="A590" s="304"/>
      <c r="B590" s="282"/>
      <c r="C590" s="298"/>
      <c r="D590" s="282"/>
      <c r="E590" s="282"/>
      <c r="F590" s="282"/>
      <c r="G590" s="282"/>
      <c r="H590" s="282"/>
      <c r="I590" s="282"/>
      <c r="J590" s="282"/>
      <c r="K590" s="282"/>
      <c r="L590" s="282"/>
      <c r="M590" s="282"/>
      <c r="N590" s="282"/>
      <c r="O590" s="282"/>
      <c r="P590" s="282"/>
      <c r="Q590" s="282"/>
      <c r="R590" s="282"/>
      <c r="S590" s="282"/>
      <c r="T590" s="282"/>
      <c r="U590" s="282"/>
      <c r="V590" s="298"/>
      <c r="W590" s="298"/>
      <c r="X590" s="298"/>
      <c r="Y590" s="298"/>
      <c r="Z590" s="298"/>
      <c r="AA590" s="298"/>
      <c r="AB590" s="298"/>
      <c r="AC590" s="298"/>
      <c r="AD590" s="298"/>
      <c r="AE590" s="298"/>
      <c r="AF590" s="298"/>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row>
    <row r="591">
      <c r="A591" s="304"/>
      <c r="B591" s="282"/>
      <c r="C591" s="298"/>
      <c r="D591" s="282"/>
      <c r="E591" s="282"/>
      <c r="F591" s="282"/>
      <c r="G591" s="282"/>
      <c r="H591" s="282"/>
      <c r="I591" s="282"/>
      <c r="J591" s="282"/>
      <c r="K591" s="282"/>
      <c r="L591" s="282"/>
      <c r="M591" s="282"/>
      <c r="N591" s="282"/>
      <c r="O591" s="282"/>
      <c r="P591" s="282"/>
      <c r="Q591" s="282"/>
      <c r="R591" s="282"/>
      <c r="S591" s="282"/>
      <c r="T591" s="282"/>
      <c r="U591" s="282"/>
      <c r="V591" s="298"/>
      <c r="W591" s="298"/>
      <c r="X591" s="298"/>
      <c r="Y591" s="298"/>
      <c r="Z591" s="298"/>
      <c r="AA591" s="298"/>
      <c r="AB591" s="298"/>
      <c r="AC591" s="298"/>
      <c r="AD591" s="298"/>
      <c r="AE591" s="298"/>
      <c r="AF591" s="298"/>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row>
    <row r="592">
      <c r="A592" s="304"/>
      <c r="B592" s="282"/>
      <c r="C592" s="298"/>
      <c r="D592" s="282"/>
      <c r="E592" s="282"/>
      <c r="F592" s="282"/>
      <c r="G592" s="282"/>
      <c r="H592" s="282"/>
      <c r="I592" s="282"/>
      <c r="J592" s="282"/>
      <c r="K592" s="282"/>
      <c r="L592" s="282"/>
      <c r="M592" s="282"/>
      <c r="N592" s="282"/>
      <c r="O592" s="282"/>
      <c r="P592" s="282"/>
      <c r="Q592" s="282"/>
      <c r="R592" s="282"/>
      <c r="S592" s="282"/>
      <c r="T592" s="282"/>
      <c r="U592" s="282"/>
      <c r="V592" s="298"/>
      <c r="W592" s="298"/>
      <c r="X592" s="298"/>
      <c r="Y592" s="298"/>
      <c r="Z592" s="298"/>
      <c r="AA592" s="298"/>
      <c r="AB592" s="298"/>
      <c r="AC592" s="298"/>
      <c r="AD592" s="298"/>
      <c r="AE592" s="298"/>
      <c r="AF592" s="298"/>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row>
    <row r="593">
      <c r="A593" s="304"/>
      <c r="B593" s="282"/>
      <c r="C593" s="298"/>
      <c r="D593" s="282"/>
      <c r="E593" s="282"/>
      <c r="F593" s="282"/>
      <c r="G593" s="282"/>
      <c r="H593" s="282"/>
      <c r="I593" s="282"/>
      <c r="J593" s="282"/>
      <c r="K593" s="282"/>
      <c r="L593" s="282"/>
      <c r="M593" s="282"/>
      <c r="N593" s="282"/>
      <c r="O593" s="282"/>
      <c r="P593" s="282"/>
      <c r="Q593" s="282"/>
      <c r="R593" s="282"/>
      <c r="S593" s="282"/>
      <c r="T593" s="282"/>
      <c r="U593" s="282"/>
      <c r="V593" s="298"/>
      <c r="W593" s="298"/>
      <c r="X593" s="298"/>
      <c r="Y593" s="298"/>
      <c r="Z593" s="298"/>
      <c r="AA593" s="298"/>
      <c r="AB593" s="298"/>
      <c r="AC593" s="298"/>
      <c r="AD593" s="298"/>
      <c r="AE593" s="298"/>
      <c r="AF593" s="298"/>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row>
    <row r="594">
      <c r="A594" s="304"/>
      <c r="B594" s="282"/>
      <c r="C594" s="298"/>
      <c r="D594" s="282"/>
      <c r="E594" s="282"/>
      <c r="F594" s="282"/>
      <c r="G594" s="282"/>
      <c r="H594" s="282"/>
      <c r="I594" s="282"/>
      <c r="J594" s="282"/>
      <c r="K594" s="282"/>
      <c r="L594" s="282"/>
      <c r="M594" s="282"/>
      <c r="N594" s="282"/>
      <c r="O594" s="282"/>
      <c r="P594" s="282"/>
      <c r="Q594" s="282"/>
      <c r="R594" s="282"/>
      <c r="S594" s="282"/>
      <c r="T594" s="282"/>
      <c r="U594" s="282"/>
      <c r="V594" s="298"/>
      <c r="W594" s="298"/>
      <c r="X594" s="298"/>
      <c r="Y594" s="298"/>
      <c r="Z594" s="298"/>
      <c r="AA594" s="298"/>
      <c r="AB594" s="298"/>
      <c r="AC594" s="298"/>
      <c r="AD594" s="298"/>
      <c r="AE594" s="298"/>
      <c r="AF594" s="298"/>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row>
    <row r="595">
      <c r="A595" s="304"/>
      <c r="B595" s="282"/>
      <c r="C595" s="298"/>
      <c r="D595" s="282"/>
      <c r="E595" s="282"/>
      <c r="F595" s="282"/>
      <c r="G595" s="282"/>
      <c r="H595" s="282"/>
      <c r="I595" s="282"/>
      <c r="J595" s="282"/>
      <c r="K595" s="282"/>
      <c r="L595" s="282"/>
      <c r="M595" s="282"/>
      <c r="N595" s="282"/>
      <c r="O595" s="282"/>
      <c r="P595" s="282"/>
      <c r="Q595" s="282"/>
      <c r="R595" s="282"/>
      <c r="S595" s="282"/>
      <c r="T595" s="282"/>
      <c r="U595" s="282"/>
      <c r="V595" s="298"/>
      <c r="W595" s="298"/>
      <c r="X595" s="298"/>
      <c r="Y595" s="298"/>
      <c r="Z595" s="298"/>
      <c r="AA595" s="298"/>
      <c r="AB595" s="298"/>
      <c r="AC595" s="298"/>
      <c r="AD595" s="298"/>
      <c r="AE595" s="298"/>
      <c r="AF595" s="298"/>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row>
    <row r="596">
      <c r="A596" s="304"/>
      <c r="B596" s="282"/>
      <c r="C596" s="298"/>
      <c r="D596" s="282"/>
      <c r="E596" s="282"/>
      <c r="F596" s="282"/>
      <c r="G596" s="282"/>
      <c r="H596" s="282"/>
      <c r="I596" s="282"/>
      <c r="J596" s="282"/>
      <c r="K596" s="282"/>
      <c r="L596" s="282"/>
      <c r="M596" s="282"/>
      <c r="N596" s="282"/>
      <c r="O596" s="282"/>
      <c r="P596" s="282"/>
      <c r="Q596" s="282"/>
      <c r="R596" s="282"/>
      <c r="S596" s="282"/>
      <c r="T596" s="282"/>
      <c r="U596" s="282"/>
      <c r="V596" s="298"/>
      <c r="W596" s="298"/>
      <c r="X596" s="298"/>
      <c r="Y596" s="298"/>
      <c r="Z596" s="298"/>
      <c r="AA596" s="298"/>
      <c r="AB596" s="298"/>
      <c r="AC596" s="298"/>
      <c r="AD596" s="298"/>
      <c r="AE596" s="298"/>
      <c r="AF596" s="298"/>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row>
    <row r="597">
      <c r="A597" s="304"/>
      <c r="B597" s="282"/>
      <c r="C597" s="298"/>
      <c r="D597" s="282"/>
      <c r="E597" s="282"/>
      <c r="F597" s="282"/>
      <c r="G597" s="282"/>
      <c r="H597" s="282"/>
      <c r="I597" s="282"/>
      <c r="J597" s="282"/>
      <c r="K597" s="282"/>
      <c r="L597" s="282"/>
      <c r="M597" s="282"/>
      <c r="N597" s="282"/>
      <c r="O597" s="282"/>
      <c r="P597" s="282"/>
      <c r="Q597" s="282"/>
      <c r="R597" s="282"/>
      <c r="S597" s="282"/>
      <c r="T597" s="282"/>
      <c r="U597" s="282"/>
      <c r="V597" s="298"/>
      <c r="W597" s="298"/>
      <c r="X597" s="298"/>
      <c r="Y597" s="298"/>
      <c r="Z597" s="298"/>
      <c r="AA597" s="298"/>
      <c r="AB597" s="298"/>
      <c r="AC597" s="298"/>
      <c r="AD597" s="298"/>
      <c r="AE597" s="298"/>
      <c r="AF597" s="298"/>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row>
    <row r="598">
      <c r="A598" s="304"/>
      <c r="B598" s="282"/>
      <c r="C598" s="298"/>
      <c r="D598" s="282"/>
      <c r="E598" s="282"/>
      <c r="F598" s="282"/>
      <c r="G598" s="282"/>
      <c r="H598" s="282"/>
      <c r="I598" s="282"/>
      <c r="J598" s="282"/>
      <c r="K598" s="282"/>
      <c r="L598" s="282"/>
      <c r="M598" s="282"/>
      <c r="N598" s="282"/>
      <c r="O598" s="282"/>
      <c r="P598" s="282"/>
      <c r="Q598" s="282"/>
      <c r="R598" s="282"/>
      <c r="S598" s="282"/>
      <c r="T598" s="282"/>
      <c r="U598" s="282"/>
      <c r="V598" s="298"/>
      <c r="W598" s="298"/>
      <c r="X598" s="298"/>
      <c r="Y598" s="298"/>
      <c r="Z598" s="298"/>
      <c r="AA598" s="298"/>
      <c r="AB598" s="298"/>
      <c r="AC598" s="298"/>
      <c r="AD598" s="298"/>
      <c r="AE598" s="298"/>
      <c r="AF598" s="298"/>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row>
    <row r="599">
      <c r="A599" s="304"/>
      <c r="B599" s="282"/>
      <c r="C599" s="298"/>
      <c r="D599" s="282"/>
      <c r="E599" s="282"/>
      <c r="F599" s="282"/>
      <c r="G599" s="282"/>
      <c r="H599" s="282"/>
      <c r="I599" s="282"/>
      <c r="J599" s="282"/>
      <c r="K599" s="282"/>
      <c r="L599" s="282"/>
      <c r="M599" s="282"/>
      <c r="N599" s="282"/>
      <c r="O599" s="282"/>
      <c r="P599" s="282"/>
      <c r="Q599" s="282"/>
      <c r="R599" s="282"/>
      <c r="S599" s="282"/>
      <c r="T599" s="282"/>
      <c r="U599" s="282"/>
      <c r="V599" s="298"/>
      <c r="W599" s="298"/>
      <c r="X599" s="298"/>
      <c r="Y599" s="298"/>
      <c r="Z599" s="298"/>
      <c r="AA599" s="298"/>
      <c r="AB599" s="298"/>
      <c r="AC599" s="298"/>
      <c r="AD599" s="298"/>
      <c r="AE599" s="298"/>
      <c r="AF599" s="298"/>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row>
    <row r="600">
      <c r="A600" s="304"/>
      <c r="B600" s="282"/>
      <c r="C600" s="298"/>
      <c r="D600" s="282"/>
      <c r="E600" s="282"/>
      <c r="F600" s="282"/>
      <c r="G600" s="282"/>
      <c r="H600" s="282"/>
      <c r="I600" s="282"/>
      <c r="J600" s="282"/>
      <c r="K600" s="282"/>
      <c r="L600" s="282"/>
      <c r="M600" s="282"/>
      <c r="N600" s="282"/>
      <c r="O600" s="282"/>
      <c r="P600" s="282"/>
      <c r="Q600" s="282"/>
      <c r="R600" s="282"/>
      <c r="S600" s="282"/>
      <c r="T600" s="282"/>
      <c r="U600" s="282"/>
      <c r="V600" s="298"/>
      <c r="W600" s="298"/>
      <c r="X600" s="298"/>
      <c r="Y600" s="298"/>
      <c r="Z600" s="298"/>
      <c r="AA600" s="298"/>
      <c r="AB600" s="298"/>
      <c r="AC600" s="298"/>
      <c r="AD600" s="298"/>
      <c r="AE600" s="298"/>
      <c r="AF600" s="298"/>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row>
    <row r="601">
      <c r="A601" s="304"/>
      <c r="B601" s="282"/>
      <c r="C601" s="298"/>
      <c r="D601" s="282"/>
      <c r="E601" s="282"/>
      <c r="F601" s="282"/>
      <c r="G601" s="282"/>
      <c r="H601" s="282"/>
      <c r="I601" s="282"/>
      <c r="J601" s="282"/>
      <c r="K601" s="282"/>
      <c r="L601" s="282"/>
      <c r="M601" s="282"/>
      <c r="N601" s="282"/>
      <c r="O601" s="282"/>
      <c r="P601" s="282"/>
      <c r="Q601" s="282"/>
      <c r="R601" s="282"/>
      <c r="S601" s="282"/>
      <c r="T601" s="282"/>
      <c r="U601" s="282"/>
      <c r="V601" s="298"/>
      <c r="W601" s="298"/>
      <c r="X601" s="298"/>
      <c r="Y601" s="298"/>
      <c r="Z601" s="298"/>
      <c r="AA601" s="298"/>
      <c r="AB601" s="298"/>
      <c r="AC601" s="298"/>
      <c r="AD601" s="298"/>
      <c r="AE601" s="298"/>
      <c r="AF601" s="298"/>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row>
    <row r="602">
      <c r="A602" s="304"/>
      <c r="B602" s="282"/>
      <c r="C602" s="298"/>
      <c r="D602" s="282"/>
      <c r="E602" s="282"/>
      <c r="F602" s="282"/>
      <c r="G602" s="282"/>
      <c r="H602" s="282"/>
      <c r="I602" s="282"/>
      <c r="J602" s="282"/>
      <c r="K602" s="282"/>
      <c r="L602" s="282"/>
      <c r="M602" s="282"/>
      <c r="N602" s="282"/>
      <c r="O602" s="282"/>
      <c r="P602" s="282"/>
      <c r="Q602" s="282"/>
      <c r="R602" s="282"/>
      <c r="S602" s="282"/>
      <c r="T602" s="282"/>
      <c r="U602" s="282"/>
      <c r="V602" s="298"/>
      <c r="W602" s="298"/>
      <c r="X602" s="298"/>
      <c r="Y602" s="298"/>
      <c r="Z602" s="298"/>
      <c r="AA602" s="298"/>
      <c r="AB602" s="298"/>
      <c r="AC602" s="298"/>
      <c r="AD602" s="298"/>
      <c r="AE602" s="298"/>
      <c r="AF602" s="298"/>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row>
    <row r="603">
      <c r="A603" s="304"/>
      <c r="B603" s="282"/>
      <c r="C603" s="298"/>
      <c r="D603" s="282"/>
      <c r="E603" s="282"/>
      <c r="F603" s="282"/>
      <c r="G603" s="282"/>
      <c r="H603" s="282"/>
      <c r="I603" s="282"/>
      <c r="J603" s="282"/>
      <c r="K603" s="282"/>
      <c r="L603" s="282"/>
      <c r="M603" s="282"/>
      <c r="N603" s="282"/>
      <c r="O603" s="282"/>
      <c r="P603" s="282"/>
      <c r="Q603" s="282"/>
      <c r="R603" s="282"/>
      <c r="S603" s="282"/>
      <c r="T603" s="282"/>
      <c r="U603" s="282"/>
      <c r="V603" s="298"/>
      <c r="W603" s="298"/>
      <c r="X603" s="298"/>
      <c r="Y603" s="298"/>
      <c r="Z603" s="298"/>
      <c r="AA603" s="298"/>
      <c r="AB603" s="298"/>
      <c r="AC603" s="298"/>
      <c r="AD603" s="298"/>
      <c r="AE603" s="298"/>
      <c r="AF603" s="298"/>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row>
    <row r="604">
      <c r="A604" s="304"/>
      <c r="B604" s="282"/>
      <c r="C604" s="298"/>
      <c r="D604" s="282"/>
      <c r="E604" s="282"/>
      <c r="F604" s="282"/>
      <c r="G604" s="282"/>
      <c r="H604" s="282"/>
      <c r="I604" s="282"/>
      <c r="J604" s="282"/>
      <c r="K604" s="282"/>
      <c r="L604" s="282"/>
      <c r="M604" s="282"/>
      <c r="N604" s="282"/>
      <c r="O604" s="282"/>
      <c r="P604" s="282"/>
      <c r="Q604" s="282"/>
      <c r="R604" s="282"/>
      <c r="S604" s="282"/>
      <c r="T604" s="282"/>
      <c r="U604" s="282"/>
      <c r="V604" s="298"/>
      <c r="W604" s="298"/>
      <c r="X604" s="298"/>
      <c r="Y604" s="298"/>
      <c r="Z604" s="298"/>
      <c r="AA604" s="298"/>
      <c r="AB604" s="298"/>
      <c r="AC604" s="298"/>
      <c r="AD604" s="298"/>
      <c r="AE604" s="298"/>
      <c r="AF604" s="298"/>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row>
    <row r="605">
      <c r="A605" s="304"/>
      <c r="B605" s="282"/>
      <c r="C605" s="298"/>
      <c r="D605" s="282"/>
      <c r="E605" s="282"/>
      <c r="F605" s="282"/>
      <c r="G605" s="282"/>
      <c r="H605" s="282"/>
      <c r="I605" s="282"/>
      <c r="J605" s="282"/>
      <c r="K605" s="282"/>
      <c r="L605" s="282"/>
      <c r="M605" s="282"/>
      <c r="N605" s="282"/>
      <c r="O605" s="282"/>
      <c r="P605" s="282"/>
      <c r="Q605" s="282"/>
      <c r="R605" s="282"/>
      <c r="S605" s="282"/>
      <c r="T605" s="282"/>
      <c r="U605" s="282"/>
      <c r="V605" s="298"/>
      <c r="W605" s="298"/>
      <c r="X605" s="298"/>
      <c r="Y605" s="298"/>
      <c r="Z605" s="298"/>
      <c r="AA605" s="298"/>
      <c r="AB605" s="298"/>
      <c r="AC605" s="298"/>
      <c r="AD605" s="298"/>
      <c r="AE605" s="298"/>
      <c r="AF605" s="298"/>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row>
    <row r="606">
      <c r="A606" s="304"/>
      <c r="B606" s="282"/>
      <c r="C606" s="298"/>
      <c r="D606" s="282"/>
      <c r="E606" s="282"/>
      <c r="F606" s="282"/>
      <c r="G606" s="282"/>
      <c r="H606" s="282"/>
      <c r="I606" s="282"/>
      <c r="J606" s="282"/>
      <c r="K606" s="282"/>
      <c r="L606" s="282"/>
      <c r="M606" s="282"/>
      <c r="N606" s="282"/>
      <c r="O606" s="282"/>
      <c r="P606" s="282"/>
      <c r="Q606" s="282"/>
      <c r="R606" s="282"/>
      <c r="S606" s="282"/>
      <c r="T606" s="282"/>
      <c r="U606" s="282"/>
      <c r="V606" s="298"/>
      <c r="W606" s="298"/>
      <c r="X606" s="298"/>
      <c r="Y606" s="298"/>
      <c r="Z606" s="298"/>
      <c r="AA606" s="298"/>
      <c r="AB606" s="298"/>
      <c r="AC606" s="298"/>
      <c r="AD606" s="298"/>
      <c r="AE606" s="298"/>
      <c r="AF606" s="298"/>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row>
    <row r="607">
      <c r="A607" s="304"/>
      <c r="B607" s="282"/>
      <c r="C607" s="298"/>
      <c r="D607" s="282"/>
      <c r="E607" s="282"/>
      <c r="F607" s="282"/>
      <c r="G607" s="282"/>
      <c r="H607" s="282"/>
      <c r="I607" s="282"/>
      <c r="J607" s="282"/>
      <c r="K607" s="282"/>
      <c r="L607" s="282"/>
      <c r="M607" s="282"/>
      <c r="N607" s="282"/>
      <c r="O607" s="282"/>
      <c r="P607" s="282"/>
      <c r="Q607" s="282"/>
      <c r="R607" s="282"/>
      <c r="S607" s="282"/>
      <c r="T607" s="282"/>
      <c r="U607" s="282"/>
      <c r="V607" s="298"/>
      <c r="W607" s="298"/>
      <c r="X607" s="298"/>
      <c r="Y607" s="298"/>
      <c r="Z607" s="298"/>
      <c r="AA607" s="298"/>
      <c r="AB607" s="298"/>
      <c r="AC607" s="298"/>
      <c r="AD607" s="298"/>
      <c r="AE607" s="298"/>
      <c r="AF607" s="298"/>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row>
    <row r="608">
      <c r="A608" s="304"/>
      <c r="B608" s="282"/>
      <c r="C608" s="298"/>
      <c r="D608" s="282"/>
      <c r="E608" s="282"/>
      <c r="F608" s="282"/>
      <c r="G608" s="282"/>
      <c r="H608" s="282"/>
      <c r="I608" s="282"/>
      <c r="J608" s="282"/>
      <c r="K608" s="282"/>
      <c r="L608" s="282"/>
      <c r="M608" s="282"/>
      <c r="N608" s="282"/>
      <c r="O608" s="282"/>
      <c r="P608" s="282"/>
      <c r="Q608" s="282"/>
      <c r="R608" s="282"/>
      <c r="S608" s="282"/>
      <c r="T608" s="282"/>
      <c r="U608" s="282"/>
      <c r="V608" s="298"/>
      <c r="W608" s="298"/>
      <c r="X608" s="298"/>
      <c r="Y608" s="298"/>
      <c r="Z608" s="298"/>
      <c r="AA608" s="298"/>
      <c r="AB608" s="298"/>
      <c r="AC608" s="298"/>
      <c r="AD608" s="298"/>
      <c r="AE608" s="298"/>
      <c r="AF608" s="298"/>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row>
    <row r="609">
      <c r="A609" s="304"/>
      <c r="B609" s="282"/>
      <c r="C609" s="298"/>
      <c r="D609" s="282"/>
      <c r="E609" s="282"/>
      <c r="F609" s="282"/>
      <c r="G609" s="282"/>
      <c r="H609" s="282"/>
      <c r="I609" s="282"/>
      <c r="J609" s="282"/>
      <c r="K609" s="282"/>
      <c r="L609" s="282"/>
      <c r="M609" s="282"/>
      <c r="N609" s="282"/>
      <c r="O609" s="282"/>
      <c r="P609" s="282"/>
      <c r="Q609" s="282"/>
      <c r="R609" s="282"/>
      <c r="S609" s="282"/>
      <c r="T609" s="282"/>
      <c r="U609" s="282"/>
      <c r="V609" s="298"/>
      <c r="W609" s="298"/>
      <c r="X609" s="298"/>
      <c r="Y609" s="298"/>
      <c r="Z609" s="298"/>
      <c r="AA609" s="298"/>
      <c r="AB609" s="298"/>
      <c r="AC609" s="298"/>
      <c r="AD609" s="298"/>
      <c r="AE609" s="298"/>
      <c r="AF609" s="298"/>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row>
    <row r="610">
      <c r="A610" s="304"/>
      <c r="B610" s="282"/>
      <c r="C610" s="298"/>
      <c r="D610" s="282"/>
      <c r="E610" s="282"/>
      <c r="F610" s="282"/>
      <c r="G610" s="282"/>
      <c r="H610" s="282"/>
      <c r="I610" s="282"/>
      <c r="J610" s="282"/>
      <c r="K610" s="282"/>
      <c r="L610" s="282"/>
      <c r="M610" s="282"/>
      <c r="N610" s="282"/>
      <c r="O610" s="282"/>
      <c r="P610" s="282"/>
      <c r="Q610" s="282"/>
      <c r="R610" s="282"/>
      <c r="S610" s="282"/>
      <c r="T610" s="282"/>
      <c r="U610" s="282"/>
      <c r="V610" s="298"/>
      <c r="W610" s="298"/>
      <c r="X610" s="298"/>
      <c r="Y610" s="298"/>
      <c r="Z610" s="298"/>
      <c r="AA610" s="298"/>
      <c r="AB610" s="298"/>
      <c r="AC610" s="298"/>
      <c r="AD610" s="298"/>
      <c r="AE610" s="298"/>
      <c r="AF610" s="298"/>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row>
    <row r="611">
      <c r="A611" s="304"/>
      <c r="B611" s="282"/>
      <c r="C611" s="298"/>
      <c r="D611" s="282"/>
      <c r="E611" s="282"/>
      <c r="F611" s="282"/>
      <c r="G611" s="282"/>
      <c r="H611" s="282"/>
      <c r="I611" s="282"/>
      <c r="J611" s="282"/>
      <c r="K611" s="282"/>
      <c r="L611" s="282"/>
      <c r="M611" s="282"/>
      <c r="N611" s="282"/>
      <c r="O611" s="282"/>
      <c r="P611" s="282"/>
      <c r="Q611" s="282"/>
      <c r="R611" s="282"/>
      <c r="S611" s="282"/>
      <c r="T611" s="282"/>
      <c r="U611" s="282"/>
      <c r="V611" s="298"/>
      <c r="W611" s="298"/>
      <c r="X611" s="298"/>
      <c r="Y611" s="298"/>
      <c r="Z611" s="298"/>
      <c r="AA611" s="298"/>
      <c r="AB611" s="298"/>
      <c r="AC611" s="298"/>
      <c r="AD611" s="298"/>
      <c r="AE611" s="298"/>
      <c r="AF611" s="298"/>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row>
    <row r="612">
      <c r="A612" s="304"/>
      <c r="B612" s="282"/>
      <c r="C612" s="298"/>
      <c r="D612" s="282"/>
      <c r="E612" s="282"/>
      <c r="F612" s="282"/>
      <c r="G612" s="282"/>
      <c r="H612" s="282"/>
      <c r="I612" s="282"/>
      <c r="J612" s="282"/>
      <c r="K612" s="282"/>
      <c r="L612" s="282"/>
      <c r="M612" s="282"/>
      <c r="N612" s="282"/>
      <c r="O612" s="282"/>
      <c r="P612" s="282"/>
      <c r="Q612" s="282"/>
      <c r="R612" s="282"/>
      <c r="S612" s="282"/>
      <c r="T612" s="282"/>
      <c r="U612" s="282"/>
      <c r="V612" s="298"/>
      <c r="W612" s="298"/>
      <c r="X612" s="298"/>
      <c r="Y612" s="298"/>
      <c r="Z612" s="298"/>
      <c r="AA612" s="298"/>
      <c r="AB612" s="298"/>
      <c r="AC612" s="298"/>
      <c r="AD612" s="298"/>
      <c r="AE612" s="298"/>
      <c r="AF612" s="298"/>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row>
    <row r="613">
      <c r="A613" s="304"/>
      <c r="B613" s="282"/>
      <c r="C613" s="298"/>
      <c r="D613" s="282"/>
      <c r="E613" s="282"/>
      <c r="F613" s="282"/>
      <c r="G613" s="282"/>
      <c r="H613" s="282"/>
      <c r="I613" s="282"/>
      <c r="J613" s="282"/>
      <c r="K613" s="282"/>
      <c r="L613" s="282"/>
      <c r="M613" s="282"/>
      <c r="N613" s="282"/>
      <c r="O613" s="282"/>
      <c r="P613" s="282"/>
      <c r="Q613" s="282"/>
      <c r="R613" s="282"/>
      <c r="S613" s="282"/>
      <c r="T613" s="282"/>
      <c r="U613" s="282"/>
      <c r="V613" s="298"/>
      <c r="W613" s="298"/>
      <c r="X613" s="298"/>
      <c r="Y613" s="298"/>
      <c r="Z613" s="298"/>
      <c r="AA613" s="298"/>
      <c r="AB613" s="298"/>
      <c r="AC613" s="298"/>
      <c r="AD613" s="298"/>
      <c r="AE613" s="298"/>
      <c r="AF613" s="298"/>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row>
    <row r="614">
      <c r="A614" s="304"/>
      <c r="B614" s="282"/>
      <c r="C614" s="298"/>
      <c r="D614" s="282"/>
      <c r="E614" s="282"/>
      <c r="F614" s="282"/>
      <c r="G614" s="282"/>
      <c r="H614" s="282"/>
      <c r="I614" s="282"/>
      <c r="J614" s="282"/>
      <c r="K614" s="282"/>
      <c r="L614" s="282"/>
      <c r="M614" s="282"/>
      <c r="N614" s="282"/>
      <c r="O614" s="282"/>
      <c r="P614" s="282"/>
      <c r="Q614" s="282"/>
      <c r="R614" s="282"/>
      <c r="S614" s="282"/>
      <c r="T614" s="282"/>
      <c r="U614" s="282"/>
      <c r="V614" s="298"/>
      <c r="W614" s="298"/>
      <c r="X614" s="298"/>
      <c r="Y614" s="298"/>
      <c r="Z614" s="298"/>
      <c r="AA614" s="298"/>
      <c r="AB614" s="298"/>
      <c r="AC614" s="298"/>
      <c r="AD614" s="298"/>
      <c r="AE614" s="298"/>
      <c r="AF614" s="298"/>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row>
    <row r="615">
      <c r="A615" s="304"/>
      <c r="B615" s="282"/>
      <c r="C615" s="298"/>
      <c r="D615" s="282"/>
      <c r="E615" s="282"/>
      <c r="F615" s="282"/>
      <c r="G615" s="282"/>
      <c r="H615" s="282"/>
      <c r="I615" s="282"/>
      <c r="J615" s="282"/>
      <c r="K615" s="282"/>
      <c r="L615" s="282"/>
      <c r="M615" s="282"/>
      <c r="N615" s="282"/>
      <c r="O615" s="282"/>
      <c r="P615" s="282"/>
      <c r="Q615" s="282"/>
      <c r="R615" s="282"/>
      <c r="S615" s="282"/>
      <c r="T615" s="282"/>
      <c r="U615" s="282"/>
      <c r="V615" s="298"/>
      <c r="W615" s="298"/>
      <c r="X615" s="298"/>
      <c r="Y615" s="298"/>
      <c r="Z615" s="298"/>
      <c r="AA615" s="298"/>
      <c r="AB615" s="298"/>
      <c r="AC615" s="298"/>
      <c r="AD615" s="298"/>
      <c r="AE615" s="298"/>
      <c r="AF615" s="298"/>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row>
    <row r="616">
      <c r="A616" s="304"/>
      <c r="B616" s="282"/>
      <c r="C616" s="298"/>
      <c r="D616" s="282"/>
      <c r="E616" s="282"/>
      <c r="F616" s="282"/>
      <c r="G616" s="282"/>
      <c r="H616" s="282"/>
      <c r="I616" s="282"/>
      <c r="J616" s="282"/>
      <c r="K616" s="282"/>
      <c r="L616" s="282"/>
      <c r="M616" s="282"/>
      <c r="N616" s="282"/>
      <c r="O616" s="282"/>
      <c r="P616" s="282"/>
      <c r="Q616" s="282"/>
      <c r="R616" s="282"/>
      <c r="S616" s="282"/>
      <c r="T616" s="282"/>
      <c r="U616" s="282"/>
      <c r="V616" s="298"/>
      <c r="W616" s="298"/>
      <c r="X616" s="298"/>
      <c r="Y616" s="298"/>
      <c r="Z616" s="298"/>
      <c r="AA616" s="298"/>
      <c r="AB616" s="298"/>
      <c r="AC616" s="298"/>
      <c r="AD616" s="298"/>
      <c r="AE616" s="298"/>
      <c r="AF616" s="298"/>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row>
    <row r="617">
      <c r="A617" s="304"/>
      <c r="B617" s="282"/>
      <c r="C617" s="298"/>
      <c r="D617" s="282"/>
      <c r="E617" s="282"/>
      <c r="F617" s="282"/>
      <c r="G617" s="282"/>
      <c r="H617" s="282"/>
      <c r="I617" s="282"/>
      <c r="J617" s="282"/>
      <c r="K617" s="282"/>
      <c r="L617" s="282"/>
      <c r="M617" s="282"/>
      <c r="N617" s="282"/>
      <c r="O617" s="282"/>
      <c r="P617" s="282"/>
      <c r="Q617" s="282"/>
      <c r="R617" s="282"/>
      <c r="S617" s="282"/>
      <c r="T617" s="282"/>
      <c r="U617" s="282"/>
      <c r="V617" s="298"/>
      <c r="W617" s="298"/>
      <c r="X617" s="298"/>
      <c r="Y617" s="298"/>
      <c r="Z617" s="298"/>
      <c r="AA617" s="298"/>
      <c r="AB617" s="298"/>
      <c r="AC617" s="298"/>
      <c r="AD617" s="298"/>
      <c r="AE617" s="298"/>
      <c r="AF617" s="298"/>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row>
    <row r="618">
      <c r="A618" s="304"/>
      <c r="B618" s="282"/>
      <c r="C618" s="298"/>
      <c r="D618" s="282"/>
      <c r="E618" s="282"/>
      <c r="F618" s="282"/>
      <c r="G618" s="282"/>
      <c r="H618" s="282"/>
      <c r="I618" s="282"/>
      <c r="J618" s="282"/>
      <c r="K618" s="282"/>
      <c r="L618" s="282"/>
      <c r="M618" s="282"/>
      <c r="N618" s="282"/>
      <c r="O618" s="282"/>
      <c r="P618" s="282"/>
      <c r="Q618" s="282"/>
      <c r="R618" s="282"/>
      <c r="S618" s="282"/>
      <c r="T618" s="282"/>
      <c r="U618" s="282"/>
      <c r="V618" s="298"/>
      <c r="W618" s="298"/>
      <c r="X618" s="298"/>
      <c r="Y618" s="298"/>
      <c r="Z618" s="298"/>
      <c r="AA618" s="298"/>
      <c r="AB618" s="298"/>
      <c r="AC618" s="298"/>
      <c r="AD618" s="298"/>
      <c r="AE618" s="298"/>
      <c r="AF618" s="298"/>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row>
    <row r="619">
      <c r="A619" s="304"/>
      <c r="B619" s="282"/>
      <c r="C619" s="298"/>
      <c r="D619" s="282"/>
      <c r="E619" s="282"/>
      <c r="F619" s="282"/>
      <c r="G619" s="282"/>
      <c r="H619" s="282"/>
      <c r="I619" s="282"/>
      <c r="J619" s="282"/>
      <c r="K619" s="282"/>
      <c r="L619" s="282"/>
      <c r="M619" s="282"/>
      <c r="N619" s="282"/>
      <c r="O619" s="282"/>
      <c r="P619" s="282"/>
      <c r="Q619" s="282"/>
      <c r="R619" s="282"/>
      <c r="S619" s="282"/>
      <c r="T619" s="282"/>
      <c r="U619" s="282"/>
      <c r="V619" s="298"/>
      <c r="W619" s="298"/>
      <c r="X619" s="298"/>
      <c r="Y619" s="298"/>
      <c r="Z619" s="298"/>
      <c r="AA619" s="298"/>
      <c r="AB619" s="298"/>
      <c r="AC619" s="298"/>
      <c r="AD619" s="298"/>
      <c r="AE619" s="298"/>
      <c r="AF619" s="298"/>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row>
    <row r="620">
      <c r="A620" s="304"/>
      <c r="B620" s="282"/>
      <c r="C620" s="298"/>
      <c r="D620" s="282"/>
      <c r="E620" s="282"/>
      <c r="F620" s="282"/>
      <c r="G620" s="282"/>
      <c r="H620" s="282"/>
      <c r="I620" s="282"/>
      <c r="J620" s="282"/>
      <c r="K620" s="282"/>
      <c r="L620" s="282"/>
      <c r="M620" s="282"/>
      <c r="N620" s="282"/>
      <c r="O620" s="282"/>
      <c r="P620" s="282"/>
      <c r="Q620" s="282"/>
      <c r="R620" s="282"/>
      <c r="S620" s="282"/>
      <c r="T620" s="282"/>
      <c r="U620" s="282"/>
      <c r="V620" s="298"/>
      <c r="W620" s="298"/>
      <c r="X620" s="298"/>
      <c r="Y620" s="298"/>
      <c r="Z620" s="298"/>
      <c r="AA620" s="298"/>
      <c r="AB620" s="298"/>
      <c r="AC620" s="298"/>
      <c r="AD620" s="298"/>
      <c r="AE620" s="298"/>
      <c r="AF620" s="298"/>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row>
    <row r="621">
      <c r="A621" s="304"/>
      <c r="B621" s="282"/>
      <c r="C621" s="298"/>
      <c r="D621" s="282"/>
      <c r="E621" s="282"/>
      <c r="F621" s="282"/>
      <c r="G621" s="282"/>
      <c r="H621" s="282"/>
      <c r="I621" s="282"/>
      <c r="J621" s="282"/>
      <c r="K621" s="282"/>
      <c r="L621" s="282"/>
      <c r="M621" s="282"/>
      <c r="N621" s="282"/>
      <c r="O621" s="282"/>
      <c r="P621" s="282"/>
      <c r="Q621" s="282"/>
      <c r="R621" s="282"/>
      <c r="S621" s="282"/>
      <c r="T621" s="282"/>
      <c r="U621" s="282"/>
      <c r="V621" s="298"/>
      <c r="W621" s="298"/>
      <c r="X621" s="298"/>
      <c r="Y621" s="298"/>
      <c r="Z621" s="298"/>
      <c r="AA621" s="298"/>
      <c r="AB621" s="298"/>
      <c r="AC621" s="298"/>
      <c r="AD621" s="298"/>
      <c r="AE621" s="298"/>
      <c r="AF621" s="298"/>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row>
    <row r="622">
      <c r="A622" s="304"/>
      <c r="B622" s="282"/>
      <c r="C622" s="298"/>
      <c r="D622" s="282"/>
      <c r="E622" s="282"/>
      <c r="F622" s="282"/>
      <c r="G622" s="282"/>
      <c r="H622" s="282"/>
      <c r="I622" s="282"/>
      <c r="J622" s="282"/>
      <c r="K622" s="282"/>
      <c r="L622" s="282"/>
      <c r="M622" s="282"/>
      <c r="N622" s="282"/>
      <c r="O622" s="282"/>
      <c r="P622" s="282"/>
      <c r="Q622" s="282"/>
      <c r="R622" s="282"/>
      <c r="S622" s="282"/>
      <c r="T622" s="282"/>
      <c r="U622" s="282"/>
      <c r="V622" s="298"/>
      <c r="W622" s="298"/>
      <c r="X622" s="298"/>
      <c r="Y622" s="298"/>
      <c r="Z622" s="298"/>
      <c r="AA622" s="298"/>
      <c r="AB622" s="298"/>
      <c r="AC622" s="298"/>
      <c r="AD622" s="298"/>
      <c r="AE622" s="298"/>
      <c r="AF622" s="298"/>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row>
    <row r="623">
      <c r="A623" s="304"/>
      <c r="B623" s="282"/>
      <c r="C623" s="298"/>
      <c r="D623" s="282"/>
      <c r="E623" s="282"/>
      <c r="F623" s="282"/>
      <c r="G623" s="282"/>
      <c r="H623" s="282"/>
      <c r="I623" s="282"/>
      <c r="J623" s="282"/>
      <c r="K623" s="282"/>
      <c r="L623" s="282"/>
      <c r="M623" s="282"/>
      <c r="N623" s="282"/>
      <c r="O623" s="282"/>
      <c r="P623" s="282"/>
      <c r="Q623" s="282"/>
      <c r="R623" s="282"/>
      <c r="S623" s="282"/>
      <c r="T623" s="282"/>
      <c r="U623" s="282"/>
      <c r="V623" s="298"/>
      <c r="W623" s="298"/>
      <c r="X623" s="298"/>
      <c r="Y623" s="298"/>
      <c r="Z623" s="298"/>
      <c r="AA623" s="298"/>
      <c r="AB623" s="298"/>
      <c r="AC623" s="298"/>
      <c r="AD623" s="298"/>
      <c r="AE623" s="298"/>
      <c r="AF623" s="298"/>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row>
    <row r="624">
      <c r="A624" s="304"/>
      <c r="B624" s="282"/>
      <c r="C624" s="298"/>
      <c r="D624" s="282"/>
      <c r="E624" s="282"/>
      <c r="F624" s="282"/>
      <c r="G624" s="282"/>
      <c r="H624" s="282"/>
      <c r="I624" s="282"/>
      <c r="J624" s="282"/>
      <c r="K624" s="282"/>
      <c r="L624" s="282"/>
      <c r="M624" s="282"/>
      <c r="N624" s="282"/>
      <c r="O624" s="282"/>
      <c r="P624" s="282"/>
      <c r="Q624" s="282"/>
      <c r="R624" s="282"/>
      <c r="S624" s="282"/>
      <c r="T624" s="282"/>
      <c r="U624" s="282"/>
      <c r="V624" s="298"/>
      <c r="W624" s="298"/>
      <c r="X624" s="298"/>
      <c r="Y624" s="298"/>
      <c r="Z624" s="298"/>
      <c r="AA624" s="298"/>
      <c r="AB624" s="298"/>
      <c r="AC624" s="298"/>
      <c r="AD624" s="298"/>
      <c r="AE624" s="298"/>
      <c r="AF624" s="298"/>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row>
    <row r="625">
      <c r="A625" s="304"/>
      <c r="B625" s="282"/>
      <c r="C625" s="298"/>
      <c r="D625" s="282"/>
      <c r="E625" s="282"/>
      <c r="F625" s="282"/>
      <c r="G625" s="282"/>
      <c r="H625" s="282"/>
      <c r="I625" s="282"/>
      <c r="J625" s="282"/>
      <c r="K625" s="282"/>
      <c r="L625" s="282"/>
      <c r="M625" s="282"/>
      <c r="N625" s="282"/>
      <c r="O625" s="282"/>
      <c r="P625" s="282"/>
      <c r="Q625" s="282"/>
      <c r="R625" s="282"/>
      <c r="S625" s="282"/>
      <c r="T625" s="282"/>
      <c r="U625" s="282"/>
      <c r="V625" s="298"/>
      <c r="W625" s="298"/>
      <c r="X625" s="298"/>
      <c r="Y625" s="298"/>
      <c r="Z625" s="298"/>
      <c r="AA625" s="298"/>
      <c r="AB625" s="298"/>
      <c r="AC625" s="298"/>
      <c r="AD625" s="298"/>
      <c r="AE625" s="298"/>
      <c r="AF625" s="298"/>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row>
    <row r="626">
      <c r="A626" s="304"/>
      <c r="B626" s="282"/>
      <c r="C626" s="298"/>
      <c r="D626" s="282"/>
      <c r="E626" s="282"/>
      <c r="F626" s="282"/>
      <c r="G626" s="282"/>
      <c r="H626" s="282"/>
      <c r="I626" s="282"/>
      <c r="J626" s="282"/>
      <c r="K626" s="282"/>
      <c r="L626" s="282"/>
      <c r="M626" s="282"/>
      <c r="N626" s="282"/>
      <c r="O626" s="282"/>
      <c r="P626" s="282"/>
      <c r="Q626" s="282"/>
      <c r="R626" s="282"/>
      <c r="S626" s="282"/>
      <c r="T626" s="282"/>
      <c r="U626" s="282"/>
      <c r="V626" s="298"/>
      <c r="W626" s="298"/>
      <c r="X626" s="298"/>
      <c r="Y626" s="298"/>
      <c r="Z626" s="298"/>
      <c r="AA626" s="298"/>
      <c r="AB626" s="298"/>
      <c r="AC626" s="298"/>
      <c r="AD626" s="298"/>
      <c r="AE626" s="298"/>
      <c r="AF626" s="298"/>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row>
    <row r="627">
      <c r="A627" s="304"/>
      <c r="B627" s="282"/>
      <c r="C627" s="298"/>
      <c r="D627" s="282"/>
      <c r="E627" s="282"/>
      <c r="F627" s="282"/>
      <c r="G627" s="282"/>
      <c r="H627" s="282"/>
      <c r="I627" s="282"/>
      <c r="J627" s="282"/>
      <c r="K627" s="282"/>
      <c r="L627" s="282"/>
      <c r="M627" s="282"/>
      <c r="N627" s="282"/>
      <c r="O627" s="282"/>
      <c r="P627" s="282"/>
      <c r="Q627" s="282"/>
      <c r="R627" s="282"/>
      <c r="S627" s="282"/>
      <c r="T627" s="282"/>
      <c r="U627" s="282"/>
      <c r="V627" s="298"/>
      <c r="W627" s="298"/>
      <c r="X627" s="298"/>
      <c r="Y627" s="298"/>
      <c r="Z627" s="298"/>
      <c r="AA627" s="298"/>
      <c r="AB627" s="298"/>
      <c r="AC627" s="298"/>
      <c r="AD627" s="298"/>
      <c r="AE627" s="298"/>
      <c r="AF627" s="298"/>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row>
    <row r="628">
      <c r="A628" s="304"/>
      <c r="B628" s="282"/>
      <c r="C628" s="298"/>
      <c r="D628" s="282"/>
      <c r="E628" s="282"/>
      <c r="F628" s="282"/>
      <c r="G628" s="282"/>
      <c r="H628" s="282"/>
      <c r="I628" s="282"/>
      <c r="J628" s="282"/>
      <c r="K628" s="282"/>
      <c r="L628" s="282"/>
      <c r="M628" s="282"/>
      <c r="N628" s="282"/>
      <c r="O628" s="282"/>
      <c r="P628" s="282"/>
      <c r="Q628" s="282"/>
      <c r="R628" s="282"/>
      <c r="S628" s="282"/>
      <c r="T628" s="282"/>
      <c r="U628" s="282"/>
      <c r="V628" s="298"/>
      <c r="W628" s="298"/>
      <c r="X628" s="298"/>
      <c r="Y628" s="298"/>
      <c r="Z628" s="298"/>
      <c r="AA628" s="298"/>
      <c r="AB628" s="298"/>
      <c r="AC628" s="298"/>
      <c r="AD628" s="298"/>
      <c r="AE628" s="298"/>
      <c r="AF628" s="298"/>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row>
    <row r="629">
      <c r="A629" s="304"/>
      <c r="B629" s="282"/>
      <c r="C629" s="298"/>
      <c r="D629" s="282"/>
      <c r="E629" s="282"/>
      <c r="F629" s="282"/>
      <c r="G629" s="282"/>
      <c r="H629" s="282"/>
      <c r="I629" s="282"/>
      <c r="J629" s="282"/>
      <c r="K629" s="282"/>
      <c r="L629" s="282"/>
      <c r="M629" s="282"/>
      <c r="N629" s="282"/>
      <c r="O629" s="282"/>
      <c r="P629" s="282"/>
      <c r="Q629" s="282"/>
      <c r="R629" s="282"/>
      <c r="S629" s="282"/>
      <c r="T629" s="282"/>
      <c r="U629" s="282"/>
      <c r="V629" s="298"/>
      <c r="W629" s="298"/>
      <c r="X629" s="298"/>
      <c r="Y629" s="298"/>
      <c r="Z629" s="298"/>
      <c r="AA629" s="298"/>
      <c r="AB629" s="298"/>
      <c r="AC629" s="298"/>
      <c r="AD629" s="298"/>
      <c r="AE629" s="298"/>
      <c r="AF629" s="298"/>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row>
    <row r="630">
      <c r="A630" s="304"/>
      <c r="B630" s="282"/>
      <c r="C630" s="298"/>
      <c r="D630" s="282"/>
      <c r="E630" s="282"/>
      <c r="F630" s="282"/>
      <c r="G630" s="282"/>
      <c r="H630" s="282"/>
      <c r="I630" s="282"/>
      <c r="J630" s="282"/>
      <c r="K630" s="282"/>
      <c r="L630" s="282"/>
      <c r="M630" s="282"/>
      <c r="N630" s="282"/>
      <c r="O630" s="282"/>
      <c r="P630" s="282"/>
      <c r="Q630" s="282"/>
      <c r="R630" s="282"/>
      <c r="S630" s="282"/>
      <c r="T630" s="282"/>
      <c r="U630" s="282"/>
      <c r="V630" s="298"/>
      <c r="W630" s="298"/>
      <c r="X630" s="298"/>
      <c r="Y630" s="298"/>
      <c r="Z630" s="298"/>
      <c r="AA630" s="298"/>
      <c r="AB630" s="298"/>
      <c r="AC630" s="298"/>
      <c r="AD630" s="298"/>
      <c r="AE630" s="298"/>
      <c r="AF630" s="298"/>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row>
    <row r="631">
      <c r="A631" s="304"/>
      <c r="B631" s="282"/>
      <c r="C631" s="298"/>
      <c r="D631" s="282"/>
      <c r="E631" s="282"/>
      <c r="F631" s="282"/>
      <c r="G631" s="282"/>
      <c r="H631" s="282"/>
      <c r="I631" s="282"/>
      <c r="J631" s="282"/>
      <c r="K631" s="282"/>
      <c r="L631" s="282"/>
      <c r="M631" s="282"/>
      <c r="N631" s="282"/>
      <c r="O631" s="282"/>
      <c r="P631" s="282"/>
      <c r="Q631" s="282"/>
      <c r="R631" s="282"/>
      <c r="S631" s="282"/>
      <c r="T631" s="282"/>
      <c r="U631" s="282"/>
      <c r="V631" s="298"/>
      <c r="W631" s="298"/>
      <c r="X631" s="298"/>
      <c r="Y631" s="298"/>
      <c r="Z631" s="298"/>
      <c r="AA631" s="298"/>
      <c r="AB631" s="298"/>
      <c r="AC631" s="298"/>
      <c r="AD631" s="298"/>
      <c r="AE631" s="298"/>
      <c r="AF631" s="298"/>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row>
    <row r="632">
      <c r="A632" s="304"/>
      <c r="B632" s="282"/>
      <c r="C632" s="298"/>
      <c r="D632" s="282"/>
      <c r="E632" s="282"/>
      <c r="F632" s="282"/>
      <c r="G632" s="282"/>
      <c r="H632" s="282"/>
      <c r="I632" s="282"/>
      <c r="J632" s="282"/>
      <c r="K632" s="282"/>
      <c r="L632" s="282"/>
      <c r="M632" s="282"/>
      <c r="N632" s="282"/>
      <c r="O632" s="282"/>
      <c r="P632" s="282"/>
      <c r="Q632" s="282"/>
      <c r="R632" s="282"/>
      <c r="S632" s="282"/>
      <c r="T632" s="282"/>
      <c r="U632" s="282"/>
      <c r="V632" s="298"/>
      <c r="W632" s="298"/>
      <c r="X632" s="298"/>
      <c r="Y632" s="298"/>
      <c r="Z632" s="298"/>
      <c r="AA632" s="298"/>
      <c r="AB632" s="298"/>
      <c r="AC632" s="298"/>
      <c r="AD632" s="298"/>
      <c r="AE632" s="298"/>
      <c r="AF632" s="298"/>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row>
    <row r="633">
      <c r="A633" s="304"/>
      <c r="B633" s="282"/>
      <c r="C633" s="298"/>
      <c r="D633" s="282"/>
      <c r="E633" s="282"/>
      <c r="F633" s="282"/>
      <c r="G633" s="282"/>
      <c r="H633" s="282"/>
      <c r="I633" s="282"/>
      <c r="J633" s="282"/>
      <c r="K633" s="282"/>
      <c r="L633" s="282"/>
      <c r="M633" s="282"/>
      <c r="N633" s="282"/>
      <c r="O633" s="282"/>
      <c r="P633" s="282"/>
      <c r="Q633" s="282"/>
      <c r="R633" s="282"/>
      <c r="S633" s="282"/>
      <c r="T633" s="282"/>
      <c r="U633" s="282"/>
      <c r="V633" s="298"/>
      <c r="W633" s="298"/>
      <c r="X633" s="298"/>
      <c r="Y633" s="298"/>
      <c r="Z633" s="298"/>
      <c r="AA633" s="298"/>
      <c r="AB633" s="298"/>
      <c r="AC633" s="298"/>
      <c r="AD633" s="298"/>
      <c r="AE633" s="298"/>
      <c r="AF633" s="298"/>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row>
    <row r="634">
      <c r="A634" s="304"/>
      <c r="B634" s="282"/>
      <c r="C634" s="298"/>
      <c r="D634" s="282"/>
      <c r="E634" s="282"/>
      <c r="F634" s="282"/>
      <c r="G634" s="282"/>
      <c r="H634" s="282"/>
      <c r="I634" s="282"/>
      <c r="J634" s="282"/>
      <c r="K634" s="282"/>
      <c r="L634" s="282"/>
      <c r="M634" s="282"/>
      <c r="N634" s="282"/>
      <c r="O634" s="282"/>
      <c r="P634" s="282"/>
      <c r="Q634" s="282"/>
      <c r="R634" s="282"/>
      <c r="S634" s="282"/>
      <c r="T634" s="282"/>
      <c r="U634" s="282"/>
      <c r="V634" s="298"/>
      <c r="W634" s="298"/>
      <c r="X634" s="298"/>
      <c r="Y634" s="298"/>
      <c r="Z634" s="298"/>
      <c r="AA634" s="298"/>
      <c r="AB634" s="298"/>
      <c r="AC634" s="298"/>
      <c r="AD634" s="298"/>
      <c r="AE634" s="298"/>
      <c r="AF634" s="298"/>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row>
    <row r="635">
      <c r="A635" s="304"/>
      <c r="B635" s="282"/>
      <c r="C635" s="298"/>
      <c r="D635" s="282"/>
      <c r="E635" s="282"/>
      <c r="F635" s="282"/>
      <c r="G635" s="282"/>
      <c r="H635" s="282"/>
      <c r="I635" s="282"/>
      <c r="J635" s="282"/>
      <c r="K635" s="282"/>
      <c r="L635" s="282"/>
      <c r="M635" s="282"/>
      <c r="N635" s="282"/>
      <c r="O635" s="282"/>
      <c r="P635" s="282"/>
      <c r="Q635" s="282"/>
      <c r="R635" s="282"/>
      <c r="S635" s="282"/>
      <c r="T635" s="282"/>
      <c r="U635" s="282"/>
      <c r="V635" s="298"/>
      <c r="W635" s="298"/>
      <c r="X635" s="298"/>
      <c r="Y635" s="298"/>
      <c r="Z635" s="298"/>
      <c r="AA635" s="298"/>
      <c r="AB635" s="298"/>
      <c r="AC635" s="298"/>
      <c r="AD635" s="298"/>
      <c r="AE635" s="298"/>
      <c r="AF635" s="298"/>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row>
    <row r="636">
      <c r="A636" s="304"/>
      <c r="B636" s="282"/>
      <c r="C636" s="298"/>
      <c r="D636" s="282"/>
      <c r="E636" s="282"/>
      <c r="F636" s="282"/>
      <c r="G636" s="282"/>
      <c r="H636" s="282"/>
      <c r="I636" s="282"/>
      <c r="J636" s="282"/>
      <c r="K636" s="282"/>
      <c r="L636" s="282"/>
      <c r="M636" s="282"/>
      <c r="N636" s="282"/>
      <c r="O636" s="282"/>
      <c r="P636" s="282"/>
      <c r="Q636" s="282"/>
      <c r="R636" s="282"/>
      <c r="S636" s="282"/>
      <c r="T636" s="282"/>
      <c r="U636" s="282"/>
      <c r="V636" s="298"/>
      <c r="W636" s="298"/>
      <c r="X636" s="298"/>
      <c r="Y636" s="298"/>
      <c r="Z636" s="298"/>
      <c r="AA636" s="298"/>
      <c r="AB636" s="298"/>
      <c r="AC636" s="298"/>
      <c r="AD636" s="298"/>
      <c r="AE636" s="298"/>
      <c r="AF636" s="298"/>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row>
    <row r="637">
      <c r="A637" s="304"/>
      <c r="B637" s="282"/>
      <c r="C637" s="298"/>
      <c r="D637" s="282"/>
      <c r="E637" s="282"/>
      <c r="F637" s="282"/>
      <c r="G637" s="282"/>
      <c r="H637" s="282"/>
      <c r="I637" s="282"/>
      <c r="J637" s="282"/>
      <c r="K637" s="282"/>
      <c r="L637" s="282"/>
      <c r="M637" s="282"/>
      <c r="N637" s="282"/>
      <c r="O637" s="282"/>
      <c r="P637" s="282"/>
      <c r="Q637" s="282"/>
      <c r="R637" s="282"/>
      <c r="S637" s="282"/>
      <c r="T637" s="282"/>
      <c r="U637" s="282"/>
      <c r="V637" s="298"/>
      <c r="W637" s="298"/>
      <c r="X637" s="298"/>
      <c r="Y637" s="298"/>
      <c r="Z637" s="298"/>
      <c r="AA637" s="298"/>
      <c r="AB637" s="298"/>
      <c r="AC637" s="298"/>
      <c r="AD637" s="298"/>
      <c r="AE637" s="298"/>
      <c r="AF637" s="298"/>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row>
    <row r="638">
      <c r="A638" s="304"/>
      <c r="B638" s="282"/>
      <c r="C638" s="298"/>
      <c r="D638" s="282"/>
      <c r="E638" s="282"/>
      <c r="F638" s="282"/>
      <c r="G638" s="282"/>
      <c r="H638" s="282"/>
      <c r="I638" s="282"/>
      <c r="J638" s="282"/>
      <c r="K638" s="282"/>
      <c r="L638" s="282"/>
      <c r="M638" s="282"/>
      <c r="N638" s="282"/>
      <c r="O638" s="282"/>
      <c r="P638" s="282"/>
      <c r="Q638" s="282"/>
      <c r="R638" s="282"/>
      <c r="S638" s="282"/>
      <c r="T638" s="282"/>
      <c r="U638" s="282"/>
      <c r="V638" s="298"/>
      <c r="W638" s="298"/>
      <c r="X638" s="298"/>
      <c r="Y638" s="298"/>
      <c r="Z638" s="298"/>
      <c r="AA638" s="298"/>
      <c r="AB638" s="298"/>
      <c r="AC638" s="298"/>
      <c r="AD638" s="298"/>
      <c r="AE638" s="298"/>
      <c r="AF638" s="298"/>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row>
    <row r="639">
      <c r="A639" s="304"/>
      <c r="B639" s="282"/>
      <c r="C639" s="298"/>
      <c r="D639" s="282"/>
      <c r="E639" s="282"/>
      <c r="F639" s="282"/>
      <c r="G639" s="282"/>
      <c r="H639" s="282"/>
      <c r="I639" s="282"/>
      <c r="J639" s="282"/>
      <c r="K639" s="282"/>
      <c r="L639" s="282"/>
      <c r="M639" s="282"/>
      <c r="N639" s="282"/>
      <c r="O639" s="282"/>
      <c r="P639" s="282"/>
      <c r="Q639" s="282"/>
      <c r="R639" s="282"/>
      <c r="S639" s="282"/>
      <c r="T639" s="282"/>
      <c r="U639" s="282"/>
      <c r="V639" s="298"/>
      <c r="W639" s="298"/>
      <c r="X639" s="298"/>
      <c r="Y639" s="298"/>
      <c r="Z639" s="298"/>
      <c r="AA639" s="298"/>
      <c r="AB639" s="298"/>
      <c r="AC639" s="298"/>
      <c r="AD639" s="298"/>
      <c r="AE639" s="298"/>
      <c r="AF639" s="298"/>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row>
    <row r="640">
      <c r="A640" s="304"/>
      <c r="B640" s="282"/>
      <c r="C640" s="298"/>
      <c r="D640" s="282"/>
      <c r="E640" s="282"/>
      <c r="F640" s="282"/>
      <c r="G640" s="282"/>
      <c r="H640" s="282"/>
      <c r="I640" s="282"/>
      <c r="J640" s="282"/>
      <c r="K640" s="282"/>
      <c r="L640" s="282"/>
      <c r="M640" s="282"/>
      <c r="N640" s="282"/>
      <c r="O640" s="282"/>
      <c r="P640" s="282"/>
      <c r="Q640" s="282"/>
      <c r="R640" s="282"/>
      <c r="S640" s="282"/>
      <c r="T640" s="282"/>
      <c r="U640" s="282"/>
      <c r="V640" s="298"/>
      <c r="W640" s="298"/>
      <c r="X640" s="298"/>
      <c r="Y640" s="298"/>
      <c r="Z640" s="298"/>
      <c r="AA640" s="298"/>
      <c r="AB640" s="298"/>
      <c r="AC640" s="298"/>
      <c r="AD640" s="298"/>
      <c r="AE640" s="298"/>
      <c r="AF640" s="298"/>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row>
    <row r="641">
      <c r="A641" s="304"/>
      <c r="B641" s="282"/>
      <c r="C641" s="298"/>
      <c r="D641" s="282"/>
      <c r="E641" s="282"/>
      <c r="F641" s="282"/>
      <c r="G641" s="282"/>
      <c r="H641" s="282"/>
      <c r="I641" s="282"/>
      <c r="J641" s="282"/>
      <c r="K641" s="282"/>
      <c r="L641" s="282"/>
      <c r="M641" s="282"/>
      <c r="N641" s="282"/>
      <c r="O641" s="282"/>
      <c r="P641" s="282"/>
      <c r="Q641" s="282"/>
      <c r="R641" s="282"/>
      <c r="S641" s="282"/>
      <c r="T641" s="282"/>
      <c r="U641" s="282"/>
      <c r="V641" s="298"/>
      <c r="W641" s="298"/>
      <c r="X641" s="298"/>
      <c r="Y641" s="298"/>
      <c r="Z641" s="298"/>
      <c r="AA641" s="298"/>
      <c r="AB641" s="298"/>
      <c r="AC641" s="298"/>
      <c r="AD641" s="298"/>
      <c r="AE641" s="298"/>
      <c r="AF641" s="298"/>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row>
    <row r="642">
      <c r="A642" s="304"/>
      <c r="B642" s="282"/>
      <c r="C642" s="298"/>
      <c r="D642" s="282"/>
      <c r="E642" s="282"/>
      <c r="F642" s="282"/>
      <c r="G642" s="282"/>
      <c r="H642" s="282"/>
      <c r="I642" s="282"/>
      <c r="J642" s="282"/>
      <c r="K642" s="282"/>
      <c r="L642" s="282"/>
      <c r="M642" s="282"/>
      <c r="N642" s="282"/>
      <c r="O642" s="282"/>
      <c r="P642" s="282"/>
      <c r="Q642" s="282"/>
      <c r="R642" s="282"/>
      <c r="S642" s="282"/>
      <c r="T642" s="282"/>
      <c r="U642" s="282"/>
      <c r="V642" s="298"/>
      <c r="W642" s="298"/>
      <c r="X642" s="298"/>
      <c r="Y642" s="298"/>
      <c r="Z642" s="298"/>
      <c r="AA642" s="298"/>
      <c r="AB642" s="298"/>
      <c r="AC642" s="298"/>
      <c r="AD642" s="298"/>
      <c r="AE642" s="298"/>
      <c r="AF642" s="298"/>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row>
    <row r="643">
      <c r="A643" s="304"/>
      <c r="B643" s="282"/>
      <c r="C643" s="298"/>
      <c r="D643" s="282"/>
      <c r="E643" s="282"/>
      <c r="F643" s="282"/>
      <c r="G643" s="282"/>
      <c r="H643" s="282"/>
      <c r="I643" s="282"/>
      <c r="J643" s="282"/>
      <c r="K643" s="282"/>
      <c r="L643" s="282"/>
      <c r="M643" s="282"/>
      <c r="N643" s="282"/>
      <c r="O643" s="282"/>
      <c r="P643" s="282"/>
      <c r="Q643" s="282"/>
      <c r="R643" s="282"/>
      <c r="S643" s="282"/>
      <c r="T643" s="282"/>
      <c r="U643" s="282"/>
      <c r="V643" s="298"/>
      <c r="W643" s="298"/>
      <c r="X643" s="298"/>
      <c r="Y643" s="298"/>
      <c r="Z643" s="298"/>
      <c r="AA643" s="298"/>
      <c r="AB643" s="298"/>
      <c r="AC643" s="298"/>
      <c r="AD643" s="298"/>
      <c r="AE643" s="298"/>
      <c r="AF643" s="298"/>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row>
    <row r="644">
      <c r="A644" s="304"/>
      <c r="B644" s="282"/>
      <c r="C644" s="298"/>
      <c r="D644" s="282"/>
      <c r="E644" s="282"/>
      <c r="F644" s="282"/>
      <c r="G644" s="282"/>
      <c r="H644" s="282"/>
      <c r="I644" s="282"/>
      <c r="J644" s="282"/>
      <c r="K644" s="282"/>
      <c r="L644" s="282"/>
      <c r="M644" s="282"/>
      <c r="N644" s="282"/>
      <c r="O644" s="282"/>
      <c r="P644" s="282"/>
      <c r="Q644" s="282"/>
      <c r="R644" s="282"/>
      <c r="S644" s="282"/>
      <c r="T644" s="282"/>
      <c r="U644" s="282"/>
      <c r="V644" s="298"/>
      <c r="W644" s="298"/>
      <c r="X644" s="298"/>
      <c r="Y644" s="298"/>
      <c r="Z644" s="298"/>
      <c r="AA644" s="298"/>
      <c r="AB644" s="298"/>
      <c r="AC644" s="298"/>
      <c r="AD644" s="298"/>
      <c r="AE644" s="298"/>
      <c r="AF644" s="298"/>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row>
    <row r="645">
      <c r="A645" s="304"/>
      <c r="B645" s="282"/>
      <c r="C645" s="298"/>
      <c r="D645" s="282"/>
      <c r="E645" s="282"/>
      <c r="F645" s="282"/>
      <c r="G645" s="282"/>
      <c r="H645" s="282"/>
      <c r="I645" s="282"/>
      <c r="J645" s="282"/>
      <c r="K645" s="282"/>
      <c r="L645" s="282"/>
      <c r="M645" s="282"/>
      <c r="N645" s="282"/>
      <c r="O645" s="282"/>
      <c r="P645" s="282"/>
      <c r="Q645" s="282"/>
      <c r="R645" s="282"/>
      <c r="S645" s="282"/>
      <c r="T645" s="282"/>
      <c r="U645" s="282"/>
      <c r="V645" s="298"/>
      <c r="W645" s="298"/>
      <c r="X645" s="298"/>
      <c r="Y645" s="298"/>
      <c r="Z645" s="298"/>
      <c r="AA645" s="298"/>
      <c r="AB645" s="298"/>
      <c r="AC645" s="298"/>
      <c r="AD645" s="298"/>
      <c r="AE645" s="298"/>
      <c r="AF645" s="298"/>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row>
    <row r="646">
      <c r="A646" s="304"/>
      <c r="B646" s="282"/>
      <c r="C646" s="298"/>
      <c r="D646" s="282"/>
      <c r="E646" s="282"/>
      <c r="F646" s="282"/>
      <c r="G646" s="282"/>
      <c r="H646" s="282"/>
      <c r="I646" s="282"/>
      <c r="J646" s="282"/>
      <c r="K646" s="282"/>
      <c r="L646" s="282"/>
      <c r="M646" s="282"/>
      <c r="N646" s="282"/>
      <c r="O646" s="282"/>
      <c r="P646" s="282"/>
      <c r="Q646" s="282"/>
      <c r="R646" s="282"/>
      <c r="S646" s="282"/>
      <c r="T646" s="282"/>
      <c r="U646" s="282"/>
      <c r="V646" s="298"/>
      <c r="W646" s="298"/>
      <c r="X646" s="298"/>
      <c r="Y646" s="298"/>
      <c r="Z646" s="298"/>
      <c r="AA646" s="298"/>
      <c r="AB646" s="298"/>
      <c r="AC646" s="298"/>
      <c r="AD646" s="298"/>
      <c r="AE646" s="298"/>
      <c r="AF646" s="298"/>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row>
    <row r="647">
      <c r="A647" s="304"/>
      <c r="B647" s="282"/>
      <c r="C647" s="298"/>
      <c r="D647" s="282"/>
      <c r="E647" s="282"/>
      <c r="F647" s="282"/>
      <c r="G647" s="282"/>
      <c r="H647" s="282"/>
      <c r="I647" s="282"/>
      <c r="J647" s="282"/>
      <c r="K647" s="282"/>
      <c r="L647" s="282"/>
      <c r="M647" s="282"/>
      <c r="N647" s="282"/>
      <c r="O647" s="282"/>
      <c r="P647" s="282"/>
      <c r="Q647" s="282"/>
      <c r="R647" s="282"/>
      <c r="S647" s="282"/>
      <c r="T647" s="282"/>
      <c r="U647" s="282"/>
      <c r="V647" s="298"/>
      <c r="W647" s="298"/>
      <c r="X647" s="298"/>
      <c r="Y647" s="298"/>
      <c r="Z647" s="298"/>
      <c r="AA647" s="298"/>
      <c r="AB647" s="298"/>
      <c r="AC647" s="298"/>
      <c r="AD647" s="298"/>
      <c r="AE647" s="298"/>
      <c r="AF647" s="298"/>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row>
    <row r="648">
      <c r="A648" s="304"/>
      <c r="B648" s="282"/>
      <c r="C648" s="298"/>
      <c r="D648" s="282"/>
      <c r="E648" s="282"/>
      <c r="F648" s="282"/>
      <c r="G648" s="282"/>
      <c r="H648" s="282"/>
      <c r="I648" s="282"/>
      <c r="J648" s="282"/>
      <c r="K648" s="282"/>
      <c r="L648" s="282"/>
      <c r="M648" s="282"/>
      <c r="N648" s="282"/>
      <c r="O648" s="282"/>
      <c r="P648" s="282"/>
      <c r="Q648" s="282"/>
      <c r="R648" s="282"/>
      <c r="S648" s="282"/>
      <c r="T648" s="282"/>
      <c r="U648" s="282"/>
      <c r="V648" s="298"/>
      <c r="W648" s="298"/>
      <c r="X648" s="298"/>
      <c r="Y648" s="298"/>
      <c r="Z648" s="298"/>
      <c r="AA648" s="298"/>
      <c r="AB648" s="298"/>
      <c r="AC648" s="298"/>
      <c r="AD648" s="298"/>
      <c r="AE648" s="298"/>
      <c r="AF648" s="298"/>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row>
    <row r="649">
      <c r="A649" s="304"/>
      <c r="B649" s="282"/>
      <c r="C649" s="298"/>
      <c r="D649" s="282"/>
      <c r="E649" s="282"/>
      <c r="F649" s="282"/>
      <c r="G649" s="282"/>
      <c r="H649" s="282"/>
      <c r="I649" s="282"/>
      <c r="J649" s="282"/>
      <c r="K649" s="282"/>
      <c r="L649" s="282"/>
      <c r="M649" s="282"/>
      <c r="N649" s="282"/>
      <c r="O649" s="282"/>
      <c r="P649" s="282"/>
      <c r="Q649" s="282"/>
      <c r="R649" s="282"/>
      <c r="S649" s="282"/>
      <c r="T649" s="282"/>
      <c r="U649" s="282"/>
      <c r="V649" s="298"/>
      <c r="W649" s="298"/>
      <c r="X649" s="298"/>
      <c r="Y649" s="298"/>
      <c r="Z649" s="298"/>
      <c r="AA649" s="298"/>
      <c r="AB649" s="298"/>
      <c r="AC649" s="298"/>
      <c r="AD649" s="298"/>
      <c r="AE649" s="298"/>
      <c r="AF649" s="298"/>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row>
    <row r="650">
      <c r="A650" s="304"/>
      <c r="B650" s="282"/>
      <c r="C650" s="298"/>
      <c r="D650" s="282"/>
      <c r="E650" s="282"/>
      <c r="F650" s="282"/>
      <c r="G650" s="282"/>
      <c r="H650" s="282"/>
      <c r="I650" s="282"/>
      <c r="J650" s="282"/>
      <c r="K650" s="282"/>
      <c r="L650" s="282"/>
      <c r="M650" s="282"/>
      <c r="N650" s="282"/>
      <c r="O650" s="282"/>
      <c r="P650" s="282"/>
      <c r="Q650" s="282"/>
      <c r="R650" s="282"/>
      <c r="S650" s="282"/>
      <c r="T650" s="282"/>
      <c r="U650" s="282"/>
      <c r="V650" s="298"/>
      <c r="W650" s="298"/>
      <c r="X650" s="298"/>
      <c r="Y650" s="298"/>
      <c r="Z650" s="298"/>
      <c r="AA650" s="298"/>
      <c r="AB650" s="298"/>
      <c r="AC650" s="298"/>
      <c r="AD650" s="298"/>
      <c r="AE650" s="298"/>
      <c r="AF650" s="298"/>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row>
    <row r="651">
      <c r="A651" s="304"/>
      <c r="B651" s="282"/>
      <c r="C651" s="298"/>
      <c r="D651" s="282"/>
      <c r="E651" s="282"/>
      <c r="F651" s="282"/>
      <c r="G651" s="282"/>
      <c r="H651" s="282"/>
      <c r="I651" s="282"/>
      <c r="J651" s="282"/>
      <c r="K651" s="282"/>
      <c r="L651" s="282"/>
      <c r="M651" s="282"/>
      <c r="N651" s="282"/>
      <c r="O651" s="282"/>
      <c r="P651" s="282"/>
      <c r="Q651" s="282"/>
      <c r="R651" s="282"/>
      <c r="S651" s="282"/>
      <c r="T651" s="282"/>
      <c r="U651" s="282"/>
      <c r="V651" s="298"/>
      <c r="W651" s="298"/>
      <c r="X651" s="298"/>
      <c r="Y651" s="298"/>
      <c r="Z651" s="298"/>
      <c r="AA651" s="298"/>
      <c r="AB651" s="298"/>
      <c r="AC651" s="298"/>
      <c r="AD651" s="298"/>
      <c r="AE651" s="298"/>
      <c r="AF651" s="298"/>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row>
    <row r="652">
      <c r="A652" s="304"/>
      <c r="B652" s="282"/>
      <c r="C652" s="298"/>
      <c r="D652" s="282"/>
      <c r="E652" s="282"/>
      <c r="F652" s="282"/>
      <c r="G652" s="282"/>
      <c r="H652" s="282"/>
      <c r="I652" s="282"/>
      <c r="J652" s="282"/>
      <c r="K652" s="282"/>
      <c r="L652" s="282"/>
      <c r="M652" s="282"/>
      <c r="N652" s="282"/>
      <c r="O652" s="282"/>
      <c r="P652" s="282"/>
      <c r="Q652" s="282"/>
      <c r="R652" s="282"/>
      <c r="S652" s="282"/>
      <c r="T652" s="282"/>
      <c r="U652" s="282"/>
      <c r="V652" s="298"/>
      <c r="W652" s="298"/>
      <c r="X652" s="298"/>
      <c r="Y652" s="298"/>
      <c r="Z652" s="298"/>
      <c r="AA652" s="298"/>
      <c r="AB652" s="298"/>
      <c r="AC652" s="298"/>
      <c r="AD652" s="298"/>
      <c r="AE652" s="298"/>
      <c r="AF652" s="298"/>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row>
    <row r="653">
      <c r="A653" s="304"/>
      <c r="B653" s="282"/>
      <c r="C653" s="298"/>
      <c r="D653" s="282"/>
      <c r="E653" s="282"/>
      <c r="F653" s="282"/>
      <c r="G653" s="282"/>
      <c r="H653" s="282"/>
      <c r="I653" s="282"/>
      <c r="J653" s="282"/>
      <c r="K653" s="282"/>
      <c r="L653" s="282"/>
      <c r="M653" s="282"/>
      <c r="N653" s="282"/>
      <c r="O653" s="282"/>
      <c r="P653" s="282"/>
      <c r="Q653" s="282"/>
      <c r="R653" s="282"/>
      <c r="S653" s="282"/>
      <c r="T653" s="282"/>
      <c r="U653" s="282"/>
      <c r="V653" s="298"/>
      <c r="W653" s="298"/>
      <c r="X653" s="298"/>
      <c r="Y653" s="298"/>
      <c r="Z653" s="298"/>
      <c r="AA653" s="298"/>
      <c r="AB653" s="298"/>
      <c r="AC653" s="298"/>
      <c r="AD653" s="298"/>
      <c r="AE653" s="298"/>
      <c r="AF653" s="298"/>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row>
    <row r="654">
      <c r="A654" s="304"/>
      <c r="B654" s="282"/>
      <c r="C654" s="298"/>
      <c r="D654" s="282"/>
      <c r="E654" s="282"/>
      <c r="F654" s="282"/>
      <c r="G654" s="282"/>
      <c r="H654" s="282"/>
      <c r="I654" s="282"/>
      <c r="J654" s="282"/>
      <c r="K654" s="282"/>
      <c r="L654" s="282"/>
      <c r="M654" s="282"/>
      <c r="N654" s="282"/>
      <c r="O654" s="282"/>
      <c r="P654" s="282"/>
      <c r="Q654" s="282"/>
      <c r="R654" s="282"/>
      <c r="S654" s="282"/>
      <c r="T654" s="282"/>
      <c r="U654" s="282"/>
      <c r="V654" s="298"/>
      <c r="W654" s="298"/>
      <c r="X654" s="298"/>
      <c r="Y654" s="298"/>
      <c r="Z654" s="298"/>
      <c r="AA654" s="298"/>
      <c r="AB654" s="298"/>
      <c r="AC654" s="298"/>
      <c r="AD654" s="298"/>
      <c r="AE654" s="298"/>
      <c r="AF654" s="298"/>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row>
    <row r="655">
      <c r="A655" s="304"/>
      <c r="B655" s="282"/>
      <c r="C655" s="298"/>
      <c r="D655" s="282"/>
      <c r="E655" s="282"/>
      <c r="F655" s="282"/>
      <c r="G655" s="282"/>
      <c r="H655" s="282"/>
      <c r="I655" s="282"/>
      <c r="J655" s="282"/>
      <c r="K655" s="282"/>
      <c r="L655" s="282"/>
      <c r="M655" s="282"/>
      <c r="N655" s="282"/>
      <c r="O655" s="282"/>
      <c r="P655" s="282"/>
      <c r="Q655" s="282"/>
      <c r="R655" s="282"/>
      <c r="S655" s="282"/>
      <c r="T655" s="282"/>
      <c r="U655" s="282"/>
      <c r="V655" s="298"/>
      <c r="W655" s="298"/>
      <c r="X655" s="298"/>
      <c r="Y655" s="298"/>
      <c r="Z655" s="298"/>
      <c r="AA655" s="298"/>
      <c r="AB655" s="298"/>
      <c r="AC655" s="298"/>
      <c r="AD655" s="298"/>
      <c r="AE655" s="298"/>
      <c r="AF655" s="298"/>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row>
    <row r="656">
      <c r="A656" s="304"/>
      <c r="B656" s="282"/>
      <c r="C656" s="298"/>
      <c r="D656" s="282"/>
      <c r="E656" s="282"/>
      <c r="F656" s="282"/>
      <c r="G656" s="282"/>
      <c r="H656" s="282"/>
      <c r="I656" s="282"/>
      <c r="J656" s="282"/>
      <c r="K656" s="282"/>
      <c r="L656" s="282"/>
      <c r="M656" s="282"/>
      <c r="N656" s="282"/>
      <c r="O656" s="282"/>
      <c r="P656" s="282"/>
      <c r="Q656" s="282"/>
      <c r="R656" s="282"/>
      <c r="S656" s="282"/>
      <c r="T656" s="282"/>
      <c r="U656" s="282"/>
      <c r="V656" s="298"/>
      <c r="W656" s="298"/>
      <c r="X656" s="298"/>
      <c r="Y656" s="298"/>
      <c r="Z656" s="298"/>
      <c r="AA656" s="298"/>
      <c r="AB656" s="298"/>
      <c r="AC656" s="298"/>
      <c r="AD656" s="298"/>
      <c r="AE656" s="298"/>
      <c r="AF656" s="298"/>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row>
    <row r="657">
      <c r="A657" s="304"/>
      <c r="B657" s="282"/>
      <c r="C657" s="298"/>
      <c r="D657" s="282"/>
      <c r="E657" s="282"/>
      <c r="F657" s="282"/>
      <c r="G657" s="282"/>
      <c r="H657" s="282"/>
      <c r="I657" s="282"/>
      <c r="J657" s="282"/>
      <c r="K657" s="282"/>
      <c r="L657" s="282"/>
      <c r="M657" s="282"/>
      <c r="N657" s="282"/>
      <c r="O657" s="282"/>
      <c r="P657" s="282"/>
      <c r="Q657" s="282"/>
      <c r="R657" s="282"/>
      <c r="S657" s="282"/>
      <c r="T657" s="282"/>
      <c r="U657" s="282"/>
      <c r="V657" s="298"/>
      <c r="W657" s="298"/>
      <c r="X657" s="298"/>
      <c r="Y657" s="298"/>
      <c r="Z657" s="298"/>
      <c r="AA657" s="298"/>
      <c r="AB657" s="298"/>
      <c r="AC657" s="298"/>
      <c r="AD657" s="298"/>
      <c r="AE657" s="298"/>
      <c r="AF657" s="298"/>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row>
    <row r="658">
      <c r="A658" s="304"/>
      <c r="B658" s="282"/>
      <c r="C658" s="298"/>
      <c r="D658" s="282"/>
      <c r="E658" s="282"/>
      <c r="F658" s="282"/>
      <c r="G658" s="282"/>
      <c r="H658" s="282"/>
      <c r="I658" s="282"/>
      <c r="J658" s="282"/>
      <c r="K658" s="282"/>
      <c r="L658" s="282"/>
      <c r="M658" s="282"/>
      <c r="N658" s="282"/>
      <c r="O658" s="282"/>
      <c r="P658" s="282"/>
      <c r="Q658" s="282"/>
      <c r="R658" s="282"/>
      <c r="S658" s="282"/>
      <c r="T658" s="282"/>
      <c r="U658" s="282"/>
      <c r="V658" s="298"/>
      <c r="W658" s="298"/>
      <c r="X658" s="298"/>
      <c r="Y658" s="298"/>
      <c r="Z658" s="298"/>
      <c r="AA658" s="298"/>
      <c r="AB658" s="298"/>
      <c r="AC658" s="298"/>
      <c r="AD658" s="298"/>
      <c r="AE658" s="298"/>
      <c r="AF658" s="298"/>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row>
    <row r="659">
      <c r="A659" s="304"/>
      <c r="B659" s="282"/>
      <c r="C659" s="298"/>
      <c r="D659" s="282"/>
      <c r="E659" s="282"/>
      <c r="F659" s="282"/>
      <c r="G659" s="282"/>
      <c r="H659" s="282"/>
      <c r="I659" s="282"/>
      <c r="J659" s="282"/>
      <c r="K659" s="282"/>
      <c r="L659" s="282"/>
      <c r="M659" s="282"/>
      <c r="N659" s="282"/>
      <c r="O659" s="282"/>
      <c r="P659" s="282"/>
      <c r="Q659" s="282"/>
      <c r="R659" s="282"/>
      <c r="S659" s="282"/>
      <c r="T659" s="282"/>
      <c r="U659" s="282"/>
      <c r="V659" s="298"/>
      <c r="W659" s="298"/>
      <c r="X659" s="298"/>
      <c r="Y659" s="298"/>
      <c r="Z659" s="298"/>
      <c r="AA659" s="298"/>
      <c r="AB659" s="298"/>
      <c r="AC659" s="298"/>
      <c r="AD659" s="298"/>
      <c r="AE659" s="298"/>
      <c r="AF659" s="298"/>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row>
    <row r="660">
      <c r="A660" s="304"/>
      <c r="B660" s="282"/>
      <c r="C660" s="298"/>
      <c r="D660" s="282"/>
      <c r="E660" s="282"/>
      <c r="F660" s="282"/>
      <c r="G660" s="282"/>
      <c r="H660" s="282"/>
      <c r="I660" s="282"/>
      <c r="J660" s="282"/>
      <c r="K660" s="282"/>
      <c r="L660" s="282"/>
      <c r="M660" s="282"/>
      <c r="N660" s="282"/>
      <c r="O660" s="282"/>
      <c r="P660" s="282"/>
      <c r="Q660" s="282"/>
      <c r="R660" s="282"/>
      <c r="S660" s="282"/>
      <c r="T660" s="282"/>
      <c r="U660" s="282"/>
      <c r="V660" s="298"/>
      <c r="W660" s="298"/>
      <c r="X660" s="298"/>
      <c r="Y660" s="298"/>
      <c r="Z660" s="298"/>
      <c r="AA660" s="298"/>
      <c r="AB660" s="298"/>
      <c r="AC660" s="298"/>
      <c r="AD660" s="298"/>
      <c r="AE660" s="298"/>
      <c r="AF660" s="298"/>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row>
    <row r="661">
      <c r="A661" s="304"/>
      <c r="B661" s="282"/>
      <c r="C661" s="298"/>
      <c r="D661" s="282"/>
      <c r="E661" s="282"/>
      <c r="F661" s="282"/>
      <c r="G661" s="282"/>
      <c r="H661" s="282"/>
      <c r="I661" s="282"/>
      <c r="J661" s="282"/>
      <c r="K661" s="282"/>
      <c r="L661" s="282"/>
      <c r="M661" s="282"/>
      <c r="N661" s="282"/>
      <c r="O661" s="282"/>
      <c r="P661" s="282"/>
      <c r="Q661" s="282"/>
      <c r="R661" s="282"/>
      <c r="S661" s="282"/>
      <c r="T661" s="282"/>
      <c r="U661" s="282"/>
      <c r="V661" s="298"/>
      <c r="W661" s="298"/>
      <c r="X661" s="298"/>
      <c r="Y661" s="298"/>
      <c r="Z661" s="298"/>
      <c r="AA661" s="298"/>
      <c r="AB661" s="298"/>
      <c r="AC661" s="298"/>
      <c r="AD661" s="298"/>
      <c r="AE661" s="298"/>
      <c r="AF661" s="298"/>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row>
    <row r="662">
      <c r="A662" s="304"/>
      <c r="B662" s="282"/>
      <c r="C662" s="298"/>
      <c r="D662" s="282"/>
      <c r="E662" s="282"/>
      <c r="F662" s="282"/>
      <c r="G662" s="282"/>
      <c r="H662" s="282"/>
      <c r="I662" s="282"/>
      <c r="J662" s="282"/>
      <c r="K662" s="282"/>
      <c r="L662" s="282"/>
      <c r="M662" s="282"/>
      <c r="N662" s="282"/>
      <c r="O662" s="282"/>
      <c r="P662" s="282"/>
      <c r="Q662" s="282"/>
      <c r="R662" s="282"/>
      <c r="S662" s="282"/>
      <c r="T662" s="282"/>
      <c r="U662" s="282"/>
      <c r="V662" s="298"/>
      <c r="W662" s="298"/>
      <c r="X662" s="298"/>
      <c r="Y662" s="298"/>
      <c r="Z662" s="298"/>
      <c r="AA662" s="298"/>
      <c r="AB662" s="298"/>
      <c r="AC662" s="298"/>
      <c r="AD662" s="298"/>
      <c r="AE662" s="298"/>
      <c r="AF662" s="298"/>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row>
    <row r="663">
      <c r="A663" s="304"/>
      <c r="B663" s="282"/>
      <c r="C663" s="298"/>
      <c r="D663" s="282"/>
      <c r="E663" s="282"/>
      <c r="F663" s="282"/>
      <c r="G663" s="282"/>
      <c r="H663" s="282"/>
      <c r="I663" s="282"/>
      <c r="J663" s="282"/>
      <c r="K663" s="282"/>
      <c r="L663" s="282"/>
      <c r="M663" s="282"/>
      <c r="N663" s="282"/>
      <c r="O663" s="282"/>
      <c r="P663" s="282"/>
      <c r="Q663" s="282"/>
      <c r="R663" s="282"/>
      <c r="S663" s="282"/>
      <c r="T663" s="282"/>
      <c r="U663" s="282"/>
      <c r="V663" s="298"/>
      <c r="W663" s="298"/>
      <c r="X663" s="298"/>
      <c r="Y663" s="298"/>
      <c r="Z663" s="298"/>
      <c r="AA663" s="298"/>
      <c r="AB663" s="298"/>
      <c r="AC663" s="298"/>
      <c r="AD663" s="298"/>
      <c r="AE663" s="298"/>
      <c r="AF663" s="298"/>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row>
    <row r="664">
      <c r="A664" s="304"/>
      <c r="B664" s="282"/>
      <c r="C664" s="298"/>
      <c r="D664" s="282"/>
      <c r="E664" s="282"/>
      <c r="F664" s="282"/>
      <c r="G664" s="282"/>
      <c r="H664" s="282"/>
      <c r="I664" s="282"/>
      <c r="J664" s="282"/>
      <c r="K664" s="282"/>
      <c r="L664" s="282"/>
      <c r="M664" s="282"/>
      <c r="N664" s="282"/>
      <c r="O664" s="282"/>
      <c r="P664" s="282"/>
      <c r="Q664" s="282"/>
      <c r="R664" s="282"/>
      <c r="S664" s="282"/>
      <c r="T664" s="282"/>
      <c r="U664" s="282"/>
      <c r="V664" s="298"/>
      <c r="W664" s="298"/>
      <c r="X664" s="298"/>
      <c r="Y664" s="298"/>
      <c r="Z664" s="298"/>
      <c r="AA664" s="298"/>
      <c r="AB664" s="298"/>
      <c r="AC664" s="298"/>
      <c r="AD664" s="298"/>
      <c r="AE664" s="298"/>
      <c r="AF664" s="298"/>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row>
    <row r="665">
      <c r="A665" s="304"/>
      <c r="B665" s="282"/>
      <c r="C665" s="298"/>
      <c r="D665" s="282"/>
      <c r="E665" s="282"/>
      <c r="F665" s="282"/>
      <c r="G665" s="282"/>
      <c r="H665" s="282"/>
      <c r="I665" s="282"/>
      <c r="J665" s="282"/>
      <c r="K665" s="282"/>
      <c r="L665" s="282"/>
      <c r="M665" s="282"/>
      <c r="N665" s="282"/>
      <c r="O665" s="282"/>
      <c r="P665" s="282"/>
      <c r="Q665" s="282"/>
      <c r="R665" s="282"/>
      <c r="S665" s="282"/>
      <c r="T665" s="282"/>
      <c r="U665" s="282"/>
      <c r="V665" s="298"/>
      <c r="W665" s="298"/>
      <c r="X665" s="298"/>
      <c r="Y665" s="298"/>
      <c r="Z665" s="298"/>
      <c r="AA665" s="298"/>
      <c r="AB665" s="298"/>
      <c r="AC665" s="298"/>
      <c r="AD665" s="298"/>
      <c r="AE665" s="298"/>
      <c r="AF665" s="298"/>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row>
    <row r="666">
      <c r="A666" s="304"/>
      <c r="B666" s="282"/>
      <c r="C666" s="298"/>
      <c r="D666" s="282"/>
      <c r="E666" s="282"/>
      <c r="F666" s="282"/>
      <c r="G666" s="282"/>
      <c r="H666" s="282"/>
      <c r="I666" s="282"/>
      <c r="J666" s="282"/>
      <c r="K666" s="282"/>
      <c r="L666" s="282"/>
      <c r="M666" s="282"/>
      <c r="N666" s="282"/>
      <c r="O666" s="282"/>
      <c r="P666" s="282"/>
      <c r="Q666" s="282"/>
      <c r="R666" s="282"/>
      <c r="S666" s="282"/>
      <c r="T666" s="282"/>
      <c r="U666" s="282"/>
      <c r="V666" s="298"/>
      <c r="W666" s="298"/>
      <c r="X666" s="298"/>
      <c r="Y666" s="298"/>
      <c r="Z666" s="298"/>
      <c r="AA666" s="298"/>
      <c r="AB666" s="298"/>
      <c r="AC666" s="298"/>
      <c r="AD666" s="298"/>
      <c r="AE666" s="298"/>
      <c r="AF666" s="298"/>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row>
    <row r="667">
      <c r="A667" s="304"/>
      <c r="B667" s="282"/>
      <c r="C667" s="298"/>
      <c r="D667" s="282"/>
      <c r="E667" s="282"/>
      <c r="F667" s="282"/>
      <c r="G667" s="282"/>
      <c r="H667" s="282"/>
      <c r="I667" s="282"/>
      <c r="J667" s="282"/>
      <c r="K667" s="282"/>
      <c r="L667" s="282"/>
      <c r="M667" s="282"/>
      <c r="N667" s="282"/>
      <c r="O667" s="282"/>
      <c r="P667" s="282"/>
      <c r="Q667" s="282"/>
      <c r="R667" s="282"/>
      <c r="S667" s="282"/>
      <c r="T667" s="282"/>
      <c r="U667" s="282"/>
      <c r="V667" s="298"/>
      <c r="W667" s="298"/>
      <c r="X667" s="298"/>
      <c r="Y667" s="298"/>
      <c r="Z667" s="298"/>
      <c r="AA667" s="298"/>
      <c r="AB667" s="298"/>
      <c r="AC667" s="298"/>
      <c r="AD667" s="298"/>
      <c r="AE667" s="298"/>
      <c r="AF667" s="298"/>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row>
    <row r="668">
      <c r="A668" s="304"/>
      <c r="B668" s="282"/>
      <c r="C668" s="298"/>
      <c r="D668" s="282"/>
      <c r="E668" s="282"/>
      <c r="F668" s="282"/>
      <c r="G668" s="282"/>
      <c r="H668" s="282"/>
      <c r="I668" s="282"/>
      <c r="J668" s="282"/>
      <c r="K668" s="282"/>
      <c r="L668" s="282"/>
      <c r="M668" s="282"/>
      <c r="N668" s="282"/>
      <c r="O668" s="282"/>
      <c r="P668" s="282"/>
      <c r="Q668" s="282"/>
      <c r="R668" s="282"/>
      <c r="S668" s="282"/>
      <c r="T668" s="282"/>
      <c r="U668" s="282"/>
      <c r="V668" s="298"/>
      <c r="W668" s="298"/>
      <c r="X668" s="298"/>
      <c r="Y668" s="298"/>
      <c r="Z668" s="298"/>
      <c r="AA668" s="298"/>
      <c r="AB668" s="298"/>
      <c r="AC668" s="298"/>
      <c r="AD668" s="298"/>
      <c r="AE668" s="298"/>
      <c r="AF668" s="298"/>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row>
    <row r="669">
      <c r="A669" s="304"/>
      <c r="B669" s="282"/>
      <c r="C669" s="298"/>
      <c r="D669" s="282"/>
      <c r="E669" s="282"/>
      <c r="F669" s="282"/>
      <c r="G669" s="282"/>
      <c r="H669" s="282"/>
      <c r="I669" s="282"/>
      <c r="J669" s="282"/>
      <c r="K669" s="282"/>
      <c r="L669" s="282"/>
      <c r="M669" s="282"/>
      <c r="N669" s="282"/>
      <c r="O669" s="282"/>
      <c r="P669" s="282"/>
      <c r="Q669" s="282"/>
      <c r="R669" s="282"/>
      <c r="S669" s="282"/>
      <c r="T669" s="282"/>
      <c r="U669" s="282"/>
      <c r="V669" s="298"/>
      <c r="W669" s="298"/>
      <c r="X669" s="298"/>
      <c r="Y669" s="298"/>
      <c r="Z669" s="298"/>
      <c r="AA669" s="298"/>
      <c r="AB669" s="298"/>
      <c r="AC669" s="298"/>
      <c r="AD669" s="298"/>
      <c r="AE669" s="298"/>
      <c r="AF669" s="298"/>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row>
    <row r="670">
      <c r="A670" s="304"/>
      <c r="B670" s="282"/>
      <c r="C670" s="298"/>
      <c r="D670" s="282"/>
      <c r="E670" s="282"/>
      <c r="F670" s="282"/>
      <c r="G670" s="282"/>
      <c r="H670" s="282"/>
      <c r="I670" s="282"/>
      <c r="J670" s="282"/>
      <c r="K670" s="282"/>
      <c r="L670" s="282"/>
      <c r="M670" s="282"/>
      <c r="N670" s="282"/>
      <c r="O670" s="282"/>
      <c r="P670" s="282"/>
      <c r="Q670" s="282"/>
      <c r="R670" s="282"/>
      <c r="S670" s="282"/>
      <c r="T670" s="282"/>
      <c r="U670" s="282"/>
      <c r="V670" s="298"/>
      <c r="W670" s="298"/>
      <c r="X670" s="298"/>
      <c r="Y670" s="298"/>
      <c r="Z670" s="298"/>
      <c r="AA670" s="298"/>
      <c r="AB670" s="298"/>
      <c r="AC670" s="298"/>
      <c r="AD670" s="298"/>
      <c r="AE670" s="298"/>
      <c r="AF670" s="298"/>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row>
    <row r="671">
      <c r="A671" s="304"/>
      <c r="B671" s="282"/>
      <c r="C671" s="298"/>
      <c r="D671" s="282"/>
      <c r="E671" s="282"/>
      <c r="F671" s="282"/>
      <c r="G671" s="282"/>
      <c r="H671" s="282"/>
      <c r="I671" s="282"/>
      <c r="J671" s="282"/>
      <c r="K671" s="282"/>
      <c r="L671" s="282"/>
      <c r="M671" s="282"/>
      <c r="N671" s="282"/>
      <c r="O671" s="282"/>
      <c r="P671" s="282"/>
      <c r="Q671" s="282"/>
      <c r="R671" s="282"/>
      <c r="S671" s="282"/>
      <c r="T671" s="282"/>
      <c r="U671" s="282"/>
      <c r="V671" s="298"/>
      <c r="W671" s="298"/>
      <c r="X671" s="298"/>
      <c r="Y671" s="298"/>
      <c r="Z671" s="298"/>
      <c r="AA671" s="298"/>
      <c r="AB671" s="298"/>
      <c r="AC671" s="298"/>
      <c r="AD671" s="298"/>
      <c r="AE671" s="298"/>
      <c r="AF671" s="298"/>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row>
    <row r="672">
      <c r="A672" s="304"/>
      <c r="B672" s="282"/>
      <c r="C672" s="298"/>
      <c r="D672" s="282"/>
      <c r="E672" s="282"/>
      <c r="F672" s="282"/>
      <c r="G672" s="282"/>
      <c r="H672" s="282"/>
      <c r="I672" s="282"/>
      <c r="J672" s="282"/>
      <c r="K672" s="282"/>
      <c r="L672" s="282"/>
      <c r="M672" s="282"/>
      <c r="N672" s="282"/>
      <c r="O672" s="282"/>
      <c r="P672" s="282"/>
      <c r="Q672" s="282"/>
      <c r="R672" s="282"/>
      <c r="S672" s="282"/>
      <c r="T672" s="282"/>
      <c r="U672" s="282"/>
      <c r="V672" s="298"/>
      <c r="W672" s="298"/>
      <c r="X672" s="298"/>
      <c r="Y672" s="298"/>
      <c r="Z672" s="298"/>
      <c r="AA672" s="298"/>
      <c r="AB672" s="298"/>
      <c r="AC672" s="298"/>
      <c r="AD672" s="298"/>
      <c r="AE672" s="298"/>
      <c r="AF672" s="298"/>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row>
    <row r="673">
      <c r="A673" s="304"/>
      <c r="B673" s="282"/>
      <c r="C673" s="298"/>
      <c r="D673" s="282"/>
      <c r="E673" s="282"/>
      <c r="F673" s="282"/>
      <c r="G673" s="282"/>
      <c r="H673" s="282"/>
      <c r="I673" s="282"/>
      <c r="J673" s="282"/>
      <c r="K673" s="282"/>
      <c r="L673" s="282"/>
      <c r="M673" s="282"/>
      <c r="N673" s="282"/>
      <c r="O673" s="282"/>
      <c r="P673" s="282"/>
      <c r="Q673" s="282"/>
      <c r="R673" s="282"/>
      <c r="S673" s="282"/>
      <c r="T673" s="282"/>
      <c r="U673" s="282"/>
      <c r="V673" s="298"/>
      <c r="W673" s="298"/>
      <c r="X673" s="298"/>
      <c r="Y673" s="298"/>
      <c r="Z673" s="298"/>
      <c r="AA673" s="298"/>
      <c r="AB673" s="298"/>
      <c r="AC673" s="298"/>
      <c r="AD673" s="298"/>
      <c r="AE673" s="298"/>
      <c r="AF673" s="298"/>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row>
    <row r="674">
      <c r="A674" s="304"/>
      <c r="B674" s="282"/>
      <c r="C674" s="298"/>
      <c r="D674" s="282"/>
      <c r="E674" s="282"/>
      <c r="F674" s="282"/>
      <c r="G674" s="282"/>
      <c r="H674" s="282"/>
      <c r="I674" s="282"/>
      <c r="J674" s="282"/>
      <c r="K674" s="282"/>
      <c r="L674" s="282"/>
      <c r="M674" s="282"/>
      <c r="N674" s="282"/>
      <c r="O674" s="282"/>
      <c r="P674" s="282"/>
      <c r="Q674" s="282"/>
      <c r="R674" s="282"/>
      <c r="S674" s="282"/>
      <c r="T674" s="282"/>
      <c r="U674" s="282"/>
      <c r="V674" s="298"/>
      <c r="W674" s="298"/>
      <c r="X674" s="298"/>
      <c r="Y674" s="298"/>
      <c r="Z674" s="298"/>
      <c r="AA674" s="298"/>
      <c r="AB674" s="298"/>
      <c r="AC674" s="298"/>
      <c r="AD674" s="298"/>
      <c r="AE674" s="298"/>
      <c r="AF674" s="298"/>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row>
    <row r="675">
      <c r="A675" s="304"/>
      <c r="B675" s="282"/>
      <c r="C675" s="298"/>
      <c r="D675" s="282"/>
      <c r="E675" s="282"/>
      <c r="F675" s="282"/>
      <c r="G675" s="282"/>
      <c r="H675" s="282"/>
      <c r="I675" s="282"/>
      <c r="J675" s="282"/>
      <c r="K675" s="282"/>
      <c r="L675" s="282"/>
      <c r="M675" s="282"/>
      <c r="N675" s="282"/>
      <c r="O675" s="282"/>
      <c r="P675" s="282"/>
      <c r="Q675" s="282"/>
      <c r="R675" s="282"/>
      <c r="S675" s="282"/>
      <c r="T675" s="282"/>
      <c r="U675" s="282"/>
      <c r="V675" s="298"/>
      <c r="W675" s="298"/>
      <c r="X675" s="298"/>
      <c r="Y675" s="298"/>
      <c r="Z675" s="298"/>
      <c r="AA675" s="298"/>
      <c r="AB675" s="298"/>
      <c r="AC675" s="298"/>
      <c r="AD675" s="298"/>
      <c r="AE675" s="298"/>
      <c r="AF675" s="298"/>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row>
    <row r="676">
      <c r="A676" s="304"/>
      <c r="B676" s="282"/>
      <c r="C676" s="298"/>
      <c r="D676" s="282"/>
      <c r="E676" s="282"/>
      <c r="F676" s="282"/>
      <c r="G676" s="282"/>
      <c r="H676" s="282"/>
      <c r="I676" s="282"/>
      <c r="J676" s="282"/>
      <c r="K676" s="282"/>
      <c r="L676" s="282"/>
      <c r="M676" s="282"/>
      <c r="N676" s="282"/>
      <c r="O676" s="282"/>
      <c r="P676" s="282"/>
      <c r="Q676" s="282"/>
      <c r="R676" s="282"/>
      <c r="S676" s="282"/>
      <c r="T676" s="282"/>
      <c r="U676" s="282"/>
      <c r="V676" s="298"/>
      <c r="W676" s="298"/>
      <c r="X676" s="298"/>
      <c r="Y676" s="298"/>
      <c r="Z676" s="298"/>
      <c r="AA676" s="298"/>
      <c r="AB676" s="298"/>
      <c r="AC676" s="298"/>
      <c r="AD676" s="298"/>
      <c r="AE676" s="298"/>
      <c r="AF676" s="298"/>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row>
    <row r="677">
      <c r="A677" s="304"/>
      <c r="B677" s="282"/>
      <c r="C677" s="298"/>
      <c r="D677" s="282"/>
      <c r="E677" s="282"/>
      <c r="F677" s="282"/>
      <c r="G677" s="282"/>
      <c r="H677" s="282"/>
      <c r="I677" s="282"/>
      <c r="J677" s="282"/>
      <c r="K677" s="282"/>
      <c r="L677" s="282"/>
      <c r="M677" s="282"/>
      <c r="N677" s="282"/>
      <c r="O677" s="282"/>
      <c r="P677" s="282"/>
      <c r="Q677" s="282"/>
      <c r="R677" s="282"/>
      <c r="S677" s="282"/>
      <c r="T677" s="282"/>
      <c r="U677" s="282"/>
      <c r="V677" s="298"/>
      <c r="W677" s="298"/>
      <c r="X677" s="298"/>
      <c r="Y677" s="298"/>
      <c r="Z677" s="298"/>
      <c r="AA677" s="298"/>
      <c r="AB677" s="298"/>
      <c r="AC677" s="298"/>
      <c r="AD677" s="298"/>
      <c r="AE677" s="298"/>
      <c r="AF677" s="298"/>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row>
    <row r="678">
      <c r="A678" s="304"/>
      <c r="B678" s="282"/>
      <c r="C678" s="298"/>
      <c r="D678" s="282"/>
      <c r="E678" s="282"/>
      <c r="F678" s="282"/>
      <c r="G678" s="282"/>
      <c r="H678" s="282"/>
      <c r="I678" s="282"/>
      <c r="J678" s="282"/>
      <c r="K678" s="282"/>
      <c r="L678" s="282"/>
      <c r="M678" s="282"/>
      <c r="N678" s="282"/>
      <c r="O678" s="282"/>
      <c r="P678" s="282"/>
      <c r="Q678" s="282"/>
      <c r="R678" s="282"/>
      <c r="S678" s="282"/>
      <c r="T678" s="282"/>
      <c r="U678" s="282"/>
      <c r="V678" s="298"/>
      <c r="W678" s="298"/>
      <c r="X678" s="298"/>
      <c r="Y678" s="298"/>
      <c r="Z678" s="298"/>
      <c r="AA678" s="298"/>
      <c r="AB678" s="298"/>
      <c r="AC678" s="298"/>
      <c r="AD678" s="298"/>
      <c r="AE678" s="298"/>
      <c r="AF678" s="298"/>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row>
    <row r="679">
      <c r="A679" s="304"/>
      <c r="B679" s="282"/>
      <c r="C679" s="298"/>
      <c r="D679" s="282"/>
      <c r="E679" s="282"/>
      <c r="F679" s="282"/>
      <c r="G679" s="282"/>
      <c r="H679" s="282"/>
      <c r="I679" s="282"/>
      <c r="J679" s="282"/>
      <c r="K679" s="282"/>
      <c r="L679" s="282"/>
      <c r="M679" s="282"/>
      <c r="N679" s="282"/>
      <c r="O679" s="282"/>
      <c r="P679" s="282"/>
      <c r="Q679" s="282"/>
      <c r="R679" s="282"/>
      <c r="S679" s="282"/>
      <c r="T679" s="282"/>
      <c r="U679" s="282"/>
      <c r="V679" s="298"/>
      <c r="W679" s="298"/>
      <c r="X679" s="298"/>
      <c r="Y679" s="298"/>
      <c r="Z679" s="298"/>
      <c r="AA679" s="298"/>
      <c r="AB679" s="298"/>
      <c r="AC679" s="298"/>
      <c r="AD679" s="298"/>
      <c r="AE679" s="298"/>
      <c r="AF679" s="298"/>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row>
    <row r="680">
      <c r="A680" s="304"/>
      <c r="B680" s="282"/>
      <c r="C680" s="298"/>
      <c r="D680" s="282"/>
      <c r="E680" s="282"/>
      <c r="F680" s="282"/>
      <c r="G680" s="282"/>
      <c r="H680" s="282"/>
      <c r="I680" s="282"/>
      <c r="J680" s="282"/>
      <c r="K680" s="282"/>
      <c r="L680" s="282"/>
      <c r="M680" s="282"/>
      <c r="N680" s="282"/>
      <c r="O680" s="282"/>
      <c r="P680" s="282"/>
      <c r="Q680" s="282"/>
      <c r="R680" s="282"/>
      <c r="S680" s="282"/>
      <c r="T680" s="282"/>
      <c r="U680" s="282"/>
      <c r="V680" s="298"/>
      <c r="W680" s="298"/>
      <c r="X680" s="298"/>
      <c r="Y680" s="298"/>
      <c r="Z680" s="298"/>
      <c r="AA680" s="298"/>
      <c r="AB680" s="298"/>
      <c r="AC680" s="298"/>
      <c r="AD680" s="298"/>
      <c r="AE680" s="298"/>
      <c r="AF680" s="298"/>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row>
    <row r="681">
      <c r="A681" s="304"/>
      <c r="B681" s="282"/>
      <c r="C681" s="298"/>
      <c r="D681" s="282"/>
      <c r="E681" s="282"/>
      <c r="F681" s="282"/>
      <c r="G681" s="282"/>
      <c r="H681" s="282"/>
      <c r="I681" s="282"/>
      <c r="J681" s="282"/>
      <c r="K681" s="282"/>
      <c r="L681" s="282"/>
      <c r="M681" s="282"/>
      <c r="N681" s="282"/>
      <c r="O681" s="282"/>
      <c r="P681" s="282"/>
      <c r="Q681" s="282"/>
      <c r="R681" s="282"/>
      <c r="S681" s="282"/>
      <c r="T681" s="282"/>
      <c r="U681" s="282"/>
      <c r="V681" s="298"/>
      <c r="W681" s="298"/>
      <c r="X681" s="298"/>
      <c r="Y681" s="298"/>
      <c r="Z681" s="298"/>
      <c r="AA681" s="298"/>
      <c r="AB681" s="298"/>
      <c r="AC681" s="298"/>
      <c r="AD681" s="298"/>
      <c r="AE681" s="298"/>
      <c r="AF681" s="298"/>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row>
    <row r="682">
      <c r="A682" s="304"/>
      <c r="B682" s="282"/>
      <c r="C682" s="298"/>
      <c r="D682" s="282"/>
      <c r="E682" s="282"/>
      <c r="F682" s="282"/>
      <c r="G682" s="282"/>
      <c r="H682" s="282"/>
      <c r="I682" s="282"/>
      <c r="J682" s="282"/>
      <c r="K682" s="282"/>
      <c r="L682" s="282"/>
      <c r="M682" s="282"/>
      <c r="N682" s="282"/>
      <c r="O682" s="282"/>
      <c r="P682" s="282"/>
      <c r="Q682" s="282"/>
      <c r="R682" s="282"/>
      <c r="S682" s="282"/>
      <c r="T682" s="282"/>
      <c r="U682" s="282"/>
      <c r="V682" s="298"/>
      <c r="W682" s="298"/>
      <c r="X682" s="298"/>
      <c r="Y682" s="298"/>
      <c r="Z682" s="298"/>
      <c r="AA682" s="298"/>
      <c r="AB682" s="298"/>
      <c r="AC682" s="298"/>
      <c r="AD682" s="298"/>
      <c r="AE682" s="298"/>
      <c r="AF682" s="298"/>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row>
    <row r="683">
      <c r="A683" s="304"/>
      <c r="B683" s="282"/>
      <c r="C683" s="298"/>
      <c r="D683" s="282"/>
      <c r="E683" s="282"/>
      <c r="F683" s="282"/>
      <c r="G683" s="282"/>
      <c r="H683" s="282"/>
      <c r="I683" s="282"/>
      <c r="J683" s="282"/>
      <c r="K683" s="282"/>
      <c r="L683" s="282"/>
      <c r="M683" s="282"/>
      <c r="N683" s="282"/>
      <c r="O683" s="282"/>
      <c r="P683" s="282"/>
      <c r="Q683" s="282"/>
      <c r="R683" s="282"/>
      <c r="S683" s="282"/>
      <c r="T683" s="282"/>
      <c r="U683" s="282"/>
      <c r="V683" s="298"/>
      <c r="W683" s="298"/>
      <c r="X683" s="298"/>
      <c r="Y683" s="298"/>
      <c r="Z683" s="298"/>
      <c r="AA683" s="298"/>
      <c r="AB683" s="298"/>
      <c r="AC683" s="298"/>
      <c r="AD683" s="298"/>
      <c r="AE683" s="298"/>
      <c r="AF683" s="298"/>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row>
    <row r="684">
      <c r="A684" s="304"/>
      <c r="B684" s="282"/>
      <c r="C684" s="298"/>
      <c r="D684" s="282"/>
      <c r="E684" s="282"/>
      <c r="F684" s="282"/>
      <c r="G684" s="282"/>
      <c r="H684" s="282"/>
      <c r="I684" s="282"/>
      <c r="J684" s="282"/>
      <c r="K684" s="282"/>
      <c r="L684" s="282"/>
      <c r="M684" s="282"/>
      <c r="N684" s="282"/>
      <c r="O684" s="282"/>
      <c r="P684" s="282"/>
      <c r="Q684" s="282"/>
      <c r="R684" s="282"/>
      <c r="S684" s="282"/>
      <c r="T684" s="282"/>
      <c r="U684" s="282"/>
      <c r="V684" s="298"/>
      <c r="W684" s="298"/>
      <c r="X684" s="298"/>
      <c r="Y684" s="298"/>
      <c r="Z684" s="298"/>
      <c r="AA684" s="298"/>
      <c r="AB684" s="298"/>
      <c r="AC684" s="298"/>
      <c r="AD684" s="298"/>
      <c r="AE684" s="298"/>
      <c r="AF684" s="298"/>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row>
    <row r="685">
      <c r="A685" s="304"/>
      <c r="B685" s="282"/>
      <c r="C685" s="298"/>
      <c r="D685" s="282"/>
      <c r="E685" s="282"/>
      <c r="F685" s="282"/>
      <c r="G685" s="282"/>
      <c r="H685" s="282"/>
      <c r="I685" s="282"/>
      <c r="J685" s="282"/>
      <c r="K685" s="282"/>
      <c r="L685" s="282"/>
      <c r="M685" s="282"/>
      <c r="N685" s="282"/>
      <c r="O685" s="282"/>
      <c r="P685" s="282"/>
      <c r="Q685" s="282"/>
      <c r="R685" s="282"/>
      <c r="S685" s="282"/>
      <c r="T685" s="282"/>
      <c r="U685" s="282"/>
      <c r="V685" s="298"/>
      <c r="W685" s="298"/>
      <c r="X685" s="298"/>
      <c r="Y685" s="298"/>
      <c r="Z685" s="298"/>
      <c r="AA685" s="298"/>
      <c r="AB685" s="298"/>
      <c r="AC685" s="298"/>
      <c r="AD685" s="298"/>
      <c r="AE685" s="298"/>
      <c r="AF685" s="298"/>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row>
    <row r="686">
      <c r="A686" s="304"/>
      <c r="B686" s="282"/>
      <c r="C686" s="298"/>
      <c r="D686" s="282"/>
      <c r="E686" s="282"/>
      <c r="F686" s="282"/>
      <c r="G686" s="282"/>
      <c r="H686" s="282"/>
      <c r="I686" s="282"/>
      <c r="J686" s="282"/>
      <c r="K686" s="282"/>
      <c r="L686" s="282"/>
      <c r="M686" s="282"/>
      <c r="N686" s="282"/>
      <c r="O686" s="282"/>
      <c r="P686" s="282"/>
      <c r="Q686" s="282"/>
      <c r="R686" s="282"/>
      <c r="S686" s="282"/>
      <c r="T686" s="282"/>
      <c r="U686" s="282"/>
      <c r="V686" s="298"/>
      <c r="W686" s="298"/>
      <c r="X686" s="298"/>
      <c r="Y686" s="298"/>
      <c r="Z686" s="298"/>
      <c r="AA686" s="298"/>
      <c r="AB686" s="298"/>
      <c r="AC686" s="298"/>
      <c r="AD686" s="298"/>
      <c r="AE686" s="298"/>
      <c r="AF686" s="298"/>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row>
    <row r="687">
      <c r="A687" s="304"/>
      <c r="B687" s="282"/>
      <c r="C687" s="298"/>
      <c r="D687" s="282"/>
      <c r="E687" s="282"/>
      <c r="F687" s="282"/>
      <c r="G687" s="282"/>
      <c r="H687" s="282"/>
      <c r="I687" s="282"/>
      <c r="J687" s="282"/>
      <c r="K687" s="282"/>
      <c r="L687" s="282"/>
      <c r="M687" s="282"/>
      <c r="N687" s="282"/>
      <c r="O687" s="282"/>
      <c r="P687" s="282"/>
      <c r="Q687" s="282"/>
      <c r="R687" s="282"/>
      <c r="S687" s="282"/>
      <c r="T687" s="282"/>
      <c r="U687" s="282"/>
      <c r="V687" s="298"/>
      <c r="W687" s="298"/>
      <c r="X687" s="298"/>
      <c r="Y687" s="298"/>
      <c r="Z687" s="298"/>
      <c r="AA687" s="298"/>
      <c r="AB687" s="298"/>
      <c r="AC687" s="298"/>
      <c r="AD687" s="298"/>
      <c r="AE687" s="298"/>
      <c r="AF687" s="298"/>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row>
    <row r="688">
      <c r="A688" s="304"/>
      <c r="B688" s="282"/>
      <c r="C688" s="298"/>
      <c r="D688" s="282"/>
      <c r="E688" s="282"/>
      <c r="F688" s="282"/>
      <c r="G688" s="282"/>
      <c r="H688" s="282"/>
      <c r="I688" s="282"/>
      <c r="J688" s="282"/>
      <c r="K688" s="282"/>
      <c r="L688" s="282"/>
      <c r="M688" s="282"/>
      <c r="N688" s="282"/>
      <c r="O688" s="282"/>
      <c r="P688" s="282"/>
      <c r="Q688" s="282"/>
      <c r="R688" s="282"/>
      <c r="S688" s="282"/>
      <c r="T688" s="282"/>
      <c r="U688" s="282"/>
      <c r="V688" s="298"/>
      <c r="W688" s="298"/>
      <c r="X688" s="298"/>
      <c r="Y688" s="298"/>
      <c r="Z688" s="298"/>
      <c r="AA688" s="298"/>
      <c r="AB688" s="298"/>
      <c r="AC688" s="298"/>
      <c r="AD688" s="298"/>
      <c r="AE688" s="298"/>
      <c r="AF688" s="298"/>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row>
    <row r="689">
      <c r="A689" s="304"/>
      <c r="B689" s="282"/>
      <c r="C689" s="298"/>
      <c r="D689" s="282"/>
      <c r="E689" s="282"/>
      <c r="F689" s="282"/>
      <c r="G689" s="282"/>
      <c r="H689" s="282"/>
      <c r="I689" s="282"/>
      <c r="J689" s="282"/>
      <c r="K689" s="282"/>
      <c r="L689" s="282"/>
      <c r="M689" s="282"/>
      <c r="N689" s="282"/>
      <c r="O689" s="282"/>
      <c r="P689" s="282"/>
      <c r="Q689" s="282"/>
      <c r="R689" s="282"/>
      <c r="S689" s="282"/>
      <c r="T689" s="282"/>
      <c r="U689" s="282"/>
      <c r="V689" s="298"/>
      <c r="W689" s="298"/>
      <c r="X689" s="298"/>
      <c r="Y689" s="298"/>
      <c r="Z689" s="298"/>
      <c r="AA689" s="298"/>
      <c r="AB689" s="298"/>
      <c r="AC689" s="298"/>
      <c r="AD689" s="298"/>
      <c r="AE689" s="298"/>
      <c r="AF689" s="298"/>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row>
    <row r="690">
      <c r="A690" s="304"/>
      <c r="B690" s="282"/>
      <c r="C690" s="298"/>
      <c r="D690" s="282"/>
      <c r="E690" s="282"/>
      <c r="F690" s="282"/>
      <c r="G690" s="282"/>
      <c r="H690" s="282"/>
      <c r="I690" s="282"/>
      <c r="J690" s="282"/>
      <c r="K690" s="282"/>
      <c r="L690" s="282"/>
      <c r="M690" s="282"/>
      <c r="N690" s="282"/>
      <c r="O690" s="282"/>
      <c r="P690" s="282"/>
      <c r="Q690" s="282"/>
      <c r="R690" s="282"/>
      <c r="S690" s="282"/>
      <c r="T690" s="282"/>
      <c r="U690" s="282"/>
      <c r="V690" s="298"/>
      <c r="W690" s="298"/>
      <c r="X690" s="298"/>
      <c r="Y690" s="298"/>
      <c r="Z690" s="298"/>
      <c r="AA690" s="298"/>
      <c r="AB690" s="298"/>
      <c r="AC690" s="298"/>
      <c r="AD690" s="298"/>
      <c r="AE690" s="298"/>
      <c r="AF690" s="298"/>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row>
    <row r="691">
      <c r="A691" s="304"/>
      <c r="B691" s="282"/>
      <c r="C691" s="298"/>
      <c r="D691" s="282"/>
      <c r="E691" s="282"/>
      <c r="F691" s="282"/>
      <c r="G691" s="282"/>
      <c r="H691" s="282"/>
      <c r="I691" s="282"/>
      <c r="J691" s="282"/>
      <c r="K691" s="282"/>
      <c r="L691" s="282"/>
      <c r="M691" s="282"/>
      <c r="N691" s="282"/>
      <c r="O691" s="282"/>
      <c r="P691" s="282"/>
      <c r="Q691" s="282"/>
      <c r="R691" s="282"/>
      <c r="S691" s="282"/>
      <c r="T691" s="282"/>
      <c r="U691" s="282"/>
      <c r="V691" s="298"/>
      <c r="W691" s="298"/>
      <c r="X691" s="298"/>
      <c r="Y691" s="298"/>
      <c r="Z691" s="298"/>
      <c r="AA691" s="298"/>
      <c r="AB691" s="298"/>
      <c r="AC691" s="298"/>
      <c r="AD691" s="298"/>
      <c r="AE691" s="298"/>
      <c r="AF691" s="298"/>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row>
    <row r="692">
      <c r="A692" s="304"/>
      <c r="B692" s="282"/>
      <c r="C692" s="298"/>
      <c r="D692" s="282"/>
      <c r="E692" s="282"/>
      <c r="F692" s="282"/>
      <c r="G692" s="282"/>
      <c r="H692" s="282"/>
      <c r="I692" s="282"/>
      <c r="J692" s="282"/>
      <c r="K692" s="282"/>
      <c r="L692" s="282"/>
      <c r="M692" s="282"/>
      <c r="N692" s="282"/>
      <c r="O692" s="282"/>
      <c r="P692" s="282"/>
      <c r="Q692" s="282"/>
      <c r="R692" s="282"/>
      <c r="S692" s="282"/>
      <c r="T692" s="282"/>
      <c r="U692" s="282"/>
      <c r="V692" s="298"/>
      <c r="W692" s="298"/>
      <c r="X692" s="298"/>
      <c r="Y692" s="298"/>
      <c r="Z692" s="298"/>
      <c r="AA692" s="298"/>
      <c r="AB692" s="298"/>
      <c r="AC692" s="298"/>
      <c r="AD692" s="298"/>
      <c r="AE692" s="298"/>
      <c r="AF692" s="298"/>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row>
    <row r="693">
      <c r="A693" s="304"/>
      <c r="B693" s="282"/>
      <c r="C693" s="298"/>
      <c r="D693" s="282"/>
      <c r="E693" s="282"/>
      <c r="F693" s="282"/>
      <c r="G693" s="282"/>
      <c r="H693" s="282"/>
      <c r="I693" s="282"/>
      <c r="J693" s="282"/>
      <c r="K693" s="282"/>
      <c r="L693" s="282"/>
      <c r="M693" s="282"/>
      <c r="N693" s="282"/>
      <c r="O693" s="282"/>
      <c r="P693" s="282"/>
      <c r="Q693" s="282"/>
      <c r="R693" s="282"/>
      <c r="S693" s="282"/>
      <c r="T693" s="282"/>
      <c r="U693" s="282"/>
      <c r="V693" s="298"/>
      <c r="W693" s="298"/>
      <c r="X693" s="298"/>
      <c r="Y693" s="298"/>
      <c r="Z693" s="298"/>
      <c r="AA693" s="298"/>
      <c r="AB693" s="298"/>
      <c r="AC693" s="298"/>
      <c r="AD693" s="298"/>
      <c r="AE693" s="298"/>
      <c r="AF693" s="298"/>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row>
    <row r="694">
      <c r="A694" s="304"/>
      <c r="B694" s="282"/>
      <c r="C694" s="298"/>
      <c r="D694" s="282"/>
      <c r="E694" s="282"/>
      <c r="F694" s="282"/>
      <c r="G694" s="282"/>
      <c r="H694" s="282"/>
      <c r="I694" s="282"/>
      <c r="J694" s="282"/>
      <c r="K694" s="282"/>
      <c r="L694" s="282"/>
      <c r="M694" s="282"/>
      <c r="N694" s="282"/>
      <c r="O694" s="282"/>
      <c r="P694" s="282"/>
      <c r="Q694" s="282"/>
      <c r="R694" s="282"/>
      <c r="S694" s="282"/>
      <c r="T694" s="282"/>
      <c r="U694" s="282"/>
      <c r="V694" s="298"/>
      <c r="W694" s="298"/>
      <c r="X694" s="298"/>
      <c r="Y694" s="298"/>
      <c r="Z694" s="298"/>
      <c r="AA694" s="298"/>
      <c r="AB694" s="298"/>
      <c r="AC694" s="298"/>
      <c r="AD694" s="298"/>
      <c r="AE694" s="298"/>
      <c r="AF694" s="298"/>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row>
    <row r="695">
      <c r="A695" s="304"/>
      <c r="B695" s="282"/>
      <c r="C695" s="298"/>
      <c r="D695" s="282"/>
      <c r="E695" s="282"/>
      <c r="F695" s="282"/>
      <c r="G695" s="282"/>
      <c r="H695" s="282"/>
      <c r="I695" s="282"/>
      <c r="J695" s="282"/>
      <c r="K695" s="282"/>
      <c r="L695" s="282"/>
      <c r="M695" s="282"/>
      <c r="N695" s="282"/>
      <c r="O695" s="282"/>
      <c r="P695" s="282"/>
      <c r="Q695" s="282"/>
      <c r="R695" s="282"/>
      <c r="S695" s="282"/>
      <c r="T695" s="282"/>
      <c r="U695" s="282"/>
      <c r="V695" s="298"/>
      <c r="W695" s="298"/>
      <c r="X695" s="298"/>
      <c r="Y695" s="298"/>
      <c r="Z695" s="298"/>
      <c r="AA695" s="298"/>
      <c r="AB695" s="298"/>
      <c r="AC695" s="298"/>
      <c r="AD695" s="298"/>
      <c r="AE695" s="298"/>
      <c r="AF695" s="298"/>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row>
    <row r="696">
      <c r="A696" s="304"/>
      <c r="B696" s="282"/>
      <c r="C696" s="298"/>
      <c r="D696" s="282"/>
      <c r="E696" s="282"/>
      <c r="F696" s="282"/>
      <c r="G696" s="282"/>
      <c r="H696" s="282"/>
      <c r="I696" s="282"/>
      <c r="J696" s="282"/>
      <c r="K696" s="282"/>
      <c r="L696" s="282"/>
      <c r="M696" s="282"/>
      <c r="N696" s="282"/>
      <c r="O696" s="282"/>
      <c r="P696" s="282"/>
      <c r="Q696" s="282"/>
      <c r="R696" s="282"/>
      <c r="S696" s="282"/>
      <c r="T696" s="282"/>
      <c r="U696" s="282"/>
      <c r="V696" s="298"/>
      <c r="W696" s="298"/>
      <c r="X696" s="298"/>
      <c r="Y696" s="298"/>
      <c r="Z696" s="298"/>
      <c r="AA696" s="298"/>
      <c r="AB696" s="298"/>
      <c r="AC696" s="298"/>
      <c r="AD696" s="298"/>
      <c r="AE696" s="298"/>
      <c r="AF696" s="298"/>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row>
    <row r="697">
      <c r="A697" s="304"/>
      <c r="B697" s="282"/>
      <c r="C697" s="298"/>
      <c r="D697" s="282"/>
      <c r="E697" s="282"/>
      <c r="F697" s="282"/>
      <c r="G697" s="282"/>
      <c r="H697" s="282"/>
      <c r="I697" s="282"/>
      <c r="J697" s="282"/>
      <c r="K697" s="282"/>
      <c r="L697" s="282"/>
      <c r="M697" s="282"/>
      <c r="N697" s="282"/>
      <c r="O697" s="282"/>
      <c r="P697" s="282"/>
      <c r="Q697" s="282"/>
      <c r="R697" s="282"/>
      <c r="S697" s="282"/>
      <c r="T697" s="282"/>
      <c r="U697" s="282"/>
      <c r="V697" s="298"/>
      <c r="W697" s="298"/>
      <c r="X697" s="298"/>
      <c r="Y697" s="298"/>
      <c r="Z697" s="298"/>
      <c r="AA697" s="298"/>
      <c r="AB697" s="298"/>
      <c r="AC697" s="298"/>
      <c r="AD697" s="298"/>
      <c r="AE697" s="298"/>
      <c r="AF697" s="298"/>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row>
    <row r="698">
      <c r="A698" s="304"/>
      <c r="B698" s="282"/>
      <c r="C698" s="298"/>
      <c r="D698" s="282"/>
      <c r="E698" s="282"/>
      <c r="F698" s="282"/>
      <c r="G698" s="282"/>
      <c r="H698" s="282"/>
      <c r="I698" s="282"/>
      <c r="J698" s="282"/>
      <c r="K698" s="282"/>
      <c r="L698" s="282"/>
      <c r="M698" s="282"/>
      <c r="N698" s="282"/>
      <c r="O698" s="282"/>
      <c r="P698" s="282"/>
      <c r="Q698" s="282"/>
      <c r="R698" s="282"/>
      <c r="S698" s="282"/>
      <c r="T698" s="282"/>
      <c r="U698" s="282"/>
      <c r="V698" s="298"/>
      <c r="W698" s="298"/>
      <c r="X698" s="298"/>
      <c r="Y698" s="298"/>
      <c r="Z698" s="298"/>
      <c r="AA698" s="298"/>
      <c r="AB698" s="298"/>
      <c r="AC698" s="298"/>
      <c r="AD698" s="298"/>
      <c r="AE698" s="298"/>
      <c r="AF698" s="298"/>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row>
    <row r="699">
      <c r="A699" s="304"/>
      <c r="B699" s="282"/>
      <c r="C699" s="298"/>
      <c r="D699" s="282"/>
      <c r="E699" s="282"/>
      <c r="F699" s="282"/>
      <c r="G699" s="282"/>
      <c r="H699" s="282"/>
      <c r="I699" s="282"/>
      <c r="J699" s="282"/>
      <c r="K699" s="282"/>
      <c r="L699" s="282"/>
      <c r="M699" s="282"/>
      <c r="N699" s="282"/>
      <c r="O699" s="282"/>
      <c r="P699" s="282"/>
      <c r="Q699" s="282"/>
      <c r="R699" s="282"/>
      <c r="S699" s="282"/>
      <c r="T699" s="282"/>
      <c r="U699" s="282"/>
      <c r="V699" s="298"/>
      <c r="W699" s="298"/>
      <c r="X699" s="298"/>
      <c r="Y699" s="298"/>
      <c r="Z699" s="298"/>
      <c r="AA699" s="298"/>
      <c r="AB699" s="298"/>
      <c r="AC699" s="298"/>
      <c r="AD699" s="298"/>
      <c r="AE699" s="298"/>
      <c r="AF699" s="298"/>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row>
    <row r="700">
      <c r="A700" s="304"/>
      <c r="B700" s="282"/>
      <c r="C700" s="298"/>
      <c r="D700" s="282"/>
      <c r="E700" s="282"/>
      <c r="F700" s="282"/>
      <c r="G700" s="282"/>
      <c r="H700" s="282"/>
      <c r="I700" s="282"/>
      <c r="J700" s="282"/>
      <c r="K700" s="282"/>
      <c r="L700" s="282"/>
      <c r="M700" s="282"/>
      <c r="N700" s="282"/>
      <c r="O700" s="282"/>
      <c r="P700" s="282"/>
      <c r="Q700" s="282"/>
      <c r="R700" s="282"/>
      <c r="S700" s="282"/>
      <c r="T700" s="282"/>
      <c r="U700" s="282"/>
      <c r="V700" s="298"/>
      <c r="W700" s="298"/>
      <c r="X700" s="298"/>
      <c r="Y700" s="298"/>
      <c r="Z700" s="298"/>
      <c r="AA700" s="298"/>
      <c r="AB700" s="298"/>
      <c r="AC700" s="298"/>
      <c r="AD700" s="298"/>
      <c r="AE700" s="298"/>
      <c r="AF700" s="298"/>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row>
    <row r="701">
      <c r="A701" s="304"/>
      <c r="B701" s="282"/>
      <c r="C701" s="298"/>
      <c r="D701" s="282"/>
      <c r="E701" s="282"/>
      <c r="F701" s="282"/>
      <c r="G701" s="282"/>
      <c r="H701" s="282"/>
      <c r="I701" s="282"/>
      <c r="J701" s="282"/>
      <c r="K701" s="282"/>
      <c r="L701" s="282"/>
      <c r="M701" s="282"/>
      <c r="N701" s="282"/>
      <c r="O701" s="282"/>
      <c r="P701" s="282"/>
      <c r="Q701" s="282"/>
      <c r="R701" s="282"/>
      <c r="S701" s="282"/>
      <c r="T701" s="282"/>
      <c r="U701" s="282"/>
      <c r="V701" s="298"/>
      <c r="W701" s="298"/>
      <c r="X701" s="298"/>
      <c r="Y701" s="298"/>
      <c r="Z701" s="298"/>
      <c r="AA701" s="298"/>
      <c r="AB701" s="298"/>
      <c r="AC701" s="298"/>
      <c r="AD701" s="298"/>
      <c r="AE701" s="298"/>
      <c r="AF701" s="298"/>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row>
    <row r="702">
      <c r="A702" s="304"/>
      <c r="B702" s="282"/>
      <c r="C702" s="298"/>
      <c r="D702" s="282"/>
      <c r="E702" s="282"/>
      <c r="F702" s="282"/>
      <c r="G702" s="282"/>
      <c r="H702" s="282"/>
      <c r="I702" s="282"/>
      <c r="J702" s="282"/>
      <c r="K702" s="282"/>
      <c r="L702" s="282"/>
      <c r="M702" s="282"/>
      <c r="N702" s="282"/>
      <c r="O702" s="282"/>
      <c r="P702" s="282"/>
      <c r="Q702" s="282"/>
      <c r="R702" s="282"/>
      <c r="S702" s="282"/>
      <c r="T702" s="282"/>
      <c r="U702" s="282"/>
      <c r="V702" s="298"/>
      <c r="W702" s="298"/>
      <c r="X702" s="298"/>
      <c r="Y702" s="298"/>
      <c r="Z702" s="298"/>
      <c r="AA702" s="298"/>
      <c r="AB702" s="298"/>
      <c r="AC702" s="298"/>
      <c r="AD702" s="298"/>
      <c r="AE702" s="298"/>
      <c r="AF702" s="298"/>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row>
    <row r="703">
      <c r="A703" s="304"/>
      <c r="B703" s="282"/>
      <c r="C703" s="298"/>
      <c r="D703" s="282"/>
      <c r="E703" s="282"/>
      <c r="F703" s="282"/>
      <c r="G703" s="282"/>
      <c r="H703" s="282"/>
      <c r="I703" s="282"/>
      <c r="J703" s="282"/>
      <c r="K703" s="282"/>
      <c r="L703" s="282"/>
      <c r="M703" s="282"/>
      <c r="N703" s="282"/>
      <c r="O703" s="282"/>
      <c r="P703" s="282"/>
      <c r="Q703" s="282"/>
      <c r="R703" s="282"/>
      <c r="S703" s="282"/>
      <c r="T703" s="282"/>
      <c r="U703" s="282"/>
      <c r="V703" s="298"/>
      <c r="W703" s="298"/>
      <c r="X703" s="298"/>
      <c r="Y703" s="298"/>
      <c r="Z703" s="298"/>
      <c r="AA703" s="298"/>
      <c r="AB703" s="298"/>
      <c r="AC703" s="298"/>
      <c r="AD703" s="298"/>
      <c r="AE703" s="298"/>
      <c r="AF703" s="298"/>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row>
    <row r="704">
      <c r="A704" s="304"/>
      <c r="B704" s="282"/>
      <c r="C704" s="298"/>
      <c r="D704" s="282"/>
      <c r="E704" s="282"/>
      <c r="F704" s="282"/>
      <c r="G704" s="282"/>
      <c r="H704" s="282"/>
      <c r="I704" s="282"/>
      <c r="J704" s="282"/>
      <c r="K704" s="282"/>
      <c r="L704" s="282"/>
      <c r="M704" s="282"/>
      <c r="N704" s="282"/>
      <c r="O704" s="282"/>
      <c r="P704" s="282"/>
      <c r="Q704" s="282"/>
      <c r="R704" s="282"/>
      <c r="S704" s="282"/>
      <c r="T704" s="282"/>
      <c r="U704" s="282"/>
      <c r="V704" s="298"/>
      <c r="W704" s="298"/>
      <c r="X704" s="298"/>
      <c r="Y704" s="298"/>
      <c r="Z704" s="298"/>
      <c r="AA704" s="298"/>
      <c r="AB704" s="298"/>
      <c r="AC704" s="298"/>
      <c r="AD704" s="298"/>
      <c r="AE704" s="298"/>
      <c r="AF704" s="298"/>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row>
    <row r="705">
      <c r="A705" s="304"/>
      <c r="B705" s="282"/>
      <c r="C705" s="298"/>
      <c r="D705" s="282"/>
      <c r="E705" s="282"/>
      <c r="F705" s="282"/>
      <c r="G705" s="282"/>
      <c r="H705" s="282"/>
      <c r="I705" s="282"/>
      <c r="J705" s="282"/>
      <c r="K705" s="282"/>
      <c r="L705" s="282"/>
      <c r="M705" s="282"/>
      <c r="N705" s="282"/>
      <c r="O705" s="282"/>
      <c r="P705" s="282"/>
      <c r="Q705" s="282"/>
      <c r="R705" s="282"/>
      <c r="S705" s="282"/>
      <c r="T705" s="282"/>
      <c r="U705" s="282"/>
      <c r="V705" s="298"/>
      <c r="W705" s="298"/>
      <c r="X705" s="298"/>
      <c r="Y705" s="298"/>
      <c r="Z705" s="298"/>
      <c r="AA705" s="298"/>
      <c r="AB705" s="298"/>
      <c r="AC705" s="298"/>
      <c r="AD705" s="298"/>
      <c r="AE705" s="298"/>
      <c r="AF705" s="298"/>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row>
    <row r="706">
      <c r="A706" s="304"/>
      <c r="B706" s="282"/>
      <c r="C706" s="298"/>
      <c r="D706" s="282"/>
      <c r="E706" s="282"/>
      <c r="F706" s="282"/>
      <c r="G706" s="282"/>
      <c r="H706" s="282"/>
      <c r="I706" s="282"/>
      <c r="J706" s="282"/>
      <c r="K706" s="282"/>
      <c r="L706" s="282"/>
      <c r="M706" s="282"/>
      <c r="N706" s="282"/>
      <c r="O706" s="282"/>
      <c r="P706" s="282"/>
      <c r="Q706" s="282"/>
      <c r="R706" s="282"/>
      <c r="S706" s="282"/>
      <c r="T706" s="282"/>
      <c r="U706" s="282"/>
      <c r="V706" s="298"/>
      <c r="W706" s="298"/>
      <c r="X706" s="298"/>
      <c r="Y706" s="298"/>
      <c r="Z706" s="298"/>
      <c r="AA706" s="298"/>
      <c r="AB706" s="298"/>
      <c r="AC706" s="298"/>
      <c r="AD706" s="298"/>
      <c r="AE706" s="298"/>
      <c r="AF706" s="298"/>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row>
    <row r="707">
      <c r="A707" s="304"/>
      <c r="B707" s="282"/>
      <c r="C707" s="298"/>
      <c r="D707" s="282"/>
      <c r="E707" s="282"/>
      <c r="F707" s="282"/>
      <c r="G707" s="282"/>
      <c r="H707" s="282"/>
      <c r="I707" s="282"/>
      <c r="J707" s="282"/>
      <c r="K707" s="282"/>
      <c r="L707" s="282"/>
      <c r="M707" s="282"/>
      <c r="N707" s="282"/>
      <c r="O707" s="282"/>
      <c r="P707" s="282"/>
      <c r="Q707" s="282"/>
      <c r="R707" s="282"/>
      <c r="S707" s="282"/>
      <c r="T707" s="282"/>
      <c r="U707" s="282"/>
      <c r="V707" s="298"/>
      <c r="W707" s="298"/>
      <c r="X707" s="298"/>
      <c r="Y707" s="298"/>
      <c r="Z707" s="298"/>
      <c r="AA707" s="298"/>
      <c r="AB707" s="298"/>
      <c r="AC707" s="298"/>
      <c r="AD707" s="298"/>
      <c r="AE707" s="298"/>
      <c r="AF707" s="298"/>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row>
    <row r="708">
      <c r="A708" s="304"/>
      <c r="B708" s="282"/>
      <c r="C708" s="298"/>
      <c r="D708" s="282"/>
      <c r="E708" s="282"/>
      <c r="F708" s="282"/>
      <c r="G708" s="282"/>
      <c r="H708" s="282"/>
      <c r="I708" s="282"/>
      <c r="J708" s="282"/>
      <c r="K708" s="282"/>
      <c r="L708" s="282"/>
      <c r="M708" s="282"/>
      <c r="N708" s="282"/>
      <c r="O708" s="282"/>
      <c r="P708" s="282"/>
      <c r="Q708" s="282"/>
      <c r="R708" s="282"/>
      <c r="S708" s="282"/>
      <c r="T708" s="282"/>
      <c r="U708" s="282"/>
      <c r="V708" s="298"/>
      <c r="W708" s="298"/>
      <c r="X708" s="298"/>
      <c r="Y708" s="298"/>
      <c r="Z708" s="298"/>
      <c r="AA708" s="298"/>
      <c r="AB708" s="298"/>
      <c r="AC708" s="298"/>
      <c r="AD708" s="298"/>
      <c r="AE708" s="298"/>
      <c r="AF708" s="298"/>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row>
    <row r="709">
      <c r="A709" s="304"/>
      <c r="B709" s="282"/>
      <c r="C709" s="298"/>
      <c r="D709" s="282"/>
      <c r="E709" s="282"/>
      <c r="F709" s="282"/>
      <c r="G709" s="282"/>
      <c r="H709" s="282"/>
      <c r="I709" s="282"/>
      <c r="J709" s="282"/>
      <c r="K709" s="282"/>
      <c r="L709" s="282"/>
      <c r="M709" s="282"/>
      <c r="N709" s="282"/>
      <c r="O709" s="282"/>
      <c r="P709" s="282"/>
      <c r="Q709" s="282"/>
      <c r="R709" s="282"/>
      <c r="S709" s="282"/>
      <c r="T709" s="282"/>
      <c r="U709" s="282"/>
      <c r="V709" s="298"/>
      <c r="W709" s="298"/>
      <c r="X709" s="298"/>
      <c r="Y709" s="298"/>
      <c r="Z709" s="298"/>
      <c r="AA709" s="298"/>
      <c r="AB709" s="298"/>
      <c r="AC709" s="298"/>
      <c r="AD709" s="298"/>
      <c r="AE709" s="298"/>
      <c r="AF709" s="298"/>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row>
    <row r="710">
      <c r="A710" s="304"/>
      <c r="B710" s="282"/>
      <c r="C710" s="298"/>
      <c r="D710" s="282"/>
      <c r="E710" s="282"/>
      <c r="F710" s="282"/>
      <c r="G710" s="282"/>
      <c r="H710" s="282"/>
      <c r="I710" s="282"/>
      <c r="J710" s="282"/>
      <c r="K710" s="282"/>
      <c r="L710" s="282"/>
      <c r="M710" s="282"/>
      <c r="N710" s="282"/>
      <c r="O710" s="282"/>
      <c r="P710" s="282"/>
      <c r="Q710" s="282"/>
      <c r="R710" s="282"/>
      <c r="S710" s="282"/>
      <c r="T710" s="282"/>
      <c r="U710" s="282"/>
      <c r="V710" s="298"/>
      <c r="W710" s="298"/>
      <c r="X710" s="298"/>
      <c r="Y710" s="298"/>
      <c r="Z710" s="298"/>
      <c r="AA710" s="298"/>
      <c r="AB710" s="298"/>
      <c r="AC710" s="298"/>
      <c r="AD710" s="298"/>
      <c r="AE710" s="298"/>
      <c r="AF710" s="298"/>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row>
    <row r="711">
      <c r="A711" s="304"/>
      <c r="B711" s="282"/>
      <c r="C711" s="298"/>
      <c r="D711" s="282"/>
      <c r="E711" s="282"/>
      <c r="F711" s="282"/>
      <c r="G711" s="282"/>
      <c r="H711" s="282"/>
      <c r="I711" s="282"/>
      <c r="J711" s="282"/>
      <c r="K711" s="282"/>
      <c r="L711" s="282"/>
      <c r="M711" s="282"/>
      <c r="N711" s="282"/>
      <c r="O711" s="282"/>
      <c r="P711" s="282"/>
      <c r="Q711" s="282"/>
      <c r="R711" s="282"/>
      <c r="S711" s="282"/>
      <c r="T711" s="282"/>
      <c r="U711" s="282"/>
      <c r="V711" s="298"/>
      <c r="W711" s="298"/>
      <c r="X711" s="298"/>
      <c r="Y711" s="298"/>
      <c r="Z711" s="298"/>
      <c r="AA711" s="298"/>
      <c r="AB711" s="298"/>
      <c r="AC711" s="298"/>
      <c r="AD711" s="298"/>
      <c r="AE711" s="298"/>
      <c r="AF711" s="298"/>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row>
    <row r="712">
      <c r="A712" s="304"/>
      <c r="B712" s="282"/>
      <c r="C712" s="298"/>
      <c r="D712" s="282"/>
      <c r="E712" s="282"/>
      <c r="F712" s="282"/>
      <c r="G712" s="282"/>
      <c r="H712" s="282"/>
      <c r="I712" s="282"/>
      <c r="J712" s="282"/>
      <c r="K712" s="282"/>
      <c r="L712" s="282"/>
      <c r="M712" s="282"/>
      <c r="N712" s="282"/>
      <c r="O712" s="282"/>
      <c r="P712" s="282"/>
      <c r="Q712" s="282"/>
      <c r="R712" s="282"/>
      <c r="S712" s="282"/>
      <c r="T712" s="282"/>
      <c r="U712" s="282"/>
      <c r="V712" s="298"/>
      <c r="W712" s="298"/>
      <c r="X712" s="298"/>
      <c r="Y712" s="298"/>
      <c r="Z712" s="298"/>
      <c r="AA712" s="298"/>
      <c r="AB712" s="298"/>
      <c r="AC712" s="298"/>
      <c r="AD712" s="298"/>
      <c r="AE712" s="298"/>
      <c r="AF712" s="298"/>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row>
    <row r="713">
      <c r="A713" s="304"/>
      <c r="B713" s="282"/>
      <c r="C713" s="298"/>
      <c r="D713" s="282"/>
      <c r="E713" s="282"/>
      <c r="F713" s="282"/>
      <c r="G713" s="282"/>
      <c r="H713" s="282"/>
      <c r="I713" s="282"/>
      <c r="J713" s="282"/>
      <c r="K713" s="282"/>
      <c r="L713" s="282"/>
      <c r="M713" s="282"/>
      <c r="N713" s="282"/>
      <c r="O713" s="282"/>
      <c r="P713" s="282"/>
      <c r="Q713" s="282"/>
      <c r="R713" s="282"/>
      <c r="S713" s="282"/>
      <c r="T713" s="282"/>
      <c r="U713" s="282"/>
      <c r="V713" s="298"/>
      <c r="W713" s="298"/>
      <c r="X713" s="298"/>
      <c r="Y713" s="298"/>
      <c r="Z713" s="298"/>
      <c r="AA713" s="298"/>
      <c r="AB713" s="298"/>
      <c r="AC713" s="298"/>
      <c r="AD713" s="298"/>
      <c r="AE713" s="298"/>
      <c r="AF713" s="298"/>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row>
    <row r="714">
      <c r="A714" s="304"/>
      <c r="B714" s="282"/>
      <c r="C714" s="298"/>
      <c r="D714" s="282"/>
      <c r="E714" s="282"/>
      <c r="F714" s="282"/>
      <c r="G714" s="282"/>
      <c r="H714" s="282"/>
      <c r="I714" s="282"/>
      <c r="J714" s="282"/>
      <c r="K714" s="282"/>
      <c r="L714" s="282"/>
      <c r="M714" s="282"/>
      <c r="N714" s="282"/>
      <c r="O714" s="282"/>
      <c r="P714" s="282"/>
      <c r="Q714" s="282"/>
      <c r="R714" s="282"/>
      <c r="S714" s="282"/>
      <c r="T714" s="282"/>
      <c r="U714" s="282"/>
      <c r="V714" s="298"/>
      <c r="W714" s="298"/>
      <c r="X714" s="298"/>
      <c r="Y714" s="298"/>
      <c r="Z714" s="298"/>
      <c r="AA714" s="298"/>
      <c r="AB714" s="298"/>
      <c r="AC714" s="298"/>
      <c r="AD714" s="298"/>
      <c r="AE714" s="298"/>
      <c r="AF714" s="298"/>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row>
    <row r="715">
      <c r="A715" s="304"/>
      <c r="B715" s="282"/>
      <c r="C715" s="298"/>
      <c r="D715" s="282"/>
      <c r="E715" s="282"/>
      <c r="F715" s="282"/>
      <c r="G715" s="282"/>
      <c r="H715" s="282"/>
      <c r="I715" s="282"/>
      <c r="J715" s="282"/>
      <c r="K715" s="282"/>
      <c r="L715" s="282"/>
      <c r="M715" s="282"/>
      <c r="N715" s="282"/>
      <c r="O715" s="282"/>
      <c r="P715" s="282"/>
      <c r="Q715" s="282"/>
      <c r="R715" s="282"/>
      <c r="S715" s="282"/>
      <c r="T715" s="282"/>
      <c r="U715" s="282"/>
      <c r="V715" s="298"/>
      <c r="W715" s="298"/>
      <c r="X715" s="298"/>
      <c r="Y715" s="298"/>
      <c r="Z715" s="298"/>
      <c r="AA715" s="298"/>
      <c r="AB715" s="298"/>
      <c r="AC715" s="298"/>
      <c r="AD715" s="298"/>
      <c r="AE715" s="298"/>
      <c r="AF715" s="298"/>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row>
    <row r="716">
      <c r="A716" s="304"/>
      <c r="B716" s="282"/>
      <c r="C716" s="298"/>
      <c r="D716" s="282"/>
      <c r="E716" s="282"/>
      <c r="F716" s="282"/>
      <c r="G716" s="282"/>
      <c r="H716" s="282"/>
      <c r="I716" s="282"/>
      <c r="J716" s="282"/>
      <c r="K716" s="282"/>
      <c r="L716" s="282"/>
      <c r="M716" s="282"/>
      <c r="N716" s="282"/>
      <c r="O716" s="282"/>
      <c r="P716" s="282"/>
      <c r="Q716" s="282"/>
      <c r="R716" s="282"/>
      <c r="S716" s="282"/>
      <c r="T716" s="282"/>
      <c r="U716" s="282"/>
      <c r="V716" s="298"/>
      <c r="W716" s="298"/>
      <c r="X716" s="298"/>
      <c r="Y716" s="298"/>
      <c r="Z716" s="298"/>
      <c r="AA716" s="298"/>
      <c r="AB716" s="298"/>
      <c r="AC716" s="298"/>
      <c r="AD716" s="298"/>
      <c r="AE716" s="298"/>
      <c r="AF716" s="298"/>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row>
    <row r="717">
      <c r="A717" s="304"/>
      <c r="B717" s="282"/>
      <c r="C717" s="298"/>
      <c r="D717" s="282"/>
      <c r="E717" s="282"/>
      <c r="F717" s="282"/>
      <c r="G717" s="282"/>
      <c r="H717" s="282"/>
      <c r="I717" s="282"/>
      <c r="J717" s="282"/>
      <c r="K717" s="282"/>
      <c r="L717" s="282"/>
      <c r="M717" s="282"/>
      <c r="N717" s="282"/>
      <c r="O717" s="282"/>
      <c r="P717" s="282"/>
      <c r="Q717" s="282"/>
      <c r="R717" s="282"/>
      <c r="S717" s="282"/>
      <c r="T717" s="282"/>
      <c r="U717" s="282"/>
      <c r="V717" s="298"/>
      <c r="W717" s="298"/>
      <c r="X717" s="298"/>
      <c r="Y717" s="298"/>
      <c r="Z717" s="298"/>
      <c r="AA717" s="298"/>
      <c r="AB717" s="298"/>
      <c r="AC717" s="298"/>
      <c r="AD717" s="298"/>
      <c r="AE717" s="298"/>
      <c r="AF717" s="298"/>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row>
    <row r="718">
      <c r="A718" s="304"/>
      <c r="B718" s="282"/>
      <c r="C718" s="298"/>
      <c r="D718" s="282"/>
      <c r="E718" s="282"/>
      <c r="F718" s="282"/>
      <c r="G718" s="282"/>
      <c r="H718" s="282"/>
      <c r="I718" s="282"/>
      <c r="J718" s="282"/>
      <c r="K718" s="282"/>
      <c r="L718" s="282"/>
      <c r="M718" s="282"/>
      <c r="N718" s="282"/>
      <c r="O718" s="282"/>
      <c r="P718" s="282"/>
      <c r="Q718" s="282"/>
      <c r="R718" s="282"/>
      <c r="S718" s="282"/>
      <c r="T718" s="282"/>
      <c r="U718" s="282"/>
      <c r="V718" s="298"/>
      <c r="W718" s="298"/>
      <c r="X718" s="298"/>
      <c r="Y718" s="298"/>
      <c r="Z718" s="298"/>
      <c r="AA718" s="298"/>
      <c r="AB718" s="298"/>
      <c r="AC718" s="298"/>
      <c r="AD718" s="298"/>
      <c r="AE718" s="298"/>
      <c r="AF718" s="298"/>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row>
    <row r="719">
      <c r="A719" s="304"/>
      <c r="B719" s="282"/>
      <c r="C719" s="298"/>
      <c r="D719" s="282"/>
      <c r="E719" s="282"/>
      <c r="F719" s="282"/>
      <c r="G719" s="282"/>
      <c r="H719" s="282"/>
      <c r="I719" s="282"/>
      <c r="J719" s="282"/>
      <c r="K719" s="282"/>
      <c r="L719" s="282"/>
      <c r="M719" s="282"/>
      <c r="N719" s="282"/>
      <c r="O719" s="282"/>
      <c r="P719" s="282"/>
      <c r="Q719" s="282"/>
      <c r="R719" s="282"/>
      <c r="S719" s="282"/>
      <c r="T719" s="282"/>
      <c r="U719" s="282"/>
      <c r="V719" s="298"/>
      <c r="W719" s="298"/>
      <c r="X719" s="298"/>
      <c r="Y719" s="298"/>
      <c r="Z719" s="298"/>
      <c r="AA719" s="298"/>
      <c r="AB719" s="298"/>
      <c r="AC719" s="298"/>
      <c r="AD719" s="298"/>
      <c r="AE719" s="298"/>
      <c r="AF719" s="298"/>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row>
    <row r="720">
      <c r="A720" s="304"/>
      <c r="B720" s="282"/>
      <c r="C720" s="298"/>
      <c r="D720" s="282"/>
      <c r="E720" s="282"/>
      <c r="F720" s="282"/>
      <c r="G720" s="282"/>
      <c r="H720" s="282"/>
      <c r="I720" s="282"/>
      <c r="J720" s="282"/>
      <c r="K720" s="282"/>
      <c r="L720" s="282"/>
      <c r="M720" s="282"/>
      <c r="N720" s="282"/>
      <c r="O720" s="282"/>
      <c r="P720" s="282"/>
      <c r="Q720" s="282"/>
      <c r="R720" s="282"/>
      <c r="S720" s="282"/>
      <c r="T720" s="282"/>
      <c r="U720" s="282"/>
      <c r="V720" s="298"/>
      <c r="W720" s="298"/>
      <c r="X720" s="298"/>
      <c r="Y720" s="298"/>
      <c r="Z720" s="298"/>
      <c r="AA720" s="298"/>
      <c r="AB720" s="298"/>
      <c r="AC720" s="298"/>
      <c r="AD720" s="298"/>
      <c r="AE720" s="298"/>
      <c r="AF720" s="298"/>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row>
    <row r="721">
      <c r="A721" s="304"/>
      <c r="B721" s="282"/>
      <c r="C721" s="298"/>
      <c r="D721" s="282"/>
      <c r="E721" s="282"/>
      <c r="F721" s="282"/>
      <c r="G721" s="282"/>
      <c r="H721" s="282"/>
      <c r="I721" s="282"/>
      <c r="J721" s="282"/>
      <c r="K721" s="282"/>
      <c r="L721" s="282"/>
      <c r="M721" s="282"/>
      <c r="N721" s="282"/>
      <c r="O721" s="282"/>
      <c r="P721" s="282"/>
      <c r="Q721" s="282"/>
      <c r="R721" s="282"/>
      <c r="S721" s="282"/>
      <c r="T721" s="282"/>
      <c r="U721" s="282"/>
      <c r="V721" s="298"/>
      <c r="W721" s="298"/>
      <c r="X721" s="298"/>
      <c r="Y721" s="298"/>
      <c r="Z721" s="298"/>
      <c r="AA721" s="298"/>
      <c r="AB721" s="298"/>
      <c r="AC721" s="298"/>
      <c r="AD721" s="298"/>
      <c r="AE721" s="298"/>
      <c r="AF721" s="298"/>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row>
    <row r="722">
      <c r="A722" s="304"/>
      <c r="B722" s="282"/>
      <c r="C722" s="298"/>
      <c r="D722" s="282"/>
      <c r="E722" s="282"/>
      <c r="F722" s="282"/>
      <c r="G722" s="282"/>
      <c r="H722" s="282"/>
      <c r="I722" s="282"/>
      <c r="J722" s="282"/>
      <c r="K722" s="282"/>
      <c r="L722" s="282"/>
      <c r="M722" s="282"/>
      <c r="N722" s="282"/>
      <c r="O722" s="282"/>
      <c r="P722" s="282"/>
      <c r="Q722" s="282"/>
      <c r="R722" s="282"/>
      <c r="S722" s="282"/>
      <c r="T722" s="282"/>
      <c r="U722" s="282"/>
      <c r="V722" s="298"/>
      <c r="W722" s="298"/>
      <c r="X722" s="298"/>
      <c r="Y722" s="298"/>
      <c r="Z722" s="298"/>
      <c r="AA722" s="298"/>
      <c r="AB722" s="298"/>
      <c r="AC722" s="298"/>
      <c r="AD722" s="298"/>
      <c r="AE722" s="298"/>
      <c r="AF722" s="298"/>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row>
    <row r="723">
      <c r="A723" s="304"/>
      <c r="B723" s="282"/>
      <c r="C723" s="298"/>
      <c r="D723" s="282"/>
      <c r="E723" s="282"/>
      <c r="F723" s="282"/>
      <c r="G723" s="282"/>
      <c r="H723" s="282"/>
      <c r="I723" s="282"/>
      <c r="J723" s="282"/>
      <c r="K723" s="282"/>
      <c r="L723" s="282"/>
      <c r="M723" s="282"/>
      <c r="N723" s="282"/>
      <c r="O723" s="282"/>
      <c r="P723" s="282"/>
      <c r="Q723" s="282"/>
      <c r="R723" s="282"/>
      <c r="S723" s="282"/>
      <c r="T723" s="282"/>
      <c r="U723" s="282"/>
      <c r="V723" s="298"/>
      <c r="W723" s="298"/>
      <c r="X723" s="298"/>
      <c r="Y723" s="298"/>
      <c r="Z723" s="298"/>
      <c r="AA723" s="298"/>
      <c r="AB723" s="298"/>
      <c r="AC723" s="298"/>
      <c r="AD723" s="298"/>
      <c r="AE723" s="298"/>
      <c r="AF723" s="298"/>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row>
    <row r="724">
      <c r="A724" s="304"/>
      <c r="B724" s="282"/>
      <c r="C724" s="298"/>
      <c r="D724" s="282"/>
      <c r="E724" s="282"/>
      <c r="F724" s="282"/>
      <c r="G724" s="282"/>
      <c r="H724" s="282"/>
      <c r="I724" s="282"/>
      <c r="J724" s="282"/>
      <c r="K724" s="282"/>
      <c r="L724" s="282"/>
      <c r="M724" s="282"/>
      <c r="N724" s="282"/>
      <c r="O724" s="282"/>
      <c r="P724" s="282"/>
      <c r="Q724" s="282"/>
      <c r="R724" s="282"/>
      <c r="S724" s="282"/>
      <c r="T724" s="282"/>
      <c r="U724" s="282"/>
      <c r="V724" s="298"/>
      <c r="W724" s="298"/>
      <c r="X724" s="298"/>
      <c r="Y724" s="298"/>
      <c r="Z724" s="298"/>
      <c r="AA724" s="298"/>
      <c r="AB724" s="298"/>
      <c r="AC724" s="298"/>
      <c r="AD724" s="298"/>
      <c r="AE724" s="298"/>
      <c r="AF724" s="298"/>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row>
    <row r="725">
      <c r="A725" s="304"/>
      <c r="B725" s="282"/>
      <c r="C725" s="298"/>
      <c r="D725" s="282"/>
      <c r="E725" s="282"/>
      <c r="F725" s="282"/>
      <c r="G725" s="282"/>
      <c r="H725" s="282"/>
      <c r="I725" s="282"/>
      <c r="J725" s="282"/>
      <c r="K725" s="282"/>
      <c r="L725" s="282"/>
      <c r="M725" s="282"/>
      <c r="N725" s="282"/>
      <c r="O725" s="282"/>
      <c r="P725" s="282"/>
      <c r="Q725" s="282"/>
      <c r="R725" s="282"/>
      <c r="S725" s="282"/>
      <c r="T725" s="282"/>
      <c r="U725" s="282"/>
      <c r="V725" s="298"/>
      <c r="W725" s="298"/>
      <c r="X725" s="298"/>
      <c r="Y725" s="298"/>
      <c r="Z725" s="298"/>
      <c r="AA725" s="298"/>
      <c r="AB725" s="298"/>
      <c r="AC725" s="298"/>
      <c r="AD725" s="298"/>
      <c r="AE725" s="298"/>
      <c r="AF725" s="298"/>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row>
    <row r="726">
      <c r="A726" s="304"/>
      <c r="B726" s="282"/>
      <c r="C726" s="298"/>
      <c r="D726" s="282"/>
      <c r="E726" s="282"/>
      <c r="F726" s="282"/>
      <c r="G726" s="282"/>
      <c r="H726" s="282"/>
      <c r="I726" s="282"/>
      <c r="J726" s="282"/>
      <c r="K726" s="282"/>
      <c r="L726" s="282"/>
      <c r="M726" s="282"/>
      <c r="N726" s="282"/>
      <c r="O726" s="282"/>
      <c r="P726" s="282"/>
      <c r="Q726" s="282"/>
      <c r="R726" s="282"/>
      <c r="S726" s="282"/>
      <c r="T726" s="282"/>
      <c r="U726" s="282"/>
      <c r="V726" s="298"/>
      <c r="W726" s="298"/>
      <c r="X726" s="298"/>
      <c r="Y726" s="298"/>
      <c r="Z726" s="298"/>
      <c r="AA726" s="298"/>
      <c r="AB726" s="298"/>
      <c r="AC726" s="298"/>
      <c r="AD726" s="298"/>
      <c r="AE726" s="298"/>
      <c r="AF726" s="298"/>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row>
    <row r="727">
      <c r="A727" s="304"/>
      <c r="B727" s="282"/>
      <c r="C727" s="298"/>
      <c r="D727" s="282"/>
      <c r="E727" s="282"/>
      <c r="F727" s="282"/>
      <c r="G727" s="282"/>
      <c r="H727" s="282"/>
      <c r="I727" s="282"/>
      <c r="J727" s="282"/>
      <c r="K727" s="282"/>
      <c r="L727" s="282"/>
      <c r="M727" s="282"/>
      <c r="N727" s="282"/>
      <c r="O727" s="282"/>
      <c r="P727" s="282"/>
      <c r="Q727" s="282"/>
      <c r="R727" s="282"/>
      <c r="S727" s="282"/>
      <c r="T727" s="282"/>
      <c r="U727" s="282"/>
      <c r="V727" s="298"/>
      <c r="W727" s="298"/>
      <c r="X727" s="298"/>
      <c r="Y727" s="298"/>
      <c r="Z727" s="298"/>
      <c r="AA727" s="298"/>
      <c r="AB727" s="298"/>
      <c r="AC727" s="298"/>
      <c r="AD727" s="298"/>
      <c r="AE727" s="298"/>
      <c r="AF727" s="298"/>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row>
    <row r="728">
      <c r="A728" s="304"/>
      <c r="B728" s="282"/>
      <c r="C728" s="298"/>
      <c r="D728" s="282"/>
      <c r="E728" s="282"/>
      <c r="F728" s="282"/>
      <c r="G728" s="282"/>
      <c r="H728" s="282"/>
      <c r="I728" s="282"/>
      <c r="J728" s="282"/>
      <c r="K728" s="282"/>
      <c r="L728" s="282"/>
      <c r="M728" s="282"/>
      <c r="N728" s="282"/>
      <c r="O728" s="282"/>
      <c r="P728" s="282"/>
      <c r="Q728" s="282"/>
      <c r="R728" s="282"/>
      <c r="S728" s="282"/>
      <c r="T728" s="282"/>
      <c r="U728" s="282"/>
      <c r="V728" s="298"/>
      <c r="W728" s="298"/>
      <c r="X728" s="298"/>
      <c r="Y728" s="298"/>
      <c r="Z728" s="298"/>
      <c r="AA728" s="298"/>
      <c r="AB728" s="298"/>
      <c r="AC728" s="298"/>
      <c r="AD728" s="298"/>
      <c r="AE728" s="298"/>
      <c r="AF728" s="298"/>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row>
    <row r="729">
      <c r="A729" s="304"/>
      <c r="B729" s="282"/>
      <c r="C729" s="298"/>
      <c r="D729" s="282"/>
      <c r="E729" s="282"/>
      <c r="F729" s="282"/>
      <c r="G729" s="282"/>
      <c r="H729" s="282"/>
      <c r="I729" s="282"/>
      <c r="J729" s="282"/>
      <c r="K729" s="282"/>
      <c r="L729" s="282"/>
      <c r="M729" s="282"/>
      <c r="N729" s="282"/>
      <c r="O729" s="282"/>
      <c r="P729" s="282"/>
      <c r="Q729" s="282"/>
      <c r="R729" s="282"/>
      <c r="S729" s="282"/>
      <c r="T729" s="282"/>
      <c r="U729" s="282"/>
      <c r="V729" s="298"/>
      <c r="W729" s="298"/>
      <c r="X729" s="298"/>
      <c r="Y729" s="298"/>
      <c r="Z729" s="298"/>
      <c r="AA729" s="298"/>
      <c r="AB729" s="298"/>
      <c r="AC729" s="298"/>
      <c r="AD729" s="298"/>
      <c r="AE729" s="298"/>
      <c r="AF729" s="298"/>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row>
    <row r="730">
      <c r="A730" s="304"/>
      <c r="B730" s="282"/>
      <c r="C730" s="298"/>
      <c r="D730" s="282"/>
      <c r="E730" s="282"/>
      <c r="F730" s="282"/>
      <c r="G730" s="282"/>
      <c r="H730" s="282"/>
      <c r="I730" s="282"/>
      <c r="J730" s="282"/>
      <c r="K730" s="282"/>
      <c r="L730" s="282"/>
      <c r="M730" s="282"/>
      <c r="N730" s="282"/>
      <c r="O730" s="282"/>
      <c r="P730" s="282"/>
      <c r="Q730" s="282"/>
      <c r="R730" s="282"/>
      <c r="S730" s="282"/>
      <c r="T730" s="282"/>
      <c r="U730" s="282"/>
      <c r="V730" s="298"/>
      <c r="W730" s="298"/>
      <c r="X730" s="298"/>
      <c r="Y730" s="298"/>
      <c r="Z730" s="298"/>
      <c r="AA730" s="298"/>
      <c r="AB730" s="298"/>
      <c r="AC730" s="298"/>
      <c r="AD730" s="298"/>
      <c r="AE730" s="298"/>
      <c r="AF730" s="298"/>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row>
    <row r="731">
      <c r="A731" s="304"/>
      <c r="B731" s="282"/>
      <c r="C731" s="298"/>
      <c r="D731" s="282"/>
      <c r="E731" s="282"/>
      <c r="F731" s="282"/>
      <c r="G731" s="282"/>
      <c r="H731" s="282"/>
      <c r="I731" s="282"/>
      <c r="J731" s="282"/>
      <c r="K731" s="282"/>
      <c r="L731" s="282"/>
      <c r="M731" s="282"/>
      <c r="N731" s="282"/>
      <c r="O731" s="282"/>
      <c r="P731" s="282"/>
      <c r="Q731" s="282"/>
      <c r="R731" s="282"/>
      <c r="S731" s="282"/>
      <c r="T731" s="282"/>
      <c r="U731" s="282"/>
      <c r="V731" s="298"/>
      <c r="W731" s="298"/>
      <c r="X731" s="298"/>
      <c r="Y731" s="298"/>
      <c r="Z731" s="298"/>
      <c r="AA731" s="298"/>
      <c r="AB731" s="298"/>
      <c r="AC731" s="298"/>
      <c r="AD731" s="298"/>
      <c r="AE731" s="298"/>
      <c r="AF731" s="298"/>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row>
    <row r="732">
      <c r="A732" s="304"/>
      <c r="B732" s="282"/>
      <c r="C732" s="298"/>
      <c r="D732" s="282"/>
      <c r="E732" s="282"/>
      <c r="F732" s="282"/>
      <c r="G732" s="282"/>
      <c r="H732" s="282"/>
      <c r="I732" s="282"/>
      <c r="J732" s="282"/>
      <c r="K732" s="282"/>
      <c r="L732" s="282"/>
      <c r="M732" s="282"/>
      <c r="N732" s="282"/>
      <c r="O732" s="282"/>
      <c r="P732" s="282"/>
      <c r="Q732" s="282"/>
      <c r="R732" s="282"/>
      <c r="S732" s="282"/>
      <c r="T732" s="282"/>
      <c r="U732" s="282"/>
      <c r="V732" s="298"/>
      <c r="W732" s="298"/>
      <c r="X732" s="298"/>
      <c r="Y732" s="298"/>
      <c r="Z732" s="298"/>
      <c r="AA732" s="298"/>
      <c r="AB732" s="298"/>
      <c r="AC732" s="298"/>
      <c r="AD732" s="298"/>
      <c r="AE732" s="298"/>
      <c r="AF732" s="298"/>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row>
    <row r="733">
      <c r="A733" s="304"/>
      <c r="B733" s="282"/>
      <c r="C733" s="298"/>
      <c r="D733" s="282"/>
      <c r="E733" s="282"/>
      <c r="F733" s="282"/>
      <c r="G733" s="282"/>
      <c r="H733" s="282"/>
      <c r="I733" s="282"/>
      <c r="J733" s="282"/>
      <c r="K733" s="282"/>
      <c r="L733" s="282"/>
      <c r="M733" s="282"/>
      <c r="N733" s="282"/>
      <c r="O733" s="282"/>
      <c r="P733" s="282"/>
      <c r="Q733" s="282"/>
      <c r="R733" s="282"/>
      <c r="S733" s="282"/>
      <c r="T733" s="282"/>
      <c r="U733" s="282"/>
      <c r="V733" s="298"/>
      <c r="W733" s="298"/>
      <c r="X733" s="298"/>
      <c r="Y733" s="298"/>
      <c r="Z733" s="298"/>
      <c r="AA733" s="298"/>
      <c r="AB733" s="298"/>
      <c r="AC733" s="298"/>
      <c r="AD733" s="298"/>
      <c r="AE733" s="298"/>
      <c r="AF733" s="298"/>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row>
    <row r="734">
      <c r="A734" s="304"/>
      <c r="B734" s="282"/>
      <c r="C734" s="298"/>
      <c r="D734" s="282"/>
      <c r="E734" s="282"/>
      <c r="F734" s="282"/>
      <c r="G734" s="282"/>
      <c r="H734" s="282"/>
      <c r="I734" s="282"/>
      <c r="J734" s="282"/>
      <c r="K734" s="282"/>
      <c r="L734" s="282"/>
      <c r="M734" s="282"/>
      <c r="N734" s="282"/>
      <c r="O734" s="282"/>
      <c r="P734" s="282"/>
      <c r="Q734" s="282"/>
      <c r="R734" s="282"/>
      <c r="S734" s="282"/>
      <c r="T734" s="282"/>
      <c r="U734" s="282"/>
      <c r="V734" s="298"/>
      <c r="W734" s="298"/>
      <c r="X734" s="298"/>
      <c r="Y734" s="298"/>
      <c r="Z734" s="298"/>
      <c r="AA734" s="298"/>
      <c r="AB734" s="298"/>
      <c r="AC734" s="298"/>
      <c r="AD734" s="298"/>
      <c r="AE734" s="298"/>
      <c r="AF734" s="298"/>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row>
    <row r="735">
      <c r="A735" s="304"/>
      <c r="B735" s="282"/>
      <c r="C735" s="298"/>
      <c r="D735" s="282"/>
      <c r="E735" s="282"/>
      <c r="F735" s="282"/>
      <c r="G735" s="282"/>
      <c r="H735" s="282"/>
      <c r="I735" s="282"/>
      <c r="J735" s="282"/>
      <c r="K735" s="282"/>
      <c r="L735" s="282"/>
      <c r="M735" s="282"/>
      <c r="N735" s="282"/>
      <c r="O735" s="282"/>
      <c r="P735" s="282"/>
      <c r="Q735" s="282"/>
      <c r="R735" s="282"/>
      <c r="S735" s="282"/>
      <c r="T735" s="282"/>
      <c r="U735" s="282"/>
      <c r="V735" s="298"/>
      <c r="W735" s="298"/>
      <c r="X735" s="298"/>
      <c r="Y735" s="298"/>
      <c r="Z735" s="298"/>
      <c r="AA735" s="298"/>
      <c r="AB735" s="298"/>
      <c r="AC735" s="298"/>
      <c r="AD735" s="298"/>
      <c r="AE735" s="298"/>
      <c r="AF735" s="298"/>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row>
    <row r="736">
      <c r="A736" s="304"/>
      <c r="B736" s="282"/>
      <c r="C736" s="298"/>
      <c r="D736" s="282"/>
      <c r="E736" s="282"/>
      <c r="F736" s="282"/>
      <c r="G736" s="282"/>
      <c r="H736" s="282"/>
      <c r="I736" s="282"/>
      <c r="J736" s="282"/>
      <c r="K736" s="282"/>
      <c r="L736" s="282"/>
      <c r="M736" s="282"/>
      <c r="N736" s="282"/>
      <c r="O736" s="282"/>
      <c r="P736" s="282"/>
      <c r="Q736" s="282"/>
      <c r="R736" s="282"/>
      <c r="S736" s="282"/>
      <c r="T736" s="282"/>
      <c r="U736" s="282"/>
      <c r="V736" s="298"/>
      <c r="W736" s="298"/>
      <c r="X736" s="298"/>
      <c r="Y736" s="298"/>
      <c r="Z736" s="298"/>
      <c r="AA736" s="298"/>
      <c r="AB736" s="298"/>
      <c r="AC736" s="298"/>
      <c r="AD736" s="298"/>
      <c r="AE736" s="298"/>
      <c r="AF736" s="298"/>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row>
    <row r="737">
      <c r="A737" s="304"/>
      <c r="B737" s="282"/>
      <c r="C737" s="298"/>
      <c r="D737" s="282"/>
      <c r="E737" s="282"/>
      <c r="F737" s="282"/>
      <c r="G737" s="282"/>
      <c r="H737" s="282"/>
      <c r="I737" s="282"/>
      <c r="J737" s="282"/>
      <c r="K737" s="282"/>
      <c r="L737" s="282"/>
      <c r="M737" s="282"/>
      <c r="N737" s="282"/>
      <c r="O737" s="282"/>
      <c r="P737" s="282"/>
      <c r="Q737" s="282"/>
      <c r="R737" s="282"/>
      <c r="S737" s="282"/>
      <c r="T737" s="282"/>
      <c r="U737" s="282"/>
      <c r="V737" s="298"/>
      <c r="W737" s="298"/>
      <c r="X737" s="298"/>
      <c r="Y737" s="298"/>
      <c r="Z737" s="298"/>
      <c r="AA737" s="298"/>
      <c r="AB737" s="298"/>
      <c r="AC737" s="298"/>
      <c r="AD737" s="298"/>
      <c r="AE737" s="298"/>
      <c r="AF737" s="298"/>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row>
    <row r="738">
      <c r="A738" s="304"/>
      <c r="B738" s="282"/>
      <c r="C738" s="298"/>
      <c r="D738" s="282"/>
      <c r="E738" s="282"/>
      <c r="F738" s="282"/>
      <c r="G738" s="282"/>
      <c r="H738" s="282"/>
      <c r="I738" s="282"/>
      <c r="J738" s="282"/>
      <c r="K738" s="282"/>
      <c r="L738" s="282"/>
      <c r="M738" s="282"/>
      <c r="N738" s="282"/>
      <c r="O738" s="282"/>
      <c r="P738" s="282"/>
      <c r="Q738" s="282"/>
      <c r="R738" s="282"/>
      <c r="S738" s="282"/>
      <c r="T738" s="282"/>
      <c r="U738" s="282"/>
      <c r="V738" s="298"/>
      <c r="W738" s="298"/>
      <c r="X738" s="298"/>
      <c r="Y738" s="298"/>
      <c r="Z738" s="298"/>
      <c r="AA738" s="298"/>
      <c r="AB738" s="298"/>
      <c r="AC738" s="298"/>
      <c r="AD738" s="298"/>
      <c r="AE738" s="298"/>
      <c r="AF738" s="298"/>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row>
    <row r="739">
      <c r="A739" s="304"/>
      <c r="B739" s="282"/>
      <c r="C739" s="298"/>
      <c r="D739" s="282"/>
      <c r="E739" s="282"/>
      <c r="F739" s="282"/>
      <c r="G739" s="282"/>
      <c r="H739" s="282"/>
      <c r="I739" s="282"/>
      <c r="J739" s="282"/>
      <c r="K739" s="282"/>
      <c r="L739" s="282"/>
      <c r="M739" s="282"/>
      <c r="N739" s="282"/>
      <c r="O739" s="282"/>
      <c r="P739" s="282"/>
      <c r="Q739" s="282"/>
      <c r="R739" s="282"/>
      <c r="S739" s="282"/>
      <c r="T739" s="282"/>
      <c r="U739" s="282"/>
      <c r="V739" s="298"/>
      <c r="W739" s="298"/>
      <c r="X739" s="298"/>
      <c r="Y739" s="298"/>
      <c r="Z739" s="298"/>
      <c r="AA739" s="298"/>
      <c r="AB739" s="298"/>
      <c r="AC739" s="298"/>
      <c r="AD739" s="298"/>
      <c r="AE739" s="298"/>
      <c r="AF739" s="298"/>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row>
    <row r="740">
      <c r="A740" s="304"/>
      <c r="B740" s="282"/>
      <c r="C740" s="298"/>
      <c r="D740" s="282"/>
      <c r="E740" s="282"/>
      <c r="F740" s="282"/>
      <c r="G740" s="282"/>
      <c r="H740" s="282"/>
      <c r="I740" s="282"/>
      <c r="J740" s="282"/>
      <c r="K740" s="282"/>
      <c r="L740" s="282"/>
      <c r="M740" s="282"/>
      <c r="N740" s="282"/>
      <c r="O740" s="282"/>
      <c r="P740" s="282"/>
      <c r="Q740" s="282"/>
      <c r="R740" s="282"/>
      <c r="S740" s="282"/>
      <c r="T740" s="282"/>
      <c r="U740" s="282"/>
      <c r="V740" s="298"/>
      <c r="W740" s="298"/>
      <c r="X740" s="298"/>
      <c r="Y740" s="298"/>
      <c r="Z740" s="298"/>
      <c r="AA740" s="298"/>
      <c r="AB740" s="298"/>
      <c r="AC740" s="298"/>
      <c r="AD740" s="298"/>
      <c r="AE740" s="298"/>
      <c r="AF740" s="298"/>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row>
    <row r="741">
      <c r="A741" s="304"/>
      <c r="B741" s="282"/>
      <c r="C741" s="298"/>
      <c r="D741" s="282"/>
      <c r="E741" s="282"/>
      <c r="F741" s="282"/>
      <c r="G741" s="282"/>
      <c r="H741" s="282"/>
      <c r="I741" s="282"/>
      <c r="J741" s="282"/>
      <c r="K741" s="282"/>
      <c r="L741" s="282"/>
      <c r="M741" s="282"/>
      <c r="N741" s="282"/>
      <c r="O741" s="282"/>
      <c r="P741" s="282"/>
      <c r="Q741" s="282"/>
      <c r="R741" s="282"/>
      <c r="S741" s="282"/>
      <c r="T741" s="282"/>
      <c r="U741" s="282"/>
      <c r="V741" s="298"/>
      <c r="W741" s="298"/>
      <c r="X741" s="298"/>
      <c r="Y741" s="298"/>
      <c r="Z741" s="298"/>
      <c r="AA741" s="298"/>
      <c r="AB741" s="298"/>
      <c r="AC741" s="298"/>
      <c r="AD741" s="298"/>
      <c r="AE741" s="298"/>
      <c r="AF741" s="298"/>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row>
    <row r="742">
      <c r="A742" s="304"/>
      <c r="B742" s="282"/>
      <c r="C742" s="298"/>
      <c r="D742" s="282"/>
      <c r="E742" s="282"/>
      <c r="F742" s="282"/>
      <c r="G742" s="282"/>
      <c r="H742" s="282"/>
      <c r="I742" s="282"/>
      <c r="J742" s="282"/>
      <c r="K742" s="282"/>
      <c r="L742" s="282"/>
      <c r="M742" s="282"/>
      <c r="N742" s="282"/>
      <c r="O742" s="282"/>
      <c r="P742" s="282"/>
      <c r="Q742" s="282"/>
      <c r="R742" s="282"/>
      <c r="S742" s="282"/>
      <c r="T742" s="282"/>
      <c r="U742" s="282"/>
      <c r="V742" s="298"/>
      <c r="W742" s="298"/>
      <c r="X742" s="298"/>
      <c r="Y742" s="298"/>
      <c r="Z742" s="298"/>
      <c r="AA742" s="298"/>
      <c r="AB742" s="298"/>
      <c r="AC742" s="298"/>
      <c r="AD742" s="298"/>
      <c r="AE742" s="298"/>
      <c r="AF742" s="298"/>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row>
    <row r="743">
      <c r="A743" s="304"/>
      <c r="B743" s="282"/>
      <c r="C743" s="298"/>
      <c r="D743" s="282"/>
      <c r="E743" s="282"/>
      <c r="F743" s="282"/>
      <c r="G743" s="282"/>
      <c r="H743" s="282"/>
      <c r="I743" s="282"/>
      <c r="J743" s="282"/>
      <c r="K743" s="282"/>
      <c r="L743" s="282"/>
      <c r="M743" s="282"/>
      <c r="N743" s="282"/>
      <c r="O743" s="282"/>
      <c r="P743" s="282"/>
      <c r="Q743" s="282"/>
      <c r="R743" s="282"/>
      <c r="S743" s="282"/>
      <c r="T743" s="282"/>
      <c r="U743" s="282"/>
      <c r="V743" s="298"/>
      <c r="W743" s="298"/>
      <c r="X743" s="298"/>
      <c r="Y743" s="298"/>
      <c r="Z743" s="298"/>
      <c r="AA743" s="298"/>
      <c r="AB743" s="298"/>
      <c r="AC743" s="298"/>
      <c r="AD743" s="298"/>
      <c r="AE743" s="298"/>
      <c r="AF743" s="298"/>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row>
    <row r="744">
      <c r="A744" s="304"/>
      <c r="B744" s="282"/>
      <c r="C744" s="298"/>
      <c r="D744" s="282"/>
      <c r="E744" s="282"/>
      <c r="F744" s="282"/>
      <c r="G744" s="282"/>
      <c r="H744" s="282"/>
      <c r="I744" s="282"/>
      <c r="J744" s="282"/>
      <c r="K744" s="282"/>
      <c r="L744" s="282"/>
      <c r="M744" s="282"/>
      <c r="N744" s="282"/>
      <c r="O744" s="282"/>
      <c r="P744" s="282"/>
      <c r="Q744" s="282"/>
      <c r="R744" s="282"/>
      <c r="S744" s="282"/>
      <c r="T744" s="282"/>
      <c r="U744" s="282"/>
      <c r="V744" s="298"/>
      <c r="W744" s="298"/>
      <c r="X744" s="298"/>
      <c r="Y744" s="298"/>
      <c r="Z744" s="298"/>
      <c r="AA744" s="298"/>
      <c r="AB744" s="298"/>
      <c r="AC744" s="298"/>
      <c r="AD744" s="298"/>
      <c r="AE744" s="298"/>
      <c r="AF744" s="298"/>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row>
    <row r="745">
      <c r="A745" s="304"/>
      <c r="B745" s="282"/>
      <c r="C745" s="298"/>
      <c r="D745" s="282"/>
      <c r="E745" s="282"/>
      <c r="F745" s="282"/>
      <c r="G745" s="282"/>
      <c r="H745" s="282"/>
      <c r="I745" s="282"/>
      <c r="J745" s="282"/>
      <c r="K745" s="282"/>
      <c r="L745" s="282"/>
      <c r="M745" s="282"/>
      <c r="N745" s="282"/>
      <c r="O745" s="282"/>
      <c r="P745" s="282"/>
      <c r="Q745" s="282"/>
      <c r="R745" s="282"/>
      <c r="S745" s="282"/>
      <c r="T745" s="282"/>
      <c r="U745" s="282"/>
      <c r="V745" s="298"/>
      <c r="W745" s="298"/>
      <c r="X745" s="298"/>
      <c r="Y745" s="298"/>
      <c r="Z745" s="298"/>
      <c r="AA745" s="298"/>
      <c r="AB745" s="298"/>
      <c r="AC745" s="298"/>
      <c r="AD745" s="298"/>
      <c r="AE745" s="298"/>
      <c r="AF745" s="298"/>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row>
    <row r="746">
      <c r="A746" s="304"/>
      <c r="B746" s="282"/>
      <c r="C746" s="298"/>
      <c r="D746" s="282"/>
      <c r="E746" s="282"/>
      <c r="F746" s="282"/>
      <c r="G746" s="282"/>
      <c r="H746" s="282"/>
      <c r="I746" s="282"/>
      <c r="J746" s="282"/>
      <c r="K746" s="282"/>
      <c r="L746" s="282"/>
      <c r="M746" s="282"/>
      <c r="N746" s="282"/>
      <c r="O746" s="282"/>
      <c r="P746" s="282"/>
      <c r="Q746" s="282"/>
      <c r="R746" s="282"/>
      <c r="S746" s="282"/>
      <c r="T746" s="282"/>
      <c r="U746" s="282"/>
      <c r="V746" s="298"/>
      <c r="W746" s="298"/>
      <c r="X746" s="298"/>
      <c r="Y746" s="298"/>
      <c r="Z746" s="298"/>
      <c r="AA746" s="298"/>
      <c r="AB746" s="298"/>
      <c r="AC746" s="298"/>
      <c r="AD746" s="298"/>
      <c r="AE746" s="298"/>
      <c r="AF746" s="298"/>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row>
    <row r="747">
      <c r="A747" s="304"/>
      <c r="B747" s="282"/>
      <c r="C747" s="298"/>
      <c r="D747" s="282"/>
      <c r="E747" s="282"/>
      <c r="F747" s="282"/>
      <c r="G747" s="282"/>
      <c r="H747" s="282"/>
      <c r="I747" s="282"/>
      <c r="J747" s="282"/>
      <c r="K747" s="282"/>
      <c r="L747" s="282"/>
      <c r="M747" s="282"/>
      <c r="N747" s="282"/>
      <c r="O747" s="282"/>
      <c r="P747" s="282"/>
      <c r="Q747" s="282"/>
      <c r="R747" s="282"/>
      <c r="S747" s="282"/>
      <c r="T747" s="282"/>
      <c r="U747" s="282"/>
      <c r="V747" s="298"/>
      <c r="W747" s="298"/>
      <c r="X747" s="298"/>
      <c r="Y747" s="298"/>
      <c r="Z747" s="298"/>
      <c r="AA747" s="298"/>
      <c r="AB747" s="298"/>
      <c r="AC747" s="298"/>
      <c r="AD747" s="298"/>
      <c r="AE747" s="298"/>
      <c r="AF747" s="298"/>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row>
    <row r="748">
      <c r="A748" s="304"/>
      <c r="B748" s="282"/>
      <c r="C748" s="298"/>
      <c r="D748" s="282"/>
      <c r="E748" s="282"/>
      <c r="F748" s="282"/>
      <c r="G748" s="282"/>
      <c r="H748" s="282"/>
      <c r="I748" s="282"/>
      <c r="J748" s="282"/>
      <c r="K748" s="282"/>
      <c r="L748" s="282"/>
      <c r="M748" s="282"/>
      <c r="N748" s="282"/>
      <c r="O748" s="282"/>
      <c r="P748" s="282"/>
      <c r="Q748" s="282"/>
      <c r="R748" s="282"/>
      <c r="S748" s="282"/>
      <c r="T748" s="282"/>
      <c r="U748" s="282"/>
      <c r="V748" s="298"/>
      <c r="W748" s="298"/>
      <c r="X748" s="298"/>
      <c r="Y748" s="298"/>
      <c r="Z748" s="298"/>
      <c r="AA748" s="298"/>
      <c r="AB748" s="298"/>
      <c r="AC748" s="298"/>
      <c r="AD748" s="298"/>
      <c r="AE748" s="298"/>
      <c r="AF748" s="298"/>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row>
    <row r="749">
      <c r="A749" s="304"/>
      <c r="B749" s="282"/>
      <c r="C749" s="298"/>
      <c r="D749" s="282"/>
      <c r="E749" s="282"/>
      <c r="F749" s="282"/>
      <c r="G749" s="282"/>
      <c r="H749" s="282"/>
      <c r="I749" s="282"/>
      <c r="J749" s="282"/>
      <c r="K749" s="282"/>
      <c r="L749" s="282"/>
      <c r="M749" s="282"/>
      <c r="N749" s="282"/>
      <c r="O749" s="282"/>
      <c r="P749" s="282"/>
      <c r="Q749" s="282"/>
      <c r="R749" s="282"/>
      <c r="S749" s="282"/>
      <c r="T749" s="282"/>
      <c r="U749" s="282"/>
      <c r="V749" s="298"/>
      <c r="W749" s="298"/>
      <c r="X749" s="298"/>
      <c r="Y749" s="298"/>
      <c r="Z749" s="298"/>
      <c r="AA749" s="298"/>
      <c r="AB749" s="298"/>
      <c r="AC749" s="298"/>
      <c r="AD749" s="298"/>
      <c r="AE749" s="298"/>
      <c r="AF749" s="298"/>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row>
    <row r="750">
      <c r="A750" s="304"/>
      <c r="B750" s="282"/>
      <c r="C750" s="298"/>
      <c r="D750" s="282"/>
      <c r="E750" s="282"/>
      <c r="F750" s="282"/>
      <c r="G750" s="282"/>
      <c r="H750" s="282"/>
      <c r="I750" s="282"/>
      <c r="J750" s="282"/>
      <c r="K750" s="282"/>
      <c r="L750" s="282"/>
      <c r="M750" s="282"/>
      <c r="N750" s="282"/>
      <c r="O750" s="282"/>
      <c r="P750" s="282"/>
      <c r="Q750" s="282"/>
      <c r="R750" s="282"/>
      <c r="S750" s="282"/>
      <c r="T750" s="282"/>
      <c r="U750" s="282"/>
      <c r="V750" s="298"/>
      <c r="W750" s="298"/>
      <c r="X750" s="298"/>
      <c r="Y750" s="298"/>
      <c r="Z750" s="298"/>
      <c r="AA750" s="298"/>
      <c r="AB750" s="298"/>
      <c r="AC750" s="298"/>
      <c r="AD750" s="298"/>
      <c r="AE750" s="298"/>
      <c r="AF750" s="298"/>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row>
    <row r="751">
      <c r="A751" s="304"/>
      <c r="B751" s="282"/>
      <c r="C751" s="298"/>
      <c r="D751" s="282"/>
      <c r="E751" s="282"/>
      <c r="F751" s="282"/>
      <c r="G751" s="282"/>
      <c r="H751" s="282"/>
      <c r="I751" s="282"/>
      <c r="J751" s="282"/>
      <c r="K751" s="282"/>
      <c r="L751" s="282"/>
      <c r="M751" s="282"/>
      <c r="N751" s="282"/>
      <c r="O751" s="282"/>
      <c r="P751" s="282"/>
      <c r="Q751" s="282"/>
      <c r="R751" s="282"/>
      <c r="S751" s="282"/>
      <c r="T751" s="282"/>
      <c r="U751" s="282"/>
      <c r="V751" s="298"/>
      <c r="W751" s="298"/>
      <c r="X751" s="298"/>
      <c r="Y751" s="298"/>
      <c r="Z751" s="298"/>
      <c r="AA751" s="298"/>
      <c r="AB751" s="298"/>
      <c r="AC751" s="298"/>
      <c r="AD751" s="298"/>
      <c r="AE751" s="298"/>
      <c r="AF751" s="298"/>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row>
    <row r="752">
      <c r="A752" s="304"/>
      <c r="B752" s="282"/>
      <c r="C752" s="298"/>
      <c r="D752" s="282"/>
      <c r="E752" s="282"/>
      <c r="F752" s="282"/>
      <c r="G752" s="282"/>
      <c r="H752" s="282"/>
      <c r="I752" s="282"/>
      <c r="J752" s="282"/>
      <c r="K752" s="282"/>
      <c r="L752" s="282"/>
      <c r="M752" s="282"/>
      <c r="N752" s="282"/>
      <c r="O752" s="282"/>
      <c r="P752" s="282"/>
      <c r="Q752" s="282"/>
      <c r="R752" s="282"/>
      <c r="S752" s="282"/>
      <c r="T752" s="282"/>
      <c r="U752" s="282"/>
      <c r="V752" s="298"/>
      <c r="W752" s="298"/>
      <c r="X752" s="298"/>
      <c r="Y752" s="298"/>
      <c r="Z752" s="298"/>
      <c r="AA752" s="298"/>
      <c r="AB752" s="298"/>
      <c r="AC752" s="298"/>
      <c r="AD752" s="298"/>
      <c r="AE752" s="298"/>
      <c r="AF752" s="298"/>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row>
    <row r="753">
      <c r="A753" s="304"/>
      <c r="B753" s="282"/>
      <c r="C753" s="298"/>
      <c r="D753" s="282"/>
      <c r="E753" s="282"/>
      <c r="F753" s="282"/>
      <c r="G753" s="282"/>
      <c r="H753" s="282"/>
      <c r="I753" s="282"/>
      <c r="J753" s="282"/>
      <c r="K753" s="282"/>
      <c r="L753" s="282"/>
      <c r="M753" s="282"/>
      <c r="N753" s="282"/>
      <c r="O753" s="282"/>
      <c r="P753" s="282"/>
      <c r="Q753" s="282"/>
      <c r="R753" s="282"/>
      <c r="S753" s="282"/>
      <c r="T753" s="282"/>
      <c r="U753" s="282"/>
      <c r="V753" s="298"/>
      <c r="W753" s="298"/>
      <c r="X753" s="298"/>
      <c r="Y753" s="298"/>
      <c r="Z753" s="298"/>
      <c r="AA753" s="298"/>
      <c r="AB753" s="298"/>
      <c r="AC753" s="298"/>
      <c r="AD753" s="298"/>
      <c r="AE753" s="298"/>
      <c r="AF753" s="298"/>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row>
    <row r="754">
      <c r="A754" s="304"/>
      <c r="B754" s="282"/>
      <c r="C754" s="298"/>
      <c r="D754" s="282"/>
      <c r="E754" s="282"/>
      <c r="F754" s="282"/>
      <c r="G754" s="282"/>
      <c r="H754" s="282"/>
      <c r="I754" s="282"/>
      <c r="J754" s="282"/>
      <c r="K754" s="282"/>
      <c r="L754" s="282"/>
      <c r="M754" s="282"/>
      <c r="N754" s="282"/>
      <c r="O754" s="282"/>
      <c r="P754" s="282"/>
      <c r="Q754" s="282"/>
      <c r="R754" s="282"/>
      <c r="S754" s="282"/>
      <c r="T754" s="282"/>
      <c r="U754" s="282"/>
      <c r="V754" s="298"/>
      <c r="W754" s="298"/>
      <c r="X754" s="298"/>
      <c r="Y754" s="298"/>
      <c r="Z754" s="298"/>
      <c r="AA754" s="298"/>
      <c r="AB754" s="298"/>
      <c r="AC754" s="298"/>
      <c r="AD754" s="298"/>
      <c r="AE754" s="298"/>
      <c r="AF754" s="298"/>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row>
    <row r="755">
      <c r="A755" s="304"/>
      <c r="B755" s="282"/>
      <c r="C755" s="298"/>
      <c r="D755" s="282"/>
      <c r="E755" s="282"/>
      <c r="F755" s="282"/>
      <c r="G755" s="282"/>
      <c r="H755" s="282"/>
      <c r="I755" s="282"/>
      <c r="J755" s="282"/>
      <c r="K755" s="282"/>
      <c r="L755" s="282"/>
      <c r="M755" s="282"/>
      <c r="N755" s="282"/>
      <c r="O755" s="282"/>
      <c r="P755" s="282"/>
      <c r="Q755" s="282"/>
      <c r="R755" s="282"/>
      <c r="S755" s="282"/>
      <c r="T755" s="282"/>
      <c r="U755" s="282"/>
      <c r="V755" s="298"/>
      <c r="W755" s="298"/>
      <c r="X755" s="298"/>
      <c r="Y755" s="298"/>
      <c r="Z755" s="298"/>
      <c r="AA755" s="298"/>
      <c r="AB755" s="298"/>
      <c r="AC755" s="298"/>
      <c r="AD755" s="298"/>
      <c r="AE755" s="298"/>
      <c r="AF755" s="298"/>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row>
    <row r="756">
      <c r="A756" s="304"/>
      <c r="B756" s="282"/>
      <c r="C756" s="298"/>
      <c r="D756" s="282"/>
      <c r="E756" s="282"/>
      <c r="F756" s="282"/>
      <c r="G756" s="282"/>
      <c r="H756" s="282"/>
      <c r="I756" s="282"/>
      <c r="J756" s="282"/>
      <c r="K756" s="282"/>
      <c r="L756" s="282"/>
      <c r="M756" s="282"/>
      <c r="N756" s="282"/>
      <c r="O756" s="282"/>
      <c r="P756" s="282"/>
      <c r="Q756" s="282"/>
      <c r="R756" s="282"/>
      <c r="S756" s="282"/>
      <c r="T756" s="282"/>
      <c r="U756" s="282"/>
      <c r="V756" s="298"/>
      <c r="W756" s="298"/>
      <c r="X756" s="298"/>
      <c r="Y756" s="298"/>
      <c r="Z756" s="298"/>
      <c r="AA756" s="298"/>
      <c r="AB756" s="298"/>
      <c r="AC756" s="298"/>
      <c r="AD756" s="298"/>
      <c r="AE756" s="298"/>
      <c r="AF756" s="298"/>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row>
    <row r="757">
      <c r="A757" s="304"/>
      <c r="B757" s="282"/>
      <c r="C757" s="298"/>
      <c r="D757" s="282"/>
      <c r="E757" s="282"/>
      <c r="F757" s="282"/>
      <c r="G757" s="282"/>
      <c r="H757" s="282"/>
      <c r="I757" s="282"/>
      <c r="J757" s="282"/>
      <c r="K757" s="282"/>
      <c r="L757" s="282"/>
      <c r="M757" s="282"/>
      <c r="N757" s="282"/>
      <c r="O757" s="282"/>
      <c r="P757" s="282"/>
      <c r="Q757" s="282"/>
      <c r="R757" s="282"/>
      <c r="S757" s="282"/>
      <c r="T757" s="282"/>
      <c r="U757" s="282"/>
      <c r="V757" s="298"/>
      <c r="W757" s="298"/>
      <c r="X757" s="298"/>
      <c r="Y757" s="298"/>
      <c r="Z757" s="298"/>
      <c r="AA757" s="298"/>
      <c r="AB757" s="298"/>
      <c r="AC757" s="298"/>
      <c r="AD757" s="298"/>
      <c r="AE757" s="298"/>
      <c r="AF757" s="298"/>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row>
    <row r="758">
      <c r="A758" s="304"/>
      <c r="B758" s="282"/>
      <c r="C758" s="298"/>
      <c r="D758" s="282"/>
      <c r="E758" s="282"/>
      <c r="F758" s="282"/>
      <c r="G758" s="282"/>
      <c r="H758" s="282"/>
      <c r="I758" s="282"/>
      <c r="J758" s="282"/>
      <c r="K758" s="282"/>
      <c r="L758" s="282"/>
      <c r="M758" s="282"/>
      <c r="N758" s="282"/>
      <c r="O758" s="282"/>
      <c r="P758" s="282"/>
      <c r="Q758" s="282"/>
      <c r="R758" s="282"/>
      <c r="S758" s="282"/>
      <c r="T758" s="282"/>
      <c r="U758" s="282"/>
      <c r="V758" s="298"/>
      <c r="W758" s="298"/>
      <c r="X758" s="298"/>
      <c r="Y758" s="298"/>
      <c r="Z758" s="298"/>
      <c r="AA758" s="298"/>
      <c r="AB758" s="298"/>
      <c r="AC758" s="298"/>
      <c r="AD758" s="298"/>
      <c r="AE758" s="298"/>
      <c r="AF758" s="298"/>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row>
    <row r="759">
      <c r="A759" s="304"/>
      <c r="B759" s="282"/>
      <c r="C759" s="298"/>
      <c r="D759" s="282"/>
      <c r="E759" s="282"/>
      <c r="F759" s="282"/>
      <c r="G759" s="282"/>
      <c r="H759" s="282"/>
      <c r="I759" s="282"/>
      <c r="J759" s="282"/>
      <c r="K759" s="282"/>
      <c r="L759" s="282"/>
      <c r="M759" s="282"/>
      <c r="N759" s="282"/>
      <c r="O759" s="282"/>
      <c r="P759" s="282"/>
      <c r="Q759" s="282"/>
      <c r="R759" s="282"/>
      <c r="S759" s="282"/>
      <c r="T759" s="282"/>
      <c r="U759" s="282"/>
      <c r="V759" s="298"/>
      <c r="W759" s="298"/>
      <c r="X759" s="298"/>
      <c r="Y759" s="298"/>
      <c r="Z759" s="298"/>
      <c r="AA759" s="298"/>
      <c r="AB759" s="298"/>
      <c r="AC759" s="298"/>
      <c r="AD759" s="298"/>
      <c r="AE759" s="298"/>
      <c r="AF759" s="298"/>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row>
    <row r="760">
      <c r="A760" s="304"/>
      <c r="B760" s="282"/>
      <c r="C760" s="298"/>
      <c r="D760" s="282"/>
      <c r="E760" s="282"/>
      <c r="F760" s="282"/>
      <c r="G760" s="282"/>
      <c r="H760" s="282"/>
      <c r="I760" s="282"/>
      <c r="J760" s="282"/>
      <c r="K760" s="282"/>
      <c r="L760" s="282"/>
      <c r="M760" s="282"/>
      <c r="N760" s="282"/>
      <c r="O760" s="282"/>
      <c r="P760" s="282"/>
      <c r="Q760" s="282"/>
      <c r="R760" s="282"/>
      <c r="S760" s="282"/>
      <c r="T760" s="282"/>
      <c r="U760" s="282"/>
      <c r="V760" s="298"/>
      <c r="W760" s="298"/>
      <c r="X760" s="298"/>
      <c r="Y760" s="298"/>
      <c r="Z760" s="298"/>
      <c r="AA760" s="298"/>
      <c r="AB760" s="298"/>
      <c r="AC760" s="298"/>
      <c r="AD760" s="298"/>
      <c r="AE760" s="298"/>
      <c r="AF760" s="298"/>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row>
    <row r="761">
      <c r="A761" s="304"/>
      <c r="B761" s="282"/>
      <c r="C761" s="298"/>
      <c r="D761" s="282"/>
      <c r="E761" s="282"/>
      <c r="F761" s="282"/>
      <c r="G761" s="282"/>
      <c r="H761" s="282"/>
      <c r="I761" s="282"/>
      <c r="J761" s="282"/>
      <c r="K761" s="282"/>
      <c r="L761" s="282"/>
      <c r="M761" s="282"/>
      <c r="N761" s="282"/>
      <c r="O761" s="282"/>
      <c r="P761" s="282"/>
      <c r="Q761" s="282"/>
      <c r="R761" s="282"/>
      <c r="S761" s="282"/>
      <c r="T761" s="282"/>
      <c r="U761" s="282"/>
      <c r="V761" s="298"/>
      <c r="W761" s="298"/>
      <c r="X761" s="298"/>
      <c r="Y761" s="298"/>
      <c r="Z761" s="298"/>
      <c r="AA761" s="298"/>
      <c r="AB761" s="298"/>
      <c r="AC761" s="298"/>
      <c r="AD761" s="298"/>
      <c r="AE761" s="298"/>
      <c r="AF761" s="298"/>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row>
    <row r="762">
      <c r="A762" s="304"/>
      <c r="B762" s="282"/>
      <c r="C762" s="298"/>
      <c r="D762" s="282"/>
      <c r="E762" s="282"/>
      <c r="F762" s="282"/>
      <c r="G762" s="282"/>
      <c r="H762" s="282"/>
      <c r="I762" s="282"/>
      <c r="J762" s="282"/>
      <c r="K762" s="282"/>
      <c r="L762" s="282"/>
      <c r="M762" s="282"/>
      <c r="N762" s="282"/>
      <c r="O762" s="282"/>
      <c r="P762" s="282"/>
      <c r="Q762" s="282"/>
      <c r="R762" s="282"/>
      <c r="S762" s="282"/>
      <c r="T762" s="282"/>
      <c r="U762" s="282"/>
      <c r="V762" s="298"/>
      <c r="W762" s="298"/>
      <c r="X762" s="298"/>
      <c r="Y762" s="298"/>
      <c r="Z762" s="298"/>
      <c r="AA762" s="298"/>
      <c r="AB762" s="298"/>
      <c r="AC762" s="298"/>
      <c r="AD762" s="298"/>
      <c r="AE762" s="298"/>
      <c r="AF762" s="298"/>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row>
    <row r="763">
      <c r="A763" s="304"/>
      <c r="B763" s="282"/>
      <c r="C763" s="298"/>
      <c r="D763" s="282"/>
      <c r="E763" s="282"/>
      <c r="F763" s="282"/>
      <c r="G763" s="282"/>
      <c r="H763" s="282"/>
      <c r="I763" s="282"/>
      <c r="J763" s="282"/>
      <c r="K763" s="282"/>
      <c r="L763" s="282"/>
      <c r="M763" s="282"/>
      <c r="N763" s="282"/>
      <c r="O763" s="282"/>
      <c r="P763" s="282"/>
      <c r="Q763" s="282"/>
      <c r="R763" s="282"/>
      <c r="S763" s="282"/>
      <c r="T763" s="282"/>
      <c r="U763" s="282"/>
      <c r="V763" s="298"/>
      <c r="W763" s="298"/>
      <c r="X763" s="298"/>
      <c r="Y763" s="298"/>
      <c r="Z763" s="298"/>
      <c r="AA763" s="298"/>
      <c r="AB763" s="298"/>
      <c r="AC763" s="298"/>
      <c r="AD763" s="298"/>
      <c r="AE763" s="298"/>
      <c r="AF763" s="298"/>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row>
    <row r="764">
      <c r="A764" s="304"/>
      <c r="B764" s="282"/>
      <c r="C764" s="298"/>
      <c r="D764" s="282"/>
      <c r="E764" s="282"/>
      <c r="F764" s="282"/>
      <c r="G764" s="282"/>
      <c r="H764" s="282"/>
      <c r="I764" s="282"/>
      <c r="J764" s="282"/>
      <c r="K764" s="282"/>
      <c r="L764" s="282"/>
      <c r="M764" s="282"/>
      <c r="N764" s="282"/>
      <c r="O764" s="282"/>
      <c r="P764" s="282"/>
      <c r="Q764" s="282"/>
      <c r="R764" s="282"/>
      <c r="S764" s="282"/>
      <c r="T764" s="282"/>
      <c r="U764" s="282"/>
      <c r="V764" s="298"/>
      <c r="W764" s="298"/>
      <c r="X764" s="298"/>
      <c r="Y764" s="298"/>
      <c r="Z764" s="298"/>
      <c r="AA764" s="298"/>
      <c r="AB764" s="298"/>
      <c r="AC764" s="298"/>
      <c r="AD764" s="298"/>
      <c r="AE764" s="298"/>
      <c r="AF764" s="298"/>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row>
    <row r="765">
      <c r="A765" s="304"/>
      <c r="B765" s="282"/>
      <c r="C765" s="298"/>
      <c r="D765" s="282"/>
      <c r="E765" s="282"/>
      <c r="F765" s="282"/>
      <c r="G765" s="282"/>
      <c r="H765" s="282"/>
      <c r="I765" s="282"/>
      <c r="J765" s="282"/>
      <c r="K765" s="282"/>
      <c r="L765" s="282"/>
      <c r="M765" s="282"/>
      <c r="N765" s="282"/>
      <c r="O765" s="282"/>
      <c r="P765" s="282"/>
      <c r="Q765" s="282"/>
      <c r="R765" s="282"/>
      <c r="S765" s="282"/>
      <c r="T765" s="282"/>
      <c r="U765" s="282"/>
      <c r="V765" s="298"/>
      <c r="W765" s="298"/>
      <c r="X765" s="298"/>
      <c r="Y765" s="298"/>
      <c r="Z765" s="298"/>
      <c r="AA765" s="298"/>
      <c r="AB765" s="298"/>
      <c r="AC765" s="298"/>
      <c r="AD765" s="298"/>
      <c r="AE765" s="298"/>
      <c r="AF765" s="298"/>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row>
    <row r="766">
      <c r="A766" s="304"/>
      <c r="B766" s="282"/>
      <c r="C766" s="298"/>
      <c r="D766" s="282"/>
      <c r="E766" s="282"/>
      <c r="F766" s="282"/>
      <c r="G766" s="282"/>
      <c r="H766" s="282"/>
      <c r="I766" s="282"/>
      <c r="J766" s="282"/>
      <c r="K766" s="282"/>
      <c r="L766" s="282"/>
      <c r="M766" s="282"/>
      <c r="N766" s="282"/>
      <c r="O766" s="282"/>
      <c r="P766" s="282"/>
      <c r="Q766" s="282"/>
      <c r="R766" s="282"/>
      <c r="S766" s="282"/>
      <c r="T766" s="282"/>
      <c r="U766" s="282"/>
      <c r="V766" s="298"/>
      <c r="W766" s="298"/>
      <c r="X766" s="298"/>
      <c r="Y766" s="298"/>
      <c r="Z766" s="298"/>
      <c r="AA766" s="298"/>
      <c r="AB766" s="298"/>
      <c r="AC766" s="298"/>
      <c r="AD766" s="298"/>
      <c r="AE766" s="298"/>
      <c r="AF766" s="298"/>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row>
    <row r="767">
      <c r="A767" s="304"/>
      <c r="B767" s="282"/>
      <c r="C767" s="298"/>
      <c r="D767" s="282"/>
      <c r="E767" s="282"/>
      <c r="F767" s="282"/>
      <c r="G767" s="282"/>
      <c r="H767" s="282"/>
      <c r="I767" s="282"/>
      <c r="J767" s="282"/>
      <c r="K767" s="282"/>
      <c r="L767" s="282"/>
      <c r="M767" s="282"/>
      <c r="N767" s="282"/>
      <c r="O767" s="282"/>
      <c r="P767" s="282"/>
      <c r="Q767" s="282"/>
      <c r="R767" s="282"/>
      <c r="S767" s="282"/>
      <c r="T767" s="282"/>
      <c r="U767" s="282"/>
      <c r="V767" s="298"/>
      <c r="W767" s="298"/>
      <c r="X767" s="298"/>
      <c r="Y767" s="298"/>
      <c r="Z767" s="298"/>
      <c r="AA767" s="298"/>
      <c r="AB767" s="298"/>
      <c r="AC767" s="298"/>
      <c r="AD767" s="298"/>
      <c r="AE767" s="298"/>
      <c r="AF767" s="298"/>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row>
    <row r="768">
      <c r="A768" s="304"/>
      <c r="B768" s="282"/>
      <c r="C768" s="298"/>
      <c r="D768" s="282"/>
      <c r="E768" s="282"/>
      <c r="F768" s="282"/>
      <c r="G768" s="282"/>
      <c r="H768" s="282"/>
      <c r="I768" s="282"/>
      <c r="J768" s="282"/>
      <c r="K768" s="282"/>
      <c r="L768" s="282"/>
      <c r="M768" s="282"/>
      <c r="N768" s="282"/>
      <c r="O768" s="282"/>
      <c r="P768" s="282"/>
      <c r="Q768" s="282"/>
      <c r="R768" s="282"/>
      <c r="S768" s="282"/>
      <c r="T768" s="282"/>
      <c r="U768" s="282"/>
      <c r="V768" s="298"/>
      <c r="W768" s="298"/>
      <c r="X768" s="298"/>
      <c r="Y768" s="298"/>
      <c r="Z768" s="298"/>
      <c r="AA768" s="298"/>
      <c r="AB768" s="298"/>
      <c r="AC768" s="298"/>
      <c r="AD768" s="298"/>
      <c r="AE768" s="298"/>
      <c r="AF768" s="298"/>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row>
    <row r="769">
      <c r="A769" s="304"/>
      <c r="B769" s="282"/>
      <c r="C769" s="298"/>
      <c r="D769" s="282"/>
      <c r="E769" s="282"/>
      <c r="F769" s="282"/>
      <c r="G769" s="282"/>
      <c r="H769" s="282"/>
      <c r="I769" s="282"/>
      <c r="J769" s="282"/>
      <c r="K769" s="282"/>
      <c r="L769" s="282"/>
      <c r="M769" s="282"/>
      <c r="N769" s="282"/>
      <c r="O769" s="282"/>
      <c r="P769" s="282"/>
      <c r="Q769" s="282"/>
      <c r="R769" s="282"/>
      <c r="S769" s="282"/>
      <c r="T769" s="282"/>
      <c r="U769" s="282"/>
      <c r="V769" s="298"/>
      <c r="W769" s="298"/>
      <c r="X769" s="298"/>
      <c r="Y769" s="298"/>
      <c r="Z769" s="298"/>
      <c r="AA769" s="298"/>
      <c r="AB769" s="298"/>
      <c r="AC769" s="298"/>
      <c r="AD769" s="298"/>
      <c r="AE769" s="298"/>
      <c r="AF769" s="298"/>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row>
    <row r="770">
      <c r="A770" s="304"/>
      <c r="B770" s="282"/>
      <c r="C770" s="298"/>
      <c r="D770" s="282"/>
      <c r="E770" s="282"/>
      <c r="F770" s="282"/>
      <c r="G770" s="282"/>
      <c r="H770" s="282"/>
      <c r="I770" s="282"/>
      <c r="J770" s="282"/>
      <c r="K770" s="282"/>
      <c r="L770" s="282"/>
      <c r="M770" s="282"/>
      <c r="N770" s="282"/>
      <c r="O770" s="282"/>
      <c r="P770" s="282"/>
      <c r="Q770" s="282"/>
      <c r="R770" s="282"/>
      <c r="S770" s="282"/>
      <c r="T770" s="282"/>
      <c r="U770" s="282"/>
      <c r="V770" s="298"/>
      <c r="W770" s="298"/>
      <c r="X770" s="298"/>
      <c r="Y770" s="298"/>
      <c r="Z770" s="298"/>
      <c r="AA770" s="298"/>
      <c r="AB770" s="298"/>
      <c r="AC770" s="298"/>
      <c r="AD770" s="298"/>
      <c r="AE770" s="298"/>
      <c r="AF770" s="298"/>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row>
    <row r="771">
      <c r="A771" s="304"/>
      <c r="B771" s="282"/>
      <c r="C771" s="298"/>
      <c r="D771" s="282"/>
      <c r="E771" s="282"/>
      <c r="F771" s="282"/>
      <c r="G771" s="282"/>
      <c r="H771" s="282"/>
      <c r="I771" s="282"/>
      <c r="J771" s="282"/>
      <c r="K771" s="282"/>
      <c r="L771" s="282"/>
      <c r="M771" s="282"/>
      <c r="N771" s="282"/>
      <c r="O771" s="282"/>
      <c r="P771" s="282"/>
      <c r="Q771" s="282"/>
      <c r="R771" s="282"/>
      <c r="S771" s="282"/>
      <c r="T771" s="282"/>
      <c r="U771" s="282"/>
      <c r="V771" s="298"/>
      <c r="W771" s="298"/>
      <c r="X771" s="298"/>
      <c r="Y771" s="298"/>
      <c r="Z771" s="298"/>
      <c r="AA771" s="298"/>
      <c r="AB771" s="298"/>
      <c r="AC771" s="298"/>
      <c r="AD771" s="298"/>
      <c r="AE771" s="298"/>
      <c r="AF771" s="298"/>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row>
    <row r="772">
      <c r="A772" s="304"/>
      <c r="B772" s="282"/>
      <c r="C772" s="298"/>
      <c r="D772" s="282"/>
      <c r="E772" s="282"/>
      <c r="F772" s="282"/>
      <c r="G772" s="282"/>
      <c r="H772" s="282"/>
      <c r="I772" s="282"/>
      <c r="J772" s="282"/>
      <c r="K772" s="282"/>
      <c r="L772" s="282"/>
      <c r="M772" s="282"/>
      <c r="N772" s="282"/>
      <c r="O772" s="282"/>
      <c r="P772" s="282"/>
      <c r="Q772" s="282"/>
      <c r="R772" s="282"/>
      <c r="S772" s="282"/>
      <c r="T772" s="282"/>
      <c r="U772" s="282"/>
      <c r="V772" s="298"/>
      <c r="W772" s="298"/>
      <c r="X772" s="298"/>
      <c r="Y772" s="298"/>
      <c r="Z772" s="298"/>
      <c r="AA772" s="298"/>
      <c r="AB772" s="298"/>
      <c r="AC772" s="298"/>
      <c r="AD772" s="298"/>
      <c r="AE772" s="298"/>
      <c r="AF772" s="298"/>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row>
    <row r="773">
      <c r="A773" s="304"/>
      <c r="B773" s="282"/>
      <c r="C773" s="298"/>
      <c r="D773" s="282"/>
      <c r="E773" s="282"/>
      <c r="F773" s="282"/>
      <c r="G773" s="282"/>
      <c r="H773" s="282"/>
      <c r="I773" s="282"/>
      <c r="J773" s="282"/>
      <c r="K773" s="282"/>
      <c r="L773" s="282"/>
      <c r="M773" s="282"/>
      <c r="N773" s="282"/>
      <c r="O773" s="282"/>
      <c r="P773" s="282"/>
      <c r="Q773" s="282"/>
      <c r="R773" s="282"/>
      <c r="S773" s="282"/>
      <c r="T773" s="282"/>
      <c r="U773" s="282"/>
      <c r="V773" s="298"/>
      <c r="W773" s="298"/>
      <c r="X773" s="298"/>
      <c r="Y773" s="298"/>
      <c r="Z773" s="298"/>
      <c r="AA773" s="298"/>
      <c r="AB773" s="298"/>
      <c r="AC773" s="298"/>
      <c r="AD773" s="298"/>
      <c r="AE773" s="298"/>
      <c r="AF773" s="298"/>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row>
    <row r="774">
      <c r="A774" s="304"/>
      <c r="B774" s="282"/>
      <c r="C774" s="298"/>
      <c r="D774" s="282"/>
      <c r="E774" s="282"/>
      <c r="F774" s="282"/>
      <c r="G774" s="282"/>
      <c r="H774" s="282"/>
      <c r="I774" s="282"/>
      <c r="J774" s="282"/>
      <c r="K774" s="282"/>
      <c r="L774" s="282"/>
      <c r="M774" s="282"/>
      <c r="N774" s="282"/>
      <c r="O774" s="282"/>
      <c r="P774" s="282"/>
      <c r="Q774" s="282"/>
      <c r="R774" s="282"/>
      <c r="S774" s="282"/>
      <c r="T774" s="282"/>
      <c r="U774" s="282"/>
      <c r="V774" s="298"/>
      <c r="W774" s="298"/>
      <c r="X774" s="298"/>
      <c r="Y774" s="298"/>
      <c r="Z774" s="298"/>
      <c r="AA774" s="298"/>
      <c r="AB774" s="298"/>
      <c r="AC774" s="298"/>
      <c r="AD774" s="298"/>
      <c r="AE774" s="298"/>
      <c r="AF774" s="298"/>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row>
    <row r="775">
      <c r="A775" s="304"/>
      <c r="B775" s="282"/>
      <c r="C775" s="298"/>
      <c r="D775" s="282"/>
      <c r="E775" s="282"/>
      <c r="F775" s="282"/>
      <c r="G775" s="282"/>
      <c r="H775" s="282"/>
      <c r="I775" s="282"/>
      <c r="J775" s="282"/>
      <c r="K775" s="282"/>
      <c r="L775" s="282"/>
      <c r="M775" s="282"/>
      <c r="N775" s="282"/>
      <c r="O775" s="282"/>
      <c r="P775" s="282"/>
      <c r="Q775" s="282"/>
      <c r="R775" s="282"/>
      <c r="S775" s="282"/>
      <c r="T775" s="282"/>
      <c r="U775" s="282"/>
      <c r="V775" s="298"/>
      <c r="W775" s="298"/>
      <c r="X775" s="298"/>
      <c r="Y775" s="298"/>
      <c r="Z775" s="298"/>
      <c r="AA775" s="298"/>
      <c r="AB775" s="298"/>
      <c r="AC775" s="298"/>
      <c r="AD775" s="298"/>
      <c r="AE775" s="298"/>
      <c r="AF775" s="298"/>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row>
    <row r="776">
      <c r="A776" s="304"/>
      <c r="B776" s="282"/>
      <c r="C776" s="298"/>
      <c r="D776" s="282"/>
      <c r="E776" s="282"/>
      <c r="F776" s="282"/>
      <c r="G776" s="282"/>
      <c r="H776" s="282"/>
      <c r="I776" s="282"/>
      <c r="J776" s="282"/>
      <c r="K776" s="282"/>
      <c r="L776" s="282"/>
      <c r="M776" s="282"/>
      <c r="N776" s="282"/>
      <c r="O776" s="282"/>
      <c r="P776" s="282"/>
      <c r="Q776" s="282"/>
      <c r="R776" s="282"/>
      <c r="S776" s="282"/>
      <c r="T776" s="282"/>
      <c r="U776" s="282"/>
      <c r="V776" s="298"/>
      <c r="W776" s="298"/>
      <c r="X776" s="298"/>
      <c r="Y776" s="298"/>
      <c r="Z776" s="298"/>
      <c r="AA776" s="298"/>
      <c r="AB776" s="298"/>
      <c r="AC776" s="298"/>
      <c r="AD776" s="298"/>
      <c r="AE776" s="298"/>
      <c r="AF776" s="298"/>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row>
    <row r="777">
      <c r="A777" s="304"/>
      <c r="B777" s="282"/>
      <c r="C777" s="298"/>
      <c r="D777" s="282"/>
      <c r="E777" s="282"/>
      <c r="F777" s="282"/>
      <c r="G777" s="282"/>
      <c r="H777" s="282"/>
      <c r="I777" s="282"/>
      <c r="J777" s="282"/>
      <c r="K777" s="282"/>
      <c r="L777" s="282"/>
      <c r="M777" s="282"/>
      <c r="N777" s="282"/>
      <c r="O777" s="282"/>
      <c r="P777" s="282"/>
      <c r="Q777" s="282"/>
      <c r="R777" s="282"/>
      <c r="S777" s="282"/>
      <c r="T777" s="282"/>
      <c r="U777" s="282"/>
      <c r="V777" s="298"/>
      <c r="W777" s="298"/>
      <c r="X777" s="298"/>
      <c r="Y777" s="298"/>
      <c r="Z777" s="298"/>
      <c r="AA777" s="298"/>
      <c r="AB777" s="298"/>
      <c r="AC777" s="298"/>
      <c r="AD777" s="298"/>
      <c r="AE777" s="298"/>
      <c r="AF777" s="298"/>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row>
    <row r="778">
      <c r="A778" s="304"/>
      <c r="B778" s="282"/>
      <c r="C778" s="298"/>
      <c r="D778" s="282"/>
      <c r="E778" s="282"/>
      <c r="F778" s="282"/>
      <c r="G778" s="282"/>
      <c r="H778" s="282"/>
      <c r="I778" s="282"/>
      <c r="J778" s="282"/>
      <c r="K778" s="282"/>
      <c r="L778" s="282"/>
      <c r="M778" s="282"/>
      <c r="N778" s="282"/>
      <c r="O778" s="282"/>
      <c r="P778" s="282"/>
      <c r="Q778" s="282"/>
      <c r="R778" s="282"/>
      <c r="S778" s="282"/>
      <c r="T778" s="282"/>
      <c r="U778" s="282"/>
      <c r="V778" s="298"/>
      <c r="W778" s="298"/>
      <c r="X778" s="298"/>
      <c r="Y778" s="298"/>
      <c r="Z778" s="298"/>
      <c r="AA778" s="298"/>
      <c r="AB778" s="298"/>
      <c r="AC778" s="298"/>
      <c r="AD778" s="298"/>
      <c r="AE778" s="298"/>
      <c r="AF778" s="298"/>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row>
    <row r="779">
      <c r="A779" s="304"/>
      <c r="B779" s="282"/>
      <c r="C779" s="298"/>
      <c r="D779" s="282"/>
      <c r="E779" s="282"/>
      <c r="F779" s="282"/>
      <c r="G779" s="282"/>
      <c r="H779" s="282"/>
      <c r="I779" s="282"/>
      <c r="J779" s="282"/>
      <c r="K779" s="282"/>
      <c r="L779" s="282"/>
      <c r="M779" s="282"/>
      <c r="N779" s="282"/>
      <c r="O779" s="282"/>
      <c r="P779" s="282"/>
      <c r="Q779" s="282"/>
      <c r="R779" s="282"/>
      <c r="S779" s="282"/>
      <c r="T779" s="282"/>
      <c r="U779" s="282"/>
      <c r="V779" s="298"/>
      <c r="W779" s="298"/>
      <c r="X779" s="298"/>
      <c r="Y779" s="298"/>
      <c r="Z779" s="298"/>
      <c r="AA779" s="298"/>
      <c r="AB779" s="298"/>
      <c r="AC779" s="298"/>
      <c r="AD779" s="298"/>
      <c r="AE779" s="298"/>
      <c r="AF779" s="298"/>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row>
    <row r="780">
      <c r="A780" s="304"/>
      <c r="B780" s="282"/>
      <c r="C780" s="298"/>
      <c r="D780" s="282"/>
      <c r="E780" s="282"/>
      <c r="F780" s="282"/>
      <c r="G780" s="282"/>
      <c r="H780" s="282"/>
      <c r="I780" s="282"/>
      <c r="J780" s="282"/>
      <c r="K780" s="282"/>
      <c r="L780" s="282"/>
      <c r="M780" s="282"/>
      <c r="N780" s="282"/>
      <c r="O780" s="282"/>
      <c r="P780" s="282"/>
      <c r="Q780" s="282"/>
      <c r="R780" s="282"/>
      <c r="S780" s="282"/>
      <c r="T780" s="282"/>
      <c r="U780" s="282"/>
      <c r="V780" s="298"/>
      <c r="W780" s="298"/>
      <c r="X780" s="298"/>
      <c r="Y780" s="298"/>
      <c r="Z780" s="298"/>
      <c r="AA780" s="298"/>
      <c r="AB780" s="298"/>
      <c r="AC780" s="298"/>
      <c r="AD780" s="298"/>
      <c r="AE780" s="298"/>
      <c r="AF780" s="298"/>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row>
    <row r="781">
      <c r="A781" s="304"/>
      <c r="B781" s="282"/>
      <c r="C781" s="298"/>
      <c r="D781" s="282"/>
      <c r="E781" s="282"/>
      <c r="F781" s="282"/>
      <c r="G781" s="282"/>
      <c r="H781" s="282"/>
      <c r="I781" s="282"/>
      <c r="J781" s="282"/>
      <c r="K781" s="282"/>
      <c r="L781" s="282"/>
      <c r="M781" s="282"/>
      <c r="N781" s="282"/>
      <c r="O781" s="282"/>
      <c r="P781" s="282"/>
      <c r="Q781" s="282"/>
      <c r="R781" s="282"/>
      <c r="S781" s="282"/>
      <c r="T781" s="282"/>
      <c r="U781" s="282"/>
      <c r="V781" s="298"/>
      <c r="W781" s="298"/>
      <c r="X781" s="298"/>
      <c r="Y781" s="298"/>
      <c r="Z781" s="298"/>
      <c r="AA781" s="298"/>
      <c r="AB781" s="298"/>
      <c r="AC781" s="298"/>
      <c r="AD781" s="298"/>
      <c r="AE781" s="298"/>
      <c r="AF781" s="298"/>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row>
    <row r="782">
      <c r="A782" s="304"/>
      <c r="B782" s="282"/>
      <c r="C782" s="298"/>
      <c r="D782" s="282"/>
      <c r="E782" s="282"/>
      <c r="F782" s="282"/>
      <c r="G782" s="282"/>
      <c r="H782" s="282"/>
      <c r="I782" s="282"/>
      <c r="J782" s="282"/>
      <c r="K782" s="282"/>
      <c r="L782" s="282"/>
      <c r="M782" s="282"/>
      <c r="N782" s="282"/>
      <c r="O782" s="282"/>
      <c r="P782" s="282"/>
      <c r="Q782" s="282"/>
      <c r="R782" s="282"/>
      <c r="S782" s="282"/>
      <c r="T782" s="282"/>
      <c r="U782" s="282"/>
      <c r="V782" s="298"/>
      <c r="W782" s="298"/>
      <c r="X782" s="298"/>
      <c r="Y782" s="298"/>
      <c r="Z782" s="298"/>
      <c r="AA782" s="298"/>
      <c r="AB782" s="298"/>
      <c r="AC782" s="298"/>
      <c r="AD782" s="298"/>
      <c r="AE782" s="298"/>
      <c r="AF782" s="298"/>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row>
    <row r="783">
      <c r="A783" s="304"/>
      <c r="B783" s="282"/>
      <c r="C783" s="298"/>
      <c r="D783" s="282"/>
      <c r="E783" s="282"/>
      <c r="F783" s="282"/>
      <c r="G783" s="282"/>
      <c r="H783" s="282"/>
      <c r="I783" s="282"/>
      <c r="J783" s="282"/>
      <c r="K783" s="282"/>
      <c r="L783" s="282"/>
      <c r="M783" s="282"/>
      <c r="N783" s="282"/>
      <c r="O783" s="282"/>
      <c r="P783" s="282"/>
      <c r="Q783" s="282"/>
      <c r="R783" s="282"/>
      <c r="S783" s="282"/>
      <c r="T783" s="282"/>
      <c r="U783" s="282"/>
      <c r="V783" s="298"/>
      <c r="W783" s="298"/>
      <c r="X783" s="298"/>
      <c r="Y783" s="298"/>
      <c r="Z783" s="298"/>
      <c r="AA783" s="298"/>
      <c r="AB783" s="298"/>
      <c r="AC783" s="298"/>
      <c r="AD783" s="298"/>
      <c r="AE783" s="298"/>
      <c r="AF783" s="298"/>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row>
    <row r="784">
      <c r="A784" s="304"/>
      <c r="B784" s="282"/>
      <c r="C784" s="298"/>
      <c r="D784" s="282"/>
      <c r="E784" s="282"/>
      <c r="F784" s="282"/>
      <c r="G784" s="282"/>
      <c r="H784" s="282"/>
      <c r="I784" s="282"/>
      <c r="J784" s="282"/>
      <c r="K784" s="282"/>
      <c r="L784" s="282"/>
      <c r="M784" s="282"/>
      <c r="N784" s="282"/>
      <c r="O784" s="282"/>
      <c r="P784" s="282"/>
      <c r="Q784" s="282"/>
      <c r="R784" s="282"/>
      <c r="S784" s="282"/>
      <c r="T784" s="282"/>
      <c r="U784" s="282"/>
      <c r="V784" s="298"/>
      <c r="W784" s="298"/>
      <c r="X784" s="298"/>
      <c r="Y784" s="298"/>
      <c r="Z784" s="298"/>
      <c r="AA784" s="298"/>
      <c r="AB784" s="298"/>
      <c r="AC784" s="298"/>
      <c r="AD784" s="298"/>
      <c r="AE784" s="298"/>
      <c r="AF784" s="298"/>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row>
    <row r="785">
      <c r="A785" s="304"/>
      <c r="B785" s="282"/>
      <c r="C785" s="298"/>
      <c r="D785" s="282"/>
      <c r="E785" s="282"/>
      <c r="F785" s="282"/>
      <c r="G785" s="282"/>
      <c r="H785" s="282"/>
      <c r="I785" s="282"/>
      <c r="J785" s="282"/>
      <c r="K785" s="282"/>
      <c r="L785" s="282"/>
      <c r="M785" s="282"/>
      <c r="N785" s="282"/>
      <c r="O785" s="282"/>
      <c r="P785" s="282"/>
      <c r="Q785" s="282"/>
      <c r="R785" s="282"/>
      <c r="S785" s="282"/>
      <c r="T785" s="282"/>
      <c r="U785" s="282"/>
      <c r="V785" s="298"/>
      <c r="W785" s="298"/>
      <c r="X785" s="298"/>
      <c r="Y785" s="298"/>
      <c r="Z785" s="298"/>
      <c r="AA785" s="298"/>
      <c r="AB785" s="298"/>
      <c r="AC785" s="298"/>
      <c r="AD785" s="298"/>
      <c r="AE785" s="298"/>
      <c r="AF785" s="298"/>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row>
    <row r="786">
      <c r="A786" s="304"/>
      <c r="B786" s="282"/>
      <c r="C786" s="298"/>
      <c r="D786" s="282"/>
      <c r="E786" s="282"/>
      <c r="F786" s="282"/>
      <c r="G786" s="282"/>
      <c r="H786" s="282"/>
      <c r="I786" s="282"/>
      <c r="J786" s="282"/>
      <c r="K786" s="282"/>
      <c r="L786" s="282"/>
      <c r="M786" s="282"/>
      <c r="N786" s="282"/>
      <c r="O786" s="282"/>
      <c r="P786" s="282"/>
      <c r="Q786" s="282"/>
      <c r="R786" s="282"/>
      <c r="S786" s="282"/>
      <c r="T786" s="282"/>
      <c r="U786" s="282"/>
      <c r="V786" s="298"/>
      <c r="W786" s="298"/>
      <c r="X786" s="298"/>
      <c r="Y786" s="298"/>
      <c r="Z786" s="298"/>
      <c r="AA786" s="298"/>
      <c r="AB786" s="298"/>
      <c r="AC786" s="298"/>
      <c r="AD786" s="298"/>
      <c r="AE786" s="298"/>
      <c r="AF786" s="298"/>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row>
    <row r="787">
      <c r="A787" s="304"/>
      <c r="B787" s="282"/>
      <c r="C787" s="298"/>
      <c r="D787" s="282"/>
      <c r="E787" s="282"/>
      <c r="F787" s="282"/>
      <c r="G787" s="282"/>
      <c r="H787" s="282"/>
      <c r="I787" s="282"/>
      <c r="J787" s="282"/>
      <c r="K787" s="282"/>
      <c r="L787" s="282"/>
      <c r="M787" s="282"/>
      <c r="N787" s="282"/>
      <c r="O787" s="282"/>
      <c r="P787" s="282"/>
      <c r="Q787" s="282"/>
      <c r="R787" s="282"/>
      <c r="S787" s="282"/>
      <c r="T787" s="282"/>
      <c r="U787" s="282"/>
      <c r="V787" s="298"/>
      <c r="W787" s="298"/>
      <c r="X787" s="298"/>
      <c r="Y787" s="298"/>
      <c r="Z787" s="298"/>
      <c r="AA787" s="298"/>
      <c r="AB787" s="298"/>
      <c r="AC787" s="298"/>
      <c r="AD787" s="298"/>
      <c r="AE787" s="298"/>
      <c r="AF787" s="298"/>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row>
    <row r="788">
      <c r="A788" s="304"/>
      <c r="B788" s="282"/>
      <c r="C788" s="298"/>
      <c r="D788" s="282"/>
      <c r="E788" s="282"/>
      <c r="F788" s="282"/>
      <c r="G788" s="282"/>
      <c r="H788" s="282"/>
      <c r="I788" s="282"/>
      <c r="J788" s="282"/>
      <c r="K788" s="282"/>
      <c r="L788" s="282"/>
      <c r="M788" s="282"/>
      <c r="N788" s="282"/>
      <c r="O788" s="282"/>
      <c r="P788" s="282"/>
      <c r="Q788" s="282"/>
      <c r="R788" s="282"/>
      <c r="S788" s="282"/>
      <c r="T788" s="282"/>
      <c r="U788" s="282"/>
      <c r="V788" s="298"/>
      <c r="W788" s="298"/>
      <c r="X788" s="298"/>
      <c r="Y788" s="298"/>
      <c r="Z788" s="298"/>
      <c r="AA788" s="298"/>
      <c r="AB788" s="298"/>
      <c r="AC788" s="298"/>
      <c r="AD788" s="298"/>
      <c r="AE788" s="298"/>
      <c r="AF788" s="298"/>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row>
    <row r="789">
      <c r="A789" s="304"/>
      <c r="B789" s="282"/>
      <c r="C789" s="298"/>
      <c r="D789" s="282"/>
      <c r="E789" s="282"/>
      <c r="F789" s="282"/>
      <c r="G789" s="282"/>
      <c r="H789" s="282"/>
      <c r="I789" s="282"/>
      <c r="J789" s="282"/>
      <c r="K789" s="282"/>
      <c r="L789" s="282"/>
      <c r="M789" s="282"/>
      <c r="N789" s="282"/>
      <c r="O789" s="282"/>
      <c r="P789" s="282"/>
      <c r="Q789" s="282"/>
      <c r="R789" s="282"/>
      <c r="S789" s="282"/>
      <c r="T789" s="282"/>
      <c r="U789" s="282"/>
      <c r="V789" s="298"/>
      <c r="W789" s="298"/>
      <c r="X789" s="298"/>
      <c r="Y789" s="298"/>
      <c r="Z789" s="298"/>
      <c r="AA789" s="298"/>
      <c r="AB789" s="298"/>
      <c r="AC789" s="298"/>
      <c r="AD789" s="298"/>
      <c r="AE789" s="298"/>
      <c r="AF789" s="298"/>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row>
    <row r="790">
      <c r="A790" s="304"/>
      <c r="B790" s="282"/>
      <c r="C790" s="298"/>
      <c r="D790" s="282"/>
      <c r="E790" s="282"/>
      <c r="F790" s="282"/>
      <c r="G790" s="282"/>
      <c r="H790" s="282"/>
      <c r="I790" s="282"/>
      <c r="J790" s="282"/>
      <c r="K790" s="282"/>
      <c r="L790" s="282"/>
      <c r="M790" s="282"/>
      <c r="N790" s="282"/>
      <c r="O790" s="282"/>
      <c r="P790" s="282"/>
      <c r="Q790" s="282"/>
      <c r="R790" s="282"/>
      <c r="S790" s="282"/>
      <c r="T790" s="282"/>
      <c r="U790" s="282"/>
      <c r="V790" s="298"/>
      <c r="W790" s="298"/>
      <c r="X790" s="298"/>
      <c r="Y790" s="298"/>
      <c r="Z790" s="298"/>
      <c r="AA790" s="298"/>
      <c r="AB790" s="298"/>
      <c r="AC790" s="298"/>
      <c r="AD790" s="298"/>
      <c r="AE790" s="298"/>
      <c r="AF790" s="298"/>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row>
    <row r="791">
      <c r="A791" s="304"/>
      <c r="B791" s="282"/>
      <c r="C791" s="298"/>
      <c r="D791" s="282"/>
      <c r="E791" s="282"/>
      <c r="F791" s="282"/>
      <c r="G791" s="282"/>
      <c r="H791" s="282"/>
      <c r="I791" s="282"/>
      <c r="J791" s="282"/>
      <c r="K791" s="282"/>
      <c r="L791" s="282"/>
      <c r="M791" s="282"/>
      <c r="N791" s="282"/>
      <c r="O791" s="282"/>
      <c r="P791" s="282"/>
      <c r="Q791" s="282"/>
      <c r="R791" s="282"/>
      <c r="S791" s="282"/>
      <c r="T791" s="282"/>
      <c r="U791" s="282"/>
      <c r="V791" s="298"/>
      <c r="W791" s="298"/>
      <c r="X791" s="298"/>
      <c r="Y791" s="298"/>
      <c r="Z791" s="298"/>
      <c r="AA791" s="298"/>
      <c r="AB791" s="298"/>
      <c r="AC791" s="298"/>
      <c r="AD791" s="298"/>
      <c r="AE791" s="298"/>
      <c r="AF791" s="298"/>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row>
    <row r="792">
      <c r="A792" s="304"/>
      <c r="B792" s="282"/>
      <c r="C792" s="298"/>
      <c r="D792" s="282"/>
      <c r="E792" s="282"/>
      <c r="F792" s="282"/>
      <c r="G792" s="282"/>
      <c r="H792" s="282"/>
      <c r="I792" s="282"/>
      <c r="J792" s="282"/>
      <c r="K792" s="282"/>
      <c r="L792" s="282"/>
      <c r="M792" s="282"/>
      <c r="N792" s="282"/>
      <c r="O792" s="282"/>
      <c r="P792" s="282"/>
      <c r="Q792" s="282"/>
      <c r="R792" s="282"/>
      <c r="S792" s="282"/>
      <c r="T792" s="282"/>
      <c r="U792" s="282"/>
      <c r="V792" s="298"/>
      <c r="W792" s="298"/>
      <c r="X792" s="298"/>
      <c r="Y792" s="298"/>
      <c r="Z792" s="298"/>
      <c r="AA792" s="298"/>
      <c r="AB792" s="298"/>
      <c r="AC792" s="298"/>
      <c r="AD792" s="298"/>
      <c r="AE792" s="298"/>
      <c r="AF792" s="298"/>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row>
    <row r="793">
      <c r="A793" s="304"/>
      <c r="B793" s="282"/>
      <c r="C793" s="298"/>
      <c r="D793" s="282"/>
      <c r="E793" s="282"/>
      <c r="F793" s="282"/>
      <c r="G793" s="282"/>
      <c r="H793" s="282"/>
      <c r="I793" s="282"/>
      <c r="J793" s="282"/>
      <c r="K793" s="282"/>
      <c r="L793" s="282"/>
      <c r="M793" s="282"/>
      <c r="N793" s="282"/>
      <c r="O793" s="282"/>
      <c r="P793" s="282"/>
      <c r="Q793" s="282"/>
      <c r="R793" s="282"/>
      <c r="S793" s="282"/>
      <c r="T793" s="282"/>
      <c r="U793" s="282"/>
      <c r="V793" s="298"/>
      <c r="W793" s="298"/>
      <c r="X793" s="298"/>
      <c r="Y793" s="298"/>
      <c r="Z793" s="298"/>
      <c r="AA793" s="298"/>
      <c r="AB793" s="298"/>
      <c r="AC793" s="298"/>
      <c r="AD793" s="298"/>
      <c r="AE793" s="298"/>
      <c r="AF793" s="298"/>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row>
    <row r="794">
      <c r="A794" s="304"/>
      <c r="B794" s="282"/>
      <c r="C794" s="298"/>
      <c r="D794" s="282"/>
      <c r="E794" s="282"/>
      <c r="F794" s="282"/>
      <c r="G794" s="282"/>
      <c r="H794" s="282"/>
      <c r="I794" s="282"/>
      <c r="J794" s="282"/>
      <c r="K794" s="282"/>
      <c r="L794" s="282"/>
      <c r="M794" s="282"/>
      <c r="N794" s="282"/>
      <c r="O794" s="282"/>
      <c r="P794" s="282"/>
      <c r="Q794" s="282"/>
      <c r="R794" s="282"/>
      <c r="S794" s="282"/>
      <c r="T794" s="282"/>
      <c r="U794" s="282"/>
      <c r="V794" s="298"/>
      <c r="W794" s="298"/>
      <c r="X794" s="298"/>
      <c r="Y794" s="298"/>
      <c r="Z794" s="298"/>
      <c r="AA794" s="298"/>
      <c r="AB794" s="298"/>
      <c r="AC794" s="298"/>
      <c r="AD794" s="298"/>
      <c r="AE794" s="298"/>
      <c r="AF794" s="298"/>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row>
    <row r="795">
      <c r="A795" s="304"/>
      <c r="B795" s="282"/>
      <c r="C795" s="298"/>
      <c r="D795" s="282"/>
      <c r="E795" s="282"/>
      <c r="F795" s="282"/>
      <c r="G795" s="282"/>
      <c r="H795" s="282"/>
      <c r="I795" s="282"/>
      <c r="J795" s="282"/>
      <c r="K795" s="282"/>
      <c r="L795" s="282"/>
      <c r="M795" s="282"/>
      <c r="N795" s="282"/>
      <c r="O795" s="282"/>
      <c r="P795" s="282"/>
      <c r="Q795" s="282"/>
      <c r="R795" s="282"/>
      <c r="S795" s="282"/>
      <c r="T795" s="282"/>
      <c r="U795" s="282"/>
      <c r="V795" s="298"/>
      <c r="W795" s="298"/>
      <c r="X795" s="298"/>
      <c r="Y795" s="298"/>
      <c r="Z795" s="298"/>
      <c r="AA795" s="298"/>
      <c r="AB795" s="298"/>
      <c r="AC795" s="298"/>
      <c r="AD795" s="298"/>
      <c r="AE795" s="298"/>
      <c r="AF795" s="298"/>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row>
    <row r="796">
      <c r="A796" s="304"/>
      <c r="B796" s="282"/>
      <c r="C796" s="298"/>
      <c r="D796" s="282"/>
      <c r="E796" s="282"/>
      <c r="F796" s="282"/>
      <c r="G796" s="282"/>
      <c r="H796" s="282"/>
      <c r="I796" s="282"/>
      <c r="J796" s="282"/>
      <c r="K796" s="282"/>
      <c r="L796" s="282"/>
      <c r="M796" s="282"/>
      <c r="N796" s="282"/>
      <c r="O796" s="282"/>
      <c r="P796" s="282"/>
      <c r="Q796" s="282"/>
      <c r="R796" s="282"/>
      <c r="S796" s="282"/>
      <c r="T796" s="282"/>
      <c r="U796" s="282"/>
      <c r="V796" s="298"/>
      <c r="W796" s="298"/>
      <c r="X796" s="298"/>
      <c r="Y796" s="298"/>
      <c r="Z796" s="298"/>
      <c r="AA796" s="298"/>
      <c r="AB796" s="298"/>
      <c r="AC796" s="298"/>
      <c r="AD796" s="298"/>
      <c r="AE796" s="298"/>
      <c r="AF796" s="298"/>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row>
    <row r="797">
      <c r="A797" s="304"/>
      <c r="B797" s="282"/>
      <c r="C797" s="298"/>
      <c r="D797" s="282"/>
      <c r="E797" s="282"/>
      <c r="F797" s="282"/>
      <c r="G797" s="282"/>
      <c r="H797" s="282"/>
      <c r="I797" s="282"/>
      <c r="J797" s="282"/>
      <c r="K797" s="282"/>
      <c r="L797" s="282"/>
      <c r="M797" s="282"/>
      <c r="N797" s="282"/>
      <c r="O797" s="282"/>
      <c r="P797" s="282"/>
      <c r="Q797" s="282"/>
      <c r="R797" s="282"/>
      <c r="S797" s="282"/>
      <c r="T797" s="282"/>
      <c r="U797" s="282"/>
      <c r="V797" s="298"/>
      <c r="W797" s="298"/>
      <c r="X797" s="298"/>
      <c r="Y797" s="298"/>
      <c r="Z797" s="298"/>
      <c r="AA797" s="298"/>
      <c r="AB797" s="298"/>
      <c r="AC797" s="298"/>
      <c r="AD797" s="298"/>
      <c r="AE797" s="298"/>
      <c r="AF797" s="298"/>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row>
    <row r="798">
      <c r="A798" s="304"/>
      <c r="B798" s="282"/>
      <c r="C798" s="298"/>
      <c r="D798" s="282"/>
      <c r="E798" s="282"/>
      <c r="F798" s="282"/>
      <c r="G798" s="282"/>
      <c r="H798" s="282"/>
      <c r="I798" s="282"/>
      <c r="J798" s="282"/>
      <c r="K798" s="282"/>
      <c r="L798" s="282"/>
      <c r="M798" s="282"/>
      <c r="N798" s="282"/>
      <c r="O798" s="282"/>
      <c r="P798" s="282"/>
      <c r="Q798" s="282"/>
      <c r="R798" s="282"/>
      <c r="S798" s="282"/>
      <c r="T798" s="282"/>
      <c r="U798" s="282"/>
      <c r="V798" s="298"/>
      <c r="W798" s="298"/>
      <c r="X798" s="298"/>
      <c r="Y798" s="298"/>
      <c r="Z798" s="298"/>
      <c r="AA798" s="298"/>
      <c r="AB798" s="298"/>
      <c r="AC798" s="298"/>
      <c r="AD798" s="298"/>
      <c r="AE798" s="298"/>
      <c r="AF798" s="298"/>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row>
    <row r="799">
      <c r="A799" s="304"/>
      <c r="B799" s="282"/>
      <c r="C799" s="298"/>
      <c r="D799" s="282"/>
      <c r="E799" s="282"/>
      <c r="F799" s="282"/>
      <c r="G799" s="282"/>
      <c r="H799" s="282"/>
      <c r="I799" s="282"/>
      <c r="J799" s="282"/>
      <c r="K799" s="282"/>
      <c r="L799" s="282"/>
      <c r="M799" s="282"/>
      <c r="N799" s="282"/>
      <c r="O799" s="282"/>
      <c r="P799" s="282"/>
      <c r="Q799" s="282"/>
      <c r="R799" s="282"/>
      <c r="S799" s="282"/>
      <c r="T799" s="282"/>
      <c r="U799" s="282"/>
      <c r="V799" s="298"/>
      <c r="W799" s="298"/>
      <c r="X799" s="298"/>
      <c r="Y799" s="298"/>
      <c r="Z799" s="298"/>
      <c r="AA799" s="298"/>
      <c r="AB799" s="298"/>
      <c r="AC799" s="298"/>
      <c r="AD799" s="298"/>
      <c r="AE799" s="298"/>
      <c r="AF799" s="298"/>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row>
    <row r="800">
      <c r="A800" s="304"/>
      <c r="B800" s="282"/>
      <c r="C800" s="298"/>
      <c r="D800" s="282"/>
      <c r="E800" s="282"/>
      <c r="F800" s="282"/>
      <c r="G800" s="282"/>
      <c r="H800" s="282"/>
      <c r="I800" s="282"/>
      <c r="J800" s="282"/>
      <c r="K800" s="282"/>
      <c r="L800" s="282"/>
      <c r="M800" s="282"/>
      <c r="N800" s="282"/>
      <c r="O800" s="282"/>
      <c r="P800" s="282"/>
      <c r="Q800" s="282"/>
      <c r="R800" s="282"/>
      <c r="S800" s="282"/>
      <c r="T800" s="282"/>
      <c r="U800" s="282"/>
      <c r="V800" s="298"/>
      <c r="W800" s="298"/>
      <c r="X800" s="298"/>
      <c r="Y800" s="298"/>
      <c r="Z800" s="298"/>
      <c r="AA800" s="298"/>
      <c r="AB800" s="298"/>
      <c r="AC800" s="298"/>
      <c r="AD800" s="298"/>
      <c r="AE800" s="298"/>
      <c r="AF800" s="298"/>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row>
    <row r="801">
      <c r="A801" s="304"/>
      <c r="B801" s="282"/>
      <c r="C801" s="298"/>
      <c r="D801" s="282"/>
      <c r="E801" s="282"/>
      <c r="F801" s="282"/>
      <c r="G801" s="282"/>
      <c r="H801" s="282"/>
      <c r="I801" s="282"/>
      <c r="J801" s="282"/>
      <c r="K801" s="282"/>
      <c r="L801" s="282"/>
      <c r="M801" s="282"/>
      <c r="N801" s="282"/>
      <c r="O801" s="282"/>
      <c r="P801" s="282"/>
      <c r="Q801" s="282"/>
      <c r="R801" s="282"/>
      <c r="S801" s="282"/>
      <c r="T801" s="282"/>
      <c r="U801" s="282"/>
      <c r="V801" s="298"/>
      <c r="W801" s="298"/>
      <c r="X801" s="298"/>
      <c r="Y801" s="298"/>
      <c r="Z801" s="298"/>
      <c r="AA801" s="298"/>
      <c r="AB801" s="298"/>
      <c r="AC801" s="298"/>
      <c r="AD801" s="298"/>
      <c r="AE801" s="298"/>
      <c r="AF801" s="298"/>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row>
    <row r="802">
      <c r="A802" s="304"/>
      <c r="B802" s="282"/>
      <c r="C802" s="298"/>
      <c r="D802" s="282"/>
      <c r="E802" s="282"/>
      <c r="F802" s="282"/>
      <c r="G802" s="282"/>
      <c r="H802" s="282"/>
      <c r="I802" s="282"/>
      <c r="J802" s="282"/>
      <c r="K802" s="282"/>
      <c r="L802" s="282"/>
      <c r="M802" s="282"/>
      <c r="N802" s="282"/>
      <c r="O802" s="282"/>
      <c r="P802" s="282"/>
      <c r="Q802" s="282"/>
      <c r="R802" s="282"/>
      <c r="S802" s="282"/>
      <c r="T802" s="282"/>
      <c r="U802" s="282"/>
      <c r="V802" s="298"/>
      <c r="W802" s="298"/>
      <c r="X802" s="298"/>
      <c r="Y802" s="298"/>
      <c r="Z802" s="298"/>
      <c r="AA802" s="298"/>
      <c r="AB802" s="298"/>
      <c r="AC802" s="298"/>
      <c r="AD802" s="298"/>
      <c r="AE802" s="298"/>
      <c r="AF802" s="298"/>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row>
    <row r="803">
      <c r="A803" s="304"/>
      <c r="B803" s="282"/>
      <c r="C803" s="298"/>
      <c r="D803" s="282"/>
      <c r="E803" s="282"/>
      <c r="F803" s="282"/>
      <c r="G803" s="282"/>
      <c r="H803" s="282"/>
      <c r="I803" s="282"/>
      <c r="J803" s="282"/>
      <c r="K803" s="282"/>
      <c r="L803" s="282"/>
      <c r="M803" s="282"/>
      <c r="N803" s="282"/>
      <c r="O803" s="282"/>
      <c r="P803" s="282"/>
      <c r="Q803" s="282"/>
      <c r="R803" s="282"/>
      <c r="S803" s="282"/>
      <c r="T803" s="282"/>
      <c r="U803" s="282"/>
      <c r="V803" s="298"/>
      <c r="W803" s="298"/>
      <c r="X803" s="298"/>
      <c r="Y803" s="298"/>
      <c r="Z803" s="298"/>
      <c r="AA803" s="298"/>
      <c r="AB803" s="298"/>
      <c r="AC803" s="298"/>
      <c r="AD803" s="298"/>
      <c r="AE803" s="298"/>
      <c r="AF803" s="298"/>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row>
    <row r="804">
      <c r="A804" s="304"/>
      <c r="B804" s="282"/>
      <c r="C804" s="298"/>
      <c r="D804" s="282"/>
      <c r="E804" s="282"/>
      <c r="F804" s="282"/>
      <c r="G804" s="282"/>
      <c r="H804" s="282"/>
      <c r="I804" s="282"/>
      <c r="J804" s="282"/>
      <c r="K804" s="282"/>
      <c r="L804" s="282"/>
      <c r="M804" s="282"/>
      <c r="N804" s="282"/>
      <c r="O804" s="282"/>
      <c r="P804" s="282"/>
      <c r="Q804" s="282"/>
      <c r="R804" s="282"/>
      <c r="S804" s="282"/>
      <c r="T804" s="282"/>
      <c r="U804" s="282"/>
      <c r="V804" s="298"/>
      <c r="W804" s="298"/>
      <c r="X804" s="298"/>
      <c r="Y804" s="298"/>
      <c r="Z804" s="298"/>
      <c r="AA804" s="298"/>
      <c r="AB804" s="298"/>
      <c r="AC804" s="298"/>
      <c r="AD804" s="298"/>
      <c r="AE804" s="298"/>
      <c r="AF804" s="298"/>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row>
    <row r="805">
      <c r="A805" s="304"/>
      <c r="B805" s="282"/>
      <c r="C805" s="298"/>
      <c r="D805" s="282"/>
      <c r="E805" s="282"/>
      <c r="F805" s="282"/>
      <c r="G805" s="282"/>
      <c r="H805" s="282"/>
      <c r="I805" s="282"/>
      <c r="J805" s="282"/>
      <c r="K805" s="282"/>
      <c r="L805" s="282"/>
      <c r="M805" s="282"/>
      <c r="N805" s="282"/>
      <c r="O805" s="282"/>
      <c r="P805" s="282"/>
      <c r="Q805" s="282"/>
      <c r="R805" s="282"/>
      <c r="S805" s="282"/>
      <c r="T805" s="282"/>
      <c r="U805" s="282"/>
      <c r="V805" s="298"/>
      <c r="W805" s="298"/>
      <c r="X805" s="298"/>
      <c r="Y805" s="298"/>
      <c r="Z805" s="298"/>
      <c r="AA805" s="298"/>
      <c r="AB805" s="298"/>
      <c r="AC805" s="298"/>
      <c r="AD805" s="298"/>
      <c r="AE805" s="298"/>
      <c r="AF805" s="298"/>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row>
    <row r="806">
      <c r="A806" s="304"/>
      <c r="B806" s="282"/>
      <c r="C806" s="298"/>
      <c r="D806" s="282"/>
      <c r="E806" s="282"/>
      <c r="F806" s="282"/>
      <c r="G806" s="282"/>
      <c r="H806" s="282"/>
      <c r="I806" s="282"/>
      <c r="J806" s="282"/>
      <c r="K806" s="282"/>
      <c r="L806" s="282"/>
      <c r="M806" s="282"/>
      <c r="N806" s="282"/>
      <c r="O806" s="282"/>
      <c r="P806" s="282"/>
      <c r="Q806" s="282"/>
      <c r="R806" s="282"/>
      <c r="S806" s="282"/>
      <c r="T806" s="282"/>
      <c r="U806" s="282"/>
      <c r="V806" s="298"/>
      <c r="W806" s="298"/>
      <c r="X806" s="298"/>
      <c r="Y806" s="298"/>
      <c r="Z806" s="298"/>
      <c r="AA806" s="298"/>
      <c r="AB806" s="298"/>
      <c r="AC806" s="298"/>
      <c r="AD806" s="298"/>
      <c r="AE806" s="298"/>
      <c r="AF806" s="298"/>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row>
    <row r="807">
      <c r="A807" s="304"/>
      <c r="B807" s="282"/>
      <c r="C807" s="298"/>
      <c r="D807" s="282"/>
      <c r="E807" s="282"/>
      <c r="F807" s="282"/>
      <c r="G807" s="282"/>
      <c r="H807" s="282"/>
      <c r="I807" s="282"/>
      <c r="J807" s="282"/>
      <c r="K807" s="282"/>
      <c r="L807" s="282"/>
      <c r="M807" s="282"/>
      <c r="N807" s="282"/>
      <c r="O807" s="282"/>
      <c r="P807" s="282"/>
      <c r="Q807" s="282"/>
      <c r="R807" s="282"/>
      <c r="S807" s="282"/>
      <c r="T807" s="282"/>
      <c r="U807" s="282"/>
      <c r="V807" s="298"/>
      <c r="W807" s="298"/>
      <c r="X807" s="298"/>
      <c r="Y807" s="298"/>
      <c r="Z807" s="298"/>
      <c r="AA807" s="298"/>
      <c r="AB807" s="298"/>
      <c r="AC807" s="298"/>
      <c r="AD807" s="298"/>
      <c r="AE807" s="298"/>
      <c r="AF807" s="298"/>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row>
    <row r="808">
      <c r="A808" s="304"/>
      <c r="B808" s="282"/>
      <c r="C808" s="298"/>
      <c r="D808" s="282"/>
      <c r="E808" s="282"/>
      <c r="F808" s="282"/>
      <c r="G808" s="282"/>
      <c r="H808" s="282"/>
      <c r="I808" s="282"/>
      <c r="J808" s="282"/>
      <c r="K808" s="282"/>
      <c r="L808" s="282"/>
      <c r="M808" s="282"/>
      <c r="N808" s="282"/>
      <c r="O808" s="282"/>
      <c r="P808" s="282"/>
      <c r="Q808" s="282"/>
      <c r="R808" s="282"/>
      <c r="S808" s="282"/>
      <c r="T808" s="282"/>
      <c r="U808" s="282"/>
      <c r="V808" s="298"/>
      <c r="W808" s="298"/>
      <c r="X808" s="298"/>
      <c r="Y808" s="298"/>
      <c r="Z808" s="298"/>
      <c r="AA808" s="298"/>
      <c r="AB808" s="298"/>
      <c r="AC808" s="298"/>
      <c r="AD808" s="298"/>
      <c r="AE808" s="298"/>
      <c r="AF808" s="298"/>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row>
    <row r="809">
      <c r="A809" s="304"/>
      <c r="B809" s="282"/>
      <c r="C809" s="298"/>
      <c r="D809" s="282"/>
      <c r="E809" s="282"/>
      <c r="F809" s="282"/>
      <c r="G809" s="282"/>
      <c r="H809" s="282"/>
      <c r="I809" s="282"/>
      <c r="J809" s="282"/>
      <c r="K809" s="282"/>
      <c r="L809" s="282"/>
      <c r="M809" s="282"/>
      <c r="N809" s="282"/>
      <c r="O809" s="282"/>
      <c r="P809" s="282"/>
      <c r="Q809" s="282"/>
      <c r="R809" s="282"/>
      <c r="S809" s="282"/>
      <c r="T809" s="282"/>
      <c r="U809" s="282"/>
      <c r="V809" s="298"/>
      <c r="W809" s="298"/>
      <c r="X809" s="298"/>
      <c r="Y809" s="298"/>
      <c r="Z809" s="298"/>
      <c r="AA809" s="298"/>
      <c r="AB809" s="298"/>
      <c r="AC809" s="298"/>
      <c r="AD809" s="298"/>
      <c r="AE809" s="298"/>
      <c r="AF809" s="298"/>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row>
    <row r="810">
      <c r="A810" s="304"/>
      <c r="B810" s="282"/>
      <c r="C810" s="298"/>
      <c r="D810" s="282"/>
      <c r="E810" s="282"/>
      <c r="F810" s="282"/>
      <c r="G810" s="282"/>
      <c r="H810" s="282"/>
      <c r="I810" s="282"/>
      <c r="J810" s="282"/>
      <c r="K810" s="282"/>
      <c r="L810" s="282"/>
      <c r="M810" s="282"/>
      <c r="N810" s="282"/>
      <c r="O810" s="282"/>
      <c r="P810" s="282"/>
      <c r="Q810" s="282"/>
      <c r="R810" s="282"/>
      <c r="S810" s="282"/>
      <c r="T810" s="282"/>
      <c r="U810" s="282"/>
      <c r="V810" s="298"/>
      <c r="W810" s="298"/>
      <c r="X810" s="298"/>
      <c r="Y810" s="298"/>
      <c r="Z810" s="298"/>
      <c r="AA810" s="298"/>
      <c r="AB810" s="298"/>
      <c r="AC810" s="298"/>
      <c r="AD810" s="298"/>
      <c r="AE810" s="298"/>
      <c r="AF810" s="298"/>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row>
    <row r="811">
      <c r="A811" s="304"/>
      <c r="B811" s="282"/>
      <c r="C811" s="298"/>
      <c r="D811" s="282"/>
      <c r="E811" s="282"/>
      <c r="F811" s="282"/>
      <c r="G811" s="282"/>
      <c r="H811" s="282"/>
      <c r="I811" s="282"/>
      <c r="J811" s="282"/>
      <c r="K811" s="282"/>
      <c r="L811" s="282"/>
      <c r="M811" s="282"/>
      <c r="N811" s="282"/>
      <c r="O811" s="282"/>
      <c r="P811" s="282"/>
      <c r="Q811" s="282"/>
      <c r="R811" s="282"/>
      <c r="S811" s="282"/>
      <c r="T811" s="282"/>
      <c r="U811" s="282"/>
      <c r="V811" s="298"/>
      <c r="W811" s="298"/>
      <c r="X811" s="298"/>
      <c r="Y811" s="298"/>
      <c r="Z811" s="298"/>
      <c r="AA811" s="298"/>
      <c r="AB811" s="298"/>
      <c r="AC811" s="298"/>
      <c r="AD811" s="298"/>
      <c r="AE811" s="298"/>
      <c r="AF811" s="298"/>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row>
    <row r="812">
      <c r="A812" s="304"/>
      <c r="B812" s="282"/>
      <c r="C812" s="298"/>
      <c r="D812" s="282"/>
      <c r="E812" s="282"/>
      <c r="F812" s="282"/>
      <c r="G812" s="282"/>
      <c r="H812" s="282"/>
      <c r="I812" s="282"/>
      <c r="J812" s="282"/>
      <c r="K812" s="282"/>
      <c r="L812" s="282"/>
      <c r="M812" s="282"/>
      <c r="N812" s="282"/>
      <c r="O812" s="282"/>
      <c r="P812" s="282"/>
      <c r="Q812" s="282"/>
      <c r="R812" s="282"/>
      <c r="S812" s="282"/>
      <c r="T812" s="282"/>
      <c r="U812" s="282"/>
      <c r="V812" s="298"/>
      <c r="W812" s="298"/>
      <c r="X812" s="298"/>
      <c r="Y812" s="298"/>
      <c r="Z812" s="298"/>
      <c r="AA812" s="298"/>
      <c r="AB812" s="298"/>
      <c r="AC812" s="298"/>
      <c r="AD812" s="298"/>
      <c r="AE812" s="298"/>
      <c r="AF812" s="298"/>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row>
    <row r="813">
      <c r="A813" s="304"/>
      <c r="B813" s="282"/>
      <c r="C813" s="298"/>
      <c r="D813" s="282"/>
      <c r="E813" s="282"/>
      <c r="F813" s="282"/>
      <c r="G813" s="282"/>
      <c r="H813" s="282"/>
      <c r="I813" s="282"/>
      <c r="J813" s="282"/>
      <c r="K813" s="282"/>
      <c r="L813" s="282"/>
      <c r="M813" s="282"/>
      <c r="N813" s="282"/>
      <c r="O813" s="282"/>
      <c r="P813" s="282"/>
      <c r="Q813" s="282"/>
      <c r="R813" s="282"/>
      <c r="S813" s="282"/>
      <c r="T813" s="282"/>
      <c r="U813" s="282"/>
      <c r="V813" s="298"/>
      <c r="W813" s="298"/>
      <c r="X813" s="298"/>
      <c r="Y813" s="298"/>
      <c r="Z813" s="298"/>
      <c r="AA813" s="298"/>
      <c r="AB813" s="298"/>
      <c r="AC813" s="298"/>
      <c r="AD813" s="298"/>
      <c r="AE813" s="298"/>
      <c r="AF813" s="298"/>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row>
    <row r="814">
      <c r="A814" s="304"/>
      <c r="B814" s="282"/>
      <c r="C814" s="298"/>
      <c r="D814" s="282"/>
      <c r="E814" s="282"/>
      <c r="F814" s="282"/>
      <c r="G814" s="282"/>
      <c r="H814" s="282"/>
      <c r="I814" s="282"/>
      <c r="J814" s="282"/>
      <c r="K814" s="282"/>
      <c r="L814" s="282"/>
      <c r="M814" s="282"/>
      <c r="N814" s="282"/>
      <c r="O814" s="282"/>
      <c r="P814" s="282"/>
      <c r="Q814" s="282"/>
      <c r="R814" s="282"/>
      <c r="S814" s="282"/>
      <c r="T814" s="282"/>
      <c r="U814" s="282"/>
      <c r="V814" s="298"/>
      <c r="W814" s="298"/>
      <c r="X814" s="298"/>
      <c r="Y814" s="298"/>
      <c r="Z814" s="298"/>
      <c r="AA814" s="298"/>
      <c r="AB814" s="298"/>
      <c r="AC814" s="298"/>
      <c r="AD814" s="298"/>
      <c r="AE814" s="298"/>
      <c r="AF814" s="298"/>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row>
    <row r="815">
      <c r="A815" s="304"/>
      <c r="B815" s="282"/>
      <c r="C815" s="298"/>
      <c r="D815" s="282"/>
      <c r="E815" s="282"/>
      <c r="F815" s="282"/>
      <c r="G815" s="282"/>
      <c r="H815" s="282"/>
      <c r="I815" s="282"/>
      <c r="J815" s="282"/>
      <c r="K815" s="282"/>
      <c r="L815" s="282"/>
      <c r="M815" s="282"/>
      <c r="N815" s="282"/>
      <c r="O815" s="282"/>
      <c r="P815" s="282"/>
      <c r="Q815" s="282"/>
      <c r="R815" s="282"/>
      <c r="S815" s="282"/>
      <c r="T815" s="282"/>
      <c r="U815" s="282"/>
      <c r="V815" s="298"/>
      <c r="W815" s="298"/>
      <c r="X815" s="298"/>
      <c r="Y815" s="298"/>
      <c r="Z815" s="298"/>
      <c r="AA815" s="298"/>
      <c r="AB815" s="298"/>
      <c r="AC815" s="298"/>
      <c r="AD815" s="298"/>
      <c r="AE815" s="298"/>
      <c r="AF815" s="298"/>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row>
    <row r="816">
      <c r="A816" s="304"/>
      <c r="B816" s="282"/>
      <c r="C816" s="298"/>
      <c r="D816" s="282"/>
      <c r="E816" s="282"/>
      <c r="F816" s="282"/>
      <c r="G816" s="282"/>
      <c r="H816" s="282"/>
      <c r="I816" s="282"/>
      <c r="J816" s="282"/>
      <c r="K816" s="282"/>
      <c r="L816" s="282"/>
      <c r="M816" s="282"/>
      <c r="N816" s="282"/>
      <c r="O816" s="282"/>
      <c r="P816" s="282"/>
      <c r="Q816" s="282"/>
      <c r="R816" s="282"/>
      <c r="S816" s="282"/>
      <c r="T816" s="282"/>
      <c r="U816" s="282"/>
      <c r="V816" s="298"/>
      <c r="W816" s="298"/>
      <c r="X816" s="298"/>
      <c r="Y816" s="298"/>
      <c r="Z816" s="298"/>
      <c r="AA816" s="298"/>
      <c r="AB816" s="298"/>
      <c r="AC816" s="298"/>
      <c r="AD816" s="298"/>
      <c r="AE816" s="298"/>
      <c r="AF816" s="298"/>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row>
    <row r="817">
      <c r="A817" s="304"/>
      <c r="B817" s="282"/>
      <c r="C817" s="298"/>
      <c r="D817" s="282"/>
      <c r="E817" s="282"/>
      <c r="F817" s="282"/>
      <c r="G817" s="282"/>
      <c r="H817" s="282"/>
      <c r="I817" s="282"/>
      <c r="J817" s="282"/>
      <c r="K817" s="282"/>
      <c r="L817" s="282"/>
      <c r="M817" s="282"/>
      <c r="N817" s="282"/>
      <c r="O817" s="282"/>
      <c r="P817" s="282"/>
      <c r="Q817" s="282"/>
      <c r="R817" s="282"/>
      <c r="S817" s="282"/>
      <c r="T817" s="282"/>
      <c r="U817" s="282"/>
      <c r="V817" s="298"/>
      <c r="W817" s="298"/>
      <c r="X817" s="298"/>
      <c r="Y817" s="298"/>
      <c r="Z817" s="298"/>
      <c r="AA817" s="298"/>
      <c r="AB817" s="298"/>
      <c r="AC817" s="298"/>
      <c r="AD817" s="298"/>
      <c r="AE817" s="298"/>
      <c r="AF817" s="298"/>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row>
    <row r="818">
      <c r="A818" s="304"/>
      <c r="B818" s="282"/>
      <c r="C818" s="298"/>
      <c r="D818" s="282"/>
      <c r="E818" s="282"/>
      <c r="F818" s="282"/>
      <c r="G818" s="282"/>
      <c r="H818" s="282"/>
      <c r="I818" s="282"/>
      <c r="J818" s="282"/>
      <c r="K818" s="282"/>
      <c r="L818" s="282"/>
      <c r="M818" s="282"/>
      <c r="N818" s="282"/>
      <c r="O818" s="282"/>
      <c r="P818" s="282"/>
      <c r="Q818" s="282"/>
      <c r="R818" s="282"/>
      <c r="S818" s="282"/>
      <c r="T818" s="282"/>
      <c r="U818" s="282"/>
      <c r="V818" s="298"/>
      <c r="W818" s="298"/>
      <c r="X818" s="298"/>
      <c r="Y818" s="298"/>
      <c r="Z818" s="298"/>
      <c r="AA818" s="298"/>
      <c r="AB818" s="298"/>
      <c r="AC818" s="298"/>
      <c r="AD818" s="298"/>
      <c r="AE818" s="298"/>
      <c r="AF818" s="298"/>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row>
    <row r="819">
      <c r="A819" s="304"/>
      <c r="B819" s="282"/>
      <c r="C819" s="298"/>
      <c r="D819" s="282"/>
      <c r="E819" s="282"/>
      <c r="F819" s="282"/>
      <c r="G819" s="282"/>
      <c r="H819" s="282"/>
      <c r="I819" s="282"/>
      <c r="J819" s="282"/>
      <c r="K819" s="282"/>
      <c r="L819" s="282"/>
      <c r="M819" s="282"/>
      <c r="N819" s="282"/>
      <c r="O819" s="282"/>
      <c r="P819" s="282"/>
      <c r="Q819" s="282"/>
      <c r="R819" s="282"/>
      <c r="S819" s="282"/>
      <c r="T819" s="282"/>
      <c r="U819" s="282"/>
      <c r="V819" s="298"/>
      <c r="W819" s="298"/>
      <c r="X819" s="298"/>
      <c r="Y819" s="298"/>
      <c r="Z819" s="298"/>
      <c r="AA819" s="298"/>
      <c r="AB819" s="298"/>
      <c r="AC819" s="298"/>
      <c r="AD819" s="298"/>
      <c r="AE819" s="298"/>
      <c r="AF819" s="298"/>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row>
    <row r="820">
      <c r="A820" s="304"/>
      <c r="B820" s="282"/>
      <c r="C820" s="298"/>
      <c r="D820" s="282"/>
      <c r="E820" s="282"/>
      <c r="F820" s="282"/>
      <c r="G820" s="282"/>
      <c r="H820" s="282"/>
      <c r="I820" s="282"/>
      <c r="J820" s="282"/>
      <c r="K820" s="282"/>
      <c r="L820" s="282"/>
      <c r="M820" s="282"/>
      <c r="N820" s="282"/>
      <c r="O820" s="282"/>
      <c r="P820" s="282"/>
      <c r="Q820" s="282"/>
      <c r="R820" s="282"/>
      <c r="S820" s="282"/>
      <c r="T820" s="282"/>
      <c r="U820" s="282"/>
      <c r="V820" s="298"/>
      <c r="W820" s="298"/>
      <c r="X820" s="298"/>
      <c r="Y820" s="298"/>
      <c r="Z820" s="298"/>
      <c r="AA820" s="298"/>
      <c r="AB820" s="298"/>
      <c r="AC820" s="298"/>
      <c r="AD820" s="298"/>
      <c r="AE820" s="298"/>
      <c r="AF820" s="298"/>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row>
    <row r="821">
      <c r="A821" s="304"/>
      <c r="B821" s="282"/>
      <c r="C821" s="298"/>
      <c r="D821" s="282"/>
      <c r="E821" s="282"/>
      <c r="F821" s="282"/>
      <c r="G821" s="282"/>
      <c r="H821" s="282"/>
      <c r="I821" s="282"/>
      <c r="J821" s="282"/>
      <c r="K821" s="282"/>
      <c r="L821" s="282"/>
      <c r="M821" s="282"/>
      <c r="N821" s="282"/>
      <c r="O821" s="282"/>
      <c r="P821" s="282"/>
      <c r="Q821" s="282"/>
      <c r="R821" s="282"/>
      <c r="S821" s="282"/>
      <c r="T821" s="282"/>
      <c r="U821" s="282"/>
      <c r="V821" s="298"/>
      <c r="W821" s="298"/>
      <c r="X821" s="298"/>
      <c r="Y821" s="298"/>
      <c r="Z821" s="298"/>
      <c r="AA821" s="298"/>
      <c r="AB821" s="298"/>
      <c r="AC821" s="298"/>
      <c r="AD821" s="298"/>
      <c r="AE821" s="298"/>
      <c r="AF821" s="298"/>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row>
    <row r="822">
      <c r="A822" s="304"/>
      <c r="B822" s="282"/>
      <c r="C822" s="298"/>
      <c r="D822" s="282"/>
      <c r="E822" s="282"/>
      <c r="F822" s="282"/>
      <c r="G822" s="282"/>
      <c r="H822" s="282"/>
      <c r="I822" s="282"/>
      <c r="J822" s="282"/>
      <c r="K822" s="282"/>
      <c r="L822" s="282"/>
      <c r="M822" s="282"/>
      <c r="N822" s="282"/>
      <c r="O822" s="282"/>
      <c r="P822" s="282"/>
      <c r="Q822" s="282"/>
      <c r="R822" s="282"/>
      <c r="S822" s="282"/>
      <c r="T822" s="282"/>
      <c r="U822" s="282"/>
      <c r="V822" s="298"/>
      <c r="W822" s="298"/>
      <c r="X822" s="298"/>
      <c r="Y822" s="298"/>
      <c r="Z822" s="298"/>
      <c r="AA822" s="298"/>
      <c r="AB822" s="298"/>
      <c r="AC822" s="298"/>
      <c r="AD822" s="298"/>
      <c r="AE822" s="298"/>
      <c r="AF822" s="298"/>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row>
    <row r="823">
      <c r="A823" s="304"/>
      <c r="B823" s="282"/>
      <c r="C823" s="298"/>
      <c r="D823" s="282"/>
      <c r="E823" s="282"/>
      <c r="F823" s="282"/>
      <c r="G823" s="282"/>
      <c r="H823" s="282"/>
      <c r="I823" s="282"/>
      <c r="J823" s="282"/>
      <c r="K823" s="282"/>
      <c r="L823" s="282"/>
      <c r="M823" s="282"/>
      <c r="N823" s="282"/>
      <c r="O823" s="282"/>
      <c r="P823" s="282"/>
      <c r="Q823" s="282"/>
      <c r="R823" s="282"/>
      <c r="S823" s="282"/>
      <c r="T823" s="282"/>
      <c r="U823" s="282"/>
      <c r="V823" s="298"/>
      <c r="W823" s="298"/>
      <c r="X823" s="298"/>
      <c r="Y823" s="298"/>
      <c r="Z823" s="298"/>
      <c r="AA823" s="298"/>
      <c r="AB823" s="298"/>
      <c r="AC823" s="298"/>
      <c r="AD823" s="298"/>
      <c r="AE823" s="298"/>
      <c r="AF823" s="298"/>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row>
    <row r="824">
      <c r="A824" s="304"/>
      <c r="B824" s="282"/>
      <c r="C824" s="298"/>
      <c r="D824" s="282"/>
      <c r="E824" s="282"/>
      <c r="F824" s="282"/>
      <c r="G824" s="282"/>
      <c r="H824" s="282"/>
      <c r="I824" s="282"/>
      <c r="J824" s="282"/>
      <c r="K824" s="282"/>
      <c r="L824" s="282"/>
      <c r="M824" s="282"/>
      <c r="N824" s="282"/>
      <c r="O824" s="282"/>
      <c r="P824" s="282"/>
      <c r="Q824" s="282"/>
      <c r="R824" s="282"/>
      <c r="S824" s="282"/>
      <c r="T824" s="282"/>
      <c r="U824" s="282"/>
      <c r="V824" s="298"/>
      <c r="W824" s="298"/>
      <c r="X824" s="298"/>
      <c r="Y824" s="298"/>
      <c r="Z824" s="298"/>
      <c r="AA824" s="298"/>
      <c r="AB824" s="298"/>
      <c r="AC824" s="298"/>
      <c r="AD824" s="298"/>
      <c r="AE824" s="298"/>
      <c r="AF824" s="298"/>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row>
    <row r="825">
      <c r="A825" s="304"/>
      <c r="B825" s="282"/>
      <c r="C825" s="298"/>
      <c r="D825" s="282"/>
      <c r="E825" s="282"/>
      <c r="F825" s="282"/>
      <c r="G825" s="282"/>
      <c r="H825" s="282"/>
      <c r="I825" s="282"/>
      <c r="J825" s="282"/>
      <c r="K825" s="282"/>
      <c r="L825" s="282"/>
      <c r="M825" s="282"/>
      <c r="N825" s="282"/>
      <c r="O825" s="282"/>
      <c r="P825" s="282"/>
      <c r="Q825" s="282"/>
      <c r="R825" s="282"/>
      <c r="S825" s="282"/>
      <c r="T825" s="282"/>
      <c r="U825" s="282"/>
      <c r="V825" s="298"/>
      <c r="W825" s="298"/>
      <c r="X825" s="298"/>
      <c r="Y825" s="298"/>
      <c r="Z825" s="298"/>
      <c r="AA825" s="298"/>
      <c r="AB825" s="298"/>
      <c r="AC825" s="298"/>
      <c r="AD825" s="298"/>
      <c r="AE825" s="298"/>
      <c r="AF825" s="298"/>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row>
    <row r="826">
      <c r="A826" s="304"/>
      <c r="B826" s="282"/>
      <c r="C826" s="298"/>
      <c r="D826" s="282"/>
      <c r="E826" s="282"/>
      <c r="F826" s="282"/>
      <c r="G826" s="282"/>
      <c r="H826" s="282"/>
      <c r="I826" s="282"/>
      <c r="J826" s="282"/>
      <c r="K826" s="282"/>
      <c r="L826" s="282"/>
      <c r="M826" s="282"/>
      <c r="N826" s="282"/>
      <c r="O826" s="282"/>
      <c r="P826" s="282"/>
      <c r="Q826" s="282"/>
      <c r="R826" s="282"/>
      <c r="S826" s="282"/>
      <c r="T826" s="282"/>
      <c r="U826" s="282"/>
      <c r="V826" s="298"/>
      <c r="W826" s="298"/>
      <c r="X826" s="298"/>
      <c r="Y826" s="298"/>
      <c r="Z826" s="298"/>
      <c r="AA826" s="298"/>
      <c r="AB826" s="298"/>
      <c r="AC826" s="298"/>
      <c r="AD826" s="298"/>
      <c r="AE826" s="298"/>
      <c r="AF826" s="298"/>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row>
    <row r="827">
      <c r="A827" s="304"/>
      <c r="B827" s="282"/>
      <c r="C827" s="298"/>
      <c r="D827" s="282"/>
      <c r="E827" s="282"/>
      <c r="F827" s="282"/>
      <c r="G827" s="282"/>
      <c r="H827" s="282"/>
      <c r="I827" s="282"/>
      <c r="J827" s="282"/>
      <c r="K827" s="282"/>
      <c r="L827" s="282"/>
      <c r="M827" s="282"/>
      <c r="N827" s="282"/>
      <c r="O827" s="282"/>
      <c r="P827" s="282"/>
      <c r="Q827" s="282"/>
      <c r="R827" s="282"/>
      <c r="S827" s="282"/>
      <c r="T827" s="282"/>
      <c r="U827" s="282"/>
      <c r="V827" s="298"/>
      <c r="W827" s="298"/>
      <c r="X827" s="298"/>
      <c r="Y827" s="298"/>
      <c r="Z827" s="298"/>
      <c r="AA827" s="298"/>
      <c r="AB827" s="298"/>
      <c r="AC827" s="298"/>
      <c r="AD827" s="298"/>
      <c r="AE827" s="298"/>
      <c r="AF827" s="298"/>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row>
    <row r="828">
      <c r="A828" s="304"/>
      <c r="B828" s="282"/>
      <c r="C828" s="298"/>
      <c r="D828" s="282"/>
      <c r="E828" s="282"/>
      <c r="F828" s="282"/>
      <c r="G828" s="282"/>
      <c r="H828" s="282"/>
      <c r="I828" s="282"/>
      <c r="J828" s="282"/>
      <c r="K828" s="282"/>
      <c r="L828" s="282"/>
      <c r="M828" s="282"/>
      <c r="N828" s="282"/>
      <c r="O828" s="282"/>
      <c r="P828" s="282"/>
      <c r="Q828" s="282"/>
      <c r="R828" s="282"/>
      <c r="S828" s="282"/>
      <c r="T828" s="282"/>
      <c r="U828" s="282"/>
      <c r="V828" s="298"/>
      <c r="W828" s="298"/>
      <c r="X828" s="298"/>
      <c r="Y828" s="298"/>
      <c r="Z828" s="298"/>
      <c r="AA828" s="298"/>
      <c r="AB828" s="298"/>
      <c r="AC828" s="298"/>
      <c r="AD828" s="298"/>
      <c r="AE828" s="298"/>
      <c r="AF828" s="298"/>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row>
    <row r="829">
      <c r="A829" s="304"/>
      <c r="B829" s="282"/>
      <c r="C829" s="298"/>
      <c r="D829" s="282"/>
      <c r="E829" s="282"/>
      <c r="F829" s="282"/>
      <c r="G829" s="282"/>
      <c r="H829" s="282"/>
      <c r="I829" s="282"/>
      <c r="J829" s="282"/>
      <c r="K829" s="282"/>
      <c r="L829" s="282"/>
      <c r="M829" s="282"/>
      <c r="N829" s="282"/>
      <c r="O829" s="282"/>
      <c r="P829" s="282"/>
      <c r="Q829" s="282"/>
      <c r="R829" s="282"/>
      <c r="S829" s="282"/>
      <c r="T829" s="282"/>
      <c r="U829" s="282"/>
      <c r="V829" s="298"/>
      <c r="W829" s="298"/>
      <c r="X829" s="298"/>
      <c r="Y829" s="298"/>
      <c r="Z829" s="298"/>
      <c r="AA829" s="298"/>
      <c r="AB829" s="298"/>
      <c r="AC829" s="298"/>
      <c r="AD829" s="298"/>
      <c r="AE829" s="298"/>
      <c r="AF829" s="298"/>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row>
    <row r="830">
      <c r="A830" s="304"/>
      <c r="B830" s="282"/>
      <c r="C830" s="298"/>
      <c r="D830" s="282"/>
      <c r="E830" s="282"/>
      <c r="F830" s="282"/>
      <c r="G830" s="282"/>
      <c r="H830" s="282"/>
      <c r="I830" s="282"/>
      <c r="J830" s="282"/>
      <c r="K830" s="282"/>
      <c r="L830" s="282"/>
      <c r="M830" s="282"/>
      <c r="N830" s="282"/>
      <c r="O830" s="282"/>
      <c r="P830" s="282"/>
      <c r="Q830" s="282"/>
      <c r="R830" s="282"/>
      <c r="S830" s="282"/>
      <c r="T830" s="282"/>
      <c r="U830" s="282"/>
      <c r="V830" s="298"/>
      <c r="W830" s="298"/>
      <c r="X830" s="298"/>
      <c r="Y830" s="298"/>
      <c r="Z830" s="298"/>
      <c r="AA830" s="298"/>
      <c r="AB830" s="298"/>
      <c r="AC830" s="298"/>
      <c r="AD830" s="298"/>
      <c r="AE830" s="298"/>
      <c r="AF830" s="298"/>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row>
    <row r="831">
      <c r="A831" s="304"/>
      <c r="B831" s="282"/>
      <c r="C831" s="298"/>
      <c r="D831" s="282"/>
      <c r="E831" s="282"/>
      <c r="F831" s="282"/>
      <c r="G831" s="282"/>
      <c r="H831" s="282"/>
      <c r="I831" s="282"/>
      <c r="J831" s="282"/>
      <c r="K831" s="282"/>
      <c r="L831" s="282"/>
      <c r="M831" s="282"/>
      <c r="N831" s="282"/>
      <c r="O831" s="282"/>
      <c r="P831" s="282"/>
      <c r="Q831" s="282"/>
      <c r="R831" s="282"/>
      <c r="S831" s="282"/>
      <c r="T831" s="282"/>
      <c r="U831" s="282"/>
      <c r="V831" s="298"/>
      <c r="W831" s="298"/>
      <c r="X831" s="298"/>
      <c r="Y831" s="298"/>
      <c r="Z831" s="298"/>
      <c r="AA831" s="298"/>
      <c r="AB831" s="298"/>
      <c r="AC831" s="298"/>
      <c r="AD831" s="298"/>
      <c r="AE831" s="298"/>
      <c r="AF831" s="298"/>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row>
    <row r="832">
      <c r="A832" s="304"/>
      <c r="B832" s="282"/>
      <c r="C832" s="298"/>
      <c r="D832" s="282"/>
      <c r="E832" s="282"/>
      <c r="F832" s="282"/>
      <c r="G832" s="282"/>
      <c r="H832" s="282"/>
      <c r="I832" s="282"/>
      <c r="J832" s="282"/>
      <c r="K832" s="282"/>
      <c r="L832" s="282"/>
      <c r="M832" s="282"/>
      <c r="N832" s="282"/>
      <c r="O832" s="282"/>
      <c r="P832" s="282"/>
      <c r="Q832" s="282"/>
      <c r="R832" s="282"/>
      <c r="S832" s="282"/>
      <c r="T832" s="282"/>
      <c r="U832" s="282"/>
      <c r="V832" s="298"/>
      <c r="W832" s="298"/>
      <c r="X832" s="298"/>
      <c r="Y832" s="298"/>
      <c r="Z832" s="298"/>
      <c r="AA832" s="298"/>
      <c r="AB832" s="298"/>
      <c r="AC832" s="298"/>
      <c r="AD832" s="298"/>
      <c r="AE832" s="298"/>
      <c r="AF832" s="298"/>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row>
    <row r="833">
      <c r="A833" s="304"/>
      <c r="B833" s="282"/>
      <c r="C833" s="298"/>
      <c r="D833" s="282"/>
      <c r="E833" s="282"/>
      <c r="F833" s="282"/>
      <c r="G833" s="282"/>
      <c r="H833" s="282"/>
      <c r="I833" s="282"/>
      <c r="J833" s="282"/>
      <c r="K833" s="282"/>
      <c r="L833" s="282"/>
      <c r="M833" s="282"/>
      <c r="N833" s="282"/>
      <c r="O833" s="282"/>
      <c r="P833" s="282"/>
      <c r="Q833" s="282"/>
      <c r="R833" s="282"/>
      <c r="S833" s="282"/>
      <c r="T833" s="282"/>
      <c r="U833" s="282"/>
      <c r="V833" s="298"/>
      <c r="W833" s="298"/>
      <c r="X833" s="298"/>
      <c r="Y833" s="298"/>
      <c r="Z833" s="298"/>
      <c r="AA833" s="298"/>
      <c r="AB833" s="298"/>
      <c r="AC833" s="298"/>
      <c r="AD833" s="298"/>
      <c r="AE833" s="298"/>
      <c r="AF833" s="298"/>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row>
    <row r="834">
      <c r="A834" s="304"/>
      <c r="B834" s="282"/>
      <c r="C834" s="298"/>
      <c r="D834" s="282"/>
      <c r="E834" s="282"/>
      <c r="F834" s="282"/>
      <c r="G834" s="282"/>
      <c r="H834" s="282"/>
      <c r="I834" s="282"/>
      <c r="J834" s="282"/>
      <c r="K834" s="282"/>
      <c r="L834" s="282"/>
      <c r="M834" s="282"/>
      <c r="N834" s="282"/>
      <c r="O834" s="282"/>
      <c r="P834" s="282"/>
      <c r="Q834" s="282"/>
      <c r="R834" s="282"/>
      <c r="S834" s="282"/>
      <c r="T834" s="282"/>
      <c r="U834" s="282"/>
      <c r="V834" s="298"/>
      <c r="W834" s="298"/>
      <c r="X834" s="298"/>
      <c r="Y834" s="298"/>
      <c r="Z834" s="298"/>
      <c r="AA834" s="298"/>
      <c r="AB834" s="298"/>
      <c r="AC834" s="298"/>
      <c r="AD834" s="298"/>
      <c r="AE834" s="298"/>
      <c r="AF834" s="298"/>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row>
    <row r="835">
      <c r="A835" s="304"/>
      <c r="B835" s="282"/>
      <c r="C835" s="298"/>
      <c r="D835" s="282"/>
      <c r="E835" s="282"/>
      <c r="F835" s="282"/>
      <c r="G835" s="282"/>
      <c r="H835" s="282"/>
      <c r="I835" s="282"/>
      <c r="J835" s="282"/>
      <c r="K835" s="282"/>
      <c r="L835" s="282"/>
      <c r="M835" s="282"/>
      <c r="N835" s="282"/>
      <c r="O835" s="282"/>
      <c r="P835" s="282"/>
      <c r="Q835" s="282"/>
      <c r="R835" s="282"/>
      <c r="S835" s="282"/>
      <c r="T835" s="282"/>
      <c r="U835" s="282"/>
      <c r="V835" s="298"/>
      <c r="W835" s="298"/>
      <c r="X835" s="298"/>
      <c r="Y835" s="298"/>
      <c r="Z835" s="298"/>
      <c r="AA835" s="298"/>
      <c r="AB835" s="298"/>
      <c r="AC835" s="298"/>
      <c r="AD835" s="298"/>
      <c r="AE835" s="298"/>
      <c r="AF835" s="298"/>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row>
    <row r="836">
      <c r="A836" s="304"/>
      <c r="B836" s="282"/>
      <c r="C836" s="298"/>
      <c r="D836" s="282"/>
      <c r="E836" s="282"/>
      <c r="F836" s="282"/>
      <c r="G836" s="282"/>
      <c r="H836" s="282"/>
      <c r="I836" s="282"/>
      <c r="J836" s="282"/>
      <c r="K836" s="282"/>
      <c r="L836" s="282"/>
      <c r="M836" s="282"/>
      <c r="N836" s="282"/>
      <c r="O836" s="282"/>
      <c r="P836" s="282"/>
      <c r="Q836" s="282"/>
      <c r="R836" s="282"/>
      <c r="S836" s="282"/>
      <c r="T836" s="282"/>
      <c r="U836" s="282"/>
      <c r="V836" s="298"/>
      <c r="W836" s="298"/>
      <c r="X836" s="298"/>
      <c r="Y836" s="298"/>
      <c r="Z836" s="298"/>
      <c r="AA836" s="298"/>
      <c r="AB836" s="298"/>
      <c r="AC836" s="298"/>
      <c r="AD836" s="298"/>
      <c r="AE836" s="298"/>
      <c r="AF836" s="298"/>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row>
    <row r="837">
      <c r="A837" s="304"/>
      <c r="B837" s="282"/>
      <c r="C837" s="298"/>
      <c r="D837" s="282"/>
      <c r="E837" s="282"/>
      <c r="F837" s="282"/>
      <c r="G837" s="282"/>
      <c r="H837" s="282"/>
      <c r="I837" s="282"/>
      <c r="J837" s="282"/>
      <c r="K837" s="282"/>
      <c r="L837" s="282"/>
      <c r="M837" s="282"/>
      <c r="N837" s="282"/>
      <c r="O837" s="282"/>
      <c r="P837" s="282"/>
      <c r="Q837" s="282"/>
      <c r="R837" s="282"/>
      <c r="S837" s="282"/>
      <c r="T837" s="282"/>
      <c r="U837" s="282"/>
      <c r="V837" s="298"/>
      <c r="W837" s="298"/>
      <c r="X837" s="298"/>
      <c r="Y837" s="298"/>
      <c r="Z837" s="298"/>
      <c r="AA837" s="298"/>
      <c r="AB837" s="298"/>
      <c r="AC837" s="298"/>
      <c r="AD837" s="298"/>
      <c r="AE837" s="298"/>
      <c r="AF837" s="298"/>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row>
    <row r="838">
      <c r="A838" s="304"/>
      <c r="B838" s="282"/>
      <c r="C838" s="298"/>
      <c r="D838" s="282"/>
      <c r="E838" s="282"/>
      <c r="F838" s="282"/>
      <c r="G838" s="282"/>
      <c r="H838" s="282"/>
      <c r="I838" s="282"/>
      <c r="J838" s="282"/>
      <c r="K838" s="282"/>
      <c r="L838" s="282"/>
      <c r="M838" s="282"/>
      <c r="N838" s="282"/>
      <c r="O838" s="282"/>
      <c r="P838" s="282"/>
      <c r="Q838" s="282"/>
      <c r="R838" s="282"/>
      <c r="S838" s="282"/>
      <c r="T838" s="282"/>
      <c r="U838" s="282"/>
      <c r="V838" s="298"/>
      <c r="W838" s="298"/>
      <c r="X838" s="298"/>
      <c r="Y838" s="298"/>
      <c r="Z838" s="298"/>
      <c r="AA838" s="298"/>
      <c r="AB838" s="298"/>
      <c r="AC838" s="298"/>
      <c r="AD838" s="298"/>
      <c r="AE838" s="298"/>
      <c r="AF838" s="298"/>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row>
    <row r="839">
      <c r="A839" s="304"/>
      <c r="B839" s="282"/>
      <c r="C839" s="298"/>
      <c r="D839" s="282"/>
      <c r="E839" s="282"/>
      <c r="F839" s="282"/>
      <c r="G839" s="282"/>
      <c r="H839" s="282"/>
      <c r="I839" s="282"/>
      <c r="J839" s="282"/>
      <c r="K839" s="282"/>
      <c r="L839" s="282"/>
      <c r="M839" s="282"/>
      <c r="N839" s="282"/>
      <c r="O839" s="282"/>
      <c r="P839" s="282"/>
      <c r="Q839" s="282"/>
      <c r="R839" s="282"/>
      <c r="S839" s="282"/>
      <c r="T839" s="282"/>
      <c r="U839" s="282"/>
      <c r="V839" s="298"/>
      <c r="W839" s="298"/>
      <c r="X839" s="298"/>
      <c r="Y839" s="298"/>
      <c r="Z839" s="298"/>
      <c r="AA839" s="298"/>
      <c r="AB839" s="298"/>
      <c r="AC839" s="298"/>
      <c r="AD839" s="298"/>
      <c r="AE839" s="298"/>
      <c r="AF839" s="298"/>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row>
    <row r="840">
      <c r="A840" s="304"/>
      <c r="B840" s="282"/>
      <c r="C840" s="298"/>
      <c r="D840" s="282"/>
      <c r="E840" s="282"/>
      <c r="F840" s="282"/>
      <c r="G840" s="282"/>
      <c r="H840" s="282"/>
      <c r="I840" s="282"/>
      <c r="J840" s="282"/>
      <c r="K840" s="282"/>
      <c r="L840" s="282"/>
      <c r="M840" s="282"/>
      <c r="N840" s="282"/>
      <c r="O840" s="282"/>
      <c r="P840" s="282"/>
      <c r="Q840" s="282"/>
      <c r="R840" s="282"/>
      <c r="S840" s="282"/>
      <c r="T840" s="282"/>
      <c r="U840" s="282"/>
      <c r="V840" s="298"/>
      <c r="W840" s="298"/>
      <c r="X840" s="298"/>
      <c r="Y840" s="298"/>
      <c r="Z840" s="298"/>
      <c r="AA840" s="298"/>
      <c r="AB840" s="298"/>
      <c r="AC840" s="298"/>
      <c r="AD840" s="298"/>
      <c r="AE840" s="298"/>
      <c r="AF840" s="298"/>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row>
    <row r="841">
      <c r="A841" s="304"/>
      <c r="B841" s="282"/>
      <c r="C841" s="298"/>
      <c r="D841" s="282"/>
      <c r="E841" s="282"/>
      <c r="F841" s="282"/>
      <c r="G841" s="282"/>
      <c r="H841" s="282"/>
      <c r="I841" s="282"/>
      <c r="J841" s="282"/>
      <c r="K841" s="282"/>
      <c r="L841" s="282"/>
      <c r="M841" s="282"/>
      <c r="N841" s="282"/>
      <c r="O841" s="282"/>
      <c r="P841" s="282"/>
      <c r="Q841" s="282"/>
      <c r="R841" s="282"/>
      <c r="S841" s="282"/>
      <c r="T841" s="282"/>
      <c r="U841" s="282"/>
      <c r="V841" s="298"/>
      <c r="W841" s="298"/>
      <c r="X841" s="298"/>
      <c r="Y841" s="298"/>
      <c r="Z841" s="298"/>
      <c r="AA841" s="298"/>
      <c r="AB841" s="298"/>
      <c r="AC841" s="298"/>
      <c r="AD841" s="298"/>
      <c r="AE841" s="298"/>
      <c r="AF841" s="298"/>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row>
    <row r="842">
      <c r="A842" s="304"/>
      <c r="B842" s="282"/>
      <c r="C842" s="298"/>
      <c r="D842" s="282"/>
      <c r="E842" s="282"/>
      <c r="F842" s="282"/>
      <c r="G842" s="282"/>
      <c r="H842" s="282"/>
      <c r="I842" s="282"/>
      <c r="J842" s="282"/>
      <c r="K842" s="282"/>
      <c r="L842" s="282"/>
      <c r="M842" s="282"/>
      <c r="N842" s="282"/>
      <c r="O842" s="282"/>
      <c r="P842" s="282"/>
      <c r="Q842" s="282"/>
      <c r="R842" s="282"/>
      <c r="S842" s="282"/>
      <c r="T842" s="282"/>
      <c r="U842" s="282"/>
      <c r="V842" s="298"/>
      <c r="W842" s="298"/>
      <c r="X842" s="298"/>
      <c r="Y842" s="298"/>
      <c r="Z842" s="298"/>
      <c r="AA842" s="298"/>
      <c r="AB842" s="298"/>
      <c r="AC842" s="298"/>
      <c r="AD842" s="298"/>
      <c r="AE842" s="298"/>
      <c r="AF842" s="298"/>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row>
    <row r="843">
      <c r="A843" s="304"/>
      <c r="B843" s="282"/>
      <c r="C843" s="298"/>
      <c r="D843" s="282"/>
      <c r="E843" s="282"/>
      <c r="F843" s="282"/>
      <c r="G843" s="282"/>
      <c r="H843" s="282"/>
      <c r="I843" s="282"/>
      <c r="J843" s="282"/>
      <c r="K843" s="282"/>
      <c r="L843" s="282"/>
      <c r="M843" s="282"/>
      <c r="N843" s="282"/>
      <c r="O843" s="282"/>
      <c r="P843" s="282"/>
      <c r="Q843" s="282"/>
      <c r="R843" s="282"/>
      <c r="S843" s="282"/>
      <c r="T843" s="282"/>
      <c r="U843" s="282"/>
      <c r="V843" s="298"/>
      <c r="W843" s="298"/>
      <c r="X843" s="298"/>
      <c r="Y843" s="298"/>
      <c r="Z843" s="298"/>
      <c r="AA843" s="298"/>
      <c r="AB843" s="298"/>
      <c r="AC843" s="298"/>
      <c r="AD843" s="298"/>
      <c r="AE843" s="298"/>
      <c r="AF843" s="298"/>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row>
    <row r="844">
      <c r="A844" s="304"/>
      <c r="B844" s="282"/>
      <c r="C844" s="298"/>
      <c r="D844" s="282"/>
      <c r="E844" s="282"/>
      <c r="F844" s="282"/>
      <c r="G844" s="282"/>
      <c r="H844" s="282"/>
      <c r="I844" s="282"/>
      <c r="J844" s="282"/>
      <c r="K844" s="282"/>
      <c r="L844" s="282"/>
      <c r="M844" s="282"/>
      <c r="N844" s="282"/>
      <c r="O844" s="282"/>
      <c r="P844" s="282"/>
      <c r="Q844" s="282"/>
      <c r="R844" s="282"/>
      <c r="S844" s="282"/>
      <c r="T844" s="282"/>
      <c r="U844" s="282"/>
      <c r="V844" s="298"/>
      <c r="W844" s="298"/>
      <c r="X844" s="298"/>
      <c r="Y844" s="298"/>
      <c r="Z844" s="298"/>
      <c r="AA844" s="298"/>
      <c r="AB844" s="298"/>
      <c r="AC844" s="298"/>
      <c r="AD844" s="298"/>
      <c r="AE844" s="298"/>
      <c r="AF844" s="298"/>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row>
    <row r="845">
      <c r="A845" s="304"/>
      <c r="B845" s="282"/>
      <c r="C845" s="298"/>
      <c r="D845" s="282"/>
      <c r="E845" s="282"/>
      <c r="F845" s="282"/>
      <c r="G845" s="282"/>
      <c r="H845" s="282"/>
      <c r="I845" s="282"/>
      <c r="J845" s="282"/>
      <c r="K845" s="282"/>
      <c r="L845" s="282"/>
      <c r="M845" s="282"/>
      <c r="N845" s="282"/>
      <c r="O845" s="282"/>
      <c r="P845" s="282"/>
      <c r="Q845" s="282"/>
      <c r="R845" s="282"/>
      <c r="S845" s="282"/>
      <c r="T845" s="282"/>
      <c r="U845" s="282"/>
      <c r="V845" s="298"/>
      <c r="W845" s="298"/>
      <c r="X845" s="298"/>
      <c r="Y845" s="298"/>
      <c r="Z845" s="298"/>
      <c r="AA845" s="298"/>
      <c r="AB845" s="298"/>
      <c r="AC845" s="298"/>
      <c r="AD845" s="298"/>
      <c r="AE845" s="298"/>
      <c r="AF845" s="298"/>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row>
    <row r="846">
      <c r="A846" s="304"/>
      <c r="B846" s="282"/>
      <c r="C846" s="298"/>
      <c r="D846" s="282"/>
      <c r="E846" s="282"/>
      <c r="F846" s="282"/>
      <c r="G846" s="282"/>
      <c r="H846" s="282"/>
      <c r="I846" s="282"/>
      <c r="J846" s="282"/>
      <c r="K846" s="282"/>
      <c r="L846" s="282"/>
      <c r="M846" s="282"/>
      <c r="N846" s="282"/>
      <c r="O846" s="282"/>
      <c r="P846" s="282"/>
      <c r="Q846" s="282"/>
      <c r="R846" s="282"/>
      <c r="S846" s="282"/>
      <c r="T846" s="282"/>
      <c r="U846" s="282"/>
      <c r="V846" s="298"/>
      <c r="W846" s="298"/>
      <c r="X846" s="298"/>
      <c r="Y846" s="298"/>
      <c r="Z846" s="298"/>
      <c r="AA846" s="298"/>
      <c r="AB846" s="298"/>
      <c r="AC846" s="298"/>
      <c r="AD846" s="298"/>
      <c r="AE846" s="298"/>
      <c r="AF846" s="298"/>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row>
    <row r="847">
      <c r="A847" s="304"/>
      <c r="B847" s="282"/>
      <c r="C847" s="298"/>
      <c r="D847" s="282"/>
      <c r="E847" s="282"/>
      <c r="F847" s="282"/>
      <c r="G847" s="282"/>
      <c r="H847" s="282"/>
      <c r="I847" s="282"/>
      <c r="J847" s="282"/>
      <c r="K847" s="282"/>
      <c r="L847" s="282"/>
      <c r="M847" s="282"/>
      <c r="N847" s="282"/>
      <c r="O847" s="282"/>
      <c r="P847" s="282"/>
      <c r="Q847" s="282"/>
      <c r="R847" s="282"/>
      <c r="S847" s="282"/>
      <c r="T847" s="282"/>
      <c r="U847" s="282"/>
      <c r="V847" s="298"/>
      <c r="W847" s="298"/>
      <c r="X847" s="298"/>
      <c r="Y847" s="298"/>
      <c r="Z847" s="298"/>
      <c r="AA847" s="298"/>
      <c r="AB847" s="298"/>
      <c r="AC847" s="298"/>
      <c r="AD847" s="298"/>
      <c r="AE847" s="298"/>
      <c r="AF847" s="298"/>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row>
    <row r="848">
      <c r="A848" s="304"/>
      <c r="B848" s="282"/>
      <c r="C848" s="298"/>
      <c r="D848" s="282"/>
      <c r="E848" s="282"/>
      <c r="F848" s="282"/>
      <c r="G848" s="282"/>
      <c r="H848" s="282"/>
      <c r="I848" s="282"/>
      <c r="J848" s="282"/>
      <c r="K848" s="282"/>
      <c r="L848" s="282"/>
      <c r="M848" s="282"/>
      <c r="N848" s="282"/>
      <c r="O848" s="282"/>
      <c r="P848" s="282"/>
      <c r="Q848" s="282"/>
      <c r="R848" s="282"/>
      <c r="S848" s="282"/>
      <c r="T848" s="282"/>
      <c r="U848" s="282"/>
      <c r="V848" s="298"/>
      <c r="W848" s="298"/>
      <c r="X848" s="298"/>
      <c r="Y848" s="298"/>
      <c r="Z848" s="298"/>
      <c r="AA848" s="298"/>
      <c r="AB848" s="298"/>
      <c r="AC848" s="298"/>
      <c r="AD848" s="298"/>
      <c r="AE848" s="298"/>
      <c r="AF848" s="298"/>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row>
    <row r="849">
      <c r="A849" s="304"/>
      <c r="B849" s="282"/>
      <c r="C849" s="298"/>
      <c r="D849" s="282"/>
      <c r="E849" s="282"/>
      <c r="F849" s="282"/>
      <c r="G849" s="282"/>
      <c r="H849" s="282"/>
      <c r="I849" s="282"/>
      <c r="J849" s="282"/>
      <c r="K849" s="282"/>
      <c r="L849" s="282"/>
      <c r="M849" s="282"/>
      <c r="N849" s="282"/>
      <c r="O849" s="282"/>
      <c r="P849" s="282"/>
      <c r="Q849" s="282"/>
      <c r="R849" s="282"/>
      <c r="S849" s="282"/>
      <c r="T849" s="282"/>
      <c r="U849" s="282"/>
      <c r="V849" s="298"/>
      <c r="W849" s="298"/>
      <c r="X849" s="298"/>
      <c r="Y849" s="298"/>
      <c r="Z849" s="298"/>
      <c r="AA849" s="298"/>
      <c r="AB849" s="298"/>
      <c r="AC849" s="298"/>
      <c r="AD849" s="298"/>
      <c r="AE849" s="298"/>
      <c r="AF849" s="298"/>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row>
    <row r="850">
      <c r="A850" s="304"/>
      <c r="B850" s="282"/>
      <c r="C850" s="298"/>
      <c r="D850" s="282"/>
      <c r="E850" s="282"/>
      <c r="F850" s="282"/>
      <c r="G850" s="282"/>
      <c r="H850" s="282"/>
      <c r="I850" s="282"/>
      <c r="J850" s="282"/>
      <c r="K850" s="282"/>
      <c r="L850" s="282"/>
      <c r="M850" s="282"/>
      <c r="N850" s="282"/>
      <c r="O850" s="282"/>
      <c r="P850" s="282"/>
      <c r="Q850" s="282"/>
      <c r="R850" s="282"/>
      <c r="S850" s="282"/>
      <c r="T850" s="282"/>
      <c r="U850" s="282"/>
      <c r="V850" s="298"/>
      <c r="W850" s="298"/>
      <c r="X850" s="298"/>
      <c r="Y850" s="298"/>
      <c r="Z850" s="298"/>
      <c r="AA850" s="298"/>
      <c r="AB850" s="298"/>
      <c r="AC850" s="298"/>
      <c r="AD850" s="298"/>
      <c r="AE850" s="298"/>
      <c r="AF850" s="298"/>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row>
    <row r="851">
      <c r="A851" s="304"/>
      <c r="B851" s="282"/>
      <c r="C851" s="298"/>
      <c r="D851" s="282"/>
      <c r="E851" s="282"/>
      <c r="F851" s="282"/>
      <c r="G851" s="282"/>
      <c r="H851" s="282"/>
      <c r="I851" s="282"/>
      <c r="J851" s="282"/>
      <c r="K851" s="282"/>
      <c r="L851" s="282"/>
      <c r="M851" s="282"/>
      <c r="N851" s="282"/>
      <c r="O851" s="282"/>
      <c r="P851" s="282"/>
      <c r="Q851" s="282"/>
      <c r="R851" s="282"/>
      <c r="S851" s="282"/>
      <c r="T851" s="282"/>
      <c r="U851" s="282"/>
      <c r="V851" s="298"/>
      <c r="W851" s="298"/>
      <c r="X851" s="298"/>
      <c r="Y851" s="298"/>
      <c r="Z851" s="298"/>
      <c r="AA851" s="298"/>
      <c r="AB851" s="298"/>
      <c r="AC851" s="298"/>
      <c r="AD851" s="298"/>
      <c r="AE851" s="298"/>
      <c r="AF851" s="298"/>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row>
    <row r="852">
      <c r="A852" s="304"/>
      <c r="B852" s="282"/>
      <c r="C852" s="298"/>
      <c r="D852" s="282"/>
      <c r="E852" s="282"/>
      <c r="F852" s="282"/>
      <c r="G852" s="282"/>
      <c r="H852" s="282"/>
      <c r="I852" s="282"/>
      <c r="J852" s="282"/>
      <c r="K852" s="282"/>
      <c r="L852" s="282"/>
      <c r="M852" s="282"/>
      <c r="N852" s="282"/>
      <c r="O852" s="282"/>
      <c r="P852" s="282"/>
      <c r="Q852" s="282"/>
      <c r="R852" s="282"/>
      <c r="S852" s="282"/>
      <c r="T852" s="282"/>
      <c r="U852" s="282"/>
      <c r="V852" s="298"/>
      <c r="W852" s="298"/>
      <c r="X852" s="298"/>
      <c r="Y852" s="298"/>
      <c r="Z852" s="298"/>
      <c r="AA852" s="298"/>
      <c r="AB852" s="298"/>
      <c r="AC852" s="298"/>
      <c r="AD852" s="298"/>
      <c r="AE852" s="298"/>
      <c r="AF852" s="298"/>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row>
    <row r="853">
      <c r="A853" s="304"/>
      <c r="B853" s="282"/>
      <c r="C853" s="298"/>
      <c r="D853" s="282"/>
      <c r="E853" s="282"/>
      <c r="F853" s="282"/>
      <c r="G853" s="282"/>
      <c r="H853" s="282"/>
      <c r="I853" s="282"/>
      <c r="J853" s="282"/>
      <c r="K853" s="282"/>
      <c r="L853" s="282"/>
      <c r="M853" s="282"/>
      <c r="N853" s="282"/>
      <c r="O853" s="282"/>
      <c r="P853" s="282"/>
      <c r="Q853" s="282"/>
      <c r="R853" s="282"/>
      <c r="S853" s="282"/>
      <c r="T853" s="282"/>
      <c r="U853" s="282"/>
      <c r="V853" s="298"/>
      <c r="W853" s="298"/>
      <c r="X853" s="298"/>
      <c r="Y853" s="298"/>
      <c r="Z853" s="298"/>
      <c r="AA853" s="298"/>
      <c r="AB853" s="298"/>
      <c r="AC853" s="298"/>
      <c r="AD853" s="298"/>
      <c r="AE853" s="298"/>
      <c r="AF853" s="298"/>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row>
    <row r="854">
      <c r="A854" s="304"/>
      <c r="B854" s="282"/>
      <c r="C854" s="298"/>
      <c r="D854" s="282"/>
      <c r="E854" s="282"/>
      <c r="F854" s="282"/>
      <c r="G854" s="282"/>
      <c r="H854" s="282"/>
      <c r="I854" s="282"/>
      <c r="J854" s="282"/>
      <c r="K854" s="282"/>
      <c r="L854" s="282"/>
      <c r="M854" s="282"/>
      <c r="N854" s="282"/>
      <c r="O854" s="282"/>
      <c r="P854" s="282"/>
      <c r="Q854" s="282"/>
      <c r="R854" s="282"/>
      <c r="S854" s="282"/>
      <c r="T854" s="282"/>
      <c r="U854" s="282"/>
      <c r="V854" s="298"/>
      <c r="W854" s="298"/>
      <c r="X854" s="298"/>
      <c r="Y854" s="298"/>
      <c r="Z854" s="298"/>
      <c r="AA854" s="298"/>
      <c r="AB854" s="298"/>
      <c r="AC854" s="298"/>
      <c r="AD854" s="298"/>
      <c r="AE854" s="298"/>
      <c r="AF854" s="298"/>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row>
    <row r="855">
      <c r="A855" s="304"/>
      <c r="B855" s="282"/>
      <c r="C855" s="298"/>
      <c r="D855" s="282"/>
      <c r="E855" s="282"/>
      <c r="F855" s="282"/>
      <c r="G855" s="282"/>
      <c r="H855" s="282"/>
      <c r="I855" s="282"/>
      <c r="J855" s="282"/>
      <c r="K855" s="282"/>
      <c r="L855" s="282"/>
      <c r="M855" s="282"/>
      <c r="N855" s="282"/>
      <c r="O855" s="282"/>
      <c r="P855" s="282"/>
      <c r="Q855" s="282"/>
      <c r="R855" s="282"/>
      <c r="S855" s="282"/>
      <c r="T855" s="282"/>
      <c r="U855" s="282"/>
      <c r="V855" s="298"/>
      <c r="W855" s="298"/>
      <c r="X855" s="298"/>
      <c r="Y855" s="298"/>
      <c r="Z855" s="298"/>
      <c r="AA855" s="298"/>
      <c r="AB855" s="298"/>
      <c r="AC855" s="298"/>
      <c r="AD855" s="298"/>
      <c r="AE855" s="298"/>
      <c r="AF855" s="298"/>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row>
    <row r="856">
      <c r="A856" s="304"/>
      <c r="B856" s="282"/>
      <c r="C856" s="298"/>
      <c r="D856" s="282"/>
      <c r="E856" s="282"/>
      <c r="F856" s="282"/>
      <c r="G856" s="282"/>
      <c r="H856" s="282"/>
      <c r="I856" s="282"/>
      <c r="J856" s="282"/>
      <c r="K856" s="282"/>
      <c r="L856" s="282"/>
      <c r="M856" s="282"/>
      <c r="N856" s="282"/>
      <c r="O856" s="282"/>
      <c r="P856" s="282"/>
      <c r="Q856" s="282"/>
      <c r="R856" s="282"/>
      <c r="S856" s="282"/>
      <c r="T856" s="282"/>
      <c r="U856" s="282"/>
      <c r="V856" s="298"/>
      <c r="W856" s="298"/>
      <c r="X856" s="298"/>
      <c r="Y856" s="298"/>
      <c r="Z856" s="298"/>
      <c r="AA856" s="298"/>
      <c r="AB856" s="298"/>
      <c r="AC856" s="298"/>
      <c r="AD856" s="298"/>
      <c r="AE856" s="298"/>
      <c r="AF856" s="298"/>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row>
    <row r="857">
      <c r="A857" s="304"/>
      <c r="B857" s="282"/>
      <c r="C857" s="298"/>
      <c r="D857" s="282"/>
      <c r="E857" s="282"/>
      <c r="F857" s="282"/>
      <c r="G857" s="282"/>
      <c r="H857" s="282"/>
      <c r="I857" s="282"/>
      <c r="J857" s="282"/>
      <c r="K857" s="282"/>
      <c r="L857" s="282"/>
      <c r="M857" s="282"/>
      <c r="N857" s="282"/>
      <c r="O857" s="282"/>
      <c r="P857" s="282"/>
      <c r="Q857" s="282"/>
      <c r="R857" s="282"/>
      <c r="S857" s="282"/>
      <c r="T857" s="282"/>
      <c r="U857" s="282"/>
      <c r="V857" s="298"/>
      <c r="W857" s="298"/>
      <c r="X857" s="298"/>
      <c r="Y857" s="298"/>
      <c r="Z857" s="298"/>
      <c r="AA857" s="298"/>
      <c r="AB857" s="298"/>
      <c r="AC857" s="298"/>
      <c r="AD857" s="298"/>
      <c r="AE857" s="298"/>
      <c r="AF857" s="298"/>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row>
    <row r="858">
      <c r="A858" s="304"/>
      <c r="B858" s="282"/>
      <c r="C858" s="298"/>
      <c r="D858" s="282"/>
      <c r="E858" s="282"/>
      <c r="F858" s="282"/>
      <c r="G858" s="282"/>
      <c r="H858" s="282"/>
      <c r="I858" s="282"/>
      <c r="J858" s="282"/>
      <c r="K858" s="282"/>
      <c r="L858" s="282"/>
      <c r="M858" s="282"/>
      <c r="N858" s="282"/>
      <c r="O858" s="282"/>
      <c r="P858" s="282"/>
      <c r="Q858" s="282"/>
      <c r="R858" s="282"/>
      <c r="S858" s="282"/>
      <c r="T858" s="282"/>
      <c r="U858" s="282"/>
      <c r="V858" s="298"/>
      <c r="W858" s="298"/>
      <c r="X858" s="298"/>
      <c r="Y858" s="298"/>
      <c r="Z858" s="298"/>
      <c r="AA858" s="298"/>
      <c r="AB858" s="298"/>
      <c r="AC858" s="298"/>
      <c r="AD858" s="298"/>
      <c r="AE858" s="298"/>
      <c r="AF858" s="298"/>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row>
    <row r="859">
      <c r="A859" s="304"/>
      <c r="B859" s="282"/>
      <c r="C859" s="298"/>
      <c r="D859" s="282"/>
      <c r="E859" s="282"/>
      <c r="F859" s="282"/>
      <c r="G859" s="282"/>
      <c r="H859" s="282"/>
      <c r="I859" s="282"/>
      <c r="J859" s="282"/>
      <c r="K859" s="282"/>
      <c r="L859" s="282"/>
      <c r="M859" s="282"/>
      <c r="N859" s="282"/>
      <c r="O859" s="282"/>
      <c r="P859" s="282"/>
      <c r="Q859" s="282"/>
      <c r="R859" s="282"/>
      <c r="S859" s="282"/>
      <c r="T859" s="282"/>
      <c r="U859" s="282"/>
      <c r="V859" s="298"/>
      <c r="W859" s="298"/>
      <c r="X859" s="298"/>
      <c r="Y859" s="298"/>
      <c r="Z859" s="298"/>
      <c r="AA859" s="298"/>
      <c r="AB859" s="298"/>
      <c r="AC859" s="298"/>
      <c r="AD859" s="298"/>
      <c r="AE859" s="298"/>
      <c r="AF859" s="298"/>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row>
    <row r="860">
      <c r="A860" s="304"/>
      <c r="B860" s="282"/>
      <c r="C860" s="298"/>
      <c r="D860" s="282"/>
      <c r="E860" s="282"/>
      <c r="F860" s="282"/>
      <c r="G860" s="282"/>
      <c r="H860" s="282"/>
      <c r="I860" s="282"/>
      <c r="J860" s="282"/>
      <c r="K860" s="282"/>
      <c r="L860" s="282"/>
      <c r="M860" s="282"/>
      <c r="N860" s="282"/>
      <c r="O860" s="282"/>
      <c r="P860" s="282"/>
      <c r="Q860" s="282"/>
      <c r="R860" s="282"/>
      <c r="S860" s="282"/>
      <c r="T860" s="282"/>
      <c r="U860" s="282"/>
      <c r="V860" s="298"/>
      <c r="W860" s="298"/>
      <c r="X860" s="298"/>
      <c r="Y860" s="298"/>
      <c r="Z860" s="298"/>
      <c r="AA860" s="298"/>
      <c r="AB860" s="298"/>
      <c r="AC860" s="298"/>
      <c r="AD860" s="298"/>
      <c r="AE860" s="298"/>
      <c r="AF860" s="298"/>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row>
    <row r="861">
      <c r="A861" s="304"/>
      <c r="B861" s="282"/>
      <c r="C861" s="298"/>
      <c r="D861" s="282"/>
      <c r="E861" s="282"/>
      <c r="F861" s="282"/>
      <c r="G861" s="282"/>
      <c r="H861" s="282"/>
      <c r="I861" s="282"/>
      <c r="J861" s="282"/>
      <c r="K861" s="282"/>
      <c r="L861" s="282"/>
      <c r="M861" s="282"/>
      <c r="N861" s="282"/>
      <c r="O861" s="282"/>
      <c r="P861" s="282"/>
      <c r="Q861" s="282"/>
      <c r="R861" s="282"/>
      <c r="S861" s="282"/>
      <c r="T861" s="282"/>
      <c r="U861" s="282"/>
      <c r="V861" s="298"/>
      <c r="W861" s="298"/>
      <c r="X861" s="298"/>
      <c r="Y861" s="298"/>
      <c r="Z861" s="298"/>
      <c r="AA861" s="298"/>
      <c r="AB861" s="298"/>
      <c r="AC861" s="298"/>
      <c r="AD861" s="298"/>
      <c r="AE861" s="298"/>
      <c r="AF861" s="298"/>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row>
    <row r="862">
      <c r="A862" s="304"/>
      <c r="B862" s="282"/>
      <c r="C862" s="298"/>
      <c r="D862" s="282"/>
      <c r="E862" s="282"/>
      <c r="F862" s="282"/>
      <c r="G862" s="282"/>
      <c r="H862" s="282"/>
      <c r="I862" s="282"/>
      <c r="J862" s="282"/>
      <c r="K862" s="282"/>
      <c r="L862" s="282"/>
      <c r="M862" s="282"/>
      <c r="N862" s="282"/>
      <c r="O862" s="282"/>
      <c r="P862" s="282"/>
      <c r="Q862" s="282"/>
      <c r="R862" s="282"/>
      <c r="S862" s="282"/>
      <c r="T862" s="282"/>
      <c r="U862" s="282"/>
      <c r="V862" s="298"/>
      <c r="W862" s="298"/>
      <c r="X862" s="298"/>
      <c r="Y862" s="298"/>
      <c r="Z862" s="298"/>
      <c r="AA862" s="298"/>
      <c r="AB862" s="298"/>
      <c r="AC862" s="298"/>
      <c r="AD862" s="298"/>
      <c r="AE862" s="298"/>
      <c r="AF862" s="298"/>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row>
    <row r="863">
      <c r="A863" s="304"/>
      <c r="B863" s="282"/>
      <c r="C863" s="298"/>
      <c r="D863" s="282"/>
      <c r="E863" s="282"/>
      <c r="F863" s="282"/>
      <c r="G863" s="282"/>
      <c r="H863" s="282"/>
      <c r="I863" s="282"/>
      <c r="J863" s="282"/>
      <c r="K863" s="282"/>
      <c r="L863" s="282"/>
      <c r="M863" s="282"/>
      <c r="N863" s="282"/>
      <c r="O863" s="282"/>
      <c r="P863" s="282"/>
      <c r="Q863" s="282"/>
      <c r="R863" s="282"/>
      <c r="S863" s="282"/>
      <c r="T863" s="282"/>
      <c r="U863" s="282"/>
      <c r="V863" s="298"/>
      <c r="W863" s="298"/>
      <c r="X863" s="298"/>
      <c r="Y863" s="298"/>
      <c r="Z863" s="298"/>
      <c r="AA863" s="298"/>
      <c r="AB863" s="298"/>
      <c r="AC863" s="298"/>
      <c r="AD863" s="298"/>
      <c r="AE863" s="298"/>
      <c r="AF863" s="298"/>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row>
    <row r="864">
      <c r="A864" s="304"/>
      <c r="B864" s="282"/>
      <c r="C864" s="298"/>
      <c r="D864" s="282"/>
      <c r="E864" s="282"/>
      <c r="F864" s="282"/>
      <c r="G864" s="282"/>
      <c r="H864" s="282"/>
      <c r="I864" s="282"/>
      <c r="J864" s="282"/>
      <c r="K864" s="282"/>
      <c r="L864" s="282"/>
      <c r="M864" s="282"/>
      <c r="N864" s="282"/>
      <c r="O864" s="282"/>
      <c r="P864" s="282"/>
      <c r="Q864" s="282"/>
      <c r="R864" s="282"/>
      <c r="S864" s="282"/>
      <c r="T864" s="282"/>
      <c r="U864" s="282"/>
      <c r="V864" s="298"/>
      <c r="W864" s="298"/>
      <c r="X864" s="298"/>
      <c r="Y864" s="298"/>
      <c r="Z864" s="298"/>
      <c r="AA864" s="298"/>
      <c r="AB864" s="298"/>
      <c r="AC864" s="298"/>
      <c r="AD864" s="298"/>
      <c r="AE864" s="298"/>
      <c r="AF864" s="298"/>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row>
    <row r="865">
      <c r="A865" s="304"/>
      <c r="B865" s="282"/>
      <c r="C865" s="298"/>
      <c r="D865" s="282"/>
      <c r="E865" s="282"/>
      <c r="F865" s="282"/>
      <c r="G865" s="282"/>
      <c r="H865" s="282"/>
      <c r="I865" s="282"/>
      <c r="J865" s="282"/>
      <c r="K865" s="282"/>
      <c r="L865" s="282"/>
      <c r="M865" s="282"/>
      <c r="N865" s="282"/>
      <c r="O865" s="282"/>
      <c r="P865" s="282"/>
      <c r="Q865" s="282"/>
      <c r="R865" s="282"/>
      <c r="S865" s="282"/>
      <c r="T865" s="282"/>
      <c r="U865" s="282"/>
      <c r="V865" s="298"/>
      <c r="W865" s="298"/>
      <c r="X865" s="298"/>
      <c r="Y865" s="298"/>
      <c r="Z865" s="298"/>
      <c r="AA865" s="298"/>
      <c r="AB865" s="298"/>
      <c r="AC865" s="298"/>
      <c r="AD865" s="298"/>
      <c r="AE865" s="298"/>
      <c r="AF865" s="298"/>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row>
    <row r="866">
      <c r="A866" s="304"/>
      <c r="B866" s="282"/>
      <c r="C866" s="298"/>
      <c r="D866" s="282"/>
      <c r="E866" s="282"/>
      <c r="F866" s="282"/>
      <c r="G866" s="282"/>
      <c r="H866" s="282"/>
      <c r="I866" s="282"/>
      <c r="J866" s="282"/>
      <c r="K866" s="282"/>
      <c r="L866" s="282"/>
      <c r="M866" s="282"/>
      <c r="N866" s="282"/>
      <c r="O866" s="282"/>
      <c r="P866" s="282"/>
      <c r="Q866" s="282"/>
      <c r="R866" s="282"/>
      <c r="S866" s="282"/>
      <c r="T866" s="282"/>
      <c r="U866" s="282"/>
      <c r="V866" s="298"/>
      <c r="W866" s="298"/>
      <c r="X866" s="298"/>
      <c r="Y866" s="298"/>
      <c r="Z866" s="298"/>
      <c r="AA866" s="298"/>
      <c r="AB866" s="298"/>
      <c r="AC866" s="298"/>
      <c r="AD866" s="298"/>
      <c r="AE866" s="298"/>
      <c r="AF866" s="298"/>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row>
    <row r="867">
      <c r="A867" s="304"/>
      <c r="B867" s="282"/>
      <c r="C867" s="298"/>
      <c r="D867" s="282"/>
      <c r="E867" s="282"/>
      <c r="F867" s="282"/>
      <c r="G867" s="282"/>
      <c r="H867" s="282"/>
      <c r="I867" s="282"/>
      <c r="J867" s="282"/>
      <c r="K867" s="282"/>
      <c r="L867" s="282"/>
      <c r="M867" s="282"/>
      <c r="N867" s="282"/>
      <c r="O867" s="282"/>
      <c r="P867" s="282"/>
      <c r="Q867" s="282"/>
      <c r="R867" s="282"/>
      <c r="S867" s="282"/>
      <c r="T867" s="282"/>
      <c r="U867" s="282"/>
      <c r="V867" s="298"/>
      <c r="W867" s="298"/>
      <c r="X867" s="298"/>
      <c r="Y867" s="298"/>
      <c r="Z867" s="298"/>
      <c r="AA867" s="298"/>
      <c r="AB867" s="298"/>
      <c r="AC867" s="298"/>
      <c r="AD867" s="298"/>
      <c r="AE867" s="298"/>
      <c r="AF867" s="298"/>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row>
    <row r="868">
      <c r="A868" s="304"/>
      <c r="B868" s="282"/>
      <c r="C868" s="298"/>
      <c r="D868" s="282"/>
      <c r="E868" s="282"/>
      <c r="F868" s="282"/>
      <c r="G868" s="282"/>
      <c r="H868" s="282"/>
      <c r="I868" s="282"/>
      <c r="J868" s="282"/>
      <c r="K868" s="282"/>
      <c r="L868" s="282"/>
      <c r="M868" s="282"/>
      <c r="N868" s="282"/>
      <c r="O868" s="282"/>
      <c r="P868" s="282"/>
      <c r="Q868" s="282"/>
      <c r="R868" s="282"/>
      <c r="S868" s="282"/>
      <c r="T868" s="282"/>
      <c r="U868" s="282"/>
      <c r="V868" s="298"/>
      <c r="W868" s="298"/>
      <c r="X868" s="298"/>
      <c r="Y868" s="298"/>
      <c r="Z868" s="298"/>
      <c r="AA868" s="298"/>
      <c r="AB868" s="298"/>
      <c r="AC868" s="298"/>
      <c r="AD868" s="298"/>
      <c r="AE868" s="298"/>
      <c r="AF868" s="298"/>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row>
    <row r="869">
      <c r="A869" s="304"/>
      <c r="B869" s="282"/>
      <c r="C869" s="298"/>
      <c r="D869" s="282"/>
      <c r="E869" s="282"/>
      <c r="F869" s="282"/>
      <c r="G869" s="282"/>
      <c r="H869" s="282"/>
      <c r="I869" s="282"/>
      <c r="J869" s="282"/>
      <c r="K869" s="282"/>
      <c r="L869" s="282"/>
      <c r="M869" s="282"/>
      <c r="N869" s="282"/>
      <c r="O869" s="282"/>
      <c r="P869" s="282"/>
      <c r="Q869" s="282"/>
      <c r="R869" s="282"/>
      <c r="S869" s="282"/>
      <c r="T869" s="282"/>
      <c r="U869" s="282"/>
      <c r="V869" s="298"/>
      <c r="W869" s="298"/>
      <c r="X869" s="298"/>
      <c r="Y869" s="298"/>
      <c r="Z869" s="298"/>
      <c r="AA869" s="298"/>
      <c r="AB869" s="298"/>
      <c r="AC869" s="298"/>
      <c r="AD869" s="298"/>
      <c r="AE869" s="298"/>
      <c r="AF869" s="298"/>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row>
    <row r="870">
      <c r="A870" s="304"/>
      <c r="B870" s="282"/>
      <c r="C870" s="298"/>
      <c r="D870" s="282"/>
      <c r="E870" s="282"/>
      <c r="F870" s="282"/>
      <c r="G870" s="282"/>
      <c r="H870" s="282"/>
      <c r="I870" s="282"/>
      <c r="J870" s="282"/>
      <c r="K870" s="282"/>
      <c r="L870" s="282"/>
      <c r="M870" s="282"/>
      <c r="N870" s="282"/>
      <c r="O870" s="282"/>
      <c r="P870" s="282"/>
      <c r="Q870" s="282"/>
      <c r="R870" s="282"/>
      <c r="S870" s="282"/>
      <c r="T870" s="282"/>
      <c r="U870" s="282"/>
      <c r="V870" s="298"/>
      <c r="W870" s="298"/>
      <c r="X870" s="298"/>
      <c r="Y870" s="298"/>
      <c r="Z870" s="298"/>
      <c r="AA870" s="298"/>
      <c r="AB870" s="298"/>
      <c r="AC870" s="298"/>
      <c r="AD870" s="298"/>
      <c r="AE870" s="298"/>
      <c r="AF870" s="298"/>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row>
    <row r="871">
      <c r="A871" s="304"/>
      <c r="B871" s="282"/>
      <c r="C871" s="298"/>
      <c r="D871" s="282"/>
      <c r="E871" s="282"/>
      <c r="F871" s="282"/>
      <c r="G871" s="282"/>
      <c r="H871" s="282"/>
      <c r="I871" s="282"/>
      <c r="J871" s="282"/>
      <c r="K871" s="282"/>
      <c r="L871" s="282"/>
      <c r="M871" s="282"/>
      <c r="N871" s="282"/>
      <c r="O871" s="282"/>
      <c r="P871" s="282"/>
      <c r="Q871" s="282"/>
      <c r="R871" s="282"/>
      <c r="S871" s="282"/>
      <c r="T871" s="282"/>
      <c r="U871" s="282"/>
      <c r="V871" s="298"/>
      <c r="W871" s="298"/>
      <c r="X871" s="298"/>
      <c r="Y871" s="298"/>
      <c r="Z871" s="298"/>
      <c r="AA871" s="298"/>
      <c r="AB871" s="298"/>
      <c r="AC871" s="298"/>
      <c r="AD871" s="298"/>
      <c r="AE871" s="298"/>
      <c r="AF871" s="298"/>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row>
    <row r="872">
      <c r="A872" s="304"/>
      <c r="B872" s="282"/>
      <c r="C872" s="298"/>
      <c r="D872" s="282"/>
      <c r="E872" s="282"/>
      <c r="F872" s="282"/>
      <c r="G872" s="282"/>
      <c r="H872" s="282"/>
      <c r="I872" s="282"/>
      <c r="J872" s="282"/>
      <c r="K872" s="282"/>
      <c r="L872" s="282"/>
      <c r="M872" s="282"/>
      <c r="N872" s="282"/>
      <c r="O872" s="282"/>
      <c r="P872" s="282"/>
      <c r="Q872" s="282"/>
      <c r="R872" s="282"/>
      <c r="S872" s="282"/>
      <c r="T872" s="282"/>
      <c r="U872" s="282"/>
      <c r="V872" s="298"/>
      <c r="W872" s="298"/>
      <c r="X872" s="298"/>
      <c r="Y872" s="298"/>
      <c r="Z872" s="298"/>
      <c r="AA872" s="298"/>
      <c r="AB872" s="298"/>
      <c r="AC872" s="298"/>
      <c r="AD872" s="298"/>
      <c r="AE872" s="298"/>
      <c r="AF872" s="298"/>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row>
    <row r="873">
      <c r="A873" s="304"/>
      <c r="B873" s="282"/>
      <c r="C873" s="298"/>
      <c r="D873" s="282"/>
      <c r="E873" s="282"/>
      <c r="F873" s="282"/>
      <c r="G873" s="282"/>
      <c r="H873" s="282"/>
      <c r="I873" s="282"/>
      <c r="J873" s="282"/>
      <c r="K873" s="282"/>
      <c r="L873" s="282"/>
      <c r="M873" s="282"/>
      <c r="N873" s="282"/>
      <c r="O873" s="282"/>
      <c r="P873" s="282"/>
      <c r="Q873" s="282"/>
      <c r="R873" s="282"/>
      <c r="S873" s="282"/>
      <c r="T873" s="282"/>
      <c r="U873" s="282"/>
      <c r="V873" s="298"/>
      <c r="W873" s="298"/>
      <c r="X873" s="298"/>
      <c r="Y873" s="298"/>
      <c r="Z873" s="298"/>
      <c r="AA873" s="298"/>
      <c r="AB873" s="298"/>
      <c r="AC873" s="298"/>
      <c r="AD873" s="298"/>
      <c r="AE873" s="298"/>
      <c r="AF873" s="298"/>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row>
    <row r="874">
      <c r="A874" s="304"/>
      <c r="B874" s="282"/>
      <c r="C874" s="298"/>
      <c r="D874" s="282"/>
      <c r="E874" s="282"/>
      <c r="F874" s="282"/>
      <c r="G874" s="282"/>
      <c r="H874" s="282"/>
      <c r="I874" s="282"/>
      <c r="J874" s="282"/>
      <c r="K874" s="282"/>
      <c r="L874" s="282"/>
      <c r="M874" s="282"/>
      <c r="N874" s="282"/>
      <c r="O874" s="282"/>
      <c r="P874" s="282"/>
      <c r="Q874" s="282"/>
      <c r="R874" s="282"/>
      <c r="S874" s="282"/>
      <c r="T874" s="282"/>
      <c r="U874" s="282"/>
      <c r="V874" s="298"/>
      <c r="W874" s="298"/>
      <c r="X874" s="298"/>
      <c r="Y874" s="298"/>
      <c r="Z874" s="298"/>
      <c r="AA874" s="298"/>
      <c r="AB874" s="298"/>
      <c r="AC874" s="298"/>
      <c r="AD874" s="298"/>
      <c r="AE874" s="298"/>
      <c r="AF874" s="298"/>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row>
    <row r="875">
      <c r="A875" s="304"/>
      <c r="B875" s="282"/>
      <c r="C875" s="298"/>
      <c r="D875" s="282"/>
      <c r="E875" s="282"/>
      <c r="F875" s="282"/>
      <c r="G875" s="282"/>
      <c r="H875" s="282"/>
      <c r="I875" s="282"/>
      <c r="J875" s="282"/>
      <c r="K875" s="282"/>
      <c r="L875" s="282"/>
      <c r="M875" s="282"/>
      <c r="N875" s="282"/>
      <c r="O875" s="282"/>
      <c r="P875" s="282"/>
      <c r="Q875" s="282"/>
      <c r="R875" s="282"/>
      <c r="S875" s="282"/>
      <c r="T875" s="282"/>
      <c r="U875" s="282"/>
      <c r="V875" s="298"/>
      <c r="W875" s="298"/>
      <c r="X875" s="298"/>
      <c r="Y875" s="298"/>
      <c r="Z875" s="298"/>
      <c r="AA875" s="298"/>
      <c r="AB875" s="298"/>
      <c r="AC875" s="298"/>
      <c r="AD875" s="298"/>
      <c r="AE875" s="298"/>
      <c r="AF875" s="298"/>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row>
    <row r="876">
      <c r="A876" s="304"/>
      <c r="B876" s="282"/>
      <c r="C876" s="298"/>
      <c r="D876" s="282"/>
      <c r="E876" s="282"/>
      <c r="F876" s="282"/>
      <c r="G876" s="282"/>
      <c r="H876" s="282"/>
      <c r="I876" s="282"/>
      <c r="J876" s="282"/>
      <c r="K876" s="282"/>
      <c r="L876" s="282"/>
      <c r="M876" s="282"/>
      <c r="N876" s="282"/>
      <c r="O876" s="282"/>
      <c r="P876" s="282"/>
      <c r="Q876" s="282"/>
      <c r="R876" s="282"/>
      <c r="S876" s="282"/>
      <c r="T876" s="282"/>
      <c r="U876" s="282"/>
      <c r="V876" s="298"/>
      <c r="W876" s="298"/>
      <c r="X876" s="298"/>
      <c r="Y876" s="298"/>
      <c r="Z876" s="298"/>
      <c r="AA876" s="298"/>
      <c r="AB876" s="298"/>
      <c r="AC876" s="298"/>
      <c r="AD876" s="298"/>
      <c r="AE876" s="298"/>
      <c r="AF876" s="298"/>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row>
    <row r="877">
      <c r="A877" s="304"/>
      <c r="B877" s="282"/>
      <c r="C877" s="298"/>
      <c r="D877" s="282"/>
      <c r="E877" s="282"/>
      <c r="F877" s="282"/>
      <c r="G877" s="282"/>
      <c r="H877" s="282"/>
      <c r="I877" s="282"/>
      <c r="J877" s="282"/>
      <c r="K877" s="282"/>
      <c r="L877" s="282"/>
      <c r="M877" s="282"/>
      <c r="N877" s="282"/>
      <c r="O877" s="282"/>
      <c r="P877" s="282"/>
      <c r="Q877" s="282"/>
      <c r="R877" s="282"/>
      <c r="S877" s="282"/>
      <c r="T877" s="282"/>
      <c r="U877" s="282"/>
      <c r="V877" s="298"/>
      <c r="W877" s="298"/>
      <c r="X877" s="298"/>
      <c r="Y877" s="298"/>
      <c r="Z877" s="298"/>
      <c r="AA877" s="298"/>
      <c r="AB877" s="298"/>
      <c r="AC877" s="298"/>
      <c r="AD877" s="298"/>
      <c r="AE877" s="298"/>
      <c r="AF877" s="298"/>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row>
    <row r="878">
      <c r="A878" s="304"/>
      <c r="B878" s="282"/>
      <c r="C878" s="298"/>
      <c r="D878" s="282"/>
      <c r="E878" s="282"/>
      <c r="F878" s="282"/>
      <c r="G878" s="282"/>
      <c r="H878" s="282"/>
      <c r="I878" s="282"/>
      <c r="J878" s="282"/>
      <c r="K878" s="282"/>
      <c r="L878" s="282"/>
      <c r="M878" s="282"/>
      <c r="N878" s="282"/>
      <c r="O878" s="282"/>
      <c r="P878" s="282"/>
      <c r="Q878" s="282"/>
      <c r="R878" s="282"/>
      <c r="S878" s="282"/>
      <c r="T878" s="282"/>
      <c r="U878" s="282"/>
      <c r="V878" s="298"/>
      <c r="W878" s="298"/>
      <c r="X878" s="298"/>
      <c r="Y878" s="298"/>
      <c r="Z878" s="298"/>
      <c r="AA878" s="298"/>
      <c r="AB878" s="298"/>
      <c r="AC878" s="298"/>
      <c r="AD878" s="298"/>
      <c r="AE878" s="298"/>
      <c r="AF878" s="298"/>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row>
    <row r="879">
      <c r="A879" s="304"/>
      <c r="B879" s="282"/>
      <c r="C879" s="298"/>
      <c r="D879" s="282"/>
      <c r="E879" s="282"/>
      <c r="F879" s="282"/>
      <c r="G879" s="282"/>
      <c r="H879" s="282"/>
      <c r="I879" s="282"/>
      <c r="J879" s="282"/>
      <c r="K879" s="282"/>
      <c r="L879" s="282"/>
      <c r="M879" s="282"/>
      <c r="N879" s="282"/>
      <c r="O879" s="282"/>
      <c r="P879" s="282"/>
      <c r="Q879" s="282"/>
      <c r="R879" s="282"/>
      <c r="S879" s="282"/>
      <c r="T879" s="282"/>
      <c r="U879" s="282"/>
      <c r="V879" s="298"/>
      <c r="W879" s="298"/>
      <c r="X879" s="298"/>
      <c r="Y879" s="298"/>
      <c r="Z879" s="298"/>
      <c r="AA879" s="298"/>
      <c r="AB879" s="298"/>
      <c r="AC879" s="298"/>
      <c r="AD879" s="298"/>
      <c r="AE879" s="298"/>
      <c r="AF879" s="298"/>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row>
    <row r="880">
      <c r="A880" s="304"/>
      <c r="B880" s="282"/>
      <c r="C880" s="298"/>
      <c r="D880" s="282"/>
      <c r="E880" s="282"/>
      <c r="F880" s="282"/>
      <c r="G880" s="282"/>
      <c r="H880" s="282"/>
      <c r="I880" s="282"/>
      <c r="J880" s="282"/>
      <c r="K880" s="282"/>
      <c r="L880" s="282"/>
      <c r="M880" s="282"/>
      <c r="N880" s="282"/>
      <c r="O880" s="282"/>
      <c r="P880" s="282"/>
      <c r="Q880" s="282"/>
      <c r="R880" s="282"/>
      <c r="S880" s="282"/>
      <c r="T880" s="282"/>
      <c r="U880" s="282"/>
      <c r="V880" s="298"/>
      <c r="W880" s="298"/>
      <c r="X880" s="298"/>
      <c r="Y880" s="298"/>
      <c r="Z880" s="298"/>
      <c r="AA880" s="298"/>
      <c r="AB880" s="298"/>
      <c r="AC880" s="298"/>
      <c r="AD880" s="298"/>
      <c r="AE880" s="298"/>
      <c r="AF880" s="298"/>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row>
    <row r="881">
      <c r="A881" s="304"/>
      <c r="B881" s="282"/>
      <c r="C881" s="298"/>
      <c r="D881" s="282"/>
      <c r="E881" s="282"/>
      <c r="F881" s="282"/>
      <c r="G881" s="282"/>
      <c r="H881" s="282"/>
      <c r="I881" s="282"/>
      <c r="J881" s="282"/>
      <c r="K881" s="282"/>
      <c r="L881" s="282"/>
      <c r="M881" s="282"/>
      <c r="N881" s="282"/>
      <c r="O881" s="282"/>
      <c r="P881" s="282"/>
      <c r="Q881" s="282"/>
      <c r="R881" s="282"/>
      <c r="S881" s="282"/>
      <c r="T881" s="282"/>
      <c r="U881" s="282"/>
      <c r="V881" s="298"/>
      <c r="W881" s="298"/>
      <c r="X881" s="298"/>
      <c r="Y881" s="298"/>
      <c r="Z881" s="298"/>
      <c r="AA881" s="298"/>
      <c r="AB881" s="298"/>
      <c r="AC881" s="298"/>
      <c r="AD881" s="298"/>
      <c r="AE881" s="298"/>
      <c r="AF881" s="298"/>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row>
    <row r="882">
      <c r="A882" s="304"/>
      <c r="B882" s="282"/>
      <c r="C882" s="298"/>
      <c r="D882" s="282"/>
      <c r="E882" s="282"/>
      <c r="F882" s="282"/>
      <c r="G882" s="282"/>
      <c r="H882" s="282"/>
      <c r="I882" s="282"/>
      <c r="J882" s="282"/>
      <c r="K882" s="282"/>
      <c r="L882" s="282"/>
      <c r="M882" s="282"/>
      <c r="N882" s="282"/>
      <c r="O882" s="282"/>
      <c r="P882" s="282"/>
      <c r="Q882" s="282"/>
      <c r="R882" s="282"/>
      <c r="S882" s="282"/>
      <c r="T882" s="282"/>
      <c r="U882" s="282"/>
      <c r="V882" s="298"/>
      <c r="W882" s="298"/>
      <c r="X882" s="298"/>
      <c r="Y882" s="298"/>
      <c r="Z882" s="298"/>
      <c r="AA882" s="298"/>
      <c r="AB882" s="298"/>
      <c r="AC882" s="298"/>
      <c r="AD882" s="298"/>
      <c r="AE882" s="298"/>
      <c r="AF882" s="298"/>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row>
    <row r="883">
      <c r="A883" s="304"/>
      <c r="B883" s="282"/>
      <c r="C883" s="298"/>
      <c r="D883" s="282"/>
      <c r="E883" s="282"/>
      <c r="F883" s="282"/>
      <c r="G883" s="282"/>
      <c r="H883" s="282"/>
      <c r="I883" s="282"/>
      <c r="J883" s="282"/>
      <c r="K883" s="282"/>
      <c r="L883" s="282"/>
      <c r="M883" s="282"/>
      <c r="N883" s="282"/>
      <c r="O883" s="282"/>
      <c r="P883" s="282"/>
      <c r="Q883" s="282"/>
      <c r="R883" s="282"/>
      <c r="S883" s="282"/>
      <c r="T883" s="282"/>
      <c r="U883" s="282"/>
      <c r="V883" s="298"/>
      <c r="W883" s="298"/>
      <c r="X883" s="298"/>
      <c r="Y883" s="298"/>
      <c r="Z883" s="298"/>
      <c r="AA883" s="298"/>
      <c r="AB883" s="298"/>
      <c r="AC883" s="298"/>
      <c r="AD883" s="298"/>
      <c r="AE883" s="298"/>
      <c r="AF883" s="298"/>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row>
    <row r="884">
      <c r="A884" s="304"/>
      <c r="B884" s="282"/>
      <c r="C884" s="298"/>
      <c r="D884" s="282"/>
      <c r="E884" s="282"/>
      <c r="F884" s="282"/>
      <c r="G884" s="282"/>
      <c r="H884" s="282"/>
      <c r="I884" s="282"/>
      <c r="J884" s="282"/>
      <c r="K884" s="282"/>
      <c r="L884" s="282"/>
      <c r="M884" s="282"/>
      <c r="N884" s="282"/>
      <c r="O884" s="282"/>
      <c r="P884" s="282"/>
      <c r="Q884" s="282"/>
      <c r="R884" s="282"/>
      <c r="S884" s="282"/>
      <c r="T884" s="282"/>
      <c r="U884" s="282"/>
      <c r="V884" s="298"/>
      <c r="W884" s="298"/>
      <c r="X884" s="298"/>
      <c r="Y884" s="298"/>
      <c r="Z884" s="298"/>
      <c r="AA884" s="298"/>
      <c r="AB884" s="298"/>
      <c r="AC884" s="298"/>
      <c r="AD884" s="298"/>
      <c r="AE884" s="298"/>
      <c r="AF884" s="298"/>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row>
    <row r="885">
      <c r="A885" s="304"/>
      <c r="B885" s="282"/>
      <c r="C885" s="298"/>
      <c r="D885" s="282"/>
      <c r="E885" s="282"/>
      <c r="F885" s="282"/>
      <c r="G885" s="282"/>
      <c r="H885" s="282"/>
      <c r="I885" s="282"/>
      <c r="J885" s="282"/>
      <c r="K885" s="282"/>
      <c r="L885" s="282"/>
      <c r="M885" s="282"/>
      <c r="N885" s="282"/>
      <c r="O885" s="282"/>
      <c r="P885" s="282"/>
      <c r="Q885" s="282"/>
      <c r="R885" s="282"/>
      <c r="S885" s="282"/>
      <c r="T885" s="282"/>
      <c r="U885" s="282"/>
      <c r="V885" s="298"/>
      <c r="W885" s="298"/>
      <c r="X885" s="298"/>
      <c r="Y885" s="298"/>
      <c r="Z885" s="298"/>
      <c r="AA885" s="298"/>
      <c r="AB885" s="298"/>
      <c r="AC885" s="298"/>
      <c r="AD885" s="298"/>
      <c r="AE885" s="298"/>
      <c r="AF885" s="298"/>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row>
    <row r="886">
      <c r="A886" s="304"/>
      <c r="B886" s="282"/>
      <c r="C886" s="298"/>
      <c r="D886" s="282"/>
      <c r="E886" s="282"/>
      <c r="F886" s="282"/>
      <c r="G886" s="282"/>
      <c r="H886" s="282"/>
      <c r="I886" s="282"/>
      <c r="J886" s="282"/>
      <c r="K886" s="282"/>
      <c r="L886" s="282"/>
      <c r="M886" s="282"/>
      <c r="N886" s="282"/>
      <c r="O886" s="282"/>
      <c r="P886" s="282"/>
      <c r="Q886" s="282"/>
      <c r="R886" s="282"/>
      <c r="S886" s="282"/>
      <c r="T886" s="282"/>
      <c r="U886" s="282"/>
      <c r="V886" s="298"/>
      <c r="W886" s="298"/>
      <c r="X886" s="298"/>
      <c r="Y886" s="298"/>
      <c r="Z886" s="298"/>
      <c r="AA886" s="298"/>
      <c r="AB886" s="298"/>
      <c r="AC886" s="298"/>
      <c r="AD886" s="298"/>
      <c r="AE886" s="298"/>
      <c r="AF886" s="298"/>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row>
    <row r="887">
      <c r="A887" s="304"/>
      <c r="B887" s="282"/>
      <c r="C887" s="298"/>
      <c r="D887" s="282"/>
      <c r="E887" s="282"/>
      <c r="F887" s="282"/>
      <c r="G887" s="282"/>
      <c r="H887" s="282"/>
      <c r="I887" s="282"/>
      <c r="J887" s="282"/>
      <c r="K887" s="282"/>
      <c r="L887" s="282"/>
      <c r="M887" s="282"/>
      <c r="N887" s="282"/>
      <c r="O887" s="282"/>
      <c r="P887" s="282"/>
      <c r="Q887" s="282"/>
      <c r="R887" s="282"/>
      <c r="S887" s="282"/>
      <c r="T887" s="282"/>
      <c r="U887" s="282"/>
      <c r="V887" s="298"/>
      <c r="W887" s="298"/>
      <c r="X887" s="298"/>
      <c r="Y887" s="298"/>
      <c r="Z887" s="298"/>
      <c r="AA887" s="298"/>
      <c r="AB887" s="298"/>
      <c r="AC887" s="298"/>
      <c r="AD887" s="298"/>
      <c r="AE887" s="298"/>
      <c r="AF887" s="298"/>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row>
    <row r="888">
      <c r="A888" s="304"/>
      <c r="B888" s="282"/>
      <c r="C888" s="298"/>
      <c r="D888" s="282"/>
      <c r="E888" s="282"/>
      <c r="F888" s="282"/>
      <c r="G888" s="282"/>
      <c r="H888" s="282"/>
      <c r="I888" s="282"/>
      <c r="J888" s="282"/>
      <c r="K888" s="282"/>
      <c r="L888" s="282"/>
      <c r="M888" s="282"/>
      <c r="N888" s="282"/>
      <c r="O888" s="282"/>
      <c r="P888" s="282"/>
      <c r="Q888" s="282"/>
      <c r="R888" s="282"/>
      <c r="S888" s="282"/>
      <c r="T888" s="282"/>
      <c r="U888" s="282"/>
      <c r="V888" s="298"/>
      <c r="W888" s="298"/>
      <c r="X888" s="298"/>
      <c r="Y888" s="298"/>
      <c r="Z888" s="298"/>
      <c r="AA888" s="298"/>
      <c r="AB888" s="298"/>
      <c r="AC888" s="298"/>
      <c r="AD888" s="298"/>
      <c r="AE888" s="298"/>
      <c r="AF888" s="298"/>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row>
    <row r="889">
      <c r="A889" s="304"/>
      <c r="B889" s="282"/>
      <c r="C889" s="298"/>
      <c r="D889" s="282"/>
      <c r="E889" s="282"/>
      <c r="F889" s="282"/>
      <c r="G889" s="282"/>
      <c r="H889" s="282"/>
      <c r="I889" s="282"/>
      <c r="J889" s="282"/>
      <c r="K889" s="282"/>
      <c r="L889" s="282"/>
      <c r="M889" s="282"/>
      <c r="N889" s="282"/>
      <c r="O889" s="282"/>
      <c r="P889" s="282"/>
      <c r="Q889" s="282"/>
      <c r="R889" s="282"/>
      <c r="S889" s="282"/>
      <c r="T889" s="282"/>
      <c r="U889" s="282"/>
      <c r="V889" s="298"/>
      <c r="W889" s="298"/>
      <c r="X889" s="298"/>
      <c r="Y889" s="298"/>
      <c r="Z889" s="298"/>
      <c r="AA889" s="298"/>
      <c r="AB889" s="298"/>
      <c r="AC889" s="298"/>
      <c r="AD889" s="298"/>
      <c r="AE889" s="298"/>
      <c r="AF889" s="298"/>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row>
    <row r="890">
      <c r="A890" s="304"/>
      <c r="B890" s="282"/>
      <c r="C890" s="298"/>
      <c r="D890" s="282"/>
      <c r="E890" s="282"/>
      <c r="F890" s="282"/>
      <c r="G890" s="282"/>
      <c r="H890" s="282"/>
      <c r="I890" s="282"/>
      <c r="J890" s="282"/>
      <c r="K890" s="282"/>
      <c r="L890" s="282"/>
      <c r="M890" s="282"/>
      <c r="N890" s="282"/>
      <c r="O890" s="282"/>
      <c r="P890" s="282"/>
      <c r="Q890" s="282"/>
      <c r="R890" s="282"/>
      <c r="S890" s="282"/>
      <c r="T890" s="282"/>
      <c r="U890" s="282"/>
      <c r="V890" s="298"/>
      <c r="W890" s="298"/>
      <c r="X890" s="298"/>
      <c r="Y890" s="298"/>
      <c r="Z890" s="298"/>
      <c r="AA890" s="298"/>
      <c r="AB890" s="298"/>
      <c r="AC890" s="298"/>
      <c r="AD890" s="298"/>
      <c r="AE890" s="298"/>
      <c r="AF890" s="298"/>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row>
    <row r="891">
      <c r="A891" s="304"/>
      <c r="B891" s="282"/>
      <c r="C891" s="298"/>
      <c r="D891" s="282"/>
      <c r="E891" s="282"/>
      <c r="F891" s="282"/>
      <c r="G891" s="282"/>
      <c r="H891" s="282"/>
      <c r="I891" s="282"/>
      <c r="J891" s="282"/>
      <c r="K891" s="282"/>
      <c r="L891" s="282"/>
      <c r="M891" s="282"/>
      <c r="N891" s="282"/>
      <c r="O891" s="282"/>
      <c r="P891" s="282"/>
      <c r="Q891" s="282"/>
      <c r="R891" s="282"/>
      <c r="S891" s="282"/>
      <c r="T891" s="282"/>
      <c r="U891" s="282"/>
      <c r="V891" s="298"/>
      <c r="W891" s="298"/>
      <c r="X891" s="298"/>
      <c r="Y891" s="298"/>
      <c r="Z891" s="298"/>
      <c r="AA891" s="298"/>
      <c r="AB891" s="298"/>
      <c r="AC891" s="298"/>
      <c r="AD891" s="298"/>
      <c r="AE891" s="298"/>
      <c r="AF891" s="298"/>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row>
    <row r="892">
      <c r="A892" s="304"/>
      <c r="B892" s="282"/>
      <c r="C892" s="298"/>
      <c r="D892" s="282"/>
      <c r="E892" s="282"/>
      <c r="F892" s="282"/>
      <c r="G892" s="282"/>
      <c r="H892" s="282"/>
      <c r="I892" s="282"/>
      <c r="J892" s="282"/>
      <c r="K892" s="282"/>
      <c r="L892" s="282"/>
      <c r="M892" s="282"/>
      <c r="N892" s="282"/>
      <c r="O892" s="282"/>
      <c r="P892" s="282"/>
      <c r="Q892" s="282"/>
      <c r="R892" s="282"/>
      <c r="S892" s="282"/>
      <c r="T892" s="282"/>
      <c r="U892" s="282"/>
      <c r="V892" s="298"/>
      <c r="W892" s="298"/>
      <c r="X892" s="298"/>
      <c r="Y892" s="298"/>
      <c r="Z892" s="298"/>
      <c r="AA892" s="298"/>
      <c r="AB892" s="298"/>
      <c r="AC892" s="298"/>
      <c r="AD892" s="298"/>
      <c r="AE892" s="298"/>
      <c r="AF892" s="298"/>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row>
    <row r="893">
      <c r="A893" s="304"/>
      <c r="B893" s="282"/>
      <c r="C893" s="298"/>
      <c r="D893" s="282"/>
      <c r="E893" s="282"/>
      <c r="F893" s="282"/>
      <c r="G893" s="282"/>
      <c r="H893" s="282"/>
      <c r="I893" s="282"/>
      <c r="J893" s="282"/>
      <c r="K893" s="282"/>
      <c r="L893" s="282"/>
      <c r="M893" s="282"/>
      <c r="N893" s="282"/>
      <c r="O893" s="282"/>
      <c r="P893" s="282"/>
      <c r="Q893" s="282"/>
      <c r="R893" s="282"/>
      <c r="S893" s="282"/>
      <c r="T893" s="282"/>
      <c r="U893" s="282"/>
      <c r="V893" s="298"/>
      <c r="W893" s="298"/>
      <c r="X893" s="298"/>
      <c r="Y893" s="298"/>
      <c r="Z893" s="298"/>
      <c r="AA893" s="298"/>
      <c r="AB893" s="298"/>
      <c r="AC893" s="298"/>
      <c r="AD893" s="298"/>
      <c r="AE893" s="298"/>
      <c r="AF893" s="298"/>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row>
    <row r="894">
      <c r="A894" s="304"/>
      <c r="B894" s="282"/>
      <c r="C894" s="298"/>
      <c r="D894" s="282"/>
      <c r="E894" s="282"/>
      <c r="F894" s="282"/>
      <c r="G894" s="282"/>
      <c r="H894" s="282"/>
      <c r="I894" s="282"/>
      <c r="J894" s="282"/>
      <c r="K894" s="282"/>
      <c r="L894" s="282"/>
      <c r="M894" s="282"/>
      <c r="N894" s="282"/>
      <c r="O894" s="282"/>
      <c r="P894" s="282"/>
      <c r="Q894" s="282"/>
      <c r="R894" s="282"/>
      <c r="S894" s="282"/>
      <c r="T894" s="282"/>
      <c r="U894" s="282"/>
      <c r="V894" s="298"/>
      <c r="W894" s="298"/>
      <c r="X894" s="298"/>
      <c r="Y894" s="298"/>
      <c r="Z894" s="298"/>
      <c r="AA894" s="298"/>
      <c r="AB894" s="298"/>
      <c r="AC894" s="298"/>
      <c r="AD894" s="298"/>
      <c r="AE894" s="298"/>
      <c r="AF894" s="298"/>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row>
    <row r="895">
      <c r="A895" s="304"/>
      <c r="B895" s="282"/>
      <c r="C895" s="298"/>
      <c r="D895" s="282"/>
      <c r="E895" s="282"/>
      <c r="F895" s="282"/>
      <c r="G895" s="282"/>
      <c r="H895" s="282"/>
      <c r="I895" s="282"/>
      <c r="J895" s="282"/>
      <c r="K895" s="282"/>
      <c r="L895" s="282"/>
      <c r="M895" s="282"/>
      <c r="N895" s="282"/>
      <c r="O895" s="282"/>
      <c r="P895" s="282"/>
      <c r="Q895" s="282"/>
      <c r="R895" s="282"/>
      <c r="S895" s="282"/>
      <c r="T895" s="282"/>
      <c r="U895" s="282"/>
      <c r="V895" s="298"/>
      <c r="W895" s="298"/>
      <c r="X895" s="298"/>
      <c r="Y895" s="298"/>
      <c r="Z895" s="298"/>
      <c r="AA895" s="298"/>
      <c r="AB895" s="298"/>
      <c r="AC895" s="298"/>
      <c r="AD895" s="298"/>
      <c r="AE895" s="298"/>
      <c r="AF895" s="298"/>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row>
    <row r="896">
      <c r="A896" s="304"/>
      <c r="B896" s="282"/>
      <c r="C896" s="298"/>
      <c r="D896" s="282"/>
      <c r="E896" s="282"/>
      <c r="F896" s="282"/>
      <c r="G896" s="282"/>
      <c r="H896" s="282"/>
      <c r="I896" s="282"/>
      <c r="J896" s="282"/>
      <c r="K896" s="282"/>
      <c r="L896" s="282"/>
      <c r="M896" s="282"/>
      <c r="N896" s="282"/>
      <c r="O896" s="282"/>
      <c r="P896" s="282"/>
      <c r="Q896" s="282"/>
      <c r="R896" s="282"/>
      <c r="S896" s="282"/>
      <c r="T896" s="282"/>
      <c r="U896" s="282"/>
      <c r="V896" s="298"/>
      <c r="W896" s="298"/>
      <c r="X896" s="298"/>
      <c r="Y896" s="298"/>
      <c r="Z896" s="298"/>
      <c r="AA896" s="298"/>
      <c r="AB896" s="298"/>
      <c r="AC896" s="298"/>
      <c r="AD896" s="298"/>
      <c r="AE896" s="298"/>
      <c r="AF896" s="298"/>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row>
    <row r="897">
      <c r="A897" s="304"/>
      <c r="B897" s="282"/>
      <c r="C897" s="298"/>
      <c r="D897" s="282"/>
      <c r="E897" s="282"/>
      <c r="F897" s="282"/>
      <c r="G897" s="282"/>
      <c r="H897" s="282"/>
      <c r="I897" s="282"/>
      <c r="J897" s="282"/>
      <c r="K897" s="282"/>
      <c r="L897" s="282"/>
      <c r="M897" s="282"/>
      <c r="N897" s="282"/>
      <c r="O897" s="282"/>
      <c r="P897" s="282"/>
      <c r="Q897" s="282"/>
      <c r="R897" s="282"/>
      <c r="S897" s="282"/>
      <c r="T897" s="282"/>
      <c r="U897" s="282"/>
      <c r="V897" s="298"/>
      <c r="W897" s="298"/>
      <c r="X897" s="298"/>
      <c r="Y897" s="298"/>
      <c r="Z897" s="298"/>
      <c r="AA897" s="298"/>
      <c r="AB897" s="298"/>
      <c r="AC897" s="298"/>
      <c r="AD897" s="298"/>
      <c r="AE897" s="298"/>
      <c r="AF897" s="298"/>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row>
    <row r="898">
      <c r="A898" s="304"/>
      <c r="B898" s="282"/>
      <c r="C898" s="298"/>
      <c r="D898" s="282"/>
      <c r="E898" s="282"/>
      <c r="F898" s="282"/>
      <c r="G898" s="282"/>
      <c r="H898" s="282"/>
      <c r="I898" s="282"/>
      <c r="J898" s="282"/>
      <c r="K898" s="282"/>
      <c r="L898" s="282"/>
      <c r="M898" s="282"/>
      <c r="N898" s="282"/>
      <c r="O898" s="282"/>
      <c r="P898" s="282"/>
      <c r="Q898" s="282"/>
      <c r="R898" s="282"/>
      <c r="S898" s="282"/>
      <c r="T898" s="282"/>
      <c r="U898" s="282"/>
      <c r="V898" s="298"/>
      <c r="W898" s="298"/>
      <c r="X898" s="298"/>
      <c r="Y898" s="298"/>
      <c r="Z898" s="298"/>
      <c r="AA898" s="298"/>
      <c r="AB898" s="298"/>
      <c r="AC898" s="298"/>
      <c r="AD898" s="298"/>
      <c r="AE898" s="298"/>
      <c r="AF898" s="298"/>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row>
    <row r="899">
      <c r="A899" s="304"/>
      <c r="B899" s="282"/>
      <c r="C899" s="298"/>
      <c r="D899" s="282"/>
      <c r="E899" s="282"/>
      <c r="F899" s="282"/>
      <c r="G899" s="282"/>
      <c r="H899" s="282"/>
      <c r="I899" s="282"/>
      <c r="J899" s="282"/>
      <c r="K899" s="282"/>
      <c r="L899" s="282"/>
      <c r="M899" s="282"/>
      <c r="N899" s="282"/>
      <c r="O899" s="282"/>
      <c r="P899" s="282"/>
      <c r="Q899" s="282"/>
      <c r="R899" s="282"/>
      <c r="S899" s="282"/>
      <c r="T899" s="282"/>
      <c r="U899" s="282"/>
      <c r="V899" s="298"/>
      <c r="W899" s="298"/>
      <c r="X899" s="298"/>
      <c r="Y899" s="298"/>
      <c r="Z899" s="298"/>
      <c r="AA899" s="298"/>
      <c r="AB899" s="298"/>
      <c r="AC899" s="298"/>
      <c r="AD899" s="298"/>
      <c r="AE899" s="298"/>
      <c r="AF899" s="298"/>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row>
    <row r="900">
      <c r="A900" s="304"/>
      <c r="B900" s="282"/>
      <c r="C900" s="298"/>
      <c r="D900" s="282"/>
      <c r="E900" s="282"/>
      <c r="F900" s="282"/>
      <c r="G900" s="282"/>
      <c r="H900" s="282"/>
      <c r="I900" s="282"/>
      <c r="J900" s="282"/>
      <c r="K900" s="282"/>
      <c r="L900" s="282"/>
      <c r="M900" s="282"/>
      <c r="N900" s="282"/>
      <c r="O900" s="282"/>
      <c r="P900" s="282"/>
      <c r="Q900" s="282"/>
      <c r="R900" s="282"/>
      <c r="S900" s="282"/>
      <c r="T900" s="282"/>
      <c r="U900" s="282"/>
      <c r="V900" s="298"/>
      <c r="W900" s="298"/>
      <c r="X900" s="298"/>
      <c r="Y900" s="298"/>
      <c r="Z900" s="298"/>
      <c r="AA900" s="298"/>
      <c r="AB900" s="298"/>
      <c r="AC900" s="298"/>
      <c r="AD900" s="298"/>
      <c r="AE900" s="298"/>
      <c r="AF900" s="298"/>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row>
    <row r="901">
      <c r="A901" s="304"/>
      <c r="B901" s="282"/>
      <c r="C901" s="298"/>
      <c r="D901" s="282"/>
      <c r="E901" s="282"/>
      <c r="F901" s="282"/>
      <c r="G901" s="282"/>
      <c r="H901" s="282"/>
      <c r="I901" s="282"/>
      <c r="J901" s="282"/>
      <c r="K901" s="282"/>
      <c r="L901" s="282"/>
      <c r="M901" s="282"/>
      <c r="N901" s="282"/>
      <c r="O901" s="282"/>
      <c r="P901" s="282"/>
      <c r="Q901" s="282"/>
      <c r="R901" s="282"/>
      <c r="S901" s="282"/>
      <c r="T901" s="282"/>
      <c r="U901" s="282"/>
      <c r="V901" s="298"/>
      <c r="W901" s="298"/>
      <c r="X901" s="298"/>
      <c r="Y901" s="298"/>
      <c r="Z901" s="298"/>
      <c r="AA901" s="298"/>
      <c r="AB901" s="298"/>
      <c r="AC901" s="298"/>
      <c r="AD901" s="298"/>
      <c r="AE901" s="298"/>
      <c r="AF901" s="298"/>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row>
    <row r="902">
      <c r="A902" s="304"/>
      <c r="B902" s="282"/>
      <c r="C902" s="298"/>
      <c r="D902" s="282"/>
      <c r="E902" s="282"/>
      <c r="F902" s="282"/>
      <c r="G902" s="282"/>
      <c r="H902" s="282"/>
      <c r="I902" s="282"/>
      <c r="J902" s="282"/>
      <c r="K902" s="282"/>
      <c r="L902" s="282"/>
      <c r="M902" s="282"/>
      <c r="N902" s="282"/>
      <c r="O902" s="282"/>
      <c r="P902" s="282"/>
      <c r="Q902" s="282"/>
      <c r="R902" s="282"/>
      <c r="S902" s="282"/>
      <c r="T902" s="282"/>
      <c r="U902" s="282"/>
      <c r="V902" s="298"/>
      <c r="W902" s="298"/>
      <c r="X902" s="298"/>
      <c r="Y902" s="298"/>
      <c r="Z902" s="298"/>
      <c r="AA902" s="298"/>
      <c r="AB902" s="298"/>
      <c r="AC902" s="298"/>
      <c r="AD902" s="298"/>
      <c r="AE902" s="298"/>
      <c r="AF902" s="298"/>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row>
    <row r="903">
      <c r="A903" s="304"/>
      <c r="B903" s="282"/>
      <c r="C903" s="298"/>
      <c r="D903" s="282"/>
      <c r="E903" s="282"/>
      <c r="F903" s="282"/>
      <c r="G903" s="282"/>
      <c r="H903" s="282"/>
      <c r="I903" s="282"/>
      <c r="J903" s="282"/>
      <c r="K903" s="282"/>
      <c r="L903" s="282"/>
      <c r="M903" s="282"/>
      <c r="N903" s="282"/>
      <c r="O903" s="282"/>
      <c r="P903" s="282"/>
      <c r="Q903" s="282"/>
      <c r="R903" s="282"/>
      <c r="S903" s="282"/>
      <c r="T903" s="282"/>
      <c r="U903" s="282"/>
      <c r="V903" s="298"/>
      <c r="W903" s="298"/>
      <c r="X903" s="298"/>
      <c r="Y903" s="298"/>
      <c r="Z903" s="298"/>
      <c r="AA903" s="298"/>
      <c r="AB903" s="298"/>
      <c r="AC903" s="298"/>
      <c r="AD903" s="298"/>
      <c r="AE903" s="298"/>
      <c r="AF903" s="298"/>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row>
    <row r="904">
      <c r="A904" s="304"/>
      <c r="B904" s="282"/>
      <c r="C904" s="298"/>
      <c r="D904" s="282"/>
      <c r="E904" s="282"/>
      <c r="F904" s="282"/>
      <c r="G904" s="282"/>
      <c r="H904" s="282"/>
      <c r="I904" s="282"/>
      <c r="J904" s="282"/>
      <c r="K904" s="282"/>
      <c r="L904" s="282"/>
      <c r="M904" s="282"/>
      <c r="N904" s="282"/>
      <c r="O904" s="282"/>
      <c r="P904" s="282"/>
      <c r="Q904" s="282"/>
      <c r="R904" s="282"/>
      <c r="S904" s="282"/>
      <c r="T904" s="282"/>
      <c r="U904" s="282"/>
      <c r="V904" s="298"/>
      <c r="W904" s="298"/>
      <c r="X904" s="298"/>
      <c r="Y904" s="298"/>
      <c r="Z904" s="298"/>
      <c r="AA904" s="298"/>
      <c r="AB904" s="298"/>
      <c r="AC904" s="298"/>
      <c r="AD904" s="298"/>
      <c r="AE904" s="298"/>
      <c r="AF904" s="298"/>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row>
    <row r="905">
      <c r="A905" s="304"/>
      <c r="B905" s="282"/>
      <c r="C905" s="298"/>
      <c r="D905" s="282"/>
      <c r="E905" s="282"/>
      <c r="F905" s="282"/>
      <c r="G905" s="282"/>
      <c r="H905" s="282"/>
      <c r="I905" s="282"/>
      <c r="J905" s="282"/>
      <c r="K905" s="282"/>
      <c r="L905" s="282"/>
      <c r="M905" s="282"/>
      <c r="N905" s="282"/>
      <c r="O905" s="282"/>
      <c r="P905" s="282"/>
      <c r="Q905" s="282"/>
      <c r="R905" s="282"/>
      <c r="S905" s="282"/>
      <c r="T905" s="282"/>
      <c r="U905" s="282"/>
      <c r="V905" s="298"/>
      <c r="W905" s="298"/>
      <c r="X905" s="298"/>
      <c r="Y905" s="298"/>
      <c r="Z905" s="298"/>
      <c r="AA905" s="298"/>
      <c r="AB905" s="298"/>
      <c r="AC905" s="298"/>
      <c r="AD905" s="298"/>
      <c r="AE905" s="298"/>
      <c r="AF905" s="298"/>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row>
    <row r="906">
      <c r="A906" s="304"/>
      <c r="B906" s="282"/>
      <c r="C906" s="298"/>
      <c r="D906" s="282"/>
      <c r="E906" s="282"/>
      <c r="F906" s="282"/>
      <c r="G906" s="282"/>
      <c r="H906" s="282"/>
      <c r="I906" s="282"/>
      <c r="J906" s="282"/>
      <c r="K906" s="282"/>
      <c r="L906" s="282"/>
      <c r="M906" s="282"/>
      <c r="N906" s="282"/>
      <c r="O906" s="282"/>
      <c r="P906" s="282"/>
      <c r="Q906" s="282"/>
      <c r="R906" s="282"/>
      <c r="S906" s="282"/>
      <c r="T906" s="282"/>
      <c r="U906" s="282"/>
      <c r="V906" s="298"/>
      <c r="W906" s="298"/>
      <c r="X906" s="298"/>
      <c r="Y906" s="298"/>
      <c r="Z906" s="298"/>
      <c r="AA906" s="298"/>
      <c r="AB906" s="298"/>
      <c r="AC906" s="298"/>
      <c r="AD906" s="298"/>
      <c r="AE906" s="298"/>
      <c r="AF906" s="298"/>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row>
    <row r="907">
      <c r="A907" s="304"/>
      <c r="B907" s="282"/>
      <c r="C907" s="298"/>
      <c r="D907" s="282"/>
      <c r="E907" s="282"/>
      <c r="F907" s="282"/>
      <c r="G907" s="282"/>
      <c r="H907" s="282"/>
      <c r="I907" s="282"/>
      <c r="J907" s="282"/>
      <c r="K907" s="282"/>
      <c r="L907" s="282"/>
      <c r="M907" s="282"/>
      <c r="N907" s="282"/>
      <c r="O907" s="282"/>
      <c r="P907" s="282"/>
      <c r="Q907" s="282"/>
      <c r="R907" s="282"/>
      <c r="S907" s="282"/>
      <c r="T907" s="282"/>
      <c r="U907" s="282"/>
      <c r="V907" s="298"/>
      <c r="W907" s="298"/>
      <c r="X907" s="298"/>
      <c r="Y907" s="298"/>
      <c r="Z907" s="298"/>
      <c r="AA907" s="298"/>
      <c r="AB907" s="298"/>
      <c r="AC907" s="298"/>
      <c r="AD907" s="298"/>
      <c r="AE907" s="298"/>
      <c r="AF907" s="298"/>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row>
    <row r="908">
      <c r="A908" s="304"/>
      <c r="B908" s="282"/>
      <c r="C908" s="298"/>
      <c r="D908" s="282"/>
      <c r="E908" s="282"/>
      <c r="F908" s="282"/>
      <c r="G908" s="282"/>
      <c r="H908" s="282"/>
      <c r="I908" s="282"/>
      <c r="J908" s="282"/>
      <c r="K908" s="282"/>
      <c r="L908" s="282"/>
      <c r="M908" s="282"/>
      <c r="N908" s="282"/>
      <c r="O908" s="282"/>
      <c r="P908" s="282"/>
      <c r="Q908" s="282"/>
      <c r="R908" s="282"/>
      <c r="S908" s="282"/>
      <c r="T908" s="282"/>
      <c r="U908" s="282"/>
      <c r="V908" s="298"/>
      <c r="W908" s="298"/>
      <c r="X908" s="298"/>
      <c r="Y908" s="298"/>
      <c r="Z908" s="298"/>
      <c r="AA908" s="298"/>
      <c r="AB908" s="298"/>
      <c r="AC908" s="298"/>
      <c r="AD908" s="298"/>
      <c r="AE908" s="298"/>
      <c r="AF908" s="298"/>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row>
    <row r="909">
      <c r="A909" s="304"/>
      <c r="B909" s="282"/>
      <c r="C909" s="298"/>
      <c r="D909" s="282"/>
      <c r="E909" s="282"/>
      <c r="F909" s="282"/>
      <c r="G909" s="282"/>
      <c r="H909" s="282"/>
      <c r="I909" s="282"/>
      <c r="J909" s="282"/>
      <c r="K909" s="282"/>
      <c r="L909" s="282"/>
      <c r="M909" s="282"/>
      <c r="N909" s="282"/>
      <c r="O909" s="282"/>
      <c r="P909" s="282"/>
      <c r="Q909" s="282"/>
      <c r="R909" s="282"/>
      <c r="S909" s="282"/>
      <c r="T909" s="282"/>
      <c r="U909" s="282"/>
      <c r="V909" s="298"/>
      <c r="W909" s="298"/>
      <c r="X909" s="298"/>
      <c r="Y909" s="298"/>
      <c r="Z909" s="298"/>
      <c r="AA909" s="298"/>
      <c r="AB909" s="298"/>
      <c r="AC909" s="298"/>
      <c r="AD909" s="298"/>
      <c r="AE909" s="298"/>
      <c r="AF909" s="298"/>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row>
    <row r="910">
      <c r="A910" s="304"/>
      <c r="B910" s="282"/>
      <c r="C910" s="298"/>
      <c r="D910" s="282"/>
      <c r="E910" s="282"/>
      <c r="F910" s="282"/>
      <c r="G910" s="282"/>
      <c r="H910" s="282"/>
      <c r="I910" s="282"/>
      <c r="J910" s="282"/>
      <c r="K910" s="282"/>
      <c r="L910" s="282"/>
      <c r="M910" s="282"/>
      <c r="N910" s="282"/>
      <c r="O910" s="282"/>
      <c r="P910" s="282"/>
      <c r="Q910" s="282"/>
      <c r="R910" s="282"/>
      <c r="S910" s="282"/>
      <c r="T910" s="282"/>
      <c r="U910" s="282"/>
      <c r="V910" s="298"/>
      <c r="W910" s="298"/>
      <c r="X910" s="298"/>
      <c r="Y910" s="298"/>
      <c r="Z910" s="298"/>
      <c r="AA910" s="298"/>
      <c r="AB910" s="298"/>
      <c r="AC910" s="298"/>
      <c r="AD910" s="298"/>
      <c r="AE910" s="298"/>
      <c r="AF910" s="298"/>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row>
    <row r="911">
      <c r="A911" s="304"/>
      <c r="B911" s="282"/>
      <c r="C911" s="298"/>
      <c r="D911" s="282"/>
      <c r="E911" s="282"/>
      <c r="F911" s="282"/>
      <c r="G911" s="282"/>
      <c r="H911" s="282"/>
      <c r="I911" s="282"/>
      <c r="J911" s="282"/>
      <c r="K911" s="282"/>
      <c r="L911" s="282"/>
      <c r="M911" s="282"/>
      <c r="N911" s="282"/>
      <c r="O911" s="282"/>
      <c r="P911" s="282"/>
      <c r="Q911" s="282"/>
      <c r="R911" s="282"/>
      <c r="S911" s="282"/>
      <c r="T911" s="282"/>
      <c r="U911" s="282"/>
      <c r="V911" s="298"/>
      <c r="W911" s="298"/>
      <c r="X911" s="298"/>
      <c r="Y911" s="298"/>
      <c r="Z911" s="298"/>
      <c r="AA911" s="298"/>
      <c r="AB911" s="298"/>
      <c r="AC911" s="298"/>
      <c r="AD911" s="298"/>
      <c r="AE911" s="298"/>
      <c r="AF911" s="298"/>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row>
    <row r="912">
      <c r="A912" s="304"/>
      <c r="B912" s="282"/>
      <c r="C912" s="298"/>
      <c r="D912" s="282"/>
      <c r="E912" s="282"/>
      <c r="F912" s="282"/>
      <c r="G912" s="282"/>
      <c r="H912" s="282"/>
      <c r="I912" s="282"/>
      <c r="J912" s="282"/>
      <c r="K912" s="282"/>
      <c r="L912" s="282"/>
      <c r="M912" s="282"/>
      <c r="N912" s="282"/>
      <c r="O912" s="282"/>
      <c r="P912" s="282"/>
      <c r="Q912" s="282"/>
      <c r="R912" s="282"/>
      <c r="S912" s="282"/>
      <c r="T912" s="282"/>
      <c r="U912" s="282"/>
      <c r="V912" s="298"/>
      <c r="W912" s="298"/>
      <c r="X912" s="298"/>
      <c r="Y912" s="298"/>
      <c r="Z912" s="298"/>
      <c r="AA912" s="298"/>
      <c r="AB912" s="298"/>
      <c r="AC912" s="298"/>
      <c r="AD912" s="298"/>
      <c r="AE912" s="298"/>
      <c r="AF912" s="298"/>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row>
    <row r="913">
      <c r="A913" s="304"/>
      <c r="B913" s="282"/>
      <c r="C913" s="298"/>
      <c r="D913" s="282"/>
      <c r="E913" s="282"/>
      <c r="F913" s="282"/>
      <c r="G913" s="282"/>
      <c r="H913" s="282"/>
      <c r="I913" s="282"/>
      <c r="J913" s="282"/>
      <c r="K913" s="282"/>
      <c r="L913" s="282"/>
      <c r="M913" s="282"/>
      <c r="N913" s="282"/>
      <c r="O913" s="282"/>
      <c r="P913" s="282"/>
      <c r="Q913" s="282"/>
      <c r="R913" s="282"/>
      <c r="S913" s="282"/>
      <c r="T913" s="282"/>
      <c r="U913" s="282"/>
      <c r="V913" s="298"/>
      <c r="W913" s="298"/>
      <c r="X913" s="298"/>
      <c r="Y913" s="298"/>
      <c r="Z913" s="298"/>
      <c r="AA913" s="298"/>
      <c r="AB913" s="298"/>
      <c r="AC913" s="298"/>
      <c r="AD913" s="298"/>
      <c r="AE913" s="298"/>
      <c r="AF913" s="298"/>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row>
    <row r="914">
      <c r="A914" s="304"/>
      <c r="B914" s="282"/>
      <c r="C914" s="298"/>
      <c r="D914" s="282"/>
      <c r="E914" s="282"/>
      <c r="F914" s="282"/>
      <c r="G914" s="282"/>
      <c r="H914" s="282"/>
      <c r="I914" s="282"/>
      <c r="J914" s="282"/>
      <c r="K914" s="282"/>
      <c r="L914" s="282"/>
      <c r="M914" s="282"/>
      <c r="N914" s="282"/>
      <c r="O914" s="282"/>
      <c r="P914" s="282"/>
      <c r="Q914" s="282"/>
      <c r="R914" s="282"/>
      <c r="S914" s="282"/>
      <c r="T914" s="282"/>
      <c r="U914" s="282"/>
      <c r="V914" s="298"/>
      <c r="W914" s="298"/>
      <c r="X914" s="298"/>
      <c r="Y914" s="298"/>
      <c r="Z914" s="298"/>
      <c r="AA914" s="298"/>
      <c r="AB914" s="298"/>
      <c r="AC914" s="298"/>
      <c r="AD914" s="298"/>
      <c r="AE914" s="298"/>
      <c r="AF914" s="298"/>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row>
    <row r="915">
      <c r="A915" s="304"/>
      <c r="B915" s="282"/>
      <c r="C915" s="298"/>
      <c r="D915" s="282"/>
      <c r="E915" s="282"/>
      <c r="F915" s="282"/>
      <c r="G915" s="282"/>
      <c r="H915" s="282"/>
      <c r="I915" s="282"/>
      <c r="J915" s="282"/>
      <c r="K915" s="282"/>
      <c r="L915" s="282"/>
      <c r="M915" s="282"/>
      <c r="N915" s="282"/>
      <c r="O915" s="282"/>
      <c r="P915" s="282"/>
      <c r="Q915" s="282"/>
      <c r="R915" s="282"/>
      <c r="S915" s="282"/>
      <c r="T915" s="282"/>
      <c r="U915" s="282"/>
      <c r="V915" s="298"/>
      <c r="W915" s="298"/>
      <c r="X915" s="298"/>
      <c r="Y915" s="298"/>
      <c r="Z915" s="298"/>
      <c r="AA915" s="298"/>
      <c r="AB915" s="298"/>
      <c r="AC915" s="298"/>
      <c r="AD915" s="298"/>
      <c r="AE915" s="298"/>
      <c r="AF915" s="298"/>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row>
    <row r="916">
      <c r="A916" s="304"/>
      <c r="B916" s="282"/>
      <c r="C916" s="298"/>
      <c r="D916" s="282"/>
      <c r="E916" s="282"/>
      <c r="F916" s="282"/>
      <c r="G916" s="282"/>
      <c r="H916" s="282"/>
      <c r="I916" s="282"/>
      <c r="J916" s="282"/>
      <c r="K916" s="282"/>
      <c r="L916" s="282"/>
      <c r="M916" s="282"/>
      <c r="N916" s="282"/>
      <c r="O916" s="282"/>
      <c r="P916" s="282"/>
      <c r="Q916" s="282"/>
      <c r="R916" s="282"/>
      <c r="S916" s="282"/>
      <c r="T916" s="282"/>
      <c r="U916" s="282"/>
      <c r="V916" s="298"/>
      <c r="W916" s="298"/>
      <c r="X916" s="298"/>
      <c r="Y916" s="298"/>
      <c r="Z916" s="298"/>
      <c r="AA916" s="298"/>
      <c r="AB916" s="298"/>
      <c r="AC916" s="298"/>
      <c r="AD916" s="298"/>
      <c r="AE916" s="298"/>
      <c r="AF916" s="298"/>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row>
    <row r="917">
      <c r="A917" s="304"/>
      <c r="B917" s="282"/>
      <c r="C917" s="298"/>
      <c r="D917" s="282"/>
      <c r="E917" s="282"/>
      <c r="F917" s="282"/>
      <c r="G917" s="282"/>
      <c r="H917" s="282"/>
      <c r="I917" s="282"/>
      <c r="J917" s="282"/>
      <c r="K917" s="282"/>
      <c r="L917" s="282"/>
      <c r="M917" s="282"/>
      <c r="N917" s="282"/>
      <c r="O917" s="282"/>
      <c r="P917" s="282"/>
      <c r="Q917" s="282"/>
      <c r="R917" s="282"/>
      <c r="S917" s="282"/>
      <c r="T917" s="282"/>
      <c r="U917" s="282"/>
      <c r="V917" s="298"/>
      <c r="W917" s="298"/>
      <c r="X917" s="298"/>
      <c r="Y917" s="298"/>
      <c r="Z917" s="298"/>
      <c r="AA917" s="298"/>
      <c r="AB917" s="298"/>
      <c r="AC917" s="298"/>
      <c r="AD917" s="298"/>
      <c r="AE917" s="298"/>
      <c r="AF917" s="298"/>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row>
    <row r="918">
      <c r="A918" s="304"/>
      <c r="B918" s="282"/>
      <c r="C918" s="298"/>
      <c r="D918" s="282"/>
      <c r="E918" s="282"/>
      <c r="F918" s="282"/>
      <c r="G918" s="282"/>
      <c r="H918" s="282"/>
      <c r="I918" s="282"/>
      <c r="J918" s="282"/>
      <c r="K918" s="282"/>
      <c r="L918" s="282"/>
      <c r="M918" s="282"/>
      <c r="N918" s="282"/>
      <c r="O918" s="282"/>
      <c r="P918" s="282"/>
      <c r="Q918" s="282"/>
      <c r="R918" s="282"/>
      <c r="S918" s="282"/>
      <c r="T918" s="282"/>
      <c r="U918" s="282"/>
      <c r="V918" s="298"/>
      <c r="W918" s="298"/>
      <c r="X918" s="298"/>
      <c r="Y918" s="298"/>
      <c r="Z918" s="298"/>
      <c r="AA918" s="298"/>
      <c r="AB918" s="298"/>
      <c r="AC918" s="298"/>
      <c r="AD918" s="298"/>
      <c r="AE918" s="298"/>
      <c r="AF918" s="298"/>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row>
    <row r="919">
      <c r="A919" s="304"/>
      <c r="B919" s="282"/>
      <c r="C919" s="298"/>
      <c r="D919" s="282"/>
      <c r="E919" s="282"/>
      <c r="F919" s="282"/>
      <c r="G919" s="282"/>
      <c r="H919" s="282"/>
      <c r="I919" s="282"/>
      <c r="J919" s="282"/>
      <c r="K919" s="282"/>
      <c r="L919" s="282"/>
      <c r="M919" s="282"/>
      <c r="N919" s="282"/>
      <c r="O919" s="282"/>
      <c r="P919" s="282"/>
      <c r="Q919" s="282"/>
      <c r="R919" s="282"/>
      <c r="S919" s="282"/>
      <c r="T919" s="282"/>
      <c r="U919" s="282"/>
      <c r="V919" s="298"/>
      <c r="W919" s="298"/>
      <c r="X919" s="298"/>
      <c r="Y919" s="298"/>
      <c r="Z919" s="298"/>
      <c r="AA919" s="298"/>
      <c r="AB919" s="298"/>
      <c r="AC919" s="298"/>
      <c r="AD919" s="298"/>
      <c r="AE919" s="298"/>
      <c r="AF919" s="298"/>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row>
    <row r="920">
      <c r="A920" s="304"/>
      <c r="B920" s="282"/>
      <c r="C920" s="298"/>
      <c r="D920" s="282"/>
      <c r="E920" s="282"/>
      <c r="F920" s="282"/>
      <c r="G920" s="282"/>
      <c r="H920" s="282"/>
      <c r="I920" s="282"/>
      <c r="J920" s="282"/>
      <c r="K920" s="282"/>
      <c r="L920" s="282"/>
      <c r="M920" s="282"/>
      <c r="N920" s="282"/>
      <c r="O920" s="282"/>
      <c r="P920" s="282"/>
      <c r="Q920" s="282"/>
      <c r="R920" s="282"/>
      <c r="S920" s="282"/>
      <c r="T920" s="282"/>
      <c r="U920" s="282"/>
      <c r="V920" s="298"/>
      <c r="W920" s="298"/>
      <c r="X920" s="298"/>
      <c r="Y920" s="298"/>
      <c r="Z920" s="298"/>
      <c r="AA920" s="298"/>
      <c r="AB920" s="298"/>
      <c r="AC920" s="298"/>
      <c r="AD920" s="298"/>
      <c r="AE920" s="298"/>
      <c r="AF920" s="298"/>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row>
    <row r="921">
      <c r="A921" s="304"/>
      <c r="B921" s="282"/>
      <c r="C921" s="298"/>
      <c r="D921" s="282"/>
      <c r="E921" s="282"/>
      <c r="F921" s="282"/>
      <c r="G921" s="282"/>
      <c r="H921" s="282"/>
      <c r="I921" s="282"/>
      <c r="J921" s="282"/>
      <c r="K921" s="282"/>
      <c r="L921" s="282"/>
      <c r="M921" s="282"/>
      <c r="N921" s="282"/>
      <c r="O921" s="282"/>
      <c r="P921" s="282"/>
      <c r="Q921" s="282"/>
      <c r="R921" s="282"/>
      <c r="S921" s="282"/>
      <c r="T921" s="282"/>
      <c r="U921" s="282"/>
      <c r="V921" s="298"/>
      <c r="W921" s="298"/>
      <c r="X921" s="298"/>
      <c r="Y921" s="298"/>
      <c r="Z921" s="298"/>
      <c r="AA921" s="298"/>
      <c r="AB921" s="298"/>
      <c r="AC921" s="298"/>
      <c r="AD921" s="298"/>
      <c r="AE921" s="298"/>
      <c r="AF921" s="298"/>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row>
    <row r="922">
      <c r="A922" s="304"/>
      <c r="B922" s="282"/>
      <c r="C922" s="298"/>
      <c r="D922" s="282"/>
      <c r="E922" s="282"/>
      <c r="F922" s="282"/>
      <c r="G922" s="282"/>
      <c r="H922" s="282"/>
      <c r="I922" s="282"/>
      <c r="J922" s="282"/>
      <c r="K922" s="282"/>
      <c r="L922" s="282"/>
      <c r="M922" s="282"/>
      <c r="N922" s="282"/>
      <c r="O922" s="282"/>
      <c r="P922" s="282"/>
      <c r="Q922" s="282"/>
      <c r="R922" s="282"/>
      <c r="S922" s="282"/>
      <c r="T922" s="282"/>
      <c r="U922" s="282"/>
      <c r="V922" s="298"/>
      <c r="W922" s="298"/>
      <c r="X922" s="298"/>
      <c r="Y922" s="298"/>
      <c r="Z922" s="298"/>
      <c r="AA922" s="298"/>
      <c r="AB922" s="298"/>
      <c r="AC922" s="298"/>
      <c r="AD922" s="298"/>
      <c r="AE922" s="298"/>
      <c r="AF922" s="298"/>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row>
    <row r="923">
      <c r="A923" s="304"/>
      <c r="B923" s="282"/>
      <c r="C923" s="298"/>
      <c r="D923" s="282"/>
      <c r="E923" s="282"/>
      <c r="F923" s="282"/>
      <c r="G923" s="282"/>
      <c r="H923" s="282"/>
      <c r="I923" s="282"/>
      <c r="J923" s="282"/>
      <c r="K923" s="282"/>
      <c r="L923" s="282"/>
      <c r="M923" s="282"/>
      <c r="N923" s="282"/>
      <c r="O923" s="282"/>
      <c r="P923" s="282"/>
      <c r="Q923" s="282"/>
      <c r="R923" s="282"/>
      <c r="S923" s="282"/>
      <c r="T923" s="282"/>
      <c r="U923" s="282"/>
      <c r="V923" s="298"/>
      <c r="W923" s="298"/>
      <c r="X923" s="298"/>
      <c r="Y923" s="298"/>
      <c r="Z923" s="298"/>
      <c r="AA923" s="298"/>
      <c r="AB923" s="298"/>
      <c r="AC923" s="298"/>
      <c r="AD923" s="298"/>
      <c r="AE923" s="298"/>
      <c r="AF923" s="298"/>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row>
    <row r="924">
      <c r="A924" s="304"/>
      <c r="B924" s="282"/>
      <c r="C924" s="298"/>
      <c r="D924" s="282"/>
      <c r="E924" s="282"/>
      <c r="F924" s="282"/>
      <c r="G924" s="282"/>
      <c r="H924" s="282"/>
      <c r="I924" s="282"/>
      <c r="J924" s="282"/>
      <c r="K924" s="282"/>
      <c r="L924" s="282"/>
      <c r="M924" s="282"/>
      <c r="N924" s="282"/>
      <c r="O924" s="282"/>
      <c r="P924" s="282"/>
      <c r="Q924" s="282"/>
      <c r="R924" s="282"/>
      <c r="S924" s="282"/>
      <c r="T924" s="282"/>
      <c r="U924" s="282"/>
      <c r="V924" s="298"/>
      <c r="W924" s="298"/>
      <c r="X924" s="298"/>
      <c r="Y924" s="298"/>
      <c r="Z924" s="298"/>
      <c r="AA924" s="298"/>
      <c r="AB924" s="298"/>
      <c r="AC924" s="298"/>
      <c r="AD924" s="298"/>
      <c r="AE924" s="298"/>
      <c r="AF924" s="298"/>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row>
    <row r="925">
      <c r="A925" s="304"/>
      <c r="B925" s="282"/>
      <c r="C925" s="298"/>
      <c r="D925" s="282"/>
      <c r="E925" s="282"/>
      <c r="F925" s="282"/>
      <c r="G925" s="282"/>
      <c r="H925" s="282"/>
      <c r="I925" s="282"/>
      <c r="J925" s="282"/>
      <c r="K925" s="282"/>
      <c r="L925" s="282"/>
      <c r="M925" s="282"/>
      <c r="N925" s="282"/>
      <c r="O925" s="282"/>
      <c r="P925" s="282"/>
      <c r="Q925" s="282"/>
      <c r="R925" s="282"/>
      <c r="S925" s="282"/>
      <c r="T925" s="282"/>
      <c r="U925" s="282"/>
      <c r="V925" s="298"/>
      <c r="W925" s="298"/>
      <c r="X925" s="298"/>
      <c r="Y925" s="298"/>
      <c r="Z925" s="298"/>
      <c r="AA925" s="298"/>
      <c r="AB925" s="298"/>
      <c r="AC925" s="298"/>
      <c r="AD925" s="298"/>
      <c r="AE925" s="298"/>
      <c r="AF925" s="298"/>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row>
    <row r="926">
      <c r="A926" s="304"/>
      <c r="B926" s="282"/>
      <c r="C926" s="298"/>
      <c r="D926" s="282"/>
      <c r="E926" s="282"/>
      <c r="F926" s="282"/>
      <c r="G926" s="282"/>
      <c r="H926" s="282"/>
      <c r="I926" s="282"/>
      <c r="J926" s="282"/>
      <c r="K926" s="282"/>
      <c r="L926" s="282"/>
      <c r="M926" s="282"/>
      <c r="N926" s="282"/>
      <c r="O926" s="282"/>
      <c r="P926" s="282"/>
      <c r="Q926" s="282"/>
      <c r="R926" s="282"/>
      <c r="S926" s="282"/>
      <c r="T926" s="282"/>
      <c r="U926" s="282"/>
      <c r="V926" s="298"/>
      <c r="W926" s="298"/>
      <c r="X926" s="298"/>
      <c r="Y926" s="298"/>
      <c r="Z926" s="298"/>
      <c r="AA926" s="298"/>
      <c r="AB926" s="298"/>
      <c r="AC926" s="298"/>
      <c r="AD926" s="298"/>
      <c r="AE926" s="298"/>
      <c r="AF926" s="298"/>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row>
    <row r="927">
      <c r="A927" s="304"/>
      <c r="B927" s="282"/>
      <c r="C927" s="298"/>
      <c r="D927" s="282"/>
      <c r="E927" s="282"/>
      <c r="F927" s="282"/>
      <c r="G927" s="282"/>
      <c r="H927" s="282"/>
      <c r="I927" s="282"/>
      <c r="J927" s="282"/>
      <c r="K927" s="282"/>
      <c r="L927" s="282"/>
      <c r="M927" s="282"/>
      <c r="N927" s="282"/>
      <c r="O927" s="282"/>
      <c r="P927" s="282"/>
      <c r="Q927" s="282"/>
      <c r="R927" s="282"/>
      <c r="S927" s="282"/>
      <c r="T927" s="282"/>
      <c r="U927" s="282"/>
      <c r="V927" s="298"/>
      <c r="W927" s="298"/>
      <c r="X927" s="298"/>
      <c r="Y927" s="298"/>
      <c r="Z927" s="298"/>
      <c r="AA927" s="298"/>
      <c r="AB927" s="298"/>
      <c r="AC927" s="298"/>
      <c r="AD927" s="298"/>
      <c r="AE927" s="298"/>
      <c r="AF927" s="298"/>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row>
    <row r="928">
      <c r="A928" s="304"/>
      <c r="B928" s="282"/>
      <c r="C928" s="298"/>
      <c r="D928" s="282"/>
      <c r="E928" s="282"/>
      <c r="F928" s="282"/>
      <c r="G928" s="282"/>
      <c r="H928" s="282"/>
      <c r="I928" s="282"/>
      <c r="J928" s="282"/>
      <c r="K928" s="282"/>
      <c r="L928" s="282"/>
      <c r="M928" s="282"/>
      <c r="N928" s="282"/>
      <c r="O928" s="282"/>
      <c r="P928" s="282"/>
      <c r="Q928" s="282"/>
      <c r="R928" s="282"/>
      <c r="S928" s="282"/>
      <c r="T928" s="282"/>
      <c r="U928" s="282"/>
      <c r="V928" s="298"/>
      <c r="W928" s="298"/>
      <c r="X928" s="298"/>
      <c r="Y928" s="298"/>
      <c r="Z928" s="298"/>
      <c r="AA928" s="298"/>
      <c r="AB928" s="298"/>
      <c r="AC928" s="298"/>
      <c r="AD928" s="298"/>
      <c r="AE928" s="298"/>
      <c r="AF928" s="298"/>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row>
    <row r="929">
      <c r="A929" s="304"/>
      <c r="B929" s="282"/>
      <c r="C929" s="298"/>
      <c r="D929" s="282"/>
      <c r="E929" s="282"/>
      <c r="F929" s="282"/>
      <c r="G929" s="282"/>
      <c r="H929" s="282"/>
      <c r="I929" s="282"/>
      <c r="J929" s="282"/>
      <c r="K929" s="282"/>
      <c r="L929" s="282"/>
      <c r="M929" s="282"/>
      <c r="N929" s="282"/>
      <c r="O929" s="282"/>
      <c r="P929" s="282"/>
      <c r="Q929" s="282"/>
      <c r="R929" s="282"/>
      <c r="S929" s="282"/>
      <c r="T929" s="282"/>
      <c r="U929" s="282"/>
      <c r="V929" s="298"/>
      <c r="W929" s="298"/>
      <c r="X929" s="298"/>
      <c r="Y929" s="298"/>
      <c r="Z929" s="298"/>
      <c r="AA929" s="298"/>
      <c r="AB929" s="298"/>
      <c r="AC929" s="298"/>
      <c r="AD929" s="298"/>
      <c r="AE929" s="298"/>
      <c r="AF929" s="298"/>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row>
    <row r="930">
      <c r="A930" s="304"/>
      <c r="B930" s="282"/>
      <c r="C930" s="298"/>
      <c r="D930" s="282"/>
      <c r="E930" s="282"/>
      <c r="F930" s="282"/>
      <c r="G930" s="282"/>
      <c r="H930" s="282"/>
      <c r="I930" s="282"/>
      <c r="J930" s="282"/>
      <c r="K930" s="282"/>
      <c r="L930" s="282"/>
      <c r="M930" s="282"/>
      <c r="N930" s="282"/>
      <c r="O930" s="282"/>
      <c r="P930" s="282"/>
      <c r="Q930" s="282"/>
      <c r="R930" s="282"/>
      <c r="S930" s="282"/>
      <c r="T930" s="282"/>
      <c r="U930" s="282"/>
      <c r="V930" s="298"/>
      <c r="W930" s="298"/>
      <c r="X930" s="298"/>
      <c r="Y930" s="298"/>
      <c r="Z930" s="298"/>
      <c r="AA930" s="298"/>
      <c r="AB930" s="298"/>
      <c r="AC930" s="298"/>
      <c r="AD930" s="298"/>
      <c r="AE930" s="298"/>
      <c r="AF930" s="298"/>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row>
    <row r="931">
      <c r="A931" s="304"/>
      <c r="B931" s="282"/>
      <c r="C931" s="298"/>
      <c r="D931" s="282"/>
      <c r="E931" s="282"/>
      <c r="F931" s="282"/>
      <c r="G931" s="282"/>
      <c r="H931" s="282"/>
      <c r="I931" s="282"/>
      <c r="J931" s="282"/>
      <c r="K931" s="282"/>
      <c r="L931" s="282"/>
      <c r="M931" s="282"/>
      <c r="N931" s="282"/>
      <c r="O931" s="282"/>
      <c r="P931" s="282"/>
      <c r="Q931" s="282"/>
      <c r="R931" s="282"/>
      <c r="S931" s="282"/>
      <c r="T931" s="282"/>
      <c r="U931" s="282"/>
      <c r="V931" s="298"/>
      <c r="W931" s="298"/>
      <c r="X931" s="298"/>
      <c r="Y931" s="298"/>
      <c r="Z931" s="298"/>
      <c r="AA931" s="298"/>
      <c r="AB931" s="298"/>
      <c r="AC931" s="298"/>
      <c r="AD931" s="298"/>
      <c r="AE931" s="298"/>
      <c r="AF931" s="298"/>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row>
    <row r="932">
      <c r="A932" s="304"/>
      <c r="B932" s="282"/>
      <c r="C932" s="298"/>
      <c r="D932" s="282"/>
      <c r="E932" s="282"/>
      <c r="F932" s="282"/>
      <c r="G932" s="282"/>
      <c r="H932" s="282"/>
      <c r="I932" s="282"/>
      <c r="J932" s="282"/>
      <c r="K932" s="282"/>
      <c r="L932" s="282"/>
      <c r="M932" s="282"/>
      <c r="N932" s="282"/>
      <c r="O932" s="282"/>
      <c r="P932" s="282"/>
      <c r="Q932" s="282"/>
      <c r="R932" s="282"/>
      <c r="S932" s="282"/>
      <c r="T932" s="282"/>
      <c r="U932" s="282"/>
      <c r="V932" s="298"/>
      <c r="W932" s="298"/>
      <c r="X932" s="298"/>
      <c r="Y932" s="298"/>
      <c r="Z932" s="298"/>
      <c r="AA932" s="298"/>
      <c r="AB932" s="298"/>
      <c r="AC932" s="298"/>
      <c r="AD932" s="298"/>
      <c r="AE932" s="298"/>
      <c r="AF932" s="298"/>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row>
    <row r="933">
      <c r="A933" s="304"/>
      <c r="B933" s="282"/>
      <c r="C933" s="298"/>
      <c r="D933" s="282"/>
      <c r="E933" s="282"/>
      <c r="F933" s="282"/>
      <c r="G933" s="282"/>
      <c r="H933" s="282"/>
      <c r="I933" s="282"/>
      <c r="J933" s="282"/>
      <c r="K933" s="282"/>
      <c r="L933" s="282"/>
      <c r="M933" s="282"/>
      <c r="N933" s="282"/>
      <c r="O933" s="282"/>
      <c r="P933" s="282"/>
      <c r="Q933" s="282"/>
      <c r="R933" s="282"/>
      <c r="S933" s="282"/>
      <c r="T933" s="282"/>
      <c r="U933" s="282"/>
      <c r="V933" s="298"/>
      <c r="W933" s="298"/>
      <c r="X933" s="298"/>
      <c r="Y933" s="298"/>
      <c r="Z933" s="298"/>
      <c r="AA933" s="298"/>
      <c r="AB933" s="298"/>
      <c r="AC933" s="298"/>
      <c r="AD933" s="298"/>
      <c r="AE933" s="298"/>
      <c r="AF933" s="298"/>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row>
    <row r="934">
      <c r="A934" s="304"/>
      <c r="B934" s="282"/>
      <c r="C934" s="298"/>
      <c r="D934" s="282"/>
      <c r="E934" s="282"/>
      <c r="F934" s="282"/>
      <c r="G934" s="282"/>
      <c r="H934" s="282"/>
      <c r="I934" s="282"/>
      <c r="J934" s="282"/>
      <c r="K934" s="282"/>
      <c r="L934" s="282"/>
      <c r="M934" s="282"/>
      <c r="N934" s="282"/>
      <c r="O934" s="282"/>
      <c r="P934" s="282"/>
      <c r="Q934" s="282"/>
      <c r="R934" s="282"/>
      <c r="S934" s="282"/>
      <c r="T934" s="282"/>
      <c r="U934" s="282"/>
      <c r="V934" s="298"/>
      <c r="W934" s="298"/>
      <c r="X934" s="298"/>
      <c r="Y934" s="298"/>
      <c r="Z934" s="298"/>
      <c r="AA934" s="298"/>
      <c r="AB934" s="298"/>
      <c r="AC934" s="298"/>
      <c r="AD934" s="298"/>
      <c r="AE934" s="298"/>
      <c r="AF934" s="298"/>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row>
    <row r="935">
      <c r="A935" s="304"/>
      <c r="B935" s="282"/>
      <c r="C935" s="298"/>
      <c r="D935" s="282"/>
      <c r="E935" s="282"/>
      <c r="F935" s="282"/>
      <c r="G935" s="282"/>
      <c r="H935" s="282"/>
      <c r="I935" s="282"/>
      <c r="J935" s="282"/>
      <c r="K935" s="282"/>
      <c r="L935" s="282"/>
      <c r="M935" s="282"/>
      <c r="N935" s="282"/>
      <c r="O935" s="282"/>
      <c r="P935" s="282"/>
      <c r="Q935" s="282"/>
      <c r="R935" s="282"/>
      <c r="S935" s="282"/>
      <c r="T935" s="282"/>
      <c r="U935" s="282"/>
      <c r="V935" s="298"/>
      <c r="W935" s="298"/>
      <c r="X935" s="298"/>
      <c r="Y935" s="298"/>
      <c r="Z935" s="298"/>
      <c r="AA935" s="298"/>
      <c r="AB935" s="298"/>
      <c r="AC935" s="298"/>
      <c r="AD935" s="298"/>
      <c r="AE935" s="298"/>
      <c r="AF935" s="298"/>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row>
    <row r="936">
      <c r="A936" s="304"/>
      <c r="B936" s="282"/>
      <c r="C936" s="298"/>
      <c r="D936" s="282"/>
      <c r="E936" s="282"/>
      <c r="F936" s="282"/>
      <c r="G936" s="282"/>
      <c r="H936" s="282"/>
      <c r="I936" s="282"/>
      <c r="J936" s="282"/>
      <c r="K936" s="282"/>
      <c r="L936" s="282"/>
      <c r="M936" s="282"/>
      <c r="N936" s="282"/>
      <c r="O936" s="282"/>
      <c r="P936" s="282"/>
      <c r="Q936" s="282"/>
      <c r="R936" s="282"/>
      <c r="S936" s="282"/>
      <c r="T936" s="282"/>
      <c r="U936" s="282"/>
      <c r="V936" s="298"/>
      <c r="W936" s="298"/>
      <c r="X936" s="298"/>
      <c r="Y936" s="298"/>
      <c r="Z936" s="298"/>
      <c r="AA936" s="298"/>
      <c r="AB936" s="298"/>
      <c r="AC936" s="298"/>
      <c r="AD936" s="298"/>
      <c r="AE936" s="298"/>
      <c r="AF936" s="298"/>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row>
    <row r="937">
      <c r="A937" s="304"/>
      <c r="B937" s="282"/>
      <c r="C937" s="298"/>
      <c r="D937" s="282"/>
      <c r="E937" s="282"/>
      <c r="F937" s="282"/>
      <c r="G937" s="282"/>
      <c r="H937" s="282"/>
      <c r="I937" s="282"/>
      <c r="J937" s="282"/>
      <c r="K937" s="282"/>
      <c r="L937" s="282"/>
      <c r="M937" s="282"/>
      <c r="N937" s="282"/>
      <c r="O937" s="282"/>
      <c r="P937" s="282"/>
      <c r="Q937" s="282"/>
      <c r="R937" s="282"/>
      <c r="S937" s="282"/>
      <c r="T937" s="282"/>
      <c r="U937" s="282"/>
      <c r="V937" s="298"/>
      <c r="W937" s="298"/>
      <c r="X937" s="298"/>
      <c r="Y937" s="298"/>
      <c r="Z937" s="298"/>
      <c r="AA937" s="298"/>
      <c r="AB937" s="298"/>
      <c r="AC937" s="298"/>
      <c r="AD937" s="298"/>
      <c r="AE937" s="298"/>
      <c r="AF937" s="298"/>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row>
    <row r="938">
      <c r="A938" s="304"/>
      <c r="B938" s="282"/>
      <c r="C938" s="298"/>
      <c r="D938" s="282"/>
      <c r="E938" s="282"/>
      <c r="F938" s="282"/>
      <c r="G938" s="282"/>
      <c r="H938" s="282"/>
      <c r="I938" s="282"/>
      <c r="J938" s="282"/>
      <c r="K938" s="282"/>
      <c r="L938" s="282"/>
      <c r="M938" s="282"/>
      <c r="N938" s="282"/>
      <c r="O938" s="282"/>
      <c r="P938" s="282"/>
      <c r="Q938" s="282"/>
      <c r="R938" s="282"/>
      <c r="S938" s="282"/>
      <c r="T938" s="282"/>
      <c r="U938" s="282"/>
      <c r="V938" s="298"/>
      <c r="W938" s="298"/>
      <c r="X938" s="298"/>
      <c r="Y938" s="298"/>
      <c r="Z938" s="298"/>
      <c r="AA938" s="298"/>
      <c r="AB938" s="298"/>
      <c r="AC938" s="298"/>
      <c r="AD938" s="298"/>
      <c r="AE938" s="298"/>
      <c r="AF938" s="298"/>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row>
    <row r="939">
      <c r="A939" s="304"/>
      <c r="B939" s="282"/>
      <c r="C939" s="298"/>
      <c r="D939" s="282"/>
      <c r="E939" s="282"/>
      <c r="F939" s="282"/>
      <c r="G939" s="282"/>
      <c r="H939" s="282"/>
      <c r="I939" s="282"/>
      <c r="J939" s="282"/>
      <c r="K939" s="282"/>
      <c r="L939" s="282"/>
      <c r="M939" s="282"/>
      <c r="N939" s="282"/>
      <c r="O939" s="282"/>
      <c r="P939" s="282"/>
      <c r="Q939" s="282"/>
      <c r="R939" s="282"/>
      <c r="S939" s="282"/>
      <c r="T939" s="282"/>
      <c r="U939" s="282"/>
      <c r="V939" s="298"/>
      <c r="W939" s="298"/>
      <c r="X939" s="298"/>
      <c r="Y939" s="298"/>
      <c r="Z939" s="298"/>
      <c r="AA939" s="298"/>
      <c r="AB939" s="298"/>
      <c r="AC939" s="298"/>
      <c r="AD939" s="298"/>
      <c r="AE939" s="298"/>
      <c r="AF939" s="298"/>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row>
    <row r="940">
      <c r="A940" s="304"/>
      <c r="B940" s="282"/>
      <c r="C940" s="298"/>
      <c r="D940" s="282"/>
      <c r="E940" s="282"/>
      <c r="F940" s="282"/>
      <c r="G940" s="282"/>
      <c r="H940" s="282"/>
      <c r="I940" s="282"/>
      <c r="J940" s="282"/>
      <c r="K940" s="282"/>
      <c r="L940" s="282"/>
      <c r="M940" s="282"/>
      <c r="N940" s="282"/>
      <c r="O940" s="282"/>
      <c r="P940" s="282"/>
      <c r="Q940" s="282"/>
      <c r="R940" s="282"/>
      <c r="S940" s="282"/>
      <c r="T940" s="282"/>
      <c r="U940" s="282"/>
      <c r="V940" s="298"/>
      <c r="W940" s="298"/>
      <c r="X940" s="298"/>
      <c r="Y940" s="298"/>
      <c r="Z940" s="298"/>
      <c r="AA940" s="298"/>
      <c r="AB940" s="298"/>
      <c r="AC940" s="298"/>
      <c r="AD940" s="298"/>
      <c r="AE940" s="298"/>
      <c r="AF940" s="298"/>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row>
    <row r="941">
      <c r="A941" s="304"/>
      <c r="B941" s="282"/>
      <c r="C941" s="298"/>
      <c r="D941" s="282"/>
      <c r="E941" s="282"/>
      <c r="F941" s="282"/>
      <c r="G941" s="282"/>
      <c r="H941" s="282"/>
      <c r="I941" s="282"/>
      <c r="J941" s="282"/>
      <c r="K941" s="282"/>
      <c r="L941" s="282"/>
      <c r="M941" s="282"/>
      <c r="N941" s="282"/>
      <c r="O941" s="282"/>
      <c r="P941" s="282"/>
      <c r="Q941" s="282"/>
      <c r="R941" s="282"/>
      <c r="S941" s="282"/>
      <c r="T941" s="282"/>
      <c r="U941" s="282"/>
      <c r="V941" s="298"/>
      <c r="W941" s="298"/>
      <c r="X941" s="298"/>
      <c r="Y941" s="298"/>
      <c r="Z941" s="298"/>
      <c r="AA941" s="298"/>
      <c r="AB941" s="298"/>
      <c r="AC941" s="298"/>
      <c r="AD941" s="298"/>
      <c r="AE941" s="298"/>
      <c r="AF941" s="298"/>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row>
    <row r="942">
      <c r="A942" s="304"/>
      <c r="B942" s="282"/>
      <c r="C942" s="298"/>
      <c r="D942" s="282"/>
      <c r="E942" s="282"/>
      <c r="F942" s="282"/>
      <c r="G942" s="282"/>
      <c r="H942" s="282"/>
      <c r="I942" s="282"/>
      <c r="J942" s="282"/>
      <c r="K942" s="282"/>
      <c r="L942" s="282"/>
      <c r="M942" s="282"/>
      <c r="N942" s="282"/>
      <c r="O942" s="282"/>
      <c r="P942" s="282"/>
      <c r="Q942" s="282"/>
      <c r="R942" s="282"/>
      <c r="S942" s="282"/>
      <c r="T942" s="282"/>
      <c r="U942" s="282"/>
      <c r="V942" s="298"/>
      <c r="W942" s="298"/>
      <c r="X942" s="298"/>
      <c r="Y942" s="298"/>
      <c r="Z942" s="298"/>
      <c r="AA942" s="298"/>
      <c r="AB942" s="298"/>
      <c r="AC942" s="298"/>
      <c r="AD942" s="298"/>
      <c r="AE942" s="298"/>
      <c r="AF942" s="298"/>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row>
    <row r="943">
      <c r="A943" s="304"/>
      <c r="B943" s="282"/>
      <c r="C943" s="298"/>
      <c r="D943" s="282"/>
      <c r="E943" s="282"/>
      <c r="F943" s="282"/>
      <c r="G943" s="282"/>
      <c r="H943" s="282"/>
      <c r="I943" s="282"/>
      <c r="J943" s="282"/>
      <c r="K943" s="282"/>
      <c r="L943" s="282"/>
      <c r="M943" s="282"/>
      <c r="N943" s="282"/>
      <c r="O943" s="282"/>
      <c r="P943" s="282"/>
      <c r="Q943" s="282"/>
      <c r="R943" s="282"/>
      <c r="S943" s="282"/>
      <c r="T943" s="282"/>
      <c r="U943" s="282"/>
      <c r="V943" s="298"/>
      <c r="W943" s="298"/>
      <c r="X943" s="298"/>
      <c r="Y943" s="298"/>
      <c r="Z943" s="298"/>
      <c r="AA943" s="298"/>
      <c r="AB943" s="298"/>
      <c r="AC943" s="298"/>
      <c r="AD943" s="298"/>
      <c r="AE943" s="298"/>
      <c r="AF943" s="298"/>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row>
    <row r="944">
      <c r="A944" s="304"/>
      <c r="B944" s="282"/>
      <c r="C944" s="298"/>
      <c r="D944" s="282"/>
      <c r="E944" s="282"/>
      <c r="F944" s="282"/>
      <c r="G944" s="282"/>
      <c r="H944" s="282"/>
      <c r="I944" s="282"/>
      <c r="J944" s="282"/>
      <c r="K944" s="282"/>
      <c r="L944" s="282"/>
      <c r="M944" s="282"/>
      <c r="N944" s="282"/>
      <c r="O944" s="282"/>
      <c r="P944" s="282"/>
      <c r="Q944" s="282"/>
      <c r="R944" s="282"/>
      <c r="S944" s="282"/>
      <c r="T944" s="282"/>
      <c r="U944" s="282"/>
      <c r="V944" s="298"/>
      <c r="W944" s="298"/>
      <c r="X944" s="298"/>
      <c r="Y944" s="298"/>
      <c r="Z944" s="298"/>
      <c r="AA944" s="298"/>
      <c r="AB944" s="298"/>
      <c r="AC944" s="298"/>
      <c r="AD944" s="298"/>
      <c r="AE944" s="298"/>
      <c r="AF944" s="298"/>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row>
    <row r="945">
      <c r="A945" s="304"/>
      <c r="B945" s="282"/>
      <c r="C945" s="298"/>
      <c r="D945" s="282"/>
      <c r="E945" s="282"/>
      <c r="F945" s="282"/>
      <c r="G945" s="282"/>
      <c r="H945" s="282"/>
      <c r="I945" s="282"/>
      <c r="J945" s="282"/>
      <c r="K945" s="282"/>
      <c r="L945" s="282"/>
      <c r="M945" s="282"/>
      <c r="N945" s="282"/>
      <c r="O945" s="282"/>
      <c r="P945" s="282"/>
      <c r="Q945" s="282"/>
      <c r="R945" s="282"/>
      <c r="S945" s="282"/>
      <c r="T945" s="282"/>
      <c r="U945" s="282"/>
      <c r="V945" s="298"/>
      <c r="W945" s="298"/>
      <c r="X945" s="298"/>
      <c r="Y945" s="298"/>
      <c r="Z945" s="298"/>
      <c r="AA945" s="298"/>
      <c r="AB945" s="298"/>
      <c r="AC945" s="298"/>
      <c r="AD945" s="298"/>
      <c r="AE945" s="298"/>
      <c r="AF945" s="298"/>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row>
    <row r="946">
      <c r="A946" s="304"/>
      <c r="B946" s="282"/>
      <c r="C946" s="298"/>
      <c r="D946" s="282"/>
      <c r="E946" s="282"/>
      <c r="F946" s="282"/>
      <c r="G946" s="282"/>
      <c r="H946" s="282"/>
      <c r="I946" s="282"/>
      <c r="J946" s="282"/>
      <c r="K946" s="282"/>
      <c r="L946" s="282"/>
      <c r="M946" s="282"/>
      <c r="N946" s="282"/>
      <c r="O946" s="282"/>
      <c r="P946" s="282"/>
      <c r="Q946" s="282"/>
      <c r="R946" s="282"/>
      <c r="S946" s="282"/>
      <c r="T946" s="282"/>
      <c r="U946" s="282"/>
      <c r="V946" s="298"/>
      <c r="W946" s="298"/>
      <c r="X946" s="298"/>
      <c r="Y946" s="298"/>
      <c r="Z946" s="298"/>
      <c r="AA946" s="298"/>
      <c r="AB946" s="298"/>
      <c r="AC946" s="298"/>
      <c r="AD946" s="298"/>
      <c r="AE946" s="298"/>
      <c r="AF946" s="298"/>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row>
    <row r="947">
      <c r="A947" s="304"/>
      <c r="B947" s="282"/>
      <c r="C947" s="298"/>
      <c r="D947" s="282"/>
      <c r="E947" s="282"/>
      <c r="F947" s="282"/>
      <c r="G947" s="282"/>
      <c r="H947" s="282"/>
      <c r="I947" s="282"/>
      <c r="J947" s="282"/>
      <c r="K947" s="282"/>
      <c r="L947" s="282"/>
      <c r="M947" s="282"/>
      <c r="N947" s="282"/>
      <c r="O947" s="282"/>
      <c r="P947" s="282"/>
      <c r="Q947" s="282"/>
      <c r="R947" s="282"/>
      <c r="S947" s="282"/>
      <c r="T947" s="282"/>
      <c r="U947" s="282"/>
      <c r="V947" s="298"/>
      <c r="W947" s="298"/>
      <c r="X947" s="298"/>
      <c r="Y947" s="298"/>
      <c r="Z947" s="298"/>
      <c r="AA947" s="298"/>
      <c r="AB947" s="298"/>
      <c r="AC947" s="298"/>
      <c r="AD947" s="298"/>
      <c r="AE947" s="298"/>
      <c r="AF947" s="298"/>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row>
    <row r="948">
      <c r="A948" s="304"/>
      <c r="B948" s="282"/>
      <c r="C948" s="298"/>
      <c r="D948" s="282"/>
      <c r="E948" s="282"/>
      <c r="F948" s="282"/>
      <c r="G948" s="282"/>
      <c r="H948" s="282"/>
      <c r="I948" s="282"/>
      <c r="J948" s="282"/>
      <c r="K948" s="282"/>
      <c r="L948" s="282"/>
      <c r="M948" s="282"/>
      <c r="N948" s="282"/>
      <c r="O948" s="282"/>
      <c r="P948" s="282"/>
      <c r="Q948" s="282"/>
      <c r="R948" s="282"/>
      <c r="S948" s="282"/>
      <c r="T948" s="282"/>
      <c r="U948" s="282"/>
      <c r="V948" s="298"/>
      <c r="W948" s="298"/>
      <c r="X948" s="298"/>
      <c r="Y948" s="298"/>
      <c r="Z948" s="298"/>
      <c r="AA948" s="298"/>
      <c r="AB948" s="298"/>
      <c r="AC948" s="298"/>
      <c r="AD948" s="298"/>
      <c r="AE948" s="298"/>
      <c r="AF948" s="298"/>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row>
    <row r="949">
      <c r="A949" s="304"/>
      <c r="B949" s="282"/>
      <c r="C949" s="298"/>
      <c r="D949" s="282"/>
      <c r="E949" s="282"/>
      <c r="F949" s="282"/>
      <c r="G949" s="282"/>
      <c r="H949" s="282"/>
      <c r="I949" s="282"/>
      <c r="J949" s="282"/>
      <c r="K949" s="282"/>
      <c r="L949" s="282"/>
      <c r="M949" s="282"/>
      <c r="N949" s="282"/>
      <c r="O949" s="282"/>
      <c r="P949" s="282"/>
      <c r="Q949" s="282"/>
      <c r="R949" s="282"/>
      <c r="S949" s="282"/>
      <c r="T949" s="282"/>
      <c r="U949" s="282"/>
      <c r="V949" s="298"/>
      <c r="W949" s="298"/>
      <c r="X949" s="298"/>
      <c r="Y949" s="298"/>
      <c r="Z949" s="298"/>
      <c r="AA949" s="298"/>
      <c r="AB949" s="298"/>
      <c r="AC949" s="298"/>
      <c r="AD949" s="298"/>
      <c r="AE949" s="298"/>
      <c r="AF949" s="298"/>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row>
    <row r="950">
      <c r="A950" s="304"/>
      <c r="B950" s="282"/>
      <c r="C950" s="298"/>
      <c r="D950" s="282"/>
      <c r="E950" s="282"/>
      <c r="F950" s="282"/>
      <c r="G950" s="282"/>
      <c r="H950" s="282"/>
      <c r="I950" s="282"/>
      <c r="J950" s="282"/>
      <c r="K950" s="282"/>
      <c r="L950" s="282"/>
      <c r="M950" s="282"/>
      <c r="N950" s="282"/>
      <c r="O950" s="282"/>
      <c r="P950" s="282"/>
      <c r="Q950" s="282"/>
      <c r="R950" s="282"/>
      <c r="S950" s="282"/>
      <c r="T950" s="282"/>
      <c r="U950" s="282"/>
      <c r="V950" s="298"/>
      <c r="W950" s="298"/>
      <c r="X950" s="298"/>
      <c r="Y950" s="298"/>
      <c r="Z950" s="298"/>
      <c r="AA950" s="298"/>
      <c r="AB950" s="298"/>
      <c r="AC950" s="298"/>
      <c r="AD950" s="298"/>
      <c r="AE950" s="298"/>
      <c r="AF950" s="298"/>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row>
    <row r="951">
      <c r="A951" s="304"/>
      <c r="B951" s="282"/>
      <c r="C951" s="298"/>
      <c r="D951" s="282"/>
      <c r="E951" s="282"/>
      <c r="F951" s="282"/>
      <c r="G951" s="282"/>
      <c r="H951" s="282"/>
      <c r="I951" s="282"/>
      <c r="J951" s="282"/>
      <c r="K951" s="282"/>
      <c r="L951" s="282"/>
      <c r="M951" s="282"/>
      <c r="N951" s="282"/>
      <c r="O951" s="282"/>
      <c r="P951" s="282"/>
      <c r="Q951" s="282"/>
      <c r="R951" s="282"/>
      <c r="S951" s="282"/>
      <c r="T951" s="282"/>
      <c r="U951" s="282"/>
      <c r="V951" s="298"/>
      <c r="W951" s="298"/>
      <c r="X951" s="298"/>
      <c r="Y951" s="298"/>
      <c r="Z951" s="298"/>
      <c r="AA951" s="298"/>
      <c r="AB951" s="298"/>
      <c r="AC951" s="298"/>
      <c r="AD951" s="298"/>
      <c r="AE951" s="298"/>
      <c r="AF951" s="298"/>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row>
    <row r="952">
      <c r="A952" s="304"/>
      <c r="B952" s="282"/>
      <c r="C952" s="298"/>
      <c r="D952" s="282"/>
      <c r="E952" s="282"/>
      <c r="F952" s="282"/>
      <c r="G952" s="282"/>
      <c r="H952" s="282"/>
      <c r="I952" s="282"/>
      <c r="J952" s="282"/>
      <c r="K952" s="282"/>
      <c r="L952" s="282"/>
      <c r="M952" s="282"/>
      <c r="N952" s="282"/>
      <c r="O952" s="282"/>
      <c r="P952" s="282"/>
      <c r="Q952" s="282"/>
      <c r="R952" s="282"/>
      <c r="S952" s="282"/>
      <c r="T952" s="282"/>
      <c r="U952" s="282"/>
      <c r="V952" s="298"/>
      <c r="W952" s="298"/>
      <c r="X952" s="298"/>
      <c r="Y952" s="298"/>
      <c r="Z952" s="298"/>
      <c r="AA952" s="298"/>
      <c r="AB952" s="298"/>
      <c r="AC952" s="298"/>
      <c r="AD952" s="298"/>
      <c r="AE952" s="298"/>
      <c r="AF952" s="298"/>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row>
    <row r="953">
      <c r="A953" s="304"/>
      <c r="B953" s="282"/>
      <c r="C953" s="298"/>
      <c r="D953" s="282"/>
      <c r="E953" s="282"/>
      <c r="F953" s="282"/>
      <c r="G953" s="282"/>
      <c r="H953" s="282"/>
      <c r="I953" s="282"/>
      <c r="J953" s="282"/>
      <c r="K953" s="282"/>
      <c r="L953" s="282"/>
      <c r="M953" s="282"/>
      <c r="N953" s="282"/>
      <c r="O953" s="282"/>
      <c r="P953" s="282"/>
      <c r="Q953" s="282"/>
      <c r="R953" s="282"/>
      <c r="S953" s="282"/>
      <c r="T953" s="282"/>
      <c r="U953" s="282"/>
      <c r="V953" s="298"/>
      <c r="W953" s="298"/>
      <c r="X953" s="298"/>
      <c r="Y953" s="298"/>
      <c r="Z953" s="298"/>
      <c r="AA953" s="298"/>
      <c r="AB953" s="298"/>
      <c r="AC953" s="298"/>
      <c r="AD953" s="298"/>
      <c r="AE953" s="298"/>
      <c r="AF953" s="298"/>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row>
    <row r="954">
      <c r="A954" s="304"/>
      <c r="B954" s="282"/>
      <c r="C954" s="298"/>
      <c r="D954" s="282"/>
      <c r="E954" s="282"/>
      <c r="F954" s="282"/>
      <c r="G954" s="282"/>
      <c r="H954" s="282"/>
      <c r="I954" s="282"/>
      <c r="J954" s="282"/>
      <c r="K954" s="282"/>
      <c r="L954" s="282"/>
      <c r="M954" s="282"/>
      <c r="N954" s="282"/>
      <c r="O954" s="282"/>
      <c r="P954" s="282"/>
      <c r="Q954" s="282"/>
      <c r="R954" s="282"/>
      <c r="S954" s="282"/>
      <c r="T954" s="282"/>
      <c r="U954" s="282"/>
      <c r="V954" s="298"/>
      <c r="W954" s="298"/>
      <c r="X954" s="298"/>
      <c r="Y954" s="298"/>
      <c r="Z954" s="298"/>
      <c r="AA954" s="298"/>
      <c r="AB954" s="298"/>
      <c r="AC954" s="298"/>
      <c r="AD954" s="298"/>
      <c r="AE954" s="298"/>
      <c r="AF954" s="298"/>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row>
    <row r="955">
      <c r="A955" s="304"/>
      <c r="B955" s="282"/>
      <c r="C955" s="298"/>
      <c r="D955" s="282"/>
      <c r="E955" s="282"/>
      <c r="F955" s="282"/>
      <c r="G955" s="282"/>
      <c r="H955" s="282"/>
      <c r="I955" s="282"/>
      <c r="J955" s="282"/>
      <c r="K955" s="282"/>
      <c r="L955" s="282"/>
      <c r="M955" s="282"/>
      <c r="N955" s="282"/>
      <c r="O955" s="282"/>
      <c r="P955" s="282"/>
      <c r="Q955" s="282"/>
      <c r="R955" s="282"/>
      <c r="S955" s="282"/>
      <c r="T955" s="282"/>
      <c r="U955" s="282"/>
      <c r="V955" s="298"/>
      <c r="W955" s="298"/>
      <c r="X955" s="298"/>
      <c r="Y955" s="298"/>
      <c r="Z955" s="298"/>
      <c r="AA955" s="298"/>
      <c r="AB955" s="298"/>
      <c r="AC955" s="298"/>
      <c r="AD955" s="298"/>
      <c r="AE955" s="298"/>
      <c r="AF955" s="298"/>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row>
    <row r="956">
      <c r="A956" s="304"/>
      <c r="B956" s="282"/>
      <c r="C956" s="298"/>
      <c r="D956" s="282"/>
      <c r="E956" s="282"/>
      <c r="F956" s="282"/>
      <c r="G956" s="282"/>
      <c r="H956" s="282"/>
      <c r="I956" s="282"/>
      <c r="J956" s="282"/>
      <c r="K956" s="282"/>
      <c r="L956" s="282"/>
      <c r="M956" s="282"/>
      <c r="N956" s="282"/>
      <c r="O956" s="282"/>
      <c r="P956" s="282"/>
      <c r="Q956" s="282"/>
      <c r="R956" s="282"/>
      <c r="S956" s="282"/>
      <c r="T956" s="282"/>
      <c r="U956" s="282"/>
      <c r="V956" s="298"/>
      <c r="W956" s="298"/>
      <c r="X956" s="298"/>
      <c r="Y956" s="298"/>
      <c r="Z956" s="298"/>
      <c r="AA956" s="298"/>
      <c r="AB956" s="298"/>
      <c r="AC956" s="298"/>
      <c r="AD956" s="298"/>
      <c r="AE956" s="298"/>
      <c r="AF956" s="298"/>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row>
    <row r="957">
      <c r="A957" s="304"/>
      <c r="B957" s="282"/>
      <c r="C957" s="298"/>
      <c r="D957" s="282"/>
      <c r="E957" s="282"/>
      <c r="F957" s="282"/>
      <c r="G957" s="282"/>
      <c r="H957" s="282"/>
      <c r="I957" s="282"/>
      <c r="J957" s="282"/>
      <c r="K957" s="282"/>
      <c r="L957" s="282"/>
      <c r="M957" s="282"/>
      <c r="N957" s="282"/>
      <c r="O957" s="282"/>
      <c r="P957" s="282"/>
      <c r="Q957" s="282"/>
      <c r="R957" s="282"/>
      <c r="S957" s="282"/>
      <c r="T957" s="282"/>
      <c r="U957" s="282"/>
      <c r="V957" s="298"/>
      <c r="W957" s="298"/>
      <c r="X957" s="298"/>
      <c r="Y957" s="298"/>
      <c r="Z957" s="298"/>
      <c r="AA957" s="298"/>
      <c r="AB957" s="298"/>
      <c r="AC957" s="298"/>
      <c r="AD957" s="298"/>
      <c r="AE957" s="298"/>
      <c r="AF957" s="298"/>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row>
    <row r="958">
      <c r="A958" s="304"/>
      <c r="B958" s="282"/>
      <c r="C958" s="298"/>
      <c r="D958" s="282"/>
      <c r="E958" s="282"/>
      <c r="F958" s="282"/>
      <c r="G958" s="282"/>
      <c r="H958" s="282"/>
      <c r="I958" s="282"/>
      <c r="J958" s="282"/>
      <c r="K958" s="282"/>
      <c r="L958" s="282"/>
      <c r="M958" s="282"/>
      <c r="N958" s="282"/>
      <c r="O958" s="282"/>
      <c r="P958" s="282"/>
      <c r="Q958" s="282"/>
      <c r="R958" s="282"/>
      <c r="S958" s="282"/>
      <c r="T958" s="282"/>
      <c r="U958" s="282"/>
      <c r="V958" s="298"/>
      <c r="W958" s="298"/>
      <c r="X958" s="298"/>
      <c r="Y958" s="298"/>
      <c r="Z958" s="298"/>
      <c r="AA958" s="298"/>
      <c r="AB958" s="298"/>
      <c r="AC958" s="298"/>
      <c r="AD958" s="298"/>
      <c r="AE958" s="298"/>
      <c r="AF958" s="298"/>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row>
    <row r="959">
      <c r="A959" s="304"/>
      <c r="B959" s="282"/>
      <c r="C959" s="298"/>
      <c r="D959" s="282"/>
      <c r="E959" s="282"/>
      <c r="F959" s="282"/>
      <c r="G959" s="282"/>
      <c r="H959" s="282"/>
      <c r="I959" s="282"/>
      <c r="J959" s="282"/>
      <c r="K959" s="282"/>
      <c r="L959" s="282"/>
      <c r="M959" s="282"/>
      <c r="N959" s="282"/>
      <c r="O959" s="282"/>
      <c r="P959" s="282"/>
      <c r="Q959" s="282"/>
      <c r="R959" s="282"/>
      <c r="S959" s="282"/>
      <c r="T959" s="282"/>
      <c r="U959" s="282"/>
      <c r="V959" s="298"/>
      <c r="W959" s="298"/>
      <c r="X959" s="298"/>
      <c r="Y959" s="298"/>
      <c r="Z959" s="298"/>
      <c r="AA959" s="298"/>
      <c r="AB959" s="298"/>
      <c r="AC959" s="298"/>
      <c r="AD959" s="298"/>
      <c r="AE959" s="298"/>
      <c r="AF959" s="298"/>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row>
    <row r="960">
      <c r="A960" s="304"/>
      <c r="B960" s="282"/>
      <c r="C960" s="298"/>
      <c r="D960" s="282"/>
      <c r="E960" s="282"/>
      <c r="F960" s="282"/>
      <c r="G960" s="282"/>
      <c r="H960" s="282"/>
      <c r="I960" s="282"/>
      <c r="J960" s="282"/>
      <c r="K960" s="282"/>
      <c r="L960" s="282"/>
      <c r="M960" s="282"/>
      <c r="N960" s="282"/>
      <c r="O960" s="282"/>
      <c r="P960" s="282"/>
      <c r="Q960" s="282"/>
      <c r="R960" s="282"/>
      <c r="S960" s="282"/>
      <c r="T960" s="282"/>
      <c r="U960" s="282"/>
      <c r="V960" s="298"/>
      <c r="W960" s="298"/>
      <c r="X960" s="298"/>
      <c r="Y960" s="298"/>
      <c r="Z960" s="298"/>
      <c r="AA960" s="298"/>
      <c r="AB960" s="298"/>
      <c r="AC960" s="298"/>
      <c r="AD960" s="298"/>
      <c r="AE960" s="298"/>
      <c r="AF960" s="298"/>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row>
    <row r="961">
      <c r="A961" s="304"/>
      <c r="B961" s="282"/>
      <c r="C961" s="298"/>
      <c r="D961" s="282"/>
      <c r="E961" s="282"/>
      <c r="F961" s="282"/>
      <c r="G961" s="282"/>
      <c r="H961" s="282"/>
      <c r="I961" s="282"/>
      <c r="J961" s="282"/>
      <c r="K961" s="282"/>
      <c r="L961" s="282"/>
      <c r="M961" s="282"/>
      <c r="N961" s="282"/>
      <c r="O961" s="282"/>
      <c r="P961" s="282"/>
      <c r="Q961" s="282"/>
      <c r="R961" s="282"/>
      <c r="S961" s="282"/>
      <c r="T961" s="282"/>
      <c r="U961" s="282"/>
      <c r="V961" s="298"/>
      <c r="W961" s="298"/>
      <c r="X961" s="298"/>
      <c r="Y961" s="298"/>
      <c r="Z961" s="298"/>
      <c r="AA961" s="298"/>
      <c r="AB961" s="298"/>
      <c r="AC961" s="298"/>
      <c r="AD961" s="298"/>
      <c r="AE961" s="298"/>
      <c r="AF961" s="298"/>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row>
    <row r="962">
      <c r="A962" s="304"/>
      <c r="B962" s="282"/>
      <c r="C962" s="298"/>
      <c r="D962" s="282"/>
      <c r="E962" s="282"/>
      <c r="F962" s="282"/>
      <c r="G962" s="282"/>
      <c r="H962" s="282"/>
      <c r="I962" s="282"/>
      <c r="J962" s="282"/>
      <c r="K962" s="282"/>
      <c r="L962" s="282"/>
      <c r="M962" s="282"/>
      <c r="N962" s="282"/>
      <c r="O962" s="282"/>
      <c r="P962" s="282"/>
      <c r="Q962" s="282"/>
      <c r="R962" s="282"/>
      <c r="S962" s="282"/>
      <c r="T962" s="282"/>
      <c r="U962" s="282"/>
      <c r="V962" s="298"/>
      <c r="W962" s="298"/>
      <c r="X962" s="298"/>
      <c r="Y962" s="298"/>
      <c r="Z962" s="298"/>
      <c r="AA962" s="298"/>
      <c r="AB962" s="298"/>
      <c r="AC962" s="298"/>
      <c r="AD962" s="298"/>
      <c r="AE962" s="298"/>
      <c r="AF962" s="298"/>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row>
    <row r="963">
      <c r="A963" s="304"/>
      <c r="B963" s="282"/>
      <c r="C963" s="298"/>
      <c r="D963" s="282"/>
      <c r="E963" s="282"/>
      <c r="F963" s="282"/>
      <c r="G963" s="282"/>
      <c r="H963" s="282"/>
      <c r="I963" s="282"/>
      <c r="J963" s="282"/>
      <c r="K963" s="282"/>
      <c r="L963" s="282"/>
      <c r="M963" s="282"/>
      <c r="N963" s="282"/>
      <c r="O963" s="282"/>
      <c r="P963" s="282"/>
      <c r="Q963" s="282"/>
      <c r="R963" s="282"/>
      <c r="S963" s="282"/>
      <c r="T963" s="282"/>
      <c r="U963" s="282"/>
      <c r="V963" s="298"/>
      <c r="W963" s="298"/>
      <c r="X963" s="298"/>
      <c r="Y963" s="298"/>
      <c r="Z963" s="298"/>
      <c r="AA963" s="298"/>
      <c r="AB963" s="298"/>
      <c r="AC963" s="298"/>
      <c r="AD963" s="298"/>
      <c r="AE963" s="298"/>
      <c r="AF963" s="298"/>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row>
    <row r="964">
      <c r="A964" s="304"/>
      <c r="B964" s="282"/>
      <c r="C964" s="298"/>
      <c r="D964" s="282"/>
      <c r="E964" s="282"/>
      <c r="F964" s="282"/>
      <c r="G964" s="282"/>
      <c r="H964" s="282"/>
      <c r="I964" s="282"/>
      <c r="J964" s="282"/>
      <c r="K964" s="282"/>
      <c r="L964" s="282"/>
      <c r="M964" s="282"/>
      <c r="N964" s="282"/>
      <c r="O964" s="282"/>
      <c r="P964" s="282"/>
      <c r="Q964" s="282"/>
      <c r="R964" s="282"/>
      <c r="S964" s="282"/>
      <c r="T964" s="282"/>
      <c r="U964" s="282"/>
      <c r="V964" s="298"/>
      <c r="W964" s="298"/>
      <c r="X964" s="298"/>
      <c r="Y964" s="298"/>
      <c r="Z964" s="298"/>
      <c r="AA964" s="298"/>
      <c r="AB964" s="298"/>
      <c r="AC964" s="298"/>
      <c r="AD964" s="298"/>
      <c r="AE964" s="298"/>
      <c r="AF964" s="298"/>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row>
    <row r="965">
      <c r="A965" s="304"/>
      <c r="B965" s="282"/>
      <c r="C965" s="298"/>
      <c r="D965" s="282"/>
      <c r="E965" s="282"/>
      <c r="F965" s="282"/>
      <c r="G965" s="282"/>
      <c r="H965" s="282"/>
      <c r="I965" s="282"/>
      <c r="J965" s="282"/>
      <c r="K965" s="282"/>
      <c r="L965" s="282"/>
      <c r="M965" s="282"/>
      <c r="N965" s="282"/>
      <c r="O965" s="282"/>
      <c r="P965" s="282"/>
      <c r="Q965" s="282"/>
      <c r="R965" s="282"/>
      <c r="S965" s="282"/>
      <c r="T965" s="282"/>
      <c r="U965" s="282"/>
      <c r="V965" s="298"/>
      <c r="W965" s="298"/>
      <c r="X965" s="298"/>
      <c r="Y965" s="298"/>
      <c r="Z965" s="298"/>
      <c r="AA965" s="298"/>
      <c r="AB965" s="298"/>
      <c r="AC965" s="298"/>
      <c r="AD965" s="298"/>
      <c r="AE965" s="298"/>
      <c r="AF965" s="298"/>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row>
    <row r="966">
      <c r="A966" s="304"/>
      <c r="B966" s="282"/>
      <c r="C966" s="298"/>
      <c r="D966" s="282"/>
      <c r="E966" s="282"/>
      <c r="F966" s="282"/>
      <c r="G966" s="282"/>
      <c r="H966" s="282"/>
      <c r="I966" s="282"/>
      <c r="J966" s="282"/>
      <c r="K966" s="282"/>
      <c r="L966" s="282"/>
      <c r="M966" s="282"/>
      <c r="N966" s="282"/>
      <c r="O966" s="282"/>
      <c r="P966" s="282"/>
      <c r="Q966" s="282"/>
      <c r="R966" s="282"/>
      <c r="S966" s="282"/>
      <c r="T966" s="282"/>
      <c r="U966" s="282"/>
      <c r="V966" s="298"/>
      <c r="W966" s="298"/>
      <c r="X966" s="298"/>
      <c r="Y966" s="298"/>
      <c r="Z966" s="298"/>
      <c r="AA966" s="298"/>
      <c r="AB966" s="298"/>
      <c r="AC966" s="298"/>
      <c r="AD966" s="298"/>
      <c r="AE966" s="298"/>
      <c r="AF966" s="298"/>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row>
    <row r="967">
      <c r="A967" s="304"/>
      <c r="B967" s="282"/>
      <c r="C967" s="298"/>
      <c r="D967" s="282"/>
      <c r="E967" s="282"/>
      <c r="F967" s="282"/>
      <c r="G967" s="282"/>
      <c r="H967" s="282"/>
      <c r="I967" s="282"/>
      <c r="J967" s="282"/>
      <c r="K967" s="282"/>
      <c r="L967" s="282"/>
      <c r="M967" s="282"/>
      <c r="N967" s="282"/>
      <c r="O967" s="282"/>
      <c r="P967" s="282"/>
      <c r="Q967" s="282"/>
      <c r="R967" s="282"/>
      <c r="S967" s="282"/>
      <c r="T967" s="282"/>
      <c r="U967" s="282"/>
      <c r="V967" s="298"/>
      <c r="W967" s="298"/>
      <c r="X967" s="298"/>
      <c r="Y967" s="298"/>
      <c r="Z967" s="298"/>
      <c r="AA967" s="298"/>
      <c r="AB967" s="298"/>
      <c r="AC967" s="298"/>
      <c r="AD967" s="298"/>
      <c r="AE967" s="298"/>
      <c r="AF967" s="298"/>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row>
    <row r="968">
      <c r="A968" s="304"/>
      <c r="B968" s="282"/>
      <c r="C968" s="298"/>
      <c r="D968" s="282"/>
      <c r="E968" s="282"/>
      <c r="F968" s="282"/>
      <c r="G968" s="282"/>
      <c r="H968" s="282"/>
      <c r="I968" s="282"/>
      <c r="J968" s="282"/>
      <c r="K968" s="282"/>
      <c r="L968" s="282"/>
      <c r="M968" s="282"/>
      <c r="N968" s="282"/>
      <c r="O968" s="282"/>
      <c r="P968" s="282"/>
      <c r="Q968" s="282"/>
      <c r="R968" s="282"/>
      <c r="S968" s="282"/>
      <c r="T968" s="282"/>
      <c r="U968" s="282"/>
      <c r="V968" s="298"/>
      <c r="W968" s="298"/>
      <c r="X968" s="298"/>
      <c r="Y968" s="298"/>
      <c r="Z968" s="298"/>
      <c r="AA968" s="298"/>
      <c r="AB968" s="298"/>
      <c r="AC968" s="298"/>
      <c r="AD968" s="298"/>
      <c r="AE968" s="298"/>
      <c r="AF968" s="298"/>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row>
    <row r="969">
      <c r="A969" s="304"/>
      <c r="B969" s="282"/>
      <c r="C969" s="298"/>
      <c r="D969" s="282"/>
      <c r="E969" s="282"/>
      <c r="F969" s="282"/>
      <c r="G969" s="282"/>
      <c r="H969" s="282"/>
      <c r="I969" s="282"/>
      <c r="J969" s="282"/>
      <c r="K969" s="282"/>
      <c r="L969" s="282"/>
      <c r="M969" s="282"/>
      <c r="N969" s="282"/>
      <c r="O969" s="282"/>
      <c r="P969" s="282"/>
      <c r="Q969" s="282"/>
      <c r="R969" s="282"/>
      <c r="S969" s="282"/>
      <c r="T969" s="282"/>
      <c r="U969" s="282"/>
      <c r="V969" s="298"/>
      <c r="W969" s="298"/>
      <c r="X969" s="298"/>
      <c r="Y969" s="298"/>
      <c r="Z969" s="298"/>
      <c r="AA969" s="298"/>
      <c r="AB969" s="298"/>
      <c r="AC969" s="298"/>
      <c r="AD969" s="298"/>
      <c r="AE969" s="298"/>
      <c r="AF969" s="298"/>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row>
    <row r="970">
      <c r="A970" s="304"/>
      <c r="B970" s="282"/>
      <c r="C970" s="298"/>
      <c r="D970" s="282"/>
      <c r="E970" s="282"/>
      <c r="F970" s="282"/>
      <c r="G970" s="282"/>
      <c r="H970" s="282"/>
      <c r="I970" s="282"/>
      <c r="J970" s="282"/>
      <c r="K970" s="282"/>
      <c r="L970" s="282"/>
      <c r="M970" s="282"/>
      <c r="N970" s="282"/>
      <c r="O970" s="282"/>
      <c r="P970" s="282"/>
      <c r="Q970" s="282"/>
      <c r="R970" s="282"/>
      <c r="S970" s="282"/>
      <c r="T970" s="282"/>
      <c r="U970" s="282"/>
      <c r="V970" s="298"/>
      <c r="W970" s="298"/>
      <c r="X970" s="298"/>
      <c r="Y970" s="298"/>
      <c r="Z970" s="298"/>
      <c r="AA970" s="298"/>
      <c r="AB970" s="298"/>
      <c r="AC970" s="298"/>
      <c r="AD970" s="298"/>
      <c r="AE970" s="298"/>
      <c r="AF970" s="298"/>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row>
    <row r="971">
      <c r="A971" s="304"/>
      <c r="B971" s="282"/>
      <c r="C971" s="298"/>
      <c r="D971" s="282"/>
      <c r="E971" s="282"/>
      <c r="F971" s="282"/>
      <c r="G971" s="282"/>
      <c r="H971" s="282"/>
      <c r="I971" s="282"/>
      <c r="J971" s="282"/>
      <c r="K971" s="282"/>
      <c r="L971" s="282"/>
      <c r="M971" s="282"/>
      <c r="N971" s="282"/>
      <c r="O971" s="282"/>
      <c r="P971" s="282"/>
      <c r="Q971" s="282"/>
      <c r="R971" s="282"/>
      <c r="S971" s="282"/>
      <c r="T971" s="282"/>
      <c r="U971" s="282"/>
      <c r="V971" s="298"/>
      <c r="W971" s="298"/>
      <c r="X971" s="298"/>
      <c r="Y971" s="298"/>
      <c r="Z971" s="298"/>
      <c r="AA971" s="298"/>
      <c r="AB971" s="298"/>
      <c r="AC971" s="298"/>
      <c r="AD971" s="298"/>
      <c r="AE971" s="298"/>
      <c r="AF971" s="298"/>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row>
    <row r="972">
      <c r="A972" s="304"/>
      <c r="B972" s="282"/>
      <c r="C972" s="298"/>
      <c r="D972" s="282"/>
      <c r="E972" s="282"/>
      <c r="F972" s="282"/>
      <c r="G972" s="282"/>
      <c r="H972" s="282"/>
      <c r="I972" s="282"/>
      <c r="J972" s="282"/>
      <c r="K972" s="282"/>
      <c r="L972" s="282"/>
      <c r="M972" s="282"/>
      <c r="N972" s="282"/>
      <c r="O972" s="282"/>
      <c r="P972" s="282"/>
      <c r="Q972" s="282"/>
      <c r="R972" s="282"/>
      <c r="S972" s="282"/>
      <c r="T972" s="282"/>
      <c r="U972" s="282"/>
      <c r="V972" s="298"/>
      <c r="W972" s="298"/>
      <c r="X972" s="298"/>
      <c r="Y972" s="298"/>
      <c r="Z972" s="298"/>
      <c r="AA972" s="298"/>
      <c r="AB972" s="298"/>
      <c r="AC972" s="298"/>
      <c r="AD972" s="298"/>
      <c r="AE972" s="298"/>
      <c r="AF972" s="298"/>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row>
    <row r="973">
      <c r="A973" s="304"/>
      <c r="B973" s="282"/>
      <c r="C973" s="298"/>
      <c r="D973" s="282"/>
      <c r="E973" s="282"/>
      <c r="F973" s="282"/>
      <c r="G973" s="282"/>
      <c r="H973" s="282"/>
      <c r="I973" s="282"/>
      <c r="J973" s="282"/>
      <c r="K973" s="282"/>
      <c r="L973" s="282"/>
      <c r="M973" s="282"/>
      <c r="N973" s="282"/>
      <c r="O973" s="282"/>
      <c r="P973" s="282"/>
      <c r="Q973" s="282"/>
      <c r="R973" s="282"/>
      <c r="S973" s="282"/>
      <c r="T973" s="282"/>
      <c r="U973" s="282"/>
      <c r="V973" s="298"/>
      <c r="W973" s="298"/>
      <c r="X973" s="298"/>
      <c r="Y973" s="298"/>
      <c r="Z973" s="298"/>
      <c r="AA973" s="298"/>
      <c r="AB973" s="298"/>
      <c r="AC973" s="298"/>
      <c r="AD973" s="298"/>
      <c r="AE973" s="298"/>
      <c r="AF973" s="298"/>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row>
    <row r="974">
      <c r="A974" s="304"/>
      <c r="B974" s="282"/>
      <c r="C974" s="298"/>
      <c r="D974" s="282"/>
      <c r="E974" s="282"/>
      <c r="F974" s="282"/>
      <c r="G974" s="282"/>
      <c r="H974" s="282"/>
      <c r="I974" s="282"/>
      <c r="J974" s="282"/>
      <c r="K974" s="282"/>
      <c r="L974" s="282"/>
      <c r="M974" s="282"/>
      <c r="N974" s="282"/>
      <c r="O974" s="282"/>
      <c r="P974" s="282"/>
      <c r="Q974" s="282"/>
      <c r="R974" s="282"/>
      <c r="S974" s="282"/>
      <c r="T974" s="282"/>
      <c r="U974" s="282"/>
      <c r="V974" s="298"/>
      <c r="W974" s="298"/>
      <c r="X974" s="298"/>
      <c r="Y974" s="298"/>
      <c r="Z974" s="298"/>
      <c r="AA974" s="298"/>
      <c r="AB974" s="298"/>
      <c r="AC974" s="298"/>
      <c r="AD974" s="298"/>
      <c r="AE974" s="298"/>
      <c r="AF974" s="298"/>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row>
    <row r="975">
      <c r="A975" s="304"/>
      <c r="B975" s="282"/>
      <c r="C975" s="298"/>
      <c r="D975" s="282"/>
      <c r="E975" s="282"/>
      <c r="F975" s="282"/>
      <c r="G975" s="282"/>
      <c r="H975" s="282"/>
      <c r="I975" s="282"/>
      <c r="J975" s="282"/>
      <c r="K975" s="282"/>
      <c r="L975" s="282"/>
      <c r="M975" s="282"/>
      <c r="N975" s="282"/>
      <c r="O975" s="282"/>
      <c r="P975" s="282"/>
      <c r="Q975" s="282"/>
      <c r="R975" s="282"/>
      <c r="S975" s="282"/>
      <c r="T975" s="282"/>
      <c r="U975" s="282"/>
      <c r="V975" s="298"/>
      <c r="W975" s="298"/>
      <c r="X975" s="298"/>
      <c r="Y975" s="298"/>
      <c r="Z975" s="298"/>
      <c r="AA975" s="298"/>
      <c r="AB975" s="298"/>
      <c r="AC975" s="298"/>
      <c r="AD975" s="298"/>
      <c r="AE975" s="298"/>
      <c r="AF975" s="298"/>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row>
    <row r="976">
      <c r="A976" s="304"/>
      <c r="B976" s="282"/>
      <c r="C976" s="298"/>
      <c r="D976" s="282"/>
      <c r="E976" s="282"/>
      <c r="F976" s="282"/>
      <c r="G976" s="282"/>
      <c r="H976" s="282"/>
      <c r="I976" s="282"/>
      <c r="J976" s="282"/>
      <c r="K976" s="282"/>
      <c r="L976" s="282"/>
      <c r="M976" s="282"/>
      <c r="N976" s="282"/>
      <c r="O976" s="282"/>
      <c r="P976" s="282"/>
      <c r="Q976" s="282"/>
      <c r="R976" s="282"/>
      <c r="S976" s="282"/>
      <c r="T976" s="282"/>
      <c r="U976" s="282"/>
      <c r="V976" s="298"/>
      <c r="W976" s="298"/>
      <c r="X976" s="298"/>
      <c r="Y976" s="298"/>
      <c r="Z976" s="298"/>
      <c r="AA976" s="298"/>
      <c r="AB976" s="298"/>
      <c r="AC976" s="298"/>
      <c r="AD976" s="298"/>
      <c r="AE976" s="298"/>
      <c r="AF976" s="298"/>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row>
    <row r="977">
      <c r="A977" s="304"/>
      <c r="B977" s="282"/>
      <c r="C977" s="298"/>
      <c r="D977" s="282"/>
      <c r="E977" s="282"/>
      <c r="F977" s="282"/>
      <c r="G977" s="282"/>
      <c r="H977" s="282"/>
      <c r="I977" s="282"/>
      <c r="J977" s="282"/>
      <c r="K977" s="282"/>
      <c r="L977" s="282"/>
      <c r="M977" s="282"/>
      <c r="N977" s="282"/>
      <c r="O977" s="282"/>
      <c r="P977" s="282"/>
      <c r="Q977" s="282"/>
      <c r="R977" s="282"/>
      <c r="S977" s="282"/>
      <c r="T977" s="282"/>
      <c r="U977" s="282"/>
      <c r="V977" s="298"/>
      <c r="W977" s="298"/>
      <c r="X977" s="298"/>
      <c r="Y977" s="298"/>
      <c r="Z977" s="298"/>
      <c r="AA977" s="298"/>
      <c r="AB977" s="298"/>
      <c r="AC977" s="298"/>
      <c r="AD977" s="298"/>
      <c r="AE977" s="298"/>
      <c r="AF977" s="298"/>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row>
    <row r="978">
      <c r="A978" s="304"/>
      <c r="B978" s="282"/>
      <c r="C978" s="298"/>
      <c r="D978" s="282"/>
      <c r="E978" s="282"/>
      <c r="F978" s="282"/>
      <c r="G978" s="282"/>
      <c r="H978" s="282"/>
      <c r="I978" s="282"/>
      <c r="J978" s="282"/>
      <c r="K978" s="282"/>
      <c r="L978" s="282"/>
      <c r="M978" s="282"/>
      <c r="N978" s="282"/>
      <c r="O978" s="282"/>
      <c r="P978" s="282"/>
      <c r="Q978" s="282"/>
      <c r="R978" s="282"/>
      <c r="S978" s="282"/>
      <c r="T978" s="282"/>
      <c r="U978" s="282"/>
      <c r="V978" s="298"/>
      <c r="W978" s="298"/>
      <c r="X978" s="298"/>
      <c r="Y978" s="298"/>
      <c r="Z978" s="298"/>
      <c r="AA978" s="298"/>
      <c r="AB978" s="298"/>
      <c r="AC978" s="298"/>
      <c r="AD978" s="298"/>
      <c r="AE978" s="298"/>
      <c r="AF978" s="298"/>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row>
    <row r="979">
      <c r="A979" s="304"/>
      <c r="B979" s="282"/>
      <c r="C979" s="298"/>
      <c r="D979" s="282"/>
      <c r="E979" s="282"/>
      <c r="F979" s="282"/>
      <c r="G979" s="282"/>
      <c r="H979" s="282"/>
      <c r="I979" s="282"/>
      <c r="J979" s="282"/>
      <c r="K979" s="282"/>
      <c r="L979" s="282"/>
      <c r="M979" s="282"/>
      <c r="N979" s="282"/>
      <c r="O979" s="282"/>
      <c r="P979" s="282"/>
      <c r="Q979" s="282"/>
      <c r="R979" s="282"/>
      <c r="S979" s="282"/>
      <c r="T979" s="282"/>
      <c r="U979" s="282"/>
      <c r="V979" s="298"/>
      <c r="W979" s="298"/>
      <c r="X979" s="298"/>
      <c r="Y979" s="298"/>
      <c r="Z979" s="298"/>
      <c r="AA979" s="298"/>
      <c r="AB979" s="298"/>
      <c r="AC979" s="298"/>
      <c r="AD979" s="298"/>
      <c r="AE979" s="298"/>
      <c r="AF979" s="298"/>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row>
    <row r="980">
      <c r="A980" s="304"/>
      <c r="B980" s="282"/>
      <c r="C980" s="298"/>
      <c r="D980" s="282"/>
      <c r="E980" s="282"/>
      <c r="F980" s="282"/>
      <c r="G980" s="282"/>
      <c r="H980" s="282"/>
      <c r="I980" s="282"/>
      <c r="J980" s="282"/>
      <c r="K980" s="282"/>
      <c r="L980" s="282"/>
      <c r="M980" s="282"/>
      <c r="N980" s="282"/>
      <c r="O980" s="282"/>
      <c r="P980" s="282"/>
      <c r="Q980" s="282"/>
      <c r="R980" s="282"/>
      <c r="S980" s="282"/>
      <c r="T980" s="282"/>
      <c r="U980" s="282"/>
      <c r="V980" s="298"/>
      <c r="W980" s="298"/>
      <c r="X980" s="298"/>
      <c r="Y980" s="298"/>
      <c r="Z980" s="298"/>
      <c r="AA980" s="298"/>
      <c r="AB980" s="298"/>
      <c r="AC980" s="298"/>
      <c r="AD980" s="298"/>
      <c r="AE980" s="298"/>
      <c r="AF980" s="298"/>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row>
    <row r="981">
      <c r="A981" s="304"/>
      <c r="B981" s="282"/>
      <c r="C981" s="298"/>
      <c r="D981" s="282"/>
      <c r="E981" s="282"/>
      <c r="F981" s="282"/>
      <c r="G981" s="282"/>
      <c r="H981" s="282"/>
      <c r="I981" s="282"/>
      <c r="J981" s="282"/>
      <c r="K981" s="282"/>
      <c r="L981" s="282"/>
      <c r="M981" s="282"/>
      <c r="N981" s="282"/>
      <c r="O981" s="282"/>
      <c r="P981" s="282"/>
      <c r="Q981" s="282"/>
      <c r="R981" s="282"/>
      <c r="S981" s="282"/>
      <c r="T981" s="282"/>
      <c r="U981" s="282"/>
      <c r="V981" s="298"/>
      <c r="W981" s="298"/>
      <c r="X981" s="298"/>
      <c r="Y981" s="298"/>
      <c r="Z981" s="298"/>
      <c r="AA981" s="298"/>
      <c r="AB981" s="298"/>
      <c r="AC981" s="298"/>
      <c r="AD981" s="298"/>
      <c r="AE981" s="298"/>
      <c r="AF981" s="298"/>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row>
    <row r="982">
      <c r="A982" s="304"/>
      <c r="B982" s="282"/>
      <c r="C982" s="298"/>
      <c r="D982" s="282"/>
      <c r="E982" s="282"/>
      <c r="F982" s="282"/>
      <c r="G982" s="282"/>
      <c r="H982" s="282"/>
      <c r="I982" s="282"/>
      <c r="J982" s="282"/>
      <c r="K982" s="282"/>
      <c r="L982" s="282"/>
      <c r="M982" s="282"/>
      <c r="N982" s="282"/>
      <c r="O982" s="282"/>
      <c r="P982" s="282"/>
      <c r="Q982" s="282"/>
      <c r="R982" s="282"/>
      <c r="S982" s="282"/>
      <c r="T982" s="282"/>
      <c r="U982" s="282"/>
      <c r="V982" s="298"/>
      <c r="W982" s="298"/>
      <c r="X982" s="298"/>
      <c r="Y982" s="298"/>
      <c r="Z982" s="298"/>
      <c r="AA982" s="298"/>
      <c r="AB982" s="298"/>
      <c r="AC982" s="298"/>
      <c r="AD982" s="298"/>
      <c r="AE982" s="298"/>
      <c r="AF982" s="298"/>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row>
    <row r="983">
      <c r="A983" s="304"/>
      <c r="B983" s="282"/>
      <c r="C983" s="298"/>
      <c r="D983" s="282"/>
      <c r="E983" s="282"/>
      <c r="F983" s="282"/>
      <c r="G983" s="282"/>
      <c r="H983" s="282"/>
      <c r="I983" s="282"/>
      <c r="J983" s="282"/>
      <c r="K983" s="282"/>
      <c r="L983" s="282"/>
      <c r="M983" s="282"/>
      <c r="N983" s="282"/>
      <c r="O983" s="282"/>
      <c r="P983" s="282"/>
      <c r="Q983" s="282"/>
      <c r="R983" s="282"/>
      <c r="S983" s="282"/>
      <c r="T983" s="282"/>
      <c r="U983" s="282"/>
      <c r="V983" s="298"/>
      <c r="W983" s="298"/>
      <c r="X983" s="298"/>
      <c r="Y983" s="298"/>
      <c r="Z983" s="298"/>
      <c r="AA983" s="298"/>
      <c r="AB983" s="298"/>
      <c r="AC983" s="298"/>
      <c r="AD983" s="298"/>
      <c r="AE983" s="298"/>
      <c r="AF983" s="298"/>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row>
    <row r="984">
      <c r="A984" s="304"/>
      <c r="B984" s="282"/>
      <c r="C984" s="298"/>
      <c r="D984" s="282"/>
      <c r="E984" s="282"/>
      <c r="F984" s="282"/>
      <c r="G984" s="282"/>
      <c r="H984" s="282"/>
      <c r="I984" s="282"/>
      <c r="J984" s="282"/>
      <c r="K984" s="282"/>
      <c r="L984" s="282"/>
      <c r="M984" s="282"/>
      <c r="N984" s="282"/>
      <c r="O984" s="282"/>
      <c r="P984" s="282"/>
      <c r="Q984" s="282"/>
      <c r="R984" s="282"/>
      <c r="S984" s="282"/>
      <c r="T984" s="282"/>
      <c r="U984" s="282"/>
      <c r="V984" s="298"/>
      <c r="W984" s="298"/>
      <c r="X984" s="298"/>
      <c r="Y984" s="298"/>
      <c r="Z984" s="298"/>
      <c r="AA984" s="298"/>
      <c r="AB984" s="298"/>
      <c r="AC984" s="298"/>
      <c r="AD984" s="298"/>
      <c r="AE984" s="298"/>
      <c r="AF984" s="298"/>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row>
    <row r="985">
      <c r="A985" s="304"/>
      <c r="B985" s="282"/>
      <c r="C985" s="298"/>
      <c r="D985" s="282"/>
      <c r="E985" s="282"/>
      <c r="F985" s="282"/>
      <c r="G985" s="282"/>
      <c r="H985" s="282"/>
      <c r="I985" s="282"/>
      <c r="J985" s="282"/>
      <c r="K985" s="282"/>
      <c r="L985" s="282"/>
      <c r="M985" s="282"/>
      <c r="N985" s="282"/>
      <c r="O985" s="282"/>
      <c r="P985" s="282"/>
      <c r="Q985" s="282"/>
      <c r="R985" s="282"/>
      <c r="S985" s="282"/>
      <c r="T985" s="282"/>
      <c r="U985" s="282"/>
      <c r="V985" s="298"/>
      <c r="W985" s="298"/>
      <c r="X985" s="298"/>
      <c r="Y985" s="298"/>
      <c r="Z985" s="298"/>
      <c r="AA985" s="298"/>
      <c r="AB985" s="298"/>
      <c r="AC985" s="298"/>
      <c r="AD985" s="298"/>
      <c r="AE985" s="298"/>
      <c r="AF985" s="298"/>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row>
    <row r="986">
      <c r="A986" s="304"/>
      <c r="B986" s="282"/>
      <c r="C986" s="298"/>
      <c r="D986" s="282"/>
      <c r="E986" s="282"/>
      <c r="F986" s="282"/>
      <c r="G986" s="282"/>
      <c r="H986" s="282"/>
      <c r="I986" s="282"/>
      <c r="J986" s="282"/>
      <c r="K986" s="282"/>
      <c r="L986" s="282"/>
      <c r="M986" s="282"/>
      <c r="N986" s="282"/>
      <c r="O986" s="282"/>
      <c r="P986" s="282"/>
      <c r="Q986" s="282"/>
      <c r="R986" s="282"/>
      <c r="S986" s="282"/>
      <c r="T986" s="282"/>
      <c r="U986" s="282"/>
      <c r="V986" s="298"/>
      <c r="W986" s="298"/>
      <c r="X986" s="298"/>
      <c r="Y986" s="298"/>
      <c r="Z986" s="298"/>
      <c r="AA986" s="298"/>
      <c r="AB986" s="298"/>
      <c r="AC986" s="298"/>
      <c r="AD986" s="298"/>
      <c r="AE986" s="298"/>
      <c r="AF986" s="298"/>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row>
    <row r="987">
      <c r="A987" s="304"/>
      <c r="B987" s="282"/>
      <c r="C987" s="298"/>
      <c r="D987" s="282"/>
      <c r="E987" s="282"/>
      <c r="F987" s="282"/>
      <c r="G987" s="282"/>
      <c r="H987" s="282"/>
      <c r="I987" s="282"/>
      <c r="J987" s="282"/>
      <c r="K987" s="282"/>
      <c r="L987" s="282"/>
      <c r="M987" s="282"/>
      <c r="N987" s="282"/>
      <c r="O987" s="282"/>
      <c r="P987" s="282"/>
      <c r="Q987" s="282"/>
      <c r="R987" s="282"/>
      <c r="S987" s="282"/>
      <c r="T987" s="282"/>
      <c r="U987" s="282"/>
      <c r="V987" s="298"/>
      <c r="W987" s="298"/>
      <c r="X987" s="298"/>
      <c r="Y987" s="298"/>
      <c r="Z987" s="298"/>
      <c r="AA987" s="298"/>
      <c r="AB987" s="298"/>
      <c r="AC987" s="298"/>
      <c r="AD987" s="298"/>
      <c r="AE987" s="298"/>
      <c r="AF987" s="298"/>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row>
    <row r="988">
      <c r="A988" s="304"/>
      <c r="B988" s="282"/>
      <c r="C988" s="298"/>
      <c r="D988" s="282"/>
      <c r="E988" s="282"/>
      <c r="F988" s="282"/>
      <c r="G988" s="282"/>
      <c r="H988" s="282"/>
      <c r="I988" s="282"/>
      <c r="J988" s="282"/>
      <c r="K988" s="282"/>
      <c r="L988" s="282"/>
      <c r="M988" s="282"/>
      <c r="N988" s="282"/>
      <c r="O988" s="282"/>
      <c r="P988" s="282"/>
      <c r="Q988" s="282"/>
      <c r="R988" s="282"/>
      <c r="S988" s="282"/>
      <c r="T988" s="282"/>
      <c r="U988" s="282"/>
      <c r="V988" s="298"/>
      <c r="W988" s="298"/>
      <c r="X988" s="298"/>
      <c r="Y988" s="298"/>
      <c r="Z988" s="298"/>
      <c r="AA988" s="298"/>
      <c r="AB988" s="298"/>
      <c r="AC988" s="298"/>
      <c r="AD988" s="298"/>
      <c r="AE988" s="298"/>
      <c r="AF988" s="298"/>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row>
    <row r="989">
      <c r="A989" s="304"/>
      <c r="B989" s="282"/>
      <c r="C989" s="298"/>
      <c r="D989" s="282"/>
      <c r="E989" s="282"/>
      <c r="F989" s="282"/>
      <c r="G989" s="282"/>
      <c r="H989" s="282"/>
      <c r="I989" s="282"/>
      <c r="J989" s="282"/>
      <c r="K989" s="282"/>
      <c r="L989" s="282"/>
      <c r="M989" s="282"/>
      <c r="N989" s="282"/>
      <c r="O989" s="282"/>
      <c r="P989" s="282"/>
      <c r="Q989" s="282"/>
      <c r="R989" s="282"/>
      <c r="S989" s="282"/>
      <c r="T989" s="282"/>
      <c r="U989" s="282"/>
      <c r="V989" s="298"/>
      <c r="W989" s="298"/>
      <c r="X989" s="298"/>
      <c r="Y989" s="298"/>
      <c r="Z989" s="298"/>
      <c r="AA989" s="298"/>
      <c r="AB989" s="298"/>
      <c r="AC989" s="298"/>
      <c r="AD989" s="298"/>
      <c r="AE989" s="298"/>
      <c r="AF989" s="298"/>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row>
    <row r="990">
      <c r="A990" s="304"/>
      <c r="B990" s="282"/>
      <c r="C990" s="298"/>
      <c r="D990" s="282"/>
      <c r="E990" s="282"/>
      <c r="F990" s="282"/>
      <c r="G990" s="282"/>
      <c r="H990" s="282"/>
      <c r="I990" s="282"/>
      <c r="J990" s="282"/>
      <c r="K990" s="282"/>
      <c r="L990" s="282"/>
      <c r="M990" s="282"/>
      <c r="N990" s="282"/>
      <c r="O990" s="282"/>
      <c r="P990" s="282"/>
      <c r="Q990" s="282"/>
      <c r="R990" s="282"/>
      <c r="S990" s="282"/>
      <c r="T990" s="282"/>
      <c r="U990" s="282"/>
      <c r="V990" s="298"/>
      <c r="W990" s="298"/>
      <c r="X990" s="298"/>
      <c r="Y990" s="298"/>
      <c r="Z990" s="298"/>
      <c r="AA990" s="298"/>
      <c r="AB990" s="298"/>
      <c r="AC990" s="298"/>
      <c r="AD990" s="298"/>
      <c r="AE990" s="298"/>
      <c r="AF990" s="298"/>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row>
    <row r="991">
      <c r="A991" s="304"/>
      <c r="B991" s="282"/>
      <c r="C991" s="298"/>
      <c r="D991" s="282"/>
      <c r="E991" s="282"/>
      <c r="F991" s="282"/>
      <c r="G991" s="282"/>
      <c r="H991" s="282"/>
      <c r="I991" s="282"/>
      <c r="J991" s="282"/>
      <c r="K991" s="282"/>
      <c r="L991" s="282"/>
      <c r="M991" s="282"/>
      <c r="N991" s="282"/>
      <c r="O991" s="282"/>
      <c r="P991" s="282"/>
      <c r="Q991" s="282"/>
      <c r="R991" s="282"/>
      <c r="S991" s="282"/>
      <c r="T991" s="282"/>
      <c r="U991" s="282"/>
      <c r="V991" s="298"/>
      <c r="W991" s="298"/>
      <c r="X991" s="298"/>
      <c r="Y991" s="298"/>
      <c r="Z991" s="298"/>
      <c r="AA991" s="298"/>
      <c r="AB991" s="298"/>
      <c r="AC991" s="298"/>
      <c r="AD991" s="298"/>
      <c r="AE991" s="298"/>
      <c r="AF991" s="298"/>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row>
    <row r="992">
      <c r="A992" s="304"/>
      <c r="B992" s="282"/>
      <c r="C992" s="298"/>
      <c r="D992" s="282"/>
      <c r="E992" s="282"/>
      <c r="F992" s="282"/>
      <c r="G992" s="282"/>
      <c r="H992" s="282"/>
      <c r="I992" s="282"/>
      <c r="J992" s="282"/>
      <c r="K992" s="282"/>
      <c r="L992" s="282"/>
      <c r="M992" s="282"/>
      <c r="N992" s="282"/>
      <c r="O992" s="282"/>
      <c r="P992" s="282"/>
      <c r="Q992" s="282"/>
      <c r="R992" s="282"/>
      <c r="S992" s="282"/>
      <c r="T992" s="282"/>
      <c r="U992" s="282"/>
      <c r="V992" s="298"/>
      <c r="W992" s="298"/>
      <c r="X992" s="298"/>
      <c r="Y992" s="298"/>
      <c r="Z992" s="298"/>
      <c r="AA992" s="298"/>
      <c r="AB992" s="298"/>
      <c r="AC992" s="298"/>
      <c r="AD992" s="298"/>
      <c r="AE992" s="298"/>
      <c r="AF992" s="298"/>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row>
    <row r="993">
      <c r="A993" s="304"/>
      <c r="B993" s="282"/>
      <c r="C993" s="298"/>
      <c r="D993" s="282"/>
      <c r="E993" s="282"/>
      <c r="F993" s="282"/>
      <c r="G993" s="282"/>
      <c r="H993" s="282"/>
      <c r="I993" s="282"/>
      <c r="J993" s="282"/>
      <c r="K993" s="282"/>
      <c r="L993" s="282"/>
      <c r="M993" s="282"/>
      <c r="N993" s="282"/>
      <c r="O993" s="282"/>
      <c r="P993" s="282"/>
      <c r="Q993" s="282"/>
      <c r="R993" s="282"/>
      <c r="S993" s="282"/>
      <c r="T993" s="282"/>
      <c r="U993" s="282"/>
      <c r="V993" s="298"/>
      <c r="W993" s="298"/>
      <c r="X993" s="298"/>
      <c r="Y993" s="298"/>
      <c r="Z993" s="298"/>
      <c r="AA993" s="298"/>
      <c r="AB993" s="298"/>
      <c r="AC993" s="298"/>
      <c r="AD993" s="298"/>
      <c r="AE993" s="298"/>
      <c r="AF993" s="298"/>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row>
    <row r="994">
      <c r="A994" s="304"/>
      <c r="B994" s="282"/>
      <c r="C994" s="298"/>
      <c r="D994" s="282"/>
      <c r="E994" s="282"/>
      <c r="F994" s="282"/>
      <c r="G994" s="282"/>
      <c r="H994" s="282"/>
      <c r="I994" s="282"/>
      <c r="J994" s="282"/>
      <c r="K994" s="282"/>
      <c r="L994" s="282"/>
      <c r="M994" s="282"/>
      <c r="N994" s="282"/>
      <c r="O994" s="282"/>
      <c r="P994" s="282"/>
      <c r="Q994" s="282"/>
      <c r="R994" s="282"/>
      <c r="S994" s="282"/>
      <c r="T994" s="282"/>
      <c r="U994" s="282"/>
      <c r="V994" s="298"/>
      <c r="W994" s="298"/>
      <c r="X994" s="298"/>
      <c r="Y994" s="298"/>
      <c r="Z994" s="298"/>
      <c r="AA994" s="298"/>
      <c r="AB994" s="298"/>
      <c r="AC994" s="298"/>
      <c r="AD994" s="298"/>
      <c r="AE994" s="298"/>
      <c r="AF994" s="298"/>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row>
    <row r="995">
      <c r="A995" s="304"/>
      <c r="B995" s="282"/>
      <c r="C995" s="298"/>
      <c r="D995" s="282"/>
      <c r="E995" s="282"/>
      <c r="F995" s="282"/>
      <c r="G995" s="282"/>
      <c r="H995" s="282"/>
      <c r="I995" s="282"/>
      <c r="J995" s="282"/>
      <c r="K995" s="282"/>
      <c r="L995" s="282"/>
      <c r="M995" s="282"/>
      <c r="N995" s="282"/>
      <c r="O995" s="282"/>
      <c r="P995" s="282"/>
      <c r="Q995" s="282"/>
      <c r="R995" s="282"/>
      <c r="S995" s="282"/>
      <c r="T995" s="282"/>
      <c r="U995" s="282"/>
      <c r="V995" s="298"/>
      <c r="W995" s="298"/>
      <c r="X995" s="298"/>
      <c r="Y995" s="298"/>
      <c r="Z995" s="298"/>
      <c r="AA995" s="298"/>
      <c r="AB995" s="298"/>
      <c r="AC995" s="298"/>
      <c r="AD995" s="298"/>
      <c r="AE995" s="298"/>
      <c r="AF995" s="298"/>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row>
    <row r="996">
      <c r="A996" s="304"/>
      <c r="B996" s="282"/>
      <c r="C996" s="298"/>
      <c r="D996" s="282"/>
      <c r="E996" s="282"/>
      <c r="F996" s="282"/>
      <c r="G996" s="282"/>
      <c r="H996" s="282"/>
      <c r="I996" s="282"/>
      <c r="J996" s="282"/>
      <c r="K996" s="282"/>
      <c r="L996" s="282"/>
      <c r="M996" s="282"/>
      <c r="N996" s="282"/>
      <c r="O996" s="282"/>
      <c r="P996" s="282"/>
      <c r="Q996" s="282"/>
      <c r="R996" s="282"/>
      <c r="S996" s="282"/>
      <c r="T996" s="282"/>
      <c r="U996" s="282"/>
      <c r="V996" s="298"/>
      <c r="W996" s="298"/>
      <c r="X996" s="298"/>
      <c r="Y996" s="298"/>
      <c r="Z996" s="298"/>
      <c r="AA996" s="298"/>
      <c r="AB996" s="298"/>
      <c r="AC996" s="298"/>
      <c r="AD996" s="298"/>
      <c r="AE996" s="298"/>
      <c r="AF996" s="298"/>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row>
    <row r="997">
      <c r="A997" s="304"/>
      <c r="B997" s="282"/>
      <c r="C997" s="298"/>
      <c r="D997" s="282"/>
      <c r="E997" s="282"/>
      <c r="F997" s="282"/>
      <c r="G997" s="282"/>
      <c r="H997" s="282"/>
      <c r="I997" s="282"/>
      <c r="J997" s="282"/>
      <c r="K997" s="282"/>
      <c r="L997" s="282"/>
      <c r="M997" s="282"/>
      <c r="N997" s="282"/>
      <c r="O997" s="282"/>
      <c r="P997" s="282"/>
      <c r="Q997" s="282"/>
      <c r="R997" s="282"/>
      <c r="S997" s="282"/>
      <c r="T997" s="282"/>
      <c r="U997" s="282"/>
      <c r="V997" s="298"/>
      <c r="W997" s="298"/>
      <c r="X997" s="298"/>
      <c r="Y997" s="298"/>
      <c r="Z997" s="298"/>
      <c r="AA997" s="298"/>
      <c r="AB997" s="298"/>
      <c r="AC997" s="298"/>
      <c r="AD997" s="298"/>
      <c r="AE997" s="298"/>
      <c r="AF997" s="298"/>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row>
    <row r="998">
      <c r="A998" s="304"/>
      <c r="B998" s="282"/>
      <c r="C998" s="298"/>
      <c r="D998" s="282"/>
      <c r="E998" s="282"/>
      <c r="F998" s="282"/>
      <c r="G998" s="282"/>
      <c r="H998" s="282"/>
      <c r="I998" s="282"/>
      <c r="J998" s="282"/>
      <c r="K998" s="282"/>
      <c r="L998" s="282"/>
      <c r="M998" s="282"/>
      <c r="N998" s="282"/>
      <c r="O998" s="282"/>
      <c r="P998" s="282"/>
      <c r="Q998" s="282"/>
      <c r="R998" s="282"/>
      <c r="S998" s="282"/>
      <c r="T998" s="282"/>
      <c r="U998" s="282"/>
      <c r="V998" s="298"/>
      <c r="W998" s="298"/>
      <c r="X998" s="298"/>
      <c r="Y998" s="298"/>
      <c r="Z998" s="298"/>
      <c r="AA998" s="298"/>
      <c r="AB998" s="298"/>
      <c r="AC998" s="298"/>
      <c r="AD998" s="298"/>
      <c r="AE998" s="298"/>
      <c r="AF998" s="298"/>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row>
    <row r="999">
      <c r="A999" s="304"/>
      <c r="B999" s="282"/>
      <c r="C999" s="298"/>
      <c r="D999" s="282"/>
      <c r="E999" s="282"/>
      <c r="F999" s="282"/>
      <c r="G999" s="282"/>
      <c r="H999" s="282"/>
      <c r="I999" s="282"/>
      <c r="J999" s="282"/>
      <c r="K999" s="282"/>
      <c r="L999" s="282"/>
      <c r="M999" s="282"/>
      <c r="N999" s="282"/>
      <c r="O999" s="282"/>
      <c r="P999" s="282"/>
      <c r="Q999" s="282"/>
      <c r="R999" s="282"/>
      <c r="S999" s="282"/>
      <c r="T999" s="282"/>
      <c r="U999" s="282"/>
      <c r="V999" s="298"/>
      <c r="W999" s="298"/>
      <c r="X999" s="298"/>
      <c r="Y999" s="298"/>
      <c r="Z999" s="298"/>
      <c r="AA999" s="298"/>
      <c r="AB999" s="298"/>
      <c r="AC999" s="298"/>
      <c r="AD999" s="298"/>
      <c r="AE999" s="298"/>
      <c r="AF999" s="298"/>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row>
    <row r="1000">
      <c r="A1000" s="304"/>
      <c r="B1000" s="282"/>
      <c r="C1000" s="298"/>
      <c r="D1000" s="282"/>
      <c r="E1000" s="282"/>
      <c r="F1000" s="282"/>
      <c r="G1000" s="282"/>
      <c r="H1000" s="282"/>
      <c r="I1000" s="282"/>
      <c r="J1000" s="282"/>
      <c r="K1000" s="282"/>
      <c r="L1000" s="282"/>
      <c r="M1000" s="282"/>
      <c r="N1000" s="282"/>
      <c r="O1000" s="282"/>
      <c r="P1000" s="282"/>
      <c r="Q1000" s="282"/>
      <c r="R1000" s="282"/>
      <c r="S1000" s="282"/>
      <c r="T1000" s="282"/>
      <c r="U1000" s="282"/>
      <c r="V1000" s="298"/>
      <c r="W1000" s="298"/>
      <c r="X1000" s="298"/>
      <c r="Y1000" s="298"/>
      <c r="Z1000" s="298"/>
      <c r="AA1000" s="298"/>
      <c r="AB1000" s="298"/>
      <c r="AC1000" s="298"/>
      <c r="AD1000" s="298"/>
      <c r="AE1000" s="298"/>
      <c r="AF1000" s="298"/>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row>
  </sheetData>
  <autoFilter ref="$A$1:$AF$39">
    <filterColumn colId="0">
      <filters>
        <filter val="28 February 2026"/>
        <filter val="14 February 2026"/>
        <filter val="7 February 2026"/>
      </filters>
    </filterColumn>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7.63"/>
    <col customWidth="1" min="6" max="6" width="25.25"/>
    <col customWidth="1" min="7" max="7" width="34.38"/>
    <col customWidth="1" min="8" max="8" width="45.0"/>
    <col customWidth="1" min="9" max="9" width="40.75"/>
    <col customWidth="1" min="25" max="25" width="22.25"/>
    <col customWidth="1" min="26" max="26" width="24.0"/>
  </cols>
  <sheetData>
    <row r="1">
      <c r="A1" s="289" t="str">
        <f>IFERROR(__xludf.DUMMYFUNCTION("QUERY(Mastersheet!A1:AZ1000, ""SELECT * WHERE E = 'R&amp;B'"", 1)"),"Date")</f>
        <v>Date</v>
      </c>
      <c r="B1" s="289" t="str">
        <f>IFERROR(__xludf.DUMMYFUNCTION("""COMPUTED_VALUE"""),"Send Time")</f>
        <v>Send Time</v>
      </c>
      <c r="C1" s="289" t="str">
        <f>IFERROR(__xludf.DUMMYFUNCTION("""COMPUTED_VALUE"""),"Channel")</f>
        <v>Channel</v>
      </c>
      <c r="D1" s="289" t="str">
        <f>IFERROR(__xludf.DUMMYFUNCTION("""COMPUTED_VALUE"""),"Campaign Type")</f>
        <v>Campaign Type</v>
      </c>
      <c r="E1" s="289" t="str">
        <f>IFERROR(__xludf.DUMMYFUNCTION("""COMPUTED_VALUE"""),"Brand")</f>
        <v>Brand</v>
      </c>
      <c r="F1" s="289" t="str">
        <f>IFERROR(__xludf.DUMMYFUNCTION("""COMPUTED_VALUE"""),"Master Campaign / Offer Category")</f>
        <v>Master Campaign / Offer Category</v>
      </c>
      <c r="G1" s="289" t="str">
        <f>IFERROR(__xludf.DUMMYFUNCTION("""COMPUTED_VALUE"""),"Campaign Name")</f>
        <v>Campaign Name</v>
      </c>
      <c r="H1" s="289" t="str">
        <f>IFERROR(__xludf.DUMMYFUNCTION("""COMPUTED_VALUE"""),"Segment Name")</f>
        <v>Segment Name</v>
      </c>
      <c r="I1" s="289" t="str">
        <f>IFERROR(__xludf.DUMMYFUNCTION("""COMPUTED_VALUE"""),"Segment Logic")</f>
        <v>Segment Logic</v>
      </c>
      <c r="J1" s="289" t="str">
        <f>IFERROR(__xludf.DUMMYFUNCTION("""COMPUTED_VALUE"""),"Total Sent")</f>
        <v>Total Sent</v>
      </c>
      <c r="K1" s="289" t="str">
        <f>IFERROR(__xludf.DUMMYFUNCTION("""COMPUTED_VALUE"""),"Total Delivered")</f>
        <v>Total Delivered</v>
      </c>
      <c r="L1" s="289" t="str">
        <f>IFERROR(__xludf.DUMMYFUNCTION("""COMPUTED_VALUE"""),"Delivery Rate")</f>
        <v>Delivery Rate</v>
      </c>
      <c r="M1" s="289" t="str">
        <f>IFERROR(__xludf.DUMMYFUNCTION("""COMPUTED_VALUE"""),"Total Read")</f>
        <v>Total Read</v>
      </c>
      <c r="N1" s="289" t="str">
        <f>IFERROR(__xludf.DUMMYFUNCTION("""COMPUTED_VALUE"""),"Read Rate")</f>
        <v>Read Rate</v>
      </c>
      <c r="O1" s="289" t="str">
        <f>IFERROR(__xludf.DUMMYFUNCTION("""COMPUTED_VALUE"""),"Total Clicks")</f>
        <v>Total Clicks</v>
      </c>
      <c r="P1" s="290" t="str">
        <f>IFERROR(__xludf.DUMMYFUNCTION("""COMPUTED_VALUE"""),"Unique Clicks")</f>
        <v>Unique Clicks</v>
      </c>
      <c r="Q1" s="290" t="str">
        <f>IFERROR(__xludf.DUMMYFUNCTION("""COMPUTED_VALUE"""),"CTR")</f>
        <v>CTR</v>
      </c>
      <c r="R1" s="290" t="str">
        <f>IFERROR(__xludf.DUMMYFUNCTION("""COMPUTED_VALUE"""),"Click to Open Rate")</f>
        <v>Click to Open Rate</v>
      </c>
      <c r="S1" s="290" t="str">
        <f>IFERROR(__xludf.DUMMYFUNCTION("""COMPUTED_VALUE"""),"Goal 1 Conversions")</f>
        <v>Goal 1 Conversions</v>
      </c>
      <c r="T1" s="290" t="str">
        <f>IFERROR(__xludf.DUMMYFUNCTION("""COMPUTED_VALUE"""),"Goal 2 Add to Cart")</f>
        <v>Goal 2 Add to Cart</v>
      </c>
      <c r="U1" s="290" t="str">
        <f>IFERROR(__xludf.DUMMYFUNCTION("""COMPUTED_VALUE"""),"Total Campaign Revenue INR")</f>
        <v>Total Campaign Revenue INR</v>
      </c>
      <c r="V1" s="290" t="str">
        <f>IFERROR(__xludf.DUMMYFUNCTION("""COMPUTED_VALUE"""),"Campaign Channel Type")</f>
        <v>Campaign Channel Type</v>
      </c>
      <c r="W1" s="290" t="str">
        <f>IFERROR(__xludf.DUMMYFUNCTION("""COMPUTED_VALUE"""),"Template Type")</f>
        <v>Template Type</v>
      </c>
      <c r="X1" s="290" t="str">
        <f>IFERROR(__xludf.DUMMYFUNCTION("""COMPUTED_VALUE"""),"Segment Customer Base Type")</f>
        <v>Segment Customer Base Type</v>
      </c>
      <c r="Y1" s="290" t="str">
        <f>IFERROR(__xludf.DUMMYFUNCTION("""COMPUTED_VALUE"""),"Track Goals for")</f>
        <v>Track Goals for</v>
      </c>
      <c r="Z1" s="290" t="str">
        <f>IFERROR(__xludf.DUMMYFUNCTION("""COMPUTED_VALUE"""),"Campaign ID")</f>
        <v>Campaign ID</v>
      </c>
      <c r="AA1" s="290" t="str">
        <f>IFERROR(__xludf.DUMMYFUNCTION("""COMPUTED_VALUE"""),"Campaign Purchased Customers")</f>
        <v>Campaign Purchased Customers</v>
      </c>
      <c r="AB1" s="290" t="str">
        <f>IFERROR(__xludf.DUMMYFUNCTION("""COMPUTED_VALUE"""),"Campaign Purchased Customers - Online")</f>
        <v>Campaign Purchased Customers - Online</v>
      </c>
      <c r="AC1" s="290" t="str">
        <f>IFERROR(__xludf.DUMMYFUNCTION("""COMPUTED_VALUE"""),"Campaign Purchased Customers - Offline")</f>
        <v>Campaign Purchased Customers - Offline</v>
      </c>
      <c r="AD1" s="290" t="str">
        <f>IFERROR(__xludf.DUMMYFUNCTION("""COMPUTED_VALUE"""),"Influenced Revenue")</f>
        <v>Influenced Revenue</v>
      </c>
      <c r="AE1" s="290" t="str">
        <f>IFERROR(__xludf.DUMMYFUNCTION("""COMPUTED_VALUE"""),"Influenced Revenue - Online")</f>
        <v>Influenced Revenue - Online</v>
      </c>
      <c r="AF1" s="290" t="str">
        <f>IFERROR(__xludf.DUMMYFUNCTION("""COMPUTED_VALUE"""),"Influenced Revenue - Offline")</f>
        <v>Influenced Revenue - Offline</v>
      </c>
      <c r="AG1" s="291" t="str">
        <f>IFERROR(__xludf.DUMMYFUNCTION("""COMPUTED_VALUE"""),"")</f>
        <v/>
      </c>
      <c r="AH1" s="291" t="str">
        <f>IFERROR(__xludf.DUMMYFUNCTION("""COMPUTED_VALUE"""),"")</f>
        <v/>
      </c>
      <c r="AI1" s="291" t="str">
        <f>IFERROR(__xludf.DUMMYFUNCTION("""COMPUTED_VALUE"""),"")</f>
        <v/>
      </c>
      <c r="AJ1" s="291" t="str">
        <f>IFERROR(__xludf.DUMMYFUNCTION("""COMPUTED_VALUE"""),"")</f>
        <v/>
      </c>
      <c r="AK1" s="291" t="str">
        <f>IFERROR(__xludf.DUMMYFUNCTION("""COMPUTED_VALUE"""),"")</f>
        <v/>
      </c>
      <c r="AL1" s="291" t="str">
        <f>IFERROR(__xludf.DUMMYFUNCTION("""COMPUTED_VALUE"""),"")</f>
        <v/>
      </c>
      <c r="AM1" s="291" t="str">
        <f>IFERROR(__xludf.DUMMYFUNCTION("""COMPUTED_VALUE"""),"")</f>
        <v/>
      </c>
      <c r="AN1" s="291" t="str">
        <f>IFERROR(__xludf.DUMMYFUNCTION("""COMPUTED_VALUE"""),"")</f>
        <v/>
      </c>
      <c r="AO1" s="291" t="str">
        <f>IFERROR(__xludf.DUMMYFUNCTION("""COMPUTED_VALUE"""),"")</f>
        <v/>
      </c>
      <c r="AP1" s="291" t="str">
        <f>IFERROR(__xludf.DUMMYFUNCTION("""COMPUTED_VALUE"""),"")</f>
        <v/>
      </c>
      <c r="AQ1" s="291"/>
      <c r="AR1" s="291"/>
      <c r="AS1" s="291"/>
      <c r="AT1" s="291"/>
      <c r="AU1" s="291"/>
      <c r="AV1" s="291"/>
      <c r="AW1" s="291"/>
      <c r="AX1" s="291"/>
      <c r="AY1" s="291"/>
      <c r="AZ1" s="291"/>
    </row>
    <row r="2">
      <c r="A2" s="209">
        <f>IFERROR(__xludf.DUMMYFUNCTION("""COMPUTED_VALUE"""),46031.0)</f>
        <v>46031</v>
      </c>
      <c r="B2" s="247">
        <f>IFERROR(__xludf.DUMMYFUNCTION("""COMPUTED_VALUE"""),0.8333333333321207)</f>
        <v>0.8333333333</v>
      </c>
      <c r="C2" s="211" t="str">
        <f>IFERROR(__xludf.DUMMYFUNCTION("""COMPUTED_VALUE"""),"Sms")</f>
        <v>Sms</v>
      </c>
      <c r="D2" s="211" t="str">
        <f>IFERROR(__xludf.DUMMYFUNCTION("""COMPUTED_VALUE"""),"Fallback Campaign")</f>
        <v>Fallback Campaign</v>
      </c>
      <c r="E2" s="211" t="str">
        <f>IFERROR(__xludf.DUMMYFUNCTION("""COMPUTED_VALUE"""),"R&amp;B")</f>
        <v>R&amp;B</v>
      </c>
      <c r="F2" s="211" t="str">
        <f>IFERROR(__xludf.DUMMYFUNCTION("""COMPUTED_VALUE"""),"Sankranti Campaign")</f>
        <v>Sankranti Campaign</v>
      </c>
      <c r="G2" s="211" t="str">
        <f>IFERROR(__xludf.DUMMYFUNCTION("""COMPUTED_VALUE"""),"Sankranti SMS Campaign fb")</f>
        <v>Sankranti SMS Campaign fb</v>
      </c>
      <c r="H2" s="212" t="str">
        <f>IFERROR(__xludf.DUMMYFUNCTION("""COMPUTED_VALUE"""),"rb_off_pr_18_strcds_9th_Jan")</f>
        <v>rb_off_pr_18_strcds_9th_Jan</v>
      </c>
      <c r="I2" s="212" t="str">
        <f>IFERROR(__xludf.DUMMYFUNCTION("""COMPUTED_VALUE"""),"RCS Undelivered ")</f>
        <v>RCS Undelivered </v>
      </c>
      <c r="J2" s="213">
        <f>IFERROR(__xludf.DUMMYFUNCTION("""COMPUTED_VALUE"""),295547.0)</f>
        <v>295547</v>
      </c>
      <c r="K2" s="213">
        <f>IFERROR(__xludf.DUMMYFUNCTION("""COMPUTED_VALUE"""),200505.0)</f>
        <v>200505</v>
      </c>
      <c r="L2" s="214">
        <f>IFERROR(__xludf.DUMMYFUNCTION("""COMPUTED_VALUE"""),0.678)</f>
        <v>0.678</v>
      </c>
      <c r="M2" s="213"/>
      <c r="N2" s="214"/>
      <c r="O2" s="101">
        <f>IFERROR(__xludf.DUMMYFUNCTION("""COMPUTED_VALUE"""),198.0)</f>
        <v>198</v>
      </c>
      <c r="P2" s="101"/>
      <c r="Q2" s="214">
        <f>IFERROR(__xludf.DUMMYFUNCTION("""COMPUTED_VALUE"""),0.001)</f>
        <v>0.001</v>
      </c>
      <c r="R2" s="214"/>
      <c r="S2" s="101"/>
      <c r="T2" s="101"/>
      <c r="U2" s="213"/>
      <c r="V2" s="101" t="str">
        <f>IFERROR(__xludf.DUMMYFUNCTION("""COMPUTED_VALUE"""),"Offline ")</f>
        <v>Offline </v>
      </c>
      <c r="W2" s="101" t="str">
        <f>IFERROR(__xludf.DUMMYFUNCTION("""COMPUTED_VALUE"""),"SMS")</f>
        <v>SMS</v>
      </c>
      <c r="X2" s="101" t="str">
        <f>IFERROR(__xludf.DUMMYFUNCTION("""COMPUTED_VALUE"""),"Generic")</f>
        <v>Generic</v>
      </c>
      <c r="Y2" s="101" t="str">
        <f>IFERROR(__xludf.DUMMYFUNCTION("""COMPUTED_VALUE"""),"9th Jan to 11th Jan")</f>
        <v>9th Jan to 11th Jan</v>
      </c>
      <c r="Z2" s="101" t="str">
        <f>IFERROR(__xludf.DUMMYFUNCTION("""COMPUTED_VALUE"""),"6960f75d2e122002a24270b4")</f>
        <v>6960f75d2e122002a24270b4</v>
      </c>
      <c r="AA2" s="213">
        <f>IFERROR(__xludf.DUMMYFUNCTION("""COMPUTED_VALUE"""),535.0)</f>
        <v>535</v>
      </c>
      <c r="AB2" s="213"/>
      <c r="AC2" s="213">
        <f>IFERROR(__xludf.DUMMYFUNCTION("""COMPUTED_VALUE"""),535.0)</f>
        <v>535</v>
      </c>
      <c r="AD2" s="213">
        <f>IFERROR(__xludf.DUMMYFUNCTION("""COMPUTED_VALUE"""),1105369.0)</f>
        <v>1105369</v>
      </c>
      <c r="AE2" s="213"/>
      <c r="AF2" s="213">
        <f>IFERROR(__xludf.DUMMYFUNCTION("""COMPUTED_VALUE"""),1105369.0)</f>
        <v>1105369</v>
      </c>
      <c r="AG2" s="282"/>
      <c r="AH2" s="282"/>
      <c r="AI2" s="282"/>
      <c r="AJ2" s="303"/>
      <c r="AK2" s="303"/>
      <c r="AL2" s="303"/>
      <c r="AM2" s="282"/>
      <c r="AN2" s="282"/>
      <c r="AO2" s="282"/>
      <c r="AP2" s="282"/>
      <c r="AQ2" s="282"/>
      <c r="AR2" s="282"/>
      <c r="AS2" s="282"/>
      <c r="AT2" s="282"/>
      <c r="AU2" s="282"/>
      <c r="AV2" s="282"/>
      <c r="AW2" s="282"/>
      <c r="AX2" s="282"/>
      <c r="AY2" s="282"/>
      <c r="AZ2" s="282"/>
    </row>
    <row r="3">
      <c r="A3" s="209">
        <f>IFERROR(__xludf.DUMMYFUNCTION("""COMPUTED_VALUE"""),46031.0)</f>
        <v>46031</v>
      </c>
      <c r="B3" s="247">
        <f>IFERROR(__xludf.DUMMYFUNCTION("""COMPUTED_VALUE"""),0.8333333333321207)</f>
        <v>0.8333333333</v>
      </c>
      <c r="C3" s="211" t="str">
        <f>IFERROR(__xludf.DUMMYFUNCTION("""COMPUTED_VALUE"""),"Sms")</f>
        <v>Sms</v>
      </c>
      <c r="D3" s="211" t="str">
        <f>IFERROR(__xludf.DUMMYFUNCTION("""COMPUTED_VALUE"""),"Fallback Campaign")</f>
        <v>Fallback Campaign</v>
      </c>
      <c r="E3" s="211" t="str">
        <f>IFERROR(__xludf.DUMMYFUNCTION("""COMPUTED_VALUE"""),"R&amp;B")</f>
        <v>R&amp;B</v>
      </c>
      <c r="F3" s="211" t="str">
        <f>IFERROR(__xludf.DUMMYFUNCTION("""COMPUTED_VALUE"""),"Kompally Campaign")</f>
        <v>Kompally Campaign</v>
      </c>
      <c r="G3" s="211" t="str">
        <f>IFERROR(__xludf.DUMMYFUNCTION("""COMPUTED_VALUE"""),"Kompally SMS Campaign fb")</f>
        <v>Kompally SMS Campaign fb</v>
      </c>
      <c r="H3" s="212" t="str">
        <f>IFERROR(__xludf.DUMMYFUNCTION("""COMPUTED_VALUE"""),"Kompally_Customer_Base_9th Jan")</f>
        <v>Kompally_Customer_Base_9th Jan</v>
      </c>
      <c r="I3" s="212" t="str">
        <f>IFERROR(__xludf.DUMMYFUNCTION("""COMPUTED_VALUE"""),"RCS Undelivered ")</f>
        <v>RCS Undelivered </v>
      </c>
      <c r="J3" s="213">
        <f>IFERROR(__xludf.DUMMYFUNCTION("""COMPUTED_VALUE"""),9398.0)</f>
        <v>9398</v>
      </c>
      <c r="K3" s="213">
        <f>IFERROR(__xludf.DUMMYFUNCTION("""COMPUTED_VALUE"""),5271.0)</f>
        <v>5271</v>
      </c>
      <c r="L3" s="214">
        <f>IFERROR(__xludf.DUMMYFUNCTION("""COMPUTED_VALUE"""),0.561)</f>
        <v>0.561</v>
      </c>
      <c r="M3" s="213"/>
      <c r="N3" s="214"/>
      <c r="O3" s="101">
        <f>IFERROR(__xludf.DUMMYFUNCTION("""COMPUTED_VALUE"""),14.0)</f>
        <v>14</v>
      </c>
      <c r="P3" s="101"/>
      <c r="Q3" s="214">
        <f>IFERROR(__xludf.DUMMYFUNCTION("""COMPUTED_VALUE"""),0.003)</f>
        <v>0.003</v>
      </c>
      <c r="R3" s="214"/>
      <c r="S3" s="101"/>
      <c r="T3" s="101"/>
      <c r="U3" s="213"/>
      <c r="V3" s="101" t="str">
        <f>IFERROR(__xludf.DUMMYFUNCTION("""COMPUTED_VALUE"""),"Offline ")</f>
        <v>Offline </v>
      </c>
      <c r="W3" s="101" t="str">
        <f>IFERROR(__xludf.DUMMYFUNCTION("""COMPUTED_VALUE"""),"SMS")</f>
        <v>SMS</v>
      </c>
      <c r="X3" s="101" t="str">
        <f>IFERROR(__xludf.DUMMYFUNCTION("""COMPUTED_VALUE"""),"Custom Upload")</f>
        <v>Custom Upload</v>
      </c>
      <c r="Y3" s="101" t="str">
        <f>IFERROR(__xludf.DUMMYFUNCTION("""COMPUTED_VALUE"""),"9th Jan to 11th Jan")</f>
        <v>9th Jan to 11th Jan</v>
      </c>
      <c r="Z3" s="101" t="str">
        <f>IFERROR(__xludf.DUMMYFUNCTION("""COMPUTED_VALUE"""),"6960f6979d3a8696e8d99125")</f>
        <v>6960f6979d3a8696e8d99125</v>
      </c>
      <c r="AA3" s="213">
        <f>IFERROR(__xludf.DUMMYFUNCTION("""COMPUTED_VALUE"""),1.0)</f>
        <v>1</v>
      </c>
      <c r="AB3" s="213"/>
      <c r="AC3" s="213">
        <f>IFERROR(__xludf.DUMMYFUNCTION("""COMPUTED_VALUE"""),1.0)</f>
        <v>1</v>
      </c>
      <c r="AD3" s="213">
        <f>IFERROR(__xludf.DUMMYFUNCTION("""COMPUTED_VALUE"""),599.0)</f>
        <v>599</v>
      </c>
      <c r="AE3" s="213"/>
      <c r="AF3" s="213">
        <f>IFERROR(__xludf.DUMMYFUNCTION("""COMPUTED_VALUE"""),599.0)</f>
        <v>599</v>
      </c>
      <c r="AG3" s="282"/>
      <c r="AH3" s="282"/>
      <c r="AI3" s="282"/>
      <c r="AJ3" s="303"/>
      <c r="AK3" s="303"/>
      <c r="AL3" s="303"/>
      <c r="AM3" s="282"/>
      <c r="AN3" s="282"/>
      <c r="AO3" s="282"/>
      <c r="AP3" s="282"/>
      <c r="AQ3" s="282"/>
      <c r="AR3" s="282"/>
      <c r="AS3" s="282"/>
      <c r="AT3" s="282"/>
      <c r="AU3" s="282"/>
      <c r="AV3" s="282"/>
      <c r="AW3" s="282"/>
      <c r="AX3" s="282"/>
      <c r="AY3" s="282"/>
      <c r="AZ3" s="282"/>
    </row>
    <row r="4">
      <c r="A4" s="209">
        <f>IFERROR(__xludf.DUMMYFUNCTION("""COMPUTED_VALUE"""),46031.0)</f>
        <v>46031</v>
      </c>
      <c r="B4" s="247">
        <f>IFERROR(__xludf.DUMMYFUNCTION("""COMPUTED_VALUE"""),0.75)</f>
        <v>0.75</v>
      </c>
      <c r="C4" s="211" t="str">
        <f>IFERROR(__xludf.DUMMYFUNCTION("""COMPUTED_VALUE"""),"Rcs")</f>
        <v>Rcs</v>
      </c>
      <c r="D4" s="211" t="str">
        <f>IFERROR(__xludf.DUMMYFUNCTION("""COMPUTED_VALUE"""),"Promotional")</f>
        <v>Promotional</v>
      </c>
      <c r="E4" s="211" t="str">
        <f>IFERROR(__xludf.DUMMYFUNCTION("""COMPUTED_VALUE"""),"R&amp;B")</f>
        <v>R&amp;B</v>
      </c>
      <c r="F4" s="211" t="str">
        <f>IFERROR(__xludf.DUMMYFUNCTION("""COMPUTED_VALUE"""),"Sankranti Campaign")</f>
        <v>Sankranti Campaign</v>
      </c>
      <c r="G4" s="211" t="str">
        <f>IFERROR(__xludf.DUMMYFUNCTION("""COMPUTED_VALUE"""),"Sankranti Campaign")</f>
        <v>Sankranti Campaign</v>
      </c>
      <c r="H4" s="212" t="str">
        <f>IFERROR(__xludf.DUMMYFUNCTION("""COMPUTED_VALUE"""),"rb_off_pr_18_strcds_9th_Jan")</f>
        <v>rb_off_pr_18_strcds_9th_Jan</v>
      </c>
      <c r="I4" s="212" t="str">
        <f>IFERROR(__xludf.DUMMYFUNCTION("""COMPUTED_VALUE"""),"Customers who have made purchases from the following stores across the entire date range: RB001, RB002, RB005, RB006, RB012, RB014, RB019, RB015, RB011, RB017, RB018, RB022, RB023, 1250, 1258, 1283, 1282, and 1281.")</f>
        <v>Customers who have made purchases from the following stores across the entire date range: RB001, RB002, RB005, RB006, RB012, RB014, RB019, RB015, RB011, RB017, RB018, RB022, RB023, 1250, 1258, 1283, 1282, and 1281.</v>
      </c>
      <c r="J4" s="213">
        <f>IFERROR(__xludf.DUMMYFUNCTION("""COMPUTED_VALUE"""),379474.0)</f>
        <v>379474</v>
      </c>
      <c r="K4" s="213">
        <f>IFERROR(__xludf.DUMMYFUNCTION("""COMPUTED_VALUE"""),85854.0)</f>
        <v>85854</v>
      </c>
      <c r="L4" s="214">
        <f>IFERROR(__xludf.DUMMYFUNCTION("""COMPUTED_VALUE"""),0.226)</f>
        <v>0.226</v>
      </c>
      <c r="M4" s="213">
        <f>IFERROR(__xludf.DUMMYFUNCTION("""COMPUTED_VALUE"""),14956.0)</f>
        <v>14956</v>
      </c>
      <c r="N4" s="214">
        <f>IFERROR(__xludf.DUMMYFUNCTION("""COMPUTED_VALUE"""),0.174)</f>
        <v>0.174</v>
      </c>
      <c r="O4" s="101">
        <f>IFERROR(__xludf.DUMMYFUNCTION("""COMPUTED_VALUE"""),0.0)</f>
        <v>0</v>
      </c>
      <c r="P4" s="101"/>
      <c r="Q4" s="214">
        <f>IFERROR(__xludf.DUMMYFUNCTION("""COMPUTED_VALUE"""),0.0)</f>
        <v>0</v>
      </c>
      <c r="R4" s="214"/>
      <c r="S4" s="101"/>
      <c r="T4" s="101"/>
      <c r="U4" s="213"/>
      <c r="V4" s="101" t="str">
        <f>IFERROR(__xludf.DUMMYFUNCTION("""COMPUTED_VALUE"""),"Offline ")</f>
        <v>Offline </v>
      </c>
      <c r="W4" s="101" t="str">
        <f>IFERROR(__xludf.DUMMYFUNCTION("""COMPUTED_VALUE"""),"RCS")</f>
        <v>RCS</v>
      </c>
      <c r="X4" s="101" t="str">
        <f>IFERROR(__xludf.DUMMYFUNCTION("""COMPUTED_VALUE"""),"Generic")</f>
        <v>Generic</v>
      </c>
      <c r="Y4" s="101" t="str">
        <f>IFERROR(__xludf.DUMMYFUNCTION("""COMPUTED_VALUE"""),"9th Jan to 11th Jan")</f>
        <v>9th Jan to 11th Jan</v>
      </c>
      <c r="Z4" s="101" t="str">
        <f>IFERROR(__xludf.DUMMYFUNCTION("""COMPUTED_VALUE"""),"6960ef8ad86566abfaa67f92")</f>
        <v>6960ef8ad86566abfaa67f92</v>
      </c>
      <c r="AA4" s="213">
        <f>IFERROR(__xludf.DUMMYFUNCTION("""COMPUTED_VALUE"""),507.0)</f>
        <v>507</v>
      </c>
      <c r="AB4" s="213"/>
      <c r="AC4" s="213">
        <f>IFERROR(__xludf.DUMMYFUNCTION("""COMPUTED_VALUE"""),507.0)</f>
        <v>507</v>
      </c>
      <c r="AD4" s="213">
        <f>IFERROR(__xludf.DUMMYFUNCTION("""COMPUTED_VALUE"""),1032430.0)</f>
        <v>1032430</v>
      </c>
      <c r="AE4" s="213"/>
      <c r="AF4" s="213">
        <f>IFERROR(__xludf.DUMMYFUNCTION("""COMPUTED_VALUE"""),1032430.0)</f>
        <v>1032430</v>
      </c>
      <c r="AG4" s="282"/>
      <c r="AH4" s="282"/>
      <c r="AI4" s="282"/>
      <c r="AJ4" s="303"/>
      <c r="AK4" s="303"/>
      <c r="AL4" s="303"/>
      <c r="AM4" s="282"/>
      <c r="AN4" s="282"/>
      <c r="AO4" s="282"/>
      <c r="AP4" s="282"/>
      <c r="AQ4" s="282"/>
      <c r="AR4" s="282"/>
      <c r="AS4" s="282"/>
      <c r="AT4" s="282"/>
      <c r="AU4" s="282"/>
      <c r="AV4" s="282"/>
      <c r="AW4" s="282"/>
      <c r="AX4" s="282"/>
      <c r="AY4" s="282"/>
      <c r="AZ4" s="282"/>
    </row>
    <row r="5">
      <c r="A5" s="209">
        <f>IFERROR(__xludf.DUMMYFUNCTION("""COMPUTED_VALUE"""),46031.0)</f>
        <v>46031</v>
      </c>
      <c r="B5" s="247">
        <f>IFERROR(__xludf.DUMMYFUNCTION("""COMPUTED_VALUE"""),0.75)</f>
        <v>0.75</v>
      </c>
      <c r="C5" s="211" t="str">
        <f>IFERROR(__xludf.DUMMYFUNCTION("""COMPUTED_VALUE"""),"Rcs")</f>
        <v>Rcs</v>
      </c>
      <c r="D5" s="211" t="str">
        <f>IFERROR(__xludf.DUMMYFUNCTION("""COMPUTED_VALUE"""),"Promotional")</f>
        <v>Promotional</v>
      </c>
      <c r="E5" s="211" t="str">
        <f>IFERROR(__xludf.DUMMYFUNCTION("""COMPUTED_VALUE"""),"R&amp;B")</f>
        <v>R&amp;B</v>
      </c>
      <c r="F5" s="211" t="str">
        <f>IFERROR(__xludf.DUMMYFUNCTION("""COMPUTED_VALUE"""),"Kompally Campaign")</f>
        <v>Kompally Campaign</v>
      </c>
      <c r="G5" s="211" t="str">
        <f>IFERROR(__xludf.DUMMYFUNCTION("""COMPUTED_VALUE"""),"Kompally Store Launch")</f>
        <v>Kompally Store Launch</v>
      </c>
      <c r="H5" s="212" t="str">
        <f>IFERROR(__xludf.DUMMYFUNCTION("""COMPUTED_VALUE"""),"Kompally_Customer_Base_9th Jan")</f>
        <v>Kompally_Customer_Base_9th Jan</v>
      </c>
      <c r="I5" s="212" t="str">
        <f>IFERROR(__xludf.DUMMYFUNCTION("""COMPUTED_VALUE"""),"Custom upload shared by R&amp;B team for Kompally customer base")</f>
        <v>Custom upload shared by R&amp;B team for Kompally customer base</v>
      </c>
      <c r="J5" s="213">
        <f>IFERROR(__xludf.DUMMYFUNCTION("""COMPUTED_VALUE"""),19078.0)</f>
        <v>19078</v>
      </c>
      <c r="K5" s="213">
        <f>IFERROR(__xludf.DUMMYFUNCTION("""COMPUTED_VALUE"""),9654.0)</f>
        <v>9654</v>
      </c>
      <c r="L5" s="214">
        <f>IFERROR(__xludf.DUMMYFUNCTION("""COMPUTED_VALUE"""),0.506)</f>
        <v>0.506</v>
      </c>
      <c r="M5" s="213">
        <f>IFERROR(__xludf.DUMMYFUNCTION("""COMPUTED_VALUE"""),2086.0)</f>
        <v>2086</v>
      </c>
      <c r="N5" s="214">
        <f>IFERROR(__xludf.DUMMYFUNCTION("""COMPUTED_VALUE"""),0.216)</f>
        <v>0.216</v>
      </c>
      <c r="O5" s="101">
        <f>IFERROR(__xludf.DUMMYFUNCTION("""COMPUTED_VALUE"""),0.0)</f>
        <v>0</v>
      </c>
      <c r="P5" s="101"/>
      <c r="Q5" s="214">
        <f>IFERROR(__xludf.DUMMYFUNCTION("""COMPUTED_VALUE"""),0.0)</f>
        <v>0</v>
      </c>
      <c r="R5" s="214"/>
      <c r="S5" s="101"/>
      <c r="T5" s="101"/>
      <c r="U5" s="213"/>
      <c r="V5" s="101" t="str">
        <f>IFERROR(__xludf.DUMMYFUNCTION("""COMPUTED_VALUE"""),"Offline ")</f>
        <v>Offline </v>
      </c>
      <c r="W5" s="101" t="str">
        <f>IFERROR(__xludf.DUMMYFUNCTION("""COMPUTED_VALUE"""),"RCS")</f>
        <v>RCS</v>
      </c>
      <c r="X5" s="101" t="str">
        <f>IFERROR(__xludf.DUMMYFUNCTION("""COMPUTED_VALUE"""),"Custom Upload")</f>
        <v>Custom Upload</v>
      </c>
      <c r="Y5" s="101" t="str">
        <f>IFERROR(__xludf.DUMMYFUNCTION("""COMPUTED_VALUE"""),"9th Jan to 11th Jan")</f>
        <v>9th Jan to 11th Jan</v>
      </c>
      <c r="Z5" s="101" t="str">
        <f>IFERROR(__xludf.DUMMYFUNCTION("""COMPUTED_VALUE"""),"6960ef7fe27c8379d4c2c719")</f>
        <v>6960ef7fe27c8379d4c2c719</v>
      </c>
      <c r="AA5" s="213">
        <f>IFERROR(__xludf.DUMMYFUNCTION("""COMPUTED_VALUE"""),2.0)</f>
        <v>2</v>
      </c>
      <c r="AB5" s="213"/>
      <c r="AC5" s="213">
        <f>IFERROR(__xludf.DUMMYFUNCTION("""COMPUTED_VALUE"""),2.0)</f>
        <v>2</v>
      </c>
      <c r="AD5" s="213">
        <f>IFERROR(__xludf.DUMMYFUNCTION("""COMPUTED_VALUE"""),1445.0)</f>
        <v>1445</v>
      </c>
      <c r="AE5" s="213"/>
      <c r="AF5" s="213">
        <f>IFERROR(__xludf.DUMMYFUNCTION("""COMPUTED_VALUE"""),1445.0)</f>
        <v>1445</v>
      </c>
      <c r="AG5" s="282"/>
      <c r="AH5" s="282"/>
      <c r="AI5" s="282"/>
      <c r="AJ5" s="303"/>
      <c r="AK5" s="303"/>
      <c r="AL5" s="303"/>
      <c r="AM5" s="282"/>
      <c r="AN5" s="282"/>
      <c r="AO5" s="282"/>
      <c r="AP5" s="282"/>
      <c r="AQ5" s="282"/>
      <c r="AR5" s="282"/>
      <c r="AS5" s="282"/>
      <c r="AT5" s="282"/>
      <c r="AU5" s="282"/>
      <c r="AV5" s="282"/>
      <c r="AW5" s="282"/>
      <c r="AX5" s="282"/>
      <c r="AY5" s="282"/>
      <c r="AZ5" s="282"/>
    </row>
    <row r="6">
      <c r="A6" s="209">
        <f>IFERROR(__xludf.DUMMYFUNCTION("""COMPUTED_VALUE"""),46044.0)</f>
        <v>46044</v>
      </c>
      <c r="B6" s="247">
        <f>IFERROR(__xludf.DUMMYFUNCTION("""COMPUTED_VALUE"""),0.625)</f>
        <v>0.625</v>
      </c>
      <c r="C6" s="211" t="str">
        <f>IFERROR(__xludf.DUMMYFUNCTION("""COMPUTED_VALUE"""),"Rcs")</f>
        <v>Rcs</v>
      </c>
      <c r="D6" s="211" t="str">
        <f>IFERROR(__xludf.DUMMYFUNCTION("""COMPUTED_VALUE"""),"Promotional")</f>
        <v>Promotional</v>
      </c>
      <c r="E6" s="211" t="str">
        <f>IFERROR(__xludf.DUMMYFUNCTION("""COMPUTED_VALUE"""),"R&amp;B")</f>
        <v>R&amp;B</v>
      </c>
      <c r="F6" s="211" t="str">
        <f>IFERROR(__xludf.DUMMYFUNCTION("""COMPUTED_VALUE"""),"Republics Day campaign")</f>
        <v>Republics Day campaign</v>
      </c>
      <c r="G6" s="211" t="str">
        <f>IFERROR(__xludf.DUMMYFUNCTION("""COMPUTED_VALUE"""),"Republic Day Under 299 Round 1")</f>
        <v>Republic Day Under 299 Round 1</v>
      </c>
      <c r="H6" s="212" t="str">
        <f>IFERROR(__xludf.DUMMYFUNCTION("""COMPUTED_VALUE"""),"rnb_off_pr_Under299_20thJan OR RB_Internal")</f>
        <v>rnb_off_pr_Under299_20thJan OR RB_Internal</v>
      </c>
      <c r="I6" s="212" t="str">
        <f>IFERROR(__xludf.DUMMYFUNCTION("""COMPUTED_VALUE"""),"Customer who have purchased from below stores (Under 299 offer) RB023        RB011        RB018        RB012        RB015        RB019        1299        1305        RB006        RB005        RB001        1286        RB008        RB016        RB010       "&amp;" RB020        RB021        RB022        1283        1297        1284        RB026        1298        1296        1258        1300        RB025        1281        RB009        RB013
")</f>
        <v>Customer who have purchased from below stores (Under 299 offer) RB023        RB011        RB018        RB012        RB015        RB019        1299        1305        RB006        RB005        RB001        1286        RB008        RB016        RB010        RB020        RB021        RB022        1283        1297        1284        RB026        1298        1296        1258        1300        RB025        1281        RB009        RB013
</v>
      </c>
      <c r="J6" s="213">
        <f>IFERROR(__xludf.DUMMYFUNCTION("""COMPUTED_VALUE"""),651393.0)</f>
        <v>651393</v>
      </c>
      <c r="K6" s="213">
        <f>IFERROR(__xludf.DUMMYFUNCTION("""COMPUTED_VALUE"""),334546.0)</f>
        <v>334546</v>
      </c>
      <c r="L6" s="214">
        <f>IFERROR(__xludf.DUMMYFUNCTION("""COMPUTED_VALUE"""),0.5136)</f>
        <v>0.5136</v>
      </c>
      <c r="M6" s="213">
        <f>IFERROR(__xludf.DUMMYFUNCTION("""COMPUTED_VALUE"""),51602.0)</f>
        <v>51602</v>
      </c>
      <c r="N6" s="214">
        <f>IFERROR(__xludf.DUMMYFUNCTION("""COMPUTED_VALUE"""),0.154)</f>
        <v>0.154</v>
      </c>
      <c r="O6" s="101">
        <f>IFERROR(__xludf.DUMMYFUNCTION("""COMPUTED_VALUE"""),0.0)</f>
        <v>0</v>
      </c>
      <c r="P6" s="101"/>
      <c r="Q6" s="214">
        <f>IFERROR(__xludf.DUMMYFUNCTION("""COMPUTED_VALUE"""),0.0)</f>
        <v>0</v>
      </c>
      <c r="R6" s="214"/>
      <c r="S6" s="101"/>
      <c r="T6" s="101"/>
      <c r="U6" s="213"/>
      <c r="V6" s="101" t="str">
        <f>IFERROR(__xludf.DUMMYFUNCTION("""COMPUTED_VALUE"""),"offline")</f>
        <v>offline</v>
      </c>
      <c r="W6" s="101" t="str">
        <f>IFERROR(__xludf.DUMMYFUNCTION("""COMPUTED_VALUE"""),"RCS")</f>
        <v>RCS</v>
      </c>
      <c r="X6" s="101" t="str">
        <f>IFERROR(__xludf.DUMMYFUNCTION("""COMPUTED_VALUE"""),"Generic")</f>
        <v>Generic</v>
      </c>
      <c r="Y6" s="101" t="str">
        <f>IFERROR(__xludf.DUMMYFUNCTION("""COMPUTED_VALUE"""),"22nd Jan to 26th Jan")</f>
        <v>22nd Jan to 26th Jan</v>
      </c>
      <c r="Z6" s="101" t="str">
        <f>IFERROR(__xludf.DUMMYFUNCTION("""COMPUTED_VALUE"""),"69709bae118ed7ea32332b8b")</f>
        <v>69709bae118ed7ea32332b8b</v>
      </c>
      <c r="AA6" s="213">
        <f>IFERROR(__xludf.DUMMYFUNCTION("""COMPUTED_VALUE"""),1428.0)</f>
        <v>1428</v>
      </c>
      <c r="AB6" s="213"/>
      <c r="AC6" s="213">
        <f>IFERROR(__xludf.DUMMYFUNCTION("""COMPUTED_VALUE"""),1428.0)</f>
        <v>1428</v>
      </c>
      <c r="AD6" s="213">
        <f>IFERROR(__xludf.DUMMYFUNCTION("""COMPUTED_VALUE"""),2675285.0)</f>
        <v>2675285</v>
      </c>
      <c r="AE6" s="213"/>
      <c r="AF6" s="213">
        <f>IFERROR(__xludf.DUMMYFUNCTION("""COMPUTED_VALUE"""),2675285.0)</f>
        <v>2675285</v>
      </c>
      <c r="AG6" s="282"/>
      <c r="AH6" s="282"/>
      <c r="AI6" s="282"/>
      <c r="AJ6" s="303"/>
      <c r="AK6" s="303"/>
      <c r="AL6" s="303"/>
      <c r="AM6" s="282"/>
      <c r="AN6" s="282"/>
      <c r="AO6" s="282"/>
      <c r="AP6" s="282"/>
      <c r="AQ6" s="282"/>
      <c r="AR6" s="282"/>
      <c r="AS6" s="282"/>
      <c r="AT6" s="282"/>
      <c r="AU6" s="282"/>
      <c r="AV6" s="282"/>
      <c r="AW6" s="282"/>
      <c r="AX6" s="282"/>
      <c r="AY6" s="282"/>
      <c r="AZ6" s="282"/>
    </row>
    <row r="7">
      <c r="A7" s="209">
        <f>IFERROR(__xludf.DUMMYFUNCTION("""COMPUTED_VALUE"""),46044.0)</f>
        <v>46044</v>
      </c>
      <c r="B7" s="247">
        <f>IFERROR(__xludf.DUMMYFUNCTION("""COMPUTED_VALUE"""),0.7083333333321207)</f>
        <v>0.7083333333</v>
      </c>
      <c r="C7" s="211" t="str">
        <f>IFERROR(__xludf.DUMMYFUNCTION("""COMPUTED_VALUE"""),"Sms")</f>
        <v>Sms</v>
      </c>
      <c r="D7" s="211" t="str">
        <f>IFERROR(__xludf.DUMMYFUNCTION("""COMPUTED_VALUE"""),"Fallback Campaign")</f>
        <v>Fallback Campaign</v>
      </c>
      <c r="E7" s="211" t="str">
        <f>IFERROR(__xludf.DUMMYFUNCTION("""COMPUTED_VALUE"""),"R&amp;B")</f>
        <v>R&amp;B</v>
      </c>
      <c r="F7" s="211" t="str">
        <f>IFERROR(__xludf.DUMMYFUNCTION("""COMPUTED_VALUE"""),"Republics Day campaign")</f>
        <v>Republics Day campaign</v>
      </c>
      <c r="G7" s="211" t="str">
        <f>IFERROR(__xludf.DUMMYFUNCTION("""COMPUTED_VALUE"""),"Fall Back _ Republic Day Under 299 Round 1")</f>
        <v>Fall Back _ Republic Day Under 299 Round 1</v>
      </c>
      <c r="H7" s="212" t="str">
        <f>IFERROR(__xludf.DUMMYFUNCTION("""COMPUTED_VALUE"""),"rnb_off_pr_Under299_20thJan OR RB_Internal")</f>
        <v>rnb_off_pr_Under299_20thJan OR RB_Internal</v>
      </c>
      <c r="I7" s="212" t="str">
        <f>IFERROR(__xludf.DUMMYFUNCTION("""COMPUTED_VALUE"""),"RCS Delivery Failed")</f>
        <v>RCS Delivery Failed</v>
      </c>
      <c r="J7" s="213">
        <f>IFERROR(__xludf.DUMMYFUNCTION("""COMPUTED_VALUE"""),316877.0)</f>
        <v>316877</v>
      </c>
      <c r="K7" s="213">
        <f>IFERROR(__xludf.DUMMYFUNCTION("""COMPUTED_VALUE"""),211588.0)</f>
        <v>211588</v>
      </c>
      <c r="L7" s="214">
        <f>IFERROR(__xludf.DUMMYFUNCTION("""COMPUTED_VALUE"""),0.6677)</f>
        <v>0.6677</v>
      </c>
      <c r="M7" s="213"/>
      <c r="N7" s="214"/>
      <c r="O7" s="101">
        <f>IFERROR(__xludf.DUMMYFUNCTION("""COMPUTED_VALUE"""),416.0)</f>
        <v>416</v>
      </c>
      <c r="P7" s="101"/>
      <c r="Q7" s="214">
        <f>IFERROR(__xludf.DUMMYFUNCTION("""COMPUTED_VALUE"""),0.002)</f>
        <v>0.002</v>
      </c>
      <c r="R7" s="214"/>
      <c r="S7" s="101"/>
      <c r="T7" s="101"/>
      <c r="U7" s="213"/>
      <c r="V7" s="101" t="str">
        <f>IFERROR(__xludf.DUMMYFUNCTION("""COMPUTED_VALUE"""),"offline")</f>
        <v>offline</v>
      </c>
      <c r="W7" s="101" t="str">
        <f>IFERROR(__xludf.DUMMYFUNCTION("""COMPUTED_VALUE"""),"SMS")</f>
        <v>SMS</v>
      </c>
      <c r="X7" s="101" t="str">
        <f>IFERROR(__xludf.DUMMYFUNCTION("""COMPUTED_VALUE"""),"Generic")</f>
        <v>Generic</v>
      </c>
      <c r="Y7" s="101" t="str">
        <f>IFERROR(__xludf.DUMMYFUNCTION("""COMPUTED_VALUE"""),"22nd Jan to 26th Jan")</f>
        <v>22nd Jan to 26th Jan</v>
      </c>
      <c r="Z7" s="101" t="str">
        <f>IFERROR(__xludf.DUMMYFUNCTION("""COMPUTED_VALUE"""),"6970af27f62aba388a519dbd")</f>
        <v>6970af27f62aba388a519dbd</v>
      </c>
      <c r="AA7" s="213">
        <f>IFERROR(__xludf.DUMMYFUNCTION("""COMPUTED_VALUE"""),889.0)</f>
        <v>889</v>
      </c>
      <c r="AB7" s="213"/>
      <c r="AC7" s="213">
        <f>IFERROR(__xludf.DUMMYFUNCTION("""COMPUTED_VALUE"""),889.0)</f>
        <v>889</v>
      </c>
      <c r="AD7" s="213">
        <f>IFERROR(__xludf.DUMMYFUNCTION("""COMPUTED_VALUE"""),1613055.0)</f>
        <v>1613055</v>
      </c>
      <c r="AE7" s="213"/>
      <c r="AF7" s="213">
        <f>IFERROR(__xludf.DUMMYFUNCTION("""COMPUTED_VALUE"""),1613055.0)</f>
        <v>1613055</v>
      </c>
      <c r="AG7" s="282"/>
      <c r="AH7" s="282"/>
      <c r="AI7" s="282"/>
      <c r="AJ7" s="303"/>
      <c r="AK7" s="303"/>
      <c r="AL7" s="303"/>
      <c r="AM7" s="282"/>
      <c r="AN7" s="282"/>
      <c r="AO7" s="282"/>
      <c r="AP7" s="282"/>
      <c r="AQ7" s="282"/>
      <c r="AR7" s="282"/>
      <c r="AS7" s="282"/>
      <c r="AT7" s="282"/>
      <c r="AU7" s="282"/>
      <c r="AV7" s="282"/>
      <c r="AW7" s="282"/>
      <c r="AX7" s="282"/>
      <c r="AY7" s="282"/>
      <c r="AZ7" s="282"/>
    </row>
    <row r="8">
      <c r="A8" s="209">
        <f>IFERROR(__xludf.DUMMYFUNCTION("""COMPUTED_VALUE"""),46044.0)</f>
        <v>46044</v>
      </c>
      <c r="B8" s="247">
        <f>IFERROR(__xludf.DUMMYFUNCTION("""COMPUTED_VALUE"""),0.625)</f>
        <v>0.625</v>
      </c>
      <c r="C8" s="211" t="str">
        <f>IFERROR(__xludf.DUMMYFUNCTION("""COMPUTED_VALUE"""),"Rcs")</f>
        <v>Rcs</v>
      </c>
      <c r="D8" s="211" t="str">
        <f>IFERROR(__xludf.DUMMYFUNCTION("""COMPUTED_VALUE"""),"Promotional")</f>
        <v>Promotional</v>
      </c>
      <c r="E8" s="211" t="str">
        <f>IFERROR(__xludf.DUMMYFUNCTION("""COMPUTED_VALUE"""),"R&amp;B")</f>
        <v>R&amp;B</v>
      </c>
      <c r="F8" s="211" t="str">
        <f>IFERROR(__xludf.DUMMYFUNCTION("""COMPUTED_VALUE"""),"Republics Day campaign")</f>
        <v>Republics Day campaign</v>
      </c>
      <c r="G8" s="211" t="str">
        <f>IFERROR(__xludf.DUMMYFUNCTION("""COMPUTED_VALUE"""),"Republic Day Upto 70 Round 1")</f>
        <v>Republic Day Upto 70 Round 1</v>
      </c>
      <c r="H8" s="212" t="str">
        <f>IFERROR(__xludf.DUMMYFUNCTION("""COMPUTED_VALUE"""),"rnb_off_pr_70%off_20thJan OR RB_Internal")</f>
        <v>rnb_off_pr_70%off_20thJan OR RB_Internal</v>
      </c>
      <c r="I8" s="212" t="str">
        <f>IFERROR(__xludf.DUMMYFUNCTION("""COMPUTED_VALUE"""),"Customers who have purchased from follwing stores  (70% Off) RB002        RB014        RB017        RB004        RB024        RB003        1302        RB007        1282        1250
")</f>
        <v>Customers who have purchased from follwing stores  (70% Off) RB002        RB014        RB017        RB004        RB024        RB003        1302        RB007        1282        1250
</v>
      </c>
      <c r="J8" s="213">
        <f>IFERROR(__xludf.DUMMYFUNCTION("""COMPUTED_VALUE"""),228512.0)</f>
        <v>228512</v>
      </c>
      <c r="K8" s="213">
        <f>IFERROR(__xludf.DUMMYFUNCTION("""COMPUTED_VALUE"""),115292.0)</f>
        <v>115292</v>
      </c>
      <c r="L8" s="214">
        <f>IFERROR(__xludf.DUMMYFUNCTION("""COMPUTED_VALUE"""),0.5045)</f>
        <v>0.5045</v>
      </c>
      <c r="M8" s="213">
        <f>IFERROR(__xludf.DUMMYFUNCTION("""COMPUTED_VALUE"""),16676.0)</f>
        <v>16676</v>
      </c>
      <c r="N8" s="214">
        <f>IFERROR(__xludf.DUMMYFUNCTION("""COMPUTED_VALUE"""),0.145)</f>
        <v>0.145</v>
      </c>
      <c r="O8" s="101">
        <f>IFERROR(__xludf.DUMMYFUNCTION("""COMPUTED_VALUE"""),0.0)</f>
        <v>0</v>
      </c>
      <c r="P8" s="101"/>
      <c r="Q8" s="214">
        <f>IFERROR(__xludf.DUMMYFUNCTION("""COMPUTED_VALUE"""),0.0)</f>
        <v>0</v>
      </c>
      <c r="R8" s="214"/>
      <c r="S8" s="101"/>
      <c r="T8" s="101"/>
      <c r="U8" s="213"/>
      <c r="V8" s="101" t="str">
        <f>IFERROR(__xludf.DUMMYFUNCTION("""COMPUTED_VALUE"""),"offline")</f>
        <v>offline</v>
      </c>
      <c r="W8" s="101" t="str">
        <f>IFERROR(__xludf.DUMMYFUNCTION("""COMPUTED_VALUE"""),"RCS")</f>
        <v>RCS</v>
      </c>
      <c r="X8" s="101" t="str">
        <f>IFERROR(__xludf.DUMMYFUNCTION("""COMPUTED_VALUE"""),"Generic")</f>
        <v>Generic</v>
      </c>
      <c r="Y8" s="101" t="str">
        <f>IFERROR(__xludf.DUMMYFUNCTION("""COMPUTED_VALUE"""),"22nd Jan to 26th Jan")</f>
        <v>22nd Jan to 26th Jan</v>
      </c>
      <c r="Z8" s="101" t="str">
        <f>IFERROR(__xludf.DUMMYFUNCTION("""COMPUTED_VALUE"""),"6971ddaab76b34116d0a69ef")</f>
        <v>6971ddaab76b34116d0a69ef</v>
      </c>
      <c r="AA8" s="213">
        <f>IFERROR(__xludf.DUMMYFUNCTION("""COMPUTED_VALUE"""),437.0)</f>
        <v>437</v>
      </c>
      <c r="AB8" s="213"/>
      <c r="AC8" s="213">
        <f>IFERROR(__xludf.DUMMYFUNCTION("""COMPUTED_VALUE"""),437.0)</f>
        <v>437</v>
      </c>
      <c r="AD8" s="213">
        <f>IFERROR(__xludf.DUMMYFUNCTION("""COMPUTED_VALUE"""),890779.0)</f>
        <v>890779</v>
      </c>
      <c r="AE8" s="213"/>
      <c r="AF8" s="213">
        <f>IFERROR(__xludf.DUMMYFUNCTION("""COMPUTED_VALUE"""),890779.0)</f>
        <v>890779</v>
      </c>
      <c r="AG8" s="282"/>
      <c r="AH8" s="282"/>
      <c r="AI8" s="282"/>
      <c r="AJ8" s="303"/>
      <c r="AK8" s="303"/>
      <c r="AL8" s="303"/>
      <c r="AM8" s="282"/>
      <c r="AN8" s="282"/>
      <c r="AO8" s="282"/>
      <c r="AP8" s="282"/>
      <c r="AQ8" s="282"/>
      <c r="AR8" s="282"/>
      <c r="AS8" s="282"/>
      <c r="AT8" s="282"/>
      <c r="AU8" s="282"/>
      <c r="AV8" s="282"/>
      <c r="AW8" s="282"/>
      <c r="AX8" s="282"/>
      <c r="AY8" s="282"/>
      <c r="AZ8" s="282"/>
    </row>
    <row r="9">
      <c r="A9" s="209">
        <f>IFERROR(__xludf.DUMMYFUNCTION("""COMPUTED_VALUE"""),46044.0)</f>
        <v>46044</v>
      </c>
      <c r="B9" s="247">
        <f>IFERROR(__xludf.DUMMYFUNCTION("""COMPUTED_VALUE"""),0.7083333333321207)</f>
        <v>0.7083333333</v>
      </c>
      <c r="C9" s="211" t="str">
        <f>IFERROR(__xludf.DUMMYFUNCTION("""COMPUTED_VALUE"""),"Sms")</f>
        <v>Sms</v>
      </c>
      <c r="D9" s="211" t="str">
        <f>IFERROR(__xludf.DUMMYFUNCTION("""COMPUTED_VALUE"""),"Fallback Campaign")</f>
        <v>Fallback Campaign</v>
      </c>
      <c r="E9" s="211" t="str">
        <f>IFERROR(__xludf.DUMMYFUNCTION("""COMPUTED_VALUE"""),"R&amp;B")</f>
        <v>R&amp;B</v>
      </c>
      <c r="F9" s="211" t="str">
        <f>IFERROR(__xludf.DUMMYFUNCTION("""COMPUTED_VALUE"""),"Republics Day campaign")</f>
        <v>Republics Day campaign</v>
      </c>
      <c r="G9" s="211" t="str">
        <f>IFERROR(__xludf.DUMMYFUNCTION("""COMPUTED_VALUE"""),"Fall Back _ Republic Day Upto 70 Round 1")</f>
        <v>Fall Back _ Republic Day Upto 70 Round 1</v>
      </c>
      <c r="H9" s="212" t="str">
        <f>IFERROR(__xludf.DUMMYFUNCTION("""COMPUTED_VALUE"""),"rnb_off_pr_70%off_20thJan OR RB_Internal")</f>
        <v>rnb_off_pr_70%off_20thJan OR RB_Internal</v>
      </c>
      <c r="I9" s="212" t="str">
        <f>IFERROR(__xludf.DUMMYFUNCTION("""COMPUTED_VALUE"""),"RCS Delivery Failed")</f>
        <v>RCS Delivery Failed</v>
      </c>
      <c r="J9" s="213">
        <f>IFERROR(__xludf.DUMMYFUNCTION("""COMPUTED_VALUE"""),113898.0)</f>
        <v>113898</v>
      </c>
      <c r="K9" s="213">
        <f>IFERROR(__xludf.DUMMYFUNCTION("""COMPUTED_VALUE"""),71639.0)</f>
        <v>71639</v>
      </c>
      <c r="L9" s="214">
        <f>IFERROR(__xludf.DUMMYFUNCTION("""COMPUTED_VALUE"""),0.629)</f>
        <v>0.629</v>
      </c>
      <c r="M9" s="213"/>
      <c r="N9" s="214"/>
      <c r="O9" s="101">
        <f>IFERROR(__xludf.DUMMYFUNCTION("""COMPUTED_VALUE"""),124.0)</f>
        <v>124</v>
      </c>
      <c r="P9" s="101"/>
      <c r="Q9" s="214">
        <f>IFERROR(__xludf.DUMMYFUNCTION("""COMPUTED_VALUE"""),0.0017)</f>
        <v>0.0017</v>
      </c>
      <c r="R9" s="214"/>
      <c r="S9" s="101"/>
      <c r="T9" s="101"/>
      <c r="U9" s="213"/>
      <c r="V9" s="101" t="str">
        <f>IFERROR(__xludf.DUMMYFUNCTION("""COMPUTED_VALUE"""),"offline")</f>
        <v>offline</v>
      </c>
      <c r="W9" s="101" t="str">
        <f>IFERROR(__xludf.DUMMYFUNCTION("""COMPUTED_VALUE"""),"SMS")</f>
        <v>SMS</v>
      </c>
      <c r="X9" s="101" t="str">
        <f>IFERROR(__xludf.DUMMYFUNCTION("""COMPUTED_VALUE"""),"Generic")</f>
        <v>Generic</v>
      </c>
      <c r="Y9" s="101" t="str">
        <f>IFERROR(__xludf.DUMMYFUNCTION("""COMPUTED_VALUE"""),"22nd Jan to 26th Jan")</f>
        <v>22nd Jan to 26th Jan</v>
      </c>
      <c r="Z9" s="101" t="str">
        <f>IFERROR(__xludf.DUMMYFUNCTION("""COMPUTED_VALUE"""),"6971e59ba7207e170734badc")</f>
        <v>6971e59ba7207e170734badc</v>
      </c>
      <c r="AA9" s="213">
        <f>IFERROR(__xludf.DUMMYFUNCTION("""COMPUTED_VALUE"""),235.0)</f>
        <v>235</v>
      </c>
      <c r="AB9" s="213"/>
      <c r="AC9" s="213">
        <f>IFERROR(__xludf.DUMMYFUNCTION("""COMPUTED_VALUE"""),235.0)</f>
        <v>235</v>
      </c>
      <c r="AD9" s="213">
        <f>IFERROR(__xludf.DUMMYFUNCTION("""COMPUTED_VALUE"""),508347.0)</f>
        <v>508347</v>
      </c>
      <c r="AE9" s="213"/>
      <c r="AF9" s="213">
        <f>IFERROR(__xludf.DUMMYFUNCTION("""COMPUTED_VALUE"""),508347.0)</f>
        <v>508347</v>
      </c>
      <c r="AG9" s="282"/>
      <c r="AH9" s="282"/>
      <c r="AI9" s="282"/>
      <c r="AJ9" s="303"/>
      <c r="AK9" s="303"/>
      <c r="AL9" s="303"/>
      <c r="AM9" s="282"/>
      <c r="AN9" s="282"/>
      <c r="AO9" s="282"/>
      <c r="AP9" s="282"/>
      <c r="AQ9" s="282"/>
      <c r="AR9" s="282"/>
      <c r="AS9" s="282"/>
      <c r="AT9" s="282"/>
      <c r="AU9" s="282"/>
      <c r="AV9" s="282"/>
      <c r="AW9" s="282"/>
      <c r="AX9" s="282"/>
      <c r="AY9" s="282"/>
      <c r="AZ9" s="282"/>
    </row>
    <row r="10">
      <c r="A10" s="209">
        <f>IFERROR(__xludf.DUMMYFUNCTION("""COMPUTED_VALUE"""),46046.0)</f>
        <v>46046</v>
      </c>
      <c r="B10" s="247">
        <f>IFERROR(__xludf.DUMMYFUNCTION("""COMPUTED_VALUE"""),0.4166666666678793)</f>
        <v>0.4166666667</v>
      </c>
      <c r="C10" s="211" t="str">
        <f>IFERROR(__xludf.DUMMYFUNCTION("""COMPUTED_VALUE"""),"Rcs")</f>
        <v>Rcs</v>
      </c>
      <c r="D10" s="211" t="str">
        <f>IFERROR(__xludf.DUMMYFUNCTION("""COMPUTED_VALUE"""),"Promotional")</f>
        <v>Promotional</v>
      </c>
      <c r="E10" s="211" t="str">
        <f>IFERROR(__xludf.DUMMYFUNCTION("""COMPUTED_VALUE"""),"R&amp;B")</f>
        <v>R&amp;B</v>
      </c>
      <c r="F10" s="211" t="str">
        <f>IFERROR(__xludf.DUMMYFUNCTION("""COMPUTED_VALUE"""),"Republics Day campaign")</f>
        <v>Republics Day campaign</v>
      </c>
      <c r="G10" s="211" t="str">
        <f>IFERROR(__xludf.DUMMYFUNCTION("""COMPUTED_VALUE"""),"Republic Day Under 299 Round 2")</f>
        <v>Republic Day Under 299 Round 2</v>
      </c>
      <c r="H10" s="212" t="str">
        <f>IFERROR(__xludf.DUMMYFUNCTION("""COMPUTED_VALUE"""),"rnb_off_pr_Under299_20thJan OR RB_Internal")</f>
        <v>rnb_off_pr_Under299_20thJan OR RB_Internal</v>
      </c>
      <c r="I10" s="212" t="str">
        <f>IFERROR(__xludf.DUMMYFUNCTION("""COMPUTED_VALUE"""),"Customer who have purchased from below stores (Under 299 offer) RB023        RB011        RB018        RB012        RB015        RB019        1299        1305        RB006        RB005        RB001        1286        RB008        RB016        RB010       "&amp;" RB020        RB021        RB022        1283        1297        1284        RB026        1298        1296        1258        1300        RB025        1281        RB009        RB013
")</f>
        <v>Customer who have purchased from below stores (Under 299 offer) RB023        RB011        RB018        RB012        RB015        RB019        1299        1305        RB006        RB005        RB001        1286        RB008        RB016        RB010        RB020        RB021        RB022        1283        1297        1284        RB026        1298        1296        1258        1300        RB025        1281        RB009        RB013
</v>
      </c>
      <c r="J10" s="213">
        <f>IFERROR(__xludf.DUMMYFUNCTION("""COMPUTED_VALUE"""),651455.0)</f>
        <v>651455</v>
      </c>
      <c r="K10" s="213">
        <f>IFERROR(__xludf.DUMMYFUNCTION("""COMPUTED_VALUE"""),338111.0)</f>
        <v>338111</v>
      </c>
      <c r="L10" s="214">
        <f>IFERROR(__xludf.DUMMYFUNCTION("""COMPUTED_VALUE"""),0.519)</f>
        <v>0.519</v>
      </c>
      <c r="M10" s="213">
        <f>IFERROR(__xludf.DUMMYFUNCTION("""COMPUTED_VALUE"""),43871.0)</f>
        <v>43871</v>
      </c>
      <c r="N10" s="214">
        <f>IFERROR(__xludf.DUMMYFUNCTION("""COMPUTED_VALUE"""),0.13)</f>
        <v>0.13</v>
      </c>
      <c r="O10" s="101">
        <f>IFERROR(__xludf.DUMMYFUNCTION("""COMPUTED_VALUE"""),0.0)</f>
        <v>0</v>
      </c>
      <c r="P10" s="101"/>
      <c r="Q10" s="214">
        <f>IFERROR(__xludf.DUMMYFUNCTION("""COMPUTED_VALUE"""),0.0)</f>
        <v>0</v>
      </c>
      <c r="R10" s="214"/>
      <c r="S10" s="101"/>
      <c r="T10" s="101"/>
      <c r="U10" s="213"/>
      <c r="V10" s="101" t="str">
        <f>IFERROR(__xludf.DUMMYFUNCTION("""COMPUTED_VALUE"""),"offline")</f>
        <v>offline</v>
      </c>
      <c r="W10" s="101" t="str">
        <f>IFERROR(__xludf.DUMMYFUNCTION("""COMPUTED_VALUE"""),"RCS")</f>
        <v>RCS</v>
      </c>
      <c r="X10" s="101" t="str">
        <f>IFERROR(__xludf.DUMMYFUNCTION("""COMPUTED_VALUE"""),"Generic")</f>
        <v>Generic</v>
      </c>
      <c r="Y10" s="101" t="str">
        <f>IFERROR(__xludf.DUMMYFUNCTION("""COMPUTED_VALUE"""),"24th Jan to 26th Jan")</f>
        <v>24th Jan to 26th Jan</v>
      </c>
      <c r="Z10" s="101" t="str">
        <f>IFERROR(__xludf.DUMMYFUNCTION("""COMPUTED_VALUE"""),"6971e4c7a7207e170734babe")</f>
        <v>6971e4c7a7207e170734babe</v>
      </c>
      <c r="AA10" s="213">
        <f>IFERROR(__xludf.DUMMYFUNCTION("""COMPUTED_VALUE"""),1069.0)</f>
        <v>1069</v>
      </c>
      <c r="AB10" s="213"/>
      <c r="AC10" s="213">
        <f>IFERROR(__xludf.DUMMYFUNCTION("""COMPUTED_VALUE"""),1069.0)</f>
        <v>1069</v>
      </c>
      <c r="AD10" s="213">
        <f>IFERROR(__xludf.DUMMYFUNCTION("""COMPUTED_VALUE"""),2046815.0)</f>
        <v>2046815</v>
      </c>
      <c r="AE10" s="213"/>
      <c r="AF10" s="213">
        <f>IFERROR(__xludf.DUMMYFUNCTION("""COMPUTED_VALUE"""),2046815.0)</f>
        <v>2046815</v>
      </c>
      <c r="AG10" s="282"/>
      <c r="AH10" s="282"/>
      <c r="AI10" s="282"/>
      <c r="AJ10" s="303"/>
      <c r="AK10" s="303"/>
      <c r="AL10" s="303"/>
      <c r="AM10" s="282"/>
      <c r="AN10" s="282"/>
      <c r="AO10" s="282"/>
      <c r="AP10" s="282"/>
      <c r="AQ10" s="282"/>
      <c r="AR10" s="282"/>
      <c r="AS10" s="282"/>
      <c r="AT10" s="282"/>
      <c r="AU10" s="282"/>
      <c r="AV10" s="282"/>
      <c r="AW10" s="282"/>
      <c r="AX10" s="282"/>
      <c r="AY10" s="282"/>
      <c r="AZ10" s="282"/>
    </row>
    <row r="11">
      <c r="A11" s="209">
        <f>IFERROR(__xludf.DUMMYFUNCTION("""COMPUTED_VALUE"""),46046.0)</f>
        <v>46046</v>
      </c>
      <c r="B11" s="247">
        <f>IFERROR(__xludf.DUMMYFUNCTION("""COMPUTED_VALUE"""),0.4166666666678793)</f>
        <v>0.4166666667</v>
      </c>
      <c r="C11" s="211" t="str">
        <f>IFERROR(__xludf.DUMMYFUNCTION("""COMPUTED_VALUE"""),"Rcs")</f>
        <v>Rcs</v>
      </c>
      <c r="D11" s="211" t="str">
        <f>IFERROR(__xludf.DUMMYFUNCTION("""COMPUTED_VALUE"""),"Promotional")</f>
        <v>Promotional</v>
      </c>
      <c r="E11" s="211" t="str">
        <f>IFERROR(__xludf.DUMMYFUNCTION("""COMPUTED_VALUE"""),"R&amp;B")</f>
        <v>R&amp;B</v>
      </c>
      <c r="F11" s="211" t="str">
        <f>IFERROR(__xludf.DUMMYFUNCTION("""COMPUTED_VALUE"""),"Republics Day campaign")</f>
        <v>Republics Day campaign</v>
      </c>
      <c r="G11" s="211" t="str">
        <f>IFERROR(__xludf.DUMMYFUNCTION("""COMPUTED_VALUE"""),"Republic Day Upto 70 Round 2")</f>
        <v>Republic Day Upto 70 Round 2</v>
      </c>
      <c r="H11" s="212" t="str">
        <f>IFERROR(__xludf.DUMMYFUNCTION("""COMPUTED_VALUE"""),"rnb_off_pr_70%off_20thJan OR RB_Internal")</f>
        <v>rnb_off_pr_70%off_20thJan OR RB_Internal</v>
      </c>
      <c r="I11" s="212" t="str">
        <f>IFERROR(__xludf.DUMMYFUNCTION("""COMPUTED_VALUE"""),"Customers who have purchased from follwing stores  (70% Off) RB002        RB014        RB017        RB004        RB024        RB003        1302        RB007        1282        1250
")</f>
        <v>Customers who have purchased from follwing stores  (70% Off) RB002        RB014        RB017        RB004        RB024        RB003        1302        RB007        1282        1250
</v>
      </c>
      <c r="J11" s="213">
        <f>IFERROR(__xludf.DUMMYFUNCTION("""COMPUTED_VALUE"""),228501.0)</f>
        <v>228501</v>
      </c>
      <c r="K11" s="213">
        <f>IFERROR(__xludf.DUMMYFUNCTION("""COMPUTED_VALUE"""),115660.0)</f>
        <v>115660</v>
      </c>
      <c r="L11" s="214">
        <f>IFERROR(__xludf.DUMMYFUNCTION("""COMPUTED_VALUE"""),0.5062)</f>
        <v>0.5062</v>
      </c>
      <c r="M11" s="213">
        <f>IFERROR(__xludf.DUMMYFUNCTION("""COMPUTED_VALUE"""),14191.0)</f>
        <v>14191</v>
      </c>
      <c r="N11" s="214">
        <f>IFERROR(__xludf.DUMMYFUNCTION("""COMPUTED_VALUE"""),0.123)</f>
        <v>0.123</v>
      </c>
      <c r="O11" s="101">
        <f>IFERROR(__xludf.DUMMYFUNCTION("""COMPUTED_VALUE"""),0.0)</f>
        <v>0</v>
      </c>
      <c r="P11" s="101"/>
      <c r="Q11" s="214">
        <f>IFERROR(__xludf.DUMMYFUNCTION("""COMPUTED_VALUE"""),0.0)</f>
        <v>0</v>
      </c>
      <c r="R11" s="214"/>
      <c r="S11" s="101"/>
      <c r="T11" s="101"/>
      <c r="U11" s="213"/>
      <c r="V11" s="101" t="str">
        <f>IFERROR(__xludf.DUMMYFUNCTION("""COMPUTED_VALUE"""),"offline")</f>
        <v>offline</v>
      </c>
      <c r="W11" s="101" t="str">
        <f>IFERROR(__xludf.DUMMYFUNCTION("""COMPUTED_VALUE"""),"RCS")</f>
        <v>RCS</v>
      </c>
      <c r="X11" s="101" t="str">
        <f>IFERROR(__xludf.DUMMYFUNCTION("""COMPUTED_VALUE"""),"Generic")</f>
        <v>Generic</v>
      </c>
      <c r="Y11" s="101" t="str">
        <f>IFERROR(__xludf.DUMMYFUNCTION("""COMPUTED_VALUE"""),"24th Jan to 26th Jan")</f>
        <v>24th Jan to 26th Jan</v>
      </c>
      <c r="Z11" s="101" t="str">
        <f>IFERROR(__xludf.DUMMYFUNCTION("""COMPUTED_VALUE"""),"6971e61fbd41a556fdf13399")</f>
        <v>6971e61fbd41a556fdf13399</v>
      </c>
      <c r="AA11" s="213">
        <f>IFERROR(__xludf.DUMMYFUNCTION("""COMPUTED_VALUE"""),309.0)</f>
        <v>309</v>
      </c>
      <c r="AB11" s="213"/>
      <c r="AC11" s="213">
        <f>IFERROR(__xludf.DUMMYFUNCTION("""COMPUTED_VALUE"""),309.0)</f>
        <v>309</v>
      </c>
      <c r="AD11" s="213">
        <f>IFERROR(__xludf.DUMMYFUNCTION("""COMPUTED_VALUE"""),611945.0)</f>
        <v>611945</v>
      </c>
      <c r="AE11" s="213"/>
      <c r="AF11" s="213">
        <f>IFERROR(__xludf.DUMMYFUNCTION("""COMPUTED_VALUE"""),611945.0)</f>
        <v>611945</v>
      </c>
      <c r="AG11" s="282"/>
      <c r="AH11" s="282"/>
      <c r="AI11" s="282"/>
      <c r="AJ11" s="303"/>
      <c r="AK11" s="303"/>
      <c r="AL11" s="303"/>
      <c r="AM11" s="282"/>
      <c r="AN11" s="282"/>
      <c r="AO11" s="282"/>
      <c r="AP11" s="282"/>
      <c r="AQ11" s="282"/>
      <c r="AR11" s="282"/>
      <c r="AS11" s="282"/>
      <c r="AT11" s="282"/>
      <c r="AU11" s="282"/>
      <c r="AV11" s="282"/>
      <c r="AW11" s="282"/>
      <c r="AX11" s="282"/>
      <c r="AY11" s="282"/>
      <c r="AZ11" s="282"/>
    </row>
    <row r="12">
      <c r="A12" s="209">
        <f>IFERROR(__xludf.DUMMYFUNCTION("""COMPUTED_VALUE"""),46046.0)</f>
        <v>46046</v>
      </c>
      <c r="B12" s="247">
        <f>IFERROR(__xludf.DUMMYFUNCTION("""COMPUTED_VALUE"""),0.5)</f>
        <v>0.5</v>
      </c>
      <c r="C12" s="211" t="str">
        <f>IFERROR(__xludf.DUMMYFUNCTION("""COMPUTED_VALUE"""),"Sms")</f>
        <v>Sms</v>
      </c>
      <c r="D12" s="211" t="str">
        <f>IFERROR(__xludf.DUMMYFUNCTION("""COMPUTED_VALUE"""),"Fallback Campaign")</f>
        <v>Fallback Campaign</v>
      </c>
      <c r="E12" s="211" t="str">
        <f>IFERROR(__xludf.DUMMYFUNCTION("""COMPUTED_VALUE"""),"R&amp;B")</f>
        <v>R&amp;B</v>
      </c>
      <c r="F12" s="211" t="str">
        <f>IFERROR(__xludf.DUMMYFUNCTION("""COMPUTED_VALUE"""),"Republics Day campaign")</f>
        <v>Republics Day campaign</v>
      </c>
      <c r="G12" s="211" t="str">
        <f>IFERROR(__xludf.DUMMYFUNCTION("""COMPUTED_VALUE"""),"Fall Back _ Republic Day Upto 70 Round 2")</f>
        <v>Fall Back _ Republic Day Upto 70 Round 2</v>
      </c>
      <c r="H12" s="212" t="str">
        <f>IFERROR(__xludf.DUMMYFUNCTION("""COMPUTED_VALUE"""),"rnb_off_pr_70%off_20thJan OR RB_Internal")</f>
        <v>rnb_off_pr_70%off_20thJan OR RB_Internal</v>
      </c>
      <c r="I12" s="212" t="str">
        <f>IFERROR(__xludf.DUMMYFUNCTION("""COMPUTED_VALUE"""),"RCS Delivery Failed")</f>
        <v>RCS Delivery Failed</v>
      </c>
      <c r="J12" s="213">
        <f>IFERROR(__xludf.DUMMYFUNCTION("""COMPUTED_VALUE"""),114342.0)</f>
        <v>114342</v>
      </c>
      <c r="K12" s="213">
        <f>IFERROR(__xludf.DUMMYFUNCTION("""COMPUTED_VALUE"""),70623.0)</f>
        <v>70623</v>
      </c>
      <c r="L12" s="214">
        <f>IFERROR(__xludf.DUMMYFUNCTION("""COMPUTED_VALUE"""),0.6176)</f>
        <v>0.6176</v>
      </c>
      <c r="M12" s="213"/>
      <c r="N12" s="214"/>
      <c r="O12" s="101">
        <f>IFERROR(__xludf.DUMMYFUNCTION("""COMPUTED_VALUE"""),73.0)</f>
        <v>73</v>
      </c>
      <c r="P12" s="101"/>
      <c r="Q12" s="214">
        <f>IFERROR(__xludf.DUMMYFUNCTION("""COMPUTED_VALUE"""),0.001)</f>
        <v>0.001</v>
      </c>
      <c r="R12" s="214"/>
      <c r="S12" s="101"/>
      <c r="T12" s="101"/>
      <c r="U12" s="213"/>
      <c r="V12" s="101" t="str">
        <f>IFERROR(__xludf.DUMMYFUNCTION("""COMPUTED_VALUE"""),"offline")</f>
        <v>offline</v>
      </c>
      <c r="W12" s="101" t="str">
        <f>IFERROR(__xludf.DUMMYFUNCTION("""COMPUTED_VALUE"""),"SMS")</f>
        <v>SMS</v>
      </c>
      <c r="X12" s="101" t="str">
        <f>IFERROR(__xludf.DUMMYFUNCTION("""COMPUTED_VALUE"""),"Generic")</f>
        <v>Generic</v>
      </c>
      <c r="Y12" s="101" t="str">
        <f>IFERROR(__xludf.DUMMYFUNCTION("""COMPUTED_VALUE"""),"24th Jan to 26th Jan")</f>
        <v>24th Jan to 26th Jan</v>
      </c>
      <c r="Z12" s="101" t="str">
        <f>IFERROR(__xludf.DUMMYFUNCTION("""COMPUTED_VALUE"""),"6971e6d385e8370d3e0a47c9")</f>
        <v>6971e6d385e8370d3e0a47c9</v>
      </c>
      <c r="AA12" s="213">
        <f>IFERROR(__xludf.DUMMYFUNCTION("""COMPUTED_VALUE"""),153.0)</f>
        <v>153</v>
      </c>
      <c r="AB12" s="213"/>
      <c r="AC12" s="213">
        <f>IFERROR(__xludf.DUMMYFUNCTION("""COMPUTED_VALUE"""),153.0)</f>
        <v>153</v>
      </c>
      <c r="AD12" s="213">
        <f>IFERROR(__xludf.DUMMYFUNCTION("""COMPUTED_VALUE"""),325557.0)</f>
        <v>325557</v>
      </c>
      <c r="AE12" s="213"/>
      <c r="AF12" s="213">
        <f>IFERROR(__xludf.DUMMYFUNCTION("""COMPUTED_VALUE"""),325557.0)</f>
        <v>325557</v>
      </c>
      <c r="AG12" s="282"/>
      <c r="AH12" s="282"/>
      <c r="AI12" s="282"/>
      <c r="AJ12" s="303"/>
      <c r="AK12" s="303"/>
      <c r="AL12" s="303"/>
      <c r="AM12" s="282"/>
      <c r="AN12" s="282"/>
      <c r="AO12" s="282"/>
      <c r="AP12" s="282"/>
      <c r="AQ12" s="282"/>
      <c r="AR12" s="282"/>
      <c r="AS12" s="282"/>
      <c r="AT12" s="282"/>
      <c r="AU12" s="282"/>
      <c r="AV12" s="282"/>
      <c r="AW12" s="282"/>
      <c r="AX12" s="282"/>
      <c r="AY12" s="282"/>
      <c r="AZ12" s="282"/>
    </row>
    <row r="13">
      <c r="A13" s="209">
        <f>IFERROR(__xludf.DUMMYFUNCTION("""COMPUTED_VALUE"""),46046.0)</f>
        <v>46046</v>
      </c>
      <c r="B13" s="247">
        <f>IFERROR(__xludf.DUMMYFUNCTION("""COMPUTED_VALUE"""),0.5)</f>
        <v>0.5</v>
      </c>
      <c r="C13" s="211" t="str">
        <f>IFERROR(__xludf.DUMMYFUNCTION("""COMPUTED_VALUE"""),"Sms")</f>
        <v>Sms</v>
      </c>
      <c r="D13" s="211" t="str">
        <f>IFERROR(__xludf.DUMMYFUNCTION("""COMPUTED_VALUE"""),"Fallback Campaign")</f>
        <v>Fallback Campaign</v>
      </c>
      <c r="E13" s="211" t="str">
        <f>IFERROR(__xludf.DUMMYFUNCTION("""COMPUTED_VALUE"""),"R&amp;B")</f>
        <v>R&amp;B</v>
      </c>
      <c r="F13" s="211" t="str">
        <f>IFERROR(__xludf.DUMMYFUNCTION("""COMPUTED_VALUE"""),"Republics Day campaign")</f>
        <v>Republics Day campaign</v>
      </c>
      <c r="G13" s="211" t="str">
        <f>IFERROR(__xludf.DUMMYFUNCTION("""COMPUTED_VALUE"""),"Fall Back _ Republic Day Under 299 Round 2")</f>
        <v>Fall Back _ Republic Day Under 299 Round 2</v>
      </c>
      <c r="H13" s="212" t="str">
        <f>IFERROR(__xludf.DUMMYFUNCTION("""COMPUTED_VALUE"""),"rnb_off_pr_Under299_20thJan OR RB_Internal")</f>
        <v>rnb_off_pr_Under299_20thJan OR RB_Internal</v>
      </c>
      <c r="I13" s="212" t="str">
        <f>IFERROR(__xludf.DUMMYFUNCTION("""COMPUTED_VALUE"""),"RCS Delivery Failed")</f>
        <v>RCS Delivery Failed</v>
      </c>
      <c r="J13" s="213">
        <f>IFERROR(__xludf.DUMMYFUNCTION("""COMPUTED_VALUE"""),317866.0)</f>
        <v>317866</v>
      </c>
      <c r="K13" s="213">
        <f>IFERROR(__xludf.DUMMYFUNCTION("""COMPUTED_VALUE"""),206671.0)</f>
        <v>206671</v>
      </c>
      <c r="L13" s="214">
        <f>IFERROR(__xludf.DUMMYFUNCTION("""COMPUTED_VALUE"""),0.6502)</f>
        <v>0.6502</v>
      </c>
      <c r="M13" s="213"/>
      <c r="N13" s="214"/>
      <c r="O13" s="101">
        <f>IFERROR(__xludf.DUMMYFUNCTION("""COMPUTED_VALUE"""),279.0)</f>
        <v>279</v>
      </c>
      <c r="P13" s="101"/>
      <c r="Q13" s="214">
        <f>IFERROR(__xludf.DUMMYFUNCTION("""COMPUTED_VALUE"""),0.0013)</f>
        <v>0.0013</v>
      </c>
      <c r="R13" s="214"/>
      <c r="S13" s="101"/>
      <c r="T13" s="101"/>
      <c r="U13" s="213"/>
      <c r="V13" s="101" t="str">
        <f>IFERROR(__xludf.DUMMYFUNCTION("""COMPUTED_VALUE"""),"offline")</f>
        <v>offline</v>
      </c>
      <c r="W13" s="101" t="str">
        <f>IFERROR(__xludf.DUMMYFUNCTION("""COMPUTED_VALUE"""),"SMS")</f>
        <v>SMS</v>
      </c>
      <c r="X13" s="101" t="str">
        <f>IFERROR(__xludf.DUMMYFUNCTION("""COMPUTED_VALUE"""),"Generic")</f>
        <v>Generic</v>
      </c>
      <c r="Y13" s="101" t="str">
        <f>IFERROR(__xludf.DUMMYFUNCTION("""COMPUTED_VALUE"""),"24th Jan to 26th Jan")</f>
        <v>24th Jan to 26th Jan</v>
      </c>
      <c r="Z13" s="101" t="str">
        <f>IFERROR(__xludf.DUMMYFUNCTION("""COMPUTED_VALUE"""),"6971eb70a9b3d7084d339da3")</f>
        <v>6971eb70a9b3d7084d339da3</v>
      </c>
      <c r="AA13" s="213">
        <f>IFERROR(__xludf.DUMMYFUNCTION("""COMPUTED_VALUE"""),616.0)</f>
        <v>616</v>
      </c>
      <c r="AB13" s="213"/>
      <c r="AC13" s="213">
        <f>IFERROR(__xludf.DUMMYFUNCTION("""COMPUTED_VALUE"""),616.0)</f>
        <v>616</v>
      </c>
      <c r="AD13" s="213">
        <f>IFERROR(__xludf.DUMMYFUNCTION("""COMPUTED_VALUE"""),1124520.0)</f>
        <v>1124520</v>
      </c>
      <c r="AE13" s="213"/>
      <c r="AF13" s="213">
        <f>IFERROR(__xludf.DUMMYFUNCTION("""COMPUTED_VALUE"""),1124520.0)</f>
        <v>1124520</v>
      </c>
      <c r="AG13" s="282"/>
      <c r="AH13" s="282"/>
      <c r="AI13" s="282"/>
      <c r="AJ13" s="303"/>
      <c r="AK13" s="303"/>
      <c r="AL13" s="303"/>
      <c r="AM13" s="282"/>
      <c r="AN13" s="282"/>
      <c r="AO13" s="282"/>
      <c r="AP13" s="282"/>
      <c r="AQ13" s="282"/>
      <c r="AR13" s="282"/>
      <c r="AS13" s="282"/>
      <c r="AT13" s="282"/>
      <c r="AU13" s="282"/>
      <c r="AV13" s="282"/>
      <c r="AW13" s="282"/>
      <c r="AX13" s="282"/>
      <c r="AY13" s="282"/>
      <c r="AZ13" s="282"/>
    </row>
    <row r="14">
      <c r="A14" s="209">
        <f>IFERROR(__xludf.DUMMYFUNCTION("""COMPUTED_VALUE"""),46048.0)</f>
        <v>46048</v>
      </c>
      <c r="B14" s="247">
        <f>IFERROR(__xludf.DUMMYFUNCTION("""COMPUTED_VALUE"""),0.4166666666678793)</f>
        <v>0.4166666667</v>
      </c>
      <c r="C14" s="211" t="str">
        <f>IFERROR(__xludf.DUMMYFUNCTION("""COMPUTED_VALUE"""),"Rcs")</f>
        <v>Rcs</v>
      </c>
      <c r="D14" s="211" t="str">
        <f>IFERROR(__xludf.DUMMYFUNCTION("""COMPUTED_VALUE"""),"Promotional")</f>
        <v>Promotional</v>
      </c>
      <c r="E14" s="211" t="str">
        <f>IFERROR(__xludf.DUMMYFUNCTION("""COMPUTED_VALUE"""),"R&amp;B")</f>
        <v>R&amp;B</v>
      </c>
      <c r="F14" s="211" t="str">
        <f>IFERROR(__xludf.DUMMYFUNCTION("""COMPUTED_VALUE"""),"Republics Day campaign")</f>
        <v>Republics Day campaign</v>
      </c>
      <c r="G14" s="211" t="str">
        <f>IFERROR(__xludf.DUMMYFUNCTION("""COMPUTED_VALUE"""),"Republic Day Under 299 Round 3")</f>
        <v>Republic Day Under 299 Round 3</v>
      </c>
      <c r="H14" s="212" t="str">
        <f>IFERROR(__xludf.DUMMYFUNCTION("""COMPUTED_VALUE"""),"rnb_off_pr_Under299_20thJan OR RB_Internal")</f>
        <v>rnb_off_pr_Under299_20thJan OR RB_Internal</v>
      </c>
      <c r="I14" s="212" t="str">
        <f>IFERROR(__xludf.DUMMYFUNCTION("""COMPUTED_VALUE"""),"Customer who have purchased from below stores (Under 299 offer) RB023        RB011        RB018        RB012        RB015        RB019        1299        1305        RB006        RB005        RB001        1286        RB008        RB016        RB010       "&amp;" RB020        RB021        RB022        1283        1297        1284        RB026        1298        1296        1258        1300        RB025        1281        RB009        RB013
")</f>
        <v>Customer who have purchased from below stores (Under 299 offer) RB023        RB011        RB018        RB012        RB015        RB019        1299        1305        RB006        RB005        RB001        1286        RB008        RB016        RB010        RB020        RB021        RB022        1283        1297        1284        RB026        1298        1296        1258        1300        RB025        1281        RB009        RB013
</v>
      </c>
      <c r="J14" s="213">
        <f>IFERROR(__xludf.DUMMYFUNCTION("""COMPUTED_VALUE"""),653449.0)</f>
        <v>653449</v>
      </c>
      <c r="K14" s="213">
        <f>IFERROR(__xludf.DUMMYFUNCTION("""COMPUTED_VALUE"""),335317.0)</f>
        <v>335317</v>
      </c>
      <c r="L14" s="214">
        <f>IFERROR(__xludf.DUMMYFUNCTION("""COMPUTED_VALUE"""),0.5131)</f>
        <v>0.5131</v>
      </c>
      <c r="M14" s="213">
        <f>IFERROR(__xludf.DUMMYFUNCTION("""COMPUTED_VALUE"""),42622.0)</f>
        <v>42622</v>
      </c>
      <c r="N14" s="214">
        <f>IFERROR(__xludf.DUMMYFUNCTION("""COMPUTED_VALUE"""),0.127)</f>
        <v>0.127</v>
      </c>
      <c r="O14" s="101">
        <f>IFERROR(__xludf.DUMMYFUNCTION("""COMPUTED_VALUE"""),0.0)</f>
        <v>0</v>
      </c>
      <c r="P14" s="101"/>
      <c r="Q14" s="214">
        <f>IFERROR(__xludf.DUMMYFUNCTION("""COMPUTED_VALUE"""),0.0)</f>
        <v>0</v>
      </c>
      <c r="R14" s="214"/>
      <c r="S14" s="101"/>
      <c r="T14" s="101"/>
      <c r="U14" s="213"/>
      <c r="V14" s="101" t="str">
        <f>IFERROR(__xludf.DUMMYFUNCTION("""COMPUTED_VALUE"""),"offline")</f>
        <v>offline</v>
      </c>
      <c r="W14" s="101" t="str">
        <f>IFERROR(__xludf.DUMMYFUNCTION("""COMPUTED_VALUE"""),"RCS")</f>
        <v>RCS</v>
      </c>
      <c r="X14" s="101" t="str">
        <f>IFERROR(__xludf.DUMMYFUNCTION("""COMPUTED_VALUE"""),"Generic")</f>
        <v>Generic</v>
      </c>
      <c r="Y14" s="101" t="str">
        <f>IFERROR(__xludf.DUMMYFUNCTION("""COMPUTED_VALUE"""),"26th Jan")</f>
        <v>26th Jan</v>
      </c>
      <c r="Z14" s="101" t="str">
        <f>IFERROR(__xludf.DUMMYFUNCTION("""COMPUTED_VALUE"""),"6971e8222c879909ee13a9d0")</f>
        <v>6971e8222c879909ee13a9d0</v>
      </c>
      <c r="AA14" s="213">
        <f>IFERROR(__xludf.DUMMYFUNCTION("""COMPUTED_VALUE"""),414.0)</f>
        <v>414</v>
      </c>
      <c r="AB14" s="213"/>
      <c r="AC14" s="213">
        <f>IFERROR(__xludf.DUMMYFUNCTION("""COMPUTED_VALUE"""),414.0)</f>
        <v>414</v>
      </c>
      <c r="AD14" s="213">
        <f>IFERROR(__xludf.DUMMYFUNCTION("""COMPUTED_VALUE"""),779571.0)</f>
        <v>779571</v>
      </c>
      <c r="AE14" s="213"/>
      <c r="AF14" s="213">
        <f>IFERROR(__xludf.DUMMYFUNCTION("""COMPUTED_VALUE"""),779571.0)</f>
        <v>779571</v>
      </c>
      <c r="AG14" s="282"/>
      <c r="AH14" s="282"/>
      <c r="AI14" s="282"/>
      <c r="AJ14" s="303"/>
      <c r="AK14" s="303"/>
      <c r="AL14" s="303"/>
      <c r="AM14" s="282"/>
      <c r="AN14" s="282"/>
      <c r="AO14" s="282"/>
      <c r="AP14" s="282"/>
      <c r="AQ14" s="282"/>
      <c r="AR14" s="282"/>
      <c r="AS14" s="282"/>
      <c r="AT14" s="282"/>
      <c r="AU14" s="282"/>
      <c r="AV14" s="282"/>
      <c r="AW14" s="282"/>
      <c r="AX14" s="282"/>
      <c r="AY14" s="282"/>
      <c r="AZ14" s="282"/>
    </row>
    <row r="15">
      <c r="A15" s="209">
        <f>IFERROR(__xludf.DUMMYFUNCTION("""COMPUTED_VALUE"""),46048.0)</f>
        <v>46048</v>
      </c>
      <c r="B15" s="247">
        <f>IFERROR(__xludf.DUMMYFUNCTION("""COMPUTED_VALUE"""),0.5)</f>
        <v>0.5</v>
      </c>
      <c r="C15" s="211" t="str">
        <f>IFERROR(__xludf.DUMMYFUNCTION("""COMPUTED_VALUE"""),"Sms")</f>
        <v>Sms</v>
      </c>
      <c r="D15" s="211" t="str">
        <f>IFERROR(__xludf.DUMMYFUNCTION("""COMPUTED_VALUE"""),"Fallback Campaign")</f>
        <v>Fallback Campaign</v>
      </c>
      <c r="E15" s="211" t="str">
        <f>IFERROR(__xludf.DUMMYFUNCTION("""COMPUTED_VALUE"""),"R&amp;B")</f>
        <v>R&amp;B</v>
      </c>
      <c r="F15" s="211" t="str">
        <f>IFERROR(__xludf.DUMMYFUNCTION("""COMPUTED_VALUE"""),"Republics Day campaign")</f>
        <v>Republics Day campaign</v>
      </c>
      <c r="G15" s="211" t="str">
        <f>IFERROR(__xludf.DUMMYFUNCTION("""COMPUTED_VALUE"""),"Fall Back _ Republic Day Under 299 Round 3")</f>
        <v>Fall Back _ Republic Day Under 299 Round 3</v>
      </c>
      <c r="H15" s="212" t="str">
        <f>IFERROR(__xludf.DUMMYFUNCTION("""COMPUTED_VALUE"""),"rnb_off_pr_Under299_20thJan OR RB_Internal")</f>
        <v>rnb_off_pr_Under299_20thJan OR RB_Internal</v>
      </c>
      <c r="I15" s="212" t="str">
        <f>IFERROR(__xludf.DUMMYFUNCTION("""COMPUTED_VALUE"""),"RCS Delivery Failed")</f>
        <v>RCS Delivery Failed</v>
      </c>
      <c r="J15" s="213">
        <f>IFERROR(__xludf.DUMMYFUNCTION("""COMPUTED_VALUE"""),321041.0)</f>
        <v>321041</v>
      </c>
      <c r="K15" s="213">
        <f>IFERROR(__xludf.DUMMYFUNCTION("""COMPUTED_VALUE"""),213691.0)</f>
        <v>213691</v>
      </c>
      <c r="L15" s="214">
        <f>IFERROR(__xludf.DUMMYFUNCTION("""COMPUTED_VALUE"""),0.6656)</f>
        <v>0.6656</v>
      </c>
      <c r="M15" s="213"/>
      <c r="N15" s="214"/>
      <c r="O15" s="101">
        <f>IFERROR(__xludf.DUMMYFUNCTION("""COMPUTED_VALUE"""),272.0)</f>
        <v>272</v>
      </c>
      <c r="P15" s="101"/>
      <c r="Q15" s="214">
        <f>IFERROR(__xludf.DUMMYFUNCTION("""COMPUTED_VALUE"""),0.0013)</f>
        <v>0.0013</v>
      </c>
      <c r="R15" s="214"/>
      <c r="S15" s="101"/>
      <c r="T15" s="101"/>
      <c r="U15" s="213"/>
      <c r="V15" s="101" t="str">
        <f>IFERROR(__xludf.DUMMYFUNCTION("""COMPUTED_VALUE"""),"offline")</f>
        <v>offline</v>
      </c>
      <c r="W15" s="101" t="str">
        <f>IFERROR(__xludf.DUMMYFUNCTION("""COMPUTED_VALUE"""),"SMS")</f>
        <v>SMS</v>
      </c>
      <c r="X15" s="101" t="str">
        <f>IFERROR(__xludf.DUMMYFUNCTION("""COMPUTED_VALUE"""),"Generic")</f>
        <v>Generic</v>
      </c>
      <c r="Y15" s="101" t="str">
        <f>IFERROR(__xludf.DUMMYFUNCTION("""COMPUTED_VALUE"""),"26th Jan")</f>
        <v>26th Jan</v>
      </c>
      <c r="Z15" s="101" t="str">
        <f>IFERROR(__xludf.DUMMYFUNCTION("""COMPUTED_VALUE"""),"6971e858fef769675256e84c")</f>
        <v>6971e858fef769675256e84c</v>
      </c>
      <c r="AA15" s="213">
        <f>IFERROR(__xludf.DUMMYFUNCTION("""COMPUTED_VALUE"""),238.0)</f>
        <v>238</v>
      </c>
      <c r="AB15" s="213"/>
      <c r="AC15" s="213">
        <f>IFERROR(__xludf.DUMMYFUNCTION("""COMPUTED_VALUE"""),238.0)</f>
        <v>238</v>
      </c>
      <c r="AD15" s="213">
        <f>IFERROR(__xludf.DUMMYFUNCTION("""COMPUTED_VALUE"""),409413.0)</f>
        <v>409413</v>
      </c>
      <c r="AE15" s="213"/>
      <c r="AF15" s="213">
        <f>IFERROR(__xludf.DUMMYFUNCTION("""COMPUTED_VALUE"""),409413.0)</f>
        <v>409413</v>
      </c>
      <c r="AG15" s="282"/>
      <c r="AH15" s="282"/>
      <c r="AI15" s="282"/>
      <c r="AJ15" s="303"/>
      <c r="AK15" s="303"/>
      <c r="AL15" s="303"/>
      <c r="AM15" s="282"/>
      <c r="AN15" s="282"/>
      <c r="AO15" s="282"/>
      <c r="AP15" s="282"/>
      <c r="AQ15" s="282"/>
      <c r="AR15" s="282"/>
      <c r="AS15" s="282"/>
      <c r="AT15" s="282"/>
      <c r="AU15" s="282"/>
      <c r="AV15" s="282"/>
      <c r="AW15" s="282"/>
      <c r="AX15" s="282"/>
      <c r="AY15" s="282"/>
      <c r="AZ15" s="282"/>
    </row>
    <row r="16">
      <c r="A16" s="209">
        <f>IFERROR(__xludf.DUMMYFUNCTION("""COMPUTED_VALUE"""),46048.0)</f>
        <v>46048</v>
      </c>
      <c r="B16" s="247">
        <f>IFERROR(__xludf.DUMMYFUNCTION("""COMPUTED_VALUE"""),0.4166666666678793)</f>
        <v>0.4166666667</v>
      </c>
      <c r="C16" s="211" t="str">
        <f>IFERROR(__xludf.DUMMYFUNCTION("""COMPUTED_VALUE"""),"Rcs")</f>
        <v>Rcs</v>
      </c>
      <c r="D16" s="211" t="str">
        <f>IFERROR(__xludf.DUMMYFUNCTION("""COMPUTED_VALUE"""),"Promotional")</f>
        <v>Promotional</v>
      </c>
      <c r="E16" s="211" t="str">
        <f>IFERROR(__xludf.DUMMYFUNCTION("""COMPUTED_VALUE"""),"R&amp;B")</f>
        <v>R&amp;B</v>
      </c>
      <c r="F16" s="211" t="str">
        <f>IFERROR(__xludf.DUMMYFUNCTION("""COMPUTED_VALUE"""),"Republics Day campaign")</f>
        <v>Republics Day campaign</v>
      </c>
      <c r="G16" s="211" t="str">
        <f>IFERROR(__xludf.DUMMYFUNCTION("""COMPUTED_VALUE"""),"Republic Day Upto 70 Round 3")</f>
        <v>Republic Day Upto 70 Round 3</v>
      </c>
      <c r="H16" s="212" t="str">
        <f>IFERROR(__xludf.DUMMYFUNCTION("""COMPUTED_VALUE"""),"rnb_off_pr_70%off_20thJan OR RB_Internal")</f>
        <v>rnb_off_pr_70%off_20thJan OR RB_Internal</v>
      </c>
      <c r="I16" s="212" t="str">
        <f>IFERROR(__xludf.DUMMYFUNCTION("""COMPUTED_VALUE"""),"Customers who have purchased from follwing stores  (70% Off) RB002        RB014        RB017        RB004        RB024        RB003        1302        RB007        1282        1250
")</f>
        <v>Customers who have purchased from follwing stores  (70% Off) RB002        RB014        RB017        RB004        RB024        RB003        1302        RB007        1282        1250
</v>
      </c>
      <c r="J16" s="213">
        <f>IFERROR(__xludf.DUMMYFUNCTION("""COMPUTED_VALUE"""),229239.0)</f>
        <v>229239</v>
      </c>
      <c r="K16" s="213">
        <f>IFERROR(__xludf.DUMMYFUNCTION("""COMPUTED_VALUE"""),114026.0)</f>
        <v>114026</v>
      </c>
      <c r="L16" s="214">
        <f>IFERROR(__xludf.DUMMYFUNCTION("""COMPUTED_VALUE"""),0.4974)</f>
        <v>0.4974</v>
      </c>
      <c r="M16" s="213">
        <f>IFERROR(__xludf.DUMMYFUNCTION("""COMPUTED_VALUE"""),13908.0)</f>
        <v>13908</v>
      </c>
      <c r="N16" s="214">
        <f>IFERROR(__xludf.DUMMYFUNCTION("""COMPUTED_VALUE"""),0.122)</f>
        <v>0.122</v>
      </c>
      <c r="O16" s="101">
        <f>IFERROR(__xludf.DUMMYFUNCTION("""COMPUTED_VALUE"""),0.0)</f>
        <v>0</v>
      </c>
      <c r="P16" s="101"/>
      <c r="Q16" s="214">
        <f>IFERROR(__xludf.DUMMYFUNCTION("""COMPUTED_VALUE"""),0.0)</f>
        <v>0</v>
      </c>
      <c r="R16" s="214"/>
      <c r="S16" s="101"/>
      <c r="T16" s="101"/>
      <c r="U16" s="213"/>
      <c r="V16" s="101" t="str">
        <f>IFERROR(__xludf.DUMMYFUNCTION("""COMPUTED_VALUE"""),"offline")</f>
        <v>offline</v>
      </c>
      <c r="W16" s="101" t="str">
        <f>IFERROR(__xludf.DUMMYFUNCTION("""COMPUTED_VALUE"""),"RCS")</f>
        <v>RCS</v>
      </c>
      <c r="X16" s="101" t="str">
        <f>IFERROR(__xludf.DUMMYFUNCTION("""COMPUTED_VALUE"""),"Generic")</f>
        <v>Generic</v>
      </c>
      <c r="Y16" s="101" t="str">
        <f>IFERROR(__xludf.DUMMYFUNCTION("""COMPUTED_VALUE"""),"26th Jan")</f>
        <v>26th Jan</v>
      </c>
      <c r="Z16" s="101" t="str">
        <f>IFERROR(__xludf.DUMMYFUNCTION("""COMPUTED_VALUE"""),"6971e90cbd41a556fdf134ca")</f>
        <v>6971e90cbd41a556fdf134ca</v>
      </c>
      <c r="AA16" s="213">
        <f>IFERROR(__xludf.DUMMYFUNCTION("""COMPUTED_VALUE"""),100.0)</f>
        <v>100</v>
      </c>
      <c r="AB16" s="213"/>
      <c r="AC16" s="213">
        <f>IFERROR(__xludf.DUMMYFUNCTION("""COMPUTED_VALUE"""),100.0)</f>
        <v>100</v>
      </c>
      <c r="AD16" s="213">
        <f>IFERROR(__xludf.DUMMYFUNCTION("""COMPUTED_VALUE"""),228107.0)</f>
        <v>228107</v>
      </c>
      <c r="AE16" s="213"/>
      <c r="AF16" s="213">
        <f>IFERROR(__xludf.DUMMYFUNCTION("""COMPUTED_VALUE"""),228107.0)</f>
        <v>228107</v>
      </c>
      <c r="AG16" s="282"/>
      <c r="AH16" s="282"/>
      <c r="AI16" s="282"/>
      <c r="AJ16" s="303"/>
      <c r="AK16" s="303"/>
      <c r="AL16" s="303"/>
      <c r="AM16" s="282"/>
      <c r="AN16" s="282"/>
      <c r="AO16" s="282"/>
      <c r="AP16" s="282"/>
      <c r="AQ16" s="282"/>
      <c r="AR16" s="282"/>
      <c r="AS16" s="282"/>
      <c r="AT16" s="282"/>
      <c r="AU16" s="282"/>
      <c r="AV16" s="282"/>
      <c r="AW16" s="282"/>
      <c r="AX16" s="282"/>
      <c r="AY16" s="282"/>
      <c r="AZ16" s="282"/>
    </row>
    <row r="17">
      <c r="A17" s="209">
        <f>IFERROR(__xludf.DUMMYFUNCTION("""COMPUTED_VALUE"""),46048.0)</f>
        <v>46048</v>
      </c>
      <c r="B17" s="247">
        <f>IFERROR(__xludf.DUMMYFUNCTION("""COMPUTED_VALUE"""),0.5)</f>
        <v>0.5</v>
      </c>
      <c r="C17" s="211" t="str">
        <f>IFERROR(__xludf.DUMMYFUNCTION("""COMPUTED_VALUE"""),"Sms")</f>
        <v>Sms</v>
      </c>
      <c r="D17" s="211" t="str">
        <f>IFERROR(__xludf.DUMMYFUNCTION("""COMPUTED_VALUE"""),"Fallback Campaign")</f>
        <v>Fallback Campaign</v>
      </c>
      <c r="E17" s="211" t="str">
        <f>IFERROR(__xludf.DUMMYFUNCTION("""COMPUTED_VALUE"""),"R&amp;B")</f>
        <v>R&amp;B</v>
      </c>
      <c r="F17" s="258" t="str">
        <f>IFERROR(__xludf.DUMMYFUNCTION("""COMPUTED_VALUE"""),"Republics Day campaign")</f>
        <v>Republics Day campaign</v>
      </c>
      <c r="G17" s="212" t="str">
        <f>IFERROR(__xludf.DUMMYFUNCTION("""COMPUTED_VALUE"""),"Fall Back _ Republic Day Upto 70 Round 3")</f>
        <v>Fall Back _ Republic Day Upto 70 Round 3</v>
      </c>
      <c r="H17" s="212" t="str">
        <f>IFERROR(__xludf.DUMMYFUNCTION("""COMPUTED_VALUE"""),"rnb_off_pr_70%off_20thJan OR RB_Internal")</f>
        <v>rnb_off_pr_70%off_20thJan OR RB_Internal</v>
      </c>
      <c r="I17" s="212" t="str">
        <f>IFERROR(__xludf.DUMMYFUNCTION("""COMPUTED_VALUE"""),"RCS Delivery Failed")</f>
        <v>RCS Delivery Failed</v>
      </c>
      <c r="J17" s="213">
        <f>IFERROR(__xludf.DUMMYFUNCTION("""COMPUTED_VALUE"""),116555.0)</f>
        <v>116555</v>
      </c>
      <c r="K17" s="213">
        <f>IFERROR(__xludf.DUMMYFUNCTION("""COMPUTED_VALUE"""),73102.0)</f>
        <v>73102</v>
      </c>
      <c r="L17" s="214">
        <f>IFERROR(__xludf.DUMMYFUNCTION("""COMPUTED_VALUE"""),0.6272)</f>
        <v>0.6272</v>
      </c>
      <c r="M17" s="213"/>
      <c r="N17" s="214"/>
      <c r="O17" s="101">
        <f>IFERROR(__xludf.DUMMYFUNCTION("""COMPUTED_VALUE"""),81.0)</f>
        <v>81</v>
      </c>
      <c r="P17" s="101"/>
      <c r="Q17" s="214">
        <f>IFERROR(__xludf.DUMMYFUNCTION("""COMPUTED_VALUE"""),0.0011)</f>
        <v>0.0011</v>
      </c>
      <c r="R17" s="214"/>
      <c r="S17" s="101"/>
      <c r="T17" s="101"/>
      <c r="U17" s="213"/>
      <c r="V17" s="101" t="str">
        <f>IFERROR(__xludf.DUMMYFUNCTION("""COMPUTED_VALUE"""),"offline")</f>
        <v>offline</v>
      </c>
      <c r="W17" s="101" t="str">
        <f>IFERROR(__xludf.DUMMYFUNCTION("""COMPUTED_VALUE"""),"SMS")</f>
        <v>SMS</v>
      </c>
      <c r="X17" s="101" t="str">
        <f>IFERROR(__xludf.DUMMYFUNCTION("""COMPUTED_VALUE"""),"Generic")</f>
        <v>Generic</v>
      </c>
      <c r="Y17" s="101" t="str">
        <f>IFERROR(__xludf.DUMMYFUNCTION("""COMPUTED_VALUE"""),"26th Jan")</f>
        <v>26th Jan</v>
      </c>
      <c r="Z17" s="101" t="str">
        <f>IFERROR(__xludf.DUMMYFUNCTION("""COMPUTED_VALUE"""),"6971e93dc86be99d5e5ce5be")</f>
        <v>6971e93dc86be99d5e5ce5be</v>
      </c>
      <c r="AA17" s="213">
        <f>IFERROR(__xludf.DUMMYFUNCTION("""COMPUTED_VALUE"""),62.0)</f>
        <v>62</v>
      </c>
      <c r="AB17" s="213"/>
      <c r="AC17" s="213">
        <f>IFERROR(__xludf.DUMMYFUNCTION("""COMPUTED_VALUE"""),62.0)</f>
        <v>62</v>
      </c>
      <c r="AD17" s="213">
        <f>IFERROR(__xludf.DUMMYFUNCTION("""COMPUTED_VALUE"""),137250.0)</f>
        <v>137250</v>
      </c>
      <c r="AE17" s="213"/>
      <c r="AF17" s="213">
        <f>IFERROR(__xludf.DUMMYFUNCTION("""COMPUTED_VALUE"""),137250.0)</f>
        <v>137250</v>
      </c>
      <c r="AG17" s="282"/>
      <c r="AH17" s="282"/>
      <c r="AI17" s="282"/>
      <c r="AJ17" s="303"/>
      <c r="AK17" s="303"/>
      <c r="AL17" s="303"/>
      <c r="AM17" s="282"/>
      <c r="AN17" s="282"/>
      <c r="AO17" s="282"/>
      <c r="AP17" s="282"/>
      <c r="AQ17" s="282"/>
      <c r="AR17" s="282"/>
      <c r="AS17" s="282"/>
      <c r="AT17" s="282"/>
      <c r="AU17" s="282"/>
      <c r="AV17" s="282"/>
      <c r="AW17" s="282"/>
      <c r="AX17" s="282"/>
      <c r="AY17" s="282"/>
      <c r="AZ17" s="282"/>
    </row>
    <row r="18">
      <c r="A18" s="209">
        <f>IFERROR(__xludf.DUMMYFUNCTION("""COMPUTED_VALUE"""),46066.0)</f>
        <v>46066</v>
      </c>
      <c r="B18" s="247">
        <f>IFERROR(__xludf.DUMMYFUNCTION("""COMPUTED_VALUE"""),0.6666666666678793)</f>
        <v>0.6666666667</v>
      </c>
      <c r="C18" s="211" t="str">
        <f>IFERROR(__xludf.DUMMYFUNCTION("""COMPUTED_VALUE"""),"Whatsapp")</f>
        <v>Whatsapp</v>
      </c>
      <c r="D18" s="211" t="str">
        <f>IFERROR(__xludf.DUMMYFUNCTION("""COMPUTED_VALUE"""),"Promotional")</f>
        <v>Promotional</v>
      </c>
      <c r="E18" s="211" t="str">
        <f>IFERROR(__xludf.DUMMYFUNCTION("""COMPUTED_VALUE"""),"R&amp;B")</f>
        <v>R&amp;B</v>
      </c>
      <c r="F18" s="258" t="str">
        <f>IFERROR(__xludf.DUMMYFUNCTION("""COMPUTED_VALUE"""),"EOSS")</f>
        <v>EOSS</v>
      </c>
      <c r="G18" s="212" t="str">
        <f>IFERROR(__xludf.DUMMYFUNCTION("""COMPUTED_VALUE"""),"Last EOSS Comms")</f>
        <v>Last EOSS Comms</v>
      </c>
      <c r="H18" s="212" t="str">
        <f>IFERROR(__xludf.DUMMYFUNCTION("""COMPUTED_VALUE"""),"rnb_off_pr_EOSSlastcall_11thFeb")</f>
        <v>rnb_off_pr_EOSSlastcall_11thFeb</v>
      </c>
      <c r="I18" s="212" t="str">
        <f>IFERROR(__xludf.DUMMYFUNCTION("""COMPUTED_VALUE"""),"Customer who have purchased till 8th Feb 2026 from the stores 1296, 1258, 1300, RB025, 1281")</f>
        <v>Customer who have purchased till 8th Feb 2026 from the stores 1296, 1258, 1300, RB025, 1281</v>
      </c>
      <c r="J18" s="213">
        <f>IFERROR(__xludf.DUMMYFUNCTION("""COMPUTED_VALUE"""),37851.0)</f>
        <v>37851</v>
      </c>
      <c r="K18" s="213">
        <f>IFERROR(__xludf.DUMMYFUNCTION("""COMPUTED_VALUE"""),22292.0)</f>
        <v>22292</v>
      </c>
      <c r="L18" s="214">
        <f>IFERROR(__xludf.DUMMYFUNCTION("""COMPUTED_VALUE"""),0.5887)</f>
        <v>0.5887</v>
      </c>
      <c r="M18" s="213">
        <f>IFERROR(__xludf.DUMMYFUNCTION("""COMPUTED_VALUE"""),13249.0)</f>
        <v>13249</v>
      </c>
      <c r="N18" s="214">
        <f>IFERROR(__xludf.DUMMYFUNCTION("""COMPUTED_VALUE"""),0.5945)</f>
        <v>0.5945</v>
      </c>
      <c r="O18" s="101">
        <f>IFERROR(__xludf.DUMMYFUNCTION("""COMPUTED_VALUE"""),811.0)</f>
        <v>811</v>
      </c>
      <c r="P18" s="101">
        <f>IFERROR(__xludf.DUMMYFUNCTION("""COMPUTED_VALUE"""),777.0)</f>
        <v>777</v>
      </c>
      <c r="Q18" s="214">
        <f>IFERROR(__xludf.DUMMYFUNCTION("""COMPUTED_VALUE"""),0.03)</f>
        <v>0.03</v>
      </c>
      <c r="R18" s="214">
        <f>IFERROR(__xludf.DUMMYFUNCTION("""COMPUTED_VALUE"""),0.06)</f>
        <v>0.06</v>
      </c>
      <c r="S18" s="101"/>
      <c r="T18" s="101"/>
      <c r="U18" s="213"/>
      <c r="V18" s="101" t="str">
        <f>IFERROR(__xludf.DUMMYFUNCTION("""COMPUTED_VALUE"""),"offline")</f>
        <v>offline</v>
      </c>
      <c r="W18" s="101" t="str">
        <f>IFERROR(__xludf.DUMMYFUNCTION("""COMPUTED_VALUE"""),"simple")</f>
        <v>simple</v>
      </c>
      <c r="X18" s="101" t="str">
        <f>IFERROR(__xludf.DUMMYFUNCTION("""COMPUTED_VALUE"""),"Generic")</f>
        <v>Generic</v>
      </c>
      <c r="Y18" s="101" t="str">
        <f>IFERROR(__xludf.DUMMYFUNCTION("""COMPUTED_VALUE"""),"13th to 15th Feb")</f>
        <v>13th to 15th Feb</v>
      </c>
      <c r="Z18" s="101" t="str">
        <f>IFERROR(__xludf.DUMMYFUNCTION("""COMPUTED_VALUE"""),"698d737b8b2c3db3b5e67a29")</f>
        <v>698d737b8b2c3db3b5e67a29</v>
      </c>
      <c r="AA18" s="213">
        <f>IFERROR(__xludf.DUMMYFUNCTION("""COMPUTED_VALUE"""),67.0)</f>
        <v>67</v>
      </c>
      <c r="AB18" s="213"/>
      <c r="AC18" s="213">
        <f>IFERROR(__xludf.DUMMYFUNCTION("""COMPUTED_VALUE"""),67.0)</f>
        <v>67</v>
      </c>
      <c r="AD18" s="213">
        <f>IFERROR(__xludf.DUMMYFUNCTION("""COMPUTED_VALUE"""),129867.0)</f>
        <v>129867</v>
      </c>
      <c r="AE18" s="213"/>
      <c r="AF18" s="213">
        <f>IFERROR(__xludf.DUMMYFUNCTION("""COMPUTED_VALUE"""),129867.0)</f>
        <v>129867</v>
      </c>
      <c r="AG18" s="282"/>
      <c r="AH18" s="282"/>
      <c r="AI18" s="282"/>
      <c r="AJ18" s="303"/>
      <c r="AK18" s="303"/>
      <c r="AL18" s="303"/>
      <c r="AM18" s="282"/>
      <c r="AN18" s="282"/>
      <c r="AO18" s="282"/>
      <c r="AP18" s="282"/>
      <c r="AQ18" s="282"/>
      <c r="AR18" s="282"/>
      <c r="AS18" s="282"/>
      <c r="AT18" s="282"/>
      <c r="AU18" s="282"/>
      <c r="AV18" s="282"/>
      <c r="AW18" s="282"/>
      <c r="AX18" s="282"/>
      <c r="AY18" s="282"/>
      <c r="AZ18" s="282"/>
    </row>
    <row r="19">
      <c r="A19" s="209">
        <f>IFERROR(__xludf.DUMMYFUNCTION("""COMPUTED_VALUE"""),46066.0)</f>
        <v>46066</v>
      </c>
      <c r="B19" s="247">
        <f>IFERROR(__xludf.DUMMYFUNCTION("""COMPUTED_VALUE"""),0.75)</f>
        <v>0.75</v>
      </c>
      <c r="C19" s="211" t="str">
        <f>IFERROR(__xludf.DUMMYFUNCTION("""COMPUTED_VALUE"""),"Sms")</f>
        <v>Sms</v>
      </c>
      <c r="D19" s="211" t="str">
        <f>IFERROR(__xludf.DUMMYFUNCTION("""COMPUTED_VALUE"""),"Fallback Campaign")</f>
        <v>Fallback Campaign</v>
      </c>
      <c r="E19" s="211" t="str">
        <f>IFERROR(__xludf.DUMMYFUNCTION("""COMPUTED_VALUE"""),"R&amp;B")</f>
        <v>R&amp;B</v>
      </c>
      <c r="F19" s="211" t="str">
        <f>IFERROR(__xludf.DUMMYFUNCTION("""COMPUTED_VALUE"""),"EOSS")</f>
        <v>EOSS</v>
      </c>
      <c r="G19" s="211" t="str">
        <f>IFERROR(__xludf.DUMMYFUNCTION("""COMPUTED_VALUE"""),"Fall Back_Last EOSS Comms")</f>
        <v>Fall Back_Last EOSS Comms</v>
      </c>
      <c r="H19" s="212" t="str">
        <f>IFERROR(__xludf.DUMMYFUNCTION("""COMPUTED_VALUE"""),"rnb_off_pr_EOSSlastcall_11thFeb")</f>
        <v>rnb_off_pr_EOSSlastcall_11thFeb</v>
      </c>
      <c r="I19" s="212" t="str">
        <f>IFERROR(__xludf.DUMMYFUNCTION("""COMPUTED_VALUE"""),"WA Undelivered")</f>
        <v>WA Undelivered</v>
      </c>
      <c r="J19" s="213">
        <f>IFERROR(__xludf.DUMMYFUNCTION("""COMPUTED_VALUE"""),15091.0)</f>
        <v>15091</v>
      </c>
      <c r="K19" s="213">
        <f>IFERROR(__xludf.DUMMYFUNCTION("""COMPUTED_VALUE"""),10420.0)</f>
        <v>10420</v>
      </c>
      <c r="L19" s="214">
        <f>IFERROR(__xludf.DUMMYFUNCTION("""COMPUTED_VALUE"""),0.69)</f>
        <v>0.69</v>
      </c>
      <c r="M19" s="213"/>
      <c r="N19" s="214"/>
      <c r="O19" s="101">
        <f>IFERROR(__xludf.DUMMYFUNCTION("""COMPUTED_VALUE"""),15.0)</f>
        <v>15</v>
      </c>
      <c r="P19" s="101"/>
      <c r="Q19" s="214">
        <f>IFERROR(__xludf.DUMMYFUNCTION("""COMPUTED_VALUE"""),0.001)</f>
        <v>0.001</v>
      </c>
      <c r="R19" s="214"/>
      <c r="S19" s="101"/>
      <c r="T19" s="101"/>
      <c r="U19" s="213"/>
      <c r="V19" s="101" t="str">
        <f>IFERROR(__xludf.DUMMYFUNCTION("""COMPUTED_VALUE"""),"offline")</f>
        <v>offline</v>
      </c>
      <c r="W19" s="101" t="str">
        <f>IFERROR(__xludf.DUMMYFUNCTION("""COMPUTED_VALUE"""),"SMS")</f>
        <v>SMS</v>
      </c>
      <c r="X19" s="101" t="str">
        <f>IFERROR(__xludf.DUMMYFUNCTION("""COMPUTED_VALUE"""),"Generic")</f>
        <v>Generic</v>
      </c>
      <c r="Y19" s="101" t="str">
        <f>IFERROR(__xludf.DUMMYFUNCTION("""COMPUTED_VALUE"""),"13th to 15th Feb")</f>
        <v>13th to 15th Feb</v>
      </c>
      <c r="Z19" s="101" t="str">
        <f>IFERROR(__xludf.DUMMYFUNCTION("""COMPUTED_VALUE"""),"698d739c29c2bd8123de8e78")</f>
        <v>698d739c29c2bd8123de8e78</v>
      </c>
      <c r="AA19" s="213">
        <f>IFERROR(__xludf.DUMMYFUNCTION("""COMPUTED_VALUE"""),30.0)</f>
        <v>30</v>
      </c>
      <c r="AB19" s="213"/>
      <c r="AC19" s="213">
        <f>IFERROR(__xludf.DUMMYFUNCTION("""COMPUTED_VALUE"""),30.0)</f>
        <v>30</v>
      </c>
      <c r="AD19" s="213">
        <f>IFERROR(__xludf.DUMMYFUNCTION("""COMPUTED_VALUE"""),82708.0)</f>
        <v>82708</v>
      </c>
      <c r="AE19" s="213"/>
      <c r="AF19" s="213">
        <f>IFERROR(__xludf.DUMMYFUNCTION("""COMPUTED_VALUE"""),82708.0)</f>
        <v>82708</v>
      </c>
      <c r="AG19" s="282"/>
      <c r="AH19" s="282"/>
      <c r="AI19" s="282"/>
      <c r="AJ19" s="303"/>
      <c r="AK19" s="303"/>
      <c r="AL19" s="303"/>
      <c r="AM19" s="282"/>
      <c r="AN19" s="282"/>
      <c r="AO19" s="282"/>
      <c r="AP19" s="282"/>
      <c r="AQ19" s="282"/>
      <c r="AR19" s="282"/>
      <c r="AS19" s="282"/>
      <c r="AT19" s="282"/>
      <c r="AU19" s="282"/>
      <c r="AV19" s="282"/>
      <c r="AW19" s="282"/>
      <c r="AX19" s="282"/>
      <c r="AY19" s="282"/>
      <c r="AZ19" s="282"/>
    </row>
    <row r="20">
      <c r="A20" s="209">
        <f>IFERROR(__xludf.DUMMYFUNCTION("""COMPUTED_VALUE"""),46079.0)</f>
        <v>46079</v>
      </c>
      <c r="B20" s="247">
        <f>IFERROR(__xludf.DUMMYFUNCTION("""COMPUTED_VALUE"""),0.6666666666678793)</f>
        <v>0.6666666667</v>
      </c>
      <c r="C20" s="211" t="str">
        <f>IFERROR(__xludf.DUMMYFUNCTION("""COMPUTED_VALUE"""),"Whatsapp")</f>
        <v>Whatsapp</v>
      </c>
      <c r="D20" s="211" t="str">
        <f>IFERROR(__xludf.DUMMYFUNCTION("""COMPUTED_VALUE"""),"Promotional")</f>
        <v>Promotional</v>
      </c>
      <c r="E20" s="211" t="str">
        <f>IFERROR(__xludf.DUMMYFUNCTION("""COMPUTED_VALUE"""),"R&amp;B")</f>
        <v>R&amp;B</v>
      </c>
      <c r="F20" s="211" t="str">
        <f>IFERROR(__xludf.DUMMYFUNCTION("""COMPUTED_VALUE"""),"Ramzan")</f>
        <v>Ramzan</v>
      </c>
      <c r="G20" s="211" t="str">
        <f>IFERROR(__xludf.DUMMYFUNCTION("""COMPUTED_VALUE"""),"Ramzan_2 Times")</f>
        <v>Ramzan_2 Times</v>
      </c>
      <c r="H20" s="212" t="str">
        <f>IFERROR(__xludf.DUMMYFUNCTION("""COMPUTED_VALUE"""),"2Time_Buy_6M_RMZ")</f>
        <v>2Time_Buy_6M_RMZ</v>
      </c>
      <c r="I20" s="212" t="str">
        <f>IFERROR(__xludf.DUMMYFUNCTION("""COMPUTED_VALUE"""),"Customers who have shopped for &gt; 2 times in the last 6 months from Txn_Store_Code :- RB002,RB014,RB017,RB004,RB024,RB007,RB006,RB005,RB001,1286,RB008,RB016,RB010,RB020,RB021,RB022,1283,1284,1296,RB025,1281,RB009
")</f>
        <v>Customers who have shopped for &gt; 2 times in the last 6 months from Txn_Store_Code :- RB002,RB014,RB017,RB004,RB024,RB007,RB006,RB005,RB001,1286,RB008,RB016,RB010,RB020,RB021,RB022,1283,1284,1296,RB025,1281,RB009
</v>
      </c>
      <c r="J20" s="213">
        <f>IFERROR(__xludf.DUMMYFUNCTION("""COMPUTED_VALUE"""),35865.0)</f>
        <v>35865</v>
      </c>
      <c r="K20" s="213">
        <f>IFERROR(__xludf.DUMMYFUNCTION("""COMPUTED_VALUE"""),16323.0)</f>
        <v>16323</v>
      </c>
      <c r="L20" s="214">
        <f>IFERROR(__xludf.DUMMYFUNCTION("""COMPUTED_VALUE"""),0.4551)</f>
        <v>0.4551</v>
      </c>
      <c r="M20" s="213">
        <f>IFERROR(__xludf.DUMMYFUNCTION("""COMPUTED_VALUE"""),10741.0)</f>
        <v>10741</v>
      </c>
      <c r="N20" s="214">
        <f>IFERROR(__xludf.DUMMYFUNCTION("""COMPUTED_VALUE"""),0.6581)</f>
        <v>0.6581</v>
      </c>
      <c r="O20" s="101">
        <f>IFERROR(__xludf.DUMMYFUNCTION("""COMPUTED_VALUE"""),964.0)</f>
        <v>964</v>
      </c>
      <c r="P20" s="101">
        <f>IFERROR(__xludf.DUMMYFUNCTION("""COMPUTED_VALUE"""),921.0)</f>
        <v>921</v>
      </c>
      <c r="Q20" s="214">
        <f>IFERROR(__xludf.DUMMYFUNCTION("""COMPUTED_VALUE"""),0.0564)</f>
        <v>0.0564</v>
      </c>
      <c r="R20" s="214">
        <f>IFERROR(__xludf.DUMMYFUNCTION("""COMPUTED_VALUE"""),0.0857)</f>
        <v>0.0857</v>
      </c>
      <c r="S20" s="101"/>
      <c r="T20" s="101"/>
      <c r="U20" s="213"/>
      <c r="V20" s="101" t="str">
        <f>IFERROR(__xludf.DUMMYFUNCTION("""COMPUTED_VALUE"""),"offline")</f>
        <v>offline</v>
      </c>
      <c r="W20" s="101" t="str">
        <f>IFERROR(__xludf.DUMMYFUNCTION("""COMPUTED_VALUE"""),"simple")</f>
        <v>simple</v>
      </c>
      <c r="X20" s="101" t="str">
        <f>IFERROR(__xludf.DUMMYFUNCTION("""COMPUTED_VALUE"""),"Repeat")</f>
        <v>Repeat</v>
      </c>
      <c r="Y20" s="101" t="str">
        <f>IFERROR(__xludf.DUMMYFUNCTION("""COMPUTED_VALUE"""),"2nd Mar")</f>
        <v>2nd Mar</v>
      </c>
      <c r="Z20" s="101" t="str">
        <f>IFERROR(__xludf.DUMMYFUNCTION("""COMPUTED_VALUE"""),"699eef9e374bc9be8f37d408")</f>
        <v>699eef9e374bc9be8f37d408</v>
      </c>
      <c r="AA20" s="213">
        <f>IFERROR(__xludf.DUMMYFUNCTION("""COMPUTED_VALUE"""),235.0)</f>
        <v>235</v>
      </c>
      <c r="AB20" s="213"/>
      <c r="AC20" s="213">
        <f>IFERROR(__xludf.DUMMYFUNCTION("""COMPUTED_VALUE"""),235.0)</f>
        <v>235</v>
      </c>
      <c r="AD20" s="213">
        <f>IFERROR(__xludf.DUMMYFUNCTION("""COMPUTED_VALUE"""),579413.0)</f>
        <v>579413</v>
      </c>
      <c r="AE20" s="213"/>
      <c r="AF20" s="213">
        <f>IFERROR(__xludf.DUMMYFUNCTION("""COMPUTED_VALUE"""),579413.0)</f>
        <v>579413</v>
      </c>
      <c r="AG20" s="282"/>
      <c r="AH20" s="282"/>
      <c r="AI20" s="282"/>
      <c r="AJ20" s="303"/>
      <c r="AK20" s="303"/>
      <c r="AL20" s="303"/>
      <c r="AM20" s="282"/>
      <c r="AN20" s="282"/>
      <c r="AO20" s="282"/>
      <c r="AP20" s="282"/>
      <c r="AQ20" s="282"/>
      <c r="AR20" s="282"/>
      <c r="AS20" s="282"/>
      <c r="AT20" s="282"/>
      <c r="AU20" s="282"/>
      <c r="AV20" s="282"/>
      <c r="AW20" s="282"/>
      <c r="AX20" s="282"/>
      <c r="AY20" s="282"/>
      <c r="AZ20" s="282"/>
    </row>
    <row r="21">
      <c r="A21" s="209">
        <f>IFERROR(__xludf.DUMMYFUNCTION("""COMPUTED_VALUE"""),46079.0)</f>
        <v>46079</v>
      </c>
      <c r="B21" s="305">
        <f>IFERROR(__xludf.DUMMYFUNCTION("""COMPUTED_VALUE"""),0.6666666666678793)</f>
        <v>0.6666666667</v>
      </c>
      <c r="C21" s="28" t="str">
        <f>IFERROR(__xludf.DUMMYFUNCTION("""COMPUTED_VALUE"""),"Whatsapp")</f>
        <v>Whatsapp</v>
      </c>
      <c r="D21" s="28" t="str">
        <f>IFERROR(__xludf.DUMMYFUNCTION("""COMPUTED_VALUE"""),"Promotional")</f>
        <v>Promotional</v>
      </c>
      <c r="E21" s="28" t="str">
        <f>IFERROR(__xludf.DUMMYFUNCTION("""COMPUTED_VALUE"""),"R&amp;B")</f>
        <v>R&amp;B</v>
      </c>
      <c r="F21" s="28" t="str">
        <f>IFERROR(__xludf.DUMMYFUNCTION("""COMPUTED_VALUE"""),"Ramzan")</f>
        <v>Ramzan</v>
      </c>
      <c r="G21" s="28" t="str">
        <f>IFERROR(__xludf.DUMMYFUNCTION("""COMPUTED_VALUE"""),"Ramzan_Eid Repeat")</f>
        <v>Ramzan_Eid Repeat</v>
      </c>
      <c r="H21" s="28" t="str">
        <f>IFERROR(__xludf.DUMMYFUNCTION("""COMPUTED_VALUE"""),"Eid25_Repeat_Buy")</f>
        <v>Eid25_Repeat_Buy</v>
      </c>
      <c r="I21" s="28" t="str">
        <f>IFERROR(__xludf.DUMMYFUNCTION("""COMPUTED_VALUE"""),"Customers who have shopped during last Eid (1st March'25 and 31st March'25) and have shopped again with R&amp;B from Txn_Store_Code :- RB002,RB014,RB017,RB004,RB024,RB007,RB006,RB005,RB001,1286,RB008,RB016,RB010,RB020,RB021,RB022,1283,1284,1296,RB025,1281,RB0"&amp;"09
")</f>
        <v>Customers who have shopped during last Eid (1st March'25 and 31st March'25) and have shopped again with R&amp;B from Txn_Store_Code :- RB002,RB014,RB017,RB004,RB024,RB007,RB006,RB005,RB001,1286,RB008,RB016,RB010,RB020,RB021,RB022,1283,1284,1296,RB025,1281,RB009
</v>
      </c>
      <c r="J21" s="35">
        <f>IFERROR(__xludf.DUMMYFUNCTION("""COMPUTED_VALUE"""),11664.0)</f>
        <v>11664</v>
      </c>
      <c r="K21" s="35">
        <f>IFERROR(__xludf.DUMMYFUNCTION("""COMPUTED_VALUE"""),5179.0)</f>
        <v>5179</v>
      </c>
      <c r="L21" s="36">
        <f>IFERROR(__xludf.DUMMYFUNCTION("""COMPUTED_VALUE"""),0.444)</f>
        <v>0.444</v>
      </c>
      <c r="M21" s="35">
        <f>IFERROR(__xludf.DUMMYFUNCTION("""COMPUTED_VALUE"""),3138.0)</f>
        <v>3138</v>
      </c>
      <c r="N21" s="36">
        <f>IFERROR(__xludf.DUMMYFUNCTION("""COMPUTED_VALUE"""),0.606)</f>
        <v>0.606</v>
      </c>
      <c r="O21" s="42">
        <f>IFERROR(__xludf.DUMMYFUNCTION("""COMPUTED_VALUE"""),207.0)</f>
        <v>207</v>
      </c>
      <c r="P21" s="42">
        <f>IFERROR(__xludf.DUMMYFUNCTION("""COMPUTED_VALUE"""),201.0)</f>
        <v>201</v>
      </c>
      <c r="Q21" s="36">
        <f>IFERROR(__xludf.DUMMYFUNCTION("""COMPUTED_VALUE"""),0.0388)</f>
        <v>0.0388</v>
      </c>
      <c r="R21" s="36">
        <f>IFERROR(__xludf.DUMMYFUNCTION("""COMPUTED_VALUE"""),0.0641)</f>
        <v>0.0641</v>
      </c>
      <c r="S21" s="42"/>
      <c r="T21" s="42"/>
      <c r="U21" s="35"/>
      <c r="V21" s="42" t="str">
        <f>IFERROR(__xludf.DUMMYFUNCTION("""COMPUTED_VALUE"""),"offline")</f>
        <v>offline</v>
      </c>
      <c r="W21" s="42" t="str">
        <f>IFERROR(__xludf.DUMMYFUNCTION("""COMPUTED_VALUE"""),"simple")</f>
        <v>simple</v>
      </c>
      <c r="X21" s="42" t="str">
        <f>IFERROR(__xludf.DUMMYFUNCTION("""COMPUTED_VALUE"""),"Event Buyers and shopped again")</f>
        <v>Event Buyers and shopped again</v>
      </c>
      <c r="Y21" s="42" t="str">
        <f>IFERROR(__xludf.DUMMYFUNCTION("""COMPUTED_VALUE"""),"2nd Mar")</f>
        <v>2nd Mar</v>
      </c>
      <c r="Z21" s="42" t="str">
        <f>IFERROR(__xludf.DUMMYFUNCTION("""COMPUTED_VALUE"""),"699eefe4921066f9d96b66b6")</f>
        <v>699eefe4921066f9d96b66b6</v>
      </c>
      <c r="AA21" s="35">
        <f>IFERROR(__xludf.DUMMYFUNCTION("""COMPUTED_VALUE"""),85.0)</f>
        <v>85</v>
      </c>
      <c r="AB21" s="35"/>
      <c r="AC21" s="35">
        <f>IFERROR(__xludf.DUMMYFUNCTION("""COMPUTED_VALUE"""),85.0)</f>
        <v>85</v>
      </c>
      <c r="AD21" s="35">
        <f>IFERROR(__xludf.DUMMYFUNCTION("""COMPUTED_VALUE"""),230336.0)</f>
        <v>230336</v>
      </c>
      <c r="AE21" s="35"/>
      <c r="AF21" s="35">
        <f>IFERROR(__xludf.DUMMYFUNCTION("""COMPUTED_VALUE"""),230336.0)</f>
        <v>230336</v>
      </c>
      <c r="AG21" s="282"/>
      <c r="AH21" s="282"/>
      <c r="AI21" s="282"/>
      <c r="AJ21" s="303"/>
      <c r="AK21" s="303"/>
      <c r="AL21" s="303"/>
      <c r="AM21" s="282"/>
      <c r="AN21" s="282"/>
      <c r="AO21" s="282"/>
      <c r="AP21" s="282"/>
      <c r="AQ21" s="282"/>
      <c r="AR21" s="282"/>
      <c r="AS21" s="282"/>
      <c r="AT21" s="282"/>
      <c r="AU21" s="282"/>
      <c r="AV21" s="282"/>
      <c r="AW21" s="282"/>
      <c r="AX21" s="282"/>
      <c r="AY21" s="282"/>
      <c r="AZ21" s="282"/>
    </row>
    <row r="22">
      <c r="A22" s="209">
        <f>IFERROR(__xludf.DUMMYFUNCTION("""COMPUTED_VALUE"""),46079.0)</f>
        <v>46079</v>
      </c>
      <c r="B22" s="305">
        <f>IFERROR(__xludf.DUMMYFUNCTION("""COMPUTED_VALUE"""),0.6666666666678793)</f>
        <v>0.6666666667</v>
      </c>
      <c r="C22" s="28" t="str">
        <f>IFERROR(__xludf.DUMMYFUNCTION("""COMPUTED_VALUE"""),"Whatsapp")</f>
        <v>Whatsapp</v>
      </c>
      <c r="D22" s="28" t="str">
        <f>IFERROR(__xludf.DUMMYFUNCTION("""COMPUTED_VALUE"""),"Promotional")</f>
        <v>Promotional</v>
      </c>
      <c r="E22" s="28" t="str">
        <f>IFERROR(__xludf.DUMMYFUNCTION("""COMPUTED_VALUE"""),"R&amp;B")</f>
        <v>R&amp;B</v>
      </c>
      <c r="F22" s="28" t="str">
        <f>IFERROR(__xludf.DUMMYFUNCTION("""COMPUTED_VALUE"""),"Ramzan")</f>
        <v>Ramzan</v>
      </c>
      <c r="G22" s="28" t="str">
        <f>IFERROR(__xludf.DUMMYFUNCTION("""COMPUTED_VALUE"""),"Normal_2 Times")</f>
        <v>Normal_2 Times</v>
      </c>
      <c r="H22" s="28" t="str">
        <f>IFERROR(__xludf.DUMMYFUNCTION("""COMPUTED_VALUE"""),"2Time_Buy_6M_NR")</f>
        <v>2Time_Buy_6M_NR</v>
      </c>
      <c r="I22" s="28" t="str">
        <f>IFERROR(__xludf.DUMMYFUNCTION("""COMPUTED_VALUE"""),"Customers who have shopped for &gt; 2 times in the last 6 months from Txn_Store_Code :- RB023,RB011,RB018,RB012,RB015,RB003,1302,1282,1250,RB019,1299,1305,1297,RB026,1298,1258,1300,RB013
")</f>
        <v>Customers who have shopped for &gt; 2 times in the last 6 months from Txn_Store_Code :- RB023,RB011,RB018,RB012,RB015,RB003,1302,1282,1250,RB019,1299,1305,1297,RB026,1298,1258,1300,RB013
</v>
      </c>
      <c r="J22" s="35">
        <f>IFERROR(__xludf.DUMMYFUNCTION("""COMPUTED_VALUE"""),21417.0)</f>
        <v>21417</v>
      </c>
      <c r="K22" s="35">
        <f>IFERROR(__xludf.DUMMYFUNCTION("""COMPUTED_VALUE"""),10344.0)</f>
        <v>10344</v>
      </c>
      <c r="L22" s="36">
        <f>IFERROR(__xludf.DUMMYFUNCTION("""COMPUTED_VALUE"""),0.483)</f>
        <v>0.483</v>
      </c>
      <c r="M22" s="35">
        <f>IFERROR(__xludf.DUMMYFUNCTION("""COMPUTED_VALUE"""),7175.0)</f>
        <v>7175</v>
      </c>
      <c r="N22" s="36">
        <f>IFERROR(__xludf.DUMMYFUNCTION("""COMPUTED_VALUE"""),0.6938)</f>
        <v>0.6938</v>
      </c>
      <c r="O22" s="42">
        <f>IFERROR(__xludf.DUMMYFUNCTION("""COMPUTED_VALUE"""),663.0)</f>
        <v>663</v>
      </c>
      <c r="P22" s="42">
        <f>IFERROR(__xludf.DUMMYFUNCTION("""COMPUTED_VALUE"""),619.0)</f>
        <v>619</v>
      </c>
      <c r="Q22" s="36">
        <f>IFERROR(__xludf.DUMMYFUNCTION("""COMPUTED_VALUE"""),0.0599)</f>
        <v>0.0599</v>
      </c>
      <c r="R22" s="36">
        <f>IFERROR(__xludf.DUMMYFUNCTION("""COMPUTED_VALUE"""),0.0863)</f>
        <v>0.0863</v>
      </c>
      <c r="S22" s="42"/>
      <c r="T22" s="42"/>
      <c r="U22" s="35"/>
      <c r="V22" s="42" t="str">
        <f>IFERROR(__xludf.DUMMYFUNCTION("""COMPUTED_VALUE"""),"offline")</f>
        <v>offline</v>
      </c>
      <c r="W22" s="42" t="str">
        <f>IFERROR(__xludf.DUMMYFUNCTION("""COMPUTED_VALUE"""),"simple")</f>
        <v>simple</v>
      </c>
      <c r="X22" s="42" t="str">
        <f>IFERROR(__xludf.DUMMYFUNCTION("""COMPUTED_VALUE"""),"Repeat")</f>
        <v>Repeat</v>
      </c>
      <c r="Y22" s="42" t="str">
        <f>IFERROR(__xludf.DUMMYFUNCTION("""COMPUTED_VALUE"""),"2nd Mar")</f>
        <v>2nd Mar</v>
      </c>
      <c r="Z22" s="42" t="str">
        <f>IFERROR(__xludf.DUMMYFUNCTION("""COMPUTED_VALUE"""),"699ef047f1a01808f9c837f0")</f>
        <v>699ef047f1a01808f9c837f0</v>
      </c>
      <c r="AA22" s="35">
        <f>IFERROR(__xludf.DUMMYFUNCTION("""COMPUTED_VALUE"""),173.0)</f>
        <v>173</v>
      </c>
      <c r="AB22" s="35"/>
      <c r="AC22" s="35">
        <f>IFERROR(__xludf.DUMMYFUNCTION("""COMPUTED_VALUE"""),173.0)</f>
        <v>173</v>
      </c>
      <c r="AD22" s="35">
        <f>IFERROR(__xludf.DUMMYFUNCTION("""COMPUTED_VALUE"""),482869.0)</f>
        <v>482869</v>
      </c>
      <c r="AE22" s="35"/>
      <c r="AF22" s="35">
        <f>IFERROR(__xludf.DUMMYFUNCTION("""COMPUTED_VALUE"""),482869.0)</f>
        <v>482869</v>
      </c>
      <c r="AG22" s="282"/>
      <c r="AH22" s="282"/>
      <c r="AI22" s="282"/>
      <c r="AJ22" s="303"/>
      <c r="AK22" s="303"/>
      <c r="AL22" s="303"/>
      <c r="AM22" s="282"/>
      <c r="AN22" s="282"/>
      <c r="AO22" s="282"/>
      <c r="AP22" s="282"/>
      <c r="AQ22" s="282"/>
      <c r="AR22" s="282"/>
      <c r="AS22" s="282"/>
      <c r="AT22" s="282"/>
      <c r="AU22" s="282"/>
      <c r="AV22" s="282"/>
      <c r="AW22" s="282"/>
      <c r="AX22" s="282"/>
      <c r="AY22" s="282"/>
      <c r="AZ22" s="282"/>
    </row>
    <row r="23">
      <c r="A23" s="209">
        <f>IFERROR(__xludf.DUMMYFUNCTION("""COMPUTED_VALUE"""),46079.0)</f>
        <v>46079</v>
      </c>
      <c r="B23" s="210">
        <f>IFERROR(__xludf.DUMMYFUNCTION("""COMPUTED_VALUE"""),0.6666666666678793)</f>
        <v>0.6666666667</v>
      </c>
      <c r="C23" s="211" t="str">
        <f>IFERROR(__xludf.DUMMYFUNCTION("""COMPUTED_VALUE"""),"Whatsapp")</f>
        <v>Whatsapp</v>
      </c>
      <c r="D23" s="211" t="str">
        <f>IFERROR(__xludf.DUMMYFUNCTION("""COMPUTED_VALUE"""),"Promotional")</f>
        <v>Promotional</v>
      </c>
      <c r="E23" s="211" t="str">
        <f>IFERROR(__xludf.DUMMYFUNCTION("""COMPUTED_VALUE"""),"R&amp;B")</f>
        <v>R&amp;B</v>
      </c>
      <c r="F23" s="211" t="str">
        <f>IFERROR(__xludf.DUMMYFUNCTION("""COMPUTED_VALUE"""),"Ramzan")</f>
        <v>Ramzan</v>
      </c>
      <c r="G23" s="218" t="str">
        <f>IFERROR(__xludf.DUMMYFUNCTION("""COMPUTED_VALUE"""),"Normal_Eid Repeat")</f>
        <v>Normal_Eid Repeat</v>
      </c>
      <c r="H23" s="218" t="str">
        <f>IFERROR(__xludf.DUMMYFUNCTION("""COMPUTED_VALUE"""),"Eid25_Repeat_Buy_NR")</f>
        <v>Eid25_Repeat_Buy_NR</v>
      </c>
      <c r="I23" s="28" t="str">
        <f>IFERROR(__xludf.DUMMYFUNCTION("""COMPUTED_VALUE"""),"Customers who have shopped during last Eid (1st March'25 and 31st March'25) and have shopped again with R&amp;B from Txn_Store_Code :- RB023,RB011,RB018,RB012,RB015,RB003,1302,1282,1250,RB019,1299,1305,1297,RB026,1298,1258,1300,RB013")</f>
        <v>Customers who have shopped during last Eid (1st March'25 and 31st March'25) and have shopped again with R&amp;B from Txn_Store_Code :- RB023,RB011,RB018,RB012,RB015,RB003,1302,1282,1250,RB019,1299,1305,1297,RB026,1298,1258,1300,RB013</v>
      </c>
      <c r="J23" s="213">
        <f>IFERROR(__xludf.DUMMYFUNCTION("""COMPUTED_VALUE"""),4103.0)</f>
        <v>4103</v>
      </c>
      <c r="K23" s="213">
        <f>IFERROR(__xludf.DUMMYFUNCTION("""COMPUTED_VALUE"""),1981.0)</f>
        <v>1981</v>
      </c>
      <c r="L23" s="214">
        <f>IFERROR(__xludf.DUMMYFUNCTION("""COMPUTED_VALUE"""),0.4828)</f>
        <v>0.4828</v>
      </c>
      <c r="M23" s="213">
        <f>IFERROR(__xludf.DUMMYFUNCTION("""COMPUTED_VALUE"""),1361.0)</f>
        <v>1361</v>
      </c>
      <c r="N23" s="214">
        <f>IFERROR(__xludf.DUMMYFUNCTION("""COMPUTED_VALUE"""),0.687)</f>
        <v>0.687</v>
      </c>
      <c r="O23" s="101">
        <f>IFERROR(__xludf.DUMMYFUNCTION("""COMPUTED_VALUE"""),99.0)</f>
        <v>99</v>
      </c>
      <c r="P23" s="101">
        <f>IFERROR(__xludf.DUMMYFUNCTION("""COMPUTED_VALUE"""),94.0)</f>
        <v>94</v>
      </c>
      <c r="Q23" s="214">
        <f>IFERROR(__xludf.DUMMYFUNCTION("""COMPUTED_VALUE"""),0.0475)</f>
        <v>0.0475</v>
      </c>
      <c r="R23" s="214">
        <f>IFERROR(__xludf.DUMMYFUNCTION("""COMPUTED_VALUE"""),0.0691)</f>
        <v>0.0691</v>
      </c>
      <c r="S23" s="218"/>
      <c r="T23" s="218"/>
      <c r="U23" s="270"/>
      <c r="V23" s="101" t="str">
        <f>IFERROR(__xludf.DUMMYFUNCTION("""COMPUTED_VALUE"""),"offline")</f>
        <v>offline</v>
      </c>
      <c r="W23" s="101" t="str">
        <f>IFERROR(__xludf.DUMMYFUNCTION("""COMPUTED_VALUE"""),"simple")</f>
        <v>simple</v>
      </c>
      <c r="X23" s="101" t="str">
        <f>IFERROR(__xludf.DUMMYFUNCTION("""COMPUTED_VALUE"""),"Event Buyers and shopped again")</f>
        <v>Event Buyers and shopped again</v>
      </c>
      <c r="Y23" s="101" t="str">
        <f>IFERROR(__xludf.DUMMYFUNCTION("""COMPUTED_VALUE"""),"2nd Mar")</f>
        <v>2nd Mar</v>
      </c>
      <c r="Z23" s="101" t="str">
        <f>IFERROR(__xludf.DUMMYFUNCTION("""COMPUTED_VALUE"""),"699ef0c605da247e05ce448f")</f>
        <v>699ef0c605da247e05ce448f</v>
      </c>
      <c r="AA23" s="213">
        <f>IFERROR(__xludf.DUMMYFUNCTION("""COMPUTED_VALUE"""),41.0)</f>
        <v>41</v>
      </c>
      <c r="AB23" s="213"/>
      <c r="AC23" s="213">
        <f>IFERROR(__xludf.DUMMYFUNCTION("""COMPUTED_VALUE"""),41.0)</f>
        <v>41</v>
      </c>
      <c r="AD23" s="213">
        <f>IFERROR(__xludf.DUMMYFUNCTION("""COMPUTED_VALUE"""),91354.0)</f>
        <v>91354</v>
      </c>
      <c r="AE23" s="213"/>
      <c r="AF23" s="213">
        <f>IFERROR(__xludf.DUMMYFUNCTION("""COMPUTED_VALUE"""),91354.0)</f>
        <v>91354</v>
      </c>
      <c r="AG23" s="282"/>
      <c r="AH23" s="282"/>
      <c r="AI23" s="282"/>
      <c r="AJ23" s="303"/>
      <c r="AK23" s="303"/>
      <c r="AL23" s="303"/>
      <c r="AM23" s="282"/>
      <c r="AN23" s="282"/>
      <c r="AO23" s="282"/>
      <c r="AP23" s="282"/>
      <c r="AQ23" s="282"/>
      <c r="AR23" s="282"/>
      <c r="AS23" s="282"/>
      <c r="AT23" s="282"/>
      <c r="AU23" s="282"/>
      <c r="AV23" s="282"/>
      <c r="AW23" s="282"/>
      <c r="AX23" s="282"/>
      <c r="AY23" s="282"/>
      <c r="AZ23" s="282"/>
    </row>
    <row r="24">
      <c r="A24" s="209">
        <f>IFERROR(__xludf.DUMMYFUNCTION("""COMPUTED_VALUE"""),46079.0)</f>
        <v>46079</v>
      </c>
      <c r="B24" s="210">
        <f>IFERROR(__xludf.DUMMYFUNCTION("""COMPUTED_VALUE"""),0.6666666666678793)</f>
        <v>0.6666666667</v>
      </c>
      <c r="C24" s="211" t="str">
        <f>IFERROR(__xludf.DUMMYFUNCTION("""COMPUTED_VALUE"""),"Rcs")</f>
        <v>Rcs</v>
      </c>
      <c r="D24" s="211" t="str">
        <f>IFERROR(__xludf.DUMMYFUNCTION("""COMPUTED_VALUE"""),"Promotional")</f>
        <v>Promotional</v>
      </c>
      <c r="E24" s="211" t="str">
        <f>IFERROR(__xludf.DUMMYFUNCTION("""COMPUTED_VALUE"""),"R&amp;B")</f>
        <v>R&amp;B</v>
      </c>
      <c r="F24" s="211" t="str">
        <f>IFERROR(__xludf.DUMMYFUNCTION("""COMPUTED_VALUE"""),"Ramzan")</f>
        <v>Ramzan</v>
      </c>
      <c r="G24" s="218" t="str">
        <f>IFERROR(__xludf.DUMMYFUNCTION("""COMPUTED_VALUE"""),"Ramzan_Once")</f>
        <v>Ramzan_Once</v>
      </c>
      <c r="H24" s="218" t="str">
        <f>IFERROR(__xludf.DUMMYFUNCTION("""COMPUTED_VALUE"""),"1Time_Buyer_6M_RMZ")</f>
        <v>1Time_Buyer_6M_RMZ</v>
      </c>
      <c r="I24" s="28" t="str">
        <f>IFERROR(__xludf.DUMMYFUNCTION("""COMPUTED_VALUE"""),"Customers who have shopped just once in the last 6 months from Txn_Store_Code :- RB002,RB014,RB017,RB004,RB024,RB007,RB006,RB005,RB001,1286,RB008,RB016,RB010,RB020,RB021,RB022,1283,1284,1296,RB025,1281,RB009
")</f>
        <v>Customers who have shopped just once in the last 6 months from Txn_Store_Code :- RB002,RB014,RB017,RB004,RB024,RB007,RB006,RB005,RB001,1286,RB008,RB016,RB010,RB020,RB021,RB022,1283,1284,1296,RB025,1281,RB009
</v>
      </c>
      <c r="J24" s="213">
        <f>IFERROR(__xludf.DUMMYFUNCTION("""COMPUTED_VALUE"""),187766.0)</f>
        <v>187766</v>
      </c>
      <c r="K24" s="213">
        <f>IFERROR(__xludf.DUMMYFUNCTION("""COMPUTED_VALUE"""),98725.0)</f>
        <v>98725</v>
      </c>
      <c r="L24" s="214">
        <f>IFERROR(__xludf.DUMMYFUNCTION("""COMPUTED_VALUE"""),0.5258)</f>
        <v>0.5258</v>
      </c>
      <c r="M24" s="213">
        <f>IFERROR(__xludf.DUMMYFUNCTION("""COMPUTED_VALUE"""),14667.0)</f>
        <v>14667</v>
      </c>
      <c r="N24" s="214">
        <f>IFERROR(__xludf.DUMMYFUNCTION("""COMPUTED_VALUE"""),0.149)</f>
        <v>0.149</v>
      </c>
      <c r="O24" s="101"/>
      <c r="P24" s="101"/>
      <c r="Q24" s="214"/>
      <c r="R24" s="214"/>
      <c r="S24" s="218"/>
      <c r="T24" s="218"/>
      <c r="U24" s="270"/>
      <c r="V24" s="101" t="str">
        <f>IFERROR(__xludf.DUMMYFUNCTION("""COMPUTED_VALUE"""),"offline")</f>
        <v>offline</v>
      </c>
      <c r="W24" s="101" t="str">
        <f>IFERROR(__xludf.DUMMYFUNCTION("""COMPUTED_VALUE"""),"RCS")</f>
        <v>RCS</v>
      </c>
      <c r="X24" s="101" t="str">
        <f>IFERROR(__xludf.DUMMYFUNCTION("""COMPUTED_VALUE"""),"New")</f>
        <v>New</v>
      </c>
      <c r="Y24" s="101" t="str">
        <f>IFERROR(__xludf.DUMMYFUNCTION("""COMPUTED_VALUE"""),"2nd Mar")</f>
        <v>2nd Mar</v>
      </c>
      <c r="Z24" s="101" t="str">
        <f>IFERROR(__xludf.DUMMYFUNCTION("""COMPUTED_VALUE"""),"699eee6ad8ebb7a68377506c")</f>
        <v>699eee6ad8ebb7a68377506c</v>
      </c>
      <c r="AA24" s="213">
        <f>IFERROR(__xludf.DUMMYFUNCTION("""COMPUTED_VALUE"""),425.0)</f>
        <v>425</v>
      </c>
      <c r="AB24" s="213"/>
      <c r="AC24" s="213">
        <f>IFERROR(__xludf.DUMMYFUNCTION("""COMPUTED_VALUE"""),425.0)</f>
        <v>425</v>
      </c>
      <c r="AD24" s="213">
        <f>IFERROR(__xludf.DUMMYFUNCTION("""COMPUTED_VALUE"""),1048534.0)</f>
        <v>1048534</v>
      </c>
      <c r="AE24" s="213"/>
      <c r="AF24" s="213">
        <f>IFERROR(__xludf.DUMMYFUNCTION("""COMPUTED_VALUE"""),1048534.0)</f>
        <v>1048534</v>
      </c>
      <c r="AG24" s="282"/>
      <c r="AH24" s="282"/>
      <c r="AI24" s="282"/>
      <c r="AJ24" s="303"/>
      <c r="AK24" s="303"/>
      <c r="AL24" s="303"/>
      <c r="AM24" s="282"/>
      <c r="AN24" s="282"/>
      <c r="AO24" s="282"/>
      <c r="AP24" s="282"/>
      <c r="AQ24" s="282"/>
      <c r="AR24" s="282"/>
      <c r="AS24" s="282"/>
      <c r="AT24" s="282"/>
      <c r="AU24" s="282"/>
      <c r="AV24" s="282"/>
      <c r="AW24" s="282"/>
      <c r="AX24" s="282"/>
      <c r="AY24" s="282"/>
      <c r="AZ24" s="282"/>
    </row>
    <row r="25">
      <c r="A25" s="209">
        <f>IFERROR(__xludf.DUMMYFUNCTION("""COMPUTED_VALUE"""),46079.0)</f>
        <v>46079</v>
      </c>
      <c r="B25" s="210">
        <f>IFERROR(__xludf.DUMMYFUNCTION("""COMPUTED_VALUE"""),0.6666666666678793)</f>
        <v>0.6666666667</v>
      </c>
      <c r="C25" s="211" t="str">
        <f>IFERROR(__xludf.DUMMYFUNCTION("""COMPUTED_VALUE"""),"Rcs")</f>
        <v>Rcs</v>
      </c>
      <c r="D25" s="211" t="str">
        <f>IFERROR(__xludf.DUMMYFUNCTION("""COMPUTED_VALUE"""),"Promotional")</f>
        <v>Promotional</v>
      </c>
      <c r="E25" s="211" t="str">
        <f>IFERROR(__xludf.DUMMYFUNCTION("""COMPUTED_VALUE"""),"R&amp;B")</f>
        <v>R&amp;B</v>
      </c>
      <c r="F25" s="211" t="str">
        <f>IFERROR(__xludf.DUMMYFUNCTION("""COMPUTED_VALUE"""),"Ramzan")</f>
        <v>Ramzan</v>
      </c>
      <c r="G25" s="218" t="str">
        <f>IFERROR(__xludf.DUMMYFUNCTION("""COMPUTED_VALUE"""),"Ramzaan_Festive1")</f>
        <v>Ramzaan_Festive1</v>
      </c>
      <c r="H25" s="218" t="str">
        <f>IFERROR(__xludf.DUMMYFUNCTION("""COMPUTED_VALUE"""),"Eid25_NoRepeat_RMZ")</f>
        <v>Eid25_NoRepeat_RMZ</v>
      </c>
      <c r="I25" s="28" t="str">
        <f>IFERROR(__xludf.DUMMYFUNCTION("""COMPUTED_VALUE"""),"Customers who have shopped during last Eid (1st March'25 and 31st March'25) and have not shopped again with R&amp;B RB002,RB014,RB017,RB004,RB024,RB007,RB006,RB005,RB001,1286,RB008,RB016,RB010,RB020,RB021,RB022,1283,1284,1296,RB025,1281,RB009
")</f>
        <v>Customers who have shopped during last Eid (1st March'25 and 31st March'25) and have not shopped again with R&amp;B RB002,RB014,RB017,RB004,RB024,RB007,RB006,RB005,RB001,1286,RB008,RB016,RB010,RB020,RB021,RB022,1283,1284,1296,RB025,1281,RB009
</v>
      </c>
      <c r="J25" s="213">
        <f>IFERROR(__xludf.DUMMYFUNCTION("""COMPUTED_VALUE"""),31498.0)</f>
        <v>31498</v>
      </c>
      <c r="K25" s="213">
        <f>IFERROR(__xludf.DUMMYFUNCTION("""COMPUTED_VALUE"""),15621.0)</f>
        <v>15621</v>
      </c>
      <c r="L25" s="214">
        <f>IFERROR(__xludf.DUMMYFUNCTION("""COMPUTED_VALUE"""),0.4959)</f>
        <v>0.4959</v>
      </c>
      <c r="M25" s="213">
        <f>IFERROR(__xludf.DUMMYFUNCTION("""COMPUTED_VALUE"""),2116.0)</f>
        <v>2116</v>
      </c>
      <c r="N25" s="214">
        <f>IFERROR(__xludf.DUMMYFUNCTION("""COMPUTED_VALUE"""),0.136)</f>
        <v>0.136</v>
      </c>
      <c r="O25" s="101"/>
      <c r="P25" s="101"/>
      <c r="Q25" s="214"/>
      <c r="R25" s="214"/>
      <c r="S25" s="218"/>
      <c r="T25" s="218"/>
      <c r="U25" s="270"/>
      <c r="V25" s="101" t="str">
        <f>IFERROR(__xludf.DUMMYFUNCTION("""COMPUTED_VALUE"""),"offline")</f>
        <v>offline</v>
      </c>
      <c r="W25" s="101" t="str">
        <f>IFERROR(__xludf.DUMMYFUNCTION("""COMPUTED_VALUE"""),"RCS")</f>
        <v>RCS</v>
      </c>
      <c r="X25" s="101" t="str">
        <f>IFERROR(__xludf.DUMMYFUNCTION("""COMPUTED_VALUE"""),"Event Buyers and not shopped again")</f>
        <v>Event Buyers and not shopped again</v>
      </c>
      <c r="Y25" s="101" t="str">
        <f>IFERROR(__xludf.DUMMYFUNCTION("""COMPUTED_VALUE"""),"2nd Mar")</f>
        <v>2nd Mar</v>
      </c>
      <c r="Z25" s="101" t="str">
        <f>IFERROR(__xludf.DUMMYFUNCTION("""COMPUTED_VALUE"""),"699eeebaab2c334a06e776c2")</f>
        <v>699eeebaab2c334a06e776c2</v>
      </c>
      <c r="AA25" s="213">
        <f>IFERROR(__xludf.DUMMYFUNCTION("""COMPUTED_VALUE"""),60.0)</f>
        <v>60</v>
      </c>
      <c r="AB25" s="213"/>
      <c r="AC25" s="213">
        <f>IFERROR(__xludf.DUMMYFUNCTION("""COMPUTED_VALUE"""),60.0)</f>
        <v>60</v>
      </c>
      <c r="AD25" s="213">
        <f>IFERROR(__xludf.DUMMYFUNCTION("""COMPUTED_VALUE"""),172126.0)</f>
        <v>172126</v>
      </c>
      <c r="AE25" s="213"/>
      <c r="AF25" s="213">
        <f>IFERROR(__xludf.DUMMYFUNCTION("""COMPUTED_VALUE"""),172126.0)</f>
        <v>172126</v>
      </c>
      <c r="AG25" s="282"/>
      <c r="AH25" s="282"/>
      <c r="AI25" s="282"/>
      <c r="AJ25" s="303"/>
      <c r="AK25" s="303"/>
      <c r="AL25" s="303"/>
      <c r="AM25" s="282"/>
      <c r="AN25" s="282"/>
      <c r="AO25" s="282"/>
      <c r="AP25" s="282"/>
      <c r="AQ25" s="282"/>
      <c r="AR25" s="282"/>
      <c r="AS25" s="282"/>
      <c r="AT25" s="282"/>
      <c r="AU25" s="282"/>
      <c r="AV25" s="282"/>
      <c r="AW25" s="282"/>
      <c r="AX25" s="282"/>
      <c r="AY25" s="282"/>
      <c r="AZ25" s="282"/>
    </row>
    <row r="26">
      <c r="A26" s="209">
        <f>IFERROR(__xludf.DUMMYFUNCTION("""COMPUTED_VALUE"""),46079.0)</f>
        <v>46079</v>
      </c>
      <c r="B26" s="210">
        <f>IFERROR(__xludf.DUMMYFUNCTION("""COMPUTED_VALUE"""),0.6666666666678793)</f>
        <v>0.6666666667</v>
      </c>
      <c r="C26" s="211" t="str">
        <f>IFERROR(__xludf.DUMMYFUNCTION("""COMPUTED_VALUE"""),"Rcs")</f>
        <v>Rcs</v>
      </c>
      <c r="D26" s="211" t="str">
        <f>IFERROR(__xludf.DUMMYFUNCTION("""COMPUTED_VALUE"""),"Promotional")</f>
        <v>Promotional</v>
      </c>
      <c r="E26" s="211" t="str">
        <f>IFERROR(__xludf.DUMMYFUNCTION("""COMPUTED_VALUE"""),"R&amp;B")</f>
        <v>R&amp;B</v>
      </c>
      <c r="F26" s="211" t="str">
        <f>IFERROR(__xludf.DUMMYFUNCTION("""COMPUTED_VALUE"""),"Ramzan")</f>
        <v>Ramzan</v>
      </c>
      <c r="G26" s="218" t="str">
        <f>IFERROR(__xludf.DUMMYFUNCTION("""COMPUTED_VALUE"""),"Normal_Once")</f>
        <v>Normal_Once</v>
      </c>
      <c r="H26" s="218" t="str">
        <f>IFERROR(__xludf.DUMMYFUNCTION("""COMPUTED_VALUE"""),"1Time_Buy_6M_NR")</f>
        <v>1Time_Buy_6M_NR</v>
      </c>
      <c r="I26" s="28" t="str">
        <f>IFERROR(__xludf.DUMMYFUNCTION("""COMPUTED_VALUE"""),"Customers who have shopped just once in the last 6 months from Txn_Store_Code :- RB023,RB011,RB018,RB012,RB015,RB003,1302,1282,1250,RB019,1299,1305,1297,RB026,1298,1258,1300,RB013")</f>
        <v>Customers who have shopped just once in the last 6 months from Txn_Store_Code :- RB023,RB011,RB018,RB012,RB015,RB003,1302,1282,1250,RB019,1299,1305,1297,RB026,1298,1258,1300,RB013</v>
      </c>
      <c r="J26" s="213">
        <f>IFERROR(__xludf.DUMMYFUNCTION("""COMPUTED_VALUE"""),93229.0)</f>
        <v>93229</v>
      </c>
      <c r="K26" s="213">
        <f>IFERROR(__xludf.DUMMYFUNCTION("""COMPUTED_VALUE"""),50476.0)</f>
        <v>50476</v>
      </c>
      <c r="L26" s="214">
        <f>IFERROR(__xludf.DUMMYFUNCTION("""COMPUTED_VALUE"""),0.5414)</f>
        <v>0.5414</v>
      </c>
      <c r="M26" s="213">
        <f>IFERROR(__xludf.DUMMYFUNCTION("""COMPUTED_VALUE"""),8547.0)</f>
        <v>8547</v>
      </c>
      <c r="N26" s="214">
        <f>IFERROR(__xludf.DUMMYFUNCTION("""COMPUTED_VALUE"""),0.169)</f>
        <v>0.169</v>
      </c>
      <c r="O26" s="101"/>
      <c r="P26" s="101"/>
      <c r="Q26" s="214"/>
      <c r="R26" s="214"/>
      <c r="S26" s="218"/>
      <c r="T26" s="218"/>
      <c r="U26" s="270"/>
      <c r="V26" s="101" t="str">
        <f>IFERROR(__xludf.DUMMYFUNCTION("""COMPUTED_VALUE"""),"offline")</f>
        <v>offline</v>
      </c>
      <c r="W26" s="101" t="str">
        <f>IFERROR(__xludf.DUMMYFUNCTION("""COMPUTED_VALUE"""),"RCS")</f>
        <v>RCS</v>
      </c>
      <c r="X26" s="101" t="str">
        <f>IFERROR(__xludf.DUMMYFUNCTION("""COMPUTED_VALUE"""),"New")</f>
        <v>New</v>
      </c>
      <c r="Y26" s="101" t="str">
        <f>IFERROR(__xludf.DUMMYFUNCTION("""COMPUTED_VALUE"""),"2nd Mar")</f>
        <v>2nd Mar</v>
      </c>
      <c r="Z26" s="101" t="str">
        <f>IFERROR(__xludf.DUMMYFUNCTION("""COMPUTED_VALUE"""),"699eeefcbaf6eb5d97258bbf")</f>
        <v>699eeefcbaf6eb5d97258bbf</v>
      </c>
      <c r="AA26" s="213">
        <f>IFERROR(__xludf.DUMMYFUNCTION("""COMPUTED_VALUE"""),236.0)</f>
        <v>236</v>
      </c>
      <c r="AB26" s="213"/>
      <c r="AC26" s="213">
        <f>IFERROR(__xludf.DUMMYFUNCTION("""COMPUTED_VALUE"""),236.0)</f>
        <v>236</v>
      </c>
      <c r="AD26" s="213">
        <f>IFERROR(__xludf.DUMMYFUNCTION("""COMPUTED_VALUE"""),545867.0)</f>
        <v>545867</v>
      </c>
      <c r="AE26" s="213"/>
      <c r="AF26" s="213">
        <f>IFERROR(__xludf.DUMMYFUNCTION("""COMPUTED_VALUE"""),545867.0)</f>
        <v>545867</v>
      </c>
      <c r="AG26" s="282"/>
      <c r="AH26" s="282"/>
      <c r="AI26" s="282"/>
      <c r="AJ26" s="303"/>
      <c r="AK26" s="303"/>
      <c r="AL26" s="303"/>
      <c r="AM26" s="282"/>
      <c r="AN26" s="282"/>
      <c r="AO26" s="282"/>
      <c r="AP26" s="282"/>
      <c r="AQ26" s="282"/>
      <c r="AR26" s="282"/>
      <c r="AS26" s="282"/>
      <c r="AT26" s="282"/>
      <c r="AU26" s="282"/>
      <c r="AV26" s="282"/>
      <c r="AW26" s="282"/>
      <c r="AX26" s="282"/>
      <c r="AY26" s="282"/>
      <c r="AZ26" s="282"/>
    </row>
    <row r="27">
      <c r="A27" s="209">
        <f>IFERROR(__xludf.DUMMYFUNCTION("""COMPUTED_VALUE"""),46079.0)</f>
        <v>46079</v>
      </c>
      <c r="B27" s="210">
        <f>IFERROR(__xludf.DUMMYFUNCTION("""COMPUTED_VALUE"""),0.6666666666678793)</f>
        <v>0.6666666667</v>
      </c>
      <c r="C27" s="211" t="str">
        <f>IFERROR(__xludf.DUMMYFUNCTION("""COMPUTED_VALUE"""),"Rcs")</f>
        <v>Rcs</v>
      </c>
      <c r="D27" s="211" t="str">
        <f>IFERROR(__xludf.DUMMYFUNCTION("""COMPUTED_VALUE"""),"Promotional")</f>
        <v>Promotional</v>
      </c>
      <c r="E27" s="211" t="str">
        <f>IFERROR(__xludf.DUMMYFUNCTION("""COMPUTED_VALUE"""),"R&amp;B")</f>
        <v>R&amp;B</v>
      </c>
      <c r="F27" s="211" t="str">
        <f>IFERROR(__xludf.DUMMYFUNCTION("""COMPUTED_VALUE"""),"Ramzan")</f>
        <v>Ramzan</v>
      </c>
      <c r="G27" s="218" t="str">
        <f>IFERROR(__xludf.DUMMYFUNCTION("""COMPUTED_VALUE"""),"Normal_Festive1")</f>
        <v>Normal_Festive1</v>
      </c>
      <c r="H27" s="218" t="str">
        <f>IFERROR(__xludf.DUMMYFUNCTION("""COMPUTED_VALUE"""),"Eid25_NoRepeat_NR")</f>
        <v>Eid25_NoRepeat_NR</v>
      </c>
      <c r="I27" s="211" t="str">
        <f>IFERROR(__xludf.DUMMYFUNCTION("""COMPUTED_VALUE"""),"Customers who have shopped during last Eid (1st March'25 and 31st March'25) and have not shopped again with R&amp;B from Txn_Store_Code :- RB023,RB011,RB018,RB012,RB015,RB003,1302,1282,1250,RB019,1299,1305,1297,RB026,1298,1258,1300,RB013")</f>
        <v>Customers who have shopped during last Eid (1st March'25 and 31st March'25) and have not shopped again with R&amp;B from Txn_Store_Code :- RB023,RB011,RB018,RB012,RB015,RB003,1302,1282,1250,RB019,1299,1305,1297,RB026,1298,1258,1300,RB013</v>
      </c>
      <c r="J27" s="213">
        <f>IFERROR(__xludf.DUMMYFUNCTION("""COMPUTED_VALUE"""),10736.0)</f>
        <v>10736</v>
      </c>
      <c r="K27" s="213">
        <f>IFERROR(__xludf.DUMMYFUNCTION("""COMPUTED_VALUE"""),5473.0)</f>
        <v>5473</v>
      </c>
      <c r="L27" s="214">
        <f>IFERROR(__xludf.DUMMYFUNCTION("""COMPUTED_VALUE"""),0.5098)</f>
        <v>0.5098</v>
      </c>
      <c r="M27" s="213">
        <f>IFERROR(__xludf.DUMMYFUNCTION("""COMPUTED_VALUE"""),873.0)</f>
        <v>873</v>
      </c>
      <c r="N27" s="214">
        <f>IFERROR(__xludf.DUMMYFUNCTION("""COMPUTED_VALUE"""),0.159)</f>
        <v>0.159</v>
      </c>
      <c r="O27" s="101"/>
      <c r="P27" s="101"/>
      <c r="Q27" s="214"/>
      <c r="R27" s="214"/>
      <c r="S27" s="101"/>
      <c r="T27" s="218"/>
      <c r="U27" s="270"/>
      <c r="V27" s="101" t="str">
        <f>IFERROR(__xludf.DUMMYFUNCTION("""COMPUTED_VALUE"""),"offline")</f>
        <v>offline</v>
      </c>
      <c r="W27" s="101" t="str">
        <f>IFERROR(__xludf.DUMMYFUNCTION("""COMPUTED_VALUE"""),"RCS")</f>
        <v>RCS</v>
      </c>
      <c r="X27" s="101" t="str">
        <f>IFERROR(__xludf.DUMMYFUNCTION("""COMPUTED_VALUE"""),"Event Buyers and not shopped again")</f>
        <v>Event Buyers and not shopped again</v>
      </c>
      <c r="Y27" s="101" t="str">
        <f>IFERROR(__xludf.DUMMYFUNCTION("""COMPUTED_VALUE"""),"2nd Mar")</f>
        <v>2nd Mar</v>
      </c>
      <c r="Z27" s="101" t="str">
        <f>IFERROR(__xludf.DUMMYFUNCTION("""COMPUTED_VALUE"""),"699eef49d3f14aa637bca8de")</f>
        <v>699eef49d3f14aa637bca8de</v>
      </c>
      <c r="AA27" s="213">
        <f>IFERROR(__xludf.DUMMYFUNCTION("""COMPUTED_VALUE"""),11.0)</f>
        <v>11</v>
      </c>
      <c r="AB27" s="213"/>
      <c r="AC27" s="213">
        <f>IFERROR(__xludf.DUMMYFUNCTION("""COMPUTED_VALUE"""),11.0)</f>
        <v>11</v>
      </c>
      <c r="AD27" s="213">
        <f>IFERROR(__xludf.DUMMYFUNCTION("""COMPUTED_VALUE"""),18179.0)</f>
        <v>18179</v>
      </c>
      <c r="AE27" s="213"/>
      <c r="AF27" s="213">
        <f>IFERROR(__xludf.DUMMYFUNCTION("""COMPUTED_VALUE"""),18179.0)</f>
        <v>18179</v>
      </c>
      <c r="AG27" s="282"/>
      <c r="AH27" s="282"/>
      <c r="AI27" s="282"/>
      <c r="AJ27" s="303"/>
      <c r="AK27" s="303"/>
      <c r="AL27" s="303"/>
      <c r="AM27" s="282"/>
      <c r="AN27" s="282"/>
      <c r="AO27" s="282"/>
      <c r="AP27" s="282"/>
      <c r="AQ27" s="282"/>
      <c r="AR27" s="282"/>
      <c r="AS27" s="282"/>
      <c r="AT27" s="282"/>
      <c r="AU27" s="282"/>
      <c r="AV27" s="282"/>
      <c r="AW27" s="282"/>
      <c r="AX27" s="282"/>
      <c r="AY27" s="282"/>
      <c r="AZ27" s="282"/>
    </row>
    <row r="28">
      <c r="A28" s="209">
        <f>IFERROR(__xludf.DUMMYFUNCTION("""COMPUTED_VALUE"""),46079.0)</f>
        <v>46079</v>
      </c>
      <c r="B28" s="210">
        <f>IFERROR(__xludf.DUMMYFUNCTION("""COMPUTED_VALUE"""),0.75)</f>
        <v>0.75</v>
      </c>
      <c r="C28" s="211" t="str">
        <f>IFERROR(__xludf.DUMMYFUNCTION("""COMPUTED_VALUE"""),"Sms")</f>
        <v>Sms</v>
      </c>
      <c r="D28" s="211" t="str">
        <f>IFERROR(__xludf.DUMMYFUNCTION("""COMPUTED_VALUE"""),"Fallback Campaign")</f>
        <v>Fallback Campaign</v>
      </c>
      <c r="E28" s="211" t="str">
        <f>IFERROR(__xludf.DUMMYFUNCTION("""COMPUTED_VALUE"""),"R&amp;B")</f>
        <v>R&amp;B</v>
      </c>
      <c r="F28" s="211" t="str">
        <f>IFERROR(__xludf.DUMMYFUNCTION("""COMPUTED_VALUE"""),"Ramzan")</f>
        <v>Ramzan</v>
      </c>
      <c r="G28" s="218" t="str">
        <f>IFERROR(__xludf.DUMMYFUNCTION("""COMPUTED_VALUE"""),"Normal_2 Times, Normal_Eid Repeat, Normal_Once, Normal_Festive1- Fallback")</f>
        <v>Normal_2 Times, Normal_Eid Repeat, Normal_Once, Normal_Festive1- Fallback</v>
      </c>
      <c r="H28" s="218" t="str">
        <f>IFERROR(__xludf.DUMMYFUNCTION("""COMPUTED_VALUE"""),"2Time_Buy_6M_NR,Eid25_Repeat_Buy_NR,1Time_Buy_6M_NR,Eid25_NoRepeat_NR")</f>
        <v>2Time_Buy_6M_NR,Eid25_Repeat_Buy_NR,1Time_Buy_6M_NR,Eid25_NoRepeat_NR</v>
      </c>
      <c r="I28" s="211" t="str">
        <f>IFERROR(__xludf.DUMMYFUNCTION("""COMPUTED_VALUE"""),"WA &amp; RCS Undelivered")</f>
        <v>WA &amp; RCS Undelivered</v>
      </c>
      <c r="J28" s="213">
        <f>IFERROR(__xludf.DUMMYFUNCTION("""COMPUTED_VALUE"""),59388.0)</f>
        <v>59388</v>
      </c>
      <c r="K28" s="213">
        <f>IFERROR(__xludf.DUMMYFUNCTION("""COMPUTED_VALUE"""),38476.0)</f>
        <v>38476</v>
      </c>
      <c r="L28" s="214">
        <f>IFERROR(__xludf.DUMMYFUNCTION("""COMPUTED_VALUE"""),0.6479)</f>
        <v>0.6479</v>
      </c>
      <c r="M28" s="213"/>
      <c r="N28" s="214"/>
      <c r="O28" s="101">
        <f>IFERROR(__xludf.DUMMYFUNCTION("""COMPUTED_VALUE"""),99.0)</f>
        <v>99</v>
      </c>
      <c r="P28" s="101"/>
      <c r="Q28" s="214">
        <f>IFERROR(__xludf.DUMMYFUNCTION("""COMPUTED_VALUE"""),0.0026)</f>
        <v>0.0026</v>
      </c>
      <c r="R28" s="214"/>
      <c r="S28" s="101"/>
      <c r="T28" s="218"/>
      <c r="U28" s="270"/>
      <c r="V28" s="101" t="str">
        <f>IFERROR(__xludf.DUMMYFUNCTION("""COMPUTED_VALUE"""),"offline")</f>
        <v>offline</v>
      </c>
      <c r="W28" s="101" t="str">
        <f>IFERROR(__xludf.DUMMYFUNCTION("""COMPUTED_VALUE"""),"SMS")</f>
        <v>SMS</v>
      </c>
      <c r="X28" s="101" t="str">
        <f>IFERROR(__xludf.DUMMYFUNCTION("""COMPUTED_VALUE"""),"-")</f>
        <v>-</v>
      </c>
      <c r="Y28" s="101" t="str">
        <f>IFERROR(__xludf.DUMMYFUNCTION("""COMPUTED_VALUE"""),"2nd Mar")</f>
        <v>2nd Mar</v>
      </c>
      <c r="Z28" s="101" t="str">
        <f>IFERROR(__xludf.DUMMYFUNCTION("""COMPUTED_VALUE"""),"699ef1b037b6af4c71733475")</f>
        <v>699ef1b037b6af4c71733475</v>
      </c>
      <c r="AA28" s="213">
        <f>IFERROR(__xludf.DUMMYFUNCTION("""COMPUTED_VALUE"""),251.0)</f>
        <v>251</v>
      </c>
      <c r="AB28" s="213"/>
      <c r="AC28" s="213">
        <f>IFERROR(__xludf.DUMMYFUNCTION("""COMPUTED_VALUE"""),251.0)</f>
        <v>251</v>
      </c>
      <c r="AD28" s="213">
        <f>IFERROR(__xludf.DUMMYFUNCTION("""COMPUTED_VALUE"""),630065.0)</f>
        <v>630065</v>
      </c>
      <c r="AE28" s="213"/>
      <c r="AF28" s="213">
        <f>IFERROR(__xludf.DUMMYFUNCTION("""COMPUTED_VALUE"""),630065.0)</f>
        <v>630065</v>
      </c>
      <c r="AG28" s="282"/>
      <c r="AH28" s="282"/>
      <c r="AI28" s="282"/>
      <c r="AJ28" s="303"/>
      <c r="AK28" s="303"/>
      <c r="AL28" s="303"/>
      <c r="AM28" s="282"/>
      <c r="AN28" s="282"/>
      <c r="AO28" s="282"/>
      <c r="AP28" s="282"/>
      <c r="AQ28" s="282"/>
      <c r="AR28" s="282"/>
      <c r="AS28" s="282"/>
      <c r="AT28" s="282"/>
      <c r="AU28" s="282"/>
      <c r="AV28" s="282"/>
      <c r="AW28" s="282"/>
      <c r="AX28" s="282"/>
      <c r="AY28" s="282"/>
      <c r="AZ28" s="282"/>
    </row>
    <row r="29">
      <c r="A29" s="209">
        <f>IFERROR(__xludf.DUMMYFUNCTION("""COMPUTED_VALUE"""),46079.0)</f>
        <v>46079</v>
      </c>
      <c r="B29" s="210">
        <f>IFERROR(__xludf.DUMMYFUNCTION("""COMPUTED_VALUE"""),0.75)</f>
        <v>0.75</v>
      </c>
      <c r="C29" s="211" t="str">
        <f>IFERROR(__xludf.DUMMYFUNCTION("""COMPUTED_VALUE"""),"Sms")</f>
        <v>Sms</v>
      </c>
      <c r="D29" s="211" t="str">
        <f>IFERROR(__xludf.DUMMYFUNCTION("""COMPUTED_VALUE"""),"Fallback Campaign")</f>
        <v>Fallback Campaign</v>
      </c>
      <c r="E29" s="211" t="str">
        <f>IFERROR(__xludf.DUMMYFUNCTION("""COMPUTED_VALUE"""),"R&amp;B")</f>
        <v>R&amp;B</v>
      </c>
      <c r="F29" s="211" t="str">
        <f>IFERROR(__xludf.DUMMYFUNCTION("""COMPUTED_VALUE"""),"Ramzan")</f>
        <v>Ramzan</v>
      </c>
      <c r="G29" s="211" t="str">
        <f>IFERROR(__xludf.DUMMYFUNCTION("""COMPUTED_VALUE"""),"Ramzan_2 Times, Ramzan_Eid Repeat, Ramzan_Once, Ramzaan_Festive1 - Fall back")</f>
        <v>Ramzan_2 Times, Ramzan_Eid Repeat, Ramzan_Once, Ramzaan_Festive1 - Fall back</v>
      </c>
      <c r="H29" s="211" t="str">
        <f>IFERROR(__xludf.DUMMYFUNCTION("""COMPUTED_VALUE"""),"2Time_Buy_6M_RMZ,Eid25_Repeat_Buy,1Time_Buyer_6M_RMZ,Eid25_NoRepeat_RMZ")</f>
        <v>2Time_Buy_6M_RMZ,Eid25_Repeat_Buy,1Time_Buyer_6M_RMZ,Eid25_NoRepeat_RMZ</v>
      </c>
      <c r="I29" s="211" t="str">
        <f>IFERROR(__xludf.DUMMYFUNCTION("""COMPUTED_VALUE"""),"WA &amp; RCS Undelivered")</f>
        <v>WA &amp; RCS Undelivered</v>
      </c>
      <c r="J29" s="213">
        <f>IFERROR(__xludf.DUMMYFUNCTION("""COMPUTED_VALUE"""),125121.0)</f>
        <v>125121</v>
      </c>
      <c r="K29" s="213">
        <f>IFERROR(__xludf.DUMMYFUNCTION("""COMPUTED_VALUE"""),82532.0)</f>
        <v>82532</v>
      </c>
      <c r="L29" s="214">
        <f>IFERROR(__xludf.DUMMYFUNCTION("""COMPUTED_VALUE"""),0.6596)</f>
        <v>0.6596</v>
      </c>
      <c r="M29" s="213"/>
      <c r="N29" s="214"/>
      <c r="O29" s="101">
        <f>IFERROR(__xludf.DUMMYFUNCTION("""COMPUTED_VALUE"""),127.0)</f>
        <v>127</v>
      </c>
      <c r="P29" s="101"/>
      <c r="Q29" s="214">
        <f>IFERROR(__xludf.DUMMYFUNCTION("""COMPUTED_VALUE"""),0.0015)</f>
        <v>0.0015</v>
      </c>
      <c r="R29" s="214"/>
      <c r="S29" s="101"/>
      <c r="T29" s="101"/>
      <c r="U29" s="213"/>
      <c r="V29" s="101" t="str">
        <f>IFERROR(__xludf.DUMMYFUNCTION("""COMPUTED_VALUE"""),"offline")</f>
        <v>offline</v>
      </c>
      <c r="W29" s="101" t="str">
        <f>IFERROR(__xludf.DUMMYFUNCTION("""COMPUTED_VALUE"""),"SMS")</f>
        <v>SMS</v>
      </c>
      <c r="X29" s="101" t="str">
        <f>IFERROR(__xludf.DUMMYFUNCTION("""COMPUTED_VALUE"""),"-")</f>
        <v>-</v>
      </c>
      <c r="Y29" s="101" t="str">
        <f>IFERROR(__xludf.DUMMYFUNCTION("""COMPUTED_VALUE"""),"2nd Mar")</f>
        <v>2nd Mar</v>
      </c>
      <c r="Z29" s="101" t="str">
        <f>IFERROR(__xludf.DUMMYFUNCTION("""COMPUTED_VALUE"""),"699ef2ba153efae8021d0745")</f>
        <v>699ef2ba153efae8021d0745</v>
      </c>
      <c r="AA29" s="213">
        <f>IFERROR(__xludf.DUMMYFUNCTION("""COMPUTED_VALUE"""),490.0)</f>
        <v>490</v>
      </c>
      <c r="AB29" s="213"/>
      <c r="AC29" s="213">
        <f>IFERROR(__xludf.DUMMYFUNCTION("""COMPUTED_VALUE"""),490.0)</f>
        <v>490</v>
      </c>
      <c r="AD29" s="213">
        <f>IFERROR(__xludf.DUMMYFUNCTION("""COMPUTED_VALUE"""),1304653.0)</f>
        <v>1304653</v>
      </c>
      <c r="AE29" s="213"/>
      <c r="AF29" s="213">
        <f>IFERROR(__xludf.DUMMYFUNCTION("""COMPUTED_VALUE"""),1304653.0)</f>
        <v>1304653</v>
      </c>
      <c r="AG29" s="282"/>
      <c r="AH29" s="282"/>
      <c r="AI29" s="282"/>
      <c r="AJ29" s="303"/>
      <c r="AK29" s="303"/>
      <c r="AL29" s="303"/>
      <c r="AM29" s="282"/>
      <c r="AN29" s="282"/>
      <c r="AO29" s="282"/>
      <c r="AP29" s="282"/>
      <c r="AQ29" s="282"/>
      <c r="AR29" s="282"/>
      <c r="AS29" s="282"/>
      <c r="AT29" s="282"/>
      <c r="AU29" s="282"/>
      <c r="AV29" s="282"/>
      <c r="AW29" s="282"/>
      <c r="AX29" s="282"/>
      <c r="AY29" s="282"/>
      <c r="AZ29" s="282"/>
    </row>
    <row r="30">
      <c r="A30" s="209">
        <f>IFERROR(__xludf.DUMMYFUNCTION("""COMPUTED_VALUE"""),46094.0)</f>
        <v>46094</v>
      </c>
      <c r="B30" s="210">
        <f>IFERROR(__xludf.DUMMYFUNCTION("""COMPUTED_VALUE"""),46094.66666666667)</f>
        <v>46094.66667</v>
      </c>
      <c r="C30" s="211" t="str">
        <f>IFERROR(__xludf.DUMMYFUNCTION("""COMPUTED_VALUE"""),"Rcs")</f>
        <v>Rcs</v>
      </c>
      <c r="D30" s="211" t="str">
        <f>IFERROR(__xludf.DUMMYFUNCTION("""COMPUTED_VALUE"""),"Promotional")</f>
        <v>Promotional</v>
      </c>
      <c r="E30" s="211" t="str">
        <f>IFERROR(__xludf.DUMMYFUNCTION("""COMPUTED_VALUE"""),"R&amp;B")</f>
        <v>R&amp;B</v>
      </c>
      <c r="F30" s="211" t="str">
        <f>IFERROR(__xludf.DUMMYFUNCTION("""COMPUTED_VALUE"""),"RMZ")</f>
        <v>RMZ</v>
      </c>
      <c r="G30" s="211" t="str">
        <f>IFERROR(__xludf.DUMMYFUNCTION("""COMPUTED_VALUE"""),"RMZ_RCS_1")</f>
        <v>RMZ_RCS_1</v>
      </c>
      <c r="H30" s="211" t="str">
        <f>IFERROR(__xludf.DUMMYFUNCTION("""COMPUTED_VALUE"""),"1Time_Buyer_6M_Ramzan")</f>
        <v>1Time_Buyer_6M_Ramzan</v>
      </c>
      <c r="I30" s="211" t="str">
        <f>IFERROR(__xludf.DUMMYFUNCTION("""COMPUTED_VALUE"""),"Customers who have shopped just once in the last 6 months AND Exclude Customers who have purchased from 27th Feb 2026 to 9th March 2026; Txn_Store_Code :- RB002,RB014,RB017,RB004,RB024,RB007,RB006,RB005,RB001,1286,RB008,RB016,RB010,RB020,RB021,RB022,1283,"&amp;"1284,1296,RB025,1281,RB009
")</f>
        <v>Customers who have shopped just once in the last 6 months AND Exclude Customers who have purchased from 27th Feb 2026 to 9th March 2026; Txn_Store_Code :- RB002,RB014,RB017,RB004,RB024,RB007,RB006,RB005,RB001,1286,RB008,RB016,RB010,RB020,RB021,RB022,1283,1284,1296,RB025,1281,RB009
</v>
      </c>
      <c r="J30" s="213">
        <f>IFERROR(__xludf.DUMMYFUNCTION("""COMPUTED_VALUE"""),171233.0)</f>
        <v>171233</v>
      </c>
      <c r="K30" s="213">
        <f>IFERROR(__xludf.DUMMYFUNCTION("""COMPUTED_VALUE"""),77644.0)</f>
        <v>77644</v>
      </c>
      <c r="L30" s="214">
        <f>IFERROR(__xludf.DUMMYFUNCTION("""COMPUTED_VALUE"""),0.4534)</f>
        <v>0.4534</v>
      </c>
      <c r="M30" s="213"/>
      <c r="N30" s="214"/>
      <c r="O30" s="101">
        <f>IFERROR(__xludf.DUMMYFUNCTION("""COMPUTED_VALUE"""),0.0)</f>
        <v>0</v>
      </c>
      <c r="P30" s="101"/>
      <c r="Q30" s="214">
        <f>IFERROR(__xludf.DUMMYFUNCTION("""COMPUTED_VALUE"""),0.0)</f>
        <v>0</v>
      </c>
      <c r="R30" s="214"/>
      <c r="S30" s="101"/>
      <c r="T30" s="101"/>
      <c r="U30" s="213"/>
      <c r="V30" s="101" t="str">
        <f>IFERROR(__xludf.DUMMYFUNCTION("""COMPUTED_VALUE"""),"offline")</f>
        <v>offline</v>
      </c>
      <c r="W30" s="101" t="str">
        <f>IFERROR(__xludf.DUMMYFUNCTION("""COMPUTED_VALUE"""),"RCS")</f>
        <v>RCS</v>
      </c>
      <c r="X30" s="101" t="str">
        <f>IFERROR(__xludf.DUMMYFUNCTION("""COMPUTED_VALUE"""),"New")</f>
        <v>New</v>
      </c>
      <c r="Y30" s="101" t="str">
        <f>IFERROR(__xludf.DUMMYFUNCTION("""COMPUTED_VALUE"""),"13th-16th march")</f>
        <v>13th-16th march</v>
      </c>
      <c r="Z30" s="101" t="str">
        <f>IFERROR(__xludf.DUMMYFUNCTION("""COMPUTED_VALUE"""),"69b2a13b81e8465a36342e3c")</f>
        <v>69b2a13b81e8465a36342e3c</v>
      </c>
      <c r="AA30" s="213">
        <f>IFERROR(__xludf.DUMMYFUNCTION("""COMPUTED_VALUE"""),304.0)</f>
        <v>304</v>
      </c>
      <c r="AB30" s="213"/>
      <c r="AC30" s="213">
        <f>IFERROR(__xludf.DUMMYFUNCTION("""COMPUTED_VALUE"""),304.0)</f>
        <v>304</v>
      </c>
      <c r="AD30" s="213">
        <f>IFERROR(__xludf.DUMMYFUNCTION("""COMPUTED_VALUE"""),790532.0)</f>
        <v>790532</v>
      </c>
      <c r="AE30" s="213"/>
      <c r="AF30" s="213">
        <f>IFERROR(__xludf.DUMMYFUNCTION("""COMPUTED_VALUE"""),790532.0)</f>
        <v>790532</v>
      </c>
      <c r="AG30" s="282"/>
      <c r="AH30" s="282"/>
      <c r="AI30" s="282"/>
      <c r="AJ30" s="303"/>
      <c r="AK30" s="303"/>
      <c r="AL30" s="303"/>
      <c r="AM30" s="282"/>
      <c r="AN30" s="282"/>
      <c r="AO30" s="282"/>
      <c r="AP30" s="282"/>
      <c r="AQ30" s="282"/>
      <c r="AR30" s="282"/>
      <c r="AS30" s="282"/>
      <c r="AT30" s="282"/>
      <c r="AU30" s="282"/>
      <c r="AV30" s="282"/>
      <c r="AW30" s="282"/>
      <c r="AX30" s="282"/>
      <c r="AY30" s="282"/>
      <c r="AZ30" s="282"/>
    </row>
    <row r="31">
      <c r="A31" s="209">
        <f>IFERROR(__xludf.DUMMYFUNCTION("""COMPUTED_VALUE"""),46094.0)</f>
        <v>46094</v>
      </c>
      <c r="B31" s="210">
        <f>IFERROR(__xludf.DUMMYFUNCTION("""COMPUTED_VALUE"""),46094.66666666667)</f>
        <v>46094.66667</v>
      </c>
      <c r="C31" s="211" t="str">
        <f>IFERROR(__xludf.DUMMYFUNCTION("""COMPUTED_VALUE"""),"Rcs")</f>
        <v>Rcs</v>
      </c>
      <c r="D31" s="211" t="str">
        <f>IFERROR(__xludf.DUMMYFUNCTION("""COMPUTED_VALUE"""),"Promotional")</f>
        <v>Promotional</v>
      </c>
      <c r="E31" s="211" t="str">
        <f>IFERROR(__xludf.DUMMYFUNCTION("""COMPUTED_VALUE"""),"R&amp;B")</f>
        <v>R&amp;B</v>
      </c>
      <c r="F31" s="211" t="str">
        <f>IFERROR(__xludf.DUMMYFUNCTION("""COMPUTED_VALUE"""),"RMZ")</f>
        <v>RMZ</v>
      </c>
      <c r="G31" s="211" t="str">
        <f>IFERROR(__xludf.DUMMYFUNCTION("""COMPUTED_VALUE"""),"RMZ_RCS_2")</f>
        <v>RMZ_RCS_2</v>
      </c>
      <c r="H31" s="211" t="str">
        <f>IFERROR(__xludf.DUMMYFUNCTION("""COMPUTED_VALUE"""),"Last_6M_NoPr_Ramzan")</f>
        <v>Last_6M_NoPr_Ramzan</v>
      </c>
      <c r="I31" s="211" t="str">
        <f>IFERROR(__xludf.DUMMYFUNCTION("""COMPUTED_VALUE"""),"Customers who have purchased in the last 12 months but have not purchased in the last 6 months; Txn_Store_Code :- RB002,RB014,RB017,RB004,RB024,RB007,RB006,RB005,RB001,1286,RB008,RB016,RB010,RB020,RB021,RB022,1283,1284,1296,RB025,1281,RB009
")</f>
        <v>Customers who have purchased in the last 12 months but have not purchased in the last 6 months; Txn_Store_Code :- RB002,RB014,RB017,RB004,RB024,RB007,RB006,RB005,RB001,1286,RB008,RB016,RB010,RB020,RB021,RB022,1283,1284,1296,RB025,1281,RB009
</v>
      </c>
      <c r="J31" s="213">
        <f>IFERROR(__xludf.DUMMYFUNCTION("""COMPUTED_VALUE"""),144365.0)</f>
        <v>144365</v>
      </c>
      <c r="K31" s="213">
        <f>IFERROR(__xludf.DUMMYFUNCTION("""COMPUTED_VALUE"""),64014.0)</f>
        <v>64014</v>
      </c>
      <c r="L31" s="214">
        <f>IFERROR(__xludf.DUMMYFUNCTION("""COMPUTED_VALUE"""),0.4434)</f>
        <v>0.4434</v>
      </c>
      <c r="M31" s="213"/>
      <c r="N31" s="214"/>
      <c r="O31" s="101">
        <f>IFERROR(__xludf.DUMMYFUNCTION("""COMPUTED_VALUE"""),0.0)</f>
        <v>0</v>
      </c>
      <c r="P31" s="101"/>
      <c r="Q31" s="214">
        <f>IFERROR(__xludf.DUMMYFUNCTION("""COMPUTED_VALUE"""),0.0)</f>
        <v>0</v>
      </c>
      <c r="R31" s="214"/>
      <c r="S31" s="101"/>
      <c r="T31" s="101"/>
      <c r="U31" s="213"/>
      <c r="V31" s="101" t="str">
        <f>IFERROR(__xludf.DUMMYFUNCTION("""COMPUTED_VALUE"""),"offline")</f>
        <v>offline</v>
      </c>
      <c r="W31" s="101" t="str">
        <f>IFERROR(__xludf.DUMMYFUNCTION("""COMPUTED_VALUE"""),"RCS")</f>
        <v>RCS</v>
      </c>
      <c r="X31" s="101"/>
      <c r="Y31" s="101" t="str">
        <f>IFERROR(__xludf.DUMMYFUNCTION("""COMPUTED_VALUE"""),"13th-16th march")</f>
        <v>13th-16th march</v>
      </c>
      <c r="Z31" s="101" t="str">
        <f>IFERROR(__xludf.DUMMYFUNCTION("""COMPUTED_VALUE"""),"69b2a1569cdbd697ec86c3b9")</f>
        <v>69b2a1569cdbd697ec86c3b9</v>
      </c>
      <c r="AA31" s="213">
        <f>IFERROR(__xludf.DUMMYFUNCTION("""COMPUTED_VALUE"""),156.0)</f>
        <v>156</v>
      </c>
      <c r="AB31" s="213"/>
      <c r="AC31" s="213">
        <f>IFERROR(__xludf.DUMMYFUNCTION("""COMPUTED_VALUE"""),156.0)</f>
        <v>156</v>
      </c>
      <c r="AD31" s="213">
        <f>IFERROR(__xludf.DUMMYFUNCTION("""COMPUTED_VALUE"""),343698.0)</f>
        <v>343698</v>
      </c>
      <c r="AE31" s="213"/>
      <c r="AF31" s="213">
        <f>IFERROR(__xludf.DUMMYFUNCTION("""COMPUTED_VALUE"""),343698.0)</f>
        <v>343698</v>
      </c>
      <c r="AG31" s="282"/>
      <c r="AH31" s="282"/>
      <c r="AI31" s="282"/>
      <c r="AJ31" s="303"/>
      <c r="AK31" s="303"/>
      <c r="AL31" s="303"/>
      <c r="AM31" s="282"/>
      <c r="AN31" s="282"/>
      <c r="AO31" s="282"/>
      <c r="AP31" s="282"/>
      <c r="AQ31" s="282"/>
      <c r="AR31" s="282"/>
      <c r="AS31" s="282"/>
      <c r="AT31" s="282"/>
      <c r="AU31" s="282"/>
      <c r="AV31" s="282"/>
      <c r="AW31" s="282"/>
      <c r="AX31" s="282"/>
      <c r="AY31" s="282"/>
      <c r="AZ31" s="282"/>
    </row>
    <row r="32">
      <c r="A32" s="306">
        <f>IFERROR(__xludf.DUMMYFUNCTION("""COMPUTED_VALUE"""),46094.0)</f>
        <v>46094</v>
      </c>
      <c r="B32" s="210">
        <f>IFERROR(__xludf.DUMMYFUNCTION("""COMPUTED_VALUE"""),46094.66666666667)</f>
        <v>46094.66667</v>
      </c>
      <c r="C32" s="210" t="str">
        <f>IFERROR(__xludf.DUMMYFUNCTION("""COMPUTED_VALUE"""),"Rcs")</f>
        <v>Rcs</v>
      </c>
      <c r="D32" s="210" t="str">
        <f>IFERROR(__xludf.DUMMYFUNCTION("""COMPUTED_VALUE"""),"Promotional")</f>
        <v>Promotional</v>
      </c>
      <c r="E32" s="210" t="str">
        <f>IFERROR(__xludf.DUMMYFUNCTION("""COMPUTED_VALUE"""),"R&amp;B")</f>
        <v>R&amp;B</v>
      </c>
      <c r="F32" s="210" t="str">
        <f>IFERROR(__xludf.DUMMYFUNCTION("""COMPUTED_VALUE"""),"RMZ- non")</f>
        <v>RMZ- non</v>
      </c>
      <c r="G32" s="210" t="str">
        <f>IFERROR(__xludf.DUMMYFUNCTION("""COMPUTED_VALUE"""),"NonRMZ_RCS_3")</f>
        <v>NonRMZ_RCS_3</v>
      </c>
      <c r="H32" s="211" t="str">
        <f>IFERROR(__xludf.DUMMYFUNCTION("""COMPUTED_VALUE"""),"1Time_Buy_6M_NonRamzan")</f>
        <v>1Time_Buy_6M_NonRamzan</v>
      </c>
      <c r="I32" s="211" t="str">
        <f>IFERROR(__xludf.DUMMYFUNCTION("""COMPUTED_VALUE"""),"Customers who have shopped just once in the last 6 months AND Exclude Customers who have purchased from 27th Feb 2026 to 9th March 2026; Txn_Store_Code :- RB023,RB011,RB018,RB012,RB015,RB003,1302,1282,1250,RB019,1299,1305,1297,RB026,1298,1258,1300,RB013
")</f>
        <v>Customers who have shopped just once in the last 6 months AND Exclude Customers who have purchased from 27th Feb 2026 to 9th March 2026; Txn_Store_Code :- RB023,RB011,RB018,RB012,RB015,RB003,1302,1282,1250,RB019,1299,1305,1297,RB026,1298,1258,1300,RB013
</v>
      </c>
      <c r="J32" s="213">
        <f>IFERROR(__xludf.DUMMYFUNCTION("""COMPUTED_VALUE"""),84744.0)</f>
        <v>84744</v>
      </c>
      <c r="K32" s="213">
        <f>IFERROR(__xludf.DUMMYFUNCTION("""COMPUTED_VALUE"""),39619.0)</f>
        <v>39619</v>
      </c>
      <c r="L32" s="214">
        <f>IFERROR(__xludf.DUMMYFUNCTION("""COMPUTED_VALUE"""),0.4675)</f>
        <v>0.4675</v>
      </c>
      <c r="M32" s="213"/>
      <c r="N32" s="214"/>
      <c r="O32" s="213">
        <f>IFERROR(__xludf.DUMMYFUNCTION("""COMPUTED_VALUE"""),0.0)</f>
        <v>0</v>
      </c>
      <c r="P32" s="213"/>
      <c r="Q32" s="214">
        <f>IFERROR(__xludf.DUMMYFUNCTION("""COMPUTED_VALUE"""),0.0)</f>
        <v>0</v>
      </c>
      <c r="R32" s="214"/>
      <c r="S32" s="101"/>
      <c r="T32" s="101"/>
      <c r="U32" s="213"/>
      <c r="V32" s="101" t="str">
        <f>IFERROR(__xludf.DUMMYFUNCTION("""COMPUTED_VALUE"""),"offline")</f>
        <v>offline</v>
      </c>
      <c r="W32" s="101" t="str">
        <f>IFERROR(__xludf.DUMMYFUNCTION("""COMPUTED_VALUE"""),"RCS")</f>
        <v>RCS</v>
      </c>
      <c r="X32" s="101" t="str">
        <f>IFERROR(__xludf.DUMMYFUNCTION("""COMPUTED_VALUE"""),"New")</f>
        <v>New</v>
      </c>
      <c r="Y32" s="101" t="str">
        <f>IFERROR(__xludf.DUMMYFUNCTION("""COMPUTED_VALUE"""),"13th-16th march")</f>
        <v>13th-16th march</v>
      </c>
      <c r="Z32" s="101" t="str">
        <f>IFERROR(__xludf.DUMMYFUNCTION("""COMPUTED_VALUE"""),"69b2a17995a931aea9edab7f")</f>
        <v>69b2a17995a931aea9edab7f</v>
      </c>
      <c r="AA32" s="213">
        <f>IFERROR(__xludf.DUMMYFUNCTION("""COMPUTED_VALUE"""),158.0)</f>
        <v>158</v>
      </c>
      <c r="AB32" s="213"/>
      <c r="AC32" s="213">
        <f>IFERROR(__xludf.DUMMYFUNCTION("""COMPUTED_VALUE"""),158.0)</f>
        <v>158</v>
      </c>
      <c r="AD32" s="213">
        <f>IFERROR(__xludf.DUMMYFUNCTION("""COMPUTED_VALUE"""),382311.0)</f>
        <v>382311</v>
      </c>
      <c r="AE32" s="213"/>
      <c r="AF32" s="213">
        <f>IFERROR(__xludf.DUMMYFUNCTION("""COMPUTED_VALUE"""),382311.0)</f>
        <v>382311</v>
      </c>
      <c r="AG32" s="282"/>
      <c r="AH32" s="282"/>
      <c r="AI32" s="282"/>
      <c r="AJ32" s="303"/>
      <c r="AK32" s="303"/>
      <c r="AL32" s="303"/>
      <c r="AM32" s="282"/>
      <c r="AN32" s="282"/>
      <c r="AO32" s="282"/>
      <c r="AP32" s="282"/>
      <c r="AQ32" s="282"/>
      <c r="AR32" s="282"/>
      <c r="AS32" s="282"/>
      <c r="AT32" s="282"/>
      <c r="AU32" s="282"/>
      <c r="AV32" s="282"/>
      <c r="AW32" s="282"/>
      <c r="AX32" s="282"/>
      <c r="AY32" s="282"/>
      <c r="AZ32" s="282"/>
    </row>
    <row r="33">
      <c r="A33" s="306">
        <f>IFERROR(__xludf.DUMMYFUNCTION("""COMPUTED_VALUE"""),46094.0)</f>
        <v>46094</v>
      </c>
      <c r="B33" s="210">
        <f>IFERROR(__xludf.DUMMYFUNCTION("""COMPUTED_VALUE"""),46094.66666666667)</f>
        <v>46094.66667</v>
      </c>
      <c r="C33" s="210" t="str">
        <f>IFERROR(__xludf.DUMMYFUNCTION("""COMPUTED_VALUE"""),"Rcs")</f>
        <v>Rcs</v>
      </c>
      <c r="D33" s="210" t="str">
        <f>IFERROR(__xludf.DUMMYFUNCTION("""COMPUTED_VALUE"""),"Promotional")</f>
        <v>Promotional</v>
      </c>
      <c r="E33" s="210" t="str">
        <f>IFERROR(__xludf.DUMMYFUNCTION("""COMPUTED_VALUE"""),"R&amp;B")</f>
        <v>R&amp;B</v>
      </c>
      <c r="F33" s="210" t="str">
        <f>IFERROR(__xludf.DUMMYFUNCTION("""COMPUTED_VALUE"""),"RMZ- non")</f>
        <v>RMZ- non</v>
      </c>
      <c r="G33" s="210" t="str">
        <f>IFERROR(__xludf.DUMMYFUNCTION("""COMPUTED_VALUE"""),"NonRMZ_RCS_4")</f>
        <v>NonRMZ_RCS_4</v>
      </c>
      <c r="H33" s="211" t="str">
        <f>IFERROR(__xludf.DUMMYFUNCTION("""COMPUTED_VALUE"""),"Last_6M_NoPr_NonRamzan")</f>
        <v>Last_6M_NoPr_NonRamzan</v>
      </c>
      <c r="I33" s="211" t="str">
        <f>IFERROR(__xludf.DUMMYFUNCTION("""COMPUTED_VALUE"""),"Customers who have purchased in the last 12 months but have not purchased in the last 6 months; Txn_Store_Code :- RB023,RB011,RB018,RB012,RB015,RB003,1302,1282,1250,RB019,1299,1305,1297,RB026,1298,1258,1300,RB013
")</f>
        <v>Customers who have purchased in the last 12 months but have not purchased in the last 6 months; Txn_Store_Code :- RB023,RB011,RB018,RB012,RB015,RB003,1302,1282,1250,RB019,1299,1305,1297,RB026,1298,1258,1300,RB013
</v>
      </c>
      <c r="J33" s="213">
        <f>IFERROR(__xludf.DUMMYFUNCTION("""COMPUTED_VALUE"""),53052.0)</f>
        <v>53052</v>
      </c>
      <c r="K33" s="213">
        <f>IFERROR(__xludf.DUMMYFUNCTION("""COMPUTED_VALUE"""),25178.0)</f>
        <v>25178</v>
      </c>
      <c r="L33" s="214">
        <f>IFERROR(__xludf.DUMMYFUNCTION("""COMPUTED_VALUE"""),0.4746)</f>
        <v>0.4746</v>
      </c>
      <c r="M33" s="213"/>
      <c r="N33" s="214"/>
      <c r="O33" s="213">
        <f>IFERROR(__xludf.DUMMYFUNCTION("""COMPUTED_VALUE"""),0.0)</f>
        <v>0</v>
      </c>
      <c r="P33" s="213"/>
      <c r="Q33" s="214">
        <f>IFERROR(__xludf.DUMMYFUNCTION("""COMPUTED_VALUE"""),0.0)</f>
        <v>0</v>
      </c>
      <c r="R33" s="214"/>
      <c r="S33" s="101"/>
      <c r="T33" s="101"/>
      <c r="U33" s="213"/>
      <c r="V33" s="101" t="str">
        <f>IFERROR(__xludf.DUMMYFUNCTION("""COMPUTED_VALUE"""),"offline")</f>
        <v>offline</v>
      </c>
      <c r="W33" s="101" t="str">
        <f>IFERROR(__xludf.DUMMYFUNCTION("""COMPUTED_VALUE"""),"RCS")</f>
        <v>RCS</v>
      </c>
      <c r="X33" s="101"/>
      <c r="Y33" s="101" t="str">
        <f>IFERROR(__xludf.DUMMYFUNCTION("""COMPUTED_VALUE"""),"13th-16th march")</f>
        <v>13th-16th march</v>
      </c>
      <c r="Z33" s="101" t="str">
        <f>IFERROR(__xludf.DUMMYFUNCTION("""COMPUTED_VALUE"""),"69b2a1900ee986326acefd79")</f>
        <v>69b2a1900ee986326acefd79</v>
      </c>
      <c r="AA33" s="213">
        <f>IFERROR(__xludf.DUMMYFUNCTION("""COMPUTED_VALUE"""),66.0)</f>
        <v>66</v>
      </c>
      <c r="AB33" s="213"/>
      <c r="AC33" s="213">
        <f>IFERROR(__xludf.DUMMYFUNCTION("""COMPUTED_VALUE"""),66.0)</f>
        <v>66</v>
      </c>
      <c r="AD33" s="213">
        <f>IFERROR(__xludf.DUMMYFUNCTION("""COMPUTED_VALUE"""),183180.0)</f>
        <v>183180</v>
      </c>
      <c r="AE33" s="213"/>
      <c r="AF33" s="213">
        <f>IFERROR(__xludf.DUMMYFUNCTION("""COMPUTED_VALUE"""),183180.0)</f>
        <v>183180</v>
      </c>
      <c r="AG33" s="282"/>
      <c r="AH33" s="282"/>
      <c r="AI33" s="282"/>
      <c r="AJ33" s="303"/>
      <c r="AK33" s="303"/>
      <c r="AL33" s="303"/>
      <c r="AM33" s="282"/>
      <c r="AN33" s="282"/>
      <c r="AO33" s="282"/>
      <c r="AP33" s="282"/>
      <c r="AQ33" s="282"/>
      <c r="AR33" s="282"/>
      <c r="AS33" s="282"/>
      <c r="AT33" s="282"/>
      <c r="AU33" s="282"/>
      <c r="AV33" s="282"/>
      <c r="AW33" s="282"/>
      <c r="AX33" s="282"/>
      <c r="AY33" s="282"/>
      <c r="AZ33" s="282"/>
    </row>
    <row r="34">
      <c r="A34" s="306">
        <f>IFERROR(__xludf.DUMMYFUNCTION("""COMPUTED_VALUE"""),46095.0)</f>
        <v>46095</v>
      </c>
      <c r="B34" s="210">
        <f>IFERROR(__xludf.DUMMYFUNCTION("""COMPUTED_VALUE"""),46095.41666666667)</f>
        <v>46095.41667</v>
      </c>
      <c r="C34" s="210" t="str">
        <f>IFERROR(__xludf.DUMMYFUNCTION("""COMPUTED_VALUE"""),"Whatsapp")</f>
        <v>Whatsapp</v>
      </c>
      <c r="D34" s="210" t="str">
        <f>IFERROR(__xludf.DUMMYFUNCTION("""COMPUTED_VALUE"""),"Promotional")</f>
        <v>Promotional</v>
      </c>
      <c r="E34" s="210" t="str">
        <f>IFERROR(__xludf.DUMMYFUNCTION("""COMPUTED_VALUE"""),"R&amp;B")</f>
        <v>R&amp;B</v>
      </c>
      <c r="F34" s="210" t="str">
        <f>IFERROR(__xludf.DUMMYFUNCTION("""COMPUTED_VALUE"""),"RMZ")</f>
        <v>RMZ</v>
      </c>
      <c r="G34" s="210" t="str">
        <f>IFERROR(__xludf.DUMMYFUNCTION("""COMPUTED_VALUE"""),"Revised_RMZ_1")</f>
        <v>Revised_RMZ_1</v>
      </c>
      <c r="H34" s="211" t="str">
        <f>IFERROR(__xludf.DUMMYFUNCTION("""COMPUTED_VALUE"""),"2Time_Buy_6M_RMZ OR RB_Internal")</f>
        <v>2Time_Buy_6M_RMZ OR RB_Internal</v>
      </c>
      <c r="I34" s="211" t="str">
        <f>IFERROR(__xludf.DUMMYFUNCTION("""COMPUTED_VALUE"""),"Customers who have shopped for &gt; 2 times in the last 6 months from Txn_Store_Code :- RB002,RB014,RB017,RB004,RB024,RB007,RB006,RB005,RB001,1286,RB008,RB016,RB010,RB020,RB021,RB022,1283,1284,1296,RB025,1281,RB009
")</f>
        <v>Customers who have shopped for &gt; 2 times in the last 6 months from Txn_Store_Code :- RB002,RB014,RB017,RB004,RB024,RB007,RB006,RB005,RB001,1286,RB008,RB016,RB010,RB020,RB021,RB022,1283,1284,1296,RB025,1281,RB009
</v>
      </c>
      <c r="J34" s="213">
        <f>IFERROR(__xludf.DUMMYFUNCTION("""COMPUTED_VALUE"""),30781.0)</f>
        <v>30781</v>
      </c>
      <c r="K34" s="213">
        <f>IFERROR(__xludf.DUMMYFUNCTION("""COMPUTED_VALUE"""),16222.0)</f>
        <v>16222</v>
      </c>
      <c r="L34" s="214">
        <f>IFERROR(__xludf.DUMMYFUNCTION("""COMPUTED_VALUE"""),0.527)</f>
        <v>0.527</v>
      </c>
      <c r="M34" s="213">
        <f>IFERROR(__xludf.DUMMYFUNCTION("""COMPUTED_VALUE"""),9842.0)</f>
        <v>9842</v>
      </c>
      <c r="N34" s="214">
        <f>IFERROR(__xludf.DUMMYFUNCTION("""COMPUTED_VALUE"""),0.6063)</f>
        <v>0.6063</v>
      </c>
      <c r="O34" s="213">
        <f>IFERROR(__xludf.DUMMYFUNCTION("""COMPUTED_VALUE"""),669.0)</f>
        <v>669</v>
      </c>
      <c r="P34" s="213">
        <f>IFERROR(__xludf.DUMMYFUNCTION("""COMPUTED_VALUE"""),642.0)</f>
        <v>642</v>
      </c>
      <c r="Q34" s="214">
        <f>IFERROR(__xludf.DUMMYFUNCTION("""COMPUTED_VALUE"""),0.0396)</f>
        <v>0.0396</v>
      </c>
      <c r="R34" s="214">
        <f>IFERROR(__xludf.DUMMYFUNCTION("""COMPUTED_VALUE"""),0.0653)</f>
        <v>0.0653</v>
      </c>
      <c r="S34" s="101"/>
      <c r="T34" s="101"/>
      <c r="U34" s="213"/>
      <c r="V34" s="101" t="str">
        <f>IFERROR(__xludf.DUMMYFUNCTION("""COMPUTED_VALUE"""),"offline")</f>
        <v>offline</v>
      </c>
      <c r="W34" s="101" t="str">
        <f>IFERROR(__xludf.DUMMYFUNCTION("""COMPUTED_VALUE"""),"simple")</f>
        <v>simple</v>
      </c>
      <c r="X34" s="101" t="str">
        <f>IFERROR(__xludf.DUMMYFUNCTION("""COMPUTED_VALUE"""),"Repeat")</f>
        <v>Repeat</v>
      </c>
      <c r="Y34" s="101" t="str">
        <f>IFERROR(__xludf.DUMMYFUNCTION("""COMPUTED_VALUE"""),"14th-18th march")</f>
        <v>14th-18th march</v>
      </c>
      <c r="Z34" s="101" t="str">
        <f>IFERROR(__xludf.DUMMYFUNCTION("""COMPUTED_VALUE"""),"69b4e326b40735f002cc8b58")</f>
        <v>69b4e326b40735f002cc8b58</v>
      </c>
      <c r="AA34" s="213">
        <f>IFERROR(__xludf.DUMMYFUNCTION("""COMPUTED_VALUE"""),303.0)</f>
        <v>303</v>
      </c>
      <c r="AB34" s="213"/>
      <c r="AC34" s="213">
        <f>IFERROR(__xludf.DUMMYFUNCTION("""COMPUTED_VALUE"""),303.0)</f>
        <v>303</v>
      </c>
      <c r="AD34" s="213">
        <f>IFERROR(__xludf.DUMMYFUNCTION("""COMPUTED_VALUE"""),876895.0)</f>
        <v>876895</v>
      </c>
      <c r="AE34" s="213"/>
      <c r="AF34" s="213">
        <f>IFERROR(__xludf.DUMMYFUNCTION("""COMPUTED_VALUE"""),876895.0)</f>
        <v>876895</v>
      </c>
      <c r="AG34" s="282"/>
      <c r="AH34" s="282"/>
      <c r="AI34" s="282"/>
      <c r="AJ34" s="303"/>
      <c r="AK34" s="303"/>
      <c r="AL34" s="303"/>
      <c r="AM34" s="282"/>
      <c r="AN34" s="282"/>
      <c r="AO34" s="282"/>
      <c r="AP34" s="282"/>
      <c r="AQ34" s="282"/>
      <c r="AR34" s="282"/>
      <c r="AS34" s="282"/>
      <c r="AT34" s="282"/>
      <c r="AU34" s="282"/>
      <c r="AV34" s="282"/>
      <c r="AW34" s="282"/>
      <c r="AX34" s="282"/>
      <c r="AY34" s="282"/>
      <c r="AZ34" s="282"/>
    </row>
    <row r="35">
      <c r="A35" s="306">
        <f>IFERROR(__xludf.DUMMYFUNCTION("""COMPUTED_VALUE"""),46095.0)</f>
        <v>46095</v>
      </c>
      <c r="B35" s="210">
        <f>IFERROR(__xludf.DUMMYFUNCTION("""COMPUTED_VALUE"""),46095.42013888889)</f>
        <v>46095.42014</v>
      </c>
      <c r="C35" s="210" t="str">
        <f>IFERROR(__xludf.DUMMYFUNCTION("""COMPUTED_VALUE"""),"Whatsapp")</f>
        <v>Whatsapp</v>
      </c>
      <c r="D35" s="210" t="str">
        <f>IFERROR(__xludf.DUMMYFUNCTION("""COMPUTED_VALUE"""),"Promotional")</f>
        <v>Promotional</v>
      </c>
      <c r="E35" s="210" t="str">
        <f>IFERROR(__xludf.DUMMYFUNCTION("""COMPUTED_VALUE"""),"R&amp;B")</f>
        <v>R&amp;B</v>
      </c>
      <c r="F35" s="210" t="str">
        <f>IFERROR(__xludf.DUMMYFUNCTION("""COMPUTED_VALUE"""),"RMZ")</f>
        <v>RMZ</v>
      </c>
      <c r="G35" s="210" t="str">
        <f>IFERROR(__xludf.DUMMYFUNCTION("""COMPUTED_VALUE"""),"Revised_RMZ_2")</f>
        <v>Revised_RMZ_2</v>
      </c>
      <c r="H35" s="211" t="str">
        <f>IFERROR(__xludf.DUMMYFUNCTION("""COMPUTED_VALUE"""),"Eid25_Repeat_Buy_Ramzan")</f>
        <v>Eid25_Repeat_Buy_Ramzan</v>
      </c>
      <c r="I35" s="211" t="str">
        <f>IFERROR(__xludf.DUMMYFUNCTION("""COMPUTED_VALUE"""),"Customers who have shopped during last Eid (1st March'25 and 31st March'25) and have shopped again with R&amp;B AND Exclude Customers who have purchased from 27th Feb 2026 to 9th March 2026; Txn_Store_Code :- RB002,RB014,RB017,RB004,RB024,RB007,RB006,RB005,RB"&amp;"001,1286,RB008,RB016,RB010,RB020,RB021,RB022,1283,1284,1296,RB025,1281,RB009
")</f>
        <v>Customers who have shopped during last Eid (1st March'25 and 31st March'25) and have shopped again with R&amp;B AND Exclude Customers who have purchased from 27th Feb 2026 to 9th March 2026; Txn_Store_Code :- RB002,RB014,RB017,RB004,RB024,RB007,RB006,RB005,RB001,1286,RB008,RB016,RB010,RB020,RB021,RB022,1283,1284,1296,RB025,1281,RB009
</v>
      </c>
      <c r="J35" s="213">
        <f>IFERROR(__xludf.DUMMYFUNCTION("""COMPUTED_VALUE"""),11303.0)</f>
        <v>11303</v>
      </c>
      <c r="K35" s="213">
        <f>IFERROR(__xludf.DUMMYFUNCTION("""COMPUTED_VALUE"""),5440.0)</f>
        <v>5440</v>
      </c>
      <c r="L35" s="214">
        <f>IFERROR(__xludf.DUMMYFUNCTION("""COMPUTED_VALUE"""),0.4813)</f>
        <v>0.4813</v>
      </c>
      <c r="M35" s="213">
        <f>IFERROR(__xludf.DUMMYFUNCTION("""COMPUTED_VALUE"""),3058.0)</f>
        <v>3058</v>
      </c>
      <c r="N35" s="214">
        <f>IFERROR(__xludf.DUMMYFUNCTION("""COMPUTED_VALUE"""),0.5621)</f>
        <v>0.5621</v>
      </c>
      <c r="O35" s="213">
        <f>IFERROR(__xludf.DUMMYFUNCTION("""COMPUTED_VALUE"""),175.0)</f>
        <v>175</v>
      </c>
      <c r="P35" s="213">
        <f>IFERROR(__xludf.DUMMYFUNCTION("""COMPUTED_VALUE"""),166.0)</f>
        <v>166</v>
      </c>
      <c r="Q35" s="214">
        <f>IFERROR(__xludf.DUMMYFUNCTION("""COMPUTED_VALUE"""),0.0305)</f>
        <v>0.0305</v>
      </c>
      <c r="R35" s="214">
        <f>IFERROR(__xludf.DUMMYFUNCTION("""COMPUTED_VALUE"""),0.0543)</f>
        <v>0.0543</v>
      </c>
      <c r="S35" s="101"/>
      <c r="T35" s="101"/>
      <c r="U35" s="213"/>
      <c r="V35" s="101" t="str">
        <f>IFERROR(__xludf.DUMMYFUNCTION("""COMPUTED_VALUE"""),"offline")</f>
        <v>offline</v>
      </c>
      <c r="W35" s="101" t="str">
        <f>IFERROR(__xludf.DUMMYFUNCTION("""COMPUTED_VALUE"""),"simple")</f>
        <v>simple</v>
      </c>
      <c r="X35" s="101" t="str">
        <f>IFERROR(__xludf.DUMMYFUNCTION("""COMPUTED_VALUE"""),"Event Buyers and shopped again")</f>
        <v>Event Buyers and shopped again</v>
      </c>
      <c r="Y35" s="101" t="str">
        <f>IFERROR(__xludf.DUMMYFUNCTION("""COMPUTED_VALUE"""),"14th-18th march")</f>
        <v>14th-18th march</v>
      </c>
      <c r="Z35" s="101" t="str">
        <f>IFERROR(__xludf.DUMMYFUNCTION("""COMPUTED_VALUE"""),"69b4e427111351fb9a567387")</f>
        <v>69b4e427111351fb9a567387</v>
      </c>
      <c r="AA35" s="213">
        <f>IFERROR(__xludf.DUMMYFUNCTION("""COMPUTED_VALUE"""),158.0)</f>
        <v>158</v>
      </c>
      <c r="AB35" s="213"/>
      <c r="AC35" s="213">
        <f>IFERROR(__xludf.DUMMYFUNCTION("""COMPUTED_VALUE"""),158.0)</f>
        <v>158</v>
      </c>
      <c r="AD35" s="213">
        <f>IFERROR(__xludf.DUMMYFUNCTION("""COMPUTED_VALUE"""),449987.0)</f>
        <v>449987</v>
      </c>
      <c r="AE35" s="213"/>
      <c r="AF35" s="213">
        <f>IFERROR(__xludf.DUMMYFUNCTION("""COMPUTED_VALUE"""),449987.0)</f>
        <v>449987</v>
      </c>
      <c r="AG35" s="282"/>
      <c r="AH35" s="282"/>
      <c r="AI35" s="282"/>
      <c r="AJ35" s="303"/>
      <c r="AK35" s="303"/>
      <c r="AL35" s="303"/>
      <c r="AM35" s="282"/>
      <c r="AN35" s="282"/>
      <c r="AO35" s="282"/>
      <c r="AP35" s="282"/>
      <c r="AQ35" s="282"/>
      <c r="AR35" s="282"/>
      <c r="AS35" s="282"/>
      <c r="AT35" s="282"/>
      <c r="AU35" s="282"/>
      <c r="AV35" s="282"/>
      <c r="AW35" s="282"/>
      <c r="AX35" s="282"/>
      <c r="AY35" s="282"/>
      <c r="AZ35" s="282"/>
    </row>
    <row r="36">
      <c r="A36" s="306">
        <f>IFERROR(__xludf.DUMMYFUNCTION("""COMPUTED_VALUE"""),46095.0)</f>
        <v>46095</v>
      </c>
      <c r="B36" s="210">
        <f>IFERROR(__xludf.DUMMYFUNCTION("""COMPUTED_VALUE"""),46095.42361111111)</f>
        <v>46095.42361</v>
      </c>
      <c r="C36" s="210" t="str">
        <f>IFERROR(__xludf.DUMMYFUNCTION("""COMPUTED_VALUE"""),"Whatsapp")</f>
        <v>Whatsapp</v>
      </c>
      <c r="D36" s="210" t="str">
        <f>IFERROR(__xludf.DUMMYFUNCTION("""COMPUTED_VALUE"""),"Promotional")</f>
        <v>Promotional</v>
      </c>
      <c r="E36" s="210" t="str">
        <f>IFERROR(__xludf.DUMMYFUNCTION("""COMPUTED_VALUE"""),"R&amp;B")</f>
        <v>R&amp;B</v>
      </c>
      <c r="F36" s="210" t="str">
        <f>IFERROR(__xludf.DUMMYFUNCTION("""COMPUTED_VALUE"""),"RMZ")</f>
        <v>RMZ</v>
      </c>
      <c r="G36" s="210" t="str">
        <f>IFERROR(__xludf.DUMMYFUNCTION("""COMPUTED_VALUE"""),"Revised_RMZ_3")</f>
        <v>Revised_RMZ_3</v>
      </c>
      <c r="H36" s="211" t="str">
        <f>IFERROR(__xludf.DUMMYFUNCTION("""COMPUTED_VALUE"""),"Eid25_NoRepeat_Ramzan")</f>
        <v>Eid25_NoRepeat_Ramzan</v>
      </c>
      <c r="I36" s="211" t="str">
        <f>IFERROR(__xludf.DUMMYFUNCTION("""COMPUTED_VALUE"""),"Customers who have shopped during last Eid (1st March'25 and 31st March'25) and have not shopped again with R&amp;B AND Exclude Customers who have purchased from 27th Feb 2026 to 9th March 2026; Txn_Store_Code :- RB002,RB014,RB017,RB004,RB024,RB007,RB006,RB00"&amp;"5,RB001,1286,RB008,RB016,RB010,RB020,RB021,RB022,1283,1284,1296,RB025,1281,RB009
")</f>
        <v>Customers who have shopped during last Eid (1st March'25 and 31st March'25) and have not shopped again with R&amp;B AND Exclude Customers who have purchased from 27th Feb 2026 to 9th March 2026; Txn_Store_Code :- RB002,RB014,RB017,RB004,RB024,RB007,RB006,RB005,RB001,1286,RB008,RB016,RB010,RB020,RB021,RB022,1283,1284,1296,RB025,1281,RB009
</v>
      </c>
      <c r="J36" s="213">
        <f>IFERROR(__xludf.DUMMYFUNCTION("""COMPUTED_VALUE"""),30978.0)</f>
        <v>30978</v>
      </c>
      <c r="K36" s="213">
        <f>IFERROR(__xludf.DUMMYFUNCTION("""COMPUTED_VALUE"""),17145.0)</f>
        <v>17145</v>
      </c>
      <c r="L36" s="214">
        <f>IFERROR(__xludf.DUMMYFUNCTION("""COMPUTED_VALUE"""),0.5535)</f>
        <v>0.5535</v>
      </c>
      <c r="M36" s="213">
        <f>IFERROR(__xludf.DUMMYFUNCTION("""COMPUTED_VALUE"""),8952.0)</f>
        <v>8952</v>
      </c>
      <c r="N36" s="214">
        <f>IFERROR(__xludf.DUMMYFUNCTION("""COMPUTED_VALUE"""),0.522)</f>
        <v>0.522</v>
      </c>
      <c r="O36" s="213">
        <f>IFERROR(__xludf.DUMMYFUNCTION("""COMPUTED_VALUE"""),426.0)</f>
        <v>426</v>
      </c>
      <c r="P36" s="213">
        <f>IFERROR(__xludf.DUMMYFUNCTION("""COMPUTED_VALUE"""),411.0)</f>
        <v>411</v>
      </c>
      <c r="Q36" s="214">
        <f>IFERROR(__xludf.DUMMYFUNCTION("""COMPUTED_VALUE"""),0.024)</f>
        <v>0.024</v>
      </c>
      <c r="R36" s="214">
        <f>IFERROR(__xludf.DUMMYFUNCTION("""COMPUTED_VALUE"""),0.0459)</f>
        <v>0.0459</v>
      </c>
      <c r="S36" s="101"/>
      <c r="T36" s="101"/>
      <c r="U36" s="213"/>
      <c r="V36" s="101" t="str">
        <f>IFERROR(__xludf.DUMMYFUNCTION("""COMPUTED_VALUE"""),"offline")</f>
        <v>offline</v>
      </c>
      <c r="W36" s="101" t="str">
        <f>IFERROR(__xludf.DUMMYFUNCTION("""COMPUTED_VALUE"""),"simple")</f>
        <v>simple</v>
      </c>
      <c r="X36" s="101" t="str">
        <f>IFERROR(__xludf.DUMMYFUNCTION("""COMPUTED_VALUE"""),"Event Buyers and not shopped again")</f>
        <v>Event Buyers and not shopped again</v>
      </c>
      <c r="Y36" s="101" t="str">
        <f>IFERROR(__xludf.DUMMYFUNCTION("""COMPUTED_VALUE"""),"14th-18th march")</f>
        <v>14th-18th march</v>
      </c>
      <c r="Z36" s="101" t="str">
        <f>IFERROR(__xludf.DUMMYFUNCTION("""COMPUTED_VALUE"""),"69b4e4e71db83d0b77ff3c54")</f>
        <v>69b4e4e71db83d0b77ff3c54</v>
      </c>
      <c r="AA36" s="213">
        <f>IFERROR(__xludf.DUMMYFUNCTION("""COMPUTED_VALUE"""),118.0)</f>
        <v>118</v>
      </c>
      <c r="AB36" s="213"/>
      <c r="AC36" s="213">
        <f>IFERROR(__xludf.DUMMYFUNCTION("""COMPUTED_VALUE"""),118.0)</f>
        <v>118</v>
      </c>
      <c r="AD36" s="213">
        <f>IFERROR(__xludf.DUMMYFUNCTION("""COMPUTED_VALUE"""),359945.0)</f>
        <v>359945</v>
      </c>
      <c r="AE36" s="213"/>
      <c r="AF36" s="213">
        <f>IFERROR(__xludf.DUMMYFUNCTION("""COMPUTED_VALUE"""),359945.0)</f>
        <v>359945</v>
      </c>
      <c r="AG36" s="282"/>
      <c r="AH36" s="282"/>
      <c r="AI36" s="282"/>
      <c r="AJ36" s="303"/>
      <c r="AK36" s="303"/>
      <c r="AL36" s="303"/>
      <c r="AM36" s="282"/>
      <c r="AN36" s="282"/>
      <c r="AO36" s="282"/>
      <c r="AP36" s="282"/>
      <c r="AQ36" s="282"/>
      <c r="AR36" s="282"/>
      <c r="AS36" s="282"/>
      <c r="AT36" s="282"/>
      <c r="AU36" s="282"/>
      <c r="AV36" s="282"/>
      <c r="AW36" s="282"/>
      <c r="AX36" s="282"/>
      <c r="AY36" s="282"/>
      <c r="AZ36" s="282"/>
    </row>
    <row r="37">
      <c r="A37" s="306">
        <f>IFERROR(__xludf.DUMMYFUNCTION("""COMPUTED_VALUE"""),46095.0)</f>
        <v>46095</v>
      </c>
      <c r="B37" s="210">
        <f>IFERROR(__xludf.DUMMYFUNCTION("""COMPUTED_VALUE"""),46095.42708333333)</f>
        <v>46095.42708</v>
      </c>
      <c r="C37" s="210" t="str">
        <f>IFERROR(__xludf.DUMMYFUNCTION("""COMPUTED_VALUE"""),"Whatsapp")</f>
        <v>Whatsapp</v>
      </c>
      <c r="D37" s="210" t="str">
        <f>IFERROR(__xludf.DUMMYFUNCTION("""COMPUTED_VALUE"""),"Promotional")</f>
        <v>Promotional</v>
      </c>
      <c r="E37" s="210" t="str">
        <f>IFERROR(__xludf.DUMMYFUNCTION("""COMPUTED_VALUE"""),"R&amp;B")</f>
        <v>R&amp;B</v>
      </c>
      <c r="F37" s="210" t="str">
        <f>IFERROR(__xludf.DUMMYFUNCTION("""COMPUTED_VALUE"""),"RMZ- non")</f>
        <v>RMZ- non</v>
      </c>
      <c r="G37" s="210" t="str">
        <f>IFERROR(__xludf.DUMMYFUNCTION("""COMPUTED_VALUE"""),"Revised_NonRMZ_4")</f>
        <v>Revised_NonRMZ_4</v>
      </c>
      <c r="H37" s="211" t="str">
        <f>IFERROR(__xludf.DUMMYFUNCTION("""COMPUTED_VALUE"""),"2Time_Buy_6M_NonRamzan OR RB_Internal")</f>
        <v>2Time_Buy_6M_NonRamzan OR RB_Internal</v>
      </c>
      <c r="I37" s="211" t="str">
        <f>IFERROR(__xludf.DUMMYFUNCTION("""COMPUTED_VALUE"""),"Customers who have shopped for &gt; 2 times in the last 6 months AND Exclude Customers who have purchased from 27th Feb 2026 to 9th March 2026; Txn_Store_Code :- RB023,RB011,RB018,RB012,RB015,RB003,1302,1282,1250,RB019,1299,1305,1297,RB026,1298,1258,1300,RB0"&amp;"13
")</f>
        <v>Customers who have shopped for &gt; 2 times in the last 6 months AND Exclude Customers who have purchased from 27th Feb 2026 to 9th March 2026; Txn_Store_Code :- RB023,RB011,RB018,RB012,RB015,RB003,1302,1282,1250,RB019,1299,1305,1297,RB026,1298,1258,1300,RB013
</v>
      </c>
      <c r="J37" s="213">
        <f>IFERROR(__xludf.DUMMYFUNCTION("""COMPUTED_VALUE"""),17939.0)</f>
        <v>17939</v>
      </c>
      <c r="K37" s="213">
        <f>IFERROR(__xludf.DUMMYFUNCTION("""COMPUTED_VALUE"""),9957.0)</f>
        <v>9957</v>
      </c>
      <c r="L37" s="214">
        <f>IFERROR(__xludf.DUMMYFUNCTION("""COMPUTED_VALUE"""),0.555)</f>
        <v>0.555</v>
      </c>
      <c r="M37" s="213">
        <f>IFERROR(__xludf.DUMMYFUNCTION("""COMPUTED_VALUE"""),6465.0)</f>
        <v>6465</v>
      </c>
      <c r="N37" s="214">
        <f>IFERROR(__xludf.DUMMYFUNCTION("""COMPUTED_VALUE"""),0.6483)</f>
        <v>0.6483</v>
      </c>
      <c r="O37" s="213">
        <f>IFERROR(__xludf.DUMMYFUNCTION("""COMPUTED_VALUE"""),502.0)</f>
        <v>502</v>
      </c>
      <c r="P37" s="213">
        <f>IFERROR(__xludf.DUMMYFUNCTION("""COMPUTED_VALUE"""),482.0)</f>
        <v>482</v>
      </c>
      <c r="Q37" s="214">
        <f>IFERROR(__xludf.DUMMYFUNCTION("""COMPUTED_VALUE"""),0.0484)</f>
        <v>0.0484</v>
      </c>
      <c r="R37" s="214">
        <f>IFERROR(__xludf.DUMMYFUNCTION("""COMPUTED_VALUE"""),0.0747)</f>
        <v>0.0747</v>
      </c>
      <c r="S37" s="101"/>
      <c r="T37" s="101"/>
      <c r="U37" s="213"/>
      <c r="V37" s="101" t="str">
        <f>IFERROR(__xludf.DUMMYFUNCTION("""COMPUTED_VALUE"""),"offline")</f>
        <v>offline</v>
      </c>
      <c r="W37" s="101" t="str">
        <f>IFERROR(__xludf.DUMMYFUNCTION("""COMPUTED_VALUE"""),"simple")</f>
        <v>simple</v>
      </c>
      <c r="X37" s="101" t="str">
        <f>IFERROR(__xludf.DUMMYFUNCTION("""COMPUTED_VALUE"""),"Repeat")</f>
        <v>Repeat</v>
      </c>
      <c r="Y37" s="101" t="str">
        <f>IFERROR(__xludf.DUMMYFUNCTION("""COMPUTED_VALUE"""),"14th-18th march")</f>
        <v>14th-18th march</v>
      </c>
      <c r="Z37" s="101" t="str">
        <f>IFERROR(__xludf.DUMMYFUNCTION("""COMPUTED_VALUE"""),"69b4e5df9c8554dbd5660663")</f>
        <v>69b4e5df9c8554dbd5660663</v>
      </c>
      <c r="AA37" s="213">
        <f>IFERROR(__xludf.DUMMYFUNCTION("""COMPUTED_VALUE"""),157.0)</f>
        <v>157</v>
      </c>
      <c r="AB37" s="213"/>
      <c r="AC37" s="213">
        <f>IFERROR(__xludf.DUMMYFUNCTION("""COMPUTED_VALUE"""),157.0)</f>
        <v>157</v>
      </c>
      <c r="AD37" s="213">
        <f>IFERROR(__xludf.DUMMYFUNCTION("""COMPUTED_VALUE"""),442178.0)</f>
        <v>442178</v>
      </c>
      <c r="AE37" s="213"/>
      <c r="AF37" s="213">
        <f>IFERROR(__xludf.DUMMYFUNCTION("""COMPUTED_VALUE"""),442178.0)</f>
        <v>442178</v>
      </c>
      <c r="AG37" s="282"/>
      <c r="AH37" s="282"/>
      <c r="AI37" s="282"/>
      <c r="AJ37" s="303"/>
      <c r="AK37" s="303"/>
      <c r="AL37" s="303"/>
      <c r="AM37" s="282"/>
      <c r="AN37" s="282"/>
      <c r="AO37" s="282"/>
      <c r="AP37" s="282"/>
      <c r="AQ37" s="282"/>
      <c r="AR37" s="282"/>
      <c r="AS37" s="282"/>
      <c r="AT37" s="282"/>
      <c r="AU37" s="282"/>
      <c r="AV37" s="282"/>
      <c r="AW37" s="282"/>
      <c r="AX37" s="282"/>
      <c r="AY37" s="282"/>
      <c r="AZ37" s="282"/>
    </row>
    <row r="38">
      <c r="A38" s="306">
        <f>IFERROR(__xludf.DUMMYFUNCTION("""COMPUTED_VALUE"""),46095.0)</f>
        <v>46095</v>
      </c>
      <c r="B38" s="210">
        <f>IFERROR(__xludf.DUMMYFUNCTION("""COMPUTED_VALUE"""),46095.430555555555)</f>
        <v>46095.43056</v>
      </c>
      <c r="C38" s="210" t="str">
        <f>IFERROR(__xludf.DUMMYFUNCTION("""COMPUTED_VALUE"""),"Whatsapp")</f>
        <v>Whatsapp</v>
      </c>
      <c r="D38" s="210" t="str">
        <f>IFERROR(__xludf.DUMMYFUNCTION("""COMPUTED_VALUE"""),"Promotional")</f>
        <v>Promotional</v>
      </c>
      <c r="E38" s="210" t="str">
        <f>IFERROR(__xludf.DUMMYFUNCTION("""COMPUTED_VALUE"""),"R&amp;B")</f>
        <v>R&amp;B</v>
      </c>
      <c r="F38" s="210" t="str">
        <f>IFERROR(__xludf.DUMMYFUNCTION("""COMPUTED_VALUE"""),"RMZ- non")</f>
        <v>RMZ- non</v>
      </c>
      <c r="G38" s="210" t="str">
        <f>IFERROR(__xludf.DUMMYFUNCTION("""COMPUTED_VALUE"""),"Revised_NonRMZ_5")</f>
        <v>Revised_NonRMZ_5</v>
      </c>
      <c r="H38" s="211" t="str">
        <f>IFERROR(__xludf.DUMMYFUNCTION("""COMPUTED_VALUE"""),"Eid25_Repeat_Buy_NonRamzan")</f>
        <v>Eid25_Repeat_Buy_NonRamzan</v>
      </c>
      <c r="I38" s="211" t="str">
        <f>IFERROR(__xludf.DUMMYFUNCTION("""COMPUTED_VALUE"""),"Customers who have shopped during last Eid (1st March'25 and 31st March'25) and have shopped again with R&amp;B AND Exclude Customers who have purchased from 27th Feb 2026 to 9th March 2026; Txn_Store_Code :- RB023,RB011,RB018,RB012,RB015,RB003,1302,1282,1250"&amp;",RB019,1299,1305,1297,RB026,1298,1258,1300,RB013
")</f>
        <v>Customers who have shopped during last Eid (1st March'25 and 31st March'25) and have shopped again with R&amp;B AND Exclude Customers who have purchased from 27th Feb 2026 to 9th March 2026; Txn_Store_Code :- RB023,RB011,RB018,RB012,RB015,RB003,1302,1282,1250,RB019,1299,1305,1297,RB026,1298,1258,1300,RB013
</v>
      </c>
      <c r="J38" s="213">
        <f>IFERROR(__xludf.DUMMYFUNCTION("""COMPUTED_VALUE"""),3984.0)</f>
        <v>3984</v>
      </c>
      <c r="K38" s="213">
        <f>IFERROR(__xludf.DUMMYFUNCTION("""COMPUTED_VALUE"""),2075.0)</f>
        <v>2075</v>
      </c>
      <c r="L38" s="214">
        <f>IFERROR(__xludf.DUMMYFUNCTION("""COMPUTED_VALUE"""),0.5208)</f>
        <v>0.5208</v>
      </c>
      <c r="M38" s="213">
        <f>IFERROR(__xludf.DUMMYFUNCTION("""COMPUTED_VALUE"""),1334.0)</f>
        <v>1334</v>
      </c>
      <c r="N38" s="214">
        <f>IFERROR(__xludf.DUMMYFUNCTION("""COMPUTED_VALUE"""),0.6419)</f>
        <v>0.6419</v>
      </c>
      <c r="O38" s="213">
        <f>IFERROR(__xludf.DUMMYFUNCTION("""COMPUTED_VALUE"""),88.0)</f>
        <v>88</v>
      </c>
      <c r="P38" s="213">
        <f>IFERROR(__xludf.DUMMYFUNCTION("""COMPUTED_VALUE"""),85.0)</f>
        <v>85</v>
      </c>
      <c r="Q38" s="214">
        <f>IFERROR(__xludf.DUMMYFUNCTION("""COMPUTED_VALUE"""),0.041)</f>
        <v>0.041</v>
      </c>
      <c r="R38" s="214">
        <f>IFERROR(__xludf.DUMMYFUNCTION("""COMPUTED_VALUE"""),0.0638)</f>
        <v>0.0638</v>
      </c>
      <c r="S38" s="101"/>
      <c r="T38" s="101"/>
      <c r="U38" s="213"/>
      <c r="V38" s="101" t="str">
        <f>IFERROR(__xludf.DUMMYFUNCTION("""COMPUTED_VALUE"""),"offline")</f>
        <v>offline</v>
      </c>
      <c r="W38" s="101" t="str">
        <f>IFERROR(__xludf.DUMMYFUNCTION("""COMPUTED_VALUE"""),"simple")</f>
        <v>simple</v>
      </c>
      <c r="X38" s="101" t="str">
        <f>IFERROR(__xludf.DUMMYFUNCTION("""COMPUTED_VALUE"""),"Event Buyers and shopped again")</f>
        <v>Event Buyers and shopped again</v>
      </c>
      <c r="Y38" s="101" t="str">
        <f>IFERROR(__xludf.DUMMYFUNCTION("""COMPUTED_VALUE"""),"14th-18th march")</f>
        <v>14th-18th march</v>
      </c>
      <c r="Z38" s="101" t="str">
        <f>IFERROR(__xludf.DUMMYFUNCTION("""COMPUTED_VALUE"""),"69b4e743fde15178be1c2438")</f>
        <v>69b4e743fde15178be1c2438</v>
      </c>
      <c r="AA38" s="213">
        <f>IFERROR(__xludf.DUMMYFUNCTION("""COMPUTED_VALUE"""),50.0)</f>
        <v>50</v>
      </c>
      <c r="AB38" s="213"/>
      <c r="AC38" s="213">
        <f>IFERROR(__xludf.DUMMYFUNCTION("""COMPUTED_VALUE"""),50.0)</f>
        <v>50</v>
      </c>
      <c r="AD38" s="213">
        <f>IFERROR(__xludf.DUMMYFUNCTION("""COMPUTED_VALUE"""),148867.0)</f>
        <v>148867</v>
      </c>
      <c r="AE38" s="213"/>
      <c r="AF38" s="213">
        <f>IFERROR(__xludf.DUMMYFUNCTION("""COMPUTED_VALUE"""),148867.0)</f>
        <v>148867</v>
      </c>
      <c r="AG38" s="282"/>
      <c r="AH38" s="282"/>
      <c r="AI38" s="282"/>
      <c r="AJ38" s="303"/>
      <c r="AK38" s="303"/>
      <c r="AL38" s="303"/>
      <c r="AM38" s="282"/>
      <c r="AN38" s="282"/>
      <c r="AO38" s="282"/>
      <c r="AP38" s="282"/>
      <c r="AQ38" s="282"/>
      <c r="AR38" s="282"/>
      <c r="AS38" s="282"/>
      <c r="AT38" s="282"/>
      <c r="AU38" s="282"/>
      <c r="AV38" s="282"/>
      <c r="AW38" s="282"/>
      <c r="AX38" s="282"/>
      <c r="AY38" s="282"/>
      <c r="AZ38" s="282"/>
    </row>
    <row r="39">
      <c r="A39" s="306">
        <f>IFERROR(__xludf.DUMMYFUNCTION("""COMPUTED_VALUE"""),46095.0)</f>
        <v>46095</v>
      </c>
      <c r="B39" s="210">
        <f>IFERROR(__xludf.DUMMYFUNCTION("""COMPUTED_VALUE"""),46095.43402777778)</f>
        <v>46095.43403</v>
      </c>
      <c r="C39" s="210" t="str">
        <f>IFERROR(__xludf.DUMMYFUNCTION("""COMPUTED_VALUE"""),"Whatsapp")</f>
        <v>Whatsapp</v>
      </c>
      <c r="D39" s="210" t="str">
        <f>IFERROR(__xludf.DUMMYFUNCTION("""COMPUTED_VALUE"""),"Promotional")</f>
        <v>Promotional</v>
      </c>
      <c r="E39" s="210" t="str">
        <f>IFERROR(__xludf.DUMMYFUNCTION("""COMPUTED_VALUE"""),"R&amp;B")</f>
        <v>R&amp;B</v>
      </c>
      <c r="F39" s="210" t="str">
        <f>IFERROR(__xludf.DUMMYFUNCTION("""COMPUTED_VALUE"""),"RMZ- non")</f>
        <v>RMZ- non</v>
      </c>
      <c r="G39" s="210" t="str">
        <f>IFERROR(__xludf.DUMMYFUNCTION("""COMPUTED_VALUE"""),"Revised_NonRMZ_6")</f>
        <v>Revised_NonRMZ_6</v>
      </c>
      <c r="H39" s="211" t="str">
        <f>IFERROR(__xludf.DUMMYFUNCTION("""COMPUTED_VALUE"""),"Eid25_NoRepeat_NonRamzan")</f>
        <v>Eid25_NoRepeat_NonRamzan</v>
      </c>
      <c r="I39" s="211" t="str">
        <f>IFERROR(__xludf.DUMMYFUNCTION("""COMPUTED_VALUE"""),"Customers who have shopped during last Eid (1st March'25 and 31st March'25) and have not shopped again with R&amp;B AND Exclude Customers who have purchased from 27th Feb 2026 to 9th March 2026; Txn_Store_Code :- RB023,RB011,RB018,RB012,RB015,RB003,1302,1282,"&amp;"1250,RB019,1299,1305,1297,RB026,1298,1258,1300,RB013
")</f>
        <v>Customers who have shopped during last Eid (1st March'25 and 31st March'25) and have not shopped again with R&amp;B AND Exclude Customers who have purchased from 27th Feb 2026 to 9th March 2026; Txn_Store_Code :- RB023,RB011,RB018,RB012,RB015,RB003,1302,1282,1250,RB019,1299,1305,1297,RB026,1298,1258,1300,RB013
</v>
      </c>
      <c r="J39" s="213">
        <f>IFERROR(__xludf.DUMMYFUNCTION("""COMPUTED_VALUE"""),10606.0)</f>
        <v>10606</v>
      </c>
      <c r="K39" s="213">
        <f>IFERROR(__xludf.DUMMYFUNCTION("""COMPUTED_VALUE"""),5868.0)</f>
        <v>5868</v>
      </c>
      <c r="L39" s="214">
        <f>IFERROR(__xludf.DUMMYFUNCTION("""COMPUTED_VALUE"""),0.5533)</f>
        <v>0.5533</v>
      </c>
      <c r="M39" s="213">
        <f>IFERROR(__xludf.DUMMYFUNCTION("""COMPUTED_VALUE"""),3440.0)</f>
        <v>3440</v>
      </c>
      <c r="N39" s="214">
        <f>IFERROR(__xludf.DUMMYFUNCTION("""COMPUTED_VALUE"""),0.5847)</f>
        <v>0.5847</v>
      </c>
      <c r="O39" s="213">
        <f>IFERROR(__xludf.DUMMYFUNCTION("""COMPUTED_VALUE"""),131.0)</f>
        <v>131</v>
      </c>
      <c r="P39" s="213">
        <f>IFERROR(__xludf.DUMMYFUNCTION("""COMPUTED_VALUE"""),124.0)</f>
        <v>124</v>
      </c>
      <c r="Q39" s="214">
        <f>IFERROR(__xludf.DUMMYFUNCTION("""COMPUTED_VALUE"""),0.0211)</f>
        <v>0.0211</v>
      </c>
      <c r="R39" s="214">
        <f>IFERROR(__xludf.DUMMYFUNCTION("""COMPUTED_VALUE"""),0.0362)</f>
        <v>0.0362</v>
      </c>
      <c r="S39" s="101"/>
      <c r="T39" s="101"/>
      <c r="U39" s="213"/>
      <c r="V39" s="101" t="str">
        <f>IFERROR(__xludf.DUMMYFUNCTION("""COMPUTED_VALUE"""),"offline")</f>
        <v>offline</v>
      </c>
      <c r="W39" s="101" t="str">
        <f>IFERROR(__xludf.DUMMYFUNCTION("""COMPUTED_VALUE"""),"simple")</f>
        <v>simple</v>
      </c>
      <c r="X39" s="101" t="str">
        <f>IFERROR(__xludf.DUMMYFUNCTION("""COMPUTED_VALUE"""),"Event Buyers and not shopped again")</f>
        <v>Event Buyers and not shopped again</v>
      </c>
      <c r="Y39" s="101" t="str">
        <f>IFERROR(__xludf.DUMMYFUNCTION("""COMPUTED_VALUE"""),"14th-18th march")</f>
        <v>14th-18th march</v>
      </c>
      <c r="Z39" s="101" t="str">
        <f>IFERROR(__xludf.DUMMYFUNCTION("""COMPUTED_VALUE"""),"69b4e80b92fa82a5669e4502")</f>
        <v>69b4e80b92fa82a5669e4502</v>
      </c>
      <c r="AA39" s="213">
        <f>IFERROR(__xludf.DUMMYFUNCTION("""COMPUTED_VALUE"""),34.0)</f>
        <v>34</v>
      </c>
      <c r="AB39" s="213"/>
      <c r="AC39" s="213">
        <f>IFERROR(__xludf.DUMMYFUNCTION("""COMPUTED_VALUE"""),34.0)</f>
        <v>34</v>
      </c>
      <c r="AD39" s="213">
        <f>IFERROR(__xludf.DUMMYFUNCTION("""COMPUTED_VALUE"""),162547.0)</f>
        <v>162547</v>
      </c>
      <c r="AE39" s="213"/>
      <c r="AF39" s="213">
        <f>IFERROR(__xludf.DUMMYFUNCTION("""COMPUTED_VALUE"""),162547.0)</f>
        <v>162547</v>
      </c>
      <c r="AG39" s="282"/>
      <c r="AH39" s="282"/>
      <c r="AI39" s="282"/>
      <c r="AJ39" s="303"/>
      <c r="AK39" s="303"/>
      <c r="AL39" s="303"/>
      <c r="AM39" s="282"/>
      <c r="AN39" s="282"/>
      <c r="AO39" s="282"/>
      <c r="AP39" s="282"/>
      <c r="AQ39" s="282"/>
      <c r="AR39" s="282"/>
      <c r="AS39" s="282"/>
      <c r="AT39" s="282"/>
      <c r="AU39" s="282"/>
      <c r="AV39" s="282"/>
      <c r="AW39" s="282"/>
      <c r="AX39" s="282"/>
      <c r="AY39" s="282"/>
      <c r="AZ39" s="282"/>
    </row>
    <row r="40">
      <c r="A40" s="306">
        <f>IFERROR(__xludf.DUMMYFUNCTION("""COMPUTED_VALUE"""),46115.0)</f>
        <v>46115</v>
      </c>
      <c r="B40" s="210">
        <f>IFERROR(__xludf.DUMMYFUNCTION("""COMPUTED_VALUE"""),0.625)</f>
        <v>0.625</v>
      </c>
      <c r="C40" s="210" t="str">
        <f>IFERROR(__xludf.DUMMYFUNCTION("""COMPUTED_VALUE"""),"Whatsapp")</f>
        <v>Whatsapp</v>
      </c>
      <c r="D40" s="210" t="str">
        <f>IFERROR(__xludf.DUMMYFUNCTION("""COMPUTED_VALUE"""),"Promotional")</f>
        <v>Promotional</v>
      </c>
      <c r="E40" s="210" t="str">
        <f>IFERROR(__xludf.DUMMYFUNCTION("""COMPUTED_VALUE"""),"R&amp;B")</f>
        <v>R&amp;B</v>
      </c>
      <c r="F40" s="210" t="str">
        <f>IFERROR(__xludf.DUMMYFUNCTION("""COMPUTED_VALUE"""),"Store campaigns")</f>
        <v>Store campaigns</v>
      </c>
      <c r="G40" s="210" t="str">
        <f>IFERROR(__xludf.DUMMYFUNCTION("""COMPUTED_VALUE"""),"Kochi Store Launch")</f>
        <v>Kochi Store Launch</v>
      </c>
      <c r="H40" s="211" t="str">
        <f>IFERROR(__xludf.DUMMYFUNCTION("""COMPUTED_VALUE"""),"Kochi_Store_Launch_Off OR RB_Internal")</f>
        <v>Kochi_Store_Launch_Off OR RB_Internal</v>
      </c>
      <c r="I40" s="211" t="str">
        <f>IFERROR(__xludf.DUMMYFUNCTION("""COMPUTED_VALUE"""),"All customers who have at least shopped once from 1st Apr 2023 to 30th March 2026 from the stores: RB004, RB016, RB022.")</f>
        <v>All customers who have at least shopped once from 1st Apr 2023 to 30th March 2026 from the stores: RB004, RB016, RB022.</v>
      </c>
      <c r="J40" s="213">
        <f>IFERROR(__xludf.DUMMYFUNCTION("""COMPUTED_VALUE"""),117377.0)</f>
        <v>117377</v>
      </c>
      <c r="K40" s="213">
        <f>IFERROR(__xludf.DUMMYFUNCTION("""COMPUTED_VALUE"""),75268.0)</f>
        <v>75268</v>
      </c>
      <c r="L40" s="214">
        <f>IFERROR(__xludf.DUMMYFUNCTION("""COMPUTED_VALUE"""),0.6412)</f>
        <v>0.6412</v>
      </c>
      <c r="M40" s="213">
        <f>IFERROR(__xludf.DUMMYFUNCTION("""COMPUTED_VALUE"""),41937.0)</f>
        <v>41937</v>
      </c>
      <c r="N40" s="214">
        <f>IFERROR(__xludf.DUMMYFUNCTION("""COMPUTED_VALUE"""),0.5573)</f>
        <v>0.5573</v>
      </c>
      <c r="O40" s="213">
        <f>IFERROR(__xludf.DUMMYFUNCTION("""COMPUTED_VALUE"""),1647.0)</f>
        <v>1647</v>
      </c>
      <c r="P40" s="213">
        <f>IFERROR(__xludf.DUMMYFUNCTION("""COMPUTED_VALUE"""),1498.0)</f>
        <v>1498</v>
      </c>
      <c r="Q40" s="214">
        <f>IFERROR(__xludf.DUMMYFUNCTION("""COMPUTED_VALUE"""),0.0199)</f>
        <v>0.0199</v>
      </c>
      <c r="R40" s="214">
        <f>IFERROR(__xludf.DUMMYFUNCTION("""COMPUTED_VALUE"""),0.0357)</f>
        <v>0.0357</v>
      </c>
      <c r="S40" s="101"/>
      <c r="T40" s="101"/>
      <c r="U40" s="213"/>
      <c r="V40" s="101" t="str">
        <f>IFERROR(__xludf.DUMMYFUNCTION("""COMPUTED_VALUE"""),"offline")</f>
        <v>offline</v>
      </c>
      <c r="W40" s="101" t="str">
        <f>IFERROR(__xludf.DUMMYFUNCTION("""COMPUTED_VALUE"""),"simple")</f>
        <v>simple</v>
      </c>
      <c r="X40" s="101" t="str">
        <f>IFERROR(__xludf.DUMMYFUNCTION("""COMPUTED_VALUE"""),"City")</f>
        <v>City</v>
      </c>
      <c r="Y40" s="101" t="str">
        <f>IFERROR(__xludf.DUMMYFUNCTION("""COMPUTED_VALUE"""),"4th to 5th April 2026")</f>
        <v>4th to 5th April 2026</v>
      </c>
      <c r="Z40" s="101" t="str">
        <f>IFERROR(__xludf.DUMMYFUNCTION("""COMPUTED_VALUE"""),"69cbc3497215b54dbe6f800c")</f>
        <v>69cbc3497215b54dbe6f800c</v>
      </c>
      <c r="AA40" s="213">
        <f>IFERROR(__xludf.DUMMYFUNCTION("""COMPUTED_VALUE"""),172.0)</f>
        <v>172</v>
      </c>
      <c r="AB40" s="213"/>
      <c r="AC40" s="213">
        <f>IFERROR(__xludf.DUMMYFUNCTION("""COMPUTED_VALUE"""),172.0)</f>
        <v>172</v>
      </c>
      <c r="AD40" s="213">
        <f>IFERROR(__xludf.DUMMYFUNCTION("""COMPUTED_VALUE"""),358949.0)</f>
        <v>358949</v>
      </c>
      <c r="AE40" s="213"/>
      <c r="AF40" s="213">
        <f>IFERROR(__xludf.DUMMYFUNCTION("""COMPUTED_VALUE"""),358949.0)</f>
        <v>358949</v>
      </c>
      <c r="AG40" s="282"/>
      <c r="AH40" s="282"/>
      <c r="AI40" s="282"/>
      <c r="AJ40" s="303"/>
      <c r="AK40" s="303"/>
      <c r="AL40" s="303"/>
      <c r="AM40" s="282"/>
      <c r="AN40" s="282"/>
      <c r="AO40" s="282"/>
      <c r="AP40" s="282"/>
      <c r="AQ40" s="282"/>
      <c r="AR40" s="282"/>
      <c r="AS40" s="282"/>
      <c r="AT40" s="282"/>
      <c r="AU40" s="282"/>
      <c r="AV40" s="282"/>
      <c r="AW40" s="282"/>
      <c r="AX40" s="282"/>
      <c r="AY40" s="282"/>
      <c r="AZ40" s="282"/>
    </row>
    <row r="41">
      <c r="A41" s="306">
        <f>IFERROR(__xludf.DUMMYFUNCTION("""COMPUTED_VALUE"""),46115.0)</f>
        <v>46115</v>
      </c>
      <c r="B41" s="210">
        <f>IFERROR(__xludf.DUMMYFUNCTION("""COMPUTED_VALUE"""),0.4166666666678793)</f>
        <v>0.4166666667</v>
      </c>
      <c r="C41" s="210" t="str">
        <f>IFERROR(__xludf.DUMMYFUNCTION("""COMPUTED_VALUE"""),"Whatsapp")</f>
        <v>Whatsapp</v>
      </c>
      <c r="D41" s="210" t="str">
        <f>IFERROR(__xludf.DUMMYFUNCTION("""COMPUTED_VALUE"""),"Promotional")</f>
        <v>Promotional</v>
      </c>
      <c r="E41" s="210" t="str">
        <f>IFERROR(__xludf.DUMMYFUNCTION("""COMPUTED_VALUE"""),"R&amp;B")</f>
        <v>R&amp;B</v>
      </c>
      <c r="F41" s="210" t="str">
        <f>IFERROR(__xludf.DUMMYFUNCTION("""COMPUTED_VALUE"""),"Store campaigns")</f>
        <v>Store campaigns</v>
      </c>
      <c r="G41" s="210" t="str">
        <f>IFERROR(__xludf.DUMMYFUNCTION("""COMPUTED_VALUE"""),"Fashion Crew Launch")</f>
        <v>Fashion Crew Launch</v>
      </c>
      <c r="H41" s="211" t="str">
        <f>IFERROR(__xludf.DUMMYFUNCTION("""COMPUTED_VALUE"""),"Fashion_Crew_Launch_Off OR RB_Internal")</f>
        <v>Fashion_Crew_Launch_Off OR RB_Internal</v>
      </c>
      <c r="I41" s="211" t="str">
        <f>IFERROR(__xludf.DUMMYFUNCTION("""COMPUTED_VALUE"""),"All customers who have shopped from Women’s Western OR Women’s Ethnic OR Girls 8-14 in the last 1 year")</f>
        <v>All customers who have shopped from Women’s Western OR Women’s Ethnic OR Girls 8-14 in the last 1 year</v>
      </c>
      <c r="J41" s="213">
        <f>IFERROR(__xludf.DUMMYFUNCTION("""COMPUTED_VALUE"""),170425.0)</f>
        <v>170425</v>
      </c>
      <c r="K41" s="213">
        <f>IFERROR(__xludf.DUMMYFUNCTION("""COMPUTED_VALUE"""),111719.0)</f>
        <v>111719</v>
      </c>
      <c r="L41" s="214">
        <f>IFERROR(__xludf.DUMMYFUNCTION("""COMPUTED_VALUE"""),0.6555)</f>
        <v>0.6555</v>
      </c>
      <c r="M41" s="213">
        <f>IFERROR(__xludf.DUMMYFUNCTION("""COMPUTED_VALUE"""),64611.0)</f>
        <v>64611</v>
      </c>
      <c r="N41" s="214">
        <f>IFERROR(__xludf.DUMMYFUNCTION("""COMPUTED_VALUE"""),0.5784)</f>
        <v>0.5784</v>
      </c>
      <c r="O41" s="213">
        <f>IFERROR(__xludf.DUMMYFUNCTION("""COMPUTED_VALUE"""),4826.0)</f>
        <v>4826</v>
      </c>
      <c r="P41" s="213">
        <f>IFERROR(__xludf.DUMMYFUNCTION("""COMPUTED_VALUE"""),4425.0)</f>
        <v>4425</v>
      </c>
      <c r="Q41" s="214">
        <f>IFERROR(__xludf.DUMMYFUNCTION("""COMPUTED_VALUE"""),0.0396)</f>
        <v>0.0396</v>
      </c>
      <c r="R41" s="214">
        <f>IFERROR(__xludf.DUMMYFUNCTION("""COMPUTED_VALUE"""),0.0685)</f>
        <v>0.0685</v>
      </c>
      <c r="S41" s="101"/>
      <c r="T41" s="101"/>
      <c r="U41" s="213"/>
      <c r="V41" s="101" t="str">
        <f>IFERROR(__xludf.DUMMYFUNCTION("""COMPUTED_VALUE"""),"offline")</f>
        <v>offline</v>
      </c>
      <c r="W41" s="101" t="str">
        <f>IFERROR(__xludf.DUMMYFUNCTION("""COMPUTED_VALUE"""),"simple")</f>
        <v>simple</v>
      </c>
      <c r="X41" s="212" t="str">
        <f>IFERROR(__xludf.DUMMYFUNCTION("""COMPUTED_VALUE"""),"Category Movers")</f>
        <v>Category Movers</v>
      </c>
      <c r="Y41" s="212" t="str">
        <f>IFERROR(__xludf.DUMMYFUNCTION("""COMPUTED_VALUE"""),"3rd to 5th April 2026")</f>
        <v>3rd to 5th April 2026</v>
      </c>
      <c r="Z41" s="212" t="str">
        <f>IFERROR(__xludf.DUMMYFUNCTION("""COMPUTED_VALUE"""),"69cbc377f432799832040050")</f>
        <v>69cbc377f432799832040050</v>
      </c>
      <c r="AA41" s="287">
        <f>IFERROR(__xludf.DUMMYFUNCTION("""COMPUTED_VALUE"""),676.0)</f>
        <v>676</v>
      </c>
      <c r="AB41" s="213"/>
      <c r="AC41" s="213">
        <f>IFERROR(__xludf.DUMMYFUNCTION("""COMPUTED_VALUE"""),676.0)</f>
        <v>676</v>
      </c>
      <c r="AD41" s="213">
        <f>IFERROR(__xludf.DUMMYFUNCTION("""COMPUTED_VALUE"""),1713136.0)</f>
        <v>1713136</v>
      </c>
      <c r="AE41" s="213"/>
      <c r="AF41" s="213">
        <f>IFERROR(__xludf.DUMMYFUNCTION("""COMPUTED_VALUE"""),1713136.0)</f>
        <v>1713136</v>
      </c>
      <c r="AG41" s="282"/>
      <c r="AH41" s="282"/>
      <c r="AI41" s="282"/>
      <c r="AJ41" s="303"/>
      <c r="AK41" s="303"/>
      <c r="AL41" s="303"/>
      <c r="AM41" s="282"/>
      <c r="AN41" s="282"/>
      <c r="AO41" s="282"/>
      <c r="AP41" s="282"/>
      <c r="AQ41" s="282"/>
      <c r="AR41" s="282"/>
      <c r="AS41" s="282"/>
      <c r="AT41" s="282"/>
      <c r="AU41" s="282"/>
      <c r="AV41" s="282"/>
      <c r="AW41" s="282"/>
      <c r="AX41" s="282"/>
      <c r="AY41" s="282"/>
      <c r="AZ41" s="282"/>
    </row>
    <row r="42">
      <c r="A42" s="306">
        <f>IFERROR(__xludf.DUMMYFUNCTION("""COMPUTED_VALUE"""),46115.0)</f>
        <v>46115</v>
      </c>
      <c r="B42" s="210">
        <f>IFERROR(__xludf.DUMMYFUNCTION("""COMPUTED_VALUE"""),0.7083333333321207)</f>
        <v>0.7083333333</v>
      </c>
      <c r="C42" s="210" t="str">
        <f>IFERROR(__xludf.DUMMYFUNCTION("""COMPUTED_VALUE"""),"Sms")</f>
        <v>Sms</v>
      </c>
      <c r="D42" s="210" t="str">
        <f>IFERROR(__xludf.DUMMYFUNCTION("""COMPUTED_VALUE"""),"Fallback Campaign")</f>
        <v>Fallback Campaign</v>
      </c>
      <c r="E42" s="210" t="str">
        <f>IFERROR(__xludf.DUMMYFUNCTION("""COMPUTED_VALUE"""),"R&amp;B")</f>
        <v>R&amp;B</v>
      </c>
      <c r="F42" s="210" t="str">
        <f>IFERROR(__xludf.DUMMYFUNCTION("""COMPUTED_VALUE"""),"Store campaigns")</f>
        <v>Store campaigns</v>
      </c>
      <c r="G42" s="210" t="str">
        <f>IFERROR(__xludf.DUMMYFUNCTION("""COMPUTED_VALUE"""),"Fallback_Kochi Store")</f>
        <v>Fallback_Kochi Store</v>
      </c>
      <c r="H42" s="211" t="str">
        <f>IFERROR(__xludf.DUMMYFUNCTION("""COMPUTED_VALUE"""),"Kochi_Store_Launch_Off OR RB_Internal")</f>
        <v>Kochi_Store_Launch_Off OR RB_Internal</v>
      </c>
      <c r="I42" s="211" t="str">
        <f>IFERROR(__xludf.DUMMYFUNCTION("""COMPUTED_VALUE"""),"WA Undelivered")</f>
        <v>WA Undelivered</v>
      </c>
      <c r="J42" s="213">
        <f>IFERROR(__xludf.DUMMYFUNCTION("""COMPUTED_VALUE"""),38841.0)</f>
        <v>38841</v>
      </c>
      <c r="K42" s="213">
        <f>IFERROR(__xludf.DUMMYFUNCTION("""COMPUTED_VALUE"""),25458.0)</f>
        <v>25458</v>
      </c>
      <c r="L42" s="214">
        <f>IFERROR(__xludf.DUMMYFUNCTION("""COMPUTED_VALUE"""),0.6554)</f>
        <v>0.6554</v>
      </c>
      <c r="M42" s="213"/>
      <c r="N42" s="214"/>
      <c r="O42" s="213">
        <f>IFERROR(__xludf.DUMMYFUNCTION("""COMPUTED_VALUE"""),0.0)</f>
        <v>0</v>
      </c>
      <c r="P42" s="213"/>
      <c r="Q42" s="214">
        <f>IFERROR(__xludf.DUMMYFUNCTION("""COMPUTED_VALUE"""),0.0)</f>
        <v>0</v>
      </c>
      <c r="R42" s="214"/>
      <c r="S42" s="101"/>
      <c r="T42" s="101"/>
      <c r="U42" s="213"/>
      <c r="V42" s="101" t="str">
        <f>IFERROR(__xludf.DUMMYFUNCTION("""COMPUTED_VALUE"""),"offline")</f>
        <v>offline</v>
      </c>
      <c r="W42" s="101" t="str">
        <f>IFERROR(__xludf.DUMMYFUNCTION("""COMPUTED_VALUE"""),"SMS")</f>
        <v>SMS</v>
      </c>
      <c r="X42" s="212" t="str">
        <f>IFERROR(__xludf.DUMMYFUNCTION("""COMPUTED_VALUE"""),"City")</f>
        <v>City</v>
      </c>
      <c r="Y42" s="212" t="str">
        <f>IFERROR(__xludf.DUMMYFUNCTION("""COMPUTED_VALUE"""),"4th to 5th April")</f>
        <v>4th to 5th April</v>
      </c>
      <c r="Z42" s="212" t="str">
        <f>IFERROR(__xludf.DUMMYFUNCTION("""COMPUTED_VALUE"""),"69ce0b48dbd718c2782dbf35")</f>
        <v>69ce0b48dbd718c2782dbf35</v>
      </c>
      <c r="AA42" s="287">
        <f>IFERROR(__xludf.DUMMYFUNCTION("""COMPUTED_VALUE"""),62.0)</f>
        <v>62</v>
      </c>
      <c r="AB42" s="213"/>
      <c r="AC42" s="213">
        <f>IFERROR(__xludf.DUMMYFUNCTION("""COMPUTED_VALUE"""),62.0)</f>
        <v>62</v>
      </c>
      <c r="AD42" s="213">
        <f>IFERROR(__xludf.DUMMYFUNCTION("""COMPUTED_VALUE"""),115913.0)</f>
        <v>115913</v>
      </c>
      <c r="AE42" s="213"/>
      <c r="AF42" s="213">
        <f>IFERROR(__xludf.DUMMYFUNCTION("""COMPUTED_VALUE"""),115913.0)</f>
        <v>115913</v>
      </c>
      <c r="AG42" s="282"/>
      <c r="AH42" s="282"/>
      <c r="AI42" s="282"/>
      <c r="AJ42" s="303"/>
      <c r="AK42" s="303"/>
      <c r="AL42" s="303"/>
      <c r="AM42" s="282"/>
      <c r="AN42" s="282"/>
      <c r="AO42" s="282"/>
      <c r="AP42" s="282"/>
      <c r="AQ42" s="282"/>
      <c r="AR42" s="282"/>
      <c r="AS42" s="282"/>
      <c r="AT42" s="282"/>
      <c r="AU42" s="282"/>
      <c r="AV42" s="282"/>
      <c r="AW42" s="282"/>
      <c r="AX42" s="282"/>
      <c r="AY42" s="282"/>
      <c r="AZ42" s="282"/>
    </row>
    <row r="43">
      <c r="A43" s="306">
        <f>IFERROR(__xludf.DUMMYFUNCTION("""COMPUTED_VALUE"""),46115.0)</f>
        <v>46115</v>
      </c>
      <c r="B43" s="210">
        <f>IFERROR(__xludf.DUMMYFUNCTION("""COMPUTED_VALUE"""),0.5)</f>
        <v>0.5</v>
      </c>
      <c r="C43" s="210" t="str">
        <f>IFERROR(__xludf.DUMMYFUNCTION("""COMPUTED_VALUE"""),"Sms")</f>
        <v>Sms</v>
      </c>
      <c r="D43" s="210" t="str">
        <f>IFERROR(__xludf.DUMMYFUNCTION("""COMPUTED_VALUE"""),"Fallback Campaign")</f>
        <v>Fallback Campaign</v>
      </c>
      <c r="E43" s="210" t="str">
        <f>IFERROR(__xludf.DUMMYFUNCTION("""COMPUTED_VALUE"""),"R&amp;B")</f>
        <v>R&amp;B</v>
      </c>
      <c r="F43" s="210" t="str">
        <f>IFERROR(__xludf.DUMMYFUNCTION("""COMPUTED_VALUE"""),"Store campaigns")</f>
        <v>Store campaigns</v>
      </c>
      <c r="G43" s="210" t="str">
        <f>IFERROR(__xludf.DUMMYFUNCTION("""COMPUTED_VALUE"""),"Fallback_FashionCrew")</f>
        <v>Fallback_FashionCrew</v>
      </c>
      <c r="H43" s="211" t="str">
        <f>IFERROR(__xludf.DUMMYFUNCTION("""COMPUTED_VALUE"""),"Fashion_Crew_Launch_Off OR RB_Internal")</f>
        <v>Fashion_Crew_Launch_Off OR RB_Internal</v>
      </c>
      <c r="I43" s="211" t="str">
        <f>IFERROR(__xludf.DUMMYFUNCTION("""COMPUTED_VALUE"""),"WA Undelivered")</f>
        <v>WA Undelivered</v>
      </c>
      <c r="J43" s="213">
        <f>IFERROR(__xludf.DUMMYFUNCTION("""COMPUTED_VALUE"""),56064.0)</f>
        <v>56064</v>
      </c>
      <c r="K43" s="213">
        <f>IFERROR(__xludf.DUMMYFUNCTION("""COMPUTED_VALUE"""),36143.0)</f>
        <v>36143</v>
      </c>
      <c r="L43" s="214">
        <f>IFERROR(__xludf.DUMMYFUNCTION("""COMPUTED_VALUE"""),0.6447)</f>
        <v>0.6447</v>
      </c>
      <c r="M43" s="213"/>
      <c r="N43" s="214"/>
      <c r="O43" s="213">
        <f>IFERROR(__xludf.DUMMYFUNCTION("""COMPUTED_VALUE"""),67.0)</f>
        <v>67</v>
      </c>
      <c r="P43" s="213"/>
      <c r="Q43" s="214">
        <f>IFERROR(__xludf.DUMMYFUNCTION("""COMPUTED_VALUE"""),0.0019)</f>
        <v>0.0019</v>
      </c>
      <c r="R43" s="214"/>
      <c r="S43" s="101"/>
      <c r="T43" s="101"/>
      <c r="U43" s="213"/>
      <c r="V43" s="101" t="str">
        <f>IFERROR(__xludf.DUMMYFUNCTION("""COMPUTED_VALUE"""),"offline")</f>
        <v>offline</v>
      </c>
      <c r="W43" s="101" t="str">
        <f>IFERROR(__xludf.DUMMYFUNCTION("""COMPUTED_VALUE"""),"SMS")</f>
        <v>SMS</v>
      </c>
      <c r="X43" s="212" t="str">
        <f>IFERROR(__xludf.DUMMYFUNCTION("""COMPUTED_VALUE"""),"Category Movers")</f>
        <v>Category Movers</v>
      </c>
      <c r="Y43" s="212" t="str">
        <f>IFERROR(__xludf.DUMMYFUNCTION("""COMPUTED_VALUE"""),"3rd to 5th April")</f>
        <v>3rd to 5th April</v>
      </c>
      <c r="Z43" s="212" t="str">
        <f>IFERROR(__xludf.DUMMYFUNCTION("""COMPUTED_VALUE"""),"69ce369d804ee2499cb31672")</f>
        <v>69ce369d804ee2499cb31672</v>
      </c>
      <c r="AA43" s="287">
        <f>IFERROR(__xludf.DUMMYFUNCTION("""COMPUTED_VALUE"""),223.0)</f>
        <v>223</v>
      </c>
      <c r="AB43" s="213"/>
      <c r="AC43" s="213">
        <f>IFERROR(__xludf.DUMMYFUNCTION("""COMPUTED_VALUE"""),223.0)</f>
        <v>223</v>
      </c>
      <c r="AD43" s="213">
        <f>IFERROR(__xludf.DUMMYFUNCTION("""COMPUTED_VALUE"""),584027.0)</f>
        <v>584027</v>
      </c>
      <c r="AE43" s="213"/>
      <c r="AF43" s="213">
        <f>IFERROR(__xludf.DUMMYFUNCTION("""COMPUTED_VALUE"""),584027.0)</f>
        <v>584027</v>
      </c>
      <c r="AG43" s="282"/>
      <c r="AH43" s="282"/>
      <c r="AI43" s="282"/>
      <c r="AJ43" s="303"/>
      <c r="AK43" s="303"/>
      <c r="AL43" s="303"/>
      <c r="AM43" s="282"/>
      <c r="AN43" s="282"/>
      <c r="AO43" s="282"/>
      <c r="AP43" s="282"/>
      <c r="AQ43" s="282"/>
      <c r="AR43" s="282"/>
      <c r="AS43" s="282"/>
      <c r="AT43" s="282"/>
      <c r="AU43" s="282"/>
      <c r="AV43" s="282"/>
      <c r="AW43" s="282"/>
      <c r="AX43" s="282"/>
      <c r="AY43" s="282"/>
      <c r="AZ43" s="282"/>
    </row>
    <row r="44">
      <c r="A44" s="306">
        <f>IFERROR(__xludf.DUMMYFUNCTION("""COMPUTED_VALUE"""),46116.0)</f>
        <v>46116</v>
      </c>
      <c r="B44" s="210">
        <f>IFERROR(__xludf.DUMMYFUNCTION("""COMPUTED_VALUE"""),0.4166666666678793)</f>
        <v>0.4166666667</v>
      </c>
      <c r="C44" s="210" t="str">
        <f>IFERROR(__xludf.DUMMYFUNCTION("""COMPUTED_VALUE"""),"Whatsapp")</f>
        <v>Whatsapp</v>
      </c>
      <c r="D44" s="210" t="str">
        <f>IFERROR(__xludf.DUMMYFUNCTION("""COMPUTED_VALUE"""),"Promotional")</f>
        <v>Promotional</v>
      </c>
      <c r="E44" s="210" t="str">
        <f>IFERROR(__xludf.DUMMYFUNCTION("""COMPUTED_VALUE"""),"R&amp;B")</f>
        <v>R&amp;B</v>
      </c>
      <c r="F44" s="210" t="str">
        <f>IFERROR(__xludf.DUMMYFUNCTION("""COMPUTED_VALUE"""),"Store campaigns")</f>
        <v>Store campaigns</v>
      </c>
      <c r="G44" s="210" t="str">
        <f>IFERROR(__xludf.DUMMYFUNCTION("""COMPUTED_VALUE"""),"Fashion Crew + Kochi Launch")</f>
        <v>Fashion Crew + Kochi Launch</v>
      </c>
      <c r="H44" s="211" t="str">
        <f>IFERROR(__xludf.DUMMYFUNCTION("""COMPUTED_VALUE"""),"Fshn_Crew_Kochi_Store_Overlap")</f>
        <v>Fshn_Crew_Kochi_Store_Overlap</v>
      </c>
      <c r="I44" s="211" t="str">
        <f>IFERROR(__xludf.DUMMYFUNCTION("""COMPUTED_VALUE"""),"All customers who have shopped from Women’s Western OR Women’s Ethnic OR Girls 8-14 in the last 1 year AND All customers who have at least shopped once from 1st Apr 2023 to 30th March 2026 from the stores: RB004, RB016, RB022.")</f>
        <v>All customers who have shopped from Women’s Western OR Women’s Ethnic OR Girls 8-14 in the last 1 year AND All customers who have at least shopped once from 1st Apr 2023 to 30th March 2026 from the stores: RB004, RB016, RB022.</v>
      </c>
      <c r="J44" s="213">
        <f>IFERROR(__xludf.DUMMYFUNCTION("""COMPUTED_VALUE"""),21015.0)</f>
        <v>21015</v>
      </c>
      <c r="K44" s="213">
        <f>IFERROR(__xludf.DUMMYFUNCTION("""COMPUTED_VALUE"""),12989.0)</f>
        <v>12989</v>
      </c>
      <c r="L44" s="214">
        <f>IFERROR(__xludf.DUMMYFUNCTION("""COMPUTED_VALUE"""),0.6181)</f>
        <v>0.6181</v>
      </c>
      <c r="M44" s="213">
        <f>IFERROR(__xludf.DUMMYFUNCTION("""COMPUTED_VALUE"""),6448.0)</f>
        <v>6448</v>
      </c>
      <c r="N44" s="214">
        <f>IFERROR(__xludf.DUMMYFUNCTION("""COMPUTED_VALUE"""),0.4965)</f>
        <v>0.4965</v>
      </c>
      <c r="O44" s="213">
        <f>IFERROR(__xludf.DUMMYFUNCTION("""COMPUTED_VALUE"""),238.0)</f>
        <v>238</v>
      </c>
      <c r="P44" s="213">
        <f>IFERROR(__xludf.DUMMYFUNCTION("""COMPUTED_VALUE"""),222.0)</f>
        <v>222</v>
      </c>
      <c r="Q44" s="214">
        <f>IFERROR(__xludf.DUMMYFUNCTION("""COMPUTED_VALUE"""),0.0171)</f>
        <v>0.0171</v>
      </c>
      <c r="R44" s="214">
        <f>IFERROR(__xludf.DUMMYFUNCTION("""COMPUTED_VALUE"""),0.0344)</f>
        <v>0.0344</v>
      </c>
      <c r="S44" s="101"/>
      <c r="T44" s="101"/>
      <c r="U44" s="213"/>
      <c r="V44" s="101" t="str">
        <f>IFERROR(__xludf.DUMMYFUNCTION("""COMPUTED_VALUE"""),"offline")</f>
        <v>offline</v>
      </c>
      <c r="W44" s="101" t="str">
        <f>IFERROR(__xludf.DUMMYFUNCTION("""COMPUTED_VALUE"""),"simple")</f>
        <v>simple</v>
      </c>
      <c r="X44" s="212" t="str">
        <f>IFERROR(__xludf.DUMMYFUNCTION("""COMPUTED_VALUE"""),"Overlap")</f>
        <v>Overlap</v>
      </c>
      <c r="Y44" s="212" t="str">
        <f>IFERROR(__xludf.DUMMYFUNCTION("""COMPUTED_VALUE"""),"4th to 5th April 2026")</f>
        <v>4th to 5th April 2026</v>
      </c>
      <c r="Z44" s="212" t="str">
        <f>IFERROR(__xludf.DUMMYFUNCTION("""COMPUTED_VALUE"""),"69cbc3a70986d448d13059bb")</f>
        <v>69cbc3a70986d448d13059bb</v>
      </c>
      <c r="AA44" s="213">
        <f>IFERROR(__xludf.DUMMYFUNCTION("""COMPUTED_VALUE"""),56.0)</f>
        <v>56</v>
      </c>
      <c r="AB44" s="213"/>
      <c r="AC44" s="213">
        <f>IFERROR(__xludf.DUMMYFUNCTION("""COMPUTED_VALUE"""),56.0)</f>
        <v>56</v>
      </c>
      <c r="AD44" s="213">
        <f>IFERROR(__xludf.DUMMYFUNCTION("""COMPUTED_VALUE"""),131553.0)</f>
        <v>131553</v>
      </c>
      <c r="AE44" s="213"/>
      <c r="AF44" s="213">
        <f>IFERROR(__xludf.DUMMYFUNCTION("""COMPUTED_VALUE"""),131553.0)</f>
        <v>131553</v>
      </c>
      <c r="AG44" s="282"/>
      <c r="AH44" s="282"/>
      <c r="AI44" s="282"/>
      <c r="AJ44" s="303"/>
      <c r="AK44" s="303"/>
      <c r="AL44" s="303"/>
      <c r="AM44" s="282"/>
      <c r="AN44" s="282"/>
      <c r="AO44" s="282"/>
      <c r="AP44" s="282"/>
      <c r="AQ44" s="282"/>
      <c r="AR44" s="282"/>
      <c r="AS44" s="282"/>
      <c r="AT44" s="282"/>
      <c r="AU44" s="282"/>
      <c r="AV44" s="282"/>
      <c r="AW44" s="282"/>
      <c r="AX44" s="282"/>
      <c r="AY44" s="282"/>
      <c r="AZ44" s="282"/>
    </row>
    <row r="45">
      <c r="A45" s="306">
        <f>IFERROR(__xludf.DUMMYFUNCTION("""COMPUTED_VALUE"""),46116.0)</f>
        <v>46116</v>
      </c>
      <c r="B45" s="210">
        <f>IFERROR(__xludf.DUMMYFUNCTION("""COMPUTED_VALUE"""),0.5)</f>
        <v>0.5</v>
      </c>
      <c r="C45" s="210" t="str">
        <f>IFERROR(__xludf.DUMMYFUNCTION("""COMPUTED_VALUE"""),"Sms")</f>
        <v>Sms</v>
      </c>
      <c r="D45" s="210" t="str">
        <f>IFERROR(__xludf.DUMMYFUNCTION("""COMPUTED_VALUE"""),"Fallback Campaign")</f>
        <v>Fallback Campaign</v>
      </c>
      <c r="E45" s="210" t="str">
        <f>IFERROR(__xludf.DUMMYFUNCTION("""COMPUTED_VALUE"""),"R&amp;B")</f>
        <v>R&amp;B</v>
      </c>
      <c r="F45" s="210" t="str">
        <f>IFERROR(__xludf.DUMMYFUNCTION("""COMPUTED_VALUE"""),"Store campaigns")</f>
        <v>Store campaigns</v>
      </c>
      <c r="G45" s="210" t="str">
        <f>IFERROR(__xludf.DUMMYFUNCTION("""COMPUTED_VALUE"""),"Fallback_FashioncrewandKochi")</f>
        <v>Fallback_FashioncrewandKochi</v>
      </c>
      <c r="H45" s="211" t="str">
        <f>IFERROR(__xludf.DUMMYFUNCTION("""COMPUTED_VALUE"""),"Fshn_Crew_Kochi_Store_Overlap")</f>
        <v>Fshn_Crew_Kochi_Store_Overlap</v>
      </c>
      <c r="I45" s="211" t="str">
        <f>IFERROR(__xludf.DUMMYFUNCTION("""COMPUTED_VALUE"""),"WA Undelivered")</f>
        <v>WA Undelivered</v>
      </c>
      <c r="J45" s="213">
        <f>IFERROR(__xludf.DUMMYFUNCTION("""COMPUTED_VALUE"""),7669.0)</f>
        <v>7669</v>
      </c>
      <c r="K45" s="213">
        <f>IFERROR(__xludf.DUMMYFUNCTION("""COMPUTED_VALUE"""),5268.0)</f>
        <v>5268</v>
      </c>
      <c r="L45" s="214">
        <f>IFERROR(__xludf.DUMMYFUNCTION("""COMPUTED_VALUE"""),0.6869)</f>
        <v>0.6869</v>
      </c>
      <c r="M45" s="213"/>
      <c r="N45" s="214"/>
      <c r="O45" s="213">
        <f>IFERROR(__xludf.DUMMYFUNCTION("""COMPUTED_VALUE"""),5.0)</f>
        <v>5</v>
      </c>
      <c r="P45" s="213"/>
      <c r="Q45" s="214">
        <f>IFERROR(__xludf.DUMMYFUNCTION("""COMPUTED_VALUE"""),9.0E-4)</f>
        <v>0.0009</v>
      </c>
      <c r="R45" s="214"/>
      <c r="S45" s="101"/>
      <c r="T45" s="101"/>
      <c r="U45" s="213"/>
      <c r="V45" s="101" t="str">
        <f>IFERROR(__xludf.DUMMYFUNCTION("""COMPUTED_VALUE"""),"offline")</f>
        <v>offline</v>
      </c>
      <c r="W45" s="101" t="str">
        <f>IFERROR(__xludf.DUMMYFUNCTION("""COMPUTED_VALUE"""),"SMS")</f>
        <v>SMS</v>
      </c>
      <c r="X45" s="212" t="str">
        <f>IFERROR(__xludf.DUMMYFUNCTION("""COMPUTED_VALUE"""),"Overlap")</f>
        <v>Overlap</v>
      </c>
      <c r="Y45" s="212" t="str">
        <f>IFERROR(__xludf.DUMMYFUNCTION("""COMPUTED_VALUE"""),"4th to 5th April")</f>
        <v>4th to 5th April</v>
      </c>
      <c r="Z45" s="212" t="str">
        <f>IFERROR(__xludf.DUMMYFUNCTION("""COMPUTED_VALUE"""),"69ce37112bf3958a9a699339")</f>
        <v>69ce37112bf3958a9a699339</v>
      </c>
      <c r="AA45" s="213">
        <f>IFERROR(__xludf.DUMMYFUNCTION("""COMPUTED_VALUE"""),21.0)</f>
        <v>21</v>
      </c>
      <c r="AB45" s="213"/>
      <c r="AC45" s="213">
        <f>IFERROR(__xludf.DUMMYFUNCTION("""COMPUTED_VALUE"""),21.0)</f>
        <v>21</v>
      </c>
      <c r="AD45" s="213">
        <f>IFERROR(__xludf.DUMMYFUNCTION("""COMPUTED_VALUE"""),58790.0)</f>
        <v>58790</v>
      </c>
      <c r="AE45" s="213"/>
      <c r="AF45" s="213">
        <f>IFERROR(__xludf.DUMMYFUNCTION("""COMPUTED_VALUE"""),58790.0)</f>
        <v>58790</v>
      </c>
      <c r="AG45" s="282"/>
      <c r="AH45" s="282"/>
      <c r="AI45" s="282"/>
      <c r="AJ45" s="303"/>
      <c r="AK45" s="303"/>
      <c r="AL45" s="303"/>
      <c r="AM45" s="282"/>
      <c r="AN45" s="282"/>
      <c r="AO45" s="282"/>
      <c r="AP45" s="282"/>
      <c r="AQ45" s="282"/>
      <c r="AR45" s="282"/>
      <c r="AS45" s="282"/>
      <c r="AT45" s="282"/>
      <c r="AU45" s="282"/>
      <c r="AV45" s="282"/>
      <c r="AW45" s="282"/>
      <c r="AX45" s="282"/>
      <c r="AY45" s="282"/>
      <c r="AZ45" s="282"/>
    </row>
    <row r="46">
      <c r="A46" s="306">
        <f>IFERROR(__xludf.DUMMYFUNCTION("""COMPUTED_VALUE"""),46122.0)</f>
        <v>46122</v>
      </c>
      <c r="B46" s="210">
        <f>IFERROR(__xludf.DUMMYFUNCTION("""COMPUTED_VALUE"""),0.625)</f>
        <v>0.625</v>
      </c>
      <c r="C46" s="210" t="str">
        <f>IFERROR(__xludf.DUMMYFUNCTION("""COMPUTED_VALUE"""),"Whatsapp")</f>
        <v>Whatsapp</v>
      </c>
      <c r="D46" s="210" t="str">
        <f>IFERROR(__xludf.DUMMYFUNCTION("""COMPUTED_VALUE"""),"Promotional")</f>
        <v>Promotional</v>
      </c>
      <c r="E46" s="210" t="str">
        <f>IFERROR(__xludf.DUMMYFUNCTION("""COMPUTED_VALUE"""),"R&amp;B")</f>
        <v>R&amp;B</v>
      </c>
      <c r="F46" s="210" t="str">
        <f>IFERROR(__xludf.DUMMYFUNCTION("""COMPUTED_VALUE"""),"Vishu campaigns")</f>
        <v>Vishu campaigns</v>
      </c>
      <c r="G46" s="210" t="str">
        <f>IFERROR(__xludf.DUMMYFUNCTION("""COMPUTED_VALUE"""),"Vishu Kochi Round 1")</f>
        <v>Vishu Kochi Round 1</v>
      </c>
      <c r="H46" s="211" t="str">
        <f>IFERROR(__xludf.DUMMYFUNCTION("""COMPUTED_VALUE"""),"Store_Shop_RB_16_21_22_1329")</f>
        <v>Store_Shop_RB_16_21_22_1329</v>
      </c>
      <c r="I46" s="211" t="str">
        <f>IFERROR(__xludf.DUMMYFUNCTION("""COMPUTED_VALUE"""),"Customers who shopped between 8th April 2023 to 6th April 2026 from stores: RB016, RB021, RB022, 1329")</f>
        <v>Customers who shopped between 8th April 2023 to 6th April 2026 from stores: RB016, RB021, RB022, 1329</v>
      </c>
      <c r="J46" s="213">
        <f>IFERROR(__xludf.DUMMYFUNCTION("""COMPUTED_VALUE"""),138036.0)</f>
        <v>138036</v>
      </c>
      <c r="K46" s="213">
        <f>IFERROR(__xludf.DUMMYFUNCTION("""COMPUTED_VALUE"""),87838.0)</f>
        <v>87838</v>
      </c>
      <c r="L46" s="214">
        <f>IFERROR(__xludf.DUMMYFUNCTION("""COMPUTED_VALUE"""),0.6363)</f>
        <v>0.6363</v>
      </c>
      <c r="M46" s="213">
        <f>IFERROR(__xludf.DUMMYFUNCTION("""COMPUTED_VALUE"""),42244.0)</f>
        <v>42244</v>
      </c>
      <c r="N46" s="214">
        <f>IFERROR(__xludf.DUMMYFUNCTION("""COMPUTED_VALUE"""),0.4807)</f>
        <v>0.4807</v>
      </c>
      <c r="O46" s="213">
        <f>IFERROR(__xludf.DUMMYFUNCTION("""COMPUTED_VALUE"""),1475.0)</f>
        <v>1475</v>
      </c>
      <c r="P46" s="213">
        <f>IFERROR(__xludf.DUMMYFUNCTION("""COMPUTED_VALUE"""),1408.0)</f>
        <v>1408</v>
      </c>
      <c r="Q46" s="214">
        <f>IFERROR(__xludf.DUMMYFUNCTION("""COMPUTED_VALUE"""),0.016)</f>
        <v>0.016</v>
      </c>
      <c r="R46" s="214">
        <f>IFERROR(__xludf.DUMMYFUNCTION("""COMPUTED_VALUE"""),0.0333)</f>
        <v>0.0333</v>
      </c>
      <c r="S46" s="101">
        <f>IFERROR(__xludf.DUMMYFUNCTION("""COMPUTED_VALUE"""),0.0)</f>
        <v>0</v>
      </c>
      <c r="T46" s="101">
        <f>IFERROR(__xludf.DUMMYFUNCTION("""COMPUTED_VALUE"""),0.0)</f>
        <v>0</v>
      </c>
      <c r="U46" s="213">
        <f>IFERROR(__xludf.DUMMYFUNCTION("""COMPUTED_VALUE"""),0.0)</f>
        <v>0</v>
      </c>
      <c r="V46" s="101" t="str">
        <f>IFERROR(__xludf.DUMMYFUNCTION("""COMPUTED_VALUE"""),"offline")</f>
        <v>offline</v>
      </c>
      <c r="W46" s="101" t="str">
        <f>IFERROR(__xludf.DUMMYFUNCTION("""COMPUTED_VALUE"""),"simple")</f>
        <v>simple</v>
      </c>
      <c r="X46" s="212" t="str">
        <f>IFERROR(__xludf.DUMMYFUNCTION("""COMPUTED_VALUE"""),"Store Base")</f>
        <v>Store Base</v>
      </c>
      <c r="Y46" s="212" t="str">
        <f>IFERROR(__xludf.DUMMYFUNCTION("""COMPUTED_VALUE"""),"10th to 12th April")</f>
        <v>10th to 12th April</v>
      </c>
      <c r="Z46" s="212" t="str">
        <f>IFERROR(__xludf.DUMMYFUNCTION("""COMPUTED_VALUE"""),"69d6408dcc9231dd752e7e0c")</f>
        <v>69d6408dcc9231dd752e7e0c</v>
      </c>
      <c r="AA46" s="287">
        <f>IFERROR(__xludf.DUMMYFUNCTION("""COMPUTED_VALUE"""),329.0)</f>
        <v>329</v>
      </c>
      <c r="AB46" s="213"/>
      <c r="AC46" s="213">
        <f>IFERROR(__xludf.DUMMYFUNCTION("""COMPUTED_VALUE"""),329.0)</f>
        <v>329</v>
      </c>
      <c r="AD46" s="213">
        <f>IFERROR(__xludf.DUMMYFUNCTION("""COMPUTED_VALUE"""),597462.0)</f>
        <v>597462</v>
      </c>
      <c r="AE46" s="213"/>
      <c r="AF46" s="213">
        <f>IFERROR(__xludf.DUMMYFUNCTION("""COMPUTED_VALUE"""),597462.0)</f>
        <v>597462</v>
      </c>
      <c r="AG46" s="282"/>
      <c r="AH46" s="282"/>
      <c r="AI46" s="282"/>
      <c r="AJ46" s="303"/>
      <c r="AK46" s="303"/>
      <c r="AL46" s="303"/>
      <c r="AM46" s="282"/>
      <c r="AN46" s="282"/>
      <c r="AO46" s="282"/>
      <c r="AP46" s="282"/>
      <c r="AQ46" s="282"/>
      <c r="AR46" s="282"/>
      <c r="AS46" s="282"/>
      <c r="AT46" s="282"/>
      <c r="AU46" s="282"/>
      <c r="AV46" s="282"/>
      <c r="AW46" s="282"/>
      <c r="AX46" s="282"/>
      <c r="AY46" s="282"/>
      <c r="AZ46" s="282"/>
    </row>
    <row r="47">
      <c r="A47" s="306">
        <f>IFERROR(__xludf.DUMMYFUNCTION("""COMPUTED_VALUE"""),46122.0)</f>
        <v>46122</v>
      </c>
      <c r="B47" s="210">
        <f>IFERROR(__xludf.DUMMYFUNCTION("""COMPUTED_VALUE"""),0.625)</f>
        <v>0.625</v>
      </c>
      <c r="C47" s="210" t="str">
        <f>IFERROR(__xludf.DUMMYFUNCTION("""COMPUTED_VALUE"""),"Whatsapp")</f>
        <v>Whatsapp</v>
      </c>
      <c r="D47" s="210" t="str">
        <f>IFERROR(__xludf.DUMMYFUNCTION("""COMPUTED_VALUE"""),"Promotional")</f>
        <v>Promotional</v>
      </c>
      <c r="E47" s="210" t="str">
        <f>IFERROR(__xludf.DUMMYFUNCTION("""COMPUTED_VALUE"""),"R&amp;B")</f>
        <v>R&amp;B</v>
      </c>
      <c r="F47" s="210" t="str">
        <f>IFERROR(__xludf.DUMMYFUNCTION("""COMPUTED_VALUE"""),"Vishu campaigns")</f>
        <v>Vishu campaigns</v>
      </c>
      <c r="G47" s="210" t="str">
        <f>IFERROR(__xludf.DUMMYFUNCTION("""COMPUTED_VALUE"""),"Vishu Calicut Round 1")</f>
        <v>Vishu Calicut Round 1</v>
      </c>
      <c r="H47" s="211" t="str">
        <f>IFERROR(__xludf.DUMMYFUNCTION("""COMPUTED_VALUE"""),"Store_Shop_RB_08_10")</f>
        <v>Store_Shop_RB_08_10</v>
      </c>
      <c r="I47" s="211" t="str">
        <f>IFERROR(__xludf.DUMMYFUNCTION("""COMPUTED_VALUE"""),"Customers who shopped between 8th April 2023 to 6th April 2026 from stores: RB008 and RB010")</f>
        <v>Customers who shopped between 8th April 2023 to 6th April 2026 from stores: RB008 and RB010</v>
      </c>
      <c r="J47" s="213">
        <f>IFERROR(__xludf.DUMMYFUNCTION("""COMPUTED_VALUE"""),77267.0)</f>
        <v>77267</v>
      </c>
      <c r="K47" s="213">
        <f>IFERROR(__xludf.DUMMYFUNCTION("""COMPUTED_VALUE"""),51833.0)</f>
        <v>51833</v>
      </c>
      <c r="L47" s="214">
        <f>IFERROR(__xludf.DUMMYFUNCTION("""COMPUTED_VALUE"""),0.6707)</f>
        <v>0.6707</v>
      </c>
      <c r="M47" s="213">
        <f>IFERROR(__xludf.DUMMYFUNCTION("""COMPUTED_VALUE"""),24701.0)</f>
        <v>24701</v>
      </c>
      <c r="N47" s="214">
        <f>IFERROR(__xludf.DUMMYFUNCTION("""COMPUTED_VALUE"""),0.4765)</f>
        <v>0.4765</v>
      </c>
      <c r="O47" s="213">
        <f>IFERROR(__xludf.DUMMYFUNCTION("""COMPUTED_VALUE"""),1276.0)</f>
        <v>1276</v>
      </c>
      <c r="P47" s="213">
        <f>IFERROR(__xludf.DUMMYFUNCTION("""COMPUTED_VALUE"""),1229.0)</f>
        <v>1229</v>
      </c>
      <c r="Q47" s="214">
        <f>IFERROR(__xludf.DUMMYFUNCTION("""COMPUTED_VALUE"""),0.0237)</f>
        <v>0.0237</v>
      </c>
      <c r="R47" s="214">
        <f>IFERROR(__xludf.DUMMYFUNCTION("""COMPUTED_VALUE"""),0.0498)</f>
        <v>0.0498</v>
      </c>
      <c r="S47" s="101">
        <f>IFERROR(__xludf.DUMMYFUNCTION("""COMPUTED_VALUE"""),0.0)</f>
        <v>0</v>
      </c>
      <c r="T47" s="101">
        <f>IFERROR(__xludf.DUMMYFUNCTION("""COMPUTED_VALUE"""),0.0)</f>
        <v>0</v>
      </c>
      <c r="U47" s="213">
        <f>IFERROR(__xludf.DUMMYFUNCTION("""COMPUTED_VALUE"""),0.0)</f>
        <v>0</v>
      </c>
      <c r="V47" s="101" t="str">
        <f>IFERROR(__xludf.DUMMYFUNCTION("""COMPUTED_VALUE"""),"offline")</f>
        <v>offline</v>
      </c>
      <c r="W47" s="101" t="str">
        <f>IFERROR(__xludf.DUMMYFUNCTION("""COMPUTED_VALUE"""),"simple")</f>
        <v>simple</v>
      </c>
      <c r="X47" s="212" t="str">
        <f>IFERROR(__xludf.DUMMYFUNCTION("""COMPUTED_VALUE"""),"Store Base")</f>
        <v>Store Base</v>
      </c>
      <c r="Y47" s="212" t="str">
        <f>IFERROR(__xludf.DUMMYFUNCTION("""COMPUTED_VALUE"""),"10th to 12th April")</f>
        <v>10th to 12th April</v>
      </c>
      <c r="Z47" s="212" t="str">
        <f>IFERROR(__xludf.DUMMYFUNCTION("""COMPUTED_VALUE"""),"69d640a9c9a4b83c7da8c192")</f>
        <v>69d640a9c9a4b83c7da8c192</v>
      </c>
      <c r="AA47" s="287">
        <f>IFERROR(__xludf.DUMMYFUNCTION("""COMPUTED_VALUE"""),216.0)</f>
        <v>216</v>
      </c>
      <c r="AB47" s="213"/>
      <c r="AC47" s="213">
        <f>IFERROR(__xludf.DUMMYFUNCTION("""COMPUTED_VALUE"""),216.0)</f>
        <v>216</v>
      </c>
      <c r="AD47" s="213">
        <f>IFERROR(__xludf.DUMMYFUNCTION("""COMPUTED_VALUE"""),365875.0)</f>
        <v>365875</v>
      </c>
      <c r="AE47" s="213"/>
      <c r="AF47" s="213">
        <f>IFERROR(__xludf.DUMMYFUNCTION("""COMPUTED_VALUE"""),365875.0)</f>
        <v>365875</v>
      </c>
      <c r="AG47" s="282"/>
      <c r="AH47" s="282"/>
      <c r="AI47" s="282"/>
      <c r="AJ47" s="303"/>
      <c r="AK47" s="303"/>
      <c r="AL47" s="303"/>
      <c r="AM47" s="282"/>
      <c r="AN47" s="282"/>
      <c r="AO47" s="282"/>
      <c r="AP47" s="282"/>
      <c r="AQ47" s="282"/>
      <c r="AR47" s="282"/>
      <c r="AS47" s="282"/>
      <c r="AT47" s="282"/>
      <c r="AU47" s="282"/>
      <c r="AV47" s="282"/>
      <c r="AW47" s="282"/>
      <c r="AX47" s="282"/>
      <c r="AY47" s="282"/>
      <c r="AZ47" s="282"/>
    </row>
    <row r="48">
      <c r="A48" s="306">
        <f>IFERROR(__xludf.DUMMYFUNCTION("""COMPUTED_VALUE"""),46122.0)</f>
        <v>46122</v>
      </c>
      <c r="B48" s="210">
        <f>IFERROR(__xludf.DUMMYFUNCTION("""COMPUTED_VALUE"""),0.625)</f>
        <v>0.625</v>
      </c>
      <c r="C48" s="210" t="str">
        <f>IFERROR(__xludf.DUMMYFUNCTION("""COMPUTED_VALUE"""),"Whatsapp")</f>
        <v>Whatsapp</v>
      </c>
      <c r="D48" s="210" t="str">
        <f>IFERROR(__xludf.DUMMYFUNCTION("""COMPUTED_VALUE"""),"Promotional")</f>
        <v>Promotional</v>
      </c>
      <c r="E48" s="210" t="str">
        <f>IFERROR(__xludf.DUMMYFUNCTION("""COMPUTED_VALUE"""),"R&amp;B")</f>
        <v>R&amp;B</v>
      </c>
      <c r="F48" s="210" t="str">
        <f>IFERROR(__xludf.DUMMYFUNCTION("""COMPUTED_VALUE"""),"Vishu campaigns")</f>
        <v>Vishu campaigns</v>
      </c>
      <c r="G48" s="210" t="str">
        <f>IFERROR(__xludf.DUMMYFUNCTION("""COMPUTED_VALUE"""),"Vishu Trivandrum Round 1")</f>
        <v>Vishu Trivandrum Round 1</v>
      </c>
      <c r="H48" s="211" t="str">
        <f>IFERROR(__xludf.DUMMYFUNCTION("""COMPUTED_VALUE"""),"Store_Shop_RB_20_1283")</f>
        <v>Store_Shop_RB_20_1283</v>
      </c>
      <c r="I48" s="211" t="str">
        <f>IFERROR(__xludf.DUMMYFUNCTION("""COMPUTED_VALUE"""),"Customers who shopped between 8th April 2023 to 6th April 2026 from stores: RB020 and 1283")</f>
        <v>Customers who shopped between 8th April 2023 to 6th April 2026 from stores: RB020 and 1283</v>
      </c>
      <c r="J48" s="213">
        <f>IFERROR(__xludf.DUMMYFUNCTION("""COMPUTED_VALUE"""),61235.0)</f>
        <v>61235</v>
      </c>
      <c r="K48" s="213">
        <f>IFERROR(__xludf.DUMMYFUNCTION("""COMPUTED_VALUE"""),37366.0)</f>
        <v>37366</v>
      </c>
      <c r="L48" s="214">
        <f>IFERROR(__xludf.DUMMYFUNCTION("""COMPUTED_VALUE"""),0.6101)</f>
        <v>0.6101</v>
      </c>
      <c r="M48" s="213">
        <f>IFERROR(__xludf.DUMMYFUNCTION("""COMPUTED_VALUE"""),19121.0)</f>
        <v>19121</v>
      </c>
      <c r="N48" s="214">
        <f>IFERROR(__xludf.DUMMYFUNCTION("""COMPUTED_VALUE"""),0.5116)</f>
        <v>0.5116</v>
      </c>
      <c r="O48" s="213">
        <f>IFERROR(__xludf.DUMMYFUNCTION("""COMPUTED_VALUE"""),937.0)</f>
        <v>937</v>
      </c>
      <c r="P48" s="213">
        <f>IFERROR(__xludf.DUMMYFUNCTION("""COMPUTED_VALUE"""),902.0)</f>
        <v>902</v>
      </c>
      <c r="Q48" s="214">
        <f>IFERROR(__xludf.DUMMYFUNCTION("""COMPUTED_VALUE"""),0.0241)</f>
        <v>0.0241</v>
      </c>
      <c r="R48" s="214">
        <f>IFERROR(__xludf.DUMMYFUNCTION("""COMPUTED_VALUE"""),0.0472)</f>
        <v>0.0472</v>
      </c>
      <c r="S48" s="101">
        <f>IFERROR(__xludf.DUMMYFUNCTION("""COMPUTED_VALUE"""),0.0)</f>
        <v>0</v>
      </c>
      <c r="T48" s="101">
        <f>IFERROR(__xludf.DUMMYFUNCTION("""COMPUTED_VALUE"""),0.0)</f>
        <v>0</v>
      </c>
      <c r="U48" s="213">
        <f>IFERROR(__xludf.DUMMYFUNCTION("""COMPUTED_VALUE"""),0.0)</f>
        <v>0</v>
      </c>
      <c r="V48" s="101" t="str">
        <f>IFERROR(__xludf.DUMMYFUNCTION("""COMPUTED_VALUE"""),"offline")</f>
        <v>offline</v>
      </c>
      <c r="W48" s="101" t="str">
        <f>IFERROR(__xludf.DUMMYFUNCTION("""COMPUTED_VALUE"""),"simple")</f>
        <v>simple</v>
      </c>
      <c r="X48" s="212" t="str">
        <f>IFERROR(__xludf.DUMMYFUNCTION("""COMPUTED_VALUE"""),"Store Base")</f>
        <v>Store Base</v>
      </c>
      <c r="Y48" s="212" t="str">
        <f>IFERROR(__xludf.DUMMYFUNCTION("""COMPUTED_VALUE"""),"10th to 12th April")</f>
        <v>10th to 12th April</v>
      </c>
      <c r="Z48" s="212" t="str">
        <f>IFERROR(__xludf.DUMMYFUNCTION("""COMPUTED_VALUE"""),"69d640cb58d966987c0e9994")</f>
        <v>69d640cb58d966987c0e9994</v>
      </c>
      <c r="AA48" s="287">
        <f>IFERROR(__xludf.DUMMYFUNCTION("""COMPUTED_VALUE"""),209.0)</f>
        <v>209</v>
      </c>
      <c r="AB48" s="213"/>
      <c r="AC48" s="213">
        <f>IFERROR(__xludf.DUMMYFUNCTION("""COMPUTED_VALUE"""),209.0)</f>
        <v>209</v>
      </c>
      <c r="AD48" s="213">
        <f>IFERROR(__xludf.DUMMYFUNCTION("""COMPUTED_VALUE"""),427849.0)</f>
        <v>427849</v>
      </c>
      <c r="AE48" s="213"/>
      <c r="AF48" s="213">
        <f>IFERROR(__xludf.DUMMYFUNCTION("""COMPUTED_VALUE"""),427849.0)</f>
        <v>427849</v>
      </c>
      <c r="AG48" s="282"/>
      <c r="AH48" s="282"/>
      <c r="AI48" s="282"/>
      <c r="AJ48" s="303"/>
      <c r="AK48" s="303"/>
      <c r="AL48" s="303"/>
      <c r="AM48" s="282"/>
      <c r="AN48" s="282"/>
      <c r="AO48" s="282"/>
      <c r="AP48" s="282"/>
      <c r="AQ48" s="282"/>
      <c r="AR48" s="282"/>
      <c r="AS48" s="282"/>
      <c r="AT48" s="282"/>
      <c r="AU48" s="282"/>
      <c r="AV48" s="282"/>
      <c r="AW48" s="282"/>
      <c r="AX48" s="282"/>
      <c r="AY48" s="282"/>
      <c r="AZ48" s="282"/>
    </row>
    <row r="49">
      <c r="A49" s="209">
        <f>IFERROR(__xludf.DUMMYFUNCTION("""COMPUTED_VALUE"""),46122.0)</f>
        <v>46122</v>
      </c>
      <c r="B49" s="247">
        <f>IFERROR(__xludf.DUMMYFUNCTION("""COMPUTED_VALUE"""),0.625)</f>
        <v>0.625</v>
      </c>
      <c r="C49" s="218" t="str">
        <f>IFERROR(__xludf.DUMMYFUNCTION("""COMPUTED_VALUE"""),"Whatsapp")</f>
        <v>Whatsapp</v>
      </c>
      <c r="D49" s="218" t="str">
        <f>IFERROR(__xludf.DUMMYFUNCTION("""COMPUTED_VALUE"""),"Promotional")</f>
        <v>Promotional</v>
      </c>
      <c r="E49" s="218" t="str">
        <f>IFERROR(__xludf.DUMMYFUNCTION("""COMPUTED_VALUE"""),"R&amp;B")</f>
        <v>R&amp;B</v>
      </c>
      <c r="F49" s="218" t="str">
        <f>IFERROR(__xludf.DUMMYFUNCTION("""COMPUTED_VALUE"""),"North")</f>
        <v>North</v>
      </c>
      <c r="G49" s="218" t="str">
        <f>IFERROR(__xludf.DUMMYFUNCTION("""COMPUTED_VALUE"""),"North Round 1")</f>
        <v>North Round 1</v>
      </c>
      <c r="H49" s="218" t="str">
        <f>IFERROR(__xludf.DUMMYFUNCTION("""COMPUTED_VALUE"""),"Store_Shop_RB_25_1250_1281_1296_1300")</f>
        <v>Store_Shop_RB_25_1250_1281_1296_1300</v>
      </c>
      <c r="I49" s="218" t="str">
        <f>IFERROR(__xludf.DUMMYFUNCTION("""COMPUTED_VALUE"""),"Customers who shopped between 8th April 2023 to 6th April 2026 from stores: RB025, 1250, 1281, 1296, 1300")</f>
        <v>Customers who shopped between 8th April 2023 to 6th April 2026 from stores: RB025, 1250, 1281, 1296, 1300</v>
      </c>
      <c r="J49" s="213">
        <f>IFERROR(__xludf.DUMMYFUNCTION("""COMPUTED_VALUE"""),40592.0)</f>
        <v>40592</v>
      </c>
      <c r="K49" s="213">
        <f>IFERROR(__xludf.DUMMYFUNCTION("""COMPUTED_VALUE"""),23098.0)</f>
        <v>23098</v>
      </c>
      <c r="L49" s="214">
        <f>IFERROR(__xludf.DUMMYFUNCTION("""COMPUTED_VALUE"""),0.569)</f>
        <v>0.569</v>
      </c>
      <c r="M49" s="213">
        <f>IFERROR(__xludf.DUMMYFUNCTION("""COMPUTED_VALUE"""),13489.0)</f>
        <v>13489</v>
      </c>
      <c r="N49" s="214">
        <f>IFERROR(__xludf.DUMMYFUNCTION("""COMPUTED_VALUE"""),0.5837)</f>
        <v>0.5837</v>
      </c>
      <c r="O49" s="101">
        <f>IFERROR(__xludf.DUMMYFUNCTION("""COMPUTED_VALUE"""),768.0)</f>
        <v>768</v>
      </c>
      <c r="P49" s="101">
        <f>IFERROR(__xludf.DUMMYFUNCTION("""COMPUTED_VALUE"""),733.0)</f>
        <v>733</v>
      </c>
      <c r="Q49" s="214">
        <f>IFERROR(__xludf.DUMMYFUNCTION("""COMPUTED_VALUE"""),0.0317)</f>
        <v>0.0317</v>
      </c>
      <c r="R49" s="214">
        <f>IFERROR(__xludf.DUMMYFUNCTION("""COMPUTED_VALUE"""),0.0544)</f>
        <v>0.0544</v>
      </c>
      <c r="S49" s="218">
        <f>IFERROR(__xludf.DUMMYFUNCTION("""COMPUTED_VALUE"""),0.0)</f>
        <v>0</v>
      </c>
      <c r="T49" s="218">
        <f>IFERROR(__xludf.DUMMYFUNCTION("""COMPUTED_VALUE"""),0.0)</f>
        <v>0</v>
      </c>
      <c r="U49" s="270">
        <f>IFERROR(__xludf.DUMMYFUNCTION("""COMPUTED_VALUE"""),0.0)</f>
        <v>0</v>
      </c>
      <c r="V49" s="101" t="str">
        <f>IFERROR(__xludf.DUMMYFUNCTION("""COMPUTED_VALUE"""),"offline")</f>
        <v>offline</v>
      </c>
      <c r="W49" s="101" t="str">
        <f>IFERROR(__xludf.DUMMYFUNCTION("""COMPUTED_VALUE"""),"simple")</f>
        <v>simple</v>
      </c>
      <c r="X49" s="212" t="str">
        <f>IFERROR(__xludf.DUMMYFUNCTION("""COMPUTED_VALUE"""),"Store Base")</f>
        <v>Store Base</v>
      </c>
      <c r="Y49" s="212" t="str">
        <f>IFERROR(__xludf.DUMMYFUNCTION("""COMPUTED_VALUE"""),"10th to 12th April")</f>
        <v>10th to 12th April</v>
      </c>
      <c r="Z49" s="212" t="str">
        <f>IFERROR(__xludf.DUMMYFUNCTION("""COMPUTED_VALUE"""),"69d640e67492b2343b6a6741")</f>
        <v>69d640e67492b2343b6a6741</v>
      </c>
      <c r="AA49" s="287">
        <f>IFERROR(__xludf.DUMMYFUNCTION("""COMPUTED_VALUE"""),135.0)</f>
        <v>135</v>
      </c>
      <c r="AB49" s="213"/>
      <c r="AC49" s="213">
        <f>IFERROR(__xludf.DUMMYFUNCTION("""COMPUTED_VALUE"""),135.0)</f>
        <v>135</v>
      </c>
      <c r="AD49" s="213">
        <f>IFERROR(__xludf.DUMMYFUNCTION("""COMPUTED_VALUE"""),348373.0)</f>
        <v>348373</v>
      </c>
      <c r="AE49" s="213"/>
      <c r="AF49" s="213">
        <f>IFERROR(__xludf.DUMMYFUNCTION("""COMPUTED_VALUE"""),348373.0)</f>
        <v>348373</v>
      </c>
      <c r="AG49" s="282"/>
      <c r="AH49" s="282"/>
      <c r="AI49" s="282"/>
      <c r="AJ49" s="303"/>
      <c r="AK49" s="303"/>
      <c r="AL49" s="303"/>
      <c r="AM49" s="282"/>
      <c r="AN49" s="282"/>
      <c r="AO49" s="282"/>
      <c r="AP49" s="282"/>
      <c r="AQ49" s="282"/>
      <c r="AR49" s="282"/>
      <c r="AS49" s="282"/>
      <c r="AT49" s="282"/>
      <c r="AU49" s="282"/>
      <c r="AV49" s="282"/>
      <c r="AW49" s="282"/>
      <c r="AX49" s="282"/>
      <c r="AY49" s="282"/>
      <c r="AZ49" s="282"/>
    </row>
    <row r="50" ht="26.25" customHeight="1">
      <c r="A50" s="209">
        <f>IFERROR(__xludf.DUMMYFUNCTION("""COMPUTED_VALUE"""),46122.0)</f>
        <v>46122</v>
      </c>
      <c r="B50" s="247">
        <f>IFERROR(__xludf.DUMMYFUNCTION("""COMPUTED_VALUE"""),0.625)</f>
        <v>0.625</v>
      </c>
      <c r="C50" s="218" t="str">
        <f>IFERROR(__xludf.DUMMYFUNCTION("""COMPUTED_VALUE"""),"Whatsapp")</f>
        <v>Whatsapp</v>
      </c>
      <c r="D50" s="218" t="str">
        <f>IFERROR(__xludf.DUMMYFUNCTION("""COMPUTED_VALUE"""),"Promotional")</f>
        <v>Promotional</v>
      </c>
      <c r="E50" s="218" t="str">
        <f>IFERROR(__xludf.DUMMYFUNCTION("""COMPUTED_VALUE"""),"R&amp;B")</f>
        <v>R&amp;B</v>
      </c>
      <c r="F50" s="218" t="str">
        <f>IFERROR(__xludf.DUMMYFUNCTION("""COMPUTED_VALUE"""),"Vishu campaigns")</f>
        <v>Vishu campaigns</v>
      </c>
      <c r="G50" s="218" t="str">
        <f>IFERROR(__xludf.DUMMYFUNCTION("""COMPUTED_VALUE"""),"Vishu Alleppey Round 1")</f>
        <v>Vishu Alleppey Round 1</v>
      </c>
      <c r="H50" s="218" t="str">
        <f>IFERROR(__xludf.DUMMYFUNCTION("""COMPUTED_VALUE"""),"Store_Shop_RB_1286")</f>
        <v>Store_Shop_RB_1286</v>
      </c>
      <c r="I50" s="218" t="str">
        <f>IFERROR(__xludf.DUMMYFUNCTION("""COMPUTED_VALUE"""),"Customers who shopped between 8th April 2023 to 6th April 2026 from stores: 1286")</f>
        <v>Customers who shopped between 8th April 2023 to 6th April 2026 from stores: 1286</v>
      </c>
      <c r="J50" s="213">
        <f>IFERROR(__xludf.DUMMYFUNCTION("""COMPUTED_VALUE"""),661.0)</f>
        <v>661</v>
      </c>
      <c r="K50" s="213">
        <f>IFERROR(__xludf.DUMMYFUNCTION("""COMPUTED_VALUE"""),498.0)</f>
        <v>498</v>
      </c>
      <c r="L50" s="214">
        <f>IFERROR(__xludf.DUMMYFUNCTION("""COMPUTED_VALUE"""),0.7534)</f>
        <v>0.7534</v>
      </c>
      <c r="M50" s="213">
        <f>IFERROR(__xludf.DUMMYFUNCTION("""COMPUTED_VALUE"""),280.0)</f>
        <v>280</v>
      </c>
      <c r="N50" s="214">
        <f>IFERROR(__xludf.DUMMYFUNCTION("""COMPUTED_VALUE"""),0.5622)</f>
        <v>0.5622</v>
      </c>
      <c r="O50" s="101">
        <f>IFERROR(__xludf.DUMMYFUNCTION("""COMPUTED_VALUE"""),35.0)</f>
        <v>35</v>
      </c>
      <c r="P50" s="101">
        <f>IFERROR(__xludf.DUMMYFUNCTION("""COMPUTED_VALUE"""),35.0)</f>
        <v>35</v>
      </c>
      <c r="Q50" s="214">
        <f>IFERROR(__xludf.DUMMYFUNCTION("""COMPUTED_VALUE"""),0.0703)</f>
        <v>0.0703</v>
      </c>
      <c r="R50" s="214">
        <f>IFERROR(__xludf.DUMMYFUNCTION("""COMPUTED_VALUE"""),0.125)</f>
        <v>0.125</v>
      </c>
      <c r="S50" s="218">
        <f>IFERROR(__xludf.DUMMYFUNCTION("""COMPUTED_VALUE"""),0.0)</f>
        <v>0</v>
      </c>
      <c r="T50" s="218">
        <f>IFERROR(__xludf.DUMMYFUNCTION("""COMPUTED_VALUE"""),0.0)</f>
        <v>0</v>
      </c>
      <c r="U50" s="270">
        <f>IFERROR(__xludf.DUMMYFUNCTION("""COMPUTED_VALUE"""),0.0)</f>
        <v>0</v>
      </c>
      <c r="V50" s="101" t="str">
        <f>IFERROR(__xludf.DUMMYFUNCTION("""COMPUTED_VALUE"""),"offline")</f>
        <v>offline</v>
      </c>
      <c r="W50" s="101" t="str">
        <f>IFERROR(__xludf.DUMMYFUNCTION("""COMPUTED_VALUE"""),"simple")</f>
        <v>simple</v>
      </c>
      <c r="X50" s="212" t="str">
        <f>IFERROR(__xludf.DUMMYFUNCTION("""COMPUTED_VALUE"""),"Store Base")</f>
        <v>Store Base</v>
      </c>
      <c r="Y50" s="212" t="str">
        <f>IFERROR(__xludf.DUMMYFUNCTION("""COMPUTED_VALUE"""),"10th to 12th April")</f>
        <v>10th to 12th April</v>
      </c>
      <c r="Z50" s="212" t="str">
        <f>IFERROR(__xludf.DUMMYFUNCTION("""COMPUTED_VALUE"""),"69d652818c12e1ae20600601")</f>
        <v>69d652818c12e1ae20600601</v>
      </c>
      <c r="AA50" s="287">
        <f>IFERROR(__xludf.DUMMYFUNCTION("""COMPUTED_VALUE"""),4.0)</f>
        <v>4</v>
      </c>
      <c r="AB50" s="213"/>
      <c r="AC50" s="213">
        <f>IFERROR(__xludf.DUMMYFUNCTION("""COMPUTED_VALUE"""),4.0)</f>
        <v>4</v>
      </c>
      <c r="AD50" s="213">
        <f>IFERROR(__xludf.DUMMYFUNCTION("""COMPUTED_VALUE"""),9151.0)</f>
        <v>9151</v>
      </c>
      <c r="AE50" s="213"/>
      <c r="AF50" s="213">
        <f>IFERROR(__xludf.DUMMYFUNCTION("""COMPUTED_VALUE"""),9151.0)</f>
        <v>9151</v>
      </c>
      <c r="AG50" s="282"/>
      <c r="AH50" s="282"/>
      <c r="AI50" s="282"/>
      <c r="AJ50" s="303"/>
      <c r="AK50" s="303"/>
      <c r="AL50" s="303"/>
      <c r="AM50" s="282"/>
      <c r="AN50" s="282"/>
      <c r="AO50" s="282"/>
      <c r="AP50" s="282"/>
      <c r="AQ50" s="282"/>
      <c r="AR50" s="282"/>
      <c r="AS50" s="282"/>
      <c r="AT50" s="282"/>
      <c r="AU50" s="282"/>
      <c r="AV50" s="282"/>
      <c r="AW50" s="282"/>
      <c r="AX50" s="282"/>
      <c r="AY50" s="282"/>
      <c r="AZ50" s="282"/>
    </row>
    <row r="51" ht="26.25" customHeight="1">
      <c r="A51" s="209">
        <f>IFERROR(__xludf.DUMMYFUNCTION("""COMPUTED_VALUE"""),46122.0)</f>
        <v>46122</v>
      </c>
      <c r="B51" s="247">
        <f>IFERROR(__xludf.DUMMYFUNCTION("""COMPUTED_VALUE"""),0.7083333333321207)</f>
        <v>0.7083333333</v>
      </c>
      <c r="C51" s="218" t="str">
        <f>IFERROR(__xludf.DUMMYFUNCTION("""COMPUTED_VALUE"""),"Sms")</f>
        <v>Sms</v>
      </c>
      <c r="D51" s="218" t="str">
        <f>IFERROR(__xludf.DUMMYFUNCTION("""COMPUTED_VALUE"""),"Fallback campaign")</f>
        <v>Fallback campaign</v>
      </c>
      <c r="E51" s="218" t="str">
        <f>IFERROR(__xludf.DUMMYFUNCTION("""COMPUTED_VALUE"""),"R&amp;B")</f>
        <v>R&amp;B</v>
      </c>
      <c r="F51" s="218" t="str">
        <f>IFERROR(__xludf.DUMMYFUNCTION("""COMPUTED_VALUE"""),"Vishu campaigns")</f>
        <v>Vishu campaigns</v>
      </c>
      <c r="G51" s="218" t="str">
        <f>IFERROR(__xludf.DUMMYFUNCTION("""COMPUTED_VALUE"""),"Fallback_All Vishu Round 1")</f>
        <v>Fallback_All Vishu Round 1</v>
      </c>
      <c r="H51" s="218" t="str">
        <f>IFERROR(__xludf.DUMMYFUNCTION("""COMPUTED_VALUE"""),"Store_Shop_RB_16_21_22_1329, Store_Shop_RB_08_10, Store_Shop_RB_20_1283, Store_Shop_RB_1286")</f>
        <v>Store_Shop_RB_16_21_22_1329, Store_Shop_RB_08_10, Store_Shop_RB_20_1283, Store_Shop_RB_1286</v>
      </c>
      <c r="I51" s="218" t="str">
        <f>IFERROR(__xludf.DUMMYFUNCTION("""COMPUTED_VALUE"""),"WA Undelivered")</f>
        <v>WA Undelivered</v>
      </c>
      <c r="J51" s="213">
        <f>IFERROR(__xludf.DUMMYFUNCTION("""COMPUTED_VALUE"""),91508.0)</f>
        <v>91508</v>
      </c>
      <c r="K51" s="213">
        <f>IFERROR(__xludf.DUMMYFUNCTION("""COMPUTED_VALUE"""),59739.0)</f>
        <v>59739</v>
      </c>
      <c r="L51" s="214">
        <f>IFERROR(__xludf.DUMMYFUNCTION("""COMPUTED_VALUE"""),0.6528)</f>
        <v>0.6528</v>
      </c>
      <c r="M51" s="213"/>
      <c r="N51" s="214"/>
      <c r="O51" s="213">
        <f>IFERROR(__xludf.DUMMYFUNCTION("""COMPUTED_VALUE"""),29.0)</f>
        <v>29</v>
      </c>
      <c r="P51" s="213"/>
      <c r="Q51" s="214">
        <f>IFERROR(__xludf.DUMMYFUNCTION("""COMPUTED_VALUE"""),5.0E-4)</f>
        <v>0.0005</v>
      </c>
      <c r="R51" s="214"/>
      <c r="S51" s="270">
        <f>IFERROR(__xludf.DUMMYFUNCTION("""COMPUTED_VALUE"""),0.0)</f>
        <v>0</v>
      </c>
      <c r="T51" s="270">
        <f>IFERROR(__xludf.DUMMYFUNCTION("""COMPUTED_VALUE"""),0.0)</f>
        <v>0</v>
      </c>
      <c r="U51" s="270">
        <f>IFERROR(__xludf.DUMMYFUNCTION("""COMPUTED_VALUE"""),0.0)</f>
        <v>0</v>
      </c>
      <c r="V51" s="101" t="str">
        <f>IFERROR(__xludf.DUMMYFUNCTION("""COMPUTED_VALUE"""),"offline")</f>
        <v>offline</v>
      </c>
      <c r="W51" s="101" t="str">
        <f>IFERROR(__xludf.DUMMYFUNCTION("""COMPUTED_VALUE"""),"SMS")</f>
        <v>SMS</v>
      </c>
      <c r="X51" s="212" t="str">
        <f>IFERROR(__xludf.DUMMYFUNCTION("""COMPUTED_VALUE"""),"Store Base")</f>
        <v>Store Base</v>
      </c>
      <c r="Y51" s="212" t="str">
        <f>IFERROR(__xludf.DUMMYFUNCTION("""COMPUTED_VALUE"""),"10th to 12th April")</f>
        <v>10th to 12th April</v>
      </c>
      <c r="Z51" s="212" t="str">
        <f>IFERROR(__xludf.DUMMYFUNCTION("""COMPUTED_VALUE"""),"69d6533a129eb2d7eef14887")</f>
        <v>69d6533a129eb2d7eef14887</v>
      </c>
      <c r="AA51" s="287">
        <f>IFERROR(__xludf.DUMMYFUNCTION("""COMPUTED_VALUE"""),259.0)</f>
        <v>259</v>
      </c>
      <c r="AB51" s="213"/>
      <c r="AC51" s="213">
        <f>IFERROR(__xludf.DUMMYFUNCTION("""COMPUTED_VALUE"""),259.0)</f>
        <v>259</v>
      </c>
      <c r="AD51" s="213">
        <f>IFERROR(__xludf.DUMMYFUNCTION("""COMPUTED_VALUE"""),482688.0)</f>
        <v>482688</v>
      </c>
      <c r="AE51" s="213"/>
      <c r="AF51" s="213">
        <f>IFERROR(__xludf.DUMMYFUNCTION("""COMPUTED_VALUE"""),482688.0)</f>
        <v>482688</v>
      </c>
      <c r="AG51" s="282"/>
      <c r="AH51" s="282"/>
      <c r="AI51" s="282"/>
      <c r="AJ51" s="303"/>
      <c r="AK51" s="303"/>
      <c r="AL51" s="303"/>
      <c r="AM51" s="282"/>
      <c r="AN51" s="282"/>
      <c r="AO51" s="282"/>
      <c r="AP51" s="282"/>
      <c r="AQ51" s="282"/>
      <c r="AR51" s="282"/>
      <c r="AS51" s="282"/>
      <c r="AT51" s="282"/>
      <c r="AU51" s="282"/>
      <c r="AV51" s="282"/>
      <c r="AW51" s="282"/>
      <c r="AX51" s="282"/>
      <c r="AY51" s="282"/>
      <c r="AZ51" s="282"/>
    </row>
    <row r="52" ht="26.25" customHeight="1">
      <c r="A52" s="209">
        <f>IFERROR(__xludf.DUMMYFUNCTION("""COMPUTED_VALUE"""),46122.0)</f>
        <v>46122</v>
      </c>
      <c r="B52" s="247">
        <f>IFERROR(__xludf.DUMMYFUNCTION("""COMPUTED_VALUE"""),0.7083333333321207)</f>
        <v>0.7083333333</v>
      </c>
      <c r="C52" s="218" t="str">
        <f>IFERROR(__xludf.DUMMYFUNCTION("""COMPUTED_VALUE"""),"Sms")</f>
        <v>Sms</v>
      </c>
      <c r="D52" s="218" t="str">
        <f>IFERROR(__xludf.DUMMYFUNCTION("""COMPUTED_VALUE"""),"Fallback campaign")</f>
        <v>Fallback campaign</v>
      </c>
      <c r="E52" s="218" t="str">
        <f>IFERROR(__xludf.DUMMYFUNCTION("""COMPUTED_VALUE"""),"R&amp;B")</f>
        <v>R&amp;B</v>
      </c>
      <c r="F52" s="218" t="str">
        <f>IFERROR(__xludf.DUMMYFUNCTION("""COMPUTED_VALUE"""),"North")</f>
        <v>North</v>
      </c>
      <c r="G52" s="218" t="str">
        <f>IFERROR(__xludf.DUMMYFUNCTION("""COMPUTED_VALUE"""),"Fallback_North Stores")</f>
        <v>Fallback_North Stores</v>
      </c>
      <c r="H52" s="218" t="str">
        <f>IFERROR(__xludf.DUMMYFUNCTION("""COMPUTED_VALUE"""),"Store_Shop_RB_25_1250_1281_1296_1300")</f>
        <v>Store_Shop_RB_25_1250_1281_1296_1300</v>
      </c>
      <c r="I52" s="218" t="str">
        <f>IFERROR(__xludf.DUMMYFUNCTION("""COMPUTED_VALUE"""),"WA Undelivered")</f>
        <v>WA Undelivered</v>
      </c>
      <c r="J52" s="213">
        <f>IFERROR(__xludf.DUMMYFUNCTION("""COMPUTED_VALUE"""),16851.0)</f>
        <v>16851</v>
      </c>
      <c r="K52" s="213">
        <f>IFERROR(__xludf.DUMMYFUNCTION("""COMPUTED_VALUE"""),11318.0)</f>
        <v>11318</v>
      </c>
      <c r="L52" s="214">
        <f>IFERROR(__xludf.DUMMYFUNCTION("""COMPUTED_VALUE"""),0.6717)</f>
        <v>0.6717</v>
      </c>
      <c r="M52" s="213"/>
      <c r="N52" s="214"/>
      <c r="O52" s="213">
        <f>IFERROR(__xludf.DUMMYFUNCTION("""COMPUTED_VALUE"""),25.0)</f>
        <v>25</v>
      </c>
      <c r="P52" s="213"/>
      <c r="Q52" s="214">
        <f>IFERROR(__xludf.DUMMYFUNCTION("""COMPUTED_VALUE"""),0.0022)</f>
        <v>0.0022</v>
      </c>
      <c r="R52" s="214"/>
      <c r="S52" s="270">
        <f>IFERROR(__xludf.DUMMYFUNCTION("""COMPUTED_VALUE"""),0.0)</f>
        <v>0</v>
      </c>
      <c r="T52" s="270">
        <f>IFERROR(__xludf.DUMMYFUNCTION("""COMPUTED_VALUE"""),0.0)</f>
        <v>0</v>
      </c>
      <c r="U52" s="270">
        <f>IFERROR(__xludf.DUMMYFUNCTION("""COMPUTED_VALUE"""),0.0)</f>
        <v>0</v>
      </c>
      <c r="V52" s="101" t="str">
        <f>IFERROR(__xludf.DUMMYFUNCTION("""COMPUTED_VALUE"""),"offline")</f>
        <v>offline</v>
      </c>
      <c r="W52" s="101" t="str">
        <f>IFERROR(__xludf.DUMMYFUNCTION("""COMPUTED_VALUE"""),"SMS")</f>
        <v>SMS</v>
      </c>
      <c r="X52" s="212" t="str">
        <f>IFERROR(__xludf.DUMMYFUNCTION("""COMPUTED_VALUE"""),"Store Base")</f>
        <v>Store Base</v>
      </c>
      <c r="Y52" s="212" t="str">
        <f>IFERROR(__xludf.DUMMYFUNCTION("""COMPUTED_VALUE"""),"10th to 12th April")</f>
        <v>10th to 12th April</v>
      </c>
      <c r="Z52" s="212" t="str">
        <f>IFERROR(__xludf.DUMMYFUNCTION("""COMPUTED_VALUE"""),"69d653920e04cd72a509a303")</f>
        <v>69d653920e04cd72a509a303</v>
      </c>
      <c r="AA52" s="287">
        <f>IFERROR(__xludf.DUMMYFUNCTION("""COMPUTED_VALUE"""),88.0)</f>
        <v>88</v>
      </c>
      <c r="AB52" s="213"/>
      <c r="AC52" s="213">
        <f>IFERROR(__xludf.DUMMYFUNCTION("""COMPUTED_VALUE"""),88.0)</f>
        <v>88</v>
      </c>
      <c r="AD52" s="213">
        <f>IFERROR(__xludf.DUMMYFUNCTION("""COMPUTED_VALUE"""),256066.0)</f>
        <v>256066</v>
      </c>
      <c r="AE52" s="213"/>
      <c r="AF52" s="213">
        <f>IFERROR(__xludf.DUMMYFUNCTION("""COMPUTED_VALUE"""),256066.0)</f>
        <v>256066</v>
      </c>
      <c r="AG52" s="282"/>
      <c r="AH52" s="282"/>
      <c r="AI52" s="282"/>
      <c r="AJ52" s="303"/>
      <c r="AK52" s="303"/>
      <c r="AL52" s="303"/>
      <c r="AM52" s="282"/>
      <c r="AN52" s="282"/>
      <c r="AO52" s="282"/>
      <c r="AP52" s="282"/>
      <c r="AQ52" s="282"/>
      <c r="AR52" s="282"/>
      <c r="AS52" s="282"/>
      <c r="AT52" s="282"/>
      <c r="AU52" s="282"/>
      <c r="AV52" s="282"/>
      <c r="AW52" s="282"/>
      <c r="AX52" s="282"/>
      <c r="AY52" s="282"/>
      <c r="AZ52" s="282"/>
    </row>
    <row r="53" ht="26.25" customHeight="1">
      <c r="A53" s="209">
        <f>IFERROR(__xludf.DUMMYFUNCTION("""COMPUTED_VALUE"""),46125.0)</f>
        <v>46125</v>
      </c>
      <c r="B53" s="247">
        <f>IFERROR(__xludf.DUMMYFUNCTION("""COMPUTED_VALUE"""),0.5)</f>
        <v>0.5</v>
      </c>
      <c r="C53" s="218" t="str">
        <f>IFERROR(__xludf.DUMMYFUNCTION("""COMPUTED_VALUE"""),"Whatsapp")</f>
        <v>Whatsapp</v>
      </c>
      <c r="D53" s="218" t="str">
        <f>IFERROR(__xludf.DUMMYFUNCTION("""COMPUTED_VALUE"""),"Promtional")</f>
        <v>Promtional</v>
      </c>
      <c r="E53" s="218" t="str">
        <f>IFERROR(__xludf.DUMMYFUNCTION("""COMPUTED_VALUE"""),"R&amp;B")</f>
        <v>R&amp;B</v>
      </c>
      <c r="F53" s="218" t="str">
        <f>IFERROR(__xludf.DUMMYFUNCTION("""COMPUTED_VALUE"""),"Vishu campaigns")</f>
        <v>Vishu campaigns</v>
      </c>
      <c r="G53" s="218" t="str">
        <f>IFERROR(__xludf.DUMMYFUNCTION("""COMPUTED_VALUE"""),"Vishu Kochi Round 2")</f>
        <v>Vishu Kochi Round 2</v>
      </c>
      <c r="H53" s="218" t="str">
        <f>IFERROR(__xludf.DUMMYFUNCTION("""COMPUTED_VALUE"""),"Store_Shop_RB_16_21_22_1329")</f>
        <v>Store_Shop_RB_16_21_22_1329</v>
      </c>
      <c r="I53" s="218" t="str">
        <f>IFERROR(__xludf.DUMMYFUNCTION("""COMPUTED_VALUE"""),"Customers who shopped between 8th April 2023 to 6th April 2026 from stores: RB016, RB021, RB022, 1329")</f>
        <v>Customers who shopped between 8th April 2023 to 6th April 2026 from stores: RB016, RB021, RB022, 1329</v>
      </c>
      <c r="J53" s="213">
        <f>IFERROR(__xludf.DUMMYFUNCTION("""COMPUTED_VALUE"""),138027.0)</f>
        <v>138027</v>
      </c>
      <c r="K53" s="213">
        <f>IFERROR(__xludf.DUMMYFUNCTION("""COMPUTED_VALUE"""),82420.0)</f>
        <v>82420</v>
      </c>
      <c r="L53" s="214">
        <f>IFERROR(__xludf.DUMMYFUNCTION("""COMPUTED_VALUE"""),0.597)</f>
        <v>0.597</v>
      </c>
      <c r="M53" s="213">
        <f>IFERROR(__xludf.DUMMYFUNCTION("""COMPUTED_VALUE"""),40012.0)</f>
        <v>40012</v>
      </c>
      <c r="N53" s="214">
        <f>IFERROR(__xludf.DUMMYFUNCTION("""COMPUTED_VALUE"""),0.4855)</f>
        <v>0.4855</v>
      </c>
      <c r="O53" s="213">
        <f>IFERROR(__xludf.DUMMYFUNCTION("""COMPUTED_VALUE"""),980.0)</f>
        <v>980</v>
      </c>
      <c r="P53" s="213">
        <f>IFERROR(__xludf.DUMMYFUNCTION("""COMPUTED_VALUE"""),962.0)</f>
        <v>962</v>
      </c>
      <c r="Q53" s="214">
        <f>IFERROR(__xludf.DUMMYFUNCTION("""COMPUTED_VALUE"""),0.0117)</f>
        <v>0.0117</v>
      </c>
      <c r="R53" s="214">
        <f>IFERROR(__xludf.DUMMYFUNCTION("""COMPUTED_VALUE"""),0.024)</f>
        <v>0.024</v>
      </c>
      <c r="S53" s="270">
        <f>IFERROR(__xludf.DUMMYFUNCTION("""COMPUTED_VALUE"""),0.0)</f>
        <v>0</v>
      </c>
      <c r="T53" s="270">
        <f>IFERROR(__xludf.DUMMYFUNCTION("""COMPUTED_VALUE"""),0.0)</f>
        <v>0</v>
      </c>
      <c r="U53" s="270">
        <f>IFERROR(__xludf.DUMMYFUNCTION("""COMPUTED_VALUE"""),0.0)</f>
        <v>0</v>
      </c>
      <c r="V53" s="101" t="str">
        <f>IFERROR(__xludf.DUMMYFUNCTION("""COMPUTED_VALUE"""),"offline")</f>
        <v>offline</v>
      </c>
      <c r="W53" s="101" t="str">
        <f>IFERROR(__xludf.DUMMYFUNCTION("""COMPUTED_VALUE"""),"simple")</f>
        <v>simple</v>
      </c>
      <c r="X53" s="212" t="str">
        <f>IFERROR(__xludf.DUMMYFUNCTION("""COMPUTED_VALUE"""),"Store Base")</f>
        <v>Store Base</v>
      </c>
      <c r="Y53" s="212" t="str">
        <f>IFERROR(__xludf.DUMMYFUNCTION("""COMPUTED_VALUE"""),"13th to 15th April")</f>
        <v>13th to 15th April</v>
      </c>
      <c r="Z53" s="212" t="str">
        <f>IFERROR(__xludf.DUMMYFUNCTION("""COMPUTED_VALUE"""),"69d63fd07ea317b787560396")</f>
        <v>69d63fd07ea317b787560396</v>
      </c>
      <c r="AA53" s="287">
        <f>IFERROR(__xludf.DUMMYFUNCTION("""COMPUTED_VALUE"""),243.0)</f>
        <v>243</v>
      </c>
      <c r="AB53" s="213"/>
      <c r="AC53" s="213">
        <f>IFERROR(__xludf.DUMMYFUNCTION("""COMPUTED_VALUE"""),243.0)</f>
        <v>243</v>
      </c>
      <c r="AD53" s="213">
        <f>IFERROR(__xludf.DUMMYFUNCTION("""COMPUTED_VALUE"""),415726.0)</f>
        <v>415726</v>
      </c>
      <c r="AE53" s="213"/>
      <c r="AF53" s="213">
        <f>IFERROR(__xludf.DUMMYFUNCTION("""COMPUTED_VALUE"""),415726.0)</f>
        <v>415726</v>
      </c>
      <c r="AG53" s="282"/>
      <c r="AH53" s="282"/>
      <c r="AI53" s="282"/>
      <c r="AJ53" s="303"/>
      <c r="AK53" s="303"/>
      <c r="AL53" s="303"/>
      <c r="AM53" s="282"/>
      <c r="AN53" s="282"/>
      <c r="AO53" s="282"/>
      <c r="AP53" s="282"/>
      <c r="AQ53" s="282"/>
      <c r="AR53" s="282"/>
      <c r="AS53" s="282"/>
      <c r="AT53" s="282"/>
      <c r="AU53" s="282"/>
      <c r="AV53" s="282"/>
      <c r="AW53" s="282"/>
      <c r="AX53" s="282"/>
      <c r="AY53" s="282"/>
      <c r="AZ53" s="282"/>
    </row>
    <row r="54" ht="26.25" customHeight="1">
      <c r="A54" s="209">
        <f>IFERROR(__xludf.DUMMYFUNCTION("""COMPUTED_VALUE"""),46125.0)</f>
        <v>46125</v>
      </c>
      <c r="B54" s="247">
        <f>IFERROR(__xludf.DUMMYFUNCTION("""COMPUTED_VALUE"""),0.5)</f>
        <v>0.5</v>
      </c>
      <c r="C54" s="218" t="str">
        <f>IFERROR(__xludf.DUMMYFUNCTION("""COMPUTED_VALUE"""),"Whatsapp")</f>
        <v>Whatsapp</v>
      </c>
      <c r="D54" s="218" t="str">
        <f>IFERROR(__xludf.DUMMYFUNCTION("""COMPUTED_VALUE"""),"Promtional")</f>
        <v>Promtional</v>
      </c>
      <c r="E54" s="218" t="str">
        <f>IFERROR(__xludf.DUMMYFUNCTION("""COMPUTED_VALUE"""),"R&amp;B")</f>
        <v>R&amp;B</v>
      </c>
      <c r="F54" s="218" t="str">
        <f>IFERROR(__xludf.DUMMYFUNCTION("""COMPUTED_VALUE"""),"Vishu campaigns")</f>
        <v>Vishu campaigns</v>
      </c>
      <c r="G54" s="218" t="str">
        <f>IFERROR(__xludf.DUMMYFUNCTION("""COMPUTED_VALUE"""),"Vishu Alleppey Round 2")</f>
        <v>Vishu Alleppey Round 2</v>
      </c>
      <c r="H54" s="218" t="str">
        <f>IFERROR(__xludf.DUMMYFUNCTION("""COMPUTED_VALUE"""),"Store_Shop_RB_1286")</f>
        <v>Store_Shop_RB_1286</v>
      </c>
      <c r="I54" s="218" t="str">
        <f>IFERROR(__xludf.DUMMYFUNCTION("""COMPUTED_VALUE"""),"Customers who shopped between 8th April 2023 to 6th April 2026 from stores: 1286")</f>
        <v>Customers who shopped between 8th April 2023 to 6th April 2026 from stores: 1286</v>
      </c>
      <c r="J54" s="213">
        <f>IFERROR(__xludf.DUMMYFUNCTION("""COMPUTED_VALUE"""),661.0)</f>
        <v>661</v>
      </c>
      <c r="K54" s="213">
        <f>IFERROR(__xludf.DUMMYFUNCTION("""COMPUTED_VALUE"""),468.0)</f>
        <v>468</v>
      </c>
      <c r="L54" s="214">
        <f>IFERROR(__xludf.DUMMYFUNCTION("""COMPUTED_VALUE"""),0.708)</f>
        <v>0.708</v>
      </c>
      <c r="M54" s="213">
        <f>IFERROR(__xludf.DUMMYFUNCTION("""COMPUTED_VALUE"""),258.0)</f>
        <v>258</v>
      </c>
      <c r="N54" s="214">
        <f>IFERROR(__xludf.DUMMYFUNCTION("""COMPUTED_VALUE"""),0.5513)</f>
        <v>0.5513</v>
      </c>
      <c r="O54" s="213">
        <f>IFERROR(__xludf.DUMMYFUNCTION("""COMPUTED_VALUE"""),16.0)</f>
        <v>16</v>
      </c>
      <c r="P54" s="213">
        <f>IFERROR(__xludf.DUMMYFUNCTION("""COMPUTED_VALUE"""),15.0)</f>
        <v>15</v>
      </c>
      <c r="Q54" s="214">
        <f>IFERROR(__xludf.DUMMYFUNCTION("""COMPUTED_VALUE"""),0.0321)</f>
        <v>0.0321</v>
      </c>
      <c r="R54" s="214">
        <f>IFERROR(__xludf.DUMMYFUNCTION("""COMPUTED_VALUE"""),0.0581)</f>
        <v>0.0581</v>
      </c>
      <c r="S54" s="270">
        <f>IFERROR(__xludf.DUMMYFUNCTION("""COMPUTED_VALUE"""),0.0)</f>
        <v>0</v>
      </c>
      <c r="T54" s="270">
        <f>IFERROR(__xludf.DUMMYFUNCTION("""COMPUTED_VALUE"""),0.0)</f>
        <v>0</v>
      </c>
      <c r="U54" s="270">
        <f>IFERROR(__xludf.DUMMYFUNCTION("""COMPUTED_VALUE"""),0.0)</f>
        <v>0</v>
      </c>
      <c r="V54" s="101" t="str">
        <f>IFERROR(__xludf.DUMMYFUNCTION("""COMPUTED_VALUE"""),"offline")</f>
        <v>offline</v>
      </c>
      <c r="W54" s="101" t="str">
        <f>IFERROR(__xludf.DUMMYFUNCTION("""COMPUTED_VALUE"""),"simple")</f>
        <v>simple</v>
      </c>
      <c r="X54" s="212" t="str">
        <f>IFERROR(__xludf.DUMMYFUNCTION("""COMPUTED_VALUE"""),"Store Base")</f>
        <v>Store Base</v>
      </c>
      <c r="Y54" s="212" t="str">
        <f>IFERROR(__xludf.DUMMYFUNCTION("""COMPUTED_VALUE"""),"13th to 15th April")</f>
        <v>13th to 15th April</v>
      </c>
      <c r="Z54" s="212" t="str">
        <f>IFERROR(__xludf.DUMMYFUNCTION("""COMPUTED_VALUE"""),"69d63ff30093a4f856fa252f")</f>
        <v>69d63ff30093a4f856fa252f</v>
      </c>
      <c r="AA54" s="287">
        <f>IFERROR(__xludf.DUMMYFUNCTION("""COMPUTED_VALUE"""),0.0)</f>
        <v>0</v>
      </c>
      <c r="AB54" s="213"/>
      <c r="AC54" s="213">
        <f>IFERROR(__xludf.DUMMYFUNCTION("""COMPUTED_VALUE"""),0.0)</f>
        <v>0</v>
      </c>
      <c r="AD54" s="213">
        <f>IFERROR(__xludf.DUMMYFUNCTION("""COMPUTED_VALUE"""),0.0)</f>
        <v>0</v>
      </c>
      <c r="AE54" s="213"/>
      <c r="AF54" s="213">
        <f>IFERROR(__xludf.DUMMYFUNCTION("""COMPUTED_VALUE"""),0.0)</f>
        <v>0</v>
      </c>
      <c r="AG54" s="282"/>
      <c r="AH54" s="282"/>
      <c r="AI54" s="282"/>
      <c r="AJ54" s="303"/>
      <c r="AK54" s="303"/>
      <c r="AL54" s="303"/>
      <c r="AM54" s="282"/>
      <c r="AN54" s="282"/>
      <c r="AO54" s="282"/>
      <c r="AP54" s="282"/>
      <c r="AQ54" s="282"/>
      <c r="AR54" s="282"/>
      <c r="AS54" s="282"/>
      <c r="AT54" s="282"/>
      <c r="AU54" s="282"/>
      <c r="AV54" s="282"/>
      <c r="AW54" s="282"/>
      <c r="AX54" s="282"/>
      <c r="AY54" s="282"/>
      <c r="AZ54" s="282"/>
    </row>
    <row r="55" ht="26.25" customHeight="1">
      <c r="A55" s="209">
        <f>IFERROR(__xludf.DUMMYFUNCTION("""COMPUTED_VALUE"""),46125.0)</f>
        <v>46125</v>
      </c>
      <c r="B55" s="247">
        <f>IFERROR(__xludf.DUMMYFUNCTION("""COMPUTED_VALUE"""),0.5)</f>
        <v>0.5</v>
      </c>
      <c r="C55" s="218" t="str">
        <f>IFERROR(__xludf.DUMMYFUNCTION("""COMPUTED_VALUE"""),"Whatsapp")</f>
        <v>Whatsapp</v>
      </c>
      <c r="D55" s="218" t="str">
        <f>IFERROR(__xludf.DUMMYFUNCTION("""COMPUTED_VALUE"""),"Promtional")</f>
        <v>Promtional</v>
      </c>
      <c r="E55" s="218" t="str">
        <f>IFERROR(__xludf.DUMMYFUNCTION("""COMPUTED_VALUE"""),"R&amp;B")</f>
        <v>R&amp;B</v>
      </c>
      <c r="F55" s="218" t="str">
        <f>IFERROR(__xludf.DUMMYFUNCTION("""COMPUTED_VALUE"""),"Vishu campaigns")</f>
        <v>Vishu campaigns</v>
      </c>
      <c r="G55" s="218" t="str">
        <f>IFERROR(__xludf.DUMMYFUNCTION("""COMPUTED_VALUE"""),"Vishu Calicut Round 2")</f>
        <v>Vishu Calicut Round 2</v>
      </c>
      <c r="H55" s="218" t="str">
        <f>IFERROR(__xludf.DUMMYFUNCTION("""COMPUTED_VALUE"""),"Store_Shop_RB_08_10")</f>
        <v>Store_Shop_RB_08_10</v>
      </c>
      <c r="I55" s="218" t="str">
        <f>IFERROR(__xludf.DUMMYFUNCTION("""COMPUTED_VALUE"""),"Customers who shopped between 8th April 2023 to 6th April 2026 from stores: RB008 and RB010")</f>
        <v>Customers who shopped between 8th April 2023 to 6th April 2026 from stores: RB008 and RB010</v>
      </c>
      <c r="J55" s="213">
        <f>IFERROR(__xludf.DUMMYFUNCTION("""COMPUTED_VALUE"""),77262.0)</f>
        <v>77262</v>
      </c>
      <c r="K55" s="213">
        <f>IFERROR(__xludf.DUMMYFUNCTION("""COMPUTED_VALUE"""),46417.0)</f>
        <v>46417</v>
      </c>
      <c r="L55" s="214">
        <f>IFERROR(__xludf.DUMMYFUNCTION("""COMPUTED_VALUE"""),0.6007)</f>
        <v>0.6007</v>
      </c>
      <c r="M55" s="213">
        <f>IFERROR(__xludf.DUMMYFUNCTION("""COMPUTED_VALUE"""),22104.0)</f>
        <v>22104</v>
      </c>
      <c r="N55" s="214">
        <f>IFERROR(__xludf.DUMMYFUNCTION("""COMPUTED_VALUE"""),0.4762)</f>
        <v>0.4762</v>
      </c>
      <c r="O55" s="213">
        <f>IFERROR(__xludf.DUMMYFUNCTION("""COMPUTED_VALUE"""),825.0)</f>
        <v>825</v>
      </c>
      <c r="P55" s="213">
        <f>IFERROR(__xludf.DUMMYFUNCTION("""COMPUTED_VALUE"""),808.0)</f>
        <v>808</v>
      </c>
      <c r="Q55" s="214">
        <f>IFERROR(__xludf.DUMMYFUNCTION("""COMPUTED_VALUE"""),0.0174)</f>
        <v>0.0174</v>
      </c>
      <c r="R55" s="214">
        <f>IFERROR(__xludf.DUMMYFUNCTION("""COMPUTED_VALUE"""),0.0366)</f>
        <v>0.0366</v>
      </c>
      <c r="S55" s="270">
        <f>IFERROR(__xludf.DUMMYFUNCTION("""COMPUTED_VALUE"""),0.0)</f>
        <v>0</v>
      </c>
      <c r="T55" s="270">
        <f>IFERROR(__xludf.DUMMYFUNCTION("""COMPUTED_VALUE"""),0.0)</f>
        <v>0</v>
      </c>
      <c r="U55" s="270">
        <f>IFERROR(__xludf.DUMMYFUNCTION("""COMPUTED_VALUE"""),0.0)</f>
        <v>0</v>
      </c>
      <c r="V55" s="101" t="str">
        <f>IFERROR(__xludf.DUMMYFUNCTION("""COMPUTED_VALUE"""),"offline")</f>
        <v>offline</v>
      </c>
      <c r="W55" s="101" t="str">
        <f>IFERROR(__xludf.DUMMYFUNCTION("""COMPUTED_VALUE"""),"simple")</f>
        <v>simple</v>
      </c>
      <c r="X55" s="212" t="str">
        <f>IFERROR(__xludf.DUMMYFUNCTION("""COMPUTED_VALUE"""),"Store Base")</f>
        <v>Store Base</v>
      </c>
      <c r="Y55" s="212" t="str">
        <f>IFERROR(__xludf.DUMMYFUNCTION("""COMPUTED_VALUE"""),"13th to 15th April")</f>
        <v>13th to 15th April</v>
      </c>
      <c r="Z55" s="212" t="str">
        <f>IFERROR(__xludf.DUMMYFUNCTION("""COMPUTED_VALUE"""),"69d6401990702acb1214ade9")</f>
        <v>69d6401990702acb1214ade9</v>
      </c>
      <c r="AA55" s="287">
        <f>IFERROR(__xludf.DUMMYFUNCTION("""COMPUTED_VALUE"""),185.0)</f>
        <v>185</v>
      </c>
      <c r="AB55" s="213"/>
      <c r="AC55" s="213">
        <f>IFERROR(__xludf.DUMMYFUNCTION("""COMPUTED_VALUE"""),185.0)</f>
        <v>185</v>
      </c>
      <c r="AD55" s="213">
        <f>IFERROR(__xludf.DUMMYFUNCTION("""COMPUTED_VALUE"""),343070.0)</f>
        <v>343070</v>
      </c>
      <c r="AE55" s="213"/>
      <c r="AF55" s="213">
        <f>IFERROR(__xludf.DUMMYFUNCTION("""COMPUTED_VALUE"""),343070.0)</f>
        <v>343070</v>
      </c>
      <c r="AG55" s="282"/>
      <c r="AH55" s="282"/>
      <c r="AI55" s="282"/>
      <c r="AJ55" s="303"/>
      <c r="AK55" s="303"/>
      <c r="AL55" s="303"/>
      <c r="AM55" s="282"/>
      <c r="AN55" s="282"/>
      <c r="AO55" s="282"/>
      <c r="AP55" s="282"/>
      <c r="AQ55" s="282"/>
      <c r="AR55" s="282"/>
      <c r="AS55" s="282"/>
      <c r="AT55" s="282"/>
      <c r="AU55" s="282"/>
      <c r="AV55" s="282"/>
      <c r="AW55" s="282"/>
      <c r="AX55" s="282"/>
      <c r="AY55" s="282"/>
      <c r="AZ55" s="282"/>
    </row>
    <row r="56" ht="26.25" customHeight="1">
      <c r="A56" s="209">
        <f>IFERROR(__xludf.DUMMYFUNCTION("""COMPUTED_VALUE"""),46125.0)</f>
        <v>46125</v>
      </c>
      <c r="B56" s="247">
        <f>IFERROR(__xludf.DUMMYFUNCTION("""COMPUTED_VALUE"""),0.5)</f>
        <v>0.5</v>
      </c>
      <c r="C56" s="218" t="str">
        <f>IFERROR(__xludf.DUMMYFUNCTION("""COMPUTED_VALUE"""),"Whatsapp")</f>
        <v>Whatsapp</v>
      </c>
      <c r="D56" s="218" t="str">
        <f>IFERROR(__xludf.DUMMYFUNCTION("""COMPUTED_VALUE"""),"Promtional")</f>
        <v>Promtional</v>
      </c>
      <c r="E56" s="218" t="str">
        <f>IFERROR(__xludf.DUMMYFUNCTION("""COMPUTED_VALUE"""),"R&amp;B")</f>
        <v>R&amp;B</v>
      </c>
      <c r="F56" s="218" t="str">
        <f>IFERROR(__xludf.DUMMYFUNCTION("""COMPUTED_VALUE"""),"Vishu campaigns")</f>
        <v>Vishu campaigns</v>
      </c>
      <c r="G56" s="218" t="str">
        <f>IFERROR(__xludf.DUMMYFUNCTION("""COMPUTED_VALUE"""),"Vishu Trivandrum Round 2")</f>
        <v>Vishu Trivandrum Round 2</v>
      </c>
      <c r="H56" s="218" t="str">
        <f>IFERROR(__xludf.DUMMYFUNCTION("""COMPUTED_VALUE"""),"Store_Shop_RB_20_1283")</f>
        <v>Store_Shop_RB_20_1283</v>
      </c>
      <c r="I56" s="218" t="str">
        <f>IFERROR(__xludf.DUMMYFUNCTION("""COMPUTED_VALUE"""),"Customers who shopped between 8th April 2023 to 6th April 2026 from stores: RB020 and 1283")</f>
        <v>Customers who shopped between 8th April 2023 to 6th April 2026 from stores: RB020 and 1283</v>
      </c>
      <c r="J56" s="213">
        <f>IFERROR(__xludf.DUMMYFUNCTION("""COMPUTED_VALUE"""),61229.0)</f>
        <v>61229</v>
      </c>
      <c r="K56" s="213">
        <f>IFERROR(__xludf.DUMMYFUNCTION("""COMPUTED_VALUE"""),34907.0)</f>
        <v>34907</v>
      </c>
      <c r="L56" s="214">
        <f>IFERROR(__xludf.DUMMYFUNCTION("""COMPUTED_VALUE"""),0.5701)</f>
        <v>0.5701</v>
      </c>
      <c r="M56" s="213">
        <f>IFERROR(__xludf.DUMMYFUNCTION("""COMPUTED_VALUE"""),17766.0)</f>
        <v>17766</v>
      </c>
      <c r="N56" s="214">
        <f>IFERROR(__xludf.DUMMYFUNCTION("""COMPUTED_VALUE"""),0.5089)</f>
        <v>0.5089</v>
      </c>
      <c r="O56" s="213">
        <f>IFERROR(__xludf.DUMMYFUNCTION("""COMPUTED_VALUE"""),607.0)</f>
        <v>607</v>
      </c>
      <c r="P56" s="213">
        <f>IFERROR(__xludf.DUMMYFUNCTION("""COMPUTED_VALUE"""),591.0)</f>
        <v>591</v>
      </c>
      <c r="Q56" s="214">
        <f>IFERROR(__xludf.DUMMYFUNCTION("""COMPUTED_VALUE"""),0.0169)</f>
        <v>0.0169</v>
      </c>
      <c r="R56" s="214">
        <f>IFERROR(__xludf.DUMMYFUNCTION("""COMPUTED_VALUE"""),0.0333)</f>
        <v>0.0333</v>
      </c>
      <c r="S56" s="270">
        <f>IFERROR(__xludf.DUMMYFUNCTION("""COMPUTED_VALUE"""),0.0)</f>
        <v>0</v>
      </c>
      <c r="T56" s="270">
        <f>IFERROR(__xludf.DUMMYFUNCTION("""COMPUTED_VALUE"""),0.0)</f>
        <v>0</v>
      </c>
      <c r="U56" s="270">
        <f>IFERROR(__xludf.DUMMYFUNCTION("""COMPUTED_VALUE"""),0.0)</f>
        <v>0</v>
      </c>
      <c r="V56" s="101" t="str">
        <f>IFERROR(__xludf.DUMMYFUNCTION("""COMPUTED_VALUE"""),"offline")</f>
        <v>offline</v>
      </c>
      <c r="W56" s="101" t="str">
        <f>IFERROR(__xludf.DUMMYFUNCTION("""COMPUTED_VALUE"""),"simple")</f>
        <v>simple</v>
      </c>
      <c r="X56" s="212" t="str">
        <f>IFERROR(__xludf.DUMMYFUNCTION("""COMPUTED_VALUE"""),"Store Base")</f>
        <v>Store Base</v>
      </c>
      <c r="Y56" s="212" t="str">
        <f>IFERROR(__xludf.DUMMYFUNCTION("""COMPUTED_VALUE"""),"13th to 15th April")</f>
        <v>13th to 15th April</v>
      </c>
      <c r="Z56" s="212" t="str">
        <f>IFERROR(__xludf.DUMMYFUNCTION("""COMPUTED_VALUE"""),"69d640382d7ae1e665ddd620")</f>
        <v>69d640382d7ae1e665ddd620</v>
      </c>
      <c r="AA56" s="287">
        <f>IFERROR(__xludf.DUMMYFUNCTION("""COMPUTED_VALUE"""),137.0)</f>
        <v>137</v>
      </c>
      <c r="AB56" s="213"/>
      <c r="AC56" s="213">
        <f>IFERROR(__xludf.DUMMYFUNCTION("""COMPUTED_VALUE"""),137.0)</f>
        <v>137</v>
      </c>
      <c r="AD56" s="213">
        <f>IFERROR(__xludf.DUMMYFUNCTION("""COMPUTED_VALUE"""),298938.0)</f>
        <v>298938</v>
      </c>
      <c r="AE56" s="213"/>
      <c r="AF56" s="213">
        <f>IFERROR(__xludf.DUMMYFUNCTION("""COMPUTED_VALUE"""),298938.0)</f>
        <v>298938</v>
      </c>
      <c r="AG56" s="282"/>
      <c r="AH56" s="282"/>
      <c r="AI56" s="282"/>
      <c r="AJ56" s="303"/>
      <c r="AK56" s="303"/>
      <c r="AL56" s="303"/>
      <c r="AM56" s="282"/>
      <c r="AN56" s="282"/>
      <c r="AO56" s="282"/>
      <c r="AP56" s="282"/>
      <c r="AQ56" s="282"/>
      <c r="AR56" s="282"/>
      <c r="AS56" s="282"/>
      <c r="AT56" s="282"/>
      <c r="AU56" s="282"/>
      <c r="AV56" s="282"/>
      <c r="AW56" s="282"/>
      <c r="AX56" s="282"/>
      <c r="AY56" s="282"/>
      <c r="AZ56" s="282"/>
    </row>
    <row r="57" ht="26.25" customHeight="1">
      <c r="A57" s="209">
        <f>IFERROR(__xludf.DUMMYFUNCTION("""COMPUTED_VALUE"""),46125.0)</f>
        <v>46125</v>
      </c>
      <c r="B57" s="247">
        <f>IFERROR(__xludf.DUMMYFUNCTION("""COMPUTED_VALUE"""),0.5833333333321207)</f>
        <v>0.5833333333</v>
      </c>
      <c r="C57" s="218" t="str">
        <f>IFERROR(__xludf.DUMMYFUNCTION("""COMPUTED_VALUE"""),"Sms")</f>
        <v>Sms</v>
      </c>
      <c r="D57" s="218" t="str">
        <f>IFERROR(__xludf.DUMMYFUNCTION("""COMPUTED_VALUE"""),"Fallback campaign")</f>
        <v>Fallback campaign</v>
      </c>
      <c r="E57" s="218" t="str">
        <f>IFERROR(__xludf.DUMMYFUNCTION("""COMPUTED_VALUE"""),"R&amp;B")</f>
        <v>R&amp;B</v>
      </c>
      <c r="F57" s="218" t="str">
        <f>IFERROR(__xludf.DUMMYFUNCTION("""COMPUTED_VALUE"""),"Vishu campaigns")</f>
        <v>Vishu campaigns</v>
      </c>
      <c r="G57" s="218" t="str">
        <f>IFERROR(__xludf.DUMMYFUNCTION("""COMPUTED_VALUE"""),"Fallback_All Vishu Round 2")</f>
        <v>Fallback_All Vishu Round 2</v>
      </c>
      <c r="H57" s="218" t="str">
        <f>IFERROR(__xludf.DUMMYFUNCTION("""COMPUTED_VALUE"""),"Has executed WhatsApp Message Delivery Failed atleast 1 time in the last 3 days with attributes Readable Campaign Id  is in [69d63fd07ea317b787560396, 69d63ff30093a4f856fa252f, 69d6401990702acb1214ade9, 69d640382d7ae1e665ddd620]  case insensitive")</f>
        <v>Has executed WhatsApp Message Delivery Failed atleast 1 time in the last 3 days with attributes Readable Campaign Id  is in [69d63fd07ea317b787560396, 69d63ff30093a4f856fa252f, 69d6401990702acb1214ade9, 69d640382d7ae1e665ddd620]  case insensitive</v>
      </c>
      <c r="I57" s="218" t="str">
        <f>IFERROR(__xludf.DUMMYFUNCTION("""COMPUTED_VALUE"""),"WA Undelivered")</f>
        <v>WA Undelivered</v>
      </c>
      <c r="J57" s="213">
        <f>IFERROR(__xludf.DUMMYFUNCTION("""COMPUTED_VALUE"""),107042.0)</f>
        <v>107042</v>
      </c>
      <c r="K57" s="213">
        <f>IFERROR(__xludf.DUMMYFUNCTION("""COMPUTED_VALUE"""),70822.0)</f>
        <v>70822</v>
      </c>
      <c r="L57" s="214">
        <f>IFERROR(__xludf.DUMMYFUNCTION("""COMPUTED_VALUE"""),0.6616)</f>
        <v>0.6616</v>
      </c>
      <c r="M57" s="213">
        <f>IFERROR(__xludf.DUMMYFUNCTION("""COMPUTED_VALUE"""),0.0)</f>
        <v>0</v>
      </c>
      <c r="N57" s="214">
        <f>IFERROR(__xludf.DUMMYFUNCTION("""COMPUTED_VALUE"""),0.0)</f>
        <v>0</v>
      </c>
      <c r="O57" s="213">
        <f>IFERROR(__xludf.DUMMYFUNCTION("""COMPUTED_VALUE"""),32.0)</f>
        <v>32</v>
      </c>
      <c r="P57" s="213">
        <f>IFERROR(__xludf.DUMMYFUNCTION("""COMPUTED_VALUE"""),0.0)</f>
        <v>0</v>
      </c>
      <c r="Q57" s="214">
        <f>IFERROR(__xludf.DUMMYFUNCTION("""COMPUTED_VALUE"""),5.0E-4)</f>
        <v>0.0005</v>
      </c>
      <c r="R57" s="214">
        <f>IFERROR(__xludf.DUMMYFUNCTION("""COMPUTED_VALUE"""),0.0)</f>
        <v>0</v>
      </c>
      <c r="S57" s="270">
        <f>IFERROR(__xludf.DUMMYFUNCTION("""COMPUTED_VALUE"""),0.0)</f>
        <v>0</v>
      </c>
      <c r="T57" s="270">
        <f>IFERROR(__xludf.DUMMYFUNCTION("""COMPUTED_VALUE"""),0.0)</f>
        <v>0</v>
      </c>
      <c r="U57" s="270">
        <f>IFERROR(__xludf.DUMMYFUNCTION("""COMPUTED_VALUE"""),0.0)</f>
        <v>0</v>
      </c>
      <c r="V57" s="101" t="str">
        <f>IFERROR(__xludf.DUMMYFUNCTION("""COMPUTED_VALUE"""),"offline")</f>
        <v>offline</v>
      </c>
      <c r="W57" s="101" t="str">
        <f>IFERROR(__xludf.DUMMYFUNCTION("""COMPUTED_VALUE"""),"sms")</f>
        <v>sms</v>
      </c>
      <c r="X57" s="212" t="str">
        <f>IFERROR(__xludf.DUMMYFUNCTION("""COMPUTED_VALUE"""),"No Brief")</f>
        <v>No Brief</v>
      </c>
      <c r="Y57" s="212" t="str">
        <f>IFERROR(__xludf.DUMMYFUNCTION("""COMPUTED_VALUE"""),"13th to 15th April")</f>
        <v>13th to 15th April</v>
      </c>
      <c r="Z57" s="212" t="str">
        <f>IFERROR(__xludf.DUMMYFUNCTION("""COMPUTED_VALUE"""),"69d653e4cd68241b8a5ff037")</f>
        <v>69d653e4cd68241b8a5ff037</v>
      </c>
      <c r="AA57" s="287">
        <f>IFERROR(__xludf.DUMMYFUNCTION("""COMPUTED_VALUE"""),210.0)</f>
        <v>210</v>
      </c>
      <c r="AB57" s="213"/>
      <c r="AC57" s="213">
        <f>IFERROR(__xludf.DUMMYFUNCTION("""COMPUTED_VALUE"""),210.0)</f>
        <v>210</v>
      </c>
      <c r="AD57" s="213">
        <f>IFERROR(__xludf.DUMMYFUNCTION("""COMPUTED_VALUE"""),422054.0)</f>
        <v>422054</v>
      </c>
      <c r="AE57" s="213"/>
      <c r="AF57" s="213">
        <f>IFERROR(__xludf.DUMMYFUNCTION("""COMPUTED_VALUE"""),422054.0)</f>
        <v>422054</v>
      </c>
      <c r="AG57" s="282"/>
      <c r="AH57" s="282"/>
      <c r="AI57" s="282"/>
      <c r="AJ57" s="303"/>
      <c r="AK57" s="303"/>
      <c r="AL57" s="303"/>
      <c r="AM57" s="282"/>
      <c r="AN57" s="282"/>
      <c r="AO57" s="282"/>
      <c r="AP57" s="282"/>
      <c r="AQ57" s="282"/>
      <c r="AR57" s="282"/>
      <c r="AS57" s="282"/>
      <c r="AT57" s="282"/>
      <c r="AU57" s="282"/>
      <c r="AV57" s="282"/>
      <c r="AW57" s="282"/>
      <c r="AX57" s="282"/>
      <c r="AY57" s="282"/>
      <c r="AZ57" s="282"/>
    </row>
    <row r="58" ht="26.25" customHeight="1">
      <c r="A58" s="209">
        <f>IFERROR(__xludf.DUMMYFUNCTION("""COMPUTED_VALUE"""),46129.0)</f>
        <v>46129</v>
      </c>
      <c r="B58" s="247">
        <f>IFERROR(__xludf.DUMMYFUNCTION("""COMPUTED_VALUE"""),0.625)</f>
        <v>0.625</v>
      </c>
      <c r="C58" s="218" t="str">
        <f>IFERROR(__xludf.DUMMYFUNCTION("""COMPUTED_VALUE"""),"Whatsapp")</f>
        <v>Whatsapp</v>
      </c>
      <c r="D58" s="218" t="str">
        <f>IFERROR(__xludf.DUMMYFUNCTION("""COMPUTED_VALUE"""),"Promtional")</f>
        <v>Promtional</v>
      </c>
      <c r="E58" s="218" t="str">
        <f>IFERROR(__xludf.DUMMYFUNCTION("""COMPUTED_VALUE"""),"R&amp;B")</f>
        <v>R&amp;B</v>
      </c>
      <c r="F58" s="218" t="str">
        <f>IFERROR(__xludf.DUMMYFUNCTION("""COMPUTED_VALUE"""),"Vishu campaigns")</f>
        <v>Vishu campaigns</v>
      </c>
      <c r="G58" s="218" t="str">
        <f>IFERROR(__xludf.DUMMYFUNCTION("""COMPUTED_VALUE"""),"Fashion Crew_Final Round")</f>
        <v>Fashion Crew_Final Round</v>
      </c>
      <c r="H58" s="218" t="str">
        <f>IFERROR(__xludf.DUMMYFUNCTION("""COMPUTED_VALUE"""),"RB_OFF_Active_15_April_26")</f>
        <v>RB_OFF_Active_15_April_26</v>
      </c>
      <c r="I58" s="218" t="str">
        <f>IFERROR(__xludf.DUMMYFUNCTION("""COMPUTED_VALUE"""),"Offline Customers who have purchased at least 1 time excl. Offline Dormant and Churned Customers")</f>
        <v>Offline Customers who have purchased at least 1 time excl. Offline Dormant and Churned Customers</v>
      </c>
      <c r="J58" s="213">
        <f>IFERROR(__xludf.DUMMYFUNCTION("""COMPUTED_VALUE"""),152019.0)</f>
        <v>152019</v>
      </c>
      <c r="K58" s="213">
        <f>IFERROR(__xludf.DUMMYFUNCTION("""COMPUTED_VALUE"""),101462.0)</f>
        <v>101462</v>
      </c>
      <c r="L58" s="214">
        <f>IFERROR(__xludf.DUMMYFUNCTION("""COMPUTED_VALUE"""),0.6674)</f>
        <v>0.6674</v>
      </c>
      <c r="M58" s="213">
        <f>IFERROR(__xludf.DUMMYFUNCTION("""COMPUTED_VALUE"""),59320.0)</f>
        <v>59320</v>
      </c>
      <c r="N58" s="214">
        <f>IFERROR(__xludf.DUMMYFUNCTION("""COMPUTED_VALUE"""),0.5846)</f>
        <v>0.5846</v>
      </c>
      <c r="O58" s="213">
        <f>IFERROR(__xludf.DUMMYFUNCTION("""COMPUTED_VALUE"""),4676.0)</f>
        <v>4676</v>
      </c>
      <c r="P58" s="213">
        <f>IFERROR(__xludf.DUMMYFUNCTION("""COMPUTED_VALUE"""),4296.0)</f>
        <v>4296</v>
      </c>
      <c r="Q58" s="214">
        <f>IFERROR(__xludf.DUMMYFUNCTION("""COMPUTED_VALUE"""),0.0423)</f>
        <v>0.0423</v>
      </c>
      <c r="R58" s="214">
        <f>IFERROR(__xludf.DUMMYFUNCTION("""COMPUTED_VALUE"""),0.0724)</f>
        <v>0.0724</v>
      </c>
      <c r="S58" s="270">
        <f>IFERROR(__xludf.DUMMYFUNCTION("""COMPUTED_VALUE"""),0.0)</f>
        <v>0</v>
      </c>
      <c r="T58" s="270">
        <f>IFERROR(__xludf.DUMMYFUNCTION("""COMPUTED_VALUE"""),0.0)</f>
        <v>0</v>
      </c>
      <c r="U58" s="270">
        <f>IFERROR(__xludf.DUMMYFUNCTION("""COMPUTED_VALUE"""),0.0)</f>
        <v>0</v>
      </c>
      <c r="V58" s="101" t="str">
        <f>IFERROR(__xludf.DUMMYFUNCTION("""COMPUTED_VALUE"""),"offline")</f>
        <v>offline</v>
      </c>
      <c r="W58" s="101" t="str">
        <f>IFERROR(__xludf.DUMMYFUNCTION("""COMPUTED_VALUE"""),"simple")</f>
        <v>simple</v>
      </c>
      <c r="X58" s="212" t="str">
        <f>IFERROR(__xludf.DUMMYFUNCTION("""COMPUTED_VALUE"""),"No Brief")</f>
        <v>No Brief</v>
      </c>
      <c r="Y58" s="212" t="str">
        <f>IFERROR(__xludf.DUMMYFUNCTION("""COMPUTED_VALUE"""),"17th to 19th April")</f>
        <v>17th to 19th April</v>
      </c>
      <c r="Z58" s="212" t="str">
        <f>IFERROR(__xludf.DUMMYFUNCTION("""COMPUTED_VALUE"""),"69e0830df6eb9140fcd2f586")</f>
        <v>69e0830df6eb9140fcd2f586</v>
      </c>
      <c r="AA58" s="287">
        <f>IFERROR(__xludf.DUMMYFUNCTION("""COMPUTED_VALUE"""),832.0)</f>
        <v>832</v>
      </c>
      <c r="AB58" s="213"/>
      <c r="AC58" s="213">
        <f>IFERROR(__xludf.DUMMYFUNCTION("""COMPUTED_VALUE"""),832.0)</f>
        <v>832</v>
      </c>
      <c r="AD58" s="213">
        <f>IFERROR(__xludf.DUMMYFUNCTION("""COMPUTED_VALUE"""),1779782.0)</f>
        <v>1779782</v>
      </c>
      <c r="AE58" s="213"/>
      <c r="AF58" s="213">
        <f>IFERROR(__xludf.DUMMYFUNCTION("""COMPUTED_VALUE"""),1779782.0)</f>
        <v>1779782</v>
      </c>
      <c r="AG58" s="282"/>
      <c r="AH58" s="282"/>
      <c r="AI58" s="282"/>
      <c r="AJ58" s="303"/>
      <c r="AK58" s="303"/>
      <c r="AL58" s="303"/>
      <c r="AM58" s="282"/>
      <c r="AN58" s="282"/>
      <c r="AO58" s="282"/>
      <c r="AP58" s="282"/>
      <c r="AQ58" s="282"/>
      <c r="AR58" s="282"/>
      <c r="AS58" s="282"/>
      <c r="AT58" s="282"/>
      <c r="AU58" s="282"/>
      <c r="AV58" s="282"/>
      <c r="AW58" s="282"/>
      <c r="AX58" s="282"/>
      <c r="AY58" s="282"/>
      <c r="AZ58" s="282"/>
    </row>
    <row r="59" ht="26.25" customHeight="1">
      <c r="A59" s="209">
        <f>IFERROR(__xludf.DUMMYFUNCTION("""COMPUTED_VALUE"""),46129.0)</f>
        <v>46129</v>
      </c>
      <c r="B59" s="247">
        <f>IFERROR(__xludf.DUMMYFUNCTION("""COMPUTED_VALUE"""),0.7083333333321207)</f>
        <v>0.7083333333</v>
      </c>
      <c r="C59" s="218" t="str">
        <f>IFERROR(__xludf.DUMMYFUNCTION("""COMPUTED_VALUE"""),"Sms")</f>
        <v>Sms</v>
      </c>
      <c r="D59" s="218" t="str">
        <f>IFERROR(__xludf.DUMMYFUNCTION("""COMPUTED_VALUE"""),"Fallback campaign")</f>
        <v>Fallback campaign</v>
      </c>
      <c r="E59" s="218" t="str">
        <f>IFERROR(__xludf.DUMMYFUNCTION("""COMPUTED_VALUE"""),"R&amp;B")</f>
        <v>R&amp;B</v>
      </c>
      <c r="F59" s="218" t="str">
        <f>IFERROR(__xludf.DUMMYFUNCTION("""COMPUTED_VALUE"""),"Vishu campaigns")</f>
        <v>Vishu campaigns</v>
      </c>
      <c r="G59" s="218" t="str">
        <f>IFERROR(__xludf.DUMMYFUNCTION("""COMPUTED_VALUE"""),"Fallback_FashionCrew 16th April")</f>
        <v>Fallback_FashionCrew 16th April</v>
      </c>
      <c r="H59" s="218" t="str">
        <f>IFERROR(__xludf.DUMMYFUNCTION("""COMPUTED_VALUE"""),"RB_OFF_Active_15_April_26")</f>
        <v>RB_OFF_Active_15_April_26</v>
      </c>
      <c r="I59" s="218" t="str">
        <f>IFERROR(__xludf.DUMMYFUNCTION("""COMPUTED_VALUE"""),"WA Undelivered")</f>
        <v>WA Undelivered</v>
      </c>
      <c r="J59" s="213">
        <f>IFERROR(__xludf.DUMMYFUNCTION("""COMPUTED_VALUE"""),49083.0)</f>
        <v>49083</v>
      </c>
      <c r="K59" s="213">
        <f>IFERROR(__xludf.DUMMYFUNCTION("""COMPUTED_VALUE"""),32645.0)</f>
        <v>32645</v>
      </c>
      <c r="L59" s="214">
        <f>IFERROR(__xludf.DUMMYFUNCTION("""COMPUTED_VALUE"""),0.6651)</f>
        <v>0.6651</v>
      </c>
      <c r="M59" s="213">
        <f>IFERROR(__xludf.DUMMYFUNCTION("""COMPUTED_VALUE"""),0.0)</f>
        <v>0</v>
      </c>
      <c r="N59" s="214">
        <f>IFERROR(__xludf.DUMMYFUNCTION("""COMPUTED_VALUE"""),0.0)</f>
        <v>0</v>
      </c>
      <c r="O59" s="213">
        <f>IFERROR(__xludf.DUMMYFUNCTION("""COMPUTED_VALUE"""),60.0)</f>
        <v>60</v>
      </c>
      <c r="P59" s="213">
        <f>IFERROR(__xludf.DUMMYFUNCTION("""COMPUTED_VALUE"""),0.0)</f>
        <v>0</v>
      </c>
      <c r="Q59" s="214">
        <f>IFERROR(__xludf.DUMMYFUNCTION("""COMPUTED_VALUE"""),0.0018)</f>
        <v>0.0018</v>
      </c>
      <c r="R59" s="214">
        <f>IFERROR(__xludf.DUMMYFUNCTION("""COMPUTED_VALUE"""),0.0)</f>
        <v>0</v>
      </c>
      <c r="S59" s="270">
        <f>IFERROR(__xludf.DUMMYFUNCTION("""COMPUTED_VALUE"""),0.0)</f>
        <v>0</v>
      </c>
      <c r="T59" s="270">
        <f>IFERROR(__xludf.DUMMYFUNCTION("""COMPUTED_VALUE"""),0.0)</f>
        <v>0</v>
      </c>
      <c r="U59" s="270">
        <f>IFERROR(__xludf.DUMMYFUNCTION("""COMPUTED_VALUE"""),0.0)</f>
        <v>0</v>
      </c>
      <c r="V59" s="101" t="str">
        <f>IFERROR(__xludf.DUMMYFUNCTION("""COMPUTED_VALUE"""),"offline")</f>
        <v>offline</v>
      </c>
      <c r="W59" s="101" t="str">
        <f>IFERROR(__xludf.DUMMYFUNCTION("""COMPUTED_VALUE"""),"sms")</f>
        <v>sms</v>
      </c>
      <c r="X59" s="212" t="str">
        <f>IFERROR(__xludf.DUMMYFUNCTION("""COMPUTED_VALUE"""),"No Brief")</f>
        <v>No Brief</v>
      </c>
      <c r="Y59" s="212" t="str">
        <f>IFERROR(__xludf.DUMMYFUNCTION("""COMPUTED_VALUE"""),"17th to 19th April")</f>
        <v>17th to 19th April</v>
      </c>
      <c r="Z59" s="212" t="str">
        <f>IFERROR(__xludf.DUMMYFUNCTION("""COMPUTED_VALUE"""),"69e083bc78b6c71591291d8c")</f>
        <v>69e083bc78b6c71591291d8c</v>
      </c>
      <c r="AA59" s="287">
        <f>IFERROR(__xludf.DUMMYFUNCTION("""COMPUTED_VALUE"""),282.0)</f>
        <v>282</v>
      </c>
      <c r="AB59" s="213"/>
      <c r="AC59" s="213">
        <f>IFERROR(__xludf.DUMMYFUNCTION("""COMPUTED_VALUE"""),282.0)</f>
        <v>282</v>
      </c>
      <c r="AD59" s="213">
        <f>IFERROR(__xludf.DUMMYFUNCTION("""COMPUTED_VALUE"""),642319.0)</f>
        <v>642319</v>
      </c>
      <c r="AE59" s="213"/>
      <c r="AF59" s="213">
        <f>IFERROR(__xludf.DUMMYFUNCTION("""COMPUTED_VALUE"""),642319.0)</f>
        <v>642319</v>
      </c>
      <c r="AG59" s="282"/>
      <c r="AH59" s="282"/>
      <c r="AI59" s="282"/>
      <c r="AJ59" s="303"/>
      <c r="AK59" s="303"/>
      <c r="AL59" s="303"/>
      <c r="AM59" s="282"/>
      <c r="AN59" s="282"/>
      <c r="AO59" s="282"/>
      <c r="AP59" s="282"/>
      <c r="AQ59" s="282"/>
      <c r="AR59" s="282"/>
      <c r="AS59" s="282"/>
      <c r="AT59" s="282"/>
      <c r="AU59" s="282"/>
      <c r="AV59" s="282"/>
      <c r="AW59" s="282"/>
      <c r="AX59" s="282"/>
      <c r="AY59" s="282"/>
      <c r="AZ59" s="282"/>
    </row>
    <row r="60" ht="26.25" customHeight="1">
      <c r="A60" s="209">
        <f>IFERROR(__xludf.DUMMYFUNCTION("""COMPUTED_VALUE"""),46129.0)</f>
        <v>46129</v>
      </c>
      <c r="B60" s="247">
        <f>IFERROR(__xludf.DUMMYFUNCTION("""COMPUTED_VALUE"""),0.7083333333321207)</f>
        <v>0.7083333333</v>
      </c>
      <c r="C60" s="218" t="str">
        <f>IFERROR(__xludf.DUMMYFUNCTION("""COMPUTED_VALUE"""),"Sms")</f>
        <v>Sms</v>
      </c>
      <c r="D60" s="218" t="str">
        <f>IFERROR(__xludf.DUMMYFUNCTION("""COMPUTED_VALUE"""),"Fallback campaign")</f>
        <v>Fallback campaign</v>
      </c>
      <c r="E60" s="218" t="str">
        <f>IFERROR(__xludf.DUMMYFUNCTION("""COMPUTED_VALUE"""),"R&amp;B")</f>
        <v>R&amp;B</v>
      </c>
      <c r="F60" s="218" t="str">
        <f>IFERROR(__xludf.DUMMYFUNCTION("""COMPUTED_VALUE"""),"Churned")</f>
        <v>Churned</v>
      </c>
      <c r="G60" s="218" t="str">
        <f>IFERROR(__xludf.DUMMYFUNCTION("""COMPUTED_VALUE"""),"Fallback_Churned_INSTANT250OFF")</f>
        <v>Fallback_Churned_INSTANT250OFF</v>
      </c>
      <c r="H60" s="218" t="str">
        <f>IFERROR(__xludf.DUMMYFUNCTION("""COMPUTED_VALUE"""),"Has executed RCS Delivery Failed atleast 1 time in the last 3 days with attributes Readable Campaign Id contains any of [69de1d9970d32743c6ef67ff, 69de1d2cf32be903eb87c5fb, 69de1cf8167a68a1492e07d3]  case insensitive")</f>
        <v>Has executed RCS Delivery Failed atleast 1 time in the last 3 days with attributes Readable Campaign Id contains any of [69de1d9970d32743c6ef67ff, 69de1d2cf32be903eb87c5fb, 69de1cf8167a68a1492e07d3]  case insensitive</v>
      </c>
      <c r="I60" s="218" t="str">
        <f>IFERROR(__xludf.DUMMYFUNCTION("""COMPUTED_VALUE"""),"RCS Undelivered")</f>
        <v>RCS Undelivered</v>
      </c>
      <c r="J60" s="213">
        <f>IFERROR(__xludf.DUMMYFUNCTION("""COMPUTED_VALUE"""),232186.0)</f>
        <v>232186</v>
      </c>
      <c r="K60" s="213">
        <f>IFERROR(__xludf.DUMMYFUNCTION("""COMPUTED_VALUE"""),129629.0)</f>
        <v>129629</v>
      </c>
      <c r="L60" s="214">
        <f>IFERROR(__xludf.DUMMYFUNCTION("""COMPUTED_VALUE"""),0.5583)</f>
        <v>0.5583</v>
      </c>
      <c r="M60" s="213">
        <f>IFERROR(__xludf.DUMMYFUNCTION("""COMPUTED_VALUE"""),0.0)</f>
        <v>0</v>
      </c>
      <c r="N60" s="214">
        <f>IFERROR(__xludf.DUMMYFUNCTION("""COMPUTED_VALUE"""),0.0)</f>
        <v>0</v>
      </c>
      <c r="O60" s="213">
        <f>IFERROR(__xludf.DUMMYFUNCTION("""COMPUTED_VALUE"""),336.0)</f>
        <v>336</v>
      </c>
      <c r="P60" s="213">
        <f>IFERROR(__xludf.DUMMYFUNCTION("""COMPUTED_VALUE"""),0.0)</f>
        <v>0</v>
      </c>
      <c r="Q60" s="214">
        <f>IFERROR(__xludf.DUMMYFUNCTION("""COMPUTED_VALUE"""),0.0026)</f>
        <v>0.0026</v>
      </c>
      <c r="R60" s="214">
        <f>IFERROR(__xludf.DUMMYFUNCTION("""COMPUTED_VALUE"""),0.0)</f>
        <v>0</v>
      </c>
      <c r="S60" s="270">
        <f>IFERROR(__xludf.DUMMYFUNCTION("""COMPUTED_VALUE"""),0.0)</f>
        <v>0</v>
      </c>
      <c r="T60" s="270">
        <f>IFERROR(__xludf.DUMMYFUNCTION("""COMPUTED_VALUE"""),0.0)</f>
        <v>0</v>
      </c>
      <c r="U60" s="270">
        <f>IFERROR(__xludf.DUMMYFUNCTION("""COMPUTED_VALUE"""),0.0)</f>
        <v>0</v>
      </c>
      <c r="V60" s="101" t="str">
        <f>IFERROR(__xludf.DUMMYFUNCTION("""COMPUTED_VALUE"""),"offline")</f>
        <v>offline</v>
      </c>
      <c r="W60" s="101" t="str">
        <f>IFERROR(__xludf.DUMMYFUNCTION("""COMPUTED_VALUE"""),"sms")</f>
        <v>sms</v>
      </c>
      <c r="X60" s="212" t="str">
        <f>IFERROR(__xludf.DUMMYFUNCTION("""COMPUTED_VALUE"""),"No Brief")</f>
        <v>No Brief</v>
      </c>
      <c r="Y60" s="212" t="str">
        <f>IFERROR(__xludf.DUMMYFUNCTION("""COMPUTED_VALUE"""),"17th April to 30th April")</f>
        <v>17th April to 30th April</v>
      </c>
      <c r="Z60" s="212" t="str">
        <f>IFERROR(__xludf.DUMMYFUNCTION("""COMPUTED_VALUE"""),"69e084122b90d3d267e4c918")</f>
        <v>69e084122b90d3d267e4c918</v>
      </c>
      <c r="AA60" s="287">
        <f>IFERROR(__xludf.DUMMYFUNCTION("""COMPUTED_VALUE"""),1107.0)</f>
        <v>1107</v>
      </c>
      <c r="AB60" s="213"/>
      <c r="AC60" s="213">
        <f>IFERROR(__xludf.DUMMYFUNCTION("""COMPUTED_VALUE"""),1107.0)</f>
        <v>1107</v>
      </c>
      <c r="AD60" s="213">
        <f>IFERROR(__xludf.DUMMYFUNCTION("""COMPUTED_VALUE"""),2315461.0)</f>
        <v>2315461</v>
      </c>
      <c r="AE60" s="213"/>
      <c r="AF60" s="213">
        <f>IFERROR(__xludf.DUMMYFUNCTION("""COMPUTED_VALUE"""),2315461.0)</f>
        <v>2315461</v>
      </c>
      <c r="AG60" s="282"/>
      <c r="AH60" s="282"/>
      <c r="AI60" s="282"/>
      <c r="AJ60" s="303"/>
      <c r="AK60" s="303"/>
      <c r="AL60" s="303"/>
      <c r="AM60" s="282"/>
      <c r="AN60" s="282"/>
      <c r="AO60" s="282"/>
      <c r="AP60" s="282"/>
      <c r="AQ60" s="282"/>
      <c r="AR60" s="282"/>
      <c r="AS60" s="282"/>
      <c r="AT60" s="282"/>
      <c r="AU60" s="282"/>
      <c r="AV60" s="282"/>
      <c r="AW60" s="282"/>
      <c r="AX60" s="282"/>
      <c r="AY60" s="282"/>
      <c r="AZ60" s="282"/>
    </row>
    <row r="61" ht="26.25" customHeight="1">
      <c r="A61" s="209">
        <f>IFERROR(__xludf.DUMMYFUNCTION("""COMPUTED_VALUE"""),46129.0)</f>
        <v>46129</v>
      </c>
      <c r="B61" s="247">
        <f>IFERROR(__xludf.DUMMYFUNCTION("""COMPUTED_VALUE"""),0.7083333333321207)</f>
        <v>0.7083333333</v>
      </c>
      <c r="C61" s="218" t="str">
        <f>IFERROR(__xludf.DUMMYFUNCTION("""COMPUTED_VALUE"""),"Sms")</f>
        <v>Sms</v>
      </c>
      <c r="D61" s="218" t="str">
        <f>IFERROR(__xludf.DUMMYFUNCTION("""COMPUTED_VALUE"""),"Fallback campaign")</f>
        <v>Fallback campaign</v>
      </c>
      <c r="E61" s="218" t="str">
        <f>IFERROR(__xludf.DUMMYFUNCTION("""COMPUTED_VALUE"""),"R&amp;B")</f>
        <v>R&amp;B</v>
      </c>
      <c r="F61" s="218" t="str">
        <f>IFERROR(__xludf.DUMMYFUNCTION("""COMPUTED_VALUE"""),"Dormant")</f>
        <v>Dormant</v>
      </c>
      <c r="G61" s="218" t="str">
        <f>IFERROR(__xludf.DUMMYFUNCTION("""COMPUTED_VALUE"""),"Fallback_Dormant_250OFFon1000spends")</f>
        <v>Fallback_Dormant_250OFFon1000spends</v>
      </c>
      <c r="H61" s="218" t="str">
        <f>IFERROR(__xludf.DUMMYFUNCTION("""COMPUTED_VALUE"""),"Has executed RCS Delivery Failed atleast 1 time in the last 3 days with attributes Readable Campaign Id contains any of [69de1ca2929355a30b04d182, 69de1cc2f8e217087db30d0c]  case insensitive")</f>
        <v>Has executed RCS Delivery Failed atleast 1 time in the last 3 days with attributes Readable Campaign Id contains any of [69de1ca2929355a30b04d182, 69de1cc2f8e217087db30d0c]  case insensitive</v>
      </c>
      <c r="I61" s="218" t="str">
        <f>IFERROR(__xludf.DUMMYFUNCTION("""COMPUTED_VALUE"""),"RCS Undelivered")</f>
        <v>RCS Undelivered</v>
      </c>
      <c r="J61" s="213">
        <f>IFERROR(__xludf.DUMMYFUNCTION("""COMPUTED_VALUE"""),224843.0)</f>
        <v>224843</v>
      </c>
      <c r="K61" s="213">
        <f>IFERROR(__xludf.DUMMYFUNCTION("""COMPUTED_VALUE"""),127477.0)</f>
        <v>127477</v>
      </c>
      <c r="L61" s="214">
        <f>IFERROR(__xludf.DUMMYFUNCTION("""COMPUTED_VALUE"""),0.567)</f>
        <v>0.567</v>
      </c>
      <c r="M61" s="213">
        <f>IFERROR(__xludf.DUMMYFUNCTION("""COMPUTED_VALUE"""),0.0)</f>
        <v>0</v>
      </c>
      <c r="N61" s="214">
        <f>IFERROR(__xludf.DUMMYFUNCTION("""COMPUTED_VALUE"""),0.0)</f>
        <v>0</v>
      </c>
      <c r="O61" s="213">
        <f>IFERROR(__xludf.DUMMYFUNCTION("""COMPUTED_VALUE"""),414.0)</f>
        <v>414</v>
      </c>
      <c r="P61" s="213">
        <f>IFERROR(__xludf.DUMMYFUNCTION("""COMPUTED_VALUE"""),0.0)</f>
        <v>0</v>
      </c>
      <c r="Q61" s="214">
        <f>IFERROR(__xludf.DUMMYFUNCTION("""COMPUTED_VALUE"""),0.0032)</f>
        <v>0.0032</v>
      </c>
      <c r="R61" s="214">
        <f>IFERROR(__xludf.DUMMYFUNCTION("""COMPUTED_VALUE"""),0.0)</f>
        <v>0</v>
      </c>
      <c r="S61" s="270">
        <f>IFERROR(__xludf.DUMMYFUNCTION("""COMPUTED_VALUE"""),0.0)</f>
        <v>0</v>
      </c>
      <c r="T61" s="270">
        <f>IFERROR(__xludf.DUMMYFUNCTION("""COMPUTED_VALUE"""),0.0)</f>
        <v>0</v>
      </c>
      <c r="U61" s="270">
        <f>IFERROR(__xludf.DUMMYFUNCTION("""COMPUTED_VALUE"""),0.0)</f>
        <v>0</v>
      </c>
      <c r="V61" s="101" t="str">
        <f>IFERROR(__xludf.DUMMYFUNCTION("""COMPUTED_VALUE"""),"offline")</f>
        <v>offline</v>
      </c>
      <c r="W61" s="101" t="str">
        <f>IFERROR(__xludf.DUMMYFUNCTION("""COMPUTED_VALUE"""),"sms")</f>
        <v>sms</v>
      </c>
      <c r="X61" s="212" t="str">
        <f>IFERROR(__xludf.DUMMYFUNCTION("""COMPUTED_VALUE"""),"No Brief")</f>
        <v>No Brief</v>
      </c>
      <c r="Y61" s="212" t="str">
        <f>IFERROR(__xludf.DUMMYFUNCTION("""COMPUTED_VALUE"""),"17th April to 30th April")</f>
        <v>17th April to 30th April</v>
      </c>
      <c r="Z61" s="212" t="str">
        <f>IFERROR(__xludf.DUMMYFUNCTION("""COMPUTED_VALUE"""),"69e0845e076505e73e63a4a7")</f>
        <v>69e0845e076505e73e63a4a7</v>
      </c>
      <c r="AA61" s="287">
        <f>IFERROR(__xludf.DUMMYFUNCTION("""COMPUTED_VALUE"""),2358.0)</f>
        <v>2358</v>
      </c>
      <c r="AB61" s="213"/>
      <c r="AC61" s="213">
        <f>IFERROR(__xludf.DUMMYFUNCTION("""COMPUTED_VALUE"""),2358.0)</f>
        <v>2358</v>
      </c>
      <c r="AD61" s="213">
        <f>IFERROR(__xludf.DUMMYFUNCTION("""COMPUTED_VALUE"""),4961552.0)</f>
        <v>4961552</v>
      </c>
      <c r="AE61" s="213"/>
      <c r="AF61" s="213">
        <f>IFERROR(__xludf.DUMMYFUNCTION("""COMPUTED_VALUE"""),4961552.0)</f>
        <v>4961552</v>
      </c>
      <c r="AG61" s="282"/>
      <c r="AH61" s="282"/>
      <c r="AI61" s="282"/>
      <c r="AJ61" s="303"/>
      <c r="AK61" s="303"/>
      <c r="AL61" s="303"/>
      <c r="AM61" s="282"/>
      <c r="AN61" s="282"/>
      <c r="AO61" s="282"/>
      <c r="AP61" s="282"/>
      <c r="AQ61" s="282"/>
      <c r="AR61" s="282"/>
      <c r="AS61" s="282"/>
      <c r="AT61" s="282"/>
      <c r="AU61" s="282"/>
      <c r="AV61" s="282"/>
      <c r="AW61" s="282"/>
      <c r="AX61" s="282"/>
      <c r="AY61" s="282"/>
      <c r="AZ61" s="282"/>
    </row>
    <row r="62" ht="26.25" customHeight="1">
      <c r="A62" s="209">
        <f>IFERROR(__xludf.DUMMYFUNCTION("""COMPUTED_VALUE"""),46129.0)</f>
        <v>46129</v>
      </c>
      <c r="B62" s="247">
        <f>IFERROR(__xludf.DUMMYFUNCTION("""COMPUTED_VALUE"""),0.625)</f>
        <v>0.625</v>
      </c>
      <c r="C62" s="218" t="str">
        <f>IFERROR(__xludf.DUMMYFUNCTION("""COMPUTED_VALUE"""),"Rcs")</f>
        <v>Rcs</v>
      </c>
      <c r="D62" s="218" t="str">
        <f>IFERROR(__xludf.DUMMYFUNCTION("""COMPUTED_VALUE"""),"Promtional")</f>
        <v>Promtional</v>
      </c>
      <c r="E62" s="218" t="str">
        <f>IFERROR(__xludf.DUMMYFUNCTION("""COMPUTED_VALUE"""),"R&amp;B")</f>
        <v>R&amp;B</v>
      </c>
      <c r="F62" s="218" t="str">
        <f>IFERROR(__xludf.DUMMYFUNCTION("""COMPUTED_VALUE"""),"Dormant")</f>
        <v>Dormant</v>
      </c>
      <c r="G62" s="218" t="str">
        <f>IFERROR(__xludf.DUMMYFUNCTION("""COMPUTED_VALUE"""),"Dormant_Below1000")</f>
        <v>Dormant_Below1000</v>
      </c>
      <c r="H62" s="218" t="str">
        <f>IFERROR(__xludf.DUMMYFUNCTION("""COMPUTED_VALUE"""),"Dormant_OV_1000andbelow_Off_14thApril, Rnb_testusers_couponcode_14thapril")</f>
        <v>Dormant_OV_1000andbelow_Off_14thApril, Rnb_testusers_couponcode_14thapril</v>
      </c>
      <c r="I62" s="218" t="str">
        <f>IFERROR(__xludf.DUMMYFUNCTION("""COMPUTED_VALUE"""),"Dormant (purchased in 365 days excl. customers who have purchased in 85 days) Customers who have spending 1000 and below per purchase")</f>
        <v>Dormant (purchased in 365 days excl. customers who have purchased in 85 days) Customers who have spending 1000 and below per purchase</v>
      </c>
      <c r="J62" s="213">
        <f>IFERROR(__xludf.DUMMYFUNCTION("""COMPUTED_VALUE"""),161437.0)</f>
        <v>161437</v>
      </c>
      <c r="K62" s="213">
        <f>IFERROR(__xludf.DUMMYFUNCTION("""COMPUTED_VALUE"""),81548.0)</f>
        <v>81548</v>
      </c>
      <c r="L62" s="214">
        <f>IFERROR(__xludf.DUMMYFUNCTION("""COMPUTED_VALUE"""),0.505)</f>
        <v>0.505</v>
      </c>
      <c r="M62" s="213">
        <f>IFERROR(__xludf.DUMMYFUNCTION("""COMPUTED_VALUE"""),14925.0)</f>
        <v>14925</v>
      </c>
      <c r="N62" s="214">
        <f>IFERROR(__xludf.DUMMYFUNCTION("""COMPUTED_VALUE"""),0.183)</f>
        <v>0.183</v>
      </c>
      <c r="O62" s="213">
        <f>IFERROR(__xludf.DUMMYFUNCTION("""COMPUTED_VALUE"""),0.0)</f>
        <v>0</v>
      </c>
      <c r="P62" s="213">
        <f>IFERROR(__xludf.DUMMYFUNCTION("""COMPUTED_VALUE"""),0.0)</f>
        <v>0</v>
      </c>
      <c r="Q62" s="214">
        <f>IFERROR(__xludf.DUMMYFUNCTION("""COMPUTED_VALUE"""),0.0)</f>
        <v>0</v>
      </c>
      <c r="R62" s="214">
        <f>IFERROR(__xludf.DUMMYFUNCTION("""COMPUTED_VALUE"""),0.0)</f>
        <v>0</v>
      </c>
      <c r="S62" s="270">
        <f>IFERROR(__xludf.DUMMYFUNCTION("""COMPUTED_VALUE"""),0.0)</f>
        <v>0</v>
      </c>
      <c r="T62" s="270">
        <f>IFERROR(__xludf.DUMMYFUNCTION("""COMPUTED_VALUE"""),0.0)</f>
        <v>0</v>
      </c>
      <c r="U62" s="270">
        <f>IFERROR(__xludf.DUMMYFUNCTION("""COMPUTED_VALUE"""),0.0)</f>
        <v>0</v>
      </c>
      <c r="V62" s="101" t="str">
        <f>IFERROR(__xludf.DUMMYFUNCTION("""COMPUTED_VALUE"""),"offline")</f>
        <v>offline</v>
      </c>
      <c r="W62" s="101" t="str">
        <f>IFERROR(__xludf.DUMMYFUNCTION("""COMPUTED_VALUE"""),"RCS")</f>
        <v>RCS</v>
      </c>
      <c r="X62" s="212" t="str">
        <f>IFERROR(__xludf.DUMMYFUNCTION("""COMPUTED_VALUE"""),"No Brief")</f>
        <v>No Brief</v>
      </c>
      <c r="Y62" s="212" t="str">
        <f>IFERROR(__xludf.DUMMYFUNCTION("""COMPUTED_VALUE"""),"17th April to 30th April")</f>
        <v>17th April to 30th April</v>
      </c>
      <c r="Z62" s="212" t="str">
        <f>IFERROR(__xludf.DUMMYFUNCTION("""COMPUTED_VALUE"""),"69de1ca2929355a30b04d182")</f>
        <v>69de1ca2929355a30b04d182</v>
      </c>
      <c r="AA62" s="287">
        <f>IFERROR(__xludf.DUMMYFUNCTION("""COMPUTED_VALUE"""),987.0)</f>
        <v>987</v>
      </c>
      <c r="AB62" s="213"/>
      <c r="AC62" s="213">
        <f>IFERROR(__xludf.DUMMYFUNCTION("""COMPUTED_VALUE"""),987.0)</f>
        <v>987</v>
      </c>
      <c r="AD62" s="213">
        <f>IFERROR(__xludf.DUMMYFUNCTION("""COMPUTED_VALUE"""),1468016.0)</f>
        <v>1468016</v>
      </c>
      <c r="AE62" s="213"/>
      <c r="AF62" s="213">
        <f>IFERROR(__xludf.DUMMYFUNCTION("""COMPUTED_VALUE"""),1468016.0)</f>
        <v>1468016</v>
      </c>
      <c r="AG62" s="282"/>
      <c r="AH62" s="282"/>
      <c r="AI62" s="282"/>
      <c r="AJ62" s="303"/>
      <c r="AK62" s="303"/>
      <c r="AL62" s="303"/>
      <c r="AM62" s="282"/>
      <c r="AN62" s="282"/>
      <c r="AO62" s="282"/>
      <c r="AP62" s="282"/>
      <c r="AQ62" s="282"/>
      <c r="AR62" s="282"/>
      <c r="AS62" s="282"/>
      <c r="AT62" s="282"/>
      <c r="AU62" s="282"/>
      <c r="AV62" s="282"/>
      <c r="AW62" s="282"/>
      <c r="AX62" s="282"/>
      <c r="AY62" s="282"/>
      <c r="AZ62" s="282"/>
    </row>
    <row r="63" ht="26.25" customHeight="1">
      <c r="A63" s="209">
        <f>IFERROR(__xludf.DUMMYFUNCTION("""COMPUTED_VALUE"""),46129.0)</f>
        <v>46129</v>
      </c>
      <c r="B63" s="247">
        <f>IFERROR(__xludf.DUMMYFUNCTION("""COMPUTED_VALUE"""),0.625)</f>
        <v>0.625</v>
      </c>
      <c r="C63" s="218" t="str">
        <f>IFERROR(__xludf.DUMMYFUNCTION("""COMPUTED_VALUE"""),"Rcs")</f>
        <v>Rcs</v>
      </c>
      <c r="D63" s="218" t="str">
        <f>IFERROR(__xludf.DUMMYFUNCTION("""COMPUTED_VALUE"""),"Promtional")</f>
        <v>Promtional</v>
      </c>
      <c r="E63" s="218" t="str">
        <f>IFERROR(__xludf.DUMMYFUNCTION("""COMPUTED_VALUE"""),"R&amp;B")</f>
        <v>R&amp;B</v>
      </c>
      <c r="F63" s="218" t="str">
        <f>IFERROR(__xludf.DUMMYFUNCTION("""COMPUTED_VALUE"""),"Dormant")</f>
        <v>Dormant</v>
      </c>
      <c r="G63" s="218" t="str">
        <f>IFERROR(__xludf.DUMMYFUNCTION("""COMPUTED_VALUE"""),"Dormant_Above1000")</f>
        <v>Dormant_Above1000</v>
      </c>
      <c r="H63" s="218" t="str">
        <f>IFERROR(__xludf.DUMMYFUNCTION("""COMPUTED_VALUE"""),"Dormant_OV_1000andabove_Off_14thApril")</f>
        <v>Dormant_OV_1000andabove_Off_14thApril</v>
      </c>
      <c r="I63" s="218" t="str">
        <f>IFERROR(__xludf.DUMMYFUNCTION("""COMPUTED_VALUE"""),"Dormant (purchased in 365 days excl. customers who have purchased in 85 days) Customers who have spending 1000 and above per purchase")</f>
        <v>Dormant (purchased in 365 days excl. customers who have purchased in 85 days) Customers who have spending 1000 and above per purchase</v>
      </c>
      <c r="J63" s="213">
        <f>IFERROR(__xludf.DUMMYFUNCTION("""COMPUTED_VALUE"""),251545.0)</f>
        <v>251545</v>
      </c>
      <c r="K63" s="213">
        <f>IFERROR(__xludf.DUMMYFUNCTION("""COMPUTED_VALUE"""),115708.0)</f>
        <v>115708</v>
      </c>
      <c r="L63" s="214">
        <f>IFERROR(__xludf.DUMMYFUNCTION("""COMPUTED_VALUE"""),0.46)</f>
        <v>0.46</v>
      </c>
      <c r="M63" s="213">
        <f>IFERROR(__xludf.DUMMYFUNCTION("""COMPUTED_VALUE"""),22497.0)</f>
        <v>22497</v>
      </c>
      <c r="N63" s="214">
        <f>IFERROR(__xludf.DUMMYFUNCTION("""COMPUTED_VALUE"""),0.194)</f>
        <v>0.194</v>
      </c>
      <c r="O63" s="213">
        <f>IFERROR(__xludf.DUMMYFUNCTION("""COMPUTED_VALUE"""),0.0)</f>
        <v>0</v>
      </c>
      <c r="P63" s="213">
        <f>IFERROR(__xludf.DUMMYFUNCTION("""COMPUTED_VALUE"""),0.0)</f>
        <v>0</v>
      </c>
      <c r="Q63" s="214">
        <f>IFERROR(__xludf.DUMMYFUNCTION("""COMPUTED_VALUE"""),0.0)</f>
        <v>0</v>
      </c>
      <c r="R63" s="214">
        <f>IFERROR(__xludf.DUMMYFUNCTION("""COMPUTED_VALUE"""),0.0)</f>
        <v>0</v>
      </c>
      <c r="S63" s="270">
        <f>IFERROR(__xludf.DUMMYFUNCTION("""COMPUTED_VALUE"""),0.0)</f>
        <v>0</v>
      </c>
      <c r="T63" s="270">
        <f>IFERROR(__xludf.DUMMYFUNCTION("""COMPUTED_VALUE"""),0.0)</f>
        <v>0</v>
      </c>
      <c r="U63" s="270">
        <f>IFERROR(__xludf.DUMMYFUNCTION("""COMPUTED_VALUE"""),0.0)</f>
        <v>0</v>
      </c>
      <c r="V63" s="101" t="str">
        <f>IFERROR(__xludf.DUMMYFUNCTION("""COMPUTED_VALUE"""),"offline")</f>
        <v>offline</v>
      </c>
      <c r="W63" s="101" t="str">
        <f>IFERROR(__xludf.DUMMYFUNCTION("""COMPUTED_VALUE"""),"RCS")</f>
        <v>RCS</v>
      </c>
      <c r="X63" s="212" t="str">
        <f>IFERROR(__xludf.DUMMYFUNCTION("""COMPUTED_VALUE"""),"No Brief")</f>
        <v>No Brief</v>
      </c>
      <c r="Y63" s="212" t="str">
        <f>IFERROR(__xludf.DUMMYFUNCTION("""COMPUTED_VALUE"""),"17th April to 30th April")</f>
        <v>17th April to 30th April</v>
      </c>
      <c r="Z63" s="212" t="str">
        <f>IFERROR(__xludf.DUMMYFUNCTION("""COMPUTED_VALUE"""),"69de1cc2f8e217087db30d0c")</f>
        <v>69de1cc2f8e217087db30d0c</v>
      </c>
      <c r="AA63" s="287">
        <f>IFERROR(__xludf.DUMMYFUNCTION("""COMPUTED_VALUE"""),2272.0)</f>
        <v>2272</v>
      </c>
      <c r="AB63" s="213"/>
      <c r="AC63" s="213">
        <f>IFERROR(__xludf.DUMMYFUNCTION("""COMPUTED_VALUE"""),2272.0)</f>
        <v>2272</v>
      </c>
      <c r="AD63" s="213">
        <f>IFERROR(__xludf.DUMMYFUNCTION("""COMPUTED_VALUE"""),5148822.0)</f>
        <v>5148822</v>
      </c>
      <c r="AE63" s="213"/>
      <c r="AF63" s="213">
        <f>IFERROR(__xludf.DUMMYFUNCTION("""COMPUTED_VALUE"""),5148822.0)</f>
        <v>5148822</v>
      </c>
      <c r="AG63" s="282"/>
      <c r="AH63" s="282"/>
      <c r="AI63" s="282"/>
      <c r="AJ63" s="303"/>
      <c r="AK63" s="303"/>
      <c r="AL63" s="303"/>
      <c r="AM63" s="282"/>
      <c r="AN63" s="282"/>
      <c r="AO63" s="282"/>
      <c r="AP63" s="282"/>
      <c r="AQ63" s="282"/>
      <c r="AR63" s="282"/>
      <c r="AS63" s="282"/>
      <c r="AT63" s="282"/>
      <c r="AU63" s="282"/>
      <c r="AV63" s="282"/>
      <c r="AW63" s="282"/>
      <c r="AX63" s="282"/>
      <c r="AY63" s="282"/>
      <c r="AZ63" s="282"/>
    </row>
    <row r="64" ht="26.25" customHeight="1">
      <c r="A64" s="209">
        <f>IFERROR(__xludf.DUMMYFUNCTION("""COMPUTED_VALUE"""),46129.0)</f>
        <v>46129</v>
      </c>
      <c r="B64" s="247">
        <f>IFERROR(__xludf.DUMMYFUNCTION("""COMPUTED_VALUE"""),0.625)</f>
        <v>0.625</v>
      </c>
      <c r="C64" s="218" t="str">
        <f>IFERROR(__xludf.DUMMYFUNCTION("""COMPUTED_VALUE"""),"Rcs")</f>
        <v>Rcs</v>
      </c>
      <c r="D64" s="218" t="str">
        <f>IFERROR(__xludf.DUMMYFUNCTION("""COMPUTED_VALUE"""),"Promtional")</f>
        <v>Promtional</v>
      </c>
      <c r="E64" s="218" t="str">
        <f>IFERROR(__xludf.DUMMYFUNCTION("""COMPUTED_VALUE"""),"R&amp;B")</f>
        <v>R&amp;B</v>
      </c>
      <c r="F64" s="218" t="str">
        <f>IFERROR(__xludf.DUMMYFUNCTION("""COMPUTED_VALUE"""),"Churned")</f>
        <v>Churned</v>
      </c>
      <c r="G64" s="218" t="str">
        <f>IFERROR(__xludf.DUMMYFUNCTION("""COMPUTED_VALUE"""),"Churned_Below1000")</f>
        <v>Churned_Below1000</v>
      </c>
      <c r="H64" s="218" t="str">
        <f>IFERROR(__xludf.DUMMYFUNCTION("""COMPUTED_VALUE"""),"Churned_365to730days_OV_1000andbelow_Off_14thApril, Rnb_testusers_couponcode_14thapril")</f>
        <v>Churned_365to730days_OV_1000andbelow_Off_14thApril, Rnb_testusers_couponcode_14thapril</v>
      </c>
      <c r="I64" s="218" t="str">
        <f>IFERROR(__xludf.DUMMYFUNCTION("""COMPUTED_VALUE"""),"Churned (purchased in 1095 days excl. customers who have purchased in 365 days) Customers who have purchased in between 365 days and 730 days with spending 1000 and below per purchase")</f>
        <v>Churned (purchased in 1095 days excl. customers who have purchased in 365 days) Customers who have purchased in between 365 days and 730 days with spending 1000 and below per purchase</v>
      </c>
      <c r="J64" s="213">
        <f>IFERROR(__xludf.DUMMYFUNCTION("""COMPUTED_VALUE"""),151360.0)</f>
        <v>151360</v>
      </c>
      <c r="K64" s="213">
        <f>IFERROR(__xludf.DUMMYFUNCTION("""COMPUTED_VALUE"""),73475.0)</f>
        <v>73475</v>
      </c>
      <c r="L64" s="214">
        <f>IFERROR(__xludf.DUMMYFUNCTION("""COMPUTED_VALUE"""),0.485)</f>
        <v>0.485</v>
      </c>
      <c r="M64" s="213">
        <f>IFERROR(__xludf.DUMMYFUNCTION("""COMPUTED_VALUE"""),12874.0)</f>
        <v>12874</v>
      </c>
      <c r="N64" s="214">
        <f>IFERROR(__xludf.DUMMYFUNCTION("""COMPUTED_VALUE"""),0.175)</f>
        <v>0.175</v>
      </c>
      <c r="O64" s="213">
        <f>IFERROR(__xludf.DUMMYFUNCTION("""COMPUTED_VALUE"""),0.0)</f>
        <v>0</v>
      </c>
      <c r="P64" s="213">
        <f>IFERROR(__xludf.DUMMYFUNCTION("""COMPUTED_VALUE"""),0.0)</f>
        <v>0</v>
      </c>
      <c r="Q64" s="214">
        <f>IFERROR(__xludf.DUMMYFUNCTION("""COMPUTED_VALUE"""),0.0)</f>
        <v>0</v>
      </c>
      <c r="R64" s="214">
        <f>IFERROR(__xludf.DUMMYFUNCTION("""COMPUTED_VALUE"""),0.0)</f>
        <v>0</v>
      </c>
      <c r="S64" s="270">
        <f>IFERROR(__xludf.DUMMYFUNCTION("""COMPUTED_VALUE"""),0.0)</f>
        <v>0</v>
      </c>
      <c r="T64" s="270">
        <f>IFERROR(__xludf.DUMMYFUNCTION("""COMPUTED_VALUE"""),0.0)</f>
        <v>0</v>
      </c>
      <c r="U64" s="270">
        <f>IFERROR(__xludf.DUMMYFUNCTION("""COMPUTED_VALUE"""),0.0)</f>
        <v>0</v>
      </c>
      <c r="V64" s="101" t="str">
        <f>IFERROR(__xludf.DUMMYFUNCTION("""COMPUTED_VALUE"""),"offline")</f>
        <v>offline</v>
      </c>
      <c r="W64" s="101" t="str">
        <f>IFERROR(__xludf.DUMMYFUNCTION("""COMPUTED_VALUE"""),"RCS")</f>
        <v>RCS</v>
      </c>
      <c r="X64" s="212" t="str">
        <f>IFERROR(__xludf.DUMMYFUNCTION("""COMPUTED_VALUE"""),"No Brief")</f>
        <v>No Brief</v>
      </c>
      <c r="Y64" s="212" t="str">
        <f>IFERROR(__xludf.DUMMYFUNCTION("""COMPUTED_VALUE"""),"17th April to 30th April")</f>
        <v>17th April to 30th April</v>
      </c>
      <c r="Z64" s="212" t="str">
        <f>IFERROR(__xludf.DUMMYFUNCTION("""COMPUTED_VALUE"""),"69de1cf8167a68a1492e07d3")</f>
        <v>69de1cf8167a68a1492e07d3</v>
      </c>
      <c r="AA64" s="287">
        <f>IFERROR(__xludf.DUMMYFUNCTION("""COMPUTED_VALUE"""),454.0)</f>
        <v>454</v>
      </c>
      <c r="AB64" s="213"/>
      <c r="AC64" s="213">
        <f>IFERROR(__xludf.DUMMYFUNCTION("""COMPUTED_VALUE"""),454.0)</f>
        <v>454</v>
      </c>
      <c r="AD64" s="213">
        <f>IFERROR(__xludf.DUMMYFUNCTION("""COMPUTED_VALUE"""),687132.0)</f>
        <v>687132</v>
      </c>
      <c r="AE64" s="213"/>
      <c r="AF64" s="213">
        <f>IFERROR(__xludf.DUMMYFUNCTION("""COMPUTED_VALUE"""),687132.0)</f>
        <v>687132</v>
      </c>
      <c r="AG64" s="282"/>
      <c r="AH64" s="282"/>
      <c r="AI64" s="282"/>
      <c r="AJ64" s="303"/>
      <c r="AK64" s="303"/>
      <c r="AL64" s="303"/>
      <c r="AM64" s="282"/>
      <c r="AN64" s="282"/>
      <c r="AO64" s="282"/>
      <c r="AP64" s="282"/>
      <c r="AQ64" s="282"/>
      <c r="AR64" s="282"/>
      <c r="AS64" s="282"/>
      <c r="AT64" s="282"/>
      <c r="AU64" s="282"/>
      <c r="AV64" s="282"/>
      <c r="AW64" s="282"/>
      <c r="AX64" s="282"/>
      <c r="AY64" s="282"/>
      <c r="AZ64" s="282"/>
    </row>
    <row r="65" ht="26.25" customHeight="1">
      <c r="A65" s="209">
        <f>IFERROR(__xludf.DUMMYFUNCTION("""COMPUTED_VALUE"""),46129.0)</f>
        <v>46129</v>
      </c>
      <c r="B65" s="247">
        <f>IFERROR(__xludf.DUMMYFUNCTION("""COMPUTED_VALUE"""),0.625)</f>
        <v>0.625</v>
      </c>
      <c r="C65" s="218" t="str">
        <f>IFERROR(__xludf.DUMMYFUNCTION("""COMPUTED_VALUE"""),"Rcs")</f>
        <v>Rcs</v>
      </c>
      <c r="D65" s="218" t="str">
        <f>IFERROR(__xludf.DUMMYFUNCTION("""COMPUTED_VALUE"""),"Promtional")</f>
        <v>Promtional</v>
      </c>
      <c r="E65" s="218" t="str">
        <f>IFERROR(__xludf.DUMMYFUNCTION("""COMPUTED_VALUE"""),"R&amp;B")</f>
        <v>R&amp;B</v>
      </c>
      <c r="F65" s="218" t="str">
        <f>IFERROR(__xludf.DUMMYFUNCTION("""COMPUTED_VALUE"""),"Churned")</f>
        <v>Churned</v>
      </c>
      <c r="G65" s="218" t="str">
        <f>IFERROR(__xludf.DUMMYFUNCTION("""COMPUTED_VALUE"""),"Churned_Above1000")</f>
        <v>Churned_Above1000</v>
      </c>
      <c r="H65" s="218" t="str">
        <f>IFERROR(__xludf.DUMMYFUNCTION("""COMPUTED_VALUE"""),"Churned_365to730days_OV_1000andabove_Off_14thApril")</f>
        <v>Churned_365to730days_OV_1000andabove_Off_14thApril</v>
      </c>
      <c r="I65" s="218" t="str">
        <f>IFERROR(__xludf.DUMMYFUNCTION("""COMPUTED_VALUE"""),"Churned (purchased in 1095 days excl. customers who have purchased in 365 days) Customers who have purchased in between 365 days and 730 days with spending 1000 and above per purchase")</f>
        <v>Churned (purchased in 1095 days excl. customers who have purchased in 365 days) Customers who have purchased in between 365 days and 730 days with spending 1000 and above per purchase</v>
      </c>
      <c r="J65" s="213">
        <f>IFERROR(__xludf.DUMMYFUNCTION("""COMPUTED_VALUE"""),218916.0)</f>
        <v>218916</v>
      </c>
      <c r="K65" s="213">
        <f>IFERROR(__xludf.DUMMYFUNCTION("""COMPUTED_VALUE"""),96240.0)</f>
        <v>96240</v>
      </c>
      <c r="L65" s="214">
        <f>IFERROR(__xludf.DUMMYFUNCTION("""COMPUTED_VALUE"""),0.44)</f>
        <v>0.44</v>
      </c>
      <c r="M65" s="213">
        <f>IFERROR(__xludf.DUMMYFUNCTION("""COMPUTED_VALUE"""),18390.0)</f>
        <v>18390</v>
      </c>
      <c r="N65" s="214">
        <f>IFERROR(__xludf.DUMMYFUNCTION("""COMPUTED_VALUE"""),0.191)</f>
        <v>0.191</v>
      </c>
      <c r="O65" s="213">
        <f>IFERROR(__xludf.DUMMYFUNCTION("""COMPUTED_VALUE"""),0.0)</f>
        <v>0</v>
      </c>
      <c r="P65" s="213">
        <f>IFERROR(__xludf.DUMMYFUNCTION("""COMPUTED_VALUE"""),0.0)</f>
        <v>0</v>
      </c>
      <c r="Q65" s="214">
        <f>IFERROR(__xludf.DUMMYFUNCTION("""COMPUTED_VALUE"""),0.0)</f>
        <v>0</v>
      </c>
      <c r="R65" s="214">
        <f>IFERROR(__xludf.DUMMYFUNCTION("""COMPUTED_VALUE"""),0.0)</f>
        <v>0</v>
      </c>
      <c r="S65" s="270">
        <f>IFERROR(__xludf.DUMMYFUNCTION("""COMPUTED_VALUE"""),0.0)</f>
        <v>0</v>
      </c>
      <c r="T65" s="270">
        <f>IFERROR(__xludf.DUMMYFUNCTION("""COMPUTED_VALUE"""),0.0)</f>
        <v>0</v>
      </c>
      <c r="U65" s="270">
        <f>IFERROR(__xludf.DUMMYFUNCTION("""COMPUTED_VALUE"""),0.0)</f>
        <v>0</v>
      </c>
      <c r="V65" s="101" t="str">
        <f>IFERROR(__xludf.DUMMYFUNCTION("""COMPUTED_VALUE"""),"offline")</f>
        <v>offline</v>
      </c>
      <c r="W65" s="101" t="str">
        <f>IFERROR(__xludf.DUMMYFUNCTION("""COMPUTED_VALUE"""),"RCS")</f>
        <v>RCS</v>
      </c>
      <c r="X65" s="212" t="str">
        <f>IFERROR(__xludf.DUMMYFUNCTION("""COMPUTED_VALUE"""),"No Brief")</f>
        <v>No Brief</v>
      </c>
      <c r="Y65" s="212" t="str">
        <f>IFERROR(__xludf.DUMMYFUNCTION("""COMPUTED_VALUE"""),"17th April to 30th April")</f>
        <v>17th April to 30th April</v>
      </c>
      <c r="Z65" s="212" t="str">
        <f>IFERROR(__xludf.DUMMYFUNCTION("""COMPUTED_VALUE"""),"69de1d2cf32be903eb87c5fb")</f>
        <v>69de1d2cf32be903eb87c5fb</v>
      </c>
      <c r="AA65" s="287">
        <f>IFERROR(__xludf.DUMMYFUNCTION("""COMPUTED_VALUE"""),770.0)</f>
        <v>770</v>
      </c>
      <c r="AB65" s="213"/>
      <c r="AC65" s="213">
        <f>IFERROR(__xludf.DUMMYFUNCTION("""COMPUTED_VALUE"""),770.0)</f>
        <v>770</v>
      </c>
      <c r="AD65" s="213">
        <f>IFERROR(__xludf.DUMMYFUNCTION("""COMPUTED_VALUE"""),1563731.0)</f>
        <v>1563731</v>
      </c>
      <c r="AE65" s="213"/>
      <c r="AF65" s="213">
        <f>IFERROR(__xludf.DUMMYFUNCTION("""COMPUTED_VALUE"""),1563731.0)</f>
        <v>1563731</v>
      </c>
      <c r="AG65" s="282"/>
      <c r="AH65" s="282"/>
      <c r="AI65" s="282"/>
      <c r="AJ65" s="303"/>
      <c r="AK65" s="303"/>
      <c r="AL65" s="303"/>
      <c r="AM65" s="282"/>
      <c r="AN65" s="282"/>
      <c r="AO65" s="282"/>
      <c r="AP65" s="282"/>
      <c r="AQ65" s="282"/>
      <c r="AR65" s="282"/>
      <c r="AS65" s="282"/>
      <c r="AT65" s="282"/>
      <c r="AU65" s="282"/>
      <c r="AV65" s="282"/>
      <c r="AW65" s="282"/>
      <c r="AX65" s="282"/>
      <c r="AY65" s="282"/>
      <c r="AZ65" s="282"/>
    </row>
    <row r="66" ht="26.25" customHeight="1">
      <c r="A66" s="209">
        <f>IFERROR(__xludf.DUMMYFUNCTION("""COMPUTED_VALUE"""),46129.0)</f>
        <v>46129</v>
      </c>
      <c r="B66" s="247">
        <f>IFERROR(__xludf.DUMMYFUNCTION("""COMPUTED_VALUE"""),0.625)</f>
        <v>0.625</v>
      </c>
      <c r="C66" s="218" t="str">
        <f>IFERROR(__xludf.DUMMYFUNCTION("""COMPUTED_VALUE"""),"Rcs")</f>
        <v>Rcs</v>
      </c>
      <c r="D66" s="218" t="str">
        <f>IFERROR(__xludf.DUMMYFUNCTION("""COMPUTED_VALUE"""),"Promtional")</f>
        <v>Promtional</v>
      </c>
      <c r="E66" s="218" t="str">
        <f>IFERROR(__xludf.DUMMYFUNCTION("""COMPUTED_VALUE"""),"R&amp;B")</f>
        <v>R&amp;B</v>
      </c>
      <c r="F66" s="218" t="str">
        <f>IFERROR(__xludf.DUMMYFUNCTION("""COMPUTED_VALUE"""),"Churned")</f>
        <v>Churned</v>
      </c>
      <c r="G66" s="218" t="str">
        <f>IFERROR(__xludf.DUMMYFUNCTION("""COMPUTED_VALUE"""),"Churned_morethan730days")</f>
        <v>Churned_morethan730days</v>
      </c>
      <c r="H66" s="218" t="str">
        <f>IFERROR(__xludf.DUMMYFUNCTION("""COMPUTED_VALUE"""),"Churned_731to1095days_Off_14thApril")</f>
        <v>Churned_731to1095days_Off_14thApril</v>
      </c>
      <c r="I66" s="218" t="str">
        <f>IFERROR(__xludf.DUMMYFUNCTION("""COMPUTED_VALUE"""),"Churned (purchased in 1095 days excl. customers who have purchased in 365 days) Customers who have purchased in between 731 days and beyond")</f>
        <v>Churned (purchased in 1095 days excl. customers who have purchased in 365 days) Customers who have purchased in between 731 days and beyond</v>
      </c>
      <c r="J66" s="213">
        <f>IFERROR(__xludf.DUMMYFUNCTION("""COMPUTED_VALUE"""),43800.0)</f>
        <v>43800</v>
      </c>
      <c r="K66" s="213">
        <f>IFERROR(__xludf.DUMMYFUNCTION("""COMPUTED_VALUE"""),19687.0)</f>
        <v>19687</v>
      </c>
      <c r="L66" s="214">
        <f>IFERROR(__xludf.DUMMYFUNCTION("""COMPUTED_VALUE"""),0.45)</f>
        <v>0.45</v>
      </c>
      <c r="M66" s="213">
        <f>IFERROR(__xludf.DUMMYFUNCTION("""COMPUTED_VALUE"""),3930.0)</f>
        <v>3930</v>
      </c>
      <c r="N66" s="214">
        <f>IFERROR(__xludf.DUMMYFUNCTION("""COMPUTED_VALUE"""),0.1996)</f>
        <v>0.1996</v>
      </c>
      <c r="O66" s="213">
        <f>IFERROR(__xludf.DUMMYFUNCTION("""COMPUTED_VALUE"""),0.0)</f>
        <v>0</v>
      </c>
      <c r="P66" s="213">
        <f>IFERROR(__xludf.DUMMYFUNCTION("""COMPUTED_VALUE"""),0.0)</f>
        <v>0</v>
      </c>
      <c r="Q66" s="214">
        <f>IFERROR(__xludf.DUMMYFUNCTION("""COMPUTED_VALUE"""),0.0)</f>
        <v>0</v>
      </c>
      <c r="R66" s="214">
        <f>IFERROR(__xludf.DUMMYFUNCTION("""COMPUTED_VALUE"""),0.0)</f>
        <v>0</v>
      </c>
      <c r="S66" s="270">
        <f>IFERROR(__xludf.DUMMYFUNCTION("""COMPUTED_VALUE"""),0.0)</f>
        <v>0</v>
      </c>
      <c r="T66" s="270">
        <f>IFERROR(__xludf.DUMMYFUNCTION("""COMPUTED_VALUE"""),0.0)</f>
        <v>0</v>
      </c>
      <c r="U66" s="270">
        <f>IFERROR(__xludf.DUMMYFUNCTION("""COMPUTED_VALUE"""),0.0)</f>
        <v>0</v>
      </c>
      <c r="V66" s="101" t="str">
        <f>IFERROR(__xludf.DUMMYFUNCTION("""COMPUTED_VALUE"""),"offline")</f>
        <v>offline</v>
      </c>
      <c r="W66" s="101" t="str">
        <f>IFERROR(__xludf.DUMMYFUNCTION("""COMPUTED_VALUE"""),"RCS")</f>
        <v>RCS</v>
      </c>
      <c r="X66" s="212" t="str">
        <f>IFERROR(__xludf.DUMMYFUNCTION("""COMPUTED_VALUE"""),"No Brief")</f>
        <v>No Brief</v>
      </c>
      <c r="Y66" s="212" t="str">
        <f>IFERROR(__xludf.DUMMYFUNCTION("""COMPUTED_VALUE"""),"17th April to 30th April")</f>
        <v>17th April to 30th April</v>
      </c>
      <c r="Z66" s="212" t="str">
        <f>IFERROR(__xludf.DUMMYFUNCTION("""COMPUTED_VALUE"""),"69de1d9970d32743c6ef67ff")</f>
        <v>69de1d9970d32743c6ef67ff</v>
      </c>
      <c r="AA66" s="287">
        <f>IFERROR(__xludf.DUMMYFUNCTION("""COMPUTED_VALUE"""),79.0)</f>
        <v>79</v>
      </c>
      <c r="AB66" s="213"/>
      <c r="AC66" s="213">
        <f>IFERROR(__xludf.DUMMYFUNCTION("""COMPUTED_VALUE"""),79.0)</f>
        <v>79</v>
      </c>
      <c r="AD66" s="213">
        <f>IFERROR(__xludf.DUMMYFUNCTION("""COMPUTED_VALUE"""),156738.0)</f>
        <v>156738</v>
      </c>
      <c r="AE66" s="213"/>
      <c r="AF66" s="213">
        <f>IFERROR(__xludf.DUMMYFUNCTION("""COMPUTED_VALUE"""),156738.0)</f>
        <v>156738</v>
      </c>
      <c r="AG66" s="282"/>
      <c r="AH66" s="282"/>
      <c r="AI66" s="282"/>
      <c r="AJ66" s="303"/>
      <c r="AK66" s="303"/>
      <c r="AL66" s="303"/>
      <c r="AM66" s="282"/>
      <c r="AN66" s="282"/>
      <c r="AO66" s="282"/>
      <c r="AP66" s="282"/>
      <c r="AQ66" s="282"/>
      <c r="AR66" s="282"/>
      <c r="AS66" s="282"/>
      <c r="AT66" s="282"/>
      <c r="AU66" s="282"/>
      <c r="AV66" s="282"/>
      <c r="AW66" s="282"/>
      <c r="AX66" s="282"/>
      <c r="AY66" s="282"/>
      <c r="AZ66" s="282"/>
    </row>
    <row r="67" ht="26.25" customHeight="1">
      <c r="A67" s="209">
        <f>IFERROR(__xludf.DUMMYFUNCTION("""COMPUTED_VALUE"""),46142.0)</f>
        <v>46142</v>
      </c>
      <c r="B67" s="247">
        <f>IFERROR(__xludf.DUMMYFUNCTION("""COMPUTED_VALUE"""),0.7083333333321207)</f>
        <v>0.7083333333</v>
      </c>
      <c r="C67" s="218" t="str">
        <f>IFERROR(__xludf.DUMMYFUNCTION("""COMPUTED_VALUE"""),"Whatsapp")</f>
        <v>Whatsapp</v>
      </c>
      <c r="D67" s="218" t="str">
        <f>IFERROR(__xludf.DUMMYFUNCTION("""COMPUTED_VALUE"""),"Promtional")</f>
        <v>Promtional</v>
      </c>
      <c r="E67" s="218" t="str">
        <f>IFERROR(__xludf.DUMMYFUNCTION("""COMPUTED_VALUE"""),"R&amp;B")</f>
        <v>R&amp;B</v>
      </c>
      <c r="F67" s="218" t="str">
        <f>IFERROR(__xludf.DUMMYFUNCTION("""COMPUTED_VALUE"""),"EMT - MAY 2026 - Stand a chance to win a trip to Bali")</f>
        <v>EMT - MAY 2026 - Stand a chance to win a trip to Bali</v>
      </c>
      <c r="G67" s="218" t="str">
        <f>IFERROR(__xludf.DUMMYFUNCTION("""COMPUTED_VALUE"""),"EMT_Round 1")</f>
        <v>EMT_Round 1</v>
      </c>
      <c r="H67" s="218" t="str">
        <f>IFERROR(__xludf.DUMMYFUNCTION("""COMPUTED_VALUE"""),"Last6Months_Off_Purchasers")</f>
        <v>Last6Months_Off_Purchasers</v>
      </c>
      <c r="I67" s="218" t="str">
        <f>IFERROR(__xludf.DUMMYFUNCTION("""COMPUTED_VALUE"""),"Customers who have shopped at least once in the last 6 months")</f>
        <v>Customers who have shopped at least once in the last 6 months</v>
      </c>
      <c r="J67" s="213">
        <f>IFERROR(__xludf.DUMMYFUNCTION("""COMPUTED_VALUE"""),387924.0)</f>
        <v>387924</v>
      </c>
      <c r="K67" s="213">
        <f>IFERROR(__xludf.DUMMYFUNCTION("""COMPUTED_VALUE"""),250043.0)</f>
        <v>250043</v>
      </c>
      <c r="L67" s="214">
        <f>IFERROR(__xludf.DUMMYFUNCTION("""COMPUTED_VALUE"""),0.6445)</f>
        <v>0.6445</v>
      </c>
      <c r="M67" s="213">
        <f>IFERROR(__xludf.DUMMYFUNCTION("""COMPUTED_VALUE"""),139399.0)</f>
        <v>139399</v>
      </c>
      <c r="N67" s="214">
        <f>IFERROR(__xludf.DUMMYFUNCTION("""COMPUTED_VALUE"""),0.5575)</f>
        <v>0.5575</v>
      </c>
      <c r="O67" s="213">
        <f>IFERROR(__xludf.DUMMYFUNCTION("""COMPUTED_VALUE"""),7125.0)</f>
        <v>7125</v>
      </c>
      <c r="P67" s="213">
        <f>IFERROR(__xludf.DUMMYFUNCTION("""COMPUTED_VALUE"""),6830.0)</f>
        <v>6830</v>
      </c>
      <c r="Q67" s="214">
        <f>IFERROR(__xludf.DUMMYFUNCTION("""COMPUTED_VALUE"""),0.0273)</f>
        <v>0.0273</v>
      </c>
      <c r="R67" s="214">
        <f>IFERROR(__xludf.DUMMYFUNCTION("""COMPUTED_VALUE"""),0.049)</f>
        <v>0.049</v>
      </c>
      <c r="S67" s="270">
        <f>IFERROR(__xludf.DUMMYFUNCTION("""COMPUTED_VALUE"""),0.0)</f>
        <v>0</v>
      </c>
      <c r="T67" s="270">
        <f>IFERROR(__xludf.DUMMYFUNCTION("""COMPUTED_VALUE"""),0.0)</f>
        <v>0</v>
      </c>
      <c r="U67" s="270">
        <f>IFERROR(__xludf.DUMMYFUNCTION("""COMPUTED_VALUE"""),0.0)</f>
        <v>0</v>
      </c>
      <c r="V67" s="101" t="str">
        <f>IFERROR(__xludf.DUMMYFUNCTION("""COMPUTED_VALUE"""),"offline")</f>
        <v>offline</v>
      </c>
      <c r="W67" s="101" t="str">
        <f>IFERROR(__xludf.DUMMYFUNCTION("""COMPUTED_VALUE"""),"simple")</f>
        <v>simple</v>
      </c>
      <c r="X67" s="212" t="str">
        <f>IFERROR(__xludf.DUMMYFUNCTION("""COMPUTED_VALUE"""),"No Brief")</f>
        <v>No Brief</v>
      </c>
      <c r="Y67" s="212" t="str">
        <f>IFERROR(__xludf.DUMMYFUNCTION("""COMPUTED_VALUE"""),"1st May to 31st May")</f>
        <v>1st May to 31st May</v>
      </c>
      <c r="Z67" s="212" t="str">
        <f>IFERROR(__xludf.DUMMYFUNCTION("""COMPUTED_VALUE"""),"69f1a90fa1f6e971a985b575")</f>
        <v>69f1a90fa1f6e971a985b575</v>
      </c>
      <c r="AA67" s="287">
        <f>IFERROR(__xludf.DUMMYFUNCTION("""COMPUTED_VALUE"""),16150.0)</f>
        <v>16150</v>
      </c>
      <c r="AB67" s="213"/>
      <c r="AC67" s="213">
        <f>IFERROR(__xludf.DUMMYFUNCTION("""COMPUTED_VALUE"""),16150.0)</f>
        <v>16150</v>
      </c>
      <c r="AD67" s="213">
        <f>IFERROR(__xludf.DUMMYFUNCTION("""COMPUTED_VALUE"""),3.419507E7)</f>
        <v>34195070</v>
      </c>
      <c r="AE67" s="213"/>
      <c r="AF67" s="213">
        <f>IFERROR(__xludf.DUMMYFUNCTION("""COMPUTED_VALUE"""),3.419507E7)</f>
        <v>34195070</v>
      </c>
      <c r="AG67" s="282"/>
      <c r="AH67" s="282"/>
      <c r="AI67" s="282"/>
      <c r="AJ67" s="303"/>
      <c r="AK67" s="303"/>
      <c r="AL67" s="303"/>
      <c r="AM67" s="282"/>
      <c r="AN67" s="282"/>
      <c r="AO67" s="282"/>
      <c r="AP67" s="282"/>
      <c r="AQ67" s="282"/>
      <c r="AR67" s="282"/>
      <c r="AS67" s="282"/>
      <c r="AT67" s="282"/>
      <c r="AU67" s="282"/>
      <c r="AV67" s="282"/>
      <c r="AW67" s="282"/>
      <c r="AX67" s="282"/>
      <c r="AY67" s="282"/>
      <c r="AZ67" s="282"/>
    </row>
    <row r="68">
      <c r="A68" s="307">
        <f>IFERROR(__xludf.DUMMYFUNCTION("""COMPUTED_VALUE"""),46143.0)</f>
        <v>46143</v>
      </c>
      <c r="B68" s="308">
        <f>IFERROR(__xludf.DUMMYFUNCTION("""COMPUTED_VALUE"""),0.4166666666678793)</f>
        <v>0.4166666667</v>
      </c>
      <c r="C68" s="289" t="str">
        <f>IFERROR(__xludf.DUMMYFUNCTION("""COMPUTED_VALUE"""),"Whatsapp")</f>
        <v>Whatsapp</v>
      </c>
      <c r="D68" s="289" t="str">
        <f>IFERROR(__xludf.DUMMYFUNCTION("""COMPUTED_VALUE"""),"Promtional")</f>
        <v>Promtional</v>
      </c>
      <c r="E68" s="289" t="str">
        <f>IFERROR(__xludf.DUMMYFUNCTION("""COMPUTED_VALUE"""),"R&amp;B")</f>
        <v>R&amp;B</v>
      </c>
      <c r="F68" s="289" t="str">
        <f>IFERROR(__xludf.DUMMYFUNCTION("""COMPUTED_VALUE"""),"Tattva Store Launch - May 2026 - Store Launch")</f>
        <v>Tattva Store Launch - May 2026 - Store Launch</v>
      </c>
      <c r="G68" s="289" t="str">
        <f>IFERROR(__xludf.DUMMYFUNCTION("""COMPUTED_VALUE"""),"Tattva Store Launch")</f>
        <v>Tattva Store Launch</v>
      </c>
      <c r="H68" s="289" t="str">
        <f>IFERROR(__xludf.DUMMYFUNCTION("""COMPUTED_VALUE"""),"RB_01_06_05_1305_1299_019_Off_Purchasers")</f>
        <v>RB_01_06_05_1305_1299_019_Off_Purchasers</v>
      </c>
      <c r="I68" s="289" t="str">
        <f>IFERROR(__xludf.DUMMYFUNCTION("""COMPUTED_VALUE"""),"All customers who have shopped at least once in RB001, RB005, RB006, RB019, 1305, 1299")</f>
        <v>All customers who have shopped at least once in RB001, RB005, RB006, RB019, 1305, 1299</v>
      </c>
      <c r="J68" s="309">
        <f>IFERROR(__xludf.DUMMYFUNCTION("""COMPUTED_VALUE"""),169357.0)</f>
        <v>169357</v>
      </c>
      <c r="K68" s="309">
        <f>IFERROR(__xludf.DUMMYFUNCTION("""COMPUTED_VALUE"""),102590.0)</f>
        <v>102590</v>
      </c>
      <c r="L68" s="310">
        <f>IFERROR(__xludf.DUMMYFUNCTION("""COMPUTED_VALUE"""),0.6057)</f>
        <v>0.6057</v>
      </c>
      <c r="M68" s="309">
        <f>IFERROR(__xludf.DUMMYFUNCTION("""COMPUTED_VALUE"""),56806.0)</f>
        <v>56806</v>
      </c>
      <c r="N68" s="310">
        <f>IFERROR(__xludf.DUMMYFUNCTION("""COMPUTED_VALUE"""),0.5537)</f>
        <v>0.5537</v>
      </c>
      <c r="O68" s="289">
        <f>IFERROR(__xludf.DUMMYFUNCTION("""COMPUTED_VALUE"""),1660.0)</f>
        <v>1660</v>
      </c>
      <c r="P68" s="290">
        <f>IFERROR(__xludf.DUMMYFUNCTION("""COMPUTED_VALUE"""),1557.0)</f>
        <v>1557</v>
      </c>
      <c r="Q68" s="311">
        <f>IFERROR(__xludf.DUMMYFUNCTION("""COMPUTED_VALUE"""),0.0152)</f>
        <v>0.0152</v>
      </c>
      <c r="R68" s="311">
        <f>IFERROR(__xludf.DUMMYFUNCTION("""COMPUTED_VALUE"""),0.0274)</f>
        <v>0.0274</v>
      </c>
      <c r="S68" s="290">
        <f>IFERROR(__xludf.DUMMYFUNCTION("""COMPUTED_VALUE"""),0.0)</f>
        <v>0</v>
      </c>
      <c r="T68" s="290">
        <f>IFERROR(__xludf.DUMMYFUNCTION("""COMPUTED_VALUE"""),0.0)</f>
        <v>0</v>
      </c>
      <c r="U68" s="312">
        <f>IFERROR(__xludf.DUMMYFUNCTION("""COMPUTED_VALUE"""),0.0)</f>
        <v>0</v>
      </c>
      <c r="V68" s="290" t="str">
        <f>IFERROR(__xludf.DUMMYFUNCTION("""COMPUTED_VALUE"""),"offline")</f>
        <v>offline</v>
      </c>
      <c r="W68" s="290" t="str">
        <f>IFERROR(__xludf.DUMMYFUNCTION("""COMPUTED_VALUE"""),"simple")</f>
        <v>simple</v>
      </c>
      <c r="X68" s="290" t="str">
        <f>IFERROR(__xludf.DUMMYFUNCTION("""COMPUTED_VALUE"""),"No Brief")</f>
        <v>No Brief</v>
      </c>
      <c r="Y68" s="290" t="str">
        <f>IFERROR(__xludf.DUMMYFUNCTION("""COMPUTED_VALUE"""),"1st May to 3rd May")</f>
        <v>1st May to 3rd May</v>
      </c>
      <c r="Z68" s="290" t="str">
        <f>IFERROR(__xludf.DUMMYFUNCTION("""COMPUTED_VALUE"""),"69f1a8cf2b93f625363e1d18")</f>
        <v>69f1a8cf2b93f625363e1d18</v>
      </c>
      <c r="AA68" s="312">
        <f>IFERROR(__xludf.DUMMYFUNCTION("""COMPUTED_VALUE"""),403.0)</f>
        <v>403</v>
      </c>
      <c r="AB68" s="312"/>
      <c r="AC68" s="312">
        <f>IFERROR(__xludf.DUMMYFUNCTION("""COMPUTED_VALUE"""),403.0)</f>
        <v>403</v>
      </c>
      <c r="AD68" s="312">
        <f>IFERROR(__xludf.DUMMYFUNCTION("""COMPUTED_VALUE"""),941400.0)</f>
        <v>941400</v>
      </c>
      <c r="AE68" s="312"/>
      <c r="AF68" s="312">
        <f>IFERROR(__xludf.DUMMYFUNCTION("""COMPUTED_VALUE"""),941400.0)</f>
        <v>941400</v>
      </c>
      <c r="AG68" s="282"/>
      <c r="AH68" s="291"/>
      <c r="AI68" s="291"/>
      <c r="AJ68" s="313"/>
      <c r="AK68" s="313"/>
      <c r="AL68" s="313"/>
      <c r="AM68" s="291"/>
      <c r="AN68" s="291"/>
      <c r="AO68" s="291"/>
      <c r="AP68" s="291"/>
      <c r="AQ68" s="291"/>
      <c r="AR68" s="291"/>
      <c r="AS68" s="291"/>
      <c r="AT68" s="291"/>
      <c r="AU68" s="291"/>
      <c r="AV68" s="291"/>
      <c r="AW68" s="291"/>
      <c r="AX68" s="291"/>
      <c r="AY68" s="291"/>
      <c r="AZ68" s="291"/>
    </row>
    <row r="69">
      <c r="A69" s="209">
        <f>IFERROR(__xludf.DUMMYFUNCTION("""COMPUTED_VALUE"""),46150.0)</f>
        <v>46150</v>
      </c>
      <c r="B69" s="247">
        <f>IFERROR(__xludf.DUMMYFUNCTION("""COMPUTED_VALUE"""),46150.66666666667)</f>
        <v>46150.66667</v>
      </c>
      <c r="C69" s="211" t="str">
        <f>IFERROR(__xludf.DUMMYFUNCTION("""COMPUTED_VALUE"""),"Whatsapp")</f>
        <v>Whatsapp</v>
      </c>
      <c r="D69" s="211" t="str">
        <f>IFERROR(__xludf.DUMMYFUNCTION("""COMPUTED_VALUE"""),"Promtional")</f>
        <v>Promtional</v>
      </c>
      <c r="E69" s="211" t="str">
        <f>IFERROR(__xludf.DUMMYFUNCTION("""COMPUTED_VALUE"""),"R&amp;B")</f>
        <v>R&amp;B</v>
      </c>
      <c r="F69" s="211" t="str">
        <f>IFERROR(__xludf.DUMMYFUNCTION("""COMPUTED_VALUE"""),"EMT - MAY 2026 - Stand a chance to win a trip to Bali")</f>
        <v>EMT - MAY 2026 - Stand a chance to win a trip to Bali</v>
      </c>
      <c r="G69" s="211" t="str">
        <f>IFERROR(__xludf.DUMMYFUNCTION("""COMPUTED_VALUE"""),"EMT_Round 2")</f>
        <v>EMT_Round 2</v>
      </c>
      <c r="H69" s="212" t="str">
        <f>IFERROR(__xludf.DUMMYFUNCTION("""COMPUTED_VALUE"""),"RB_NonShoppers_6months_EMT_Off")</f>
        <v>RB_NonShoppers_6months_EMT_Off</v>
      </c>
      <c r="I69" s="212" t="str">
        <f>IFERROR(__xludf.DUMMYFUNCTION("""COMPUTED_VALUE"""),"Customers who got WA Delivered in EMT Campaign and not purchased from 1st May to 3rd May 2026")</f>
        <v>Customers who got WA Delivered in EMT Campaign and not purchased from 1st May to 3rd May 2026</v>
      </c>
      <c r="J69" s="213">
        <f>IFERROR(__xludf.DUMMYFUNCTION("""COMPUTED_VALUE"""),246549.0)</f>
        <v>246549</v>
      </c>
      <c r="K69" s="213">
        <f>IFERROR(__xludf.DUMMYFUNCTION("""COMPUTED_VALUE"""),200347.0)</f>
        <v>200347</v>
      </c>
      <c r="L69" s="214">
        <f>IFERROR(__xludf.DUMMYFUNCTION("""COMPUTED_VALUE"""),0.8123)</f>
        <v>0.8123</v>
      </c>
      <c r="M69" s="213">
        <f>IFERROR(__xludf.DUMMYFUNCTION("""COMPUTED_VALUE"""),108836.0)</f>
        <v>108836</v>
      </c>
      <c r="N69" s="214">
        <f>IFERROR(__xludf.DUMMYFUNCTION("""COMPUTED_VALUE"""),0.5433)</f>
        <v>0.5433</v>
      </c>
      <c r="O69" s="213">
        <f>IFERROR(__xludf.DUMMYFUNCTION("""COMPUTED_VALUE"""),3707.0)</f>
        <v>3707</v>
      </c>
      <c r="P69" s="213">
        <f>IFERROR(__xludf.DUMMYFUNCTION("""COMPUTED_VALUE"""),3589.0)</f>
        <v>3589</v>
      </c>
      <c r="Q69" s="214">
        <f>IFERROR(__xludf.DUMMYFUNCTION("""COMPUTED_VALUE"""),0.0179)</f>
        <v>0.0179</v>
      </c>
      <c r="R69" s="214">
        <f>IFERROR(__xludf.DUMMYFUNCTION("""COMPUTED_VALUE"""),0.033)</f>
        <v>0.033</v>
      </c>
      <c r="S69" s="213">
        <f>IFERROR(__xludf.DUMMYFUNCTION("""COMPUTED_VALUE"""),0.0)</f>
        <v>0</v>
      </c>
      <c r="T69" s="213">
        <f>IFERROR(__xludf.DUMMYFUNCTION("""COMPUTED_VALUE"""),0.0)</f>
        <v>0</v>
      </c>
      <c r="U69" s="213">
        <f>IFERROR(__xludf.DUMMYFUNCTION("""COMPUTED_VALUE"""),0.0)</f>
        <v>0</v>
      </c>
      <c r="V69" s="101" t="str">
        <f>IFERROR(__xludf.DUMMYFUNCTION("""COMPUTED_VALUE"""),"offline")</f>
        <v>offline</v>
      </c>
      <c r="W69" s="101" t="str">
        <f>IFERROR(__xludf.DUMMYFUNCTION("""COMPUTED_VALUE"""),"simple")</f>
        <v>simple</v>
      </c>
      <c r="X69" s="101" t="str">
        <f>IFERROR(__xludf.DUMMYFUNCTION("""COMPUTED_VALUE"""),"No Brief")</f>
        <v>No Brief</v>
      </c>
      <c r="Y69" s="101" t="str">
        <f>IFERROR(__xludf.DUMMYFUNCTION("""COMPUTED_VALUE"""),"8th to 10th May")</f>
        <v>8th to 10th May</v>
      </c>
      <c r="Z69" s="101" t="str">
        <f>IFERROR(__xludf.DUMMYFUNCTION("""COMPUTED_VALUE"""),"69faf2b6ababb8ba212b9832")</f>
        <v>69faf2b6ababb8ba212b9832</v>
      </c>
      <c r="AA69" s="213">
        <f>IFERROR(__xludf.DUMMYFUNCTION("""COMPUTED_VALUE"""),1580.0)</f>
        <v>1580</v>
      </c>
      <c r="AB69" s="213"/>
      <c r="AC69" s="213">
        <f>IFERROR(__xludf.DUMMYFUNCTION("""COMPUTED_VALUE"""),1580.0)</f>
        <v>1580</v>
      </c>
      <c r="AD69" s="213">
        <f>IFERROR(__xludf.DUMMYFUNCTION("""COMPUTED_VALUE"""),3312116.0)</f>
        <v>3312116</v>
      </c>
      <c r="AE69" s="213"/>
      <c r="AF69" s="213">
        <f>IFERROR(__xludf.DUMMYFUNCTION("""COMPUTED_VALUE"""),3312116.0)</f>
        <v>3312116</v>
      </c>
      <c r="AG69" s="282"/>
      <c r="AH69" s="282"/>
      <c r="AI69" s="282"/>
      <c r="AJ69" s="303"/>
      <c r="AK69" s="303"/>
      <c r="AL69" s="303"/>
      <c r="AM69" s="282"/>
      <c r="AN69" s="282"/>
      <c r="AO69" s="282"/>
      <c r="AP69" s="282"/>
      <c r="AQ69" s="282"/>
      <c r="AR69" s="282"/>
      <c r="AS69" s="282"/>
      <c r="AT69" s="282"/>
      <c r="AU69" s="282"/>
      <c r="AV69" s="282"/>
      <c r="AW69" s="282"/>
      <c r="AX69" s="282"/>
      <c r="AY69" s="282"/>
      <c r="AZ69" s="282"/>
    </row>
    <row r="70">
      <c r="A70" s="209">
        <f>IFERROR(__xludf.DUMMYFUNCTION("""COMPUTED_VALUE"""),46164.0)</f>
        <v>46164</v>
      </c>
      <c r="B70" s="247">
        <f>IFERROR(__xludf.DUMMYFUNCTION("""COMPUTED_VALUE"""),0.6666666666678793)</f>
        <v>0.6666666667</v>
      </c>
      <c r="C70" s="211" t="str">
        <f>IFERROR(__xludf.DUMMYFUNCTION("""COMPUTED_VALUE"""),"Whatsapp")</f>
        <v>Whatsapp</v>
      </c>
      <c r="D70" s="211" t="str">
        <f>IFERROR(__xludf.DUMMYFUNCTION("""COMPUTED_VALUE"""),"Promotional")</f>
        <v>Promotional</v>
      </c>
      <c r="E70" s="211" t="str">
        <f>IFERROR(__xludf.DUMMYFUNCTION("""COMPUTED_VALUE"""),"R&amp;B")</f>
        <v>R&amp;B</v>
      </c>
      <c r="F70" s="211" t="str">
        <f>IFERROR(__xludf.DUMMYFUNCTION("""COMPUTED_VALUE"""),"EMT - MAY 2026")</f>
        <v>EMT - MAY 2026</v>
      </c>
      <c r="G70" s="211" t="str">
        <f>IFERROR(__xludf.DUMMYFUNCTION("""COMPUTED_VALUE"""),"EMT_Round 3")</f>
        <v>EMT_Round 3</v>
      </c>
      <c r="H70" s="212" t="str">
        <f>IFERROR(__xludf.DUMMYFUNCTION("""COMPUTED_VALUE"""),"RB_OFF_Festive_1, RB_OFF_Festive_2, RB_OFF_Festive_3, RB_OFF_Festive_4, RB_OFF_Non_Festive_1, RB_OFF_Non_Festive_2, RB_OFF_Non_Festive_3, RB_OFF_Non_Festive_4")</f>
        <v>RB_OFF_Festive_1, RB_OFF_Festive_2, RB_OFF_Festive_3, RB_OFF_Festive_4, RB_OFF_Non_Festive_1, RB_OFF_Non_Festive_2, RB_OFF_Non_Festive_3, RB_OFF_Non_Festive_4</v>
      </c>
      <c r="I70" s="212" t="str">
        <f>IFERROR(__xludf.DUMMYFUNCTION("""COMPUTED_VALUE"""),"Customers who have shopped at least once between Feb 19th 2026 to March 20th 2026 with Txn_Store_Code RB020, RB009, RB016, RB010, RB021, RB006, RB001, RB017, RB014, RB011, RB002, RB005, 1284, 1283, RB004, RB022, RB018, RB019, RB013, RB008, 1296, 1281, 130"&amp;"5, 1336, 1299, 1286, 1329, 1345, RB025")</f>
        <v>Customers who have shopped at least once between Feb 19th 2026 to March 20th 2026 with Txn_Store_Code RB020, RB009, RB016, RB010, RB021, RB006, RB001, RB017, RB014, RB011, RB002, RB005, 1284, 1283, RB004, RB022, RB018, RB019, RB013, RB008, 1296, 1281, 1305, 1336, 1299, 1286, 1329, 1345, RB025</v>
      </c>
      <c r="J70" s="213">
        <f>IFERROR(__xludf.DUMMYFUNCTION("""COMPUTED_VALUE"""),488685.0)</f>
        <v>488685</v>
      </c>
      <c r="K70" s="213">
        <f>IFERROR(__xludf.DUMMYFUNCTION("""COMPUTED_VALUE"""),311210.0)</f>
        <v>311210</v>
      </c>
      <c r="L70" s="214">
        <f>IFERROR(__xludf.DUMMYFUNCTION("""COMPUTED_VALUE"""),0.6368)</f>
        <v>0.6368</v>
      </c>
      <c r="M70" s="213">
        <f>IFERROR(__xludf.DUMMYFUNCTION("""COMPUTED_VALUE"""),170412.0)</f>
        <v>170412</v>
      </c>
      <c r="N70" s="214">
        <f>IFERROR(__xludf.DUMMYFUNCTION("""COMPUTED_VALUE"""),0.5476)</f>
        <v>0.5476</v>
      </c>
      <c r="O70" s="213">
        <f>IFERROR(__xludf.DUMMYFUNCTION("""COMPUTED_VALUE"""),7828.0)</f>
        <v>7828</v>
      </c>
      <c r="P70" s="213">
        <f>IFERROR(__xludf.DUMMYFUNCTION("""COMPUTED_VALUE"""),7551.0)</f>
        <v>7551</v>
      </c>
      <c r="Q70" s="214">
        <f>IFERROR(__xludf.DUMMYFUNCTION("""COMPUTED_VALUE"""),0.0243)</f>
        <v>0.0243</v>
      </c>
      <c r="R70" s="214">
        <f>IFERROR(__xludf.DUMMYFUNCTION("""COMPUTED_VALUE"""),0.0443)</f>
        <v>0.0443</v>
      </c>
      <c r="S70" s="213">
        <f>IFERROR(__xludf.DUMMYFUNCTION("""COMPUTED_VALUE"""),0.0)</f>
        <v>0</v>
      </c>
      <c r="T70" s="213">
        <f>IFERROR(__xludf.DUMMYFUNCTION("""COMPUTED_VALUE"""),0.0)</f>
        <v>0</v>
      </c>
      <c r="U70" s="213">
        <f>IFERROR(__xludf.DUMMYFUNCTION("""COMPUTED_VALUE"""),0.0)</f>
        <v>0</v>
      </c>
      <c r="V70" s="101" t="str">
        <f>IFERROR(__xludf.DUMMYFUNCTION("""COMPUTED_VALUE"""),"offline")</f>
        <v>offline</v>
      </c>
      <c r="W70" s="101" t="str">
        <f>IFERROR(__xludf.DUMMYFUNCTION("""COMPUTED_VALUE"""),"Simple")</f>
        <v>Simple</v>
      </c>
      <c r="X70" s="101" t="str">
        <f>IFERROR(__xludf.DUMMYFUNCTION("""COMPUTED_VALUE"""),"Store Specific")</f>
        <v>Store Specific</v>
      </c>
      <c r="Y70" s="101" t="str">
        <f>IFERROR(__xludf.DUMMYFUNCTION("""COMPUTED_VALUE"""),"22nd to 24th May")</f>
        <v>22nd to 24th May</v>
      </c>
      <c r="Z70" s="101" t="str">
        <f>IFERROR(__xludf.DUMMYFUNCTION("""COMPUTED_VALUE"""),"6a0a995b4b6a2ecaaa855bbc")</f>
        <v>6a0a995b4b6a2ecaaa855bbc</v>
      </c>
      <c r="AA70" s="213">
        <f>IFERROR(__xludf.DUMMYFUNCTION("""COMPUTED_VALUE"""),2611.0)</f>
        <v>2611</v>
      </c>
      <c r="AB70" s="213"/>
      <c r="AC70" s="213">
        <f>IFERROR(__xludf.DUMMYFUNCTION("""COMPUTED_VALUE"""),2611.0)</f>
        <v>2611</v>
      </c>
      <c r="AD70" s="213">
        <f>IFERROR(__xludf.DUMMYFUNCTION("""COMPUTED_VALUE"""),5655674.0)</f>
        <v>5655674</v>
      </c>
      <c r="AE70" s="213"/>
      <c r="AF70" s="213">
        <f>IFERROR(__xludf.DUMMYFUNCTION("""COMPUTED_VALUE"""),5655674.0)</f>
        <v>5655674</v>
      </c>
      <c r="AG70" s="282"/>
      <c r="AH70" s="282"/>
      <c r="AI70" s="282"/>
      <c r="AJ70" s="303"/>
      <c r="AK70" s="303"/>
      <c r="AL70" s="303"/>
      <c r="AM70" s="282"/>
      <c r="AN70" s="282"/>
      <c r="AO70" s="282"/>
      <c r="AP70" s="282"/>
      <c r="AQ70" s="282"/>
      <c r="AR70" s="282"/>
      <c r="AS70" s="282"/>
      <c r="AT70" s="282"/>
      <c r="AU70" s="282"/>
      <c r="AV70" s="282"/>
      <c r="AW70" s="282"/>
      <c r="AX70" s="282"/>
      <c r="AY70" s="282"/>
      <c r="AZ70" s="282"/>
    </row>
    <row r="71">
      <c r="A71" s="209">
        <f>IFERROR(__xludf.DUMMYFUNCTION("""COMPUTED_VALUE"""),46185.0)</f>
        <v>46185</v>
      </c>
      <c r="B71" s="247">
        <f>IFERROR(__xludf.DUMMYFUNCTION("""COMPUTED_VALUE"""),0.75)</f>
        <v>0.75</v>
      </c>
      <c r="C71" s="211" t="str">
        <f>IFERROR(__xludf.DUMMYFUNCTION("""COMPUTED_VALUE"""),"Whatsapp")</f>
        <v>Whatsapp</v>
      </c>
      <c r="D71" s="211" t="str">
        <f>IFERROR(__xludf.DUMMYFUNCTION("""COMPUTED_VALUE"""),"Fallback campaign")</f>
        <v>Fallback campaign</v>
      </c>
      <c r="E71" s="211" t="str">
        <f>IFERROR(__xludf.DUMMYFUNCTION("""COMPUTED_VALUE"""),"R&amp;B")</f>
        <v>R&amp;B</v>
      </c>
      <c r="F71" s="211" t="str">
        <f>IFERROR(__xludf.DUMMYFUNCTION("""COMPUTED_VALUE"""),"EOSS 2026 - JUNE - 25% TO 60% off")</f>
        <v>EOSS 2026 - JUNE - 25% TO 60% off</v>
      </c>
      <c r="G71" s="211" t="str">
        <f>IFERROR(__xludf.DUMMYFUNCTION("""COMPUTED_VALUE"""),"Fallback - Comm 1 for EOSS - 45 Days")</f>
        <v>Fallback - Comm 1 for EOSS - 45 Days</v>
      </c>
      <c r="H71" s="212" t="str">
        <f>IFERROR(__xludf.DUMMYFUNCTION("""COMPUTED_VALUE"""),"RB_45D_Purchasers + RB_Internal")</f>
        <v>RB_45D_Purchasers + RB_Internal</v>
      </c>
      <c r="I71" s="212" t="str">
        <f>IFERROR(__xludf.DUMMYFUNCTION("""COMPUTED_VALUE"""),"RCS Undelivered")</f>
        <v>RCS Undelivered</v>
      </c>
      <c r="J71" s="213">
        <f>IFERROR(__xludf.DUMMYFUNCTION("""COMPUTED_VALUE"""),15.0)</f>
        <v>15</v>
      </c>
      <c r="K71" s="213">
        <f>IFERROR(__xludf.DUMMYFUNCTION("""COMPUTED_VALUE"""),11.0)</f>
        <v>11</v>
      </c>
      <c r="L71" s="214">
        <f>IFERROR(__xludf.DUMMYFUNCTION("""COMPUTED_VALUE"""),0.7333)</f>
        <v>0.7333</v>
      </c>
      <c r="M71" s="213">
        <f>IFERROR(__xludf.DUMMYFUNCTION("""COMPUTED_VALUE"""),7.0)</f>
        <v>7</v>
      </c>
      <c r="N71" s="214">
        <f>IFERROR(__xludf.DUMMYFUNCTION("""COMPUTED_VALUE"""),0.6364)</f>
        <v>0.6364</v>
      </c>
      <c r="O71" s="213">
        <f>IFERROR(__xludf.DUMMYFUNCTION("""COMPUTED_VALUE"""),0.0)</f>
        <v>0</v>
      </c>
      <c r="P71" s="213">
        <f>IFERROR(__xludf.DUMMYFUNCTION("""COMPUTED_VALUE"""),0.0)</f>
        <v>0</v>
      </c>
      <c r="Q71" s="214">
        <f>IFERROR(__xludf.DUMMYFUNCTION("""COMPUTED_VALUE"""),0.0)</f>
        <v>0</v>
      </c>
      <c r="R71" s="214">
        <f>IFERROR(__xludf.DUMMYFUNCTION("""COMPUTED_VALUE"""),0.0)</f>
        <v>0</v>
      </c>
      <c r="S71" s="213">
        <f>IFERROR(__xludf.DUMMYFUNCTION("""COMPUTED_VALUE"""),0.0)</f>
        <v>0</v>
      </c>
      <c r="T71" s="213">
        <f>IFERROR(__xludf.DUMMYFUNCTION("""COMPUTED_VALUE"""),0.0)</f>
        <v>0</v>
      </c>
      <c r="U71" s="213">
        <f>IFERROR(__xludf.DUMMYFUNCTION("""COMPUTED_VALUE"""),0.0)</f>
        <v>0</v>
      </c>
      <c r="V71" s="101" t="str">
        <f>IFERROR(__xludf.DUMMYFUNCTION("""COMPUTED_VALUE"""),"overall")</f>
        <v>overall</v>
      </c>
      <c r="W71" s="101" t="str">
        <f>IFERROR(__xludf.DUMMYFUNCTION("""COMPUTED_VALUE"""),"simple")</f>
        <v>simple</v>
      </c>
      <c r="X71" s="101" t="str">
        <f>IFERROR(__xludf.DUMMYFUNCTION("""COMPUTED_VALUE"""),"Generic")</f>
        <v>Generic</v>
      </c>
      <c r="Y71" s="101" t="str">
        <f>IFERROR(__xludf.DUMMYFUNCTION("""COMPUTED_VALUE"""),"12th June to 14th June")</f>
        <v>12th June to 14th June</v>
      </c>
      <c r="Z71" s="101" t="str">
        <f>IFERROR(__xludf.DUMMYFUNCTION("""COMPUTED_VALUE"""),"6a27fc798f123033b13ee451")</f>
        <v>6a27fc798f123033b13ee451</v>
      </c>
      <c r="AA71" s="213">
        <f>IFERROR(__xludf.DUMMYFUNCTION("""COMPUTED_VALUE"""),3.0)</f>
        <v>3</v>
      </c>
      <c r="AB71" s="213">
        <f>IFERROR(__xludf.DUMMYFUNCTION("""COMPUTED_VALUE"""),0.0)</f>
        <v>0</v>
      </c>
      <c r="AC71" s="213">
        <f>IFERROR(__xludf.DUMMYFUNCTION("""COMPUTED_VALUE"""),3.0)</f>
        <v>3</v>
      </c>
      <c r="AD71" s="213">
        <f>IFERROR(__xludf.DUMMYFUNCTION("""COMPUTED_VALUE"""),2916.0)</f>
        <v>2916</v>
      </c>
      <c r="AE71" s="213">
        <f>IFERROR(__xludf.DUMMYFUNCTION("""COMPUTED_VALUE"""),0.0)</f>
        <v>0</v>
      </c>
      <c r="AF71" s="213">
        <f>IFERROR(__xludf.DUMMYFUNCTION("""COMPUTED_VALUE"""),2916.0)</f>
        <v>2916</v>
      </c>
      <c r="AG71" s="282"/>
      <c r="AH71" s="282"/>
      <c r="AI71" s="282"/>
      <c r="AJ71" s="303"/>
      <c r="AK71" s="303"/>
      <c r="AL71" s="303"/>
      <c r="AM71" s="282"/>
      <c r="AN71" s="282"/>
      <c r="AO71" s="282"/>
      <c r="AP71" s="282"/>
      <c r="AQ71" s="282"/>
      <c r="AR71" s="282"/>
      <c r="AS71" s="282"/>
      <c r="AT71" s="282"/>
      <c r="AU71" s="282"/>
      <c r="AV71" s="282"/>
      <c r="AW71" s="282"/>
      <c r="AX71" s="282"/>
      <c r="AY71" s="282"/>
      <c r="AZ71" s="282"/>
    </row>
    <row r="72">
      <c r="A72" s="209">
        <f>IFERROR(__xludf.DUMMYFUNCTION("""COMPUTED_VALUE"""),46185.0)</f>
        <v>46185</v>
      </c>
      <c r="B72" s="247">
        <f>IFERROR(__xludf.DUMMYFUNCTION("""COMPUTED_VALUE"""),0.75)</f>
        <v>0.75</v>
      </c>
      <c r="C72" s="211" t="str">
        <f>IFERROR(__xludf.DUMMYFUNCTION("""COMPUTED_VALUE"""),"Whatsapp")</f>
        <v>Whatsapp</v>
      </c>
      <c r="D72" s="211" t="str">
        <f>IFERROR(__xludf.DUMMYFUNCTION("""COMPUTED_VALUE"""),"Fallback campaign")</f>
        <v>Fallback campaign</v>
      </c>
      <c r="E72" s="211" t="str">
        <f>IFERROR(__xludf.DUMMYFUNCTION("""COMPUTED_VALUE"""),"R&amp;B")</f>
        <v>R&amp;B</v>
      </c>
      <c r="F72" s="211" t="str">
        <f>IFERROR(__xludf.DUMMYFUNCTION("""COMPUTED_VALUE"""),"EOSS 2026 - JUNE - 25% TO 60% off")</f>
        <v>EOSS 2026 - JUNE - 25% TO 60% off</v>
      </c>
      <c r="G72" s="211" t="str">
        <f>IFERROR(__xludf.DUMMYFUNCTION("""COMPUTED_VALUE"""),"Fallback - Comm 1 for EOSS - 90 Days")</f>
        <v>Fallback - Comm 1 for EOSS - 90 Days</v>
      </c>
      <c r="H72" s="212" t="str">
        <f>IFERROR(__xludf.DUMMYFUNCTION("""COMPUTED_VALUE"""),"RB_90D_Purchasers")</f>
        <v>RB_90D_Purchasers</v>
      </c>
      <c r="I72" s="212" t="str">
        <f>IFERROR(__xludf.DUMMYFUNCTION("""COMPUTED_VALUE"""),"RCS Undelivered")</f>
        <v>RCS Undelivered</v>
      </c>
      <c r="J72" s="213">
        <f>IFERROR(__xludf.DUMMYFUNCTION("""COMPUTED_VALUE"""),56508.0)</f>
        <v>56508</v>
      </c>
      <c r="K72" s="213">
        <f>IFERROR(__xludf.DUMMYFUNCTION("""COMPUTED_VALUE"""),32075.0)</f>
        <v>32075</v>
      </c>
      <c r="L72" s="214">
        <f>IFERROR(__xludf.DUMMYFUNCTION("""COMPUTED_VALUE"""),0.5676)</f>
        <v>0.5676</v>
      </c>
      <c r="M72" s="213">
        <f>IFERROR(__xludf.DUMMYFUNCTION("""COMPUTED_VALUE"""),15011.0)</f>
        <v>15011</v>
      </c>
      <c r="N72" s="214">
        <f>IFERROR(__xludf.DUMMYFUNCTION("""COMPUTED_VALUE"""),0.4679)</f>
        <v>0.4679</v>
      </c>
      <c r="O72" s="213">
        <f>IFERROR(__xludf.DUMMYFUNCTION("""COMPUTED_VALUE"""),788.0)</f>
        <v>788</v>
      </c>
      <c r="P72" s="213">
        <f>IFERROR(__xludf.DUMMYFUNCTION("""COMPUTED_VALUE"""),764.0)</f>
        <v>764</v>
      </c>
      <c r="Q72" s="214">
        <f>IFERROR(__xludf.DUMMYFUNCTION("""COMPUTED_VALUE"""),0.0238)</f>
        <v>0.0238</v>
      </c>
      <c r="R72" s="214">
        <f>IFERROR(__xludf.DUMMYFUNCTION("""COMPUTED_VALUE"""),0.0509)</f>
        <v>0.0509</v>
      </c>
      <c r="S72" s="213">
        <f>IFERROR(__xludf.DUMMYFUNCTION("""COMPUTED_VALUE"""),0.0)</f>
        <v>0</v>
      </c>
      <c r="T72" s="213">
        <f>IFERROR(__xludf.DUMMYFUNCTION("""COMPUTED_VALUE"""),0.0)</f>
        <v>0</v>
      </c>
      <c r="U72" s="213">
        <f>IFERROR(__xludf.DUMMYFUNCTION("""COMPUTED_VALUE"""),0.0)</f>
        <v>0</v>
      </c>
      <c r="V72" s="101" t="str">
        <f>IFERROR(__xludf.DUMMYFUNCTION("""COMPUTED_VALUE"""),"overall")</f>
        <v>overall</v>
      </c>
      <c r="W72" s="101" t="str">
        <f>IFERROR(__xludf.DUMMYFUNCTION("""COMPUTED_VALUE"""),"simple")</f>
        <v>simple</v>
      </c>
      <c r="X72" s="101" t="str">
        <f>IFERROR(__xludf.DUMMYFUNCTION("""COMPUTED_VALUE"""),"Generic")</f>
        <v>Generic</v>
      </c>
      <c r="Y72" s="101" t="str">
        <f>IFERROR(__xludf.DUMMYFUNCTION("""COMPUTED_VALUE"""),"12th June to 14th June")</f>
        <v>12th June to 14th June</v>
      </c>
      <c r="Z72" s="101" t="str">
        <f>IFERROR(__xludf.DUMMYFUNCTION("""COMPUTED_VALUE"""),"6a27fca080473f77e31a0746")</f>
        <v>6a27fca080473f77e31a0746</v>
      </c>
      <c r="AA72" s="213">
        <f>IFERROR(__xludf.DUMMYFUNCTION("""COMPUTED_VALUE"""),293.0)</f>
        <v>293</v>
      </c>
      <c r="AB72" s="213">
        <f>IFERROR(__xludf.DUMMYFUNCTION("""COMPUTED_VALUE"""),1.0)</f>
        <v>1</v>
      </c>
      <c r="AC72" s="213">
        <f>IFERROR(__xludf.DUMMYFUNCTION("""COMPUTED_VALUE"""),292.0)</f>
        <v>292</v>
      </c>
      <c r="AD72" s="213">
        <f>IFERROR(__xludf.DUMMYFUNCTION("""COMPUTED_VALUE"""),564573.0)</f>
        <v>564573</v>
      </c>
      <c r="AE72" s="213">
        <f>IFERROR(__xludf.DUMMYFUNCTION("""COMPUTED_VALUE"""),1299.0)</f>
        <v>1299</v>
      </c>
      <c r="AF72" s="213">
        <f>IFERROR(__xludf.DUMMYFUNCTION("""COMPUTED_VALUE"""),563274.0)</f>
        <v>563274</v>
      </c>
      <c r="AG72" s="282"/>
      <c r="AH72" s="282"/>
      <c r="AI72" s="282"/>
      <c r="AJ72" s="303"/>
      <c r="AK72" s="303"/>
      <c r="AL72" s="303"/>
      <c r="AM72" s="282"/>
      <c r="AN72" s="282"/>
      <c r="AO72" s="282"/>
      <c r="AP72" s="282"/>
      <c r="AQ72" s="282"/>
      <c r="AR72" s="282"/>
      <c r="AS72" s="282"/>
      <c r="AT72" s="282"/>
      <c r="AU72" s="282"/>
      <c r="AV72" s="282"/>
      <c r="AW72" s="282"/>
      <c r="AX72" s="282"/>
      <c r="AY72" s="282"/>
      <c r="AZ72" s="282"/>
    </row>
    <row r="73">
      <c r="A73" s="209">
        <f>IFERROR(__xludf.DUMMYFUNCTION("""COMPUTED_VALUE"""),46185.0)</f>
        <v>46185</v>
      </c>
      <c r="B73" s="247">
        <f>IFERROR(__xludf.DUMMYFUNCTION("""COMPUTED_VALUE"""),0.75)</f>
        <v>0.75</v>
      </c>
      <c r="C73" s="211" t="str">
        <f>IFERROR(__xludf.DUMMYFUNCTION("""COMPUTED_VALUE"""),"Whatsapp")</f>
        <v>Whatsapp</v>
      </c>
      <c r="D73" s="211" t="str">
        <f>IFERROR(__xludf.DUMMYFUNCTION("""COMPUTED_VALUE"""),"Fallback campaign")</f>
        <v>Fallback campaign</v>
      </c>
      <c r="E73" s="211" t="str">
        <f>IFERROR(__xludf.DUMMYFUNCTION("""COMPUTED_VALUE"""),"R&amp;B")</f>
        <v>R&amp;B</v>
      </c>
      <c r="F73" s="211" t="str">
        <f>IFERROR(__xludf.DUMMYFUNCTION("""COMPUTED_VALUE"""),"EOSS 2026 - JUNE - 25% TO 60% off")</f>
        <v>EOSS 2026 - JUNE - 25% TO 60% off</v>
      </c>
      <c r="G73" s="211" t="str">
        <f>IFERROR(__xludf.DUMMYFUNCTION("""COMPUTED_VALUE"""),"Fallback - Comm 1 for EOSS - 135 Days")</f>
        <v>Fallback - Comm 1 for EOSS - 135 Days</v>
      </c>
      <c r="H73" s="212" t="str">
        <f>IFERROR(__xludf.DUMMYFUNCTION("""COMPUTED_VALUE"""),"RB_135D_Purchasers")</f>
        <v>RB_135D_Purchasers</v>
      </c>
      <c r="I73" s="212" t="str">
        <f>IFERROR(__xludf.DUMMYFUNCTION("""COMPUTED_VALUE"""),"RCS Undelivered")</f>
        <v>RCS Undelivered</v>
      </c>
      <c r="J73" s="213">
        <f>IFERROR(__xludf.DUMMYFUNCTION("""COMPUTED_VALUE"""),29814.0)</f>
        <v>29814</v>
      </c>
      <c r="K73" s="213">
        <f>IFERROR(__xludf.DUMMYFUNCTION("""COMPUTED_VALUE"""),16956.0)</f>
        <v>16956</v>
      </c>
      <c r="L73" s="214">
        <f>IFERROR(__xludf.DUMMYFUNCTION("""COMPUTED_VALUE"""),0.5687)</f>
        <v>0.5687</v>
      </c>
      <c r="M73" s="213">
        <f>IFERROR(__xludf.DUMMYFUNCTION("""COMPUTED_VALUE"""),7826.0)</f>
        <v>7826</v>
      </c>
      <c r="N73" s="214">
        <f>IFERROR(__xludf.DUMMYFUNCTION("""COMPUTED_VALUE"""),0.4616)</f>
        <v>0.4616</v>
      </c>
      <c r="O73" s="213">
        <f>IFERROR(__xludf.DUMMYFUNCTION("""COMPUTED_VALUE"""),402.0)</f>
        <v>402</v>
      </c>
      <c r="P73" s="213">
        <f>IFERROR(__xludf.DUMMYFUNCTION("""COMPUTED_VALUE"""),382.0)</f>
        <v>382</v>
      </c>
      <c r="Q73" s="214">
        <f>IFERROR(__xludf.DUMMYFUNCTION("""COMPUTED_VALUE"""),0.0225)</f>
        <v>0.0225</v>
      </c>
      <c r="R73" s="214">
        <f>IFERROR(__xludf.DUMMYFUNCTION("""COMPUTED_VALUE"""),0.0488)</f>
        <v>0.0488</v>
      </c>
      <c r="S73" s="213">
        <f>IFERROR(__xludf.DUMMYFUNCTION("""COMPUTED_VALUE"""),0.0)</f>
        <v>0</v>
      </c>
      <c r="T73" s="213">
        <f>IFERROR(__xludf.DUMMYFUNCTION("""COMPUTED_VALUE"""),0.0)</f>
        <v>0</v>
      </c>
      <c r="U73" s="213">
        <f>IFERROR(__xludf.DUMMYFUNCTION("""COMPUTED_VALUE"""),0.0)</f>
        <v>0</v>
      </c>
      <c r="V73" s="101" t="str">
        <f>IFERROR(__xludf.DUMMYFUNCTION("""COMPUTED_VALUE"""),"overall")</f>
        <v>overall</v>
      </c>
      <c r="W73" s="101" t="str">
        <f>IFERROR(__xludf.DUMMYFUNCTION("""COMPUTED_VALUE"""),"simple")</f>
        <v>simple</v>
      </c>
      <c r="X73" s="101" t="str">
        <f>IFERROR(__xludf.DUMMYFUNCTION("""COMPUTED_VALUE"""),"Generic")</f>
        <v>Generic</v>
      </c>
      <c r="Y73" s="101" t="str">
        <f>IFERROR(__xludf.DUMMYFUNCTION("""COMPUTED_VALUE"""),"12th June to 14th June")</f>
        <v>12th June to 14th June</v>
      </c>
      <c r="Z73" s="101" t="str">
        <f>IFERROR(__xludf.DUMMYFUNCTION("""COMPUTED_VALUE"""),"6a27fcd44a7972a3c5c98b12")</f>
        <v>6a27fcd44a7972a3c5c98b12</v>
      </c>
      <c r="AA73" s="213">
        <f>IFERROR(__xludf.DUMMYFUNCTION("""COMPUTED_VALUE"""),166.0)</f>
        <v>166</v>
      </c>
      <c r="AB73" s="213">
        <f>IFERROR(__xludf.DUMMYFUNCTION("""COMPUTED_VALUE"""),0.0)</f>
        <v>0</v>
      </c>
      <c r="AC73" s="213">
        <f>IFERROR(__xludf.DUMMYFUNCTION("""COMPUTED_VALUE"""),166.0)</f>
        <v>166</v>
      </c>
      <c r="AD73" s="213">
        <f>IFERROR(__xludf.DUMMYFUNCTION("""COMPUTED_VALUE"""),313631.0)</f>
        <v>313631</v>
      </c>
      <c r="AE73" s="213">
        <f>IFERROR(__xludf.DUMMYFUNCTION("""COMPUTED_VALUE"""),0.0)</f>
        <v>0</v>
      </c>
      <c r="AF73" s="213">
        <f>IFERROR(__xludf.DUMMYFUNCTION("""COMPUTED_VALUE"""),313631.0)</f>
        <v>313631</v>
      </c>
      <c r="AG73" s="282"/>
      <c r="AH73" s="282"/>
      <c r="AI73" s="282"/>
      <c r="AJ73" s="303"/>
      <c r="AK73" s="303"/>
      <c r="AL73" s="303"/>
      <c r="AM73" s="282"/>
      <c r="AN73" s="282"/>
      <c r="AO73" s="282"/>
      <c r="AP73" s="282"/>
      <c r="AQ73" s="282"/>
      <c r="AR73" s="282"/>
      <c r="AS73" s="282"/>
      <c r="AT73" s="282"/>
      <c r="AU73" s="282"/>
      <c r="AV73" s="282"/>
      <c r="AW73" s="282"/>
      <c r="AX73" s="282"/>
      <c r="AY73" s="282"/>
      <c r="AZ73" s="282"/>
    </row>
    <row r="74">
      <c r="A74" s="209">
        <f>IFERROR(__xludf.DUMMYFUNCTION("""COMPUTED_VALUE"""),46185.0)</f>
        <v>46185</v>
      </c>
      <c r="B74" s="247">
        <f>IFERROR(__xludf.DUMMYFUNCTION("""COMPUTED_VALUE"""),0.75)</f>
        <v>0.75</v>
      </c>
      <c r="C74" s="211" t="str">
        <f>IFERROR(__xludf.DUMMYFUNCTION("""COMPUTED_VALUE"""),"Whatsapp")</f>
        <v>Whatsapp</v>
      </c>
      <c r="D74" s="211" t="str">
        <f>IFERROR(__xludf.DUMMYFUNCTION("""COMPUTED_VALUE"""),"Fallback campaign")</f>
        <v>Fallback campaign</v>
      </c>
      <c r="E74" s="211" t="str">
        <f>IFERROR(__xludf.DUMMYFUNCTION("""COMPUTED_VALUE"""),"R&amp;B")</f>
        <v>R&amp;B</v>
      </c>
      <c r="F74" s="211" t="str">
        <f>IFERROR(__xludf.DUMMYFUNCTION("""COMPUTED_VALUE"""),"EOSS 2026 - JUNE - 25% TO 60% off")</f>
        <v>EOSS 2026 - JUNE - 25% TO 60% off</v>
      </c>
      <c r="G74" s="211" t="str">
        <f>IFERROR(__xludf.DUMMYFUNCTION("""COMPUTED_VALUE"""),"Fallback - Comm 1 for EOSS - 180 Days")</f>
        <v>Fallback - Comm 1 for EOSS - 180 Days</v>
      </c>
      <c r="H74" s="212" t="str">
        <f>IFERROR(__xludf.DUMMYFUNCTION("""COMPUTED_VALUE"""),"RB_180D_Purchasers")</f>
        <v>RB_180D_Purchasers</v>
      </c>
      <c r="I74" s="212" t="str">
        <f>IFERROR(__xludf.DUMMYFUNCTION("""COMPUTED_VALUE"""),"RCS Undelivered")</f>
        <v>RCS Undelivered</v>
      </c>
      <c r="J74" s="213">
        <f>IFERROR(__xludf.DUMMYFUNCTION("""COMPUTED_VALUE"""),44020.0)</f>
        <v>44020</v>
      </c>
      <c r="K74" s="213">
        <f>IFERROR(__xludf.DUMMYFUNCTION("""COMPUTED_VALUE"""),24137.0)</f>
        <v>24137</v>
      </c>
      <c r="L74" s="214">
        <f>IFERROR(__xludf.DUMMYFUNCTION("""COMPUTED_VALUE"""),0.5483)</f>
        <v>0.5483</v>
      </c>
      <c r="M74" s="213">
        <f>IFERROR(__xludf.DUMMYFUNCTION("""COMPUTED_VALUE"""),11114.0)</f>
        <v>11114</v>
      </c>
      <c r="N74" s="214">
        <f>IFERROR(__xludf.DUMMYFUNCTION("""COMPUTED_VALUE"""),0.4605)</f>
        <v>0.4605</v>
      </c>
      <c r="O74" s="213">
        <f>IFERROR(__xludf.DUMMYFUNCTION("""COMPUTED_VALUE"""),554.0)</f>
        <v>554</v>
      </c>
      <c r="P74" s="213">
        <f>IFERROR(__xludf.DUMMYFUNCTION("""COMPUTED_VALUE"""),536.0)</f>
        <v>536</v>
      </c>
      <c r="Q74" s="214">
        <f>IFERROR(__xludf.DUMMYFUNCTION("""COMPUTED_VALUE"""),0.0222)</f>
        <v>0.0222</v>
      </c>
      <c r="R74" s="214">
        <f>IFERROR(__xludf.DUMMYFUNCTION("""COMPUTED_VALUE"""),0.0482)</f>
        <v>0.0482</v>
      </c>
      <c r="S74" s="213">
        <f>IFERROR(__xludf.DUMMYFUNCTION("""COMPUTED_VALUE"""),0.0)</f>
        <v>0</v>
      </c>
      <c r="T74" s="213">
        <f>IFERROR(__xludf.DUMMYFUNCTION("""COMPUTED_VALUE"""),0.0)</f>
        <v>0</v>
      </c>
      <c r="U74" s="213">
        <f>IFERROR(__xludf.DUMMYFUNCTION("""COMPUTED_VALUE"""),0.0)</f>
        <v>0</v>
      </c>
      <c r="V74" s="101" t="str">
        <f>IFERROR(__xludf.DUMMYFUNCTION("""COMPUTED_VALUE"""),"overall")</f>
        <v>overall</v>
      </c>
      <c r="W74" s="101" t="str">
        <f>IFERROR(__xludf.DUMMYFUNCTION("""COMPUTED_VALUE"""),"simple")</f>
        <v>simple</v>
      </c>
      <c r="X74" s="101" t="str">
        <f>IFERROR(__xludf.DUMMYFUNCTION("""COMPUTED_VALUE"""),"Generic")</f>
        <v>Generic</v>
      </c>
      <c r="Y74" s="101" t="str">
        <f>IFERROR(__xludf.DUMMYFUNCTION("""COMPUTED_VALUE"""),"12th June to 14th June")</f>
        <v>12th June to 14th June</v>
      </c>
      <c r="Z74" s="101" t="str">
        <f>IFERROR(__xludf.DUMMYFUNCTION("""COMPUTED_VALUE"""),"6a27fcf1851817b1cb0ea4d5")</f>
        <v>6a27fcf1851817b1cb0ea4d5</v>
      </c>
      <c r="AA74" s="213">
        <f>IFERROR(__xludf.DUMMYFUNCTION("""COMPUTED_VALUE"""),189.0)</f>
        <v>189</v>
      </c>
      <c r="AB74" s="213">
        <f>IFERROR(__xludf.DUMMYFUNCTION("""COMPUTED_VALUE"""),0.0)</f>
        <v>0</v>
      </c>
      <c r="AC74" s="213">
        <f>IFERROR(__xludf.DUMMYFUNCTION("""COMPUTED_VALUE"""),189.0)</f>
        <v>189</v>
      </c>
      <c r="AD74" s="213">
        <f>IFERROR(__xludf.DUMMYFUNCTION("""COMPUTED_VALUE"""),296748.0)</f>
        <v>296748</v>
      </c>
      <c r="AE74" s="213">
        <f>IFERROR(__xludf.DUMMYFUNCTION("""COMPUTED_VALUE"""),0.0)</f>
        <v>0</v>
      </c>
      <c r="AF74" s="213">
        <f>IFERROR(__xludf.DUMMYFUNCTION("""COMPUTED_VALUE"""),296748.0)</f>
        <v>296748</v>
      </c>
      <c r="AG74" s="282"/>
      <c r="AH74" s="282"/>
      <c r="AI74" s="282"/>
      <c r="AJ74" s="303"/>
      <c r="AK74" s="303"/>
      <c r="AL74" s="303"/>
      <c r="AM74" s="282"/>
      <c r="AN74" s="282"/>
      <c r="AO74" s="282"/>
      <c r="AP74" s="282"/>
      <c r="AQ74" s="282"/>
      <c r="AR74" s="282"/>
      <c r="AS74" s="282"/>
      <c r="AT74" s="282"/>
      <c r="AU74" s="282"/>
      <c r="AV74" s="282"/>
      <c r="AW74" s="282"/>
      <c r="AX74" s="282"/>
      <c r="AY74" s="282"/>
      <c r="AZ74" s="282"/>
    </row>
    <row r="75">
      <c r="A75" s="209">
        <f>IFERROR(__xludf.DUMMYFUNCTION("""COMPUTED_VALUE"""),46185.0)</f>
        <v>46185</v>
      </c>
      <c r="B75" s="247">
        <f>IFERROR(__xludf.DUMMYFUNCTION("""COMPUTED_VALUE"""),0.75)</f>
        <v>0.75</v>
      </c>
      <c r="C75" s="211" t="str">
        <f>IFERROR(__xludf.DUMMYFUNCTION("""COMPUTED_VALUE"""),"Whatsapp")</f>
        <v>Whatsapp</v>
      </c>
      <c r="D75" s="211" t="str">
        <f>IFERROR(__xludf.DUMMYFUNCTION("""COMPUTED_VALUE"""),"Fallback campaign")</f>
        <v>Fallback campaign</v>
      </c>
      <c r="E75" s="211" t="str">
        <f>IFERROR(__xludf.DUMMYFUNCTION("""COMPUTED_VALUE"""),"R&amp;B")</f>
        <v>R&amp;B</v>
      </c>
      <c r="F75" s="211" t="str">
        <f>IFERROR(__xludf.DUMMYFUNCTION("""COMPUTED_VALUE"""),"EOSS 2026 - JUNE - 25% TO 60% off")</f>
        <v>EOSS 2026 - JUNE - 25% TO 60% off</v>
      </c>
      <c r="G75" s="211" t="str">
        <f>IFERROR(__xludf.DUMMYFUNCTION("""COMPUTED_VALUE"""),"Fallback - Comm 1 for EOSS - Last EOSS")</f>
        <v>Fallback - Comm 1 for EOSS - Last EOSS</v>
      </c>
      <c r="H75" s="212" t="str">
        <f>IFERROR(__xludf.DUMMYFUNCTION("""COMPUTED_VALUE"""),"RB_Jun25_Aug25_Purchasers")</f>
        <v>RB_Jun25_Aug25_Purchasers</v>
      </c>
      <c r="I75" s="212" t="str">
        <f>IFERROR(__xludf.DUMMYFUNCTION("""COMPUTED_VALUE"""),"RCS Undelivered")</f>
        <v>RCS Undelivered</v>
      </c>
      <c r="J75" s="213">
        <f>IFERROR(__xludf.DUMMYFUNCTION("""COMPUTED_VALUE"""),34953.0)</f>
        <v>34953</v>
      </c>
      <c r="K75" s="213">
        <f>IFERROR(__xludf.DUMMYFUNCTION("""COMPUTED_VALUE"""),18593.0)</f>
        <v>18593</v>
      </c>
      <c r="L75" s="214">
        <f>IFERROR(__xludf.DUMMYFUNCTION("""COMPUTED_VALUE"""),0.5319)</f>
        <v>0.5319</v>
      </c>
      <c r="M75" s="213">
        <f>IFERROR(__xludf.DUMMYFUNCTION("""COMPUTED_VALUE"""),8357.0)</f>
        <v>8357</v>
      </c>
      <c r="N75" s="214">
        <f>IFERROR(__xludf.DUMMYFUNCTION("""COMPUTED_VALUE"""),0.4495)</f>
        <v>0.4495</v>
      </c>
      <c r="O75" s="213">
        <f>IFERROR(__xludf.DUMMYFUNCTION("""COMPUTED_VALUE"""),460.0)</f>
        <v>460</v>
      </c>
      <c r="P75" s="213">
        <f>IFERROR(__xludf.DUMMYFUNCTION("""COMPUTED_VALUE"""),441.0)</f>
        <v>441</v>
      </c>
      <c r="Q75" s="214">
        <f>IFERROR(__xludf.DUMMYFUNCTION("""COMPUTED_VALUE"""),0.0237)</f>
        <v>0.0237</v>
      </c>
      <c r="R75" s="214">
        <f>IFERROR(__xludf.DUMMYFUNCTION("""COMPUTED_VALUE"""),0.0528)</f>
        <v>0.0528</v>
      </c>
      <c r="S75" s="213">
        <f>IFERROR(__xludf.DUMMYFUNCTION("""COMPUTED_VALUE"""),0.0)</f>
        <v>0</v>
      </c>
      <c r="T75" s="213">
        <f>IFERROR(__xludf.DUMMYFUNCTION("""COMPUTED_VALUE"""),0.0)</f>
        <v>0</v>
      </c>
      <c r="U75" s="213">
        <f>IFERROR(__xludf.DUMMYFUNCTION("""COMPUTED_VALUE"""),0.0)</f>
        <v>0</v>
      </c>
      <c r="V75" s="101" t="str">
        <f>IFERROR(__xludf.DUMMYFUNCTION("""COMPUTED_VALUE"""),"overall")</f>
        <v>overall</v>
      </c>
      <c r="W75" s="101" t="str">
        <f>IFERROR(__xludf.DUMMYFUNCTION("""COMPUTED_VALUE"""),"simple")</f>
        <v>simple</v>
      </c>
      <c r="X75" s="101" t="str">
        <f>IFERROR(__xludf.DUMMYFUNCTION("""COMPUTED_VALUE"""),"Event Buyers")</f>
        <v>Event Buyers</v>
      </c>
      <c r="Y75" s="101" t="str">
        <f>IFERROR(__xludf.DUMMYFUNCTION("""COMPUTED_VALUE"""),"12th June to 14th June")</f>
        <v>12th June to 14th June</v>
      </c>
      <c r="Z75" s="101" t="str">
        <f>IFERROR(__xludf.DUMMYFUNCTION("""COMPUTED_VALUE"""),"6a27fd239fe482423c0f29d4")</f>
        <v>6a27fd239fe482423c0f29d4</v>
      </c>
      <c r="AA75" s="213">
        <f>IFERROR(__xludf.DUMMYFUNCTION("""COMPUTED_VALUE"""),143.0)</f>
        <v>143</v>
      </c>
      <c r="AB75" s="213">
        <f>IFERROR(__xludf.DUMMYFUNCTION("""COMPUTED_VALUE"""),0.0)</f>
        <v>0</v>
      </c>
      <c r="AC75" s="213">
        <f>IFERROR(__xludf.DUMMYFUNCTION("""COMPUTED_VALUE"""),143.0)</f>
        <v>143</v>
      </c>
      <c r="AD75" s="213">
        <f>IFERROR(__xludf.DUMMYFUNCTION("""COMPUTED_VALUE"""),244619.0)</f>
        <v>244619</v>
      </c>
      <c r="AE75" s="213">
        <f>IFERROR(__xludf.DUMMYFUNCTION("""COMPUTED_VALUE"""),0.0)</f>
        <v>0</v>
      </c>
      <c r="AF75" s="213">
        <f>IFERROR(__xludf.DUMMYFUNCTION("""COMPUTED_VALUE"""),244619.0)</f>
        <v>244619</v>
      </c>
      <c r="AG75" s="282"/>
      <c r="AH75" s="282"/>
      <c r="AI75" s="282"/>
      <c r="AJ75" s="303"/>
      <c r="AK75" s="303"/>
      <c r="AL75" s="303"/>
      <c r="AM75" s="282"/>
      <c r="AN75" s="282"/>
      <c r="AO75" s="282"/>
      <c r="AP75" s="282"/>
      <c r="AQ75" s="282"/>
      <c r="AR75" s="282"/>
      <c r="AS75" s="282"/>
      <c r="AT75" s="282"/>
      <c r="AU75" s="282"/>
      <c r="AV75" s="282"/>
      <c r="AW75" s="282"/>
      <c r="AX75" s="282"/>
      <c r="AY75" s="282"/>
      <c r="AZ75" s="282"/>
    </row>
    <row r="76">
      <c r="A76" s="209">
        <f>IFERROR(__xludf.DUMMYFUNCTION("""COMPUTED_VALUE"""),46185.0)</f>
        <v>46185</v>
      </c>
      <c r="B76" s="247">
        <f>IFERROR(__xludf.DUMMYFUNCTION("""COMPUTED_VALUE"""),0.6666666666678793)</f>
        <v>0.6666666667</v>
      </c>
      <c r="C76" s="211" t="str">
        <f>IFERROR(__xludf.DUMMYFUNCTION("""COMPUTED_VALUE"""),"Rcs")</f>
        <v>Rcs</v>
      </c>
      <c r="D76" s="211" t="str">
        <f>IFERROR(__xludf.DUMMYFUNCTION("""COMPUTED_VALUE"""),"Promotional")</f>
        <v>Promotional</v>
      </c>
      <c r="E76" s="211" t="str">
        <f>IFERROR(__xludf.DUMMYFUNCTION("""COMPUTED_VALUE"""),"R&amp;B")</f>
        <v>R&amp;B</v>
      </c>
      <c r="F76" s="211" t="str">
        <f>IFERROR(__xludf.DUMMYFUNCTION("""COMPUTED_VALUE"""),"EOSS 2026 - JUNE - 25% TO 60% off")</f>
        <v>EOSS 2026 - JUNE - 25% TO 60% off</v>
      </c>
      <c r="G76" s="211" t="str">
        <f>IFERROR(__xludf.DUMMYFUNCTION("""COMPUTED_VALUE"""),"Comm 1 for EOSS - 45 Days")</f>
        <v>Comm 1 for EOSS - 45 Days</v>
      </c>
      <c r="H76" s="212" t="str">
        <f>IFERROR(__xludf.DUMMYFUNCTION("""COMPUTED_VALUE"""),"RB_45D_Purchasers + RB_Internal")</f>
        <v>RB_45D_Purchasers + RB_Internal</v>
      </c>
      <c r="I76" s="212" t="str">
        <f>IFERROR(__xludf.DUMMYFUNCTION("""COMPUTED_VALUE"""),"Customers who shopped with us atleast once in the last 45 days")</f>
        <v>Customers who shopped with us atleast once in the last 45 days</v>
      </c>
      <c r="J76" s="213">
        <f>IFERROR(__xludf.DUMMYFUNCTION("""COMPUTED_VALUE"""),25.0)</f>
        <v>25</v>
      </c>
      <c r="K76" s="213">
        <f>IFERROR(__xludf.DUMMYFUNCTION("""COMPUTED_VALUE"""),9.0)</f>
        <v>9</v>
      </c>
      <c r="L76" s="214">
        <f>IFERROR(__xludf.DUMMYFUNCTION("""COMPUTED_VALUE"""),0.36)</f>
        <v>0.36</v>
      </c>
      <c r="M76" s="213">
        <f>IFERROR(__xludf.DUMMYFUNCTION("""COMPUTED_VALUE"""),2.0)</f>
        <v>2</v>
      </c>
      <c r="N76" s="214">
        <f>IFERROR(__xludf.DUMMYFUNCTION("""COMPUTED_VALUE"""),0.2222)</f>
        <v>0.2222</v>
      </c>
      <c r="O76" s="213">
        <f>IFERROR(__xludf.DUMMYFUNCTION("""COMPUTED_VALUE"""),0.0)</f>
        <v>0</v>
      </c>
      <c r="P76" s="213">
        <f>IFERROR(__xludf.DUMMYFUNCTION("""COMPUTED_VALUE"""),0.0)</f>
        <v>0</v>
      </c>
      <c r="Q76" s="214">
        <f>IFERROR(__xludf.DUMMYFUNCTION("""COMPUTED_VALUE"""),0.0)</f>
        <v>0</v>
      </c>
      <c r="R76" s="214">
        <f>IFERROR(__xludf.DUMMYFUNCTION("""COMPUTED_VALUE"""),0.0)</f>
        <v>0</v>
      </c>
      <c r="S76" s="213">
        <f>IFERROR(__xludf.DUMMYFUNCTION("""COMPUTED_VALUE"""),0.0)</f>
        <v>0</v>
      </c>
      <c r="T76" s="213">
        <f>IFERROR(__xludf.DUMMYFUNCTION("""COMPUTED_VALUE"""),0.0)</f>
        <v>0</v>
      </c>
      <c r="U76" s="213">
        <f>IFERROR(__xludf.DUMMYFUNCTION("""COMPUTED_VALUE"""),0.0)</f>
        <v>0</v>
      </c>
      <c r="V76" s="101" t="str">
        <f>IFERROR(__xludf.DUMMYFUNCTION("""COMPUTED_VALUE"""),"overall")</f>
        <v>overall</v>
      </c>
      <c r="W76" s="101" t="str">
        <f>IFERROR(__xludf.DUMMYFUNCTION("""COMPUTED_VALUE"""),"Rcs")</f>
        <v>Rcs</v>
      </c>
      <c r="X76" s="101" t="str">
        <f>IFERROR(__xludf.DUMMYFUNCTION("""COMPUTED_VALUE"""),"Generic")</f>
        <v>Generic</v>
      </c>
      <c r="Y76" s="101" t="str">
        <f>IFERROR(__xludf.DUMMYFUNCTION("""COMPUTED_VALUE"""),"12th June to 14th June")</f>
        <v>12th June to 14th June</v>
      </c>
      <c r="Z76" s="101" t="str">
        <f>IFERROR(__xludf.DUMMYFUNCTION("""COMPUTED_VALUE"""),"6a27faed851817b1cb0ea405")</f>
        <v>6a27faed851817b1cb0ea405</v>
      </c>
      <c r="AA76" s="213">
        <f>IFERROR(__xludf.DUMMYFUNCTION("""COMPUTED_VALUE"""),1.0)</f>
        <v>1</v>
      </c>
      <c r="AB76" s="213">
        <f>IFERROR(__xludf.DUMMYFUNCTION("""COMPUTED_VALUE"""),0.0)</f>
        <v>0</v>
      </c>
      <c r="AC76" s="213">
        <f>IFERROR(__xludf.DUMMYFUNCTION("""COMPUTED_VALUE"""),1.0)</f>
        <v>1</v>
      </c>
      <c r="AD76" s="213">
        <f>IFERROR(__xludf.DUMMYFUNCTION("""COMPUTED_VALUE"""),1123.0)</f>
        <v>1123</v>
      </c>
      <c r="AE76" s="213">
        <f>IFERROR(__xludf.DUMMYFUNCTION("""COMPUTED_VALUE"""),0.0)</f>
        <v>0</v>
      </c>
      <c r="AF76" s="213">
        <f>IFERROR(__xludf.DUMMYFUNCTION("""COMPUTED_VALUE"""),1123.0)</f>
        <v>1123</v>
      </c>
      <c r="AG76" s="282"/>
      <c r="AH76" s="282"/>
      <c r="AI76" s="282"/>
      <c r="AJ76" s="303"/>
      <c r="AK76" s="303"/>
      <c r="AL76" s="303"/>
      <c r="AM76" s="282"/>
      <c r="AN76" s="282"/>
      <c r="AO76" s="282"/>
      <c r="AP76" s="282"/>
      <c r="AQ76" s="282"/>
      <c r="AR76" s="282"/>
      <c r="AS76" s="282"/>
      <c r="AT76" s="282"/>
      <c r="AU76" s="282"/>
      <c r="AV76" s="282"/>
      <c r="AW76" s="282"/>
      <c r="AX76" s="282"/>
      <c r="AY76" s="282"/>
      <c r="AZ76" s="282"/>
    </row>
    <row r="77">
      <c r="A77" s="209">
        <f>IFERROR(__xludf.DUMMYFUNCTION("""COMPUTED_VALUE"""),46185.0)</f>
        <v>46185</v>
      </c>
      <c r="B77" s="247">
        <f>IFERROR(__xludf.DUMMYFUNCTION("""COMPUTED_VALUE"""),0.6666666666678793)</f>
        <v>0.6666666667</v>
      </c>
      <c r="C77" s="211" t="str">
        <f>IFERROR(__xludf.DUMMYFUNCTION("""COMPUTED_VALUE"""),"Rcs")</f>
        <v>Rcs</v>
      </c>
      <c r="D77" s="211" t="str">
        <f>IFERROR(__xludf.DUMMYFUNCTION("""COMPUTED_VALUE"""),"Promotional")</f>
        <v>Promotional</v>
      </c>
      <c r="E77" s="211" t="str">
        <f>IFERROR(__xludf.DUMMYFUNCTION("""COMPUTED_VALUE"""),"R&amp;B")</f>
        <v>R&amp;B</v>
      </c>
      <c r="F77" s="211" t="str">
        <f>IFERROR(__xludf.DUMMYFUNCTION("""COMPUTED_VALUE"""),"EOSS 2026 - JUNE - 25% TO 60% off")</f>
        <v>EOSS 2026 - JUNE - 25% TO 60% off</v>
      </c>
      <c r="G77" s="211" t="str">
        <f>IFERROR(__xludf.DUMMYFUNCTION("""COMPUTED_VALUE"""),"Comm 1 for EOSS - 90 Days")</f>
        <v>Comm 1 for EOSS - 90 Days</v>
      </c>
      <c r="H77" s="212" t="str">
        <f>IFERROR(__xludf.DUMMYFUNCTION("""COMPUTED_VALUE"""),"RB_90D_Purchasers")</f>
        <v>RB_90D_Purchasers</v>
      </c>
      <c r="I77" s="212" t="str">
        <f>IFERROR(__xludf.DUMMYFUNCTION("""COMPUTED_VALUE"""),"Customers who shopped with us atleast once in the last 90 days")</f>
        <v>Customers who shopped with us atleast once in the last 90 days</v>
      </c>
      <c r="J77" s="213">
        <f>IFERROR(__xludf.DUMMYFUNCTION("""COMPUTED_VALUE"""),107409.0)</f>
        <v>107409</v>
      </c>
      <c r="K77" s="213">
        <f>IFERROR(__xludf.DUMMYFUNCTION("""COMPUTED_VALUE"""),52490.0)</f>
        <v>52490</v>
      </c>
      <c r="L77" s="214">
        <f>IFERROR(__xludf.DUMMYFUNCTION("""COMPUTED_VALUE"""),0.4887)</f>
        <v>0.4887</v>
      </c>
      <c r="M77" s="213">
        <f>IFERROR(__xludf.DUMMYFUNCTION("""COMPUTED_VALUE"""),11728.0)</f>
        <v>11728</v>
      </c>
      <c r="N77" s="214">
        <f>IFERROR(__xludf.DUMMYFUNCTION("""COMPUTED_VALUE"""),0.2234)</f>
        <v>0.2234</v>
      </c>
      <c r="O77" s="213">
        <f>IFERROR(__xludf.DUMMYFUNCTION("""COMPUTED_VALUE"""),0.0)</f>
        <v>0</v>
      </c>
      <c r="P77" s="213">
        <f>IFERROR(__xludf.DUMMYFUNCTION("""COMPUTED_VALUE"""),0.0)</f>
        <v>0</v>
      </c>
      <c r="Q77" s="214">
        <f>IFERROR(__xludf.DUMMYFUNCTION("""COMPUTED_VALUE"""),0.0)</f>
        <v>0</v>
      </c>
      <c r="R77" s="214">
        <f>IFERROR(__xludf.DUMMYFUNCTION("""COMPUTED_VALUE"""),0.0)</f>
        <v>0</v>
      </c>
      <c r="S77" s="213">
        <f>IFERROR(__xludf.DUMMYFUNCTION("""COMPUTED_VALUE"""),0.0)</f>
        <v>0</v>
      </c>
      <c r="T77" s="213">
        <f>IFERROR(__xludf.DUMMYFUNCTION("""COMPUTED_VALUE"""),0.0)</f>
        <v>0</v>
      </c>
      <c r="U77" s="213">
        <f>IFERROR(__xludf.DUMMYFUNCTION("""COMPUTED_VALUE"""),0.0)</f>
        <v>0</v>
      </c>
      <c r="V77" s="101" t="str">
        <f>IFERROR(__xludf.DUMMYFUNCTION("""COMPUTED_VALUE"""),"overall")</f>
        <v>overall</v>
      </c>
      <c r="W77" s="101" t="str">
        <f>IFERROR(__xludf.DUMMYFUNCTION("""COMPUTED_VALUE"""),"Rcs")</f>
        <v>Rcs</v>
      </c>
      <c r="X77" s="101" t="str">
        <f>IFERROR(__xludf.DUMMYFUNCTION("""COMPUTED_VALUE"""),"Generic")</f>
        <v>Generic</v>
      </c>
      <c r="Y77" s="101" t="str">
        <f>IFERROR(__xludf.DUMMYFUNCTION("""COMPUTED_VALUE"""),"12th June to 14th June")</f>
        <v>12th June to 14th June</v>
      </c>
      <c r="Z77" s="101" t="str">
        <f>IFERROR(__xludf.DUMMYFUNCTION("""COMPUTED_VALUE"""),"6a27fb28d2f0cc98da296047")</f>
        <v>6a27fb28d2f0cc98da296047</v>
      </c>
      <c r="AA77" s="213">
        <f>IFERROR(__xludf.DUMMYFUNCTION("""COMPUTED_VALUE"""),396.0)</f>
        <v>396</v>
      </c>
      <c r="AB77" s="213">
        <f>IFERROR(__xludf.DUMMYFUNCTION("""COMPUTED_VALUE"""),0.0)</f>
        <v>0</v>
      </c>
      <c r="AC77" s="213">
        <f>IFERROR(__xludf.DUMMYFUNCTION("""COMPUTED_VALUE"""),396.0)</f>
        <v>396</v>
      </c>
      <c r="AD77" s="213">
        <f>IFERROR(__xludf.DUMMYFUNCTION("""COMPUTED_VALUE"""),686221.0)</f>
        <v>686221</v>
      </c>
      <c r="AE77" s="213">
        <f>IFERROR(__xludf.DUMMYFUNCTION("""COMPUTED_VALUE"""),0.0)</f>
        <v>0</v>
      </c>
      <c r="AF77" s="213">
        <f>IFERROR(__xludf.DUMMYFUNCTION("""COMPUTED_VALUE"""),686221.0)</f>
        <v>686221</v>
      </c>
      <c r="AG77" s="282"/>
      <c r="AH77" s="282"/>
      <c r="AI77" s="282"/>
      <c r="AJ77" s="303"/>
      <c r="AK77" s="303"/>
      <c r="AL77" s="303"/>
      <c r="AM77" s="282"/>
      <c r="AN77" s="282"/>
      <c r="AO77" s="282"/>
      <c r="AP77" s="282"/>
      <c r="AQ77" s="282"/>
      <c r="AR77" s="282"/>
      <c r="AS77" s="282"/>
      <c r="AT77" s="282"/>
      <c r="AU77" s="282"/>
      <c r="AV77" s="282"/>
      <c r="AW77" s="282"/>
      <c r="AX77" s="282"/>
      <c r="AY77" s="282"/>
      <c r="AZ77" s="282"/>
    </row>
    <row r="78">
      <c r="A78" s="209">
        <f>IFERROR(__xludf.DUMMYFUNCTION("""COMPUTED_VALUE"""),46185.0)</f>
        <v>46185</v>
      </c>
      <c r="B78" s="247">
        <f>IFERROR(__xludf.DUMMYFUNCTION("""COMPUTED_VALUE"""),0.6666666666678793)</f>
        <v>0.6666666667</v>
      </c>
      <c r="C78" s="211" t="str">
        <f>IFERROR(__xludf.DUMMYFUNCTION("""COMPUTED_VALUE"""),"Rcs")</f>
        <v>Rcs</v>
      </c>
      <c r="D78" s="211" t="str">
        <f>IFERROR(__xludf.DUMMYFUNCTION("""COMPUTED_VALUE"""),"Promotional")</f>
        <v>Promotional</v>
      </c>
      <c r="E78" s="211" t="str">
        <f>IFERROR(__xludf.DUMMYFUNCTION("""COMPUTED_VALUE"""),"R&amp;B")</f>
        <v>R&amp;B</v>
      </c>
      <c r="F78" s="211" t="str">
        <f>IFERROR(__xludf.DUMMYFUNCTION("""COMPUTED_VALUE"""),"EOSS 2026 - JUNE - 25% TO 60% off")</f>
        <v>EOSS 2026 - JUNE - 25% TO 60% off</v>
      </c>
      <c r="G78" s="211" t="str">
        <f>IFERROR(__xludf.DUMMYFUNCTION("""COMPUTED_VALUE"""),"Comm 1 for EOSS - 135 Days")</f>
        <v>Comm 1 for EOSS - 135 Days</v>
      </c>
      <c r="H78" s="212" t="str">
        <f>IFERROR(__xludf.DUMMYFUNCTION("""COMPUTED_VALUE"""),"RB_135D_Purchasers")</f>
        <v>RB_135D_Purchasers</v>
      </c>
      <c r="I78" s="212" t="str">
        <f>IFERROR(__xludf.DUMMYFUNCTION("""COMPUTED_VALUE"""),"Customers who shopped with us atleast once in the last 135 days")</f>
        <v>Customers who shopped with us atleast once in the last 135 days</v>
      </c>
      <c r="J78" s="213">
        <f>IFERROR(__xludf.DUMMYFUNCTION("""COMPUTED_VALUE"""),56490.0)</f>
        <v>56490</v>
      </c>
      <c r="K78" s="213">
        <f>IFERROR(__xludf.DUMMYFUNCTION("""COMPUTED_VALUE"""),27279.0)</f>
        <v>27279</v>
      </c>
      <c r="L78" s="214">
        <f>IFERROR(__xludf.DUMMYFUNCTION("""COMPUTED_VALUE"""),0.4829)</f>
        <v>0.4829</v>
      </c>
      <c r="M78" s="213">
        <f>IFERROR(__xludf.DUMMYFUNCTION("""COMPUTED_VALUE"""),6040.0)</f>
        <v>6040</v>
      </c>
      <c r="N78" s="214">
        <f>IFERROR(__xludf.DUMMYFUNCTION("""COMPUTED_VALUE"""),0.2214)</f>
        <v>0.2214</v>
      </c>
      <c r="O78" s="213">
        <f>IFERROR(__xludf.DUMMYFUNCTION("""COMPUTED_VALUE"""),0.0)</f>
        <v>0</v>
      </c>
      <c r="P78" s="213">
        <f>IFERROR(__xludf.DUMMYFUNCTION("""COMPUTED_VALUE"""),0.0)</f>
        <v>0</v>
      </c>
      <c r="Q78" s="214">
        <f>IFERROR(__xludf.DUMMYFUNCTION("""COMPUTED_VALUE"""),0.0)</f>
        <v>0</v>
      </c>
      <c r="R78" s="214">
        <f>IFERROR(__xludf.DUMMYFUNCTION("""COMPUTED_VALUE"""),0.0)</f>
        <v>0</v>
      </c>
      <c r="S78" s="213">
        <f>IFERROR(__xludf.DUMMYFUNCTION("""COMPUTED_VALUE"""),0.0)</f>
        <v>0</v>
      </c>
      <c r="T78" s="213">
        <f>IFERROR(__xludf.DUMMYFUNCTION("""COMPUTED_VALUE"""),0.0)</f>
        <v>0</v>
      </c>
      <c r="U78" s="213">
        <f>IFERROR(__xludf.DUMMYFUNCTION("""COMPUTED_VALUE"""),0.0)</f>
        <v>0</v>
      </c>
      <c r="V78" s="101" t="str">
        <f>IFERROR(__xludf.DUMMYFUNCTION("""COMPUTED_VALUE"""),"overall")</f>
        <v>overall</v>
      </c>
      <c r="W78" s="101" t="str">
        <f>IFERROR(__xludf.DUMMYFUNCTION("""COMPUTED_VALUE"""),"Rcs")</f>
        <v>Rcs</v>
      </c>
      <c r="X78" s="101" t="str">
        <f>IFERROR(__xludf.DUMMYFUNCTION("""COMPUTED_VALUE"""),"Generic")</f>
        <v>Generic</v>
      </c>
      <c r="Y78" s="101" t="str">
        <f>IFERROR(__xludf.DUMMYFUNCTION("""COMPUTED_VALUE"""),"12th June to 14th June")</f>
        <v>12th June to 14th June</v>
      </c>
      <c r="Z78" s="101" t="str">
        <f>IFERROR(__xludf.DUMMYFUNCTION("""COMPUTED_VALUE"""),"6a27fb580dd53bf323920801")</f>
        <v>6a27fb580dd53bf323920801</v>
      </c>
      <c r="AA78" s="213">
        <f>IFERROR(__xludf.DUMMYFUNCTION("""COMPUTED_VALUE"""),230.0)</f>
        <v>230</v>
      </c>
      <c r="AB78" s="213">
        <f>IFERROR(__xludf.DUMMYFUNCTION("""COMPUTED_VALUE"""),0.0)</f>
        <v>0</v>
      </c>
      <c r="AC78" s="213">
        <f>IFERROR(__xludf.DUMMYFUNCTION("""COMPUTED_VALUE"""),230.0)</f>
        <v>230</v>
      </c>
      <c r="AD78" s="213">
        <f>IFERROR(__xludf.DUMMYFUNCTION("""COMPUTED_VALUE"""),336634.0)</f>
        <v>336634</v>
      </c>
      <c r="AE78" s="213">
        <f>IFERROR(__xludf.DUMMYFUNCTION("""COMPUTED_VALUE"""),0.0)</f>
        <v>0</v>
      </c>
      <c r="AF78" s="213">
        <f>IFERROR(__xludf.DUMMYFUNCTION("""COMPUTED_VALUE"""),336634.0)</f>
        <v>336634</v>
      </c>
      <c r="AG78" s="282"/>
      <c r="AH78" s="282"/>
      <c r="AI78" s="282"/>
      <c r="AJ78" s="303"/>
      <c r="AK78" s="303"/>
      <c r="AL78" s="303"/>
      <c r="AM78" s="282"/>
      <c r="AN78" s="282"/>
      <c r="AO78" s="282"/>
      <c r="AP78" s="282"/>
      <c r="AQ78" s="282"/>
      <c r="AR78" s="282"/>
      <c r="AS78" s="282"/>
      <c r="AT78" s="282"/>
      <c r="AU78" s="282"/>
      <c r="AV78" s="282"/>
      <c r="AW78" s="282"/>
      <c r="AX78" s="282"/>
      <c r="AY78" s="282"/>
      <c r="AZ78" s="282"/>
    </row>
    <row r="79">
      <c r="A79" s="209">
        <f>IFERROR(__xludf.DUMMYFUNCTION("""COMPUTED_VALUE"""),46185.0)</f>
        <v>46185</v>
      </c>
      <c r="B79" s="247">
        <f>IFERROR(__xludf.DUMMYFUNCTION("""COMPUTED_VALUE"""),0.6666666666678793)</f>
        <v>0.6666666667</v>
      </c>
      <c r="C79" s="211" t="str">
        <f>IFERROR(__xludf.DUMMYFUNCTION("""COMPUTED_VALUE"""),"Rcs")</f>
        <v>Rcs</v>
      </c>
      <c r="D79" s="211" t="str">
        <f>IFERROR(__xludf.DUMMYFUNCTION("""COMPUTED_VALUE"""),"Promotional")</f>
        <v>Promotional</v>
      </c>
      <c r="E79" s="211" t="str">
        <f>IFERROR(__xludf.DUMMYFUNCTION("""COMPUTED_VALUE"""),"R&amp;B")</f>
        <v>R&amp;B</v>
      </c>
      <c r="F79" s="211" t="str">
        <f>IFERROR(__xludf.DUMMYFUNCTION("""COMPUTED_VALUE"""),"EOSS 2026 - JUNE - 25% TO 60% off")</f>
        <v>EOSS 2026 - JUNE - 25% TO 60% off</v>
      </c>
      <c r="G79" s="211" t="str">
        <f>IFERROR(__xludf.DUMMYFUNCTION("""COMPUTED_VALUE"""),"Comm 1 for EOSS - 180 Days")</f>
        <v>Comm 1 for EOSS - 180 Days</v>
      </c>
      <c r="H79" s="212" t="str">
        <f>IFERROR(__xludf.DUMMYFUNCTION("""COMPUTED_VALUE"""),"RB_180D_Purchasers")</f>
        <v>RB_180D_Purchasers</v>
      </c>
      <c r="I79" s="212" t="str">
        <f>IFERROR(__xludf.DUMMYFUNCTION("""COMPUTED_VALUE"""),"Customers who shopped with us atleast once in the last 180 days")</f>
        <v>Customers who shopped with us atleast once in the last 180 days</v>
      </c>
      <c r="J79" s="213">
        <f>IFERROR(__xludf.DUMMYFUNCTION("""COMPUTED_VALUE"""),82440.0)</f>
        <v>82440</v>
      </c>
      <c r="K79" s="213">
        <f>IFERROR(__xludf.DUMMYFUNCTION("""COMPUTED_VALUE"""),39875.0)</f>
        <v>39875</v>
      </c>
      <c r="L79" s="214">
        <f>IFERROR(__xludf.DUMMYFUNCTION("""COMPUTED_VALUE"""),0.4837)</f>
        <v>0.4837</v>
      </c>
      <c r="M79" s="213">
        <f>IFERROR(__xludf.DUMMYFUNCTION("""COMPUTED_VALUE"""),8575.0)</f>
        <v>8575</v>
      </c>
      <c r="N79" s="214">
        <f>IFERROR(__xludf.DUMMYFUNCTION("""COMPUTED_VALUE"""),0.215)</f>
        <v>0.215</v>
      </c>
      <c r="O79" s="213">
        <f>IFERROR(__xludf.DUMMYFUNCTION("""COMPUTED_VALUE"""),0.0)</f>
        <v>0</v>
      </c>
      <c r="P79" s="213">
        <f>IFERROR(__xludf.DUMMYFUNCTION("""COMPUTED_VALUE"""),0.0)</f>
        <v>0</v>
      </c>
      <c r="Q79" s="214">
        <f>IFERROR(__xludf.DUMMYFUNCTION("""COMPUTED_VALUE"""),0.0)</f>
        <v>0</v>
      </c>
      <c r="R79" s="214">
        <f>IFERROR(__xludf.DUMMYFUNCTION("""COMPUTED_VALUE"""),0.0)</f>
        <v>0</v>
      </c>
      <c r="S79" s="213">
        <f>IFERROR(__xludf.DUMMYFUNCTION("""COMPUTED_VALUE"""),0.0)</f>
        <v>0</v>
      </c>
      <c r="T79" s="213">
        <f>IFERROR(__xludf.DUMMYFUNCTION("""COMPUTED_VALUE"""),0.0)</f>
        <v>0</v>
      </c>
      <c r="U79" s="213">
        <f>IFERROR(__xludf.DUMMYFUNCTION("""COMPUTED_VALUE"""),0.0)</f>
        <v>0</v>
      </c>
      <c r="V79" s="101" t="str">
        <f>IFERROR(__xludf.DUMMYFUNCTION("""COMPUTED_VALUE"""),"overall")</f>
        <v>overall</v>
      </c>
      <c r="W79" s="101" t="str">
        <f>IFERROR(__xludf.DUMMYFUNCTION("""COMPUTED_VALUE"""),"Rcs")</f>
        <v>Rcs</v>
      </c>
      <c r="X79" s="101" t="str">
        <f>IFERROR(__xludf.DUMMYFUNCTION("""COMPUTED_VALUE"""),"Generic")</f>
        <v>Generic</v>
      </c>
      <c r="Y79" s="101" t="str">
        <f>IFERROR(__xludf.DUMMYFUNCTION("""COMPUTED_VALUE"""),"12th June to 14th June")</f>
        <v>12th June to 14th June</v>
      </c>
      <c r="Z79" s="101" t="str">
        <f>IFERROR(__xludf.DUMMYFUNCTION("""COMPUTED_VALUE"""),"6a27fb8bcadefefcd1454d41")</f>
        <v>6a27fb8bcadefefcd1454d41</v>
      </c>
      <c r="AA79" s="213">
        <f>IFERROR(__xludf.DUMMYFUNCTION("""COMPUTED_VALUE"""),282.0)</f>
        <v>282</v>
      </c>
      <c r="AB79" s="213">
        <f>IFERROR(__xludf.DUMMYFUNCTION("""COMPUTED_VALUE"""),0.0)</f>
        <v>0</v>
      </c>
      <c r="AC79" s="213">
        <f>IFERROR(__xludf.DUMMYFUNCTION("""COMPUTED_VALUE"""),282.0)</f>
        <v>282</v>
      </c>
      <c r="AD79" s="213">
        <f>IFERROR(__xludf.DUMMYFUNCTION("""COMPUTED_VALUE"""),445710.0)</f>
        <v>445710</v>
      </c>
      <c r="AE79" s="213">
        <f>IFERROR(__xludf.DUMMYFUNCTION("""COMPUTED_VALUE"""),0.0)</f>
        <v>0</v>
      </c>
      <c r="AF79" s="213">
        <f>IFERROR(__xludf.DUMMYFUNCTION("""COMPUTED_VALUE"""),445710.0)</f>
        <v>445710</v>
      </c>
      <c r="AG79" s="282"/>
      <c r="AH79" s="282"/>
      <c r="AI79" s="282"/>
      <c r="AJ79" s="303"/>
      <c r="AK79" s="303"/>
      <c r="AL79" s="303"/>
      <c r="AM79" s="282"/>
      <c r="AN79" s="282"/>
      <c r="AO79" s="282"/>
      <c r="AP79" s="282"/>
      <c r="AQ79" s="282"/>
      <c r="AR79" s="282"/>
      <c r="AS79" s="282"/>
      <c r="AT79" s="282"/>
      <c r="AU79" s="282"/>
      <c r="AV79" s="282"/>
      <c r="AW79" s="282"/>
      <c r="AX79" s="282"/>
      <c r="AY79" s="282"/>
      <c r="AZ79" s="282"/>
    </row>
    <row r="80">
      <c r="A80" s="209">
        <f>IFERROR(__xludf.DUMMYFUNCTION("""COMPUTED_VALUE"""),46185.0)</f>
        <v>46185</v>
      </c>
      <c r="B80" s="247">
        <f>IFERROR(__xludf.DUMMYFUNCTION("""COMPUTED_VALUE"""),0.6666666666678793)</f>
        <v>0.6666666667</v>
      </c>
      <c r="C80" s="211" t="str">
        <f>IFERROR(__xludf.DUMMYFUNCTION("""COMPUTED_VALUE"""),"Rcs")</f>
        <v>Rcs</v>
      </c>
      <c r="D80" s="211" t="str">
        <f>IFERROR(__xludf.DUMMYFUNCTION("""COMPUTED_VALUE"""),"Promotional")</f>
        <v>Promotional</v>
      </c>
      <c r="E80" s="211" t="str">
        <f>IFERROR(__xludf.DUMMYFUNCTION("""COMPUTED_VALUE"""),"R&amp;B")</f>
        <v>R&amp;B</v>
      </c>
      <c r="F80" s="211" t="str">
        <f>IFERROR(__xludf.DUMMYFUNCTION("""COMPUTED_VALUE"""),"EOSS 2026 - JUNE - 25% TO 60% off")</f>
        <v>EOSS 2026 - JUNE - 25% TO 60% off</v>
      </c>
      <c r="G80" s="211" t="str">
        <f>IFERROR(__xludf.DUMMYFUNCTION("""COMPUTED_VALUE"""),"Comm 1 for EOSS - Last EOSS")</f>
        <v>Comm 1 for EOSS - Last EOSS</v>
      </c>
      <c r="H80" s="212" t="str">
        <f>IFERROR(__xludf.DUMMYFUNCTION("""COMPUTED_VALUE"""),"RB_Jun25_Aug25_Purchasers")</f>
        <v>RB_Jun25_Aug25_Purchasers</v>
      </c>
      <c r="I80" s="212" t="str">
        <f>IFERROR(__xludf.DUMMYFUNCTION("""COMPUTED_VALUE"""),"Customers who have shopped with us between June 20th 2025 to August 15th 2025")</f>
        <v>Customers who have shopped with us between June 20th 2025 to August 15th 2025</v>
      </c>
      <c r="J80" s="213">
        <f>IFERROR(__xludf.DUMMYFUNCTION("""COMPUTED_VALUE"""),63339.0)</f>
        <v>63339</v>
      </c>
      <c r="K80" s="213">
        <f>IFERROR(__xludf.DUMMYFUNCTION("""COMPUTED_VALUE"""),29103.0)</f>
        <v>29103</v>
      </c>
      <c r="L80" s="214">
        <f>IFERROR(__xludf.DUMMYFUNCTION("""COMPUTED_VALUE"""),0.4595)</f>
        <v>0.4595</v>
      </c>
      <c r="M80" s="213">
        <f>IFERROR(__xludf.DUMMYFUNCTION("""COMPUTED_VALUE"""),6270.0)</f>
        <v>6270</v>
      </c>
      <c r="N80" s="214">
        <f>IFERROR(__xludf.DUMMYFUNCTION("""COMPUTED_VALUE"""),0.2154)</f>
        <v>0.2154</v>
      </c>
      <c r="O80" s="213">
        <f>IFERROR(__xludf.DUMMYFUNCTION("""COMPUTED_VALUE"""),0.0)</f>
        <v>0</v>
      </c>
      <c r="P80" s="213">
        <f>IFERROR(__xludf.DUMMYFUNCTION("""COMPUTED_VALUE"""),0.0)</f>
        <v>0</v>
      </c>
      <c r="Q80" s="214">
        <f>IFERROR(__xludf.DUMMYFUNCTION("""COMPUTED_VALUE"""),0.0)</f>
        <v>0</v>
      </c>
      <c r="R80" s="214">
        <f>IFERROR(__xludf.DUMMYFUNCTION("""COMPUTED_VALUE"""),0.0)</f>
        <v>0</v>
      </c>
      <c r="S80" s="213">
        <f>IFERROR(__xludf.DUMMYFUNCTION("""COMPUTED_VALUE"""),0.0)</f>
        <v>0</v>
      </c>
      <c r="T80" s="213">
        <f>IFERROR(__xludf.DUMMYFUNCTION("""COMPUTED_VALUE"""),0.0)</f>
        <v>0</v>
      </c>
      <c r="U80" s="213">
        <f>IFERROR(__xludf.DUMMYFUNCTION("""COMPUTED_VALUE"""),0.0)</f>
        <v>0</v>
      </c>
      <c r="V80" s="101" t="str">
        <f>IFERROR(__xludf.DUMMYFUNCTION("""COMPUTED_VALUE"""),"overall")</f>
        <v>overall</v>
      </c>
      <c r="W80" s="101" t="str">
        <f>IFERROR(__xludf.DUMMYFUNCTION("""COMPUTED_VALUE"""),"Rcs")</f>
        <v>Rcs</v>
      </c>
      <c r="X80" s="101" t="str">
        <f>IFERROR(__xludf.DUMMYFUNCTION("""COMPUTED_VALUE"""),"Event Buyers")</f>
        <v>Event Buyers</v>
      </c>
      <c r="Y80" s="101" t="str">
        <f>IFERROR(__xludf.DUMMYFUNCTION("""COMPUTED_VALUE"""),"12th June to 14th June")</f>
        <v>12th June to 14th June</v>
      </c>
      <c r="Z80" s="101" t="str">
        <f>IFERROR(__xludf.DUMMYFUNCTION("""COMPUTED_VALUE"""),"6a27fbbc1440022b5fb65e79")</f>
        <v>6a27fbbc1440022b5fb65e79</v>
      </c>
      <c r="AA80" s="213">
        <f>IFERROR(__xludf.DUMMYFUNCTION("""COMPUTED_VALUE"""),176.0)</f>
        <v>176</v>
      </c>
      <c r="AB80" s="213">
        <f>IFERROR(__xludf.DUMMYFUNCTION("""COMPUTED_VALUE"""),0.0)</f>
        <v>0</v>
      </c>
      <c r="AC80" s="213">
        <f>IFERROR(__xludf.DUMMYFUNCTION("""COMPUTED_VALUE"""),176.0)</f>
        <v>176</v>
      </c>
      <c r="AD80" s="213">
        <f>IFERROR(__xludf.DUMMYFUNCTION("""COMPUTED_VALUE"""),358753.0)</f>
        <v>358753</v>
      </c>
      <c r="AE80" s="213">
        <f>IFERROR(__xludf.DUMMYFUNCTION("""COMPUTED_VALUE"""),0.0)</f>
        <v>0</v>
      </c>
      <c r="AF80" s="213">
        <f>IFERROR(__xludf.DUMMYFUNCTION("""COMPUTED_VALUE"""),358753.0)</f>
        <v>358753</v>
      </c>
      <c r="AG80" s="282"/>
      <c r="AH80" s="282"/>
      <c r="AI80" s="282"/>
      <c r="AJ80" s="303"/>
      <c r="AK80" s="303"/>
      <c r="AL80" s="303"/>
      <c r="AM80" s="282"/>
      <c r="AN80" s="282"/>
      <c r="AO80" s="282"/>
      <c r="AP80" s="282"/>
      <c r="AQ80" s="282"/>
      <c r="AR80" s="282"/>
      <c r="AS80" s="282"/>
      <c r="AT80" s="282"/>
      <c r="AU80" s="282"/>
      <c r="AV80" s="282"/>
      <c r="AW80" s="282"/>
      <c r="AX80" s="282"/>
      <c r="AY80" s="282"/>
      <c r="AZ80" s="282"/>
    </row>
    <row r="81">
      <c r="A81" s="209">
        <f>IFERROR(__xludf.DUMMYFUNCTION("""COMPUTED_VALUE"""),46199.0)</f>
        <v>46199</v>
      </c>
      <c r="B81" s="247">
        <f>IFERROR(__xludf.DUMMYFUNCTION("""COMPUTED_VALUE"""),0.75)</f>
        <v>0.75</v>
      </c>
      <c r="C81" s="211" t="str">
        <f>IFERROR(__xludf.DUMMYFUNCTION("""COMPUTED_VALUE"""),"Whatsapp")</f>
        <v>Whatsapp</v>
      </c>
      <c r="D81" s="211" t="str">
        <f>IFERROR(__xludf.DUMMYFUNCTION("""COMPUTED_VALUE"""),"Fallback campaign")</f>
        <v>Fallback campaign</v>
      </c>
      <c r="E81" s="211" t="str">
        <f>IFERROR(__xludf.DUMMYFUNCTION("""COMPUTED_VALUE"""),"R&amp;B")</f>
        <v>R&amp;B</v>
      </c>
      <c r="F81" s="211" t="str">
        <f>IFERROR(__xludf.DUMMYFUNCTION("""COMPUTED_VALUE"""),"EOSS 2026 - JUNE - 25% TO 60% off")</f>
        <v>EOSS 2026 - JUNE - 25% TO 60% off</v>
      </c>
      <c r="G81" s="211" t="str">
        <f>IFERROR(__xludf.DUMMYFUNCTION("""COMPUTED_VALUE"""),"Fallback - Comm2 for EOSS")</f>
        <v>Fallback - Comm2 for EOSS</v>
      </c>
      <c r="H81" s="212" t="str">
        <f>IFERROR(__xludf.DUMMYFUNCTION("""COMPUTED_VALUE"""),"RB_45D_Purchasers, RB_90D_Purchasers, RB_135D_Purchasers, RB_180D_Purchasers, RB_Jun25_Aug25_Purchasers")</f>
        <v>RB_45D_Purchasers, RB_90D_Purchasers, RB_135D_Purchasers, RB_180D_Purchasers, RB_Jun25_Aug25_Purchasers</v>
      </c>
      <c r="I81" s="212" t="str">
        <f>IFERROR(__xludf.DUMMYFUNCTION("""COMPUTED_VALUE"""),"RCS Undelivered")</f>
        <v>RCS Undelivered</v>
      </c>
      <c r="J81" s="213">
        <f>IFERROR(__xludf.DUMMYFUNCTION("""COMPUTED_VALUE"""),235723.0)</f>
        <v>235723</v>
      </c>
      <c r="K81" s="213">
        <f>IFERROR(__xludf.DUMMYFUNCTION("""COMPUTED_VALUE"""),139976.0)</f>
        <v>139976</v>
      </c>
      <c r="L81" s="214">
        <f>IFERROR(__xludf.DUMMYFUNCTION("""COMPUTED_VALUE"""),0.5933)</f>
        <v>0.5933</v>
      </c>
      <c r="M81" s="213">
        <f>IFERROR(__xludf.DUMMYFUNCTION("""COMPUTED_VALUE"""),70355.0)</f>
        <v>70355</v>
      </c>
      <c r="N81" s="214">
        <f>IFERROR(__xludf.DUMMYFUNCTION("""COMPUTED_VALUE"""),0.4987)</f>
        <v>0.4987</v>
      </c>
      <c r="O81" s="213">
        <f>IFERROR(__xludf.DUMMYFUNCTION("""COMPUTED_VALUE"""),4631.0)</f>
        <v>4631</v>
      </c>
      <c r="P81" s="213">
        <f>IFERROR(__xludf.DUMMYFUNCTION("""COMPUTED_VALUE"""),4391.0)</f>
        <v>4391</v>
      </c>
      <c r="Q81" s="214">
        <f>IFERROR(__xludf.DUMMYFUNCTION("""COMPUTED_VALUE"""),0.0314)</f>
        <v>0.0314</v>
      </c>
      <c r="R81" s="214">
        <f>IFERROR(__xludf.DUMMYFUNCTION("""COMPUTED_VALUE"""),0.063)</f>
        <v>0.063</v>
      </c>
      <c r="S81" s="213">
        <f>IFERROR(__xludf.DUMMYFUNCTION("""COMPUTED_VALUE"""),0.0)</f>
        <v>0</v>
      </c>
      <c r="T81" s="213">
        <f>IFERROR(__xludf.DUMMYFUNCTION("""COMPUTED_VALUE"""),0.0)</f>
        <v>0</v>
      </c>
      <c r="U81" s="213">
        <f>IFERROR(__xludf.DUMMYFUNCTION("""COMPUTED_VALUE"""),0.0)</f>
        <v>0</v>
      </c>
      <c r="V81" s="101" t="str">
        <f>IFERROR(__xludf.DUMMYFUNCTION("""COMPUTED_VALUE"""),"overall")</f>
        <v>overall</v>
      </c>
      <c r="W81" s="101" t="str">
        <f>IFERROR(__xludf.DUMMYFUNCTION("""COMPUTED_VALUE"""),"simple")</f>
        <v>simple</v>
      </c>
      <c r="X81" s="101" t="str">
        <f>IFERROR(__xludf.DUMMYFUNCTION("""COMPUTED_VALUE"""),"Generic, Event buyers")</f>
        <v>Generic, Event buyers</v>
      </c>
      <c r="Y81" s="101" t="str">
        <f>IFERROR(__xludf.DUMMYFUNCTION("""COMPUTED_VALUE"""),"26th to 28th June")</f>
        <v>26th to 28th June</v>
      </c>
      <c r="Z81" s="101" t="str">
        <f>IFERROR(__xludf.DUMMYFUNCTION("""COMPUTED_VALUE"""),"6a3a328b6c51cbff89090581")</f>
        <v>6a3a328b6c51cbff89090581</v>
      </c>
      <c r="AA81" s="213">
        <f>IFERROR(__xludf.DUMMYFUNCTION("""COMPUTED_VALUE"""),1202.0)</f>
        <v>1202</v>
      </c>
      <c r="AB81" s="213">
        <f>IFERROR(__xludf.DUMMYFUNCTION("""COMPUTED_VALUE"""),0.0)</f>
        <v>0</v>
      </c>
      <c r="AC81" s="213">
        <f>IFERROR(__xludf.DUMMYFUNCTION("""COMPUTED_VALUE"""),1202.0)</f>
        <v>1202</v>
      </c>
      <c r="AD81" s="213">
        <f>IFERROR(__xludf.DUMMYFUNCTION("""COMPUTED_VALUE"""),2224832.0)</f>
        <v>2224832</v>
      </c>
      <c r="AE81" s="213">
        <f>IFERROR(__xludf.DUMMYFUNCTION("""COMPUTED_VALUE"""),0.0)</f>
        <v>0</v>
      </c>
      <c r="AF81" s="213">
        <f>IFERROR(__xludf.DUMMYFUNCTION("""COMPUTED_VALUE"""),2224832.0)</f>
        <v>2224832</v>
      </c>
      <c r="AG81" s="282"/>
      <c r="AH81" s="282"/>
      <c r="AI81" s="282"/>
      <c r="AJ81" s="303"/>
      <c r="AK81" s="303"/>
      <c r="AL81" s="303"/>
      <c r="AM81" s="282"/>
      <c r="AN81" s="282"/>
      <c r="AO81" s="282"/>
      <c r="AP81" s="282"/>
      <c r="AQ81" s="282"/>
      <c r="AR81" s="282"/>
      <c r="AS81" s="282"/>
      <c r="AT81" s="282"/>
      <c r="AU81" s="282"/>
      <c r="AV81" s="282"/>
      <c r="AW81" s="282"/>
      <c r="AX81" s="282"/>
      <c r="AY81" s="282"/>
      <c r="AZ81" s="282"/>
    </row>
    <row r="82">
      <c r="A82" s="209">
        <f>IFERROR(__xludf.DUMMYFUNCTION("""COMPUTED_VALUE"""),46199.0)</f>
        <v>46199</v>
      </c>
      <c r="B82" s="247">
        <f>IFERROR(__xludf.DUMMYFUNCTION("""COMPUTED_VALUE"""),0.6666666666678793)</f>
        <v>0.6666666667</v>
      </c>
      <c r="C82" s="211" t="str">
        <f>IFERROR(__xludf.DUMMYFUNCTION("""COMPUTED_VALUE"""),"Rcs")</f>
        <v>Rcs</v>
      </c>
      <c r="D82" s="211" t="str">
        <f>IFERROR(__xludf.DUMMYFUNCTION("""COMPUTED_VALUE"""),"Promotional")</f>
        <v>Promotional</v>
      </c>
      <c r="E82" s="211" t="str">
        <f>IFERROR(__xludf.DUMMYFUNCTION("""COMPUTED_VALUE"""),"R&amp;B")</f>
        <v>R&amp;B</v>
      </c>
      <c r="F82" s="211" t="str">
        <f>IFERROR(__xludf.DUMMYFUNCTION("""COMPUTED_VALUE"""),"EOSS 2026 - JUNE - 25% TO 60% off")</f>
        <v>EOSS 2026 - JUNE - 25% TO 60% off</v>
      </c>
      <c r="G82" s="211" t="str">
        <f>IFERROR(__xludf.DUMMYFUNCTION("""COMPUTED_VALUE"""),"Comm 2 for EOSS")</f>
        <v>Comm 2 for EOSS</v>
      </c>
      <c r="H82" s="212" t="str">
        <f>IFERROR(__xludf.DUMMYFUNCTION("""COMPUTED_VALUE"""),"RB_45D_Purchasers, RB_90D_Purchasers, RB_135D_Purchasers, RB_180D_Purchasers, RB_Jun25_Aug25_Purchasers")</f>
        <v>RB_45D_Purchasers, RB_90D_Purchasers, RB_135D_Purchasers, RB_180D_Purchasers, RB_Jun25_Aug25_Purchasers</v>
      </c>
      <c r="I82" s="212" t="str">
        <f>IFERROR(__xludf.DUMMYFUNCTION("""COMPUTED_VALUE"""),"Customers who shopped with us atleast once in the last 45 days, Customers who shopped with us atleast once in the last 90 days, Customers who shopped with us atleast once in the last 135 days, Customers who shopped with us atleast once in the last 180 day"&amp;"s, Customers who have shopped with us between June 20th 2025 to August 15th 2025")</f>
        <v>Customers who shopped with us atleast once in the last 45 days, Customers who shopped with us atleast once in the last 90 days, Customers who shopped with us atleast once in the last 135 days, Customers who shopped with us atleast once in the last 180 days, Customers who have shopped with us between June 20th 2025 to August 15th 2025</v>
      </c>
      <c r="J82" s="213">
        <f>IFERROR(__xludf.DUMMYFUNCTION("""COMPUTED_VALUE"""),449489.0)</f>
        <v>449489</v>
      </c>
      <c r="K82" s="213">
        <f>IFERROR(__xludf.DUMMYFUNCTION("""COMPUTED_VALUE"""),222579.0)</f>
        <v>222579</v>
      </c>
      <c r="L82" s="214">
        <f>IFERROR(__xludf.DUMMYFUNCTION("""COMPUTED_VALUE"""),0.4952)</f>
        <v>0.4952</v>
      </c>
      <c r="M82" s="213">
        <f>IFERROR(__xludf.DUMMYFUNCTION("""COMPUTED_VALUE"""),48312.0)</f>
        <v>48312</v>
      </c>
      <c r="N82" s="214">
        <f>IFERROR(__xludf.DUMMYFUNCTION("""COMPUTED_VALUE"""),0.2216)</f>
        <v>0.2216</v>
      </c>
      <c r="O82" s="213">
        <f>IFERROR(__xludf.DUMMYFUNCTION("""COMPUTED_VALUE"""),0.0)</f>
        <v>0</v>
      </c>
      <c r="P82" s="213">
        <f>IFERROR(__xludf.DUMMYFUNCTION("""COMPUTED_VALUE"""),0.0)</f>
        <v>0</v>
      </c>
      <c r="Q82" s="214">
        <f>IFERROR(__xludf.DUMMYFUNCTION("""COMPUTED_VALUE"""),0.0)</f>
        <v>0</v>
      </c>
      <c r="R82" s="214">
        <f>IFERROR(__xludf.DUMMYFUNCTION("""COMPUTED_VALUE"""),0.0)</f>
        <v>0</v>
      </c>
      <c r="S82" s="213">
        <f>IFERROR(__xludf.DUMMYFUNCTION("""COMPUTED_VALUE"""),0.0)</f>
        <v>0</v>
      </c>
      <c r="T82" s="213">
        <f>IFERROR(__xludf.DUMMYFUNCTION("""COMPUTED_VALUE"""),0.0)</f>
        <v>0</v>
      </c>
      <c r="U82" s="213">
        <f>IFERROR(__xludf.DUMMYFUNCTION("""COMPUTED_VALUE"""),0.0)</f>
        <v>0</v>
      </c>
      <c r="V82" s="101" t="str">
        <f>IFERROR(__xludf.DUMMYFUNCTION("""COMPUTED_VALUE"""),"overall")</f>
        <v>overall</v>
      </c>
      <c r="W82" s="101" t="str">
        <f>IFERROR(__xludf.DUMMYFUNCTION("""COMPUTED_VALUE"""),"Rcs")</f>
        <v>Rcs</v>
      </c>
      <c r="X82" s="101" t="str">
        <f>IFERROR(__xludf.DUMMYFUNCTION("""COMPUTED_VALUE"""),"Generic, Event buyers")</f>
        <v>Generic, Event buyers</v>
      </c>
      <c r="Y82" s="101" t="str">
        <f>IFERROR(__xludf.DUMMYFUNCTION("""COMPUTED_VALUE"""),"26th to 28th June")</f>
        <v>26th to 28th June</v>
      </c>
      <c r="Z82" s="101" t="str">
        <f>IFERROR(__xludf.DUMMYFUNCTION("""COMPUTED_VALUE"""),"6a3a2fcac7c35ba9103c9504")</f>
        <v>6a3a2fcac7c35ba9103c9504</v>
      </c>
      <c r="AA82" s="213">
        <f>IFERROR(__xludf.DUMMYFUNCTION("""COMPUTED_VALUE"""),1439.0)</f>
        <v>1439</v>
      </c>
      <c r="AB82" s="213">
        <f>IFERROR(__xludf.DUMMYFUNCTION("""COMPUTED_VALUE"""),0.0)</f>
        <v>0</v>
      </c>
      <c r="AC82" s="213">
        <f>IFERROR(__xludf.DUMMYFUNCTION("""COMPUTED_VALUE"""),1439.0)</f>
        <v>1439</v>
      </c>
      <c r="AD82" s="213">
        <f>IFERROR(__xludf.DUMMYFUNCTION("""COMPUTED_VALUE"""),2466443.0)</f>
        <v>2466443</v>
      </c>
      <c r="AE82" s="213">
        <f>IFERROR(__xludf.DUMMYFUNCTION("""COMPUTED_VALUE"""),0.0)</f>
        <v>0</v>
      </c>
      <c r="AF82" s="213">
        <f>IFERROR(__xludf.DUMMYFUNCTION("""COMPUTED_VALUE"""),2466443.0)</f>
        <v>2466443</v>
      </c>
      <c r="AG82" s="282"/>
      <c r="AH82" s="282"/>
      <c r="AI82" s="282"/>
      <c r="AJ82" s="303"/>
      <c r="AK82" s="303"/>
      <c r="AL82" s="303"/>
      <c r="AM82" s="282"/>
      <c r="AN82" s="282"/>
      <c r="AO82" s="282"/>
      <c r="AP82" s="282"/>
      <c r="AQ82" s="282"/>
      <c r="AR82" s="282"/>
      <c r="AS82" s="282"/>
      <c r="AT82" s="282"/>
      <c r="AU82" s="282"/>
      <c r="AV82" s="282"/>
      <c r="AW82" s="282"/>
      <c r="AX82" s="282"/>
      <c r="AY82" s="282"/>
      <c r="AZ82" s="282"/>
    </row>
    <row r="83">
      <c r="A83" s="209">
        <f>IFERROR(__xludf.DUMMYFUNCTION("""COMPUTED_VALUE"""),46213.0)</f>
        <v>46213</v>
      </c>
      <c r="B83" s="247">
        <f>IFERROR(__xludf.DUMMYFUNCTION("""COMPUTED_VALUE"""),0.75)</f>
        <v>0.75</v>
      </c>
      <c r="C83" s="211" t="str">
        <f>IFERROR(__xludf.DUMMYFUNCTION("""COMPUTED_VALUE"""),"Whatsapp")</f>
        <v>Whatsapp</v>
      </c>
      <c r="D83" s="211" t="str">
        <f>IFERROR(__xludf.DUMMYFUNCTION("""COMPUTED_VALUE"""),"Fallback campaign")</f>
        <v>Fallback campaign</v>
      </c>
      <c r="E83" s="211" t="str">
        <f>IFERROR(__xludf.DUMMYFUNCTION("""COMPUTED_VALUE"""),"R&amp;B")</f>
        <v>R&amp;B</v>
      </c>
      <c r="F83" s="211" t="str">
        <f>IFERROR(__xludf.DUMMYFUNCTION("""COMPUTED_VALUE"""),"EOSS- July 2026 - 25% to 60% OFF")</f>
        <v>EOSS- July 2026 - 25% to 60% OFF</v>
      </c>
      <c r="G83" s="211" t="str">
        <f>IFERROR(__xludf.DUMMYFUNCTION("""COMPUTED_VALUE"""),"Fallback_Comm 3_DectoFeb")</f>
        <v>Fallback_Comm 3_DectoFeb</v>
      </c>
      <c r="H83" s="212" t="str">
        <f>IFERROR(__xludf.DUMMYFUNCTION("""COMPUTED_VALUE"""),"RB_Dec25_Feb26")</f>
        <v>RB_Dec25_Feb26</v>
      </c>
      <c r="I83" s="212" t="str">
        <f>IFERROR(__xludf.DUMMYFUNCTION("""COMPUTED_VALUE"""),"RCS Undelivered")</f>
        <v>RCS Undelivered</v>
      </c>
      <c r="J83" s="213">
        <f>IFERROR(__xludf.DUMMYFUNCTION("""COMPUTED_VALUE"""),83552.0)</f>
        <v>83552</v>
      </c>
      <c r="K83" s="213">
        <f>IFERROR(__xludf.DUMMYFUNCTION("""COMPUTED_VALUE"""),47627.0)</f>
        <v>47627</v>
      </c>
      <c r="L83" s="214">
        <f>IFERROR(__xludf.DUMMYFUNCTION("""COMPUTED_VALUE"""),0.57)</f>
        <v>0.57</v>
      </c>
      <c r="M83" s="213">
        <f>IFERROR(__xludf.DUMMYFUNCTION("""COMPUTED_VALUE"""),21928.0)</f>
        <v>21928</v>
      </c>
      <c r="N83" s="214">
        <f>IFERROR(__xludf.DUMMYFUNCTION("""COMPUTED_VALUE"""),0.4597)</f>
        <v>0.4597</v>
      </c>
      <c r="O83" s="213">
        <f>IFERROR(__xludf.DUMMYFUNCTION("""COMPUTED_VALUE"""),995.0)</f>
        <v>995</v>
      </c>
      <c r="P83" s="213">
        <f>IFERROR(__xludf.DUMMYFUNCTION("""COMPUTED_VALUE"""),953.0)</f>
        <v>953</v>
      </c>
      <c r="Q83" s="214">
        <f>IFERROR(__xludf.DUMMYFUNCTION("""COMPUTED_VALUE"""),0.02)</f>
        <v>0.02</v>
      </c>
      <c r="R83" s="214">
        <f>IFERROR(__xludf.DUMMYFUNCTION("""COMPUTED_VALUE"""),0.0435)</f>
        <v>0.0435</v>
      </c>
      <c r="S83" s="213">
        <f>IFERROR(__xludf.DUMMYFUNCTION("""COMPUTED_VALUE"""),0.0)</f>
        <v>0</v>
      </c>
      <c r="T83" s="213">
        <f>IFERROR(__xludf.DUMMYFUNCTION("""COMPUTED_VALUE"""),0.0)</f>
        <v>0</v>
      </c>
      <c r="U83" s="213">
        <f>IFERROR(__xludf.DUMMYFUNCTION("""COMPUTED_VALUE"""),0.0)</f>
        <v>0</v>
      </c>
      <c r="V83" s="101" t="str">
        <f>IFERROR(__xludf.DUMMYFUNCTION("""COMPUTED_VALUE"""),"offline")</f>
        <v>offline</v>
      </c>
      <c r="W83" s="101" t="str">
        <f>IFERROR(__xludf.DUMMYFUNCTION("""COMPUTED_VALUE"""),"simple")</f>
        <v>simple</v>
      </c>
      <c r="X83" s="101" t="str">
        <f>IFERROR(__xludf.DUMMYFUNCTION("""COMPUTED_VALUE"""),"Generic")</f>
        <v>Generic</v>
      </c>
      <c r="Y83" s="101" t="str">
        <f>IFERROR(__xludf.DUMMYFUNCTION("""COMPUTED_VALUE"""),"10th to 12th July")</f>
        <v>10th to 12th July</v>
      </c>
      <c r="Z83" s="101" t="str">
        <f>IFERROR(__xludf.DUMMYFUNCTION("""COMPUTED_VALUE"""),"6a4f748f23002191226dfac0")</f>
        <v>6a4f748f23002191226dfac0</v>
      </c>
      <c r="AA83" s="213">
        <f>IFERROR(__xludf.DUMMYFUNCTION("""COMPUTED_VALUE"""),474.0)</f>
        <v>474</v>
      </c>
      <c r="AB83" s="213"/>
      <c r="AC83" s="213">
        <f>IFERROR(__xludf.DUMMYFUNCTION("""COMPUTED_VALUE"""),474.0)</f>
        <v>474</v>
      </c>
      <c r="AD83" s="213">
        <f>IFERROR(__xludf.DUMMYFUNCTION("""COMPUTED_VALUE"""),837578.0)</f>
        <v>837578</v>
      </c>
      <c r="AE83" s="213"/>
      <c r="AF83" s="213">
        <f>IFERROR(__xludf.DUMMYFUNCTION("""COMPUTED_VALUE"""),837578.0)</f>
        <v>837578</v>
      </c>
      <c r="AG83" s="282"/>
      <c r="AH83" s="282"/>
      <c r="AI83" s="282"/>
      <c r="AJ83" s="303"/>
      <c r="AK83" s="303"/>
      <c r="AL83" s="303"/>
      <c r="AM83" s="282"/>
      <c r="AN83" s="282"/>
      <c r="AO83" s="282"/>
      <c r="AP83" s="282"/>
      <c r="AQ83" s="282"/>
      <c r="AR83" s="282"/>
      <c r="AS83" s="282"/>
      <c r="AT83" s="282"/>
      <c r="AU83" s="282"/>
      <c r="AV83" s="282"/>
      <c r="AW83" s="282"/>
      <c r="AX83" s="282"/>
      <c r="AY83" s="282"/>
      <c r="AZ83" s="282"/>
    </row>
    <row r="84">
      <c r="A84" s="209">
        <f>IFERROR(__xludf.DUMMYFUNCTION("""COMPUTED_VALUE"""),46213.0)</f>
        <v>46213</v>
      </c>
      <c r="B84" s="247">
        <f>IFERROR(__xludf.DUMMYFUNCTION("""COMPUTED_VALUE"""),0.75)</f>
        <v>0.75</v>
      </c>
      <c r="C84" s="211" t="str">
        <f>IFERROR(__xludf.DUMMYFUNCTION("""COMPUTED_VALUE"""),"Whatsapp")</f>
        <v>Whatsapp</v>
      </c>
      <c r="D84" s="211" t="str">
        <f>IFERROR(__xludf.DUMMYFUNCTION("""COMPUTED_VALUE"""),"Fallback campaign")</f>
        <v>Fallback campaign</v>
      </c>
      <c r="E84" s="211" t="str">
        <f>IFERROR(__xludf.DUMMYFUNCTION("""COMPUTED_VALUE"""),"R&amp;B")</f>
        <v>R&amp;B</v>
      </c>
      <c r="F84" s="258" t="str">
        <f>IFERROR(__xludf.DUMMYFUNCTION("""COMPUTED_VALUE"""),"EOSS- July 2026 - 25% to 60% OFF")</f>
        <v>EOSS- July 2026 - 25% to 60% OFF</v>
      </c>
      <c r="G84" s="212" t="str">
        <f>IFERROR(__xludf.DUMMYFUNCTION("""COMPUTED_VALUE"""),"Fallback_Comm 3_MartoApril")</f>
        <v>Fallback_Comm 3_MartoApril</v>
      </c>
      <c r="H84" s="212" t="str">
        <f>IFERROR(__xludf.DUMMYFUNCTION("""COMPUTED_VALUE"""),"RB_Mar26_Apr26")</f>
        <v>RB_Mar26_Apr26</v>
      </c>
      <c r="I84" s="212" t="str">
        <f>IFERROR(__xludf.DUMMYFUNCTION("""COMPUTED_VALUE"""),"RCS Undelivered")</f>
        <v>RCS Undelivered</v>
      </c>
      <c r="J84" s="213">
        <f>IFERROR(__xludf.DUMMYFUNCTION("""COMPUTED_VALUE"""),63874.0)</f>
        <v>63874</v>
      </c>
      <c r="K84" s="213">
        <f>IFERROR(__xludf.DUMMYFUNCTION("""COMPUTED_VALUE"""),37313.0)</f>
        <v>37313</v>
      </c>
      <c r="L84" s="214">
        <f>IFERROR(__xludf.DUMMYFUNCTION("""COMPUTED_VALUE"""),0.584)</f>
        <v>0.584</v>
      </c>
      <c r="M84" s="213">
        <f>IFERROR(__xludf.DUMMYFUNCTION("""COMPUTED_VALUE"""),17381.0)</f>
        <v>17381</v>
      </c>
      <c r="N84" s="214">
        <f>IFERROR(__xludf.DUMMYFUNCTION("""COMPUTED_VALUE"""),0.4653)</f>
        <v>0.4653</v>
      </c>
      <c r="O84" s="213">
        <f>IFERROR(__xludf.DUMMYFUNCTION("""COMPUTED_VALUE"""),815.0)</f>
        <v>815</v>
      </c>
      <c r="P84" s="213">
        <f>IFERROR(__xludf.DUMMYFUNCTION("""COMPUTED_VALUE"""),787.0)</f>
        <v>787</v>
      </c>
      <c r="Q84" s="214">
        <f>IFERROR(__xludf.DUMMYFUNCTION("""COMPUTED_VALUE"""),0.0211)</f>
        <v>0.0211</v>
      </c>
      <c r="R84" s="214">
        <f>IFERROR(__xludf.DUMMYFUNCTION("""COMPUTED_VALUE"""),0.0453)</f>
        <v>0.0453</v>
      </c>
      <c r="S84" s="213">
        <f>IFERROR(__xludf.DUMMYFUNCTION("""COMPUTED_VALUE"""),0.0)</f>
        <v>0</v>
      </c>
      <c r="T84" s="213">
        <f>IFERROR(__xludf.DUMMYFUNCTION("""COMPUTED_VALUE"""),0.0)</f>
        <v>0</v>
      </c>
      <c r="U84" s="213">
        <f>IFERROR(__xludf.DUMMYFUNCTION("""COMPUTED_VALUE"""),0.0)</f>
        <v>0</v>
      </c>
      <c r="V84" s="101" t="str">
        <f>IFERROR(__xludf.DUMMYFUNCTION("""COMPUTED_VALUE"""),"offline")</f>
        <v>offline</v>
      </c>
      <c r="W84" s="101" t="str">
        <f>IFERROR(__xludf.DUMMYFUNCTION("""COMPUTED_VALUE"""),"simple")</f>
        <v>simple</v>
      </c>
      <c r="X84" s="101" t="str">
        <f>IFERROR(__xludf.DUMMYFUNCTION("""COMPUTED_VALUE"""),"Generic")</f>
        <v>Generic</v>
      </c>
      <c r="Y84" s="101" t="str">
        <f>IFERROR(__xludf.DUMMYFUNCTION("""COMPUTED_VALUE"""),"10th to 12th July")</f>
        <v>10th to 12th July</v>
      </c>
      <c r="Z84" s="101" t="str">
        <f>IFERROR(__xludf.DUMMYFUNCTION("""COMPUTED_VALUE"""),"6a4f754d73a706adf3cce78c")</f>
        <v>6a4f754d73a706adf3cce78c</v>
      </c>
      <c r="AA84" s="213">
        <f>IFERROR(__xludf.DUMMYFUNCTION("""COMPUTED_VALUE"""),314.0)</f>
        <v>314</v>
      </c>
      <c r="AB84" s="213"/>
      <c r="AC84" s="213">
        <f>IFERROR(__xludf.DUMMYFUNCTION("""COMPUTED_VALUE"""),314.0)</f>
        <v>314</v>
      </c>
      <c r="AD84" s="213">
        <f>IFERROR(__xludf.DUMMYFUNCTION("""COMPUTED_VALUE"""),546610.0)</f>
        <v>546610</v>
      </c>
      <c r="AE84" s="213"/>
      <c r="AF84" s="213">
        <f>IFERROR(__xludf.DUMMYFUNCTION("""COMPUTED_VALUE"""),546610.0)</f>
        <v>546610</v>
      </c>
      <c r="AG84" s="282"/>
      <c r="AH84" s="282"/>
      <c r="AI84" s="282"/>
      <c r="AJ84" s="303"/>
      <c r="AK84" s="303"/>
      <c r="AL84" s="303"/>
      <c r="AM84" s="282"/>
      <c r="AN84" s="282"/>
      <c r="AO84" s="282"/>
      <c r="AP84" s="282"/>
      <c r="AQ84" s="282"/>
      <c r="AR84" s="282"/>
      <c r="AS84" s="282"/>
      <c r="AT84" s="282"/>
      <c r="AU84" s="282"/>
      <c r="AV84" s="282"/>
      <c r="AW84" s="282"/>
      <c r="AX84" s="282"/>
      <c r="AY84" s="282"/>
      <c r="AZ84" s="282"/>
    </row>
    <row r="85">
      <c r="A85" s="209">
        <f>IFERROR(__xludf.DUMMYFUNCTION("""COMPUTED_VALUE"""),46213.0)</f>
        <v>46213</v>
      </c>
      <c r="B85" s="247">
        <f>IFERROR(__xludf.DUMMYFUNCTION("""COMPUTED_VALUE"""),0.75)</f>
        <v>0.75</v>
      </c>
      <c r="C85" s="211" t="str">
        <f>IFERROR(__xludf.DUMMYFUNCTION("""COMPUTED_VALUE"""),"Whatsapp")</f>
        <v>Whatsapp</v>
      </c>
      <c r="D85" s="211" t="str">
        <f>IFERROR(__xludf.DUMMYFUNCTION("""COMPUTED_VALUE"""),"Fallback campaign")</f>
        <v>Fallback campaign</v>
      </c>
      <c r="E85" s="211" t="str">
        <f>IFERROR(__xludf.DUMMYFUNCTION("""COMPUTED_VALUE"""),"R&amp;B")</f>
        <v>R&amp;B</v>
      </c>
      <c r="F85" s="258" t="str">
        <f>IFERROR(__xludf.DUMMYFUNCTION("""COMPUTED_VALUE"""),"EOSS- July 2026 - 25% to 60% OFF")</f>
        <v>EOSS- July 2026 - 25% to 60% OFF</v>
      </c>
      <c r="G85" s="212" t="str">
        <f>IFERROR(__xludf.DUMMYFUNCTION("""COMPUTED_VALUE"""),"Fallback_Comm 3_May")</f>
        <v>Fallback_Comm 3_May</v>
      </c>
      <c r="H85" s="212" t="str">
        <f>IFERROR(__xludf.DUMMYFUNCTION("""COMPUTED_VALUE"""),"RB_May26")</f>
        <v>RB_May26</v>
      </c>
      <c r="I85" s="212" t="str">
        <f>IFERROR(__xludf.DUMMYFUNCTION("""COMPUTED_VALUE"""),"RCS Undelivered")</f>
        <v>RCS Undelivered</v>
      </c>
      <c r="J85" s="213">
        <f>IFERROR(__xludf.DUMMYFUNCTION("""COMPUTED_VALUE"""),63369.0)</f>
        <v>63369</v>
      </c>
      <c r="K85" s="213">
        <f>IFERROR(__xludf.DUMMYFUNCTION("""COMPUTED_VALUE"""),38274.0)</f>
        <v>38274</v>
      </c>
      <c r="L85" s="214">
        <f>IFERROR(__xludf.DUMMYFUNCTION("""COMPUTED_VALUE"""),0.6038)</f>
        <v>0.6038</v>
      </c>
      <c r="M85" s="213">
        <f>IFERROR(__xludf.DUMMYFUNCTION("""COMPUTED_VALUE"""),19249.0)</f>
        <v>19249</v>
      </c>
      <c r="N85" s="214">
        <f>IFERROR(__xludf.DUMMYFUNCTION("""COMPUTED_VALUE"""),0.5022)</f>
        <v>0.5022</v>
      </c>
      <c r="O85" s="213">
        <f>IFERROR(__xludf.DUMMYFUNCTION("""COMPUTED_VALUE"""),1157.0)</f>
        <v>1157</v>
      </c>
      <c r="P85" s="213">
        <f>IFERROR(__xludf.DUMMYFUNCTION("""COMPUTED_VALUE"""),1108.0)</f>
        <v>1108</v>
      </c>
      <c r="Q85" s="214">
        <f>IFERROR(__xludf.DUMMYFUNCTION("""COMPUTED_VALUE"""),0.029)</f>
        <v>0.029</v>
      </c>
      <c r="R85" s="214">
        <f>IFERROR(__xludf.DUMMYFUNCTION("""COMPUTED_VALUE"""),0.0577)</f>
        <v>0.0577</v>
      </c>
      <c r="S85" s="213">
        <f>IFERROR(__xludf.DUMMYFUNCTION("""COMPUTED_VALUE"""),0.0)</f>
        <v>0</v>
      </c>
      <c r="T85" s="213">
        <f>IFERROR(__xludf.DUMMYFUNCTION("""COMPUTED_VALUE"""),0.0)</f>
        <v>0</v>
      </c>
      <c r="U85" s="213">
        <f>IFERROR(__xludf.DUMMYFUNCTION("""COMPUTED_VALUE"""),0.0)</f>
        <v>0</v>
      </c>
      <c r="V85" s="101" t="str">
        <f>IFERROR(__xludf.DUMMYFUNCTION("""COMPUTED_VALUE"""),"offline")</f>
        <v>offline</v>
      </c>
      <c r="W85" s="101" t="str">
        <f>IFERROR(__xludf.DUMMYFUNCTION("""COMPUTED_VALUE"""),"simple")</f>
        <v>simple</v>
      </c>
      <c r="X85" s="101" t="str">
        <f>IFERROR(__xludf.DUMMYFUNCTION("""COMPUTED_VALUE"""),"Generic")</f>
        <v>Generic</v>
      </c>
      <c r="Y85" s="101" t="str">
        <f>IFERROR(__xludf.DUMMYFUNCTION("""COMPUTED_VALUE"""),"10th to 12th July")</f>
        <v>10th to 12th July</v>
      </c>
      <c r="Z85" s="101" t="str">
        <f>IFERROR(__xludf.DUMMYFUNCTION("""COMPUTED_VALUE"""),"6a4f77d716beab87bd07d229")</f>
        <v>6a4f77d716beab87bd07d229</v>
      </c>
      <c r="AA85" s="213">
        <f>IFERROR(__xludf.DUMMYFUNCTION("""COMPUTED_VALUE"""),305.0)</f>
        <v>305</v>
      </c>
      <c r="AB85" s="213">
        <f>IFERROR(__xludf.DUMMYFUNCTION("""COMPUTED_VALUE"""),305.0)</f>
        <v>305</v>
      </c>
      <c r="AC85" s="213">
        <f>IFERROR(__xludf.DUMMYFUNCTION("""COMPUTED_VALUE"""),305.0)</f>
        <v>305</v>
      </c>
      <c r="AD85" s="213">
        <f>IFERROR(__xludf.DUMMYFUNCTION("""COMPUTED_VALUE"""),480557.0)</f>
        <v>480557</v>
      </c>
      <c r="AE85" s="213"/>
      <c r="AF85" s="213">
        <f>IFERROR(__xludf.DUMMYFUNCTION("""COMPUTED_VALUE"""),480557.0)</f>
        <v>480557</v>
      </c>
      <c r="AG85" s="282"/>
      <c r="AH85" s="282"/>
      <c r="AI85" s="282"/>
      <c r="AJ85" s="303"/>
      <c r="AK85" s="303"/>
      <c r="AL85" s="303"/>
      <c r="AM85" s="282"/>
      <c r="AN85" s="282"/>
      <c r="AO85" s="282"/>
      <c r="AP85" s="282"/>
      <c r="AQ85" s="282"/>
      <c r="AR85" s="282"/>
      <c r="AS85" s="282"/>
      <c r="AT85" s="282"/>
      <c r="AU85" s="282"/>
      <c r="AV85" s="282"/>
      <c r="AW85" s="282"/>
      <c r="AX85" s="282"/>
      <c r="AY85" s="282"/>
      <c r="AZ85" s="282"/>
    </row>
    <row r="86">
      <c r="A86" s="209">
        <f>IFERROR(__xludf.DUMMYFUNCTION("""COMPUTED_VALUE"""),46213.0)</f>
        <v>46213</v>
      </c>
      <c r="B86" s="247">
        <f>IFERROR(__xludf.DUMMYFUNCTION("""COMPUTED_VALUE"""),0.75)</f>
        <v>0.75</v>
      </c>
      <c r="C86" s="211" t="str">
        <f>IFERROR(__xludf.DUMMYFUNCTION("""COMPUTED_VALUE"""),"Whatsapp")</f>
        <v>Whatsapp</v>
      </c>
      <c r="D86" s="211" t="str">
        <f>IFERROR(__xludf.DUMMYFUNCTION("""COMPUTED_VALUE"""),"Fallback campaign")</f>
        <v>Fallback campaign</v>
      </c>
      <c r="E86" s="211" t="str">
        <f>IFERROR(__xludf.DUMMYFUNCTION("""COMPUTED_VALUE"""),"R&amp;B")</f>
        <v>R&amp;B</v>
      </c>
      <c r="F86" s="211" t="str">
        <f>IFERROR(__xludf.DUMMYFUNCTION("""COMPUTED_VALUE"""),"EOSS- July 2026 - 25% to 60% OFF")</f>
        <v>EOSS- July 2026 - 25% to 60% OFF</v>
      </c>
      <c r="G86" s="211" t="str">
        <f>IFERROR(__xludf.DUMMYFUNCTION("""COMPUTED_VALUE"""),"Fallback_Comm 3_June")</f>
        <v>Fallback_Comm 3_June</v>
      </c>
      <c r="H86" s="212" t="str">
        <f>IFERROR(__xludf.DUMMYFUNCTION("""COMPUTED_VALUE"""),"RB_June_26")</f>
        <v>RB_June_26</v>
      </c>
      <c r="I86" s="212" t="str">
        <f>IFERROR(__xludf.DUMMYFUNCTION("""COMPUTED_VALUE"""),"RCS Undelivered")</f>
        <v>RCS Undelivered</v>
      </c>
      <c r="J86" s="213">
        <f>IFERROR(__xludf.DUMMYFUNCTION("""COMPUTED_VALUE"""),52857.0)</f>
        <v>52857</v>
      </c>
      <c r="K86" s="213">
        <f>IFERROR(__xludf.DUMMYFUNCTION("""COMPUTED_VALUE"""),33092.0)</f>
        <v>33092</v>
      </c>
      <c r="L86" s="214">
        <f>IFERROR(__xludf.DUMMYFUNCTION("""COMPUTED_VALUE"""),0.6258)</f>
        <v>0.6258</v>
      </c>
      <c r="M86" s="213">
        <f>IFERROR(__xludf.DUMMYFUNCTION("""COMPUTED_VALUE"""),17946.0)</f>
        <v>17946</v>
      </c>
      <c r="N86" s="214">
        <f>IFERROR(__xludf.DUMMYFUNCTION("""COMPUTED_VALUE"""),0.5419)</f>
        <v>0.5419</v>
      </c>
      <c r="O86" s="213">
        <f>IFERROR(__xludf.DUMMYFUNCTION("""COMPUTED_VALUE"""),1624.0)</f>
        <v>1624</v>
      </c>
      <c r="P86" s="213">
        <f>IFERROR(__xludf.DUMMYFUNCTION("""COMPUTED_VALUE"""),1537.0)</f>
        <v>1537</v>
      </c>
      <c r="Q86" s="214">
        <f>IFERROR(__xludf.DUMMYFUNCTION("""COMPUTED_VALUE"""),0.0465)</f>
        <v>0.0465</v>
      </c>
      <c r="R86" s="214">
        <f>IFERROR(__xludf.DUMMYFUNCTION("""COMPUTED_VALUE"""),0.0857)</f>
        <v>0.0857</v>
      </c>
      <c r="S86" s="213">
        <f>IFERROR(__xludf.DUMMYFUNCTION("""COMPUTED_VALUE"""),0.0)</f>
        <v>0</v>
      </c>
      <c r="T86" s="213">
        <f>IFERROR(__xludf.DUMMYFUNCTION("""COMPUTED_VALUE"""),0.0)</f>
        <v>0</v>
      </c>
      <c r="U86" s="213">
        <f>IFERROR(__xludf.DUMMYFUNCTION("""COMPUTED_VALUE"""),0.0)</f>
        <v>0</v>
      </c>
      <c r="V86" s="101" t="str">
        <f>IFERROR(__xludf.DUMMYFUNCTION("""COMPUTED_VALUE"""),"offline")</f>
        <v>offline</v>
      </c>
      <c r="W86" s="101" t="str">
        <f>IFERROR(__xludf.DUMMYFUNCTION("""COMPUTED_VALUE"""),"simple")</f>
        <v>simple</v>
      </c>
      <c r="X86" s="101" t="str">
        <f>IFERROR(__xludf.DUMMYFUNCTION("""COMPUTED_VALUE"""),"Generic")</f>
        <v>Generic</v>
      </c>
      <c r="Y86" s="101" t="str">
        <f>IFERROR(__xludf.DUMMYFUNCTION("""COMPUTED_VALUE"""),"10th to 12th July")</f>
        <v>10th to 12th July</v>
      </c>
      <c r="Z86" s="101" t="str">
        <f>IFERROR(__xludf.DUMMYFUNCTION("""COMPUTED_VALUE"""),"6a4f7874f0dbad48665af0ee")</f>
        <v>6a4f7874f0dbad48665af0ee</v>
      </c>
      <c r="AA86" s="213">
        <f>IFERROR(__xludf.DUMMYFUNCTION("""COMPUTED_VALUE"""),331.0)</f>
        <v>331</v>
      </c>
      <c r="AB86" s="213"/>
      <c r="AC86" s="213">
        <f>IFERROR(__xludf.DUMMYFUNCTION("""COMPUTED_VALUE"""),331.0)</f>
        <v>331</v>
      </c>
      <c r="AD86" s="213">
        <f>IFERROR(__xludf.DUMMYFUNCTION("""COMPUTED_VALUE"""),477217.0)</f>
        <v>477217</v>
      </c>
      <c r="AE86" s="213"/>
      <c r="AF86" s="213">
        <f>IFERROR(__xludf.DUMMYFUNCTION("""COMPUTED_VALUE"""),477217.0)</f>
        <v>477217</v>
      </c>
      <c r="AG86" s="282"/>
      <c r="AH86" s="282"/>
      <c r="AI86" s="282"/>
      <c r="AJ86" s="303"/>
      <c r="AK86" s="303"/>
      <c r="AL86" s="303"/>
      <c r="AM86" s="282"/>
      <c r="AN86" s="282"/>
      <c r="AO86" s="282"/>
      <c r="AP86" s="282"/>
      <c r="AQ86" s="282"/>
      <c r="AR86" s="282"/>
      <c r="AS86" s="282"/>
      <c r="AT86" s="282"/>
      <c r="AU86" s="282"/>
      <c r="AV86" s="282"/>
      <c r="AW86" s="282"/>
      <c r="AX86" s="282"/>
      <c r="AY86" s="282"/>
      <c r="AZ86" s="282"/>
    </row>
    <row r="87">
      <c r="A87" s="209">
        <f>IFERROR(__xludf.DUMMYFUNCTION("""COMPUTED_VALUE"""),46213.0)</f>
        <v>46213</v>
      </c>
      <c r="B87" s="247">
        <f>IFERROR(__xludf.DUMMYFUNCTION("""COMPUTED_VALUE"""),0.6666666666678793)</f>
        <v>0.6666666667</v>
      </c>
      <c r="C87" s="211" t="str">
        <f>IFERROR(__xludf.DUMMYFUNCTION("""COMPUTED_VALUE"""),"Rcs")</f>
        <v>Rcs</v>
      </c>
      <c r="D87" s="211" t="str">
        <f>IFERROR(__xludf.DUMMYFUNCTION("""COMPUTED_VALUE"""),"Promotional")</f>
        <v>Promotional</v>
      </c>
      <c r="E87" s="211" t="str">
        <f>IFERROR(__xludf.DUMMYFUNCTION("""COMPUTED_VALUE"""),"R&amp;B")</f>
        <v>R&amp;B</v>
      </c>
      <c r="F87" s="211" t="str">
        <f>IFERROR(__xludf.DUMMYFUNCTION("""COMPUTED_VALUE"""),"EOSS - July 2026 - 25% to 60% OFF")</f>
        <v>EOSS - July 2026 - 25% to 60% OFF</v>
      </c>
      <c r="G87" s="211" t="str">
        <f>IFERROR(__xludf.DUMMYFUNCTION("""COMPUTED_VALUE"""),"Comm 3_DectoFeb")</f>
        <v>Comm 3_DectoFeb</v>
      </c>
      <c r="H87" s="212" t="str">
        <f>IFERROR(__xludf.DUMMYFUNCTION("""COMPUTED_VALUE"""),"RB_Dec25_Feb26")</f>
        <v>RB_Dec25_Feb26</v>
      </c>
      <c r="I87" s="212" t="str">
        <f>IFERROR(__xludf.DUMMYFUNCTION("""COMPUTED_VALUE"""),"All offline customers who have purchased between Dec 2025 and Feb 2026")</f>
        <v>All offline customers who have purchased between Dec 2025 and Feb 2026</v>
      </c>
      <c r="J87" s="213">
        <f>IFERROR(__xludf.DUMMYFUNCTION("""COMPUTED_VALUE"""),161739.0)</f>
        <v>161739</v>
      </c>
      <c r="K87" s="213">
        <f>IFERROR(__xludf.DUMMYFUNCTION("""COMPUTED_VALUE"""),78860.0)</f>
        <v>78860</v>
      </c>
      <c r="L87" s="214">
        <f>IFERROR(__xludf.DUMMYFUNCTION("""COMPUTED_VALUE"""),0.4876)</f>
        <v>0.4876</v>
      </c>
      <c r="M87" s="213">
        <f>IFERROR(__xludf.DUMMYFUNCTION("""COMPUTED_VALUE"""),17357.0)</f>
        <v>17357</v>
      </c>
      <c r="N87" s="214">
        <f>IFERROR(__xludf.DUMMYFUNCTION("""COMPUTED_VALUE"""),0.2203)</f>
        <v>0.2203</v>
      </c>
      <c r="O87" s="213">
        <f>IFERROR(__xludf.DUMMYFUNCTION("""COMPUTED_VALUE"""),0.0)</f>
        <v>0</v>
      </c>
      <c r="P87" s="213">
        <f>IFERROR(__xludf.DUMMYFUNCTION("""COMPUTED_VALUE"""),0.0)</f>
        <v>0</v>
      </c>
      <c r="Q87" s="214">
        <f>IFERROR(__xludf.DUMMYFUNCTION("""COMPUTED_VALUE"""),0.0)</f>
        <v>0</v>
      </c>
      <c r="R87" s="214">
        <f>IFERROR(__xludf.DUMMYFUNCTION("""COMPUTED_VALUE"""),0.0)</f>
        <v>0</v>
      </c>
      <c r="S87" s="213">
        <f>IFERROR(__xludf.DUMMYFUNCTION("""COMPUTED_VALUE"""),0.0)</f>
        <v>0</v>
      </c>
      <c r="T87" s="213">
        <f>IFERROR(__xludf.DUMMYFUNCTION("""COMPUTED_VALUE"""),0.0)</f>
        <v>0</v>
      </c>
      <c r="U87" s="213">
        <f>IFERROR(__xludf.DUMMYFUNCTION("""COMPUTED_VALUE"""),0.0)</f>
        <v>0</v>
      </c>
      <c r="V87" s="101" t="str">
        <f>IFERROR(__xludf.DUMMYFUNCTION("""COMPUTED_VALUE"""),"overall")</f>
        <v>overall</v>
      </c>
      <c r="W87" s="101" t="str">
        <f>IFERROR(__xludf.DUMMYFUNCTION("""COMPUTED_VALUE"""),"RCS")</f>
        <v>RCS</v>
      </c>
      <c r="X87" s="101" t="str">
        <f>IFERROR(__xludf.DUMMYFUNCTION("""COMPUTED_VALUE"""),"Generic")</f>
        <v>Generic</v>
      </c>
      <c r="Y87" s="101" t="str">
        <f>IFERROR(__xludf.DUMMYFUNCTION("""COMPUTED_VALUE"""),"10th to 12th July")</f>
        <v>10th to 12th July</v>
      </c>
      <c r="Z87" s="101" t="str">
        <f>IFERROR(__xludf.DUMMYFUNCTION("""COMPUTED_VALUE"""),"6a4f73e2cbfea30c91f2ed81")</f>
        <v>6a4f73e2cbfea30c91f2ed81</v>
      </c>
      <c r="AA87" s="213">
        <f>IFERROR(__xludf.DUMMYFUNCTION("""COMPUTED_VALUE"""),690.0)</f>
        <v>690</v>
      </c>
      <c r="AB87" s="213">
        <f>IFERROR(__xludf.DUMMYFUNCTION("""COMPUTED_VALUE"""),0.0)</f>
        <v>0</v>
      </c>
      <c r="AC87" s="213">
        <f>IFERROR(__xludf.DUMMYFUNCTION("""COMPUTED_VALUE"""),690.0)</f>
        <v>690</v>
      </c>
      <c r="AD87" s="213">
        <f>IFERROR(__xludf.DUMMYFUNCTION("""COMPUTED_VALUE"""),1158379.0)</f>
        <v>1158379</v>
      </c>
      <c r="AE87" s="213">
        <f>IFERROR(__xludf.DUMMYFUNCTION("""COMPUTED_VALUE"""),0.0)</f>
        <v>0</v>
      </c>
      <c r="AF87" s="213">
        <f>IFERROR(__xludf.DUMMYFUNCTION("""COMPUTED_VALUE"""),1158379.0)</f>
        <v>1158379</v>
      </c>
      <c r="AG87" s="282"/>
      <c r="AH87" s="282"/>
      <c r="AI87" s="282"/>
      <c r="AJ87" s="303"/>
      <c r="AK87" s="303"/>
      <c r="AL87" s="303"/>
      <c r="AM87" s="282"/>
      <c r="AN87" s="282"/>
      <c r="AO87" s="282"/>
      <c r="AP87" s="282"/>
      <c r="AQ87" s="282"/>
      <c r="AR87" s="282"/>
      <c r="AS87" s="282"/>
      <c r="AT87" s="282"/>
      <c r="AU87" s="282"/>
      <c r="AV87" s="282"/>
      <c r="AW87" s="282"/>
      <c r="AX87" s="282"/>
      <c r="AY87" s="282"/>
      <c r="AZ87" s="282"/>
    </row>
    <row r="88">
      <c r="A88" s="209">
        <f>IFERROR(__xludf.DUMMYFUNCTION("""COMPUTED_VALUE"""),46213.0)</f>
        <v>46213</v>
      </c>
      <c r="B88" s="305">
        <f>IFERROR(__xludf.DUMMYFUNCTION("""COMPUTED_VALUE"""),0.6666666666678793)</f>
        <v>0.6666666667</v>
      </c>
      <c r="C88" s="28" t="str">
        <f>IFERROR(__xludf.DUMMYFUNCTION("""COMPUTED_VALUE"""),"Rcs")</f>
        <v>Rcs</v>
      </c>
      <c r="D88" s="28" t="str">
        <f>IFERROR(__xludf.DUMMYFUNCTION("""COMPUTED_VALUE"""),"Promotional")</f>
        <v>Promotional</v>
      </c>
      <c r="E88" s="28" t="str">
        <f>IFERROR(__xludf.DUMMYFUNCTION("""COMPUTED_VALUE"""),"R&amp;B")</f>
        <v>R&amp;B</v>
      </c>
      <c r="F88" s="28" t="str">
        <f>IFERROR(__xludf.DUMMYFUNCTION("""COMPUTED_VALUE"""),"EOSS - July 2026 - 25% to 60% OFF")</f>
        <v>EOSS - July 2026 - 25% to 60% OFF</v>
      </c>
      <c r="G88" s="28" t="str">
        <f>IFERROR(__xludf.DUMMYFUNCTION("""COMPUTED_VALUE"""),"Comm 3_MartoApril")</f>
        <v>Comm 3_MartoApril</v>
      </c>
      <c r="H88" s="28" t="str">
        <f>IFERROR(__xludf.DUMMYFUNCTION("""COMPUTED_VALUE"""),"RB_Mar26_Apr26")</f>
        <v>RB_Mar26_Apr26</v>
      </c>
      <c r="I88" s="28" t="str">
        <f>IFERROR(__xludf.DUMMYFUNCTION("""COMPUTED_VALUE"""),"All offline customers who have purchased between March 2026 and April 2026")</f>
        <v>All offline customers who have purchased between March 2026 and April 2026</v>
      </c>
      <c r="J88" s="35">
        <f>IFERROR(__xludf.DUMMYFUNCTION("""COMPUTED_VALUE"""),130530.0)</f>
        <v>130530</v>
      </c>
      <c r="K88" s="35">
        <f>IFERROR(__xludf.DUMMYFUNCTION("""COMPUTED_VALUE"""),65212.0)</f>
        <v>65212</v>
      </c>
      <c r="L88" s="36">
        <f>IFERROR(__xludf.DUMMYFUNCTION("""COMPUTED_VALUE"""),0.4996)</f>
        <v>0.4996</v>
      </c>
      <c r="M88" s="35">
        <f>IFERROR(__xludf.DUMMYFUNCTION("""COMPUTED_VALUE"""),14416.0)</f>
        <v>14416</v>
      </c>
      <c r="N88" s="36">
        <f>IFERROR(__xludf.DUMMYFUNCTION("""COMPUTED_VALUE"""),0.2212)</f>
        <v>0.2212</v>
      </c>
      <c r="O88" s="35">
        <f>IFERROR(__xludf.DUMMYFUNCTION("""COMPUTED_VALUE"""),0.0)</f>
        <v>0</v>
      </c>
      <c r="P88" s="35">
        <f>IFERROR(__xludf.DUMMYFUNCTION("""COMPUTED_VALUE"""),0.0)</f>
        <v>0</v>
      </c>
      <c r="Q88" s="36">
        <f>IFERROR(__xludf.DUMMYFUNCTION("""COMPUTED_VALUE"""),0.0)</f>
        <v>0</v>
      </c>
      <c r="R88" s="36">
        <f>IFERROR(__xludf.DUMMYFUNCTION("""COMPUTED_VALUE"""),0.0)</f>
        <v>0</v>
      </c>
      <c r="S88" s="35">
        <f>IFERROR(__xludf.DUMMYFUNCTION("""COMPUTED_VALUE"""),0.0)</f>
        <v>0</v>
      </c>
      <c r="T88" s="35">
        <f>IFERROR(__xludf.DUMMYFUNCTION("""COMPUTED_VALUE"""),0.0)</f>
        <v>0</v>
      </c>
      <c r="U88" s="35">
        <f>IFERROR(__xludf.DUMMYFUNCTION("""COMPUTED_VALUE"""),0.0)</f>
        <v>0</v>
      </c>
      <c r="V88" s="42" t="str">
        <f>IFERROR(__xludf.DUMMYFUNCTION("""COMPUTED_VALUE"""),"overall")</f>
        <v>overall</v>
      </c>
      <c r="W88" s="42" t="str">
        <f>IFERROR(__xludf.DUMMYFUNCTION("""COMPUTED_VALUE"""),"RCS")</f>
        <v>RCS</v>
      </c>
      <c r="X88" s="42" t="str">
        <f>IFERROR(__xludf.DUMMYFUNCTION("""COMPUTED_VALUE"""),"Generic")</f>
        <v>Generic</v>
      </c>
      <c r="Y88" s="42" t="str">
        <f>IFERROR(__xludf.DUMMYFUNCTION("""COMPUTED_VALUE"""),"10th to 12th July")</f>
        <v>10th to 12th July</v>
      </c>
      <c r="Z88" s="42" t="str">
        <f>IFERROR(__xludf.DUMMYFUNCTION("""COMPUTED_VALUE"""),"6a4f74ea36550d9e1f6b6d3f")</f>
        <v>6a4f74ea36550d9e1f6b6d3f</v>
      </c>
      <c r="AA88" s="35">
        <f>IFERROR(__xludf.DUMMYFUNCTION("""COMPUTED_VALUE"""),486.0)</f>
        <v>486</v>
      </c>
      <c r="AB88" s="35">
        <f>IFERROR(__xludf.DUMMYFUNCTION("""COMPUTED_VALUE"""),0.0)</f>
        <v>0</v>
      </c>
      <c r="AC88" s="35">
        <f>IFERROR(__xludf.DUMMYFUNCTION("""COMPUTED_VALUE"""),486.0)</f>
        <v>486</v>
      </c>
      <c r="AD88" s="35">
        <f>IFERROR(__xludf.DUMMYFUNCTION("""COMPUTED_VALUE"""),816689.0)</f>
        <v>816689</v>
      </c>
      <c r="AE88" s="35">
        <f>IFERROR(__xludf.DUMMYFUNCTION("""COMPUTED_VALUE"""),0.0)</f>
        <v>0</v>
      </c>
      <c r="AF88" s="35">
        <f>IFERROR(__xludf.DUMMYFUNCTION("""COMPUTED_VALUE"""),816689.0)</f>
        <v>816689</v>
      </c>
      <c r="AG88" s="282"/>
      <c r="AH88" s="282"/>
      <c r="AI88" s="282"/>
      <c r="AJ88" s="303"/>
      <c r="AK88" s="303"/>
      <c r="AL88" s="303"/>
      <c r="AM88" s="282"/>
      <c r="AN88" s="282"/>
      <c r="AO88" s="282"/>
      <c r="AP88" s="282"/>
      <c r="AQ88" s="282"/>
      <c r="AR88" s="282"/>
      <c r="AS88" s="282"/>
      <c r="AT88" s="282"/>
      <c r="AU88" s="282"/>
      <c r="AV88" s="282"/>
      <c r="AW88" s="282"/>
      <c r="AX88" s="282"/>
      <c r="AY88" s="282"/>
      <c r="AZ88" s="282"/>
    </row>
    <row r="89">
      <c r="A89" s="209">
        <f>IFERROR(__xludf.DUMMYFUNCTION("""COMPUTED_VALUE"""),46213.0)</f>
        <v>46213</v>
      </c>
      <c r="B89" s="305">
        <f>IFERROR(__xludf.DUMMYFUNCTION("""COMPUTED_VALUE"""),0.6666666666678793)</f>
        <v>0.6666666667</v>
      </c>
      <c r="C89" s="28" t="str">
        <f>IFERROR(__xludf.DUMMYFUNCTION("""COMPUTED_VALUE"""),"Rcs")</f>
        <v>Rcs</v>
      </c>
      <c r="D89" s="28" t="str">
        <f>IFERROR(__xludf.DUMMYFUNCTION("""COMPUTED_VALUE"""),"Promotional")</f>
        <v>Promotional</v>
      </c>
      <c r="E89" s="28" t="str">
        <f>IFERROR(__xludf.DUMMYFUNCTION("""COMPUTED_VALUE"""),"R&amp;B")</f>
        <v>R&amp;B</v>
      </c>
      <c r="F89" s="28" t="str">
        <f>IFERROR(__xludf.DUMMYFUNCTION("""COMPUTED_VALUE"""),"EOSS - July 2026 - 25% to 60% OFF")</f>
        <v>EOSS - July 2026 - 25% to 60% OFF</v>
      </c>
      <c r="G89" s="28" t="str">
        <f>IFERROR(__xludf.DUMMYFUNCTION("""COMPUTED_VALUE"""),"Comm 3_May")</f>
        <v>Comm 3_May</v>
      </c>
      <c r="H89" s="28" t="str">
        <f>IFERROR(__xludf.DUMMYFUNCTION("""COMPUTED_VALUE"""),"RB_May26")</f>
        <v>RB_May26</v>
      </c>
      <c r="I89" s="28" t="str">
        <f>IFERROR(__xludf.DUMMYFUNCTION("""COMPUTED_VALUE"""),"All offline customers who have purchased in May 2026")</f>
        <v>All offline customers who have purchased in May 2026</v>
      </c>
      <c r="J89" s="35">
        <f>IFERROR(__xludf.DUMMYFUNCTION("""COMPUTED_VALUE"""),123596.0)</f>
        <v>123596</v>
      </c>
      <c r="K89" s="35">
        <f>IFERROR(__xludf.DUMMYFUNCTION("""COMPUTED_VALUE"""),62717.0)</f>
        <v>62717</v>
      </c>
      <c r="L89" s="36">
        <f>IFERROR(__xludf.DUMMYFUNCTION("""COMPUTED_VALUE"""),0.5074)</f>
        <v>0.5074</v>
      </c>
      <c r="M89" s="35">
        <f>IFERROR(__xludf.DUMMYFUNCTION("""COMPUTED_VALUE"""),14148.0)</f>
        <v>14148</v>
      </c>
      <c r="N89" s="36">
        <f>IFERROR(__xludf.DUMMYFUNCTION("""COMPUTED_VALUE"""),0.2257)</f>
        <v>0.2257</v>
      </c>
      <c r="O89" s="35">
        <f>IFERROR(__xludf.DUMMYFUNCTION("""COMPUTED_VALUE"""),0.0)</f>
        <v>0</v>
      </c>
      <c r="P89" s="35">
        <f>IFERROR(__xludf.DUMMYFUNCTION("""COMPUTED_VALUE"""),0.0)</f>
        <v>0</v>
      </c>
      <c r="Q89" s="36">
        <f>IFERROR(__xludf.DUMMYFUNCTION("""COMPUTED_VALUE"""),0.0)</f>
        <v>0</v>
      </c>
      <c r="R89" s="36">
        <f>IFERROR(__xludf.DUMMYFUNCTION("""COMPUTED_VALUE"""),0.0)</f>
        <v>0</v>
      </c>
      <c r="S89" s="35">
        <f>IFERROR(__xludf.DUMMYFUNCTION("""COMPUTED_VALUE"""),0.0)</f>
        <v>0</v>
      </c>
      <c r="T89" s="35">
        <f>IFERROR(__xludf.DUMMYFUNCTION("""COMPUTED_VALUE"""),0.0)</f>
        <v>0</v>
      </c>
      <c r="U89" s="35">
        <f>IFERROR(__xludf.DUMMYFUNCTION("""COMPUTED_VALUE"""),0.0)</f>
        <v>0</v>
      </c>
      <c r="V89" s="42" t="str">
        <f>IFERROR(__xludf.DUMMYFUNCTION("""COMPUTED_VALUE"""),"overall")</f>
        <v>overall</v>
      </c>
      <c r="W89" s="42" t="str">
        <f>IFERROR(__xludf.DUMMYFUNCTION("""COMPUTED_VALUE"""),"RCS")</f>
        <v>RCS</v>
      </c>
      <c r="X89" s="42" t="str">
        <f>IFERROR(__xludf.DUMMYFUNCTION("""COMPUTED_VALUE"""),"Generic")</f>
        <v>Generic</v>
      </c>
      <c r="Y89" s="42" t="str">
        <f>IFERROR(__xludf.DUMMYFUNCTION("""COMPUTED_VALUE"""),"10th to 12th July")</f>
        <v>10th to 12th July</v>
      </c>
      <c r="Z89" s="42" t="str">
        <f>IFERROR(__xludf.DUMMYFUNCTION("""COMPUTED_VALUE"""),"6a4f75d24a8095a6a3e84cdb")</f>
        <v>6a4f75d24a8095a6a3e84cdb</v>
      </c>
      <c r="AA89" s="35">
        <f>IFERROR(__xludf.DUMMYFUNCTION("""COMPUTED_VALUE"""),411.0)</f>
        <v>411</v>
      </c>
      <c r="AB89" s="35">
        <f>IFERROR(__xludf.DUMMYFUNCTION("""COMPUTED_VALUE"""),0.0)</f>
        <v>0</v>
      </c>
      <c r="AC89" s="35">
        <f>IFERROR(__xludf.DUMMYFUNCTION("""COMPUTED_VALUE"""),411.0)</f>
        <v>411</v>
      </c>
      <c r="AD89" s="35">
        <f>IFERROR(__xludf.DUMMYFUNCTION("""COMPUTED_VALUE"""),620430.0)</f>
        <v>620430</v>
      </c>
      <c r="AE89" s="35">
        <f>IFERROR(__xludf.DUMMYFUNCTION("""COMPUTED_VALUE"""),0.0)</f>
        <v>0</v>
      </c>
      <c r="AF89" s="35">
        <f>IFERROR(__xludf.DUMMYFUNCTION("""COMPUTED_VALUE"""),620430.0)</f>
        <v>620430</v>
      </c>
      <c r="AG89" s="282"/>
      <c r="AH89" s="282"/>
      <c r="AI89" s="282"/>
      <c r="AJ89" s="303"/>
      <c r="AK89" s="303"/>
      <c r="AL89" s="303"/>
      <c r="AM89" s="282"/>
      <c r="AN89" s="282"/>
      <c r="AO89" s="282"/>
      <c r="AP89" s="282"/>
      <c r="AQ89" s="282"/>
      <c r="AR89" s="282"/>
      <c r="AS89" s="282"/>
      <c r="AT89" s="282"/>
      <c r="AU89" s="282"/>
      <c r="AV89" s="282"/>
      <c r="AW89" s="282"/>
      <c r="AX89" s="282"/>
      <c r="AY89" s="282"/>
      <c r="AZ89" s="282"/>
    </row>
    <row r="90">
      <c r="A90" s="209">
        <f>IFERROR(__xludf.DUMMYFUNCTION("""COMPUTED_VALUE"""),46213.0)</f>
        <v>46213</v>
      </c>
      <c r="B90" s="210">
        <f>IFERROR(__xludf.DUMMYFUNCTION("""COMPUTED_VALUE"""),0.6666666666678793)</f>
        <v>0.6666666667</v>
      </c>
      <c r="C90" s="211" t="str">
        <f>IFERROR(__xludf.DUMMYFUNCTION("""COMPUTED_VALUE"""),"Rcs")</f>
        <v>Rcs</v>
      </c>
      <c r="D90" s="211" t="str">
        <f>IFERROR(__xludf.DUMMYFUNCTION("""COMPUTED_VALUE"""),"Promotional")</f>
        <v>Promotional</v>
      </c>
      <c r="E90" s="211" t="str">
        <f>IFERROR(__xludf.DUMMYFUNCTION("""COMPUTED_VALUE"""),"R&amp;B")</f>
        <v>R&amp;B</v>
      </c>
      <c r="F90" s="211" t="str">
        <f>IFERROR(__xludf.DUMMYFUNCTION("""COMPUTED_VALUE"""),"EOSS - July 2026 - 25% to 60% OFF")</f>
        <v>EOSS - July 2026 - 25% to 60% OFF</v>
      </c>
      <c r="G90" s="218" t="str">
        <f>IFERROR(__xludf.DUMMYFUNCTION("""COMPUTED_VALUE"""),"Comm 3_June")</f>
        <v>Comm 3_June</v>
      </c>
      <c r="H90" s="218" t="str">
        <f>IFERROR(__xludf.DUMMYFUNCTION("""COMPUTED_VALUE"""),"RB_June_26")</f>
        <v>RB_June_26</v>
      </c>
      <c r="I90" s="28" t="str">
        <f>IFERROR(__xludf.DUMMYFUNCTION("""COMPUTED_VALUE"""),"All offline customers who have purchased in June 2026")</f>
        <v>All offline customers who have purchased in June 2026</v>
      </c>
      <c r="J90" s="213">
        <f>IFERROR(__xludf.DUMMYFUNCTION("""COMPUTED_VALUE"""),104910.0)</f>
        <v>104910</v>
      </c>
      <c r="K90" s="213">
        <f>IFERROR(__xludf.DUMMYFUNCTION("""COMPUTED_VALUE"""),54347.0)</f>
        <v>54347</v>
      </c>
      <c r="L90" s="214">
        <f>IFERROR(__xludf.DUMMYFUNCTION("""COMPUTED_VALUE"""),0.518)</f>
        <v>0.518</v>
      </c>
      <c r="M90" s="213">
        <f>IFERROR(__xludf.DUMMYFUNCTION("""COMPUTED_VALUE"""),12649.0)</f>
        <v>12649</v>
      </c>
      <c r="N90" s="214">
        <f>IFERROR(__xludf.DUMMYFUNCTION("""COMPUTED_VALUE"""),0.2328)</f>
        <v>0.2328</v>
      </c>
      <c r="O90" s="213">
        <f>IFERROR(__xludf.DUMMYFUNCTION("""COMPUTED_VALUE"""),0.0)</f>
        <v>0</v>
      </c>
      <c r="P90" s="213">
        <f>IFERROR(__xludf.DUMMYFUNCTION("""COMPUTED_VALUE"""),0.0)</f>
        <v>0</v>
      </c>
      <c r="Q90" s="214">
        <f>IFERROR(__xludf.DUMMYFUNCTION("""COMPUTED_VALUE"""),0.0)</f>
        <v>0</v>
      </c>
      <c r="R90" s="214">
        <f>IFERROR(__xludf.DUMMYFUNCTION("""COMPUTED_VALUE"""),0.0)</f>
        <v>0</v>
      </c>
      <c r="S90" s="270">
        <f>IFERROR(__xludf.DUMMYFUNCTION("""COMPUTED_VALUE"""),0.0)</f>
        <v>0</v>
      </c>
      <c r="T90" s="270">
        <f>IFERROR(__xludf.DUMMYFUNCTION("""COMPUTED_VALUE"""),0.0)</f>
        <v>0</v>
      </c>
      <c r="U90" s="270">
        <f>IFERROR(__xludf.DUMMYFUNCTION("""COMPUTED_VALUE"""),0.0)</f>
        <v>0</v>
      </c>
      <c r="V90" s="101" t="str">
        <f>IFERROR(__xludf.DUMMYFUNCTION("""COMPUTED_VALUE"""),"overall")</f>
        <v>overall</v>
      </c>
      <c r="W90" s="101" t="str">
        <f>IFERROR(__xludf.DUMMYFUNCTION("""COMPUTED_VALUE"""),"RCS")</f>
        <v>RCS</v>
      </c>
      <c r="X90" s="101" t="str">
        <f>IFERROR(__xludf.DUMMYFUNCTION("""COMPUTED_VALUE"""),"Generic")</f>
        <v>Generic</v>
      </c>
      <c r="Y90" s="101" t="str">
        <f>IFERROR(__xludf.DUMMYFUNCTION("""COMPUTED_VALUE"""),"10th to 12th July")</f>
        <v>10th to 12th July</v>
      </c>
      <c r="Z90" s="101" t="str">
        <f>IFERROR(__xludf.DUMMYFUNCTION("""COMPUTED_VALUE"""),"6a4f782c6ea63a2f83520198")</f>
        <v>6a4f782c6ea63a2f83520198</v>
      </c>
      <c r="AA90" s="213">
        <f>IFERROR(__xludf.DUMMYFUNCTION("""COMPUTED_VALUE"""),391.0)</f>
        <v>391</v>
      </c>
      <c r="AB90" s="213">
        <f>IFERROR(__xludf.DUMMYFUNCTION("""COMPUTED_VALUE"""),0.0)</f>
        <v>0</v>
      </c>
      <c r="AC90" s="213">
        <f>IFERROR(__xludf.DUMMYFUNCTION("""COMPUTED_VALUE"""),391.0)</f>
        <v>391</v>
      </c>
      <c r="AD90" s="213">
        <f>IFERROR(__xludf.DUMMYFUNCTION("""COMPUTED_VALUE"""),530646.0)</f>
        <v>530646</v>
      </c>
      <c r="AE90" s="213">
        <f>IFERROR(__xludf.DUMMYFUNCTION("""COMPUTED_VALUE"""),0.0)</f>
        <v>0</v>
      </c>
      <c r="AF90" s="213">
        <f>IFERROR(__xludf.DUMMYFUNCTION("""COMPUTED_VALUE"""),530646.0)</f>
        <v>530646</v>
      </c>
      <c r="AG90" s="282"/>
      <c r="AH90" s="282"/>
      <c r="AI90" s="282"/>
      <c r="AJ90" s="303"/>
      <c r="AK90" s="303"/>
      <c r="AL90" s="303"/>
      <c r="AM90" s="282"/>
      <c r="AN90" s="282"/>
      <c r="AO90" s="282"/>
      <c r="AP90" s="282"/>
      <c r="AQ90" s="282"/>
      <c r="AR90" s="282"/>
      <c r="AS90" s="282"/>
      <c r="AT90" s="282"/>
      <c r="AU90" s="282"/>
      <c r="AV90" s="282"/>
      <c r="AW90" s="282"/>
      <c r="AX90" s="282"/>
      <c r="AY90" s="282"/>
      <c r="AZ90" s="282"/>
    </row>
    <row r="91">
      <c r="A91" s="209"/>
      <c r="B91" s="210"/>
      <c r="C91" s="211"/>
      <c r="D91" s="211"/>
      <c r="E91" s="211"/>
      <c r="F91" s="211"/>
      <c r="G91" s="218"/>
      <c r="H91" s="218"/>
      <c r="I91" s="28"/>
      <c r="J91" s="213"/>
      <c r="K91" s="213"/>
      <c r="L91" s="214"/>
      <c r="M91" s="213"/>
      <c r="N91" s="214"/>
      <c r="O91" s="213"/>
      <c r="P91" s="213"/>
      <c r="Q91" s="214"/>
      <c r="R91" s="214"/>
      <c r="S91" s="270"/>
      <c r="T91" s="270"/>
      <c r="U91" s="270"/>
      <c r="V91" s="101"/>
      <c r="W91" s="101"/>
      <c r="X91" s="101"/>
      <c r="Y91" s="101"/>
      <c r="Z91" s="101"/>
      <c r="AA91" s="213"/>
      <c r="AB91" s="213"/>
      <c r="AC91" s="213"/>
      <c r="AD91" s="213"/>
      <c r="AE91" s="213"/>
      <c r="AF91" s="213"/>
      <c r="AG91" s="282"/>
      <c r="AH91" s="282"/>
      <c r="AI91" s="282"/>
      <c r="AJ91" s="282"/>
      <c r="AK91" s="282"/>
      <c r="AL91" s="282"/>
      <c r="AM91" s="282"/>
      <c r="AN91" s="282"/>
      <c r="AO91" s="282"/>
      <c r="AP91" s="282"/>
      <c r="AQ91" s="282"/>
      <c r="AR91" s="282"/>
      <c r="AS91" s="282"/>
      <c r="AT91" s="282"/>
      <c r="AU91" s="282"/>
      <c r="AV91" s="282"/>
      <c r="AW91" s="282"/>
      <c r="AX91" s="282"/>
      <c r="AY91" s="282"/>
      <c r="AZ91" s="282"/>
    </row>
    <row r="92">
      <c r="A92" s="209"/>
      <c r="B92" s="210"/>
      <c r="C92" s="211"/>
      <c r="D92" s="211"/>
      <c r="E92" s="211"/>
      <c r="F92" s="211"/>
      <c r="G92" s="218"/>
      <c r="H92" s="218"/>
      <c r="I92" s="28"/>
      <c r="J92" s="213"/>
      <c r="K92" s="213"/>
      <c r="L92" s="214"/>
      <c r="M92" s="213"/>
      <c r="N92" s="214"/>
      <c r="O92" s="213"/>
      <c r="P92" s="213"/>
      <c r="Q92" s="214"/>
      <c r="R92" s="214"/>
      <c r="S92" s="270"/>
      <c r="T92" s="270"/>
      <c r="U92" s="270"/>
      <c r="V92" s="101"/>
      <c r="W92" s="101"/>
      <c r="X92" s="101"/>
      <c r="Y92" s="101"/>
      <c r="Z92" s="101"/>
      <c r="AA92" s="213"/>
      <c r="AB92" s="213"/>
      <c r="AC92" s="213"/>
      <c r="AD92" s="213"/>
      <c r="AE92" s="213"/>
      <c r="AF92" s="213"/>
      <c r="AG92" s="282"/>
      <c r="AH92" s="282"/>
      <c r="AI92" s="282"/>
      <c r="AJ92" s="282"/>
      <c r="AK92" s="282"/>
      <c r="AL92" s="282"/>
      <c r="AM92" s="282"/>
      <c r="AN92" s="282"/>
      <c r="AO92" s="282"/>
      <c r="AP92" s="282"/>
      <c r="AQ92" s="282"/>
      <c r="AR92" s="282"/>
      <c r="AS92" s="282"/>
      <c r="AT92" s="282"/>
      <c r="AU92" s="282"/>
      <c r="AV92" s="282"/>
      <c r="AW92" s="282"/>
      <c r="AX92" s="282"/>
      <c r="AY92" s="282"/>
      <c r="AZ92" s="282"/>
    </row>
    <row r="93">
      <c r="A93" s="209"/>
      <c r="B93" s="210"/>
      <c r="C93" s="211"/>
      <c r="D93" s="211"/>
      <c r="E93" s="211"/>
      <c r="F93" s="211"/>
      <c r="G93" s="218"/>
      <c r="H93" s="218"/>
      <c r="I93" s="28"/>
      <c r="J93" s="213"/>
      <c r="K93" s="213"/>
      <c r="L93" s="214"/>
      <c r="M93" s="213"/>
      <c r="N93" s="214"/>
      <c r="O93" s="213"/>
      <c r="P93" s="213"/>
      <c r="Q93" s="214"/>
      <c r="R93" s="214"/>
      <c r="S93" s="270"/>
      <c r="T93" s="270"/>
      <c r="U93" s="270"/>
      <c r="V93" s="101"/>
      <c r="W93" s="101"/>
      <c r="X93" s="101"/>
      <c r="Y93" s="101"/>
      <c r="Z93" s="101"/>
      <c r="AA93" s="213"/>
      <c r="AB93" s="213"/>
      <c r="AC93" s="213"/>
      <c r="AD93" s="213"/>
      <c r="AE93" s="213"/>
      <c r="AF93" s="213"/>
      <c r="AG93" s="282"/>
      <c r="AH93" s="282"/>
      <c r="AI93" s="282"/>
      <c r="AJ93" s="282"/>
      <c r="AK93" s="282"/>
      <c r="AL93" s="282"/>
      <c r="AM93" s="282"/>
      <c r="AN93" s="282"/>
      <c r="AO93" s="282"/>
      <c r="AP93" s="282"/>
      <c r="AQ93" s="282"/>
      <c r="AR93" s="282"/>
      <c r="AS93" s="282"/>
      <c r="AT93" s="282"/>
      <c r="AU93" s="282"/>
      <c r="AV93" s="282"/>
      <c r="AW93" s="282"/>
      <c r="AX93" s="282"/>
      <c r="AY93" s="282"/>
      <c r="AZ93" s="282"/>
    </row>
    <row r="94">
      <c r="A94" s="209"/>
      <c r="B94" s="210"/>
      <c r="C94" s="211"/>
      <c r="D94" s="211"/>
      <c r="E94" s="211"/>
      <c r="F94" s="211"/>
      <c r="G94" s="218"/>
      <c r="H94" s="218"/>
      <c r="I94" s="211"/>
      <c r="J94" s="213"/>
      <c r="K94" s="213"/>
      <c r="L94" s="214"/>
      <c r="M94" s="213"/>
      <c r="N94" s="214"/>
      <c r="O94" s="213"/>
      <c r="P94" s="213"/>
      <c r="Q94" s="214"/>
      <c r="R94" s="214"/>
      <c r="S94" s="213"/>
      <c r="T94" s="270"/>
      <c r="U94" s="270"/>
      <c r="V94" s="101"/>
      <c r="W94" s="101"/>
      <c r="X94" s="101"/>
      <c r="Y94" s="101"/>
      <c r="Z94" s="101"/>
      <c r="AA94" s="213"/>
      <c r="AB94" s="213"/>
      <c r="AC94" s="213"/>
      <c r="AD94" s="213"/>
      <c r="AE94" s="213"/>
      <c r="AF94" s="213"/>
      <c r="AG94" s="282"/>
      <c r="AH94" s="282"/>
      <c r="AI94" s="282"/>
      <c r="AJ94" s="282"/>
      <c r="AK94" s="282"/>
      <c r="AL94" s="282"/>
      <c r="AM94" s="282"/>
      <c r="AN94" s="282"/>
      <c r="AO94" s="282"/>
      <c r="AP94" s="282"/>
      <c r="AQ94" s="282"/>
      <c r="AR94" s="282"/>
      <c r="AS94" s="282"/>
      <c r="AT94" s="282"/>
      <c r="AU94" s="282"/>
      <c r="AV94" s="282"/>
      <c r="AW94" s="282"/>
      <c r="AX94" s="282"/>
      <c r="AY94" s="282"/>
      <c r="AZ94" s="282"/>
    </row>
    <row r="95">
      <c r="A95" s="209"/>
      <c r="B95" s="210"/>
      <c r="C95" s="211"/>
      <c r="D95" s="211"/>
      <c r="E95" s="211"/>
      <c r="F95" s="211"/>
      <c r="G95" s="218"/>
      <c r="H95" s="218"/>
      <c r="I95" s="211"/>
      <c r="J95" s="213"/>
      <c r="K95" s="213"/>
      <c r="L95" s="214"/>
      <c r="M95" s="213"/>
      <c r="N95" s="214"/>
      <c r="O95" s="213"/>
      <c r="P95" s="213"/>
      <c r="Q95" s="214"/>
      <c r="R95" s="214"/>
      <c r="S95" s="213"/>
      <c r="T95" s="270"/>
      <c r="U95" s="270"/>
      <c r="V95" s="101"/>
      <c r="W95" s="101"/>
      <c r="X95" s="101"/>
      <c r="Y95" s="101"/>
      <c r="Z95" s="101"/>
      <c r="AA95" s="213"/>
      <c r="AB95" s="213"/>
      <c r="AC95" s="213"/>
      <c r="AD95" s="213"/>
      <c r="AE95" s="213"/>
      <c r="AF95" s="213"/>
      <c r="AG95" s="282"/>
      <c r="AH95" s="282"/>
      <c r="AI95" s="282"/>
      <c r="AJ95" s="282"/>
      <c r="AK95" s="282"/>
      <c r="AL95" s="282"/>
      <c r="AM95" s="282"/>
      <c r="AN95" s="282"/>
      <c r="AO95" s="282"/>
      <c r="AP95" s="282"/>
      <c r="AQ95" s="282"/>
      <c r="AR95" s="282"/>
      <c r="AS95" s="282"/>
      <c r="AT95" s="282"/>
      <c r="AU95" s="282"/>
      <c r="AV95" s="282"/>
      <c r="AW95" s="282"/>
      <c r="AX95" s="282"/>
      <c r="AY95" s="282"/>
      <c r="AZ95" s="282"/>
    </row>
    <row r="96">
      <c r="A96" s="209"/>
      <c r="B96" s="210"/>
      <c r="C96" s="211"/>
      <c r="D96" s="211"/>
      <c r="E96" s="211"/>
      <c r="F96" s="211"/>
      <c r="G96" s="211"/>
      <c r="H96" s="211"/>
      <c r="I96" s="211"/>
      <c r="J96" s="213"/>
      <c r="K96" s="213"/>
      <c r="L96" s="214"/>
      <c r="M96" s="213"/>
      <c r="N96" s="214"/>
      <c r="O96" s="213"/>
      <c r="P96" s="213"/>
      <c r="Q96" s="214"/>
      <c r="R96" s="214"/>
      <c r="S96" s="213"/>
      <c r="T96" s="213"/>
      <c r="U96" s="213"/>
      <c r="V96" s="101"/>
      <c r="W96" s="101"/>
      <c r="X96" s="101"/>
      <c r="Y96" s="101"/>
      <c r="Z96" s="101"/>
      <c r="AA96" s="213"/>
      <c r="AB96" s="213"/>
      <c r="AC96" s="213"/>
      <c r="AD96" s="213"/>
      <c r="AE96" s="213"/>
      <c r="AF96" s="213"/>
      <c r="AG96" s="282"/>
      <c r="AH96" s="282"/>
      <c r="AI96" s="282"/>
      <c r="AJ96" s="282"/>
      <c r="AK96" s="282"/>
      <c r="AL96" s="282"/>
      <c r="AM96" s="282"/>
      <c r="AN96" s="282"/>
      <c r="AO96" s="282"/>
      <c r="AP96" s="282"/>
      <c r="AQ96" s="282"/>
      <c r="AR96" s="282"/>
      <c r="AS96" s="282"/>
      <c r="AT96" s="282"/>
      <c r="AU96" s="282"/>
      <c r="AV96" s="282"/>
      <c r="AW96" s="282"/>
      <c r="AX96" s="282"/>
      <c r="AY96" s="282"/>
      <c r="AZ96" s="282"/>
    </row>
    <row r="97">
      <c r="A97" s="209"/>
      <c r="B97" s="210"/>
      <c r="C97" s="211"/>
      <c r="D97" s="211"/>
      <c r="E97" s="211"/>
      <c r="F97" s="211"/>
      <c r="G97" s="211"/>
      <c r="H97" s="211"/>
      <c r="I97" s="211"/>
      <c r="J97" s="213"/>
      <c r="K97" s="213"/>
      <c r="L97" s="214"/>
      <c r="M97" s="213"/>
      <c r="N97" s="214"/>
      <c r="O97" s="213"/>
      <c r="P97" s="213"/>
      <c r="Q97" s="214"/>
      <c r="R97" s="214"/>
      <c r="S97" s="213"/>
      <c r="T97" s="213"/>
      <c r="U97" s="213"/>
      <c r="V97" s="101"/>
      <c r="W97" s="101"/>
      <c r="X97" s="101"/>
      <c r="Y97" s="101"/>
      <c r="Z97" s="101"/>
      <c r="AA97" s="213"/>
      <c r="AB97" s="213"/>
      <c r="AC97" s="213"/>
      <c r="AD97" s="213"/>
      <c r="AE97" s="213"/>
      <c r="AF97" s="213"/>
      <c r="AG97" s="282"/>
      <c r="AH97" s="282"/>
      <c r="AI97" s="282"/>
      <c r="AJ97" s="282"/>
      <c r="AK97" s="282"/>
      <c r="AL97" s="282"/>
      <c r="AM97" s="282"/>
      <c r="AN97" s="282"/>
      <c r="AO97" s="282"/>
      <c r="AP97" s="282"/>
      <c r="AQ97" s="282"/>
      <c r="AR97" s="282"/>
      <c r="AS97" s="282"/>
      <c r="AT97" s="282"/>
      <c r="AU97" s="282"/>
      <c r="AV97" s="282"/>
      <c r="AW97" s="282"/>
      <c r="AX97" s="282"/>
      <c r="AY97" s="282"/>
      <c r="AZ97" s="282"/>
    </row>
    <row r="98">
      <c r="A98" s="209"/>
      <c r="B98" s="210"/>
      <c r="C98" s="211"/>
      <c r="D98" s="211"/>
      <c r="E98" s="211"/>
      <c r="F98" s="211"/>
      <c r="G98" s="211"/>
      <c r="H98" s="211"/>
      <c r="I98" s="211"/>
      <c r="J98" s="213"/>
      <c r="K98" s="213"/>
      <c r="L98" s="214"/>
      <c r="M98" s="213"/>
      <c r="N98" s="214"/>
      <c r="O98" s="213"/>
      <c r="P98" s="213"/>
      <c r="Q98" s="214"/>
      <c r="R98" s="214"/>
      <c r="S98" s="213"/>
      <c r="T98" s="213"/>
      <c r="U98" s="213"/>
      <c r="V98" s="101"/>
      <c r="W98" s="101"/>
      <c r="X98" s="101"/>
      <c r="Y98" s="101"/>
      <c r="Z98" s="101"/>
      <c r="AA98" s="213"/>
      <c r="AB98" s="213"/>
      <c r="AC98" s="213"/>
      <c r="AD98" s="213"/>
      <c r="AE98" s="213"/>
      <c r="AF98" s="213"/>
      <c r="AG98" s="282"/>
      <c r="AH98" s="282"/>
      <c r="AI98" s="282"/>
      <c r="AJ98" s="282"/>
      <c r="AK98" s="282"/>
      <c r="AL98" s="282"/>
      <c r="AM98" s="282"/>
      <c r="AN98" s="282"/>
      <c r="AO98" s="282"/>
      <c r="AP98" s="282"/>
      <c r="AQ98" s="282"/>
      <c r="AR98" s="282"/>
      <c r="AS98" s="282"/>
      <c r="AT98" s="282"/>
      <c r="AU98" s="282"/>
      <c r="AV98" s="282"/>
      <c r="AW98" s="282"/>
      <c r="AX98" s="282"/>
      <c r="AY98" s="282"/>
      <c r="AZ98" s="282"/>
    </row>
    <row r="99">
      <c r="A99" s="306"/>
      <c r="B99" s="210"/>
      <c r="C99" s="210"/>
      <c r="D99" s="210"/>
      <c r="E99" s="210"/>
      <c r="F99" s="210"/>
      <c r="G99" s="210"/>
      <c r="H99" s="211"/>
      <c r="I99" s="211"/>
      <c r="J99" s="213"/>
      <c r="K99" s="213"/>
      <c r="L99" s="214"/>
      <c r="M99" s="213"/>
      <c r="N99" s="214"/>
      <c r="O99" s="213"/>
      <c r="P99" s="213"/>
      <c r="Q99" s="214"/>
      <c r="R99" s="214"/>
      <c r="S99" s="213"/>
      <c r="T99" s="213"/>
      <c r="U99" s="213"/>
      <c r="V99" s="101"/>
      <c r="W99" s="101"/>
      <c r="X99" s="101"/>
      <c r="Y99" s="101"/>
      <c r="Z99" s="101"/>
      <c r="AA99" s="213"/>
      <c r="AB99" s="213"/>
      <c r="AC99" s="213"/>
      <c r="AD99" s="213"/>
      <c r="AE99" s="213"/>
      <c r="AF99" s="213"/>
      <c r="AG99" s="282"/>
      <c r="AH99" s="282"/>
      <c r="AI99" s="282"/>
      <c r="AJ99" s="282"/>
      <c r="AK99" s="282"/>
      <c r="AL99" s="282"/>
      <c r="AM99" s="282"/>
      <c r="AN99" s="282"/>
      <c r="AO99" s="282"/>
      <c r="AP99" s="282"/>
      <c r="AQ99" s="282"/>
      <c r="AR99" s="282"/>
      <c r="AS99" s="282"/>
      <c r="AT99" s="282"/>
      <c r="AU99" s="282"/>
      <c r="AV99" s="282"/>
      <c r="AW99" s="282"/>
      <c r="AX99" s="282"/>
      <c r="AY99" s="282"/>
      <c r="AZ99" s="282"/>
    </row>
    <row r="100">
      <c r="A100" s="306"/>
      <c r="B100" s="210"/>
      <c r="C100" s="210"/>
      <c r="D100" s="210"/>
      <c r="E100" s="210"/>
      <c r="F100" s="210"/>
      <c r="G100" s="210"/>
      <c r="H100" s="211"/>
      <c r="I100" s="211"/>
      <c r="J100" s="213"/>
      <c r="K100" s="213"/>
      <c r="L100" s="214"/>
      <c r="M100" s="213"/>
      <c r="N100" s="214"/>
      <c r="O100" s="213"/>
      <c r="P100" s="213"/>
      <c r="Q100" s="214"/>
      <c r="R100" s="214"/>
      <c r="S100" s="213"/>
      <c r="T100" s="213"/>
      <c r="U100" s="213"/>
      <c r="V100" s="101"/>
      <c r="W100" s="101"/>
      <c r="X100" s="101"/>
      <c r="Y100" s="101"/>
      <c r="Z100" s="101"/>
      <c r="AA100" s="213"/>
      <c r="AB100" s="213"/>
      <c r="AC100" s="213"/>
      <c r="AD100" s="213"/>
      <c r="AE100" s="213"/>
      <c r="AF100" s="213"/>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row>
    <row r="101">
      <c r="A101" s="306"/>
      <c r="B101" s="210"/>
      <c r="C101" s="210"/>
      <c r="D101" s="210"/>
      <c r="E101" s="210"/>
      <c r="F101" s="210"/>
      <c r="G101" s="210"/>
      <c r="H101" s="211"/>
      <c r="I101" s="211"/>
      <c r="J101" s="213"/>
      <c r="K101" s="213"/>
      <c r="L101" s="214"/>
      <c r="M101" s="213"/>
      <c r="N101" s="214"/>
      <c r="O101" s="213"/>
      <c r="P101" s="213"/>
      <c r="Q101" s="214"/>
      <c r="R101" s="214"/>
      <c r="S101" s="213"/>
      <c r="T101" s="213"/>
      <c r="U101" s="213"/>
      <c r="V101" s="101"/>
      <c r="W101" s="101"/>
      <c r="X101" s="101"/>
      <c r="Y101" s="101"/>
      <c r="Z101" s="101"/>
      <c r="AA101" s="213"/>
      <c r="AB101" s="213"/>
      <c r="AC101" s="213"/>
      <c r="AD101" s="213"/>
      <c r="AE101" s="213"/>
      <c r="AF101" s="213"/>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row>
    <row r="102">
      <c r="A102" s="306"/>
      <c r="B102" s="210"/>
      <c r="C102" s="210"/>
      <c r="D102" s="210"/>
      <c r="E102" s="210"/>
      <c r="F102" s="210"/>
      <c r="G102" s="210"/>
      <c r="H102" s="211"/>
      <c r="I102" s="211"/>
      <c r="J102" s="213"/>
      <c r="K102" s="213"/>
      <c r="L102" s="214"/>
      <c r="M102" s="213"/>
      <c r="N102" s="214"/>
      <c r="O102" s="213"/>
      <c r="P102" s="213"/>
      <c r="Q102" s="214"/>
      <c r="R102" s="214"/>
      <c r="S102" s="213"/>
      <c r="T102" s="213"/>
      <c r="U102" s="213"/>
      <c r="V102" s="101"/>
      <c r="W102" s="101"/>
      <c r="X102" s="101"/>
      <c r="Y102" s="101"/>
      <c r="Z102" s="101"/>
      <c r="AA102" s="213"/>
      <c r="AB102" s="213"/>
      <c r="AC102" s="213"/>
      <c r="AD102" s="213"/>
      <c r="AE102" s="213"/>
      <c r="AF102" s="213"/>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row>
    <row r="103">
      <c r="A103" s="306"/>
      <c r="B103" s="210"/>
      <c r="C103" s="210"/>
      <c r="D103" s="210"/>
      <c r="E103" s="210"/>
      <c r="F103" s="210"/>
      <c r="G103" s="210"/>
      <c r="H103" s="211"/>
      <c r="I103" s="211"/>
      <c r="J103" s="213"/>
      <c r="K103" s="213"/>
      <c r="L103" s="214"/>
      <c r="M103" s="213"/>
      <c r="N103" s="214"/>
      <c r="O103" s="213"/>
      <c r="P103" s="213"/>
      <c r="Q103" s="214"/>
      <c r="R103" s="214"/>
      <c r="S103" s="213"/>
      <c r="T103" s="213"/>
      <c r="U103" s="213"/>
      <c r="V103" s="101"/>
      <c r="W103" s="101"/>
      <c r="X103" s="101"/>
      <c r="Y103" s="101"/>
      <c r="Z103" s="101"/>
      <c r="AA103" s="213"/>
      <c r="AB103" s="213"/>
      <c r="AC103" s="213"/>
      <c r="AD103" s="213"/>
      <c r="AE103" s="213"/>
      <c r="AF103" s="213"/>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row>
    <row r="104">
      <c r="A104" s="306"/>
      <c r="B104" s="210"/>
      <c r="C104" s="210"/>
      <c r="D104" s="210"/>
      <c r="E104" s="210"/>
      <c r="F104" s="210"/>
      <c r="G104" s="210"/>
      <c r="H104" s="211"/>
      <c r="I104" s="211"/>
      <c r="J104" s="213"/>
      <c r="K104" s="213"/>
      <c r="L104" s="214"/>
      <c r="M104" s="213"/>
      <c r="N104" s="214"/>
      <c r="O104" s="213"/>
      <c r="P104" s="213"/>
      <c r="Q104" s="214"/>
      <c r="R104" s="214"/>
      <c r="S104" s="213"/>
      <c r="T104" s="213"/>
      <c r="U104" s="213"/>
      <c r="V104" s="101"/>
      <c r="W104" s="101"/>
      <c r="X104" s="101"/>
      <c r="Y104" s="101"/>
      <c r="Z104" s="101"/>
      <c r="AA104" s="213"/>
      <c r="AB104" s="213"/>
      <c r="AC104" s="213"/>
      <c r="AD104" s="213"/>
      <c r="AE104" s="213"/>
      <c r="AF104" s="213"/>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row>
    <row r="105">
      <c r="A105" s="306"/>
      <c r="B105" s="210"/>
      <c r="C105" s="210"/>
      <c r="D105" s="210"/>
      <c r="E105" s="210"/>
      <c r="F105" s="210"/>
      <c r="G105" s="210"/>
      <c r="H105" s="211"/>
      <c r="I105" s="211"/>
      <c r="J105" s="213"/>
      <c r="K105" s="213"/>
      <c r="L105" s="214"/>
      <c r="M105" s="213"/>
      <c r="N105" s="214"/>
      <c r="O105" s="213"/>
      <c r="P105" s="213"/>
      <c r="Q105" s="214"/>
      <c r="R105" s="214"/>
      <c r="S105" s="213"/>
      <c r="T105" s="213"/>
      <c r="U105" s="213"/>
      <c r="V105" s="101"/>
      <c r="W105" s="101"/>
      <c r="X105" s="101"/>
      <c r="Y105" s="101"/>
      <c r="Z105" s="101"/>
      <c r="AA105" s="213"/>
      <c r="AB105" s="213"/>
      <c r="AC105" s="213"/>
      <c r="AD105" s="213"/>
      <c r="AE105" s="213"/>
      <c r="AF105" s="213"/>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row>
    <row r="106">
      <c r="A106" s="306"/>
      <c r="B106" s="210"/>
      <c r="C106" s="210"/>
      <c r="D106" s="210"/>
      <c r="E106" s="210"/>
      <c r="F106" s="210"/>
      <c r="G106" s="210"/>
      <c r="H106" s="211"/>
      <c r="I106" s="211"/>
      <c r="J106" s="213"/>
      <c r="K106" s="213"/>
      <c r="L106" s="214"/>
      <c r="M106" s="213"/>
      <c r="N106" s="214"/>
      <c r="O106" s="213"/>
      <c r="P106" s="213"/>
      <c r="Q106" s="214"/>
      <c r="R106" s="214"/>
      <c r="S106" s="213"/>
      <c r="T106" s="213"/>
      <c r="U106" s="213"/>
      <c r="V106" s="101"/>
      <c r="W106" s="101"/>
      <c r="X106" s="101"/>
      <c r="Y106" s="101"/>
      <c r="Z106" s="101"/>
      <c r="AA106" s="213"/>
      <c r="AB106" s="213"/>
      <c r="AC106" s="213"/>
      <c r="AD106" s="213"/>
      <c r="AE106" s="213"/>
      <c r="AF106" s="213"/>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row>
    <row r="107">
      <c r="A107" s="306"/>
      <c r="B107" s="210"/>
      <c r="C107" s="210"/>
      <c r="D107" s="210"/>
      <c r="E107" s="210"/>
      <c r="F107" s="210"/>
      <c r="G107" s="210"/>
      <c r="H107" s="211"/>
      <c r="I107" s="211"/>
      <c r="J107" s="213"/>
      <c r="K107" s="213"/>
      <c r="L107" s="214"/>
      <c r="M107" s="213"/>
      <c r="N107" s="214"/>
      <c r="O107" s="213"/>
      <c r="P107" s="213"/>
      <c r="Q107" s="214"/>
      <c r="R107" s="214"/>
      <c r="S107" s="213"/>
      <c r="T107" s="213"/>
      <c r="U107" s="213"/>
      <c r="V107" s="101"/>
      <c r="W107" s="101"/>
      <c r="X107" s="101"/>
      <c r="Y107" s="101"/>
      <c r="Z107" s="101"/>
      <c r="AA107" s="213"/>
      <c r="AB107" s="213"/>
      <c r="AC107" s="213"/>
      <c r="AD107" s="213"/>
      <c r="AE107" s="213"/>
      <c r="AF107" s="213"/>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row>
    <row r="108">
      <c r="A108" s="306"/>
      <c r="B108" s="210"/>
      <c r="C108" s="210"/>
      <c r="D108" s="210"/>
      <c r="E108" s="210"/>
      <c r="F108" s="210"/>
      <c r="G108" s="210"/>
      <c r="H108" s="211"/>
      <c r="I108" s="211"/>
      <c r="J108" s="213"/>
      <c r="K108" s="213"/>
      <c r="L108" s="214"/>
      <c r="M108" s="213"/>
      <c r="N108" s="214"/>
      <c r="O108" s="213"/>
      <c r="P108" s="213"/>
      <c r="Q108" s="214"/>
      <c r="R108" s="214"/>
      <c r="S108" s="213"/>
      <c r="T108" s="213"/>
      <c r="U108" s="213"/>
      <c r="V108" s="101"/>
      <c r="W108" s="101"/>
      <c r="X108" s="212"/>
      <c r="Y108" s="212"/>
      <c r="Z108" s="212"/>
      <c r="AA108" s="287"/>
      <c r="AB108" s="213"/>
      <c r="AC108" s="213"/>
      <c r="AD108" s="213"/>
      <c r="AE108" s="213"/>
      <c r="AF108" s="213"/>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row>
    <row r="109">
      <c r="A109" s="306"/>
      <c r="B109" s="210"/>
      <c r="C109" s="210"/>
      <c r="D109" s="210"/>
      <c r="E109" s="210"/>
      <c r="F109" s="210"/>
      <c r="G109" s="210"/>
      <c r="H109" s="211"/>
      <c r="I109" s="211"/>
      <c r="J109" s="213"/>
      <c r="K109" s="213"/>
      <c r="L109" s="214"/>
      <c r="M109" s="213"/>
      <c r="N109" s="214"/>
      <c r="O109" s="213"/>
      <c r="P109" s="213"/>
      <c r="Q109" s="214"/>
      <c r="R109" s="214"/>
      <c r="S109" s="213"/>
      <c r="T109" s="213"/>
      <c r="U109" s="213"/>
      <c r="V109" s="101"/>
      <c r="W109" s="101"/>
      <c r="X109" s="212"/>
      <c r="Y109" s="212"/>
      <c r="Z109" s="212"/>
      <c r="AA109" s="287"/>
      <c r="AB109" s="213"/>
      <c r="AC109" s="213"/>
      <c r="AD109" s="213"/>
      <c r="AE109" s="213"/>
      <c r="AF109" s="213"/>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row>
    <row r="110">
      <c r="A110" s="306"/>
      <c r="B110" s="210"/>
      <c r="C110" s="210"/>
      <c r="D110" s="210"/>
      <c r="E110" s="210"/>
      <c r="F110" s="210"/>
      <c r="G110" s="210"/>
      <c r="H110" s="211"/>
      <c r="I110" s="211"/>
      <c r="J110" s="213"/>
      <c r="K110" s="213"/>
      <c r="L110" s="214"/>
      <c r="M110" s="213"/>
      <c r="N110" s="214"/>
      <c r="O110" s="213"/>
      <c r="P110" s="213"/>
      <c r="Q110" s="214"/>
      <c r="R110" s="214"/>
      <c r="S110" s="213"/>
      <c r="T110" s="213"/>
      <c r="U110" s="213"/>
      <c r="V110" s="101"/>
      <c r="W110" s="101"/>
      <c r="X110" s="212"/>
      <c r="Y110" s="212"/>
      <c r="Z110" s="212"/>
      <c r="AA110" s="287"/>
      <c r="AB110" s="213"/>
      <c r="AC110" s="213"/>
      <c r="AD110" s="213"/>
      <c r="AE110" s="213"/>
      <c r="AF110" s="213"/>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row>
    <row r="111">
      <c r="A111" s="306"/>
      <c r="B111" s="210"/>
      <c r="C111" s="210"/>
      <c r="D111" s="210"/>
      <c r="E111" s="210"/>
      <c r="F111" s="210"/>
      <c r="G111" s="210"/>
      <c r="H111" s="211"/>
      <c r="I111" s="211"/>
      <c r="J111" s="213"/>
      <c r="K111" s="213"/>
      <c r="L111" s="214"/>
      <c r="M111" s="213"/>
      <c r="N111" s="214"/>
      <c r="O111" s="213"/>
      <c r="P111" s="213"/>
      <c r="Q111" s="214"/>
      <c r="R111" s="214"/>
      <c r="S111" s="213"/>
      <c r="T111" s="213"/>
      <c r="U111" s="213"/>
      <c r="V111" s="101"/>
      <c r="W111" s="101"/>
      <c r="X111" s="212"/>
      <c r="Y111" s="212"/>
      <c r="Z111" s="212"/>
      <c r="AA111" s="213"/>
      <c r="AB111" s="213"/>
      <c r="AC111" s="213"/>
      <c r="AD111" s="213"/>
      <c r="AE111" s="213"/>
      <c r="AF111" s="213"/>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row>
    <row r="112">
      <c r="A112" s="306"/>
      <c r="B112" s="210"/>
      <c r="C112" s="210"/>
      <c r="D112" s="210"/>
      <c r="E112" s="210"/>
      <c r="F112" s="210"/>
      <c r="G112" s="210"/>
      <c r="H112" s="211"/>
      <c r="I112" s="211"/>
      <c r="J112" s="213"/>
      <c r="K112" s="213"/>
      <c r="L112" s="214"/>
      <c r="M112" s="213"/>
      <c r="N112" s="214"/>
      <c r="O112" s="213"/>
      <c r="P112" s="213"/>
      <c r="Q112" s="214"/>
      <c r="R112" s="214"/>
      <c r="S112" s="213"/>
      <c r="T112" s="213"/>
      <c r="U112" s="213"/>
      <c r="V112" s="101"/>
      <c r="W112" s="101"/>
      <c r="X112" s="212"/>
      <c r="Y112" s="212"/>
      <c r="Z112" s="212"/>
      <c r="AA112" s="213"/>
      <c r="AB112" s="213"/>
      <c r="AC112" s="213"/>
      <c r="AD112" s="213"/>
      <c r="AE112" s="213"/>
      <c r="AF112" s="213"/>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row>
    <row r="113">
      <c r="A113" s="306"/>
      <c r="B113" s="210"/>
      <c r="C113" s="210"/>
      <c r="D113" s="210"/>
      <c r="E113" s="210"/>
      <c r="F113" s="210"/>
      <c r="G113" s="210"/>
      <c r="H113" s="211"/>
      <c r="I113" s="211"/>
      <c r="J113" s="213"/>
      <c r="K113" s="213"/>
      <c r="L113" s="214"/>
      <c r="M113" s="213"/>
      <c r="N113" s="214"/>
      <c r="O113" s="213"/>
      <c r="P113" s="213"/>
      <c r="Q113" s="214"/>
      <c r="R113" s="214"/>
      <c r="S113" s="213"/>
      <c r="T113" s="213"/>
      <c r="U113" s="213"/>
      <c r="V113" s="101"/>
      <c r="W113" s="101"/>
      <c r="X113" s="212"/>
      <c r="Y113" s="212"/>
      <c r="Z113" s="212"/>
      <c r="AA113" s="287"/>
      <c r="AB113" s="213"/>
      <c r="AC113" s="213"/>
      <c r="AD113" s="213"/>
      <c r="AE113" s="213"/>
      <c r="AF113" s="213"/>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row>
    <row r="114">
      <c r="A114" s="306"/>
      <c r="B114" s="210"/>
      <c r="C114" s="210"/>
      <c r="D114" s="210"/>
      <c r="E114" s="210"/>
      <c r="F114" s="210"/>
      <c r="G114" s="210"/>
      <c r="H114" s="211"/>
      <c r="I114" s="211"/>
      <c r="J114" s="213"/>
      <c r="K114" s="213"/>
      <c r="L114" s="214"/>
      <c r="M114" s="213"/>
      <c r="N114" s="214"/>
      <c r="O114" s="213"/>
      <c r="P114" s="213"/>
      <c r="Q114" s="214"/>
      <c r="R114" s="214"/>
      <c r="S114" s="213"/>
      <c r="T114" s="213"/>
      <c r="U114" s="213"/>
      <c r="V114" s="101"/>
      <c r="W114" s="101"/>
      <c r="X114" s="212"/>
      <c r="Y114" s="212"/>
      <c r="Z114" s="212"/>
      <c r="AA114" s="287"/>
      <c r="AB114" s="213"/>
      <c r="AC114" s="213"/>
      <c r="AD114" s="213"/>
      <c r="AE114" s="213"/>
      <c r="AF114" s="213"/>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row>
    <row r="115">
      <c r="A115" s="306"/>
      <c r="B115" s="210"/>
      <c r="C115" s="210"/>
      <c r="D115" s="210"/>
      <c r="E115" s="210"/>
      <c r="F115" s="210"/>
      <c r="G115" s="210"/>
      <c r="H115" s="211"/>
      <c r="I115" s="211"/>
      <c r="J115" s="213"/>
      <c r="K115" s="213"/>
      <c r="L115" s="214"/>
      <c r="M115" s="213"/>
      <c r="N115" s="214"/>
      <c r="O115" s="213"/>
      <c r="P115" s="213"/>
      <c r="Q115" s="214"/>
      <c r="R115" s="214"/>
      <c r="S115" s="213"/>
      <c r="T115" s="213"/>
      <c r="U115" s="213"/>
      <c r="V115" s="101"/>
      <c r="W115" s="101"/>
      <c r="X115" s="212"/>
      <c r="Y115" s="212"/>
      <c r="Z115" s="212"/>
      <c r="AA115" s="287"/>
      <c r="AB115" s="213"/>
      <c r="AC115" s="213"/>
      <c r="AD115" s="213"/>
      <c r="AE115" s="213"/>
      <c r="AF115" s="213"/>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row>
    <row r="116">
      <c r="A116" s="209"/>
      <c r="B116" s="247"/>
      <c r="C116" s="218"/>
      <c r="D116" s="218"/>
      <c r="E116" s="218"/>
      <c r="F116" s="218"/>
      <c r="G116" s="218"/>
      <c r="H116" s="218"/>
      <c r="I116" s="218"/>
      <c r="J116" s="213"/>
      <c r="K116" s="213"/>
      <c r="L116" s="214"/>
      <c r="M116" s="213"/>
      <c r="N116" s="214"/>
      <c r="O116" s="213"/>
      <c r="P116" s="213"/>
      <c r="Q116" s="214"/>
      <c r="R116" s="214"/>
      <c r="S116" s="270"/>
      <c r="T116" s="270"/>
      <c r="U116" s="270"/>
      <c r="V116" s="101"/>
      <c r="W116" s="101"/>
      <c r="X116" s="212"/>
      <c r="Y116" s="212"/>
      <c r="Z116" s="212"/>
      <c r="AA116" s="287"/>
      <c r="AB116" s="213"/>
      <c r="AC116" s="213"/>
      <c r="AD116" s="213"/>
      <c r="AE116" s="213"/>
      <c r="AF116" s="213"/>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row>
    <row r="117">
      <c r="A117" s="209"/>
      <c r="B117" s="247"/>
      <c r="C117" s="218"/>
      <c r="D117" s="218"/>
      <c r="E117" s="218"/>
      <c r="F117" s="218"/>
      <c r="G117" s="218"/>
      <c r="H117" s="218"/>
      <c r="I117" s="218"/>
      <c r="J117" s="213"/>
      <c r="K117" s="213"/>
      <c r="L117" s="214"/>
      <c r="M117" s="213"/>
      <c r="N117" s="214"/>
      <c r="O117" s="213"/>
      <c r="P117" s="213"/>
      <c r="Q117" s="214"/>
      <c r="R117" s="214"/>
      <c r="S117" s="270"/>
      <c r="T117" s="270"/>
      <c r="U117" s="270"/>
      <c r="V117" s="101"/>
      <c r="W117" s="101"/>
      <c r="X117" s="212"/>
      <c r="Y117" s="212"/>
      <c r="Z117" s="212"/>
      <c r="AA117" s="287"/>
      <c r="AB117" s="213"/>
      <c r="AC117" s="213"/>
      <c r="AD117" s="213"/>
      <c r="AE117" s="213"/>
      <c r="AF117" s="213"/>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row>
    <row r="118">
      <c r="A118" s="209"/>
      <c r="B118" s="247"/>
      <c r="C118" s="218"/>
      <c r="D118" s="218"/>
      <c r="E118" s="218"/>
      <c r="F118" s="218"/>
      <c r="G118" s="218"/>
      <c r="H118" s="218"/>
      <c r="I118" s="218"/>
      <c r="J118" s="213"/>
      <c r="K118" s="213"/>
      <c r="L118" s="214"/>
      <c r="M118" s="213"/>
      <c r="N118" s="214"/>
      <c r="O118" s="213"/>
      <c r="P118" s="213"/>
      <c r="Q118" s="214"/>
      <c r="R118" s="214"/>
      <c r="S118" s="270"/>
      <c r="T118" s="270"/>
      <c r="U118" s="270"/>
      <c r="V118" s="101"/>
      <c r="W118" s="101"/>
      <c r="X118" s="212"/>
      <c r="Y118" s="212"/>
      <c r="Z118" s="212"/>
      <c r="AA118" s="287"/>
      <c r="AB118" s="213"/>
      <c r="AC118" s="213"/>
      <c r="AD118" s="213"/>
      <c r="AE118" s="213"/>
      <c r="AF118" s="213"/>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row>
    <row r="119">
      <c r="A119" s="209"/>
      <c r="B119" s="247"/>
      <c r="C119" s="218"/>
      <c r="D119" s="218"/>
      <c r="E119" s="218"/>
      <c r="F119" s="218"/>
      <c r="G119" s="218"/>
      <c r="H119" s="218"/>
      <c r="I119" s="218"/>
      <c r="J119" s="213"/>
      <c r="K119" s="213"/>
      <c r="L119" s="214"/>
      <c r="M119" s="213"/>
      <c r="N119" s="214"/>
      <c r="O119" s="213"/>
      <c r="P119" s="213"/>
      <c r="Q119" s="214"/>
      <c r="R119" s="214"/>
      <c r="S119" s="270"/>
      <c r="T119" s="270"/>
      <c r="U119" s="270"/>
      <c r="V119" s="101"/>
      <c r="W119" s="101"/>
      <c r="X119" s="212"/>
      <c r="Y119" s="212"/>
      <c r="Z119" s="212"/>
      <c r="AA119" s="287"/>
      <c r="AB119" s="213"/>
      <c r="AC119" s="213"/>
      <c r="AD119" s="213"/>
      <c r="AE119" s="213"/>
      <c r="AF119" s="213"/>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row>
    <row r="120">
      <c r="A120" s="209"/>
      <c r="B120" s="247"/>
      <c r="C120" s="218"/>
      <c r="D120" s="218"/>
      <c r="E120" s="218"/>
      <c r="F120" s="218"/>
      <c r="G120" s="218"/>
      <c r="H120" s="218"/>
      <c r="I120" s="218"/>
      <c r="J120" s="213"/>
      <c r="K120" s="213"/>
      <c r="L120" s="214"/>
      <c r="M120" s="213"/>
      <c r="N120" s="214"/>
      <c r="O120" s="213"/>
      <c r="P120" s="213"/>
      <c r="Q120" s="214"/>
      <c r="R120" s="214"/>
      <c r="S120" s="270"/>
      <c r="T120" s="270"/>
      <c r="U120" s="270"/>
      <c r="V120" s="101"/>
      <c r="W120" s="101"/>
      <c r="X120" s="212"/>
      <c r="Y120" s="212"/>
      <c r="Z120" s="212"/>
      <c r="AA120" s="287"/>
      <c r="AB120" s="213"/>
      <c r="AC120" s="213"/>
      <c r="AD120" s="213"/>
      <c r="AE120" s="213"/>
      <c r="AF120" s="213"/>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row>
    <row r="121">
      <c r="A121" s="209"/>
      <c r="B121" s="247"/>
      <c r="C121" s="218"/>
      <c r="D121" s="218"/>
      <c r="E121" s="218"/>
      <c r="F121" s="218"/>
      <c r="G121" s="218"/>
      <c r="H121" s="218"/>
      <c r="I121" s="218"/>
      <c r="J121" s="213"/>
      <c r="K121" s="213"/>
      <c r="L121" s="214"/>
      <c r="M121" s="213"/>
      <c r="N121" s="214"/>
      <c r="O121" s="213"/>
      <c r="P121" s="213"/>
      <c r="Q121" s="214"/>
      <c r="R121" s="214"/>
      <c r="S121" s="270"/>
      <c r="T121" s="270"/>
      <c r="U121" s="270"/>
      <c r="V121" s="101"/>
      <c r="W121" s="101"/>
      <c r="X121" s="212"/>
      <c r="Y121" s="212"/>
      <c r="Z121" s="212"/>
      <c r="AA121" s="287"/>
      <c r="AB121" s="213"/>
      <c r="AC121" s="213"/>
      <c r="AD121" s="213"/>
      <c r="AE121" s="213"/>
      <c r="AF121" s="213"/>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row>
    <row r="122">
      <c r="A122" s="209"/>
      <c r="B122" s="247"/>
      <c r="C122" s="218"/>
      <c r="D122" s="218"/>
      <c r="E122" s="218"/>
      <c r="F122" s="218"/>
      <c r="G122" s="218"/>
      <c r="H122" s="218"/>
      <c r="I122" s="218"/>
      <c r="J122" s="213"/>
      <c r="K122" s="213"/>
      <c r="L122" s="214"/>
      <c r="M122" s="213"/>
      <c r="N122" s="214"/>
      <c r="O122" s="213"/>
      <c r="P122" s="213"/>
      <c r="Q122" s="214"/>
      <c r="R122" s="214"/>
      <c r="S122" s="270"/>
      <c r="T122" s="270"/>
      <c r="U122" s="270"/>
      <c r="V122" s="101"/>
      <c r="W122" s="101"/>
      <c r="X122" s="212"/>
      <c r="Y122" s="212"/>
      <c r="Z122" s="212"/>
      <c r="AA122" s="287"/>
      <c r="AB122" s="213"/>
      <c r="AC122" s="213"/>
      <c r="AD122" s="213"/>
      <c r="AE122" s="213"/>
      <c r="AF122" s="213"/>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row>
    <row r="123">
      <c r="A123" s="209"/>
      <c r="B123" s="247"/>
      <c r="C123" s="218"/>
      <c r="D123" s="218"/>
      <c r="E123" s="218"/>
      <c r="F123" s="218"/>
      <c r="G123" s="218"/>
      <c r="H123" s="218"/>
      <c r="I123" s="218"/>
      <c r="J123" s="213"/>
      <c r="K123" s="213"/>
      <c r="L123" s="214"/>
      <c r="M123" s="213"/>
      <c r="N123" s="214"/>
      <c r="O123" s="213"/>
      <c r="P123" s="213"/>
      <c r="Q123" s="214"/>
      <c r="R123" s="214"/>
      <c r="S123" s="270"/>
      <c r="T123" s="270"/>
      <c r="U123" s="270"/>
      <c r="V123" s="101"/>
      <c r="W123" s="101"/>
      <c r="X123" s="212"/>
      <c r="Y123" s="212"/>
      <c r="Z123" s="212"/>
      <c r="AA123" s="287"/>
      <c r="AB123" s="213"/>
      <c r="AC123" s="213"/>
      <c r="AD123" s="213"/>
      <c r="AE123" s="213"/>
      <c r="AF123" s="213"/>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row>
    <row r="124">
      <c r="A124" s="209"/>
      <c r="B124" s="247"/>
      <c r="C124" s="218"/>
      <c r="D124" s="218"/>
      <c r="E124" s="218"/>
      <c r="F124" s="218"/>
      <c r="G124" s="218"/>
      <c r="H124" s="218"/>
      <c r="I124" s="218"/>
      <c r="J124" s="213"/>
      <c r="K124" s="213"/>
      <c r="L124" s="214"/>
      <c r="M124" s="213"/>
      <c r="N124" s="214"/>
      <c r="O124" s="213"/>
      <c r="P124" s="213"/>
      <c r="Q124" s="214"/>
      <c r="R124" s="214"/>
      <c r="S124" s="270"/>
      <c r="T124" s="270"/>
      <c r="U124" s="270"/>
      <c r="V124" s="101"/>
      <c r="W124" s="101"/>
      <c r="X124" s="212"/>
      <c r="Y124" s="212"/>
      <c r="Z124" s="212"/>
      <c r="AA124" s="287"/>
      <c r="AB124" s="213"/>
      <c r="AC124" s="213"/>
      <c r="AD124" s="213"/>
      <c r="AE124" s="213"/>
      <c r="AF124" s="213"/>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row>
    <row r="125">
      <c r="A125" s="209"/>
      <c r="B125" s="247"/>
      <c r="C125" s="218"/>
      <c r="D125" s="218"/>
      <c r="E125" s="218"/>
      <c r="F125" s="218"/>
      <c r="G125" s="218"/>
      <c r="H125" s="218"/>
      <c r="I125" s="218"/>
      <c r="J125" s="213"/>
      <c r="K125" s="213"/>
      <c r="L125" s="214"/>
      <c r="M125" s="213"/>
      <c r="N125" s="214"/>
      <c r="O125" s="213"/>
      <c r="P125" s="213"/>
      <c r="Q125" s="214"/>
      <c r="R125" s="214"/>
      <c r="S125" s="270"/>
      <c r="T125" s="270"/>
      <c r="U125" s="270"/>
      <c r="V125" s="101"/>
      <c r="W125" s="101"/>
      <c r="X125" s="212"/>
      <c r="Y125" s="212"/>
      <c r="Z125" s="212"/>
      <c r="AA125" s="287"/>
      <c r="AB125" s="213"/>
      <c r="AC125" s="213"/>
      <c r="AD125" s="213"/>
      <c r="AE125" s="213"/>
      <c r="AF125" s="213"/>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row>
    <row r="126">
      <c r="A126" s="209"/>
      <c r="B126" s="247"/>
      <c r="C126" s="218"/>
      <c r="D126" s="218"/>
      <c r="E126" s="218"/>
      <c r="F126" s="218"/>
      <c r="G126" s="218"/>
      <c r="H126" s="218"/>
      <c r="I126" s="218"/>
      <c r="J126" s="213"/>
      <c r="K126" s="213"/>
      <c r="L126" s="214"/>
      <c r="M126" s="213"/>
      <c r="N126" s="214"/>
      <c r="O126" s="213"/>
      <c r="P126" s="213"/>
      <c r="Q126" s="214"/>
      <c r="R126" s="214"/>
      <c r="S126" s="270"/>
      <c r="T126" s="270"/>
      <c r="U126" s="270"/>
      <c r="V126" s="101"/>
      <c r="W126" s="101"/>
      <c r="X126" s="212"/>
      <c r="Y126" s="212"/>
      <c r="Z126" s="212"/>
      <c r="AA126" s="287"/>
      <c r="AB126" s="213"/>
      <c r="AC126" s="213"/>
      <c r="AD126" s="213"/>
      <c r="AE126" s="213"/>
      <c r="AF126" s="213"/>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row>
    <row r="127">
      <c r="A127" s="209"/>
      <c r="B127" s="247"/>
      <c r="C127" s="218"/>
      <c r="D127" s="218"/>
      <c r="E127" s="218"/>
      <c r="F127" s="218"/>
      <c r="G127" s="218"/>
      <c r="H127" s="218"/>
      <c r="I127" s="218"/>
      <c r="J127" s="213"/>
      <c r="K127" s="213"/>
      <c r="L127" s="214"/>
      <c r="M127" s="213"/>
      <c r="N127" s="214"/>
      <c r="O127" s="213"/>
      <c r="P127" s="213"/>
      <c r="Q127" s="214"/>
      <c r="R127" s="214"/>
      <c r="S127" s="270"/>
      <c r="T127" s="270"/>
      <c r="U127" s="270"/>
      <c r="V127" s="101"/>
      <c r="W127" s="101"/>
      <c r="X127" s="212"/>
      <c r="Y127" s="212"/>
      <c r="Z127" s="212"/>
      <c r="AA127" s="287"/>
      <c r="AB127" s="213"/>
      <c r="AC127" s="213"/>
      <c r="AD127" s="213"/>
      <c r="AE127" s="213"/>
      <c r="AF127" s="213"/>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row>
    <row r="128">
      <c r="A128" s="209"/>
      <c r="B128" s="247"/>
      <c r="C128" s="218"/>
      <c r="D128" s="218"/>
      <c r="E128" s="218"/>
      <c r="F128" s="218"/>
      <c r="G128" s="218"/>
      <c r="H128" s="218"/>
      <c r="I128" s="218"/>
      <c r="J128" s="213"/>
      <c r="K128" s="213"/>
      <c r="L128" s="214"/>
      <c r="M128" s="213"/>
      <c r="N128" s="214"/>
      <c r="O128" s="213"/>
      <c r="P128" s="213"/>
      <c r="Q128" s="214"/>
      <c r="R128" s="214"/>
      <c r="S128" s="270"/>
      <c r="T128" s="270"/>
      <c r="U128" s="270"/>
      <c r="V128" s="101"/>
      <c r="W128" s="101"/>
      <c r="X128" s="212"/>
      <c r="Y128" s="212"/>
      <c r="Z128" s="212"/>
      <c r="AA128" s="287"/>
      <c r="AB128" s="213"/>
      <c r="AC128" s="213"/>
      <c r="AD128" s="213"/>
      <c r="AE128" s="213"/>
      <c r="AF128" s="213"/>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row>
    <row r="129">
      <c r="A129" s="209"/>
      <c r="B129" s="247"/>
      <c r="C129" s="218"/>
      <c r="D129" s="218"/>
      <c r="E129" s="218"/>
      <c r="F129" s="218"/>
      <c r="G129" s="218"/>
      <c r="H129" s="218"/>
      <c r="I129" s="218"/>
      <c r="J129" s="213"/>
      <c r="K129" s="213"/>
      <c r="L129" s="214"/>
      <c r="M129" s="213"/>
      <c r="N129" s="214"/>
      <c r="O129" s="213"/>
      <c r="P129" s="213"/>
      <c r="Q129" s="214"/>
      <c r="R129" s="214"/>
      <c r="S129" s="270"/>
      <c r="T129" s="270"/>
      <c r="U129" s="270"/>
      <c r="V129" s="101"/>
      <c r="W129" s="101"/>
      <c r="X129" s="212"/>
      <c r="Y129" s="212"/>
      <c r="Z129" s="212"/>
      <c r="AA129" s="287"/>
      <c r="AB129" s="213"/>
      <c r="AC129" s="213"/>
      <c r="AD129" s="213"/>
      <c r="AE129" s="213"/>
      <c r="AF129" s="213"/>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row>
    <row r="130">
      <c r="A130" s="209"/>
      <c r="B130" s="247"/>
      <c r="C130" s="218"/>
      <c r="D130" s="218"/>
      <c r="E130" s="218"/>
      <c r="F130" s="218"/>
      <c r="G130" s="218"/>
      <c r="H130" s="218"/>
      <c r="I130" s="218"/>
      <c r="J130" s="213"/>
      <c r="K130" s="213"/>
      <c r="L130" s="214"/>
      <c r="M130" s="213"/>
      <c r="N130" s="214"/>
      <c r="O130" s="213"/>
      <c r="P130" s="213"/>
      <c r="Q130" s="214"/>
      <c r="R130" s="214"/>
      <c r="S130" s="270"/>
      <c r="T130" s="270"/>
      <c r="U130" s="270"/>
      <c r="V130" s="101"/>
      <c r="W130" s="101"/>
      <c r="X130" s="212"/>
      <c r="Y130" s="212"/>
      <c r="Z130" s="212"/>
      <c r="AA130" s="287"/>
      <c r="AB130" s="213"/>
      <c r="AC130" s="213"/>
      <c r="AD130" s="213"/>
      <c r="AE130" s="213"/>
      <c r="AF130" s="213"/>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row>
    <row r="131">
      <c r="A131" s="209"/>
      <c r="B131" s="247"/>
      <c r="C131" s="218"/>
      <c r="D131" s="218"/>
      <c r="E131" s="218"/>
      <c r="F131" s="218"/>
      <c r="G131" s="218"/>
      <c r="H131" s="218"/>
      <c r="I131" s="218"/>
      <c r="J131" s="213"/>
      <c r="K131" s="213"/>
      <c r="L131" s="214"/>
      <c r="M131" s="213"/>
      <c r="N131" s="214"/>
      <c r="O131" s="213"/>
      <c r="P131" s="213"/>
      <c r="Q131" s="214"/>
      <c r="R131" s="214"/>
      <c r="S131" s="270"/>
      <c r="T131" s="270"/>
      <c r="U131" s="270"/>
      <c r="V131" s="101"/>
      <c r="W131" s="101"/>
      <c r="X131" s="212"/>
      <c r="Y131" s="212"/>
      <c r="Z131" s="212"/>
      <c r="AA131" s="287"/>
      <c r="AB131" s="213"/>
      <c r="AC131" s="213"/>
      <c r="AD131" s="213"/>
      <c r="AE131" s="213"/>
      <c r="AF131" s="213"/>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row>
    <row r="132">
      <c r="A132" s="209"/>
      <c r="B132" s="247"/>
      <c r="C132" s="218"/>
      <c r="D132" s="218"/>
      <c r="E132" s="218"/>
      <c r="F132" s="218"/>
      <c r="G132" s="218"/>
      <c r="H132" s="218"/>
      <c r="I132" s="218"/>
      <c r="J132" s="213"/>
      <c r="K132" s="213"/>
      <c r="L132" s="214"/>
      <c r="M132" s="213"/>
      <c r="N132" s="214"/>
      <c r="O132" s="213"/>
      <c r="P132" s="213"/>
      <c r="Q132" s="214"/>
      <c r="R132" s="214"/>
      <c r="S132" s="270"/>
      <c r="T132" s="270"/>
      <c r="U132" s="270"/>
      <c r="V132" s="101"/>
      <c r="W132" s="101"/>
      <c r="X132" s="212"/>
      <c r="Y132" s="212"/>
      <c r="Z132" s="212"/>
      <c r="AA132" s="287"/>
      <c r="AB132" s="213"/>
      <c r="AC132" s="213"/>
      <c r="AD132" s="213"/>
      <c r="AE132" s="213"/>
      <c r="AF132" s="213"/>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row>
    <row r="133">
      <c r="A133" s="209"/>
      <c r="B133" s="247"/>
      <c r="C133" s="218"/>
      <c r="D133" s="218"/>
      <c r="E133" s="218"/>
      <c r="F133" s="218"/>
      <c r="G133" s="218"/>
      <c r="H133" s="218"/>
      <c r="I133" s="218"/>
      <c r="J133" s="213"/>
      <c r="K133" s="213"/>
      <c r="L133" s="214"/>
      <c r="M133" s="213"/>
      <c r="N133" s="214"/>
      <c r="O133" s="213"/>
      <c r="P133" s="213"/>
      <c r="Q133" s="214"/>
      <c r="R133" s="214"/>
      <c r="S133" s="270"/>
      <c r="T133" s="270"/>
      <c r="U133" s="270"/>
      <c r="V133" s="101"/>
      <c r="W133" s="101"/>
      <c r="X133" s="212"/>
      <c r="Y133" s="212"/>
      <c r="Z133" s="212"/>
      <c r="AA133" s="287"/>
      <c r="AB133" s="213"/>
      <c r="AC133" s="213"/>
      <c r="AD133" s="213"/>
      <c r="AE133" s="213"/>
      <c r="AF133" s="213"/>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row>
    <row r="134">
      <c r="A134" s="209"/>
      <c r="B134" s="247"/>
      <c r="C134" s="218"/>
      <c r="D134" s="218"/>
      <c r="E134" s="218"/>
      <c r="F134" s="218"/>
      <c r="G134" s="218"/>
      <c r="H134" s="218"/>
      <c r="I134" s="218"/>
      <c r="J134" s="213"/>
      <c r="K134" s="213"/>
      <c r="L134" s="214"/>
      <c r="M134" s="213"/>
      <c r="N134" s="214"/>
      <c r="O134" s="213"/>
      <c r="P134" s="213"/>
      <c r="Q134" s="214"/>
      <c r="R134" s="214"/>
      <c r="S134" s="270"/>
      <c r="T134" s="270"/>
      <c r="U134" s="270"/>
      <c r="V134" s="101"/>
      <c r="W134" s="101"/>
      <c r="X134" s="212"/>
      <c r="Y134" s="212"/>
      <c r="Z134" s="212"/>
      <c r="AA134" s="287"/>
      <c r="AB134" s="213"/>
      <c r="AC134" s="213"/>
      <c r="AD134" s="213"/>
      <c r="AE134" s="213"/>
      <c r="AF134" s="213"/>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row>
    <row r="135">
      <c r="A135" s="209"/>
      <c r="B135" s="247"/>
      <c r="C135" s="218"/>
      <c r="D135" s="218"/>
      <c r="E135" s="218"/>
      <c r="F135" s="218"/>
      <c r="G135" s="218"/>
      <c r="H135" s="218"/>
      <c r="I135" s="218"/>
      <c r="J135" s="213"/>
      <c r="K135" s="213"/>
      <c r="L135" s="214"/>
      <c r="M135" s="213"/>
      <c r="N135" s="214"/>
      <c r="O135" s="213"/>
      <c r="P135" s="213"/>
      <c r="Q135" s="214"/>
      <c r="R135" s="214"/>
      <c r="S135" s="270"/>
      <c r="T135" s="270"/>
      <c r="U135" s="270"/>
      <c r="V135" s="101"/>
      <c r="W135" s="101"/>
      <c r="X135" s="212"/>
      <c r="Y135" s="212"/>
      <c r="Z135" s="212"/>
      <c r="AA135" s="287"/>
      <c r="AB135" s="213"/>
      <c r="AC135" s="213"/>
      <c r="AD135" s="213"/>
      <c r="AE135" s="213"/>
      <c r="AF135" s="213"/>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row>
    <row r="136">
      <c r="A136" s="209"/>
      <c r="B136" s="247"/>
      <c r="C136" s="218"/>
      <c r="D136" s="218"/>
      <c r="E136" s="218"/>
      <c r="F136" s="218"/>
      <c r="G136" s="218"/>
      <c r="H136" s="218"/>
      <c r="I136" s="218"/>
      <c r="J136" s="213"/>
      <c r="K136" s="213"/>
      <c r="L136" s="214"/>
      <c r="M136" s="213"/>
      <c r="N136" s="214"/>
      <c r="O136" s="213"/>
      <c r="P136" s="213"/>
      <c r="Q136" s="214"/>
      <c r="R136" s="214"/>
      <c r="S136" s="270"/>
      <c r="T136" s="270"/>
      <c r="U136" s="270"/>
      <c r="V136" s="101"/>
      <c r="W136" s="101"/>
      <c r="X136" s="212"/>
      <c r="Y136" s="212"/>
      <c r="Z136" s="212"/>
      <c r="AA136" s="287"/>
      <c r="AB136" s="213"/>
      <c r="AC136" s="213"/>
      <c r="AD136" s="213"/>
      <c r="AE136" s="213"/>
      <c r="AF136" s="213"/>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row>
    <row r="137">
      <c r="A137" s="209"/>
      <c r="B137" s="247"/>
      <c r="C137" s="218"/>
      <c r="D137" s="218"/>
      <c r="E137" s="218"/>
      <c r="F137" s="218"/>
      <c r="G137" s="218"/>
      <c r="H137" s="218"/>
      <c r="I137" s="218"/>
      <c r="J137" s="213"/>
      <c r="K137" s="213"/>
      <c r="L137" s="214"/>
      <c r="M137" s="213"/>
      <c r="N137" s="214"/>
      <c r="O137" s="213"/>
      <c r="P137" s="213"/>
      <c r="Q137" s="214"/>
      <c r="R137" s="214"/>
      <c r="S137" s="270"/>
      <c r="T137" s="270"/>
      <c r="U137" s="270"/>
      <c r="V137" s="101"/>
      <c r="W137" s="101"/>
      <c r="X137" s="212"/>
      <c r="Y137" s="212"/>
      <c r="Z137" s="212"/>
      <c r="AA137" s="287"/>
      <c r="AB137" s="213"/>
      <c r="AC137" s="213"/>
      <c r="AD137" s="213"/>
      <c r="AE137" s="213"/>
      <c r="AF137" s="213"/>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row>
    <row r="138">
      <c r="A138" s="209"/>
      <c r="B138" s="247"/>
      <c r="C138" s="218"/>
      <c r="D138" s="218"/>
      <c r="E138" s="218"/>
      <c r="F138" s="218"/>
      <c r="G138" s="218"/>
      <c r="H138" s="218"/>
      <c r="I138" s="218"/>
      <c r="J138" s="213"/>
      <c r="K138" s="213"/>
      <c r="L138" s="214"/>
      <c r="M138" s="213"/>
      <c r="N138" s="214"/>
      <c r="O138" s="213"/>
      <c r="P138" s="213"/>
      <c r="Q138" s="214"/>
      <c r="R138" s="214"/>
      <c r="S138" s="270"/>
      <c r="T138" s="270"/>
      <c r="U138" s="270"/>
      <c r="V138" s="101"/>
      <c r="W138" s="101"/>
      <c r="X138" s="212"/>
      <c r="Y138" s="212"/>
      <c r="Z138" s="212"/>
      <c r="AA138" s="287"/>
      <c r="AB138" s="213"/>
      <c r="AC138" s="213"/>
      <c r="AD138" s="213"/>
      <c r="AE138" s="213"/>
      <c r="AF138" s="213"/>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row>
    <row r="139">
      <c r="A139" s="209"/>
      <c r="B139" s="247"/>
      <c r="C139" s="218"/>
      <c r="D139" s="218"/>
      <c r="E139" s="218"/>
      <c r="F139" s="218"/>
      <c r="G139" s="218"/>
      <c r="H139" s="218"/>
      <c r="I139" s="218"/>
      <c r="J139" s="213"/>
      <c r="K139" s="213"/>
      <c r="L139" s="214"/>
      <c r="M139" s="213"/>
      <c r="N139" s="214"/>
      <c r="O139" s="213"/>
      <c r="P139" s="213"/>
      <c r="Q139" s="214"/>
      <c r="R139" s="214"/>
      <c r="S139" s="270"/>
      <c r="T139" s="270"/>
      <c r="U139" s="270"/>
      <c r="V139" s="101"/>
      <c r="W139" s="101"/>
      <c r="X139" s="212"/>
      <c r="Y139" s="212"/>
      <c r="Z139" s="212"/>
      <c r="AA139" s="287"/>
      <c r="AB139" s="213"/>
      <c r="AC139" s="213"/>
      <c r="AD139" s="213"/>
      <c r="AE139" s="213"/>
      <c r="AF139" s="213"/>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row>
    <row r="140">
      <c r="A140" s="209"/>
      <c r="B140" s="247"/>
      <c r="C140" s="218"/>
      <c r="D140" s="218"/>
      <c r="E140" s="218"/>
      <c r="F140" s="218"/>
      <c r="G140" s="218"/>
      <c r="H140" s="218"/>
      <c r="I140" s="218"/>
      <c r="J140" s="213"/>
      <c r="K140" s="213"/>
      <c r="L140" s="214"/>
      <c r="M140" s="213"/>
      <c r="N140" s="214"/>
      <c r="O140" s="213"/>
      <c r="P140" s="213"/>
      <c r="Q140" s="214"/>
      <c r="R140" s="214"/>
      <c r="S140" s="270"/>
      <c r="T140" s="270"/>
      <c r="U140" s="270"/>
      <c r="V140" s="101"/>
      <c r="W140" s="101"/>
      <c r="X140" s="212"/>
      <c r="Y140" s="212"/>
      <c r="Z140" s="212"/>
      <c r="AA140" s="287"/>
      <c r="AB140" s="213"/>
      <c r="AC140" s="213"/>
      <c r="AD140" s="213"/>
      <c r="AE140" s="213"/>
      <c r="AF140" s="213"/>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row>
    <row r="141">
      <c r="A141" s="209"/>
      <c r="B141" s="247"/>
      <c r="C141" s="218"/>
      <c r="D141" s="218"/>
      <c r="E141" s="218"/>
      <c r="F141" s="218"/>
      <c r="G141" s="218"/>
      <c r="H141" s="218"/>
      <c r="I141" s="218"/>
      <c r="J141" s="213"/>
      <c r="K141" s="213"/>
      <c r="L141" s="214"/>
      <c r="M141" s="213"/>
      <c r="N141" s="214"/>
      <c r="O141" s="213"/>
      <c r="P141" s="213"/>
      <c r="Q141" s="214"/>
      <c r="R141" s="214"/>
      <c r="S141" s="270"/>
      <c r="T141" s="270"/>
      <c r="U141" s="270"/>
      <c r="V141" s="101"/>
      <c r="W141" s="101"/>
      <c r="X141" s="212"/>
      <c r="Y141" s="212"/>
      <c r="Z141" s="212"/>
      <c r="AA141" s="287"/>
      <c r="AB141" s="213"/>
      <c r="AC141" s="213"/>
      <c r="AD141" s="213"/>
      <c r="AE141" s="213"/>
      <c r="AF141" s="213"/>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row>
    <row r="142">
      <c r="A142" s="209"/>
      <c r="B142" s="247"/>
      <c r="C142" s="218"/>
      <c r="D142" s="218"/>
      <c r="E142" s="218"/>
      <c r="F142" s="218"/>
      <c r="G142" s="218"/>
      <c r="H142" s="218"/>
      <c r="I142" s="218"/>
      <c r="J142" s="213"/>
      <c r="K142" s="213"/>
      <c r="L142" s="214"/>
      <c r="M142" s="213"/>
      <c r="N142" s="214"/>
      <c r="O142" s="213"/>
      <c r="P142" s="213"/>
      <c r="Q142" s="214"/>
      <c r="R142" s="214"/>
      <c r="S142" s="270"/>
      <c r="T142" s="270"/>
      <c r="U142" s="270"/>
      <c r="V142" s="101"/>
      <c r="W142" s="101"/>
      <c r="X142" s="212"/>
      <c r="Y142" s="212"/>
      <c r="Z142" s="212"/>
      <c r="AA142" s="287"/>
      <c r="AB142" s="213"/>
      <c r="AC142" s="213"/>
      <c r="AD142" s="213"/>
      <c r="AE142" s="213"/>
      <c r="AF142" s="213"/>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row>
    <row r="143">
      <c r="A143" s="209"/>
      <c r="B143" s="247"/>
      <c r="C143" s="218"/>
      <c r="D143" s="218"/>
      <c r="E143" s="218"/>
      <c r="F143" s="218"/>
      <c r="G143" s="218"/>
      <c r="H143" s="218"/>
      <c r="I143" s="218"/>
      <c r="J143" s="213"/>
      <c r="K143" s="213"/>
      <c r="L143" s="214"/>
      <c r="M143" s="213"/>
      <c r="N143" s="214"/>
      <c r="O143" s="213"/>
      <c r="P143" s="213"/>
      <c r="Q143" s="214"/>
      <c r="R143" s="214"/>
      <c r="S143" s="270"/>
      <c r="T143" s="270"/>
      <c r="U143" s="270"/>
      <c r="V143" s="101"/>
      <c r="W143" s="101"/>
      <c r="X143" s="212"/>
      <c r="Y143" s="212"/>
      <c r="Z143" s="212"/>
      <c r="AA143" s="287"/>
      <c r="AB143" s="213"/>
      <c r="AC143" s="213"/>
      <c r="AD143" s="213"/>
      <c r="AE143" s="213"/>
      <c r="AF143" s="213"/>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row>
    <row r="144">
      <c r="A144" s="209"/>
      <c r="B144" s="247"/>
      <c r="C144" s="218"/>
      <c r="D144" s="218"/>
      <c r="E144" s="218"/>
      <c r="F144" s="218"/>
      <c r="G144" s="218"/>
      <c r="H144" s="218"/>
      <c r="I144" s="218"/>
      <c r="J144" s="213"/>
      <c r="K144" s="213"/>
      <c r="L144" s="214"/>
      <c r="M144" s="213"/>
      <c r="N144" s="214"/>
      <c r="O144" s="213"/>
      <c r="P144" s="213"/>
      <c r="Q144" s="214"/>
      <c r="R144" s="214"/>
      <c r="S144" s="270"/>
      <c r="T144" s="270"/>
      <c r="U144" s="270"/>
      <c r="V144" s="101"/>
      <c r="W144" s="101"/>
      <c r="X144" s="212"/>
      <c r="Y144" s="212"/>
      <c r="Z144" s="212"/>
      <c r="AA144" s="287"/>
      <c r="AB144" s="213"/>
      <c r="AC144" s="213"/>
      <c r="AD144" s="213"/>
      <c r="AE144" s="213"/>
      <c r="AF144" s="213"/>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row>
    <row r="145">
      <c r="A145" s="209"/>
      <c r="B145" s="247"/>
      <c r="C145" s="218"/>
      <c r="D145" s="218"/>
      <c r="E145" s="218"/>
      <c r="F145" s="218"/>
      <c r="G145" s="218"/>
      <c r="H145" s="218"/>
      <c r="I145" s="218"/>
      <c r="J145" s="213"/>
      <c r="K145" s="213"/>
      <c r="L145" s="214"/>
      <c r="M145" s="213"/>
      <c r="N145" s="214"/>
      <c r="O145" s="213"/>
      <c r="P145" s="213"/>
      <c r="Q145" s="214"/>
      <c r="R145" s="214"/>
      <c r="S145" s="270"/>
      <c r="T145" s="270"/>
      <c r="U145" s="270"/>
      <c r="V145" s="101"/>
      <c r="W145" s="101"/>
      <c r="X145" s="212"/>
      <c r="Y145" s="212"/>
      <c r="Z145" s="212"/>
      <c r="AA145" s="287"/>
      <c r="AB145" s="213"/>
      <c r="AC145" s="213"/>
      <c r="AD145" s="213"/>
      <c r="AE145" s="213"/>
      <c r="AF145" s="213"/>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row>
    <row r="146">
      <c r="A146" s="209"/>
      <c r="B146" s="247"/>
      <c r="C146" s="218"/>
      <c r="D146" s="218"/>
      <c r="E146" s="218"/>
      <c r="F146" s="218"/>
      <c r="G146" s="218"/>
      <c r="H146" s="218"/>
      <c r="I146" s="218"/>
      <c r="J146" s="213"/>
      <c r="K146" s="213"/>
      <c r="L146" s="214"/>
      <c r="M146" s="213"/>
      <c r="N146" s="214"/>
      <c r="O146" s="213"/>
      <c r="P146" s="213"/>
      <c r="Q146" s="214"/>
      <c r="R146" s="214"/>
      <c r="S146" s="270"/>
      <c r="T146" s="270"/>
      <c r="U146" s="270"/>
      <c r="V146" s="101"/>
      <c r="W146" s="101"/>
      <c r="X146" s="212"/>
      <c r="Y146" s="212"/>
      <c r="Z146" s="212"/>
      <c r="AA146" s="287"/>
      <c r="AB146" s="213"/>
      <c r="AC146" s="213"/>
      <c r="AD146" s="213"/>
      <c r="AE146" s="213"/>
      <c r="AF146" s="213"/>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row>
    <row r="147">
      <c r="A147" s="209"/>
      <c r="B147" s="247"/>
      <c r="C147" s="218"/>
      <c r="D147" s="218"/>
      <c r="E147" s="218"/>
      <c r="F147" s="218"/>
      <c r="G147" s="218"/>
      <c r="H147" s="218"/>
      <c r="I147" s="218"/>
      <c r="J147" s="213"/>
      <c r="K147" s="213"/>
      <c r="L147" s="214"/>
      <c r="M147" s="213"/>
      <c r="N147" s="214"/>
      <c r="O147" s="213"/>
      <c r="P147" s="213"/>
      <c r="Q147" s="214"/>
      <c r="R147" s="214"/>
      <c r="S147" s="270"/>
      <c r="T147" s="270"/>
      <c r="U147" s="270"/>
      <c r="V147" s="101"/>
      <c r="W147" s="101"/>
      <c r="X147" s="212"/>
      <c r="Y147" s="212"/>
      <c r="Z147" s="212"/>
      <c r="AA147" s="287"/>
      <c r="AB147" s="213"/>
      <c r="AC147" s="213"/>
      <c r="AD147" s="213"/>
      <c r="AE147" s="213"/>
      <c r="AF147" s="213"/>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row>
    <row r="148">
      <c r="A148" s="209"/>
      <c r="B148" s="247"/>
      <c r="C148" s="218"/>
      <c r="D148" s="218"/>
      <c r="E148" s="218"/>
      <c r="F148" s="218"/>
      <c r="G148" s="218"/>
      <c r="H148" s="218"/>
      <c r="I148" s="218"/>
      <c r="J148" s="213"/>
      <c r="K148" s="213"/>
      <c r="L148" s="214"/>
      <c r="M148" s="213"/>
      <c r="N148" s="214"/>
      <c r="O148" s="213"/>
      <c r="P148" s="213"/>
      <c r="Q148" s="214"/>
      <c r="R148" s="214"/>
      <c r="S148" s="270"/>
      <c r="T148" s="270"/>
      <c r="U148" s="270"/>
      <c r="V148" s="101"/>
      <c r="W148" s="101"/>
      <c r="X148" s="212"/>
      <c r="Y148" s="212"/>
      <c r="Z148" s="212"/>
      <c r="AA148" s="287"/>
      <c r="AB148" s="213"/>
      <c r="AC148" s="213"/>
      <c r="AD148" s="213"/>
      <c r="AE148" s="213"/>
      <c r="AF148" s="213"/>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row>
    <row r="149">
      <c r="A149" s="209"/>
      <c r="B149" s="247"/>
      <c r="C149" s="218"/>
      <c r="D149" s="218"/>
      <c r="E149" s="218"/>
      <c r="F149" s="218"/>
      <c r="G149" s="218"/>
      <c r="H149" s="218"/>
      <c r="I149" s="218"/>
      <c r="J149" s="213"/>
      <c r="K149" s="213"/>
      <c r="L149" s="214"/>
      <c r="M149" s="213"/>
      <c r="N149" s="214"/>
      <c r="O149" s="213"/>
      <c r="P149" s="213"/>
      <c r="Q149" s="214"/>
      <c r="R149" s="214"/>
      <c r="S149" s="270"/>
      <c r="T149" s="270"/>
      <c r="U149" s="270"/>
      <c r="V149" s="101"/>
      <c r="W149" s="101"/>
      <c r="X149" s="212"/>
      <c r="Y149" s="212"/>
      <c r="Z149" s="212"/>
      <c r="AA149" s="287"/>
      <c r="AB149" s="213"/>
      <c r="AC149" s="213"/>
      <c r="AD149" s="213"/>
      <c r="AE149" s="213"/>
      <c r="AF149" s="213"/>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row>
    <row r="150">
      <c r="A150" s="209"/>
      <c r="B150" s="247"/>
      <c r="C150" s="218"/>
      <c r="D150" s="218"/>
      <c r="E150" s="218"/>
      <c r="F150" s="218"/>
      <c r="G150" s="218"/>
      <c r="H150" s="218"/>
      <c r="I150" s="218"/>
      <c r="J150" s="213"/>
      <c r="K150" s="213"/>
      <c r="L150" s="214"/>
      <c r="M150" s="213"/>
      <c r="N150" s="214"/>
      <c r="O150" s="213"/>
      <c r="P150" s="213"/>
      <c r="Q150" s="214"/>
      <c r="R150" s="214"/>
      <c r="S150" s="270"/>
      <c r="T150" s="270"/>
      <c r="U150" s="270"/>
      <c r="V150" s="101"/>
      <c r="W150" s="101"/>
      <c r="X150" s="212"/>
      <c r="Y150" s="212"/>
      <c r="Z150" s="212"/>
      <c r="AA150" s="287"/>
      <c r="AB150" s="213"/>
      <c r="AC150" s="213"/>
      <c r="AD150" s="213"/>
      <c r="AE150" s="213"/>
      <c r="AF150" s="213"/>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row>
    <row r="151">
      <c r="A151" s="209"/>
      <c r="B151" s="247"/>
      <c r="C151" s="218"/>
      <c r="D151" s="218"/>
      <c r="E151" s="218"/>
      <c r="F151" s="218"/>
      <c r="G151" s="218"/>
      <c r="H151" s="218"/>
      <c r="I151" s="218"/>
      <c r="J151" s="213"/>
      <c r="K151" s="213"/>
      <c r="L151" s="214"/>
      <c r="M151" s="213"/>
      <c r="N151" s="214"/>
      <c r="O151" s="213"/>
      <c r="P151" s="213"/>
      <c r="Q151" s="214"/>
      <c r="R151" s="214"/>
      <c r="S151" s="270"/>
      <c r="T151" s="270"/>
      <c r="U151" s="270"/>
      <c r="V151" s="101"/>
      <c r="W151" s="101"/>
      <c r="X151" s="212"/>
      <c r="Y151" s="212"/>
      <c r="Z151" s="212"/>
      <c r="AA151" s="287"/>
      <c r="AB151" s="213"/>
      <c r="AC151" s="213"/>
      <c r="AD151" s="213"/>
      <c r="AE151" s="213"/>
      <c r="AF151" s="213"/>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row>
    <row r="152">
      <c r="A152" s="209"/>
      <c r="B152" s="247"/>
      <c r="C152" s="218"/>
      <c r="D152" s="218"/>
      <c r="E152" s="218"/>
      <c r="F152" s="218"/>
      <c r="G152" s="218"/>
      <c r="H152" s="218"/>
      <c r="I152" s="218"/>
      <c r="J152" s="213"/>
      <c r="K152" s="213"/>
      <c r="L152" s="214"/>
      <c r="M152" s="213"/>
      <c r="N152" s="214"/>
      <c r="O152" s="213"/>
      <c r="P152" s="213"/>
      <c r="Q152" s="214"/>
      <c r="R152" s="214"/>
      <c r="S152" s="270"/>
      <c r="T152" s="270"/>
      <c r="U152" s="270"/>
      <c r="V152" s="101"/>
      <c r="W152" s="101"/>
      <c r="X152" s="212"/>
      <c r="Y152" s="212"/>
      <c r="Z152" s="212"/>
      <c r="AA152" s="287"/>
      <c r="AB152" s="213"/>
      <c r="AC152" s="213"/>
      <c r="AD152" s="213"/>
      <c r="AE152" s="213"/>
      <c r="AF152" s="213"/>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row>
    <row r="153">
      <c r="A153" s="209"/>
      <c r="B153" s="247"/>
      <c r="C153" s="218"/>
      <c r="D153" s="218"/>
      <c r="E153" s="218"/>
      <c r="F153" s="218"/>
      <c r="G153" s="218"/>
      <c r="H153" s="218"/>
      <c r="I153" s="218"/>
      <c r="J153" s="213"/>
      <c r="K153" s="213"/>
      <c r="L153" s="214"/>
      <c r="M153" s="213"/>
      <c r="N153" s="214"/>
      <c r="O153" s="213"/>
      <c r="P153" s="213"/>
      <c r="Q153" s="214"/>
      <c r="R153" s="214"/>
      <c r="S153" s="270"/>
      <c r="T153" s="270"/>
      <c r="U153" s="270"/>
      <c r="V153" s="101"/>
      <c r="W153" s="101"/>
      <c r="X153" s="212"/>
      <c r="Y153" s="212"/>
      <c r="Z153" s="212"/>
      <c r="AA153" s="287"/>
      <c r="AB153" s="213"/>
      <c r="AC153" s="213"/>
      <c r="AD153" s="213"/>
      <c r="AE153" s="213"/>
      <c r="AF153" s="213"/>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row>
    <row r="154">
      <c r="A154" s="209"/>
      <c r="B154" s="247"/>
      <c r="C154" s="218"/>
      <c r="D154" s="218"/>
      <c r="E154" s="218"/>
      <c r="F154" s="218"/>
      <c r="G154" s="218"/>
      <c r="H154" s="218"/>
      <c r="I154" s="218"/>
      <c r="J154" s="213"/>
      <c r="K154" s="213"/>
      <c r="L154" s="214"/>
      <c r="M154" s="213"/>
      <c r="N154" s="214"/>
      <c r="O154" s="213"/>
      <c r="P154" s="213"/>
      <c r="Q154" s="214"/>
      <c r="R154" s="214"/>
      <c r="S154" s="270"/>
      <c r="T154" s="270"/>
      <c r="U154" s="270"/>
      <c r="V154" s="101"/>
      <c r="W154" s="101"/>
      <c r="X154" s="212"/>
      <c r="Y154" s="212"/>
      <c r="Z154" s="212"/>
      <c r="AA154" s="287"/>
      <c r="AB154" s="213"/>
      <c r="AC154" s="213"/>
      <c r="AD154" s="213"/>
      <c r="AE154" s="213"/>
      <c r="AF154" s="213"/>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row>
    <row r="155">
      <c r="A155" s="209"/>
      <c r="B155" s="247"/>
      <c r="C155" s="218"/>
      <c r="D155" s="218"/>
      <c r="E155" s="218"/>
      <c r="F155" s="218"/>
      <c r="G155" s="218"/>
      <c r="H155" s="218"/>
      <c r="I155" s="218"/>
      <c r="J155" s="213"/>
      <c r="K155" s="213"/>
      <c r="L155" s="214"/>
      <c r="M155" s="213"/>
      <c r="N155" s="214"/>
      <c r="O155" s="213"/>
      <c r="P155" s="213"/>
      <c r="Q155" s="214"/>
      <c r="R155" s="214"/>
      <c r="S155" s="270"/>
      <c r="T155" s="270"/>
      <c r="U155" s="270"/>
      <c r="V155" s="101"/>
      <c r="W155" s="101"/>
      <c r="X155" s="212"/>
      <c r="Y155" s="212"/>
      <c r="Z155" s="212"/>
      <c r="AA155" s="287"/>
      <c r="AB155" s="213"/>
      <c r="AC155" s="213"/>
      <c r="AD155" s="213"/>
      <c r="AE155" s="213"/>
      <c r="AF155" s="213"/>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row>
    <row r="156">
      <c r="A156" s="209"/>
      <c r="B156" s="247"/>
      <c r="C156" s="218"/>
      <c r="D156" s="218"/>
      <c r="E156" s="218"/>
      <c r="F156" s="218"/>
      <c r="G156" s="218"/>
      <c r="H156" s="218"/>
      <c r="I156" s="218"/>
      <c r="J156" s="213"/>
      <c r="K156" s="213"/>
      <c r="L156" s="214"/>
      <c r="M156" s="213"/>
      <c r="N156" s="214"/>
      <c r="O156" s="213"/>
      <c r="P156" s="213"/>
      <c r="Q156" s="214"/>
      <c r="R156" s="214"/>
      <c r="S156" s="270"/>
      <c r="T156" s="270"/>
      <c r="U156" s="270"/>
      <c r="V156" s="101"/>
      <c r="W156" s="101"/>
      <c r="X156" s="212"/>
      <c r="Y156" s="212"/>
      <c r="Z156" s="212"/>
      <c r="AA156" s="287"/>
      <c r="AB156" s="213"/>
      <c r="AC156" s="213"/>
      <c r="AD156" s="213"/>
      <c r="AE156" s="213"/>
      <c r="AF156" s="213"/>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row>
    <row r="157">
      <c r="A157" s="209"/>
      <c r="B157" s="247"/>
      <c r="C157" s="218"/>
      <c r="D157" s="218"/>
      <c r="E157" s="218"/>
      <c r="F157" s="218"/>
      <c r="G157" s="218"/>
      <c r="H157" s="218"/>
      <c r="I157" s="218"/>
      <c r="J157" s="213"/>
      <c r="K157" s="213"/>
      <c r="L157" s="214"/>
      <c r="M157" s="213"/>
      <c r="N157" s="214"/>
      <c r="O157" s="213"/>
      <c r="P157" s="213"/>
      <c r="Q157" s="214"/>
      <c r="R157" s="214"/>
      <c r="S157" s="270"/>
      <c r="T157" s="270"/>
      <c r="U157" s="270"/>
      <c r="V157" s="101"/>
      <c r="W157" s="101"/>
      <c r="X157" s="212"/>
      <c r="Y157" s="212"/>
      <c r="Z157" s="212"/>
      <c r="AA157" s="287"/>
      <c r="AB157" s="213"/>
      <c r="AC157" s="213"/>
      <c r="AD157" s="213"/>
      <c r="AE157" s="213"/>
      <c r="AF157" s="213"/>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row>
    <row r="158">
      <c r="A158" s="209"/>
      <c r="B158" s="247"/>
      <c r="C158" s="218"/>
      <c r="D158" s="218"/>
      <c r="E158" s="218"/>
      <c r="F158" s="218"/>
      <c r="G158" s="218"/>
      <c r="H158" s="218"/>
      <c r="I158" s="218"/>
      <c r="J158" s="213"/>
      <c r="K158" s="213"/>
      <c r="L158" s="214"/>
      <c r="M158" s="213"/>
      <c r="N158" s="214"/>
      <c r="O158" s="213"/>
      <c r="P158" s="213"/>
      <c r="Q158" s="214"/>
      <c r="R158" s="214"/>
      <c r="S158" s="270"/>
      <c r="T158" s="270"/>
      <c r="U158" s="270"/>
      <c r="V158" s="101"/>
      <c r="W158" s="101"/>
      <c r="X158" s="212"/>
      <c r="Y158" s="212"/>
      <c r="Z158" s="212"/>
      <c r="AA158" s="287"/>
      <c r="AB158" s="213"/>
      <c r="AC158" s="213"/>
      <c r="AD158" s="213"/>
      <c r="AE158" s="213"/>
      <c r="AF158" s="213"/>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row>
    <row r="159">
      <c r="A159" s="209"/>
      <c r="B159" s="247"/>
      <c r="C159" s="218"/>
      <c r="D159" s="218"/>
      <c r="E159" s="218"/>
      <c r="F159" s="218"/>
      <c r="G159" s="218"/>
      <c r="H159" s="218"/>
      <c r="I159" s="218"/>
      <c r="J159" s="213"/>
      <c r="K159" s="213"/>
      <c r="L159" s="214"/>
      <c r="M159" s="213"/>
      <c r="N159" s="214"/>
      <c r="O159" s="213"/>
      <c r="P159" s="213"/>
      <c r="Q159" s="214"/>
      <c r="R159" s="214"/>
      <c r="S159" s="270"/>
      <c r="T159" s="270"/>
      <c r="U159" s="270"/>
      <c r="V159" s="101"/>
      <c r="W159" s="101"/>
      <c r="X159" s="212"/>
      <c r="Y159" s="212"/>
      <c r="Z159" s="212"/>
      <c r="AA159" s="287"/>
      <c r="AB159" s="213"/>
      <c r="AC159" s="213"/>
      <c r="AD159" s="213"/>
      <c r="AE159" s="213"/>
      <c r="AF159" s="213"/>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row>
    <row r="160">
      <c r="A160" s="209"/>
      <c r="B160" s="247"/>
      <c r="C160" s="218"/>
      <c r="D160" s="218"/>
      <c r="E160" s="218"/>
      <c r="F160" s="218"/>
      <c r="G160" s="218"/>
      <c r="H160" s="218"/>
      <c r="I160" s="218"/>
      <c r="J160" s="213"/>
      <c r="K160" s="213"/>
      <c r="L160" s="214"/>
      <c r="M160" s="213"/>
      <c r="N160" s="214"/>
      <c r="O160" s="213"/>
      <c r="P160" s="213"/>
      <c r="Q160" s="214"/>
      <c r="R160" s="214"/>
      <c r="S160" s="270"/>
      <c r="T160" s="270"/>
      <c r="U160" s="270"/>
      <c r="V160" s="101"/>
      <c r="W160" s="101"/>
      <c r="X160" s="212"/>
      <c r="Y160" s="212"/>
      <c r="Z160" s="212"/>
      <c r="AA160" s="287"/>
      <c r="AB160" s="213"/>
      <c r="AC160" s="213"/>
      <c r="AD160" s="213"/>
      <c r="AE160" s="213"/>
      <c r="AF160" s="213"/>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row>
    <row r="161">
      <c r="A161" s="209"/>
      <c r="B161" s="247"/>
      <c r="C161" s="218"/>
      <c r="D161" s="218"/>
      <c r="E161" s="218"/>
      <c r="F161" s="218"/>
      <c r="G161" s="218"/>
      <c r="H161" s="218"/>
      <c r="I161" s="218"/>
      <c r="J161" s="213"/>
      <c r="K161" s="213"/>
      <c r="L161" s="214"/>
      <c r="M161" s="213"/>
      <c r="N161" s="214"/>
      <c r="O161" s="213"/>
      <c r="P161" s="213"/>
      <c r="Q161" s="214"/>
      <c r="R161" s="214"/>
      <c r="S161" s="270"/>
      <c r="T161" s="270"/>
      <c r="U161" s="270"/>
      <c r="V161" s="101"/>
      <c r="W161" s="101"/>
      <c r="X161" s="212"/>
      <c r="Y161" s="212"/>
      <c r="Z161" s="212"/>
      <c r="AA161" s="287"/>
      <c r="AB161" s="213"/>
      <c r="AC161" s="213"/>
      <c r="AD161" s="213"/>
      <c r="AE161" s="213"/>
      <c r="AF161" s="213"/>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row>
    <row r="162">
      <c r="A162" s="209"/>
      <c r="B162" s="247"/>
      <c r="C162" s="218"/>
      <c r="D162" s="218"/>
      <c r="E162" s="218"/>
      <c r="F162" s="218"/>
      <c r="G162" s="218"/>
      <c r="H162" s="218"/>
      <c r="I162" s="218"/>
      <c r="J162" s="213"/>
      <c r="K162" s="213"/>
      <c r="L162" s="214"/>
      <c r="M162" s="213"/>
      <c r="N162" s="214"/>
      <c r="O162" s="213"/>
      <c r="P162" s="213"/>
      <c r="Q162" s="214"/>
      <c r="R162" s="214"/>
      <c r="S162" s="270"/>
      <c r="T162" s="270"/>
      <c r="U162" s="270"/>
      <c r="V162" s="101"/>
      <c r="W162" s="101"/>
      <c r="X162" s="212"/>
      <c r="Y162" s="212"/>
      <c r="Z162" s="212"/>
      <c r="AA162" s="287"/>
      <c r="AB162" s="213"/>
      <c r="AC162" s="213"/>
      <c r="AD162" s="213"/>
      <c r="AE162" s="213"/>
      <c r="AF162" s="213"/>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row>
    <row r="163">
      <c r="A163" s="209"/>
      <c r="B163" s="247"/>
      <c r="C163" s="218"/>
      <c r="D163" s="218"/>
      <c r="E163" s="218"/>
      <c r="F163" s="218"/>
      <c r="G163" s="218"/>
      <c r="H163" s="218"/>
      <c r="I163" s="218"/>
      <c r="J163" s="213"/>
      <c r="K163" s="213"/>
      <c r="L163" s="214"/>
      <c r="M163" s="213"/>
      <c r="N163" s="214"/>
      <c r="O163" s="213"/>
      <c r="P163" s="213"/>
      <c r="Q163" s="214"/>
      <c r="R163" s="214"/>
      <c r="S163" s="270"/>
      <c r="T163" s="270"/>
      <c r="U163" s="270"/>
      <c r="V163" s="101"/>
      <c r="W163" s="101"/>
      <c r="X163" s="212"/>
      <c r="Y163" s="212"/>
      <c r="Z163" s="212"/>
      <c r="AA163" s="287"/>
      <c r="AB163" s="213"/>
      <c r="AC163" s="213"/>
      <c r="AD163" s="213"/>
      <c r="AE163" s="213"/>
      <c r="AF163" s="213"/>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row>
    <row r="164">
      <c r="A164" s="209"/>
      <c r="B164" s="247"/>
      <c r="C164" s="218"/>
      <c r="D164" s="218"/>
      <c r="E164" s="218"/>
      <c r="F164" s="218"/>
      <c r="G164" s="218"/>
      <c r="H164" s="218"/>
      <c r="I164" s="218"/>
      <c r="J164" s="213"/>
      <c r="K164" s="213"/>
      <c r="L164" s="214"/>
      <c r="M164" s="213"/>
      <c r="N164" s="214"/>
      <c r="O164" s="213"/>
      <c r="P164" s="213"/>
      <c r="Q164" s="214"/>
      <c r="R164" s="214"/>
      <c r="S164" s="270"/>
      <c r="T164" s="270"/>
      <c r="U164" s="270"/>
      <c r="V164" s="101"/>
      <c r="W164" s="101"/>
      <c r="X164" s="212"/>
      <c r="Y164" s="212"/>
      <c r="Z164" s="212"/>
      <c r="AA164" s="287"/>
      <c r="AB164" s="213"/>
      <c r="AC164" s="213"/>
      <c r="AD164" s="213"/>
      <c r="AE164" s="213"/>
      <c r="AF164" s="213"/>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row>
    <row r="165">
      <c r="A165" s="209"/>
      <c r="B165" s="247"/>
      <c r="C165" s="218"/>
      <c r="D165" s="218"/>
      <c r="E165" s="218"/>
      <c r="F165" s="218"/>
      <c r="G165" s="218"/>
      <c r="H165" s="218"/>
      <c r="I165" s="218"/>
      <c r="J165" s="213"/>
      <c r="K165" s="213"/>
      <c r="L165" s="214"/>
      <c r="M165" s="213"/>
      <c r="N165" s="214"/>
      <c r="O165" s="213"/>
      <c r="P165" s="213"/>
      <c r="Q165" s="214"/>
      <c r="R165" s="214"/>
      <c r="S165" s="270"/>
      <c r="T165" s="270"/>
      <c r="U165" s="270"/>
      <c r="V165" s="101"/>
      <c r="W165" s="101"/>
      <c r="X165" s="212"/>
      <c r="Y165" s="212"/>
      <c r="Z165" s="212"/>
      <c r="AA165" s="287"/>
      <c r="AB165" s="213"/>
      <c r="AC165" s="213"/>
      <c r="AD165" s="213"/>
      <c r="AE165" s="213"/>
      <c r="AF165" s="213"/>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row>
    <row r="166">
      <c r="A166" s="209"/>
      <c r="B166" s="247"/>
      <c r="C166" s="218"/>
      <c r="D166" s="218"/>
      <c r="E166" s="218"/>
      <c r="F166" s="218"/>
      <c r="G166" s="218"/>
      <c r="H166" s="218"/>
      <c r="I166" s="218"/>
      <c r="J166" s="213"/>
      <c r="K166" s="213"/>
      <c r="L166" s="214"/>
      <c r="M166" s="213"/>
      <c r="N166" s="214"/>
      <c r="O166" s="213"/>
      <c r="P166" s="213"/>
      <c r="Q166" s="214"/>
      <c r="R166" s="214"/>
      <c r="S166" s="270"/>
      <c r="T166" s="270"/>
      <c r="U166" s="270"/>
      <c r="V166" s="101"/>
      <c r="W166" s="101"/>
      <c r="X166" s="212"/>
      <c r="Y166" s="212"/>
      <c r="Z166" s="212"/>
      <c r="AA166" s="287"/>
      <c r="AB166" s="213"/>
      <c r="AC166" s="213"/>
      <c r="AD166" s="213"/>
      <c r="AE166" s="213"/>
      <c r="AF166" s="213"/>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row>
    <row r="167">
      <c r="A167" s="209"/>
      <c r="B167" s="247"/>
      <c r="C167" s="218"/>
      <c r="D167" s="218"/>
      <c r="E167" s="218"/>
      <c r="F167" s="218"/>
      <c r="G167" s="218"/>
      <c r="H167" s="218"/>
      <c r="I167" s="218"/>
      <c r="J167" s="213"/>
      <c r="K167" s="213"/>
      <c r="L167" s="214"/>
      <c r="M167" s="213"/>
      <c r="N167" s="214"/>
      <c r="O167" s="213"/>
      <c r="P167" s="213"/>
      <c r="Q167" s="214"/>
      <c r="R167" s="214"/>
      <c r="S167" s="270"/>
      <c r="T167" s="270"/>
      <c r="U167" s="270"/>
      <c r="V167" s="101"/>
      <c r="W167" s="101"/>
      <c r="X167" s="212"/>
      <c r="Y167" s="212"/>
      <c r="Z167" s="212"/>
      <c r="AA167" s="287"/>
      <c r="AB167" s="213"/>
      <c r="AC167" s="213"/>
      <c r="AD167" s="213"/>
      <c r="AE167" s="213"/>
      <c r="AF167" s="213"/>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row>
    <row r="168">
      <c r="A168" s="209"/>
      <c r="B168" s="247"/>
      <c r="C168" s="218"/>
      <c r="D168" s="218"/>
      <c r="E168" s="218"/>
      <c r="F168" s="218"/>
      <c r="G168" s="218"/>
      <c r="H168" s="218"/>
      <c r="I168" s="218"/>
      <c r="J168" s="213"/>
      <c r="K168" s="213"/>
      <c r="L168" s="214"/>
      <c r="M168" s="213"/>
      <c r="N168" s="214"/>
      <c r="O168" s="213"/>
      <c r="P168" s="213"/>
      <c r="Q168" s="214"/>
      <c r="R168" s="214"/>
      <c r="S168" s="270"/>
      <c r="T168" s="270"/>
      <c r="U168" s="270"/>
      <c r="V168" s="101"/>
      <c r="W168" s="101"/>
      <c r="X168" s="212"/>
      <c r="Y168" s="212"/>
      <c r="Z168" s="212"/>
      <c r="AA168" s="287"/>
      <c r="AB168" s="213"/>
      <c r="AC168" s="213"/>
      <c r="AD168" s="213"/>
      <c r="AE168" s="213"/>
      <c r="AF168" s="213"/>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row>
    <row r="169">
      <c r="A169" s="209"/>
      <c r="B169" s="247"/>
      <c r="C169" s="218"/>
      <c r="D169" s="218"/>
      <c r="E169" s="218"/>
      <c r="F169" s="218"/>
      <c r="G169" s="218"/>
      <c r="H169" s="218"/>
      <c r="I169" s="218"/>
      <c r="J169" s="213"/>
      <c r="K169" s="213"/>
      <c r="L169" s="214"/>
      <c r="M169" s="213"/>
      <c r="N169" s="214"/>
      <c r="O169" s="213"/>
      <c r="P169" s="213"/>
      <c r="Q169" s="214"/>
      <c r="R169" s="214"/>
      <c r="S169" s="270"/>
      <c r="T169" s="270"/>
      <c r="U169" s="270"/>
      <c r="V169" s="101"/>
      <c r="W169" s="101"/>
      <c r="X169" s="212"/>
      <c r="Y169" s="212"/>
      <c r="Z169" s="212"/>
      <c r="AA169" s="287"/>
      <c r="AB169" s="213"/>
      <c r="AC169" s="213"/>
      <c r="AD169" s="213"/>
      <c r="AE169" s="213"/>
      <c r="AF169" s="213"/>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row>
    <row r="170">
      <c r="A170" s="209"/>
      <c r="B170" s="247"/>
      <c r="C170" s="218"/>
      <c r="D170" s="218"/>
      <c r="E170" s="218"/>
      <c r="F170" s="218"/>
      <c r="G170" s="218"/>
      <c r="H170" s="218"/>
      <c r="I170" s="218"/>
      <c r="J170" s="213"/>
      <c r="K170" s="213"/>
      <c r="L170" s="214"/>
      <c r="M170" s="213"/>
      <c r="N170" s="214"/>
      <c r="O170" s="213"/>
      <c r="P170" s="213"/>
      <c r="Q170" s="214"/>
      <c r="R170" s="214"/>
      <c r="S170" s="270"/>
      <c r="T170" s="270"/>
      <c r="U170" s="270"/>
      <c r="V170" s="101"/>
      <c r="W170" s="101"/>
      <c r="X170" s="212"/>
      <c r="Y170" s="212"/>
      <c r="Z170" s="212"/>
      <c r="AA170" s="287"/>
      <c r="AB170" s="213"/>
      <c r="AC170" s="213"/>
      <c r="AD170" s="213"/>
      <c r="AE170" s="213"/>
      <c r="AF170" s="213"/>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row>
    <row r="171">
      <c r="A171" s="209"/>
      <c r="B171" s="247"/>
      <c r="C171" s="218"/>
      <c r="D171" s="218"/>
      <c r="E171" s="218"/>
      <c r="F171" s="218"/>
      <c r="G171" s="218"/>
      <c r="H171" s="218"/>
      <c r="I171" s="218"/>
      <c r="J171" s="213"/>
      <c r="K171" s="213"/>
      <c r="L171" s="214"/>
      <c r="M171" s="213"/>
      <c r="N171" s="214"/>
      <c r="O171" s="213"/>
      <c r="P171" s="213"/>
      <c r="Q171" s="214"/>
      <c r="R171" s="214"/>
      <c r="S171" s="270"/>
      <c r="T171" s="270"/>
      <c r="U171" s="270"/>
      <c r="V171" s="101"/>
      <c r="W171" s="101"/>
      <c r="X171" s="212"/>
      <c r="Y171" s="212"/>
      <c r="Z171" s="212"/>
      <c r="AA171" s="287"/>
      <c r="AB171" s="213"/>
      <c r="AC171" s="213"/>
      <c r="AD171" s="213"/>
      <c r="AE171" s="213"/>
      <c r="AF171" s="213"/>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row>
    <row r="172">
      <c r="A172" s="209"/>
      <c r="B172" s="247"/>
      <c r="C172" s="218"/>
      <c r="D172" s="218"/>
      <c r="E172" s="218"/>
      <c r="F172" s="218"/>
      <c r="G172" s="218"/>
      <c r="H172" s="218"/>
      <c r="I172" s="218"/>
      <c r="J172" s="213"/>
      <c r="K172" s="213"/>
      <c r="L172" s="214"/>
      <c r="M172" s="213"/>
      <c r="N172" s="214"/>
      <c r="O172" s="213"/>
      <c r="P172" s="213"/>
      <c r="Q172" s="214"/>
      <c r="R172" s="214"/>
      <c r="S172" s="270"/>
      <c r="T172" s="270"/>
      <c r="U172" s="270"/>
      <c r="V172" s="101"/>
      <c r="W172" s="101"/>
      <c r="X172" s="212"/>
      <c r="Y172" s="212"/>
      <c r="Z172" s="212"/>
      <c r="AA172" s="287"/>
      <c r="AB172" s="213"/>
      <c r="AC172" s="213"/>
      <c r="AD172" s="213"/>
      <c r="AE172" s="213"/>
      <c r="AF172" s="213"/>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row>
    <row r="173">
      <c r="A173" s="209"/>
      <c r="B173" s="247"/>
      <c r="C173" s="218"/>
      <c r="D173" s="218"/>
      <c r="E173" s="218"/>
      <c r="F173" s="218"/>
      <c r="G173" s="218"/>
      <c r="H173" s="218"/>
      <c r="I173" s="218"/>
      <c r="J173" s="213"/>
      <c r="K173" s="213"/>
      <c r="L173" s="214"/>
      <c r="M173" s="213"/>
      <c r="N173" s="214"/>
      <c r="O173" s="213"/>
      <c r="P173" s="213"/>
      <c r="Q173" s="214"/>
      <c r="R173" s="214"/>
      <c r="S173" s="270"/>
      <c r="T173" s="270"/>
      <c r="U173" s="270"/>
      <c r="V173" s="101"/>
      <c r="W173" s="101"/>
      <c r="X173" s="212"/>
      <c r="Y173" s="212"/>
      <c r="Z173" s="212"/>
      <c r="AA173" s="287"/>
      <c r="AB173" s="213"/>
      <c r="AC173" s="213"/>
      <c r="AD173" s="213"/>
      <c r="AE173" s="213"/>
      <c r="AF173" s="213"/>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row>
    <row r="174">
      <c r="A174" s="209"/>
      <c r="B174" s="247"/>
      <c r="C174" s="218"/>
      <c r="D174" s="218"/>
      <c r="E174" s="218"/>
      <c r="F174" s="218"/>
      <c r="G174" s="218"/>
      <c r="H174" s="218"/>
      <c r="I174" s="218"/>
      <c r="J174" s="213"/>
      <c r="K174" s="213"/>
      <c r="L174" s="214"/>
      <c r="M174" s="213"/>
      <c r="N174" s="214"/>
      <c r="O174" s="213"/>
      <c r="P174" s="213"/>
      <c r="Q174" s="214"/>
      <c r="R174" s="214"/>
      <c r="S174" s="270"/>
      <c r="T174" s="270"/>
      <c r="U174" s="270"/>
      <c r="V174" s="101"/>
      <c r="W174" s="101"/>
      <c r="X174" s="212"/>
      <c r="Y174" s="212"/>
      <c r="Z174" s="212"/>
      <c r="AA174" s="287"/>
      <c r="AB174" s="213"/>
      <c r="AC174" s="213"/>
      <c r="AD174" s="213"/>
      <c r="AE174" s="213"/>
      <c r="AF174" s="213"/>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row>
    <row r="175">
      <c r="A175" s="209"/>
      <c r="B175" s="247"/>
      <c r="C175" s="218"/>
      <c r="D175" s="218"/>
      <c r="E175" s="218"/>
      <c r="F175" s="218"/>
      <c r="G175" s="218"/>
      <c r="H175" s="218"/>
      <c r="I175" s="218"/>
      <c r="J175" s="213"/>
      <c r="K175" s="213"/>
      <c r="L175" s="214"/>
      <c r="M175" s="213"/>
      <c r="N175" s="214"/>
      <c r="O175" s="213"/>
      <c r="P175" s="213"/>
      <c r="Q175" s="214"/>
      <c r="R175" s="214"/>
      <c r="S175" s="270"/>
      <c r="T175" s="270"/>
      <c r="U175" s="270"/>
      <c r="V175" s="101"/>
      <c r="W175" s="101"/>
      <c r="X175" s="212"/>
      <c r="Y175" s="212"/>
      <c r="Z175" s="212"/>
      <c r="AA175" s="287"/>
      <c r="AB175" s="213"/>
      <c r="AC175" s="213"/>
      <c r="AD175" s="213"/>
      <c r="AE175" s="213"/>
      <c r="AF175" s="213"/>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row>
    <row r="176">
      <c r="A176" s="209"/>
      <c r="B176" s="247"/>
      <c r="C176" s="218"/>
      <c r="D176" s="218"/>
      <c r="E176" s="218"/>
      <c r="F176" s="218"/>
      <c r="G176" s="218"/>
      <c r="H176" s="218"/>
      <c r="I176" s="218"/>
      <c r="J176" s="213"/>
      <c r="K176" s="213"/>
      <c r="L176" s="214"/>
      <c r="M176" s="213"/>
      <c r="N176" s="214"/>
      <c r="O176" s="213"/>
      <c r="P176" s="213"/>
      <c r="Q176" s="214"/>
      <c r="R176" s="214"/>
      <c r="S176" s="270"/>
      <c r="T176" s="270"/>
      <c r="U176" s="270"/>
      <c r="V176" s="101"/>
      <c r="W176" s="101"/>
      <c r="X176" s="212"/>
      <c r="Y176" s="212"/>
      <c r="Z176" s="212"/>
      <c r="AA176" s="287"/>
      <c r="AB176" s="213"/>
      <c r="AC176" s="213"/>
      <c r="AD176" s="213"/>
      <c r="AE176" s="213"/>
      <c r="AF176" s="213"/>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row>
    <row r="177">
      <c r="A177" s="209"/>
      <c r="B177" s="247"/>
      <c r="C177" s="218"/>
      <c r="D177" s="218"/>
      <c r="E177" s="218"/>
      <c r="F177" s="218"/>
      <c r="G177" s="218"/>
      <c r="H177" s="218"/>
      <c r="I177" s="218"/>
      <c r="J177" s="213"/>
      <c r="K177" s="213"/>
      <c r="L177" s="214"/>
      <c r="M177" s="213"/>
      <c r="N177" s="214"/>
      <c r="O177" s="213"/>
      <c r="P177" s="213"/>
      <c r="Q177" s="214"/>
      <c r="R177" s="214"/>
      <c r="S177" s="270"/>
      <c r="T177" s="270"/>
      <c r="U177" s="270"/>
      <c r="V177" s="101"/>
      <c r="W177" s="101"/>
      <c r="X177" s="212"/>
      <c r="Y177" s="212"/>
      <c r="Z177" s="212"/>
      <c r="AA177" s="287"/>
      <c r="AB177" s="213"/>
      <c r="AC177" s="213"/>
      <c r="AD177" s="213"/>
      <c r="AE177" s="213"/>
      <c r="AF177" s="213"/>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row>
    <row r="178">
      <c r="A178" s="209"/>
      <c r="B178" s="247"/>
      <c r="C178" s="218"/>
      <c r="D178" s="218"/>
      <c r="E178" s="218"/>
      <c r="F178" s="218"/>
      <c r="G178" s="218"/>
      <c r="H178" s="218"/>
      <c r="I178" s="218"/>
      <c r="J178" s="213"/>
      <c r="K178" s="213"/>
      <c r="L178" s="214"/>
      <c r="M178" s="213"/>
      <c r="N178" s="214"/>
      <c r="O178" s="213"/>
      <c r="P178" s="213"/>
      <c r="Q178" s="214"/>
      <c r="R178" s="214"/>
      <c r="S178" s="270"/>
      <c r="T178" s="270"/>
      <c r="U178" s="270"/>
      <c r="V178" s="101"/>
      <c r="W178" s="101"/>
      <c r="X178" s="212"/>
      <c r="Y178" s="212"/>
      <c r="Z178" s="212"/>
      <c r="AA178" s="287"/>
      <c r="AB178" s="213"/>
      <c r="AC178" s="213"/>
      <c r="AD178" s="213"/>
      <c r="AE178" s="213"/>
      <c r="AF178" s="213"/>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row>
    <row r="179">
      <c r="A179" s="209"/>
      <c r="B179" s="247"/>
      <c r="C179" s="218"/>
      <c r="D179" s="218"/>
      <c r="E179" s="218"/>
      <c r="F179" s="218"/>
      <c r="G179" s="218"/>
      <c r="H179" s="218"/>
      <c r="I179" s="218"/>
      <c r="J179" s="213"/>
      <c r="K179" s="213"/>
      <c r="L179" s="214"/>
      <c r="M179" s="213"/>
      <c r="N179" s="214"/>
      <c r="O179" s="213"/>
      <c r="P179" s="213"/>
      <c r="Q179" s="214"/>
      <c r="R179" s="214"/>
      <c r="S179" s="270"/>
      <c r="T179" s="270"/>
      <c r="U179" s="270"/>
      <c r="V179" s="101"/>
      <c r="W179" s="101"/>
      <c r="X179" s="212"/>
      <c r="Y179" s="212"/>
      <c r="Z179" s="212"/>
      <c r="AA179" s="287"/>
      <c r="AB179" s="213"/>
      <c r="AC179" s="213"/>
      <c r="AD179" s="213"/>
      <c r="AE179" s="213"/>
      <c r="AF179" s="213"/>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row>
    <row r="180">
      <c r="A180" s="209"/>
      <c r="B180" s="247"/>
      <c r="C180" s="218"/>
      <c r="D180" s="218"/>
      <c r="E180" s="218"/>
      <c r="F180" s="218"/>
      <c r="G180" s="218"/>
      <c r="H180" s="218"/>
      <c r="I180" s="218"/>
      <c r="J180" s="213"/>
      <c r="K180" s="213"/>
      <c r="L180" s="214"/>
      <c r="M180" s="213"/>
      <c r="N180" s="214"/>
      <c r="O180" s="213"/>
      <c r="P180" s="213"/>
      <c r="Q180" s="214"/>
      <c r="R180" s="214"/>
      <c r="S180" s="270"/>
      <c r="T180" s="270"/>
      <c r="U180" s="270"/>
      <c r="V180" s="101"/>
      <c r="W180" s="101"/>
      <c r="X180" s="212"/>
      <c r="Y180" s="212"/>
      <c r="Z180" s="212"/>
      <c r="AA180" s="287"/>
      <c r="AB180" s="213"/>
      <c r="AC180" s="213"/>
      <c r="AD180" s="213"/>
      <c r="AE180" s="213"/>
      <c r="AF180" s="213"/>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row>
    <row r="181">
      <c r="A181" s="209"/>
      <c r="B181" s="247"/>
      <c r="C181" s="218"/>
      <c r="D181" s="218"/>
      <c r="E181" s="218"/>
      <c r="F181" s="218"/>
      <c r="G181" s="218"/>
      <c r="H181" s="218"/>
      <c r="I181" s="218"/>
      <c r="J181" s="213"/>
      <c r="K181" s="213"/>
      <c r="L181" s="214"/>
      <c r="M181" s="213"/>
      <c r="N181" s="214"/>
      <c r="O181" s="213"/>
      <c r="P181" s="213"/>
      <c r="Q181" s="214"/>
      <c r="R181" s="214"/>
      <c r="S181" s="270"/>
      <c r="T181" s="270"/>
      <c r="U181" s="270"/>
      <c r="V181" s="101"/>
      <c r="W181" s="101"/>
      <c r="X181" s="212"/>
      <c r="Y181" s="212"/>
      <c r="Z181" s="212"/>
      <c r="AA181" s="287"/>
      <c r="AB181" s="213"/>
      <c r="AC181" s="213"/>
      <c r="AD181" s="213"/>
      <c r="AE181" s="213"/>
      <c r="AF181" s="213"/>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row>
    <row r="182">
      <c r="A182" s="209"/>
      <c r="B182" s="247"/>
      <c r="C182" s="218"/>
      <c r="D182" s="218"/>
      <c r="E182" s="218"/>
      <c r="F182" s="218"/>
      <c r="G182" s="218"/>
      <c r="H182" s="218"/>
      <c r="I182" s="218"/>
      <c r="J182" s="213"/>
      <c r="K182" s="213"/>
      <c r="L182" s="214"/>
      <c r="M182" s="213"/>
      <c r="N182" s="214"/>
      <c r="O182" s="213"/>
      <c r="P182" s="213"/>
      <c r="Q182" s="214"/>
      <c r="R182" s="214"/>
      <c r="S182" s="270"/>
      <c r="T182" s="270"/>
      <c r="U182" s="270"/>
      <c r="V182" s="101"/>
      <c r="W182" s="101"/>
      <c r="X182" s="212"/>
      <c r="Y182" s="212"/>
      <c r="Z182" s="212"/>
      <c r="AA182" s="287"/>
      <c r="AB182" s="213"/>
      <c r="AC182" s="213"/>
      <c r="AD182" s="213"/>
      <c r="AE182" s="213"/>
      <c r="AF182" s="213"/>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row>
    <row r="183">
      <c r="A183" s="209"/>
      <c r="B183" s="247"/>
      <c r="C183" s="218"/>
      <c r="D183" s="218"/>
      <c r="E183" s="218"/>
      <c r="F183" s="218"/>
      <c r="G183" s="218"/>
      <c r="H183" s="218"/>
      <c r="I183" s="218"/>
      <c r="J183" s="213"/>
      <c r="K183" s="213"/>
      <c r="L183" s="214"/>
      <c r="M183" s="213"/>
      <c r="N183" s="214"/>
      <c r="O183" s="213"/>
      <c r="P183" s="213"/>
      <c r="Q183" s="214"/>
      <c r="R183" s="214"/>
      <c r="S183" s="270"/>
      <c r="T183" s="270"/>
      <c r="U183" s="270"/>
      <c r="V183" s="101"/>
      <c r="W183" s="101"/>
      <c r="X183" s="212"/>
      <c r="Y183" s="212"/>
      <c r="Z183" s="212"/>
      <c r="AA183" s="287"/>
      <c r="AB183" s="213"/>
      <c r="AC183" s="213"/>
      <c r="AD183" s="213"/>
      <c r="AE183" s="213"/>
      <c r="AF183" s="213"/>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row>
    <row r="184">
      <c r="A184" s="209"/>
      <c r="B184" s="247"/>
      <c r="C184" s="218"/>
      <c r="D184" s="218"/>
      <c r="E184" s="218"/>
      <c r="F184" s="218"/>
      <c r="G184" s="218"/>
      <c r="H184" s="218"/>
      <c r="I184" s="218"/>
      <c r="J184" s="213"/>
      <c r="K184" s="213"/>
      <c r="L184" s="214"/>
      <c r="M184" s="213"/>
      <c r="N184" s="214"/>
      <c r="O184" s="213"/>
      <c r="P184" s="213"/>
      <c r="Q184" s="214"/>
      <c r="R184" s="214"/>
      <c r="S184" s="270"/>
      <c r="T184" s="270"/>
      <c r="U184" s="270"/>
      <c r="V184" s="101"/>
      <c r="W184" s="101"/>
      <c r="X184" s="212"/>
      <c r="Y184" s="212"/>
      <c r="Z184" s="212"/>
      <c r="AA184" s="287"/>
      <c r="AB184" s="213"/>
      <c r="AC184" s="213"/>
      <c r="AD184" s="213"/>
      <c r="AE184" s="213"/>
      <c r="AF184" s="213"/>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row>
    <row r="185">
      <c r="A185" s="209"/>
      <c r="B185" s="247"/>
      <c r="C185" s="218"/>
      <c r="D185" s="218"/>
      <c r="E185" s="218"/>
      <c r="F185" s="218"/>
      <c r="G185" s="218"/>
      <c r="H185" s="218"/>
      <c r="I185" s="218"/>
      <c r="J185" s="213"/>
      <c r="K185" s="213"/>
      <c r="L185" s="214"/>
      <c r="M185" s="213"/>
      <c r="N185" s="214"/>
      <c r="O185" s="213"/>
      <c r="P185" s="213"/>
      <c r="Q185" s="214"/>
      <c r="R185" s="214"/>
      <c r="S185" s="270"/>
      <c r="T185" s="270"/>
      <c r="U185" s="270"/>
      <c r="V185" s="101"/>
      <c r="W185" s="101"/>
      <c r="X185" s="212"/>
      <c r="Y185" s="212"/>
      <c r="Z185" s="212"/>
      <c r="AA185" s="287"/>
      <c r="AB185" s="213"/>
      <c r="AC185" s="213"/>
      <c r="AD185" s="213"/>
      <c r="AE185" s="213"/>
      <c r="AF185" s="213"/>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row>
    <row r="186">
      <c r="A186" s="209"/>
      <c r="B186" s="247"/>
      <c r="C186" s="218"/>
      <c r="D186" s="218"/>
      <c r="E186" s="218"/>
      <c r="F186" s="218"/>
      <c r="G186" s="218"/>
      <c r="H186" s="218"/>
      <c r="I186" s="218"/>
      <c r="J186" s="213"/>
      <c r="K186" s="213"/>
      <c r="L186" s="214"/>
      <c r="M186" s="213"/>
      <c r="N186" s="214"/>
      <c r="O186" s="213"/>
      <c r="P186" s="213"/>
      <c r="Q186" s="214"/>
      <c r="R186" s="214"/>
      <c r="S186" s="270"/>
      <c r="T186" s="270"/>
      <c r="U186" s="270"/>
      <c r="V186" s="101"/>
      <c r="W186" s="101"/>
      <c r="X186" s="212"/>
      <c r="Y186" s="212"/>
      <c r="Z186" s="212"/>
      <c r="AA186" s="287"/>
      <c r="AB186" s="213"/>
      <c r="AC186" s="213"/>
      <c r="AD186" s="213"/>
      <c r="AE186" s="213"/>
      <c r="AF186" s="213"/>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row>
    <row r="187">
      <c r="A187" s="209"/>
      <c r="B187" s="247"/>
      <c r="C187" s="218"/>
      <c r="D187" s="218"/>
      <c r="E187" s="218"/>
      <c r="F187" s="218"/>
      <c r="G187" s="218"/>
      <c r="H187" s="218"/>
      <c r="I187" s="218"/>
      <c r="J187" s="213"/>
      <c r="K187" s="213"/>
      <c r="L187" s="214"/>
      <c r="M187" s="213"/>
      <c r="N187" s="214"/>
      <c r="O187" s="213"/>
      <c r="P187" s="213"/>
      <c r="Q187" s="214"/>
      <c r="R187" s="214"/>
      <c r="S187" s="270"/>
      <c r="T187" s="270"/>
      <c r="U187" s="270"/>
      <c r="V187" s="101"/>
      <c r="W187" s="101"/>
      <c r="X187" s="212"/>
      <c r="Y187" s="212"/>
      <c r="Z187" s="212"/>
      <c r="AA187" s="287"/>
      <c r="AB187" s="213"/>
      <c r="AC187" s="213"/>
      <c r="AD187" s="213"/>
      <c r="AE187" s="213"/>
      <c r="AF187" s="213"/>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row>
    <row r="188">
      <c r="A188" s="209"/>
      <c r="B188" s="247"/>
      <c r="C188" s="218"/>
      <c r="D188" s="218"/>
      <c r="E188" s="218"/>
      <c r="F188" s="218"/>
      <c r="G188" s="218"/>
      <c r="H188" s="218"/>
      <c r="I188" s="218"/>
      <c r="J188" s="213"/>
      <c r="K188" s="213"/>
      <c r="L188" s="214"/>
      <c r="M188" s="213"/>
      <c r="N188" s="214"/>
      <c r="O188" s="213"/>
      <c r="P188" s="213"/>
      <c r="Q188" s="214"/>
      <c r="R188" s="214"/>
      <c r="S188" s="270"/>
      <c r="T188" s="270"/>
      <c r="U188" s="270"/>
      <c r="V188" s="101"/>
      <c r="W188" s="101"/>
      <c r="X188" s="212"/>
      <c r="Y188" s="212"/>
      <c r="Z188" s="212"/>
      <c r="AA188" s="287"/>
      <c r="AB188" s="213"/>
      <c r="AC188" s="213"/>
      <c r="AD188" s="213"/>
      <c r="AE188" s="213"/>
      <c r="AF188" s="213"/>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row>
    <row r="189">
      <c r="A189" s="209"/>
      <c r="B189" s="247"/>
      <c r="C189" s="218"/>
      <c r="D189" s="218"/>
      <c r="E189" s="218"/>
      <c r="F189" s="218"/>
      <c r="G189" s="218"/>
      <c r="H189" s="218"/>
      <c r="I189" s="218"/>
      <c r="J189" s="213"/>
      <c r="K189" s="213"/>
      <c r="L189" s="214"/>
      <c r="M189" s="213"/>
      <c r="N189" s="214"/>
      <c r="O189" s="213"/>
      <c r="P189" s="213"/>
      <c r="Q189" s="214"/>
      <c r="R189" s="214"/>
      <c r="S189" s="270"/>
      <c r="T189" s="270"/>
      <c r="U189" s="270"/>
      <c r="V189" s="101"/>
      <c r="W189" s="101"/>
      <c r="X189" s="212"/>
      <c r="Y189" s="212"/>
      <c r="Z189" s="212"/>
      <c r="AA189" s="287"/>
      <c r="AB189" s="213"/>
      <c r="AC189" s="213"/>
      <c r="AD189" s="213"/>
      <c r="AE189" s="213"/>
      <c r="AF189" s="213"/>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row>
    <row r="190">
      <c r="A190" s="209"/>
      <c r="B190" s="247"/>
      <c r="C190" s="218"/>
      <c r="D190" s="218"/>
      <c r="E190" s="218"/>
      <c r="F190" s="218"/>
      <c r="G190" s="218"/>
      <c r="H190" s="218"/>
      <c r="I190" s="218"/>
      <c r="J190" s="213"/>
      <c r="K190" s="213"/>
      <c r="L190" s="214"/>
      <c r="M190" s="213"/>
      <c r="N190" s="214"/>
      <c r="O190" s="213"/>
      <c r="P190" s="213"/>
      <c r="Q190" s="214"/>
      <c r="R190" s="214"/>
      <c r="S190" s="270"/>
      <c r="T190" s="270"/>
      <c r="U190" s="270"/>
      <c r="V190" s="101"/>
      <c r="W190" s="101"/>
      <c r="X190" s="212"/>
      <c r="Y190" s="212"/>
      <c r="Z190" s="212"/>
      <c r="AA190" s="287"/>
      <c r="AB190" s="213"/>
      <c r="AC190" s="213"/>
      <c r="AD190" s="213"/>
      <c r="AE190" s="213"/>
      <c r="AF190" s="213"/>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row>
    <row r="191">
      <c r="A191" s="209"/>
      <c r="B191" s="247"/>
      <c r="C191" s="218"/>
      <c r="D191" s="218"/>
      <c r="E191" s="218"/>
      <c r="F191" s="218"/>
      <c r="G191" s="218"/>
      <c r="H191" s="218"/>
      <c r="I191" s="218"/>
      <c r="J191" s="213"/>
      <c r="K191" s="213"/>
      <c r="L191" s="214"/>
      <c r="M191" s="213"/>
      <c r="N191" s="214"/>
      <c r="O191" s="213"/>
      <c r="P191" s="213"/>
      <c r="Q191" s="214"/>
      <c r="R191" s="214"/>
      <c r="S191" s="270"/>
      <c r="T191" s="270"/>
      <c r="U191" s="270"/>
      <c r="V191" s="101"/>
      <c r="W191" s="101"/>
      <c r="X191" s="212"/>
      <c r="Y191" s="212"/>
      <c r="Z191" s="212"/>
      <c r="AA191" s="287"/>
      <c r="AB191" s="213"/>
      <c r="AC191" s="213"/>
      <c r="AD191" s="213"/>
      <c r="AE191" s="213"/>
      <c r="AF191" s="213"/>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row>
    <row r="192">
      <c r="A192" s="209"/>
      <c r="B192" s="247"/>
      <c r="C192" s="218"/>
      <c r="D192" s="218"/>
      <c r="E192" s="218"/>
      <c r="F192" s="218"/>
      <c r="G192" s="218"/>
      <c r="H192" s="218"/>
      <c r="I192" s="218"/>
      <c r="J192" s="213"/>
      <c r="K192" s="213"/>
      <c r="L192" s="214"/>
      <c r="M192" s="213"/>
      <c r="N192" s="214"/>
      <c r="O192" s="213"/>
      <c r="P192" s="213"/>
      <c r="Q192" s="214"/>
      <c r="R192" s="214"/>
      <c r="S192" s="270"/>
      <c r="T192" s="270"/>
      <c r="U192" s="270"/>
      <c r="V192" s="101"/>
      <c r="W192" s="101"/>
      <c r="X192" s="212"/>
      <c r="Y192" s="212"/>
      <c r="Z192" s="212"/>
      <c r="AA192" s="287"/>
      <c r="AB192" s="213"/>
      <c r="AC192" s="213"/>
      <c r="AD192" s="213"/>
      <c r="AE192" s="213"/>
      <c r="AF192" s="213"/>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row>
    <row r="193">
      <c r="A193" s="209"/>
      <c r="B193" s="247"/>
      <c r="C193" s="218"/>
      <c r="D193" s="218"/>
      <c r="E193" s="218"/>
      <c r="F193" s="218"/>
      <c r="G193" s="218"/>
      <c r="H193" s="218"/>
      <c r="I193" s="218"/>
      <c r="J193" s="213"/>
      <c r="K193" s="213"/>
      <c r="L193" s="214"/>
      <c r="M193" s="213"/>
      <c r="N193" s="214"/>
      <c r="O193" s="213"/>
      <c r="P193" s="213"/>
      <c r="Q193" s="214"/>
      <c r="R193" s="214"/>
      <c r="S193" s="270"/>
      <c r="T193" s="270"/>
      <c r="U193" s="270"/>
      <c r="V193" s="101"/>
      <c r="W193" s="101"/>
      <c r="X193" s="212"/>
      <c r="Y193" s="212"/>
      <c r="Z193" s="212"/>
      <c r="AA193" s="287"/>
      <c r="AB193" s="213"/>
      <c r="AC193" s="213"/>
      <c r="AD193" s="213"/>
      <c r="AE193" s="213"/>
      <c r="AF193" s="213"/>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row>
    <row r="194">
      <c r="A194" s="304"/>
      <c r="B194" s="282"/>
      <c r="C194" s="282"/>
      <c r="D194" s="282"/>
      <c r="E194" s="282"/>
      <c r="F194" s="282"/>
      <c r="G194" s="282"/>
      <c r="H194" s="282"/>
      <c r="I194" s="282"/>
      <c r="J194" s="282"/>
      <c r="K194" s="282"/>
      <c r="L194" s="282"/>
      <c r="M194" s="282"/>
      <c r="N194" s="282"/>
      <c r="O194" s="282"/>
      <c r="P194" s="282"/>
      <c r="Q194" s="282"/>
      <c r="R194" s="282"/>
      <c r="S194" s="282"/>
      <c r="T194" s="282"/>
      <c r="U194" s="282"/>
      <c r="V194" s="298"/>
      <c r="W194" s="298"/>
      <c r="X194" s="298"/>
      <c r="Y194" s="298"/>
      <c r="Z194" s="298"/>
      <c r="AA194" s="298"/>
      <c r="AB194" s="298"/>
      <c r="AC194" s="298"/>
      <c r="AD194" s="298"/>
      <c r="AE194" s="298"/>
      <c r="AF194" s="298"/>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row>
    <row r="195">
      <c r="A195" s="304"/>
      <c r="B195" s="282"/>
      <c r="C195" s="282"/>
      <c r="D195" s="282"/>
      <c r="E195" s="282"/>
      <c r="F195" s="282"/>
      <c r="G195" s="282"/>
      <c r="H195" s="282"/>
      <c r="I195" s="282"/>
      <c r="J195" s="282"/>
      <c r="K195" s="282"/>
      <c r="L195" s="282"/>
      <c r="M195" s="282"/>
      <c r="N195" s="282"/>
      <c r="O195" s="282"/>
      <c r="P195" s="282"/>
      <c r="Q195" s="282"/>
      <c r="R195" s="282"/>
      <c r="S195" s="282"/>
      <c r="T195" s="282"/>
      <c r="U195" s="282"/>
      <c r="V195" s="298"/>
      <c r="W195" s="298"/>
      <c r="X195" s="298"/>
      <c r="Y195" s="298"/>
      <c r="Z195" s="298"/>
      <c r="AA195" s="298"/>
      <c r="AB195" s="298"/>
      <c r="AC195" s="298"/>
      <c r="AD195" s="298"/>
      <c r="AE195" s="298"/>
      <c r="AF195" s="298"/>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row>
    <row r="196">
      <c r="A196" s="304"/>
      <c r="B196" s="282"/>
      <c r="C196" s="282"/>
      <c r="D196" s="282"/>
      <c r="E196" s="282"/>
      <c r="F196" s="282"/>
      <c r="G196" s="282"/>
      <c r="H196" s="282"/>
      <c r="I196" s="282"/>
      <c r="J196" s="282"/>
      <c r="K196" s="282"/>
      <c r="L196" s="282"/>
      <c r="M196" s="282"/>
      <c r="N196" s="282"/>
      <c r="O196" s="282"/>
      <c r="P196" s="282"/>
      <c r="Q196" s="282"/>
      <c r="R196" s="282"/>
      <c r="S196" s="282"/>
      <c r="T196" s="282"/>
      <c r="U196" s="282"/>
      <c r="V196" s="298"/>
      <c r="W196" s="298"/>
      <c r="X196" s="298"/>
      <c r="Y196" s="298"/>
      <c r="Z196" s="298"/>
      <c r="AA196" s="298"/>
      <c r="AB196" s="298"/>
      <c r="AC196" s="298"/>
      <c r="AD196" s="298"/>
      <c r="AE196" s="298"/>
      <c r="AF196" s="298"/>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row>
    <row r="197">
      <c r="A197" s="304"/>
      <c r="B197" s="282"/>
      <c r="C197" s="282"/>
      <c r="D197" s="282"/>
      <c r="E197" s="282"/>
      <c r="F197" s="282"/>
      <c r="G197" s="282"/>
      <c r="H197" s="282"/>
      <c r="I197" s="282"/>
      <c r="J197" s="282"/>
      <c r="K197" s="282"/>
      <c r="L197" s="282"/>
      <c r="M197" s="282"/>
      <c r="N197" s="282"/>
      <c r="O197" s="282"/>
      <c r="P197" s="282"/>
      <c r="Q197" s="282"/>
      <c r="R197" s="282"/>
      <c r="S197" s="282"/>
      <c r="T197" s="282"/>
      <c r="U197" s="282"/>
      <c r="V197" s="298"/>
      <c r="W197" s="298"/>
      <c r="X197" s="298"/>
      <c r="Y197" s="298"/>
      <c r="Z197" s="298"/>
      <c r="AA197" s="298"/>
      <c r="AB197" s="298"/>
      <c r="AC197" s="298"/>
      <c r="AD197" s="298"/>
      <c r="AE197" s="298"/>
      <c r="AF197" s="298"/>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row>
    <row r="198">
      <c r="A198" s="304"/>
      <c r="B198" s="282"/>
      <c r="C198" s="282"/>
      <c r="D198" s="282"/>
      <c r="E198" s="282"/>
      <c r="F198" s="282"/>
      <c r="G198" s="282"/>
      <c r="H198" s="282"/>
      <c r="I198" s="282"/>
      <c r="J198" s="282"/>
      <c r="K198" s="282"/>
      <c r="L198" s="282"/>
      <c r="M198" s="282"/>
      <c r="N198" s="282"/>
      <c r="O198" s="282"/>
      <c r="P198" s="282"/>
      <c r="Q198" s="282"/>
      <c r="R198" s="282"/>
      <c r="S198" s="282"/>
      <c r="T198" s="282"/>
      <c r="U198" s="282"/>
      <c r="V198" s="298"/>
      <c r="W198" s="298"/>
      <c r="X198" s="298"/>
      <c r="Y198" s="298"/>
      <c r="Z198" s="298"/>
      <c r="AA198" s="298"/>
      <c r="AB198" s="298"/>
      <c r="AC198" s="298"/>
      <c r="AD198" s="298"/>
      <c r="AE198" s="298"/>
      <c r="AF198" s="298"/>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row>
    <row r="199">
      <c r="A199" s="304"/>
      <c r="B199" s="282"/>
      <c r="C199" s="282"/>
      <c r="D199" s="282"/>
      <c r="E199" s="282"/>
      <c r="F199" s="282"/>
      <c r="G199" s="282"/>
      <c r="H199" s="282"/>
      <c r="I199" s="282"/>
      <c r="J199" s="282"/>
      <c r="K199" s="282"/>
      <c r="L199" s="282"/>
      <c r="M199" s="282"/>
      <c r="N199" s="282"/>
      <c r="O199" s="282"/>
      <c r="P199" s="282"/>
      <c r="Q199" s="282"/>
      <c r="R199" s="282"/>
      <c r="S199" s="282"/>
      <c r="T199" s="282"/>
      <c r="U199" s="282"/>
      <c r="V199" s="298"/>
      <c r="W199" s="298"/>
      <c r="X199" s="298"/>
      <c r="Y199" s="298"/>
      <c r="Z199" s="298"/>
      <c r="AA199" s="298"/>
      <c r="AB199" s="298"/>
      <c r="AC199" s="298"/>
      <c r="AD199" s="298"/>
      <c r="AE199" s="298"/>
      <c r="AF199" s="298"/>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row>
    <row r="200">
      <c r="A200" s="304"/>
      <c r="B200" s="282"/>
      <c r="C200" s="282"/>
      <c r="D200" s="282"/>
      <c r="E200" s="282"/>
      <c r="F200" s="282"/>
      <c r="G200" s="282"/>
      <c r="H200" s="282"/>
      <c r="I200" s="282"/>
      <c r="J200" s="282"/>
      <c r="K200" s="282"/>
      <c r="L200" s="282"/>
      <c r="M200" s="282"/>
      <c r="N200" s="282"/>
      <c r="O200" s="282"/>
      <c r="P200" s="282"/>
      <c r="Q200" s="282"/>
      <c r="R200" s="282"/>
      <c r="S200" s="282"/>
      <c r="T200" s="282"/>
      <c r="U200" s="282"/>
      <c r="V200" s="298"/>
      <c r="W200" s="298"/>
      <c r="X200" s="298"/>
      <c r="Y200" s="298"/>
      <c r="Z200" s="298"/>
      <c r="AA200" s="298"/>
      <c r="AB200" s="298"/>
      <c r="AC200" s="298"/>
      <c r="AD200" s="298"/>
      <c r="AE200" s="298"/>
      <c r="AF200" s="298"/>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row>
    <row r="201">
      <c r="A201" s="304"/>
      <c r="B201" s="282"/>
      <c r="C201" s="282"/>
      <c r="D201" s="282"/>
      <c r="E201" s="282"/>
      <c r="F201" s="282"/>
      <c r="G201" s="282"/>
      <c r="H201" s="282"/>
      <c r="I201" s="282"/>
      <c r="J201" s="282"/>
      <c r="K201" s="282"/>
      <c r="L201" s="282"/>
      <c r="M201" s="282"/>
      <c r="N201" s="282"/>
      <c r="O201" s="282"/>
      <c r="P201" s="282"/>
      <c r="Q201" s="282"/>
      <c r="R201" s="282"/>
      <c r="S201" s="282"/>
      <c r="T201" s="282"/>
      <c r="U201" s="282"/>
      <c r="V201" s="298"/>
      <c r="W201" s="298"/>
      <c r="X201" s="298"/>
      <c r="Y201" s="298"/>
      <c r="Z201" s="298"/>
      <c r="AA201" s="298"/>
      <c r="AB201" s="298"/>
      <c r="AC201" s="298"/>
      <c r="AD201" s="298"/>
      <c r="AE201" s="298"/>
      <c r="AF201" s="298"/>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row>
    <row r="202">
      <c r="A202" s="304"/>
      <c r="B202" s="282"/>
      <c r="C202" s="282"/>
      <c r="D202" s="282"/>
      <c r="E202" s="282"/>
      <c r="F202" s="282"/>
      <c r="G202" s="282"/>
      <c r="H202" s="282"/>
      <c r="I202" s="282"/>
      <c r="J202" s="282"/>
      <c r="K202" s="282"/>
      <c r="L202" s="282"/>
      <c r="M202" s="282"/>
      <c r="N202" s="282"/>
      <c r="O202" s="282"/>
      <c r="P202" s="282"/>
      <c r="Q202" s="282"/>
      <c r="R202" s="282"/>
      <c r="S202" s="282"/>
      <c r="T202" s="282"/>
      <c r="U202" s="282"/>
      <c r="V202" s="298"/>
      <c r="W202" s="298"/>
      <c r="X202" s="298"/>
      <c r="Y202" s="298"/>
      <c r="Z202" s="298"/>
      <c r="AA202" s="298"/>
      <c r="AB202" s="298"/>
      <c r="AC202" s="298"/>
      <c r="AD202" s="298"/>
      <c r="AE202" s="298"/>
      <c r="AF202" s="298"/>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row>
    <row r="203">
      <c r="A203" s="304"/>
      <c r="B203" s="282"/>
      <c r="C203" s="282"/>
      <c r="D203" s="282"/>
      <c r="E203" s="282"/>
      <c r="F203" s="282"/>
      <c r="G203" s="282"/>
      <c r="H203" s="282"/>
      <c r="I203" s="282"/>
      <c r="J203" s="282"/>
      <c r="K203" s="282"/>
      <c r="L203" s="282"/>
      <c r="M203" s="282"/>
      <c r="N203" s="282"/>
      <c r="O203" s="282"/>
      <c r="P203" s="282"/>
      <c r="Q203" s="282"/>
      <c r="R203" s="282"/>
      <c r="S203" s="282"/>
      <c r="T203" s="282"/>
      <c r="U203" s="282"/>
      <c r="V203" s="298"/>
      <c r="W203" s="298"/>
      <c r="X203" s="298"/>
      <c r="Y203" s="298"/>
      <c r="Z203" s="298"/>
      <c r="AA203" s="298"/>
      <c r="AB203" s="298"/>
      <c r="AC203" s="298"/>
      <c r="AD203" s="298"/>
      <c r="AE203" s="298"/>
      <c r="AF203" s="298"/>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row>
    <row r="204">
      <c r="A204" s="304"/>
      <c r="B204" s="282"/>
      <c r="C204" s="282"/>
      <c r="D204" s="282"/>
      <c r="E204" s="282"/>
      <c r="F204" s="282"/>
      <c r="G204" s="282"/>
      <c r="H204" s="282"/>
      <c r="I204" s="282"/>
      <c r="J204" s="282"/>
      <c r="K204" s="282"/>
      <c r="L204" s="282"/>
      <c r="M204" s="282"/>
      <c r="N204" s="282"/>
      <c r="O204" s="282"/>
      <c r="P204" s="282"/>
      <c r="Q204" s="282"/>
      <c r="R204" s="282"/>
      <c r="S204" s="282"/>
      <c r="T204" s="282"/>
      <c r="U204" s="282"/>
      <c r="V204" s="298"/>
      <c r="W204" s="298"/>
      <c r="X204" s="298"/>
      <c r="Y204" s="298"/>
      <c r="Z204" s="298"/>
      <c r="AA204" s="298"/>
      <c r="AB204" s="298"/>
      <c r="AC204" s="298"/>
      <c r="AD204" s="298"/>
      <c r="AE204" s="298"/>
      <c r="AF204" s="298"/>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row>
    <row r="205">
      <c r="A205" s="304"/>
      <c r="B205" s="282"/>
      <c r="C205" s="282"/>
      <c r="D205" s="282"/>
      <c r="E205" s="282"/>
      <c r="F205" s="282"/>
      <c r="G205" s="282"/>
      <c r="H205" s="282"/>
      <c r="I205" s="282"/>
      <c r="J205" s="282"/>
      <c r="K205" s="282"/>
      <c r="L205" s="282"/>
      <c r="M205" s="282"/>
      <c r="N205" s="282"/>
      <c r="O205" s="282"/>
      <c r="P205" s="282"/>
      <c r="Q205" s="282"/>
      <c r="R205" s="282"/>
      <c r="S205" s="282"/>
      <c r="T205" s="282"/>
      <c r="U205" s="282"/>
      <c r="V205" s="298"/>
      <c r="W205" s="298"/>
      <c r="X205" s="298"/>
      <c r="Y205" s="298"/>
      <c r="Z205" s="298"/>
      <c r="AA205" s="298"/>
      <c r="AB205" s="298"/>
      <c r="AC205" s="298"/>
      <c r="AD205" s="298"/>
      <c r="AE205" s="298"/>
      <c r="AF205" s="298"/>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row>
    <row r="206">
      <c r="A206" s="304"/>
      <c r="B206" s="282"/>
      <c r="C206" s="282"/>
      <c r="D206" s="282"/>
      <c r="E206" s="282"/>
      <c r="F206" s="282"/>
      <c r="G206" s="282"/>
      <c r="H206" s="282"/>
      <c r="I206" s="282"/>
      <c r="J206" s="282"/>
      <c r="K206" s="282"/>
      <c r="L206" s="282"/>
      <c r="M206" s="282"/>
      <c r="N206" s="282"/>
      <c r="O206" s="282"/>
      <c r="P206" s="282"/>
      <c r="Q206" s="282"/>
      <c r="R206" s="282"/>
      <c r="S206" s="282"/>
      <c r="T206" s="282"/>
      <c r="U206" s="282"/>
      <c r="V206" s="298"/>
      <c r="W206" s="298"/>
      <c r="X206" s="298"/>
      <c r="Y206" s="298"/>
      <c r="Z206" s="298"/>
      <c r="AA206" s="298"/>
      <c r="AB206" s="298"/>
      <c r="AC206" s="298"/>
      <c r="AD206" s="298"/>
      <c r="AE206" s="298"/>
      <c r="AF206" s="298"/>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row>
    <row r="207">
      <c r="A207" s="304"/>
      <c r="B207" s="282"/>
      <c r="C207" s="282"/>
      <c r="D207" s="282"/>
      <c r="E207" s="282"/>
      <c r="F207" s="282"/>
      <c r="G207" s="282"/>
      <c r="H207" s="282"/>
      <c r="I207" s="282"/>
      <c r="J207" s="282"/>
      <c r="K207" s="282"/>
      <c r="L207" s="282"/>
      <c r="M207" s="282"/>
      <c r="N207" s="282"/>
      <c r="O207" s="282"/>
      <c r="P207" s="282"/>
      <c r="Q207" s="282"/>
      <c r="R207" s="282"/>
      <c r="S207" s="282"/>
      <c r="T207" s="282"/>
      <c r="U207" s="282"/>
      <c r="V207" s="298"/>
      <c r="W207" s="298"/>
      <c r="X207" s="298"/>
      <c r="Y207" s="298"/>
      <c r="Z207" s="298"/>
      <c r="AA207" s="298"/>
      <c r="AB207" s="298"/>
      <c r="AC207" s="298"/>
      <c r="AD207" s="298"/>
      <c r="AE207" s="298"/>
      <c r="AF207" s="298"/>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row>
    <row r="208">
      <c r="A208" s="304"/>
      <c r="B208" s="282"/>
      <c r="C208" s="282"/>
      <c r="D208" s="282"/>
      <c r="E208" s="282"/>
      <c r="F208" s="282"/>
      <c r="G208" s="282"/>
      <c r="H208" s="282"/>
      <c r="I208" s="282"/>
      <c r="J208" s="282"/>
      <c r="K208" s="282"/>
      <c r="L208" s="282"/>
      <c r="M208" s="282"/>
      <c r="N208" s="282"/>
      <c r="O208" s="282"/>
      <c r="P208" s="282"/>
      <c r="Q208" s="282"/>
      <c r="R208" s="282"/>
      <c r="S208" s="282"/>
      <c r="T208" s="282"/>
      <c r="U208" s="282"/>
      <c r="V208" s="298"/>
      <c r="W208" s="298"/>
      <c r="X208" s="298"/>
      <c r="Y208" s="298"/>
      <c r="Z208" s="298"/>
      <c r="AA208" s="298"/>
      <c r="AB208" s="298"/>
      <c r="AC208" s="298"/>
      <c r="AD208" s="298"/>
      <c r="AE208" s="298"/>
      <c r="AF208" s="298"/>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row>
    <row r="209">
      <c r="A209" s="304"/>
      <c r="B209" s="282"/>
      <c r="C209" s="282"/>
      <c r="D209" s="282"/>
      <c r="E209" s="282"/>
      <c r="F209" s="282"/>
      <c r="G209" s="282"/>
      <c r="H209" s="282"/>
      <c r="I209" s="282"/>
      <c r="J209" s="282"/>
      <c r="K209" s="282"/>
      <c r="L209" s="282"/>
      <c r="M209" s="282"/>
      <c r="N209" s="282"/>
      <c r="O209" s="282"/>
      <c r="P209" s="282"/>
      <c r="Q209" s="282"/>
      <c r="R209" s="282"/>
      <c r="S209" s="282"/>
      <c r="T209" s="282"/>
      <c r="U209" s="282"/>
      <c r="V209" s="298"/>
      <c r="W209" s="298"/>
      <c r="X209" s="298"/>
      <c r="Y209" s="298"/>
      <c r="Z209" s="298"/>
      <c r="AA209" s="298"/>
      <c r="AB209" s="298"/>
      <c r="AC209" s="298"/>
      <c r="AD209" s="298"/>
      <c r="AE209" s="298"/>
      <c r="AF209" s="298"/>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row>
    <row r="210">
      <c r="A210" s="304"/>
      <c r="B210" s="282"/>
      <c r="C210" s="282"/>
      <c r="D210" s="282"/>
      <c r="E210" s="282"/>
      <c r="F210" s="282"/>
      <c r="G210" s="282"/>
      <c r="H210" s="282"/>
      <c r="I210" s="282"/>
      <c r="J210" s="282"/>
      <c r="K210" s="282"/>
      <c r="L210" s="282"/>
      <c r="M210" s="282"/>
      <c r="N210" s="282"/>
      <c r="O210" s="282"/>
      <c r="P210" s="282"/>
      <c r="Q210" s="282"/>
      <c r="R210" s="282"/>
      <c r="S210" s="282"/>
      <c r="T210" s="282"/>
      <c r="U210" s="282"/>
      <c r="V210" s="298"/>
      <c r="W210" s="298"/>
      <c r="X210" s="298"/>
      <c r="Y210" s="298"/>
      <c r="Z210" s="298"/>
      <c r="AA210" s="298"/>
      <c r="AB210" s="298"/>
      <c r="AC210" s="298"/>
      <c r="AD210" s="298"/>
      <c r="AE210" s="298"/>
      <c r="AF210" s="298"/>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row>
    <row r="211">
      <c r="A211" s="304"/>
      <c r="B211" s="282"/>
      <c r="C211" s="282"/>
      <c r="D211" s="282"/>
      <c r="E211" s="282"/>
      <c r="F211" s="282"/>
      <c r="G211" s="282"/>
      <c r="H211" s="282"/>
      <c r="I211" s="282"/>
      <c r="J211" s="282"/>
      <c r="K211" s="282"/>
      <c r="L211" s="282"/>
      <c r="M211" s="282"/>
      <c r="N211" s="282"/>
      <c r="O211" s="282"/>
      <c r="P211" s="282"/>
      <c r="Q211" s="282"/>
      <c r="R211" s="282"/>
      <c r="S211" s="282"/>
      <c r="T211" s="282"/>
      <c r="U211" s="282"/>
      <c r="V211" s="298"/>
      <c r="W211" s="298"/>
      <c r="X211" s="298"/>
      <c r="Y211" s="298"/>
      <c r="Z211" s="298"/>
      <c r="AA211" s="298"/>
      <c r="AB211" s="298"/>
      <c r="AC211" s="298"/>
      <c r="AD211" s="298"/>
      <c r="AE211" s="298"/>
      <c r="AF211" s="298"/>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row>
    <row r="212">
      <c r="A212" s="304"/>
      <c r="B212" s="282"/>
      <c r="C212" s="282"/>
      <c r="D212" s="282"/>
      <c r="E212" s="282"/>
      <c r="F212" s="282"/>
      <c r="G212" s="282"/>
      <c r="H212" s="282"/>
      <c r="I212" s="282"/>
      <c r="J212" s="282"/>
      <c r="K212" s="282"/>
      <c r="L212" s="282"/>
      <c r="M212" s="282"/>
      <c r="N212" s="282"/>
      <c r="O212" s="282"/>
      <c r="P212" s="282"/>
      <c r="Q212" s="282"/>
      <c r="R212" s="282"/>
      <c r="S212" s="282"/>
      <c r="T212" s="282"/>
      <c r="U212" s="282"/>
      <c r="V212" s="298"/>
      <c r="W212" s="298"/>
      <c r="X212" s="298"/>
      <c r="Y212" s="298"/>
      <c r="Z212" s="298"/>
      <c r="AA212" s="298"/>
      <c r="AB212" s="298"/>
      <c r="AC212" s="298"/>
      <c r="AD212" s="298"/>
      <c r="AE212" s="298"/>
      <c r="AF212" s="298"/>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row>
    <row r="213">
      <c r="A213" s="304"/>
      <c r="B213" s="282"/>
      <c r="C213" s="282"/>
      <c r="D213" s="282"/>
      <c r="E213" s="282"/>
      <c r="F213" s="282"/>
      <c r="G213" s="282"/>
      <c r="H213" s="282"/>
      <c r="I213" s="282"/>
      <c r="J213" s="282"/>
      <c r="K213" s="282"/>
      <c r="L213" s="282"/>
      <c r="M213" s="282"/>
      <c r="N213" s="282"/>
      <c r="O213" s="282"/>
      <c r="P213" s="282"/>
      <c r="Q213" s="282"/>
      <c r="R213" s="282"/>
      <c r="S213" s="282"/>
      <c r="T213" s="282"/>
      <c r="U213" s="282"/>
      <c r="V213" s="298"/>
      <c r="W213" s="298"/>
      <c r="X213" s="298"/>
      <c r="Y213" s="298"/>
      <c r="Z213" s="298"/>
      <c r="AA213" s="298"/>
      <c r="AB213" s="298"/>
      <c r="AC213" s="298"/>
      <c r="AD213" s="298"/>
      <c r="AE213" s="298"/>
      <c r="AF213" s="298"/>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row>
    <row r="214">
      <c r="A214" s="304"/>
      <c r="B214" s="282"/>
      <c r="C214" s="282"/>
      <c r="D214" s="282"/>
      <c r="E214" s="282"/>
      <c r="F214" s="282"/>
      <c r="G214" s="282"/>
      <c r="H214" s="282"/>
      <c r="I214" s="282"/>
      <c r="J214" s="282"/>
      <c r="K214" s="282"/>
      <c r="L214" s="282"/>
      <c r="M214" s="282"/>
      <c r="N214" s="282"/>
      <c r="O214" s="282"/>
      <c r="P214" s="282"/>
      <c r="Q214" s="282"/>
      <c r="R214" s="282"/>
      <c r="S214" s="282"/>
      <c r="T214" s="282"/>
      <c r="U214" s="282"/>
      <c r="V214" s="298"/>
      <c r="W214" s="298"/>
      <c r="X214" s="298"/>
      <c r="Y214" s="298"/>
      <c r="Z214" s="298"/>
      <c r="AA214" s="298"/>
      <c r="AB214" s="298"/>
      <c r="AC214" s="298"/>
      <c r="AD214" s="298"/>
      <c r="AE214" s="298"/>
      <c r="AF214" s="298"/>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row>
    <row r="215">
      <c r="A215" s="304"/>
      <c r="B215" s="282"/>
      <c r="C215" s="282"/>
      <c r="D215" s="282"/>
      <c r="E215" s="282"/>
      <c r="F215" s="282"/>
      <c r="G215" s="282"/>
      <c r="H215" s="282"/>
      <c r="I215" s="282"/>
      <c r="J215" s="282"/>
      <c r="K215" s="282"/>
      <c r="L215" s="282"/>
      <c r="M215" s="282"/>
      <c r="N215" s="282"/>
      <c r="O215" s="282"/>
      <c r="P215" s="282"/>
      <c r="Q215" s="282"/>
      <c r="R215" s="282"/>
      <c r="S215" s="282"/>
      <c r="T215" s="282"/>
      <c r="U215" s="282"/>
      <c r="V215" s="298"/>
      <c r="W215" s="298"/>
      <c r="X215" s="298"/>
      <c r="Y215" s="298"/>
      <c r="Z215" s="298"/>
      <c r="AA215" s="298"/>
      <c r="AB215" s="298"/>
      <c r="AC215" s="298"/>
      <c r="AD215" s="298"/>
      <c r="AE215" s="298"/>
      <c r="AF215" s="298"/>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row>
    <row r="216">
      <c r="A216" s="304"/>
      <c r="B216" s="282"/>
      <c r="C216" s="282"/>
      <c r="D216" s="282"/>
      <c r="E216" s="282"/>
      <c r="F216" s="282"/>
      <c r="G216" s="282"/>
      <c r="H216" s="282"/>
      <c r="I216" s="282"/>
      <c r="J216" s="282"/>
      <c r="K216" s="282"/>
      <c r="L216" s="282"/>
      <c r="M216" s="282"/>
      <c r="N216" s="282"/>
      <c r="O216" s="282"/>
      <c r="P216" s="282"/>
      <c r="Q216" s="282"/>
      <c r="R216" s="282"/>
      <c r="S216" s="282"/>
      <c r="T216" s="282"/>
      <c r="U216" s="282"/>
      <c r="V216" s="298"/>
      <c r="W216" s="298"/>
      <c r="X216" s="298"/>
      <c r="Y216" s="298"/>
      <c r="Z216" s="298"/>
      <c r="AA216" s="298"/>
      <c r="AB216" s="298"/>
      <c r="AC216" s="298"/>
      <c r="AD216" s="298"/>
      <c r="AE216" s="298"/>
      <c r="AF216" s="298"/>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row>
    <row r="217">
      <c r="A217" s="304"/>
      <c r="B217" s="282"/>
      <c r="C217" s="282"/>
      <c r="D217" s="282"/>
      <c r="E217" s="282"/>
      <c r="F217" s="282"/>
      <c r="G217" s="282"/>
      <c r="H217" s="282"/>
      <c r="I217" s="282"/>
      <c r="J217" s="282"/>
      <c r="K217" s="282"/>
      <c r="L217" s="282"/>
      <c r="M217" s="282"/>
      <c r="N217" s="282"/>
      <c r="O217" s="282"/>
      <c r="P217" s="282"/>
      <c r="Q217" s="282"/>
      <c r="R217" s="282"/>
      <c r="S217" s="282"/>
      <c r="T217" s="282"/>
      <c r="U217" s="282"/>
      <c r="V217" s="298"/>
      <c r="W217" s="298"/>
      <c r="X217" s="298"/>
      <c r="Y217" s="298"/>
      <c r="Z217" s="298"/>
      <c r="AA217" s="298"/>
      <c r="AB217" s="298"/>
      <c r="AC217" s="298"/>
      <c r="AD217" s="298"/>
      <c r="AE217" s="298"/>
      <c r="AF217" s="298"/>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row>
    <row r="218">
      <c r="A218" s="304"/>
      <c r="B218" s="282"/>
      <c r="C218" s="282"/>
      <c r="D218" s="282"/>
      <c r="E218" s="282"/>
      <c r="F218" s="282"/>
      <c r="G218" s="282"/>
      <c r="H218" s="282"/>
      <c r="I218" s="282"/>
      <c r="J218" s="282"/>
      <c r="K218" s="282"/>
      <c r="L218" s="282"/>
      <c r="M218" s="282"/>
      <c r="N218" s="282"/>
      <c r="O218" s="282"/>
      <c r="P218" s="282"/>
      <c r="Q218" s="282"/>
      <c r="R218" s="282"/>
      <c r="S218" s="282"/>
      <c r="T218" s="282"/>
      <c r="U218" s="282"/>
      <c r="V218" s="298"/>
      <c r="W218" s="298"/>
      <c r="X218" s="298"/>
      <c r="Y218" s="298"/>
      <c r="Z218" s="298"/>
      <c r="AA218" s="298"/>
      <c r="AB218" s="298"/>
      <c r="AC218" s="298"/>
      <c r="AD218" s="298"/>
      <c r="AE218" s="298"/>
      <c r="AF218" s="298"/>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row>
    <row r="219">
      <c r="A219" s="304"/>
      <c r="B219" s="282"/>
      <c r="C219" s="282"/>
      <c r="D219" s="282"/>
      <c r="E219" s="282"/>
      <c r="F219" s="282"/>
      <c r="G219" s="282"/>
      <c r="H219" s="282"/>
      <c r="I219" s="282"/>
      <c r="J219" s="282"/>
      <c r="K219" s="282"/>
      <c r="L219" s="282"/>
      <c r="M219" s="282"/>
      <c r="N219" s="282"/>
      <c r="O219" s="282"/>
      <c r="P219" s="282"/>
      <c r="Q219" s="282"/>
      <c r="R219" s="282"/>
      <c r="S219" s="282"/>
      <c r="T219" s="282"/>
      <c r="U219" s="282"/>
      <c r="V219" s="298"/>
      <c r="W219" s="298"/>
      <c r="X219" s="298"/>
      <c r="Y219" s="298"/>
      <c r="Z219" s="298"/>
      <c r="AA219" s="298"/>
      <c r="AB219" s="298"/>
      <c r="AC219" s="298"/>
      <c r="AD219" s="298"/>
      <c r="AE219" s="298"/>
      <c r="AF219" s="298"/>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row>
    <row r="220">
      <c r="A220" s="304"/>
      <c r="B220" s="282"/>
      <c r="C220" s="282"/>
      <c r="D220" s="282"/>
      <c r="E220" s="282"/>
      <c r="F220" s="282"/>
      <c r="G220" s="282"/>
      <c r="H220" s="282"/>
      <c r="I220" s="282"/>
      <c r="J220" s="282"/>
      <c r="K220" s="282"/>
      <c r="L220" s="282"/>
      <c r="M220" s="282"/>
      <c r="N220" s="282"/>
      <c r="O220" s="282"/>
      <c r="P220" s="282"/>
      <c r="Q220" s="282"/>
      <c r="R220" s="282"/>
      <c r="S220" s="282"/>
      <c r="T220" s="282"/>
      <c r="U220" s="282"/>
      <c r="V220" s="298"/>
      <c r="W220" s="298"/>
      <c r="X220" s="298"/>
      <c r="Y220" s="298"/>
      <c r="Z220" s="298"/>
      <c r="AA220" s="298"/>
      <c r="AB220" s="298"/>
      <c r="AC220" s="298"/>
      <c r="AD220" s="298"/>
      <c r="AE220" s="298"/>
      <c r="AF220" s="298"/>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row>
    <row r="221">
      <c r="A221" s="304"/>
      <c r="B221" s="282"/>
      <c r="C221" s="282"/>
      <c r="D221" s="282"/>
      <c r="E221" s="282"/>
      <c r="F221" s="282"/>
      <c r="G221" s="282"/>
      <c r="H221" s="282"/>
      <c r="I221" s="282"/>
      <c r="J221" s="282"/>
      <c r="K221" s="282"/>
      <c r="L221" s="282"/>
      <c r="M221" s="282"/>
      <c r="N221" s="282"/>
      <c r="O221" s="282"/>
      <c r="P221" s="282"/>
      <c r="Q221" s="282"/>
      <c r="R221" s="282"/>
      <c r="S221" s="282"/>
      <c r="T221" s="282"/>
      <c r="U221" s="282"/>
      <c r="V221" s="298"/>
      <c r="W221" s="298"/>
      <c r="X221" s="298"/>
      <c r="Y221" s="298"/>
      <c r="Z221" s="298"/>
      <c r="AA221" s="298"/>
      <c r="AB221" s="298"/>
      <c r="AC221" s="298"/>
      <c r="AD221" s="298"/>
      <c r="AE221" s="298"/>
      <c r="AF221" s="298"/>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row>
    <row r="222">
      <c r="A222" s="304"/>
      <c r="B222" s="282"/>
      <c r="C222" s="282"/>
      <c r="D222" s="282"/>
      <c r="E222" s="282"/>
      <c r="F222" s="282"/>
      <c r="G222" s="282"/>
      <c r="H222" s="282"/>
      <c r="I222" s="282"/>
      <c r="J222" s="282"/>
      <c r="K222" s="282"/>
      <c r="L222" s="282"/>
      <c r="M222" s="282"/>
      <c r="N222" s="282"/>
      <c r="O222" s="282"/>
      <c r="P222" s="282"/>
      <c r="Q222" s="282"/>
      <c r="R222" s="282"/>
      <c r="S222" s="282"/>
      <c r="T222" s="282"/>
      <c r="U222" s="282"/>
      <c r="V222" s="298"/>
      <c r="W222" s="298"/>
      <c r="X222" s="298"/>
      <c r="Y222" s="298"/>
      <c r="Z222" s="298"/>
      <c r="AA222" s="298"/>
      <c r="AB222" s="298"/>
      <c r="AC222" s="298"/>
      <c r="AD222" s="298"/>
      <c r="AE222" s="298"/>
      <c r="AF222" s="298"/>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row>
    <row r="223">
      <c r="A223" s="304"/>
      <c r="B223" s="282"/>
      <c r="C223" s="282"/>
      <c r="D223" s="282"/>
      <c r="E223" s="282"/>
      <c r="F223" s="282"/>
      <c r="G223" s="282"/>
      <c r="H223" s="282"/>
      <c r="I223" s="282"/>
      <c r="J223" s="282"/>
      <c r="K223" s="282"/>
      <c r="L223" s="282"/>
      <c r="M223" s="282"/>
      <c r="N223" s="282"/>
      <c r="O223" s="282"/>
      <c r="P223" s="282"/>
      <c r="Q223" s="282"/>
      <c r="R223" s="282"/>
      <c r="S223" s="282"/>
      <c r="T223" s="282"/>
      <c r="U223" s="282"/>
      <c r="V223" s="298"/>
      <c r="W223" s="298"/>
      <c r="X223" s="298"/>
      <c r="Y223" s="298"/>
      <c r="Z223" s="298"/>
      <c r="AA223" s="298"/>
      <c r="AB223" s="298"/>
      <c r="AC223" s="298"/>
      <c r="AD223" s="298"/>
      <c r="AE223" s="298"/>
      <c r="AF223" s="298"/>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row>
    <row r="224">
      <c r="A224" s="304"/>
      <c r="B224" s="282"/>
      <c r="C224" s="282"/>
      <c r="D224" s="282"/>
      <c r="E224" s="282"/>
      <c r="F224" s="282"/>
      <c r="G224" s="282"/>
      <c r="H224" s="282"/>
      <c r="I224" s="282"/>
      <c r="J224" s="282"/>
      <c r="K224" s="282"/>
      <c r="L224" s="282"/>
      <c r="M224" s="282"/>
      <c r="N224" s="282"/>
      <c r="O224" s="282"/>
      <c r="P224" s="282"/>
      <c r="Q224" s="282"/>
      <c r="R224" s="282"/>
      <c r="S224" s="282"/>
      <c r="T224" s="282"/>
      <c r="U224" s="282"/>
      <c r="V224" s="298"/>
      <c r="W224" s="298"/>
      <c r="X224" s="298"/>
      <c r="Y224" s="298"/>
      <c r="Z224" s="298"/>
      <c r="AA224" s="298"/>
      <c r="AB224" s="298"/>
      <c r="AC224" s="298"/>
      <c r="AD224" s="298"/>
      <c r="AE224" s="298"/>
      <c r="AF224" s="298"/>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row>
    <row r="225">
      <c r="A225" s="304"/>
      <c r="B225" s="282"/>
      <c r="C225" s="282"/>
      <c r="D225" s="282"/>
      <c r="E225" s="282"/>
      <c r="F225" s="282"/>
      <c r="G225" s="282"/>
      <c r="H225" s="282"/>
      <c r="I225" s="282"/>
      <c r="J225" s="282"/>
      <c r="K225" s="282"/>
      <c r="L225" s="282"/>
      <c r="M225" s="282"/>
      <c r="N225" s="282"/>
      <c r="O225" s="282"/>
      <c r="P225" s="282"/>
      <c r="Q225" s="282"/>
      <c r="R225" s="282"/>
      <c r="S225" s="282"/>
      <c r="T225" s="282"/>
      <c r="U225" s="282"/>
      <c r="V225" s="298"/>
      <c r="W225" s="298"/>
      <c r="X225" s="298"/>
      <c r="Y225" s="298"/>
      <c r="Z225" s="298"/>
      <c r="AA225" s="298"/>
      <c r="AB225" s="298"/>
      <c r="AC225" s="298"/>
      <c r="AD225" s="298"/>
      <c r="AE225" s="298"/>
      <c r="AF225" s="298"/>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row>
    <row r="226">
      <c r="A226" s="304"/>
      <c r="B226" s="282"/>
      <c r="C226" s="282"/>
      <c r="D226" s="282"/>
      <c r="E226" s="282"/>
      <c r="F226" s="282"/>
      <c r="G226" s="282"/>
      <c r="H226" s="282"/>
      <c r="I226" s="282"/>
      <c r="J226" s="282"/>
      <c r="K226" s="282"/>
      <c r="L226" s="282"/>
      <c r="M226" s="282"/>
      <c r="N226" s="282"/>
      <c r="O226" s="282"/>
      <c r="P226" s="282"/>
      <c r="Q226" s="282"/>
      <c r="R226" s="282"/>
      <c r="S226" s="282"/>
      <c r="T226" s="282"/>
      <c r="U226" s="282"/>
      <c r="V226" s="298"/>
      <c r="W226" s="298"/>
      <c r="X226" s="298"/>
      <c r="Y226" s="298"/>
      <c r="Z226" s="298"/>
      <c r="AA226" s="298"/>
      <c r="AB226" s="298"/>
      <c r="AC226" s="298"/>
      <c r="AD226" s="298"/>
      <c r="AE226" s="298"/>
      <c r="AF226" s="298"/>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row>
    <row r="227">
      <c r="A227" s="304"/>
      <c r="B227" s="282"/>
      <c r="C227" s="282"/>
      <c r="D227" s="282"/>
      <c r="E227" s="282"/>
      <c r="F227" s="282"/>
      <c r="G227" s="282"/>
      <c r="H227" s="282"/>
      <c r="I227" s="282"/>
      <c r="J227" s="282"/>
      <c r="K227" s="282"/>
      <c r="L227" s="282"/>
      <c r="M227" s="282"/>
      <c r="N227" s="282"/>
      <c r="O227" s="282"/>
      <c r="P227" s="282"/>
      <c r="Q227" s="282"/>
      <c r="R227" s="282"/>
      <c r="S227" s="282"/>
      <c r="T227" s="282"/>
      <c r="U227" s="282"/>
      <c r="V227" s="298"/>
      <c r="W227" s="298"/>
      <c r="X227" s="298"/>
      <c r="Y227" s="298"/>
      <c r="Z227" s="298"/>
      <c r="AA227" s="298"/>
      <c r="AB227" s="298"/>
      <c r="AC227" s="298"/>
      <c r="AD227" s="298"/>
      <c r="AE227" s="298"/>
      <c r="AF227" s="298"/>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row>
    <row r="228">
      <c r="A228" s="304"/>
      <c r="B228" s="282"/>
      <c r="C228" s="282"/>
      <c r="D228" s="282"/>
      <c r="E228" s="282"/>
      <c r="F228" s="282"/>
      <c r="G228" s="282"/>
      <c r="H228" s="282"/>
      <c r="I228" s="282"/>
      <c r="J228" s="282"/>
      <c r="K228" s="282"/>
      <c r="L228" s="282"/>
      <c r="M228" s="282"/>
      <c r="N228" s="282"/>
      <c r="O228" s="282"/>
      <c r="P228" s="282"/>
      <c r="Q228" s="282"/>
      <c r="R228" s="282"/>
      <c r="S228" s="282"/>
      <c r="T228" s="282"/>
      <c r="U228" s="282"/>
      <c r="V228" s="298"/>
      <c r="W228" s="298"/>
      <c r="X228" s="298"/>
      <c r="Y228" s="298"/>
      <c r="Z228" s="298"/>
      <c r="AA228" s="298"/>
      <c r="AB228" s="298"/>
      <c r="AC228" s="298"/>
      <c r="AD228" s="298"/>
      <c r="AE228" s="298"/>
      <c r="AF228" s="298"/>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row>
    <row r="229">
      <c r="A229" s="304"/>
      <c r="B229" s="282"/>
      <c r="C229" s="282"/>
      <c r="D229" s="282"/>
      <c r="E229" s="282"/>
      <c r="F229" s="282"/>
      <c r="G229" s="282"/>
      <c r="H229" s="282"/>
      <c r="I229" s="282"/>
      <c r="J229" s="282"/>
      <c r="K229" s="282"/>
      <c r="L229" s="282"/>
      <c r="M229" s="282"/>
      <c r="N229" s="282"/>
      <c r="O229" s="282"/>
      <c r="P229" s="282"/>
      <c r="Q229" s="282"/>
      <c r="R229" s="282"/>
      <c r="S229" s="282"/>
      <c r="T229" s="282"/>
      <c r="U229" s="282"/>
      <c r="V229" s="298"/>
      <c r="W229" s="298"/>
      <c r="X229" s="298"/>
      <c r="Y229" s="298"/>
      <c r="Z229" s="298"/>
      <c r="AA229" s="298"/>
      <c r="AB229" s="298"/>
      <c r="AC229" s="298"/>
      <c r="AD229" s="298"/>
      <c r="AE229" s="298"/>
      <c r="AF229" s="298"/>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row>
    <row r="230">
      <c r="A230" s="304"/>
      <c r="B230" s="282"/>
      <c r="C230" s="282"/>
      <c r="D230" s="282"/>
      <c r="E230" s="282"/>
      <c r="F230" s="282"/>
      <c r="G230" s="282"/>
      <c r="H230" s="282"/>
      <c r="I230" s="282"/>
      <c r="J230" s="282"/>
      <c r="K230" s="282"/>
      <c r="L230" s="282"/>
      <c r="M230" s="282"/>
      <c r="N230" s="282"/>
      <c r="O230" s="282"/>
      <c r="P230" s="282"/>
      <c r="Q230" s="282"/>
      <c r="R230" s="282"/>
      <c r="S230" s="282"/>
      <c r="T230" s="282"/>
      <c r="U230" s="282"/>
      <c r="V230" s="298"/>
      <c r="W230" s="298"/>
      <c r="X230" s="298"/>
      <c r="Y230" s="298"/>
      <c r="Z230" s="298"/>
      <c r="AA230" s="298"/>
      <c r="AB230" s="298"/>
      <c r="AC230" s="298"/>
      <c r="AD230" s="298"/>
      <c r="AE230" s="298"/>
      <c r="AF230" s="298"/>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row>
    <row r="231">
      <c r="A231" s="304"/>
      <c r="B231" s="282"/>
      <c r="C231" s="282"/>
      <c r="D231" s="282"/>
      <c r="E231" s="282"/>
      <c r="F231" s="282"/>
      <c r="G231" s="282"/>
      <c r="H231" s="282"/>
      <c r="I231" s="282"/>
      <c r="J231" s="282"/>
      <c r="K231" s="282"/>
      <c r="L231" s="282"/>
      <c r="M231" s="282"/>
      <c r="N231" s="282"/>
      <c r="O231" s="282"/>
      <c r="P231" s="282"/>
      <c r="Q231" s="282"/>
      <c r="R231" s="282"/>
      <c r="S231" s="282"/>
      <c r="T231" s="282"/>
      <c r="U231" s="282"/>
      <c r="V231" s="298"/>
      <c r="W231" s="298"/>
      <c r="X231" s="298"/>
      <c r="Y231" s="298"/>
      <c r="Z231" s="298"/>
      <c r="AA231" s="298"/>
      <c r="AB231" s="298"/>
      <c r="AC231" s="298"/>
      <c r="AD231" s="298"/>
      <c r="AE231" s="298"/>
      <c r="AF231" s="298"/>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row>
    <row r="232">
      <c r="A232" s="304"/>
      <c r="B232" s="282"/>
      <c r="C232" s="282"/>
      <c r="D232" s="282"/>
      <c r="E232" s="282"/>
      <c r="F232" s="282"/>
      <c r="G232" s="282"/>
      <c r="H232" s="282"/>
      <c r="I232" s="282"/>
      <c r="J232" s="282"/>
      <c r="K232" s="282"/>
      <c r="L232" s="282"/>
      <c r="M232" s="282"/>
      <c r="N232" s="282"/>
      <c r="O232" s="282"/>
      <c r="P232" s="282"/>
      <c r="Q232" s="282"/>
      <c r="R232" s="282"/>
      <c r="S232" s="282"/>
      <c r="T232" s="282"/>
      <c r="U232" s="282"/>
      <c r="V232" s="298"/>
      <c r="W232" s="298"/>
      <c r="X232" s="298"/>
      <c r="Y232" s="298"/>
      <c r="Z232" s="298"/>
      <c r="AA232" s="298"/>
      <c r="AB232" s="298"/>
      <c r="AC232" s="298"/>
      <c r="AD232" s="298"/>
      <c r="AE232" s="298"/>
      <c r="AF232" s="298"/>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row>
    <row r="233">
      <c r="A233" s="304"/>
      <c r="B233" s="282"/>
      <c r="C233" s="282"/>
      <c r="D233" s="282"/>
      <c r="E233" s="282"/>
      <c r="F233" s="282"/>
      <c r="G233" s="282"/>
      <c r="H233" s="282"/>
      <c r="I233" s="282"/>
      <c r="J233" s="282"/>
      <c r="K233" s="282"/>
      <c r="L233" s="282"/>
      <c r="M233" s="282"/>
      <c r="N233" s="282"/>
      <c r="O233" s="282"/>
      <c r="P233" s="282"/>
      <c r="Q233" s="282"/>
      <c r="R233" s="282"/>
      <c r="S233" s="282"/>
      <c r="T233" s="282"/>
      <c r="U233" s="282"/>
      <c r="V233" s="298"/>
      <c r="W233" s="298"/>
      <c r="X233" s="298"/>
      <c r="Y233" s="298"/>
      <c r="Z233" s="298"/>
      <c r="AA233" s="298"/>
      <c r="AB233" s="298"/>
      <c r="AC233" s="298"/>
      <c r="AD233" s="298"/>
      <c r="AE233" s="298"/>
      <c r="AF233" s="298"/>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row>
    <row r="234">
      <c r="A234" s="304"/>
      <c r="B234" s="282"/>
      <c r="C234" s="282"/>
      <c r="D234" s="282"/>
      <c r="E234" s="282"/>
      <c r="F234" s="282"/>
      <c r="G234" s="282"/>
      <c r="H234" s="282"/>
      <c r="I234" s="282"/>
      <c r="J234" s="282"/>
      <c r="K234" s="282"/>
      <c r="L234" s="282"/>
      <c r="M234" s="282"/>
      <c r="N234" s="282"/>
      <c r="O234" s="282"/>
      <c r="P234" s="282"/>
      <c r="Q234" s="282"/>
      <c r="R234" s="282"/>
      <c r="S234" s="282"/>
      <c r="T234" s="282"/>
      <c r="U234" s="282"/>
      <c r="V234" s="298"/>
      <c r="W234" s="298"/>
      <c r="X234" s="298"/>
      <c r="Y234" s="298"/>
      <c r="Z234" s="298"/>
      <c r="AA234" s="298"/>
      <c r="AB234" s="298"/>
      <c r="AC234" s="298"/>
      <c r="AD234" s="298"/>
      <c r="AE234" s="298"/>
      <c r="AF234" s="298"/>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row>
    <row r="235">
      <c r="A235" s="304"/>
      <c r="B235" s="282"/>
      <c r="C235" s="282"/>
      <c r="D235" s="282"/>
      <c r="E235" s="282"/>
      <c r="F235" s="282"/>
      <c r="G235" s="282"/>
      <c r="H235" s="282"/>
      <c r="I235" s="282"/>
      <c r="J235" s="282"/>
      <c r="K235" s="282"/>
      <c r="L235" s="282"/>
      <c r="M235" s="282"/>
      <c r="N235" s="282"/>
      <c r="O235" s="282"/>
      <c r="P235" s="282"/>
      <c r="Q235" s="282"/>
      <c r="R235" s="282"/>
      <c r="S235" s="282"/>
      <c r="T235" s="282"/>
      <c r="U235" s="282"/>
      <c r="V235" s="298"/>
      <c r="W235" s="298"/>
      <c r="X235" s="298"/>
      <c r="Y235" s="298"/>
      <c r="Z235" s="298"/>
      <c r="AA235" s="298"/>
      <c r="AB235" s="298"/>
      <c r="AC235" s="298"/>
      <c r="AD235" s="298"/>
      <c r="AE235" s="298"/>
      <c r="AF235" s="298"/>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row>
    <row r="236">
      <c r="A236" s="304"/>
      <c r="B236" s="282"/>
      <c r="C236" s="282"/>
      <c r="D236" s="282"/>
      <c r="E236" s="282"/>
      <c r="F236" s="282"/>
      <c r="G236" s="282"/>
      <c r="H236" s="282"/>
      <c r="I236" s="282"/>
      <c r="J236" s="282"/>
      <c r="K236" s="282"/>
      <c r="L236" s="282"/>
      <c r="M236" s="282"/>
      <c r="N236" s="282"/>
      <c r="O236" s="282"/>
      <c r="P236" s="282"/>
      <c r="Q236" s="282"/>
      <c r="R236" s="282"/>
      <c r="S236" s="282"/>
      <c r="T236" s="282"/>
      <c r="U236" s="282"/>
      <c r="V236" s="298"/>
      <c r="W236" s="298"/>
      <c r="X236" s="298"/>
      <c r="Y236" s="298"/>
      <c r="Z236" s="298"/>
      <c r="AA236" s="298"/>
      <c r="AB236" s="298"/>
      <c r="AC236" s="298"/>
      <c r="AD236" s="298"/>
      <c r="AE236" s="298"/>
      <c r="AF236" s="298"/>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row>
    <row r="237">
      <c r="A237" s="304"/>
      <c r="B237" s="282"/>
      <c r="C237" s="282"/>
      <c r="D237" s="282"/>
      <c r="E237" s="282"/>
      <c r="F237" s="282"/>
      <c r="G237" s="282"/>
      <c r="H237" s="282"/>
      <c r="I237" s="282"/>
      <c r="J237" s="282"/>
      <c r="K237" s="282"/>
      <c r="L237" s="282"/>
      <c r="M237" s="282"/>
      <c r="N237" s="282"/>
      <c r="O237" s="282"/>
      <c r="P237" s="282"/>
      <c r="Q237" s="282"/>
      <c r="R237" s="282"/>
      <c r="S237" s="282"/>
      <c r="T237" s="282"/>
      <c r="U237" s="282"/>
      <c r="V237" s="298"/>
      <c r="W237" s="298"/>
      <c r="X237" s="298"/>
      <c r="Y237" s="298"/>
      <c r="Z237" s="298"/>
      <c r="AA237" s="298"/>
      <c r="AB237" s="298"/>
      <c r="AC237" s="298"/>
      <c r="AD237" s="298"/>
      <c r="AE237" s="298"/>
      <c r="AF237" s="298"/>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row>
    <row r="238">
      <c r="A238" s="304"/>
      <c r="B238" s="282"/>
      <c r="C238" s="282"/>
      <c r="D238" s="282"/>
      <c r="E238" s="282"/>
      <c r="F238" s="282"/>
      <c r="G238" s="282"/>
      <c r="H238" s="282"/>
      <c r="I238" s="282"/>
      <c r="J238" s="282"/>
      <c r="K238" s="282"/>
      <c r="L238" s="282"/>
      <c r="M238" s="282"/>
      <c r="N238" s="282"/>
      <c r="O238" s="282"/>
      <c r="P238" s="282"/>
      <c r="Q238" s="282"/>
      <c r="R238" s="282"/>
      <c r="S238" s="282"/>
      <c r="T238" s="282"/>
      <c r="U238" s="282"/>
      <c r="V238" s="298"/>
      <c r="W238" s="298"/>
      <c r="X238" s="298"/>
      <c r="Y238" s="298"/>
      <c r="Z238" s="298"/>
      <c r="AA238" s="298"/>
      <c r="AB238" s="298"/>
      <c r="AC238" s="298"/>
      <c r="AD238" s="298"/>
      <c r="AE238" s="298"/>
      <c r="AF238" s="298"/>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row>
    <row r="239">
      <c r="A239" s="304"/>
      <c r="B239" s="282"/>
      <c r="C239" s="282"/>
      <c r="D239" s="282"/>
      <c r="E239" s="282"/>
      <c r="F239" s="282"/>
      <c r="G239" s="282"/>
      <c r="H239" s="282"/>
      <c r="I239" s="282"/>
      <c r="J239" s="282"/>
      <c r="K239" s="282"/>
      <c r="L239" s="282"/>
      <c r="M239" s="282"/>
      <c r="N239" s="282"/>
      <c r="O239" s="282"/>
      <c r="P239" s="282"/>
      <c r="Q239" s="282"/>
      <c r="R239" s="282"/>
      <c r="S239" s="282"/>
      <c r="T239" s="282"/>
      <c r="U239" s="282"/>
      <c r="V239" s="298"/>
      <c r="W239" s="298"/>
      <c r="X239" s="298"/>
      <c r="Y239" s="298"/>
      <c r="Z239" s="298"/>
      <c r="AA239" s="298"/>
      <c r="AB239" s="298"/>
      <c r="AC239" s="298"/>
      <c r="AD239" s="298"/>
      <c r="AE239" s="298"/>
      <c r="AF239" s="298"/>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row>
    <row r="240">
      <c r="A240" s="304"/>
      <c r="B240" s="282"/>
      <c r="C240" s="282"/>
      <c r="D240" s="282"/>
      <c r="E240" s="282"/>
      <c r="F240" s="282"/>
      <c r="G240" s="282"/>
      <c r="H240" s="282"/>
      <c r="I240" s="282"/>
      <c r="J240" s="282"/>
      <c r="K240" s="282"/>
      <c r="L240" s="282"/>
      <c r="M240" s="282"/>
      <c r="N240" s="282"/>
      <c r="O240" s="282"/>
      <c r="P240" s="282"/>
      <c r="Q240" s="282"/>
      <c r="R240" s="282"/>
      <c r="S240" s="282"/>
      <c r="T240" s="282"/>
      <c r="U240" s="282"/>
      <c r="V240" s="298"/>
      <c r="W240" s="298"/>
      <c r="X240" s="298"/>
      <c r="Y240" s="298"/>
      <c r="Z240" s="298"/>
      <c r="AA240" s="298"/>
      <c r="AB240" s="298"/>
      <c r="AC240" s="298"/>
      <c r="AD240" s="298"/>
      <c r="AE240" s="298"/>
      <c r="AF240" s="298"/>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row>
    <row r="241">
      <c r="A241" s="304"/>
      <c r="B241" s="282"/>
      <c r="C241" s="282"/>
      <c r="D241" s="282"/>
      <c r="E241" s="282"/>
      <c r="F241" s="282"/>
      <c r="G241" s="282"/>
      <c r="H241" s="282"/>
      <c r="I241" s="282"/>
      <c r="J241" s="282"/>
      <c r="K241" s="282"/>
      <c r="L241" s="282"/>
      <c r="M241" s="282"/>
      <c r="N241" s="282"/>
      <c r="O241" s="282"/>
      <c r="P241" s="282"/>
      <c r="Q241" s="282"/>
      <c r="R241" s="282"/>
      <c r="S241" s="282"/>
      <c r="T241" s="282"/>
      <c r="U241" s="282"/>
      <c r="V241" s="298"/>
      <c r="W241" s="298"/>
      <c r="X241" s="298"/>
      <c r="Y241" s="298"/>
      <c r="Z241" s="298"/>
      <c r="AA241" s="298"/>
      <c r="AB241" s="298"/>
      <c r="AC241" s="298"/>
      <c r="AD241" s="298"/>
      <c r="AE241" s="298"/>
      <c r="AF241" s="298"/>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row>
    <row r="242">
      <c r="A242" s="304"/>
      <c r="B242" s="282"/>
      <c r="C242" s="282"/>
      <c r="D242" s="282"/>
      <c r="E242" s="282"/>
      <c r="F242" s="282"/>
      <c r="G242" s="282"/>
      <c r="H242" s="282"/>
      <c r="I242" s="282"/>
      <c r="J242" s="282"/>
      <c r="K242" s="282"/>
      <c r="L242" s="282"/>
      <c r="M242" s="282"/>
      <c r="N242" s="282"/>
      <c r="O242" s="282"/>
      <c r="P242" s="282"/>
      <c r="Q242" s="282"/>
      <c r="R242" s="282"/>
      <c r="S242" s="282"/>
      <c r="T242" s="282"/>
      <c r="U242" s="282"/>
      <c r="V242" s="298"/>
      <c r="W242" s="298"/>
      <c r="X242" s="298"/>
      <c r="Y242" s="298"/>
      <c r="Z242" s="298"/>
      <c r="AA242" s="298"/>
      <c r="AB242" s="298"/>
      <c r="AC242" s="298"/>
      <c r="AD242" s="298"/>
      <c r="AE242" s="298"/>
      <c r="AF242" s="298"/>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row>
    <row r="243">
      <c r="A243" s="304"/>
      <c r="B243" s="282"/>
      <c r="C243" s="282"/>
      <c r="D243" s="282"/>
      <c r="E243" s="282"/>
      <c r="F243" s="282"/>
      <c r="G243" s="282"/>
      <c r="H243" s="282"/>
      <c r="I243" s="282"/>
      <c r="J243" s="282"/>
      <c r="K243" s="282"/>
      <c r="L243" s="282"/>
      <c r="M243" s="282"/>
      <c r="N243" s="282"/>
      <c r="O243" s="282"/>
      <c r="P243" s="282"/>
      <c r="Q243" s="282"/>
      <c r="R243" s="282"/>
      <c r="S243" s="282"/>
      <c r="T243" s="282"/>
      <c r="U243" s="282"/>
      <c r="V243" s="298"/>
      <c r="W243" s="298"/>
      <c r="X243" s="298"/>
      <c r="Y243" s="298"/>
      <c r="Z243" s="298"/>
      <c r="AA243" s="298"/>
      <c r="AB243" s="298"/>
      <c r="AC243" s="298"/>
      <c r="AD243" s="298"/>
      <c r="AE243" s="298"/>
      <c r="AF243" s="298"/>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row>
    <row r="244">
      <c r="A244" s="304"/>
      <c r="B244" s="282"/>
      <c r="C244" s="282"/>
      <c r="D244" s="282"/>
      <c r="E244" s="282"/>
      <c r="F244" s="282"/>
      <c r="G244" s="282"/>
      <c r="H244" s="282"/>
      <c r="I244" s="282"/>
      <c r="J244" s="282"/>
      <c r="K244" s="282"/>
      <c r="L244" s="282"/>
      <c r="M244" s="282"/>
      <c r="N244" s="282"/>
      <c r="O244" s="282"/>
      <c r="P244" s="282"/>
      <c r="Q244" s="282"/>
      <c r="R244" s="282"/>
      <c r="S244" s="282"/>
      <c r="T244" s="282"/>
      <c r="U244" s="282"/>
      <c r="V244" s="298"/>
      <c r="W244" s="298"/>
      <c r="X244" s="298"/>
      <c r="Y244" s="298"/>
      <c r="Z244" s="298"/>
      <c r="AA244" s="298"/>
      <c r="AB244" s="298"/>
      <c r="AC244" s="298"/>
      <c r="AD244" s="298"/>
      <c r="AE244" s="298"/>
      <c r="AF244" s="298"/>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row>
    <row r="245">
      <c r="A245" s="304"/>
      <c r="B245" s="282"/>
      <c r="C245" s="282"/>
      <c r="D245" s="282"/>
      <c r="E245" s="282"/>
      <c r="F245" s="282"/>
      <c r="G245" s="282"/>
      <c r="H245" s="282"/>
      <c r="I245" s="282"/>
      <c r="J245" s="282"/>
      <c r="K245" s="282"/>
      <c r="L245" s="282"/>
      <c r="M245" s="282"/>
      <c r="N245" s="282"/>
      <c r="O245" s="282"/>
      <c r="P245" s="282"/>
      <c r="Q245" s="282"/>
      <c r="R245" s="282"/>
      <c r="S245" s="282"/>
      <c r="T245" s="282"/>
      <c r="U245" s="282"/>
      <c r="V245" s="298"/>
      <c r="W245" s="298"/>
      <c r="X245" s="298"/>
      <c r="Y245" s="298"/>
      <c r="Z245" s="298"/>
      <c r="AA245" s="298"/>
      <c r="AB245" s="298"/>
      <c r="AC245" s="298"/>
      <c r="AD245" s="298"/>
      <c r="AE245" s="298"/>
      <c r="AF245" s="298"/>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row>
    <row r="246">
      <c r="A246" s="304"/>
      <c r="B246" s="282"/>
      <c r="C246" s="282"/>
      <c r="D246" s="282"/>
      <c r="E246" s="282"/>
      <c r="F246" s="282"/>
      <c r="G246" s="282"/>
      <c r="H246" s="282"/>
      <c r="I246" s="282"/>
      <c r="J246" s="282"/>
      <c r="K246" s="282"/>
      <c r="L246" s="282"/>
      <c r="M246" s="282"/>
      <c r="N246" s="282"/>
      <c r="O246" s="282"/>
      <c r="P246" s="282"/>
      <c r="Q246" s="282"/>
      <c r="R246" s="282"/>
      <c r="S246" s="282"/>
      <c r="T246" s="282"/>
      <c r="U246" s="282"/>
      <c r="V246" s="298"/>
      <c r="W246" s="298"/>
      <c r="X246" s="298"/>
      <c r="Y246" s="298"/>
      <c r="Z246" s="298"/>
      <c r="AA246" s="298"/>
      <c r="AB246" s="298"/>
      <c r="AC246" s="298"/>
      <c r="AD246" s="298"/>
      <c r="AE246" s="298"/>
      <c r="AF246" s="298"/>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row>
    <row r="247">
      <c r="A247" s="304"/>
      <c r="B247" s="282"/>
      <c r="C247" s="282"/>
      <c r="D247" s="282"/>
      <c r="E247" s="282"/>
      <c r="F247" s="282"/>
      <c r="G247" s="282"/>
      <c r="H247" s="282"/>
      <c r="I247" s="282"/>
      <c r="J247" s="282"/>
      <c r="K247" s="282"/>
      <c r="L247" s="282"/>
      <c r="M247" s="282"/>
      <c r="N247" s="282"/>
      <c r="O247" s="282"/>
      <c r="P247" s="282"/>
      <c r="Q247" s="282"/>
      <c r="R247" s="282"/>
      <c r="S247" s="282"/>
      <c r="T247" s="282"/>
      <c r="U247" s="282"/>
      <c r="V247" s="298"/>
      <c r="W247" s="298"/>
      <c r="X247" s="298"/>
      <c r="Y247" s="298"/>
      <c r="Z247" s="298"/>
      <c r="AA247" s="298"/>
      <c r="AB247" s="298"/>
      <c r="AC247" s="298"/>
      <c r="AD247" s="298"/>
      <c r="AE247" s="298"/>
      <c r="AF247" s="298"/>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row>
    <row r="248">
      <c r="A248" s="304"/>
      <c r="B248" s="282"/>
      <c r="C248" s="282"/>
      <c r="D248" s="282"/>
      <c r="E248" s="282"/>
      <c r="F248" s="282"/>
      <c r="G248" s="282"/>
      <c r="H248" s="282"/>
      <c r="I248" s="282"/>
      <c r="J248" s="282"/>
      <c r="K248" s="282"/>
      <c r="L248" s="282"/>
      <c r="M248" s="282"/>
      <c r="N248" s="282"/>
      <c r="O248" s="282"/>
      <c r="P248" s="282"/>
      <c r="Q248" s="282"/>
      <c r="R248" s="282"/>
      <c r="S248" s="282"/>
      <c r="T248" s="282"/>
      <c r="U248" s="282"/>
      <c r="V248" s="298"/>
      <c r="W248" s="298"/>
      <c r="X248" s="298"/>
      <c r="Y248" s="298"/>
      <c r="Z248" s="298"/>
      <c r="AA248" s="298"/>
      <c r="AB248" s="298"/>
      <c r="AC248" s="298"/>
      <c r="AD248" s="298"/>
      <c r="AE248" s="298"/>
      <c r="AF248" s="298"/>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row>
    <row r="249">
      <c r="A249" s="304"/>
      <c r="B249" s="282"/>
      <c r="C249" s="282"/>
      <c r="D249" s="282"/>
      <c r="E249" s="282"/>
      <c r="F249" s="282"/>
      <c r="G249" s="282"/>
      <c r="H249" s="282"/>
      <c r="I249" s="282"/>
      <c r="J249" s="282"/>
      <c r="K249" s="282"/>
      <c r="L249" s="282"/>
      <c r="M249" s="282"/>
      <c r="N249" s="282"/>
      <c r="O249" s="282"/>
      <c r="P249" s="282"/>
      <c r="Q249" s="282"/>
      <c r="R249" s="282"/>
      <c r="S249" s="282"/>
      <c r="T249" s="282"/>
      <c r="U249" s="282"/>
      <c r="V249" s="298"/>
      <c r="W249" s="298"/>
      <c r="X249" s="298"/>
      <c r="Y249" s="298"/>
      <c r="Z249" s="298"/>
      <c r="AA249" s="298"/>
      <c r="AB249" s="298"/>
      <c r="AC249" s="298"/>
      <c r="AD249" s="298"/>
      <c r="AE249" s="298"/>
      <c r="AF249" s="298"/>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row>
    <row r="250">
      <c r="A250" s="304"/>
      <c r="B250" s="282"/>
      <c r="C250" s="282"/>
      <c r="D250" s="282"/>
      <c r="E250" s="282"/>
      <c r="F250" s="282"/>
      <c r="G250" s="282"/>
      <c r="H250" s="282"/>
      <c r="I250" s="282"/>
      <c r="J250" s="282"/>
      <c r="K250" s="282"/>
      <c r="L250" s="282"/>
      <c r="M250" s="282"/>
      <c r="N250" s="282"/>
      <c r="O250" s="282"/>
      <c r="P250" s="282"/>
      <c r="Q250" s="282"/>
      <c r="R250" s="282"/>
      <c r="S250" s="282"/>
      <c r="T250" s="282"/>
      <c r="U250" s="282"/>
      <c r="V250" s="298"/>
      <c r="W250" s="298"/>
      <c r="X250" s="298"/>
      <c r="Y250" s="298"/>
      <c r="Z250" s="298"/>
      <c r="AA250" s="298"/>
      <c r="AB250" s="298"/>
      <c r="AC250" s="298"/>
      <c r="AD250" s="298"/>
      <c r="AE250" s="298"/>
      <c r="AF250" s="298"/>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row>
    <row r="251">
      <c r="A251" s="304"/>
      <c r="B251" s="282"/>
      <c r="C251" s="282"/>
      <c r="D251" s="282"/>
      <c r="E251" s="282"/>
      <c r="F251" s="282"/>
      <c r="G251" s="282"/>
      <c r="H251" s="282"/>
      <c r="I251" s="282"/>
      <c r="J251" s="282"/>
      <c r="K251" s="282"/>
      <c r="L251" s="282"/>
      <c r="M251" s="282"/>
      <c r="N251" s="282"/>
      <c r="O251" s="282"/>
      <c r="P251" s="282"/>
      <c r="Q251" s="282"/>
      <c r="R251" s="282"/>
      <c r="S251" s="282"/>
      <c r="T251" s="282"/>
      <c r="U251" s="282"/>
      <c r="V251" s="298"/>
      <c r="W251" s="298"/>
      <c r="X251" s="298"/>
      <c r="Y251" s="298"/>
      <c r="Z251" s="298"/>
      <c r="AA251" s="298"/>
      <c r="AB251" s="298"/>
      <c r="AC251" s="298"/>
      <c r="AD251" s="298"/>
      <c r="AE251" s="298"/>
      <c r="AF251" s="298"/>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row>
    <row r="252">
      <c r="A252" s="304"/>
      <c r="B252" s="282"/>
      <c r="C252" s="282"/>
      <c r="D252" s="282"/>
      <c r="E252" s="282"/>
      <c r="F252" s="282"/>
      <c r="G252" s="282"/>
      <c r="H252" s="282"/>
      <c r="I252" s="282"/>
      <c r="J252" s="282"/>
      <c r="K252" s="282"/>
      <c r="L252" s="282"/>
      <c r="M252" s="282"/>
      <c r="N252" s="282"/>
      <c r="O252" s="282"/>
      <c r="P252" s="282"/>
      <c r="Q252" s="282"/>
      <c r="R252" s="282"/>
      <c r="S252" s="282"/>
      <c r="T252" s="282"/>
      <c r="U252" s="282"/>
      <c r="V252" s="298"/>
      <c r="W252" s="298"/>
      <c r="X252" s="298"/>
      <c r="Y252" s="298"/>
      <c r="Z252" s="298"/>
      <c r="AA252" s="298"/>
      <c r="AB252" s="298"/>
      <c r="AC252" s="298"/>
      <c r="AD252" s="298"/>
      <c r="AE252" s="298"/>
      <c r="AF252" s="298"/>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row>
    <row r="253">
      <c r="A253" s="304"/>
      <c r="B253" s="282"/>
      <c r="C253" s="282"/>
      <c r="D253" s="282"/>
      <c r="E253" s="282"/>
      <c r="F253" s="282"/>
      <c r="G253" s="282"/>
      <c r="H253" s="282"/>
      <c r="I253" s="282"/>
      <c r="J253" s="282"/>
      <c r="K253" s="282"/>
      <c r="L253" s="282"/>
      <c r="M253" s="282"/>
      <c r="N253" s="282"/>
      <c r="O253" s="282"/>
      <c r="P253" s="282"/>
      <c r="Q253" s="282"/>
      <c r="R253" s="282"/>
      <c r="S253" s="282"/>
      <c r="T253" s="282"/>
      <c r="U253" s="282"/>
      <c r="V253" s="298"/>
      <c r="W253" s="298"/>
      <c r="X253" s="298"/>
      <c r="Y253" s="298"/>
      <c r="Z253" s="298"/>
      <c r="AA253" s="298"/>
      <c r="AB253" s="298"/>
      <c r="AC253" s="298"/>
      <c r="AD253" s="298"/>
      <c r="AE253" s="298"/>
      <c r="AF253" s="298"/>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row>
    <row r="254">
      <c r="A254" s="304"/>
      <c r="B254" s="282"/>
      <c r="C254" s="282"/>
      <c r="D254" s="282"/>
      <c r="E254" s="282"/>
      <c r="F254" s="282"/>
      <c r="G254" s="282"/>
      <c r="H254" s="282"/>
      <c r="I254" s="282"/>
      <c r="J254" s="282"/>
      <c r="K254" s="282"/>
      <c r="L254" s="282"/>
      <c r="M254" s="282"/>
      <c r="N254" s="282"/>
      <c r="O254" s="282"/>
      <c r="P254" s="282"/>
      <c r="Q254" s="282"/>
      <c r="R254" s="282"/>
      <c r="S254" s="282"/>
      <c r="T254" s="282"/>
      <c r="U254" s="282"/>
      <c r="V254" s="298"/>
      <c r="W254" s="298"/>
      <c r="X254" s="298"/>
      <c r="Y254" s="298"/>
      <c r="Z254" s="298"/>
      <c r="AA254" s="298"/>
      <c r="AB254" s="298"/>
      <c r="AC254" s="298"/>
      <c r="AD254" s="298"/>
      <c r="AE254" s="298"/>
      <c r="AF254" s="298"/>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row>
    <row r="255">
      <c r="A255" s="304"/>
      <c r="B255" s="282"/>
      <c r="C255" s="282"/>
      <c r="D255" s="282"/>
      <c r="E255" s="282"/>
      <c r="F255" s="282"/>
      <c r="G255" s="282"/>
      <c r="H255" s="282"/>
      <c r="I255" s="282"/>
      <c r="J255" s="282"/>
      <c r="K255" s="282"/>
      <c r="L255" s="282"/>
      <c r="M255" s="282"/>
      <c r="N255" s="282"/>
      <c r="O255" s="282"/>
      <c r="P255" s="282"/>
      <c r="Q255" s="282"/>
      <c r="R255" s="282"/>
      <c r="S255" s="282"/>
      <c r="T255" s="282"/>
      <c r="U255" s="282"/>
      <c r="V255" s="298"/>
      <c r="W255" s="298"/>
      <c r="X255" s="298"/>
      <c r="Y255" s="298"/>
      <c r="Z255" s="298"/>
      <c r="AA255" s="298"/>
      <c r="AB255" s="298"/>
      <c r="AC255" s="298"/>
      <c r="AD255" s="298"/>
      <c r="AE255" s="298"/>
      <c r="AF255" s="298"/>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row>
    <row r="256">
      <c r="A256" s="304"/>
      <c r="B256" s="282"/>
      <c r="C256" s="282"/>
      <c r="D256" s="282"/>
      <c r="E256" s="282"/>
      <c r="F256" s="282"/>
      <c r="G256" s="282"/>
      <c r="H256" s="282"/>
      <c r="I256" s="282"/>
      <c r="J256" s="282"/>
      <c r="K256" s="282"/>
      <c r="L256" s="282"/>
      <c r="M256" s="282"/>
      <c r="N256" s="282"/>
      <c r="O256" s="282"/>
      <c r="P256" s="282"/>
      <c r="Q256" s="282"/>
      <c r="R256" s="282"/>
      <c r="S256" s="282"/>
      <c r="T256" s="282"/>
      <c r="U256" s="282"/>
      <c r="V256" s="298"/>
      <c r="W256" s="298"/>
      <c r="X256" s="298"/>
      <c r="Y256" s="298"/>
      <c r="Z256" s="298"/>
      <c r="AA256" s="298"/>
      <c r="AB256" s="298"/>
      <c r="AC256" s="298"/>
      <c r="AD256" s="298"/>
      <c r="AE256" s="298"/>
      <c r="AF256" s="298"/>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row>
    <row r="257">
      <c r="A257" s="304"/>
      <c r="B257" s="282"/>
      <c r="C257" s="282"/>
      <c r="D257" s="282"/>
      <c r="E257" s="282"/>
      <c r="F257" s="282"/>
      <c r="G257" s="282"/>
      <c r="H257" s="282"/>
      <c r="I257" s="282"/>
      <c r="J257" s="282"/>
      <c r="K257" s="282"/>
      <c r="L257" s="282"/>
      <c r="M257" s="282"/>
      <c r="N257" s="282"/>
      <c r="O257" s="282"/>
      <c r="P257" s="282"/>
      <c r="Q257" s="282"/>
      <c r="R257" s="282"/>
      <c r="S257" s="282"/>
      <c r="T257" s="282"/>
      <c r="U257" s="282"/>
      <c r="V257" s="298"/>
      <c r="W257" s="298"/>
      <c r="X257" s="298"/>
      <c r="Y257" s="298"/>
      <c r="Z257" s="298"/>
      <c r="AA257" s="298"/>
      <c r="AB257" s="298"/>
      <c r="AC257" s="298"/>
      <c r="AD257" s="298"/>
      <c r="AE257" s="298"/>
      <c r="AF257" s="298"/>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row>
    <row r="258">
      <c r="A258" s="304"/>
      <c r="B258" s="282"/>
      <c r="C258" s="282"/>
      <c r="D258" s="282"/>
      <c r="E258" s="282"/>
      <c r="F258" s="282"/>
      <c r="G258" s="282"/>
      <c r="H258" s="282"/>
      <c r="I258" s="282"/>
      <c r="J258" s="282"/>
      <c r="K258" s="282"/>
      <c r="L258" s="282"/>
      <c r="M258" s="282"/>
      <c r="N258" s="282"/>
      <c r="O258" s="282"/>
      <c r="P258" s="282"/>
      <c r="Q258" s="282"/>
      <c r="R258" s="282"/>
      <c r="S258" s="282"/>
      <c r="T258" s="282"/>
      <c r="U258" s="282"/>
      <c r="V258" s="298"/>
      <c r="W258" s="298"/>
      <c r="X258" s="298"/>
      <c r="Y258" s="298"/>
      <c r="Z258" s="298"/>
      <c r="AA258" s="298"/>
      <c r="AB258" s="298"/>
      <c r="AC258" s="298"/>
      <c r="AD258" s="298"/>
      <c r="AE258" s="298"/>
      <c r="AF258" s="298"/>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row>
    <row r="259">
      <c r="A259" s="304"/>
      <c r="B259" s="282"/>
      <c r="C259" s="282"/>
      <c r="D259" s="282"/>
      <c r="E259" s="282"/>
      <c r="F259" s="282"/>
      <c r="G259" s="282"/>
      <c r="H259" s="282"/>
      <c r="I259" s="282"/>
      <c r="J259" s="282"/>
      <c r="K259" s="282"/>
      <c r="L259" s="282"/>
      <c r="M259" s="282"/>
      <c r="N259" s="282"/>
      <c r="O259" s="282"/>
      <c r="P259" s="282"/>
      <c r="Q259" s="282"/>
      <c r="R259" s="282"/>
      <c r="S259" s="282"/>
      <c r="T259" s="282"/>
      <c r="U259" s="282"/>
      <c r="V259" s="298"/>
      <c r="W259" s="298"/>
      <c r="X259" s="298"/>
      <c r="Y259" s="298"/>
      <c r="Z259" s="298"/>
      <c r="AA259" s="298"/>
      <c r="AB259" s="298"/>
      <c r="AC259" s="298"/>
      <c r="AD259" s="298"/>
      <c r="AE259" s="298"/>
      <c r="AF259" s="298"/>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row>
    <row r="260">
      <c r="A260" s="304"/>
      <c r="B260" s="282"/>
      <c r="C260" s="282"/>
      <c r="D260" s="282"/>
      <c r="E260" s="282"/>
      <c r="F260" s="282"/>
      <c r="G260" s="282"/>
      <c r="H260" s="282"/>
      <c r="I260" s="282"/>
      <c r="J260" s="282"/>
      <c r="K260" s="282"/>
      <c r="L260" s="282"/>
      <c r="M260" s="282"/>
      <c r="N260" s="282"/>
      <c r="O260" s="282"/>
      <c r="P260" s="282"/>
      <c r="Q260" s="282"/>
      <c r="R260" s="282"/>
      <c r="S260" s="282"/>
      <c r="T260" s="282"/>
      <c r="U260" s="282"/>
      <c r="V260" s="298"/>
      <c r="W260" s="298"/>
      <c r="X260" s="298"/>
      <c r="Y260" s="298"/>
      <c r="Z260" s="298"/>
      <c r="AA260" s="298"/>
      <c r="AB260" s="298"/>
      <c r="AC260" s="298"/>
      <c r="AD260" s="298"/>
      <c r="AE260" s="298"/>
      <c r="AF260" s="298"/>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row>
    <row r="261">
      <c r="A261" s="304"/>
      <c r="B261" s="282"/>
      <c r="C261" s="282"/>
      <c r="D261" s="282"/>
      <c r="E261" s="282"/>
      <c r="F261" s="282"/>
      <c r="G261" s="282"/>
      <c r="H261" s="282"/>
      <c r="I261" s="282"/>
      <c r="J261" s="282"/>
      <c r="K261" s="282"/>
      <c r="L261" s="282"/>
      <c r="M261" s="282"/>
      <c r="N261" s="282"/>
      <c r="O261" s="282"/>
      <c r="P261" s="282"/>
      <c r="Q261" s="282"/>
      <c r="R261" s="282"/>
      <c r="S261" s="282"/>
      <c r="T261" s="282"/>
      <c r="U261" s="282"/>
      <c r="V261" s="298"/>
      <c r="W261" s="298"/>
      <c r="X261" s="298"/>
      <c r="Y261" s="298"/>
      <c r="Z261" s="298"/>
      <c r="AA261" s="298"/>
      <c r="AB261" s="298"/>
      <c r="AC261" s="298"/>
      <c r="AD261" s="298"/>
      <c r="AE261" s="298"/>
      <c r="AF261" s="298"/>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row>
    <row r="262">
      <c r="A262" s="304"/>
      <c r="B262" s="282"/>
      <c r="C262" s="282"/>
      <c r="D262" s="282"/>
      <c r="E262" s="282"/>
      <c r="F262" s="282"/>
      <c r="G262" s="282"/>
      <c r="H262" s="282"/>
      <c r="I262" s="282"/>
      <c r="J262" s="282"/>
      <c r="K262" s="282"/>
      <c r="L262" s="282"/>
      <c r="M262" s="282"/>
      <c r="N262" s="282"/>
      <c r="O262" s="282"/>
      <c r="P262" s="282"/>
      <c r="Q262" s="282"/>
      <c r="R262" s="282"/>
      <c r="S262" s="282"/>
      <c r="T262" s="282"/>
      <c r="U262" s="282"/>
      <c r="V262" s="298"/>
      <c r="W262" s="298"/>
      <c r="X262" s="298"/>
      <c r="Y262" s="298"/>
      <c r="Z262" s="298"/>
      <c r="AA262" s="298"/>
      <c r="AB262" s="298"/>
      <c r="AC262" s="298"/>
      <c r="AD262" s="298"/>
      <c r="AE262" s="298"/>
      <c r="AF262" s="298"/>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row>
    <row r="263">
      <c r="A263" s="304"/>
      <c r="B263" s="282"/>
      <c r="C263" s="282"/>
      <c r="D263" s="282"/>
      <c r="E263" s="282"/>
      <c r="F263" s="282"/>
      <c r="G263" s="282"/>
      <c r="H263" s="282"/>
      <c r="I263" s="282"/>
      <c r="J263" s="282"/>
      <c r="K263" s="282"/>
      <c r="L263" s="282"/>
      <c r="M263" s="282"/>
      <c r="N263" s="282"/>
      <c r="O263" s="282"/>
      <c r="P263" s="282"/>
      <c r="Q263" s="282"/>
      <c r="R263" s="282"/>
      <c r="S263" s="282"/>
      <c r="T263" s="282"/>
      <c r="U263" s="282"/>
      <c r="V263" s="298"/>
      <c r="W263" s="298"/>
      <c r="X263" s="298"/>
      <c r="Y263" s="298"/>
      <c r="Z263" s="298"/>
      <c r="AA263" s="298"/>
      <c r="AB263" s="298"/>
      <c r="AC263" s="298"/>
      <c r="AD263" s="298"/>
      <c r="AE263" s="298"/>
      <c r="AF263" s="298"/>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row>
    <row r="264">
      <c r="A264" s="304"/>
      <c r="B264" s="282"/>
      <c r="C264" s="282"/>
      <c r="D264" s="282"/>
      <c r="E264" s="282"/>
      <c r="F264" s="282"/>
      <c r="G264" s="282"/>
      <c r="H264" s="282"/>
      <c r="I264" s="282"/>
      <c r="J264" s="282"/>
      <c r="K264" s="282"/>
      <c r="L264" s="282"/>
      <c r="M264" s="282"/>
      <c r="N264" s="282"/>
      <c r="O264" s="282"/>
      <c r="P264" s="282"/>
      <c r="Q264" s="282"/>
      <c r="R264" s="282"/>
      <c r="S264" s="282"/>
      <c r="T264" s="282"/>
      <c r="U264" s="282"/>
      <c r="V264" s="298"/>
      <c r="W264" s="298"/>
      <c r="X264" s="298"/>
      <c r="Y264" s="298"/>
      <c r="Z264" s="298"/>
      <c r="AA264" s="298"/>
      <c r="AB264" s="298"/>
      <c r="AC264" s="298"/>
      <c r="AD264" s="298"/>
      <c r="AE264" s="298"/>
      <c r="AF264" s="298"/>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row>
    <row r="265">
      <c r="A265" s="304"/>
      <c r="B265" s="282"/>
      <c r="C265" s="282"/>
      <c r="D265" s="282"/>
      <c r="E265" s="282"/>
      <c r="F265" s="282"/>
      <c r="G265" s="282"/>
      <c r="H265" s="282"/>
      <c r="I265" s="282"/>
      <c r="J265" s="282"/>
      <c r="K265" s="282"/>
      <c r="L265" s="282"/>
      <c r="M265" s="282"/>
      <c r="N265" s="282"/>
      <c r="O265" s="282"/>
      <c r="P265" s="282"/>
      <c r="Q265" s="282"/>
      <c r="R265" s="282"/>
      <c r="S265" s="282"/>
      <c r="T265" s="282"/>
      <c r="U265" s="282"/>
      <c r="V265" s="298"/>
      <c r="W265" s="298"/>
      <c r="X265" s="298"/>
      <c r="Y265" s="298"/>
      <c r="Z265" s="298"/>
      <c r="AA265" s="298"/>
      <c r="AB265" s="298"/>
      <c r="AC265" s="298"/>
      <c r="AD265" s="298"/>
      <c r="AE265" s="298"/>
      <c r="AF265" s="298"/>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row>
    <row r="266">
      <c r="A266" s="304"/>
      <c r="B266" s="282"/>
      <c r="C266" s="282"/>
      <c r="D266" s="282"/>
      <c r="E266" s="282"/>
      <c r="F266" s="282"/>
      <c r="G266" s="282"/>
      <c r="H266" s="282"/>
      <c r="I266" s="282"/>
      <c r="J266" s="282"/>
      <c r="K266" s="282"/>
      <c r="L266" s="282"/>
      <c r="M266" s="282"/>
      <c r="N266" s="282"/>
      <c r="O266" s="282"/>
      <c r="P266" s="282"/>
      <c r="Q266" s="282"/>
      <c r="R266" s="282"/>
      <c r="S266" s="282"/>
      <c r="T266" s="282"/>
      <c r="U266" s="282"/>
      <c r="V266" s="298"/>
      <c r="W266" s="298"/>
      <c r="X266" s="298"/>
      <c r="Y266" s="298"/>
      <c r="Z266" s="298"/>
      <c r="AA266" s="298"/>
      <c r="AB266" s="298"/>
      <c r="AC266" s="298"/>
      <c r="AD266" s="298"/>
      <c r="AE266" s="298"/>
      <c r="AF266" s="298"/>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row>
    <row r="267">
      <c r="A267" s="304"/>
      <c r="B267" s="282"/>
      <c r="C267" s="282"/>
      <c r="D267" s="282"/>
      <c r="E267" s="282"/>
      <c r="F267" s="282"/>
      <c r="G267" s="282"/>
      <c r="H267" s="282"/>
      <c r="I267" s="282"/>
      <c r="J267" s="282"/>
      <c r="K267" s="282"/>
      <c r="L267" s="282"/>
      <c r="M267" s="282"/>
      <c r="N267" s="282"/>
      <c r="O267" s="282"/>
      <c r="P267" s="282"/>
      <c r="Q267" s="282"/>
      <c r="R267" s="282"/>
      <c r="S267" s="282"/>
      <c r="T267" s="282"/>
      <c r="U267" s="282"/>
      <c r="V267" s="298"/>
      <c r="W267" s="298"/>
      <c r="X267" s="298"/>
      <c r="Y267" s="298"/>
      <c r="Z267" s="298"/>
      <c r="AA267" s="298"/>
      <c r="AB267" s="298"/>
      <c r="AC267" s="298"/>
      <c r="AD267" s="298"/>
      <c r="AE267" s="298"/>
      <c r="AF267" s="298"/>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row>
    <row r="268">
      <c r="A268" s="304"/>
      <c r="B268" s="282"/>
      <c r="C268" s="282"/>
      <c r="D268" s="282"/>
      <c r="E268" s="282"/>
      <c r="F268" s="282"/>
      <c r="G268" s="282"/>
      <c r="H268" s="282"/>
      <c r="I268" s="282"/>
      <c r="J268" s="282"/>
      <c r="K268" s="282"/>
      <c r="L268" s="282"/>
      <c r="M268" s="282"/>
      <c r="N268" s="282"/>
      <c r="O268" s="282"/>
      <c r="P268" s="282"/>
      <c r="Q268" s="282"/>
      <c r="R268" s="282"/>
      <c r="S268" s="282"/>
      <c r="T268" s="282"/>
      <c r="U268" s="282"/>
      <c r="V268" s="298"/>
      <c r="W268" s="298"/>
      <c r="X268" s="298"/>
      <c r="Y268" s="298"/>
      <c r="Z268" s="298"/>
      <c r="AA268" s="298"/>
      <c r="AB268" s="298"/>
      <c r="AC268" s="298"/>
      <c r="AD268" s="298"/>
      <c r="AE268" s="298"/>
      <c r="AF268" s="298"/>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row>
    <row r="269">
      <c r="A269" s="304"/>
      <c r="B269" s="282"/>
      <c r="C269" s="282"/>
      <c r="D269" s="282"/>
      <c r="E269" s="282"/>
      <c r="F269" s="282"/>
      <c r="G269" s="282"/>
      <c r="H269" s="282"/>
      <c r="I269" s="282"/>
      <c r="J269" s="282"/>
      <c r="K269" s="282"/>
      <c r="L269" s="282"/>
      <c r="M269" s="282"/>
      <c r="N269" s="282"/>
      <c r="O269" s="282"/>
      <c r="P269" s="282"/>
      <c r="Q269" s="282"/>
      <c r="R269" s="282"/>
      <c r="S269" s="282"/>
      <c r="T269" s="282"/>
      <c r="U269" s="282"/>
      <c r="V269" s="298"/>
      <c r="W269" s="298"/>
      <c r="X269" s="298"/>
      <c r="Y269" s="298"/>
      <c r="Z269" s="298"/>
      <c r="AA269" s="298"/>
      <c r="AB269" s="298"/>
      <c r="AC269" s="298"/>
      <c r="AD269" s="298"/>
      <c r="AE269" s="298"/>
      <c r="AF269" s="298"/>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row>
    <row r="270">
      <c r="A270" s="304"/>
      <c r="B270" s="282"/>
      <c r="C270" s="282"/>
      <c r="D270" s="282"/>
      <c r="E270" s="282"/>
      <c r="F270" s="282"/>
      <c r="G270" s="282"/>
      <c r="H270" s="282"/>
      <c r="I270" s="282"/>
      <c r="J270" s="282"/>
      <c r="K270" s="282"/>
      <c r="L270" s="282"/>
      <c r="M270" s="282"/>
      <c r="N270" s="282"/>
      <c r="O270" s="282"/>
      <c r="P270" s="282"/>
      <c r="Q270" s="282"/>
      <c r="R270" s="282"/>
      <c r="S270" s="282"/>
      <c r="T270" s="282"/>
      <c r="U270" s="282"/>
      <c r="V270" s="298"/>
      <c r="W270" s="298"/>
      <c r="X270" s="298"/>
      <c r="Y270" s="298"/>
      <c r="Z270" s="298"/>
      <c r="AA270" s="298"/>
      <c r="AB270" s="298"/>
      <c r="AC270" s="298"/>
      <c r="AD270" s="298"/>
      <c r="AE270" s="298"/>
      <c r="AF270" s="298"/>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row>
    <row r="271">
      <c r="A271" s="304"/>
      <c r="B271" s="282"/>
      <c r="C271" s="282"/>
      <c r="D271" s="282"/>
      <c r="E271" s="282"/>
      <c r="F271" s="282"/>
      <c r="G271" s="282"/>
      <c r="H271" s="282"/>
      <c r="I271" s="282"/>
      <c r="J271" s="282"/>
      <c r="K271" s="282"/>
      <c r="L271" s="282"/>
      <c r="M271" s="282"/>
      <c r="N271" s="282"/>
      <c r="O271" s="282"/>
      <c r="P271" s="282"/>
      <c r="Q271" s="282"/>
      <c r="R271" s="282"/>
      <c r="S271" s="282"/>
      <c r="T271" s="282"/>
      <c r="U271" s="282"/>
      <c r="V271" s="298"/>
      <c r="W271" s="298"/>
      <c r="X271" s="298"/>
      <c r="Y271" s="298"/>
      <c r="Z271" s="298"/>
      <c r="AA271" s="298"/>
      <c r="AB271" s="298"/>
      <c r="AC271" s="298"/>
      <c r="AD271" s="298"/>
      <c r="AE271" s="298"/>
      <c r="AF271" s="298"/>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row>
    <row r="272">
      <c r="A272" s="304"/>
      <c r="B272" s="282"/>
      <c r="C272" s="282"/>
      <c r="D272" s="282"/>
      <c r="E272" s="282"/>
      <c r="F272" s="282"/>
      <c r="G272" s="282"/>
      <c r="H272" s="282"/>
      <c r="I272" s="282"/>
      <c r="J272" s="282"/>
      <c r="K272" s="282"/>
      <c r="L272" s="282"/>
      <c r="M272" s="282"/>
      <c r="N272" s="282"/>
      <c r="O272" s="282"/>
      <c r="P272" s="282"/>
      <c r="Q272" s="282"/>
      <c r="R272" s="282"/>
      <c r="S272" s="282"/>
      <c r="T272" s="282"/>
      <c r="U272" s="282"/>
      <c r="V272" s="298"/>
      <c r="W272" s="298"/>
      <c r="X272" s="298"/>
      <c r="Y272" s="298"/>
      <c r="Z272" s="298"/>
      <c r="AA272" s="298"/>
      <c r="AB272" s="298"/>
      <c r="AC272" s="298"/>
      <c r="AD272" s="298"/>
      <c r="AE272" s="298"/>
      <c r="AF272" s="298"/>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row>
    <row r="273">
      <c r="A273" s="304"/>
      <c r="B273" s="282"/>
      <c r="C273" s="282"/>
      <c r="D273" s="282"/>
      <c r="E273" s="282"/>
      <c r="F273" s="282"/>
      <c r="G273" s="282"/>
      <c r="H273" s="282"/>
      <c r="I273" s="282"/>
      <c r="J273" s="282"/>
      <c r="K273" s="282"/>
      <c r="L273" s="282"/>
      <c r="M273" s="282"/>
      <c r="N273" s="282"/>
      <c r="O273" s="282"/>
      <c r="P273" s="282"/>
      <c r="Q273" s="282"/>
      <c r="R273" s="282"/>
      <c r="S273" s="282"/>
      <c r="T273" s="282"/>
      <c r="U273" s="282"/>
      <c r="V273" s="298"/>
      <c r="W273" s="298"/>
      <c r="X273" s="298"/>
      <c r="Y273" s="298"/>
      <c r="Z273" s="298"/>
      <c r="AA273" s="298"/>
      <c r="AB273" s="298"/>
      <c r="AC273" s="298"/>
      <c r="AD273" s="298"/>
      <c r="AE273" s="298"/>
      <c r="AF273" s="298"/>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row>
    <row r="274">
      <c r="A274" s="304"/>
      <c r="B274" s="282"/>
      <c r="C274" s="282"/>
      <c r="D274" s="282"/>
      <c r="E274" s="282"/>
      <c r="F274" s="282"/>
      <c r="G274" s="282"/>
      <c r="H274" s="282"/>
      <c r="I274" s="282"/>
      <c r="J274" s="282"/>
      <c r="K274" s="282"/>
      <c r="L274" s="282"/>
      <c r="M274" s="282"/>
      <c r="N274" s="282"/>
      <c r="O274" s="282"/>
      <c r="P274" s="282"/>
      <c r="Q274" s="282"/>
      <c r="R274" s="282"/>
      <c r="S274" s="282"/>
      <c r="T274" s="282"/>
      <c r="U274" s="282"/>
      <c r="V274" s="298"/>
      <c r="W274" s="298"/>
      <c r="X274" s="298"/>
      <c r="Y274" s="298"/>
      <c r="Z274" s="298"/>
      <c r="AA274" s="298"/>
      <c r="AB274" s="298"/>
      <c r="AC274" s="298"/>
      <c r="AD274" s="298"/>
      <c r="AE274" s="298"/>
      <c r="AF274" s="298"/>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row>
    <row r="275">
      <c r="A275" s="304"/>
      <c r="B275" s="282"/>
      <c r="C275" s="282"/>
      <c r="D275" s="282"/>
      <c r="E275" s="282"/>
      <c r="F275" s="282"/>
      <c r="G275" s="282"/>
      <c r="H275" s="282"/>
      <c r="I275" s="282"/>
      <c r="J275" s="282"/>
      <c r="K275" s="282"/>
      <c r="L275" s="282"/>
      <c r="M275" s="282"/>
      <c r="N275" s="282"/>
      <c r="O275" s="282"/>
      <c r="P275" s="282"/>
      <c r="Q275" s="282"/>
      <c r="R275" s="282"/>
      <c r="S275" s="282"/>
      <c r="T275" s="282"/>
      <c r="U275" s="282"/>
      <c r="V275" s="298"/>
      <c r="W275" s="298"/>
      <c r="X275" s="298"/>
      <c r="Y275" s="298"/>
      <c r="Z275" s="298"/>
      <c r="AA275" s="298"/>
      <c r="AB275" s="298"/>
      <c r="AC275" s="298"/>
      <c r="AD275" s="298"/>
      <c r="AE275" s="298"/>
      <c r="AF275" s="298"/>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row>
    <row r="276">
      <c r="A276" s="304"/>
      <c r="B276" s="282"/>
      <c r="C276" s="282"/>
      <c r="D276" s="282"/>
      <c r="E276" s="282"/>
      <c r="F276" s="282"/>
      <c r="G276" s="282"/>
      <c r="H276" s="282"/>
      <c r="I276" s="282"/>
      <c r="J276" s="282"/>
      <c r="K276" s="282"/>
      <c r="L276" s="282"/>
      <c r="M276" s="282"/>
      <c r="N276" s="282"/>
      <c r="O276" s="282"/>
      <c r="P276" s="282"/>
      <c r="Q276" s="282"/>
      <c r="R276" s="282"/>
      <c r="S276" s="282"/>
      <c r="T276" s="282"/>
      <c r="U276" s="282"/>
      <c r="V276" s="298"/>
      <c r="W276" s="298"/>
      <c r="X276" s="298"/>
      <c r="Y276" s="298"/>
      <c r="Z276" s="298"/>
      <c r="AA276" s="298"/>
      <c r="AB276" s="298"/>
      <c r="AC276" s="298"/>
      <c r="AD276" s="298"/>
      <c r="AE276" s="298"/>
      <c r="AF276" s="298"/>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row>
    <row r="277">
      <c r="A277" s="304"/>
      <c r="B277" s="282"/>
      <c r="C277" s="282"/>
      <c r="D277" s="282"/>
      <c r="E277" s="282"/>
      <c r="F277" s="282"/>
      <c r="G277" s="282"/>
      <c r="H277" s="282"/>
      <c r="I277" s="282"/>
      <c r="J277" s="282"/>
      <c r="K277" s="282"/>
      <c r="L277" s="282"/>
      <c r="M277" s="282"/>
      <c r="N277" s="282"/>
      <c r="O277" s="282"/>
      <c r="P277" s="282"/>
      <c r="Q277" s="282"/>
      <c r="R277" s="282"/>
      <c r="S277" s="282"/>
      <c r="T277" s="282"/>
      <c r="U277" s="282"/>
      <c r="V277" s="298"/>
      <c r="W277" s="298"/>
      <c r="X277" s="298"/>
      <c r="Y277" s="298"/>
      <c r="Z277" s="298"/>
      <c r="AA277" s="298"/>
      <c r="AB277" s="298"/>
      <c r="AC277" s="298"/>
      <c r="AD277" s="298"/>
      <c r="AE277" s="298"/>
      <c r="AF277" s="298"/>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row>
    <row r="278">
      <c r="A278" s="304"/>
      <c r="B278" s="282"/>
      <c r="C278" s="282"/>
      <c r="D278" s="282"/>
      <c r="E278" s="282"/>
      <c r="F278" s="282"/>
      <c r="G278" s="282"/>
      <c r="H278" s="282"/>
      <c r="I278" s="282"/>
      <c r="J278" s="282"/>
      <c r="K278" s="282"/>
      <c r="L278" s="282"/>
      <c r="M278" s="282"/>
      <c r="N278" s="282"/>
      <c r="O278" s="282"/>
      <c r="P278" s="282"/>
      <c r="Q278" s="282"/>
      <c r="R278" s="282"/>
      <c r="S278" s="282"/>
      <c r="T278" s="282"/>
      <c r="U278" s="282"/>
      <c r="V278" s="298"/>
      <c r="W278" s="298"/>
      <c r="X278" s="298"/>
      <c r="Y278" s="298"/>
      <c r="Z278" s="298"/>
      <c r="AA278" s="298"/>
      <c r="AB278" s="298"/>
      <c r="AC278" s="298"/>
      <c r="AD278" s="298"/>
      <c r="AE278" s="298"/>
      <c r="AF278" s="298"/>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row>
    <row r="279">
      <c r="A279" s="304"/>
      <c r="B279" s="282"/>
      <c r="C279" s="282"/>
      <c r="D279" s="282"/>
      <c r="E279" s="282"/>
      <c r="F279" s="282"/>
      <c r="G279" s="282"/>
      <c r="H279" s="282"/>
      <c r="I279" s="282"/>
      <c r="J279" s="282"/>
      <c r="K279" s="282"/>
      <c r="L279" s="282"/>
      <c r="M279" s="282"/>
      <c r="N279" s="282"/>
      <c r="O279" s="282"/>
      <c r="P279" s="282"/>
      <c r="Q279" s="282"/>
      <c r="R279" s="282"/>
      <c r="S279" s="282"/>
      <c r="T279" s="282"/>
      <c r="U279" s="282"/>
      <c r="V279" s="298"/>
      <c r="W279" s="298"/>
      <c r="X279" s="298"/>
      <c r="Y279" s="298"/>
      <c r="Z279" s="298"/>
      <c r="AA279" s="298"/>
      <c r="AB279" s="298"/>
      <c r="AC279" s="298"/>
      <c r="AD279" s="298"/>
      <c r="AE279" s="298"/>
      <c r="AF279" s="298"/>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row>
    <row r="280">
      <c r="A280" s="304"/>
      <c r="B280" s="282"/>
      <c r="C280" s="282"/>
      <c r="D280" s="282"/>
      <c r="E280" s="282"/>
      <c r="F280" s="282"/>
      <c r="G280" s="282"/>
      <c r="H280" s="282"/>
      <c r="I280" s="282"/>
      <c r="J280" s="282"/>
      <c r="K280" s="282"/>
      <c r="L280" s="282"/>
      <c r="M280" s="282"/>
      <c r="N280" s="282"/>
      <c r="O280" s="282"/>
      <c r="P280" s="282"/>
      <c r="Q280" s="282"/>
      <c r="R280" s="282"/>
      <c r="S280" s="282"/>
      <c r="T280" s="282"/>
      <c r="U280" s="282"/>
      <c r="V280" s="298"/>
      <c r="W280" s="298"/>
      <c r="X280" s="298"/>
      <c r="Y280" s="298"/>
      <c r="Z280" s="298"/>
      <c r="AA280" s="298"/>
      <c r="AB280" s="298"/>
      <c r="AC280" s="298"/>
      <c r="AD280" s="298"/>
      <c r="AE280" s="298"/>
      <c r="AF280" s="298"/>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row>
    <row r="281">
      <c r="A281" s="304"/>
      <c r="B281" s="282"/>
      <c r="C281" s="282"/>
      <c r="D281" s="282"/>
      <c r="E281" s="282"/>
      <c r="F281" s="282"/>
      <c r="G281" s="282"/>
      <c r="H281" s="282"/>
      <c r="I281" s="282"/>
      <c r="J281" s="282"/>
      <c r="K281" s="282"/>
      <c r="L281" s="282"/>
      <c r="M281" s="282"/>
      <c r="N281" s="282"/>
      <c r="O281" s="282"/>
      <c r="P281" s="282"/>
      <c r="Q281" s="282"/>
      <c r="R281" s="282"/>
      <c r="S281" s="282"/>
      <c r="T281" s="282"/>
      <c r="U281" s="282"/>
      <c r="V281" s="298"/>
      <c r="W281" s="298"/>
      <c r="X281" s="298"/>
      <c r="Y281" s="298"/>
      <c r="Z281" s="298"/>
      <c r="AA281" s="298"/>
      <c r="AB281" s="298"/>
      <c r="AC281" s="298"/>
      <c r="AD281" s="298"/>
      <c r="AE281" s="298"/>
      <c r="AF281" s="298"/>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row>
    <row r="282">
      <c r="A282" s="304"/>
      <c r="B282" s="282"/>
      <c r="C282" s="282"/>
      <c r="D282" s="282"/>
      <c r="E282" s="282"/>
      <c r="F282" s="282"/>
      <c r="G282" s="282"/>
      <c r="H282" s="282"/>
      <c r="I282" s="282"/>
      <c r="J282" s="282"/>
      <c r="K282" s="282"/>
      <c r="L282" s="282"/>
      <c r="M282" s="282"/>
      <c r="N282" s="282"/>
      <c r="O282" s="282"/>
      <c r="P282" s="282"/>
      <c r="Q282" s="282"/>
      <c r="R282" s="282"/>
      <c r="S282" s="282"/>
      <c r="T282" s="282"/>
      <c r="U282" s="282"/>
      <c r="V282" s="298"/>
      <c r="W282" s="298"/>
      <c r="X282" s="298"/>
      <c r="Y282" s="298"/>
      <c r="Z282" s="298"/>
      <c r="AA282" s="298"/>
      <c r="AB282" s="298"/>
      <c r="AC282" s="298"/>
      <c r="AD282" s="298"/>
      <c r="AE282" s="298"/>
      <c r="AF282" s="298"/>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row>
    <row r="283">
      <c r="A283" s="304"/>
      <c r="B283" s="282"/>
      <c r="C283" s="282"/>
      <c r="D283" s="282"/>
      <c r="E283" s="282"/>
      <c r="F283" s="282"/>
      <c r="G283" s="282"/>
      <c r="H283" s="282"/>
      <c r="I283" s="282"/>
      <c r="J283" s="282"/>
      <c r="K283" s="282"/>
      <c r="L283" s="282"/>
      <c r="M283" s="282"/>
      <c r="N283" s="282"/>
      <c r="O283" s="282"/>
      <c r="P283" s="282"/>
      <c r="Q283" s="282"/>
      <c r="R283" s="282"/>
      <c r="S283" s="282"/>
      <c r="T283" s="282"/>
      <c r="U283" s="282"/>
      <c r="V283" s="298"/>
      <c r="W283" s="298"/>
      <c r="X283" s="298"/>
      <c r="Y283" s="298"/>
      <c r="Z283" s="298"/>
      <c r="AA283" s="298"/>
      <c r="AB283" s="298"/>
      <c r="AC283" s="298"/>
      <c r="AD283" s="298"/>
      <c r="AE283" s="298"/>
      <c r="AF283" s="298"/>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row>
    <row r="284">
      <c r="A284" s="304"/>
      <c r="B284" s="282"/>
      <c r="C284" s="282"/>
      <c r="D284" s="282"/>
      <c r="E284" s="282"/>
      <c r="F284" s="282"/>
      <c r="G284" s="282"/>
      <c r="H284" s="282"/>
      <c r="I284" s="282"/>
      <c r="J284" s="282"/>
      <c r="K284" s="282"/>
      <c r="L284" s="282"/>
      <c r="M284" s="282"/>
      <c r="N284" s="282"/>
      <c r="O284" s="282"/>
      <c r="P284" s="282"/>
      <c r="Q284" s="282"/>
      <c r="R284" s="282"/>
      <c r="S284" s="282"/>
      <c r="T284" s="282"/>
      <c r="U284" s="282"/>
      <c r="V284" s="298"/>
      <c r="W284" s="298"/>
      <c r="X284" s="298"/>
      <c r="Y284" s="298"/>
      <c r="Z284" s="298"/>
      <c r="AA284" s="298"/>
      <c r="AB284" s="298"/>
      <c r="AC284" s="298"/>
      <c r="AD284" s="298"/>
      <c r="AE284" s="298"/>
      <c r="AF284" s="298"/>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row>
    <row r="285">
      <c r="A285" s="304"/>
      <c r="B285" s="282"/>
      <c r="C285" s="282"/>
      <c r="D285" s="282"/>
      <c r="E285" s="282"/>
      <c r="F285" s="282"/>
      <c r="G285" s="282"/>
      <c r="H285" s="282"/>
      <c r="I285" s="282"/>
      <c r="J285" s="282"/>
      <c r="K285" s="282"/>
      <c r="L285" s="282"/>
      <c r="M285" s="282"/>
      <c r="N285" s="282"/>
      <c r="O285" s="282"/>
      <c r="P285" s="282"/>
      <c r="Q285" s="282"/>
      <c r="R285" s="282"/>
      <c r="S285" s="282"/>
      <c r="T285" s="282"/>
      <c r="U285" s="282"/>
      <c r="V285" s="298"/>
      <c r="W285" s="298"/>
      <c r="X285" s="298"/>
      <c r="Y285" s="298"/>
      <c r="Z285" s="298"/>
      <c r="AA285" s="298"/>
      <c r="AB285" s="298"/>
      <c r="AC285" s="298"/>
      <c r="AD285" s="298"/>
      <c r="AE285" s="298"/>
      <c r="AF285" s="298"/>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row>
    <row r="286">
      <c r="A286" s="304"/>
      <c r="B286" s="282"/>
      <c r="C286" s="282"/>
      <c r="D286" s="282"/>
      <c r="E286" s="282"/>
      <c r="F286" s="282"/>
      <c r="G286" s="282"/>
      <c r="H286" s="282"/>
      <c r="I286" s="282"/>
      <c r="J286" s="282"/>
      <c r="K286" s="282"/>
      <c r="L286" s="282"/>
      <c r="M286" s="282"/>
      <c r="N286" s="282"/>
      <c r="O286" s="282"/>
      <c r="P286" s="282"/>
      <c r="Q286" s="282"/>
      <c r="R286" s="282"/>
      <c r="S286" s="282"/>
      <c r="T286" s="282"/>
      <c r="U286" s="282"/>
      <c r="V286" s="298"/>
      <c r="W286" s="298"/>
      <c r="X286" s="298"/>
      <c r="Y286" s="298"/>
      <c r="Z286" s="298"/>
      <c r="AA286" s="298"/>
      <c r="AB286" s="298"/>
      <c r="AC286" s="298"/>
      <c r="AD286" s="298"/>
      <c r="AE286" s="298"/>
      <c r="AF286" s="298"/>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row>
    <row r="287">
      <c r="A287" s="304"/>
      <c r="B287" s="282"/>
      <c r="C287" s="282"/>
      <c r="D287" s="282"/>
      <c r="E287" s="282"/>
      <c r="F287" s="282"/>
      <c r="G287" s="282"/>
      <c r="H287" s="282"/>
      <c r="I287" s="282"/>
      <c r="J287" s="282"/>
      <c r="K287" s="282"/>
      <c r="L287" s="282"/>
      <c r="M287" s="282"/>
      <c r="N287" s="282"/>
      <c r="O287" s="282"/>
      <c r="P287" s="282"/>
      <c r="Q287" s="282"/>
      <c r="R287" s="282"/>
      <c r="S287" s="282"/>
      <c r="T287" s="282"/>
      <c r="U287" s="282"/>
      <c r="V287" s="298"/>
      <c r="W287" s="298"/>
      <c r="X287" s="298"/>
      <c r="Y287" s="298"/>
      <c r="Z287" s="298"/>
      <c r="AA287" s="298"/>
      <c r="AB287" s="298"/>
      <c r="AC287" s="298"/>
      <c r="AD287" s="298"/>
      <c r="AE287" s="298"/>
      <c r="AF287" s="298"/>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row>
    <row r="288">
      <c r="A288" s="304"/>
      <c r="B288" s="282"/>
      <c r="C288" s="282"/>
      <c r="D288" s="282"/>
      <c r="E288" s="282"/>
      <c r="F288" s="282"/>
      <c r="G288" s="282"/>
      <c r="H288" s="282"/>
      <c r="I288" s="282"/>
      <c r="J288" s="282"/>
      <c r="K288" s="282"/>
      <c r="L288" s="282"/>
      <c r="M288" s="282"/>
      <c r="N288" s="282"/>
      <c r="O288" s="282"/>
      <c r="P288" s="282"/>
      <c r="Q288" s="282"/>
      <c r="R288" s="282"/>
      <c r="S288" s="282"/>
      <c r="T288" s="282"/>
      <c r="U288" s="282"/>
      <c r="V288" s="298"/>
      <c r="W288" s="298"/>
      <c r="X288" s="298"/>
      <c r="Y288" s="298"/>
      <c r="Z288" s="298"/>
      <c r="AA288" s="298"/>
      <c r="AB288" s="298"/>
      <c r="AC288" s="298"/>
      <c r="AD288" s="298"/>
      <c r="AE288" s="298"/>
      <c r="AF288" s="298"/>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row>
    <row r="289">
      <c r="A289" s="304"/>
      <c r="B289" s="282"/>
      <c r="C289" s="282"/>
      <c r="D289" s="282"/>
      <c r="E289" s="282"/>
      <c r="F289" s="282"/>
      <c r="G289" s="282"/>
      <c r="H289" s="282"/>
      <c r="I289" s="282"/>
      <c r="J289" s="282"/>
      <c r="K289" s="282"/>
      <c r="L289" s="282"/>
      <c r="M289" s="282"/>
      <c r="N289" s="282"/>
      <c r="O289" s="282"/>
      <c r="P289" s="282"/>
      <c r="Q289" s="282"/>
      <c r="R289" s="282"/>
      <c r="S289" s="282"/>
      <c r="T289" s="282"/>
      <c r="U289" s="282"/>
      <c r="V289" s="298"/>
      <c r="W289" s="298"/>
      <c r="X289" s="298"/>
      <c r="Y289" s="298"/>
      <c r="Z289" s="298"/>
      <c r="AA289" s="298"/>
      <c r="AB289" s="298"/>
      <c r="AC289" s="298"/>
      <c r="AD289" s="298"/>
      <c r="AE289" s="298"/>
      <c r="AF289" s="298"/>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row>
    <row r="290">
      <c r="A290" s="304"/>
      <c r="B290" s="282"/>
      <c r="C290" s="282"/>
      <c r="D290" s="282"/>
      <c r="E290" s="282"/>
      <c r="F290" s="282"/>
      <c r="G290" s="282"/>
      <c r="H290" s="282"/>
      <c r="I290" s="282"/>
      <c r="J290" s="282"/>
      <c r="K290" s="282"/>
      <c r="L290" s="282"/>
      <c r="M290" s="282"/>
      <c r="N290" s="282"/>
      <c r="O290" s="282"/>
      <c r="P290" s="282"/>
      <c r="Q290" s="282"/>
      <c r="R290" s="282"/>
      <c r="S290" s="282"/>
      <c r="T290" s="282"/>
      <c r="U290" s="282"/>
      <c r="V290" s="298"/>
      <c r="W290" s="298"/>
      <c r="X290" s="298"/>
      <c r="Y290" s="298"/>
      <c r="Z290" s="298"/>
      <c r="AA290" s="298"/>
      <c r="AB290" s="298"/>
      <c r="AC290" s="298"/>
      <c r="AD290" s="298"/>
      <c r="AE290" s="298"/>
      <c r="AF290" s="298"/>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row>
    <row r="291">
      <c r="A291" s="304"/>
      <c r="B291" s="282"/>
      <c r="C291" s="282"/>
      <c r="D291" s="282"/>
      <c r="E291" s="282"/>
      <c r="F291" s="282"/>
      <c r="G291" s="282"/>
      <c r="H291" s="282"/>
      <c r="I291" s="282"/>
      <c r="J291" s="282"/>
      <c r="K291" s="282"/>
      <c r="L291" s="282"/>
      <c r="M291" s="282"/>
      <c r="N291" s="282"/>
      <c r="O291" s="282"/>
      <c r="P291" s="282"/>
      <c r="Q291" s="282"/>
      <c r="R291" s="282"/>
      <c r="S291" s="282"/>
      <c r="T291" s="282"/>
      <c r="U291" s="282"/>
      <c r="V291" s="298"/>
      <c r="W291" s="298"/>
      <c r="X291" s="298"/>
      <c r="Y291" s="298"/>
      <c r="Z291" s="298"/>
      <c r="AA291" s="298"/>
      <c r="AB291" s="298"/>
      <c r="AC291" s="298"/>
      <c r="AD291" s="298"/>
      <c r="AE291" s="298"/>
      <c r="AF291" s="298"/>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row>
    <row r="292">
      <c r="A292" s="304"/>
      <c r="B292" s="282"/>
      <c r="C292" s="282"/>
      <c r="D292" s="282"/>
      <c r="E292" s="282"/>
      <c r="F292" s="282"/>
      <c r="G292" s="282"/>
      <c r="H292" s="282"/>
      <c r="I292" s="282"/>
      <c r="J292" s="282"/>
      <c r="K292" s="282"/>
      <c r="L292" s="282"/>
      <c r="M292" s="282"/>
      <c r="N292" s="282"/>
      <c r="O292" s="282"/>
      <c r="P292" s="282"/>
      <c r="Q292" s="282"/>
      <c r="R292" s="282"/>
      <c r="S292" s="282"/>
      <c r="T292" s="282"/>
      <c r="U292" s="282"/>
      <c r="V292" s="298"/>
      <c r="W292" s="298"/>
      <c r="X292" s="298"/>
      <c r="Y292" s="298"/>
      <c r="Z292" s="298"/>
      <c r="AA292" s="298"/>
      <c r="AB292" s="298"/>
      <c r="AC292" s="298"/>
      <c r="AD292" s="298"/>
      <c r="AE292" s="298"/>
      <c r="AF292" s="298"/>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row>
    <row r="293">
      <c r="A293" s="304"/>
      <c r="B293" s="282"/>
      <c r="C293" s="282"/>
      <c r="D293" s="282"/>
      <c r="E293" s="282"/>
      <c r="F293" s="282"/>
      <c r="G293" s="282"/>
      <c r="H293" s="282"/>
      <c r="I293" s="282"/>
      <c r="J293" s="282"/>
      <c r="K293" s="282"/>
      <c r="L293" s="282"/>
      <c r="M293" s="282"/>
      <c r="N293" s="282"/>
      <c r="O293" s="282"/>
      <c r="P293" s="282"/>
      <c r="Q293" s="282"/>
      <c r="R293" s="282"/>
      <c r="S293" s="282"/>
      <c r="T293" s="282"/>
      <c r="U293" s="282"/>
      <c r="V293" s="298"/>
      <c r="W293" s="298"/>
      <c r="X293" s="298"/>
      <c r="Y293" s="298"/>
      <c r="Z293" s="298"/>
      <c r="AA293" s="298"/>
      <c r="AB293" s="298"/>
      <c r="AC293" s="298"/>
      <c r="AD293" s="298"/>
      <c r="AE293" s="298"/>
      <c r="AF293" s="298"/>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row>
    <row r="294">
      <c r="A294" s="304"/>
      <c r="B294" s="282"/>
      <c r="C294" s="282"/>
      <c r="D294" s="282"/>
      <c r="E294" s="282"/>
      <c r="F294" s="282"/>
      <c r="G294" s="282"/>
      <c r="H294" s="282"/>
      <c r="I294" s="282"/>
      <c r="J294" s="282"/>
      <c r="K294" s="282"/>
      <c r="L294" s="282"/>
      <c r="M294" s="282"/>
      <c r="N294" s="282"/>
      <c r="O294" s="282"/>
      <c r="P294" s="282"/>
      <c r="Q294" s="282"/>
      <c r="R294" s="282"/>
      <c r="S294" s="282"/>
      <c r="T294" s="282"/>
      <c r="U294" s="282"/>
      <c r="V294" s="298"/>
      <c r="W294" s="298"/>
      <c r="X294" s="298"/>
      <c r="Y294" s="298"/>
      <c r="Z294" s="298"/>
      <c r="AA294" s="298"/>
      <c r="AB294" s="298"/>
      <c r="AC294" s="298"/>
      <c r="AD294" s="298"/>
      <c r="AE294" s="298"/>
      <c r="AF294" s="298"/>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row>
    <row r="295">
      <c r="A295" s="304"/>
      <c r="B295" s="282"/>
      <c r="C295" s="282"/>
      <c r="D295" s="282"/>
      <c r="E295" s="282"/>
      <c r="F295" s="282"/>
      <c r="G295" s="282"/>
      <c r="H295" s="282"/>
      <c r="I295" s="282"/>
      <c r="J295" s="282"/>
      <c r="K295" s="282"/>
      <c r="L295" s="282"/>
      <c r="M295" s="282"/>
      <c r="N295" s="282"/>
      <c r="O295" s="282"/>
      <c r="P295" s="282"/>
      <c r="Q295" s="282"/>
      <c r="R295" s="282"/>
      <c r="S295" s="282"/>
      <c r="T295" s="282"/>
      <c r="U295" s="282"/>
      <c r="V295" s="298"/>
      <c r="W295" s="298"/>
      <c r="X295" s="298"/>
      <c r="Y295" s="298"/>
      <c r="Z295" s="298"/>
      <c r="AA295" s="298"/>
      <c r="AB295" s="298"/>
      <c r="AC295" s="298"/>
      <c r="AD295" s="298"/>
      <c r="AE295" s="298"/>
      <c r="AF295" s="298"/>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row>
    <row r="296">
      <c r="A296" s="304"/>
      <c r="B296" s="282"/>
      <c r="C296" s="282"/>
      <c r="D296" s="282"/>
      <c r="E296" s="282"/>
      <c r="F296" s="282"/>
      <c r="G296" s="282"/>
      <c r="H296" s="282"/>
      <c r="I296" s="282"/>
      <c r="J296" s="282"/>
      <c r="K296" s="282"/>
      <c r="L296" s="282"/>
      <c r="M296" s="282"/>
      <c r="N296" s="282"/>
      <c r="O296" s="282"/>
      <c r="P296" s="282"/>
      <c r="Q296" s="282"/>
      <c r="R296" s="282"/>
      <c r="S296" s="282"/>
      <c r="T296" s="282"/>
      <c r="U296" s="282"/>
      <c r="V296" s="298"/>
      <c r="W296" s="298"/>
      <c r="X296" s="298"/>
      <c r="Y296" s="298"/>
      <c r="Z296" s="298"/>
      <c r="AA296" s="298"/>
      <c r="AB296" s="298"/>
      <c r="AC296" s="298"/>
      <c r="AD296" s="298"/>
      <c r="AE296" s="298"/>
      <c r="AF296" s="298"/>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row>
    <row r="297">
      <c r="A297" s="304"/>
      <c r="B297" s="282"/>
      <c r="C297" s="282"/>
      <c r="D297" s="282"/>
      <c r="E297" s="282"/>
      <c r="F297" s="282"/>
      <c r="G297" s="282"/>
      <c r="H297" s="282"/>
      <c r="I297" s="282"/>
      <c r="J297" s="282"/>
      <c r="K297" s="282"/>
      <c r="L297" s="282"/>
      <c r="M297" s="282"/>
      <c r="N297" s="282"/>
      <c r="O297" s="282"/>
      <c r="P297" s="282"/>
      <c r="Q297" s="282"/>
      <c r="R297" s="282"/>
      <c r="S297" s="282"/>
      <c r="T297" s="282"/>
      <c r="U297" s="282"/>
      <c r="V297" s="298"/>
      <c r="W297" s="298"/>
      <c r="X297" s="298"/>
      <c r="Y297" s="298"/>
      <c r="Z297" s="298"/>
      <c r="AA297" s="298"/>
      <c r="AB297" s="298"/>
      <c r="AC297" s="298"/>
      <c r="AD297" s="298"/>
      <c r="AE297" s="298"/>
      <c r="AF297" s="298"/>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row>
    <row r="298">
      <c r="A298" s="304"/>
      <c r="B298" s="282"/>
      <c r="C298" s="282"/>
      <c r="D298" s="282"/>
      <c r="E298" s="282"/>
      <c r="F298" s="282"/>
      <c r="G298" s="282"/>
      <c r="H298" s="282"/>
      <c r="I298" s="282"/>
      <c r="J298" s="282"/>
      <c r="K298" s="282"/>
      <c r="L298" s="282"/>
      <c r="M298" s="282"/>
      <c r="N298" s="282"/>
      <c r="O298" s="282"/>
      <c r="P298" s="282"/>
      <c r="Q298" s="282"/>
      <c r="R298" s="282"/>
      <c r="S298" s="282"/>
      <c r="T298" s="282"/>
      <c r="U298" s="282"/>
      <c r="V298" s="298"/>
      <c r="W298" s="298"/>
      <c r="X298" s="298"/>
      <c r="Y298" s="298"/>
      <c r="Z298" s="298"/>
      <c r="AA298" s="298"/>
      <c r="AB298" s="298"/>
      <c r="AC298" s="298"/>
      <c r="AD298" s="298"/>
      <c r="AE298" s="298"/>
      <c r="AF298" s="298"/>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row>
    <row r="299">
      <c r="A299" s="304"/>
      <c r="B299" s="282"/>
      <c r="C299" s="282"/>
      <c r="D299" s="282"/>
      <c r="E299" s="282"/>
      <c r="F299" s="282"/>
      <c r="G299" s="282"/>
      <c r="H299" s="282"/>
      <c r="I299" s="282"/>
      <c r="J299" s="282"/>
      <c r="K299" s="282"/>
      <c r="L299" s="282"/>
      <c r="M299" s="282"/>
      <c r="N299" s="282"/>
      <c r="O299" s="282"/>
      <c r="P299" s="282"/>
      <c r="Q299" s="282"/>
      <c r="R299" s="282"/>
      <c r="S299" s="282"/>
      <c r="T299" s="282"/>
      <c r="U299" s="282"/>
      <c r="V299" s="298"/>
      <c r="W299" s="298"/>
      <c r="X299" s="298"/>
      <c r="Y299" s="298"/>
      <c r="Z299" s="298"/>
      <c r="AA299" s="298"/>
      <c r="AB299" s="298"/>
      <c r="AC299" s="298"/>
      <c r="AD299" s="298"/>
      <c r="AE299" s="298"/>
      <c r="AF299" s="298"/>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row>
    <row r="300">
      <c r="A300" s="304"/>
      <c r="B300" s="282"/>
      <c r="C300" s="282"/>
      <c r="D300" s="282"/>
      <c r="E300" s="282"/>
      <c r="F300" s="282"/>
      <c r="G300" s="282"/>
      <c r="H300" s="282"/>
      <c r="I300" s="282"/>
      <c r="J300" s="282"/>
      <c r="K300" s="282"/>
      <c r="L300" s="282"/>
      <c r="M300" s="282"/>
      <c r="N300" s="282"/>
      <c r="O300" s="282"/>
      <c r="P300" s="282"/>
      <c r="Q300" s="282"/>
      <c r="R300" s="282"/>
      <c r="S300" s="282"/>
      <c r="T300" s="282"/>
      <c r="U300" s="282"/>
      <c r="V300" s="298"/>
      <c r="W300" s="298"/>
      <c r="X300" s="298"/>
      <c r="Y300" s="298"/>
      <c r="Z300" s="298"/>
      <c r="AA300" s="298"/>
      <c r="AB300" s="298"/>
      <c r="AC300" s="298"/>
      <c r="AD300" s="298"/>
      <c r="AE300" s="298"/>
      <c r="AF300" s="298"/>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row>
    <row r="301">
      <c r="A301" s="304"/>
      <c r="B301" s="282"/>
      <c r="C301" s="282"/>
      <c r="D301" s="282"/>
      <c r="E301" s="282"/>
      <c r="F301" s="282"/>
      <c r="G301" s="282"/>
      <c r="H301" s="282"/>
      <c r="I301" s="282"/>
      <c r="J301" s="282"/>
      <c r="K301" s="282"/>
      <c r="L301" s="282"/>
      <c r="M301" s="282"/>
      <c r="N301" s="282"/>
      <c r="O301" s="282"/>
      <c r="P301" s="282"/>
      <c r="Q301" s="282"/>
      <c r="R301" s="282"/>
      <c r="S301" s="282"/>
      <c r="T301" s="282"/>
      <c r="U301" s="282"/>
      <c r="V301" s="298"/>
      <c r="W301" s="298"/>
      <c r="X301" s="298"/>
      <c r="Y301" s="298"/>
      <c r="Z301" s="298"/>
      <c r="AA301" s="298"/>
      <c r="AB301" s="298"/>
      <c r="AC301" s="298"/>
      <c r="AD301" s="298"/>
      <c r="AE301" s="298"/>
      <c r="AF301" s="298"/>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row>
    <row r="302">
      <c r="A302" s="304"/>
      <c r="B302" s="282"/>
      <c r="C302" s="282"/>
      <c r="D302" s="282"/>
      <c r="E302" s="282"/>
      <c r="F302" s="282"/>
      <c r="G302" s="282"/>
      <c r="H302" s="282"/>
      <c r="I302" s="282"/>
      <c r="J302" s="282"/>
      <c r="K302" s="282"/>
      <c r="L302" s="282"/>
      <c r="M302" s="282"/>
      <c r="N302" s="282"/>
      <c r="O302" s="282"/>
      <c r="P302" s="282"/>
      <c r="Q302" s="282"/>
      <c r="R302" s="282"/>
      <c r="S302" s="282"/>
      <c r="T302" s="282"/>
      <c r="U302" s="282"/>
      <c r="V302" s="298"/>
      <c r="W302" s="298"/>
      <c r="X302" s="298"/>
      <c r="Y302" s="298"/>
      <c r="Z302" s="298"/>
      <c r="AA302" s="298"/>
      <c r="AB302" s="298"/>
      <c r="AC302" s="298"/>
      <c r="AD302" s="298"/>
      <c r="AE302" s="298"/>
      <c r="AF302" s="298"/>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row>
    <row r="303">
      <c r="A303" s="304"/>
      <c r="B303" s="282"/>
      <c r="C303" s="282"/>
      <c r="D303" s="282"/>
      <c r="E303" s="282"/>
      <c r="F303" s="282"/>
      <c r="G303" s="282"/>
      <c r="H303" s="282"/>
      <c r="I303" s="282"/>
      <c r="J303" s="282"/>
      <c r="K303" s="282"/>
      <c r="L303" s="282"/>
      <c r="M303" s="282"/>
      <c r="N303" s="282"/>
      <c r="O303" s="282"/>
      <c r="P303" s="282"/>
      <c r="Q303" s="282"/>
      <c r="R303" s="282"/>
      <c r="S303" s="282"/>
      <c r="T303" s="282"/>
      <c r="U303" s="282"/>
      <c r="V303" s="298"/>
      <c r="W303" s="298"/>
      <c r="X303" s="298"/>
      <c r="Y303" s="298"/>
      <c r="Z303" s="298"/>
      <c r="AA303" s="298"/>
      <c r="AB303" s="298"/>
      <c r="AC303" s="298"/>
      <c r="AD303" s="298"/>
      <c r="AE303" s="298"/>
      <c r="AF303" s="298"/>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row>
    <row r="304">
      <c r="A304" s="304"/>
      <c r="B304" s="282"/>
      <c r="C304" s="282"/>
      <c r="D304" s="282"/>
      <c r="E304" s="282"/>
      <c r="F304" s="282"/>
      <c r="G304" s="282"/>
      <c r="H304" s="282"/>
      <c r="I304" s="282"/>
      <c r="J304" s="282"/>
      <c r="K304" s="282"/>
      <c r="L304" s="282"/>
      <c r="M304" s="282"/>
      <c r="N304" s="282"/>
      <c r="O304" s="282"/>
      <c r="P304" s="282"/>
      <c r="Q304" s="282"/>
      <c r="R304" s="282"/>
      <c r="S304" s="282"/>
      <c r="T304" s="282"/>
      <c r="U304" s="282"/>
      <c r="V304" s="298"/>
      <c r="W304" s="298"/>
      <c r="X304" s="298"/>
      <c r="Y304" s="298"/>
      <c r="Z304" s="298"/>
      <c r="AA304" s="298"/>
      <c r="AB304" s="298"/>
      <c r="AC304" s="298"/>
      <c r="AD304" s="298"/>
      <c r="AE304" s="298"/>
      <c r="AF304" s="298"/>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row>
    <row r="305">
      <c r="A305" s="304"/>
      <c r="B305" s="282"/>
      <c r="C305" s="282"/>
      <c r="D305" s="282"/>
      <c r="E305" s="282"/>
      <c r="F305" s="282"/>
      <c r="G305" s="282"/>
      <c r="H305" s="282"/>
      <c r="I305" s="282"/>
      <c r="J305" s="282"/>
      <c r="K305" s="282"/>
      <c r="L305" s="282"/>
      <c r="M305" s="282"/>
      <c r="N305" s="282"/>
      <c r="O305" s="282"/>
      <c r="P305" s="282"/>
      <c r="Q305" s="282"/>
      <c r="R305" s="282"/>
      <c r="S305" s="282"/>
      <c r="T305" s="282"/>
      <c r="U305" s="282"/>
      <c r="V305" s="298"/>
      <c r="W305" s="298"/>
      <c r="X305" s="298"/>
      <c r="Y305" s="298"/>
      <c r="Z305" s="298"/>
      <c r="AA305" s="298"/>
      <c r="AB305" s="298"/>
      <c r="AC305" s="298"/>
      <c r="AD305" s="298"/>
      <c r="AE305" s="298"/>
      <c r="AF305" s="298"/>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row>
    <row r="306">
      <c r="A306" s="304"/>
      <c r="B306" s="282"/>
      <c r="C306" s="282"/>
      <c r="D306" s="282"/>
      <c r="E306" s="282"/>
      <c r="F306" s="282"/>
      <c r="G306" s="282"/>
      <c r="H306" s="282"/>
      <c r="I306" s="282"/>
      <c r="J306" s="282"/>
      <c r="K306" s="282"/>
      <c r="L306" s="282"/>
      <c r="M306" s="282"/>
      <c r="N306" s="282"/>
      <c r="O306" s="282"/>
      <c r="P306" s="282"/>
      <c r="Q306" s="282"/>
      <c r="R306" s="282"/>
      <c r="S306" s="282"/>
      <c r="T306" s="282"/>
      <c r="U306" s="282"/>
      <c r="V306" s="298"/>
      <c r="W306" s="298"/>
      <c r="X306" s="298"/>
      <c r="Y306" s="298"/>
      <c r="Z306" s="298"/>
      <c r="AA306" s="298"/>
      <c r="AB306" s="298"/>
      <c r="AC306" s="298"/>
      <c r="AD306" s="298"/>
      <c r="AE306" s="298"/>
      <c r="AF306" s="298"/>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row>
    <row r="307">
      <c r="A307" s="304"/>
      <c r="B307" s="282"/>
      <c r="C307" s="282"/>
      <c r="D307" s="282"/>
      <c r="E307" s="282"/>
      <c r="F307" s="282"/>
      <c r="G307" s="282"/>
      <c r="H307" s="282"/>
      <c r="I307" s="282"/>
      <c r="J307" s="282"/>
      <c r="K307" s="282"/>
      <c r="L307" s="282"/>
      <c r="M307" s="282"/>
      <c r="N307" s="282"/>
      <c r="O307" s="282"/>
      <c r="P307" s="282"/>
      <c r="Q307" s="282"/>
      <c r="R307" s="282"/>
      <c r="S307" s="282"/>
      <c r="T307" s="282"/>
      <c r="U307" s="282"/>
      <c r="V307" s="298"/>
      <c r="W307" s="298"/>
      <c r="X307" s="298"/>
      <c r="Y307" s="298"/>
      <c r="Z307" s="298"/>
      <c r="AA307" s="298"/>
      <c r="AB307" s="298"/>
      <c r="AC307" s="298"/>
      <c r="AD307" s="298"/>
      <c r="AE307" s="298"/>
      <c r="AF307" s="298"/>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row>
    <row r="308">
      <c r="A308" s="304"/>
      <c r="B308" s="282"/>
      <c r="C308" s="282"/>
      <c r="D308" s="282"/>
      <c r="E308" s="282"/>
      <c r="F308" s="282"/>
      <c r="G308" s="282"/>
      <c r="H308" s="282"/>
      <c r="I308" s="282"/>
      <c r="J308" s="282"/>
      <c r="K308" s="282"/>
      <c r="L308" s="282"/>
      <c r="M308" s="282"/>
      <c r="N308" s="282"/>
      <c r="O308" s="282"/>
      <c r="P308" s="282"/>
      <c r="Q308" s="282"/>
      <c r="R308" s="282"/>
      <c r="S308" s="282"/>
      <c r="T308" s="282"/>
      <c r="U308" s="282"/>
      <c r="V308" s="298"/>
      <c r="W308" s="298"/>
      <c r="X308" s="298"/>
      <c r="Y308" s="298"/>
      <c r="Z308" s="298"/>
      <c r="AA308" s="298"/>
      <c r="AB308" s="298"/>
      <c r="AC308" s="298"/>
      <c r="AD308" s="298"/>
      <c r="AE308" s="298"/>
      <c r="AF308" s="298"/>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row>
    <row r="309">
      <c r="A309" s="304"/>
      <c r="B309" s="282"/>
      <c r="C309" s="282"/>
      <c r="D309" s="282"/>
      <c r="E309" s="282"/>
      <c r="F309" s="282"/>
      <c r="G309" s="282"/>
      <c r="H309" s="282"/>
      <c r="I309" s="282"/>
      <c r="J309" s="282"/>
      <c r="K309" s="282"/>
      <c r="L309" s="282"/>
      <c r="M309" s="282"/>
      <c r="N309" s="282"/>
      <c r="O309" s="282"/>
      <c r="P309" s="282"/>
      <c r="Q309" s="282"/>
      <c r="R309" s="282"/>
      <c r="S309" s="282"/>
      <c r="T309" s="282"/>
      <c r="U309" s="282"/>
      <c r="V309" s="298"/>
      <c r="W309" s="298"/>
      <c r="X309" s="298"/>
      <c r="Y309" s="298"/>
      <c r="Z309" s="298"/>
      <c r="AA309" s="298"/>
      <c r="AB309" s="298"/>
      <c r="AC309" s="298"/>
      <c r="AD309" s="298"/>
      <c r="AE309" s="298"/>
      <c r="AF309" s="298"/>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row>
    <row r="310">
      <c r="A310" s="304"/>
      <c r="B310" s="282"/>
      <c r="C310" s="282"/>
      <c r="D310" s="282"/>
      <c r="E310" s="282"/>
      <c r="F310" s="282"/>
      <c r="G310" s="282"/>
      <c r="H310" s="282"/>
      <c r="I310" s="282"/>
      <c r="J310" s="282"/>
      <c r="K310" s="282"/>
      <c r="L310" s="282"/>
      <c r="M310" s="282"/>
      <c r="N310" s="282"/>
      <c r="O310" s="282"/>
      <c r="P310" s="282"/>
      <c r="Q310" s="282"/>
      <c r="R310" s="282"/>
      <c r="S310" s="282"/>
      <c r="T310" s="282"/>
      <c r="U310" s="282"/>
      <c r="V310" s="298"/>
      <c r="W310" s="298"/>
      <c r="X310" s="298"/>
      <c r="Y310" s="298"/>
      <c r="Z310" s="298"/>
      <c r="AA310" s="298"/>
      <c r="AB310" s="298"/>
      <c r="AC310" s="298"/>
      <c r="AD310" s="298"/>
      <c r="AE310" s="298"/>
      <c r="AF310" s="298"/>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row>
    <row r="311">
      <c r="A311" s="304"/>
      <c r="B311" s="282"/>
      <c r="C311" s="282"/>
      <c r="D311" s="282"/>
      <c r="E311" s="282"/>
      <c r="F311" s="282"/>
      <c r="G311" s="282"/>
      <c r="H311" s="282"/>
      <c r="I311" s="282"/>
      <c r="J311" s="282"/>
      <c r="K311" s="282"/>
      <c r="L311" s="282"/>
      <c r="M311" s="282"/>
      <c r="N311" s="282"/>
      <c r="O311" s="282"/>
      <c r="P311" s="282"/>
      <c r="Q311" s="282"/>
      <c r="R311" s="282"/>
      <c r="S311" s="282"/>
      <c r="T311" s="282"/>
      <c r="U311" s="282"/>
      <c r="V311" s="298"/>
      <c r="W311" s="298"/>
      <c r="X311" s="298"/>
      <c r="Y311" s="298"/>
      <c r="Z311" s="298"/>
      <c r="AA311" s="298"/>
      <c r="AB311" s="298"/>
      <c r="AC311" s="298"/>
      <c r="AD311" s="298"/>
      <c r="AE311" s="298"/>
      <c r="AF311" s="298"/>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row>
    <row r="312">
      <c r="A312" s="304"/>
      <c r="B312" s="282"/>
      <c r="C312" s="282"/>
      <c r="D312" s="282"/>
      <c r="E312" s="282"/>
      <c r="F312" s="282"/>
      <c r="G312" s="282"/>
      <c r="H312" s="282"/>
      <c r="I312" s="282"/>
      <c r="J312" s="282"/>
      <c r="K312" s="282"/>
      <c r="L312" s="282"/>
      <c r="M312" s="282"/>
      <c r="N312" s="282"/>
      <c r="O312" s="282"/>
      <c r="P312" s="282"/>
      <c r="Q312" s="282"/>
      <c r="R312" s="282"/>
      <c r="S312" s="282"/>
      <c r="T312" s="282"/>
      <c r="U312" s="282"/>
      <c r="V312" s="298"/>
      <c r="W312" s="298"/>
      <c r="X312" s="298"/>
      <c r="Y312" s="298"/>
      <c r="Z312" s="298"/>
      <c r="AA312" s="298"/>
      <c r="AB312" s="298"/>
      <c r="AC312" s="298"/>
      <c r="AD312" s="298"/>
      <c r="AE312" s="298"/>
      <c r="AF312" s="298"/>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row>
    <row r="313">
      <c r="A313" s="304"/>
      <c r="B313" s="282"/>
      <c r="C313" s="282"/>
      <c r="D313" s="282"/>
      <c r="E313" s="282"/>
      <c r="F313" s="282"/>
      <c r="G313" s="282"/>
      <c r="H313" s="282"/>
      <c r="I313" s="282"/>
      <c r="J313" s="282"/>
      <c r="K313" s="282"/>
      <c r="L313" s="282"/>
      <c r="M313" s="282"/>
      <c r="N313" s="282"/>
      <c r="O313" s="282"/>
      <c r="P313" s="282"/>
      <c r="Q313" s="282"/>
      <c r="R313" s="282"/>
      <c r="S313" s="282"/>
      <c r="T313" s="282"/>
      <c r="U313" s="282"/>
      <c r="V313" s="298"/>
      <c r="W313" s="298"/>
      <c r="X313" s="298"/>
      <c r="Y313" s="298"/>
      <c r="Z313" s="298"/>
      <c r="AA313" s="298"/>
      <c r="AB313" s="298"/>
      <c r="AC313" s="298"/>
      <c r="AD313" s="298"/>
      <c r="AE313" s="298"/>
      <c r="AF313" s="298"/>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row>
    <row r="314">
      <c r="A314" s="304"/>
      <c r="B314" s="282"/>
      <c r="C314" s="282"/>
      <c r="D314" s="282"/>
      <c r="E314" s="282"/>
      <c r="F314" s="282"/>
      <c r="G314" s="282"/>
      <c r="H314" s="282"/>
      <c r="I314" s="282"/>
      <c r="J314" s="282"/>
      <c r="K314" s="282"/>
      <c r="L314" s="282"/>
      <c r="M314" s="282"/>
      <c r="N314" s="282"/>
      <c r="O314" s="282"/>
      <c r="P314" s="282"/>
      <c r="Q314" s="282"/>
      <c r="R314" s="282"/>
      <c r="S314" s="282"/>
      <c r="T314" s="282"/>
      <c r="U314" s="282"/>
      <c r="V314" s="298"/>
      <c r="W314" s="298"/>
      <c r="X314" s="298"/>
      <c r="Y314" s="298"/>
      <c r="Z314" s="298"/>
      <c r="AA314" s="298"/>
      <c r="AB314" s="298"/>
      <c r="AC314" s="298"/>
      <c r="AD314" s="298"/>
      <c r="AE314" s="298"/>
      <c r="AF314" s="298"/>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row>
    <row r="315">
      <c r="A315" s="304"/>
      <c r="B315" s="282"/>
      <c r="C315" s="282"/>
      <c r="D315" s="282"/>
      <c r="E315" s="282"/>
      <c r="F315" s="282"/>
      <c r="G315" s="282"/>
      <c r="H315" s="282"/>
      <c r="I315" s="282"/>
      <c r="J315" s="282"/>
      <c r="K315" s="282"/>
      <c r="L315" s="282"/>
      <c r="M315" s="282"/>
      <c r="N315" s="282"/>
      <c r="O315" s="282"/>
      <c r="P315" s="282"/>
      <c r="Q315" s="282"/>
      <c r="R315" s="282"/>
      <c r="S315" s="282"/>
      <c r="T315" s="282"/>
      <c r="U315" s="282"/>
      <c r="V315" s="298"/>
      <c r="W315" s="298"/>
      <c r="X315" s="298"/>
      <c r="Y315" s="298"/>
      <c r="Z315" s="298"/>
      <c r="AA315" s="298"/>
      <c r="AB315" s="298"/>
      <c r="AC315" s="298"/>
      <c r="AD315" s="298"/>
      <c r="AE315" s="298"/>
      <c r="AF315" s="298"/>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row>
    <row r="316">
      <c r="A316" s="304"/>
      <c r="B316" s="282"/>
      <c r="C316" s="282"/>
      <c r="D316" s="282"/>
      <c r="E316" s="282"/>
      <c r="F316" s="282"/>
      <c r="G316" s="282"/>
      <c r="H316" s="282"/>
      <c r="I316" s="282"/>
      <c r="J316" s="282"/>
      <c r="K316" s="282"/>
      <c r="L316" s="282"/>
      <c r="M316" s="282"/>
      <c r="N316" s="282"/>
      <c r="O316" s="282"/>
      <c r="P316" s="282"/>
      <c r="Q316" s="282"/>
      <c r="R316" s="282"/>
      <c r="S316" s="282"/>
      <c r="T316" s="282"/>
      <c r="U316" s="282"/>
      <c r="V316" s="298"/>
      <c r="W316" s="298"/>
      <c r="X316" s="298"/>
      <c r="Y316" s="298"/>
      <c r="Z316" s="298"/>
      <c r="AA316" s="298"/>
      <c r="AB316" s="298"/>
      <c r="AC316" s="298"/>
      <c r="AD316" s="298"/>
      <c r="AE316" s="298"/>
      <c r="AF316" s="298"/>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row>
    <row r="317">
      <c r="A317" s="304"/>
      <c r="B317" s="282"/>
      <c r="C317" s="282"/>
      <c r="D317" s="282"/>
      <c r="E317" s="282"/>
      <c r="F317" s="282"/>
      <c r="G317" s="282"/>
      <c r="H317" s="282"/>
      <c r="I317" s="282"/>
      <c r="J317" s="282"/>
      <c r="K317" s="282"/>
      <c r="L317" s="282"/>
      <c r="M317" s="282"/>
      <c r="N317" s="282"/>
      <c r="O317" s="282"/>
      <c r="P317" s="282"/>
      <c r="Q317" s="282"/>
      <c r="R317" s="282"/>
      <c r="S317" s="282"/>
      <c r="T317" s="282"/>
      <c r="U317" s="282"/>
      <c r="V317" s="298"/>
      <c r="W317" s="298"/>
      <c r="X317" s="298"/>
      <c r="Y317" s="298"/>
      <c r="Z317" s="298"/>
      <c r="AA317" s="298"/>
      <c r="AB317" s="298"/>
      <c r="AC317" s="298"/>
      <c r="AD317" s="298"/>
      <c r="AE317" s="298"/>
      <c r="AF317" s="298"/>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row>
    <row r="318">
      <c r="A318" s="304"/>
      <c r="B318" s="282"/>
      <c r="C318" s="282"/>
      <c r="D318" s="282"/>
      <c r="E318" s="282"/>
      <c r="F318" s="282"/>
      <c r="G318" s="282"/>
      <c r="H318" s="282"/>
      <c r="I318" s="282"/>
      <c r="J318" s="282"/>
      <c r="K318" s="282"/>
      <c r="L318" s="282"/>
      <c r="M318" s="282"/>
      <c r="N318" s="282"/>
      <c r="O318" s="282"/>
      <c r="P318" s="282"/>
      <c r="Q318" s="282"/>
      <c r="R318" s="282"/>
      <c r="S318" s="282"/>
      <c r="T318" s="282"/>
      <c r="U318" s="282"/>
      <c r="V318" s="298"/>
      <c r="W318" s="298"/>
      <c r="X318" s="298"/>
      <c r="Y318" s="298"/>
      <c r="Z318" s="298"/>
      <c r="AA318" s="298"/>
      <c r="AB318" s="298"/>
      <c r="AC318" s="298"/>
      <c r="AD318" s="298"/>
      <c r="AE318" s="298"/>
      <c r="AF318" s="298"/>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row>
    <row r="319">
      <c r="A319" s="304"/>
      <c r="B319" s="282"/>
      <c r="C319" s="282"/>
      <c r="D319" s="282"/>
      <c r="E319" s="282"/>
      <c r="F319" s="282"/>
      <c r="G319" s="282"/>
      <c r="H319" s="282"/>
      <c r="I319" s="282"/>
      <c r="J319" s="282"/>
      <c r="K319" s="282"/>
      <c r="L319" s="282"/>
      <c r="M319" s="282"/>
      <c r="N319" s="282"/>
      <c r="O319" s="282"/>
      <c r="P319" s="282"/>
      <c r="Q319" s="282"/>
      <c r="R319" s="282"/>
      <c r="S319" s="282"/>
      <c r="T319" s="282"/>
      <c r="U319" s="282"/>
      <c r="V319" s="298"/>
      <c r="W319" s="298"/>
      <c r="X319" s="298"/>
      <c r="Y319" s="298"/>
      <c r="Z319" s="298"/>
      <c r="AA319" s="298"/>
      <c r="AB319" s="298"/>
      <c r="AC319" s="298"/>
      <c r="AD319" s="298"/>
      <c r="AE319" s="298"/>
      <c r="AF319" s="298"/>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row>
    <row r="320">
      <c r="A320" s="304"/>
      <c r="B320" s="282"/>
      <c r="C320" s="282"/>
      <c r="D320" s="282"/>
      <c r="E320" s="282"/>
      <c r="F320" s="282"/>
      <c r="G320" s="282"/>
      <c r="H320" s="282"/>
      <c r="I320" s="282"/>
      <c r="J320" s="282"/>
      <c r="K320" s="282"/>
      <c r="L320" s="282"/>
      <c r="M320" s="282"/>
      <c r="N320" s="282"/>
      <c r="O320" s="282"/>
      <c r="P320" s="282"/>
      <c r="Q320" s="282"/>
      <c r="R320" s="282"/>
      <c r="S320" s="282"/>
      <c r="T320" s="282"/>
      <c r="U320" s="282"/>
      <c r="V320" s="298"/>
      <c r="W320" s="298"/>
      <c r="X320" s="298"/>
      <c r="Y320" s="298"/>
      <c r="Z320" s="298"/>
      <c r="AA320" s="298"/>
      <c r="AB320" s="298"/>
      <c r="AC320" s="298"/>
      <c r="AD320" s="298"/>
      <c r="AE320" s="298"/>
      <c r="AF320" s="298"/>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row>
    <row r="321">
      <c r="A321" s="304"/>
      <c r="B321" s="282"/>
      <c r="C321" s="282"/>
      <c r="D321" s="282"/>
      <c r="E321" s="282"/>
      <c r="F321" s="282"/>
      <c r="G321" s="282"/>
      <c r="H321" s="282"/>
      <c r="I321" s="282"/>
      <c r="J321" s="282"/>
      <c r="K321" s="282"/>
      <c r="L321" s="282"/>
      <c r="M321" s="282"/>
      <c r="N321" s="282"/>
      <c r="O321" s="282"/>
      <c r="P321" s="282"/>
      <c r="Q321" s="282"/>
      <c r="R321" s="282"/>
      <c r="S321" s="282"/>
      <c r="T321" s="282"/>
      <c r="U321" s="282"/>
      <c r="V321" s="298"/>
      <c r="W321" s="298"/>
      <c r="X321" s="298"/>
      <c r="Y321" s="298"/>
      <c r="Z321" s="298"/>
      <c r="AA321" s="298"/>
      <c r="AB321" s="298"/>
      <c r="AC321" s="298"/>
      <c r="AD321" s="298"/>
      <c r="AE321" s="298"/>
      <c r="AF321" s="298"/>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row>
    <row r="322">
      <c r="A322" s="304"/>
      <c r="B322" s="282"/>
      <c r="C322" s="282"/>
      <c r="D322" s="282"/>
      <c r="E322" s="282"/>
      <c r="F322" s="282"/>
      <c r="G322" s="282"/>
      <c r="H322" s="282"/>
      <c r="I322" s="282"/>
      <c r="J322" s="282"/>
      <c r="K322" s="282"/>
      <c r="L322" s="282"/>
      <c r="M322" s="282"/>
      <c r="N322" s="282"/>
      <c r="O322" s="282"/>
      <c r="P322" s="282"/>
      <c r="Q322" s="282"/>
      <c r="R322" s="282"/>
      <c r="S322" s="282"/>
      <c r="T322" s="282"/>
      <c r="U322" s="282"/>
      <c r="V322" s="298"/>
      <c r="W322" s="298"/>
      <c r="X322" s="298"/>
      <c r="Y322" s="298"/>
      <c r="Z322" s="298"/>
      <c r="AA322" s="298"/>
      <c r="AB322" s="298"/>
      <c r="AC322" s="298"/>
      <c r="AD322" s="298"/>
      <c r="AE322" s="298"/>
      <c r="AF322" s="298"/>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row>
    <row r="323">
      <c r="A323" s="304"/>
      <c r="B323" s="282"/>
      <c r="C323" s="282"/>
      <c r="D323" s="282"/>
      <c r="E323" s="282"/>
      <c r="F323" s="282"/>
      <c r="G323" s="282"/>
      <c r="H323" s="282"/>
      <c r="I323" s="282"/>
      <c r="J323" s="282"/>
      <c r="K323" s="282"/>
      <c r="L323" s="282"/>
      <c r="M323" s="282"/>
      <c r="N323" s="282"/>
      <c r="O323" s="282"/>
      <c r="P323" s="282"/>
      <c r="Q323" s="282"/>
      <c r="R323" s="282"/>
      <c r="S323" s="282"/>
      <c r="T323" s="282"/>
      <c r="U323" s="282"/>
      <c r="V323" s="298"/>
      <c r="W323" s="298"/>
      <c r="X323" s="298"/>
      <c r="Y323" s="298"/>
      <c r="Z323" s="298"/>
      <c r="AA323" s="298"/>
      <c r="AB323" s="298"/>
      <c r="AC323" s="298"/>
      <c r="AD323" s="298"/>
      <c r="AE323" s="298"/>
      <c r="AF323" s="298"/>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row>
    <row r="324">
      <c r="A324" s="304"/>
      <c r="B324" s="282"/>
      <c r="C324" s="282"/>
      <c r="D324" s="282"/>
      <c r="E324" s="282"/>
      <c r="F324" s="282"/>
      <c r="G324" s="282"/>
      <c r="H324" s="282"/>
      <c r="I324" s="282"/>
      <c r="J324" s="282"/>
      <c r="K324" s="282"/>
      <c r="L324" s="282"/>
      <c r="M324" s="282"/>
      <c r="N324" s="282"/>
      <c r="O324" s="282"/>
      <c r="P324" s="282"/>
      <c r="Q324" s="282"/>
      <c r="R324" s="282"/>
      <c r="S324" s="282"/>
      <c r="T324" s="282"/>
      <c r="U324" s="282"/>
      <c r="V324" s="298"/>
      <c r="W324" s="298"/>
      <c r="X324" s="298"/>
      <c r="Y324" s="298"/>
      <c r="Z324" s="298"/>
      <c r="AA324" s="298"/>
      <c r="AB324" s="298"/>
      <c r="AC324" s="298"/>
      <c r="AD324" s="298"/>
      <c r="AE324" s="298"/>
      <c r="AF324" s="298"/>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row>
    <row r="325">
      <c r="A325" s="304"/>
      <c r="B325" s="282"/>
      <c r="C325" s="282"/>
      <c r="D325" s="282"/>
      <c r="E325" s="282"/>
      <c r="F325" s="282"/>
      <c r="G325" s="282"/>
      <c r="H325" s="282"/>
      <c r="I325" s="282"/>
      <c r="J325" s="282"/>
      <c r="K325" s="282"/>
      <c r="L325" s="282"/>
      <c r="M325" s="282"/>
      <c r="N325" s="282"/>
      <c r="O325" s="282"/>
      <c r="P325" s="282"/>
      <c r="Q325" s="282"/>
      <c r="R325" s="282"/>
      <c r="S325" s="282"/>
      <c r="T325" s="282"/>
      <c r="U325" s="282"/>
      <c r="V325" s="298"/>
      <c r="W325" s="298"/>
      <c r="X325" s="298"/>
      <c r="Y325" s="298"/>
      <c r="Z325" s="298"/>
      <c r="AA325" s="298"/>
      <c r="AB325" s="298"/>
      <c r="AC325" s="298"/>
      <c r="AD325" s="298"/>
      <c r="AE325" s="298"/>
      <c r="AF325" s="298"/>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row>
    <row r="326">
      <c r="A326" s="304"/>
      <c r="B326" s="282"/>
      <c r="C326" s="282"/>
      <c r="D326" s="282"/>
      <c r="E326" s="282"/>
      <c r="F326" s="282"/>
      <c r="G326" s="282"/>
      <c r="H326" s="282"/>
      <c r="I326" s="282"/>
      <c r="J326" s="282"/>
      <c r="K326" s="282"/>
      <c r="L326" s="282"/>
      <c r="M326" s="282"/>
      <c r="N326" s="282"/>
      <c r="O326" s="282"/>
      <c r="P326" s="282"/>
      <c r="Q326" s="282"/>
      <c r="R326" s="282"/>
      <c r="S326" s="282"/>
      <c r="T326" s="282"/>
      <c r="U326" s="282"/>
      <c r="V326" s="298"/>
      <c r="W326" s="298"/>
      <c r="X326" s="298"/>
      <c r="Y326" s="298"/>
      <c r="Z326" s="298"/>
      <c r="AA326" s="298"/>
      <c r="AB326" s="298"/>
      <c r="AC326" s="298"/>
      <c r="AD326" s="298"/>
      <c r="AE326" s="298"/>
      <c r="AF326" s="298"/>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row>
    <row r="327">
      <c r="A327" s="304"/>
      <c r="B327" s="282"/>
      <c r="C327" s="282"/>
      <c r="D327" s="282"/>
      <c r="E327" s="282"/>
      <c r="F327" s="282"/>
      <c r="G327" s="282"/>
      <c r="H327" s="282"/>
      <c r="I327" s="282"/>
      <c r="J327" s="282"/>
      <c r="K327" s="282"/>
      <c r="L327" s="282"/>
      <c r="M327" s="282"/>
      <c r="N327" s="282"/>
      <c r="O327" s="282"/>
      <c r="P327" s="282"/>
      <c r="Q327" s="282"/>
      <c r="R327" s="282"/>
      <c r="S327" s="282"/>
      <c r="T327" s="282"/>
      <c r="U327" s="282"/>
      <c r="V327" s="298"/>
      <c r="W327" s="298"/>
      <c r="X327" s="298"/>
      <c r="Y327" s="298"/>
      <c r="Z327" s="298"/>
      <c r="AA327" s="298"/>
      <c r="AB327" s="298"/>
      <c r="AC327" s="298"/>
      <c r="AD327" s="298"/>
      <c r="AE327" s="298"/>
      <c r="AF327" s="298"/>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row>
    <row r="328">
      <c r="A328" s="304"/>
      <c r="B328" s="282"/>
      <c r="C328" s="282"/>
      <c r="D328" s="282"/>
      <c r="E328" s="282"/>
      <c r="F328" s="282"/>
      <c r="G328" s="282"/>
      <c r="H328" s="282"/>
      <c r="I328" s="282"/>
      <c r="J328" s="282"/>
      <c r="K328" s="282"/>
      <c r="L328" s="282"/>
      <c r="M328" s="282"/>
      <c r="N328" s="282"/>
      <c r="O328" s="282"/>
      <c r="P328" s="282"/>
      <c r="Q328" s="282"/>
      <c r="R328" s="282"/>
      <c r="S328" s="282"/>
      <c r="T328" s="282"/>
      <c r="U328" s="282"/>
      <c r="V328" s="298"/>
      <c r="W328" s="298"/>
      <c r="X328" s="298"/>
      <c r="Y328" s="298"/>
      <c r="Z328" s="298"/>
      <c r="AA328" s="298"/>
      <c r="AB328" s="298"/>
      <c r="AC328" s="298"/>
      <c r="AD328" s="298"/>
      <c r="AE328" s="298"/>
      <c r="AF328" s="298"/>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row>
    <row r="329">
      <c r="A329" s="304"/>
      <c r="B329" s="282"/>
      <c r="C329" s="282"/>
      <c r="D329" s="282"/>
      <c r="E329" s="282"/>
      <c r="F329" s="282"/>
      <c r="G329" s="282"/>
      <c r="H329" s="282"/>
      <c r="I329" s="282"/>
      <c r="J329" s="282"/>
      <c r="K329" s="282"/>
      <c r="L329" s="282"/>
      <c r="M329" s="282"/>
      <c r="N329" s="282"/>
      <c r="O329" s="282"/>
      <c r="P329" s="282"/>
      <c r="Q329" s="282"/>
      <c r="R329" s="282"/>
      <c r="S329" s="282"/>
      <c r="T329" s="282"/>
      <c r="U329" s="282"/>
      <c r="V329" s="298"/>
      <c r="W329" s="298"/>
      <c r="X329" s="298"/>
      <c r="Y329" s="298"/>
      <c r="Z329" s="298"/>
      <c r="AA329" s="298"/>
      <c r="AB329" s="298"/>
      <c r="AC329" s="298"/>
      <c r="AD329" s="298"/>
      <c r="AE329" s="298"/>
      <c r="AF329" s="298"/>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row>
    <row r="330">
      <c r="A330" s="304"/>
      <c r="B330" s="282"/>
      <c r="C330" s="282"/>
      <c r="D330" s="282"/>
      <c r="E330" s="282"/>
      <c r="F330" s="282"/>
      <c r="G330" s="282"/>
      <c r="H330" s="282"/>
      <c r="I330" s="282"/>
      <c r="J330" s="282"/>
      <c r="K330" s="282"/>
      <c r="L330" s="282"/>
      <c r="M330" s="282"/>
      <c r="N330" s="282"/>
      <c r="O330" s="282"/>
      <c r="P330" s="282"/>
      <c r="Q330" s="282"/>
      <c r="R330" s="282"/>
      <c r="S330" s="282"/>
      <c r="T330" s="282"/>
      <c r="U330" s="282"/>
      <c r="V330" s="298"/>
      <c r="W330" s="298"/>
      <c r="X330" s="298"/>
      <c r="Y330" s="298"/>
      <c r="Z330" s="298"/>
      <c r="AA330" s="298"/>
      <c r="AB330" s="298"/>
      <c r="AC330" s="298"/>
      <c r="AD330" s="298"/>
      <c r="AE330" s="298"/>
      <c r="AF330" s="298"/>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row>
    <row r="331">
      <c r="A331" s="304"/>
      <c r="B331" s="282"/>
      <c r="C331" s="282"/>
      <c r="D331" s="282"/>
      <c r="E331" s="282"/>
      <c r="F331" s="282"/>
      <c r="G331" s="282"/>
      <c r="H331" s="282"/>
      <c r="I331" s="282"/>
      <c r="J331" s="282"/>
      <c r="K331" s="282"/>
      <c r="L331" s="282"/>
      <c r="M331" s="282"/>
      <c r="N331" s="282"/>
      <c r="O331" s="282"/>
      <c r="P331" s="282"/>
      <c r="Q331" s="282"/>
      <c r="R331" s="282"/>
      <c r="S331" s="282"/>
      <c r="T331" s="282"/>
      <c r="U331" s="282"/>
      <c r="V331" s="298"/>
      <c r="W331" s="298"/>
      <c r="X331" s="298"/>
      <c r="Y331" s="298"/>
      <c r="Z331" s="298"/>
      <c r="AA331" s="298"/>
      <c r="AB331" s="298"/>
      <c r="AC331" s="298"/>
      <c r="AD331" s="298"/>
      <c r="AE331" s="298"/>
      <c r="AF331" s="298"/>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row>
    <row r="332">
      <c r="A332" s="304"/>
      <c r="B332" s="282"/>
      <c r="C332" s="282"/>
      <c r="D332" s="282"/>
      <c r="E332" s="282"/>
      <c r="F332" s="282"/>
      <c r="G332" s="282"/>
      <c r="H332" s="282"/>
      <c r="I332" s="282"/>
      <c r="J332" s="282"/>
      <c r="K332" s="282"/>
      <c r="L332" s="282"/>
      <c r="M332" s="282"/>
      <c r="N332" s="282"/>
      <c r="O332" s="282"/>
      <c r="P332" s="282"/>
      <c r="Q332" s="282"/>
      <c r="R332" s="282"/>
      <c r="S332" s="282"/>
      <c r="T332" s="282"/>
      <c r="U332" s="282"/>
      <c r="V332" s="298"/>
      <c r="W332" s="298"/>
      <c r="X332" s="298"/>
      <c r="Y332" s="298"/>
      <c r="Z332" s="298"/>
      <c r="AA332" s="298"/>
      <c r="AB332" s="298"/>
      <c r="AC332" s="298"/>
      <c r="AD332" s="298"/>
      <c r="AE332" s="298"/>
      <c r="AF332" s="298"/>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row>
    <row r="333">
      <c r="A333" s="304"/>
      <c r="B333" s="282"/>
      <c r="C333" s="282"/>
      <c r="D333" s="282"/>
      <c r="E333" s="282"/>
      <c r="F333" s="282"/>
      <c r="G333" s="282"/>
      <c r="H333" s="282"/>
      <c r="I333" s="282"/>
      <c r="J333" s="282"/>
      <c r="K333" s="282"/>
      <c r="L333" s="282"/>
      <c r="M333" s="282"/>
      <c r="N333" s="282"/>
      <c r="O333" s="282"/>
      <c r="P333" s="282"/>
      <c r="Q333" s="282"/>
      <c r="R333" s="282"/>
      <c r="S333" s="282"/>
      <c r="T333" s="282"/>
      <c r="U333" s="282"/>
      <c r="V333" s="298"/>
      <c r="W333" s="298"/>
      <c r="X333" s="298"/>
      <c r="Y333" s="298"/>
      <c r="Z333" s="298"/>
      <c r="AA333" s="298"/>
      <c r="AB333" s="298"/>
      <c r="AC333" s="298"/>
      <c r="AD333" s="298"/>
      <c r="AE333" s="298"/>
      <c r="AF333" s="298"/>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row>
    <row r="334">
      <c r="A334" s="304"/>
      <c r="B334" s="282"/>
      <c r="C334" s="282"/>
      <c r="D334" s="282"/>
      <c r="E334" s="282"/>
      <c r="F334" s="282"/>
      <c r="G334" s="282"/>
      <c r="H334" s="282"/>
      <c r="I334" s="282"/>
      <c r="J334" s="282"/>
      <c r="K334" s="282"/>
      <c r="L334" s="282"/>
      <c r="M334" s="282"/>
      <c r="N334" s="282"/>
      <c r="O334" s="282"/>
      <c r="P334" s="282"/>
      <c r="Q334" s="282"/>
      <c r="R334" s="282"/>
      <c r="S334" s="282"/>
      <c r="T334" s="282"/>
      <c r="U334" s="282"/>
      <c r="V334" s="298"/>
      <c r="W334" s="298"/>
      <c r="X334" s="298"/>
      <c r="Y334" s="298"/>
      <c r="Z334" s="298"/>
      <c r="AA334" s="298"/>
      <c r="AB334" s="298"/>
      <c r="AC334" s="298"/>
      <c r="AD334" s="298"/>
      <c r="AE334" s="298"/>
      <c r="AF334" s="298"/>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row>
    <row r="335">
      <c r="A335" s="304"/>
      <c r="B335" s="282"/>
      <c r="C335" s="282"/>
      <c r="D335" s="282"/>
      <c r="E335" s="282"/>
      <c r="F335" s="282"/>
      <c r="G335" s="282"/>
      <c r="H335" s="282"/>
      <c r="I335" s="282"/>
      <c r="J335" s="282"/>
      <c r="K335" s="282"/>
      <c r="L335" s="282"/>
      <c r="M335" s="282"/>
      <c r="N335" s="282"/>
      <c r="O335" s="282"/>
      <c r="P335" s="282"/>
      <c r="Q335" s="282"/>
      <c r="R335" s="282"/>
      <c r="S335" s="282"/>
      <c r="T335" s="282"/>
      <c r="U335" s="282"/>
      <c r="V335" s="298"/>
      <c r="W335" s="298"/>
      <c r="X335" s="298"/>
      <c r="Y335" s="298"/>
      <c r="Z335" s="298"/>
      <c r="AA335" s="298"/>
      <c r="AB335" s="298"/>
      <c r="AC335" s="298"/>
      <c r="AD335" s="298"/>
      <c r="AE335" s="298"/>
      <c r="AF335" s="298"/>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row>
    <row r="336">
      <c r="A336" s="304"/>
      <c r="B336" s="282"/>
      <c r="C336" s="282"/>
      <c r="D336" s="282"/>
      <c r="E336" s="282"/>
      <c r="F336" s="282"/>
      <c r="G336" s="282"/>
      <c r="H336" s="282"/>
      <c r="I336" s="282"/>
      <c r="J336" s="282"/>
      <c r="K336" s="282"/>
      <c r="L336" s="282"/>
      <c r="M336" s="282"/>
      <c r="N336" s="282"/>
      <c r="O336" s="282"/>
      <c r="P336" s="282"/>
      <c r="Q336" s="282"/>
      <c r="R336" s="282"/>
      <c r="S336" s="282"/>
      <c r="T336" s="282"/>
      <c r="U336" s="282"/>
      <c r="V336" s="298"/>
      <c r="W336" s="298"/>
      <c r="X336" s="298"/>
      <c r="Y336" s="298"/>
      <c r="Z336" s="298"/>
      <c r="AA336" s="298"/>
      <c r="AB336" s="298"/>
      <c r="AC336" s="298"/>
      <c r="AD336" s="298"/>
      <c r="AE336" s="298"/>
      <c r="AF336" s="298"/>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row>
    <row r="337">
      <c r="A337" s="304"/>
      <c r="B337" s="282"/>
      <c r="C337" s="282"/>
      <c r="D337" s="282"/>
      <c r="E337" s="282"/>
      <c r="F337" s="282"/>
      <c r="G337" s="282"/>
      <c r="H337" s="282"/>
      <c r="I337" s="282"/>
      <c r="J337" s="282"/>
      <c r="K337" s="282"/>
      <c r="L337" s="282"/>
      <c r="M337" s="282"/>
      <c r="N337" s="282"/>
      <c r="O337" s="282"/>
      <c r="P337" s="282"/>
      <c r="Q337" s="282"/>
      <c r="R337" s="282"/>
      <c r="S337" s="282"/>
      <c r="T337" s="282"/>
      <c r="U337" s="282"/>
      <c r="V337" s="298"/>
      <c r="W337" s="298"/>
      <c r="X337" s="298"/>
      <c r="Y337" s="298"/>
      <c r="Z337" s="298"/>
      <c r="AA337" s="298"/>
      <c r="AB337" s="298"/>
      <c r="AC337" s="298"/>
      <c r="AD337" s="298"/>
      <c r="AE337" s="298"/>
      <c r="AF337" s="298"/>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row>
    <row r="338">
      <c r="A338" s="304"/>
      <c r="B338" s="282"/>
      <c r="C338" s="282"/>
      <c r="D338" s="282"/>
      <c r="E338" s="282"/>
      <c r="F338" s="282"/>
      <c r="G338" s="282"/>
      <c r="H338" s="282"/>
      <c r="I338" s="282"/>
      <c r="J338" s="282"/>
      <c r="K338" s="282"/>
      <c r="L338" s="282"/>
      <c r="M338" s="282"/>
      <c r="N338" s="282"/>
      <c r="O338" s="282"/>
      <c r="P338" s="282"/>
      <c r="Q338" s="282"/>
      <c r="R338" s="282"/>
      <c r="S338" s="282"/>
      <c r="T338" s="282"/>
      <c r="U338" s="282"/>
      <c r="V338" s="298"/>
      <c r="W338" s="298"/>
      <c r="X338" s="298"/>
      <c r="Y338" s="298"/>
      <c r="Z338" s="298"/>
      <c r="AA338" s="298"/>
      <c r="AB338" s="298"/>
      <c r="AC338" s="298"/>
      <c r="AD338" s="298"/>
      <c r="AE338" s="298"/>
      <c r="AF338" s="298"/>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row>
    <row r="339">
      <c r="A339" s="304"/>
      <c r="B339" s="282"/>
      <c r="C339" s="282"/>
      <c r="D339" s="282"/>
      <c r="E339" s="282"/>
      <c r="F339" s="282"/>
      <c r="G339" s="282"/>
      <c r="H339" s="282"/>
      <c r="I339" s="282"/>
      <c r="J339" s="282"/>
      <c r="K339" s="282"/>
      <c r="L339" s="282"/>
      <c r="M339" s="282"/>
      <c r="N339" s="282"/>
      <c r="O339" s="282"/>
      <c r="P339" s="282"/>
      <c r="Q339" s="282"/>
      <c r="R339" s="282"/>
      <c r="S339" s="282"/>
      <c r="T339" s="282"/>
      <c r="U339" s="282"/>
      <c r="V339" s="298"/>
      <c r="W339" s="298"/>
      <c r="X339" s="298"/>
      <c r="Y339" s="298"/>
      <c r="Z339" s="298"/>
      <c r="AA339" s="298"/>
      <c r="AB339" s="298"/>
      <c r="AC339" s="298"/>
      <c r="AD339" s="298"/>
      <c r="AE339" s="298"/>
      <c r="AF339" s="298"/>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row>
    <row r="340">
      <c r="A340" s="304"/>
      <c r="B340" s="282"/>
      <c r="C340" s="282"/>
      <c r="D340" s="282"/>
      <c r="E340" s="282"/>
      <c r="F340" s="282"/>
      <c r="G340" s="282"/>
      <c r="H340" s="282"/>
      <c r="I340" s="282"/>
      <c r="J340" s="282"/>
      <c r="K340" s="282"/>
      <c r="L340" s="282"/>
      <c r="M340" s="282"/>
      <c r="N340" s="282"/>
      <c r="O340" s="282"/>
      <c r="P340" s="282"/>
      <c r="Q340" s="282"/>
      <c r="R340" s="282"/>
      <c r="S340" s="282"/>
      <c r="T340" s="282"/>
      <c r="U340" s="282"/>
      <c r="V340" s="298"/>
      <c r="W340" s="298"/>
      <c r="X340" s="298"/>
      <c r="Y340" s="298"/>
      <c r="Z340" s="298"/>
      <c r="AA340" s="298"/>
      <c r="AB340" s="298"/>
      <c r="AC340" s="298"/>
      <c r="AD340" s="298"/>
      <c r="AE340" s="298"/>
      <c r="AF340" s="298"/>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row>
    <row r="341">
      <c r="A341" s="304"/>
      <c r="B341" s="282"/>
      <c r="C341" s="282"/>
      <c r="D341" s="282"/>
      <c r="E341" s="282"/>
      <c r="F341" s="282"/>
      <c r="G341" s="282"/>
      <c r="H341" s="282"/>
      <c r="I341" s="282"/>
      <c r="J341" s="282"/>
      <c r="K341" s="282"/>
      <c r="L341" s="282"/>
      <c r="M341" s="282"/>
      <c r="N341" s="282"/>
      <c r="O341" s="282"/>
      <c r="P341" s="282"/>
      <c r="Q341" s="282"/>
      <c r="R341" s="282"/>
      <c r="S341" s="282"/>
      <c r="T341" s="282"/>
      <c r="U341" s="282"/>
      <c r="V341" s="298"/>
      <c r="W341" s="298"/>
      <c r="X341" s="298"/>
      <c r="Y341" s="298"/>
      <c r="Z341" s="298"/>
      <c r="AA341" s="298"/>
      <c r="AB341" s="298"/>
      <c r="AC341" s="298"/>
      <c r="AD341" s="298"/>
      <c r="AE341" s="298"/>
      <c r="AF341" s="298"/>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row>
    <row r="342">
      <c r="A342" s="304"/>
      <c r="B342" s="282"/>
      <c r="C342" s="282"/>
      <c r="D342" s="282"/>
      <c r="E342" s="282"/>
      <c r="F342" s="282"/>
      <c r="G342" s="282"/>
      <c r="H342" s="282"/>
      <c r="I342" s="282"/>
      <c r="J342" s="282"/>
      <c r="K342" s="282"/>
      <c r="L342" s="282"/>
      <c r="M342" s="282"/>
      <c r="N342" s="282"/>
      <c r="O342" s="282"/>
      <c r="P342" s="282"/>
      <c r="Q342" s="282"/>
      <c r="R342" s="282"/>
      <c r="S342" s="282"/>
      <c r="T342" s="282"/>
      <c r="U342" s="282"/>
      <c r="V342" s="298"/>
      <c r="W342" s="298"/>
      <c r="X342" s="298"/>
      <c r="Y342" s="298"/>
      <c r="Z342" s="298"/>
      <c r="AA342" s="298"/>
      <c r="AB342" s="298"/>
      <c r="AC342" s="298"/>
      <c r="AD342" s="298"/>
      <c r="AE342" s="298"/>
      <c r="AF342" s="298"/>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row>
    <row r="343">
      <c r="A343" s="304"/>
      <c r="B343" s="282"/>
      <c r="C343" s="282"/>
      <c r="D343" s="282"/>
      <c r="E343" s="282"/>
      <c r="F343" s="282"/>
      <c r="G343" s="282"/>
      <c r="H343" s="282"/>
      <c r="I343" s="282"/>
      <c r="J343" s="282"/>
      <c r="K343" s="282"/>
      <c r="L343" s="282"/>
      <c r="M343" s="282"/>
      <c r="N343" s="282"/>
      <c r="O343" s="282"/>
      <c r="P343" s="282"/>
      <c r="Q343" s="282"/>
      <c r="R343" s="282"/>
      <c r="S343" s="282"/>
      <c r="T343" s="282"/>
      <c r="U343" s="282"/>
      <c r="V343" s="298"/>
      <c r="W343" s="298"/>
      <c r="X343" s="298"/>
      <c r="Y343" s="298"/>
      <c r="Z343" s="298"/>
      <c r="AA343" s="298"/>
      <c r="AB343" s="298"/>
      <c r="AC343" s="298"/>
      <c r="AD343" s="298"/>
      <c r="AE343" s="298"/>
      <c r="AF343" s="298"/>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row>
    <row r="344">
      <c r="A344" s="304"/>
      <c r="B344" s="282"/>
      <c r="C344" s="282"/>
      <c r="D344" s="282"/>
      <c r="E344" s="282"/>
      <c r="F344" s="282"/>
      <c r="G344" s="282"/>
      <c r="H344" s="282"/>
      <c r="I344" s="282"/>
      <c r="J344" s="282"/>
      <c r="K344" s="282"/>
      <c r="L344" s="282"/>
      <c r="M344" s="282"/>
      <c r="N344" s="282"/>
      <c r="O344" s="282"/>
      <c r="P344" s="282"/>
      <c r="Q344" s="282"/>
      <c r="R344" s="282"/>
      <c r="S344" s="282"/>
      <c r="T344" s="282"/>
      <c r="U344" s="282"/>
      <c r="V344" s="298"/>
      <c r="W344" s="298"/>
      <c r="X344" s="298"/>
      <c r="Y344" s="298"/>
      <c r="Z344" s="298"/>
      <c r="AA344" s="298"/>
      <c r="AB344" s="298"/>
      <c r="AC344" s="298"/>
      <c r="AD344" s="298"/>
      <c r="AE344" s="298"/>
      <c r="AF344" s="298"/>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row>
    <row r="345">
      <c r="A345" s="304"/>
      <c r="B345" s="282"/>
      <c r="C345" s="282"/>
      <c r="D345" s="282"/>
      <c r="E345" s="282"/>
      <c r="F345" s="282"/>
      <c r="G345" s="282"/>
      <c r="H345" s="282"/>
      <c r="I345" s="282"/>
      <c r="J345" s="282"/>
      <c r="K345" s="282"/>
      <c r="L345" s="282"/>
      <c r="M345" s="282"/>
      <c r="N345" s="282"/>
      <c r="O345" s="282"/>
      <c r="P345" s="282"/>
      <c r="Q345" s="282"/>
      <c r="R345" s="282"/>
      <c r="S345" s="282"/>
      <c r="T345" s="282"/>
      <c r="U345" s="282"/>
      <c r="V345" s="298"/>
      <c r="W345" s="298"/>
      <c r="X345" s="298"/>
      <c r="Y345" s="298"/>
      <c r="Z345" s="298"/>
      <c r="AA345" s="298"/>
      <c r="AB345" s="298"/>
      <c r="AC345" s="298"/>
      <c r="AD345" s="298"/>
      <c r="AE345" s="298"/>
      <c r="AF345" s="298"/>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row>
    <row r="346">
      <c r="A346" s="304"/>
      <c r="B346" s="282"/>
      <c r="C346" s="282"/>
      <c r="D346" s="282"/>
      <c r="E346" s="282"/>
      <c r="F346" s="282"/>
      <c r="G346" s="282"/>
      <c r="H346" s="282"/>
      <c r="I346" s="282"/>
      <c r="J346" s="282"/>
      <c r="K346" s="282"/>
      <c r="L346" s="282"/>
      <c r="M346" s="282"/>
      <c r="N346" s="282"/>
      <c r="O346" s="282"/>
      <c r="P346" s="282"/>
      <c r="Q346" s="282"/>
      <c r="R346" s="282"/>
      <c r="S346" s="282"/>
      <c r="T346" s="282"/>
      <c r="U346" s="282"/>
      <c r="V346" s="298"/>
      <c r="W346" s="298"/>
      <c r="X346" s="298"/>
      <c r="Y346" s="298"/>
      <c r="Z346" s="298"/>
      <c r="AA346" s="298"/>
      <c r="AB346" s="298"/>
      <c r="AC346" s="298"/>
      <c r="AD346" s="298"/>
      <c r="AE346" s="298"/>
      <c r="AF346" s="298"/>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row>
    <row r="347">
      <c r="A347" s="304"/>
      <c r="B347" s="282"/>
      <c r="C347" s="282"/>
      <c r="D347" s="282"/>
      <c r="E347" s="282"/>
      <c r="F347" s="282"/>
      <c r="G347" s="282"/>
      <c r="H347" s="282"/>
      <c r="I347" s="282"/>
      <c r="J347" s="282"/>
      <c r="K347" s="282"/>
      <c r="L347" s="282"/>
      <c r="M347" s="282"/>
      <c r="N347" s="282"/>
      <c r="O347" s="282"/>
      <c r="P347" s="282"/>
      <c r="Q347" s="282"/>
      <c r="R347" s="282"/>
      <c r="S347" s="282"/>
      <c r="T347" s="282"/>
      <c r="U347" s="282"/>
      <c r="V347" s="298"/>
      <c r="W347" s="298"/>
      <c r="X347" s="298"/>
      <c r="Y347" s="298"/>
      <c r="Z347" s="298"/>
      <c r="AA347" s="298"/>
      <c r="AB347" s="298"/>
      <c r="AC347" s="298"/>
      <c r="AD347" s="298"/>
      <c r="AE347" s="298"/>
      <c r="AF347" s="298"/>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row>
    <row r="348">
      <c r="A348" s="304"/>
      <c r="B348" s="282"/>
      <c r="C348" s="282"/>
      <c r="D348" s="282"/>
      <c r="E348" s="282"/>
      <c r="F348" s="282"/>
      <c r="G348" s="282"/>
      <c r="H348" s="282"/>
      <c r="I348" s="282"/>
      <c r="J348" s="282"/>
      <c r="K348" s="282"/>
      <c r="L348" s="282"/>
      <c r="M348" s="282"/>
      <c r="N348" s="282"/>
      <c r="O348" s="282"/>
      <c r="P348" s="282"/>
      <c r="Q348" s="282"/>
      <c r="R348" s="282"/>
      <c r="S348" s="282"/>
      <c r="T348" s="282"/>
      <c r="U348" s="282"/>
      <c r="V348" s="298"/>
      <c r="W348" s="298"/>
      <c r="X348" s="298"/>
      <c r="Y348" s="298"/>
      <c r="Z348" s="298"/>
      <c r="AA348" s="298"/>
      <c r="AB348" s="298"/>
      <c r="AC348" s="298"/>
      <c r="AD348" s="298"/>
      <c r="AE348" s="298"/>
      <c r="AF348" s="298"/>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row>
    <row r="349">
      <c r="A349" s="304"/>
      <c r="B349" s="282"/>
      <c r="C349" s="282"/>
      <c r="D349" s="282"/>
      <c r="E349" s="282"/>
      <c r="F349" s="282"/>
      <c r="G349" s="282"/>
      <c r="H349" s="282"/>
      <c r="I349" s="282"/>
      <c r="J349" s="282"/>
      <c r="K349" s="282"/>
      <c r="L349" s="282"/>
      <c r="M349" s="282"/>
      <c r="N349" s="282"/>
      <c r="O349" s="282"/>
      <c r="P349" s="282"/>
      <c r="Q349" s="282"/>
      <c r="R349" s="282"/>
      <c r="S349" s="282"/>
      <c r="T349" s="282"/>
      <c r="U349" s="282"/>
      <c r="V349" s="298"/>
      <c r="W349" s="298"/>
      <c r="X349" s="298"/>
      <c r="Y349" s="298"/>
      <c r="Z349" s="298"/>
      <c r="AA349" s="298"/>
      <c r="AB349" s="298"/>
      <c r="AC349" s="298"/>
      <c r="AD349" s="298"/>
      <c r="AE349" s="298"/>
      <c r="AF349" s="298"/>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row>
    <row r="350">
      <c r="A350" s="304"/>
      <c r="B350" s="282"/>
      <c r="C350" s="282"/>
      <c r="D350" s="282"/>
      <c r="E350" s="282"/>
      <c r="F350" s="282"/>
      <c r="G350" s="282"/>
      <c r="H350" s="282"/>
      <c r="I350" s="282"/>
      <c r="J350" s="282"/>
      <c r="K350" s="282"/>
      <c r="L350" s="282"/>
      <c r="M350" s="282"/>
      <c r="N350" s="282"/>
      <c r="O350" s="282"/>
      <c r="P350" s="282"/>
      <c r="Q350" s="282"/>
      <c r="R350" s="282"/>
      <c r="S350" s="282"/>
      <c r="T350" s="282"/>
      <c r="U350" s="282"/>
      <c r="V350" s="298"/>
      <c r="W350" s="298"/>
      <c r="X350" s="298"/>
      <c r="Y350" s="298"/>
      <c r="Z350" s="298"/>
      <c r="AA350" s="298"/>
      <c r="AB350" s="298"/>
      <c r="AC350" s="298"/>
      <c r="AD350" s="298"/>
      <c r="AE350" s="298"/>
      <c r="AF350" s="298"/>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row>
    <row r="351">
      <c r="A351" s="304"/>
      <c r="B351" s="282"/>
      <c r="C351" s="282"/>
      <c r="D351" s="282"/>
      <c r="E351" s="282"/>
      <c r="F351" s="282"/>
      <c r="G351" s="282"/>
      <c r="H351" s="282"/>
      <c r="I351" s="282"/>
      <c r="J351" s="282"/>
      <c r="K351" s="282"/>
      <c r="L351" s="282"/>
      <c r="M351" s="282"/>
      <c r="N351" s="282"/>
      <c r="O351" s="282"/>
      <c r="P351" s="282"/>
      <c r="Q351" s="282"/>
      <c r="R351" s="282"/>
      <c r="S351" s="282"/>
      <c r="T351" s="282"/>
      <c r="U351" s="282"/>
      <c r="V351" s="298"/>
      <c r="W351" s="298"/>
      <c r="X351" s="298"/>
      <c r="Y351" s="298"/>
      <c r="Z351" s="298"/>
      <c r="AA351" s="298"/>
      <c r="AB351" s="298"/>
      <c r="AC351" s="298"/>
      <c r="AD351" s="298"/>
      <c r="AE351" s="298"/>
      <c r="AF351" s="298"/>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row>
    <row r="352">
      <c r="A352" s="304"/>
      <c r="B352" s="282"/>
      <c r="C352" s="282"/>
      <c r="D352" s="282"/>
      <c r="E352" s="282"/>
      <c r="F352" s="282"/>
      <c r="G352" s="282"/>
      <c r="H352" s="282"/>
      <c r="I352" s="282"/>
      <c r="J352" s="282"/>
      <c r="K352" s="282"/>
      <c r="L352" s="282"/>
      <c r="M352" s="282"/>
      <c r="N352" s="282"/>
      <c r="O352" s="282"/>
      <c r="P352" s="282"/>
      <c r="Q352" s="282"/>
      <c r="R352" s="282"/>
      <c r="S352" s="282"/>
      <c r="T352" s="282"/>
      <c r="U352" s="282"/>
      <c r="V352" s="298"/>
      <c r="W352" s="298"/>
      <c r="X352" s="298"/>
      <c r="Y352" s="298"/>
      <c r="Z352" s="298"/>
      <c r="AA352" s="298"/>
      <c r="AB352" s="298"/>
      <c r="AC352" s="298"/>
      <c r="AD352" s="298"/>
      <c r="AE352" s="298"/>
      <c r="AF352" s="298"/>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row>
    <row r="353">
      <c r="A353" s="304"/>
      <c r="B353" s="282"/>
      <c r="C353" s="282"/>
      <c r="D353" s="282"/>
      <c r="E353" s="282"/>
      <c r="F353" s="282"/>
      <c r="G353" s="282"/>
      <c r="H353" s="282"/>
      <c r="I353" s="282"/>
      <c r="J353" s="282"/>
      <c r="K353" s="282"/>
      <c r="L353" s="282"/>
      <c r="M353" s="282"/>
      <c r="N353" s="282"/>
      <c r="O353" s="282"/>
      <c r="P353" s="282"/>
      <c r="Q353" s="282"/>
      <c r="R353" s="282"/>
      <c r="S353" s="282"/>
      <c r="T353" s="282"/>
      <c r="U353" s="282"/>
      <c r="V353" s="298"/>
      <c r="W353" s="298"/>
      <c r="X353" s="298"/>
      <c r="Y353" s="298"/>
      <c r="Z353" s="298"/>
      <c r="AA353" s="298"/>
      <c r="AB353" s="298"/>
      <c r="AC353" s="298"/>
      <c r="AD353" s="298"/>
      <c r="AE353" s="298"/>
      <c r="AF353" s="298"/>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row>
    <row r="354">
      <c r="A354" s="304"/>
      <c r="B354" s="282"/>
      <c r="C354" s="282"/>
      <c r="D354" s="282"/>
      <c r="E354" s="282"/>
      <c r="F354" s="282"/>
      <c r="G354" s="282"/>
      <c r="H354" s="282"/>
      <c r="I354" s="282"/>
      <c r="J354" s="282"/>
      <c r="K354" s="282"/>
      <c r="L354" s="282"/>
      <c r="M354" s="282"/>
      <c r="N354" s="282"/>
      <c r="O354" s="282"/>
      <c r="P354" s="282"/>
      <c r="Q354" s="282"/>
      <c r="R354" s="282"/>
      <c r="S354" s="282"/>
      <c r="T354" s="282"/>
      <c r="U354" s="282"/>
      <c r="V354" s="298"/>
      <c r="W354" s="298"/>
      <c r="X354" s="298"/>
      <c r="Y354" s="298"/>
      <c r="Z354" s="298"/>
      <c r="AA354" s="298"/>
      <c r="AB354" s="298"/>
      <c r="AC354" s="298"/>
      <c r="AD354" s="298"/>
      <c r="AE354" s="298"/>
      <c r="AF354" s="298"/>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row>
    <row r="355">
      <c r="A355" s="304"/>
      <c r="B355" s="282"/>
      <c r="C355" s="282"/>
      <c r="D355" s="282"/>
      <c r="E355" s="282"/>
      <c r="F355" s="282"/>
      <c r="G355" s="282"/>
      <c r="H355" s="282"/>
      <c r="I355" s="282"/>
      <c r="J355" s="282"/>
      <c r="K355" s="282"/>
      <c r="L355" s="282"/>
      <c r="M355" s="282"/>
      <c r="N355" s="282"/>
      <c r="O355" s="282"/>
      <c r="P355" s="282"/>
      <c r="Q355" s="282"/>
      <c r="R355" s="282"/>
      <c r="S355" s="282"/>
      <c r="T355" s="282"/>
      <c r="U355" s="282"/>
      <c r="V355" s="298"/>
      <c r="W355" s="298"/>
      <c r="X355" s="298"/>
      <c r="Y355" s="298"/>
      <c r="Z355" s="298"/>
      <c r="AA355" s="298"/>
      <c r="AB355" s="298"/>
      <c r="AC355" s="298"/>
      <c r="AD355" s="298"/>
      <c r="AE355" s="298"/>
      <c r="AF355" s="298"/>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row>
    <row r="356">
      <c r="A356" s="304"/>
      <c r="B356" s="282"/>
      <c r="C356" s="282"/>
      <c r="D356" s="282"/>
      <c r="E356" s="282"/>
      <c r="F356" s="282"/>
      <c r="G356" s="282"/>
      <c r="H356" s="282"/>
      <c r="I356" s="282"/>
      <c r="J356" s="282"/>
      <c r="K356" s="282"/>
      <c r="L356" s="282"/>
      <c r="M356" s="282"/>
      <c r="N356" s="282"/>
      <c r="O356" s="282"/>
      <c r="P356" s="282"/>
      <c r="Q356" s="282"/>
      <c r="R356" s="282"/>
      <c r="S356" s="282"/>
      <c r="T356" s="282"/>
      <c r="U356" s="282"/>
      <c r="V356" s="298"/>
      <c r="W356" s="298"/>
      <c r="X356" s="298"/>
      <c r="Y356" s="298"/>
      <c r="Z356" s="298"/>
      <c r="AA356" s="298"/>
      <c r="AB356" s="298"/>
      <c r="AC356" s="298"/>
      <c r="AD356" s="298"/>
      <c r="AE356" s="298"/>
      <c r="AF356" s="298"/>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row>
    <row r="357">
      <c r="A357" s="304"/>
      <c r="B357" s="282"/>
      <c r="C357" s="282"/>
      <c r="D357" s="282"/>
      <c r="E357" s="282"/>
      <c r="F357" s="282"/>
      <c r="G357" s="282"/>
      <c r="H357" s="282"/>
      <c r="I357" s="282"/>
      <c r="J357" s="282"/>
      <c r="K357" s="282"/>
      <c r="L357" s="282"/>
      <c r="M357" s="282"/>
      <c r="N357" s="282"/>
      <c r="O357" s="282"/>
      <c r="P357" s="282"/>
      <c r="Q357" s="282"/>
      <c r="R357" s="282"/>
      <c r="S357" s="282"/>
      <c r="T357" s="282"/>
      <c r="U357" s="282"/>
      <c r="V357" s="298"/>
      <c r="W357" s="298"/>
      <c r="X357" s="298"/>
      <c r="Y357" s="298"/>
      <c r="Z357" s="298"/>
      <c r="AA357" s="298"/>
      <c r="AB357" s="298"/>
      <c r="AC357" s="298"/>
      <c r="AD357" s="298"/>
      <c r="AE357" s="298"/>
      <c r="AF357" s="298"/>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row>
    <row r="358">
      <c r="A358" s="304"/>
      <c r="B358" s="282"/>
      <c r="C358" s="282"/>
      <c r="D358" s="282"/>
      <c r="E358" s="282"/>
      <c r="F358" s="282"/>
      <c r="G358" s="282"/>
      <c r="H358" s="282"/>
      <c r="I358" s="282"/>
      <c r="J358" s="282"/>
      <c r="K358" s="282"/>
      <c r="L358" s="282"/>
      <c r="M358" s="282"/>
      <c r="N358" s="282"/>
      <c r="O358" s="282"/>
      <c r="P358" s="282"/>
      <c r="Q358" s="282"/>
      <c r="R358" s="282"/>
      <c r="S358" s="282"/>
      <c r="T358" s="282"/>
      <c r="U358" s="282"/>
      <c r="V358" s="298"/>
      <c r="W358" s="298"/>
      <c r="X358" s="298"/>
      <c r="Y358" s="298"/>
      <c r="Z358" s="298"/>
      <c r="AA358" s="298"/>
      <c r="AB358" s="298"/>
      <c r="AC358" s="298"/>
      <c r="AD358" s="298"/>
      <c r="AE358" s="298"/>
      <c r="AF358" s="298"/>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row>
    <row r="359">
      <c r="A359" s="304"/>
      <c r="B359" s="282"/>
      <c r="C359" s="282"/>
      <c r="D359" s="282"/>
      <c r="E359" s="282"/>
      <c r="F359" s="282"/>
      <c r="G359" s="282"/>
      <c r="H359" s="282"/>
      <c r="I359" s="282"/>
      <c r="J359" s="282"/>
      <c r="K359" s="282"/>
      <c r="L359" s="282"/>
      <c r="M359" s="282"/>
      <c r="N359" s="282"/>
      <c r="O359" s="282"/>
      <c r="P359" s="282"/>
      <c r="Q359" s="282"/>
      <c r="R359" s="282"/>
      <c r="S359" s="282"/>
      <c r="T359" s="282"/>
      <c r="U359" s="282"/>
      <c r="V359" s="298"/>
      <c r="W359" s="298"/>
      <c r="X359" s="298"/>
      <c r="Y359" s="298"/>
      <c r="Z359" s="298"/>
      <c r="AA359" s="298"/>
      <c r="AB359" s="298"/>
      <c r="AC359" s="298"/>
      <c r="AD359" s="298"/>
      <c r="AE359" s="298"/>
      <c r="AF359" s="298"/>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row>
    <row r="360">
      <c r="A360" s="304"/>
      <c r="B360" s="282"/>
      <c r="C360" s="282"/>
      <c r="D360" s="282"/>
      <c r="E360" s="282"/>
      <c r="F360" s="282"/>
      <c r="G360" s="282"/>
      <c r="H360" s="282"/>
      <c r="I360" s="282"/>
      <c r="J360" s="282"/>
      <c r="K360" s="282"/>
      <c r="L360" s="282"/>
      <c r="M360" s="282"/>
      <c r="N360" s="282"/>
      <c r="O360" s="282"/>
      <c r="P360" s="282"/>
      <c r="Q360" s="282"/>
      <c r="R360" s="282"/>
      <c r="S360" s="282"/>
      <c r="T360" s="282"/>
      <c r="U360" s="282"/>
      <c r="V360" s="298"/>
      <c r="W360" s="298"/>
      <c r="X360" s="298"/>
      <c r="Y360" s="298"/>
      <c r="Z360" s="298"/>
      <c r="AA360" s="298"/>
      <c r="AB360" s="298"/>
      <c r="AC360" s="298"/>
      <c r="AD360" s="298"/>
      <c r="AE360" s="298"/>
      <c r="AF360" s="298"/>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row>
    <row r="361">
      <c r="A361" s="304"/>
      <c r="B361" s="282"/>
      <c r="C361" s="282"/>
      <c r="D361" s="282"/>
      <c r="E361" s="282"/>
      <c r="F361" s="282"/>
      <c r="G361" s="282"/>
      <c r="H361" s="282"/>
      <c r="I361" s="282"/>
      <c r="J361" s="282"/>
      <c r="K361" s="282"/>
      <c r="L361" s="282"/>
      <c r="M361" s="282"/>
      <c r="N361" s="282"/>
      <c r="O361" s="282"/>
      <c r="P361" s="282"/>
      <c r="Q361" s="282"/>
      <c r="R361" s="282"/>
      <c r="S361" s="282"/>
      <c r="T361" s="282"/>
      <c r="U361" s="282"/>
      <c r="V361" s="298"/>
      <c r="W361" s="298"/>
      <c r="X361" s="298"/>
      <c r="Y361" s="298"/>
      <c r="Z361" s="298"/>
      <c r="AA361" s="298"/>
      <c r="AB361" s="298"/>
      <c r="AC361" s="298"/>
      <c r="AD361" s="298"/>
      <c r="AE361" s="298"/>
      <c r="AF361" s="298"/>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row>
    <row r="362">
      <c r="A362" s="304"/>
      <c r="B362" s="282"/>
      <c r="C362" s="282"/>
      <c r="D362" s="282"/>
      <c r="E362" s="282"/>
      <c r="F362" s="282"/>
      <c r="G362" s="282"/>
      <c r="H362" s="282"/>
      <c r="I362" s="282"/>
      <c r="J362" s="282"/>
      <c r="K362" s="282"/>
      <c r="L362" s="282"/>
      <c r="M362" s="282"/>
      <c r="N362" s="282"/>
      <c r="O362" s="282"/>
      <c r="P362" s="282"/>
      <c r="Q362" s="282"/>
      <c r="R362" s="282"/>
      <c r="S362" s="282"/>
      <c r="T362" s="282"/>
      <c r="U362" s="282"/>
      <c r="V362" s="298"/>
      <c r="W362" s="298"/>
      <c r="X362" s="298"/>
      <c r="Y362" s="298"/>
      <c r="Z362" s="298"/>
      <c r="AA362" s="298"/>
      <c r="AB362" s="298"/>
      <c r="AC362" s="298"/>
      <c r="AD362" s="298"/>
      <c r="AE362" s="298"/>
      <c r="AF362" s="298"/>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row>
    <row r="363">
      <c r="A363" s="304"/>
      <c r="B363" s="282"/>
      <c r="C363" s="282"/>
      <c r="D363" s="282"/>
      <c r="E363" s="282"/>
      <c r="F363" s="282"/>
      <c r="G363" s="282"/>
      <c r="H363" s="282"/>
      <c r="I363" s="282"/>
      <c r="J363" s="282"/>
      <c r="K363" s="282"/>
      <c r="L363" s="282"/>
      <c r="M363" s="282"/>
      <c r="N363" s="282"/>
      <c r="O363" s="282"/>
      <c r="P363" s="282"/>
      <c r="Q363" s="282"/>
      <c r="R363" s="282"/>
      <c r="S363" s="282"/>
      <c r="T363" s="282"/>
      <c r="U363" s="282"/>
      <c r="V363" s="298"/>
      <c r="W363" s="298"/>
      <c r="X363" s="298"/>
      <c r="Y363" s="298"/>
      <c r="Z363" s="298"/>
      <c r="AA363" s="298"/>
      <c r="AB363" s="298"/>
      <c r="AC363" s="298"/>
      <c r="AD363" s="298"/>
      <c r="AE363" s="298"/>
      <c r="AF363" s="298"/>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row>
    <row r="364">
      <c r="A364" s="304"/>
      <c r="B364" s="282"/>
      <c r="C364" s="282"/>
      <c r="D364" s="282"/>
      <c r="E364" s="282"/>
      <c r="F364" s="282"/>
      <c r="G364" s="282"/>
      <c r="H364" s="282"/>
      <c r="I364" s="282"/>
      <c r="J364" s="282"/>
      <c r="K364" s="282"/>
      <c r="L364" s="282"/>
      <c r="M364" s="282"/>
      <c r="N364" s="282"/>
      <c r="O364" s="282"/>
      <c r="P364" s="282"/>
      <c r="Q364" s="282"/>
      <c r="R364" s="282"/>
      <c r="S364" s="282"/>
      <c r="T364" s="282"/>
      <c r="U364" s="282"/>
      <c r="V364" s="298"/>
      <c r="W364" s="298"/>
      <c r="X364" s="298"/>
      <c r="Y364" s="298"/>
      <c r="Z364" s="298"/>
      <c r="AA364" s="298"/>
      <c r="AB364" s="298"/>
      <c r="AC364" s="298"/>
      <c r="AD364" s="298"/>
      <c r="AE364" s="298"/>
      <c r="AF364" s="298"/>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row>
    <row r="365">
      <c r="A365" s="304"/>
      <c r="B365" s="282"/>
      <c r="C365" s="282"/>
      <c r="D365" s="282"/>
      <c r="E365" s="282"/>
      <c r="F365" s="282"/>
      <c r="G365" s="282"/>
      <c r="H365" s="282"/>
      <c r="I365" s="282"/>
      <c r="J365" s="282"/>
      <c r="K365" s="282"/>
      <c r="L365" s="282"/>
      <c r="M365" s="282"/>
      <c r="N365" s="282"/>
      <c r="O365" s="282"/>
      <c r="P365" s="282"/>
      <c r="Q365" s="282"/>
      <c r="R365" s="282"/>
      <c r="S365" s="282"/>
      <c r="T365" s="282"/>
      <c r="U365" s="282"/>
      <c r="V365" s="298"/>
      <c r="W365" s="298"/>
      <c r="X365" s="298"/>
      <c r="Y365" s="298"/>
      <c r="Z365" s="298"/>
      <c r="AA365" s="298"/>
      <c r="AB365" s="298"/>
      <c r="AC365" s="298"/>
      <c r="AD365" s="298"/>
      <c r="AE365" s="298"/>
      <c r="AF365" s="298"/>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row>
    <row r="366">
      <c r="A366" s="304"/>
      <c r="B366" s="282"/>
      <c r="C366" s="282"/>
      <c r="D366" s="282"/>
      <c r="E366" s="282"/>
      <c r="F366" s="282"/>
      <c r="G366" s="282"/>
      <c r="H366" s="282"/>
      <c r="I366" s="282"/>
      <c r="J366" s="282"/>
      <c r="K366" s="282"/>
      <c r="L366" s="282"/>
      <c r="M366" s="282"/>
      <c r="N366" s="282"/>
      <c r="O366" s="282"/>
      <c r="P366" s="282"/>
      <c r="Q366" s="282"/>
      <c r="R366" s="282"/>
      <c r="S366" s="282"/>
      <c r="T366" s="282"/>
      <c r="U366" s="282"/>
      <c r="V366" s="298"/>
      <c r="W366" s="298"/>
      <c r="X366" s="298"/>
      <c r="Y366" s="298"/>
      <c r="Z366" s="298"/>
      <c r="AA366" s="298"/>
      <c r="AB366" s="298"/>
      <c r="AC366" s="298"/>
      <c r="AD366" s="298"/>
      <c r="AE366" s="298"/>
      <c r="AF366" s="298"/>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row>
    <row r="367">
      <c r="A367" s="304"/>
      <c r="B367" s="282"/>
      <c r="C367" s="282"/>
      <c r="D367" s="282"/>
      <c r="E367" s="282"/>
      <c r="F367" s="282"/>
      <c r="G367" s="282"/>
      <c r="H367" s="282"/>
      <c r="I367" s="282"/>
      <c r="J367" s="282"/>
      <c r="K367" s="282"/>
      <c r="L367" s="282"/>
      <c r="M367" s="282"/>
      <c r="N367" s="282"/>
      <c r="O367" s="282"/>
      <c r="P367" s="282"/>
      <c r="Q367" s="282"/>
      <c r="R367" s="282"/>
      <c r="S367" s="282"/>
      <c r="T367" s="282"/>
      <c r="U367" s="282"/>
      <c r="V367" s="298"/>
      <c r="W367" s="298"/>
      <c r="X367" s="298"/>
      <c r="Y367" s="298"/>
      <c r="Z367" s="298"/>
      <c r="AA367" s="298"/>
      <c r="AB367" s="298"/>
      <c r="AC367" s="298"/>
      <c r="AD367" s="298"/>
      <c r="AE367" s="298"/>
      <c r="AF367" s="298"/>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row>
    <row r="368">
      <c r="A368" s="304"/>
      <c r="B368" s="282"/>
      <c r="C368" s="282"/>
      <c r="D368" s="282"/>
      <c r="E368" s="282"/>
      <c r="F368" s="282"/>
      <c r="G368" s="282"/>
      <c r="H368" s="282"/>
      <c r="I368" s="282"/>
      <c r="J368" s="282"/>
      <c r="K368" s="282"/>
      <c r="L368" s="282"/>
      <c r="M368" s="282"/>
      <c r="N368" s="282"/>
      <c r="O368" s="282"/>
      <c r="P368" s="282"/>
      <c r="Q368" s="282"/>
      <c r="R368" s="282"/>
      <c r="S368" s="282"/>
      <c r="T368" s="282"/>
      <c r="U368" s="282"/>
      <c r="V368" s="298"/>
      <c r="W368" s="298"/>
      <c r="X368" s="298"/>
      <c r="Y368" s="298"/>
      <c r="Z368" s="298"/>
      <c r="AA368" s="298"/>
      <c r="AB368" s="298"/>
      <c r="AC368" s="298"/>
      <c r="AD368" s="298"/>
      <c r="AE368" s="298"/>
      <c r="AF368" s="298"/>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row>
    <row r="369">
      <c r="A369" s="304"/>
      <c r="B369" s="282"/>
      <c r="C369" s="282"/>
      <c r="D369" s="282"/>
      <c r="E369" s="282"/>
      <c r="F369" s="282"/>
      <c r="G369" s="282"/>
      <c r="H369" s="282"/>
      <c r="I369" s="282"/>
      <c r="J369" s="282"/>
      <c r="K369" s="282"/>
      <c r="L369" s="282"/>
      <c r="M369" s="282"/>
      <c r="N369" s="282"/>
      <c r="O369" s="282"/>
      <c r="P369" s="282"/>
      <c r="Q369" s="282"/>
      <c r="R369" s="282"/>
      <c r="S369" s="282"/>
      <c r="T369" s="282"/>
      <c r="U369" s="282"/>
      <c r="V369" s="298"/>
      <c r="W369" s="298"/>
      <c r="X369" s="298"/>
      <c r="Y369" s="298"/>
      <c r="Z369" s="298"/>
      <c r="AA369" s="298"/>
      <c r="AB369" s="298"/>
      <c r="AC369" s="298"/>
      <c r="AD369" s="298"/>
      <c r="AE369" s="298"/>
      <c r="AF369" s="298"/>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row>
    <row r="370">
      <c r="A370" s="304"/>
      <c r="B370" s="282"/>
      <c r="C370" s="282"/>
      <c r="D370" s="282"/>
      <c r="E370" s="282"/>
      <c r="F370" s="282"/>
      <c r="G370" s="282"/>
      <c r="H370" s="282"/>
      <c r="I370" s="282"/>
      <c r="J370" s="282"/>
      <c r="K370" s="282"/>
      <c r="L370" s="282"/>
      <c r="M370" s="282"/>
      <c r="N370" s="282"/>
      <c r="O370" s="282"/>
      <c r="P370" s="282"/>
      <c r="Q370" s="282"/>
      <c r="R370" s="282"/>
      <c r="S370" s="282"/>
      <c r="T370" s="282"/>
      <c r="U370" s="282"/>
      <c r="V370" s="298"/>
      <c r="W370" s="298"/>
      <c r="X370" s="298"/>
      <c r="Y370" s="298"/>
      <c r="Z370" s="298"/>
      <c r="AA370" s="298"/>
      <c r="AB370" s="298"/>
      <c r="AC370" s="298"/>
      <c r="AD370" s="298"/>
      <c r="AE370" s="298"/>
      <c r="AF370" s="298"/>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row>
    <row r="371">
      <c r="A371" s="304"/>
      <c r="B371" s="282"/>
      <c r="C371" s="282"/>
      <c r="D371" s="282"/>
      <c r="E371" s="282"/>
      <c r="F371" s="282"/>
      <c r="G371" s="282"/>
      <c r="H371" s="282"/>
      <c r="I371" s="282"/>
      <c r="J371" s="282"/>
      <c r="K371" s="282"/>
      <c r="L371" s="282"/>
      <c r="M371" s="282"/>
      <c r="N371" s="282"/>
      <c r="O371" s="282"/>
      <c r="P371" s="282"/>
      <c r="Q371" s="282"/>
      <c r="R371" s="282"/>
      <c r="S371" s="282"/>
      <c r="T371" s="282"/>
      <c r="U371" s="282"/>
      <c r="V371" s="298"/>
      <c r="W371" s="298"/>
      <c r="X371" s="298"/>
      <c r="Y371" s="298"/>
      <c r="Z371" s="298"/>
      <c r="AA371" s="298"/>
      <c r="AB371" s="298"/>
      <c r="AC371" s="298"/>
      <c r="AD371" s="298"/>
      <c r="AE371" s="298"/>
      <c r="AF371" s="298"/>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row>
    <row r="372">
      <c r="A372" s="304"/>
      <c r="B372" s="282"/>
      <c r="C372" s="282"/>
      <c r="D372" s="282"/>
      <c r="E372" s="282"/>
      <c r="F372" s="282"/>
      <c r="G372" s="282"/>
      <c r="H372" s="282"/>
      <c r="I372" s="282"/>
      <c r="J372" s="282"/>
      <c r="K372" s="282"/>
      <c r="L372" s="282"/>
      <c r="M372" s="282"/>
      <c r="N372" s="282"/>
      <c r="O372" s="282"/>
      <c r="P372" s="282"/>
      <c r="Q372" s="282"/>
      <c r="R372" s="282"/>
      <c r="S372" s="282"/>
      <c r="T372" s="282"/>
      <c r="U372" s="282"/>
      <c r="V372" s="298"/>
      <c r="W372" s="298"/>
      <c r="X372" s="298"/>
      <c r="Y372" s="298"/>
      <c r="Z372" s="298"/>
      <c r="AA372" s="298"/>
      <c r="AB372" s="298"/>
      <c r="AC372" s="298"/>
      <c r="AD372" s="298"/>
      <c r="AE372" s="298"/>
      <c r="AF372" s="298"/>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row>
    <row r="373">
      <c r="A373" s="304"/>
      <c r="B373" s="282"/>
      <c r="C373" s="282"/>
      <c r="D373" s="282"/>
      <c r="E373" s="282"/>
      <c r="F373" s="282"/>
      <c r="G373" s="282"/>
      <c r="H373" s="282"/>
      <c r="I373" s="282"/>
      <c r="J373" s="282"/>
      <c r="K373" s="282"/>
      <c r="L373" s="282"/>
      <c r="M373" s="282"/>
      <c r="N373" s="282"/>
      <c r="O373" s="282"/>
      <c r="P373" s="282"/>
      <c r="Q373" s="282"/>
      <c r="R373" s="282"/>
      <c r="S373" s="282"/>
      <c r="T373" s="282"/>
      <c r="U373" s="282"/>
      <c r="V373" s="298"/>
      <c r="W373" s="298"/>
      <c r="X373" s="298"/>
      <c r="Y373" s="298"/>
      <c r="Z373" s="298"/>
      <c r="AA373" s="298"/>
      <c r="AB373" s="298"/>
      <c r="AC373" s="298"/>
      <c r="AD373" s="298"/>
      <c r="AE373" s="298"/>
      <c r="AF373" s="298"/>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row>
    <row r="374">
      <c r="A374" s="304"/>
      <c r="B374" s="282"/>
      <c r="C374" s="282"/>
      <c r="D374" s="282"/>
      <c r="E374" s="282"/>
      <c r="F374" s="282"/>
      <c r="G374" s="282"/>
      <c r="H374" s="282"/>
      <c r="I374" s="282"/>
      <c r="J374" s="282"/>
      <c r="K374" s="282"/>
      <c r="L374" s="282"/>
      <c r="M374" s="282"/>
      <c r="N374" s="282"/>
      <c r="O374" s="282"/>
      <c r="P374" s="282"/>
      <c r="Q374" s="282"/>
      <c r="R374" s="282"/>
      <c r="S374" s="282"/>
      <c r="T374" s="282"/>
      <c r="U374" s="282"/>
      <c r="V374" s="298"/>
      <c r="W374" s="298"/>
      <c r="X374" s="298"/>
      <c r="Y374" s="298"/>
      <c r="Z374" s="298"/>
      <c r="AA374" s="298"/>
      <c r="AB374" s="298"/>
      <c r="AC374" s="298"/>
      <c r="AD374" s="298"/>
      <c r="AE374" s="298"/>
      <c r="AF374" s="298"/>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row>
    <row r="375">
      <c r="A375" s="304"/>
      <c r="B375" s="282"/>
      <c r="C375" s="282"/>
      <c r="D375" s="282"/>
      <c r="E375" s="282"/>
      <c r="F375" s="282"/>
      <c r="G375" s="282"/>
      <c r="H375" s="282"/>
      <c r="I375" s="282"/>
      <c r="J375" s="282"/>
      <c r="K375" s="282"/>
      <c r="L375" s="282"/>
      <c r="M375" s="282"/>
      <c r="N375" s="282"/>
      <c r="O375" s="282"/>
      <c r="P375" s="282"/>
      <c r="Q375" s="282"/>
      <c r="R375" s="282"/>
      <c r="S375" s="282"/>
      <c r="T375" s="282"/>
      <c r="U375" s="282"/>
      <c r="V375" s="298"/>
      <c r="W375" s="298"/>
      <c r="X375" s="298"/>
      <c r="Y375" s="298"/>
      <c r="Z375" s="298"/>
      <c r="AA375" s="298"/>
      <c r="AB375" s="298"/>
      <c r="AC375" s="298"/>
      <c r="AD375" s="298"/>
      <c r="AE375" s="298"/>
      <c r="AF375" s="298"/>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row>
    <row r="376">
      <c r="A376" s="304"/>
      <c r="B376" s="282"/>
      <c r="C376" s="282"/>
      <c r="D376" s="282"/>
      <c r="E376" s="282"/>
      <c r="F376" s="282"/>
      <c r="G376" s="282"/>
      <c r="H376" s="282"/>
      <c r="I376" s="282"/>
      <c r="J376" s="282"/>
      <c r="K376" s="282"/>
      <c r="L376" s="282"/>
      <c r="M376" s="282"/>
      <c r="N376" s="282"/>
      <c r="O376" s="282"/>
      <c r="P376" s="282"/>
      <c r="Q376" s="282"/>
      <c r="R376" s="282"/>
      <c r="S376" s="282"/>
      <c r="T376" s="282"/>
      <c r="U376" s="282"/>
      <c r="V376" s="298"/>
      <c r="W376" s="298"/>
      <c r="X376" s="298"/>
      <c r="Y376" s="298"/>
      <c r="Z376" s="298"/>
      <c r="AA376" s="298"/>
      <c r="AB376" s="298"/>
      <c r="AC376" s="298"/>
      <c r="AD376" s="298"/>
      <c r="AE376" s="298"/>
      <c r="AF376" s="298"/>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row>
    <row r="377">
      <c r="A377" s="304"/>
      <c r="B377" s="282"/>
      <c r="C377" s="282"/>
      <c r="D377" s="282"/>
      <c r="E377" s="282"/>
      <c r="F377" s="282"/>
      <c r="G377" s="282"/>
      <c r="H377" s="282"/>
      <c r="I377" s="282"/>
      <c r="J377" s="282"/>
      <c r="K377" s="282"/>
      <c r="L377" s="282"/>
      <c r="M377" s="282"/>
      <c r="N377" s="282"/>
      <c r="O377" s="282"/>
      <c r="P377" s="282"/>
      <c r="Q377" s="282"/>
      <c r="R377" s="282"/>
      <c r="S377" s="282"/>
      <c r="T377" s="282"/>
      <c r="U377" s="282"/>
      <c r="V377" s="298"/>
      <c r="W377" s="298"/>
      <c r="X377" s="298"/>
      <c r="Y377" s="298"/>
      <c r="Z377" s="298"/>
      <c r="AA377" s="298"/>
      <c r="AB377" s="298"/>
      <c r="AC377" s="298"/>
      <c r="AD377" s="298"/>
      <c r="AE377" s="298"/>
      <c r="AF377" s="298"/>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row>
    <row r="378">
      <c r="A378" s="304"/>
      <c r="B378" s="282"/>
      <c r="C378" s="282"/>
      <c r="D378" s="282"/>
      <c r="E378" s="282"/>
      <c r="F378" s="282"/>
      <c r="G378" s="282"/>
      <c r="H378" s="282"/>
      <c r="I378" s="282"/>
      <c r="J378" s="282"/>
      <c r="K378" s="282"/>
      <c r="L378" s="282"/>
      <c r="M378" s="282"/>
      <c r="N378" s="282"/>
      <c r="O378" s="282"/>
      <c r="P378" s="282"/>
      <c r="Q378" s="282"/>
      <c r="R378" s="282"/>
      <c r="S378" s="282"/>
      <c r="T378" s="282"/>
      <c r="U378" s="282"/>
      <c r="V378" s="298"/>
      <c r="W378" s="298"/>
      <c r="X378" s="298"/>
      <c r="Y378" s="298"/>
      <c r="Z378" s="298"/>
      <c r="AA378" s="298"/>
      <c r="AB378" s="298"/>
      <c r="AC378" s="298"/>
      <c r="AD378" s="298"/>
      <c r="AE378" s="298"/>
      <c r="AF378" s="298"/>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row>
    <row r="379">
      <c r="A379" s="304"/>
      <c r="B379" s="282"/>
      <c r="C379" s="282"/>
      <c r="D379" s="282"/>
      <c r="E379" s="282"/>
      <c r="F379" s="282"/>
      <c r="G379" s="282"/>
      <c r="H379" s="282"/>
      <c r="I379" s="282"/>
      <c r="J379" s="282"/>
      <c r="K379" s="282"/>
      <c r="L379" s="282"/>
      <c r="M379" s="282"/>
      <c r="N379" s="282"/>
      <c r="O379" s="282"/>
      <c r="P379" s="282"/>
      <c r="Q379" s="282"/>
      <c r="R379" s="282"/>
      <c r="S379" s="282"/>
      <c r="T379" s="282"/>
      <c r="U379" s="282"/>
      <c r="V379" s="298"/>
      <c r="W379" s="298"/>
      <c r="X379" s="298"/>
      <c r="Y379" s="298"/>
      <c r="Z379" s="298"/>
      <c r="AA379" s="298"/>
      <c r="AB379" s="298"/>
      <c r="AC379" s="298"/>
      <c r="AD379" s="298"/>
      <c r="AE379" s="298"/>
      <c r="AF379" s="298"/>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row>
    <row r="380">
      <c r="A380" s="304"/>
      <c r="B380" s="282"/>
      <c r="C380" s="282"/>
      <c r="D380" s="282"/>
      <c r="E380" s="282"/>
      <c r="F380" s="282"/>
      <c r="G380" s="282"/>
      <c r="H380" s="282"/>
      <c r="I380" s="282"/>
      <c r="J380" s="282"/>
      <c r="K380" s="282"/>
      <c r="L380" s="282"/>
      <c r="M380" s="282"/>
      <c r="N380" s="282"/>
      <c r="O380" s="282"/>
      <c r="P380" s="282"/>
      <c r="Q380" s="282"/>
      <c r="R380" s="282"/>
      <c r="S380" s="282"/>
      <c r="T380" s="282"/>
      <c r="U380" s="282"/>
      <c r="V380" s="298"/>
      <c r="W380" s="298"/>
      <c r="X380" s="298"/>
      <c r="Y380" s="298"/>
      <c r="Z380" s="298"/>
      <c r="AA380" s="298"/>
      <c r="AB380" s="298"/>
      <c r="AC380" s="298"/>
      <c r="AD380" s="298"/>
      <c r="AE380" s="298"/>
      <c r="AF380" s="298"/>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row>
    <row r="381">
      <c r="A381" s="304"/>
      <c r="B381" s="282"/>
      <c r="C381" s="282"/>
      <c r="D381" s="282"/>
      <c r="E381" s="282"/>
      <c r="F381" s="282"/>
      <c r="G381" s="282"/>
      <c r="H381" s="282"/>
      <c r="I381" s="282"/>
      <c r="J381" s="282"/>
      <c r="K381" s="282"/>
      <c r="L381" s="282"/>
      <c r="M381" s="282"/>
      <c r="N381" s="282"/>
      <c r="O381" s="282"/>
      <c r="P381" s="282"/>
      <c r="Q381" s="282"/>
      <c r="R381" s="282"/>
      <c r="S381" s="282"/>
      <c r="T381" s="282"/>
      <c r="U381" s="282"/>
      <c r="V381" s="298"/>
      <c r="W381" s="298"/>
      <c r="X381" s="298"/>
      <c r="Y381" s="298"/>
      <c r="Z381" s="298"/>
      <c r="AA381" s="298"/>
      <c r="AB381" s="298"/>
      <c r="AC381" s="298"/>
      <c r="AD381" s="298"/>
      <c r="AE381" s="298"/>
      <c r="AF381" s="298"/>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row>
    <row r="382">
      <c r="A382" s="304"/>
      <c r="B382" s="282"/>
      <c r="C382" s="282"/>
      <c r="D382" s="282"/>
      <c r="E382" s="282"/>
      <c r="F382" s="282"/>
      <c r="G382" s="282"/>
      <c r="H382" s="282"/>
      <c r="I382" s="282"/>
      <c r="J382" s="282"/>
      <c r="K382" s="282"/>
      <c r="L382" s="282"/>
      <c r="M382" s="282"/>
      <c r="N382" s="282"/>
      <c r="O382" s="282"/>
      <c r="P382" s="282"/>
      <c r="Q382" s="282"/>
      <c r="R382" s="282"/>
      <c r="S382" s="282"/>
      <c r="T382" s="282"/>
      <c r="U382" s="282"/>
      <c r="V382" s="298"/>
      <c r="W382" s="298"/>
      <c r="X382" s="298"/>
      <c r="Y382" s="298"/>
      <c r="Z382" s="298"/>
      <c r="AA382" s="298"/>
      <c r="AB382" s="298"/>
      <c r="AC382" s="298"/>
      <c r="AD382" s="298"/>
      <c r="AE382" s="298"/>
      <c r="AF382" s="298"/>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row>
    <row r="383">
      <c r="A383" s="304"/>
      <c r="B383" s="282"/>
      <c r="C383" s="282"/>
      <c r="D383" s="282"/>
      <c r="E383" s="282"/>
      <c r="F383" s="282"/>
      <c r="G383" s="282"/>
      <c r="H383" s="282"/>
      <c r="I383" s="282"/>
      <c r="J383" s="282"/>
      <c r="K383" s="282"/>
      <c r="L383" s="282"/>
      <c r="M383" s="282"/>
      <c r="N383" s="282"/>
      <c r="O383" s="282"/>
      <c r="P383" s="282"/>
      <c r="Q383" s="282"/>
      <c r="R383" s="282"/>
      <c r="S383" s="282"/>
      <c r="T383" s="282"/>
      <c r="U383" s="282"/>
      <c r="V383" s="298"/>
      <c r="W383" s="298"/>
      <c r="X383" s="298"/>
      <c r="Y383" s="298"/>
      <c r="Z383" s="298"/>
      <c r="AA383" s="298"/>
      <c r="AB383" s="298"/>
      <c r="AC383" s="298"/>
      <c r="AD383" s="298"/>
      <c r="AE383" s="298"/>
      <c r="AF383" s="298"/>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row>
    <row r="384">
      <c r="A384" s="304"/>
      <c r="B384" s="282"/>
      <c r="C384" s="282"/>
      <c r="D384" s="282"/>
      <c r="E384" s="282"/>
      <c r="F384" s="282"/>
      <c r="G384" s="282"/>
      <c r="H384" s="282"/>
      <c r="I384" s="282"/>
      <c r="J384" s="282"/>
      <c r="K384" s="282"/>
      <c r="L384" s="282"/>
      <c r="M384" s="282"/>
      <c r="N384" s="282"/>
      <c r="O384" s="282"/>
      <c r="P384" s="282"/>
      <c r="Q384" s="282"/>
      <c r="R384" s="282"/>
      <c r="S384" s="282"/>
      <c r="T384" s="282"/>
      <c r="U384" s="282"/>
      <c r="V384" s="298"/>
      <c r="W384" s="298"/>
      <c r="X384" s="298"/>
      <c r="Y384" s="298"/>
      <c r="Z384" s="298"/>
      <c r="AA384" s="298"/>
      <c r="AB384" s="298"/>
      <c r="AC384" s="298"/>
      <c r="AD384" s="298"/>
      <c r="AE384" s="298"/>
      <c r="AF384" s="298"/>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row>
    <row r="385">
      <c r="A385" s="304"/>
      <c r="B385" s="282"/>
      <c r="C385" s="282"/>
      <c r="D385" s="282"/>
      <c r="E385" s="282"/>
      <c r="F385" s="282"/>
      <c r="G385" s="282"/>
      <c r="H385" s="282"/>
      <c r="I385" s="282"/>
      <c r="J385" s="282"/>
      <c r="K385" s="282"/>
      <c r="L385" s="282"/>
      <c r="M385" s="282"/>
      <c r="N385" s="282"/>
      <c r="O385" s="282"/>
      <c r="P385" s="282"/>
      <c r="Q385" s="282"/>
      <c r="R385" s="282"/>
      <c r="S385" s="282"/>
      <c r="T385" s="282"/>
      <c r="U385" s="282"/>
      <c r="V385" s="298"/>
      <c r="W385" s="298"/>
      <c r="X385" s="298"/>
      <c r="Y385" s="298"/>
      <c r="Z385" s="298"/>
      <c r="AA385" s="298"/>
      <c r="AB385" s="298"/>
      <c r="AC385" s="298"/>
      <c r="AD385" s="298"/>
      <c r="AE385" s="298"/>
      <c r="AF385" s="298"/>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row>
    <row r="386">
      <c r="A386" s="304"/>
      <c r="B386" s="282"/>
      <c r="C386" s="282"/>
      <c r="D386" s="282"/>
      <c r="E386" s="282"/>
      <c r="F386" s="282"/>
      <c r="G386" s="282"/>
      <c r="H386" s="282"/>
      <c r="I386" s="282"/>
      <c r="J386" s="282"/>
      <c r="K386" s="282"/>
      <c r="L386" s="282"/>
      <c r="M386" s="282"/>
      <c r="N386" s="282"/>
      <c r="O386" s="282"/>
      <c r="P386" s="282"/>
      <c r="Q386" s="282"/>
      <c r="R386" s="282"/>
      <c r="S386" s="282"/>
      <c r="T386" s="282"/>
      <c r="U386" s="282"/>
      <c r="V386" s="298"/>
      <c r="W386" s="298"/>
      <c r="X386" s="298"/>
      <c r="Y386" s="298"/>
      <c r="Z386" s="298"/>
      <c r="AA386" s="298"/>
      <c r="AB386" s="298"/>
      <c r="AC386" s="298"/>
      <c r="AD386" s="298"/>
      <c r="AE386" s="298"/>
      <c r="AF386" s="298"/>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row>
    <row r="387">
      <c r="A387" s="304"/>
      <c r="B387" s="282"/>
      <c r="C387" s="282"/>
      <c r="D387" s="282"/>
      <c r="E387" s="282"/>
      <c r="F387" s="282"/>
      <c r="G387" s="282"/>
      <c r="H387" s="282"/>
      <c r="I387" s="282"/>
      <c r="J387" s="282"/>
      <c r="K387" s="282"/>
      <c r="L387" s="282"/>
      <c r="M387" s="282"/>
      <c r="N387" s="282"/>
      <c r="O387" s="282"/>
      <c r="P387" s="282"/>
      <c r="Q387" s="282"/>
      <c r="R387" s="282"/>
      <c r="S387" s="282"/>
      <c r="T387" s="282"/>
      <c r="U387" s="282"/>
      <c r="V387" s="298"/>
      <c r="W387" s="298"/>
      <c r="X387" s="298"/>
      <c r="Y387" s="298"/>
      <c r="Z387" s="298"/>
      <c r="AA387" s="298"/>
      <c r="AB387" s="298"/>
      <c r="AC387" s="298"/>
      <c r="AD387" s="298"/>
      <c r="AE387" s="298"/>
      <c r="AF387" s="298"/>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row>
    <row r="388">
      <c r="A388" s="304"/>
      <c r="B388" s="282"/>
      <c r="C388" s="282"/>
      <c r="D388" s="282"/>
      <c r="E388" s="282"/>
      <c r="F388" s="282"/>
      <c r="G388" s="282"/>
      <c r="H388" s="282"/>
      <c r="I388" s="282"/>
      <c r="J388" s="282"/>
      <c r="K388" s="282"/>
      <c r="L388" s="282"/>
      <c r="M388" s="282"/>
      <c r="N388" s="282"/>
      <c r="O388" s="282"/>
      <c r="P388" s="282"/>
      <c r="Q388" s="282"/>
      <c r="R388" s="282"/>
      <c r="S388" s="282"/>
      <c r="T388" s="282"/>
      <c r="U388" s="282"/>
      <c r="V388" s="298"/>
      <c r="W388" s="298"/>
      <c r="X388" s="298"/>
      <c r="Y388" s="298"/>
      <c r="Z388" s="298"/>
      <c r="AA388" s="298"/>
      <c r="AB388" s="298"/>
      <c r="AC388" s="298"/>
      <c r="AD388" s="298"/>
      <c r="AE388" s="298"/>
      <c r="AF388" s="298"/>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row>
    <row r="389">
      <c r="A389" s="304"/>
      <c r="B389" s="282"/>
      <c r="C389" s="282"/>
      <c r="D389" s="282"/>
      <c r="E389" s="282"/>
      <c r="F389" s="282"/>
      <c r="G389" s="282"/>
      <c r="H389" s="282"/>
      <c r="I389" s="282"/>
      <c r="J389" s="282"/>
      <c r="K389" s="282"/>
      <c r="L389" s="282"/>
      <c r="M389" s="282"/>
      <c r="N389" s="282"/>
      <c r="O389" s="282"/>
      <c r="P389" s="282"/>
      <c r="Q389" s="282"/>
      <c r="R389" s="282"/>
      <c r="S389" s="282"/>
      <c r="T389" s="282"/>
      <c r="U389" s="282"/>
      <c r="V389" s="298"/>
      <c r="W389" s="298"/>
      <c r="X389" s="298"/>
      <c r="Y389" s="298"/>
      <c r="Z389" s="298"/>
      <c r="AA389" s="298"/>
      <c r="AB389" s="298"/>
      <c r="AC389" s="298"/>
      <c r="AD389" s="298"/>
      <c r="AE389" s="298"/>
      <c r="AF389" s="298"/>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row>
    <row r="390">
      <c r="A390" s="304"/>
      <c r="B390" s="282"/>
      <c r="C390" s="282"/>
      <c r="D390" s="282"/>
      <c r="E390" s="282"/>
      <c r="F390" s="282"/>
      <c r="G390" s="282"/>
      <c r="H390" s="282"/>
      <c r="I390" s="282"/>
      <c r="J390" s="282"/>
      <c r="K390" s="282"/>
      <c r="L390" s="282"/>
      <c r="M390" s="282"/>
      <c r="N390" s="282"/>
      <c r="O390" s="282"/>
      <c r="P390" s="282"/>
      <c r="Q390" s="282"/>
      <c r="R390" s="282"/>
      <c r="S390" s="282"/>
      <c r="T390" s="282"/>
      <c r="U390" s="282"/>
      <c r="V390" s="298"/>
      <c r="W390" s="298"/>
      <c r="X390" s="298"/>
      <c r="Y390" s="298"/>
      <c r="Z390" s="298"/>
      <c r="AA390" s="298"/>
      <c r="AB390" s="298"/>
      <c r="AC390" s="298"/>
      <c r="AD390" s="298"/>
      <c r="AE390" s="298"/>
      <c r="AF390" s="298"/>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row>
    <row r="391">
      <c r="A391" s="304"/>
      <c r="B391" s="282"/>
      <c r="C391" s="282"/>
      <c r="D391" s="282"/>
      <c r="E391" s="282"/>
      <c r="F391" s="282"/>
      <c r="G391" s="282"/>
      <c r="H391" s="282"/>
      <c r="I391" s="282"/>
      <c r="J391" s="282"/>
      <c r="K391" s="282"/>
      <c r="L391" s="282"/>
      <c r="M391" s="282"/>
      <c r="N391" s="282"/>
      <c r="O391" s="282"/>
      <c r="P391" s="282"/>
      <c r="Q391" s="282"/>
      <c r="R391" s="282"/>
      <c r="S391" s="282"/>
      <c r="T391" s="282"/>
      <c r="U391" s="282"/>
      <c r="V391" s="298"/>
      <c r="W391" s="298"/>
      <c r="X391" s="298"/>
      <c r="Y391" s="298"/>
      <c r="Z391" s="298"/>
      <c r="AA391" s="298"/>
      <c r="AB391" s="298"/>
      <c r="AC391" s="298"/>
      <c r="AD391" s="298"/>
      <c r="AE391" s="298"/>
      <c r="AF391" s="298"/>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row>
    <row r="392">
      <c r="A392" s="304"/>
      <c r="B392" s="282"/>
      <c r="C392" s="282"/>
      <c r="D392" s="282"/>
      <c r="E392" s="282"/>
      <c r="F392" s="282"/>
      <c r="G392" s="282"/>
      <c r="H392" s="282"/>
      <c r="I392" s="282"/>
      <c r="J392" s="282"/>
      <c r="K392" s="282"/>
      <c r="L392" s="282"/>
      <c r="M392" s="282"/>
      <c r="N392" s="282"/>
      <c r="O392" s="282"/>
      <c r="P392" s="282"/>
      <c r="Q392" s="282"/>
      <c r="R392" s="282"/>
      <c r="S392" s="282"/>
      <c r="T392" s="282"/>
      <c r="U392" s="282"/>
      <c r="V392" s="298"/>
      <c r="W392" s="298"/>
      <c r="X392" s="298"/>
      <c r="Y392" s="298"/>
      <c r="Z392" s="298"/>
      <c r="AA392" s="298"/>
      <c r="AB392" s="298"/>
      <c r="AC392" s="298"/>
      <c r="AD392" s="298"/>
      <c r="AE392" s="298"/>
      <c r="AF392" s="298"/>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row>
    <row r="393">
      <c r="A393" s="304"/>
      <c r="B393" s="282"/>
      <c r="C393" s="282"/>
      <c r="D393" s="282"/>
      <c r="E393" s="282"/>
      <c r="F393" s="282"/>
      <c r="G393" s="282"/>
      <c r="H393" s="282"/>
      <c r="I393" s="282"/>
      <c r="J393" s="282"/>
      <c r="K393" s="282"/>
      <c r="L393" s="282"/>
      <c r="M393" s="282"/>
      <c r="N393" s="282"/>
      <c r="O393" s="282"/>
      <c r="P393" s="282"/>
      <c r="Q393" s="282"/>
      <c r="R393" s="282"/>
      <c r="S393" s="282"/>
      <c r="T393" s="282"/>
      <c r="U393" s="282"/>
      <c r="V393" s="298"/>
      <c r="W393" s="298"/>
      <c r="X393" s="298"/>
      <c r="Y393" s="298"/>
      <c r="Z393" s="298"/>
      <c r="AA393" s="298"/>
      <c r="AB393" s="298"/>
      <c r="AC393" s="298"/>
      <c r="AD393" s="298"/>
      <c r="AE393" s="298"/>
      <c r="AF393" s="298"/>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row>
    <row r="394">
      <c r="A394" s="304"/>
      <c r="B394" s="282"/>
      <c r="C394" s="282"/>
      <c r="D394" s="282"/>
      <c r="E394" s="282"/>
      <c r="F394" s="282"/>
      <c r="G394" s="282"/>
      <c r="H394" s="282"/>
      <c r="I394" s="282"/>
      <c r="J394" s="282"/>
      <c r="K394" s="282"/>
      <c r="L394" s="282"/>
      <c r="M394" s="282"/>
      <c r="N394" s="282"/>
      <c r="O394" s="282"/>
      <c r="P394" s="282"/>
      <c r="Q394" s="282"/>
      <c r="R394" s="282"/>
      <c r="S394" s="282"/>
      <c r="T394" s="282"/>
      <c r="U394" s="282"/>
      <c r="V394" s="298"/>
      <c r="W394" s="298"/>
      <c r="X394" s="298"/>
      <c r="Y394" s="298"/>
      <c r="Z394" s="298"/>
      <c r="AA394" s="298"/>
      <c r="AB394" s="298"/>
      <c r="AC394" s="298"/>
      <c r="AD394" s="298"/>
      <c r="AE394" s="298"/>
      <c r="AF394" s="298"/>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row>
    <row r="395">
      <c r="A395" s="304"/>
      <c r="B395" s="282"/>
      <c r="C395" s="282"/>
      <c r="D395" s="282"/>
      <c r="E395" s="282"/>
      <c r="F395" s="282"/>
      <c r="G395" s="282"/>
      <c r="H395" s="282"/>
      <c r="I395" s="282"/>
      <c r="J395" s="282"/>
      <c r="K395" s="282"/>
      <c r="L395" s="282"/>
      <c r="M395" s="282"/>
      <c r="N395" s="282"/>
      <c r="O395" s="282"/>
      <c r="P395" s="282"/>
      <c r="Q395" s="282"/>
      <c r="R395" s="282"/>
      <c r="S395" s="282"/>
      <c r="T395" s="282"/>
      <c r="U395" s="282"/>
      <c r="V395" s="298"/>
      <c r="W395" s="298"/>
      <c r="X395" s="298"/>
      <c r="Y395" s="298"/>
      <c r="Z395" s="298"/>
      <c r="AA395" s="298"/>
      <c r="AB395" s="298"/>
      <c r="AC395" s="298"/>
      <c r="AD395" s="298"/>
      <c r="AE395" s="298"/>
      <c r="AF395" s="298"/>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row>
    <row r="396">
      <c r="A396" s="304"/>
      <c r="B396" s="282"/>
      <c r="C396" s="282"/>
      <c r="D396" s="282"/>
      <c r="E396" s="282"/>
      <c r="F396" s="282"/>
      <c r="G396" s="282"/>
      <c r="H396" s="282"/>
      <c r="I396" s="282"/>
      <c r="J396" s="282"/>
      <c r="K396" s="282"/>
      <c r="L396" s="282"/>
      <c r="M396" s="282"/>
      <c r="N396" s="282"/>
      <c r="O396" s="282"/>
      <c r="P396" s="282"/>
      <c r="Q396" s="282"/>
      <c r="R396" s="282"/>
      <c r="S396" s="282"/>
      <c r="T396" s="282"/>
      <c r="U396" s="282"/>
      <c r="V396" s="298"/>
      <c r="W396" s="298"/>
      <c r="X396" s="298"/>
      <c r="Y396" s="298"/>
      <c r="Z396" s="298"/>
      <c r="AA396" s="298"/>
      <c r="AB396" s="298"/>
      <c r="AC396" s="298"/>
      <c r="AD396" s="298"/>
      <c r="AE396" s="298"/>
      <c r="AF396" s="298"/>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row>
    <row r="397">
      <c r="A397" s="304"/>
      <c r="B397" s="282"/>
      <c r="C397" s="282"/>
      <c r="D397" s="282"/>
      <c r="E397" s="282"/>
      <c r="F397" s="282"/>
      <c r="G397" s="282"/>
      <c r="H397" s="282"/>
      <c r="I397" s="282"/>
      <c r="J397" s="282"/>
      <c r="K397" s="282"/>
      <c r="L397" s="282"/>
      <c r="M397" s="282"/>
      <c r="N397" s="282"/>
      <c r="O397" s="282"/>
      <c r="P397" s="282"/>
      <c r="Q397" s="282"/>
      <c r="R397" s="282"/>
      <c r="S397" s="282"/>
      <c r="T397" s="282"/>
      <c r="U397" s="282"/>
      <c r="V397" s="298"/>
      <c r="W397" s="298"/>
      <c r="X397" s="298"/>
      <c r="Y397" s="298"/>
      <c r="Z397" s="298"/>
      <c r="AA397" s="298"/>
      <c r="AB397" s="298"/>
      <c r="AC397" s="298"/>
      <c r="AD397" s="298"/>
      <c r="AE397" s="298"/>
      <c r="AF397" s="298"/>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row>
    <row r="398">
      <c r="A398" s="304"/>
      <c r="B398" s="282"/>
      <c r="C398" s="282"/>
      <c r="D398" s="282"/>
      <c r="E398" s="282"/>
      <c r="F398" s="282"/>
      <c r="G398" s="282"/>
      <c r="H398" s="282"/>
      <c r="I398" s="282"/>
      <c r="J398" s="282"/>
      <c r="K398" s="282"/>
      <c r="L398" s="282"/>
      <c r="M398" s="282"/>
      <c r="N398" s="282"/>
      <c r="O398" s="282"/>
      <c r="P398" s="282"/>
      <c r="Q398" s="282"/>
      <c r="R398" s="282"/>
      <c r="S398" s="282"/>
      <c r="T398" s="282"/>
      <c r="U398" s="282"/>
      <c r="V398" s="298"/>
      <c r="W398" s="298"/>
      <c r="X398" s="298"/>
      <c r="Y398" s="298"/>
      <c r="Z398" s="298"/>
      <c r="AA398" s="298"/>
      <c r="AB398" s="298"/>
      <c r="AC398" s="298"/>
      <c r="AD398" s="298"/>
      <c r="AE398" s="298"/>
      <c r="AF398" s="298"/>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row>
    <row r="399">
      <c r="A399" s="304"/>
      <c r="B399" s="282"/>
      <c r="C399" s="282"/>
      <c r="D399" s="282"/>
      <c r="E399" s="282"/>
      <c r="F399" s="282"/>
      <c r="G399" s="282"/>
      <c r="H399" s="282"/>
      <c r="I399" s="282"/>
      <c r="J399" s="282"/>
      <c r="K399" s="282"/>
      <c r="L399" s="282"/>
      <c r="M399" s="282"/>
      <c r="N399" s="282"/>
      <c r="O399" s="282"/>
      <c r="P399" s="282"/>
      <c r="Q399" s="282"/>
      <c r="R399" s="282"/>
      <c r="S399" s="282"/>
      <c r="T399" s="282"/>
      <c r="U399" s="282"/>
      <c r="V399" s="298"/>
      <c r="W399" s="298"/>
      <c r="X399" s="298"/>
      <c r="Y399" s="298"/>
      <c r="Z399" s="298"/>
      <c r="AA399" s="298"/>
      <c r="AB399" s="298"/>
      <c r="AC399" s="298"/>
      <c r="AD399" s="298"/>
      <c r="AE399" s="298"/>
      <c r="AF399" s="298"/>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row>
    <row r="400">
      <c r="A400" s="304"/>
      <c r="B400" s="282"/>
      <c r="C400" s="282"/>
      <c r="D400" s="282"/>
      <c r="E400" s="282"/>
      <c r="F400" s="282"/>
      <c r="G400" s="282"/>
      <c r="H400" s="282"/>
      <c r="I400" s="282"/>
      <c r="J400" s="282"/>
      <c r="K400" s="282"/>
      <c r="L400" s="282"/>
      <c r="M400" s="282"/>
      <c r="N400" s="282"/>
      <c r="O400" s="282"/>
      <c r="P400" s="282"/>
      <c r="Q400" s="282"/>
      <c r="R400" s="282"/>
      <c r="S400" s="282"/>
      <c r="T400" s="282"/>
      <c r="U400" s="282"/>
      <c r="V400" s="298"/>
      <c r="W400" s="298"/>
      <c r="X400" s="298"/>
      <c r="Y400" s="298"/>
      <c r="Z400" s="298"/>
      <c r="AA400" s="298"/>
      <c r="AB400" s="298"/>
      <c r="AC400" s="298"/>
      <c r="AD400" s="298"/>
      <c r="AE400" s="298"/>
      <c r="AF400" s="298"/>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row>
    <row r="401">
      <c r="A401" s="304"/>
      <c r="B401" s="282"/>
      <c r="C401" s="282"/>
      <c r="D401" s="282"/>
      <c r="E401" s="282"/>
      <c r="F401" s="282"/>
      <c r="G401" s="282"/>
      <c r="H401" s="282"/>
      <c r="I401" s="282"/>
      <c r="J401" s="282"/>
      <c r="K401" s="282"/>
      <c r="L401" s="282"/>
      <c r="M401" s="282"/>
      <c r="N401" s="282"/>
      <c r="O401" s="282"/>
      <c r="P401" s="282"/>
      <c r="Q401" s="282"/>
      <c r="R401" s="282"/>
      <c r="S401" s="282"/>
      <c r="T401" s="282"/>
      <c r="U401" s="282"/>
      <c r="V401" s="298"/>
      <c r="W401" s="298"/>
      <c r="X401" s="298"/>
      <c r="Y401" s="298"/>
      <c r="Z401" s="298"/>
      <c r="AA401" s="298"/>
      <c r="AB401" s="298"/>
      <c r="AC401" s="298"/>
      <c r="AD401" s="298"/>
      <c r="AE401" s="298"/>
      <c r="AF401" s="298"/>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row>
    <row r="402">
      <c r="A402" s="304"/>
      <c r="B402" s="282"/>
      <c r="C402" s="282"/>
      <c r="D402" s="282"/>
      <c r="E402" s="282"/>
      <c r="F402" s="282"/>
      <c r="G402" s="282"/>
      <c r="H402" s="282"/>
      <c r="I402" s="282"/>
      <c r="J402" s="282"/>
      <c r="K402" s="282"/>
      <c r="L402" s="282"/>
      <c r="M402" s="282"/>
      <c r="N402" s="282"/>
      <c r="O402" s="282"/>
      <c r="P402" s="282"/>
      <c r="Q402" s="282"/>
      <c r="R402" s="282"/>
      <c r="S402" s="282"/>
      <c r="T402" s="282"/>
      <c r="U402" s="282"/>
      <c r="V402" s="298"/>
      <c r="W402" s="298"/>
      <c r="X402" s="298"/>
      <c r="Y402" s="298"/>
      <c r="Z402" s="298"/>
      <c r="AA402" s="298"/>
      <c r="AB402" s="298"/>
      <c r="AC402" s="298"/>
      <c r="AD402" s="298"/>
      <c r="AE402" s="298"/>
      <c r="AF402" s="298"/>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row>
    <row r="403">
      <c r="A403" s="304"/>
      <c r="B403" s="282"/>
      <c r="C403" s="282"/>
      <c r="D403" s="282"/>
      <c r="E403" s="282"/>
      <c r="F403" s="282"/>
      <c r="G403" s="282"/>
      <c r="H403" s="282"/>
      <c r="I403" s="282"/>
      <c r="J403" s="282"/>
      <c r="K403" s="282"/>
      <c r="L403" s="282"/>
      <c r="M403" s="282"/>
      <c r="N403" s="282"/>
      <c r="O403" s="282"/>
      <c r="P403" s="282"/>
      <c r="Q403" s="282"/>
      <c r="R403" s="282"/>
      <c r="S403" s="282"/>
      <c r="T403" s="282"/>
      <c r="U403" s="282"/>
      <c r="V403" s="298"/>
      <c r="W403" s="298"/>
      <c r="X403" s="298"/>
      <c r="Y403" s="298"/>
      <c r="Z403" s="298"/>
      <c r="AA403" s="298"/>
      <c r="AB403" s="298"/>
      <c r="AC403" s="298"/>
      <c r="AD403" s="298"/>
      <c r="AE403" s="298"/>
      <c r="AF403" s="298"/>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row>
    <row r="404">
      <c r="A404" s="304"/>
      <c r="B404" s="282"/>
      <c r="C404" s="282"/>
      <c r="D404" s="282"/>
      <c r="E404" s="282"/>
      <c r="F404" s="282"/>
      <c r="G404" s="282"/>
      <c r="H404" s="282"/>
      <c r="I404" s="282"/>
      <c r="J404" s="282"/>
      <c r="K404" s="282"/>
      <c r="L404" s="282"/>
      <c r="M404" s="282"/>
      <c r="N404" s="282"/>
      <c r="O404" s="282"/>
      <c r="P404" s="282"/>
      <c r="Q404" s="282"/>
      <c r="R404" s="282"/>
      <c r="S404" s="282"/>
      <c r="T404" s="282"/>
      <c r="U404" s="282"/>
      <c r="V404" s="298"/>
      <c r="W404" s="298"/>
      <c r="X404" s="298"/>
      <c r="Y404" s="298"/>
      <c r="Z404" s="298"/>
      <c r="AA404" s="298"/>
      <c r="AB404" s="298"/>
      <c r="AC404" s="298"/>
      <c r="AD404" s="298"/>
      <c r="AE404" s="298"/>
      <c r="AF404" s="298"/>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row>
    <row r="405">
      <c r="A405" s="304"/>
      <c r="B405" s="282"/>
      <c r="C405" s="282"/>
      <c r="D405" s="282"/>
      <c r="E405" s="282"/>
      <c r="F405" s="282"/>
      <c r="G405" s="282"/>
      <c r="H405" s="282"/>
      <c r="I405" s="282"/>
      <c r="J405" s="282"/>
      <c r="K405" s="282"/>
      <c r="L405" s="282"/>
      <c r="M405" s="282"/>
      <c r="N405" s="282"/>
      <c r="O405" s="282"/>
      <c r="P405" s="282"/>
      <c r="Q405" s="282"/>
      <c r="R405" s="282"/>
      <c r="S405" s="282"/>
      <c r="T405" s="282"/>
      <c r="U405" s="282"/>
      <c r="V405" s="298"/>
      <c r="W405" s="298"/>
      <c r="X405" s="298"/>
      <c r="Y405" s="298"/>
      <c r="Z405" s="298"/>
      <c r="AA405" s="298"/>
      <c r="AB405" s="298"/>
      <c r="AC405" s="298"/>
      <c r="AD405" s="298"/>
      <c r="AE405" s="298"/>
      <c r="AF405" s="298"/>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row>
    <row r="406">
      <c r="A406" s="304"/>
      <c r="B406" s="282"/>
      <c r="C406" s="282"/>
      <c r="D406" s="282"/>
      <c r="E406" s="282"/>
      <c r="F406" s="282"/>
      <c r="G406" s="282"/>
      <c r="H406" s="282"/>
      <c r="I406" s="282"/>
      <c r="J406" s="282"/>
      <c r="K406" s="282"/>
      <c r="L406" s="282"/>
      <c r="M406" s="282"/>
      <c r="N406" s="282"/>
      <c r="O406" s="282"/>
      <c r="P406" s="282"/>
      <c r="Q406" s="282"/>
      <c r="R406" s="282"/>
      <c r="S406" s="282"/>
      <c r="T406" s="282"/>
      <c r="U406" s="282"/>
      <c r="V406" s="298"/>
      <c r="W406" s="298"/>
      <c r="X406" s="298"/>
      <c r="Y406" s="298"/>
      <c r="Z406" s="298"/>
      <c r="AA406" s="298"/>
      <c r="AB406" s="298"/>
      <c r="AC406" s="298"/>
      <c r="AD406" s="298"/>
      <c r="AE406" s="298"/>
      <c r="AF406" s="298"/>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row>
    <row r="407">
      <c r="A407" s="304"/>
      <c r="B407" s="282"/>
      <c r="C407" s="282"/>
      <c r="D407" s="282"/>
      <c r="E407" s="282"/>
      <c r="F407" s="282"/>
      <c r="G407" s="282"/>
      <c r="H407" s="282"/>
      <c r="I407" s="282"/>
      <c r="J407" s="282"/>
      <c r="K407" s="282"/>
      <c r="L407" s="282"/>
      <c r="M407" s="282"/>
      <c r="N407" s="282"/>
      <c r="O407" s="282"/>
      <c r="P407" s="282"/>
      <c r="Q407" s="282"/>
      <c r="R407" s="282"/>
      <c r="S407" s="282"/>
      <c r="T407" s="282"/>
      <c r="U407" s="282"/>
      <c r="V407" s="298"/>
      <c r="W407" s="298"/>
      <c r="X407" s="298"/>
      <c r="Y407" s="298"/>
      <c r="Z407" s="298"/>
      <c r="AA407" s="298"/>
      <c r="AB407" s="298"/>
      <c r="AC407" s="298"/>
      <c r="AD407" s="298"/>
      <c r="AE407" s="298"/>
      <c r="AF407" s="298"/>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row>
    <row r="408">
      <c r="A408" s="304"/>
      <c r="B408" s="282"/>
      <c r="C408" s="282"/>
      <c r="D408" s="282"/>
      <c r="E408" s="282"/>
      <c r="F408" s="282"/>
      <c r="G408" s="282"/>
      <c r="H408" s="282"/>
      <c r="I408" s="282"/>
      <c r="J408" s="282"/>
      <c r="K408" s="282"/>
      <c r="L408" s="282"/>
      <c r="M408" s="282"/>
      <c r="N408" s="282"/>
      <c r="O408" s="282"/>
      <c r="P408" s="282"/>
      <c r="Q408" s="282"/>
      <c r="R408" s="282"/>
      <c r="S408" s="282"/>
      <c r="T408" s="282"/>
      <c r="U408" s="282"/>
      <c r="V408" s="298"/>
      <c r="W408" s="298"/>
      <c r="X408" s="298"/>
      <c r="Y408" s="298"/>
      <c r="Z408" s="298"/>
      <c r="AA408" s="298"/>
      <c r="AB408" s="298"/>
      <c r="AC408" s="298"/>
      <c r="AD408" s="298"/>
      <c r="AE408" s="298"/>
      <c r="AF408" s="298"/>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row>
    <row r="409">
      <c r="A409" s="304"/>
      <c r="B409" s="282"/>
      <c r="C409" s="282"/>
      <c r="D409" s="282"/>
      <c r="E409" s="282"/>
      <c r="F409" s="282"/>
      <c r="G409" s="282"/>
      <c r="H409" s="282"/>
      <c r="I409" s="282"/>
      <c r="J409" s="282"/>
      <c r="K409" s="282"/>
      <c r="L409" s="282"/>
      <c r="M409" s="282"/>
      <c r="N409" s="282"/>
      <c r="O409" s="282"/>
      <c r="P409" s="282"/>
      <c r="Q409" s="282"/>
      <c r="R409" s="282"/>
      <c r="S409" s="282"/>
      <c r="T409" s="282"/>
      <c r="U409" s="282"/>
      <c r="V409" s="298"/>
      <c r="W409" s="298"/>
      <c r="X409" s="298"/>
      <c r="Y409" s="298"/>
      <c r="Z409" s="298"/>
      <c r="AA409" s="298"/>
      <c r="AB409" s="298"/>
      <c r="AC409" s="298"/>
      <c r="AD409" s="298"/>
      <c r="AE409" s="298"/>
      <c r="AF409" s="298"/>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row>
    <row r="410">
      <c r="A410" s="304"/>
      <c r="B410" s="282"/>
      <c r="C410" s="282"/>
      <c r="D410" s="282"/>
      <c r="E410" s="282"/>
      <c r="F410" s="282"/>
      <c r="G410" s="282"/>
      <c r="H410" s="282"/>
      <c r="I410" s="282"/>
      <c r="J410" s="282"/>
      <c r="K410" s="282"/>
      <c r="L410" s="282"/>
      <c r="M410" s="282"/>
      <c r="N410" s="282"/>
      <c r="O410" s="282"/>
      <c r="P410" s="282"/>
      <c r="Q410" s="282"/>
      <c r="R410" s="282"/>
      <c r="S410" s="282"/>
      <c r="T410" s="282"/>
      <c r="U410" s="282"/>
      <c r="V410" s="298"/>
      <c r="W410" s="298"/>
      <c r="X410" s="298"/>
      <c r="Y410" s="298"/>
      <c r="Z410" s="298"/>
      <c r="AA410" s="298"/>
      <c r="AB410" s="298"/>
      <c r="AC410" s="298"/>
      <c r="AD410" s="298"/>
      <c r="AE410" s="298"/>
      <c r="AF410" s="298"/>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row>
    <row r="411">
      <c r="A411" s="304"/>
      <c r="B411" s="282"/>
      <c r="C411" s="282"/>
      <c r="D411" s="282"/>
      <c r="E411" s="282"/>
      <c r="F411" s="282"/>
      <c r="G411" s="282"/>
      <c r="H411" s="282"/>
      <c r="I411" s="282"/>
      <c r="J411" s="282"/>
      <c r="K411" s="282"/>
      <c r="L411" s="282"/>
      <c r="M411" s="282"/>
      <c r="N411" s="282"/>
      <c r="O411" s="282"/>
      <c r="P411" s="282"/>
      <c r="Q411" s="282"/>
      <c r="R411" s="282"/>
      <c r="S411" s="282"/>
      <c r="T411" s="282"/>
      <c r="U411" s="282"/>
      <c r="V411" s="298"/>
      <c r="W411" s="298"/>
      <c r="X411" s="298"/>
      <c r="Y411" s="298"/>
      <c r="Z411" s="298"/>
      <c r="AA411" s="298"/>
      <c r="AB411" s="298"/>
      <c r="AC411" s="298"/>
      <c r="AD411" s="298"/>
      <c r="AE411" s="298"/>
      <c r="AF411" s="298"/>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row>
    <row r="412">
      <c r="A412" s="304"/>
      <c r="B412" s="282"/>
      <c r="C412" s="282"/>
      <c r="D412" s="282"/>
      <c r="E412" s="282"/>
      <c r="F412" s="282"/>
      <c r="G412" s="282"/>
      <c r="H412" s="282"/>
      <c r="I412" s="282"/>
      <c r="J412" s="282"/>
      <c r="K412" s="282"/>
      <c r="L412" s="282"/>
      <c r="M412" s="282"/>
      <c r="N412" s="282"/>
      <c r="O412" s="282"/>
      <c r="P412" s="282"/>
      <c r="Q412" s="282"/>
      <c r="R412" s="282"/>
      <c r="S412" s="282"/>
      <c r="T412" s="282"/>
      <c r="U412" s="282"/>
      <c r="V412" s="298"/>
      <c r="W412" s="298"/>
      <c r="X412" s="298"/>
      <c r="Y412" s="298"/>
      <c r="Z412" s="298"/>
      <c r="AA412" s="298"/>
      <c r="AB412" s="298"/>
      <c r="AC412" s="298"/>
      <c r="AD412" s="298"/>
      <c r="AE412" s="298"/>
      <c r="AF412" s="298"/>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row>
    <row r="413">
      <c r="A413" s="304"/>
      <c r="B413" s="282"/>
      <c r="C413" s="282"/>
      <c r="D413" s="282"/>
      <c r="E413" s="282"/>
      <c r="F413" s="282"/>
      <c r="G413" s="282"/>
      <c r="H413" s="282"/>
      <c r="I413" s="282"/>
      <c r="J413" s="282"/>
      <c r="K413" s="282"/>
      <c r="L413" s="282"/>
      <c r="M413" s="282"/>
      <c r="N413" s="282"/>
      <c r="O413" s="282"/>
      <c r="P413" s="282"/>
      <c r="Q413" s="282"/>
      <c r="R413" s="282"/>
      <c r="S413" s="282"/>
      <c r="T413" s="282"/>
      <c r="U413" s="282"/>
      <c r="V413" s="298"/>
      <c r="W413" s="298"/>
      <c r="X413" s="298"/>
      <c r="Y413" s="298"/>
      <c r="Z413" s="298"/>
      <c r="AA413" s="298"/>
      <c r="AB413" s="298"/>
      <c r="AC413" s="298"/>
      <c r="AD413" s="298"/>
      <c r="AE413" s="298"/>
      <c r="AF413" s="298"/>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row>
    <row r="414">
      <c r="A414" s="304"/>
      <c r="B414" s="282"/>
      <c r="C414" s="282"/>
      <c r="D414" s="282"/>
      <c r="E414" s="282"/>
      <c r="F414" s="282"/>
      <c r="G414" s="282"/>
      <c r="H414" s="282"/>
      <c r="I414" s="282"/>
      <c r="J414" s="282"/>
      <c r="K414" s="282"/>
      <c r="L414" s="282"/>
      <c r="M414" s="282"/>
      <c r="N414" s="282"/>
      <c r="O414" s="282"/>
      <c r="P414" s="282"/>
      <c r="Q414" s="282"/>
      <c r="R414" s="282"/>
      <c r="S414" s="282"/>
      <c r="T414" s="282"/>
      <c r="U414" s="282"/>
      <c r="V414" s="298"/>
      <c r="W414" s="298"/>
      <c r="X414" s="298"/>
      <c r="Y414" s="298"/>
      <c r="Z414" s="298"/>
      <c r="AA414" s="298"/>
      <c r="AB414" s="298"/>
      <c r="AC414" s="298"/>
      <c r="AD414" s="298"/>
      <c r="AE414" s="298"/>
      <c r="AF414" s="298"/>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row>
    <row r="415">
      <c r="A415" s="304"/>
      <c r="B415" s="282"/>
      <c r="C415" s="282"/>
      <c r="D415" s="282"/>
      <c r="E415" s="282"/>
      <c r="F415" s="282"/>
      <c r="G415" s="282"/>
      <c r="H415" s="282"/>
      <c r="I415" s="282"/>
      <c r="J415" s="282"/>
      <c r="K415" s="282"/>
      <c r="L415" s="282"/>
      <c r="M415" s="282"/>
      <c r="N415" s="282"/>
      <c r="O415" s="282"/>
      <c r="P415" s="282"/>
      <c r="Q415" s="282"/>
      <c r="R415" s="282"/>
      <c r="S415" s="282"/>
      <c r="T415" s="282"/>
      <c r="U415" s="282"/>
      <c r="V415" s="298"/>
      <c r="W415" s="298"/>
      <c r="X415" s="298"/>
      <c r="Y415" s="298"/>
      <c r="Z415" s="298"/>
      <c r="AA415" s="298"/>
      <c r="AB415" s="298"/>
      <c r="AC415" s="298"/>
      <c r="AD415" s="298"/>
      <c r="AE415" s="298"/>
      <c r="AF415" s="298"/>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row>
    <row r="416">
      <c r="A416" s="304"/>
      <c r="B416" s="282"/>
      <c r="C416" s="282"/>
      <c r="D416" s="282"/>
      <c r="E416" s="282"/>
      <c r="F416" s="282"/>
      <c r="G416" s="282"/>
      <c r="H416" s="282"/>
      <c r="I416" s="282"/>
      <c r="J416" s="282"/>
      <c r="K416" s="282"/>
      <c r="L416" s="282"/>
      <c r="M416" s="282"/>
      <c r="N416" s="282"/>
      <c r="O416" s="282"/>
      <c r="P416" s="282"/>
      <c r="Q416" s="282"/>
      <c r="R416" s="282"/>
      <c r="S416" s="282"/>
      <c r="T416" s="282"/>
      <c r="U416" s="282"/>
      <c r="V416" s="298"/>
      <c r="W416" s="298"/>
      <c r="X416" s="298"/>
      <c r="Y416" s="298"/>
      <c r="Z416" s="298"/>
      <c r="AA416" s="298"/>
      <c r="AB416" s="298"/>
      <c r="AC416" s="298"/>
      <c r="AD416" s="298"/>
      <c r="AE416" s="298"/>
      <c r="AF416" s="298"/>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row>
    <row r="417">
      <c r="A417" s="304"/>
      <c r="B417" s="282"/>
      <c r="C417" s="282"/>
      <c r="D417" s="282"/>
      <c r="E417" s="282"/>
      <c r="F417" s="282"/>
      <c r="G417" s="282"/>
      <c r="H417" s="282"/>
      <c r="I417" s="282"/>
      <c r="J417" s="282"/>
      <c r="K417" s="282"/>
      <c r="L417" s="282"/>
      <c r="M417" s="282"/>
      <c r="N417" s="282"/>
      <c r="O417" s="282"/>
      <c r="P417" s="282"/>
      <c r="Q417" s="282"/>
      <c r="R417" s="282"/>
      <c r="S417" s="282"/>
      <c r="T417" s="282"/>
      <c r="U417" s="282"/>
      <c r="V417" s="298"/>
      <c r="W417" s="298"/>
      <c r="X417" s="298"/>
      <c r="Y417" s="298"/>
      <c r="Z417" s="298"/>
      <c r="AA417" s="298"/>
      <c r="AB417" s="298"/>
      <c r="AC417" s="298"/>
      <c r="AD417" s="298"/>
      <c r="AE417" s="298"/>
      <c r="AF417" s="298"/>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row>
    <row r="418">
      <c r="A418" s="304"/>
      <c r="B418" s="282"/>
      <c r="C418" s="282"/>
      <c r="D418" s="282"/>
      <c r="E418" s="282"/>
      <c r="F418" s="282"/>
      <c r="G418" s="282"/>
      <c r="H418" s="282"/>
      <c r="I418" s="282"/>
      <c r="J418" s="282"/>
      <c r="K418" s="282"/>
      <c r="L418" s="282"/>
      <c r="M418" s="282"/>
      <c r="N418" s="282"/>
      <c r="O418" s="282"/>
      <c r="P418" s="282"/>
      <c r="Q418" s="282"/>
      <c r="R418" s="282"/>
      <c r="S418" s="282"/>
      <c r="T418" s="282"/>
      <c r="U418" s="282"/>
      <c r="V418" s="298"/>
      <c r="W418" s="298"/>
      <c r="X418" s="298"/>
      <c r="Y418" s="298"/>
      <c r="Z418" s="298"/>
      <c r="AA418" s="298"/>
      <c r="AB418" s="298"/>
      <c r="AC418" s="298"/>
      <c r="AD418" s="298"/>
      <c r="AE418" s="298"/>
      <c r="AF418" s="298"/>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row>
    <row r="419">
      <c r="A419" s="304"/>
      <c r="B419" s="282"/>
      <c r="C419" s="282"/>
      <c r="D419" s="282"/>
      <c r="E419" s="282"/>
      <c r="F419" s="282"/>
      <c r="G419" s="282"/>
      <c r="H419" s="282"/>
      <c r="I419" s="282"/>
      <c r="J419" s="282"/>
      <c r="K419" s="282"/>
      <c r="L419" s="282"/>
      <c r="M419" s="282"/>
      <c r="N419" s="282"/>
      <c r="O419" s="282"/>
      <c r="P419" s="282"/>
      <c r="Q419" s="282"/>
      <c r="R419" s="282"/>
      <c r="S419" s="282"/>
      <c r="T419" s="282"/>
      <c r="U419" s="282"/>
      <c r="V419" s="298"/>
      <c r="W419" s="298"/>
      <c r="X419" s="298"/>
      <c r="Y419" s="298"/>
      <c r="Z419" s="298"/>
      <c r="AA419" s="298"/>
      <c r="AB419" s="298"/>
      <c r="AC419" s="298"/>
      <c r="AD419" s="298"/>
      <c r="AE419" s="298"/>
      <c r="AF419" s="298"/>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row>
    <row r="420">
      <c r="A420" s="304"/>
      <c r="B420" s="282"/>
      <c r="C420" s="282"/>
      <c r="D420" s="282"/>
      <c r="E420" s="282"/>
      <c r="F420" s="282"/>
      <c r="G420" s="282"/>
      <c r="H420" s="282"/>
      <c r="I420" s="282"/>
      <c r="J420" s="282"/>
      <c r="K420" s="282"/>
      <c r="L420" s="282"/>
      <c r="M420" s="282"/>
      <c r="N420" s="282"/>
      <c r="O420" s="282"/>
      <c r="P420" s="282"/>
      <c r="Q420" s="282"/>
      <c r="R420" s="282"/>
      <c r="S420" s="282"/>
      <c r="T420" s="282"/>
      <c r="U420" s="282"/>
      <c r="V420" s="298"/>
      <c r="W420" s="298"/>
      <c r="X420" s="298"/>
      <c r="Y420" s="298"/>
      <c r="Z420" s="298"/>
      <c r="AA420" s="298"/>
      <c r="AB420" s="298"/>
      <c r="AC420" s="298"/>
      <c r="AD420" s="298"/>
      <c r="AE420" s="298"/>
      <c r="AF420" s="298"/>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row>
    <row r="421">
      <c r="A421" s="304"/>
      <c r="B421" s="282"/>
      <c r="C421" s="282"/>
      <c r="D421" s="282"/>
      <c r="E421" s="282"/>
      <c r="F421" s="282"/>
      <c r="G421" s="282"/>
      <c r="H421" s="282"/>
      <c r="I421" s="282"/>
      <c r="J421" s="282"/>
      <c r="K421" s="282"/>
      <c r="L421" s="282"/>
      <c r="M421" s="282"/>
      <c r="N421" s="282"/>
      <c r="O421" s="282"/>
      <c r="P421" s="282"/>
      <c r="Q421" s="282"/>
      <c r="R421" s="282"/>
      <c r="S421" s="282"/>
      <c r="T421" s="282"/>
      <c r="U421" s="282"/>
      <c r="V421" s="298"/>
      <c r="W421" s="298"/>
      <c r="X421" s="298"/>
      <c r="Y421" s="298"/>
      <c r="Z421" s="298"/>
      <c r="AA421" s="298"/>
      <c r="AB421" s="298"/>
      <c r="AC421" s="298"/>
      <c r="AD421" s="298"/>
      <c r="AE421" s="298"/>
      <c r="AF421" s="298"/>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row>
    <row r="422">
      <c r="A422" s="304"/>
      <c r="B422" s="282"/>
      <c r="C422" s="282"/>
      <c r="D422" s="282"/>
      <c r="E422" s="282"/>
      <c r="F422" s="282"/>
      <c r="G422" s="282"/>
      <c r="H422" s="282"/>
      <c r="I422" s="282"/>
      <c r="J422" s="282"/>
      <c r="K422" s="282"/>
      <c r="L422" s="282"/>
      <c r="M422" s="282"/>
      <c r="N422" s="282"/>
      <c r="O422" s="282"/>
      <c r="P422" s="282"/>
      <c r="Q422" s="282"/>
      <c r="R422" s="282"/>
      <c r="S422" s="282"/>
      <c r="T422" s="282"/>
      <c r="U422" s="282"/>
      <c r="V422" s="298"/>
      <c r="W422" s="298"/>
      <c r="X422" s="298"/>
      <c r="Y422" s="298"/>
      <c r="Z422" s="298"/>
      <c r="AA422" s="298"/>
      <c r="AB422" s="298"/>
      <c r="AC422" s="298"/>
      <c r="AD422" s="298"/>
      <c r="AE422" s="298"/>
      <c r="AF422" s="298"/>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row>
    <row r="423">
      <c r="A423" s="304"/>
      <c r="B423" s="282"/>
      <c r="C423" s="282"/>
      <c r="D423" s="282"/>
      <c r="E423" s="282"/>
      <c r="F423" s="282"/>
      <c r="G423" s="282"/>
      <c r="H423" s="282"/>
      <c r="I423" s="282"/>
      <c r="J423" s="282"/>
      <c r="K423" s="282"/>
      <c r="L423" s="282"/>
      <c r="M423" s="282"/>
      <c r="N423" s="282"/>
      <c r="O423" s="282"/>
      <c r="P423" s="282"/>
      <c r="Q423" s="282"/>
      <c r="R423" s="282"/>
      <c r="S423" s="282"/>
      <c r="T423" s="282"/>
      <c r="U423" s="282"/>
      <c r="V423" s="298"/>
      <c r="W423" s="298"/>
      <c r="X423" s="298"/>
      <c r="Y423" s="298"/>
      <c r="Z423" s="298"/>
      <c r="AA423" s="298"/>
      <c r="AB423" s="298"/>
      <c r="AC423" s="298"/>
      <c r="AD423" s="298"/>
      <c r="AE423" s="298"/>
      <c r="AF423" s="298"/>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row>
    <row r="424">
      <c r="A424" s="304"/>
      <c r="B424" s="282"/>
      <c r="C424" s="282"/>
      <c r="D424" s="282"/>
      <c r="E424" s="282"/>
      <c r="F424" s="282"/>
      <c r="G424" s="282"/>
      <c r="H424" s="282"/>
      <c r="I424" s="282"/>
      <c r="J424" s="282"/>
      <c r="K424" s="282"/>
      <c r="L424" s="282"/>
      <c r="M424" s="282"/>
      <c r="N424" s="282"/>
      <c r="O424" s="282"/>
      <c r="P424" s="282"/>
      <c r="Q424" s="282"/>
      <c r="R424" s="282"/>
      <c r="S424" s="282"/>
      <c r="T424" s="282"/>
      <c r="U424" s="282"/>
      <c r="V424" s="298"/>
      <c r="W424" s="298"/>
      <c r="X424" s="298"/>
      <c r="Y424" s="298"/>
      <c r="Z424" s="298"/>
      <c r="AA424" s="298"/>
      <c r="AB424" s="298"/>
      <c r="AC424" s="298"/>
      <c r="AD424" s="298"/>
      <c r="AE424" s="298"/>
      <c r="AF424" s="298"/>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row>
    <row r="425">
      <c r="A425" s="304"/>
      <c r="B425" s="282"/>
      <c r="C425" s="282"/>
      <c r="D425" s="282"/>
      <c r="E425" s="282"/>
      <c r="F425" s="282"/>
      <c r="G425" s="282"/>
      <c r="H425" s="282"/>
      <c r="I425" s="282"/>
      <c r="J425" s="282"/>
      <c r="K425" s="282"/>
      <c r="L425" s="282"/>
      <c r="M425" s="282"/>
      <c r="N425" s="282"/>
      <c r="O425" s="282"/>
      <c r="P425" s="282"/>
      <c r="Q425" s="282"/>
      <c r="R425" s="282"/>
      <c r="S425" s="282"/>
      <c r="T425" s="282"/>
      <c r="U425" s="282"/>
      <c r="V425" s="298"/>
      <c r="W425" s="298"/>
      <c r="X425" s="298"/>
      <c r="Y425" s="298"/>
      <c r="Z425" s="298"/>
      <c r="AA425" s="298"/>
      <c r="AB425" s="298"/>
      <c r="AC425" s="298"/>
      <c r="AD425" s="298"/>
      <c r="AE425" s="298"/>
      <c r="AF425" s="298"/>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row>
    <row r="426">
      <c r="A426" s="304"/>
      <c r="B426" s="282"/>
      <c r="C426" s="282"/>
      <c r="D426" s="282"/>
      <c r="E426" s="282"/>
      <c r="F426" s="282"/>
      <c r="G426" s="282"/>
      <c r="H426" s="282"/>
      <c r="I426" s="282"/>
      <c r="J426" s="282"/>
      <c r="K426" s="282"/>
      <c r="L426" s="282"/>
      <c r="M426" s="282"/>
      <c r="N426" s="282"/>
      <c r="O426" s="282"/>
      <c r="P426" s="282"/>
      <c r="Q426" s="282"/>
      <c r="R426" s="282"/>
      <c r="S426" s="282"/>
      <c r="T426" s="282"/>
      <c r="U426" s="282"/>
      <c r="V426" s="298"/>
      <c r="W426" s="298"/>
      <c r="X426" s="298"/>
      <c r="Y426" s="298"/>
      <c r="Z426" s="298"/>
      <c r="AA426" s="298"/>
      <c r="AB426" s="298"/>
      <c r="AC426" s="298"/>
      <c r="AD426" s="298"/>
      <c r="AE426" s="298"/>
      <c r="AF426" s="298"/>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row>
    <row r="427">
      <c r="A427" s="304"/>
      <c r="B427" s="282"/>
      <c r="C427" s="282"/>
      <c r="D427" s="282"/>
      <c r="E427" s="282"/>
      <c r="F427" s="282"/>
      <c r="G427" s="282"/>
      <c r="H427" s="282"/>
      <c r="I427" s="282"/>
      <c r="J427" s="282"/>
      <c r="K427" s="282"/>
      <c r="L427" s="282"/>
      <c r="M427" s="282"/>
      <c r="N427" s="282"/>
      <c r="O427" s="282"/>
      <c r="P427" s="282"/>
      <c r="Q427" s="282"/>
      <c r="R427" s="282"/>
      <c r="S427" s="282"/>
      <c r="T427" s="282"/>
      <c r="U427" s="282"/>
      <c r="V427" s="298"/>
      <c r="W427" s="298"/>
      <c r="X427" s="298"/>
      <c r="Y427" s="298"/>
      <c r="Z427" s="298"/>
      <c r="AA427" s="298"/>
      <c r="AB427" s="298"/>
      <c r="AC427" s="298"/>
      <c r="AD427" s="298"/>
      <c r="AE427" s="298"/>
      <c r="AF427" s="298"/>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row>
    <row r="428">
      <c r="A428" s="304"/>
      <c r="B428" s="282"/>
      <c r="C428" s="282"/>
      <c r="D428" s="282"/>
      <c r="E428" s="282"/>
      <c r="F428" s="282"/>
      <c r="G428" s="282"/>
      <c r="H428" s="282"/>
      <c r="I428" s="282"/>
      <c r="J428" s="282"/>
      <c r="K428" s="282"/>
      <c r="L428" s="282"/>
      <c r="M428" s="282"/>
      <c r="N428" s="282"/>
      <c r="O428" s="282"/>
      <c r="P428" s="282"/>
      <c r="Q428" s="282"/>
      <c r="R428" s="282"/>
      <c r="S428" s="282"/>
      <c r="T428" s="282"/>
      <c r="U428" s="282"/>
      <c r="V428" s="298"/>
      <c r="W428" s="298"/>
      <c r="X428" s="298"/>
      <c r="Y428" s="298"/>
      <c r="Z428" s="298"/>
      <c r="AA428" s="298"/>
      <c r="AB428" s="298"/>
      <c r="AC428" s="298"/>
      <c r="AD428" s="298"/>
      <c r="AE428" s="298"/>
      <c r="AF428" s="298"/>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row>
    <row r="429">
      <c r="A429" s="304"/>
      <c r="B429" s="282"/>
      <c r="C429" s="282"/>
      <c r="D429" s="282"/>
      <c r="E429" s="282"/>
      <c r="F429" s="282"/>
      <c r="G429" s="282"/>
      <c r="H429" s="282"/>
      <c r="I429" s="282"/>
      <c r="J429" s="282"/>
      <c r="K429" s="282"/>
      <c r="L429" s="282"/>
      <c r="M429" s="282"/>
      <c r="N429" s="282"/>
      <c r="O429" s="282"/>
      <c r="P429" s="282"/>
      <c r="Q429" s="282"/>
      <c r="R429" s="282"/>
      <c r="S429" s="282"/>
      <c r="T429" s="282"/>
      <c r="U429" s="282"/>
      <c r="V429" s="298"/>
      <c r="W429" s="298"/>
      <c r="X429" s="298"/>
      <c r="Y429" s="298"/>
      <c r="Z429" s="298"/>
      <c r="AA429" s="298"/>
      <c r="AB429" s="298"/>
      <c r="AC429" s="298"/>
      <c r="AD429" s="298"/>
      <c r="AE429" s="298"/>
      <c r="AF429" s="298"/>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row>
    <row r="430">
      <c r="A430" s="304"/>
      <c r="B430" s="282"/>
      <c r="C430" s="282"/>
      <c r="D430" s="282"/>
      <c r="E430" s="282"/>
      <c r="F430" s="282"/>
      <c r="G430" s="282"/>
      <c r="H430" s="282"/>
      <c r="I430" s="282"/>
      <c r="J430" s="282"/>
      <c r="K430" s="282"/>
      <c r="L430" s="282"/>
      <c r="M430" s="282"/>
      <c r="N430" s="282"/>
      <c r="O430" s="282"/>
      <c r="P430" s="282"/>
      <c r="Q430" s="282"/>
      <c r="R430" s="282"/>
      <c r="S430" s="282"/>
      <c r="T430" s="282"/>
      <c r="U430" s="282"/>
      <c r="V430" s="298"/>
      <c r="W430" s="298"/>
      <c r="X430" s="298"/>
      <c r="Y430" s="298"/>
      <c r="Z430" s="298"/>
      <c r="AA430" s="298"/>
      <c r="AB430" s="298"/>
      <c r="AC430" s="298"/>
      <c r="AD430" s="298"/>
      <c r="AE430" s="298"/>
      <c r="AF430" s="298"/>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row>
    <row r="431">
      <c r="A431" s="304"/>
      <c r="B431" s="282"/>
      <c r="C431" s="282"/>
      <c r="D431" s="282"/>
      <c r="E431" s="282"/>
      <c r="F431" s="282"/>
      <c r="G431" s="282"/>
      <c r="H431" s="282"/>
      <c r="I431" s="282"/>
      <c r="J431" s="282"/>
      <c r="K431" s="282"/>
      <c r="L431" s="282"/>
      <c r="M431" s="282"/>
      <c r="N431" s="282"/>
      <c r="O431" s="282"/>
      <c r="P431" s="282"/>
      <c r="Q431" s="282"/>
      <c r="R431" s="282"/>
      <c r="S431" s="282"/>
      <c r="T431" s="282"/>
      <c r="U431" s="282"/>
      <c r="V431" s="298"/>
      <c r="W431" s="298"/>
      <c r="X431" s="298"/>
      <c r="Y431" s="298"/>
      <c r="Z431" s="298"/>
      <c r="AA431" s="298"/>
      <c r="AB431" s="298"/>
      <c r="AC431" s="298"/>
      <c r="AD431" s="298"/>
      <c r="AE431" s="298"/>
      <c r="AF431" s="298"/>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row>
    <row r="432">
      <c r="A432" s="304"/>
      <c r="B432" s="282"/>
      <c r="C432" s="282"/>
      <c r="D432" s="282"/>
      <c r="E432" s="282"/>
      <c r="F432" s="282"/>
      <c r="G432" s="282"/>
      <c r="H432" s="282"/>
      <c r="I432" s="282"/>
      <c r="J432" s="282"/>
      <c r="K432" s="282"/>
      <c r="L432" s="282"/>
      <c r="M432" s="282"/>
      <c r="N432" s="282"/>
      <c r="O432" s="282"/>
      <c r="P432" s="282"/>
      <c r="Q432" s="282"/>
      <c r="R432" s="282"/>
      <c r="S432" s="282"/>
      <c r="T432" s="282"/>
      <c r="U432" s="282"/>
      <c r="V432" s="298"/>
      <c r="W432" s="298"/>
      <c r="X432" s="298"/>
      <c r="Y432" s="298"/>
      <c r="Z432" s="298"/>
      <c r="AA432" s="298"/>
      <c r="AB432" s="298"/>
      <c r="AC432" s="298"/>
      <c r="AD432" s="298"/>
      <c r="AE432" s="298"/>
      <c r="AF432" s="298"/>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row>
    <row r="433">
      <c r="A433" s="304"/>
      <c r="B433" s="282"/>
      <c r="C433" s="282"/>
      <c r="D433" s="282"/>
      <c r="E433" s="282"/>
      <c r="F433" s="282"/>
      <c r="G433" s="282"/>
      <c r="H433" s="282"/>
      <c r="I433" s="282"/>
      <c r="J433" s="282"/>
      <c r="K433" s="282"/>
      <c r="L433" s="282"/>
      <c r="M433" s="282"/>
      <c r="N433" s="282"/>
      <c r="O433" s="282"/>
      <c r="P433" s="282"/>
      <c r="Q433" s="282"/>
      <c r="R433" s="282"/>
      <c r="S433" s="282"/>
      <c r="T433" s="282"/>
      <c r="U433" s="282"/>
      <c r="V433" s="298"/>
      <c r="W433" s="298"/>
      <c r="X433" s="298"/>
      <c r="Y433" s="298"/>
      <c r="Z433" s="298"/>
      <c r="AA433" s="298"/>
      <c r="AB433" s="298"/>
      <c r="AC433" s="298"/>
      <c r="AD433" s="298"/>
      <c r="AE433" s="298"/>
      <c r="AF433" s="298"/>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row>
    <row r="434">
      <c r="A434" s="304"/>
      <c r="B434" s="282"/>
      <c r="C434" s="282"/>
      <c r="D434" s="282"/>
      <c r="E434" s="282"/>
      <c r="F434" s="282"/>
      <c r="G434" s="282"/>
      <c r="H434" s="282"/>
      <c r="I434" s="282"/>
      <c r="J434" s="282"/>
      <c r="K434" s="282"/>
      <c r="L434" s="282"/>
      <c r="M434" s="282"/>
      <c r="N434" s="282"/>
      <c r="O434" s="282"/>
      <c r="P434" s="282"/>
      <c r="Q434" s="282"/>
      <c r="R434" s="282"/>
      <c r="S434" s="282"/>
      <c r="T434" s="282"/>
      <c r="U434" s="282"/>
      <c r="V434" s="298"/>
      <c r="W434" s="298"/>
      <c r="X434" s="298"/>
      <c r="Y434" s="298"/>
      <c r="Z434" s="298"/>
      <c r="AA434" s="298"/>
      <c r="AB434" s="298"/>
      <c r="AC434" s="298"/>
      <c r="AD434" s="298"/>
      <c r="AE434" s="298"/>
      <c r="AF434" s="298"/>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row>
    <row r="435">
      <c r="A435" s="304"/>
      <c r="B435" s="282"/>
      <c r="C435" s="282"/>
      <c r="D435" s="282"/>
      <c r="E435" s="282"/>
      <c r="F435" s="282"/>
      <c r="G435" s="282"/>
      <c r="H435" s="282"/>
      <c r="I435" s="282"/>
      <c r="J435" s="282"/>
      <c r="K435" s="282"/>
      <c r="L435" s="282"/>
      <c r="M435" s="282"/>
      <c r="N435" s="282"/>
      <c r="O435" s="282"/>
      <c r="P435" s="282"/>
      <c r="Q435" s="282"/>
      <c r="R435" s="282"/>
      <c r="S435" s="282"/>
      <c r="T435" s="282"/>
      <c r="U435" s="282"/>
      <c r="V435" s="298"/>
      <c r="W435" s="298"/>
      <c r="X435" s="298"/>
      <c r="Y435" s="298"/>
      <c r="Z435" s="298"/>
      <c r="AA435" s="298"/>
      <c r="AB435" s="298"/>
      <c r="AC435" s="298"/>
      <c r="AD435" s="298"/>
      <c r="AE435" s="298"/>
      <c r="AF435" s="298"/>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row>
    <row r="436">
      <c r="A436" s="304"/>
      <c r="B436" s="282"/>
      <c r="C436" s="282"/>
      <c r="D436" s="282"/>
      <c r="E436" s="282"/>
      <c r="F436" s="282"/>
      <c r="G436" s="282"/>
      <c r="H436" s="282"/>
      <c r="I436" s="282"/>
      <c r="J436" s="282"/>
      <c r="K436" s="282"/>
      <c r="L436" s="282"/>
      <c r="M436" s="282"/>
      <c r="N436" s="282"/>
      <c r="O436" s="282"/>
      <c r="P436" s="282"/>
      <c r="Q436" s="282"/>
      <c r="R436" s="282"/>
      <c r="S436" s="282"/>
      <c r="T436" s="282"/>
      <c r="U436" s="282"/>
      <c r="V436" s="298"/>
      <c r="W436" s="298"/>
      <c r="X436" s="298"/>
      <c r="Y436" s="298"/>
      <c r="Z436" s="298"/>
      <c r="AA436" s="298"/>
      <c r="AB436" s="298"/>
      <c r="AC436" s="298"/>
      <c r="AD436" s="298"/>
      <c r="AE436" s="298"/>
      <c r="AF436" s="298"/>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row>
    <row r="437">
      <c r="A437" s="304"/>
      <c r="B437" s="282"/>
      <c r="C437" s="282"/>
      <c r="D437" s="282"/>
      <c r="E437" s="282"/>
      <c r="F437" s="282"/>
      <c r="G437" s="282"/>
      <c r="H437" s="282"/>
      <c r="I437" s="282"/>
      <c r="J437" s="282"/>
      <c r="K437" s="282"/>
      <c r="L437" s="282"/>
      <c r="M437" s="282"/>
      <c r="N437" s="282"/>
      <c r="O437" s="282"/>
      <c r="P437" s="282"/>
      <c r="Q437" s="282"/>
      <c r="R437" s="282"/>
      <c r="S437" s="282"/>
      <c r="T437" s="282"/>
      <c r="U437" s="282"/>
      <c r="V437" s="298"/>
      <c r="W437" s="298"/>
      <c r="X437" s="298"/>
      <c r="Y437" s="298"/>
      <c r="Z437" s="298"/>
      <c r="AA437" s="298"/>
      <c r="AB437" s="298"/>
      <c r="AC437" s="298"/>
      <c r="AD437" s="298"/>
      <c r="AE437" s="298"/>
      <c r="AF437" s="298"/>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row>
    <row r="438">
      <c r="A438" s="304"/>
      <c r="B438" s="282"/>
      <c r="C438" s="282"/>
      <c r="D438" s="282"/>
      <c r="E438" s="282"/>
      <c r="F438" s="282"/>
      <c r="G438" s="282"/>
      <c r="H438" s="282"/>
      <c r="I438" s="282"/>
      <c r="J438" s="282"/>
      <c r="K438" s="282"/>
      <c r="L438" s="282"/>
      <c r="M438" s="282"/>
      <c r="N438" s="282"/>
      <c r="O438" s="282"/>
      <c r="P438" s="282"/>
      <c r="Q438" s="282"/>
      <c r="R438" s="282"/>
      <c r="S438" s="282"/>
      <c r="T438" s="282"/>
      <c r="U438" s="282"/>
      <c r="V438" s="298"/>
      <c r="W438" s="298"/>
      <c r="X438" s="298"/>
      <c r="Y438" s="298"/>
      <c r="Z438" s="298"/>
      <c r="AA438" s="298"/>
      <c r="AB438" s="298"/>
      <c r="AC438" s="298"/>
      <c r="AD438" s="298"/>
      <c r="AE438" s="298"/>
      <c r="AF438" s="298"/>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row>
    <row r="439">
      <c r="A439" s="304"/>
      <c r="B439" s="282"/>
      <c r="C439" s="282"/>
      <c r="D439" s="282"/>
      <c r="E439" s="282"/>
      <c r="F439" s="282"/>
      <c r="G439" s="282"/>
      <c r="H439" s="282"/>
      <c r="I439" s="282"/>
      <c r="J439" s="282"/>
      <c r="K439" s="282"/>
      <c r="L439" s="282"/>
      <c r="M439" s="282"/>
      <c r="N439" s="282"/>
      <c r="O439" s="282"/>
      <c r="P439" s="282"/>
      <c r="Q439" s="282"/>
      <c r="R439" s="282"/>
      <c r="S439" s="282"/>
      <c r="T439" s="282"/>
      <c r="U439" s="282"/>
      <c r="V439" s="298"/>
      <c r="W439" s="298"/>
      <c r="X439" s="298"/>
      <c r="Y439" s="298"/>
      <c r="Z439" s="298"/>
      <c r="AA439" s="298"/>
      <c r="AB439" s="298"/>
      <c r="AC439" s="298"/>
      <c r="AD439" s="298"/>
      <c r="AE439" s="298"/>
      <c r="AF439" s="298"/>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row>
    <row r="440">
      <c r="A440" s="304"/>
      <c r="B440" s="282"/>
      <c r="C440" s="282"/>
      <c r="D440" s="282"/>
      <c r="E440" s="282"/>
      <c r="F440" s="282"/>
      <c r="G440" s="282"/>
      <c r="H440" s="282"/>
      <c r="I440" s="282"/>
      <c r="J440" s="282"/>
      <c r="K440" s="282"/>
      <c r="L440" s="282"/>
      <c r="M440" s="282"/>
      <c r="N440" s="282"/>
      <c r="O440" s="282"/>
      <c r="P440" s="282"/>
      <c r="Q440" s="282"/>
      <c r="R440" s="282"/>
      <c r="S440" s="282"/>
      <c r="T440" s="282"/>
      <c r="U440" s="282"/>
      <c r="V440" s="298"/>
      <c r="W440" s="298"/>
      <c r="X440" s="298"/>
      <c r="Y440" s="298"/>
      <c r="Z440" s="298"/>
      <c r="AA440" s="298"/>
      <c r="AB440" s="298"/>
      <c r="AC440" s="298"/>
      <c r="AD440" s="298"/>
      <c r="AE440" s="298"/>
      <c r="AF440" s="298"/>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row>
    <row r="441">
      <c r="A441" s="304"/>
      <c r="B441" s="282"/>
      <c r="C441" s="282"/>
      <c r="D441" s="282"/>
      <c r="E441" s="282"/>
      <c r="F441" s="282"/>
      <c r="G441" s="282"/>
      <c r="H441" s="282"/>
      <c r="I441" s="282"/>
      <c r="J441" s="282"/>
      <c r="K441" s="282"/>
      <c r="L441" s="282"/>
      <c r="M441" s="282"/>
      <c r="N441" s="282"/>
      <c r="O441" s="282"/>
      <c r="P441" s="282"/>
      <c r="Q441" s="282"/>
      <c r="R441" s="282"/>
      <c r="S441" s="282"/>
      <c r="T441" s="282"/>
      <c r="U441" s="282"/>
      <c r="V441" s="298"/>
      <c r="W441" s="298"/>
      <c r="X441" s="298"/>
      <c r="Y441" s="298"/>
      <c r="Z441" s="298"/>
      <c r="AA441" s="298"/>
      <c r="AB441" s="298"/>
      <c r="AC441" s="298"/>
      <c r="AD441" s="298"/>
      <c r="AE441" s="298"/>
      <c r="AF441" s="298"/>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row>
    <row r="442">
      <c r="A442" s="304"/>
      <c r="B442" s="282"/>
      <c r="C442" s="282"/>
      <c r="D442" s="282"/>
      <c r="E442" s="282"/>
      <c r="F442" s="282"/>
      <c r="G442" s="282"/>
      <c r="H442" s="282"/>
      <c r="I442" s="282"/>
      <c r="J442" s="282"/>
      <c r="K442" s="282"/>
      <c r="L442" s="282"/>
      <c r="M442" s="282"/>
      <c r="N442" s="282"/>
      <c r="O442" s="282"/>
      <c r="P442" s="282"/>
      <c r="Q442" s="282"/>
      <c r="R442" s="282"/>
      <c r="S442" s="282"/>
      <c r="T442" s="282"/>
      <c r="U442" s="282"/>
      <c r="V442" s="298"/>
      <c r="W442" s="298"/>
      <c r="X442" s="298"/>
      <c r="Y442" s="298"/>
      <c r="Z442" s="298"/>
      <c r="AA442" s="298"/>
      <c r="AB442" s="298"/>
      <c r="AC442" s="298"/>
      <c r="AD442" s="298"/>
      <c r="AE442" s="298"/>
      <c r="AF442" s="298"/>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row>
    <row r="443">
      <c r="A443" s="304"/>
      <c r="B443" s="282"/>
      <c r="C443" s="282"/>
      <c r="D443" s="282"/>
      <c r="E443" s="282"/>
      <c r="F443" s="282"/>
      <c r="G443" s="282"/>
      <c r="H443" s="282"/>
      <c r="I443" s="282"/>
      <c r="J443" s="282"/>
      <c r="K443" s="282"/>
      <c r="L443" s="282"/>
      <c r="M443" s="282"/>
      <c r="N443" s="282"/>
      <c r="O443" s="282"/>
      <c r="P443" s="282"/>
      <c r="Q443" s="282"/>
      <c r="R443" s="282"/>
      <c r="S443" s="282"/>
      <c r="T443" s="282"/>
      <c r="U443" s="282"/>
      <c r="V443" s="298"/>
      <c r="W443" s="298"/>
      <c r="X443" s="298"/>
      <c r="Y443" s="298"/>
      <c r="Z443" s="298"/>
      <c r="AA443" s="298"/>
      <c r="AB443" s="298"/>
      <c r="AC443" s="298"/>
      <c r="AD443" s="298"/>
      <c r="AE443" s="298"/>
      <c r="AF443" s="298"/>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row>
    <row r="444">
      <c r="A444" s="304"/>
      <c r="B444" s="282"/>
      <c r="C444" s="282"/>
      <c r="D444" s="282"/>
      <c r="E444" s="282"/>
      <c r="F444" s="282"/>
      <c r="G444" s="282"/>
      <c r="H444" s="282"/>
      <c r="I444" s="282"/>
      <c r="J444" s="282"/>
      <c r="K444" s="282"/>
      <c r="L444" s="282"/>
      <c r="M444" s="282"/>
      <c r="N444" s="282"/>
      <c r="O444" s="282"/>
      <c r="P444" s="282"/>
      <c r="Q444" s="282"/>
      <c r="R444" s="282"/>
      <c r="S444" s="282"/>
      <c r="T444" s="282"/>
      <c r="U444" s="282"/>
      <c r="V444" s="298"/>
      <c r="W444" s="298"/>
      <c r="X444" s="298"/>
      <c r="Y444" s="298"/>
      <c r="Z444" s="298"/>
      <c r="AA444" s="298"/>
      <c r="AB444" s="298"/>
      <c r="AC444" s="298"/>
      <c r="AD444" s="298"/>
      <c r="AE444" s="298"/>
      <c r="AF444" s="298"/>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row>
    <row r="445">
      <c r="A445" s="304"/>
      <c r="B445" s="282"/>
      <c r="C445" s="282"/>
      <c r="D445" s="282"/>
      <c r="E445" s="282"/>
      <c r="F445" s="282"/>
      <c r="G445" s="282"/>
      <c r="H445" s="282"/>
      <c r="I445" s="282"/>
      <c r="J445" s="282"/>
      <c r="K445" s="282"/>
      <c r="L445" s="282"/>
      <c r="M445" s="282"/>
      <c r="N445" s="282"/>
      <c r="O445" s="282"/>
      <c r="P445" s="282"/>
      <c r="Q445" s="282"/>
      <c r="R445" s="282"/>
      <c r="S445" s="282"/>
      <c r="T445" s="282"/>
      <c r="U445" s="282"/>
      <c r="V445" s="298"/>
      <c r="W445" s="298"/>
      <c r="X445" s="298"/>
      <c r="Y445" s="298"/>
      <c r="Z445" s="298"/>
      <c r="AA445" s="298"/>
      <c r="AB445" s="298"/>
      <c r="AC445" s="298"/>
      <c r="AD445" s="298"/>
      <c r="AE445" s="298"/>
      <c r="AF445" s="298"/>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row>
    <row r="446">
      <c r="A446" s="304"/>
      <c r="B446" s="282"/>
      <c r="C446" s="282"/>
      <c r="D446" s="282"/>
      <c r="E446" s="282"/>
      <c r="F446" s="282"/>
      <c r="G446" s="282"/>
      <c r="H446" s="282"/>
      <c r="I446" s="282"/>
      <c r="J446" s="282"/>
      <c r="K446" s="282"/>
      <c r="L446" s="282"/>
      <c r="M446" s="282"/>
      <c r="N446" s="282"/>
      <c r="O446" s="282"/>
      <c r="P446" s="282"/>
      <c r="Q446" s="282"/>
      <c r="R446" s="282"/>
      <c r="S446" s="282"/>
      <c r="T446" s="282"/>
      <c r="U446" s="282"/>
      <c r="V446" s="298"/>
      <c r="W446" s="298"/>
      <c r="X446" s="298"/>
      <c r="Y446" s="298"/>
      <c r="Z446" s="298"/>
      <c r="AA446" s="298"/>
      <c r="AB446" s="298"/>
      <c r="AC446" s="298"/>
      <c r="AD446" s="298"/>
      <c r="AE446" s="298"/>
      <c r="AF446" s="298"/>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row>
    <row r="447">
      <c r="A447" s="304"/>
      <c r="B447" s="282"/>
      <c r="C447" s="282"/>
      <c r="D447" s="282"/>
      <c r="E447" s="282"/>
      <c r="F447" s="282"/>
      <c r="G447" s="282"/>
      <c r="H447" s="282"/>
      <c r="I447" s="282"/>
      <c r="J447" s="282"/>
      <c r="K447" s="282"/>
      <c r="L447" s="282"/>
      <c r="M447" s="282"/>
      <c r="N447" s="282"/>
      <c r="O447" s="282"/>
      <c r="P447" s="282"/>
      <c r="Q447" s="282"/>
      <c r="R447" s="282"/>
      <c r="S447" s="282"/>
      <c r="T447" s="282"/>
      <c r="U447" s="282"/>
      <c r="V447" s="298"/>
      <c r="W447" s="298"/>
      <c r="X447" s="298"/>
      <c r="Y447" s="298"/>
      <c r="Z447" s="298"/>
      <c r="AA447" s="298"/>
      <c r="AB447" s="298"/>
      <c r="AC447" s="298"/>
      <c r="AD447" s="298"/>
      <c r="AE447" s="298"/>
      <c r="AF447" s="298"/>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row>
    <row r="448">
      <c r="A448" s="304"/>
      <c r="B448" s="282"/>
      <c r="C448" s="282"/>
      <c r="D448" s="282"/>
      <c r="E448" s="282"/>
      <c r="F448" s="282"/>
      <c r="G448" s="282"/>
      <c r="H448" s="282"/>
      <c r="I448" s="282"/>
      <c r="J448" s="282"/>
      <c r="K448" s="282"/>
      <c r="L448" s="282"/>
      <c r="M448" s="282"/>
      <c r="N448" s="282"/>
      <c r="O448" s="282"/>
      <c r="P448" s="282"/>
      <c r="Q448" s="282"/>
      <c r="R448" s="282"/>
      <c r="S448" s="282"/>
      <c r="T448" s="282"/>
      <c r="U448" s="282"/>
      <c r="V448" s="298"/>
      <c r="W448" s="298"/>
      <c r="X448" s="298"/>
      <c r="Y448" s="298"/>
      <c r="Z448" s="298"/>
      <c r="AA448" s="298"/>
      <c r="AB448" s="298"/>
      <c r="AC448" s="298"/>
      <c r="AD448" s="298"/>
      <c r="AE448" s="298"/>
      <c r="AF448" s="298"/>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row>
    <row r="449">
      <c r="A449" s="304"/>
      <c r="B449" s="282"/>
      <c r="C449" s="282"/>
      <c r="D449" s="282"/>
      <c r="E449" s="282"/>
      <c r="F449" s="282"/>
      <c r="G449" s="282"/>
      <c r="H449" s="282"/>
      <c r="I449" s="282"/>
      <c r="J449" s="282"/>
      <c r="K449" s="282"/>
      <c r="L449" s="282"/>
      <c r="M449" s="282"/>
      <c r="N449" s="282"/>
      <c r="O449" s="282"/>
      <c r="P449" s="282"/>
      <c r="Q449" s="282"/>
      <c r="R449" s="282"/>
      <c r="S449" s="282"/>
      <c r="T449" s="282"/>
      <c r="U449" s="282"/>
      <c r="V449" s="298"/>
      <c r="W449" s="298"/>
      <c r="X449" s="298"/>
      <c r="Y449" s="298"/>
      <c r="Z449" s="298"/>
      <c r="AA449" s="298"/>
      <c r="AB449" s="298"/>
      <c r="AC449" s="298"/>
      <c r="AD449" s="298"/>
      <c r="AE449" s="298"/>
      <c r="AF449" s="298"/>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row>
    <row r="450">
      <c r="A450" s="304"/>
      <c r="B450" s="282"/>
      <c r="C450" s="282"/>
      <c r="D450" s="282"/>
      <c r="E450" s="282"/>
      <c r="F450" s="282"/>
      <c r="G450" s="282"/>
      <c r="H450" s="282"/>
      <c r="I450" s="282"/>
      <c r="J450" s="282"/>
      <c r="K450" s="282"/>
      <c r="L450" s="282"/>
      <c r="M450" s="282"/>
      <c r="N450" s="282"/>
      <c r="O450" s="282"/>
      <c r="P450" s="282"/>
      <c r="Q450" s="282"/>
      <c r="R450" s="282"/>
      <c r="S450" s="282"/>
      <c r="T450" s="282"/>
      <c r="U450" s="282"/>
      <c r="V450" s="298"/>
      <c r="W450" s="298"/>
      <c r="X450" s="298"/>
      <c r="Y450" s="298"/>
      <c r="Z450" s="298"/>
      <c r="AA450" s="298"/>
      <c r="AB450" s="298"/>
      <c r="AC450" s="298"/>
      <c r="AD450" s="298"/>
      <c r="AE450" s="298"/>
      <c r="AF450" s="298"/>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row>
    <row r="451">
      <c r="A451" s="304"/>
      <c r="B451" s="282"/>
      <c r="C451" s="282"/>
      <c r="D451" s="282"/>
      <c r="E451" s="282"/>
      <c r="F451" s="282"/>
      <c r="G451" s="282"/>
      <c r="H451" s="282"/>
      <c r="I451" s="282"/>
      <c r="J451" s="282"/>
      <c r="K451" s="282"/>
      <c r="L451" s="282"/>
      <c r="M451" s="282"/>
      <c r="N451" s="282"/>
      <c r="O451" s="282"/>
      <c r="P451" s="282"/>
      <c r="Q451" s="282"/>
      <c r="R451" s="282"/>
      <c r="S451" s="282"/>
      <c r="T451" s="282"/>
      <c r="U451" s="282"/>
      <c r="V451" s="298"/>
      <c r="W451" s="298"/>
      <c r="X451" s="298"/>
      <c r="Y451" s="298"/>
      <c r="Z451" s="298"/>
      <c r="AA451" s="298"/>
      <c r="AB451" s="298"/>
      <c r="AC451" s="298"/>
      <c r="AD451" s="298"/>
      <c r="AE451" s="298"/>
      <c r="AF451" s="298"/>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row>
    <row r="452">
      <c r="A452" s="304"/>
      <c r="B452" s="282"/>
      <c r="C452" s="282"/>
      <c r="D452" s="282"/>
      <c r="E452" s="282"/>
      <c r="F452" s="282"/>
      <c r="G452" s="282"/>
      <c r="H452" s="282"/>
      <c r="I452" s="282"/>
      <c r="J452" s="282"/>
      <c r="K452" s="282"/>
      <c r="L452" s="282"/>
      <c r="M452" s="282"/>
      <c r="N452" s="282"/>
      <c r="O452" s="282"/>
      <c r="P452" s="282"/>
      <c r="Q452" s="282"/>
      <c r="R452" s="282"/>
      <c r="S452" s="282"/>
      <c r="T452" s="282"/>
      <c r="U452" s="282"/>
      <c r="V452" s="298"/>
      <c r="W452" s="298"/>
      <c r="X452" s="298"/>
      <c r="Y452" s="298"/>
      <c r="Z452" s="298"/>
      <c r="AA452" s="298"/>
      <c r="AB452" s="298"/>
      <c r="AC452" s="298"/>
      <c r="AD452" s="298"/>
      <c r="AE452" s="298"/>
      <c r="AF452" s="298"/>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row>
    <row r="453">
      <c r="A453" s="304"/>
      <c r="B453" s="282"/>
      <c r="C453" s="282"/>
      <c r="D453" s="282"/>
      <c r="E453" s="282"/>
      <c r="F453" s="282"/>
      <c r="G453" s="282"/>
      <c r="H453" s="282"/>
      <c r="I453" s="282"/>
      <c r="J453" s="282"/>
      <c r="K453" s="282"/>
      <c r="L453" s="282"/>
      <c r="M453" s="282"/>
      <c r="N453" s="282"/>
      <c r="O453" s="282"/>
      <c r="P453" s="282"/>
      <c r="Q453" s="282"/>
      <c r="R453" s="282"/>
      <c r="S453" s="282"/>
      <c r="T453" s="282"/>
      <c r="U453" s="282"/>
      <c r="V453" s="298"/>
      <c r="W453" s="298"/>
      <c r="X453" s="298"/>
      <c r="Y453" s="298"/>
      <c r="Z453" s="298"/>
      <c r="AA453" s="298"/>
      <c r="AB453" s="298"/>
      <c r="AC453" s="298"/>
      <c r="AD453" s="298"/>
      <c r="AE453" s="298"/>
      <c r="AF453" s="298"/>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row>
    <row r="454">
      <c r="A454" s="304"/>
      <c r="B454" s="282"/>
      <c r="C454" s="282"/>
      <c r="D454" s="282"/>
      <c r="E454" s="282"/>
      <c r="F454" s="282"/>
      <c r="G454" s="282"/>
      <c r="H454" s="282"/>
      <c r="I454" s="282"/>
      <c r="J454" s="282"/>
      <c r="K454" s="282"/>
      <c r="L454" s="282"/>
      <c r="M454" s="282"/>
      <c r="N454" s="282"/>
      <c r="O454" s="282"/>
      <c r="P454" s="282"/>
      <c r="Q454" s="282"/>
      <c r="R454" s="282"/>
      <c r="S454" s="282"/>
      <c r="T454" s="282"/>
      <c r="U454" s="282"/>
      <c r="V454" s="298"/>
      <c r="W454" s="298"/>
      <c r="X454" s="298"/>
      <c r="Y454" s="298"/>
      <c r="Z454" s="298"/>
      <c r="AA454" s="298"/>
      <c r="AB454" s="298"/>
      <c r="AC454" s="298"/>
      <c r="AD454" s="298"/>
      <c r="AE454" s="298"/>
      <c r="AF454" s="298"/>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row>
    <row r="455">
      <c r="A455" s="304"/>
      <c r="B455" s="282"/>
      <c r="C455" s="282"/>
      <c r="D455" s="282"/>
      <c r="E455" s="282"/>
      <c r="F455" s="282"/>
      <c r="G455" s="282"/>
      <c r="H455" s="282"/>
      <c r="I455" s="282"/>
      <c r="J455" s="282"/>
      <c r="K455" s="282"/>
      <c r="L455" s="282"/>
      <c r="M455" s="282"/>
      <c r="N455" s="282"/>
      <c r="O455" s="282"/>
      <c r="P455" s="282"/>
      <c r="Q455" s="282"/>
      <c r="R455" s="282"/>
      <c r="S455" s="282"/>
      <c r="T455" s="282"/>
      <c r="U455" s="282"/>
      <c r="V455" s="298"/>
      <c r="W455" s="298"/>
      <c r="X455" s="298"/>
      <c r="Y455" s="298"/>
      <c r="Z455" s="298"/>
      <c r="AA455" s="298"/>
      <c r="AB455" s="298"/>
      <c r="AC455" s="298"/>
      <c r="AD455" s="298"/>
      <c r="AE455" s="298"/>
      <c r="AF455" s="298"/>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row>
    <row r="456">
      <c r="A456" s="304"/>
      <c r="B456" s="282"/>
      <c r="C456" s="282"/>
      <c r="D456" s="282"/>
      <c r="E456" s="282"/>
      <c r="F456" s="282"/>
      <c r="G456" s="282"/>
      <c r="H456" s="282"/>
      <c r="I456" s="282"/>
      <c r="J456" s="282"/>
      <c r="K456" s="282"/>
      <c r="L456" s="282"/>
      <c r="M456" s="282"/>
      <c r="N456" s="282"/>
      <c r="O456" s="282"/>
      <c r="P456" s="282"/>
      <c r="Q456" s="282"/>
      <c r="R456" s="282"/>
      <c r="S456" s="282"/>
      <c r="T456" s="282"/>
      <c r="U456" s="282"/>
      <c r="V456" s="298"/>
      <c r="W456" s="298"/>
      <c r="X456" s="298"/>
      <c r="Y456" s="298"/>
      <c r="Z456" s="298"/>
      <c r="AA456" s="298"/>
      <c r="AB456" s="298"/>
      <c r="AC456" s="298"/>
      <c r="AD456" s="298"/>
      <c r="AE456" s="298"/>
      <c r="AF456" s="298"/>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row>
    <row r="457">
      <c r="A457" s="304"/>
      <c r="B457" s="282"/>
      <c r="C457" s="282"/>
      <c r="D457" s="282"/>
      <c r="E457" s="282"/>
      <c r="F457" s="282"/>
      <c r="G457" s="282"/>
      <c r="H457" s="282"/>
      <c r="I457" s="282"/>
      <c r="J457" s="282"/>
      <c r="K457" s="282"/>
      <c r="L457" s="282"/>
      <c r="M457" s="282"/>
      <c r="N457" s="282"/>
      <c r="O457" s="282"/>
      <c r="P457" s="282"/>
      <c r="Q457" s="282"/>
      <c r="R457" s="282"/>
      <c r="S457" s="282"/>
      <c r="T457" s="282"/>
      <c r="U457" s="282"/>
      <c r="V457" s="298"/>
      <c r="W457" s="298"/>
      <c r="X457" s="298"/>
      <c r="Y457" s="298"/>
      <c r="Z457" s="298"/>
      <c r="AA457" s="298"/>
      <c r="AB457" s="298"/>
      <c r="AC457" s="298"/>
      <c r="AD457" s="298"/>
      <c r="AE457" s="298"/>
      <c r="AF457" s="298"/>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row>
    <row r="458">
      <c r="A458" s="304"/>
      <c r="B458" s="282"/>
      <c r="C458" s="282"/>
      <c r="D458" s="282"/>
      <c r="E458" s="282"/>
      <c r="F458" s="282"/>
      <c r="G458" s="282"/>
      <c r="H458" s="282"/>
      <c r="I458" s="282"/>
      <c r="J458" s="282"/>
      <c r="K458" s="282"/>
      <c r="L458" s="282"/>
      <c r="M458" s="282"/>
      <c r="N458" s="282"/>
      <c r="O458" s="282"/>
      <c r="P458" s="282"/>
      <c r="Q458" s="282"/>
      <c r="R458" s="282"/>
      <c r="S458" s="282"/>
      <c r="T458" s="282"/>
      <c r="U458" s="282"/>
      <c r="V458" s="298"/>
      <c r="W458" s="298"/>
      <c r="X458" s="298"/>
      <c r="Y458" s="298"/>
      <c r="Z458" s="298"/>
      <c r="AA458" s="298"/>
      <c r="AB458" s="298"/>
      <c r="AC458" s="298"/>
      <c r="AD458" s="298"/>
      <c r="AE458" s="298"/>
      <c r="AF458" s="298"/>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row>
    <row r="459">
      <c r="A459" s="304"/>
      <c r="B459" s="282"/>
      <c r="C459" s="282"/>
      <c r="D459" s="282"/>
      <c r="E459" s="282"/>
      <c r="F459" s="282"/>
      <c r="G459" s="282"/>
      <c r="H459" s="282"/>
      <c r="I459" s="282"/>
      <c r="J459" s="282"/>
      <c r="K459" s="282"/>
      <c r="L459" s="282"/>
      <c r="M459" s="282"/>
      <c r="N459" s="282"/>
      <c r="O459" s="282"/>
      <c r="P459" s="282"/>
      <c r="Q459" s="282"/>
      <c r="R459" s="282"/>
      <c r="S459" s="282"/>
      <c r="T459" s="282"/>
      <c r="U459" s="282"/>
      <c r="V459" s="298"/>
      <c r="W459" s="298"/>
      <c r="X459" s="298"/>
      <c r="Y459" s="298"/>
      <c r="Z459" s="298"/>
      <c r="AA459" s="298"/>
      <c r="AB459" s="298"/>
      <c r="AC459" s="298"/>
      <c r="AD459" s="298"/>
      <c r="AE459" s="298"/>
      <c r="AF459" s="298"/>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row>
    <row r="460">
      <c r="A460" s="304"/>
      <c r="B460" s="282"/>
      <c r="C460" s="282"/>
      <c r="D460" s="282"/>
      <c r="E460" s="282"/>
      <c r="F460" s="282"/>
      <c r="G460" s="282"/>
      <c r="H460" s="282"/>
      <c r="I460" s="282"/>
      <c r="J460" s="282"/>
      <c r="K460" s="282"/>
      <c r="L460" s="282"/>
      <c r="M460" s="282"/>
      <c r="N460" s="282"/>
      <c r="O460" s="282"/>
      <c r="P460" s="282"/>
      <c r="Q460" s="282"/>
      <c r="R460" s="282"/>
      <c r="S460" s="282"/>
      <c r="T460" s="282"/>
      <c r="U460" s="282"/>
      <c r="V460" s="298"/>
      <c r="W460" s="298"/>
      <c r="X460" s="298"/>
      <c r="Y460" s="298"/>
      <c r="Z460" s="298"/>
      <c r="AA460" s="298"/>
      <c r="AB460" s="298"/>
      <c r="AC460" s="298"/>
      <c r="AD460" s="298"/>
      <c r="AE460" s="298"/>
      <c r="AF460" s="298"/>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row>
    <row r="461">
      <c r="A461" s="304"/>
      <c r="B461" s="282"/>
      <c r="C461" s="282"/>
      <c r="D461" s="282"/>
      <c r="E461" s="282"/>
      <c r="F461" s="282"/>
      <c r="G461" s="282"/>
      <c r="H461" s="282"/>
      <c r="I461" s="282"/>
      <c r="J461" s="282"/>
      <c r="K461" s="282"/>
      <c r="L461" s="282"/>
      <c r="M461" s="282"/>
      <c r="N461" s="282"/>
      <c r="O461" s="282"/>
      <c r="P461" s="282"/>
      <c r="Q461" s="282"/>
      <c r="R461" s="282"/>
      <c r="S461" s="282"/>
      <c r="T461" s="282"/>
      <c r="U461" s="282"/>
      <c r="V461" s="298"/>
      <c r="W461" s="298"/>
      <c r="X461" s="298"/>
      <c r="Y461" s="298"/>
      <c r="Z461" s="298"/>
      <c r="AA461" s="298"/>
      <c r="AB461" s="298"/>
      <c r="AC461" s="298"/>
      <c r="AD461" s="298"/>
      <c r="AE461" s="298"/>
      <c r="AF461" s="298"/>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row>
    <row r="462">
      <c r="A462" s="304"/>
      <c r="B462" s="282"/>
      <c r="C462" s="282"/>
      <c r="D462" s="282"/>
      <c r="E462" s="282"/>
      <c r="F462" s="282"/>
      <c r="G462" s="282"/>
      <c r="H462" s="282"/>
      <c r="I462" s="282"/>
      <c r="J462" s="282"/>
      <c r="K462" s="282"/>
      <c r="L462" s="282"/>
      <c r="M462" s="282"/>
      <c r="N462" s="282"/>
      <c r="O462" s="282"/>
      <c r="P462" s="282"/>
      <c r="Q462" s="282"/>
      <c r="R462" s="282"/>
      <c r="S462" s="282"/>
      <c r="T462" s="282"/>
      <c r="U462" s="282"/>
      <c r="V462" s="298"/>
      <c r="W462" s="298"/>
      <c r="X462" s="298"/>
      <c r="Y462" s="298"/>
      <c r="Z462" s="298"/>
      <c r="AA462" s="298"/>
      <c r="AB462" s="298"/>
      <c r="AC462" s="298"/>
      <c r="AD462" s="298"/>
      <c r="AE462" s="298"/>
      <c r="AF462" s="298"/>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row>
    <row r="463">
      <c r="A463" s="304"/>
      <c r="B463" s="282"/>
      <c r="C463" s="282"/>
      <c r="D463" s="282"/>
      <c r="E463" s="282"/>
      <c r="F463" s="282"/>
      <c r="G463" s="282"/>
      <c r="H463" s="282"/>
      <c r="I463" s="282"/>
      <c r="J463" s="282"/>
      <c r="K463" s="282"/>
      <c r="L463" s="282"/>
      <c r="M463" s="282"/>
      <c r="N463" s="282"/>
      <c r="O463" s="282"/>
      <c r="P463" s="282"/>
      <c r="Q463" s="282"/>
      <c r="R463" s="282"/>
      <c r="S463" s="282"/>
      <c r="T463" s="282"/>
      <c r="U463" s="282"/>
      <c r="V463" s="298"/>
      <c r="W463" s="298"/>
      <c r="X463" s="298"/>
      <c r="Y463" s="298"/>
      <c r="Z463" s="298"/>
      <c r="AA463" s="298"/>
      <c r="AB463" s="298"/>
      <c r="AC463" s="298"/>
      <c r="AD463" s="298"/>
      <c r="AE463" s="298"/>
      <c r="AF463" s="298"/>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row>
    <row r="464">
      <c r="A464" s="304"/>
      <c r="B464" s="282"/>
      <c r="C464" s="282"/>
      <c r="D464" s="282"/>
      <c r="E464" s="282"/>
      <c r="F464" s="282"/>
      <c r="G464" s="282"/>
      <c r="H464" s="282"/>
      <c r="I464" s="282"/>
      <c r="J464" s="282"/>
      <c r="K464" s="282"/>
      <c r="L464" s="282"/>
      <c r="M464" s="282"/>
      <c r="N464" s="282"/>
      <c r="O464" s="282"/>
      <c r="P464" s="282"/>
      <c r="Q464" s="282"/>
      <c r="R464" s="282"/>
      <c r="S464" s="282"/>
      <c r="T464" s="282"/>
      <c r="U464" s="282"/>
      <c r="V464" s="298"/>
      <c r="W464" s="298"/>
      <c r="X464" s="298"/>
      <c r="Y464" s="298"/>
      <c r="Z464" s="298"/>
      <c r="AA464" s="298"/>
      <c r="AB464" s="298"/>
      <c r="AC464" s="298"/>
      <c r="AD464" s="298"/>
      <c r="AE464" s="298"/>
      <c r="AF464" s="298"/>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row>
    <row r="465">
      <c r="A465" s="304"/>
      <c r="B465" s="282"/>
      <c r="C465" s="282"/>
      <c r="D465" s="282"/>
      <c r="E465" s="282"/>
      <c r="F465" s="282"/>
      <c r="G465" s="282"/>
      <c r="H465" s="282"/>
      <c r="I465" s="282"/>
      <c r="J465" s="282"/>
      <c r="K465" s="282"/>
      <c r="L465" s="282"/>
      <c r="M465" s="282"/>
      <c r="N465" s="282"/>
      <c r="O465" s="282"/>
      <c r="P465" s="282"/>
      <c r="Q465" s="282"/>
      <c r="R465" s="282"/>
      <c r="S465" s="282"/>
      <c r="T465" s="282"/>
      <c r="U465" s="282"/>
      <c r="V465" s="298"/>
      <c r="W465" s="298"/>
      <c r="X465" s="298"/>
      <c r="Y465" s="298"/>
      <c r="Z465" s="298"/>
      <c r="AA465" s="298"/>
      <c r="AB465" s="298"/>
      <c r="AC465" s="298"/>
      <c r="AD465" s="298"/>
      <c r="AE465" s="298"/>
      <c r="AF465" s="298"/>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row>
    <row r="466">
      <c r="A466" s="304"/>
      <c r="B466" s="282"/>
      <c r="C466" s="282"/>
      <c r="D466" s="282"/>
      <c r="E466" s="282"/>
      <c r="F466" s="282"/>
      <c r="G466" s="282"/>
      <c r="H466" s="282"/>
      <c r="I466" s="282"/>
      <c r="J466" s="282"/>
      <c r="K466" s="282"/>
      <c r="L466" s="282"/>
      <c r="M466" s="282"/>
      <c r="N466" s="282"/>
      <c r="O466" s="282"/>
      <c r="P466" s="282"/>
      <c r="Q466" s="282"/>
      <c r="R466" s="282"/>
      <c r="S466" s="282"/>
      <c r="T466" s="282"/>
      <c r="U466" s="282"/>
      <c r="V466" s="298"/>
      <c r="W466" s="298"/>
      <c r="X466" s="298"/>
      <c r="Y466" s="298"/>
      <c r="Z466" s="298"/>
      <c r="AA466" s="298"/>
      <c r="AB466" s="298"/>
      <c r="AC466" s="298"/>
      <c r="AD466" s="298"/>
      <c r="AE466" s="298"/>
      <c r="AF466" s="298"/>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row>
    <row r="467">
      <c r="A467" s="304"/>
      <c r="B467" s="282"/>
      <c r="C467" s="282"/>
      <c r="D467" s="282"/>
      <c r="E467" s="282"/>
      <c r="F467" s="282"/>
      <c r="G467" s="282"/>
      <c r="H467" s="282"/>
      <c r="I467" s="282"/>
      <c r="J467" s="282"/>
      <c r="K467" s="282"/>
      <c r="L467" s="282"/>
      <c r="M467" s="282"/>
      <c r="N467" s="282"/>
      <c r="O467" s="282"/>
      <c r="P467" s="282"/>
      <c r="Q467" s="282"/>
      <c r="R467" s="282"/>
      <c r="S467" s="282"/>
      <c r="T467" s="282"/>
      <c r="U467" s="282"/>
      <c r="V467" s="298"/>
      <c r="W467" s="298"/>
      <c r="X467" s="298"/>
      <c r="Y467" s="298"/>
      <c r="Z467" s="298"/>
      <c r="AA467" s="298"/>
      <c r="AB467" s="298"/>
      <c r="AC467" s="298"/>
      <c r="AD467" s="298"/>
      <c r="AE467" s="298"/>
      <c r="AF467" s="298"/>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row>
    <row r="468">
      <c r="A468" s="304"/>
      <c r="B468" s="282"/>
      <c r="C468" s="282"/>
      <c r="D468" s="282"/>
      <c r="E468" s="282"/>
      <c r="F468" s="282"/>
      <c r="G468" s="282"/>
      <c r="H468" s="282"/>
      <c r="I468" s="282"/>
      <c r="J468" s="282"/>
      <c r="K468" s="282"/>
      <c r="L468" s="282"/>
      <c r="M468" s="282"/>
      <c r="N468" s="282"/>
      <c r="O468" s="282"/>
      <c r="P468" s="282"/>
      <c r="Q468" s="282"/>
      <c r="R468" s="282"/>
      <c r="S468" s="282"/>
      <c r="T468" s="282"/>
      <c r="U468" s="282"/>
      <c r="V468" s="298"/>
      <c r="W468" s="298"/>
      <c r="X468" s="298"/>
      <c r="Y468" s="298"/>
      <c r="Z468" s="298"/>
      <c r="AA468" s="298"/>
      <c r="AB468" s="298"/>
      <c r="AC468" s="298"/>
      <c r="AD468" s="298"/>
      <c r="AE468" s="298"/>
      <c r="AF468" s="298"/>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row>
    <row r="469">
      <c r="A469" s="304"/>
      <c r="B469" s="282"/>
      <c r="C469" s="282"/>
      <c r="D469" s="282"/>
      <c r="E469" s="282"/>
      <c r="F469" s="282"/>
      <c r="G469" s="282"/>
      <c r="H469" s="282"/>
      <c r="I469" s="282"/>
      <c r="J469" s="282"/>
      <c r="K469" s="282"/>
      <c r="L469" s="282"/>
      <c r="M469" s="282"/>
      <c r="N469" s="282"/>
      <c r="O469" s="282"/>
      <c r="P469" s="282"/>
      <c r="Q469" s="282"/>
      <c r="R469" s="282"/>
      <c r="S469" s="282"/>
      <c r="T469" s="282"/>
      <c r="U469" s="282"/>
      <c r="V469" s="298"/>
      <c r="W469" s="298"/>
      <c r="X469" s="298"/>
      <c r="Y469" s="298"/>
      <c r="Z469" s="298"/>
      <c r="AA469" s="298"/>
      <c r="AB469" s="298"/>
      <c r="AC469" s="298"/>
      <c r="AD469" s="298"/>
      <c r="AE469" s="298"/>
      <c r="AF469" s="298"/>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row>
    <row r="470">
      <c r="A470" s="304"/>
      <c r="B470" s="282"/>
      <c r="C470" s="282"/>
      <c r="D470" s="282"/>
      <c r="E470" s="282"/>
      <c r="F470" s="282"/>
      <c r="G470" s="282"/>
      <c r="H470" s="282"/>
      <c r="I470" s="282"/>
      <c r="J470" s="282"/>
      <c r="K470" s="282"/>
      <c r="L470" s="282"/>
      <c r="M470" s="282"/>
      <c r="N470" s="282"/>
      <c r="O470" s="282"/>
      <c r="P470" s="282"/>
      <c r="Q470" s="282"/>
      <c r="R470" s="282"/>
      <c r="S470" s="282"/>
      <c r="T470" s="282"/>
      <c r="U470" s="282"/>
      <c r="V470" s="298"/>
      <c r="W470" s="298"/>
      <c r="X470" s="298"/>
      <c r="Y470" s="298"/>
      <c r="Z470" s="298"/>
      <c r="AA470" s="298"/>
      <c r="AB470" s="298"/>
      <c r="AC470" s="298"/>
      <c r="AD470" s="298"/>
      <c r="AE470" s="298"/>
      <c r="AF470" s="298"/>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row>
    <row r="471">
      <c r="A471" s="304"/>
      <c r="B471" s="282"/>
      <c r="C471" s="282"/>
      <c r="D471" s="282"/>
      <c r="E471" s="282"/>
      <c r="F471" s="282"/>
      <c r="G471" s="282"/>
      <c r="H471" s="282"/>
      <c r="I471" s="282"/>
      <c r="J471" s="282"/>
      <c r="K471" s="282"/>
      <c r="L471" s="282"/>
      <c r="M471" s="282"/>
      <c r="N471" s="282"/>
      <c r="O471" s="282"/>
      <c r="P471" s="282"/>
      <c r="Q471" s="282"/>
      <c r="R471" s="282"/>
      <c r="S471" s="282"/>
      <c r="T471" s="282"/>
      <c r="U471" s="282"/>
      <c r="V471" s="298"/>
      <c r="W471" s="298"/>
      <c r="X471" s="298"/>
      <c r="Y471" s="298"/>
      <c r="Z471" s="298"/>
      <c r="AA471" s="298"/>
      <c r="AB471" s="298"/>
      <c r="AC471" s="298"/>
      <c r="AD471" s="298"/>
      <c r="AE471" s="298"/>
      <c r="AF471" s="298"/>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row>
    <row r="472">
      <c r="A472" s="304"/>
      <c r="B472" s="282"/>
      <c r="C472" s="282"/>
      <c r="D472" s="282"/>
      <c r="E472" s="282"/>
      <c r="F472" s="282"/>
      <c r="G472" s="282"/>
      <c r="H472" s="282"/>
      <c r="I472" s="282"/>
      <c r="J472" s="282"/>
      <c r="K472" s="282"/>
      <c r="L472" s="282"/>
      <c r="M472" s="282"/>
      <c r="N472" s="282"/>
      <c r="O472" s="282"/>
      <c r="P472" s="282"/>
      <c r="Q472" s="282"/>
      <c r="R472" s="282"/>
      <c r="S472" s="282"/>
      <c r="T472" s="282"/>
      <c r="U472" s="282"/>
      <c r="V472" s="298"/>
      <c r="W472" s="298"/>
      <c r="X472" s="298"/>
      <c r="Y472" s="298"/>
      <c r="Z472" s="298"/>
      <c r="AA472" s="298"/>
      <c r="AB472" s="298"/>
      <c r="AC472" s="298"/>
      <c r="AD472" s="298"/>
      <c r="AE472" s="298"/>
      <c r="AF472" s="298"/>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row>
    <row r="473">
      <c r="A473" s="304"/>
      <c r="B473" s="282"/>
      <c r="C473" s="282"/>
      <c r="D473" s="282"/>
      <c r="E473" s="282"/>
      <c r="F473" s="282"/>
      <c r="G473" s="282"/>
      <c r="H473" s="282"/>
      <c r="I473" s="282"/>
      <c r="J473" s="282"/>
      <c r="K473" s="282"/>
      <c r="L473" s="282"/>
      <c r="M473" s="282"/>
      <c r="N473" s="282"/>
      <c r="O473" s="282"/>
      <c r="P473" s="282"/>
      <c r="Q473" s="282"/>
      <c r="R473" s="282"/>
      <c r="S473" s="282"/>
      <c r="T473" s="282"/>
      <c r="U473" s="282"/>
      <c r="V473" s="298"/>
      <c r="W473" s="298"/>
      <c r="X473" s="298"/>
      <c r="Y473" s="298"/>
      <c r="Z473" s="298"/>
      <c r="AA473" s="298"/>
      <c r="AB473" s="298"/>
      <c r="AC473" s="298"/>
      <c r="AD473" s="298"/>
      <c r="AE473" s="298"/>
      <c r="AF473" s="298"/>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row>
    <row r="474">
      <c r="A474" s="304"/>
      <c r="B474" s="282"/>
      <c r="C474" s="282"/>
      <c r="D474" s="282"/>
      <c r="E474" s="282"/>
      <c r="F474" s="282"/>
      <c r="G474" s="282"/>
      <c r="H474" s="282"/>
      <c r="I474" s="282"/>
      <c r="J474" s="282"/>
      <c r="K474" s="282"/>
      <c r="L474" s="282"/>
      <c r="M474" s="282"/>
      <c r="N474" s="282"/>
      <c r="O474" s="282"/>
      <c r="P474" s="282"/>
      <c r="Q474" s="282"/>
      <c r="R474" s="282"/>
      <c r="S474" s="282"/>
      <c r="T474" s="282"/>
      <c r="U474" s="282"/>
      <c r="V474" s="298"/>
      <c r="W474" s="298"/>
      <c r="X474" s="298"/>
      <c r="Y474" s="298"/>
      <c r="Z474" s="298"/>
      <c r="AA474" s="298"/>
      <c r="AB474" s="298"/>
      <c r="AC474" s="298"/>
      <c r="AD474" s="298"/>
      <c r="AE474" s="298"/>
      <c r="AF474" s="298"/>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row>
    <row r="475">
      <c r="A475" s="304"/>
      <c r="B475" s="282"/>
      <c r="C475" s="282"/>
      <c r="D475" s="282"/>
      <c r="E475" s="282"/>
      <c r="F475" s="282"/>
      <c r="G475" s="282"/>
      <c r="H475" s="282"/>
      <c r="I475" s="282"/>
      <c r="J475" s="282"/>
      <c r="K475" s="282"/>
      <c r="L475" s="282"/>
      <c r="M475" s="282"/>
      <c r="N475" s="282"/>
      <c r="O475" s="282"/>
      <c r="P475" s="282"/>
      <c r="Q475" s="282"/>
      <c r="R475" s="282"/>
      <c r="S475" s="282"/>
      <c r="T475" s="282"/>
      <c r="U475" s="282"/>
      <c r="V475" s="298"/>
      <c r="W475" s="298"/>
      <c r="X475" s="298"/>
      <c r="Y475" s="298"/>
      <c r="Z475" s="298"/>
      <c r="AA475" s="298"/>
      <c r="AB475" s="298"/>
      <c r="AC475" s="298"/>
      <c r="AD475" s="298"/>
      <c r="AE475" s="298"/>
      <c r="AF475" s="298"/>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row>
    <row r="476">
      <c r="A476" s="304"/>
      <c r="B476" s="282"/>
      <c r="C476" s="282"/>
      <c r="D476" s="282"/>
      <c r="E476" s="282"/>
      <c r="F476" s="282"/>
      <c r="G476" s="282"/>
      <c r="H476" s="282"/>
      <c r="I476" s="282"/>
      <c r="J476" s="282"/>
      <c r="K476" s="282"/>
      <c r="L476" s="282"/>
      <c r="M476" s="282"/>
      <c r="N476" s="282"/>
      <c r="O476" s="282"/>
      <c r="P476" s="282"/>
      <c r="Q476" s="282"/>
      <c r="R476" s="282"/>
      <c r="S476" s="282"/>
      <c r="T476" s="282"/>
      <c r="U476" s="282"/>
      <c r="V476" s="298"/>
      <c r="W476" s="298"/>
      <c r="X476" s="298"/>
      <c r="Y476" s="298"/>
      <c r="Z476" s="298"/>
      <c r="AA476" s="298"/>
      <c r="AB476" s="298"/>
      <c r="AC476" s="298"/>
      <c r="AD476" s="298"/>
      <c r="AE476" s="298"/>
      <c r="AF476" s="298"/>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row>
    <row r="477">
      <c r="A477" s="304"/>
      <c r="B477" s="282"/>
      <c r="C477" s="282"/>
      <c r="D477" s="282"/>
      <c r="E477" s="282"/>
      <c r="F477" s="282"/>
      <c r="G477" s="282"/>
      <c r="H477" s="282"/>
      <c r="I477" s="282"/>
      <c r="J477" s="282"/>
      <c r="K477" s="282"/>
      <c r="L477" s="282"/>
      <c r="M477" s="282"/>
      <c r="N477" s="282"/>
      <c r="O477" s="282"/>
      <c r="P477" s="282"/>
      <c r="Q477" s="282"/>
      <c r="R477" s="282"/>
      <c r="S477" s="282"/>
      <c r="T477" s="282"/>
      <c r="U477" s="282"/>
      <c r="V477" s="298"/>
      <c r="W477" s="298"/>
      <c r="X477" s="298"/>
      <c r="Y477" s="298"/>
      <c r="Z477" s="298"/>
      <c r="AA477" s="298"/>
      <c r="AB477" s="298"/>
      <c r="AC477" s="298"/>
      <c r="AD477" s="298"/>
      <c r="AE477" s="298"/>
      <c r="AF477" s="298"/>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row>
    <row r="478">
      <c r="A478" s="304"/>
      <c r="B478" s="282"/>
      <c r="C478" s="282"/>
      <c r="D478" s="282"/>
      <c r="E478" s="282"/>
      <c r="F478" s="282"/>
      <c r="G478" s="282"/>
      <c r="H478" s="282"/>
      <c r="I478" s="282"/>
      <c r="J478" s="282"/>
      <c r="K478" s="282"/>
      <c r="L478" s="282"/>
      <c r="M478" s="282"/>
      <c r="N478" s="282"/>
      <c r="O478" s="282"/>
      <c r="P478" s="282"/>
      <c r="Q478" s="282"/>
      <c r="R478" s="282"/>
      <c r="S478" s="282"/>
      <c r="T478" s="282"/>
      <c r="U478" s="282"/>
      <c r="V478" s="298"/>
      <c r="W478" s="298"/>
      <c r="X478" s="298"/>
      <c r="Y478" s="298"/>
      <c r="Z478" s="298"/>
      <c r="AA478" s="298"/>
      <c r="AB478" s="298"/>
      <c r="AC478" s="298"/>
      <c r="AD478" s="298"/>
      <c r="AE478" s="298"/>
      <c r="AF478" s="298"/>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row>
    <row r="479">
      <c r="A479" s="304"/>
      <c r="B479" s="282"/>
      <c r="C479" s="282"/>
      <c r="D479" s="282"/>
      <c r="E479" s="282"/>
      <c r="F479" s="282"/>
      <c r="G479" s="282"/>
      <c r="H479" s="282"/>
      <c r="I479" s="282"/>
      <c r="J479" s="282"/>
      <c r="K479" s="282"/>
      <c r="L479" s="282"/>
      <c r="M479" s="282"/>
      <c r="N479" s="282"/>
      <c r="O479" s="282"/>
      <c r="P479" s="282"/>
      <c r="Q479" s="282"/>
      <c r="R479" s="282"/>
      <c r="S479" s="282"/>
      <c r="T479" s="282"/>
      <c r="U479" s="282"/>
      <c r="V479" s="298"/>
      <c r="W479" s="298"/>
      <c r="X479" s="298"/>
      <c r="Y479" s="298"/>
      <c r="Z479" s="298"/>
      <c r="AA479" s="298"/>
      <c r="AB479" s="298"/>
      <c r="AC479" s="298"/>
      <c r="AD479" s="298"/>
      <c r="AE479" s="298"/>
      <c r="AF479" s="298"/>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row>
    <row r="480">
      <c r="A480" s="304"/>
      <c r="B480" s="282"/>
      <c r="C480" s="282"/>
      <c r="D480" s="282"/>
      <c r="E480" s="282"/>
      <c r="F480" s="282"/>
      <c r="G480" s="282"/>
      <c r="H480" s="282"/>
      <c r="I480" s="282"/>
      <c r="J480" s="282"/>
      <c r="K480" s="282"/>
      <c r="L480" s="282"/>
      <c r="M480" s="282"/>
      <c r="N480" s="282"/>
      <c r="O480" s="282"/>
      <c r="P480" s="282"/>
      <c r="Q480" s="282"/>
      <c r="R480" s="282"/>
      <c r="S480" s="282"/>
      <c r="T480" s="282"/>
      <c r="U480" s="282"/>
      <c r="V480" s="298"/>
      <c r="W480" s="298"/>
      <c r="X480" s="298"/>
      <c r="Y480" s="298"/>
      <c r="Z480" s="298"/>
      <c r="AA480" s="298"/>
      <c r="AB480" s="298"/>
      <c r="AC480" s="298"/>
      <c r="AD480" s="298"/>
      <c r="AE480" s="298"/>
      <c r="AF480" s="298"/>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row>
    <row r="481">
      <c r="A481" s="304"/>
      <c r="B481" s="282"/>
      <c r="C481" s="282"/>
      <c r="D481" s="282"/>
      <c r="E481" s="282"/>
      <c r="F481" s="282"/>
      <c r="G481" s="282"/>
      <c r="H481" s="282"/>
      <c r="I481" s="282"/>
      <c r="J481" s="282"/>
      <c r="K481" s="282"/>
      <c r="L481" s="282"/>
      <c r="M481" s="282"/>
      <c r="N481" s="282"/>
      <c r="O481" s="282"/>
      <c r="P481" s="282"/>
      <c r="Q481" s="282"/>
      <c r="R481" s="282"/>
      <c r="S481" s="282"/>
      <c r="T481" s="282"/>
      <c r="U481" s="282"/>
      <c r="V481" s="298"/>
      <c r="W481" s="298"/>
      <c r="X481" s="298"/>
      <c r="Y481" s="298"/>
      <c r="Z481" s="298"/>
      <c r="AA481" s="298"/>
      <c r="AB481" s="298"/>
      <c r="AC481" s="298"/>
      <c r="AD481" s="298"/>
      <c r="AE481" s="298"/>
      <c r="AF481" s="298"/>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row>
    <row r="482">
      <c r="A482" s="304"/>
      <c r="B482" s="282"/>
      <c r="C482" s="282"/>
      <c r="D482" s="282"/>
      <c r="E482" s="282"/>
      <c r="F482" s="282"/>
      <c r="G482" s="282"/>
      <c r="H482" s="282"/>
      <c r="I482" s="282"/>
      <c r="J482" s="282"/>
      <c r="K482" s="282"/>
      <c r="L482" s="282"/>
      <c r="M482" s="282"/>
      <c r="N482" s="282"/>
      <c r="O482" s="282"/>
      <c r="P482" s="282"/>
      <c r="Q482" s="282"/>
      <c r="R482" s="282"/>
      <c r="S482" s="282"/>
      <c r="T482" s="282"/>
      <c r="U482" s="282"/>
      <c r="V482" s="298"/>
      <c r="W482" s="298"/>
      <c r="X482" s="298"/>
      <c r="Y482" s="298"/>
      <c r="Z482" s="298"/>
      <c r="AA482" s="298"/>
      <c r="AB482" s="298"/>
      <c r="AC482" s="298"/>
      <c r="AD482" s="298"/>
      <c r="AE482" s="298"/>
      <c r="AF482" s="298"/>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row>
    <row r="483">
      <c r="A483" s="304"/>
      <c r="B483" s="282"/>
      <c r="C483" s="282"/>
      <c r="D483" s="282"/>
      <c r="E483" s="282"/>
      <c r="F483" s="282"/>
      <c r="G483" s="282"/>
      <c r="H483" s="282"/>
      <c r="I483" s="282"/>
      <c r="J483" s="282"/>
      <c r="K483" s="282"/>
      <c r="L483" s="282"/>
      <c r="M483" s="282"/>
      <c r="N483" s="282"/>
      <c r="O483" s="282"/>
      <c r="P483" s="282"/>
      <c r="Q483" s="282"/>
      <c r="R483" s="282"/>
      <c r="S483" s="282"/>
      <c r="T483" s="282"/>
      <c r="U483" s="282"/>
      <c r="V483" s="298"/>
      <c r="W483" s="298"/>
      <c r="X483" s="298"/>
      <c r="Y483" s="298"/>
      <c r="Z483" s="298"/>
      <c r="AA483" s="298"/>
      <c r="AB483" s="298"/>
      <c r="AC483" s="298"/>
      <c r="AD483" s="298"/>
      <c r="AE483" s="298"/>
      <c r="AF483" s="298"/>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row>
    <row r="484">
      <c r="A484" s="304"/>
      <c r="B484" s="282"/>
      <c r="C484" s="282"/>
      <c r="D484" s="282"/>
      <c r="E484" s="282"/>
      <c r="F484" s="282"/>
      <c r="G484" s="282"/>
      <c r="H484" s="282"/>
      <c r="I484" s="282"/>
      <c r="J484" s="282"/>
      <c r="K484" s="282"/>
      <c r="L484" s="282"/>
      <c r="M484" s="282"/>
      <c r="N484" s="282"/>
      <c r="O484" s="282"/>
      <c r="P484" s="282"/>
      <c r="Q484" s="282"/>
      <c r="R484" s="282"/>
      <c r="S484" s="282"/>
      <c r="T484" s="282"/>
      <c r="U484" s="282"/>
      <c r="V484" s="298"/>
      <c r="W484" s="298"/>
      <c r="X484" s="298"/>
      <c r="Y484" s="298"/>
      <c r="Z484" s="298"/>
      <c r="AA484" s="298"/>
      <c r="AB484" s="298"/>
      <c r="AC484" s="298"/>
      <c r="AD484" s="298"/>
      <c r="AE484" s="298"/>
      <c r="AF484" s="298"/>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row>
    <row r="485">
      <c r="A485" s="304"/>
      <c r="B485" s="282"/>
      <c r="C485" s="282"/>
      <c r="D485" s="282"/>
      <c r="E485" s="282"/>
      <c r="F485" s="282"/>
      <c r="G485" s="282"/>
      <c r="H485" s="282"/>
      <c r="I485" s="282"/>
      <c r="J485" s="282"/>
      <c r="K485" s="282"/>
      <c r="L485" s="282"/>
      <c r="M485" s="282"/>
      <c r="N485" s="282"/>
      <c r="O485" s="282"/>
      <c r="P485" s="282"/>
      <c r="Q485" s="282"/>
      <c r="R485" s="282"/>
      <c r="S485" s="282"/>
      <c r="T485" s="282"/>
      <c r="U485" s="282"/>
      <c r="V485" s="298"/>
      <c r="W485" s="298"/>
      <c r="X485" s="298"/>
      <c r="Y485" s="298"/>
      <c r="Z485" s="298"/>
      <c r="AA485" s="298"/>
      <c r="AB485" s="298"/>
      <c r="AC485" s="298"/>
      <c r="AD485" s="298"/>
      <c r="AE485" s="298"/>
      <c r="AF485" s="298"/>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row>
    <row r="486">
      <c r="A486" s="304"/>
      <c r="B486" s="282"/>
      <c r="C486" s="282"/>
      <c r="D486" s="282"/>
      <c r="E486" s="282"/>
      <c r="F486" s="282"/>
      <c r="G486" s="282"/>
      <c r="H486" s="282"/>
      <c r="I486" s="282"/>
      <c r="J486" s="282"/>
      <c r="K486" s="282"/>
      <c r="L486" s="282"/>
      <c r="M486" s="282"/>
      <c r="N486" s="282"/>
      <c r="O486" s="282"/>
      <c r="P486" s="282"/>
      <c r="Q486" s="282"/>
      <c r="R486" s="282"/>
      <c r="S486" s="282"/>
      <c r="T486" s="282"/>
      <c r="U486" s="282"/>
      <c r="V486" s="298"/>
      <c r="W486" s="298"/>
      <c r="X486" s="298"/>
      <c r="Y486" s="298"/>
      <c r="Z486" s="298"/>
      <c r="AA486" s="298"/>
      <c r="AB486" s="298"/>
      <c r="AC486" s="298"/>
      <c r="AD486" s="298"/>
      <c r="AE486" s="298"/>
      <c r="AF486" s="298"/>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row>
    <row r="487">
      <c r="A487" s="304"/>
      <c r="B487" s="282"/>
      <c r="C487" s="282"/>
      <c r="D487" s="282"/>
      <c r="E487" s="282"/>
      <c r="F487" s="282"/>
      <c r="G487" s="282"/>
      <c r="H487" s="282"/>
      <c r="I487" s="282"/>
      <c r="J487" s="282"/>
      <c r="K487" s="282"/>
      <c r="L487" s="282"/>
      <c r="M487" s="282"/>
      <c r="N487" s="282"/>
      <c r="O487" s="282"/>
      <c r="P487" s="282"/>
      <c r="Q487" s="282"/>
      <c r="R487" s="282"/>
      <c r="S487" s="282"/>
      <c r="T487" s="282"/>
      <c r="U487" s="282"/>
      <c r="V487" s="298"/>
      <c r="W487" s="298"/>
      <c r="X487" s="298"/>
      <c r="Y487" s="298"/>
      <c r="Z487" s="298"/>
      <c r="AA487" s="298"/>
      <c r="AB487" s="298"/>
      <c r="AC487" s="298"/>
      <c r="AD487" s="298"/>
      <c r="AE487" s="298"/>
      <c r="AF487" s="298"/>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row>
    <row r="488">
      <c r="A488" s="304"/>
      <c r="B488" s="282"/>
      <c r="C488" s="282"/>
      <c r="D488" s="282"/>
      <c r="E488" s="282"/>
      <c r="F488" s="282"/>
      <c r="G488" s="282"/>
      <c r="H488" s="282"/>
      <c r="I488" s="282"/>
      <c r="J488" s="282"/>
      <c r="K488" s="282"/>
      <c r="L488" s="282"/>
      <c r="M488" s="282"/>
      <c r="N488" s="282"/>
      <c r="O488" s="282"/>
      <c r="P488" s="282"/>
      <c r="Q488" s="282"/>
      <c r="R488" s="282"/>
      <c r="S488" s="282"/>
      <c r="T488" s="282"/>
      <c r="U488" s="282"/>
      <c r="V488" s="298"/>
      <c r="W488" s="298"/>
      <c r="X488" s="298"/>
      <c r="Y488" s="298"/>
      <c r="Z488" s="298"/>
      <c r="AA488" s="298"/>
      <c r="AB488" s="298"/>
      <c r="AC488" s="298"/>
      <c r="AD488" s="298"/>
      <c r="AE488" s="298"/>
      <c r="AF488" s="298"/>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row>
    <row r="489">
      <c r="A489" s="304"/>
      <c r="B489" s="282"/>
      <c r="C489" s="282"/>
      <c r="D489" s="282"/>
      <c r="E489" s="282"/>
      <c r="F489" s="282"/>
      <c r="G489" s="282"/>
      <c r="H489" s="282"/>
      <c r="I489" s="282"/>
      <c r="J489" s="282"/>
      <c r="K489" s="282"/>
      <c r="L489" s="282"/>
      <c r="M489" s="282"/>
      <c r="N489" s="282"/>
      <c r="O489" s="282"/>
      <c r="P489" s="282"/>
      <c r="Q489" s="282"/>
      <c r="R489" s="282"/>
      <c r="S489" s="282"/>
      <c r="T489" s="282"/>
      <c r="U489" s="282"/>
      <c r="V489" s="298"/>
      <c r="W489" s="298"/>
      <c r="X489" s="298"/>
      <c r="Y489" s="298"/>
      <c r="Z489" s="298"/>
      <c r="AA489" s="298"/>
      <c r="AB489" s="298"/>
      <c r="AC489" s="298"/>
      <c r="AD489" s="298"/>
      <c r="AE489" s="298"/>
      <c r="AF489" s="298"/>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row>
    <row r="490">
      <c r="A490" s="304"/>
      <c r="B490" s="282"/>
      <c r="C490" s="282"/>
      <c r="D490" s="282"/>
      <c r="E490" s="282"/>
      <c r="F490" s="282"/>
      <c r="G490" s="282"/>
      <c r="H490" s="282"/>
      <c r="I490" s="282"/>
      <c r="J490" s="282"/>
      <c r="K490" s="282"/>
      <c r="L490" s="282"/>
      <c r="M490" s="282"/>
      <c r="N490" s="282"/>
      <c r="O490" s="282"/>
      <c r="P490" s="282"/>
      <c r="Q490" s="282"/>
      <c r="R490" s="282"/>
      <c r="S490" s="282"/>
      <c r="T490" s="282"/>
      <c r="U490" s="282"/>
      <c r="V490" s="298"/>
      <c r="W490" s="298"/>
      <c r="X490" s="298"/>
      <c r="Y490" s="298"/>
      <c r="Z490" s="298"/>
      <c r="AA490" s="298"/>
      <c r="AB490" s="298"/>
      <c r="AC490" s="298"/>
      <c r="AD490" s="298"/>
      <c r="AE490" s="298"/>
      <c r="AF490" s="298"/>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row>
    <row r="491">
      <c r="A491" s="304"/>
      <c r="B491" s="282"/>
      <c r="C491" s="282"/>
      <c r="D491" s="282"/>
      <c r="E491" s="282"/>
      <c r="F491" s="282"/>
      <c r="G491" s="282"/>
      <c r="H491" s="282"/>
      <c r="I491" s="282"/>
      <c r="J491" s="282"/>
      <c r="K491" s="282"/>
      <c r="L491" s="282"/>
      <c r="M491" s="282"/>
      <c r="N491" s="282"/>
      <c r="O491" s="282"/>
      <c r="P491" s="282"/>
      <c r="Q491" s="282"/>
      <c r="R491" s="282"/>
      <c r="S491" s="282"/>
      <c r="T491" s="282"/>
      <c r="U491" s="282"/>
      <c r="V491" s="298"/>
      <c r="W491" s="298"/>
      <c r="X491" s="298"/>
      <c r="Y491" s="298"/>
      <c r="Z491" s="298"/>
      <c r="AA491" s="298"/>
      <c r="AB491" s="298"/>
      <c r="AC491" s="298"/>
      <c r="AD491" s="298"/>
      <c r="AE491" s="298"/>
      <c r="AF491" s="298"/>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row>
    <row r="492">
      <c r="A492" s="304"/>
      <c r="B492" s="282"/>
      <c r="C492" s="282"/>
      <c r="D492" s="282"/>
      <c r="E492" s="282"/>
      <c r="F492" s="282"/>
      <c r="G492" s="282"/>
      <c r="H492" s="282"/>
      <c r="I492" s="282"/>
      <c r="J492" s="282"/>
      <c r="K492" s="282"/>
      <c r="L492" s="282"/>
      <c r="M492" s="282"/>
      <c r="N492" s="282"/>
      <c r="O492" s="282"/>
      <c r="P492" s="282"/>
      <c r="Q492" s="282"/>
      <c r="R492" s="282"/>
      <c r="S492" s="282"/>
      <c r="T492" s="282"/>
      <c r="U492" s="282"/>
      <c r="V492" s="298"/>
      <c r="W492" s="298"/>
      <c r="X492" s="298"/>
      <c r="Y492" s="298"/>
      <c r="Z492" s="298"/>
      <c r="AA492" s="298"/>
      <c r="AB492" s="298"/>
      <c r="AC492" s="298"/>
      <c r="AD492" s="298"/>
      <c r="AE492" s="298"/>
      <c r="AF492" s="298"/>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row>
    <row r="493">
      <c r="A493" s="304"/>
      <c r="B493" s="282"/>
      <c r="C493" s="282"/>
      <c r="D493" s="282"/>
      <c r="E493" s="282"/>
      <c r="F493" s="282"/>
      <c r="G493" s="282"/>
      <c r="H493" s="282"/>
      <c r="I493" s="282"/>
      <c r="J493" s="282"/>
      <c r="K493" s="282"/>
      <c r="L493" s="282"/>
      <c r="M493" s="282"/>
      <c r="N493" s="282"/>
      <c r="O493" s="282"/>
      <c r="P493" s="282"/>
      <c r="Q493" s="282"/>
      <c r="R493" s="282"/>
      <c r="S493" s="282"/>
      <c r="T493" s="282"/>
      <c r="U493" s="282"/>
      <c r="V493" s="298"/>
      <c r="W493" s="298"/>
      <c r="X493" s="298"/>
      <c r="Y493" s="298"/>
      <c r="Z493" s="298"/>
      <c r="AA493" s="298"/>
      <c r="AB493" s="298"/>
      <c r="AC493" s="298"/>
      <c r="AD493" s="298"/>
      <c r="AE493" s="298"/>
      <c r="AF493" s="298"/>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row>
    <row r="494">
      <c r="A494" s="304"/>
      <c r="B494" s="282"/>
      <c r="C494" s="282"/>
      <c r="D494" s="282"/>
      <c r="E494" s="282"/>
      <c r="F494" s="282"/>
      <c r="G494" s="282"/>
      <c r="H494" s="282"/>
      <c r="I494" s="282"/>
      <c r="J494" s="282"/>
      <c r="K494" s="282"/>
      <c r="L494" s="282"/>
      <c r="M494" s="282"/>
      <c r="N494" s="282"/>
      <c r="O494" s="282"/>
      <c r="P494" s="282"/>
      <c r="Q494" s="282"/>
      <c r="R494" s="282"/>
      <c r="S494" s="282"/>
      <c r="T494" s="282"/>
      <c r="U494" s="282"/>
      <c r="V494" s="298"/>
      <c r="W494" s="298"/>
      <c r="X494" s="298"/>
      <c r="Y494" s="298"/>
      <c r="Z494" s="298"/>
      <c r="AA494" s="298"/>
      <c r="AB494" s="298"/>
      <c r="AC494" s="298"/>
      <c r="AD494" s="298"/>
      <c r="AE494" s="298"/>
      <c r="AF494" s="298"/>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row>
    <row r="495">
      <c r="A495" s="304"/>
      <c r="B495" s="282"/>
      <c r="C495" s="282"/>
      <c r="D495" s="282"/>
      <c r="E495" s="282"/>
      <c r="F495" s="282"/>
      <c r="G495" s="282"/>
      <c r="H495" s="282"/>
      <c r="I495" s="282"/>
      <c r="J495" s="282"/>
      <c r="K495" s="282"/>
      <c r="L495" s="282"/>
      <c r="M495" s="282"/>
      <c r="N495" s="282"/>
      <c r="O495" s="282"/>
      <c r="P495" s="282"/>
      <c r="Q495" s="282"/>
      <c r="R495" s="282"/>
      <c r="S495" s="282"/>
      <c r="T495" s="282"/>
      <c r="U495" s="282"/>
      <c r="V495" s="298"/>
      <c r="W495" s="298"/>
      <c r="X495" s="298"/>
      <c r="Y495" s="298"/>
      <c r="Z495" s="298"/>
      <c r="AA495" s="298"/>
      <c r="AB495" s="298"/>
      <c r="AC495" s="298"/>
      <c r="AD495" s="298"/>
      <c r="AE495" s="298"/>
      <c r="AF495" s="298"/>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row>
    <row r="496">
      <c r="A496" s="304"/>
      <c r="B496" s="282"/>
      <c r="C496" s="282"/>
      <c r="D496" s="282"/>
      <c r="E496" s="282"/>
      <c r="F496" s="282"/>
      <c r="G496" s="282"/>
      <c r="H496" s="282"/>
      <c r="I496" s="282"/>
      <c r="J496" s="282"/>
      <c r="K496" s="282"/>
      <c r="L496" s="282"/>
      <c r="M496" s="282"/>
      <c r="N496" s="282"/>
      <c r="O496" s="282"/>
      <c r="P496" s="282"/>
      <c r="Q496" s="282"/>
      <c r="R496" s="282"/>
      <c r="S496" s="282"/>
      <c r="T496" s="282"/>
      <c r="U496" s="282"/>
      <c r="V496" s="298"/>
      <c r="W496" s="298"/>
      <c r="X496" s="298"/>
      <c r="Y496" s="298"/>
      <c r="Z496" s="298"/>
      <c r="AA496" s="298"/>
      <c r="AB496" s="298"/>
      <c r="AC496" s="298"/>
      <c r="AD496" s="298"/>
      <c r="AE496" s="298"/>
      <c r="AF496" s="298"/>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row>
    <row r="497">
      <c r="A497" s="304"/>
      <c r="B497" s="282"/>
      <c r="C497" s="282"/>
      <c r="D497" s="282"/>
      <c r="E497" s="282"/>
      <c r="F497" s="282"/>
      <c r="G497" s="282"/>
      <c r="H497" s="282"/>
      <c r="I497" s="282"/>
      <c r="J497" s="282"/>
      <c r="K497" s="282"/>
      <c r="L497" s="282"/>
      <c r="M497" s="282"/>
      <c r="N497" s="282"/>
      <c r="O497" s="282"/>
      <c r="P497" s="282"/>
      <c r="Q497" s="282"/>
      <c r="R497" s="282"/>
      <c r="S497" s="282"/>
      <c r="T497" s="282"/>
      <c r="U497" s="282"/>
      <c r="V497" s="298"/>
      <c r="W497" s="298"/>
      <c r="X497" s="298"/>
      <c r="Y497" s="298"/>
      <c r="Z497" s="298"/>
      <c r="AA497" s="298"/>
      <c r="AB497" s="298"/>
      <c r="AC497" s="298"/>
      <c r="AD497" s="298"/>
      <c r="AE497" s="298"/>
      <c r="AF497" s="298"/>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row>
    <row r="498">
      <c r="A498" s="304"/>
      <c r="B498" s="282"/>
      <c r="C498" s="282"/>
      <c r="D498" s="282"/>
      <c r="E498" s="282"/>
      <c r="F498" s="282"/>
      <c r="G498" s="282"/>
      <c r="H498" s="282"/>
      <c r="I498" s="282"/>
      <c r="J498" s="282"/>
      <c r="K498" s="282"/>
      <c r="L498" s="282"/>
      <c r="M498" s="282"/>
      <c r="N498" s="282"/>
      <c r="O498" s="282"/>
      <c r="P498" s="282"/>
      <c r="Q498" s="282"/>
      <c r="R498" s="282"/>
      <c r="S498" s="282"/>
      <c r="T498" s="282"/>
      <c r="U498" s="282"/>
      <c r="V498" s="298"/>
      <c r="W498" s="298"/>
      <c r="X498" s="298"/>
      <c r="Y498" s="298"/>
      <c r="Z498" s="298"/>
      <c r="AA498" s="298"/>
      <c r="AB498" s="298"/>
      <c r="AC498" s="298"/>
      <c r="AD498" s="298"/>
      <c r="AE498" s="298"/>
      <c r="AF498" s="298"/>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row>
    <row r="499">
      <c r="A499" s="304"/>
      <c r="B499" s="282"/>
      <c r="C499" s="282"/>
      <c r="D499" s="282"/>
      <c r="E499" s="282"/>
      <c r="F499" s="282"/>
      <c r="G499" s="282"/>
      <c r="H499" s="282"/>
      <c r="I499" s="282"/>
      <c r="J499" s="282"/>
      <c r="K499" s="282"/>
      <c r="L499" s="282"/>
      <c r="M499" s="282"/>
      <c r="N499" s="282"/>
      <c r="O499" s="282"/>
      <c r="P499" s="282"/>
      <c r="Q499" s="282"/>
      <c r="R499" s="282"/>
      <c r="S499" s="282"/>
      <c r="T499" s="282"/>
      <c r="U499" s="282"/>
      <c r="V499" s="298"/>
      <c r="W499" s="298"/>
      <c r="X499" s="298"/>
      <c r="Y499" s="298"/>
      <c r="Z499" s="298"/>
      <c r="AA499" s="298"/>
      <c r="AB499" s="298"/>
      <c r="AC499" s="298"/>
      <c r="AD499" s="298"/>
      <c r="AE499" s="298"/>
      <c r="AF499" s="298"/>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row>
    <row r="500">
      <c r="A500" s="304"/>
      <c r="B500" s="282"/>
      <c r="C500" s="282"/>
      <c r="D500" s="282"/>
      <c r="E500" s="282"/>
      <c r="F500" s="282"/>
      <c r="G500" s="282"/>
      <c r="H500" s="282"/>
      <c r="I500" s="282"/>
      <c r="J500" s="282"/>
      <c r="K500" s="282"/>
      <c r="L500" s="282"/>
      <c r="M500" s="282"/>
      <c r="N500" s="282"/>
      <c r="O500" s="282"/>
      <c r="P500" s="282"/>
      <c r="Q500" s="282"/>
      <c r="R500" s="282"/>
      <c r="S500" s="282"/>
      <c r="T500" s="282"/>
      <c r="U500" s="282"/>
      <c r="V500" s="298"/>
      <c r="W500" s="298"/>
      <c r="X500" s="298"/>
      <c r="Y500" s="298"/>
      <c r="Z500" s="298"/>
      <c r="AA500" s="298"/>
      <c r="AB500" s="298"/>
      <c r="AC500" s="298"/>
      <c r="AD500" s="298"/>
      <c r="AE500" s="298"/>
      <c r="AF500" s="298"/>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row>
    <row r="501">
      <c r="A501" s="304"/>
      <c r="B501" s="282"/>
      <c r="C501" s="282"/>
      <c r="D501" s="282"/>
      <c r="E501" s="282"/>
      <c r="F501" s="282"/>
      <c r="G501" s="282"/>
      <c r="H501" s="282"/>
      <c r="I501" s="282"/>
      <c r="J501" s="282"/>
      <c r="K501" s="282"/>
      <c r="L501" s="282"/>
      <c r="M501" s="282"/>
      <c r="N501" s="282"/>
      <c r="O501" s="282"/>
      <c r="P501" s="282"/>
      <c r="Q501" s="282"/>
      <c r="R501" s="282"/>
      <c r="S501" s="282"/>
      <c r="T501" s="282"/>
      <c r="U501" s="282"/>
      <c r="V501" s="298"/>
      <c r="W501" s="298"/>
      <c r="X501" s="298"/>
      <c r="Y501" s="298"/>
      <c r="Z501" s="298"/>
      <c r="AA501" s="298"/>
      <c r="AB501" s="298"/>
      <c r="AC501" s="298"/>
      <c r="AD501" s="298"/>
      <c r="AE501" s="298"/>
      <c r="AF501" s="298"/>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row>
    <row r="502">
      <c r="A502" s="304"/>
      <c r="B502" s="282"/>
      <c r="C502" s="282"/>
      <c r="D502" s="282"/>
      <c r="E502" s="282"/>
      <c r="F502" s="282"/>
      <c r="G502" s="282"/>
      <c r="H502" s="282"/>
      <c r="I502" s="282"/>
      <c r="J502" s="282"/>
      <c r="K502" s="282"/>
      <c r="L502" s="282"/>
      <c r="M502" s="282"/>
      <c r="N502" s="282"/>
      <c r="O502" s="282"/>
      <c r="P502" s="282"/>
      <c r="Q502" s="282"/>
      <c r="R502" s="282"/>
      <c r="S502" s="282"/>
      <c r="T502" s="282"/>
      <c r="U502" s="282"/>
      <c r="V502" s="298"/>
      <c r="W502" s="298"/>
      <c r="X502" s="298"/>
      <c r="Y502" s="298"/>
      <c r="Z502" s="298"/>
      <c r="AA502" s="298"/>
      <c r="AB502" s="298"/>
      <c r="AC502" s="298"/>
      <c r="AD502" s="298"/>
      <c r="AE502" s="298"/>
      <c r="AF502" s="298"/>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row>
    <row r="503">
      <c r="A503" s="304"/>
      <c r="B503" s="282"/>
      <c r="C503" s="282"/>
      <c r="D503" s="282"/>
      <c r="E503" s="282"/>
      <c r="F503" s="282"/>
      <c r="G503" s="282"/>
      <c r="H503" s="282"/>
      <c r="I503" s="282"/>
      <c r="J503" s="282"/>
      <c r="K503" s="282"/>
      <c r="L503" s="282"/>
      <c r="M503" s="282"/>
      <c r="N503" s="282"/>
      <c r="O503" s="282"/>
      <c r="P503" s="282"/>
      <c r="Q503" s="282"/>
      <c r="R503" s="282"/>
      <c r="S503" s="282"/>
      <c r="T503" s="282"/>
      <c r="U503" s="282"/>
      <c r="V503" s="298"/>
      <c r="W503" s="298"/>
      <c r="X503" s="298"/>
      <c r="Y503" s="298"/>
      <c r="Z503" s="298"/>
      <c r="AA503" s="298"/>
      <c r="AB503" s="298"/>
      <c r="AC503" s="298"/>
      <c r="AD503" s="298"/>
      <c r="AE503" s="298"/>
      <c r="AF503" s="298"/>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row>
    <row r="504">
      <c r="A504" s="304"/>
      <c r="B504" s="282"/>
      <c r="C504" s="282"/>
      <c r="D504" s="282"/>
      <c r="E504" s="282"/>
      <c r="F504" s="282"/>
      <c r="G504" s="282"/>
      <c r="H504" s="282"/>
      <c r="I504" s="282"/>
      <c r="J504" s="282"/>
      <c r="K504" s="282"/>
      <c r="L504" s="282"/>
      <c r="M504" s="282"/>
      <c r="N504" s="282"/>
      <c r="O504" s="282"/>
      <c r="P504" s="282"/>
      <c r="Q504" s="282"/>
      <c r="R504" s="282"/>
      <c r="S504" s="282"/>
      <c r="T504" s="282"/>
      <c r="U504" s="282"/>
      <c r="V504" s="298"/>
      <c r="W504" s="298"/>
      <c r="X504" s="298"/>
      <c r="Y504" s="298"/>
      <c r="Z504" s="298"/>
      <c r="AA504" s="298"/>
      <c r="AB504" s="298"/>
      <c r="AC504" s="298"/>
      <c r="AD504" s="298"/>
      <c r="AE504" s="298"/>
      <c r="AF504" s="298"/>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row>
    <row r="505">
      <c r="A505" s="304"/>
      <c r="B505" s="282"/>
      <c r="C505" s="282"/>
      <c r="D505" s="282"/>
      <c r="E505" s="282"/>
      <c r="F505" s="282"/>
      <c r="G505" s="282"/>
      <c r="H505" s="282"/>
      <c r="I505" s="282"/>
      <c r="J505" s="282"/>
      <c r="K505" s="282"/>
      <c r="L505" s="282"/>
      <c r="M505" s="282"/>
      <c r="N505" s="282"/>
      <c r="O505" s="282"/>
      <c r="P505" s="282"/>
      <c r="Q505" s="282"/>
      <c r="R505" s="282"/>
      <c r="S505" s="282"/>
      <c r="T505" s="282"/>
      <c r="U505" s="282"/>
      <c r="V505" s="298"/>
      <c r="W505" s="298"/>
      <c r="X505" s="298"/>
      <c r="Y505" s="298"/>
      <c r="Z505" s="298"/>
      <c r="AA505" s="298"/>
      <c r="AB505" s="298"/>
      <c r="AC505" s="298"/>
      <c r="AD505" s="298"/>
      <c r="AE505" s="298"/>
      <c r="AF505" s="298"/>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row>
    <row r="506">
      <c r="A506" s="304"/>
      <c r="B506" s="282"/>
      <c r="C506" s="282"/>
      <c r="D506" s="282"/>
      <c r="E506" s="282"/>
      <c r="F506" s="282"/>
      <c r="G506" s="282"/>
      <c r="H506" s="282"/>
      <c r="I506" s="282"/>
      <c r="J506" s="282"/>
      <c r="K506" s="282"/>
      <c r="L506" s="282"/>
      <c r="M506" s="282"/>
      <c r="N506" s="282"/>
      <c r="O506" s="282"/>
      <c r="P506" s="282"/>
      <c r="Q506" s="282"/>
      <c r="R506" s="282"/>
      <c r="S506" s="282"/>
      <c r="T506" s="282"/>
      <c r="U506" s="282"/>
      <c r="V506" s="298"/>
      <c r="W506" s="298"/>
      <c r="X506" s="298"/>
      <c r="Y506" s="298"/>
      <c r="Z506" s="298"/>
      <c r="AA506" s="298"/>
      <c r="AB506" s="298"/>
      <c r="AC506" s="298"/>
      <c r="AD506" s="298"/>
      <c r="AE506" s="298"/>
      <c r="AF506" s="298"/>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row>
    <row r="507">
      <c r="A507" s="304"/>
      <c r="B507" s="282"/>
      <c r="C507" s="282"/>
      <c r="D507" s="282"/>
      <c r="E507" s="282"/>
      <c r="F507" s="282"/>
      <c r="G507" s="282"/>
      <c r="H507" s="282"/>
      <c r="I507" s="282"/>
      <c r="J507" s="282"/>
      <c r="K507" s="282"/>
      <c r="L507" s="282"/>
      <c r="M507" s="282"/>
      <c r="N507" s="282"/>
      <c r="O507" s="282"/>
      <c r="P507" s="282"/>
      <c r="Q507" s="282"/>
      <c r="R507" s="282"/>
      <c r="S507" s="282"/>
      <c r="T507" s="282"/>
      <c r="U507" s="282"/>
      <c r="V507" s="298"/>
      <c r="W507" s="298"/>
      <c r="X507" s="298"/>
      <c r="Y507" s="298"/>
      <c r="Z507" s="298"/>
      <c r="AA507" s="298"/>
      <c r="AB507" s="298"/>
      <c r="AC507" s="298"/>
      <c r="AD507" s="298"/>
      <c r="AE507" s="298"/>
      <c r="AF507" s="298"/>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row>
    <row r="508">
      <c r="A508" s="304"/>
      <c r="B508" s="282"/>
      <c r="C508" s="282"/>
      <c r="D508" s="282"/>
      <c r="E508" s="282"/>
      <c r="F508" s="282"/>
      <c r="G508" s="282"/>
      <c r="H508" s="282"/>
      <c r="I508" s="282"/>
      <c r="J508" s="282"/>
      <c r="K508" s="282"/>
      <c r="L508" s="282"/>
      <c r="M508" s="282"/>
      <c r="N508" s="282"/>
      <c r="O508" s="282"/>
      <c r="P508" s="282"/>
      <c r="Q508" s="282"/>
      <c r="R508" s="282"/>
      <c r="S508" s="282"/>
      <c r="T508" s="282"/>
      <c r="U508" s="282"/>
      <c r="V508" s="298"/>
      <c r="W508" s="298"/>
      <c r="X508" s="298"/>
      <c r="Y508" s="298"/>
      <c r="Z508" s="298"/>
      <c r="AA508" s="298"/>
      <c r="AB508" s="298"/>
      <c r="AC508" s="298"/>
      <c r="AD508" s="298"/>
      <c r="AE508" s="298"/>
      <c r="AF508" s="298"/>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row>
    <row r="509">
      <c r="A509" s="304"/>
      <c r="B509" s="282"/>
      <c r="C509" s="282"/>
      <c r="D509" s="282"/>
      <c r="E509" s="282"/>
      <c r="F509" s="282"/>
      <c r="G509" s="282"/>
      <c r="H509" s="282"/>
      <c r="I509" s="282"/>
      <c r="J509" s="282"/>
      <c r="K509" s="282"/>
      <c r="L509" s="282"/>
      <c r="M509" s="282"/>
      <c r="N509" s="282"/>
      <c r="O509" s="282"/>
      <c r="P509" s="282"/>
      <c r="Q509" s="282"/>
      <c r="R509" s="282"/>
      <c r="S509" s="282"/>
      <c r="T509" s="282"/>
      <c r="U509" s="282"/>
      <c r="V509" s="298"/>
      <c r="W509" s="298"/>
      <c r="X509" s="298"/>
      <c r="Y509" s="298"/>
      <c r="Z509" s="298"/>
      <c r="AA509" s="298"/>
      <c r="AB509" s="298"/>
      <c r="AC509" s="298"/>
      <c r="AD509" s="298"/>
      <c r="AE509" s="298"/>
      <c r="AF509" s="298"/>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row>
    <row r="510">
      <c r="A510" s="304"/>
      <c r="B510" s="282"/>
      <c r="C510" s="282"/>
      <c r="D510" s="282"/>
      <c r="E510" s="282"/>
      <c r="F510" s="282"/>
      <c r="G510" s="282"/>
      <c r="H510" s="282"/>
      <c r="I510" s="282"/>
      <c r="J510" s="282"/>
      <c r="K510" s="282"/>
      <c r="L510" s="282"/>
      <c r="M510" s="282"/>
      <c r="N510" s="282"/>
      <c r="O510" s="282"/>
      <c r="P510" s="282"/>
      <c r="Q510" s="282"/>
      <c r="R510" s="282"/>
      <c r="S510" s="282"/>
      <c r="T510" s="282"/>
      <c r="U510" s="282"/>
      <c r="V510" s="298"/>
      <c r="W510" s="298"/>
      <c r="X510" s="298"/>
      <c r="Y510" s="298"/>
      <c r="Z510" s="298"/>
      <c r="AA510" s="298"/>
      <c r="AB510" s="298"/>
      <c r="AC510" s="298"/>
      <c r="AD510" s="298"/>
      <c r="AE510" s="298"/>
      <c r="AF510" s="298"/>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row>
    <row r="511">
      <c r="A511" s="304"/>
      <c r="B511" s="282"/>
      <c r="C511" s="282"/>
      <c r="D511" s="282"/>
      <c r="E511" s="282"/>
      <c r="F511" s="282"/>
      <c r="G511" s="282"/>
      <c r="H511" s="282"/>
      <c r="I511" s="282"/>
      <c r="J511" s="282"/>
      <c r="K511" s="282"/>
      <c r="L511" s="282"/>
      <c r="M511" s="282"/>
      <c r="N511" s="282"/>
      <c r="O511" s="282"/>
      <c r="P511" s="282"/>
      <c r="Q511" s="282"/>
      <c r="R511" s="282"/>
      <c r="S511" s="282"/>
      <c r="T511" s="282"/>
      <c r="U511" s="282"/>
      <c r="V511" s="298"/>
      <c r="W511" s="298"/>
      <c r="X511" s="298"/>
      <c r="Y511" s="298"/>
      <c r="Z511" s="298"/>
      <c r="AA511" s="298"/>
      <c r="AB511" s="298"/>
      <c r="AC511" s="298"/>
      <c r="AD511" s="298"/>
      <c r="AE511" s="298"/>
      <c r="AF511" s="298"/>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row>
    <row r="512">
      <c r="A512" s="304"/>
      <c r="B512" s="282"/>
      <c r="C512" s="282"/>
      <c r="D512" s="282"/>
      <c r="E512" s="282"/>
      <c r="F512" s="282"/>
      <c r="G512" s="282"/>
      <c r="H512" s="282"/>
      <c r="I512" s="282"/>
      <c r="J512" s="282"/>
      <c r="K512" s="282"/>
      <c r="L512" s="282"/>
      <c r="M512" s="282"/>
      <c r="N512" s="282"/>
      <c r="O512" s="282"/>
      <c r="P512" s="282"/>
      <c r="Q512" s="282"/>
      <c r="R512" s="282"/>
      <c r="S512" s="282"/>
      <c r="T512" s="282"/>
      <c r="U512" s="282"/>
      <c r="V512" s="298"/>
      <c r="W512" s="298"/>
      <c r="X512" s="298"/>
      <c r="Y512" s="298"/>
      <c r="Z512" s="298"/>
      <c r="AA512" s="298"/>
      <c r="AB512" s="298"/>
      <c r="AC512" s="298"/>
      <c r="AD512" s="298"/>
      <c r="AE512" s="298"/>
      <c r="AF512" s="298"/>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row>
    <row r="513">
      <c r="A513" s="304"/>
      <c r="B513" s="282"/>
      <c r="C513" s="282"/>
      <c r="D513" s="282"/>
      <c r="E513" s="282"/>
      <c r="F513" s="282"/>
      <c r="G513" s="282"/>
      <c r="H513" s="282"/>
      <c r="I513" s="282"/>
      <c r="J513" s="282"/>
      <c r="K513" s="282"/>
      <c r="L513" s="282"/>
      <c r="M513" s="282"/>
      <c r="N513" s="282"/>
      <c r="O513" s="282"/>
      <c r="P513" s="282"/>
      <c r="Q513" s="282"/>
      <c r="R513" s="282"/>
      <c r="S513" s="282"/>
      <c r="T513" s="282"/>
      <c r="U513" s="282"/>
      <c r="V513" s="298"/>
      <c r="W513" s="298"/>
      <c r="X513" s="298"/>
      <c r="Y513" s="298"/>
      <c r="Z513" s="298"/>
      <c r="AA513" s="298"/>
      <c r="AB513" s="298"/>
      <c r="AC513" s="298"/>
      <c r="AD513" s="298"/>
      <c r="AE513" s="298"/>
      <c r="AF513" s="298"/>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row>
    <row r="514">
      <c r="A514" s="304"/>
      <c r="B514" s="282"/>
      <c r="C514" s="282"/>
      <c r="D514" s="282"/>
      <c r="E514" s="282"/>
      <c r="F514" s="282"/>
      <c r="G514" s="282"/>
      <c r="H514" s="282"/>
      <c r="I514" s="282"/>
      <c r="J514" s="282"/>
      <c r="K514" s="282"/>
      <c r="L514" s="282"/>
      <c r="M514" s="282"/>
      <c r="N514" s="282"/>
      <c r="O514" s="282"/>
      <c r="P514" s="282"/>
      <c r="Q514" s="282"/>
      <c r="R514" s="282"/>
      <c r="S514" s="282"/>
      <c r="T514" s="282"/>
      <c r="U514" s="282"/>
      <c r="V514" s="298"/>
      <c r="W514" s="298"/>
      <c r="X514" s="298"/>
      <c r="Y514" s="298"/>
      <c r="Z514" s="298"/>
      <c r="AA514" s="298"/>
      <c r="AB514" s="298"/>
      <c r="AC514" s="298"/>
      <c r="AD514" s="298"/>
      <c r="AE514" s="298"/>
      <c r="AF514" s="298"/>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row>
    <row r="515">
      <c r="A515" s="304"/>
      <c r="B515" s="282"/>
      <c r="C515" s="282"/>
      <c r="D515" s="282"/>
      <c r="E515" s="282"/>
      <c r="F515" s="282"/>
      <c r="G515" s="282"/>
      <c r="H515" s="282"/>
      <c r="I515" s="282"/>
      <c r="J515" s="282"/>
      <c r="K515" s="282"/>
      <c r="L515" s="282"/>
      <c r="M515" s="282"/>
      <c r="N515" s="282"/>
      <c r="O515" s="282"/>
      <c r="P515" s="282"/>
      <c r="Q515" s="282"/>
      <c r="R515" s="282"/>
      <c r="S515" s="282"/>
      <c r="T515" s="282"/>
      <c r="U515" s="282"/>
      <c r="V515" s="298"/>
      <c r="W515" s="298"/>
      <c r="X515" s="298"/>
      <c r="Y515" s="298"/>
      <c r="Z515" s="298"/>
      <c r="AA515" s="298"/>
      <c r="AB515" s="298"/>
      <c r="AC515" s="298"/>
      <c r="AD515" s="298"/>
      <c r="AE515" s="298"/>
      <c r="AF515" s="298"/>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row>
    <row r="516">
      <c r="A516" s="304"/>
      <c r="B516" s="282"/>
      <c r="C516" s="282"/>
      <c r="D516" s="282"/>
      <c r="E516" s="282"/>
      <c r="F516" s="282"/>
      <c r="G516" s="282"/>
      <c r="H516" s="282"/>
      <c r="I516" s="282"/>
      <c r="J516" s="282"/>
      <c r="K516" s="282"/>
      <c r="L516" s="282"/>
      <c r="M516" s="282"/>
      <c r="N516" s="282"/>
      <c r="O516" s="282"/>
      <c r="P516" s="282"/>
      <c r="Q516" s="282"/>
      <c r="R516" s="282"/>
      <c r="S516" s="282"/>
      <c r="T516" s="282"/>
      <c r="U516" s="282"/>
      <c r="V516" s="298"/>
      <c r="W516" s="298"/>
      <c r="X516" s="298"/>
      <c r="Y516" s="298"/>
      <c r="Z516" s="298"/>
      <c r="AA516" s="298"/>
      <c r="AB516" s="298"/>
      <c r="AC516" s="298"/>
      <c r="AD516" s="298"/>
      <c r="AE516" s="298"/>
      <c r="AF516" s="298"/>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row>
    <row r="517">
      <c r="A517" s="304"/>
      <c r="B517" s="282"/>
      <c r="C517" s="282"/>
      <c r="D517" s="282"/>
      <c r="E517" s="282"/>
      <c r="F517" s="282"/>
      <c r="G517" s="282"/>
      <c r="H517" s="282"/>
      <c r="I517" s="282"/>
      <c r="J517" s="282"/>
      <c r="K517" s="282"/>
      <c r="L517" s="282"/>
      <c r="M517" s="282"/>
      <c r="N517" s="282"/>
      <c r="O517" s="282"/>
      <c r="P517" s="282"/>
      <c r="Q517" s="282"/>
      <c r="R517" s="282"/>
      <c r="S517" s="282"/>
      <c r="T517" s="282"/>
      <c r="U517" s="282"/>
      <c r="V517" s="298"/>
      <c r="W517" s="298"/>
      <c r="X517" s="298"/>
      <c r="Y517" s="298"/>
      <c r="Z517" s="298"/>
      <c r="AA517" s="298"/>
      <c r="AB517" s="298"/>
      <c r="AC517" s="298"/>
      <c r="AD517" s="298"/>
      <c r="AE517" s="298"/>
      <c r="AF517" s="298"/>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row>
    <row r="518">
      <c r="A518" s="304"/>
      <c r="B518" s="282"/>
      <c r="C518" s="282"/>
      <c r="D518" s="282"/>
      <c r="E518" s="282"/>
      <c r="F518" s="282"/>
      <c r="G518" s="282"/>
      <c r="H518" s="282"/>
      <c r="I518" s="282"/>
      <c r="J518" s="282"/>
      <c r="K518" s="282"/>
      <c r="L518" s="282"/>
      <c r="M518" s="282"/>
      <c r="N518" s="282"/>
      <c r="O518" s="282"/>
      <c r="P518" s="282"/>
      <c r="Q518" s="282"/>
      <c r="R518" s="282"/>
      <c r="S518" s="282"/>
      <c r="T518" s="282"/>
      <c r="U518" s="282"/>
      <c r="V518" s="298"/>
      <c r="W518" s="298"/>
      <c r="X518" s="298"/>
      <c r="Y518" s="298"/>
      <c r="Z518" s="298"/>
      <c r="AA518" s="298"/>
      <c r="AB518" s="298"/>
      <c r="AC518" s="298"/>
      <c r="AD518" s="298"/>
      <c r="AE518" s="298"/>
      <c r="AF518" s="298"/>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row>
    <row r="519">
      <c r="A519" s="304"/>
      <c r="B519" s="282"/>
      <c r="C519" s="282"/>
      <c r="D519" s="282"/>
      <c r="E519" s="282"/>
      <c r="F519" s="282"/>
      <c r="G519" s="282"/>
      <c r="H519" s="282"/>
      <c r="I519" s="282"/>
      <c r="J519" s="282"/>
      <c r="K519" s="282"/>
      <c r="L519" s="282"/>
      <c r="M519" s="282"/>
      <c r="N519" s="282"/>
      <c r="O519" s="282"/>
      <c r="P519" s="282"/>
      <c r="Q519" s="282"/>
      <c r="R519" s="282"/>
      <c r="S519" s="282"/>
      <c r="T519" s="282"/>
      <c r="U519" s="282"/>
      <c r="V519" s="298"/>
      <c r="W519" s="298"/>
      <c r="X519" s="298"/>
      <c r="Y519" s="298"/>
      <c r="Z519" s="298"/>
      <c r="AA519" s="298"/>
      <c r="AB519" s="298"/>
      <c r="AC519" s="298"/>
      <c r="AD519" s="298"/>
      <c r="AE519" s="298"/>
      <c r="AF519" s="298"/>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row>
    <row r="520">
      <c r="A520" s="304"/>
      <c r="B520" s="282"/>
      <c r="C520" s="282"/>
      <c r="D520" s="282"/>
      <c r="E520" s="282"/>
      <c r="F520" s="282"/>
      <c r="G520" s="282"/>
      <c r="H520" s="282"/>
      <c r="I520" s="282"/>
      <c r="J520" s="282"/>
      <c r="K520" s="282"/>
      <c r="L520" s="282"/>
      <c r="M520" s="282"/>
      <c r="N520" s="282"/>
      <c r="O520" s="282"/>
      <c r="P520" s="282"/>
      <c r="Q520" s="282"/>
      <c r="R520" s="282"/>
      <c r="S520" s="282"/>
      <c r="T520" s="282"/>
      <c r="U520" s="282"/>
      <c r="V520" s="298"/>
      <c r="W520" s="298"/>
      <c r="X520" s="298"/>
      <c r="Y520" s="298"/>
      <c r="Z520" s="298"/>
      <c r="AA520" s="298"/>
      <c r="AB520" s="298"/>
      <c r="AC520" s="298"/>
      <c r="AD520" s="298"/>
      <c r="AE520" s="298"/>
      <c r="AF520" s="298"/>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row>
    <row r="521">
      <c r="A521" s="304"/>
      <c r="B521" s="282"/>
      <c r="C521" s="282"/>
      <c r="D521" s="282"/>
      <c r="E521" s="282"/>
      <c r="F521" s="282"/>
      <c r="G521" s="282"/>
      <c r="H521" s="282"/>
      <c r="I521" s="282"/>
      <c r="J521" s="282"/>
      <c r="K521" s="282"/>
      <c r="L521" s="282"/>
      <c r="M521" s="282"/>
      <c r="N521" s="282"/>
      <c r="O521" s="282"/>
      <c r="P521" s="282"/>
      <c r="Q521" s="282"/>
      <c r="R521" s="282"/>
      <c r="S521" s="282"/>
      <c r="T521" s="282"/>
      <c r="U521" s="282"/>
      <c r="V521" s="298"/>
      <c r="W521" s="298"/>
      <c r="X521" s="298"/>
      <c r="Y521" s="298"/>
      <c r="Z521" s="298"/>
      <c r="AA521" s="298"/>
      <c r="AB521" s="298"/>
      <c r="AC521" s="298"/>
      <c r="AD521" s="298"/>
      <c r="AE521" s="298"/>
      <c r="AF521" s="298"/>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row>
    <row r="522">
      <c r="A522" s="304"/>
      <c r="B522" s="282"/>
      <c r="C522" s="282"/>
      <c r="D522" s="282"/>
      <c r="E522" s="282"/>
      <c r="F522" s="282"/>
      <c r="G522" s="282"/>
      <c r="H522" s="282"/>
      <c r="I522" s="282"/>
      <c r="J522" s="282"/>
      <c r="K522" s="282"/>
      <c r="L522" s="282"/>
      <c r="M522" s="282"/>
      <c r="N522" s="282"/>
      <c r="O522" s="282"/>
      <c r="P522" s="282"/>
      <c r="Q522" s="282"/>
      <c r="R522" s="282"/>
      <c r="S522" s="282"/>
      <c r="T522" s="282"/>
      <c r="U522" s="282"/>
      <c r="V522" s="298"/>
      <c r="W522" s="298"/>
      <c r="X522" s="298"/>
      <c r="Y522" s="298"/>
      <c r="Z522" s="298"/>
      <c r="AA522" s="298"/>
      <c r="AB522" s="298"/>
      <c r="AC522" s="298"/>
      <c r="AD522" s="298"/>
      <c r="AE522" s="298"/>
      <c r="AF522" s="298"/>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row>
    <row r="523">
      <c r="A523" s="304"/>
      <c r="B523" s="282"/>
      <c r="C523" s="282"/>
      <c r="D523" s="282"/>
      <c r="E523" s="282"/>
      <c r="F523" s="282"/>
      <c r="G523" s="282"/>
      <c r="H523" s="282"/>
      <c r="I523" s="282"/>
      <c r="J523" s="282"/>
      <c r="K523" s="282"/>
      <c r="L523" s="282"/>
      <c r="M523" s="282"/>
      <c r="N523" s="282"/>
      <c r="O523" s="282"/>
      <c r="P523" s="282"/>
      <c r="Q523" s="282"/>
      <c r="R523" s="282"/>
      <c r="S523" s="282"/>
      <c r="T523" s="282"/>
      <c r="U523" s="282"/>
      <c r="V523" s="298"/>
      <c r="W523" s="298"/>
      <c r="X523" s="298"/>
      <c r="Y523" s="298"/>
      <c r="Z523" s="298"/>
      <c r="AA523" s="298"/>
      <c r="AB523" s="298"/>
      <c r="AC523" s="298"/>
      <c r="AD523" s="298"/>
      <c r="AE523" s="298"/>
      <c r="AF523" s="298"/>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row>
    <row r="524">
      <c r="A524" s="304"/>
      <c r="B524" s="282"/>
      <c r="C524" s="282"/>
      <c r="D524" s="282"/>
      <c r="E524" s="282"/>
      <c r="F524" s="282"/>
      <c r="G524" s="282"/>
      <c r="H524" s="282"/>
      <c r="I524" s="282"/>
      <c r="J524" s="282"/>
      <c r="K524" s="282"/>
      <c r="L524" s="282"/>
      <c r="M524" s="282"/>
      <c r="N524" s="282"/>
      <c r="O524" s="282"/>
      <c r="P524" s="282"/>
      <c r="Q524" s="282"/>
      <c r="R524" s="282"/>
      <c r="S524" s="282"/>
      <c r="T524" s="282"/>
      <c r="U524" s="282"/>
      <c r="V524" s="298"/>
      <c r="W524" s="298"/>
      <c r="X524" s="298"/>
      <c r="Y524" s="298"/>
      <c r="Z524" s="298"/>
      <c r="AA524" s="298"/>
      <c r="AB524" s="298"/>
      <c r="AC524" s="298"/>
      <c r="AD524" s="298"/>
      <c r="AE524" s="298"/>
      <c r="AF524" s="298"/>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row>
    <row r="525">
      <c r="A525" s="304"/>
      <c r="B525" s="282"/>
      <c r="C525" s="282"/>
      <c r="D525" s="282"/>
      <c r="E525" s="282"/>
      <c r="F525" s="282"/>
      <c r="G525" s="282"/>
      <c r="H525" s="282"/>
      <c r="I525" s="282"/>
      <c r="J525" s="282"/>
      <c r="K525" s="282"/>
      <c r="L525" s="282"/>
      <c r="M525" s="282"/>
      <c r="N525" s="282"/>
      <c r="O525" s="282"/>
      <c r="P525" s="282"/>
      <c r="Q525" s="282"/>
      <c r="R525" s="282"/>
      <c r="S525" s="282"/>
      <c r="T525" s="282"/>
      <c r="U525" s="282"/>
      <c r="V525" s="298"/>
      <c r="W525" s="298"/>
      <c r="X525" s="298"/>
      <c r="Y525" s="298"/>
      <c r="Z525" s="298"/>
      <c r="AA525" s="298"/>
      <c r="AB525" s="298"/>
      <c r="AC525" s="298"/>
      <c r="AD525" s="298"/>
      <c r="AE525" s="298"/>
      <c r="AF525" s="298"/>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row>
    <row r="526">
      <c r="A526" s="304"/>
      <c r="B526" s="282"/>
      <c r="C526" s="282"/>
      <c r="D526" s="282"/>
      <c r="E526" s="282"/>
      <c r="F526" s="282"/>
      <c r="G526" s="282"/>
      <c r="H526" s="282"/>
      <c r="I526" s="282"/>
      <c r="J526" s="282"/>
      <c r="K526" s="282"/>
      <c r="L526" s="282"/>
      <c r="M526" s="282"/>
      <c r="N526" s="282"/>
      <c r="O526" s="282"/>
      <c r="P526" s="282"/>
      <c r="Q526" s="282"/>
      <c r="R526" s="282"/>
      <c r="S526" s="282"/>
      <c r="T526" s="282"/>
      <c r="U526" s="282"/>
      <c r="V526" s="298"/>
      <c r="W526" s="298"/>
      <c r="X526" s="298"/>
      <c r="Y526" s="298"/>
      <c r="Z526" s="298"/>
      <c r="AA526" s="298"/>
      <c r="AB526" s="298"/>
      <c r="AC526" s="298"/>
      <c r="AD526" s="298"/>
      <c r="AE526" s="298"/>
      <c r="AF526" s="298"/>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row>
    <row r="527">
      <c r="A527" s="304"/>
      <c r="B527" s="282"/>
      <c r="C527" s="282"/>
      <c r="D527" s="282"/>
      <c r="E527" s="282"/>
      <c r="F527" s="282"/>
      <c r="G527" s="282"/>
      <c r="H527" s="282"/>
      <c r="I527" s="282"/>
      <c r="J527" s="282"/>
      <c r="K527" s="282"/>
      <c r="L527" s="282"/>
      <c r="M527" s="282"/>
      <c r="N527" s="282"/>
      <c r="O527" s="282"/>
      <c r="P527" s="282"/>
      <c r="Q527" s="282"/>
      <c r="R527" s="282"/>
      <c r="S527" s="282"/>
      <c r="T527" s="282"/>
      <c r="U527" s="282"/>
      <c r="V527" s="298"/>
      <c r="W527" s="298"/>
      <c r="X527" s="298"/>
      <c r="Y527" s="298"/>
      <c r="Z527" s="298"/>
      <c r="AA527" s="298"/>
      <c r="AB527" s="298"/>
      <c r="AC527" s="298"/>
      <c r="AD527" s="298"/>
      <c r="AE527" s="298"/>
      <c r="AF527" s="298"/>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row>
    <row r="528">
      <c r="A528" s="304"/>
      <c r="B528" s="282"/>
      <c r="C528" s="282"/>
      <c r="D528" s="282"/>
      <c r="E528" s="282"/>
      <c r="F528" s="282"/>
      <c r="G528" s="282"/>
      <c r="H528" s="282"/>
      <c r="I528" s="282"/>
      <c r="J528" s="282"/>
      <c r="K528" s="282"/>
      <c r="L528" s="282"/>
      <c r="M528" s="282"/>
      <c r="N528" s="282"/>
      <c r="O528" s="282"/>
      <c r="P528" s="282"/>
      <c r="Q528" s="282"/>
      <c r="R528" s="282"/>
      <c r="S528" s="282"/>
      <c r="T528" s="282"/>
      <c r="U528" s="282"/>
      <c r="V528" s="298"/>
      <c r="W528" s="298"/>
      <c r="X528" s="298"/>
      <c r="Y528" s="298"/>
      <c r="Z528" s="298"/>
      <c r="AA528" s="298"/>
      <c r="AB528" s="298"/>
      <c r="AC528" s="298"/>
      <c r="AD528" s="298"/>
      <c r="AE528" s="298"/>
      <c r="AF528" s="298"/>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row>
    <row r="529">
      <c r="A529" s="304"/>
      <c r="B529" s="282"/>
      <c r="C529" s="282"/>
      <c r="D529" s="282"/>
      <c r="E529" s="282"/>
      <c r="F529" s="282"/>
      <c r="G529" s="282"/>
      <c r="H529" s="282"/>
      <c r="I529" s="282"/>
      <c r="J529" s="282"/>
      <c r="K529" s="282"/>
      <c r="L529" s="282"/>
      <c r="M529" s="282"/>
      <c r="N529" s="282"/>
      <c r="O529" s="282"/>
      <c r="P529" s="282"/>
      <c r="Q529" s="282"/>
      <c r="R529" s="282"/>
      <c r="S529" s="282"/>
      <c r="T529" s="282"/>
      <c r="U529" s="282"/>
      <c r="V529" s="298"/>
      <c r="W529" s="298"/>
      <c r="X529" s="298"/>
      <c r="Y529" s="298"/>
      <c r="Z529" s="298"/>
      <c r="AA529" s="298"/>
      <c r="AB529" s="298"/>
      <c r="AC529" s="298"/>
      <c r="AD529" s="298"/>
      <c r="AE529" s="298"/>
      <c r="AF529" s="298"/>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row>
    <row r="530">
      <c r="A530" s="304"/>
      <c r="B530" s="282"/>
      <c r="C530" s="282"/>
      <c r="D530" s="282"/>
      <c r="E530" s="282"/>
      <c r="F530" s="282"/>
      <c r="G530" s="282"/>
      <c r="H530" s="282"/>
      <c r="I530" s="282"/>
      <c r="J530" s="282"/>
      <c r="K530" s="282"/>
      <c r="L530" s="282"/>
      <c r="M530" s="282"/>
      <c r="N530" s="282"/>
      <c r="O530" s="282"/>
      <c r="P530" s="282"/>
      <c r="Q530" s="282"/>
      <c r="R530" s="282"/>
      <c r="S530" s="282"/>
      <c r="T530" s="282"/>
      <c r="U530" s="282"/>
      <c r="V530" s="298"/>
      <c r="W530" s="298"/>
      <c r="X530" s="298"/>
      <c r="Y530" s="298"/>
      <c r="Z530" s="298"/>
      <c r="AA530" s="298"/>
      <c r="AB530" s="298"/>
      <c r="AC530" s="298"/>
      <c r="AD530" s="298"/>
      <c r="AE530" s="298"/>
      <c r="AF530" s="298"/>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row>
    <row r="531">
      <c r="A531" s="304"/>
      <c r="B531" s="282"/>
      <c r="C531" s="282"/>
      <c r="D531" s="282"/>
      <c r="E531" s="282"/>
      <c r="F531" s="282"/>
      <c r="G531" s="282"/>
      <c r="H531" s="282"/>
      <c r="I531" s="282"/>
      <c r="J531" s="282"/>
      <c r="K531" s="282"/>
      <c r="L531" s="282"/>
      <c r="M531" s="282"/>
      <c r="N531" s="282"/>
      <c r="O531" s="282"/>
      <c r="P531" s="282"/>
      <c r="Q531" s="282"/>
      <c r="R531" s="282"/>
      <c r="S531" s="282"/>
      <c r="T531" s="282"/>
      <c r="U531" s="282"/>
      <c r="V531" s="298"/>
      <c r="W531" s="298"/>
      <c r="X531" s="298"/>
      <c r="Y531" s="298"/>
      <c r="Z531" s="298"/>
      <c r="AA531" s="298"/>
      <c r="AB531" s="298"/>
      <c r="AC531" s="298"/>
      <c r="AD531" s="298"/>
      <c r="AE531" s="298"/>
      <c r="AF531" s="298"/>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row>
    <row r="532">
      <c r="A532" s="304"/>
      <c r="B532" s="282"/>
      <c r="C532" s="282"/>
      <c r="D532" s="282"/>
      <c r="E532" s="282"/>
      <c r="F532" s="282"/>
      <c r="G532" s="282"/>
      <c r="H532" s="282"/>
      <c r="I532" s="282"/>
      <c r="J532" s="282"/>
      <c r="K532" s="282"/>
      <c r="L532" s="282"/>
      <c r="M532" s="282"/>
      <c r="N532" s="282"/>
      <c r="O532" s="282"/>
      <c r="P532" s="282"/>
      <c r="Q532" s="282"/>
      <c r="R532" s="282"/>
      <c r="S532" s="282"/>
      <c r="T532" s="282"/>
      <c r="U532" s="282"/>
      <c r="V532" s="298"/>
      <c r="W532" s="298"/>
      <c r="X532" s="298"/>
      <c r="Y532" s="298"/>
      <c r="Z532" s="298"/>
      <c r="AA532" s="298"/>
      <c r="AB532" s="298"/>
      <c r="AC532" s="298"/>
      <c r="AD532" s="298"/>
      <c r="AE532" s="298"/>
      <c r="AF532" s="298"/>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row>
    <row r="533">
      <c r="A533" s="304"/>
      <c r="B533" s="282"/>
      <c r="C533" s="282"/>
      <c r="D533" s="282"/>
      <c r="E533" s="282"/>
      <c r="F533" s="282"/>
      <c r="G533" s="282"/>
      <c r="H533" s="282"/>
      <c r="I533" s="282"/>
      <c r="J533" s="282"/>
      <c r="K533" s="282"/>
      <c r="L533" s="282"/>
      <c r="M533" s="282"/>
      <c r="N533" s="282"/>
      <c r="O533" s="282"/>
      <c r="P533" s="282"/>
      <c r="Q533" s="282"/>
      <c r="R533" s="282"/>
      <c r="S533" s="282"/>
      <c r="T533" s="282"/>
      <c r="U533" s="282"/>
      <c r="V533" s="298"/>
      <c r="W533" s="298"/>
      <c r="X533" s="298"/>
      <c r="Y533" s="298"/>
      <c r="Z533" s="298"/>
      <c r="AA533" s="298"/>
      <c r="AB533" s="298"/>
      <c r="AC533" s="298"/>
      <c r="AD533" s="298"/>
      <c r="AE533" s="298"/>
      <c r="AF533" s="298"/>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row>
    <row r="534">
      <c r="A534" s="304"/>
      <c r="B534" s="282"/>
      <c r="C534" s="282"/>
      <c r="D534" s="282"/>
      <c r="E534" s="282"/>
      <c r="F534" s="282"/>
      <c r="G534" s="282"/>
      <c r="H534" s="282"/>
      <c r="I534" s="282"/>
      <c r="J534" s="282"/>
      <c r="K534" s="282"/>
      <c r="L534" s="282"/>
      <c r="M534" s="282"/>
      <c r="N534" s="282"/>
      <c r="O534" s="282"/>
      <c r="P534" s="282"/>
      <c r="Q534" s="282"/>
      <c r="R534" s="282"/>
      <c r="S534" s="282"/>
      <c r="T534" s="282"/>
      <c r="U534" s="282"/>
      <c r="V534" s="298"/>
      <c r="W534" s="298"/>
      <c r="X534" s="298"/>
      <c r="Y534" s="298"/>
      <c r="Z534" s="298"/>
      <c r="AA534" s="298"/>
      <c r="AB534" s="298"/>
      <c r="AC534" s="298"/>
      <c r="AD534" s="298"/>
      <c r="AE534" s="298"/>
      <c r="AF534" s="298"/>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row>
    <row r="535">
      <c r="A535" s="304"/>
      <c r="B535" s="282"/>
      <c r="C535" s="282"/>
      <c r="D535" s="282"/>
      <c r="E535" s="282"/>
      <c r="F535" s="282"/>
      <c r="G535" s="282"/>
      <c r="H535" s="282"/>
      <c r="I535" s="282"/>
      <c r="J535" s="282"/>
      <c r="K535" s="282"/>
      <c r="L535" s="282"/>
      <c r="M535" s="282"/>
      <c r="N535" s="282"/>
      <c r="O535" s="282"/>
      <c r="P535" s="282"/>
      <c r="Q535" s="282"/>
      <c r="R535" s="282"/>
      <c r="S535" s="282"/>
      <c r="T535" s="282"/>
      <c r="U535" s="282"/>
      <c r="V535" s="298"/>
      <c r="W535" s="298"/>
      <c r="X535" s="298"/>
      <c r="Y535" s="298"/>
      <c r="Z535" s="298"/>
      <c r="AA535" s="298"/>
      <c r="AB535" s="298"/>
      <c r="AC535" s="298"/>
      <c r="AD535" s="298"/>
      <c r="AE535" s="298"/>
      <c r="AF535" s="298"/>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row>
    <row r="536">
      <c r="A536" s="304"/>
      <c r="B536" s="282"/>
      <c r="C536" s="282"/>
      <c r="D536" s="282"/>
      <c r="E536" s="282"/>
      <c r="F536" s="282"/>
      <c r="G536" s="282"/>
      <c r="H536" s="282"/>
      <c r="I536" s="282"/>
      <c r="J536" s="282"/>
      <c r="K536" s="282"/>
      <c r="L536" s="282"/>
      <c r="M536" s="282"/>
      <c r="N536" s="282"/>
      <c r="O536" s="282"/>
      <c r="P536" s="282"/>
      <c r="Q536" s="282"/>
      <c r="R536" s="282"/>
      <c r="S536" s="282"/>
      <c r="T536" s="282"/>
      <c r="U536" s="282"/>
      <c r="V536" s="298"/>
      <c r="W536" s="298"/>
      <c r="X536" s="298"/>
      <c r="Y536" s="298"/>
      <c r="Z536" s="298"/>
      <c r="AA536" s="298"/>
      <c r="AB536" s="298"/>
      <c r="AC536" s="298"/>
      <c r="AD536" s="298"/>
      <c r="AE536" s="298"/>
      <c r="AF536" s="298"/>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row>
    <row r="537">
      <c r="A537" s="304"/>
      <c r="B537" s="282"/>
      <c r="C537" s="282"/>
      <c r="D537" s="282"/>
      <c r="E537" s="282"/>
      <c r="F537" s="282"/>
      <c r="G537" s="282"/>
      <c r="H537" s="282"/>
      <c r="I537" s="282"/>
      <c r="J537" s="282"/>
      <c r="K537" s="282"/>
      <c r="L537" s="282"/>
      <c r="M537" s="282"/>
      <c r="N537" s="282"/>
      <c r="O537" s="282"/>
      <c r="P537" s="282"/>
      <c r="Q537" s="282"/>
      <c r="R537" s="282"/>
      <c r="S537" s="282"/>
      <c r="T537" s="282"/>
      <c r="U537" s="282"/>
      <c r="V537" s="298"/>
      <c r="W537" s="298"/>
      <c r="X537" s="298"/>
      <c r="Y537" s="298"/>
      <c r="Z537" s="298"/>
      <c r="AA537" s="298"/>
      <c r="AB537" s="298"/>
      <c r="AC537" s="298"/>
      <c r="AD537" s="298"/>
      <c r="AE537" s="298"/>
      <c r="AF537" s="298"/>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row>
    <row r="538">
      <c r="A538" s="304"/>
      <c r="B538" s="282"/>
      <c r="C538" s="282"/>
      <c r="D538" s="282"/>
      <c r="E538" s="282"/>
      <c r="F538" s="282"/>
      <c r="G538" s="282"/>
      <c r="H538" s="282"/>
      <c r="I538" s="282"/>
      <c r="J538" s="282"/>
      <c r="K538" s="282"/>
      <c r="L538" s="282"/>
      <c r="M538" s="282"/>
      <c r="N538" s="282"/>
      <c r="O538" s="282"/>
      <c r="P538" s="282"/>
      <c r="Q538" s="282"/>
      <c r="R538" s="282"/>
      <c r="S538" s="282"/>
      <c r="T538" s="282"/>
      <c r="U538" s="282"/>
      <c r="V538" s="298"/>
      <c r="W538" s="298"/>
      <c r="X538" s="298"/>
      <c r="Y538" s="298"/>
      <c r="Z538" s="298"/>
      <c r="AA538" s="298"/>
      <c r="AB538" s="298"/>
      <c r="AC538" s="298"/>
      <c r="AD538" s="298"/>
      <c r="AE538" s="298"/>
      <c r="AF538" s="298"/>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row>
    <row r="539">
      <c r="A539" s="304"/>
      <c r="B539" s="282"/>
      <c r="C539" s="282"/>
      <c r="D539" s="282"/>
      <c r="E539" s="282"/>
      <c r="F539" s="282"/>
      <c r="G539" s="282"/>
      <c r="H539" s="282"/>
      <c r="I539" s="282"/>
      <c r="J539" s="282"/>
      <c r="K539" s="282"/>
      <c r="L539" s="282"/>
      <c r="M539" s="282"/>
      <c r="N539" s="282"/>
      <c r="O539" s="282"/>
      <c r="P539" s="282"/>
      <c r="Q539" s="282"/>
      <c r="R539" s="282"/>
      <c r="S539" s="282"/>
      <c r="T539" s="282"/>
      <c r="U539" s="282"/>
      <c r="V539" s="298"/>
      <c r="W539" s="298"/>
      <c r="X539" s="298"/>
      <c r="Y539" s="298"/>
      <c r="Z539" s="298"/>
      <c r="AA539" s="298"/>
      <c r="AB539" s="298"/>
      <c r="AC539" s="298"/>
      <c r="AD539" s="298"/>
      <c r="AE539" s="298"/>
      <c r="AF539" s="298"/>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row>
    <row r="540">
      <c r="A540" s="304"/>
      <c r="B540" s="282"/>
      <c r="C540" s="282"/>
      <c r="D540" s="282"/>
      <c r="E540" s="282"/>
      <c r="F540" s="282"/>
      <c r="G540" s="282"/>
      <c r="H540" s="282"/>
      <c r="I540" s="282"/>
      <c r="J540" s="282"/>
      <c r="K540" s="282"/>
      <c r="L540" s="282"/>
      <c r="M540" s="282"/>
      <c r="N540" s="282"/>
      <c r="O540" s="282"/>
      <c r="P540" s="282"/>
      <c r="Q540" s="282"/>
      <c r="R540" s="282"/>
      <c r="S540" s="282"/>
      <c r="T540" s="282"/>
      <c r="U540" s="282"/>
      <c r="V540" s="298"/>
      <c r="W540" s="298"/>
      <c r="X540" s="298"/>
      <c r="Y540" s="298"/>
      <c r="Z540" s="298"/>
      <c r="AA540" s="298"/>
      <c r="AB540" s="298"/>
      <c r="AC540" s="298"/>
      <c r="AD540" s="298"/>
      <c r="AE540" s="298"/>
      <c r="AF540" s="298"/>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row>
    <row r="541">
      <c r="A541" s="304"/>
      <c r="B541" s="282"/>
      <c r="C541" s="282"/>
      <c r="D541" s="282"/>
      <c r="E541" s="282"/>
      <c r="F541" s="282"/>
      <c r="G541" s="282"/>
      <c r="H541" s="282"/>
      <c r="I541" s="282"/>
      <c r="J541" s="282"/>
      <c r="K541" s="282"/>
      <c r="L541" s="282"/>
      <c r="M541" s="282"/>
      <c r="N541" s="282"/>
      <c r="O541" s="282"/>
      <c r="P541" s="282"/>
      <c r="Q541" s="282"/>
      <c r="R541" s="282"/>
      <c r="S541" s="282"/>
      <c r="T541" s="282"/>
      <c r="U541" s="282"/>
      <c r="V541" s="298"/>
      <c r="W541" s="298"/>
      <c r="X541" s="298"/>
      <c r="Y541" s="298"/>
      <c r="Z541" s="298"/>
      <c r="AA541" s="298"/>
      <c r="AB541" s="298"/>
      <c r="AC541" s="298"/>
      <c r="AD541" s="298"/>
      <c r="AE541" s="298"/>
      <c r="AF541" s="298"/>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row>
    <row r="542">
      <c r="A542" s="304"/>
      <c r="B542" s="282"/>
      <c r="C542" s="282"/>
      <c r="D542" s="282"/>
      <c r="E542" s="282"/>
      <c r="F542" s="282"/>
      <c r="G542" s="282"/>
      <c r="H542" s="282"/>
      <c r="I542" s="282"/>
      <c r="J542" s="282"/>
      <c r="K542" s="282"/>
      <c r="L542" s="282"/>
      <c r="M542" s="282"/>
      <c r="N542" s="282"/>
      <c r="O542" s="282"/>
      <c r="P542" s="282"/>
      <c r="Q542" s="282"/>
      <c r="R542" s="282"/>
      <c r="S542" s="282"/>
      <c r="T542" s="282"/>
      <c r="U542" s="282"/>
      <c r="V542" s="298"/>
      <c r="W542" s="298"/>
      <c r="X542" s="298"/>
      <c r="Y542" s="298"/>
      <c r="Z542" s="298"/>
      <c r="AA542" s="298"/>
      <c r="AB542" s="298"/>
      <c r="AC542" s="298"/>
      <c r="AD542" s="298"/>
      <c r="AE542" s="298"/>
      <c r="AF542" s="298"/>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row>
    <row r="543">
      <c r="A543" s="304"/>
      <c r="B543" s="282"/>
      <c r="C543" s="282"/>
      <c r="D543" s="282"/>
      <c r="E543" s="282"/>
      <c r="F543" s="282"/>
      <c r="G543" s="282"/>
      <c r="H543" s="282"/>
      <c r="I543" s="282"/>
      <c r="J543" s="282"/>
      <c r="K543" s="282"/>
      <c r="L543" s="282"/>
      <c r="M543" s="282"/>
      <c r="N543" s="282"/>
      <c r="O543" s="282"/>
      <c r="P543" s="282"/>
      <c r="Q543" s="282"/>
      <c r="R543" s="282"/>
      <c r="S543" s="282"/>
      <c r="T543" s="282"/>
      <c r="U543" s="282"/>
      <c r="V543" s="298"/>
      <c r="W543" s="298"/>
      <c r="X543" s="298"/>
      <c r="Y543" s="298"/>
      <c r="Z543" s="298"/>
      <c r="AA543" s="298"/>
      <c r="AB543" s="298"/>
      <c r="AC543" s="298"/>
      <c r="AD543" s="298"/>
      <c r="AE543" s="298"/>
      <c r="AF543" s="298"/>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row>
    <row r="544">
      <c r="A544" s="304"/>
      <c r="B544" s="282"/>
      <c r="C544" s="282"/>
      <c r="D544" s="282"/>
      <c r="E544" s="282"/>
      <c r="F544" s="282"/>
      <c r="G544" s="282"/>
      <c r="H544" s="282"/>
      <c r="I544" s="282"/>
      <c r="J544" s="282"/>
      <c r="K544" s="282"/>
      <c r="L544" s="282"/>
      <c r="M544" s="282"/>
      <c r="N544" s="282"/>
      <c r="O544" s="282"/>
      <c r="P544" s="282"/>
      <c r="Q544" s="282"/>
      <c r="R544" s="282"/>
      <c r="S544" s="282"/>
      <c r="T544" s="282"/>
      <c r="U544" s="282"/>
      <c r="V544" s="298"/>
      <c r="W544" s="298"/>
      <c r="X544" s="298"/>
      <c r="Y544" s="298"/>
      <c r="Z544" s="298"/>
      <c r="AA544" s="298"/>
      <c r="AB544" s="298"/>
      <c r="AC544" s="298"/>
      <c r="AD544" s="298"/>
      <c r="AE544" s="298"/>
      <c r="AF544" s="298"/>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row>
    <row r="545">
      <c r="A545" s="304"/>
      <c r="B545" s="282"/>
      <c r="C545" s="282"/>
      <c r="D545" s="282"/>
      <c r="E545" s="282"/>
      <c r="F545" s="282"/>
      <c r="G545" s="282"/>
      <c r="H545" s="282"/>
      <c r="I545" s="282"/>
      <c r="J545" s="282"/>
      <c r="K545" s="282"/>
      <c r="L545" s="282"/>
      <c r="M545" s="282"/>
      <c r="N545" s="282"/>
      <c r="O545" s="282"/>
      <c r="P545" s="282"/>
      <c r="Q545" s="282"/>
      <c r="R545" s="282"/>
      <c r="S545" s="282"/>
      <c r="T545" s="282"/>
      <c r="U545" s="282"/>
      <c r="V545" s="298"/>
      <c r="W545" s="298"/>
      <c r="X545" s="298"/>
      <c r="Y545" s="298"/>
      <c r="Z545" s="298"/>
      <c r="AA545" s="298"/>
      <c r="AB545" s="298"/>
      <c r="AC545" s="298"/>
      <c r="AD545" s="298"/>
      <c r="AE545" s="298"/>
      <c r="AF545" s="298"/>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row>
    <row r="546">
      <c r="A546" s="304"/>
      <c r="B546" s="282"/>
      <c r="C546" s="282"/>
      <c r="D546" s="282"/>
      <c r="E546" s="282"/>
      <c r="F546" s="282"/>
      <c r="G546" s="282"/>
      <c r="H546" s="282"/>
      <c r="I546" s="282"/>
      <c r="J546" s="282"/>
      <c r="K546" s="282"/>
      <c r="L546" s="282"/>
      <c r="M546" s="282"/>
      <c r="N546" s="282"/>
      <c r="O546" s="282"/>
      <c r="P546" s="282"/>
      <c r="Q546" s="282"/>
      <c r="R546" s="282"/>
      <c r="S546" s="282"/>
      <c r="T546" s="282"/>
      <c r="U546" s="282"/>
      <c r="V546" s="298"/>
      <c r="W546" s="298"/>
      <c r="X546" s="298"/>
      <c r="Y546" s="298"/>
      <c r="Z546" s="298"/>
      <c r="AA546" s="298"/>
      <c r="AB546" s="298"/>
      <c r="AC546" s="298"/>
      <c r="AD546" s="298"/>
      <c r="AE546" s="298"/>
      <c r="AF546" s="298"/>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row>
    <row r="547">
      <c r="A547" s="304"/>
      <c r="B547" s="282"/>
      <c r="C547" s="282"/>
      <c r="D547" s="282"/>
      <c r="E547" s="282"/>
      <c r="F547" s="282"/>
      <c r="G547" s="282"/>
      <c r="H547" s="282"/>
      <c r="I547" s="282"/>
      <c r="J547" s="282"/>
      <c r="K547" s="282"/>
      <c r="L547" s="282"/>
      <c r="M547" s="282"/>
      <c r="N547" s="282"/>
      <c r="O547" s="282"/>
      <c r="P547" s="282"/>
      <c r="Q547" s="282"/>
      <c r="R547" s="282"/>
      <c r="S547" s="282"/>
      <c r="T547" s="282"/>
      <c r="U547" s="282"/>
      <c r="V547" s="298"/>
      <c r="W547" s="298"/>
      <c r="X547" s="298"/>
      <c r="Y547" s="298"/>
      <c r="Z547" s="298"/>
      <c r="AA547" s="298"/>
      <c r="AB547" s="298"/>
      <c r="AC547" s="298"/>
      <c r="AD547" s="298"/>
      <c r="AE547" s="298"/>
      <c r="AF547" s="298"/>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row>
    <row r="548">
      <c r="A548" s="304"/>
      <c r="B548" s="282"/>
      <c r="C548" s="282"/>
      <c r="D548" s="282"/>
      <c r="E548" s="282"/>
      <c r="F548" s="282"/>
      <c r="G548" s="282"/>
      <c r="H548" s="282"/>
      <c r="I548" s="282"/>
      <c r="J548" s="282"/>
      <c r="K548" s="282"/>
      <c r="L548" s="282"/>
      <c r="M548" s="282"/>
      <c r="N548" s="282"/>
      <c r="O548" s="282"/>
      <c r="P548" s="282"/>
      <c r="Q548" s="282"/>
      <c r="R548" s="282"/>
      <c r="S548" s="282"/>
      <c r="T548" s="282"/>
      <c r="U548" s="282"/>
      <c r="V548" s="298"/>
      <c r="W548" s="298"/>
      <c r="X548" s="298"/>
      <c r="Y548" s="298"/>
      <c r="Z548" s="298"/>
      <c r="AA548" s="298"/>
      <c r="AB548" s="298"/>
      <c r="AC548" s="298"/>
      <c r="AD548" s="298"/>
      <c r="AE548" s="298"/>
      <c r="AF548" s="298"/>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row>
    <row r="549">
      <c r="A549" s="304"/>
      <c r="B549" s="282"/>
      <c r="C549" s="282"/>
      <c r="D549" s="282"/>
      <c r="E549" s="282"/>
      <c r="F549" s="282"/>
      <c r="G549" s="282"/>
      <c r="H549" s="282"/>
      <c r="I549" s="282"/>
      <c r="J549" s="282"/>
      <c r="K549" s="282"/>
      <c r="L549" s="282"/>
      <c r="M549" s="282"/>
      <c r="N549" s="282"/>
      <c r="O549" s="282"/>
      <c r="P549" s="282"/>
      <c r="Q549" s="282"/>
      <c r="R549" s="282"/>
      <c r="S549" s="282"/>
      <c r="T549" s="282"/>
      <c r="U549" s="282"/>
      <c r="V549" s="298"/>
      <c r="W549" s="298"/>
      <c r="X549" s="298"/>
      <c r="Y549" s="298"/>
      <c r="Z549" s="298"/>
      <c r="AA549" s="298"/>
      <c r="AB549" s="298"/>
      <c r="AC549" s="298"/>
      <c r="AD549" s="298"/>
      <c r="AE549" s="298"/>
      <c r="AF549" s="298"/>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row>
    <row r="550">
      <c r="A550" s="304"/>
      <c r="B550" s="282"/>
      <c r="C550" s="282"/>
      <c r="D550" s="282"/>
      <c r="E550" s="282"/>
      <c r="F550" s="282"/>
      <c r="G550" s="282"/>
      <c r="H550" s="282"/>
      <c r="I550" s="282"/>
      <c r="J550" s="282"/>
      <c r="K550" s="282"/>
      <c r="L550" s="282"/>
      <c r="M550" s="282"/>
      <c r="N550" s="282"/>
      <c r="O550" s="282"/>
      <c r="P550" s="282"/>
      <c r="Q550" s="282"/>
      <c r="R550" s="282"/>
      <c r="S550" s="282"/>
      <c r="T550" s="282"/>
      <c r="U550" s="282"/>
      <c r="V550" s="298"/>
      <c r="W550" s="298"/>
      <c r="X550" s="298"/>
      <c r="Y550" s="298"/>
      <c r="Z550" s="298"/>
      <c r="AA550" s="298"/>
      <c r="AB550" s="298"/>
      <c r="AC550" s="298"/>
      <c r="AD550" s="298"/>
      <c r="AE550" s="298"/>
      <c r="AF550" s="298"/>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row>
    <row r="551">
      <c r="A551" s="304"/>
      <c r="B551" s="282"/>
      <c r="C551" s="282"/>
      <c r="D551" s="282"/>
      <c r="E551" s="282"/>
      <c r="F551" s="282"/>
      <c r="G551" s="282"/>
      <c r="H551" s="282"/>
      <c r="I551" s="282"/>
      <c r="J551" s="282"/>
      <c r="K551" s="282"/>
      <c r="L551" s="282"/>
      <c r="M551" s="282"/>
      <c r="N551" s="282"/>
      <c r="O551" s="282"/>
      <c r="P551" s="282"/>
      <c r="Q551" s="282"/>
      <c r="R551" s="282"/>
      <c r="S551" s="282"/>
      <c r="T551" s="282"/>
      <c r="U551" s="282"/>
      <c r="V551" s="298"/>
      <c r="W551" s="298"/>
      <c r="X551" s="298"/>
      <c r="Y551" s="298"/>
      <c r="Z551" s="298"/>
      <c r="AA551" s="298"/>
      <c r="AB551" s="298"/>
      <c r="AC551" s="298"/>
      <c r="AD551" s="298"/>
      <c r="AE551" s="298"/>
      <c r="AF551" s="298"/>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row>
    <row r="552">
      <c r="A552" s="304"/>
      <c r="B552" s="282"/>
      <c r="C552" s="282"/>
      <c r="D552" s="282"/>
      <c r="E552" s="282"/>
      <c r="F552" s="282"/>
      <c r="G552" s="282"/>
      <c r="H552" s="282"/>
      <c r="I552" s="282"/>
      <c r="J552" s="282"/>
      <c r="K552" s="282"/>
      <c r="L552" s="282"/>
      <c r="M552" s="282"/>
      <c r="N552" s="282"/>
      <c r="O552" s="282"/>
      <c r="P552" s="282"/>
      <c r="Q552" s="282"/>
      <c r="R552" s="282"/>
      <c r="S552" s="282"/>
      <c r="T552" s="282"/>
      <c r="U552" s="282"/>
      <c r="V552" s="298"/>
      <c r="W552" s="298"/>
      <c r="X552" s="298"/>
      <c r="Y552" s="298"/>
      <c r="Z552" s="298"/>
      <c r="AA552" s="298"/>
      <c r="AB552" s="298"/>
      <c r="AC552" s="298"/>
      <c r="AD552" s="298"/>
      <c r="AE552" s="298"/>
      <c r="AF552" s="298"/>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row>
    <row r="553">
      <c r="A553" s="304"/>
      <c r="B553" s="282"/>
      <c r="C553" s="282"/>
      <c r="D553" s="282"/>
      <c r="E553" s="282"/>
      <c r="F553" s="282"/>
      <c r="G553" s="282"/>
      <c r="H553" s="282"/>
      <c r="I553" s="282"/>
      <c r="J553" s="282"/>
      <c r="K553" s="282"/>
      <c r="L553" s="282"/>
      <c r="M553" s="282"/>
      <c r="N553" s="282"/>
      <c r="O553" s="282"/>
      <c r="P553" s="282"/>
      <c r="Q553" s="282"/>
      <c r="R553" s="282"/>
      <c r="S553" s="282"/>
      <c r="T553" s="282"/>
      <c r="U553" s="282"/>
      <c r="V553" s="298"/>
      <c r="W553" s="298"/>
      <c r="X553" s="298"/>
      <c r="Y553" s="298"/>
      <c r="Z553" s="298"/>
      <c r="AA553" s="298"/>
      <c r="AB553" s="298"/>
      <c r="AC553" s="298"/>
      <c r="AD553" s="298"/>
      <c r="AE553" s="298"/>
      <c r="AF553" s="298"/>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row>
    <row r="554">
      <c r="A554" s="304"/>
      <c r="B554" s="282"/>
      <c r="C554" s="282"/>
      <c r="D554" s="282"/>
      <c r="E554" s="282"/>
      <c r="F554" s="282"/>
      <c r="G554" s="282"/>
      <c r="H554" s="282"/>
      <c r="I554" s="282"/>
      <c r="J554" s="282"/>
      <c r="K554" s="282"/>
      <c r="L554" s="282"/>
      <c r="M554" s="282"/>
      <c r="N554" s="282"/>
      <c r="O554" s="282"/>
      <c r="P554" s="282"/>
      <c r="Q554" s="282"/>
      <c r="R554" s="282"/>
      <c r="S554" s="282"/>
      <c r="T554" s="282"/>
      <c r="U554" s="282"/>
      <c r="V554" s="298"/>
      <c r="W554" s="298"/>
      <c r="X554" s="298"/>
      <c r="Y554" s="298"/>
      <c r="Z554" s="298"/>
      <c r="AA554" s="298"/>
      <c r="AB554" s="298"/>
      <c r="AC554" s="298"/>
      <c r="AD554" s="298"/>
      <c r="AE554" s="298"/>
      <c r="AF554" s="298"/>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row>
    <row r="555">
      <c r="A555" s="304"/>
      <c r="B555" s="282"/>
      <c r="C555" s="282"/>
      <c r="D555" s="282"/>
      <c r="E555" s="282"/>
      <c r="F555" s="282"/>
      <c r="G555" s="282"/>
      <c r="H555" s="282"/>
      <c r="I555" s="282"/>
      <c r="J555" s="282"/>
      <c r="K555" s="282"/>
      <c r="L555" s="282"/>
      <c r="M555" s="282"/>
      <c r="N555" s="282"/>
      <c r="O555" s="282"/>
      <c r="P555" s="282"/>
      <c r="Q555" s="282"/>
      <c r="R555" s="282"/>
      <c r="S555" s="282"/>
      <c r="T555" s="282"/>
      <c r="U555" s="282"/>
      <c r="V555" s="298"/>
      <c r="W555" s="298"/>
      <c r="X555" s="298"/>
      <c r="Y555" s="298"/>
      <c r="Z555" s="298"/>
      <c r="AA555" s="298"/>
      <c r="AB555" s="298"/>
      <c r="AC555" s="298"/>
      <c r="AD555" s="298"/>
      <c r="AE555" s="298"/>
      <c r="AF555" s="298"/>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row>
    <row r="556">
      <c r="A556" s="304"/>
      <c r="B556" s="282"/>
      <c r="C556" s="282"/>
      <c r="D556" s="282"/>
      <c r="E556" s="282"/>
      <c r="F556" s="282"/>
      <c r="G556" s="282"/>
      <c r="H556" s="282"/>
      <c r="I556" s="282"/>
      <c r="J556" s="282"/>
      <c r="K556" s="282"/>
      <c r="L556" s="282"/>
      <c r="M556" s="282"/>
      <c r="N556" s="282"/>
      <c r="O556" s="282"/>
      <c r="P556" s="282"/>
      <c r="Q556" s="282"/>
      <c r="R556" s="282"/>
      <c r="S556" s="282"/>
      <c r="T556" s="282"/>
      <c r="U556" s="282"/>
      <c r="V556" s="298"/>
      <c r="W556" s="298"/>
      <c r="X556" s="298"/>
      <c r="Y556" s="298"/>
      <c r="Z556" s="298"/>
      <c r="AA556" s="298"/>
      <c r="AB556" s="298"/>
      <c r="AC556" s="298"/>
      <c r="AD556" s="298"/>
      <c r="AE556" s="298"/>
      <c r="AF556" s="298"/>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row>
    <row r="557">
      <c r="A557" s="304"/>
      <c r="B557" s="282"/>
      <c r="C557" s="282"/>
      <c r="D557" s="282"/>
      <c r="E557" s="282"/>
      <c r="F557" s="282"/>
      <c r="G557" s="282"/>
      <c r="H557" s="282"/>
      <c r="I557" s="282"/>
      <c r="J557" s="282"/>
      <c r="K557" s="282"/>
      <c r="L557" s="282"/>
      <c r="M557" s="282"/>
      <c r="N557" s="282"/>
      <c r="O557" s="282"/>
      <c r="P557" s="282"/>
      <c r="Q557" s="282"/>
      <c r="R557" s="282"/>
      <c r="S557" s="282"/>
      <c r="T557" s="282"/>
      <c r="U557" s="282"/>
      <c r="V557" s="298"/>
      <c r="W557" s="298"/>
      <c r="X557" s="298"/>
      <c r="Y557" s="298"/>
      <c r="Z557" s="298"/>
      <c r="AA557" s="298"/>
      <c r="AB557" s="298"/>
      <c r="AC557" s="298"/>
      <c r="AD557" s="298"/>
      <c r="AE557" s="298"/>
      <c r="AF557" s="298"/>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row>
    <row r="558">
      <c r="A558" s="304"/>
      <c r="B558" s="282"/>
      <c r="C558" s="282"/>
      <c r="D558" s="282"/>
      <c r="E558" s="282"/>
      <c r="F558" s="282"/>
      <c r="G558" s="282"/>
      <c r="H558" s="282"/>
      <c r="I558" s="282"/>
      <c r="J558" s="282"/>
      <c r="K558" s="282"/>
      <c r="L558" s="282"/>
      <c r="M558" s="282"/>
      <c r="N558" s="282"/>
      <c r="O558" s="282"/>
      <c r="P558" s="282"/>
      <c r="Q558" s="282"/>
      <c r="R558" s="282"/>
      <c r="S558" s="282"/>
      <c r="T558" s="282"/>
      <c r="U558" s="282"/>
      <c r="V558" s="298"/>
      <c r="W558" s="298"/>
      <c r="X558" s="298"/>
      <c r="Y558" s="298"/>
      <c r="Z558" s="298"/>
      <c r="AA558" s="298"/>
      <c r="AB558" s="298"/>
      <c r="AC558" s="298"/>
      <c r="AD558" s="298"/>
      <c r="AE558" s="298"/>
      <c r="AF558" s="298"/>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row>
    <row r="559">
      <c r="A559" s="304"/>
      <c r="B559" s="282"/>
      <c r="C559" s="282"/>
      <c r="D559" s="282"/>
      <c r="E559" s="282"/>
      <c r="F559" s="282"/>
      <c r="G559" s="282"/>
      <c r="H559" s="282"/>
      <c r="I559" s="282"/>
      <c r="J559" s="282"/>
      <c r="K559" s="282"/>
      <c r="L559" s="282"/>
      <c r="M559" s="282"/>
      <c r="N559" s="282"/>
      <c r="O559" s="282"/>
      <c r="P559" s="282"/>
      <c r="Q559" s="282"/>
      <c r="R559" s="282"/>
      <c r="S559" s="282"/>
      <c r="T559" s="282"/>
      <c r="U559" s="282"/>
      <c r="V559" s="298"/>
      <c r="W559" s="298"/>
      <c r="X559" s="298"/>
      <c r="Y559" s="298"/>
      <c r="Z559" s="298"/>
      <c r="AA559" s="298"/>
      <c r="AB559" s="298"/>
      <c r="AC559" s="298"/>
      <c r="AD559" s="298"/>
      <c r="AE559" s="298"/>
      <c r="AF559" s="298"/>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row>
    <row r="560">
      <c r="A560" s="304"/>
      <c r="B560" s="282"/>
      <c r="C560" s="282"/>
      <c r="D560" s="282"/>
      <c r="E560" s="282"/>
      <c r="F560" s="282"/>
      <c r="G560" s="282"/>
      <c r="H560" s="282"/>
      <c r="I560" s="282"/>
      <c r="J560" s="282"/>
      <c r="K560" s="282"/>
      <c r="L560" s="282"/>
      <c r="M560" s="282"/>
      <c r="N560" s="282"/>
      <c r="O560" s="282"/>
      <c r="P560" s="282"/>
      <c r="Q560" s="282"/>
      <c r="R560" s="282"/>
      <c r="S560" s="282"/>
      <c r="T560" s="282"/>
      <c r="U560" s="282"/>
      <c r="V560" s="298"/>
      <c r="W560" s="298"/>
      <c r="X560" s="298"/>
      <c r="Y560" s="298"/>
      <c r="Z560" s="298"/>
      <c r="AA560" s="298"/>
      <c r="AB560" s="298"/>
      <c r="AC560" s="298"/>
      <c r="AD560" s="298"/>
      <c r="AE560" s="298"/>
      <c r="AF560" s="298"/>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row>
    <row r="561">
      <c r="A561" s="304"/>
      <c r="B561" s="282"/>
      <c r="C561" s="282"/>
      <c r="D561" s="282"/>
      <c r="E561" s="282"/>
      <c r="F561" s="282"/>
      <c r="G561" s="282"/>
      <c r="H561" s="282"/>
      <c r="I561" s="282"/>
      <c r="J561" s="282"/>
      <c r="K561" s="282"/>
      <c r="L561" s="282"/>
      <c r="M561" s="282"/>
      <c r="N561" s="282"/>
      <c r="O561" s="282"/>
      <c r="P561" s="282"/>
      <c r="Q561" s="282"/>
      <c r="R561" s="282"/>
      <c r="S561" s="282"/>
      <c r="T561" s="282"/>
      <c r="U561" s="282"/>
      <c r="V561" s="298"/>
      <c r="W561" s="298"/>
      <c r="X561" s="298"/>
      <c r="Y561" s="298"/>
      <c r="Z561" s="298"/>
      <c r="AA561" s="298"/>
      <c r="AB561" s="298"/>
      <c r="AC561" s="298"/>
      <c r="AD561" s="298"/>
      <c r="AE561" s="298"/>
      <c r="AF561" s="298"/>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row>
    <row r="562">
      <c r="A562" s="304"/>
      <c r="B562" s="282"/>
      <c r="C562" s="282"/>
      <c r="D562" s="282"/>
      <c r="E562" s="282"/>
      <c r="F562" s="282"/>
      <c r="G562" s="282"/>
      <c r="H562" s="282"/>
      <c r="I562" s="282"/>
      <c r="J562" s="282"/>
      <c r="K562" s="282"/>
      <c r="L562" s="282"/>
      <c r="M562" s="282"/>
      <c r="N562" s="282"/>
      <c r="O562" s="282"/>
      <c r="P562" s="282"/>
      <c r="Q562" s="282"/>
      <c r="R562" s="282"/>
      <c r="S562" s="282"/>
      <c r="T562" s="282"/>
      <c r="U562" s="282"/>
      <c r="V562" s="298"/>
      <c r="W562" s="298"/>
      <c r="X562" s="298"/>
      <c r="Y562" s="298"/>
      <c r="Z562" s="298"/>
      <c r="AA562" s="298"/>
      <c r="AB562" s="298"/>
      <c r="AC562" s="298"/>
      <c r="AD562" s="298"/>
      <c r="AE562" s="298"/>
      <c r="AF562" s="298"/>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row>
    <row r="563">
      <c r="A563" s="304"/>
      <c r="B563" s="282"/>
      <c r="C563" s="282"/>
      <c r="D563" s="282"/>
      <c r="E563" s="282"/>
      <c r="F563" s="282"/>
      <c r="G563" s="282"/>
      <c r="H563" s="282"/>
      <c r="I563" s="282"/>
      <c r="J563" s="282"/>
      <c r="K563" s="282"/>
      <c r="L563" s="282"/>
      <c r="M563" s="282"/>
      <c r="N563" s="282"/>
      <c r="O563" s="282"/>
      <c r="P563" s="282"/>
      <c r="Q563" s="282"/>
      <c r="R563" s="282"/>
      <c r="S563" s="282"/>
      <c r="T563" s="282"/>
      <c r="U563" s="282"/>
      <c r="V563" s="298"/>
      <c r="W563" s="298"/>
      <c r="X563" s="298"/>
      <c r="Y563" s="298"/>
      <c r="Z563" s="298"/>
      <c r="AA563" s="298"/>
      <c r="AB563" s="298"/>
      <c r="AC563" s="298"/>
      <c r="AD563" s="298"/>
      <c r="AE563" s="298"/>
      <c r="AF563" s="298"/>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row>
    <row r="564">
      <c r="A564" s="304"/>
      <c r="B564" s="282"/>
      <c r="C564" s="282"/>
      <c r="D564" s="282"/>
      <c r="E564" s="282"/>
      <c r="F564" s="282"/>
      <c r="G564" s="282"/>
      <c r="H564" s="282"/>
      <c r="I564" s="282"/>
      <c r="J564" s="282"/>
      <c r="K564" s="282"/>
      <c r="L564" s="282"/>
      <c r="M564" s="282"/>
      <c r="N564" s="282"/>
      <c r="O564" s="282"/>
      <c r="P564" s="282"/>
      <c r="Q564" s="282"/>
      <c r="R564" s="282"/>
      <c r="S564" s="282"/>
      <c r="T564" s="282"/>
      <c r="U564" s="282"/>
      <c r="V564" s="298"/>
      <c r="W564" s="298"/>
      <c r="X564" s="298"/>
      <c r="Y564" s="298"/>
      <c r="Z564" s="298"/>
      <c r="AA564" s="298"/>
      <c r="AB564" s="298"/>
      <c r="AC564" s="298"/>
      <c r="AD564" s="298"/>
      <c r="AE564" s="298"/>
      <c r="AF564" s="298"/>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row>
    <row r="565">
      <c r="A565" s="304"/>
      <c r="B565" s="282"/>
      <c r="C565" s="282"/>
      <c r="D565" s="282"/>
      <c r="E565" s="282"/>
      <c r="F565" s="282"/>
      <c r="G565" s="282"/>
      <c r="H565" s="282"/>
      <c r="I565" s="282"/>
      <c r="J565" s="282"/>
      <c r="K565" s="282"/>
      <c r="L565" s="282"/>
      <c r="M565" s="282"/>
      <c r="N565" s="282"/>
      <c r="O565" s="282"/>
      <c r="P565" s="282"/>
      <c r="Q565" s="282"/>
      <c r="R565" s="282"/>
      <c r="S565" s="282"/>
      <c r="T565" s="282"/>
      <c r="U565" s="282"/>
      <c r="V565" s="298"/>
      <c r="W565" s="298"/>
      <c r="X565" s="298"/>
      <c r="Y565" s="298"/>
      <c r="Z565" s="298"/>
      <c r="AA565" s="298"/>
      <c r="AB565" s="298"/>
      <c r="AC565" s="298"/>
      <c r="AD565" s="298"/>
      <c r="AE565" s="298"/>
      <c r="AF565" s="298"/>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row>
    <row r="566">
      <c r="A566" s="304"/>
      <c r="B566" s="282"/>
      <c r="C566" s="282"/>
      <c r="D566" s="282"/>
      <c r="E566" s="282"/>
      <c r="F566" s="282"/>
      <c r="G566" s="282"/>
      <c r="H566" s="282"/>
      <c r="I566" s="282"/>
      <c r="J566" s="282"/>
      <c r="K566" s="282"/>
      <c r="L566" s="282"/>
      <c r="M566" s="282"/>
      <c r="N566" s="282"/>
      <c r="O566" s="282"/>
      <c r="P566" s="282"/>
      <c r="Q566" s="282"/>
      <c r="R566" s="282"/>
      <c r="S566" s="282"/>
      <c r="T566" s="282"/>
      <c r="U566" s="282"/>
      <c r="V566" s="298"/>
      <c r="W566" s="298"/>
      <c r="X566" s="298"/>
      <c r="Y566" s="298"/>
      <c r="Z566" s="298"/>
      <c r="AA566" s="298"/>
      <c r="AB566" s="298"/>
      <c r="AC566" s="298"/>
      <c r="AD566" s="298"/>
      <c r="AE566" s="298"/>
      <c r="AF566" s="298"/>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row>
    <row r="567">
      <c r="A567" s="304"/>
      <c r="B567" s="282"/>
      <c r="C567" s="282"/>
      <c r="D567" s="282"/>
      <c r="E567" s="282"/>
      <c r="F567" s="282"/>
      <c r="G567" s="282"/>
      <c r="H567" s="282"/>
      <c r="I567" s="282"/>
      <c r="J567" s="282"/>
      <c r="K567" s="282"/>
      <c r="L567" s="282"/>
      <c r="M567" s="282"/>
      <c r="N567" s="282"/>
      <c r="O567" s="282"/>
      <c r="P567" s="282"/>
      <c r="Q567" s="282"/>
      <c r="R567" s="282"/>
      <c r="S567" s="282"/>
      <c r="T567" s="282"/>
      <c r="U567" s="282"/>
      <c r="V567" s="298"/>
      <c r="W567" s="298"/>
      <c r="X567" s="298"/>
      <c r="Y567" s="298"/>
      <c r="Z567" s="298"/>
      <c r="AA567" s="298"/>
      <c r="AB567" s="298"/>
      <c r="AC567" s="298"/>
      <c r="AD567" s="298"/>
      <c r="AE567" s="298"/>
      <c r="AF567" s="298"/>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row>
    <row r="568">
      <c r="A568" s="304"/>
      <c r="B568" s="282"/>
      <c r="C568" s="282"/>
      <c r="D568" s="282"/>
      <c r="E568" s="282"/>
      <c r="F568" s="282"/>
      <c r="G568" s="282"/>
      <c r="H568" s="282"/>
      <c r="I568" s="282"/>
      <c r="J568" s="282"/>
      <c r="K568" s="282"/>
      <c r="L568" s="282"/>
      <c r="M568" s="282"/>
      <c r="N568" s="282"/>
      <c r="O568" s="282"/>
      <c r="P568" s="282"/>
      <c r="Q568" s="282"/>
      <c r="R568" s="282"/>
      <c r="S568" s="282"/>
      <c r="T568" s="282"/>
      <c r="U568" s="282"/>
      <c r="V568" s="298"/>
      <c r="W568" s="298"/>
      <c r="X568" s="298"/>
      <c r="Y568" s="298"/>
      <c r="Z568" s="298"/>
      <c r="AA568" s="298"/>
      <c r="AB568" s="298"/>
      <c r="AC568" s="298"/>
      <c r="AD568" s="298"/>
      <c r="AE568" s="298"/>
      <c r="AF568" s="298"/>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row>
    <row r="569">
      <c r="A569" s="304"/>
      <c r="B569" s="282"/>
      <c r="C569" s="282"/>
      <c r="D569" s="282"/>
      <c r="E569" s="282"/>
      <c r="F569" s="282"/>
      <c r="G569" s="282"/>
      <c r="H569" s="282"/>
      <c r="I569" s="282"/>
      <c r="J569" s="282"/>
      <c r="K569" s="282"/>
      <c r="L569" s="282"/>
      <c r="M569" s="282"/>
      <c r="N569" s="282"/>
      <c r="O569" s="282"/>
      <c r="P569" s="282"/>
      <c r="Q569" s="282"/>
      <c r="R569" s="282"/>
      <c r="S569" s="282"/>
      <c r="T569" s="282"/>
      <c r="U569" s="282"/>
      <c r="V569" s="298"/>
      <c r="W569" s="298"/>
      <c r="X569" s="298"/>
      <c r="Y569" s="298"/>
      <c r="Z569" s="298"/>
      <c r="AA569" s="298"/>
      <c r="AB569" s="298"/>
      <c r="AC569" s="298"/>
      <c r="AD569" s="298"/>
      <c r="AE569" s="298"/>
      <c r="AF569" s="298"/>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row>
    <row r="570">
      <c r="A570" s="304"/>
      <c r="B570" s="282"/>
      <c r="C570" s="282"/>
      <c r="D570" s="282"/>
      <c r="E570" s="282"/>
      <c r="F570" s="282"/>
      <c r="G570" s="282"/>
      <c r="H570" s="282"/>
      <c r="I570" s="282"/>
      <c r="J570" s="282"/>
      <c r="K570" s="282"/>
      <c r="L570" s="282"/>
      <c r="M570" s="282"/>
      <c r="N570" s="282"/>
      <c r="O570" s="282"/>
      <c r="P570" s="282"/>
      <c r="Q570" s="282"/>
      <c r="R570" s="282"/>
      <c r="S570" s="282"/>
      <c r="T570" s="282"/>
      <c r="U570" s="282"/>
      <c r="V570" s="298"/>
      <c r="W570" s="298"/>
      <c r="X570" s="298"/>
      <c r="Y570" s="298"/>
      <c r="Z570" s="298"/>
      <c r="AA570" s="298"/>
      <c r="AB570" s="298"/>
      <c r="AC570" s="298"/>
      <c r="AD570" s="298"/>
      <c r="AE570" s="298"/>
      <c r="AF570" s="298"/>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row>
    <row r="571">
      <c r="A571" s="304"/>
      <c r="B571" s="282"/>
      <c r="C571" s="282"/>
      <c r="D571" s="282"/>
      <c r="E571" s="282"/>
      <c r="F571" s="282"/>
      <c r="G571" s="282"/>
      <c r="H571" s="282"/>
      <c r="I571" s="282"/>
      <c r="J571" s="282"/>
      <c r="K571" s="282"/>
      <c r="L571" s="282"/>
      <c r="M571" s="282"/>
      <c r="N571" s="282"/>
      <c r="O571" s="282"/>
      <c r="P571" s="282"/>
      <c r="Q571" s="282"/>
      <c r="R571" s="282"/>
      <c r="S571" s="282"/>
      <c r="T571" s="282"/>
      <c r="U571" s="282"/>
      <c r="V571" s="298"/>
      <c r="W571" s="298"/>
      <c r="X571" s="298"/>
      <c r="Y571" s="298"/>
      <c r="Z571" s="298"/>
      <c r="AA571" s="298"/>
      <c r="AB571" s="298"/>
      <c r="AC571" s="298"/>
      <c r="AD571" s="298"/>
      <c r="AE571" s="298"/>
      <c r="AF571" s="298"/>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row>
    <row r="572">
      <c r="A572" s="304"/>
      <c r="B572" s="282"/>
      <c r="C572" s="282"/>
      <c r="D572" s="282"/>
      <c r="E572" s="282"/>
      <c r="F572" s="282"/>
      <c r="G572" s="282"/>
      <c r="H572" s="282"/>
      <c r="I572" s="282"/>
      <c r="J572" s="282"/>
      <c r="K572" s="282"/>
      <c r="L572" s="282"/>
      <c r="M572" s="282"/>
      <c r="N572" s="282"/>
      <c r="O572" s="282"/>
      <c r="P572" s="282"/>
      <c r="Q572" s="282"/>
      <c r="R572" s="282"/>
      <c r="S572" s="282"/>
      <c r="T572" s="282"/>
      <c r="U572" s="282"/>
      <c r="V572" s="298"/>
      <c r="W572" s="298"/>
      <c r="X572" s="298"/>
      <c r="Y572" s="298"/>
      <c r="Z572" s="298"/>
      <c r="AA572" s="298"/>
      <c r="AB572" s="298"/>
      <c r="AC572" s="298"/>
      <c r="AD572" s="298"/>
      <c r="AE572" s="298"/>
      <c r="AF572" s="298"/>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row>
    <row r="573">
      <c r="A573" s="304"/>
      <c r="B573" s="282"/>
      <c r="C573" s="282"/>
      <c r="D573" s="282"/>
      <c r="E573" s="282"/>
      <c r="F573" s="282"/>
      <c r="G573" s="282"/>
      <c r="H573" s="282"/>
      <c r="I573" s="282"/>
      <c r="J573" s="282"/>
      <c r="K573" s="282"/>
      <c r="L573" s="282"/>
      <c r="M573" s="282"/>
      <c r="N573" s="282"/>
      <c r="O573" s="282"/>
      <c r="P573" s="282"/>
      <c r="Q573" s="282"/>
      <c r="R573" s="282"/>
      <c r="S573" s="282"/>
      <c r="T573" s="282"/>
      <c r="U573" s="282"/>
      <c r="V573" s="298"/>
      <c r="W573" s="298"/>
      <c r="X573" s="298"/>
      <c r="Y573" s="298"/>
      <c r="Z573" s="298"/>
      <c r="AA573" s="298"/>
      <c r="AB573" s="298"/>
      <c r="AC573" s="298"/>
      <c r="AD573" s="298"/>
      <c r="AE573" s="298"/>
      <c r="AF573" s="298"/>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row>
    <row r="574">
      <c r="A574" s="304"/>
      <c r="B574" s="282"/>
      <c r="C574" s="282"/>
      <c r="D574" s="282"/>
      <c r="E574" s="282"/>
      <c r="F574" s="282"/>
      <c r="G574" s="282"/>
      <c r="H574" s="282"/>
      <c r="I574" s="282"/>
      <c r="J574" s="282"/>
      <c r="K574" s="282"/>
      <c r="L574" s="282"/>
      <c r="M574" s="282"/>
      <c r="N574" s="282"/>
      <c r="O574" s="282"/>
      <c r="P574" s="282"/>
      <c r="Q574" s="282"/>
      <c r="R574" s="282"/>
      <c r="S574" s="282"/>
      <c r="T574" s="282"/>
      <c r="U574" s="282"/>
      <c r="V574" s="298"/>
      <c r="W574" s="298"/>
      <c r="X574" s="298"/>
      <c r="Y574" s="298"/>
      <c r="Z574" s="298"/>
      <c r="AA574" s="298"/>
      <c r="AB574" s="298"/>
      <c r="AC574" s="298"/>
      <c r="AD574" s="298"/>
      <c r="AE574" s="298"/>
      <c r="AF574" s="298"/>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row>
    <row r="575">
      <c r="A575" s="304"/>
      <c r="B575" s="282"/>
      <c r="C575" s="282"/>
      <c r="D575" s="282"/>
      <c r="E575" s="282"/>
      <c r="F575" s="282"/>
      <c r="G575" s="282"/>
      <c r="H575" s="282"/>
      <c r="I575" s="282"/>
      <c r="J575" s="282"/>
      <c r="K575" s="282"/>
      <c r="L575" s="282"/>
      <c r="M575" s="282"/>
      <c r="N575" s="282"/>
      <c r="O575" s="282"/>
      <c r="P575" s="282"/>
      <c r="Q575" s="282"/>
      <c r="R575" s="282"/>
      <c r="S575" s="282"/>
      <c r="T575" s="282"/>
      <c r="U575" s="282"/>
      <c r="V575" s="298"/>
      <c r="W575" s="298"/>
      <c r="X575" s="298"/>
      <c r="Y575" s="298"/>
      <c r="Z575" s="298"/>
      <c r="AA575" s="298"/>
      <c r="AB575" s="298"/>
      <c r="AC575" s="298"/>
      <c r="AD575" s="298"/>
      <c r="AE575" s="298"/>
      <c r="AF575" s="298"/>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row>
    <row r="576">
      <c r="A576" s="304"/>
      <c r="B576" s="282"/>
      <c r="C576" s="282"/>
      <c r="D576" s="282"/>
      <c r="E576" s="282"/>
      <c r="F576" s="282"/>
      <c r="G576" s="282"/>
      <c r="H576" s="282"/>
      <c r="I576" s="282"/>
      <c r="J576" s="282"/>
      <c r="K576" s="282"/>
      <c r="L576" s="282"/>
      <c r="M576" s="282"/>
      <c r="N576" s="282"/>
      <c r="O576" s="282"/>
      <c r="P576" s="282"/>
      <c r="Q576" s="282"/>
      <c r="R576" s="282"/>
      <c r="S576" s="282"/>
      <c r="T576" s="282"/>
      <c r="U576" s="282"/>
      <c r="V576" s="298"/>
      <c r="W576" s="298"/>
      <c r="X576" s="298"/>
      <c r="Y576" s="298"/>
      <c r="Z576" s="298"/>
      <c r="AA576" s="298"/>
      <c r="AB576" s="298"/>
      <c r="AC576" s="298"/>
      <c r="AD576" s="298"/>
      <c r="AE576" s="298"/>
      <c r="AF576" s="298"/>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row>
    <row r="577">
      <c r="A577" s="304"/>
      <c r="B577" s="282"/>
      <c r="C577" s="282"/>
      <c r="D577" s="282"/>
      <c r="E577" s="282"/>
      <c r="F577" s="282"/>
      <c r="G577" s="282"/>
      <c r="H577" s="282"/>
      <c r="I577" s="282"/>
      <c r="J577" s="282"/>
      <c r="K577" s="282"/>
      <c r="L577" s="282"/>
      <c r="M577" s="282"/>
      <c r="N577" s="282"/>
      <c r="O577" s="282"/>
      <c r="P577" s="282"/>
      <c r="Q577" s="282"/>
      <c r="R577" s="282"/>
      <c r="S577" s="282"/>
      <c r="T577" s="282"/>
      <c r="U577" s="282"/>
      <c r="V577" s="298"/>
      <c r="W577" s="298"/>
      <c r="X577" s="298"/>
      <c r="Y577" s="298"/>
      <c r="Z577" s="298"/>
      <c r="AA577" s="298"/>
      <c r="AB577" s="298"/>
      <c r="AC577" s="298"/>
      <c r="AD577" s="298"/>
      <c r="AE577" s="298"/>
      <c r="AF577" s="298"/>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row>
    <row r="578">
      <c r="A578" s="304"/>
      <c r="B578" s="282"/>
      <c r="C578" s="282"/>
      <c r="D578" s="282"/>
      <c r="E578" s="282"/>
      <c r="F578" s="282"/>
      <c r="G578" s="282"/>
      <c r="H578" s="282"/>
      <c r="I578" s="282"/>
      <c r="J578" s="282"/>
      <c r="K578" s="282"/>
      <c r="L578" s="282"/>
      <c r="M578" s="282"/>
      <c r="N578" s="282"/>
      <c r="O578" s="282"/>
      <c r="P578" s="282"/>
      <c r="Q578" s="282"/>
      <c r="R578" s="282"/>
      <c r="S578" s="282"/>
      <c r="T578" s="282"/>
      <c r="U578" s="282"/>
      <c r="V578" s="298"/>
      <c r="W578" s="298"/>
      <c r="X578" s="298"/>
      <c r="Y578" s="298"/>
      <c r="Z578" s="298"/>
      <c r="AA578" s="298"/>
      <c r="AB578" s="298"/>
      <c r="AC578" s="298"/>
      <c r="AD578" s="298"/>
      <c r="AE578" s="298"/>
      <c r="AF578" s="298"/>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row>
    <row r="579">
      <c r="A579" s="304"/>
      <c r="B579" s="282"/>
      <c r="C579" s="282"/>
      <c r="D579" s="282"/>
      <c r="E579" s="282"/>
      <c r="F579" s="282"/>
      <c r="G579" s="282"/>
      <c r="H579" s="282"/>
      <c r="I579" s="282"/>
      <c r="J579" s="282"/>
      <c r="K579" s="282"/>
      <c r="L579" s="282"/>
      <c r="M579" s="282"/>
      <c r="N579" s="282"/>
      <c r="O579" s="282"/>
      <c r="P579" s="282"/>
      <c r="Q579" s="282"/>
      <c r="R579" s="282"/>
      <c r="S579" s="282"/>
      <c r="T579" s="282"/>
      <c r="U579" s="282"/>
      <c r="V579" s="298"/>
      <c r="W579" s="298"/>
      <c r="X579" s="298"/>
      <c r="Y579" s="298"/>
      <c r="Z579" s="298"/>
      <c r="AA579" s="298"/>
      <c r="AB579" s="298"/>
      <c r="AC579" s="298"/>
      <c r="AD579" s="298"/>
      <c r="AE579" s="298"/>
      <c r="AF579" s="298"/>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row>
    <row r="580">
      <c r="A580" s="304"/>
      <c r="B580" s="282"/>
      <c r="C580" s="282"/>
      <c r="D580" s="282"/>
      <c r="E580" s="282"/>
      <c r="F580" s="282"/>
      <c r="G580" s="282"/>
      <c r="H580" s="282"/>
      <c r="I580" s="282"/>
      <c r="J580" s="282"/>
      <c r="K580" s="282"/>
      <c r="L580" s="282"/>
      <c r="M580" s="282"/>
      <c r="N580" s="282"/>
      <c r="O580" s="282"/>
      <c r="P580" s="282"/>
      <c r="Q580" s="282"/>
      <c r="R580" s="282"/>
      <c r="S580" s="282"/>
      <c r="T580" s="282"/>
      <c r="U580" s="282"/>
      <c r="V580" s="298"/>
      <c r="W580" s="298"/>
      <c r="X580" s="298"/>
      <c r="Y580" s="298"/>
      <c r="Z580" s="298"/>
      <c r="AA580" s="298"/>
      <c r="AB580" s="298"/>
      <c r="AC580" s="298"/>
      <c r="AD580" s="298"/>
      <c r="AE580" s="298"/>
      <c r="AF580" s="298"/>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row>
    <row r="581">
      <c r="A581" s="304"/>
      <c r="B581" s="282"/>
      <c r="C581" s="282"/>
      <c r="D581" s="282"/>
      <c r="E581" s="282"/>
      <c r="F581" s="282"/>
      <c r="G581" s="282"/>
      <c r="H581" s="282"/>
      <c r="I581" s="282"/>
      <c r="J581" s="282"/>
      <c r="K581" s="282"/>
      <c r="L581" s="282"/>
      <c r="M581" s="282"/>
      <c r="N581" s="282"/>
      <c r="O581" s="282"/>
      <c r="P581" s="282"/>
      <c r="Q581" s="282"/>
      <c r="R581" s="282"/>
      <c r="S581" s="282"/>
      <c r="T581" s="282"/>
      <c r="U581" s="282"/>
      <c r="V581" s="298"/>
      <c r="W581" s="298"/>
      <c r="X581" s="298"/>
      <c r="Y581" s="298"/>
      <c r="Z581" s="298"/>
      <c r="AA581" s="298"/>
      <c r="AB581" s="298"/>
      <c r="AC581" s="298"/>
      <c r="AD581" s="298"/>
      <c r="AE581" s="298"/>
      <c r="AF581" s="298"/>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row>
    <row r="582">
      <c r="A582" s="304"/>
      <c r="B582" s="282"/>
      <c r="C582" s="282"/>
      <c r="D582" s="282"/>
      <c r="E582" s="282"/>
      <c r="F582" s="282"/>
      <c r="G582" s="282"/>
      <c r="H582" s="282"/>
      <c r="I582" s="282"/>
      <c r="J582" s="282"/>
      <c r="K582" s="282"/>
      <c r="L582" s="282"/>
      <c r="M582" s="282"/>
      <c r="N582" s="282"/>
      <c r="O582" s="282"/>
      <c r="P582" s="282"/>
      <c r="Q582" s="282"/>
      <c r="R582" s="282"/>
      <c r="S582" s="282"/>
      <c r="T582" s="282"/>
      <c r="U582" s="282"/>
      <c r="V582" s="298"/>
      <c r="W582" s="298"/>
      <c r="X582" s="298"/>
      <c r="Y582" s="298"/>
      <c r="Z582" s="298"/>
      <c r="AA582" s="298"/>
      <c r="AB582" s="298"/>
      <c r="AC582" s="298"/>
      <c r="AD582" s="298"/>
      <c r="AE582" s="298"/>
      <c r="AF582" s="298"/>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row>
    <row r="583">
      <c r="A583" s="304"/>
      <c r="B583" s="282"/>
      <c r="C583" s="282"/>
      <c r="D583" s="282"/>
      <c r="E583" s="282"/>
      <c r="F583" s="282"/>
      <c r="G583" s="282"/>
      <c r="H583" s="282"/>
      <c r="I583" s="282"/>
      <c r="J583" s="282"/>
      <c r="K583" s="282"/>
      <c r="L583" s="282"/>
      <c r="M583" s="282"/>
      <c r="N583" s="282"/>
      <c r="O583" s="282"/>
      <c r="P583" s="282"/>
      <c r="Q583" s="282"/>
      <c r="R583" s="282"/>
      <c r="S583" s="282"/>
      <c r="T583" s="282"/>
      <c r="U583" s="282"/>
      <c r="V583" s="298"/>
      <c r="W583" s="298"/>
      <c r="X583" s="298"/>
      <c r="Y583" s="298"/>
      <c r="Z583" s="298"/>
      <c r="AA583" s="298"/>
      <c r="AB583" s="298"/>
      <c r="AC583" s="298"/>
      <c r="AD583" s="298"/>
      <c r="AE583" s="298"/>
      <c r="AF583" s="298"/>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row>
    <row r="584">
      <c r="A584" s="304"/>
      <c r="B584" s="282"/>
      <c r="C584" s="282"/>
      <c r="D584" s="282"/>
      <c r="E584" s="282"/>
      <c r="F584" s="282"/>
      <c r="G584" s="282"/>
      <c r="H584" s="282"/>
      <c r="I584" s="282"/>
      <c r="J584" s="282"/>
      <c r="K584" s="282"/>
      <c r="L584" s="282"/>
      <c r="M584" s="282"/>
      <c r="N584" s="282"/>
      <c r="O584" s="282"/>
      <c r="P584" s="282"/>
      <c r="Q584" s="282"/>
      <c r="R584" s="282"/>
      <c r="S584" s="282"/>
      <c r="T584" s="282"/>
      <c r="U584" s="282"/>
      <c r="V584" s="298"/>
      <c r="W584" s="298"/>
      <c r="X584" s="298"/>
      <c r="Y584" s="298"/>
      <c r="Z584" s="298"/>
      <c r="AA584" s="298"/>
      <c r="AB584" s="298"/>
      <c r="AC584" s="298"/>
      <c r="AD584" s="298"/>
      <c r="AE584" s="298"/>
      <c r="AF584" s="298"/>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row>
    <row r="585">
      <c r="A585" s="304"/>
      <c r="B585" s="282"/>
      <c r="C585" s="282"/>
      <c r="D585" s="282"/>
      <c r="E585" s="282"/>
      <c r="F585" s="282"/>
      <c r="G585" s="282"/>
      <c r="H585" s="282"/>
      <c r="I585" s="282"/>
      <c r="J585" s="282"/>
      <c r="K585" s="282"/>
      <c r="L585" s="282"/>
      <c r="M585" s="282"/>
      <c r="N585" s="282"/>
      <c r="O585" s="282"/>
      <c r="P585" s="282"/>
      <c r="Q585" s="282"/>
      <c r="R585" s="282"/>
      <c r="S585" s="282"/>
      <c r="T585" s="282"/>
      <c r="U585" s="282"/>
      <c r="V585" s="298"/>
      <c r="W585" s="298"/>
      <c r="X585" s="298"/>
      <c r="Y585" s="298"/>
      <c r="Z585" s="298"/>
      <c r="AA585" s="298"/>
      <c r="AB585" s="298"/>
      <c r="AC585" s="298"/>
      <c r="AD585" s="298"/>
      <c r="AE585" s="298"/>
      <c r="AF585" s="298"/>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row>
    <row r="586">
      <c r="A586" s="304"/>
      <c r="B586" s="282"/>
      <c r="C586" s="282"/>
      <c r="D586" s="282"/>
      <c r="E586" s="282"/>
      <c r="F586" s="282"/>
      <c r="G586" s="282"/>
      <c r="H586" s="282"/>
      <c r="I586" s="282"/>
      <c r="J586" s="282"/>
      <c r="K586" s="282"/>
      <c r="L586" s="282"/>
      <c r="M586" s="282"/>
      <c r="N586" s="282"/>
      <c r="O586" s="282"/>
      <c r="P586" s="282"/>
      <c r="Q586" s="282"/>
      <c r="R586" s="282"/>
      <c r="S586" s="282"/>
      <c r="T586" s="282"/>
      <c r="U586" s="282"/>
      <c r="V586" s="298"/>
      <c r="W586" s="298"/>
      <c r="X586" s="298"/>
      <c r="Y586" s="298"/>
      <c r="Z586" s="298"/>
      <c r="AA586" s="298"/>
      <c r="AB586" s="298"/>
      <c r="AC586" s="298"/>
      <c r="AD586" s="298"/>
      <c r="AE586" s="298"/>
      <c r="AF586" s="298"/>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row>
    <row r="587">
      <c r="A587" s="304"/>
      <c r="B587" s="282"/>
      <c r="C587" s="282"/>
      <c r="D587" s="282"/>
      <c r="E587" s="282"/>
      <c r="F587" s="282"/>
      <c r="G587" s="282"/>
      <c r="H587" s="282"/>
      <c r="I587" s="282"/>
      <c r="J587" s="282"/>
      <c r="K587" s="282"/>
      <c r="L587" s="282"/>
      <c r="M587" s="282"/>
      <c r="N587" s="282"/>
      <c r="O587" s="282"/>
      <c r="P587" s="282"/>
      <c r="Q587" s="282"/>
      <c r="R587" s="282"/>
      <c r="S587" s="282"/>
      <c r="T587" s="282"/>
      <c r="U587" s="282"/>
      <c r="V587" s="298"/>
      <c r="W587" s="298"/>
      <c r="X587" s="298"/>
      <c r="Y587" s="298"/>
      <c r="Z587" s="298"/>
      <c r="AA587" s="298"/>
      <c r="AB587" s="298"/>
      <c r="AC587" s="298"/>
      <c r="AD587" s="298"/>
      <c r="AE587" s="298"/>
      <c r="AF587" s="298"/>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row>
    <row r="588">
      <c r="A588" s="304"/>
      <c r="B588" s="282"/>
      <c r="C588" s="282"/>
      <c r="D588" s="282"/>
      <c r="E588" s="282"/>
      <c r="F588" s="282"/>
      <c r="G588" s="282"/>
      <c r="H588" s="282"/>
      <c r="I588" s="282"/>
      <c r="J588" s="282"/>
      <c r="K588" s="282"/>
      <c r="L588" s="282"/>
      <c r="M588" s="282"/>
      <c r="N588" s="282"/>
      <c r="O588" s="282"/>
      <c r="P588" s="282"/>
      <c r="Q588" s="282"/>
      <c r="R588" s="282"/>
      <c r="S588" s="282"/>
      <c r="T588" s="282"/>
      <c r="U588" s="282"/>
      <c r="V588" s="298"/>
      <c r="W588" s="298"/>
      <c r="X588" s="298"/>
      <c r="Y588" s="298"/>
      <c r="Z588" s="298"/>
      <c r="AA588" s="298"/>
      <c r="AB588" s="298"/>
      <c r="AC588" s="298"/>
      <c r="AD588" s="298"/>
      <c r="AE588" s="298"/>
      <c r="AF588" s="298"/>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row>
    <row r="589">
      <c r="A589" s="304"/>
      <c r="B589" s="282"/>
      <c r="C589" s="282"/>
      <c r="D589" s="282"/>
      <c r="E589" s="282"/>
      <c r="F589" s="282"/>
      <c r="G589" s="282"/>
      <c r="H589" s="282"/>
      <c r="I589" s="282"/>
      <c r="J589" s="282"/>
      <c r="K589" s="282"/>
      <c r="L589" s="282"/>
      <c r="M589" s="282"/>
      <c r="N589" s="282"/>
      <c r="O589" s="282"/>
      <c r="P589" s="282"/>
      <c r="Q589" s="282"/>
      <c r="R589" s="282"/>
      <c r="S589" s="282"/>
      <c r="T589" s="282"/>
      <c r="U589" s="282"/>
      <c r="V589" s="298"/>
      <c r="W589" s="298"/>
      <c r="X589" s="298"/>
      <c r="Y589" s="298"/>
      <c r="Z589" s="298"/>
      <c r="AA589" s="298"/>
      <c r="AB589" s="298"/>
      <c r="AC589" s="298"/>
      <c r="AD589" s="298"/>
      <c r="AE589" s="298"/>
      <c r="AF589" s="298"/>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row>
    <row r="590">
      <c r="A590" s="304"/>
      <c r="B590" s="282"/>
      <c r="C590" s="282"/>
      <c r="D590" s="282"/>
      <c r="E590" s="282"/>
      <c r="F590" s="282"/>
      <c r="G590" s="282"/>
      <c r="H590" s="282"/>
      <c r="I590" s="282"/>
      <c r="J590" s="282"/>
      <c r="K590" s="282"/>
      <c r="L590" s="282"/>
      <c r="M590" s="282"/>
      <c r="N590" s="282"/>
      <c r="O590" s="282"/>
      <c r="P590" s="282"/>
      <c r="Q590" s="282"/>
      <c r="R590" s="282"/>
      <c r="S590" s="282"/>
      <c r="T590" s="282"/>
      <c r="U590" s="282"/>
      <c r="V590" s="298"/>
      <c r="W590" s="298"/>
      <c r="X590" s="298"/>
      <c r="Y590" s="298"/>
      <c r="Z590" s="298"/>
      <c r="AA590" s="298"/>
      <c r="AB590" s="298"/>
      <c r="AC590" s="298"/>
      <c r="AD590" s="298"/>
      <c r="AE590" s="298"/>
      <c r="AF590" s="298"/>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row>
    <row r="591">
      <c r="A591" s="304"/>
      <c r="B591" s="282"/>
      <c r="C591" s="282"/>
      <c r="D591" s="282"/>
      <c r="E591" s="282"/>
      <c r="F591" s="282"/>
      <c r="G591" s="282"/>
      <c r="H591" s="282"/>
      <c r="I591" s="282"/>
      <c r="J591" s="282"/>
      <c r="K591" s="282"/>
      <c r="L591" s="282"/>
      <c r="M591" s="282"/>
      <c r="N591" s="282"/>
      <c r="O591" s="282"/>
      <c r="P591" s="282"/>
      <c r="Q591" s="282"/>
      <c r="R591" s="282"/>
      <c r="S591" s="282"/>
      <c r="T591" s="282"/>
      <c r="U591" s="282"/>
      <c r="V591" s="298"/>
      <c r="W591" s="298"/>
      <c r="X591" s="298"/>
      <c r="Y591" s="298"/>
      <c r="Z591" s="298"/>
      <c r="AA591" s="298"/>
      <c r="AB591" s="298"/>
      <c r="AC591" s="298"/>
      <c r="AD591" s="298"/>
      <c r="AE591" s="298"/>
      <c r="AF591" s="298"/>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row>
    <row r="592">
      <c r="A592" s="304"/>
      <c r="B592" s="282"/>
      <c r="C592" s="282"/>
      <c r="D592" s="282"/>
      <c r="E592" s="282"/>
      <c r="F592" s="282"/>
      <c r="G592" s="282"/>
      <c r="H592" s="282"/>
      <c r="I592" s="282"/>
      <c r="J592" s="282"/>
      <c r="K592" s="282"/>
      <c r="L592" s="282"/>
      <c r="M592" s="282"/>
      <c r="N592" s="282"/>
      <c r="O592" s="282"/>
      <c r="P592" s="282"/>
      <c r="Q592" s="282"/>
      <c r="R592" s="282"/>
      <c r="S592" s="282"/>
      <c r="T592" s="282"/>
      <c r="U592" s="282"/>
      <c r="V592" s="298"/>
      <c r="W592" s="298"/>
      <c r="X592" s="298"/>
      <c r="Y592" s="298"/>
      <c r="Z592" s="298"/>
      <c r="AA592" s="298"/>
      <c r="AB592" s="298"/>
      <c r="AC592" s="298"/>
      <c r="AD592" s="298"/>
      <c r="AE592" s="298"/>
      <c r="AF592" s="298"/>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row>
    <row r="593">
      <c r="A593" s="304"/>
      <c r="B593" s="282"/>
      <c r="C593" s="282"/>
      <c r="D593" s="282"/>
      <c r="E593" s="282"/>
      <c r="F593" s="282"/>
      <c r="G593" s="282"/>
      <c r="H593" s="282"/>
      <c r="I593" s="282"/>
      <c r="J593" s="282"/>
      <c r="K593" s="282"/>
      <c r="L593" s="282"/>
      <c r="M593" s="282"/>
      <c r="N593" s="282"/>
      <c r="O593" s="282"/>
      <c r="P593" s="282"/>
      <c r="Q593" s="282"/>
      <c r="R593" s="282"/>
      <c r="S593" s="282"/>
      <c r="T593" s="282"/>
      <c r="U593" s="282"/>
      <c r="V593" s="298"/>
      <c r="W593" s="298"/>
      <c r="X593" s="298"/>
      <c r="Y593" s="298"/>
      <c r="Z593" s="298"/>
      <c r="AA593" s="298"/>
      <c r="AB593" s="298"/>
      <c r="AC593" s="298"/>
      <c r="AD593" s="298"/>
      <c r="AE593" s="298"/>
      <c r="AF593" s="298"/>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row>
    <row r="594">
      <c r="A594" s="304"/>
      <c r="B594" s="282"/>
      <c r="C594" s="282"/>
      <c r="D594" s="282"/>
      <c r="E594" s="282"/>
      <c r="F594" s="282"/>
      <c r="G594" s="282"/>
      <c r="H594" s="282"/>
      <c r="I594" s="282"/>
      <c r="J594" s="282"/>
      <c r="K594" s="282"/>
      <c r="L594" s="282"/>
      <c r="M594" s="282"/>
      <c r="N594" s="282"/>
      <c r="O594" s="282"/>
      <c r="P594" s="282"/>
      <c r="Q594" s="282"/>
      <c r="R594" s="282"/>
      <c r="S594" s="282"/>
      <c r="T594" s="282"/>
      <c r="U594" s="282"/>
      <c r="V594" s="298"/>
      <c r="W594" s="298"/>
      <c r="X594" s="298"/>
      <c r="Y594" s="298"/>
      <c r="Z594" s="298"/>
      <c r="AA594" s="298"/>
      <c r="AB594" s="298"/>
      <c r="AC594" s="298"/>
      <c r="AD594" s="298"/>
      <c r="AE594" s="298"/>
      <c r="AF594" s="298"/>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row>
    <row r="595">
      <c r="A595" s="304"/>
      <c r="B595" s="282"/>
      <c r="C595" s="282"/>
      <c r="D595" s="282"/>
      <c r="E595" s="282"/>
      <c r="F595" s="282"/>
      <c r="G595" s="282"/>
      <c r="H595" s="282"/>
      <c r="I595" s="282"/>
      <c r="J595" s="282"/>
      <c r="K595" s="282"/>
      <c r="L595" s="282"/>
      <c r="M595" s="282"/>
      <c r="N595" s="282"/>
      <c r="O595" s="282"/>
      <c r="P595" s="282"/>
      <c r="Q595" s="282"/>
      <c r="R595" s="282"/>
      <c r="S595" s="282"/>
      <c r="T595" s="282"/>
      <c r="U595" s="282"/>
      <c r="V595" s="298"/>
      <c r="W595" s="298"/>
      <c r="X595" s="298"/>
      <c r="Y595" s="298"/>
      <c r="Z595" s="298"/>
      <c r="AA595" s="298"/>
      <c r="AB595" s="298"/>
      <c r="AC595" s="298"/>
      <c r="AD595" s="298"/>
      <c r="AE595" s="298"/>
      <c r="AF595" s="298"/>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row>
    <row r="596">
      <c r="A596" s="304"/>
      <c r="B596" s="282"/>
      <c r="C596" s="282"/>
      <c r="D596" s="282"/>
      <c r="E596" s="282"/>
      <c r="F596" s="282"/>
      <c r="G596" s="282"/>
      <c r="H596" s="282"/>
      <c r="I596" s="282"/>
      <c r="J596" s="282"/>
      <c r="K596" s="282"/>
      <c r="L596" s="282"/>
      <c r="M596" s="282"/>
      <c r="N596" s="282"/>
      <c r="O596" s="282"/>
      <c r="P596" s="282"/>
      <c r="Q596" s="282"/>
      <c r="R596" s="282"/>
      <c r="S596" s="282"/>
      <c r="T596" s="282"/>
      <c r="U596" s="282"/>
      <c r="V596" s="298"/>
      <c r="W596" s="298"/>
      <c r="X596" s="298"/>
      <c r="Y596" s="298"/>
      <c r="Z596" s="298"/>
      <c r="AA596" s="298"/>
      <c r="AB596" s="298"/>
      <c r="AC596" s="298"/>
      <c r="AD596" s="298"/>
      <c r="AE596" s="298"/>
      <c r="AF596" s="298"/>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row>
    <row r="597">
      <c r="A597" s="304"/>
      <c r="B597" s="282"/>
      <c r="C597" s="282"/>
      <c r="D597" s="282"/>
      <c r="E597" s="282"/>
      <c r="F597" s="282"/>
      <c r="G597" s="282"/>
      <c r="H597" s="282"/>
      <c r="I597" s="282"/>
      <c r="J597" s="282"/>
      <c r="K597" s="282"/>
      <c r="L597" s="282"/>
      <c r="M597" s="282"/>
      <c r="N597" s="282"/>
      <c r="O597" s="282"/>
      <c r="P597" s="282"/>
      <c r="Q597" s="282"/>
      <c r="R597" s="282"/>
      <c r="S597" s="282"/>
      <c r="T597" s="282"/>
      <c r="U597" s="282"/>
      <c r="V597" s="298"/>
      <c r="W597" s="298"/>
      <c r="X597" s="298"/>
      <c r="Y597" s="298"/>
      <c r="Z597" s="298"/>
      <c r="AA597" s="298"/>
      <c r="AB597" s="298"/>
      <c r="AC597" s="298"/>
      <c r="AD597" s="298"/>
      <c r="AE597" s="298"/>
      <c r="AF597" s="298"/>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row>
    <row r="598">
      <c r="A598" s="304"/>
      <c r="B598" s="282"/>
      <c r="C598" s="282"/>
      <c r="D598" s="282"/>
      <c r="E598" s="282"/>
      <c r="F598" s="282"/>
      <c r="G598" s="282"/>
      <c r="H598" s="282"/>
      <c r="I598" s="282"/>
      <c r="J598" s="282"/>
      <c r="K598" s="282"/>
      <c r="L598" s="282"/>
      <c r="M598" s="282"/>
      <c r="N598" s="282"/>
      <c r="O598" s="282"/>
      <c r="P598" s="282"/>
      <c r="Q598" s="282"/>
      <c r="R598" s="282"/>
      <c r="S598" s="282"/>
      <c r="T598" s="282"/>
      <c r="U598" s="282"/>
      <c r="V598" s="298"/>
      <c r="W598" s="298"/>
      <c r="X598" s="298"/>
      <c r="Y598" s="298"/>
      <c r="Z598" s="298"/>
      <c r="AA598" s="298"/>
      <c r="AB598" s="298"/>
      <c r="AC598" s="298"/>
      <c r="AD598" s="298"/>
      <c r="AE598" s="298"/>
      <c r="AF598" s="298"/>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row>
    <row r="599">
      <c r="A599" s="304"/>
      <c r="B599" s="282"/>
      <c r="C599" s="282"/>
      <c r="D599" s="282"/>
      <c r="E599" s="282"/>
      <c r="F599" s="282"/>
      <c r="G599" s="282"/>
      <c r="H599" s="282"/>
      <c r="I599" s="282"/>
      <c r="J599" s="282"/>
      <c r="K599" s="282"/>
      <c r="L599" s="282"/>
      <c r="M599" s="282"/>
      <c r="N599" s="282"/>
      <c r="O599" s="282"/>
      <c r="P599" s="282"/>
      <c r="Q599" s="282"/>
      <c r="R599" s="282"/>
      <c r="S599" s="282"/>
      <c r="T599" s="282"/>
      <c r="U599" s="282"/>
      <c r="V599" s="298"/>
      <c r="W599" s="298"/>
      <c r="X599" s="298"/>
      <c r="Y599" s="298"/>
      <c r="Z599" s="298"/>
      <c r="AA599" s="298"/>
      <c r="AB599" s="298"/>
      <c r="AC599" s="298"/>
      <c r="AD599" s="298"/>
      <c r="AE599" s="298"/>
      <c r="AF599" s="298"/>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row>
    <row r="600">
      <c r="A600" s="304"/>
      <c r="B600" s="282"/>
      <c r="C600" s="282"/>
      <c r="D600" s="282"/>
      <c r="E600" s="282"/>
      <c r="F600" s="282"/>
      <c r="G600" s="282"/>
      <c r="H600" s="282"/>
      <c r="I600" s="282"/>
      <c r="J600" s="282"/>
      <c r="K600" s="282"/>
      <c r="L600" s="282"/>
      <c r="M600" s="282"/>
      <c r="N600" s="282"/>
      <c r="O600" s="282"/>
      <c r="P600" s="282"/>
      <c r="Q600" s="282"/>
      <c r="R600" s="282"/>
      <c r="S600" s="282"/>
      <c r="T600" s="282"/>
      <c r="U600" s="282"/>
      <c r="V600" s="298"/>
      <c r="W600" s="298"/>
      <c r="X600" s="298"/>
      <c r="Y600" s="298"/>
      <c r="Z600" s="298"/>
      <c r="AA600" s="298"/>
      <c r="AB600" s="298"/>
      <c r="AC600" s="298"/>
      <c r="AD600" s="298"/>
      <c r="AE600" s="298"/>
      <c r="AF600" s="298"/>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row>
    <row r="601">
      <c r="A601" s="304"/>
      <c r="B601" s="282"/>
      <c r="C601" s="282"/>
      <c r="D601" s="282"/>
      <c r="E601" s="282"/>
      <c r="F601" s="282"/>
      <c r="G601" s="282"/>
      <c r="H601" s="282"/>
      <c r="I601" s="282"/>
      <c r="J601" s="282"/>
      <c r="K601" s="282"/>
      <c r="L601" s="282"/>
      <c r="M601" s="282"/>
      <c r="N601" s="282"/>
      <c r="O601" s="282"/>
      <c r="P601" s="282"/>
      <c r="Q601" s="282"/>
      <c r="R601" s="282"/>
      <c r="S601" s="282"/>
      <c r="T601" s="282"/>
      <c r="U601" s="282"/>
      <c r="V601" s="298"/>
      <c r="W601" s="298"/>
      <c r="X601" s="298"/>
      <c r="Y601" s="298"/>
      <c r="Z601" s="298"/>
      <c r="AA601" s="298"/>
      <c r="AB601" s="298"/>
      <c r="AC601" s="298"/>
      <c r="AD601" s="298"/>
      <c r="AE601" s="298"/>
      <c r="AF601" s="298"/>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row>
    <row r="602">
      <c r="A602" s="304"/>
      <c r="B602" s="282"/>
      <c r="C602" s="282"/>
      <c r="D602" s="282"/>
      <c r="E602" s="282"/>
      <c r="F602" s="282"/>
      <c r="G602" s="282"/>
      <c r="H602" s="282"/>
      <c r="I602" s="282"/>
      <c r="J602" s="282"/>
      <c r="K602" s="282"/>
      <c r="L602" s="282"/>
      <c r="M602" s="282"/>
      <c r="N602" s="282"/>
      <c r="O602" s="282"/>
      <c r="P602" s="282"/>
      <c r="Q602" s="282"/>
      <c r="R602" s="282"/>
      <c r="S602" s="282"/>
      <c r="T602" s="282"/>
      <c r="U602" s="282"/>
      <c r="V602" s="298"/>
      <c r="W602" s="298"/>
      <c r="X602" s="298"/>
      <c r="Y602" s="298"/>
      <c r="Z602" s="298"/>
      <c r="AA602" s="298"/>
      <c r="AB602" s="298"/>
      <c r="AC602" s="298"/>
      <c r="AD602" s="298"/>
      <c r="AE602" s="298"/>
      <c r="AF602" s="298"/>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row>
    <row r="603">
      <c r="A603" s="304"/>
      <c r="B603" s="282"/>
      <c r="C603" s="282"/>
      <c r="D603" s="282"/>
      <c r="E603" s="282"/>
      <c r="F603" s="282"/>
      <c r="G603" s="282"/>
      <c r="H603" s="282"/>
      <c r="I603" s="282"/>
      <c r="J603" s="282"/>
      <c r="K603" s="282"/>
      <c r="L603" s="282"/>
      <c r="M603" s="282"/>
      <c r="N603" s="282"/>
      <c r="O603" s="282"/>
      <c r="P603" s="282"/>
      <c r="Q603" s="282"/>
      <c r="R603" s="282"/>
      <c r="S603" s="282"/>
      <c r="T603" s="282"/>
      <c r="U603" s="282"/>
      <c r="V603" s="298"/>
      <c r="W603" s="298"/>
      <c r="X603" s="298"/>
      <c r="Y603" s="298"/>
      <c r="Z603" s="298"/>
      <c r="AA603" s="298"/>
      <c r="AB603" s="298"/>
      <c r="AC603" s="298"/>
      <c r="AD603" s="298"/>
      <c r="AE603" s="298"/>
      <c r="AF603" s="298"/>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row>
    <row r="604">
      <c r="A604" s="304"/>
      <c r="B604" s="282"/>
      <c r="C604" s="282"/>
      <c r="D604" s="282"/>
      <c r="E604" s="282"/>
      <c r="F604" s="282"/>
      <c r="G604" s="282"/>
      <c r="H604" s="282"/>
      <c r="I604" s="282"/>
      <c r="J604" s="282"/>
      <c r="K604" s="282"/>
      <c r="L604" s="282"/>
      <c r="M604" s="282"/>
      <c r="N604" s="282"/>
      <c r="O604" s="282"/>
      <c r="P604" s="282"/>
      <c r="Q604" s="282"/>
      <c r="R604" s="282"/>
      <c r="S604" s="282"/>
      <c r="T604" s="282"/>
      <c r="U604" s="282"/>
      <c r="V604" s="298"/>
      <c r="W604" s="298"/>
      <c r="X604" s="298"/>
      <c r="Y604" s="298"/>
      <c r="Z604" s="298"/>
      <c r="AA604" s="298"/>
      <c r="AB604" s="298"/>
      <c r="AC604" s="298"/>
      <c r="AD604" s="298"/>
      <c r="AE604" s="298"/>
      <c r="AF604" s="298"/>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row>
    <row r="605">
      <c r="A605" s="304"/>
      <c r="B605" s="282"/>
      <c r="C605" s="282"/>
      <c r="D605" s="282"/>
      <c r="E605" s="282"/>
      <c r="F605" s="282"/>
      <c r="G605" s="282"/>
      <c r="H605" s="282"/>
      <c r="I605" s="282"/>
      <c r="J605" s="282"/>
      <c r="K605" s="282"/>
      <c r="L605" s="282"/>
      <c r="M605" s="282"/>
      <c r="N605" s="282"/>
      <c r="O605" s="282"/>
      <c r="P605" s="282"/>
      <c r="Q605" s="282"/>
      <c r="R605" s="282"/>
      <c r="S605" s="282"/>
      <c r="T605" s="282"/>
      <c r="U605" s="282"/>
      <c r="V605" s="298"/>
      <c r="W605" s="298"/>
      <c r="X605" s="298"/>
      <c r="Y605" s="298"/>
      <c r="Z605" s="298"/>
      <c r="AA605" s="298"/>
      <c r="AB605" s="298"/>
      <c r="AC605" s="298"/>
      <c r="AD605" s="298"/>
      <c r="AE605" s="298"/>
      <c r="AF605" s="298"/>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row>
    <row r="606">
      <c r="A606" s="304"/>
      <c r="B606" s="282"/>
      <c r="C606" s="282"/>
      <c r="D606" s="282"/>
      <c r="E606" s="282"/>
      <c r="F606" s="282"/>
      <c r="G606" s="282"/>
      <c r="H606" s="282"/>
      <c r="I606" s="282"/>
      <c r="J606" s="282"/>
      <c r="K606" s="282"/>
      <c r="L606" s="282"/>
      <c r="M606" s="282"/>
      <c r="N606" s="282"/>
      <c r="O606" s="282"/>
      <c r="P606" s="282"/>
      <c r="Q606" s="282"/>
      <c r="R606" s="282"/>
      <c r="S606" s="282"/>
      <c r="T606" s="282"/>
      <c r="U606" s="282"/>
      <c r="V606" s="298"/>
      <c r="W606" s="298"/>
      <c r="X606" s="298"/>
      <c r="Y606" s="298"/>
      <c r="Z606" s="298"/>
      <c r="AA606" s="298"/>
      <c r="AB606" s="298"/>
      <c r="AC606" s="298"/>
      <c r="AD606" s="298"/>
      <c r="AE606" s="298"/>
      <c r="AF606" s="298"/>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row>
    <row r="607">
      <c r="A607" s="304"/>
      <c r="B607" s="282"/>
      <c r="C607" s="282"/>
      <c r="D607" s="282"/>
      <c r="E607" s="282"/>
      <c r="F607" s="282"/>
      <c r="G607" s="282"/>
      <c r="H607" s="282"/>
      <c r="I607" s="282"/>
      <c r="J607" s="282"/>
      <c r="K607" s="282"/>
      <c r="L607" s="282"/>
      <c r="M607" s="282"/>
      <c r="N607" s="282"/>
      <c r="O607" s="282"/>
      <c r="P607" s="282"/>
      <c r="Q607" s="282"/>
      <c r="R607" s="282"/>
      <c r="S607" s="282"/>
      <c r="T607" s="282"/>
      <c r="U607" s="282"/>
      <c r="V607" s="298"/>
      <c r="W607" s="298"/>
      <c r="X607" s="298"/>
      <c r="Y607" s="298"/>
      <c r="Z607" s="298"/>
      <c r="AA607" s="298"/>
      <c r="AB607" s="298"/>
      <c r="AC607" s="298"/>
      <c r="AD607" s="298"/>
      <c r="AE607" s="298"/>
      <c r="AF607" s="298"/>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row>
    <row r="608">
      <c r="A608" s="304"/>
      <c r="B608" s="282"/>
      <c r="C608" s="282"/>
      <c r="D608" s="282"/>
      <c r="E608" s="282"/>
      <c r="F608" s="282"/>
      <c r="G608" s="282"/>
      <c r="H608" s="282"/>
      <c r="I608" s="282"/>
      <c r="J608" s="282"/>
      <c r="K608" s="282"/>
      <c r="L608" s="282"/>
      <c r="M608" s="282"/>
      <c r="N608" s="282"/>
      <c r="O608" s="282"/>
      <c r="P608" s="282"/>
      <c r="Q608" s="282"/>
      <c r="R608" s="282"/>
      <c r="S608" s="282"/>
      <c r="T608" s="282"/>
      <c r="U608" s="282"/>
      <c r="V608" s="298"/>
      <c r="W608" s="298"/>
      <c r="X608" s="298"/>
      <c r="Y608" s="298"/>
      <c r="Z608" s="298"/>
      <c r="AA608" s="298"/>
      <c r="AB608" s="298"/>
      <c r="AC608" s="298"/>
      <c r="AD608" s="298"/>
      <c r="AE608" s="298"/>
      <c r="AF608" s="298"/>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row>
    <row r="609">
      <c r="A609" s="304"/>
      <c r="B609" s="282"/>
      <c r="C609" s="282"/>
      <c r="D609" s="282"/>
      <c r="E609" s="282"/>
      <c r="F609" s="282"/>
      <c r="G609" s="282"/>
      <c r="H609" s="282"/>
      <c r="I609" s="282"/>
      <c r="J609" s="282"/>
      <c r="K609" s="282"/>
      <c r="L609" s="282"/>
      <c r="M609" s="282"/>
      <c r="N609" s="282"/>
      <c r="O609" s="282"/>
      <c r="P609" s="282"/>
      <c r="Q609" s="282"/>
      <c r="R609" s="282"/>
      <c r="S609" s="282"/>
      <c r="T609" s="282"/>
      <c r="U609" s="282"/>
      <c r="V609" s="298"/>
      <c r="W609" s="298"/>
      <c r="X609" s="298"/>
      <c r="Y609" s="298"/>
      <c r="Z609" s="298"/>
      <c r="AA609" s="298"/>
      <c r="AB609" s="298"/>
      <c r="AC609" s="298"/>
      <c r="AD609" s="298"/>
      <c r="AE609" s="298"/>
      <c r="AF609" s="298"/>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row>
    <row r="610">
      <c r="A610" s="304"/>
      <c r="B610" s="282"/>
      <c r="C610" s="282"/>
      <c r="D610" s="282"/>
      <c r="E610" s="282"/>
      <c r="F610" s="282"/>
      <c r="G610" s="282"/>
      <c r="H610" s="282"/>
      <c r="I610" s="282"/>
      <c r="J610" s="282"/>
      <c r="K610" s="282"/>
      <c r="L610" s="282"/>
      <c r="M610" s="282"/>
      <c r="N610" s="282"/>
      <c r="O610" s="282"/>
      <c r="P610" s="282"/>
      <c r="Q610" s="282"/>
      <c r="R610" s="282"/>
      <c r="S610" s="282"/>
      <c r="T610" s="282"/>
      <c r="U610" s="282"/>
      <c r="V610" s="298"/>
      <c r="W610" s="298"/>
      <c r="X610" s="298"/>
      <c r="Y610" s="298"/>
      <c r="Z610" s="298"/>
      <c r="AA610" s="298"/>
      <c r="AB610" s="298"/>
      <c r="AC610" s="298"/>
      <c r="AD610" s="298"/>
      <c r="AE610" s="298"/>
      <c r="AF610" s="298"/>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row>
    <row r="611">
      <c r="A611" s="304"/>
      <c r="B611" s="282"/>
      <c r="C611" s="282"/>
      <c r="D611" s="282"/>
      <c r="E611" s="282"/>
      <c r="F611" s="282"/>
      <c r="G611" s="282"/>
      <c r="H611" s="282"/>
      <c r="I611" s="282"/>
      <c r="J611" s="282"/>
      <c r="K611" s="282"/>
      <c r="L611" s="282"/>
      <c r="M611" s="282"/>
      <c r="N611" s="282"/>
      <c r="O611" s="282"/>
      <c r="P611" s="282"/>
      <c r="Q611" s="282"/>
      <c r="R611" s="282"/>
      <c r="S611" s="282"/>
      <c r="T611" s="282"/>
      <c r="U611" s="282"/>
      <c r="V611" s="298"/>
      <c r="W611" s="298"/>
      <c r="X611" s="298"/>
      <c r="Y611" s="298"/>
      <c r="Z611" s="298"/>
      <c r="AA611" s="298"/>
      <c r="AB611" s="298"/>
      <c r="AC611" s="298"/>
      <c r="AD611" s="298"/>
      <c r="AE611" s="298"/>
      <c r="AF611" s="298"/>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row>
    <row r="612">
      <c r="A612" s="304"/>
      <c r="B612" s="282"/>
      <c r="C612" s="282"/>
      <c r="D612" s="282"/>
      <c r="E612" s="282"/>
      <c r="F612" s="282"/>
      <c r="G612" s="282"/>
      <c r="H612" s="282"/>
      <c r="I612" s="282"/>
      <c r="J612" s="282"/>
      <c r="K612" s="282"/>
      <c r="L612" s="282"/>
      <c r="M612" s="282"/>
      <c r="N612" s="282"/>
      <c r="O612" s="282"/>
      <c r="P612" s="282"/>
      <c r="Q612" s="282"/>
      <c r="R612" s="282"/>
      <c r="S612" s="282"/>
      <c r="T612" s="282"/>
      <c r="U612" s="282"/>
      <c r="V612" s="298"/>
      <c r="W612" s="298"/>
      <c r="X612" s="298"/>
      <c r="Y612" s="298"/>
      <c r="Z612" s="298"/>
      <c r="AA612" s="298"/>
      <c r="AB612" s="298"/>
      <c r="AC612" s="298"/>
      <c r="AD612" s="298"/>
      <c r="AE612" s="298"/>
      <c r="AF612" s="298"/>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row>
    <row r="613">
      <c r="A613" s="304"/>
      <c r="B613" s="282"/>
      <c r="C613" s="282"/>
      <c r="D613" s="282"/>
      <c r="E613" s="282"/>
      <c r="F613" s="282"/>
      <c r="G613" s="282"/>
      <c r="H613" s="282"/>
      <c r="I613" s="282"/>
      <c r="J613" s="282"/>
      <c r="K613" s="282"/>
      <c r="L613" s="282"/>
      <c r="M613" s="282"/>
      <c r="N613" s="282"/>
      <c r="O613" s="282"/>
      <c r="P613" s="282"/>
      <c r="Q613" s="282"/>
      <c r="R613" s="282"/>
      <c r="S613" s="282"/>
      <c r="T613" s="282"/>
      <c r="U613" s="282"/>
      <c r="V613" s="298"/>
      <c r="W613" s="298"/>
      <c r="X613" s="298"/>
      <c r="Y613" s="298"/>
      <c r="Z613" s="298"/>
      <c r="AA613" s="298"/>
      <c r="AB613" s="298"/>
      <c r="AC613" s="298"/>
      <c r="AD613" s="298"/>
      <c r="AE613" s="298"/>
      <c r="AF613" s="298"/>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row>
    <row r="614">
      <c r="A614" s="304"/>
      <c r="B614" s="282"/>
      <c r="C614" s="282"/>
      <c r="D614" s="282"/>
      <c r="E614" s="282"/>
      <c r="F614" s="282"/>
      <c r="G614" s="282"/>
      <c r="H614" s="282"/>
      <c r="I614" s="282"/>
      <c r="J614" s="282"/>
      <c r="K614" s="282"/>
      <c r="L614" s="282"/>
      <c r="M614" s="282"/>
      <c r="N614" s="282"/>
      <c r="O614" s="282"/>
      <c r="P614" s="282"/>
      <c r="Q614" s="282"/>
      <c r="R614" s="282"/>
      <c r="S614" s="282"/>
      <c r="T614" s="282"/>
      <c r="U614" s="282"/>
      <c r="V614" s="298"/>
      <c r="W614" s="298"/>
      <c r="X614" s="298"/>
      <c r="Y614" s="298"/>
      <c r="Z614" s="298"/>
      <c r="AA614" s="298"/>
      <c r="AB614" s="298"/>
      <c r="AC614" s="298"/>
      <c r="AD614" s="298"/>
      <c r="AE614" s="298"/>
      <c r="AF614" s="298"/>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row>
    <row r="615">
      <c r="A615" s="304"/>
      <c r="B615" s="282"/>
      <c r="C615" s="282"/>
      <c r="D615" s="282"/>
      <c r="E615" s="282"/>
      <c r="F615" s="282"/>
      <c r="G615" s="282"/>
      <c r="H615" s="282"/>
      <c r="I615" s="282"/>
      <c r="J615" s="282"/>
      <c r="K615" s="282"/>
      <c r="L615" s="282"/>
      <c r="M615" s="282"/>
      <c r="N615" s="282"/>
      <c r="O615" s="282"/>
      <c r="P615" s="282"/>
      <c r="Q615" s="282"/>
      <c r="R615" s="282"/>
      <c r="S615" s="282"/>
      <c r="T615" s="282"/>
      <c r="U615" s="282"/>
      <c r="V615" s="298"/>
      <c r="W615" s="298"/>
      <c r="X615" s="298"/>
      <c r="Y615" s="298"/>
      <c r="Z615" s="298"/>
      <c r="AA615" s="298"/>
      <c r="AB615" s="298"/>
      <c r="AC615" s="298"/>
      <c r="AD615" s="298"/>
      <c r="AE615" s="298"/>
      <c r="AF615" s="298"/>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row>
    <row r="616">
      <c r="A616" s="304"/>
      <c r="B616" s="282"/>
      <c r="C616" s="282"/>
      <c r="D616" s="282"/>
      <c r="E616" s="282"/>
      <c r="F616" s="282"/>
      <c r="G616" s="282"/>
      <c r="H616" s="282"/>
      <c r="I616" s="282"/>
      <c r="J616" s="282"/>
      <c r="K616" s="282"/>
      <c r="L616" s="282"/>
      <c r="M616" s="282"/>
      <c r="N616" s="282"/>
      <c r="O616" s="282"/>
      <c r="P616" s="282"/>
      <c r="Q616" s="282"/>
      <c r="R616" s="282"/>
      <c r="S616" s="282"/>
      <c r="T616" s="282"/>
      <c r="U616" s="282"/>
      <c r="V616" s="298"/>
      <c r="W616" s="298"/>
      <c r="X616" s="298"/>
      <c r="Y616" s="298"/>
      <c r="Z616" s="298"/>
      <c r="AA616" s="298"/>
      <c r="AB616" s="298"/>
      <c r="AC616" s="298"/>
      <c r="AD616" s="298"/>
      <c r="AE616" s="298"/>
      <c r="AF616" s="298"/>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row>
    <row r="617">
      <c r="A617" s="304"/>
      <c r="B617" s="282"/>
      <c r="C617" s="282"/>
      <c r="D617" s="282"/>
      <c r="E617" s="282"/>
      <c r="F617" s="282"/>
      <c r="G617" s="282"/>
      <c r="H617" s="282"/>
      <c r="I617" s="282"/>
      <c r="J617" s="282"/>
      <c r="K617" s="282"/>
      <c r="L617" s="282"/>
      <c r="M617" s="282"/>
      <c r="N617" s="282"/>
      <c r="O617" s="282"/>
      <c r="P617" s="282"/>
      <c r="Q617" s="282"/>
      <c r="R617" s="282"/>
      <c r="S617" s="282"/>
      <c r="T617" s="282"/>
      <c r="U617" s="282"/>
      <c r="V617" s="298"/>
      <c r="W617" s="298"/>
      <c r="X617" s="298"/>
      <c r="Y617" s="298"/>
      <c r="Z617" s="298"/>
      <c r="AA617" s="298"/>
      <c r="AB617" s="298"/>
      <c r="AC617" s="298"/>
      <c r="AD617" s="298"/>
      <c r="AE617" s="298"/>
      <c r="AF617" s="298"/>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row>
    <row r="618">
      <c r="A618" s="304"/>
      <c r="B618" s="282"/>
      <c r="C618" s="282"/>
      <c r="D618" s="282"/>
      <c r="E618" s="282"/>
      <c r="F618" s="282"/>
      <c r="G618" s="282"/>
      <c r="H618" s="282"/>
      <c r="I618" s="282"/>
      <c r="J618" s="282"/>
      <c r="K618" s="282"/>
      <c r="L618" s="282"/>
      <c r="M618" s="282"/>
      <c r="N618" s="282"/>
      <c r="O618" s="282"/>
      <c r="P618" s="282"/>
      <c r="Q618" s="282"/>
      <c r="R618" s="282"/>
      <c r="S618" s="282"/>
      <c r="T618" s="282"/>
      <c r="U618" s="282"/>
      <c r="V618" s="298"/>
      <c r="W618" s="298"/>
      <c r="X618" s="298"/>
      <c r="Y618" s="298"/>
      <c r="Z618" s="298"/>
      <c r="AA618" s="298"/>
      <c r="AB618" s="298"/>
      <c r="AC618" s="298"/>
      <c r="AD618" s="298"/>
      <c r="AE618" s="298"/>
      <c r="AF618" s="298"/>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row>
    <row r="619">
      <c r="A619" s="304"/>
      <c r="B619" s="282"/>
      <c r="C619" s="282"/>
      <c r="D619" s="282"/>
      <c r="E619" s="282"/>
      <c r="F619" s="282"/>
      <c r="G619" s="282"/>
      <c r="H619" s="282"/>
      <c r="I619" s="282"/>
      <c r="J619" s="282"/>
      <c r="K619" s="282"/>
      <c r="L619" s="282"/>
      <c r="M619" s="282"/>
      <c r="N619" s="282"/>
      <c r="O619" s="282"/>
      <c r="P619" s="282"/>
      <c r="Q619" s="282"/>
      <c r="R619" s="282"/>
      <c r="S619" s="282"/>
      <c r="T619" s="282"/>
      <c r="U619" s="282"/>
      <c r="V619" s="298"/>
      <c r="W619" s="298"/>
      <c r="X619" s="298"/>
      <c r="Y619" s="298"/>
      <c r="Z619" s="298"/>
      <c r="AA619" s="298"/>
      <c r="AB619" s="298"/>
      <c r="AC619" s="298"/>
      <c r="AD619" s="298"/>
      <c r="AE619" s="298"/>
      <c r="AF619" s="298"/>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row>
    <row r="620">
      <c r="A620" s="304"/>
      <c r="B620" s="282"/>
      <c r="C620" s="282"/>
      <c r="D620" s="282"/>
      <c r="E620" s="282"/>
      <c r="F620" s="282"/>
      <c r="G620" s="282"/>
      <c r="H620" s="282"/>
      <c r="I620" s="282"/>
      <c r="J620" s="282"/>
      <c r="K620" s="282"/>
      <c r="L620" s="282"/>
      <c r="M620" s="282"/>
      <c r="N620" s="282"/>
      <c r="O620" s="282"/>
      <c r="P620" s="282"/>
      <c r="Q620" s="282"/>
      <c r="R620" s="282"/>
      <c r="S620" s="282"/>
      <c r="T620" s="282"/>
      <c r="U620" s="282"/>
      <c r="V620" s="298"/>
      <c r="W620" s="298"/>
      <c r="X620" s="298"/>
      <c r="Y620" s="298"/>
      <c r="Z620" s="298"/>
      <c r="AA620" s="298"/>
      <c r="AB620" s="298"/>
      <c r="AC620" s="298"/>
      <c r="AD620" s="298"/>
      <c r="AE620" s="298"/>
      <c r="AF620" s="298"/>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row>
    <row r="621">
      <c r="A621" s="304"/>
      <c r="B621" s="282"/>
      <c r="C621" s="282"/>
      <c r="D621" s="282"/>
      <c r="E621" s="282"/>
      <c r="F621" s="282"/>
      <c r="G621" s="282"/>
      <c r="H621" s="282"/>
      <c r="I621" s="282"/>
      <c r="J621" s="282"/>
      <c r="K621" s="282"/>
      <c r="L621" s="282"/>
      <c r="M621" s="282"/>
      <c r="N621" s="282"/>
      <c r="O621" s="282"/>
      <c r="P621" s="282"/>
      <c r="Q621" s="282"/>
      <c r="R621" s="282"/>
      <c r="S621" s="282"/>
      <c r="T621" s="282"/>
      <c r="U621" s="282"/>
      <c r="V621" s="298"/>
      <c r="W621" s="298"/>
      <c r="X621" s="298"/>
      <c r="Y621" s="298"/>
      <c r="Z621" s="298"/>
      <c r="AA621" s="298"/>
      <c r="AB621" s="298"/>
      <c r="AC621" s="298"/>
      <c r="AD621" s="298"/>
      <c r="AE621" s="298"/>
      <c r="AF621" s="298"/>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row>
    <row r="622">
      <c r="A622" s="304"/>
      <c r="B622" s="282"/>
      <c r="C622" s="282"/>
      <c r="D622" s="282"/>
      <c r="E622" s="282"/>
      <c r="F622" s="282"/>
      <c r="G622" s="282"/>
      <c r="H622" s="282"/>
      <c r="I622" s="282"/>
      <c r="J622" s="282"/>
      <c r="K622" s="282"/>
      <c r="L622" s="282"/>
      <c r="M622" s="282"/>
      <c r="N622" s="282"/>
      <c r="O622" s="282"/>
      <c r="P622" s="282"/>
      <c r="Q622" s="282"/>
      <c r="R622" s="282"/>
      <c r="S622" s="282"/>
      <c r="T622" s="282"/>
      <c r="U622" s="282"/>
      <c r="V622" s="298"/>
      <c r="W622" s="298"/>
      <c r="X622" s="298"/>
      <c r="Y622" s="298"/>
      <c r="Z622" s="298"/>
      <c r="AA622" s="298"/>
      <c r="AB622" s="298"/>
      <c r="AC622" s="298"/>
      <c r="AD622" s="298"/>
      <c r="AE622" s="298"/>
      <c r="AF622" s="298"/>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row>
    <row r="623">
      <c r="A623" s="304"/>
      <c r="B623" s="282"/>
      <c r="C623" s="282"/>
      <c r="D623" s="282"/>
      <c r="E623" s="282"/>
      <c r="F623" s="282"/>
      <c r="G623" s="282"/>
      <c r="H623" s="282"/>
      <c r="I623" s="282"/>
      <c r="J623" s="282"/>
      <c r="K623" s="282"/>
      <c r="L623" s="282"/>
      <c r="M623" s="282"/>
      <c r="N623" s="282"/>
      <c r="O623" s="282"/>
      <c r="P623" s="282"/>
      <c r="Q623" s="282"/>
      <c r="R623" s="282"/>
      <c r="S623" s="282"/>
      <c r="T623" s="282"/>
      <c r="U623" s="282"/>
      <c r="V623" s="298"/>
      <c r="W623" s="298"/>
      <c r="X623" s="298"/>
      <c r="Y623" s="298"/>
      <c r="Z623" s="298"/>
      <c r="AA623" s="298"/>
      <c r="AB623" s="298"/>
      <c r="AC623" s="298"/>
      <c r="AD623" s="298"/>
      <c r="AE623" s="298"/>
      <c r="AF623" s="298"/>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row>
    <row r="624">
      <c r="A624" s="304"/>
      <c r="B624" s="282"/>
      <c r="C624" s="282"/>
      <c r="D624" s="282"/>
      <c r="E624" s="282"/>
      <c r="F624" s="282"/>
      <c r="G624" s="282"/>
      <c r="H624" s="282"/>
      <c r="I624" s="282"/>
      <c r="J624" s="282"/>
      <c r="K624" s="282"/>
      <c r="L624" s="282"/>
      <c r="M624" s="282"/>
      <c r="N624" s="282"/>
      <c r="O624" s="282"/>
      <c r="P624" s="282"/>
      <c r="Q624" s="282"/>
      <c r="R624" s="282"/>
      <c r="S624" s="282"/>
      <c r="T624" s="282"/>
      <c r="U624" s="282"/>
      <c r="V624" s="298"/>
      <c r="W624" s="298"/>
      <c r="X624" s="298"/>
      <c r="Y624" s="298"/>
      <c r="Z624" s="298"/>
      <c r="AA624" s="298"/>
      <c r="AB624" s="298"/>
      <c r="AC624" s="298"/>
      <c r="AD624" s="298"/>
      <c r="AE624" s="298"/>
      <c r="AF624" s="298"/>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row>
    <row r="625">
      <c r="A625" s="304"/>
      <c r="B625" s="282"/>
      <c r="C625" s="282"/>
      <c r="D625" s="282"/>
      <c r="E625" s="282"/>
      <c r="F625" s="282"/>
      <c r="G625" s="282"/>
      <c r="H625" s="282"/>
      <c r="I625" s="282"/>
      <c r="J625" s="282"/>
      <c r="K625" s="282"/>
      <c r="L625" s="282"/>
      <c r="M625" s="282"/>
      <c r="N625" s="282"/>
      <c r="O625" s="282"/>
      <c r="P625" s="282"/>
      <c r="Q625" s="282"/>
      <c r="R625" s="282"/>
      <c r="S625" s="282"/>
      <c r="T625" s="282"/>
      <c r="U625" s="282"/>
      <c r="V625" s="298"/>
      <c r="W625" s="298"/>
      <c r="X625" s="298"/>
      <c r="Y625" s="298"/>
      <c r="Z625" s="298"/>
      <c r="AA625" s="298"/>
      <c r="AB625" s="298"/>
      <c r="AC625" s="298"/>
      <c r="AD625" s="298"/>
      <c r="AE625" s="298"/>
      <c r="AF625" s="298"/>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row>
    <row r="626">
      <c r="A626" s="304"/>
      <c r="B626" s="282"/>
      <c r="C626" s="282"/>
      <c r="D626" s="282"/>
      <c r="E626" s="282"/>
      <c r="F626" s="282"/>
      <c r="G626" s="282"/>
      <c r="H626" s="282"/>
      <c r="I626" s="282"/>
      <c r="J626" s="282"/>
      <c r="K626" s="282"/>
      <c r="L626" s="282"/>
      <c r="M626" s="282"/>
      <c r="N626" s="282"/>
      <c r="O626" s="282"/>
      <c r="P626" s="282"/>
      <c r="Q626" s="282"/>
      <c r="R626" s="282"/>
      <c r="S626" s="282"/>
      <c r="T626" s="282"/>
      <c r="U626" s="282"/>
      <c r="V626" s="298"/>
      <c r="W626" s="298"/>
      <c r="X626" s="298"/>
      <c r="Y626" s="298"/>
      <c r="Z626" s="298"/>
      <c r="AA626" s="298"/>
      <c r="AB626" s="298"/>
      <c r="AC626" s="298"/>
      <c r="AD626" s="298"/>
      <c r="AE626" s="298"/>
      <c r="AF626" s="298"/>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row>
    <row r="627">
      <c r="A627" s="304"/>
      <c r="B627" s="282"/>
      <c r="C627" s="282"/>
      <c r="D627" s="282"/>
      <c r="E627" s="282"/>
      <c r="F627" s="282"/>
      <c r="G627" s="282"/>
      <c r="H627" s="282"/>
      <c r="I627" s="282"/>
      <c r="J627" s="282"/>
      <c r="K627" s="282"/>
      <c r="L627" s="282"/>
      <c r="M627" s="282"/>
      <c r="N627" s="282"/>
      <c r="O627" s="282"/>
      <c r="P627" s="282"/>
      <c r="Q627" s="282"/>
      <c r="R627" s="282"/>
      <c r="S627" s="282"/>
      <c r="T627" s="282"/>
      <c r="U627" s="282"/>
      <c r="V627" s="298"/>
      <c r="W627" s="298"/>
      <c r="X627" s="298"/>
      <c r="Y627" s="298"/>
      <c r="Z627" s="298"/>
      <c r="AA627" s="298"/>
      <c r="AB627" s="298"/>
      <c r="AC627" s="298"/>
      <c r="AD627" s="298"/>
      <c r="AE627" s="298"/>
      <c r="AF627" s="298"/>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row>
    <row r="628">
      <c r="A628" s="304"/>
      <c r="B628" s="282"/>
      <c r="C628" s="282"/>
      <c r="D628" s="282"/>
      <c r="E628" s="282"/>
      <c r="F628" s="282"/>
      <c r="G628" s="282"/>
      <c r="H628" s="282"/>
      <c r="I628" s="282"/>
      <c r="J628" s="282"/>
      <c r="K628" s="282"/>
      <c r="L628" s="282"/>
      <c r="M628" s="282"/>
      <c r="N628" s="282"/>
      <c r="O628" s="282"/>
      <c r="P628" s="282"/>
      <c r="Q628" s="282"/>
      <c r="R628" s="282"/>
      <c r="S628" s="282"/>
      <c r="T628" s="282"/>
      <c r="U628" s="282"/>
      <c r="V628" s="298"/>
      <c r="W628" s="298"/>
      <c r="X628" s="298"/>
      <c r="Y628" s="298"/>
      <c r="Z628" s="298"/>
      <c r="AA628" s="298"/>
      <c r="AB628" s="298"/>
      <c r="AC628" s="298"/>
      <c r="AD628" s="298"/>
      <c r="AE628" s="298"/>
      <c r="AF628" s="298"/>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row>
    <row r="629">
      <c r="A629" s="304"/>
      <c r="B629" s="282"/>
      <c r="C629" s="282"/>
      <c r="D629" s="282"/>
      <c r="E629" s="282"/>
      <c r="F629" s="282"/>
      <c r="G629" s="282"/>
      <c r="H629" s="282"/>
      <c r="I629" s="282"/>
      <c r="J629" s="282"/>
      <c r="K629" s="282"/>
      <c r="L629" s="282"/>
      <c r="M629" s="282"/>
      <c r="N629" s="282"/>
      <c r="O629" s="282"/>
      <c r="P629" s="282"/>
      <c r="Q629" s="282"/>
      <c r="R629" s="282"/>
      <c r="S629" s="282"/>
      <c r="T629" s="282"/>
      <c r="U629" s="282"/>
      <c r="V629" s="298"/>
      <c r="W629" s="298"/>
      <c r="X629" s="298"/>
      <c r="Y629" s="298"/>
      <c r="Z629" s="298"/>
      <c r="AA629" s="298"/>
      <c r="AB629" s="298"/>
      <c r="AC629" s="298"/>
      <c r="AD629" s="298"/>
      <c r="AE629" s="298"/>
      <c r="AF629" s="298"/>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row>
    <row r="630">
      <c r="A630" s="304"/>
      <c r="B630" s="282"/>
      <c r="C630" s="282"/>
      <c r="D630" s="282"/>
      <c r="E630" s="282"/>
      <c r="F630" s="282"/>
      <c r="G630" s="282"/>
      <c r="H630" s="282"/>
      <c r="I630" s="282"/>
      <c r="J630" s="282"/>
      <c r="K630" s="282"/>
      <c r="L630" s="282"/>
      <c r="M630" s="282"/>
      <c r="N630" s="282"/>
      <c r="O630" s="282"/>
      <c r="P630" s="282"/>
      <c r="Q630" s="282"/>
      <c r="R630" s="282"/>
      <c r="S630" s="282"/>
      <c r="T630" s="282"/>
      <c r="U630" s="282"/>
      <c r="V630" s="298"/>
      <c r="W630" s="298"/>
      <c r="X630" s="298"/>
      <c r="Y630" s="298"/>
      <c r="Z630" s="298"/>
      <c r="AA630" s="298"/>
      <c r="AB630" s="298"/>
      <c r="AC630" s="298"/>
      <c r="AD630" s="298"/>
      <c r="AE630" s="298"/>
      <c r="AF630" s="298"/>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row>
    <row r="631">
      <c r="A631" s="304"/>
      <c r="B631" s="282"/>
      <c r="C631" s="282"/>
      <c r="D631" s="282"/>
      <c r="E631" s="282"/>
      <c r="F631" s="282"/>
      <c r="G631" s="282"/>
      <c r="H631" s="282"/>
      <c r="I631" s="282"/>
      <c r="J631" s="282"/>
      <c r="K631" s="282"/>
      <c r="L631" s="282"/>
      <c r="M631" s="282"/>
      <c r="N631" s="282"/>
      <c r="O631" s="282"/>
      <c r="P631" s="282"/>
      <c r="Q631" s="282"/>
      <c r="R631" s="282"/>
      <c r="S631" s="282"/>
      <c r="T631" s="282"/>
      <c r="U631" s="282"/>
      <c r="V631" s="298"/>
      <c r="W631" s="298"/>
      <c r="X631" s="298"/>
      <c r="Y631" s="298"/>
      <c r="Z631" s="298"/>
      <c r="AA631" s="298"/>
      <c r="AB631" s="298"/>
      <c r="AC631" s="298"/>
      <c r="AD631" s="298"/>
      <c r="AE631" s="298"/>
      <c r="AF631" s="298"/>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row>
    <row r="632">
      <c r="A632" s="304"/>
      <c r="B632" s="282"/>
      <c r="C632" s="282"/>
      <c r="D632" s="282"/>
      <c r="E632" s="282"/>
      <c r="F632" s="282"/>
      <c r="G632" s="282"/>
      <c r="H632" s="282"/>
      <c r="I632" s="282"/>
      <c r="J632" s="282"/>
      <c r="K632" s="282"/>
      <c r="L632" s="282"/>
      <c r="M632" s="282"/>
      <c r="N632" s="282"/>
      <c r="O632" s="282"/>
      <c r="P632" s="282"/>
      <c r="Q632" s="282"/>
      <c r="R632" s="282"/>
      <c r="S632" s="282"/>
      <c r="T632" s="282"/>
      <c r="U632" s="282"/>
      <c r="V632" s="298"/>
      <c r="W632" s="298"/>
      <c r="X632" s="298"/>
      <c r="Y632" s="298"/>
      <c r="Z632" s="298"/>
      <c r="AA632" s="298"/>
      <c r="AB632" s="298"/>
      <c r="AC632" s="298"/>
      <c r="AD632" s="298"/>
      <c r="AE632" s="298"/>
      <c r="AF632" s="298"/>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row>
    <row r="633">
      <c r="A633" s="304"/>
      <c r="B633" s="282"/>
      <c r="C633" s="282"/>
      <c r="D633" s="282"/>
      <c r="E633" s="282"/>
      <c r="F633" s="282"/>
      <c r="G633" s="282"/>
      <c r="H633" s="282"/>
      <c r="I633" s="282"/>
      <c r="J633" s="282"/>
      <c r="K633" s="282"/>
      <c r="L633" s="282"/>
      <c r="M633" s="282"/>
      <c r="N633" s="282"/>
      <c r="O633" s="282"/>
      <c r="P633" s="282"/>
      <c r="Q633" s="282"/>
      <c r="R633" s="282"/>
      <c r="S633" s="282"/>
      <c r="T633" s="282"/>
      <c r="U633" s="282"/>
      <c r="V633" s="298"/>
      <c r="W633" s="298"/>
      <c r="X633" s="298"/>
      <c r="Y633" s="298"/>
      <c r="Z633" s="298"/>
      <c r="AA633" s="298"/>
      <c r="AB633" s="298"/>
      <c r="AC633" s="298"/>
      <c r="AD633" s="298"/>
      <c r="AE633" s="298"/>
      <c r="AF633" s="298"/>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row>
    <row r="634">
      <c r="A634" s="304"/>
      <c r="B634" s="282"/>
      <c r="C634" s="282"/>
      <c r="D634" s="282"/>
      <c r="E634" s="282"/>
      <c r="F634" s="282"/>
      <c r="G634" s="282"/>
      <c r="H634" s="282"/>
      <c r="I634" s="282"/>
      <c r="J634" s="282"/>
      <c r="K634" s="282"/>
      <c r="L634" s="282"/>
      <c r="M634" s="282"/>
      <c r="N634" s="282"/>
      <c r="O634" s="282"/>
      <c r="P634" s="282"/>
      <c r="Q634" s="282"/>
      <c r="R634" s="282"/>
      <c r="S634" s="282"/>
      <c r="T634" s="282"/>
      <c r="U634" s="282"/>
      <c r="V634" s="298"/>
      <c r="W634" s="298"/>
      <c r="X634" s="298"/>
      <c r="Y634" s="298"/>
      <c r="Z634" s="298"/>
      <c r="AA634" s="298"/>
      <c r="AB634" s="298"/>
      <c r="AC634" s="298"/>
      <c r="AD634" s="298"/>
      <c r="AE634" s="298"/>
      <c r="AF634" s="298"/>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row>
    <row r="635">
      <c r="A635" s="304"/>
      <c r="B635" s="282"/>
      <c r="C635" s="282"/>
      <c r="D635" s="282"/>
      <c r="E635" s="282"/>
      <c r="F635" s="282"/>
      <c r="G635" s="282"/>
      <c r="H635" s="282"/>
      <c r="I635" s="282"/>
      <c r="J635" s="282"/>
      <c r="K635" s="282"/>
      <c r="L635" s="282"/>
      <c r="M635" s="282"/>
      <c r="N635" s="282"/>
      <c r="O635" s="282"/>
      <c r="P635" s="282"/>
      <c r="Q635" s="282"/>
      <c r="R635" s="282"/>
      <c r="S635" s="282"/>
      <c r="T635" s="282"/>
      <c r="U635" s="282"/>
      <c r="V635" s="298"/>
      <c r="W635" s="298"/>
      <c r="X635" s="298"/>
      <c r="Y635" s="298"/>
      <c r="Z635" s="298"/>
      <c r="AA635" s="298"/>
      <c r="AB635" s="298"/>
      <c r="AC635" s="298"/>
      <c r="AD635" s="298"/>
      <c r="AE635" s="298"/>
      <c r="AF635" s="298"/>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row>
    <row r="636">
      <c r="A636" s="304"/>
      <c r="B636" s="282"/>
      <c r="C636" s="282"/>
      <c r="D636" s="282"/>
      <c r="E636" s="282"/>
      <c r="F636" s="282"/>
      <c r="G636" s="282"/>
      <c r="H636" s="282"/>
      <c r="I636" s="282"/>
      <c r="J636" s="282"/>
      <c r="K636" s="282"/>
      <c r="L636" s="282"/>
      <c r="M636" s="282"/>
      <c r="N636" s="282"/>
      <c r="O636" s="282"/>
      <c r="P636" s="282"/>
      <c r="Q636" s="282"/>
      <c r="R636" s="282"/>
      <c r="S636" s="282"/>
      <c r="T636" s="282"/>
      <c r="U636" s="282"/>
      <c r="V636" s="298"/>
      <c r="W636" s="298"/>
      <c r="X636" s="298"/>
      <c r="Y636" s="298"/>
      <c r="Z636" s="298"/>
      <c r="AA636" s="298"/>
      <c r="AB636" s="298"/>
      <c r="AC636" s="298"/>
      <c r="AD636" s="298"/>
      <c r="AE636" s="298"/>
      <c r="AF636" s="298"/>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row>
    <row r="637">
      <c r="A637" s="304"/>
      <c r="B637" s="282"/>
      <c r="C637" s="282"/>
      <c r="D637" s="282"/>
      <c r="E637" s="282"/>
      <c r="F637" s="282"/>
      <c r="G637" s="282"/>
      <c r="H637" s="282"/>
      <c r="I637" s="282"/>
      <c r="J637" s="282"/>
      <c r="K637" s="282"/>
      <c r="L637" s="282"/>
      <c r="M637" s="282"/>
      <c r="N637" s="282"/>
      <c r="O637" s="282"/>
      <c r="P637" s="282"/>
      <c r="Q637" s="282"/>
      <c r="R637" s="282"/>
      <c r="S637" s="282"/>
      <c r="T637" s="282"/>
      <c r="U637" s="282"/>
      <c r="V637" s="298"/>
      <c r="W637" s="298"/>
      <c r="X637" s="298"/>
      <c r="Y637" s="298"/>
      <c r="Z637" s="298"/>
      <c r="AA637" s="298"/>
      <c r="AB637" s="298"/>
      <c r="AC637" s="298"/>
      <c r="AD637" s="298"/>
      <c r="AE637" s="298"/>
      <c r="AF637" s="298"/>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row>
    <row r="638">
      <c r="A638" s="304"/>
      <c r="B638" s="282"/>
      <c r="C638" s="282"/>
      <c r="D638" s="282"/>
      <c r="E638" s="282"/>
      <c r="F638" s="282"/>
      <c r="G638" s="282"/>
      <c r="H638" s="282"/>
      <c r="I638" s="282"/>
      <c r="J638" s="282"/>
      <c r="K638" s="282"/>
      <c r="L638" s="282"/>
      <c r="M638" s="282"/>
      <c r="N638" s="282"/>
      <c r="O638" s="282"/>
      <c r="P638" s="282"/>
      <c r="Q638" s="282"/>
      <c r="R638" s="282"/>
      <c r="S638" s="282"/>
      <c r="T638" s="282"/>
      <c r="U638" s="282"/>
      <c r="V638" s="298"/>
      <c r="W638" s="298"/>
      <c r="X638" s="298"/>
      <c r="Y638" s="298"/>
      <c r="Z638" s="298"/>
      <c r="AA638" s="298"/>
      <c r="AB638" s="298"/>
      <c r="AC638" s="298"/>
      <c r="AD638" s="298"/>
      <c r="AE638" s="298"/>
      <c r="AF638" s="298"/>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row>
    <row r="639">
      <c r="A639" s="304"/>
      <c r="B639" s="282"/>
      <c r="C639" s="282"/>
      <c r="D639" s="282"/>
      <c r="E639" s="282"/>
      <c r="F639" s="282"/>
      <c r="G639" s="282"/>
      <c r="H639" s="282"/>
      <c r="I639" s="282"/>
      <c r="J639" s="282"/>
      <c r="K639" s="282"/>
      <c r="L639" s="282"/>
      <c r="M639" s="282"/>
      <c r="N639" s="282"/>
      <c r="O639" s="282"/>
      <c r="P639" s="282"/>
      <c r="Q639" s="282"/>
      <c r="R639" s="282"/>
      <c r="S639" s="282"/>
      <c r="T639" s="282"/>
      <c r="U639" s="282"/>
      <c r="V639" s="298"/>
      <c r="W639" s="298"/>
      <c r="X639" s="298"/>
      <c r="Y639" s="298"/>
      <c r="Z639" s="298"/>
      <c r="AA639" s="298"/>
      <c r="AB639" s="298"/>
      <c r="AC639" s="298"/>
      <c r="AD639" s="298"/>
      <c r="AE639" s="298"/>
      <c r="AF639" s="298"/>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row>
    <row r="640">
      <c r="A640" s="304"/>
      <c r="B640" s="282"/>
      <c r="C640" s="282"/>
      <c r="D640" s="282"/>
      <c r="E640" s="282"/>
      <c r="F640" s="282"/>
      <c r="G640" s="282"/>
      <c r="H640" s="282"/>
      <c r="I640" s="282"/>
      <c r="J640" s="282"/>
      <c r="K640" s="282"/>
      <c r="L640" s="282"/>
      <c r="M640" s="282"/>
      <c r="N640" s="282"/>
      <c r="O640" s="282"/>
      <c r="P640" s="282"/>
      <c r="Q640" s="282"/>
      <c r="R640" s="282"/>
      <c r="S640" s="282"/>
      <c r="T640" s="282"/>
      <c r="U640" s="282"/>
      <c r="V640" s="298"/>
      <c r="W640" s="298"/>
      <c r="X640" s="298"/>
      <c r="Y640" s="298"/>
      <c r="Z640" s="298"/>
      <c r="AA640" s="298"/>
      <c r="AB640" s="298"/>
      <c r="AC640" s="298"/>
      <c r="AD640" s="298"/>
      <c r="AE640" s="298"/>
      <c r="AF640" s="298"/>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row>
    <row r="641">
      <c r="A641" s="304"/>
      <c r="B641" s="282"/>
      <c r="C641" s="282"/>
      <c r="D641" s="282"/>
      <c r="E641" s="282"/>
      <c r="F641" s="282"/>
      <c r="G641" s="282"/>
      <c r="H641" s="282"/>
      <c r="I641" s="282"/>
      <c r="J641" s="282"/>
      <c r="K641" s="282"/>
      <c r="L641" s="282"/>
      <c r="M641" s="282"/>
      <c r="N641" s="282"/>
      <c r="O641" s="282"/>
      <c r="P641" s="282"/>
      <c r="Q641" s="282"/>
      <c r="R641" s="282"/>
      <c r="S641" s="282"/>
      <c r="T641" s="282"/>
      <c r="U641" s="282"/>
      <c r="V641" s="298"/>
      <c r="W641" s="298"/>
      <c r="X641" s="298"/>
      <c r="Y641" s="298"/>
      <c r="Z641" s="298"/>
      <c r="AA641" s="298"/>
      <c r="AB641" s="298"/>
      <c r="AC641" s="298"/>
      <c r="AD641" s="298"/>
      <c r="AE641" s="298"/>
      <c r="AF641" s="298"/>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row>
    <row r="642">
      <c r="A642" s="304"/>
      <c r="B642" s="282"/>
      <c r="C642" s="282"/>
      <c r="D642" s="282"/>
      <c r="E642" s="282"/>
      <c r="F642" s="282"/>
      <c r="G642" s="282"/>
      <c r="H642" s="282"/>
      <c r="I642" s="282"/>
      <c r="J642" s="282"/>
      <c r="K642" s="282"/>
      <c r="L642" s="282"/>
      <c r="M642" s="282"/>
      <c r="N642" s="282"/>
      <c r="O642" s="282"/>
      <c r="P642" s="282"/>
      <c r="Q642" s="282"/>
      <c r="R642" s="282"/>
      <c r="S642" s="282"/>
      <c r="T642" s="282"/>
      <c r="U642" s="282"/>
      <c r="V642" s="298"/>
      <c r="W642" s="298"/>
      <c r="X642" s="298"/>
      <c r="Y642" s="298"/>
      <c r="Z642" s="298"/>
      <c r="AA642" s="298"/>
      <c r="AB642" s="298"/>
      <c r="AC642" s="298"/>
      <c r="AD642" s="298"/>
      <c r="AE642" s="298"/>
      <c r="AF642" s="298"/>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row>
    <row r="643">
      <c r="A643" s="304"/>
      <c r="B643" s="282"/>
      <c r="C643" s="282"/>
      <c r="D643" s="282"/>
      <c r="E643" s="282"/>
      <c r="F643" s="282"/>
      <c r="G643" s="282"/>
      <c r="H643" s="282"/>
      <c r="I643" s="282"/>
      <c r="J643" s="282"/>
      <c r="K643" s="282"/>
      <c r="L643" s="282"/>
      <c r="M643" s="282"/>
      <c r="N643" s="282"/>
      <c r="O643" s="282"/>
      <c r="P643" s="282"/>
      <c r="Q643" s="282"/>
      <c r="R643" s="282"/>
      <c r="S643" s="282"/>
      <c r="T643" s="282"/>
      <c r="U643" s="282"/>
      <c r="V643" s="298"/>
      <c r="W643" s="298"/>
      <c r="X643" s="298"/>
      <c r="Y643" s="298"/>
      <c r="Z643" s="298"/>
      <c r="AA643" s="298"/>
      <c r="AB643" s="298"/>
      <c r="AC643" s="298"/>
      <c r="AD643" s="298"/>
      <c r="AE643" s="298"/>
      <c r="AF643" s="298"/>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row>
    <row r="644">
      <c r="A644" s="304"/>
      <c r="B644" s="282"/>
      <c r="C644" s="282"/>
      <c r="D644" s="282"/>
      <c r="E644" s="282"/>
      <c r="F644" s="282"/>
      <c r="G644" s="282"/>
      <c r="H644" s="282"/>
      <c r="I644" s="282"/>
      <c r="J644" s="282"/>
      <c r="K644" s="282"/>
      <c r="L644" s="282"/>
      <c r="M644" s="282"/>
      <c r="N644" s="282"/>
      <c r="O644" s="282"/>
      <c r="P644" s="282"/>
      <c r="Q644" s="282"/>
      <c r="R644" s="282"/>
      <c r="S644" s="282"/>
      <c r="T644" s="282"/>
      <c r="U644" s="282"/>
      <c r="V644" s="298"/>
      <c r="W644" s="298"/>
      <c r="X644" s="298"/>
      <c r="Y644" s="298"/>
      <c r="Z644" s="298"/>
      <c r="AA644" s="298"/>
      <c r="AB644" s="298"/>
      <c r="AC644" s="298"/>
      <c r="AD644" s="298"/>
      <c r="AE644" s="298"/>
      <c r="AF644" s="298"/>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row>
    <row r="645">
      <c r="A645" s="304"/>
      <c r="B645" s="282"/>
      <c r="C645" s="282"/>
      <c r="D645" s="282"/>
      <c r="E645" s="282"/>
      <c r="F645" s="282"/>
      <c r="G645" s="282"/>
      <c r="H645" s="282"/>
      <c r="I645" s="282"/>
      <c r="J645" s="282"/>
      <c r="K645" s="282"/>
      <c r="L645" s="282"/>
      <c r="M645" s="282"/>
      <c r="N645" s="282"/>
      <c r="O645" s="282"/>
      <c r="P645" s="282"/>
      <c r="Q645" s="282"/>
      <c r="R645" s="282"/>
      <c r="S645" s="282"/>
      <c r="T645" s="282"/>
      <c r="U645" s="282"/>
      <c r="V645" s="298"/>
      <c r="W645" s="298"/>
      <c r="X645" s="298"/>
      <c r="Y645" s="298"/>
      <c r="Z645" s="298"/>
      <c r="AA645" s="298"/>
      <c r="AB645" s="298"/>
      <c r="AC645" s="298"/>
      <c r="AD645" s="298"/>
      <c r="AE645" s="298"/>
      <c r="AF645" s="298"/>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row>
    <row r="646">
      <c r="A646" s="304"/>
      <c r="B646" s="282"/>
      <c r="C646" s="282"/>
      <c r="D646" s="282"/>
      <c r="E646" s="282"/>
      <c r="F646" s="282"/>
      <c r="G646" s="282"/>
      <c r="H646" s="282"/>
      <c r="I646" s="282"/>
      <c r="J646" s="282"/>
      <c r="K646" s="282"/>
      <c r="L646" s="282"/>
      <c r="M646" s="282"/>
      <c r="N646" s="282"/>
      <c r="O646" s="282"/>
      <c r="P646" s="282"/>
      <c r="Q646" s="282"/>
      <c r="R646" s="282"/>
      <c r="S646" s="282"/>
      <c r="T646" s="282"/>
      <c r="U646" s="282"/>
      <c r="V646" s="298"/>
      <c r="W646" s="298"/>
      <c r="X646" s="298"/>
      <c r="Y646" s="298"/>
      <c r="Z646" s="298"/>
      <c r="AA646" s="298"/>
      <c r="AB646" s="298"/>
      <c r="AC646" s="298"/>
      <c r="AD646" s="298"/>
      <c r="AE646" s="298"/>
      <c r="AF646" s="298"/>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row>
    <row r="647">
      <c r="A647" s="304"/>
      <c r="B647" s="282"/>
      <c r="C647" s="282"/>
      <c r="D647" s="282"/>
      <c r="E647" s="282"/>
      <c r="F647" s="282"/>
      <c r="G647" s="282"/>
      <c r="H647" s="282"/>
      <c r="I647" s="282"/>
      <c r="J647" s="282"/>
      <c r="K647" s="282"/>
      <c r="L647" s="282"/>
      <c r="M647" s="282"/>
      <c r="N647" s="282"/>
      <c r="O647" s="282"/>
      <c r="P647" s="282"/>
      <c r="Q647" s="282"/>
      <c r="R647" s="282"/>
      <c r="S647" s="282"/>
      <c r="T647" s="282"/>
      <c r="U647" s="282"/>
      <c r="V647" s="298"/>
      <c r="W647" s="298"/>
      <c r="X647" s="298"/>
      <c r="Y647" s="298"/>
      <c r="Z647" s="298"/>
      <c r="AA647" s="298"/>
      <c r="AB647" s="298"/>
      <c r="AC647" s="298"/>
      <c r="AD647" s="298"/>
      <c r="AE647" s="298"/>
      <c r="AF647" s="298"/>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row>
    <row r="648">
      <c r="A648" s="304"/>
      <c r="B648" s="282"/>
      <c r="C648" s="282"/>
      <c r="D648" s="282"/>
      <c r="E648" s="282"/>
      <c r="F648" s="282"/>
      <c r="G648" s="282"/>
      <c r="H648" s="282"/>
      <c r="I648" s="282"/>
      <c r="J648" s="282"/>
      <c r="K648" s="282"/>
      <c r="L648" s="282"/>
      <c r="M648" s="282"/>
      <c r="N648" s="282"/>
      <c r="O648" s="282"/>
      <c r="P648" s="282"/>
      <c r="Q648" s="282"/>
      <c r="R648" s="282"/>
      <c r="S648" s="282"/>
      <c r="T648" s="282"/>
      <c r="U648" s="282"/>
      <c r="V648" s="298"/>
      <c r="W648" s="298"/>
      <c r="X648" s="298"/>
      <c r="Y648" s="298"/>
      <c r="Z648" s="298"/>
      <c r="AA648" s="298"/>
      <c r="AB648" s="298"/>
      <c r="AC648" s="298"/>
      <c r="AD648" s="298"/>
      <c r="AE648" s="298"/>
      <c r="AF648" s="298"/>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row>
    <row r="649">
      <c r="A649" s="304"/>
      <c r="B649" s="282"/>
      <c r="C649" s="282"/>
      <c r="D649" s="282"/>
      <c r="E649" s="282"/>
      <c r="F649" s="282"/>
      <c r="G649" s="282"/>
      <c r="H649" s="282"/>
      <c r="I649" s="282"/>
      <c r="J649" s="282"/>
      <c r="K649" s="282"/>
      <c r="L649" s="282"/>
      <c r="M649" s="282"/>
      <c r="N649" s="282"/>
      <c r="O649" s="282"/>
      <c r="P649" s="282"/>
      <c r="Q649" s="282"/>
      <c r="R649" s="282"/>
      <c r="S649" s="282"/>
      <c r="T649" s="282"/>
      <c r="U649" s="282"/>
      <c r="V649" s="298"/>
      <c r="W649" s="298"/>
      <c r="X649" s="298"/>
      <c r="Y649" s="298"/>
      <c r="Z649" s="298"/>
      <c r="AA649" s="298"/>
      <c r="AB649" s="298"/>
      <c r="AC649" s="298"/>
      <c r="AD649" s="298"/>
      <c r="AE649" s="298"/>
      <c r="AF649" s="298"/>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row>
    <row r="650">
      <c r="A650" s="304"/>
      <c r="B650" s="282"/>
      <c r="C650" s="282"/>
      <c r="D650" s="282"/>
      <c r="E650" s="282"/>
      <c r="F650" s="282"/>
      <c r="G650" s="282"/>
      <c r="H650" s="282"/>
      <c r="I650" s="282"/>
      <c r="J650" s="282"/>
      <c r="K650" s="282"/>
      <c r="L650" s="282"/>
      <c r="M650" s="282"/>
      <c r="N650" s="282"/>
      <c r="O650" s="282"/>
      <c r="P650" s="282"/>
      <c r="Q650" s="282"/>
      <c r="R650" s="282"/>
      <c r="S650" s="282"/>
      <c r="T650" s="282"/>
      <c r="U650" s="282"/>
      <c r="V650" s="298"/>
      <c r="W650" s="298"/>
      <c r="X650" s="298"/>
      <c r="Y650" s="298"/>
      <c r="Z650" s="298"/>
      <c r="AA650" s="298"/>
      <c r="AB650" s="298"/>
      <c r="AC650" s="298"/>
      <c r="AD650" s="298"/>
      <c r="AE650" s="298"/>
      <c r="AF650" s="298"/>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row>
    <row r="651">
      <c r="A651" s="304"/>
      <c r="B651" s="282"/>
      <c r="C651" s="282"/>
      <c r="D651" s="282"/>
      <c r="E651" s="282"/>
      <c r="F651" s="282"/>
      <c r="G651" s="282"/>
      <c r="H651" s="282"/>
      <c r="I651" s="282"/>
      <c r="J651" s="282"/>
      <c r="K651" s="282"/>
      <c r="L651" s="282"/>
      <c r="M651" s="282"/>
      <c r="N651" s="282"/>
      <c r="O651" s="282"/>
      <c r="P651" s="282"/>
      <c r="Q651" s="282"/>
      <c r="R651" s="282"/>
      <c r="S651" s="282"/>
      <c r="T651" s="282"/>
      <c r="U651" s="282"/>
      <c r="V651" s="298"/>
      <c r="W651" s="298"/>
      <c r="X651" s="298"/>
      <c r="Y651" s="298"/>
      <c r="Z651" s="298"/>
      <c r="AA651" s="298"/>
      <c r="AB651" s="298"/>
      <c r="AC651" s="298"/>
      <c r="AD651" s="298"/>
      <c r="AE651" s="298"/>
      <c r="AF651" s="298"/>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row>
    <row r="652">
      <c r="A652" s="304"/>
      <c r="B652" s="282"/>
      <c r="C652" s="282"/>
      <c r="D652" s="282"/>
      <c r="E652" s="282"/>
      <c r="F652" s="282"/>
      <c r="G652" s="282"/>
      <c r="H652" s="282"/>
      <c r="I652" s="282"/>
      <c r="J652" s="282"/>
      <c r="K652" s="282"/>
      <c r="L652" s="282"/>
      <c r="M652" s="282"/>
      <c r="N652" s="282"/>
      <c r="O652" s="282"/>
      <c r="P652" s="282"/>
      <c r="Q652" s="282"/>
      <c r="R652" s="282"/>
      <c r="S652" s="282"/>
      <c r="T652" s="282"/>
      <c r="U652" s="282"/>
      <c r="V652" s="298"/>
      <c r="W652" s="298"/>
      <c r="X652" s="298"/>
      <c r="Y652" s="298"/>
      <c r="Z652" s="298"/>
      <c r="AA652" s="298"/>
      <c r="AB652" s="298"/>
      <c r="AC652" s="298"/>
      <c r="AD652" s="298"/>
      <c r="AE652" s="298"/>
      <c r="AF652" s="298"/>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row>
    <row r="653">
      <c r="A653" s="304"/>
      <c r="B653" s="282"/>
      <c r="C653" s="282"/>
      <c r="D653" s="282"/>
      <c r="E653" s="282"/>
      <c r="F653" s="282"/>
      <c r="G653" s="282"/>
      <c r="H653" s="282"/>
      <c r="I653" s="282"/>
      <c r="J653" s="282"/>
      <c r="K653" s="282"/>
      <c r="L653" s="282"/>
      <c r="M653" s="282"/>
      <c r="N653" s="282"/>
      <c r="O653" s="282"/>
      <c r="P653" s="282"/>
      <c r="Q653" s="282"/>
      <c r="R653" s="282"/>
      <c r="S653" s="282"/>
      <c r="T653" s="282"/>
      <c r="U653" s="282"/>
      <c r="V653" s="298"/>
      <c r="W653" s="298"/>
      <c r="X653" s="298"/>
      <c r="Y653" s="298"/>
      <c r="Z653" s="298"/>
      <c r="AA653" s="298"/>
      <c r="AB653" s="298"/>
      <c r="AC653" s="298"/>
      <c r="AD653" s="298"/>
      <c r="AE653" s="298"/>
      <c r="AF653" s="298"/>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row>
    <row r="654">
      <c r="A654" s="304"/>
      <c r="B654" s="282"/>
      <c r="C654" s="282"/>
      <c r="D654" s="282"/>
      <c r="E654" s="282"/>
      <c r="F654" s="282"/>
      <c r="G654" s="282"/>
      <c r="H654" s="282"/>
      <c r="I654" s="282"/>
      <c r="J654" s="282"/>
      <c r="K654" s="282"/>
      <c r="L654" s="282"/>
      <c r="M654" s="282"/>
      <c r="N654" s="282"/>
      <c r="O654" s="282"/>
      <c r="P654" s="282"/>
      <c r="Q654" s="282"/>
      <c r="R654" s="282"/>
      <c r="S654" s="282"/>
      <c r="T654" s="282"/>
      <c r="U654" s="282"/>
      <c r="V654" s="298"/>
      <c r="W654" s="298"/>
      <c r="X654" s="298"/>
      <c r="Y654" s="298"/>
      <c r="Z654" s="298"/>
      <c r="AA654" s="298"/>
      <c r="AB654" s="298"/>
      <c r="AC654" s="298"/>
      <c r="AD654" s="298"/>
      <c r="AE654" s="298"/>
      <c r="AF654" s="298"/>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row>
    <row r="655">
      <c r="A655" s="304"/>
      <c r="B655" s="282"/>
      <c r="C655" s="282"/>
      <c r="D655" s="282"/>
      <c r="E655" s="282"/>
      <c r="F655" s="282"/>
      <c r="G655" s="282"/>
      <c r="H655" s="282"/>
      <c r="I655" s="282"/>
      <c r="J655" s="282"/>
      <c r="K655" s="282"/>
      <c r="L655" s="282"/>
      <c r="M655" s="282"/>
      <c r="N655" s="282"/>
      <c r="O655" s="282"/>
      <c r="P655" s="282"/>
      <c r="Q655" s="282"/>
      <c r="R655" s="282"/>
      <c r="S655" s="282"/>
      <c r="T655" s="282"/>
      <c r="U655" s="282"/>
      <c r="V655" s="298"/>
      <c r="W655" s="298"/>
      <c r="X655" s="298"/>
      <c r="Y655" s="298"/>
      <c r="Z655" s="298"/>
      <c r="AA655" s="298"/>
      <c r="AB655" s="298"/>
      <c r="AC655" s="298"/>
      <c r="AD655" s="298"/>
      <c r="AE655" s="298"/>
      <c r="AF655" s="298"/>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row>
    <row r="656">
      <c r="A656" s="304"/>
      <c r="B656" s="282"/>
      <c r="C656" s="282"/>
      <c r="D656" s="282"/>
      <c r="E656" s="282"/>
      <c r="F656" s="282"/>
      <c r="G656" s="282"/>
      <c r="H656" s="282"/>
      <c r="I656" s="282"/>
      <c r="J656" s="282"/>
      <c r="K656" s="282"/>
      <c r="L656" s="282"/>
      <c r="M656" s="282"/>
      <c r="N656" s="282"/>
      <c r="O656" s="282"/>
      <c r="P656" s="282"/>
      <c r="Q656" s="282"/>
      <c r="R656" s="282"/>
      <c r="S656" s="282"/>
      <c r="T656" s="282"/>
      <c r="U656" s="282"/>
      <c r="V656" s="298"/>
      <c r="W656" s="298"/>
      <c r="X656" s="298"/>
      <c r="Y656" s="298"/>
      <c r="Z656" s="298"/>
      <c r="AA656" s="298"/>
      <c r="AB656" s="298"/>
      <c r="AC656" s="298"/>
      <c r="AD656" s="298"/>
      <c r="AE656" s="298"/>
      <c r="AF656" s="298"/>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row>
    <row r="657">
      <c r="A657" s="304"/>
      <c r="B657" s="282"/>
      <c r="C657" s="282"/>
      <c r="D657" s="282"/>
      <c r="E657" s="282"/>
      <c r="F657" s="282"/>
      <c r="G657" s="282"/>
      <c r="H657" s="282"/>
      <c r="I657" s="282"/>
      <c r="J657" s="282"/>
      <c r="K657" s="282"/>
      <c r="L657" s="282"/>
      <c r="M657" s="282"/>
      <c r="N657" s="282"/>
      <c r="O657" s="282"/>
      <c r="P657" s="282"/>
      <c r="Q657" s="282"/>
      <c r="R657" s="282"/>
      <c r="S657" s="282"/>
      <c r="T657" s="282"/>
      <c r="U657" s="282"/>
      <c r="V657" s="298"/>
      <c r="W657" s="298"/>
      <c r="X657" s="298"/>
      <c r="Y657" s="298"/>
      <c r="Z657" s="298"/>
      <c r="AA657" s="298"/>
      <c r="AB657" s="298"/>
      <c r="AC657" s="298"/>
      <c r="AD657" s="298"/>
      <c r="AE657" s="298"/>
      <c r="AF657" s="298"/>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row>
    <row r="658">
      <c r="A658" s="304"/>
      <c r="B658" s="282"/>
      <c r="C658" s="282"/>
      <c r="D658" s="282"/>
      <c r="E658" s="282"/>
      <c r="F658" s="282"/>
      <c r="G658" s="282"/>
      <c r="H658" s="282"/>
      <c r="I658" s="282"/>
      <c r="J658" s="282"/>
      <c r="K658" s="282"/>
      <c r="L658" s="282"/>
      <c r="M658" s="282"/>
      <c r="N658" s="282"/>
      <c r="O658" s="282"/>
      <c r="P658" s="282"/>
      <c r="Q658" s="282"/>
      <c r="R658" s="282"/>
      <c r="S658" s="282"/>
      <c r="T658" s="282"/>
      <c r="U658" s="282"/>
      <c r="V658" s="298"/>
      <c r="W658" s="298"/>
      <c r="X658" s="298"/>
      <c r="Y658" s="298"/>
      <c r="Z658" s="298"/>
      <c r="AA658" s="298"/>
      <c r="AB658" s="298"/>
      <c r="AC658" s="298"/>
      <c r="AD658" s="298"/>
      <c r="AE658" s="298"/>
      <c r="AF658" s="298"/>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row>
    <row r="659">
      <c r="A659" s="304"/>
      <c r="B659" s="282"/>
      <c r="C659" s="282"/>
      <c r="D659" s="282"/>
      <c r="E659" s="282"/>
      <c r="F659" s="282"/>
      <c r="G659" s="282"/>
      <c r="H659" s="282"/>
      <c r="I659" s="282"/>
      <c r="J659" s="282"/>
      <c r="K659" s="282"/>
      <c r="L659" s="282"/>
      <c r="M659" s="282"/>
      <c r="N659" s="282"/>
      <c r="O659" s="282"/>
      <c r="P659" s="282"/>
      <c r="Q659" s="282"/>
      <c r="R659" s="282"/>
      <c r="S659" s="282"/>
      <c r="T659" s="282"/>
      <c r="U659" s="282"/>
      <c r="V659" s="298"/>
      <c r="W659" s="298"/>
      <c r="X659" s="298"/>
      <c r="Y659" s="298"/>
      <c r="Z659" s="298"/>
      <c r="AA659" s="298"/>
      <c r="AB659" s="298"/>
      <c r="AC659" s="298"/>
      <c r="AD659" s="298"/>
      <c r="AE659" s="298"/>
      <c r="AF659" s="298"/>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row>
    <row r="660">
      <c r="A660" s="304"/>
      <c r="B660" s="282"/>
      <c r="C660" s="282"/>
      <c r="D660" s="282"/>
      <c r="E660" s="282"/>
      <c r="F660" s="282"/>
      <c r="G660" s="282"/>
      <c r="H660" s="282"/>
      <c r="I660" s="282"/>
      <c r="J660" s="282"/>
      <c r="K660" s="282"/>
      <c r="L660" s="282"/>
      <c r="M660" s="282"/>
      <c r="N660" s="282"/>
      <c r="O660" s="282"/>
      <c r="P660" s="282"/>
      <c r="Q660" s="282"/>
      <c r="R660" s="282"/>
      <c r="S660" s="282"/>
      <c r="T660" s="282"/>
      <c r="U660" s="282"/>
      <c r="V660" s="298"/>
      <c r="W660" s="298"/>
      <c r="X660" s="298"/>
      <c r="Y660" s="298"/>
      <c r="Z660" s="298"/>
      <c r="AA660" s="298"/>
      <c r="AB660" s="298"/>
      <c r="AC660" s="298"/>
      <c r="AD660" s="298"/>
      <c r="AE660" s="298"/>
      <c r="AF660" s="298"/>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row>
    <row r="661">
      <c r="A661" s="304"/>
      <c r="B661" s="282"/>
      <c r="C661" s="282"/>
      <c r="D661" s="282"/>
      <c r="E661" s="282"/>
      <c r="F661" s="282"/>
      <c r="G661" s="282"/>
      <c r="H661" s="282"/>
      <c r="I661" s="282"/>
      <c r="J661" s="282"/>
      <c r="K661" s="282"/>
      <c r="L661" s="282"/>
      <c r="M661" s="282"/>
      <c r="N661" s="282"/>
      <c r="O661" s="282"/>
      <c r="P661" s="282"/>
      <c r="Q661" s="282"/>
      <c r="R661" s="282"/>
      <c r="S661" s="282"/>
      <c r="T661" s="282"/>
      <c r="U661" s="282"/>
      <c r="V661" s="298"/>
      <c r="W661" s="298"/>
      <c r="X661" s="298"/>
      <c r="Y661" s="298"/>
      <c r="Z661" s="298"/>
      <c r="AA661" s="298"/>
      <c r="AB661" s="298"/>
      <c r="AC661" s="298"/>
      <c r="AD661" s="298"/>
      <c r="AE661" s="298"/>
      <c r="AF661" s="298"/>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row>
    <row r="662">
      <c r="A662" s="304"/>
      <c r="B662" s="282"/>
      <c r="C662" s="282"/>
      <c r="D662" s="282"/>
      <c r="E662" s="282"/>
      <c r="F662" s="282"/>
      <c r="G662" s="282"/>
      <c r="H662" s="282"/>
      <c r="I662" s="282"/>
      <c r="J662" s="282"/>
      <c r="K662" s="282"/>
      <c r="L662" s="282"/>
      <c r="M662" s="282"/>
      <c r="N662" s="282"/>
      <c r="O662" s="282"/>
      <c r="P662" s="282"/>
      <c r="Q662" s="282"/>
      <c r="R662" s="282"/>
      <c r="S662" s="282"/>
      <c r="T662" s="282"/>
      <c r="U662" s="282"/>
      <c r="V662" s="298"/>
      <c r="W662" s="298"/>
      <c r="X662" s="298"/>
      <c r="Y662" s="298"/>
      <c r="Z662" s="298"/>
      <c r="AA662" s="298"/>
      <c r="AB662" s="298"/>
      <c r="AC662" s="298"/>
      <c r="AD662" s="298"/>
      <c r="AE662" s="298"/>
      <c r="AF662" s="298"/>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row>
    <row r="663">
      <c r="A663" s="304"/>
      <c r="B663" s="282"/>
      <c r="C663" s="282"/>
      <c r="D663" s="282"/>
      <c r="E663" s="282"/>
      <c r="F663" s="282"/>
      <c r="G663" s="282"/>
      <c r="H663" s="282"/>
      <c r="I663" s="282"/>
      <c r="J663" s="282"/>
      <c r="K663" s="282"/>
      <c r="L663" s="282"/>
      <c r="M663" s="282"/>
      <c r="N663" s="282"/>
      <c r="O663" s="282"/>
      <c r="P663" s="282"/>
      <c r="Q663" s="282"/>
      <c r="R663" s="282"/>
      <c r="S663" s="282"/>
      <c r="T663" s="282"/>
      <c r="U663" s="282"/>
      <c r="V663" s="298"/>
      <c r="W663" s="298"/>
      <c r="X663" s="298"/>
      <c r="Y663" s="298"/>
      <c r="Z663" s="298"/>
      <c r="AA663" s="298"/>
      <c r="AB663" s="298"/>
      <c r="AC663" s="298"/>
      <c r="AD663" s="298"/>
      <c r="AE663" s="298"/>
      <c r="AF663" s="298"/>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row>
    <row r="664">
      <c r="A664" s="304"/>
      <c r="B664" s="282"/>
      <c r="C664" s="282"/>
      <c r="D664" s="282"/>
      <c r="E664" s="282"/>
      <c r="F664" s="282"/>
      <c r="G664" s="282"/>
      <c r="H664" s="282"/>
      <c r="I664" s="282"/>
      <c r="J664" s="282"/>
      <c r="K664" s="282"/>
      <c r="L664" s="282"/>
      <c r="M664" s="282"/>
      <c r="N664" s="282"/>
      <c r="O664" s="282"/>
      <c r="P664" s="282"/>
      <c r="Q664" s="282"/>
      <c r="R664" s="282"/>
      <c r="S664" s="282"/>
      <c r="T664" s="282"/>
      <c r="U664" s="282"/>
      <c r="V664" s="298"/>
      <c r="W664" s="298"/>
      <c r="X664" s="298"/>
      <c r="Y664" s="298"/>
      <c r="Z664" s="298"/>
      <c r="AA664" s="298"/>
      <c r="AB664" s="298"/>
      <c r="AC664" s="298"/>
      <c r="AD664" s="298"/>
      <c r="AE664" s="298"/>
      <c r="AF664" s="298"/>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row>
    <row r="665">
      <c r="A665" s="304"/>
      <c r="B665" s="282"/>
      <c r="C665" s="282"/>
      <c r="D665" s="282"/>
      <c r="E665" s="282"/>
      <c r="F665" s="282"/>
      <c r="G665" s="282"/>
      <c r="H665" s="282"/>
      <c r="I665" s="282"/>
      <c r="J665" s="282"/>
      <c r="K665" s="282"/>
      <c r="L665" s="282"/>
      <c r="M665" s="282"/>
      <c r="N665" s="282"/>
      <c r="O665" s="282"/>
      <c r="P665" s="282"/>
      <c r="Q665" s="282"/>
      <c r="R665" s="282"/>
      <c r="S665" s="282"/>
      <c r="T665" s="282"/>
      <c r="U665" s="282"/>
      <c r="V665" s="298"/>
      <c r="W665" s="298"/>
      <c r="X665" s="298"/>
      <c r="Y665" s="298"/>
      <c r="Z665" s="298"/>
      <c r="AA665" s="298"/>
      <c r="AB665" s="298"/>
      <c r="AC665" s="298"/>
      <c r="AD665" s="298"/>
      <c r="AE665" s="298"/>
      <c r="AF665" s="298"/>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row>
    <row r="666">
      <c r="A666" s="304"/>
      <c r="B666" s="282"/>
      <c r="C666" s="282"/>
      <c r="D666" s="282"/>
      <c r="E666" s="282"/>
      <c r="F666" s="282"/>
      <c r="G666" s="282"/>
      <c r="H666" s="282"/>
      <c r="I666" s="282"/>
      <c r="J666" s="282"/>
      <c r="K666" s="282"/>
      <c r="L666" s="282"/>
      <c r="M666" s="282"/>
      <c r="N666" s="282"/>
      <c r="O666" s="282"/>
      <c r="P666" s="282"/>
      <c r="Q666" s="282"/>
      <c r="R666" s="282"/>
      <c r="S666" s="282"/>
      <c r="T666" s="282"/>
      <c r="U666" s="282"/>
      <c r="V666" s="298"/>
      <c r="W666" s="298"/>
      <c r="X666" s="298"/>
      <c r="Y666" s="298"/>
      <c r="Z666" s="298"/>
      <c r="AA666" s="298"/>
      <c r="AB666" s="298"/>
      <c r="AC666" s="298"/>
      <c r="AD666" s="298"/>
      <c r="AE666" s="298"/>
      <c r="AF666" s="298"/>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row>
    <row r="667">
      <c r="A667" s="304"/>
      <c r="B667" s="282"/>
      <c r="C667" s="282"/>
      <c r="D667" s="282"/>
      <c r="E667" s="282"/>
      <c r="F667" s="282"/>
      <c r="G667" s="282"/>
      <c r="H667" s="282"/>
      <c r="I667" s="282"/>
      <c r="J667" s="282"/>
      <c r="K667" s="282"/>
      <c r="L667" s="282"/>
      <c r="M667" s="282"/>
      <c r="N667" s="282"/>
      <c r="O667" s="282"/>
      <c r="P667" s="282"/>
      <c r="Q667" s="282"/>
      <c r="R667" s="282"/>
      <c r="S667" s="282"/>
      <c r="T667" s="282"/>
      <c r="U667" s="282"/>
      <c r="V667" s="298"/>
      <c r="W667" s="298"/>
      <c r="X667" s="298"/>
      <c r="Y667" s="298"/>
      <c r="Z667" s="298"/>
      <c r="AA667" s="298"/>
      <c r="AB667" s="298"/>
      <c r="AC667" s="298"/>
      <c r="AD667" s="298"/>
      <c r="AE667" s="298"/>
      <c r="AF667" s="298"/>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row>
    <row r="668">
      <c r="A668" s="304"/>
      <c r="B668" s="282"/>
      <c r="C668" s="282"/>
      <c r="D668" s="282"/>
      <c r="E668" s="282"/>
      <c r="F668" s="282"/>
      <c r="G668" s="282"/>
      <c r="H668" s="282"/>
      <c r="I668" s="282"/>
      <c r="J668" s="282"/>
      <c r="K668" s="282"/>
      <c r="L668" s="282"/>
      <c r="M668" s="282"/>
      <c r="N668" s="282"/>
      <c r="O668" s="282"/>
      <c r="P668" s="282"/>
      <c r="Q668" s="282"/>
      <c r="R668" s="282"/>
      <c r="S668" s="282"/>
      <c r="T668" s="282"/>
      <c r="U668" s="282"/>
      <c r="V668" s="298"/>
      <c r="W668" s="298"/>
      <c r="X668" s="298"/>
      <c r="Y668" s="298"/>
      <c r="Z668" s="298"/>
      <c r="AA668" s="298"/>
      <c r="AB668" s="298"/>
      <c r="AC668" s="298"/>
      <c r="AD668" s="298"/>
      <c r="AE668" s="298"/>
      <c r="AF668" s="298"/>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row>
    <row r="669">
      <c r="A669" s="304"/>
      <c r="B669" s="282"/>
      <c r="C669" s="282"/>
      <c r="D669" s="282"/>
      <c r="E669" s="282"/>
      <c r="F669" s="282"/>
      <c r="G669" s="282"/>
      <c r="H669" s="282"/>
      <c r="I669" s="282"/>
      <c r="J669" s="282"/>
      <c r="K669" s="282"/>
      <c r="L669" s="282"/>
      <c r="M669" s="282"/>
      <c r="N669" s="282"/>
      <c r="O669" s="282"/>
      <c r="P669" s="282"/>
      <c r="Q669" s="282"/>
      <c r="R669" s="282"/>
      <c r="S669" s="282"/>
      <c r="T669" s="282"/>
      <c r="U669" s="282"/>
      <c r="V669" s="298"/>
      <c r="W669" s="298"/>
      <c r="X669" s="298"/>
      <c r="Y669" s="298"/>
      <c r="Z669" s="298"/>
      <c r="AA669" s="298"/>
      <c r="AB669" s="298"/>
      <c r="AC669" s="298"/>
      <c r="AD669" s="298"/>
      <c r="AE669" s="298"/>
      <c r="AF669" s="298"/>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row>
    <row r="670">
      <c r="A670" s="304"/>
      <c r="B670" s="282"/>
      <c r="C670" s="282"/>
      <c r="D670" s="282"/>
      <c r="E670" s="282"/>
      <c r="F670" s="282"/>
      <c r="G670" s="282"/>
      <c r="H670" s="282"/>
      <c r="I670" s="282"/>
      <c r="J670" s="282"/>
      <c r="K670" s="282"/>
      <c r="L670" s="282"/>
      <c r="M670" s="282"/>
      <c r="N670" s="282"/>
      <c r="O670" s="282"/>
      <c r="P670" s="282"/>
      <c r="Q670" s="282"/>
      <c r="R670" s="282"/>
      <c r="S670" s="282"/>
      <c r="T670" s="282"/>
      <c r="U670" s="282"/>
      <c r="V670" s="298"/>
      <c r="W670" s="298"/>
      <c r="X670" s="298"/>
      <c r="Y670" s="298"/>
      <c r="Z670" s="298"/>
      <c r="AA670" s="298"/>
      <c r="AB670" s="298"/>
      <c r="AC670" s="298"/>
      <c r="AD670" s="298"/>
      <c r="AE670" s="298"/>
      <c r="AF670" s="298"/>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row>
    <row r="671">
      <c r="A671" s="304"/>
      <c r="B671" s="282"/>
      <c r="C671" s="282"/>
      <c r="D671" s="282"/>
      <c r="E671" s="282"/>
      <c r="F671" s="282"/>
      <c r="G671" s="282"/>
      <c r="H671" s="282"/>
      <c r="I671" s="282"/>
      <c r="J671" s="282"/>
      <c r="K671" s="282"/>
      <c r="L671" s="282"/>
      <c r="M671" s="282"/>
      <c r="N671" s="282"/>
      <c r="O671" s="282"/>
      <c r="P671" s="282"/>
      <c r="Q671" s="282"/>
      <c r="R671" s="282"/>
      <c r="S671" s="282"/>
      <c r="T671" s="282"/>
      <c r="U671" s="282"/>
      <c r="V671" s="298"/>
      <c r="W671" s="298"/>
      <c r="X671" s="298"/>
      <c r="Y671" s="298"/>
      <c r="Z671" s="298"/>
      <c r="AA671" s="298"/>
      <c r="AB671" s="298"/>
      <c r="AC671" s="298"/>
      <c r="AD671" s="298"/>
      <c r="AE671" s="298"/>
      <c r="AF671" s="298"/>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row>
    <row r="672">
      <c r="A672" s="304"/>
      <c r="B672" s="282"/>
      <c r="C672" s="282"/>
      <c r="D672" s="282"/>
      <c r="E672" s="282"/>
      <c r="F672" s="282"/>
      <c r="G672" s="282"/>
      <c r="H672" s="282"/>
      <c r="I672" s="282"/>
      <c r="J672" s="282"/>
      <c r="K672" s="282"/>
      <c r="L672" s="282"/>
      <c r="M672" s="282"/>
      <c r="N672" s="282"/>
      <c r="O672" s="282"/>
      <c r="P672" s="282"/>
      <c r="Q672" s="282"/>
      <c r="R672" s="282"/>
      <c r="S672" s="282"/>
      <c r="T672" s="282"/>
      <c r="U672" s="282"/>
      <c r="V672" s="298"/>
      <c r="W672" s="298"/>
      <c r="X672" s="298"/>
      <c r="Y672" s="298"/>
      <c r="Z672" s="298"/>
      <c r="AA672" s="298"/>
      <c r="AB672" s="298"/>
      <c r="AC672" s="298"/>
      <c r="AD672" s="298"/>
      <c r="AE672" s="298"/>
      <c r="AF672" s="298"/>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row>
    <row r="673">
      <c r="A673" s="304"/>
      <c r="B673" s="282"/>
      <c r="C673" s="282"/>
      <c r="D673" s="282"/>
      <c r="E673" s="282"/>
      <c r="F673" s="282"/>
      <c r="G673" s="282"/>
      <c r="H673" s="282"/>
      <c r="I673" s="282"/>
      <c r="J673" s="282"/>
      <c r="K673" s="282"/>
      <c r="L673" s="282"/>
      <c r="M673" s="282"/>
      <c r="N673" s="282"/>
      <c r="O673" s="282"/>
      <c r="P673" s="282"/>
      <c r="Q673" s="282"/>
      <c r="R673" s="282"/>
      <c r="S673" s="282"/>
      <c r="T673" s="282"/>
      <c r="U673" s="282"/>
      <c r="V673" s="298"/>
      <c r="W673" s="298"/>
      <c r="X673" s="298"/>
      <c r="Y673" s="298"/>
      <c r="Z673" s="298"/>
      <c r="AA673" s="298"/>
      <c r="AB673" s="298"/>
      <c r="AC673" s="298"/>
      <c r="AD673" s="298"/>
      <c r="AE673" s="298"/>
      <c r="AF673" s="298"/>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row>
    <row r="674">
      <c r="A674" s="304"/>
      <c r="B674" s="282"/>
      <c r="C674" s="282"/>
      <c r="D674" s="282"/>
      <c r="E674" s="282"/>
      <c r="F674" s="282"/>
      <c r="G674" s="282"/>
      <c r="H674" s="282"/>
      <c r="I674" s="282"/>
      <c r="J674" s="282"/>
      <c r="K674" s="282"/>
      <c r="L674" s="282"/>
      <c r="M674" s="282"/>
      <c r="N674" s="282"/>
      <c r="O674" s="282"/>
      <c r="P674" s="282"/>
      <c r="Q674" s="282"/>
      <c r="R674" s="282"/>
      <c r="S674" s="282"/>
      <c r="T674" s="282"/>
      <c r="U674" s="282"/>
      <c r="V674" s="298"/>
      <c r="W674" s="298"/>
      <c r="X674" s="298"/>
      <c r="Y674" s="298"/>
      <c r="Z674" s="298"/>
      <c r="AA674" s="298"/>
      <c r="AB674" s="298"/>
      <c r="AC674" s="298"/>
      <c r="AD674" s="298"/>
      <c r="AE674" s="298"/>
      <c r="AF674" s="298"/>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row>
    <row r="675">
      <c r="A675" s="304"/>
      <c r="B675" s="282"/>
      <c r="C675" s="282"/>
      <c r="D675" s="282"/>
      <c r="E675" s="282"/>
      <c r="F675" s="282"/>
      <c r="G675" s="282"/>
      <c r="H675" s="282"/>
      <c r="I675" s="282"/>
      <c r="J675" s="282"/>
      <c r="K675" s="282"/>
      <c r="L675" s="282"/>
      <c r="M675" s="282"/>
      <c r="N675" s="282"/>
      <c r="O675" s="282"/>
      <c r="P675" s="282"/>
      <c r="Q675" s="282"/>
      <c r="R675" s="282"/>
      <c r="S675" s="282"/>
      <c r="T675" s="282"/>
      <c r="U675" s="282"/>
      <c r="V675" s="298"/>
      <c r="W675" s="298"/>
      <c r="X675" s="298"/>
      <c r="Y675" s="298"/>
      <c r="Z675" s="298"/>
      <c r="AA675" s="298"/>
      <c r="AB675" s="298"/>
      <c r="AC675" s="298"/>
      <c r="AD675" s="298"/>
      <c r="AE675" s="298"/>
      <c r="AF675" s="298"/>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row>
    <row r="676">
      <c r="A676" s="304"/>
      <c r="B676" s="282"/>
      <c r="C676" s="282"/>
      <c r="D676" s="282"/>
      <c r="E676" s="282"/>
      <c r="F676" s="282"/>
      <c r="G676" s="282"/>
      <c r="H676" s="282"/>
      <c r="I676" s="282"/>
      <c r="J676" s="282"/>
      <c r="K676" s="282"/>
      <c r="L676" s="282"/>
      <c r="M676" s="282"/>
      <c r="N676" s="282"/>
      <c r="O676" s="282"/>
      <c r="P676" s="282"/>
      <c r="Q676" s="282"/>
      <c r="R676" s="282"/>
      <c r="S676" s="282"/>
      <c r="T676" s="282"/>
      <c r="U676" s="282"/>
      <c r="V676" s="298"/>
      <c r="W676" s="298"/>
      <c r="X676" s="298"/>
      <c r="Y676" s="298"/>
      <c r="Z676" s="298"/>
      <c r="AA676" s="298"/>
      <c r="AB676" s="298"/>
      <c r="AC676" s="298"/>
      <c r="AD676" s="298"/>
      <c r="AE676" s="298"/>
      <c r="AF676" s="298"/>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row>
    <row r="677">
      <c r="A677" s="304"/>
      <c r="B677" s="282"/>
      <c r="C677" s="282"/>
      <c r="D677" s="282"/>
      <c r="E677" s="282"/>
      <c r="F677" s="282"/>
      <c r="G677" s="282"/>
      <c r="H677" s="282"/>
      <c r="I677" s="282"/>
      <c r="J677" s="282"/>
      <c r="K677" s="282"/>
      <c r="L677" s="282"/>
      <c r="M677" s="282"/>
      <c r="N677" s="282"/>
      <c r="O677" s="282"/>
      <c r="P677" s="282"/>
      <c r="Q677" s="282"/>
      <c r="R677" s="282"/>
      <c r="S677" s="282"/>
      <c r="T677" s="282"/>
      <c r="U677" s="282"/>
      <c r="V677" s="298"/>
      <c r="W677" s="298"/>
      <c r="X677" s="298"/>
      <c r="Y677" s="298"/>
      <c r="Z677" s="298"/>
      <c r="AA677" s="298"/>
      <c r="AB677" s="298"/>
      <c r="AC677" s="298"/>
      <c r="AD677" s="298"/>
      <c r="AE677" s="298"/>
      <c r="AF677" s="298"/>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row>
    <row r="678">
      <c r="A678" s="304"/>
      <c r="B678" s="282"/>
      <c r="C678" s="282"/>
      <c r="D678" s="282"/>
      <c r="E678" s="282"/>
      <c r="F678" s="282"/>
      <c r="G678" s="282"/>
      <c r="H678" s="282"/>
      <c r="I678" s="282"/>
      <c r="J678" s="282"/>
      <c r="K678" s="282"/>
      <c r="L678" s="282"/>
      <c r="M678" s="282"/>
      <c r="N678" s="282"/>
      <c r="O678" s="282"/>
      <c r="P678" s="282"/>
      <c r="Q678" s="282"/>
      <c r="R678" s="282"/>
      <c r="S678" s="282"/>
      <c r="T678" s="282"/>
      <c r="U678" s="282"/>
      <c r="V678" s="298"/>
      <c r="W678" s="298"/>
      <c r="X678" s="298"/>
      <c r="Y678" s="298"/>
      <c r="Z678" s="298"/>
      <c r="AA678" s="298"/>
      <c r="AB678" s="298"/>
      <c r="AC678" s="298"/>
      <c r="AD678" s="298"/>
      <c r="AE678" s="298"/>
      <c r="AF678" s="298"/>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row>
    <row r="679">
      <c r="A679" s="304"/>
      <c r="B679" s="282"/>
      <c r="C679" s="282"/>
      <c r="D679" s="282"/>
      <c r="E679" s="282"/>
      <c r="F679" s="282"/>
      <c r="G679" s="282"/>
      <c r="H679" s="282"/>
      <c r="I679" s="282"/>
      <c r="J679" s="282"/>
      <c r="K679" s="282"/>
      <c r="L679" s="282"/>
      <c r="M679" s="282"/>
      <c r="N679" s="282"/>
      <c r="O679" s="282"/>
      <c r="P679" s="282"/>
      <c r="Q679" s="282"/>
      <c r="R679" s="282"/>
      <c r="S679" s="282"/>
      <c r="T679" s="282"/>
      <c r="U679" s="282"/>
      <c r="V679" s="298"/>
      <c r="W679" s="298"/>
      <c r="X679" s="298"/>
      <c r="Y679" s="298"/>
      <c r="Z679" s="298"/>
      <c r="AA679" s="298"/>
      <c r="AB679" s="298"/>
      <c r="AC679" s="298"/>
      <c r="AD679" s="298"/>
      <c r="AE679" s="298"/>
      <c r="AF679" s="298"/>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row>
    <row r="680">
      <c r="A680" s="304"/>
      <c r="B680" s="282"/>
      <c r="C680" s="282"/>
      <c r="D680" s="282"/>
      <c r="E680" s="282"/>
      <c r="F680" s="282"/>
      <c r="G680" s="282"/>
      <c r="H680" s="282"/>
      <c r="I680" s="282"/>
      <c r="J680" s="282"/>
      <c r="K680" s="282"/>
      <c r="L680" s="282"/>
      <c r="M680" s="282"/>
      <c r="N680" s="282"/>
      <c r="O680" s="282"/>
      <c r="P680" s="282"/>
      <c r="Q680" s="282"/>
      <c r="R680" s="282"/>
      <c r="S680" s="282"/>
      <c r="T680" s="282"/>
      <c r="U680" s="282"/>
      <c r="V680" s="298"/>
      <c r="W680" s="298"/>
      <c r="X680" s="298"/>
      <c r="Y680" s="298"/>
      <c r="Z680" s="298"/>
      <c r="AA680" s="298"/>
      <c r="AB680" s="298"/>
      <c r="AC680" s="298"/>
      <c r="AD680" s="298"/>
      <c r="AE680" s="298"/>
      <c r="AF680" s="298"/>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row>
    <row r="681">
      <c r="A681" s="304"/>
      <c r="B681" s="282"/>
      <c r="C681" s="282"/>
      <c r="D681" s="282"/>
      <c r="E681" s="282"/>
      <c r="F681" s="282"/>
      <c r="G681" s="282"/>
      <c r="H681" s="282"/>
      <c r="I681" s="282"/>
      <c r="J681" s="282"/>
      <c r="K681" s="282"/>
      <c r="L681" s="282"/>
      <c r="M681" s="282"/>
      <c r="N681" s="282"/>
      <c r="O681" s="282"/>
      <c r="P681" s="282"/>
      <c r="Q681" s="282"/>
      <c r="R681" s="282"/>
      <c r="S681" s="282"/>
      <c r="T681" s="282"/>
      <c r="U681" s="282"/>
      <c r="V681" s="298"/>
      <c r="W681" s="298"/>
      <c r="X681" s="298"/>
      <c r="Y681" s="298"/>
      <c r="Z681" s="298"/>
      <c r="AA681" s="298"/>
      <c r="AB681" s="298"/>
      <c r="AC681" s="298"/>
      <c r="AD681" s="298"/>
      <c r="AE681" s="298"/>
      <c r="AF681" s="298"/>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row>
    <row r="682">
      <c r="A682" s="304"/>
      <c r="B682" s="282"/>
      <c r="C682" s="282"/>
      <c r="D682" s="282"/>
      <c r="E682" s="282"/>
      <c r="F682" s="282"/>
      <c r="G682" s="282"/>
      <c r="H682" s="282"/>
      <c r="I682" s="282"/>
      <c r="J682" s="282"/>
      <c r="K682" s="282"/>
      <c r="L682" s="282"/>
      <c r="M682" s="282"/>
      <c r="N682" s="282"/>
      <c r="O682" s="282"/>
      <c r="P682" s="282"/>
      <c r="Q682" s="282"/>
      <c r="R682" s="282"/>
      <c r="S682" s="282"/>
      <c r="T682" s="282"/>
      <c r="U682" s="282"/>
      <c r="V682" s="298"/>
      <c r="W682" s="298"/>
      <c r="X682" s="298"/>
      <c r="Y682" s="298"/>
      <c r="Z682" s="298"/>
      <c r="AA682" s="298"/>
      <c r="AB682" s="298"/>
      <c r="AC682" s="298"/>
      <c r="AD682" s="298"/>
      <c r="AE682" s="298"/>
      <c r="AF682" s="298"/>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row>
    <row r="683">
      <c r="A683" s="304"/>
      <c r="B683" s="282"/>
      <c r="C683" s="282"/>
      <c r="D683" s="282"/>
      <c r="E683" s="282"/>
      <c r="F683" s="282"/>
      <c r="G683" s="282"/>
      <c r="H683" s="282"/>
      <c r="I683" s="282"/>
      <c r="J683" s="282"/>
      <c r="K683" s="282"/>
      <c r="L683" s="282"/>
      <c r="M683" s="282"/>
      <c r="N683" s="282"/>
      <c r="O683" s="282"/>
      <c r="P683" s="282"/>
      <c r="Q683" s="282"/>
      <c r="R683" s="282"/>
      <c r="S683" s="282"/>
      <c r="T683" s="282"/>
      <c r="U683" s="282"/>
      <c r="V683" s="298"/>
      <c r="W683" s="298"/>
      <c r="X683" s="298"/>
      <c r="Y683" s="298"/>
      <c r="Z683" s="298"/>
      <c r="AA683" s="298"/>
      <c r="AB683" s="298"/>
      <c r="AC683" s="298"/>
      <c r="AD683" s="298"/>
      <c r="AE683" s="298"/>
      <c r="AF683" s="298"/>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row>
    <row r="684">
      <c r="A684" s="304"/>
      <c r="B684" s="282"/>
      <c r="C684" s="282"/>
      <c r="D684" s="282"/>
      <c r="E684" s="282"/>
      <c r="F684" s="282"/>
      <c r="G684" s="282"/>
      <c r="H684" s="282"/>
      <c r="I684" s="282"/>
      <c r="J684" s="282"/>
      <c r="K684" s="282"/>
      <c r="L684" s="282"/>
      <c r="M684" s="282"/>
      <c r="N684" s="282"/>
      <c r="O684" s="282"/>
      <c r="P684" s="282"/>
      <c r="Q684" s="282"/>
      <c r="R684" s="282"/>
      <c r="S684" s="282"/>
      <c r="T684" s="282"/>
      <c r="U684" s="282"/>
      <c r="V684" s="298"/>
      <c r="W684" s="298"/>
      <c r="X684" s="298"/>
      <c r="Y684" s="298"/>
      <c r="Z684" s="298"/>
      <c r="AA684" s="298"/>
      <c r="AB684" s="298"/>
      <c r="AC684" s="298"/>
      <c r="AD684" s="298"/>
      <c r="AE684" s="298"/>
      <c r="AF684" s="298"/>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row>
    <row r="685">
      <c r="A685" s="304"/>
      <c r="B685" s="282"/>
      <c r="C685" s="282"/>
      <c r="D685" s="282"/>
      <c r="E685" s="282"/>
      <c r="F685" s="282"/>
      <c r="G685" s="282"/>
      <c r="H685" s="282"/>
      <c r="I685" s="282"/>
      <c r="J685" s="282"/>
      <c r="K685" s="282"/>
      <c r="L685" s="282"/>
      <c r="M685" s="282"/>
      <c r="N685" s="282"/>
      <c r="O685" s="282"/>
      <c r="P685" s="282"/>
      <c r="Q685" s="282"/>
      <c r="R685" s="282"/>
      <c r="S685" s="282"/>
      <c r="T685" s="282"/>
      <c r="U685" s="282"/>
      <c r="V685" s="298"/>
      <c r="W685" s="298"/>
      <c r="X685" s="298"/>
      <c r="Y685" s="298"/>
      <c r="Z685" s="298"/>
      <c r="AA685" s="298"/>
      <c r="AB685" s="298"/>
      <c r="AC685" s="298"/>
      <c r="AD685" s="298"/>
      <c r="AE685" s="298"/>
      <c r="AF685" s="298"/>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row>
    <row r="686">
      <c r="A686" s="304"/>
      <c r="B686" s="282"/>
      <c r="C686" s="282"/>
      <c r="D686" s="282"/>
      <c r="E686" s="282"/>
      <c r="F686" s="282"/>
      <c r="G686" s="282"/>
      <c r="H686" s="282"/>
      <c r="I686" s="282"/>
      <c r="J686" s="282"/>
      <c r="K686" s="282"/>
      <c r="L686" s="282"/>
      <c r="M686" s="282"/>
      <c r="N686" s="282"/>
      <c r="O686" s="282"/>
      <c r="P686" s="282"/>
      <c r="Q686" s="282"/>
      <c r="R686" s="282"/>
      <c r="S686" s="282"/>
      <c r="T686" s="282"/>
      <c r="U686" s="282"/>
      <c r="V686" s="298"/>
      <c r="W686" s="298"/>
      <c r="X686" s="298"/>
      <c r="Y686" s="298"/>
      <c r="Z686" s="298"/>
      <c r="AA686" s="298"/>
      <c r="AB686" s="298"/>
      <c r="AC686" s="298"/>
      <c r="AD686" s="298"/>
      <c r="AE686" s="298"/>
      <c r="AF686" s="298"/>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row>
    <row r="687">
      <c r="A687" s="304"/>
      <c r="B687" s="282"/>
      <c r="C687" s="282"/>
      <c r="D687" s="282"/>
      <c r="E687" s="282"/>
      <c r="F687" s="282"/>
      <c r="G687" s="282"/>
      <c r="H687" s="282"/>
      <c r="I687" s="282"/>
      <c r="J687" s="282"/>
      <c r="K687" s="282"/>
      <c r="L687" s="282"/>
      <c r="M687" s="282"/>
      <c r="N687" s="282"/>
      <c r="O687" s="282"/>
      <c r="P687" s="282"/>
      <c r="Q687" s="282"/>
      <c r="R687" s="282"/>
      <c r="S687" s="282"/>
      <c r="T687" s="282"/>
      <c r="U687" s="282"/>
      <c r="V687" s="298"/>
      <c r="W687" s="298"/>
      <c r="X687" s="298"/>
      <c r="Y687" s="298"/>
      <c r="Z687" s="298"/>
      <c r="AA687" s="298"/>
      <c r="AB687" s="298"/>
      <c r="AC687" s="298"/>
      <c r="AD687" s="298"/>
      <c r="AE687" s="298"/>
      <c r="AF687" s="298"/>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row>
    <row r="688">
      <c r="A688" s="304"/>
      <c r="B688" s="282"/>
      <c r="C688" s="282"/>
      <c r="D688" s="282"/>
      <c r="E688" s="282"/>
      <c r="F688" s="282"/>
      <c r="G688" s="282"/>
      <c r="H688" s="282"/>
      <c r="I688" s="282"/>
      <c r="J688" s="282"/>
      <c r="K688" s="282"/>
      <c r="L688" s="282"/>
      <c r="M688" s="282"/>
      <c r="N688" s="282"/>
      <c r="O688" s="282"/>
      <c r="P688" s="282"/>
      <c r="Q688" s="282"/>
      <c r="R688" s="282"/>
      <c r="S688" s="282"/>
      <c r="T688" s="282"/>
      <c r="U688" s="282"/>
      <c r="V688" s="298"/>
      <c r="W688" s="298"/>
      <c r="X688" s="298"/>
      <c r="Y688" s="298"/>
      <c r="Z688" s="298"/>
      <c r="AA688" s="298"/>
      <c r="AB688" s="298"/>
      <c r="AC688" s="298"/>
      <c r="AD688" s="298"/>
      <c r="AE688" s="298"/>
      <c r="AF688" s="298"/>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row>
    <row r="689">
      <c r="A689" s="304"/>
      <c r="B689" s="282"/>
      <c r="C689" s="282"/>
      <c r="D689" s="282"/>
      <c r="E689" s="282"/>
      <c r="F689" s="282"/>
      <c r="G689" s="282"/>
      <c r="H689" s="282"/>
      <c r="I689" s="282"/>
      <c r="J689" s="282"/>
      <c r="K689" s="282"/>
      <c r="L689" s="282"/>
      <c r="M689" s="282"/>
      <c r="N689" s="282"/>
      <c r="O689" s="282"/>
      <c r="P689" s="282"/>
      <c r="Q689" s="282"/>
      <c r="R689" s="282"/>
      <c r="S689" s="282"/>
      <c r="T689" s="282"/>
      <c r="U689" s="282"/>
      <c r="V689" s="298"/>
      <c r="W689" s="298"/>
      <c r="X689" s="298"/>
      <c r="Y689" s="298"/>
      <c r="Z689" s="298"/>
      <c r="AA689" s="298"/>
      <c r="AB689" s="298"/>
      <c r="AC689" s="298"/>
      <c r="AD689" s="298"/>
      <c r="AE689" s="298"/>
      <c r="AF689" s="298"/>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row>
    <row r="690">
      <c r="A690" s="304"/>
      <c r="B690" s="282"/>
      <c r="C690" s="282"/>
      <c r="D690" s="282"/>
      <c r="E690" s="282"/>
      <c r="F690" s="282"/>
      <c r="G690" s="282"/>
      <c r="H690" s="282"/>
      <c r="I690" s="282"/>
      <c r="J690" s="282"/>
      <c r="K690" s="282"/>
      <c r="L690" s="282"/>
      <c r="M690" s="282"/>
      <c r="N690" s="282"/>
      <c r="O690" s="282"/>
      <c r="P690" s="282"/>
      <c r="Q690" s="282"/>
      <c r="R690" s="282"/>
      <c r="S690" s="282"/>
      <c r="T690" s="282"/>
      <c r="U690" s="282"/>
      <c r="V690" s="298"/>
      <c r="W690" s="298"/>
      <c r="X690" s="298"/>
      <c r="Y690" s="298"/>
      <c r="Z690" s="298"/>
      <c r="AA690" s="298"/>
      <c r="AB690" s="298"/>
      <c r="AC690" s="298"/>
      <c r="AD690" s="298"/>
      <c r="AE690" s="298"/>
      <c r="AF690" s="298"/>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row>
    <row r="691">
      <c r="A691" s="304"/>
      <c r="B691" s="282"/>
      <c r="C691" s="282"/>
      <c r="D691" s="282"/>
      <c r="E691" s="282"/>
      <c r="F691" s="282"/>
      <c r="G691" s="282"/>
      <c r="H691" s="282"/>
      <c r="I691" s="282"/>
      <c r="J691" s="282"/>
      <c r="K691" s="282"/>
      <c r="L691" s="282"/>
      <c r="M691" s="282"/>
      <c r="N691" s="282"/>
      <c r="O691" s="282"/>
      <c r="P691" s="282"/>
      <c r="Q691" s="282"/>
      <c r="R691" s="282"/>
      <c r="S691" s="282"/>
      <c r="T691" s="282"/>
      <c r="U691" s="282"/>
      <c r="V691" s="298"/>
      <c r="W691" s="298"/>
      <c r="X691" s="298"/>
      <c r="Y691" s="298"/>
      <c r="Z691" s="298"/>
      <c r="AA691" s="298"/>
      <c r="AB691" s="298"/>
      <c r="AC691" s="298"/>
      <c r="AD691" s="298"/>
      <c r="AE691" s="298"/>
      <c r="AF691" s="298"/>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row>
    <row r="692">
      <c r="A692" s="304"/>
      <c r="B692" s="282"/>
      <c r="C692" s="282"/>
      <c r="D692" s="282"/>
      <c r="E692" s="282"/>
      <c r="F692" s="282"/>
      <c r="G692" s="282"/>
      <c r="H692" s="282"/>
      <c r="I692" s="282"/>
      <c r="J692" s="282"/>
      <c r="K692" s="282"/>
      <c r="L692" s="282"/>
      <c r="M692" s="282"/>
      <c r="N692" s="282"/>
      <c r="O692" s="282"/>
      <c r="P692" s="282"/>
      <c r="Q692" s="282"/>
      <c r="R692" s="282"/>
      <c r="S692" s="282"/>
      <c r="T692" s="282"/>
      <c r="U692" s="282"/>
      <c r="V692" s="298"/>
      <c r="W692" s="298"/>
      <c r="X692" s="298"/>
      <c r="Y692" s="298"/>
      <c r="Z692" s="298"/>
      <c r="AA692" s="298"/>
      <c r="AB692" s="298"/>
      <c r="AC692" s="298"/>
      <c r="AD692" s="298"/>
      <c r="AE692" s="298"/>
      <c r="AF692" s="298"/>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row>
    <row r="693">
      <c r="A693" s="304"/>
      <c r="B693" s="282"/>
      <c r="C693" s="282"/>
      <c r="D693" s="282"/>
      <c r="E693" s="282"/>
      <c r="F693" s="282"/>
      <c r="G693" s="282"/>
      <c r="H693" s="282"/>
      <c r="I693" s="282"/>
      <c r="J693" s="282"/>
      <c r="K693" s="282"/>
      <c r="L693" s="282"/>
      <c r="M693" s="282"/>
      <c r="N693" s="282"/>
      <c r="O693" s="282"/>
      <c r="P693" s="282"/>
      <c r="Q693" s="282"/>
      <c r="R693" s="282"/>
      <c r="S693" s="282"/>
      <c r="T693" s="282"/>
      <c r="U693" s="282"/>
      <c r="V693" s="298"/>
      <c r="W693" s="298"/>
      <c r="X693" s="298"/>
      <c r="Y693" s="298"/>
      <c r="Z693" s="298"/>
      <c r="AA693" s="298"/>
      <c r="AB693" s="298"/>
      <c r="AC693" s="298"/>
      <c r="AD693" s="298"/>
      <c r="AE693" s="298"/>
      <c r="AF693" s="298"/>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row>
    <row r="694">
      <c r="A694" s="304"/>
      <c r="B694" s="282"/>
      <c r="C694" s="282"/>
      <c r="D694" s="282"/>
      <c r="E694" s="282"/>
      <c r="F694" s="282"/>
      <c r="G694" s="282"/>
      <c r="H694" s="282"/>
      <c r="I694" s="282"/>
      <c r="J694" s="282"/>
      <c r="K694" s="282"/>
      <c r="L694" s="282"/>
      <c r="M694" s="282"/>
      <c r="N694" s="282"/>
      <c r="O694" s="282"/>
      <c r="P694" s="282"/>
      <c r="Q694" s="282"/>
      <c r="R694" s="282"/>
      <c r="S694" s="282"/>
      <c r="T694" s="282"/>
      <c r="U694" s="282"/>
      <c r="V694" s="298"/>
      <c r="W694" s="298"/>
      <c r="X694" s="298"/>
      <c r="Y694" s="298"/>
      <c r="Z694" s="298"/>
      <c r="AA694" s="298"/>
      <c r="AB694" s="298"/>
      <c r="AC694" s="298"/>
      <c r="AD694" s="298"/>
      <c r="AE694" s="298"/>
      <c r="AF694" s="298"/>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row>
    <row r="695">
      <c r="A695" s="304"/>
      <c r="B695" s="282"/>
      <c r="C695" s="282"/>
      <c r="D695" s="282"/>
      <c r="E695" s="282"/>
      <c r="F695" s="282"/>
      <c r="G695" s="282"/>
      <c r="H695" s="282"/>
      <c r="I695" s="282"/>
      <c r="J695" s="282"/>
      <c r="K695" s="282"/>
      <c r="L695" s="282"/>
      <c r="M695" s="282"/>
      <c r="N695" s="282"/>
      <c r="O695" s="282"/>
      <c r="P695" s="282"/>
      <c r="Q695" s="282"/>
      <c r="R695" s="282"/>
      <c r="S695" s="282"/>
      <c r="T695" s="282"/>
      <c r="U695" s="282"/>
      <c r="V695" s="298"/>
      <c r="W695" s="298"/>
      <c r="X695" s="298"/>
      <c r="Y695" s="298"/>
      <c r="Z695" s="298"/>
      <c r="AA695" s="298"/>
      <c r="AB695" s="298"/>
      <c r="AC695" s="298"/>
      <c r="AD695" s="298"/>
      <c r="AE695" s="298"/>
      <c r="AF695" s="298"/>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row>
    <row r="696">
      <c r="A696" s="304"/>
      <c r="B696" s="282"/>
      <c r="C696" s="282"/>
      <c r="D696" s="282"/>
      <c r="E696" s="282"/>
      <c r="F696" s="282"/>
      <c r="G696" s="282"/>
      <c r="H696" s="282"/>
      <c r="I696" s="282"/>
      <c r="J696" s="282"/>
      <c r="K696" s="282"/>
      <c r="L696" s="282"/>
      <c r="M696" s="282"/>
      <c r="N696" s="282"/>
      <c r="O696" s="282"/>
      <c r="P696" s="282"/>
      <c r="Q696" s="282"/>
      <c r="R696" s="282"/>
      <c r="S696" s="282"/>
      <c r="T696" s="282"/>
      <c r="U696" s="282"/>
      <c r="V696" s="298"/>
      <c r="W696" s="298"/>
      <c r="X696" s="298"/>
      <c r="Y696" s="298"/>
      <c r="Z696" s="298"/>
      <c r="AA696" s="298"/>
      <c r="AB696" s="298"/>
      <c r="AC696" s="298"/>
      <c r="AD696" s="298"/>
      <c r="AE696" s="298"/>
      <c r="AF696" s="298"/>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row>
    <row r="697">
      <c r="A697" s="304"/>
      <c r="B697" s="282"/>
      <c r="C697" s="282"/>
      <c r="D697" s="282"/>
      <c r="E697" s="282"/>
      <c r="F697" s="282"/>
      <c r="G697" s="282"/>
      <c r="H697" s="282"/>
      <c r="I697" s="282"/>
      <c r="J697" s="282"/>
      <c r="K697" s="282"/>
      <c r="L697" s="282"/>
      <c r="M697" s="282"/>
      <c r="N697" s="282"/>
      <c r="O697" s="282"/>
      <c r="P697" s="282"/>
      <c r="Q697" s="282"/>
      <c r="R697" s="282"/>
      <c r="S697" s="282"/>
      <c r="T697" s="282"/>
      <c r="U697" s="282"/>
      <c r="V697" s="298"/>
      <c r="W697" s="298"/>
      <c r="X697" s="298"/>
      <c r="Y697" s="298"/>
      <c r="Z697" s="298"/>
      <c r="AA697" s="298"/>
      <c r="AB697" s="298"/>
      <c r="AC697" s="298"/>
      <c r="AD697" s="298"/>
      <c r="AE697" s="298"/>
      <c r="AF697" s="298"/>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row>
    <row r="698">
      <c r="A698" s="304"/>
      <c r="B698" s="282"/>
      <c r="C698" s="282"/>
      <c r="D698" s="282"/>
      <c r="E698" s="282"/>
      <c r="F698" s="282"/>
      <c r="G698" s="282"/>
      <c r="H698" s="282"/>
      <c r="I698" s="282"/>
      <c r="J698" s="282"/>
      <c r="K698" s="282"/>
      <c r="L698" s="282"/>
      <c r="M698" s="282"/>
      <c r="N698" s="282"/>
      <c r="O698" s="282"/>
      <c r="P698" s="282"/>
      <c r="Q698" s="282"/>
      <c r="R698" s="282"/>
      <c r="S698" s="282"/>
      <c r="T698" s="282"/>
      <c r="U698" s="282"/>
      <c r="V698" s="298"/>
      <c r="W698" s="298"/>
      <c r="X698" s="298"/>
      <c r="Y698" s="298"/>
      <c r="Z698" s="298"/>
      <c r="AA698" s="298"/>
      <c r="AB698" s="298"/>
      <c r="AC698" s="298"/>
      <c r="AD698" s="298"/>
      <c r="AE698" s="298"/>
      <c r="AF698" s="298"/>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row>
    <row r="699">
      <c r="A699" s="304"/>
      <c r="B699" s="282"/>
      <c r="C699" s="282"/>
      <c r="D699" s="282"/>
      <c r="E699" s="282"/>
      <c r="F699" s="282"/>
      <c r="G699" s="282"/>
      <c r="H699" s="282"/>
      <c r="I699" s="282"/>
      <c r="J699" s="282"/>
      <c r="K699" s="282"/>
      <c r="L699" s="282"/>
      <c r="M699" s="282"/>
      <c r="N699" s="282"/>
      <c r="O699" s="282"/>
      <c r="P699" s="282"/>
      <c r="Q699" s="282"/>
      <c r="R699" s="282"/>
      <c r="S699" s="282"/>
      <c r="T699" s="282"/>
      <c r="U699" s="282"/>
      <c r="V699" s="298"/>
      <c r="W699" s="298"/>
      <c r="X699" s="298"/>
      <c r="Y699" s="298"/>
      <c r="Z699" s="298"/>
      <c r="AA699" s="298"/>
      <c r="AB699" s="298"/>
      <c r="AC699" s="298"/>
      <c r="AD699" s="298"/>
      <c r="AE699" s="298"/>
      <c r="AF699" s="298"/>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row>
    <row r="700">
      <c r="A700" s="304"/>
      <c r="B700" s="282"/>
      <c r="C700" s="282"/>
      <c r="D700" s="282"/>
      <c r="E700" s="282"/>
      <c r="F700" s="282"/>
      <c r="G700" s="282"/>
      <c r="H700" s="282"/>
      <c r="I700" s="282"/>
      <c r="J700" s="282"/>
      <c r="K700" s="282"/>
      <c r="L700" s="282"/>
      <c r="M700" s="282"/>
      <c r="N700" s="282"/>
      <c r="O700" s="282"/>
      <c r="P700" s="282"/>
      <c r="Q700" s="282"/>
      <c r="R700" s="282"/>
      <c r="S700" s="282"/>
      <c r="T700" s="282"/>
      <c r="U700" s="282"/>
      <c r="V700" s="298"/>
      <c r="W700" s="298"/>
      <c r="X700" s="298"/>
      <c r="Y700" s="298"/>
      <c r="Z700" s="298"/>
      <c r="AA700" s="298"/>
      <c r="AB700" s="298"/>
      <c r="AC700" s="298"/>
      <c r="AD700" s="298"/>
      <c r="AE700" s="298"/>
      <c r="AF700" s="298"/>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row>
    <row r="701">
      <c r="A701" s="304"/>
      <c r="B701" s="282"/>
      <c r="C701" s="282"/>
      <c r="D701" s="282"/>
      <c r="E701" s="282"/>
      <c r="F701" s="282"/>
      <c r="G701" s="282"/>
      <c r="H701" s="282"/>
      <c r="I701" s="282"/>
      <c r="J701" s="282"/>
      <c r="K701" s="282"/>
      <c r="L701" s="282"/>
      <c r="M701" s="282"/>
      <c r="N701" s="282"/>
      <c r="O701" s="282"/>
      <c r="P701" s="282"/>
      <c r="Q701" s="282"/>
      <c r="R701" s="282"/>
      <c r="S701" s="282"/>
      <c r="T701" s="282"/>
      <c r="U701" s="282"/>
      <c r="V701" s="298"/>
      <c r="W701" s="298"/>
      <c r="X701" s="298"/>
      <c r="Y701" s="298"/>
      <c r="Z701" s="298"/>
      <c r="AA701" s="298"/>
      <c r="AB701" s="298"/>
      <c r="AC701" s="298"/>
      <c r="AD701" s="298"/>
      <c r="AE701" s="298"/>
      <c r="AF701" s="298"/>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row>
    <row r="702">
      <c r="A702" s="304"/>
      <c r="B702" s="282"/>
      <c r="C702" s="282"/>
      <c r="D702" s="282"/>
      <c r="E702" s="282"/>
      <c r="F702" s="282"/>
      <c r="G702" s="282"/>
      <c r="H702" s="282"/>
      <c r="I702" s="282"/>
      <c r="J702" s="282"/>
      <c r="K702" s="282"/>
      <c r="L702" s="282"/>
      <c r="M702" s="282"/>
      <c r="N702" s="282"/>
      <c r="O702" s="282"/>
      <c r="P702" s="282"/>
      <c r="Q702" s="282"/>
      <c r="R702" s="282"/>
      <c r="S702" s="282"/>
      <c r="T702" s="282"/>
      <c r="U702" s="282"/>
      <c r="V702" s="298"/>
      <c r="W702" s="298"/>
      <c r="X702" s="298"/>
      <c r="Y702" s="298"/>
      <c r="Z702" s="298"/>
      <c r="AA702" s="298"/>
      <c r="AB702" s="298"/>
      <c r="AC702" s="298"/>
      <c r="AD702" s="298"/>
      <c r="AE702" s="298"/>
      <c r="AF702" s="298"/>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row>
    <row r="703">
      <c r="A703" s="304"/>
      <c r="B703" s="282"/>
      <c r="C703" s="282"/>
      <c r="D703" s="282"/>
      <c r="E703" s="282"/>
      <c r="F703" s="282"/>
      <c r="G703" s="282"/>
      <c r="H703" s="282"/>
      <c r="I703" s="282"/>
      <c r="J703" s="282"/>
      <c r="K703" s="282"/>
      <c r="L703" s="282"/>
      <c r="M703" s="282"/>
      <c r="N703" s="282"/>
      <c r="O703" s="282"/>
      <c r="P703" s="282"/>
      <c r="Q703" s="282"/>
      <c r="R703" s="282"/>
      <c r="S703" s="282"/>
      <c r="T703" s="282"/>
      <c r="U703" s="282"/>
      <c r="V703" s="298"/>
      <c r="W703" s="298"/>
      <c r="X703" s="298"/>
      <c r="Y703" s="298"/>
      <c r="Z703" s="298"/>
      <c r="AA703" s="298"/>
      <c r="AB703" s="298"/>
      <c r="AC703" s="298"/>
      <c r="AD703" s="298"/>
      <c r="AE703" s="298"/>
      <c r="AF703" s="298"/>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row>
    <row r="704">
      <c r="A704" s="304"/>
      <c r="B704" s="282"/>
      <c r="C704" s="282"/>
      <c r="D704" s="282"/>
      <c r="E704" s="282"/>
      <c r="F704" s="282"/>
      <c r="G704" s="282"/>
      <c r="H704" s="282"/>
      <c r="I704" s="282"/>
      <c r="J704" s="282"/>
      <c r="K704" s="282"/>
      <c r="L704" s="282"/>
      <c r="M704" s="282"/>
      <c r="N704" s="282"/>
      <c r="O704" s="282"/>
      <c r="P704" s="282"/>
      <c r="Q704" s="282"/>
      <c r="R704" s="282"/>
      <c r="S704" s="282"/>
      <c r="T704" s="282"/>
      <c r="U704" s="282"/>
      <c r="V704" s="298"/>
      <c r="W704" s="298"/>
      <c r="X704" s="298"/>
      <c r="Y704" s="298"/>
      <c r="Z704" s="298"/>
      <c r="AA704" s="298"/>
      <c r="AB704" s="298"/>
      <c r="AC704" s="298"/>
      <c r="AD704" s="298"/>
      <c r="AE704" s="298"/>
      <c r="AF704" s="298"/>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row>
    <row r="705">
      <c r="A705" s="304"/>
      <c r="B705" s="282"/>
      <c r="C705" s="282"/>
      <c r="D705" s="282"/>
      <c r="E705" s="282"/>
      <c r="F705" s="282"/>
      <c r="G705" s="282"/>
      <c r="H705" s="282"/>
      <c r="I705" s="282"/>
      <c r="J705" s="282"/>
      <c r="K705" s="282"/>
      <c r="L705" s="282"/>
      <c r="M705" s="282"/>
      <c r="N705" s="282"/>
      <c r="O705" s="282"/>
      <c r="P705" s="282"/>
      <c r="Q705" s="282"/>
      <c r="R705" s="282"/>
      <c r="S705" s="282"/>
      <c r="T705" s="282"/>
      <c r="U705" s="282"/>
      <c r="V705" s="298"/>
      <c r="W705" s="298"/>
      <c r="X705" s="298"/>
      <c r="Y705" s="298"/>
      <c r="Z705" s="298"/>
      <c r="AA705" s="298"/>
      <c r="AB705" s="298"/>
      <c r="AC705" s="298"/>
      <c r="AD705" s="298"/>
      <c r="AE705" s="298"/>
      <c r="AF705" s="298"/>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row>
    <row r="706">
      <c r="A706" s="304"/>
      <c r="B706" s="282"/>
      <c r="C706" s="282"/>
      <c r="D706" s="282"/>
      <c r="E706" s="282"/>
      <c r="F706" s="282"/>
      <c r="G706" s="282"/>
      <c r="H706" s="282"/>
      <c r="I706" s="282"/>
      <c r="J706" s="282"/>
      <c r="K706" s="282"/>
      <c r="L706" s="282"/>
      <c r="M706" s="282"/>
      <c r="N706" s="282"/>
      <c r="O706" s="282"/>
      <c r="P706" s="282"/>
      <c r="Q706" s="282"/>
      <c r="R706" s="282"/>
      <c r="S706" s="282"/>
      <c r="T706" s="282"/>
      <c r="U706" s="282"/>
      <c r="V706" s="298"/>
      <c r="W706" s="298"/>
      <c r="X706" s="298"/>
      <c r="Y706" s="298"/>
      <c r="Z706" s="298"/>
      <c r="AA706" s="298"/>
      <c r="AB706" s="298"/>
      <c r="AC706" s="298"/>
      <c r="AD706" s="298"/>
      <c r="AE706" s="298"/>
      <c r="AF706" s="298"/>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row>
    <row r="707">
      <c r="A707" s="304"/>
      <c r="B707" s="282"/>
      <c r="C707" s="282"/>
      <c r="D707" s="282"/>
      <c r="E707" s="282"/>
      <c r="F707" s="282"/>
      <c r="G707" s="282"/>
      <c r="H707" s="282"/>
      <c r="I707" s="282"/>
      <c r="J707" s="282"/>
      <c r="K707" s="282"/>
      <c r="L707" s="282"/>
      <c r="M707" s="282"/>
      <c r="N707" s="282"/>
      <c r="O707" s="282"/>
      <c r="P707" s="282"/>
      <c r="Q707" s="282"/>
      <c r="R707" s="282"/>
      <c r="S707" s="282"/>
      <c r="T707" s="282"/>
      <c r="U707" s="282"/>
      <c r="V707" s="298"/>
      <c r="W707" s="298"/>
      <c r="X707" s="298"/>
      <c r="Y707" s="298"/>
      <c r="Z707" s="298"/>
      <c r="AA707" s="298"/>
      <c r="AB707" s="298"/>
      <c r="AC707" s="298"/>
      <c r="AD707" s="298"/>
      <c r="AE707" s="298"/>
      <c r="AF707" s="298"/>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row>
    <row r="708">
      <c r="A708" s="304"/>
      <c r="B708" s="282"/>
      <c r="C708" s="282"/>
      <c r="D708" s="282"/>
      <c r="E708" s="282"/>
      <c r="F708" s="282"/>
      <c r="G708" s="282"/>
      <c r="H708" s="282"/>
      <c r="I708" s="282"/>
      <c r="J708" s="282"/>
      <c r="K708" s="282"/>
      <c r="L708" s="282"/>
      <c r="M708" s="282"/>
      <c r="N708" s="282"/>
      <c r="O708" s="282"/>
      <c r="P708" s="282"/>
      <c r="Q708" s="282"/>
      <c r="R708" s="282"/>
      <c r="S708" s="282"/>
      <c r="T708" s="282"/>
      <c r="U708" s="282"/>
      <c r="V708" s="298"/>
      <c r="W708" s="298"/>
      <c r="X708" s="298"/>
      <c r="Y708" s="298"/>
      <c r="Z708" s="298"/>
      <c r="AA708" s="298"/>
      <c r="AB708" s="298"/>
      <c r="AC708" s="298"/>
      <c r="AD708" s="298"/>
      <c r="AE708" s="298"/>
      <c r="AF708" s="298"/>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row>
    <row r="709">
      <c r="A709" s="304"/>
      <c r="B709" s="282"/>
      <c r="C709" s="282"/>
      <c r="D709" s="282"/>
      <c r="E709" s="282"/>
      <c r="F709" s="282"/>
      <c r="G709" s="282"/>
      <c r="H709" s="282"/>
      <c r="I709" s="282"/>
      <c r="J709" s="282"/>
      <c r="K709" s="282"/>
      <c r="L709" s="282"/>
      <c r="M709" s="282"/>
      <c r="N709" s="282"/>
      <c r="O709" s="282"/>
      <c r="P709" s="282"/>
      <c r="Q709" s="282"/>
      <c r="R709" s="282"/>
      <c r="S709" s="282"/>
      <c r="T709" s="282"/>
      <c r="U709" s="282"/>
      <c r="V709" s="298"/>
      <c r="W709" s="298"/>
      <c r="X709" s="298"/>
      <c r="Y709" s="298"/>
      <c r="Z709" s="298"/>
      <c r="AA709" s="298"/>
      <c r="AB709" s="298"/>
      <c r="AC709" s="298"/>
      <c r="AD709" s="298"/>
      <c r="AE709" s="298"/>
      <c r="AF709" s="298"/>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row>
    <row r="710">
      <c r="A710" s="304"/>
      <c r="B710" s="282"/>
      <c r="C710" s="282"/>
      <c r="D710" s="282"/>
      <c r="E710" s="282"/>
      <c r="F710" s="282"/>
      <c r="G710" s="282"/>
      <c r="H710" s="282"/>
      <c r="I710" s="282"/>
      <c r="J710" s="282"/>
      <c r="K710" s="282"/>
      <c r="L710" s="282"/>
      <c r="M710" s="282"/>
      <c r="N710" s="282"/>
      <c r="O710" s="282"/>
      <c r="P710" s="282"/>
      <c r="Q710" s="282"/>
      <c r="R710" s="282"/>
      <c r="S710" s="282"/>
      <c r="T710" s="282"/>
      <c r="U710" s="282"/>
      <c r="V710" s="298"/>
      <c r="W710" s="298"/>
      <c r="X710" s="298"/>
      <c r="Y710" s="298"/>
      <c r="Z710" s="298"/>
      <c r="AA710" s="298"/>
      <c r="AB710" s="298"/>
      <c r="AC710" s="298"/>
      <c r="AD710" s="298"/>
      <c r="AE710" s="298"/>
      <c r="AF710" s="298"/>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row>
    <row r="711">
      <c r="A711" s="304"/>
      <c r="B711" s="282"/>
      <c r="C711" s="282"/>
      <c r="D711" s="282"/>
      <c r="E711" s="282"/>
      <c r="F711" s="282"/>
      <c r="G711" s="282"/>
      <c r="H711" s="282"/>
      <c r="I711" s="282"/>
      <c r="J711" s="282"/>
      <c r="K711" s="282"/>
      <c r="L711" s="282"/>
      <c r="M711" s="282"/>
      <c r="N711" s="282"/>
      <c r="O711" s="282"/>
      <c r="P711" s="282"/>
      <c r="Q711" s="282"/>
      <c r="R711" s="282"/>
      <c r="S711" s="282"/>
      <c r="T711" s="282"/>
      <c r="U711" s="282"/>
      <c r="V711" s="298"/>
      <c r="W711" s="298"/>
      <c r="X711" s="298"/>
      <c r="Y711" s="298"/>
      <c r="Z711" s="298"/>
      <c r="AA711" s="298"/>
      <c r="AB711" s="298"/>
      <c r="AC711" s="298"/>
      <c r="AD711" s="298"/>
      <c r="AE711" s="298"/>
      <c r="AF711" s="298"/>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row>
    <row r="712">
      <c r="A712" s="304"/>
      <c r="B712" s="282"/>
      <c r="C712" s="282"/>
      <c r="D712" s="282"/>
      <c r="E712" s="282"/>
      <c r="F712" s="282"/>
      <c r="G712" s="282"/>
      <c r="H712" s="282"/>
      <c r="I712" s="282"/>
      <c r="J712" s="282"/>
      <c r="K712" s="282"/>
      <c r="L712" s="282"/>
      <c r="M712" s="282"/>
      <c r="N712" s="282"/>
      <c r="O712" s="282"/>
      <c r="P712" s="282"/>
      <c r="Q712" s="282"/>
      <c r="R712" s="282"/>
      <c r="S712" s="282"/>
      <c r="T712" s="282"/>
      <c r="U712" s="282"/>
      <c r="V712" s="298"/>
      <c r="W712" s="298"/>
      <c r="X712" s="298"/>
      <c r="Y712" s="298"/>
      <c r="Z712" s="298"/>
      <c r="AA712" s="298"/>
      <c r="AB712" s="298"/>
      <c r="AC712" s="298"/>
      <c r="AD712" s="298"/>
      <c r="AE712" s="298"/>
      <c r="AF712" s="298"/>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row>
    <row r="713">
      <c r="A713" s="304"/>
      <c r="B713" s="282"/>
      <c r="C713" s="282"/>
      <c r="D713" s="282"/>
      <c r="E713" s="282"/>
      <c r="F713" s="282"/>
      <c r="G713" s="282"/>
      <c r="H713" s="282"/>
      <c r="I713" s="282"/>
      <c r="J713" s="282"/>
      <c r="K713" s="282"/>
      <c r="L713" s="282"/>
      <c r="M713" s="282"/>
      <c r="N713" s="282"/>
      <c r="O713" s="282"/>
      <c r="P713" s="282"/>
      <c r="Q713" s="282"/>
      <c r="R713" s="282"/>
      <c r="S713" s="282"/>
      <c r="T713" s="282"/>
      <c r="U713" s="282"/>
      <c r="V713" s="298"/>
      <c r="W713" s="298"/>
      <c r="X713" s="298"/>
      <c r="Y713" s="298"/>
      <c r="Z713" s="298"/>
      <c r="AA713" s="298"/>
      <c r="AB713" s="298"/>
      <c r="AC713" s="298"/>
      <c r="AD713" s="298"/>
      <c r="AE713" s="298"/>
      <c r="AF713" s="298"/>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row>
    <row r="714">
      <c r="A714" s="304"/>
      <c r="B714" s="282"/>
      <c r="C714" s="282"/>
      <c r="D714" s="282"/>
      <c r="E714" s="282"/>
      <c r="F714" s="282"/>
      <c r="G714" s="282"/>
      <c r="H714" s="282"/>
      <c r="I714" s="282"/>
      <c r="J714" s="282"/>
      <c r="K714" s="282"/>
      <c r="L714" s="282"/>
      <c r="M714" s="282"/>
      <c r="N714" s="282"/>
      <c r="O714" s="282"/>
      <c r="P714" s="282"/>
      <c r="Q714" s="282"/>
      <c r="R714" s="282"/>
      <c r="S714" s="282"/>
      <c r="T714" s="282"/>
      <c r="U714" s="282"/>
      <c r="V714" s="298"/>
      <c r="W714" s="298"/>
      <c r="X714" s="298"/>
      <c r="Y714" s="298"/>
      <c r="Z714" s="298"/>
      <c r="AA714" s="298"/>
      <c r="AB714" s="298"/>
      <c r="AC714" s="298"/>
      <c r="AD714" s="298"/>
      <c r="AE714" s="298"/>
      <c r="AF714" s="298"/>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row>
    <row r="715">
      <c r="A715" s="304"/>
      <c r="B715" s="282"/>
      <c r="C715" s="282"/>
      <c r="D715" s="282"/>
      <c r="E715" s="282"/>
      <c r="F715" s="282"/>
      <c r="G715" s="282"/>
      <c r="H715" s="282"/>
      <c r="I715" s="282"/>
      <c r="J715" s="282"/>
      <c r="K715" s="282"/>
      <c r="L715" s="282"/>
      <c r="M715" s="282"/>
      <c r="N715" s="282"/>
      <c r="O715" s="282"/>
      <c r="P715" s="282"/>
      <c r="Q715" s="282"/>
      <c r="R715" s="282"/>
      <c r="S715" s="282"/>
      <c r="T715" s="282"/>
      <c r="U715" s="282"/>
      <c r="V715" s="298"/>
      <c r="W715" s="298"/>
      <c r="X715" s="298"/>
      <c r="Y715" s="298"/>
      <c r="Z715" s="298"/>
      <c r="AA715" s="298"/>
      <c r="AB715" s="298"/>
      <c r="AC715" s="298"/>
      <c r="AD715" s="298"/>
      <c r="AE715" s="298"/>
      <c r="AF715" s="298"/>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row>
    <row r="716">
      <c r="A716" s="304"/>
      <c r="B716" s="282"/>
      <c r="C716" s="282"/>
      <c r="D716" s="282"/>
      <c r="E716" s="282"/>
      <c r="F716" s="282"/>
      <c r="G716" s="282"/>
      <c r="H716" s="282"/>
      <c r="I716" s="282"/>
      <c r="J716" s="282"/>
      <c r="K716" s="282"/>
      <c r="L716" s="282"/>
      <c r="M716" s="282"/>
      <c r="N716" s="282"/>
      <c r="O716" s="282"/>
      <c r="P716" s="282"/>
      <c r="Q716" s="282"/>
      <c r="R716" s="282"/>
      <c r="S716" s="282"/>
      <c r="T716" s="282"/>
      <c r="U716" s="282"/>
      <c r="V716" s="298"/>
      <c r="W716" s="298"/>
      <c r="X716" s="298"/>
      <c r="Y716" s="298"/>
      <c r="Z716" s="298"/>
      <c r="AA716" s="298"/>
      <c r="AB716" s="298"/>
      <c r="AC716" s="298"/>
      <c r="AD716" s="298"/>
      <c r="AE716" s="298"/>
      <c r="AF716" s="298"/>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row>
    <row r="717">
      <c r="A717" s="304"/>
      <c r="B717" s="282"/>
      <c r="C717" s="282"/>
      <c r="D717" s="282"/>
      <c r="E717" s="282"/>
      <c r="F717" s="282"/>
      <c r="G717" s="282"/>
      <c r="H717" s="282"/>
      <c r="I717" s="282"/>
      <c r="J717" s="282"/>
      <c r="K717" s="282"/>
      <c r="L717" s="282"/>
      <c r="M717" s="282"/>
      <c r="N717" s="282"/>
      <c r="O717" s="282"/>
      <c r="P717" s="282"/>
      <c r="Q717" s="282"/>
      <c r="R717" s="282"/>
      <c r="S717" s="282"/>
      <c r="T717" s="282"/>
      <c r="U717" s="282"/>
      <c r="V717" s="298"/>
      <c r="W717" s="298"/>
      <c r="X717" s="298"/>
      <c r="Y717" s="298"/>
      <c r="Z717" s="298"/>
      <c r="AA717" s="298"/>
      <c r="AB717" s="298"/>
      <c r="AC717" s="298"/>
      <c r="AD717" s="298"/>
      <c r="AE717" s="298"/>
      <c r="AF717" s="298"/>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row>
    <row r="718">
      <c r="A718" s="304"/>
      <c r="B718" s="282"/>
      <c r="C718" s="282"/>
      <c r="D718" s="282"/>
      <c r="E718" s="282"/>
      <c r="F718" s="282"/>
      <c r="G718" s="282"/>
      <c r="H718" s="282"/>
      <c r="I718" s="282"/>
      <c r="J718" s="282"/>
      <c r="K718" s="282"/>
      <c r="L718" s="282"/>
      <c r="M718" s="282"/>
      <c r="N718" s="282"/>
      <c r="O718" s="282"/>
      <c r="P718" s="282"/>
      <c r="Q718" s="282"/>
      <c r="R718" s="282"/>
      <c r="S718" s="282"/>
      <c r="T718" s="282"/>
      <c r="U718" s="282"/>
      <c r="V718" s="298"/>
      <c r="W718" s="298"/>
      <c r="X718" s="298"/>
      <c r="Y718" s="298"/>
      <c r="Z718" s="298"/>
      <c r="AA718" s="298"/>
      <c r="AB718" s="298"/>
      <c r="AC718" s="298"/>
      <c r="AD718" s="298"/>
      <c r="AE718" s="298"/>
      <c r="AF718" s="298"/>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row>
    <row r="719">
      <c r="A719" s="304"/>
      <c r="B719" s="282"/>
      <c r="C719" s="282"/>
      <c r="D719" s="282"/>
      <c r="E719" s="282"/>
      <c r="F719" s="282"/>
      <c r="G719" s="282"/>
      <c r="H719" s="282"/>
      <c r="I719" s="282"/>
      <c r="J719" s="282"/>
      <c r="K719" s="282"/>
      <c r="L719" s="282"/>
      <c r="M719" s="282"/>
      <c r="N719" s="282"/>
      <c r="O719" s="282"/>
      <c r="P719" s="282"/>
      <c r="Q719" s="282"/>
      <c r="R719" s="282"/>
      <c r="S719" s="282"/>
      <c r="T719" s="282"/>
      <c r="U719" s="282"/>
      <c r="V719" s="298"/>
      <c r="W719" s="298"/>
      <c r="X719" s="298"/>
      <c r="Y719" s="298"/>
      <c r="Z719" s="298"/>
      <c r="AA719" s="298"/>
      <c r="AB719" s="298"/>
      <c r="AC719" s="298"/>
      <c r="AD719" s="298"/>
      <c r="AE719" s="298"/>
      <c r="AF719" s="298"/>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row>
    <row r="720">
      <c r="A720" s="304"/>
      <c r="B720" s="282"/>
      <c r="C720" s="282"/>
      <c r="D720" s="282"/>
      <c r="E720" s="282"/>
      <c r="F720" s="282"/>
      <c r="G720" s="282"/>
      <c r="H720" s="282"/>
      <c r="I720" s="282"/>
      <c r="J720" s="282"/>
      <c r="K720" s="282"/>
      <c r="L720" s="282"/>
      <c r="M720" s="282"/>
      <c r="N720" s="282"/>
      <c r="O720" s="282"/>
      <c r="P720" s="282"/>
      <c r="Q720" s="282"/>
      <c r="R720" s="282"/>
      <c r="S720" s="282"/>
      <c r="T720" s="282"/>
      <c r="U720" s="282"/>
      <c r="V720" s="298"/>
      <c r="W720" s="298"/>
      <c r="X720" s="298"/>
      <c r="Y720" s="298"/>
      <c r="Z720" s="298"/>
      <c r="AA720" s="298"/>
      <c r="AB720" s="298"/>
      <c r="AC720" s="298"/>
      <c r="AD720" s="298"/>
      <c r="AE720" s="298"/>
      <c r="AF720" s="298"/>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row>
    <row r="721">
      <c r="A721" s="304"/>
      <c r="B721" s="282"/>
      <c r="C721" s="282"/>
      <c r="D721" s="282"/>
      <c r="E721" s="282"/>
      <c r="F721" s="282"/>
      <c r="G721" s="282"/>
      <c r="H721" s="282"/>
      <c r="I721" s="282"/>
      <c r="J721" s="282"/>
      <c r="K721" s="282"/>
      <c r="L721" s="282"/>
      <c r="M721" s="282"/>
      <c r="N721" s="282"/>
      <c r="O721" s="282"/>
      <c r="P721" s="282"/>
      <c r="Q721" s="282"/>
      <c r="R721" s="282"/>
      <c r="S721" s="282"/>
      <c r="T721" s="282"/>
      <c r="U721" s="282"/>
      <c r="V721" s="298"/>
      <c r="W721" s="298"/>
      <c r="X721" s="298"/>
      <c r="Y721" s="298"/>
      <c r="Z721" s="298"/>
      <c r="AA721" s="298"/>
      <c r="AB721" s="298"/>
      <c r="AC721" s="298"/>
      <c r="AD721" s="298"/>
      <c r="AE721" s="298"/>
      <c r="AF721" s="298"/>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row>
    <row r="722">
      <c r="A722" s="304"/>
      <c r="B722" s="282"/>
      <c r="C722" s="282"/>
      <c r="D722" s="282"/>
      <c r="E722" s="282"/>
      <c r="F722" s="282"/>
      <c r="G722" s="282"/>
      <c r="H722" s="282"/>
      <c r="I722" s="282"/>
      <c r="J722" s="282"/>
      <c r="K722" s="282"/>
      <c r="L722" s="282"/>
      <c r="M722" s="282"/>
      <c r="N722" s="282"/>
      <c r="O722" s="282"/>
      <c r="P722" s="282"/>
      <c r="Q722" s="282"/>
      <c r="R722" s="282"/>
      <c r="S722" s="282"/>
      <c r="T722" s="282"/>
      <c r="U722" s="282"/>
      <c r="V722" s="298"/>
      <c r="W722" s="298"/>
      <c r="X722" s="298"/>
      <c r="Y722" s="298"/>
      <c r="Z722" s="298"/>
      <c r="AA722" s="298"/>
      <c r="AB722" s="298"/>
      <c r="AC722" s="298"/>
      <c r="AD722" s="298"/>
      <c r="AE722" s="298"/>
      <c r="AF722" s="298"/>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row>
    <row r="723">
      <c r="A723" s="304"/>
      <c r="B723" s="282"/>
      <c r="C723" s="282"/>
      <c r="D723" s="282"/>
      <c r="E723" s="282"/>
      <c r="F723" s="282"/>
      <c r="G723" s="282"/>
      <c r="H723" s="282"/>
      <c r="I723" s="282"/>
      <c r="J723" s="282"/>
      <c r="K723" s="282"/>
      <c r="L723" s="282"/>
      <c r="M723" s="282"/>
      <c r="N723" s="282"/>
      <c r="O723" s="282"/>
      <c r="P723" s="282"/>
      <c r="Q723" s="282"/>
      <c r="R723" s="282"/>
      <c r="S723" s="282"/>
      <c r="T723" s="282"/>
      <c r="U723" s="282"/>
      <c r="V723" s="298"/>
      <c r="W723" s="298"/>
      <c r="X723" s="298"/>
      <c r="Y723" s="298"/>
      <c r="Z723" s="298"/>
      <c r="AA723" s="298"/>
      <c r="AB723" s="298"/>
      <c r="AC723" s="298"/>
      <c r="AD723" s="298"/>
      <c r="AE723" s="298"/>
      <c r="AF723" s="298"/>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row>
    <row r="724">
      <c r="A724" s="304"/>
      <c r="B724" s="282"/>
      <c r="C724" s="282"/>
      <c r="D724" s="282"/>
      <c r="E724" s="282"/>
      <c r="F724" s="282"/>
      <c r="G724" s="282"/>
      <c r="H724" s="282"/>
      <c r="I724" s="282"/>
      <c r="J724" s="282"/>
      <c r="K724" s="282"/>
      <c r="L724" s="282"/>
      <c r="M724" s="282"/>
      <c r="N724" s="282"/>
      <c r="O724" s="282"/>
      <c r="P724" s="282"/>
      <c r="Q724" s="282"/>
      <c r="R724" s="282"/>
      <c r="S724" s="282"/>
      <c r="T724" s="282"/>
      <c r="U724" s="282"/>
      <c r="V724" s="298"/>
      <c r="W724" s="298"/>
      <c r="X724" s="298"/>
      <c r="Y724" s="298"/>
      <c r="Z724" s="298"/>
      <c r="AA724" s="298"/>
      <c r="AB724" s="298"/>
      <c r="AC724" s="298"/>
      <c r="AD724" s="298"/>
      <c r="AE724" s="298"/>
      <c r="AF724" s="298"/>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row>
    <row r="725">
      <c r="A725" s="304"/>
      <c r="B725" s="282"/>
      <c r="C725" s="282"/>
      <c r="D725" s="282"/>
      <c r="E725" s="282"/>
      <c r="F725" s="282"/>
      <c r="G725" s="282"/>
      <c r="H725" s="282"/>
      <c r="I725" s="282"/>
      <c r="J725" s="282"/>
      <c r="K725" s="282"/>
      <c r="L725" s="282"/>
      <c r="M725" s="282"/>
      <c r="N725" s="282"/>
      <c r="O725" s="282"/>
      <c r="P725" s="282"/>
      <c r="Q725" s="282"/>
      <c r="R725" s="282"/>
      <c r="S725" s="282"/>
      <c r="T725" s="282"/>
      <c r="U725" s="282"/>
      <c r="V725" s="298"/>
      <c r="W725" s="298"/>
      <c r="X725" s="298"/>
      <c r="Y725" s="298"/>
      <c r="Z725" s="298"/>
      <c r="AA725" s="298"/>
      <c r="AB725" s="298"/>
      <c r="AC725" s="298"/>
      <c r="AD725" s="298"/>
      <c r="AE725" s="298"/>
      <c r="AF725" s="298"/>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row>
    <row r="726">
      <c r="A726" s="304"/>
      <c r="B726" s="282"/>
      <c r="C726" s="282"/>
      <c r="D726" s="282"/>
      <c r="E726" s="282"/>
      <c r="F726" s="282"/>
      <c r="G726" s="282"/>
      <c r="H726" s="282"/>
      <c r="I726" s="282"/>
      <c r="J726" s="282"/>
      <c r="K726" s="282"/>
      <c r="L726" s="282"/>
      <c r="M726" s="282"/>
      <c r="N726" s="282"/>
      <c r="O726" s="282"/>
      <c r="P726" s="282"/>
      <c r="Q726" s="282"/>
      <c r="R726" s="282"/>
      <c r="S726" s="282"/>
      <c r="T726" s="282"/>
      <c r="U726" s="282"/>
      <c r="V726" s="298"/>
      <c r="W726" s="298"/>
      <c r="X726" s="298"/>
      <c r="Y726" s="298"/>
      <c r="Z726" s="298"/>
      <c r="AA726" s="298"/>
      <c r="AB726" s="298"/>
      <c r="AC726" s="298"/>
      <c r="AD726" s="298"/>
      <c r="AE726" s="298"/>
      <c r="AF726" s="298"/>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row>
    <row r="727">
      <c r="A727" s="304"/>
      <c r="B727" s="282"/>
      <c r="C727" s="282"/>
      <c r="D727" s="282"/>
      <c r="E727" s="282"/>
      <c r="F727" s="282"/>
      <c r="G727" s="282"/>
      <c r="H727" s="282"/>
      <c r="I727" s="282"/>
      <c r="J727" s="282"/>
      <c r="K727" s="282"/>
      <c r="L727" s="282"/>
      <c r="M727" s="282"/>
      <c r="N727" s="282"/>
      <c r="O727" s="282"/>
      <c r="P727" s="282"/>
      <c r="Q727" s="282"/>
      <c r="R727" s="282"/>
      <c r="S727" s="282"/>
      <c r="T727" s="282"/>
      <c r="U727" s="282"/>
      <c r="V727" s="298"/>
      <c r="W727" s="298"/>
      <c r="X727" s="298"/>
      <c r="Y727" s="298"/>
      <c r="Z727" s="298"/>
      <c r="AA727" s="298"/>
      <c r="AB727" s="298"/>
      <c r="AC727" s="298"/>
      <c r="AD727" s="298"/>
      <c r="AE727" s="298"/>
      <c r="AF727" s="298"/>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row>
    <row r="728">
      <c r="A728" s="304"/>
      <c r="B728" s="282"/>
      <c r="C728" s="282"/>
      <c r="D728" s="282"/>
      <c r="E728" s="282"/>
      <c r="F728" s="282"/>
      <c r="G728" s="282"/>
      <c r="H728" s="282"/>
      <c r="I728" s="282"/>
      <c r="J728" s="282"/>
      <c r="K728" s="282"/>
      <c r="L728" s="282"/>
      <c r="M728" s="282"/>
      <c r="N728" s="282"/>
      <c r="O728" s="282"/>
      <c r="P728" s="282"/>
      <c r="Q728" s="282"/>
      <c r="R728" s="282"/>
      <c r="S728" s="282"/>
      <c r="T728" s="282"/>
      <c r="U728" s="282"/>
      <c r="V728" s="298"/>
      <c r="W728" s="298"/>
      <c r="X728" s="298"/>
      <c r="Y728" s="298"/>
      <c r="Z728" s="298"/>
      <c r="AA728" s="298"/>
      <c r="AB728" s="298"/>
      <c r="AC728" s="298"/>
      <c r="AD728" s="298"/>
      <c r="AE728" s="298"/>
      <c r="AF728" s="298"/>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row>
    <row r="729">
      <c r="A729" s="304"/>
      <c r="B729" s="282"/>
      <c r="C729" s="282"/>
      <c r="D729" s="282"/>
      <c r="E729" s="282"/>
      <c r="F729" s="282"/>
      <c r="G729" s="282"/>
      <c r="H729" s="282"/>
      <c r="I729" s="282"/>
      <c r="J729" s="282"/>
      <c r="K729" s="282"/>
      <c r="L729" s="282"/>
      <c r="M729" s="282"/>
      <c r="N729" s="282"/>
      <c r="O729" s="282"/>
      <c r="P729" s="282"/>
      <c r="Q729" s="282"/>
      <c r="R729" s="282"/>
      <c r="S729" s="282"/>
      <c r="T729" s="282"/>
      <c r="U729" s="282"/>
      <c r="V729" s="298"/>
      <c r="W729" s="298"/>
      <c r="X729" s="298"/>
      <c r="Y729" s="298"/>
      <c r="Z729" s="298"/>
      <c r="AA729" s="298"/>
      <c r="AB729" s="298"/>
      <c r="AC729" s="298"/>
      <c r="AD729" s="298"/>
      <c r="AE729" s="298"/>
      <c r="AF729" s="298"/>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row>
    <row r="730">
      <c r="A730" s="304"/>
      <c r="B730" s="282"/>
      <c r="C730" s="282"/>
      <c r="D730" s="282"/>
      <c r="E730" s="282"/>
      <c r="F730" s="282"/>
      <c r="G730" s="282"/>
      <c r="H730" s="282"/>
      <c r="I730" s="282"/>
      <c r="J730" s="282"/>
      <c r="K730" s="282"/>
      <c r="L730" s="282"/>
      <c r="M730" s="282"/>
      <c r="N730" s="282"/>
      <c r="O730" s="282"/>
      <c r="P730" s="282"/>
      <c r="Q730" s="282"/>
      <c r="R730" s="282"/>
      <c r="S730" s="282"/>
      <c r="T730" s="282"/>
      <c r="U730" s="282"/>
      <c r="V730" s="298"/>
      <c r="W730" s="298"/>
      <c r="X730" s="298"/>
      <c r="Y730" s="298"/>
      <c r="Z730" s="298"/>
      <c r="AA730" s="298"/>
      <c r="AB730" s="298"/>
      <c r="AC730" s="298"/>
      <c r="AD730" s="298"/>
      <c r="AE730" s="298"/>
      <c r="AF730" s="298"/>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row>
    <row r="731">
      <c r="A731" s="304"/>
      <c r="B731" s="282"/>
      <c r="C731" s="282"/>
      <c r="D731" s="282"/>
      <c r="E731" s="282"/>
      <c r="F731" s="282"/>
      <c r="G731" s="282"/>
      <c r="H731" s="282"/>
      <c r="I731" s="282"/>
      <c r="J731" s="282"/>
      <c r="K731" s="282"/>
      <c r="L731" s="282"/>
      <c r="M731" s="282"/>
      <c r="N731" s="282"/>
      <c r="O731" s="282"/>
      <c r="P731" s="282"/>
      <c r="Q731" s="282"/>
      <c r="R731" s="282"/>
      <c r="S731" s="282"/>
      <c r="T731" s="282"/>
      <c r="U731" s="282"/>
      <c r="V731" s="298"/>
      <c r="W731" s="298"/>
      <c r="X731" s="298"/>
      <c r="Y731" s="298"/>
      <c r="Z731" s="298"/>
      <c r="AA731" s="298"/>
      <c r="AB731" s="298"/>
      <c r="AC731" s="298"/>
      <c r="AD731" s="298"/>
      <c r="AE731" s="298"/>
      <c r="AF731" s="298"/>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row>
    <row r="732">
      <c r="A732" s="304"/>
      <c r="B732" s="282"/>
      <c r="C732" s="282"/>
      <c r="D732" s="282"/>
      <c r="E732" s="282"/>
      <c r="F732" s="282"/>
      <c r="G732" s="282"/>
      <c r="H732" s="282"/>
      <c r="I732" s="282"/>
      <c r="J732" s="282"/>
      <c r="K732" s="282"/>
      <c r="L732" s="282"/>
      <c r="M732" s="282"/>
      <c r="N732" s="282"/>
      <c r="O732" s="282"/>
      <c r="P732" s="282"/>
      <c r="Q732" s="282"/>
      <c r="R732" s="282"/>
      <c r="S732" s="282"/>
      <c r="T732" s="282"/>
      <c r="U732" s="282"/>
      <c r="V732" s="298"/>
      <c r="W732" s="298"/>
      <c r="X732" s="298"/>
      <c r="Y732" s="298"/>
      <c r="Z732" s="298"/>
      <c r="AA732" s="298"/>
      <c r="AB732" s="298"/>
      <c r="AC732" s="298"/>
      <c r="AD732" s="298"/>
      <c r="AE732" s="298"/>
      <c r="AF732" s="298"/>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row>
    <row r="733">
      <c r="A733" s="304"/>
      <c r="B733" s="282"/>
      <c r="C733" s="282"/>
      <c r="D733" s="282"/>
      <c r="E733" s="282"/>
      <c r="F733" s="282"/>
      <c r="G733" s="282"/>
      <c r="H733" s="282"/>
      <c r="I733" s="282"/>
      <c r="J733" s="282"/>
      <c r="K733" s="282"/>
      <c r="L733" s="282"/>
      <c r="M733" s="282"/>
      <c r="N733" s="282"/>
      <c r="O733" s="282"/>
      <c r="P733" s="282"/>
      <c r="Q733" s="282"/>
      <c r="R733" s="282"/>
      <c r="S733" s="282"/>
      <c r="T733" s="282"/>
      <c r="U733" s="282"/>
      <c r="V733" s="298"/>
      <c r="W733" s="298"/>
      <c r="X733" s="298"/>
      <c r="Y733" s="298"/>
      <c r="Z733" s="298"/>
      <c r="AA733" s="298"/>
      <c r="AB733" s="298"/>
      <c r="AC733" s="298"/>
      <c r="AD733" s="298"/>
      <c r="AE733" s="298"/>
      <c r="AF733" s="298"/>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row>
    <row r="734">
      <c r="A734" s="304"/>
      <c r="B734" s="282"/>
      <c r="C734" s="282"/>
      <c r="D734" s="282"/>
      <c r="E734" s="282"/>
      <c r="F734" s="282"/>
      <c r="G734" s="282"/>
      <c r="H734" s="282"/>
      <c r="I734" s="282"/>
      <c r="J734" s="282"/>
      <c r="K734" s="282"/>
      <c r="L734" s="282"/>
      <c r="M734" s="282"/>
      <c r="N734" s="282"/>
      <c r="O734" s="282"/>
      <c r="P734" s="282"/>
      <c r="Q734" s="282"/>
      <c r="R734" s="282"/>
      <c r="S734" s="282"/>
      <c r="T734" s="282"/>
      <c r="U734" s="282"/>
      <c r="V734" s="298"/>
      <c r="W734" s="298"/>
      <c r="X734" s="298"/>
      <c r="Y734" s="298"/>
      <c r="Z734" s="298"/>
      <c r="AA734" s="298"/>
      <c r="AB734" s="298"/>
      <c r="AC734" s="298"/>
      <c r="AD734" s="298"/>
      <c r="AE734" s="298"/>
      <c r="AF734" s="298"/>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row>
    <row r="735">
      <c r="A735" s="304"/>
      <c r="B735" s="282"/>
      <c r="C735" s="282"/>
      <c r="D735" s="282"/>
      <c r="E735" s="282"/>
      <c r="F735" s="282"/>
      <c r="G735" s="282"/>
      <c r="H735" s="282"/>
      <c r="I735" s="282"/>
      <c r="J735" s="282"/>
      <c r="K735" s="282"/>
      <c r="L735" s="282"/>
      <c r="M735" s="282"/>
      <c r="N735" s="282"/>
      <c r="O735" s="282"/>
      <c r="P735" s="282"/>
      <c r="Q735" s="282"/>
      <c r="R735" s="282"/>
      <c r="S735" s="282"/>
      <c r="T735" s="282"/>
      <c r="U735" s="282"/>
      <c r="V735" s="298"/>
      <c r="W735" s="298"/>
      <c r="X735" s="298"/>
      <c r="Y735" s="298"/>
      <c r="Z735" s="298"/>
      <c r="AA735" s="298"/>
      <c r="AB735" s="298"/>
      <c r="AC735" s="298"/>
      <c r="AD735" s="298"/>
      <c r="AE735" s="298"/>
      <c r="AF735" s="298"/>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row>
    <row r="736">
      <c r="A736" s="304"/>
      <c r="B736" s="282"/>
      <c r="C736" s="282"/>
      <c r="D736" s="282"/>
      <c r="E736" s="282"/>
      <c r="F736" s="282"/>
      <c r="G736" s="282"/>
      <c r="H736" s="282"/>
      <c r="I736" s="282"/>
      <c r="J736" s="282"/>
      <c r="K736" s="282"/>
      <c r="L736" s="282"/>
      <c r="M736" s="282"/>
      <c r="N736" s="282"/>
      <c r="O736" s="282"/>
      <c r="P736" s="282"/>
      <c r="Q736" s="282"/>
      <c r="R736" s="282"/>
      <c r="S736" s="282"/>
      <c r="T736" s="282"/>
      <c r="U736" s="282"/>
      <c r="V736" s="298"/>
      <c r="W736" s="298"/>
      <c r="X736" s="298"/>
      <c r="Y736" s="298"/>
      <c r="Z736" s="298"/>
      <c r="AA736" s="298"/>
      <c r="AB736" s="298"/>
      <c r="AC736" s="298"/>
      <c r="AD736" s="298"/>
      <c r="AE736" s="298"/>
      <c r="AF736" s="298"/>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row>
    <row r="737">
      <c r="A737" s="304"/>
      <c r="B737" s="282"/>
      <c r="C737" s="282"/>
      <c r="D737" s="282"/>
      <c r="E737" s="282"/>
      <c r="F737" s="282"/>
      <c r="G737" s="282"/>
      <c r="H737" s="282"/>
      <c r="I737" s="282"/>
      <c r="J737" s="282"/>
      <c r="K737" s="282"/>
      <c r="L737" s="282"/>
      <c r="M737" s="282"/>
      <c r="N737" s="282"/>
      <c r="O737" s="282"/>
      <c r="P737" s="282"/>
      <c r="Q737" s="282"/>
      <c r="R737" s="282"/>
      <c r="S737" s="282"/>
      <c r="T737" s="282"/>
      <c r="U737" s="282"/>
      <c r="V737" s="298"/>
      <c r="W737" s="298"/>
      <c r="X737" s="298"/>
      <c r="Y737" s="298"/>
      <c r="Z737" s="298"/>
      <c r="AA737" s="298"/>
      <c r="AB737" s="298"/>
      <c r="AC737" s="298"/>
      <c r="AD737" s="298"/>
      <c r="AE737" s="298"/>
      <c r="AF737" s="298"/>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row>
    <row r="738">
      <c r="A738" s="304"/>
      <c r="B738" s="282"/>
      <c r="C738" s="282"/>
      <c r="D738" s="282"/>
      <c r="E738" s="282"/>
      <c r="F738" s="282"/>
      <c r="G738" s="282"/>
      <c r="H738" s="282"/>
      <c r="I738" s="282"/>
      <c r="J738" s="282"/>
      <c r="K738" s="282"/>
      <c r="L738" s="282"/>
      <c r="M738" s="282"/>
      <c r="N738" s="282"/>
      <c r="O738" s="282"/>
      <c r="P738" s="282"/>
      <c r="Q738" s="282"/>
      <c r="R738" s="282"/>
      <c r="S738" s="282"/>
      <c r="T738" s="282"/>
      <c r="U738" s="282"/>
      <c r="V738" s="298"/>
      <c r="W738" s="298"/>
      <c r="X738" s="298"/>
      <c r="Y738" s="298"/>
      <c r="Z738" s="298"/>
      <c r="AA738" s="298"/>
      <c r="AB738" s="298"/>
      <c r="AC738" s="298"/>
      <c r="AD738" s="298"/>
      <c r="AE738" s="298"/>
      <c r="AF738" s="298"/>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row>
    <row r="739">
      <c r="A739" s="304"/>
      <c r="B739" s="282"/>
      <c r="C739" s="282"/>
      <c r="D739" s="282"/>
      <c r="E739" s="282"/>
      <c r="F739" s="282"/>
      <c r="G739" s="282"/>
      <c r="H739" s="282"/>
      <c r="I739" s="282"/>
      <c r="J739" s="282"/>
      <c r="K739" s="282"/>
      <c r="L739" s="282"/>
      <c r="M739" s="282"/>
      <c r="N739" s="282"/>
      <c r="O739" s="282"/>
      <c r="P739" s="282"/>
      <c r="Q739" s="282"/>
      <c r="R739" s="282"/>
      <c r="S739" s="282"/>
      <c r="T739" s="282"/>
      <c r="U739" s="282"/>
      <c r="V739" s="298"/>
      <c r="W739" s="298"/>
      <c r="X739" s="298"/>
      <c r="Y739" s="298"/>
      <c r="Z739" s="298"/>
      <c r="AA739" s="298"/>
      <c r="AB739" s="298"/>
      <c r="AC739" s="298"/>
      <c r="AD739" s="298"/>
      <c r="AE739" s="298"/>
      <c r="AF739" s="298"/>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row>
    <row r="740">
      <c r="A740" s="304"/>
      <c r="B740" s="282"/>
      <c r="C740" s="282"/>
      <c r="D740" s="282"/>
      <c r="E740" s="282"/>
      <c r="F740" s="282"/>
      <c r="G740" s="282"/>
      <c r="H740" s="282"/>
      <c r="I740" s="282"/>
      <c r="J740" s="282"/>
      <c r="K740" s="282"/>
      <c r="L740" s="282"/>
      <c r="M740" s="282"/>
      <c r="N740" s="282"/>
      <c r="O740" s="282"/>
      <c r="P740" s="282"/>
      <c r="Q740" s="282"/>
      <c r="R740" s="282"/>
      <c r="S740" s="282"/>
      <c r="T740" s="282"/>
      <c r="U740" s="282"/>
      <c r="V740" s="298"/>
      <c r="W740" s="298"/>
      <c r="X740" s="298"/>
      <c r="Y740" s="298"/>
      <c r="Z740" s="298"/>
      <c r="AA740" s="298"/>
      <c r="AB740" s="298"/>
      <c r="AC740" s="298"/>
      <c r="AD740" s="298"/>
      <c r="AE740" s="298"/>
      <c r="AF740" s="298"/>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row>
    <row r="741">
      <c r="A741" s="304"/>
      <c r="B741" s="282"/>
      <c r="C741" s="282"/>
      <c r="D741" s="282"/>
      <c r="E741" s="282"/>
      <c r="F741" s="282"/>
      <c r="G741" s="282"/>
      <c r="H741" s="282"/>
      <c r="I741" s="282"/>
      <c r="J741" s="282"/>
      <c r="K741" s="282"/>
      <c r="L741" s="282"/>
      <c r="M741" s="282"/>
      <c r="N741" s="282"/>
      <c r="O741" s="282"/>
      <c r="P741" s="282"/>
      <c r="Q741" s="282"/>
      <c r="R741" s="282"/>
      <c r="S741" s="282"/>
      <c r="T741" s="282"/>
      <c r="U741" s="282"/>
      <c r="V741" s="298"/>
      <c r="W741" s="298"/>
      <c r="X741" s="298"/>
      <c r="Y741" s="298"/>
      <c r="Z741" s="298"/>
      <c r="AA741" s="298"/>
      <c r="AB741" s="298"/>
      <c r="AC741" s="298"/>
      <c r="AD741" s="298"/>
      <c r="AE741" s="298"/>
      <c r="AF741" s="298"/>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row>
    <row r="742">
      <c r="A742" s="304"/>
      <c r="B742" s="282"/>
      <c r="C742" s="282"/>
      <c r="D742" s="282"/>
      <c r="E742" s="282"/>
      <c r="F742" s="282"/>
      <c r="G742" s="282"/>
      <c r="H742" s="282"/>
      <c r="I742" s="282"/>
      <c r="J742" s="282"/>
      <c r="K742" s="282"/>
      <c r="L742" s="282"/>
      <c r="M742" s="282"/>
      <c r="N742" s="282"/>
      <c r="O742" s="282"/>
      <c r="P742" s="282"/>
      <c r="Q742" s="282"/>
      <c r="R742" s="282"/>
      <c r="S742" s="282"/>
      <c r="T742" s="282"/>
      <c r="U742" s="282"/>
      <c r="V742" s="298"/>
      <c r="W742" s="298"/>
      <c r="X742" s="298"/>
      <c r="Y742" s="298"/>
      <c r="Z742" s="298"/>
      <c r="AA742" s="298"/>
      <c r="AB742" s="298"/>
      <c r="AC742" s="298"/>
      <c r="AD742" s="298"/>
      <c r="AE742" s="298"/>
      <c r="AF742" s="298"/>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row>
    <row r="743">
      <c r="A743" s="304"/>
      <c r="B743" s="282"/>
      <c r="C743" s="282"/>
      <c r="D743" s="282"/>
      <c r="E743" s="282"/>
      <c r="F743" s="282"/>
      <c r="G743" s="282"/>
      <c r="H743" s="282"/>
      <c r="I743" s="282"/>
      <c r="J743" s="282"/>
      <c r="K743" s="282"/>
      <c r="L743" s="282"/>
      <c r="M743" s="282"/>
      <c r="N743" s="282"/>
      <c r="O743" s="282"/>
      <c r="P743" s="282"/>
      <c r="Q743" s="282"/>
      <c r="R743" s="282"/>
      <c r="S743" s="282"/>
      <c r="T743" s="282"/>
      <c r="U743" s="282"/>
      <c r="V743" s="298"/>
      <c r="W743" s="298"/>
      <c r="X743" s="298"/>
      <c r="Y743" s="298"/>
      <c r="Z743" s="298"/>
      <c r="AA743" s="298"/>
      <c r="AB743" s="298"/>
      <c r="AC743" s="298"/>
      <c r="AD743" s="298"/>
      <c r="AE743" s="298"/>
      <c r="AF743" s="298"/>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row>
    <row r="744">
      <c r="A744" s="304"/>
      <c r="B744" s="282"/>
      <c r="C744" s="282"/>
      <c r="D744" s="282"/>
      <c r="E744" s="282"/>
      <c r="F744" s="282"/>
      <c r="G744" s="282"/>
      <c r="H744" s="282"/>
      <c r="I744" s="282"/>
      <c r="J744" s="282"/>
      <c r="K744" s="282"/>
      <c r="L744" s="282"/>
      <c r="M744" s="282"/>
      <c r="N744" s="282"/>
      <c r="O744" s="282"/>
      <c r="P744" s="282"/>
      <c r="Q744" s="282"/>
      <c r="R744" s="282"/>
      <c r="S744" s="282"/>
      <c r="T744" s="282"/>
      <c r="U744" s="282"/>
      <c r="V744" s="298"/>
      <c r="W744" s="298"/>
      <c r="X744" s="298"/>
      <c r="Y744" s="298"/>
      <c r="Z744" s="298"/>
      <c r="AA744" s="298"/>
      <c r="AB744" s="298"/>
      <c r="AC744" s="298"/>
      <c r="AD744" s="298"/>
      <c r="AE744" s="298"/>
      <c r="AF744" s="298"/>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row>
    <row r="745">
      <c r="A745" s="304"/>
      <c r="B745" s="282"/>
      <c r="C745" s="282"/>
      <c r="D745" s="282"/>
      <c r="E745" s="282"/>
      <c r="F745" s="282"/>
      <c r="G745" s="282"/>
      <c r="H745" s="282"/>
      <c r="I745" s="282"/>
      <c r="J745" s="282"/>
      <c r="K745" s="282"/>
      <c r="L745" s="282"/>
      <c r="M745" s="282"/>
      <c r="N745" s="282"/>
      <c r="O745" s="282"/>
      <c r="P745" s="282"/>
      <c r="Q745" s="282"/>
      <c r="R745" s="282"/>
      <c r="S745" s="282"/>
      <c r="T745" s="282"/>
      <c r="U745" s="282"/>
      <c r="V745" s="298"/>
      <c r="W745" s="298"/>
      <c r="X745" s="298"/>
      <c r="Y745" s="298"/>
      <c r="Z745" s="298"/>
      <c r="AA745" s="298"/>
      <c r="AB745" s="298"/>
      <c r="AC745" s="298"/>
      <c r="AD745" s="298"/>
      <c r="AE745" s="298"/>
      <c r="AF745" s="298"/>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row>
    <row r="746">
      <c r="A746" s="304"/>
      <c r="B746" s="282"/>
      <c r="C746" s="282"/>
      <c r="D746" s="282"/>
      <c r="E746" s="282"/>
      <c r="F746" s="282"/>
      <c r="G746" s="282"/>
      <c r="H746" s="282"/>
      <c r="I746" s="282"/>
      <c r="J746" s="282"/>
      <c r="K746" s="282"/>
      <c r="L746" s="282"/>
      <c r="M746" s="282"/>
      <c r="N746" s="282"/>
      <c r="O746" s="282"/>
      <c r="P746" s="282"/>
      <c r="Q746" s="282"/>
      <c r="R746" s="282"/>
      <c r="S746" s="282"/>
      <c r="T746" s="282"/>
      <c r="U746" s="282"/>
      <c r="V746" s="298"/>
      <c r="W746" s="298"/>
      <c r="X746" s="298"/>
      <c r="Y746" s="298"/>
      <c r="Z746" s="298"/>
      <c r="AA746" s="298"/>
      <c r="AB746" s="298"/>
      <c r="AC746" s="298"/>
      <c r="AD746" s="298"/>
      <c r="AE746" s="298"/>
      <c r="AF746" s="298"/>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row>
    <row r="747">
      <c r="A747" s="304"/>
      <c r="B747" s="282"/>
      <c r="C747" s="282"/>
      <c r="D747" s="282"/>
      <c r="E747" s="282"/>
      <c r="F747" s="282"/>
      <c r="G747" s="282"/>
      <c r="H747" s="282"/>
      <c r="I747" s="282"/>
      <c r="J747" s="282"/>
      <c r="K747" s="282"/>
      <c r="L747" s="282"/>
      <c r="M747" s="282"/>
      <c r="N747" s="282"/>
      <c r="O747" s="282"/>
      <c r="P747" s="282"/>
      <c r="Q747" s="282"/>
      <c r="R747" s="282"/>
      <c r="S747" s="282"/>
      <c r="T747" s="282"/>
      <c r="U747" s="282"/>
      <c r="V747" s="298"/>
      <c r="W747" s="298"/>
      <c r="X747" s="298"/>
      <c r="Y747" s="298"/>
      <c r="Z747" s="298"/>
      <c r="AA747" s="298"/>
      <c r="AB747" s="298"/>
      <c r="AC747" s="298"/>
      <c r="AD747" s="298"/>
      <c r="AE747" s="298"/>
      <c r="AF747" s="298"/>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row>
    <row r="748">
      <c r="A748" s="304"/>
      <c r="B748" s="282"/>
      <c r="C748" s="282"/>
      <c r="D748" s="282"/>
      <c r="E748" s="282"/>
      <c r="F748" s="282"/>
      <c r="G748" s="282"/>
      <c r="H748" s="282"/>
      <c r="I748" s="282"/>
      <c r="J748" s="282"/>
      <c r="K748" s="282"/>
      <c r="L748" s="282"/>
      <c r="M748" s="282"/>
      <c r="N748" s="282"/>
      <c r="O748" s="282"/>
      <c r="P748" s="282"/>
      <c r="Q748" s="282"/>
      <c r="R748" s="282"/>
      <c r="S748" s="282"/>
      <c r="T748" s="282"/>
      <c r="U748" s="282"/>
      <c r="V748" s="298"/>
      <c r="W748" s="298"/>
      <c r="X748" s="298"/>
      <c r="Y748" s="298"/>
      <c r="Z748" s="298"/>
      <c r="AA748" s="298"/>
      <c r="AB748" s="298"/>
      <c r="AC748" s="298"/>
      <c r="AD748" s="298"/>
      <c r="AE748" s="298"/>
      <c r="AF748" s="298"/>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row>
    <row r="749">
      <c r="A749" s="304"/>
      <c r="B749" s="282"/>
      <c r="C749" s="282"/>
      <c r="D749" s="282"/>
      <c r="E749" s="282"/>
      <c r="F749" s="282"/>
      <c r="G749" s="282"/>
      <c r="H749" s="282"/>
      <c r="I749" s="282"/>
      <c r="J749" s="282"/>
      <c r="K749" s="282"/>
      <c r="L749" s="282"/>
      <c r="M749" s="282"/>
      <c r="N749" s="282"/>
      <c r="O749" s="282"/>
      <c r="P749" s="282"/>
      <c r="Q749" s="282"/>
      <c r="R749" s="282"/>
      <c r="S749" s="282"/>
      <c r="T749" s="282"/>
      <c r="U749" s="282"/>
      <c r="V749" s="298"/>
      <c r="W749" s="298"/>
      <c r="X749" s="298"/>
      <c r="Y749" s="298"/>
      <c r="Z749" s="298"/>
      <c r="AA749" s="298"/>
      <c r="AB749" s="298"/>
      <c r="AC749" s="298"/>
      <c r="AD749" s="298"/>
      <c r="AE749" s="298"/>
      <c r="AF749" s="298"/>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row>
    <row r="750">
      <c r="A750" s="304"/>
      <c r="B750" s="282"/>
      <c r="C750" s="282"/>
      <c r="D750" s="282"/>
      <c r="E750" s="282"/>
      <c r="F750" s="282"/>
      <c r="G750" s="282"/>
      <c r="H750" s="282"/>
      <c r="I750" s="282"/>
      <c r="J750" s="282"/>
      <c r="K750" s="282"/>
      <c r="L750" s="282"/>
      <c r="M750" s="282"/>
      <c r="N750" s="282"/>
      <c r="O750" s="282"/>
      <c r="P750" s="282"/>
      <c r="Q750" s="282"/>
      <c r="R750" s="282"/>
      <c r="S750" s="282"/>
      <c r="T750" s="282"/>
      <c r="U750" s="282"/>
      <c r="V750" s="298"/>
      <c r="W750" s="298"/>
      <c r="X750" s="298"/>
      <c r="Y750" s="298"/>
      <c r="Z750" s="298"/>
      <c r="AA750" s="298"/>
      <c r="AB750" s="298"/>
      <c r="AC750" s="298"/>
      <c r="AD750" s="298"/>
      <c r="AE750" s="298"/>
      <c r="AF750" s="298"/>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row>
    <row r="751">
      <c r="A751" s="304"/>
      <c r="B751" s="282"/>
      <c r="C751" s="282"/>
      <c r="D751" s="282"/>
      <c r="E751" s="282"/>
      <c r="F751" s="282"/>
      <c r="G751" s="282"/>
      <c r="H751" s="282"/>
      <c r="I751" s="282"/>
      <c r="J751" s="282"/>
      <c r="K751" s="282"/>
      <c r="L751" s="282"/>
      <c r="M751" s="282"/>
      <c r="N751" s="282"/>
      <c r="O751" s="282"/>
      <c r="P751" s="282"/>
      <c r="Q751" s="282"/>
      <c r="R751" s="282"/>
      <c r="S751" s="282"/>
      <c r="T751" s="282"/>
      <c r="U751" s="282"/>
      <c r="V751" s="298"/>
      <c r="W751" s="298"/>
      <c r="X751" s="298"/>
      <c r="Y751" s="298"/>
      <c r="Z751" s="298"/>
      <c r="AA751" s="298"/>
      <c r="AB751" s="298"/>
      <c r="AC751" s="298"/>
      <c r="AD751" s="298"/>
      <c r="AE751" s="298"/>
      <c r="AF751" s="298"/>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row>
    <row r="752">
      <c r="A752" s="304"/>
      <c r="B752" s="282"/>
      <c r="C752" s="282"/>
      <c r="D752" s="282"/>
      <c r="E752" s="282"/>
      <c r="F752" s="282"/>
      <c r="G752" s="282"/>
      <c r="H752" s="282"/>
      <c r="I752" s="282"/>
      <c r="J752" s="282"/>
      <c r="K752" s="282"/>
      <c r="L752" s="282"/>
      <c r="M752" s="282"/>
      <c r="N752" s="282"/>
      <c r="O752" s="282"/>
      <c r="P752" s="282"/>
      <c r="Q752" s="282"/>
      <c r="R752" s="282"/>
      <c r="S752" s="282"/>
      <c r="T752" s="282"/>
      <c r="U752" s="282"/>
      <c r="V752" s="298"/>
      <c r="W752" s="298"/>
      <c r="X752" s="298"/>
      <c r="Y752" s="298"/>
      <c r="Z752" s="298"/>
      <c r="AA752" s="298"/>
      <c r="AB752" s="298"/>
      <c r="AC752" s="298"/>
      <c r="AD752" s="298"/>
      <c r="AE752" s="298"/>
      <c r="AF752" s="298"/>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row>
    <row r="753">
      <c r="A753" s="304"/>
      <c r="B753" s="282"/>
      <c r="C753" s="282"/>
      <c r="D753" s="282"/>
      <c r="E753" s="282"/>
      <c r="F753" s="282"/>
      <c r="G753" s="282"/>
      <c r="H753" s="282"/>
      <c r="I753" s="282"/>
      <c r="J753" s="282"/>
      <c r="K753" s="282"/>
      <c r="L753" s="282"/>
      <c r="M753" s="282"/>
      <c r="N753" s="282"/>
      <c r="O753" s="282"/>
      <c r="P753" s="282"/>
      <c r="Q753" s="282"/>
      <c r="R753" s="282"/>
      <c r="S753" s="282"/>
      <c r="T753" s="282"/>
      <c r="U753" s="282"/>
      <c r="V753" s="298"/>
      <c r="W753" s="298"/>
      <c r="X753" s="298"/>
      <c r="Y753" s="298"/>
      <c r="Z753" s="298"/>
      <c r="AA753" s="298"/>
      <c r="AB753" s="298"/>
      <c r="AC753" s="298"/>
      <c r="AD753" s="298"/>
      <c r="AE753" s="298"/>
      <c r="AF753" s="298"/>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row>
    <row r="754">
      <c r="A754" s="304"/>
      <c r="B754" s="282"/>
      <c r="C754" s="282"/>
      <c r="D754" s="282"/>
      <c r="E754" s="282"/>
      <c r="F754" s="282"/>
      <c r="G754" s="282"/>
      <c r="H754" s="282"/>
      <c r="I754" s="282"/>
      <c r="J754" s="282"/>
      <c r="K754" s="282"/>
      <c r="L754" s="282"/>
      <c r="M754" s="282"/>
      <c r="N754" s="282"/>
      <c r="O754" s="282"/>
      <c r="P754" s="282"/>
      <c r="Q754" s="282"/>
      <c r="R754" s="282"/>
      <c r="S754" s="282"/>
      <c r="T754" s="282"/>
      <c r="U754" s="282"/>
      <c r="V754" s="298"/>
      <c r="W754" s="298"/>
      <c r="X754" s="298"/>
      <c r="Y754" s="298"/>
      <c r="Z754" s="298"/>
      <c r="AA754" s="298"/>
      <c r="AB754" s="298"/>
      <c r="AC754" s="298"/>
      <c r="AD754" s="298"/>
      <c r="AE754" s="298"/>
      <c r="AF754" s="298"/>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row>
    <row r="755">
      <c r="A755" s="304"/>
      <c r="B755" s="282"/>
      <c r="C755" s="282"/>
      <c r="D755" s="282"/>
      <c r="E755" s="282"/>
      <c r="F755" s="282"/>
      <c r="G755" s="282"/>
      <c r="H755" s="282"/>
      <c r="I755" s="282"/>
      <c r="J755" s="282"/>
      <c r="K755" s="282"/>
      <c r="L755" s="282"/>
      <c r="M755" s="282"/>
      <c r="N755" s="282"/>
      <c r="O755" s="282"/>
      <c r="P755" s="282"/>
      <c r="Q755" s="282"/>
      <c r="R755" s="282"/>
      <c r="S755" s="282"/>
      <c r="T755" s="282"/>
      <c r="U755" s="282"/>
      <c r="V755" s="298"/>
      <c r="W755" s="298"/>
      <c r="X755" s="298"/>
      <c r="Y755" s="298"/>
      <c r="Z755" s="298"/>
      <c r="AA755" s="298"/>
      <c r="AB755" s="298"/>
      <c r="AC755" s="298"/>
      <c r="AD755" s="298"/>
      <c r="AE755" s="298"/>
      <c r="AF755" s="298"/>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row>
    <row r="756">
      <c r="A756" s="304"/>
      <c r="B756" s="282"/>
      <c r="C756" s="282"/>
      <c r="D756" s="282"/>
      <c r="E756" s="282"/>
      <c r="F756" s="282"/>
      <c r="G756" s="282"/>
      <c r="H756" s="282"/>
      <c r="I756" s="282"/>
      <c r="J756" s="282"/>
      <c r="K756" s="282"/>
      <c r="L756" s="282"/>
      <c r="M756" s="282"/>
      <c r="N756" s="282"/>
      <c r="O756" s="282"/>
      <c r="P756" s="282"/>
      <c r="Q756" s="282"/>
      <c r="R756" s="282"/>
      <c r="S756" s="282"/>
      <c r="T756" s="282"/>
      <c r="U756" s="282"/>
      <c r="V756" s="298"/>
      <c r="W756" s="298"/>
      <c r="X756" s="298"/>
      <c r="Y756" s="298"/>
      <c r="Z756" s="298"/>
      <c r="AA756" s="298"/>
      <c r="AB756" s="298"/>
      <c r="AC756" s="298"/>
      <c r="AD756" s="298"/>
      <c r="AE756" s="298"/>
      <c r="AF756" s="298"/>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row>
    <row r="757">
      <c r="A757" s="304"/>
      <c r="B757" s="282"/>
      <c r="C757" s="282"/>
      <c r="D757" s="282"/>
      <c r="E757" s="282"/>
      <c r="F757" s="282"/>
      <c r="G757" s="282"/>
      <c r="H757" s="282"/>
      <c r="I757" s="282"/>
      <c r="J757" s="282"/>
      <c r="K757" s="282"/>
      <c r="L757" s="282"/>
      <c r="M757" s="282"/>
      <c r="N757" s="282"/>
      <c r="O757" s="282"/>
      <c r="P757" s="282"/>
      <c r="Q757" s="282"/>
      <c r="R757" s="282"/>
      <c r="S757" s="282"/>
      <c r="T757" s="282"/>
      <c r="U757" s="282"/>
      <c r="V757" s="298"/>
      <c r="W757" s="298"/>
      <c r="X757" s="298"/>
      <c r="Y757" s="298"/>
      <c r="Z757" s="298"/>
      <c r="AA757" s="298"/>
      <c r="AB757" s="298"/>
      <c r="AC757" s="298"/>
      <c r="AD757" s="298"/>
      <c r="AE757" s="298"/>
      <c r="AF757" s="298"/>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row>
    <row r="758">
      <c r="A758" s="304"/>
      <c r="B758" s="282"/>
      <c r="C758" s="282"/>
      <c r="D758" s="282"/>
      <c r="E758" s="282"/>
      <c r="F758" s="282"/>
      <c r="G758" s="282"/>
      <c r="H758" s="282"/>
      <c r="I758" s="282"/>
      <c r="J758" s="282"/>
      <c r="K758" s="282"/>
      <c r="L758" s="282"/>
      <c r="M758" s="282"/>
      <c r="N758" s="282"/>
      <c r="O758" s="282"/>
      <c r="P758" s="282"/>
      <c r="Q758" s="282"/>
      <c r="R758" s="282"/>
      <c r="S758" s="282"/>
      <c r="T758" s="282"/>
      <c r="U758" s="282"/>
      <c r="V758" s="298"/>
      <c r="W758" s="298"/>
      <c r="X758" s="298"/>
      <c r="Y758" s="298"/>
      <c r="Z758" s="298"/>
      <c r="AA758" s="298"/>
      <c r="AB758" s="298"/>
      <c r="AC758" s="298"/>
      <c r="AD758" s="298"/>
      <c r="AE758" s="298"/>
      <c r="AF758" s="298"/>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row>
    <row r="759">
      <c r="A759" s="304"/>
      <c r="B759" s="282"/>
      <c r="C759" s="282"/>
      <c r="D759" s="282"/>
      <c r="E759" s="282"/>
      <c r="F759" s="282"/>
      <c r="G759" s="282"/>
      <c r="H759" s="282"/>
      <c r="I759" s="282"/>
      <c r="J759" s="282"/>
      <c r="K759" s="282"/>
      <c r="L759" s="282"/>
      <c r="M759" s="282"/>
      <c r="N759" s="282"/>
      <c r="O759" s="282"/>
      <c r="P759" s="282"/>
      <c r="Q759" s="282"/>
      <c r="R759" s="282"/>
      <c r="S759" s="282"/>
      <c r="T759" s="282"/>
      <c r="U759" s="282"/>
      <c r="V759" s="298"/>
      <c r="W759" s="298"/>
      <c r="X759" s="298"/>
      <c r="Y759" s="298"/>
      <c r="Z759" s="298"/>
      <c r="AA759" s="298"/>
      <c r="AB759" s="298"/>
      <c r="AC759" s="298"/>
      <c r="AD759" s="298"/>
      <c r="AE759" s="298"/>
      <c r="AF759" s="298"/>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row>
    <row r="760">
      <c r="A760" s="304"/>
      <c r="B760" s="282"/>
      <c r="C760" s="282"/>
      <c r="D760" s="282"/>
      <c r="E760" s="282"/>
      <c r="F760" s="282"/>
      <c r="G760" s="282"/>
      <c r="H760" s="282"/>
      <c r="I760" s="282"/>
      <c r="J760" s="282"/>
      <c r="K760" s="282"/>
      <c r="L760" s="282"/>
      <c r="M760" s="282"/>
      <c r="N760" s="282"/>
      <c r="O760" s="282"/>
      <c r="P760" s="282"/>
      <c r="Q760" s="282"/>
      <c r="R760" s="282"/>
      <c r="S760" s="282"/>
      <c r="T760" s="282"/>
      <c r="U760" s="282"/>
      <c r="V760" s="298"/>
      <c r="W760" s="298"/>
      <c r="X760" s="298"/>
      <c r="Y760" s="298"/>
      <c r="Z760" s="298"/>
      <c r="AA760" s="298"/>
      <c r="AB760" s="298"/>
      <c r="AC760" s="298"/>
      <c r="AD760" s="298"/>
      <c r="AE760" s="298"/>
      <c r="AF760" s="298"/>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row>
    <row r="761">
      <c r="A761" s="304"/>
      <c r="B761" s="282"/>
      <c r="C761" s="282"/>
      <c r="D761" s="282"/>
      <c r="E761" s="282"/>
      <c r="F761" s="282"/>
      <c r="G761" s="282"/>
      <c r="H761" s="282"/>
      <c r="I761" s="282"/>
      <c r="J761" s="282"/>
      <c r="K761" s="282"/>
      <c r="L761" s="282"/>
      <c r="M761" s="282"/>
      <c r="N761" s="282"/>
      <c r="O761" s="282"/>
      <c r="P761" s="282"/>
      <c r="Q761" s="282"/>
      <c r="R761" s="282"/>
      <c r="S761" s="282"/>
      <c r="T761" s="282"/>
      <c r="U761" s="282"/>
      <c r="V761" s="298"/>
      <c r="W761" s="298"/>
      <c r="X761" s="298"/>
      <c r="Y761" s="298"/>
      <c r="Z761" s="298"/>
      <c r="AA761" s="298"/>
      <c r="AB761" s="298"/>
      <c r="AC761" s="298"/>
      <c r="AD761" s="298"/>
      <c r="AE761" s="298"/>
      <c r="AF761" s="298"/>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row>
    <row r="762">
      <c r="A762" s="304"/>
      <c r="B762" s="282"/>
      <c r="C762" s="282"/>
      <c r="D762" s="282"/>
      <c r="E762" s="282"/>
      <c r="F762" s="282"/>
      <c r="G762" s="282"/>
      <c r="H762" s="282"/>
      <c r="I762" s="282"/>
      <c r="J762" s="282"/>
      <c r="K762" s="282"/>
      <c r="L762" s="282"/>
      <c r="M762" s="282"/>
      <c r="N762" s="282"/>
      <c r="O762" s="282"/>
      <c r="P762" s="282"/>
      <c r="Q762" s="282"/>
      <c r="R762" s="282"/>
      <c r="S762" s="282"/>
      <c r="T762" s="282"/>
      <c r="U762" s="282"/>
      <c r="V762" s="298"/>
      <c r="W762" s="298"/>
      <c r="X762" s="298"/>
      <c r="Y762" s="298"/>
      <c r="Z762" s="298"/>
      <c r="AA762" s="298"/>
      <c r="AB762" s="298"/>
      <c r="AC762" s="298"/>
      <c r="AD762" s="298"/>
      <c r="AE762" s="298"/>
      <c r="AF762" s="298"/>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row>
    <row r="763">
      <c r="A763" s="304"/>
      <c r="B763" s="282"/>
      <c r="C763" s="282"/>
      <c r="D763" s="282"/>
      <c r="E763" s="282"/>
      <c r="F763" s="282"/>
      <c r="G763" s="282"/>
      <c r="H763" s="282"/>
      <c r="I763" s="282"/>
      <c r="J763" s="282"/>
      <c r="K763" s="282"/>
      <c r="L763" s="282"/>
      <c r="M763" s="282"/>
      <c r="N763" s="282"/>
      <c r="O763" s="282"/>
      <c r="P763" s="282"/>
      <c r="Q763" s="282"/>
      <c r="R763" s="282"/>
      <c r="S763" s="282"/>
      <c r="T763" s="282"/>
      <c r="U763" s="282"/>
      <c r="V763" s="298"/>
      <c r="W763" s="298"/>
      <c r="X763" s="298"/>
      <c r="Y763" s="298"/>
      <c r="Z763" s="298"/>
      <c r="AA763" s="298"/>
      <c r="AB763" s="298"/>
      <c r="AC763" s="298"/>
      <c r="AD763" s="298"/>
      <c r="AE763" s="298"/>
      <c r="AF763" s="298"/>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row>
    <row r="764">
      <c r="A764" s="304"/>
      <c r="B764" s="282"/>
      <c r="C764" s="282"/>
      <c r="D764" s="282"/>
      <c r="E764" s="282"/>
      <c r="F764" s="282"/>
      <c r="G764" s="282"/>
      <c r="H764" s="282"/>
      <c r="I764" s="282"/>
      <c r="J764" s="282"/>
      <c r="K764" s="282"/>
      <c r="L764" s="282"/>
      <c r="M764" s="282"/>
      <c r="N764" s="282"/>
      <c r="O764" s="282"/>
      <c r="P764" s="282"/>
      <c r="Q764" s="282"/>
      <c r="R764" s="282"/>
      <c r="S764" s="282"/>
      <c r="T764" s="282"/>
      <c r="U764" s="282"/>
      <c r="V764" s="298"/>
      <c r="W764" s="298"/>
      <c r="X764" s="298"/>
      <c r="Y764" s="298"/>
      <c r="Z764" s="298"/>
      <c r="AA764" s="298"/>
      <c r="AB764" s="298"/>
      <c r="AC764" s="298"/>
      <c r="AD764" s="298"/>
      <c r="AE764" s="298"/>
      <c r="AF764" s="298"/>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row>
    <row r="765">
      <c r="A765" s="304"/>
      <c r="B765" s="282"/>
      <c r="C765" s="282"/>
      <c r="D765" s="282"/>
      <c r="E765" s="282"/>
      <c r="F765" s="282"/>
      <c r="G765" s="282"/>
      <c r="H765" s="282"/>
      <c r="I765" s="282"/>
      <c r="J765" s="282"/>
      <c r="K765" s="282"/>
      <c r="L765" s="282"/>
      <c r="M765" s="282"/>
      <c r="N765" s="282"/>
      <c r="O765" s="282"/>
      <c r="P765" s="282"/>
      <c r="Q765" s="282"/>
      <c r="R765" s="282"/>
      <c r="S765" s="282"/>
      <c r="T765" s="282"/>
      <c r="U765" s="282"/>
      <c r="V765" s="298"/>
      <c r="W765" s="298"/>
      <c r="X765" s="298"/>
      <c r="Y765" s="298"/>
      <c r="Z765" s="298"/>
      <c r="AA765" s="298"/>
      <c r="AB765" s="298"/>
      <c r="AC765" s="298"/>
      <c r="AD765" s="298"/>
      <c r="AE765" s="298"/>
      <c r="AF765" s="298"/>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row>
    <row r="766">
      <c r="A766" s="304"/>
      <c r="B766" s="282"/>
      <c r="C766" s="282"/>
      <c r="D766" s="282"/>
      <c r="E766" s="282"/>
      <c r="F766" s="282"/>
      <c r="G766" s="282"/>
      <c r="H766" s="282"/>
      <c r="I766" s="282"/>
      <c r="J766" s="282"/>
      <c r="K766" s="282"/>
      <c r="L766" s="282"/>
      <c r="M766" s="282"/>
      <c r="N766" s="282"/>
      <c r="O766" s="282"/>
      <c r="P766" s="282"/>
      <c r="Q766" s="282"/>
      <c r="R766" s="282"/>
      <c r="S766" s="282"/>
      <c r="T766" s="282"/>
      <c r="U766" s="282"/>
      <c r="V766" s="298"/>
      <c r="W766" s="298"/>
      <c r="X766" s="298"/>
      <c r="Y766" s="298"/>
      <c r="Z766" s="298"/>
      <c r="AA766" s="298"/>
      <c r="AB766" s="298"/>
      <c r="AC766" s="298"/>
      <c r="AD766" s="298"/>
      <c r="AE766" s="298"/>
      <c r="AF766" s="298"/>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row>
    <row r="767">
      <c r="A767" s="304"/>
      <c r="B767" s="282"/>
      <c r="C767" s="282"/>
      <c r="D767" s="282"/>
      <c r="E767" s="282"/>
      <c r="F767" s="282"/>
      <c r="G767" s="282"/>
      <c r="H767" s="282"/>
      <c r="I767" s="282"/>
      <c r="J767" s="282"/>
      <c r="K767" s="282"/>
      <c r="L767" s="282"/>
      <c r="M767" s="282"/>
      <c r="N767" s="282"/>
      <c r="O767" s="282"/>
      <c r="P767" s="282"/>
      <c r="Q767" s="282"/>
      <c r="R767" s="282"/>
      <c r="S767" s="282"/>
      <c r="T767" s="282"/>
      <c r="U767" s="282"/>
      <c r="V767" s="298"/>
      <c r="W767" s="298"/>
      <c r="X767" s="298"/>
      <c r="Y767" s="298"/>
      <c r="Z767" s="298"/>
      <c r="AA767" s="298"/>
      <c r="AB767" s="298"/>
      <c r="AC767" s="298"/>
      <c r="AD767" s="298"/>
      <c r="AE767" s="298"/>
      <c r="AF767" s="298"/>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row>
    <row r="768">
      <c r="A768" s="304"/>
      <c r="B768" s="282"/>
      <c r="C768" s="282"/>
      <c r="D768" s="282"/>
      <c r="E768" s="282"/>
      <c r="F768" s="282"/>
      <c r="G768" s="282"/>
      <c r="H768" s="282"/>
      <c r="I768" s="282"/>
      <c r="J768" s="282"/>
      <c r="K768" s="282"/>
      <c r="L768" s="282"/>
      <c r="M768" s="282"/>
      <c r="N768" s="282"/>
      <c r="O768" s="282"/>
      <c r="P768" s="282"/>
      <c r="Q768" s="282"/>
      <c r="R768" s="282"/>
      <c r="S768" s="282"/>
      <c r="T768" s="282"/>
      <c r="U768" s="282"/>
      <c r="V768" s="298"/>
      <c r="W768" s="298"/>
      <c r="X768" s="298"/>
      <c r="Y768" s="298"/>
      <c r="Z768" s="298"/>
      <c r="AA768" s="298"/>
      <c r="AB768" s="298"/>
      <c r="AC768" s="298"/>
      <c r="AD768" s="298"/>
      <c r="AE768" s="298"/>
      <c r="AF768" s="298"/>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row>
    <row r="769">
      <c r="A769" s="304"/>
      <c r="B769" s="282"/>
      <c r="C769" s="282"/>
      <c r="D769" s="282"/>
      <c r="E769" s="282"/>
      <c r="F769" s="282"/>
      <c r="G769" s="282"/>
      <c r="H769" s="282"/>
      <c r="I769" s="282"/>
      <c r="J769" s="282"/>
      <c r="K769" s="282"/>
      <c r="L769" s="282"/>
      <c r="M769" s="282"/>
      <c r="N769" s="282"/>
      <c r="O769" s="282"/>
      <c r="P769" s="282"/>
      <c r="Q769" s="282"/>
      <c r="R769" s="282"/>
      <c r="S769" s="282"/>
      <c r="T769" s="282"/>
      <c r="U769" s="282"/>
      <c r="V769" s="298"/>
      <c r="W769" s="298"/>
      <c r="X769" s="298"/>
      <c r="Y769" s="298"/>
      <c r="Z769" s="298"/>
      <c r="AA769" s="298"/>
      <c r="AB769" s="298"/>
      <c r="AC769" s="298"/>
      <c r="AD769" s="298"/>
      <c r="AE769" s="298"/>
      <c r="AF769" s="298"/>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row>
    <row r="770">
      <c r="A770" s="304"/>
      <c r="B770" s="282"/>
      <c r="C770" s="282"/>
      <c r="D770" s="282"/>
      <c r="E770" s="282"/>
      <c r="F770" s="282"/>
      <c r="G770" s="282"/>
      <c r="H770" s="282"/>
      <c r="I770" s="282"/>
      <c r="J770" s="282"/>
      <c r="K770" s="282"/>
      <c r="L770" s="282"/>
      <c r="M770" s="282"/>
      <c r="N770" s="282"/>
      <c r="O770" s="282"/>
      <c r="P770" s="282"/>
      <c r="Q770" s="282"/>
      <c r="R770" s="282"/>
      <c r="S770" s="282"/>
      <c r="T770" s="282"/>
      <c r="U770" s="282"/>
      <c r="V770" s="298"/>
      <c r="W770" s="298"/>
      <c r="X770" s="298"/>
      <c r="Y770" s="298"/>
      <c r="Z770" s="298"/>
      <c r="AA770" s="298"/>
      <c r="AB770" s="298"/>
      <c r="AC770" s="298"/>
      <c r="AD770" s="298"/>
      <c r="AE770" s="298"/>
      <c r="AF770" s="298"/>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row>
    <row r="771">
      <c r="A771" s="304"/>
      <c r="B771" s="282"/>
      <c r="C771" s="282"/>
      <c r="D771" s="282"/>
      <c r="E771" s="282"/>
      <c r="F771" s="282"/>
      <c r="G771" s="282"/>
      <c r="H771" s="282"/>
      <c r="I771" s="282"/>
      <c r="J771" s="282"/>
      <c r="K771" s="282"/>
      <c r="L771" s="282"/>
      <c r="M771" s="282"/>
      <c r="N771" s="282"/>
      <c r="O771" s="282"/>
      <c r="P771" s="282"/>
      <c r="Q771" s="282"/>
      <c r="R771" s="282"/>
      <c r="S771" s="282"/>
      <c r="T771" s="282"/>
      <c r="U771" s="282"/>
      <c r="V771" s="298"/>
      <c r="W771" s="298"/>
      <c r="X771" s="298"/>
      <c r="Y771" s="298"/>
      <c r="Z771" s="298"/>
      <c r="AA771" s="298"/>
      <c r="AB771" s="298"/>
      <c r="AC771" s="298"/>
      <c r="AD771" s="298"/>
      <c r="AE771" s="298"/>
      <c r="AF771" s="298"/>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row>
    <row r="772">
      <c r="A772" s="304"/>
      <c r="B772" s="282"/>
      <c r="C772" s="282"/>
      <c r="D772" s="282"/>
      <c r="E772" s="282"/>
      <c r="F772" s="282"/>
      <c r="G772" s="282"/>
      <c r="H772" s="282"/>
      <c r="I772" s="282"/>
      <c r="J772" s="282"/>
      <c r="K772" s="282"/>
      <c r="L772" s="282"/>
      <c r="M772" s="282"/>
      <c r="N772" s="282"/>
      <c r="O772" s="282"/>
      <c r="P772" s="282"/>
      <c r="Q772" s="282"/>
      <c r="R772" s="282"/>
      <c r="S772" s="282"/>
      <c r="T772" s="282"/>
      <c r="U772" s="282"/>
      <c r="V772" s="298"/>
      <c r="W772" s="298"/>
      <c r="X772" s="298"/>
      <c r="Y772" s="298"/>
      <c r="Z772" s="298"/>
      <c r="AA772" s="298"/>
      <c r="AB772" s="298"/>
      <c r="AC772" s="298"/>
      <c r="AD772" s="298"/>
      <c r="AE772" s="298"/>
      <c r="AF772" s="298"/>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row>
    <row r="773">
      <c r="A773" s="304"/>
      <c r="B773" s="282"/>
      <c r="C773" s="282"/>
      <c r="D773" s="282"/>
      <c r="E773" s="282"/>
      <c r="F773" s="282"/>
      <c r="G773" s="282"/>
      <c r="H773" s="282"/>
      <c r="I773" s="282"/>
      <c r="J773" s="282"/>
      <c r="K773" s="282"/>
      <c r="L773" s="282"/>
      <c r="M773" s="282"/>
      <c r="N773" s="282"/>
      <c r="O773" s="282"/>
      <c r="P773" s="282"/>
      <c r="Q773" s="282"/>
      <c r="R773" s="282"/>
      <c r="S773" s="282"/>
      <c r="T773" s="282"/>
      <c r="U773" s="282"/>
      <c r="V773" s="298"/>
      <c r="W773" s="298"/>
      <c r="X773" s="298"/>
      <c r="Y773" s="298"/>
      <c r="Z773" s="298"/>
      <c r="AA773" s="298"/>
      <c r="AB773" s="298"/>
      <c r="AC773" s="298"/>
      <c r="AD773" s="298"/>
      <c r="AE773" s="298"/>
      <c r="AF773" s="298"/>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row>
    <row r="774">
      <c r="A774" s="304"/>
      <c r="B774" s="282"/>
      <c r="C774" s="282"/>
      <c r="D774" s="282"/>
      <c r="E774" s="282"/>
      <c r="F774" s="282"/>
      <c r="G774" s="282"/>
      <c r="H774" s="282"/>
      <c r="I774" s="282"/>
      <c r="J774" s="282"/>
      <c r="K774" s="282"/>
      <c r="L774" s="282"/>
      <c r="M774" s="282"/>
      <c r="N774" s="282"/>
      <c r="O774" s="282"/>
      <c r="P774" s="282"/>
      <c r="Q774" s="282"/>
      <c r="R774" s="282"/>
      <c r="S774" s="282"/>
      <c r="T774" s="282"/>
      <c r="U774" s="282"/>
      <c r="V774" s="298"/>
      <c r="W774" s="298"/>
      <c r="X774" s="298"/>
      <c r="Y774" s="298"/>
      <c r="Z774" s="298"/>
      <c r="AA774" s="298"/>
      <c r="AB774" s="298"/>
      <c r="AC774" s="298"/>
      <c r="AD774" s="298"/>
      <c r="AE774" s="298"/>
      <c r="AF774" s="298"/>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row>
    <row r="775">
      <c r="A775" s="304"/>
      <c r="B775" s="282"/>
      <c r="C775" s="282"/>
      <c r="D775" s="282"/>
      <c r="E775" s="282"/>
      <c r="F775" s="282"/>
      <c r="G775" s="282"/>
      <c r="H775" s="282"/>
      <c r="I775" s="282"/>
      <c r="J775" s="282"/>
      <c r="K775" s="282"/>
      <c r="L775" s="282"/>
      <c r="M775" s="282"/>
      <c r="N775" s="282"/>
      <c r="O775" s="282"/>
      <c r="P775" s="282"/>
      <c r="Q775" s="282"/>
      <c r="R775" s="282"/>
      <c r="S775" s="282"/>
      <c r="T775" s="282"/>
      <c r="U775" s="282"/>
      <c r="V775" s="298"/>
      <c r="W775" s="298"/>
      <c r="X775" s="298"/>
      <c r="Y775" s="298"/>
      <c r="Z775" s="298"/>
      <c r="AA775" s="298"/>
      <c r="AB775" s="298"/>
      <c r="AC775" s="298"/>
      <c r="AD775" s="298"/>
      <c r="AE775" s="298"/>
      <c r="AF775" s="298"/>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row>
    <row r="776">
      <c r="A776" s="304"/>
      <c r="B776" s="282"/>
      <c r="C776" s="282"/>
      <c r="D776" s="282"/>
      <c r="E776" s="282"/>
      <c r="F776" s="282"/>
      <c r="G776" s="282"/>
      <c r="H776" s="282"/>
      <c r="I776" s="282"/>
      <c r="J776" s="282"/>
      <c r="K776" s="282"/>
      <c r="L776" s="282"/>
      <c r="M776" s="282"/>
      <c r="N776" s="282"/>
      <c r="O776" s="282"/>
      <c r="P776" s="282"/>
      <c r="Q776" s="282"/>
      <c r="R776" s="282"/>
      <c r="S776" s="282"/>
      <c r="T776" s="282"/>
      <c r="U776" s="282"/>
      <c r="V776" s="298"/>
      <c r="W776" s="298"/>
      <c r="X776" s="298"/>
      <c r="Y776" s="298"/>
      <c r="Z776" s="298"/>
      <c r="AA776" s="298"/>
      <c r="AB776" s="298"/>
      <c r="AC776" s="298"/>
      <c r="AD776" s="298"/>
      <c r="AE776" s="298"/>
      <c r="AF776" s="298"/>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row>
    <row r="777">
      <c r="A777" s="304"/>
      <c r="B777" s="282"/>
      <c r="C777" s="282"/>
      <c r="D777" s="282"/>
      <c r="E777" s="282"/>
      <c r="F777" s="282"/>
      <c r="G777" s="282"/>
      <c r="H777" s="282"/>
      <c r="I777" s="282"/>
      <c r="J777" s="282"/>
      <c r="K777" s="282"/>
      <c r="L777" s="282"/>
      <c r="M777" s="282"/>
      <c r="N777" s="282"/>
      <c r="O777" s="282"/>
      <c r="P777" s="282"/>
      <c r="Q777" s="282"/>
      <c r="R777" s="282"/>
      <c r="S777" s="282"/>
      <c r="T777" s="282"/>
      <c r="U777" s="282"/>
      <c r="V777" s="298"/>
      <c r="W777" s="298"/>
      <c r="X777" s="298"/>
      <c r="Y777" s="298"/>
      <c r="Z777" s="298"/>
      <c r="AA777" s="298"/>
      <c r="AB777" s="298"/>
      <c r="AC777" s="298"/>
      <c r="AD777" s="298"/>
      <c r="AE777" s="298"/>
      <c r="AF777" s="298"/>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row>
    <row r="778">
      <c r="A778" s="304"/>
      <c r="B778" s="282"/>
      <c r="C778" s="282"/>
      <c r="D778" s="282"/>
      <c r="E778" s="282"/>
      <c r="F778" s="282"/>
      <c r="G778" s="282"/>
      <c r="H778" s="282"/>
      <c r="I778" s="282"/>
      <c r="J778" s="282"/>
      <c r="K778" s="282"/>
      <c r="L778" s="282"/>
      <c r="M778" s="282"/>
      <c r="N778" s="282"/>
      <c r="O778" s="282"/>
      <c r="P778" s="282"/>
      <c r="Q778" s="282"/>
      <c r="R778" s="282"/>
      <c r="S778" s="282"/>
      <c r="T778" s="282"/>
      <c r="U778" s="282"/>
      <c r="V778" s="298"/>
      <c r="W778" s="298"/>
      <c r="X778" s="298"/>
      <c r="Y778" s="298"/>
      <c r="Z778" s="298"/>
      <c r="AA778" s="298"/>
      <c r="AB778" s="298"/>
      <c r="AC778" s="298"/>
      <c r="AD778" s="298"/>
      <c r="AE778" s="298"/>
      <c r="AF778" s="298"/>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row>
    <row r="779">
      <c r="A779" s="304"/>
      <c r="B779" s="282"/>
      <c r="C779" s="282"/>
      <c r="D779" s="282"/>
      <c r="E779" s="282"/>
      <c r="F779" s="282"/>
      <c r="G779" s="282"/>
      <c r="H779" s="282"/>
      <c r="I779" s="282"/>
      <c r="J779" s="282"/>
      <c r="K779" s="282"/>
      <c r="L779" s="282"/>
      <c r="M779" s="282"/>
      <c r="N779" s="282"/>
      <c r="O779" s="282"/>
      <c r="P779" s="282"/>
      <c r="Q779" s="282"/>
      <c r="R779" s="282"/>
      <c r="S779" s="282"/>
      <c r="T779" s="282"/>
      <c r="U779" s="282"/>
      <c r="V779" s="298"/>
      <c r="W779" s="298"/>
      <c r="X779" s="298"/>
      <c r="Y779" s="298"/>
      <c r="Z779" s="298"/>
      <c r="AA779" s="298"/>
      <c r="AB779" s="298"/>
      <c r="AC779" s="298"/>
      <c r="AD779" s="298"/>
      <c r="AE779" s="298"/>
      <c r="AF779" s="298"/>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row>
    <row r="780">
      <c r="A780" s="304"/>
      <c r="B780" s="282"/>
      <c r="C780" s="282"/>
      <c r="D780" s="282"/>
      <c r="E780" s="282"/>
      <c r="F780" s="282"/>
      <c r="G780" s="282"/>
      <c r="H780" s="282"/>
      <c r="I780" s="282"/>
      <c r="J780" s="282"/>
      <c r="K780" s="282"/>
      <c r="L780" s="282"/>
      <c r="M780" s="282"/>
      <c r="N780" s="282"/>
      <c r="O780" s="282"/>
      <c r="P780" s="282"/>
      <c r="Q780" s="282"/>
      <c r="R780" s="282"/>
      <c r="S780" s="282"/>
      <c r="T780" s="282"/>
      <c r="U780" s="282"/>
      <c r="V780" s="298"/>
      <c r="W780" s="298"/>
      <c r="X780" s="298"/>
      <c r="Y780" s="298"/>
      <c r="Z780" s="298"/>
      <c r="AA780" s="298"/>
      <c r="AB780" s="298"/>
      <c r="AC780" s="298"/>
      <c r="AD780" s="298"/>
      <c r="AE780" s="298"/>
      <c r="AF780" s="298"/>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row>
    <row r="781">
      <c r="A781" s="304"/>
      <c r="B781" s="282"/>
      <c r="C781" s="282"/>
      <c r="D781" s="282"/>
      <c r="E781" s="282"/>
      <c r="F781" s="282"/>
      <c r="G781" s="282"/>
      <c r="H781" s="282"/>
      <c r="I781" s="282"/>
      <c r="J781" s="282"/>
      <c r="K781" s="282"/>
      <c r="L781" s="282"/>
      <c r="M781" s="282"/>
      <c r="N781" s="282"/>
      <c r="O781" s="282"/>
      <c r="P781" s="282"/>
      <c r="Q781" s="282"/>
      <c r="R781" s="282"/>
      <c r="S781" s="282"/>
      <c r="T781" s="282"/>
      <c r="U781" s="282"/>
      <c r="V781" s="298"/>
      <c r="W781" s="298"/>
      <c r="X781" s="298"/>
      <c r="Y781" s="298"/>
      <c r="Z781" s="298"/>
      <c r="AA781" s="298"/>
      <c r="AB781" s="298"/>
      <c r="AC781" s="298"/>
      <c r="AD781" s="298"/>
      <c r="AE781" s="298"/>
      <c r="AF781" s="298"/>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row>
    <row r="782">
      <c r="A782" s="304"/>
      <c r="B782" s="282"/>
      <c r="C782" s="282"/>
      <c r="D782" s="282"/>
      <c r="E782" s="282"/>
      <c r="F782" s="282"/>
      <c r="G782" s="282"/>
      <c r="H782" s="282"/>
      <c r="I782" s="282"/>
      <c r="J782" s="282"/>
      <c r="K782" s="282"/>
      <c r="L782" s="282"/>
      <c r="M782" s="282"/>
      <c r="N782" s="282"/>
      <c r="O782" s="282"/>
      <c r="P782" s="282"/>
      <c r="Q782" s="282"/>
      <c r="R782" s="282"/>
      <c r="S782" s="282"/>
      <c r="T782" s="282"/>
      <c r="U782" s="282"/>
      <c r="V782" s="298"/>
      <c r="W782" s="298"/>
      <c r="X782" s="298"/>
      <c r="Y782" s="298"/>
      <c r="Z782" s="298"/>
      <c r="AA782" s="298"/>
      <c r="AB782" s="298"/>
      <c r="AC782" s="298"/>
      <c r="AD782" s="298"/>
      <c r="AE782" s="298"/>
      <c r="AF782" s="298"/>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row>
    <row r="783">
      <c r="A783" s="304"/>
      <c r="B783" s="282"/>
      <c r="C783" s="282"/>
      <c r="D783" s="282"/>
      <c r="E783" s="282"/>
      <c r="F783" s="282"/>
      <c r="G783" s="282"/>
      <c r="H783" s="282"/>
      <c r="I783" s="282"/>
      <c r="J783" s="282"/>
      <c r="K783" s="282"/>
      <c r="L783" s="282"/>
      <c r="M783" s="282"/>
      <c r="N783" s="282"/>
      <c r="O783" s="282"/>
      <c r="P783" s="282"/>
      <c r="Q783" s="282"/>
      <c r="R783" s="282"/>
      <c r="S783" s="282"/>
      <c r="T783" s="282"/>
      <c r="U783" s="282"/>
      <c r="V783" s="298"/>
      <c r="W783" s="298"/>
      <c r="X783" s="298"/>
      <c r="Y783" s="298"/>
      <c r="Z783" s="298"/>
      <c r="AA783" s="298"/>
      <c r="AB783" s="298"/>
      <c r="AC783" s="298"/>
      <c r="AD783" s="298"/>
      <c r="AE783" s="298"/>
      <c r="AF783" s="298"/>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row>
    <row r="784">
      <c r="A784" s="304"/>
      <c r="B784" s="282"/>
      <c r="C784" s="282"/>
      <c r="D784" s="282"/>
      <c r="E784" s="282"/>
      <c r="F784" s="282"/>
      <c r="G784" s="282"/>
      <c r="H784" s="282"/>
      <c r="I784" s="282"/>
      <c r="J784" s="282"/>
      <c r="K784" s="282"/>
      <c r="L784" s="282"/>
      <c r="M784" s="282"/>
      <c r="N784" s="282"/>
      <c r="O784" s="282"/>
      <c r="P784" s="282"/>
      <c r="Q784" s="282"/>
      <c r="R784" s="282"/>
      <c r="S784" s="282"/>
      <c r="T784" s="282"/>
      <c r="U784" s="282"/>
      <c r="V784" s="298"/>
      <c r="W784" s="298"/>
      <c r="X784" s="298"/>
      <c r="Y784" s="298"/>
      <c r="Z784" s="298"/>
      <c r="AA784" s="298"/>
      <c r="AB784" s="298"/>
      <c r="AC784" s="298"/>
      <c r="AD784" s="298"/>
      <c r="AE784" s="298"/>
      <c r="AF784" s="298"/>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row>
    <row r="785">
      <c r="A785" s="304"/>
      <c r="B785" s="282"/>
      <c r="C785" s="282"/>
      <c r="D785" s="282"/>
      <c r="E785" s="282"/>
      <c r="F785" s="282"/>
      <c r="G785" s="282"/>
      <c r="H785" s="282"/>
      <c r="I785" s="282"/>
      <c r="J785" s="282"/>
      <c r="K785" s="282"/>
      <c r="L785" s="282"/>
      <c r="M785" s="282"/>
      <c r="N785" s="282"/>
      <c r="O785" s="282"/>
      <c r="P785" s="282"/>
      <c r="Q785" s="282"/>
      <c r="R785" s="282"/>
      <c r="S785" s="282"/>
      <c r="T785" s="282"/>
      <c r="U785" s="282"/>
      <c r="V785" s="298"/>
      <c r="W785" s="298"/>
      <c r="X785" s="298"/>
      <c r="Y785" s="298"/>
      <c r="Z785" s="298"/>
      <c r="AA785" s="298"/>
      <c r="AB785" s="298"/>
      <c r="AC785" s="298"/>
      <c r="AD785" s="298"/>
      <c r="AE785" s="298"/>
      <c r="AF785" s="298"/>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row>
    <row r="786">
      <c r="A786" s="304"/>
      <c r="B786" s="282"/>
      <c r="C786" s="282"/>
      <c r="D786" s="282"/>
      <c r="E786" s="282"/>
      <c r="F786" s="282"/>
      <c r="G786" s="282"/>
      <c r="H786" s="282"/>
      <c r="I786" s="282"/>
      <c r="J786" s="282"/>
      <c r="K786" s="282"/>
      <c r="L786" s="282"/>
      <c r="M786" s="282"/>
      <c r="N786" s="282"/>
      <c r="O786" s="282"/>
      <c r="P786" s="282"/>
      <c r="Q786" s="282"/>
      <c r="R786" s="282"/>
      <c r="S786" s="282"/>
      <c r="T786" s="282"/>
      <c r="U786" s="282"/>
      <c r="V786" s="298"/>
      <c r="W786" s="298"/>
      <c r="X786" s="298"/>
      <c r="Y786" s="298"/>
      <c r="Z786" s="298"/>
      <c r="AA786" s="298"/>
      <c r="AB786" s="298"/>
      <c r="AC786" s="298"/>
      <c r="AD786" s="298"/>
      <c r="AE786" s="298"/>
      <c r="AF786" s="298"/>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row>
    <row r="787">
      <c r="A787" s="304"/>
      <c r="B787" s="282"/>
      <c r="C787" s="282"/>
      <c r="D787" s="282"/>
      <c r="E787" s="282"/>
      <c r="F787" s="282"/>
      <c r="G787" s="282"/>
      <c r="H787" s="282"/>
      <c r="I787" s="282"/>
      <c r="J787" s="282"/>
      <c r="K787" s="282"/>
      <c r="L787" s="282"/>
      <c r="M787" s="282"/>
      <c r="N787" s="282"/>
      <c r="O787" s="282"/>
      <c r="P787" s="282"/>
      <c r="Q787" s="282"/>
      <c r="R787" s="282"/>
      <c r="S787" s="282"/>
      <c r="T787" s="282"/>
      <c r="U787" s="282"/>
      <c r="V787" s="298"/>
      <c r="W787" s="298"/>
      <c r="X787" s="298"/>
      <c r="Y787" s="298"/>
      <c r="Z787" s="298"/>
      <c r="AA787" s="298"/>
      <c r="AB787" s="298"/>
      <c r="AC787" s="298"/>
      <c r="AD787" s="298"/>
      <c r="AE787" s="298"/>
      <c r="AF787" s="298"/>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row>
    <row r="788">
      <c r="A788" s="304"/>
      <c r="B788" s="282"/>
      <c r="C788" s="282"/>
      <c r="D788" s="282"/>
      <c r="E788" s="282"/>
      <c r="F788" s="282"/>
      <c r="G788" s="282"/>
      <c r="H788" s="282"/>
      <c r="I788" s="282"/>
      <c r="J788" s="282"/>
      <c r="K788" s="282"/>
      <c r="L788" s="282"/>
      <c r="M788" s="282"/>
      <c r="N788" s="282"/>
      <c r="O788" s="282"/>
      <c r="P788" s="282"/>
      <c r="Q788" s="282"/>
      <c r="R788" s="282"/>
      <c r="S788" s="282"/>
      <c r="T788" s="282"/>
      <c r="U788" s="282"/>
      <c r="V788" s="298"/>
      <c r="W788" s="298"/>
      <c r="X788" s="298"/>
      <c r="Y788" s="298"/>
      <c r="Z788" s="298"/>
      <c r="AA788" s="298"/>
      <c r="AB788" s="298"/>
      <c r="AC788" s="298"/>
      <c r="AD788" s="298"/>
      <c r="AE788" s="298"/>
      <c r="AF788" s="298"/>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row>
    <row r="789">
      <c r="A789" s="304"/>
      <c r="B789" s="282"/>
      <c r="C789" s="282"/>
      <c r="D789" s="282"/>
      <c r="E789" s="282"/>
      <c r="F789" s="282"/>
      <c r="G789" s="282"/>
      <c r="H789" s="282"/>
      <c r="I789" s="282"/>
      <c r="J789" s="282"/>
      <c r="K789" s="282"/>
      <c r="L789" s="282"/>
      <c r="M789" s="282"/>
      <c r="N789" s="282"/>
      <c r="O789" s="282"/>
      <c r="P789" s="282"/>
      <c r="Q789" s="282"/>
      <c r="R789" s="282"/>
      <c r="S789" s="282"/>
      <c r="T789" s="282"/>
      <c r="U789" s="282"/>
      <c r="V789" s="298"/>
      <c r="W789" s="298"/>
      <c r="X789" s="298"/>
      <c r="Y789" s="298"/>
      <c r="Z789" s="298"/>
      <c r="AA789" s="298"/>
      <c r="AB789" s="298"/>
      <c r="AC789" s="298"/>
      <c r="AD789" s="298"/>
      <c r="AE789" s="298"/>
      <c r="AF789" s="298"/>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row>
    <row r="790">
      <c r="A790" s="304"/>
      <c r="B790" s="282"/>
      <c r="C790" s="282"/>
      <c r="D790" s="282"/>
      <c r="E790" s="282"/>
      <c r="F790" s="282"/>
      <c r="G790" s="282"/>
      <c r="H790" s="282"/>
      <c r="I790" s="282"/>
      <c r="J790" s="282"/>
      <c r="K790" s="282"/>
      <c r="L790" s="282"/>
      <c r="M790" s="282"/>
      <c r="N790" s="282"/>
      <c r="O790" s="282"/>
      <c r="P790" s="282"/>
      <c r="Q790" s="282"/>
      <c r="R790" s="282"/>
      <c r="S790" s="282"/>
      <c r="T790" s="282"/>
      <c r="U790" s="282"/>
      <c r="V790" s="298"/>
      <c r="W790" s="298"/>
      <c r="X790" s="298"/>
      <c r="Y790" s="298"/>
      <c r="Z790" s="298"/>
      <c r="AA790" s="298"/>
      <c r="AB790" s="298"/>
      <c r="AC790" s="298"/>
      <c r="AD790" s="298"/>
      <c r="AE790" s="298"/>
      <c r="AF790" s="298"/>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row>
    <row r="791">
      <c r="A791" s="304"/>
      <c r="B791" s="282"/>
      <c r="C791" s="282"/>
      <c r="D791" s="282"/>
      <c r="E791" s="282"/>
      <c r="F791" s="282"/>
      <c r="G791" s="282"/>
      <c r="H791" s="282"/>
      <c r="I791" s="282"/>
      <c r="J791" s="282"/>
      <c r="K791" s="282"/>
      <c r="L791" s="282"/>
      <c r="M791" s="282"/>
      <c r="N791" s="282"/>
      <c r="O791" s="282"/>
      <c r="P791" s="282"/>
      <c r="Q791" s="282"/>
      <c r="R791" s="282"/>
      <c r="S791" s="282"/>
      <c r="T791" s="282"/>
      <c r="U791" s="282"/>
      <c r="V791" s="298"/>
      <c r="W791" s="298"/>
      <c r="X791" s="298"/>
      <c r="Y791" s="298"/>
      <c r="Z791" s="298"/>
      <c r="AA791" s="298"/>
      <c r="AB791" s="298"/>
      <c r="AC791" s="298"/>
      <c r="AD791" s="298"/>
      <c r="AE791" s="298"/>
      <c r="AF791" s="298"/>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row>
    <row r="792">
      <c r="A792" s="304"/>
      <c r="B792" s="282"/>
      <c r="C792" s="282"/>
      <c r="D792" s="282"/>
      <c r="E792" s="282"/>
      <c r="F792" s="282"/>
      <c r="G792" s="282"/>
      <c r="H792" s="282"/>
      <c r="I792" s="282"/>
      <c r="J792" s="282"/>
      <c r="K792" s="282"/>
      <c r="L792" s="282"/>
      <c r="M792" s="282"/>
      <c r="N792" s="282"/>
      <c r="O792" s="282"/>
      <c r="P792" s="282"/>
      <c r="Q792" s="282"/>
      <c r="R792" s="282"/>
      <c r="S792" s="282"/>
      <c r="T792" s="282"/>
      <c r="U792" s="282"/>
      <c r="V792" s="298"/>
      <c r="W792" s="298"/>
      <c r="X792" s="298"/>
      <c r="Y792" s="298"/>
      <c r="Z792" s="298"/>
      <c r="AA792" s="298"/>
      <c r="AB792" s="298"/>
      <c r="AC792" s="298"/>
      <c r="AD792" s="298"/>
      <c r="AE792" s="298"/>
      <c r="AF792" s="298"/>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row>
    <row r="793">
      <c r="A793" s="304"/>
      <c r="B793" s="282"/>
      <c r="C793" s="282"/>
      <c r="D793" s="282"/>
      <c r="E793" s="282"/>
      <c r="F793" s="282"/>
      <c r="G793" s="282"/>
      <c r="H793" s="282"/>
      <c r="I793" s="282"/>
      <c r="J793" s="282"/>
      <c r="K793" s="282"/>
      <c r="L793" s="282"/>
      <c r="M793" s="282"/>
      <c r="N793" s="282"/>
      <c r="O793" s="282"/>
      <c r="P793" s="282"/>
      <c r="Q793" s="282"/>
      <c r="R793" s="282"/>
      <c r="S793" s="282"/>
      <c r="T793" s="282"/>
      <c r="U793" s="282"/>
      <c r="V793" s="298"/>
      <c r="W793" s="298"/>
      <c r="X793" s="298"/>
      <c r="Y793" s="298"/>
      <c r="Z793" s="298"/>
      <c r="AA793" s="298"/>
      <c r="AB793" s="298"/>
      <c r="AC793" s="298"/>
      <c r="AD793" s="298"/>
      <c r="AE793" s="298"/>
      <c r="AF793" s="298"/>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row>
    <row r="794">
      <c r="A794" s="304"/>
      <c r="B794" s="282"/>
      <c r="C794" s="282"/>
      <c r="D794" s="282"/>
      <c r="E794" s="282"/>
      <c r="F794" s="282"/>
      <c r="G794" s="282"/>
      <c r="H794" s="282"/>
      <c r="I794" s="282"/>
      <c r="J794" s="282"/>
      <c r="K794" s="282"/>
      <c r="L794" s="282"/>
      <c r="M794" s="282"/>
      <c r="N794" s="282"/>
      <c r="O794" s="282"/>
      <c r="P794" s="282"/>
      <c r="Q794" s="282"/>
      <c r="R794" s="282"/>
      <c r="S794" s="282"/>
      <c r="T794" s="282"/>
      <c r="U794" s="282"/>
      <c r="V794" s="298"/>
      <c r="W794" s="298"/>
      <c r="X794" s="298"/>
      <c r="Y794" s="298"/>
      <c r="Z794" s="298"/>
      <c r="AA794" s="298"/>
      <c r="AB794" s="298"/>
      <c r="AC794" s="298"/>
      <c r="AD794" s="298"/>
      <c r="AE794" s="298"/>
      <c r="AF794" s="298"/>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row>
    <row r="795">
      <c r="A795" s="304"/>
      <c r="B795" s="282"/>
      <c r="C795" s="282"/>
      <c r="D795" s="282"/>
      <c r="E795" s="282"/>
      <c r="F795" s="282"/>
      <c r="G795" s="282"/>
      <c r="H795" s="282"/>
      <c r="I795" s="282"/>
      <c r="J795" s="282"/>
      <c r="K795" s="282"/>
      <c r="L795" s="282"/>
      <c r="M795" s="282"/>
      <c r="N795" s="282"/>
      <c r="O795" s="282"/>
      <c r="P795" s="282"/>
      <c r="Q795" s="282"/>
      <c r="R795" s="282"/>
      <c r="S795" s="282"/>
      <c r="T795" s="282"/>
      <c r="U795" s="282"/>
      <c r="V795" s="298"/>
      <c r="W795" s="298"/>
      <c r="X795" s="298"/>
      <c r="Y795" s="298"/>
      <c r="Z795" s="298"/>
      <c r="AA795" s="298"/>
      <c r="AB795" s="298"/>
      <c r="AC795" s="298"/>
      <c r="AD795" s="298"/>
      <c r="AE795" s="298"/>
      <c r="AF795" s="298"/>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row>
    <row r="796">
      <c r="A796" s="304"/>
      <c r="B796" s="282"/>
      <c r="C796" s="282"/>
      <c r="D796" s="282"/>
      <c r="E796" s="282"/>
      <c r="F796" s="282"/>
      <c r="G796" s="282"/>
      <c r="H796" s="282"/>
      <c r="I796" s="282"/>
      <c r="J796" s="282"/>
      <c r="K796" s="282"/>
      <c r="L796" s="282"/>
      <c r="M796" s="282"/>
      <c r="N796" s="282"/>
      <c r="O796" s="282"/>
      <c r="P796" s="282"/>
      <c r="Q796" s="282"/>
      <c r="R796" s="282"/>
      <c r="S796" s="282"/>
      <c r="T796" s="282"/>
      <c r="U796" s="282"/>
      <c r="V796" s="298"/>
      <c r="W796" s="298"/>
      <c r="X796" s="298"/>
      <c r="Y796" s="298"/>
      <c r="Z796" s="298"/>
      <c r="AA796" s="298"/>
      <c r="AB796" s="298"/>
      <c r="AC796" s="298"/>
      <c r="AD796" s="298"/>
      <c r="AE796" s="298"/>
      <c r="AF796" s="298"/>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row>
    <row r="797">
      <c r="A797" s="304"/>
      <c r="B797" s="282"/>
      <c r="C797" s="282"/>
      <c r="D797" s="282"/>
      <c r="E797" s="282"/>
      <c r="F797" s="282"/>
      <c r="G797" s="282"/>
      <c r="H797" s="282"/>
      <c r="I797" s="282"/>
      <c r="J797" s="282"/>
      <c r="K797" s="282"/>
      <c r="L797" s="282"/>
      <c r="M797" s="282"/>
      <c r="N797" s="282"/>
      <c r="O797" s="282"/>
      <c r="P797" s="282"/>
      <c r="Q797" s="282"/>
      <c r="R797" s="282"/>
      <c r="S797" s="282"/>
      <c r="T797" s="282"/>
      <c r="U797" s="282"/>
      <c r="V797" s="298"/>
      <c r="W797" s="298"/>
      <c r="X797" s="298"/>
      <c r="Y797" s="298"/>
      <c r="Z797" s="298"/>
      <c r="AA797" s="298"/>
      <c r="AB797" s="298"/>
      <c r="AC797" s="298"/>
      <c r="AD797" s="298"/>
      <c r="AE797" s="298"/>
      <c r="AF797" s="298"/>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row>
    <row r="798">
      <c r="A798" s="304"/>
      <c r="B798" s="282"/>
      <c r="C798" s="282"/>
      <c r="D798" s="282"/>
      <c r="E798" s="282"/>
      <c r="F798" s="282"/>
      <c r="G798" s="282"/>
      <c r="H798" s="282"/>
      <c r="I798" s="282"/>
      <c r="J798" s="282"/>
      <c r="K798" s="282"/>
      <c r="L798" s="282"/>
      <c r="M798" s="282"/>
      <c r="N798" s="282"/>
      <c r="O798" s="282"/>
      <c r="P798" s="282"/>
      <c r="Q798" s="282"/>
      <c r="R798" s="282"/>
      <c r="S798" s="282"/>
      <c r="T798" s="282"/>
      <c r="U798" s="282"/>
      <c r="V798" s="298"/>
      <c r="W798" s="298"/>
      <c r="X798" s="298"/>
      <c r="Y798" s="298"/>
      <c r="Z798" s="298"/>
      <c r="AA798" s="298"/>
      <c r="AB798" s="298"/>
      <c r="AC798" s="298"/>
      <c r="AD798" s="298"/>
      <c r="AE798" s="298"/>
      <c r="AF798" s="298"/>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row>
    <row r="799">
      <c r="A799" s="304"/>
      <c r="B799" s="282"/>
      <c r="C799" s="282"/>
      <c r="D799" s="282"/>
      <c r="E799" s="282"/>
      <c r="F799" s="282"/>
      <c r="G799" s="282"/>
      <c r="H799" s="282"/>
      <c r="I799" s="282"/>
      <c r="J799" s="282"/>
      <c r="K799" s="282"/>
      <c r="L799" s="282"/>
      <c r="M799" s="282"/>
      <c r="N799" s="282"/>
      <c r="O799" s="282"/>
      <c r="P799" s="282"/>
      <c r="Q799" s="282"/>
      <c r="R799" s="282"/>
      <c r="S799" s="282"/>
      <c r="T799" s="282"/>
      <c r="U799" s="282"/>
      <c r="V799" s="298"/>
      <c r="W799" s="298"/>
      <c r="X799" s="298"/>
      <c r="Y799" s="298"/>
      <c r="Z799" s="298"/>
      <c r="AA799" s="298"/>
      <c r="AB799" s="298"/>
      <c r="AC799" s="298"/>
      <c r="AD799" s="298"/>
      <c r="AE799" s="298"/>
      <c r="AF799" s="298"/>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row>
    <row r="800">
      <c r="A800" s="304"/>
      <c r="B800" s="282"/>
      <c r="C800" s="282"/>
      <c r="D800" s="282"/>
      <c r="E800" s="282"/>
      <c r="F800" s="282"/>
      <c r="G800" s="282"/>
      <c r="H800" s="282"/>
      <c r="I800" s="282"/>
      <c r="J800" s="282"/>
      <c r="K800" s="282"/>
      <c r="L800" s="282"/>
      <c r="M800" s="282"/>
      <c r="N800" s="282"/>
      <c r="O800" s="282"/>
      <c r="P800" s="282"/>
      <c r="Q800" s="282"/>
      <c r="R800" s="282"/>
      <c r="S800" s="282"/>
      <c r="T800" s="282"/>
      <c r="U800" s="282"/>
      <c r="V800" s="298"/>
      <c r="W800" s="298"/>
      <c r="X800" s="298"/>
      <c r="Y800" s="298"/>
      <c r="Z800" s="298"/>
      <c r="AA800" s="298"/>
      <c r="AB800" s="298"/>
      <c r="AC800" s="298"/>
      <c r="AD800" s="298"/>
      <c r="AE800" s="298"/>
      <c r="AF800" s="298"/>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row>
    <row r="801">
      <c r="A801" s="304"/>
      <c r="B801" s="282"/>
      <c r="C801" s="282"/>
      <c r="D801" s="282"/>
      <c r="E801" s="282"/>
      <c r="F801" s="282"/>
      <c r="G801" s="282"/>
      <c r="H801" s="282"/>
      <c r="I801" s="282"/>
      <c r="J801" s="282"/>
      <c r="K801" s="282"/>
      <c r="L801" s="282"/>
      <c r="M801" s="282"/>
      <c r="N801" s="282"/>
      <c r="O801" s="282"/>
      <c r="P801" s="282"/>
      <c r="Q801" s="282"/>
      <c r="R801" s="282"/>
      <c r="S801" s="282"/>
      <c r="T801" s="282"/>
      <c r="U801" s="282"/>
      <c r="V801" s="298"/>
      <c r="W801" s="298"/>
      <c r="X801" s="298"/>
      <c r="Y801" s="298"/>
      <c r="Z801" s="298"/>
      <c r="AA801" s="298"/>
      <c r="AB801" s="298"/>
      <c r="AC801" s="298"/>
      <c r="AD801" s="298"/>
      <c r="AE801" s="298"/>
      <c r="AF801" s="298"/>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row>
    <row r="802">
      <c r="A802" s="304"/>
      <c r="B802" s="282"/>
      <c r="C802" s="282"/>
      <c r="D802" s="282"/>
      <c r="E802" s="282"/>
      <c r="F802" s="282"/>
      <c r="G802" s="282"/>
      <c r="H802" s="282"/>
      <c r="I802" s="282"/>
      <c r="J802" s="282"/>
      <c r="K802" s="282"/>
      <c r="L802" s="282"/>
      <c r="M802" s="282"/>
      <c r="N802" s="282"/>
      <c r="O802" s="282"/>
      <c r="P802" s="282"/>
      <c r="Q802" s="282"/>
      <c r="R802" s="282"/>
      <c r="S802" s="282"/>
      <c r="T802" s="282"/>
      <c r="U802" s="282"/>
      <c r="V802" s="298"/>
      <c r="W802" s="298"/>
      <c r="X802" s="298"/>
      <c r="Y802" s="298"/>
      <c r="Z802" s="298"/>
      <c r="AA802" s="298"/>
      <c r="AB802" s="298"/>
      <c r="AC802" s="298"/>
      <c r="AD802" s="298"/>
      <c r="AE802" s="298"/>
      <c r="AF802" s="298"/>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row>
    <row r="803">
      <c r="A803" s="304"/>
      <c r="B803" s="282"/>
      <c r="C803" s="282"/>
      <c r="D803" s="282"/>
      <c r="E803" s="282"/>
      <c r="F803" s="282"/>
      <c r="G803" s="282"/>
      <c r="H803" s="282"/>
      <c r="I803" s="282"/>
      <c r="J803" s="282"/>
      <c r="K803" s="282"/>
      <c r="L803" s="282"/>
      <c r="M803" s="282"/>
      <c r="N803" s="282"/>
      <c r="O803" s="282"/>
      <c r="P803" s="282"/>
      <c r="Q803" s="282"/>
      <c r="R803" s="282"/>
      <c r="S803" s="282"/>
      <c r="T803" s="282"/>
      <c r="U803" s="282"/>
      <c r="V803" s="298"/>
      <c r="W803" s="298"/>
      <c r="X803" s="298"/>
      <c r="Y803" s="298"/>
      <c r="Z803" s="298"/>
      <c r="AA803" s="298"/>
      <c r="AB803" s="298"/>
      <c r="AC803" s="298"/>
      <c r="AD803" s="298"/>
      <c r="AE803" s="298"/>
      <c r="AF803" s="298"/>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row>
    <row r="804">
      <c r="A804" s="304"/>
      <c r="B804" s="282"/>
      <c r="C804" s="282"/>
      <c r="D804" s="282"/>
      <c r="E804" s="282"/>
      <c r="F804" s="282"/>
      <c r="G804" s="282"/>
      <c r="H804" s="282"/>
      <c r="I804" s="282"/>
      <c r="J804" s="282"/>
      <c r="K804" s="282"/>
      <c r="L804" s="282"/>
      <c r="M804" s="282"/>
      <c r="N804" s="282"/>
      <c r="O804" s="282"/>
      <c r="P804" s="282"/>
      <c r="Q804" s="282"/>
      <c r="R804" s="282"/>
      <c r="S804" s="282"/>
      <c r="T804" s="282"/>
      <c r="U804" s="282"/>
      <c r="V804" s="298"/>
      <c r="W804" s="298"/>
      <c r="X804" s="298"/>
      <c r="Y804" s="298"/>
      <c r="Z804" s="298"/>
      <c r="AA804" s="298"/>
      <c r="AB804" s="298"/>
      <c r="AC804" s="298"/>
      <c r="AD804" s="298"/>
      <c r="AE804" s="298"/>
      <c r="AF804" s="298"/>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row>
    <row r="805">
      <c r="A805" s="304"/>
      <c r="B805" s="282"/>
      <c r="C805" s="282"/>
      <c r="D805" s="282"/>
      <c r="E805" s="282"/>
      <c r="F805" s="282"/>
      <c r="G805" s="282"/>
      <c r="H805" s="282"/>
      <c r="I805" s="282"/>
      <c r="J805" s="282"/>
      <c r="K805" s="282"/>
      <c r="L805" s="282"/>
      <c r="M805" s="282"/>
      <c r="N805" s="282"/>
      <c r="O805" s="282"/>
      <c r="P805" s="282"/>
      <c r="Q805" s="282"/>
      <c r="R805" s="282"/>
      <c r="S805" s="282"/>
      <c r="T805" s="282"/>
      <c r="U805" s="282"/>
      <c r="V805" s="298"/>
      <c r="W805" s="298"/>
      <c r="X805" s="298"/>
      <c r="Y805" s="298"/>
      <c r="Z805" s="298"/>
      <c r="AA805" s="298"/>
      <c r="AB805" s="298"/>
      <c r="AC805" s="298"/>
      <c r="AD805" s="298"/>
      <c r="AE805" s="298"/>
      <c r="AF805" s="298"/>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row>
    <row r="806">
      <c r="A806" s="304"/>
      <c r="B806" s="282"/>
      <c r="C806" s="282"/>
      <c r="D806" s="282"/>
      <c r="E806" s="282"/>
      <c r="F806" s="282"/>
      <c r="G806" s="282"/>
      <c r="H806" s="282"/>
      <c r="I806" s="282"/>
      <c r="J806" s="282"/>
      <c r="K806" s="282"/>
      <c r="L806" s="282"/>
      <c r="M806" s="282"/>
      <c r="N806" s="282"/>
      <c r="O806" s="282"/>
      <c r="P806" s="282"/>
      <c r="Q806" s="282"/>
      <c r="R806" s="282"/>
      <c r="S806" s="282"/>
      <c r="T806" s="282"/>
      <c r="U806" s="282"/>
      <c r="V806" s="298"/>
      <c r="W806" s="298"/>
      <c r="X806" s="298"/>
      <c r="Y806" s="298"/>
      <c r="Z806" s="298"/>
      <c r="AA806" s="298"/>
      <c r="AB806" s="298"/>
      <c r="AC806" s="298"/>
      <c r="AD806" s="298"/>
      <c r="AE806" s="298"/>
      <c r="AF806" s="298"/>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row>
    <row r="807">
      <c r="A807" s="304"/>
      <c r="B807" s="282"/>
      <c r="C807" s="282"/>
      <c r="D807" s="282"/>
      <c r="E807" s="282"/>
      <c r="F807" s="282"/>
      <c r="G807" s="282"/>
      <c r="H807" s="282"/>
      <c r="I807" s="282"/>
      <c r="J807" s="282"/>
      <c r="K807" s="282"/>
      <c r="L807" s="282"/>
      <c r="M807" s="282"/>
      <c r="N807" s="282"/>
      <c r="O807" s="282"/>
      <c r="P807" s="282"/>
      <c r="Q807" s="282"/>
      <c r="R807" s="282"/>
      <c r="S807" s="282"/>
      <c r="T807" s="282"/>
      <c r="U807" s="282"/>
      <c r="V807" s="298"/>
      <c r="W807" s="298"/>
      <c r="X807" s="298"/>
      <c r="Y807" s="298"/>
      <c r="Z807" s="298"/>
      <c r="AA807" s="298"/>
      <c r="AB807" s="298"/>
      <c r="AC807" s="298"/>
      <c r="AD807" s="298"/>
      <c r="AE807" s="298"/>
      <c r="AF807" s="298"/>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row>
    <row r="808">
      <c r="A808" s="304"/>
      <c r="B808" s="282"/>
      <c r="C808" s="282"/>
      <c r="D808" s="282"/>
      <c r="E808" s="282"/>
      <c r="F808" s="282"/>
      <c r="G808" s="282"/>
      <c r="H808" s="282"/>
      <c r="I808" s="282"/>
      <c r="J808" s="282"/>
      <c r="K808" s="282"/>
      <c r="L808" s="282"/>
      <c r="M808" s="282"/>
      <c r="N808" s="282"/>
      <c r="O808" s="282"/>
      <c r="P808" s="282"/>
      <c r="Q808" s="282"/>
      <c r="R808" s="282"/>
      <c r="S808" s="282"/>
      <c r="T808" s="282"/>
      <c r="U808" s="282"/>
      <c r="V808" s="298"/>
      <c r="W808" s="298"/>
      <c r="X808" s="298"/>
      <c r="Y808" s="298"/>
      <c r="Z808" s="298"/>
      <c r="AA808" s="298"/>
      <c r="AB808" s="298"/>
      <c r="AC808" s="298"/>
      <c r="AD808" s="298"/>
      <c r="AE808" s="298"/>
      <c r="AF808" s="298"/>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row>
    <row r="809">
      <c r="A809" s="304"/>
      <c r="B809" s="282"/>
      <c r="C809" s="282"/>
      <c r="D809" s="282"/>
      <c r="E809" s="282"/>
      <c r="F809" s="282"/>
      <c r="G809" s="282"/>
      <c r="H809" s="282"/>
      <c r="I809" s="282"/>
      <c r="J809" s="282"/>
      <c r="K809" s="282"/>
      <c r="L809" s="282"/>
      <c r="M809" s="282"/>
      <c r="N809" s="282"/>
      <c r="O809" s="282"/>
      <c r="P809" s="282"/>
      <c r="Q809" s="282"/>
      <c r="R809" s="282"/>
      <c r="S809" s="282"/>
      <c r="T809" s="282"/>
      <c r="U809" s="282"/>
      <c r="V809" s="298"/>
      <c r="W809" s="298"/>
      <c r="X809" s="298"/>
      <c r="Y809" s="298"/>
      <c r="Z809" s="298"/>
      <c r="AA809" s="298"/>
      <c r="AB809" s="298"/>
      <c r="AC809" s="298"/>
      <c r="AD809" s="298"/>
      <c r="AE809" s="298"/>
      <c r="AF809" s="298"/>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row>
    <row r="810">
      <c r="A810" s="304"/>
      <c r="B810" s="282"/>
      <c r="C810" s="282"/>
      <c r="D810" s="282"/>
      <c r="E810" s="282"/>
      <c r="F810" s="282"/>
      <c r="G810" s="282"/>
      <c r="H810" s="282"/>
      <c r="I810" s="282"/>
      <c r="J810" s="282"/>
      <c r="K810" s="282"/>
      <c r="L810" s="282"/>
      <c r="M810" s="282"/>
      <c r="N810" s="282"/>
      <c r="O810" s="282"/>
      <c r="P810" s="282"/>
      <c r="Q810" s="282"/>
      <c r="R810" s="282"/>
      <c r="S810" s="282"/>
      <c r="T810" s="282"/>
      <c r="U810" s="282"/>
      <c r="V810" s="298"/>
      <c r="W810" s="298"/>
      <c r="X810" s="298"/>
      <c r="Y810" s="298"/>
      <c r="Z810" s="298"/>
      <c r="AA810" s="298"/>
      <c r="AB810" s="298"/>
      <c r="AC810" s="298"/>
      <c r="AD810" s="298"/>
      <c r="AE810" s="298"/>
      <c r="AF810" s="298"/>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row>
    <row r="811">
      <c r="A811" s="304"/>
      <c r="B811" s="282"/>
      <c r="C811" s="282"/>
      <c r="D811" s="282"/>
      <c r="E811" s="282"/>
      <c r="F811" s="282"/>
      <c r="G811" s="282"/>
      <c r="H811" s="282"/>
      <c r="I811" s="282"/>
      <c r="J811" s="282"/>
      <c r="K811" s="282"/>
      <c r="L811" s="282"/>
      <c r="M811" s="282"/>
      <c r="N811" s="282"/>
      <c r="O811" s="282"/>
      <c r="P811" s="282"/>
      <c r="Q811" s="282"/>
      <c r="R811" s="282"/>
      <c r="S811" s="282"/>
      <c r="T811" s="282"/>
      <c r="U811" s="282"/>
      <c r="V811" s="298"/>
      <c r="W811" s="298"/>
      <c r="X811" s="298"/>
      <c r="Y811" s="298"/>
      <c r="Z811" s="298"/>
      <c r="AA811" s="298"/>
      <c r="AB811" s="298"/>
      <c r="AC811" s="298"/>
      <c r="AD811" s="298"/>
      <c r="AE811" s="298"/>
      <c r="AF811" s="298"/>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row>
    <row r="812">
      <c r="A812" s="304"/>
      <c r="B812" s="282"/>
      <c r="C812" s="282"/>
      <c r="D812" s="282"/>
      <c r="E812" s="282"/>
      <c r="F812" s="282"/>
      <c r="G812" s="282"/>
      <c r="H812" s="282"/>
      <c r="I812" s="282"/>
      <c r="J812" s="282"/>
      <c r="K812" s="282"/>
      <c r="L812" s="282"/>
      <c r="M812" s="282"/>
      <c r="N812" s="282"/>
      <c r="O812" s="282"/>
      <c r="P812" s="282"/>
      <c r="Q812" s="282"/>
      <c r="R812" s="282"/>
      <c r="S812" s="282"/>
      <c r="T812" s="282"/>
      <c r="U812" s="282"/>
      <c r="V812" s="298"/>
      <c r="W812" s="298"/>
      <c r="X812" s="298"/>
      <c r="Y812" s="298"/>
      <c r="Z812" s="298"/>
      <c r="AA812" s="298"/>
      <c r="AB812" s="298"/>
      <c r="AC812" s="298"/>
      <c r="AD812" s="298"/>
      <c r="AE812" s="298"/>
      <c r="AF812" s="298"/>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row>
    <row r="813">
      <c r="A813" s="304"/>
      <c r="B813" s="282"/>
      <c r="C813" s="282"/>
      <c r="D813" s="282"/>
      <c r="E813" s="282"/>
      <c r="F813" s="282"/>
      <c r="G813" s="282"/>
      <c r="H813" s="282"/>
      <c r="I813" s="282"/>
      <c r="J813" s="282"/>
      <c r="K813" s="282"/>
      <c r="L813" s="282"/>
      <c r="M813" s="282"/>
      <c r="N813" s="282"/>
      <c r="O813" s="282"/>
      <c r="P813" s="282"/>
      <c r="Q813" s="282"/>
      <c r="R813" s="282"/>
      <c r="S813" s="282"/>
      <c r="T813" s="282"/>
      <c r="U813" s="282"/>
      <c r="V813" s="298"/>
      <c r="W813" s="298"/>
      <c r="X813" s="298"/>
      <c r="Y813" s="298"/>
      <c r="Z813" s="298"/>
      <c r="AA813" s="298"/>
      <c r="AB813" s="298"/>
      <c r="AC813" s="298"/>
      <c r="AD813" s="298"/>
      <c r="AE813" s="298"/>
      <c r="AF813" s="298"/>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row>
    <row r="814">
      <c r="A814" s="304"/>
      <c r="B814" s="282"/>
      <c r="C814" s="282"/>
      <c r="D814" s="282"/>
      <c r="E814" s="282"/>
      <c r="F814" s="282"/>
      <c r="G814" s="282"/>
      <c r="H814" s="282"/>
      <c r="I814" s="282"/>
      <c r="J814" s="282"/>
      <c r="K814" s="282"/>
      <c r="L814" s="282"/>
      <c r="M814" s="282"/>
      <c r="N814" s="282"/>
      <c r="O814" s="282"/>
      <c r="P814" s="282"/>
      <c r="Q814" s="282"/>
      <c r="R814" s="282"/>
      <c r="S814" s="282"/>
      <c r="T814" s="282"/>
      <c r="U814" s="282"/>
      <c r="V814" s="298"/>
      <c r="W814" s="298"/>
      <c r="X814" s="298"/>
      <c r="Y814" s="298"/>
      <c r="Z814" s="298"/>
      <c r="AA814" s="298"/>
      <c r="AB814" s="298"/>
      <c r="AC814" s="298"/>
      <c r="AD814" s="298"/>
      <c r="AE814" s="298"/>
      <c r="AF814" s="298"/>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row>
    <row r="815">
      <c r="A815" s="304"/>
      <c r="B815" s="282"/>
      <c r="C815" s="282"/>
      <c r="D815" s="282"/>
      <c r="E815" s="282"/>
      <c r="F815" s="282"/>
      <c r="G815" s="282"/>
      <c r="H815" s="282"/>
      <c r="I815" s="282"/>
      <c r="J815" s="282"/>
      <c r="K815" s="282"/>
      <c r="L815" s="282"/>
      <c r="M815" s="282"/>
      <c r="N815" s="282"/>
      <c r="O815" s="282"/>
      <c r="P815" s="282"/>
      <c r="Q815" s="282"/>
      <c r="R815" s="282"/>
      <c r="S815" s="282"/>
      <c r="T815" s="282"/>
      <c r="U815" s="282"/>
      <c r="V815" s="298"/>
      <c r="W815" s="298"/>
      <c r="X815" s="298"/>
      <c r="Y815" s="298"/>
      <c r="Z815" s="298"/>
      <c r="AA815" s="298"/>
      <c r="AB815" s="298"/>
      <c r="AC815" s="298"/>
      <c r="AD815" s="298"/>
      <c r="AE815" s="298"/>
      <c r="AF815" s="298"/>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row>
    <row r="816">
      <c r="A816" s="304"/>
      <c r="B816" s="282"/>
      <c r="C816" s="282"/>
      <c r="D816" s="282"/>
      <c r="E816" s="282"/>
      <c r="F816" s="282"/>
      <c r="G816" s="282"/>
      <c r="H816" s="282"/>
      <c r="I816" s="282"/>
      <c r="J816" s="282"/>
      <c r="K816" s="282"/>
      <c r="L816" s="282"/>
      <c r="M816" s="282"/>
      <c r="N816" s="282"/>
      <c r="O816" s="282"/>
      <c r="P816" s="282"/>
      <c r="Q816" s="282"/>
      <c r="R816" s="282"/>
      <c r="S816" s="282"/>
      <c r="T816" s="282"/>
      <c r="U816" s="282"/>
      <c r="V816" s="298"/>
      <c r="W816" s="298"/>
      <c r="X816" s="298"/>
      <c r="Y816" s="298"/>
      <c r="Z816" s="298"/>
      <c r="AA816" s="298"/>
      <c r="AB816" s="298"/>
      <c r="AC816" s="298"/>
      <c r="AD816" s="298"/>
      <c r="AE816" s="298"/>
      <c r="AF816" s="298"/>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row>
    <row r="817">
      <c r="A817" s="304"/>
      <c r="B817" s="282"/>
      <c r="C817" s="282"/>
      <c r="D817" s="282"/>
      <c r="E817" s="282"/>
      <c r="F817" s="282"/>
      <c r="G817" s="282"/>
      <c r="H817" s="282"/>
      <c r="I817" s="282"/>
      <c r="J817" s="282"/>
      <c r="K817" s="282"/>
      <c r="L817" s="282"/>
      <c r="M817" s="282"/>
      <c r="N817" s="282"/>
      <c r="O817" s="282"/>
      <c r="P817" s="282"/>
      <c r="Q817" s="282"/>
      <c r="R817" s="282"/>
      <c r="S817" s="282"/>
      <c r="T817" s="282"/>
      <c r="U817" s="282"/>
      <c r="V817" s="298"/>
      <c r="W817" s="298"/>
      <c r="X817" s="298"/>
      <c r="Y817" s="298"/>
      <c r="Z817" s="298"/>
      <c r="AA817" s="298"/>
      <c r="AB817" s="298"/>
      <c r="AC817" s="298"/>
      <c r="AD817" s="298"/>
      <c r="AE817" s="298"/>
      <c r="AF817" s="298"/>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row>
    <row r="818">
      <c r="A818" s="304"/>
      <c r="B818" s="282"/>
      <c r="C818" s="282"/>
      <c r="D818" s="282"/>
      <c r="E818" s="282"/>
      <c r="F818" s="282"/>
      <c r="G818" s="282"/>
      <c r="H818" s="282"/>
      <c r="I818" s="282"/>
      <c r="J818" s="282"/>
      <c r="K818" s="282"/>
      <c r="L818" s="282"/>
      <c r="M818" s="282"/>
      <c r="N818" s="282"/>
      <c r="O818" s="282"/>
      <c r="P818" s="282"/>
      <c r="Q818" s="282"/>
      <c r="R818" s="282"/>
      <c r="S818" s="282"/>
      <c r="T818" s="282"/>
      <c r="U818" s="282"/>
      <c r="V818" s="298"/>
      <c r="W818" s="298"/>
      <c r="X818" s="298"/>
      <c r="Y818" s="298"/>
      <c r="Z818" s="298"/>
      <c r="AA818" s="298"/>
      <c r="AB818" s="298"/>
      <c r="AC818" s="298"/>
      <c r="AD818" s="298"/>
      <c r="AE818" s="298"/>
      <c r="AF818" s="298"/>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row>
    <row r="819">
      <c r="A819" s="304"/>
      <c r="B819" s="282"/>
      <c r="C819" s="282"/>
      <c r="D819" s="282"/>
      <c r="E819" s="282"/>
      <c r="F819" s="282"/>
      <c r="G819" s="282"/>
      <c r="H819" s="282"/>
      <c r="I819" s="282"/>
      <c r="J819" s="282"/>
      <c r="K819" s="282"/>
      <c r="L819" s="282"/>
      <c r="M819" s="282"/>
      <c r="N819" s="282"/>
      <c r="O819" s="282"/>
      <c r="P819" s="282"/>
      <c r="Q819" s="282"/>
      <c r="R819" s="282"/>
      <c r="S819" s="282"/>
      <c r="T819" s="282"/>
      <c r="U819" s="282"/>
      <c r="V819" s="298"/>
      <c r="W819" s="298"/>
      <c r="X819" s="298"/>
      <c r="Y819" s="298"/>
      <c r="Z819" s="298"/>
      <c r="AA819" s="298"/>
      <c r="AB819" s="298"/>
      <c r="AC819" s="298"/>
      <c r="AD819" s="298"/>
      <c r="AE819" s="298"/>
      <c r="AF819" s="298"/>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row>
    <row r="820">
      <c r="A820" s="304"/>
      <c r="B820" s="282"/>
      <c r="C820" s="282"/>
      <c r="D820" s="282"/>
      <c r="E820" s="282"/>
      <c r="F820" s="282"/>
      <c r="G820" s="282"/>
      <c r="H820" s="282"/>
      <c r="I820" s="282"/>
      <c r="J820" s="282"/>
      <c r="K820" s="282"/>
      <c r="L820" s="282"/>
      <c r="M820" s="282"/>
      <c r="N820" s="282"/>
      <c r="O820" s="282"/>
      <c r="P820" s="282"/>
      <c r="Q820" s="282"/>
      <c r="R820" s="282"/>
      <c r="S820" s="282"/>
      <c r="T820" s="282"/>
      <c r="U820" s="282"/>
      <c r="V820" s="298"/>
      <c r="W820" s="298"/>
      <c r="X820" s="298"/>
      <c r="Y820" s="298"/>
      <c r="Z820" s="298"/>
      <c r="AA820" s="298"/>
      <c r="AB820" s="298"/>
      <c r="AC820" s="298"/>
      <c r="AD820" s="298"/>
      <c r="AE820" s="298"/>
      <c r="AF820" s="298"/>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row>
    <row r="821">
      <c r="A821" s="304"/>
      <c r="B821" s="282"/>
      <c r="C821" s="282"/>
      <c r="D821" s="282"/>
      <c r="E821" s="282"/>
      <c r="F821" s="282"/>
      <c r="G821" s="282"/>
      <c r="H821" s="282"/>
      <c r="I821" s="282"/>
      <c r="J821" s="282"/>
      <c r="K821" s="282"/>
      <c r="L821" s="282"/>
      <c r="M821" s="282"/>
      <c r="N821" s="282"/>
      <c r="O821" s="282"/>
      <c r="P821" s="282"/>
      <c r="Q821" s="282"/>
      <c r="R821" s="282"/>
      <c r="S821" s="282"/>
      <c r="T821" s="282"/>
      <c r="U821" s="282"/>
      <c r="V821" s="298"/>
      <c r="W821" s="298"/>
      <c r="X821" s="298"/>
      <c r="Y821" s="298"/>
      <c r="Z821" s="298"/>
      <c r="AA821" s="298"/>
      <c r="AB821" s="298"/>
      <c r="AC821" s="298"/>
      <c r="AD821" s="298"/>
      <c r="AE821" s="298"/>
      <c r="AF821" s="298"/>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row>
    <row r="822">
      <c r="A822" s="304"/>
      <c r="B822" s="282"/>
      <c r="C822" s="282"/>
      <c r="D822" s="282"/>
      <c r="E822" s="282"/>
      <c r="F822" s="282"/>
      <c r="G822" s="282"/>
      <c r="H822" s="282"/>
      <c r="I822" s="282"/>
      <c r="J822" s="282"/>
      <c r="K822" s="282"/>
      <c r="L822" s="282"/>
      <c r="M822" s="282"/>
      <c r="N822" s="282"/>
      <c r="O822" s="282"/>
      <c r="P822" s="282"/>
      <c r="Q822" s="282"/>
      <c r="R822" s="282"/>
      <c r="S822" s="282"/>
      <c r="T822" s="282"/>
      <c r="U822" s="282"/>
      <c r="V822" s="298"/>
      <c r="W822" s="298"/>
      <c r="X822" s="298"/>
      <c r="Y822" s="298"/>
      <c r="Z822" s="298"/>
      <c r="AA822" s="298"/>
      <c r="AB822" s="298"/>
      <c r="AC822" s="298"/>
      <c r="AD822" s="298"/>
      <c r="AE822" s="298"/>
      <c r="AF822" s="298"/>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row>
    <row r="823">
      <c r="A823" s="304"/>
      <c r="B823" s="282"/>
      <c r="C823" s="282"/>
      <c r="D823" s="282"/>
      <c r="E823" s="282"/>
      <c r="F823" s="282"/>
      <c r="G823" s="282"/>
      <c r="H823" s="282"/>
      <c r="I823" s="282"/>
      <c r="J823" s="282"/>
      <c r="K823" s="282"/>
      <c r="L823" s="282"/>
      <c r="M823" s="282"/>
      <c r="N823" s="282"/>
      <c r="O823" s="282"/>
      <c r="P823" s="282"/>
      <c r="Q823" s="282"/>
      <c r="R823" s="282"/>
      <c r="S823" s="282"/>
      <c r="T823" s="282"/>
      <c r="U823" s="282"/>
      <c r="V823" s="298"/>
      <c r="W823" s="298"/>
      <c r="X823" s="298"/>
      <c r="Y823" s="298"/>
      <c r="Z823" s="298"/>
      <c r="AA823" s="298"/>
      <c r="AB823" s="298"/>
      <c r="AC823" s="298"/>
      <c r="AD823" s="298"/>
      <c r="AE823" s="298"/>
      <c r="AF823" s="298"/>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row>
    <row r="824">
      <c r="A824" s="304"/>
      <c r="B824" s="282"/>
      <c r="C824" s="282"/>
      <c r="D824" s="282"/>
      <c r="E824" s="282"/>
      <c r="F824" s="282"/>
      <c r="G824" s="282"/>
      <c r="H824" s="282"/>
      <c r="I824" s="282"/>
      <c r="J824" s="282"/>
      <c r="K824" s="282"/>
      <c r="L824" s="282"/>
      <c r="M824" s="282"/>
      <c r="N824" s="282"/>
      <c r="O824" s="282"/>
      <c r="P824" s="282"/>
      <c r="Q824" s="282"/>
      <c r="R824" s="282"/>
      <c r="S824" s="282"/>
      <c r="T824" s="282"/>
      <c r="U824" s="282"/>
      <c r="V824" s="298"/>
      <c r="W824" s="298"/>
      <c r="X824" s="298"/>
      <c r="Y824" s="298"/>
      <c r="Z824" s="298"/>
      <c r="AA824" s="298"/>
      <c r="AB824" s="298"/>
      <c r="AC824" s="298"/>
      <c r="AD824" s="298"/>
      <c r="AE824" s="298"/>
      <c r="AF824" s="298"/>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row>
    <row r="825">
      <c r="A825" s="304"/>
      <c r="B825" s="282"/>
      <c r="C825" s="282"/>
      <c r="D825" s="282"/>
      <c r="E825" s="282"/>
      <c r="F825" s="282"/>
      <c r="G825" s="282"/>
      <c r="H825" s="282"/>
      <c r="I825" s="282"/>
      <c r="J825" s="282"/>
      <c r="K825" s="282"/>
      <c r="L825" s="282"/>
      <c r="M825" s="282"/>
      <c r="N825" s="282"/>
      <c r="O825" s="282"/>
      <c r="P825" s="282"/>
      <c r="Q825" s="282"/>
      <c r="R825" s="282"/>
      <c r="S825" s="282"/>
      <c r="T825" s="282"/>
      <c r="U825" s="282"/>
      <c r="V825" s="298"/>
      <c r="W825" s="298"/>
      <c r="X825" s="298"/>
      <c r="Y825" s="298"/>
      <c r="Z825" s="298"/>
      <c r="AA825" s="298"/>
      <c r="AB825" s="298"/>
      <c r="AC825" s="298"/>
      <c r="AD825" s="298"/>
      <c r="AE825" s="298"/>
      <c r="AF825" s="298"/>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row>
    <row r="826">
      <c r="A826" s="304"/>
      <c r="B826" s="282"/>
      <c r="C826" s="282"/>
      <c r="D826" s="282"/>
      <c r="E826" s="282"/>
      <c r="F826" s="282"/>
      <c r="G826" s="282"/>
      <c r="H826" s="282"/>
      <c r="I826" s="282"/>
      <c r="J826" s="282"/>
      <c r="K826" s="282"/>
      <c r="L826" s="282"/>
      <c r="M826" s="282"/>
      <c r="N826" s="282"/>
      <c r="O826" s="282"/>
      <c r="P826" s="282"/>
      <c r="Q826" s="282"/>
      <c r="R826" s="282"/>
      <c r="S826" s="282"/>
      <c r="T826" s="282"/>
      <c r="U826" s="282"/>
      <c r="V826" s="298"/>
      <c r="W826" s="298"/>
      <c r="X826" s="298"/>
      <c r="Y826" s="298"/>
      <c r="Z826" s="298"/>
      <c r="AA826" s="298"/>
      <c r="AB826" s="298"/>
      <c r="AC826" s="298"/>
      <c r="AD826" s="298"/>
      <c r="AE826" s="298"/>
      <c r="AF826" s="298"/>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row>
    <row r="827">
      <c r="A827" s="304"/>
      <c r="B827" s="282"/>
      <c r="C827" s="282"/>
      <c r="D827" s="282"/>
      <c r="E827" s="282"/>
      <c r="F827" s="282"/>
      <c r="G827" s="282"/>
      <c r="H827" s="282"/>
      <c r="I827" s="282"/>
      <c r="J827" s="282"/>
      <c r="K827" s="282"/>
      <c r="L827" s="282"/>
      <c r="M827" s="282"/>
      <c r="N827" s="282"/>
      <c r="O827" s="282"/>
      <c r="P827" s="282"/>
      <c r="Q827" s="282"/>
      <c r="R827" s="282"/>
      <c r="S827" s="282"/>
      <c r="T827" s="282"/>
      <c r="U827" s="282"/>
      <c r="V827" s="298"/>
      <c r="W827" s="298"/>
      <c r="X827" s="298"/>
      <c r="Y827" s="298"/>
      <c r="Z827" s="298"/>
      <c r="AA827" s="298"/>
      <c r="AB827" s="298"/>
      <c r="AC827" s="298"/>
      <c r="AD827" s="298"/>
      <c r="AE827" s="298"/>
      <c r="AF827" s="298"/>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row>
    <row r="828">
      <c r="A828" s="304"/>
      <c r="B828" s="282"/>
      <c r="C828" s="282"/>
      <c r="D828" s="282"/>
      <c r="E828" s="282"/>
      <c r="F828" s="282"/>
      <c r="G828" s="282"/>
      <c r="H828" s="282"/>
      <c r="I828" s="282"/>
      <c r="J828" s="282"/>
      <c r="K828" s="282"/>
      <c r="L828" s="282"/>
      <c r="M828" s="282"/>
      <c r="N828" s="282"/>
      <c r="O828" s="282"/>
      <c r="P828" s="282"/>
      <c r="Q828" s="282"/>
      <c r="R828" s="282"/>
      <c r="S828" s="282"/>
      <c r="T828" s="282"/>
      <c r="U828" s="282"/>
      <c r="V828" s="298"/>
      <c r="W828" s="298"/>
      <c r="X828" s="298"/>
      <c r="Y828" s="298"/>
      <c r="Z828" s="298"/>
      <c r="AA828" s="298"/>
      <c r="AB828" s="298"/>
      <c r="AC828" s="298"/>
      <c r="AD828" s="298"/>
      <c r="AE828" s="298"/>
      <c r="AF828" s="298"/>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row>
    <row r="829">
      <c r="A829" s="304"/>
      <c r="B829" s="282"/>
      <c r="C829" s="282"/>
      <c r="D829" s="282"/>
      <c r="E829" s="282"/>
      <c r="F829" s="282"/>
      <c r="G829" s="282"/>
      <c r="H829" s="282"/>
      <c r="I829" s="282"/>
      <c r="J829" s="282"/>
      <c r="K829" s="282"/>
      <c r="L829" s="282"/>
      <c r="M829" s="282"/>
      <c r="N829" s="282"/>
      <c r="O829" s="282"/>
      <c r="P829" s="282"/>
      <c r="Q829" s="282"/>
      <c r="R829" s="282"/>
      <c r="S829" s="282"/>
      <c r="T829" s="282"/>
      <c r="U829" s="282"/>
      <c r="V829" s="298"/>
      <c r="W829" s="298"/>
      <c r="X829" s="298"/>
      <c r="Y829" s="298"/>
      <c r="Z829" s="298"/>
      <c r="AA829" s="298"/>
      <c r="AB829" s="298"/>
      <c r="AC829" s="298"/>
      <c r="AD829" s="298"/>
      <c r="AE829" s="298"/>
      <c r="AF829" s="298"/>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row>
    <row r="830">
      <c r="A830" s="304"/>
      <c r="B830" s="282"/>
      <c r="C830" s="282"/>
      <c r="D830" s="282"/>
      <c r="E830" s="282"/>
      <c r="F830" s="282"/>
      <c r="G830" s="282"/>
      <c r="H830" s="282"/>
      <c r="I830" s="282"/>
      <c r="J830" s="282"/>
      <c r="K830" s="282"/>
      <c r="L830" s="282"/>
      <c r="M830" s="282"/>
      <c r="N830" s="282"/>
      <c r="O830" s="282"/>
      <c r="P830" s="282"/>
      <c r="Q830" s="282"/>
      <c r="R830" s="282"/>
      <c r="S830" s="282"/>
      <c r="T830" s="282"/>
      <c r="U830" s="282"/>
      <c r="V830" s="298"/>
      <c r="W830" s="298"/>
      <c r="X830" s="298"/>
      <c r="Y830" s="298"/>
      <c r="Z830" s="298"/>
      <c r="AA830" s="298"/>
      <c r="AB830" s="298"/>
      <c r="AC830" s="298"/>
      <c r="AD830" s="298"/>
      <c r="AE830" s="298"/>
      <c r="AF830" s="298"/>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row>
    <row r="831">
      <c r="A831" s="304"/>
      <c r="B831" s="282"/>
      <c r="C831" s="282"/>
      <c r="D831" s="282"/>
      <c r="E831" s="282"/>
      <c r="F831" s="282"/>
      <c r="G831" s="282"/>
      <c r="H831" s="282"/>
      <c r="I831" s="282"/>
      <c r="J831" s="282"/>
      <c r="K831" s="282"/>
      <c r="L831" s="282"/>
      <c r="M831" s="282"/>
      <c r="N831" s="282"/>
      <c r="O831" s="282"/>
      <c r="P831" s="282"/>
      <c r="Q831" s="282"/>
      <c r="R831" s="282"/>
      <c r="S831" s="282"/>
      <c r="T831" s="282"/>
      <c r="U831" s="282"/>
      <c r="V831" s="298"/>
      <c r="W831" s="298"/>
      <c r="X831" s="298"/>
      <c r="Y831" s="298"/>
      <c r="Z831" s="298"/>
      <c r="AA831" s="298"/>
      <c r="AB831" s="298"/>
      <c r="AC831" s="298"/>
      <c r="AD831" s="298"/>
      <c r="AE831" s="298"/>
      <c r="AF831" s="298"/>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row>
    <row r="832">
      <c r="A832" s="304"/>
      <c r="B832" s="282"/>
      <c r="C832" s="282"/>
      <c r="D832" s="282"/>
      <c r="E832" s="282"/>
      <c r="F832" s="282"/>
      <c r="G832" s="282"/>
      <c r="H832" s="282"/>
      <c r="I832" s="282"/>
      <c r="J832" s="282"/>
      <c r="K832" s="282"/>
      <c r="L832" s="282"/>
      <c r="M832" s="282"/>
      <c r="N832" s="282"/>
      <c r="O832" s="282"/>
      <c r="P832" s="282"/>
      <c r="Q832" s="282"/>
      <c r="R832" s="282"/>
      <c r="S832" s="282"/>
      <c r="T832" s="282"/>
      <c r="U832" s="282"/>
      <c r="V832" s="298"/>
      <c r="W832" s="298"/>
      <c r="X832" s="298"/>
      <c r="Y832" s="298"/>
      <c r="Z832" s="298"/>
      <c r="AA832" s="298"/>
      <c r="AB832" s="298"/>
      <c r="AC832" s="298"/>
      <c r="AD832" s="298"/>
      <c r="AE832" s="298"/>
      <c r="AF832" s="298"/>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row>
    <row r="833">
      <c r="A833" s="304"/>
      <c r="B833" s="282"/>
      <c r="C833" s="282"/>
      <c r="D833" s="282"/>
      <c r="E833" s="282"/>
      <c r="F833" s="282"/>
      <c r="G833" s="282"/>
      <c r="H833" s="282"/>
      <c r="I833" s="282"/>
      <c r="J833" s="282"/>
      <c r="K833" s="282"/>
      <c r="L833" s="282"/>
      <c r="M833" s="282"/>
      <c r="N833" s="282"/>
      <c r="O833" s="282"/>
      <c r="P833" s="282"/>
      <c r="Q833" s="282"/>
      <c r="R833" s="282"/>
      <c r="S833" s="282"/>
      <c r="T833" s="282"/>
      <c r="U833" s="282"/>
      <c r="V833" s="298"/>
      <c r="W833" s="298"/>
      <c r="X833" s="298"/>
      <c r="Y833" s="298"/>
      <c r="Z833" s="298"/>
      <c r="AA833" s="298"/>
      <c r="AB833" s="298"/>
      <c r="AC833" s="298"/>
      <c r="AD833" s="298"/>
      <c r="AE833" s="298"/>
      <c r="AF833" s="298"/>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row>
    <row r="834">
      <c r="A834" s="304"/>
      <c r="B834" s="282"/>
      <c r="C834" s="282"/>
      <c r="D834" s="282"/>
      <c r="E834" s="282"/>
      <c r="F834" s="282"/>
      <c r="G834" s="282"/>
      <c r="H834" s="282"/>
      <c r="I834" s="282"/>
      <c r="J834" s="282"/>
      <c r="K834" s="282"/>
      <c r="L834" s="282"/>
      <c r="M834" s="282"/>
      <c r="N834" s="282"/>
      <c r="O834" s="282"/>
      <c r="P834" s="282"/>
      <c r="Q834" s="282"/>
      <c r="R834" s="282"/>
      <c r="S834" s="282"/>
      <c r="T834" s="282"/>
      <c r="U834" s="282"/>
      <c r="V834" s="298"/>
      <c r="W834" s="298"/>
      <c r="X834" s="298"/>
      <c r="Y834" s="298"/>
      <c r="Z834" s="298"/>
      <c r="AA834" s="298"/>
      <c r="AB834" s="298"/>
      <c r="AC834" s="298"/>
      <c r="AD834" s="298"/>
      <c r="AE834" s="298"/>
      <c r="AF834" s="298"/>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row>
    <row r="835">
      <c r="A835" s="304"/>
      <c r="B835" s="282"/>
      <c r="C835" s="282"/>
      <c r="D835" s="282"/>
      <c r="E835" s="282"/>
      <c r="F835" s="282"/>
      <c r="G835" s="282"/>
      <c r="H835" s="282"/>
      <c r="I835" s="282"/>
      <c r="J835" s="282"/>
      <c r="K835" s="282"/>
      <c r="L835" s="282"/>
      <c r="M835" s="282"/>
      <c r="N835" s="282"/>
      <c r="O835" s="282"/>
      <c r="P835" s="282"/>
      <c r="Q835" s="282"/>
      <c r="R835" s="282"/>
      <c r="S835" s="282"/>
      <c r="T835" s="282"/>
      <c r="U835" s="282"/>
      <c r="V835" s="298"/>
      <c r="W835" s="298"/>
      <c r="X835" s="298"/>
      <c r="Y835" s="298"/>
      <c r="Z835" s="298"/>
      <c r="AA835" s="298"/>
      <c r="AB835" s="298"/>
      <c r="AC835" s="298"/>
      <c r="AD835" s="298"/>
      <c r="AE835" s="298"/>
      <c r="AF835" s="298"/>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row>
    <row r="836">
      <c r="A836" s="304"/>
      <c r="B836" s="282"/>
      <c r="C836" s="282"/>
      <c r="D836" s="282"/>
      <c r="E836" s="282"/>
      <c r="F836" s="282"/>
      <c r="G836" s="282"/>
      <c r="H836" s="282"/>
      <c r="I836" s="282"/>
      <c r="J836" s="282"/>
      <c r="K836" s="282"/>
      <c r="L836" s="282"/>
      <c r="M836" s="282"/>
      <c r="N836" s="282"/>
      <c r="O836" s="282"/>
      <c r="P836" s="282"/>
      <c r="Q836" s="282"/>
      <c r="R836" s="282"/>
      <c r="S836" s="282"/>
      <c r="T836" s="282"/>
      <c r="U836" s="282"/>
      <c r="V836" s="298"/>
      <c r="W836" s="298"/>
      <c r="X836" s="298"/>
      <c r="Y836" s="298"/>
      <c r="Z836" s="298"/>
      <c r="AA836" s="298"/>
      <c r="AB836" s="298"/>
      <c r="AC836" s="298"/>
      <c r="AD836" s="298"/>
      <c r="AE836" s="298"/>
      <c r="AF836" s="298"/>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row>
    <row r="837">
      <c r="A837" s="304"/>
      <c r="B837" s="282"/>
      <c r="C837" s="282"/>
      <c r="D837" s="282"/>
      <c r="E837" s="282"/>
      <c r="F837" s="282"/>
      <c r="G837" s="282"/>
      <c r="H837" s="282"/>
      <c r="I837" s="282"/>
      <c r="J837" s="282"/>
      <c r="K837" s="282"/>
      <c r="L837" s="282"/>
      <c r="M837" s="282"/>
      <c r="N837" s="282"/>
      <c r="O837" s="282"/>
      <c r="P837" s="282"/>
      <c r="Q837" s="282"/>
      <c r="R837" s="282"/>
      <c r="S837" s="282"/>
      <c r="T837" s="282"/>
      <c r="U837" s="282"/>
      <c r="V837" s="298"/>
      <c r="W837" s="298"/>
      <c r="X837" s="298"/>
      <c r="Y837" s="298"/>
      <c r="Z837" s="298"/>
      <c r="AA837" s="298"/>
      <c r="AB837" s="298"/>
      <c r="AC837" s="298"/>
      <c r="AD837" s="298"/>
      <c r="AE837" s="298"/>
      <c r="AF837" s="298"/>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row>
    <row r="838">
      <c r="A838" s="304"/>
      <c r="B838" s="282"/>
      <c r="C838" s="282"/>
      <c r="D838" s="282"/>
      <c r="E838" s="282"/>
      <c r="F838" s="282"/>
      <c r="G838" s="282"/>
      <c r="H838" s="282"/>
      <c r="I838" s="282"/>
      <c r="J838" s="282"/>
      <c r="K838" s="282"/>
      <c r="L838" s="282"/>
      <c r="M838" s="282"/>
      <c r="N838" s="282"/>
      <c r="O838" s="282"/>
      <c r="P838" s="282"/>
      <c r="Q838" s="282"/>
      <c r="R838" s="282"/>
      <c r="S838" s="282"/>
      <c r="T838" s="282"/>
      <c r="U838" s="282"/>
      <c r="V838" s="298"/>
      <c r="W838" s="298"/>
      <c r="X838" s="298"/>
      <c r="Y838" s="298"/>
      <c r="Z838" s="298"/>
      <c r="AA838" s="298"/>
      <c r="AB838" s="298"/>
      <c r="AC838" s="298"/>
      <c r="AD838" s="298"/>
      <c r="AE838" s="298"/>
      <c r="AF838" s="298"/>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row>
    <row r="839">
      <c r="A839" s="304"/>
      <c r="B839" s="282"/>
      <c r="C839" s="282"/>
      <c r="D839" s="282"/>
      <c r="E839" s="282"/>
      <c r="F839" s="282"/>
      <c r="G839" s="282"/>
      <c r="H839" s="282"/>
      <c r="I839" s="282"/>
      <c r="J839" s="282"/>
      <c r="K839" s="282"/>
      <c r="L839" s="282"/>
      <c r="M839" s="282"/>
      <c r="N839" s="282"/>
      <c r="O839" s="282"/>
      <c r="P839" s="282"/>
      <c r="Q839" s="282"/>
      <c r="R839" s="282"/>
      <c r="S839" s="282"/>
      <c r="T839" s="282"/>
      <c r="U839" s="282"/>
      <c r="V839" s="298"/>
      <c r="W839" s="298"/>
      <c r="X839" s="298"/>
      <c r="Y839" s="298"/>
      <c r="Z839" s="298"/>
      <c r="AA839" s="298"/>
      <c r="AB839" s="298"/>
      <c r="AC839" s="298"/>
      <c r="AD839" s="298"/>
      <c r="AE839" s="298"/>
      <c r="AF839" s="298"/>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row>
    <row r="840">
      <c r="A840" s="304"/>
      <c r="B840" s="282"/>
      <c r="C840" s="282"/>
      <c r="D840" s="282"/>
      <c r="E840" s="282"/>
      <c r="F840" s="282"/>
      <c r="G840" s="282"/>
      <c r="H840" s="282"/>
      <c r="I840" s="282"/>
      <c r="J840" s="282"/>
      <c r="K840" s="282"/>
      <c r="L840" s="282"/>
      <c r="M840" s="282"/>
      <c r="N840" s="282"/>
      <c r="O840" s="282"/>
      <c r="P840" s="282"/>
      <c r="Q840" s="282"/>
      <c r="R840" s="282"/>
      <c r="S840" s="282"/>
      <c r="T840" s="282"/>
      <c r="U840" s="282"/>
      <c r="V840" s="298"/>
      <c r="W840" s="298"/>
      <c r="X840" s="298"/>
      <c r="Y840" s="298"/>
      <c r="Z840" s="298"/>
      <c r="AA840" s="298"/>
      <c r="AB840" s="298"/>
      <c r="AC840" s="298"/>
      <c r="AD840" s="298"/>
      <c r="AE840" s="298"/>
      <c r="AF840" s="298"/>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row>
    <row r="841">
      <c r="A841" s="304"/>
      <c r="B841" s="282"/>
      <c r="C841" s="282"/>
      <c r="D841" s="282"/>
      <c r="E841" s="282"/>
      <c r="F841" s="282"/>
      <c r="G841" s="282"/>
      <c r="H841" s="282"/>
      <c r="I841" s="282"/>
      <c r="J841" s="282"/>
      <c r="K841" s="282"/>
      <c r="L841" s="282"/>
      <c r="M841" s="282"/>
      <c r="N841" s="282"/>
      <c r="O841" s="282"/>
      <c r="P841" s="282"/>
      <c r="Q841" s="282"/>
      <c r="R841" s="282"/>
      <c r="S841" s="282"/>
      <c r="T841" s="282"/>
      <c r="U841" s="282"/>
      <c r="V841" s="298"/>
      <c r="W841" s="298"/>
      <c r="X841" s="298"/>
      <c r="Y841" s="298"/>
      <c r="Z841" s="298"/>
      <c r="AA841" s="298"/>
      <c r="AB841" s="298"/>
      <c r="AC841" s="298"/>
      <c r="AD841" s="298"/>
      <c r="AE841" s="298"/>
      <c r="AF841" s="298"/>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row>
    <row r="842">
      <c r="A842" s="304"/>
      <c r="B842" s="282"/>
      <c r="C842" s="282"/>
      <c r="D842" s="282"/>
      <c r="E842" s="282"/>
      <c r="F842" s="282"/>
      <c r="G842" s="282"/>
      <c r="H842" s="282"/>
      <c r="I842" s="282"/>
      <c r="J842" s="282"/>
      <c r="K842" s="282"/>
      <c r="L842" s="282"/>
      <c r="M842" s="282"/>
      <c r="N842" s="282"/>
      <c r="O842" s="282"/>
      <c r="P842" s="282"/>
      <c r="Q842" s="282"/>
      <c r="R842" s="282"/>
      <c r="S842" s="282"/>
      <c r="T842" s="282"/>
      <c r="U842" s="282"/>
      <c r="V842" s="298"/>
      <c r="W842" s="298"/>
      <c r="X842" s="298"/>
      <c r="Y842" s="298"/>
      <c r="Z842" s="298"/>
      <c r="AA842" s="298"/>
      <c r="AB842" s="298"/>
      <c r="AC842" s="298"/>
      <c r="AD842" s="298"/>
      <c r="AE842" s="298"/>
      <c r="AF842" s="298"/>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row>
    <row r="843">
      <c r="A843" s="304"/>
      <c r="B843" s="282"/>
      <c r="C843" s="282"/>
      <c r="D843" s="282"/>
      <c r="E843" s="282"/>
      <c r="F843" s="282"/>
      <c r="G843" s="282"/>
      <c r="H843" s="282"/>
      <c r="I843" s="282"/>
      <c r="J843" s="282"/>
      <c r="K843" s="282"/>
      <c r="L843" s="282"/>
      <c r="M843" s="282"/>
      <c r="N843" s="282"/>
      <c r="O843" s="282"/>
      <c r="P843" s="282"/>
      <c r="Q843" s="282"/>
      <c r="R843" s="282"/>
      <c r="S843" s="282"/>
      <c r="T843" s="282"/>
      <c r="U843" s="282"/>
      <c r="V843" s="298"/>
      <c r="W843" s="298"/>
      <c r="X843" s="298"/>
      <c r="Y843" s="298"/>
      <c r="Z843" s="298"/>
      <c r="AA843" s="298"/>
      <c r="AB843" s="298"/>
      <c r="AC843" s="298"/>
      <c r="AD843" s="298"/>
      <c r="AE843" s="298"/>
      <c r="AF843" s="298"/>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row>
    <row r="844">
      <c r="A844" s="304"/>
      <c r="B844" s="282"/>
      <c r="C844" s="282"/>
      <c r="D844" s="282"/>
      <c r="E844" s="282"/>
      <c r="F844" s="282"/>
      <c r="G844" s="282"/>
      <c r="H844" s="282"/>
      <c r="I844" s="282"/>
      <c r="J844" s="282"/>
      <c r="K844" s="282"/>
      <c r="L844" s="282"/>
      <c r="M844" s="282"/>
      <c r="N844" s="282"/>
      <c r="O844" s="282"/>
      <c r="P844" s="282"/>
      <c r="Q844" s="282"/>
      <c r="R844" s="282"/>
      <c r="S844" s="282"/>
      <c r="T844" s="282"/>
      <c r="U844" s="282"/>
      <c r="V844" s="298"/>
      <c r="W844" s="298"/>
      <c r="X844" s="298"/>
      <c r="Y844" s="298"/>
      <c r="Z844" s="298"/>
      <c r="AA844" s="298"/>
      <c r="AB844" s="298"/>
      <c r="AC844" s="298"/>
      <c r="AD844" s="298"/>
      <c r="AE844" s="298"/>
      <c r="AF844" s="298"/>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row>
    <row r="845">
      <c r="A845" s="304"/>
      <c r="B845" s="282"/>
      <c r="C845" s="282"/>
      <c r="D845" s="282"/>
      <c r="E845" s="282"/>
      <c r="F845" s="282"/>
      <c r="G845" s="282"/>
      <c r="H845" s="282"/>
      <c r="I845" s="282"/>
      <c r="J845" s="282"/>
      <c r="K845" s="282"/>
      <c r="L845" s="282"/>
      <c r="M845" s="282"/>
      <c r="N845" s="282"/>
      <c r="O845" s="282"/>
      <c r="P845" s="282"/>
      <c r="Q845" s="282"/>
      <c r="R845" s="282"/>
      <c r="S845" s="282"/>
      <c r="T845" s="282"/>
      <c r="U845" s="282"/>
      <c r="V845" s="298"/>
      <c r="W845" s="298"/>
      <c r="X845" s="298"/>
      <c r="Y845" s="298"/>
      <c r="Z845" s="298"/>
      <c r="AA845" s="298"/>
      <c r="AB845" s="298"/>
      <c r="AC845" s="298"/>
      <c r="AD845" s="298"/>
      <c r="AE845" s="298"/>
      <c r="AF845" s="298"/>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row>
    <row r="846">
      <c r="A846" s="304"/>
      <c r="B846" s="282"/>
      <c r="C846" s="282"/>
      <c r="D846" s="282"/>
      <c r="E846" s="282"/>
      <c r="F846" s="282"/>
      <c r="G846" s="282"/>
      <c r="H846" s="282"/>
      <c r="I846" s="282"/>
      <c r="J846" s="282"/>
      <c r="K846" s="282"/>
      <c r="L846" s="282"/>
      <c r="M846" s="282"/>
      <c r="N846" s="282"/>
      <c r="O846" s="282"/>
      <c r="P846" s="282"/>
      <c r="Q846" s="282"/>
      <c r="R846" s="282"/>
      <c r="S846" s="282"/>
      <c r="T846" s="282"/>
      <c r="U846" s="282"/>
      <c r="V846" s="298"/>
      <c r="W846" s="298"/>
      <c r="X846" s="298"/>
      <c r="Y846" s="298"/>
      <c r="Z846" s="298"/>
      <c r="AA846" s="298"/>
      <c r="AB846" s="298"/>
      <c r="AC846" s="298"/>
      <c r="AD846" s="298"/>
      <c r="AE846" s="298"/>
      <c r="AF846" s="298"/>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row>
    <row r="847">
      <c r="A847" s="304"/>
      <c r="B847" s="282"/>
      <c r="C847" s="282"/>
      <c r="D847" s="282"/>
      <c r="E847" s="282"/>
      <c r="F847" s="282"/>
      <c r="G847" s="282"/>
      <c r="H847" s="282"/>
      <c r="I847" s="282"/>
      <c r="J847" s="282"/>
      <c r="K847" s="282"/>
      <c r="L847" s="282"/>
      <c r="M847" s="282"/>
      <c r="N847" s="282"/>
      <c r="O847" s="282"/>
      <c r="P847" s="282"/>
      <c r="Q847" s="282"/>
      <c r="R847" s="282"/>
      <c r="S847" s="282"/>
      <c r="T847" s="282"/>
      <c r="U847" s="282"/>
      <c r="V847" s="298"/>
      <c r="W847" s="298"/>
      <c r="X847" s="298"/>
      <c r="Y847" s="298"/>
      <c r="Z847" s="298"/>
      <c r="AA847" s="298"/>
      <c r="AB847" s="298"/>
      <c r="AC847" s="298"/>
      <c r="AD847" s="298"/>
      <c r="AE847" s="298"/>
      <c r="AF847" s="298"/>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row>
    <row r="848">
      <c r="A848" s="304"/>
      <c r="B848" s="282"/>
      <c r="C848" s="282"/>
      <c r="D848" s="282"/>
      <c r="E848" s="282"/>
      <c r="F848" s="282"/>
      <c r="G848" s="282"/>
      <c r="H848" s="282"/>
      <c r="I848" s="282"/>
      <c r="J848" s="282"/>
      <c r="K848" s="282"/>
      <c r="L848" s="282"/>
      <c r="M848" s="282"/>
      <c r="N848" s="282"/>
      <c r="O848" s="282"/>
      <c r="P848" s="282"/>
      <c r="Q848" s="282"/>
      <c r="R848" s="282"/>
      <c r="S848" s="282"/>
      <c r="T848" s="282"/>
      <c r="U848" s="282"/>
      <c r="V848" s="298"/>
      <c r="W848" s="298"/>
      <c r="X848" s="298"/>
      <c r="Y848" s="298"/>
      <c r="Z848" s="298"/>
      <c r="AA848" s="298"/>
      <c r="AB848" s="298"/>
      <c r="AC848" s="298"/>
      <c r="AD848" s="298"/>
      <c r="AE848" s="298"/>
      <c r="AF848" s="298"/>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row>
    <row r="849">
      <c r="A849" s="304"/>
      <c r="B849" s="282"/>
      <c r="C849" s="282"/>
      <c r="D849" s="282"/>
      <c r="E849" s="282"/>
      <c r="F849" s="282"/>
      <c r="G849" s="282"/>
      <c r="H849" s="282"/>
      <c r="I849" s="282"/>
      <c r="J849" s="282"/>
      <c r="K849" s="282"/>
      <c r="L849" s="282"/>
      <c r="M849" s="282"/>
      <c r="N849" s="282"/>
      <c r="O849" s="282"/>
      <c r="P849" s="282"/>
      <c r="Q849" s="282"/>
      <c r="R849" s="282"/>
      <c r="S849" s="282"/>
      <c r="T849" s="282"/>
      <c r="U849" s="282"/>
      <c r="V849" s="298"/>
      <c r="W849" s="298"/>
      <c r="X849" s="298"/>
      <c r="Y849" s="298"/>
      <c r="Z849" s="298"/>
      <c r="AA849" s="298"/>
      <c r="AB849" s="298"/>
      <c r="AC849" s="298"/>
      <c r="AD849" s="298"/>
      <c r="AE849" s="298"/>
      <c r="AF849" s="298"/>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row>
    <row r="850">
      <c r="A850" s="304"/>
      <c r="B850" s="282"/>
      <c r="C850" s="282"/>
      <c r="D850" s="282"/>
      <c r="E850" s="282"/>
      <c r="F850" s="282"/>
      <c r="G850" s="282"/>
      <c r="H850" s="282"/>
      <c r="I850" s="282"/>
      <c r="J850" s="282"/>
      <c r="K850" s="282"/>
      <c r="L850" s="282"/>
      <c r="M850" s="282"/>
      <c r="N850" s="282"/>
      <c r="O850" s="282"/>
      <c r="P850" s="282"/>
      <c r="Q850" s="282"/>
      <c r="R850" s="282"/>
      <c r="S850" s="282"/>
      <c r="T850" s="282"/>
      <c r="U850" s="282"/>
      <c r="V850" s="298"/>
      <c r="W850" s="298"/>
      <c r="X850" s="298"/>
      <c r="Y850" s="298"/>
      <c r="Z850" s="298"/>
      <c r="AA850" s="298"/>
      <c r="AB850" s="298"/>
      <c r="AC850" s="298"/>
      <c r="AD850" s="298"/>
      <c r="AE850" s="298"/>
      <c r="AF850" s="298"/>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row>
    <row r="851">
      <c r="A851" s="304"/>
      <c r="B851" s="282"/>
      <c r="C851" s="282"/>
      <c r="D851" s="282"/>
      <c r="E851" s="282"/>
      <c r="F851" s="282"/>
      <c r="G851" s="282"/>
      <c r="H851" s="282"/>
      <c r="I851" s="282"/>
      <c r="J851" s="282"/>
      <c r="K851" s="282"/>
      <c r="L851" s="282"/>
      <c r="M851" s="282"/>
      <c r="N851" s="282"/>
      <c r="O851" s="282"/>
      <c r="P851" s="282"/>
      <c r="Q851" s="282"/>
      <c r="R851" s="282"/>
      <c r="S851" s="282"/>
      <c r="T851" s="282"/>
      <c r="U851" s="282"/>
      <c r="V851" s="298"/>
      <c r="W851" s="298"/>
      <c r="X851" s="298"/>
      <c r="Y851" s="298"/>
      <c r="Z851" s="298"/>
      <c r="AA851" s="298"/>
      <c r="AB851" s="298"/>
      <c r="AC851" s="298"/>
      <c r="AD851" s="298"/>
      <c r="AE851" s="298"/>
      <c r="AF851" s="298"/>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row>
    <row r="852">
      <c r="A852" s="304"/>
      <c r="B852" s="282"/>
      <c r="C852" s="282"/>
      <c r="D852" s="282"/>
      <c r="E852" s="282"/>
      <c r="F852" s="282"/>
      <c r="G852" s="282"/>
      <c r="H852" s="282"/>
      <c r="I852" s="282"/>
      <c r="J852" s="282"/>
      <c r="K852" s="282"/>
      <c r="L852" s="282"/>
      <c r="M852" s="282"/>
      <c r="N852" s="282"/>
      <c r="O852" s="282"/>
      <c r="P852" s="282"/>
      <c r="Q852" s="282"/>
      <c r="R852" s="282"/>
      <c r="S852" s="282"/>
      <c r="T852" s="282"/>
      <c r="U852" s="282"/>
      <c r="V852" s="298"/>
      <c r="W852" s="298"/>
      <c r="X852" s="298"/>
      <c r="Y852" s="298"/>
      <c r="Z852" s="298"/>
      <c r="AA852" s="298"/>
      <c r="AB852" s="298"/>
      <c r="AC852" s="298"/>
      <c r="AD852" s="298"/>
      <c r="AE852" s="298"/>
      <c r="AF852" s="298"/>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row>
    <row r="853">
      <c r="A853" s="304"/>
      <c r="B853" s="282"/>
      <c r="C853" s="282"/>
      <c r="D853" s="282"/>
      <c r="E853" s="282"/>
      <c r="F853" s="282"/>
      <c r="G853" s="282"/>
      <c r="H853" s="282"/>
      <c r="I853" s="282"/>
      <c r="J853" s="282"/>
      <c r="K853" s="282"/>
      <c r="L853" s="282"/>
      <c r="M853" s="282"/>
      <c r="N853" s="282"/>
      <c r="O853" s="282"/>
      <c r="P853" s="282"/>
      <c r="Q853" s="282"/>
      <c r="R853" s="282"/>
      <c r="S853" s="282"/>
      <c r="T853" s="282"/>
      <c r="U853" s="282"/>
      <c r="V853" s="298"/>
      <c r="W853" s="298"/>
      <c r="X853" s="298"/>
      <c r="Y853" s="298"/>
      <c r="Z853" s="298"/>
      <c r="AA853" s="298"/>
      <c r="AB853" s="298"/>
      <c r="AC853" s="298"/>
      <c r="AD853" s="298"/>
      <c r="AE853" s="298"/>
      <c r="AF853" s="298"/>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row>
    <row r="854">
      <c r="A854" s="304"/>
      <c r="B854" s="282"/>
      <c r="C854" s="282"/>
      <c r="D854" s="282"/>
      <c r="E854" s="282"/>
      <c r="F854" s="282"/>
      <c r="G854" s="282"/>
      <c r="H854" s="282"/>
      <c r="I854" s="282"/>
      <c r="J854" s="282"/>
      <c r="K854" s="282"/>
      <c r="L854" s="282"/>
      <c r="M854" s="282"/>
      <c r="N854" s="282"/>
      <c r="O854" s="282"/>
      <c r="P854" s="282"/>
      <c r="Q854" s="282"/>
      <c r="R854" s="282"/>
      <c r="S854" s="282"/>
      <c r="T854" s="282"/>
      <c r="U854" s="282"/>
      <c r="V854" s="298"/>
      <c r="W854" s="298"/>
      <c r="X854" s="298"/>
      <c r="Y854" s="298"/>
      <c r="Z854" s="298"/>
      <c r="AA854" s="298"/>
      <c r="AB854" s="298"/>
      <c r="AC854" s="298"/>
      <c r="AD854" s="298"/>
      <c r="AE854" s="298"/>
      <c r="AF854" s="298"/>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row>
    <row r="855">
      <c r="A855" s="304"/>
      <c r="B855" s="282"/>
      <c r="C855" s="282"/>
      <c r="D855" s="282"/>
      <c r="E855" s="282"/>
      <c r="F855" s="282"/>
      <c r="G855" s="282"/>
      <c r="H855" s="282"/>
      <c r="I855" s="282"/>
      <c r="J855" s="282"/>
      <c r="K855" s="282"/>
      <c r="L855" s="282"/>
      <c r="M855" s="282"/>
      <c r="N855" s="282"/>
      <c r="O855" s="282"/>
      <c r="P855" s="282"/>
      <c r="Q855" s="282"/>
      <c r="R855" s="282"/>
      <c r="S855" s="282"/>
      <c r="T855" s="282"/>
      <c r="U855" s="282"/>
      <c r="V855" s="298"/>
      <c r="W855" s="298"/>
      <c r="X855" s="298"/>
      <c r="Y855" s="298"/>
      <c r="Z855" s="298"/>
      <c r="AA855" s="298"/>
      <c r="AB855" s="298"/>
      <c r="AC855" s="298"/>
      <c r="AD855" s="298"/>
      <c r="AE855" s="298"/>
      <c r="AF855" s="298"/>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row>
    <row r="856">
      <c r="A856" s="304"/>
      <c r="B856" s="282"/>
      <c r="C856" s="282"/>
      <c r="D856" s="282"/>
      <c r="E856" s="282"/>
      <c r="F856" s="282"/>
      <c r="G856" s="282"/>
      <c r="H856" s="282"/>
      <c r="I856" s="282"/>
      <c r="J856" s="282"/>
      <c r="K856" s="282"/>
      <c r="L856" s="282"/>
      <c r="M856" s="282"/>
      <c r="N856" s="282"/>
      <c r="O856" s="282"/>
      <c r="P856" s="282"/>
      <c r="Q856" s="282"/>
      <c r="R856" s="282"/>
      <c r="S856" s="282"/>
      <c r="T856" s="282"/>
      <c r="U856" s="282"/>
      <c r="V856" s="298"/>
      <c r="W856" s="298"/>
      <c r="X856" s="298"/>
      <c r="Y856" s="298"/>
      <c r="Z856" s="298"/>
      <c r="AA856" s="298"/>
      <c r="AB856" s="298"/>
      <c r="AC856" s="298"/>
      <c r="AD856" s="298"/>
      <c r="AE856" s="298"/>
      <c r="AF856" s="298"/>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row>
    <row r="857">
      <c r="A857" s="304"/>
      <c r="B857" s="282"/>
      <c r="C857" s="282"/>
      <c r="D857" s="282"/>
      <c r="E857" s="282"/>
      <c r="F857" s="282"/>
      <c r="G857" s="282"/>
      <c r="H857" s="282"/>
      <c r="I857" s="282"/>
      <c r="J857" s="282"/>
      <c r="K857" s="282"/>
      <c r="L857" s="282"/>
      <c r="M857" s="282"/>
      <c r="N857" s="282"/>
      <c r="O857" s="282"/>
      <c r="P857" s="282"/>
      <c r="Q857" s="282"/>
      <c r="R857" s="282"/>
      <c r="S857" s="282"/>
      <c r="T857" s="282"/>
      <c r="U857" s="282"/>
      <c r="V857" s="298"/>
      <c r="W857" s="298"/>
      <c r="X857" s="298"/>
      <c r="Y857" s="298"/>
      <c r="Z857" s="298"/>
      <c r="AA857" s="298"/>
      <c r="AB857" s="298"/>
      <c r="AC857" s="298"/>
      <c r="AD857" s="298"/>
      <c r="AE857" s="298"/>
      <c r="AF857" s="298"/>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row>
    <row r="858">
      <c r="A858" s="304"/>
      <c r="B858" s="282"/>
      <c r="C858" s="282"/>
      <c r="D858" s="282"/>
      <c r="E858" s="282"/>
      <c r="F858" s="282"/>
      <c r="G858" s="282"/>
      <c r="H858" s="282"/>
      <c r="I858" s="282"/>
      <c r="J858" s="282"/>
      <c r="K858" s="282"/>
      <c r="L858" s="282"/>
      <c r="M858" s="282"/>
      <c r="N858" s="282"/>
      <c r="O858" s="282"/>
      <c r="P858" s="282"/>
      <c r="Q858" s="282"/>
      <c r="R858" s="282"/>
      <c r="S858" s="282"/>
      <c r="T858" s="282"/>
      <c r="U858" s="282"/>
      <c r="V858" s="298"/>
      <c r="W858" s="298"/>
      <c r="X858" s="298"/>
      <c r="Y858" s="298"/>
      <c r="Z858" s="298"/>
      <c r="AA858" s="298"/>
      <c r="AB858" s="298"/>
      <c r="AC858" s="298"/>
      <c r="AD858" s="298"/>
      <c r="AE858" s="298"/>
      <c r="AF858" s="298"/>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row>
    <row r="859">
      <c r="A859" s="304"/>
      <c r="B859" s="282"/>
      <c r="C859" s="282"/>
      <c r="D859" s="282"/>
      <c r="E859" s="282"/>
      <c r="F859" s="282"/>
      <c r="G859" s="282"/>
      <c r="H859" s="282"/>
      <c r="I859" s="282"/>
      <c r="J859" s="282"/>
      <c r="K859" s="282"/>
      <c r="L859" s="282"/>
      <c r="M859" s="282"/>
      <c r="N859" s="282"/>
      <c r="O859" s="282"/>
      <c r="P859" s="282"/>
      <c r="Q859" s="282"/>
      <c r="R859" s="282"/>
      <c r="S859" s="282"/>
      <c r="T859" s="282"/>
      <c r="U859" s="282"/>
      <c r="V859" s="298"/>
      <c r="W859" s="298"/>
      <c r="X859" s="298"/>
      <c r="Y859" s="298"/>
      <c r="Z859" s="298"/>
      <c r="AA859" s="298"/>
      <c r="AB859" s="298"/>
      <c r="AC859" s="298"/>
      <c r="AD859" s="298"/>
      <c r="AE859" s="298"/>
      <c r="AF859" s="298"/>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row>
    <row r="860">
      <c r="A860" s="304"/>
      <c r="B860" s="282"/>
      <c r="C860" s="282"/>
      <c r="D860" s="282"/>
      <c r="E860" s="282"/>
      <c r="F860" s="282"/>
      <c r="G860" s="282"/>
      <c r="H860" s="282"/>
      <c r="I860" s="282"/>
      <c r="J860" s="282"/>
      <c r="K860" s="282"/>
      <c r="L860" s="282"/>
      <c r="M860" s="282"/>
      <c r="N860" s="282"/>
      <c r="O860" s="282"/>
      <c r="P860" s="282"/>
      <c r="Q860" s="282"/>
      <c r="R860" s="282"/>
      <c r="S860" s="282"/>
      <c r="T860" s="282"/>
      <c r="U860" s="282"/>
      <c r="V860" s="298"/>
      <c r="W860" s="298"/>
      <c r="X860" s="298"/>
      <c r="Y860" s="298"/>
      <c r="Z860" s="298"/>
      <c r="AA860" s="298"/>
      <c r="AB860" s="298"/>
      <c r="AC860" s="298"/>
      <c r="AD860" s="298"/>
      <c r="AE860" s="298"/>
      <c r="AF860" s="298"/>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row>
    <row r="861">
      <c r="A861" s="304"/>
      <c r="B861" s="282"/>
      <c r="C861" s="282"/>
      <c r="D861" s="282"/>
      <c r="E861" s="282"/>
      <c r="F861" s="282"/>
      <c r="G861" s="282"/>
      <c r="H861" s="282"/>
      <c r="I861" s="282"/>
      <c r="J861" s="282"/>
      <c r="K861" s="282"/>
      <c r="L861" s="282"/>
      <c r="M861" s="282"/>
      <c r="N861" s="282"/>
      <c r="O861" s="282"/>
      <c r="P861" s="282"/>
      <c r="Q861" s="282"/>
      <c r="R861" s="282"/>
      <c r="S861" s="282"/>
      <c r="T861" s="282"/>
      <c r="U861" s="282"/>
      <c r="V861" s="298"/>
      <c r="W861" s="298"/>
      <c r="X861" s="298"/>
      <c r="Y861" s="298"/>
      <c r="Z861" s="298"/>
      <c r="AA861" s="298"/>
      <c r="AB861" s="298"/>
      <c r="AC861" s="298"/>
      <c r="AD861" s="298"/>
      <c r="AE861" s="298"/>
      <c r="AF861" s="298"/>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row>
    <row r="862">
      <c r="A862" s="304"/>
      <c r="B862" s="282"/>
      <c r="C862" s="282"/>
      <c r="D862" s="282"/>
      <c r="E862" s="282"/>
      <c r="F862" s="282"/>
      <c r="G862" s="282"/>
      <c r="H862" s="282"/>
      <c r="I862" s="282"/>
      <c r="J862" s="282"/>
      <c r="K862" s="282"/>
      <c r="L862" s="282"/>
      <c r="M862" s="282"/>
      <c r="N862" s="282"/>
      <c r="O862" s="282"/>
      <c r="P862" s="282"/>
      <c r="Q862" s="282"/>
      <c r="R862" s="282"/>
      <c r="S862" s="282"/>
      <c r="T862" s="282"/>
      <c r="U862" s="282"/>
      <c r="V862" s="298"/>
      <c r="W862" s="298"/>
      <c r="X862" s="298"/>
      <c r="Y862" s="298"/>
      <c r="Z862" s="298"/>
      <c r="AA862" s="298"/>
      <c r="AB862" s="298"/>
      <c r="AC862" s="298"/>
      <c r="AD862" s="298"/>
      <c r="AE862" s="298"/>
      <c r="AF862" s="298"/>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row>
    <row r="863">
      <c r="A863" s="304"/>
      <c r="B863" s="282"/>
      <c r="C863" s="282"/>
      <c r="D863" s="282"/>
      <c r="E863" s="282"/>
      <c r="F863" s="282"/>
      <c r="G863" s="282"/>
      <c r="H863" s="282"/>
      <c r="I863" s="282"/>
      <c r="J863" s="282"/>
      <c r="K863" s="282"/>
      <c r="L863" s="282"/>
      <c r="M863" s="282"/>
      <c r="N863" s="282"/>
      <c r="O863" s="282"/>
      <c r="P863" s="282"/>
      <c r="Q863" s="282"/>
      <c r="R863" s="282"/>
      <c r="S863" s="282"/>
      <c r="T863" s="282"/>
      <c r="U863" s="282"/>
      <c r="V863" s="298"/>
      <c r="W863" s="298"/>
      <c r="X863" s="298"/>
      <c r="Y863" s="298"/>
      <c r="Z863" s="298"/>
      <c r="AA863" s="298"/>
      <c r="AB863" s="298"/>
      <c r="AC863" s="298"/>
      <c r="AD863" s="298"/>
      <c r="AE863" s="298"/>
      <c r="AF863" s="298"/>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row>
    <row r="864">
      <c r="A864" s="304"/>
      <c r="B864" s="282"/>
      <c r="C864" s="282"/>
      <c r="D864" s="282"/>
      <c r="E864" s="282"/>
      <c r="F864" s="282"/>
      <c r="G864" s="282"/>
      <c r="H864" s="282"/>
      <c r="I864" s="282"/>
      <c r="J864" s="282"/>
      <c r="K864" s="282"/>
      <c r="L864" s="282"/>
      <c r="M864" s="282"/>
      <c r="N864" s="282"/>
      <c r="O864" s="282"/>
      <c r="P864" s="282"/>
      <c r="Q864" s="282"/>
      <c r="R864" s="282"/>
      <c r="S864" s="282"/>
      <c r="T864" s="282"/>
      <c r="U864" s="282"/>
      <c r="V864" s="298"/>
      <c r="W864" s="298"/>
      <c r="X864" s="298"/>
      <c r="Y864" s="298"/>
      <c r="Z864" s="298"/>
      <c r="AA864" s="298"/>
      <c r="AB864" s="298"/>
      <c r="AC864" s="298"/>
      <c r="AD864" s="298"/>
      <c r="AE864" s="298"/>
      <c r="AF864" s="298"/>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row>
    <row r="865">
      <c r="A865" s="304"/>
      <c r="B865" s="282"/>
      <c r="C865" s="282"/>
      <c r="D865" s="282"/>
      <c r="E865" s="282"/>
      <c r="F865" s="282"/>
      <c r="G865" s="282"/>
      <c r="H865" s="282"/>
      <c r="I865" s="282"/>
      <c r="J865" s="282"/>
      <c r="K865" s="282"/>
      <c r="L865" s="282"/>
      <c r="M865" s="282"/>
      <c r="N865" s="282"/>
      <c r="O865" s="282"/>
      <c r="P865" s="282"/>
      <c r="Q865" s="282"/>
      <c r="R865" s="282"/>
      <c r="S865" s="282"/>
      <c r="T865" s="282"/>
      <c r="U865" s="282"/>
      <c r="V865" s="298"/>
      <c r="W865" s="298"/>
      <c r="X865" s="298"/>
      <c r="Y865" s="298"/>
      <c r="Z865" s="298"/>
      <c r="AA865" s="298"/>
      <c r="AB865" s="298"/>
      <c r="AC865" s="298"/>
      <c r="AD865" s="298"/>
      <c r="AE865" s="298"/>
      <c r="AF865" s="298"/>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row>
    <row r="866">
      <c r="A866" s="304"/>
      <c r="B866" s="282"/>
      <c r="C866" s="282"/>
      <c r="D866" s="282"/>
      <c r="E866" s="282"/>
      <c r="F866" s="282"/>
      <c r="G866" s="282"/>
      <c r="H866" s="282"/>
      <c r="I866" s="282"/>
      <c r="J866" s="282"/>
      <c r="K866" s="282"/>
      <c r="L866" s="282"/>
      <c r="M866" s="282"/>
      <c r="N866" s="282"/>
      <c r="O866" s="282"/>
      <c r="P866" s="282"/>
      <c r="Q866" s="282"/>
      <c r="R866" s="282"/>
      <c r="S866" s="282"/>
      <c r="T866" s="282"/>
      <c r="U866" s="282"/>
      <c r="V866" s="298"/>
      <c r="W866" s="298"/>
      <c r="X866" s="298"/>
      <c r="Y866" s="298"/>
      <c r="Z866" s="298"/>
      <c r="AA866" s="298"/>
      <c r="AB866" s="298"/>
      <c r="AC866" s="298"/>
      <c r="AD866" s="298"/>
      <c r="AE866" s="298"/>
      <c r="AF866" s="298"/>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row>
    <row r="867">
      <c r="A867" s="304"/>
      <c r="B867" s="282"/>
      <c r="C867" s="282"/>
      <c r="D867" s="282"/>
      <c r="E867" s="282"/>
      <c r="F867" s="282"/>
      <c r="G867" s="282"/>
      <c r="H867" s="282"/>
      <c r="I867" s="282"/>
      <c r="J867" s="282"/>
      <c r="K867" s="282"/>
      <c r="L867" s="282"/>
      <c r="M867" s="282"/>
      <c r="N867" s="282"/>
      <c r="O867" s="282"/>
      <c r="P867" s="282"/>
      <c r="Q867" s="282"/>
      <c r="R867" s="282"/>
      <c r="S867" s="282"/>
      <c r="T867" s="282"/>
      <c r="U867" s="282"/>
      <c r="V867" s="298"/>
      <c r="W867" s="298"/>
      <c r="X867" s="298"/>
      <c r="Y867" s="298"/>
      <c r="Z867" s="298"/>
      <c r="AA867" s="298"/>
      <c r="AB867" s="298"/>
      <c r="AC867" s="298"/>
      <c r="AD867" s="298"/>
      <c r="AE867" s="298"/>
      <c r="AF867" s="298"/>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row>
    <row r="868">
      <c r="A868" s="304"/>
      <c r="B868" s="282"/>
      <c r="C868" s="282"/>
      <c r="D868" s="282"/>
      <c r="E868" s="282"/>
      <c r="F868" s="282"/>
      <c r="G868" s="282"/>
      <c r="H868" s="282"/>
      <c r="I868" s="282"/>
      <c r="J868" s="282"/>
      <c r="K868" s="282"/>
      <c r="L868" s="282"/>
      <c r="M868" s="282"/>
      <c r="N868" s="282"/>
      <c r="O868" s="282"/>
      <c r="P868" s="282"/>
      <c r="Q868" s="282"/>
      <c r="R868" s="282"/>
      <c r="S868" s="282"/>
      <c r="T868" s="282"/>
      <c r="U868" s="282"/>
      <c r="V868" s="298"/>
      <c r="W868" s="298"/>
      <c r="X868" s="298"/>
      <c r="Y868" s="298"/>
      <c r="Z868" s="298"/>
      <c r="AA868" s="298"/>
      <c r="AB868" s="298"/>
      <c r="AC868" s="298"/>
      <c r="AD868" s="298"/>
      <c r="AE868" s="298"/>
      <c r="AF868" s="298"/>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row>
    <row r="869">
      <c r="A869" s="304"/>
      <c r="B869" s="282"/>
      <c r="C869" s="282"/>
      <c r="D869" s="282"/>
      <c r="E869" s="282"/>
      <c r="F869" s="282"/>
      <c r="G869" s="282"/>
      <c r="H869" s="282"/>
      <c r="I869" s="282"/>
      <c r="J869" s="282"/>
      <c r="K869" s="282"/>
      <c r="L869" s="282"/>
      <c r="M869" s="282"/>
      <c r="N869" s="282"/>
      <c r="O869" s="282"/>
      <c r="P869" s="282"/>
      <c r="Q869" s="282"/>
      <c r="R869" s="282"/>
      <c r="S869" s="282"/>
      <c r="T869" s="282"/>
      <c r="U869" s="282"/>
      <c r="V869" s="298"/>
      <c r="W869" s="298"/>
      <c r="X869" s="298"/>
      <c r="Y869" s="298"/>
      <c r="Z869" s="298"/>
      <c r="AA869" s="298"/>
      <c r="AB869" s="298"/>
      <c r="AC869" s="298"/>
      <c r="AD869" s="298"/>
      <c r="AE869" s="298"/>
      <c r="AF869" s="298"/>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row>
    <row r="870">
      <c r="A870" s="304"/>
      <c r="B870" s="282"/>
      <c r="C870" s="282"/>
      <c r="D870" s="282"/>
      <c r="E870" s="282"/>
      <c r="F870" s="282"/>
      <c r="G870" s="282"/>
      <c r="H870" s="282"/>
      <c r="I870" s="282"/>
      <c r="J870" s="282"/>
      <c r="K870" s="282"/>
      <c r="L870" s="282"/>
      <c r="M870" s="282"/>
      <c r="N870" s="282"/>
      <c r="O870" s="282"/>
      <c r="P870" s="282"/>
      <c r="Q870" s="282"/>
      <c r="R870" s="282"/>
      <c r="S870" s="282"/>
      <c r="T870" s="282"/>
      <c r="U870" s="282"/>
      <c r="V870" s="298"/>
      <c r="W870" s="298"/>
      <c r="X870" s="298"/>
      <c r="Y870" s="298"/>
      <c r="Z870" s="298"/>
      <c r="AA870" s="298"/>
      <c r="AB870" s="298"/>
      <c r="AC870" s="298"/>
      <c r="AD870" s="298"/>
      <c r="AE870" s="298"/>
      <c r="AF870" s="298"/>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row>
    <row r="871">
      <c r="A871" s="304"/>
      <c r="B871" s="282"/>
      <c r="C871" s="282"/>
      <c r="D871" s="282"/>
      <c r="E871" s="282"/>
      <c r="F871" s="282"/>
      <c r="G871" s="282"/>
      <c r="H871" s="282"/>
      <c r="I871" s="282"/>
      <c r="J871" s="282"/>
      <c r="K871" s="282"/>
      <c r="L871" s="282"/>
      <c r="M871" s="282"/>
      <c r="N871" s="282"/>
      <c r="O871" s="282"/>
      <c r="P871" s="282"/>
      <c r="Q871" s="282"/>
      <c r="R871" s="282"/>
      <c r="S871" s="282"/>
      <c r="T871" s="282"/>
      <c r="U871" s="282"/>
      <c r="V871" s="298"/>
      <c r="W871" s="298"/>
      <c r="X871" s="298"/>
      <c r="Y871" s="298"/>
      <c r="Z871" s="298"/>
      <c r="AA871" s="298"/>
      <c r="AB871" s="298"/>
      <c r="AC871" s="298"/>
      <c r="AD871" s="298"/>
      <c r="AE871" s="298"/>
      <c r="AF871" s="298"/>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row>
    <row r="872">
      <c r="A872" s="304"/>
      <c r="B872" s="282"/>
      <c r="C872" s="282"/>
      <c r="D872" s="282"/>
      <c r="E872" s="282"/>
      <c r="F872" s="282"/>
      <c r="G872" s="282"/>
      <c r="H872" s="282"/>
      <c r="I872" s="282"/>
      <c r="J872" s="282"/>
      <c r="K872" s="282"/>
      <c r="L872" s="282"/>
      <c r="M872" s="282"/>
      <c r="N872" s="282"/>
      <c r="O872" s="282"/>
      <c r="P872" s="282"/>
      <c r="Q872" s="282"/>
      <c r="R872" s="282"/>
      <c r="S872" s="282"/>
      <c r="T872" s="282"/>
      <c r="U872" s="282"/>
      <c r="V872" s="298"/>
      <c r="W872" s="298"/>
      <c r="X872" s="298"/>
      <c r="Y872" s="298"/>
      <c r="Z872" s="298"/>
      <c r="AA872" s="298"/>
      <c r="AB872" s="298"/>
      <c r="AC872" s="298"/>
      <c r="AD872" s="298"/>
      <c r="AE872" s="298"/>
      <c r="AF872" s="298"/>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row>
    <row r="873">
      <c r="A873" s="304"/>
      <c r="B873" s="282"/>
      <c r="C873" s="282"/>
      <c r="D873" s="282"/>
      <c r="E873" s="282"/>
      <c r="F873" s="282"/>
      <c r="G873" s="282"/>
      <c r="H873" s="282"/>
      <c r="I873" s="282"/>
      <c r="J873" s="282"/>
      <c r="K873" s="282"/>
      <c r="L873" s="282"/>
      <c r="M873" s="282"/>
      <c r="N873" s="282"/>
      <c r="O873" s="282"/>
      <c r="P873" s="282"/>
      <c r="Q873" s="282"/>
      <c r="R873" s="282"/>
      <c r="S873" s="282"/>
      <c r="T873" s="282"/>
      <c r="U873" s="282"/>
      <c r="V873" s="298"/>
      <c r="W873" s="298"/>
      <c r="X873" s="298"/>
      <c r="Y873" s="298"/>
      <c r="Z873" s="298"/>
      <c r="AA873" s="298"/>
      <c r="AB873" s="298"/>
      <c r="AC873" s="298"/>
      <c r="AD873" s="298"/>
      <c r="AE873" s="298"/>
      <c r="AF873" s="298"/>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row>
    <row r="874">
      <c r="A874" s="304"/>
      <c r="B874" s="282"/>
      <c r="C874" s="282"/>
      <c r="D874" s="282"/>
      <c r="E874" s="282"/>
      <c r="F874" s="282"/>
      <c r="G874" s="282"/>
      <c r="H874" s="282"/>
      <c r="I874" s="282"/>
      <c r="J874" s="282"/>
      <c r="K874" s="282"/>
      <c r="L874" s="282"/>
      <c r="M874" s="282"/>
      <c r="N874" s="282"/>
      <c r="O874" s="282"/>
      <c r="P874" s="282"/>
      <c r="Q874" s="282"/>
      <c r="R874" s="282"/>
      <c r="S874" s="282"/>
      <c r="T874" s="282"/>
      <c r="U874" s="282"/>
      <c r="V874" s="298"/>
      <c r="W874" s="298"/>
      <c r="X874" s="298"/>
      <c r="Y874" s="298"/>
      <c r="Z874" s="298"/>
      <c r="AA874" s="298"/>
      <c r="AB874" s="298"/>
      <c r="AC874" s="298"/>
      <c r="AD874" s="298"/>
      <c r="AE874" s="298"/>
      <c r="AF874" s="298"/>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row>
    <row r="875">
      <c r="A875" s="304"/>
      <c r="B875" s="282"/>
      <c r="C875" s="282"/>
      <c r="D875" s="282"/>
      <c r="E875" s="282"/>
      <c r="F875" s="282"/>
      <c r="G875" s="282"/>
      <c r="H875" s="282"/>
      <c r="I875" s="282"/>
      <c r="J875" s="282"/>
      <c r="K875" s="282"/>
      <c r="L875" s="282"/>
      <c r="M875" s="282"/>
      <c r="N875" s="282"/>
      <c r="O875" s="282"/>
      <c r="P875" s="282"/>
      <c r="Q875" s="282"/>
      <c r="R875" s="282"/>
      <c r="S875" s="282"/>
      <c r="T875" s="282"/>
      <c r="U875" s="282"/>
      <c r="V875" s="298"/>
      <c r="W875" s="298"/>
      <c r="X875" s="298"/>
      <c r="Y875" s="298"/>
      <c r="Z875" s="298"/>
      <c r="AA875" s="298"/>
      <c r="AB875" s="298"/>
      <c r="AC875" s="298"/>
      <c r="AD875" s="298"/>
      <c r="AE875" s="298"/>
      <c r="AF875" s="298"/>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row>
    <row r="876">
      <c r="A876" s="304"/>
      <c r="B876" s="282"/>
      <c r="C876" s="282"/>
      <c r="D876" s="282"/>
      <c r="E876" s="282"/>
      <c r="F876" s="282"/>
      <c r="G876" s="282"/>
      <c r="H876" s="282"/>
      <c r="I876" s="282"/>
      <c r="J876" s="282"/>
      <c r="K876" s="282"/>
      <c r="L876" s="282"/>
      <c r="M876" s="282"/>
      <c r="N876" s="282"/>
      <c r="O876" s="282"/>
      <c r="P876" s="282"/>
      <c r="Q876" s="282"/>
      <c r="R876" s="282"/>
      <c r="S876" s="282"/>
      <c r="T876" s="282"/>
      <c r="U876" s="282"/>
      <c r="V876" s="298"/>
      <c r="W876" s="298"/>
      <c r="X876" s="298"/>
      <c r="Y876" s="298"/>
      <c r="Z876" s="298"/>
      <c r="AA876" s="298"/>
      <c r="AB876" s="298"/>
      <c r="AC876" s="298"/>
      <c r="AD876" s="298"/>
      <c r="AE876" s="298"/>
      <c r="AF876" s="298"/>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row>
    <row r="877">
      <c r="A877" s="304"/>
      <c r="B877" s="282"/>
      <c r="C877" s="282"/>
      <c r="D877" s="282"/>
      <c r="E877" s="282"/>
      <c r="F877" s="282"/>
      <c r="G877" s="282"/>
      <c r="H877" s="282"/>
      <c r="I877" s="282"/>
      <c r="J877" s="282"/>
      <c r="K877" s="282"/>
      <c r="L877" s="282"/>
      <c r="M877" s="282"/>
      <c r="N877" s="282"/>
      <c r="O877" s="282"/>
      <c r="P877" s="282"/>
      <c r="Q877" s="282"/>
      <c r="R877" s="282"/>
      <c r="S877" s="282"/>
      <c r="T877" s="282"/>
      <c r="U877" s="282"/>
      <c r="V877" s="298"/>
      <c r="W877" s="298"/>
      <c r="X877" s="298"/>
      <c r="Y877" s="298"/>
      <c r="Z877" s="298"/>
      <c r="AA877" s="298"/>
      <c r="AB877" s="298"/>
      <c r="AC877" s="298"/>
      <c r="AD877" s="298"/>
      <c r="AE877" s="298"/>
      <c r="AF877" s="298"/>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row>
    <row r="878">
      <c r="A878" s="304"/>
      <c r="B878" s="282"/>
      <c r="C878" s="282"/>
      <c r="D878" s="282"/>
      <c r="E878" s="282"/>
      <c r="F878" s="282"/>
      <c r="G878" s="282"/>
      <c r="H878" s="282"/>
      <c r="I878" s="282"/>
      <c r="J878" s="282"/>
      <c r="K878" s="282"/>
      <c r="L878" s="282"/>
      <c r="M878" s="282"/>
      <c r="N878" s="282"/>
      <c r="O878" s="282"/>
      <c r="P878" s="282"/>
      <c r="Q878" s="282"/>
      <c r="R878" s="282"/>
      <c r="S878" s="282"/>
      <c r="T878" s="282"/>
      <c r="U878" s="282"/>
      <c r="V878" s="298"/>
      <c r="W878" s="298"/>
      <c r="X878" s="298"/>
      <c r="Y878" s="298"/>
      <c r="Z878" s="298"/>
      <c r="AA878" s="298"/>
      <c r="AB878" s="298"/>
      <c r="AC878" s="298"/>
      <c r="AD878" s="298"/>
      <c r="AE878" s="298"/>
      <c r="AF878" s="298"/>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row>
    <row r="879">
      <c r="A879" s="304"/>
      <c r="B879" s="282"/>
      <c r="C879" s="282"/>
      <c r="D879" s="282"/>
      <c r="E879" s="282"/>
      <c r="F879" s="282"/>
      <c r="G879" s="282"/>
      <c r="H879" s="282"/>
      <c r="I879" s="282"/>
      <c r="J879" s="282"/>
      <c r="K879" s="282"/>
      <c r="L879" s="282"/>
      <c r="M879" s="282"/>
      <c r="N879" s="282"/>
      <c r="O879" s="282"/>
      <c r="P879" s="282"/>
      <c r="Q879" s="282"/>
      <c r="R879" s="282"/>
      <c r="S879" s="282"/>
      <c r="T879" s="282"/>
      <c r="U879" s="282"/>
      <c r="V879" s="298"/>
      <c r="W879" s="298"/>
      <c r="X879" s="298"/>
      <c r="Y879" s="298"/>
      <c r="Z879" s="298"/>
      <c r="AA879" s="298"/>
      <c r="AB879" s="298"/>
      <c r="AC879" s="298"/>
      <c r="AD879" s="298"/>
      <c r="AE879" s="298"/>
      <c r="AF879" s="298"/>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row>
    <row r="880">
      <c r="A880" s="304"/>
      <c r="B880" s="282"/>
      <c r="C880" s="282"/>
      <c r="D880" s="282"/>
      <c r="E880" s="282"/>
      <c r="F880" s="282"/>
      <c r="G880" s="282"/>
      <c r="H880" s="282"/>
      <c r="I880" s="282"/>
      <c r="J880" s="282"/>
      <c r="K880" s="282"/>
      <c r="L880" s="282"/>
      <c r="M880" s="282"/>
      <c r="N880" s="282"/>
      <c r="O880" s="282"/>
      <c r="P880" s="282"/>
      <c r="Q880" s="282"/>
      <c r="R880" s="282"/>
      <c r="S880" s="282"/>
      <c r="T880" s="282"/>
      <c r="U880" s="282"/>
      <c r="V880" s="298"/>
      <c r="W880" s="298"/>
      <c r="X880" s="298"/>
      <c r="Y880" s="298"/>
      <c r="Z880" s="298"/>
      <c r="AA880" s="298"/>
      <c r="AB880" s="298"/>
      <c r="AC880" s="298"/>
      <c r="AD880" s="298"/>
      <c r="AE880" s="298"/>
      <c r="AF880" s="298"/>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row>
    <row r="881">
      <c r="A881" s="304"/>
      <c r="B881" s="282"/>
      <c r="C881" s="282"/>
      <c r="D881" s="282"/>
      <c r="E881" s="282"/>
      <c r="F881" s="282"/>
      <c r="G881" s="282"/>
      <c r="H881" s="282"/>
      <c r="I881" s="282"/>
      <c r="J881" s="282"/>
      <c r="K881" s="282"/>
      <c r="L881" s="282"/>
      <c r="M881" s="282"/>
      <c r="N881" s="282"/>
      <c r="O881" s="282"/>
      <c r="P881" s="282"/>
      <c r="Q881" s="282"/>
      <c r="R881" s="282"/>
      <c r="S881" s="282"/>
      <c r="T881" s="282"/>
      <c r="U881" s="282"/>
      <c r="V881" s="298"/>
      <c r="W881" s="298"/>
      <c r="X881" s="298"/>
      <c r="Y881" s="298"/>
      <c r="Z881" s="298"/>
      <c r="AA881" s="298"/>
      <c r="AB881" s="298"/>
      <c r="AC881" s="298"/>
      <c r="AD881" s="298"/>
      <c r="AE881" s="298"/>
      <c r="AF881" s="298"/>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row>
    <row r="882">
      <c r="A882" s="304"/>
      <c r="B882" s="282"/>
      <c r="C882" s="282"/>
      <c r="D882" s="282"/>
      <c r="E882" s="282"/>
      <c r="F882" s="282"/>
      <c r="G882" s="282"/>
      <c r="H882" s="282"/>
      <c r="I882" s="282"/>
      <c r="J882" s="282"/>
      <c r="K882" s="282"/>
      <c r="L882" s="282"/>
      <c r="M882" s="282"/>
      <c r="N882" s="282"/>
      <c r="O882" s="282"/>
      <c r="P882" s="282"/>
      <c r="Q882" s="282"/>
      <c r="R882" s="282"/>
      <c r="S882" s="282"/>
      <c r="T882" s="282"/>
      <c r="U882" s="282"/>
      <c r="V882" s="298"/>
      <c r="W882" s="298"/>
      <c r="X882" s="298"/>
      <c r="Y882" s="298"/>
      <c r="Z882" s="298"/>
      <c r="AA882" s="298"/>
      <c r="AB882" s="298"/>
      <c r="AC882" s="298"/>
      <c r="AD882" s="298"/>
      <c r="AE882" s="298"/>
      <c r="AF882" s="298"/>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row>
    <row r="883">
      <c r="A883" s="304"/>
      <c r="B883" s="282"/>
      <c r="C883" s="282"/>
      <c r="D883" s="282"/>
      <c r="E883" s="282"/>
      <c r="F883" s="282"/>
      <c r="G883" s="282"/>
      <c r="H883" s="282"/>
      <c r="I883" s="282"/>
      <c r="J883" s="282"/>
      <c r="K883" s="282"/>
      <c r="L883" s="282"/>
      <c r="M883" s="282"/>
      <c r="N883" s="282"/>
      <c r="O883" s="282"/>
      <c r="P883" s="282"/>
      <c r="Q883" s="282"/>
      <c r="R883" s="282"/>
      <c r="S883" s="282"/>
      <c r="T883" s="282"/>
      <c r="U883" s="282"/>
      <c r="V883" s="298"/>
      <c r="W883" s="298"/>
      <c r="X883" s="298"/>
      <c r="Y883" s="298"/>
      <c r="Z883" s="298"/>
      <c r="AA883" s="298"/>
      <c r="AB883" s="298"/>
      <c r="AC883" s="298"/>
      <c r="AD883" s="298"/>
      <c r="AE883" s="298"/>
      <c r="AF883" s="298"/>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row>
    <row r="884">
      <c r="A884" s="304"/>
      <c r="B884" s="282"/>
      <c r="C884" s="282"/>
      <c r="D884" s="282"/>
      <c r="E884" s="282"/>
      <c r="F884" s="282"/>
      <c r="G884" s="282"/>
      <c r="H884" s="282"/>
      <c r="I884" s="282"/>
      <c r="J884" s="282"/>
      <c r="K884" s="282"/>
      <c r="L884" s="282"/>
      <c r="M884" s="282"/>
      <c r="N884" s="282"/>
      <c r="O884" s="282"/>
      <c r="P884" s="282"/>
      <c r="Q884" s="282"/>
      <c r="R884" s="282"/>
      <c r="S884" s="282"/>
      <c r="T884" s="282"/>
      <c r="U884" s="282"/>
      <c r="V884" s="298"/>
      <c r="W884" s="298"/>
      <c r="X884" s="298"/>
      <c r="Y884" s="298"/>
      <c r="Z884" s="298"/>
      <c r="AA884" s="298"/>
      <c r="AB884" s="298"/>
      <c r="AC884" s="298"/>
      <c r="AD884" s="298"/>
      <c r="AE884" s="298"/>
      <c r="AF884" s="298"/>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row>
    <row r="885">
      <c r="A885" s="304"/>
      <c r="B885" s="282"/>
      <c r="C885" s="282"/>
      <c r="D885" s="282"/>
      <c r="E885" s="282"/>
      <c r="F885" s="282"/>
      <c r="G885" s="282"/>
      <c r="H885" s="282"/>
      <c r="I885" s="282"/>
      <c r="J885" s="282"/>
      <c r="K885" s="282"/>
      <c r="L885" s="282"/>
      <c r="M885" s="282"/>
      <c r="N885" s="282"/>
      <c r="O885" s="282"/>
      <c r="P885" s="282"/>
      <c r="Q885" s="282"/>
      <c r="R885" s="282"/>
      <c r="S885" s="282"/>
      <c r="T885" s="282"/>
      <c r="U885" s="282"/>
      <c r="V885" s="298"/>
      <c r="W885" s="298"/>
      <c r="X885" s="298"/>
      <c r="Y885" s="298"/>
      <c r="Z885" s="298"/>
      <c r="AA885" s="298"/>
      <c r="AB885" s="298"/>
      <c r="AC885" s="298"/>
      <c r="AD885" s="298"/>
      <c r="AE885" s="298"/>
      <c r="AF885" s="298"/>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row>
    <row r="886">
      <c r="A886" s="304"/>
      <c r="B886" s="282"/>
      <c r="C886" s="282"/>
      <c r="D886" s="282"/>
      <c r="E886" s="282"/>
      <c r="F886" s="282"/>
      <c r="G886" s="282"/>
      <c r="H886" s="282"/>
      <c r="I886" s="282"/>
      <c r="J886" s="282"/>
      <c r="K886" s="282"/>
      <c r="L886" s="282"/>
      <c r="M886" s="282"/>
      <c r="N886" s="282"/>
      <c r="O886" s="282"/>
      <c r="P886" s="282"/>
      <c r="Q886" s="282"/>
      <c r="R886" s="282"/>
      <c r="S886" s="282"/>
      <c r="T886" s="282"/>
      <c r="U886" s="282"/>
      <c r="V886" s="298"/>
      <c r="W886" s="298"/>
      <c r="X886" s="298"/>
      <c r="Y886" s="298"/>
      <c r="Z886" s="298"/>
      <c r="AA886" s="298"/>
      <c r="AB886" s="298"/>
      <c r="AC886" s="298"/>
      <c r="AD886" s="298"/>
      <c r="AE886" s="298"/>
      <c r="AF886" s="298"/>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row>
    <row r="887">
      <c r="A887" s="304"/>
      <c r="B887" s="282"/>
      <c r="C887" s="282"/>
      <c r="D887" s="282"/>
      <c r="E887" s="282"/>
      <c r="F887" s="282"/>
      <c r="G887" s="282"/>
      <c r="H887" s="282"/>
      <c r="I887" s="282"/>
      <c r="J887" s="282"/>
      <c r="K887" s="282"/>
      <c r="L887" s="282"/>
      <c r="M887" s="282"/>
      <c r="N887" s="282"/>
      <c r="O887" s="282"/>
      <c r="P887" s="282"/>
      <c r="Q887" s="282"/>
      <c r="R887" s="282"/>
      <c r="S887" s="282"/>
      <c r="T887" s="282"/>
      <c r="U887" s="282"/>
      <c r="V887" s="298"/>
      <c r="W887" s="298"/>
      <c r="X887" s="298"/>
      <c r="Y887" s="298"/>
      <c r="Z887" s="298"/>
      <c r="AA887" s="298"/>
      <c r="AB887" s="298"/>
      <c r="AC887" s="298"/>
      <c r="AD887" s="298"/>
      <c r="AE887" s="298"/>
      <c r="AF887" s="298"/>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row>
    <row r="888">
      <c r="A888" s="304"/>
      <c r="B888" s="282"/>
      <c r="C888" s="282"/>
      <c r="D888" s="282"/>
      <c r="E888" s="282"/>
      <c r="F888" s="282"/>
      <c r="G888" s="282"/>
      <c r="H888" s="282"/>
      <c r="I888" s="282"/>
      <c r="J888" s="282"/>
      <c r="K888" s="282"/>
      <c r="L888" s="282"/>
      <c r="M888" s="282"/>
      <c r="N888" s="282"/>
      <c r="O888" s="282"/>
      <c r="P888" s="282"/>
      <c r="Q888" s="282"/>
      <c r="R888" s="282"/>
      <c r="S888" s="282"/>
      <c r="T888" s="282"/>
      <c r="U888" s="282"/>
      <c r="V888" s="298"/>
      <c r="W888" s="298"/>
      <c r="X888" s="298"/>
      <c r="Y888" s="298"/>
      <c r="Z888" s="298"/>
      <c r="AA888" s="298"/>
      <c r="AB888" s="298"/>
      <c r="AC888" s="298"/>
      <c r="AD888" s="298"/>
      <c r="AE888" s="298"/>
      <c r="AF888" s="298"/>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row>
    <row r="889">
      <c r="A889" s="304"/>
      <c r="B889" s="282"/>
      <c r="C889" s="282"/>
      <c r="D889" s="282"/>
      <c r="E889" s="282"/>
      <c r="F889" s="282"/>
      <c r="G889" s="282"/>
      <c r="H889" s="282"/>
      <c r="I889" s="282"/>
      <c r="J889" s="282"/>
      <c r="K889" s="282"/>
      <c r="L889" s="282"/>
      <c r="M889" s="282"/>
      <c r="N889" s="282"/>
      <c r="O889" s="282"/>
      <c r="P889" s="282"/>
      <c r="Q889" s="282"/>
      <c r="R889" s="282"/>
      <c r="S889" s="282"/>
      <c r="T889" s="282"/>
      <c r="U889" s="282"/>
      <c r="V889" s="298"/>
      <c r="W889" s="298"/>
      <c r="X889" s="298"/>
      <c r="Y889" s="298"/>
      <c r="Z889" s="298"/>
      <c r="AA889" s="298"/>
      <c r="AB889" s="298"/>
      <c r="AC889" s="298"/>
      <c r="AD889" s="298"/>
      <c r="AE889" s="298"/>
      <c r="AF889" s="298"/>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row>
    <row r="890">
      <c r="A890" s="304"/>
      <c r="B890" s="282"/>
      <c r="C890" s="282"/>
      <c r="D890" s="282"/>
      <c r="E890" s="282"/>
      <c r="F890" s="282"/>
      <c r="G890" s="282"/>
      <c r="H890" s="282"/>
      <c r="I890" s="282"/>
      <c r="J890" s="282"/>
      <c r="K890" s="282"/>
      <c r="L890" s="282"/>
      <c r="M890" s="282"/>
      <c r="N890" s="282"/>
      <c r="O890" s="282"/>
      <c r="P890" s="282"/>
      <c r="Q890" s="282"/>
      <c r="R890" s="282"/>
      <c r="S890" s="282"/>
      <c r="T890" s="282"/>
      <c r="U890" s="282"/>
      <c r="V890" s="298"/>
      <c r="W890" s="298"/>
      <c r="X890" s="298"/>
      <c r="Y890" s="298"/>
      <c r="Z890" s="298"/>
      <c r="AA890" s="298"/>
      <c r="AB890" s="298"/>
      <c r="AC890" s="298"/>
      <c r="AD890" s="298"/>
      <c r="AE890" s="298"/>
      <c r="AF890" s="298"/>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row>
    <row r="891">
      <c r="A891" s="304"/>
      <c r="B891" s="282"/>
      <c r="C891" s="282"/>
      <c r="D891" s="282"/>
      <c r="E891" s="282"/>
      <c r="F891" s="282"/>
      <c r="G891" s="282"/>
      <c r="H891" s="282"/>
      <c r="I891" s="282"/>
      <c r="J891" s="282"/>
      <c r="K891" s="282"/>
      <c r="L891" s="282"/>
      <c r="M891" s="282"/>
      <c r="N891" s="282"/>
      <c r="O891" s="282"/>
      <c r="P891" s="282"/>
      <c r="Q891" s="282"/>
      <c r="R891" s="282"/>
      <c r="S891" s="282"/>
      <c r="T891" s="282"/>
      <c r="U891" s="282"/>
      <c r="V891" s="298"/>
      <c r="W891" s="298"/>
      <c r="X891" s="298"/>
      <c r="Y891" s="298"/>
      <c r="Z891" s="298"/>
      <c r="AA891" s="298"/>
      <c r="AB891" s="298"/>
      <c r="AC891" s="298"/>
      <c r="AD891" s="298"/>
      <c r="AE891" s="298"/>
      <c r="AF891" s="298"/>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row>
    <row r="892">
      <c r="A892" s="304"/>
      <c r="B892" s="282"/>
      <c r="C892" s="282"/>
      <c r="D892" s="282"/>
      <c r="E892" s="282"/>
      <c r="F892" s="282"/>
      <c r="G892" s="282"/>
      <c r="H892" s="282"/>
      <c r="I892" s="282"/>
      <c r="J892" s="282"/>
      <c r="K892" s="282"/>
      <c r="L892" s="282"/>
      <c r="M892" s="282"/>
      <c r="N892" s="282"/>
      <c r="O892" s="282"/>
      <c r="P892" s="282"/>
      <c r="Q892" s="282"/>
      <c r="R892" s="282"/>
      <c r="S892" s="282"/>
      <c r="T892" s="282"/>
      <c r="U892" s="282"/>
      <c r="V892" s="298"/>
      <c r="W892" s="298"/>
      <c r="X892" s="298"/>
      <c r="Y892" s="298"/>
      <c r="Z892" s="298"/>
      <c r="AA892" s="298"/>
      <c r="AB892" s="298"/>
      <c r="AC892" s="298"/>
      <c r="AD892" s="298"/>
      <c r="AE892" s="298"/>
      <c r="AF892" s="298"/>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row>
    <row r="893">
      <c r="A893" s="304"/>
      <c r="B893" s="282"/>
      <c r="C893" s="282"/>
      <c r="D893" s="282"/>
      <c r="E893" s="282"/>
      <c r="F893" s="282"/>
      <c r="G893" s="282"/>
      <c r="H893" s="282"/>
      <c r="I893" s="282"/>
      <c r="J893" s="282"/>
      <c r="K893" s="282"/>
      <c r="L893" s="282"/>
      <c r="M893" s="282"/>
      <c r="N893" s="282"/>
      <c r="O893" s="282"/>
      <c r="P893" s="282"/>
      <c r="Q893" s="282"/>
      <c r="R893" s="282"/>
      <c r="S893" s="282"/>
      <c r="T893" s="282"/>
      <c r="U893" s="282"/>
      <c r="V893" s="298"/>
      <c r="W893" s="298"/>
      <c r="X893" s="298"/>
      <c r="Y893" s="298"/>
      <c r="Z893" s="298"/>
      <c r="AA893" s="298"/>
      <c r="AB893" s="298"/>
      <c r="AC893" s="298"/>
      <c r="AD893" s="298"/>
      <c r="AE893" s="298"/>
      <c r="AF893" s="298"/>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row>
    <row r="894">
      <c r="A894" s="304"/>
      <c r="B894" s="282"/>
      <c r="C894" s="282"/>
      <c r="D894" s="282"/>
      <c r="E894" s="282"/>
      <c r="F894" s="282"/>
      <c r="G894" s="282"/>
      <c r="H894" s="282"/>
      <c r="I894" s="282"/>
      <c r="J894" s="282"/>
      <c r="K894" s="282"/>
      <c r="L894" s="282"/>
      <c r="M894" s="282"/>
      <c r="N894" s="282"/>
      <c r="O894" s="282"/>
      <c r="P894" s="282"/>
      <c r="Q894" s="282"/>
      <c r="R894" s="282"/>
      <c r="S894" s="282"/>
      <c r="T894" s="282"/>
      <c r="U894" s="282"/>
      <c r="V894" s="298"/>
      <c r="W894" s="298"/>
      <c r="X894" s="298"/>
      <c r="Y894" s="298"/>
      <c r="Z894" s="298"/>
      <c r="AA894" s="298"/>
      <c r="AB894" s="298"/>
      <c r="AC894" s="298"/>
      <c r="AD894" s="298"/>
      <c r="AE894" s="298"/>
      <c r="AF894" s="298"/>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row>
    <row r="895">
      <c r="A895" s="304"/>
      <c r="B895" s="282"/>
      <c r="C895" s="282"/>
      <c r="D895" s="282"/>
      <c r="E895" s="282"/>
      <c r="F895" s="282"/>
      <c r="G895" s="282"/>
      <c r="H895" s="282"/>
      <c r="I895" s="282"/>
      <c r="J895" s="282"/>
      <c r="K895" s="282"/>
      <c r="L895" s="282"/>
      <c r="M895" s="282"/>
      <c r="N895" s="282"/>
      <c r="O895" s="282"/>
      <c r="P895" s="282"/>
      <c r="Q895" s="282"/>
      <c r="R895" s="282"/>
      <c r="S895" s="282"/>
      <c r="T895" s="282"/>
      <c r="U895" s="282"/>
      <c r="V895" s="298"/>
      <c r="W895" s="298"/>
      <c r="X895" s="298"/>
      <c r="Y895" s="298"/>
      <c r="Z895" s="298"/>
      <c r="AA895" s="298"/>
      <c r="AB895" s="298"/>
      <c r="AC895" s="298"/>
      <c r="AD895" s="298"/>
      <c r="AE895" s="298"/>
      <c r="AF895" s="298"/>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row>
    <row r="896">
      <c r="A896" s="304"/>
      <c r="B896" s="282"/>
      <c r="C896" s="282"/>
      <c r="D896" s="282"/>
      <c r="E896" s="282"/>
      <c r="F896" s="282"/>
      <c r="G896" s="282"/>
      <c r="H896" s="282"/>
      <c r="I896" s="282"/>
      <c r="J896" s="282"/>
      <c r="K896" s="282"/>
      <c r="L896" s="282"/>
      <c r="M896" s="282"/>
      <c r="N896" s="282"/>
      <c r="O896" s="282"/>
      <c r="P896" s="282"/>
      <c r="Q896" s="282"/>
      <c r="R896" s="282"/>
      <c r="S896" s="282"/>
      <c r="T896" s="282"/>
      <c r="U896" s="282"/>
      <c r="V896" s="298"/>
      <c r="W896" s="298"/>
      <c r="X896" s="298"/>
      <c r="Y896" s="298"/>
      <c r="Z896" s="298"/>
      <c r="AA896" s="298"/>
      <c r="AB896" s="298"/>
      <c r="AC896" s="298"/>
      <c r="AD896" s="298"/>
      <c r="AE896" s="298"/>
      <c r="AF896" s="298"/>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row>
    <row r="897">
      <c r="A897" s="304"/>
      <c r="B897" s="282"/>
      <c r="C897" s="282"/>
      <c r="D897" s="282"/>
      <c r="E897" s="282"/>
      <c r="F897" s="282"/>
      <c r="G897" s="282"/>
      <c r="H897" s="282"/>
      <c r="I897" s="282"/>
      <c r="J897" s="282"/>
      <c r="K897" s="282"/>
      <c r="L897" s="282"/>
      <c r="M897" s="282"/>
      <c r="N897" s="282"/>
      <c r="O897" s="282"/>
      <c r="P897" s="282"/>
      <c r="Q897" s="282"/>
      <c r="R897" s="282"/>
      <c r="S897" s="282"/>
      <c r="T897" s="282"/>
      <c r="U897" s="282"/>
      <c r="V897" s="298"/>
      <c r="W897" s="298"/>
      <c r="X897" s="298"/>
      <c r="Y897" s="298"/>
      <c r="Z897" s="298"/>
      <c r="AA897" s="298"/>
      <c r="AB897" s="298"/>
      <c r="AC897" s="298"/>
      <c r="AD897" s="298"/>
      <c r="AE897" s="298"/>
      <c r="AF897" s="298"/>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row>
    <row r="898">
      <c r="A898" s="304"/>
      <c r="B898" s="282"/>
      <c r="C898" s="282"/>
      <c r="D898" s="282"/>
      <c r="E898" s="282"/>
      <c r="F898" s="282"/>
      <c r="G898" s="282"/>
      <c r="H898" s="282"/>
      <c r="I898" s="282"/>
      <c r="J898" s="282"/>
      <c r="K898" s="282"/>
      <c r="L898" s="282"/>
      <c r="M898" s="282"/>
      <c r="N898" s="282"/>
      <c r="O898" s="282"/>
      <c r="P898" s="282"/>
      <c r="Q898" s="282"/>
      <c r="R898" s="282"/>
      <c r="S898" s="282"/>
      <c r="T898" s="282"/>
      <c r="U898" s="282"/>
      <c r="V898" s="298"/>
      <c r="W898" s="298"/>
      <c r="X898" s="298"/>
      <c r="Y898" s="298"/>
      <c r="Z898" s="298"/>
      <c r="AA898" s="298"/>
      <c r="AB898" s="298"/>
      <c r="AC898" s="298"/>
      <c r="AD898" s="298"/>
      <c r="AE898" s="298"/>
      <c r="AF898" s="298"/>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row>
    <row r="899">
      <c r="A899" s="304"/>
      <c r="B899" s="282"/>
      <c r="C899" s="282"/>
      <c r="D899" s="282"/>
      <c r="E899" s="282"/>
      <c r="F899" s="282"/>
      <c r="G899" s="282"/>
      <c r="H899" s="282"/>
      <c r="I899" s="282"/>
      <c r="J899" s="282"/>
      <c r="K899" s="282"/>
      <c r="L899" s="282"/>
      <c r="M899" s="282"/>
      <c r="N899" s="282"/>
      <c r="O899" s="282"/>
      <c r="P899" s="282"/>
      <c r="Q899" s="282"/>
      <c r="R899" s="282"/>
      <c r="S899" s="282"/>
      <c r="T899" s="282"/>
      <c r="U899" s="282"/>
      <c r="V899" s="298"/>
      <c r="W899" s="298"/>
      <c r="X899" s="298"/>
      <c r="Y899" s="298"/>
      <c r="Z899" s="298"/>
      <c r="AA899" s="298"/>
      <c r="AB899" s="298"/>
      <c r="AC899" s="298"/>
      <c r="AD899" s="298"/>
      <c r="AE899" s="298"/>
      <c r="AF899" s="298"/>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row>
    <row r="900">
      <c r="A900" s="304"/>
      <c r="B900" s="282"/>
      <c r="C900" s="282"/>
      <c r="D900" s="282"/>
      <c r="E900" s="282"/>
      <c r="F900" s="282"/>
      <c r="G900" s="282"/>
      <c r="H900" s="282"/>
      <c r="I900" s="282"/>
      <c r="J900" s="282"/>
      <c r="K900" s="282"/>
      <c r="L900" s="282"/>
      <c r="M900" s="282"/>
      <c r="N900" s="282"/>
      <c r="O900" s="282"/>
      <c r="P900" s="282"/>
      <c r="Q900" s="282"/>
      <c r="R900" s="282"/>
      <c r="S900" s="282"/>
      <c r="T900" s="282"/>
      <c r="U900" s="282"/>
      <c r="V900" s="298"/>
      <c r="W900" s="298"/>
      <c r="X900" s="298"/>
      <c r="Y900" s="298"/>
      <c r="Z900" s="298"/>
      <c r="AA900" s="298"/>
      <c r="AB900" s="298"/>
      <c r="AC900" s="298"/>
      <c r="AD900" s="298"/>
      <c r="AE900" s="298"/>
      <c r="AF900" s="298"/>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row>
    <row r="901">
      <c r="A901" s="304"/>
      <c r="B901" s="282"/>
      <c r="C901" s="282"/>
      <c r="D901" s="282"/>
      <c r="E901" s="282"/>
      <c r="F901" s="282"/>
      <c r="G901" s="282"/>
      <c r="H901" s="282"/>
      <c r="I901" s="282"/>
      <c r="J901" s="282"/>
      <c r="K901" s="282"/>
      <c r="L901" s="282"/>
      <c r="M901" s="282"/>
      <c r="N901" s="282"/>
      <c r="O901" s="282"/>
      <c r="P901" s="282"/>
      <c r="Q901" s="282"/>
      <c r="R901" s="282"/>
      <c r="S901" s="282"/>
      <c r="T901" s="282"/>
      <c r="U901" s="282"/>
      <c r="V901" s="298"/>
      <c r="W901" s="298"/>
      <c r="X901" s="298"/>
      <c r="Y901" s="298"/>
      <c r="Z901" s="298"/>
      <c r="AA901" s="298"/>
      <c r="AB901" s="298"/>
      <c r="AC901" s="298"/>
      <c r="AD901" s="298"/>
      <c r="AE901" s="298"/>
      <c r="AF901" s="298"/>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row>
    <row r="902">
      <c r="A902" s="304"/>
      <c r="B902" s="282"/>
      <c r="C902" s="282"/>
      <c r="D902" s="282"/>
      <c r="E902" s="282"/>
      <c r="F902" s="282"/>
      <c r="G902" s="282"/>
      <c r="H902" s="282"/>
      <c r="I902" s="282"/>
      <c r="J902" s="282"/>
      <c r="K902" s="282"/>
      <c r="L902" s="282"/>
      <c r="M902" s="282"/>
      <c r="N902" s="282"/>
      <c r="O902" s="282"/>
      <c r="P902" s="282"/>
      <c r="Q902" s="282"/>
      <c r="R902" s="282"/>
      <c r="S902" s="282"/>
      <c r="T902" s="282"/>
      <c r="U902" s="282"/>
      <c r="V902" s="298"/>
      <c r="W902" s="298"/>
      <c r="X902" s="298"/>
      <c r="Y902" s="298"/>
      <c r="Z902" s="298"/>
      <c r="AA902" s="298"/>
      <c r="AB902" s="298"/>
      <c r="AC902" s="298"/>
      <c r="AD902" s="298"/>
      <c r="AE902" s="298"/>
      <c r="AF902" s="298"/>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row>
    <row r="903">
      <c r="A903" s="304"/>
      <c r="B903" s="282"/>
      <c r="C903" s="282"/>
      <c r="D903" s="282"/>
      <c r="E903" s="282"/>
      <c r="F903" s="282"/>
      <c r="G903" s="282"/>
      <c r="H903" s="282"/>
      <c r="I903" s="282"/>
      <c r="J903" s="282"/>
      <c r="K903" s="282"/>
      <c r="L903" s="282"/>
      <c r="M903" s="282"/>
      <c r="N903" s="282"/>
      <c r="O903" s="282"/>
      <c r="P903" s="282"/>
      <c r="Q903" s="282"/>
      <c r="R903" s="282"/>
      <c r="S903" s="282"/>
      <c r="T903" s="282"/>
      <c r="U903" s="282"/>
      <c r="V903" s="298"/>
      <c r="W903" s="298"/>
      <c r="X903" s="298"/>
      <c r="Y903" s="298"/>
      <c r="Z903" s="298"/>
      <c r="AA903" s="298"/>
      <c r="AB903" s="298"/>
      <c r="AC903" s="298"/>
      <c r="AD903" s="298"/>
      <c r="AE903" s="298"/>
      <c r="AF903" s="298"/>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row>
    <row r="904">
      <c r="A904" s="304"/>
      <c r="B904" s="282"/>
      <c r="C904" s="282"/>
      <c r="D904" s="282"/>
      <c r="E904" s="282"/>
      <c r="F904" s="282"/>
      <c r="G904" s="282"/>
      <c r="H904" s="282"/>
      <c r="I904" s="282"/>
      <c r="J904" s="282"/>
      <c r="K904" s="282"/>
      <c r="L904" s="282"/>
      <c r="M904" s="282"/>
      <c r="N904" s="282"/>
      <c r="O904" s="282"/>
      <c r="P904" s="282"/>
      <c r="Q904" s="282"/>
      <c r="R904" s="282"/>
      <c r="S904" s="282"/>
      <c r="T904" s="282"/>
      <c r="U904" s="282"/>
      <c r="V904" s="298"/>
      <c r="W904" s="298"/>
      <c r="X904" s="298"/>
      <c r="Y904" s="298"/>
      <c r="Z904" s="298"/>
      <c r="AA904" s="298"/>
      <c r="AB904" s="298"/>
      <c r="AC904" s="298"/>
      <c r="AD904" s="298"/>
      <c r="AE904" s="298"/>
      <c r="AF904" s="298"/>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row>
    <row r="905">
      <c r="A905" s="304"/>
      <c r="B905" s="282"/>
      <c r="C905" s="282"/>
      <c r="D905" s="282"/>
      <c r="E905" s="282"/>
      <c r="F905" s="282"/>
      <c r="G905" s="282"/>
      <c r="H905" s="282"/>
      <c r="I905" s="282"/>
      <c r="J905" s="282"/>
      <c r="K905" s="282"/>
      <c r="L905" s="282"/>
      <c r="M905" s="282"/>
      <c r="N905" s="282"/>
      <c r="O905" s="282"/>
      <c r="P905" s="282"/>
      <c r="Q905" s="282"/>
      <c r="R905" s="282"/>
      <c r="S905" s="282"/>
      <c r="T905" s="282"/>
      <c r="U905" s="282"/>
      <c r="V905" s="298"/>
      <c r="W905" s="298"/>
      <c r="X905" s="298"/>
      <c r="Y905" s="298"/>
      <c r="Z905" s="298"/>
      <c r="AA905" s="298"/>
      <c r="AB905" s="298"/>
      <c r="AC905" s="298"/>
      <c r="AD905" s="298"/>
      <c r="AE905" s="298"/>
      <c r="AF905" s="298"/>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row>
    <row r="906">
      <c r="A906" s="304"/>
      <c r="B906" s="282"/>
      <c r="C906" s="282"/>
      <c r="D906" s="282"/>
      <c r="E906" s="282"/>
      <c r="F906" s="282"/>
      <c r="G906" s="282"/>
      <c r="H906" s="282"/>
      <c r="I906" s="282"/>
      <c r="J906" s="282"/>
      <c r="K906" s="282"/>
      <c r="L906" s="282"/>
      <c r="M906" s="282"/>
      <c r="N906" s="282"/>
      <c r="O906" s="282"/>
      <c r="P906" s="282"/>
      <c r="Q906" s="282"/>
      <c r="R906" s="282"/>
      <c r="S906" s="282"/>
      <c r="T906" s="282"/>
      <c r="U906" s="282"/>
      <c r="V906" s="298"/>
      <c r="W906" s="298"/>
      <c r="X906" s="298"/>
      <c r="Y906" s="298"/>
      <c r="Z906" s="298"/>
      <c r="AA906" s="298"/>
      <c r="AB906" s="298"/>
      <c r="AC906" s="298"/>
      <c r="AD906" s="298"/>
      <c r="AE906" s="298"/>
      <c r="AF906" s="298"/>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row>
    <row r="907">
      <c r="A907" s="304"/>
      <c r="B907" s="282"/>
      <c r="C907" s="282"/>
      <c r="D907" s="282"/>
      <c r="E907" s="282"/>
      <c r="F907" s="282"/>
      <c r="G907" s="282"/>
      <c r="H907" s="282"/>
      <c r="I907" s="282"/>
      <c r="J907" s="282"/>
      <c r="K907" s="282"/>
      <c r="L907" s="282"/>
      <c r="M907" s="282"/>
      <c r="N907" s="282"/>
      <c r="O907" s="282"/>
      <c r="P907" s="282"/>
      <c r="Q907" s="282"/>
      <c r="R907" s="282"/>
      <c r="S907" s="282"/>
      <c r="T907" s="282"/>
      <c r="U907" s="282"/>
      <c r="V907" s="298"/>
      <c r="W907" s="298"/>
      <c r="X907" s="298"/>
      <c r="Y907" s="298"/>
      <c r="Z907" s="298"/>
      <c r="AA907" s="298"/>
      <c r="AB907" s="298"/>
      <c r="AC907" s="298"/>
      <c r="AD907" s="298"/>
      <c r="AE907" s="298"/>
      <c r="AF907" s="298"/>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row>
    <row r="908">
      <c r="A908" s="304"/>
      <c r="B908" s="282"/>
      <c r="C908" s="282"/>
      <c r="D908" s="282"/>
      <c r="E908" s="282"/>
      <c r="F908" s="282"/>
      <c r="G908" s="282"/>
      <c r="H908" s="282"/>
      <c r="I908" s="282"/>
      <c r="J908" s="282"/>
      <c r="K908" s="282"/>
      <c r="L908" s="282"/>
      <c r="M908" s="282"/>
      <c r="N908" s="282"/>
      <c r="O908" s="282"/>
      <c r="P908" s="282"/>
      <c r="Q908" s="282"/>
      <c r="R908" s="282"/>
      <c r="S908" s="282"/>
      <c r="T908" s="282"/>
      <c r="U908" s="282"/>
      <c r="V908" s="298"/>
      <c r="W908" s="298"/>
      <c r="X908" s="298"/>
      <c r="Y908" s="298"/>
      <c r="Z908" s="298"/>
      <c r="AA908" s="298"/>
      <c r="AB908" s="298"/>
      <c r="AC908" s="298"/>
      <c r="AD908" s="298"/>
      <c r="AE908" s="298"/>
      <c r="AF908" s="298"/>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row>
    <row r="909">
      <c r="A909" s="304"/>
      <c r="B909" s="282"/>
      <c r="C909" s="282"/>
      <c r="D909" s="282"/>
      <c r="E909" s="282"/>
      <c r="F909" s="282"/>
      <c r="G909" s="282"/>
      <c r="H909" s="282"/>
      <c r="I909" s="282"/>
      <c r="J909" s="282"/>
      <c r="K909" s="282"/>
      <c r="L909" s="282"/>
      <c r="M909" s="282"/>
      <c r="N909" s="282"/>
      <c r="O909" s="282"/>
      <c r="P909" s="282"/>
      <c r="Q909" s="282"/>
      <c r="R909" s="282"/>
      <c r="S909" s="282"/>
      <c r="T909" s="282"/>
      <c r="U909" s="282"/>
      <c r="V909" s="298"/>
      <c r="W909" s="298"/>
      <c r="X909" s="298"/>
      <c r="Y909" s="298"/>
      <c r="Z909" s="298"/>
      <c r="AA909" s="298"/>
      <c r="AB909" s="298"/>
      <c r="AC909" s="298"/>
      <c r="AD909" s="298"/>
      <c r="AE909" s="298"/>
      <c r="AF909" s="298"/>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row>
    <row r="910">
      <c r="A910" s="304"/>
      <c r="B910" s="282"/>
      <c r="C910" s="282"/>
      <c r="D910" s="282"/>
      <c r="E910" s="282"/>
      <c r="F910" s="282"/>
      <c r="G910" s="282"/>
      <c r="H910" s="282"/>
      <c r="I910" s="282"/>
      <c r="J910" s="282"/>
      <c r="K910" s="282"/>
      <c r="L910" s="282"/>
      <c r="M910" s="282"/>
      <c r="N910" s="282"/>
      <c r="O910" s="282"/>
      <c r="P910" s="282"/>
      <c r="Q910" s="282"/>
      <c r="R910" s="282"/>
      <c r="S910" s="282"/>
      <c r="T910" s="282"/>
      <c r="U910" s="282"/>
      <c r="V910" s="298"/>
      <c r="W910" s="298"/>
      <c r="X910" s="298"/>
      <c r="Y910" s="298"/>
      <c r="Z910" s="298"/>
      <c r="AA910" s="298"/>
      <c r="AB910" s="298"/>
      <c r="AC910" s="298"/>
      <c r="AD910" s="298"/>
      <c r="AE910" s="298"/>
      <c r="AF910" s="298"/>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row>
    <row r="911">
      <c r="A911" s="304"/>
      <c r="B911" s="282"/>
      <c r="C911" s="282"/>
      <c r="D911" s="282"/>
      <c r="E911" s="282"/>
      <c r="F911" s="282"/>
      <c r="G911" s="282"/>
      <c r="H911" s="282"/>
      <c r="I911" s="282"/>
      <c r="J911" s="282"/>
      <c r="K911" s="282"/>
      <c r="L911" s="282"/>
      <c r="M911" s="282"/>
      <c r="N911" s="282"/>
      <c r="O911" s="282"/>
      <c r="P911" s="282"/>
      <c r="Q911" s="282"/>
      <c r="R911" s="282"/>
      <c r="S911" s="282"/>
      <c r="T911" s="282"/>
      <c r="U911" s="282"/>
      <c r="V911" s="298"/>
      <c r="W911" s="298"/>
      <c r="X911" s="298"/>
      <c r="Y911" s="298"/>
      <c r="Z911" s="298"/>
      <c r="AA911" s="298"/>
      <c r="AB911" s="298"/>
      <c r="AC911" s="298"/>
      <c r="AD911" s="298"/>
      <c r="AE911" s="298"/>
      <c r="AF911" s="298"/>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row>
    <row r="912">
      <c r="A912" s="304"/>
      <c r="B912" s="282"/>
      <c r="C912" s="282"/>
      <c r="D912" s="282"/>
      <c r="E912" s="282"/>
      <c r="F912" s="282"/>
      <c r="G912" s="282"/>
      <c r="H912" s="282"/>
      <c r="I912" s="282"/>
      <c r="J912" s="282"/>
      <c r="K912" s="282"/>
      <c r="L912" s="282"/>
      <c r="M912" s="282"/>
      <c r="N912" s="282"/>
      <c r="O912" s="282"/>
      <c r="P912" s="282"/>
      <c r="Q912" s="282"/>
      <c r="R912" s="282"/>
      <c r="S912" s="282"/>
      <c r="T912" s="282"/>
      <c r="U912" s="282"/>
      <c r="V912" s="298"/>
      <c r="W912" s="298"/>
      <c r="X912" s="298"/>
      <c r="Y912" s="298"/>
      <c r="Z912" s="298"/>
      <c r="AA912" s="298"/>
      <c r="AB912" s="298"/>
      <c r="AC912" s="298"/>
      <c r="AD912" s="298"/>
      <c r="AE912" s="298"/>
      <c r="AF912" s="298"/>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row>
    <row r="913">
      <c r="A913" s="304"/>
      <c r="B913" s="282"/>
      <c r="C913" s="282"/>
      <c r="D913" s="282"/>
      <c r="E913" s="282"/>
      <c r="F913" s="282"/>
      <c r="G913" s="282"/>
      <c r="H913" s="282"/>
      <c r="I913" s="282"/>
      <c r="J913" s="282"/>
      <c r="K913" s="282"/>
      <c r="L913" s="282"/>
      <c r="M913" s="282"/>
      <c r="N913" s="282"/>
      <c r="O913" s="282"/>
      <c r="P913" s="282"/>
      <c r="Q913" s="282"/>
      <c r="R913" s="282"/>
      <c r="S913" s="282"/>
      <c r="T913" s="282"/>
      <c r="U913" s="282"/>
      <c r="V913" s="298"/>
      <c r="W913" s="298"/>
      <c r="X913" s="298"/>
      <c r="Y913" s="298"/>
      <c r="Z913" s="298"/>
      <c r="AA913" s="298"/>
      <c r="AB913" s="298"/>
      <c r="AC913" s="298"/>
      <c r="AD913" s="298"/>
      <c r="AE913" s="298"/>
      <c r="AF913" s="298"/>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row>
    <row r="914">
      <c r="A914" s="304"/>
      <c r="B914" s="282"/>
      <c r="C914" s="282"/>
      <c r="D914" s="282"/>
      <c r="E914" s="282"/>
      <c r="F914" s="282"/>
      <c r="G914" s="282"/>
      <c r="H914" s="282"/>
      <c r="I914" s="282"/>
      <c r="J914" s="282"/>
      <c r="K914" s="282"/>
      <c r="L914" s="282"/>
      <c r="M914" s="282"/>
      <c r="N914" s="282"/>
      <c r="O914" s="282"/>
      <c r="P914" s="282"/>
      <c r="Q914" s="282"/>
      <c r="R914" s="282"/>
      <c r="S914" s="282"/>
      <c r="T914" s="282"/>
      <c r="U914" s="282"/>
      <c r="V914" s="298"/>
      <c r="W914" s="298"/>
      <c r="X914" s="298"/>
      <c r="Y914" s="298"/>
      <c r="Z914" s="298"/>
      <c r="AA914" s="298"/>
      <c r="AB914" s="298"/>
      <c r="AC914" s="298"/>
      <c r="AD914" s="298"/>
      <c r="AE914" s="298"/>
      <c r="AF914" s="298"/>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row>
    <row r="915">
      <c r="A915" s="304"/>
      <c r="B915" s="282"/>
      <c r="C915" s="282"/>
      <c r="D915" s="282"/>
      <c r="E915" s="282"/>
      <c r="F915" s="282"/>
      <c r="G915" s="282"/>
      <c r="H915" s="282"/>
      <c r="I915" s="282"/>
      <c r="J915" s="282"/>
      <c r="K915" s="282"/>
      <c r="L915" s="282"/>
      <c r="M915" s="282"/>
      <c r="N915" s="282"/>
      <c r="O915" s="282"/>
      <c r="P915" s="282"/>
      <c r="Q915" s="282"/>
      <c r="R915" s="282"/>
      <c r="S915" s="282"/>
      <c r="T915" s="282"/>
      <c r="U915" s="282"/>
      <c r="V915" s="298"/>
      <c r="W915" s="298"/>
      <c r="X915" s="298"/>
      <c r="Y915" s="298"/>
      <c r="Z915" s="298"/>
      <c r="AA915" s="298"/>
      <c r="AB915" s="298"/>
      <c r="AC915" s="298"/>
      <c r="AD915" s="298"/>
      <c r="AE915" s="298"/>
      <c r="AF915" s="298"/>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row>
    <row r="916">
      <c r="A916" s="304"/>
      <c r="B916" s="282"/>
      <c r="C916" s="282"/>
      <c r="D916" s="282"/>
      <c r="E916" s="282"/>
      <c r="F916" s="282"/>
      <c r="G916" s="282"/>
      <c r="H916" s="282"/>
      <c r="I916" s="282"/>
      <c r="J916" s="282"/>
      <c r="K916" s="282"/>
      <c r="L916" s="282"/>
      <c r="M916" s="282"/>
      <c r="N916" s="282"/>
      <c r="O916" s="282"/>
      <c r="P916" s="282"/>
      <c r="Q916" s="282"/>
      <c r="R916" s="282"/>
      <c r="S916" s="282"/>
      <c r="T916" s="282"/>
      <c r="U916" s="282"/>
      <c r="V916" s="298"/>
      <c r="W916" s="298"/>
      <c r="X916" s="298"/>
      <c r="Y916" s="298"/>
      <c r="Z916" s="298"/>
      <c r="AA916" s="298"/>
      <c r="AB916" s="298"/>
      <c r="AC916" s="298"/>
      <c r="AD916" s="298"/>
      <c r="AE916" s="298"/>
      <c r="AF916" s="298"/>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row>
    <row r="917">
      <c r="A917" s="304"/>
      <c r="B917" s="282"/>
      <c r="C917" s="282"/>
      <c r="D917" s="282"/>
      <c r="E917" s="282"/>
      <c r="F917" s="282"/>
      <c r="G917" s="282"/>
      <c r="H917" s="282"/>
      <c r="I917" s="282"/>
      <c r="J917" s="282"/>
      <c r="K917" s="282"/>
      <c r="L917" s="282"/>
      <c r="M917" s="282"/>
      <c r="N917" s="282"/>
      <c r="O917" s="282"/>
      <c r="P917" s="282"/>
      <c r="Q917" s="282"/>
      <c r="R917" s="282"/>
      <c r="S917" s="282"/>
      <c r="T917" s="282"/>
      <c r="U917" s="282"/>
      <c r="V917" s="298"/>
      <c r="W917" s="298"/>
      <c r="X917" s="298"/>
      <c r="Y917" s="298"/>
      <c r="Z917" s="298"/>
      <c r="AA917" s="298"/>
      <c r="AB917" s="298"/>
      <c r="AC917" s="298"/>
      <c r="AD917" s="298"/>
      <c r="AE917" s="298"/>
      <c r="AF917" s="298"/>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row>
    <row r="918">
      <c r="A918" s="304"/>
      <c r="B918" s="282"/>
      <c r="C918" s="282"/>
      <c r="D918" s="282"/>
      <c r="E918" s="282"/>
      <c r="F918" s="282"/>
      <c r="G918" s="282"/>
      <c r="H918" s="282"/>
      <c r="I918" s="282"/>
      <c r="J918" s="282"/>
      <c r="K918" s="282"/>
      <c r="L918" s="282"/>
      <c r="M918" s="282"/>
      <c r="N918" s="282"/>
      <c r="O918" s="282"/>
      <c r="P918" s="282"/>
      <c r="Q918" s="282"/>
      <c r="R918" s="282"/>
      <c r="S918" s="282"/>
      <c r="T918" s="282"/>
      <c r="U918" s="282"/>
      <c r="V918" s="298"/>
      <c r="W918" s="298"/>
      <c r="X918" s="298"/>
      <c r="Y918" s="298"/>
      <c r="Z918" s="298"/>
      <c r="AA918" s="298"/>
      <c r="AB918" s="298"/>
      <c r="AC918" s="298"/>
      <c r="AD918" s="298"/>
      <c r="AE918" s="298"/>
      <c r="AF918" s="298"/>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row>
    <row r="919">
      <c r="A919" s="304"/>
      <c r="B919" s="282"/>
      <c r="C919" s="282"/>
      <c r="D919" s="282"/>
      <c r="E919" s="282"/>
      <c r="F919" s="282"/>
      <c r="G919" s="282"/>
      <c r="H919" s="282"/>
      <c r="I919" s="282"/>
      <c r="J919" s="282"/>
      <c r="K919" s="282"/>
      <c r="L919" s="282"/>
      <c r="M919" s="282"/>
      <c r="N919" s="282"/>
      <c r="O919" s="282"/>
      <c r="P919" s="282"/>
      <c r="Q919" s="282"/>
      <c r="R919" s="282"/>
      <c r="S919" s="282"/>
      <c r="T919" s="282"/>
      <c r="U919" s="282"/>
      <c r="V919" s="298"/>
      <c r="W919" s="298"/>
      <c r="X919" s="298"/>
      <c r="Y919" s="298"/>
      <c r="Z919" s="298"/>
      <c r="AA919" s="298"/>
      <c r="AB919" s="298"/>
      <c r="AC919" s="298"/>
      <c r="AD919" s="298"/>
      <c r="AE919" s="298"/>
      <c r="AF919" s="298"/>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row>
    <row r="920">
      <c r="A920" s="304"/>
      <c r="B920" s="282"/>
      <c r="C920" s="282"/>
      <c r="D920" s="282"/>
      <c r="E920" s="282"/>
      <c r="F920" s="282"/>
      <c r="G920" s="282"/>
      <c r="H920" s="282"/>
      <c r="I920" s="282"/>
      <c r="J920" s="282"/>
      <c r="K920" s="282"/>
      <c r="L920" s="282"/>
      <c r="M920" s="282"/>
      <c r="N920" s="282"/>
      <c r="O920" s="282"/>
      <c r="P920" s="282"/>
      <c r="Q920" s="282"/>
      <c r="R920" s="282"/>
      <c r="S920" s="282"/>
      <c r="T920" s="282"/>
      <c r="U920" s="282"/>
      <c r="V920" s="298"/>
      <c r="W920" s="298"/>
      <c r="X920" s="298"/>
      <c r="Y920" s="298"/>
      <c r="Z920" s="298"/>
      <c r="AA920" s="298"/>
      <c r="AB920" s="298"/>
      <c r="AC920" s="298"/>
      <c r="AD920" s="298"/>
      <c r="AE920" s="298"/>
      <c r="AF920" s="298"/>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row>
    <row r="921">
      <c r="A921" s="304"/>
      <c r="B921" s="282"/>
      <c r="C921" s="282"/>
      <c r="D921" s="282"/>
      <c r="E921" s="282"/>
      <c r="F921" s="282"/>
      <c r="G921" s="282"/>
      <c r="H921" s="282"/>
      <c r="I921" s="282"/>
      <c r="J921" s="282"/>
      <c r="K921" s="282"/>
      <c r="L921" s="282"/>
      <c r="M921" s="282"/>
      <c r="N921" s="282"/>
      <c r="O921" s="282"/>
      <c r="P921" s="282"/>
      <c r="Q921" s="282"/>
      <c r="R921" s="282"/>
      <c r="S921" s="282"/>
      <c r="T921" s="282"/>
      <c r="U921" s="282"/>
      <c r="V921" s="298"/>
      <c r="W921" s="298"/>
      <c r="X921" s="298"/>
      <c r="Y921" s="298"/>
      <c r="Z921" s="298"/>
      <c r="AA921" s="298"/>
      <c r="AB921" s="298"/>
      <c r="AC921" s="298"/>
      <c r="AD921" s="298"/>
      <c r="AE921" s="298"/>
      <c r="AF921" s="298"/>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row>
    <row r="922">
      <c r="A922" s="304"/>
      <c r="B922" s="282"/>
      <c r="C922" s="282"/>
      <c r="D922" s="282"/>
      <c r="E922" s="282"/>
      <c r="F922" s="282"/>
      <c r="G922" s="282"/>
      <c r="H922" s="282"/>
      <c r="I922" s="282"/>
      <c r="J922" s="282"/>
      <c r="K922" s="282"/>
      <c r="L922" s="282"/>
      <c r="M922" s="282"/>
      <c r="N922" s="282"/>
      <c r="O922" s="282"/>
      <c r="P922" s="282"/>
      <c r="Q922" s="282"/>
      <c r="R922" s="282"/>
      <c r="S922" s="282"/>
      <c r="T922" s="282"/>
      <c r="U922" s="282"/>
      <c r="V922" s="298"/>
      <c r="W922" s="298"/>
      <c r="X922" s="298"/>
      <c r="Y922" s="298"/>
      <c r="Z922" s="298"/>
      <c r="AA922" s="298"/>
      <c r="AB922" s="298"/>
      <c r="AC922" s="298"/>
      <c r="AD922" s="298"/>
      <c r="AE922" s="298"/>
      <c r="AF922" s="298"/>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row>
    <row r="923">
      <c r="A923" s="304"/>
      <c r="B923" s="282"/>
      <c r="C923" s="282"/>
      <c r="D923" s="282"/>
      <c r="E923" s="282"/>
      <c r="F923" s="282"/>
      <c r="G923" s="282"/>
      <c r="H923" s="282"/>
      <c r="I923" s="282"/>
      <c r="J923" s="282"/>
      <c r="K923" s="282"/>
      <c r="L923" s="282"/>
      <c r="M923" s="282"/>
      <c r="N923" s="282"/>
      <c r="O923" s="282"/>
      <c r="P923" s="282"/>
      <c r="Q923" s="282"/>
      <c r="R923" s="282"/>
      <c r="S923" s="282"/>
      <c r="T923" s="282"/>
      <c r="U923" s="282"/>
      <c r="V923" s="298"/>
      <c r="W923" s="298"/>
      <c r="X923" s="298"/>
      <c r="Y923" s="298"/>
      <c r="Z923" s="298"/>
      <c r="AA923" s="298"/>
      <c r="AB923" s="298"/>
      <c r="AC923" s="298"/>
      <c r="AD923" s="298"/>
      <c r="AE923" s="298"/>
      <c r="AF923" s="298"/>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row>
    <row r="924">
      <c r="A924" s="304"/>
      <c r="B924" s="282"/>
      <c r="C924" s="282"/>
      <c r="D924" s="282"/>
      <c r="E924" s="282"/>
      <c r="F924" s="282"/>
      <c r="G924" s="282"/>
      <c r="H924" s="282"/>
      <c r="I924" s="282"/>
      <c r="J924" s="282"/>
      <c r="K924" s="282"/>
      <c r="L924" s="282"/>
      <c r="M924" s="282"/>
      <c r="N924" s="282"/>
      <c r="O924" s="282"/>
      <c r="P924" s="282"/>
      <c r="Q924" s="282"/>
      <c r="R924" s="282"/>
      <c r="S924" s="282"/>
      <c r="T924" s="282"/>
      <c r="U924" s="282"/>
      <c r="V924" s="298"/>
      <c r="W924" s="298"/>
      <c r="X924" s="298"/>
      <c r="Y924" s="298"/>
      <c r="Z924" s="298"/>
      <c r="AA924" s="298"/>
      <c r="AB924" s="298"/>
      <c r="AC924" s="298"/>
      <c r="AD924" s="298"/>
      <c r="AE924" s="298"/>
      <c r="AF924" s="298"/>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row>
    <row r="925">
      <c r="A925" s="304"/>
      <c r="B925" s="282"/>
      <c r="C925" s="282"/>
      <c r="D925" s="282"/>
      <c r="E925" s="282"/>
      <c r="F925" s="282"/>
      <c r="G925" s="282"/>
      <c r="H925" s="282"/>
      <c r="I925" s="282"/>
      <c r="J925" s="282"/>
      <c r="K925" s="282"/>
      <c r="L925" s="282"/>
      <c r="M925" s="282"/>
      <c r="N925" s="282"/>
      <c r="O925" s="282"/>
      <c r="P925" s="282"/>
      <c r="Q925" s="282"/>
      <c r="R925" s="282"/>
      <c r="S925" s="282"/>
      <c r="T925" s="282"/>
      <c r="U925" s="282"/>
      <c r="V925" s="298"/>
      <c r="W925" s="298"/>
      <c r="X925" s="298"/>
      <c r="Y925" s="298"/>
      <c r="Z925" s="298"/>
      <c r="AA925" s="298"/>
      <c r="AB925" s="298"/>
      <c r="AC925" s="298"/>
      <c r="AD925" s="298"/>
      <c r="AE925" s="298"/>
      <c r="AF925" s="298"/>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row>
    <row r="926">
      <c r="A926" s="304"/>
      <c r="B926" s="282"/>
      <c r="C926" s="282"/>
      <c r="D926" s="282"/>
      <c r="E926" s="282"/>
      <c r="F926" s="282"/>
      <c r="G926" s="282"/>
      <c r="H926" s="282"/>
      <c r="I926" s="282"/>
      <c r="J926" s="282"/>
      <c r="K926" s="282"/>
      <c r="L926" s="282"/>
      <c r="M926" s="282"/>
      <c r="N926" s="282"/>
      <c r="O926" s="282"/>
      <c r="P926" s="282"/>
      <c r="Q926" s="282"/>
      <c r="R926" s="282"/>
      <c r="S926" s="282"/>
      <c r="T926" s="282"/>
      <c r="U926" s="282"/>
      <c r="V926" s="298"/>
      <c r="W926" s="298"/>
      <c r="X926" s="298"/>
      <c r="Y926" s="298"/>
      <c r="Z926" s="298"/>
      <c r="AA926" s="298"/>
      <c r="AB926" s="298"/>
      <c r="AC926" s="298"/>
      <c r="AD926" s="298"/>
      <c r="AE926" s="298"/>
      <c r="AF926" s="298"/>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row>
    <row r="927">
      <c r="A927" s="304"/>
      <c r="B927" s="282"/>
      <c r="C927" s="282"/>
      <c r="D927" s="282"/>
      <c r="E927" s="282"/>
      <c r="F927" s="282"/>
      <c r="G927" s="282"/>
      <c r="H927" s="282"/>
      <c r="I927" s="282"/>
      <c r="J927" s="282"/>
      <c r="K927" s="282"/>
      <c r="L927" s="282"/>
      <c r="M927" s="282"/>
      <c r="N927" s="282"/>
      <c r="O927" s="282"/>
      <c r="P927" s="282"/>
      <c r="Q927" s="282"/>
      <c r="R927" s="282"/>
      <c r="S927" s="282"/>
      <c r="T927" s="282"/>
      <c r="U927" s="282"/>
      <c r="V927" s="298"/>
      <c r="W927" s="298"/>
      <c r="X927" s="298"/>
      <c r="Y927" s="298"/>
      <c r="Z927" s="298"/>
      <c r="AA927" s="298"/>
      <c r="AB927" s="298"/>
      <c r="AC927" s="298"/>
      <c r="AD927" s="298"/>
      <c r="AE927" s="298"/>
      <c r="AF927" s="298"/>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row>
    <row r="928">
      <c r="A928" s="304"/>
      <c r="B928" s="282"/>
      <c r="C928" s="282"/>
      <c r="D928" s="282"/>
      <c r="E928" s="282"/>
      <c r="F928" s="282"/>
      <c r="G928" s="282"/>
      <c r="H928" s="282"/>
      <c r="I928" s="282"/>
      <c r="J928" s="282"/>
      <c r="K928" s="282"/>
      <c r="L928" s="282"/>
      <c r="M928" s="282"/>
      <c r="N928" s="282"/>
      <c r="O928" s="282"/>
      <c r="P928" s="282"/>
      <c r="Q928" s="282"/>
      <c r="R928" s="282"/>
      <c r="S928" s="282"/>
      <c r="T928" s="282"/>
      <c r="U928" s="282"/>
      <c r="V928" s="298"/>
      <c r="W928" s="298"/>
      <c r="X928" s="298"/>
      <c r="Y928" s="298"/>
      <c r="Z928" s="298"/>
      <c r="AA928" s="298"/>
      <c r="AB928" s="298"/>
      <c r="AC928" s="298"/>
      <c r="AD928" s="298"/>
      <c r="AE928" s="298"/>
      <c r="AF928" s="298"/>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row>
    <row r="929">
      <c r="A929" s="304"/>
      <c r="B929" s="282"/>
      <c r="C929" s="282"/>
      <c r="D929" s="282"/>
      <c r="E929" s="282"/>
      <c r="F929" s="282"/>
      <c r="G929" s="282"/>
      <c r="H929" s="282"/>
      <c r="I929" s="282"/>
      <c r="J929" s="282"/>
      <c r="K929" s="282"/>
      <c r="L929" s="282"/>
      <c r="M929" s="282"/>
      <c r="N929" s="282"/>
      <c r="O929" s="282"/>
      <c r="P929" s="282"/>
      <c r="Q929" s="282"/>
      <c r="R929" s="282"/>
      <c r="S929" s="282"/>
      <c r="T929" s="282"/>
      <c r="U929" s="282"/>
      <c r="V929" s="298"/>
      <c r="W929" s="298"/>
      <c r="X929" s="298"/>
      <c r="Y929" s="298"/>
      <c r="Z929" s="298"/>
      <c r="AA929" s="298"/>
      <c r="AB929" s="298"/>
      <c r="AC929" s="298"/>
      <c r="AD929" s="298"/>
      <c r="AE929" s="298"/>
      <c r="AF929" s="298"/>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row>
    <row r="930">
      <c r="A930" s="304"/>
      <c r="B930" s="282"/>
      <c r="C930" s="282"/>
      <c r="D930" s="282"/>
      <c r="E930" s="282"/>
      <c r="F930" s="282"/>
      <c r="G930" s="282"/>
      <c r="H930" s="282"/>
      <c r="I930" s="282"/>
      <c r="J930" s="282"/>
      <c r="K930" s="282"/>
      <c r="L930" s="282"/>
      <c r="M930" s="282"/>
      <c r="N930" s="282"/>
      <c r="O930" s="282"/>
      <c r="P930" s="282"/>
      <c r="Q930" s="282"/>
      <c r="R930" s="282"/>
      <c r="S930" s="282"/>
      <c r="T930" s="282"/>
      <c r="U930" s="282"/>
      <c r="V930" s="298"/>
      <c r="W930" s="298"/>
      <c r="X930" s="298"/>
      <c r="Y930" s="298"/>
      <c r="Z930" s="298"/>
      <c r="AA930" s="298"/>
      <c r="AB930" s="298"/>
      <c r="AC930" s="298"/>
      <c r="AD930" s="298"/>
      <c r="AE930" s="298"/>
      <c r="AF930" s="298"/>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row>
    <row r="931">
      <c r="A931" s="304"/>
      <c r="B931" s="282"/>
      <c r="C931" s="282"/>
      <c r="D931" s="282"/>
      <c r="E931" s="282"/>
      <c r="F931" s="282"/>
      <c r="G931" s="282"/>
      <c r="H931" s="282"/>
      <c r="I931" s="282"/>
      <c r="J931" s="282"/>
      <c r="K931" s="282"/>
      <c r="L931" s="282"/>
      <c r="M931" s="282"/>
      <c r="N931" s="282"/>
      <c r="O931" s="282"/>
      <c r="P931" s="282"/>
      <c r="Q931" s="282"/>
      <c r="R931" s="282"/>
      <c r="S931" s="282"/>
      <c r="T931" s="282"/>
      <c r="U931" s="282"/>
      <c r="V931" s="298"/>
      <c r="W931" s="298"/>
      <c r="X931" s="298"/>
      <c r="Y931" s="298"/>
      <c r="Z931" s="298"/>
      <c r="AA931" s="298"/>
      <c r="AB931" s="298"/>
      <c r="AC931" s="298"/>
      <c r="AD931" s="298"/>
      <c r="AE931" s="298"/>
      <c r="AF931" s="298"/>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row>
    <row r="932">
      <c r="A932" s="304"/>
      <c r="B932" s="282"/>
      <c r="C932" s="282"/>
      <c r="D932" s="282"/>
      <c r="E932" s="282"/>
      <c r="F932" s="282"/>
      <c r="G932" s="282"/>
      <c r="H932" s="282"/>
      <c r="I932" s="282"/>
      <c r="J932" s="282"/>
      <c r="K932" s="282"/>
      <c r="L932" s="282"/>
      <c r="M932" s="282"/>
      <c r="N932" s="282"/>
      <c r="O932" s="282"/>
      <c r="P932" s="282"/>
      <c r="Q932" s="282"/>
      <c r="R932" s="282"/>
      <c r="S932" s="282"/>
      <c r="T932" s="282"/>
      <c r="U932" s="282"/>
      <c r="V932" s="298"/>
      <c r="W932" s="298"/>
      <c r="X932" s="298"/>
      <c r="Y932" s="298"/>
      <c r="Z932" s="298"/>
      <c r="AA932" s="298"/>
      <c r="AB932" s="298"/>
      <c r="AC932" s="298"/>
      <c r="AD932" s="298"/>
      <c r="AE932" s="298"/>
      <c r="AF932" s="298"/>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row>
    <row r="933">
      <c r="A933" s="304"/>
      <c r="B933" s="282"/>
      <c r="C933" s="282"/>
      <c r="D933" s="282"/>
      <c r="E933" s="282"/>
      <c r="F933" s="282"/>
      <c r="G933" s="282"/>
      <c r="H933" s="282"/>
      <c r="I933" s="282"/>
      <c r="J933" s="282"/>
      <c r="K933" s="282"/>
      <c r="L933" s="282"/>
      <c r="M933" s="282"/>
      <c r="N933" s="282"/>
      <c r="O933" s="282"/>
      <c r="P933" s="282"/>
      <c r="Q933" s="282"/>
      <c r="R933" s="282"/>
      <c r="S933" s="282"/>
      <c r="T933" s="282"/>
      <c r="U933" s="282"/>
      <c r="V933" s="298"/>
      <c r="W933" s="298"/>
      <c r="X933" s="298"/>
      <c r="Y933" s="298"/>
      <c r="Z933" s="298"/>
      <c r="AA933" s="298"/>
      <c r="AB933" s="298"/>
      <c r="AC933" s="298"/>
      <c r="AD933" s="298"/>
      <c r="AE933" s="298"/>
      <c r="AF933" s="298"/>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row>
    <row r="934">
      <c r="A934" s="304"/>
      <c r="B934" s="282"/>
      <c r="C934" s="282"/>
      <c r="D934" s="282"/>
      <c r="E934" s="282"/>
      <c r="F934" s="282"/>
      <c r="G934" s="282"/>
      <c r="H934" s="282"/>
      <c r="I934" s="282"/>
      <c r="J934" s="282"/>
      <c r="K934" s="282"/>
      <c r="L934" s="282"/>
      <c r="M934" s="282"/>
      <c r="N934" s="282"/>
      <c r="O934" s="282"/>
      <c r="P934" s="282"/>
      <c r="Q934" s="282"/>
      <c r="R934" s="282"/>
      <c r="S934" s="282"/>
      <c r="T934" s="282"/>
      <c r="U934" s="282"/>
      <c r="V934" s="298"/>
      <c r="W934" s="298"/>
      <c r="X934" s="298"/>
      <c r="Y934" s="298"/>
      <c r="Z934" s="298"/>
      <c r="AA934" s="298"/>
      <c r="AB934" s="298"/>
      <c r="AC934" s="298"/>
      <c r="AD934" s="298"/>
      <c r="AE934" s="298"/>
      <c r="AF934" s="298"/>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row>
    <row r="935">
      <c r="A935" s="304"/>
      <c r="B935" s="282"/>
      <c r="C935" s="282"/>
      <c r="D935" s="282"/>
      <c r="E935" s="282"/>
      <c r="F935" s="282"/>
      <c r="G935" s="282"/>
      <c r="H935" s="282"/>
      <c r="I935" s="282"/>
      <c r="J935" s="282"/>
      <c r="K935" s="282"/>
      <c r="L935" s="282"/>
      <c r="M935" s="282"/>
      <c r="N935" s="282"/>
      <c r="O935" s="282"/>
      <c r="P935" s="282"/>
      <c r="Q935" s="282"/>
      <c r="R935" s="282"/>
      <c r="S935" s="282"/>
      <c r="T935" s="282"/>
      <c r="U935" s="282"/>
      <c r="V935" s="298"/>
      <c r="W935" s="298"/>
      <c r="X935" s="298"/>
      <c r="Y935" s="298"/>
      <c r="Z935" s="298"/>
      <c r="AA935" s="298"/>
      <c r="AB935" s="298"/>
      <c r="AC935" s="298"/>
      <c r="AD935" s="298"/>
      <c r="AE935" s="298"/>
      <c r="AF935" s="298"/>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row>
    <row r="936">
      <c r="A936" s="304"/>
      <c r="B936" s="282"/>
      <c r="C936" s="282"/>
      <c r="D936" s="282"/>
      <c r="E936" s="282"/>
      <c r="F936" s="282"/>
      <c r="G936" s="282"/>
      <c r="H936" s="282"/>
      <c r="I936" s="282"/>
      <c r="J936" s="282"/>
      <c r="K936" s="282"/>
      <c r="L936" s="282"/>
      <c r="M936" s="282"/>
      <c r="N936" s="282"/>
      <c r="O936" s="282"/>
      <c r="P936" s="282"/>
      <c r="Q936" s="282"/>
      <c r="R936" s="282"/>
      <c r="S936" s="282"/>
      <c r="T936" s="282"/>
      <c r="U936" s="282"/>
      <c r="V936" s="298"/>
      <c r="W936" s="298"/>
      <c r="X936" s="298"/>
      <c r="Y936" s="298"/>
      <c r="Z936" s="298"/>
      <c r="AA936" s="298"/>
      <c r="AB936" s="298"/>
      <c r="AC936" s="298"/>
      <c r="AD936" s="298"/>
      <c r="AE936" s="298"/>
      <c r="AF936" s="298"/>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row>
    <row r="937">
      <c r="A937" s="304"/>
      <c r="B937" s="282"/>
      <c r="C937" s="282"/>
      <c r="D937" s="282"/>
      <c r="E937" s="282"/>
      <c r="F937" s="282"/>
      <c r="G937" s="282"/>
      <c r="H937" s="282"/>
      <c r="I937" s="282"/>
      <c r="J937" s="282"/>
      <c r="K937" s="282"/>
      <c r="L937" s="282"/>
      <c r="M937" s="282"/>
      <c r="N937" s="282"/>
      <c r="O937" s="282"/>
      <c r="P937" s="282"/>
      <c r="Q937" s="282"/>
      <c r="R937" s="282"/>
      <c r="S937" s="282"/>
      <c r="T937" s="282"/>
      <c r="U937" s="282"/>
      <c r="V937" s="298"/>
      <c r="W937" s="298"/>
      <c r="X937" s="298"/>
      <c r="Y937" s="298"/>
      <c r="Z937" s="298"/>
      <c r="AA937" s="298"/>
      <c r="AB937" s="298"/>
      <c r="AC937" s="298"/>
      <c r="AD937" s="298"/>
      <c r="AE937" s="298"/>
      <c r="AF937" s="298"/>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row>
    <row r="938">
      <c r="A938" s="304"/>
      <c r="B938" s="282"/>
      <c r="C938" s="282"/>
      <c r="D938" s="282"/>
      <c r="E938" s="282"/>
      <c r="F938" s="282"/>
      <c r="G938" s="282"/>
      <c r="H938" s="282"/>
      <c r="I938" s="282"/>
      <c r="J938" s="282"/>
      <c r="K938" s="282"/>
      <c r="L938" s="282"/>
      <c r="M938" s="282"/>
      <c r="N938" s="282"/>
      <c r="O938" s="282"/>
      <c r="P938" s="282"/>
      <c r="Q938" s="282"/>
      <c r="R938" s="282"/>
      <c r="S938" s="282"/>
      <c r="T938" s="282"/>
      <c r="U938" s="282"/>
      <c r="V938" s="298"/>
      <c r="W938" s="298"/>
      <c r="X938" s="298"/>
      <c r="Y938" s="298"/>
      <c r="Z938" s="298"/>
      <c r="AA938" s="298"/>
      <c r="AB938" s="298"/>
      <c r="AC938" s="298"/>
      <c r="AD938" s="298"/>
      <c r="AE938" s="298"/>
      <c r="AF938" s="298"/>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row>
    <row r="939">
      <c r="A939" s="304"/>
      <c r="B939" s="282"/>
      <c r="C939" s="282"/>
      <c r="D939" s="282"/>
      <c r="E939" s="282"/>
      <c r="F939" s="282"/>
      <c r="G939" s="282"/>
      <c r="H939" s="282"/>
      <c r="I939" s="282"/>
      <c r="J939" s="282"/>
      <c r="K939" s="282"/>
      <c r="L939" s="282"/>
      <c r="M939" s="282"/>
      <c r="N939" s="282"/>
      <c r="O939" s="282"/>
      <c r="P939" s="282"/>
      <c r="Q939" s="282"/>
      <c r="R939" s="282"/>
      <c r="S939" s="282"/>
      <c r="T939" s="282"/>
      <c r="U939" s="282"/>
      <c r="V939" s="298"/>
      <c r="W939" s="298"/>
      <c r="X939" s="298"/>
      <c r="Y939" s="298"/>
      <c r="Z939" s="298"/>
      <c r="AA939" s="298"/>
      <c r="AB939" s="298"/>
      <c r="AC939" s="298"/>
      <c r="AD939" s="298"/>
      <c r="AE939" s="298"/>
      <c r="AF939" s="298"/>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row>
    <row r="940">
      <c r="A940" s="304"/>
      <c r="B940" s="282"/>
      <c r="C940" s="282"/>
      <c r="D940" s="282"/>
      <c r="E940" s="282"/>
      <c r="F940" s="282"/>
      <c r="G940" s="282"/>
      <c r="H940" s="282"/>
      <c r="I940" s="282"/>
      <c r="J940" s="282"/>
      <c r="K940" s="282"/>
      <c r="L940" s="282"/>
      <c r="M940" s="282"/>
      <c r="N940" s="282"/>
      <c r="O940" s="282"/>
      <c r="P940" s="282"/>
      <c r="Q940" s="282"/>
      <c r="R940" s="282"/>
      <c r="S940" s="282"/>
      <c r="T940" s="282"/>
      <c r="U940" s="282"/>
      <c r="V940" s="298"/>
      <c r="W940" s="298"/>
      <c r="X940" s="298"/>
      <c r="Y940" s="298"/>
      <c r="Z940" s="298"/>
      <c r="AA940" s="298"/>
      <c r="AB940" s="298"/>
      <c r="AC940" s="298"/>
      <c r="AD940" s="298"/>
      <c r="AE940" s="298"/>
      <c r="AF940" s="298"/>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row>
    <row r="941">
      <c r="A941" s="304"/>
      <c r="B941" s="282"/>
      <c r="C941" s="282"/>
      <c r="D941" s="282"/>
      <c r="E941" s="282"/>
      <c r="F941" s="282"/>
      <c r="G941" s="282"/>
      <c r="H941" s="282"/>
      <c r="I941" s="282"/>
      <c r="J941" s="282"/>
      <c r="K941" s="282"/>
      <c r="L941" s="282"/>
      <c r="M941" s="282"/>
      <c r="N941" s="282"/>
      <c r="O941" s="282"/>
      <c r="P941" s="282"/>
      <c r="Q941" s="282"/>
      <c r="R941" s="282"/>
      <c r="S941" s="282"/>
      <c r="T941" s="282"/>
      <c r="U941" s="282"/>
      <c r="V941" s="298"/>
      <c r="W941" s="298"/>
      <c r="X941" s="298"/>
      <c r="Y941" s="298"/>
      <c r="Z941" s="298"/>
      <c r="AA941" s="298"/>
      <c r="AB941" s="298"/>
      <c r="AC941" s="298"/>
      <c r="AD941" s="298"/>
      <c r="AE941" s="298"/>
      <c r="AF941" s="298"/>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row>
    <row r="942">
      <c r="A942" s="304"/>
      <c r="B942" s="282"/>
      <c r="C942" s="282"/>
      <c r="D942" s="282"/>
      <c r="E942" s="282"/>
      <c r="F942" s="282"/>
      <c r="G942" s="282"/>
      <c r="H942" s="282"/>
      <c r="I942" s="282"/>
      <c r="J942" s="282"/>
      <c r="K942" s="282"/>
      <c r="L942" s="282"/>
      <c r="M942" s="282"/>
      <c r="N942" s="282"/>
      <c r="O942" s="282"/>
      <c r="P942" s="282"/>
      <c r="Q942" s="282"/>
      <c r="R942" s="282"/>
      <c r="S942" s="282"/>
      <c r="T942" s="282"/>
      <c r="U942" s="282"/>
      <c r="V942" s="298"/>
      <c r="W942" s="298"/>
      <c r="X942" s="298"/>
      <c r="Y942" s="298"/>
      <c r="Z942" s="298"/>
      <c r="AA942" s="298"/>
      <c r="AB942" s="298"/>
      <c r="AC942" s="298"/>
      <c r="AD942" s="298"/>
      <c r="AE942" s="298"/>
      <c r="AF942" s="298"/>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row>
    <row r="943">
      <c r="A943" s="304"/>
      <c r="B943" s="282"/>
      <c r="C943" s="282"/>
      <c r="D943" s="282"/>
      <c r="E943" s="282"/>
      <c r="F943" s="282"/>
      <c r="G943" s="282"/>
      <c r="H943" s="282"/>
      <c r="I943" s="282"/>
      <c r="J943" s="282"/>
      <c r="K943" s="282"/>
      <c r="L943" s="282"/>
      <c r="M943" s="282"/>
      <c r="N943" s="282"/>
      <c r="O943" s="282"/>
      <c r="P943" s="282"/>
      <c r="Q943" s="282"/>
      <c r="R943" s="282"/>
      <c r="S943" s="282"/>
      <c r="T943" s="282"/>
      <c r="U943" s="282"/>
      <c r="V943" s="298"/>
      <c r="W943" s="298"/>
      <c r="X943" s="298"/>
      <c r="Y943" s="298"/>
      <c r="Z943" s="298"/>
      <c r="AA943" s="298"/>
      <c r="AB943" s="298"/>
      <c r="AC943" s="298"/>
      <c r="AD943" s="298"/>
      <c r="AE943" s="298"/>
      <c r="AF943" s="298"/>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row>
    <row r="944">
      <c r="A944" s="304"/>
      <c r="B944" s="282"/>
      <c r="C944" s="282"/>
      <c r="D944" s="282"/>
      <c r="E944" s="282"/>
      <c r="F944" s="282"/>
      <c r="G944" s="282"/>
      <c r="H944" s="282"/>
      <c r="I944" s="282"/>
      <c r="J944" s="282"/>
      <c r="K944" s="282"/>
      <c r="L944" s="282"/>
      <c r="M944" s="282"/>
      <c r="N944" s="282"/>
      <c r="O944" s="282"/>
      <c r="P944" s="282"/>
      <c r="Q944" s="282"/>
      <c r="R944" s="282"/>
      <c r="S944" s="282"/>
      <c r="T944" s="282"/>
      <c r="U944" s="282"/>
      <c r="V944" s="298"/>
      <c r="W944" s="298"/>
      <c r="X944" s="298"/>
      <c r="Y944" s="298"/>
      <c r="Z944" s="298"/>
      <c r="AA944" s="298"/>
      <c r="AB944" s="298"/>
      <c r="AC944" s="298"/>
      <c r="AD944" s="298"/>
      <c r="AE944" s="298"/>
      <c r="AF944" s="298"/>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row>
    <row r="945">
      <c r="A945" s="304"/>
      <c r="B945" s="282"/>
      <c r="C945" s="282"/>
      <c r="D945" s="282"/>
      <c r="E945" s="282"/>
      <c r="F945" s="282"/>
      <c r="G945" s="282"/>
      <c r="H945" s="282"/>
      <c r="I945" s="282"/>
      <c r="J945" s="282"/>
      <c r="K945" s="282"/>
      <c r="L945" s="282"/>
      <c r="M945" s="282"/>
      <c r="N945" s="282"/>
      <c r="O945" s="282"/>
      <c r="P945" s="282"/>
      <c r="Q945" s="282"/>
      <c r="R945" s="282"/>
      <c r="S945" s="282"/>
      <c r="T945" s="282"/>
      <c r="U945" s="282"/>
      <c r="V945" s="298"/>
      <c r="W945" s="298"/>
      <c r="X945" s="298"/>
      <c r="Y945" s="298"/>
      <c r="Z945" s="298"/>
      <c r="AA945" s="298"/>
      <c r="AB945" s="298"/>
      <c r="AC945" s="298"/>
      <c r="AD945" s="298"/>
      <c r="AE945" s="298"/>
      <c r="AF945" s="298"/>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row>
    <row r="946">
      <c r="A946" s="304"/>
      <c r="B946" s="282"/>
      <c r="C946" s="282"/>
      <c r="D946" s="282"/>
      <c r="E946" s="282"/>
      <c r="F946" s="282"/>
      <c r="G946" s="282"/>
      <c r="H946" s="282"/>
      <c r="I946" s="282"/>
      <c r="J946" s="282"/>
      <c r="K946" s="282"/>
      <c r="L946" s="282"/>
      <c r="M946" s="282"/>
      <c r="N946" s="282"/>
      <c r="O946" s="282"/>
      <c r="P946" s="282"/>
      <c r="Q946" s="282"/>
      <c r="R946" s="282"/>
      <c r="S946" s="282"/>
      <c r="T946" s="282"/>
      <c r="U946" s="282"/>
      <c r="V946" s="298"/>
      <c r="W946" s="298"/>
      <c r="X946" s="298"/>
      <c r="Y946" s="298"/>
      <c r="Z946" s="298"/>
      <c r="AA946" s="298"/>
      <c r="AB946" s="298"/>
      <c r="AC946" s="298"/>
      <c r="AD946" s="298"/>
      <c r="AE946" s="298"/>
      <c r="AF946" s="298"/>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row>
    <row r="947">
      <c r="A947" s="304"/>
      <c r="B947" s="282"/>
      <c r="C947" s="282"/>
      <c r="D947" s="282"/>
      <c r="E947" s="282"/>
      <c r="F947" s="282"/>
      <c r="G947" s="282"/>
      <c r="H947" s="282"/>
      <c r="I947" s="282"/>
      <c r="J947" s="282"/>
      <c r="K947" s="282"/>
      <c r="L947" s="282"/>
      <c r="M947" s="282"/>
      <c r="N947" s="282"/>
      <c r="O947" s="282"/>
      <c r="P947" s="282"/>
      <c r="Q947" s="282"/>
      <c r="R947" s="282"/>
      <c r="S947" s="282"/>
      <c r="T947" s="282"/>
      <c r="U947" s="282"/>
      <c r="V947" s="298"/>
      <c r="W947" s="298"/>
      <c r="X947" s="298"/>
      <c r="Y947" s="298"/>
      <c r="Z947" s="298"/>
      <c r="AA947" s="298"/>
      <c r="AB947" s="298"/>
      <c r="AC947" s="298"/>
      <c r="AD947" s="298"/>
      <c r="AE947" s="298"/>
      <c r="AF947" s="298"/>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row>
    <row r="948">
      <c r="A948" s="304"/>
      <c r="B948" s="282"/>
      <c r="C948" s="282"/>
      <c r="D948" s="282"/>
      <c r="E948" s="282"/>
      <c r="F948" s="282"/>
      <c r="G948" s="282"/>
      <c r="H948" s="282"/>
      <c r="I948" s="282"/>
      <c r="J948" s="282"/>
      <c r="K948" s="282"/>
      <c r="L948" s="282"/>
      <c r="M948" s="282"/>
      <c r="N948" s="282"/>
      <c r="O948" s="282"/>
      <c r="P948" s="282"/>
      <c r="Q948" s="282"/>
      <c r="R948" s="282"/>
      <c r="S948" s="282"/>
      <c r="T948" s="282"/>
      <c r="U948" s="282"/>
      <c r="V948" s="298"/>
      <c r="W948" s="298"/>
      <c r="X948" s="298"/>
      <c r="Y948" s="298"/>
      <c r="Z948" s="298"/>
      <c r="AA948" s="298"/>
      <c r="AB948" s="298"/>
      <c r="AC948" s="298"/>
      <c r="AD948" s="298"/>
      <c r="AE948" s="298"/>
      <c r="AF948" s="298"/>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row>
    <row r="949">
      <c r="A949" s="304"/>
      <c r="B949" s="282"/>
      <c r="C949" s="282"/>
      <c r="D949" s="282"/>
      <c r="E949" s="282"/>
      <c r="F949" s="282"/>
      <c r="G949" s="282"/>
      <c r="H949" s="282"/>
      <c r="I949" s="282"/>
      <c r="J949" s="282"/>
      <c r="K949" s="282"/>
      <c r="L949" s="282"/>
      <c r="M949" s="282"/>
      <c r="N949" s="282"/>
      <c r="O949" s="282"/>
      <c r="P949" s="282"/>
      <c r="Q949" s="282"/>
      <c r="R949" s="282"/>
      <c r="S949" s="282"/>
      <c r="T949" s="282"/>
      <c r="U949" s="282"/>
      <c r="V949" s="298"/>
      <c r="W949" s="298"/>
      <c r="X949" s="298"/>
      <c r="Y949" s="298"/>
      <c r="Z949" s="298"/>
      <c r="AA949" s="298"/>
      <c r="AB949" s="298"/>
      <c r="AC949" s="298"/>
      <c r="AD949" s="298"/>
      <c r="AE949" s="298"/>
      <c r="AF949" s="298"/>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row>
    <row r="950">
      <c r="A950" s="304"/>
      <c r="B950" s="282"/>
      <c r="C950" s="282"/>
      <c r="D950" s="282"/>
      <c r="E950" s="282"/>
      <c r="F950" s="282"/>
      <c r="G950" s="282"/>
      <c r="H950" s="282"/>
      <c r="I950" s="282"/>
      <c r="J950" s="282"/>
      <c r="K950" s="282"/>
      <c r="L950" s="282"/>
      <c r="M950" s="282"/>
      <c r="N950" s="282"/>
      <c r="O950" s="282"/>
      <c r="P950" s="282"/>
      <c r="Q950" s="282"/>
      <c r="R950" s="282"/>
      <c r="S950" s="282"/>
      <c r="T950" s="282"/>
      <c r="U950" s="282"/>
      <c r="V950" s="298"/>
      <c r="W950" s="298"/>
      <c r="X950" s="298"/>
      <c r="Y950" s="298"/>
      <c r="Z950" s="298"/>
      <c r="AA950" s="298"/>
      <c r="AB950" s="298"/>
      <c r="AC950" s="298"/>
      <c r="AD950" s="298"/>
      <c r="AE950" s="298"/>
      <c r="AF950" s="298"/>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row>
    <row r="951">
      <c r="A951" s="304"/>
      <c r="B951" s="282"/>
      <c r="C951" s="282"/>
      <c r="D951" s="282"/>
      <c r="E951" s="282"/>
      <c r="F951" s="282"/>
      <c r="G951" s="282"/>
      <c r="H951" s="282"/>
      <c r="I951" s="282"/>
      <c r="J951" s="282"/>
      <c r="K951" s="282"/>
      <c r="L951" s="282"/>
      <c r="M951" s="282"/>
      <c r="N951" s="282"/>
      <c r="O951" s="282"/>
      <c r="P951" s="282"/>
      <c r="Q951" s="282"/>
      <c r="R951" s="282"/>
      <c r="S951" s="282"/>
      <c r="T951" s="282"/>
      <c r="U951" s="282"/>
      <c r="V951" s="298"/>
      <c r="W951" s="298"/>
      <c r="X951" s="298"/>
      <c r="Y951" s="298"/>
      <c r="Z951" s="298"/>
      <c r="AA951" s="298"/>
      <c r="AB951" s="298"/>
      <c r="AC951" s="298"/>
      <c r="AD951" s="298"/>
      <c r="AE951" s="298"/>
      <c r="AF951" s="298"/>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row>
    <row r="952">
      <c r="A952" s="304"/>
      <c r="B952" s="282"/>
      <c r="C952" s="282"/>
      <c r="D952" s="282"/>
      <c r="E952" s="282"/>
      <c r="F952" s="282"/>
      <c r="G952" s="282"/>
      <c r="H952" s="282"/>
      <c r="I952" s="282"/>
      <c r="J952" s="282"/>
      <c r="K952" s="282"/>
      <c r="L952" s="282"/>
      <c r="M952" s="282"/>
      <c r="N952" s="282"/>
      <c r="O952" s="282"/>
      <c r="P952" s="282"/>
      <c r="Q952" s="282"/>
      <c r="R952" s="282"/>
      <c r="S952" s="282"/>
      <c r="T952" s="282"/>
      <c r="U952" s="282"/>
      <c r="V952" s="298"/>
      <c r="W952" s="298"/>
      <c r="X952" s="298"/>
      <c r="Y952" s="298"/>
      <c r="Z952" s="298"/>
      <c r="AA952" s="298"/>
      <c r="AB952" s="298"/>
      <c r="AC952" s="298"/>
      <c r="AD952" s="298"/>
      <c r="AE952" s="298"/>
      <c r="AF952" s="298"/>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row>
    <row r="953">
      <c r="A953" s="304"/>
      <c r="B953" s="282"/>
      <c r="C953" s="282"/>
      <c r="D953" s="282"/>
      <c r="E953" s="282"/>
      <c r="F953" s="282"/>
      <c r="G953" s="282"/>
      <c r="H953" s="282"/>
      <c r="I953" s="282"/>
      <c r="J953" s="282"/>
      <c r="K953" s="282"/>
      <c r="L953" s="282"/>
      <c r="M953" s="282"/>
      <c r="N953" s="282"/>
      <c r="O953" s="282"/>
      <c r="P953" s="282"/>
      <c r="Q953" s="282"/>
      <c r="R953" s="282"/>
      <c r="S953" s="282"/>
      <c r="T953" s="282"/>
      <c r="U953" s="282"/>
      <c r="V953" s="298"/>
      <c r="W953" s="298"/>
      <c r="X953" s="298"/>
      <c r="Y953" s="298"/>
      <c r="Z953" s="298"/>
      <c r="AA953" s="298"/>
      <c r="AB953" s="298"/>
      <c r="AC953" s="298"/>
      <c r="AD953" s="298"/>
      <c r="AE953" s="298"/>
      <c r="AF953" s="298"/>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row>
    <row r="954">
      <c r="A954" s="304"/>
      <c r="B954" s="282"/>
      <c r="C954" s="282"/>
      <c r="D954" s="282"/>
      <c r="E954" s="282"/>
      <c r="F954" s="282"/>
      <c r="G954" s="282"/>
      <c r="H954" s="282"/>
      <c r="I954" s="282"/>
      <c r="J954" s="282"/>
      <c r="K954" s="282"/>
      <c r="L954" s="282"/>
      <c r="M954" s="282"/>
      <c r="N954" s="282"/>
      <c r="O954" s="282"/>
      <c r="P954" s="282"/>
      <c r="Q954" s="282"/>
      <c r="R954" s="282"/>
      <c r="S954" s="282"/>
      <c r="T954" s="282"/>
      <c r="U954" s="282"/>
      <c r="V954" s="298"/>
      <c r="W954" s="298"/>
      <c r="X954" s="298"/>
      <c r="Y954" s="298"/>
      <c r="Z954" s="298"/>
      <c r="AA954" s="298"/>
      <c r="AB954" s="298"/>
      <c r="AC954" s="298"/>
      <c r="AD954" s="298"/>
      <c r="AE954" s="298"/>
      <c r="AF954" s="298"/>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row>
    <row r="955">
      <c r="A955" s="304"/>
      <c r="B955" s="282"/>
      <c r="C955" s="282"/>
      <c r="D955" s="282"/>
      <c r="E955" s="282"/>
      <c r="F955" s="282"/>
      <c r="G955" s="282"/>
      <c r="H955" s="282"/>
      <c r="I955" s="282"/>
      <c r="J955" s="282"/>
      <c r="K955" s="282"/>
      <c r="L955" s="282"/>
      <c r="M955" s="282"/>
      <c r="N955" s="282"/>
      <c r="O955" s="282"/>
      <c r="P955" s="282"/>
      <c r="Q955" s="282"/>
      <c r="R955" s="282"/>
      <c r="S955" s="282"/>
      <c r="T955" s="282"/>
      <c r="U955" s="282"/>
      <c r="V955" s="298"/>
      <c r="W955" s="298"/>
      <c r="X955" s="298"/>
      <c r="Y955" s="298"/>
      <c r="Z955" s="298"/>
      <c r="AA955" s="298"/>
      <c r="AB955" s="298"/>
      <c r="AC955" s="298"/>
      <c r="AD955" s="298"/>
      <c r="AE955" s="298"/>
      <c r="AF955" s="298"/>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row>
    <row r="956">
      <c r="A956" s="304"/>
      <c r="B956" s="282"/>
      <c r="C956" s="282"/>
      <c r="D956" s="282"/>
      <c r="E956" s="282"/>
      <c r="F956" s="282"/>
      <c r="G956" s="282"/>
      <c r="H956" s="282"/>
      <c r="I956" s="282"/>
      <c r="J956" s="282"/>
      <c r="K956" s="282"/>
      <c r="L956" s="282"/>
      <c r="M956" s="282"/>
      <c r="N956" s="282"/>
      <c r="O956" s="282"/>
      <c r="P956" s="282"/>
      <c r="Q956" s="282"/>
      <c r="R956" s="282"/>
      <c r="S956" s="282"/>
      <c r="T956" s="282"/>
      <c r="U956" s="282"/>
      <c r="V956" s="298"/>
      <c r="W956" s="298"/>
      <c r="X956" s="298"/>
      <c r="Y956" s="298"/>
      <c r="Z956" s="298"/>
      <c r="AA956" s="298"/>
      <c r="AB956" s="298"/>
      <c r="AC956" s="298"/>
      <c r="AD956" s="298"/>
      <c r="AE956" s="298"/>
      <c r="AF956" s="298"/>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row>
    <row r="957">
      <c r="A957" s="304"/>
      <c r="B957" s="282"/>
      <c r="C957" s="282"/>
      <c r="D957" s="282"/>
      <c r="E957" s="282"/>
      <c r="F957" s="282"/>
      <c r="G957" s="282"/>
      <c r="H957" s="282"/>
      <c r="I957" s="282"/>
      <c r="J957" s="282"/>
      <c r="K957" s="282"/>
      <c r="L957" s="282"/>
      <c r="M957" s="282"/>
      <c r="N957" s="282"/>
      <c r="O957" s="282"/>
      <c r="P957" s="282"/>
      <c r="Q957" s="282"/>
      <c r="R957" s="282"/>
      <c r="S957" s="282"/>
      <c r="T957" s="282"/>
      <c r="U957" s="282"/>
      <c r="V957" s="298"/>
      <c r="W957" s="298"/>
      <c r="X957" s="298"/>
      <c r="Y957" s="298"/>
      <c r="Z957" s="298"/>
      <c r="AA957" s="298"/>
      <c r="AB957" s="298"/>
      <c r="AC957" s="298"/>
      <c r="AD957" s="298"/>
      <c r="AE957" s="298"/>
      <c r="AF957" s="298"/>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row>
    <row r="958">
      <c r="A958" s="304"/>
      <c r="B958" s="282"/>
      <c r="C958" s="282"/>
      <c r="D958" s="282"/>
      <c r="E958" s="282"/>
      <c r="F958" s="282"/>
      <c r="G958" s="282"/>
      <c r="H958" s="282"/>
      <c r="I958" s="282"/>
      <c r="J958" s="282"/>
      <c r="K958" s="282"/>
      <c r="L958" s="282"/>
      <c r="M958" s="282"/>
      <c r="N958" s="282"/>
      <c r="O958" s="282"/>
      <c r="P958" s="282"/>
      <c r="Q958" s="282"/>
      <c r="R958" s="282"/>
      <c r="S958" s="282"/>
      <c r="T958" s="282"/>
      <c r="U958" s="282"/>
      <c r="V958" s="298"/>
      <c r="W958" s="298"/>
      <c r="X958" s="298"/>
      <c r="Y958" s="298"/>
      <c r="Z958" s="298"/>
      <c r="AA958" s="298"/>
      <c r="AB958" s="298"/>
      <c r="AC958" s="298"/>
      <c r="AD958" s="298"/>
      <c r="AE958" s="298"/>
      <c r="AF958" s="298"/>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row>
    <row r="959">
      <c r="A959" s="304"/>
      <c r="B959" s="282"/>
      <c r="C959" s="282"/>
      <c r="D959" s="282"/>
      <c r="E959" s="282"/>
      <c r="F959" s="282"/>
      <c r="G959" s="282"/>
      <c r="H959" s="282"/>
      <c r="I959" s="282"/>
      <c r="J959" s="282"/>
      <c r="K959" s="282"/>
      <c r="L959" s="282"/>
      <c r="M959" s="282"/>
      <c r="N959" s="282"/>
      <c r="O959" s="282"/>
      <c r="P959" s="282"/>
      <c r="Q959" s="282"/>
      <c r="R959" s="282"/>
      <c r="S959" s="282"/>
      <c r="T959" s="282"/>
      <c r="U959" s="282"/>
      <c r="V959" s="298"/>
      <c r="W959" s="298"/>
      <c r="X959" s="298"/>
      <c r="Y959" s="298"/>
      <c r="Z959" s="298"/>
      <c r="AA959" s="298"/>
      <c r="AB959" s="298"/>
      <c r="AC959" s="298"/>
      <c r="AD959" s="298"/>
      <c r="AE959" s="298"/>
      <c r="AF959" s="298"/>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row>
    <row r="960">
      <c r="A960" s="304"/>
      <c r="B960" s="282"/>
      <c r="C960" s="282"/>
      <c r="D960" s="282"/>
      <c r="E960" s="282"/>
      <c r="F960" s="282"/>
      <c r="G960" s="282"/>
      <c r="H960" s="282"/>
      <c r="I960" s="282"/>
      <c r="J960" s="282"/>
      <c r="K960" s="282"/>
      <c r="L960" s="282"/>
      <c r="M960" s="282"/>
      <c r="N960" s="282"/>
      <c r="O960" s="282"/>
      <c r="P960" s="282"/>
      <c r="Q960" s="282"/>
      <c r="R960" s="282"/>
      <c r="S960" s="282"/>
      <c r="T960" s="282"/>
      <c r="U960" s="282"/>
      <c r="V960" s="298"/>
      <c r="W960" s="298"/>
      <c r="X960" s="298"/>
      <c r="Y960" s="298"/>
      <c r="Z960" s="298"/>
      <c r="AA960" s="298"/>
      <c r="AB960" s="298"/>
      <c r="AC960" s="298"/>
      <c r="AD960" s="298"/>
      <c r="AE960" s="298"/>
      <c r="AF960" s="298"/>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row>
    <row r="961">
      <c r="A961" s="304"/>
      <c r="B961" s="282"/>
      <c r="C961" s="282"/>
      <c r="D961" s="282"/>
      <c r="E961" s="282"/>
      <c r="F961" s="282"/>
      <c r="G961" s="282"/>
      <c r="H961" s="282"/>
      <c r="I961" s="282"/>
      <c r="J961" s="282"/>
      <c r="K961" s="282"/>
      <c r="L961" s="282"/>
      <c r="M961" s="282"/>
      <c r="N961" s="282"/>
      <c r="O961" s="282"/>
      <c r="P961" s="282"/>
      <c r="Q961" s="282"/>
      <c r="R961" s="282"/>
      <c r="S961" s="282"/>
      <c r="T961" s="282"/>
      <c r="U961" s="282"/>
      <c r="V961" s="298"/>
      <c r="W961" s="298"/>
      <c r="X961" s="298"/>
      <c r="Y961" s="298"/>
      <c r="Z961" s="298"/>
      <c r="AA961" s="298"/>
      <c r="AB961" s="298"/>
      <c r="AC961" s="298"/>
      <c r="AD961" s="298"/>
      <c r="AE961" s="298"/>
      <c r="AF961" s="298"/>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row>
    <row r="962">
      <c r="A962" s="304"/>
      <c r="B962" s="282"/>
      <c r="C962" s="282"/>
      <c r="D962" s="282"/>
      <c r="E962" s="282"/>
      <c r="F962" s="282"/>
      <c r="G962" s="282"/>
      <c r="H962" s="282"/>
      <c r="I962" s="282"/>
      <c r="J962" s="282"/>
      <c r="K962" s="282"/>
      <c r="L962" s="282"/>
      <c r="M962" s="282"/>
      <c r="N962" s="282"/>
      <c r="O962" s="282"/>
      <c r="P962" s="282"/>
      <c r="Q962" s="282"/>
      <c r="R962" s="282"/>
      <c r="S962" s="282"/>
      <c r="T962" s="282"/>
      <c r="U962" s="282"/>
      <c r="V962" s="298"/>
      <c r="W962" s="298"/>
      <c r="X962" s="298"/>
      <c r="Y962" s="298"/>
      <c r="Z962" s="298"/>
      <c r="AA962" s="298"/>
      <c r="AB962" s="298"/>
      <c r="AC962" s="298"/>
      <c r="AD962" s="298"/>
      <c r="AE962" s="298"/>
      <c r="AF962" s="298"/>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row>
    <row r="963">
      <c r="A963" s="304"/>
      <c r="B963" s="282"/>
      <c r="C963" s="282"/>
      <c r="D963" s="282"/>
      <c r="E963" s="282"/>
      <c r="F963" s="282"/>
      <c r="G963" s="282"/>
      <c r="H963" s="282"/>
      <c r="I963" s="282"/>
      <c r="J963" s="282"/>
      <c r="K963" s="282"/>
      <c r="L963" s="282"/>
      <c r="M963" s="282"/>
      <c r="N963" s="282"/>
      <c r="O963" s="282"/>
      <c r="P963" s="282"/>
      <c r="Q963" s="282"/>
      <c r="R963" s="282"/>
      <c r="S963" s="282"/>
      <c r="T963" s="282"/>
      <c r="U963" s="282"/>
      <c r="V963" s="298"/>
      <c r="W963" s="298"/>
      <c r="X963" s="298"/>
      <c r="Y963" s="298"/>
      <c r="Z963" s="298"/>
      <c r="AA963" s="298"/>
      <c r="AB963" s="298"/>
      <c r="AC963" s="298"/>
      <c r="AD963" s="298"/>
      <c r="AE963" s="298"/>
      <c r="AF963" s="298"/>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row>
    <row r="964">
      <c r="A964" s="304"/>
      <c r="B964" s="282"/>
      <c r="C964" s="282"/>
      <c r="D964" s="282"/>
      <c r="E964" s="282"/>
      <c r="F964" s="282"/>
      <c r="G964" s="282"/>
      <c r="H964" s="282"/>
      <c r="I964" s="282"/>
      <c r="J964" s="282"/>
      <c r="K964" s="282"/>
      <c r="L964" s="282"/>
      <c r="M964" s="282"/>
      <c r="N964" s="282"/>
      <c r="O964" s="282"/>
      <c r="P964" s="282"/>
      <c r="Q964" s="282"/>
      <c r="R964" s="282"/>
      <c r="S964" s="282"/>
      <c r="T964" s="282"/>
      <c r="U964" s="282"/>
      <c r="V964" s="298"/>
      <c r="W964" s="298"/>
      <c r="X964" s="298"/>
      <c r="Y964" s="298"/>
      <c r="Z964" s="298"/>
      <c r="AA964" s="298"/>
      <c r="AB964" s="298"/>
      <c r="AC964" s="298"/>
      <c r="AD964" s="298"/>
      <c r="AE964" s="298"/>
      <c r="AF964" s="298"/>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row>
    <row r="965">
      <c r="A965" s="304"/>
      <c r="B965" s="282"/>
      <c r="C965" s="282"/>
      <c r="D965" s="282"/>
      <c r="E965" s="282"/>
      <c r="F965" s="282"/>
      <c r="G965" s="282"/>
      <c r="H965" s="282"/>
      <c r="I965" s="282"/>
      <c r="J965" s="282"/>
      <c r="K965" s="282"/>
      <c r="L965" s="282"/>
      <c r="M965" s="282"/>
      <c r="N965" s="282"/>
      <c r="O965" s="282"/>
      <c r="P965" s="282"/>
      <c r="Q965" s="282"/>
      <c r="R965" s="282"/>
      <c r="S965" s="282"/>
      <c r="T965" s="282"/>
      <c r="U965" s="282"/>
      <c r="V965" s="298"/>
      <c r="W965" s="298"/>
      <c r="X965" s="298"/>
      <c r="Y965" s="298"/>
      <c r="Z965" s="298"/>
      <c r="AA965" s="298"/>
      <c r="AB965" s="298"/>
      <c r="AC965" s="298"/>
      <c r="AD965" s="298"/>
      <c r="AE965" s="298"/>
      <c r="AF965" s="298"/>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row>
    <row r="966">
      <c r="A966" s="304"/>
      <c r="B966" s="282"/>
      <c r="C966" s="282"/>
      <c r="D966" s="282"/>
      <c r="E966" s="282"/>
      <c r="F966" s="282"/>
      <c r="G966" s="282"/>
      <c r="H966" s="282"/>
      <c r="I966" s="282"/>
      <c r="J966" s="282"/>
      <c r="K966" s="282"/>
      <c r="L966" s="282"/>
      <c r="M966" s="282"/>
      <c r="N966" s="282"/>
      <c r="O966" s="282"/>
      <c r="P966" s="282"/>
      <c r="Q966" s="282"/>
      <c r="R966" s="282"/>
      <c r="S966" s="282"/>
      <c r="T966" s="282"/>
      <c r="U966" s="282"/>
      <c r="V966" s="298"/>
      <c r="W966" s="298"/>
      <c r="X966" s="298"/>
      <c r="Y966" s="298"/>
      <c r="Z966" s="298"/>
      <c r="AA966" s="298"/>
      <c r="AB966" s="298"/>
      <c r="AC966" s="298"/>
      <c r="AD966" s="298"/>
      <c r="AE966" s="298"/>
      <c r="AF966" s="298"/>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row>
    <row r="967">
      <c r="A967" s="304"/>
      <c r="B967" s="282"/>
      <c r="C967" s="282"/>
      <c r="D967" s="282"/>
      <c r="E967" s="282"/>
      <c r="F967" s="282"/>
      <c r="G967" s="282"/>
      <c r="H967" s="282"/>
      <c r="I967" s="282"/>
      <c r="J967" s="282"/>
      <c r="K967" s="282"/>
      <c r="L967" s="282"/>
      <c r="M967" s="282"/>
      <c r="N967" s="282"/>
      <c r="O967" s="282"/>
      <c r="P967" s="282"/>
      <c r="Q967" s="282"/>
      <c r="R967" s="282"/>
      <c r="S967" s="282"/>
      <c r="T967" s="282"/>
      <c r="U967" s="282"/>
      <c r="V967" s="298"/>
      <c r="W967" s="298"/>
      <c r="X967" s="298"/>
      <c r="Y967" s="298"/>
      <c r="Z967" s="298"/>
      <c r="AA967" s="298"/>
      <c r="AB967" s="298"/>
      <c r="AC967" s="298"/>
      <c r="AD967" s="298"/>
      <c r="AE967" s="298"/>
      <c r="AF967" s="298"/>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row>
    <row r="968">
      <c r="A968" s="304"/>
      <c r="B968" s="282"/>
      <c r="C968" s="282"/>
      <c r="D968" s="282"/>
      <c r="E968" s="282"/>
      <c r="F968" s="282"/>
      <c r="G968" s="282"/>
      <c r="H968" s="282"/>
      <c r="I968" s="282"/>
      <c r="J968" s="282"/>
      <c r="K968" s="282"/>
      <c r="L968" s="282"/>
      <c r="M968" s="282"/>
      <c r="N968" s="282"/>
      <c r="O968" s="282"/>
      <c r="P968" s="282"/>
      <c r="Q968" s="282"/>
      <c r="R968" s="282"/>
      <c r="S968" s="282"/>
      <c r="T968" s="282"/>
      <c r="U968" s="282"/>
      <c r="V968" s="298"/>
      <c r="W968" s="298"/>
      <c r="X968" s="298"/>
      <c r="Y968" s="298"/>
      <c r="Z968" s="298"/>
      <c r="AA968" s="298"/>
      <c r="AB968" s="298"/>
      <c r="AC968" s="298"/>
      <c r="AD968" s="298"/>
      <c r="AE968" s="298"/>
      <c r="AF968" s="298"/>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row>
    <row r="969">
      <c r="A969" s="304"/>
      <c r="B969" s="282"/>
      <c r="C969" s="282"/>
      <c r="D969" s="282"/>
      <c r="E969" s="282"/>
      <c r="F969" s="282"/>
      <c r="G969" s="282"/>
      <c r="H969" s="282"/>
      <c r="I969" s="282"/>
      <c r="J969" s="282"/>
      <c r="K969" s="282"/>
      <c r="L969" s="282"/>
      <c r="M969" s="282"/>
      <c r="N969" s="282"/>
      <c r="O969" s="282"/>
      <c r="P969" s="282"/>
      <c r="Q969" s="282"/>
      <c r="R969" s="282"/>
      <c r="S969" s="282"/>
      <c r="T969" s="282"/>
      <c r="U969" s="282"/>
      <c r="V969" s="298"/>
      <c r="W969" s="298"/>
      <c r="X969" s="298"/>
      <c r="Y969" s="298"/>
      <c r="Z969" s="298"/>
      <c r="AA969" s="298"/>
      <c r="AB969" s="298"/>
      <c r="AC969" s="298"/>
      <c r="AD969" s="298"/>
      <c r="AE969" s="298"/>
      <c r="AF969" s="298"/>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row>
    <row r="970">
      <c r="A970" s="304"/>
      <c r="B970" s="282"/>
      <c r="C970" s="282"/>
      <c r="D970" s="282"/>
      <c r="E970" s="282"/>
      <c r="F970" s="282"/>
      <c r="G970" s="282"/>
      <c r="H970" s="282"/>
      <c r="I970" s="282"/>
      <c r="J970" s="282"/>
      <c r="K970" s="282"/>
      <c r="L970" s="282"/>
      <c r="M970" s="282"/>
      <c r="N970" s="282"/>
      <c r="O970" s="282"/>
      <c r="P970" s="282"/>
      <c r="Q970" s="282"/>
      <c r="R970" s="282"/>
      <c r="S970" s="282"/>
      <c r="T970" s="282"/>
      <c r="U970" s="282"/>
      <c r="V970" s="298"/>
      <c r="W970" s="298"/>
      <c r="X970" s="298"/>
      <c r="Y970" s="298"/>
      <c r="Z970" s="298"/>
      <c r="AA970" s="298"/>
      <c r="AB970" s="298"/>
      <c r="AC970" s="298"/>
      <c r="AD970" s="298"/>
      <c r="AE970" s="298"/>
      <c r="AF970" s="298"/>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row>
    <row r="971">
      <c r="A971" s="304"/>
      <c r="B971" s="282"/>
      <c r="C971" s="282"/>
      <c r="D971" s="282"/>
      <c r="E971" s="282"/>
      <c r="F971" s="282"/>
      <c r="G971" s="282"/>
      <c r="H971" s="282"/>
      <c r="I971" s="282"/>
      <c r="J971" s="282"/>
      <c r="K971" s="282"/>
      <c r="L971" s="282"/>
      <c r="M971" s="282"/>
      <c r="N971" s="282"/>
      <c r="O971" s="282"/>
      <c r="P971" s="282"/>
      <c r="Q971" s="282"/>
      <c r="R971" s="282"/>
      <c r="S971" s="282"/>
      <c r="T971" s="282"/>
      <c r="U971" s="282"/>
      <c r="V971" s="298"/>
      <c r="W971" s="298"/>
      <c r="X971" s="298"/>
      <c r="Y971" s="298"/>
      <c r="Z971" s="298"/>
      <c r="AA971" s="298"/>
      <c r="AB971" s="298"/>
      <c r="AC971" s="298"/>
      <c r="AD971" s="298"/>
      <c r="AE971" s="298"/>
      <c r="AF971" s="298"/>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row>
    <row r="972">
      <c r="A972" s="304"/>
      <c r="B972" s="282"/>
      <c r="C972" s="282"/>
      <c r="D972" s="282"/>
      <c r="E972" s="282"/>
      <c r="F972" s="282"/>
      <c r="G972" s="282"/>
      <c r="H972" s="282"/>
      <c r="I972" s="282"/>
      <c r="J972" s="282"/>
      <c r="K972" s="282"/>
      <c r="L972" s="282"/>
      <c r="M972" s="282"/>
      <c r="N972" s="282"/>
      <c r="O972" s="282"/>
      <c r="P972" s="282"/>
      <c r="Q972" s="282"/>
      <c r="R972" s="282"/>
      <c r="S972" s="282"/>
      <c r="T972" s="282"/>
      <c r="U972" s="282"/>
      <c r="V972" s="298"/>
      <c r="W972" s="298"/>
      <c r="X972" s="298"/>
      <c r="Y972" s="298"/>
      <c r="Z972" s="298"/>
      <c r="AA972" s="298"/>
      <c r="AB972" s="298"/>
      <c r="AC972" s="298"/>
      <c r="AD972" s="298"/>
      <c r="AE972" s="298"/>
      <c r="AF972" s="298"/>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row>
    <row r="973">
      <c r="A973" s="304"/>
      <c r="B973" s="282"/>
      <c r="C973" s="282"/>
      <c r="D973" s="282"/>
      <c r="E973" s="282"/>
      <c r="F973" s="282"/>
      <c r="G973" s="282"/>
      <c r="H973" s="282"/>
      <c r="I973" s="282"/>
      <c r="J973" s="282"/>
      <c r="K973" s="282"/>
      <c r="L973" s="282"/>
      <c r="M973" s="282"/>
      <c r="N973" s="282"/>
      <c r="O973" s="282"/>
      <c r="P973" s="282"/>
      <c r="Q973" s="282"/>
      <c r="R973" s="282"/>
      <c r="S973" s="282"/>
      <c r="T973" s="282"/>
      <c r="U973" s="282"/>
      <c r="V973" s="298"/>
      <c r="W973" s="298"/>
      <c r="X973" s="298"/>
      <c r="Y973" s="298"/>
      <c r="Z973" s="298"/>
      <c r="AA973" s="298"/>
      <c r="AB973" s="298"/>
      <c r="AC973" s="298"/>
      <c r="AD973" s="298"/>
      <c r="AE973" s="298"/>
      <c r="AF973" s="298"/>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row>
    <row r="974">
      <c r="A974" s="304"/>
      <c r="B974" s="282"/>
      <c r="C974" s="282"/>
      <c r="D974" s="282"/>
      <c r="E974" s="282"/>
      <c r="F974" s="282"/>
      <c r="G974" s="282"/>
      <c r="H974" s="282"/>
      <c r="I974" s="282"/>
      <c r="J974" s="282"/>
      <c r="K974" s="282"/>
      <c r="L974" s="282"/>
      <c r="M974" s="282"/>
      <c r="N974" s="282"/>
      <c r="O974" s="282"/>
      <c r="P974" s="282"/>
      <c r="Q974" s="282"/>
      <c r="R974" s="282"/>
      <c r="S974" s="282"/>
      <c r="T974" s="282"/>
      <c r="U974" s="282"/>
      <c r="V974" s="298"/>
      <c r="W974" s="298"/>
      <c r="X974" s="298"/>
      <c r="Y974" s="298"/>
      <c r="Z974" s="298"/>
      <c r="AA974" s="298"/>
      <c r="AB974" s="298"/>
      <c r="AC974" s="298"/>
      <c r="AD974" s="298"/>
      <c r="AE974" s="298"/>
      <c r="AF974" s="298"/>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row>
    <row r="975">
      <c r="A975" s="304"/>
      <c r="B975" s="282"/>
      <c r="C975" s="282"/>
      <c r="D975" s="282"/>
      <c r="E975" s="282"/>
      <c r="F975" s="282"/>
      <c r="G975" s="282"/>
      <c r="H975" s="282"/>
      <c r="I975" s="282"/>
      <c r="J975" s="282"/>
      <c r="K975" s="282"/>
      <c r="L975" s="282"/>
      <c r="M975" s="282"/>
      <c r="N975" s="282"/>
      <c r="O975" s="282"/>
      <c r="P975" s="282"/>
      <c r="Q975" s="282"/>
      <c r="R975" s="282"/>
      <c r="S975" s="282"/>
      <c r="T975" s="282"/>
      <c r="U975" s="282"/>
      <c r="V975" s="298"/>
      <c r="W975" s="298"/>
      <c r="X975" s="298"/>
      <c r="Y975" s="298"/>
      <c r="Z975" s="298"/>
      <c r="AA975" s="298"/>
      <c r="AB975" s="298"/>
      <c r="AC975" s="298"/>
      <c r="AD975" s="298"/>
      <c r="AE975" s="298"/>
      <c r="AF975" s="298"/>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row>
    <row r="976">
      <c r="A976" s="304"/>
      <c r="B976" s="282"/>
      <c r="C976" s="282"/>
      <c r="D976" s="282"/>
      <c r="E976" s="282"/>
      <c r="F976" s="282"/>
      <c r="G976" s="282"/>
      <c r="H976" s="282"/>
      <c r="I976" s="282"/>
      <c r="J976" s="282"/>
      <c r="K976" s="282"/>
      <c r="L976" s="282"/>
      <c r="M976" s="282"/>
      <c r="N976" s="282"/>
      <c r="O976" s="282"/>
      <c r="P976" s="282"/>
      <c r="Q976" s="282"/>
      <c r="R976" s="282"/>
      <c r="S976" s="282"/>
      <c r="T976" s="282"/>
      <c r="U976" s="282"/>
      <c r="V976" s="298"/>
      <c r="W976" s="298"/>
      <c r="X976" s="298"/>
      <c r="Y976" s="298"/>
      <c r="Z976" s="298"/>
      <c r="AA976" s="298"/>
      <c r="AB976" s="298"/>
      <c r="AC976" s="298"/>
      <c r="AD976" s="298"/>
      <c r="AE976" s="298"/>
      <c r="AF976" s="298"/>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row>
    <row r="977">
      <c r="A977" s="304"/>
      <c r="B977" s="282"/>
      <c r="C977" s="282"/>
      <c r="D977" s="282"/>
      <c r="E977" s="282"/>
      <c r="F977" s="282"/>
      <c r="G977" s="282"/>
      <c r="H977" s="282"/>
      <c r="I977" s="282"/>
      <c r="J977" s="282"/>
      <c r="K977" s="282"/>
      <c r="L977" s="282"/>
      <c r="M977" s="282"/>
      <c r="N977" s="282"/>
      <c r="O977" s="282"/>
      <c r="P977" s="282"/>
      <c r="Q977" s="282"/>
      <c r="R977" s="282"/>
      <c r="S977" s="282"/>
      <c r="T977" s="282"/>
      <c r="U977" s="282"/>
      <c r="V977" s="298"/>
      <c r="W977" s="298"/>
      <c r="X977" s="298"/>
      <c r="Y977" s="298"/>
      <c r="Z977" s="298"/>
      <c r="AA977" s="298"/>
      <c r="AB977" s="298"/>
      <c r="AC977" s="298"/>
      <c r="AD977" s="298"/>
      <c r="AE977" s="298"/>
      <c r="AF977" s="298"/>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row>
    <row r="978">
      <c r="A978" s="304"/>
      <c r="B978" s="282"/>
      <c r="C978" s="282"/>
      <c r="D978" s="282"/>
      <c r="E978" s="282"/>
      <c r="F978" s="282"/>
      <c r="G978" s="282"/>
      <c r="H978" s="282"/>
      <c r="I978" s="282"/>
      <c r="J978" s="282"/>
      <c r="K978" s="282"/>
      <c r="L978" s="282"/>
      <c r="M978" s="282"/>
      <c r="N978" s="282"/>
      <c r="O978" s="282"/>
      <c r="P978" s="282"/>
      <c r="Q978" s="282"/>
      <c r="R978" s="282"/>
      <c r="S978" s="282"/>
      <c r="T978" s="282"/>
      <c r="U978" s="282"/>
      <c r="V978" s="298"/>
      <c r="W978" s="298"/>
      <c r="X978" s="298"/>
      <c r="Y978" s="298"/>
      <c r="Z978" s="298"/>
      <c r="AA978" s="298"/>
      <c r="AB978" s="298"/>
      <c r="AC978" s="298"/>
      <c r="AD978" s="298"/>
      <c r="AE978" s="298"/>
      <c r="AF978" s="298"/>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row>
    <row r="979">
      <c r="A979" s="304"/>
      <c r="B979" s="282"/>
      <c r="C979" s="282"/>
      <c r="D979" s="282"/>
      <c r="E979" s="282"/>
      <c r="F979" s="282"/>
      <c r="G979" s="282"/>
      <c r="H979" s="282"/>
      <c r="I979" s="282"/>
      <c r="J979" s="282"/>
      <c r="K979" s="282"/>
      <c r="L979" s="282"/>
      <c r="M979" s="282"/>
      <c r="N979" s="282"/>
      <c r="O979" s="282"/>
      <c r="P979" s="282"/>
      <c r="Q979" s="282"/>
      <c r="R979" s="282"/>
      <c r="S979" s="282"/>
      <c r="T979" s="282"/>
      <c r="U979" s="282"/>
      <c r="V979" s="298"/>
      <c r="W979" s="298"/>
      <c r="X979" s="298"/>
      <c r="Y979" s="298"/>
      <c r="Z979" s="298"/>
      <c r="AA979" s="298"/>
      <c r="AB979" s="298"/>
      <c r="AC979" s="298"/>
      <c r="AD979" s="298"/>
      <c r="AE979" s="298"/>
      <c r="AF979" s="298"/>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row>
    <row r="980">
      <c r="A980" s="304"/>
      <c r="B980" s="282"/>
      <c r="C980" s="282"/>
      <c r="D980" s="282"/>
      <c r="E980" s="282"/>
      <c r="F980" s="282"/>
      <c r="G980" s="282"/>
      <c r="H980" s="282"/>
      <c r="I980" s="282"/>
      <c r="J980" s="282"/>
      <c r="K980" s="282"/>
      <c r="L980" s="282"/>
      <c r="M980" s="282"/>
      <c r="N980" s="282"/>
      <c r="O980" s="282"/>
      <c r="P980" s="282"/>
      <c r="Q980" s="282"/>
      <c r="R980" s="282"/>
      <c r="S980" s="282"/>
      <c r="T980" s="282"/>
      <c r="U980" s="282"/>
      <c r="V980" s="298"/>
      <c r="W980" s="298"/>
      <c r="X980" s="298"/>
      <c r="Y980" s="298"/>
      <c r="Z980" s="298"/>
      <c r="AA980" s="298"/>
      <c r="AB980" s="298"/>
      <c r="AC980" s="298"/>
      <c r="AD980" s="298"/>
      <c r="AE980" s="298"/>
      <c r="AF980" s="298"/>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row>
    <row r="981">
      <c r="A981" s="304"/>
      <c r="B981" s="282"/>
      <c r="C981" s="282"/>
      <c r="D981" s="282"/>
      <c r="E981" s="282"/>
      <c r="F981" s="282"/>
      <c r="G981" s="282"/>
      <c r="H981" s="282"/>
      <c r="I981" s="282"/>
      <c r="J981" s="282"/>
      <c r="K981" s="282"/>
      <c r="L981" s="282"/>
      <c r="M981" s="282"/>
      <c r="N981" s="282"/>
      <c r="O981" s="282"/>
      <c r="P981" s="282"/>
      <c r="Q981" s="282"/>
      <c r="R981" s="282"/>
      <c r="S981" s="282"/>
      <c r="T981" s="282"/>
      <c r="U981" s="282"/>
      <c r="V981" s="298"/>
      <c r="W981" s="298"/>
      <c r="X981" s="298"/>
      <c r="Y981" s="298"/>
      <c r="Z981" s="298"/>
      <c r="AA981" s="298"/>
      <c r="AB981" s="298"/>
      <c r="AC981" s="298"/>
      <c r="AD981" s="298"/>
      <c r="AE981" s="298"/>
      <c r="AF981" s="298"/>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row>
    <row r="982">
      <c r="A982" s="304"/>
      <c r="B982" s="282"/>
      <c r="C982" s="282"/>
      <c r="D982" s="282"/>
      <c r="E982" s="282"/>
      <c r="F982" s="282"/>
      <c r="G982" s="282"/>
      <c r="H982" s="282"/>
      <c r="I982" s="282"/>
      <c r="J982" s="282"/>
      <c r="K982" s="282"/>
      <c r="L982" s="282"/>
      <c r="M982" s="282"/>
      <c r="N982" s="282"/>
      <c r="O982" s="282"/>
      <c r="P982" s="282"/>
      <c r="Q982" s="282"/>
      <c r="R982" s="282"/>
      <c r="S982" s="282"/>
      <c r="T982" s="282"/>
      <c r="U982" s="282"/>
      <c r="V982" s="298"/>
      <c r="W982" s="298"/>
      <c r="X982" s="298"/>
      <c r="Y982" s="298"/>
      <c r="Z982" s="298"/>
      <c r="AA982" s="298"/>
      <c r="AB982" s="298"/>
      <c r="AC982" s="298"/>
      <c r="AD982" s="298"/>
      <c r="AE982" s="298"/>
      <c r="AF982" s="298"/>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row>
    <row r="983">
      <c r="A983" s="304"/>
      <c r="B983" s="282"/>
      <c r="C983" s="282"/>
      <c r="D983" s="282"/>
      <c r="E983" s="282"/>
      <c r="F983" s="282"/>
      <c r="G983" s="282"/>
      <c r="H983" s="282"/>
      <c r="I983" s="282"/>
      <c r="J983" s="282"/>
      <c r="K983" s="282"/>
      <c r="L983" s="282"/>
      <c r="M983" s="282"/>
      <c r="N983" s="282"/>
      <c r="O983" s="282"/>
      <c r="P983" s="282"/>
      <c r="Q983" s="282"/>
      <c r="R983" s="282"/>
      <c r="S983" s="282"/>
      <c r="T983" s="282"/>
      <c r="U983" s="282"/>
      <c r="V983" s="298"/>
      <c r="W983" s="298"/>
      <c r="X983" s="298"/>
      <c r="Y983" s="298"/>
      <c r="Z983" s="298"/>
      <c r="AA983" s="298"/>
      <c r="AB983" s="298"/>
      <c r="AC983" s="298"/>
      <c r="AD983" s="298"/>
      <c r="AE983" s="298"/>
      <c r="AF983" s="298"/>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row>
    <row r="984">
      <c r="A984" s="304"/>
      <c r="B984" s="282"/>
      <c r="C984" s="282"/>
      <c r="D984" s="282"/>
      <c r="E984" s="282"/>
      <c r="F984" s="282"/>
      <c r="G984" s="282"/>
      <c r="H984" s="282"/>
      <c r="I984" s="282"/>
      <c r="J984" s="282"/>
      <c r="K984" s="282"/>
      <c r="L984" s="282"/>
      <c r="M984" s="282"/>
      <c r="N984" s="282"/>
      <c r="O984" s="282"/>
      <c r="P984" s="282"/>
      <c r="Q984" s="282"/>
      <c r="R984" s="282"/>
      <c r="S984" s="282"/>
      <c r="T984" s="282"/>
      <c r="U984" s="282"/>
      <c r="V984" s="298"/>
      <c r="W984" s="298"/>
      <c r="X984" s="298"/>
      <c r="Y984" s="298"/>
      <c r="Z984" s="298"/>
      <c r="AA984" s="298"/>
      <c r="AB984" s="298"/>
      <c r="AC984" s="298"/>
      <c r="AD984" s="298"/>
      <c r="AE984" s="298"/>
      <c r="AF984" s="298"/>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row>
    <row r="985">
      <c r="A985" s="304"/>
      <c r="B985" s="282"/>
      <c r="C985" s="282"/>
      <c r="D985" s="282"/>
      <c r="E985" s="282"/>
      <c r="F985" s="282"/>
      <c r="G985" s="282"/>
      <c r="H985" s="282"/>
      <c r="I985" s="282"/>
      <c r="J985" s="282"/>
      <c r="K985" s="282"/>
      <c r="L985" s="282"/>
      <c r="M985" s="282"/>
      <c r="N985" s="282"/>
      <c r="O985" s="282"/>
      <c r="P985" s="282"/>
      <c r="Q985" s="282"/>
      <c r="R985" s="282"/>
      <c r="S985" s="282"/>
      <c r="T985" s="282"/>
      <c r="U985" s="282"/>
      <c r="V985" s="298"/>
      <c r="W985" s="298"/>
      <c r="X985" s="298"/>
      <c r="Y985" s="298"/>
      <c r="Z985" s="298"/>
      <c r="AA985" s="298"/>
      <c r="AB985" s="298"/>
      <c r="AC985" s="298"/>
      <c r="AD985" s="298"/>
      <c r="AE985" s="298"/>
      <c r="AF985" s="298"/>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row>
    <row r="986">
      <c r="A986" s="304"/>
      <c r="B986" s="282"/>
      <c r="C986" s="282"/>
      <c r="D986" s="282"/>
      <c r="E986" s="282"/>
      <c r="F986" s="282"/>
      <c r="G986" s="282"/>
      <c r="H986" s="282"/>
      <c r="I986" s="282"/>
      <c r="J986" s="282"/>
      <c r="K986" s="282"/>
      <c r="L986" s="282"/>
      <c r="M986" s="282"/>
      <c r="N986" s="282"/>
      <c r="O986" s="282"/>
      <c r="P986" s="282"/>
      <c r="Q986" s="282"/>
      <c r="R986" s="282"/>
      <c r="S986" s="282"/>
      <c r="T986" s="282"/>
      <c r="U986" s="282"/>
      <c r="V986" s="298"/>
      <c r="W986" s="298"/>
      <c r="X986" s="298"/>
      <c r="Y986" s="298"/>
      <c r="Z986" s="298"/>
      <c r="AA986" s="298"/>
      <c r="AB986" s="298"/>
      <c r="AC986" s="298"/>
      <c r="AD986" s="298"/>
      <c r="AE986" s="298"/>
      <c r="AF986" s="298"/>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row>
    <row r="987">
      <c r="A987" s="304"/>
      <c r="B987" s="282"/>
      <c r="C987" s="282"/>
      <c r="D987" s="282"/>
      <c r="E987" s="282"/>
      <c r="F987" s="282"/>
      <c r="G987" s="282"/>
      <c r="H987" s="282"/>
      <c r="I987" s="282"/>
      <c r="J987" s="282"/>
      <c r="K987" s="282"/>
      <c r="L987" s="282"/>
      <c r="M987" s="282"/>
      <c r="N987" s="282"/>
      <c r="O987" s="282"/>
      <c r="P987" s="282"/>
      <c r="Q987" s="282"/>
      <c r="R987" s="282"/>
      <c r="S987" s="282"/>
      <c r="T987" s="282"/>
      <c r="U987" s="282"/>
      <c r="V987" s="298"/>
      <c r="W987" s="298"/>
      <c r="X987" s="298"/>
      <c r="Y987" s="298"/>
      <c r="Z987" s="298"/>
      <c r="AA987" s="298"/>
      <c r="AB987" s="298"/>
      <c r="AC987" s="298"/>
      <c r="AD987" s="298"/>
      <c r="AE987" s="298"/>
      <c r="AF987" s="298"/>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row>
    <row r="988">
      <c r="A988" s="304"/>
      <c r="B988" s="282"/>
      <c r="C988" s="282"/>
      <c r="D988" s="282"/>
      <c r="E988" s="282"/>
      <c r="F988" s="282"/>
      <c r="G988" s="282"/>
      <c r="H988" s="282"/>
      <c r="I988" s="282"/>
      <c r="J988" s="282"/>
      <c r="K988" s="282"/>
      <c r="L988" s="282"/>
      <c r="M988" s="282"/>
      <c r="N988" s="282"/>
      <c r="O988" s="282"/>
      <c r="P988" s="282"/>
      <c r="Q988" s="282"/>
      <c r="R988" s="282"/>
      <c r="S988" s="282"/>
      <c r="T988" s="282"/>
      <c r="U988" s="282"/>
      <c r="V988" s="298"/>
      <c r="W988" s="298"/>
      <c r="X988" s="298"/>
      <c r="Y988" s="298"/>
      <c r="Z988" s="298"/>
      <c r="AA988" s="298"/>
      <c r="AB988" s="298"/>
      <c r="AC988" s="298"/>
      <c r="AD988" s="298"/>
      <c r="AE988" s="298"/>
      <c r="AF988" s="298"/>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row>
    <row r="989">
      <c r="A989" s="304"/>
      <c r="B989" s="282"/>
      <c r="C989" s="282"/>
      <c r="D989" s="282"/>
      <c r="E989" s="282"/>
      <c r="F989" s="282"/>
      <c r="G989" s="282"/>
      <c r="H989" s="282"/>
      <c r="I989" s="282"/>
      <c r="J989" s="282"/>
      <c r="K989" s="282"/>
      <c r="L989" s="282"/>
      <c r="M989" s="282"/>
      <c r="N989" s="282"/>
      <c r="O989" s="282"/>
      <c r="P989" s="282"/>
      <c r="Q989" s="282"/>
      <c r="R989" s="282"/>
      <c r="S989" s="282"/>
      <c r="T989" s="282"/>
      <c r="U989" s="282"/>
      <c r="V989" s="298"/>
      <c r="W989" s="298"/>
      <c r="X989" s="298"/>
      <c r="Y989" s="298"/>
      <c r="Z989" s="298"/>
      <c r="AA989" s="298"/>
      <c r="AB989" s="298"/>
      <c r="AC989" s="298"/>
      <c r="AD989" s="298"/>
      <c r="AE989" s="298"/>
      <c r="AF989" s="298"/>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row>
    <row r="990">
      <c r="A990" s="304"/>
      <c r="B990" s="282"/>
      <c r="C990" s="282"/>
      <c r="D990" s="282"/>
      <c r="E990" s="282"/>
      <c r="F990" s="282"/>
      <c r="G990" s="282"/>
      <c r="H990" s="282"/>
      <c r="I990" s="282"/>
      <c r="J990" s="282"/>
      <c r="K990" s="282"/>
      <c r="L990" s="282"/>
      <c r="M990" s="282"/>
      <c r="N990" s="282"/>
      <c r="O990" s="282"/>
      <c r="P990" s="282"/>
      <c r="Q990" s="282"/>
      <c r="R990" s="282"/>
      <c r="S990" s="282"/>
      <c r="T990" s="282"/>
      <c r="U990" s="282"/>
      <c r="V990" s="298"/>
      <c r="W990" s="298"/>
      <c r="X990" s="298"/>
      <c r="Y990" s="298"/>
      <c r="Z990" s="298"/>
      <c r="AA990" s="298"/>
      <c r="AB990" s="298"/>
      <c r="AC990" s="298"/>
      <c r="AD990" s="298"/>
      <c r="AE990" s="298"/>
      <c r="AF990" s="298"/>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row>
    <row r="991">
      <c r="A991" s="304"/>
      <c r="B991" s="282"/>
      <c r="C991" s="282"/>
      <c r="D991" s="282"/>
      <c r="E991" s="282"/>
      <c r="F991" s="282"/>
      <c r="G991" s="282"/>
      <c r="H991" s="282"/>
      <c r="I991" s="282"/>
      <c r="J991" s="282"/>
      <c r="K991" s="282"/>
      <c r="L991" s="282"/>
      <c r="M991" s="282"/>
      <c r="N991" s="282"/>
      <c r="O991" s="282"/>
      <c r="P991" s="282"/>
      <c r="Q991" s="282"/>
      <c r="R991" s="282"/>
      <c r="S991" s="282"/>
      <c r="T991" s="282"/>
      <c r="U991" s="282"/>
      <c r="V991" s="298"/>
      <c r="W991" s="298"/>
      <c r="X991" s="298"/>
      <c r="Y991" s="298"/>
      <c r="Z991" s="298"/>
      <c r="AA991" s="298"/>
      <c r="AB991" s="298"/>
      <c r="AC991" s="298"/>
      <c r="AD991" s="298"/>
      <c r="AE991" s="298"/>
      <c r="AF991" s="298"/>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row>
    <row r="992">
      <c r="A992" s="304"/>
      <c r="B992" s="282"/>
      <c r="C992" s="282"/>
      <c r="D992" s="282"/>
      <c r="E992" s="282"/>
      <c r="F992" s="282"/>
      <c r="G992" s="282"/>
      <c r="H992" s="282"/>
      <c r="I992" s="282"/>
      <c r="J992" s="282"/>
      <c r="K992" s="282"/>
      <c r="L992" s="282"/>
      <c r="M992" s="282"/>
      <c r="N992" s="282"/>
      <c r="O992" s="282"/>
      <c r="P992" s="282"/>
      <c r="Q992" s="282"/>
      <c r="R992" s="282"/>
      <c r="S992" s="282"/>
      <c r="T992" s="282"/>
      <c r="U992" s="282"/>
      <c r="V992" s="298"/>
      <c r="W992" s="298"/>
      <c r="X992" s="298"/>
      <c r="Y992" s="298"/>
      <c r="Z992" s="298"/>
      <c r="AA992" s="298"/>
      <c r="AB992" s="298"/>
      <c r="AC992" s="298"/>
      <c r="AD992" s="298"/>
      <c r="AE992" s="298"/>
      <c r="AF992" s="298"/>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row>
    <row r="993">
      <c r="A993" s="304"/>
      <c r="B993" s="282"/>
      <c r="C993" s="282"/>
      <c r="D993" s="282"/>
      <c r="E993" s="282"/>
      <c r="F993" s="282"/>
      <c r="G993" s="282"/>
      <c r="H993" s="282"/>
      <c r="I993" s="282"/>
      <c r="J993" s="282"/>
      <c r="K993" s="282"/>
      <c r="L993" s="282"/>
      <c r="M993" s="282"/>
      <c r="N993" s="282"/>
      <c r="O993" s="282"/>
      <c r="P993" s="282"/>
      <c r="Q993" s="282"/>
      <c r="R993" s="282"/>
      <c r="S993" s="282"/>
      <c r="T993" s="282"/>
      <c r="U993" s="282"/>
      <c r="V993" s="298"/>
      <c r="W993" s="298"/>
      <c r="X993" s="298"/>
      <c r="Y993" s="298"/>
      <c r="Z993" s="298"/>
      <c r="AA993" s="298"/>
      <c r="AB993" s="298"/>
      <c r="AC993" s="298"/>
      <c r="AD993" s="298"/>
      <c r="AE993" s="298"/>
      <c r="AF993" s="298"/>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row>
    <row r="994">
      <c r="A994" s="304"/>
      <c r="B994" s="282"/>
      <c r="C994" s="282"/>
      <c r="D994" s="282"/>
      <c r="E994" s="282"/>
      <c r="F994" s="282"/>
      <c r="G994" s="282"/>
      <c r="H994" s="282"/>
      <c r="I994" s="282"/>
      <c r="J994" s="282"/>
      <c r="K994" s="282"/>
      <c r="L994" s="282"/>
      <c r="M994" s="282"/>
      <c r="N994" s="282"/>
      <c r="O994" s="282"/>
      <c r="P994" s="282"/>
      <c r="Q994" s="282"/>
      <c r="R994" s="282"/>
      <c r="S994" s="282"/>
      <c r="T994" s="282"/>
      <c r="U994" s="282"/>
      <c r="V994" s="298"/>
      <c r="W994" s="298"/>
      <c r="X994" s="298"/>
      <c r="Y994" s="298"/>
      <c r="Z994" s="298"/>
      <c r="AA994" s="298"/>
      <c r="AB994" s="298"/>
      <c r="AC994" s="298"/>
      <c r="AD994" s="298"/>
      <c r="AE994" s="298"/>
      <c r="AF994" s="298"/>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row>
    <row r="995">
      <c r="A995" s="304"/>
      <c r="B995" s="282"/>
      <c r="C995" s="282"/>
      <c r="D995" s="282"/>
      <c r="E995" s="282"/>
      <c r="F995" s="282"/>
      <c r="G995" s="282"/>
      <c r="H995" s="282"/>
      <c r="I995" s="282"/>
      <c r="J995" s="282"/>
      <c r="K995" s="282"/>
      <c r="L995" s="282"/>
      <c r="M995" s="282"/>
      <c r="N995" s="282"/>
      <c r="O995" s="282"/>
      <c r="P995" s="282"/>
      <c r="Q995" s="282"/>
      <c r="R995" s="282"/>
      <c r="S995" s="282"/>
      <c r="T995" s="282"/>
      <c r="U995" s="282"/>
      <c r="V995" s="298"/>
      <c r="W995" s="298"/>
      <c r="X995" s="298"/>
      <c r="Y995" s="298"/>
      <c r="Z995" s="298"/>
      <c r="AA995" s="298"/>
      <c r="AB995" s="298"/>
      <c r="AC995" s="298"/>
      <c r="AD995" s="298"/>
      <c r="AE995" s="298"/>
      <c r="AF995" s="298"/>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row>
    <row r="996">
      <c r="A996" s="304"/>
      <c r="B996" s="282"/>
      <c r="C996" s="282"/>
      <c r="D996" s="282"/>
      <c r="E996" s="282"/>
      <c r="F996" s="282"/>
      <c r="G996" s="282"/>
      <c r="H996" s="282"/>
      <c r="I996" s="282"/>
      <c r="J996" s="282"/>
      <c r="K996" s="282"/>
      <c r="L996" s="282"/>
      <c r="M996" s="282"/>
      <c r="N996" s="282"/>
      <c r="O996" s="282"/>
      <c r="P996" s="282"/>
      <c r="Q996" s="282"/>
      <c r="R996" s="282"/>
      <c r="S996" s="282"/>
      <c r="T996" s="282"/>
      <c r="U996" s="282"/>
      <c r="V996" s="298"/>
      <c r="W996" s="298"/>
      <c r="X996" s="298"/>
      <c r="Y996" s="298"/>
      <c r="Z996" s="298"/>
      <c r="AA996" s="298"/>
      <c r="AB996" s="298"/>
      <c r="AC996" s="298"/>
      <c r="AD996" s="298"/>
      <c r="AE996" s="298"/>
      <c r="AF996" s="298"/>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row>
    <row r="997">
      <c r="A997" s="304"/>
      <c r="B997" s="282"/>
      <c r="C997" s="282"/>
      <c r="D997" s="282"/>
      <c r="E997" s="282"/>
      <c r="F997" s="282"/>
      <c r="G997" s="282"/>
      <c r="H997" s="282"/>
      <c r="I997" s="282"/>
      <c r="J997" s="282"/>
      <c r="K997" s="282"/>
      <c r="L997" s="282"/>
      <c r="M997" s="282"/>
      <c r="N997" s="282"/>
      <c r="O997" s="282"/>
      <c r="P997" s="282"/>
      <c r="Q997" s="282"/>
      <c r="R997" s="282"/>
      <c r="S997" s="282"/>
      <c r="T997" s="282"/>
      <c r="U997" s="282"/>
      <c r="V997" s="298"/>
      <c r="W997" s="298"/>
      <c r="X997" s="298"/>
      <c r="Y997" s="298"/>
      <c r="Z997" s="298"/>
      <c r="AA997" s="298"/>
      <c r="AB997" s="298"/>
      <c r="AC997" s="298"/>
      <c r="AD997" s="298"/>
      <c r="AE997" s="298"/>
      <c r="AF997" s="298"/>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row>
    <row r="998">
      <c r="A998" s="304"/>
      <c r="B998" s="282"/>
      <c r="C998" s="282"/>
      <c r="D998" s="282"/>
      <c r="E998" s="282"/>
      <c r="F998" s="282"/>
      <c r="G998" s="282"/>
      <c r="H998" s="282"/>
      <c r="I998" s="282"/>
      <c r="J998" s="282"/>
      <c r="K998" s="282"/>
      <c r="L998" s="282"/>
      <c r="M998" s="282"/>
      <c r="N998" s="282"/>
      <c r="O998" s="282"/>
      <c r="P998" s="282"/>
      <c r="Q998" s="282"/>
      <c r="R998" s="282"/>
      <c r="S998" s="282"/>
      <c r="T998" s="282"/>
      <c r="U998" s="282"/>
      <c r="V998" s="298"/>
      <c r="W998" s="298"/>
      <c r="X998" s="298"/>
      <c r="Y998" s="298"/>
      <c r="Z998" s="298"/>
      <c r="AA998" s="298"/>
      <c r="AB998" s="298"/>
      <c r="AC998" s="298"/>
      <c r="AD998" s="298"/>
      <c r="AE998" s="298"/>
      <c r="AF998" s="298"/>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row>
    <row r="999">
      <c r="A999" s="304"/>
      <c r="B999" s="282"/>
      <c r="C999" s="282"/>
      <c r="D999" s="282"/>
      <c r="E999" s="282"/>
      <c r="F999" s="282"/>
      <c r="G999" s="282"/>
      <c r="H999" s="282"/>
      <c r="I999" s="282"/>
      <c r="J999" s="282"/>
      <c r="K999" s="282"/>
      <c r="L999" s="282"/>
      <c r="M999" s="282"/>
      <c r="N999" s="282"/>
      <c r="O999" s="282"/>
      <c r="P999" s="282"/>
      <c r="Q999" s="282"/>
      <c r="R999" s="282"/>
      <c r="S999" s="282"/>
      <c r="T999" s="282"/>
      <c r="U999" s="282"/>
      <c r="V999" s="298"/>
      <c r="W999" s="298"/>
      <c r="X999" s="298"/>
      <c r="Y999" s="298"/>
      <c r="Z999" s="298"/>
      <c r="AA999" s="298"/>
      <c r="AB999" s="298"/>
      <c r="AC999" s="298"/>
      <c r="AD999" s="298"/>
      <c r="AE999" s="298"/>
      <c r="AF999" s="298"/>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row>
    <row r="1000">
      <c r="A1000" s="304"/>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98"/>
      <c r="W1000" s="298"/>
      <c r="X1000" s="298"/>
      <c r="Y1000" s="298"/>
      <c r="Z1000" s="298"/>
      <c r="AA1000" s="298"/>
      <c r="AB1000" s="298"/>
      <c r="AC1000" s="298"/>
      <c r="AD1000" s="298"/>
      <c r="AE1000" s="298"/>
      <c r="AF1000" s="298"/>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6.0"/>
    <col customWidth="1" min="3" max="3" width="15.5"/>
    <col customWidth="1" min="5" max="6" width="32.13"/>
    <col customWidth="1" min="7" max="7" width="28.63"/>
    <col customWidth="1" min="8" max="8" width="90.88"/>
    <col customWidth="1" min="9" max="9" width="76.63"/>
  </cols>
  <sheetData>
    <row r="1" ht="45.75" customHeight="1">
      <c r="A1" s="289" t="str">
        <f>IFERROR(__xludf.DUMMYFUNCTION("QUERY(Mastersheet!A1:AF1000, ""SELECT * WHERE E = 'BHPC'"", 1)
"),"Date")</f>
        <v>Date</v>
      </c>
      <c r="B1" s="289" t="str">
        <f>IFERROR(__xludf.DUMMYFUNCTION("""COMPUTED_VALUE"""),"Send Time")</f>
        <v>Send Time</v>
      </c>
      <c r="C1" s="289" t="str">
        <f>IFERROR(__xludf.DUMMYFUNCTION("""COMPUTED_VALUE"""),"Channel")</f>
        <v>Channel</v>
      </c>
      <c r="D1" s="289" t="str">
        <f>IFERROR(__xludf.DUMMYFUNCTION("""COMPUTED_VALUE"""),"Campaign Type")</f>
        <v>Campaign Type</v>
      </c>
      <c r="E1" s="289" t="str">
        <f>IFERROR(__xludf.DUMMYFUNCTION("""COMPUTED_VALUE"""),"Brand")</f>
        <v>Brand</v>
      </c>
      <c r="F1" s="289" t="str">
        <f>IFERROR(__xludf.DUMMYFUNCTION("""COMPUTED_VALUE"""),"Master Campaign / Offer Category")</f>
        <v>Master Campaign / Offer Category</v>
      </c>
      <c r="G1" s="289" t="str">
        <f>IFERROR(__xludf.DUMMYFUNCTION("""COMPUTED_VALUE"""),"Campaign Name")</f>
        <v>Campaign Name</v>
      </c>
      <c r="H1" s="289" t="str">
        <f>IFERROR(__xludf.DUMMYFUNCTION("""COMPUTED_VALUE"""),"Segment Name")</f>
        <v>Segment Name</v>
      </c>
      <c r="I1" s="289" t="str">
        <f>IFERROR(__xludf.DUMMYFUNCTION("""COMPUTED_VALUE"""),"Segment Logic")</f>
        <v>Segment Logic</v>
      </c>
      <c r="J1" s="289" t="str">
        <f>IFERROR(__xludf.DUMMYFUNCTION("""COMPUTED_VALUE"""),"Total Sent")</f>
        <v>Total Sent</v>
      </c>
      <c r="K1" s="289" t="str">
        <f>IFERROR(__xludf.DUMMYFUNCTION("""COMPUTED_VALUE"""),"Total Delivered")</f>
        <v>Total Delivered</v>
      </c>
      <c r="L1" s="289" t="str">
        <f>IFERROR(__xludf.DUMMYFUNCTION("""COMPUTED_VALUE"""),"Delivery Rate")</f>
        <v>Delivery Rate</v>
      </c>
      <c r="M1" s="289" t="str">
        <f>IFERROR(__xludf.DUMMYFUNCTION("""COMPUTED_VALUE"""),"Total Read")</f>
        <v>Total Read</v>
      </c>
      <c r="N1" s="289" t="str">
        <f>IFERROR(__xludf.DUMMYFUNCTION("""COMPUTED_VALUE"""),"Read Rate")</f>
        <v>Read Rate</v>
      </c>
      <c r="O1" s="289" t="str">
        <f>IFERROR(__xludf.DUMMYFUNCTION("""COMPUTED_VALUE"""),"Total Clicks")</f>
        <v>Total Clicks</v>
      </c>
      <c r="P1" s="290" t="str">
        <f>IFERROR(__xludf.DUMMYFUNCTION("""COMPUTED_VALUE"""),"Unique Clicks")</f>
        <v>Unique Clicks</v>
      </c>
      <c r="Q1" s="290" t="str">
        <f>IFERROR(__xludf.DUMMYFUNCTION("""COMPUTED_VALUE"""),"CTR")</f>
        <v>CTR</v>
      </c>
      <c r="R1" s="290" t="str">
        <f>IFERROR(__xludf.DUMMYFUNCTION("""COMPUTED_VALUE"""),"Click to Open Rate")</f>
        <v>Click to Open Rate</v>
      </c>
      <c r="S1" s="290" t="str">
        <f>IFERROR(__xludf.DUMMYFUNCTION("""COMPUTED_VALUE"""),"Goal 1 Conversions")</f>
        <v>Goal 1 Conversions</v>
      </c>
      <c r="T1" s="290" t="str">
        <f>IFERROR(__xludf.DUMMYFUNCTION("""COMPUTED_VALUE"""),"Goal 2 Add to Cart")</f>
        <v>Goal 2 Add to Cart</v>
      </c>
      <c r="U1" s="290" t="str">
        <f>IFERROR(__xludf.DUMMYFUNCTION("""COMPUTED_VALUE"""),"Total Campaign Revenue INR")</f>
        <v>Total Campaign Revenue INR</v>
      </c>
      <c r="V1" s="290" t="str">
        <f>IFERROR(__xludf.DUMMYFUNCTION("""COMPUTED_VALUE"""),"Campaign Channel Type")</f>
        <v>Campaign Channel Type</v>
      </c>
      <c r="W1" s="290" t="str">
        <f>IFERROR(__xludf.DUMMYFUNCTION("""COMPUTED_VALUE"""),"Template Type")</f>
        <v>Template Type</v>
      </c>
      <c r="X1" s="290" t="str">
        <f>IFERROR(__xludf.DUMMYFUNCTION("""COMPUTED_VALUE"""),"Segment Customer Base Type")</f>
        <v>Segment Customer Base Type</v>
      </c>
      <c r="Y1" s="290" t="str">
        <f>IFERROR(__xludf.DUMMYFUNCTION("""COMPUTED_VALUE"""),"Track Goals for")</f>
        <v>Track Goals for</v>
      </c>
      <c r="Z1" s="290" t="str">
        <f>IFERROR(__xludf.DUMMYFUNCTION("""COMPUTED_VALUE"""),"Campaign ID")</f>
        <v>Campaign ID</v>
      </c>
      <c r="AA1" s="290" t="str">
        <f>IFERROR(__xludf.DUMMYFUNCTION("""COMPUTED_VALUE"""),"Campaign Purchased Customers")</f>
        <v>Campaign Purchased Customers</v>
      </c>
      <c r="AB1" s="290" t="str">
        <f>IFERROR(__xludf.DUMMYFUNCTION("""COMPUTED_VALUE"""),"Campaign Purchased Customers - Online")</f>
        <v>Campaign Purchased Customers - Online</v>
      </c>
      <c r="AC1" s="290" t="str">
        <f>IFERROR(__xludf.DUMMYFUNCTION("""COMPUTED_VALUE"""),"Campaign Purchased Customers - Offline")</f>
        <v>Campaign Purchased Customers - Offline</v>
      </c>
      <c r="AD1" s="290" t="str">
        <f>IFERROR(__xludf.DUMMYFUNCTION("""COMPUTED_VALUE"""),"Influenced Revenue")</f>
        <v>Influenced Revenue</v>
      </c>
      <c r="AE1" s="290" t="str">
        <f>IFERROR(__xludf.DUMMYFUNCTION("""COMPUTED_VALUE"""),"Influenced Revenue - Online")</f>
        <v>Influenced Revenue - Online</v>
      </c>
      <c r="AF1" s="290" t="str">
        <f>IFERROR(__xludf.DUMMYFUNCTION("""COMPUTED_VALUE"""),"Influenced Revenue - Offline")</f>
        <v>Influenced Revenue - Offline</v>
      </c>
      <c r="AG1" s="290"/>
      <c r="AH1" s="290"/>
      <c r="AI1" s="290"/>
      <c r="AJ1" s="290"/>
      <c r="AK1" s="290"/>
      <c r="AL1" s="290"/>
      <c r="AM1" s="290"/>
      <c r="AN1" s="290"/>
    </row>
    <row r="2">
      <c r="A2" s="314"/>
      <c r="B2" s="238"/>
      <c r="C2" s="96"/>
      <c r="D2" s="212"/>
      <c r="E2" s="96"/>
      <c r="F2" s="212"/>
      <c r="G2" s="212"/>
      <c r="H2" s="28"/>
      <c r="I2" s="28"/>
      <c r="J2" s="239"/>
      <c r="K2" s="240"/>
      <c r="L2" s="241"/>
      <c r="M2" s="240"/>
      <c r="N2" s="136"/>
      <c r="O2" s="239"/>
      <c r="P2" s="239"/>
      <c r="Q2" s="214"/>
      <c r="R2" s="214"/>
      <c r="S2" s="101"/>
      <c r="T2" s="222"/>
      <c r="U2" s="242"/>
      <c r="V2" s="242"/>
      <c r="W2" s="243"/>
      <c r="X2" s="243"/>
      <c r="Y2" s="243"/>
      <c r="Z2" s="243"/>
      <c r="AA2" s="243"/>
      <c r="AB2" s="243"/>
      <c r="AC2" s="243"/>
      <c r="AD2" s="243"/>
      <c r="AE2" s="243"/>
      <c r="AF2" s="243"/>
      <c r="AG2" s="208"/>
      <c r="AH2" s="208"/>
      <c r="AI2" s="208"/>
      <c r="AJ2" s="208"/>
      <c r="AK2" s="208"/>
      <c r="AL2" s="208"/>
      <c r="AM2" s="208"/>
      <c r="AN2" s="208"/>
    </row>
    <row r="3">
      <c r="A3" s="314"/>
      <c r="B3" s="238"/>
      <c r="C3" s="96"/>
      <c r="D3" s="212"/>
      <c r="E3" s="96"/>
      <c r="F3" s="212"/>
      <c r="G3" s="212"/>
      <c r="H3" s="28"/>
      <c r="I3" s="28"/>
      <c r="J3" s="239"/>
      <c r="K3" s="240"/>
      <c r="L3" s="241"/>
      <c r="M3" s="240"/>
      <c r="N3" s="136"/>
      <c r="O3" s="239"/>
      <c r="P3" s="239"/>
      <c r="Q3" s="214"/>
      <c r="R3" s="214"/>
      <c r="S3" s="101"/>
      <c r="T3" s="222"/>
      <c r="U3" s="242"/>
      <c r="V3" s="242"/>
      <c r="W3" s="243"/>
      <c r="X3" s="243"/>
      <c r="Y3" s="243"/>
      <c r="Z3" s="243"/>
      <c r="AA3" s="243"/>
      <c r="AB3" s="243"/>
      <c r="AC3" s="243"/>
      <c r="AD3" s="243"/>
      <c r="AE3" s="243"/>
      <c r="AF3" s="243"/>
      <c r="AG3" s="208"/>
      <c r="AH3" s="208"/>
      <c r="AI3" s="208"/>
      <c r="AJ3" s="208"/>
      <c r="AK3" s="208"/>
      <c r="AL3" s="208"/>
      <c r="AM3" s="208"/>
      <c r="AN3" s="208"/>
    </row>
    <row r="4">
      <c r="A4" s="314"/>
      <c r="B4" s="238"/>
      <c r="C4" s="96"/>
      <c r="D4" s="212"/>
      <c r="E4" s="96"/>
      <c r="F4" s="212"/>
      <c r="G4" s="212"/>
      <c r="H4" s="28"/>
      <c r="I4" s="28"/>
      <c r="J4" s="239"/>
      <c r="K4" s="240"/>
      <c r="L4" s="241"/>
      <c r="M4" s="240"/>
      <c r="N4" s="136"/>
      <c r="O4" s="239"/>
      <c r="P4" s="239"/>
      <c r="Q4" s="214"/>
      <c r="R4" s="214"/>
      <c r="S4" s="101"/>
      <c r="T4" s="222"/>
      <c r="U4" s="242"/>
      <c r="V4" s="242"/>
      <c r="W4" s="243"/>
      <c r="X4" s="243"/>
      <c r="Y4" s="243"/>
      <c r="Z4" s="243"/>
      <c r="AA4" s="243"/>
      <c r="AB4" s="243"/>
      <c r="AC4" s="243"/>
      <c r="AD4" s="243"/>
      <c r="AE4" s="243"/>
      <c r="AF4" s="243"/>
      <c r="AG4" s="208"/>
      <c r="AH4" s="208"/>
      <c r="AI4" s="208"/>
      <c r="AJ4" s="208"/>
      <c r="AK4" s="208"/>
      <c r="AL4" s="208"/>
      <c r="AM4" s="208"/>
      <c r="AN4" s="208"/>
    </row>
    <row r="5">
      <c r="A5" s="314"/>
      <c r="B5" s="238"/>
      <c r="C5" s="96"/>
      <c r="D5" s="212"/>
      <c r="E5" s="96"/>
      <c r="F5" s="212"/>
      <c r="G5" s="212"/>
      <c r="H5" s="28"/>
      <c r="I5" s="28"/>
      <c r="J5" s="239"/>
      <c r="K5" s="240"/>
      <c r="L5" s="241"/>
      <c r="M5" s="240"/>
      <c r="N5" s="136"/>
      <c r="O5" s="239"/>
      <c r="P5" s="239"/>
      <c r="Q5" s="214"/>
      <c r="R5" s="214"/>
      <c r="S5" s="101"/>
      <c r="T5" s="222"/>
      <c r="U5" s="242"/>
      <c r="V5" s="242"/>
      <c r="W5" s="243"/>
      <c r="X5" s="243"/>
      <c r="Y5" s="243"/>
      <c r="Z5" s="243"/>
      <c r="AA5" s="243"/>
      <c r="AB5" s="243"/>
      <c r="AC5" s="243"/>
      <c r="AD5" s="243"/>
      <c r="AE5" s="243"/>
      <c r="AF5" s="243"/>
      <c r="AG5" s="208"/>
      <c r="AH5" s="208"/>
      <c r="AI5" s="208"/>
      <c r="AJ5" s="208"/>
      <c r="AK5" s="208"/>
      <c r="AL5" s="208"/>
      <c r="AM5" s="208"/>
      <c r="AN5" s="208"/>
    </row>
    <row r="6">
      <c r="A6" s="314"/>
      <c r="B6" s="238"/>
      <c r="C6" s="96"/>
      <c r="D6" s="212"/>
      <c r="E6" s="96"/>
      <c r="F6" s="212"/>
      <c r="G6" s="212"/>
      <c r="H6" s="28"/>
      <c r="I6" s="28"/>
      <c r="J6" s="239"/>
      <c r="K6" s="240"/>
      <c r="L6" s="241"/>
      <c r="M6" s="240"/>
      <c r="N6" s="136"/>
      <c r="O6" s="239"/>
      <c r="P6" s="239"/>
      <c r="Q6" s="214"/>
      <c r="R6" s="214"/>
      <c r="S6" s="101"/>
      <c r="T6" s="222"/>
      <c r="U6" s="242"/>
      <c r="V6" s="242"/>
      <c r="W6" s="243"/>
      <c r="X6" s="243"/>
      <c r="Y6" s="243"/>
      <c r="Z6" s="243"/>
      <c r="AA6" s="243"/>
      <c r="AB6" s="243"/>
      <c r="AC6" s="243"/>
      <c r="AD6" s="243"/>
      <c r="AE6" s="243"/>
      <c r="AF6" s="243"/>
      <c r="AG6" s="208"/>
      <c r="AH6" s="208"/>
      <c r="AI6" s="208"/>
      <c r="AJ6" s="208"/>
      <c r="AK6" s="208"/>
      <c r="AL6" s="208"/>
      <c r="AM6" s="208"/>
      <c r="AN6" s="208"/>
    </row>
    <row r="7">
      <c r="A7" s="314"/>
      <c r="B7" s="238"/>
      <c r="C7" s="96"/>
      <c r="D7" s="212"/>
      <c r="E7" s="96"/>
      <c r="F7" s="212"/>
      <c r="G7" s="212"/>
      <c r="H7" s="28"/>
      <c r="I7" s="28"/>
      <c r="J7" s="239"/>
      <c r="K7" s="240"/>
      <c r="L7" s="241"/>
      <c r="M7" s="240"/>
      <c r="N7" s="136"/>
      <c r="O7" s="239"/>
      <c r="P7" s="239"/>
      <c r="Q7" s="214"/>
      <c r="R7" s="214"/>
      <c r="S7" s="101"/>
      <c r="T7" s="222"/>
      <c r="U7" s="242"/>
      <c r="V7" s="242"/>
      <c r="W7" s="243"/>
      <c r="X7" s="243"/>
      <c r="Y7" s="243"/>
      <c r="Z7" s="243"/>
      <c r="AA7" s="243"/>
      <c r="AB7" s="243"/>
      <c r="AC7" s="243"/>
      <c r="AD7" s="243"/>
      <c r="AE7" s="243"/>
      <c r="AF7" s="243"/>
      <c r="AG7" s="208"/>
      <c r="AH7" s="208"/>
      <c r="AI7" s="208"/>
      <c r="AJ7" s="208"/>
      <c r="AK7" s="208"/>
      <c r="AL7" s="208"/>
      <c r="AM7" s="208"/>
      <c r="AN7" s="208"/>
    </row>
    <row r="8">
      <c r="A8" s="314"/>
      <c r="B8" s="238"/>
      <c r="C8" s="96"/>
      <c r="D8" s="212"/>
      <c r="E8" s="96"/>
      <c r="F8" s="212"/>
      <c r="G8" s="212"/>
      <c r="H8" s="28"/>
      <c r="I8" s="28"/>
      <c r="J8" s="239"/>
      <c r="K8" s="240"/>
      <c r="L8" s="241"/>
      <c r="M8" s="240"/>
      <c r="N8" s="136"/>
      <c r="O8" s="239"/>
      <c r="P8" s="239"/>
      <c r="Q8" s="214"/>
      <c r="R8" s="214"/>
      <c r="S8" s="101"/>
      <c r="T8" s="222"/>
      <c r="U8" s="242"/>
      <c r="V8" s="242"/>
      <c r="W8" s="243"/>
      <c r="X8" s="243"/>
      <c r="Y8" s="243"/>
      <c r="Z8" s="243"/>
      <c r="AA8" s="243"/>
      <c r="AB8" s="243"/>
      <c r="AC8" s="243"/>
      <c r="AD8" s="243"/>
      <c r="AE8" s="243"/>
      <c r="AF8" s="243"/>
      <c r="AG8" s="208"/>
      <c r="AH8" s="208"/>
      <c r="AI8" s="208"/>
      <c r="AJ8" s="208"/>
      <c r="AK8" s="208"/>
      <c r="AL8" s="208"/>
      <c r="AM8" s="208"/>
      <c r="AN8" s="208"/>
    </row>
    <row r="9">
      <c r="A9" s="314"/>
      <c r="B9" s="238"/>
      <c r="C9" s="96"/>
      <c r="D9" s="212"/>
      <c r="E9" s="96"/>
      <c r="F9" s="212"/>
      <c r="G9" s="212"/>
      <c r="H9" s="28"/>
      <c r="I9" s="28"/>
      <c r="J9" s="239"/>
      <c r="K9" s="240"/>
      <c r="L9" s="241"/>
      <c r="M9" s="240"/>
      <c r="N9" s="136"/>
      <c r="O9" s="239"/>
      <c r="P9" s="239"/>
      <c r="Q9" s="214"/>
      <c r="R9" s="214"/>
      <c r="S9" s="101"/>
      <c r="T9" s="222"/>
      <c r="U9" s="242"/>
      <c r="V9" s="242"/>
      <c r="W9" s="243"/>
      <c r="X9" s="243"/>
      <c r="Y9" s="243"/>
      <c r="Z9" s="243"/>
      <c r="AA9" s="243"/>
      <c r="AB9" s="243"/>
      <c r="AC9" s="243"/>
      <c r="AD9" s="243"/>
      <c r="AE9" s="243"/>
      <c r="AF9" s="243"/>
      <c r="AG9" s="208"/>
      <c r="AH9" s="208"/>
      <c r="AI9" s="208"/>
      <c r="AJ9" s="208"/>
      <c r="AK9" s="208"/>
      <c r="AL9" s="208"/>
      <c r="AM9" s="208"/>
      <c r="AN9" s="208"/>
    </row>
    <row r="10">
      <c r="A10" s="314"/>
      <c r="B10" s="238"/>
      <c r="C10" s="96"/>
      <c r="D10" s="212"/>
      <c r="E10" s="96"/>
      <c r="F10" s="212"/>
      <c r="G10" s="212"/>
      <c r="H10" s="28"/>
      <c r="I10" s="28"/>
      <c r="J10" s="239"/>
      <c r="K10" s="240"/>
      <c r="L10" s="241"/>
      <c r="M10" s="240"/>
      <c r="N10" s="136"/>
      <c r="O10" s="239"/>
      <c r="P10" s="239"/>
      <c r="Q10" s="214"/>
      <c r="R10" s="214"/>
      <c r="S10" s="101"/>
      <c r="T10" s="222"/>
      <c r="U10" s="242"/>
      <c r="V10" s="242"/>
      <c r="W10" s="243"/>
      <c r="X10" s="243"/>
      <c r="Y10" s="243"/>
      <c r="Z10" s="243"/>
      <c r="AA10" s="243"/>
      <c r="AB10" s="243"/>
      <c r="AC10" s="243"/>
      <c r="AD10" s="243"/>
      <c r="AE10" s="243"/>
      <c r="AF10" s="243"/>
      <c r="AG10" s="208"/>
      <c r="AH10" s="208"/>
      <c r="AI10" s="208"/>
      <c r="AJ10" s="208"/>
      <c r="AK10" s="208"/>
      <c r="AL10" s="315"/>
      <c r="AM10" s="315"/>
      <c r="AN10" s="315"/>
    </row>
    <row r="11">
      <c r="A11" s="314"/>
      <c r="B11" s="238"/>
      <c r="C11" s="96"/>
      <c r="D11" s="212"/>
      <c r="E11" s="96"/>
      <c r="F11" s="212"/>
      <c r="G11" s="212"/>
      <c r="H11" s="28"/>
      <c r="I11" s="28"/>
      <c r="J11" s="239"/>
      <c r="K11" s="240"/>
      <c r="L11" s="241"/>
      <c r="M11" s="240"/>
      <c r="N11" s="136"/>
      <c r="O11" s="239"/>
      <c r="P11" s="239"/>
      <c r="Q11" s="214"/>
      <c r="R11" s="214"/>
      <c r="S11" s="101"/>
      <c r="T11" s="222"/>
      <c r="U11" s="242"/>
      <c r="V11" s="242"/>
      <c r="W11" s="243"/>
      <c r="X11" s="243"/>
      <c r="Y11" s="243"/>
      <c r="Z11" s="243"/>
      <c r="AA11" s="243"/>
      <c r="AB11" s="243"/>
      <c r="AC11" s="243"/>
      <c r="AD11" s="243"/>
      <c r="AE11" s="243"/>
      <c r="AF11" s="243"/>
      <c r="AG11" s="208"/>
      <c r="AH11" s="208"/>
      <c r="AI11" s="208"/>
      <c r="AJ11" s="208"/>
      <c r="AK11" s="208"/>
      <c r="AL11" s="315"/>
      <c r="AM11" s="315"/>
      <c r="AN11" s="315"/>
    </row>
    <row r="12">
      <c r="A12" s="314"/>
      <c r="B12" s="238"/>
      <c r="C12" s="96"/>
      <c r="D12" s="212"/>
      <c r="E12" s="96"/>
      <c r="F12" s="212"/>
      <c r="G12" s="212"/>
      <c r="H12" s="28"/>
      <c r="I12" s="28"/>
      <c r="J12" s="239"/>
      <c r="K12" s="240"/>
      <c r="L12" s="241"/>
      <c r="M12" s="240"/>
      <c r="N12" s="136"/>
      <c r="O12" s="239"/>
      <c r="P12" s="239"/>
      <c r="Q12" s="214"/>
      <c r="R12" s="214"/>
      <c r="S12" s="101"/>
      <c r="T12" s="222"/>
      <c r="U12" s="242"/>
      <c r="V12" s="242"/>
      <c r="W12" s="243"/>
      <c r="X12" s="243"/>
      <c r="Y12" s="243"/>
      <c r="Z12" s="243"/>
      <c r="AA12" s="243"/>
      <c r="AB12" s="243"/>
      <c r="AC12" s="243"/>
      <c r="AD12" s="243"/>
      <c r="AE12" s="243"/>
      <c r="AF12" s="243"/>
      <c r="AG12" s="208"/>
      <c r="AH12" s="208"/>
      <c r="AI12" s="208"/>
      <c r="AJ12" s="208"/>
      <c r="AK12" s="208"/>
      <c r="AL12" s="315"/>
      <c r="AM12" s="315"/>
      <c r="AN12" s="315"/>
    </row>
    <row r="13">
      <c r="A13" s="314"/>
      <c r="B13" s="238"/>
      <c r="C13" s="96"/>
      <c r="D13" s="212"/>
      <c r="E13" s="96"/>
      <c r="F13" s="212"/>
      <c r="G13" s="212"/>
      <c r="H13" s="28"/>
      <c r="I13" s="28"/>
      <c r="J13" s="239"/>
      <c r="K13" s="240"/>
      <c r="L13" s="241"/>
      <c r="M13" s="240"/>
      <c r="N13" s="136"/>
      <c r="O13" s="239"/>
      <c r="P13" s="239"/>
      <c r="Q13" s="214"/>
      <c r="R13" s="214"/>
      <c r="S13" s="101"/>
      <c r="T13" s="222"/>
      <c r="U13" s="242"/>
      <c r="V13" s="242"/>
      <c r="W13" s="243"/>
      <c r="X13" s="243"/>
      <c r="Y13" s="243"/>
      <c r="Z13" s="243"/>
      <c r="AA13" s="243"/>
      <c r="AB13" s="243"/>
      <c r="AC13" s="243"/>
      <c r="AD13" s="243"/>
      <c r="AE13" s="243"/>
      <c r="AF13" s="243"/>
      <c r="AG13" s="208"/>
      <c r="AH13" s="208"/>
      <c r="AI13" s="208"/>
      <c r="AJ13" s="208"/>
      <c r="AK13" s="208"/>
      <c r="AL13" s="315"/>
      <c r="AM13" s="315"/>
      <c r="AN13" s="315"/>
    </row>
    <row r="14">
      <c r="A14" s="314"/>
      <c r="B14" s="238"/>
      <c r="C14" s="96"/>
      <c r="D14" s="212"/>
      <c r="E14" s="96"/>
      <c r="F14" s="212"/>
      <c r="G14" s="212"/>
      <c r="H14" s="28"/>
      <c r="I14" s="28"/>
      <c r="J14" s="239"/>
      <c r="K14" s="240"/>
      <c r="L14" s="241"/>
      <c r="M14" s="240"/>
      <c r="N14" s="136"/>
      <c r="O14" s="239"/>
      <c r="P14" s="239"/>
      <c r="Q14" s="214"/>
      <c r="R14" s="214"/>
      <c r="S14" s="101"/>
      <c r="T14" s="222"/>
      <c r="U14" s="242"/>
      <c r="V14" s="242"/>
      <c r="W14" s="243"/>
      <c r="X14" s="243"/>
      <c r="Y14" s="243"/>
      <c r="Z14" s="243"/>
      <c r="AA14" s="243"/>
      <c r="AB14" s="243"/>
      <c r="AC14" s="243"/>
      <c r="AD14" s="243"/>
      <c r="AE14" s="243"/>
      <c r="AF14" s="243"/>
      <c r="AG14" s="208"/>
      <c r="AH14" s="208"/>
      <c r="AI14" s="208"/>
      <c r="AJ14" s="208"/>
      <c r="AK14" s="208"/>
      <c r="AL14" s="315"/>
      <c r="AM14" s="315"/>
      <c r="AN14" s="315"/>
    </row>
    <row r="15">
      <c r="A15" s="314"/>
      <c r="B15" s="238"/>
      <c r="C15" s="96"/>
      <c r="D15" s="212"/>
      <c r="E15" s="96"/>
      <c r="F15" s="212"/>
      <c r="G15" s="212"/>
      <c r="H15" s="28"/>
      <c r="I15" s="28"/>
      <c r="J15" s="239"/>
      <c r="K15" s="240"/>
      <c r="L15" s="241"/>
      <c r="M15" s="240"/>
      <c r="N15" s="136"/>
      <c r="O15" s="239"/>
      <c r="P15" s="239"/>
      <c r="Q15" s="214"/>
      <c r="R15" s="214"/>
      <c r="S15" s="101"/>
      <c r="T15" s="222"/>
      <c r="U15" s="242"/>
      <c r="V15" s="242"/>
      <c r="W15" s="243"/>
      <c r="X15" s="243"/>
      <c r="Y15" s="243"/>
      <c r="Z15" s="243"/>
      <c r="AA15" s="243"/>
      <c r="AB15" s="243"/>
      <c r="AC15" s="243"/>
      <c r="AD15" s="243"/>
      <c r="AE15" s="243"/>
      <c r="AF15" s="243"/>
      <c r="AG15" s="208"/>
      <c r="AH15" s="208"/>
      <c r="AI15" s="208"/>
      <c r="AJ15" s="208"/>
      <c r="AK15" s="208"/>
      <c r="AL15" s="315"/>
      <c r="AM15" s="315"/>
      <c r="AN15" s="315"/>
    </row>
    <row r="16">
      <c r="A16" s="314"/>
      <c r="B16" s="238"/>
      <c r="C16" s="96"/>
      <c r="D16" s="212"/>
      <c r="E16" s="96"/>
      <c r="F16" s="212"/>
      <c r="G16" s="212"/>
      <c r="H16" s="28"/>
      <c r="I16" s="28"/>
      <c r="J16" s="239"/>
      <c r="K16" s="240"/>
      <c r="L16" s="241"/>
      <c r="M16" s="240"/>
      <c r="N16" s="136"/>
      <c r="O16" s="239"/>
      <c r="P16" s="239"/>
      <c r="Q16" s="214"/>
      <c r="R16" s="214"/>
      <c r="S16" s="101"/>
      <c r="T16" s="222"/>
      <c r="U16" s="242"/>
      <c r="V16" s="242"/>
      <c r="W16" s="243"/>
      <c r="X16" s="243"/>
      <c r="Y16" s="243"/>
      <c r="Z16" s="243"/>
      <c r="AA16" s="243"/>
      <c r="AB16" s="243"/>
      <c r="AC16" s="243"/>
      <c r="AD16" s="243"/>
      <c r="AE16" s="243"/>
      <c r="AF16" s="243"/>
      <c r="AG16" s="208"/>
      <c r="AH16" s="208"/>
      <c r="AI16" s="208"/>
      <c r="AJ16" s="208"/>
      <c r="AK16" s="208"/>
      <c r="AL16" s="315"/>
      <c r="AM16" s="315"/>
      <c r="AN16" s="315"/>
    </row>
    <row r="17">
      <c r="A17" s="314"/>
      <c r="B17" s="238"/>
      <c r="C17" s="96"/>
      <c r="D17" s="212"/>
      <c r="E17" s="96"/>
      <c r="F17" s="212"/>
      <c r="G17" s="212"/>
      <c r="H17" s="28"/>
      <c r="I17" s="28"/>
      <c r="J17" s="239"/>
      <c r="K17" s="240"/>
      <c r="L17" s="241"/>
      <c r="M17" s="240"/>
      <c r="N17" s="136"/>
      <c r="O17" s="239"/>
      <c r="P17" s="239"/>
      <c r="Q17" s="214"/>
      <c r="R17" s="214"/>
      <c r="S17" s="101"/>
      <c r="T17" s="222"/>
      <c r="U17" s="242"/>
      <c r="V17" s="242"/>
      <c r="W17" s="243"/>
      <c r="X17" s="243"/>
      <c r="Y17" s="243"/>
      <c r="Z17" s="243"/>
      <c r="AA17" s="243"/>
      <c r="AB17" s="243"/>
      <c r="AC17" s="243"/>
      <c r="AD17" s="243"/>
      <c r="AE17" s="243"/>
      <c r="AF17" s="243"/>
      <c r="AG17" s="208"/>
      <c r="AH17" s="208"/>
      <c r="AI17" s="208"/>
      <c r="AJ17" s="208"/>
      <c r="AK17" s="208"/>
      <c r="AL17" s="315"/>
      <c r="AM17" s="315"/>
      <c r="AN17" s="315"/>
    </row>
    <row r="18">
      <c r="A18" s="314"/>
      <c r="B18" s="238"/>
      <c r="C18" s="96"/>
      <c r="D18" s="212"/>
      <c r="E18" s="96"/>
      <c r="F18" s="212"/>
      <c r="G18" s="212"/>
      <c r="H18" s="28"/>
      <c r="I18" s="28"/>
      <c r="J18" s="239"/>
      <c r="K18" s="240"/>
      <c r="L18" s="241"/>
      <c r="M18" s="240"/>
      <c r="N18" s="136"/>
      <c r="O18" s="239"/>
      <c r="P18" s="239"/>
      <c r="Q18" s="214"/>
      <c r="R18" s="214"/>
      <c r="S18" s="101"/>
      <c r="T18" s="222"/>
      <c r="U18" s="242"/>
      <c r="V18" s="242"/>
      <c r="W18" s="243"/>
      <c r="X18" s="243"/>
      <c r="Y18" s="243"/>
      <c r="Z18" s="243"/>
      <c r="AA18" s="243"/>
      <c r="AB18" s="243"/>
      <c r="AC18" s="243"/>
      <c r="AD18" s="243"/>
      <c r="AE18" s="243"/>
      <c r="AF18" s="243"/>
      <c r="AG18" s="208"/>
      <c r="AH18" s="208"/>
      <c r="AI18" s="208"/>
      <c r="AJ18" s="208"/>
      <c r="AK18" s="208"/>
      <c r="AL18" s="315"/>
      <c r="AM18" s="315"/>
      <c r="AN18" s="315"/>
    </row>
    <row r="19">
      <c r="A19" s="314"/>
      <c r="B19" s="238"/>
      <c r="C19" s="96"/>
      <c r="D19" s="212"/>
      <c r="E19" s="96"/>
      <c r="F19" s="212"/>
      <c r="G19" s="212"/>
      <c r="H19" s="28"/>
      <c r="I19" s="28"/>
      <c r="J19" s="239"/>
      <c r="K19" s="240"/>
      <c r="L19" s="241"/>
      <c r="M19" s="240"/>
      <c r="N19" s="136"/>
      <c r="O19" s="239"/>
      <c r="P19" s="239"/>
      <c r="Q19" s="214"/>
      <c r="R19" s="214"/>
      <c r="S19" s="101"/>
      <c r="T19" s="222"/>
      <c r="U19" s="242"/>
      <c r="V19" s="242"/>
      <c r="W19" s="243"/>
      <c r="X19" s="243"/>
      <c r="Y19" s="243"/>
      <c r="Z19" s="243"/>
      <c r="AA19" s="243"/>
      <c r="AB19" s="243"/>
      <c r="AC19" s="243"/>
      <c r="AD19" s="243"/>
      <c r="AE19" s="243"/>
      <c r="AF19" s="243"/>
      <c r="AG19" s="208"/>
      <c r="AH19" s="208"/>
      <c r="AI19" s="208"/>
      <c r="AJ19" s="208"/>
      <c r="AK19" s="208"/>
      <c r="AL19" s="315"/>
      <c r="AM19" s="315"/>
      <c r="AN19" s="315"/>
    </row>
    <row r="20">
      <c r="A20" s="314"/>
      <c r="B20" s="238"/>
      <c r="C20" s="96"/>
      <c r="D20" s="212"/>
      <c r="E20" s="96"/>
      <c r="F20" s="212"/>
      <c r="G20" s="212"/>
      <c r="H20" s="28"/>
      <c r="I20" s="28"/>
      <c r="J20" s="239"/>
      <c r="K20" s="240"/>
      <c r="L20" s="241"/>
      <c r="M20" s="240"/>
      <c r="N20" s="136"/>
      <c r="O20" s="239"/>
      <c r="P20" s="239"/>
      <c r="Q20" s="214"/>
      <c r="R20" s="214"/>
      <c r="S20" s="101"/>
      <c r="T20" s="222"/>
      <c r="U20" s="242"/>
      <c r="V20" s="242"/>
      <c r="W20" s="243"/>
      <c r="X20" s="243"/>
      <c r="Y20" s="243"/>
      <c r="Z20" s="243"/>
      <c r="AA20" s="243"/>
      <c r="AB20" s="243"/>
      <c r="AC20" s="243"/>
      <c r="AD20" s="243"/>
      <c r="AE20" s="243"/>
      <c r="AF20" s="243"/>
      <c r="AG20" s="208"/>
      <c r="AH20" s="208"/>
      <c r="AI20" s="208"/>
      <c r="AJ20" s="208"/>
      <c r="AK20" s="208"/>
      <c r="AL20" s="315"/>
      <c r="AM20" s="315"/>
      <c r="AN20" s="315"/>
    </row>
    <row r="21">
      <c r="A21" s="314"/>
      <c r="B21" s="238"/>
      <c r="C21" s="96"/>
      <c r="D21" s="212"/>
      <c r="E21" s="96"/>
      <c r="F21" s="212"/>
      <c r="G21" s="212"/>
      <c r="H21" s="28"/>
      <c r="I21" s="28"/>
      <c r="J21" s="239"/>
      <c r="K21" s="240"/>
      <c r="L21" s="241"/>
      <c r="M21" s="240"/>
      <c r="N21" s="136"/>
      <c r="O21" s="239"/>
      <c r="P21" s="239"/>
      <c r="Q21" s="214"/>
      <c r="R21" s="214"/>
      <c r="S21" s="101"/>
      <c r="T21" s="222"/>
      <c r="U21" s="242"/>
      <c r="V21" s="242"/>
      <c r="W21" s="243"/>
      <c r="X21" s="243"/>
      <c r="Y21" s="243"/>
      <c r="Z21" s="243"/>
      <c r="AA21" s="243"/>
      <c r="AB21" s="243"/>
      <c r="AC21" s="243"/>
      <c r="AD21" s="243"/>
      <c r="AE21" s="243"/>
      <c r="AF21" s="243"/>
      <c r="AG21" s="208"/>
      <c r="AH21" s="208"/>
      <c r="AI21" s="208"/>
      <c r="AJ21" s="208"/>
      <c r="AK21" s="208"/>
      <c r="AL21" s="315"/>
      <c r="AM21" s="315"/>
      <c r="AN21" s="315"/>
    </row>
    <row r="22">
      <c r="A22" s="314"/>
      <c r="B22" s="238"/>
      <c r="C22" s="96"/>
      <c r="D22" s="212"/>
      <c r="E22" s="96"/>
      <c r="F22" s="212"/>
      <c r="G22" s="212"/>
      <c r="H22" s="28"/>
      <c r="I22" s="28"/>
      <c r="J22" s="239"/>
      <c r="K22" s="240"/>
      <c r="L22" s="241"/>
      <c r="M22" s="240"/>
      <c r="N22" s="136"/>
      <c r="O22" s="239"/>
      <c r="P22" s="239"/>
      <c r="Q22" s="214"/>
      <c r="R22" s="214"/>
      <c r="S22" s="101"/>
      <c r="T22" s="222"/>
      <c r="U22" s="242"/>
      <c r="V22" s="242"/>
      <c r="W22" s="243"/>
      <c r="X22" s="243"/>
      <c r="Y22" s="243"/>
      <c r="Z22" s="243"/>
      <c r="AA22" s="243"/>
      <c r="AB22" s="243"/>
      <c r="AC22" s="243"/>
      <c r="AD22" s="243"/>
      <c r="AE22" s="243"/>
      <c r="AF22" s="243"/>
      <c r="AG22" s="208"/>
      <c r="AH22" s="208"/>
      <c r="AI22" s="208"/>
      <c r="AJ22" s="208"/>
      <c r="AK22" s="208"/>
      <c r="AL22" s="315"/>
      <c r="AM22" s="315"/>
      <c r="AN22" s="315"/>
    </row>
    <row r="23">
      <c r="A23" s="314"/>
      <c r="B23" s="238"/>
      <c r="C23" s="96"/>
      <c r="D23" s="212"/>
      <c r="E23" s="96"/>
      <c r="F23" s="212"/>
      <c r="G23" s="212"/>
      <c r="H23" s="28"/>
      <c r="I23" s="28"/>
      <c r="J23" s="239"/>
      <c r="K23" s="240"/>
      <c r="L23" s="241"/>
      <c r="M23" s="240"/>
      <c r="N23" s="136"/>
      <c r="O23" s="239"/>
      <c r="P23" s="239"/>
      <c r="Q23" s="214"/>
      <c r="R23" s="214"/>
      <c r="S23" s="101"/>
      <c r="T23" s="222"/>
      <c r="U23" s="242"/>
      <c r="V23" s="242"/>
      <c r="W23" s="243"/>
      <c r="X23" s="243"/>
      <c r="Y23" s="243"/>
      <c r="Z23" s="243"/>
      <c r="AA23" s="243"/>
      <c r="AB23" s="243"/>
      <c r="AC23" s="243"/>
      <c r="AD23" s="243"/>
      <c r="AE23" s="243"/>
      <c r="AF23" s="243"/>
      <c r="AG23" s="208"/>
      <c r="AH23" s="208"/>
      <c r="AI23" s="208"/>
      <c r="AJ23" s="208"/>
      <c r="AK23" s="208"/>
      <c r="AL23" s="315"/>
      <c r="AM23" s="315"/>
      <c r="AN23" s="315"/>
    </row>
    <row r="24">
      <c r="A24" s="314"/>
      <c r="B24" s="238"/>
      <c r="C24" s="96"/>
      <c r="D24" s="212"/>
      <c r="E24" s="96"/>
      <c r="F24" s="212"/>
      <c r="G24" s="212"/>
      <c r="H24" s="28"/>
      <c r="I24" s="28"/>
      <c r="J24" s="239"/>
      <c r="K24" s="240"/>
      <c r="L24" s="241"/>
      <c r="M24" s="240"/>
      <c r="N24" s="136"/>
      <c r="O24" s="239"/>
      <c r="P24" s="239"/>
      <c r="Q24" s="214"/>
      <c r="R24" s="214"/>
      <c r="S24" s="101"/>
      <c r="T24" s="222"/>
      <c r="U24" s="242"/>
      <c r="V24" s="242"/>
      <c r="W24" s="243"/>
      <c r="X24" s="243"/>
      <c r="Y24" s="243"/>
      <c r="Z24" s="243"/>
      <c r="AA24" s="243"/>
      <c r="AB24" s="243"/>
      <c r="AC24" s="243"/>
      <c r="AD24" s="243"/>
      <c r="AE24" s="243"/>
      <c r="AF24" s="243"/>
      <c r="AG24" s="208"/>
      <c r="AH24" s="208"/>
      <c r="AI24" s="208"/>
      <c r="AJ24" s="208"/>
      <c r="AK24" s="208"/>
      <c r="AL24" s="315"/>
      <c r="AM24" s="315"/>
      <c r="AN24" s="315"/>
    </row>
    <row r="25">
      <c r="A25" s="314"/>
      <c r="B25" s="238"/>
      <c r="C25" s="96"/>
      <c r="D25" s="212"/>
      <c r="E25" s="96"/>
      <c r="F25" s="212"/>
      <c r="G25" s="212"/>
      <c r="H25" s="28"/>
      <c r="I25" s="28"/>
      <c r="J25" s="239"/>
      <c r="K25" s="240"/>
      <c r="L25" s="241"/>
      <c r="M25" s="240"/>
      <c r="N25" s="136"/>
      <c r="O25" s="239"/>
      <c r="P25" s="239"/>
      <c r="Q25" s="214"/>
      <c r="R25" s="214"/>
      <c r="S25" s="101"/>
      <c r="T25" s="222"/>
      <c r="U25" s="242"/>
      <c r="V25" s="242"/>
      <c r="W25" s="243"/>
      <c r="X25" s="243"/>
      <c r="Y25" s="243"/>
      <c r="Z25" s="243"/>
      <c r="AA25" s="243"/>
      <c r="AB25" s="243"/>
      <c r="AC25" s="243"/>
      <c r="AD25" s="243"/>
      <c r="AE25" s="243"/>
      <c r="AF25" s="243"/>
      <c r="AG25" s="208"/>
      <c r="AH25" s="208"/>
      <c r="AI25" s="208"/>
      <c r="AJ25" s="208"/>
      <c r="AK25" s="208"/>
      <c r="AL25" s="315"/>
      <c r="AM25" s="315"/>
      <c r="AN25" s="315"/>
    </row>
    <row r="26">
      <c r="A26" s="314"/>
      <c r="B26" s="238"/>
      <c r="C26" s="96"/>
      <c r="D26" s="212"/>
      <c r="E26" s="96"/>
      <c r="F26" s="212"/>
      <c r="G26" s="212"/>
      <c r="H26" s="28"/>
      <c r="I26" s="28"/>
      <c r="J26" s="239"/>
      <c r="K26" s="240"/>
      <c r="L26" s="241"/>
      <c r="M26" s="240"/>
      <c r="N26" s="136"/>
      <c r="O26" s="239"/>
      <c r="P26" s="239"/>
      <c r="Q26" s="214"/>
      <c r="R26" s="214"/>
      <c r="S26" s="101"/>
      <c r="T26" s="222"/>
      <c r="U26" s="242"/>
      <c r="V26" s="242"/>
      <c r="W26" s="243"/>
      <c r="X26" s="243"/>
      <c r="Y26" s="243"/>
      <c r="Z26" s="243"/>
      <c r="AA26" s="243"/>
      <c r="AB26" s="243"/>
      <c r="AC26" s="243"/>
      <c r="AD26" s="243"/>
      <c r="AE26" s="243"/>
      <c r="AF26" s="243"/>
      <c r="AG26" s="208"/>
      <c r="AH26" s="208"/>
      <c r="AI26" s="208"/>
      <c r="AJ26" s="208"/>
      <c r="AK26" s="208"/>
      <c r="AL26" s="315"/>
      <c r="AM26" s="315"/>
      <c r="AN26" s="315"/>
    </row>
    <row r="27">
      <c r="A27" s="314"/>
      <c r="B27" s="238"/>
      <c r="C27" s="96"/>
      <c r="D27" s="212"/>
      <c r="E27" s="96"/>
      <c r="F27" s="212"/>
      <c r="G27" s="212"/>
      <c r="H27" s="28"/>
      <c r="I27" s="28"/>
      <c r="J27" s="239"/>
      <c r="K27" s="240"/>
      <c r="L27" s="241"/>
      <c r="M27" s="240"/>
      <c r="N27" s="136"/>
      <c r="O27" s="239"/>
      <c r="P27" s="239"/>
      <c r="Q27" s="214"/>
      <c r="R27" s="214"/>
      <c r="S27" s="101"/>
      <c r="T27" s="222"/>
      <c r="U27" s="242"/>
      <c r="V27" s="242"/>
      <c r="W27" s="243"/>
      <c r="X27" s="243"/>
      <c r="Y27" s="243"/>
      <c r="Z27" s="243"/>
      <c r="AA27" s="243"/>
      <c r="AB27" s="243"/>
      <c r="AC27" s="243"/>
      <c r="AD27" s="243"/>
      <c r="AE27" s="243"/>
      <c r="AF27" s="243"/>
      <c r="AG27" s="208"/>
      <c r="AH27" s="208"/>
      <c r="AI27" s="208"/>
      <c r="AJ27" s="208"/>
      <c r="AK27" s="208"/>
      <c r="AL27" s="315"/>
      <c r="AM27" s="315"/>
      <c r="AN27" s="315"/>
    </row>
    <row r="28">
      <c r="A28" s="314"/>
      <c r="B28" s="238"/>
      <c r="C28" s="96"/>
      <c r="D28" s="212"/>
      <c r="E28" s="96"/>
      <c r="F28" s="212"/>
      <c r="G28" s="212"/>
      <c r="H28" s="28"/>
      <c r="I28" s="28"/>
      <c r="J28" s="239"/>
      <c r="K28" s="240"/>
      <c r="L28" s="241"/>
      <c r="M28" s="240"/>
      <c r="N28" s="136"/>
      <c r="O28" s="239"/>
      <c r="P28" s="239"/>
      <c r="Q28" s="214"/>
      <c r="R28" s="214"/>
      <c r="S28" s="101"/>
      <c r="T28" s="222"/>
      <c r="U28" s="242"/>
      <c r="V28" s="242"/>
      <c r="W28" s="243"/>
      <c r="X28" s="243"/>
      <c r="Y28" s="243"/>
      <c r="Z28" s="243"/>
      <c r="AA28" s="243"/>
      <c r="AB28" s="243"/>
      <c r="AC28" s="243"/>
      <c r="AD28" s="243"/>
      <c r="AE28" s="243"/>
      <c r="AF28" s="243"/>
      <c r="AG28" s="208"/>
      <c r="AH28" s="208"/>
      <c r="AI28" s="208"/>
      <c r="AJ28" s="208"/>
      <c r="AK28" s="208"/>
      <c r="AL28" s="315"/>
      <c r="AM28" s="315"/>
      <c r="AN28" s="315"/>
    </row>
    <row r="29">
      <c r="A29" s="314"/>
      <c r="B29" s="238"/>
      <c r="C29" s="96"/>
      <c r="D29" s="212"/>
      <c r="E29" s="96"/>
      <c r="F29" s="212"/>
      <c r="G29" s="212"/>
      <c r="H29" s="28"/>
      <c r="I29" s="28"/>
      <c r="J29" s="239"/>
      <c r="K29" s="240"/>
      <c r="L29" s="241"/>
      <c r="M29" s="240"/>
      <c r="N29" s="136"/>
      <c r="O29" s="239"/>
      <c r="P29" s="239"/>
      <c r="Q29" s="214"/>
      <c r="R29" s="214"/>
      <c r="S29" s="101"/>
      <c r="T29" s="222"/>
      <c r="U29" s="242"/>
      <c r="V29" s="242"/>
      <c r="W29" s="243"/>
      <c r="X29" s="243"/>
      <c r="Y29" s="243"/>
      <c r="Z29" s="243"/>
      <c r="AA29" s="243"/>
      <c r="AB29" s="243"/>
      <c r="AC29" s="243"/>
      <c r="AD29" s="243"/>
      <c r="AE29" s="243"/>
      <c r="AF29" s="243"/>
      <c r="AG29" s="208"/>
      <c r="AH29" s="208"/>
      <c r="AI29" s="208"/>
      <c r="AJ29" s="208"/>
      <c r="AK29" s="208"/>
      <c r="AL29" s="315"/>
      <c r="AM29" s="315"/>
      <c r="AN29" s="315"/>
    </row>
    <row r="30">
      <c r="A30" s="314"/>
      <c r="B30" s="238"/>
      <c r="C30" s="96"/>
      <c r="D30" s="212"/>
      <c r="E30" s="96"/>
      <c r="F30" s="212"/>
      <c r="G30" s="212"/>
      <c r="H30" s="28"/>
      <c r="I30" s="28"/>
      <c r="J30" s="239"/>
      <c r="K30" s="240"/>
      <c r="L30" s="241"/>
      <c r="M30" s="240"/>
      <c r="N30" s="136"/>
      <c r="O30" s="239"/>
      <c r="P30" s="239"/>
      <c r="Q30" s="214"/>
      <c r="R30" s="214"/>
      <c r="S30" s="101"/>
      <c r="T30" s="222"/>
      <c r="U30" s="242"/>
      <c r="V30" s="242"/>
      <c r="W30" s="243"/>
      <c r="X30" s="243"/>
      <c r="Y30" s="243"/>
      <c r="Z30" s="243"/>
      <c r="AA30" s="243"/>
      <c r="AB30" s="243"/>
      <c r="AC30" s="243"/>
      <c r="AD30" s="243"/>
      <c r="AE30" s="243"/>
      <c r="AF30" s="243"/>
      <c r="AG30" s="208"/>
      <c r="AH30" s="208"/>
      <c r="AI30" s="208"/>
      <c r="AJ30" s="208"/>
      <c r="AK30" s="208"/>
      <c r="AL30" s="315"/>
      <c r="AM30" s="315"/>
      <c r="AN30" s="315"/>
    </row>
    <row r="31">
      <c r="A31" s="314"/>
      <c r="B31" s="238"/>
      <c r="C31" s="96"/>
      <c r="D31" s="212"/>
      <c r="E31" s="96"/>
      <c r="F31" s="212"/>
      <c r="G31" s="212"/>
      <c r="H31" s="28"/>
      <c r="I31" s="28"/>
      <c r="J31" s="239"/>
      <c r="K31" s="240"/>
      <c r="L31" s="241"/>
      <c r="M31" s="240"/>
      <c r="N31" s="136"/>
      <c r="O31" s="239"/>
      <c r="P31" s="239"/>
      <c r="Q31" s="214"/>
      <c r="R31" s="214"/>
      <c r="S31" s="101"/>
      <c r="T31" s="222"/>
      <c r="U31" s="242"/>
      <c r="V31" s="242"/>
      <c r="W31" s="243"/>
      <c r="X31" s="243"/>
      <c r="Y31" s="243"/>
      <c r="Z31" s="243"/>
      <c r="AA31" s="243"/>
      <c r="AB31" s="243"/>
      <c r="AC31" s="243"/>
      <c r="AD31" s="243"/>
      <c r="AE31" s="243"/>
      <c r="AF31" s="243"/>
      <c r="AG31" s="208"/>
      <c r="AH31" s="208"/>
      <c r="AI31" s="208"/>
      <c r="AJ31" s="208"/>
      <c r="AK31" s="208"/>
      <c r="AL31" s="315"/>
      <c r="AM31" s="315"/>
      <c r="AN31" s="315"/>
    </row>
    <row r="32">
      <c r="A32" s="314"/>
      <c r="B32" s="238"/>
      <c r="C32" s="96"/>
      <c r="D32" s="212"/>
      <c r="E32" s="96"/>
      <c r="F32" s="212"/>
      <c r="G32" s="212"/>
      <c r="H32" s="28"/>
      <c r="I32" s="28"/>
      <c r="J32" s="239"/>
      <c r="K32" s="240"/>
      <c r="L32" s="241"/>
      <c r="M32" s="240"/>
      <c r="N32" s="136"/>
      <c r="O32" s="239"/>
      <c r="P32" s="239"/>
      <c r="Q32" s="214"/>
      <c r="R32" s="214"/>
      <c r="S32" s="101"/>
      <c r="T32" s="222"/>
      <c r="U32" s="242"/>
      <c r="V32" s="242"/>
      <c r="W32" s="243"/>
      <c r="X32" s="243"/>
      <c r="Y32" s="243"/>
      <c r="Z32" s="243"/>
      <c r="AA32" s="243"/>
      <c r="AB32" s="243"/>
      <c r="AC32" s="243"/>
      <c r="AD32" s="243"/>
      <c r="AE32" s="243"/>
      <c r="AF32" s="243"/>
      <c r="AG32" s="208"/>
      <c r="AH32" s="208"/>
      <c r="AI32" s="208"/>
      <c r="AJ32" s="208"/>
      <c r="AK32" s="208"/>
      <c r="AL32" s="315"/>
      <c r="AM32" s="315"/>
      <c r="AN32" s="315"/>
    </row>
    <row r="33">
      <c r="A33" s="314"/>
      <c r="B33" s="238"/>
      <c r="C33" s="96"/>
      <c r="D33" s="212"/>
      <c r="E33" s="96"/>
      <c r="F33" s="212"/>
      <c r="G33" s="212"/>
      <c r="H33" s="28"/>
      <c r="I33" s="28"/>
      <c r="J33" s="239"/>
      <c r="K33" s="240"/>
      <c r="L33" s="241"/>
      <c r="M33" s="240"/>
      <c r="N33" s="136"/>
      <c r="O33" s="239"/>
      <c r="P33" s="239"/>
      <c r="Q33" s="214"/>
      <c r="R33" s="214"/>
      <c r="S33" s="101"/>
      <c r="T33" s="222"/>
      <c r="U33" s="242"/>
      <c r="V33" s="242"/>
      <c r="W33" s="243"/>
      <c r="X33" s="243"/>
      <c r="Y33" s="243"/>
      <c r="Z33" s="243"/>
      <c r="AA33" s="243"/>
      <c r="AB33" s="243"/>
      <c r="AC33" s="243"/>
      <c r="AD33" s="243"/>
      <c r="AE33" s="243"/>
      <c r="AF33" s="243"/>
      <c r="AG33" s="208"/>
      <c r="AH33" s="208"/>
      <c r="AI33" s="208"/>
      <c r="AJ33" s="208"/>
      <c r="AK33" s="208"/>
      <c r="AL33" s="315"/>
      <c r="AM33" s="315"/>
      <c r="AN33" s="315"/>
    </row>
    <row r="34">
      <c r="A34" s="314"/>
      <c r="B34" s="238"/>
      <c r="C34" s="96"/>
      <c r="D34" s="212"/>
      <c r="E34" s="96"/>
      <c r="F34" s="212"/>
      <c r="G34" s="212"/>
      <c r="H34" s="28"/>
      <c r="I34" s="28"/>
      <c r="J34" s="239"/>
      <c r="K34" s="240"/>
      <c r="L34" s="241"/>
      <c r="M34" s="240"/>
      <c r="N34" s="136"/>
      <c r="O34" s="239"/>
      <c r="P34" s="239"/>
      <c r="Q34" s="214"/>
      <c r="R34" s="214"/>
      <c r="S34" s="101"/>
      <c r="T34" s="222"/>
      <c r="U34" s="242"/>
      <c r="V34" s="242"/>
      <c r="W34" s="243"/>
      <c r="X34" s="243"/>
      <c r="Y34" s="243"/>
      <c r="Z34" s="243"/>
      <c r="AA34" s="243"/>
      <c r="AB34" s="243"/>
      <c r="AC34" s="243"/>
      <c r="AD34" s="243"/>
      <c r="AE34" s="243"/>
      <c r="AF34" s="243"/>
      <c r="AG34" s="208"/>
      <c r="AH34" s="208"/>
      <c r="AI34" s="208"/>
      <c r="AJ34" s="208"/>
      <c r="AK34" s="208"/>
      <c r="AL34" s="315"/>
      <c r="AM34" s="315"/>
      <c r="AN34" s="315"/>
    </row>
    <row r="35">
      <c r="A35" s="314"/>
      <c r="B35" s="238"/>
      <c r="C35" s="96"/>
      <c r="D35" s="212"/>
      <c r="E35" s="96"/>
      <c r="F35" s="212"/>
      <c r="G35" s="212"/>
      <c r="H35" s="28"/>
      <c r="I35" s="28"/>
      <c r="J35" s="239"/>
      <c r="K35" s="240"/>
      <c r="L35" s="241"/>
      <c r="M35" s="240"/>
      <c r="N35" s="136"/>
      <c r="O35" s="239"/>
      <c r="P35" s="239"/>
      <c r="Q35" s="214"/>
      <c r="R35" s="214"/>
      <c r="S35" s="101"/>
      <c r="T35" s="222"/>
      <c r="U35" s="242"/>
      <c r="V35" s="242"/>
      <c r="W35" s="243"/>
      <c r="X35" s="243"/>
      <c r="Y35" s="243"/>
      <c r="Z35" s="243"/>
      <c r="AA35" s="243"/>
      <c r="AB35" s="243"/>
      <c r="AC35" s="243"/>
      <c r="AD35" s="243"/>
      <c r="AE35" s="243"/>
      <c r="AF35" s="243"/>
      <c r="AG35" s="208"/>
      <c r="AH35" s="208"/>
      <c r="AI35" s="208"/>
      <c r="AJ35" s="208"/>
      <c r="AK35" s="208"/>
      <c r="AL35" s="315"/>
      <c r="AM35" s="315"/>
      <c r="AN35" s="315"/>
    </row>
    <row r="36">
      <c r="A36" s="314"/>
      <c r="B36" s="238"/>
      <c r="C36" s="96"/>
      <c r="D36" s="212"/>
      <c r="E36" s="96"/>
      <c r="F36" s="212"/>
      <c r="G36" s="212"/>
      <c r="H36" s="28"/>
      <c r="I36" s="28"/>
      <c r="J36" s="239"/>
      <c r="K36" s="240"/>
      <c r="L36" s="241"/>
      <c r="M36" s="240"/>
      <c r="N36" s="136"/>
      <c r="O36" s="239"/>
      <c r="P36" s="239"/>
      <c r="Q36" s="214"/>
      <c r="R36" s="214"/>
      <c r="S36" s="101"/>
      <c r="T36" s="222"/>
      <c r="U36" s="242"/>
      <c r="V36" s="242"/>
      <c r="W36" s="243"/>
      <c r="X36" s="243"/>
      <c r="Y36" s="243"/>
      <c r="Z36" s="243"/>
      <c r="AA36" s="243"/>
      <c r="AB36" s="243"/>
      <c r="AC36" s="243"/>
      <c r="AD36" s="243"/>
      <c r="AE36" s="243"/>
      <c r="AF36" s="243"/>
      <c r="AG36" s="208"/>
      <c r="AH36" s="208"/>
      <c r="AI36" s="208"/>
      <c r="AJ36" s="208"/>
      <c r="AK36" s="208"/>
      <c r="AL36" s="315"/>
      <c r="AM36" s="315"/>
      <c r="AN36" s="315"/>
    </row>
    <row r="37">
      <c r="A37" s="314"/>
      <c r="B37" s="238"/>
      <c r="C37" s="96"/>
      <c r="D37" s="212"/>
      <c r="E37" s="96"/>
      <c r="F37" s="212"/>
      <c r="G37" s="212"/>
      <c r="H37" s="28"/>
      <c r="I37" s="28"/>
      <c r="J37" s="239"/>
      <c r="K37" s="240"/>
      <c r="L37" s="241"/>
      <c r="M37" s="240"/>
      <c r="N37" s="136"/>
      <c r="O37" s="239"/>
      <c r="P37" s="239"/>
      <c r="Q37" s="214"/>
      <c r="R37" s="214"/>
      <c r="S37" s="101"/>
      <c r="T37" s="222"/>
      <c r="U37" s="242"/>
      <c r="V37" s="242"/>
      <c r="W37" s="243"/>
      <c r="X37" s="243"/>
      <c r="Y37" s="243"/>
      <c r="Z37" s="243"/>
      <c r="AA37" s="243"/>
      <c r="AB37" s="243"/>
      <c r="AC37" s="243"/>
      <c r="AD37" s="243"/>
      <c r="AE37" s="243"/>
      <c r="AF37" s="243"/>
      <c r="AG37" s="208"/>
      <c r="AH37" s="208"/>
      <c r="AI37" s="208"/>
      <c r="AJ37" s="208"/>
      <c r="AK37" s="208"/>
      <c r="AL37" s="315"/>
      <c r="AM37" s="315"/>
      <c r="AN37" s="315"/>
    </row>
    <row r="38">
      <c r="A38" s="314"/>
      <c r="B38" s="238"/>
      <c r="C38" s="96"/>
      <c r="D38" s="212"/>
      <c r="E38" s="96"/>
      <c r="F38" s="212"/>
      <c r="G38" s="212"/>
      <c r="H38" s="28"/>
      <c r="I38" s="28"/>
      <c r="J38" s="239"/>
      <c r="K38" s="240"/>
      <c r="L38" s="241"/>
      <c r="M38" s="240"/>
      <c r="N38" s="136"/>
      <c r="O38" s="239"/>
      <c r="P38" s="239"/>
      <c r="Q38" s="214"/>
      <c r="R38" s="214"/>
      <c r="S38" s="101"/>
      <c r="T38" s="222"/>
      <c r="U38" s="242"/>
      <c r="V38" s="242"/>
      <c r="W38" s="243"/>
      <c r="X38" s="243"/>
      <c r="Y38" s="243"/>
      <c r="Z38" s="243"/>
      <c r="AA38" s="243"/>
      <c r="AB38" s="243"/>
      <c r="AC38" s="243"/>
      <c r="AD38" s="243"/>
      <c r="AE38" s="243"/>
      <c r="AF38" s="243"/>
      <c r="AG38" s="208"/>
      <c r="AH38" s="208"/>
      <c r="AI38" s="208"/>
      <c r="AJ38" s="208"/>
      <c r="AK38" s="208"/>
      <c r="AL38" s="315"/>
      <c r="AM38" s="315"/>
      <c r="AN38" s="315"/>
    </row>
    <row r="39">
      <c r="A39" s="314"/>
      <c r="B39" s="238"/>
      <c r="C39" s="96"/>
      <c r="D39" s="212"/>
      <c r="E39" s="96"/>
      <c r="F39" s="212"/>
      <c r="G39" s="212"/>
      <c r="H39" s="28"/>
      <c r="I39" s="28"/>
      <c r="J39" s="239"/>
      <c r="K39" s="240"/>
      <c r="L39" s="241"/>
      <c r="M39" s="240"/>
      <c r="N39" s="136"/>
      <c r="O39" s="239"/>
      <c r="P39" s="239"/>
      <c r="Q39" s="214"/>
      <c r="R39" s="214"/>
      <c r="S39" s="101"/>
      <c r="T39" s="222"/>
      <c r="U39" s="242"/>
      <c r="V39" s="242"/>
      <c r="W39" s="243"/>
      <c r="X39" s="243"/>
      <c r="Y39" s="243"/>
      <c r="Z39" s="243"/>
      <c r="AA39" s="243"/>
      <c r="AB39" s="243"/>
      <c r="AC39" s="243"/>
      <c r="AD39" s="243"/>
      <c r="AE39" s="243"/>
      <c r="AF39" s="243"/>
      <c r="AG39" s="208"/>
      <c r="AH39" s="208"/>
      <c r="AI39" s="208"/>
      <c r="AJ39" s="208"/>
      <c r="AK39" s="208"/>
      <c r="AL39" s="315"/>
      <c r="AM39" s="315"/>
      <c r="AN39" s="315"/>
    </row>
    <row r="40">
      <c r="A40" s="314"/>
      <c r="B40" s="238"/>
      <c r="C40" s="96"/>
      <c r="D40" s="212"/>
      <c r="E40" s="96"/>
      <c r="F40" s="212"/>
      <c r="G40" s="212"/>
      <c r="H40" s="28"/>
      <c r="I40" s="28"/>
      <c r="J40" s="239"/>
      <c r="K40" s="240"/>
      <c r="L40" s="241"/>
      <c r="M40" s="240"/>
      <c r="N40" s="136"/>
      <c r="O40" s="239"/>
      <c r="P40" s="239"/>
      <c r="Q40" s="214"/>
      <c r="R40" s="214"/>
      <c r="S40" s="101"/>
      <c r="T40" s="222"/>
      <c r="U40" s="242"/>
      <c r="V40" s="242"/>
      <c r="W40" s="243"/>
      <c r="X40" s="243"/>
      <c r="Y40" s="243"/>
      <c r="Z40" s="243"/>
      <c r="AA40" s="243"/>
      <c r="AB40" s="243"/>
      <c r="AC40" s="243"/>
      <c r="AD40" s="243"/>
      <c r="AE40" s="243"/>
      <c r="AF40" s="243"/>
      <c r="AG40" s="208"/>
      <c r="AH40" s="208"/>
      <c r="AI40" s="208"/>
      <c r="AJ40" s="208"/>
      <c r="AK40" s="208"/>
      <c r="AL40" s="315"/>
      <c r="AM40" s="315"/>
      <c r="AN40" s="315"/>
    </row>
    <row r="41">
      <c r="A41" s="314"/>
      <c r="B41" s="238"/>
      <c r="C41" s="96"/>
      <c r="D41" s="212"/>
      <c r="E41" s="96"/>
      <c r="F41" s="212"/>
      <c r="G41" s="212"/>
      <c r="H41" s="28"/>
      <c r="I41" s="28"/>
      <c r="J41" s="239"/>
      <c r="K41" s="240"/>
      <c r="L41" s="241"/>
      <c r="M41" s="240"/>
      <c r="N41" s="136"/>
      <c r="O41" s="239"/>
      <c r="P41" s="239"/>
      <c r="Q41" s="214"/>
      <c r="R41" s="214"/>
      <c r="S41" s="101"/>
      <c r="T41" s="222"/>
      <c r="U41" s="242"/>
      <c r="V41" s="242"/>
      <c r="W41" s="243"/>
      <c r="X41" s="243"/>
      <c r="Y41" s="243"/>
      <c r="Z41" s="243"/>
      <c r="AA41" s="243"/>
      <c r="AB41" s="243"/>
      <c r="AC41" s="243"/>
      <c r="AD41" s="243"/>
      <c r="AE41" s="243"/>
      <c r="AF41" s="243"/>
      <c r="AG41" s="208"/>
      <c r="AH41" s="208"/>
      <c r="AI41" s="208"/>
      <c r="AJ41" s="208"/>
      <c r="AK41" s="208"/>
      <c r="AL41" s="315"/>
      <c r="AM41" s="315"/>
      <c r="AN41" s="315"/>
    </row>
    <row r="42">
      <c r="A42" s="314"/>
      <c r="B42" s="238"/>
      <c r="C42" s="96"/>
      <c r="D42" s="212"/>
      <c r="E42" s="96"/>
      <c r="F42" s="212"/>
      <c r="G42" s="212"/>
      <c r="H42" s="28"/>
      <c r="I42" s="28"/>
      <c r="J42" s="239"/>
      <c r="K42" s="240"/>
      <c r="L42" s="241"/>
      <c r="M42" s="240"/>
      <c r="N42" s="136"/>
      <c r="O42" s="239"/>
      <c r="P42" s="239"/>
      <c r="Q42" s="214"/>
      <c r="R42" s="214"/>
      <c r="S42" s="101"/>
      <c r="T42" s="222"/>
      <c r="U42" s="242"/>
      <c r="V42" s="242"/>
      <c r="W42" s="243"/>
      <c r="X42" s="243"/>
      <c r="Y42" s="243"/>
      <c r="Z42" s="243"/>
      <c r="AA42" s="243"/>
      <c r="AB42" s="243"/>
      <c r="AC42" s="243"/>
      <c r="AD42" s="243"/>
      <c r="AE42" s="243"/>
      <c r="AF42" s="243"/>
      <c r="AG42" s="208"/>
      <c r="AH42" s="208"/>
      <c r="AI42" s="208"/>
      <c r="AJ42" s="208"/>
      <c r="AK42" s="208"/>
      <c r="AL42" s="315"/>
      <c r="AM42" s="315"/>
      <c r="AN42" s="315"/>
    </row>
    <row r="43">
      <c r="A43" s="314"/>
      <c r="B43" s="238"/>
      <c r="C43" s="96"/>
      <c r="D43" s="212"/>
      <c r="E43" s="96"/>
      <c r="F43" s="212"/>
      <c r="G43" s="212"/>
      <c r="H43" s="28"/>
      <c r="I43" s="28"/>
      <c r="J43" s="239"/>
      <c r="K43" s="240"/>
      <c r="L43" s="241"/>
      <c r="M43" s="240"/>
      <c r="N43" s="136"/>
      <c r="O43" s="239"/>
      <c r="P43" s="239"/>
      <c r="Q43" s="214"/>
      <c r="R43" s="214"/>
      <c r="S43" s="101"/>
      <c r="T43" s="222"/>
      <c r="U43" s="242"/>
      <c r="V43" s="242"/>
      <c r="W43" s="243"/>
      <c r="X43" s="243"/>
      <c r="Y43" s="243"/>
      <c r="Z43" s="243"/>
      <c r="AA43" s="243"/>
      <c r="AB43" s="243"/>
      <c r="AC43" s="243"/>
      <c r="AD43" s="243"/>
      <c r="AE43" s="243"/>
      <c r="AF43" s="243"/>
      <c r="AG43" s="208"/>
      <c r="AH43" s="208"/>
      <c r="AI43" s="208"/>
      <c r="AJ43" s="208"/>
      <c r="AK43" s="208"/>
      <c r="AL43" s="315"/>
      <c r="AM43" s="315"/>
      <c r="AN43" s="315"/>
    </row>
    <row r="44">
      <c r="A44" s="314"/>
      <c r="B44" s="238"/>
      <c r="C44" s="96"/>
      <c r="D44" s="212"/>
      <c r="E44" s="96"/>
      <c r="F44" s="212"/>
      <c r="G44" s="212"/>
      <c r="H44" s="28"/>
      <c r="I44" s="28"/>
      <c r="J44" s="239"/>
      <c r="K44" s="240"/>
      <c r="L44" s="241"/>
      <c r="M44" s="240"/>
      <c r="N44" s="136"/>
      <c r="O44" s="239"/>
      <c r="P44" s="239"/>
      <c r="Q44" s="214"/>
      <c r="R44" s="214"/>
      <c r="S44" s="101"/>
      <c r="T44" s="222"/>
      <c r="U44" s="242"/>
      <c r="V44" s="242"/>
      <c r="W44" s="243"/>
      <c r="X44" s="243"/>
      <c r="Y44" s="243"/>
      <c r="Z44" s="243"/>
      <c r="AA44" s="243"/>
      <c r="AB44" s="243"/>
      <c r="AC44" s="243"/>
      <c r="AD44" s="243"/>
      <c r="AE44" s="243"/>
      <c r="AF44" s="243"/>
      <c r="AG44" s="208"/>
      <c r="AH44" s="208"/>
      <c r="AI44" s="208"/>
      <c r="AJ44" s="208"/>
      <c r="AK44" s="208"/>
      <c r="AL44" s="315"/>
      <c r="AM44" s="315"/>
      <c r="AN44" s="315"/>
    </row>
    <row r="45">
      <c r="A45" s="314"/>
      <c r="B45" s="238"/>
      <c r="C45" s="96"/>
      <c r="D45" s="212"/>
      <c r="E45" s="96"/>
      <c r="F45" s="212"/>
      <c r="G45" s="212"/>
      <c r="H45" s="28"/>
      <c r="I45" s="28"/>
      <c r="J45" s="239"/>
      <c r="K45" s="240"/>
      <c r="L45" s="241"/>
      <c r="M45" s="240"/>
      <c r="N45" s="136"/>
      <c r="O45" s="239"/>
      <c r="P45" s="239"/>
      <c r="Q45" s="214"/>
      <c r="R45" s="214"/>
      <c r="S45" s="101"/>
      <c r="T45" s="222"/>
      <c r="U45" s="242"/>
      <c r="V45" s="242"/>
      <c r="W45" s="243"/>
      <c r="X45" s="243"/>
      <c r="Y45" s="243"/>
      <c r="Z45" s="243"/>
      <c r="AA45" s="243"/>
      <c r="AB45" s="243"/>
      <c r="AC45" s="243"/>
      <c r="AD45" s="243"/>
      <c r="AE45" s="243"/>
      <c r="AF45" s="243"/>
      <c r="AG45" s="208"/>
      <c r="AH45" s="208"/>
      <c r="AI45" s="208"/>
      <c r="AJ45" s="208"/>
      <c r="AK45" s="208"/>
      <c r="AL45" s="315"/>
      <c r="AM45" s="315"/>
      <c r="AN45" s="315"/>
    </row>
    <row r="46">
      <c r="A46" s="314"/>
      <c r="B46" s="238"/>
      <c r="C46" s="96"/>
      <c r="D46" s="212"/>
      <c r="E46" s="96"/>
      <c r="F46" s="212"/>
      <c r="G46" s="212"/>
      <c r="H46" s="28"/>
      <c r="I46" s="28"/>
      <c r="J46" s="239"/>
      <c r="K46" s="240"/>
      <c r="L46" s="241"/>
      <c r="M46" s="240"/>
      <c r="N46" s="136"/>
      <c r="O46" s="239"/>
      <c r="P46" s="239"/>
      <c r="Q46" s="214"/>
      <c r="R46" s="214"/>
      <c r="S46" s="101"/>
      <c r="T46" s="222"/>
      <c r="U46" s="242"/>
      <c r="V46" s="242"/>
      <c r="W46" s="243"/>
      <c r="X46" s="243"/>
      <c r="Y46" s="243"/>
      <c r="Z46" s="243"/>
      <c r="AA46" s="243"/>
      <c r="AB46" s="243"/>
      <c r="AC46" s="243"/>
      <c r="AD46" s="243"/>
      <c r="AE46" s="243"/>
      <c r="AF46" s="243"/>
      <c r="AG46" s="208"/>
      <c r="AH46" s="208"/>
      <c r="AI46" s="208"/>
      <c r="AJ46" s="208"/>
      <c r="AK46" s="208"/>
      <c r="AL46" s="315"/>
      <c r="AM46" s="315"/>
      <c r="AN46" s="315"/>
    </row>
    <row r="47">
      <c r="A47" s="314"/>
      <c r="B47" s="238"/>
      <c r="C47" s="96"/>
      <c r="D47" s="212"/>
      <c r="E47" s="96"/>
      <c r="F47" s="212"/>
      <c r="G47" s="212"/>
      <c r="H47" s="28"/>
      <c r="I47" s="28"/>
      <c r="J47" s="239"/>
      <c r="K47" s="240"/>
      <c r="L47" s="241"/>
      <c r="M47" s="240"/>
      <c r="N47" s="136"/>
      <c r="O47" s="239"/>
      <c r="P47" s="239"/>
      <c r="Q47" s="214"/>
      <c r="R47" s="214"/>
      <c r="S47" s="101"/>
      <c r="T47" s="222"/>
      <c r="U47" s="242"/>
      <c r="V47" s="242"/>
      <c r="W47" s="243"/>
      <c r="X47" s="243"/>
      <c r="Y47" s="243"/>
      <c r="Z47" s="243"/>
      <c r="AA47" s="243"/>
      <c r="AB47" s="243"/>
      <c r="AC47" s="243"/>
      <c r="AD47" s="243"/>
      <c r="AE47" s="243"/>
      <c r="AF47" s="243"/>
      <c r="AG47" s="208"/>
      <c r="AH47" s="208"/>
      <c r="AI47" s="208"/>
      <c r="AJ47" s="208"/>
      <c r="AK47" s="208"/>
      <c r="AL47" s="315"/>
      <c r="AM47" s="315"/>
      <c r="AN47" s="315"/>
    </row>
    <row r="48">
      <c r="A48" s="314"/>
      <c r="B48" s="238"/>
      <c r="C48" s="96"/>
      <c r="D48" s="212"/>
      <c r="E48" s="96"/>
      <c r="F48" s="212"/>
      <c r="G48" s="212"/>
      <c r="H48" s="28"/>
      <c r="I48" s="28"/>
      <c r="J48" s="239"/>
      <c r="K48" s="240"/>
      <c r="L48" s="241"/>
      <c r="M48" s="240"/>
      <c r="N48" s="136"/>
      <c r="O48" s="239"/>
      <c r="P48" s="239"/>
      <c r="Q48" s="214"/>
      <c r="R48" s="214"/>
      <c r="S48" s="101"/>
      <c r="T48" s="222"/>
      <c r="U48" s="242"/>
      <c r="V48" s="242"/>
      <c r="W48" s="243"/>
      <c r="X48" s="243"/>
      <c r="Y48" s="243"/>
      <c r="Z48" s="243"/>
      <c r="AA48" s="243"/>
      <c r="AB48" s="243"/>
      <c r="AC48" s="243"/>
      <c r="AD48" s="243"/>
      <c r="AE48" s="243"/>
      <c r="AF48" s="243"/>
      <c r="AG48" s="208"/>
      <c r="AH48" s="208"/>
      <c r="AI48" s="208"/>
      <c r="AJ48" s="208"/>
      <c r="AK48" s="208"/>
      <c r="AL48" s="315"/>
      <c r="AM48" s="315"/>
      <c r="AN48" s="315"/>
    </row>
    <row r="49">
      <c r="A49" s="314"/>
      <c r="B49" s="238"/>
      <c r="C49" s="96"/>
      <c r="D49" s="212"/>
      <c r="E49" s="96"/>
      <c r="F49" s="212"/>
      <c r="G49" s="212"/>
      <c r="H49" s="28"/>
      <c r="I49" s="28"/>
      <c r="J49" s="239"/>
      <c r="K49" s="240"/>
      <c r="L49" s="241"/>
      <c r="M49" s="240"/>
      <c r="N49" s="136"/>
      <c r="O49" s="239"/>
      <c r="P49" s="239"/>
      <c r="Q49" s="214"/>
      <c r="R49" s="214"/>
      <c r="S49" s="101"/>
      <c r="T49" s="222"/>
      <c r="U49" s="242"/>
      <c r="V49" s="242"/>
      <c r="W49" s="243"/>
      <c r="X49" s="243"/>
      <c r="Y49" s="243"/>
      <c r="Z49" s="243"/>
      <c r="AA49" s="243"/>
      <c r="AB49" s="243"/>
      <c r="AC49" s="243"/>
      <c r="AD49" s="243"/>
      <c r="AE49" s="243"/>
      <c r="AF49" s="243"/>
      <c r="AG49" s="208"/>
      <c r="AH49" s="208"/>
      <c r="AI49" s="208"/>
      <c r="AJ49" s="208"/>
      <c r="AK49" s="208"/>
      <c r="AL49" s="315"/>
      <c r="AM49" s="315"/>
      <c r="AN49" s="315"/>
    </row>
    <row r="50">
      <c r="A50" s="314"/>
      <c r="B50" s="238"/>
      <c r="C50" s="96"/>
      <c r="D50" s="212"/>
      <c r="E50" s="96"/>
      <c r="F50" s="212"/>
      <c r="G50" s="212"/>
      <c r="H50" s="28"/>
      <c r="I50" s="28"/>
      <c r="J50" s="239"/>
      <c r="K50" s="240"/>
      <c r="L50" s="241"/>
      <c r="M50" s="240"/>
      <c r="N50" s="136"/>
      <c r="O50" s="239"/>
      <c r="P50" s="239"/>
      <c r="Q50" s="214"/>
      <c r="R50" s="214"/>
      <c r="S50" s="101"/>
      <c r="T50" s="222"/>
      <c r="U50" s="242"/>
      <c r="V50" s="242"/>
      <c r="W50" s="243"/>
      <c r="X50" s="243"/>
      <c r="Y50" s="243"/>
      <c r="Z50" s="243"/>
      <c r="AA50" s="243"/>
      <c r="AB50" s="243"/>
      <c r="AC50" s="243"/>
      <c r="AD50" s="243"/>
      <c r="AE50" s="243"/>
      <c r="AF50" s="243"/>
      <c r="AG50" s="208"/>
      <c r="AH50" s="208"/>
      <c r="AI50" s="208"/>
      <c r="AJ50" s="208"/>
      <c r="AK50" s="208"/>
      <c r="AL50" s="315"/>
      <c r="AM50" s="315"/>
      <c r="AN50" s="315"/>
    </row>
    <row r="51">
      <c r="A51" s="314"/>
      <c r="B51" s="238"/>
      <c r="C51" s="96"/>
      <c r="D51" s="212"/>
      <c r="E51" s="96"/>
      <c r="F51" s="212"/>
      <c r="G51" s="212"/>
      <c r="H51" s="28"/>
      <c r="I51" s="28"/>
      <c r="J51" s="239"/>
      <c r="K51" s="240"/>
      <c r="L51" s="241"/>
      <c r="M51" s="240"/>
      <c r="N51" s="136"/>
      <c r="O51" s="239"/>
      <c r="P51" s="239"/>
      <c r="Q51" s="214"/>
      <c r="R51" s="214"/>
      <c r="S51" s="101"/>
      <c r="T51" s="222"/>
      <c r="U51" s="242"/>
      <c r="V51" s="242"/>
      <c r="W51" s="243"/>
      <c r="X51" s="243"/>
      <c r="Y51" s="243"/>
      <c r="Z51" s="243"/>
      <c r="AA51" s="243"/>
      <c r="AB51" s="243"/>
      <c r="AC51" s="243"/>
      <c r="AD51" s="243"/>
      <c r="AE51" s="243"/>
      <c r="AF51" s="243"/>
      <c r="AG51" s="208"/>
      <c r="AH51" s="208"/>
      <c r="AI51" s="208"/>
      <c r="AJ51" s="208"/>
      <c r="AK51" s="208"/>
      <c r="AL51" s="315"/>
      <c r="AM51" s="315"/>
      <c r="AN51" s="315"/>
    </row>
    <row r="52">
      <c r="A52" s="314"/>
      <c r="B52" s="238"/>
      <c r="C52" s="96"/>
      <c r="D52" s="212"/>
      <c r="E52" s="96"/>
      <c r="F52" s="212"/>
      <c r="G52" s="212"/>
      <c r="H52" s="28"/>
      <c r="I52" s="28"/>
      <c r="J52" s="239"/>
      <c r="K52" s="240"/>
      <c r="L52" s="241"/>
      <c r="M52" s="240"/>
      <c r="N52" s="136"/>
      <c r="O52" s="239"/>
      <c r="P52" s="239"/>
      <c r="Q52" s="214"/>
      <c r="R52" s="214"/>
      <c r="S52" s="101"/>
      <c r="T52" s="222"/>
      <c r="U52" s="242"/>
      <c r="V52" s="242"/>
      <c r="W52" s="243"/>
      <c r="X52" s="243"/>
      <c r="Y52" s="243"/>
      <c r="Z52" s="243"/>
      <c r="AA52" s="243"/>
      <c r="AB52" s="243"/>
      <c r="AC52" s="243"/>
      <c r="AD52" s="243"/>
      <c r="AE52" s="243"/>
      <c r="AF52" s="243"/>
      <c r="AG52" s="208"/>
      <c r="AH52" s="208"/>
      <c r="AI52" s="208"/>
      <c r="AJ52" s="208"/>
      <c r="AK52" s="208"/>
      <c r="AL52" s="315"/>
      <c r="AM52" s="315"/>
      <c r="AN52" s="315"/>
    </row>
    <row r="53">
      <c r="A53" s="314"/>
      <c r="B53" s="238"/>
      <c r="C53" s="96"/>
      <c r="D53" s="212"/>
      <c r="E53" s="96"/>
      <c r="F53" s="212"/>
      <c r="G53" s="212"/>
      <c r="H53" s="28"/>
      <c r="I53" s="28"/>
      <c r="J53" s="239"/>
      <c r="K53" s="240"/>
      <c r="L53" s="241"/>
      <c r="M53" s="240"/>
      <c r="N53" s="136"/>
      <c r="O53" s="239"/>
      <c r="P53" s="239"/>
      <c r="Q53" s="214"/>
      <c r="R53" s="214"/>
      <c r="S53" s="101"/>
      <c r="T53" s="222"/>
      <c r="U53" s="242"/>
      <c r="V53" s="242"/>
      <c r="W53" s="243"/>
      <c r="X53" s="243"/>
      <c r="Y53" s="243"/>
      <c r="Z53" s="243"/>
      <c r="AA53" s="243"/>
      <c r="AB53" s="243"/>
      <c r="AC53" s="243"/>
      <c r="AD53" s="243"/>
      <c r="AE53" s="243"/>
      <c r="AF53" s="243"/>
      <c r="AG53" s="208"/>
      <c r="AH53" s="208"/>
      <c r="AI53" s="208"/>
      <c r="AJ53" s="208"/>
      <c r="AK53" s="208"/>
      <c r="AL53" s="315"/>
      <c r="AM53" s="315"/>
      <c r="AN53" s="315"/>
    </row>
    <row r="54">
      <c r="A54" s="314"/>
      <c r="B54" s="238"/>
      <c r="C54" s="96"/>
      <c r="D54" s="212"/>
      <c r="E54" s="96"/>
      <c r="F54" s="212"/>
      <c r="G54" s="212"/>
      <c r="H54" s="28"/>
      <c r="I54" s="28"/>
      <c r="J54" s="239"/>
      <c r="K54" s="240"/>
      <c r="L54" s="241"/>
      <c r="M54" s="240"/>
      <c r="N54" s="136"/>
      <c r="O54" s="239"/>
      <c r="P54" s="239"/>
      <c r="Q54" s="214"/>
      <c r="R54" s="214"/>
      <c r="S54" s="101"/>
      <c r="T54" s="222"/>
      <c r="U54" s="242"/>
      <c r="V54" s="242"/>
      <c r="W54" s="243"/>
      <c r="X54" s="243"/>
      <c r="Y54" s="243"/>
      <c r="Z54" s="243"/>
      <c r="AA54" s="243"/>
      <c r="AB54" s="243"/>
      <c r="AC54" s="243"/>
      <c r="AD54" s="243"/>
      <c r="AE54" s="243"/>
      <c r="AF54" s="243"/>
      <c r="AG54" s="208"/>
      <c r="AH54" s="208"/>
      <c r="AI54" s="208"/>
      <c r="AJ54" s="208"/>
      <c r="AK54" s="208"/>
      <c r="AL54" s="315"/>
      <c r="AM54" s="315"/>
      <c r="AN54" s="315"/>
    </row>
    <row r="55">
      <c r="A55" s="314"/>
      <c r="B55" s="238"/>
      <c r="C55" s="96"/>
      <c r="D55" s="212"/>
      <c r="E55" s="96"/>
      <c r="F55" s="212"/>
      <c r="G55" s="212"/>
      <c r="H55" s="28"/>
      <c r="I55" s="28"/>
      <c r="J55" s="239"/>
      <c r="K55" s="240"/>
      <c r="L55" s="241"/>
      <c r="M55" s="240"/>
      <c r="N55" s="136"/>
      <c r="O55" s="239"/>
      <c r="P55" s="239"/>
      <c r="Q55" s="214"/>
      <c r="R55" s="214"/>
      <c r="S55" s="101"/>
      <c r="T55" s="222"/>
      <c r="U55" s="242"/>
      <c r="V55" s="242"/>
      <c r="W55" s="243"/>
      <c r="X55" s="243"/>
      <c r="Y55" s="243"/>
      <c r="Z55" s="243"/>
      <c r="AA55" s="243"/>
      <c r="AB55" s="243"/>
      <c r="AC55" s="243"/>
      <c r="AD55" s="243"/>
      <c r="AE55" s="243"/>
      <c r="AF55" s="243"/>
      <c r="AG55" s="208"/>
      <c r="AH55" s="208"/>
      <c r="AI55" s="208"/>
      <c r="AJ55" s="208"/>
      <c r="AK55" s="208"/>
      <c r="AL55" s="315"/>
      <c r="AM55" s="315"/>
      <c r="AN55" s="315"/>
    </row>
    <row r="56">
      <c r="A56" s="314"/>
      <c r="B56" s="238"/>
      <c r="C56" s="96"/>
      <c r="D56" s="212"/>
      <c r="E56" s="96"/>
      <c r="F56" s="212"/>
      <c r="G56" s="212"/>
      <c r="H56" s="28"/>
      <c r="I56" s="28"/>
      <c r="J56" s="239"/>
      <c r="K56" s="240"/>
      <c r="L56" s="241"/>
      <c r="M56" s="240"/>
      <c r="N56" s="136"/>
      <c r="O56" s="239"/>
      <c r="P56" s="239"/>
      <c r="Q56" s="214"/>
      <c r="R56" s="214"/>
      <c r="S56" s="101"/>
      <c r="T56" s="222"/>
      <c r="U56" s="242"/>
      <c r="V56" s="242"/>
      <c r="W56" s="243"/>
      <c r="X56" s="243"/>
      <c r="Y56" s="243"/>
      <c r="Z56" s="243"/>
      <c r="AA56" s="243"/>
      <c r="AB56" s="243"/>
      <c r="AC56" s="243"/>
      <c r="AD56" s="243"/>
      <c r="AE56" s="243"/>
      <c r="AF56" s="243"/>
      <c r="AG56" s="208"/>
      <c r="AH56" s="208"/>
      <c r="AI56" s="208"/>
      <c r="AJ56" s="208"/>
      <c r="AK56" s="208"/>
      <c r="AL56" s="315"/>
      <c r="AM56" s="315"/>
      <c r="AN56" s="315"/>
    </row>
    <row r="57">
      <c r="A57" s="314"/>
      <c r="B57" s="238"/>
      <c r="C57" s="96"/>
      <c r="D57" s="212"/>
      <c r="E57" s="96"/>
      <c r="F57" s="212"/>
      <c r="G57" s="212"/>
      <c r="H57" s="28"/>
      <c r="I57" s="28"/>
      <c r="J57" s="239"/>
      <c r="K57" s="240"/>
      <c r="L57" s="241"/>
      <c r="M57" s="240"/>
      <c r="N57" s="136"/>
      <c r="O57" s="239"/>
      <c r="P57" s="239"/>
      <c r="Q57" s="214"/>
      <c r="R57" s="214"/>
      <c r="S57" s="101"/>
      <c r="T57" s="222"/>
      <c r="U57" s="242"/>
      <c r="V57" s="242"/>
      <c r="W57" s="243"/>
      <c r="X57" s="243"/>
      <c r="Y57" s="243"/>
      <c r="Z57" s="243"/>
      <c r="AA57" s="243"/>
      <c r="AB57" s="243"/>
      <c r="AC57" s="243"/>
      <c r="AD57" s="243"/>
      <c r="AE57" s="243"/>
      <c r="AF57" s="243"/>
      <c r="AG57" s="208"/>
      <c r="AH57" s="208"/>
      <c r="AI57" s="208"/>
      <c r="AJ57" s="208"/>
      <c r="AK57" s="208"/>
      <c r="AL57" s="315"/>
      <c r="AM57" s="315"/>
      <c r="AN57" s="315"/>
    </row>
    <row r="58">
      <c r="A58" s="314"/>
      <c r="B58" s="238"/>
      <c r="C58" s="96"/>
      <c r="D58" s="212"/>
      <c r="E58" s="96"/>
      <c r="F58" s="212"/>
      <c r="G58" s="212"/>
      <c r="H58" s="28"/>
      <c r="I58" s="28"/>
      <c r="J58" s="239"/>
      <c r="K58" s="240"/>
      <c r="L58" s="241"/>
      <c r="M58" s="240"/>
      <c r="N58" s="136"/>
      <c r="O58" s="239"/>
      <c r="P58" s="239"/>
      <c r="Q58" s="214"/>
      <c r="R58" s="214"/>
      <c r="S58" s="101"/>
      <c r="T58" s="222"/>
      <c r="U58" s="242"/>
      <c r="V58" s="242"/>
      <c r="W58" s="243"/>
      <c r="X58" s="243"/>
      <c r="Y58" s="243"/>
      <c r="Z58" s="243"/>
      <c r="AA58" s="243"/>
      <c r="AB58" s="243"/>
      <c r="AC58" s="243"/>
      <c r="AD58" s="243"/>
      <c r="AE58" s="243"/>
      <c r="AF58" s="243"/>
      <c r="AG58" s="208"/>
      <c r="AH58" s="208"/>
      <c r="AI58" s="208"/>
      <c r="AJ58" s="208"/>
      <c r="AK58" s="208"/>
      <c r="AL58" s="315"/>
      <c r="AM58" s="315"/>
      <c r="AN58" s="315"/>
    </row>
    <row r="59">
      <c r="A59" s="314"/>
      <c r="B59" s="238"/>
      <c r="C59" s="96"/>
      <c r="D59" s="212"/>
      <c r="E59" s="96"/>
      <c r="F59" s="212"/>
      <c r="G59" s="212"/>
      <c r="H59" s="28"/>
      <c r="I59" s="28"/>
      <c r="J59" s="239"/>
      <c r="K59" s="240"/>
      <c r="L59" s="241"/>
      <c r="M59" s="240"/>
      <c r="N59" s="136"/>
      <c r="O59" s="239"/>
      <c r="P59" s="239"/>
      <c r="Q59" s="214"/>
      <c r="R59" s="214"/>
      <c r="S59" s="101"/>
      <c r="T59" s="222"/>
      <c r="U59" s="242"/>
      <c r="V59" s="242"/>
      <c r="W59" s="243"/>
      <c r="X59" s="243"/>
      <c r="Y59" s="243"/>
      <c r="Z59" s="243"/>
      <c r="AA59" s="243"/>
      <c r="AB59" s="243"/>
      <c r="AC59" s="243"/>
      <c r="AD59" s="243"/>
      <c r="AE59" s="243"/>
      <c r="AF59" s="243"/>
      <c r="AG59" s="208"/>
      <c r="AH59" s="208"/>
      <c r="AI59" s="208"/>
      <c r="AJ59" s="208"/>
      <c r="AK59" s="208"/>
      <c r="AL59" s="315"/>
      <c r="AM59" s="315"/>
      <c r="AN59" s="315"/>
    </row>
    <row r="60">
      <c r="A60" s="314"/>
      <c r="B60" s="238"/>
      <c r="C60" s="96"/>
      <c r="D60" s="212"/>
      <c r="E60" s="96"/>
      <c r="F60" s="212"/>
      <c r="G60" s="212"/>
      <c r="H60" s="28"/>
      <c r="I60" s="28"/>
      <c r="J60" s="239"/>
      <c r="K60" s="240"/>
      <c r="L60" s="241"/>
      <c r="M60" s="240"/>
      <c r="N60" s="136"/>
      <c r="O60" s="239"/>
      <c r="P60" s="239"/>
      <c r="Q60" s="214"/>
      <c r="R60" s="214"/>
      <c r="S60" s="101"/>
      <c r="T60" s="222"/>
      <c r="U60" s="242"/>
      <c r="V60" s="242"/>
      <c r="W60" s="243"/>
      <c r="X60" s="243"/>
      <c r="Y60" s="243"/>
      <c r="Z60" s="243"/>
      <c r="AA60" s="243"/>
      <c r="AB60" s="243"/>
      <c r="AC60" s="243"/>
      <c r="AD60" s="243"/>
      <c r="AE60" s="243"/>
      <c r="AF60" s="243"/>
      <c r="AG60" s="208"/>
      <c r="AH60" s="208"/>
      <c r="AI60" s="208"/>
      <c r="AJ60" s="208"/>
      <c r="AK60" s="208"/>
      <c r="AL60" s="315"/>
      <c r="AM60" s="315"/>
      <c r="AN60" s="315"/>
    </row>
    <row r="61">
      <c r="A61" s="314"/>
      <c r="B61" s="238"/>
      <c r="C61" s="96"/>
      <c r="D61" s="212"/>
      <c r="E61" s="96"/>
      <c r="F61" s="212"/>
      <c r="G61" s="212"/>
      <c r="H61" s="28"/>
      <c r="I61" s="28"/>
      <c r="J61" s="239"/>
      <c r="K61" s="240"/>
      <c r="L61" s="241"/>
      <c r="M61" s="240"/>
      <c r="N61" s="136"/>
      <c r="O61" s="239"/>
      <c r="P61" s="239"/>
      <c r="Q61" s="214"/>
      <c r="R61" s="214"/>
      <c r="S61" s="101"/>
      <c r="T61" s="222"/>
      <c r="U61" s="242"/>
      <c r="V61" s="242"/>
      <c r="W61" s="243"/>
      <c r="X61" s="243"/>
      <c r="Y61" s="243"/>
      <c r="Z61" s="243"/>
      <c r="AA61" s="243"/>
      <c r="AB61" s="243"/>
      <c r="AC61" s="243"/>
      <c r="AD61" s="243"/>
      <c r="AE61" s="243"/>
      <c r="AF61" s="243"/>
      <c r="AG61" s="208"/>
      <c r="AH61" s="208"/>
      <c r="AI61" s="208"/>
      <c r="AJ61" s="208"/>
      <c r="AK61" s="208"/>
      <c r="AL61" s="315"/>
      <c r="AM61" s="315"/>
      <c r="AN61" s="315"/>
    </row>
    <row r="62">
      <c r="A62" s="314"/>
      <c r="B62" s="238"/>
      <c r="C62" s="96"/>
      <c r="D62" s="212"/>
      <c r="E62" s="96"/>
      <c r="F62" s="212"/>
      <c r="G62" s="212"/>
      <c r="H62" s="28"/>
      <c r="I62" s="28"/>
      <c r="J62" s="239"/>
      <c r="K62" s="240"/>
      <c r="L62" s="241"/>
      <c r="M62" s="240"/>
      <c r="N62" s="136"/>
      <c r="O62" s="239"/>
      <c r="P62" s="239"/>
      <c r="Q62" s="214"/>
      <c r="R62" s="214"/>
      <c r="S62" s="101"/>
      <c r="T62" s="222"/>
      <c r="U62" s="242"/>
      <c r="V62" s="242"/>
      <c r="W62" s="243"/>
      <c r="X62" s="243"/>
      <c r="Y62" s="243"/>
      <c r="Z62" s="243"/>
      <c r="AA62" s="243"/>
      <c r="AB62" s="243"/>
      <c r="AC62" s="243"/>
      <c r="AD62" s="243"/>
      <c r="AE62" s="243"/>
      <c r="AF62" s="243"/>
      <c r="AG62" s="208"/>
      <c r="AH62" s="208"/>
      <c r="AI62" s="208"/>
      <c r="AJ62" s="208"/>
      <c r="AK62" s="208"/>
      <c r="AL62" s="315"/>
      <c r="AM62" s="315"/>
      <c r="AN62" s="315"/>
    </row>
    <row r="63">
      <c r="A63" s="314"/>
      <c r="B63" s="238"/>
      <c r="C63" s="96"/>
      <c r="D63" s="212"/>
      <c r="E63" s="96"/>
      <c r="F63" s="212"/>
      <c r="G63" s="212"/>
      <c r="H63" s="28"/>
      <c r="I63" s="28"/>
      <c r="J63" s="239"/>
      <c r="K63" s="240"/>
      <c r="L63" s="241"/>
      <c r="M63" s="240"/>
      <c r="N63" s="136"/>
      <c r="O63" s="239"/>
      <c r="P63" s="239"/>
      <c r="Q63" s="214"/>
      <c r="R63" s="214"/>
      <c r="S63" s="101"/>
      <c r="T63" s="222"/>
      <c r="U63" s="242"/>
      <c r="V63" s="242"/>
      <c r="W63" s="243"/>
      <c r="X63" s="243"/>
      <c r="Y63" s="243"/>
      <c r="Z63" s="243"/>
      <c r="AA63" s="243"/>
      <c r="AB63" s="243"/>
      <c r="AC63" s="243"/>
      <c r="AD63" s="243"/>
      <c r="AE63" s="243"/>
      <c r="AF63" s="243"/>
      <c r="AG63" s="208"/>
      <c r="AH63" s="208"/>
      <c r="AI63" s="208"/>
      <c r="AJ63" s="208"/>
      <c r="AK63" s="208"/>
      <c r="AL63" s="315"/>
      <c r="AM63" s="315"/>
      <c r="AN63" s="315"/>
    </row>
    <row r="64">
      <c r="A64" s="314"/>
      <c r="B64" s="238"/>
      <c r="C64" s="96"/>
      <c r="D64" s="212"/>
      <c r="E64" s="96"/>
      <c r="F64" s="212"/>
      <c r="G64" s="212"/>
      <c r="H64" s="28"/>
      <c r="I64" s="28"/>
      <c r="J64" s="239"/>
      <c r="K64" s="240"/>
      <c r="L64" s="241"/>
      <c r="M64" s="240"/>
      <c r="N64" s="136"/>
      <c r="O64" s="239"/>
      <c r="P64" s="239"/>
      <c r="Q64" s="214"/>
      <c r="R64" s="214"/>
      <c r="S64" s="101"/>
      <c r="T64" s="222"/>
      <c r="U64" s="242"/>
      <c r="V64" s="242"/>
      <c r="W64" s="243"/>
      <c r="X64" s="243"/>
      <c r="Y64" s="243"/>
      <c r="Z64" s="243"/>
      <c r="AA64" s="243"/>
      <c r="AB64" s="243"/>
      <c r="AC64" s="243"/>
      <c r="AD64" s="243"/>
      <c r="AE64" s="243"/>
      <c r="AF64" s="243"/>
      <c r="AG64" s="208"/>
      <c r="AH64" s="208"/>
      <c r="AI64" s="208"/>
      <c r="AJ64" s="208"/>
      <c r="AK64" s="208"/>
      <c r="AL64" s="315"/>
      <c r="AM64" s="315"/>
      <c r="AN64" s="315"/>
    </row>
    <row r="65">
      <c r="A65" s="314"/>
      <c r="B65" s="238"/>
      <c r="C65" s="96"/>
      <c r="D65" s="212"/>
      <c r="E65" s="96"/>
      <c r="F65" s="212"/>
      <c r="G65" s="212"/>
      <c r="H65" s="28"/>
      <c r="I65" s="28"/>
      <c r="J65" s="239"/>
      <c r="K65" s="240"/>
      <c r="L65" s="241"/>
      <c r="M65" s="240"/>
      <c r="N65" s="136"/>
      <c r="O65" s="239"/>
      <c r="P65" s="239"/>
      <c r="Q65" s="214"/>
      <c r="R65" s="214"/>
      <c r="S65" s="101"/>
      <c r="T65" s="222"/>
      <c r="U65" s="242"/>
      <c r="V65" s="242"/>
      <c r="W65" s="243"/>
      <c r="X65" s="243"/>
      <c r="Y65" s="243"/>
      <c r="Z65" s="243"/>
      <c r="AA65" s="243"/>
      <c r="AB65" s="243"/>
      <c r="AC65" s="243"/>
      <c r="AD65" s="243"/>
      <c r="AE65" s="243"/>
      <c r="AF65" s="243"/>
      <c r="AG65" s="208"/>
      <c r="AH65" s="208"/>
      <c r="AI65" s="208"/>
      <c r="AJ65" s="208"/>
      <c r="AK65" s="208"/>
      <c r="AL65" s="315"/>
      <c r="AM65" s="315"/>
      <c r="AN65" s="315"/>
    </row>
    <row r="66">
      <c r="A66" s="314"/>
      <c r="B66" s="238"/>
      <c r="C66" s="96"/>
      <c r="D66" s="212"/>
      <c r="E66" s="96"/>
      <c r="F66" s="212"/>
      <c r="G66" s="212"/>
      <c r="H66" s="28"/>
      <c r="I66" s="28"/>
      <c r="J66" s="239"/>
      <c r="K66" s="240"/>
      <c r="L66" s="241"/>
      <c r="M66" s="240"/>
      <c r="N66" s="136"/>
      <c r="O66" s="239"/>
      <c r="P66" s="239"/>
      <c r="Q66" s="214"/>
      <c r="R66" s="214"/>
      <c r="S66" s="101"/>
      <c r="T66" s="222"/>
      <c r="U66" s="242"/>
      <c r="V66" s="242"/>
      <c r="W66" s="243"/>
      <c r="X66" s="243"/>
      <c r="Y66" s="243"/>
      <c r="Z66" s="243"/>
      <c r="AA66" s="243"/>
      <c r="AB66" s="243"/>
      <c r="AC66" s="243"/>
      <c r="AD66" s="243"/>
      <c r="AE66" s="243"/>
      <c r="AF66" s="243"/>
      <c r="AG66" s="208"/>
      <c r="AH66" s="208"/>
      <c r="AI66" s="208"/>
      <c r="AJ66" s="208"/>
      <c r="AK66" s="208"/>
      <c r="AL66" s="315"/>
      <c r="AM66" s="315"/>
      <c r="AN66" s="315"/>
    </row>
    <row r="67">
      <c r="A67" s="314"/>
      <c r="B67" s="238"/>
      <c r="C67" s="96"/>
      <c r="D67" s="212"/>
      <c r="E67" s="96"/>
      <c r="F67" s="212"/>
      <c r="G67" s="212"/>
      <c r="H67" s="28"/>
      <c r="I67" s="28"/>
      <c r="J67" s="239"/>
      <c r="K67" s="240"/>
      <c r="L67" s="241"/>
      <c r="M67" s="240"/>
      <c r="N67" s="136"/>
      <c r="O67" s="239"/>
      <c r="P67" s="239"/>
      <c r="Q67" s="214"/>
      <c r="R67" s="214"/>
      <c r="S67" s="101"/>
      <c r="T67" s="222"/>
      <c r="U67" s="242"/>
      <c r="V67" s="242"/>
      <c r="W67" s="243"/>
      <c r="X67" s="243"/>
      <c r="Y67" s="243"/>
      <c r="Z67" s="243"/>
      <c r="AA67" s="243"/>
      <c r="AB67" s="243"/>
      <c r="AC67" s="243"/>
      <c r="AD67" s="243"/>
      <c r="AE67" s="243"/>
      <c r="AF67" s="243"/>
      <c r="AG67" s="208"/>
      <c r="AH67" s="208"/>
      <c r="AI67" s="208"/>
      <c r="AJ67" s="208"/>
      <c r="AK67" s="208"/>
      <c r="AL67" s="315"/>
      <c r="AM67" s="315"/>
      <c r="AN67" s="315"/>
    </row>
    <row r="68">
      <c r="A68" s="314"/>
      <c r="B68" s="238"/>
      <c r="C68" s="96"/>
      <c r="D68" s="212"/>
      <c r="E68" s="96"/>
      <c r="F68" s="212"/>
      <c r="G68" s="212"/>
      <c r="H68" s="28"/>
      <c r="I68" s="28"/>
      <c r="J68" s="239"/>
      <c r="K68" s="240"/>
      <c r="L68" s="241"/>
      <c r="M68" s="240"/>
      <c r="N68" s="136"/>
      <c r="O68" s="239"/>
      <c r="P68" s="239"/>
      <c r="Q68" s="214"/>
      <c r="R68" s="214"/>
      <c r="S68" s="101"/>
      <c r="T68" s="222"/>
      <c r="U68" s="242"/>
      <c r="V68" s="242"/>
      <c r="W68" s="243"/>
      <c r="X68" s="243"/>
      <c r="Y68" s="243"/>
      <c r="Z68" s="243"/>
      <c r="AA68" s="243"/>
      <c r="AB68" s="243"/>
      <c r="AC68" s="243"/>
      <c r="AD68" s="243"/>
      <c r="AE68" s="243"/>
      <c r="AF68" s="243"/>
      <c r="AG68" s="208"/>
      <c r="AH68" s="208"/>
      <c r="AI68" s="208"/>
      <c r="AJ68" s="208"/>
      <c r="AK68" s="208"/>
      <c r="AL68" s="315"/>
      <c r="AM68" s="315"/>
      <c r="AN68" s="315"/>
    </row>
    <row r="69">
      <c r="A69" s="314"/>
      <c r="B69" s="238"/>
      <c r="C69" s="96"/>
      <c r="D69" s="212"/>
      <c r="E69" s="96"/>
      <c r="F69" s="212"/>
      <c r="G69" s="212"/>
      <c r="H69" s="28"/>
      <c r="I69" s="28"/>
      <c r="J69" s="239"/>
      <c r="K69" s="240"/>
      <c r="L69" s="241"/>
      <c r="M69" s="240"/>
      <c r="N69" s="136"/>
      <c r="O69" s="239"/>
      <c r="P69" s="239"/>
      <c r="Q69" s="214"/>
      <c r="R69" s="214"/>
      <c r="S69" s="101"/>
      <c r="T69" s="222"/>
      <c r="U69" s="242"/>
      <c r="V69" s="242"/>
      <c r="W69" s="243"/>
      <c r="X69" s="243"/>
      <c r="Y69" s="243"/>
      <c r="Z69" s="243"/>
      <c r="AA69" s="243"/>
      <c r="AB69" s="243"/>
      <c r="AC69" s="243"/>
      <c r="AD69" s="243"/>
      <c r="AE69" s="243"/>
      <c r="AF69" s="243"/>
      <c r="AG69" s="208"/>
      <c r="AH69" s="208"/>
      <c r="AI69" s="208"/>
      <c r="AJ69" s="208"/>
      <c r="AK69" s="208"/>
      <c r="AL69" s="315"/>
      <c r="AM69" s="315"/>
      <c r="AN69" s="315"/>
    </row>
    <row r="70">
      <c r="A70" s="314"/>
      <c r="B70" s="238"/>
      <c r="C70" s="96"/>
      <c r="D70" s="212"/>
      <c r="E70" s="96"/>
      <c r="F70" s="212"/>
      <c r="G70" s="212"/>
      <c r="H70" s="28"/>
      <c r="I70" s="28"/>
      <c r="J70" s="239"/>
      <c r="K70" s="240"/>
      <c r="L70" s="241"/>
      <c r="M70" s="240"/>
      <c r="N70" s="136"/>
      <c r="O70" s="239"/>
      <c r="P70" s="239"/>
      <c r="Q70" s="214"/>
      <c r="R70" s="214"/>
      <c r="S70" s="101"/>
      <c r="T70" s="222"/>
      <c r="U70" s="242"/>
      <c r="V70" s="242"/>
      <c r="W70" s="243"/>
      <c r="X70" s="243"/>
      <c r="Y70" s="243"/>
      <c r="Z70" s="243"/>
      <c r="AA70" s="243"/>
      <c r="AB70" s="243"/>
      <c r="AC70" s="243"/>
      <c r="AD70" s="243"/>
      <c r="AE70" s="243"/>
      <c r="AF70" s="243"/>
      <c r="AG70" s="208"/>
      <c r="AH70" s="208"/>
      <c r="AI70" s="208"/>
      <c r="AJ70" s="208"/>
      <c r="AK70" s="208"/>
      <c r="AL70" s="315"/>
      <c r="AM70" s="315"/>
      <c r="AN70" s="315"/>
    </row>
    <row r="71">
      <c r="A71" s="314"/>
      <c r="B71" s="238"/>
      <c r="C71" s="96"/>
      <c r="D71" s="212"/>
      <c r="E71" s="96"/>
      <c r="F71" s="212"/>
      <c r="G71" s="212"/>
      <c r="H71" s="28"/>
      <c r="I71" s="28"/>
      <c r="J71" s="239"/>
      <c r="K71" s="240"/>
      <c r="L71" s="241"/>
      <c r="M71" s="240"/>
      <c r="N71" s="136"/>
      <c r="O71" s="239"/>
      <c r="P71" s="239"/>
      <c r="Q71" s="214"/>
      <c r="R71" s="214"/>
      <c r="S71" s="101"/>
      <c r="T71" s="222"/>
      <c r="U71" s="242"/>
      <c r="V71" s="242"/>
      <c r="W71" s="243"/>
      <c r="X71" s="243"/>
      <c r="Y71" s="243"/>
      <c r="Z71" s="243"/>
      <c r="AA71" s="243"/>
      <c r="AB71" s="243"/>
      <c r="AC71" s="243"/>
      <c r="AD71" s="243"/>
      <c r="AE71" s="243"/>
      <c r="AF71" s="243"/>
      <c r="AG71" s="208"/>
      <c r="AH71" s="208"/>
      <c r="AI71" s="208"/>
      <c r="AJ71" s="208"/>
      <c r="AK71" s="208"/>
      <c r="AL71" s="315"/>
      <c r="AM71" s="315"/>
      <c r="AN71" s="315"/>
    </row>
    <row r="72">
      <c r="A72" s="314"/>
      <c r="B72" s="238"/>
      <c r="C72" s="96"/>
      <c r="D72" s="212"/>
      <c r="E72" s="96"/>
      <c r="F72" s="212"/>
      <c r="G72" s="212"/>
      <c r="H72" s="28"/>
      <c r="I72" s="28"/>
      <c r="J72" s="239"/>
      <c r="K72" s="240"/>
      <c r="L72" s="241"/>
      <c r="M72" s="240"/>
      <c r="N72" s="136"/>
      <c r="O72" s="239"/>
      <c r="P72" s="239"/>
      <c r="Q72" s="214"/>
      <c r="R72" s="214"/>
      <c r="S72" s="101"/>
      <c r="T72" s="222"/>
      <c r="U72" s="242"/>
      <c r="V72" s="242"/>
      <c r="W72" s="243"/>
      <c r="X72" s="243"/>
      <c r="Y72" s="243"/>
      <c r="Z72" s="243"/>
      <c r="AA72" s="243"/>
      <c r="AB72" s="243"/>
      <c r="AC72" s="243"/>
      <c r="AD72" s="243"/>
      <c r="AE72" s="243"/>
      <c r="AF72" s="243"/>
      <c r="AG72" s="208"/>
      <c r="AH72" s="208"/>
      <c r="AI72" s="208"/>
      <c r="AJ72" s="208"/>
      <c r="AK72" s="208"/>
      <c r="AL72" s="315"/>
      <c r="AM72" s="315"/>
      <c r="AN72" s="315"/>
    </row>
    <row r="73">
      <c r="A73" s="314"/>
      <c r="B73" s="238"/>
      <c r="C73" s="96"/>
      <c r="D73" s="212"/>
      <c r="E73" s="96"/>
      <c r="F73" s="212"/>
      <c r="G73" s="212"/>
      <c r="H73" s="28"/>
      <c r="I73" s="28"/>
      <c r="J73" s="239"/>
      <c r="K73" s="240"/>
      <c r="L73" s="241"/>
      <c r="M73" s="240"/>
      <c r="N73" s="136"/>
      <c r="O73" s="239"/>
      <c r="P73" s="239"/>
      <c r="Q73" s="214"/>
      <c r="R73" s="214"/>
      <c r="S73" s="101"/>
      <c r="T73" s="222"/>
      <c r="U73" s="242"/>
      <c r="V73" s="242"/>
      <c r="W73" s="243"/>
      <c r="X73" s="243"/>
      <c r="Y73" s="243"/>
      <c r="Z73" s="243"/>
      <c r="AA73" s="243"/>
      <c r="AB73" s="243"/>
      <c r="AC73" s="243"/>
      <c r="AD73" s="243"/>
      <c r="AE73" s="243"/>
      <c r="AF73" s="243"/>
      <c r="AG73" s="208"/>
      <c r="AH73" s="208"/>
      <c r="AI73" s="208"/>
      <c r="AJ73" s="208"/>
      <c r="AK73" s="208"/>
      <c r="AL73" s="315"/>
      <c r="AM73" s="315"/>
      <c r="AN73" s="315"/>
    </row>
    <row r="74">
      <c r="A74" s="314"/>
      <c r="B74" s="238"/>
      <c r="C74" s="96"/>
      <c r="D74" s="212"/>
      <c r="E74" s="96"/>
      <c r="F74" s="212"/>
      <c r="G74" s="212"/>
      <c r="H74" s="28"/>
      <c r="I74" s="28"/>
      <c r="J74" s="239"/>
      <c r="K74" s="240"/>
      <c r="L74" s="241"/>
      <c r="M74" s="240"/>
      <c r="N74" s="136"/>
      <c r="O74" s="239"/>
      <c r="P74" s="239"/>
      <c r="Q74" s="214"/>
      <c r="R74" s="214"/>
      <c r="S74" s="101"/>
      <c r="T74" s="222"/>
      <c r="U74" s="242"/>
      <c r="V74" s="242"/>
      <c r="W74" s="243"/>
      <c r="X74" s="243"/>
      <c r="Y74" s="243"/>
      <c r="Z74" s="243"/>
      <c r="AA74" s="243"/>
      <c r="AB74" s="243"/>
      <c r="AC74" s="243"/>
      <c r="AD74" s="243"/>
      <c r="AE74" s="243"/>
      <c r="AF74" s="243"/>
      <c r="AG74" s="208"/>
      <c r="AH74" s="208"/>
      <c r="AI74" s="208"/>
      <c r="AJ74" s="208"/>
      <c r="AK74" s="208"/>
      <c r="AL74" s="208"/>
      <c r="AM74" s="208"/>
      <c r="AN74" s="208"/>
    </row>
    <row r="75">
      <c r="A75" s="314"/>
      <c r="B75" s="238"/>
      <c r="C75" s="96"/>
      <c r="D75" s="212"/>
      <c r="E75" s="96"/>
      <c r="F75" s="212"/>
      <c r="G75" s="212"/>
      <c r="H75" s="28"/>
      <c r="I75" s="28"/>
      <c r="J75" s="239"/>
      <c r="K75" s="240"/>
      <c r="L75" s="241"/>
      <c r="M75" s="240"/>
      <c r="N75" s="136"/>
      <c r="O75" s="239"/>
      <c r="P75" s="239"/>
      <c r="Q75" s="214"/>
      <c r="R75" s="214"/>
      <c r="S75" s="101"/>
      <c r="T75" s="222"/>
      <c r="U75" s="242"/>
      <c r="V75" s="242"/>
      <c r="W75" s="243"/>
      <c r="X75" s="243"/>
      <c r="Y75" s="243"/>
      <c r="Z75" s="243"/>
      <c r="AA75" s="243"/>
      <c r="AB75" s="243"/>
      <c r="AC75" s="243"/>
      <c r="AD75" s="243"/>
      <c r="AE75" s="243"/>
      <c r="AF75" s="243"/>
      <c r="AG75" s="208"/>
      <c r="AH75" s="208"/>
      <c r="AI75" s="208"/>
      <c r="AJ75" s="208"/>
      <c r="AK75" s="208"/>
      <c r="AL75" s="208"/>
      <c r="AM75" s="208"/>
      <c r="AN75" s="208"/>
    </row>
    <row r="76">
      <c r="A76" s="314"/>
      <c r="B76" s="238"/>
      <c r="C76" s="96"/>
      <c r="D76" s="212"/>
      <c r="E76" s="96"/>
      <c r="F76" s="212"/>
      <c r="G76" s="212"/>
      <c r="H76" s="28"/>
      <c r="I76" s="28"/>
      <c r="J76" s="239"/>
      <c r="K76" s="240"/>
      <c r="L76" s="241"/>
      <c r="M76" s="240"/>
      <c r="N76" s="136"/>
      <c r="O76" s="239"/>
      <c r="P76" s="239"/>
      <c r="Q76" s="214"/>
      <c r="R76" s="214"/>
      <c r="S76" s="101"/>
      <c r="T76" s="222"/>
      <c r="U76" s="242"/>
      <c r="V76" s="242"/>
      <c r="W76" s="243"/>
      <c r="X76" s="243"/>
      <c r="Y76" s="243"/>
      <c r="Z76" s="243"/>
      <c r="AA76" s="243"/>
      <c r="AB76" s="243"/>
      <c r="AC76" s="243"/>
      <c r="AD76" s="243"/>
      <c r="AE76" s="243"/>
      <c r="AF76" s="243"/>
      <c r="AG76" s="208"/>
      <c r="AH76" s="208"/>
      <c r="AI76" s="208"/>
      <c r="AJ76" s="208"/>
      <c r="AK76" s="208"/>
      <c r="AL76" s="208"/>
      <c r="AM76" s="208"/>
      <c r="AN76" s="208"/>
    </row>
    <row r="77">
      <c r="A77" s="314"/>
      <c r="B77" s="238"/>
      <c r="C77" s="96"/>
      <c r="D77" s="212"/>
      <c r="E77" s="96"/>
      <c r="F77" s="212"/>
      <c r="G77" s="212"/>
      <c r="H77" s="28"/>
      <c r="I77" s="28"/>
      <c r="J77" s="239"/>
      <c r="K77" s="240"/>
      <c r="L77" s="241"/>
      <c r="M77" s="240"/>
      <c r="N77" s="136"/>
      <c r="O77" s="239"/>
      <c r="P77" s="239"/>
      <c r="Q77" s="214"/>
      <c r="R77" s="214"/>
      <c r="S77" s="101"/>
      <c r="T77" s="222"/>
      <c r="U77" s="242"/>
      <c r="V77" s="242"/>
      <c r="W77" s="243"/>
      <c r="X77" s="243"/>
      <c r="Y77" s="243"/>
      <c r="Z77" s="243"/>
      <c r="AA77" s="243"/>
      <c r="AB77" s="243"/>
      <c r="AC77" s="243"/>
      <c r="AD77" s="243"/>
      <c r="AE77" s="243"/>
      <c r="AF77" s="243"/>
      <c r="AG77" s="208"/>
      <c r="AH77" s="208"/>
      <c r="AI77" s="208"/>
      <c r="AJ77" s="208"/>
      <c r="AK77" s="208"/>
      <c r="AL77" s="208"/>
      <c r="AM77" s="208"/>
      <c r="AN77" s="208"/>
    </row>
    <row r="78">
      <c r="A78" s="314"/>
      <c r="B78" s="238"/>
      <c r="C78" s="96"/>
      <c r="D78" s="212"/>
      <c r="E78" s="96"/>
      <c r="F78" s="212"/>
      <c r="G78" s="212"/>
      <c r="H78" s="28"/>
      <c r="I78" s="28"/>
      <c r="J78" s="239"/>
      <c r="K78" s="240"/>
      <c r="L78" s="241"/>
      <c r="M78" s="240"/>
      <c r="N78" s="136"/>
      <c r="O78" s="239"/>
      <c r="P78" s="239"/>
      <c r="Q78" s="214"/>
      <c r="R78" s="214"/>
      <c r="S78" s="101"/>
      <c r="T78" s="222"/>
      <c r="U78" s="242"/>
      <c r="V78" s="242"/>
      <c r="W78" s="243"/>
      <c r="X78" s="243"/>
      <c r="Y78" s="243"/>
      <c r="Z78" s="243"/>
      <c r="AA78" s="243"/>
      <c r="AB78" s="243"/>
      <c r="AC78" s="243"/>
      <c r="AD78" s="243"/>
      <c r="AE78" s="243"/>
      <c r="AF78" s="243"/>
      <c r="AG78" s="208"/>
      <c r="AH78" s="208"/>
      <c r="AI78" s="208"/>
      <c r="AJ78" s="208"/>
      <c r="AK78" s="208"/>
      <c r="AL78" s="208"/>
      <c r="AM78" s="208"/>
      <c r="AN78" s="208"/>
    </row>
    <row r="79">
      <c r="A79" s="314"/>
      <c r="B79" s="238"/>
      <c r="C79" s="96"/>
      <c r="D79" s="212"/>
      <c r="E79" s="96"/>
      <c r="F79" s="212"/>
      <c r="G79" s="212"/>
      <c r="H79" s="28"/>
      <c r="I79" s="28"/>
      <c r="J79" s="239"/>
      <c r="K79" s="240"/>
      <c r="L79" s="241"/>
      <c r="M79" s="240"/>
      <c r="N79" s="136"/>
      <c r="O79" s="239"/>
      <c r="P79" s="239"/>
      <c r="Q79" s="214"/>
      <c r="R79" s="214"/>
      <c r="S79" s="101"/>
      <c r="T79" s="222"/>
      <c r="U79" s="242"/>
      <c r="V79" s="242"/>
      <c r="W79" s="243"/>
      <c r="X79" s="243"/>
      <c r="Y79" s="243"/>
      <c r="Z79" s="243"/>
      <c r="AA79" s="243"/>
      <c r="AB79" s="243"/>
      <c r="AC79" s="243"/>
      <c r="AD79" s="243"/>
      <c r="AE79" s="243"/>
      <c r="AF79" s="243"/>
      <c r="AG79" s="208"/>
      <c r="AH79" s="208"/>
      <c r="AI79" s="208"/>
      <c r="AJ79" s="208"/>
      <c r="AK79" s="208"/>
      <c r="AL79" s="208"/>
      <c r="AM79" s="208"/>
      <c r="AN79" s="208"/>
    </row>
    <row r="80">
      <c r="A80" s="314"/>
      <c r="B80" s="238"/>
      <c r="C80" s="96"/>
      <c r="D80" s="212"/>
      <c r="E80" s="96"/>
      <c r="F80" s="212"/>
      <c r="G80" s="212"/>
      <c r="H80" s="28"/>
      <c r="I80" s="28"/>
      <c r="J80" s="239"/>
      <c r="K80" s="240"/>
      <c r="L80" s="241"/>
      <c r="M80" s="240"/>
      <c r="N80" s="136"/>
      <c r="O80" s="239"/>
      <c r="P80" s="239"/>
      <c r="Q80" s="214"/>
      <c r="R80" s="214"/>
      <c r="S80" s="101"/>
      <c r="T80" s="222"/>
      <c r="U80" s="242"/>
      <c r="V80" s="242"/>
      <c r="W80" s="243"/>
      <c r="X80" s="243"/>
      <c r="Y80" s="243"/>
      <c r="Z80" s="243"/>
      <c r="AA80" s="243"/>
      <c r="AB80" s="243"/>
      <c r="AC80" s="243"/>
      <c r="AD80" s="243"/>
      <c r="AE80" s="243"/>
      <c r="AF80" s="243"/>
      <c r="AG80" s="208"/>
      <c r="AH80" s="208"/>
      <c r="AI80" s="208"/>
      <c r="AJ80" s="208"/>
      <c r="AK80" s="208"/>
      <c r="AL80" s="208"/>
      <c r="AM80" s="208"/>
      <c r="AN80" s="208"/>
    </row>
    <row r="81">
      <c r="A81" s="314"/>
      <c r="B81" s="238"/>
      <c r="C81" s="96"/>
      <c r="D81" s="212"/>
      <c r="E81" s="96"/>
      <c r="F81" s="212"/>
      <c r="G81" s="212"/>
      <c r="H81" s="28"/>
      <c r="I81" s="28"/>
      <c r="J81" s="239"/>
      <c r="K81" s="240"/>
      <c r="L81" s="241"/>
      <c r="M81" s="240"/>
      <c r="N81" s="136"/>
      <c r="O81" s="239"/>
      <c r="P81" s="239"/>
      <c r="Q81" s="214"/>
      <c r="R81" s="214"/>
      <c r="S81" s="101"/>
      <c r="T81" s="222"/>
      <c r="U81" s="242"/>
      <c r="V81" s="242"/>
      <c r="W81" s="243"/>
      <c r="X81" s="243"/>
      <c r="Y81" s="243"/>
      <c r="Z81" s="243"/>
      <c r="AA81" s="243"/>
      <c r="AB81" s="243"/>
      <c r="AC81" s="243"/>
      <c r="AD81" s="243"/>
      <c r="AE81" s="243"/>
      <c r="AF81" s="243"/>
      <c r="AG81" s="208"/>
      <c r="AH81" s="208"/>
      <c r="AI81" s="208"/>
      <c r="AJ81" s="208"/>
      <c r="AK81" s="208"/>
      <c r="AL81" s="208"/>
      <c r="AM81" s="208"/>
      <c r="AN81" s="208"/>
    </row>
    <row r="82">
      <c r="A82" s="314"/>
      <c r="B82" s="238"/>
      <c r="C82" s="96"/>
      <c r="D82" s="212"/>
      <c r="E82" s="96"/>
      <c r="F82" s="212"/>
      <c r="G82" s="212"/>
      <c r="H82" s="28"/>
      <c r="I82" s="28"/>
      <c r="J82" s="239"/>
      <c r="K82" s="240"/>
      <c r="L82" s="241"/>
      <c r="M82" s="240"/>
      <c r="N82" s="136"/>
      <c r="O82" s="239"/>
      <c r="P82" s="239"/>
      <c r="Q82" s="214"/>
      <c r="R82" s="214"/>
      <c r="S82" s="101"/>
      <c r="T82" s="222"/>
      <c r="U82" s="242"/>
      <c r="V82" s="242"/>
      <c r="W82" s="243"/>
      <c r="X82" s="243"/>
      <c r="Y82" s="243"/>
      <c r="Z82" s="243"/>
      <c r="AA82" s="243"/>
      <c r="AB82" s="243"/>
      <c r="AC82" s="243"/>
      <c r="AD82" s="243"/>
      <c r="AE82" s="243"/>
      <c r="AF82" s="243"/>
      <c r="AG82" s="208"/>
      <c r="AH82" s="208"/>
      <c r="AI82" s="208"/>
      <c r="AJ82" s="208"/>
      <c r="AK82" s="208"/>
      <c r="AL82" s="208"/>
      <c r="AM82" s="208"/>
      <c r="AN82" s="208"/>
    </row>
    <row r="83">
      <c r="A83" s="314"/>
      <c r="B83" s="238"/>
      <c r="C83" s="96"/>
      <c r="D83" s="212"/>
      <c r="E83" s="96"/>
      <c r="F83" s="212"/>
      <c r="G83" s="212"/>
      <c r="H83" s="28"/>
      <c r="I83" s="28"/>
      <c r="J83" s="239"/>
      <c r="K83" s="240"/>
      <c r="L83" s="241"/>
      <c r="M83" s="240"/>
      <c r="N83" s="136"/>
      <c r="O83" s="239"/>
      <c r="P83" s="239"/>
      <c r="Q83" s="214"/>
      <c r="R83" s="214"/>
      <c r="S83" s="101"/>
      <c r="T83" s="222"/>
      <c r="U83" s="242"/>
      <c r="V83" s="242"/>
      <c r="W83" s="243"/>
      <c r="X83" s="243"/>
      <c r="Y83" s="243"/>
      <c r="Z83" s="243"/>
      <c r="AA83" s="243"/>
      <c r="AB83" s="243"/>
      <c r="AC83" s="243"/>
      <c r="AD83" s="243"/>
      <c r="AE83" s="243"/>
      <c r="AF83" s="243"/>
      <c r="AG83" s="208"/>
      <c r="AH83" s="208"/>
      <c r="AI83" s="208"/>
      <c r="AJ83" s="208"/>
      <c r="AK83" s="208"/>
      <c r="AL83" s="208"/>
      <c r="AM83" s="208"/>
      <c r="AN83" s="208"/>
    </row>
    <row r="84">
      <c r="A84" s="314"/>
      <c r="B84" s="238"/>
      <c r="C84" s="96"/>
      <c r="D84" s="212"/>
      <c r="E84" s="96"/>
      <c r="F84" s="212"/>
      <c r="G84" s="212"/>
      <c r="H84" s="28"/>
      <c r="I84" s="28"/>
      <c r="J84" s="239"/>
      <c r="K84" s="240"/>
      <c r="L84" s="241"/>
      <c r="M84" s="240"/>
      <c r="N84" s="136"/>
      <c r="O84" s="239"/>
      <c r="P84" s="239"/>
      <c r="Q84" s="214"/>
      <c r="R84" s="214"/>
      <c r="S84" s="101"/>
      <c r="T84" s="222"/>
      <c r="U84" s="242"/>
      <c r="V84" s="242"/>
      <c r="W84" s="243"/>
      <c r="X84" s="243"/>
      <c r="Y84" s="243"/>
      <c r="Z84" s="243"/>
      <c r="AA84" s="243"/>
      <c r="AB84" s="243"/>
      <c r="AC84" s="243"/>
      <c r="AD84" s="243"/>
      <c r="AE84" s="243"/>
      <c r="AF84" s="243"/>
      <c r="AG84" s="208"/>
      <c r="AH84" s="208"/>
      <c r="AI84" s="208"/>
      <c r="AJ84" s="208"/>
      <c r="AK84" s="208"/>
      <c r="AL84" s="208"/>
      <c r="AM84" s="208"/>
      <c r="AN84" s="208"/>
    </row>
    <row r="85">
      <c r="A85" s="314"/>
      <c r="B85" s="238"/>
      <c r="C85" s="96"/>
      <c r="D85" s="212"/>
      <c r="E85" s="96"/>
      <c r="F85" s="212"/>
      <c r="G85" s="212"/>
      <c r="H85" s="28"/>
      <c r="I85" s="28"/>
      <c r="J85" s="239"/>
      <c r="K85" s="240"/>
      <c r="L85" s="241"/>
      <c r="M85" s="240"/>
      <c r="N85" s="136"/>
      <c r="O85" s="239"/>
      <c r="P85" s="239"/>
      <c r="Q85" s="214"/>
      <c r="R85" s="214"/>
      <c r="S85" s="101"/>
      <c r="T85" s="222"/>
      <c r="U85" s="242"/>
      <c r="V85" s="242"/>
      <c r="W85" s="243"/>
      <c r="X85" s="243"/>
      <c r="Y85" s="243"/>
      <c r="Z85" s="243"/>
      <c r="AA85" s="243"/>
      <c r="AB85" s="243"/>
      <c r="AC85" s="243"/>
      <c r="AD85" s="243"/>
      <c r="AE85" s="243"/>
      <c r="AF85" s="243"/>
      <c r="AG85" s="208"/>
      <c r="AH85" s="208"/>
      <c r="AI85" s="208"/>
      <c r="AJ85" s="208"/>
      <c r="AK85" s="208"/>
      <c r="AL85" s="208"/>
      <c r="AM85" s="208"/>
      <c r="AN85" s="208"/>
    </row>
    <row r="86">
      <c r="A86" s="314"/>
      <c r="B86" s="238"/>
      <c r="C86" s="96"/>
      <c r="D86" s="212"/>
      <c r="E86" s="96"/>
      <c r="F86" s="212"/>
      <c r="G86" s="212"/>
      <c r="H86" s="28"/>
      <c r="I86" s="28"/>
      <c r="J86" s="239"/>
      <c r="K86" s="240"/>
      <c r="L86" s="241"/>
      <c r="M86" s="240"/>
      <c r="N86" s="136"/>
      <c r="O86" s="239"/>
      <c r="P86" s="239"/>
      <c r="Q86" s="214"/>
      <c r="R86" s="214"/>
      <c r="S86" s="101"/>
      <c r="T86" s="222"/>
      <c r="U86" s="242"/>
      <c r="V86" s="242"/>
      <c r="W86" s="243"/>
      <c r="X86" s="243"/>
      <c r="Y86" s="243"/>
      <c r="Z86" s="243"/>
      <c r="AA86" s="243"/>
      <c r="AB86" s="243"/>
      <c r="AC86" s="243"/>
      <c r="AD86" s="243"/>
      <c r="AE86" s="243"/>
      <c r="AF86" s="243"/>
      <c r="AG86" s="208"/>
      <c r="AH86" s="208"/>
      <c r="AI86" s="208"/>
      <c r="AJ86" s="208"/>
      <c r="AK86" s="208"/>
      <c r="AL86" s="208"/>
      <c r="AM86" s="208"/>
      <c r="AN86" s="208"/>
    </row>
    <row r="87">
      <c r="A87" s="314"/>
      <c r="B87" s="238"/>
      <c r="C87" s="96"/>
      <c r="D87" s="212"/>
      <c r="E87" s="96"/>
      <c r="F87" s="212"/>
      <c r="G87" s="212"/>
      <c r="H87" s="28"/>
      <c r="I87" s="28"/>
      <c r="J87" s="239"/>
      <c r="K87" s="240"/>
      <c r="L87" s="241"/>
      <c r="M87" s="240"/>
      <c r="N87" s="136"/>
      <c r="O87" s="239"/>
      <c r="P87" s="239"/>
      <c r="Q87" s="214"/>
      <c r="R87" s="214"/>
      <c r="S87" s="101"/>
      <c r="T87" s="222"/>
      <c r="U87" s="242"/>
      <c r="V87" s="242"/>
      <c r="W87" s="243"/>
      <c r="X87" s="243"/>
      <c r="Y87" s="243"/>
      <c r="Z87" s="243"/>
      <c r="AA87" s="243"/>
      <c r="AB87" s="243"/>
      <c r="AC87" s="243"/>
      <c r="AD87" s="243"/>
      <c r="AE87" s="243"/>
      <c r="AF87" s="243"/>
      <c r="AG87" s="208"/>
      <c r="AH87" s="208"/>
      <c r="AI87" s="208"/>
      <c r="AJ87" s="208"/>
      <c r="AK87" s="208"/>
      <c r="AL87" s="208"/>
      <c r="AM87" s="208"/>
      <c r="AN87" s="208"/>
    </row>
    <row r="88">
      <c r="A88" s="314"/>
      <c r="B88" s="238"/>
      <c r="C88" s="96"/>
      <c r="D88" s="212"/>
      <c r="E88" s="96"/>
      <c r="F88" s="212"/>
      <c r="G88" s="212"/>
      <c r="H88" s="28"/>
      <c r="I88" s="28"/>
      <c r="J88" s="239"/>
      <c r="K88" s="240"/>
      <c r="L88" s="241"/>
      <c r="M88" s="240"/>
      <c r="N88" s="136"/>
      <c r="O88" s="239"/>
      <c r="P88" s="239"/>
      <c r="Q88" s="214"/>
      <c r="R88" s="214"/>
      <c r="S88" s="101"/>
      <c r="T88" s="222"/>
      <c r="U88" s="242"/>
      <c r="V88" s="242"/>
      <c r="W88" s="243"/>
      <c r="X88" s="243"/>
      <c r="Y88" s="243"/>
      <c r="Z88" s="243"/>
      <c r="AA88" s="243"/>
      <c r="AB88" s="243"/>
      <c r="AC88" s="243"/>
      <c r="AD88" s="243"/>
      <c r="AE88" s="243"/>
      <c r="AF88" s="243"/>
      <c r="AG88" s="208"/>
      <c r="AH88" s="208"/>
      <c r="AI88" s="208"/>
      <c r="AJ88" s="208"/>
      <c r="AK88" s="208"/>
      <c r="AL88" s="208"/>
      <c r="AM88" s="208"/>
      <c r="AN88" s="208"/>
    </row>
    <row r="89">
      <c r="A89" s="314"/>
      <c r="B89" s="238"/>
      <c r="C89" s="96"/>
      <c r="D89" s="212"/>
      <c r="E89" s="96"/>
      <c r="F89" s="212"/>
      <c r="G89" s="212"/>
      <c r="H89" s="28"/>
      <c r="I89" s="28"/>
      <c r="J89" s="239"/>
      <c r="K89" s="240"/>
      <c r="L89" s="241"/>
      <c r="M89" s="240"/>
      <c r="N89" s="136"/>
      <c r="O89" s="239"/>
      <c r="P89" s="239"/>
      <c r="Q89" s="214"/>
      <c r="R89" s="214"/>
      <c r="S89" s="101"/>
      <c r="T89" s="222"/>
      <c r="U89" s="242"/>
      <c r="V89" s="242"/>
      <c r="W89" s="243"/>
      <c r="X89" s="243"/>
      <c r="Y89" s="243"/>
      <c r="Z89" s="243"/>
      <c r="AA89" s="243"/>
      <c r="AB89" s="243"/>
      <c r="AC89" s="243"/>
      <c r="AD89" s="243"/>
      <c r="AE89" s="243"/>
      <c r="AF89" s="243"/>
      <c r="AG89" s="208"/>
      <c r="AH89" s="208"/>
      <c r="AI89" s="208"/>
      <c r="AJ89" s="208"/>
      <c r="AK89" s="208"/>
      <c r="AL89" s="208"/>
      <c r="AM89" s="208"/>
      <c r="AN89" s="208"/>
    </row>
    <row r="90">
      <c r="A90" s="314"/>
      <c r="B90" s="238"/>
      <c r="C90" s="96"/>
      <c r="D90" s="212"/>
      <c r="E90" s="96"/>
      <c r="F90" s="212"/>
      <c r="G90" s="212"/>
      <c r="H90" s="28"/>
      <c r="I90" s="28"/>
      <c r="J90" s="239"/>
      <c r="K90" s="240"/>
      <c r="L90" s="241"/>
      <c r="M90" s="240"/>
      <c r="N90" s="136"/>
      <c r="O90" s="239"/>
      <c r="P90" s="239"/>
      <c r="Q90" s="214"/>
      <c r="R90" s="214"/>
      <c r="S90" s="101"/>
      <c r="T90" s="222"/>
      <c r="U90" s="242"/>
      <c r="V90" s="242"/>
      <c r="W90" s="243"/>
      <c r="X90" s="243"/>
      <c r="Y90" s="243"/>
      <c r="Z90" s="243"/>
      <c r="AA90" s="243"/>
      <c r="AB90" s="243"/>
      <c r="AC90" s="243"/>
      <c r="AD90" s="243"/>
      <c r="AE90" s="243"/>
      <c r="AF90" s="243"/>
      <c r="AG90" s="208"/>
      <c r="AH90" s="208"/>
      <c r="AI90" s="208"/>
      <c r="AJ90" s="208"/>
      <c r="AK90" s="208"/>
      <c r="AL90" s="208"/>
      <c r="AM90" s="208"/>
      <c r="AN90" s="208"/>
    </row>
    <row r="91">
      <c r="A91" s="314"/>
      <c r="B91" s="238"/>
      <c r="C91" s="96"/>
      <c r="D91" s="212"/>
      <c r="E91" s="96"/>
      <c r="F91" s="212"/>
      <c r="G91" s="212"/>
      <c r="H91" s="28"/>
      <c r="I91" s="28"/>
      <c r="J91" s="239"/>
      <c r="K91" s="240"/>
      <c r="L91" s="241"/>
      <c r="M91" s="240"/>
      <c r="N91" s="136"/>
      <c r="O91" s="239"/>
      <c r="P91" s="239"/>
      <c r="Q91" s="214"/>
      <c r="R91" s="214"/>
      <c r="S91" s="101"/>
      <c r="T91" s="222"/>
      <c r="U91" s="242"/>
      <c r="V91" s="242"/>
      <c r="W91" s="243"/>
      <c r="X91" s="243"/>
      <c r="Y91" s="243"/>
      <c r="Z91" s="243"/>
      <c r="AA91" s="243"/>
      <c r="AB91" s="243"/>
      <c r="AC91" s="243"/>
      <c r="AD91" s="243"/>
      <c r="AE91" s="243"/>
      <c r="AF91" s="243"/>
      <c r="AG91" s="208"/>
      <c r="AH91" s="208"/>
      <c r="AI91" s="208"/>
      <c r="AJ91" s="208"/>
      <c r="AK91" s="208"/>
      <c r="AL91" s="208"/>
      <c r="AM91" s="208"/>
      <c r="AN91" s="208"/>
    </row>
    <row r="92">
      <c r="A92" s="314"/>
      <c r="B92" s="238"/>
      <c r="C92" s="96"/>
      <c r="D92" s="212"/>
      <c r="E92" s="96"/>
      <c r="F92" s="212"/>
      <c r="G92" s="212"/>
      <c r="H92" s="28"/>
      <c r="I92" s="28"/>
      <c r="J92" s="239"/>
      <c r="K92" s="240"/>
      <c r="L92" s="241"/>
      <c r="M92" s="240"/>
      <c r="N92" s="136"/>
      <c r="O92" s="239"/>
      <c r="P92" s="239"/>
      <c r="Q92" s="214"/>
      <c r="R92" s="214"/>
      <c r="S92" s="101"/>
      <c r="T92" s="222"/>
      <c r="U92" s="242"/>
      <c r="V92" s="242"/>
      <c r="W92" s="243"/>
      <c r="X92" s="243"/>
      <c r="Y92" s="243"/>
      <c r="Z92" s="243"/>
      <c r="AA92" s="243"/>
      <c r="AB92" s="243"/>
      <c r="AC92" s="243"/>
      <c r="AD92" s="243"/>
      <c r="AE92" s="243"/>
      <c r="AF92" s="243"/>
      <c r="AG92" s="208"/>
      <c r="AH92" s="208"/>
      <c r="AI92" s="208"/>
      <c r="AJ92" s="208"/>
      <c r="AK92" s="208"/>
      <c r="AL92" s="208"/>
      <c r="AM92" s="208"/>
      <c r="AN92" s="208"/>
    </row>
    <row r="93">
      <c r="A93" s="314"/>
      <c r="B93" s="238"/>
      <c r="C93" s="96"/>
      <c r="D93" s="212"/>
      <c r="E93" s="96"/>
      <c r="F93" s="212"/>
      <c r="G93" s="212"/>
      <c r="H93" s="28"/>
      <c r="I93" s="28"/>
      <c r="J93" s="239"/>
      <c r="K93" s="240"/>
      <c r="L93" s="241"/>
      <c r="M93" s="240"/>
      <c r="N93" s="136"/>
      <c r="O93" s="239"/>
      <c r="P93" s="239"/>
      <c r="Q93" s="214"/>
      <c r="R93" s="214"/>
      <c r="S93" s="101"/>
      <c r="T93" s="222"/>
      <c r="U93" s="242"/>
      <c r="V93" s="242"/>
      <c r="W93" s="243"/>
      <c r="X93" s="243"/>
      <c r="Y93" s="243"/>
      <c r="Z93" s="243"/>
      <c r="AA93" s="243"/>
      <c r="AB93" s="243"/>
      <c r="AC93" s="243"/>
      <c r="AD93" s="243"/>
      <c r="AE93" s="243"/>
      <c r="AF93" s="243"/>
      <c r="AG93" s="208"/>
      <c r="AH93" s="208"/>
      <c r="AI93" s="208"/>
      <c r="AJ93" s="208"/>
      <c r="AK93" s="208"/>
      <c r="AL93" s="208"/>
      <c r="AM93" s="208"/>
      <c r="AN93" s="208"/>
    </row>
    <row r="94">
      <c r="A94" s="314"/>
      <c r="B94" s="238"/>
      <c r="C94" s="96"/>
      <c r="D94" s="212"/>
      <c r="E94" s="96"/>
      <c r="F94" s="212"/>
      <c r="G94" s="212"/>
      <c r="H94" s="28"/>
      <c r="I94" s="28"/>
      <c r="J94" s="239"/>
      <c r="K94" s="240"/>
      <c r="L94" s="241"/>
      <c r="M94" s="240"/>
      <c r="N94" s="136"/>
      <c r="O94" s="239"/>
      <c r="P94" s="239"/>
      <c r="Q94" s="214"/>
      <c r="R94" s="214"/>
      <c r="S94" s="101"/>
      <c r="T94" s="222"/>
      <c r="U94" s="242"/>
      <c r="V94" s="242"/>
      <c r="W94" s="243"/>
      <c r="X94" s="243"/>
      <c r="Y94" s="243"/>
      <c r="Z94" s="243"/>
      <c r="AA94" s="243"/>
      <c r="AB94" s="243"/>
      <c r="AC94" s="243"/>
      <c r="AD94" s="243"/>
      <c r="AE94" s="243"/>
      <c r="AF94" s="243"/>
      <c r="AG94" s="208"/>
      <c r="AH94" s="208"/>
      <c r="AI94" s="208"/>
      <c r="AJ94" s="208"/>
      <c r="AK94" s="208"/>
      <c r="AL94" s="208"/>
      <c r="AM94" s="208"/>
      <c r="AN94" s="208"/>
    </row>
    <row r="95">
      <c r="A95" s="314"/>
      <c r="B95" s="238"/>
      <c r="C95" s="96"/>
      <c r="D95" s="212"/>
      <c r="E95" s="96"/>
      <c r="F95" s="212"/>
      <c r="G95" s="212"/>
      <c r="H95" s="28"/>
      <c r="I95" s="28"/>
      <c r="J95" s="239"/>
      <c r="K95" s="240"/>
      <c r="L95" s="241"/>
      <c r="M95" s="240"/>
      <c r="N95" s="136"/>
      <c r="O95" s="239"/>
      <c r="P95" s="239"/>
      <c r="Q95" s="214"/>
      <c r="R95" s="214"/>
      <c r="S95" s="101"/>
      <c r="T95" s="222"/>
      <c r="U95" s="242"/>
      <c r="V95" s="242"/>
      <c r="W95" s="243"/>
      <c r="X95" s="243"/>
      <c r="Y95" s="243"/>
      <c r="Z95" s="243"/>
      <c r="AA95" s="243"/>
      <c r="AB95" s="243"/>
      <c r="AC95" s="243"/>
      <c r="AD95" s="243"/>
      <c r="AE95" s="243"/>
      <c r="AF95" s="243"/>
      <c r="AG95" s="208"/>
      <c r="AH95" s="208"/>
      <c r="AI95" s="208"/>
      <c r="AJ95" s="208"/>
      <c r="AK95" s="208"/>
      <c r="AL95" s="208"/>
      <c r="AM95" s="208"/>
      <c r="AN95" s="208"/>
    </row>
    <row r="96">
      <c r="A96" s="314"/>
      <c r="B96" s="238"/>
      <c r="C96" s="96"/>
      <c r="D96" s="212"/>
      <c r="E96" s="96"/>
      <c r="F96" s="212"/>
      <c r="G96" s="212"/>
      <c r="H96" s="28"/>
      <c r="I96" s="28"/>
      <c r="J96" s="239"/>
      <c r="K96" s="240"/>
      <c r="L96" s="241"/>
      <c r="M96" s="240"/>
      <c r="N96" s="136"/>
      <c r="O96" s="239"/>
      <c r="P96" s="239"/>
      <c r="Q96" s="214"/>
      <c r="R96" s="214"/>
      <c r="S96" s="101"/>
      <c r="T96" s="222"/>
      <c r="U96" s="242"/>
      <c r="V96" s="242"/>
      <c r="W96" s="243"/>
      <c r="X96" s="243"/>
      <c r="Y96" s="243"/>
      <c r="Z96" s="243"/>
      <c r="AA96" s="243"/>
      <c r="AB96" s="243"/>
      <c r="AC96" s="243"/>
      <c r="AD96" s="243"/>
      <c r="AE96" s="243"/>
      <c r="AF96" s="243"/>
      <c r="AG96" s="208"/>
      <c r="AH96" s="208"/>
      <c r="AI96" s="208"/>
      <c r="AJ96" s="208"/>
      <c r="AK96" s="208"/>
      <c r="AL96" s="208"/>
      <c r="AM96" s="208"/>
      <c r="AN96" s="208"/>
    </row>
    <row r="97">
      <c r="A97" s="314"/>
      <c r="B97" s="238"/>
      <c r="C97" s="96"/>
      <c r="D97" s="212"/>
      <c r="E97" s="96"/>
      <c r="F97" s="212"/>
      <c r="G97" s="212"/>
      <c r="H97" s="28"/>
      <c r="I97" s="28"/>
      <c r="J97" s="239"/>
      <c r="K97" s="240"/>
      <c r="L97" s="241"/>
      <c r="M97" s="240"/>
      <c r="N97" s="136"/>
      <c r="O97" s="239"/>
      <c r="P97" s="239"/>
      <c r="Q97" s="214"/>
      <c r="R97" s="214"/>
      <c r="S97" s="101"/>
      <c r="T97" s="222"/>
      <c r="U97" s="242"/>
      <c r="V97" s="242"/>
      <c r="W97" s="243"/>
      <c r="X97" s="243"/>
      <c r="Y97" s="243"/>
      <c r="Z97" s="243"/>
      <c r="AA97" s="243"/>
      <c r="AB97" s="243"/>
      <c r="AC97" s="243"/>
      <c r="AD97" s="243"/>
      <c r="AE97" s="243"/>
      <c r="AF97" s="243"/>
      <c r="AG97" s="208"/>
      <c r="AH97" s="208"/>
      <c r="AI97" s="208"/>
      <c r="AJ97" s="208"/>
      <c r="AK97" s="208"/>
      <c r="AL97" s="208"/>
      <c r="AM97" s="208"/>
      <c r="AN97" s="208"/>
    </row>
    <row r="98">
      <c r="A98" s="314"/>
      <c r="B98" s="238"/>
      <c r="C98" s="96"/>
      <c r="D98" s="212"/>
      <c r="E98" s="96"/>
      <c r="F98" s="212"/>
      <c r="G98" s="212"/>
      <c r="H98" s="28"/>
      <c r="I98" s="28"/>
      <c r="J98" s="239"/>
      <c r="K98" s="240"/>
      <c r="L98" s="241"/>
      <c r="M98" s="240"/>
      <c r="N98" s="136"/>
      <c r="O98" s="239"/>
      <c r="P98" s="239"/>
      <c r="Q98" s="214"/>
      <c r="R98" s="214"/>
      <c r="S98" s="101"/>
      <c r="T98" s="222"/>
      <c r="U98" s="242"/>
      <c r="V98" s="242"/>
      <c r="W98" s="243"/>
      <c r="X98" s="243"/>
      <c r="Y98" s="243"/>
      <c r="Z98" s="243"/>
      <c r="AA98" s="243"/>
      <c r="AB98" s="243"/>
      <c r="AC98" s="243"/>
      <c r="AD98" s="243"/>
      <c r="AE98" s="243"/>
      <c r="AF98" s="243"/>
      <c r="AG98" s="208"/>
      <c r="AH98" s="208"/>
      <c r="AI98" s="208"/>
      <c r="AJ98" s="208"/>
      <c r="AK98" s="208"/>
      <c r="AL98" s="208"/>
      <c r="AM98" s="208"/>
      <c r="AN98" s="208"/>
    </row>
    <row r="99">
      <c r="A99" s="314"/>
      <c r="B99" s="238"/>
      <c r="C99" s="96"/>
      <c r="D99" s="212"/>
      <c r="E99" s="96"/>
      <c r="F99" s="212"/>
      <c r="G99" s="212"/>
      <c r="H99" s="28"/>
      <c r="I99" s="28"/>
      <c r="J99" s="239"/>
      <c r="K99" s="240"/>
      <c r="L99" s="241"/>
      <c r="M99" s="240"/>
      <c r="N99" s="136"/>
      <c r="O99" s="239"/>
      <c r="P99" s="239"/>
      <c r="Q99" s="214"/>
      <c r="R99" s="214"/>
      <c r="S99" s="101"/>
      <c r="T99" s="222"/>
      <c r="U99" s="242"/>
      <c r="V99" s="242"/>
      <c r="W99" s="243"/>
      <c r="X99" s="243"/>
      <c r="Y99" s="243"/>
      <c r="Z99" s="243"/>
      <c r="AA99" s="243"/>
      <c r="AB99" s="243"/>
      <c r="AC99" s="243"/>
      <c r="AD99" s="243"/>
      <c r="AE99" s="243"/>
      <c r="AF99" s="243"/>
      <c r="AG99" s="208"/>
      <c r="AH99" s="208"/>
      <c r="AI99" s="208"/>
      <c r="AJ99" s="208"/>
      <c r="AK99" s="208"/>
      <c r="AL99" s="208"/>
      <c r="AM99" s="208"/>
      <c r="AN99" s="208"/>
    </row>
    <row r="100">
      <c r="A100" s="314"/>
      <c r="B100" s="238"/>
      <c r="C100" s="96"/>
      <c r="D100" s="212"/>
      <c r="E100" s="96"/>
      <c r="F100" s="212"/>
      <c r="G100" s="212"/>
      <c r="H100" s="28"/>
      <c r="I100" s="28"/>
      <c r="J100" s="239"/>
      <c r="K100" s="240"/>
      <c r="L100" s="241"/>
      <c r="M100" s="240"/>
      <c r="N100" s="136"/>
      <c r="O100" s="239"/>
      <c r="P100" s="239"/>
      <c r="Q100" s="214"/>
      <c r="R100" s="214"/>
      <c r="S100" s="101"/>
      <c r="T100" s="222"/>
      <c r="U100" s="242"/>
      <c r="V100" s="242"/>
      <c r="W100" s="243"/>
      <c r="X100" s="243"/>
      <c r="Y100" s="243"/>
      <c r="Z100" s="243"/>
      <c r="AA100" s="243"/>
      <c r="AB100" s="243"/>
      <c r="AC100" s="243"/>
      <c r="AD100" s="243"/>
      <c r="AE100" s="243"/>
      <c r="AF100" s="243"/>
      <c r="AG100" s="208"/>
      <c r="AH100" s="208"/>
      <c r="AI100" s="208"/>
      <c r="AJ100" s="208"/>
      <c r="AK100" s="208"/>
      <c r="AL100" s="208"/>
      <c r="AM100" s="208"/>
      <c r="AN100" s="208"/>
    </row>
    <row r="101">
      <c r="A101" s="314"/>
      <c r="B101" s="238"/>
      <c r="C101" s="96"/>
      <c r="D101" s="212"/>
      <c r="E101" s="96"/>
      <c r="F101" s="212"/>
      <c r="G101" s="212"/>
      <c r="H101" s="28"/>
      <c r="I101" s="28"/>
      <c r="J101" s="239"/>
      <c r="K101" s="240"/>
      <c r="L101" s="241"/>
      <c r="M101" s="240"/>
      <c r="N101" s="136"/>
      <c r="O101" s="239"/>
      <c r="P101" s="239"/>
      <c r="Q101" s="214"/>
      <c r="R101" s="214"/>
      <c r="S101" s="101"/>
      <c r="T101" s="222"/>
      <c r="U101" s="242"/>
      <c r="V101" s="242"/>
      <c r="W101" s="243"/>
      <c r="X101" s="243"/>
      <c r="Y101" s="243"/>
      <c r="Z101" s="243"/>
      <c r="AA101" s="243"/>
      <c r="AB101" s="243"/>
      <c r="AC101" s="243"/>
      <c r="AD101" s="243"/>
      <c r="AE101" s="243"/>
      <c r="AF101" s="243"/>
      <c r="AG101" s="208"/>
      <c r="AH101" s="208"/>
      <c r="AI101" s="208"/>
      <c r="AJ101" s="208"/>
      <c r="AK101" s="208"/>
      <c r="AL101" s="208"/>
      <c r="AM101" s="208"/>
      <c r="AN101" s="208"/>
    </row>
    <row r="102">
      <c r="A102" s="314"/>
      <c r="B102" s="238"/>
      <c r="C102" s="96"/>
      <c r="D102" s="212"/>
      <c r="E102" s="96"/>
      <c r="F102" s="212"/>
      <c r="G102" s="212"/>
      <c r="H102" s="28"/>
      <c r="I102" s="28"/>
      <c r="J102" s="239"/>
      <c r="K102" s="240"/>
      <c r="L102" s="241"/>
      <c r="M102" s="240"/>
      <c r="N102" s="136"/>
      <c r="O102" s="239"/>
      <c r="P102" s="239"/>
      <c r="Q102" s="214"/>
      <c r="R102" s="214"/>
      <c r="S102" s="101"/>
      <c r="T102" s="222"/>
      <c r="U102" s="242"/>
      <c r="V102" s="242"/>
      <c r="W102" s="243"/>
      <c r="X102" s="243"/>
      <c r="Y102" s="243"/>
      <c r="Z102" s="243"/>
      <c r="AA102" s="243"/>
      <c r="AB102" s="243"/>
      <c r="AC102" s="243"/>
      <c r="AD102" s="243"/>
      <c r="AE102" s="243"/>
      <c r="AF102" s="243"/>
      <c r="AG102" s="208"/>
      <c r="AH102" s="208"/>
      <c r="AI102" s="208"/>
      <c r="AJ102" s="208"/>
      <c r="AK102" s="208"/>
      <c r="AL102" s="208"/>
      <c r="AM102" s="208"/>
      <c r="AN102" s="208"/>
    </row>
    <row r="103">
      <c r="A103" s="314"/>
      <c r="B103" s="238"/>
      <c r="C103" s="96"/>
      <c r="D103" s="212"/>
      <c r="E103" s="96"/>
      <c r="F103" s="212"/>
      <c r="G103" s="212"/>
      <c r="H103" s="28"/>
      <c r="I103" s="28"/>
      <c r="J103" s="239"/>
      <c r="K103" s="240"/>
      <c r="L103" s="241"/>
      <c r="M103" s="240"/>
      <c r="N103" s="136"/>
      <c r="O103" s="239"/>
      <c r="P103" s="239"/>
      <c r="Q103" s="214"/>
      <c r="R103" s="214"/>
      <c r="S103" s="101"/>
      <c r="T103" s="222"/>
      <c r="U103" s="242"/>
      <c r="V103" s="242"/>
      <c r="W103" s="243"/>
      <c r="X103" s="243"/>
      <c r="Y103" s="243"/>
      <c r="Z103" s="243"/>
      <c r="AA103" s="243"/>
      <c r="AB103" s="243"/>
      <c r="AC103" s="243"/>
      <c r="AD103" s="243"/>
      <c r="AE103" s="243"/>
      <c r="AF103" s="243"/>
      <c r="AG103" s="208"/>
      <c r="AH103" s="208"/>
      <c r="AI103" s="208"/>
      <c r="AJ103" s="208"/>
      <c r="AK103" s="208"/>
      <c r="AL103" s="208"/>
      <c r="AM103" s="208"/>
      <c r="AN103" s="208"/>
    </row>
    <row r="104">
      <c r="A104" s="314"/>
      <c r="B104" s="238"/>
      <c r="C104" s="96"/>
      <c r="D104" s="212"/>
      <c r="E104" s="96"/>
      <c r="F104" s="212"/>
      <c r="G104" s="212"/>
      <c r="H104" s="28"/>
      <c r="I104" s="28"/>
      <c r="J104" s="239"/>
      <c r="K104" s="240"/>
      <c r="L104" s="241"/>
      <c r="M104" s="240"/>
      <c r="N104" s="136"/>
      <c r="O104" s="239"/>
      <c r="P104" s="239"/>
      <c r="Q104" s="214"/>
      <c r="R104" s="214"/>
      <c r="S104" s="101"/>
      <c r="T104" s="222"/>
      <c r="U104" s="242"/>
      <c r="V104" s="242"/>
      <c r="W104" s="243"/>
      <c r="X104" s="243"/>
      <c r="Y104" s="243"/>
      <c r="Z104" s="243"/>
      <c r="AA104" s="243"/>
      <c r="AB104" s="243"/>
      <c r="AC104" s="243"/>
      <c r="AD104" s="243"/>
      <c r="AE104" s="243"/>
      <c r="AF104" s="243"/>
      <c r="AG104" s="208"/>
      <c r="AH104" s="208"/>
      <c r="AI104" s="208"/>
      <c r="AJ104" s="208"/>
      <c r="AK104" s="208"/>
      <c r="AL104" s="208"/>
      <c r="AM104" s="208"/>
      <c r="AN104" s="208"/>
    </row>
    <row r="105">
      <c r="A105" s="314"/>
      <c r="B105" s="238"/>
      <c r="C105" s="96"/>
      <c r="D105" s="212"/>
      <c r="E105" s="96"/>
      <c r="F105" s="212"/>
      <c r="G105" s="212"/>
      <c r="H105" s="28"/>
      <c r="I105" s="28"/>
      <c r="J105" s="239"/>
      <c r="K105" s="240"/>
      <c r="L105" s="241"/>
      <c r="M105" s="240"/>
      <c r="N105" s="136"/>
      <c r="O105" s="239"/>
      <c r="P105" s="239"/>
      <c r="Q105" s="214"/>
      <c r="R105" s="214"/>
      <c r="S105" s="101"/>
      <c r="T105" s="222"/>
      <c r="U105" s="242"/>
      <c r="V105" s="242"/>
      <c r="W105" s="243"/>
      <c r="X105" s="243"/>
      <c r="Y105" s="243"/>
      <c r="Z105" s="243"/>
      <c r="AA105" s="243"/>
      <c r="AB105" s="243"/>
      <c r="AC105" s="243"/>
      <c r="AD105" s="243"/>
      <c r="AE105" s="243"/>
      <c r="AF105" s="243"/>
      <c r="AG105" s="208"/>
      <c r="AH105" s="208"/>
      <c r="AI105" s="208"/>
      <c r="AJ105" s="208"/>
      <c r="AK105" s="208"/>
      <c r="AL105" s="208"/>
      <c r="AM105" s="208"/>
      <c r="AN105" s="208"/>
    </row>
    <row r="106">
      <c r="A106" s="314"/>
      <c r="B106" s="238"/>
      <c r="C106" s="96"/>
      <c r="D106" s="212"/>
      <c r="E106" s="96"/>
      <c r="F106" s="212"/>
      <c r="G106" s="212"/>
      <c r="H106" s="28"/>
      <c r="I106" s="28"/>
      <c r="J106" s="239"/>
      <c r="K106" s="240"/>
      <c r="L106" s="241"/>
      <c r="M106" s="240"/>
      <c r="N106" s="136"/>
      <c r="O106" s="239"/>
      <c r="P106" s="239"/>
      <c r="Q106" s="214"/>
      <c r="R106" s="214"/>
      <c r="S106" s="101"/>
      <c r="T106" s="222"/>
      <c r="U106" s="242"/>
      <c r="V106" s="242"/>
      <c r="W106" s="243"/>
      <c r="X106" s="243"/>
      <c r="Y106" s="243"/>
      <c r="Z106" s="243"/>
      <c r="AA106" s="243"/>
      <c r="AB106" s="243"/>
      <c r="AC106" s="243"/>
      <c r="AD106" s="243"/>
      <c r="AE106" s="243"/>
      <c r="AF106" s="243"/>
      <c r="AG106" s="208"/>
      <c r="AH106" s="208"/>
      <c r="AI106" s="208"/>
      <c r="AJ106" s="208"/>
      <c r="AK106" s="208"/>
      <c r="AL106" s="208"/>
      <c r="AM106" s="208"/>
      <c r="AN106" s="208"/>
    </row>
    <row r="107">
      <c r="A107" s="314"/>
      <c r="B107" s="238"/>
      <c r="C107" s="96"/>
      <c r="D107" s="212"/>
      <c r="E107" s="96"/>
      <c r="F107" s="212"/>
      <c r="G107" s="212"/>
      <c r="H107" s="28"/>
      <c r="I107" s="28"/>
      <c r="J107" s="239"/>
      <c r="K107" s="240"/>
      <c r="L107" s="241"/>
      <c r="M107" s="240"/>
      <c r="N107" s="136"/>
      <c r="O107" s="239"/>
      <c r="P107" s="239"/>
      <c r="Q107" s="214"/>
      <c r="R107" s="214"/>
      <c r="S107" s="101"/>
      <c r="T107" s="222"/>
      <c r="U107" s="242"/>
      <c r="V107" s="242"/>
      <c r="W107" s="243"/>
      <c r="X107" s="243"/>
      <c r="Y107" s="243"/>
      <c r="Z107" s="243"/>
      <c r="AA107" s="243"/>
      <c r="AB107" s="243"/>
      <c r="AC107" s="243"/>
      <c r="AD107" s="243"/>
      <c r="AE107" s="243"/>
      <c r="AF107" s="243"/>
      <c r="AG107" s="208"/>
      <c r="AH107" s="208"/>
      <c r="AI107" s="208"/>
      <c r="AJ107" s="208"/>
      <c r="AK107" s="208"/>
      <c r="AL107" s="208"/>
      <c r="AM107" s="208"/>
      <c r="AN107" s="208"/>
    </row>
    <row r="108">
      <c r="A108" s="314"/>
      <c r="B108" s="238"/>
      <c r="C108" s="96"/>
      <c r="D108" s="212"/>
      <c r="E108" s="96"/>
      <c r="F108" s="212"/>
      <c r="G108" s="212"/>
      <c r="H108" s="28"/>
      <c r="I108" s="28"/>
      <c r="J108" s="239"/>
      <c r="K108" s="240"/>
      <c r="L108" s="241"/>
      <c r="M108" s="240"/>
      <c r="N108" s="136"/>
      <c r="O108" s="239"/>
      <c r="P108" s="239"/>
      <c r="Q108" s="214"/>
      <c r="R108" s="214"/>
      <c r="S108" s="101"/>
      <c r="T108" s="222"/>
      <c r="U108" s="242"/>
      <c r="V108" s="242"/>
      <c r="W108" s="243"/>
      <c r="X108" s="243"/>
      <c r="Y108" s="243"/>
      <c r="Z108" s="243"/>
      <c r="AA108" s="243"/>
      <c r="AB108" s="243"/>
      <c r="AC108" s="243"/>
      <c r="AD108" s="243"/>
      <c r="AE108" s="243"/>
      <c r="AF108" s="243"/>
      <c r="AG108" s="208"/>
      <c r="AH108" s="208"/>
      <c r="AI108" s="208"/>
      <c r="AJ108" s="208"/>
      <c r="AK108" s="208"/>
      <c r="AL108" s="208"/>
      <c r="AM108" s="208"/>
      <c r="AN108" s="208"/>
    </row>
    <row r="109">
      <c r="A109" s="314"/>
      <c r="B109" s="238"/>
      <c r="C109" s="96"/>
      <c r="D109" s="212"/>
      <c r="E109" s="96"/>
      <c r="F109" s="212"/>
      <c r="G109" s="212"/>
      <c r="H109" s="28"/>
      <c r="I109" s="28"/>
      <c r="J109" s="239"/>
      <c r="K109" s="240"/>
      <c r="L109" s="241"/>
      <c r="M109" s="240"/>
      <c r="N109" s="136"/>
      <c r="O109" s="239"/>
      <c r="P109" s="239"/>
      <c r="Q109" s="214"/>
      <c r="R109" s="214"/>
      <c r="S109" s="101"/>
      <c r="T109" s="222"/>
      <c r="U109" s="242"/>
      <c r="V109" s="242"/>
      <c r="W109" s="243"/>
      <c r="X109" s="243"/>
      <c r="Y109" s="243"/>
      <c r="Z109" s="243"/>
      <c r="AA109" s="243"/>
      <c r="AB109" s="243"/>
      <c r="AC109" s="243"/>
      <c r="AD109" s="243"/>
      <c r="AE109" s="243"/>
      <c r="AF109" s="243"/>
      <c r="AG109" s="208"/>
      <c r="AH109" s="208"/>
      <c r="AI109" s="208"/>
      <c r="AJ109" s="208"/>
      <c r="AK109" s="208"/>
      <c r="AL109" s="208"/>
      <c r="AM109" s="208"/>
      <c r="AN109" s="208"/>
    </row>
    <row r="110">
      <c r="A110" s="314"/>
      <c r="B110" s="238"/>
      <c r="C110" s="96"/>
      <c r="D110" s="212"/>
      <c r="E110" s="96"/>
      <c r="F110" s="212"/>
      <c r="G110" s="212"/>
      <c r="H110" s="28"/>
      <c r="I110" s="28"/>
      <c r="J110" s="239"/>
      <c r="K110" s="240"/>
      <c r="L110" s="241"/>
      <c r="M110" s="240"/>
      <c r="N110" s="136"/>
      <c r="O110" s="239"/>
      <c r="P110" s="239"/>
      <c r="Q110" s="214"/>
      <c r="R110" s="214"/>
      <c r="S110" s="101"/>
      <c r="T110" s="222"/>
      <c r="U110" s="242"/>
      <c r="V110" s="242"/>
      <c r="W110" s="243"/>
      <c r="X110" s="243"/>
      <c r="Y110" s="243"/>
      <c r="Z110" s="243"/>
      <c r="AA110" s="243"/>
      <c r="AB110" s="243"/>
      <c r="AC110" s="243"/>
      <c r="AD110" s="243"/>
      <c r="AE110" s="243"/>
      <c r="AF110" s="243"/>
      <c r="AG110" s="208"/>
      <c r="AH110" s="208"/>
      <c r="AI110" s="208"/>
      <c r="AJ110" s="208"/>
      <c r="AK110" s="208"/>
      <c r="AL110" s="208"/>
      <c r="AM110" s="208"/>
      <c r="AN110" s="208"/>
    </row>
    <row r="111">
      <c r="A111" s="314"/>
      <c r="B111" s="238"/>
      <c r="C111" s="96"/>
      <c r="D111" s="212"/>
      <c r="E111" s="96"/>
      <c r="F111" s="212"/>
      <c r="G111" s="212"/>
      <c r="H111" s="28"/>
      <c r="I111" s="28"/>
      <c r="J111" s="239"/>
      <c r="K111" s="240"/>
      <c r="L111" s="241"/>
      <c r="M111" s="240"/>
      <c r="N111" s="136"/>
      <c r="O111" s="239"/>
      <c r="P111" s="239"/>
      <c r="Q111" s="214"/>
      <c r="R111" s="214"/>
      <c r="S111" s="101"/>
      <c r="T111" s="222"/>
      <c r="U111" s="242"/>
      <c r="V111" s="242"/>
      <c r="W111" s="243"/>
      <c r="X111" s="243"/>
      <c r="Y111" s="243"/>
      <c r="Z111" s="243"/>
      <c r="AA111" s="243"/>
      <c r="AB111" s="243"/>
      <c r="AC111" s="243"/>
      <c r="AD111" s="243"/>
      <c r="AE111" s="243"/>
      <c r="AF111" s="243"/>
      <c r="AG111" s="208"/>
      <c r="AH111" s="208"/>
      <c r="AI111" s="208"/>
      <c r="AJ111" s="208"/>
      <c r="AK111" s="208"/>
      <c r="AL111" s="208"/>
      <c r="AM111" s="208"/>
      <c r="AN111" s="208"/>
    </row>
    <row r="112">
      <c r="A112" s="314"/>
      <c r="B112" s="238"/>
      <c r="C112" s="96"/>
      <c r="D112" s="212"/>
      <c r="E112" s="96"/>
      <c r="F112" s="212"/>
      <c r="G112" s="212"/>
      <c r="H112" s="28"/>
      <c r="I112" s="28"/>
      <c r="J112" s="239"/>
      <c r="K112" s="240"/>
      <c r="L112" s="241"/>
      <c r="M112" s="240"/>
      <c r="N112" s="136"/>
      <c r="O112" s="239"/>
      <c r="P112" s="239"/>
      <c r="Q112" s="214"/>
      <c r="R112" s="214"/>
      <c r="S112" s="101"/>
      <c r="T112" s="222"/>
      <c r="U112" s="242"/>
      <c r="V112" s="242"/>
      <c r="W112" s="243"/>
      <c r="X112" s="243"/>
      <c r="Y112" s="243"/>
      <c r="Z112" s="243"/>
      <c r="AA112" s="243"/>
      <c r="AB112" s="243"/>
      <c r="AC112" s="243"/>
      <c r="AD112" s="243"/>
      <c r="AE112" s="243"/>
      <c r="AF112" s="243"/>
      <c r="AG112" s="208"/>
      <c r="AH112" s="208"/>
      <c r="AI112" s="208"/>
      <c r="AJ112" s="208"/>
      <c r="AK112" s="208"/>
      <c r="AL112" s="208"/>
      <c r="AM112" s="208"/>
      <c r="AN112" s="208"/>
    </row>
    <row r="113">
      <c r="A113" s="314"/>
      <c r="B113" s="238"/>
      <c r="C113" s="96"/>
      <c r="D113" s="212"/>
      <c r="E113" s="96"/>
      <c r="F113" s="212"/>
      <c r="G113" s="212"/>
      <c r="H113" s="28"/>
      <c r="I113" s="28"/>
      <c r="J113" s="239"/>
      <c r="K113" s="240"/>
      <c r="L113" s="241"/>
      <c r="M113" s="240"/>
      <c r="N113" s="136"/>
      <c r="O113" s="239"/>
      <c r="P113" s="239"/>
      <c r="Q113" s="214"/>
      <c r="R113" s="214"/>
      <c r="S113" s="101"/>
      <c r="T113" s="222"/>
      <c r="U113" s="242"/>
      <c r="V113" s="242"/>
      <c r="W113" s="243"/>
      <c r="X113" s="243"/>
      <c r="Y113" s="243"/>
      <c r="Z113" s="243"/>
      <c r="AA113" s="243"/>
      <c r="AB113" s="243"/>
      <c r="AC113" s="243"/>
      <c r="AD113" s="243"/>
      <c r="AE113" s="243"/>
      <c r="AF113" s="243"/>
      <c r="AG113" s="208"/>
      <c r="AH113" s="208"/>
      <c r="AI113" s="208"/>
      <c r="AJ113" s="208"/>
      <c r="AK113" s="208"/>
      <c r="AL113" s="208"/>
      <c r="AM113" s="208"/>
      <c r="AN113" s="208"/>
    </row>
    <row r="114">
      <c r="A114" s="314"/>
      <c r="B114" s="238"/>
      <c r="C114" s="96"/>
      <c r="D114" s="212"/>
      <c r="E114" s="96"/>
      <c r="F114" s="212"/>
      <c r="G114" s="212"/>
      <c r="H114" s="28"/>
      <c r="I114" s="28"/>
      <c r="J114" s="239"/>
      <c r="K114" s="240"/>
      <c r="L114" s="241"/>
      <c r="M114" s="240"/>
      <c r="N114" s="136"/>
      <c r="O114" s="239"/>
      <c r="P114" s="239"/>
      <c r="Q114" s="214"/>
      <c r="R114" s="214"/>
      <c r="S114" s="101"/>
      <c r="T114" s="222"/>
      <c r="U114" s="242"/>
      <c r="V114" s="242"/>
      <c r="W114" s="243"/>
      <c r="X114" s="243"/>
      <c r="Y114" s="243"/>
      <c r="Z114" s="243"/>
      <c r="AA114" s="243"/>
      <c r="AB114" s="243"/>
      <c r="AC114" s="243"/>
      <c r="AD114" s="243"/>
      <c r="AE114" s="243"/>
      <c r="AF114" s="243"/>
      <c r="AG114" s="208"/>
      <c r="AH114" s="208"/>
      <c r="AI114" s="208"/>
      <c r="AJ114" s="208"/>
      <c r="AK114" s="208"/>
      <c r="AL114" s="208"/>
      <c r="AM114" s="208"/>
      <c r="AN114" s="208"/>
    </row>
    <row r="115">
      <c r="A115" s="314"/>
      <c r="B115" s="238"/>
      <c r="C115" s="96"/>
      <c r="D115" s="212"/>
      <c r="E115" s="96"/>
      <c r="F115" s="212"/>
      <c r="G115" s="212"/>
      <c r="H115" s="28"/>
      <c r="I115" s="28"/>
      <c r="J115" s="239"/>
      <c r="K115" s="240"/>
      <c r="L115" s="241"/>
      <c r="M115" s="240"/>
      <c r="N115" s="136"/>
      <c r="O115" s="239"/>
      <c r="P115" s="239"/>
      <c r="Q115" s="214"/>
      <c r="R115" s="214"/>
      <c r="S115" s="101"/>
      <c r="T115" s="222"/>
      <c r="U115" s="242"/>
      <c r="V115" s="242"/>
      <c r="W115" s="243"/>
      <c r="X115" s="243"/>
      <c r="Y115" s="243"/>
      <c r="Z115" s="243"/>
      <c r="AA115" s="243"/>
      <c r="AB115" s="243"/>
      <c r="AC115" s="243"/>
      <c r="AD115" s="243"/>
      <c r="AE115" s="243"/>
      <c r="AF115" s="243"/>
      <c r="AG115" s="208"/>
      <c r="AH115" s="208"/>
      <c r="AI115" s="208"/>
      <c r="AJ115" s="208"/>
      <c r="AK115" s="208"/>
      <c r="AL115" s="208"/>
      <c r="AM115" s="208"/>
      <c r="AN115" s="208"/>
    </row>
    <row r="116">
      <c r="A116" s="314"/>
      <c r="B116" s="238"/>
      <c r="C116" s="96"/>
      <c r="D116" s="212"/>
      <c r="E116" s="96"/>
      <c r="F116" s="212"/>
      <c r="G116" s="212"/>
      <c r="H116" s="28"/>
      <c r="I116" s="28"/>
      <c r="J116" s="239"/>
      <c r="K116" s="240"/>
      <c r="L116" s="241"/>
      <c r="M116" s="240"/>
      <c r="N116" s="136"/>
      <c r="O116" s="239"/>
      <c r="P116" s="239"/>
      <c r="Q116" s="214"/>
      <c r="R116" s="214"/>
      <c r="S116" s="101"/>
      <c r="T116" s="222"/>
      <c r="U116" s="242"/>
      <c r="V116" s="242"/>
      <c r="W116" s="243"/>
      <c r="X116" s="243"/>
      <c r="Y116" s="243"/>
      <c r="Z116" s="243"/>
      <c r="AA116" s="243"/>
      <c r="AB116" s="243"/>
      <c r="AC116" s="243"/>
      <c r="AD116" s="243"/>
      <c r="AE116" s="243"/>
      <c r="AF116" s="243"/>
      <c r="AG116" s="208"/>
      <c r="AH116" s="208"/>
      <c r="AI116" s="208"/>
      <c r="AJ116" s="208"/>
      <c r="AK116" s="208"/>
      <c r="AL116" s="208"/>
      <c r="AM116" s="208"/>
      <c r="AN116" s="208"/>
    </row>
    <row r="117">
      <c r="A117" s="314"/>
      <c r="B117" s="238"/>
      <c r="C117" s="96"/>
      <c r="D117" s="212"/>
      <c r="E117" s="96"/>
      <c r="F117" s="212"/>
      <c r="G117" s="212"/>
      <c r="H117" s="28"/>
      <c r="I117" s="28"/>
      <c r="J117" s="239"/>
      <c r="K117" s="240"/>
      <c r="L117" s="241"/>
      <c r="M117" s="240"/>
      <c r="N117" s="136"/>
      <c r="O117" s="239"/>
      <c r="P117" s="239"/>
      <c r="Q117" s="214"/>
      <c r="R117" s="214"/>
      <c r="S117" s="101"/>
      <c r="T117" s="222"/>
      <c r="U117" s="242"/>
      <c r="V117" s="242"/>
      <c r="W117" s="243"/>
      <c r="X117" s="243"/>
      <c r="Y117" s="243"/>
      <c r="Z117" s="243"/>
      <c r="AA117" s="243"/>
      <c r="AB117" s="243"/>
      <c r="AC117" s="243"/>
      <c r="AD117" s="243"/>
      <c r="AE117" s="243"/>
      <c r="AF117" s="243"/>
      <c r="AG117" s="208"/>
      <c r="AH117" s="208"/>
      <c r="AI117" s="208"/>
      <c r="AJ117" s="208"/>
      <c r="AK117" s="208"/>
      <c r="AL117" s="208"/>
      <c r="AM117" s="208"/>
      <c r="AN117" s="208"/>
    </row>
    <row r="118">
      <c r="A118" s="314"/>
      <c r="B118" s="238"/>
      <c r="C118" s="96"/>
      <c r="D118" s="212"/>
      <c r="E118" s="96"/>
      <c r="F118" s="212"/>
      <c r="G118" s="212"/>
      <c r="H118" s="28"/>
      <c r="I118" s="28"/>
      <c r="J118" s="239"/>
      <c r="K118" s="240"/>
      <c r="L118" s="241"/>
      <c r="M118" s="240"/>
      <c r="N118" s="136"/>
      <c r="O118" s="239"/>
      <c r="P118" s="239"/>
      <c r="Q118" s="214"/>
      <c r="R118" s="214"/>
      <c r="S118" s="101"/>
      <c r="T118" s="222"/>
      <c r="U118" s="242"/>
      <c r="V118" s="242"/>
      <c r="W118" s="243"/>
      <c r="X118" s="243"/>
      <c r="Y118" s="243"/>
      <c r="Z118" s="243"/>
      <c r="AA118" s="243"/>
      <c r="AB118" s="243"/>
      <c r="AC118" s="243"/>
      <c r="AD118" s="243"/>
      <c r="AE118" s="243"/>
      <c r="AF118" s="243"/>
      <c r="AG118" s="208"/>
      <c r="AH118" s="208"/>
      <c r="AI118" s="208"/>
      <c r="AJ118" s="208"/>
      <c r="AK118" s="208"/>
      <c r="AL118" s="208"/>
      <c r="AM118" s="208"/>
      <c r="AN118" s="208"/>
    </row>
    <row r="119">
      <c r="A119" s="314"/>
      <c r="B119" s="238"/>
      <c r="C119" s="96"/>
      <c r="D119" s="212"/>
      <c r="E119" s="96"/>
      <c r="F119" s="212"/>
      <c r="G119" s="212"/>
      <c r="H119" s="28"/>
      <c r="I119" s="28"/>
      <c r="J119" s="239"/>
      <c r="K119" s="240"/>
      <c r="L119" s="241"/>
      <c r="M119" s="240"/>
      <c r="N119" s="136"/>
      <c r="O119" s="239"/>
      <c r="P119" s="239"/>
      <c r="Q119" s="214"/>
      <c r="R119" s="214"/>
      <c r="S119" s="101"/>
      <c r="T119" s="222"/>
      <c r="U119" s="242"/>
      <c r="V119" s="242"/>
      <c r="W119" s="243"/>
      <c r="X119" s="243"/>
      <c r="Y119" s="243"/>
      <c r="Z119" s="243"/>
      <c r="AA119" s="243"/>
      <c r="AB119" s="243"/>
      <c r="AC119" s="243"/>
      <c r="AD119" s="243"/>
      <c r="AE119" s="243"/>
      <c r="AF119" s="243"/>
      <c r="AG119" s="208"/>
      <c r="AH119" s="208"/>
      <c r="AI119" s="208"/>
      <c r="AJ119" s="208"/>
      <c r="AK119" s="208"/>
      <c r="AL119" s="208"/>
      <c r="AM119" s="208"/>
      <c r="AN119" s="208"/>
    </row>
    <row r="120">
      <c r="A120" s="314"/>
      <c r="B120" s="238"/>
      <c r="C120" s="96"/>
      <c r="D120" s="212"/>
      <c r="E120" s="96"/>
      <c r="F120" s="212"/>
      <c r="G120" s="212"/>
      <c r="H120" s="28"/>
      <c r="I120" s="28"/>
      <c r="J120" s="239"/>
      <c r="K120" s="240"/>
      <c r="L120" s="241"/>
      <c r="M120" s="240"/>
      <c r="N120" s="136"/>
      <c r="O120" s="239"/>
      <c r="P120" s="239"/>
      <c r="Q120" s="214"/>
      <c r="R120" s="214"/>
      <c r="S120" s="101"/>
      <c r="T120" s="222"/>
      <c r="U120" s="242"/>
      <c r="V120" s="242"/>
      <c r="W120" s="243"/>
      <c r="X120" s="243"/>
      <c r="Y120" s="243"/>
      <c r="Z120" s="243"/>
      <c r="AA120" s="243"/>
      <c r="AB120" s="243"/>
      <c r="AC120" s="243"/>
      <c r="AD120" s="243"/>
      <c r="AE120" s="243"/>
      <c r="AF120" s="243"/>
      <c r="AG120" s="208"/>
      <c r="AH120" s="208"/>
      <c r="AI120" s="208"/>
      <c r="AJ120" s="208"/>
      <c r="AK120" s="208"/>
      <c r="AL120" s="208"/>
      <c r="AM120" s="208"/>
      <c r="AN120" s="208"/>
    </row>
    <row r="121">
      <c r="A121" s="314"/>
      <c r="B121" s="238"/>
      <c r="C121" s="96"/>
      <c r="D121" s="212"/>
      <c r="E121" s="96"/>
      <c r="F121" s="212"/>
      <c r="G121" s="212"/>
      <c r="H121" s="28"/>
      <c r="I121" s="28"/>
      <c r="J121" s="239"/>
      <c r="K121" s="240"/>
      <c r="L121" s="241"/>
      <c r="M121" s="240"/>
      <c r="N121" s="136"/>
      <c r="O121" s="239"/>
      <c r="P121" s="239"/>
      <c r="Q121" s="214"/>
      <c r="R121" s="214"/>
      <c r="S121" s="101"/>
      <c r="T121" s="222"/>
      <c r="U121" s="242"/>
      <c r="V121" s="242"/>
      <c r="W121" s="243"/>
      <c r="X121" s="243"/>
      <c r="Y121" s="243"/>
      <c r="Z121" s="243"/>
      <c r="AA121" s="243"/>
      <c r="AB121" s="243"/>
      <c r="AC121" s="243"/>
      <c r="AD121" s="243"/>
      <c r="AE121" s="243"/>
      <c r="AF121" s="243"/>
      <c r="AG121" s="208"/>
      <c r="AH121" s="208"/>
      <c r="AI121" s="208"/>
      <c r="AJ121" s="208"/>
      <c r="AK121" s="208"/>
      <c r="AL121" s="208"/>
      <c r="AM121" s="208"/>
      <c r="AN121" s="208"/>
    </row>
    <row r="122">
      <c r="A122" s="314"/>
      <c r="B122" s="238"/>
      <c r="C122" s="96"/>
      <c r="D122" s="212"/>
      <c r="E122" s="96"/>
      <c r="F122" s="212"/>
      <c r="G122" s="212"/>
      <c r="H122" s="28"/>
      <c r="I122" s="28"/>
      <c r="J122" s="239"/>
      <c r="K122" s="240"/>
      <c r="L122" s="241"/>
      <c r="M122" s="240"/>
      <c r="N122" s="136"/>
      <c r="O122" s="239"/>
      <c r="P122" s="239"/>
      <c r="Q122" s="214"/>
      <c r="R122" s="214"/>
      <c r="S122" s="101"/>
      <c r="T122" s="222"/>
      <c r="U122" s="242"/>
      <c r="V122" s="242"/>
      <c r="W122" s="243"/>
      <c r="X122" s="243"/>
      <c r="Y122" s="243"/>
      <c r="Z122" s="243"/>
      <c r="AA122" s="243"/>
      <c r="AB122" s="243"/>
      <c r="AC122" s="243"/>
      <c r="AD122" s="243"/>
      <c r="AE122" s="243"/>
      <c r="AF122" s="243"/>
      <c r="AG122" s="208"/>
      <c r="AH122" s="208"/>
      <c r="AI122" s="208"/>
      <c r="AJ122" s="208"/>
      <c r="AK122" s="208"/>
      <c r="AL122" s="208"/>
      <c r="AM122" s="208"/>
      <c r="AN122" s="208"/>
    </row>
    <row r="123">
      <c r="A123" s="314"/>
      <c r="B123" s="238"/>
      <c r="C123" s="96"/>
      <c r="D123" s="212"/>
      <c r="E123" s="96"/>
      <c r="F123" s="212"/>
      <c r="G123" s="212"/>
      <c r="H123" s="28"/>
      <c r="I123" s="28"/>
      <c r="J123" s="239"/>
      <c r="K123" s="240"/>
      <c r="L123" s="241"/>
      <c r="M123" s="240"/>
      <c r="N123" s="136"/>
      <c r="O123" s="239"/>
      <c r="P123" s="239"/>
      <c r="Q123" s="214"/>
      <c r="R123" s="214"/>
      <c r="S123" s="101"/>
      <c r="T123" s="222"/>
      <c r="U123" s="242"/>
      <c r="V123" s="242"/>
      <c r="W123" s="243"/>
      <c r="X123" s="243"/>
      <c r="Y123" s="243"/>
      <c r="Z123" s="243"/>
      <c r="AA123" s="243"/>
      <c r="AB123" s="243"/>
      <c r="AC123" s="243"/>
      <c r="AD123" s="243"/>
      <c r="AE123" s="243"/>
      <c r="AF123" s="243"/>
      <c r="AG123" s="208"/>
      <c r="AH123" s="208"/>
      <c r="AI123" s="208"/>
      <c r="AJ123" s="208"/>
      <c r="AK123" s="208"/>
      <c r="AL123" s="208"/>
      <c r="AM123" s="208"/>
      <c r="AN123" s="208"/>
    </row>
    <row r="124">
      <c r="A124" s="314"/>
      <c r="B124" s="238"/>
      <c r="C124" s="96"/>
      <c r="D124" s="212"/>
      <c r="E124" s="96"/>
      <c r="F124" s="212"/>
      <c r="G124" s="212"/>
      <c r="H124" s="28"/>
      <c r="I124" s="28"/>
      <c r="J124" s="239"/>
      <c r="K124" s="240"/>
      <c r="L124" s="241"/>
      <c r="M124" s="240"/>
      <c r="N124" s="136"/>
      <c r="O124" s="239"/>
      <c r="P124" s="239"/>
      <c r="Q124" s="214"/>
      <c r="R124" s="214"/>
      <c r="S124" s="101"/>
      <c r="T124" s="222"/>
      <c r="U124" s="242"/>
      <c r="V124" s="242"/>
      <c r="W124" s="243"/>
      <c r="X124" s="243"/>
      <c r="Y124" s="243"/>
      <c r="Z124" s="243"/>
      <c r="AA124" s="243"/>
      <c r="AB124" s="243"/>
      <c r="AC124" s="243"/>
      <c r="AD124" s="243"/>
      <c r="AE124" s="243"/>
      <c r="AF124" s="243"/>
      <c r="AG124" s="208"/>
      <c r="AH124" s="208"/>
      <c r="AI124" s="208"/>
      <c r="AJ124" s="208"/>
      <c r="AK124" s="208"/>
      <c r="AL124" s="208"/>
      <c r="AM124" s="208"/>
      <c r="AN124" s="208"/>
    </row>
    <row r="125">
      <c r="A125" s="314"/>
      <c r="B125" s="238"/>
      <c r="C125" s="96"/>
      <c r="D125" s="212"/>
      <c r="E125" s="96"/>
      <c r="F125" s="212"/>
      <c r="G125" s="212"/>
      <c r="H125" s="28"/>
      <c r="I125" s="28"/>
      <c r="J125" s="239"/>
      <c r="K125" s="240"/>
      <c r="L125" s="241"/>
      <c r="M125" s="240"/>
      <c r="N125" s="136"/>
      <c r="O125" s="239"/>
      <c r="P125" s="239"/>
      <c r="Q125" s="214"/>
      <c r="R125" s="214"/>
      <c r="S125" s="101"/>
      <c r="T125" s="222"/>
      <c r="U125" s="242"/>
      <c r="V125" s="242"/>
      <c r="W125" s="243"/>
      <c r="X125" s="243"/>
      <c r="Y125" s="243"/>
      <c r="Z125" s="243"/>
      <c r="AA125" s="243"/>
      <c r="AB125" s="243"/>
      <c r="AC125" s="243"/>
      <c r="AD125" s="243"/>
      <c r="AE125" s="243"/>
      <c r="AF125" s="243"/>
      <c r="AG125" s="208"/>
      <c r="AH125" s="208"/>
      <c r="AI125" s="208"/>
      <c r="AJ125" s="208"/>
      <c r="AK125" s="208"/>
      <c r="AL125" s="208"/>
      <c r="AM125" s="208"/>
      <c r="AN125" s="208"/>
    </row>
    <row r="126">
      <c r="A126" s="314"/>
      <c r="B126" s="238"/>
      <c r="C126" s="96"/>
      <c r="D126" s="212"/>
      <c r="E126" s="96"/>
      <c r="F126" s="212"/>
      <c r="G126" s="212"/>
      <c r="H126" s="28"/>
      <c r="I126" s="28"/>
      <c r="J126" s="239"/>
      <c r="K126" s="240"/>
      <c r="L126" s="241"/>
      <c r="M126" s="240"/>
      <c r="N126" s="136"/>
      <c r="O126" s="239"/>
      <c r="P126" s="239"/>
      <c r="Q126" s="214"/>
      <c r="R126" s="214"/>
      <c r="S126" s="101"/>
      <c r="T126" s="222"/>
      <c r="U126" s="242"/>
      <c r="V126" s="242"/>
      <c r="W126" s="243"/>
      <c r="X126" s="243"/>
      <c r="Y126" s="243"/>
      <c r="Z126" s="243"/>
      <c r="AA126" s="243"/>
      <c r="AB126" s="243"/>
      <c r="AC126" s="243"/>
      <c r="AD126" s="243"/>
      <c r="AE126" s="243"/>
      <c r="AF126" s="243"/>
      <c r="AG126" s="208"/>
      <c r="AH126" s="208"/>
      <c r="AI126" s="208"/>
      <c r="AJ126" s="208"/>
      <c r="AK126" s="208"/>
      <c r="AL126" s="208"/>
      <c r="AM126" s="208"/>
      <c r="AN126" s="208"/>
    </row>
    <row r="127">
      <c r="A127" s="314"/>
      <c r="B127" s="238"/>
      <c r="C127" s="96"/>
      <c r="D127" s="212"/>
      <c r="E127" s="96"/>
      <c r="F127" s="212"/>
      <c r="G127" s="212"/>
      <c r="H127" s="28"/>
      <c r="I127" s="28"/>
      <c r="J127" s="239"/>
      <c r="K127" s="240"/>
      <c r="L127" s="241"/>
      <c r="M127" s="240"/>
      <c r="N127" s="136"/>
      <c r="O127" s="239"/>
      <c r="P127" s="239"/>
      <c r="Q127" s="214"/>
      <c r="R127" s="214"/>
      <c r="S127" s="101"/>
      <c r="T127" s="222"/>
      <c r="U127" s="242"/>
      <c r="V127" s="242"/>
      <c r="W127" s="243"/>
      <c r="X127" s="243"/>
      <c r="Y127" s="243"/>
      <c r="Z127" s="243"/>
      <c r="AA127" s="243"/>
      <c r="AB127" s="243"/>
      <c r="AC127" s="243"/>
      <c r="AD127" s="243"/>
      <c r="AE127" s="243"/>
      <c r="AF127" s="243"/>
      <c r="AG127" s="208"/>
      <c r="AH127" s="208"/>
      <c r="AI127" s="208"/>
      <c r="AJ127" s="208"/>
      <c r="AK127" s="208"/>
      <c r="AL127" s="208"/>
      <c r="AM127" s="208"/>
      <c r="AN127" s="208"/>
    </row>
    <row r="128">
      <c r="A128" s="314"/>
      <c r="B128" s="238"/>
      <c r="C128" s="96"/>
      <c r="D128" s="212"/>
      <c r="E128" s="96"/>
      <c r="F128" s="212"/>
      <c r="G128" s="212"/>
      <c r="H128" s="28"/>
      <c r="I128" s="28"/>
      <c r="J128" s="239"/>
      <c r="K128" s="240"/>
      <c r="L128" s="241"/>
      <c r="M128" s="240"/>
      <c r="N128" s="136"/>
      <c r="O128" s="239"/>
      <c r="P128" s="239"/>
      <c r="Q128" s="214"/>
      <c r="R128" s="214"/>
      <c r="S128" s="101"/>
      <c r="T128" s="222"/>
      <c r="U128" s="242"/>
      <c r="V128" s="242"/>
      <c r="W128" s="243"/>
      <c r="X128" s="243"/>
      <c r="Y128" s="243"/>
      <c r="Z128" s="243"/>
      <c r="AA128" s="243"/>
      <c r="AB128" s="243"/>
      <c r="AC128" s="243"/>
      <c r="AD128" s="243"/>
      <c r="AE128" s="243"/>
      <c r="AF128" s="243"/>
      <c r="AG128" s="208"/>
      <c r="AH128" s="208"/>
      <c r="AI128" s="208"/>
      <c r="AJ128" s="208"/>
      <c r="AK128" s="208"/>
      <c r="AL128" s="208"/>
      <c r="AM128" s="208"/>
      <c r="AN128" s="208"/>
    </row>
    <row r="129">
      <c r="A129" s="314"/>
      <c r="B129" s="238"/>
      <c r="C129" s="96"/>
      <c r="D129" s="212"/>
      <c r="E129" s="96"/>
      <c r="F129" s="212"/>
      <c r="G129" s="212"/>
      <c r="H129" s="28"/>
      <c r="I129" s="28"/>
      <c r="J129" s="239"/>
      <c r="K129" s="240"/>
      <c r="L129" s="241"/>
      <c r="M129" s="240"/>
      <c r="N129" s="136"/>
      <c r="O129" s="239"/>
      <c r="P129" s="239"/>
      <c r="Q129" s="214"/>
      <c r="R129" s="214"/>
      <c r="S129" s="101"/>
      <c r="T129" s="222"/>
      <c r="U129" s="242"/>
      <c r="V129" s="242"/>
      <c r="W129" s="243"/>
      <c r="X129" s="243"/>
      <c r="Y129" s="243"/>
      <c r="Z129" s="243"/>
      <c r="AA129" s="243"/>
      <c r="AB129" s="243"/>
      <c r="AC129" s="243"/>
      <c r="AD129" s="243"/>
      <c r="AE129" s="243"/>
      <c r="AF129" s="243"/>
      <c r="AG129" s="208"/>
      <c r="AH129" s="208"/>
      <c r="AI129" s="208"/>
      <c r="AJ129" s="208"/>
      <c r="AK129" s="208"/>
      <c r="AL129" s="208"/>
      <c r="AM129" s="208"/>
      <c r="AN129" s="208"/>
    </row>
    <row r="130">
      <c r="A130" s="314"/>
      <c r="B130" s="238"/>
      <c r="C130" s="96"/>
      <c r="D130" s="212"/>
      <c r="E130" s="96"/>
      <c r="F130" s="212"/>
      <c r="G130" s="212"/>
      <c r="H130" s="28"/>
      <c r="I130" s="28"/>
      <c r="J130" s="239"/>
      <c r="K130" s="240"/>
      <c r="L130" s="241"/>
      <c r="M130" s="240"/>
      <c r="N130" s="136"/>
      <c r="O130" s="239"/>
      <c r="P130" s="239"/>
      <c r="Q130" s="214"/>
      <c r="R130" s="214"/>
      <c r="S130" s="101"/>
      <c r="T130" s="222"/>
      <c r="U130" s="242"/>
      <c r="V130" s="242"/>
      <c r="W130" s="243"/>
      <c r="X130" s="243"/>
      <c r="Y130" s="243"/>
      <c r="Z130" s="243"/>
      <c r="AA130" s="243"/>
      <c r="AB130" s="243"/>
      <c r="AC130" s="243"/>
      <c r="AD130" s="243"/>
      <c r="AE130" s="243"/>
      <c r="AF130" s="243"/>
      <c r="AG130" s="208"/>
      <c r="AH130" s="208"/>
      <c r="AI130" s="208"/>
      <c r="AJ130" s="208"/>
      <c r="AK130" s="208"/>
      <c r="AL130" s="208"/>
      <c r="AM130" s="208"/>
      <c r="AN130" s="208"/>
    </row>
    <row r="131">
      <c r="A131" s="314"/>
      <c r="B131" s="238"/>
      <c r="C131" s="96"/>
      <c r="D131" s="212"/>
      <c r="E131" s="96"/>
      <c r="F131" s="212"/>
      <c r="G131" s="212"/>
      <c r="H131" s="28"/>
      <c r="I131" s="28"/>
      <c r="J131" s="239"/>
      <c r="K131" s="240"/>
      <c r="L131" s="241"/>
      <c r="M131" s="240"/>
      <c r="N131" s="136"/>
      <c r="O131" s="239"/>
      <c r="P131" s="239"/>
      <c r="Q131" s="214"/>
      <c r="R131" s="214"/>
      <c r="S131" s="101"/>
      <c r="T131" s="222"/>
      <c r="U131" s="242"/>
      <c r="V131" s="242"/>
      <c r="W131" s="243"/>
      <c r="X131" s="243"/>
      <c r="Y131" s="243"/>
      <c r="Z131" s="243"/>
      <c r="AA131" s="243"/>
      <c r="AB131" s="243"/>
      <c r="AC131" s="243"/>
      <c r="AD131" s="243"/>
      <c r="AE131" s="243"/>
      <c r="AF131" s="243"/>
      <c r="AG131" s="208"/>
      <c r="AH131" s="208"/>
      <c r="AI131" s="208"/>
      <c r="AJ131" s="208"/>
      <c r="AK131" s="208"/>
      <c r="AL131" s="208"/>
      <c r="AM131" s="208"/>
      <c r="AN131" s="208"/>
    </row>
    <row r="132">
      <c r="A132" s="314"/>
      <c r="B132" s="238"/>
      <c r="C132" s="96"/>
      <c r="D132" s="212"/>
      <c r="E132" s="96"/>
      <c r="F132" s="212"/>
      <c r="G132" s="212"/>
      <c r="H132" s="28"/>
      <c r="I132" s="28"/>
      <c r="J132" s="239"/>
      <c r="K132" s="240"/>
      <c r="L132" s="241"/>
      <c r="M132" s="240"/>
      <c r="N132" s="136"/>
      <c r="O132" s="239"/>
      <c r="P132" s="239"/>
      <c r="Q132" s="214"/>
      <c r="R132" s="214"/>
      <c r="S132" s="101"/>
      <c r="T132" s="222"/>
      <c r="U132" s="242"/>
      <c r="V132" s="242"/>
      <c r="W132" s="243"/>
      <c r="X132" s="243"/>
      <c r="Y132" s="243"/>
      <c r="Z132" s="243"/>
      <c r="AA132" s="243"/>
      <c r="AB132" s="243"/>
      <c r="AC132" s="243"/>
      <c r="AD132" s="243"/>
      <c r="AE132" s="243"/>
      <c r="AF132" s="243"/>
      <c r="AG132" s="208"/>
      <c r="AH132" s="208"/>
      <c r="AI132" s="208"/>
      <c r="AJ132" s="208"/>
      <c r="AK132" s="208"/>
      <c r="AL132" s="208"/>
      <c r="AM132" s="208"/>
      <c r="AN132" s="208"/>
    </row>
    <row r="133">
      <c r="A133" s="314"/>
      <c r="B133" s="238"/>
      <c r="C133" s="96"/>
      <c r="D133" s="212"/>
      <c r="E133" s="96"/>
      <c r="F133" s="212"/>
      <c r="G133" s="212"/>
      <c r="H133" s="28"/>
      <c r="I133" s="28"/>
      <c r="J133" s="239"/>
      <c r="K133" s="240"/>
      <c r="L133" s="241"/>
      <c r="M133" s="240"/>
      <c r="N133" s="136"/>
      <c r="O133" s="239"/>
      <c r="P133" s="239"/>
      <c r="Q133" s="214"/>
      <c r="R133" s="214"/>
      <c r="S133" s="101"/>
      <c r="T133" s="222"/>
      <c r="U133" s="242"/>
      <c r="V133" s="242"/>
      <c r="W133" s="243"/>
      <c r="X133" s="243"/>
      <c r="Y133" s="243"/>
      <c r="Z133" s="243"/>
      <c r="AA133" s="243"/>
      <c r="AB133" s="243"/>
      <c r="AC133" s="243"/>
      <c r="AD133" s="243"/>
      <c r="AE133" s="243"/>
      <c r="AF133" s="243"/>
      <c r="AG133" s="208"/>
      <c r="AH133" s="208"/>
      <c r="AI133" s="208"/>
      <c r="AJ133" s="208"/>
      <c r="AK133" s="208"/>
      <c r="AL133" s="208"/>
      <c r="AM133" s="208"/>
      <c r="AN133" s="208"/>
    </row>
    <row r="134">
      <c r="A134" s="314"/>
      <c r="B134" s="238"/>
      <c r="C134" s="96"/>
      <c r="D134" s="212"/>
      <c r="E134" s="96"/>
      <c r="F134" s="212"/>
      <c r="G134" s="212"/>
      <c r="H134" s="28"/>
      <c r="I134" s="28"/>
      <c r="J134" s="239"/>
      <c r="K134" s="240"/>
      <c r="L134" s="241"/>
      <c r="M134" s="240"/>
      <c r="N134" s="136"/>
      <c r="O134" s="239"/>
      <c r="P134" s="239"/>
      <c r="Q134" s="214"/>
      <c r="R134" s="214"/>
      <c r="S134" s="101"/>
      <c r="T134" s="222"/>
      <c r="U134" s="242"/>
      <c r="V134" s="242"/>
      <c r="W134" s="243"/>
      <c r="X134" s="243"/>
      <c r="Y134" s="243"/>
      <c r="Z134" s="243"/>
      <c r="AA134" s="243"/>
      <c r="AB134" s="243"/>
      <c r="AC134" s="243"/>
      <c r="AD134" s="243"/>
      <c r="AE134" s="243"/>
      <c r="AF134" s="243"/>
      <c r="AG134" s="208"/>
      <c r="AH134" s="208"/>
      <c r="AI134" s="208"/>
      <c r="AJ134" s="208"/>
      <c r="AK134" s="208"/>
      <c r="AL134" s="208"/>
      <c r="AM134" s="208"/>
      <c r="AN134" s="208"/>
    </row>
    <row r="135">
      <c r="A135" s="314"/>
      <c r="B135" s="238"/>
      <c r="C135" s="96"/>
      <c r="D135" s="212"/>
      <c r="E135" s="96"/>
      <c r="F135" s="212"/>
      <c r="G135" s="212"/>
      <c r="H135" s="28"/>
      <c r="I135" s="28"/>
      <c r="J135" s="239"/>
      <c r="K135" s="240"/>
      <c r="L135" s="241"/>
      <c r="M135" s="240"/>
      <c r="N135" s="136"/>
      <c r="O135" s="239"/>
      <c r="P135" s="239"/>
      <c r="Q135" s="214"/>
      <c r="R135" s="214"/>
      <c r="S135" s="101"/>
      <c r="T135" s="222"/>
      <c r="U135" s="242"/>
      <c r="V135" s="242"/>
      <c r="W135" s="243"/>
      <c r="X135" s="243"/>
      <c r="Y135" s="243"/>
      <c r="Z135" s="243"/>
      <c r="AA135" s="243"/>
      <c r="AB135" s="243"/>
      <c r="AC135" s="243"/>
      <c r="AD135" s="243"/>
      <c r="AE135" s="243"/>
      <c r="AF135" s="243"/>
      <c r="AG135" s="208"/>
      <c r="AH135" s="208"/>
      <c r="AI135" s="208"/>
      <c r="AJ135" s="208"/>
      <c r="AK135" s="208"/>
      <c r="AL135" s="208"/>
      <c r="AM135" s="208"/>
      <c r="AN135" s="208"/>
    </row>
    <row r="136">
      <c r="A136" s="314"/>
      <c r="B136" s="238"/>
      <c r="C136" s="96"/>
      <c r="D136" s="212"/>
      <c r="E136" s="96"/>
      <c r="F136" s="212"/>
      <c r="G136" s="212"/>
      <c r="H136" s="28"/>
      <c r="I136" s="28"/>
      <c r="J136" s="239"/>
      <c r="K136" s="240"/>
      <c r="L136" s="241"/>
      <c r="M136" s="240"/>
      <c r="N136" s="136"/>
      <c r="O136" s="239"/>
      <c r="P136" s="239"/>
      <c r="Q136" s="214"/>
      <c r="R136" s="214"/>
      <c r="S136" s="101"/>
      <c r="T136" s="222"/>
      <c r="U136" s="242"/>
      <c r="V136" s="242"/>
      <c r="W136" s="243"/>
      <c r="X136" s="243"/>
      <c r="Y136" s="243"/>
      <c r="Z136" s="243"/>
      <c r="AA136" s="243"/>
      <c r="AB136" s="243"/>
      <c r="AC136" s="243"/>
      <c r="AD136" s="243"/>
      <c r="AE136" s="243"/>
      <c r="AF136" s="243"/>
      <c r="AG136" s="208"/>
      <c r="AH136" s="208"/>
      <c r="AI136" s="208"/>
      <c r="AJ136" s="208"/>
      <c r="AK136" s="208"/>
      <c r="AL136" s="208"/>
      <c r="AM136" s="208"/>
      <c r="AN136" s="208"/>
    </row>
    <row r="137">
      <c r="A137" s="314"/>
      <c r="B137" s="238"/>
      <c r="C137" s="96"/>
      <c r="D137" s="212"/>
      <c r="E137" s="96"/>
      <c r="F137" s="212"/>
      <c r="G137" s="212"/>
      <c r="H137" s="28"/>
      <c r="I137" s="28"/>
      <c r="J137" s="239"/>
      <c r="K137" s="240"/>
      <c r="L137" s="241"/>
      <c r="M137" s="240"/>
      <c r="N137" s="136"/>
      <c r="O137" s="239"/>
      <c r="P137" s="239"/>
      <c r="Q137" s="214"/>
      <c r="R137" s="214"/>
      <c r="S137" s="101"/>
      <c r="T137" s="222"/>
      <c r="U137" s="242"/>
      <c r="V137" s="242"/>
      <c r="W137" s="243"/>
      <c r="X137" s="243"/>
      <c r="Y137" s="243"/>
      <c r="Z137" s="243"/>
      <c r="AA137" s="243"/>
      <c r="AB137" s="243"/>
      <c r="AC137" s="243"/>
      <c r="AD137" s="243"/>
      <c r="AE137" s="243"/>
      <c r="AF137" s="243"/>
      <c r="AG137" s="208"/>
      <c r="AH137" s="208"/>
      <c r="AI137" s="208"/>
      <c r="AJ137" s="208"/>
      <c r="AK137" s="208"/>
      <c r="AL137" s="208"/>
      <c r="AM137" s="208"/>
      <c r="AN137" s="208"/>
    </row>
    <row r="138">
      <c r="A138" s="314"/>
      <c r="B138" s="238"/>
      <c r="C138" s="96"/>
      <c r="D138" s="212"/>
      <c r="E138" s="96"/>
      <c r="F138" s="212"/>
      <c r="G138" s="212"/>
      <c r="H138" s="28"/>
      <c r="I138" s="28"/>
      <c r="J138" s="239"/>
      <c r="K138" s="240"/>
      <c r="L138" s="241"/>
      <c r="M138" s="240"/>
      <c r="N138" s="136"/>
      <c r="O138" s="239"/>
      <c r="P138" s="239"/>
      <c r="Q138" s="214"/>
      <c r="R138" s="214"/>
      <c r="S138" s="101"/>
      <c r="T138" s="222"/>
      <c r="U138" s="242"/>
      <c r="V138" s="242"/>
      <c r="W138" s="243"/>
      <c r="X138" s="243"/>
      <c r="Y138" s="243"/>
      <c r="Z138" s="243"/>
      <c r="AA138" s="243"/>
      <c r="AB138" s="243"/>
      <c r="AC138" s="243"/>
      <c r="AD138" s="243"/>
      <c r="AE138" s="243"/>
      <c r="AF138" s="243"/>
      <c r="AG138" s="208"/>
      <c r="AH138" s="208"/>
      <c r="AI138" s="208"/>
      <c r="AJ138" s="208"/>
      <c r="AK138" s="208"/>
      <c r="AL138" s="208"/>
      <c r="AM138" s="208"/>
      <c r="AN138" s="208"/>
    </row>
    <row r="139">
      <c r="A139" s="314"/>
      <c r="B139" s="238"/>
      <c r="C139" s="96"/>
      <c r="D139" s="212"/>
      <c r="E139" s="96"/>
      <c r="F139" s="212"/>
      <c r="G139" s="212"/>
      <c r="H139" s="28"/>
      <c r="I139" s="28"/>
      <c r="J139" s="239"/>
      <c r="K139" s="240"/>
      <c r="L139" s="241"/>
      <c r="M139" s="240"/>
      <c r="N139" s="136"/>
      <c r="O139" s="239"/>
      <c r="P139" s="239"/>
      <c r="Q139" s="214"/>
      <c r="R139" s="214"/>
      <c r="S139" s="101"/>
      <c r="T139" s="222"/>
      <c r="U139" s="242"/>
      <c r="V139" s="242"/>
      <c r="W139" s="243"/>
      <c r="X139" s="243"/>
      <c r="Y139" s="243"/>
      <c r="Z139" s="243"/>
      <c r="AA139" s="243"/>
      <c r="AB139" s="243"/>
      <c r="AC139" s="243"/>
      <c r="AD139" s="243"/>
      <c r="AE139" s="243"/>
      <c r="AF139" s="243"/>
      <c r="AG139" s="208"/>
      <c r="AH139" s="208"/>
      <c r="AI139" s="208"/>
      <c r="AJ139" s="208"/>
      <c r="AK139" s="208"/>
      <c r="AL139" s="208"/>
      <c r="AM139" s="208"/>
      <c r="AN139" s="208"/>
    </row>
    <row r="140">
      <c r="A140" s="314"/>
      <c r="B140" s="238"/>
      <c r="C140" s="96"/>
      <c r="D140" s="212"/>
      <c r="E140" s="96"/>
      <c r="F140" s="212"/>
      <c r="G140" s="212"/>
      <c r="H140" s="28"/>
      <c r="I140" s="28"/>
      <c r="J140" s="239"/>
      <c r="K140" s="240"/>
      <c r="L140" s="241"/>
      <c r="M140" s="240"/>
      <c r="N140" s="136"/>
      <c r="O140" s="239"/>
      <c r="P140" s="239"/>
      <c r="Q140" s="214"/>
      <c r="R140" s="214"/>
      <c r="S140" s="101"/>
      <c r="T140" s="222"/>
      <c r="U140" s="242"/>
      <c r="V140" s="242"/>
      <c r="W140" s="243"/>
      <c r="X140" s="243"/>
      <c r="Y140" s="243"/>
      <c r="Z140" s="243"/>
      <c r="AA140" s="243"/>
      <c r="AB140" s="243"/>
      <c r="AC140" s="243"/>
      <c r="AD140" s="243"/>
      <c r="AE140" s="243"/>
      <c r="AF140" s="243"/>
      <c r="AG140" s="208"/>
      <c r="AH140" s="208"/>
      <c r="AI140" s="208"/>
      <c r="AJ140" s="208"/>
      <c r="AK140" s="208"/>
      <c r="AL140" s="208"/>
      <c r="AM140" s="208"/>
      <c r="AN140" s="208"/>
    </row>
    <row r="141">
      <c r="A141" s="314"/>
      <c r="B141" s="238"/>
      <c r="C141" s="96"/>
      <c r="D141" s="212"/>
      <c r="E141" s="96"/>
      <c r="F141" s="212"/>
      <c r="G141" s="212"/>
      <c r="H141" s="28"/>
      <c r="I141" s="28"/>
      <c r="J141" s="239"/>
      <c r="K141" s="240"/>
      <c r="L141" s="241"/>
      <c r="M141" s="240"/>
      <c r="N141" s="136"/>
      <c r="O141" s="239"/>
      <c r="P141" s="239"/>
      <c r="Q141" s="214"/>
      <c r="R141" s="214"/>
      <c r="S141" s="101"/>
      <c r="T141" s="222"/>
      <c r="U141" s="242"/>
      <c r="V141" s="242"/>
      <c r="W141" s="243"/>
      <c r="X141" s="243"/>
      <c r="Y141" s="243"/>
      <c r="Z141" s="243"/>
      <c r="AA141" s="243"/>
      <c r="AB141" s="243"/>
      <c r="AC141" s="243"/>
      <c r="AD141" s="243"/>
      <c r="AE141" s="243"/>
      <c r="AF141" s="243"/>
      <c r="AG141" s="208"/>
      <c r="AH141" s="208"/>
      <c r="AI141" s="208"/>
      <c r="AJ141" s="208"/>
      <c r="AK141" s="208"/>
      <c r="AL141" s="208"/>
      <c r="AM141" s="208"/>
      <c r="AN141" s="208"/>
    </row>
    <row r="142">
      <c r="A142" s="314"/>
      <c r="B142" s="238"/>
      <c r="C142" s="96"/>
      <c r="D142" s="212"/>
      <c r="E142" s="96"/>
      <c r="F142" s="212"/>
      <c r="G142" s="212"/>
      <c r="H142" s="28"/>
      <c r="I142" s="28"/>
      <c r="J142" s="239"/>
      <c r="K142" s="240"/>
      <c r="L142" s="241"/>
      <c r="M142" s="240"/>
      <c r="N142" s="136"/>
      <c r="O142" s="239"/>
      <c r="P142" s="239"/>
      <c r="Q142" s="214"/>
      <c r="R142" s="214"/>
      <c r="S142" s="101"/>
      <c r="T142" s="222"/>
      <c r="U142" s="242"/>
      <c r="V142" s="242"/>
      <c r="W142" s="243"/>
      <c r="X142" s="243"/>
      <c r="Y142" s="243"/>
      <c r="Z142" s="243"/>
      <c r="AA142" s="243"/>
      <c r="AB142" s="243"/>
      <c r="AC142" s="243"/>
      <c r="AD142" s="243"/>
      <c r="AE142" s="243"/>
      <c r="AF142" s="243"/>
      <c r="AG142" s="208"/>
      <c r="AH142" s="208"/>
      <c r="AI142" s="208"/>
      <c r="AJ142" s="208"/>
      <c r="AK142" s="208"/>
      <c r="AL142" s="208"/>
      <c r="AM142" s="208"/>
      <c r="AN142" s="208"/>
    </row>
    <row r="143">
      <c r="A143" s="314"/>
      <c r="B143" s="238"/>
      <c r="C143" s="96"/>
      <c r="D143" s="212"/>
      <c r="E143" s="96"/>
      <c r="F143" s="212"/>
      <c r="G143" s="212"/>
      <c r="H143" s="28"/>
      <c r="I143" s="28"/>
      <c r="J143" s="239"/>
      <c r="K143" s="240"/>
      <c r="L143" s="241"/>
      <c r="M143" s="240"/>
      <c r="N143" s="136"/>
      <c r="O143" s="239"/>
      <c r="P143" s="239"/>
      <c r="Q143" s="214"/>
      <c r="R143" s="214"/>
      <c r="S143" s="101"/>
      <c r="T143" s="222"/>
      <c r="U143" s="242"/>
      <c r="V143" s="242"/>
      <c r="W143" s="243"/>
      <c r="X143" s="243"/>
      <c r="Y143" s="243"/>
      <c r="Z143" s="243"/>
      <c r="AA143" s="243"/>
      <c r="AB143" s="243"/>
      <c r="AC143" s="243"/>
      <c r="AD143" s="243"/>
      <c r="AE143" s="243"/>
      <c r="AF143" s="243"/>
      <c r="AG143" s="208"/>
      <c r="AH143" s="208"/>
      <c r="AI143" s="208"/>
      <c r="AJ143" s="208"/>
      <c r="AK143" s="208"/>
      <c r="AL143" s="208"/>
      <c r="AM143" s="208"/>
      <c r="AN143" s="208"/>
    </row>
    <row r="144">
      <c r="A144" s="314"/>
      <c r="B144" s="238"/>
      <c r="C144" s="96"/>
      <c r="D144" s="212"/>
      <c r="E144" s="96"/>
      <c r="F144" s="212"/>
      <c r="G144" s="212"/>
      <c r="H144" s="28"/>
      <c r="I144" s="28"/>
      <c r="J144" s="239"/>
      <c r="K144" s="240"/>
      <c r="L144" s="241"/>
      <c r="M144" s="240"/>
      <c r="N144" s="136"/>
      <c r="O144" s="239"/>
      <c r="P144" s="239"/>
      <c r="Q144" s="214"/>
      <c r="R144" s="214"/>
      <c r="S144" s="101"/>
      <c r="T144" s="222"/>
      <c r="U144" s="242"/>
      <c r="V144" s="242"/>
      <c r="W144" s="243"/>
      <c r="X144" s="243"/>
      <c r="Y144" s="243"/>
      <c r="Z144" s="243"/>
      <c r="AA144" s="243"/>
      <c r="AB144" s="243"/>
      <c r="AC144" s="243"/>
      <c r="AD144" s="243"/>
      <c r="AE144" s="243"/>
      <c r="AF144" s="243"/>
      <c r="AG144" s="208"/>
      <c r="AH144" s="208"/>
      <c r="AI144" s="208"/>
      <c r="AJ144" s="208"/>
      <c r="AK144" s="208"/>
      <c r="AL144" s="208"/>
      <c r="AM144" s="208"/>
      <c r="AN144" s="208"/>
    </row>
    <row r="145">
      <c r="A145" s="314"/>
      <c r="B145" s="238"/>
      <c r="C145" s="96"/>
      <c r="D145" s="212"/>
      <c r="E145" s="96"/>
      <c r="F145" s="212"/>
      <c r="G145" s="212"/>
      <c r="H145" s="28"/>
      <c r="I145" s="28"/>
      <c r="J145" s="239"/>
      <c r="K145" s="240"/>
      <c r="L145" s="241"/>
      <c r="M145" s="240"/>
      <c r="N145" s="136"/>
      <c r="O145" s="239"/>
      <c r="P145" s="239"/>
      <c r="Q145" s="214"/>
      <c r="R145" s="214"/>
      <c r="S145" s="101"/>
      <c r="T145" s="222"/>
      <c r="U145" s="242"/>
      <c r="V145" s="242"/>
      <c r="W145" s="243"/>
      <c r="X145" s="243"/>
      <c r="Y145" s="243"/>
      <c r="Z145" s="243"/>
      <c r="AA145" s="243"/>
      <c r="AB145" s="243"/>
      <c r="AC145" s="243"/>
      <c r="AD145" s="243"/>
      <c r="AE145" s="243"/>
      <c r="AF145" s="243"/>
      <c r="AG145" s="208"/>
      <c r="AH145" s="208"/>
      <c r="AI145" s="208"/>
      <c r="AJ145" s="208"/>
      <c r="AK145" s="208"/>
      <c r="AL145" s="208"/>
      <c r="AM145" s="208"/>
      <c r="AN145" s="208"/>
    </row>
    <row r="146">
      <c r="A146" s="314"/>
      <c r="B146" s="238"/>
      <c r="C146" s="96"/>
      <c r="D146" s="212"/>
      <c r="E146" s="96"/>
      <c r="F146" s="212"/>
      <c r="G146" s="212"/>
      <c r="H146" s="28"/>
      <c r="I146" s="28"/>
      <c r="J146" s="239"/>
      <c r="K146" s="240"/>
      <c r="L146" s="241"/>
      <c r="M146" s="240"/>
      <c r="N146" s="136"/>
      <c r="O146" s="239"/>
      <c r="P146" s="239"/>
      <c r="Q146" s="214"/>
      <c r="R146" s="214"/>
      <c r="S146" s="101"/>
      <c r="T146" s="222"/>
      <c r="U146" s="242"/>
      <c r="V146" s="242"/>
      <c r="W146" s="243"/>
      <c r="X146" s="243"/>
      <c r="Y146" s="243"/>
      <c r="Z146" s="243"/>
      <c r="AA146" s="243"/>
      <c r="AB146" s="243"/>
      <c r="AC146" s="243"/>
      <c r="AD146" s="243"/>
      <c r="AE146" s="243"/>
      <c r="AF146" s="243"/>
      <c r="AG146" s="208"/>
      <c r="AH146" s="208"/>
      <c r="AI146" s="208"/>
      <c r="AJ146" s="208"/>
      <c r="AK146" s="208"/>
      <c r="AL146" s="208"/>
      <c r="AM146" s="208"/>
      <c r="AN146" s="208"/>
    </row>
    <row r="147">
      <c r="A147" s="314"/>
      <c r="B147" s="238"/>
      <c r="C147" s="96"/>
      <c r="D147" s="212"/>
      <c r="E147" s="96"/>
      <c r="F147" s="212"/>
      <c r="G147" s="212"/>
      <c r="H147" s="28"/>
      <c r="I147" s="28"/>
      <c r="J147" s="239"/>
      <c r="K147" s="240"/>
      <c r="L147" s="241"/>
      <c r="M147" s="240"/>
      <c r="N147" s="136"/>
      <c r="O147" s="239"/>
      <c r="P147" s="239"/>
      <c r="Q147" s="214"/>
      <c r="R147" s="214"/>
      <c r="S147" s="101"/>
      <c r="T147" s="222"/>
      <c r="U147" s="242"/>
      <c r="V147" s="242"/>
      <c r="W147" s="243"/>
      <c r="X147" s="243"/>
      <c r="Y147" s="243"/>
      <c r="Z147" s="243"/>
      <c r="AA147" s="243"/>
      <c r="AB147" s="243"/>
      <c r="AC147" s="243"/>
      <c r="AD147" s="243"/>
      <c r="AE147" s="243"/>
      <c r="AF147" s="243"/>
      <c r="AG147" s="208"/>
      <c r="AH147" s="208"/>
      <c r="AI147" s="208"/>
      <c r="AJ147" s="208"/>
      <c r="AK147" s="208"/>
      <c r="AL147" s="208"/>
      <c r="AM147" s="208"/>
      <c r="AN147" s="208"/>
    </row>
    <row r="148">
      <c r="A148" s="314"/>
      <c r="B148" s="238"/>
      <c r="C148" s="96"/>
      <c r="D148" s="212"/>
      <c r="E148" s="96"/>
      <c r="F148" s="212"/>
      <c r="G148" s="212"/>
      <c r="H148" s="28"/>
      <c r="I148" s="28"/>
      <c r="J148" s="239"/>
      <c r="K148" s="240"/>
      <c r="L148" s="241"/>
      <c r="M148" s="240"/>
      <c r="N148" s="136"/>
      <c r="O148" s="239"/>
      <c r="P148" s="239"/>
      <c r="Q148" s="214"/>
      <c r="R148" s="214"/>
      <c r="S148" s="101"/>
      <c r="T148" s="222"/>
      <c r="U148" s="242"/>
      <c r="V148" s="242"/>
      <c r="W148" s="243"/>
      <c r="X148" s="243"/>
      <c r="Y148" s="243"/>
      <c r="Z148" s="243"/>
      <c r="AA148" s="243"/>
      <c r="AB148" s="243"/>
      <c r="AC148" s="243"/>
      <c r="AD148" s="243"/>
      <c r="AE148" s="243"/>
      <c r="AF148" s="243"/>
      <c r="AG148" s="208"/>
      <c r="AH148" s="208"/>
      <c r="AI148" s="208"/>
      <c r="AJ148" s="208"/>
      <c r="AK148" s="208"/>
      <c r="AL148" s="208"/>
      <c r="AM148" s="208"/>
      <c r="AN148" s="208"/>
    </row>
    <row r="149">
      <c r="A149" s="314"/>
      <c r="B149" s="238"/>
      <c r="C149" s="96"/>
      <c r="D149" s="212"/>
      <c r="E149" s="96"/>
      <c r="F149" s="212"/>
      <c r="G149" s="212"/>
      <c r="H149" s="28"/>
      <c r="I149" s="28"/>
      <c r="J149" s="239"/>
      <c r="K149" s="240"/>
      <c r="L149" s="241"/>
      <c r="M149" s="240"/>
      <c r="N149" s="136"/>
      <c r="O149" s="239"/>
      <c r="P149" s="239"/>
      <c r="Q149" s="214"/>
      <c r="R149" s="214"/>
      <c r="S149" s="101"/>
      <c r="T149" s="222"/>
      <c r="U149" s="242"/>
      <c r="V149" s="242"/>
      <c r="W149" s="243"/>
      <c r="X149" s="243"/>
      <c r="Y149" s="243"/>
      <c r="Z149" s="243"/>
      <c r="AA149" s="243"/>
      <c r="AB149" s="243"/>
      <c r="AC149" s="243"/>
      <c r="AD149" s="243"/>
      <c r="AE149" s="243"/>
      <c r="AF149" s="243"/>
      <c r="AG149" s="208"/>
      <c r="AH149" s="208"/>
      <c r="AI149" s="208"/>
      <c r="AJ149" s="208"/>
      <c r="AK149" s="208"/>
      <c r="AL149" s="208"/>
      <c r="AM149" s="208"/>
      <c r="AN149" s="208"/>
    </row>
    <row r="150">
      <c r="A150" s="314"/>
      <c r="B150" s="238"/>
      <c r="C150" s="96"/>
      <c r="D150" s="212"/>
      <c r="E150" s="96"/>
      <c r="F150" s="212"/>
      <c r="G150" s="212"/>
      <c r="H150" s="28"/>
      <c r="I150" s="28"/>
      <c r="J150" s="239"/>
      <c r="K150" s="240"/>
      <c r="L150" s="241"/>
      <c r="M150" s="240"/>
      <c r="N150" s="136"/>
      <c r="O150" s="239"/>
      <c r="P150" s="239"/>
      <c r="Q150" s="214"/>
      <c r="R150" s="214"/>
      <c r="S150" s="101"/>
      <c r="T150" s="222"/>
      <c r="U150" s="242"/>
      <c r="V150" s="242"/>
      <c r="W150" s="243"/>
      <c r="X150" s="243"/>
      <c r="Y150" s="243"/>
      <c r="Z150" s="243"/>
      <c r="AA150" s="243"/>
      <c r="AB150" s="243"/>
      <c r="AC150" s="243"/>
      <c r="AD150" s="243"/>
      <c r="AE150" s="243"/>
      <c r="AF150" s="243"/>
      <c r="AG150" s="208"/>
      <c r="AH150" s="208"/>
      <c r="AI150" s="208"/>
      <c r="AJ150" s="208"/>
      <c r="AK150" s="208"/>
      <c r="AL150" s="208"/>
      <c r="AM150" s="208"/>
      <c r="AN150" s="208"/>
    </row>
    <row r="151">
      <c r="A151" s="314"/>
      <c r="B151" s="238"/>
      <c r="C151" s="96"/>
      <c r="D151" s="212"/>
      <c r="E151" s="96"/>
      <c r="F151" s="212"/>
      <c r="G151" s="212"/>
      <c r="H151" s="28"/>
      <c r="I151" s="28"/>
      <c r="J151" s="239"/>
      <c r="K151" s="240"/>
      <c r="L151" s="241"/>
      <c r="M151" s="240"/>
      <c r="N151" s="136"/>
      <c r="O151" s="239"/>
      <c r="P151" s="239"/>
      <c r="Q151" s="214"/>
      <c r="R151" s="214"/>
      <c r="S151" s="101"/>
      <c r="T151" s="222"/>
      <c r="U151" s="242"/>
      <c r="V151" s="242"/>
      <c r="W151" s="243"/>
      <c r="X151" s="243"/>
      <c r="Y151" s="243"/>
      <c r="Z151" s="243"/>
      <c r="AA151" s="243"/>
      <c r="AB151" s="243"/>
      <c r="AC151" s="243"/>
      <c r="AD151" s="243"/>
      <c r="AE151" s="243"/>
      <c r="AF151" s="243"/>
      <c r="AG151" s="208"/>
      <c r="AH151" s="208"/>
      <c r="AI151" s="208"/>
      <c r="AJ151" s="208"/>
      <c r="AK151" s="208"/>
      <c r="AL151" s="208"/>
      <c r="AM151" s="208"/>
      <c r="AN151" s="208"/>
    </row>
    <row r="152">
      <c r="A152" s="314"/>
      <c r="B152" s="238"/>
      <c r="C152" s="96"/>
      <c r="D152" s="212"/>
      <c r="E152" s="96"/>
      <c r="F152" s="212"/>
      <c r="G152" s="212"/>
      <c r="H152" s="28"/>
      <c r="I152" s="28"/>
      <c r="J152" s="239"/>
      <c r="K152" s="240"/>
      <c r="L152" s="241"/>
      <c r="M152" s="240"/>
      <c r="N152" s="136"/>
      <c r="O152" s="239"/>
      <c r="P152" s="239"/>
      <c r="Q152" s="214"/>
      <c r="R152" s="214"/>
      <c r="S152" s="101"/>
      <c r="T152" s="222"/>
      <c r="U152" s="242"/>
      <c r="V152" s="242"/>
      <c r="W152" s="243"/>
      <c r="X152" s="243"/>
      <c r="Y152" s="243"/>
      <c r="Z152" s="243"/>
      <c r="AA152" s="243"/>
      <c r="AB152" s="243"/>
      <c r="AC152" s="243"/>
      <c r="AD152" s="243"/>
      <c r="AE152" s="243"/>
      <c r="AF152" s="243"/>
      <c r="AG152" s="208"/>
      <c r="AH152" s="208"/>
      <c r="AI152" s="208"/>
      <c r="AJ152" s="208"/>
      <c r="AK152" s="208"/>
      <c r="AL152" s="208"/>
      <c r="AM152" s="208"/>
      <c r="AN152" s="208"/>
    </row>
    <row r="153">
      <c r="A153" s="314"/>
      <c r="B153" s="238"/>
      <c r="C153" s="96"/>
      <c r="D153" s="212"/>
      <c r="E153" s="96"/>
      <c r="F153" s="212"/>
      <c r="G153" s="212"/>
      <c r="H153" s="28"/>
      <c r="I153" s="28"/>
      <c r="J153" s="239"/>
      <c r="K153" s="240"/>
      <c r="L153" s="241"/>
      <c r="M153" s="240"/>
      <c r="N153" s="136"/>
      <c r="O153" s="239"/>
      <c r="P153" s="239"/>
      <c r="Q153" s="214"/>
      <c r="R153" s="214"/>
      <c r="S153" s="101"/>
      <c r="T153" s="222"/>
      <c r="U153" s="242"/>
      <c r="V153" s="242"/>
      <c r="W153" s="243"/>
      <c r="X153" s="243"/>
      <c r="Y153" s="243"/>
      <c r="Z153" s="243"/>
      <c r="AA153" s="243"/>
      <c r="AB153" s="243"/>
      <c r="AC153" s="243"/>
      <c r="AD153" s="243"/>
      <c r="AE153" s="243"/>
      <c r="AF153" s="243"/>
      <c r="AG153" s="208"/>
      <c r="AH153" s="208"/>
      <c r="AI153" s="208"/>
      <c r="AJ153" s="208"/>
      <c r="AK153" s="208"/>
      <c r="AL153" s="208"/>
      <c r="AM153" s="208"/>
      <c r="AN153" s="208"/>
    </row>
    <row r="154">
      <c r="A154" s="314"/>
      <c r="B154" s="238"/>
      <c r="C154" s="96"/>
      <c r="D154" s="212"/>
      <c r="E154" s="96"/>
      <c r="F154" s="212"/>
      <c r="G154" s="212"/>
      <c r="H154" s="28"/>
      <c r="I154" s="28"/>
      <c r="J154" s="239"/>
      <c r="K154" s="240"/>
      <c r="L154" s="241"/>
      <c r="M154" s="240"/>
      <c r="N154" s="136"/>
      <c r="O154" s="239"/>
      <c r="P154" s="239"/>
      <c r="Q154" s="214"/>
      <c r="R154" s="214"/>
      <c r="S154" s="101"/>
      <c r="T154" s="222"/>
      <c r="U154" s="242"/>
      <c r="V154" s="242"/>
      <c r="W154" s="243"/>
      <c r="X154" s="243"/>
      <c r="Y154" s="243"/>
      <c r="Z154" s="243"/>
      <c r="AA154" s="243"/>
      <c r="AB154" s="243"/>
      <c r="AC154" s="243"/>
      <c r="AD154" s="243"/>
      <c r="AE154" s="243"/>
      <c r="AF154" s="243"/>
      <c r="AG154" s="208"/>
      <c r="AH154" s="208"/>
      <c r="AI154" s="208"/>
      <c r="AJ154" s="208"/>
      <c r="AK154" s="208"/>
      <c r="AL154" s="208"/>
      <c r="AM154" s="208"/>
      <c r="AN154" s="208"/>
    </row>
    <row r="155">
      <c r="A155" s="314"/>
      <c r="B155" s="238"/>
      <c r="C155" s="96"/>
      <c r="D155" s="212"/>
      <c r="E155" s="96"/>
      <c r="F155" s="212"/>
      <c r="G155" s="212"/>
      <c r="H155" s="28"/>
      <c r="I155" s="28"/>
      <c r="J155" s="239"/>
      <c r="K155" s="240"/>
      <c r="L155" s="241"/>
      <c r="M155" s="240"/>
      <c r="N155" s="136"/>
      <c r="O155" s="239"/>
      <c r="P155" s="239"/>
      <c r="Q155" s="214"/>
      <c r="R155" s="214"/>
      <c r="S155" s="101"/>
      <c r="T155" s="222"/>
      <c r="U155" s="242"/>
      <c r="V155" s="242"/>
      <c r="W155" s="243"/>
      <c r="X155" s="243"/>
      <c r="Y155" s="243"/>
      <c r="Z155" s="243"/>
      <c r="AA155" s="243"/>
      <c r="AB155" s="243"/>
      <c r="AC155" s="243"/>
      <c r="AD155" s="243"/>
      <c r="AE155" s="243"/>
      <c r="AF155" s="243"/>
      <c r="AG155" s="208"/>
      <c r="AH155" s="208"/>
      <c r="AI155" s="208"/>
      <c r="AJ155" s="208"/>
      <c r="AK155" s="208"/>
      <c r="AL155" s="208"/>
      <c r="AM155" s="208"/>
      <c r="AN155" s="208"/>
    </row>
    <row r="156">
      <c r="A156" s="314"/>
      <c r="B156" s="238"/>
      <c r="C156" s="96"/>
      <c r="D156" s="212"/>
      <c r="E156" s="96"/>
      <c r="F156" s="212"/>
      <c r="G156" s="212"/>
      <c r="H156" s="28"/>
      <c r="I156" s="28"/>
      <c r="J156" s="239"/>
      <c r="K156" s="240"/>
      <c r="L156" s="241"/>
      <c r="M156" s="240"/>
      <c r="N156" s="136"/>
      <c r="O156" s="239"/>
      <c r="P156" s="239"/>
      <c r="Q156" s="214"/>
      <c r="R156" s="214"/>
      <c r="S156" s="101"/>
      <c r="T156" s="222"/>
      <c r="U156" s="242"/>
      <c r="V156" s="242"/>
      <c r="W156" s="243"/>
      <c r="X156" s="243"/>
      <c r="Y156" s="243"/>
      <c r="Z156" s="243"/>
      <c r="AA156" s="243"/>
      <c r="AB156" s="243"/>
      <c r="AC156" s="243"/>
      <c r="AD156" s="243"/>
      <c r="AE156" s="243"/>
      <c r="AF156" s="243"/>
      <c r="AG156" s="208"/>
      <c r="AH156" s="208"/>
      <c r="AI156" s="208"/>
      <c r="AJ156" s="208"/>
      <c r="AK156" s="208"/>
      <c r="AL156" s="208"/>
      <c r="AM156" s="208"/>
      <c r="AN156" s="208"/>
    </row>
    <row r="157">
      <c r="A157" s="314"/>
      <c r="B157" s="238"/>
      <c r="C157" s="96"/>
      <c r="D157" s="212"/>
      <c r="E157" s="96"/>
      <c r="F157" s="212"/>
      <c r="G157" s="212"/>
      <c r="H157" s="28"/>
      <c r="I157" s="28"/>
      <c r="J157" s="239"/>
      <c r="K157" s="240"/>
      <c r="L157" s="241"/>
      <c r="M157" s="240"/>
      <c r="N157" s="136"/>
      <c r="O157" s="239"/>
      <c r="P157" s="239"/>
      <c r="Q157" s="214"/>
      <c r="R157" s="214"/>
      <c r="S157" s="101"/>
      <c r="T157" s="222"/>
      <c r="U157" s="242"/>
      <c r="V157" s="242"/>
      <c r="W157" s="243"/>
      <c r="X157" s="243"/>
      <c r="Y157" s="243"/>
      <c r="Z157" s="243"/>
      <c r="AA157" s="243"/>
      <c r="AB157" s="243"/>
      <c r="AC157" s="243"/>
      <c r="AD157" s="243"/>
      <c r="AE157" s="243"/>
      <c r="AF157" s="243"/>
      <c r="AG157" s="208"/>
      <c r="AH157" s="208"/>
      <c r="AI157" s="208"/>
      <c r="AJ157" s="208"/>
      <c r="AK157" s="208"/>
      <c r="AL157" s="208"/>
      <c r="AM157" s="208"/>
      <c r="AN157" s="208"/>
    </row>
    <row r="158">
      <c r="A158" s="314"/>
      <c r="B158" s="238"/>
      <c r="C158" s="96"/>
      <c r="D158" s="212"/>
      <c r="E158" s="96"/>
      <c r="F158" s="212"/>
      <c r="G158" s="212"/>
      <c r="H158" s="28"/>
      <c r="I158" s="28"/>
      <c r="J158" s="239"/>
      <c r="K158" s="240"/>
      <c r="L158" s="241"/>
      <c r="M158" s="240"/>
      <c r="N158" s="136"/>
      <c r="O158" s="239"/>
      <c r="P158" s="239"/>
      <c r="Q158" s="214"/>
      <c r="R158" s="214"/>
      <c r="S158" s="101"/>
      <c r="T158" s="222"/>
      <c r="U158" s="242"/>
      <c r="V158" s="242"/>
      <c r="W158" s="243"/>
      <c r="X158" s="243"/>
      <c r="Y158" s="243"/>
      <c r="Z158" s="243"/>
      <c r="AA158" s="243"/>
      <c r="AB158" s="243"/>
      <c r="AC158" s="243"/>
      <c r="AD158" s="243"/>
      <c r="AE158" s="243"/>
      <c r="AF158" s="243"/>
      <c r="AG158" s="208"/>
      <c r="AH158" s="208"/>
      <c r="AI158" s="208"/>
      <c r="AJ158" s="208"/>
      <c r="AK158" s="208"/>
      <c r="AL158" s="208"/>
      <c r="AM158" s="208"/>
      <c r="AN158" s="208"/>
    </row>
    <row r="159">
      <c r="A159" s="314"/>
      <c r="B159" s="238"/>
      <c r="C159" s="96"/>
      <c r="D159" s="212"/>
      <c r="E159" s="96"/>
      <c r="F159" s="212"/>
      <c r="G159" s="212"/>
      <c r="H159" s="28"/>
      <c r="I159" s="28"/>
      <c r="J159" s="239"/>
      <c r="K159" s="240"/>
      <c r="L159" s="241"/>
      <c r="M159" s="240"/>
      <c r="N159" s="136"/>
      <c r="O159" s="239"/>
      <c r="P159" s="239"/>
      <c r="Q159" s="214"/>
      <c r="R159" s="214"/>
      <c r="S159" s="101"/>
      <c r="T159" s="222"/>
      <c r="U159" s="242"/>
      <c r="V159" s="242"/>
      <c r="W159" s="243"/>
      <c r="X159" s="243"/>
      <c r="Y159" s="243"/>
      <c r="Z159" s="243"/>
      <c r="AA159" s="243"/>
      <c r="AB159" s="243"/>
      <c r="AC159" s="243"/>
      <c r="AD159" s="243"/>
      <c r="AE159" s="243"/>
      <c r="AF159" s="243"/>
      <c r="AG159" s="208"/>
      <c r="AH159" s="208"/>
      <c r="AI159" s="208"/>
      <c r="AJ159" s="208"/>
      <c r="AK159" s="208"/>
      <c r="AL159" s="208"/>
      <c r="AM159" s="208"/>
      <c r="AN159" s="208"/>
    </row>
    <row r="160">
      <c r="A160" s="314"/>
      <c r="B160" s="238"/>
      <c r="C160" s="96"/>
      <c r="D160" s="212"/>
      <c r="E160" s="96"/>
      <c r="F160" s="212"/>
      <c r="G160" s="212"/>
      <c r="H160" s="28"/>
      <c r="I160" s="28"/>
      <c r="J160" s="239"/>
      <c r="K160" s="240"/>
      <c r="L160" s="241"/>
      <c r="M160" s="240"/>
      <c r="N160" s="136"/>
      <c r="O160" s="239"/>
      <c r="P160" s="239"/>
      <c r="Q160" s="214"/>
      <c r="R160" s="214"/>
      <c r="S160" s="101"/>
      <c r="T160" s="222"/>
      <c r="U160" s="242"/>
      <c r="V160" s="242"/>
      <c r="W160" s="243"/>
      <c r="X160" s="243"/>
      <c r="Y160" s="243"/>
      <c r="Z160" s="243"/>
      <c r="AA160" s="243"/>
      <c r="AB160" s="243"/>
      <c r="AC160" s="243"/>
      <c r="AD160" s="243"/>
      <c r="AE160" s="243"/>
      <c r="AF160" s="243"/>
      <c r="AG160" s="208"/>
      <c r="AH160" s="208"/>
      <c r="AI160" s="208"/>
      <c r="AJ160" s="208"/>
      <c r="AK160" s="208"/>
      <c r="AL160" s="208"/>
      <c r="AM160" s="208"/>
      <c r="AN160" s="208"/>
    </row>
    <row r="161">
      <c r="A161" s="314"/>
      <c r="B161" s="238"/>
      <c r="C161" s="96"/>
      <c r="D161" s="212"/>
      <c r="E161" s="96"/>
      <c r="F161" s="212"/>
      <c r="G161" s="212"/>
      <c r="H161" s="28"/>
      <c r="I161" s="28"/>
      <c r="J161" s="239"/>
      <c r="K161" s="240"/>
      <c r="L161" s="241"/>
      <c r="M161" s="240"/>
      <c r="N161" s="136"/>
      <c r="O161" s="239"/>
      <c r="P161" s="239"/>
      <c r="Q161" s="214"/>
      <c r="R161" s="214"/>
      <c r="S161" s="101"/>
      <c r="T161" s="222"/>
      <c r="U161" s="242"/>
      <c r="V161" s="242"/>
      <c r="W161" s="243"/>
      <c r="X161" s="243"/>
      <c r="Y161" s="243"/>
      <c r="Z161" s="243"/>
      <c r="AA161" s="243"/>
      <c r="AB161" s="243"/>
      <c r="AC161" s="243"/>
      <c r="AD161" s="243"/>
      <c r="AE161" s="243"/>
      <c r="AF161" s="243"/>
      <c r="AG161" s="208"/>
      <c r="AH161" s="208"/>
      <c r="AI161" s="208"/>
      <c r="AJ161" s="208"/>
      <c r="AK161" s="208"/>
      <c r="AL161" s="208"/>
      <c r="AM161" s="208"/>
      <c r="AN161" s="208"/>
    </row>
    <row r="162">
      <c r="A162" s="314"/>
      <c r="B162" s="238"/>
      <c r="C162" s="96"/>
      <c r="D162" s="212"/>
      <c r="E162" s="96"/>
      <c r="F162" s="212"/>
      <c r="G162" s="212"/>
      <c r="H162" s="28"/>
      <c r="I162" s="28"/>
      <c r="J162" s="239"/>
      <c r="K162" s="240"/>
      <c r="L162" s="241"/>
      <c r="M162" s="240"/>
      <c r="N162" s="136"/>
      <c r="O162" s="239"/>
      <c r="P162" s="239"/>
      <c r="Q162" s="214"/>
      <c r="R162" s="214"/>
      <c r="S162" s="101"/>
      <c r="T162" s="222"/>
      <c r="U162" s="242"/>
      <c r="V162" s="242"/>
      <c r="W162" s="243"/>
      <c r="X162" s="243"/>
      <c r="Y162" s="243"/>
      <c r="Z162" s="243"/>
      <c r="AA162" s="243"/>
      <c r="AB162" s="243"/>
      <c r="AC162" s="243"/>
      <c r="AD162" s="243"/>
      <c r="AE162" s="243"/>
      <c r="AF162" s="243"/>
      <c r="AG162" s="208"/>
      <c r="AH162" s="208"/>
      <c r="AI162" s="208"/>
      <c r="AJ162" s="208"/>
      <c r="AK162" s="208"/>
      <c r="AL162" s="208"/>
      <c r="AM162" s="208"/>
      <c r="AN162" s="208"/>
    </row>
    <row r="163">
      <c r="A163" s="314"/>
      <c r="B163" s="238"/>
      <c r="C163" s="96"/>
      <c r="D163" s="212"/>
      <c r="E163" s="96"/>
      <c r="F163" s="212"/>
      <c r="G163" s="212"/>
      <c r="H163" s="28"/>
      <c r="I163" s="28"/>
      <c r="J163" s="239"/>
      <c r="K163" s="240"/>
      <c r="L163" s="241"/>
      <c r="M163" s="240"/>
      <c r="N163" s="136"/>
      <c r="O163" s="239"/>
      <c r="P163" s="239"/>
      <c r="Q163" s="214"/>
      <c r="R163" s="214"/>
      <c r="S163" s="101"/>
      <c r="T163" s="222"/>
      <c r="U163" s="242"/>
      <c r="V163" s="242"/>
      <c r="W163" s="243"/>
      <c r="X163" s="243"/>
      <c r="Y163" s="243"/>
      <c r="Z163" s="243"/>
      <c r="AA163" s="243"/>
      <c r="AB163" s="243"/>
      <c r="AC163" s="243"/>
      <c r="AD163" s="243"/>
      <c r="AE163" s="243"/>
      <c r="AF163" s="243"/>
      <c r="AG163" s="208"/>
      <c r="AH163" s="208"/>
      <c r="AI163" s="208"/>
      <c r="AJ163" s="208"/>
      <c r="AK163" s="208"/>
      <c r="AL163" s="208"/>
      <c r="AM163" s="208"/>
      <c r="AN163" s="208"/>
    </row>
    <row r="164">
      <c r="A164" s="314"/>
      <c r="B164" s="238"/>
      <c r="C164" s="96"/>
      <c r="D164" s="212"/>
      <c r="E164" s="96"/>
      <c r="F164" s="212"/>
      <c r="G164" s="212"/>
      <c r="H164" s="28"/>
      <c r="I164" s="28"/>
      <c r="J164" s="239"/>
      <c r="K164" s="240"/>
      <c r="L164" s="241"/>
      <c r="M164" s="240"/>
      <c r="N164" s="136"/>
      <c r="O164" s="239"/>
      <c r="P164" s="239"/>
      <c r="Q164" s="214"/>
      <c r="R164" s="214"/>
      <c r="S164" s="101"/>
      <c r="T164" s="222"/>
      <c r="U164" s="242"/>
      <c r="V164" s="242"/>
      <c r="W164" s="243"/>
      <c r="X164" s="243"/>
      <c r="Y164" s="243"/>
      <c r="Z164" s="243"/>
      <c r="AA164" s="243"/>
      <c r="AB164" s="243"/>
      <c r="AC164" s="243"/>
      <c r="AD164" s="243"/>
      <c r="AE164" s="243"/>
      <c r="AF164" s="243"/>
      <c r="AG164" s="208"/>
      <c r="AH164" s="208"/>
      <c r="AI164" s="208"/>
      <c r="AJ164" s="208"/>
      <c r="AK164" s="208"/>
      <c r="AL164" s="208"/>
      <c r="AM164" s="208"/>
      <c r="AN164" s="208"/>
    </row>
    <row r="165">
      <c r="A165" s="314"/>
      <c r="B165" s="238"/>
      <c r="C165" s="96"/>
      <c r="D165" s="212"/>
      <c r="E165" s="96"/>
      <c r="F165" s="212"/>
      <c r="G165" s="212"/>
      <c r="H165" s="28"/>
      <c r="I165" s="28"/>
      <c r="J165" s="239"/>
      <c r="K165" s="240"/>
      <c r="L165" s="241"/>
      <c r="M165" s="240"/>
      <c r="N165" s="136"/>
      <c r="O165" s="239"/>
      <c r="P165" s="239"/>
      <c r="Q165" s="214"/>
      <c r="R165" s="214"/>
      <c r="S165" s="101"/>
      <c r="T165" s="222"/>
      <c r="U165" s="242"/>
      <c r="V165" s="242"/>
      <c r="W165" s="243"/>
      <c r="X165" s="243"/>
      <c r="Y165" s="243"/>
      <c r="Z165" s="243"/>
      <c r="AA165" s="243"/>
      <c r="AB165" s="243"/>
      <c r="AC165" s="243"/>
      <c r="AD165" s="243"/>
      <c r="AE165" s="243"/>
      <c r="AF165" s="243"/>
      <c r="AG165" s="208"/>
      <c r="AH165" s="208"/>
      <c r="AI165" s="208"/>
      <c r="AJ165" s="208"/>
      <c r="AK165" s="208"/>
      <c r="AL165" s="208"/>
      <c r="AM165" s="208"/>
      <c r="AN165" s="208"/>
    </row>
    <row r="166">
      <c r="A166" s="314"/>
      <c r="B166" s="238"/>
      <c r="C166" s="96"/>
      <c r="D166" s="212"/>
      <c r="E166" s="96"/>
      <c r="F166" s="212"/>
      <c r="G166" s="212"/>
      <c r="H166" s="28"/>
      <c r="I166" s="28"/>
      <c r="J166" s="239"/>
      <c r="K166" s="240"/>
      <c r="L166" s="241"/>
      <c r="M166" s="240"/>
      <c r="N166" s="136"/>
      <c r="O166" s="239"/>
      <c r="P166" s="239"/>
      <c r="Q166" s="214"/>
      <c r="R166" s="214"/>
      <c r="S166" s="101"/>
      <c r="T166" s="222"/>
      <c r="U166" s="242"/>
      <c r="V166" s="242"/>
      <c r="W166" s="243"/>
      <c r="X166" s="243"/>
      <c r="Y166" s="243"/>
      <c r="Z166" s="243"/>
      <c r="AA166" s="243"/>
      <c r="AB166" s="243"/>
      <c r="AC166" s="243"/>
      <c r="AD166" s="243"/>
      <c r="AE166" s="243"/>
      <c r="AF166" s="243"/>
      <c r="AG166" s="208"/>
      <c r="AH166" s="208"/>
      <c r="AI166" s="208"/>
      <c r="AJ166" s="208"/>
      <c r="AK166" s="208"/>
      <c r="AL166" s="208"/>
      <c r="AM166" s="208"/>
      <c r="AN166" s="208"/>
    </row>
    <row r="167">
      <c r="A167" s="314"/>
      <c r="B167" s="238"/>
      <c r="C167" s="96"/>
      <c r="D167" s="212"/>
      <c r="E167" s="96"/>
      <c r="F167" s="212"/>
      <c r="G167" s="212"/>
      <c r="H167" s="28"/>
      <c r="I167" s="28"/>
      <c r="J167" s="239"/>
      <c r="K167" s="240"/>
      <c r="L167" s="241"/>
      <c r="M167" s="240"/>
      <c r="N167" s="136"/>
      <c r="O167" s="239"/>
      <c r="P167" s="239"/>
      <c r="Q167" s="214"/>
      <c r="R167" s="214"/>
      <c r="S167" s="101"/>
      <c r="T167" s="222"/>
      <c r="U167" s="242"/>
      <c r="V167" s="242"/>
      <c r="W167" s="243"/>
      <c r="X167" s="243"/>
      <c r="Y167" s="243"/>
      <c r="Z167" s="243"/>
      <c r="AA167" s="243"/>
      <c r="AB167" s="243"/>
      <c r="AC167" s="243"/>
      <c r="AD167" s="243"/>
      <c r="AE167" s="243"/>
      <c r="AF167" s="243"/>
      <c r="AG167" s="208"/>
      <c r="AH167" s="208"/>
      <c r="AI167" s="208"/>
      <c r="AJ167" s="208"/>
      <c r="AK167" s="208"/>
      <c r="AL167" s="208"/>
      <c r="AM167" s="208"/>
      <c r="AN167" s="208"/>
    </row>
    <row r="168">
      <c r="A168" s="314"/>
      <c r="B168" s="238"/>
      <c r="C168" s="96"/>
      <c r="D168" s="212"/>
      <c r="E168" s="96"/>
      <c r="F168" s="212"/>
      <c r="G168" s="212"/>
      <c r="H168" s="28"/>
      <c r="I168" s="28"/>
      <c r="J168" s="239"/>
      <c r="K168" s="240"/>
      <c r="L168" s="241"/>
      <c r="M168" s="240"/>
      <c r="N168" s="136"/>
      <c r="O168" s="239"/>
      <c r="P168" s="239"/>
      <c r="Q168" s="214"/>
      <c r="R168" s="214"/>
      <c r="S168" s="101"/>
      <c r="T168" s="222"/>
      <c r="U168" s="242"/>
      <c r="V168" s="242"/>
      <c r="W168" s="243"/>
      <c r="X168" s="243"/>
      <c r="Y168" s="243"/>
      <c r="Z168" s="243"/>
      <c r="AA168" s="243"/>
      <c r="AB168" s="243"/>
      <c r="AC168" s="243"/>
      <c r="AD168" s="243"/>
      <c r="AE168" s="243"/>
      <c r="AF168" s="243"/>
      <c r="AG168" s="208"/>
      <c r="AH168" s="208"/>
      <c r="AI168" s="208"/>
      <c r="AJ168" s="208"/>
      <c r="AK168" s="208"/>
      <c r="AL168" s="208"/>
      <c r="AM168" s="208"/>
      <c r="AN168" s="208"/>
    </row>
    <row r="169">
      <c r="A169" s="314"/>
      <c r="B169" s="238"/>
      <c r="C169" s="96"/>
      <c r="D169" s="212"/>
      <c r="E169" s="96"/>
      <c r="F169" s="212"/>
      <c r="G169" s="212"/>
      <c r="H169" s="28"/>
      <c r="I169" s="28"/>
      <c r="J169" s="239"/>
      <c r="K169" s="240"/>
      <c r="L169" s="241"/>
      <c r="M169" s="240"/>
      <c r="N169" s="136"/>
      <c r="O169" s="239"/>
      <c r="P169" s="239"/>
      <c r="Q169" s="214"/>
      <c r="R169" s="214"/>
      <c r="S169" s="101"/>
      <c r="T169" s="222"/>
      <c r="U169" s="242"/>
      <c r="V169" s="242"/>
      <c r="W169" s="243"/>
      <c r="X169" s="243"/>
      <c r="Y169" s="243"/>
      <c r="Z169" s="243"/>
      <c r="AA169" s="243"/>
      <c r="AB169" s="243"/>
      <c r="AC169" s="243"/>
      <c r="AD169" s="243"/>
      <c r="AE169" s="243"/>
      <c r="AF169" s="243"/>
      <c r="AG169" s="208"/>
      <c r="AH169" s="208"/>
      <c r="AI169" s="208"/>
      <c r="AJ169" s="208"/>
      <c r="AK169" s="208"/>
      <c r="AL169" s="208"/>
      <c r="AM169" s="208"/>
      <c r="AN169" s="208"/>
    </row>
    <row r="170">
      <c r="A170" s="314"/>
      <c r="B170" s="238"/>
      <c r="C170" s="96"/>
      <c r="D170" s="212"/>
      <c r="E170" s="96"/>
      <c r="F170" s="212"/>
      <c r="G170" s="212"/>
      <c r="H170" s="28"/>
      <c r="I170" s="28"/>
      <c r="J170" s="239"/>
      <c r="K170" s="240"/>
      <c r="L170" s="241"/>
      <c r="M170" s="240"/>
      <c r="N170" s="136"/>
      <c r="O170" s="239"/>
      <c r="P170" s="239"/>
      <c r="Q170" s="214"/>
      <c r="R170" s="214"/>
      <c r="S170" s="101"/>
      <c r="T170" s="222"/>
      <c r="U170" s="242"/>
      <c r="V170" s="242"/>
      <c r="W170" s="243"/>
      <c r="X170" s="243"/>
      <c r="Y170" s="243"/>
      <c r="Z170" s="243"/>
      <c r="AA170" s="243"/>
      <c r="AB170" s="243"/>
      <c r="AC170" s="243"/>
      <c r="AD170" s="243"/>
      <c r="AE170" s="243"/>
      <c r="AF170" s="243"/>
      <c r="AG170" s="208"/>
      <c r="AH170" s="208"/>
      <c r="AI170" s="208"/>
      <c r="AJ170" s="208"/>
      <c r="AK170" s="208"/>
      <c r="AL170" s="208"/>
      <c r="AM170" s="208"/>
      <c r="AN170" s="208"/>
    </row>
    <row r="171">
      <c r="A171" s="314"/>
      <c r="B171" s="238"/>
      <c r="C171" s="96"/>
      <c r="D171" s="212"/>
      <c r="E171" s="96"/>
      <c r="F171" s="212"/>
      <c r="G171" s="212"/>
      <c r="H171" s="28"/>
      <c r="I171" s="28"/>
      <c r="J171" s="239"/>
      <c r="K171" s="240"/>
      <c r="L171" s="241"/>
      <c r="M171" s="240"/>
      <c r="N171" s="136"/>
      <c r="O171" s="239"/>
      <c r="P171" s="239"/>
      <c r="Q171" s="214"/>
      <c r="R171" s="214"/>
      <c r="S171" s="101"/>
      <c r="T171" s="222"/>
      <c r="U171" s="242"/>
      <c r="V171" s="242"/>
      <c r="W171" s="243"/>
      <c r="X171" s="243"/>
      <c r="Y171" s="243"/>
      <c r="Z171" s="243"/>
      <c r="AA171" s="243"/>
      <c r="AB171" s="243"/>
      <c r="AC171" s="243"/>
      <c r="AD171" s="243"/>
      <c r="AE171" s="243"/>
      <c r="AF171" s="243"/>
      <c r="AG171" s="208"/>
      <c r="AH171" s="208"/>
      <c r="AI171" s="208"/>
      <c r="AJ171" s="208"/>
      <c r="AK171" s="208"/>
      <c r="AL171" s="208"/>
      <c r="AM171" s="208"/>
      <c r="AN171" s="208"/>
    </row>
    <row r="172">
      <c r="A172" s="314"/>
      <c r="B172" s="238"/>
      <c r="C172" s="96"/>
      <c r="D172" s="212"/>
      <c r="E172" s="96"/>
      <c r="F172" s="212"/>
      <c r="G172" s="212"/>
      <c r="H172" s="28"/>
      <c r="I172" s="28"/>
      <c r="J172" s="239"/>
      <c r="K172" s="240"/>
      <c r="L172" s="241"/>
      <c r="M172" s="240"/>
      <c r="N172" s="136"/>
      <c r="O172" s="239"/>
      <c r="P172" s="239"/>
      <c r="Q172" s="214"/>
      <c r="R172" s="214"/>
      <c r="S172" s="101"/>
      <c r="T172" s="222"/>
      <c r="U172" s="242"/>
      <c r="V172" s="242"/>
      <c r="W172" s="243"/>
      <c r="X172" s="243"/>
      <c r="Y172" s="243"/>
      <c r="Z172" s="243"/>
      <c r="AA172" s="243"/>
      <c r="AB172" s="243"/>
      <c r="AC172" s="243"/>
      <c r="AD172" s="243"/>
      <c r="AE172" s="243"/>
      <c r="AF172" s="243"/>
      <c r="AG172" s="208"/>
      <c r="AH172" s="208"/>
      <c r="AI172" s="208"/>
      <c r="AJ172" s="208"/>
      <c r="AK172" s="208"/>
      <c r="AL172" s="208"/>
      <c r="AM172" s="208"/>
      <c r="AN172" s="208"/>
    </row>
    <row r="173">
      <c r="A173" s="314"/>
      <c r="B173" s="238"/>
      <c r="C173" s="96"/>
      <c r="D173" s="212"/>
      <c r="E173" s="96"/>
      <c r="F173" s="212"/>
      <c r="G173" s="212"/>
      <c r="H173" s="28"/>
      <c r="I173" s="28"/>
      <c r="J173" s="239"/>
      <c r="K173" s="240"/>
      <c r="L173" s="241"/>
      <c r="M173" s="240"/>
      <c r="N173" s="136"/>
      <c r="O173" s="239"/>
      <c r="P173" s="239"/>
      <c r="Q173" s="214"/>
      <c r="R173" s="214"/>
      <c r="S173" s="101"/>
      <c r="T173" s="222"/>
      <c r="U173" s="242"/>
      <c r="V173" s="242"/>
      <c r="W173" s="243"/>
      <c r="X173" s="243"/>
      <c r="Y173" s="243"/>
      <c r="Z173" s="243"/>
      <c r="AA173" s="243"/>
      <c r="AB173" s="243"/>
      <c r="AC173" s="243"/>
      <c r="AD173" s="243"/>
      <c r="AE173" s="243"/>
      <c r="AF173" s="243"/>
      <c r="AG173" s="208"/>
      <c r="AH173" s="208"/>
      <c r="AI173" s="208"/>
      <c r="AJ173" s="208"/>
      <c r="AK173" s="208"/>
      <c r="AL173" s="208"/>
      <c r="AM173" s="208"/>
      <c r="AN173" s="208"/>
    </row>
    <row r="174">
      <c r="A174" s="314"/>
      <c r="B174" s="238"/>
      <c r="C174" s="96"/>
      <c r="D174" s="212"/>
      <c r="E174" s="96"/>
      <c r="F174" s="212"/>
      <c r="G174" s="212"/>
      <c r="H174" s="28"/>
      <c r="I174" s="28"/>
      <c r="J174" s="239"/>
      <c r="K174" s="240"/>
      <c r="L174" s="241"/>
      <c r="M174" s="240"/>
      <c r="N174" s="136"/>
      <c r="O174" s="239"/>
      <c r="P174" s="239"/>
      <c r="Q174" s="214"/>
      <c r="R174" s="214"/>
      <c r="S174" s="101"/>
      <c r="T174" s="222"/>
      <c r="U174" s="242"/>
      <c r="V174" s="242"/>
      <c r="W174" s="243"/>
      <c r="X174" s="243"/>
      <c r="Y174" s="243"/>
      <c r="Z174" s="243"/>
      <c r="AA174" s="243"/>
      <c r="AB174" s="243"/>
      <c r="AC174" s="243"/>
      <c r="AD174" s="243"/>
      <c r="AE174" s="243"/>
      <c r="AF174" s="243"/>
      <c r="AG174" s="208"/>
      <c r="AH174" s="208"/>
      <c r="AI174" s="208"/>
      <c r="AJ174" s="208"/>
      <c r="AK174" s="208"/>
      <c r="AL174" s="208"/>
      <c r="AM174" s="208"/>
      <c r="AN174" s="208"/>
    </row>
    <row r="175">
      <c r="A175" s="314"/>
      <c r="B175" s="238"/>
      <c r="C175" s="96"/>
      <c r="D175" s="212"/>
      <c r="E175" s="96"/>
      <c r="F175" s="212"/>
      <c r="G175" s="212"/>
      <c r="H175" s="28"/>
      <c r="I175" s="28"/>
      <c r="J175" s="239"/>
      <c r="K175" s="240"/>
      <c r="L175" s="241"/>
      <c r="M175" s="240"/>
      <c r="N175" s="136"/>
      <c r="O175" s="239"/>
      <c r="P175" s="239"/>
      <c r="Q175" s="214"/>
      <c r="R175" s="214"/>
      <c r="S175" s="101"/>
      <c r="T175" s="222"/>
      <c r="U175" s="242"/>
      <c r="V175" s="242"/>
      <c r="W175" s="243"/>
      <c r="X175" s="243"/>
      <c r="Y175" s="243"/>
      <c r="Z175" s="243"/>
      <c r="AA175" s="243"/>
      <c r="AB175" s="243"/>
      <c r="AC175" s="243"/>
      <c r="AD175" s="243"/>
      <c r="AE175" s="243"/>
      <c r="AF175" s="243"/>
      <c r="AG175" s="208"/>
      <c r="AH175" s="208"/>
      <c r="AI175" s="208"/>
      <c r="AJ175" s="208"/>
      <c r="AK175" s="208"/>
      <c r="AL175" s="208"/>
      <c r="AM175" s="208"/>
      <c r="AN175" s="208"/>
    </row>
    <row r="176">
      <c r="A176" s="314"/>
      <c r="B176" s="238"/>
      <c r="C176" s="96"/>
      <c r="D176" s="212"/>
      <c r="E176" s="96"/>
      <c r="F176" s="212"/>
      <c r="G176" s="212"/>
      <c r="H176" s="28"/>
      <c r="I176" s="28"/>
      <c r="J176" s="239"/>
      <c r="K176" s="240"/>
      <c r="L176" s="241"/>
      <c r="M176" s="240"/>
      <c r="N176" s="136"/>
      <c r="O176" s="239"/>
      <c r="P176" s="239"/>
      <c r="Q176" s="214"/>
      <c r="R176" s="214"/>
      <c r="S176" s="101"/>
      <c r="T176" s="222"/>
      <c r="U176" s="242"/>
      <c r="V176" s="242"/>
      <c r="W176" s="243"/>
      <c r="X176" s="243"/>
      <c r="Y176" s="243"/>
      <c r="Z176" s="243"/>
      <c r="AA176" s="243"/>
      <c r="AB176" s="243"/>
      <c r="AC176" s="243"/>
      <c r="AD176" s="243"/>
      <c r="AE176" s="243"/>
      <c r="AF176" s="243"/>
      <c r="AG176" s="208"/>
      <c r="AH176" s="208"/>
      <c r="AI176" s="208"/>
      <c r="AJ176" s="208"/>
      <c r="AK176" s="208"/>
      <c r="AL176" s="208"/>
      <c r="AM176" s="208"/>
      <c r="AN176" s="208"/>
    </row>
    <row r="177">
      <c r="A177" s="314"/>
      <c r="B177" s="238"/>
      <c r="C177" s="96"/>
      <c r="D177" s="212"/>
      <c r="E177" s="96"/>
      <c r="F177" s="212"/>
      <c r="G177" s="212"/>
      <c r="H177" s="28"/>
      <c r="I177" s="28"/>
      <c r="J177" s="239"/>
      <c r="K177" s="240"/>
      <c r="L177" s="241"/>
      <c r="M177" s="240"/>
      <c r="N177" s="136"/>
      <c r="O177" s="239"/>
      <c r="P177" s="239"/>
      <c r="Q177" s="214"/>
      <c r="R177" s="214"/>
      <c r="S177" s="101"/>
      <c r="T177" s="222"/>
      <c r="U177" s="242"/>
      <c r="V177" s="242"/>
      <c r="W177" s="243"/>
      <c r="X177" s="243"/>
      <c r="Y177" s="243"/>
      <c r="Z177" s="243"/>
      <c r="AA177" s="243"/>
      <c r="AB177" s="243"/>
      <c r="AC177" s="243"/>
      <c r="AD177" s="243"/>
      <c r="AE177" s="243"/>
      <c r="AF177" s="243"/>
      <c r="AG177" s="208"/>
      <c r="AH177" s="208"/>
      <c r="AI177" s="208"/>
      <c r="AJ177" s="208"/>
      <c r="AK177" s="208"/>
      <c r="AL177" s="208"/>
      <c r="AM177" s="208"/>
      <c r="AN177" s="208"/>
    </row>
    <row r="178">
      <c r="A178" s="314"/>
      <c r="B178" s="238"/>
      <c r="C178" s="96"/>
      <c r="D178" s="212"/>
      <c r="E178" s="96"/>
      <c r="F178" s="212"/>
      <c r="G178" s="212"/>
      <c r="H178" s="28"/>
      <c r="I178" s="28"/>
      <c r="J178" s="239"/>
      <c r="K178" s="240"/>
      <c r="L178" s="241"/>
      <c r="M178" s="240"/>
      <c r="N178" s="136"/>
      <c r="O178" s="239"/>
      <c r="P178" s="239"/>
      <c r="Q178" s="214"/>
      <c r="R178" s="214"/>
      <c r="S178" s="101"/>
      <c r="T178" s="222"/>
      <c r="U178" s="242"/>
      <c r="V178" s="242"/>
      <c r="W178" s="243"/>
      <c r="X178" s="243"/>
      <c r="Y178" s="243"/>
      <c r="Z178" s="243"/>
      <c r="AA178" s="243"/>
      <c r="AB178" s="243"/>
      <c r="AC178" s="243"/>
      <c r="AD178" s="243"/>
      <c r="AE178" s="243"/>
      <c r="AF178" s="243"/>
      <c r="AG178" s="208"/>
      <c r="AH178" s="208"/>
      <c r="AI178" s="208"/>
      <c r="AJ178" s="208"/>
      <c r="AK178" s="208"/>
      <c r="AL178" s="208"/>
      <c r="AM178" s="208"/>
      <c r="AN178" s="208"/>
    </row>
    <row r="179">
      <c r="A179" s="314"/>
      <c r="B179" s="238"/>
      <c r="C179" s="96"/>
      <c r="D179" s="212"/>
      <c r="E179" s="96"/>
      <c r="F179" s="212"/>
      <c r="G179" s="212"/>
      <c r="H179" s="28"/>
      <c r="I179" s="28"/>
      <c r="J179" s="239"/>
      <c r="K179" s="240"/>
      <c r="L179" s="241"/>
      <c r="M179" s="240"/>
      <c r="N179" s="136"/>
      <c r="O179" s="239"/>
      <c r="P179" s="239"/>
      <c r="Q179" s="214"/>
      <c r="R179" s="214"/>
      <c r="S179" s="101"/>
      <c r="T179" s="222"/>
      <c r="U179" s="242"/>
      <c r="V179" s="242"/>
      <c r="W179" s="243"/>
      <c r="X179" s="243"/>
      <c r="Y179" s="243"/>
      <c r="Z179" s="243"/>
      <c r="AA179" s="243"/>
      <c r="AB179" s="243"/>
      <c r="AC179" s="243"/>
      <c r="AD179" s="243"/>
      <c r="AE179" s="243"/>
      <c r="AF179" s="243"/>
      <c r="AG179" s="208"/>
      <c r="AH179" s="208"/>
      <c r="AI179" s="208"/>
      <c r="AJ179" s="208"/>
      <c r="AK179" s="208"/>
      <c r="AL179" s="208"/>
      <c r="AM179" s="208"/>
      <c r="AN179" s="208"/>
    </row>
    <row r="180">
      <c r="A180" s="314"/>
      <c r="B180" s="238"/>
      <c r="C180" s="96"/>
      <c r="D180" s="212"/>
      <c r="E180" s="96"/>
      <c r="F180" s="212"/>
      <c r="G180" s="212"/>
      <c r="H180" s="28"/>
      <c r="I180" s="28"/>
      <c r="J180" s="239"/>
      <c r="K180" s="240"/>
      <c r="L180" s="241"/>
      <c r="M180" s="240"/>
      <c r="N180" s="136"/>
      <c r="O180" s="239"/>
      <c r="P180" s="239"/>
      <c r="Q180" s="214"/>
      <c r="R180" s="214"/>
      <c r="S180" s="101"/>
      <c r="T180" s="222"/>
      <c r="U180" s="242"/>
      <c r="V180" s="242"/>
      <c r="W180" s="243"/>
      <c r="X180" s="243"/>
      <c r="Y180" s="243"/>
      <c r="Z180" s="243"/>
      <c r="AA180" s="243"/>
      <c r="AB180" s="243"/>
      <c r="AC180" s="243"/>
      <c r="AD180" s="243"/>
      <c r="AE180" s="243"/>
      <c r="AF180" s="243"/>
      <c r="AG180" s="208"/>
      <c r="AH180" s="208"/>
      <c r="AI180" s="208"/>
      <c r="AJ180" s="208"/>
      <c r="AK180" s="208"/>
      <c r="AL180" s="208"/>
      <c r="AM180" s="208"/>
      <c r="AN180" s="208"/>
    </row>
    <row r="181">
      <c r="A181" s="314"/>
      <c r="B181" s="238"/>
      <c r="C181" s="96"/>
      <c r="D181" s="212"/>
      <c r="E181" s="96"/>
      <c r="F181" s="212"/>
      <c r="G181" s="212"/>
      <c r="H181" s="28"/>
      <c r="I181" s="28"/>
      <c r="J181" s="239"/>
      <c r="K181" s="240"/>
      <c r="L181" s="241"/>
      <c r="M181" s="240"/>
      <c r="N181" s="136"/>
      <c r="O181" s="239"/>
      <c r="P181" s="239"/>
      <c r="Q181" s="214"/>
      <c r="R181" s="214"/>
      <c r="S181" s="101"/>
      <c r="T181" s="222"/>
      <c r="U181" s="242"/>
      <c r="V181" s="242"/>
      <c r="W181" s="243"/>
      <c r="X181" s="243"/>
      <c r="Y181" s="243"/>
      <c r="Z181" s="243"/>
      <c r="AA181" s="243"/>
      <c r="AB181" s="243"/>
      <c r="AC181" s="243"/>
      <c r="AD181" s="243"/>
      <c r="AE181" s="243"/>
      <c r="AF181" s="243"/>
      <c r="AG181" s="208"/>
      <c r="AH181" s="208"/>
      <c r="AI181" s="208"/>
      <c r="AJ181" s="208"/>
      <c r="AK181" s="208"/>
      <c r="AL181" s="208"/>
      <c r="AM181" s="208"/>
      <c r="AN181" s="208"/>
    </row>
    <row r="182">
      <c r="A182" s="314"/>
      <c r="B182" s="238"/>
      <c r="C182" s="96"/>
      <c r="D182" s="212"/>
      <c r="E182" s="96"/>
      <c r="F182" s="212"/>
      <c r="G182" s="212"/>
      <c r="H182" s="28"/>
      <c r="I182" s="28"/>
      <c r="J182" s="239"/>
      <c r="K182" s="240"/>
      <c r="L182" s="241"/>
      <c r="M182" s="240"/>
      <c r="N182" s="136"/>
      <c r="O182" s="239"/>
      <c r="P182" s="239"/>
      <c r="Q182" s="214"/>
      <c r="R182" s="214"/>
      <c r="S182" s="101"/>
      <c r="T182" s="222"/>
      <c r="U182" s="242"/>
      <c r="V182" s="242"/>
      <c r="W182" s="243"/>
      <c r="X182" s="243"/>
      <c r="Y182" s="243"/>
      <c r="Z182" s="243"/>
      <c r="AA182" s="243"/>
      <c r="AB182" s="243"/>
      <c r="AC182" s="243"/>
      <c r="AD182" s="243"/>
      <c r="AE182" s="243"/>
      <c r="AF182" s="243"/>
      <c r="AG182" s="208"/>
      <c r="AH182" s="208"/>
      <c r="AI182" s="208"/>
      <c r="AJ182" s="208"/>
      <c r="AK182" s="208"/>
      <c r="AL182" s="208"/>
      <c r="AM182" s="208"/>
      <c r="AN182" s="208"/>
    </row>
    <row r="183">
      <c r="A183" s="314"/>
      <c r="B183" s="238"/>
      <c r="C183" s="96"/>
      <c r="D183" s="212"/>
      <c r="E183" s="96"/>
      <c r="F183" s="212"/>
      <c r="G183" s="212"/>
      <c r="H183" s="28"/>
      <c r="I183" s="28"/>
      <c r="J183" s="239"/>
      <c r="K183" s="240"/>
      <c r="L183" s="241"/>
      <c r="M183" s="240"/>
      <c r="N183" s="136"/>
      <c r="O183" s="239"/>
      <c r="P183" s="239"/>
      <c r="Q183" s="214"/>
      <c r="R183" s="214"/>
      <c r="S183" s="101"/>
      <c r="T183" s="222"/>
      <c r="U183" s="242"/>
      <c r="V183" s="242"/>
      <c r="W183" s="243"/>
      <c r="X183" s="243"/>
      <c r="Y183" s="243"/>
      <c r="Z183" s="243"/>
      <c r="AA183" s="243"/>
      <c r="AB183" s="243"/>
      <c r="AC183" s="243"/>
      <c r="AD183" s="243"/>
      <c r="AE183" s="243"/>
      <c r="AF183" s="243"/>
      <c r="AG183" s="208"/>
      <c r="AH183" s="208"/>
      <c r="AI183" s="208"/>
      <c r="AJ183" s="208"/>
      <c r="AK183" s="208"/>
      <c r="AL183" s="208"/>
      <c r="AM183" s="208"/>
      <c r="AN183" s="208"/>
    </row>
    <row r="184">
      <c r="A184" s="314"/>
      <c r="B184" s="238"/>
      <c r="C184" s="96"/>
      <c r="D184" s="212"/>
      <c r="E184" s="96"/>
      <c r="F184" s="212"/>
      <c r="G184" s="212"/>
      <c r="H184" s="28"/>
      <c r="I184" s="28"/>
      <c r="J184" s="239"/>
      <c r="K184" s="240"/>
      <c r="L184" s="241"/>
      <c r="M184" s="240"/>
      <c r="N184" s="136"/>
      <c r="O184" s="239"/>
      <c r="P184" s="239"/>
      <c r="Q184" s="214"/>
      <c r="R184" s="214"/>
      <c r="S184" s="101"/>
      <c r="T184" s="222"/>
      <c r="U184" s="242"/>
      <c r="V184" s="242"/>
      <c r="W184" s="243"/>
      <c r="X184" s="243"/>
      <c r="Y184" s="243"/>
      <c r="Z184" s="243"/>
      <c r="AA184" s="243"/>
      <c r="AB184" s="243"/>
      <c r="AC184" s="243"/>
      <c r="AD184" s="243"/>
      <c r="AE184" s="243"/>
      <c r="AF184" s="243"/>
      <c r="AG184" s="208"/>
      <c r="AH184" s="208"/>
      <c r="AI184" s="208"/>
      <c r="AJ184" s="208"/>
      <c r="AK184" s="208"/>
      <c r="AL184" s="208"/>
      <c r="AM184" s="208"/>
      <c r="AN184" s="208"/>
    </row>
    <row r="185">
      <c r="A185" s="314"/>
      <c r="B185" s="238"/>
      <c r="C185" s="96"/>
      <c r="D185" s="212"/>
      <c r="E185" s="96"/>
      <c r="F185" s="212"/>
      <c r="G185" s="212"/>
      <c r="H185" s="28"/>
      <c r="I185" s="28"/>
      <c r="J185" s="239"/>
      <c r="K185" s="240"/>
      <c r="L185" s="241"/>
      <c r="M185" s="240"/>
      <c r="N185" s="136"/>
      <c r="O185" s="239"/>
      <c r="P185" s="239"/>
      <c r="Q185" s="214"/>
      <c r="R185" s="214"/>
      <c r="S185" s="101"/>
      <c r="T185" s="222"/>
      <c r="U185" s="242"/>
      <c r="V185" s="242"/>
      <c r="W185" s="243"/>
      <c r="X185" s="243"/>
      <c r="Y185" s="243"/>
      <c r="Z185" s="243"/>
      <c r="AA185" s="243"/>
      <c r="AB185" s="243"/>
      <c r="AC185" s="243"/>
      <c r="AD185" s="243"/>
      <c r="AE185" s="243"/>
      <c r="AF185" s="243"/>
      <c r="AG185" s="208"/>
      <c r="AH185" s="208"/>
      <c r="AI185" s="208"/>
      <c r="AJ185" s="208"/>
      <c r="AK185" s="208"/>
      <c r="AL185" s="208"/>
      <c r="AM185" s="208"/>
      <c r="AN185" s="208"/>
    </row>
    <row r="186">
      <c r="A186" s="314"/>
      <c r="B186" s="238"/>
      <c r="C186" s="96"/>
      <c r="D186" s="212"/>
      <c r="E186" s="96"/>
      <c r="F186" s="212"/>
      <c r="G186" s="212"/>
      <c r="H186" s="28"/>
      <c r="I186" s="28"/>
      <c r="J186" s="239"/>
      <c r="K186" s="240"/>
      <c r="L186" s="241"/>
      <c r="M186" s="240"/>
      <c r="N186" s="136"/>
      <c r="O186" s="239"/>
      <c r="P186" s="239"/>
      <c r="Q186" s="214"/>
      <c r="R186" s="214"/>
      <c r="S186" s="101"/>
      <c r="T186" s="222"/>
      <c r="U186" s="242"/>
      <c r="V186" s="242"/>
      <c r="W186" s="243"/>
      <c r="X186" s="243"/>
      <c r="Y186" s="243"/>
      <c r="Z186" s="243"/>
      <c r="AA186" s="243"/>
      <c r="AB186" s="243"/>
      <c r="AC186" s="243"/>
      <c r="AD186" s="243"/>
      <c r="AE186" s="243"/>
      <c r="AF186" s="243"/>
      <c r="AG186" s="208"/>
      <c r="AH186" s="208"/>
      <c r="AI186" s="208"/>
      <c r="AJ186" s="208"/>
      <c r="AK186" s="208"/>
      <c r="AL186" s="208"/>
      <c r="AM186" s="208"/>
      <c r="AN186" s="208"/>
    </row>
    <row r="187">
      <c r="A187" s="314"/>
      <c r="B187" s="238"/>
      <c r="C187" s="96"/>
      <c r="D187" s="212"/>
      <c r="E187" s="96"/>
      <c r="F187" s="212"/>
      <c r="G187" s="212"/>
      <c r="H187" s="28"/>
      <c r="I187" s="28"/>
      <c r="J187" s="239"/>
      <c r="K187" s="240"/>
      <c r="L187" s="241"/>
      <c r="M187" s="240"/>
      <c r="N187" s="136"/>
      <c r="O187" s="239"/>
      <c r="P187" s="239"/>
      <c r="Q187" s="214"/>
      <c r="R187" s="214"/>
      <c r="S187" s="101"/>
      <c r="T187" s="222"/>
      <c r="U187" s="242"/>
      <c r="V187" s="242"/>
      <c r="W187" s="243"/>
      <c r="X187" s="243"/>
      <c r="Y187" s="243"/>
      <c r="Z187" s="243"/>
      <c r="AA187" s="243"/>
      <c r="AB187" s="243"/>
      <c r="AC187" s="243"/>
      <c r="AD187" s="243"/>
      <c r="AE187" s="243"/>
      <c r="AF187" s="243"/>
      <c r="AG187" s="208"/>
      <c r="AH187" s="208"/>
      <c r="AI187" s="208"/>
      <c r="AJ187" s="208"/>
      <c r="AK187" s="208"/>
      <c r="AL187" s="208"/>
      <c r="AM187" s="208"/>
      <c r="AN187" s="208"/>
    </row>
    <row r="188">
      <c r="A188" s="314"/>
      <c r="B188" s="238"/>
      <c r="C188" s="96"/>
      <c r="D188" s="212"/>
      <c r="E188" s="96"/>
      <c r="F188" s="212"/>
      <c r="G188" s="212"/>
      <c r="H188" s="28"/>
      <c r="I188" s="28"/>
      <c r="J188" s="239"/>
      <c r="K188" s="240"/>
      <c r="L188" s="241"/>
      <c r="M188" s="240"/>
      <c r="N188" s="136"/>
      <c r="O188" s="239"/>
      <c r="P188" s="239"/>
      <c r="Q188" s="214"/>
      <c r="R188" s="214"/>
      <c r="S188" s="101"/>
      <c r="T188" s="222"/>
      <c r="U188" s="242"/>
      <c r="V188" s="242"/>
      <c r="W188" s="243"/>
      <c r="X188" s="243"/>
      <c r="Y188" s="243"/>
      <c r="Z188" s="243"/>
      <c r="AA188" s="243"/>
      <c r="AB188" s="243"/>
      <c r="AC188" s="243"/>
      <c r="AD188" s="243"/>
      <c r="AE188" s="243"/>
      <c r="AF188" s="243"/>
      <c r="AG188" s="208"/>
      <c r="AH188" s="208"/>
      <c r="AI188" s="208"/>
      <c r="AJ188" s="208"/>
      <c r="AK188" s="208"/>
      <c r="AL188" s="208"/>
      <c r="AM188" s="208"/>
      <c r="AN188" s="208"/>
    </row>
    <row r="189">
      <c r="A189" s="314"/>
      <c r="B189" s="238"/>
      <c r="C189" s="96"/>
      <c r="D189" s="212"/>
      <c r="E189" s="96"/>
      <c r="F189" s="212"/>
      <c r="G189" s="212"/>
      <c r="H189" s="28"/>
      <c r="I189" s="28"/>
      <c r="J189" s="239"/>
      <c r="K189" s="240"/>
      <c r="L189" s="241"/>
      <c r="M189" s="240"/>
      <c r="N189" s="136"/>
      <c r="O189" s="239"/>
      <c r="P189" s="239"/>
      <c r="Q189" s="214"/>
      <c r="R189" s="214"/>
      <c r="S189" s="101"/>
      <c r="T189" s="222"/>
      <c r="U189" s="242"/>
      <c r="V189" s="242"/>
      <c r="W189" s="243"/>
      <c r="X189" s="243"/>
      <c r="Y189" s="243"/>
      <c r="Z189" s="243"/>
      <c r="AA189" s="243"/>
      <c r="AB189" s="243"/>
      <c r="AC189" s="243"/>
      <c r="AD189" s="243"/>
      <c r="AE189" s="243"/>
      <c r="AF189" s="243"/>
      <c r="AG189" s="208"/>
      <c r="AH189" s="208"/>
      <c r="AI189" s="208"/>
      <c r="AJ189" s="208"/>
      <c r="AK189" s="208"/>
      <c r="AL189" s="208"/>
      <c r="AM189" s="208"/>
      <c r="AN189" s="208"/>
    </row>
    <row r="190">
      <c r="A190" s="314"/>
      <c r="B190" s="238"/>
      <c r="C190" s="96"/>
      <c r="D190" s="212"/>
      <c r="E190" s="96"/>
      <c r="F190" s="212"/>
      <c r="G190" s="212"/>
      <c r="H190" s="28"/>
      <c r="I190" s="28"/>
      <c r="J190" s="239"/>
      <c r="K190" s="240"/>
      <c r="L190" s="241"/>
      <c r="M190" s="240"/>
      <c r="N190" s="136"/>
      <c r="O190" s="239"/>
      <c r="P190" s="239"/>
      <c r="Q190" s="214"/>
      <c r="R190" s="214"/>
      <c r="S190" s="101"/>
      <c r="T190" s="222"/>
      <c r="U190" s="242"/>
      <c r="V190" s="242"/>
      <c r="W190" s="243"/>
      <c r="X190" s="243"/>
      <c r="Y190" s="243"/>
      <c r="Z190" s="243"/>
      <c r="AA190" s="243"/>
      <c r="AB190" s="243"/>
      <c r="AC190" s="243"/>
      <c r="AD190" s="243"/>
      <c r="AE190" s="243"/>
      <c r="AF190" s="243"/>
      <c r="AG190" s="208"/>
      <c r="AH190" s="208"/>
      <c r="AI190" s="208"/>
      <c r="AJ190" s="208"/>
      <c r="AK190" s="208"/>
      <c r="AL190" s="208"/>
      <c r="AM190" s="208"/>
      <c r="AN190" s="208"/>
    </row>
    <row r="191">
      <c r="A191" s="314"/>
      <c r="B191" s="238"/>
      <c r="C191" s="96"/>
      <c r="D191" s="212"/>
      <c r="E191" s="96"/>
      <c r="F191" s="212"/>
      <c r="G191" s="212"/>
      <c r="H191" s="28"/>
      <c r="I191" s="28"/>
      <c r="J191" s="239"/>
      <c r="K191" s="240"/>
      <c r="L191" s="241"/>
      <c r="M191" s="240"/>
      <c r="N191" s="136"/>
      <c r="O191" s="239"/>
      <c r="P191" s="239"/>
      <c r="Q191" s="214"/>
      <c r="R191" s="214"/>
      <c r="S191" s="101"/>
      <c r="T191" s="222"/>
      <c r="U191" s="242"/>
      <c r="V191" s="242"/>
      <c r="W191" s="243"/>
      <c r="X191" s="243"/>
      <c r="Y191" s="243"/>
      <c r="Z191" s="243"/>
      <c r="AA191" s="243"/>
      <c r="AB191" s="243"/>
      <c r="AC191" s="243"/>
      <c r="AD191" s="243"/>
      <c r="AE191" s="243"/>
      <c r="AF191" s="243"/>
      <c r="AG191" s="208"/>
      <c r="AH191" s="208"/>
      <c r="AI191" s="208"/>
      <c r="AJ191" s="208"/>
      <c r="AK191" s="208"/>
      <c r="AL191" s="208"/>
      <c r="AM191" s="208"/>
      <c r="AN191" s="208"/>
    </row>
    <row r="192">
      <c r="A192" s="314"/>
      <c r="B192" s="238"/>
      <c r="C192" s="96"/>
      <c r="D192" s="212"/>
      <c r="E192" s="96"/>
      <c r="F192" s="212"/>
      <c r="G192" s="212"/>
      <c r="H192" s="28"/>
      <c r="I192" s="28"/>
      <c r="J192" s="239"/>
      <c r="K192" s="240"/>
      <c r="L192" s="241"/>
      <c r="M192" s="240"/>
      <c r="N192" s="136"/>
      <c r="O192" s="239"/>
      <c r="P192" s="239"/>
      <c r="Q192" s="214"/>
      <c r="R192" s="214"/>
      <c r="S192" s="101"/>
      <c r="T192" s="222"/>
      <c r="U192" s="242"/>
      <c r="V192" s="242"/>
      <c r="W192" s="243"/>
      <c r="X192" s="243"/>
      <c r="Y192" s="243"/>
      <c r="Z192" s="243"/>
      <c r="AA192" s="243"/>
      <c r="AB192" s="243"/>
      <c r="AC192" s="243"/>
      <c r="AD192" s="243"/>
      <c r="AE192" s="243"/>
      <c r="AF192" s="243"/>
      <c r="AG192" s="208"/>
      <c r="AH192" s="208"/>
      <c r="AI192" s="208"/>
      <c r="AJ192" s="208"/>
      <c r="AK192" s="208"/>
      <c r="AL192" s="208"/>
      <c r="AM192" s="208"/>
      <c r="AN192" s="208"/>
    </row>
    <row r="193">
      <c r="A193" s="314"/>
      <c r="B193" s="238"/>
      <c r="C193" s="96"/>
      <c r="D193" s="212"/>
      <c r="E193" s="96"/>
      <c r="F193" s="212"/>
      <c r="G193" s="212"/>
      <c r="H193" s="28"/>
      <c r="I193" s="28"/>
      <c r="J193" s="239"/>
      <c r="K193" s="240"/>
      <c r="L193" s="241"/>
      <c r="M193" s="240"/>
      <c r="N193" s="136"/>
      <c r="O193" s="239"/>
      <c r="P193" s="239"/>
      <c r="Q193" s="214"/>
      <c r="R193" s="214"/>
      <c r="S193" s="101"/>
      <c r="T193" s="222"/>
      <c r="U193" s="242"/>
      <c r="V193" s="242"/>
      <c r="W193" s="243"/>
      <c r="X193" s="243"/>
      <c r="Y193" s="243"/>
      <c r="Z193" s="243"/>
      <c r="AA193" s="243"/>
      <c r="AB193" s="243"/>
      <c r="AC193" s="243"/>
      <c r="AD193" s="243"/>
      <c r="AE193" s="243"/>
      <c r="AF193" s="243"/>
      <c r="AG193" s="208"/>
      <c r="AH193" s="208"/>
      <c r="AI193" s="208"/>
      <c r="AJ193" s="208"/>
      <c r="AK193" s="208"/>
      <c r="AL193" s="208"/>
      <c r="AM193" s="208"/>
      <c r="AN193" s="208"/>
    </row>
    <row r="194">
      <c r="A194" s="314"/>
      <c r="B194" s="238"/>
      <c r="C194" s="96"/>
      <c r="D194" s="212"/>
      <c r="E194" s="96"/>
      <c r="F194" s="212"/>
      <c r="G194" s="212"/>
      <c r="H194" s="28"/>
      <c r="I194" s="28"/>
      <c r="J194" s="239"/>
      <c r="K194" s="240"/>
      <c r="L194" s="241"/>
      <c r="M194" s="240"/>
      <c r="N194" s="136"/>
      <c r="O194" s="239"/>
      <c r="P194" s="239"/>
      <c r="Q194" s="214"/>
      <c r="R194" s="214"/>
      <c r="S194" s="101"/>
      <c r="T194" s="222"/>
      <c r="U194" s="242"/>
      <c r="V194" s="242"/>
      <c r="W194" s="243"/>
      <c r="X194" s="243"/>
      <c r="Y194" s="243"/>
      <c r="Z194" s="243"/>
      <c r="AA194" s="243"/>
      <c r="AB194" s="243"/>
      <c r="AC194" s="243"/>
      <c r="AD194" s="243"/>
      <c r="AE194" s="243"/>
      <c r="AF194" s="243"/>
      <c r="AG194" s="208"/>
      <c r="AH194" s="208"/>
      <c r="AI194" s="208"/>
      <c r="AJ194" s="208"/>
      <c r="AK194" s="208"/>
      <c r="AL194" s="208"/>
      <c r="AM194" s="208"/>
      <c r="AN194" s="208"/>
    </row>
    <row r="195">
      <c r="A195" s="314"/>
      <c r="B195" s="238"/>
      <c r="C195" s="96"/>
      <c r="D195" s="212"/>
      <c r="E195" s="96"/>
      <c r="F195" s="212"/>
      <c r="G195" s="212"/>
      <c r="H195" s="28"/>
      <c r="I195" s="28"/>
      <c r="J195" s="239"/>
      <c r="K195" s="240"/>
      <c r="L195" s="241"/>
      <c r="M195" s="240"/>
      <c r="N195" s="136"/>
      <c r="O195" s="239"/>
      <c r="P195" s="239"/>
      <c r="Q195" s="214"/>
      <c r="R195" s="214"/>
      <c r="S195" s="101"/>
      <c r="T195" s="222"/>
      <c r="U195" s="242"/>
      <c r="V195" s="242"/>
      <c r="W195" s="243"/>
      <c r="X195" s="243"/>
      <c r="Y195" s="243"/>
      <c r="Z195" s="243"/>
      <c r="AA195" s="243"/>
      <c r="AB195" s="243"/>
      <c r="AC195" s="243"/>
      <c r="AD195" s="243"/>
      <c r="AE195" s="243"/>
      <c r="AF195" s="243"/>
      <c r="AG195" s="208"/>
      <c r="AH195" s="208"/>
      <c r="AI195" s="208"/>
      <c r="AJ195" s="208"/>
      <c r="AK195" s="208"/>
      <c r="AL195" s="208"/>
      <c r="AM195" s="208"/>
      <c r="AN195" s="208"/>
    </row>
    <row r="196">
      <c r="A196" s="314"/>
      <c r="B196" s="238"/>
      <c r="C196" s="96"/>
      <c r="D196" s="212"/>
      <c r="E196" s="96"/>
      <c r="F196" s="212"/>
      <c r="G196" s="212"/>
      <c r="H196" s="28"/>
      <c r="I196" s="28"/>
      <c r="J196" s="239"/>
      <c r="K196" s="240"/>
      <c r="L196" s="241"/>
      <c r="M196" s="240"/>
      <c r="N196" s="136"/>
      <c r="O196" s="239"/>
      <c r="P196" s="239"/>
      <c r="Q196" s="214"/>
      <c r="R196" s="214"/>
      <c r="S196" s="101"/>
      <c r="T196" s="222"/>
      <c r="U196" s="242"/>
      <c r="V196" s="242"/>
      <c r="W196" s="243"/>
      <c r="X196" s="243"/>
      <c r="Y196" s="243"/>
      <c r="Z196" s="243"/>
      <c r="AA196" s="243"/>
      <c r="AB196" s="243"/>
      <c r="AC196" s="243"/>
      <c r="AD196" s="243"/>
      <c r="AE196" s="243"/>
      <c r="AF196" s="243"/>
      <c r="AG196" s="208"/>
      <c r="AH196" s="208"/>
      <c r="AI196" s="208"/>
      <c r="AJ196" s="208"/>
      <c r="AK196" s="208"/>
      <c r="AL196" s="208"/>
      <c r="AM196" s="208"/>
      <c r="AN196" s="208"/>
    </row>
    <row r="197">
      <c r="A197" s="314"/>
      <c r="B197" s="238"/>
      <c r="C197" s="96"/>
      <c r="D197" s="212"/>
      <c r="E197" s="96"/>
      <c r="F197" s="212"/>
      <c r="G197" s="212"/>
      <c r="H197" s="28"/>
      <c r="I197" s="28"/>
      <c r="J197" s="239"/>
      <c r="K197" s="240"/>
      <c r="L197" s="241"/>
      <c r="M197" s="240"/>
      <c r="N197" s="136"/>
      <c r="O197" s="239"/>
      <c r="P197" s="239"/>
      <c r="Q197" s="214"/>
      <c r="R197" s="214"/>
      <c r="S197" s="101"/>
      <c r="T197" s="222"/>
      <c r="U197" s="242"/>
      <c r="V197" s="242"/>
      <c r="W197" s="243"/>
      <c r="X197" s="243"/>
      <c r="Y197" s="243"/>
      <c r="Z197" s="243"/>
      <c r="AA197" s="243"/>
      <c r="AB197" s="243"/>
      <c r="AC197" s="243"/>
      <c r="AD197" s="243"/>
      <c r="AE197" s="243"/>
      <c r="AF197" s="243"/>
      <c r="AG197" s="208"/>
      <c r="AH197" s="208"/>
      <c r="AI197" s="208"/>
      <c r="AJ197" s="208"/>
      <c r="AK197" s="208"/>
      <c r="AL197" s="208"/>
      <c r="AM197" s="208"/>
      <c r="AN197" s="208"/>
    </row>
    <row r="198">
      <c r="A198" s="314"/>
      <c r="B198" s="238"/>
      <c r="C198" s="96"/>
      <c r="D198" s="212"/>
      <c r="E198" s="96"/>
      <c r="F198" s="212"/>
      <c r="G198" s="212"/>
      <c r="H198" s="28"/>
      <c r="I198" s="28"/>
      <c r="J198" s="239"/>
      <c r="K198" s="240"/>
      <c r="L198" s="241"/>
      <c r="M198" s="240"/>
      <c r="N198" s="136"/>
      <c r="O198" s="239"/>
      <c r="P198" s="239"/>
      <c r="Q198" s="214"/>
      <c r="R198" s="214"/>
      <c r="S198" s="101"/>
      <c r="T198" s="222"/>
      <c r="U198" s="242"/>
      <c r="V198" s="242"/>
      <c r="W198" s="243"/>
      <c r="X198" s="243"/>
      <c r="Y198" s="243"/>
      <c r="Z198" s="243"/>
      <c r="AA198" s="243"/>
      <c r="AB198" s="243"/>
      <c r="AC198" s="243"/>
      <c r="AD198" s="243"/>
      <c r="AE198" s="243"/>
      <c r="AF198" s="243"/>
      <c r="AG198" s="208"/>
      <c r="AH198" s="208"/>
      <c r="AI198" s="208"/>
      <c r="AJ198" s="208"/>
      <c r="AK198" s="208"/>
      <c r="AL198" s="208"/>
      <c r="AM198" s="208"/>
      <c r="AN198" s="208"/>
    </row>
    <row r="199">
      <c r="A199" s="314"/>
      <c r="B199" s="238"/>
      <c r="C199" s="96"/>
      <c r="D199" s="212"/>
      <c r="E199" s="96"/>
      <c r="F199" s="212"/>
      <c r="G199" s="212"/>
      <c r="H199" s="28"/>
      <c r="I199" s="28"/>
      <c r="J199" s="239"/>
      <c r="K199" s="240"/>
      <c r="L199" s="241"/>
      <c r="M199" s="240"/>
      <c r="N199" s="136"/>
      <c r="O199" s="239"/>
      <c r="P199" s="239"/>
      <c r="Q199" s="214"/>
      <c r="R199" s="214"/>
      <c r="S199" s="101"/>
      <c r="T199" s="222"/>
      <c r="U199" s="242"/>
      <c r="V199" s="242"/>
      <c r="W199" s="243"/>
      <c r="X199" s="243"/>
      <c r="Y199" s="243"/>
      <c r="Z199" s="243"/>
      <c r="AA199" s="243"/>
      <c r="AB199" s="243"/>
      <c r="AC199" s="243"/>
      <c r="AD199" s="243"/>
      <c r="AE199" s="243"/>
      <c r="AF199" s="243"/>
      <c r="AG199" s="208"/>
      <c r="AH199" s="208"/>
      <c r="AI199" s="208"/>
      <c r="AJ199" s="208"/>
      <c r="AK199" s="208"/>
      <c r="AL199" s="208"/>
      <c r="AM199" s="208"/>
      <c r="AN199" s="208"/>
    </row>
    <row r="200">
      <c r="A200" s="314"/>
      <c r="B200" s="238"/>
      <c r="C200" s="96"/>
      <c r="D200" s="212"/>
      <c r="E200" s="96"/>
      <c r="F200" s="212"/>
      <c r="G200" s="212"/>
      <c r="H200" s="28"/>
      <c r="I200" s="28"/>
      <c r="J200" s="239"/>
      <c r="K200" s="240"/>
      <c r="L200" s="241"/>
      <c r="M200" s="240"/>
      <c r="N200" s="136"/>
      <c r="O200" s="239"/>
      <c r="P200" s="239"/>
      <c r="Q200" s="214"/>
      <c r="R200" s="214"/>
      <c r="S200" s="101"/>
      <c r="T200" s="222"/>
      <c r="U200" s="242"/>
      <c r="V200" s="242"/>
      <c r="W200" s="243"/>
      <c r="X200" s="243"/>
      <c r="Y200" s="243"/>
      <c r="Z200" s="243"/>
      <c r="AA200" s="243"/>
      <c r="AB200" s="243"/>
      <c r="AC200" s="243"/>
      <c r="AD200" s="243"/>
      <c r="AE200" s="243"/>
      <c r="AF200" s="243"/>
      <c r="AG200" s="208"/>
      <c r="AH200" s="208"/>
      <c r="AI200" s="208"/>
      <c r="AJ200" s="208"/>
      <c r="AK200" s="208"/>
      <c r="AL200" s="208"/>
      <c r="AM200" s="208"/>
      <c r="AN200" s="208"/>
    </row>
    <row r="201">
      <c r="A201" s="314"/>
      <c r="B201" s="238"/>
      <c r="C201" s="96"/>
      <c r="D201" s="212"/>
      <c r="E201" s="96"/>
      <c r="F201" s="212"/>
      <c r="G201" s="212"/>
      <c r="H201" s="28"/>
      <c r="I201" s="28"/>
      <c r="J201" s="239"/>
      <c r="K201" s="240"/>
      <c r="L201" s="241"/>
      <c r="M201" s="240"/>
      <c r="N201" s="136"/>
      <c r="O201" s="239"/>
      <c r="P201" s="239"/>
      <c r="Q201" s="214"/>
      <c r="R201" s="214"/>
      <c r="S201" s="101"/>
      <c r="T201" s="222"/>
      <c r="U201" s="242"/>
      <c r="V201" s="242"/>
      <c r="W201" s="243"/>
      <c r="X201" s="243"/>
      <c r="Y201" s="243"/>
      <c r="Z201" s="243"/>
      <c r="AA201" s="243"/>
      <c r="AB201" s="243"/>
      <c r="AC201" s="243"/>
      <c r="AD201" s="243"/>
      <c r="AE201" s="243"/>
      <c r="AF201" s="243"/>
      <c r="AG201" s="208"/>
      <c r="AH201" s="208"/>
      <c r="AI201" s="208"/>
      <c r="AJ201" s="208"/>
      <c r="AK201" s="208"/>
      <c r="AL201" s="208"/>
      <c r="AM201" s="208"/>
      <c r="AN201" s="208"/>
    </row>
    <row r="202">
      <c r="A202" s="314"/>
      <c r="B202" s="238"/>
      <c r="C202" s="96"/>
      <c r="D202" s="212"/>
      <c r="E202" s="96"/>
      <c r="F202" s="212"/>
      <c r="G202" s="212"/>
      <c r="H202" s="28"/>
      <c r="I202" s="28"/>
      <c r="J202" s="239"/>
      <c r="K202" s="240"/>
      <c r="L202" s="241"/>
      <c r="M202" s="240"/>
      <c r="N202" s="136"/>
      <c r="O202" s="239"/>
      <c r="P202" s="239"/>
      <c r="Q202" s="214"/>
      <c r="R202" s="214"/>
      <c r="S202" s="101"/>
      <c r="T202" s="222"/>
      <c r="U202" s="242"/>
      <c r="V202" s="242"/>
      <c r="W202" s="243"/>
      <c r="X202" s="243"/>
      <c r="Y202" s="243"/>
      <c r="Z202" s="243"/>
      <c r="AA202" s="243"/>
      <c r="AB202" s="243"/>
      <c r="AC202" s="243"/>
      <c r="AD202" s="243"/>
      <c r="AE202" s="243"/>
      <c r="AF202" s="243"/>
      <c r="AG202" s="208"/>
      <c r="AH202" s="208"/>
      <c r="AI202" s="208"/>
      <c r="AJ202" s="208"/>
      <c r="AK202" s="208"/>
      <c r="AL202" s="208"/>
      <c r="AM202" s="208"/>
      <c r="AN202" s="208"/>
    </row>
    <row r="203">
      <c r="A203" s="314"/>
      <c r="B203" s="238"/>
      <c r="C203" s="96"/>
      <c r="D203" s="212"/>
      <c r="E203" s="96"/>
      <c r="F203" s="212"/>
      <c r="G203" s="212"/>
      <c r="H203" s="28"/>
      <c r="I203" s="28"/>
      <c r="J203" s="239"/>
      <c r="K203" s="240"/>
      <c r="L203" s="241"/>
      <c r="M203" s="240"/>
      <c r="N203" s="136"/>
      <c r="O203" s="239"/>
      <c r="P203" s="239"/>
      <c r="Q203" s="214"/>
      <c r="R203" s="214"/>
      <c r="S203" s="101"/>
      <c r="T203" s="222"/>
      <c r="U203" s="242"/>
      <c r="V203" s="242"/>
      <c r="W203" s="243"/>
      <c r="X203" s="243"/>
      <c r="Y203" s="243"/>
      <c r="Z203" s="243"/>
      <c r="AA203" s="243"/>
      <c r="AB203" s="243"/>
      <c r="AC203" s="243"/>
      <c r="AD203" s="243"/>
      <c r="AE203" s="243"/>
      <c r="AF203" s="243"/>
      <c r="AG203" s="208"/>
      <c r="AH203" s="208"/>
      <c r="AI203" s="208"/>
      <c r="AJ203" s="208"/>
      <c r="AK203" s="208"/>
      <c r="AL203" s="208"/>
      <c r="AM203" s="208"/>
      <c r="AN203" s="208"/>
    </row>
    <row r="204">
      <c r="A204" s="314"/>
      <c r="B204" s="238"/>
      <c r="C204" s="96"/>
      <c r="D204" s="212"/>
      <c r="E204" s="96"/>
      <c r="F204" s="212"/>
      <c r="G204" s="212"/>
      <c r="H204" s="28"/>
      <c r="I204" s="28"/>
      <c r="J204" s="239"/>
      <c r="K204" s="240"/>
      <c r="L204" s="241"/>
      <c r="M204" s="240"/>
      <c r="N204" s="136"/>
      <c r="O204" s="239"/>
      <c r="P204" s="239"/>
      <c r="Q204" s="214"/>
      <c r="R204" s="214"/>
      <c r="S204" s="101"/>
      <c r="T204" s="222"/>
      <c r="U204" s="242"/>
      <c r="V204" s="242"/>
      <c r="W204" s="243"/>
      <c r="X204" s="243"/>
      <c r="Y204" s="243"/>
      <c r="Z204" s="243"/>
      <c r="AA204" s="243"/>
      <c r="AB204" s="243"/>
      <c r="AC204" s="243"/>
      <c r="AD204" s="243"/>
      <c r="AE204" s="243"/>
      <c r="AF204" s="243"/>
      <c r="AG204" s="208"/>
      <c r="AH204" s="208"/>
      <c r="AI204" s="208"/>
      <c r="AJ204" s="208"/>
      <c r="AK204" s="208"/>
      <c r="AL204" s="208"/>
      <c r="AM204" s="208"/>
      <c r="AN204" s="208"/>
    </row>
    <row r="205">
      <c r="A205" s="314"/>
      <c r="B205" s="238"/>
      <c r="C205" s="96"/>
      <c r="D205" s="212"/>
      <c r="E205" s="96"/>
      <c r="F205" s="212"/>
      <c r="G205" s="212"/>
      <c r="H205" s="28"/>
      <c r="I205" s="28"/>
      <c r="J205" s="239"/>
      <c r="K205" s="240"/>
      <c r="L205" s="241"/>
      <c r="M205" s="240"/>
      <c r="N205" s="136"/>
      <c r="O205" s="239"/>
      <c r="P205" s="239"/>
      <c r="Q205" s="214"/>
      <c r="R205" s="214"/>
      <c r="S205" s="101"/>
      <c r="T205" s="222"/>
      <c r="U205" s="242"/>
      <c r="V205" s="242"/>
      <c r="W205" s="243"/>
      <c r="X205" s="243"/>
      <c r="Y205" s="243"/>
      <c r="Z205" s="243"/>
      <c r="AA205" s="243"/>
      <c r="AB205" s="243"/>
      <c r="AC205" s="243"/>
      <c r="AD205" s="243"/>
      <c r="AE205" s="243"/>
      <c r="AF205" s="243"/>
      <c r="AG205" s="208"/>
      <c r="AH205" s="208"/>
      <c r="AI205" s="208"/>
      <c r="AJ205" s="208"/>
      <c r="AK205" s="208"/>
      <c r="AL205" s="208"/>
      <c r="AM205" s="208"/>
      <c r="AN205" s="208"/>
    </row>
    <row r="206">
      <c r="A206" s="314"/>
      <c r="B206" s="238"/>
      <c r="C206" s="96"/>
      <c r="D206" s="212"/>
      <c r="E206" s="96"/>
      <c r="F206" s="212"/>
      <c r="G206" s="212"/>
      <c r="H206" s="28"/>
      <c r="I206" s="28"/>
      <c r="J206" s="239"/>
      <c r="K206" s="240"/>
      <c r="L206" s="241"/>
      <c r="M206" s="240"/>
      <c r="N206" s="136"/>
      <c r="O206" s="239"/>
      <c r="P206" s="239"/>
      <c r="Q206" s="214"/>
      <c r="R206" s="214"/>
      <c r="S206" s="101"/>
      <c r="T206" s="222"/>
      <c r="U206" s="242"/>
      <c r="V206" s="242"/>
      <c r="W206" s="243"/>
      <c r="X206" s="243"/>
      <c r="Y206" s="243"/>
      <c r="Z206" s="243"/>
      <c r="AA206" s="243"/>
      <c r="AB206" s="243"/>
      <c r="AC206" s="243"/>
      <c r="AD206" s="243"/>
      <c r="AE206" s="243"/>
      <c r="AF206" s="243"/>
      <c r="AG206" s="208"/>
      <c r="AH206" s="208"/>
      <c r="AI206" s="208"/>
      <c r="AJ206" s="208"/>
      <c r="AK206" s="208"/>
      <c r="AL206" s="208"/>
      <c r="AM206" s="208"/>
      <c r="AN206" s="208"/>
    </row>
    <row r="207">
      <c r="A207" s="314"/>
      <c r="B207" s="238"/>
      <c r="C207" s="96"/>
      <c r="D207" s="212"/>
      <c r="E207" s="96"/>
      <c r="F207" s="212"/>
      <c r="G207" s="212"/>
      <c r="H207" s="28"/>
      <c r="I207" s="28"/>
      <c r="J207" s="239"/>
      <c r="K207" s="240"/>
      <c r="L207" s="241"/>
      <c r="M207" s="240"/>
      <c r="N207" s="136"/>
      <c r="O207" s="239"/>
      <c r="P207" s="239"/>
      <c r="Q207" s="214"/>
      <c r="R207" s="214"/>
      <c r="S207" s="101"/>
      <c r="T207" s="222"/>
      <c r="U207" s="242"/>
      <c r="V207" s="242"/>
      <c r="W207" s="243"/>
      <c r="X207" s="243"/>
      <c r="Y207" s="243"/>
      <c r="Z207" s="243"/>
      <c r="AA207" s="243"/>
      <c r="AB207" s="243"/>
      <c r="AC207" s="243"/>
      <c r="AD207" s="243"/>
      <c r="AE207" s="243"/>
      <c r="AF207" s="243"/>
      <c r="AG207" s="208"/>
      <c r="AH207" s="208"/>
      <c r="AI207" s="208"/>
      <c r="AJ207" s="208"/>
      <c r="AK207" s="208"/>
      <c r="AL207" s="208"/>
      <c r="AM207" s="208"/>
      <c r="AN207" s="208"/>
    </row>
    <row r="208">
      <c r="A208" s="314"/>
      <c r="B208" s="238"/>
      <c r="C208" s="96"/>
      <c r="D208" s="212"/>
      <c r="E208" s="96"/>
      <c r="F208" s="212"/>
      <c r="G208" s="212"/>
      <c r="H208" s="28"/>
      <c r="I208" s="28"/>
      <c r="J208" s="239"/>
      <c r="K208" s="240"/>
      <c r="L208" s="241"/>
      <c r="M208" s="240"/>
      <c r="N208" s="136"/>
      <c r="O208" s="239"/>
      <c r="P208" s="239"/>
      <c r="Q208" s="214"/>
      <c r="R208" s="214"/>
      <c r="S208" s="101"/>
      <c r="T208" s="222"/>
      <c r="U208" s="242"/>
      <c r="V208" s="242"/>
      <c r="W208" s="243"/>
      <c r="X208" s="243"/>
      <c r="Y208" s="243"/>
      <c r="Z208" s="243"/>
      <c r="AA208" s="243"/>
      <c r="AB208" s="243"/>
      <c r="AC208" s="243"/>
      <c r="AD208" s="243"/>
      <c r="AE208" s="243"/>
      <c r="AF208" s="243"/>
      <c r="AG208" s="208"/>
      <c r="AH208" s="208"/>
      <c r="AI208" s="208"/>
      <c r="AJ208" s="208"/>
      <c r="AK208" s="208"/>
      <c r="AL208" s="208"/>
      <c r="AM208" s="208"/>
      <c r="AN208" s="208"/>
    </row>
    <row r="209">
      <c r="A209" s="314"/>
      <c r="B209" s="238"/>
      <c r="C209" s="96"/>
      <c r="D209" s="212"/>
      <c r="E209" s="96"/>
      <c r="F209" s="212"/>
      <c r="G209" s="212"/>
      <c r="H209" s="28"/>
      <c r="I209" s="28"/>
      <c r="J209" s="239"/>
      <c r="K209" s="240"/>
      <c r="L209" s="241"/>
      <c r="M209" s="240"/>
      <c r="N209" s="136"/>
      <c r="O209" s="239"/>
      <c r="P209" s="239"/>
      <c r="Q209" s="214"/>
      <c r="R209" s="214"/>
      <c r="S209" s="101"/>
      <c r="T209" s="222"/>
      <c r="U209" s="242"/>
      <c r="V209" s="242"/>
      <c r="W209" s="243"/>
      <c r="X209" s="243"/>
      <c r="Y209" s="243"/>
      <c r="Z209" s="243"/>
      <c r="AA209" s="243"/>
      <c r="AB209" s="243"/>
      <c r="AC209" s="243"/>
      <c r="AD209" s="243"/>
      <c r="AE209" s="243"/>
      <c r="AF209" s="243"/>
      <c r="AG209" s="208"/>
      <c r="AH209" s="208"/>
      <c r="AI209" s="208"/>
      <c r="AJ209" s="208"/>
      <c r="AK209" s="208"/>
      <c r="AL209" s="208"/>
      <c r="AM209" s="208"/>
      <c r="AN209" s="208"/>
    </row>
    <row r="210">
      <c r="A210" s="314"/>
      <c r="B210" s="238"/>
      <c r="C210" s="96"/>
      <c r="D210" s="212"/>
      <c r="E210" s="96"/>
      <c r="F210" s="212"/>
      <c r="G210" s="212"/>
      <c r="H210" s="28"/>
      <c r="I210" s="28"/>
      <c r="J210" s="239"/>
      <c r="K210" s="240"/>
      <c r="L210" s="241"/>
      <c r="M210" s="240"/>
      <c r="N210" s="136"/>
      <c r="O210" s="239"/>
      <c r="P210" s="239"/>
      <c r="Q210" s="214"/>
      <c r="R210" s="214"/>
      <c r="S210" s="101"/>
      <c r="T210" s="222"/>
      <c r="U210" s="242"/>
      <c r="V210" s="242"/>
      <c r="W210" s="243"/>
      <c r="X210" s="243"/>
      <c r="Y210" s="243"/>
      <c r="Z210" s="243"/>
      <c r="AA210" s="243"/>
      <c r="AB210" s="243"/>
      <c r="AC210" s="243"/>
      <c r="AD210" s="243"/>
      <c r="AE210" s="243"/>
      <c r="AF210" s="243"/>
      <c r="AG210" s="208"/>
      <c r="AH210" s="208"/>
      <c r="AI210" s="208"/>
      <c r="AJ210" s="208"/>
      <c r="AK210" s="208"/>
      <c r="AL210" s="208"/>
      <c r="AM210" s="208"/>
      <c r="AN210" s="208"/>
    </row>
    <row r="211">
      <c r="A211" s="314"/>
      <c r="B211" s="238"/>
      <c r="C211" s="96"/>
      <c r="D211" s="212"/>
      <c r="E211" s="96"/>
      <c r="F211" s="212"/>
      <c r="G211" s="212"/>
      <c r="H211" s="28"/>
      <c r="I211" s="28"/>
      <c r="J211" s="239"/>
      <c r="K211" s="240"/>
      <c r="L211" s="241"/>
      <c r="M211" s="240"/>
      <c r="N211" s="136"/>
      <c r="O211" s="239"/>
      <c r="P211" s="239"/>
      <c r="Q211" s="214"/>
      <c r="R211" s="214"/>
      <c r="S211" s="101"/>
      <c r="T211" s="222"/>
      <c r="U211" s="242"/>
      <c r="V211" s="242"/>
      <c r="W211" s="243"/>
      <c r="X211" s="243"/>
      <c r="Y211" s="243"/>
      <c r="Z211" s="243"/>
      <c r="AA211" s="243"/>
      <c r="AB211" s="243"/>
      <c r="AC211" s="243"/>
      <c r="AD211" s="243"/>
      <c r="AE211" s="243"/>
      <c r="AF211" s="243"/>
      <c r="AG211" s="208"/>
      <c r="AH211" s="208"/>
      <c r="AI211" s="208"/>
      <c r="AJ211" s="208"/>
      <c r="AK211" s="208"/>
      <c r="AL211" s="208"/>
      <c r="AM211" s="208"/>
      <c r="AN211" s="208"/>
    </row>
    <row r="212">
      <c r="A212" s="314"/>
      <c r="B212" s="238"/>
      <c r="C212" s="96"/>
      <c r="D212" s="212"/>
      <c r="E212" s="96"/>
      <c r="F212" s="212"/>
      <c r="G212" s="212"/>
      <c r="H212" s="28"/>
      <c r="I212" s="28"/>
      <c r="J212" s="239"/>
      <c r="K212" s="240"/>
      <c r="L212" s="241"/>
      <c r="M212" s="240"/>
      <c r="N212" s="136"/>
      <c r="O212" s="239"/>
      <c r="P212" s="239"/>
      <c r="Q212" s="214"/>
      <c r="R212" s="214"/>
      <c r="S212" s="101"/>
      <c r="T212" s="222"/>
      <c r="U212" s="242"/>
      <c r="V212" s="242"/>
      <c r="W212" s="243"/>
      <c r="X212" s="243"/>
      <c r="Y212" s="243"/>
      <c r="Z212" s="243"/>
      <c r="AA212" s="243"/>
      <c r="AB212" s="243"/>
      <c r="AC212" s="243"/>
      <c r="AD212" s="243"/>
      <c r="AE212" s="243"/>
      <c r="AF212" s="243"/>
      <c r="AG212" s="208"/>
      <c r="AH212" s="208"/>
      <c r="AI212" s="208"/>
      <c r="AJ212" s="208"/>
      <c r="AK212" s="208"/>
      <c r="AL212" s="208"/>
      <c r="AM212" s="208"/>
      <c r="AN212" s="208"/>
    </row>
    <row r="213">
      <c r="A213" s="314"/>
      <c r="B213" s="238"/>
      <c r="C213" s="96"/>
      <c r="D213" s="212"/>
      <c r="E213" s="96"/>
      <c r="F213" s="212"/>
      <c r="G213" s="212"/>
      <c r="H213" s="28"/>
      <c r="I213" s="28"/>
      <c r="J213" s="239"/>
      <c r="K213" s="240"/>
      <c r="L213" s="241"/>
      <c r="M213" s="240"/>
      <c r="N213" s="136"/>
      <c r="O213" s="239"/>
      <c r="P213" s="239"/>
      <c r="Q213" s="214"/>
      <c r="R213" s="214"/>
      <c r="S213" s="101"/>
      <c r="T213" s="222"/>
      <c r="U213" s="242"/>
      <c r="V213" s="242"/>
      <c r="W213" s="243"/>
      <c r="X213" s="243"/>
      <c r="Y213" s="243"/>
      <c r="Z213" s="243"/>
      <c r="AA213" s="243"/>
      <c r="AB213" s="243"/>
      <c r="AC213" s="243"/>
      <c r="AD213" s="243"/>
      <c r="AE213" s="243"/>
      <c r="AF213" s="243"/>
      <c r="AG213" s="208"/>
      <c r="AH213" s="208"/>
      <c r="AI213" s="208"/>
      <c r="AJ213" s="208"/>
      <c r="AK213" s="208"/>
      <c r="AL213" s="208"/>
      <c r="AM213" s="208"/>
      <c r="AN213" s="208"/>
    </row>
    <row r="214">
      <c r="A214" s="314"/>
      <c r="B214" s="238"/>
      <c r="C214" s="96"/>
      <c r="D214" s="212"/>
      <c r="E214" s="96"/>
      <c r="F214" s="212"/>
      <c r="G214" s="212"/>
      <c r="H214" s="28"/>
      <c r="I214" s="28"/>
      <c r="J214" s="239"/>
      <c r="K214" s="240"/>
      <c r="L214" s="241"/>
      <c r="M214" s="240"/>
      <c r="N214" s="136"/>
      <c r="O214" s="239"/>
      <c r="P214" s="239"/>
      <c r="Q214" s="214"/>
      <c r="R214" s="214"/>
      <c r="S214" s="101"/>
      <c r="T214" s="222"/>
      <c r="U214" s="242"/>
      <c r="V214" s="242"/>
      <c r="W214" s="243"/>
      <c r="X214" s="243"/>
      <c r="Y214" s="243"/>
      <c r="Z214" s="243"/>
      <c r="AA214" s="243"/>
      <c r="AB214" s="243"/>
      <c r="AC214" s="243"/>
      <c r="AD214" s="243"/>
      <c r="AE214" s="243"/>
      <c r="AF214" s="243"/>
      <c r="AG214" s="208"/>
      <c r="AH214" s="208"/>
      <c r="AI214" s="208"/>
      <c r="AJ214" s="208"/>
      <c r="AK214" s="208"/>
      <c r="AL214" s="208"/>
      <c r="AM214" s="208"/>
      <c r="AN214" s="208"/>
    </row>
    <row r="215">
      <c r="A215" s="314"/>
      <c r="B215" s="238"/>
      <c r="C215" s="96"/>
      <c r="D215" s="212"/>
      <c r="E215" s="96"/>
      <c r="F215" s="212"/>
      <c r="G215" s="212"/>
      <c r="H215" s="28"/>
      <c r="I215" s="28"/>
      <c r="J215" s="239"/>
      <c r="K215" s="240"/>
      <c r="L215" s="241"/>
      <c r="M215" s="240"/>
      <c r="N215" s="136"/>
      <c r="O215" s="239"/>
      <c r="P215" s="239"/>
      <c r="Q215" s="214"/>
      <c r="R215" s="214"/>
      <c r="S215" s="101"/>
      <c r="T215" s="222"/>
      <c r="U215" s="242"/>
      <c r="V215" s="242"/>
      <c r="W215" s="243"/>
      <c r="X215" s="243"/>
      <c r="Y215" s="243"/>
      <c r="Z215" s="243"/>
      <c r="AA215" s="243"/>
      <c r="AB215" s="243"/>
      <c r="AC215" s="243"/>
      <c r="AD215" s="243"/>
      <c r="AE215" s="243"/>
      <c r="AF215" s="243"/>
      <c r="AG215" s="208"/>
      <c r="AH215" s="208"/>
      <c r="AI215" s="208"/>
      <c r="AJ215" s="208"/>
      <c r="AK215" s="208"/>
      <c r="AL215" s="208"/>
      <c r="AM215" s="208"/>
      <c r="AN215" s="208"/>
    </row>
    <row r="216">
      <c r="A216" s="314"/>
      <c r="B216" s="238"/>
      <c r="C216" s="96"/>
      <c r="D216" s="212"/>
      <c r="E216" s="96"/>
      <c r="F216" s="212"/>
      <c r="G216" s="212"/>
      <c r="H216" s="28"/>
      <c r="I216" s="28"/>
      <c r="J216" s="239"/>
      <c r="K216" s="240"/>
      <c r="L216" s="241"/>
      <c r="M216" s="240"/>
      <c r="N216" s="136"/>
      <c r="O216" s="239"/>
      <c r="P216" s="239"/>
      <c r="Q216" s="214"/>
      <c r="R216" s="214"/>
      <c r="S216" s="101"/>
      <c r="T216" s="222"/>
      <c r="U216" s="242"/>
      <c r="V216" s="242"/>
      <c r="W216" s="243"/>
      <c r="X216" s="243"/>
      <c r="Y216" s="243"/>
      <c r="Z216" s="243"/>
      <c r="AA216" s="243"/>
      <c r="AB216" s="243"/>
      <c r="AC216" s="243"/>
      <c r="AD216" s="243"/>
      <c r="AE216" s="243"/>
      <c r="AF216" s="243"/>
      <c r="AG216" s="208"/>
      <c r="AH216" s="208"/>
      <c r="AI216" s="208"/>
      <c r="AJ216" s="208"/>
      <c r="AK216" s="208"/>
      <c r="AL216" s="208"/>
      <c r="AM216" s="208"/>
      <c r="AN216" s="208"/>
    </row>
    <row r="217">
      <c r="A217" s="314"/>
      <c r="B217" s="238"/>
      <c r="C217" s="96"/>
      <c r="D217" s="212"/>
      <c r="E217" s="96"/>
      <c r="F217" s="212"/>
      <c r="G217" s="212"/>
      <c r="H217" s="28"/>
      <c r="I217" s="28"/>
      <c r="J217" s="239"/>
      <c r="K217" s="240"/>
      <c r="L217" s="241"/>
      <c r="M217" s="240"/>
      <c r="N217" s="136"/>
      <c r="O217" s="239"/>
      <c r="P217" s="239"/>
      <c r="Q217" s="214"/>
      <c r="R217" s="214"/>
      <c r="S217" s="101"/>
      <c r="T217" s="222"/>
      <c r="U217" s="242"/>
      <c r="V217" s="242"/>
      <c r="W217" s="243"/>
      <c r="X217" s="243"/>
      <c r="Y217" s="243"/>
      <c r="Z217" s="243"/>
      <c r="AA217" s="243"/>
      <c r="AB217" s="243"/>
      <c r="AC217" s="243"/>
      <c r="AD217" s="243"/>
      <c r="AE217" s="243"/>
      <c r="AF217" s="243"/>
      <c r="AG217" s="208"/>
      <c r="AH217" s="208"/>
      <c r="AI217" s="208"/>
      <c r="AJ217" s="208"/>
      <c r="AK217" s="208"/>
      <c r="AL217" s="208"/>
      <c r="AM217" s="208"/>
      <c r="AN217" s="208"/>
    </row>
    <row r="218">
      <c r="A218" s="314"/>
      <c r="B218" s="238"/>
      <c r="C218" s="96"/>
      <c r="D218" s="212"/>
      <c r="E218" s="96"/>
      <c r="F218" s="212"/>
      <c r="G218" s="212"/>
      <c r="H218" s="28"/>
      <c r="I218" s="28"/>
      <c r="J218" s="239"/>
      <c r="K218" s="240"/>
      <c r="L218" s="241"/>
      <c r="M218" s="240"/>
      <c r="N218" s="136"/>
      <c r="O218" s="239"/>
      <c r="P218" s="239"/>
      <c r="Q218" s="214"/>
      <c r="R218" s="214"/>
      <c r="S218" s="213"/>
      <c r="T218" s="242"/>
      <c r="U218" s="242"/>
      <c r="V218" s="242"/>
      <c r="W218" s="243"/>
      <c r="X218" s="243"/>
      <c r="Y218" s="243"/>
      <c r="Z218" s="243"/>
      <c r="AA218" s="243"/>
      <c r="AB218" s="243"/>
      <c r="AC218" s="243"/>
      <c r="AD218" s="243"/>
      <c r="AE218" s="243"/>
      <c r="AF218" s="243"/>
      <c r="AG218" s="208"/>
      <c r="AH218" s="208"/>
      <c r="AI218" s="208"/>
      <c r="AJ218" s="208"/>
      <c r="AK218" s="208"/>
      <c r="AL218" s="208"/>
      <c r="AM218" s="208"/>
      <c r="AN218" s="208"/>
    </row>
    <row r="219">
      <c r="A219" s="314"/>
      <c r="B219" s="238"/>
      <c r="C219" s="96"/>
      <c r="D219" s="212"/>
      <c r="E219" s="96"/>
      <c r="F219" s="212"/>
      <c r="G219" s="212"/>
      <c r="H219" s="28"/>
      <c r="I219" s="28"/>
      <c r="J219" s="239"/>
      <c r="K219" s="240"/>
      <c r="L219" s="241"/>
      <c r="M219" s="240"/>
      <c r="N219" s="136"/>
      <c r="O219" s="239"/>
      <c r="P219" s="239"/>
      <c r="Q219" s="214"/>
      <c r="R219" s="214"/>
      <c r="S219" s="213"/>
      <c r="T219" s="242"/>
      <c r="U219" s="242"/>
      <c r="V219" s="242"/>
      <c r="W219" s="243"/>
      <c r="X219" s="243"/>
      <c r="Y219" s="243"/>
      <c r="Z219" s="243"/>
      <c r="AA219" s="243"/>
      <c r="AB219" s="243"/>
      <c r="AC219" s="243"/>
      <c r="AD219" s="243"/>
      <c r="AE219" s="243"/>
      <c r="AF219" s="243"/>
      <c r="AG219" s="208"/>
      <c r="AH219" s="208"/>
      <c r="AI219" s="208"/>
      <c r="AJ219" s="208"/>
      <c r="AK219" s="208"/>
      <c r="AL219" s="208"/>
      <c r="AM219" s="208"/>
      <c r="AN219" s="208"/>
    </row>
    <row r="220">
      <c r="A220" s="314"/>
      <c r="B220" s="238"/>
      <c r="C220" s="96"/>
      <c r="D220" s="212"/>
      <c r="E220" s="96"/>
      <c r="F220" s="212"/>
      <c r="G220" s="212"/>
      <c r="H220" s="28"/>
      <c r="I220" s="28"/>
      <c r="J220" s="239"/>
      <c r="K220" s="240"/>
      <c r="L220" s="241"/>
      <c r="M220" s="240"/>
      <c r="N220" s="136"/>
      <c r="O220" s="239"/>
      <c r="P220" s="239"/>
      <c r="Q220" s="214"/>
      <c r="R220" s="214"/>
      <c r="S220" s="213"/>
      <c r="T220" s="242"/>
      <c r="U220" s="242"/>
      <c r="V220" s="242"/>
      <c r="W220" s="243"/>
      <c r="X220" s="243"/>
      <c r="Y220" s="243"/>
      <c r="Z220" s="243"/>
      <c r="AA220" s="243"/>
      <c r="AB220" s="243"/>
      <c r="AC220" s="243"/>
      <c r="AD220" s="243"/>
      <c r="AE220" s="243"/>
      <c r="AF220" s="243"/>
      <c r="AG220" s="208"/>
      <c r="AH220" s="208"/>
      <c r="AI220" s="208"/>
      <c r="AJ220" s="208"/>
      <c r="AK220" s="208"/>
      <c r="AL220" s="208"/>
      <c r="AM220" s="208"/>
      <c r="AN220" s="208"/>
    </row>
    <row r="221">
      <c r="A221" s="314"/>
      <c r="B221" s="238"/>
      <c r="C221" s="96"/>
      <c r="D221" s="212"/>
      <c r="E221" s="96"/>
      <c r="F221" s="212"/>
      <c r="G221" s="212"/>
      <c r="H221" s="28"/>
      <c r="I221" s="28"/>
      <c r="J221" s="239"/>
      <c r="K221" s="240"/>
      <c r="L221" s="241"/>
      <c r="M221" s="240"/>
      <c r="N221" s="136"/>
      <c r="O221" s="239"/>
      <c r="P221" s="239"/>
      <c r="Q221" s="214"/>
      <c r="R221" s="214"/>
      <c r="S221" s="213"/>
      <c r="T221" s="242"/>
      <c r="U221" s="242"/>
      <c r="V221" s="242"/>
      <c r="W221" s="243"/>
      <c r="X221" s="243"/>
      <c r="Y221" s="243"/>
      <c r="Z221" s="243"/>
      <c r="AA221" s="243"/>
      <c r="AB221" s="243"/>
      <c r="AC221" s="243"/>
      <c r="AD221" s="243"/>
      <c r="AE221" s="243"/>
      <c r="AF221" s="243"/>
      <c r="AG221" s="208"/>
      <c r="AH221" s="208"/>
      <c r="AI221" s="208"/>
      <c r="AJ221" s="208"/>
      <c r="AK221" s="208"/>
      <c r="AL221" s="208"/>
      <c r="AM221" s="208"/>
      <c r="AN221" s="208"/>
    </row>
    <row r="222">
      <c r="A222" s="314"/>
      <c r="B222" s="238"/>
      <c r="C222" s="96"/>
      <c r="D222" s="212"/>
      <c r="E222" s="96"/>
      <c r="F222" s="212"/>
      <c r="G222" s="212"/>
      <c r="H222" s="28"/>
      <c r="I222" s="28"/>
      <c r="J222" s="239"/>
      <c r="K222" s="240"/>
      <c r="L222" s="241"/>
      <c r="M222" s="240"/>
      <c r="N222" s="136"/>
      <c r="O222" s="239"/>
      <c r="P222" s="239"/>
      <c r="Q222" s="214"/>
      <c r="R222" s="214"/>
      <c r="S222" s="213"/>
      <c r="T222" s="242"/>
      <c r="U222" s="242"/>
      <c r="V222" s="242"/>
      <c r="W222" s="243"/>
      <c r="X222" s="243"/>
      <c r="Y222" s="243"/>
      <c r="Z222" s="243"/>
      <c r="AA222" s="243"/>
      <c r="AB222" s="243"/>
      <c r="AC222" s="243"/>
      <c r="AD222" s="243"/>
      <c r="AE222" s="243"/>
      <c r="AF222" s="243"/>
      <c r="AG222" s="208"/>
      <c r="AH222" s="208"/>
      <c r="AI222" s="208"/>
      <c r="AJ222" s="208"/>
      <c r="AK222" s="208"/>
      <c r="AL222" s="208"/>
      <c r="AM222" s="208"/>
      <c r="AN222" s="208"/>
    </row>
    <row r="223">
      <c r="A223" s="314"/>
      <c r="B223" s="238"/>
      <c r="C223" s="96"/>
      <c r="D223" s="212"/>
      <c r="E223" s="96"/>
      <c r="F223" s="212"/>
      <c r="G223" s="212"/>
      <c r="H223" s="28"/>
      <c r="I223" s="28"/>
      <c r="J223" s="239"/>
      <c r="K223" s="240"/>
      <c r="L223" s="241"/>
      <c r="M223" s="240"/>
      <c r="N223" s="136"/>
      <c r="O223" s="239"/>
      <c r="P223" s="239"/>
      <c r="Q223" s="214"/>
      <c r="R223" s="214"/>
      <c r="S223" s="213"/>
      <c r="T223" s="242"/>
      <c r="U223" s="242"/>
      <c r="V223" s="242"/>
      <c r="W223" s="243"/>
      <c r="X223" s="243"/>
      <c r="Y223" s="243"/>
      <c r="Z223" s="243"/>
      <c r="AA223" s="243"/>
      <c r="AB223" s="243"/>
      <c r="AC223" s="243"/>
      <c r="AD223" s="243"/>
      <c r="AE223" s="243"/>
      <c r="AF223" s="243"/>
      <c r="AG223" s="208"/>
      <c r="AH223" s="208"/>
      <c r="AI223" s="208"/>
      <c r="AJ223" s="208"/>
      <c r="AK223" s="208"/>
      <c r="AL223" s="208"/>
      <c r="AM223" s="208"/>
      <c r="AN223" s="208"/>
    </row>
    <row r="224">
      <c r="A224" s="314"/>
      <c r="B224" s="238"/>
      <c r="C224" s="96"/>
      <c r="D224" s="212"/>
      <c r="E224" s="96"/>
      <c r="F224" s="212"/>
      <c r="G224" s="212"/>
      <c r="H224" s="28"/>
      <c r="I224" s="28"/>
      <c r="J224" s="239"/>
      <c r="K224" s="240"/>
      <c r="L224" s="241"/>
      <c r="M224" s="240"/>
      <c r="N224" s="136"/>
      <c r="O224" s="239"/>
      <c r="P224" s="239"/>
      <c r="Q224" s="214"/>
      <c r="R224" s="214"/>
      <c r="S224" s="213"/>
      <c r="T224" s="242"/>
      <c r="U224" s="242"/>
      <c r="V224" s="242"/>
      <c r="W224" s="243"/>
      <c r="X224" s="243"/>
      <c r="Y224" s="243"/>
      <c r="Z224" s="243"/>
      <c r="AA224" s="243"/>
      <c r="AB224" s="243"/>
      <c r="AC224" s="243"/>
      <c r="AD224" s="243"/>
      <c r="AE224" s="243"/>
      <c r="AF224" s="243"/>
      <c r="AG224" s="208"/>
      <c r="AH224" s="208"/>
      <c r="AI224" s="208"/>
      <c r="AJ224" s="208"/>
      <c r="AK224" s="208"/>
      <c r="AL224" s="208"/>
      <c r="AM224" s="208"/>
      <c r="AN224" s="208"/>
    </row>
    <row r="225">
      <c r="A225" s="314"/>
      <c r="B225" s="238"/>
      <c r="C225" s="96"/>
      <c r="D225" s="212"/>
      <c r="E225" s="96"/>
      <c r="F225" s="212"/>
      <c r="G225" s="212"/>
      <c r="H225" s="28"/>
      <c r="I225" s="28"/>
      <c r="J225" s="239"/>
      <c r="K225" s="240"/>
      <c r="L225" s="241"/>
      <c r="M225" s="240"/>
      <c r="N225" s="136"/>
      <c r="O225" s="239"/>
      <c r="P225" s="239"/>
      <c r="Q225" s="214"/>
      <c r="R225" s="214"/>
      <c r="S225" s="213"/>
      <c r="T225" s="242"/>
      <c r="U225" s="242"/>
      <c r="V225" s="242"/>
      <c r="W225" s="243"/>
      <c r="X225" s="243"/>
      <c r="Y225" s="243"/>
      <c r="Z225" s="243"/>
      <c r="AA225" s="243"/>
      <c r="AB225" s="243"/>
      <c r="AC225" s="243"/>
      <c r="AD225" s="243"/>
      <c r="AE225" s="243"/>
      <c r="AF225" s="243"/>
      <c r="AG225" s="208"/>
      <c r="AH225" s="208"/>
      <c r="AI225" s="208"/>
      <c r="AJ225" s="208"/>
      <c r="AK225" s="208"/>
      <c r="AL225" s="208"/>
      <c r="AM225" s="208"/>
      <c r="AN225" s="208"/>
    </row>
    <row r="226">
      <c r="A226" s="314"/>
      <c r="B226" s="238"/>
      <c r="C226" s="96"/>
      <c r="D226" s="212"/>
      <c r="E226" s="96"/>
      <c r="F226" s="212"/>
      <c r="G226" s="212"/>
      <c r="H226" s="28"/>
      <c r="I226" s="28"/>
      <c r="J226" s="239"/>
      <c r="K226" s="240"/>
      <c r="L226" s="241"/>
      <c r="M226" s="240"/>
      <c r="N226" s="136"/>
      <c r="O226" s="239"/>
      <c r="P226" s="239"/>
      <c r="Q226" s="214"/>
      <c r="R226" s="214"/>
      <c r="S226" s="213"/>
      <c r="T226" s="242"/>
      <c r="U226" s="242"/>
      <c r="V226" s="242"/>
      <c r="W226" s="243"/>
      <c r="X226" s="243"/>
      <c r="Y226" s="243"/>
      <c r="Z226" s="243"/>
      <c r="AA226" s="243"/>
      <c r="AB226" s="243"/>
      <c r="AC226" s="243"/>
      <c r="AD226" s="243"/>
      <c r="AE226" s="243"/>
      <c r="AF226" s="243"/>
      <c r="AG226" s="208"/>
      <c r="AH226" s="208"/>
      <c r="AI226" s="208"/>
      <c r="AJ226" s="208"/>
      <c r="AK226" s="208"/>
      <c r="AL226" s="208"/>
      <c r="AM226" s="208"/>
      <c r="AN226" s="208"/>
    </row>
    <row r="227">
      <c r="A227" s="314"/>
      <c r="B227" s="238"/>
      <c r="C227" s="96"/>
      <c r="D227" s="212"/>
      <c r="E227" s="96"/>
      <c r="F227" s="212"/>
      <c r="G227" s="212"/>
      <c r="H227" s="28"/>
      <c r="I227" s="28"/>
      <c r="J227" s="239"/>
      <c r="K227" s="240"/>
      <c r="L227" s="241"/>
      <c r="M227" s="240"/>
      <c r="N227" s="136"/>
      <c r="O227" s="239"/>
      <c r="P227" s="239"/>
      <c r="Q227" s="214"/>
      <c r="R227" s="214"/>
      <c r="S227" s="213"/>
      <c r="T227" s="242"/>
      <c r="U227" s="242"/>
      <c r="V227" s="242"/>
      <c r="W227" s="243"/>
      <c r="X227" s="243"/>
      <c r="Y227" s="243"/>
      <c r="Z227" s="243"/>
      <c r="AA227" s="243"/>
      <c r="AB227" s="243"/>
      <c r="AC227" s="243"/>
      <c r="AD227" s="243"/>
      <c r="AE227" s="243"/>
      <c r="AF227" s="243"/>
      <c r="AG227" s="208"/>
      <c r="AH227" s="208"/>
      <c r="AI227" s="208"/>
      <c r="AJ227" s="208"/>
      <c r="AK227" s="208"/>
      <c r="AL227" s="208"/>
      <c r="AM227" s="208"/>
      <c r="AN227" s="208"/>
    </row>
    <row r="228">
      <c r="A228" s="314"/>
      <c r="B228" s="238"/>
      <c r="C228" s="96"/>
      <c r="D228" s="212"/>
      <c r="E228" s="96"/>
      <c r="F228" s="212"/>
      <c r="G228" s="212"/>
      <c r="H228" s="28"/>
      <c r="I228" s="28"/>
      <c r="J228" s="239"/>
      <c r="K228" s="240"/>
      <c r="L228" s="241"/>
      <c r="M228" s="240"/>
      <c r="N228" s="136"/>
      <c r="O228" s="239"/>
      <c r="P228" s="239"/>
      <c r="Q228" s="214"/>
      <c r="R228" s="214"/>
      <c r="S228" s="213"/>
      <c r="T228" s="242"/>
      <c r="U228" s="242"/>
      <c r="V228" s="242"/>
      <c r="W228" s="243"/>
      <c r="X228" s="243"/>
      <c r="Y228" s="243"/>
      <c r="Z228" s="243"/>
      <c r="AA228" s="243"/>
      <c r="AB228" s="243"/>
      <c r="AC228" s="243"/>
      <c r="AD228" s="243"/>
      <c r="AE228" s="243"/>
      <c r="AF228" s="243"/>
      <c r="AG228" s="208"/>
      <c r="AH228" s="208"/>
      <c r="AI228" s="208"/>
      <c r="AJ228" s="208"/>
      <c r="AK228" s="208"/>
      <c r="AL228" s="208"/>
      <c r="AM228" s="208"/>
      <c r="AN228" s="208"/>
    </row>
    <row r="229">
      <c r="A229" s="314"/>
      <c r="B229" s="238"/>
      <c r="C229" s="96"/>
      <c r="D229" s="212"/>
      <c r="E229" s="96"/>
      <c r="F229" s="212"/>
      <c r="G229" s="212"/>
      <c r="H229" s="28"/>
      <c r="I229" s="28"/>
      <c r="J229" s="239"/>
      <c r="K229" s="240"/>
      <c r="L229" s="241"/>
      <c r="M229" s="240"/>
      <c r="N229" s="136"/>
      <c r="O229" s="239"/>
      <c r="P229" s="239"/>
      <c r="Q229" s="214"/>
      <c r="R229" s="214"/>
      <c r="S229" s="213"/>
      <c r="T229" s="242"/>
      <c r="U229" s="242"/>
      <c r="V229" s="242"/>
      <c r="W229" s="243"/>
      <c r="X229" s="243"/>
      <c r="Y229" s="243"/>
      <c r="Z229" s="243"/>
      <c r="AA229" s="243"/>
      <c r="AB229" s="243"/>
      <c r="AC229" s="243"/>
      <c r="AD229" s="243"/>
      <c r="AE229" s="243"/>
      <c r="AF229" s="243"/>
      <c r="AG229" s="208"/>
      <c r="AH229" s="208"/>
      <c r="AI229" s="208"/>
      <c r="AJ229" s="208"/>
      <c r="AK229" s="208"/>
      <c r="AL229" s="208"/>
      <c r="AM229" s="208"/>
      <c r="AN229" s="208"/>
    </row>
    <row r="230">
      <c r="A230" s="314"/>
      <c r="B230" s="238"/>
      <c r="C230" s="96"/>
      <c r="D230" s="212"/>
      <c r="E230" s="96"/>
      <c r="F230" s="212"/>
      <c r="G230" s="212"/>
      <c r="H230" s="28"/>
      <c r="I230" s="28"/>
      <c r="J230" s="239"/>
      <c r="K230" s="240"/>
      <c r="L230" s="241"/>
      <c r="M230" s="240"/>
      <c r="N230" s="136"/>
      <c r="O230" s="239"/>
      <c r="P230" s="239"/>
      <c r="Q230" s="214"/>
      <c r="R230" s="214"/>
      <c r="S230" s="213"/>
      <c r="T230" s="242"/>
      <c r="U230" s="242"/>
      <c r="V230" s="242"/>
      <c r="W230" s="243"/>
      <c r="X230" s="243"/>
      <c r="Y230" s="243"/>
      <c r="Z230" s="243"/>
      <c r="AA230" s="243"/>
      <c r="AB230" s="243"/>
      <c r="AC230" s="243"/>
      <c r="AD230" s="243"/>
      <c r="AE230" s="243"/>
      <c r="AF230" s="243"/>
      <c r="AG230" s="208"/>
      <c r="AH230" s="208"/>
      <c r="AI230" s="208"/>
      <c r="AJ230" s="208"/>
      <c r="AK230" s="208"/>
      <c r="AL230" s="208"/>
      <c r="AM230" s="208"/>
      <c r="AN230" s="208"/>
    </row>
    <row r="231">
      <c r="A231" s="314"/>
      <c r="B231" s="238"/>
      <c r="C231" s="96"/>
      <c r="D231" s="212"/>
      <c r="E231" s="96"/>
      <c r="F231" s="212"/>
      <c r="G231" s="212"/>
      <c r="H231" s="28"/>
      <c r="I231" s="28"/>
      <c r="J231" s="239"/>
      <c r="K231" s="240"/>
      <c r="L231" s="241"/>
      <c r="M231" s="240"/>
      <c r="N231" s="136"/>
      <c r="O231" s="239"/>
      <c r="P231" s="239"/>
      <c r="Q231" s="214"/>
      <c r="R231" s="214"/>
      <c r="S231" s="213"/>
      <c r="T231" s="242"/>
      <c r="U231" s="242"/>
      <c r="V231" s="242"/>
      <c r="W231" s="243"/>
      <c r="X231" s="243"/>
      <c r="Y231" s="243"/>
      <c r="Z231" s="243"/>
      <c r="AA231" s="243"/>
      <c r="AB231" s="243"/>
      <c r="AC231" s="243"/>
      <c r="AD231" s="243"/>
      <c r="AE231" s="243"/>
      <c r="AF231" s="243"/>
      <c r="AG231" s="208"/>
      <c r="AH231" s="208"/>
      <c r="AI231" s="208"/>
      <c r="AJ231" s="208"/>
      <c r="AK231" s="208"/>
      <c r="AL231" s="208"/>
      <c r="AM231" s="208"/>
      <c r="AN231" s="208"/>
    </row>
    <row r="232">
      <c r="A232" s="314"/>
      <c r="B232" s="238"/>
      <c r="C232" s="96"/>
      <c r="D232" s="212"/>
      <c r="E232" s="96"/>
      <c r="F232" s="212"/>
      <c r="G232" s="212"/>
      <c r="H232" s="28"/>
      <c r="I232" s="28"/>
      <c r="J232" s="239"/>
      <c r="K232" s="240"/>
      <c r="L232" s="241"/>
      <c r="M232" s="240"/>
      <c r="N232" s="136"/>
      <c r="O232" s="239"/>
      <c r="P232" s="239"/>
      <c r="Q232" s="214"/>
      <c r="R232" s="214"/>
      <c r="S232" s="213"/>
      <c r="T232" s="242"/>
      <c r="U232" s="242"/>
      <c r="V232" s="242"/>
      <c r="W232" s="243"/>
      <c r="X232" s="243"/>
      <c r="Y232" s="243"/>
      <c r="Z232" s="243"/>
      <c r="AA232" s="243"/>
      <c r="AB232" s="243"/>
      <c r="AC232" s="243"/>
      <c r="AD232" s="243"/>
      <c r="AE232" s="243"/>
      <c r="AF232" s="243"/>
      <c r="AG232" s="208"/>
      <c r="AH232" s="208"/>
      <c r="AI232" s="208"/>
      <c r="AJ232" s="208"/>
      <c r="AK232" s="208"/>
      <c r="AL232" s="208"/>
      <c r="AM232" s="208"/>
      <c r="AN232" s="208"/>
    </row>
    <row r="233">
      <c r="A233" s="314"/>
      <c r="B233" s="238"/>
      <c r="C233" s="96"/>
      <c r="D233" s="212"/>
      <c r="E233" s="96"/>
      <c r="F233" s="212"/>
      <c r="G233" s="212"/>
      <c r="H233" s="28"/>
      <c r="I233" s="28"/>
      <c r="J233" s="239"/>
      <c r="K233" s="240"/>
      <c r="L233" s="241"/>
      <c r="M233" s="240"/>
      <c r="N233" s="136"/>
      <c r="O233" s="239"/>
      <c r="P233" s="239"/>
      <c r="Q233" s="214"/>
      <c r="R233" s="214"/>
      <c r="S233" s="213"/>
      <c r="T233" s="242"/>
      <c r="U233" s="242"/>
      <c r="V233" s="242"/>
      <c r="W233" s="243"/>
      <c r="X233" s="243"/>
      <c r="Y233" s="243"/>
      <c r="Z233" s="243"/>
      <c r="AA233" s="243"/>
      <c r="AB233" s="243"/>
      <c r="AC233" s="243"/>
      <c r="AD233" s="243"/>
      <c r="AE233" s="243"/>
      <c r="AF233" s="243"/>
      <c r="AG233" s="208"/>
      <c r="AH233" s="208"/>
      <c r="AI233" s="208"/>
      <c r="AJ233" s="208"/>
      <c r="AK233" s="208"/>
      <c r="AL233" s="208"/>
      <c r="AM233" s="208"/>
      <c r="AN233" s="208"/>
    </row>
    <row r="234">
      <c r="A234" s="314"/>
      <c r="B234" s="238"/>
      <c r="C234" s="96"/>
      <c r="D234" s="212"/>
      <c r="E234" s="96"/>
      <c r="F234" s="212"/>
      <c r="G234" s="212"/>
      <c r="H234" s="28"/>
      <c r="I234" s="28"/>
      <c r="J234" s="239"/>
      <c r="K234" s="240"/>
      <c r="L234" s="241"/>
      <c r="M234" s="240"/>
      <c r="N234" s="136"/>
      <c r="O234" s="239"/>
      <c r="P234" s="239"/>
      <c r="Q234" s="214"/>
      <c r="R234" s="214"/>
      <c r="S234" s="213"/>
      <c r="T234" s="242"/>
      <c r="U234" s="242"/>
      <c r="V234" s="242"/>
      <c r="W234" s="243"/>
      <c r="X234" s="243"/>
      <c r="Y234" s="243"/>
      <c r="Z234" s="243"/>
      <c r="AA234" s="243"/>
      <c r="AB234" s="243"/>
      <c r="AC234" s="243"/>
      <c r="AD234" s="243"/>
      <c r="AE234" s="243"/>
      <c r="AF234" s="243"/>
      <c r="AG234" s="208"/>
      <c r="AH234" s="208"/>
      <c r="AI234" s="208"/>
      <c r="AJ234" s="208"/>
      <c r="AK234" s="208"/>
      <c r="AL234" s="208"/>
      <c r="AM234" s="208"/>
      <c r="AN234" s="208"/>
    </row>
    <row r="235">
      <c r="A235" s="314"/>
      <c r="B235" s="238"/>
      <c r="C235" s="96"/>
      <c r="D235" s="212"/>
      <c r="E235" s="96"/>
      <c r="F235" s="212"/>
      <c r="G235" s="212"/>
      <c r="H235" s="28"/>
      <c r="I235" s="28"/>
      <c r="J235" s="239"/>
      <c r="K235" s="240"/>
      <c r="L235" s="241"/>
      <c r="M235" s="240"/>
      <c r="N235" s="136"/>
      <c r="O235" s="239"/>
      <c r="P235" s="239"/>
      <c r="Q235" s="214"/>
      <c r="R235" s="214"/>
      <c r="S235" s="213"/>
      <c r="T235" s="242"/>
      <c r="U235" s="242"/>
      <c r="V235" s="242"/>
      <c r="W235" s="243"/>
      <c r="X235" s="243"/>
      <c r="Y235" s="243"/>
      <c r="Z235" s="243"/>
      <c r="AA235" s="243"/>
      <c r="AB235" s="243"/>
      <c r="AC235" s="243"/>
      <c r="AD235" s="243"/>
      <c r="AE235" s="243"/>
      <c r="AF235" s="243"/>
      <c r="AG235" s="208"/>
      <c r="AH235" s="208"/>
      <c r="AI235" s="208"/>
      <c r="AJ235" s="208"/>
      <c r="AK235" s="208"/>
      <c r="AL235" s="208"/>
      <c r="AM235" s="208"/>
      <c r="AN235" s="208"/>
    </row>
    <row r="236">
      <c r="A236" s="314"/>
      <c r="B236" s="238"/>
      <c r="C236" s="96"/>
      <c r="D236" s="212"/>
      <c r="E236" s="96"/>
      <c r="F236" s="212"/>
      <c r="G236" s="212"/>
      <c r="H236" s="28"/>
      <c r="I236" s="28"/>
      <c r="J236" s="239"/>
      <c r="K236" s="240"/>
      <c r="L236" s="241"/>
      <c r="M236" s="240"/>
      <c r="N236" s="136"/>
      <c r="O236" s="239"/>
      <c r="P236" s="239"/>
      <c r="Q236" s="214"/>
      <c r="R236" s="214"/>
      <c r="S236" s="213"/>
      <c r="T236" s="242"/>
      <c r="U236" s="242"/>
      <c r="V236" s="242"/>
      <c r="W236" s="243"/>
      <c r="X236" s="243"/>
      <c r="Y236" s="243"/>
      <c r="Z236" s="243"/>
      <c r="AA236" s="243"/>
      <c r="AB236" s="243"/>
      <c r="AC236" s="243"/>
      <c r="AD236" s="243"/>
      <c r="AE236" s="243"/>
      <c r="AF236" s="243"/>
      <c r="AG236" s="208"/>
      <c r="AH236" s="208"/>
      <c r="AI236" s="208"/>
      <c r="AJ236" s="208"/>
      <c r="AK236" s="208"/>
      <c r="AL236" s="208"/>
      <c r="AM236" s="208"/>
      <c r="AN236" s="208"/>
    </row>
    <row r="237">
      <c r="A237" s="314"/>
      <c r="B237" s="238"/>
      <c r="C237" s="96"/>
      <c r="D237" s="212"/>
      <c r="E237" s="96"/>
      <c r="F237" s="212"/>
      <c r="G237" s="212"/>
      <c r="H237" s="28"/>
      <c r="I237" s="28"/>
      <c r="J237" s="239"/>
      <c r="K237" s="240"/>
      <c r="L237" s="241"/>
      <c r="M237" s="240"/>
      <c r="N237" s="136"/>
      <c r="O237" s="239"/>
      <c r="P237" s="239"/>
      <c r="Q237" s="214"/>
      <c r="R237" s="214"/>
      <c r="S237" s="213"/>
      <c r="T237" s="242"/>
      <c r="U237" s="242"/>
      <c r="V237" s="242"/>
      <c r="W237" s="243"/>
      <c r="X237" s="243"/>
      <c r="Y237" s="243"/>
      <c r="Z237" s="243"/>
      <c r="AA237" s="243"/>
      <c r="AB237" s="243"/>
      <c r="AC237" s="243"/>
      <c r="AD237" s="243"/>
      <c r="AE237" s="243"/>
      <c r="AF237" s="243"/>
      <c r="AG237" s="208"/>
      <c r="AH237" s="208"/>
      <c r="AI237" s="208"/>
      <c r="AJ237" s="208"/>
      <c r="AK237" s="208"/>
      <c r="AL237" s="208"/>
      <c r="AM237" s="208"/>
      <c r="AN237" s="208"/>
    </row>
    <row r="238">
      <c r="A238" s="314"/>
      <c r="B238" s="238"/>
      <c r="C238" s="96"/>
      <c r="D238" s="212"/>
      <c r="E238" s="96"/>
      <c r="F238" s="212"/>
      <c r="G238" s="212"/>
      <c r="H238" s="28"/>
      <c r="I238" s="28"/>
      <c r="J238" s="239"/>
      <c r="K238" s="240"/>
      <c r="L238" s="241"/>
      <c r="M238" s="240"/>
      <c r="N238" s="136"/>
      <c r="O238" s="239"/>
      <c r="P238" s="239"/>
      <c r="Q238" s="214"/>
      <c r="R238" s="214"/>
      <c r="S238" s="213"/>
      <c r="T238" s="242"/>
      <c r="U238" s="242"/>
      <c r="V238" s="242"/>
      <c r="W238" s="243"/>
      <c r="X238" s="243"/>
      <c r="Y238" s="243"/>
      <c r="Z238" s="243"/>
      <c r="AA238" s="243"/>
      <c r="AB238" s="243"/>
      <c r="AC238" s="243"/>
      <c r="AD238" s="243"/>
      <c r="AE238" s="243"/>
      <c r="AF238" s="243"/>
      <c r="AG238" s="208"/>
      <c r="AH238" s="208"/>
      <c r="AI238" s="208"/>
      <c r="AJ238" s="208"/>
      <c r="AK238" s="208"/>
      <c r="AL238" s="208"/>
      <c r="AM238" s="208"/>
      <c r="AN238" s="208"/>
    </row>
    <row r="239">
      <c r="A239" s="314"/>
      <c r="B239" s="238"/>
      <c r="C239" s="96"/>
      <c r="D239" s="212"/>
      <c r="E239" s="96"/>
      <c r="F239" s="212"/>
      <c r="G239" s="212"/>
      <c r="H239" s="28"/>
      <c r="I239" s="28"/>
      <c r="J239" s="239"/>
      <c r="K239" s="240"/>
      <c r="L239" s="241"/>
      <c r="M239" s="240"/>
      <c r="N239" s="136"/>
      <c r="O239" s="239"/>
      <c r="P239" s="239"/>
      <c r="Q239" s="214"/>
      <c r="R239" s="214"/>
      <c r="S239" s="213"/>
      <c r="T239" s="242"/>
      <c r="U239" s="242"/>
      <c r="V239" s="242"/>
      <c r="W239" s="243"/>
      <c r="X239" s="243"/>
      <c r="Y239" s="243"/>
      <c r="Z239" s="243"/>
      <c r="AA239" s="243"/>
      <c r="AB239" s="243"/>
      <c r="AC239" s="243"/>
      <c r="AD239" s="243"/>
      <c r="AE239" s="243"/>
      <c r="AF239" s="243"/>
      <c r="AG239" s="208"/>
      <c r="AH239" s="208"/>
      <c r="AI239" s="208"/>
      <c r="AJ239" s="208"/>
      <c r="AK239" s="208"/>
      <c r="AL239" s="208"/>
      <c r="AM239" s="208"/>
      <c r="AN239" s="208"/>
    </row>
    <row r="240">
      <c r="A240" s="315"/>
      <c r="B240" s="315"/>
      <c r="C240" s="315"/>
      <c r="D240" s="315"/>
      <c r="E240" s="315"/>
      <c r="F240" s="315"/>
      <c r="G240" s="315"/>
      <c r="H240" s="315"/>
      <c r="I240" s="315"/>
      <c r="J240" s="315"/>
      <c r="K240" s="315"/>
      <c r="L240" s="315"/>
      <c r="M240" s="315"/>
      <c r="N240" s="315"/>
      <c r="O240" s="315"/>
      <c r="P240" s="315"/>
      <c r="Q240" s="315"/>
      <c r="R240" s="315"/>
      <c r="S240" s="315"/>
      <c r="T240" s="315"/>
      <c r="U240" s="315"/>
      <c r="V240" s="315"/>
      <c r="W240" s="315"/>
      <c r="X240" s="315"/>
      <c r="Y240" s="315"/>
      <c r="Z240" s="315"/>
      <c r="AA240" s="315"/>
      <c r="AB240" s="315"/>
      <c r="AC240" s="315"/>
      <c r="AD240" s="315"/>
      <c r="AE240" s="315"/>
      <c r="AF240" s="315"/>
      <c r="AG240" s="315"/>
      <c r="AH240" s="315"/>
      <c r="AI240" s="315"/>
      <c r="AJ240" s="315"/>
      <c r="AK240" s="315"/>
      <c r="AL240" s="315"/>
      <c r="AM240" s="315"/>
      <c r="AN240" s="315"/>
    </row>
    <row r="241">
      <c r="A241" s="315"/>
      <c r="B241" s="315"/>
      <c r="C241" s="315"/>
      <c r="D241" s="315"/>
      <c r="E241" s="315"/>
      <c r="F241" s="315"/>
      <c r="G241" s="315"/>
      <c r="H241" s="315"/>
      <c r="I241" s="315"/>
      <c r="J241" s="315"/>
      <c r="K241" s="315"/>
      <c r="L241" s="315"/>
      <c r="M241" s="315"/>
      <c r="N241" s="315"/>
      <c r="O241" s="315"/>
      <c r="P241" s="315"/>
      <c r="Q241" s="315"/>
      <c r="R241" s="315"/>
      <c r="S241" s="315"/>
      <c r="T241" s="315"/>
      <c r="U241" s="315"/>
      <c r="V241" s="315"/>
      <c r="W241" s="315"/>
      <c r="X241" s="315"/>
      <c r="Y241" s="315"/>
      <c r="Z241" s="315"/>
      <c r="AA241" s="315"/>
      <c r="AB241" s="315"/>
      <c r="AC241" s="315"/>
      <c r="AD241" s="315"/>
      <c r="AE241" s="315"/>
      <c r="AF241" s="315"/>
      <c r="AG241" s="315"/>
      <c r="AH241" s="315"/>
      <c r="AI241" s="315"/>
      <c r="AJ241" s="315"/>
      <c r="AK241" s="315"/>
      <c r="AL241" s="315"/>
      <c r="AM241" s="315"/>
      <c r="AN241" s="315"/>
    </row>
    <row r="242">
      <c r="A242" s="315"/>
      <c r="B242" s="315"/>
      <c r="C242" s="315"/>
      <c r="D242" s="315"/>
      <c r="E242" s="315"/>
      <c r="F242" s="315"/>
      <c r="G242" s="315"/>
      <c r="H242" s="315"/>
      <c r="I242" s="315"/>
      <c r="J242" s="315"/>
      <c r="K242" s="315"/>
      <c r="L242" s="315"/>
      <c r="M242" s="315"/>
      <c r="N242" s="315"/>
      <c r="O242" s="315"/>
      <c r="P242" s="315"/>
      <c r="Q242" s="315"/>
      <c r="R242" s="315"/>
      <c r="S242" s="315"/>
      <c r="T242" s="315"/>
      <c r="U242" s="315"/>
      <c r="V242" s="315"/>
      <c r="W242" s="315"/>
      <c r="X242" s="315"/>
      <c r="Y242" s="315"/>
      <c r="Z242" s="315"/>
      <c r="AA242" s="315"/>
      <c r="AB242" s="315"/>
      <c r="AC242" s="315"/>
      <c r="AD242" s="315"/>
      <c r="AE242" s="315"/>
      <c r="AF242" s="315"/>
      <c r="AG242" s="315"/>
      <c r="AH242" s="315"/>
      <c r="AI242" s="315"/>
      <c r="AJ242" s="315"/>
      <c r="AK242" s="315"/>
      <c r="AL242" s="315"/>
      <c r="AM242" s="315"/>
      <c r="AN242" s="315"/>
    </row>
    <row r="243">
      <c r="A243" s="315"/>
      <c r="B243" s="315"/>
      <c r="C243" s="315"/>
      <c r="D243" s="315"/>
      <c r="E243" s="315"/>
      <c r="F243" s="315"/>
      <c r="G243" s="315"/>
      <c r="H243" s="315"/>
      <c r="I243" s="315"/>
      <c r="J243" s="315"/>
      <c r="K243" s="315"/>
      <c r="L243" s="315"/>
      <c r="M243" s="315"/>
      <c r="N243" s="315"/>
      <c r="O243" s="315"/>
      <c r="P243" s="315"/>
      <c r="Q243" s="315"/>
      <c r="R243" s="315"/>
      <c r="S243" s="315"/>
      <c r="T243" s="315"/>
      <c r="U243" s="315"/>
      <c r="V243" s="315"/>
      <c r="W243" s="315"/>
      <c r="X243" s="315"/>
      <c r="Y243" s="315"/>
      <c r="Z243" s="315"/>
      <c r="AA243" s="315"/>
      <c r="AB243" s="315"/>
      <c r="AC243" s="315"/>
      <c r="AD243" s="315"/>
      <c r="AE243" s="315"/>
      <c r="AF243" s="315"/>
      <c r="AG243" s="315"/>
      <c r="AH243" s="315"/>
      <c r="AI243" s="315"/>
      <c r="AJ243" s="315"/>
      <c r="AK243" s="315"/>
      <c r="AL243" s="315"/>
      <c r="AM243" s="315"/>
      <c r="AN243" s="315"/>
    </row>
    <row r="244">
      <c r="A244" s="315"/>
      <c r="B244" s="315"/>
      <c r="C244" s="315"/>
      <c r="D244" s="315"/>
      <c r="E244" s="315"/>
      <c r="F244" s="315"/>
      <c r="G244" s="315"/>
      <c r="H244" s="315"/>
      <c r="I244" s="315"/>
      <c r="J244" s="315"/>
      <c r="K244" s="315"/>
      <c r="L244" s="315"/>
      <c r="M244" s="315"/>
      <c r="N244" s="315"/>
      <c r="O244" s="315"/>
      <c r="P244" s="315"/>
      <c r="Q244" s="315"/>
      <c r="R244" s="315"/>
      <c r="S244" s="315"/>
      <c r="T244" s="315"/>
      <c r="U244" s="315"/>
      <c r="V244" s="315"/>
      <c r="W244" s="315"/>
      <c r="X244" s="315"/>
      <c r="Y244" s="315"/>
      <c r="Z244" s="315"/>
      <c r="AA244" s="315"/>
      <c r="AB244" s="315"/>
      <c r="AC244" s="315"/>
      <c r="AD244" s="315"/>
      <c r="AE244" s="315"/>
      <c r="AF244" s="315"/>
      <c r="AG244" s="315"/>
      <c r="AH244" s="315"/>
      <c r="AI244" s="315"/>
      <c r="AJ244" s="315"/>
      <c r="AK244" s="315"/>
      <c r="AL244" s="315"/>
      <c r="AM244" s="315"/>
      <c r="AN244" s="315"/>
    </row>
    <row r="245">
      <c r="A245" s="315"/>
      <c r="B245" s="315"/>
      <c r="C245" s="315"/>
      <c r="D245" s="315"/>
      <c r="E245" s="315"/>
      <c r="F245" s="315"/>
      <c r="G245" s="315"/>
      <c r="H245" s="315"/>
      <c r="I245" s="315"/>
      <c r="J245" s="315"/>
      <c r="K245" s="315"/>
      <c r="L245" s="315"/>
      <c r="M245" s="315"/>
      <c r="N245" s="315"/>
      <c r="O245" s="315"/>
      <c r="P245" s="315"/>
      <c r="Q245" s="315"/>
      <c r="R245" s="315"/>
      <c r="S245" s="315"/>
      <c r="T245" s="315"/>
      <c r="U245" s="315"/>
      <c r="V245" s="315"/>
      <c r="W245" s="315"/>
      <c r="X245" s="315"/>
      <c r="Y245" s="315"/>
      <c r="Z245" s="315"/>
      <c r="AA245" s="315"/>
      <c r="AB245" s="315"/>
      <c r="AC245" s="315"/>
      <c r="AD245" s="315"/>
      <c r="AE245" s="315"/>
      <c r="AF245" s="315"/>
      <c r="AG245" s="315"/>
      <c r="AH245" s="315"/>
      <c r="AI245" s="315"/>
      <c r="AJ245" s="315"/>
      <c r="AK245" s="315"/>
      <c r="AL245" s="315"/>
      <c r="AM245" s="315"/>
      <c r="AN245" s="315"/>
    </row>
    <row r="246">
      <c r="A246" s="315"/>
      <c r="B246" s="315"/>
      <c r="C246" s="315"/>
      <c r="D246" s="315"/>
      <c r="E246" s="315"/>
      <c r="F246" s="315"/>
      <c r="G246" s="315"/>
      <c r="H246" s="315"/>
      <c r="I246" s="315"/>
      <c r="J246" s="315"/>
      <c r="K246" s="315"/>
      <c r="L246" s="315"/>
      <c r="M246" s="315"/>
      <c r="N246" s="315"/>
      <c r="O246" s="315"/>
      <c r="P246" s="315"/>
      <c r="Q246" s="315"/>
      <c r="R246" s="315"/>
      <c r="S246" s="315"/>
      <c r="T246" s="315"/>
      <c r="U246" s="315"/>
      <c r="V246" s="315"/>
      <c r="W246" s="315"/>
      <c r="X246" s="315"/>
      <c r="Y246" s="315"/>
      <c r="Z246" s="315"/>
      <c r="AA246" s="315"/>
      <c r="AB246" s="315"/>
      <c r="AC246" s="315"/>
      <c r="AD246" s="315"/>
      <c r="AE246" s="315"/>
      <c r="AF246" s="315"/>
      <c r="AG246" s="315"/>
      <c r="AH246" s="315"/>
      <c r="AI246" s="315"/>
      <c r="AJ246" s="315"/>
      <c r="AK246" s="315"/>
      <c r="AL246" s="315"/>
      <c r="AM246" s="315"/>
      <c r="AN246" s="315"/>
    </row>
    <row r="247">
      <c r="A247" s="315"/>
      <c r="B247" s="315"/>
      <c r="C247" s="315"/>
      <c r="D247" s="315"/>
      <c r="E247" s="315"/>
      <c r="F247" s="315"/>
      <c r="G247" s="315"/>
      <c r="H247" s="315"/>
      <c r="I247" s="315"/>
      <c r="J247" s="315"/>
      <c r="K247" s="315"/>
      <c r="L247" s="315"/>
      <c r="M247" s="315"/>
      <c r="N247" s="315"/>
      <c r="O247" s="315"/>
      <c r="P247" s="315"/>
      <c r="Q247" s="315"/>
      <c r="R247" s="315"/>
      <c r="S247" s="315"/>
      <c r="T247" s="315"/>
      <c r="U247" s="315"/>
      <c r="V247" s="315"/>
      <c r="W247" s="315"/>
      <c r="X247" s="315"/>
      <c r="Y247" s="315"/>
      <c r="Z247" s="315"/>
      <c r="AA247" s="315"/>
      <c r="AB247" s="315"/>
      <c r="AC247" s="315"/>
      <c r="AD247" s="315"/>
      <c r="AE247" s="315"/>
      <c r="AF247" s="315"/>
      <c r="AG247" s="315"/>
      <c r="AH247" s="315"/>
      <c r="AI247" s="315"/>
      <c r="AJ247" s="315"/>
      <c r="AK247" s="315"/>
      <c r="AL247" s="315"/>
      <c r="AM247" s="315"/>
      <c r="AN247" s="315"/>
    </row>
    <row r="248">
      <c r="A248" s="315"/>
      <c r="B248" s="315"/>
      <c r="C248" s="315"/>
      <c r="D248" s="315"/>
      <c r="E248" s="315"/>
      <c r="F248" s="315"/>
      <c r="G248" s="315"/>
      <c r="H248" s="315"/>
      <c r="I248" s="315"/>
      <c r="J248" s="315"/>
      <c r="K248" s="315"/>
      <c r="L248" s="315"/>
      <c r="M248" s="315"/>
      <c r="N248" s="315"/>
      <c r="O248" s="315"/>
      <c r="P248" s="315"/>
      <c r="Q248" s="315"/>
      <c r="R248" s="315"/>
      <c r="S248" s="315"/>
      <c r="T248" s="315"/>
      <c r="U248" s="315"/>
      <c r="V248" s="315"/>
      <c r="W248" s="315"/>
      <c r="X248" s="315"/>
      <c r="Y248" s="315"/>
      <c r="Z248" s="315"/>
      <c r="AA248" s="315"/>
      <c r="AB248" s="315"/>
      <c r="AC248" s="315"/>
      <c r="AD248" s="315"/>
      <c r="AE248" s="315"/>
      <c r="AF248" s="315"/>
      <c r="AG248" s="315"/>
      <c r="AH248" s="315"/>
      <c r="AI248" s="315"/>
      <c r="AJ248" s="315"/>
      <c r="AK248" s="315"/>
      <c r="AL248" s="315"/>
      <c r="AM248" s="315"/>
      <c r="AN248" s="315"/>
    </row>
    <row r="249">
      <c r="A249" s="315"/>
      <c r="B249" s="315"/>
      <c r="C249" s="315"/>
      <c r="D249" s="315"/>
      <c r="E249" s="315"/>
      <c r="F249" s="315"/>
      <c r="G249" s="315"/>
      <c r="H249" s="315"/>
      <c r="I249" s="315"/>
      <c r="J249" s="315"/>
      <c r="K249" s="315"/>
      <c r="L249" s="315"/>
      <c r="M249" s="315"/>
      <c r="N249" s="315"/>
      <c r="O249" s="315"/>
      <c r="P249" s="315"/>
      <c r="Q249" s="315"/>
      <c r="R249" s="315"/>
      <c r="S249" s="315"/>
      <c r="T249" s="315"/>
      <c r="U249" s="315"/>
      <c r="V249" s="315"/>
      <c r="W249" s="315"/>
      <c r="X249" s="315"/>
      <c r="Y249" s="315"/>
      <c r="Z249" s="315"/>
      <c r="AA249" s="315"/>
      <c r="AB249" s="315"/>
      <c r="AC249" s="315"/>
      <c r="AD249" s="315"/>
      <c r="AE249" s="315"/>
      <c r="AF249" s="315"/>
      <c r="AG249" s="315"/>
      <c r="AH249" s="315"/>
      <c r="AI249" s="315"/>
      <c r="AJ249" s="315"/>
      <c r="AK249" s="315"/>
      <c r="AL249" s="315"/>
      <c r="AM249" s="315"/>
      <c r="AN249" s="315"/>
    </row>
    <row r="250">
      <c r="A250" s="315"/>
      <c r="B250" s="315"/>
      <c r="C250" s="315"/>
      <c r="D250" s="315"/>
      <c r="E250" s="315"/>
      <c r="F250" s="315"/>
      <c r="G250" s="315"/>
      <c r="H250" s="315"/>
      <c r="I250" s="315"/>
      <c r="J250" s="315"/>
      <c r="K250" s="315"/>
      <c r="L250" s="315"/>
      <c r="M250" s="315"/>
      <c r="N250" s="315"/>
      <c r="O250" s="315"/>
      <c r="P250" s="315"/>
      <c r="Q250" s="315"/>
      <c r="R250" s="315"/>
      <c r="S250" s="315"/>
      <c r="T250" s="315"/>
      <c r="U250" s="315"/>
      <c r="V250" s="315"/>
      <c r="W250" s="315"/>
      <c r="X250" s="315"/>
      <c r="Y250" s="315"/>
      <c r="Z250" s="315"/>
      <c r="AA250" s="315"/>
      <c r="AB250" s="315"/>
      <c r="AC250" s="315"/>
      <c r="AD250" s="315"/>
      <c r="AE250" s="315"/>
      <c r="AF250" s="315"/>
      <c r="AG250" s="315"/>
      <c r="AH250" s="315"/>
      <c r="AI250" s="315"/>
      <c r="AJ250" s="315"/>
      <c r="AK250" s="315"/>
      <c r="AL250" s="315"/>
      <c r="AM250" s="315"/>
      <c r="AN250" s="315"/>
    </row>
    <row r="251">
      <c r="A251" s="315"/>
      <c r="B251" s="315"/>
      <c r="C251" s="315"/>
      <c r="D251" s="315"/>
      <c r="E251" s="315"/>
      <c r="F251" s="315"/>
      <c r="G251" s="315"/>
      <c r="H251" s="315"/>
      <c r="I251" s="315"/>
      <c r="J251" s="315"/>
      <c r="K251" s="315"/>
      <c r="L251" s="315"/>
      <c r="M251" s="315"/>
      <c r="N251" s="315"/>
      <c r="O251" s="315"/>
      <c r="P251" s="315"/>
      <c r="Q251" s="315"/>
      <c r="R251" s="315"/>
      <c r="S251" s="315"/>
      <c r="T251" s="315"/>
      <c r="U251" s="315"/>
      <c r="V251" s="315"/>
      <c r="W251" s="315"/>
      <c r="X251" s="315"/>
      <c r="Y251" s="315"/>
      <c r="Z251" s="315"/>
      <c r="AA251" s="315"/>
      <c r="AB251" s="315"/>
      <c r="AC251" s="315"/>
      <c r="AD251" s="315"/>
      <c r="AE251" s="315"/>
      <c r="AF251" s="315"/>
      <c r="AG251" s="315"/>
      <c r="AH251" s="315"/>
      <c r="AI251" s="315"/>
      <c r="AJ251" s="315"/>
      <c r="AK251" s="315"/>
      <c r="AL251" s="315"/>
      <c r="AM251" s="315"/>
      <c r="AN251" s="315"/>
    </row>
    <row r="252">
      <c r="A252" s="315"/>
      <c r="B252" s="315"/>
      <c r="C252" s="315"/>
      <c r="D252" s="315"/>
      <c r="E252" s="315"/>
      <c r="F252" s="315"/>
      <c r="G252" s="315"/>
      <c r="H252" s="315"/>
      <c r="I252" s="315"/>
      <c r="J252" s="315"/>
      <c r="K252" s="315"/>
      <c r="L252" s="315"/>
      <c r="M252" s="315"/>
      <c r="N252" s="315"/>
      <c r="O252" s="315"/>
      <c r="P252" s="315"/>
      <c r="Q252" s="315"/>
      <c r="R252" s="315"/>
      <c r="S252" s="315"/>
      <c r="T252" s="315"/>
      <c r="U252" s="315"/>
      <c r="V252" s="315"/>
      <c r="W252" s="315"/>
      <c r="X252" s="315"/>
      <c r="Y252" s="315"/>
      <c r="Z252" s="315"/>
      <c r="AA252" s="315"/>
      <c r="AB252" s="315"/>
      <c r="AC252" s="315"/>
      <c r="AD252" s="315"/>
      <c r="AE252" s="315"/>
      <c r="AF252" s="315"/>
      <c r="AG252" s="315"/>
      <c r="AH252" s="315"/>
      <c r="AI252" s="315"/>
      <c r="AJ252" s="315"/>
      <c r="AK252" s="315"/>
      <c r="AL252" s="315"/>
      <c r="AM252" s="315"/>
      <c r="AN252" s="315"/>
    </row>
    <row r="253">
      <c r="A253" s="315"/>
      <c r="B253" s="315"/>
      <c r="C253" s="315"/>
      <c r="D253" s="315"/>
      <c r="E253" s="315"/>
      <c r="F253" s="315"/>
      <c r="G253" s="315"/>
      <c r="H253" s="315"/>
      <c r="I253" s="315"/>
      <c r="J253" s="315"/>
      <c r="K253" s="315"/>
      <c r="L253" s="315"/>
      <c r="M253" s="315"/>
      <c r="N253" s="315"/>
      <c r="O253" s="315"/>
      <c r="P253" s="315"/>
      <c r="Q253" s="315"/>
      <c r="R253" s="315"/>
      <c r="S253" s="315"/>
      <c r="T253" s="315"/>
      <c r="U253" s="315"/>
      <c r="V253" s="315"/>
      <c r="W253" s="315"/>
      <c r="X253" s="315"/>
      <c r="Y253" s="315"/>
      <c r="Z253" s="315"/>
      <c r="AA253" s="315"/>
      <c r="AB253" s="315"/>
      <c r="AC253" s="315"/>
      <c r="AD253" s="315"/>
      <c r="AE253" s="315"/>
      <c r="AF253" s="315"/>
      <c r="AG253" s="315"/>
      <c r="AH253" s="315"/>
      <c r="AI253" s="315"/>
      <c r="AJ253" s="315"/>
      <c r="AK253" s="315"/>
      <c r="AL253" s="315"/>
      <c r="AM253" s="315"/>
      <c r="AN253" s="315"/>
    </row>
    <row r="254">
      <c r="A254" s="315"/>
      <c r="B254" s="315"/>
      <c r="C254" s="315"/>
      <c r="D254" s="315"/>
      <c r="E254" s="315"/>
      <c r="F254" s="315"/>
      <c r="G254" s="315"/>
      <c r="H254" s="315"/>
      <c r="I254" s="315"/>
      <c r="J254" s="315"/>
      <c r="K254" s="315"/>
      <c r="L254" s="315"/>
      <c r="M254" s="315"/>
      <c r="N254" s="315"/>
      <c r="O254" s="315"/>
      <c r="P254" s="315"/>
      <c r="Q254" s="315"/>
      <c r="R254" s="315"/>
      <c r="S254" s="315"/>
      <c r="T254" s="315"/>
      <c r="U254" s="315"/>
      <c r="V254" s="315"/>
      <c r="W254" s="315"/>
      <c r="X254" s="315"/>
      <c r="Y254" s="315"/>
      <c r="Z254" s="315"/>
      <c r="AA254" s="315"/>
      <c r="AB254" s="315"/>
      <c r="AC254" s="315"/>
      <c r="AD254" s="315"/>
      <c r="AE254" s="315"/>
      <c r="AF254" s="315"/>
      <c r="AG254" s="315"/>
      <c r="AH254" s="315"/>
      <c r="AI254" s="315"/>
      <c r="AJ254" s="315"/>
      <c r="AK254" s="315"/>
      <c r="AL254" s="315"/>
      <c r="AM254" s="315"/>
      <c r="AN254" s="315"/>
    </row>
    <row r="255">
      <c r="A255" s="315"/>
      <c r="B255" s="315"/>
      <c r="C255" s="315"/>
      <c r="D255" s="315"/>
      <c r="E255" s="315"/>
      <c r="F255" s="315"/>
      <c r="G255" s="315"/>
      <c r="H255" s="315"/>
      <c r="I255" s="315"/>
      <c r="J255" s="315"/>
      <c r="K255" s="315"/>
      <c r="L255" s="315"/>
      <c r="M255" s="315"/>
      <c r="N255" s="315"/>
      <c r="O255" s="315"/>
      <c r="P255" s="315"/>
      <c r="Q255" s="315"/>
      <c r="R255" s="315"/>
      <c r="S255" s="315"/>
      <c r="T255" s="315"/>
      <c r="U255" s="315"/>
      <c r="V255" s="315"/>
      <c r="W255" s="315"/>
      <c r="X255" s="315"/>
      <c r="Y255" s="315"/>
      <c r="Z255" s="315"/>
      <c r="AA255" s="315"/>
      <c r="AB255" s="315"/>
      <c r="AC255" s="315"/>
      <c r="AD255" s="315"/>
      <c r="AE255" s="315"/>
      <c r="AF255" s="315"/>
      <c r="AG255" s="315"/>
      <c r="AH255" s="315"/>
      <c r="AI255" s="315"/>
      <c r="AJ255" s="315"/>
      <c r="AK255" s="315"/>
      <c r="AL255" s="315"/>
      <c r="AM255" s="315"/>
      <c r="AN255" s="315"/>
    </row>
    <row r="256">
      <c r="A256" s="315"/>
      <c r="B256" s="315"/>
      <c r="C256" s="315"/>
      <c r="D256" s="315"/>
      <c r="E256" s="315"/>
      <c r="F256" s="315"/>
      <c r="G256" s="315"/>
      <c r="H256" s="315"/>
      <c r="I256" s="315"/>
      <c r="J256" s="315"/>
      <c r="K256" s="315"/>
      <c r="L256" s="315"/>
      <c r="M256" s="315"/>
      <c r="N256" s="315"/>
      <c r="O256" s="315"/>
      <c r="P256" s="315"/>
      <c r="Q256" s="315"/>
      <c r="R256" s="315"/>
      <c r="S256" s="315"/>
      <c r="T256" s="315"/>
      <c r="U256" s="315"/>
      <c r="V256" s="315"/>
      <c r="W256" s="315"/>
      <c r="X256" s="315"/>
      <c r="Y256" s="315"/>
      <c r="Z256" s="315"/>
      <c r="AA256" s="315"/>
      <c r="AB256" s="315"/>
      <c r="AC256" s="315"/>
      <c r="AD256" s="315"/>
      <c r="AE256" s="315"/>
      <c r="AF256" s="315"/>
      <c r="AG256" s="315"/>
      <c r="AH256" s="315"/>
      <c r="AI256" s="315"/>
      <c r="AJ256" s="315"/>
      <c r="AK256" s="315"/>
      <c r="AL256" s="315"/>
      <c r="AM256" s="315"/>
      <c r="AN256" s="315"/>
    </row>
    <row r="257">
      <c r="A257" s="315"/>
      <c r="B257" s="315"/>
      <c r="C257" s="315"/>
      <c r="D257" s="315"/>
      <c r="E257" s="315"/>
      <c r="F257" s="315"/>
      <c r="G257" s="315"/>
      <c r="H257" s="315"/>
      <c r="I257" s="315"/>
      <c r="J257" s="315"/>
      <c r="K257" s="315"/>
      <c r="L257" s="315"/>
      <c r="M257" s="315"/>
      <c r="N257" s="315"/>
      <c r="O257" s="315"/>
      <c r="P257" s="315"/>
      <c r="Q257" s="315"/>
      <c r="R257" s="315"/>
      <c r="S257" s="315"/>
      <c r="T257" s="315"/>
      <c r="U257" s="315"/>
      <c r="V257" s="315"/>
      <c r="W257" s="315"/>
      <c r="X257" s="315"/>
      <c r="Y257" s="315"/>
      <c r="Z257" s="315"/>
      <c r="AA257" s="315"/>
      <c r="AB257" s="315"/>
      <c r="AC257" s="315"/>
      <c r="AD257" s="315"/>
      <c r="AE257" s="315"/>
      <c r="AF257" s="315"/>
      <c r="AG257" s="315"/>
      <c r="AH257" s="315"/>
      <c r="AI257" s="315"/>
      <c r="AJ257" s="315"/>
      <c r="AK257" s="315"/>
      <c r="AL257" s="315"/>
      <c r="AM257" s="315"/>
      <c r="AN257" s="315"/>
    </row>
    <row r="258">
      <c r="A258" s="315"/>
      <c r="B258" s="315"/>
      <c r="C258" s="315"/>
      <c r="D258" s="315"/>
      <c r="E258" s="315"/>
      <c r="F258" s="315"/>
      <c r="G258" s="315"/>
      <c r="H258" s="315"/>
      <c r="I258" s="315"/>
      <c r="J258" s="315"/>
      <c r="K258" s="315"/>
      <c r="L258" s="315"/>
      <c r="M258" s="315"/>
      <c r="N258" s="315"/>
      <c r="O258" s="315"/>
      <c r="P258" s="315"/>
      <c r="Q258" s="315"/>
      <c r="R258" s="315"/>
      <c r="S258" s="315"/>
      <c r="T258" s="315"/>
      <c r="U258" s="315"/>
      <c r="V258" s="315"/>
      <c r="W258" s="315"/>
      <c r="X258" s="315"/>
      <c r="Y258" s="315"/>
      <c r="Z258" s="315"/>
      <c r="AA258" s="315"/>
      <c r="AB258" s="315"/>
      <c r="AC258" s="315"/>
      <c r="AD258" s="315"/>
      <c r="AE258" s="315"/>
      <c r="AF258" s="315"/>
      <c r="AG258" s="315"/>
      <c r="AH258" s="315"/>
      <c r="AI258" s="315"/>
      <c r="AJ258" s="315"/>
      <c r="AK258" s="315"/>
      <c r="AL258" s="315"/>
      <c r="AM258" s="315"/>
      <c r="AN258" s="315"/>
    </row>
    <row r="259">
      <c r="A259" s="315"/>
      <c r="B259" s="315"/>
      <c r="C259" s="315"/>
      <c r="D259" s="315"/>
      <c r="E259" s="315"/>
      <c r="F259" s="315"/>
      <c r="G259" s="315"/>
      <c r="H259" s="315"/>
      <c r="I259" s="315"/>
      <c r="J259" s="315"/>
      <c r="K259" s="315"/>
      <c r="L259" s="315"/>
      <c r="M259" s="315"/>
      <c r="N259" s="315"/>
      <c r="O259" s="315"/>
      <c r="P259" s="315"/>
      <c r="Q259" s="315"/>
      <c r="R259" s="315"/>
      <c r="S259" s="315"/>
      <c r="T259" s="315"/>
      <c r="U259" s="315"/>
      <c r="V259" s="315"/>
      <c r="W259" s="315"/>
      <c r="X259" s="315"/>
      <c r="Y259" s="315"/>
      <c r="Z259" s="315"/>
      <c r="AA259" s="315"/>
      <c r="AB259" s="315"/>
      <c r="AC259" s="315"/>
      <c r="AD259" s="315"/>
      <c r="AE259" s="315"/>
      <c r="AF259" s="315"/>
      <c r="AG259" s="315"/>
      <c r="AH259" s="315"/>
      <c r="AI259" s="315"/>
      <c r="AJ259" s="315"/>
      <c r="AK259" s="315"/>
      <c r="AL259" s="315"/>
      <c r="AM259" s="315"/>
      <c r="AN259" s="315"/>
    </row>
    <row r="260">
      <c r="A260" s="315"/>
      <c r="B260" s="315"/>
      <c r="C260" s="315"/>
      <c r="D260" s="315"/>
      <c r="E260" s="315"/>
      <c r="F260" s="315"/>
      <c r="G260" s="315"/>
      <c r="H260" s="315"/>
      <c r="I260" s="315"/>
      <c r="J260" s="315"/>
      <c r="K260" s="315"/>
      <c r="L260" s="315"/>
      <c r="M260" s="315"/>
      <c r="N260" s="315"/>
      <c r="O260" s="315"/>
      <c r="P260" s="315"/>
      <c r="Q260" s="315"/>
      <c r="R260" s="315"/>
      <c r="S260" s="315"/>
      <c r="T260" s="315"/>
      <c r="U260" s="315"/>
      <c r="V260" s="315"/>
      <c r="W260" s="315"/>
      <c r="X260" s="315"/>
      <c r="Y260" s="315"/>
      <c r="Z260" s="315"/>
      <c r="AA260" s="315"/>
      <c r="AB260" s="315"/>
      <c r="AC260" s="315"/>
      <c r="AD260" s="315"/>
      <c r="AE260" s="315"/>
      <c r="AF260" s="315"/>
      <c r="AG260" s="315"/>
      <c r="AH260" s="315"/>
      <c r="AI260" s="315"/>
      <c r="AJ260" s="315"/>
      <c r="AK260" s="315"/>
      <c r="AL260" s="315"/>
      <c r="AM260" s="315"/>
      <c r="AN260" s="315"/>
    </row>
    <row r="261">
      <c r="A261" s="315"/>
      <c r="B261" s="315"/>
      <c r="C261" s="315"/>
      <c r="D261" s="315"/>
      <c r="E261" s="315"/>
      <c r="F261" s="315"/>
      <c r="G261" s="315"/>
      <c r="H261" s="315"/>
      <c r="I261" s="315"/>
      <c r="J261" s="315"/>
      <c r="K261" s="315"/>
      <c r="L261" s="315"/>
      <c r="M261" s="315"/>
      <c r="N261" s="315"/>
      <c r="O261" s="315"/>
      <c r="P261" s="315"/>
      <c r="Q261" s="315"/>
      <c r="R261" s="315"/>
      <c r="S261" s="315"/>
      <c r="T261" s="315"/>
      <c r="U261" s="315"/>
      <c r="V261" s="315"/>
      <c r="W261" s="315"/>
      <c r="X261" s="315"/>
      <c r="Y261" s="315"/>
      <c r="Z261" s="315"/>
      <c r="AA261" s="315"/>
      <c r="AB261" s="315"/>
      <c r="AC261" s="315"/>
      <c r="AD261" s="315"/>
      <c r="AE261" s="315"/>
      <c r="AF261" s="315"/>
      <c r="AG261" s="315"/>
      <c r="AH261" s="315"/>
      <c r="AI261" s="315"/>
      <c r="AJ261" s="315"/>
      <c r="AK261" s="315"/>
      <c r="AL261" s="315"/>
      <c r="AM261" s="315"/>
      <c r="AN261" s="315"/>
    </row>
    <row r="262">
      <c r="A262" s="315"/>
      <c r="B262" s="315"/>
      <c r="C262" s="315"/>
      <c r="D262" s="315"/>
      <c r="E262" s="315"/>
      <c r="F262" s="315"/>
      <c r="G262" s="315"/>
      <c r="H262" s="315"/>
      <c r="I262" s="315"/>
      <c r="J262" s="315"/>
      <c r="K262" s="315"/>
      <c r="L262" s="315"/>
      <c r="M262" s="315"/>
      <c r="N262" s="315"/>
      <c r="O262" s="315"/>
      <c r="P262" s="315"/>
      <c r="Q262" s="315"/>
      <c r="R262" s="315"/>
      <c r="S262" s="315"/>
      <c r="T262" s="315"/>
      <c r="U262" s="315"/>
      <c r="V262" s="315"/>
      <c r="W262" s="315"/>
      <c r="X262" s="315"/>
      <c r="Y262" s="315"/>
      <c r="Z262" s="315"/>
      <c r="AA262" s="315"/>
      <c r="AB262" s="315"/>
      <c r="AC262" s="315"/>
      <c r="AD262" s="315"/>
      <c r="AE262" s="315"/>
      <c r="AF262" s="315"/>
      <c r="AG262" s="315"/>
      <c r="AH262" s="315"/>
      <c r="AI262" s="315"/>
      <c r="AJ262" s="315"/>
      <c r="AK262" s="315"/>
      <c r="AL262" s="315"/>
      <c r="AM262" s="315"/>
      <c r="AN262" s="315"/>
    </row>
    <row r="263">
      <c r="A263" s="315"/>
      <c r="B263" s="315"/>
      <c r="C263" s="315"/>
      <c r="D263" s="315"/>
      <c r="E263" s="315"/>
      <c r="F263" s="315"/>
      <c r="G263" s="315"/>
      <c r="H263" s="315"/>
      <c r="I263" s="315"/>
      <c r="J263" s="315"/>
      <c r="K263" s="315"/>
      <c r="L263" s="315"/>
      <c r="M263" s="315"/>
      <c r="N263" s="315"/>
      <c r="O263" s="315"/>
      <c r="P263" s="315"/>
      <c r="Q263" s="315"/>
      <c r="R263" s="315"/>
      <c r="S263" s="315"/>
      <c r="T263" s="315"/>
      <c r="U263" s="315"/>
      <c r="V263" s="315"/>
      <c r="W263" s="315"/>
      <c r="X263" s="315"/>
      <c r="Y263" s="315"/>
      <c r="Z263" s="315"/>
      <c r="AA263" s="315"/>
      <c r="AB263" s="315"/>
      <c r="AC263" s="315"/>
      <c r="AD263" s="315"/>
      <c r="AE263" s="315"/>
      <c r="AF263" s="315"/>
      <c r="AG263" s="315"/>
      <c r="AH263" s="315"/>
      <c r="AI263" s="315"/>
      <c r="AJ263" s="315"/>
      <c r="AK263" s="315"/>
      <c r="AL263" s="315"/>
      <c r="AM263" s="315"/>
      <c r="AN263" s="315"/>
    </row>
    <row r="264">
      <c r="A264" s="315"/>
      <c r="B264" s="315"/>
      <c r="C264" s="315"/>
      <c r="D264" s="315"/>
      <c r="E264" s="315"/>
      <c r="F264" s="315"/>
      <c r="G264" s="315"/>
      <c r="H264" s="315"/>
      <c r="I264" s="315"/>
      <c r="J264" s="315"/>
      <c r="K264" s="315"/>
      <c r="L264" s="315"/>
      <c r="M264" s="315"/>
      <c r="N264" s="315"/>
      <c r="O264" s="315"/>
      <c r="P264" s="315"/>
      <c r="Q264" s="315"/>
      <c r="R264" s="315"/>
      <c r="S264" s="315"/>
      <c r="T264" s="315"/>
      <c r="U264" s="315"/>
      <c r="V264" s="315"/>
      <c r="W264" s="315"/>
      <c r="X264" s="315"/>
      <c r="Y264" s="315"/>
      <c r="Z264" s="315"/>
      <c r="AA264" s="315"/>
      <c r="AB264" s="315"/>
      <c r="AC264" s="315"/>
      <c r="AD264" s="315"/>
      <c r="AE264" s="315"/>
      <c r="AF264" s="315"/>
      <c r="AG264" s="315"/>
      <c r="AH264" s="315"/>
      <c r="AI264" s="315"/>
      <c r="AJ264" s="315"/>
      <c r="AK264" s="315"/>
      <c r="AL264" s="315"/>
      <c r="AM264" s="315"/>
      <c r="AN264" s="315"/>
    </row>
    <row r="265">
      <c r="A265" s="315"/>
      <c r="B265" s="315"/>
      <c r="C265" s="315"/>
      <c r="D265" s="315"/>
      <c r="E265" s="315"/>
      <c r="F265" s="315"/>
      <c r="G265" s="315"/>
      <c r="H265" s="315"/>
      <c r="I265" s="315"/>
      <c r="J265" s="315"/>
      <c r="K265" s="315"/>
      <c r="L265" s="315"/>
      <c r="M265" s="315"/>
      <c r="N265" s="315"/>
      <c r="O265" s="315"/>
      <c r="P265" s="315"/>
      <c r="Q265" s="315"/>
      <c r="R265" s="315"/>
      <c r="S265" s="315"/>
      <c r="T265" s="315"/>
      <c r="U265" s="315"/>
      <c r="V265" s="315"/>
      <c r="W265" s="315"/>
      <c r="X265" s="315"/>
      <c r="Y265" s="315"/>
      <c r="Z265" s="315"/>
      <c r="AA265" s="315"/>
      <c r="AB265" s="315"/>
      <c r="AC265" s="315"/>
      <c r="AD265" s="315"/>
      <c r="AE265" s="315"/>
      <c r="AF265" s="315"/>
      <c r="AG265" s="315"/>
      <c r="AH265" s="315"/>
      <c r="AI265" s="315"/>
      <c r="AJ265" s="315"/>
      <c r="AK265" s="315"/>
      <c r="AL265" s="315"/>
      <c r="AM265" s="315"/>
      <c r="AN265" s="315"/>
    </row>
    <row r="266">
      <c r="A266" s="315"/>
      <c r="B266" s="315"/>
      <c r="C266" s="315"/>
      <c r="D266" s="315"/>
      <c r="E266" s="315"/>
      <c r="F266" s="315"/>
      <c r="G266" s="315"/>
      <c r="H266" s="315"/>
      <c r="I266" s="315"/>
      <c r="J266" s="315"/>
      <c r="K266" s="315"/>
      <c r="L266" s="315"/>
      <c r="M266" s="315"/>
      <c r="N266" s="315"/>
      <c r="O266" s="315"/>
      <c r="P266" s="315"/>
      <c r="Q266" s="315"/>
      <c r="R266" s="315"/>
      <c r="S266" s="315"/>
      <c r="T266" s="315"/>
      <c r="U266" s="315"/>
      <c r="V266" s="315"/>
      <c r="W266" s="315"/>
      <c r="X266" s="315"/>
      <c r="Y266" s="315"/>
      <c r="Z266" s="315"/>
      <c r="AA266" s="315"/>
      <c r="AB266" s="315"/>
      <c r="AC266" s="315"/>
      <c r="AD266" s="315"/>
      <c r="AE266" s="315"/>
      <c r="AF266" s="315"/>
      <c r="AG266" s="315"/>
      <c r="AH266" s="315"/>
      <c r="AI266" s="315"/>
      <c r="AJ266" s="315"/>
      <c r="AK266" s="315"/>
      <c r="AL266" s="315"/>
      <c r="AM266" s="315"/>
      <c r="AN266" s="315"/>
    </row>
    <row r="267">
      <c r="A267" s="315"/>
      <c r="B267" s="315"/>
      <c r="C267" s="315"/>
      <c r="D267" s="315"/>
      <c r="E267" s="315"/>
      <c r="F267" s="315"/>
      <c r="G267" s="315"/>
      <c r="H267" s="315"/>
      <c r="I267" s="315"/>
      <c r="J267" s="315"/>
      <c r="K267" s="315"/>
      <c r="L267" s="315"/>
      <c r="M267" s="315"/>
      <c r="N267" s="315"/>
      <c r="O267" s="315"/>
      <c r="P267" s="315"/>
      <c r="Q267" s="315"/>
      <c r="R267" s="315"/>
      <c r="S267" s="315"/>
      <c r="T267" s="315"/>
      <c r="U267" s="315"/>
      <c r="V267" s="315"/>
      <c r="W267" s="315"/>
      <c r="X267" s="315"/>
      <c r="Y267" s="315"/>
      <c r="Z267" s="315"/>
      <c r="AA267" s="315"/>
      <c r="AB267" s="315"/>
      <c r="AC267" s="315"/>
      <c r="AD267" s="315"/>
      <c r="AE267" s="315"/>
      <c r="AF267" s="315"/>
      <c r="AG267" s="315"/>
      <c r="AH267" s="315"/>
      <c r="AI267" s="315"/>
      <c r="AJ267" s="315"/>
      <c r="AK267" s="315"/>
      <c r="AL267" s="315"/>
      <c r="AM267" s="315"/>
      <c r="AN267" s="315"/>
    </row>
    <row r="268">
      <c r="A268" s="315"/>
      <c r="B268" s="315"/>
      <c r="C268" s="315"/>
      <c r="D268" s="315"/>
      <c r="E268" s="315"/>
      <c r="F268" s="315"/>
      <c r="G268" s="315"/>
      <c r="H268" s="315"/>
      <c r="I268" s="315"/>
      <c r="J268" s="315"/>
      <c r="K268" s="315"/>
      <c r="L268" s="315"/>
      <c r="M268" s="315"/>
      <c r="N268" s="315"/>
      <c r="O268" s="315"/>
      <c r="P268" s="315"/>
      <c r="Q268" s="315"/>
      <c r="R268" s="315"/>
      <c r="S268" s="315"/>
      <c r="T268" s="315"/>
      <c r="U268" s="315"/>
      <c r="V268" s="315"/>
      <c r="W268" s="315"/>
      <c r="X268" s="315"/>
      <c r="Y268" s="315"/>
      <c r="Z268" s="315"/>
      <c r="AA268" s="315"/>
      <c r="AB268" s="315"/>
      <c r="AC268" s="315"/>
      <c r="AD268" s="315"/>
      <c r="AE268" s="315"/>
      <c r="AF268" s="315"/>
      <c r="AG268" s="315"/>
      <c r="AH268" s="315"/>
      <c r="AI268" s="315"/>
      <c r="AJ268" s="315"/>
      <c r="AK268" s="315"/>
      <c r="AL268" s="315"/>
      <c r="AM268" s="315"/>
      <c r="AN268" s="315"/>
    </row>
    <row r="269">
      <c r="A269" s="315"/>
      <c r="B269" s="315"/>
      <c r="C269" s="315"/>
      <c r="D269" s="315"/>
      <c r="E269" s="315"/>
      <c r="F269" s="315"/>
      <c r="G269" s="315"/>
      <c r="H269" s="315"/>
      <c r="I269" s="315"/>
      <c r="J269" s="315"/>
      <c r="K269" s="315"/>
      <c r="L269" s="315"/>
      <c r="M269" s="315"/>
      <c r="N269" s="315"/>
      <c r="O269" s="315"/>
      <c r="P269" s="315"/>
      <c r="Q269" s="315"/>
      <c r="R269" s="315"/>
      <c r="S269" s="315"/>
      <c r="T269" s="315"/>
      <c r="U269" s="315"/>
      <c r="V269" s="315"/>
      <c r="W269" s="315"/>
      <c r="X269" s="315"/>
      <c r="Y269" s="315"/>
      <c r="Z269" s="315"/>
      <c r="AA269" s="315"/>
      <c r="AB269" s="315"/>
      <c r="AC269" s="315"/>
      <c r="AD269" s="315"/>
      <c r="AE269" s="315"/>
      <c r="AF269" s="315"/>
      <c r="AG269" s="315"/>
      <c r="AH269" s="315"/>
      <c r="AI269" s="315"/>
      <c r="AJ269" s="315"/>
      <c r="AK269" s="315"/>
      <c r="AL269" s="315"/>
      <c r="AM269" s="315"/>
      <c r="AN269" s="315"/>
    </row>
    <row r="270">
      <c r="A270" s="315"/>
      <c r="B270" s="315"/>
      <c r="C270" s="315"/>
      <c r="D270" s="315"/>
      <c r="E270" s="315"/>
      <c r="F270" s="315"/>
      <c r="G270" s="315"/>
      <c r="H270" s="315"/>
      <c r="I270" s="315"/>
      <c r="J270" s="315"/>
      <c r="K270" s="315"/>
      <c r="L270" s="315"/>
      <c r="M270" s="315"/>
      <c r="N270" s="315"/>
      <c r="O270" s="315"/>
      <c r="P270" s="315"/>
      <c r="Q270" s="315"/>
      <c r="R270" s="315"/>
      <c r="S270" s="315"/>
      <c r="T270" s="315"/>
      <c r="U270" s="315"/>
      <c r="V270" s="315"/>
      <c r="W270" s="315"/>
      <c r="X270" s="315"/>
      <c r="Y270" s="315"/>
      <c r="Z270" s="315"/>
      <c r="AA270" s="315"/>
      <c r="AB270" s="315"/>
      <c r="AC270" s="315"/>
      <c r="AD270" s="315"/>
      <c r="AE270" s="315"/>
      <c r="AF270" s="315"/>
      <c r="AG270" s="315"/>
      <c r="AH270" s="315"/>
      <c r="AI270" s="315"/>
      <c r="AJ270" s="315"/>
      <c r="AK270" s="315"/>
      <c r="AL270" s="315"/>
      <c r="AM270" s="315"/>
      <c r="AN270" s="315"/>
    </row>
    <row r="271">
      <c r="A271" s="315"/>
      <c r="B271" s="315"/>
      <c r="C271" s="315"/>
      <c r="D271" s="315"/>
      <c r="E271" s="315"/>
      <c r="F271" s="315"/>
      <c r="G271" s="315"/>
      <c r="H271" s="315"/>
      <c r="I271" s="315"/>
      <c r="J271" s="315"/>
      <c r="K271" s="315"/>
      <c r="L271" s="315"/>
      <c r="M271" s="315"/>
      <c r="N271" s="315"/>
      <c r="O271" s="315"/>
      <c r="P271" s="315"/>
      <c r="Q271" s="315"/>
      <c r="R271" s="315"/>
      <c r="S271" s="315"/>
      <c r="T271" s="315"/>
      <c r="U271" s="315"/>
      <c r="V271" s="315"/>
      <c r="W271" s="315"/>
      <c r="X271" s="315"/>
      <c r="Y271" s="315"/>
      <c r="Z271" s="315"/>
      <c r="AA271" s="315"/>
      <c r="AB271" s="315"/>
      <c r="AC271" s="315"/>
      <c r="AD271" s="315"/>
      <c r="AE271" s="315"/>
      <c r="AF271" s="315"/>
      <c r="AG271" s="315"/>
      <c r="AH271" s="315"/>
      <c r="AI271" s="315"/>
      <c r="AJ271" s="315"/>
      <c r="AK271" s="315"/>
      <c r="AL271" s="315"/>
      <c r="AM271" s="315"/>
      <c r="AN271" s="315"/>
    </row>
    <row r="272">
      <c r="A272" s="315"/>
      <c r="B272" s="315"/>
      <c r="C272" s="315"/>
      <c r="D272" s="315"/>
      <c r="E272" s="315"/>
      <c r="F272" s="315"/>
      <c r="G272" s="315"/>
      <c r="H272" s="315"/>
      <c r="I272" s="315"/>
      <c r="J272" s="315"/>
      <c r="K272" s="315"/>
      <c r="L272" s="315"/>
      <c r="M272" s="315"/>
      <c r="N272" s="315"/>
      <c r="O272" s="315"/>
      <c r="P272" s="315"/>
      <c r="Q272" s="315"/>
      <c r="R272" s="315"/>
      <c r="S272" s="315"/>
      <c r="T272" s="315"/>
      <c r="U272" s="315"/>
      <c r="V272" s="315"/>
      <c r="W272" s="315"/>
      <c r="X272" s="315"/>
      <c r="Y272" s="315"/>
      <c r="Z272" s="315"/>
      <c r="AA272" s="315"/>
      <c r="AB272" s="315"/>
      <c r="AC272" s="315"/>
      <c r="AD272" s="315"/>
      <c r="AE272" s="315"/>
      <c r="AF272" s="315"/>
      <c r="AG272" s="315"/>
      <c r="AH272" s="315"/>
      <c r="AI272" s="315"/>
      <c r="AJ272" s="315"/>
      <c r="AK272" s="315"/>
      <c r="AL272" s="315"/>
      <c r="AM272" s="315"/>
      <c r="AN272" s="315"/>
    </row>
    <row r="273">
      <c r="A273" s="315"/>
      <c r="B273" s="315"/>
      <c r="C273" s="315"/>
      <c r="D273" s="315"/>
      <c r="E273" s="315"/>
      <c r="F273" s="315"/>
      <c r="G273" s="315"/>
      <c r="H273" s="315"/>
      <c r="I273" s="315"/>
      <c r="J273" s="315"/>
      <c r="K273" s="315"/>
      <c r="L273" s="315"/>
      <c r="M273" s="315"/>
      <c r="N273" s="315"/>
      <c r="O273" s="315"/>
      <c r="P273" s="315"/>
      <c r="Q273" s="315"/>
      <c r="R273" s="315"/>
      <c r="S273" s="315"/>
      <c r="T273" s="315"/>
      <c r="U273" s="315"/>
      <c r="V273" s="315"/>
      <c r="W273" s="315"/>
      <c r="X273" s="315"/>
      <c r="Y273" s="315"/>
      <c r="Z273" s="315"/>
      <c r="AA273" s="315"/>
      <c r="AB273" s="315"/>
      <c r="AC273" s="315"/>
      <c r="AD273" s="315"/>
      <c r="AE273" s="315"/>
      <c r="AF273" s="315"/>
      <c r="AG273" s="315"/>
      <c r="AH273" s="315"/>
      <c r="AI273" s="315"/>
      <c r="AJ273" s="315"/>
      <c r="AK273" s="315"/>
      <c r="AL273" s="315"/>
      <c r="AM273" s="315"/>
      <c r="AN273" s="315"/>
    </row>
    <row r="274">
      <c r="A274" s="315"/>
      <c r="B274" s="315"/>
      <c r="C274" s="315"/>
      <c r="D274" s="315"/>
      <c r="E274" s="315"/>
      <c r="F274" s="315"/>
      <c r="G274" s="315"/>
      <c r="H274" s="315"/>
      <c r="I274" s="315"/>
      <c r="J274" s="315"/>
      <c r="K274" s="315"/>
      <c r="L274" s="315"/>
      <c r="M274" s="315"/>
      <c r="N274" s="315"/>
      <c r="O274" s="315"/>
      <c r="P274" s="315"/>
      <c r="Q274" s="315"/>
      <c r="R274" s="315"/>
      <c r="S274" s="315"/>
      <c r="T274" s="315"/>
      <c r="U274" s="315"/>
      <c r="V274" s="315"/>
      <c r="W274" s="315"/>
      <c r="X274" s="315"/>
      <c r="Y274" s="315"/>
      <c r="Z274" s="315"/>
      <c r="AA274" s="315"/>
      <c r="AB274" s="315"/>
      <c r="AC274" s="315"/>
      <c r="AD274" s="315"/>
      <c r="AE274" s="315"/>
      <c r="AF274" s="315"/>
      <c r="AG274" s="315"/>
      <c r="AH274" s="315"/>
      <c r="AI274" s="315"/>
      <c r="AJ274" s="315"/>
      <c r="AK274" s="315"/>
      <c r="AL274" s="315"/>
      <c r="AM274" s="315"/>
      <c r="AN274" s="315"/>
    </row>
    <row r="275">
      <c r="A275" s="315"/>
      <c r="B275" s="315"/>
      <c r="C275" s="315"/>
      <c r="D275" s="315"/>
      <c r="E275" s="315"/>
      <c r="F275" s="315"/>
      <c r="G275" s="315"/>
      <c r="H275" s="315"/>
      <c r="I275" s="315"/>
      <c r="J275" s="315"/>
      <c r="K275" s="315"/>
      <c r="L275" s="315"/>
      <c r="M275" s="315"/>
      <c r="N275" s="315"/>
      <c r="O275" s="315"/>
      <c r="P275" s="315"/>
      <c r="Q275" s="315"/>
      <c r="R275" s="315"/>
      <c r="S275" s="315"/>
      <c r="T275" s="315"/>
      <c r="U275" s="315"/>
      <c r="V275" s="315"/>
      <c r="W275" s="315"/>
      <c r="X275" s="315"/>
      <c r="Y275" s="315"/>
      <c r="Z275" s="315"/>
      <c r="AA275" s="315"/>
      <c r="AB275" s="315"/>
      <c r="AC275" s="315"/>
      <c r="AD275" s="315"/>
      <c r="AE275" s="315"/>
      <c r="AF275" s="315"/>
      <c r="AG275" s="315"/>
      <c r="AH275" s="315"/>
      <c r="AI275" s="315"/>
      <c r="AJ275" s="315"/>
      <c r="AK275" s="315"/>
      <c r="AL275" s="315"/>
      <c r="AM275" s="315"/>
      <c r="AN275" s="315"/>
    </row>
    <row r="276">
      <c r="A276" s="315"/>
      <c r="B276" s="315"/>
      <c r="C276" s="315"/>
      <c r="D276" s="315"/>
      <c r="E276" s="315"/>
      <c r="F276" s="315"/>
      <c r="G276" s="315"/>
      <c r="H276" s="315"/>
      <c r="I276" s="315"/>
      <c r="J276" s="315"/>
      <c r="K276" s="315"/>
      <c r="L276" s="315"/>
      <c r="M276" s="315"/>
      <c r="N276" s="315"/>
      <c r="O276" s="315"/>
      <c r="P276" s="315"/>
      <c r="Q276" s="315"/>
      <c r="R276" s="315"/>
      <c r="S276" s="315"/>
      <c r="T276" s="315"/>
      <c r="U276" s="315"/>
      <c r="V276" s="315"/>
      <c r="W276" s="315"/>
      <c r="X276" s="315"/>
      <c r="Y276" s="315"/>
      <c r="Z276" s="315"/>
      <c r="AA276" s="315"/>
      <c r="AB276" s="315"/>
      <c r="AC276" s="315"/>
      <c r="AD276" s="315"/>
      <c r="AE276" s="315"/>
      <c r="AF276" s="315"/>
      <c r="AG276" s="315"/>
      <c r="AH276" s="315"/>
      <c r="AI276" s="315"/>
      <c r="AJ276" s="315"/>
      <c r="AK276" s="315"/>
      <c r="AL276" s="315"/>
      <c r="AM276" s="315"/>
      <c r="AN276" s="315"/>
    </row>
    <row r="277">
      <c r="A277" s="315"/>
      <c r="B277" s="315"/>
      <c r="C277" s="315"/>
      <c r="D277" s="315"/>
      <c r="E277" s="315"/>
      <c r="F277" s="315"/>
      <c r="G277" s="315"/>
      <c r="H277" s="315"/>
      <c r="I277" s="315"/>
      <c r="J277" s="315"/>
      <c r="K277" s="315"/>
      <c r="L277" s="315"/>
      <c r="M277" s="315"/>
      <c r="N277" s="315"/>
      <c r="O277" s="315"/>
      <c r="P277" s="315"/>
      <c r="Q277" s="315"/>
      <c r="R277" s="315"/>
      <c r="S277" s="315"/>
      <c r="T277" s="315"/>
      <c r="U277" s="315"/>
      <c r="V277" s="315"/>
      <c r="W277" s="315"/>
      <c r="X277" s="315"/>
      <c r="Y277" s="315"/>
      <c r="Z277" s="315"/>
      <c r="AA277" s="315"/>
      <c r="AB277" s="315"/>
      <c r="AC277" s="315"/>
      <c r="AD277" s="315"/>
      <c r="AE277" s="315"/>
      <c r="AF277" s="315"/>
      <c r="AG277" s="315"/>
      <c r="AH277" s="315"/>
      <c r="AI277" s="315"/>
      <c r="AJ277" s="315"/>
      <c r="AK277" s="315"/>
      <c r="AL277" s="315"/>
      <c r="AM277" s="315"/>
      <c r="AN277" s="315"/>
    </row>
    <row r="278">
      <c r="A278" s="315"/>
      <c r="B278" s="315"/>
      <c r="C278" s="315"/>
      <c r="D278" s="315"/>
      <c r="E278" s="315"/>
      <c r="F278" s="315"/>
      <c r="G278" s="315"/>
      <c r="H278" s="315"/>
      <c r="I278" s="315"/>
      <c r="J278" s="315"/>
      <c r="K278" s="315"/>
      <c r="L278" s="315"/>
      <c r="M278" s="315"/>
      <c r="N278" s="315"/>
      <c r="O278" s="315"/>
      <c r="P278" s="315"/>
      <c r="Q278" s="315"/>
      <c r="R278" s="315"/>
      <c r="S278" s="315"/>
      <c r="T278" s="315"/>
      <c r="U278" s="315"/>
      <c r="V278" s="315"/>
      <c r="W278" s="315"/>
      <c r="X278" s="315"/>
      <c r="Y278" s="315"/>
      <c r="Z278" s="315"/>
      <c r="AA278" s="315"/>
      <c r="AB278" s="315"/>
      <c r="AC278" s="315"/>
      <c r="AD278" s="315"/>
      <c r="AE278" s="315"/>
      <c r="AF278" s="315"/>
      <c r="AG278" s="315"/>
      <c r="AH278" s="315"/>
      <c r="AI278" s="315"/>
      <c r="AJ278" s="315"/>
      <c r="AK278" s="315"/>
      <c r="AL278" s="315"/>
      <c r="AM278" s="315"/>
      <c r="AN278" s="315"/>
    </row>
    <row r="279">
      <c r="A279" s="315"/>
      <c r="B279" s="315"/>
      <c r="C279" s="315"/>
      <c r="D279" s="315"/>
      <c r="E279" s="315"/>
      <c r="F279" s="315"/>
      <c r="G279" s="315"/>
      <c r="H279" s="315"/>
      <c r="I279" s="315"/>
      <c r="J279" s="315"/>
      <c r="K279" s="315"/>
      <c r="L279" s="315"/>
      <c r="M279" s="315"/>
      <c r="N279" s="315"/>
      <c r="O279" s="315"/>
      <c r="P279" s="315"/>
      <c r="Q279" s="315"/>
      <c r="R279" s="315"/>
      <c r="S279" s="315"/>
      <c r="T279" s="315"/>
      <c r="U279" s="315"/>
      <c r="V279" s="315"/>
      <c r="W279" s="315"/>
      <c r="X279" s="315"/>
      <c r="Y279" s="315"/>
      <c r="Z279" s="315"/>
      <c r="AA279" s="315"/>
      <c r="AB279" s="315"/>
      <c r="AC279" s="315"/>
      <c r="AD279" s="315"/>
      <c r="AE279" s="315"/>
      <c r="AF279" s="315"/>
      <c r="AG279" s="315"/>
      <c r="AH279" s="315"/>
      <c r="AI279" s="315"/>
      <c r="AJ279" s="315"/>
      <c r="AK279" s="315"/>
      <c r="AL279" s="315"/>
      <c r="AM279" s="315"/>
      <c r="AN279" s="315"/>
    </row>
    <row r="280">
      <c r="A280" s="315"/>
      <c r="B280" s="315"/>
      <c r="C280" s="315"/>
      <c r="D280" s="315"/>
      <c r="E280" s="315"/>
      <c r="F280" s="315"/>
      <c r="G280" s="315"/>
      <c r="H280" s="315"/>
      <c r="I280" s="315"/>
      <c r="J280" s="315"/>
      <c r="K280" s="315"/>
      <c r="L280" s="315"/>
      <c r="M280" s="315"/>
      <c r="N280" s="315"/>
      <c r="O280" s="315"/>
      <c r="P280" s="315"/>
      <c r="Q280" s="315"/>
      <c r="R280" s="315"/>
      <c r="S280" s="315"/>
      <c r="T280" s="315"/>
      <c r="U280" s="315"/>
      <c r="V280" s="315"/>
      <c r="W280" s="315"/>
      <c r="X280" s="315"/>
      <c r="Y280" s="315"/>
      <c r="Z280" s="315"/>
      <c r="AA280" s="315"/>
      <c r="AB280" s="315"/>
      <c r="AC280" s="315"/>
      <c r="AD280" s="315"/>
      <c r="AE280" s="315"/>
      <c r="AF280" s="315"/>
      <c r="AG280" s="315"/>
      <c r="AH280" s="315"/>
      <c r="AI280" s="315"/>
      <c r="AJ280" s="315"/>
      <c r="AK280" s="315"/>
      <c r="AL280" s="315"/>
      <c r="AM280" s="315"/>
      <c r="AN280" s="315"/>
    </row>
    <row r="281">
      <c r="A281" s="315"/>
      <c r="B281" s="315"/>
      <c r="C281" s="315"/>
      <c r="D281" s="315"/>
      <c r="E281" s="315"/>
      <c r="F281" s="315"/>
      <c r="G281" s="315"/>
      <c r="H281" s="315"/>
      <c r="I281" s="315"/>
      <c r="J281" s="315"/>
      <c r="K281" s="315"/>
      <c r="L281" s="315"/>
      <c r="M281" s="315"/>
      <c r="N281" s="315"/>
      <c r="O281" s="315"/>
      <c r="P281" s="315"/>
      <c r="Q281" s="315"/>
      <c r="R281" s="315"/>
      <c r="S281" s="315"/>
      <c r="T281" s="315"/>
      <c r="U281" s="315"/>
      <c r="V281" s="315"/>
      <c r="W281" s="315"/>
      <c r="X281" s="315"/>
      <c r="Y281" s="315"/>
      <c r="Z281" s="315"/>
      <c r="AA281" s="315"/>
      <c r="AB281" s="315"/>
      <c r="AC281" s="315"/>
      <c r="AD281" s="315"/>
      <c r="AE281" s="315"/>
      <c r="AF281" s="315"/>
      <c r="AG281" s="315"/>
      <c r="AH281" s="315"/>
      <c r="AI281" s="315"/>
      <c r="AJ281" s="315"/>
      <c r="AK281" s="315"/>
      <c r="AL281" s="315"/>
      <c r="AM281" s="315"/>
      <c r="AN281" s="315"/>
    </row>
    <row r="282">
      <c r="A282" s="315"/>
      <c r="B282" s="315"/>
      <c r="C282" s="315"/>
      <c r="D282" s="315"/>
      <c r="E282" s="315"/>
      <c r="F282" s="315"/>
      <c r="G282" s="315"/>
      <c r="H282" s="315"/>
      <c r="I282" s="315"/>
      <c r="J282" s="315"/>
      <c r="K282" s="315"/>
      <c r="L282" s="315"/>
      <c r="M282" s="315"/>
      <c r="N282" s="315"/>
      <c r="O282" s="315"/>
      <c r="P282" s="315"/>
      <c r="Q282" s="315"/>
      <c r="R282" s="315"/>
      <c r="S282" s="315"/>
      <c r="T282" s="315"/>
      <c r="U282" s="315"/>
      <c r="V282" s="315"/>
      <c r="W282" s="315"/>
      <c r="X282" s="315"/>
      <c r="Y282" s="315"/>
      <c r="Z282" s="315"/>
      <c r="AA282" s="315"/>
      <c r="AB282" s="315"/>
      <c r="AC282" s="315"/>
      <c r="AD282" s="315"/>
      <c r="AE282" s="315"/>
      <c r="AF282" s="315"/>
      <c r="AG282" s="315"/>
      <c r="AH282" s="315"/>
      <c r="AI282" s="315"/>
      <c r="AJ282" s="315"/>
      <c r="AK282" s="315"/>
      <c r="AL282" s="315"/>
      <c r="AM282" s="315"/>
      <c r="AN282" s="315"/>
    </row>
    <row r="283">
      <c r="A283" s="315"/>
      <c r="B283" s="315"/>
      <c r="C283" s="315"/>
      <c r="D283" s="315"/>
      <c r="E283" s="315"/>
      <c r="F283" s="315"/>
      <c r="G283" s="315"/>
      <c r="H283" s="315"/>
      <c r="I283" s="315"/>
      <c r="J283" s="315"/>
      <c r="K283" s="315"/>
      <c r="L283" s="315"/>
      <c r="M283" s="315"/>
      <c r="N283" s="315"/>
      <c r="O283" s="315"/>
      <c r="P283" s="315"/>
      <c r="Q283" s="315"/>
      <c r="R283" s="315"/>
      <c r="S283" s="315"/>
      <c r="T283" s="315"/>
      <c r="U283" s="315"/>
      <c r="V283" s="315"/>
      <c r="W283" s="315"/>
      <c r="X283" s="315"/>
      <c r="Y283" s="315"/>
      <c r="Z283" s="315"/>
      <c r="AA283" s="315"/>
      <c r="AB283" s="315"/>
      <c r="AC283" s="315"/>
      <c r="AD283" s="315"/>
      <c r="AE283" s="315"/>
      <c r="AF283" s="315"/>
      <c r="AG283" s="315"/>
      <c r="AH283" s="315"/>
      <c r="AI283" s="315"/>
      <c r="AJ283" s="315"/>
      <c r="AK283" s="315"/>
      <c r="AL283" s="315"/>
      <c r="AM283" s="315"/>
      <c r="AN283" s="315"/>
    </row>
    <row r="284">
      <c r="A284" s="315"/>
      <c r="B284" s="315"/>
      <c r="C284" s="315"/>
      <c r="D284" s="315"/>
      <c r="E284" s="315"/>
      <c r="F284" s="315"/>
      <c r="G284" s="315"/>
      <c r="H284" s="315"/>
      <c r="I284" s="315"/>
      <c r="J284" s="315"/>
      <c r="K284" s="315"/>
      <c r="L284" s="315"/>
      <c r="M284" s="315"/>
      <c r="N284" s="315"/>
      <c r="O284" s="315"/>
      <c r="P284" s="315"/>
      <c r="Q284" s="315"/>
      <c r="R284" s="315"/>
      <c r="S284" s="315"/>
      <c r="T284" s="315"/>
      <c r="U284" s="315"/>
      <c r="V284" s="315"/>
      <c r="W284" s="315"/>
      <c r="X284" s="315"/>
      <c r="Y284" s="315"/>
      <c r="Z284" s="315"/>
      <c r="AA284" s="315"/>
      <c r="AB284" s="315"/>
      <c r="AC284" s="315"/>
      <c r="AD284" s="315"/>
      <c r="AE284" s="315"/>
      <c r="AF284" s="315"/>
      <c r="AG284" s="315"/>
      <c r="AH284" s="315"/>
      <c r="AI284" s="315"/>
      <c r="AJ284" s="315"/>
      <c r="AK284" s="315"/>
      <c r="AL284" s="315"/>
      <c r="AM284" s="315"/>
      <c r="AN284" s="315"/>
    </row>
    <row r="285">
      <c r="A285" s="315"/>
      <c r="B285" s="315"/>
      <c r="C285" s="315"/>
      <c r="D285" s="315"/>
      <c r="E285" s="315"/>
      <c r="F285" s="315"/>
      <c r="G285" s="315"/>
      <c r="H285" s="315"/>
      <c r="I285" s="315"/>
      <c r="J285" s="315"/>
      <c r="K285" s="315"/>
      <c r="L285" s="315"/>
      <c r="M285" s="315"/>
      <c r="N285" s="315"/>
      <c r="O285" s="315"/>
      <c r="P285" s="315"/>
      <c r="Q285" s="315"/>
      <c r="R285" s="315"/>
      <c r="S285" s="315"/>
      <c r="T285" s="315"/>
      <c r="U285" s="315"/>
      <c r="V285" s="315"/>
      <c r="W285" s="315"/>
      <c r="X285" s="315"/>
      <c r="Y285" s="315"/>
      <c r="Z285" s="315"/>
      <c r="AA285" s="315"/>
      <c r="AB285" s="315"/>
      <c r="AC285" s="315"/>
      <c r="AD285" s="315"/>
      <c r="AE285" s="315"/>
      <c r="AF285" s="315"/>
      <c r="AG285" s="315"/>
      <c r="AH285" s="315"/>
      <c r="AI285" s="315"/>
      <c r="AJ285" s="315"/>
      <c r="AK285" s="315"/>
      <c r="AL285" s="315"/>
      <c r="AM285" s="315"/>
      <c r="AN285" s="315"/>
    </row>
    <row r="286">
      <c r="A286" s="315"/>
      <c r="B286" s="315"/>
      <c r="C286" s="315"/>
      <c r="D286" s="315"/>
      <c r="E286" s="315"/>
      <c r="F286" s="315"/>
      <c r="G286" s="315"/>
      <c r="H286" s="315"/>
      <c r="I286" s="315"/>
      <c r="J286" s="315"/>
      <c r="K286" s="315"/>
      <c r="L286" s="315"/>
      <c r="M286" s="315"/>
      <c r="N286" s="315"/>
      <c r="O286" s="315"/>
      <c r="P286" s="315"/>
      <c r="Q286" s="315"/>
      <c r="R286" s="315"/>
      <c r="S286" s="315"/>
      <c r="T286" s="315"/>
      <c r="U286" s="315"/>
      <c r="V286" s="315"/>
      <c r="W286" s="315"/>
      <c r="X286" s="315"/>
      <c r="Y286" s="315"/>
      <c r="Z286" s="315"/>
      <c r="AA286" s="315"/>
      <c r="AB286" s="315"/>
      <c r="AC286" s="315"/>
      <c r="AD286" s="315"/>
      <c r="AE286" s="315"/>
      <c r="AF286" s="315"/>
      <c r="AG286" s="315"/>
      <c r="AH286" s="315"/>
      <c r="AI286" s="315"/>
      <c r="AJ286" s="315"/>
      <c r="AK286" s="315"/>
      <c r="AL286" s="315"/>
      <c r="AM286" s="315"/>
      <c r="AN286" s="315"/>
    </row>
    <row r="287">
      <c r="A287" s="315"/>
      <c r="B287" s="315"/>
      <c r="C287" s="315"/>
      <c r="D287" s="315"/>
      <c r="E287" s="315"/>
      <c r="F287" s="315"/>
      <c r="G287" s="315"/>
      <c r="H287" s="315"/>
      <c r="I287" s="315"/>
      <c r="J287" s="315"/>
      <c r="K287" s="315"/>
      <c r="L287" s="315"/>
      <c r="M287" s="315"/>
      <c r="N287" s="315"/>
      <c r="O287" s="315"/>
      <c r="P287" s="315"/>
      <c r="Q287" s="315"/>
      <c r="R287" s="315"/>
      <c r="S287" s="315"/>
      <c r="T287" s="315"/>
      <c r="U287" s="315"/>
      <c r="V287" s="315"/>
      <c r="W287" s="315"/>
      <c r="X287" s="315"/>
      <c r="Y287" s="315"/>
      <c r="Z287" s="315"/>
      <c r="AA287" s="315"/>
      <c r="AB287" s="315"/>
      <c r="AC287" s="315"/>
      <c r="AD287" s="315"/>
      <c r="AE287" s="315"/>
      <c r="AF287" s="315"/>
      <c r="AG287" s="315"/>
      <c r="AH287" s="315"/>
      <c r="AI287" s="315"/>
      <c r="AJ287" s="315"/>
      <c r="AK287" s="315"/>
      <c r="AL287" s="315"/>
      <c r="AM287" s="315"/>
      <c r="AN287" s="315"/>
    </row>
    <row r="288">
      <c r="A288" s="315"/>
      <c r="B288" s="315"/>
      <c r="C288" s="315"/>
      <c r="D288" s="315"/>
      <c r="E288" s="315"/>
      <c r="F288" s="315"/>
      <c r="G288" s="315"/>
      <c r="H288" s="315"/>
      <c r="I288" s="315"/>
      <c r="J288" s="315"/>
      <c r="K288" s="315"/>
      <c r="L288" s="315"/>
      <c r="M288" s="315"/>
      <c r="N288" s="315"/>
      <c r="O288" s="315"/>
      <c r="P288" s="315"/>
      <c r="Q288" s="315"/>
      <c r="R288" s="315"/>
      <c r="S288" s="315"/>
      <c r="T288" s="315"/>
      <c r="U288" s="315"/>
      <c r="V288" s="315"/>
      <c r="W288" s="315"/>
      <c r="X288" s="315"/>
      <c r="Y288" s="315"/>
      <c r="Z288" s="315"/>
      <c r="AA288" s="315"/>
      <c r="AB288" s="315"/>
      <c r="AC288" s="315"/>
      <c r="AD288" s="315"/>
      <c r="AE288" s="315"/>
      <c r="AF288" s="315"/>
      <c r="AG288" s="315"/>
      <c r="AH288" s="315"/>
      <c r="AI288" s="315"/>
      <c r="AJ288" s="315"/>
      <c r="AK288" s="315"/>
      <c r="AL288" s="315"/>
      <c r="AM288" s="315"/>
      <c r="AN288" s="315"/>
    </row>
    <row r="289">
      <c r="A289" s="315"/>
      <c r="B289" s="315"/>
      <c r="C289" s="315"/>
      <c r="D289" s="315"/>
      <c r="E289" s="315"/>
      <c r="F289" s="315"/>
      <c r="G289" s="315"/>
      <c r="H289" s="315"/>
      <c r="I289" s="315"/>
      <c r="J289" s="315"/>
      <c r="K289" s="315"/>
      <c r="L289" s="315"/>
      <c r="M289" s="315"/>
      <c r="N289" s="315"/>
      <c r="O289" s="315"/>
      <c r="P289" s="315"/>
      <c r="Q289" s="315"/>
      <c r="R289" s="315"/>
      <c r="S289" s="315"/>
      <c r="T289" s="315"/>
      <c r="U289" s="315"/>
      <c r="V289" s="315"/>
      <c r="W289" s="315"/>
      <c r="X289" s="315"/>
      <c r="Y289" s="315"/>
      <c r="Z289" s="315"/>
      <c r="AA289" s="315"/>
      <c r="AB289" s="315"/>
      <c r="AC289" s="315"/>
      <c r="AD289" s="315"/>
      <c r="AE289" s="315"/>
      <c r="AF289" s="315"/>
      <c r="AG289" s="315"/>
      <c r="AH289" s="315"/>
      <c r="AI289" s="315"/>
      <c r="AJ289" s="315"/>
      <c r="AK289" s="315"/>
      <c r="AL289" s="315"/>
      <c r="AM289" s="315"/>
      <c r="AN289" s="315"/>
    </row>
    <row r="290">
      <c r="A290" s="315"/>
      <c r="B290" s="315"/>
      <c r="C290" s="315"/>
      <c r="D290" s="315"/>
      <c r="E290" s="315"/>
      <c r="F290" s="315"/>
      <c r="G290" s="315"/>
      <c r="H290" s="315"/>
      <c r="I290" s="315"/>
      <c r="J290" s="315"/>
      <c r="K290" s="315"/>
      <c r="L290" s="315"/>
      <c r="M290" s="315"/>
      <c r="N290" s="315"/>
      <c r="O290" s="315"/>
      <c r="P290" s="315"/>
      <c r="Q290" s="315"/>
      <c r="R290" s="315"/>
      <c r="S290" s="315"/>
      <c r="T290" s="315"/>
      <c r="U290" s="315"/>
      <c r="V290" s="315"/>
      <c r="W290" s="315"/>
      <c r="X290" s="315"/>
      <c r="Y290" s="315"/>
      <c r="Z290" s="315"/>
      <c r="AA290" s="315"/>
      <c r="AB290" s="315"/>
      <c r="AC290" s="315"/>
      <c r="AD290" s="315"/>
      <c r="AE290" s="315"/>
      <c r="AF290" s="315"/>
      <c r="AG290" s="315"/>
      <c r="AH290" s="315"/>
      <c r="AI290" s="315"/>
      <c r="AJ290" s="315"/>
      <c r="AK290" s="315"/>
      <c r="AL290" s="315"/>
      <c r="AM290" s="315"/>
      <c r="AN290" s="315"/>
    </row>
    <row r="291">
      <c r="A291" s="315"/>
      <c r="B291" s="315"/>
      <c r="C291" s="315"/>
      <c r="D291" s="315"/>
      <c r="E291" s="315"/>
      <c r="F291" s="315"/>
      <c r="G291" s="315"/>
      <c r="H291" s="315"/>
      <c r="I291" s="315"/>
      <c r="J291" s="315"/>
      <c r="K291" s="315"/>
      <c r="L291" s="315"/>
      <c r="M291" s="315"/>
      <c r="N291" s="315"/>
      <c r="O291" s="315"/>
      <c r="P291" s="315"/>
      <c r="Q291" s="315"/>
      <c r="R291" s="315"/>
      <c r="S291" s="315"/>
      <c r="T291" s="315"/>
      <c r="U291" s="315"/>
      <c r="V291" s="315"/>
      <c r="W291" s="315"/>
      <c r="X291" s="315"/>
      <c r="Y291" s="315"/>
      <c r="Z291" s="315"/>
      <c r="AA291" s="315"/>
      <c r="AB291" s="315"/>
      <c r="AC291" s="315"/>
      <c r="AD291" s="315"/>
      <c r="AE291" s="315"/>
      <c r="AF291" s="315"/>
      <c r="AG291" s="315"/>
      <c r="AH291" s="315"/>
      <c r="AI291" s="315"/>
      <c r="AJ291" s="315"/>
      <c r="AK291" s="315"/>
      <c r="AL291" s="315"/>
      <c r="AM291" s="315"/>
      <c r="AN291" s="315"/>
    </row>
    <row r="292">
      <c r="A292" s="315"/>
      <c r="B292" s="315"/>
      <c r="C292" s="315"/>
      <c r="D292" s="315"/>
      <c r="E292" s="315"/>
      <c r="F292" s="315"/>
      <c r="G292" s="315"/>
      <c r="H292" s="315"/>
      <c r="I292" s="315"/>
      <c r="J292" s="315"/>
      <c r="K292" s="315"/>
      <c r="L292" s="315"/>
      <c r="M292" s="315"/>
      <c r="N292" s="315"/>
      <c r="O292" s="315"/>
      <c r="P292" s="315"/>
      <c r="Q292" s="315"/>
      <c r="R292" s="315"/>
      <c r="S292" s="315"/>
      <c r="T292" s="315"/>
      <c r="U292" s="315"/>
      <c r="V292" s="315"/>
      <c r="W292" s="315"/>
      <c r="X292" s="315"/>
      <c r="Y292" s="315"/>
      <c r="Z292" s="315"/>
      <c r="AA292" s="315"/>
      <c r="AB292" s="315"/>
      <c r="AC292" s="315"/>
      <c r="AD292" s="315"/>
      <c r="AE292" s="315"/>
      <c r="AF292" s="315"/>
      <c r="AG292" s="315"/>
      <c r="AH292" s="315"/>
      <c r="AI292" s="315"/>
      <c r="AJ292" s="315"/>
      <c r="AK292" s="315"/>
      <c r="AL292" s="315"/>
      <c r="AM292" s="315"/>
      <c r="AN292" s="315"/>
    </row>
    <row r="293">
      <c r="A293" s="315"/>
      <c r="B293" s="315"/>
      <c r="C293" s="315"/>
      <c r="D293" s="315"/>
      <c r="E293" s="315"/>
      <c r="F293" s="315"/>
      <c r="G293" s="315"/>
      <c r="H293" s="315"/>
      <c r="I293" s="315"/>
      <c r="J293" s="315"/>
      <c r="K293" s="315"/>
      <c r="L293" s="315"/>
      <c r="M293" s="315"/>
      <c r="N293" s="315"/>
      <c r="O293" s="315"/>
      <c r="P293" s="315"/>
      <c r="Q293" s="315"/>
      <c r="R293" s="315"/>
      <c r="S293" s="315"/>
      <c r="T293" s="315"/>
      <c r="U293" s="315"/>
      <c r="V293" s="315"/>
      <c r="W293" s="315"/>
      <c r="X293" s="315"/>
      <c r="Y293" s="315"/>
      <c r="Z293" s="315"/>
      <c r="AA293" s="315"/>
      <c r="AB293" s="315"/>
      <c r="AC293" s="315"/>
      <c r="AD293" s="315"/>
      <c r="AE293" s="315"/>
      <c r="AF293" s="315"/>
      <c r="AG293" s="315"/>
      <c r="AH293" s="315"/>
      <c r="AI293" s="315"/>
      <c r="AJ293" s="315"/>
      <c r="AK293" s="315"/>
      <c r="AL293" s="315"/>
      <c r="AM293" s="315"/>
      <c r="AN293" s="315"/>
    </row>
    <row r="294">
      <c r="A294" s="315"/>
      <c r="B294" s="315"/>
      <c r="C294" s="315"/>
      <c r="D294" s="315"/>
      <c r="E294" s="315"/>
      <c r="F294" s="315"/>
      <c r="G294" s="315"/>
      <c r="H294" s="315"/>
      <c r="I294" s="315"/>
      <c r="J294" s="315"/>
      <c r="K294" s="315"/>
      <c r="L294" s="315"/>
      <c r="M294" s="315"/>
      <c r="N294" s="315"/>
      <c r="O294" s="315"/>
      <c r="P294" s="315"/>
      <c r="Q294" s="315"/>
      <c r="R294" s="315"/>
      <c r="S294" s="315"/>
      <c r="T294" s="315"/>
      <c r="U294" s="315"/>
      <c r="V294" s="315"/>
      <c r="W294" s="315"/>
      <c r="X294" s="315"/>
      <c r="Y294" s="315"/>
      <c r="Z294" s="315"/>
      <c r="AA294" s="315"/>
      <c r="AB294" s="315"/>
      <c r="AC294" s="315"/>
      <c r="AD294" s="315"/>
      <c r="AE294" s="315"/>
      <c r="AF294" s="315"/>
      <c r="AG294" s="315"/>
      <c r="AH294" s="315"/>
      <c r="AI294" s="315"/>
      <c r="AJ294" s="315"/>
      <c r="AK294" s="315"/>
      <c r="AL294" s="315"/>
      <c r="AM294" s="315"/>
      <c r="AN294" s="315"/>
    </row>
    <row r="295">
      <c r="A295" s="315"/>
      <c r="B295" s="315"/>
      <c r="C295" s="315"/>
      <c r="D295" s="315"/>
      <c r="E295" s="315"/>
      <c r="F295" s="315"/>
      <c r="G295" s="315"/>
      <c r="H295" s="315"/>
      <c r="I295" s="315"/>
      <c r="J295" s="315"/>
      <c r="K295" s="315"/>
      <c r="L295" s="315"/>
      <c r="M295" s="315"/>
      <c r="N295" s="315"/>
      <c r="O295" s="315"/>
      <c r="P295" s="315"/>
      <c r="Q295" s="315"/>
      <c r="R295" s="315"/>
      <c r="S295" s="315"/>
      <c r="T295" s="315"/>
      <c r="U295" s="315"/>
      <c r="V295" s="315"/>
      <c r="W295" s="315"/>
      <c r="X295" s="315"/>
      <c r="Y295" s="315"/>
      <c r="Z295" s="315"/>
      <c r="AA295" s="315"/>
      <c r="AB295" s="315"/>
      <c r="AC295" s="315"/>
      <c r="AD295" s="315"/>
      <c r="AE295" s="315"/>
      <c r="AF295" s="315"/>
      <c r="AG295" s="315"/>
      <c r="AH295" s="315"/>
      <c r="AI295" s="315"/>
      <c r="AJ295" s="315"/>
      <c r="AK295" s="315"/>
      <c r="AL295" s="315"/>
      <c r="AM295" s="315"/>
      <c r="AN295" s="315"/>
    </row>
    <row r="296">
      <c r="A296" s="315"/>
      <c r="B296" s="315"/>
      <c r="C296" s="315"/>
      <c r="D296" s="315"/>
      <c r="E296" s="315"/>
      <c r="F296" s="315"/>
      <c r="G296" s="315"/>
      <c r="H296" s="315"/>
      <c r="I296" s="315"/>
      <c r="J296" s="315"/>
      <c r="K296" s="315"/>
      <c r="L296" s="315"/>
      <c r="M296" s="315"/>
      <c r="N296" s="315"/>
      <c r="O296" s="315"/>
      <c r="P296" s="315"/>
      <c r="Q296" s="315"/>
      <c r="R296" s="315"/>
      <c r="S296" s="315"/>
      <c r="T296" s="315"/>
      <c r="U296" s="315"/>
      <c r="V296" s="315"/>
      <c r="W296" s="315"/>
      <c r="X296" s="315"/>
      <c r="Y296" s="315"/>
      <c r="Z296" s="315"/>
      <c r="AA296" s="315"/>
      <c r="AB296" s="315"/>
      <c r="AC296" s="315"/>
      <c r="AD296" s="315"/>
      <c r="AE296" s="315"/>
      <c r="AF296" s="315"/>
      <c r="AG296" s="315"/>
      <c r="AH296" s="315"/>
      <c r="AI296" s="315"/>
      <c r="AJ296" s="315"/>
      <c r="AK296" s="315"/>
      <c r="AL296" s="315"/>
      <c r="AM296" s="315"/>
      <c r="AN296" s="315"/>
    </row>
    <row r="297">
      <c r="A297" s="315"/>
      <c r="B297" s="315"/>
      <c r="C297" s="315"/>
      <c r="D297" s="315"/>
      <c r="E297" s="315"/>
      <c r="F297" s="315"/>
      <c r="G297" s="315"/>
      <c r="H297" s="315"/>
      <c r="I297" s="315"/>
      <c r="J297" s="315"/>
      <c r="K297" s="315"/>
      <c r="L297" s="315"/>
      <c r="M297" s="315"/>
      <c r="N297" s="315"/>
      <c r="O297" s="315"/>
      <c r="P297" s="315"/>
      <c r="Q297" s="315"/>
      <c r="R297" s="315"/>
      <c r="S297" s="315"/>
      <c r="T297" s="315"/>
      <c r="U297" s="315"/>
      <c r="V297" s="315"/>
      <c r="W297" s="315"/>
      <c r="X297" s="315"/>
      <c r="Y297" s="315"/>
      <c r="Z297" s="315"/>
      <c r="AA297" s="315"/>
      <c r="AB297" s="315"/>
      <c r="AC297" s="315"/>
      <c r="AD297" s="315"/>
      <c r="AE297" s="315"/>
      <c r="AF297" s="315"/>
      <c r="AG297" s="315"/>
      <c r="AH297" s="315"/>
      <c r="AI297" s="315"/>
      <c r="AJ297" s="315"/>
      <c r="AK297" s="315"/>
      <c r="AL297" s="315"/>
      <c r="AM297" s="315"/>
      <c r="AN297" s="315"/>
    </row>
    <row r="298">
      <c r="A298" s="315"/>
      <c r="B298" s="315"/>
      <c r="C298" s="315"/>
      <c r="D298" s="315"/>
      <c r="E298" s="315"/>
      <c r="F298" s="315"/>
      <c r="G298" s="315"/>
      <c r="H298" s="315"/>
      <c r="I298" s="315"/>
      <c r="J298" s="315"/>
      <c r="K298" s="315"/>
      <c r="L298" s="315"/>
      <c r="M298" s="315"/>
      <c r="N298" s="315"/>
      <c r="O298" s="315"/>
      <c r="P298" s="315"/>
      <c r="Q298" s="315"/>
      <c r="R298" s="315"/>
      <c r="S298" s="315"/>
      <c r="T298" s="315"/>
      <c r="U298" s="315"/>
      <c r="V298" s="315"/>
      <c r="W298" s="315"/>
      <c r="X298" s="315"/>
      <c r="Y298" s="315"/>
      <c r="Z298" s="315"/>
      <c r="AA298" s="315"/>
      <c r="AB298" s="315"/>
      <c r="AC298" s="315"/>
      <c r="AD298" s="315"/>
      <c r="AE298" s="315"/>
      <c r="AF298" s="315"/>
      <c r="AG298" s="315"/>
      <c r="AH298" s="315"/>
      <c r="AI298" s="315"/>
      <c r="AJ298" s="315"/>
      <c r="AK298" s="315"/>
      <c r="AL298" s="315"/>
      <c r="AM298" s="315"/>
      <c r="AN298" s="315"/>
    </row>
    <row r="299">
      <c r="A299" s="315"/>
      <c r="B299" s="315"/>
      <c r="C299" s="315"/>
      <c r="D299" s="315"/>
      <c r="E299" s="315"/>
      <c r="F299" s="315"/>
      <c r="G299" s="315"/>
      <c r="H299" s="315"/>
      <c r="I299" s="315"/>
      <c r="J299" s="315"/>
      <c r="K299" s="315"/>
      <c r="L299" s="315"/>
      <c r="M299" s="315"/>
      <c r="N299" s="315"/>
      <c r="O299" s="315"/>
      <c r="P299" s="315"/>
      <c r="Q299" s="315"/>
      <c r="R299" s="315"/>
      <c r="S299" s="315"/>
      <c r="T299" s="315"/>
      <c r="U299" s="315"/>
      <c r="V299" s="315"/>
      <c r="W299" s="315"/>
      <c r="X299" s="315"/>
      <c r="Y299" s="315"/>
      <c r="Z299" s="315"/>
      <c r="AA299" s="315"/>
      <c r="AB299" s="315"/>
      <c r="AC299" s="315"/>
      <c r="AD299" s="315"/>
      <c r="AE299" s="315"/>
      <c r="AF299" s="315"/>
      <c r="AG299" s="315"/>
      <c r="AH299" s="315"/>
      <c r="AI299" s="315"/>
      <c r="AJ299" s="315"/>
      <c r="AK299" s="315"/>
      <c r="AL299" s="315"/>
      <c r="AM299" s="315"/>
      <c r="AN299" s="315"/>
    </row>
    <row r="300">
      <c r="A300" s="315"/>
      <c r="B300" s="315"/>
      <c r="C300" s="315"/>
      <c r="D300" s="315"/>
      <c r="E300" s="315"/>
      <c r="F300" s="315"/>
      <c r="G300" s="315"/>
      <c r="H300" s="315"/>
      <c r="I300" s="315"/>
      <c r="J300" s="315"/>
      <c r="K300" s="315"/>
      <c r="L300" s="315"/>
      <c r="M300" s="315"/>
      <c r="N300" s="315"/>
      <c r="O300" s="315"/>
      <c r="P300" s="315"/>
      <c r="Q300" s="315"/>
      <c r="R300" s="315"/>
      <c r="S300" s="315"/>
      <c r="T300" s="315"/>
      <c r="U300" s="315"/>
      <c r="V300" s="315"/>
      <c r="W300" s="315"/>
      <c r="X300" s="315"/>
      <c r="Y300" s="315"/>
      <c r="Z300" s="315"/>
      <c r="AA300" s="315"/>
      <c r="AB300" s="315"/>
      <c r="AC300" s="315"/>
      <c r="AD300" s="315"/>
      <c r="AE300" s="315"/>
      <c r="AF300" s="315"/>
      <c r="AG300" s="315"/>
      <c r="AH300" s="315"/>
      <c r="AI300" s="315"/>
      <c r="AJ300" s="315"/>
      <c r="AK300" s="315"/>
      <c r="AL300" s="315"/>
      <c r="AM300" s="315"/>
      <c r="AN300" s="315"/>
    </row>
    <row r="301">
      <c r="A301" s="315"/>
      <c r="B301" s="315"/>
      <c r="C301" s="315"/>
      <c r="D301" s="315"/>
      <c r="E301" s="315"/>
      <c r="F301" s="315"/>
      <c r="G301" s="315"/>
      <c r="H301" s="315"/>
      <c r="I301" s="315"/>
      <c r="J301" s="315"/>
      <c r="K301" s="315"/>
      <c r="L301" s="315"/>
      <c r="M301" s="315"/>
      <c r="N301" s="315"/>
      <c r="O301" s="315"/>
      <c r="P301" s="315"/>
      <c r="Q301" s="315"/>
      <c r="R301" s="315"/>
      <c r="S301" s="315"/>
      <c r="T301" s="315"/>
      <c r="U301" s="315"/>
      <c r="V301" s="315"/>
      <c r="W301" s="315"/>
      <c r="X301" s="315"/>
      <c r="Y301" s="315"/>
      <c r="Z301" s="315"/>
      <c r="AA301" s="315"/>
      <c r="AB301" s="315"/>
      <c r="AC301" s="315"/>
      <c r="AD301" s="315"/>
      <c r="AE301" s="315"/>
      <c r="AF301" s="315"/>
      <c r="AG301" s="315"/>
      <c r="AH301" s="315"/>
      <c r="AI301" s="315"/>
      <c r="AJ301" s="315"/>
      <c r="AK301" s="315"/>
      <c r="AL301" s="315"/>
      <c r="AM301" s="315"/>
      <c r="AN301" s="315"/>
    </row>
    <row r="302">
      <c r="A302" s="315"/>
      <c r="B302" s="315"/>
      <c r="C302" s="315"/>
      <c r="D302" s="315"/>
      <c r="E302" s="315"/>
      <c r="F302" s="315"/>
      <c r="G302" s="315"/>
      <c r="H302" s="315"/>
      <c r="I302" s="315"/>
      <c r="J302" s="315"/>
      <c r="K302" s="315"/>
      <c r="L302" s="315"/>
      <c r="M302" s="315"/>
      <c r="N302" s="315"/>
      <c r="O302" s="315"/>
      <c r="P302" s="315"/>
      <c r="Q302" s="315"/>
      <c r="R302" s="315"/>
      <c r="S302" s="315"/>
      <c r="T302" s="315"/>
      <c r="U302" s="315"/>
      <c r="V302" s="315"/>
      <c r="W302" s="315"/>
      <c r="X302" s="315"/>
      <c r="Y302" s="315"/>
      <c r="Z302" s="315"/>
      <c r="AA302" s="315"/>
      <c r="AB302" s="315"/>
      <c r="AC302" s="315"/>
      <c r="AD302" s="315"/>
      <c r="AE302" s="315"/>
      <c r="AF302" s="315"/>
      <c r="AG302" s="315"/>
      <c r="AH302" s="315"/>
      <c r="AI302" s="315"/>
      <c r="AJ302" s="315"/>
      <c r="AK302" s="315"/>
      <c r="AL302" s="315"/>
      <c r="AM302" s="315"/>
      <c r="AN302" s="315"/>
    </row>
    <row r="303">
      <c r="A303" s="315"/>
      <c r="B303" s="315"/>
      <c r="C303" s="315"/>
      <c r="D303" s="315"/>
      <c r="E303" s="315"/>
      <c r="F303" s="315"/>
      <c r="G303" s="315"/>
      <c r="H303" s="315"/>
      <c r="I303" s="315"/>
      <c r="J303" s="315"/>
      <c r="K303" s="315"/>
      <c r="L303" s="315"/>
      <c r="M303" s="315"/>
      <c r="N303" s="315"/>
      <c r="O303" s="315"/>
      <c r="P303" s="315"/>
      <c r="Q303" s="315"/>
      <c r="R303" s="315"/>
      <c r="S303" s="315"/>
      <c r="T303" s="315"/>
      <c r="U303" s="315"/>
      <c r="V303" s="315"/>
      <c r="W303" s="315"/>
      <c r="X303" s="315"/>
      <c r="Y303" s="315"/>
      <c r="Z303" s="315"/>
      <c r="AA303" s="315"/>
      <c r="AB303" s="315"/>
      <c r="AC303" s="315"/>
      <c r="AD303" s="315"/>
      <c r="AE303" s="315"/>
      <c r="AF303" s="315"/>
      <c r="AG303" s="315"/>
      <c r="AH303" s="315"/>
      <c r="AI303" s="315"/>
      <c r="AJ303" s="315"/>
      <c r="AK303" s="315"/>
      <c r="AL303" s="315"/>
      <c r="AM303" s="315"/>
      <c r="AN303" s="315"/>
    </row>
    <row r="304">
      <c r="A304" s="315"/>
      <c r="B304" s="315"/>
      <c r="C304" s="315"/>
      <c r="D304" s="315"/>
      <c r="E304" s="315"/>
      <c r="F304" s="315"/>
      <c r="G304" s="315"/>
      <c r="H304" s="315"/>
      <c r="I304" s="315"/>
      <c r="J304" s="315"/>
      <c r="K304" s="315"/>
      <c r="L304" s="315"/>
      <c r="M304" s="315"/>
      <c r="N304" s="315"/>
      <c r="O304" s="315"/>
      <c r="P304" s="315"/>
      <c r="Q304" s="315"/>
      <c r="R304" s="315"/>
      <c r="S304" s="315"/>
      <c r="T304" s="315"/>
      <c r="U304" s="315"/>
      <c r="V304" s="315"/>
      <c r="W304" s="315"/>
      <c r="X304" s="315"/>
      <c r="Y304" s="315"/>
      <c r="Z304" s="315"/>
      <c r="AA304" s="315"/>
      <c r="AB304" s="315"/>
      <c r="AC304" s="315"/>
      <c r="AD304" s="315"/>
      <c r="AE304" s="315"/>
      <c r="AF304" s="315"/>
      <c r="AG304" s="315"/>
      <c r="AH304" s="315"/>
      <c r="AI304" s="315"/>
      <c r="AJ304" s="315"/>
      <c r="AK304" s="315"/>
      <c r="AL304" s="315"/>
      <c r="AM304" s="315"/>
      <c r="AN304" s="315"/>
    </row>
    <row r="305">
      <c r="A305" s="315"/>
      <c r="B305" s="315"/>
      <c r="C305" s="315"/>
      <c r="D305" s="315"/>
      <c r="E305" s="315"/>
      <c r="F305" s="315"/>
      <c r="G305" s="315"/>
      <c r="H305" s="315"/>
      <c r="I305" s="315"/>
      <c r="J305" s="315"/>
      <c r="K305" s="315"/>
      <c r="L305" s="315"/>
      <c r="M305" s="315"/>
      <c r="N305" s="315"/>
      <c r="O305" s="315"/>
      <c r="P305" s="315"/>
      <c r="Q305" s="315"/>
      <c r="R305" s="315"/>
      <c r="S305" s="315"/>
      <c r="T305" s="315"/>
      <c r="U305" s="315"/>
      <c r="V305" s="315"/>
      <c r="W305" s="315"/>
      <c r="X305" s="315"/>
      <c r="Y305" s="315"/>
      <c r="Z305" s="315"/>
      <c r="AA305" s="315"/>
      <c r="AB305" s="315"/>
      <c r="AC305" s="315"/>
      <c r="AD305" s="315"/>
      <c r="AE305" s="315"/>
      <c r="AF305" s="315"/>
      <c r="AG305" s="315"/>
      <c r="AH305" s="315"/>
      <c r="AI305" s="315"/>
      <c r="AJ305" s="315"/>
      <c r="AK305" s="315"/>
      <c r="AL305" s="315"/>
      <c r="AM305" s="315"/>
      <c r="AN305" s="315"/>
    </row>
    <row r="306">
      <c r="A306" s="315"/>
      <c r="B306" s="315"/>
      <c r="C306" s="315"/>
      <c r="D306" s="315"/>
      <c r="E306" s="315"/>
      <c r="F306" s="315"/>
      <c r="G306" s="315"/>
      <c r="H306" s="315"/>
      <c r="I306" s="315"/>
      <c r="J306" s="315"/>
      <c r="K306" s="315"/>
      <c r="L306" s="315"/>
      <c r="M306" s="315"/>
      <c r="N306" s="315"/>
      <c r="O306" s="315"/>
      <c r="P306" s="315"/>
      <c r="Q306" s="315"/>
      <c r="R306" s="315"/>
      <c r="S306" s="315"/>
      <c r="T306" s="315"/>
      <c r="U306" s="315"/>
      <c r="V306" s="315"/>
      <c r="W306" s="315"/>
      <c r="X306" s="315"/>
      <c r="Y306" s="315"/>
      <c r="Z306" s="315"/>
      <c r="AA306" s="315"/>
      <c r="AB306" s="315"/>
      <c r="AC306" s="315"/>
      <c r="AD306" s="315"/>
      <c r="AE306" s="315"/>
      <c r="AF306" s="315"/>
      <c r="AG306" s="315"/>
      <c r="AH306" s="315"/>
      <c r="AI306" s="315"/>
      <c r="AJ306" s="315"/>
      <c r="AK306" s="315"/>
      <c r="AL306" s="315"/>
      <c r="AM306" s="315"/>
      <c r="AN306" s="315"/>
    </row>
    <row r="307">
      <c r="A307" s="315"/>
      <c r="B307" s="315"/>
      <c r="C307" s="315"/>
      <c r="D307" s="315"/>
      <c r="E307" s="315"/>
      <c r="F307" s="315"/>
      <c r="G307" s="315"/>
      <c r="H307" s="315"/>
      <c r="I307" s="315"/>
      <c r="J307" s="315"/>
      <c r="K307" s="315"/>
      <c r="L307" s="315"/>
      <c r="M307" s="315"/>
      <c r="N307" s="315"/>
      <c r="O307" s="315"/>
      <c r="P307" s="315"/>
      <c r="Q307" s="315"/>
      <c r="R307" s="315"/>
      <c r="S307" s="315"/>
      <c r="T307" s="315"/>
      <c r="U307" s="315"/>
      <c r="V307" s="315"/>
      <c r="W307" s="315"/>
      <c r="X307" s="315"/>
      <c r="Y307" s="315"/>
      <c r="Z307" s="315"/>
      <c r="AA307" s="315"/>
      <c r="AB307" s="315"/>
      <c r="AC307" s="315"/>
      <c r="AD307" s="315"/>
      <c r="AE307" s="315"/>
      <c r="AF307" s="315"/>
      <c r="AG307" s="315"/>
      <c r="AH307" s="315"/>
      <c r="AI307" s="315"/>
      <c r="AJ307" s="315"/>
      <c r="AK307" s="315"/>
      <c r="AL307" s="315"/>
      <c r="AM307" s="315"/>
      <c r="AN307" s="315"/>
    </row>
    <row r="308">
      <c r="A308" s="315"/>
      <c r="B308" s="315"/>
      <c r="C308" s="315"/>
      <c r="D308" s="315"/>
      <c r="E308" s="315"/>
      <c r="F308" s="315"/>
      <c r="G308" s="315"/>
      <c r="H308" s="315"/>
      <c r="I308" s="315"/>
      <c r="J308" s="315"/>
      <c r="K308" s="315"/>
      <c r="L308" s="315"/>
      <c r="M308" s="315"/>
      <c r="N308" s="315"/>
      <c r="O308" s="315"/>
      <c r="P308" s="315"/>
      <c r="Q308" s="315"/>
      <c r="R308" s="315"/>
      <c r="S308" s="315"/>
      <c r="T308" s="315"/>
      <c r="U308" s="315"/>
      <c r="V308" s="315"/>
      <c r="W308" s="315"/>
      <c r="X308" s="315"/>
      <c r="Y308" s="315"/>
      <c r="Z308" s="315"/>
      <c r="AA308" s="315"/>
      <c r="AB308" s="315"/>
      <c r="AC308" s="315"/>
      <c r="AD308" s="315"/>
      <c r="AE308" s="315"/>
      <c r="AF308" s="315"/>
      <c r="AG308" s="315"/>
      <c r="AH308" s="315"/>
      <c r="AI308" s="315"/>
      <c r="AJ308" s="315"/>
      <c r="AK308" s="315"/>
      <c r="AL308" s="315"/>
      <c r="AM308" s="315"/>
      <c r="AN308" s="315"/>
    </row>
    <row r="309">
      <c r="A309" s="315"/>
      <c r="B309" s="315"/>
      <c r="C309" s="315"/>
      <c r="D309" s="315"/>
      <c r="E309" s="315"/>
      <c r="F309" s="315"/>
      <c r="G309" s="315"/>
      <c r="H309" s="315"/>
      <c r="I309" s="315"/>
      <c r="J309" s="315"/>
      <c r="K309" s="315"/>
      <c r="L309" s="315"/>
      <c r="M309" s="315"/>
      <c r="N309" s="315"/>
      <c r="O309" s="315"/>
      <c r="P309" s="315"/>
      <c r="Q309" s="315"/>
      <c r="R309" s="315"/>
      <c r="S309" s="315"/>
      <c r="T309" s="315"/>
      <c r="U309" s="315"/>
      <c r="V309" s="315"/>
      <c r="W309" s="315"/>
      <c r="X309" s="315"/>
      <c r="Y309" s="315"/>
      <c r="Z309" s="315"/>
      <c r="AA309" s="315"/>
      <c r="AB309" s="315"/>
      <c r="AC309" s="315"/>
      <c r="AD309" s="315"/>
      <c r="AE309" s="315"/>
      <c r="AF309" s="315"/>
      <c r="AG309" s="315"/>
      <c r="AH309" s="315"/>
      <c r="AI309" s="315"/>
      <c r="AJ309" s="315"/>
      <c r="AK309" s="315"/>
      <c r="AL309" s="315"/>
      <c r="AM309" s="315"/>
      <c r="AN309" s="315"/>
    </row>
    <row r="310">
      <c r="A310" s="315"/>
      <c r="B310" s="315"/>
      <c r="C310" s="315"/>
      <c r="D310" s="315"/>
      <c r="E310" s="315"/>
      <c r="F310" s="315"/>
      <c r="G310" s="315"/>
      <c r="H310" s="315"/>
      <c r="I310" s="315"/>
      <c r="J310" s="315"/>
      <c r="K310" s="315"/>
      <c r="L310" s="315"/>
      <c r="M310" s="315"/>
      <c r="N310" s="315"/>
      <c r="O310" s="315"/>
      <c r="P310" s="315"/>
      <c r="Q310" s="315"/>
      <c r="R310" s="315"/>
      <c r="S310" s="315"/>
      <c r="T310" s="315"/>
      <c r="U310" s="315"/>
      <c r="V310" s="315"/>
      <c r="W310" s="315"/>
      <c r="X310" s="315"/>
      <c r="Y310" s="315"/>
      <c r="Z310" s="315"/>
      <c r="AA310" s="315"/>
      <c r="AB310" s="315"/>
      <c r="AC310" s="315"/>
      <c r="AD310" s="315"/>
      <c r="AE310" s="315"/>
      <c r="AF310" s="315"/>
      <c r="AG310" s="315"/>
      <c r="AH310" s="315"/>
      <c r="AI310" s="315"/>
      <c r="AJ310" s="315"/>
      <c r="AK310" s="315"/>
      <c r="AL310" s="315"/>
      <c r="AM310" s="315"/>
      <c r="AN310" s="315"/>
    </row>
    <row r="311">
      <c r="A311" s="315"/>
      <c r="B311" s="315"/>
      <c r="C311" s="315"/>
      <c r="D311" s="315"/>
      <c r="E311" s="315"/>
      <c r="F311" s="315"/>
      <c r="G311" s="315"/>
      <c r="H311" s="315"/>
      <c r="I311" s="315"/>
      <c r="J311" s="315"/>
      <c r="K311" s="315"/>
      <c r="L311" s="315"/>
      <c r="M311" s="315"/>
      <c r="N311" s="315"/>
      <c r="O311" s="315"/>
      <c r="P311" s="315"/>
      <c r="Q311" s="315"/>
      <c r="R311" s="315"/>
      <c r="S311" s="315"/>
      <c r="T311" s="315"/>
      <c r="U311" s="315"/>
      <c r="V311" s="315"/>
      <c r="W311" s="315"/>
      <c r="X311" s="315"/>
      <c r="Y311" s="315"/>
      <c r="Z311" s="315"/>
      <c r="AA311" s="315"/>
      <c r="AB311" s="315"/>
      <c r="AC311" s="315"/>
      <c r="AD311" s="315"/>
      <c r="AE311" s="315"/>
      <c r="AF311" s="315"/>
      <c r="AG311" s="315"/>
      <c r="AH311" s="315"/>
      <c r="AI311" s="315"/>
      <c r="AJ311" s="315"/>
      <c r="AK311" s="315"/>
      <c r="AL311" s="315"/>
      <c r="AM311" s="315"/>
      <c r="AN311" s="315"/>
    </row>
    <row r="312">
      <c r="A312" s="315"/>
      <c r="B312" s="315"/>
      <c r="C312" s="315"/>
      <c r="D312" s="315"/>
      <c r="E312" s="315"/>
      <c r="F312" s="315"/>
      <c r="G312" s="315"/>
      <c r="H312" s="315"/>
      <c r="I312" s="315"/>
      <c r="J312" s="315"/>
      <c r="K312" s="315"/>
      <c r="L312" s="315"/>
      <c r="M312" s="315"/>
      <c r="N312" s="315"/>
      <c r="O312" s="315"/>
      <c r="P312" s="315"/>
      <c r="Q312" s="315"/>
      <c r="R312" s="315"/>
      <c r="S312" s="315"/>
      <c r="T312" s="315"/>
      <c r="U312" s="315"/>
      <c r="V312" s="315"/>
      <c r="W312" s="315"/>
      <c r="X312" s="315"/>
      <c r="Y312" s="315"/>
      <c r="Z312" s="315"/>
      <c r="AA312" s="315"/>
      <c r="AB312" s="315"/>
      <c r="AC312" s="315"/>
      <c r="AD312" s="315"/>
      <c r="AE312" s="315"/>
      <c r="AF312" s="315"/>
      <c r="AG312" s="315"/>
      <c r="AH312" s="315"/>
      <c r="AI312" s="315"/>
      <c r="AJ312" s="315"/>
      <c r="AK312" s="315"/>
      <c r="AL312" s="315"/>
      <c r="AM312" s="315"/>
      <c r="AN312" s="315"/>
    </row>
    <row r="313">
      <c r="A313" s="315"/>
      <c r="B313" s="315"/>
      <c r="C313" s="315"/>
      <c r="D313" s="315"/>
      <c r="E313" s="315"/>
      <c r="F313" s="315"/>
      <c r="G313" s="315"/>
      <c r="H313" s="315"/>
      <c r="I313" s="315"/>
      <c r="J313" s="315"/>
      <c r="K313" s="315"/>
      <c r="L313" s="315"/>
      <c r="M313" s="315"/>
      <c r="N313" s="315"/>
      <c r="O313" s="315"/>
      <c r="P313" s="315"/>
      <c r="Q313" s="315"/>
      <c r="R313" s="315"/>
      <c r="S313" s="315"/>
      <c r="T313" s="315"/>
      <c r="U313" s="315"/>
      <c r="V313" s="315"/>
      <c r="W313" s="315"/>
      <c r="X313" s="315"/>
      <c r="Y313" s="315"/>
      <c r="Z313" s="315"/>
      <c r="AA313" s="315"/>
      <c r="AB313" s="315"/>
      <c r="AC313" s="315"/>
      <c r="AD313" s="315"/>
      <c r="AE313" s="315"/>
      <c r="AF313" s="315"/>
      <c r="AG313" s="315"/>
      <c r="AH313" s="315"/>
      <c r="AI313" s="315"/>
      <c r="AJ313" s="315"/>
      <c r="AK313" s="315"/>
      <c r="AL313" s="315"/>
      <c r="AM313" s="315"/>
      <c r="AN313" s="315"/>
    </row>
    <row r="314">
      <c r="A314" s="315"/>
      <c r="B314" s="315"/>
      <c r="C314" s="315"/>
      <c r="D314" s="315"/>
      <c r="E314" s="315"/>
      <c r="F314" s="315"/>
      <c r="G314" s="315"/>
      <c r="H314" s="315"/>
      <c r="I314" s="315"/>
      <c r="J314" s="315"/>
      <c r="K314" s="315"/>
      <c r="L314" s="315"/>
      <c r="M314" s="315"/>
      <c r="N314" s="315"/>
      <c r="O314" s="315"/>
      <c r="P314" s="315"/>
      <c r="Q314" s="315"/>
      <c r="R314" s="315"/>
      <c r="S314" s="315"/>
      <c r="T314" s="315"/>
      <c r="U314" s="315"/>
      <c r="V314" s="315"/>
      <c r="W314" s="315"/>
      <c r="X314" s="315"/>
      <c r="Y314" s="315"/>
      <c r="Z314" s="315"/>
      <c r="AA314" s="315"/>
      <c r="AB314" s="315"/>
      <c r="AC314" s="315"/>
      <c r="AD314" s="315"/>
      <c r="AE314" s="315"/>
      <c r="AF314" s="315"/>
      <c r="AG314" s="315"/>
      <c r="AH314" s="315"/>
      <c r="AI314" s="315"/>
      <c r="AJ314" s="315"/>
      <c r="AK314" s="315"/>
      <c r="AL314" s="315"/>
      <c r="AM314" s="315"/>
      <c r="AN314" s="315"/>
    </row>
    <row r="315">
      <c r="A315" s="315"/>
      <c r="B315" s="315"/>
      <c r="C315" s="315"/>
      <c r="D315" s="315"/>
      <c r="E315" s="315"/>
      <c r="F315" s="315"/>
      <c r="G315" s="315"/>
      <c r="H315" s="315"/>
      <c r="I315" s="315"/>
      <c r="J315" s="315"/>
      <c r="K315" s="315"/>
      <c r="L315" s="315"/>
      <c r="M315" s="315"/>
      <c r="N315" s="315"/>
      <c r="O315" s="315"/>
      <c r="P315" s="315"/>
      <c r="Q315" s="315"/>
      <c r="R315" s="315"/>
      <c r="S315" s="315"/>
      <c r="T315" s="315"/>
      <c r="U315" s="315"/>
      <c r="V315" s="315"/>
      <c r="W315" s="315"/>
      <c r="X315" s="315"/>
      <c r="Y315" s="315"/>
      <c r="Z315" s="315"/>
      <c r="AA315" s="315"/>
      <c r="AB315" s="315"/>
      <c r="AC315" s="315"/>
      <c r="AD315" s="315"/>
      <c r="AE315" s="315"/>
      <c r="AF315" s="315"/>
      <c r="AG315" s="315"/>
      <c r="AH315" s="315"/>
      <c r="AI315" s="315"/>
      <c r="AJ315" s="315"/>
      <c r="AK315" s="315"/>
      <c r="AL315" s="315"/>
      <c r="AM315" s="315"/>
      <c r="AN315" s="315"/>
    </row>
    <row r="316">
      <c r="A316" s="315"/>
      <c r="B316" s="315"/>
      <c r="C316" s="315"/>
      <c r="D316" s="315"/>
      <c r="E316" s="315"/>
      <c r="F316" s="315"/>
      <c r="G316" s="315"/>
      <c r="H316" s="315"/>
      <c r="I316" s="315"/>
      <c r="J316" s="315"/>
      <c r="K316" s="315"/>
      <c r="L316" s="315"/>
      <c r="M316" s="315"/>
      <c r="N316" s="315"/>
      <c r="O316" s="315"/>
      <c r="P316" s="315"/>
      <c r="Q316" s="315"/>
      <c r="R316" s="315"/>
      <c r="S316" s="315"/>
      <c r="T316" s="315"/>
      <c r="U316" s="315"/>
      <c r="V316" s="315"/>
      <c r="W316" s="315"/>
      <c r="X316" s="315"/>
      <c r="Y316" s="315"/>
      <c r="Z316" s="315"/>
      <c r="AA316" s="315"/>
      <c r="AB316" s="315"/>
      <c r="AC316" s="315"/>
      <c r="AD316" s="315"/>
      <c r="AE316" s="315"/>
      <c r="AF316" s="315"/>
      <c r="AG316" s="315"/>
      <c r="AH316" s="315"/>
      <c r="AI316" s="315"/>
      <c r="AJ316" s="315"/>
      <c r="AK316" s="315"/>
      <c r="AL316" s="315"/>
      <c r="AM316" s="315"/>
      <c r="AN316" s="315"/>
    </row>
    <row r="317">
      <c r="A317" s="315"/>
      <c r="B317" s="315"/>
      <c r="C317" s="315"/>
      <c r="D317" s="315"/>
      <c r="E317" s="315"/>
      <c r="F317" s="315"/>
      <c r="G317" s="315"/>
      <c r="H317" s="315"/>
      <c r="I317" s="315"/>
      <c r="J317" s="315"/>
      <c r="K317" s="315"/>
      <c r="L317" s="315"/>
      <c r="M317" s="315"/>
      <c r="N317" s="315"/>
      <c r="O317" s="315"/>
      <c r="P317" s="315"/>
      <c r="Q317" s="315"/>
      <c r="R317" s="315"/>
      <c r="S317" s="315"/>
      <c r="T317" s="315"/>
      <c r="U317" s="315"/>
      <c r="V317" s="315"/>
      <c r="W317" s="315"/>
      <c r="X317" s="315"/>
      <c r="Y317" s="315"/>
      <c r="Z317" s="315"/>
      <c r="AA317" s="315"/>
      <c r="AB317" s="315"/>
      <c r="AC317" s="315"/>
      <c r="AD317" s="315"/>
      <c r="AE317" s="315"/>
      <c r="AF317" s="315"/>
      <c r="AG317" s="315"/>
      <c r="AH317" s="315"/>
      <c r="AI317" s="315"/>
      <c r="AJ317" s="315"/>
      <c r="AK317" s="315"/>
      <c r="AL317" s="315"/>
      <c r="AM317" s="315"/>
      <c r="AN317" s="315"/>
    </row>
    <row r="318">
      <c r="A318" s="315"/>
      <c r="B318" s="315"/>
      <c r="C318" s="315"/>
      <c r="D318" s="315"/>
      <c r="E318" s="315"/>
      <c r="F318" s="315"/>
      <c r="G318" s="315"/>
      <c r="H318" s="315"/>
      <c r="I318" s="315"/>
      <c r="J318" s="315"/>
      <c r="K318" s="315"/>
      <c r="L318" s="315"/>
      <c r="M318" s="315"/>
      <c r="N318" s="315"/>
      <c r="O318" s="315"/>
      <c r="P318" s="315"/>
      <c r="Q318" s="315"/>
      <c r="R318" s="315"/>
      <c r="S318" s="315"/>
      <c r="T318" s="315"/>
      <c r="U318" s="315"/>
      <c r="V318" s="315"/>
      <c r="W318" s="315"/>
      <c r="X318" s="315"/>
      <c r="Y318" s="315"/>
      <c r="Z318" s="315"/>
      <c r="AA318" s="315"/>
      <c r="AB318" s="315"/>
      <c r="AC318" s="315"/>
      <c r="AD318" s="315"/>
      <c r="AE318" s="315"/>
      <c r="AF318" s="315"/>
      <c r="AG318" s="315"/>
      <c r="AH318" s="315"/>
      <c r="AI318" s="315"/>
      <c r="AJ318" s="315"/>
      <c r="AK318" s="315"/>
      <c r="AL318" s="315"/>
      <c r="AM318" s="315"/>
      <c r="AN318" s="315"/>
    </row>
    <row r="319">
      <c r="A319" s="315"/>
      <c r="B319" s="315"/>
      <c r="C319" s="315"/>
      <c r="D319" s="315"/>
      <c r="E319" s="315"/>
      <c r="F319" s="315"/>
      <c r="G319" s="315"/>
      <c r="H319" s="315"/>
      <c r="I319" s="315"/>
      <c r="J319" s="315"/>
      <c r="K319" s="315"/>
      <c r="L319" s="315"/>
      <c r="M319" s="315"/>
      <c r="N319" s="315"/>
      <c r="O319" s="315"/>
      <c r="P319" s="315"/>
      <c r="Q319" s="315"/>
      <c r="R319" s="315"/>
      <c r="S319" s="315"/>
      <c r="T319" s="315"/>
      <c r="U319" s="315"/>
      <c r="V319" s="315"/>
      <c r="W319" s="315"/>
      <c r="X319" s="315"/>
      <c r="Y319" s="315"/>
      <c r="Z319" s="315"/>
      <c r="AA319" s="315"/>
      <c r="AB319" s="315"/>
      <c r="AC319" s="315"/>
      <c r="AD319" s="315"/>
      <c r="AE319" s="315"/>
      <c r="AF319" s="315"/>
      <c r="AG319" s="315"/>
      <c r="AH319" s="315"/>
      <c r="AI319" s="315"/>
      <c r="AJ319" s="315"/>
      <c r="AK319" s="315"/>
      <c r="AL319" s="315"/>
      <c r="AM319" s="315"/>
      <c r="AN319" s="315"/>
    </row>
    <row r="320">
      <c r="A320" s="315"/>
      <c r="B320" s="315"/>
      <c r="C320" s="315"/>
      <c r="D320" s="315"/>
      <c r="E320" s="315"/>
      <c r="F320" s="315"/>
      <c r="G320" s="315"/>
      <c r="H320" s="315"/>
      <c r="I320" s="315"/>
      <c r="J320" s="315"/>
      <c r="K320" s="315"/>
      <c r="L320" s="315"/>
      <c r="M320" s="315"/>
      <c r="N320" s="315"/>
      <c r="O320" s="315"/>
      <c r="P320" s="315"/>
      <c r="Q320" s="315"/>
      <c r="R320" s="315"/>
      <c r="S320" s="315"/>
      <c r="T320" s="315"/>
      <c r="U320" s="315"/>
      <c r="V320" s="315"/>
      <c r="W320" s="315"/>
      <c r="X320" s="315"/>
      <c r="Y320" s="315"/>
      <c r="Z320" s="315"/>
      <c r="AA320" s="315"/>
      <c r="AB320" s="315"/>
      <c r="AC320" s="315"/>
      <c r="AD320" s="315"/>
      <c r="AE320" s="315"/>
      <c r="AF320" s="315"/>
      <c r="AG320" s="315"/>
      <c r="AH320" s="315"/>
      <c r="AI320" s="315"/>
      <c r="AJ320" s="315"/>
      <c r="AK320" s="315"/>
      <c r="AL320" s="315"/>
      <c r="AM320" s="315"/>
      <c r="AN320" s="315"/>
    </row>
    <row r="321">
      <c r="A321" s="315"/>
      <c r="B321" s="315"/>
      <c r="C321" s="315"/>
      <c r="D321" s="315"/>
      <c r="E321" s="315"/>
      <c r="F321" s="315"/>
      <c r="G321" s="315"/>
      <c r="H321" s="315"/>
      <c r="I321" s="315"/>
      <c r="J321" s="315"/>
      <c r="K321" s="315"/>
      <c r="L321" s="315"/>
      <c r="M321" s="315"/>
      <c r="N321" s="315"/>
      <c r="O321" s="315"/>
      <c r="P321" s="315"/>
      <c r="Q321" s="315"/>
      <c r="R321" s="315"/>
      <c r="S321" s="315"/>
      <c r="T321" s="315"/>
      <c r="U321" s="315"/>
      <c r="V321" s="315"/>
      <c r="W321" s="315"/>
      <c r="X321" s="315"/>
      <c r="Y321" s="315"/>
      <c r="Z321" s="315"/>
      <c r="AA321" s="315"/>
      <c r="AB321" s="315"/>
      <c r="AC321" s="315"/>
      <c r="AD321" s="315"/>
      <c r="AE321" s="315"/>
      <c r="AF321" s="315"/>
      <c r="AG321" s="315"/>
      <c r="AH321" s="315"/>
      <c r="AI321" s="315"/>
      <c r="AJ321" s="315"/>
      <c r="AK321" s="315"/>
      <c r="AL321" s="315"/>
      <c r="AM321" s="315"/>
      <c r="AN321" s="315"/>
    </row>
    <row r="322">
      <c r="A322" s="315"/>
      <c r="B322" s="315"/>
      <c r="C322" s="315"/>
      <c r="D322" s="315"/>
      <c r="E322" s="315"/>
      <c r="F322" s="315"/>
      <c r="G322" s="315"/>
      <c r="H322" s="315"/>
      <c r="I322" s="315"/>
      <c r="J322" s="315"/>
      <c r="K322" s="315"/>
      <c r="L322" s="315"/>
      <c r="M322" s="315"/>
      <c r="N322" s="315"/>
      <c r="O322" s="315"/>
      <c r="P322" s="315"/>
      <c r="Q322" s="315"/>
      <c r="R322" s="315"/>
      <c r="S322" s="315"/>
      <c r="T322" s="315"/>
      <c r="U322" s="315"/>
      <c r="V322" s="315"/>
      <c r="W322" s="315"/>
      <c r="X322" s="315"/>
      <c r="Y322" s="315"/>
      <c r="Z322" s="315"/>
      <c r="AA322" s="315"/>
      <c r="AB322" s="315"/>
      <c r="AC322" s="315"/>
      <c r="AD322" s="315"/>
      <c r="AE322" s="315"/>
      <c r="AF322" s="315"/>
      <c r="AG322" s="315"/>
      <c r="AH322" s="315"/>
      <c r="AI322" s="315"/>
      <c r="AJ322" s="315"/>
      <c r="AK322" s="315"/>
      <c r="AL322" s="315"/>
      <c r="AM322" s="315"/>
      <c r="AN322" s="315"/>
    </row>
    <row r="323">
      <c r="A323" s="315"/>
      <c r="B323" s="315"/>
      <c r="C323" s="315"/>
      <c r="D323" s="315"/>
      <c r="E323" s="315"/>
      <c r="F323" s="315"/>
      <c r="G323" s="315"/>
      <c r="H323" s="315"/>
      <c r="I323" s="315"/>
      <c r="J323" s="315"/>
      <c r="K323" s="315"/>
      <c r="L323" s="315"/>
      <c r="M323" s="315"/>
      <c r="N323" s="315"/>
      <c r="O323" s="315"/>
      <c r="P323" s="315"/>
      <c r="Q323" s="315"/>
      <c r="R323" s="315"/>
      <c r="S323" s="315"/>
      <c r="T323" s="315"/>
      <c r="U323" s="315"/>
      <c r="V323" s="315"/>
      <c r="W323" s="315"/>
      <c r="X323" s="315"/>
      <c r="Y323" s="315"/>
      <c r="Z323" s="315"/>
      <c r="AA323" s="315"/>
      <c r="AB323" s="315"/>
      <c r="AC323" s="315"/>
      <c r="AD323" s="315"/>
      <c r="AE323" s="315"/>
      <c r="AF323" s="315"/>
      <c r="AG323" s="315"/>
      <c r="AH323" s="315"/>
      <c r="AI323" s="315"/>
      <c r="AJ323" s="315"/>
      <c r="AK323" s="315"/>
      <c r="AL323" s="315"/>
      <c r="AM323" s="315"/>
      <c r="AN323" s="315"/>
    </row>
    <row r="324">
      <c r="A324" s="315"/>
      <c r="B324" s="315"/>
      <c r="C324" s="315"/>
      <c r="D324" s="315"/>
      <c r="E324" s="315"/>
      <c r="F324" s="315"/>
      <c r="G324" s="315"/>
      <c r="H324" s="315"/>
      <c r="I324" s="315"/>
      <c r="J324" s="315"/>
      <c r="K324" s="315"/>
      <c r="L324" s="315"/>
      <c r="M324" s="315"/>
      <c r="N324" s="315"/>
      <c r="O324" s="315"/>
      <c r="P324" s="315"/>
      <c r="Q324" s="315"/>
      <c r="R324" s="315"/>
      <c r="S324" s="315"/>
      <c r="T324" s="315"/>
      <c r="U324" s="315"/>
      <c r="V324" s="315"/>
      <c r="W324" s="315"/>
      <c r="X324" s="315"/>
      <c r="Y324" s="315"/>
      <c r="Z324" s="315"/>
      <c r="AA324" s="315"/>
      <c r="AB324" s="315"/>
      <c r="AC324" s="315"/>
      <c r="AD324" s="315"/>
      <c r="AE324" s="315"/>
      <c r="AF324" s="315"/>
      <c r="AG324" s="315"/>
      <c r="AH324" s="315"/>
      <c r="AI324" s="315"/>
      <c r="AJ324" s="315"/>
      <c r="AK324" s="315"/>
      <c r="AL324" s="315"/>
      <c r="AM324" s="315"/>
      <c r="AN324" s="315"/>
    </row>
    <row r="325">
      <c r="A325" s="315"/>
      <c r="B325" s="315"/>
      <c r="C325" s="315"/>
      <c r="D325" s="315"/>
      <c r="E325" s="315"/>
      <c r="F325" s="315"/>
      <c r="G325" s="315"/>
      <c r="H325" s="315"/>
      <c r="I325" s="315"/>
      <c r="J325" s="315"/>
      <c r="K325" s="315"/>
      <c r="L325" s="315"/>
      <c r="M325" s="315"/>
      <c r="N325" s="315"/>
      <c r="O325" s="315"/>
      <c r="P325" s="315"/>
      <c r="Q325" s="315"/>
      <c r="R325" s="315"/>
      <c r="S325" s="315"/>
      <c r="T325" s="315"/>
      <c r="U325" s="315"/>
      <c r="V325" s="315"/>
      <c r="W325" s="315"/>
      <c r="X325" s="315"/>
      <c r="Y325" s="315"/>
      <c r="Z325" s="315"/>
      <c r="AA325" s="315"/>
      <c r="AB325" s="315"/>
      <c r="AC325" s="315"/>
      <c r="AD325" s="315"/>
      <c r="AE325" s="315"/>
      <c r="AF325" s="315"/>
      <c r="AG325" s="315"/>
      <c r="AH325" s="315"/>
      <c r="AI325" s="315"/>
      <c r="AJ325" s="315"/>
      <c r="AK325" s="315"/>
      <c r="AL325" s="315"/>
      <c r="AM325" s="315"/>
      <c r="AN325" s="315"/>
    </row>
    <row r="326">
      <c r="A326" s="315"/>
      <c r="B326" s="315"/>
      <c r="C326" s="315"/>
      <c r="D326" s="315"/>
      <c r="E326" s="315"/>
      <c r="F326" s="315"/>
      <c r="G326" s="315"/>
      <c r="H326" s="315"/>
      <c r="I326" s="315"/>
      <c r="J326" s="315"/>
      <c r="K326" s="315"/>
      <c r="L326" s="315"/>
      <c r="M326" s="315"/>
      <c r="N326" s="315"/>
      <c r="O326" s="315"/>
      <c r="P326" s="315"/>
      <c r="Q326" s="315"/>
      <c r="R326" s="315"/>
      <c r="S326" s="315"/>
      <c r="T326" s="315"/>
      <c r="U326" s="315"/>
      <c r="V326" s="315"/>
      <c r="W326" s="315"/>
      <c r="X326" s="315"/>
      <c r="Y326" s="315"/>
      <c r="Z326" s="315"/>
      <c r="AA326" s="315"/>
      <c r="AB326" s="315"/>
      <c r="AC326" s="315"/>
      <c r="AD326" s="315"/>
      <c r="AE326" s="315"/>
      <c r="AF326" s="315"/>
      <c r="AG326" s="315"/>
      <c r="AH326" s="315"/>
      <c r="AI326" s="315"/>
      <c r="AJ326" s="315"/>
      <c r="AK326" s="315"/>
      <c r="AL326" s="315"/>
      <c r="AM326" s="315"/>
      <c r="AN326" s="315"/>
    </row>
    <row r="327">
      <c r="A327" s="315"/>
      <c r="B327" s="315"/>
      <c r="C327" s="315"/>
      <c r="D327" s="315"/>
      <c r="E327" s="315"/>
      <c r="F327" s="315"/>
      <c r="G327" s="315"/>
      <c r="H327" s="315"/>
      <c r="I327" s="315"/>
      <c r="J327" s="315"/>
      <c r="K327" s="315"/>
      <c r="L327" s="315"/>
      <c r="M327" s="315"/>
      <c r="N327" s="315"/>
      <c r="O327" s="315"/>
      <c r="P327" s="315"/>
      <c r="Q327" s="315"/>
      <c r="R327" s="315"/>
      <c r="S327" s="315"/>
      <c r="T327" s="315"/>
      <c r="U327" s="315"/>
      <c r="V327" s="315"/>
      <c r="W327" s="315"/>
      <c r="X327" s="315"/>
      <c r="Y327" s="315"/>
      <c r="Z327" s="315"/>
      <c r="AA327" s="315"/>
      <c r="AB327" s="315"/>
      <c r="AC327" s="315"/>
      <c r="AD327" s="315"/>
      <c r="AE327" s="315"/>
      <c r="AF327" s="315"/>
      <c r="AG327" s="315"/>
      <c r="AH327" s="315"/>
      <c r="AI327" s="315"/>
      <c r="AJ327" s="315"/>
      <c r="AK327" s="315"/>
      <c r="AL327" s="315"/>
      <c r="AM327" s="315"/>
      <c r="AN327" s="315"/>
    </row>
    <row r="328">
      <c r="A328" s="315"/>
      <c r="B328" s="315"/>
      <c r="C328" s="315"/>
      <c r="D328" s="315"/>
      <c r="E328" s="315"/>
      <c r="F328" s="315"/>
      <c r="G328" s="315"/>
      <c r="H328" s="315"/>
      <c r="I328" s="315"/>
      <c r="J328" s="315"/>
      <c r="K328" s="315"/>
      <c r="L328" s="315"/>
      <c r="M328" s="315"/>
      <c r="N328" s="315"/>
      <c r="O328" s="315"/>
      <c r="P328" s="315"/>
      <c r="Q328" s="315"/>
      <c r="R328" s="315"/>
      <c r="S328" s="315"/>
      <c r="T328" s="315"/>
      <c r="U328" s="315"/>
      <c r="V328" s="315"/>
      <c r="W328" s="315"/>
      <c r="X328" s="315"/>
      <c r="Y328" s="315"/>
      <c r="Z328" s="315"/>
      <c r="AA328" s="315"/>
      <c r="AB328" s="315"/>
      <c r="AC328" s="315"/>
      <c r="AD328" s="315"/>
      <c r="AE328" s="315"/>
      <c r="AF328" s="315"/>
      <c r="AG328" s="315"/>
      <c r="AH328" s="315"/>
      <c r="AI328" s="315"/>
      <c r="AJ328" s="315"/>
      <c r="AK328" s="315"/>
      <c r="AL328" s="315"/>
      <c r="AM328" s="315"/>
      <c r="AN328" s="315"/>
    </row>
    <row r="329">
      <c r="A329" s="315"/>
      <c r="B329" s="315"/>
      <c r="C329" s="315"/>
      <c r="D329" s="315"/>
      <c r="E329" s="315"/>
      <c r="F329" s="315"/>
      <c r="G329" s="315"/>
      <c r="H329" s="315"/>
      <c r="I329" s="315"/>
      <c r="J329" s="315"/>
      <c r="K329" s="315"/>
      <c r="L329" s="315"/>
      <c r="M329" s="315"/>
      <c r="N329" s="315"/>
      <c r="O329" s="315"/>
      <c r="P329" s="315"/>
      <c r="Q329" s="315"/>
      <c r="R329" s="315"/>
      <c r="S329" s="315"/>
      <c r="T329" s="315"/>
      <c r="U329" s="315"/>
      <c r="V329" s="315"/>
      <c r="W329" s="315"/>
      <c r="X329" s="315"/>
      <c r="Y329" s="315"/>
      <c r="Z329" s="315"/>
      <c r="AA329" s="315"/>
      <c r="AB329" s="315"/>
      <c r="AC329" s="315"/>
      <c r="AD329" s="315"/>
      <c r="AE329" s="315"/>
      <c r="AF329" s="315"/>
      <c r="AG329" s="315"/>
      <c r="AH329" s="315"/>
      <c r="AI329" s="315"/>
      <c r="AJ329" s="315"/>
      <c r="AK329" s="315"/>
      <c r="AL329" s="315"/>
      <c r="AM329" s="315"/>
      <c r="AN329" s="315"/>
    </row>
    <row r="330">
      <c r="A330" s="315"/>
      <c r="B330" s="315"/>
      <c r="C330" s="315"/>
      <c r="D330" s="315"/>
      <c r="E330" s="315"/>
      <c r="F330" s="315"/>
      <c r="G330" s="315"/>
      <c r="H330" s="315"/>
      <c r="I330" s="315"/>
      <c r="J330" s="315"/>
      <c r="K330" s="315"/>
      <c r="L330" s="315"/>
      <c r="M330" s="315"/>
      <c r="N330" s="315"/>
      <c r="O330" s="315"/>
      <c r="P330" s="315"/>
      <c r="Q330" s="315"/>
      <c r="R330" s="315"/>
      <c r="S330" s="315"/>
      <c r="T330" s="315"/>
      <c r="U330" s="315"/>
      <c r="V330" s="315"/>
      <c r="W330" s="315"/>
      <c r="X330" s="315"/>
      <c r="Y330" s="315"/>
      <c r="Z330" s="315"/>
      <c r="AA330" s="315"/>
      <c r="AB330" s="315"/>
      <c r="AC330" s="315"/>
      <c r="AD330" s="315"/>
      <c r="AE330" s="315"/>
      <c r="AF330" s="315"/>
      <c r="AG330" s="315"/>
      <c r="AH330" s="315"/>
      <c r="AI330" s="315"/>
      <c r="AJ330" s="315"/>
      <c r="AK330" s="315"/>
      <c r="AL330" s="315"/>
      <c r="AM330" s="315"/>
      <c r="AN330" s="315"/>
    </row>
    <row r="331">
      <c r="A331" s="315"/>
      <c r="B331" s="315"/>
      <c r="C331" s="315"/>
      <c r="D331" s="315"/>
      <c r="E331" s="315"/>
      <c r="F331" s="315"/>
      <c r="G331" s="315"/>
      <c r="H331" s="315"/>
      <c r="I331" s="315"/>
      <c r="J331" s="315"/>
      <c r="K331" s="315"/>
      <c r="L331" s="315"/>
      <c r="M331" s="315"/>
      <c r="N331" s="315"/>
      <c r="O331" s="315"/>
      <c r="P331" s="315"/>
      <c r="Q331" s="315"/>
      <c r="R331" s="315"/>
      <c r="S331" s="315"/>
      <c r="T331" s="315"/>
      <c r="U331" s="315"/>
      <c r="V331" s="315"/>
      <c r="W331" s="315"/>
      <c r="X331" s="315"/>
      <c r="Y331" s="315"/>
      <c r="Z331" s="315"/>
      <c r="AA331" s="315"/>
      <c r="AB331" s="315"/>
      <c r="AC331" s="315"/>
      <c r="AD331" s="315"/>
      <c r="AE331" s="315"/>
      <c r="AF331" s="315"/>
      <c r="AG331" s="315"/>
      <c r="AH331" s="315"/>
      <c r="AI331" s="315"/>
      <c r="AJ331" s="315"/>
      <c r="AK331" s="315"/>
      <c r="AL331" s="315"/>
      <c r="AM331" s="315"/>
      <c r="AN331" s="315"/>
    </row>
    <row r="332">
      <c r="A332" s="315"/>
      <c r="B332" s="315"/>
      <c r="C332" s="315"/>
      <c r="D332" s="315"/>
      <c r="E332" s="315"/>
      <c r="F332" s="315"/>
      <c r="G332" s="315"/>
      <c r="H332" s="315"/>
      <c r="I332" s="315"/>
      <c r="J332" s="315"/>
      <c r="K332" s="315"/>
      <c r="L332" s="315"/>
      <c r="M332" s="315"/>
      <c r="N332" s="315"/>
      <c r="O332" s="315"/>
      <c r="P332" s="315"/>
      <c r="Q332" s="315"/>
      <c r="R332" s="315"/>
      <c r="S332" s="315"/>
      <c r="T332" s="315"/>
      <c r="U332" s="315"/>
      <c r="V332" s="315"/>
      <c r="W332" s="315"/>
      <c r="X332" s="315"/>
      <c r="Y332" s="315"/>
      <c r="Z332" s="315"/>
      <c r="AA332" s="315"/>
      <c r="AB332" s="315"/>
      <c r="AC332" s="315"/>
      <c r="AD332" s="315"/>
      <c r="AE332" s="315"/>
      <c r="AF332" s="315"/>
      <c r="AG332" s="315"/>
      <c r="AH332" s="315"/>
      <c r="AI332" s="315"/>
      <c r="AJ332" s="315"/>
      <c r="AK332" s="315"/>
      <c r="AL332" s="315"/>
      <c r="AM332" s="315"/>
      <c r="AN332" s="315"/>
    </row>
    <row r="333">
      <c r="A333" s="315"/>
      <c r="B333" s="315"/>
      <c r="C333" s="315"/>
      <c r="D333" s="315"/>
      <c r="E333" s="315"/>
      <c r="F333" s="315"/>
      <c r="G333" s="315"/>
      <c r="H333" s="315"/>
      <c r="I333" s="315"/>
      <c r="J333" s="315"/>
      <c r="K333" s="315"/>
      <c r="L333" s="315"/>
      <c r="M333" s="315"/>
      <c r="N333" s="315"/>
      <c r="O333" s="315"/>
      <c r="P333" s="315"/>
      <c r="Q333" s="315"/>
      <c r="R333" s="315"/>
      <c r="S333" s="315"/>
      <c r="T333" s="315"/>
      <c r="U333" s="315"/>
      <c r="V333" s="315"/>
      <c r="W333" s="315"/>
      <c r="X333" s="315"/>
      <c r="Y333" s="315"/>
      <c r="Z333" s="315"/>
      <c r="AA333" s="315"/>
      <c r="AB333" s="315"/>
      <c r="AC333" s="315"/>
      <c r="AD333" s="315"/>
      <c r="AE333" s="315"/>
      <c r="AF333" s="315"/>
      <c r="AG333" s="315"/>
      <c r="AH333" s="315"/>
      <c r="AI333" s="315"/>
      <c r="AJ333" s="315"/>
      <c r="AK333" s="315"/>
      <c r="AL333" s="315"/>
      <c r="AM333" s="315"/>
      <c r="AN333" s="315"/>
    </row>
    <row r="334">
      <c r="A334" s="315"/>
      <c r="B334" s="315"/>
      <c r="C334" s="315"/>
      <c r="D334" s="315"/>
      <c r="E334" s="315"/>
      <c r="F334" s="315"/>
      <c r="G334" s="315"/>
      <c r="H334" s="315"/>
      <c r="I334" s="315"/>
      <c r="J334" s="315"/>
      <c r="K334" s="315"/>
      <c r="L334" s="315"/>
      <c r="M334" s="315"/>
      <c r="N334" s="315"/>
      <c r="O334" s="315"/>
      <c r="P334" s="315"/>
      <c r="Q334" s="315"/>
      <c r="R334" s="315"/>
      <c r="S334" s="315"/>
      <c r="T334" s="315"/>
      <c r="U334" s="315"/>
      <c r="V334" s="315"/>
      <c r="W334" s="315"/>
      <c r="X334" s="315"/>
      <c r="Y334" s="315"/>
      <c r="Z334" s="315"/>
      <c r="AA334" s="315"/>
      <c r="AB334" s="315"/>
      <c r="AC334" s="315"/>
      <c r="AD334" s="315"/>
      <c r="AE334" s="315"/>
      <c r="AF334" s="315"/>
      <c r="AG334" s="315"/>
      <c r="AH334" s="315"/>
      <c r="AI334" s="315"/>
      <c r="AJ334" s="315"/>
      <c r="AK334" s="315"/>
      <c r="AL334" s="315"/>
      <c r="AM334" s="315"/>
      <c r="AN334" s="315"/>
    </row>
    <row r="335">
      <c r="A335" s="315"/>
      <c r="B335" s="315"/>
      <c r="C335" s="315"/>
      <c r="D335" s="315"/>
      <c r="E335" s="315"/>
      <c r="F335" s="315"/>
      <c r="G335" s="315"/>
      <c r="H335" s="315"/>
      <c r="I335" s="315"/>
      <c r="J335" s="315"/>
      <c r="K335" s="315"/>
      <c r="L335" s="315"/>
      <c r="M335" s="315"/>
      <c r="N335" s="315"/>
      <c r="O335" s="315"/>
      <c r="P335" s="315"/>
      <c r="Q335" s="315"/>
      <c r="R335" s="315"/>
      <c r="S335" s="315"/>
      <c r="T335" s="315"/>
      <c r="U335" s="315"/>
      <c r="V335" s="315"/>
      <c r="W335" s="315"/>
      <c r="X335" s="315"/>
      <c r="Y335" s="315"/>
      <c r="Z335" s="315"/>
      <c r="AA335" s="315"/>
      <c r="AB335" s="315"/>
      <c r="AC335" s="315"/>
      <c r="AD335" s="315"/>
      <c r="AE335" s="315"/>
      <c r="AF335" s="315"/>
      <c r="AG335" s="315"/>
      <c r="AH335" s="315"/>
      <c r="AI335" s="315"/>
      <c r="AJ335" s="315"/>
      <c r="AK335" s="315"/>
      <c r="AL335" s="315"/>
      <c r="AM335" s="315"/>
      <c r="AN335" s="315"/>
    </row>
    <row r="336">
      <c r="A336" s="315"/>
      <c r="B336" s="315"/>
      <c r="C336" s="315"/>
      <c r="D336" s="315"/>
      <c r="E336" s="315"/>
      <c r="F336" s="315"/>
      <c r="G336" s="315"/>
      <c r="H336" s="315"/>
      <c r="I336" s="315"/>
      <c r="J336" s="315"/>
      <c r="K336" s="315"/>
      <c r="L336" s="315"/>
      <c r="M336" s="315"/>
      <c r="N336" s="315"/>
      <c r="O336" s="315"/>
      <c r="P336" s="315"/>
      <c r="Q336" s="315"/>
      <c r="R336" s="315"/>
      <c r="S336" s="315"/>
      <c r="T336" s="315"/>
      <c r="U336" s="315"/>
      <c r="V336" s="315"/>
      <c r="W336" s="315"/>
      <c r="X336" s="315"/>
      <c r="Y336" s="315"/>
      <c r="Z336" s="315"/>
      <c r="AA336" s="315"/>
      <c r="AB336" s="315"/>
      <c r="AC336" s="315"/>
      <c r="AD336" s="315"/>
      <c r="AE336" s="315"/>
      <c r="AF336" s="315"/>
      <c r="AG336" s="315"/>
      <c r="AH336" s="315"/>
      <c r="AI336" s="315"/>
      <c r="AJ336" s="315"/>
      <c r="AK336" s="315"/>
      <c r="AL336" s="315"/>
      <c r="AM336" s="315"/>
      <c r="AN336" s="315"/>
    </row>
    <row r="337">
      <c r="A337" s="315"/>
      <c r="B337" s="315"/>
      <c r="C337" s="315"/>
      <c r="D337" s="315"/>
      <c r="E337" s="315"/>
      <c r="F337" s="315"/>
      <c r="G337" s="315"/>
      <c r="H337" s="315"/>
      <c r="I337" s="315"/>
      <c r="J337" s="315"/>
      <c r="K337" s="315"/>
      <c r="L337" s="315"/>
      <c r="M337" s="315"/>
      <c r="N337" s="315"/>
      <c r="O337" s="315"/>
      <c r="P337" s="315"/>
      <c r="Q337" s="315"/>
      <c r="R337" s="315"/>
      <c r="S337" s="315"/>
      <c r="T337" s="315"/>
      <c r="U337" s="315"/>
      <c r="V337" s="315"/>
      <c r="W337" s="315"/>
      <c r="X337" s="315"/>
      <c r="Y337" s="315"/>
      <c r="Z337" s="315"/>
      <c r="AA337" s="315"/>
      <c r="AB337" s="315"/>
      <c r="AC337" s="315"/>
      <c r="AD337" s="315"/>
      <c r="AE337" s="315"/>
      <c r="AF337" s="315"/>
      <c r="AG337" s="315"/>
      <c r="AH337" s="315"/>
      <c r="AI337" s="315"/>
      <c r="AJ337" s="315"/>
      <c r="AK337" s="315"/>
      <c r="AL337" s="315"/>
      <c r="AM337" s="315"/>
      <c r="AN337" s="315"/>
    </row>
    <row r="338">
      <c r="A338" s="315"/>
      <c r="B338" s="315"/>
      <c r="C338" s="315"/>
      <c r="D338" s="315"/>
      <c r="E338" s="315"/>
      <c r="F338" s="315"/>
      <c r="G338" s="315"/>
      <c r="H338" s="315"/>
      <c r="I338" s="315"/>
      <c r="J338" s="315"/>
      <c r="K338" s="315"/>
      <c r="L338" s="315"/>
      <c r="M338" s="315"/>
      <c r="N338" s="315"/>
      <c r="O338" s="315"/>
      <c r="P338" s="315"/>
      <c r="Q338" s="315"/>
      <c r="R338" s="315"/>
      <c r="S338" s="315"/>
      <c r="T338" s="315"/>
      <c r="U338" s="315"/>
      <c r="V338" s="315"/>
      <c r="W338" s="315"/>
      <c r="X338" s="315"/>
      <c r="Y338" s="315"/>
      <c r="Z338" s="315"/>
      <c r="AA338" s="315"/>
      <c r="AB338" s="315"/>
      <c r="AC338" s="315"/>
      <c r="AD338" s="315"/>
      <c r="AE338" s="315"/>
      <c r="AF338" s="315"/>
      <c r="AG338" s="315"/>
      <c r="AH338" s="315"/>
      <c r="AI338" s="315"/>
      <c r="AJ338" s="315"/>
      <c r="AK338" s="315"/>
      <c r="AL338" s="315"/>
      <c r="AM338" s="315"/>
      <c r="AN338" s="315"/>
    </row>
    <row r="339">
      <c r="A339" s="315"/>
      <c r="B339" s="315"/>
      <c r="C339" s="315"/>
      <c r="D339" s="315"/>
      <c r="E339" s="315"/>
      <c r="F339" s="315"/>
      <c r="G339" s="315"/>
      <c r="H339" s="315"/>
      <c r="I339" s="315"/>
      <c r="J339" s="315"/>
      <c r="K339" s="315"/>
      <c r="L339" s="315"/>
      <c r="M339" s="315"/>
      <c r="N339" s="315"/>
      <c r="O339" s="315"/>
      <c r="P339" s="315"/>
      <c r="Q339" s="315"/>
      <c r="R339" s="315"/>
      <c r="S339" s="315"/>
      <c r="T339" s="315"/>
      <c r="U339" s="315"/>
      <c r="V339" s="315"/>
      <c r="W339" s="315"/>
      <c r="X339" s="315"/>
      <c r="Y339" s="315"/>
      <c r="Z339" s="315"/>
      <c r="AA339" s="315"/>
      <c r="AB339" s="315"/>
      <c r="AC339" s="315"/>
      <c r="AD339" s="315"/>
      <c r="AE339" s="315"/>
      <c r="AF339" s="315"/>
      <c r="AG339" s="315"/>
      <c r="AH339" s="315"/>
      <c r="AI339" s="315"/>
      <c r="AJ339" s="315"/>
      <c r="AK339" s="315"/>
      <c r="AL339" s="315"/>
      <c r="AM339" s="315"/>
      <c r="AN339" s="315"/>
    </row>
    <row r="340">
      <c r="A340" s="315"/>
      <c r="B340" s="315"/>
      <c r="C340" s="315"/>
      <c r="D340" s="315"/>
      <c r="E340" s="315"/>
      <c r="F340" s="315"/>
      <c r="G340" s="315"/>
      <c r="H340" s="315"/>
      <c r="I340" s="315"/>
      <c r="J340" s="315"/>
      <c r="K340" s="315"/>
      <c r="L340" s="315"/>
      <c r="M340" s="315"/>
      <c r="N340" s="315"/>
      <c r="O340" s="315"/>
      <c r="P340" s="315"/>
      <c r="Q340" s="315"/>
      <c r="R340" s="315"/>
      <c r="S340" s="315"/>
      <c r="T340" s="315"/>
      <c r="U340" s="315"/>
      <c r="V340" s="315"/>
      <c r="W340" s="315"/>
      <c r="X340" s="315"/>
      <c r="Y340" s="315"/>
      <c r="Z340" s="315"/>
      <c r="AA340" s="315"/>
      <c r="AB340" s="315"/>
      <c r="AC340" s="315"/>
      <c r="AD340" s="315"/>
      <c r="AE340" s="315"/>
      <c r="AF340" s="315"/>
      <c r="AG340" s="315"/>
      <c r="AH340" s="315"/>
      <c r="AI340" s="315"/>
      <c r="AJ340" s="315"/>
      <c r="AK340" s="315"/>
      <c r="AL340" s="315"/>
      <c r="AM340" s="315"/>
      <c r="AN340" s="315"/>
    </row>
    <row r="341">
      <c r="A341" s="315"/>
      <c r="B341" s="315"/>
      <c r="C341" s="315"/>
      <c r="D341" s="315"/>
      <c r="E341" s="315"/>
      <c r="F341" s="315"/>
      <c r="G341" s="315"/>
      <c r="H341" s="315"/>
      <c r="I341" s="315"/>
      <c r="J341" s="315"/>
      <c r="K341" s="315"/>
      <c r="L341" s="315"/>
      <c r="M341" s="315"/>
      <c r="N341" s="315"/>
      <c r="O341" s="315"/>
      <c r="P341" s="315"/>
      <c r="Q341" s="315"/>
      <c r="R341" s="315"/>
      <c r="S341" s="315"/>
      <c r="T341" s="315"/>
      <c r="U341" s="315"/>
      <c r="V341" s="315"/>
      <c r="W341" s="315"/>
      <c r="X341" s="315"/>
      <c r="Y341" s="315"/>
      <c r="Z341" s="315"/>
      <c r="AA341" s="315"/>
      <c r="AB341" s="315"/>
      <c r="AC341" s="315"/>
      <c r="AD341" s="315"/>
      <c r="AE341" s="315"/>
      <c r="AF341" s="315"/>
      <c r="AG341" s="315"/>
      <c r="AH341" s="315"/>
      <c r="AI341" s="315"/>
      <c r="AJ341" s="315"/>
      <c r="AK341" s="315"/>
      <c r="AL341" s="315"/>
      <c r="AM341" s="315"/>
      <c r="AN341" s="315"/>
    </row>
    <row r="342">
      <c r="A342" s="315"/>
      <c r="B342" s="315"/>
      <c r="C342" s="315"/>
      <c r="D342" s="315"/>
      <c r="E342" s="315"/>
      <c r="F342" s="315"/>
      <c r="G342" s="315"/>
      <c r="H342" s="315"/>
      <c r="I342" s="315"/>
      <c r="J342" s="315"/>
      <c r="K342" s="315"/>
      <c r="L342" s="315"/>
      <c r="M342" s="315"/>
      <c r="N342" s="315"/>
      <c r="O342" s="315"/>
      <c r="P342" s="315"/>
      <c r="Q342" s="315"/>
      <c r="R342" s="315"/>
      <c r="S342" s="315"/>
      <c r="T342" s="315"/>
      <c r="U342" s="315"/>
      <c r="V342" s="315"/>
      <c r="W342" s="315"/>
      <c r="X342" s="315"/>
      <c r="Y342" s="315"/>
      <c r="Z342" s="315"/>
      <c r="AA342" s="315"/>
      <c r="AB342" s="315"/>
      <c r="AC342" s="315"/>
      <c r="AD342" s="315"/>
      <c r="AE342" s="315"/>
      <c r="AF342" s="315"/>
      <c r="AG342" s="315"/>
      <c r="AH342" s="315"/>
      <c r="AI342" s="315"/>
      <c r="AJ342" s="315"/>
      <c r="AK342" s="315"/>
      <c r="AL342" s="315"/>
      <c r="AM342" s="315"/>
      <c r="AN342" s="315"/>
    </row>
    <row r="343">
      <c r="A343" s="315"/>
      <c r="B343" s="315"/>
      <c r="C343" s="315"/>
      <c r="D343" s="315"/>
      <c r="E343" s="315"/>
      <c r="F343" s="315"/>
      <c r="G343" s="315"/>
      <c r="H343" s="315"/>
      <c r="I343" s="315"/>
      <c r="J343" s="315"/>
      <c r="K343" s="315"/>
      <c r="L343" s="315"/>
      <c r="M343" s="315"/>
      <c r="N343" s="315"/>
      <c r="O343" s="315"/>
      <c r="P343" s="315"/>
      <c r="Q343" s="315"/>
      <c r="R343" s="315"/>
      <c r="S343" s="315"/>
      <c r="T343" s="315"/>
      <c r="U343" s="315"/>
      <c r="V343" s="315"/>
      <c r="W343" s="315"/>
      <c r="X343" s="315"/>
      <c r="Y343" s="315"/>
      <c r="Z343" s="315"/>
      <c r="AA343" s="315"/>
      <c r="AB343" s="315"/>
      <c r="AC343" s="315"/>
      <c r="AD343" s="315"/>
      <c r="AE343" s="315"/>
      <c r="AF343" s="315"/>
      <c r="AG343" s="315"/>
      <c r="AH343" s="315"/>
      <c r="AI343" s="315"/>
      <c r="AJ343" s="315"/>
      <c r="AK343" s="315"/>
      <c r="AL343" s="315"/>
      <c r="AM343" s="315"/>
      <c r="AN343" s="315"/>
    </row>
    <row r="344">
      <c r="A344" s="315"/>
      <c r="B344" s="315"/>
      <c r="C344" s="315"/>
      <c r="D344" s="315"/>
      <c r="E344" s="315"/>
      <c r="F344" s="315"/>
      <c r="G344" s="315"/>
      <c r="H344" s="315"/>
      <c r="I344" s="315"/>
      <c r="J344" s="315"/>
      <c r="K344" s="315"/>
      <c r="L344" s="315"/>
      <c r="M344" s="315"/>
      <c r="N344" s="315"/>
      <c r="O344" s="315"/>
      <c r="P344" s="315"/>
      <c r="Q344" s="315"/>
      <c r="R344" s="315"/>
      <c r="S344" s="315"/>
      <c r="T344" s="315"/>
      <c r="U344" s="315"/>
      <c r="V344" s="315"/>
      <c r="W344" s="315"/>
      <c r="X344" s="315"/>
      <c r="Y344" s="315"/>
      <c r="Z344" s="315"/>
      <c r="AA344" s="315"/>
      <c r="AB344" s="315"/>
      <c r="AC344" s="315"/>
      <c r="AD344" s="315"/>
      <c r="AE344" s="315"/>
      <c r="AF344" s="315"/>
      <c r="AG344" s="315"/>
      <c r="AH344" s="315"/>
      <c r="AI344" s="315"/>
      <c r="AJ344" s="315"/>
      <c r="AK344" s="315"/>
      <c r="AL344" s="315"/>
      <c r="AM344" s="315"/>
      <c r="AN344" s="315"/>
    </row>
    <row r="345">
      <c r="A345" s="315"/>
      <c r="B345" s="315"/>
      <c r="C345" s="315"/>
      <c r="D345" s="315"/>
      <c r="E345" s="315"/>
      <c r="F345" s="315"/>
      <c r="G345" s="315"/>
      <c r="H345" s="315"/>
      <c r="I345" s="315"/>
      <c r="J345" s="315"/>
      <c r="K345" s="315"/>
      <c r="L345" s="315"/>
      <c r="M345" s="315"/>
      <c r="N345" s="315"/>
      <c r="O345" s="315"/>
      <c r="P345" s="315"/>
      <c r="Q345" s="315"/>
      <c r="R345" s="315"/>
      <c r="S345" s="315"/>
      <c r="T345" s="315"/>
      <c r="U345" s="315"/>
      <c r="V345" s="315"/>
      <c r="W345" s="315"/>
      <c r="X345" s="315"/>
      <c r="Y345" s="315"/>
      <c r="Z345" s="315"/>
      <c r="AA345" s="315"/>
      <c r="AB345" s="315"/>
      <c r="AC345" s="315"/>
      <c r="AD345" s="315"/>
      <c r="AE345" s="315"/>
      <c r="AF345" s="315"/>
      <c r="AG345" s="315"/>
      <c r="AH345" s="315"/>
      <c r="AI345" s="315"/>
      <c r="AJ345" s="315"/>
      <c r="AK345" s="315"/>
      <c r="AL345" s="315"/>
      <c r="AM345" s="315"/>
      <c r="AN345" s="315"/>
    </row>
    <row r="346">
      <c r="A346" s="315"/>
      <c r="B346" s="315"/>
      <c r="C346" s="315"/>
      <c r="D346" s="315"/>
      <c r="E346" s="315"/>
      <c r="F346" s="315"/>
      <c r="G346" s="315"/>
      <c r="H346" s="315"/>
      <c r="I346" s="315"/>
      <c r="J346" s="315"/>
      <c r="K346" s="315"/>
      <c r="L346" s="315"/>
      <c r="M346" s="315"/>
      <c r="N346" s="315"/>
      <c r="O346" s="315"/>
      <c r="P346" s="315"/>
      <c r="Q346" s="315"/>
      <c r="R346" s="315"/>
      <c r="S346" s="315"/>
      <c r="T346" s="315"/>
      <c r="U346" s="315"/>
      <c r="V346" s="315"/>
      <c r="W346" s="315"/>
      <c r="X346" s="315"/>
      <c r="Y346" s="315"/>
      <c r="Z346" s="315"/>
      <c r="AA346" s="315"/>
      <c r="AB346" s="315"/>
      <c r="AC346" s="315"/>
      <c r="AD346" s="315"/>
      <c r="AE346" s="315"/>
      <c r="AF346" s="315"/>
      <c r="AG346" s="315"/>
      <c r="AH346" s="315"/>
      <c r="AI346" s="315"/>
      <c r="AJ346" s="315"/>
      <c r="AK346" s="315"/>
      <c r="AL346" s="315"/>
      <c r="AM346" s="315"/>
      <c r="AN346" s="315"/>
    </row>
    <row r="347">
      <c r="A347" s="315"/>
      <c r="B347" s="315"/>
      <c r="C347" s="315"/>
      <c r="D347" s="315"/>
      <c r="E347" s="315"/>
      <c r="F347" s="315"/>
      <c r="G347" s="315"/>
      <c r="H347" s="315"/>
      <c r="I347" s="315"/>
      <c r="J347" s="315"/>
      <c r="K347" s="315"/>
      <c r="L347" s="315"/>
      <c r="M347" s="315"/>
      <c r="N347" s="315"/>
      <c r="O347" s="315"/>
      <c r="P347" s="315"/>
      <c r="Q347" s="315"/>
      <c r="R347" s="315"/>
      <c r="S347" s="315"/>
      <c r="T347" s="315"/>
      <c r="U347" s="315"/>
      <c r="V347" s="315"/>
      <c r="W347" s="315"/>
      <c r="X347" s="315"/>
      <c r="Y347" s="315"/>
      <c r="Z347" s="315"/>
      <c r="AA347" s="315"/>
      <c r="AB347" s="315"/>
      <c r="AC347" s="315"/>
      <c r="AD347" s="315"/>
      <c r="AE347" s="315"/>
      <c r="AF347" s="315"/>
      <c r="AG347" s="315"/>
      <c r="AH347" s="315"/>
      <c r="AI347" s="315"/>
      <c r="AJ347" s="315"/>
      <c r="AK347" s="315"/>
      <c r="AL347" s="315"/>
      <c r="AM347" s="315"/>
      <c r="AN347" s="315"/>
    </row>
    <row r="348">
      <c r="A348" s="315"/>
      <c r="B348" s="315"/>
      <c r="C348" s="315"/>
      <c r="D348" s="315"/>
      <c r="E348" s="315"/>
      <c r="F348" s="315"/>
      <c r="G348" s="315"/>
      <c r="H348" s="315"/>
      <c r="I348" s="315"/>
      <c r="J348" s="315"/>
      <c r="K348" s="315"/>
      <c r="L348" s="315"/>
      <c r="M348" s="315"/>
      <c r="N348" s="315"/>
      <c r="O348" s="315"/>
      <c r="P348" s="315"/>
      <c r="Q348" s="315"/>
      <c r="R348" s="315"/>
      <c r="S348" s="315"/>
      <c r="T348" s="315"/>
      <c r="U348" s="315"/>
      <c r="V348" s="315"/>
      <c r="W348" s="315"/>
      <c r="X348" s="315"/>
      <c r="Y348" s="315"/>
      <c r="Z348" s="315"/>
      <c r="AA348" s="315"/>
      <c r="AB348" s="315"/>
      <c r="AC348" s="315"/>
      <c r="AD348" s="315"/>
      <c r="AE348" s="315"/>
      <c r="AF348" s="315"/>
      <c r="AG348" s="315"/>
      <c r="AH348" s="315"/>
      <c r="AI348" s="315"/>
      <c r="AJ348" s="315"/>
      <c r="AK348" s="315"/>
      <c r="AL348" s="315"/>
      <c r="AM348" s="315"/>
      <c r="AN348" s="315"/>
    </row>
    <row r="349">
      <c r="A349" s="315"/>
      <c r="B349" s="315"/>
      <c r="C349" s="315"/>
      <c r="D349" s="315"/>
      <c r="E349" s="315"/>
      <c r="F349" s="315"/>
      <c r="G349" s="315"/>
      <c r="H349" s="315"/>
      <c r="I349" s="315"/>
      <c r="J349" s="315"/>
      <c r="K349" s="315"/>
      <c r="L349" s="315"/>
      <c r="M349" s="315"/>
      <c r="N349" s="315"/>
      <c r="O349" s="315"/>
      <c r="P349" s="315"/>
      <c r="Q349" s="315"/>
      <c r="R349" s="315"/>
      <c r="S349" s="315"/>
      <c r="T349" s="315"/>
      <c r="U349" s="315"/>
      <c r="V349" s="315"/>
      <c r="W349" s="315"/>
      <c r="X349" s="315"/>
      <c r="Y349" s="315"/>
      <c r="Z349" s="315"/>
      <c r="AA349" s="315"/>
      <c r="AB349" s="315"/>
      <c r="AC349" s="315"/>
      <c r="AD349" s="315"/>
      <c r="AE349" s="315"/>
      <c r="AF349" s="315"/>
      <c r="AG349" s="315"/>
      <c r="AH349" s="315"/>
      <c r="AI349" s="315"/>
      <c r="AJ349" s="315"/>
      <c r="AK349" s="315"/>
      <c r="AL349" s="315"/>
      <c r="AM349" s="315"/>
      <c r="AN349" s="315"/>
    </row>
    <row r="350">
      <c r="A350" s="315"/>
      <c r="B350" s="315"/>
      <c r="C350" s="315"/>
      <c r="D350" s="315"/>
      <c r="E350" s="315"/>
      <c r="F350" s="315"/>
      <c r="G350" s="315"/>
      <c r="H350" s="315"/>
      <c r="I350" s="315"/>
      <c r="J350" s="315"/>
      <c r="K350" s="315"/>
      <c r="L350" s="315"/>
      <c r="M350" s="315"/>
      <c r="N350" s="315"/>
      <c r="O350" s="315"/>
      <c r="P350" s="315"/>
      <c r="Q350" s="315"/>
      <c r="R350" s="315"/>
      <c r="S350" s="315"/>
      <c r="T350" s="315"/>
      <c r="U350" s="315"/>
      <c r="V350" s="315"/>
      <c r="W350" s="315"/>
      <c r="X350" s="315"/>
      <c r="Y350" s="315"/>
      <c r="Z350" s="315"/>
      <c r="AA350" s="315"/>
      <c r="AB350" s="315"/>
      <c r="AC350" s="315"/>
      <c r="AD350" s="315"/>
      <c r="AE350" s="315"/>
      <c r="AF350" s="315"/>
      <c r="AG350" s="315"/>
      <c r="AH350" s="315"/>
      <c r="AI350" s="315"/>
      <c r="AJ350" s="315"/>
      <c r="AK350" s="315"/>
      <c r="AL350" s="315"/>
      <c r="AM350" s="315"/>
      <c r="AN350" s="315"/>
    </row>
    <row r="351">
      <c r="A351" s="315"/>
      <c r="B351" s="315"/>
      <c r="C351" s="315"/>
      <c r="D351" s="315"/>
      <c r="E351" s="315"/>
      <c r="F351" s="315"/>
      <c r="G351" s="315"/>
      <c r="H351" s="315"/>
      <c r="I351" s="315"/>
      <c r="J351" s="315"/>
      <c r="K351" s="315"/>
      <c r="L351" s="315"/>
      <c r="M351" s="315"/>
      <c r="N351" s="315"/>
      <c r="O351" s="315"/>
      <c r="P351" s="315"/>
      <c r="Q351" s="315"/>
      <c r="R351" s="315"/>
      <c r="S351" s="315"/>
      <c r="T351" s="315"/>
      <c r="U351" s="315"/>
      <c r="V351" s="315"/>
      <c r="W351" s="315"/>
      <c r="X351" s="315"/>
      <c r="Y351" s="315"/>
      <c r="Z351" s="315"/>
      <c r="AA351" s="315"/>
      <c r="AB351" s="315"/>
      <c r="AC351" s="315"/>
      <c r="AD351" s="315"/>
      <c r="AE351" s="315"/>
      <c r="AF351" s="315"/>
      <c r="AG351" s="315"/>
      <c r="AH351" s="315"/>
      <c r="AI351" s="315"/>
      <c r="AJ351" s="315"/>
      <c r="AK351" s="315"/>
      <c r="AL351" s="315"/>
      <c r="AM351" s="315"/>
      <c r="AN351" s="315"/>
    </row>
    <row r="352">
      <c r="A352" s="315"/>
      <c r="B352" s="315"/>
      <c r="C352" s="315"/>
      <c r="D352" s="315"/>
      <c r="E352" s="315"/>
      <c r="F352" s="315"/>
      <c r="G352" s="315"/>
      <c r="H352" s="315"/>
      <c r="I352" s="315"/>
      <c r="J352" s="315"/>
      <c r="K352" s="315"/>
      <c r="L352" s="315"/>
      <c r="M352" s="315"/>
      <c r="N352" s="315"/>
      <c r="O352" s="315"/>
      <c r="P352" s="315"/>
      <c r="Q352" s="315"/>
      <c r="R352" s="315"/>
      <c r="S352" s="315"/>
      <c r="T352" s="315"/>
      <c r="U352" s="315"/>
      <c r="V352" s="315"/>
      <c r="W352" s="315"/>
      <c r="X352" s="315"/>
      <c r="Y352" s="315"/>
      <c r="Z352" s="315"/>
      <c r="AA352" s="315"/>
      <c r="AB352" s="315"/>
      <c r="AC352" s="315"/>
      <c r="AD352" s="315"/>
      <c r="AE352" s="315"/>
      <c r="AF352" s="315"/>
      <c r="AG352" s="315"/>
      <c r="AH352" s="315"/>
      <c r="AI352" s="315"/>
      <c r="AJ352" s="315"/>
      <c r="AK352" s="315"/>
      <c r="AL352" s="315"/>
      <c r="AM352" s="315"/>
      <c r="AN352" s="315"/>
    </row>
    <row r="353">
      <c r="A353" s="315"/>
      <c r="B353" s="315"/>
      <c r="C353" s="315"/>
      <c r="D353" s="315"/>
      <c r="E353" s="315"/>
      <c r="F353" s="315"/>
      <c r="G353" s="315"/>
      <c r="H353" s="315"/>
      <c r="I353" s="315"/>
      <c r="J353" s="315"/>
      <c r="K353" s="315"/>
      <c r="L353" s="315"/>
      <c r="M353" s="315"/>
      <c r="N353" s="315"/>
      <c r="O353" s="315"/>
      <c r="P353" s="315"/>
      <c r="Q353" s="315"/>
      <c r="R353" s="315"/>
      <c r="S353" s="315"/>
      <c r="T353" s="315"/>
      <c r="U353" s="315"/>
      <c r="V353" s="315"/>
      <c r="W353" s="315"/>
      <c r="X353" s="315"/>
      <c r="Y353" s="315"/>
      <c r="Z353" s="315"/>
      <c r="AA353" s="315"/>
      <c r="AB353" s="315"/>
      <c r="AC353" s="315"/>
      <c r="AD353" s="315"/>
      <c r="AE353" s="315"/>
      <c r="AF353" s="315"/>
      <c r="AG353" s="315"/>
      <c r="AH353" s="315"/>
      <c r="AI353" s="315"/>
      <c r="AJ353" s="315"/>
      <c r="AK353" s="315"/>
      <c r="AL353" s="315"/>
      <c r="AM353" s="315"/>
      <c r="AN353" s="315"/>
    </row>
    <row r="354">
      <c r="A354" s="315"/>
      <c r="B354" s="315"/>
      <c r="C354" s="315"/>
      <c r="D354" s="315"/>
      <c r="E354" s="315"/>
      <c r="F354" s="315"/>
      <c r="G354" s="315"/>
      <c r="H354" s="315"/>
      <c r="I354" s="315"/>
      <c r="J354" s="315"/>
      <c r="K354" s="315"/>
      <c r="L354" s="315"/>
      <c r="M354" s="315"/>
      <c r="N354" s="315"/>
      <c r="O354" s="315"/>
      <c r="P354" s="315"/>
      <c r="Q354" s="315"/>
      <c r="R354" s="315"/>
      <c r="S354" s="315"/>
      <c r="T354" s="315"/>
      <c r="U354" s="315"/>
      <c r="V354" s="315"/>
      <c r="W354" s="315"/>
      <c r="X354" s="315"/>
      <c r="Y354" s="315"/>
      <c r="Z354" s="315"/>
      <c r="AA354" s="315"/>
      <c r="AB354" s="315"/>
      <c r="AC354" s="315"/>
      <c r="AD354" s="315"/>
      <c r="AE354" s="315"/>
      <c r="AF354" s="315"/>
      <c r="AG354" s="315"/>
      <c r="AH354" s="315"/>
      <c r="AI354" s="315"/>
      <c r="AJ354" s="315"/>
      <c r="AK354" s="315"/>
      <c r="AL354" s="315"/>
      <c r="AM354" s="315"/>
      <c r="AN354" s="315"/>
    </row>
    <row r="355">
      <c r="A355" s="315"/>
      <c r="B355" s="315"/>
      <c r="C355" s="315"/>
      <c r="D355" s="315"/>
      <c r="E355" s="315"/>
      <c r="F355" s="315"/>
      <c r="G355" s="315"/>
      <c r="H355" s="315"/>
      <c r="I355" s="315"/>
      <c r="J355" s="315"/>
      <c r="K355" s="315"/>
      <c r="L355" s="315"/>
      <c r="M355" s="315"/>
      <c r="N355" s="315"/>
      <c r="O355" s="315"/>
      <c r="P355" s="315"/>
      <c r="Q355" s="315"/>
      <c r="R355" s="315"/>
      <c r="S355" s="315"/>
      <c r="T355" s="315"/>
      <c r="U355" s="315"/>
      <c r="V355" s="315"/>
      <c r="W355" s="315"/>
      <c r="X355" s="315"/>
      <c r="Y355" s="315"/>
      <c r="Z355" s="315"/>
      <c r="AA355" s="315"/>
      <c r="AB355" s="315"/>
      <c r="AC355" s="315"/>
      <c r="AD355" s="315"/>
      <c r="AE355" s="315"/>
      <c r="AF355" s="315"/>
      <c r="AG355" s="315"/>
      <c r="AH355" s="315"/>
      <c r="AI355" s="315"/>
      <c r="AJ355" s="315"/>
      <c r="AK355" s="315"/>
      <c r="AL355" s="315"/>
      <c r="AM355" s="315"/>
      <c r="AN355" s="315"/>
    </row>
    <row r="356">
      <c r="A356" s="315"/>
      <c r="B356" s="315"/>
      <c r="C356" s="315"/>
      <c r="D356" s="315"/>
      <c r="E356" s="315"/>
      <c r="F356" s="315"/>
      <c r="G356" s="315"/>
      <c r="H356" s="315"/>
      <c r="I356" s="315"/>
      <c r="J356" s="315"/>
      <c r="K356" s="315"/>
      <c r="L356" s="315"/>
      <c r="M356" s="315"/>
      <c r="N356" s="315"/>
      <c r="O356" s="315"/>
      <c r="P356" s="315"/>
      <c r="Q356" s="315"/>
      <c r="R356" s="315"/>
      <c r="S356" s="315"/>
      <c r="T356" s="315"/>
      <c r="U356" s="315"/>
      <c r="V356" s="315"/>
      <c r="W356" s="315"/>
      <c r="X356" s="315"/>
      <c r="Y356" s="315"/>
      <c r="Z356" s="315"/>
      <c r="AA356" s="315"/>
      <c r="AB356" s="315"/>
      <c r="AC356" s="315"/>
      <c r="AD356" s="315"/>
      <c r="AE356" s="315"/>
      <c r="AF356" s="315"/>
      <c r="AG356" s="315"/>
      <c r="AH356" s="315"/>
      <c r="AI356" s="315"/>
      <c r="AJ356" s="315"/>
      <c r="AK356" s="315"/>
      <c r="AL356" s="315"/>
      <c r="AM356" s="315"/>
      <c r="AN356" s="315"/>
    </row>
    <row r="357">
      <c r="A357" s="315"/>
      <c r="B357" s="315"/>
      <c r="C357" s="315"/>
      <c r="D357" s="315"/>
      <c r="E357" s="315"/>
      <c r="F357" s="315"/>
      <c r="G357" s="315"/>
      <c r="H357" s="315"/>
      <c r="I357" s="315"/>
      <c r="J357" s="315"/>
      <c r="K357" s="315"/>
      <c r="L357" s="315"/>
      <c r="M357" s="315"/>
      <c r="N357" s="315"/>
      <c r="O357" s="315"/>
      <c r="P357" s="315"/>
      <c r="Q357" s="315"/>
      <c r="R357" s="315"/>
      <c r="S357" s="315"/>
      <c r="T357" s="315"/>
      <c r="U357" s="315"/>
      <c r="V357" s="315"/>
      <c r="W357" s="315"/>
      <c r="X357" s="315"/>
      <c r="Y357" s="315"/>
      <c r="Z357" s="315"/>
      <c r="AA357" s="315"/>
      <c r="AB357" s="315"/>
      <c r="AC357" s="315"/>
      <c r="AD357" s="315"/>
      <c r="AE357" s="315"/>
      <c r="AF357" s="315"/>
      <c r="AG357" s="315"/>
      <c r="AH357" s="315"/>
      <c r="AI357" s="315"/>
      <c r="AJ357" s="315"/>
      <c r="AK357" s="315"/>
      <c r="AL357" s="315"/>
      <c r="AM357" s="315"/>
      <c r="AN357" s="315"/>
    </row>
    <row r="358">
      <c r="A358" s="315"/>
      <c r="B358" s="315"/>
      <c r="C358" s="315"/>
      <c r="D358" s="315"/>
      <c r="E358" s="315"/>
      <c r="F358" s="315"/>
      <c r="G358" s="315"/>
      <c r="H358" s="315"/>
      <c r="I358" s="315"/>
      <c r="J358" s="315"/>
      <c r="K358" s="315"/>
      <c r="L358" s="315"/>
      <c r="M358" s="315"/>
      <c r="N358" s="315"/>
      <c r="O358" s="315"/>
      <c r="P358" s="315"/>
      <c r="Q358" s="315"/>
      <c r="R358" s="315"/>
      <c r="S358" s="315"/>
      <c r="T358" s="315"/>
      <c r="U358" s="315"/>
      <c r="V358" s="315"/>
      <c r="W358" s="315"/>
      <c r="X358" s="315"/>
      <c r="Y358" s="315"/>
      <c r="Z358" s="315"/>
      <c r="AA358" s="315"/>
      <c r="AB358" s="315"/>
      <c r="AC358" s="315"/>
      <c r="AD358" s="315"/>
      <c r="AE358" s="315"/>
      <c r="AF358" s="315"/>
      <c r="AG358" s="315"/>
      <c r="AH358" s="315"/>
      <c r="AI358" s="315"/>
      <c r="AJ358" s="315"/>
      <c r="AK358" s="315"/>
      <c r="AL358" s="315"/>
      <c r="AM358" s="315"/>
      <c r="AN358" s="315"/>
    </row>
    <row r="359">
      <c r="A359" s="315"/>
      <c r="B359" s="315"/>
      <c r="C359" s="315"/>
      <c r="D359" s="315"/>
      <c r="E359" s="315"/>
      <c r="F359" s="315"/>
      <c r="G359" s="315"/>
      <c r="H359" s="315"/>
      <c r="I359" s="315"/>
      <c r="J359" s="315"/>
      <c r="K359" s="315"/>
      <c r="L359" s="315"/>
      <c r="M359" s="315"/>
      <c r="N359" s="315"/>
      <c r="O359" s="315"/>
      <c r="P359" s="315"/>
      <c r="Q359" s="315"/>
      <c r="R359" s="315"/>
      <c r="S359" s="315"/>
      <c r="T359" s="315"/>
      <c r="U359" s="315"/>
      <c r="V359" s="315"/>
      <c r="W359" s="315"/>
      <c r="X359" s="315"/>
      <c r="Y359" s="315"/>
      <c r="Z359" s="315"/>
      <c r="AA359" s="315"/>
      <c r="AB359" s="315"/>
      <c r="AC359" s="315"/>
      <c r="AD359" s="315"/>
      <c r="AE359" s="315"/>
      <c r="AF359" s="315"/>
      <c r="AG359" s="315"/>
      <c r="AH359" s="315"/>
      <c r="AI359" s="315"/>
      <c r="AJ359" s="315"/>
      <c r="AK359" s="315"/>
      <c r="AL359" s="315"/>
      <c r="AM359" s="315"/>
      <c r="AN359" s="315"/>
    </row>
    <row r="360">
      <c r="A360" s="315"/>
      <c r="B360" s="315"/>
      <c r="C360" s="315"/>
      <c r="D360" s="315"/>
      <c r="E360" s="315"/>
      <c r="F360" s="315"/>
      <c r="G360" s="315"/>
      <c r="H360" s="315"/>
      <c r="I360" s="315"/>
      <c r="J360" s="315"/>
      <c r="K360" s="315"/>
      <c r="L360" s="315"/>
      <c r="M360" s="315"/>
      <c r="N360" s="315"/>
      <c r="O360" s="315"/>
      <c r="P360" s="315"/>
      <c r="Q360" s="315"/>
      <c r="R360" s="315"/>
      <c r="S360" s="315"/>
      <c r="T360" s="315"/>
      <c r="U360" s="315"/>
      <c r="V360" s="315"/>
      <c r="W360" s="315"/>
      <c r="X360" s="315"/>
      <c r="Y360" s="315"/>
      <c r="Z360" s="315"/>
      <c r="AA360" s="315"/>
      <c r="AB360" s="315"/>
      <c r="AC360" s="315"/>
      <c r="AD360" s="315"/>
      <c r="AE360" s="315"/>
      <c r="AF360" s="315"/>
      <c r="AG360" s="315"/>
      <c r="AH360" s="315"/>
      <c r="AI360" s="315"/>
      <c r="AJ360" s="315"/>
      <c r="AK360" s="315"/>
      <c r="AL360" s="315"/>
      <c r="AM360" s="315"/>
      <c r="AN360" s="315"/>
    </row>
    <row r="361">
      <c r="A361" s="315"/>
      <c r="B361" s="315"/>
      <c r="C361" s="315"/>
      <c r="D361" s="315"/>
      <c r="E361" s="315"/>
      <c r="F361" s="315"/>
      <c r="G361" s="315"/>
      <c r="H361" s="315"/>
      <c r="I361" s="315"/>
      <c r="J361" s="315"/>
      <c r="K361" s="315"/>
      <c r="L361" s="315"/>
      <c r="M361" s="315"/>
      <c r="N361" s="315"/>
      <c r="O361" s="315"/>
      <c r="P361" s="315"/>
      <c r="Q361" s="315"/>
      <c r="R361" s="315"/>
      <c r="S361" s="315"/>
      <c r="T361" s="315"/>
      <c r="U361" s="315"/>
      <c r="V361" s="315"/>
      <c r="W361" s="315"/>
      <c r="X361" s="315"/>
      <c r="Y361" s="315"/>
      <c r="Z361" s="315"/>
      <c r="AA361" s="315"/>
      <c r="AB361" s="315"/>
      <c r="AC361" s="315"/>
      <c r="AD361" s="315"/>
      <c r="AE361" s="315"/>
      <c r="AF361" s="315"/>
      <c r="AG361" s="315"/>
      <c r="AH361" s="315"/>
      <c r="AI361" s="315"/>
      <c r="AJ361" s="315"/>
      <c r="AK361" s="315"/>
      <c r="AL361" s="315"/>
      <c r="AM361" s="315"/>
      <c r="AN361" s="315"/>
    </row>
    <row r="362">
      <c r="A362" s="315"/>
      <c r="B362" s="315"/>
      <c r="C362" s="315"/>
      <c r="D362" s="315"/>
      <c r="E362" s="315"/>
      <c r="F362" s="315"/>
      <c r="G362" s="315"/>
      <c r="H362" s="315"/>
      <c r="I362" s="315"/>
      <c r="J362" s="315"/>
      <c r="K362" s="315"/>
      <c r="L362" s="315"/>
      <c r="M362" s="315"/>
      <c r="N362" s="315"/>
      <c r="O362" s="315"/>
      <c r="P362" s="315"/>
      <c r="Q362" s="315"/>
      <c r="R362" s="315"/>
      <c r="S362" s="315"/>
      <c r="T362" s="315"/>
      <c r="U362" s="315"/>
      <c r="V362" s="315"/>
      <c r="W362" s="315"/>
      <c r="X362" s="315"/>
      <c r="Y362" s="315"/>
      <c r="Z362" s="315"/>
      <c r="AA362" s="315"/>
      <c r="AB362" s="315"/>
      <c r="AC362" s="315"/>
      <c r="AD362" s="315"/>
      <c r="AE362" s="315"/>
      <c r="AF362" s="315"/>
      <c r="AG362" s="315"/>
      <c r="AH362" s="315"/>
      <c r="AI362" s="315"/>
      <c r="AJ362" s="315"/>
      <c r="AK362" s="315"/>
      <c r="AL362" s="315"/>
      <c r="AM362" s="315"/>
      <c r="AN362" s="315"/>
    </row>
    <row r="363">
      <c r="A363" s="315"/>
      <c r="B363" s="315"/>
      <c r="C363" s="315"/>
      <c r="D363" s="315"/>
      <c r="E363" s="315"/>
      <c r="F363" s="315"/>
      <c r="G363" s="315"/>
      <c r="H363" s="315"/>
      <c r="I363" s="315"/>
      <c r="J363" s="315"/>
      <c r="K363" s="315"/>
      <c r="L363" s="315"/>
      <c r="M363" s="315"/>
      <c r="N363" s="315"/>
      <c r="O363" s="315"/>
      <c r="P363" s="315"/>
      <c r="Q363" s="315"/>
      <c r="R363" s="315"/>
      <c r="S363" s="315"/>
      <c r="T363" s="315"/>
      <c r="U363" s="315"/>
      <c r="V363" s="315"/>
      <c r="W363" s="315"/>
      <c r="X363" s="315"/>
      <c r="Y363" s="315"/>
      <c r="Z363" s="315"/>
      <c r="AA363" s="315"/>
      <c r="AB363" s="315"/>
      <c r="AC363" s="315"/>
      <c r="AD363" s="315"/>
      <c r="AE363" s="315"/>
      <c r="AF363" s="315"/>
      <c r="AG363" s="315"/>
      <c r="AH363" s="315"/>
      <c r="AI363" s="315"/>
      <c r="AJ363" s="315"/>
      <c r="AK363" s="315"/>
      <c r="AL363" s="315"/>
      <c r="AM363" s="315"/>
      <c r="AN363" s="315"/>
    </row>
    <row r="364">
      <c r="A364" s="315"/>
      <c r="B364" s="315"/>
      <c r="C364" s="315"/>
      <c r="D364" s="315"/>
      <c r="E364" s="315"/>
      <c r="F364" s="315"/>
      <c r="G364" s="315"/>
      <c r="H364" s="315"/>
      <c r="I364" s="315"/>
      <c r="J364" s="315"/>
      <c r="K364" s="315"/>
      <c r="L364" s="315"/>
      <c r="M364" s="315"/>
      <c r="N364" s="315"/>
      <c r="O364" s="315"/>
      <c r="P364" s="315"/>
      <c r="Q364" s="315"/>
      <c r="R364" s="315"/>
      <c r="S364" s="315"/>
      <c r="T364" s="315"/>
      <c r="U364" s="315"/>
      <c r="V364" s="315"/>
      <c r="W364" s="315"/>
      <c r="X364" s="315"/>
      <c r="Y364" s="315"/>
      <c r="Z364" s="315"/>
      <c r="AA364" s="315"/>
      <c r="AB364" s="315"/>
      <c r="AC364" s="315"/>
      <c r="AD364" s="315"/>
      <c r="AE364" s="315"/>
      <c r="AF364" s="315"/>
      <c r="AG364" s="315"/>
      <c r="AH364" s="315"/>
      <c r="AI364" s="315"/>
      <c r="AJ364" s="315"/>
      <c r="AK364" s="315"/>
      <c r="AL364" s="315"/>
      <c r="AM364" s="315"/>
      <c r="AN364" s="315"/>
    </row>
    <row r="365">
      <c r="A365" s="315"/>
      <c r="B365" s="315"/>
      <c r="C365" s="315"/>
      <c r="D365" s="315"/>
      <c r="E365" s="315"/>
      <c r="F365" s="315"/>
      <c r="G365" s="315"/>
      <c r="H365" s="315"/>
      <c r="I365" s="315"/>
      <c r="J365" s="315"/>
      <c r="K365" s="315"/>
      <c r="L365" s="315"/>
      <c r="M365" s="315"/>
      <c r="N365" s="315"/>
      <c r="O365" s="315"/>
      <c r="P365" s="315"/>
      <c r="Q365" s="315"/>
      <c r="R365" s="315"/>
      <c r="S365" s="315"/>
      <c r="T365" s="315"/>
      <c r="U365" s="315"/>
      <c r="V365" s="315"/>
      <c r="W365" s="315"/>
      <c r="X365" s="315"/>
      <c r="Y365" s="315"/>
      <c r="Z365" s="315"/>
      <c r="AA365" s="315"/>
      <c r="AB365" s="315"/>
      <c r="AC365" s="315"/>
      <c r="AD365" s="315"/>
      <c r="AE365" s="315"/>
      <c r="AF365" s="315"/>
      <c r="AG365" s="315"/>
      <c r="AH365" s="315"/>
      <c r="AI365" s="315"/>
      <c r="AJ365" s="315"/>
      <c r="AK365" s="315"/>
      <c r="AL365" s="315"/>
      <c r="AM365" s="315"/>
      <c r="AN365" s="315"/>
    </row>
    <row r="366">
      <c r="A366" s="315"/>
      <c r="B366" s="315"/>
      <c r="C366" s="315"/>
      <c r="D366" s="315"/>
      <c r="E366" s="315"/>
      <c r="F366" s="315"/>
      <c r="G366" s="315"/>
      <c r="H366" s="315"/>
      <c r="I366" s="315"/>
      <c r="J366" s="315"/>
      <c r="K366" s="315"/>
      <c r="L366" s="315"/>
      <c r="M366" s="315"/>
      <c r="N366" s="315"/>
      <c r="O366" s="315"/>
      <c r="P366" s="315"/>
      <c r="Q366" s="315"/>
      <c r="R366" s="315"/>
      <c r="S366" s="315"/>
      <c r="T366" s="315"/>
      <c r="U366" s="315"/>
      <c r="V366" s="315"/>
      <c r="W366" s="315"/>
      <c r="X366" s="315"/>
      <c r="Y366" s="315"/>
      <c r="Z366" s="315"/>
      <c r="AA366" s="315"/>
      <c r="AB366" s="315"/>
      <c r="AC366" s="315"/>
      <c r="AD366" s="315"/>
      <c r="AE366" s="315"/>
      <c r="AF366" s="315"/>
      <c r="AG366" s="315"/>
      <c r="AH366" s="315"/>
      <c r="AI366" s="315"/>
      <c r="AJ366" s="315"/>
      <c r="AK366" s="315"/>
      <c r="AL366" s="315"/>
      <c r="AM366" s="315"/>
      <c r="AN366" s="315"/>
    </row>
    <row r="367">
      <c r="A367" s="315"/>
      <c r="B367" s="315"/>
      <c r="C367" s="315"/>
      <c r="D367" s="315"/>
      <c r="E367" s="315"/>
      <c r="F367" s="315"/>
      <c r="G367" s="315"/>
      <c r="H367" s="315"/>
      <c r="I367" s="315"/>
      <c r="J367" s="315"/>
      <c r="K367" s="315"/>
      <c r="L367" s="315"/>
      <c r="M367" s="315"/>
      <c r="N367" s="315"/>
      <c r="O367" s="315"/>
      <c r="P367" s="315"/>
      <c r="Q367" s="315"/>
      <c r="R367" s="315"/>
      <c r="S367" s="315"/>
      <c r="T367" s="315"/>
      <c r="U367" s="315"/>
      <c r="V367" s="315"/>
      <c r="W367" s="315"/>
      <c r="X367" s="315"/>
      <c r="Y367" s="315"/>
      <c r="Z367" s="315"/>
      <c r="AA367" s="315"/>
      <c r="AB367" s="315"/>
      <c r="AC367" s="315"/>
      <c r="AD367" s="315"/>
      <c r="AE367" s="315"/>
      <c r="AF367" s="315"/>
      <c r="AG367" s="315"/>
      <c r="AH367" s="315"/>
      <c r="AI367" s="315"/>
      <c r="AJ367" s="315"/>
      <c r="AK367" s="315"/>
      <c r="AL367" s="315"/>
      <c r="AM367" s="315"/>
      <c r="AN367" s="315"/>
    </row>
    <row r="368">
      <c r="A368" s="315"/>
      <c r="B368" s="315"/>
      <c r="C368" s="315"/>
      <c r="D368" s="315"/>
      <c r="E368" s="315"/>
      <c r="F368" s="315"/>
      <c r="G368" s="315"/>
      <c r="H368" s="315"/>
      <c r="I368" s="315"/>
      <c r="J368" s="315"/>
      <c r="K368" s="315"/>
      <c r="L368" s="315"/>
      <c r="M368" s="315"/>
      <c r="N368" s="315"/>
      <c r="O368" s="315"/>
      <c r="P368" s="315"/>
      <c r="Q368" s="315"/>
      <c r="R368" s="315"/>
      <c r="S368" s="315"/>
      <c r="T368" s="315"/>
      <c r="U368" s="315"/>
      <c r="V368" s="315"/>
      <c r="W368" s="315"/>
      <c r="X368" s="315"/>
      <c r="Y368" s="315"/>
      <c r="Z368" s="315"/>
      <c r="AA368" s="315"/>
      <c r="AB368" s="315"/>
      <c r="AC368" s="315"/>
      <c r="AD368" s="315"/>
      <c r="AE368" s="315"/>
      <c r="AF368" s="315"/>
      <c r="AG368" s="315"/>
      <c r="AH368" s="315"/>
      <c r="AI368" s="315"/>
      <c r="AJ368" s="315"/>
      <c r="AK368" s="315"/>
      <c r="AL368" s="315"/>
      <c r="AM368" s="315"/>
      <c r="AN368" s="315"/>
    </row>
    <row r="369">
      <c r="A369" s="315"/>
      <c r="B369" s="315"/>
      <c r="C369" s="315"/>
      <c r="D369" s="315"/>
      <c r="E369" s="315"/>
      <c r="F369" s="315"/>
      <c r="G369" s="315"/>
      <c r="H369" s="315"/>
      <c r="I369" s="315"/>
      <c r="J369" s="315"/>
      <c r="K369" s="315"/>
      <c r="L369" s="315"/>
      <c r="M369" s="315"/>
      <c r="N369" s="315"/>
      <c r="O369" s="315"/>
      <c r="P369" s="315"/>
      <c r="Q369" s="315"/>
      <c r="R369" s="315"/>
      <c r="S369" s="315"/>
      <c r="T369" s="315"/>
      <c r="U369" s="315"/>
      <c r="V369" s="315"/>
      <c r="W369" s="315"/>
      <c r="X369" s="315"/>
      <c r="Y369" s="315"/>
      <c r="Z369" s="315"/>
      <c r="AA369" s="315"/>
      <c r="AB369" s="315"/>
      <c r="AC369" s="315"/>
      <c r="AD369" s="315"/>
      <c r="AE369" s="315"/>
      <c r="AF369" s="315"/>
      <c r="AG369" s="315"/>
      <c r="AH369" s="315"/>
      <c r="AI369" s="315"/>
      <c r="AJ369" s="315"/>
      <c r="AK369" s="315"/>
      <c r="AL369" s="315"/>
      <c r="AM369" s="315"/>
      <c r="AN369" s="315"/>
    </row>
    <row r="370">
      <c r="A370" s="315"/>
      <c r="B370" s="315"/>
      <c r="C370" s="315"/>
      <c r="D370" s="315"/>
      <c r="E370" s="315"/>
      <c r="F370" s="315"/>
      <c r="G370" s="315"/>
      <c r="H370" s="315"/>
      <c r="I370" s="315"/>
      <c r="J370" s="315"/>
      <c r="K370" s="315"/>
      <c r="L370" s="315"/>
      <c r="M370" s="315"/>
      <c r="N370" s="315"/>
      <c r="O370" s="315"/>
      <c r="P370" s="315"/>
      <c r="Q370" s="315"/>
      <c r="R370" s="315"/>
      <c r="S370" s="315"/>
      <c r="T370" s="315"/>
      <c r="U370" s="315"/>
      <c r="V370" s="315"/>
      <c r="W370" s="315"/>
      <c r="X370" s="315"/>
      <c r="Y370" s="315"/>
      <c r="Z370" s="315"/>
      <c r="AA370" s="315"/>
      <c r="AB370" s="315"/>
      <c r="AC370" s="315"/>
      <c r="AD370" s="315"/>
      <c r="AE370" s="315"/>
      <c r="AF370" s="315"/>
      <c r="AG370" s="315"/>
      <c r="AH370" s="315"/>
      <c r="AI370" s="315"/>
      <c r="AJ370" s="315"/>
      <c r="AK370" s="315"/>
      <c r="AL370" s="315"/>
      <c r="AM370" s="315"/>
      <c r="AN370" s="315"/>
    </row>
    <row r="371">
      <c r="A371" s="315"/>
      <c r="B371" s="315"/>
      <c r="C371" s="315"/>
      <c r="D371" s="315"/>
      <c r="E371" s="315"/>
      <c r="F371" s="315"/>
      <c r="G371" s="315"/>
      <c r="H371" s="315"/>
      <c r="I371" s="315"/>
      <c r="J371" s="315"/>
      <c r="K371" s="315"/>
      <c r="L371" s="315"/>
      <c r="M371" s="315"/>
      <c r="N371" s="315"/>
      <c r="O371" s="315"/>
      <c r="P371" s="315"/>
      <c r="Q371" s="315"/>
      <c r="R371" s="315"/>
      <c r="S371" s="315"/>
      <c r="T371" s="315"/>
      <c r="U371" s="315"/>
      <c r="V371" s="315"/>
      <c r="W371" s="315"/>
      <c r="X371" s="315"/>
      <c r="Y371" s="315"/>
      <c r="Z371" s="315"/>
      <c r="AA371" s="315"/>
      <c r="AB371" s="315"/>
      <c r="AC371" s="315"/>
      <c r="AD371" s="315"/>
      <c r="AE371" s="315"/>
      <c r="AF371" s="315"/>
      <c r="AG371" s="315"/>
      <c r="AH371" s="315"/>
      <c r="AI371" s="315"/>
      <c r="AJ371" s="315"/>
      <c r="AK371" s="315"/>
      <c r="AL371" s="315"/>
      <c r="AM371" s="315"/>
      <c r="AN371" s="315"/>
    </row>
    <row r="372">
      <c r="A372" s="315"/>
      <c r="B372" s="315"/>
      <c r="C372" s="315"/>
      <c r="D372" s="315"/>
      <c r="E372" s="315"/>
      <c r="F372" s="315"/>
      <c r="G372" s="315"/>
      <c r="H372" s="315"/>
      <c r="I372" s="315"/>
      <c r="J372" s="315"/>
      <c r="K372" s="315"/>
      <c r="L372" s="315"/>
      <c r="M372" s="315"/>
      <c r="N372" s="315"/>
      <c r="O372" s="315"/>
      <c r="P372" s="315"/>
      <c r="Q372" s="315"/>
      <c r="R372" s="315"/>
      <c r="S372" s="315"/>
      <c r="T372" s="315"/>
      <c r="U372" s="315"/>
      <c r="V372" s="315"/>
      <c r="W372" s="315"/>
      <c r="X372" s="315"/>
      <c r="Y372" s="315"/>
      <c r="Z372" s="315"/>
      <c r="AA372" s="315"/>
      <c r="AB372" s="315"/>
      <c r="AC372" s="315"/>
      <c r="AD372" s="315"/>
      <c r="AE372" s="315"/>
      <c r="AF372" s="315"/>
      <c r="AG372" s="315"/>
      <c r="AH372" s="315"/>
      <c r="AI372" s="315"/>
      <c r="AJ372" s="315"/>
      <c r="AK372" s="315"/>
      <c r="AL372" s="315"/>
      <c r="AM372" s="315"/>
      <c r="AN372" s="315"/>
    </row>
    <row r="373">
      <c r="A373" s="315"/>
      <c r="B373" s="315"/>
      <c r="C373" s="315"/>
      <c r="D373" s="315"/>
      <c r="E373" s="315"/>
      <c r="F373" s="315"/>
      <c r="G373" s="315"/>
      <c r="H373" s="315"/>
      <c r="I373" s="315"/>
      <c r="J373" s="315"/>
      <c r="K373" s="315"/>
      <c r="L373" s="315"/>
      <c r="M373" s="315"/>
      <c r="N373" s="315"/>
      <c r="O373" s="315"/>
      <c r="P373" s="315"/>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row>
    <row r="374">
      <c r="A374" s="315"/>
      <c r="B374" s="315"/>
      <c r="C374" s="315"/>
      <c r="D374" s="315"/>
      <c r="E374" s="315"/>
      <c r="F374" s="315"/>
      <c r="G374" s="315"/>
      <c r="H374" s="315"/>
      <c r="I374" s="315"/>
      <c r="J374" s="315"/>
      <c r="K374" s="315"/>
      <c r="L374" s="315"/>
      <c r="M374" s="315"/>
      <c r="N374" s="315"/>
      <c r="O374" s="315"/>
      <c r="P374" s="315"/>
      <c r="Q374" s="315"/>
      <c r="R374" s="315"/>
      <c r="S374" s="315"/>
      <c r="T374" s="315"/>
      <c r="U374" s="315"/>
      <c r="V374" s="315"/>
      <c r="W374" s="315"/>
      <c r="X374" s="315"/>
      <c r="Y374" s="315"/>
      <c r="Z374" s="315"/>
      <c r="AA374" s="315"/>
      <c r="AB374" s="315"/>
      <c r="AC374" s="315"/>
      <c r="AD374" s="315"/>
      <c r="AE374" s="315"/>
      <c r="AF374" s="315"/>
      <c r="AG374" s="315"/>
      <c r="AH374" s="315"/>
      <c r="AI374" s="315"/>
      <c r="AJ374" s="315"/>
      <c r="AK374" s="315"/>
      <c r="AL374" s="315"/>
      <c r="AM374" s="315"/>
      <c r="AN374" s="315"/>
    </row>
    <row r="375">
      <c r="A375" s="315"/>
      <c r="B375" s="315"/>
      <c r="C375" s="315"/>
      <c r="D375" s="315"/>
      <c r="E375" s="315"/>
      <c r="F375" s="315"/>
      <c r="G375" s="315"/>
      <c r="H375" s="315"/>
      <c r="I375" s="315"/>
      <c r="J375" s="315"/>
      <c r="K375" s="315"/>
      <c r="L375" s="315"/>
      <c r="M375" s="315"/>
      <c r="N375" s="315"/>
      <c r="O375" s="315"/>
      <c r="P375" s="315"/>
      <c r="Q375" s="315"/>
      <c r="R375" s="315"/>
      <c r="S375" s="315"/>
      <c r="T375" s="315"/>
      <c r="U375" s="315"/>
      <c r="V375" s="315"/>
      <c r="W375" s="315"/>
      <c r="X375" s="315"/>
      <c r="Y375" s="315"/>
      <c r="Z375" s="315"/>
      <c r="AA375" s="315"/>
      <c r="AB375" s="315"/>
      <c r="AC375" s="315"/>
      <c r="AD375" s="315"/>
      <c r="AE375" s="315"/>
      <c r="AF375" s="315"/>
      <c r="AG375" s="315"/>
      <c r="AH375" s="315"/>
      <c r="AI375" s="315"/>
      <c r="AJ375" s="315"/>
      <c r="AK375" s="315"/>
      <c r="AL375" s="315"/>
      <c r="AM375" s="315"/>
      <c r="AN375" s="315"/>
    </row>
    <row r="376">
      <c r="A376" s="315"/>
      <c r="B376" s="315"/>
      <c r="C376" s="315"/>
      <c r="D376" s="315"/>
      <c r="E376" s="315"/>
      <c r="F376" s="315"/>
      <c r="G376" s="315"/>
      <c r="H376" s="315"/>
      <c r="I376" s="315"/>
      <c r="J376" s="315"/>
      <c r="K376" s="315"/>
      <c r="L376" s="315"/>
      <c r="M376" s="315"/>
      <c r="N376" s="315"/>
      <c r="O376" s="315"/>
      <c r="P376" s="315"/>
      <c r="Q376" s="315"/>
      <c r="R376" s="315"/>
      <c r="S376" s="315"/>
      <c r="T376" s="315"/>
      <c r="U376" s="315"/>
      <c r="V376" s="315"/>
      <c r="W376" s="315"/>
      <c r="X376" s="315"/>
      <c r="Y376" s="315"/>
      <c r="Z376" s="315"/>
      <c r="AA376" s="315"/>
      <c r="AB376" s="315"/>
      <c r="AC376" s="315"/>
      <c r="AD376" s="315"/>
      <c r="AE376" s="315"/>
      <c r="AF376" s="315"/>
      <c r="AG376" s="315"/>
      <c r="AH376" s="315"/>
      <c r="AI376" s="315"/>
      <c r="AJ376" s="315"/>
      <c r="AK376" s="315"/>
      <c r="AL376" s="315"/>
      <c r="AM376" s="315"/>
      <c r="AN376" s="315"/>
    </row>
    <row r="377">
      <c r="A377" s="315"/>
      <c r="B377" s="315"/>
      <c r="C377" s="315"/>
      <c r="D377" s="315"/>
      <c r="E377" s="315"/>
      <c r="F377" s="315"/>
      <c r="G377" s="315"/>
      <c r="H377" s="315"/>
      <c r="I377" s="315"/>
      <c r="J377" s="315"/>
      <c r="K377" s="315"/>
      <c r="L377" s="315"/>
      <c r="M377" s="315"/>
      <c r="N377" s="315"/>
      <c r="O377" s="315"/>
      <c r="P377" s="315"/>
      <c r="Q377" s="315"/>
      <c r="R377" s="315"/>
      <c r="S377" s="315"/>
      <c r="T377" s="315"/>
      <c r="U377" s="315"/>
      <c r="V377" s="315"/>
      <c r="W377" s="315"/>
      <c r="X377" s="315"/>
      <c r="Y377" s="315"/>
      <c r="Z377" s="315"/>
      <c r="AA377" s="315"/>
      <c r="AB377" s="315"/>
      <c r="AC377" s="315"/>
      <c r="AD377" s="315"/>
      <c r="AE377" s="315"/>
      <c r="AF377" s="315"/>
      <c r="AG377" s="315"/>
      <c r="AH377" s="315"/>
      <c r="AI377" s="315"/>
      <c r="AJ377" s="315"/>
      <c r="AK377" s="315"/>
      <c r="AL377" s="315"/>
      <c r="AM377" s="315"/>
      <c r="AN377" s="315"/>
    </row>
    <row r="378">
      <c r="A378" s="315"/>
      <c r="B378" s="315"/>
      <c r="C378" s="315"/>
      <c r="D378" s="315"/>
      <c r="E378" s="315"/>
      <c r="F378" s="315"/>
      <c r="G378" s="315"/>
      <c r="H378" s="315"/>
      <c r="I378" s="315"/>
      <c r="J378" s="315"/>
      <c r="K378" s="315"/>
      <c r="L378" s="315"/>
      <c r="M378" s="315"/>
      <c r="N378" s="315"/>
      <c r="O378" s="315"/>
      <c r="P378" s="315"/>
      <c r="Q378" s="315"/>
      <c r="R378" s="315"/>
      <c r="S378" s="315"/>
      <c r="T378" s="315"/>
      <c r="U378" s="315"/>
      <c r="V378" s="315"/>
      <c r="W378" s="315"/>
      <c r="X378" s="315"/>
      <c r="Y378" s="315"/>
      <c r="Z378" s="315"/>
      <c r="AA378" s="315"/>
      <c r="AB378" s="315"/>
      <c r="AC378" s="315"/>
      <c r="AD378" s="315"/>
      <c r="AE378" s="315"/>
      <c r="AF378" s="315"/>
      <c r="AG378" s="315"/>
      <c r="AH378" s="315"/>
      <c r="AI378" s="315"/>
      <c r="AJ378" s="315"/>
      <c r="AK378" s="315"/>
      <c r="AL378" s="315"/>
      <c r="AM378" s="315"/>
      <c r="AN378" s="315"/>
    </row>
    <row r="379">
      <c r="A379" s="315"/>
      <c r="B379" s="315"/>
      <c r="C379" s="315"/>
      <c r="D379" s="315"/>
      <c r="E379" s="315"/>
      <c r="F379" s="315"/>
      <c r="G379" s="315"/>
      <c r="H379" s="315"/>
      <c r="I379" s="315"/>
      <c r="J379" s="315"/>
      <c r="K379" s="315"/>
      <c r="L379" s="315"/>
      <c r="M379" s="315"/>
      <c r="N379" s="315"/>
      <c r="O379" s="315"/>
      <c r="P379" s="315"/>
      <c r="Q379" s="315"/>
      <c r="R379" s="315"/>
      <c r="S379" s="315"/>
      <c r="T379" s="315"/>
      <c r="U379" s="315"/>
      <c r="V379" s="315"/>
      <c r="W379" s="315"/>
      <c r="X379" s="315"/>
      <c r="Y379" s="315"/>
      <c r="Z379" s="315"/>
      <c r="AA379" s="315"/>
      <c r="AB379" s="315"/>
      <c r="AC379" s="315"/>
      <c r="AD379" s="315"/>
      <c r="AE379" s="315"/>
      <c r="AF379" s="315"/>
      <c r="AG379" s="315"/>
      <c r="AH379" s="315"/>
      <c r="AI379" s="315"/>
      <c r="AJ379" s="315"/>
      <c r="AK379" s="315"/>
      <c r="AL379" s="315"/>
      <c r="AM379" s="315"/>
      <c r="AN379" s="315"/>
    </row>
    <row r="380">
      <c r="A380" s="315"/>
      <c r="B380" s="315"/>
      <c r="C380" s="315"/>
      <c r="D380" s="315"/>
      <c r="E380" s="315"/>
      <c r="F380" s="315"/>
      <c r="G380" s="315"/>
      <c r="H380" s="315"/>
      <c r="I380" s="315"/>
      <c r="J380" s="315"/>
      <c r="K380" s="315"/>
      <c r="L380" s="315"/>
      <c r="M380" s="315"/>
      <c r="N380" s="315"/>
      <c r="O380" s="315"/>
      <c r="P380" s="315"/>
      <c r="Q380" s="315"/>
      <c r="R380" s="315"/>
      <c r="S380" s="315"/>
      <c r="T380" s="315"/>
      <c r="U380" s="315"/>
      <c r="V380" s="315"/>
      <c r="W380" s="315"/>
      <c r="X380" s="315"/>
      <c r="Y380" s="315"/>
      <c r="Z380" s="315"/>
      <c r="AA380" s="315"/>
      <c r="AB380" s="315"/>
      <c r="AC380" s="315"/>
      <c r="AD380" s="315"/>
      <c r="AE380" s="315"/>
      <c r="AF380" s="315"/>
      <c r="AG380" s="315"/>
      <c r="AH380" s="315"/>
      <c r="AI380" s="315"/>
      <c r="AJ380" s="315"/>
      <c r="AK380" s="315"/>
      <c r="AL380" s="315"/>
      <c r="AM380" s="315"/>
      <c r="AN380" s="315"/>
    </row>
    <row r="381">
      <c r="A381" s="315"/>
      <c r="B381" s="315"/>
      <c r="C381" s="315"/>
      <c r="D381" s="315"/>
      <c r="E381" s="315"/>
      <c r="F381" s="315"/>
      <c r="G381" s="315"/>
      <c r="H381" s="315"/>
      <c r="I381" s="315"/>
      <c r="J381" s="315"/>
      <c r="K381" s="315"/>
      <c r="L381" s="315"/>
      <c r="M381" s="315"/>
      <c r="N381" s="315"/>
      <c r="O381" s="315"/>
      <c r="P381" s="315"/>
      <c r="Q381" s="315"/>
      <c r="R381" s="315"/>
      <c r="S381" s="315"/>
      <c r="T381" s="315"/>
      <c r="U381" s="315"/>
      <c r="V381" s="315"/>
      <c r="W381" s="315"/>
      <c r="X381" s="315"/>
      <c r="Y381" s="315"/>
      <c r="Z381" s="315"/>
      <c r="AA381" s="315"/>
      <c r="AB381" s="315"/>
      <c r="AC381" s="315"/>
      <c r="AD381" s="315"/>
      <c r="AE381" s="315"/>
      <c r="AF381" s="315"/>
      <c r="AG381" s="315"/>
      <c r="AH381" s="315"/>
      <c r="AI381" s="315"/>
      <c r="AJ381" s="315"/>
      <c r="AK381" s="315"/>
      <c r="AL381" s="315"/>
      <c r="AM381" s="315"/>
      <c r="AN381" s="315"/>
    </row>
    <row r="382">
      <c r="A382" s="315"/>
      <c r="B382" s="315"/>
      <c r="C382" s="315"/>
      <c r="D382" s="315"/>
      <c r="E382" s="315"/>
      <c r="F382" s="315"/>
      <c r="G382" s="315"/>
      <c r="H382" s="315"/>
      <c r="I382" s="315"/>
      <c r="J382" s="315"/>
      <c r="K382" s="315"/>
      <c r="L382" s="315"/>
      <c r="M382" s="315"/>
      <c r="N382" s="315"/>
      <c r="O382" s="315"/>
      <c r="P382" s="315"/>
      <c r="Q382" s="315"/>
      <c r="R382" s="315"/>
      <c r="S382" s="315"/>
      <c r="T382" s="315"/>
      <c r="U382" s="315"/>
      <c r="V382" s="315"/>
      <c r="W382" s="315"/>
      <c r="X382" s="315"/>
      <c r="Y382" s="315"/>
      <c r="Z382" s="315"/>
      <c r="AA382" s="315"/>
      <c r="AB382" s="315"/>
      <c r="AC382" s="315"/>
      <c r="AD382" s="315"/>
      <c r="AE382" s="315"/>
      <c r="AF382" s="315"/>
      <c r="AG382" s="315"/>
      <c r="AH382" s="315"/>
      <c r="AI382" s="315"/>
      <c r="AJ382" s="315"/>
      <c r="AK382" s="315"/>
      <c r="AL382" s="315"/>
      <c r="AM382" s="315"/>
      <c r="AN382" s="315"/>
    </row>
    <row r="383">
      <c r="A383" s="315"/>
      <c r="B383" s="315"/>
      <c r="C383" s="315"/>
      <c r="D383" s="315"/>
      <c r="E383" s="315"/>
      <c r="F383" s="315"/>
      <c r="G383" s="315"/>
      <c r="H383" s="315"/>
      <c r="I383" s="315"/>
      <c r="J383" s="315"/>
      <c r="K383" s="315"/>
      <c r="L383" s="315"/>
      <c r="M383" s="315"/>
      <c r="N383" s="315"/>
      <c r="O383" s="315"/>
      <c r="P383" s="315"/>
      <c r="Q383" s="315"/>
      <c r="R383" s="315"/>
      <c r="S383" s="315"/>
      <c r="T383" s="315"/>
      <c r="U383" s="315"/>
      <c r="V383" s="315"/>
      <c r="W383" s="315"/>
      <c r="X383" s="315"/>
      <c r="Y383" s="315"/>
      <c r="Z383" s="315"/>
      <c r="AA383" s="315"/>
      <c r="AB383" s="315"/>
      <c r="AC383" s="315"/>
      <c r="AD383" s="315"/>
      <c r="AE383" s="315"/>
      <c r="AF383" s="315"/>
      <c r="AG383" s="315"/>
      <c r="AH383" s="315"/>
      <c r="AI383" s="315"/>
      <c r="AJ383" s="315"/>
      <c r="AK383" s="315"/>
      <c r="AL383" s="315"/>
      <c r="AM383" s="315"/>
      <c r="AN383" s="315"/>
    </row>
    <row r="384">
      <c r="A384" s="315"/>
      <c r="B384" s="315"/>
      <c r="C384" s="315"/>
      <c r="D384" s="315"/>
      <c r="E384" s="315"/>
      <c r="F384" s="315"/>
      <c r="G384" s="315"/>
      <c r="H384" s="315"/>
      <c r="I384" s="315"/>
      <c r="J384" s="315"/>
      <c r="K384" s="315"/>
      <c r="L384" s="315"/>
      <c r="M384" s="315"/>
      <c r="N384" s="315"/>
      <c r="O384" s="315"/>
      <c r="P384" s="315"/>
      <c r="Q384" s="315"/>
      <c r="R384" s="315"/>
      <c r="S384" s="315"/>
      <c r="T384" s="315"/>
      <c r="U384" s="315"/>
      <c r="V384" s="315"/>
      <c r="W384" s="315"/>
      <c r="X384" s="315"/>
      <c r="Y384" s="315"/>
      <c r="Z384" s="315"/>
      <c r="AA384" s="315"/>
      <c r="AB384" s="315"/>
      <c r="AC384" s="315"/>
      <c r="AD384" s="315"/>
      <c r="AE384" s="315"/>
      <c r="AF384" s="315"/>
      <c r="AG384" s="315"/>
      <c r="AH384" s="315"/>
      <c r="AI384" s="315"/>
      <c r="AJ384" s="315"/>
      <c r="AK384" s="315"/>
      <c r="AL384" s="315"/>
      <c r="AM384" s="315"/>
      <c r="AN384" s="315"/>
    </row>
    <row r="385">
      <c r="A385" s="315"/>
      <c r="B385" s="315"/>
      <c r="C385" s="315"/>
      <c r="D385" s="315"/>
      <c r="E385" s="315"/>
      <c r="F385" s="315"/>
      <c r="G385" s="315"/>
      <c r="H385" s="315"/>
      <c r="I385" s="315"/>
      <c r="J385" s="315"/>
      <c r="K385" s="315"/>
      <c r="L385" s="315"/>
      <c r="M385" s="315"/>
      <c r="N385" s="315"/>
      <c r="O385" s="315"/>
      <c r="P385" s="315"/>
      <c r="Q385" s="315"/>
      <c r="R385" s="315"/>
      <c r="S385" s="315"/>
      <c r="T385" s="315"/>
      <c r="U385" s="315"/>
      <c r="V385" s="315"/>
      <c r="W385" s="315"/>
      <c r="X385" s="315"/>
      <c r="Y385" s="315"/>
      <c r="Z385" s="315"/>
      <c r="AA385" s="315"/>
      <c r="AB385" s="315"/>
      <c r="AC385" s="315"/>
      <c r="AD385" s="315"/>
      <c r="AE385" s="315"/>
      <c r="AF385" s="315"/>
      <c r="AG385" s="315"/>
      <c r="AH385" s="315"/>
      <c r="AI385" s="315"/>
      <c r="AJ385" s="315"/>
      <c r="AK385" s="315"/>
      <c r="AL385" s="315"/>
      <c r="AM385" s="315"/>
      <c r="AN385" s="315"/>
    </row>
    <row r="386">
      <c r="A386" s="315"/>
      <c r="B386" s="315"/>
      <c r="C386" s="315"/>
      <c r="D386" s="315"/>
      <c r="E386" s="315"/>
      <c r="F386" s="315"/>
      <c r="G386" s="315"/>
      <c r="H386" s="315"/>
      <c r="I386" s="315"/>
      <c r="J386" s="315"/>
      <c r="K386" s="315"/>
      <c r="L386" s="315"/>
      <c r="M386" s="315"/>
      <c r="N386" s="315"/>
      <c r="O386" s="315"/>
      <c r="P386" s="315"/>
      <c r="Q386" s="315"/>
      <c r="R386" s="315"/>
      <c r="S386" s="315"/>
      <c r="T386" s="315"/>
      <c r="U386" s="315"/>
      <c r="V386" s="315"/>
      <c r="W386" s="315"/>
      <c r="X386" s="315"/>
      <c r="Y386" s="315"/>
      <c r="Z386" s="315"/>
      <c r="AA386" s="315"/>
      <c r="AB386" s="315"/>
      <c r="AC386" s="315"/>
      <c r="AD386" s="315"/>
      <c r="AE386" s="315"/>
      <c r="AF386" s="315"/>
      <c r="AG386" s="315"/>
      <c r="AH386" s="315"/>
      <c r="AI386" s="315"/>
      <c r="AJ386" s="315"/>
      <c r="AK386" s="315"/>
      <c r="AL386" s="315"/>
      <c r="AM386" s="315"/>
      <c r="AN386" s="315"/>
    </row>
    <row r="387">
      <c r="A387" s="315"/>
      <c r="B387" s="315"/>
      <c r="C387" s="315"/>
      <c r="D387" s="315"/>
      <c r="E387" s="315"/>
      <c r="F387" s="315"/>
      <c r="G387" s="315"/>
      <c r="H387" s="315"/>
      <c r="I387" s="315"/>
      <c r="J387" s="315"/>
      <c r="K387" s="315"/>
      <c r="L387" s="315"/>
      <c r="M387" s="315"/>
      <c r="N387" s="315"/>
      <c r="O387" s="315"/>
      <c r="P387" s="315"/>
      <c r="Q387" s="315"/>
      <c r="R387" s="315"/>
      <c r="S387" s="315"/>
      <c r="T387" s="315"/>
      <c r="U387" s="315"/>
      <c r="V387" s="315"/>
      <c r="W387" s="315"/>
      <c r="X387" s="315"/>
      <c r="Y387" s="315"/>
      <c r="Z387" s="315"/>
      <c r="AA387" s="315"/>
      <c r="AB387" s="315"/>
      <c r="AC387" s="315"/>
      <c r="AD387" s="315"/>
      <c r="AE387" s="315"/>
      <c r="AF387" s="315"/>
      <c r="AG387" s="315"/>
      <c r="AH387" s="315"/>
      <c r="AI387" s="315"/>
      <c r="AJ387" s="315"/>
      <c r="AK387" s="315"/>
      <c r="AL387" s="315"/>
      <c r="AM387" s="315"/>
      <c r="AN387" s="315"/>
    </row>
    <row r="388">
      <c r="A388" s="315"/>
      <c r="B388" s="315"/>
      <c r="C388" s="315"/>
      <c r="D388" s="315"/>
      <c r="E388" s="315"/>
      <c r="F388" s="315"/>
      <c r="G388" s="315"/>
      <c r="H388" s="315"/>
      <c r="I388" s="315"/>
      <c r="J388" s="315"/>
      <c r="K388" s="315"/>
      <c r="L388" s="315"/>
      <c r="M388" s="315"/>
      <c r="N388" s="315"/>
      <c r="O388" s="315"/>
      <c r="P388" s="315"/>
      <c r="Q388" s="315"/>
      <c r="R388" s="315"/>
      <c r="S388" s="315"/>
      <c r="T388" s="315"/>
      <c r="U388" s="315"/>
      <c r="V388" s="315"/>
      <c r="W388" s="315"/>
      <c r="X388" s="315"/>
      <c r="Y388" s="315"/>
      <c r="Z388" s="315"/>
      <c r="AA388" s="315"/>
      <c r="AB388" s="315"/>
      <c r="AC388" s="315"/>
      <c r="AD388" s="315"/>
      <c r="AE388" s="315"/>
      <c r="AF388" s="315"/>
      <c r="AG388" s="315"/>
      <c r="AH388" s="315"/>
      <c r="AI388" s="315"/>
      <c r="AJ388" s="315"/>
      <c r="AK388" s="315"/>
      <c r="AL388" s="315"/>
      <c r="AM388" s="315"/>
      <c r="AN388" s="315"/>
    </row>
    <row r="389">
      <c r="A389" s="315"/>
      <c r="B389" s="315"/>
      <c r="C389" s="315"/>
      <c r="D389" s="315"/>
      <c r="E389" s="315"/>
      <c r="F389" s="315"/>
      <c r="G389" s="315"/>
      <c r="H389" s="315"/>
      <c r="I389" s="315"/>
      <c r="J389" s="315"/>
      <c r="K389" s="315"/>
      <c r="L389" s="315"/>
      <c r="M389" s="315"/>
      <c r="N389" s="315"/>
      <c r="O389" s="315"/>
      <c r="P389" s="315"/>
      <c r="Q389" s="315"/>
      <c r="R389" s="315"/>
      <c r="S389" s="315"/>
      <c r="T389" s="315"/>
      <c r="U389" s="315"/>
      <c r="V389" s="315"/>
      <c r="W389" s="315"/>
      <c r="X389" s="315"/>
      <c r="Y389" s="315"/>
      <c r="Z389" s="315"/>
      <c r="AA389" s="315"/>
      <c r="AB389" s="315"/>
      <c r="AC389" s="315"/>
      <c r="AD389" s="315"/>
      <c r="AE389" s="315"/>
      <c r="AF389" s="315"/>
      <c r="AG389" s="315"/>
      <c r="AH389" s="315"/>
      <c r="AI389" s="315"/>
      <c r="AJ389" s="315"/>
      <c r="AK389" s="315"/>
      <c r="AL389" s="315"/>
      <c r="AM389" s="315"/>
      <c r="AN389" s="315"/>
    </row>
    <row r="390">
      <c r="A390" s="315"/>
      <c r="B390" s="315"/>
      <c r="C390" s="315"/>
      <c r="D390" s="315"/>
      <c r="E390" s="315"/>
      <c r="F390" s="315"/>
      <c r="G390" s="315"/>
      <c r="H390" s="315"/>
      <c r="I390" s="315"/>
      <c r="J390" s="315"/>
      <c r="K390" s="315"/>
      <c r="L390" s="315"/>
      <c r="M390" s="315"/>
      <c r="N390" s="315"/>
      <c r="O390" s="315"/>
      <c r="P390" s="315"/>
      <c r="Q390" s="315"/>
      <c r="R390" s="315"/>
      <c r="S390" s="315"/>
      <c r="T390" s="315"/>
      <c r="U390" s="315"/>
      <c r="V390" s="315"/>
      <c r="W390" s="315"/>
      <c r="X390" s="315"/>
      <c r="Y390" s="315"/>
      <c r="Z390" s="315"/>
      <c r="AA390" s="315"/>
      <c r="AB390" s="315"/>
      <c r="AC390" s="315"/>
      <c r="AD390" s="315"/>
      <c r="AE390" s="315"/>
      <c r="AF390" s="315"/>
      <c r="AG390" s="315"/>
      <c r="AH390" s="315"/>
      <c r="AI390" s="315"/>
      <c r="AJ390" s="315"/>
      <c r="AK390" s="315"/>
      <c r="AL390" s="315"/>
      <c r="AM390" s="315"/>
      <c r="AN390" s="315"/>
    </row>
    <row r="391">
      <c r="A391" s="315"/>
      <c r="B391" s="315"/>
      <c r="C391" s="315"/>
      <c r="D391" s="315"/>
      <c r="E391" s="315"/>
      <c r="F391" s="315"/>
      <c r="G391" s="315"/>
      <c r="H391" s="315"/>
      <c r="I391" s="315"/>
      <c r="J391" s="315"/>
      <c r="K391" s="315"/>
      <c r="L391" s="315"/>
      <c r="M391" s="315"/>
      <c r="N391" s="315"/>
      <c r="O391" s="315"/>
      <c r="P391" s="315"/>
      <c r="Q391" s="315"/>
      <c r="R391" s="315"/>
      <c r="S391" s="315"/>
      <c r="T391" s="315"/>
      <c r="U391" s="315"/>
      <c r="V391" s="315"/>
      <c r="W391" s="315"/>
      <c r="X391" s="315"/>
      <c r="Y391" s="315"/>
      <c r="Z391" s="315"/>
      <c r="AA391" s="315"/>
      <c r="AB391" s="315"/>
      <c r="AC391" s="315"/>
      <c r="AD391" s="315"/>
      <c r="AE391" s="315"/>
      <c r="AF391" s="315"/>
      <c r="AG391" s="315"/>
      <c r="AH391" s="315"/>
      <c r="AI391" s="315"/>
      <c r="AJ391" s="315"/>
      <c r="AK391" s="315"/>
      <c r="AL391" s="315"/>
      <c r="AM391" s="315"/>
      <c r="AN391" s="315"/>
    </row>
    <row r="392">
      <c r="A392" s="315"/>
      <c r="B392" s="315"/>
      <c r="C392" s="315"/>
      <c r="D392" s="315"/>
      <c r="E392" s="315"/>
      <c r="F392" s="315"/>
      <c r="G392" s="315"/>
      <c r="H392" s="315"/>
      <c r="I392" s="315"/>
      <c r="J392" s="315"/>
      <c r="K392" s="315"/>
      <c r="L392" s="315"/>
      <c r="M392" s="315"/>
      <c r="N392" s="315"/>
      <c r="O392" s="315"/>
      <c r="P392" s="315"/>
      <c r="Q392" s="315"/>
      <c r="R392" s="315"/>
      <c r="S392" s="315"/>
      <c r="T392" s="315"/>
      <c r="U392" s="315"/>
      <c r="V392" s="315"/>
      <c r="W392" s="315"/>
      <c r="X392" s="315"/>
      <c r="Y392" s="315"/>
      <c r="Z392" s="315"/>
      <c r="AA392" s="315"/>
      <c r="AB392" s="315"/>
      <c r="AC392" s="315"/>
      <c r="AD392" s="315"/>
      <c r="AE392" s="315"/>
      <c r="AF392" s="315"/>
      <c r="AG392" s="315"/>
      <c r="AH392" s="315"/>
      <c r="AI392" s="315"/>
      <c r="AJ392" s="315"/>
      <c r="AK392" s="315"/>
      <c r="AL392" s="315"/>
      <c r="AM392" s="315"/>
      <c r="AN392" s="315"/>
    </row>
    <row r="393">
      <c r="A393" s="315"/>
      <c r="B393" s="315"/>
      <c r="C393" s="315"/>
      <c r="D393" s="315"/>
      <c r="E393" s="315"/>
      <c r="F393" s="315"/>
      <c r="G393" s="315"/>
      <c r="H393" s="315"/>
      <c r="I393" s="315"/>
      <c r="J393" s="315"/>
      <c r="K393" s="315"/>
      <c r="L393" s="315"/>
      <c r="M393" s="315"/>
      <c r="N393" s="315"/>
      <c r="O393" s="315"/>
      <c r="P393" s="315"/>
      <c r="Q393" s="315"/>
      <c r="R393" s="315"/>
      <c r="S393" s="315"/>
      <c r="T393" s="315"/>
      <c r="U393" s="315"/>
      <c r="V393" s="315"/>
      <c r="W393" s="315"/>
      <c r="X393" s="315"/>
      <c r="Y393" s="315"/>
      <c r="Z393" s="315"/>
      <c r="AA393" s="315"/>
      <c r="AB393" s="315"/>
      <c r="AC393" s="315"/>
      <c r="AD393" s="315"/>
      <c r="AE393" s="315"/>
      <c r="AF393" s="315"/>
      <c r="AG393" s="315"/>
      <c r="AH393" s="315"/>
      <c r="AI393" s="315"/>
      <c r="AJ393" s="315"/>
      <c r="AK393" s="315"/>
      <c r="AL393" s="315"/>
      <c r="AM393" s="315"/>
      <c r="AN393" s="315"/>
    </row>
    <row r="394">
      <c r="A394" s="315"/>
      <c r="B394" s="315"/>
      <c r="C394" s="315"/>
      <c r="D394" s="315"/>
      <c r="E394" s="315"/>
      <c r="F394" s="315"/>
      <c r="G394" s="315"/>
      <c r="H394" s="315"/>
      <c r="I394" s="315"/>
      <c r="J394" s="315"/>
      <c r="K394" s="315"/>
      <c r="L394" s="315"/>
      <c r="M394" s="315"/>
      <c r="N394" s="315"/>
      <c r="O394" s="315"/>
      <c r="P394" s="315"/>
      <c r="Q394" s="315"/>
      <c r="R394" s="315"/>
      <c r="S394" s="315"/>
      <c r="T394" s="315"/>
      <c r="U394" s="315"/>
      <c r="V394" s="315"/>
      <c r="W394" s="315"/>
      <c r="X394" s="315"/>
      <c r="Y394" s="315"/>
      <c r="Z394" s="315"/>
      <c r="AA394" s="315"/>
      <c r="AB394" s="315"/>
      <c r="AC394" s="315"/>
      <c r="AD394" s="315"/>
      <c r="AE394" s="315"/>
      <c r="AF394" s="315"/>
      <c r="AG394" s="315"/>
      <c r="AH394" s="315"/>
      <c r="AI394" s="315"/>
      <c r="AJ394" s="315"/>
      <c r="AK394" s="315"/>
      <c r="AL394" s="315"/>
      <c r="AM394" s="315"/>
      <c r="AN394" s="315"/>
    </row>
    <row r="395">
      <c r="A395" s="315"/>
      <c r="B395" s="315"/>
      <c r="C395" s="315"/>
      <c r="D395" s="315"/>
      <c r="E395" s="315"/>
      <c r="F395" s="315"/>
      <c r="G395" s="315"/>
      <c r="H395" s="315"/>
      <c r="I395" s="315"/>
      <c r="J395" s="315"/>
      <c r="K395" s="315"/>
      <c r="L395" s="315"/>
      <c r="M395" s="315"/>
      <c r="N395" s="315"/>
      <c r="O395" s="315"/>
      <c r="P395" s="315"/>
      <c r="Q395" s="315"/>
      <c r="R395" s="315"/>
      <c r="S395" s="315"/>
      <c r="T395" s="315"/>
      <c r="U395" s="315"/>
      <c r="V395" s="315"/>
      <c r="W395" s="315"/>
      <c r="X395" s="315"/>
      <c r="Y395" s="315"/>
      <c r="Z395" s="315"/>
      <c r="AA395" s="315"/>
      <c r="AB395" s="315"/>
      <c r="AC395" s="315"/>
      <c r="AD395" s="315"/>
      <c r="AE395" s="315"/>
      <c r="AF395" s="315"/>
      <c r="AG395" s="315"/>
      <c r="AH395" s="315"/>
      <c r="AI395" s="315"/>
      <c r="AJ395" s="315"/>
      <c r="AK395" s="315"/>
      <c r="AL395" s="315"/>
      <c r="AM395" s="315"/>
      <c r="AN395" s="315"/>
    </row>
    <row r="396">
      <c r="A396" s="315"/>
      <c r="B396" s="315"/>
      <c r="C396" s="315"/>
      <c r="D396" s="315"/>
      <c r="E396" s="315"/>
      <c r="F396" s="315"/>
      <c r="G396" s="315"/>
      <c r="H396" s="315"/>
      <c r="I396" s="315"/>
      <c r="J396" s="315"/>
      <c r="K396" s="315"/>
      <c r="L396" s="315"/>
      <c r="M396" s="315"/>
      <c r="N396" s="315"/>
      <c r="O396" s="315"/>
      <c r="P396" s="315"/>
      <c r="Q396" s="315"/>
      <c r="R396" s="315"/>
      <c r="S396" s="315"/>
      <c r="T396" s="315"/>
      <c r="U396" s="315"/>
      <c r="V396" s="315"/>
      <c r="W396" s="315"/>
      <c r="X396" s="315"/>
      <c r="Y396" s="315"/>
      <c r="Z396" s="315"/>
      <c r="AA396" s="315"/>
      <c r="AB396" s="315"/>
      <c r="AC396" s="315"/>
      <c r="AD396" s="315"/>
      <c r="AE396" s="315"/>
      <c r="AF396" s="315"/>
      <c r="AG396" s="315"/>
      <c r="AH396" s="315"/>
      <c r="AI396" s="315"/>
      <c r="AJ396" s="315"/>
      <c r="AK396" s="315"/>
      <c r="AL396" s="315"/>
      <c r="AM396" s="315"/>
      <c r="AN396" s="315"/>
    </row>
    <row r="397">
      <c r="A397" s="315"/>
      <c r="B397" s="315"/>
      <c r="C397" s="315"/>
      <c r="D397" s="315"/>
      <c r="E397" s="315"/>
      <c r="F397" s="315"/>
      <c r="G397" s="315"/>
      <c r="H397" s="315"/>
      <c r="I397" s="315"/>
      <c r="J397" s="315"/>
      <c r="K397" s="315"/>
      <c r="L397" s="315"/>
      <c r="M397" s="315"/>
      <c r="N397" s="315"/>
      <c r="O397" s="315"/>
      <c r="P397" s="315"/>
      <c r="Q397" s="315"/>
      <c r="R397" s="315"/>
      <c r="S397" s="315"/>
      <c r="T397" s="315"/>
      <c r="U397" s="315"/>
      <c r="V397" s="315"/>
      <c r="W397" s="315"/>
      <c r="X397" s="315"/>
      <c r="Y397" s="315"/>
      <c r="Z397" s="315"/>
      <c r="AA397" s="315"/>
      <c r="AB397" s="315"/>
      <c r="AC397" s="315"/>
      <c r="AD397" s="315"/>
      <c r="AE397" s="315"/>
      <c r="AF397" s="315"/>
      <c r="AG397" s="315"/>
      <c r="AH397" s="315"/>
      <c r="AI397" s="315"/>
      <c r="AJ397" s="315"/>
      <c r="AK397" s="315"/>
      <c r="AL397" s="315"/>
      <c r="AM397" s="315"/>
      <c r="AN397" s="315"/>
    </row>
    <row r="398">
      <c r="A398" s="315"/>
      <c r="B398" s="315"/>
      <c r="C398" s="315"/>
      <c r="D398" s="315"/>
      <c r="E398" s="315"/>
      <c r="F398" s="315"/>
      <c r="G398" s="315"/>
      <c r="H398" s="315"/>
      <c r="I398" s="315"/>
      <c r="J398" s="315"/>
      <c r="K398" s="315"/>
      <c r="L398" s="315"/>
      <c r="M398" s="315"/>
      <c r="N398" s="315"/>
      <c r="O398" s="315"/>
      <c r="P398" s="315"/>
      <c r="Q398" s="315"/>
      <c r="R398" s="315"/>
      <c r="S398" s="315"/>
      <c r="T398" s="315"/>
      <c r="U398" s="315"/>
      <c r="V398" s="315"/>
      <c r="W398" s="315"/>
      <c r="X398" s="315"/>
      <c r="Y398" s="315"/>
      <c r="Z398" s="315"/>
      <c r="AA398" s="315"/>
      <c r="AB398" s="315"/>
      <c r="AC398" s="315"/>
      <c r="AD398" s="315"/>
      <c r="AE398" s="315"/>
      <c r="AF398" s="315"/>
      <c r="AG398" s="315"/>
      <c r="AH398" s="315"/>
      <c r="AI398" s="315"/>
      <c r="AJ398" s="315"/>
      <c r="AK398" s="315"/>
      <c r="AL398" s="315"/>
      <c r="AM398" s="315"/>
      <c r="AN398" s="315"/>
    </row>
    <row r="399">
      <c r="A399" s="315"/>
      <c r="B399" s="315"/>
      <c r="C399" s="315"/>
      <c r="D399" s="315"/>
      <c r="E399" s="315"/>
      <c r="F399" s="315"/>
      <c r="G399" s="315"/>
      <c r="H399" s="315"/>
      <c r="I399" s="315"/>
      <c r="J399" s="315"/>
      <c r="K399" s="315"/>
      <c r="L399" s="315"/>
      <c r="M399" s="315"/>
      <c r="N399" s="315"/>
      <c r="O399" s="315"/>
      <c r="P399" s="315"/>
      <c r="Q399" s="315"/>
      <c r="R399" s="315"/>
      <c r="S399" s="315"/>
      <c r="T399" s="315"/>
      <c r="U399" s="315"/>
      <c r="V399" s="315"/>
      <c r="W399" s="315"/>
      <c r="X399" s="315"/>
      <c r="Y399" s="315"/>
      <c r="Z399" s="315"/>
      <c r="AA399" s="315"/>
      <c r="AB399" s="315"/>
      <c r="AC399" s="315"/>
      <c r="AD399" s="315"/>
      <c r="AE399" s="315"/>
      <c r="AF399" s="315"/>
      <c r="AG399" s="315"/>
      <c r="AH399" s="315"/>
      <c r="AI399" s="315"/>
      <c r="AJ399" s="315"/>
      <c r="AK399" s="315"/>
      <c r="AL399" s="315"/>
      <c r="AM399" s="315"/>
      <c r="AN399" s="315"/>
    </row>
    <row r="400">
      <c r="A400" s="315"/>
      <c r="B400" s="315"/>
      <c r="C400" s="315"/>
      <c r="D400" s="315"/>
      <c r="E400" s="315"/>
      <c r="F400" s="315"/>
      <c r="G400" s="315"/>
      <c r="H400" s="315"/>
      <c r="I400" s="315"/>
      <c r="J400" s="315"/>
      <c r="K400" s="315"/>
      <c r="L400" s="315"/>
      <c r="M400" s="315"/>
      <c r="N400" s="315"/>
      <c r="O400" s="315"/>
      <c r="P400" s="315"/>
      <c r="Q400" s="315"/>
      <c r="R400" s="315"/>
      <c r="S400" s="315"/>
      <c r="T400" s="315"/>
      <c r="U400" s="315"/>
      <c r="V400" s="315"/>
      <c r="W400" s="315"/>
      <c r="X400" s="315"/>
      <c r="Y400" s="315"/>
      <c r="Z400" s="315"/>
      <c r="AA400" s="315"/>
      <c r="AB400" s="315"/>
      <c r="AC400" s="315"/>
      <c r="AD400" s="315"/>
      <c r="AE400" s="315"/>
      <c r="AF400" s="315"/>
      <c r="AG400" s="315"/>
      <c r="AH400" s="315"/>
      <c r="AI400" s="315"/>
      <c r="AJ400" s="315"/>
      <c r="AK400" s="315"/>
      <c r="AL400" s="315"/>
      <c r="AM400" s="315"/>
      <c r="AN400" s="315"/>
    </row>
    <row r="401">
      <c r="A401" s="315"/>
      <c r="B401" s="315"/>
      <c r="C401" s="315"/>
      <c r="D401" s="315"/>
      <c r="E401" s="315"/>
      <c r="F401" s="315"/>
      <c r="G401" s="315"/>
      <c r="H401" s="315"/>
      <c r="I401" s="315"/>
      <c r="J401" s="315"/>
      <c r="K401" s="315"/>
      <c r="L401" s="315"/>
      <c r="M401" s="315"/>
      <c r="N401" s="315"/>
      <c r="O401" s="315"/>
      <c r="P401" s="315"/>
      <c r="Q401" s="315"/>
      <c r="R401" s="315"/>
      <c r="S401" s="315"/>
      <c r="T401" s="315"/>
      <c r="U401" s="315"/>
      <c r="V401" s="315"/>
      <c r="W401" s="315"/>
      <c r="X401" s="315"/>
      <c r="Y401" s="315"/>
      <c r="Z401" s="315"/>
      <c r="AA401" s="315"/>
      <c r="AB401" s="315"/>
      <c r="AC401" s="315"/>
      <c r="AD401" s="315"/>
      <c r="AE401" s="315"/>
      <c r="AF401" s="315"/>
      <c r="AG401" s="315"/>
      <c r="AH401" s="315"/>
      <c r="AI401" s="315"/>
      <c r="AJ401" s="315"/>
      <c r="AK401" s="315"/>
      <c r="AL401" s="315"/>
      <c r="AM401" s="315"/>
      <c r="AN401" s="315"/>
    </row>
    <row r="402">
      <c r="A402" s="315"/>
      <c r="B402" s="315"/>
      <c r="C402" s="315"/>
      <c r="D402" s="315"/>
      <c r="E402" s="315"/>
      <c r="F402" s="315"/>
      <c r="G402" s="315"/>
      <c r="H402" s="315"/>
      <c r="I402" s="315"/>
      <c r="J402" s="315"/>
      <c r="K402" s="315"/>
      <c r="L402" s="315"/>
      <c r="M402" s="315"/>
      <c r="N402" s="315"/>
      <c r="O402" s="315"/>
      <c r="P402" s="315"/>
      <c r="Q402" s="315"/>
      <c r="R402" s="315"/>
      <c r="S402" s="315"/>
      <c r="T402" s="315"/>
      <c r="U402" s="315"/>
      <c r="V402" s="315"/>
      <c r="W402" s="315"/>
      <c r="X402" s="315"/>
      <c r="Y402" s="315"/>
      <c r="Z402" s="315"/>
      <c r="AA402" s="315"/>
      <c r="AB402" s="315"/>
      <c r="AC402" s="315"/>
      <c r="AD402" s="315"/>
      <c r="AE402" s="315"/>
      <c r="AF402" s="315"/>
      <c r="AG402" s="315"/>
      <c r="AH402" s="315"/>
      <c r="AI402" s="315"/>
      <c r="AJ402" s="315"/>
      <c r="AK402" s="315"/>
      <c r="AL402" s="315"/>
      <c r="AM402" s="315"/>
      <c r="AN402" s="315"/>
    </row>
    <row r="403">
      <c r="A403" s="315"/>
      <c r="B403" s="315"/>
      <c r="C403" s="315"/>
      <c r="D403" s="315"/>
      <c r="E403" s="315"/>
      <c r="F403" s="315"/>
      <c r="G403" s="315"/>
      <c r="H403" s="315"/>
      <c r="I403" s="315"/>
      <c r="J403" s="315"/>
      <c r="K403" s="315"/>
      <c r="L403" s="315"/>
      <c r="M403" s="315"/>
      <c r="N403" s="315"/>
      <c r="O403" s="315"/>
      <c r="P403" s="315"/>
      <c r="Q403" s="315"/>
      <c r="R403" s="315"/>
      <c r="S403" s="315"/>
      <c r="T403" s="315"/>
      <c r="U403" s="315"/>
      <c r="V403" s="315"/>
      <c r="W403" s="315"/>
      <c r="X403" s="315"/>
      <c r="Y403" s="315"/>
      <c r="Z403" s="315"/>
      <c r="AA403" s="315"/>
      <c r="AB403" s="315"/>
      <c r="AC403" s="315"/>
      <c r="AD403" s="315"/>
      <c r="AE403" s="315"/>
      <c r="AF403" s="315"/>
      <c r="AG403" s="315"/>
      <c r="AH403" s="315"/>
      <c r="AI403" s="315"/>
      <c r="AJ403" s="315"/>
      <c r="AK403" s="315"/>
      <c r="AL403" s="315"/>
      <c r="AM403" s="315"/>
      <c r="AN403" s="315"/>
    </row>
    <row r="404">
      <c r="A404" s="315"/>
      <c r="B404" s="315"/>
      <c r="C404" s="315"/>
      <c r="D404" s="315"/>
      <c r="E404" s="315"/>
      <c r="F404" s="315"/>
      <c r="G404" s="315"/>
      <c r="H404" s="315"/>
      <c r="I404" s="315"/>
      <c r="J404" s="315"/>
      <c r="K404" s="315"/>
      <c r="L404" s="315"/>
      <c r="M404" s="315"/>
      <c r="N404" s="315"/>
      <c r="O404" s="315"/>
      <c r="P404" s="315"/>
      <c r="Q404" s="315"/>
      <c r="R404" s="315"/>
      <c r="S404" s="315"/>
      <c r="T404" s="315"/>
      <c r="U404" s="315"/>
      <c r="V404" s="315"/>
      <c r="W404" s="315"/>
      <c r="X404" s="315"/>
      <c r="Y404" s="315"/>
      <c r="Z404" s="315"/>
      <c r="AA404" s="315"/>
      <c r="AB404" s="315"/>
      <c r="AC404" s="315"/>
      <c r="AD404" s="315"/>
      <c r="AE404" s="315"/>
      <c r="AF404" s="315"/>
      <c r="AG404" s="315"/>
      <c r="AH404" s="315"/>
      <c r="AI404" s="315"/>
      <c r="AJ404" s="315"/>
      <c r="AK404" s="315"/>
      <c r="AL404" s="315"/>
      <c r="AM404" s="315"/>
      <c r="AN404" s="315"/>
    </row>
    <row r="405">
      <c r="A405" s="315"/>
      <c r="B405" s="315"/>
      <c r="C405" s="315"/>
      <c r="D405" s="315"/>
      <c r="E405" s="315"/>
      <c r="F405" s="315"/>
      <c r="G405" s="315"/>
      <c r="H405" s="315"/>
      <c r="I405" s="315"/>
      <c r="J405" s="315"/>
      <c r="K405" s="315"/>
      <c r="L405" s="315"/>
      <c r="M405" s="315"/>
      <c r="N405" s="315"/>
      <c r="O405" s="315"/>
      <c r="P405" s="315"/>
      <c r="Q405" s="315"/>
      <c r="R405" s="315"/>
      <c r="S405" s="315"/>
      <c r="T405" s="315"/>
      <c r="U405" s="315"/>
      <c r="V405" s="315"/>
      <c r="W405" s="315"/>
      <c r="X405" s="315"/>
      <c r="Y405" s="315"/>
      <c r="Z405" s="315"/>
      <c r="AA405" s="315"/>
      <c r="AB405" s="315"/>
      <c r="AC405" s="315"/>
      <c r="AD405" s="315"/>
      <c r="AE405" s="315"/>
      <c r="AF405" s="315"/>
      <c r="AG405" s="315"/>
      <c r="AH405" s="315"/>
      <c r="AI405" s="315"/>
      <c r="AJ405" s="315"/>
      <c r="AK405" s="315"/>
      <c r="AL405" s="315"/>
      <c r="AM405" s="315"/>
      <c r="AN405" s="315"/>
    </row>
    <row r="406">
      <c r="A406" s="315"/>
      <c r="B406" s="315"/>
      <c r="C406" s="315"/>
      <c r="D406" s="315"/>
      <c r="E406" s="315"/>
      <c r="F406" s="315"/>
      <c r="G406" s="315"/>
      <c r="H406" s="315"/>
      <c r="I406" s="315"/>
      <c r="J406" s="315"/>
      <c r="K406" s="315"/>
      <c r="L406" s="315"/>
      <c r="M406" s="315"/>
      <c r="N406" s="315"/>
      <c r="O406" s="315"/>
      <c r="P406" s="315"/>
      <c r="Q406" s="315"/>
      <c r="R406" s="315"/>
      <c r="S406" s="315"/>
      <c r="T406" s="315"/>
      <c r="U406" s="315"/>
      <c r="V406" s="315"/>
      <c r="W406" s="315"/>
      <c r="X406" s="315"/>
      <c r="Y406" s="315"/>
      <c r="Z406" s="315"/>
      <c r="AA406" s="315"/>
      <c r="AB406" s="315"/>
      <c r="AC406" s="315"/>
      <c r="AD406" s="315"/>
      <c r="AE406" s="315"/>
      <c r="AF406" s="315"/>
      <c r="AG406" s="315"/>
      <c r="AH406" s="315"/>
      <c r="AI406" s="315"/>
      <c r="AJ406" s="315"/>
      <c r="AK406" s="315"/>
      <c r="AL406" s="315"/>
      <c r="AM406" s="315"/>
      <c r="AN406" s="315"/>
    </row>
    <row r="407">
      <c r="A407" s="315"/>
      <c r="B407" s="315"/>
      <c r="C407" s="315"/>
      <c r="D407" s="315"/>
      <c r="E407" s="315"/>
      <c r="F407" s="315"/>
      <c r="G407" s="315"/>
      <c r="H407" s="315"/>
      <c r="I407" s="315"/>
      <c r="J407" s="315"/>
      <c r="K407" s="315"/>
      <c r="L407" s="315"/>
      <c r="M407" s="315"/>
      <c r="N407" s="315"/>
      <c r="O407" s="315"/>
      <c r="P407" s="315"/>
      <c r="Q407" s="315"/>
      <c r="R407" s="315"/>
      <c r="S407" s="315"/>
      <c r="T407" s="315"/>
      <c r="U407" s="315"/>
      <c r="V407" s="315"/>
      <c r="W407" s="315"/>
      <c r="X407" s="315"/>
      <c r="Y407" s="315"/>
      <c r="Z407" s="315"/>
      <c r="AA407" s="315"/>
      <c r="AB407" s="315"/>
      <c r="AC407" s="315"/>
      <c r="AD407" s="315"/>
      <c r="AE407" s="315"/>
      <c r="AF407" s="315"/>
      <c r="AG407" s="315"/>
      <c r="AH407" s="315"/>
      <c r="AI407" s="315"/>
      <c r="AJ407" s="315"/>
      <c r="AK407" s="315"/>
      <c r="AL407" s="315"/>
      <c r="AM407" s="315"/>
      <c r="AN407" s="315"/>
    </row>
    <row r="408">
      <c r="A408" s="315"/>
      <c r="B408" s="315"/>
      <c r="C408" s="315"/>
      <c r="D408" s="315"/>
      <c r="E408" s="315"/>
      <c r="F408" s="315"/>
      <c r="G408" s="315"/>
      <c r="H408" s="315"/>
      <c r="I408" s="315"/>
      <c r="J408" s="315"/>
      <c r="K408" s="315"/>
      <c r="L408" s="315"/>
      <c r="M408" s="315"/>
      <c r="N408" s="315"/>
      <c r="O408" s="315"/>
      <c r="P408" s="315"/>
      <c r="Q408" s="315"/>
      <c r="R408" s="315"/>
      <c r="S408" s="315"/>
      <c r="T408" s="315"/>
      <c r="U408" s="315"/>
      <c r="V408" s="315"/>
      <c r="W408" s="315"/>
      <c r="X408" s="315"/>
      <c r="Y408" s="315"/>
      <c r="Z408" s="315"/>
      <c r="AA408" s="315"/>
      <c r="AB408" s="315"/>
      <c r="AC408" s="315"/>
      <c r="AD408" s="315"/>
      <c r="AE408" s="315"/>
      <c r="AF408" s="315"/>
      <c r="AG408" s="315"/>
      <c r="AH408" s="315"/>
      <c r="AI408" s="315"/>
      <c r="AJ408" s="315"/>
      <c r="AK408" s="315"/>
      <c r="AL408" s="315"/>
      <c r="AM408" s="315"/>
      <c r="AN408" s="315"/>
    </row>
    <row r="409">
      <c r="A409" s="315"/>
      <c r="B409" s="315"/>
      <c r="C409" s="315"/>
      <c r="D409" s="315"/>
      <c r="E409" s="315"/>
      <c r="F409" s="315"/>
      <c r="G409" s="315"/>
      <c r="H409" s="315"/>
      <c r="I409" s="315"/>
      <c r="J409" s="315"/>
      <c r="K409" s="315"/>
      <c r="L409" s="315"/>
      <c r="M409" s="315"/>
      <c r="N409" s="315"/>
      <c r="O409" s="315"/>
      <c r="P409" s="315"/>
      <c r="Q409" s="315"/>
      <c r="R409" s="315"/>
      <c r="S409" s="315"/>
      <c r="T409" s="315"/>
      <c r="U409" s="315"/>
      <c r="V409" s="315"/>
      <c r="W409" s="315"/>
      <c r="X409" s="315"/>
      <c r="Y409" s="315"/>
      <c r="Z409" s="315"/>
      <c r="AA409" s="315"/>
      <c r="AB409" s="315"/>
      <c r="AC409" s="315"/>
      <c r="AD409" s="315"/>
      <c r="AE409" s="315"/>
      <c r="AF409" s="315"/>
      <c r="AG409" s="315"/>
      <c r="AH409" s="315"/>
      <c r="AI409" s="315"/>
      <c r="AJ409" s="315"/>
      <c r="AK409" s="315"/>
      <c r="AL409" s="315"/>
      <c r="AM409" s="315"/>
      <c r="AN409" s="315"/>
    </row>
    <row r="410">
      <c r="A410" s="315"/>
      <c r="B410" s="315"/>
      <c r="C410" s="315"/>
      <c r="D410" s="315"/>
      <c r="E410" s="315"/>
      <c r="F410" s="315"/>
      <c r="G410" s="315"/>
      <c r="H410" s="315"/>
      <c r="I410" s="315"/>
      <c r="J410" s="315"/>
      <c r="K410" s="315"/>
      <c r="L410" s="315"/>
      <c r="M410" s="315"/>
      <c r="N410" s="315"/>
      <c r="O410" s="315"/>
      <c r="P410" s="315"/>
      <c r="Q410" s="315"/>
      <c r="R410" s="315"/>
      <c r="S410" s="315"/>
      <c r="T410" s="315"/>
      <c r="U410" s="315"/>
      <c r="V410" s="315"/>
      <c r="W410" s="315"/>
      <c r="X410" s="315"/>
      <c r="Y410" s="315"/>
      <c r="Z410" s="315"/>
      <c r="AA410" s="315"/>
      <c r="AB410" s="315"/>
      <c r="AC410" s="315"/>
      <c r="AD410" s="315"/>
      <c r="AE410" s="315"/>
      <c r="AF410" s="315"/>
      <c r="AG410" s="315"/>
      <c r="AH410" s="315"/>
      <c r="AI410" s="315"/>
      <c r="AJ410" s="315"/>
      <c r="AK410" s="315"/>
      <c r="AL410" s="315"/>
      <c r="AM410" s="315"/>
      <c r="AN410" s="315"/>
    </row>
    <row r="411">
      <c r="A411" s="315"/>
      <c r="B411" s="315"/>
      <c r="C411" s="315"/>
      <c r="D411" s="315"/>
      <c r="E411" s="315"/>
      <c r="F411" s="315"/>
      <c r="G411" s="315"/>
      <c r="H411" s="315"/>
      <c r="I411" s="315"/>
      <c r="J411" s="315"/>
      <c r="K411" s="315"/>
      <c r="L411" s="315"/>
      <c r="M411" s="315"/>
      <c r="N411" s="315"/>
      <c r="O411" s="315"/>
      <c r="P411" s="315"/>
      <c r="Q411" s="315"/>
      <c r="R411" s="315"/>
      <c r="S411" s="315"/>
      <c r="T411" s="315"/>
      <c r="U411" s="315"/>
      <c r="V411" s="315"/>
      <c r="W411" s="315"/>
      <c r="X411" s="315"/>
      <c r="Y411" s="315"/>
      <c r="Z411" s="315"/>
      <c r="AA411" s="315"/>
      <c r="AB411" s="315"/>
      <c r="AC411" s="315"/>
      <c r="AD411" s="315"/>
      <c r="AE411" s="315"/>
      <c r="AF411" s="315"/>
      <c r="AG411" s="315"/>
      <c r="AH411" s="315"/>
      <c r="AI411" s="315"/>
      <c r="AJ411" s="315"/>
      <c r="AK411" s="315"/>
      <c r="AL411" s="315"/>
      <c r="AM411" s="315"/>
      <c r="AN411" s="315"/>
    </row>
    <row r="412">
      <c r="A412" s="315"/>
      <c r="B412" s="315"/>
      <c r="C412" s="315"/>
      <c r="D412" s="315"/>
      <c r="E412" s="315"/>
      <c r="F412" s="315"/>
      <c r="G412" s="315"/>
      <c r="H412" s="315"/>
      <c r="I412" s="315"/>
      <c r="J412" s="315"/>
      <c r="K412" s="315"/>
      <c r="L412" s="315"/>
      <c r="M412" s="315"/>
      <c r="N412" s="315"/>
      <c r="O412" s="315"/>
      <c r="P412" s="315"/>
      <c r="Q412" s="315"/>
      <c r="R412" s="315"/>
      <c r="S412" s="315"/>
      <c r="T412" s="315"/>
      <c r="U412" s="315"/>
      <c r="V412" s="315"/>
      <c r="W412" s="315"/>
      <c r="X412" s="315"/>
      <c r="Y412" s="315"/>
      <c r="Z412" s="315"/>
      <c r="AA412" s="315"/>
      <c r="AB412" s="315"/>
      <c r="AC412" s="315"/>
      <c r="AD412" s="315"/>
      <c r="AE412" s="315"/>
      <c r="AF412" s="315"/>
      <c r="AG412" s="315"/>
      <c r="AH412" s="315"/>
      <c r="AI412" s="315"/>
      <c r="AJ412" s="315"/>
      <c r="AK412" s="315"/>
      <c r="AL412" s="315"/>
      <c r="AM412" s="315"/>
      <c r="AN412" s="315"/>
    </row>
    <row r="413">
      <c r="A413" s="315"/>
      <c r="B413" s="315"/>
      <c r="C413" s="315"/>
      <c r="D413" s="315"/>
      <c r="E413" s="315"/>
      <c r="F413" s="315"/>
      <c r="G413" s="315"/>
      <c r="H413" s="315"/>
      <c r="I413" s="315"/>
      <c r="J413" s="315"/>
      <c r="K413" s="315"/>
      <c r="L413" s="315"/>
      <c r="M413" s="315"/>
      <c r="N413" s="315"/>
      <c r="O413" s="315"/>
      <c r="P413" s="315"/>
      <c r="Q413" s="315"/>
      <c r="R413" s="315"/>
      <c r="S413" s="315"/>
      <c r="T413" s="315"/>
      <c r="U413" s="315"/>
      <c r="V413" s="315"/>
      <c r="W413" s="315"/>
      <c r="X413" s="315"/>
      <c r="Y413" s="315"/>
      <c r="Z413" s="315"/>
      <c r="AA413" s="315"/>
      <c r="AB413" s="315"/>
      <c r="AC413" s="315"/>
      <c r="AD413" s="315"/>
      <c r="AE413" s="315"/>
      <c r="AF413" s="315"/>
      <c r="AG413" s="315"/>
      <c r="AH413" s="315"/>
      <c r="AI413" s="315"/>
      <c r="AJ413" s="315"/>
      <c r="AK413" s="315"/>
      <c r="AL413" s="315"/>
      <c r="AM413" s="315"/>
      <c r="AN413" s="315"/>
    </row>
    <row r="414">
      <c r="A414" s="315"/>
      <c r="B414" s="315"/>
      <c r="C414" s="315"/>
      <c r="D414" s="315"/>
      <c r="E414" s="315"/>
      <c r="F414" s="315"/>
      <c r="G414" s="315"/>
      <c r="H414" s="315"/>
      <c r="I414" s="315"/>
      <c r="J414" s="315"/>
      <c r="K414" s="315"/>
      <c r="L414" s="315"/>
      <c r="M414" s="315"/>
      <c r="N414" s="315"/>
      <c r="O414" s="315"/>
      <c r="P414" s="315"/>
      <c r="Q414" s="315"/>
      <c r="R414" s="315"/>
      <c r="S414" s="315"/>
      <c r="T414" s="315"/>
      <c r="U414" s="315"/>
      <c r="V414" s="315"/>
      <c r="W414" s="315"/>
      <c r="X414" s="315"/>
      <c r="Y414" s="315"/>
      <c r="Z414" s="315"/>
      <c r="AA414" s="315"/>
      <c r="AB414" s="315"/>
      <c r="AC414" s="315"/>
      <c r="AD414" s="315"/>
      <c r="AE414" s="315"/>
      <c r="AF414" s="315"/>
      <c r="AG414" s="315"/>
      <c r="AH414" s="315"/>
      <c r="AI414" s="315"/>
      <c r="AJ414" s="315"/>
      <c r="AK414" s="315"/>
      <c r="AL414" s="315"/>
      <c r="AM414" s="315"/>
      <c r="AN414" s="315"/>
    </row>
    <row r="415">
      <c r="A415" s="315"/>
      <c r="B415" s="315"/>
      <c r="C415" s="315"/>
      <c r="D415" s="315"/>
      <c r="E415" s="315"/>
      <c r="F415" s="315"/>
      <c r="G415" s="315"/>
      <c r="H415" s="315"/>
      <c r="I415" s="315"/>
      <c r="J415" s="315"/>
      <c r="K415" s="315"/>
      <c r="L415" s="315"/>
      <c r="M415" s="315"/>
      <c r="N415" s="315"/>
      <c r="O415" s="315"/>
      <c r="P415" s="315"/>
      <c r="Q415" s="315"/>
      <c r="R415" s="315"/>
      <c r="S415" s="315"/>
      <c r="T415" s="315"/>
      <c r="U415" s="315"/>
      <c r="V415" s="315"/>
      <c r="W415" s="315"/>
      <c r="X415" s="315"/>
      <c r="Y415" s="315"/>
      <c r="Z415" s="315"/>
      <c r="AA415" s="315"/>
      <c r="AB415" s="315"/>
      <c r="AC415" s="315"/>
      <c r="AD415" s="315"/>
      <c r="AE415" s="315"/>
      <c r="AF415" s="315"/>
      <c r="AG415" s="315"/>
      <c r="AH415" s="315"/>
      <c r="AI415" s="315"/>
      <c r="AJ415" s="315"/>
      <c r="AK415" s="315"/>
      <c r="AL415" s="315"/>
      <c r="AM415" s="315"/>
      <c r="AN415" s="315"/>
    </row>
    <row r="416">
      <c r="A416" s="315"/>
      <c r="B416" s="315"/>
      <c r="C416" s="315"/>
      <c r="D416" s="315"/>
      <c r="E416" s="315"/>
      <c r="F416" s="315"/>
      <c r="G416" s="315"/>
      <c r="H416" s="315"/>
      <c r="I416" s="315"/>
      <c r="J416" s="315"/>
      <c r="K416" s="315"/>
      <c r="L416" s="315"/>
      <c r="M416" s="315"/>
      <c r="N416" s="315"/>
      <c r="O416" s="315"/>
      <c r="P416" s="315"/>
      <c r="Q416" s="315"/>
      <c r="R416" s="315"/>
      <c r="S416" s="315"/>
      <c r="T416" s="315"/>
      <c r="U416" s="315"/>
      <c r="V416" s="315"/>
      <c r="W416" s="315"/>
      <c r="X416" s="315"/>
      <c r="Y416" s="315"/>
      <c r="Z416" s="315"/>
      <c r="AA416" s="315"/>
      <c r="AB416" s="315"/>
      <c r="AC416" s="315"/>
      <c r="AD416" s="315"/>
      <c r="AE416" s="315"/>
      <c r="AF416" s="315"/>
      <c r="AG416" s="315"/>
      <c r="AH416" s="315"/>
      <c r="AI416" s="315"/>
      <c r="AJ416" s="315"/>
      <c r="AK416" s="315"/>
      <c r="AL416" s="315"/>
      <c r="AM416" s="315"/>
      <c r="AN416" s="315"/>
    </row>
    <row r="417">
      <c r="A417" s="315"/>
      <c r="B417" s="315"/>
      <c r="C417" s="315"/>
      <c r="D417" s="315"/>
      <c r="E417" s="315"/>
      <c r="F417" s="315"/>
      <c r="G417" s="315"/>
      <c r="H417" s="315"/>
      <c r="I417" s="315"/>
      <c r="J417" s="315"/>
      <c r="K417" s="315"/>
      <c r="L417" s="315"/>
      <c r="M417" s="315"/>
      <c r="N417" s="315"/>
      <c r="O417" s="315"/>
      <c r="P417" s="315"/>
      <c r="Q417" s="315"/>
      <c r="R417" s="315"/>
      <c r="S417" s="315"/>
      <c r="T417" s="315"/>
      <c r="U417" s="315"/>
      <c r="V417" s="315"/>
      <c r="W417" s="315"/>
      <c r="X417" s="315"/>
      <c r="Y417" s="315"/>
      <c r="Z417" s="315"/>
      <c r="AA417" s="315"/>
      <c r="AB417" s="315"/>
      <c r="AC417" s="315"/>
      <c r="AD417" s="315"/>
      <c r="AE417" s="315"/>
      <c r="AF417" s="315"/>
      <c r="AG417" s="315"/>
      <c r="AH417" s="315"/>
      <c r="AI417" s="315"/>
      <c r="AJ417" s="315"/>
      <c r="AK417" s="315"/>
      <c r="AL417" s="315"/>
      <c r="AM417" s="315"/>
      <c r="AN417" s="315"/>
    </row>
    <row r="418">
      <c r="A418" s="315"/>
      <c r="B418" s="315"/>
      <c r="C418" s="315"/>
      <c r="D418" s="315"/>
      <c r="E418" s="315"/>
      <c r="F418" s="315"/>
      <c r="G418" s="315"/>
      <c r="H418" s="315"/>
      <c r="I418" s="315"/>
      <c r="J418" s="315"/>
      <c r="K418" s="315"/>
      <c r="L418" s="315"/>
      <c r="M418" s="315"/>
      <c r="N418" s="315"/>
      <c r="O418" s="315"/>
      <c r="P418" s="315"/>
      <c r="Q418" s="315"/>
      <c r="R418" s="315"/>
      <c r="S418" s="315"/>
      <c r="T418" s="315"/>
      <c r="U418" s="315"/>
      <c r="V418" s="315"/>
      <c r="W418" s="315"/>
      <c r="X418" s="315"/>
      <c r="Y418" s="315"/>
      <c r="Z418" s="315"/>
      <c r="AA418" s="315"/>
      <c r="AB418" s="315"/>
      <c r="AC418" s="315"/>
      <c r="AD418" s="315"/>
      <c r="AE418" s="315"/>
      <c r="AF418" s="315"/>
      <c r="AG418" s="315"/>
      <c r="AH418" s="315"/>
      <c r="AI418" s="315"/>
      <c r="AJ418" s="315"/>
      <c r="AK418" s="315"/>
      <c r="AL418" s="315"/>
      <c r="AM418" s="315"/>
      <c r="AN418" s="315"/>
    </row>
    <row r="419">
      <c r="A419" s="315"/>
      <c r="B419" s="315"/>
      <c r="C419" s="315"/>
      <c r="D419" s="315"/>
      <c r="E419" s="315"/>
      <c r="F419" s="315"/>
      <c r="G419" s="315"/>
      <c r="H419" s="315"/>
      <c r="I419" s="315"/>
      <c r="J419" s="315"/>
      <c r="K419" s="315"/>
      <c r="L419" s="315"/>
      <c r="M419" s="315"/>
      <c r="N419" s="315"/>
      <c r="O419" s="315"/>
      <c r="P419" s="315"/>
      <c r="Q419" s="315"/>
      <c r="R419" s="315"/>
      <c r="S419" s="315"/>
      <c r="T419" s="315"/>
      <c r="U419" s="315"/>
      <c r="V419" s="315"/>
      <c r="W419" s="315"/>
      <c r="X419" s="315"/>
      <c r="Y419" s="315"/>
      <c r="Z419" s="315"/>
      <c r="AA419" s="315"/>
      <c r="AB419" s="315"/>
      <c r="AC419" s="315"/>
      <c r="AD419" s="315"/>
      <c r="AE419" s="315"/>
      <c r="AF419" s="315"/>
      <c r="AG419" s="315"/>
      <c r="AH419" s="315"/>
      <c r="AI419" s="315"/>
      <c r="AJ419" s="315"/>
      <c r="AK419" s="315"/>
      <c r="AL419" s="315"/>
      <c r="AM419" s="315"/>
      <c r="AN419" s="315"/>
    </row>
    <row r="420">
      <c r="A420" s="315"/>
      <c r="B420" s="315"/>
      <c r="C420" s="315"/>
      <c r="D420" s="315"/>
      <c r="E420" s="315"/>
      <c r="F420" s="315"/>
      <c r="G420" s="315"/>
      <c r="H420" s="315"/>
      <c r="I420" s="315"/>
      <c r="J420" s="315"/>
      <c r="K420" s="315"/>
      <c r="L420" s="315"/>
      <c r="M420" s="315"/>
      <c r="N420" s="315"/>
      <c r="O420" s="315"/>
      <c r="P420" s="315"/>
      <c r="Q420" s="315"/>
      <c r="R420" s="315"/>
      <c r="S420" s="315"/>
      <c r="T420" s="315"/>
      <c r="U420" s="315"/>
      <c r="V420" s="315"/>
      <c r="W420" s="315"/>
      <c r="X420" s="315"/>
      <c r="Y420" s="315"/>
      <c r="Z420" s="315"/>
      <c r="AA420" s="315"/>
      <c r="AB420" s="315"/>
      <c r="AC420" s="315"/>
      <c r="AD420" s="315"/>
      <c r="AE420" s="315"/>
      <c r="AF420" s="315"/>
      <c r="AG420" s="315"/>
      <c r="AH420" s="315"/>
      <c r="AI420" s="315"/>
      <c r="AJ420" s="315"/>
      <c r="AK420" s="315"/>
      <c r="AL420" s="315"/>
      <c r="AM420" s="315"/>
      <c r="AN420" s="315"/>
    </row>
    <row r="421">
      <c r="A421" s="315"/>
      <c r="B421" s="315"/>
      <c r="C421" s="315"/>
      <c r="D421" s="315"/>
      <c r="E421" s="315"/>
      <c r="F421" s="315"/>
      <c r="G421" s="315"/>
      <c r="H421" s="315"/>
      <c r="I421" s="315"/>
      <c r="J421" s="315"/>
      <c r="K421" s="315"/>
      <c r="L421" s="315"/>
      <c r="M421" s="315"/>
      <c r="N421" s="315"/>
      <c r="O421" s="315"/>
      <c r="P421" s="315"/>
      <c r="Q421" s="315"/>
      <c r="R421" s="315"/>
      <c r="S421" s="315"/>
      <c r="T421" s="315"/>
      <c r="U421" s="315"/>
      <c r="V421" s="315"/>
      <c r="W421" s="315"/>
      <c r="X421" s="315"/>
      <c r="Y421" s="315"/>
      <c r="Z421" s="315"/>
      <c r="AA421" s="315"/>
      <c r="AB421" s="315"/>
      <c r="AC421" s="315"/>
      <c r="AD421" s="315"/>
      <c r="AE421" s="315"/>
      <c r="AF421" s="315"/>
      <c r="AG421" s="315"/>
      <c r="AH421" s="315"/>
      <c r="AI421" s="315"/>
      <c r="AJ421" s="315"/>
      <c r="AK421" s="315"/>
      <c r="AL421" s="315"/>
      <c r="AM421" s="315"/>
      <c r="AN421" s="315"/>
    </row>
    <row r="422">
      <c r="A422" s="315"/>
      <c r="B422" s="315"/>
      <c r="C422" s="315"/>
      <c r="D422" s="315"/>
      <c r="E422" s="315"/>
      <c r="F422" s="315"/>
      <c r="G422" s="315"/>
      <c r="H422" s="315"/>
      <c r="I422" s="315"/>
      <c r="J422" s="315"/>
      <c r="K422" s="315"/>
      <c r="L422" s="315"/>
      <c r="M422" s="315"/>
      <c r="N422" s="315"/>
      <c r="O422" s="315"/>
      <c r="P422" s="315"/>
      <c r="Q422" s="315"/>
      <c r="R422" s="315"/>
      <c r="S422" s="315"/>
      <c r="T422" s="315"/>
      <c r="U422" s="315"/>
      <c r="V422" s="315"/>
      <c r="W422" s="315"/>
      <c r="X422" s="315"/>
      <c r="Y422" s="315"/>
      <c r="Z422" s="315"/>
      <c r="AA422" s="315"/>
      <c r="AB422" s="315"/>
      <c r="AC422" s="315"/>
      <c r="AD422" s="315"/>
      <c r="AE422" s="315"/>
      <c r="AF422" s="315"/>
      <c r="AG422" s="315"/>
      <c r="AH422" s="315"/>
      <c r="AI422" s="315"/>
      <c r="AJ422" s="315"/>
      <c r="AK422" s="315"/>
      <c r="AL422" s="315"/>
      <c r="AM422" s="315"/>
      <c r="AN422" s="315"/>
    </row>
    <row r="423">
      <c r="A423" s="315"/>
      <c r="B423" s="315"/>
      <c r="C423" s="315"/>
      <c r="D423" s="315"/>
      <c r="E423" s="315"/>
      <c r="F423" s="315"/>
      <c r="G423" s="315"/>
      <c r="H423" s="315"/>
      <c r="I423" s="315"/>
      <c r="J423" s="315"/>
      <c r="K423" s="315"/>
      <c r="L423" s="315"/>
      <c r="M423" s="315"/>
      <c r="N423" s="315"/>
      <c r="O423" s="315"/>
      <c r="P423" s="315"/>
      <c r="Q423" s="315"/>
      <c r="R423" s="315"/>
      <c r="S423" s="315"/>
      <c r="T423" s="315"/>
      <c r="U423" s="315"/>
      <c r="V423" s="315"/>
      <c r="W423" s="315"/>
      <c r="X423" s="315"/>
      <c r="Y423" s="315"/>
      <c r="Z423" s="315"/>
      <c r="AA423" s="315"/>
      <c r="AB423" s="315"/>
      <c r="AC423" s="315"/>
      <c r="AD423" s="315"/>
      <c r="AE423" s="315"/>
      <c r="AF423" s="315"/>
      <c r="AG423" s="315"/>
      <c r="AH423" s="315"/>
      <c r="AI423" s="315"/>
      <c r="AJ423" s="315"/>
      <c r="AK423" s="315"/>
      <c r="AL423" s="315"/>
      <c r="AM423" s="315"/>
      <c r="AN423" s="315"/>
    </row>
    <row r="424">
      <c r="A424" s="315"/>
      <c r="B424" s="315"/>
      <c r="C424" s="315"/>
      <c r="D424" s="315"/>
      <c r="E424" s="315"/>
      <c r="F424" s="315"/>
      <c r="G424" s="315"/>
      <c r="H424" s="315"/>
      <c r="I424" s="315"/>
      <c r="J424" s="315"/>
      <c r="K424" s="315"/>
      <c r="L424" s="315"/>
      <c r="M424" s="315"/>
      <c r="N424" s="315"/>
      <c r="O424" s="315"/>
      <c r="P424" s="315"/>
      <c r="Q424" s="315"/>
      <c r="R424" s="315"/>
      <c r="S424" s="315"/>
      <c r="T424" s="315"/>
      <c r="U424" s="315"/>
      <c r="V424" s="315"/>
      <c r="W424" s="315"/>
      <c r="X424" s="315"/>
      <c r="Y424" s="315"/>
      <c r="Z424" s="315"/>
      <c r="AA424" s="315"/>
      <c r="AB424" s="315"/>
      <c r="AC424" s="315"/>
      <c r="AD424" s="315"/>
      <c r="AE424" s="315"/>
      <c r="AF424" s="315"/>
      <c r="AG424" s="315"/>
      <c r="AH424" s="315"/>
      <c r="AI424" s="315"/>
      <c r="AJ424" s="315"/>
      <c r="AK424" s="315"/>
      <c r="AL424" s="315"/>
      <c r="AM424" s="315"/>
      <c r="AN424" s="315"/>
    </row>
    <row r="425">
      <c r="A425" s="315"/>
      <c r="B425" s="315"/>
      <c r="C425" s="315"/>
      <c r="D425" s="315"/>
      <c r="E425" s="315"/>
      <c r="F425" s="315"/>
      <c r="G425" s="315"/>
      <c r="H425" s="315"/>
      <c r="I425" s="315"/>
      <c r="J425" s="315"/>
      <c r="K425" s="315"/>
      <c r="L425" s="315"/>
      <c r="M425" s="315"/>
      <c r="N425" s="315"/>
      <c r="O425" s="315"/>
      <c r="P425" s="315"/>
      <c r="Q425" s="315"/>
      <c r="R425" s="315"/>
      <c r="S425" s="315"/>
      <c r="T425" s="315"/>
      <c r="U425" s="315"/>
      <c r="V425" s="315"/>
      <c r="W425" s="315"/>
      <c r="X425" s="315"/>
      <c r="Y425" s="315"/>
      <c r="Z425" s="315"/>
      <c r="AA425" s="315"/>
      <c r="AB425" s="315"/>
      <c r="AC425" s="315"/>
      <c r="AD425" s="315"/>
      <c r="AE425" s="315"/>
      <c r="AF425" s="315"/>
      <c r="AG425" s="315"/>
      <c r="AH425" s="315"/>
      <c r="AI425" s="315"/>
      <c r="AJ425" s="315"/>
      <c r="AK425" s="315"/>
      <c r="AL425" s="315"/>
      <c r="AM425" s="315"/>
      <c r="AN425" s="315"/>
    </row>
    <row r="426">
      <c r="A426" s="315"/>
      <c r="B426" s="315"/>
      <c r="C426" s="315"/>
      <c r="D426" s="315"/>
      <c r="E426" s="315"/>
      <c r="F426" s="315"/>
      <c r="G426" s="315"/>
      <c r="H426" s="315"/>
      <c r="I426" s="315"/>
      <c r="J426" s="315"/>
      <c r="K426" s="315"/>
      <c r="L426" s="315"/>
      <c r="M426" s="315"/>
      <c r="N426" s="315"/>
      <c r="O426" s="315"/>
      <c r="P426" s="315"/>
      <c r="Q426" s="315"/>
      <c r="R426" s="315"/>
      <c r="S426" s="315"/>
      <c r="T426" s="315"/>
      <c r="U426" s="315"/>
      <c r="V426" s="315"/>
      <c r="W426" s="315"/>
      <c r="X426" s="315"/>
      <c r="Y426" s="315"/>
      <c r="Z426" s="315"/>
      <c r="AA426" s="315"/>
      <c r="AB426" s="315"/>
      <c r="AC426" s="315"/>
      <c r="AD426" s="315"/>
      <c r="AE426" s="315"/>
      <c r="AF426" s="315"/>
      <c r="AG426" s="315"/>
      <c r="AH426" s="315"/>
      <c r="AI426" s="315"/>
      <c r="AJ426" s="315"/>
      <c r="AK426" s="315"/>
      <c r="AL426" s="315"/>
      <c r="AM426" s="315"/>
      <c r="AN426" s="315"/>
    </row>
    <row r="427">
      <c r="A427" s="315"/>
      <c r="B427" s="315"/>
      <c r="C427" s="315"/>
      <c r="D427" s="315"/>
      <c r="E427" s="315"/>
      <c r="F427" s="315"/>
      <c r="G427" s="315"/>
      <c r="H427" s="315"/>
      <c r="I427" s="315"/>
      <c r="J427" s="315"/>
      <c r="K427" s="315"/>
      <c r="L427" s="315"/>
      <c r="M427" s="315"/>
      <c r="N427" s="315"/>
      <c r="O427" s="315"/>
      <c r="P427" s="315"/>
      <c r="Q427" s="315"/>
      <c r="R427" s="315"/>
      <c r="S427" s="315"/>
      <c r="T427" s="315"/>
      <c r="U427" s="315"/>
      <c r="V427" s="315"/>
      <c r="W427" s="315"/>
      <c r="X427" s="315"/>
      <c r="Y427" s="315"/>
      <c r="Z427" s="315"/>
      <c r="AA427" s="315"/>
      <c r="AB427" s="315"/>
      <c r="AC427" s="315"/>
      <c r="AD427" s="315"/>
      <c r="AE427" s="315"/>
      <c r="AF427" s="315"/>
      <c r="AG427" s="315"/>
      <c r="AH427" s="315"/>
      <c r="AI427" s="315"/>
      <c r="AJ427" s="315"/>
      <c r="AK427" s="315"/>
      <c r="AL427" s="315"/>
      <c r="AM427" s="315"/>
      <c r="AN427" s="315"/>
    </row>
    <row r="428">
      <c r="A428" s="315"/>
      <c r="B428" s="315"/>
      <c r="C428" s="315"/>
      <c r="D428" s="315"/>
      <c r="E428" s="315"/>
      <c r="F428" s="315"/>
      <c r="G428" s="315"/>
      <c r="H428" s="315"/>
      <c r="I428" s="315"/>
      <c r="J428" s="315"/>
      <c r="K428" s="315"/>
      <c r="L428" s="315"/>
      <c r="M428" s="315"/>
      <c r="N428" s="315"/>
      <c r="O428" s="315"/>
      <c r="P428" s="315"/>
      <c r="Q428" s="315"/>
      <c r="R428" s="315"/>
      <c r="S428" s="315"/>
      <c r="T428" s="315"/>
      <c r="U428" s="315"/>
      <c r="V428" s="315"/>
      <c r="W428" s="315"/>
      <c r="X428" s="315"/>
      <c r="Y428" s="315"/>
      <c r="Z428" s="315"/>
      <c r="AA428" s="315"/>
      <c r="AB428" s="315"/>
      <c r="AC428" s="315"/>
      <c r="AD428" s="315"/>
      <c r="AE428" s="315"/>
      <c r="AF428" s="315"/>
      <c r="AG428" s="315"/>
      <c r="AH428" s="315"/>
      <c r="AI428" s="315"/>
      <c r="AJ428" s="315"/>
      <c r="AK428" s="315"/>
      <c r="AL428" s="315"/>
      <c r="AM428" s="315"/>
      <c r="AN428" s="315"/>
    </row>
    <row r="429">
      <c r="A429" s="315"/>
      <c r="B429" s="315"/>
      <c r="C429" s="315"/>
      <c r="D429" s="315"/>
      <c r="E429" s="315"/>
      <c r="F429" s="315"/>
      <c r="G429" s="315"/>
      <c r="H429" s="315"/>
      <c r="I429" s="315"/>
      <c r="J429" s="315"/>
      <c r="K429" s="315"/>
      <c r="L429" s="315"/>
      <c r="M429" s="315"/>
      <c r="N429" s="315"/>
      <c r="O429" s="315"/>
      <c r="P429" s="315"/>
      <c r="Q429" s="315"/>
      <c r="R429" s="315"/>
      <c r="S429" s="315"/>
      <c r="T429" s="315"/>
      <c r="U429" s="315"/>
      <c r="V429" s="315"/>
      <c r="W429" s="315"/>
      <c r="X429" s="315"/>
      <c r="Y429" s="315"/>
      <c r="Z429" s="315"/>
      <c r="AA429" s="315"/>
      <c r="AB429" s="315"/>
      <c r="AC429" s="315"/>
      <c r="AD429" s="315"/>
      <c r="AE429" s="315"/>
      <c r="AF429" s="315"/>
      <c r="AG429" s="315"/>
      <c r="AH429" s="315"/>
      <c r="AI429" s="315"/>
      <c r="AJ429" s="315"/>
      <c r="AK429" s="315"/>
      <c r="AL429" s="315"/>
      <c r="AM429" s="315"/>
      <c r="AN429" s="315"/>
    </row>
    <row r="430">
      <c r="A430" s="315"/>
      <c r="B430" s="315"/>
      <c r="C430" s="315"/>
      <c r="D430" s="315"/>
      <c r="E430" s="315"/>
      <c r="F430" s="315"/>
      <c r="G430" s="315"/>
      <c r="H430" s="315"/>
      <c r="I430" s="315"/>
      <c r="J430" s="315"/>
      <c r="K430" s="315"/>
      <c r="L430" s="315"/>
      <c r="M430" s="315"/>
      <c r="N430" s="315"/>
      <c r="O430" s="315"/>
      <c r="P430" s="315"/>
      <c r="Q430" s="315"/>
      <c r="R430" s="315"/>
      <c r="S430" s="315"/>
      <c r="T430" s="315"/>
      <c r="U430" s="315"/>
      <c r="V430" s="315"/>
      <c r="W430" s="315"/>
      <c r="X430" s="315"/>
      <c r="Y430" s="315"/>
      <c r="Z430" s="315"/>
      <c r="AA430" s="315"/>
      <c r="AB430" s="315"/>
      <c r="AC430" s="315"/>
      <c r="AD430" s="315"/>
      <c r="AE430" s="315"/>
      <c r="AF430" s="315"/>
      <c r="AG430" s="315"/>
      <c r="AH430" s="315"/>
      <c r="AI430" s="315"/>
      <c r="AJ430" s="315"/>
      <c r="AK430" s="315"/>
      <c r="AL430" s="315"/>
      <c r="AM430" s="315"/>
      <c r="AN430" s="315"/>
    </row>
    <row r="431">
      <c r="A431" s="315"/>
      <c r="B431" s="315"/>
      <c r="C431" s="315"/>
      <c r="D431" s="315"/>
      <c r="E431" s="315"/>
      <c r="F431" s="315"/>
      <c r="G431" s="315"/>
      <c r="H431" s="315"/>
      <c r="I431" s="315"/>
      <c r="J431" s="315"/>
      <c r="K431" s="315"/>
      <c r="L431" s="315"/>
      <c r="M431" s="315"/>
      <c r="N431" s="315"/>
      <c r="O431" s="315"/>
      <c r="P431" s="315"/>
      <c r="Q431" s="315"/>
      <c r="R431" s="315"/>
      <c r="S431" s="315"/>
      <c r="T431" s="315"/>
      <c r="U431" s="315"/>
      <c r="V431" s="315"/>
      <c r="W431" s="315"/>
      <c r="X431" s="315"/>
      <c r="Y431" s="315"/>
      <c r="Z431" s="315"/>
      <c r="AA431" s="315"/>
      <c r="AB431" s="315"/>
      <c r="AC431" s="315"/>
      <c r="AD431" s="315"/>
      <c r="AE431" s="315"/>
      <c r="AF431" s="315"/>
      <c r="AG431" s="315"/>
      <c r="AH431" s="315"/>
      <c r="AI431" s="315"/>
      <c r="AJ431" s="315"/>
      <c r="AK431" s="315"/>
      <c r="AL431" s="315"/>
      <c r="AM431" s="315"/>
      <c r="AN431" s="315"/>
    </row>
    <row r="432">
      <c r="A432" s="315"/>
      <c r="B432" s="315"/>
      <c r="C432" s="315"/>
      <c r="D432" s="315"/>
      <c r="E432" s="315"/>
      <c r="F432" s="315"/>
      <c r="G432" s="315"/>
      <c r="H432" s="315"/>
      <c r="I432" s="315"/>
      <c r="J432" s="315"/>
      <c r="K432" s="315"/>
      <c r="L432" s="315"/>
      <c r="M432" s="315"/>
      <c r="N432" s="315"/>
      <c r="O432" s="315"/>
      <c r="P432" s="315"/>
      <c r="Q432" s="315"/>
      <c r="R432" s="315"/>
      <c r="S432" s="315"/>
      <c r="T432" s="315"/>
      <c r="U432" s="315"/>
      <c r="V432" s="315"/>
      <c r="W432" s="315"/>
      <c r="X432" s="315"/>
      <c r="Y432" s="315"/>
      <c r="Z432" s="315"/>
      <c r="AA432" s="315"/>
      <c r="AB432" s="315"/>
      <c r="AC432" s="315"/>
      <c r="AD432" s="315"/>
      <c r="AE432" s="315"/>
      <c r="AF432" s="315"/>
      <c r="AG432" s="315"/>
      <c r="AH432" s="315"/>
      <c r="AI432" s="315"/>
      <c r="AJ432" s="315"/>
      <c r="AK432" s="315"/>
      <c r="AL432" s="315"/>
      <c r="AM432" s="315"/>
      <c r="AN432" s="315"/>
    </row>
    <row r="433">
      <c r="A433" s="315"/>
      <c r="B433" s="315"/>
      <c r="C433" s="315"/>
      <c r="D433" s="315"/>
      <c r="E433" s="315"/>
      <c r="F433" s="315"/>
      <c r="G433" s="315"/>
      <c r="H433" s="315"/>
      <c r="I433" s="315"/>
      <c r="J433" s="315"/>
      <c r="K433" s="315"/>
      <c r="L433" s="315"/>
      <c r="M433" s="315"/>
      <c r="N433" s="315"/>
      <c r="O433" s="315"/>
      <c r="P433" s="315"/>
      <c r="Q433" s="315"/>
      <c r="R433" s="315"/>
      <c r="S433" s="315"/>
      <c r="T433" s="315"/>
      <c r="U433" s="315"/>
      <c r="V433" s="315"/>
      <c r="W433" s="315"/>
      <c r="X433" s="315"/>
      <c r="Y433" s="315"/>
      <c r="Z433" s="315"/>
      <c r="AA433" s="315"/>
      <c r="AB433" s="315"/>
      <c r="AC433" s="315"/>
      <c r="AD433" s="315"/>
      <c r="AE433" s="315"/>
      <c r="AF433" s="315"/>
      <c r="AG433" s="315"/>
      <c r="AH433" s="315"/>
      <c r="AI433" s="315"/>
      <c r="AJ433" s="315"/>
      <c r="AK433" s="315"/>
      <c r="AL433" s="315"/>
      <c r="AM433" s="315"/>
      <c r="AN433" s="315"/>
    </row>
    <row r="434">
      <c r="A434" s="315"/>
      <c r="B434" s="315"/>
      <c r="C434" s="315"/>
      <c r="D434" s="315"/>
      <c r="E434" s="315"/>
      <c r="F434" s="315"/>
      <c r="G434" s="315"/>
      <c r="H434" s="315"/>
      <c r="I434" s="315"/>
      <c r="J434" s="315"/>
      <c r="K434" s="315"/>
      <c r="L434" s="315"/>
      <c r="M434" s="315"/>
      <c r="N434" s="315"/>
      <c r="O434" s="315"/>
      <c r="P434" s="315"/>
      <c r="Q434" s="315"/>
      <c r="R434" s="315"/>
      <c r="S434" s="315"/>
      <c r="T434" s="315"/>
      <c r="U434" s="315"/>
      <c r="V434" s="315"/>
      <c r="W434" s="315"/>
      <c r="X434" s="315"/>
      <c r="Y434" s="315"/>
      <c r="Z434" s="315"/>
      <c r="AA434" s="315"/>
      <c r="AB434" s="315"/>
      <c r="AC434" s="315"/>
      <c r="AD434" s="315"/>
      <c r="AE434" s="315"/>
      <c r="AF434" s="315"/>
      <c r="AG434" s="315"/>
      <c r="AH434" s="315"/>
      <c r="AI434" s="315"/>
      <c r="AJ434" s="315"/>
      <c r="AK434" s="315"/>
      <c r="AL434" s="315"/>
      <c r="AM434" s="315"/>
      <c r="AN434" s="315"/>
    </row>
    <row r="435">
      <c r="A435" s="315"/>
      <c r="B435" s="315"/>
      <c r="C435" s="315"/>
      <c r="D435" s="315"/>
      <c r="E435" s="315"/>
      <c r="F435" s="315"/>
      <c r="G435" s="315"/>
      <c r="H435" s="315"/>
      <c r="I435" s="315"/>
      <c r="J435" s="315"/>
      <c r="K435" s="315"/>
      <c r="L435" s="315"/>
      <c r="M435" s="315"/>
      <c r="N435" s="315"/>
      <c r="O435" s="315"/>
      <c r="P435" s="315"/>
      <c r="Q435" s="315"/>
      <c r="R435" s="315"/>
      <c r="S435" s="315"/>
      <c r="T435" s="315"/>
      <c r="U435" s="315"/>
      <c r="V435" s="315"/>
      <c r="W435" s="315"/>
      <c r="X435" s="315"/>
      <c r="Y435" s="315"/>
      <c r="Z435" s="315"/>
      <c r="AA435" s="315"/>
      <c r="AB435" s="315"/>
      <c r="AC435" s="315"/>
      <c r="AD435" s="315"/>
      <c r="AE435" s="315"/>
      <c r="AF435" s="315"/>
      <c r="AG435" s="315"/>
      <c r="AH435" s="315"/>
      <c r="AI435" s="315"/>
      <c r="AJ435" s="315"/>
      <c r="AK435" s="315"/>
      <c r="AL435" s="315"/>
      <c r="AM435" s="315"/>
      <c r="AN435" s="315"/>
    </row>
    <row r="436">
      <c r="A436" s="315"/>
      <c r="B436" s="315"/>
      <c r="C436" s="315"/>
      <c r="D436" s="315"/>
      <c r="E436" s="315"/>
      <c r="F436" s="315"/>
      <c r="G436" s="315"/>
      <c r="H436" s="315"/>
      <c r="I436" s="315"/>
      <c r="J436" s="315"/>
      <c r="K436" s="315"/>
      <c r="L436" s="315"/>
      <c r="M436" s="315"/>
      <c r="N436" s="315"/>
      <c r="O436" s="315"/>
      <c r="P436" s="315"/>
      <c r="Q436" s="315"/>
      <c r="R436" s="315"/>
      <c r="S436" s="315"/>
      <c r="T436" s="315"/>
      <c r="U436" s="315"/>
      <c r="V436" s="315"/>
      <c r="W436" s="315"/>
      <c r="X436" s="315"/>
      <c r="Y436" s="315"/>
      <c r="Z436" s="315"/>
      <c r="AA436" s="315"/>
      <c r="AB436" s="315"/>
      <c r="AC436" s="315"/>
      <c r="AD436" s="315"/>
      <c r="AE436" s="315"/>
      <c r="AF436" s="315"/>
      <c r="AG436" s="315"/>
      <c r="AH436" s="315"/>
      <c r="AI436" s="315"/>
      <c r="AJ436" s="315"/>
      <c r="AK436" s="315"/>
      <c r="AL436" s="315"/>
      <c r="AM436" s="315"/>
      <c r="AN436" s="315"/>
    </row>
    <row r="437">
      <c r="A437" s="315"/>
      <c r="B437" s="315"/>
      <c r="C437" s="315"/>
      <c r="D437" s="315"/>
      <c r="E437" s="315"/>
      <c r="F437" s="315"/>
      <c r="G437" s="315"/>
      <c r="H437" s="315"/>
      <c r="I437" s="315"/>
      <c r="J437" s="315"/>
      <c r="K437" s="315"/>
      <c r="L437" s="315"/>
      <c r="M437" s="315"/>
      <c r="N437" s="315"/>
      <c r="O437" s="315"/>
      <c r="P437" s="315"/>
      <c r="Q437" s="315"/>
      <c r="R437" s="315"/>
      <c r="S437" s="315"/>
      <c r="T437" s="315"/>
      <c r="U437" s="315"/>
      <c r="V437" s="315"/>
      <c r="W437" s="315"/>
      <c r="X437" s="315"/>
      <c r="Y437" s="315"/>
      <c r="Z437" s="315"/>
      <c r="AA437" s="315"/>
      <c r="AB437" s="315"/>
      <c r="AC437" s="315"/>
      <c r="AD437" s="315"/>
      <c r="AE437" s="315"/>
      <c r="AF437" s="315"/>
      <c r="AG437" s="315"/>
      <c r="AH437" s="315"/>
      <c r="AI437" s="315"/>
      <c r="AJ437" s="315"/>
      <c r="AK437" s="315"/>
      <c r="AL437" s="315"/>
      <c r="AM437" s="315"/>
      <c r="AN437" s="315"/>
    </row>
    <row r="438">
      <c r="A438" s="315"/>
      <c r="B438" s="315"/>
      <c r="C438" s="315"/>
      <c r="D438" s="315"/>
      <c r="E438" s="315"/>
      <c r="F438" s="315"/>
      <c r="G438" s="315"/>
      <c r="H438" s="315"/>
      <c r="I438" s="315"/>
      <c r="J438" s="315"/>
      <c r="K438" s="315"/>
      <c r="L438" s="315"/>
      <c r="M438" s="315"/>
      <c r="N438" s="315"/>
      <c r="O438" s="315"/>
      <c r="P438" s="315"/>
      <c r="Q438" s="315"/>
      <c r="R438" s="315"/>
      <c r="S438" s="315"/>
      <c r="T438" s="315"/>
      <c r="U438" s="315"/>
      <c r="V438" s="315"/>
      <c r="W438" s="315"/>
      <c r="X438" s="315"/>
      <c r="Y438" s="315"/>
      <c r="Z438" s="315"/>
      <c r="AA438" s="315"/>
      <c r="AB438" s="315"/>
      <c r="AC438" s="315"/>
      <c r="AD438" s="315"/>
      <c r="AE438" s="315"/>
      <c r="AF438" s="315"/>
      <c r="AG438" s="315"/>
      <c r="AH438" s="315"/>
      <c r="AI438" s="315"/>
      <c r="AJ438" s="315"/>
      <c r="AK438" s="315"/>
      <c r="AL438" s="315"/>
      <c r="AM438" s="315"/>
      <c r="AN438" s="315"/>
    </row>
    <row r="439">
      <c r="A439" s="315"/>
      <c r="B439" s="315"/>
      <c r="C439" s="315"/>
      <c r="D439" s="315"/>
      <c r="E439" s="315"/>
      <c r="F439" s="315"/>
      <c r="G439" s="315"/>
      <c r="H439" s="315"/>
      <c r="I439" s="315"/>
      <c r="J439" s="315"/>
      <c r="K439" s="315"/>
      <c r="L439" s="315"/>
      <c r="M439" s="315"/>
      <c r="N439" s="315"/>
      <c r="O439" s="315"/>
      <c r="P439" s="315"/>
      <c r="Q439" s="315"/>
      <c r="R439" s="315"/>
      <c r="S439" s="315"/>
      <c r="T439" s="315"/>
      <c r="U439" s="315"/>
      <c r="V439" s="315"/>
      <c r="W439" s="315"/>
      <c r="X439" s="315"/>
      <c r="Y439" s="315"/>
      <c r="Z439" s="315"/>
      <c r="AA439" s="315"/>
      <c r="AB439" s="315"/>
      <c r="AC439" s="315"/>
      <c r="AD439" s="315"/>
      <c r="AE439" s="315"/>
      <c r="AF439" s="315"/>
      <c r="AG439" s="315"/>
      <c r="AH439" s="315"/>
      <c r="AI439" s="315"/>
      <c r="AJ439" s="315"/>
      <c r="AK439" s="315"/>
      <c r="AL439" s="315"/>
      <c r="AM439" s="315"/>
      <c r="AN439" s="315"/>
    </row>
    <row r="440">
      <c r="A440" s="315"/>
      <c r="B440" s="315"/>
      <c r="C440" s="315"/>
      <c r="D440" s="315"/>
      <c r="E440" s="315"/>
      <c r="F440" s="315"/>
      <c r="G440" s="315"/>
      <c r="H440" s="315"/>
      <c r="I440" s="315"/>
      <c r="J440" s="315"/>
      <c r="K440" s="315"/>
      <c r="L440" s="315"/>
      <c r="M440" s="315"/>
      <c r="N440" s="315"/>
      <c r="O440" s="315"/>
      <c r="P440" s="315"/>
      <c r="Q440" s="315"/>
      <c r="R440" s="315"/>
      <c r="S440" s="315"/>
      <c r="T440" s="315"/>
      <c r="U440" s="315"/>
      <c r="V440" s="315"/>
      <c r="W440" s="315"/>
      <c r="X440" s="315"/>
      <c r="Y440" s="315"/>
      <c r="Z440" s="315"/>
      <c r="AA440" s="315"/>
      <c r="AB440" s="315"/>
      <c r="AC440" s="315"/>
      <c r="AD440" s="315"/>
      <c r="AE440" s="315"/>
      <c r="AF440" s="315"/>
      <c r="AG440" s="315"/>
      <c r="AH440" s="315"/>
      <c r="AI440" s="315"/>
      <c r="AJ440" s="315"/>
      <c r="AK440" s="315"/>
      <c r="AL440" s="315"/>
      <c r="AM440" s="315"/>
      <c r="AN440" s="315"/>
    </row>
    <row r="441">
      <c r="A441" s="315"/>
      <c r="B441" s="315"/>
      <c r="C441" s="315"/>
      <c r="D441" s="315"/>
      <c r="E441" s="315"/>
      <c r="F441" s="315"/>
      <c r="G441" s="315"/>
      <c r="H441" s="315"/>
      <c r="I441" s="315"/>
      <c r="J441" s="315"/>
      <c r="K441" s="315"/>
      <c r="L441" s="315"/>
      <c r="M441" s="315"/>
      <c r="N441" s="315"/>
      <c r="O441" s="315"/>
      <c r="P441" s="315"/>
      <c r="Q441" s="315"/>
      <c r="R441" s="315"/>
      <c r="S441" s="315"/>
      <c r="T441" s="315"/>
      <c r="U441" s="315"/>
      <c r="V441" s="315"/>
      <c r="W441" s="315"/>
      <c r="X441" s="315"/>
      <c r="Y441" s="315"/>
      <c r="Z441" s="315"/>
      <c r="AA441" s="315"/>
      <c r="AB441" s="315"/>
      <c r="AC441" s="315"/>
      <c r="AD441" s="315"/>
      <c r="AE441" s="315"/>
      <c r="AF441" s="315"/>
      <c r="AG441" s="315"/>
      <c r="AH441" s="315"/>
      <c r="AI441" s="315"/>
      <c r="AJ441" s="315"/>
      <c r="AK441" s="315"/>
      <c r="AL441" s="315"/>
      <c r="AM441" s="315"/>
      <c r="AN441" s="315"/>
    </row>
    <row r="442">
      <c r="A442" s="315"/>
      <c r="B442" s="315"/>
      <c r="C442" s="315"/>
      <c r="D442" s="315"/>
      <c r="E442" s="315"/>
      <c r="F442" s="315"/>
      <c r="G442" s="315"/>
      <c r="H442" s="315"/>
      <c r="I442" s="315"/>
      <c r="J442" s="315"/>
      <c r="K442" s="315"/>
      <c r="L442" s="315"/>
      <c r="M442" s="315"/>
      <c r="N442" s="315"/>
      <c r="O442" s="315"/>
      <c r="P442" s="315"/>
      <c r="Q442" s="315"/>
      <c r="R442" s="315"/>
      <c r="S442" s="315"/>
      <c r="T442" s="315"/>
      <c r="U442" s="315"/>
      <c r="V442" s="315"/>
      <c r="W442" s="315"/>
      <c r="X442" s="315"/>
      <c r="Y442" s="315"/>
      <c r="Z442" s="315"/>
      <c r="AA442" s="315"/>
      <c r="AB442" s="315"/>
      <c r="AC442" s="315"/>
      <c r="AD442" s="315"/>
      <c r="AE442" s="315"/>
      <c r="AF442" s="315"/>
      <c r="AG442" s="315"/>
      <c r="AH442" s="315"/>
      <c r="AI442" s="315"/>
      <c r="AJ442" s="315"/>
      <c r="AK442" s="315"/>
      <c r="AL442" s="315"/>
      <c r="AM442" s="315"/>
      <c r="AN442" s="315"/>
    </row>
    <row r="443">
      <c r="A443" s="315"/>
      <c r="B443" s="315"/>
      <c r="C443" s="315"/>
      <c r="D443" s="315"/>
      <c r="E443" s="315"/>
      <c r="F443" s="315"/>
      <c r="G443" s="315"/>
      <c r="H443" s="315"/>
      <c r="I443" s="315"/>
      <c r="J443" s="315"/>
      <c r="K443" s="315"/>
      <c r="L443" s="315"/>
      <c r="M443" s="315"/>
      <c r="N443" s="315"/>
      <c r="O443" s="315"/>
      <c r="P443" s="315"/>
      <c r="Q443" s="315"/>
      <c r="R443" s="315"/>
      <c r="S443" s="315"/>
      <c r="T443" s="315"/>
      <c r="U443" s="315"/>
      <c r="V443" s="315"/>
      <c r="W443" s="315"/>
      <c r="X443" s="315"/>
      <c r="Y443" s="315"/>
      <c r="Z443" s="315"/>
      <c r="AA443" s="315"/>
      <c r="AB443" s="315"/>
      <c r="AC443" s="315"/>
      <c r="AD443" s="315"/>
      <c r="AE443" s="315"/>
      <c r="AF443" s="315"/>
      <c r="AG443" s="315"/>
      <c r="AH443" s="315"/>
      <c r="AI443" s="315"/>
      <c r="AJ443" s="315"/>
      <c r="AK443" s="315"/>
      <c r="AL443" s="315"/>
      <c r="AM443" s="315"/>
      <c r="AN443" s="315"/>
    </row>
    <row r="444">
      <c r="A444" s="315"/>
      <c r="B444" s="315"/>
      <c r="C444" s="315"/>
      <c r="D444" s="315"/>
      <c r="E444" s="315"/>
      <c r="F444" s="315"/>
      <c r="G444" s="315"/>
      <c r="H444" s="315"/>
      <c r="I444" s="315"/>
      <c r="J444" s="315"/>
      <c r="K444" s="315"/>
      <c r="L444" s="315"/>
      <c r="M444" s="315"/>
      <c r="N444" s="315"/>
      <c r="O444" s="315"/>
      <c r="P444" s="315"/>
      <c r="Q444" s="315"/>
      <c r="R444" s="315"/>
      <c r="S444" s="315"/>
      <c r="T444" s="315"/>
      <c r="U444" s="315"/>
      <c r="V444" s="315"/>
      <c r="W444" s="315"/>
      <c r="X444" s="315"/>
      <c r="Y444" s="315"/>
      <c r="Z444" s="315"/>
      <c r="AA444" s="315"/>
      <c r="AB444" s="315"/>
      <c r="AC444" s="315"/>
      <c r="AD444" s="315"/>
      <c r="AE444" s="315"/>
      <c r="AF444" s="315"/>
      <c r="AG444" s="315"/>
      <c r="AH444" s="315"/>
      <c r="AI444" s="315"/>
      <c r="AJ444" s="315"/>
      <c r="AK444" s="315"/>
      <c r="AL444" s="315"/>
      <c r="AM444" s="315"/>
      <c r="AN444" s="315"/>
    </row>
    <row r="445">
      <c r="A445" s="315"/>
      <c r="B445" s="315"/>
      <c r="C445" s="315"/>
      <c r="D445" s="315"/>
      <c r="E445" s="315"/>
      <c r="F445" s="315"/>
      <c r="G445" s="315"/>
      <c r="H445" s="315"/>
      <c r="I445" s="315"/>
      <c r="J445" s="315"/>
      <c r="K445" s="315"/>
      <c r="L445" s="315"/>
      <c r="M445" s="315"/>
      <c r="N445" s="315"/>
      <c r="O445" s="315"/>
      <c r="P445" s="315"/>
      <c r="Q445" s="315"/>
      <c r="R445" s="315"/>
      <c r="S445" s="315"/>
      <c r="T445" s="315"/>
      <c r="U445" s="315"/>
      <c r="V445" s="315"/>
      <c r="W445" s="315"/>
      <c r="X445" s="315"/>
      <c r="Y445" s="315"/>
      <c r="Z445" s="315"/>
      <c r="AA445" s="315"/>
      <c r="AB445" s="315"/>
      <c r="AC445" s="315"/>
      <c r="AD445" s="315"/>
      <c r="AE445" s="315"/>
      <c r="AF445" s="315"/>
      <c r="AG445" s="315"/>
      <c r="AH445" s="315"/>
      <c r="AI445" s="315"/>
      <c r="AJ445" s="315"/>
      <c r="AK445" s="315"/>
      <c r="AL445" s="315"/>
      <c r="AM445" s="315"/>
      <c r="AN445" s="315"/>
    </row>
    <row r="446">
      <c r="A446" s="315"/>
      <c r="B446" s="315"/>
      <c r="C446" s="315"/>
      <c r="D446" s="315"/>
      <c r="E446" s="315"/>
      <c r="F446" s="315"/>
      <c r="G446" s="315"/>
      <c r="H446" s="315"/>
      <c r="I446" s="315"/>
      <c r="J446" s="315"/>
      <c r="K446" s="315"/>
      <c r="L446" s="315"/>
      <c r="M446" s="315"/>
      <c r="N446" s="315"/>
      <c r="O446" s="315"/>
      <c r="P446" s="315"/>
      <c r="Q446" s="315"/>
      <c r="R446" s="315"/>
      <c r="S446" s="315"/>
      <c r="T446" s="315"/>
      <c r="U446" s="315"/>
      <c r="V446" s="315"/>
      <c r="W446" s="315"/>
      <c r="X446" s="315"/>
      <c r="Y446" s="315"/>
      <c r="Z446" s="315"/>
      <c r="AA446" s="315"/>
      <c r="AB446" s="315"/>
      <c r="AC446" s="315"/>
      <c r="AD446" s="315"/>
      <c r="AE446" s="315"/>
      <c r="AF446" s="315"/>
      <c r="AG446" s="315"/>
      <c r="AH446" s="315"/>
      <c r="AI446" s="315"/>
      <c r="AJ446" s="315"/>
      <c r="AK446" s="315"/>
      <c r="AL446" s="315"/>
      <c r="AM446" s="315"/>
      <c r="AN446" s="315"/>
    </row>
    <row r="447">
      <c r="A447" s="315"/>
      <c r="B447" s="315"/>
      <c r="C447" s="315"/>
      <c r="D447" s="315"/>
      <c r="E447" s="315"/>
      <c r="F447" s="315"/>
      <c r="G447" s="315"/>
      <c r="H447" s="315"/>
      <c r="I447" s="315"/>
      <c r="J447" s="315"/>
      <c r="K447" s="315"/>
      <c r="L447" s="315"/>
      <c r="M447" s="315"/>
      <c r="N447" s="315"/>
      <c r="O447" s="315"/>
      <c r="P447" s="315"/>
      <c r="Q447" s="315"/>
      <c r="R447" s="315"/>
      <c r="S447" s="315"/>
      <c r="T447" s="315"/>
      <c r="U447" s="315"/>
      <c r="V447" s="315"/>
      <c r="W447" s="315"/>
      <c r="X447" s="315"/>
      <c r="Y447" s="315"/>
      <c r="Z447" s="315"/>
      <c r="AA447" s="315"/>
      <c r="AB447" s="315"/>
      <c r="AC447" s="315"/>
      <c r="AD447" s="315"/>
      <c r="AE447" s="315"/>
      <c r="AF447" s="315"/>
      <c r="AG447" s="315"/>
      <c r="AH447" s="315"/>
      <c r="AI447" s="315"/>
      <c r="AJ447" s="315"/>
      <c r="AK447" s="315"/>
      <c r="AL447" s="315"/>
      <c r="AM447" s="315"/>
      <c r="AN447" s="315"/>
    </row>
    <row r="448">
      <c r="A448" s="315"/>
      <c r="B448" s="315"/>
      <c r="C448" s="315"/>
      <c r="D448" s="315"/>
      <c r="E448" s="315"/>
      <c r="F448" s="315"/>
      <c r="G448" s="315"/>
      <c r="H448" s="315"/>
      <c r="I448" s="315"/>
      <c r="J448" s="315"/>
      <c r="K448" s="315"/>
      <c r="L448" s="315"/>
      <c r="M448" s="315"/>
      <c r="N448" s="315"/>
      <c r="O448" s="315"/>
      <c r="P448" s="315"/>
      <c r="Q448" s="315"/>
      <c r="R448" s="315"/>
      <c r="S448" s="315"/>
      <c r="T448" s="315"/>
      <c r="U448" s="315"/>
      <c r="V448" s="315"/>
      <c r="W448" s="315"/>
      <c r="X448" s="315"/>
      <c r="Y448" s="315"/>
      <c r="Z448" s="315"/>
      <c r="AA448" s="315"/>
      <c r="AB448" s="315"/>
      <c r="AC448" s="315"/>
      <c r="AD448" s="315"/>
      <c r="AE448" s="315"/>
      <c r="AF448" s="315"/>
      <c r="AG448" s="315"/>
      <c r="AH448" s="315"/>
      <c r="AI448" s="315"/>
      <c r="AJ448" s="315"/>
      <c r="AK448" s="315"/>
      <c r="AL448" s="315"/>
      <c r="AM448" s="315"/>
      <c r="AN448" s="315"/>
    </row>
    <row r="449">
      <c r="A449" s="315"/>
      <c r="B449" s="315"/>
      <c r="C449" s="315"/>
      <c r="D449" s="315"/>
      <c r="E449" s="315"/>
      <c r="F449" s="315"/>
      <c r="G449" s="315"/>
      <c r="H449" s="315"/>
      <c r="I449" s="315"/>
      <c r="J449" s="315"/>
      <c r="K449" s="315"/>
      <c r="L449" s="315"/>
      <c r="M449" s="315"/>
      <c r="N449" s="315"/>
      <c r="O449" s="315"/>
      <c r="P449" s="315"/>
      <c r="Q449" s="315"/>
      <c r="R449" s="315"/>
      <c r="S449" s="315"/>
      <c r="T449" s="315"/>
      <c r="U449" s="315"/>
      <c r="V449" s="315"/>
      <c r="W449" s="315"/>
      <c r="X449" s="315"/>
      <c r="Y449" s="315"/>
      <c r="Z449" s="315"/>
      <c r="AA449" s="315"/>
      <c r="AB449" s="315"/>
      <c r="AC449" s="315"/>
      <c r="AD449" s="315"/>
      <c r="AE449" s="315"/>
      <c r="AF449" s="315"/>
      <c r="AG449" s="315"/>
      <c r="AH449" s="315"/>
      <c r="AI449" s="315"/>
      <c r="AJ449" s="315"/>
      <c r="AK449" s="315"/>
      <c r="AL449" s="315"/>
      <c r="AM449" s="315"/>
      <c r="AN449" s="315"/>
    </row>
    <row r="450">
      <c r="A450" s="315"/>
      <c r="B450" s="315"/>
      <c r="C450" s="315"/>
      <c r="D450" s="315"/>
      <c r="E450" s="315"/>
      <c r="F450" s="315"/>
      <c r="G450" s="315"/>
      <c r="H450" s="315"/>
      <c r="I450" s="315"/>
      <c r="J450" s="315"/>
      <c r="K450" s="315"/>
      <c r="L450" s="315"/>
      <c r="M450" s="315"/>
      <c r="N450" s="315"/>
      <c r="O450" s="315"/>
      <c r="P450" s="315"/>
      <c r="Q450" s="315"/>
      <c r="R450" s="315"/>
      <c r="S450" s="315"/>
      <c r="T450" s="315"/>
      <c r="U450" s="315"/>
      <c r="V450" s="315"/>
      <c r="W450" s="315"/>
      <c r="X450" s="315"/>
      <c r="Y450" s="315"/>
      <c r="Z450" s="315"/>
      <c r="AA450" s="315"/>
      <c r="AB450" s="315"/>
      <c r="AC450" s="315"/>
      <c r="AD450" s="315"/>
      <c r="AE450" s="315"/>
      <c r="AF450" s="315"/>
      <c r="AG450" s="315"/>
      <c r="AH450" s="315"/>
      <c r="AI450" s="315"/>
      <c r="AJ450" s="315"/>
      <c r="AK450" s="315"/>
      <c r="AL450" s="315"/>
      <c r="AM450" s="315"/>
      <c r="AN450" s="315"/>
    </row>
    <row r="451">
      <c r="A451" s="315"/>
      <c r="B451" s="315"/>
      <c r="C451" s="315"/>
      <c r="D451" s="315"/>
      <c r="E451" s="315"/>
      <c r="F451" s="315"/>
      <c r="G451" s="315"/>
      <c r="H451" s="315"/>
      <c r="I451" s="315"/>
      <c r="J451" s="315"/>
      <c r="K451" s="315"/>
      <c r="L451" s="315"/>
      <c r="M451" s="315"/>
      <c r="N451" s="315"/>
      <c r="O451" s="315"/>
      <c r="P451" s="315"/>
      <c r="Q451" s="315"/>
      <c r="R451" s="315"/>
      <c r="S451" s="315"/>
      <c r="T451" s="315"/>
      <c r="U451" s="315"/>
      <c r="V451" s="315"/>
      <c r="W451" s="315"/>
      <c r="X451" s="315"/>
      <c r="Y451" s="315"/>
      <c r="Z451" s="315"/>
      <c r="AA451" s="315"/>
      <c r="AB451" s="315"/>
      <c r="AC451" s="315"/>
      <c r="AD451" s="315"/>
      <c r="AE451" s="315"/>
      <c r="AF451" s="315"/>
      <c r="AG451" s="315"/>
      <c r="AH451" s="315"/>
      <c r="AI451" s="315"/>
      <c r="AJ451" s="315"/>
      <c r="AK451" s="315"/>
      <c r="AL451" s="315"/>
      <c r="AM451" s="315"/>
      <c r="AN451" s="315"/>
    </row>
    <row r="452">
      <c r="A452" s="315"/>
      <c r="B452" s="315"/>
      <c r="C452" s="315"/>
      <c r="D452" s="315"/>
      <c r="E452" s="315"/>
      <c r="F452" s="315"/>
      <c r="G452" s="315"/>
      <c r="H452" s="315"/>
      <c r="I452" s="315"/>
      <c r="J452" s="315"/>
      <c r="K452" s="315"/>
      <c r="L452" s="315"/>
      <c r="M452" s="315"/>
      <c r="N452" s="315"/>
      <c r="O452" s="315"/>
      <c r="P452" s="315"/>
      <c r="Q452" s="315"/>
      <c r="R452" s="315"/>
      <c r="S452" s="315"/>
      <c r="T452" s="315"/>
      <c r="U452" s="315"/>
      <c r="V452" s="315"/>
      <c r="W452" s="315"/>
      <c r="X452" s="315"/>
      <c r="Y452" s="315"/>
      <c r="Z452" s="315"/>
      <c r="AA452" s="315"/>
      <c r="AB452" s="315"/>
      <c r="AC452" s="315"/>
      <c r="AD452" s="315"/>
      <c r="AE452" s="315"/>
      <c r="AF452" s="315"/>
      <c r="AG452" s="315"/>
      <c r="AH452" s="315"/>
      <c r="AI452" s="315"/>
      <c r="AJ452" s="315"/>
      <c r="AK452" s="315"/>
      <c r="AL452" s="315"/>
      <c r="AM452" s="315"/>
      <c r="AN452" s="315"/>
    </row>
    <row r="453">
      <c r="A453" s="315"/>
      <c r="B453" s="315"/>
      <c r="C453" s="315"/>
      <c r="D453" s="315"/>
      <c r="E453" s="315"/>
      <c r="F453" s="315"/>
      <c r="G453" s="315"/>
      <c r="H453" s="315"/>
      <c r="I453" s="315"/>
      <c r="J453" s="315"/>
      <c r="K453" s="315"/>
      <c r="L453" s="315"/>
      <c r="M453" s="315"/>
      <c r="N453" s="315"/>
      <c r="O453" s="315"/>
      <c r="P453" s="315"/>
      <c r="Q453" s="315"/>
      <c r="R453" s="315"/>
      <c r="S453" s="315"/>
      <c r="T453" s="315"/>
      <c r="U453" s="315"/>
      <c r="V453" s="315"/>
      <c r="W453" s="315"/>
      <c r="X453" s="315"/>
      <c r="Y453" s="315"/>
      <c r="Z453" s="315"/>
      <c r="AA453" s="315"/>
      <c r="AB453" s="315"/>
      <c r="AC453" s="315"/>
      <c r="AD453" s="315"/>
      <c r="AE453" s="315"/>
      <c r="AF453" s="315"/>
      <c r="AG453" s="315"/>
      <c r="AH453" s="315"/>
      <c r="AI453" s="315"/>
      <c r="AJ453" s="315"/>
      <c r="AK453" s="315"/>
      <c r="AL453" s="315"/>
      <c r="AM453" s="315"/>
      <c r="AN453" s="315"/>
    </row>
    <row r="454">
      <c r="A454" s="315"/>
      <c r="B454" s="315"/>
      <c r="C454" s="315"/>
      <c r="D454" s="315"/>
      <c r="E454" s="315"/>
      <c r="F454" s="315"/>
      <c r="G454" s="315"/>
      <c r="H454" s="315"/>
      <c r="I454" s="315"/>
      <c r="J454" s="315"/>
      <c r="K454" s="315"/>
      <c r="L454" s="315"/>
      <c r="M454" s="315"/>
      <c r="N454" s="315"/>
      <c r="O454" s="315"/>
      <c r="P454" s="315"/>
      <c r="Q454" s="315"/>
      <c r="R454" s="315"/>
      <c r="S454" s="315"/>
      <c r="T454" s="315"/>
      <c r="U454" s="315"/>
      <c r="V454" s="315"/>
      <c r="W454" s="315"/>
      <c r="X454" s="315"/>
      <c r="Y454" s="315"/>
      <c r="Z454" s="315"/>
      <c r="AA454" s="315"/>
      <c r="AB454" s="315"/>
      <c r="AC454" s="315"/>
      <c r="AD454" s="315"/>
      <c r="AE454" s="315"/>
      <c r="AF454" s="315"/>
      <c r="AG454" s="315"/>
      <c r="AH454" s="315"/>
      <c r="AI454" s="315"/>
      <c r="AJ454" s="315"/>
      <c r="AK454" s="315"/>
      <c r="AL454" s="315"/>
      <c r="AM454" s="315"/>
      <c r="AN454" s="315"/>
    </row>
    <row r="455">
      <c r="A455" s="315"/>
      <c r="B455" s="315"/>
      <c r="C455" s="315"/>
      <c r="D455" s="315"/>
      <c r="E455" s="315"/>
      <c r="F455" s="315"/>
      <c r="G455" s="315"/>
      <c r="H455" s="315"/>
      <c r="I455" s="315"/>
      <c r="J455" s="315"/>
      <c r="K455" s="315"/>
      <c r="L455" s="315"/>
      <c r="M455" s="315"/>
      <c r="N455" s="315"/>
      <c r="O455" s="315"/>
      <c r="P455" s="315"/>
      <c r="Q455" s="315"/>
      <c r="R455" s="315"/>
      <c r="S455" s="315"/>
      <c r="T455" s="315"/>
      <c r="U455" s="315"/>
      <c r="V455" s="315"/>
      <c r="W455" s="315"/>
      <c r="X455" s="315"/>
      <c r="Y455" s="315"/>
      <c r="Z455" s="315"/>
      <c r="AA455" s="315"/>
      <c r="AB455" s="315"/>
      <c r="AC455" s="315"/>
      <c r="AD455" s="315"/>
      <c r="AE455" s="315"/>
      <c r="AF455" s="315"/>
      <c r="AG455" s="315"/>
      <c r="AH455" s="315"/>
      <c r="AI455" s="315"/>
      <c r="AJ455" s="315"/>
      <c r="AK455" s="315"/>
      <c r="AL455" s="315"/>
      <c r="AM455" s="315"/>
      <c r="AN455" s="315"/>
    </row>
    <row r="456">
      <c r="A456" s="315"/>
      <c r="B456" s="315"/>
      <c r="C456" s="315"/>
      <c r="D456" s="315"/>
      <c r="E456" s="315"/>
      <c r="F456" s="315"/>
      <c r="G456" s="315"/>
      <c r="H456" s="315"/>
      <c r="I456" s="315"/>
      <c r="J456" s="315"/>
      <c r="K456" s="315"/>
      <c r="L456" s="315"/>
      <c r="M456" s="315"/>
      <c r="N456" s="315"/>
      <c r="O456" s="315"/>
      <c r="P456" s="315"/>
      <c r="Q456" s="315"/>
      <c r="R456" s="315"/>
      <c r="S456" s="315"/>
      <c r="T456" s="315"/>
      <c r="U456" s="315"/>
      <c r="V456" s="315"/>
      <c r="W456" s="315"/>
      <c r="X456" s="315"/>
      <c r="Y456" s="315"/>
      <c r="Z456" s="315"/>
      <c r="AA456" s="315"/>
      <c r="AB456" s="315"/>
      <c r="AC456" s="315"/>
      <c r="AD456" s="315"/>
      <c r="AE456" s="315"/>
      <c r="AF456" s="315"/>
      <c r="AG456" s="315"/>
      <c r="AH456" s="315"/>
      <c r="AI456" s="315"/>
      <c r="AJ456" s="315"/>
      <c r="AK456" s="315"/>
      <c r="AL456" s="315"/>
      <c r="AM456" s="315"/>
      <c r="AN456" s="315"/>
    </row>
    <row r="457">
      <c r="A457" s="315"/>
      <c r="B457" s="315"/>
      <c r="C457" s="315"/>
      <c r="D457" s="315"/>
      <c r="E457" s="315"/>
      <c r="F457" s="315"/>
      <c r="G457" s="315"/>
      <c r="H457" s="315"/>
      <c r="I457" s="315"/>
      <c r="J457" s="315"/>
      <c r="K457" s="315"/>
      <c r="L457" s="315"/>
      <c r="M457" s="315"/>
      <c r="N457" s="315"/>
      <c r="O457" s="315"/>
      <c r="P457" s="315"/>
      <c r="Q457" s="315"/>
      <c r="R457" s="315"/>
      <c r="S457" s="315"/>
      <c r="T457" s="315"/>
      <c r="U457" s="315"/>
      <c r="V457" s="315"/>
      <c r="W457" s="315"/>
      <c r="X457" s="315"/>
      <c r="Y457" s="315"/>
      <c r="Z457" s="315"/>
      <c r="AA457" s="315"/>
      <c r="AB457" s="315"/>
      <c r="AC457" s="315"/>
      <c r="AD457" s="315"/>
      <c r="AE457" s="315"/>
      <c r="AF457" s="315"/>
      <c r="AG457" s="315"/>
      <c r="AH457" s="315"/>
      <c r="AI457" s="315"/>
      <c r="AJ457" s="315"/>
      <c r="AK457" s="315"/>
      <c r="AL457" s="315"/>
      <c r="AM457" s="315"/>
      <c r="AN457" s="315"/>
    </row>
    <row r="458">
      <c r="A458" s="315"/>
      <c r="B458" s="315"/>
      <c r="C458" s="315"/>
      <c r="D458" s="315"/>
      <c r="E458" s="315"/>
      <c r="F458" s="315"/>
      <c r="G458" s="315"/>
      <c r="H458" s="315"/>
      <c r="I458" s="315"/>
      <c r="J458" s="315"/>
      <c r="K458" s="315"/>
      <c r="L458" s="315"/>
      <c r="M458" s="315"/>
      <c r="N458" s="315"/>
      <c r="O458" s="315"/>
      <c r="P458" s="315"/>
      <c r="Q458" s="315"/>
      <c r="R458" s="315"/>
      <c r="S458" s="315"/>
      <c r="T458" s="315"/>
      <c r="U458" s="315"/>
      <c r="V458" s="315"/>
      <c r="W458" s="315"/>
      <c r="X458" s="315"/>
      <c r="Y458" s="315"/>
      <c r="Z458" s="315"/>
      <c r="AA458" s="315"/>
      <c r="AB458" s="315"/>
      <c r="AC458" s="315"/>
      <c r="AD458" s="315"/>
      <c r="AE458" s="315"/>
      <c r="AF458" s="315"/>
      <c r="AG458" s="315"/>
      <c r="AH458" s="315"/>
      <c r="AI458" s="315"/>
      <c r="AJ458" s="315"/>
      <c r="AK458" s="315"/>
      <c r="AL458" s="315"/>
      <c r="AM458" s="315"/>
      <c r="AN458" s="315"/>
    </row>
    <row r="459">
      <c r="A459" s="315"/>
      <c r="B459" s="315"/>
      <c r="C459" s="315"/>
      <c r="D459" s="315"/>
      <c r="E459" s="315"/>
      <c r="F459" s="315"/>
      <c r="G459" s="315"/>
      <c r="H459" s="315"/>
      <c r="I459" s="315"/>
      <c r="J459" s="315"/>
      <c r="K459" s="315"/>
      <c r="L459" s="315"/>
      <c r="M459" s="315"/>
      <c r="N459" s="315"/>
      <c r="O459" s="315"/>
      <c r="P459" s="315"/>
      <c r="Q459" s="315"/>
      <c r="R459" s="315"/>
      <c r="S459" s="315"/>
      <c r="T459" s="315"/>
      <c r="U459" s="315"/>
      <c r="V459" s="315"/>
      <c r="W459" s="315"/>
      <c r="X459" s="315"/>
      <c r="Y459" s="315"/>
      <c r="Z459" s="315"/>
      <c r="AA459" s="315"/>
      <c r="AB459" s="315"/>
      <c r="AC459" s="315"/>
      <c r="AD459" s="315"/>
      <c r="AE459" s="315"/>
      <c r="AF459" s="315"/>
      <c r="AG459" s="315"/>
      <c r="AH459" s="315"/>
      <c r="AI459" s="315"/>
      <c r="AJ459" s="315"/>
      <c r="AK459" s="315"/>
      <c r="AL459" s="315"/>
      <c r="AM459" s="315"/>
      <c r="AN459" s="315"/>
    </row>
    <row r="460">
      <c r="A460" s="315"/>
      <c r="B460" s="315"/>
      <c r="C460" s="315"/>
      <c r="D460" s="315"/>
      <c r="E460" s="315"/>
      <c r="F460" s="315"/>
      <c r="G460" s="315"/>
      <c r="H460" s="315"/>
      <c r="I460" s="315"/>
      <c r="J460" s="315"/>
      <c r="K460" s="315"/>
      <c r="L460" s="315"/>
      <c r="M460" s="315"/>
      <c r="N460" s="315"/>
      <c r="O460" s="315"/>
      <c r="P460" s="315"/>
      <c r="Q460" s="315"/>
      <c r="R460" s="315"/>
      <c r="S460" s="315"/>
      <c r="T460" s="315"/>
      <c r="U460" s="315"/>
      <c r="V460" s="315"/>
      <c r="W460" s="315"/>
      <c r="X460" s="315"/>
      <c r="Y460" s="315"/>
      <c r="Z460" s="315"/>
      <c r="AA460" s="315"/>
      <c r="AB460" s="315"/>
      <c r="AC460" s="315"/>
      <c r="AD460" s="315"/>
      <c r="AE460" s="315"/>
      <c r="AF460" s="315"/>
      <c r="AG460" s="315"/>
      <c r="AH460" s="315"/>
      <c r="AI460" s="315"/>
      <c r="AJ460" s="315"/>
      <c r="AK460" s="315"/>
      <c r="AL460" s="315"/>
      <c r="AM460" s="315"/>
      <c r="AN460" s="315"/>
    </row>
    <row r="461">
      <c r="A461" s="315"/>
      <c r="B461" s="315"/>
      <c r="C461" s="315"/>
      <c r="D461" s="315"/>
      <c r="E461" s="315"/>
      <c r="F461" s="315"/>
      <c r="G461" s="315"/>
      <c r="H461" s="315"/>
      <c r="I461" s="315"/>
      <c r="J461" s="315"/>
      <c r="K461" s="315"/>
      <c r="L461" s="315"/>
      <c r="M461" s="315"/>
      <c r="N461" s="315"/>
      <c r="O461" s="315"/>
      <c r="P461" s="315"/>
      <c r="Q461" s="315"/>
      <c r="R461" s="315"/>
      <c r="S461" s="315"/>
      <c r="T461" s="315"/>
      <c r="U461" s="315"/>
      <c r="V461" s="315"/>
      <c r="W461" s="315"/>
      <c r="X461" s="315"/>
      <c r="Y461" s="315"/>
      <c r="Z461" s="315"/>
      <c r="AA461" s="315"/>
      <c r="AB461" s="315"/>
      <c r="AC461" s="315"/>
      <c r="AD461" s="315"/>
      <c r="AE461" s="315"/>
      <c r="AF461" s="315"/>
      <c r="AG461" s="315"/>
      <c r="AH461" s="315"/>
      <c r="AI461" s="315"/>
      <c r="AJ461" s="315"/>
      <c r="AK461" s="315"/>
      <c r="AL461" s="315"/>
      <c r="AM461" s="315"/>
      <c r="AN461" s="315"/>
    </row>
    <row r="462">
      <c r="A462" s="315"/>
      <c r="B462" s="315"/>
      <c r="C462" s="315"/>
      <c r="D462" s="315"/>
      <c r="E462" s="315"/>
      <c r="F462" s="315"/>
      <c r="G462" s="315"/>
      <c r="H462" s="315"/>
      <c r="I462" s="315"/>
      <c r="J462" s="315"/>
      <c r="K462" s="315"/>
      <c r="L462" s="315"/>
      <c r="M462" s="315"/>
      <c r="N462" s="315"/>
      <c r="O462" s="315"/>
      <c r="P462" s="315"/>
      <c r="Q462" s="315"/>
      <c r="R462" s="315"/>
      <c r="S462" s="315"/>
      <c r="T462" s="315"/>
      <c r="U462" s="315"/>
      <c r="V462" s="315"/>
      <c r="W462" s="315"/>
      <c r="X462" s="315"/>
      <c r="Y462" s="315"/>
      <c r="Z462" s="315"/>
      <c r="AA462" s="315"/>
      <c r="AB462" s="315"/>
      <c r="AC462" s="315"/>
      <c r="AD462" s="315"/>
      <c r="AE462" s="315"/>
      <c r="AF462" s="315"/>
      <c r="AG462" s="315"/>
      <c r="AH462" s="315"/>
      <c r="AI462" s="315"/>
      <c r="AJ462" s="315"/>
      <c r="AK462" s="315"/>
      <c r="AL462" s="315"/>
      <c r="AM462" s="315"/>
      <c r="AN462" s="315"/>
    </row>
    <row r="463">
      <c r="A463" s="315"/>
      <c r="B463" s="315"/>
      <c r="C463" s="315"/>
      <c r="D463" s="315"/>
      <c r="E463" s="315"/>
      <c r="F463" s="315"/>
      <c r="G463" s="315"/>
      <c r="H463" s="315"/>
      <c r="I463" s="315"/>
      <c r="J463" s="315"/>
      <c r="K463" s="315"/>
      <c r="L463" s="315"/>
      <c r="M463" s="315"/>
      <c r="N463" s="315"/>
      <c r="O463" s="315"/>
      <c r="P463" s="315"/>
      <c r="Q463" s="315"/>
      <c r="R463" s="315"/>
      <c r="S463" s="315"/>
      <c r="T463" s="315"/>
      <c r="U463" s="315"/>
      <c r="V463" s="315"/>
      <c r="W463" s="315"/>
      <c r="X463" s="315"/>
      <c r="Y463" s="315"/>
      <c r="Z463" s="315"/>
      <c r="AA463" s="315"/>
      <c r="AB463" s="315"/>
      <c r="AC463" s="315"/>
      <c r="AD463" s="315"/>
      <c r="AE463" s="315"/>
      <c r="AF463" s="315"/>
      <c r="AG463" s="315"/>
      <c r="AH463" s="315"/>
      <c r="AI463" s="315"/>
      <c r="AJ463" s="315"/>
      <c r="AK463" s="315"/>
      <c r="AL463" s="315"/>
      <c r="AM463" s="315"/>
      <c r="AN463" s="315"/>
    </row>
    <row r="464">
      <c r="A464" s="315"/>
      <c r="B464" s="315"/>
      <c r="C464" s="315"/>
      <c r="D464" s="315"/>
      <c r="E464" s="315"/>
      <c r="F464" s="315"/>
      <c r="G464" s="315"/>
      <c r="H464" s="315"/>
      <c r="I464" s="315"/>
      <c r="J464" s="315"/>
      <c r="K464" s="315"/>
      <c r="L464" s="315"/>
      <c r="M464" s="315"/>
      <c r="N464" s="315"/>
      <c r="O464" s="315"/>
      <c r="P464" s="315"/>
      <c r="Q464" s="315"/>
      <c r="R464" s="315"/>
      <c r="S464" s="315"/>
      <c r="T464" s="315"/>
      <c r="U464" s="315"/>
      <c r="V464" s="315"/>
      <c r="W464" s="315"/>
      <c r="X464" s="315"/>
      <c r="Y464" s="315"/>
      <c r="Z464" s="315"/>
      <c r="AA464" s="315"/>
      <c r="AB464" s="315"/>
      <c r="AC464" s="315"/>
      <c r="AD464" s="315"/>
      <c r="AE464" s="315"/>
      <c r="AF464" s="315"/>
      <c r="AG464" s="315"/>
      <c r="AH464" s="315"/>
      <c r="AI464" s="315"/>
      <c r="AJ464" s="315"/>
      <c r="AK464" s="315"/>
      <c r="AL464" s="315"/>
      <c r="AM464" s="315"/>
      <c r="AN464" s="315"/>
    </row>
    <row r="465">
      <c r="A465" s="315"/>
      <c r="B465" s="315"/>
      <c r="C465" s="315"/>
      <c r="D465" s="315"/>
      <c r="E465" s="315"/>
      <c r="F465" s="315"/>
      <c r="G465" s="315"/>
      <c r="H465" s="315"/>
      <c r="I465" s="315"/>
      <c r="J465" s="315"/>
      <c r="K465" s="315"/>
      <c r="L465" s="315"/>
      <c r="M465" s="315"/>
      <c r="N465" s="315"/>
      <c r="O465" s="315"/>
      <c r="P465" s="315"/>
      <c r="Q465" s="315"/>
      <c r="R465" s="315"/>
      <c r="S465" s="315"/>
      <c r="T465" s="315"/>
      <c r="U465" s="315"/>
      <c r="V465" s="315"/>
      <c r="W465" s="315"/>
      <c r="X465" s="315"/>
      <c r="Y465" s="315"/>
      <c r="Z465" s="315"/>
      <c r="AA465" s="315"/>
      <c r="AB465" s="315"/>
      <c r="AC465" s="315"/>
      <c r="AD465" s="315"/>
      <c r="AE465" s="315"/>
      <c r="AF465" s="315"/>
      <c r="AG465" s="315"/>
      <c r="AH465" s="315"/>
      <c r="AI465" s="315"/>
      <c r="AJ465" s="315"/>
      <c r="AK465" s="315"/>
      <c r="AL465" s="315"/>
      <c r="AM465" s="315"/>
      <c r="AN465" s="315"/>
    </row>
    <row r="466">
      <c r="A466" s="315"/>
      <c r="B466" s="315"/>
      <c r="C466" s="315"/>
      <c r="D466" s="315"/>
      <c r="E466" s="315"/>
      <c r="F466" s="315"/>
      <c r="G466" s="315"/>
      <c r="H466" s="315"/>
      <c r="I466" s="315"/>
      <c r="J466" s="315"/>
      <c r="K466" s="315"/>
      <c r="L466" s="315"/>
      <c r="M466" s="315"/>
      <c r="N466" s="315"/>
      <c r="O466" s="315"/>
      <c r="P466" s="315"/>
      <c r="Q466" s="315"/>
      <c r="R466" s="315"/>
      <c r="S466" s="315"/>
      <c r="T466" s="315"/>
      <c r="U466" s="315"/>
      <c r="V466" s="315"/>
      <c r="W466" s="315"/>
      <c r="X466" s="315"/>
      <c r="Y466" s="315"/>
      <c r="Z466" s="315"/>
      <c r="AA466" s="315"/>
      <c r="AB466" s="315"/>
      <c r="AC466" s="315"/>
      <c r="AD466" s="315"/>
      <c r="AE466" s="315"/>
      <c r="AF466" s="315"/>
      <c r="AG466" s="315"/>
      <c r="AH466" s="315"/>
      <c r="AI466" s="315"/>
      <c r="AJ466" s="315"/>
      <c r="AK466" s="315"/>
      <c r="AL466" s="315"/>
      <c r="AM466" s="315"/>
      <c r="AN466" s="315"/>
    </row>
    <row r="467">
      <c r="A467" s="315"/>
      <c r="B467" s="315"/>
      <c r="C467" s="315"/>
      <c r="D467" s="315"/>
      <c r="E467" s="315"/>
      <c r="F467" s="315"/>
      <c r="G467" s="315"/>
      <c r="H467" s="315"/>
      <c r="I467" s="315"/>
      <c r="J467" s="315"/>
      <c r="K467" s="315"/>
      <c r="L467" s="315"/>
      <c r="M467" s="315"/>
      <c r="N467" s="315"/>
      <c r="O467" s="315"/>
      <c r="P467" s="315"/>
      <c r="Q467" s="315"/>
      <c r="R467" s="315"/>
      <c r="S467" s="315"/>
      <c r="T467" s="315"/>
      <c r="U467" s="315"/>
      <c r="V467" s="315"/>
      <c r="W467" s="315"/>
      <c r="X467" s="315"/>
      <c r="Y467" s="315"/>
      <c r="Z467" s="315"/>
      <c r="AA467" s="315"/>
      <c r="AB467" s="315"/>
      <c r="AC467" s="315"/>
      <c r="AD467" s="315"/>
      <c r="AE467" s="315"/>
      <c r="AF467" s="315"/>
      <c r="AG467" s="315"/>
      <c r="AH467" s="315"/>
      <c r="AI467" s="315"/>
      <c r="AJ467" s="315"/>
      <c r="AK467" s="315"/>
      <c r="AL467" s="315"/>
      <c r="AM467" s="315"/>
      <c r="AN467" s="315"/>
    </row>
    <row r="468">
      <c r="A468" s="315"/>
      <c r="B468" s="315"/>
      <c r="C468" s="315"/>
      <c r="D468" s="315"/>
      <c r="E468" s="315"/>
      <c r="F468" s="315"/>
      <c r="G468" s="315"/>
      <c r="H468" s="315"/>
      <c r="I468" s="315"/>
      <c r="J468" s="315"/>
      <c r="K468" s="315"/>
      <c r="L468" s="315"/>
      <c r="M468" s="315"/>
      <c r="N468" s="315"/>
      <c r="O468" s="315"/>
      <c r="P468" s="315"/>
      <c r="Q468" s="315"/>
      <c r="R468" s="315"/>
      <c r="S468" s="315"/>
      <c r="T468" s="315"/>
      <c r="U468" s="315"/>
      <c r="V468" s="315"/>
      <c r="W468" s="315"/>
      <c r="X468" s="315"/>
      <c r="Y468" s="315"/>
      <c r="Z468" s="315"/>
      <c r="AA468" s="315"/>
      <c r="AB468" s="315"/>
      <c r="AC468" s="315"/>
      <c r="AD468" s="315"/>
      <c r="AE468" s="315"/>
      <c r="AF468" s="315"/>
      <c r="AG468" s="315"/>
      <c r="AH468" s="315"/>
      <c r="AI468" s="315"/>
      <c r="AJ468" s="315"/>
      <c r="AK468" s="315"/>
      <c r="AL468" s="315"/>
      <c r="AM468" s="315"/>
      <c r="AN468" s="315"/>
    </row>
    <row r="469">
      <c r="A469" s="315"/>
      <c r="B469" s="315"/>
      <c r="C469" s="315"/>
      <c r="D469" s="315"/>
      <c r="E469" s="315"/>
      <c r="F469" s="315"/>
      <c r="G469" s="315"/>
      <c r="H469" s="315"/>
      <c r="I469" s="315"/>
      <c r="J469" s="315"/>
      <c r="K469" s="315"/>
      <c r="L469" s="315"/>
      <c r="M469" s="315"/>
      <c r="N469" s="315"/>
      <c r="O469" s="315"/>
      <c r="P469" s="315"/>
      <c r="Q469" s="315"/>
      <c r="R469" s="315"/>
      <c r="S469" s="315"/>
      <c r="T469" s="315"/>
      <c r="U469" s="315"/>
      <c r="V469" s="315"/>
      <c r="W469" s="315"/>
      <c r="X469" s="315"/>
      <c r="Y469" s="315"/>
      <c r="Z469" s="315"/>
      <c r="AA469" s="315"/>
      <c r="AB469" s="315"/>
      <c r="AC469" s="315"/>
      <c r="AD469" s="315"/>
      <c r="AE469" s="315"/>
      <c r="AF469" s="315"/>
      <c r="AG469" s="315"/>
      <c r="AH469" s="315"/>
      <c r="AI469" s="315"/>
      <c r="AJ469" s="315"/>
      <c r="AK469" s="315"/>
      <c r="AL469" s="315"/>
      <c r="AM469" s="315"/>
      <c r="AN469" s="315"/>
    </row>
    <row r="470">
      <c r="A470" s="315"/>
      <c r="B470" s="315"/>
      <c r="C470" s="315"/>
      <c r="D470" s="315"/>
      <c r="E470" s="315"/>
      <c r="F470" s="315"/>
      <c r="G470" s="315"/>
      <c r="H470" s="315"/>
      <c r="I470" s="315"/>
      <c r="J470" s="315"/>
      <c r="K470" s="315"/>
      <c r="L470" s="315"/>
      <c r="M470" s="315"/>
      <c r="N470" s="315"/>
      <c r="O470" s="315"/>
      <c r="P470" s="315"/>
      <c r="Q470" s="315"/>
      <c r="R470" s="315"/>
      <c r="S470" s="315"/>
      <c r="T470" s="315"/>
      <c r="U470" s="315"/>
      <c r="V470" s="315"/>
      <c r="W470" s="315"/>
      <c r="X470" s="315"/>
      <c r="Y470" s="315"/>
      <c r="Z470" s="315"/>
      <c r="AA470" s="315"/>
      <c r="AB470" s="315"/>
      <c r="AC470" s="315"/>
      <c r="AD470" s="315"/>
      <c r="AE470" s="315"/>
      <c r="AF470" s="315"/>
      <c r="AG470" s="315"/>
      <c r="AH470" s="315"/>
      <c r="AI470" s="315"/>
      <c r="AJ470" s="315"/>
      <c r="AK470" s="315"/>
      <c r="AL470" s="315"/>
      <c r="AM470" s="315"/>
      <c r="AN470" s="315"/>
    </row>
    <row r="471">
      <c r="A471" s="315"/>
      <c r="B471" s="315"/>
      <c r="C471" s="315"/>
      <c r="D471" s="315"/>
      <c r="E471" s="315"/>
      <c r="F471" s="315"/>
      <c r="G471" s="315"/>
      <c r="H471" s="315"/>
      <c r="I471" s="315"/>
      <c r="J471" s="315"/>
      <c r="K471" s="315"/>
      <c r="L471" s="315"/>
      <c r="M471" s="315"/>
      <c r="N471" s="315"/>
      <c r="O471" s="315"/>
      <c r="P471" s="315"/>
      <c r="Q471" s="315"/>
      <c r="R471" s="315"/>
      <c r="S471" s="315"/>
      <c r="T471" s="315"/>
      <c r="U471" s="315"/>
      <c r="V471" s="315"/>
      <c r="W471" s="315"/>
      <c r="X471" s="315"/>
      <c r="Y471" s="315"/>
      <c r="Z471" s="315"/>
      <c r="AA471" s="315"/>
      <c r="AB471" s="315"/>
      <c r="AC471" s="315"/>
      <c r="AD471" s="315"/>
      <c r="AE471" s="315"/>
      <c r="AF471" s="315"/>
      <c r="AG471" s="315"/>
      <c r="AH471" s="315"/>
      <c r="AI471" s="315"/>
      <c r="AJ471" s="315"/>
      <c r="AK471" s="315"/>
      <c r="AL471" s="315"/>
      <c r="AM471" s="315"/>
      <c r="AN471" s="315"/>
    </row>
    <row r="472">
      <c r="A472" s="315"/>
      <c r="B472" s="315"/>
      <c r="C472" s="315"/>
      <c r="D472" s="315"/>
      <c r="E472" s="315"/>
      <c r="F472" s="315"/>
      <c r="G472" s="315"/>
      <c r="H472" s="315"/>
      <c r="I472" s="315"/>
      <c r="J472" s="315"/>
      <c r="K472" s="315"/>
      <c r="L472" s="315"/>
      <c r="M472" s="315"/>
      <c r="N472" s="315"/>
      <c r="O472" s="315"/>
      <c r="P472" s="315"/>
      <c r="Q472" s="315"/>
      <c r="R472" s="315"/>
      <c r="S472" s="315"/>
      <c r="T472" s="315"/>
      <c r="U472" s="315"/>
      <c r="V472" s="315"/>
      <c r="W472" s="315"/>
      <c r="X472" s="315"/>
      <c r="Y472" s="315"/>
      <c r="Z472" s="315"/>
      <c r="AA472" s="315"/>
      <c r="AB472" s="315"/>
      <c r="AC472" s="315"/>
      <c r="AD472" s="315"/>
      <c r="AE472" s="315"/>
      <c r="AF472" s="315"/>
      <c r="AG472" s="315"/>
      <c r="AH472" s="315"/>
      <c r="AI472" s="315"/>
      <c r="AJ472" s="315"/>
      <c r="AK472" s="315"/>
      <c r="AL472" s="315"/>
      <c r="AM472" s="315"/>
      <c r="AN472" s="315"/>
    </row>
    <row r="473">
      <c r="A473" s="315"/>
      <c r="B473" s="315"/>
      <c r="C473" s="315"/>
      <c r="D473" s="315"/>
      <c r="E473" s="315"/>
      <c r="F473" s="315"/>
      <c r="G473" s="315"/>
      <c r="H473" s="315"/>
      <c r="I473" s="315"/>
      <c r="J473" s="315"/>
      <c r="K473" s="315"/>
      <c r="L473" s="315"/>
      <c r="M473" s="315"/>
      <c r="N473" s="315"/>
      <c r="O473" s="315"/>
      <c r="P473" s="315"/>
      <c r="Q473" s="315"/>
      <c r="R473" s="315"/>
      <c r="S473" s="315"/>
      <c r="T473" s="315"/>
      <c r="U473" s="315"/>
      <c r="V473" s="315"/>
      <c r="W473" s="315"/>
      <c r="X473" s="315"/>
      <c r="Y473" s="315"/>
      <c r="Z473" s="315"/>
      <c r="AA473" s="315"/>
      <c r="AB473" s="315"/>
      <c r="AC473" s="315"/>
      <c r="AD473" s="315"/>
      <c r="AE473" s="315"/>
      <c r="AF473" s="315"/>
      <c r="AG473" s="315"/>
      <c r="AH473" s="315"/>
      <c r="AI473" s="315"/>
      <c r="AJ473" s="315"/>
      <c r="AK473" s="315"/>
      <c r="AL473" s="315"/>
      <c r="AM473" s="315"/>
      <c r="AN473" s="315"/>
    </row>
    <row r="474">
      <c r="A474" s="315"/>
      <c r="B474" s="315"/>
      <c r="C474" s="315"/>
      <c r="D474" s="315"/>
      <c r="E474" s="315"/>
      <c r="F474" s="315"/>
      <c r="G474" s="315"/>
      <c r="H474" s="315"/>
      <c r="I474" s="315"/>
      <c r="J474" s="315"/>
      <c r="K474" s="315"/>
      <c r="L474" s="315"/>
      <c r="M474" s="315"/>
      <c r="N474" s="315"/>
      <c r="O474" s="315"/>
      <c r="P474" s="315"/>
      <c r="Q474" s="315"/>
      <c r="R474" s="315"/>
      <c r="S474" s="315"/>
      <c r="T474" s="315"/>
      <c r="U474" s="315"/>
      <c r="V474" s="315"/>
      <c r="W474" s="315"/>
      <c r="X474" s="315"/>
      <c r="Y474" s="315"/>
      <c r="Z474" s="315"/>
      <c r="AA474" s="315"/>
      <c r="AB474" s="315"/>
      <c r="AC474" s="315"/>
      <c r="AD474" s="315"/>
      <c r="AE474" s="315"/>
      <c r="AF474" s="315"/>
      <c r="AG474" s="315"/>
      <c r="AH474" s="315"/>
      <c r="AI474" s="315"/>
      <c r="AJ474" s="315"/>
      <c r="AK474" s="315"/>
      <c r="AL474" s="315"/>
      <c r="AM474" s="315"/>
      <c r="AN474" s="315"/>
    </row>
    <row r="475">
      <c r="A475" s="315"/>
      <c r="B475" s="315"/>
      <c r="C475" s="315"/>
      <c r="D475" s="315"/>
      <c r="E475" s="315"/>
      <c r="F475" s="315"/>
      <c r="G475" s="315"/>
      <c r="H475" s="315"/>
      <c r="I475" s="315"/>
      <c r="J475" s="315"/>
      <c r="K475" s="315"/>
      <c r="L475" s="315"/>
      <c r="M475" s="315"/>
      <c r="N475" s="315"/>
      <c r="O475" s="315"/>
      <c r="P475" s="315"/>
      <c r="Q475" s="315"/>
      <c r="R475" s="315"/>
      <c r="S475" s="315"/>
      <c r="T475" s="315"/>
      <c r="U475" s="315"/>
      <c r="V475" s="315"/>
      <c r="W475" s="315"/>
      <c r="X475" s="315"/>
      <c r="Y475" s="315"/>
      <c r="Z475" s="315"/>
      <c r="AA475" s="315"/>
      <c r="AB475" s="315"/>
      <c r="AC475" s="315"/>
      <c r="AD475" s="315"/>
      <c r="AE475" s="315"/>
      <c r="AF475" s="315"/>
      <c r="AG475" s="315"/>
      <c r="AH475" s="315"/>
      <c r="AI475" s="315"/>
      <c r="AJ475" s="315"/>
      <c r="AK475" s="315"/>
      <c r="AL475" s="315"/>
      <c r="AM475" s="315"/>
      <c r="AN475" s="315"/>
    </row>
    <row r="476">
      <c r="A476" s="315"/>
      <c r="B476" s="315"/>
      <c r="C476" s="315"/>
      <c r="D476" s="315"/>
      <c r="E476" s="315"/>
      <c r="F476" s="315"/>
      <c r="G476" s="315"/>
      <c r="H476" s="315"/>
      <c r="I476" s="315"/>
      <c r="J476" s="315"/>
      <c r="K476" s="315"/>
      <c r="L476" s="315"/>
      <c r="M476" s="315"/>
      <c r="N476" s="315"/>
      <c r="O476" s="315"/>
      <c r="P476" s="315"/>
      <c r="Q476" s="315"/>
      <c r="R476" s="315"/>
      <c r="S476" s="315"/>
      <c r="T476" s="315"/>
      <c r="U476" s="315"/>
      <c r="V476" s="315"/>
      <c r="W476" s="315"/>
      <c r="X476" s="315"/>
      <c r="Y476" s="315"/>
      <c r="Z476" s="315"/>
      <c r="AA476" s="315"/>
      <c r="AB476" s="315"/>
      <c r="AC476" s="315"/>
      <c r="AD476" s="315"/>
      <c r="AE476" s="315"/>
      <c r="AF476" s="315"/>
      <c r="AG476" s="315"/>
      <c r="AH476" s="315"/>
      <c r="AI476" s="315"/>
      <c r="AJ476" s="315"/>
      <c r="AK476" s="315"/>
      <c r="AL476" s="315"/>
      <c r="AM476" s="315"/>
      <c r="AN476" s="315"/>
    </row>
    <row r="477">
      <c r="A477" s="315"/>
      <c r="B477" s="315"/>
      <c r="C477" s="315"/>
      <c r="D477" s="315"/>
      <c r="E477" s="315"/>
      <c r="F477" s="315"/>
      <c r="G477" s="315"/>
      <c r="H477" s="315"/>
      <c r="I477" s="315"/>
      <c r="J477" s="315"/>
      <c r="K477" s="315"/>
      <c r="L477" s="315"/>
      <c r="M477" s="315"/>
      <c r="N477" s="315"/>
      <c r="O477" s="315"/>
      <c r="P477" s="315"/>
      <c r="Q477" s="315"/>
      <c r="R477" s="315"/>
      <c r="S477" s="315"/>
      <c r="T477" s="315"/>
      <c r="U477" s="315"/>
      <c r="V477" s="315"/>
      <c r="W477" s="315"/>
      <c r="X477" s="315"/>
      <c r="Y477" s="315"/>
      <c r="Z477" s="315"/>
      <c r="AA477" s="315"/>
      <c r="AB477" s="315"/>
      <c r="AC477" s="315"/>
      <c r="AD477" s="315"/>
      <c r="AE477" s="315"/>
      <c r="AF477" s="315"/>
      <c r="AG477" s="315"/>
      <c r="AH477" s="315"/>
      <c r="AI477" s="315"/>
      <c r="AJ477" s="315"/>
      <c r="AK477" s="315"/>
      <c r="AL477" s="315"/>
      <c r="AM477" s="315"/>
      <c r="AN477" s="315"/>
    </row>
    <row r="478">
      <c r="A478" s="315"/>
      <c r="B478" s="315"/>
      <c r="C478" s="315"/>
      <c r="D478" s="315"/>
      <c r="E478" s="315"/>
      <c r="F478" s="315"/>
      <c r="G478" s="315"/>
      <c r="H478" s="315"/>
      <c r="I478" s="315"/>
      <c r="J478" s="315"/>
      <c r="K478" s="315"/>
      <c r="L478" s="315"/>
      <c r="M478" s="315"/>
      <c r="N478" s="315"/>
      <c r="O478" s="315"/>
      <c r="P478" s="315"/>
      <c r="Q478" s="315"/>
      <c r="R478" s="315"/>
      <c r="S478" s="315"/>
      <c r="T478" s="315"/>
      <c r="U478" s="315"/>
      <c r="V478" s="315"/>
      <c r="W478" s="315"/>
      <c r="X478" s="315"/>
      <c r="Y478" s="315"/>
      <c r="Z478" s="315"/>
      <c r="AA478" s="315"/>
      <c r="AB478" s="315"/>
      <c r="AC478" s="315"/>
      <c r="AD478" s="315"/>
      <c r="AE478" s="315"/>
      <c r="AF478" s="315"/>
      <c r="AG478" s="315"/>
      <c r="AH478" s="315"/>
      <c r="AI478" s="315"/>
      <c r="AJ478" s="315"/>
      <c r="AK478" s="315"/>
      <c r="AL478" s="315"/>
      <c r="AM478" s="315"/>
      <c r="AN478" s="315"/>
    </row>
    <row r="479">
      <c r="A479" s="315"/>
      <c r="B479" s="315"/>
      <c r="C479" s="315"/>
      <c r="D479" s="315"/>
      <c r="E479" s="315"/>
      <c r="F479" s="315"/>
      <c r="G479" s="315"/>
      <c r="H479" s="315"/>
      <c r="I479" s="315"/>
      <c r="J479" s="315"/>
      <c r="K479" s="315"/>
      <c r="L479" s="315"/>
      <c r="M479" s="315"/>
      <c r="N479" s="315"/>
      <c r="O479" s="315"/>
      <c r="P479" s="315"/>
      <c r="Q479" s="315"/>
      <c r="R479" s="315"/>
      <c r="S479" s="315"/>
      <c r="T479" s="315"/>
      <c r="U479" s="315"/>
      <c r="V479" s="315"/>
      <c r="W479" s="315"/>
      <c r="X479" s="315"/>
      <c r="Y479" s="315"/>
      <c r="Z479" s="315"/>
      <c r="AA479" s="315"/>
      <c r="AB479" s="315"/>
      <c r="AC479" s="315"/>
      <c r="AD479" s="315"/>
      <c r="AE479" s="315"/>
      <c r="AF479" s="315"/>
      <c r="AG479" s="315"/>
      <c r="AH479" s="315"/>
      <c r="AI479" s="315"/>
      <c r="AJ479" s="315"/>
      <c r="AK479" s="315"/>
      <c r="AL479" s="315"/>
      <c r="AM479" s="315"/>
      <c r="AN479" s="315"/>
    </row>
    <row r="480">
      <c r="A480" s="315"/>
      <c r="B480" s="315"/>
      <c r="C480" s="315"/>
      <c r="D480" s="315"/>
      <c r="E480" s="315"/>
      <c r="F480" s="315"/>
      <c r="G480" s="315"/>
      <c r="H480" s="315"/>
      <c r="I480" s="315"/>
      <c r="J480" s="315"/>
      <c r="K480" s="315"/>
      <c r="L480" s="315"/>
      <c r="M480" s="315"/>
      <c r="N480" s="315"/>
      <c r="O480" s="315"/>
      <c r="P480" s="315"/>
      <c r="Q480" s="315"/>
      <c r="R480" s="315"/>
      <c r="S480" s="315"/>
      <c r="T480" s="315"/>
      <c r="U480" s="315"/>
      <c r="V480" s="315"/>
      <c r="W480" s="315"/>
      <c r="X480" s="315"/>
      <c r="Y480" s="315"/>
      <c r="Z480" s="315"/>
      <c r="AA480" s="315"/>
      <c r="AB480" s="315"/>
      <c r="AC480" s="315"/>
      <c r="AD480" s="315"/>
      <c r="AE480" s="315"/>
      <c r="AF480" s="315"/>
      <c r="AG480" s="315"/>
      <c r="AH480" s="315"/>
      <c r="AI480" s="315"/>
      <c r="AJ480" s="315"/>
      <c r="AK480" s="315"/>
      <c r="AL480" s="315"/>
      <c r="AM480" s="315"/>
      <c r="AN480" s="315"/>
    </row>
    <row r="481">
      <c r="A481" s="315"/>
      <c r="B481" s="315"/>
      <c r="C481" s="315"/>
      <c r="D481" s="315"/>
      <c r="E481" s="315"/>
      <c r="F481" s="315"/>
      <c r="G481" s="315"/>
      <c r="H481" s="315"/>
      <c r="I481" s="315"/>
      <c r="J481" s="315"/>
      <c r="K481" s="315"/>
      <c r="L481" s="315"/>
      <c r="M481" s="315"/>
      <c r="N481" s="315"/>
      <c r="O481" s="315"/>
      <c r="P481" s="315"/>
      <c r="Q481" s="315"/>
      <c r="R481" s="315"/>
      <c r="S481" s="315"/>
      <c r="T481" s="315"/>
      <c r="U481" s="315"/>
      <c r="V481" s="315"/>
      <c r="W481" s="315"/>
      <c r="X481" s="315"/>
      <c r="Y481" s="315"/>
      <c r="Z481" s="315"/>
      <c r="AA481" s="315"/>
      <c r="AB481" s="315"/>
      <c r="AC481" s="315"/>
      <c r="AD481" s="315"/>
      <c r="AE481" s="315"/>
      <c r="AF481" s="315"/>
      <c r="AG481" s="315"/>
      <c r="AH481" s="315"/>
      <c r="AI481" s="315"/>
      <c r="AJ481" s="315"/>
      <c r="AK481" s="315"/>
      <c r="AL481" s="315"/>
      <c r="AM481" s="315"/>
      <c r="AN481" s="315"/>
    </row>
    <row r="482">
      <c r="A482" s="315"/>
      <c r="B482" s="315"/>
      <c r="C482" s="315"/>
      <c r="D482" s="315"/>
      <c r="E482" s="315"/>
      <c r="F482" s="315"/>
      <c r="G482" s="315"/>
      <c r="H482" s="315"/>
      <c r="I482" s="315"/>
      <c r="J482" s="315"/>
      <c r="K482" s="315"/>
      <c r="L482" s="315"/>
      <c r="M482" s="315"/>
      <c r="N482" s="315"/>
      <c r="O482" s="315"/>
      <c r="P482" s="315"/>
      <c r="Q482" s="315"/>
      <c r="R482" s="315"/>
      <c r="S482" s="315"/>
      <c r="T482" s="315"/>
      <c r="U482" s="315"/>
      <c r="V482" s="315"/>
      <c r="W482" s="315"/>
      <c r="X482" s="315"/>
      <c r="Y482" s="315"/>
      <c r="Z482" s="315"/>
      <c r="AA482" s="315"/>
      <c r="AB482" s="315"/>
      <c r="AC482" s="315"/>
      <c r="AD482" s="315"/>
      <c r="AE482" s="315"/>
      <c r="AF482" s="315"/>
      <c r="AG482" s="315"/>
      <c r="AH482" s="315"/>
      <c r="AI482" s="315"/>
      <c r="AJ482" s="315"/>
      <c r="AK482" s="315"/>
      <c r="AL482" s="315"/>
      <c r="AM482" s="315"/>
      <c r="AN482" s="315"/>
    </row>
    <row r="483">
      <c r="A483" s="315"/>
      <c r="B483" s="315"/>
      <c r="C483" s="315"/>
      <c r="D483" s="315"/>
      <c r="E483" s="315"/>
      <c r="F483" s="315"/>
      <c r="G483" s="315"/>
      <c r="H483" s="315"/>
      <c r="I483" s="315"/>
      <c r="J483" s="315"/>
      <c r="K483" s="315"/>
      <c r="L483" s="315"/>
      <c r="M483" s="315"/>
      <c r="N483" s="315"/>
      <c r="O483" s="315"/>
      <c r="P483" s="315"/>
      <c r="Q483" s="315"/>
      <c r="R483" s="315"/>
      <c r="S483" s="315"/>
      <c r="T483" s="315"/>
      <c r="U483" s="315"/>
      <c r="V483" s="315"/>
      <c r="W483" s="315"/>
      <c r="X483" s="315"/>
      <c r="Y483" s="315"/>
      <c r="Z483" s="315"/>
      <c r="AA483" s="315"/>
      <c r="AB483" s="315"/>
      <c r="AC483" s="315"/>
      <c r="AD483" s="315"/>
      <c r="AE483" s="315"/>
      <c r="AF483" s="315"/>
      <c r="AG483" s="315"/>
      <c r="AH483" s="315"/>
      <c r="AI483" s="315"/>
      <c r="AJ483" s="315"/>
      <c r="AK483" s="315"/>
      <c r="AL483" s="315"/>
      <c r="AM483" s="315"/>
      <c r="AN483" s="315"/>
    </row>
    <row r="484">
      <c r="A484" s="315"/>
      <c r="B484" s="315"/>
      <c r="C484" s="315"/>
      <c r="D484" s="315"/>
      <c r="E484" s="315"/>
      <c r="F484" s="315"/>
      <c r="G484" s="315"/>
      <c r="H484" s="315"/>
      <c r="I484" s="315"/>
      <c r="J484" s="315"/>
      <c r="K484" s="315"/>
      <c r="L484" s="315"/>
      <c r="M484" s="315"/>
      <c r="N484" s="315"/>
      <c r="O484" s="315"/>
      <c r="P484" s="315"/>
      <c r="Q484" s="315"/>
      <c r="R484" s="315"/>
      <c r="S484" s="315"/>
      <c r="T484" s="315"/>
      <c r="U484" s="315"/>
      <c r="V484" s="315"/>
      <c r="W484" s="315"/>
      <c r="X484" s="315"/>
      <c r="Y484" s="315"/>
      <c r="Z484" s="315"/>
      <c r="AA484" s="315"/>
      <c r="AB484" s="315"/>
      <c r="AC484" s="315"/>
      <c r="AD484" s="315"/>
      <c r="AE484" s="315"/>
      <c r="AF484" s="315"/>
      <c r="AG484" s="315"/>
      <c r="AH484" s="315"/>
      <c r="AI484" s="315"/>
      <c r="AJ484" s="315"/>
      <c r="AK484" s="315"/>
      <c r="AL484" s="315"/>
      <c r="AM484" s="315"/>
      <c r="AN484" s="315"/>
    </row>
    <row r="485">
      <c r="A485" s="315"/>
      <c r="B485" s="315"/>
      <c r="C485" s="315"/>
      <c r="D485" s="315"/>
      <c r="E485" s="315"/>
      <c r="F485" s="315"/>
      <c r="G485" s="315"/>
      <c r="H485" s="315"/>
      <c r="I485" s="315"/>
      <c r="J485" s="315"/>
      <c r="K485" s="315"/>
      <c r="L485" s="315"/>
      <c r="M485" s="315"/>
      <c r="N485" s="315"/>
      <c r="O485" s="315"/>
      <c r="P485" s="315"/>
      <c r="Q485" s="315"/>
      <c r="R485" s="315"/>
      <c r="S485" s="315"/>
      <c r="T485" s="315"/>
      <c r="U485" s="315"/>
      <c r="V485" s="315"/>
      <c r="W485" s="315"/>
      <c r="X485" s="315"/>
      <c r="Y485" s="315"/>
      <c r="Z485" s="315"/>
      <c r="AA485" s="315"/>
      <c r="AB485" s="315"/>
      <c r="AC485" s="315"/>
      <c r="AD485" s="315"/>
      <c r="AE485" s="315"/>
      <c r="AF485" s="315"/>
      <c r="AG485" s="315"/>
      <c r="AH485" s="315"/>
      <c r="AI485" s="315"/>
      <c r="AJ485" s="315"/>
      <c r="AK485" s="315"/>
      <c r="AL485" s="315"/>
      <c r="AM485" s="315"/>
      <c r="AN485" s="315"/>
    </row>
    <row r="486">
      <c r="A486" s="315"/>
      <c r="B486" s="315"/>
      <c r="C486" s="315"/>
      <c r="D486" s="315"/>
      <c r="E486" s="315"/>
      <c r="F486" s="315"/>
      <c r="G486" s="315"/>
      <c r="H486" s="315"/>
      <c r="I486" s="315"/>
      <c r="J486" s="315"/>
      <c r="K486" s="315"/>
      <c r="L486" s="315"/>
      <c r="M486" s="315"/>
      <c r="N486" s="315"/>
      <c r="O486" s="315"/>
      <c r="P486" s="315"/>
      <c r="Q486" s="315"/>
      <c r="R486" s="315"/>
      <c r="S486" s="315"/>
      <c r="T486" s="315"/>
      <c r="U486" s="315"/>
      <c r="V486" s="315"/>
      <c r="W486" s="315"/>
      <c r="X486" s="315"/>
      <c r="Y486" s="315"/>
      <c r="Z486" s="315"/>
      <c r="AA486" s="315"/>
      <c r="AB486" s="315"/>
      <c r="AC486" s="315"/>
      <c r="AD486" s="315"/>
      <c r="AE486" s="315"/>
      <c r="AF486" s="315"/>
      <c r="AG486" s="315"/>
      <c r="AH486" s="315"/>
      <c r="AI486" s="315"/>
      <c r="AJ486" s="315"/>
      <c r="AK486" s="315"/>
      <c r="AL486" s="315"/>
      <c r="AM486" s="315"/>
      <c r="AN486" s="315"/>
    </row>
    <row r="487">
      <c r="A487" s="315"/>
      <c r="B487" s="315"/>
      <c r="C487" s="315"/>
      <c r="D487" s="315"/>
      <c r="E487" s="315"/>
      <c r="F487" s="315"/>
      <c r="G487" s="315"/>
      <c r="H487" s="315"/>
      <c r="I487" s="315"/>
      <c r="J487" s="315"/>
      <c r="K487" s="315"/>
      <c r="L487" s="315"/>
      <c r="M487" s="315"/>
      <c r="N487" s="315"/>
      <c r="O487" s="315"/>
      <c r="P487" s="315"/>
      <c r="Q487" s="315"/>
      <c r="R487" s="315"/>
      <c r="S487" s="315"/>
      <c r="T487" s="315"/>
      <c r="U487" s="315"/>
      <c r="V487" s="315"/>
      <c r="W487" s="315"/>
      <c r="X487" s="315"/>
      <c r="Y487" s="315"/>
      <c r="Z487" s="315"/>
      <c r="AA487" s="315"/>
      <c r="AB487" s="315"/>
      <c r="AC487" s="315"/>
      <c r="AD487" s="315"/>
      <c r="AE487" s="315"/>
      <c r="AF487" s="315"/>
      <c r="AG487" s="315"/>
      <c r="AH487" s="315"/>
      <c r="AI487" s="315"/>
      <c r="AJ487" s="315"/>
      <c r="AK487" s="315"/>
      <c r="AL487" s="315"/>
      <c r="AM487" s="315"/>
      <c r="AN487" s="315"/>
    </row>
    <row r="488">
      <c r="A488" s="315"/>
      <c r="B488" s="315"/>
      <c r="C488" s="315"/>
      <c r="D488" s="315"/>
      <c r="E488" s="315"/>
      <c r="F488" s="315"/>
      <c r="G488" s="315"/>
      <c r="H488" s="315"/>
      <c r="I488" s="315"/>
      <c r="J488" s="315"/>
      <c r="K488" s="315"/>
      <c r="L488" s="315"/>
      <c r="M488" s="315"/>
      <c r="N488" s="315"/>
      <c r="O488" s="315"/>
      <c r="P488" s="315"/>
      <c r="Q488" s="315"/>
      <c r="R488" s="315"/>
      <c r="S488" s="315"/>
      <c r="T488" s="315"/>
      <c r="U488" s="315"/>
      <c r="V488" s="315"/>
      <c r="W488" s="315"/>
      <c r="X488" s="315"/>
      <c r="Y488" s="315"/>
      <c r="Z488" s="315"/>
      <c r="AA488" s="315"/>
      <c r="AB488" s="315"/>
      <c r="AC488" s="315"/>
      <c r="AD488" s="315"/>
      <c r="AE488" s="315"/>
      <c r="AF488" s="315"/>
      <c r="AG488" s="315"/>
      <c r="AH488" s="315"/>
      <c r="AI488" s="315"/>
      <c r="AJ488" s="315"/>
      <c r="AK488" s="315"/>
      <c r="AL488" s="315"/>
      <c r="AM488" s="315"/>
      <c r="AN488" s="315"/>
    </row>
    <row r="489">
      <c r="A489" s="315"/>
      <c r="B489" s="315"/>
      <c r="C489" s="315"/>
      <c r="D489" s="315"/>
      <c r="E489" s="315"/>
      <c r="F489" s="315"/>
      <c r="G489" s="315"/>
      <c r="H489" s="315"/>
      <c r="I489" s="315"/>
      <c r="J489" s="315"/>
      <c r="K489" s="315"/>
      <c r="L489" s="315"/>
      <c r="M489" s="315"/>
      <c r="N489" s="315"/>
      <c r="O489" s="315"/>
      <c r="P489" s="315"/>
      <c r="Q489" s="315"/>
      <c r="R489" s="315"/>
      <c r="S489" s="315"/>
      <c r="T489" s="315"/>
      <c r="U489" s="315"/>
      <c r="V489" s="315"/>
      <c r="W489" s="315"/>
      <c r="X489" s="315"/>
      <c r="Y489" s="315"/>
      <c r="Z489" s="315"/>
      <c r="AA489" s="315"/>
      <c r="AB489" s="315"/>
      <c r="AC489" s="315"/>
      <c r="AD489" s="315"/>
      <c r="AE489" s="315"/>
      <c r="AF489" s="315"/>
      <c r="AG489" s="315"/>
      <c r="AH489" s="315"/>
      <c r="AI489" s="315"/>
      <c r="AJ489" s="315"/>
      <c r="AK489" s="315"/>
      <c r="AL489" s="315"/>
      <c r="AM489" s="315"/>
      <c r="AN489" s="315"/>
    </row>
    <row r="490">
      <c r="A490" s="315"/>
      <c r="B490" s="315"/>
      <c r="C490" s="315"/>
      <c r="D490" s="315"/>
      <c r="E490" s="315"/>
      <c r="F490" s="315"/>
      <c r="G490" s="315"/>
      <c r="H490" s="315"/>
      <c r="I490" s="315"/>
      <c r="J490" s="315"/>
      <c r="K490" s="315"/>
      <c r="L490" s="315"/>
      <c r="M490" s="315"/>
      <c r="N490" s="315"/>
      <c r="O490" s="315"/>
      <c r="P490" s="315"/>
      <c r="Q490" s="315"/>
      <c r="R490" s="315"/>
      <c r="S490" s="315"/>
      <c r="T490" s="315"/>
      <c r="U490" s="315"/>
      <c r="V490" s="315"/>
      <c r="W490" s="315"/>
      <c r="X490" s="315"/>
      <c r="Y490" s="315"/>
      <c r="Z490" s="315"/>
      <c r="AA490" s="315"/>
      <c r="AB490" s="315"/>
      <c r="AC490" s="315"/>
      <c r="AD490" s="315"/>
      <c r="AE490" s="315"/>
      <c r="AF490" s="315"/>
      <c r="AG490" s="315"/>
      <c r="AH490" s="315"/>
      <c r="AI490" s="315"/>
      <c r="AJ490" s="315"/>
      <c r="AK490" s="315"/>
      <c r="AL490" s="315"/>
      <c r="AM490" s="315"/>
      <c r="AN490" s="315"/>
    </row>
    <row r="491">
      <c r="A491" s="315"/>
      <c r="B491" s="315"/>
      <c r="C491" s="315"/>
      <c r="D491" s="315"/>
      <c r="E491" s="315"/>
      <c r="F491" s="315"/>
      <c r="G491" s="315"/>
      <c r="H491" s="315"/>
      <c r="I491" s="315"/>
      <c r="J491" s="315"/>
      <c r="K491" s="315"/>
      <c r="L491" s="315"/>
      <c r="M491" s="315"/>
      <c r="N491" s="315"/>
      <c r="O491" s="315"/>
      <c r="P491" s="315"/>
      <c r="Q491" s="315"/>
      <c r="R491" s="315"/>
      <c r="S491" s="315"/>
      <c r="T491" s="315"/>
      <c r="U491" s="315"/>
      <c r="V491" s="315"/>
      <c r="W491" s="315"/>
      <c r="X491" s="315"/>
      <c r="Y491" s="315"/>
      <c r="Z491" s="315"/>
      <c r="AA491" s="315"/>
      <c r="AB491" s="315"/>
      <c r="AC491" s="315"/>
      <c r="AD491" s="315"/>
      <c r="AE491" s="315"/>
      <c r="AF491" s="315"/>
      <c r="AG491" s="315"/>
      <c r="AH491" s="315"/>
      <c r="AI491" s="315"/>
      <c r="AJ491" s="315"/>
      <c r="AK491" s="315"/>
      <c r="AL491" s="315"/>
      <c r="AM491" s="315"/>
      <c r="AN491" s="315"/>
    </row>
    <row r="492">
      <c r="A492" s="315"/>
      <c r="B492" s="315"/>
      <c r="C492" s="315"/>
      <c r="D492" s="315"/>
      <c r="E492" s="315"/>
      <c r="F492" s="315"/>
      <c r="G492" s="315"/>
      <c r="H492" s="315"/>
      <c r="I492" s="315"/>
      <c r="J492" s="315"/>
      <c r="K492" s="315"/>
      <c r="L492" s="315"/>
      <c r="M492" s="315"/>
      <c r="N492" s="315"/>
      <c r="O492" s="315"/>
      <c r="P492" s="315"/>
      <c r="Q492" s="315"/>
      <c r="R492" s="315"/>
      <c r="S492" s="315"/>
      <c r="T492" s="315"/>
      <c r="U492" s="315"/>
      <c r="V492" s="315"/>
      <c r="W492" s="315"/>
      <c r="X492" s="315"/>
      <c r="Y492" s="315"/>
      <c r="Z492" s="315"/>
      <c r="AA492" s="315"/>
      <c r="AB492" s="315"/>
      <c r="AC492" s="315"/>
      <c r="AD492" s="315"/>
      <c r="AE492" s="315"/>
      <c r="AF492" s="315"/>
      <c r="AG492" s="315"/>
      <c r="AH492" s="315"/>
      <c r="AI492" s="315"/>
      <c r="AJ492" s="315"/>
      <c r="AK492" s="315"/>
      <c r="AL492" s="315"/>
      <c r="AM492" s="315"/>
      <c r="AN492" s="315"/>
    </row>
    <row r="493">
      <c r="A493" s="315"/>
      <c r="B493" s="315"/>
      <c r="C493" s="315"/>
      <c r="D493" s="315"/>
      <c r="E493" s="315"/>
      <c r="F493" s="315"/>
      <c r="G493" s="315"/>
      <c r="H493" s="315"/>
      <c r="I493" s="315"/>
      <c r="J493" s="315"/>
      <c r="K493" s="315"/>
      <c r="L493" s="315"/>
      <c r="M493" s="315"/>
      <c r="N493" s="315"/>
      <c r="O493" s="315"/>
      <c r="P493" s="315"/>
      <c r="Q493" s="315"/>
      <c r="R493" s="315"/>
      <c r="S493" s="315"/>
      <c r="T493" s="315"/>
      <c r="U493" s="315"/>
      <c r="V493" s="315"/>
      <c r="W493" s="315"/>
      <c r="X493" s="315"/>
      <c r="Y493" s="315"/>
      <c r="Z493" s="315"/>
      <c r="AA493" s="315"/>
      <c r="AB493" s="315"/>
      <c r="AC493" s="315"/>
      <c r="AD493" s="315"/>
      <c r="AE493" s="315"/>
      <c r="AF493" s="315"/>
      <c r="AG493" s="315"/>
      <c r="AH493" s="315"/>
      <c r="AI493" s="315"/>
      <c r="AJ493" s="315"/>
      <c r="AK493" s="315"/>
      <c r="AL493" s="315"/>
      <c r="AM493" s="315"/>
      <c r="AN493" s="315"/>
    </row>
    <row r="494">
      <c r="A494" s="315"/>
      <c r="B494" s="315"/>
      <c r="C494" s="315"/>
      <c r="D494" s="315"/>
      <c r="E494" s="315"/>
      <c r="F494" s="315"/>
      <c r="G494" s="315"/>
      <c r="H494" s="315"/>
      <c r="I494" s="315"/>
      <c r="J494" s="315"/>
      <c r="K494" s="315"/>
      <c r="L494" s="315"/>
      <c r="M494" s="315"/>
      <c r="N494" s="315"/>
      <c r="O494" s="315"/>
      <c r="P494" s="315"/>
      <c r="Q494" s="315"/>
      <c r="R494" s="315"/>
      <c r="S494" s="315"/>
      <c r="T494" s="315"/>
      <c r="U494" s="315"/>
      <c r="V494" s="315"/>
      <c r="W494" s="315"/>
      <c r="X494" s="315"/>
      <c r="Y494" s="315"/>
      <c r="Z494" s="315"/>
      <c r="AA494" s="315"/>
      <c r="AB494" s="315"/>
      <c r="AC494" s="315"/>
      <c r="AD494" s="315"/>
      <c r="AE494" s="315"/>
      <c r="AF494" s="315"/>
      <c r="AG494" s="315"/>
      <c r="AH494" s="315"/>
      <c r="AI494" s="315"/>
      <c r="AJ494" s="315"/>
      <c r="AK494" s="315"/>
      <c r="AL494" s="315"/>
      <c r="AM494" s="315"/>
      <c r="AN494" s="315"/>
    </row>
    <row r="495">
      <c r="A495" s="315"/>
      <c r="B495" s="315"/>
      <c r="C495" s="315"/>
      <c r="D495" s="315"/>
      <c r="E495" s="315"/>
      <c r="F495" s="315"/>
      <c r="G495" s="315"/>
      <c r="H495" s="315"/>
      <c r="I495" s="315"/>
      <c r="J495" s="315"/>
      <c r="K495" s="315"/>
      <c r="L495" s="315"/>
      <c r="M495" s="315"/>
      <c r="N495" s="315"/>
      <c r="O495" s="315"/>
      <c r="P495" s="315"/>
      <c r="Q495" s="315"/>
      <c r="R495" s="315"/>
      <c r="S495" s="315"/>
      <c r="T495" s="315"/>
      <c r="U495" s="315"/>
      <c r="V495" s="315"/>
      <c r="W495" s="315"/>
      <c r="X495" s="315"/>
      <c r="Y495" s="315"/>
      <c r="Z495" s="315"/>
      <c r="AA495" s="315"/>
      <c r="AB495" s="315"/>
      <c r="AC495" s="315"/>
      <c r="AD495" s="315"/>
      <c r="AE495" s="315"/>
      <c r="AF495" s="315"/>
      <c r="AG495" s="315"/>
      <c r="AH495" s="315"/>
      <c r="AI495" s="315"/>
      <c r="AJ495" s="315"/>
      <c r="AK495" s="315"/>
      <c r="AL495" s="315"/>
      <c r="AM495" s="315"/>
      <c r="AN495" s="315"/>
    </row>
    <row r="496">
      <c r="A496" s="315"/>
      <c r="B496" s="315"/>
      <c r="C496" s="315"/>
      <c r="D496" s="315"/>
      <c r="E496" s="315"/>
      <c r="F496" s="315"/>
      <c r="G496" s="315"/>
      <c r="H496" s="315"/>
      <c r="I496" s="315"/>
      <c r="J496" s="315"/>
      <c r="K496" s="315"/>
      <c r="L496" s="315"/>
      <c r="M496" s="315"/>
      <c r="N496" s="315"/>
      <c r="O496" s="315"/>
      <c r="P496" s="315"/>
      <c r="Q496" s="315"/>
      <c r="R496" s="315"/>
      <c r="S496" s="315"/>
      <c r="T496" s="315"/>
      <c r="U496" s="315"/>
      <c r="V496" s="315"/>
      <c r="W496" s="315"/>
      <c r="X496" s="315"/>
      <c r="Y496" s="315"/>
      <c r="Z496" s="315"/>
      <c r="AA496" s="315"/>
      <c r="AB496" s="315"/>
      <c r="AC496" s="315"/>
      <c r="AD496" s="315"/>
      <c r="AE496" s="315"/>
      <c r="AF496" s="315"/>
      <c r="AG496" s="315"/>
      <c r="AH496" s="315"/>
      <c r="AI496" s="315"/>
      <c r="AJ496" s="315"/>
      <c r="AK496" s="315"/>
      <c r="AL496" s="315"/>
      <c r="AM496" s="315"/>
      <c r="AN496" s="315"/>
    </row>
    <row r="497">
      <c r="A497" s="315"/>
      <c r="B497" s="315"/>
      <c r="C497" s="315"/>
      <c r="D497" s="315"/>
      <c r="E497" s="315"/>
      <c r="F497" s="315"/>
      <c r="G497" s="315"/>
      <c r="H497" s="315"/>
      <c r="I497" s="315"/>
      <c r="J497" s="315"/>
      <c r="K497" s="315"/>
      <c r="L497" s="315"/>
      <c r="M497" s="315"/>
      <c r="N497" s="315"/>
      <c r="O497" s="315"/>
      <c r="P497" s="315"/>
      <c r="Q497" s="315"/>
      <c r="R497" s="315"/>
      <c r="S497" s="315"/>
      <c r="T497" s="315"/>
      <c r="U497" s="315"/>
      <c r="V497" s="315"/>
      <c r="W497" s="315"/>
      <c r="X497" s="315"/>
      <c r="Y497" s="315"/>
      <c r="Z497" s="315"/>
      <c r="AA497" s="315"/>
      <c r="AB497" s="315"/>
      <c r="AC497" s="315"/>
      <c r="AD497" s="315"/>
      <c r="AE497" s="315"/>
      <c r="AF497" s="315"/>
      <c r="AG497" s="315"/>
      <c r="AH497" s="315"/>
      <c r="AI497" s="315"/>
      <c r="AJ497" s="315"/>
      <c r="AK497" s="315"/>
      <c r="AL497" s="315"/>
      <c r="AM497" s="315"/>
      <c r="AN497" s="315"/>
    </row>
    <row r="498">
      <c r="A498" s="315"/>
      <c r="B498" s="315"/>
      <c r="C498" s="315"/>
      <c r="D498" s="315"/>
      <c r="E498" s="315"/>
      <c r="F498" s="315"/>
      <c r="G498" s="315"/>
      <c r="H498" s="315"/>
      <c r="I498" s="315"/>
      <c r="J498" s="315"/>
      <c r="K498" s="315"/>
      <c r="L498" s="315"/>
      <c r="M498" s="315"/>
      <c r="N498" s="315"/>
      <c r="O498" s="315"/>
      <c r="P498" s="315"/>
      <c r="Q498" s="315"/>
      <c r="R498" s="315"/>
      <c r="S498" s="315"/>
      <c r="T498" s="315"/>
      <c r="U498" s="315"/>
      <c r="V498" s="315"/>
      <c r="W498" s="315"/>
      <c r="X498" s="315"/>
      <c r="Y498" s="315"/>
      <c r="Z498" s="315"/>
      <c r="AA498" s="315"/>
      <c r="AB498" s="315"/>
      <c r="AC498" s="315"/>
      <c r="AD498" s="315"/>
      <c r="AE498" s="315"/>
      <c r="AF498" s="315"/>
      <c r="AG498" s="315"/>
      <c r="AH498" s="315"/>
      <c r="AI498" s="315"/>
      <c r="AJ498" s="315"/>
      <c r="AK498" s="315"/>
      <c r="AL498" s="315"/>
      <c r="AM498" s="315"/>
      <c r="AN498" s="315"/>
    </row>
    <row r="499">
      <c r="A499" s="315"/>
      <c r="B499" s="315"/>
      <c r="C499" s="315"/>
      <c r="D499" s="315"/>
      <c r="E499" s="315"/>
      <c r="F499" s="315"/>
      <c r="G499" s="315"/>
      <c r="H499" s="315"/>
      <c r="I499" s="315"/>
      <c r="J499" s="315"/>
      <c r="K499" s="315"/>
      <c r="L499" s="315"/>
      <c r="M499" s="315"/>
      <c r="N499" s="315"/>
      <c r="O499" s="315"/>
      <c r="P499" s="315"/>
      <c r="Q499" s="315"/>
      <c r="R499" s="315"/>
      <c r="S499" s="315"/>
      <c r="T499" s="315"/>
      <c r="U499" s="315"/>
      <c r="V499" s="315"/>
      <c r="W499" s="315"/>
      <c r="X499" s="315"/>
      <c r="Y499" s="315"/>
      <c r="Z499" s="315"/>
      <c r="AA499" s="315"/>
      <c r="AB499" s="315"/>
      <c r="AC499" s="315"/>
      <c r="AD499" s="315"/>
      <c r="AE499" s="315"/>
      <c r="AF499" s="315"/>
      <c r="AG499" s="315"/>
      <c r="AH499" s="315"/>
      <c r="AI499" s="315"/>
      <c r="AJ499" s="315"/>
      <c r="AK499" s="315"/>
      <c r="AL499" s="315"/>
      <c r="AM499" s="315"/>
      <c r="AN499" s="315"/>
    </row>
    <row r="500">
      <c r="A500" s="315"/>
      <c r="B500" s="315"/>
      <c r="C500" s="315"/>
      <c r="D500" s="315"/>
      <c r="E500" s="315"/>
      <c r="F500" s="315"/>
      <c r="G500" s="315"/>
      <c r="H500" s="315"/>
      <c r="I500" s="315"/>
      <c r="J500" s="315"/>
      <c r="K500" s="315"/>
      <c r="L500" s="315"/>
      <c r="M500" s="315"/>
      <c r="N500" s="315"/>
      <c r="O500" s="315"/>
      <c r="P500" s="315"/>
      <c r="Q500" s="315"/>
      <c r="R500" s="315"/>
      <c r="S500" s="315"/>
      <c r="T500" s="315"/>
      <c r="U500" s="315"/>
      <c r="V500" s="315"/>
      <c r="W500" s="315"/>
      <c r="X500" s="315"/>
      <c r="Y500" s="315"/>
      <c r="Z500" s="315"/>
      <c r="AA500" s="315"/>
      <c r="AB500" s="315"/>
      <c r="AC500" s="315"/>
      <c r="AD500" s="315"/>
      <c r="AE500" s="315"/>
      <c r="AF500" s="315"/>
      <c r="AG500" s="315"/>
      <c r="AH500" s="315"/>
      <c r="AI500" s="315"/>
      <c r="AJ500" s="315"/>
      <c r="AK500" s="315"/>
      <c r="AL500" s="315"/>
      <c r="AM500" s="315"/>
      <c r="AN500" s="315"/>
    </row>
    <row r="501">
      <c r="A501" s="315"/>
      <c r="B501" s="315"/>
      <c r="C501" s="315"/>
      <c r="D501" s="315"/>
      <c r="E501" s="315"/>
      <c r="F501" s="315"/>
      <c r="G501" s="315"/>
      <c r="H501" s="315"/>
      <c r="I501" s="315"/>
      <c r="J501" s="315"/>
      <c r="K501" s="315"/>
      <c r="L501" s="315"/>
      <c r="M501" s="315"/>
      <c r="N501" s="315"/>
      <c r="O501" s="315"/>
      <c r="P501" s="315"/>
      <c r="Q501" s="315"/>
      <c r="R501" s="315"/>
      <c r="S501" s="315"/>
      <c r="T501" s="315"/>
      <c r="U501" s="315"/>
      <c r="V501" s="315"/>
      <c r="W501" s="315"/>
      <c r="X501" s="315"/>
      <c r="Y501" s="315"/>
      <c r="Z501" s="315"/>
      <c r="AA501" s="315"/>
      <c r="AB501" s="315"/>
      <c r="AC501" s="315"/>
      <c r="AD501" s="315"/>
      <c r="AE501" s="315"/>
      <c r="AF501" s="315"/>
      <c r="AG501" s="315"/>
      <c r="AH501" s="315"/>
      <c r="AI501" s="315"/>
      <c r="AJ501" s="315"/>
      <c r="AK501" s="315"/>
      <c r="AL501" s="315"/>
      <c r="AM501" s="315"/>
      <c r="AN501" s="315"/>
    </row>
    <row r="502">
      <c r="A502" s="315"/>
      <c r="B502" s="315"/>
      <c r="C502" s="315"/>
      <c r="D502" s="315"/>
      <c r="E502" s="315"/>
      <c r="F502" s="315"/>
      <c r="G502" s="315"/>
      <c r="H502" s="315"/>
      <c r="I502" s="315"/>
      <c r="J502" s="315"/>
      <c r="K502" s="315"/>
      <c r="L502" s="315"/>
      <c r="M502" s="315"/>
      <c r="N502" s="315"/>
      <c r="O502" s="315"/>
      <c r="P502" s="315"/>
      <c r="Q502" s="315"/>
      <c r="R502" s="315"/>
      <c r="S502" s="315"/>
      <c r="T502" s="315"/>
      <c r="U502" s="315"/>
      <c r="V502" s="315"/>
      <c r="W502" s="315"/>
      <c r="X502" s="315"/>
      <c r="Y502" s="315"/>
      <c r="Z502" s="315"/>
      <c r="AA502" s="315"/>
      <c r="AB502" s="315"/>
      <c r="AC502" s="315"/>
      <c r="AD502" s="315"/>
      <c r="AE502" s="315"/>
      <c r="AF502" s="315"/>
      <c r="AG502" s="315"/>
      <c r="AH502" s="315"/>
      <c r="AI502" s="315"/>
      <c r="AJ502" s="315"/>
      <c r="AK502" s="315"/>
      <c r="AL502" s="315"/>
      <c r="AM502" s="315"/>
      <c r="AN502" s="315"/>
    </row>
    <row r="503">
      <c r="A503" s="315"/>
      <c r="B503" s="315"/>
      <c r="C503" s="315"/>
      <c r="D503" s="315"/>
      <c r="E503" s="315"/>
      <c r="F503" s="315"/>
      <c r="G503" s="315"/>
      <c r="H503" s="315"/>
      <c r="I503" s="315"/>
      <c r="J503" s="315"/>
      <c r="K503" s="315"/>
      <c r="L503" s="315"/>
      <c r="M503" s="315"/>
      <c r="N503" s="315"/>
      <c r="O503" s="315"/>
      <c r="P503" s="315"/>
      <c r="Q503" s="315"/>
      <c r="R503" s="315"/>
      <c r="S503" s="315"/>
      <c r="T503" s="315"/>
      <c r="U503" s="315"/>
      <c r="V503" s="315"/>
      <c r="W503" s="315"/>
      <c r="X503" s="315"/>
      <c r="Y503" s="315"/>
      <c r="Z503" s="315"/>
      <c r="AA503" s="315"/>
      <c r="AB503" s="315"/>
      <c r="AC503" s="315"/>
      <c r="AD503" s="315"/>
      <c r="AE503" s="315"/>
      <c r="AF503" s="315"/>
      <c r="AG503" s="315"/>
      <c r="AH503" s="315"/>
      <c r="AI503" s="315"/>
      <c r="AJ503" s="315"/>
      <c r="AK503" s="315"/>
      <c r="AL503" s="315"/>
      <c r="AM503" s="315"/>
      <c r="AN503" s="315"/>
    </row>
    <row r="504">
      <c r="A504" s="315"/>
      <c r="B504" s="315"/>
      <c r="C504" s="315"/>
      <c r="D504" s="315"/>
      <c r="E504" s="315"/>
      <c r="F504" s="315"/>
      <c r="G504" s="315"/>
      <c r="H504" s="315"/>
      <c r="I504" s="315"/>
      <c r="J504" s="315"/>
      <c r="K504" s="315"/>
      <c r="L504" s="315"/>
      <c r="M504" s="315"/>
      <c r="N504" s="315"/>
      <c r="O504" s="315"/>
      <c r="P504" s="315"/>
      <c r="Q504" s="315"/>
      <c r="R504" s="315"/>
      <c r="S504" s="315"/>
      <c r="T504" s="315"/>
      <c r="U504" s="315"/>
      <c r="V504" s="315"/>
      <c r="W504" s="315"/>
      <c r="X504" s="315"/>
      <c r="Y504" s="315"/>
      <c r="Z504" s="315"/>
      <c r="AA504" s="315"/>
      <c r="AB504" s="315"/>
      <c r="AC504" s="315"/>
      <c r="AD504" s="315"/>
      <c r="AE504" s="315"/>
      <c r="AF504" s="315"/>
      <c r="AG504" s="315"/>
      <c r="AH504" s="315"/>
      <c r="AI504" s="315"/>
      <c r="AJ504" s="315"/>
      <c r="AK504" s="315"/>
      <c r="AL504" s="315"/>
      <c r="AM504" s="315"/>
      <c r="AN504" s="315"/>
    </row>
    <row r="505">
      <c r="A505" s="315"/>
      <c r="B505" s="315"/>
      <c r="C505" s="315"/>
      <c r="D505" s="315"/>
      <c r="E505" s="315"/>
      <c r="F505" s="315"/>
      <c r="G505" s="315"/>
      <c r="H505" s="315"/>
      <c r="I505" s="315"/>
      <c r="J505" s="315"/>
      <c r="K505" s="315"/>
      <c r="L505" s="315"/>
      <c r="M505" s="315"/>
      <c r="N505" s="315"/>
      <c r="O505" s="315"/>
      <c r="P505" s="315"/>
      <c r="Q505" s="315"/>
      <c r="R505" s="315"/>
      <c r="S505" s="315"/>
      <c r="T505" s="315"/>
      <c r="U505" s="315"/>
      <c r="V505" s="315"/>
      <c r="W505" s="315"/>
      <c r="X505" s="315"/>
      <c r="Y505" s="315"/>
      <c r="Z505" s="315"/>
      <c r="AA505" s="315"/>
      <c r="AB505" s="315"/>
      <c r="AC505" s="315"/>
      <c r="AD505" s="315"/>
      <c r="AE505" s="315"/>
      <c r="AF505" s="315"/>
      <c r="AG505" s="315"/>
      <c r="AH505" s="315"/>
      <c r="AI505" s="315"/>
      <c r="AJ505" s="315"/>
      <c r="AK505" s="315"/>
      <c r="AL505" s="315"/>
      <c r="AM505" s="315"/>
      <c r="AN505" s="315"/>
    </row>
    <row r="506">
      <c r="A506" s="315"/>
      <c r="B506" s="315"/>
      <c r="C506" s="315"/>
      <c r="D506" s="315"/>
      <c r="E506" s="315"/>
      <c r="F506" s="315"/>
      <c r="G506" s="315"/>
      <c r="H506" s="315"/>
      <c r="I506" s="315"/>
      <c r="J506" s="315"/>
      <c r="K506" s="315"/>
      <c r="L506" s="315"/>
      <c r="M506" s="315"/>
      <c r="N506" s="315"/>
      <c r="O506" s="315"/>
      <c r="P506" s="315"/>
      <c r="Q506" s="315"/>
      <c r="R506" s="315"/>
      <c r="S506" s="315"/>
      <c r="T506" s="315"/>
      <c r="U506" s="315"/>
      <c r="V506" s="315"/>
      <c r="W506" s="315"/>
      <c r="X506" s="315"/>
      <c r="Y506" s="315"/>
      <c r="Z506" s="315"/>
      <c r="AA506" s="315"/>
      <c r="AB506" s="315"/>
      <c r="AC506" s="315"/>
      <c r="AD506" s="315"/>
      <c r="AE506" s="315"/>
      <c r="AF506" s="315"/>
      <c r="AG506" s="315"/>
      <c r="AH506" s="315"/>
      <c r="AI506" s="315"/>
      <c r="AJ506" s="315"/>
      <c r="AK506" s="315"/>
      <c r="AL506" s="315"/>
      <c r="AM506" s="315"/>
      <c r="AN506" s="315"/>
    </row>
    <row r="507">
      <c r="A507" s="315"/>
      <c r="B507" s="315"/>
      <c r="C507" s="315"/>
      <c r="D507" s="315"/>
      <c r="E507" s="315"/>
      <c r="F507" s="315"/>
      <c r="G507" s="315"/>
      <c r="H507" s="315"/>
      <c r="I507" s="315"/>
      <c r="J507" s="315"/>
      <c r="K507" s="315"/>
      <c r="L507" s="315"/>
      <c r="M507" s="315"/>
      <c r="N507" s="315"/>
      <c r="O507" s="315"/>
      <c r="P507" s="315"/>
      <c r="Q507" s="315"/>
      <c r="R507" s="315"/>
      <c r="S507" s="315"/>
      <c r="T507" s="315"/>
      <c r="U507" s="315"/>
      <c r="V507" s="315"/>
      <c r="W507" s="315"/>
      <c r="X507" s="315"/>
      <c r="Y507" s="315"/>
      <c r="Z507" s="315"/>
      <c r="AA507" s="315"/>
      <c r="AB507" s="315"/>
      <c r="AC507" s="315"/>
      <c r="AD507" s="315"/>
      <c r="AE507" s="315"/>
      <c r="AF507" s="315"/>
      <c r="AG507" s="315"/>
      <c r="AH507" s="315"/>
      <c r="AI507" s="315"/>
      <c r="AJ507" s="315"/>
      <c r="AK507" s="315"/>
      <c r="AL507" s="315"/>
      <c r="AM507" s="315"/>
      <c r="AN507" s="315"/>
    </row>
    <row r="508">
      <c r="A508" s="315"/>
      <c r="B508" s="315"/>
      <c r="C508" s="315"/>
      <c r="D508" s="315"/>
      <c r="E508" s="315"/>
      <c r="F508" s="315"/>
      <c r="G508" s="315"/>
      <c r="H508" s="315"/>
      <c r="I508" s="315"/>
      <c r="J508" s="315"/>
      <c r="K508" s="315"/>
      <c r="L508" s="315"/>
      <c r="M508" s="315"/>
      <c r="N508" s="315"/>
      <c r="O508" s="315"/>
      <c r="P508" s="315"/>
      <c r="Q508" s="315"/>
      <c r="R508" s="315"/>
      <c r="S508" s="315"/>
      <c r="T508" s="315"/>
      <c r="U508" s="315"/>
      <c r="V508" s="315"/>
      <c r="W508" s="315"/>
      <c r="X508" s="315"/>
      <c r="Y508" s="315"/>
      <c r="Z508" s="315"/>
      <c r="AA508" s="315"/>
      <c r="AB508" s="315"/>
      <c r="AC508" s="315"/>
      <c r="AD508" s="315"/>
      <c r="AE508" s="315"/>
      <c r="AF508" s="315"/>
      <c r="AG508" s="315"/>
      <c r="AH508" s="315"/>
      <c r="AI508" s="315"/>
      <c r="AJ508" s="315"/>
      <c r="AK508" s="315"/>
      <c r="AL508" s="315"/>
      <c r="AM508" s="315"/>
      <c r="AN508" s="315"/>
    </row>
    <row r="509">
      <c r="A509" s="315"/>
      <c r="B509" s="315"/>
      <c r="C509" s="315"/>
      <c r="D509" s="315"/>
      <c r="E509" s="315"/>
      <c r="F509" s="315"/>
      <c r="G509" s="315"/>
      <c r="H509" s="315"/>
      <c r="I509" s="315"/>
      <c r="J509" s="315"/>
      <c r="K509" s="315"/>
      <c r="L509" s="315"/>
      <c r="M509" s="315"/>
      <c r="N509" s="315"/>
      <c r="O509" s="315"/>
      <c r="P509" s="315"/>
      <c r="Q509" s="315"/>
      <c r="R509" s="315"/>
      <c r="S509" s="315"/>
      <c r="T509" s="315"/>
      <c r="U509" s="315"/>
      <c r="V509" s="315"/>
      <c r="W509" s="315"/>
      <c r="X509" s="315"/>
      <c r="Y509" s="315"/>
      <c r="Z509" s="315"/>
      <c r="AA509" s="315"/>
      <c r="AB509" s="315"/>
      <c r="AC509" s="315"/>
      <c r="AD509" s="315"/>
      <c r="AE509" s="315"/>
      <c r="AF509" s="315"/>
      <c r="AG509" s="315"/>
      <c r="AH509" s="315"/>
      <c r="AI509" s="315"/>
      <c r="AJ509" s="315"/>
      <c r="AK509" s="315"/>
      <c r="AL509" s="315"/>
      <c r="AM509" s="315"/>
      <c r="AN509" s="315"/>
    </row>
    <row r="510">
      <c r="A510" s="315"/>
      <c r="B510" s="315"/>
      <c r="C510" s="315"/>
      <c r="D510" s="315"/>
      <c r="E510" s="315"/>
      <c r="F510" s="315"/>
      <c r="G510" s="315"/>
      <c r="H510" s="315"/>
      <c r="I510" s="315"/>
      <c r="J510" s="315"/>
      <c r="K510" s="315"/>
      <c r="L510" s="315"/>
      <c r="M510" s="315"/>
      <c r="N510" s="315"/>
      <c r="O510" s="315"/>
      <c r="P510" s="315"/>
      <c r="Q510" s="315"/>
      <c r="R510" s="315"/>
      <c r="S510" s="315"/>
      <c r="T510" s="315"/>
      <c r="U510" s="315"/>
      <c r="V510" s="315"/>
      <c r="W510" s="315"/>
      <c r="X510" s="315"/>
      <c r="Y510" s="315"/>
      <c r="Z510" s="315"/>
      <c r="AA510" s="315"/>
      <c r="AB510" s="315"/>
      <c r="AC510" s="315"/>
      <c r="AD510" s="315"/>
      <c r="AE510" s="315"/>
      <c r="AF510" s="315"/>
      <c r="AG510" s="315"/>
      <c r="AH510" s="315"/>
      <c r="AI510" s="315"/>
      <c r="AJ510" s="315"/>
      <c r="AK510" s="315"/>
      <c r="AL510" s="315"/>
      <c r="AM510" s="315"/>
      <c r="AN510" s="315"/>
    </row>
    <row r="511">
      <c r="A511" s="315"/>
      <c r="B511" s="315"/>
      <c r="C511" s="315"/>
      <c r="D511" s="315"/>
      <c r="E511" s="315"/>
      <c r="F511" s="315"/>
      <c r="G511" s="315"/>
      <c r="H511" s="315"/>
      <c r="I511" s="315"/>
      <c r="J511" s="315"/>
      <c r="K511" s="315"/>
      <c r="L511" s="315"/>
      <c r="M511" s="315"/>
      <c r="N511" s="315"/>
      <c r="O511" s="315"/>
      <c r="P511" s="315"/>
      <c r="Q511" s="315"/>
      <c r="R511" s="315"/>
      <c r="S511" s="315"/>
      <c r="T511" s="315"/>
      <c r="U511" s="315"/>
      <c r="V511" s="315"/>
      <c r="W511" s="315"/>
      <c r="X511" s="315"/>
      <c r="Y511" s="315"/>
      <c r="Z511" s="315"/>
      <c r="AA511" s="315"/>
      <c r="AB511" s="315"/>
      <c r="AC511" s="315"/>
      <c r="AD511" s="315"/>
      <c r="AE511" s="315"/>
      <c r="AF511" s="315"/>
      <c r="AG511" s="315"/>
      <c r="AH511" s="315"/>
      <c r="AI511" s="315"/>
      <c r="AJ511" s="315"/>
      <c r="AK511" s="315"/>
      <c r="AL511" s="315"/>
      <c r="AM511" s="315"/>
      <c r="AN511" s="315"/>
    </row>
    <row r="512">
      <c r="A512" s="315"/>
      <c r="B512" s="315"/>
      <c r="C512" s="315"/>
      <c r="D512" s="315"/>
      <c r="E512" s="315"/>
      <c r="F512" s="315"/>
      <c r="G512" s="315"/>
      <c r="H512" s="315"/>
      <c r="I512" s="315"/>
      <c r="J512" s="315"/>
      <c r="K512" s="315"/>
      <c r="L512" s="315"/>
      <c r="M512" s="315"/>
      <c r="N512" s="315"/>
      <c r="O512" s="315"/>
      <c r="P512" s="315"/>
      <c r="Q512" s="315"/>
      <c r="R512" s="315"/>
      <c r="S512" s="315"/>
      <c r="T512" s="315"/>
      <c r="U512" s="315"/>
      <c r="V512" s="315"/>
      <c r="W512" s="315"/>
      <c r="X512" s="315"/>
      <c r="Y512" s="315"/>
      <c r="Z512" s="315"/>
      <c r="AA512" s="315"/>
      <c r="AB512" s="315"/>
      <c r="AC512" s="315"/>
      <c r="AD512" s="315"/>
      <c r="AE512" s="315"/>
      <c r="AF512" s="315"/>
      <c r="AG512" s="315"/>
      <c r="AH512" s="315"/>
      <c r="AI512" s="315"/>
      <c r="AJ512" s="315"/>
      <c r="AK512" s="315"/>
      <c r="AL512" s="315"/>
      <c r="AM512" s="315"/>
      <c r="AN512" s="315"/>
    </row>
    <row r="513">
      <c r="A513" s="315"/>
      <c r="B513" s="315"/>
      <c r="C513" s="315"/>
      <c r="D513" s="315"/>
      <c r="E513" s="315"/>
      <c r="F513" s="315"/>
      <c r="G513" s="315"/>
      <c r="H513" s="315"/>
      <c r="I513" s="315"/>
      <c r="J513" s="315"/>
      <c r="K513" s="315"/>
      <c r="L513" s="315"/>
      <c r="M513" s="315"/>
      <c r="N513" s="315"/>
      <c r="O513" s="315"/>
      <c r="P513" s="315"/>
      <c r="Q513" s="315"/>
      <c r="R513" s="315"/>
      <c r="S513" s="315"/>
      <c r="T513" s="315"/>
      <c r="U513" s="315"/>
      <c r="V513" s="315"/>
      <c r="W513" s="315"/>
      <c r="X513" s="315"/>
      <c r="Y513" s="315"/>
      <c r="Z513" s="315"/>
      <c r="AA513" s="315"/>
      <c r="AB513" s="315"/>
      <c r="AC513" s="315"/>
      <c r="AD513" s="315"/>
      <c r="AE513" s="315"/>
      <c r="AF513" s="315"/>
      <c r="AG513" s="315"/>
      <c r="AH513" s="315"/>
      <c r="AI513" s="315"/>
      <c r="AJ513" s="315"/>
      <c r="AK513" s="315"/>
      <c r="AL513" s="315"/>
      <c r="AM513" s="315"/>
      <c r="AN513" s="315"/>
    </row>
    <row r="514">
      <c r="A514" s="315"/>
      <c r="B514" s="315"/>
      <c r="C514" s="315"/>
      <c r="D514" s="315"/>
      <c r="E514" s="315"/>
      <c r="F514" s="315"/>
      <c r="G514" s="315"/>
      <c r="H514" s="315"/>
      <c r="I514" s="315"/>
      <c r="J514" s="315"/>
      <c r="K514" s="315"/>
      <c r="L514" s="315"/>
      <c r="M514" s="315"/>
      <c r="N514" s="315"/>
      <c r="O514" s="315"/>
      <c r="P514" s="315"/>
      <c r="Q514" s="315"/>
      <c r="R514" s="315"/>
      <c r="S514" s="315"/>
      <c r="T514" s="315"/>
      <c r="U514" s="315"/>
      <c r="V514" s="315"/>
      <c r="W514" s="315"/>
      <c r="X514" s="315"/>
      <c r="Y514" s="315"/>
      <c r="Z514" s="315"/>
      <c r="AA514" s="315"/>
      <c r="AB514" s="315"/>
      <c r="AC514" s="315"/>
      <c r="AD514" s="315"/>
      <c r="AE514" s="315"/>
      <c r="AF514" s="315"/>
      <c r="AG514" s="315"/>
      <c r="AH514" s="315"/>
      <c r="AI514" s="315"/>
      <c r="AJ514" s="315"/>
      <c r="AK514" s="315"/>
      <c r="AL514" s="315"/>
      <c r="AM514" s="315"/>
      <c r="AN514" s="315"/>
    </row>
    <row r="515">
      <c r="A515" s="315"/>
      <c r="B515" s="315"/>
      <c r="C515" s="315"/>
      <c r="D515" s="315"/>
      <c r="E515" s="315"/>
      <c r="F515" s="315"/>
      <c r="G515" s="315"/>
      <c r="H515" s="315"/>
      <c r="I515" s="315"/>
      <c r="J515" s="315"/>
      <c r="K515" s="315"/>
      <c r="L515" s="315"/>
      <c r="M515" s="315"/>
      <c r="N515" s="315"/>
      <c r="O515" s="315"/>
      <c r="P515" s="315"/>
      <c r="Q515" s="315"/>
      <c r="R515" s="315"/>
      <c r="S515" s="315"/>
      <c r="T515" s="315"/>
      <c r="U515" s="315"/>
      <c r="V515" s="315"/>
      <c r="W515" s="315"/>
      <c r="X515" s="315"/>
      <c r="Y515" s="315"/>
      <c r="Z515" s="315"/>
      <c r="AA515" s="315"/>
      <c r="AB515" s="315"/>
      <c r="AC515" s="315"/>
      <c r="AD515" s="315"/>
      <c r="AE515" s="315"/>
      <c r="AF515" s="315"/>
      <c r="AG515" s="315"/>
      <c r="AH515" s="315"/>
      <c r="AI515" s="315"/>
      <c r="AJ515" s="315"/>
      <c r="AK515" s="315"/>
      <c r="AL515" s="315"/>
      <c r="AM515" s="315"/>
      <c r="AN515" s="315"/>
    </row>
    <row r="516">
      <c r="A516" s="315"/>
      <c r="B516" s="315"/>
      <c r="C516" s="315"/>
      <c r="D516" s="315"/>
      <c r="E516" s="315"/>
      <c r="F516" s="315"/>
      <c r="G516" s="315"/>
      <c r="H516" s="315"/>
      <c r="I516" s="315"/>
      <c r="J516" s="315"/>
      <c r="K516" s="315"/>
      <c r="L516" s="315"/>
      <c r="M516" s="315"/>
      <c r="N516" s="315"/>
      <c r="O516" s="315"/>
      <c r="P516" s="315"/>
      <c r="Q516" s="315"/>
      <c r="R516" s="315"/>
      <c r="S516" s="315"/>
      <c r="T516" s="315"/>
      <c r="U516" s="315"/>
      <c r="V516" s="315"/>
      <c r="W516" s="315"/>
      <c r="X516" s="315"/>
      <c r="Y516" s="315"/>
      <c r="Z516" s="315"/>
      <c r="AA516" s="315"/>
      <c r="AB516" s="315"/>
      <c r="AC516" s="315"/>
      <c r="AD516" s="315"/>
      <c r="AE516" s="315"/>
      <c r="AF516" s="315"/>
      <c r="AG516" s="315"/>
      <c r="AH516" s="315"/>
      <c r="AI516" s="315"/>
      <c r="AJ516" s="315"/>
      <c r="AK516" s="315"/>
      <c r="AL516" s="315"/>
      <c r="AM516" s="315"/>
      <c r="AN516" s="315"/>
    </row>
    <row r="517">
      <c r="A517" s="315"/>
      <c r="B517" s="315"/>
      <c r="C517" s="315"/>
      <c r="D517" s="315"/>
      <c r="E517" s="315"/>
      <c r="F517" s="315"/>
      <c r="G517" s="315"/>
      <c r="H517" s="315"/>
      <c r="I517" s="315"/>
      <c r="J517" s="315"/>
      <c r="K517" s="315"/>
      <c r="L517" s="315"/>
      <c r="M517" s="315"/>
      <c r="N517" s="315"/>
      <c r="O517" s="315"/>
      <c r="P517" s="315"/>
      <c r="Q517" s="315"/>
      <c r="R517" s="315"/>
      <c r="S517" s="315"/>
      <c r="T517" s="315"/>
      <c r="U517" s="315"/>
      <c r="V517" s="315"/>
      <c r="W517" s="315"/>
      <c r="X517" s="315"/>
      <c r="Y517" s="315"/>
      <c r="Z517" s="315"/>
      <c r="AA517" s="315"/>
      <c r="AB517" s="315"/>
      <c r="AC517" s="315"/>
      <c r="AD517" s="315"/>
      <c r="AE517" s="315"/>
      <c r="AF517" s="315"/>
      <c r="AG517" s="315"/>
      <c r="AH517" s="315"/>
      <c r="AI517" s="315"/>
      <c r="AJ517" s="315"/>
      <c r="AK517" s="315"/>
      <c r="AL517" s="315"/>
      <c r="AM517" s="315"/>
      <c r="AN517" s="315"/>
    </row>
    <row r="518">
      <c r="A518" s="315"/>
      <c r="B518" s="315"/>
      <c r="C518" s="315"/>
      <c r="D518" s="315"/>
      <c r="E518" s="315"/>
      <c r="F518" s="315"/>
      <c r="G518" s="315"/>
      <c r="H518" s="315"/>
      <c r="I518" s="315"/>
      <c r="J518" s="315"/>
      <c r="K518" s="315"/>
      <c r="L518" s="315"/>
      <c r="M518" s="315"/>
      <c r="N518" s="315"/>
      <c r="O518" s="315"/>
      <c r="P518" s="315"/>
      <c r="Q518" s="315"/>
      <c r="R518" s="315"/>
      <c r="S518" s="315"/>
      <c r="T518" s="315"/>
      <c r="U518" s="315"/>
      <c r="V518" s="315"/>
      <c r="W518" s="315"/>
      <c r="X518" s="315"/>
      <c r="Y518" s="315"/>
      <c r="Z518" s="315"/>
      <c r="AA518" s="315"/>
      <c r="AB518" s="315"/>
      <c r="AC518" s="315"/>
      <c r="AD518" s="315"/>
      <c r="AE518" s="315"/>
      <c r="AF518" s="315"/>
      <c r="AG518" s="315"/>
      <c r="AH518" s="315"/>
      <c r="AI518" s="315"/>
      <c r="AJ518" s="315"/>
      <c r="AK518" s="315"/>
      <c r="AL518" s="315"/>
      <c r="AM518" s="315"/>
      <c r="AN518" s="315"/>
    </row>
    <row r="519">
      <c r="A519" s="315"/>
      <c r="B519" s="315"/>
      <c r="C519" s="315"/>
      <c r="D519" s="315"/>
      <c r="E519" s="315"/>
      <c r="F519" s="315"/>
      <c r="G519" s="315"/>
      <c r="H519" s="315"/>
      <c r="I519" s="315"/>
      <c r="J519" s="315"/>
      <c r="K519" s="315"/>
      <c r="L519" s="315"/>
      <c r="M519" s="315"/>
      <c r="N519" s="315"/>
      <c r="O519" s="315"/>
      <c r="P519" s="315"/>
      <c r="Q519" s="315"/>
      <c r="R519" s="315"/>
      <c r="S519" s="315"/>
      <c r="T519" s="315"/>
      <c r="U519" s="315"/>
      <c r="V519" s="315"/>
      <c r="W519" s="315"/>
      <c r="X519" s="315"/>
      <c r="Y519" s="315"/>
      <c r="Z519" s="315"/>
      <c r="AA519" s="315"/>
      <c r="AB519" s="315"/>
      <c r="AC519" s="315"/>
      <c r="AD519" s="315"/>
      <c r="AE519" s="315"/>
      <c r="AF519" s="315"/>
      <c r="AG519" s="315"/>
      <c r="AH519" s="315"/>
      <c r="AI519" s="315"/>
      <c r="AJ519" s="315"/>
      <c r="AK519" s="315"/>
      <c r="AL519" s="315"/>
      <c r="AM519" s="315"/>
      <c r="AN519" s="315"/>
    </row>
    <row r="520">
      <c r="A520" s="315"/>
      <c r="B520" s="315"/>
      <c r="C520" s="315"/>
      <c r="D520" s="315"/>
      <c r="E520" s="315"/>
      <c r="F520" s="315"/>
      <c r="G520" s="315"/>
      <c r="H520" s="315"/>
      <c r="I520" s="315"/>
      <c r="J520" s="315"/>
      <c r="K520" s="315"/>
      <c r="L520" s="315"/>
      <c r="M520" s="315"/>
      <c r="N520" s="315"/>
      <c r="O520" s="315"/>
      <c r="P520" s="315"/>
      <c r="Q520" s="315"/>
      <c r="R520" s="315"/>
      <c r="S520" s="315"/>
      <c r="T520" s="315"/>
      <c r="U520" s="315"/>
      <c r="V520" s="315"/>
      <c r="W520" s="315"/>
      <c r="X520" s="315"/>
      <c r="Y520" s="315"/>
      <c r="Z520" s="315"/>
      <c r="AA520" s="315"/>
      <c r="AB520" s="315"/>
      <c r="AC520" s="315"/>
      <c r="AD520" s="315"/>
      <c r="AE520" s="315"/>
      <c r="AF520" s="315"/>
      <c r="AG520" s="315"/>
      <c r="AH520" s="315"/>
      <c r="AI520" s="315"/>
      <c r="AJ520" s="315"/>
      <c r="AK520" s="315"/>
      <c r="AL520" s="315"/>
      <c r="AM520" s="315"/>
      <c r="AN520" s="315"/>
    </row>
    <row r="521">
      <c r="A521" s="315"/>
      <c r="B521" s="315"/>
      <c r="C521" s="315"/>
      <c r="D521" s="315"/>
      <c r="E521" s="315"/>
      <c r="F521" s="315"/>
      <c r="G521" s="315"/>
      <c r="H521" s="315"/>
      <c r="I521" s="315"/>
      <c r="J521" s="315"/>
      <c r="K521" s="315"/>
      <c r="L521" s="315"/>
      <c r="M521" s="315"/>
      <c r="N521" s="315"/>
      <c r="O521" s="315"/>
      <c r="P521" s="315"/>
      <c r="Q521" s="315"/>
      <c r="R521" s="315"/>
      <c r="S521" s="315"/>
      <c r="T521" s="315"/>
      <c r="U521" s="315"/>
      <c r="V521" s="315"/>
      <c r="W521" s="315"/>
      <c r="X521" s="315"/>
      <c r="Y521" s="315"/>
      <c r="Z521" s="315"/>
      <c r="AA521" s="315"/>
      <c r="AB521" s="315"/>
      <c r="AC521" s="315"/>
      <c r="AD521" s="315"/>
      <c r="AE521" s="315"/>
      <c r="AF521" s="315"/>
      <c r="AG521" s="315"/>
      <c r="AH521" s="315"/>
      <c r="AI521" s="315"/>
      <c r="AJ521" s="315"/>
      <c r="AK521" s="315"/>
      <c r="AL521" s="315"/>
      <c r="AM521" s="315"/>
      <c r="AN521" s="315"/>
    </row>
    <row r="522">
      <c r="A522" s="315"/>
      <c r="B522" s="315"/>
      <c r="C522" s="315"/>
      <c r="D522" s="315"/>
      <c r="E522" s="315"/>
      <c r="F522" s="315"/>
      <c r="G522" s="315"/>
      <c r="H522" s="315"/>
      <c r="I522" s="315"/>
      <c r="J522" s="315"/>
      <c r="K522" s="315"/>
      <c r="L522" s="315"/>
      <c r="M522" s="315"/>
      <c r="N522" s="315"/>
      <c r="O522" s="315"/>
      <c r="P522" s="315"/>
      <c r="Q522" s="315"/>
      <c r="R522" s="315"/>
      <c r="S522" s="315"/>
      <c r="T522" s="315"/>
      <c r="U522" s="315"/>
      <c r="V522" s="315"/>
      <c r="W522" s="315"/>
      <c r="X522" s="315"/>
      <c r="Y522" s="315"/>
      <c r="Z522" s="315"/>
      <c r="AA522" s="315"/>
      <c r="AB522" s="315"/>
      <c r="AC522" s="315"/>
      <c r="AD522" s="315"/>
      <c r="AE522" s="315"/>
      <c r="AF522" s="315"/>
      <c r="AG522" s="315"/>
      <c r="AH522" s="315"/>
      <c r="AI522" s="315"/>
      <c r="AJ522" s="315"/>
      <c r="AK522" s="315"/>
      <c r="AL522" s="315"/>
      <c r="AM522" s="315"/>
      <c r="AN522" s="315"/>
    </row>
    <row r="523">
      <c r="A523" s="315"/>
      <c r="B523" s="315"/>
      <c r="C523" s="315"/>
      <c r="D523" s="315"/>
      <c r="E523" s="315"/>
      <c r="F523" s="315"/>
      <c r="G523" s="315"/>
      <c r="H523" s="315"/>
      <c r="I523" s="315"/>
      <c r="J523" s="315"/>
      <c r="K523" s="315"/>
      <c r="L523" s="315"/>
      <c r="M523" s="315"/>
      <c r="N523" s="315"/>
      <c r="O523" s="315"/>
      <c r="P523" s="315"/>
      <c r="Q523" s="315"/>
      <c r="R523" s="315"/>
      <c r="S523" s="315"/>
      <c r="T523" s="315"/>
      <c r="U523" s="315"/>
      <c r="V523" s="315"/>
      <c r="W523" s="315"/>
      <c r="X523" s="315"/>
      <c r="Y523" s="315"/>
      <c r="Z523" s="315"/>
      <c r="AA523" s="315"/>
      <c r="AB523" s="315"/>
      <c r="AC523" s="315"/>
      <c r="AD523" s="315"/>
      <c r="AE523" s="315"/>
      <c r="AF523" s="315"/>
      <c r="AG523" s="315"/>
      <c r="AH523" s="315"/>
      <c r="AI523" s="315"/>
      <c r="AJ523" s="315"/>
      <c r="AK523" s="315"/>
      <c r="AL523" s="315"/>
      <c r="AM523" s="315"/>
      <c r="AN523" s="315"/>
    </row>
    <row r="524">
      <c r="A524" s="315"/>
      <c r="B524" s="315"/>
      <c r="C524" s="315"/>
      <c r="D524" s="315"/>
      <c r="E524" s="315"/>
      <c r="F524" s="315"/>
      <c r="G524" s="315"/>
      <c r="H524" s="315"/>
      <c r="I524" s="315"/>
      <c r="J524" s="315"/>
      <c r="K524" s="315"/>
      <c r="L524" s="315"/>
      <c r="M524" s="315"/>
      <c r="N524" s="315"/>
      <c r="O524" s="315"/>
      <c r="P524" s="315"/>
      <c r="Q524" s="315"/>
      <c r="R524" s="315"/>
      <c r="S524" s="315"/>
      <c r="T524" s="315"/>
      <c r="U524" s="315"/>
      <c r="V524" s="315"/>
      <c r="W524" s="315"/>
      <c r="X524" s="315"/>
      <c r="Y524" s="315"/>
      <c r="Z524" s="315"/>
      <c r="AA524" s="315"/>
      <c r="AB524" s="315"/>
      <c r="AC524" s="315"/>
      <c r="AD524" s="315"/>
      <c r="AE524" s="315"/>
      <c r="AF524" s="315"/>
      <c r="AG524" s="315"/>
      <c r="AH524" s="315"/>
      <c r="AI524" s="315"/>
      <c r="AJ524" s="315"/>
      <c r="AK524" s="315"/>
      <c r="AL524" s="315"/>
      <c r="AM524" s="315"/>
      <c r="AN524" s="315"/>
    </row>
    <row r="525">
      <c r="A525" s="315"/>
      <c r="B525" s="315"/>
      <c r="C525" s="315"/>
      <c r="D525" s="315"/>
      <c r="E525" s="315"/>
      <c r="F525" s="315"/>
      <c r="G525" s="315"/>
      <c r="H525" s="315"/>
      <c r="I525" s="315"/>
      <c r="J525" s="315"/>
      <c r="K525" s="315"/>
      <c r="L525" s="315"/>
      <c r="M525" s="315"/>
      <c r="N525" s="315"/>
      <c r="O525" s="315"/>
      <c r="P525" s="315"/>
      <c r="Q525" s="315"/>
      <c r="R525" s="315"/>
      <c r="S525" s="315"/>
      <c r="T525" s="315"/>
      <c r="U525" s="315"/>
      <c r="V525" s="315"/>
      <c r="W525" s="315"/>
      <c r="X525" s="315"/>
      <c r="Y525" s="315"/>
      <c r="Z525" s="315"/>
      <c r="AA525" s="315"/>
      <c r="AB525" s="315"/>
      <c r="AC525" s="315"/>
      <c r="AD525" s="315"/>
      <c r="AE525" s="315"/>
      <c r="AF525" s="315"/>
      <c r="AG525" s="315"/>
      <c r="AH525" s="315"/>
      <c r="AI525" s="315"/>
      <c r="AJ525" s="315"/>
      <c r="AK525" s="315"/>
      <c r="AL525" s="315"/>
      <c r="AM525" s="315"/>
      <c r="AN525" s="315"/>
    </row>
    <row r="526">
      <c r="A526" s="315"/>
      <c r="B526" s="315"/>
      <c r="C526" s="315"/>
      <c r="D526" s="315"/>
      <c r="E526" s="315"/>
      <c r="F526" s="315"/>
      <c r="G526" s="315"/>
      <c r="H526" s="315"/>
      <c r="I526" s="315"/>
      <c r="J526" s="315"/>
      <c r="K526" s="315"/>
      <c r="L526" s="315"/>
      <c r="M526" s="315"/>
      <c r="N526" s="315"/>
      <c r="O526" s="315"/>
      <c r="P526" s="315"/>
      <c r="Q526" s="315"/>
      <c r="R526" s="315"/>
      <c r="S526" s="315"/>
      <c r="T526" s="315"/>
      <c r="U526" s="315"/>
      <c r="V526" s="315"/>
      <c r="W526" s="315"/>
      <c r="X526" s="315"/>
      <c r="Y526" s="315"/>
      <c r="Z526" s="315"/>
      <c r="AA526" s="315"/>
      <c r="AB526" s="315"/>
      <c r="AC526" s="315"/>
      <c r="AD526" s="315"/>
      <c r="AE526" s="315"/>
      <c r="AF526" s="315"/>
      <c r="AG526" s="315"/>
      <c r="AH526" s="315"/>
      <c r="AI526" s="315"/>
      <c r="AJ526" s="315"/>
      <c r="AK526" s="315"/>
      <c r="AL526" s="315"/>
      <c r="AM526" s="315"/>
      <c r="AN526" s="315"/>
    </row>
    <row r="527">
      <c r="A527" s="315"/>
      <c r="B527" s="315"/>
      <c r="C527" s="315"/>
      <c r="D527" s="315"/>
      <c r="E527" s="315"/>
      <c r="F527" s="315"/>
      <c r="G527" s="315"/>
      <c r="H527" s="315"/>
      <c r="I527" s="315"/>
      <c r="J527" s="315"/>
      <c r="K527" s="315"/>
      <c r="L527" s="315"/>
      <c r="M527" s="315"/>
      <c r="N527" s="315"/>
      <c r="O527" s="315"/>
      <c r="P527" s="315"/>
      <c r="Q527" s="315"/>
      <c r="R527" s="315"/>
      <c r="S527" s="315"/>
      <c r="T527" s="315"/>
      <c r="U527" s="315"/>
      <c r="V527" s="315"/>
      <c r="W527" s="315"/>
      <c r="X527" s="315"/>
      <c r="Y527" s="315"/>
      <c r="Z527" s="315"/>
      <c r="AA527" s="315"/>
      <c r="AB527" s="315"/>
      <c r="AC527" s="315"/>
      <c r="AD527" s="315"/>
      <c r="AE527" s="315"/>
      <c r="AF527" s="315"/>
      <c r="AG527" s="315"/>
      <c r="AH527" s="315"/>
      <c r="AI527" s="315"/>
      <c r="AJ527" s="315"/>
      <c r="AK527" s="315"/>
      <c r="AL527" s="315"/>
      <c r="AM527" s="315"/>
      <c r="AN527" s="315"/>
    </row>
    <row r="528">
      <c r="A528" s="315"/>
      <c r="B528" s="315"/>
      <c r="C528" s="315"/>
      <c r="D528" s="315"/>
      <c r="E528" s="315"/>
      <c r="F528" s="315"/>
      <c r="G528" s="315"/>
      <c r="H528" s="315"/>
      <c r="I528" s="315"/>
      <c r="J528" s="315"/>
      <c r="K528" s="315"/>
      <c r="L528" s="315"/>
      <c r="M528" s="315"/>
      <c r="N528" s="315"/>
      <c r="O528" s="315"/>
      <c r="P528" s="315"/>
      <c r="Q528" s="315"/>
      <c r="R528" s="315"/>
      <c r="S528" s="315"/>
      <c r="T528" s="315"/>
      <c r="U528" s="315"/>
      <c r="V528" s="315"/>
      <c r="W528" s="315"/>
      <c r="X528" s="315"/>
      <c r="Y528" s="315"/>
      <c r="Z528" s="315"/>
      <c r="AA528" s="315"/>
      <c r="AB528" s="315"/>
      <c r="AC528" s="315"/>
      <c r="AD528" s="315"/>
      <c r="AE528" s="315"/>
      <c r="AF528" s="315"/>
      <c r="AG528" s="315"/>
      <c r="AH528" s="315"/>
      <c r="AI528" s="315"/>
      <c r="AJ528" s="315"/>
      <c r="AK528" s="315"/>
      <c r="AL528" s="315"/>
      <c r="AM528" s="315"/>
      <c r="AN528" s="315"/>
    </row>
    <row r="529">
      <c r="A529" s="315"/>
      <c r="B529" s="315"/>
      <c r="C529" s="315"/>
      <c r="D529" s="315"/>
      <c r="E529" s="315"/>
      <c r="F529" s="315"/>
      <c r="G529" s="315"/>
      <c r="H529" s="315"/>
      <c r="I529" s="315"/>
      <c r="J529" s="315"/>
      <c r="K529" s="315"/>
      <c r="L529" s="315"/>
      <c r="M529" s="315"/>
      <c r="N529" s="315"/>
      <c r="O529" s="315"/>
      <c r="P529" s="315"/>
      <c r="Q529" s="315"/>
      <c r="R529" s="315"/>
      <c r="S529" s="315"/>
      <c r="T529" s="315"/>
      <c r="U529" s="315"/>
      <c r="V529" s="315"/>
      <c r="W529" s="315"/>
      <c r="X529" s="315"/>
      <c r="Y529" s="315"/>
      <c r="Z529" s="315"/>
      <c r="AA529" s="315"/>
      <c r="AB529" s="315"/>
      <c r="AC529" s="315"/>
      <c r="AD529" s="315"/>
      <c r="AE529" s="315"/>
      <c r="AF529" s="315"/>
      <c r="AG529" s="315"/>
      <c r="AH529" s="315"/>
      <c r="AI529" s="315"/>
      <c r="AJ529" s="315"/>
      <c r="AK529" s="315"/>
      <c r="AL529" s="315"/>
      <c r="AM529" s="315"/>
      <c r="AN529" s="315"/>
    </row>
    <row r="530">
      <c r="A530" s="315"/>
      <c r="B530" s="315"/>
      <c r="C530" s="315"/>
      <c r="D530" s="315"/>
      <c r="E530" s="315"/>
      <c r="F530" s="315"/>
      <c r="G530" s="315"/>
      <c r="H530" s="315"/>
      <c r="I530" s="315"/>
      <c r="J530" s="315"/>
      <c r="K530" s="315"/>
      <c r="L530" s="315"/>
      <c r="M530" s="315"/>
      <c r="N530" s="315"/>
      <c r="O530" s="315"/>
      <c r="P530" s="315"/>
      <c r="Q530" s="315"/>
      <c r="R530" s="315"/>
      <c r="S530" s="315"/>
      <c r="T530" s="315"/>
      <c r="U530" s="315"/>
      <c r="V530" s="315"/>
      <c r="W530" s="315"/>
      <c r="X530" s="315"/>
      <c r="Y530" s="315"/>
      <c r="Z530" s="315"/>
      <c r="AA530" s="315"/>
      <c r="AB530" s="315"/>
      <c r="AC530" s="315"/>
      <c r="AD530" s="315"/>
      <c r="AE530" s="315"/>
      <c r="AF530" s="315"/>
      <c r="AG530" s="315"/>
      <c r="AH530" s="315"/>
      <c r="AI530" s="315"/>
      <c r="AJ530" s="315"/>
      <c r="AK530" s="315"/>
      <c r="AL530" s="315"/>
      <c r="AM530" s="315"/>
      <c r="AN530" s="315"/>
    </row>
    <row r="531">
      <c r="A531" s="315"/>
      <c r="B531" s="315"/>
      <c r="C531" s="315"/>
      <c r="D531" s="315"/>
      <c r="E531" s="315"/>
      <c r="F531" s="315"/>
      <c r="G531" s="315"/>
      <c r="H531" s="315"/>
      <c r="I531" s="315"/>
      <c r="J531" s="315"/>
      <c r="K531" s="315"/>
      <c r="L531" s="315"/>
      <c r="M531" s="315"/>
      <c r="N531" s="315"/>
      <c r="O531" s="315"/>
      <c r="P531" s="315"/>
      <c r="Q531" s="315"/>
      <c r="R531" s="315"/>
      <c r="S531" s="315"/>
      <c r="T531" s="315"/>
      <c r="U531" s="315"/>
      <c r="V531" s="315"/>
      <c r="W531" s="315"/>
      <c r="X531" s="315"/>
      <c r="Y531" s="315"/>
      <c r="Z531" s="315"/>
      <c r="AA531" s="315"/>
      <c r="AB531" s="315"/>
      <c r="AC531" s="315"/>
      <c r="AD531" s="315"/>
      <c r="AE531" s="315"/>
      <c r="AF531" s="315"/>
      <c r="AG531" s="315"/>
      <c r="AH531" s="315"/>
      <c r="AI531" s="315"/>
      <c r="AJ531" s="315"/>
      <c r="AK531" s="315"/>
      <c r="AL531" s="315"/>
      <c r="AM531" s="315"/>
      <c r="AN531" s="315"/>
    </row>
    <row r="532">
      <c r="A532" s="315"/>
      <c r="B532" s="315"/>
      <c r="C532" s="315"/>
      <c r="D532" s="315"/>
      <c r="E532" s="315"/>
      <c r="F532" s="315"/>
      <c r="G532" s="315"/>
      <c r="H532" s="315"/>
      <c r="I532" s="315"/>
      <c r="J532" s="315"/>
      <c r="K532" s="315"/>
      <c r="L532" s="315"/>
      <c r="M532" s="315"/>
      <c r="N532" s="315"/>
      <c r="O532" s="315"/>
      <c r="P532" s="315"/>
      <c r="Q532" s="315"/>
      <c r="R532" s="315"/>
      <c r="S532" s="315"/>
      <c r="T532" s="315"/>
      <c r="U532" s="315"/>
      <c r="V532" s="315"/>
      <c r="W532" s="315"/>
      <c r="X532" s="315"/>
      <c r="Y532" s="315"/>
      <c r="Z532" s="315"/>
      <c r="AA532" s="315"/>
      <c r="AB532" s="315"/>
      <c r="AC532" s="315"/>
      <c r="AD532" s="315"/>
      <c r="AE532" s="315"/>
      <c r="AF532" s="315"/>
      <c r="AG532" s="315"/>
      <c r="AH532" s="315"/>
      <c r="AI532" s="315"/>
      <c r="AJ532" s="315"/>
      <c r="AK532" s="315"/>
      <c r="AL532" s="315"/>
      <c r="AM532" s="315"/>
      <c r="AN532" s="315"/>
    </row>
    <row r="533">
      <c r="A533" s="315"/>
      <c r="B533" s="315"/>
      <c r="C533" s="315"/>
      <c r="D533" s="315"/>
      <c r="E533" s="315"/>
      <c r="F533" s="315"/>
      <c r="G533" s="315"/>
      <c r="H533" s="315"/>
      <c r="I533" s="315"/>
      <c r="J533" s="315"/>
      <c r="K533" s="315"/>
      <c r="L533" s="315"/>
      <c r="M533" s="315"/>
      <c r="N533" s="315"/>
      <c r="O533" s="315"/>
      <c r="P533" s="315"/>
      <c r="Q533" s="315"/>
      <c r="R533" s="315"/>
      <c r="S533" s="315"/>
      <c r="T533" s="315"/>
      <c r="U533" s="315"/>
      <c r="V533" s="315"/>
      <c r="W533" s="315"/>
      <c r="X533" s="315"/>
      <c r="Y533" s="315"/>
      <c r="Z533" s="315"/>
      <c r="AA533" s="315"/>
      <c r="AB533" s="315"/>
      <c r="AC533" s="315"/>
      <c r="AD533" s="315"/>
      <c r="AE533" s="315"/>
      <c r="AF533" s="315"/>
      <c r="AG533" s="315"/>
      <c r="AH533" s="315"/>
      <c r="AI533" s="315"/>
      <c r="AJ533" s="315"/>
      <c r="AK533" s="315"/>
      <c r="AL533" s="315"/>
      <c r="AM533" s="315"/>
      <c r="AN533" s="315"/>
    </row>
    <row r="534">
      <c r="A534" s="315"/>
      <c r="B534" s="315"/>
      <c r="C534" s="315"/>
      <c r="D534" s="315"/>
      <c r="E534" s="315"/>
      <c r="F534" s="315"/>
      <c r="G534" s="315"/>
      <c r="H534" s="315"/>
      <c r="I534" s="315"/>
      <c r="J534" s="315"/>
      <c r="K534" s="315"/>
      <c r="L534" s="315"/>
      <c r="M534" s="315"/>
      <c r="N534" s="315"/>
      <c r="O534" s="315"/>
      <c r="P534" s="315"/>
      <c r="Q534" s="315"/>
      <c r="R534" s="315"/>
      <c r="S534" s="315"/>
      <c r="T534" s="315"/>
      <c r="U534" s="315"/>
      <c r="V534" s="315"/>
      <c r="W534" s="315"/>
      <c r="X534" s="315"/>
      <c r="Y534" s="315"/>
      <c r="Z534" s="315"/>
      <c r="AA534" s="315"/>
      <c r="AB534" s="315"/>
      <c r="AC534" s="315"/>
      <c r="AD534" s="315"/>
      <c r="AE534" s="315"/>
      <c r="AF534" s="315"/>
      <c r="AG534" s="315"/>
      <c r="AH534" s="315"/>
      <c r="AI534" s="315"/>
      <c r="AJ534" s="315"/>
      <c r="AK534" s="315"/>
      <c r="AL534" s="315"/>
      <c r="AM534" s="315"/>
      <c r="AN534" s="315"/>
    </row>
    <row r="535">
      <c r="A535" s="315"/>
      <c r="B535" s="315"/>
      <c r="C535" s="315"/>
      <c r="D535" s="315"/>
      <c r="E535" s="315"/>
      <c r="F535" s="315"/>
      <c r="G535" s="315"/>
      <c r="H535" s="315"/>
      <c r="I535" s="315"/>
      <c r="J535" s="315"/>
      <c r="K535" s="315"/>
      <c r="L535" s="315"/>
      <c r="M535" s="315"/>
      <c r="N535" s="315"/>
      <c r="O535" s="315"/>
      <c r="P535" s="315"/>
      <c r="Q535" s="315"/>
      <c r="R535" s="315"/>
      <c r="S535" s="315"/>
      <c r="T535" s="315"/>
      <c r="U535" s="315"/>
      <c r="V535" s="315"/>
      <c r="W535" s="315"/>
      <c r="X535" s="315"/>
      <c r="Y535" s="315"/>
      <c r="Z535" s="315"/>
      <c r="AA535" s="315"/>
      <c r="AB535" s="315"/>
      <c r="AC535" s="315"/>
      <c r="AD535" s="315"/>
      <c r="AE535" s="315"/>
      <c r="AF535" s="315"/>
      <c r="AG535" s="315"/>
      <c r="AH535" s="315"/>
      <c r="AI535" s="315"/>
      <c r="AJ535" s="315"/>
      <c r="AK535" s="315"/>
      <c r="AL535" s="315"/>
      <c r="AM535" s="315"/>
      <c r="AN535" s="315"/>
    </row>
    <row r="536">
      <c r="A536" s="315"/>
      <c r="B536" s="315"/>
      <c r="C536" s="315"/>
      <c r="D536" s="315"/>
      <c r="E536" s="315"/>
      <c r="F536" s="315"/>
      <c r="G536" s="315"/>
      <c r="H536" s="315"/>
      <c r="I536" s="315"/>
      <c r="J536" s="315"/>
      <c r="K536" s="315"/>
      <c r="L536" s="315"/>
      <c r="M536" s="315"/>
      <c r="N536" s="315"/>
      <c r="O536" s="315"/>
      <c r="P536" s="315"/>
      <c r="Q536" s="315"/>
      <c r="R536" s="315"/>
      <c r="S536" s="315"/>
      <c r="T536" s="315"/>
      <c r="U536" s="315"/>
      <c r="V536" s="315"/>
      <c r="W536" s="315"/>
      <c r="X536" s="315"/>
      <c r="Y536" s="315"/>
      <c r="Z536" s="315"/>
      <c r="AA536" s="315"/>
      <c r="AB536" s="315"/>
      <c r="AC536" s="315"/>
      <c r="AD536" s="315"/>
      <c r="AE536" s="315"/>
      <c r="AF536" s="315"/>
      <c r="AG536" s="315"/>
      <c r="AH536" s="315"/>
      <c r="AI536" s="315"/>
      <c r="AJ536" s="315"/>
      <c r="AK536" s="315"/>
      <c r="AL536" s="315"/>
      <c r="AM536" s="315"/>
      <c r="AN536" s="315"/>
    </row>
    <row r="537">
      <c r="A537" s="315"/>
      <c r="B537" s="315"/>
      <c r="C537" s="315"/>
      <c r="D537" s="315"/>
      <c r="E537" s="315"/>
      <c r="F537" s="315"/>
      <c r="G537" s="315"/>
      <c r="H537" s="315"/>
      <c r="I537" s="315"/>
      <c r="J537" s="315"/>
      <c r="K537" s="315"/>
      <c r="L537" s="315"/>
      <c r="M537" s="315"/>
      <c r="N537" s="315"/>
      <c r="O537" s="315"/>
      <c r="P537" s="315"/>
      <c r="Q537" s="315"/>
      <c r="R537" s="315"/>
      <c r="S537" s="315"/>
      <c r="T537" s="315"/>
      <c r="U537" s="315"/>
      <c r="V537" s="315"/>
      <c r="W537" s="315"/>
      <c r="X537" s="315"/>
      <c r="Y537" s="315"/>
      <c r="Z537" s="315"/>
      <c r="AA537" s="315"/>
      <c r="AB537" s="315"/>
      <c r="AC537" s="315"/>
      <c r="AD537" s="315"/>
      <c r="AE537" s="315"/>
      <c r="AF537" s="315"/>
      <c r="AG537" s="315"/>
      <c r="AH537" s="315"/>
      <c r="AI537" s="315"/>
      <c r="AJ537" s="315"/>
      <c r="AK537" s="315"/>
      <c r="AL537" s="315"/>
      <c r="AM537" s="315"/>
      <c r="AN537" s="315"/>
    </row>
    <row r="538">
      <c r="A538" s="315"/>
      <c r="B538" s="315"/>
      <c r="C538" s="315"/>
      <c r="D538" s="315"/>
      <c r="E538" s="315"/>
      <c r="F538" s="315"/>
      <c r="G538" s="315"/>
      <c r="H538" s="315"/>
      <c r="I538" s="315"/>
      <c r="J538" s="315"/>
      <c r="K538" s="315"/>
      <c r="L538" s="315"/>
      <c r="M538" s="315"/>
      <c r="N538" s="315"/>
      <c r="O538" s="315"/>
      <c r="P538" s="315"/>
      <c r="Q538" s="315"/>
      <c r="R538" s="315"/>
      <c r="S538" s="315"/>
      <c r="T538" s="315"/>
      <c r="U538" s="315"/>
      <c r="V538" s="315"/>
      <c r="W538" s="315"/>
      <c r="X538" s="315"/>
      <c r="Y538" s="315"/>
      <c r="Z538" s="315"/>
      <c r="AA538" s="315"/>
      <c r="AB538" s="315"/>
      <c r="AC538" s="315"/>
      <c r="AD538" s="315"/>
      <c r="AE538" s="315"/>
      <c r="AF538" s="315"/>
      <c r="AG538" s="315"/>
      <c r="AH538" s="315"/>
      <c r="AI538" s="315"/>
      <c r="AJ538" s="315"/>
      <c r="AK538" s="315"/>
      <c r="AL538" s="315"/>
      <c r="AM538" s="315"/>
      <c r="AN538" s="315"/>
    </row>
    <row r="539">
      <c r="A539" s="315"/>
      <c r="B539" s="315"/>
      <c r="C539" s="315"/>
      <c r="D539" s="315"/>
      <c r="E539" s="315"/>
      <c r="F539" s="315"/>
      <c r="G539" s="315"/>
      <c r="H539" s="315"/>
      <c r="I539" s="315"/>
      <c r="J539" s="315"/>
      <c r="K539" s="315"/>
      <c r="L539" s="315"/>
      <c r="M539" s="315"/>
      <c r="N539" s="315"/>
      <c r="O539" s="315"/>
      <c r="P539" s="315"/>
      <c r="Q539" s="315"/>
      <c r="R539" s="315"/>
      <c r="S539" s="315"/>
      <c r="T539" s="315"/>
      <c r="U539" s="315"/>
      <c r="V539" s="315"/>
      <c r="W539" s="315"/>
      <c r="X539" s="315"/>
      <c r="Y539" s="315"/>
      <c r="Z539" s="315"/>
      <c r="AA539" s="315"/>
      <c r="AB539" s="315"/>
      <c r="AC539" s="315"/>
      <c r="AD539" s="315"/>
      <c r="AE539" s="315"/>
      <c r="AF539" s="315"/>
      <c r="AG539" s="315"/>
      <c r="AH539" s="315"/>
      <c r="AI539" s="315"/>
      <c r="AJ539" s="315"/>
      <c r="AK539" s="315"/>
      <c r="AL539" s="315"/>
      <c r="AM539" s="315"/>
      <c r="AN539" s="315"/>
    </row>
    <row r="540">
      <c r="A540" s="315"/>
      <c r="B540" s="315"/>
      <c r="C540" s="315"/>
      <c r="D540" s="315"/>
      <c r="E540" s="315"/>
      <c r="F540" s="315"/>
      <c r="G540" s="315"/>
      <c r="H540" s="315"/>
      <c r="I540" s="315"/>
      <c r="J540" s="315"/>
      <c r="K540" s="315"/>
      <c r="L540" s="315"/>
      <c r="M540" s="315"/>
      <c r="N540" s="315"/>
      <c r="O540" s="315"/>
      <c r="P540" s="315"/>
      <c r="Q540" s="315"/>
      <c r="R540" s="315"/>
      <c r="S540" s="315"/>
      <c r="T540" s="315"/>
      <c r="U540" s="315"/>
      <c r="V540" s="315"/>
      <c r="W540" s="315"/>
      <c r="X540" s="315"/>
      <c r="Y540" s="315"/>
      <c r="Z540" s="315"/>
      <c r="AA540" s="315"/>
      <c r="AB540" s="315"/>
      <c r="AC540" s="315"/>
      <c r="AD540" s="315"/>
      <c r="AE540" s="315"/>
      <c r="AF540" s="315"/>
      <c r="AG540" s="315"/>
      <c r="AH540" s="315"/>
      <c r="AI540" s="315"/>
      <c r="AJ540" s="315"/>
      <c r="AK540" s="315"/>
      <c r="AL540" s="315"/>
      <c r="AM540" s="315"/>
      <c r="AN540" s="315"/>
    </row>
    <row r="541">
      <c r="A541" s="315"/>
      <c r="B541" s="315"/>
      <c r="C541" s="315"/>
      <c r="D541" s="315"/>
      <c r="E541" s="315"/>
      <c r="F541" s="315"/>
      <c r="G541" s="315"/>
      <c r="H541" s="315"/>
      <c r="I541" s="315"/>
      <c r="J541" s="315"/>
      <c r="K541" s="315"/>
      <c r="L541" s="315"/>
      <c r="M541" s="315"/>
      <c r="N541" s="315"/>
      <c r="O541" s="315"/>
      <c r="P541" s="315"/>
      <c r="Q541" s="315"/>
      <c r="R541" s="315"/>
      <c r="S541" s="315"/>
      <c r="T541" s="315"/>
      <c r="U541" s="315"/>
      <c r="V541" s="315"/>
      <c r="W541" s="315"/>
      <c r="X541" s="315"/>
      <c r="Y541" s="315"/>
      <c r="Z541" s="315"/>
      <c r="AA541" s="315"/>
      <c r="AB541" s="315"/>
      <c r="AC541" s="315"/>
      <c r="AD541" s="315"/>
      <c r="AE541" s="315"/>
      <c r="AF541" s="315"/>
      <c r="AG541" s="315"/>
      <c r="AH541" s="315"/>
      <c r="AI541" s="315"/>
      <c r="AJ541" s="315"/>
      <c r="AK541" s="315"/>
      <c r="AL541" s="315"/>
      <c r="AM541" s="315"/>
      <c r="AN541" s="315"/>
    </row>
    <row r="542">
      <c r="A542" s="315"/>
      <c r="B542" s="315"/>
      <c r="C542" s="315"/>
      <c r="D542" s="315"/>
      <c r="E542" s="315"/>
      <c r="F542" s="315"/>
      <c r="G542" s="315"/>
      <c r="H542" s="315"/>
      <c r="I542" s="315"/>
      <c r="J542" s="315"/>
      <c r="K542" s="315"/>
      <c r="L542" s="315"/>
      <c r="M542" s="315"/>
      <c r="N542" s="315"/>
      <c r="O542" s="315"/>
      <c r="P542" s="315"/>
      <c r="Q542" s="315"/>
      <c r="R542" s="315"/>
      <c r="S542" s="315"/>
      <c r="T542" s="315"/>
      <c r="U542" s="315"/>
      <c r="V542" s="315"/>
      <c r="W542" s="315"/>
      <c r="X542" s="315"/>
      <c r="Y542" s="315"/>
      <c r="Z542" s="315"/>
      <c r="AA542" s="315"/>
      <c r="AB542" s="315"/>
      <c r="AC542" s="315"/>
      <c r="AD542" s="315"/>
      <c r="AE542" s="315"/>
      <c r="AF542" s="315"/>
      <c r="AG542" s="315"/>
      <c r="AH542" s="315"/>
      <c r="AI542" s="315"/>
      <c r="AJ542" s="315"/>
      <c r="AK542" s="315"/>
      <c r="AL542" s="315"/>
      <c r="AM542" s="315"/>
      <c r="AN542" s="315"/>
    </row>
    <row r="543">
      <c r="A543" s="315"/>
      <c r="B543" s="315"/>
      <c r="C543" s="315"/>
      <c r="D543" s="315"/>
      <c r="E543" s="315"/>
      <c r="F543" s="315"/>
      <c r="G543" s="315"/>
      <c r="H543" s="315"/>
      <c r="I543" s="315"/>
      <c r="J543" s="315"/>
      <c r="K543" s="315"/>
      <c r="L543" s="315"/>
      <c r="M543" s="315"/>
      <c r="N543" s="315"/>
      <c r="O543" s="315"/>
      <c r="P543" s="315"/>
      <c r="Q543" s="315"/>
      <c r="R543" s="315"/>
      <c r="S543" s="315"/>
      <c r="T543" s="315"/>
      <c r="U543" s="315"/>
      <c r="V543" s="315"/>
      <c r="W543" s="315"/>
      <c r="X543" s="315"/>
      <c r="Y543" s="315"/>
      <c r="Z543" s="315"/>
      <c r="AA543" s="315"/>
      <c r="AB543" s="315"/>
      <c r="AC543" s="315"/>
      <c r="AD543" s="315"/>
      <c r="AE543" s="315"/>
      <c r="AF543" s="315"/>
      <c r="AG543" s="315"/>
      <c r="AH543" s="315"/>
      <c r="AI543" s="315"/>
      <c r="AJ543" s="315"/>
      <c r="AK543" s="315"/>
      <c r="AL543" s="315"/>
      <c r="AM543" s="315"/>
      <c r="AN543" s="315"/>
    </row>
    <row r="544">
      <c r="A544" s="315"/>
      <c r="B544" s="315"/>
      <c r="C544" s="315"/>
      <c r="D544" s="315"/>
      <c r="E544" s="315"/>
      <c r="F544" s="315"/>
      <c r="G544" s="315"/>
      <c r="H544" s="315"/>
      <c r="I544" s="315"/>
      <c r="J544" s="315"/>
      <c r="K544" s="315"/>
      <c r="L544" s="315"/>
      <c r="M544" s="315"/>
      <c r="N544" s="315"/>
      <c r="O544" s="315"/>
      <c r="P544" s="315"/>
      <c r="Q544" s="315"/>
      <c r="R544" s="315"/>
      <c r="S544" s="315"/>
      <c r="T544" s="315"/>
      <c r="U544" s="315"/>
      <c r="V544" s="315"/>
      <c r="W544" s="315"/>
      <c r="X544" s="315"/>
      <c r="Y544" s="315"/>
      <c r="Z544" s="315"/>
      <c r="AA544" s="315"/>
      <c r="AB544" s="315"/>
      <c r="AC544" s="315"/>
      <c r="AD544" s="315"/>
      <c r="AE544" s="315"/>
      <c r="AF544" s="315"/>
      <c r="AG544" s="315"/>
      <c r="AH544" s="315"/>
      <c r="AI544" s="315"/>
      <c r="AJ544" s="315"/>
      <c r="AK544" s="315"/>
      <c r="AL544" s="315"/>
      <c r="AM544" s="315"/>
      <c r="AN544" s="315"/>
    </row>
    <row r="545">
      <c r="A545" s="315"/>
      <c r="B545" s="315"/>
      <c r="C545" s="315"/>
      <c r="D545" s="315"/>
      <c r="E545" s="315"/>
      <c r="F545" s="315"/>
      <c r="G545" s="315"/>
      <c r="H545" s="315"/>
      <c r="I545" s="315"/>
      <c r="J545" s="315"/>
      <c r="K545" s="315"/>
      <c r="L545" s="315"/>
      <c r="M545" s="315"/>
      <c r="N545" s="315"/>
      <c r="O545" s="315"/>
      <c r="P545" s="315"/>
      <c r="Q545" s="315"/>
      <c r="R545" s="315"/>
      <c r="S545" s="315"/>
      <c r="T545" s="315"/>
      <c r="U545" s="315"/>
      <c r="V545" s="315"/>
      <c r="W545" s="315"/>
      <c r="X545" s="315"/>
      <c r="Y545" s="315"/>
      <c r="Z545" s="315"/>
      <c r="AA545" s="315"/>
      <c r="AB545" s="315"/>
      <c r="AC545" s="315"/>
      <c r="AD545" s="315"/>
      <c r="AE545" s="315"/>
      <c r="AF545" s="315"/>
      <c r="AG545" s="315"/>
      <c r="AH545" s="315"/>
      <c r="AI545" s="315"/>
      <c r="AJ545" s="315"/>
      <c r="AK545" s="315"/>
      <c r="AL545" s="315"/>
      <c r="AM545" s="315"/>
      <c r="AN545" s="315"/>
    </row>
    <row r="546">
      <c r="A546" s="315"/>
      <c r="B546" s="315"/>
      <c r="C546" s="315"/>
      <c r="D546" s="315"/>
      <c r="E546" s="315"/>
      <c r="F546" s="315"/>
      <c r="G546" s="315"/>
      <c r="H546" s="315"/>
      <c r="I546" s="315"/>
      <c r="J546" s="315"/>
      <c r="K546" s="315"/>
      <c r="L546" s="315"/>
      <c r="M546" s="315"/>
      <c r="N546" s="315"/>
      <c r="O546" s="315"/>
      <c r="P546" s="315"/>
      <c r="Q546" s="315"/>
      <c r="R546" s="315"/>
      <c r="S546" s="315"/>
      <c r="T546" s="315"/>
      <c r="U546" s="315"/>
      <c r="V546" s="315"/>
      <c r="W546" s="315"/>
      <c r="X546" s="315"/>
      <c r="Y546" s="315"/>
      <c r="Z546" s="315"/>
      <c r="AA546" s="315"/>
      <c r="AB546" s="315"/>
      <c r="AC546" s="315"/>
      <c r="AD546" s="315"/>
      <c r="AE546" s="315"/>
      <c r="AF546" s="315"/>
      <c r="AG546" s="315"/>
      <c r="AH546" s="315"/>
      <c r="AI546" s="315"/>
      <c r="AJ546" s="315"/>
      <c r="AK546" s="315"/>
      <c r="AL546" s="315"/>
      <c r="AM546" s="315"/>
      <c r="AN546" s="315"/>
    </row>
    <row r="547">
      <c r="A547" s="315"/>
      <c r="B547" s="315"/>
      <c r="C547" s="315"/>
      <c r="D547" s="315"/>
      <c r="E547" s="315"/>
      <c r="F547" s="315"/>
      <c r="G547" s="315"/>
      <c r="H547" s="315"/>
      <c r="I547" s="315"/>
      <c r="J547" s="315"/>
      <c r="K547" s="315"/>
      <c r="L547" s="315"/>
      <c r="M547" s="315"/>
      <c r="N547" s="315"/>
      <c r="O547" s="315"/>
      <c r="P547" s="315"/>
      <c r="Q547" s="315"/>
      <c r="R547" s="315"/>
      <c r="S547" s="315"/>
      <c r="T547" s="315"/>
      <c r="U547" s="315"/>
      <c r="V547" s="315"/>
      <c r="W547" s="315"/>
      <c r="X547" s="315"/>
      <c r="Y547" s="315"/>
      <c r="Z547" s="315"/>
      <c r="AA547" s="315"/>
      <c r="AB547" s="315"/>
      <c r="AC547" s="315"/>
      <c r="AD547" s="315"/>
      <c r="AE547" s="315"/>
      <c r="AF547" s="315"/>
      <c r="AG547" s="315"/>
      <c r="AH547" s="315"/>
      <c r="AI547" s="315"/>
      <c r="AJ547" s="315"/>
      <c r="AK547" s="315"/>
      <c r="AL547" s="315"/>
      <c r="AM547" s="315"/>
      <c r="AN547" s="315"/>
    </row>
    <row r="548">
      <c r="A548" s="315"/>
      <c r="B548" s="315"/>
      <c r="C548" s="315"/>
      <c r="D548" s="315"/>
      <c r="E548" s="315"/>
      <c r="F548" s="315"/>
      <c r="G548" s="315"/>
      <c r="H548" s="315"/>
      <c r="I548" s="315"/>
      <c r="J548" s="315"/>
      <c r="K548" s="315"/>
      <c r="L548" s="315"/>
      <c r="M548" s="315"/>
      <c r="N548" s="315"/>
      <c r="O548" s="315"/>
      <c r="P548" s="315"/>
      <c r="Q548" s="315"/>
      <c r="R548" s="315"/>
      <c r="S548" s="315"/>
      <c r="T548" s="315"/>
      <c r="U548" s="315"/>
      <c r="V548" s="315"/>
      <c r="W548" s="315"/>
      <c r="X548" s="315"/>
      <c r="Y548" s="315"/>
      <c r="Z548" s="315"/>
      <c r="AA548" s="315"/>
      <c r="AB548" s="315"/>
      <c r="AC548" s="315"/>
      <c r="AD548" s="315"/>
      <c r="AE548" s="315"/>
      <c r="AF548" s="315"/>
      <c r="AG548" s="315"/>
      <c r="AH548" s="315"/>
      <c r="AI548" s="315"/>
      <c r="AJ548" s="315"/>
      <c r="AK548" s="315"/>
      <c r="AL548" s="315"/>
      <c r="AM548" s="315"/>
      <c r="AN548" s="315"/>
    </row>
    <row r="549">
      <c r="A549" s="315"/>
      <c r="B549" s="315"/>
      <c r="C549" s="315"/>
      <c r="D549" s="315"/>
      <c r="E549" s="315"/>
      <c r="F549" s="315"/>
      <c r="G549" s="315"/>
      <c r="H549" s="315"/>
      <c r="I549" s="315"/>
      <c r="J549" s="315"/>
      <c r="K549" s="315"/>
      <c r="L549" s="315"/>
      <c r="M549" s="315"/>
      <c r="N549" s="315"/>
      <c r="O549" s="315"/>
      <c r="P549" s="315"/>
      <c r="Q549" s="315"/>
      <c r="R549" s="315"/>
      <c r="S549" s="315"/>
      <c r="T549" s="315"/>
      <c r="U549" s="315"/>
      <c r="V549" s="315"/>
      <c r="W549" s="315"/>
      <c r="X549" s="315"/>
      <c r="Y549" s="315"/>
      <c r="Z549" s="315"/>
      <c r="AA549" s="315"/>
      <c r="AB549" s="315"/>
      <c r="AC549" s="315"/>
      <c r="AD549" s="315"/>
      <c r="AE549" s="315"/>
      <c r="AF549" s="315"/>
      <c r="AG549" s="315"/>
      <c r="AH549" s="315"/>
      <c r="AI549" s="315"/>
      <c r="AJ549" s="315"/>
      <c r="AK549" s="315"/>
      <c r="AL549" s="315"/>
      <c r="AM549" s="315"/>
      <c r="AN549" s="315"/>
    </row>
    <row r="550">
      <c r="A550" s="315"/>
      <c r="B550" s="315"/>
      <c r="C550" s="315"/>
      <c r="D550" s="315"/>
      <c r="E550" s="315"/>
      <c r="F550" s="315"/>
      <c r="G550" s="315"/>
      <c r="H550" s="315"/>
      <c r="I550" s="315"/>
      <c r="J550" s="315"/>
      <c r="K550" s="315"/>
      <c r="L550" s="315"/>
      <c r="M550" s="315"/>
      <c r="N550" s="315"/>
      <c r="O550" s="315"/>
      <c r="P550" s="315"/>
      <c r="Q550" s="315"/>
      <c r="R550" s="315"/>
      <c r="S550" s="315"/>
      <c r="T550" s="315"/>
      <c r="U550" s="315"/>
      <c r="V550" s="315"/>
      <c r="W550" s="315"/>
      <c r="X550" s="315"/>
      <c r="Y550" s="315"/>
      <c r="Z550" s="315"/>
      <c r="AA550" s="315"/>
      <c r="AB550" s="315"/>
      <c r="AC550" s="315"/>
      <c r="AD550" s="315"/>
      <c r="AE550" s="315"/>
      <c r="AF550" s="315"/>
      <c r="AG550" s="315"/>
      <c r="AH550" s="315"/>
      <c r="AI550" s="315"/>
      <c r="AJ550" s="315"/>
      <c r="AK550" s="315"/>
      <c r="AL550" s="315"/>
      <c r="AM550" s="315"/>
      <c r="AN550" s="315"/>
    </row>
    <row r="551">
      <c r="A551" s="315"/>
      <c r="B551" s="315"/>
      <c r="C551" s="315"/>
      <c r="D551" s="315"/>
      <c r="E551" s="315"/>
      <c r="F551" s="315"/>
      <c r="G551" s="315"/>
      <c r="H551" s="315"/>
      <c r="I551" s="315"/>
      <c r="J551" s="315"/>
      <c r="K551" s="315"/>
      <c r="L551" s="315"/>
      <c r="M551" s="315"/>
      <c r="N551" s="315"/>
      <c r="O551" s="315"/>
      <c r="P551" s="315"/>
      <c r="Q551" s="315"/>
      <c r="R551" s="315"/>
      <c r="S551" s="315"/>
      <c r="T551" s="315"/>
      <c r="U551" s="315"/>
      <c r="V551" s="315"/>
      <c r="W551" s="315"/>
      <c r="X551" s="315"/>
      <c r="Y551" s="315"/>
      <c r="Z551" s="315"/>
      <c r="AA551" s="315"/>
      <c r="AB551" s="315"/>
      <c r="AC551" s="315"/>
      <c r="AD551" s="315"/>
      <c r="AE551" s="315"/>
      <c r="AF551" s="315"/>
      <c r="AG551" s="315"/>
      <c r="AH551" s="315"/>
      <c r="AI551" s="315"/>
      <c r="AJ551" s="315"/>
      <c r="AK551" s="315"/>
      <c r="AL551" s="315"/>
      <c r="AM551" s="315"/>
      <c r="AN551" s="315"/>
    </row>
    <row r="552">
      <c r="A552" s="315"/>
      <c r="B552" s="315"/>
      <c r="C552" s="315"/>
      <c r="D552" s="315"/>
      <c r="E552" s="315"/>
      <c r="F552" s="315"/>
      <c r="G552" s="315"/>
      <c r="H552" s="315"/>
      <c r="I552" s="315"/>
      <c r="J552" s="315"/>
      <c r="K552" s="315"/>
      <c r="L552" s="315"/>
      <c r="M552" s="315"/>
      <c r="N552" s="315"/>
      <c r="O552" s="315"/>
      <c r="P552" s="315"/>
      <c r="Q552" s="315"/>
      <c r="R552" s="315"/>
      <c r="S552" s="315"/>
      <c r="T552" s="315"/>
      <c r="U552" s="315"/>
      <c r="V552" s="315"/>
      <c r="W552" s="315"/>
      <c r="X552" s="315"/>
      <c r="Y552" s="315"/>
      <c r="Z552" s="315"/>
      <c r="AA552" s="315"/>
      <c r="AB552" s="315"/>
      <c r="AC552" s="315"/>
      <c r="AD552" s="315"/>
      <c r="AE552" s="315"/>
      <c r="AF552" s="315"/>
      <c r="AG552" s="315"/>
      <c r="AH552" s="315"/>
      <c r="AI552" s="315"/>
      <c r="AJ552" s="315"/>
      <c r="AK552" s="315"/>
      <c r="AL552" s="315"/>
      <c r="AM552" s="315"/>
      <c r="AN552" s="315"/>
    </row>
    <row r="553">
      <c r="A553" s="315"/>
      <c r="B553" s="315"/>
      <c r="C553" s="315"/>
      <c r="D553" s="315"/>
      <c r="E553" s="315"/>
      <c r="F553" s="315"/>
      <c r="G553" s="315"/>
      <c r="H553" s="315"/>
      <c r="I553" s="315"/>
      <c r="J553" s="315"/>
      <c r="K553" s="315"/>
      <c r="L553" s="315"/>
      <c r="M553" s="315"/>
      <c r="N553" s="315"/>
      <c r="O553" s="315"/>
      <c r="P553" s="315"/>
      <c r="Q553" s="315"/>
      <c r="R553" s="315"/>
      <c r="S553" s="315"/>
      <c r="T553" s="315"/>
      <c r="U553" s="315"/>
      <c r="V553" s="315"/>
      <c r="W553" s="315"/>
      <c r="X553" s="315"/>
      <c r="Y553" s="315"/>
      <c r="Z553" s="315"/>
      <c r="AA553" s="315"/>
      <c r="AB553" s="315"/>
      <c r="AC553" s="315"/>
      <c r="AD553" s="315"/>
      <c r="AE553" s="315"/>
      <c r="AF553" s="315"/>
      <c r="AG553" s="315"/>
      <c r="AH553" s="315"/>
      <c r="AI553" s="315"/>
      <c r="AJ553" s="315"/>
      <c r="AK553" s="315"/>
      <c r="AL553" s="315"/>
      <c r="AM553" s="315"/>
      <c r="AN553" s="315"/>
    </row>
    <row r="554">
      <c r="A554" s="315"/>
      <c r="B554" s="315"/>
      <c r="C554" s="315"/>
      <c r="D554" s="315"/>
      <c r="E554" s="315"/>
      <c r="F554" s="315"/>
      <c r="G554" s="315"/>
      <c r="H554" s="315"/>
      <c r="I554" s="315"/>
      <c r="J554" s="315"/>
      <c r="K554" s="315"/>
      <c r="L554" s="315"/>
      <c r="M554" s="315"/>
      <c r="N554" s="315"/>
      <c r="O554" s="315"/>
      <c r="P554" s="315"/>
      <c r="Q554" s="315"/>
      <c r="R554" s="315"/>
      <c r="S554" s="315"/>
      <c r="T554" s="315"/>
      <c r="U554" s="315"/>
      <c r="V554" s="315"/>
      <c r="W554" s="315"/>
      <c r="X554" s="315"/>
      <c r="Y554" s="315"/>
      <c r="Z554" s="315"/>
      <c r="AA554" s="315"/>
      <c r="AB554" s="315"/>
      <c r="AC554" s="315"/>
      <c r="AD554" s="315"/>
      <c r="AE554" s="315"/>
      <c r="AF554" s="315"/>
      <c r="AG554" s="315"/>
      <c r="AH554" s="315"/>
      <c r="AI554" s="315"/>
      <c r="AJ554" s="315"/>
      <c r="AK554" s="315"/>
      <c r="AL554" s="315"/>
      <c r="AM554" s="315"/>
      <c r="AN554" s="315"/>
    </row>
    <row r="555">
      <c r="A555" s="315"/>
      <c r="B555" s="315"/>
      <c r="C555" s="315"/>
      <c r="D555" s="315"/>
      <c r="E555" s="315"/>
      <c r="F555" s="315"/>
      <c r="G555" s="315"/>
      <c r="H555" s="315"/>
      <c r="I555" s="315"/>
      <c r="J555" s="315"/>
      <c r="K555" s="315"/>
      <c r="L555" s="315"/>
      <c r="M555" s="315"/>
      <c r="N555" s="315"/>
      <c r="O555" s="315"/>
      <c r="P555" s="315"/>
      <c r="Q555" s="315"/>
      <c r="R555" s="315"/>
      <c r="S555" s="315"/>
      <c r="T555" s="315"/>
      <c r="U555" s="315"/>
      <c r="V555" s="315"/>
      <c r="W555" s="315"/>
      <c r="X555" s="315"/>
      <c r="Y555" s="315"/>
      <c r="Z555" s="315"/>
      <c r="AA555" s="315"/>
      <c r="AB555" s="315"/>
      <c r="AC555" s="315"/>
      <c r="AD555" s="315"/>
      <c r="AE555" s="315"/>
      <c r="AF555" s="315"/>
      <c r="AG555" s="315"/>
      <c r="AH555" s="315"/>
      <c r="AI555" s="315"/>
      <c r="AJ555" s="315"/>
      <c r="AK555" s="315"/>
      <c r="AL555" s="315"/>
      <c r="AM555" s="315"/>
      <c r="AN555" s="315"/>
    </row>
    <row r="556">
      <c r="A556" s="315"/>
      <c r="B556" s="315"/>
      <c r="C556" s="315"/>
      <c r="D556" s="315"/>
      <c r="E556" s="315"/>
      <c r="F556" s="315"/>
      <c r="G556" s="315"/>
      <c r="H556" s="315"/>
      <c r="I556" s="315"/>
      <c r="J556" s="315"/>
      <c r="K556" s="315"/>
      <c r="L556" s="315"/>
      <c r="M556" s="315"/>
      <c r="N556" s="315"/>
      <c r="O556" s="315"/>
      <c r="P556" s="315"/>
      <c r="Q556" s="315"/>
      <c r="R556" s="315"/>
      <c r="S556" s="315"/>
      <c r="T556" s="315"/>
      <c r="U556" s="315"/>
      <c r="V556" s="315"/>
      <c r="W556" s="315"/>
      <c r="X556" s="315"/>
      <c r="Y556" s="315"/>
      <c r="Z556" s="315"/>
      <c r="AA556" s="315"/>
      <c r="AB556" s="315"/>
      <c r="AC556" s="315"/>
      <c r="AD556" s="315"/>
      <c r="AE556" s="315"/>
      <c r="AF556" s="315"/>
      <c r="AG556" s="315"/>
      <c r="AH556" s="315"/>
      <c r="AI556" s="315"/>
      <c r="AJ556" s="315"/>
      <c r="AK556" s="315"/>
      <c r="AL556" s="315"/>
      <c r="AM556" s="315"/>
      <c r="AN556" s="315"/>
    </row>
    <row r="557">
      <c r="A557" s="315"/>
      <c r="B557" s="315"/>
      <c r="C557" s="315"/>
      <c r="D557" s="315"/>
      <c r="E557" s="315"/>
      <c r="F557" s="315"/>
      <c r="G557" s="315"/>
      <c r="H557" s="315"/>
      <c r="I557" s="315"/>
      <c r="J557" s="315"/>
      <c r="K557" s="315"/>
      <c r="L557" s="315"/>
      <c r="M557" s="315"/>
      <c r="N557" s="315"/>
      <c r="O557" s="315"/>
      <c r="P557" s="315"/>
      <c r="Q557" s="315"/>
      <c r="R557" s="315"/>
      <c r="S557" s="315"/>
      <c r="T557" s="315"/>
      <c r="U557" s="315"/>
      <c r="V557" s="315"/>
      <c r="W557" s="315"/>
      <c r="X557" s="315"/>
      <c r="Y557" s="315"/>
      <c r="Z557" s="315"/>
      <c r="AA557" s="315"/>
      <c r="AB557" s="315"/>
      <c r="AC557" s="315"/>
      <c r="AD557" s="315"/>
      <c r="AE557" s="315"/>
      <c r="AF557" s="315"/>
      <c r="AG557" s="315"/>
      <c r="AH557" s="315"/>
      <c r="AI557" s="315"/>
      <c r="AJ557" s="315"/>
      <c r="AK557" s="315"/>
      <c r="AL557" s="315"/>
      <c r="AM557" s="315"/>
      <c r="AN557" s="315"/>
    </row>
    <row r="558">
      <c r="A558" s="315"/>
      <c r="B558" s="315"/>
      <c r="C558" s="315"/>
      <c r="D558" s="315"/>
      <c r="E558" s="315"/>
      <c r="F558" s="315"/>
      <c r="G558" s="315"/>
      <c r="H558" s="315"/>
      <c r="I558" s="315"/>
      <c r="J558" s="315"/>
      <c r="K558" s="315"/>
      <c r="L558" s="315"/>
      <c r="M558" s="315"/>
      <c r="N558" s="315"/>
      <c r="O558" s="315"/>
      <c r="P558" s="315"/>
      <c r="Q558" s="315"/>
      <c r="R558" s="315"/>
      <c r="S558" s="315"/>
      <c r="T558" s="315"/>
      <c r="U558" s="315"/>
      <c r="V558" s="315"/>
      <c r="W558" s="315"/>
      <c r="X558" s="315"/>
      <c r="Y558" s="315"/>
      <c r="Z558" s="315"/>
      <c r="AA558" s="315"/>
      <c r="AB558" s="315"/>
      <c r="AC558" s="315"/>
      <c r="AD558" s="315"/>
      <c r="AE558" s="315"/>
      <c r="AF558" s="315"/>
      <c r="AG558" s="315"/>
      <c r="AH558" s="315"/>
      <c r="AI558" s="315"/>
      <c r="AJ558" s="315"/>
      <c r="AK558" s="315"/>
      <c r="AL558" s="315"/>
      <c r="AM558" s="315"/>
      <c r="AN558" s="315"/>
    </row>
    <row r="559">
      <c r="A559" s="315"/>
      <c r="B559" s="315"/>
      <c r="C559" s="315"/>
      <c r="D559" s="315"/>
      <c r="E559" s="315"/>
      <c r="F559" s="315"/>
      <c r="G559" s="315"/>
      <c r="H559" s="315"/>
      <c r="I559" s="315"/>
      <c r="J559" s="315"/>
      <c r="K559" s="315"/>
      <c r="L559" s="315"/>
      <c r="M559" s="315"/>
      <c r="N559" s="315"/>
      <c r="O559" s="315"/>
      <c r="P559" s="315"/>
      <c r="Q559" s="315"/>
      <c r="R559" s="315"/>
      <c r="S559" s="315"/>
      <c r="T559" s="315"/>
      <c r="U559" s="315"/>
      <c r="V559" s="315"/>
      <c r="W559" s="315"/>
      <c r="X559" s="315"/>
      <c r="Y559" s="315"/>
      <c r="Z559" s="315"/>
      <c r="AA559" s="315"/>
      <c r="AB559" s="315"/>
      <c r="AC559" s="315"/>
      <c r="AD559" s="315"/>
      <c r="AE559" s="315"/>
      <c r="AF559" s="315"/>
      <c r="AG559" s="315"/>
      <c r="AH559" s="315"/>
      <c r="AI559" s="315"/>
      <c r="AJ559" s="315"/>
      <c r="AK559" s="315"/>
      <c r="AL559" s="315"/>
      <c r="AM559" s="315"/>
      <c r="AN559" s="315"/>
    </row>
    <row r="560">
      <c r="A560" s="315"/>
      <c r="B560" s="315"/>
      <c r="C560" s="315"/>
      <c r="D560" s="315"/>
      <c r="E560" s="315"/>
      <c r="F560" s="315"/>
      <c r="G560" s="315"/>
      <c r="H560" s="315"/>
      <c r="I560" s="315"/>
      <c r="J560" s="315"/>
      <c r="K560" s="315"/>
      <c r="L560" s="315"/>
      <c r="M560" s="315"/>
      <c r="N560" s="315"/>
      <c r="O560" s="315"/>
      <c r="P560" s="315"/>
      <c r="Q560" s="315"/>
      <c r="R560" s="315"/>
      <c r="S560" s="315"/>
      <c r="T560" s="315"/>
      <c r="U560" s="315"/>
      <c r="V560" s="315"/>
      <c r="W560" s="315"/>
      <c r="X560" s="315"/>
      <c r="Y560" s="315"/>
      <c r="Z560" s="315"/>
      <c r="AA560" s="315"/>
      <c r="AB560" s="315"/>
      <c r="AC560" s="315"/>
      <c r="AD560" s="315"/>
      <c r="AE560" s="315"/>
      <c r="AF560" s="315"/>
      <c r="AG560" s="315"/>
      <c r="AH560" s="315"/>
      <c r="AI560" s="315"/>
      <c r="AJ560" s="315"/>
      <c r="AK560" s="315"/>
      <c r="AL560" s="315"/>
      <c r="AM560" s="315"/>
      <c r="AN560" s="315"/>
    </row>
    <row r="561">
      <c r="A561" s="315"/>
      <c r="B561" s="315"/>
      <c r="C561" s="315"/>
      <c r="D561" s="315"/>
      <c r="E561" s="315"/>
      <c r="F561" s="315"/>
      <c r="G561" s="315"/>
      <c r="H561" s="315"/>
      <c r="I561" s="315"/>
      <c r="J561" s="315"/>
      <c r="K561" s="315"/>
      <c r="L561" s="315"/>
      <c r="M561" s="315"/>
      <c r="N561" s="315"/>
      <c r="O561" s="315"/>
      <c r="P561" s="315"/>
      <c r="Q561" s="315"/>
      <c r="R561" s="315"/>
      <c r="S561" s="315"/>
      <c r="T561" s="315"/>
      <c r="U561" s="315"/>
      <c r="V561" s="315"/>
      <c r="W561" s="315"/>
      <c r="X561" s="315"/>
      <c r="Y561" s="315"/>
      <c r="Z561" s="315"/>
      <c r="AA561" s="315"/>
      <c r="AB561" s="315"/>
      <c r="AC561" s="315"/>
      <c r="AD561" s="315"/>
      <c r="AE561" s="315"/>
      <c r="AF561" s="315"/>
      <c r="AG561" s="315"/>
      <c r="AH561" s="315"/>
      <c r="AI561" s="315"/>
      <c r="AJ561" s="315"/>
      <c r="AK561" s="315"/>
      <c r="AL561" s="315"/>
      <c r="AM561" s="315"/>
      <c r="AN561" s="315"/>
    </row>
    <row r="562">
      <c r="A562" s="315"/>
      <c r="B562" s="315"/>
      <c r="C562" s="315"/>
      <c r="D562" s="315"/>
      <c r="E562" s="315"/>
      <c r="F562" s="315"/>
      <c r="G562" s="315"/>
      <c r="H562" s="315"/>
      <c r="I562" s="315"/>
      <c r="J562" s="315"/>
      <c r="K562" s="315"/>
      <c r="L562" s="315"/>
      <c r="M562" s="315"/>
      <c r="N562" s="315"/>
      <c r="O562" s="315"/>
      <c r="P562" s="315"/>
      <c r="Q562" s="315"/>
      <c r="R562" s="315"/>
      <c r="S562" s="315"/>
      <c r="T562" s="315"/>
      <c r="U562" s="315"/>
      <c r="V562" s="315"/>
      <c r="W562" s="315"/>
      <c r="X562" s="315"/>
      <c r="Y562" s="315"/>
      <c r="Z562" s="315"/>
      <c r="AA562" s="315"/>
      <c r="AB562" s="315"/>
      <c r="AC562" s="315"/>
      <c r="AD562" s="315"/>
      <c r="AE562" s="315"/>
      <c r="AF562" s="315"/>
      <c r="AG562" s="315"/>
      <c r="AH562" s="315"/>
      <c r="AI562" s="315"/>
      <c r="AJ562" s="315"/>
      <c r="AK562" s="315"/>
      <c r="AL562" s="315"/>
      <c r="AM562" s="315"/>
      <c r="AN562" s="315"/>
    </row>
    <row r="563">
      <c r="A563" s="315"/>
      <c r="B563" s="315"/>
      <c r="C563" s="315"/>
      <c r="D563" s="315"/>
      <c r="E563" s="315"/>
      <c r="F563" s="315"/>
      <c r="G563" s="315"/>
      <c r="H563" s="315"/>
      <c r="I563" s="315"/>
      <c r="J563" s="315"/>
      <c r="K563" s="315"/>
      <c r="L563" s="315"/>
      <c r="M563" s="315"/>
      <c r="N563" s="315"/>
      <c r="O563" s="315"/>
      <c r="P563" s="315"/>
      <c r="Q563" s="315"/>
      <c r="R563" s="315"/>
      <c r="S563" s="315"/>
      <c r="T563" s="315"/>
      <c r="U563" s="315"/>
      <c r="V563" s="315"/>
      <c r="W563" s="315"/>
      <c r="X563" s="315"/>
      <c r="Y563" s="315"/>
      <c r="Z563" s="315"/>
      <c r="AA563" s="315"/>
      <c r="AB563" s="315"/>
      <c r="AC563" s="315"/>
      <c r="AD563" s="315"/>
      <c r="AE563" s="315"/>
      <c r="AF563" s="315"/>
      <c r="AG563" s="315"/>
      <c r="AH563" s="315"/>
      <c r="AI563" s="315"/>
      <c r="AJ563" s="315"/>
      <c r="AK563" s="315"/>
      <c r="AL563" s="315"/>
      <c r="AM563" s="315"/>
      <c r="AN563" s="315"/>
    </row>
    <row r="564">
      <c r="A564" s="315"/>
      <c r="B564" s="315"/>
      <c r="C564" s="315"/>
      <c r="D564" s="315"/>
      <c r="E564" s="315"/>
      <c r="F564" s="315"/>
      <c r="G564" s="315"/>
      <c r="H564" s="315"/>
      <c r="I564" s="315"/>
      <c r="J564" s="315"/>
      <c r="K564" s="315"/>
      <c r="L564" s="315"/>
      <c r="M564" s="315"/>
      <c r="N564" s="315"/>
      <c r="O564" s="315"/>
      <c r="P564" s="315"/>
      <c r="Q564" s="315"/>
      <c r="R564" s="315"/>
      <c r="S564" s="315"/>
      <c r="T564" s="315"/>
      <c r="U564" s="315"/>
      <c r="V564" s="315"/>
      <c r="W564" s="315"/>
      <c r="X564" s="315"/>
      <c r="Y564" s="315"/>
      <c r="Z564" s="315"/>
      <c r="AA564" s="315"/>
      <c r="AB564" s="315"/>
      <c r="AC564" s="315"/>
      <c r="AD564" s="315"/>
      <c r="AE564" s="315"/>
      <c r="AF564" s="315"/>
      <c r="AG564" s="315"/>
      <c r="AH564" s="315"/>
      <c r="AI564" s="315"/>
      <c r="AJ564" s="315"/>
      <c r="AK564" s="315"/>
      <c r="AL564" s="315"/>
      <c r="AM564" s="315"/>
      <c r="AN564" s="315"/>
    </row>
    <row r="565">
      <c r="A565" s="315"/>
      <c r="B565" s="315"/>
      <c r="C565" s="315"/>
      <c r="D565" s="315"/>
      <c r="E565" s="315"/>
      <c r="F565" s="315"/>
      <c r="G565" s="315"/>
      <c r="H565" s="315"/>
      <c r="I565" s="315"/>
      <c r="J565" s="315"/>
      <c r="K565" s="315"/>
      <c r="L565" s="315"/>
      <c r="M565" s="315"/>
      <c r="N565" s="315"/>
      <c r="O565" s="315"/>
      <c r="P565" s="315"/>
      <c r="Q565" s="315"/>
      <c r="R565" s="315"/>
      <c r="S565" s="315"/>
      <c r="T565" s="315"/>
      <c r="U565" s="315"/>
      <c r="V565" s="315"/>
      <c r="W565" s="315"/>
      <c r="X565" s="315"/>
      <c r="Y565" s="315"/>
      <c r="Z565" s="315"/>
      <c r="AA565" s="315"/>
      <c r="AB565" s="315"/>
      <c r="AC565" s="315"/>
      <c r="AD565" s="315"/>
      <c r="AE565" s="315"/>
      <c r="AF565" s="315"/>
      <c r="AG565" s="315"/>
      <c r="AH565" s="315"/>
      <c r="AI565" s="315"/>
      <c r="AJ565" s="315"/>
      <c r="AK565" s="315"/>
      <c r="AL565" s="315"/>
      <c r="AM565" s="315"/>
      <c r="AN565" s="315"/>
    </row>
    <row r="566">
      <c r="A566" s="315"/>
      <c r="B566" s="315"/>
      <c r="C566" s="315"/>
      <c r="D566" s="315"/>
      <c r="E566" s="315"/>
      <c r="F566" s="315"/>
      <c r="G566" s="315"/>
      <c r="H566" s="315"/>
      <c r="I566" s="315"/>
      <c r="J566" s="315"/>
      <c r="K566" s="315"/>
      <c r="L566" s="315"/>
      <c r="M566" s="315"/>
      <c r="N566" s="315"/>
      <c r="O566" s="315"/>
      <c r="P566" s="315"/>
      <c r="Q566" s="315"/>
      <c r="R566" s="315"/>
      <c r="S566" s="315"/>
      <c r="T566" s="315"/>
      <c r="U566" s="315"/>
      <c r="V566" s="315"/>
      <c r="W566" s="315"/>
      <c r="X566" s="315"/>
      <c r="Y566" s="315"/>
      <c r="Z566" s="315"/>
      <c r="AA566" s="315"/>
      <c r="AB566" s="315"/>
      <c r="AC566" s="315"/>
      <c r="AD566" s="315"/>
      <c r="AE566" s="315"/>
      <c r="AF566" s="315"/>
      <c r="AG566" s="315"/>
      <c r="AH566" s="315"/>
      <c r="AI566" s="315"/>
      <c r="AJ566" s="315"/>
      <c r="AK566" s="315"/>
      <c r="AL566" s="315"/>
      <c r="AM566" s="315"/>
      <c r="AN566" s="315"/>
    </row>
    <row r="567">
      <c r="A567" s="315"/>
      <c r="B567" s="315"/>
      <c r="C567" s="315"/>
      <c r="D567" s="315"/>
      <c r="E567" s="315"/>
      <c r="F567" s="315"/>
      <c r="G567" s="315"/>
      <c r="H567" s="315"/>
      <c r="I567" s="315"/>
      <c r="J567" s="315"/>
      <c r="K567" s="315"/>
      <c r="L567" s="315"/>
      <c r="M567" s="315"/>
      <c r="N567" s="315"/>
      <c r="O567" s="315"/>
      <c r="P567" s="315"/>
      <c r="Q567" s="315"/>
      <c r="R567" s="315"/>
      <c r="S567" s="315"/>
      <c r="T567" s="315"/>
      <c r="U567" s="315"/>
      <c r="V567" s="315"/>
      <c r="W567" s="315"/>
      <c r="X567" s="315"/>
      <c r="Y567" s="315"/>
      <c r="Z567" s="315"/>
      <c r="AA567" s="315"/>
      <c r="AB567" s="315"/>
      <c r="AC567" s="315"/>
      <c r="AD567" s="315"/>
      <c r="AE567" s="315"/>
      <c r="AF567" s="315"/>
      <c r="AG567" s="315"/>
      <c r="AH567" s="315"/>
      <c r="AI567" s="315"/>
      <c r="AJ567" s="315"/>
      <c r="AK567" s="315"/>
      <c r="AL567" s="315"/>
      <c r="AM567" s="315"/>
      <c r="AN567" s="315"/>
    </row>
    <row r="568">
      <c r="A568" s="315"/>
      <c r="B568" s="315"/>
      <c r="C568" s="315"/>
      <c r="D568" s="315"/>
      <c r="E568" s="315"/>
      <c r="F568" s="315"/>
      <c r="G568" s="315"/>
      <c r="H568" s="315"/>
      <c r="I568" s="315"/>
      <c r="J568" s="315"/>
      <c r="K568" s="315"/>
      <c r="L568" s="315"/>
      <c r="M568" s="315"/>
      <c r="N568" s="315"/>
      <c r="O568" s="315"/>
      <c r="P568" s="315"/>
      <c r="Q568" s="315"/>
      <c r="R568" s="315"/>
      <c r="S568" s="315"/>
      <c r="T568" s="315"/>
      <c r="U568" s="315"/>
      <c r="V568" s="315"/>
      <c r="W568" s="315"/>
      <c r="X568" s="315"/>
      <c r="Y568" s="315"/>
      <c r="Z568" s="315"/>
      <c r="AA568" s="315"/>
      <c r="AB568" s="315"/>
      <c r="AC568" s="315"/>
      <c r="AD568" s="315"/>
      <c r="AE568" s="315"/>
      <c r="AF568" s="315"/>
      <c r="AG568" s="315"/>
      <c r="AH568" s="315"/>
      <c r="AI568" s="315"/>
      <c r="AJ568" s="315"/>
      <c r="AK568" s="315"/>
      <c r="AL568" s="315"/>
      <c r="AM568" s="315"/>
      <c r="AN568" s="315"/>
    </row>
    <row r="569">
      <c r="A569" s="315"/>
      <c r="B569" s="315"/>
      <c r="C569" s="315"/>
      <c r="D569" s="315"/>
      <c r="E569" s="315"/>
      <c r="F569" s="315"/>
      <c r="G569" s="315"/>
      <c r="H569" s="315"/>
      <c r="I569" s="315"/>
      <c r="J569" s="315"/>
      <c r="K569" s="315"/>
      <c r="L569" s="315"/>
      <c r="M569" s="315"/>
      <c r="N569" s="315"/>
      <c r="O569" s="315"/>
      <c r="P569" s="315"/>
      <c r="Q569" s="315"/>
      <c r="R569" s="315"/>
      <c r="S569" s="315"/>
      <c r="T569" s="315"/>
      <c r="U569" s="315"/>
      <c r="V569" s="315"/>
      <c r="W569" s="315"/>
      <c r="X569" s="315"/>
      <c r="Y569" s="315"/>
      <c r="Z569" s="315"/>
      <c r="AA569" s="315"/>
      <c r="AB569" s="315"/>
      <c r="AC569" s="315"/>
      <c r="AD569" s="315"/>
      <c r="AE569" s="315"/>
      <c r="AF569" s="315"/>
      <c r="AG569" s="315"/>
      <c r="AH569" s="315"/>
      <c r="AI569" s="315"/>
      <c r="AJ569" s="315"/>
      <c r="AK569" s="315"/>
      <c r="AL569" s="315"/>
      <c r="AM569" s="315"/>
      <c r="AN569" s="315"/>
    </row>
    <row r="570">
      <c r="A570" s="315"/>
      <c r="B570" s="315"/>
      <c r="C570" s="315"/>
      <c r="D570" s="315"/>
      <c r="E570" s="315"/>
      <c r="F570" s="315"/>
      <c r="G570" s="315"/>
      <c r="H570" s="315"/>
      <c r="I570" s="315"/>
      <c r="J570" s="315"/>
      <c r="K570" s="315"/>
      <c r="L570" s="315"/>
      <c r="M570" s="315"/>
      <c r="N570" s="315"/>
      <c r="O570" s="315"/>
      <c r="P570" s="315"/>
      <c r="Q570" s="315"/>
      <c r="R570" s="315"/>
      <c r="S570" s="315"/>
      <c r="T570" s="315"/>
      <c r="U570" s="315"/>
      <c r="V570" s="315"/>
      <c r="W570" s="315"/>
      <c r="X570" s="315"/>
      <c r="Y570" s="315"/>
      <c r="Z570" s="315"/>
      <c r="AA570" s="315"/>
      <c r="AB570" s="315"/>
      <c r="AC570" s="315"/>
      <c r="AD570" s="315"/>
      <c r="AE570" s="315"/>
      <c r="AF570" s="315"/>
      <c r="AG570" s="315"/>
      <c r="AH570" s="315"/>
      <c r="AI570" s="315"/>
      <c r="AJ570" s="315"/>
      <c r="AK570" s="315"/>
      <c r="AL570" s="315"/>
      <c r="AM570" s="315"/>
      <c r="AN570" s="315"/>
    </row>
    <row r="571">
      <c r="A571" s="315"/>
      <c r="B571" s="315"/>
      <c r="C571" s="315"/>
      <c r="D571" s="315"/>
      <c r="E571" s="315"/>
      <c r="F571" s="315"/>
      <c r="G571" s="315"/>
      <c r="H571" s="315"/>
      <c r="I571" s="315"/>
      <c r="J571" s="315"/>
      <c r="K571" s="315"/>
      <c r="L571" s="315"/>
      <c r="M571" s="315"/>
      <c r="N571" s="315"/>
      <c r="O571" s="315"/>
      <c r="P571" s="315"/>
      <c r="Q571" s="315"/>
      <c r="R571" s="315"/>
      <c r="S571" s="315"/>
      <c r="T571" s="315"/>
      <c r="U571" s="315"/>
      <c r="V571" s="315"/>
      <c r="W571" s="315"/>
      <c r="X571" s="315"/>
      <c r="Y571" s="315"/>
      <c r="Z571" s="315"/>
      <c r="AA571" s="315"/>
      <c r="AB571" s="315"/>
      <c r="AC571" s="315"/>
      <c r="AD571" s="315"/>
      <c r="AE571" s="315"/>
      <c r="AF571" s="315"/>
      <c r="AG571" s="315"/>
      <c r="AH571" s="315"/>
      <c r="AI571" s="315"/>
      <c r="AJ571" s="315"/>
      <c r="AK571" s="315"/>
      <c r="AL571" s="315"/>
      <c r="AM571" s="315"/>
      <c r="AN571" s="315"/>
    </row>
    <row r="572">
      <c r="A572" s="315"/>
      <c r="B572" s="315"/>
      <c r="C572" s="315"/>
      <c r="D572" s="315"/>
      <c r="E572" s="315"/>
      <c r="F572" s="315"/>
      <c r="G572" s="315"/>
      <c r="H572" s="315"/>
      <c r="I572" s="315"/>
      <c r="J572" s="315"/>
      <c r="K572" s="315"/>
      <c r="L572" s="315"/>
      <c r="M572" s="315"/>
      <c r="N572" s="315"/>
      <c r="O572" s="315"/>
      <c r="P572" s="315"/>
      <c r="Q572" s="315"/>
      <c r="R572" s="315"/>
      <c r="S572" s="315"/>
      <c r="T572" s="315"/>
      <c r="U572" s="315"/>
      <c r="V572" s="315"/>
      <c r="W572" s="315"/>
      <c r="X572" s="315"/>
      <c r="Y572" s="315"/>
      <c r="Z572" s="315"/>
      <c r="AA572" s="315"/>
      <c r="AB572" s="315"/>
      <c r="AC572" s="315"/>
      <c r="AD572" s="315"/>
      <c r="AE572" s="315"/>
      <c r="AF572" s="315"/>
      <c r="AG572" s="315"/>
      <c r="AH572" s="315"/>
      <c r="AI572" s="315"/>
      <c r="AJ572" s="315"/>
      <c r="AK572" s="315"/>
      <c r="AL572" s="315"/>
      <c r="AM572" s="315"/>
      <c r="AN572" s="315"/>
    </row>
    <row r="573">
      <c r="A573" s="315"/>
      <c r="B573" s="315"/>
      <c r="C573" s="315"/>
      <c r="D573" s="315"/>
      <c r="E573" s="315"/>
      <c r="F573" s="315"/>
      <c r="G573" s="315"/>
      <c r="H573" s="315"/>
      <c r="I573" s="315"/>
      <c r="J573" s="315"/>
      <c r="K573" s="315"/>
      <c r="L573" s="315"/>
      <c r="M573" s="315"/>
      <c r="N573" s="315"/>
      <c r="O573" s="315"/>
      <c r="P573" s="315"/>
      <c r="Q573" s="315"/>
      <c r="R573" s="315"/>
      <c r="S573" s="315"/>
      <c r="T573" s="315"/>
      <c r="U573" s="315"/>
      <c r="V573" s="315"/>
      <c r="W573" s="315"/>
      <c r="X573" s="315"/>
      <c r="Y573" s="315"/>
      <c r="Z573" s="315"/>
      <c r="AA573" s="315"/>
      <c r="AB573" s="315"/>
      <c r="AC573" s="315"/>
      <c r="AD573" s="315"/>
      <c r="AE573" s="315"/>
      <c r="AF573" s="315"/>
      <c r="AG573" s="315"/>
      <c r="AH573" s="315"/>
      <c r="AI573" s="315"/>
      <c r="AJ573" s="315"/>
      <c r="AK573" s="315"/>
      <c r="AL573" s="315"/>
      <c r="AM573" s="315"/>
      <c r="AN573" s="315"/>
    </row>
    <row r="574">
      <c r="A574" s="315"/>
      <c r="B574" s="315"/>
      <c r="C574" s="315"/>
      <c r="D574" s="315"/>
      <c r="E574" s="315"/>
      <c r="F574" s="315"/>
      <c r="G574" s="315"/>
      <c r="H574" s="315"/>
      <c r="I574" s="315"/>
      <c r="J574" s="315"/>
      <c r="K574" s="315"/>
      <c r="L574" s="315"/>
      <c r="M574" s="315"/>
      <c r="N574" s="315"/>
      <c r="O574" s="315"/>
      <c r="P574" s="315"/>
      <c r="Q574" s="315"/>
      <c r="R574" s="315"/>
      <c r="S574" s="315"/>
      <c r="T574" s="315"/>
      <c r="U574" s="315"/>
      <c r="V574" s="315"/>
      <c r="W574" s="315"/>
      <c r="X574" s="315"/>
      <c r="Y574" s="315"/>
      <c r="Z574" s="315"/>
      <c r="AA574" s="315"/>
      <c r="AB574" s="315"/>
      <c r="AC574" s="315"/>
      <c r="AD574" s="315"/>
      <c r="AE574" s="315"/>
      <c r="AF574" s="315"/>
      <c r="AG574" s="315"/>
      <c r="AH574" s="315"/>
      <c r="AI574" s="315"/>
      <c r="AJ574" s="315"/>
      <c r="AK574" s="315"/>
      <c r="AL574" s="315"/>
      <c r="AM574" s="315"/>
      <c r="AN574" s="315"/>
    </row>
    <row r="575">
      <c r="A575" s="315"/>
      <c r="B575" s="315"/>
      <c r="C575" s="315"/>
      <c r="D575" s="315"/>
      <c r="E575" s="315"/>
      <c r="F575" s="315"/>
      <c r="G575" s="315"/>
      <c r="H575" s="315"/>
      <c r="I575" s="315"/>
      <c r="J575" s="315"/>
      <c r="K575" s="315"/>
      <c r="L575" s="315"/>
      <c r="M575" s="315"/>
      <c r="N575" s="315"/>
      <c r="O575" s="315"/>
      <c r="P575" s="315"/>
      <c r="Q575" s="315"/>
      <c r="R575" s="315"/>
      <c r="S575" s="315"/>
      <c r="T575" s="315"/>
      <c r="U575" s="315"/>
      <c r="V575" s="315"/>
      <c r="W575" s="315"/>
      <c r="X575" s="315"/>
      <c r="Y575" s="315"/>
      <c r="Z575" s="315"/>
      <c r="AA575" s="315"/>
      <c r="AB575" s="315"/>
      <c r="AC575" s="315"/>
      <c r="AD575" s="315"/>
      <c r="AE575" s="315"/>
      <c r="AF575" s="315"/>
      <c r="AG575" s="315"/>
      <c r="AH575" s="315"/>
      <c r="AI575" s="315"/>
      <c r="AJ575" s="315"/>
      <c r="AK575" s="315"/>
      <c r="AL575" s="315"/>
      <c r="AM575" s="315"/>
      <c r="AN575" s="315"/>
    </row>
    <row r="576">
      <c r="A576" s="315"/>
      <c r="B576" s="315"/>
      <c r="C576" s="315"/>
      <c r="D576" s="315"/>
      <c r="E576" s="315"/>
      <c r="F576" s="315"/>
      <c r="G576" s="315"/>
      <c r="H576" s="315"/>
      <c r="I576" s="315"/>
      <c r="J576" s="315"/>
      <c r="K576" s="315"/>
      <c r="L576" s="315"/>
      <c r="M576" s="315"/>
      <c r="N576" s="315"/>
      <c r="O576" s="315"/>
      <c r="P576" s="315"/>
      <c r="Q576" s="315"/>
      <c r="R576" s="315"/>
      <c r="S576" s="315"/>
      <c r="T576" s="315"/>
      <c r="U576" s="315"/>
      <c r="V576" s="315"/>
      <c r="W576" s="315"/>
      <c r="X576" s="315"/>
      <c r="Y576" s="315"/>
      <c r="Z576" s="315"/>
      <c r="AA576" s="315"/>
      <c r="AB576" s="315"/>
      <c r="AC576" s="315"/>
      <c r="AD576" s="315"/>
      <c r="AE576" s="315"/>
      <c r="AF576" s="315"/>
      <c r="AG576" s="315"/>
      <c r="AH576" s="315"/>
      <c r="AI576" s="315"/>
      <c r="AJ576" s="315"/>
      <c r="AK576" s="315"/>
      <c r="AL576" s="315"/>
      <c r="AM576" s="315"/>
      <c r="AN576" s="315"/>
    </row>
    <row r="577">
      <c r="A577" s="315"/>
      <c r="B577" s="315"/>
      <c r="C577" s="315"/>
      <c r="D577" s="315"/>
      <c r="E577" s="315"/>
      <c r="F577" s="315"/>
      <c r="G577" s="315"/>
      <c r="H577" s="315"/>
      <c r="I577" s="315"/>
      <c r="J577" s="315"/>
      <c r="K577" s="315"/>
      <c r="L577" s="315"/>
      <c r="M577" s="315"/>
      <c r="N577" s="315"/>
      <c r="O577" s="315"/>
      <c r="P577" s="315"/>
      <c r="Q577" s="315"/>
      <c r="R577" s="315"/>
      <c r="S577" s="315"/>
      <c r="T577" s="315"/>
      <c r="U577" s="315"/>
      <c r="V577" s="315"/>
      <c r="W577" s="315"/>
      <c r="X577" s="315"/>
      <c r="Y577" s="315"/>
      <c r="Z577" s="315"/>
      <c r="AA577" s="315"/>
      <c r="AB577" s="315"/>
      <c r="AC577" s="315"/>
      <c r="AD577" s="315"/>
      <c r="AE577" s="315"/>
      <c r="AF577" s="315"/>
      <c r="AG577" s="315"/>
      <c r="AH577" s="315"/>
      <c r="AI577" s="315"/>
      <c r="AJ577" s="315"/>
      <c r="AK577" s="315"/>
      <c r="AL577" s="315"/>
      <c r="AM577" s="315"/>
      <c r="AN577" s="315"/>
    </row>
    <row r="578">
      <c r="A578" s="315"/>
      <c r="B578" s="315"/>
      <c r="C578" s="315"/>
      <c r="D578" s="315"/>
      <c r="E578" s="315"/>
      <c r="F578" s="315"/>
      <c r="G578" s="315"/>
      <c r="H578" s="315"/>
      <c r="I578" s="315"/>
      <c r="J578" s="315"/>
      <c r="K578" s="315"/>
      <c r="L578" s="315"/>
      <c r="M578" s="315"/>
      <c r="N578" s="315"/>
      <c r="O578" s="315"/>
      <c r="P578" s="315"/>
      <c r="Q578" s="315"/>
      <c r="R578" s="315"/>
      <c r="S578" s="315"/>
      <c r="T578" s="315"/>
      <c r="U578" s="315"/>
      <c r="V578" s="315"/>
      <c r="W578" s="315"/>
      <c r="X578" s="315"/>
      <c r="Y578" s="315"/>
      <c r="Z578" s="315"/>
      <c r="AA578" s="315"/>
      <c r="AB578" s="315"/>
      <c r="AC578" s="315"/>
      <c r="AD578" s="315"/>
      <c r="AE578" s="315"/>
      <c r="AF578" s="315"/>
      <c r="AG578" s="315"/>
      <c r="AH578" s="315"/>
      <c r="AI578" s="315"/>
      <c r="AJ578" s="315"/>
      <c r="AK578" s="315"/>
      <c r="AL578" s="315"/>
      <c r="AM578" s="315"/>
      <c r="AN578" s="315"/>
    </row>
    <row r="579">
      <c r="A579" s="315"/>
      <c r="B579" s="315"/>
      <c r="C579" s="315"/>
      <c r="D579" s="315"/>
      <c r="E579" s="315"/>
      <c r="F579" s="315"/>
      <c r="G579" s="315"/>
      <c r="H579" s="315"/>
      <c r="I579" s="315"/>
      <c r="J579" s="315"/>
      <c r="K579" s="315"/>
      <c r="L579" s="315"/>
      <c r="M579" s="315"/>
      <c r="N579" s="315"/>
      <c r="O579" s="315"/>
      <c r="P579" s="315"/>
      <c r="Q579" s="315"/>
      <c r="R579" s="315"/>
      <c r="S579" s="315"/>
      <c r="T579" s="315"/>
      <c r="U579" s="315"/>
      <c r="V579" s="315"/>
      <c r="W579" s="315"/>
      <c r="X579" s="315"/>
      <c r="Y579" s="315"/>
      <c r="Z579" s="315"/>
      <c r="AA579" s="315"/>
      <c r="AB579" s="315"/>
      <c r="AC579" s="315"/>
      <c r="AD579" s="315"/>
      <c r="AE579" s="315"/>
      <c r="AF579" s="315"/>
      <c r="AG579" s="315"/>
      <c r="AH579" s="315"/>
      <c r="AI579" s="315"/>
      <c r="AJ579" s="315"/>
      <c r="AK579" s="315"/>
      <c r="AL579" s="315"/>
      <c r="AM579" s="315"/>
      <c r="AN579" s="315"/>
    </row>
    <row r="580">
      <c r="A580" s="315"/>
      <c r="B580" s="315"/>
      <c r="C580" s="315"/>
      <c r="D580" s="315"/>
      <c r="E580" s="315"/>
      <c r="F580" s="315"/>
      <c r="G580" s="315"/>
      <c r="H580" s="315"/>
      <c r="I580" s="315"/>
      <c r="J580" s="315"/>
      <c r="K580" s="315"/>
      <c r="L580" s="315"/>
      <c r="M580" s="315"/>
      <c r="N580" s="315"/>
      <c r="O580" s="315"/>
      <c r="P580" s="315"/>
      <c r="Q580" s="315"/>
      <c r="R580" s="315"/>
      <c r="S580" s="315"/>
      <c r="T580" s="315"/>
      <c r="U580" s="315"/>
      <c r="V580" s="315"/>
      <c r="W580" s="315"/>
      <c r="X580" s="315"/>
      <c r="Y580" s="315"/>
      <c r="Z580" s="315"/>
      <c r="AA580" s="315"/>
      <c r="AB580" s="315"/>
      <c r="AC580" s="315"/>
      <c r="AD580" s="315"/>
      <c r="AE580" s="315"/>
      <c r="AF580" s="315"/>
      <c r="AG580" s="315"/>
      <c r="AH580" s="315"/>
      <c r="AI580" s="315"/>
      <c r="AJ580" s="315"/>
      <c r="AK580" s="315"/>
      <c r="AL580" s="315"/>
      <c r="AM580" s="315"/>
      <c r="AN580" s="315"/>
    </row>
    <row r="581">
      <c r="A581" s="315"/>
      <c r="B581" s="315"/>
      <c r="C581" s="315"/>
      <c r="D581" s="315"/>
      <c r="E581" s="315"/>
      <c r="F581" s="315"/>
      <c r="G581" s="315"/>
      <c r="H581" s="315"/>
      <c r="I581" s="315"/>
      <c r="J581" s="315"/>
      <c r="K581" s="315"/>
      <c r="L581" s="315"/>
      <c r="M581" s="315"/>
      <c r="N581" s="315"/>
      <c r="O581" s="315"/>
      <c r="P581" s="315"/>
      <c r="Q581" s="315"/>
      <c r="R581" s="315"/>
      <c r="S581" s="315"/>
      <c r="T581" s="315"/>
      <c r="U581" s="315"/>
      <c r="V581" s="315"/>
      <c r="W581" s="315"/>
      <c r="X581" s="315"/>
      <c r="Y581" s="315"/>
      <c r="Z581" s="315"/>
      <c r="AA581" s="315"/>
      <c r="AB581" s="315"/>
      <c r="AC581" s="315"/>
      <c r="AD581" s="315"/>
      <c r="AE581" s="315"/>
      <c r="AF581" s="315"/>
      <c r="AG581" s="315"/>
      <c r="AH581" s="315"/>
      <c r="AI581" s="315"/>
      <c r="AJ581" s="315"/>
      <c r="AK581" s="315"/>
      <c r="AL581" s="315"/>
      <c r="AM581" s="315"/>
      <c r="AN581" s="315"/>
    </row>
    <row r="582">
      <c r="A582" s="315"/>
      <c r="B582" s="315"/>
      <c r="C582" s="315"/>
      <c r="D582" s="315"/>
      <c r="E582" s="315"/>
      <c r="F582" s="315"/>
      <c r="G582" s="315"/>
      <c r="H582" s="315"/>
      <c r="I582" s="315"/>
      <c r="J582" s="315"/>
      <c r="K582" s="315"/>
      <c r="L582" s="315"/>
      <c r="M582" s="315"/>
      <c r="N582" s="315"/>
      <c r="O582" s="315"/>
      <c r="P582" s="315"/>
      <c r="Q582" s="315"/>
      <c r="R582" s="315"/>
      <c r="S582" s="315"/>
      <c r="T582" s="315"/>
      <c r="U582" s="315"/>
      <c r="V582" s="315"/>
      <c r="W582" s="315"/>
      <c r="X582" s="315"/>
      <c r="Y582" s="315"/>
      <c r="Z582" s="315"/>
      <c r="AA582" s="315"/>
      <c r="AB582" s="315"/>
      <c r="AC582" s="315"/>
      <c r="AD582" s="315"/>
      <c r="AE582" s="315"/>
      <c r="AF582" s="315"/>
      <c r="AG582" s="315"/>
      <c r="AH582" s="315"/>
      <c r="AI582" s="315"/>
      <c r="AJ582" s="315"/>
      <c r="AK582" s="315"/>
      <c r="AL582" s="315"/>
      <c r="AM582" s="315"/>
      <c r="AN582" s="315"/>
    </row>
    <row r="583">
      <c r="A583" s="315"/>
      <c r="B583" s="315"/>
      <c r="C583" s="315"/>
      <c r="D583" s="315"/>
      <c r="E583" s="315"/>
      <c r="F583" s="315"/>
      <c r="G583" s="315"/>
      <c r="H583" s="315"/>
      <c r="I583" s="315"/>
      <c r="J583" s="315"/>
      <c r="K583" s="315"/>
      <c r="L583" s="315"/>
      <c r="M583" s="315"/>
      <c r="N583" s="315"/>
      <c r="O583" s="315"/>
      <c r="P583" s="315"/>
      <c r="Q583" s="315"/>
      <c r="R583" s="315"/>
      <c r="S583" s="315"/>
      <c r="T583" s="315"/>
      <c r="U583" s="315"/>
      <c r="V583" s="315"/>
      <c r="W583" s="315"/>
      <c r="X583" s="315"/>
      <c r="Y583" s="315"/>
      <c r="Z583" s="315"/>
      <c r="AA583" s="315"/>
      <c r="AB583" s="315"/>
      <c r="AC583" s="315"/>
      <c r="AD583" s="315"/>
      <c r="AE583" s="315"/>
      <c r="AF583" s="315"/>
      <c r="AG583" s="315"/>
      <c r="AH583" s="315"/>
      <c r="AI583" s="315"/>
      <c r="AJ583" s="315"/>
      <c r="AK583" s="315"/>
      <c r="AL583" s="315"/>
      <c r="AM583" s="315"/>
      <c r="AN583" s="315"/>
    </row>
    <row r="584">
      <c r="A584" s="315"/>
      <c r="B584" s="315"/>
      <c r="C584" s="315"/>
      <c r="D584" s="315"/>
      <c r="E584" s="315"/>
      <c r="F584" s="315"/>
      <c r="G584" s="315"/>
      <c r="H584" s="315"/>
      <c r="I584" s="315"/>
      <c r="J584" s="315"/>
      <c r="K584" s="315"/>
      <c r="L584" s="315"/>
      <c r="M584" s="315"/>
      <c r="N584" s="315"/>
      <c r="O584" s="315"/>
      <c r="P584" s="315"/>
      <c r="Q584" s="315"/>
      <c r="R584" s="315"/>
      <c r="S584" s="315"/>
      <c r="T584" s="315"/>
      <c r="U584" s="315"/>
      <c r="V584" s="315"/>
      <c r="W584" s="315"/>
      <c r="X584" s="315"/>
      <c r="Y584" s="315"/>
      <c r="Z584" s="315"/>
      <c r="AA584" s="315"/>
      <c r="AB584" s="315"/>
      <c r="AC584" s="315"/>
      <c r="AD584" s="315"/>
      <c r="AE584" s="315"/>
      <c r="AF584" s="315"/>
      <c r="AG584" s="315"/>
      <c r="AH584" s="315"/>
      <c r="AI584" s="315"/>
      <c r="AJ584" s="315"/>
      <c r="AK584" s="315"/>
      <c r="AL584" s="315"/>
      <c r="AM584" s="315"/>
      <c r="AN584" s="315"/>
    </row>
    <row r="585">
      <c r="A585" s="315"/>
      <c r="B585" s="315"/>
      <c r="C585" s="315"/>
      <c r="D585" s="315"/>
      <c r="E585" s="315"/>
      <c r="F585" s="315"/>
      <c r="G585" s="315"/>
      <c r="H585" s="315"/>
      <c r="I585" s="315"/>
      <c r="J585" s="315"/>
      <c r="K585" s="315"/>
      <c r="L585" s="315"/>
      <c r="M585" s="315"/>
      <c r="N585" s="315"/>
      <c r="O585" s="315"/>
      <c r="P585" s="315"/>
      <c r="Q585" s="315"/>
      <c r="R585" s="315"/>
      <c r="S585" s="315"/>
      <c r="T585" s="315"/>
      <c r="U585" s="315"/>
      <c r="V585" s="315"/>
      <c r="W585" s="315"/>
      <c r="X585" s="315"/>
      <c r="Y585" s="315"/>
      <c r="Z585" s="315"/>
      <c r="AA585" s="315"/>
      <c r="AB585" s="315"/>
      <c r="AC585" s="315"/>
      <c r="AD585" s="315"/>
      <c r="AE585" s="315"/>
      <c r="AF585" s="315"/>
      <c r="AG585" s="315"/>
      <c r="AH585" s="315"/>
      <c r="AI585" s="315"/>
      <c r="AJ585" s="315"/>
      <c r="AK585" s="315"/>
      <c r="AL585" s="315"/>
      <c r="AM585" s="315"/>
      <c r="AN585" s="315"/>
    </row>
    <row r="586">
      <c r="A586" s="315"/>
      <c r="B586" s="315"/>
      <c r="C586" s="315"/>
      <c r="D586" s="315"/>
      <c r="E586" s="315"/>
      <c r="F586" s="315"/>
      <c r="G586" s="315"/>
      <c r="H586" s="315"/>
      <c r="I586" s="315"/>
      <c r="J586" s="315"/>
      <c r="K586" s="315"/>
      <c r="L586" s="315"/>
      <c r="M586" s="315"/>
      <c r="N586" s="315"/>
      <c r="O586" s="315"/>
      <c r="P586" s="315"/>
      <c r="Q586" s="315"/>
      <c r="R586" s="315"/>
      <c r="S586" s="315"/>
      <c r="T586" s="315"/>
      <c r="U586" s="315"/>
      <c r="V586" s="315"/>
      <c r="W586" s="315"/>
      <c r="X586" s="315"/>
      <c r="Y586" s="315"/>
      <c r="Z586" s="315"/>
      <c r="AA586" s="315"/>
      <c r="AB586" s="315"/>
      <c r="AC586" s="315"/>
      <c r="AD586" s="315"/>
      <c r="AE586" s="315"/>
      <c r="AF586" s="315"/>
      <c r="AG586" s="315"/>
      <c r="AH586" s="315"/>
      <c r="AI586" s="315"/>
      <c r="AJ586" s="315"/>
      <c r="AK586" s="315"/>
      <c r="AL586" s="315"/>
      <c r="AM586" s="315"/>
      <c r="AN586" s="315"/>
    </row>
    <row r="587">
      <c r="A587" s="315"/>
      <c r="B587" s="315"/>
      <c r="C587" s="315"/>
      <c r="D587" s="315"/>
      <c r="E587" s="315"/>
      <c r="F587" s="315"/>
      <c r="G587" s="315"/>
      <c r="H587" s="315"/>
      <c r="I587" s="315"/>
      <c r="J587" s="315"/>
      <c r="K587" s="315"/>
      <c r="L587" s="315"/>
      <c r="M587" s="315"/>
      <c r="N587" s="315"/>
      <c r="O587" s="315"/>
      <c r="P587" s="315"/>
      <c r="Q587" s="315"/>
      <c r="R587" s="315"/>
      <c r="S587" s="315"/>
      <c r="T587" s="315"/>
      <c r="U587" s="315"/>
      <c r="V587" s="315"/>
      <c r="W587" s="315"/>
      <c r="X587" s="315"/>
      <c r="Y587" s="315"/>
      <c r="Z587" s="315"/>
      <c r="AA587" s="315"/>
      <c r="AB587" s="315"/>
      <c r="AC587" s="315"/>
      <c r="AD587" s="315"/>
      <c r="AE587" s="315"/>
      <c r="AF587" s="315"/>
      <c r="AG587" s="315"/>
      <c r="AH587" s="315"/>
      <c r="AI587" s="315"/>
      <c r="AJ587" s="315"/>
      <c r="AK587" s="315"/>
      <c r="AL587" s="315"/>
      <c r="AM587" s="315"/>
      <c r="AN587" s="315"/>
    </row>
    <row r="588">
      <c r="A588" s="315"/>
      <c r="B588" s="315"/>
      <c r="C588" s="315"/>
      <c r="D588" s="315"/>
      <c r="E588" s="315"/>
      <c r="F588" s="315"/>
      <c r="G588" s="315"/>
      <c r="H588" s="315"/>
      <c r="I588" s="315"/>
      <c r="J588" s="315"/>
      <c r="K588" s="315"/>
      <c r="L588" s="315"/>
      <c r="M588" s="315"/>
      <c r="N588" s="315"/>
      <c r="O588" s="315"/>
      <c r="P588" s="315"/>
      <c r="Q588" s="315"/>
      <c r="R588" s="315"/>
      <c r="S588" s="315"/>
      <c r="T588" s="315"/>
      <c r="U588" s="315"/>
      <c r="V588" s="315"/>
      <c r="W588" s="315"/>
      <c r="X588" s="315"/>
      <c r="Y588" s="315"/>
      <c r="Z588" s="315"/>
      <c r="AA588" s="315"/>
      <c r="AB588" s="315"/>
      <c r="AC588" s="315"/>
      <c r="AD588" s="315"/>
      <c r="AE588" s="315"/>
      <c r="AF588" s="315"/>
      <c r="AG588" s="315"/>
      <c r="AH588" s="315"/>
      <c r="AI588" s="315"/>
      <c r="AJ588" s="315"/>
      <c r="AK588" s="315"/>
      <c r="AL588" s="315"/>
      <c r="AM588" s="315"/>
      <c r="AN588" s="315"/>
    </row>
    <row r="589">
      <c r="A589" s="315"/>
      <c r="B589" s="315"/>
      <c r="C589" s="315"/>
      <c r="D589" s="315"/>
      <c r="E589" s="315"/>
      <c r="F589" s="315"/>
      <c r="G589" s="315"/>
      <c r="H589" s="315"/>
      <c r="I589" s="315"/>
      <c r="J589" s="315"/>
      <c r="K589" s="315"/>
      <c r="L589" s="315"/>
      <c r="M589" s="315"/>
      <c r="N589" s="315"/>
      <c r="O589" s="315"/>
      <c r="P589" s="315"/>
      <c r="Q589" s="315"/>
      <c r="R589" s="315"/>
      <c r="S589" s="315"/>
      <c r="T589" s="315"/>
      <c r="U589" s="315"/>
      <c r="V589" s="315"/>
      <c r="W589" s="315"/>
      <c r="X589" s="315"/>
      <c r="Y589" s="315"/>
      <c r="Z589" s="315"/>
      <c r="AA589" s="315"/>
      <c r="AB589" s="315"/>
      <c r="AC589" s="315"/>
      <c r="AD589" s="315"/>
      <c r="AE589" s="315"/>
      <c r="AF589" s="315"/>
      <c r="AG589" s="315"/>
      <c r="AH589" s="315"/>
      <c r="AI589" s="315"/>
      <c r="AJ589" s="315"/>
      <c r="AK589" s="315"/>
      <c r="AL589" s="315"/>
      <c r="AM589" s="315"/>
      <c r="AN589" s="315"/>
    </row>
    <row r="590">
      <c r="A590" s="315"/>
      <c r="B590" s="315"/>
      <c r="C590" s="315"/>
      <c r="D590" s="315"/>
      <c r="E590" s="315"/>
      <c r="F590" s="315"/>
      <c r="G590" s="315"/>
      <c r="H590" s="315"/>
      <c r="I590" s="315"/>
      <c r="J590" s="315"/>
      <c r="K590" s="315"/>
      <c r="L590" s="315"/>
      <c r="M590" s="315"/>
      <c r="N590" s="315"/>
      <c r="O590" s="315"/>
      <c r="P590" s="315"/>
      <c r="Q590" s="315"/>
      <c r="R590" s="315"/>
      <c r="S590" s="315"/>
      <c r="T590" s="315"/>
      <c r="U590" s="315"/>
      <c r="V590" s="315"/>
      <c r="W590" s="315"/>
      <c r="X590" s="315"/>
      <c r="Y590" s="315"/>
      <c r="Z590" s="315"/>
      <c r="AA590" s="315"/>
      <c r="AB590" s="315"/>
      <c r="AC590" s="315"/>
      <c r="AD590" s="315"/>
      <c r="AE590" s="315"/>
      <c r="AF590" s="315"/>
      <c r="AG590" s="315"/>
      <c r="AH590" s="315"/>
      <c r="AI590" s="315"/>
      <c r="AJ590" s="315"/>
      <c r="AK590" s="315"/>
      <c r="AL590" s="315"/>
      <c r="AM590" s="315"/>
      <c r="AN590" s="315"/>
    </row>
    <row r="591">
      <c r="A591" s="315"/>
      <c r="B591" s="315"/>
      <c r="C591" s="315"/>
      <c r="D591" s="315"/>
      <c r="E591" s="315"/>
      <c r="F591" s="315"/>
      <c r="G591" s="315"/>
      <c r="H591" s="315"/>
      <c r="I591" s="315"/>
      <c r="J591" s="315"/>
      <c r="K591" s="315"/>
      <c r="L591" s="315"/>
      <c r="M591" s="315"/>
      <c r="N591" s="315"/>
      <c r="O591" s="315"/>
      <c r="P591" s="315"/>
      <c r="Q591" s="315"/>
      <c r="R591" s="315"/>
      <c r="S591" s="315"/>
      <c r="T591" s="315"/>
      <c r="U591" s="315"/>
      <c r="V591" s="315"/>
      <c r="W591" s="315"/>
      <c r="X591" s="315"/>
      <c r="Y591" s="315"/>
      <c r="Z591" s="315"/>
      <c r="AA591" s="315"/>
      <c r="AB591" s="315"/>
      <c r="AC591" s="315"/>
      <c r="AD591" s="315"/>
      <c r="AE591" s="315"/>
      <c r="AF591" s="315"/>
      <c r="AG591" s="315"/>
      <c r="AH591" s="315"/>
      <c r="AI591" s="315"/>
      <c r="AJ591" s="315"/>
      <c r="AK591" s="315"/>
      <c r="AL591" s="315"/>
      <c r="AM591" s="315"/>
      <c r="AN591" s="315"/>
    </row>
    <row r="592">
      <c r="A592" s="315"/>
      <c r="B592" s="315"/>
      <c r="C592" s="315"/>
      <c r="D592" s="315"/>
      <c r="E592" s="315"/>
      <c r="F592" s="315"/>
      <c r="G592" s="315"/>
      <c r="H592" s="315"/>
      <c r="I592" s="315"/>
      <c r="J592" s="315"/>
      <c r="K592" s="315"/>
      <c r="L592" s="315"/>
      <c r="M592" s="315"/>
      <c r="N592" s="315"/>
      <c r="O592" s="315"/>
      <c r="P592" s="315"/>
      <c r="Q592" s="315"/>
      <c r="R592" s="315"/>
      <c r="S592" s="315"/>
      <c r="T592" s="315"/>
      <c r="U592" s="315"/>
      <c r="V592" s="315"/>
      <c r="W592" s="315"/>
      <c r="X592" s="315"/>
      <c r="Y592" s="315"/>
      <c r="Z592" s="315"/>
      <c r="AA592" s="315"/>
      <c r="AB592" s="315"/>
      <c r="AC592" s="315"/>
      <c r="AD592" s="315"/>
      <c r="AE592" s="315"/>
      <c r="AF592" s="315"/>
      <c r="AG592" s="315"/>
      <c r="AH592" s="315"/>
      <c r="AI592" s="315"/>
      <c r="AJ592" s="315"/>
      <c r="AK592" s="315"/>
      <c r="AL592" s="315"/>
      <c r="AM592" s="315"/>
      <c r="AN592" s="315"/>
    </row>
    <row r="593">
      <c r="A593" s="315"/>
      <c r="B593" s="315"/>
      <c r="C593" s="315"/>
      <c r="D593" s="315"/>
      <c r="E593" s="315"/>
      <c r="F593" s="315"/>
      <c r="G593" s="315"/>
      <c r="H593" s="315"/>
      <c r="I593" s="315"/>
      <c r="J593" s="315"/>
      <c r="K593" s="315"/>
      <c r="L593" s="315"/>
      <c r="M593" s="315"/>
      <c r="N593" s="315"/>
      <c r="O593" s="315"/>
      <c r="P593" s="315"/>
      <c r="Q593" s="315"/>
      <c r="R593" s="315"/>
      <c r="S593" s="315"/>
      <c r="T593" s="315"/>
      <c r="U593" s="315"/>
      <c r="V593" s="315"/>
      <c r="W593" s="315"/>
      <c r="X593" s="315"/>
      <c r="Y593" s="315"/>
      <c r="Z593" s="315"/>
      <c r="AA593" s="315"/>
      <c r="AB593" s="315"/>
      <c r="AC593" s="315"/>
      <c r="AD593" s="315"/>
      <c r="AE593" s="315"/>
      <c r="AF593" s="315"/>
      <c r="AG593" s="315"/>
      <c r="AH593" s="315"/>
      <c r="AI593" s="315"/>
      <c r="AJ593" s="315"/>
      <c r="AK593" s="315"/>
      <c r="AL593" s="315"/>
      <c r="AM593" s="315"/>
      <c r="AN593" s="315"/>
    </row>
    <row r="594">
      <c r="A594" s="315"/>
      <c r="B594" s="315"/>
      <c r="C594" s="315"/>
      <c r="D594" s="315"/>
      <c r="E594" s="315"/>
      <c r="F594" s="315"/>
      <c r="G594" s="315"/>
      <c r="H594" s="315"/>
      <c r="I594" s="315"/>
      <c r="J594" s="315"/>
      <c r="K594" s="315"/>
      <c r="L594" s="315"/>
      <c r="M594" s="315"/>
      <c r="N594" s="315"/>
      <c r="O594" s="315"/>
      <c r="P594" s="315"/>
      <c r="Q594" s="315"/>
      <c r="R594" s="315"/>
      <c r="S594" s="315"/>
      <c r="T594" s="315"/>
      <c r="U594" s="315"/>
      <c r="V594" s="315"/>
      <c r="W594" s="315"/>
      <c r="X594" s="315"/>
      <c r="Y594" s="315"/>
      <c r="Z594" s="315"/>
      <c r="AA594" s="315"/>
      <c r="AB594" s="315"/>
      <c r="AC594" s="315"/>
      <c r="AD594" s="315"/>
      <c r="AE594" s="315"/>
      <c r="AF594" s="315"/>
      <c r="AG594" s="315"/>
      <c r="AH594" s="315"/>
      <c r="AI594" s="315"/>
      <c r="AJ594" s="315"/>
      <c r="AK594" s="315"/>
      <c r="AL594" s="315"/>
      <c r="AM594" s="315"/>
      <c r="AN594" s="315"/>
    </row>
    <row r="595">
      <c r="A595" s="315"/>
      <c r="B595" s="315"/>
      <c r="C595" s="315"/>
      <c r="D595" s="315"/>
      <c r="E595" s="315"/>
      <c r="F595" s="315"/>
      <c r="G595" s="315"/>
      <c r="H595" s="315"/>
      <c r="I595" s="315"/>
      <c r="J595" s="315"/>
      <c r="K595" s="315"/>
      <c r="L595" s="315"/>
      <c r="M595" s="315"/>
      <c r="N595" s="315"/>
      <c r="O595" s="315"/>
      <c r="P595" s="315"/>
      <c r="Q595" s="315"/>
      <c r="R595" s="315"/>
      <c r="S595" s="315"/>
      <c r="T595" s="315"/>
      <c r="U595" s="315"/>
      <c r="V595" s="315"/>
      <c r="W595" s="315"/>
      <c r="X595" s="315"/>
      <c r="Y595" s="315"/>
      <c r="Z595" s="315"/>
      <c r="AA595" s="315"/>
      <c r="AB595" s="315"/>
      <c r="AC595" s="315"/>
      <c r="AD595" s="315"/>
      <c r="AE595" s="315"/>
      <c r="AF595" s="315"/>
      <c r="AG595" s="315"/>
      <c r="AH595" s="315"/>
      <c r="AI595" s="315"/>
      <c r="AJ595" s="315"/>
      <c r="AK595" s="315"/>
      <c r="AL595" s="315"/>
      <c r="AM595" s="315"/>
      <c r="AN595" s="315"/>
    </row>
    <row r="596">
      <c r="A596" s="315"/>
      <c r="B596" s="315"/>
      <c r="C596" s="315"/>
      <c r="D596" s="315"/>
      <c r="E596" s="315"/>
      <c r="F596" s="315"/>
      <c r="G596" s="315"/>
      <c r="H596" s="315"/>
      <c r="I596" s="315"/>
      <c r="J596" s="315"/>
      <c r="K596" s="315"/>
      <c r="L596" s="315"/>
      <c r="M596" s="315"/>
      <c r="N596" s="315"/>
      <c r="O596" s="315"/>
      <c r="P596" s="315"/>
      <c r="Q596" s="315"/>
      <c r="R596" s="315"/>
      <c r="S596" s="315"/>
      <c r="T596" s="315"/>
      <c r="U596" s="315"/>
      <c r="V596" s="315"/>
      <c r="W596" s="315"/>
      <c r="X596" s="315"/>
      <c r="Y596" s="315"/>
      <c r="Z596" s="315"/>
      <c r="AA596" s="315"/>
      <c r="AB596" s="315"/>
      <c r="AC596" s="315"/>
      <c r="AD596" s="315"/>
      <c r="AE596" s="315"/>
      <c r="AF596" s="315"/>
      <c r="AG596" s="315"/>
      <c r="AH596" s="315"/>
      <c r="AI596" s="315"/>
      <c r="AJ596" s="315"/>
      <c r="AK596" s="315"/>
      <c r="AL596" s="315"/>
      <c r="AM596" s="315"/>
      <c r="AN596" s="315"/>
    </row>
    <row r="597">
      <c r="A597" s="315"/>
      <c r="B597" s="315"/>
      <c r="C597" s="315"/>
      <c r="D597" s="315"/>
      <c r="E597" s="315"/>
      <c r="F597" s="315"/>
      <c r="G597" s="315"/>
      <c r="H597" s="315"/>
      <c r="I597" s="315"/>
      <c r="J597" s="315"/>
      <c r="K597" s="315"/>
      <c r="L597" s="315"/>
      <c r="M597" s="315"/>
      <c r="N597" s="315"/>
      <c r="O597" s="315"/>
      <c r="P597" s="315"/>
      <c r="Q597" s="315"/>
      <c r="R597" s="315"/>
      <c r="S597" s="315"/>
      <c r="T597" s="315"/>
      <c r="U597" s="315"/>
      <c r="V597" s="315"/>
      <c r="W597" s="315"/>
      <c r="X597" s="315"/>
      <c r="Y597" s="315"/>
      <c r="Z597" s="315"/>
      <c r="AA597" s="315"/>
      <c r="AB597" s="315"/>
      <c r="AC597" s="315"/>
      <c r="AD597" s="315"/>
      <c r="AE597" s="315"/>
      <c r="AF597" s="315"/>
      <c r="AG597" s="315"/>
      <c r="AH597" s="315"/>
      <c r="AI597" s="315"/>
      <c r="AJ597" s="315"/>
      <c r="AK597" s="315"/>
      <c r="AL597" s="315"/>
      <c r="AM597" s="315"/>
      <c r="AN597" s="315"/>
    </row>
    <row r="598">
      <c r="A598" s="315"/>
      <c r="B598" s="315"/>
      <c r="C598" s="315"/>
      <c r="D598" s="315"/>
      <c r="E598" s="315"/>
      <c r="F598" s="315"/>
      <c r="G598" s="315"/>
      <c r="H598" s="315"/>
      <c r="I598" s="315"/>
      <c r="J598" s="315"/>
      <c r="K598" s="315"/>
      <c r="L598" s="315"/>
      <c r="M598" s="315"/>
      <c r="N598" s="315"/>
      <c r="O598" s="315"/>
      <c r="P598" s="315"/>
      <c r="Q598" s="315"/>
      <c r="R598" s="315"/>
      <c r="S598" s="315"/>
      <c r="T598" s="315"/>
      <c r="U598" s="315"/>
      <c r="V598" s="315"/>
      <c r="W598" s="315"/>
      <c r="X598" s="315"/>
      <c r="Y598" s="315"/>
      <c r="Z598" s="315"/>
      <c r="AA598" s="315"/>
      <c r="AB598" s="315"/>
      <c r="AC598" s="315"/>
      <c r="AD598" s="315"/>
      <c r="AE598" s="315"/>
      <c r="AF598" s="315"/>
      <c r="AG598" s="315"/>
      <c r="AH598" s="315"/>
      <c r="AI598" s="315"/>
      <c r="AJ598" s="315"/>
      <c r="AK598" s="315"/>
      <c r="AL598" s="315"/>
      <c r="AM598" s="315"/>
      <c r="AN598" s="315"/>
    </row>
    <row r="599">
      <c r="A599" s="315"/>
      <c r="B599" s="315"/>
      <c r="C599" s="315"/>
      <c r="D599" s="315"/>
      <c r="E599" s="315"/>
      <c r="F599" s="315"/>
      <c r="G599" s="315"/>
      <c r="H599" s="315"/>
      <c r="I599" s="315"/>
      <c r="J599" s="315"/>
      <c r="K599" s="315"/>
      <c r="L599" s="315"/>
      <c r="M599" s="315"/>
      <c r="N599" s="315"/>
      <c r="O599" s="315"/>
      <c r="P599" s="315"/>
      <c r="Q599" s="315"/>
      <c r="R599" s="315"/>
      <c r="S599" s="315"/>
      <c r="T599" s="315"/>
      <c r="U599" s="315"/>
      <c r="V599" s="315"/>
      <c r="W599" s="315"/>
      <c r="X599" s="315"/>
      <c r="Y599" s="315"/>
      <c r="Z599" s="315"/>
      <c r="AA599" s="315"/>
      <c r="AB599" s="315"/>
      <c r="AC599" s="315"/>
      <c r="AD599" s="315"/>
      <c r="AE599" s="315"/>
      <c r="AF599" s="315"/>
      <c r="AG599" s="315"/>
      <c r="AH599" s="315"/>
      <c r="AI599" s="315"/>
      <c r="AJ599" s="315"/>
      <c r="AK599" s="315"/>
      <c r="AL599" s="315"/>
      <c r="AM599" s="315"/>
      <c r="AN599" s="315"/>
    </row>
    <row r="600">
      <c r="A600" s="315"/>
      <c r="B600" s="315"/>
      <c r="C600" s="315"/>
      <c r="D600" s="315"/>
      <c r="E600" s="315"/>
      <c r="F600" s="315"/>
      <c r="G600" s="315"/>
      <c r="H600" s="315"/>
      <c r="I600" s="315"/>
      <c r="J600" s="315"/>
      <c r="K600" s="315"/>
      <c r="L600" s="315"/>
      <c r="M600" s="315"/>
      <c r="N600" s="315"/>
      <c r="O600" s="315"/>
      <c r="P600" s="315"/>
      <c r="Q600" s="315"/>
      <c r="R600" s="315"/>
      <c r="S600" s="315"/>
      <c r="T600" s="315"/>
      <c r="U600" s="315"/>
      <c r="V600" s="315"/>
      <c r="W600" s="315"/>
      <c r="X600" s="315"/>
      <c r="Y600" s="315"/>
      <c r="Z600" s="315"/>
      <c r="AA600" s="315"/>
      <c r="AB600" s="315"/>
      <c r="AC600" s="315"/>
      <c r="AD600" s="315"/>
      <c r="AE600" s="315"/>
      <c r="AF600" s="315"/>
      <c r="AG600" s="315"/>
      <c r="AH600" s="315"/>
      <c r="AI600" s="315"/>
      <c r="AJ600" s="315"/>
      <c r="AK600" s="315"/>
      <c r="AL600" s="315"/>
      <c r="AM600" s="315"/>
      <c r="AN600" s="315"/>
    </row>
    <row r="601">
      <c r="A601" s="315"/>
      <c r="B601" s="315"/>
      <c r="C601" s="315"/>
      <c r="D601" s="315"/>
      <c r="E601" s="315"/>
      <c r="F601" s="315"/>
      <c r="G601" s="315"/>
      <c r="H601" s="315"/>
      <c r="I601" s="315"/>
      <c r="J601" s="315"/>
      <c r="K601" s="315"/>
      <c r="L601" s="315"/>
      <c r="M601" s="315"/>
      <c r="N601" s="315"/>
      <c r="O601" s="315"/>
      <c r="P601" s="315"/>
      <c r="Q601" s="315"/>
      <c r="R601" s="315"/>
      <c r="S601" s="315"/>
      <c r="T601" s="315"/>
      <c r="U601" s="315"/>
      <c r="V601" s="315"/>
      <c r="W601" s="315"/>
      <c r="X601" s="315"/>
      <c r="Y601" s="315"/>
      <c r="Z601" s="315"/>
      <c r="AA601" s="315"/>
      <c r="AB601" s="315"/>
      <c r="AC601" s="315"/>
      <c r="AD601" s="315"/>
      <c r="AE601" s="315"/>
      <c r="AF601" s="315"/>
      <c r="AG601" s="315"/>
      <c r="AH601" s="315"/>
      <c r="AI601" s="315"/>
      <c r="AJ601" s="315"/>
      <c r="AK601" s="315"/>
      <c r="AL601" s="315"/>
      <c r="AM601" s="315"/>
      <c r="AN601" s="315"/>
    </row>
    <row r="602">
      <c r="A602" s="315"/>
      <c r="B602" s="315"/>
      <c r="C602" s="315"/>
      <c r="D602" s="315"/>
      <c r="E602" s="315"/>
      <c r="F602" s="315"/>
      <c r="G602" s="315"/>
      <c r="H602" s="315"/>
      <c r="I602" s="315"/>
      <c r="J602" s="315"/>
      <c r="K602" s="315"/>
      <c r="L602" s="315"/>
      <c r="M602" s="315"/>
      <c r="N602" s="315"/>
      <c r="O602" s="315"/>
      <c r="P602" s="315"/>
      <c r="Q602" s="315"/>
      <c r="R602" s="315"/>
      <c r="S602" s="315"/>
      <c r="T602" s="315"/>
      <c r="U602" s="315"/>
      <c r="V602" s="315"/>
      <c r="W602" s="315"/>
      <c r="X602" s="315"/>
      <c r="Y602" s="315"/>
      <c r="Z602" s="315"/>
      <c r="AA602" s="315"/>
      <c r="AB602" s="315"/>
      <c r="AC602" s="315"/>
      <c r="AD602" s="315"/>
      <c r="AE602" s="315"/>
      <c r="AF602" s="315"/>
      <c r="AG602" s="315"/>
      <c r="AH602" s="315"/>
      <c r="AI602" s="315"/>
      <c r="AJ602" s="315"/>
      <c r="AK602" s="315"/>
      <c r="AL602" s="315"/>
      <c r="AM602" s="315"/>
      <c r="AN602" s="315"/>
    </row>
    <row r="603">
      <c r="A603" s="315"/>
      <c r="B603" s="315"/>
      <c r="C603" s="315"/>
      <c r="D603" s="315"/>
      <c r="E603" s="315"/>
      <c r="F603" s="315"/>
      <c r="G603" s="315"/>
      <c r="H603" s="315"/>
      <c r="I603" s="315"/>
      <c r="J603" s="315"/>
      <c r="K603" s="315"/>
      <c r="L603" s="315"/>
      <c r="M603" s="315"/>
      <c r="N603" s="315"/>
      <c r="O603" s="315"/>
      <c r="P603" s="315"/>
      <c r="Q603" s="315"/>
      <c r="R603" s="315"/>
      <c r="S603" s="315"/>
      <c r="T603" s="315"/>
      <c r="U603" s="315"/>
      <c r="V603" s="315"/>
      <c r="W603" s="315"/>
      <c r="X603" s="315"/>
      <c r="Y603" s="315"/>
      <c r="Z603" s="315"/>
      <c r="AA603" s="315"/>
      <c r="AB603" s="315"/>
      <c r="AC603" s="315"/>
      <c r="AD603" s="315"/>
      <c r="AE603" s="315"/>
      <c r="AF603" s="315"/>
      <c r="AG603" s="315"/>
      <c r="AH603" s="315"/>
      <c r="AI603" s="315"/>
      <c r="AJ603" s="315"/>
      <c r="AK603" s="315"/>
      <c r="AL603" s="315"/>
      <c r="AM603" s="315"/>
      <c r="AN603" s="315"/>
    </row>
    <row r="604">
      <c r="A604" s="315"/>
      <c r="B604" s="315"/>
      <c r="C604" s="315"/>
      <c r="D604" s="315"/>
      <c r="E604" s="315"/>
      <c r="F604" s="315"/>
      <c r="G604" s="315"/>
      <c r="H604" s="315"/>
      <c r="I604" s="315"/>
      <c r="J604" s="315"/>
      <c r="K604" s="315"/>
      <c r="L604" s="315"/>
      <c r="M604" s="315"/>
      <c r="N604" s="315"/>
      <c r="O604" s="315"/>
      <c r="P604" s="315"/>
      <c r="Q604" s="315"/>
      <c r="R604" s="315"/>
      <c r="S604" s="315"/>
      <c r="T604" s="315"/>
      <c r="U604" s="315"/>
      <c r="V604" s="315"/>
      <c r="W604" s="315"/>
      <c r="X604" s="315"/>
      <c r="Y604" s="315"/>
      <c r="Z604" s="315"/>
      <c r="AA604" s="315"/>
      <c r="AB604" s="315"/>
      <c r="AC604" s="315"/>
      <c r="AD604" s="315"/>
      <c r="AE604" s="315"/>
      <c r="AF604" s="315"/>
      <c r="AG604" s="315"/>
      <c r="AH604" s="315"/>
      <c r="AI604" s="315"/>
      <c r="AJ604" s="315"/>
      <c r="AK604" s="315"/>
      <c r="AL604" s="315"/>
      <c r="AM604" s="315"/>
      <c r="AN604" s="315"/>
    </row>
    <row r="605">
      <c r="A605" s="315"/>
      <c r="B605" s="315"/>
      <c r="C605" s="315"/>
      <c r="D605" s="315"/>
      <c r="E605" s="315"/>
      <c r="F605" s="315"/>
      <c r="G605" s="315"/>
      <c r="H605" s="315"/>
      <c r="I605" s="315"/>
      <c r="J605" s="315"/>
      <c r="K605" s="315"/>
      <c r="L605" s="315"/>
      <c r="M605" s="315"/>
      <c r="N605" s="315"/>
      <c r="O605" s="315"/>
      <c r="P605" s="315"/>
      <c r="Q605" s="315"/>
      <c r="R605" s="315"/>
      <c r="S605" s="315"/>
      <c r="T605" s="315"/>
      <c r="U605" s="315"/>
      <c r="V605" s="315"/>
      <c r="W605" s="315"/>
      <c r="X605" s="315"/>
      <c r="Y605" s="315"/>
      <c r="Z605" s="315"/>
      <c r="AA605" s="315"/>
      <c r="AB605" s="315"/>
      <c r="AC605" s="315"/>
      <c r="AD605" s="315"/>
      <c r="AE605" s="315"/>
      <c r="AF605" s="315"/>
      <c r="AG605" s="315"/>
      <c r="AH605" s="315"/>
      <c r="AI605" s="315"/>
      <c r="AJ605" s="315"/>
      <c r="AK605" s="315"/>
      <c r="AL605" s="315"/>
      <c r="AM605" s="315"/>
      <c r="AN605" s="315"/>
    </row>
    <row r="606">
      <c r="A606" s="315"/>
      <c r="B606" s="315"/>
      <c r="C606" s="315"/>
      <c r="D606" s="315"/>
      <c r="E606" s="315"/>
      <c r="F606" s="315"/>
      <c r="G606" s="315"/>
      <c r="H606" s="315"/>
      <c r="I606" s="315"/>
      <c r="J606" s="315"/>
      <c r="K606" s="315"/>
      <c r="L606" s="315"/>
      <c r="M606" s="315"/>
      <c r="N606" s="315"/>
      <c r="O606" s="315"/>
      <c r="P606" s="315"/>
      <c r="Q606" s="315"/>
      <c r="R606" s="315"/>
      <c r="S606" s="315"/>
      <c r="T606" s="315"/>
      <c r="U606" s="315"/>
      <c r="V606" s="315"/>
      <c r="W606" s="315"/>
      <c r="X606" s="315"/>
      <c r="Y606" s="315"/>
      <c r="Z606" s="315"/>
      <c r="AA606" s="315"/>
      <c r="AB606" s="315"/>
      <c r="AC606" s="315"/>
      <c r="AD606" s="315"/>
      <c r="AE606" s="315"/>
      <c r="AF606" s="315"/>
      <c r="AG606" s="315"/>
      <c r="AH606" s="315"/>
      <c r="AI606" s="315"/>
      <c r="AJ606" s="315"/>
      <c r="AK606" s="315"/>
      <c r="AL606" s="315"/>
      <c r="AM606" s="315"/>
      <c r="AN606" s="315"/>
    </row>
    <row r="607">
      <c r="A607" s="315"/>
      <c r="B607" s="315"/>
      <c r="C607" s="315"/>
      <c r="D607" s="315"/>
      <c r="E607" s="315"/>
      <c r="F607" s="315"/>
      <c r="G607" s="315"/>
      <c r="H607" s="315"/>
      <c r="I607" s="315"/>
      <c r="J607" s="315"/>
      <c r="K607" s="315"/>
      <c r="L607" s="315"/>
      <c r="M607" s="315"/>
      <c r="N607" s="315"/>
      <c r="O607" s="315"/>
      <c r="P607" s="315"/>
      <c r="Q607" s="315"/>
      <c r="R607" s="315"/>
      <c r="S607" s="315"/>
      <c r="T607" s="315"/>
      <c r="U607" s="315"/>
      <c r="V607" s="315"/>
      <c r="W607" s="315"/>
      <c r="X607" s="315"/>
      <c r="Y607" s="315"/>
      <c r="Z607" s="315"/>
      <c r="AA607" s="315"/>
      <c r="AB607" s="315"/>
      <c r="AC607" s="315"/>
      <c r="AD607" s="315"/>
      <c r="AE607" s="315"/>
      <c r="AF607" s="315"/>
      <c r="AG607" s="315"/>
      <c r="AH607" s="315"/>
      <c r="AI607" s="315"/>
      <c r="AJ607" s="315"/>
      <c r="AK607" s="315"/>
      <c r="AL607" s="315"/>
      <c r="AM607" s="315"/>
      <c r="AN607" s="315"/>
    </row>
    <row r="608">
      <c r="A608" s="315"/>
      <c r="B608" s="315"/>
      <c r="C608" s="315"/>
      <c r="D608" s="315"/>
      <c r="E608" s="315"/>
      <c r="F608" s="315"/>
      <c r="G608" s="315"/>
      <c r="H608" s="315"/>
      <c r="I608" s="315"/>
      <c r="J608" s="315"/>
      <c r="K608" s="315"/>
      <c r="L608" s="315"/>
      <c r="M608" s="315"/>
      <c r="N608" s="315"/>
      <c r="O608" s="315"/>
      <c r="P608" s="315"/>
      <c r="Q608" s="315"/>
      <c r="R608" s="315"/>
      <c r="S608" s="315"/>
      <c r="T608" s="315"/>
      <c r="U608" s="315"/>
      <c r="V608" s="315"/>
      <c r="W608" s="315"/>
      <c r="X608" s="315"/>
      <c r="Y608" s="315"/>
      <c r="Z608" s="315"/>
      <c r="AA608" s="315"/>
      <c r="AB608" s="315"/>
      <c r="AC608" s="315"/>
      <c r="AD608" s="315"/>
      <c r="AE608" s="315"/>
      <c r="AF608" s="315"/>
      <c r="AG608" s="315"/>
      <c r="AH608" s="315"/>
      <c r="AI608" s="315"/>
      <c r="AJ608" s="315"/>
      <c r="AK608" s="315"/>
      <c r="AL608" s="315"/>
      <c r="AM608" s="315"/>
      <c r="AN608" s="315"/>
    </row>
    <row r="609">
      <c r="A609" s="315"/>
      <c r="B609" s="315"/>
      <c r="C609" s="315"/>
      <c r="D609" s="315"/>
      <c r="E609" s="315"/>
      <c r="F609" s="315"/>
      <c r="G609" s="315"/>
      <c r="H609" s="315"/>
      <c r="I609" s="315"/>
      <c r="J609" s="315"/>
      <c r="K609" s="315"/>
      <c r="L609" s="315"/>
      <c r="M609" s="315"/>
      <c r="N609" s="315"/>
      <c r="O609" s="315"/>
      <c r="P609" s="315"/>
      <c r="Q609" s="315"/>
      <c r="R609" s="315"/>
      <c r="S609" s="315"/>
      <c r="T609" s="315"/>
      <c r="U609" s="315"/>
      <c r="V609" s="315"/>
      <c r="W609" s="315"/>
      <c r="X609" s="315"/>
      <c r="Y609" s="315"/>
      <c r="Z609" s="315"/>
      <c r="AA609" s="315"/>
      <c r="AB609" s="315"/>
      <c r="AC609" s="315"/>
      <c r="AD609" s="315"/>
      <c r="AE609" s="315"/>
      <c r="AF609" s="315"/>
      <c r="AG609" s="315"/>
      <c r="AH609" s="315"/>
      <c r="AI609" s="315"/>
      <c r="AJ609" s="315"/>
      <c r="AK609" s="315"/>
      <c r="AL609" s="315"/>
      <c r="AM609" s="315"/>
      <c r="AN609" s="315"/>
    </row>
    <row r="610">
      <c r="A610" s="315"/>
      <c r="B610" s="315"/>
      <c r="C610" s="315"/>
      <c r="D610" s="315"/>
      <c r="E610" s="315"/>
      <c r="F610" s="315"/>
      <c r="G610" s="315"/>
      <c r="H610" s="315"/>
      <c r="I610" s="315"/>
      <c r="J610" s="315"/>
      <c r="K610" s="315"/>
      <c r="L610" s="315"/>
      <c r="M610" s="315"/>
      <c r="N610" s="315"/>
      <c r="O610" s="315"/>
      <c r="P610" s="315"/>
      <c r="Q610" s="315"/>
      <c r="R610" s="315"/>
      <c r="S610" s="315"/>
      <c r="T610" s="315"/>
      <c r="U610" s="315"/>
      <c r="V610" s="315"/>
      <c r="W610" s="315"/>
      <c r="X610" s="315"/>
      <c r="Y610" s="315"/>
      <c r="Z610" s="315"/>
      <c r="AA610" s="315"/>
      <c r="AB610" s="315"/>
      <c r="AC610" s="315"/>
      <c r="AD610" s="315"/>
      <c r="AE610" s="315"/>
      <c r="AF610" s="315"/>
      <c r="AG610" s="315"/>
      <c r="AH610" s="315"/>
      <c r="AI610" s="315"/>
      <c r="AJ610" s="315"/>
      <c r="AK610" s="315"/>
      <c r="AL610" s="315"/>
      <c r="AM610" s="315"/>
      <c r="AN610" s="315"/>
    </row>
    <row r="611">
      <c r="A611" s="315"/>
      <c r="B611" s="315"/>
      <c r="C611" s="315"/>
      <c r="D611" s="315"/>
      <c r="E611" s="315"/>
      <c r="F611" s="315"/>
      <c r="G611" s="315"/>
      <c r="H611" s="315"/>
      <c r="I611" s="315"/>
      <c r="J611" s="315"/>
      <c r="K611" s="315"/>
      <c r="L611" s="315"/>
      <c r="M611" s="315"/>
      <c r="N611" s="315"/>
      <c r="O611" s="315"/>
      <c r="P611" s="315"/>
      <c r="Q611" s="315"/>
      <c r="R611" s="315"/>
      <c r="S611" s="315"/>
      <c r="T611" s="315"/>
      <c r="U611" s="315"/>
      <c r="V611" s="315"/>
      <c r="W611" s="315"/>
      <c r="X611" s="315"/>
      <c r="Y611" s="315"/>
      <c r="Z611" s="315"/>
      <c r="AA611" s="315"/>
      <c r="AB611" s="315"/>
      <c r="AC611" s="315"/>
      <c r="AD611" s="315"/>
      <c r="AE611" s="315"/>
      <c r="AF611" s="315"/>
      <c r="AG611" s="315"/>
      <c r="AH611" s="315"/>
      <c r="AI611" s="315"/>
      <c r="AJ611" s="315"/>
      <c r="AK611" s="315"/>
      <c r="AL611" s="315"/>
      <c r="AM611" s="315"/>
      <c r="AN611" s="315"/>
    </row>
    <row r="612">
      <c r="A612" s="315"/>
      <c r="B612" s="315"/>
      <c r="C612" s="315"/>
      <c r="D612" s="315"/>
      <c r="E612" s="315"/>
      <c r="F612" s="315"/>
      <c r="G612" s="315"/>
      <c r="H612" s="315"/>
      <c r="I612" s="315"/>
      <c r="J612" s="315"/>
      <c r="K612" s="315"/>
      <c r="L612" s="315"/>
      <c r="M612" s="315"/>
      <c r="N612" s="315"/>
      <c r="O612" s="315"/>
      <c r="P612" s="315"/>
      <c r="Q612" s="315"/>
      <c r="R612" s="315"/>
      <c r="S612" s="315"/>
      <c r="T612" s="315"/>
      <c r="U612" s="315"/>
      <c r="V612" s="315"/>
      <c r="W612" s="315"/>
      <c r="X612" s="315"/>
      <c r="Y612" s="315"/>
      <c r="Z612" s="315"/>
      <c r="AA612" s="315"/>
      <c r="AB612" s="315"/>
      <c r="AC612" s="315"/>
      <c r="AD612" s="315"/>
      <c r="AE612" s="315"/>
      <c r="AF612" s="315"/>
      <c r="AG612" s="315"/>
      <c r="AH612" s="315"/>
      <c r="AI612" s="315"/>
      <c r="AJ612" s="315"/>
      <c r="AK612" s="315"/>
      <c r="AL612" s="315"/>
      <c r="AM612" s="315"/>
      <c r="AN612" s="315"/>
    </row>
    <row r="613">
      <c r="A613" s="315"/>
      <c r="B613" s="315"/>
      <c r="C613" s="315"/>
      <c r="D613" s="315"/>
      <c r="E613" s="315"/>
      <c r="F613" s="315"/>
      <c r="G613" s="315"/>
      <c r="H613" s="315"/>
      <c r="I613" s="315"/>
      <c r="J613" s="315"/>
      <c r="K613" s="315"/>
      <c r="L613" s="315"/>
      <c r="M613" s="315"/>
      <c r="N613" s="315"/>
      <c r="O613" s="315"/>
      <c r="P613" s="315"/>
      <c r="Q613" s="315"/>
      <c r="R613" s="315"/>
      <c r="S613" s="315"/>
      <c r="T613" s="315"/>
      <c r="U613" s="315"/>
      <c r="V613" s="315"/>
      <c r="W613" s="315"/>
      <c r="X613" s="315"/>
      <c r="Y613" s="315"/>
      <c r="Z613" s="315"/>
      <c r="AA613" s="315"/>
      <c r="AB613" s="315"/>
      <c r="AC613" s="315"/>
      <c r="AD613" s="315"/>
      <c r="AE613" s="315"/>
      <c r="AF613" s="315"/>
      <c r="AG613" s="315"/>
      <c r="AH613" s="315"/>
      <c r="AI613" s="315"/>
      <c r="AJ613" s="315"/>
      <c r="AK613" s="315"/>
      <c r="AL613" s="315"/>
      <c r="AM613" s="315"/>
      <c r="AN613" s="315"/>
    </row>
    <row r="614">
      <c r="A614" s="315"/>
      <c r="B614" s="315"/>
      <c r="C614" s="315"/>
      <c r="D614" s="315"/>
      <c r="E614" s="315"/>
      <c r="F614" s="315"/>
      <c r="G614" s="315"/>
      <c r="H614" s="315"/>
      <c r="I614" s="315"/>
      <c r="J614" s="315"/>
      <c r="K614" s="315"/>
      <c r="L614" s="315"/>
      <c r="M614" s="315"/>
      <c r="N614" s="315"/>
      <c r="O614" s="315"/>
      <c r="P614" s="315"/>
      <c r="Q614" s="315"/>
      <c r="R614" s="315"/>
      <c r="S614" s="315"/>
      <c r="T614" s="315"/>
      <c r="U614" s="315"/>
      <c r="V614" s="315"/>
      <c r="W614" s="315"/>
      <c r="X614" s="315"/>
      <c r="Y614" s="315"/>
      <c r="Z614" s="315"/>
      <c r="AA614" s="315"/>
      <c r="AB614" s="315"/>
      <c r="AC614" s="315"/>
      <c r="AD614" s="315"/>
      <c r="AE614" s="315"/>
      <c r="AF614" s="315"/>
      <c r="AG614" s="315"/>
      <c r="AH614" s="315"/>
      <c r="AI614" s="315"/>
      <c r="AJ614" s="315"/>
      <c r="AK614" s="315"/>
      <c r="AL614" s="315"/>
      <c r="AM614" s="315"/>
      <c r="AN614" s="315"/>
    </row>
    <row r="615">
      <c r="A615" s="315"/>
      <c r="B615" s="315"/>
      <c r="C615" s="315"/>
      <c r="D615" s="315"/>
      <c r="E615" s="315"/>
      <c r="F615" s="315"/>
      <c r="G615" s="315"/>
      <c r="H615" s="315"/>
      <c r="I615" s="315"/>
      <c r="J615" s="315"/>
      <c r="K615" s="315"/>
      <c r="L615" s="315"/>
      <c r="M615" s="315"/>
      <c r="N615" s="315"/>
      <c r="O615" s="315"/>
      <c r="P615" s="315"/>
      <c r="Q615" s="315"/>
      <c r="R615" s="315"/>
      <c r="S615" s="315"/>
      <c r="T615" s="315"/>
      <c r="U615" s="315"/>
      <c r="V615" s="315"/>
      <c r="W615" s="315"/>
      <c r="X615" s="315"/>
      <c r="Y615" s="315"/>
      <c r="Z615" s="315"/>
      <c r="AA615" s="315"/>
      <c r="AB615" s="315"/>
      <c r="AC615" s="315"/>
      <c r="AD615" s="315"/>
      <c r="AE615" s="315"/>
      <c r="AF615" s="315"/>
      <c r="AG615" s="315"/>
      <c r="AH615" s="315"/>
      <c r="AI615" s="315"/>
      <c r="AJ615" s="315"/>
      <c r="AK615" s="315"/>
      <c r="AL615" s="315"/>
      <c r="AM615" s="315"/>
      <c r="AN615" s="315"/>
    </row>
    <row r="616">
      <c r="A616" s="315"/>
      <c r="B616" s="315"/>
      <c r="C616" s="315"/>
      <c r="D616" s="315"/>
      <c r="E616" s="315"/>
      <c r="F616" s="315"/>
      <c r="G616" s="315"/>
      <c r="H616" s="315"/>
      <c r="I616" s="315"/>
      <c r="J616" s="315"/>
      <c r="K616" s="315"/>
      <c r="L616" s="315"/>
      <c r="M616" s="315"/>
      <c r="N616" s="315"/>
      <c r="O616" s="315"/>
      <c r="P616" s="315"/>
      <c r="Q616" s="315"/>
      <c r="R616" s="315"/>
      <c r="S616" s="315"/>
      <c r="T616" s="315"/>
      <c r="U616" s="315"/>
      <c r="V616" s="315"/>
      <c r="W616" s="315"/>
      <c r="X616" s="315"/>
      <c r="Y616" s="315"/>
      <c r="Z616" s="315"/>
      <c r="AA616" s="315"/>
      <c r="AB616" s="315"/>
      <c r="AC616" s="315"/>
      <c r="AD616" s="315"/>
      <c r="AE616" s="315"/>
      <c r="AF616" s="315"/>
      <c r="AG616" s="315"/>
      <c r="AH616" s="315"/>
      <c r="AI616" s="315"/>
      <c r="AJ616" s="315"/>
      <c r="AK616" s="315"/>
      <c r="AL616" s="315"/>
      <c r="AM616" s="315"/>
      <c r="AN616" s="315"/>
    </row>
    <row r="617">
      <c r="A617" s="315"/>
      <c r="B617" s="315"/>
      <c r="C617" s="315"/>
      <c r="D617" s="315"/>
      <c r="E617" s="315"/>
      <c r="F617" s="315"/>
      <c r="G617" s="315"/>
      <c r="H617" s="315"/>
      <c r="I617" s="315"/>
      <c r="J617" s="315"/>
      <c r="K617" s="315"/>
      <c r="L617" s="315"/>
      <c r="M617" s="315"/>
      <c r="N617" s="315"/>
      <c r="O617" s="315"/>
      <c r="P617" s="315"/>
      <c r="Q617" s="315"/>
      <c r="R617" s="315"/>
      <c r="S617" s="315"/>
      <c r="T617" s="315"/>
      <c r="U617" s="315"/>
      <c r="V617" s="315"/>
      <c r="W617" s="315"/>
      <c r="X617" s="315"/>
      <c r="Y617" s="315"/>
      <c r="Z617" s="315"/>
      <c r="AA617" s="315"/>
      <c r="AB617" s="315"/>
      <c r="AC617" s="315"/>
      <c r="AD617" s="315"/>
      <c r="AE617" s="315"/>
      <c r="AF617" s="315"/>
      <c r="AG617" s="315"/>
      <c r="AH617" s="315"/>
      <c r="AI617" s="315"/>
      <c r="AJ617" s="315"/>
      <c r="AK617" s="315"/>
      <c r="AL617" s="315"/>
      <c r="AM617" s="315"/>
      <c r="AN617" s="315"/>
    </row>
    <row r="618">
      <c r="A618" s="315"/>
      <c r="B618" s="315"/>
      <c r="C618" s="315"/>
      <c r="D618" s="315"/>
      <c r="E618" s="315"/>
      <c r="F618" s="315"/>
      <c r="G618" s="315"/>
      <c r="H618" s="315"/>
      <c r="I618" s="315"/>
      <c r="J618" s="315"/>
      <c r="K618" s="315"/>
      <c r="L618" s="315"/>
      <c r="M618" s="315"/>
      <c r="N618" s="315"/>
      <c r="O618" s="315"/>
      <c r="P618" s="315"/>
      <c r="Q618" s="315"/>
      <c r="R618" s="315"/>
      <c r="S618" s="315"/>
      <c r="T618" s="315"/>
      <c r="U618" s="315"/>
      <c r="V618" s="315"/>
      <c r="W618" s="315"/>
      <c r="X618" s="315"/>
      <c r="Y618" s="315"/>
      <c r="Z618" s="315"/>
      <c r="AA618" s="315"/>
      <c r="AB618" s="315"/>
      <c r="AC618" s="315"/>
      <c r="AD618" s="315"/>
      <c r="AE618" s="315"/>
      <c r="AF618" s="315"/>
      <c r="AG618" s="315"/>
      <c r="AH618" s="315"/>
      <c r="AI618" s="315"/>
      <c r="AJ618" s="315"/>
      <c r="AK618" s="315"/>
      <c r="AL618" s="315"/>
      <c r="AM618" s="315"/>
      <c r="AN618" s="315"/>
    </row>
    <row r="619">
      <c r="A619" s="315"/>
      <c r="B619" s="315"/>
      <c r="C619" s="315"/>
      <c r="D619" s="315"/>
      <c r="E619" s="315"/>
      <c r="F619" s="315"/>
      <c r="G619" s="315"/>
      <c r="H619" s="315"/>
      <c r="I619" s="315"/>
      <c r="J619" s="315"/>
      <c r="K619" s="315"/>
      <c r="L619" s="315"/>
      <c r="M619" s="315"/>
      <c r="N619" s="315"/>
      <c r="O619" s="315"/>
      <c r="P619" s="315"/>
      <c r="Q619" s="315"/>
      <c r="R619" s="315"/>
      <c r="S619" s="315"/>
      <c r="T619" s="315"/>
      <c r="U619" s="315"/>
      <c r="V619" s="315"/>
      <c r="W619" s="315"/>
      <c r="X619" s="315"/>
      <c r="Y619" s="315"/>
      <c r="Z619" s="315"/>
      <c r="AA619" s="315"/>
      <c r="AB619" s="315"/>
      <c r="AC619" s="315"/>
      <c r="AD619" s="315"/>
      <c r="AE619" s="315"/>
      <c r="AF619" s="315"/>
      <c r="AG619" s="315"/>
      <c r="AH619" s="315"/>
      <c r="AI619" s="315"/>
      <c r="AJ619" s="315"/>
      <c r="AK619" s="315"/>
      <c r="AL619" s="315"/>
      <c r="AM619" s="315"/>
      <c r="AN619" s="315"/>
    </row>
    <row r="620">
      <c r="A620" s="315"/>
      <c r="B620" s="315"/>
      <c r="C620" s="315"/>
      <c r="D620" s="315"/>
      <c r="E620" s="315"/>
      <c r="F620" s="315"/>
      <c r="G620" s="315"/>
      <c r="H620" s="315"/>
      <c r="I620" s="315"/>
      <c r="J620" s="315"/>
      <c r="K620" s="315"/>
      <c r="L620" s="315"/>
      <c r="M620" s="315"/>
      <c r="N620" s="315"/>
      <c r="O620" s="315"/>
      <c r="P620" s="315"/>
      <c r="Q620" s="315"/>
      <c r="R620" s="315"/>
      <c r="S620" s="315"/>
      <c r="T620" s="315"/>
      <c r="U620" s="315"/>
      <c r="V620" s="315"/>
      <c r="W620" s="315"/>
      <c r="X620" s="315"/>
      <c r="Y620" s="315"/>
      <c r="Z620" s="315"/>
      <c r="AA620" s="315"/>
      <c r="AB620" s="315"/>
      <c r="AC620" s="315"/>
      <c r="AD620" s="315"/>
      <c r="AE620" s="315"/>
      <c r="AF620" s="315"/>
      <c r="AG620" s="315"/>
      <c r="AH620" s="315"/>
      <c r="AI620" s="315"/>
      <c r="AJ620" s="315"/>
      <c r="AK620" s="315"/>
      <c r="AL620" s="315"/>
      <c r="AM620" s="315"/>
      <c r="AN620" s="315"/>
    </row>
    <row r="621">
      <c r="A621" s="315"/>
      <c r="B621" s="315"/>
      <c r="C621" s="315"/>
      <c r="D621" s="315"/>
      <c r="E621" s="315"/>
      <c r="F621" s="315"/>
      <c r="G621" s="315"/>
      <c r="H621" s="315"/>
      <c r="I621" s="315"/>
      <c r="J621" s="315"/>
      <c r="K621" s="315"/>
      <c r="L621" s="315"/>
      <c r="M621" s="315"/>
      <c r="N621" s="315"/>
      <c r="O621" s="315"/>
      <c r="P621" s="315"/>
      <c r="Q621" s="315"/>
      <c r="R621" s="315"/>
      <c r="S621" s="315"/>
      <c r="T621" s="315"/>
      <c r="U621" s="315"/>
      <c r="V621" s="315"/>
      <c r="W621" s="315"/>
      <c r="X621" s="315"/>
      <c r="Y621" s="315"/>
      <c r="Z621" s="315"/>
      <c r="AA621" s="315"/>
      <c r="AB621" s="315"/>
      <c r="AC621" s="315"/>
      <c r="AD621" s="315"/>
      <c r="AE621" s="315"/>
      <c r="AF621" s="315"/>
      <c r="AG621" s="315"/>
      <c r="AH621" s="315"/>
      <c r="AI621" s="315"/>
      <c r="AJ621" s="315"/>
      <c r="AK621" s="315"/>
      <c r="AL621" s="315"/>
      <c r="AM621" s="315"/>
      <c r="AN621" s="315"/>
    </row>
    <row r="622">
      <c r="A622" s="315"/>
      <c r="B622" s="315"/>
      <c r="C622" s="315"/>
      <c r="D622" s="315"/>
      <c r="E622" s="315"/>
      <c r="F622" s="315"/>
      <c r="G622" s="315"/>
      <c r="H622" s="315"/>
      <c r="I622" s="315"/>
      <c r="J622" s="315"/>
      <c r="K622" s="315"/>
      <c r="L622" s="315"/>
      <c r="M622" s="315"/>
      <c r="N622" s="315"/>
      <c r="O622" s="315"/>
      <c r="P622" s="315"/>
      <c r="Q622" s="315"/>
      <c r="R622" s="315"/>
      <c r="S622" s="315"/>
      <c r="T622" s="315"/>
      <c r="U622" s="315"/>
      <c r="V622" s="315"/>
      <c r="W622" s="315"/>
      <c r="X622" s="315"/>
      <c r="Y622" s="315"/>
      <c r="Z622" s="315"/>
      <c r="AA622" s="315"/>
      <c r="AB622" s="315"/>
      <c r="AC622" s="315"/>
      <c r="AD622" s="315"/>
      <c r="AE622" s="315"/>
      <c r="AF622" s="315"/>
      <c r="AG622" s="315"/>
      <c r="AH622" s="315"/>
      <c r="AI622" s="315"/>
      <c r="AJ622" s="315"/>
      <c r="AK622" s="315"/>
      <c r="AL622" s="315"/>
      <c r="AM622" s="315"/>
      <c r="AN622" s="315"/>
    </row>
    <row r="623">
      <c r="A623" s="315"/>
      <c r="B623" s="315"/>
      <c r="C623" s="315"/>
      <c r="D623" s="315"/>
      <c r="E623" s="315"/>
      <c r="F623" s="315"/>
      <c r="G623" s="315"/>
      <c r="H623" s="315"/>
      <c r="I623" s="315"/>
      <c r="J623" s="315"/>
      <c r="K623" s="315"/>
      <c r="L623" s="315"/>
      <c r="M623" s="315"/>
      <c r="N623" s="315"/>
      <c r="O623" s="315"/>
      <c r="P623" s="315"/>
      <c r="Q623" s="315"/>
      <c r="R623" s="315"/>
      <c r="S623" s="315"/>
      <c r="T623" s="315"/>
      <c r="U623" s="315"/>
      <c r="V623" s="315"/>
      <c r="W623" s="315"/>
      <c r="X623" s="315"/>
      <c r="Y623" s="315"/>
      <c r="Z623" s="315"/>
      <c r="AA623" s="315"/>
      <c r="AB623" s="315"/>
      <c r="AC623" s="315"/>
      <c r="AD623" s="315"/>
      <c r="AE623" s="315"/>
      <c r="AF623" s="315"/>
      <c r="AG623" s="315"/>
      <c r="AH623" s="315"/>
      <c r="AI623" s="315"/>
      <c r="AJ623" s="315"/>
      <c r="AK623" s="315"/>
      <c r="AL623" s="315"/>
      <c r="AM623" s="315"/>
      <c r="AN623" s="315"/>
    </row>
    <row r="624">
      <c r="A624" s="315"/>
      <c r="B624" s="315"/>
      <c r="C624" s="315"/>
      <c r="D624" s="315"/>
      <c r="E624" s="315"/>
      <c r="F624" s="315"/>
      <c r="G624" s="315"/>
      <c r="H624" s="315"/>
      <c r="I624" s="315"/>
      <c r="J624" s="315"/>
      <c r="K624" s="315"/>
      <c r="L624" s="315"/>
      <c r="M624" s="315"/>
      <c r="N624" s="315"/>
      <c r="O624" s="315"/>
      <c r="P624" s="315"/>
      <c r="Q624" s="315"/>
      <c r="R624" s="315"/>
      <c r="S624" s="315"/>
      <c r="T624" s="315"/>
      <c r="U624" s="315"/>
      <c r="V624" s="315"/>
      <c r="W624" s="315"/>
      <c r="X624" s="315"/>
      <c r="Y624" s="315"/>
      <c r="Z624" s="315"/>
      <c r="AA624" s="315"/>
      <c r="AB624" s="315"/>
      <c r="AC624" s="315"/>
      <c r="AD624" s="315"/>
      <c r="AE624" s="315"/>
      <c r="AF624" s="315"/>
      <c r="AG624" s="315"/>
      <c r="AH624" s="315"/>
      <c r="AI624" s="315"/>
      <c r="AJ624" s="315"/>
      <c r="AK624" s="315"/>
      <c r="AL624" s="315"/>
      <c r="AM624" s="315"/>
      <c r="AN624" s="315"/>
    </row>
    <row r="625">
      <c r="A625" s="315"/>
      <c r="B625" s="315"/>
      <c r="C625" s="315"/>
      <c r="D625" s="315"/>
      <c r="E625" s="315"/>
      <c r="F625" s="315"/>
      <c r="G625" s="315"/>
      <c r="H625" s="315"/>
      <c r="I625" s="315"/>
      <c r="J625" s="315"/>
      <c r="K625" s="315"/>
      <c r="L625" s="315"/>
      <c r="M625" s="315"/>
      <c r="N625" s="315"/>
      <c r="O625" s="315"/>
      <c r="P625" s="315"/>
      <c r="Q625" s="315"/>
      <c r="R625" s="315"/>
      <c r="S625" s="315"/>
      <c r="T625" s="315"/>
      <c r="U625" s="315"/>
      <c r="V625" s="315"/>
      <c r="W625" s="315"/>
      <c r="X625" s="315"/>
      <c r="Y625" s="315"/>
      <c r="Z625" s="315"/>
      <c r="AA625" s="315"/>
      <c r="AB625" s="315"/>
      <c r="AC625" s="315"/>
      <c r="AD625" s="315"/>
      <c r="AE625" s="315"/>
      <c r="AF625" s="315"/>
      <c r="AG625" s="315"/>
      <c r="AH625" s="315"/>
      <c r="AI625" s="315"/>
      <c r="AJ625" s="315"/>
      <c r="AK625" s="315"/>
      <c r="AL625" s="315"/>
      <c r="AM625" s="315"/>
      <c r="AN625" s="315"/>
    </row>
    <row r="626">
      <c r="A626" s="315"/>
      <c r="B626" s="315"/>
      <c r="C626" s="315"/>
      <c r="D626" s="315"/>
      <c r="E626" s="315"/>
      <c r="F626" s="315"/>
      <c r="G626" s="315"/>
      <c r="H626" s="315"/>
      <c r="I626" s="315"/>
      <c r="J626" s="315"/>
      <c r="K626" s="315"/>
      <c r="L626" s="315"/>
      <c r="M626" s="315"/>
      <c r="N626" s="315"/>
      <c r="O626" s="315"/>
      <c r="P626" s="315"/>
      <c r="Q626" s="315"/>
      <c r="R626" s="315"/>
      <c r="S626" s="315"/>
      <c r="T626" s="315"/>
      <c r="U626" s="315"/>
      <c r="V626" s="315"/>
      <c r="W626" s="315"/>
      <c r="X626" s="315"/>
      <c r="Y626" s="315"/>
      <c r="Z626" s="315"/>
      <c r="AA626" s="315"/>
      <c r="AB626" s="315"/>
      <c r="AC626" s="315"/>
      <c r="AD626" s="315"/>
      <c r="AE626" s="315"/>
      <c r="AF626" s="315"/>
      <c r="AG626" s="315"/>
      <c r="AH626" s="315"/>
      <c r="AI626" s="315"/>
      <c r="AJ626" s="315"/>
      <c r="AK626" s="315"/>
      <c r="AL626" s="315"/>
      <c r="AM626" s="315"/>
      <c r="AN626" s="315"/>
    </row>
    <row r="627">
      <c r="A627" s="315"/>
      <c r="B627" s="315"/>
      <c r="C627" s="315"/>
      <c r="D627" s="315"/>
      <c r="E627" s="315"/>
      <c r="F627" s="315"/>
      <c r="G627" s="315"/>
      <c r="H627" s="315"/>
      <c r="I627" s="315"/>
      <c r="J627" s="315"/>
      <c r="K627" s="315"/>
      <c r="L627" s="315"/>
      <c r="M627" s="315"/>
      <c r="N627" s="315"/>
      <c r="O627" s="315"/>
      <c r="P627" s="315"/>
      <c r="Q627" s="315"/>
      <c r="R627" s="315"/>
      <c r="S627" s="315"/>
      <c r="T627" s="315"/>
      <c r="U627" s="315"/>
      <c r="V627" s="315"/>
      <c r="W627" s="315"/>
      <c r="X627" s="315"/>
      <c r="Y627" s="315"/>
      <c r="Z627" s="315"/>
      <c r="AA627" s="315"/>
      <c r="AB627" s="315"/>
      <c r="AC627" s="315"/>
      <c r="AD627" s="315"/>
      <c r="AE627" s="315"/>
      <c r="AF627" s="315"/>
      <c r="AG627" s="315"/>
      <c r="AH627" s="315"/>
      <c r="AI627" s="315"/>
      <c r="AJ627" s="315"/>
      <c r="AK627" s="315"/>
      <c r="AL627" s="315"/>
      <c r="AM627" s="315"/>
      <c r="AN627" s="315"/>
    </row>
    <row r="628">
      <c r="A628" s="315"/>
      <c r="B628" s="315"/>
      <c r="C628" s="315"/>
      <c r="D628" s="315"/>
      <c r="E628" s="315"/>
      <c r="F628" s="315"/>
      <c r="G628" s="315"/>
      <c r="H628" s="315"/>
      <c r="I628" s="315"/>
      <c r="J628" s="315"/>
      <c r="K628" s="315"/>
      <c r="L628" s="315"/>
      <c r="M628" s="315"/>
      <c r="N628" s="315"/>
      <c r="O628" s="315"/>
      <c r="P628" s="315"/>
      <c r="Q628" s="315"/>
      <c r="R628" s="315"/>
      <c r="S628" s="315"/>
      <c r="T628" s="315"/>
      <c r="U628" s="315"/>
      <c r="V628" s="315"/>
      <c r="W628" s="315"/>
      <c r="X628" s="315"/>
      <c r="Y628" s="315"/>
      <c r="Z628" s="315"/>
      <c r="AA628" s="315"/>
      <c r="AB628" s="315"/>
      <c r="AC628" s="315"/>
      <c r="AD628" s="315"/>
      <c r="AE628" s="315"/>
      <c r="AF628" s="315"/>
      <c r="AG628" s="315"/>
      <c r="AH628" s="315"/>
      <c r="AI628" s="315"/>
      <c r="AJ628" s="315"/>
      <c r="AK628" s="315"/>
      <c r="AL628" s="315"/>
      <c r="AM628" s="315"/>
      <c r="AN628" s="315"/>
    </row>
    <row r="629">
      <c r="A629" s="315"/>
      <c r="B629" s="315"/>
      <c r="C629" s="315"/>
      <c r="D629" s="315"/>
      <c r="E629" s="315"/>
      <c r="F629" s="315"/>
      <c r="G629" s="315"/>
      <c r="H629" s="315"/>
      <c r="I629" s="315"/>
      <c r="J629" s="315"/>
      <c r="K629" s="315"/>
      <c r="L629" s="315"/>
      <c r="M629" s="315"/>
      <c r="N629" s="315"/>
      <c r="O629" s="315"/>
      <c r="P629" s="315"/>
      <c r="Q629" s="315"/>
      <c r="R629" s="315"/>
      <c r="S629" s="315"/>
      <c r="T629" s="315"/>
      <c r="U629" s="315"/>
      <c r="V629" s="315"/>
      <c r="W629" s="315"/>
      <c r="X629" s="315"/>
      <c r="Y629" s="315"/>
      <c r="Z629" s="315"/>
      <c r="AA629" s="315"/>
      <c r="AB629" s="315"/>
      <c r="AC629" s="315"/>
      <c r="AD629" s="315"/>
      <c r="AE629" s="315"/>
      <c r="AF629" s="315"/>
      <c r="AG629" s="315"/>
      <c r="AH629" s="315"/>
      <c r="AI629" s="315"/>
      <c r="AJ629" s="315"/>
      <c r="AK629" s="315"/>
      <c r="AL629" s="315"/>
      <c r="AM629" s="315"/>
      <c r="AN629" s="315"/>
    </row>
    <row r="630">
      <c r="A630" s="315"/>
      <c r="B630" s="315"/>
      <c r="C630" s="315"/>
      <c r="D630" s="315"/>
      <c r="E630" s="315"/>
      <c r="F630" s="315"/>
      <c r="G630" s="315"/>
      <c r="H630" s="315"/>
      <c r="I630" s="315"/>
      <c r="J630" s="315"/>
      <c r="K630" s="315"/>
      <c r="L630" s="315"/>
      <c r="M630" s="315"/>
      <c r="N630" s="315"/>
      <c r="O630" s="315"/>
      <c r="P630" s="315"/>
      <c r="Q630" s="315"/>
      <c r="R630" s="315"/>
      <c r="S630" s="315"/>
      <c r="T630" s="315"/>
      <c r="U630" s="315"/>
      <c r="V630" s="315"/>
      <c r="W630" s="315"/>
      <c r="X630" s="315"/>
      <c r="Y630" s="315"/>
      <c r="Z630" s="315"/>
      <c r="AA630" s="315"/>
      <c r="AB630" s="315"/>
      <c r="AC630" s="315"/>
      <c r="AD630" s="315"/>
      <c r="AE630" s="315"/>
      <c r="AF630" s="315"/>
      <c r="AG630" s="315"/>
      <c r="AH630" s="315"/>
      <c r="AI630" s="315"/>
      <c r="AJ630" s="315"/>
      <c r="AK630" s="315"/>
      <c r="AL630" s="315"/>
      <c r="AM630" s="315"/>
      <c r="AN630" s="315"/>
    </row>
    <row r="631">
      <c r="A631" s="315"/>
      <c r="B631" s="315"/>
      <c r="C631" s="315"/>
      <c r="D631" s="315"/>
      <c r="E631" s="315"/>
      <c r="F631" s="315"/>
      <c r="G631" s="315"/>
      <c r="H631" s="315"/>
      <c r="I631" s="315"/>
      <c r="J631" s="315"/>
      <c r="K631" s="315"/>
      <c r="L631" s="315"/>
      <c r="M631" s="315"/>
      <c r="N631" s="315"/>
      <c r="O631" s="315"/>
      <c r="P631" s="315"/>
      <c r="Q631" s="315"/>
      <c r="R631" s="315"/>
      <c r="S631" s="315"/>
      <c r="T631" s="315"/>
      <c r="U631" s="315"/>
      <c r="V631" s="315"/>
      <c r="W631" s="315"/>
      <c r="X631" s="315"/>
      <c r="Y631" s="315"/>
      <c r="Z631" s="315"/>
      <c r="AA631" s="315"/>
      <c r="AB631" s="315"/>
      <c r="AC631" s="315"/>
      <c r="AD631" s="315"/>
      <c r="AE631" s="315"/>
      <c r="AF631" s="315"/>
      <c r="AG631" s="315"/>
      <c r="AH631" s="315"/>
      <c r="AI631" s="315"/>
      <c r="AJ631" s="315"/>
      <c r="AK631" s="315"/>
      <c r="AL631" s="315"/>
      <c r="AM631" s="315"/>
      <c r="AN631" s="315"/>
    </row>
    <row r="632">
      <c r="A632" s="315"/>
      <c r="B632" s="315"/>
      <c r="C632" s="315"/>
      <c r="D632" s="315"/>
      <c r="E632" s="315"/>
      <c r="F632" s="315"/>
      <c r="G632" s="315"/>
      <c r="H632" s="315"/>
      <c r="I632" s="315"/>
      <c r="J632" s="315"/>
      <c r="K632" s="315"/>
      <c r="L632" s="315"/>
      <c r="M632" s="315"/>
      <c r="N632" s="315"/>
      <c r="O632" s="315"/>
      <c r="P632" s="315"/>
      <c r="Q632" s="315"/>
      <c r="R632" s="315"/>
      <c r="S632" s="315"/>
      <c r="T632" s="315"/>
      <c r="U632" s="315"/>
      <c r="V632" s="315"/>
      <c r="W632" s="315"/>
      <c r="X632" s="315"/>
      <c r="Y632" s="315"/>
      <c r="Z632" s="315"/>
      <c r="AA632" s="315"/>
      <c r="AB632" s="315"/>
      <c r="AC632" s="315"/>
      <c r="AD632" s="315"/>
      <c r="AE632" s="315"/>
      <c r="AF632" s="315"/>
      <c r="AG632" s="315"/>
      <c r="AH632" s="315"/>
      <c r="AI632" s="315"/>
      <c r="AJ632" s="315"/>
      <c r="AK632" s="315"/>
      <c r="AL632" s="315"/>
      <c r="AM632" s="315"/>
      <c r="AN632" s="315"/>
    </row>
    <row r="633">
      <c r="A633" s="315"/>
      <c r="B633" s="315"/>
      <c r="C633" s="315"/>
      <c r="D633" s="315"/>
      <c r="E633" s="315"/>
      <c r="F633" s="315"/>
      <c r="G633" s="315"/>
      <c r="H633" s="315"/>
      <c r="I633" s="315"/>
      <c r="J633" s="315"/>
      <c r="K633" s="315"/>
      <c r="L633" s="315"/>
      <c r="M633" s="315"/>
      <c r="N633" s="315"/>
      <c r="O633" s="315"/>
      <c r="P633" s="315"/>
      <c r="Q633" s="315"/>
      <c r="R633" s="315"/>
      <c r="S633" s="315"/>
      <c r="T633" s="315"/>
      <c r="U633" s="315"/>
      <c r="V633" s="315"/>
      <c r="W633" s="315"/>
      <c r="X633" s="315"/>
      <c r="Y633" s="315"/>
      <c r="Z633" s="315"/>
      <c r="AA633" s="315"/>
      <c r="AB633" s="315"/>
      <c r="AC633" s="315"/>
      <c r="AD633" s="315"/>
      <c r="AE633" s="315"/>
      <c r="AF633" s="315"/>
      <c r="AG633" s="315"/>
      <c r="AH633" s="315"/>
      <c r="AI633" s="315"/>
      <c r="AJ633" s="315"/>
      <c r="AK633" s="315"/>
      <c r="AL633" s="315"/>
      <c r="AM633" s="315"/>
      <c r="AN633" s="315"/>
    </row>
    <row r="634">
      <c r="A634" s="315"/>
      <c r="B634" s="315"/>
      <c r="C634" s="315"/>
      <c r="D634" s="315"/>
      <c r="E634" s="315"/>
      <c r="F634" s="315"/>
      <c r="G634" s="315"/>
      <c r="H634" s="315"/>
      <c r="I634" s="315"/>
      <c r="J634" s="315"/>
      <c r="K634" s="315"/>
      <c r="L634" s="315"/>
      <c r="M634" s="315"/>
      <c r="N634" s="315"/>
      <c r="O634" s="315"/>
      <c r="P634" s="315"/>
      <c r="Q634" s="315"/>
      <c r="R634" s="315"/>
      <c r="S634" s="315"/>
      <c r="T634" s="315"/>
      <c r="U634" s="315"/>
      <c r="V634" s="315"/>
      <c r="W634" s="315"/>
      <c r="X634" s="315"/>
      <c r="Y634" s="315"/>
      <c r="Z634" s="315"/>
      <c r="AA634" s="315"/>
      <c r="AB634" s="315"/>
      <c r="AC634" s="315"/>
      <c r="AD634" s="315"/>
      <c r="AE634" s="315"/>
      <c r="AF634" s="315"/>
      <c r="AG634" s="315"/>
      <c r="AH634" s="315"/>
      <c r="AI634" s="315"/>
      <c r="AJ634" s="315"/>
      <c r="AK634" s="315"/>
      <c r="AL634" s="315"/>
      <c r="AM634" s="315"/>
      <c r="AN634" s="315"/>
    </row>
    <row r="635">
      <c r="A635" s="315"/>
      <c r="B635" s="315"/>
      <c r="C635" s="315"/>
      <c r="D635" s="315"/>
      <c r="E635" s="315"/>
      <c r="F635" s="315"/>
      <c r="G635" s="315"/>
      <c r="H635" s="315"/>
      <c r="I635" s="315"/>
      <c r="J635" s="315"/>
      <c r="K635" s="315"/>
      <c r="L635" s="315"/>
      <c r="M635" s="315"/>
      <c r="N635" s="315"/>
      <c r="O635" s="315"/>
      <c r="P635" s="315"/>
      <c r="Q635" s="315"/>
      <c r="R635" s="315"/>
      <c r="S635" s="315"/>
      <c r="T635" s="315"/>
      <c r="U635" s="315"/>
      <c r="V635" s="315"/>
      <c r="W635" s="315"/>
      <c r="X635" s="315"/>
      <c r="Y635" s="315"/>
      <c r="Z635" s="315"/>
      <c r="AA635" s="315"/>
      <c r="AB635" s="315"/>
      <c r="AC635" s="315"/>
      <c r="AD635" s="315"/>
      <c r="AE635" s="315"/>
      <c r="AF635" s="315"/>
      <c r="AG635" s="315"/>
      <c r="AH635" s="315"/>
      <c r="AI635" s="315"/>
      <c r="AJ635" s="315"/>
      <c r="AK635" s="315"/>
      <c r="AL635" s="315"/>
      <c r="AM635" s="315"/>
      <c r="AN635" s="315"/>
    </row>
    <row r="636">
      <c r="A636" s="315"/>
      <c r="B636" s="315"/>
      <c r="C636" s="315"/>
      <c r="D636" s="315"/>
      <c r="E636" s="315"/>
      <c r="F636" s="315"/>
      <c r="G636" s="315"/>
      <c r="H636" s="315"/>
      <c r="I636" s="315"/>
      <c r="J636" s="315"/>
      <c r="K636" s="315"/>
      <c r="L636" s="315"/>
      <c r="M636" s="315"/>
      <c r="N636" s="315"/>
      <c r="O636" s="315"/>
      <c r="P636" s="315"/>
      <c r="Q636" s="315"/>
      <c r="R636" s="315"/>
      <c r="S636" s="315"/>
      <c r="T636" s="315"/>
      <c r="U636" s="315"/>
      <c r="V636" s="315"/>
      <c r="W636" s="315"/>
      <c r="X636" s="315"/>
      <c r="Y636" s="315"/>
      <c r="Z636" s="315"/>
      <c r="AA636" s="315"/>
      <c r="AB636" s="315"/>
      <c r="AC636" s="315"/>
      <c r="AD636" s="315"/>
      <c r="AE636" s="315"/>
      <c r="AF636" s="315"/>
      <c r="AG636" s="315"/>
      <c r="AH636" s="315"/>
      <c r="AI636" s="315"/>
      <c r="AJ636" s="315"/>
      <c r="AK636" s="315"/>
      <c r="AL636" s="315"/>
      <c r="AM636" s="315"/>
      <c r="AN636" s="315"/>
    </row>
    <row r="637">
      <c r="A637" s="315"/>
      <c r="B637" s="315"/>
      <c r="C637" s="315"/>
      <c r="D637" s="315"/>
      <c r="E637" s="315"/>
      <c r="F637" s="315"/>
      <c r="G637" s="315"/>
      <c r="H637" s="315"/>
      <c r="I637" s="315"/>
      <c r="J637" s="315"/>
      <c r="K637" s="315"/>
      <c r="L637" s="315"/>
      <c r="M637" s="315"/>
      <c r="N637" s="315"/>
      <c r="O637" s="315"/>
      <c r="P637" s="315"/>
      <c r="Q637" s="315"/>
      <c r="R637" s="315"/>
      <c r="S637" s="315"/>
      <c r="T637" s="315"/>
      <c r="U637" s="315"/>
      <c r="V637" s="315"/>
      <c r="W637" s="315"/>
      <c r="X637" s="315"/>
      <c r="Y637" s="315"/>
      <c r="Z637" s="315"/>
      <c r="AA637" s="315"/>
      <c r="AB637" s="315"/>
      <c r="AC637" s="315"/>
      <c r="AD637" s="315"/>
      <c r="AE637" s="315"/>
      <c r="AF637" s="315"/>
      <c r="AG637" s="315"/>
      <c r="AH637" s="315"/>
      <c r="AI637" s="315"/>
      <c r="AJ637" s="315"/>
      <c r="AK637" s="315"/>
      <c r="AL637" s="315"/>
      <c r="AM637" s="315"/>
      <c r="AN637" s="315"/>
    </row>
    <row r="638">
      <c r="A638" s="315"/>
      <c r="B638" s="315"/>
      <c r="C638" s="315"/>
      <c r="D638" s="315"/>
      <c r="E638" s="315"/>
      <c r="F638" s="315"/>
      <c r="G638" s="315"/>
      <c r="H638" s="315"/>
      <c r="I638" s="315"/>
      <c r="J638" s="315"/>
      <c r="K638" s="315"/>
      <c r="L638" s="315"/>
      <c r="M638" s="315"/>
      <c r="N638" s="315"/>
      <c r="O638" s="315"/>
      <c r="P638" s="315"/>
      <c r="Q638" s="315"/>
      <c r="R638" s="315"/>
      <c r="S638" s="315"/>
      <c r="T638" s="315"/>
      <c r="U638" s="315"/>
      <c r="V638" s="315"/>
      <c r="W638" s="315"/>
      <c r="X638" s="315"/>
      <c r="Y638" s="315"/>
      <c r="Z638" s="315"/>
      <c r="AA638" s="315"/>
      <c r="AB638" s="315"/>
      <c r="AC638" s="315"/>
      <c r="AD638" s="315"/>
      <c r="AE638" s="315"/>
      <c r="AF638" s="315"/>
      <c r="AG638" s="315"/>
      <c r="AH638" s="315"/>
      <c r="AI638" s="315"/>
      <c r="AJ638" s="315"/>
      <c r="AK638" s="315"/>
      <c r="AL638" s="315"/>
      <c r="AM638" s="315"/>
      <c r="AN638" s="315"/>
    </row>
    <row r="639">
      <c r="A639" s="315"/>
      <c r="B639" s="315"/>
      <c r="C639" s="315"/>
      <c r="D639" s="315"/>
      <c r="E639" s="315"/>
      <c r="F639" s="315"/>
      <c r="G639" s="315"/>
      <c r="H639" s="315"/>
      <c r="I639" s="315"/>
      <c r="J639" s="315"/>
      <c r="K639" s="315"/>
      <c r="L639" s="315"/>
      <c r="M639" s="315"/>
      <c r="N639" s="315"/>
      <c r="O639" s="315"/>
      <c r="P639" s="315"/>
      <c r="Q639" s="315"/>
      <c r="R639" s="315"/>
      <c r="S639" s="315"/>
      <c r="T639" s="315"/>
      <c r="U639" s="315"/>
      <c r="V639" s="315"/>
      <c r="W639" s="315"/>
      <c r="X639" s="315"/>
      <c r="Y639" s="315"/>
      <c r="Z639" s="315"/>
      <c r="AA639" s="315"/>
      <c r="AB639" s="315"/>
      <c r="AC639" s="315"/>
      <c r="AD639" s="315"/>
      <c r="AE639" s="315"/>
      <c r="AF639" s="315"/>
      <c r="AG639" s="315"/>
      <c r="AH639" s="315"/>
      <c r="AI639" s="315"/>
      <c r="AJ639" s="315"/>
      <c r="AK639" s="315"/>
      <c r="AL639" s="315"/>
      <c r="AM639" s="315"/>
      <c r="AN639" s="315"/>
    </row>
    <row r="640">
      <c r="A640" s="315"/>
      <c r="B640" s="315"/>
      <c r="C640" s="315"/>
      <c r="D640" s="315"/>
      <c r="E640" s="315"/>
      <c r="F640" s="315"/>
      <c r="G640" s="315"/>
      <c r="H640" s="315"/>
      <c r="I640" s="315"/>
      <c r="J640" s="315"/>
      <c r="K640" s="315"/>
      <c r="L640" s="315"/>
      <c r="M640" s="315"/>
      <c r="N640" s="315"/>
      <c r="O640" s="315"/>
      <c r="P640" s="315"/>
      <c r="Q640" s="315"/>
      <c r="R640" s="315"/>
      <c r="S640" s="315"/>
      <c r="T640" s="315"/>
      <c r="U640" s="315"/>
      <c r="V640" s="315"/>
      <c r="W640" s="315"/>
      <c r="X640" s="315"/>
      <c r="Y640" s="315"/>
      <c r="Z640" s="315"/>
      <c r="AA640" s="315"/>
      <c r="AB640" s="315"/>
      <c r="AC640" s="315"/>
      <c r="AD640" s="315"/>
      <c r="AE640" s="315"/>
      <c r="AF640" s="315"/>
      <c r="AG640" s="315"/>
      <c r="AH640" s="315"/>
      <c r="AI640" s="315"/>
      <c r="AJ640" s="315"/>
      <c r="AK640" s="315"/>
      <c r="AL640" s="315"/>
      <c r="AM640" s="315"/>
      <c r="AN640" s="315"/>
    </row>
    <row r="641">
      <c r="A641" s="315"/>
      <c r="B641" s="315"/>
      <c r="C641" s="315"/>
      <c r="D641" s="315"/>
      <c r="E641" s="315"/>
      <c r="F641" s="315"/>
      <c r="G641" s="315"/>
      <c r="H641" s="315"/>
      <c r="I641" s="315"/>
      <c r="J641" s="315"/>
      <c r="K641" s="315"/>
      <c r="L641" s="315"/>
      <c r="M641" s="315"/>
      <c r="N641" s="315"/>
      <c r="O641" s="315"/>
      <c r="P641" s="315"/>
      <c r="Q641" s="315"/>
      <c r="R641" s="315"/>
      <c r="S641" s="315"/>
      <c r="T641" s="315"/>
      <c r="U641" s="315"/>
      <c r="V641" s="315"/>
      <c r="W641" s="315"/>
      <c r="X641" s="315"/>
      <c r="Y641" s="315"/>
      <c r="Z641" s="315"/>
      <c r="AA641" s="315"/>
      <c r="AB641" s="315"/>
      <c r="AC641" s="315"/>
      <c r="AD641" s="315"/>
      <c r="AE641" s="315"/>
      <c r="AF641" s="315"/>
      <c r="AG641" s="315"/>
      <c r="AH641" s="315"/>
      <c r="AI641" s="315"/>
      <c r="AJ641" s="315"/>
      <c r="AK641" s="315"/>
      <c r="AL641" s="315"/>
      <c r="AM641" s="315"/>
      <c r="AN641" s="315"/>
    </row>
    <row r="642">
      <c r="A642" s="315"/>
      <c r="B642" s="315"/>
      <c r="C642" s="315"/>
      <c r="D642" s="315"/>
      <c r="E642" s="315"/>
      <c r="F642" s="315"/>
      <c r="G642" s="315"/>
      <c r="H642" s="315"/>
      <c r="I642" s="315"/>
      <c r="J642" s="315"/>
      <c r="K642" s="315"/>
      <c r="L642" s="315"/>
      <c r="M642" s="315"/>
      <c r="N642" s="315"/>
      <c r="O642" s="315"/>
      <c r="P642" s="315"/>
      <c r="Q642" s="315"/>
      <c r="R642" s="315"/>
      <c r="S642" s="315"/>
      <c r="T642" s="315"/>
      <c r="U642" s="315"/>
      <c r="V642" s="315"/>
      <c r="W642" s="315"/>
      <c r="X642" s="315"/>
      <c r="Y642" s="315"/>
      <c r="Z642" s="315"/>
      <c r="AA642" s="315"/>
      <c r="AB642" s="315"/>
      <c r="AC642" s="315"/>
      <c r="AD642" s="315"/>
      <c r="AE642" s="315"/>
      <c r="AF642" s="315"/>
      <c r="AG642" s="315"/>
      <c r="AH642" s="315"/>
      <c r="AI642" s="315"/>
      <c r="AJ642" s="315"/>
      <c r="AK642" s="315"/>
      <c r="AL642" s="315"/>
      <c r="AM642" s="315"/>
      <c r="AN642" s="315"/>
    </row>
    <row r="643">
      <c r="A643" s="315"/>
      <c r="B643" s="315"/>
      <c r="C643" s="315"/>
      <c r="D643" s="315"/>
      <c r="E643" s="315"/>
      <c r="F643" s="315"/>
      <c r="G643" s="315"/>
      <c r="H643" s="315"/>
      <c r="I643" s="315"/>
      <c r="J643" s="315"/>
      <c r="K643" s="315"/>
      <c r="L643" s="315"/>
      <c r="M643" s="315"/>
      <c r="N643" s="315"/>
      <c r="O643" s="315"/>
      <c r="P643" s="315"/>
      <c r="Q643" s="315"/>
      <c r="R643" s="315"/>
      <c r="S643" s="315"/>
      <c r="T643" s="315"/>
      <c r="U643" s="315"/>
      <c r="V643" s="315"/>
      <c r="W643" s="315"/>
      <c r="X643" s="315"/>
      <c r="Y643" s="315"/>
      <c r="Z643" s="315"/>
      <c r="AA643" s="315"/>
      <c r="AB643" s="315"/>
      <c r="AC643" s="315"/>
      <c r="AD643" s="315"/>
      <c r="AE643" s="315"/>
      <c r="AF643" s="315"/>
      <c r="AG643" s="315"/>
      <c r="AH643" s="315"/>
      <c r="AI643" s="315"/>
      <c r="AJ643" s="315"/>
      <c r="AK643" s="315"/>
      <c r="AL643" s="315"/>
      <c r="AM643" s="315"/>
      <c r="AN643" s="315"/>
    </row>
    <row r="644">
      <c r="A644" s="315"/>
      <c r="B644" s="315"/>
      <c r="C644" s="315"/>
      <c r="D644" s="315"/>
      <c r="E644" s="315"/>
      <c r="F644" s="315"/>
      <c r="G644" s="315"/>
      <c r="H644" s="315"/>
      <c r="I644" s="315"/>
      <c r="J644" s="315"/>
      <c r="K644" s="315"/>
      <c r="L644" s="315"/>
      <c r="M644" s="315"/>
      <c r="N644" s="315"/>
      <c r="O644" s="315"/>
      <c r="P644" s="315"/>
      <c r="Q644" s="315"/>
      <c r="R644" s="315"/>
      <c r="S644" s="315"/>
      <c r="T644" s="315"/>
      <c r="U644" s="315"/>
      <c r="V644" s="315"/>
      <c r="W644" s="315"/>
      <c r="X644" s="315"/>
      <c r="Y644" s="315"/>
      <c r="Z644" s="315"/>
      <c r="AA644" s="315"/>
      <c r="AB644" s="315"/>
      <c r="AC644" s="315"/>
      <c r="AD644" s="315"/>
      <c r="AE644" s="315"/>
      <c r="AF644" s="315"/>
      <c r="AG644" s="315"/>
      <c r="AH644" s="315"/>
      <c r="AI644" s="315"/>
      <c r="AJ644" s="315"/>
      <c r="AK644" s="315"/>
      <c r="AL644" s="315"/>
      <c r="AM644" s="315"/>
      <c r="AN644" s="315"/>
    </row>
    <row r="645">
      <c r="A645" s="315"/>
      <c r="B645" s="315"/>
      <c r="C645" s="315"/>
      <c r="D645" s="315"/>
      <c r="E645" s="315"/>
      <c r="F645" s="315"/>
      <c r="G645" s="315"/>
      <c r="H645" s="315"/>
      <c r="I645" s="315"/>
      <c r="J645" s="315"/>
      <c r="K645" s="315"/>
      <c r="L645" s="315"/>
      <c r="M645" s="315"/>
      <c r="N645" s="315"/>
      <c r="O645" s="315"/>
      <c r="P645" s="315"/>
      <c r="Q645" s="315"/>
      <c r="R645" s="315"/>
      <c r="S645" s="315"/>
      <c r="T645" s="315"/>
      <c r="U645" s="315"/>
      <c r="V645" s="315"/>
      <c r="W645" s="315"/>
      <c r="X645" s="315"/>
      <c r="Y645" s="315"/>
      <c r="Z645" s="315"/>
      <c r="AA645" s="315"/>
      <c r="AB645" s="315"/>
      <c r="AC645" s="315"/>
      <c r="AD645" s="315"/>
      <c r="AE645" s="315"/>
      <c r="AF645" s="315"/>
      <c r="AG645" s="315"/>
      <c r="AH645" s="315"/>
      <c r="AI645" s="315"/>
      <c r="AJ645" s="315"/>
      <c r="AK645" s="315"/>
      <c r="AL645" s="315"/>
      <c r="AM645" s="315"/>
      <c r="AN645" s="315"/>
    </row>
    <row r="646">
      <c r="A646" s="315"/>
      <c r="B646" s="315"/>
      <c r="C646" s="315"/>
      <c r="D646" s="315"/>
      <c r="E646" s="315"/>
      <c r="F646" s="315"/>
      <c r="G646" s="315"/>
      <c r="H646" s="315"/>
      <c r="I646" s="315"/>
      <c r="J646" s="315"/>
      <c r="K646" s="315"/>
      <c r="L646" s="315"/>
      <c r="M646" s="315"/>
      <c r="N646" s="315"/>
      <c r="O646" s="315"/>
      <c r="P646" s="315"/>
      <c r="Q646" s="315"/>
      <c r="R646" s="315"/>
      <c r="S646" s="315"/>
      <c r="T646" s="315"/>
      <c r="U646" s="315"/>
      <c r="V646" s="315"/>
      <c r="W646" s="315"/>
      <c r="X646" s="315"/>
      <c r="Y646" s="315"/>
      <c r="Z646" s="315"/>
      <c r="AA646" s="315"/>
      <c r="AB646" s="315"/>
      <c r="AC646" s="315"/>
      <c r="AD646" s="315"/>
      <c r="AE646" s="315"/>
      <c r="AF646" s="315"/>
      <c r="AG646" s="315"/>
      <c r="AH646" s="315"/>
      <c r="AI646" s="315"/>
      <c r="AJ646" s="315"/>
      <c r="AK646" s="315"/>
      <c r="AL646" s="315"/>
      <c r="AM646" s="315"/>
      <c r="AN646" s="315"/>
    </row>
    <row r="647">
      <c r="A647" s="315"/>
      <c r="B647" s="315"/>
      <c r="C647" s="315"/>
      <c r="D647" s="315"/>
      <c r="E647" s="315"/>
      <c r="F647" s="315"/>
      <c r="G647" s="315"/>
      <c r="H647" s="315"/>
      <c r="I647" s="315"/>
      <c r="J647" s="315"/>
      <c r="K647" s="315"/>
      <c r="L647" s="315"/>
      <c r="M647" s="315"/>
      <c r="N647" s="315"/>
      <c r="O647" s="315"/>
      <c r="P647" s="315"/>
      <c r="Q647" s="315"/>
      <c r="R647" s="315"/>
      <c r="S647" s="315"/>
      <c r="T647" s="315"/>
      <c r="U647" s="315"/>
      <c r="V647" s="315"/>
      <c r="W647" s="315"/>
      <c r="X647" s="315"/>
      <c r="Y647" s="315"/>
      <c r="Z647" s="315"/>
      <c r="AA647" s="315"/>
      <c r="AB647" s="315"/>
      <c r="AC647" s="315"/>
      <c r="AD647" s="315"/>
      <c r="AE647" s="315"/>
      <c r="AF647" s="315"/>
      <c r="AG647" s="315"/>
      <c r="AH647" s="315"/>
      <c r="AI647" s="315"/>
      <c r="AJ647" s="315"/>
      <c r="AK647" s="315"/>
      <c r="AL647" s="315"/>
      <c r="AM647" s="315"/>
      <c r="AN647" s="315"/>
    </row>
    <row r="648">
      <c r="A648" s="315"/>
      <c r="B648" s="315"/>
      <c r="C648" s="315"/>
      <c r="D648" s="315"/>
      <c r="E648" s="315"/>
      <c r="F648" s="315"/>
      <c r="G648" s="315"/>
      <c r="H648" s="315"/>
      <c r="I648" s="315"/>
      <c r="J648" s="315"/>
      <c r="K648" s="315"/>
      <c r="L648" s="315"/>
      <c r="M648" s="315"/>
      <c r="N648" s="315"/>
      <c r="O648" s="315"/>
      <c r="P648" s="315"/>
      <c r="Q648" s="315"/>
      <c r="R648" s="315"/>
      <c r="S648" s="315"/>
      <c r="T648" s="315"/>
      <c r="U648" s="315"/>
      <c r="V648" s="315"/>
      <c r="W648" s="315"/>
      <c r="X648" s="315"/>
      <c r="Y648" s="315"/>
      <c r="Z648" s="315"/>
      <c r="AA648" s="315"/>
      <c r="AB648" s="315"/>
      <c r="AC648" s="315"/>
      <c r="AD648" s="315"/>
      <c r="AE648" s="315"/>
      <c r="AF648" s="315"/>
      <c r="AG648" s="315"/>
      <c r="AH648" s="315"/>
      <c r="AI648" s="315"/>
      <c r="AJ648" s="315"/>
      <c r="AK648" s="315"/>
      <c r="AL648" s="315"/>
      <c r="AM648" s="315"/>
      <c r="AN648" s="315"/>
    </row>
    <row r="649">
      <c r="A649" s="315"/>
      <c r="B649" s="315"/>
      <c r="C649" s="315"/>
      <c r="D649" s="315"/>
      <c r="E649" s="315"/>
      <c r="F649" s="315"/>
      <c r="G649" s="315"/>
      <c r="H649" s="315"/>
      <c r="I649" s="315"/>
      <c r="J649" s="315"/>
      <c r="K649" s="315"/>
      <c r="L649" s="315"/>
      <c r="M649" s="315"/>
      <c r="N649" s="315"/>
      <c r="O649" s="315"/>
      <c r="P649" s="315"/>
      <c r="Q649" s="315"/>
      <c r="R649" s="315"/>
      <c r="S649" s="315"/>
      <c r="T649" s="315"/>
      <c r="U649" s="315"/>
      <c r="V649" s="315"/>
      <c r="W649" s="315"/>
      <c r="X649" s="315"/>
      <c r="Y649" s="315"/>
      <c r="Z649" s="315"/>
      <c r="AA649" s="315"/>
      <c r="AB649" s="315"/>
      <c r="AC649" s="315"/>
      <c r="AD649" s="315"/>
      <c r="AE649" s="315"/>
      <c r="AF649" s="315"/>
      <c r="AG649" s="315"/>
      <c r="AH649" s="315"/>
      <c r="AI649" s="315"/>
      <c r="AJ649" s="315"/>
      <c r="AK649" s="315"/>
      <c r="AL649" s="315"/>
      <c r="AM649" s="315"/>
      <c r="AN649" s="315"/>
    </row>
    <row r="650">
      <c r="A650" s="315"/>
      <c r="B650" s="315"/>
      <c r="C650" s="315"/>
      <c r="D650" s="315"/>
      <c r="E650" s="315"/>
      <c r="F650" s="315"/>
      <c r="G650" s="315"/>
      <c r="H650" s="315"/>
      <c r="I650" s="315"/>
      <c r="J650" s="315"/>
      <c r="K650" s="315"/>
      <c r="L650" s="315"/>
      <c r="M650" s="315"/>
      <c r="N650" s="315"/>
      <c r="O650" s="315"/>
      <c r="P650" s="315"/>
      <c r="Q650" s="315"/>
      <c r="R650" s="315"/>
      <c r="S650" s="315"/>
      <c r="T650" s="315"/>
      <c r="U650" s="315"/>
      <c r="V650" s="315"/>
      <c r="W650" s="315"/>
      <c r="X650" s="315"/>
      <c r="Y650" s="315"/>
      <c r="Z650" s="315"/>
      <c r="AA650" s="315"/>
      <c r="AB650" s="315"/>
      <c r="AC650" s="315"/>
      <c r="AD650" s="315"/>
      <c r="AE650" s="315"/>
      <c r="AF650" s="315"/>
      <c r="AG650" s="315"/>
      <c r="AH650" s="315"/>
      <c r="AI650" s="315"/>
      <c r="AJ650" s="315"/>
      <c r="AK650" s="315"/>
      <c r="AL650" s="315"/>
      <c r="AM650" s="315"/>
      <c r="AN650" s="315"/>
    </row>
    <row r="651">
      <c r="A651" s="315"/>
      <c r="B651" s="315"/>
      <c r="C651" s="315"/>
      <c r="D651" s="315"/>
      <c r="E651" s="315"/>
      <c r="F651" s="315"/>
      <c r="G651" s="315"/>
      <c r="H651" s="315"/>
      <c r="I651" s="315"/>
      <c r="J651" s="315"/>
      <c r="K651" s="315"/>
      <c r="L651" s="315"/>
      <c r="M651" s="315"/>
      <c r="N651" s="315"/>
      <c r="O651" s="315"/>
      <c r="P651" s="315"/>
      <c r="Q651" s="315"/>
      <c r="R651" s="315"/>
      <c r="S651" s="315"/>
      <c r="T651" s="315"/>
      <c r="U651" s="315"/>
      <c r="V651" s="315"/>
      <c r="W651" s="315"/>
      <c r="X651" s="315"/>
      <c r="Y651" s="315"/>
      <c r="Z651" s="315"/>
      <c r="AA651" s="315"/>
      <c r="AB651" s="315"/>
      <c r="AC651" s="315"/>
      <c r="AD651" s="315"/>
      <c r="AE651" s="315"/>
      <c r="AF651" s="315"/>
      <c r="AG651" s="315"/>
      <c r="AH651" s="315"/>
      <c r="AI651" s="315"/>
      <c r="AJ651" s="315"/>
      <c r="AK651" s="315"/>
      <c r="AL651" s="315"/>
      <c r="AM651" s="315"/>
      <c r="AN651" s="315"/>
    </row>
    <row r="652">
      <c r="A652" s="315"/>
      <c r="B652" s="315"/>
      <c r="C652" s="315"/>
      <c r="D652" s="315"/>
      <c r="E652" s="315"/>
      <c r="F652" s="315"/>
      <c r="G652" s="315"/>
      <c r="H652" s="315"/>
      <c r="I652" s="315"/>
      <c r="J652" s="315"/>
      <c r="K652" s="315"/>
      <c r="L652" s="315"/>
      <c r="M652" s="315"/>
      <c r="N652" s="315"/>
      <c r="O652" s="315"/>
      <c r="P652" s="315"/>
      <c r="Q652" s="315"/>
      <c r="R652" s="315"/>
      <c r="S652" s="315"/>
      <c r="T652" s="315"/>
      <c r="U652" s="315"/>
      <c r="V652" s="315"/>
      <c r="W652" s="315"/>
      <c r="X652" s="315"/>
      <c r="Y652" s="315"/>
      <c r="Z652" s="315"/>
      <c r="AA652" s="315"/>
      <c r="AB652" s="315"/>
      <c r="AC652" s="315"/>
      <c r="AD652" s="315"/>
      <c r="AE652" s="315"/>
      <c r="AF652" s="315"/>
      <c r="AG652" s="315"/>
      <c r="AH652" s="315"/>
      <c r="AI652" s="315"/>
      <c r="AJ652" s="315"/>
      <c r="AK652" s="315"/>
      <c r="AL652" s="315"/>
      <c r="AM652" s="315"/>
      <c r="AN652" s="315"/>
    </row>
    <row r="653">
      <c r="A653" s="315"/>
      <c r="B653" s="315"/>
      <c r="C653" s="315"/>
      <c r="D653" s="315"/>
      <c r="E653" s="315"/>
      <c r="F653" s="315"/>
      <c r="G653" s="315"/>
      <c r="H653" s="315"/>
      <c r="I653" s="315"/>
      <c r="J653" s="315"/>
      <c r="K653" s="315"/>
      <c r="L653" s="315"/>
      <c r="M653" s="315"/>
      <c r="N653" s="315"/>
      <c r="O653" s="315"/>
      <c r="P653" s="315"/>
      <c r="Q653" s="315"/>
      <c r="R653" s="315"/>
      <c r="S653" s="315"/>
      <c r="T653" s="315"/>
      <c r="U653" s="315"/>
      <c r="V653" s="315"/>
      <c r="W653" s="315"/>
      <c r="X653" s="315"/>
      <c r="Y653" s="315"/>
      <c r="Z653" s="315"/>
      <c r="AA653" s="315"/>
      <c r="AB653" s="315"/>
      <c r="AC653" s="315"/>
      <c r="AD653" s="315"/>
      <c r="AE653" s="315"/>
      <c r="AF653" s="315"/>
      <c r="AG653" s="315"/>
      <c r="AH653" s="315"/>
      <c r="AI653" s="315"/>
      <c r="AJ653" s="315"/>
      <c r="AK653" s="315"/>
      <c r="AL653" s="315"/>
      <c r="AM653" s="315"/>
      <c r="AN653" s="315"/>
    </row>
    <row r="654">
      <c r="A654" s="315"/>
      <c r="B654" s="315"/>
      <c r="C654" s="315"/>
      <c r="D654" s="315"/>
      <c r="E654" s="315"/>
      <c r="F654" s="315"/>
      <c r="G654" s="315"/>
      <c r="H654" s="315"/>
      <c r="I654" s="315"/>
      <c r="J654" s="315"/>
      <c r="K654" s="315"/>
      <c r="L654" s="315"/>
      <c r="M654" s="315"/>
      <c r="N654" s="315"/>
      <c r="O654" s="315"/>
      <c r="P654" s="315"/>
      <c r="Q654" s="315"/>
      <c r="R654" s="315"/>
      <c r="S654" s="315"/>
      <c r="T654" s="315"/>
      <c r="U654" s="315"/>
      <c r="V654" s="315"/>
      <c r="W654" s="315"/>
      <c r="X654" s="315"/>
      <c r="Y654" s="315"/>
      <c r="Z654" s="315"/>
      <c r="AA654" s="315"/>
      <c r="AB654" s="315"/>
      <c r="AC654" s="315"/>
      <c r="AD654" s="315"/>
      <c r="AE654" s="315"/>
      <c r="AF654" s="315"/>
      <c r="AG654" s="315"/>
      <c r="AH654" s="315"/>
      <c r="AI654" s="315"/>
      <c r="AJ654" s="315"/>
      <c r="AK654" s="315"/>
      <c r="AL654" s="315"/>
      <c r="AM654" s="315"/>
      <c r="AN654" s="315"/>
    </row>
    <row r="655">
      <c r="A655" s="315"/>
      <c r="B655" s="315"/>
      <c r="C655" s="315"/>
      <c r="D655" s="315"/>
      <c r="E655" s="315"/>
      <c r="F655" s="315"/>
      <c r="G655" s="315"/>
      <c r="H655" s="315"/>
      <c r="I655" s="315"/>
      <c r="J655" s="315"/>
      <c r="K655" s="315"/>
      <c r="L655" s="315"/>
      <c r="M655" s="315"/>
      <c r="N655" s="315"/>
      <c r="O655" s="315"/>
      <c r="P655" s="315"/>
      <c r="Q655" s="315"/>
      <c r="R655" s="315"/>
      <c r="S655" s="315"/>
      <c r="T655" s="315"/>
      <c r="U655" s="315"/>
      <c r="V655" s="315"/>
      <c r="W655" s="315"/>
      <c r="X655" s="315"/>
      <c r="Y655" s="315"/>
      <c r="Z655" s="315"/>
      <c r="AA655" s="315"/>
      <c r="AB655" s="315"/>
      <c r="AC655" s="315"/>
      <c r="AD655" s="315"/>
      <c r="AE655" s="315"/>
      <c r="AF655" s="315"/>
      <c r="AG655" s="315"/>
      <c r="AH655" s="315"/>
      <c r="AI655" s="315"/>
      <c r="AJ655" s="315"/>
      <c r="AK655" s="315"/>
      <c r="AL655" s="315"/>
      <c r="AM655" s="315"/>
      <c r="AN655" s="315"/>
    </row>
    <row r="656">
      <c r="A656" s="315"/>
      <c r="B656" s="315"/>
      <c r="C656" s="315"/>
      <c r="D656" s="315"/>
      <c r="E656" s="315"/>
      <c r="F656" s="315"/>
      <c r="G656" s="315"/>
      <c r="H656" s="315"/>
      <c r="I656" s="315"/>
      <c r="J656" s="315"/>
      <c r="K656" s="315"/>
      <c r="L656" s="315"/>
      <c r="M656" s="315"/>
      <c r="N656" s="315"/>
      <c r="O656" s="315"/>
      <c r="P656" s="315"/>
      <c r="Q656" s="315"/>
      <c r="R656" s="315"/>
      <c r="S656" s="315"/>
      <c r="T656" s="315"/>
      <c r="U656" s="315"/>
      <c r="V656" s="315"/>
      <c r="W656" s="315"/>
      <c r="X656" s="315"/>
      <c r="Y656" s="315"/>
      <c r="Z656" s="315"/>
      <c r="AA656" s="315"/>
      <c r="AB656" s="315"/>
      <c r="AC656" s="315"/>
      <c r="AD656" s="315"/>
      <c r="AE656" s="315"/>
      <c r="AF656" s="315"/>
      <c r="AG656" s="315"/>
      <c r="AH656" s="315"/>
      <c r="AI656" s="315"/>
      <c r="AJ656" s="315"/>
      <c r="AK656" s="315"/>
      <c r="AL656" s="315"/>
      <c r="AM656" s="315"/>
      <c r="AN656" s="315"/>
    </row>
    <row r="657">
      <c r="A657" s="315"/>
      <c r="B657" s="315"/>
      <c r="C657" s="315"/>
      <c r="D657" s="315"/>
      <c r="E657" s="315"/>
      <c r="F657" s="315"/>
      <c r="G657" s="315"/>
      <c r="H657" s="315"/>
      <c r="I657" s="315"/>
      <c r="J657" s="315"/>
      <c r="K657" s="315"/>
      <c r="L657" s="315"/>
      <c r="M657" s="315"/>
      <c r="N657" s="315"/>
      <c r="O657" s="315"/>
      <c r="P657" s="315"/>
      <c r="Q657" s="315"/>
      <c r="R657" s="315"/>
      <c r="S657" s="315"/>
      <c r="T657" s="315"/>
      <c r="U657" s="315"/>
      <c r="V657" s="315"/>
      <c r="W657" s="315"/>
      <c r="X657" s="315"/>
      <c r="Y657" s="315"/>
      <c r="Z657" s="315"/>
      <c r="AA657" s="315"/>
      <c r="AB657" s="315"/>
      <c r="AC657" s="315"/>
      <c r="AD657" s="315"/>
      <c r="AE657" s="315"/>
      <c r="AF657" s="315"/>
      <c r="AG657" s="315"/>
      <c r="AH657" s="315"/>
      <c r="AI657" s="315"/>
      <c r="AJ657" s="315"/>
      <c r="AK657" s="315"/>
      <c r="AL657" s="315"/>
      <c r="AM657" s="315"/>
      <c r="AN657" s="315"/>
    </row>
    <row r="658">
      <c r="A658" s="315"/>
      <c r="B658" s="315"/>
      <c r="C658" s="315"/>
      <c r="D658" s="315"/>
      <c r="E658" s="315"/>
      <c r="F658" s="315"/>
      <c r="G658" s="315"/>
      <c r="H658" s="315"/>
      <c r="I658" s="315"/>
      <c r="J658" s="315"/>
      <c r="K658" s="315"/>
      <c r="L658" s="315"/>
      <c r="M658" s="315"/>
      <c r="N658" s="315"/>
      <c r="O658" s="315"/>
      <c r="P658" s="315"/>
      <c r="Q658" s="315"/>
      <c r="R658" s="315"/>
      <c r="S658" s="315"/>
      <c r="T658" s="315"/>
      <c r="U658" s="315"/>
      <c r="V658" s="315"/>
      <c r="W658" s="315"/>
      <c r="X658" s="315"/>
      <c r="Y658" s="315"/>
      <c r="Z658" s="315"/>
      <c r="AA658" s="315"/>
      <c r="AB658" s="315"/>
      <c r="AC658" s="315"/>
      <c r="AD658" s="315"/>
      <c r="AE658" s="315"/>
      <c r="AF658" s="315"/>
      <c r="AG658" s="315"/>
      <c r="AH658" s="315"/>
      <c r="AI658" s="315"/>
      <c r="AJ658" s="315"/>
      <c r="AK658" s="315"/>
      <c r="AL658" s="315"/>
      <c r="AM658" s="315"/>
      <c r="AN658" s="315"/>
    </row>
    <row r="659">
      <c r="A659" s="315"/>
      <c r="B659" s="315"/>
      <c r="C659" s="315"/>
      <c r="D659" s="315"/>
      <c r="E659" s="315"/>
      <c r="F659" s="315"/>
      <c r="G659" s="315"/>
      <c r="H659" s="315"/>
      <c r="I659" s="315"/>
      <c r="J659" s="315"/>
      <c r="K659" s="315"/>
      <c r="L659" s="315"/>
      <c r="M659" s="315"/>
      <c r="N659" s="315"/>
      <c r="O659" s="315"/>
      <c r="P659" s="315"/>
      <c r="Q659" s="315"/>
      <c r="R659" s="315"/>
      <c r="S659" s="315"/>
      <c r="T659" s="315"/>
      <c r="U659" s="315"/>
      <c r="V659" s="315"/>
      <c r="W659" s="315"/>
      <c r="X659" s="315"/>
      <c r="Y659" s="315"/>
      <c r="Z659" s="315"/>
      <c r="AA659" s="315"/>
      <c r="AB659" s="315"/>
      <c r="AC659" s="315"/>
      <c r="AD659" s="315"/>
      <c r="AE659" s="315"/>
      <c r="AF659" s="315"/>
      <c r="AG659" s="315"/>
      <c r="AH659" s="315"/>
      <c r="AI659" s="315"/>
      <c r="AJ659" s="315"/>
      <c r="AK659" s="315"/>
      <c r="AL659" s="315"/>
      <c r="AM659" s="315"/>
      <c r="AN659" s="315"/>
    </row>
    <row r="660">
      <c r="A660" s="315"/>
      <c r="B660" s="315"/>
      <c r="C660" s="315"/>
      <c r="D660" s="315"/>
      <c r="E660" s="315"/>
      <c r="F660" s="315"/>
      <c r="G660" s="315"/>
      <c r="H660" s="315"/>
      <c r="I660" s="315"/>
      <c r="J660" s="315"/>
      <c r="K660" s="315"/>
      <c r="L660" s="315"/>
      <c r="M660" s="315"/>
      <c r="N660" s="315"/>
      <c r="O660" s="315"/>
      <c r="P660" s="315"/>
      <c r="Q660" s="315"/>
      <c r="R660" s="315"/>
      <c r="S660" s="315"/>
      <c r="T660" s="315"/>
      <c r="U660" s="315"/>
      <c r="V660" s="315"/>
      <c r="W660" s="315"/>
      <c r="X660" s="315"/>
      <c r="Y660" s="315"/>
      <c r="Z660" s="315"/>
      <c r="AA660" s="315"/>
      <c r="AB660" s="315"/>
      <c r="AC660" s="315"/>
      <c r="AD660" s="315"/>
      <c r="AE660" s="315"/>
      <c r="AF660" s="315"/>
      <c r="AG660" s="315"/>
      <c r="AH660" s="315"/>
      <c r="AI660" s="315"/>
      <c r="AJ660" s="315"/>
      <c r="AK660" s="315"/>
      <c r="AL660" s="315"/>
      <c r="AM660" s="315"/>
      <c r="AN660" s="315"/>
    </row>
    <row r="661">
      <c r="A661" s="315"/>
      <c r="B661" s="315"/>
      <c r="C661" s="315"/>
      <c r="D661" s="315"/>
      <c r="E661" s="315"/>
      <c r="F661" s="315"/>
      <c r="G661" s="315"/>
      <c r="H661" s="315"/>
      <c r="I661" s="315"/>
      <c r="J661" s="315"/>
      <c r="K661" s="315"/>
      <c r="L661" s="315"/>
      <c r="M661" s="315"/>
      <c r="N661" s="315"/>
      <c r="O661" s="315"/>
      <c r="P661" s="315"/>
      <c r="Q661" s="315"/>
      <c r="R661" s="315"/>
      <c r="S661" s="315"/>
      <c r="T661" s="315"/>
      <c r="U661" s="315"/>
      <c r="V661" s="315"/>
      <c r="W661" s="315"/>
      <c r="X661" s="315"/>
      <c r="Y661" s="315"/>
      <c r="Z661" s="315"/>
      <c r="AA661" s="315"/>
      <c r="AB661" s="315"/>
      <c r="AC661" s="315"/>
      <c r="AD661" s="315"/>
      <c r="AE661" s="315"/>
      <c r="AF661" s="315"/>
      <c r="AG661" s="315"/>
      <c r="AH661" s="315"/>
      <c r="AI661" s="315"/>
      <c r="AJ661" s="315"/>
      <c r="AK661" s="315"/>
      <c r="AL661" s="315"/>
      <c r="AM661" s="315"/>
      <c r="AN661" s="315"/>
    </row>
    <row r="662">
      <c r="A662" s="315"/>
      <c r="B662" s="315"/>
      <c r="C662" s="315"/>
      <c r="D662" s="315"/>
      <c r="E662" s="315"/>
      <c r="F662" s="315"/>
      <c r="G662" s="315"/>
      <c r="H662" s="315"/>
      <c r="I662" s="315"/>
      <c r="J662" s="315"/>
      <c r="K662" s="315"/>
      <c r="L662" s="315"/>
      <c r="M662" s="315"/>
      <c r="N662" s="315"/>
      <c r="O662" s="315"/>
      <c r="P662" s="315"/>
      <c r="Q662" s="315"/>
      <c r="R662" s="315"/>
      <c r="S662" s="315"/>
      <c r="T662" s="315"/>
      <c r="U662" s="315"/>
      <c r="V662" s="315"/>
      <c r="W662" s="315"/>
      <c r="X662" s="315"/>
      <c r="Y662" s="315"/>
      <c r="Z662" s="315"/>
      <c r="AA662" s="315"/>
      <c r="AB662" s="315"/>
      <c r="AC662" s="315"/>
      <c r="AD662" s="315"/>
      <c r="AE662" s="315"/>
      <c r="AF662" s="315"/>
      <c r="AG662" s="315"/>
      <c r="AH662" s="315"/>
      <c r="AI662" s="315"/>
      <c r="AJ662" s="315"/>
      <c r="AK662" s="315"/>
      <c r="AL662" s="315"/>
      <c r="AM662" s="315"/>
      <c r="AN662" s="315"/>
    </row>
    <row r="663">
      <c r="A663" s="315"/>
      <c r="B663" s="315"/>
      <c r="C663" s="315"/>
      <c r="D663" s="315"/>
      <c r="E663" s="315"/>
      <c r="F663" s="315"/>
      <c r="G663" s="315"/>
      <c r="H663" s="315"/>
      <c r="I663" s="315"/>
      <c r="J663" s="315"/>
      <c r="K663" s="315"/>
      <c r="L663" s="315"/>
      <c r="M663" s="315"/>
      <c r="N663" s="315"/>
      <c r="O663" s="315"/>
      <c r="P663" s="315"/>
      <c r="Q663" s="315"/>
      <c r="R663" s="315"/>
      <c r="S663" s="315"/>
      <c r="T663" s="315"/>
      <c r="U663" s="315"/>
      <c r="V663" s="315"/>
      <c r="W663" s="315"/>
      <c r="X663" s="315"/>
      <c r="Y663" s="315"/>
      <c r="Z663" s="315"/>
      <c r="AA663" s="315"/>
      <c r="AB663" s="315"/>
      <c r="AC663" s="315"/>
      <c r="AD663" s="315"/>
      <c r="AE663" s="315"/>
      <c r="AF663" s="315"/>
      <c r="AG663" s="315"/>
      <c r="AH663" s="315"/>
      <c r="AI663" s="315"/>
      <c r="AJ663" s="315"/>
      <c r="AK663" s="315"/>
      <c r="AL663" s="315"/>
      <c r="AM663" s="315"/>
      <c r="AN663" s="315"/>
    </row>
    <row r="664">
      <c r="A664" s="315"/>
      <c r="B664" s="315"/>
      <c r="C664" s="315"/>
      <c r="D664" s="315"/>
      <c r="E664" s="315"/>
      <c r="F664" s="315"/>
      <c r="G664" s="315"/>
      <c r="H664" s="315"/>
      <c r="I664" s="315"/>
      <c r="J664" s="315"/>
      <c r="K664" s="315"/>
      <c r="L664" s="315"/>
      <c r="M664" s="315"/>
      <c r="N664" s="315"/>
      <c r="O664" s="315"/>
      <c r="P664" s="315"/>
      <c r="Q664" s="315"/>
      <c r="R664" s="315"/>
      <c r="S664" s="315"/>
      <c r="T664" s="315"/>
      <c r="U664" s="315"/>
      <c r="V664" s="315"/>
      <c r="W664" s="315"/>
      <c r="X664" s="315"/>
      <c r="Y664" s="315"/>
      <c r="Z664" s="315"/>
      <c r="AA664" s="315"/>
      <c r="AB664" s="315"/>
      <c r="AC664" s="315"/>
      <c r="AD664" s="315"/>
      <c r="AE664" s="315"/>
      <c r="AF664" s="315"/>
      <c r="AG664" s="315"/>
      <c r="AH664" s="315"/>
      <c r="AI664" s="315"/>
      <c r="AJ664" s="315"/>
      <c r="AK664" s="315"/>
      <c r="AL664" s="315"/>
      <c r="AM664" s="315"/>
      <c r="AN664" s="315"/>
    </row>
    <row r="665">
      <c r="A665" s="315"/>
      <c r="B665" s="315"/>
      <c r="C665" s="315"/>
      <c r="D665" s="315"/>
      <c r="E665" s="315"/>
      <c r="F665" s="315"/>
      <c r="G665" s="315"/>
      <c r="H665" s="315"/>
      <c r="I665" s="315"/>
      <c r="J665" s="315"/>
      <c r="K665" s="315"/>
      <c r="L665" s="315"/>
      <c r="M665" s="315"/>
      <c r="N665" s="315"/>
      <c r="O665" s="315"/>
      <c r="P665" s="315"/>
      <c r="Q665" s="315"/>
      <c r="R665" s="315"/>
      <c r="S665" s="315"/>
      <c r="T665" s="315"/>
      <c r="U665" s="315"/>
      <c r="V665" s="315"/>
      <c r="W665" s="315"/>
      <c r="X665" s="315"/>
      <c r="Y665" s="315"/>
      <c r="Z665" s="315"/>
      <c r="AA665" s="315"/>
      <c r="AB665" s="315"/>
      <c r="AC665" s="315"/>
      <c r="AD665" s="315"/>
      <c r="AE665" s="315"/>
      <c r="AF665" s="315"/>
      <c r="AG665" s="315"/>
      <c r="AH665" s="315"/>
      <c r="AI665" s="315"/>
      <c r="AJ665" s="315"/>
      <c r="AK665" s="315"/>
      <c r="AL665" s="315"/>
      <c r="AM665" s="315"/>
      <c r="AN665" s="315"/>
    </row>
    <row r="666">
      <c r="A666" s="315"/>
      <c r="B666" s="315"/>
      <c r="C666" s="315"/>
      <c r="D666" s="315"/>
      <c r="E666" s="315"/>
      <c r="F666" s="315"/>
      <c r="G666" s="315"/>
      <c r="H666" s="315"/>
      <c r="I666" s="315"/>
      <c r="J666" s="315"/>
      <c r="K666" s="315"/>
      <c r="L666" s="315"/>
      <c r="M666" s="315"/>
      <c r="N666" s="315"/>
      <c r="O666" s="315"/>
      <c r="P666" s="315"/>
      <c r="Q666" s="315"/>
      <c r="R666" s="315"/>
      <c r="S666" s="315"/>
      <c r="T666" s="315"/>
      <c r="U666" s="315"/>
      <c r="V666" s="315"/>
      <c r="W666" s="315"/>
      <c r="X666" s="315"/>
      <c r="Y666" s="315"/>
      <c r="Z666" s="315"/>
      <c r="AA666" s="315"/>
      <c r="AB666" s="315"/>
      <c r="AC666" s="315"/>
      <c r="AD666" s="315"/>
      <c r="AE666" s="315"/>
      <c r="AF666" s="315"/>
      <c r="AG666" s="315"/>
      <c r="AH666" s="315"/>
      <c r="AI666" s="315"/>
      <c r="AJ666" s="315"/>
      <c r="AK666" s="315"/>
      <c r="AL666" s="315"/>
      <c r="AM666" s="315"/>
      <c r="AN666" s="315"/>
    </row>
    <row r="667">
      <c r="A667" s="315"/>
      <c r="B667" s="315"/>
      <c r="C667" s="315"/>
      <c r="D667" s="315"/>
      <c r="E667" s="315"/>
      <c r="F667" s="315"/>
      <c r="G667" s="315"/>
      <c r="H667" s="315"/>
      <c r="I667" s="315"/>
      <c r="J667" s="315"/>
      <c r="K667" s="315"/>
      <c r="L667" s="315"/>
      <c r="M667" s="315"/>
      <c r="N667" s="315"/>
      <c r="O667" s="315"/>
      <c r="P667" s="315"/>
      <c r="Q667" s="315"/>
      <c r="R667" s="315"/>
      <c r="S667" s="315"/>
      <c r="T667" s="315"/>
      <c r="U667" s="315"/>
      <c r="V667" s="315"/>
      <c r="W667" s="315"/>
      <c r="X667" s="315"/>
      <c r="Y667" s="315"/>
      <c r="Z667" s="315"/>
      <c r="AA667" s="315"/>
      <c r="AB667" s="315"/>
      <c r="AC667" s="315"/>
      <c r="AD667" s="315"/>
      <c r="AE667" s="315"/>
      <c r="AF667" s="315"/>
      <c r="AG667" s="315"/>
      <c r="AH667" s="315"/>
      <c r="AI667" s="315"/>
      <c r="AJ667" s="315"/>
      <c r="AK667" s="315"/>
      <c r="AL667" s="315"/>
      <c r="AM667" s="315"/>
      <c r="AN667" s="315"/>
    </row>
    <row r="668">
      <c r="A668" s="315"/>
      <c r="B668" s="315"/>
      <c r="C668" s="315"/>
      <c r="D668" s="315"/>
      <c r="E668" s="315"/>
      <c r="F668" s="315"/>
      <c r="G668" s="315"/>
      <c r="H668" s="315"/>
      <c r="I668" s="315"/>
      <c r="J668" s="315"/>
      <c r="K668" s="315"/>
      <c r="L668" s="315"/>
      <c r="M668" s="315"/>
      <c r="N668" s="315"/>
      <c r="O668" s="315"/>
      <c r="P668" s="315"/>
      <c r="Q668" s="315"/>
      <c r="R668" s="315"/>
      <c r="S668" s="315"/>
      <c r="T668" s="315"/>
      <c r="U668" s="315"/>
      <c r="V668" s="315"/>
      <c r="W668" s="315"/>
      <c r="X668" s="315"/>
      <c r="Y668" s="315"/>
      <c r="Z668" s="315"/>
      <c r="AA668" s="315"/>
      <c r="AB668" s="315"/>
      <c r="AC668" s="315"/>
      <c r="AD668" s="315"/>
      <c r="AE668" s="315"/>
      <c r="AF668" s="315"/>
      <c r="AG668" s="315"/>
      <c r="AH668" s="315"/>
      <c r="AI668" s="315"/>
      <c r="AJ668" s="315"/>
      <c r="AK668" s="315"/>
      <c r="AL668" s="315"/>
      <c r="AM668" s="315"/>
      <c r="AN668" s="315"/>
    </row>
    <row r="669">
      <c r="A669" s="315"/>
      <c r="B669" s="315"/>
      <c r="C669" s="315"/>
      <c r="D669" s="315"/>
      <c r="E669" s="315"/>
      <c r="F669" s="315"/>
      <c r="G669" s="315"/>
      <c r="H669" s="315"/>
      <c r="I669" s="315"/>
      <c r="J669" s="315"/>
      <c r="K669" s="315"/>
      <c r="L669" s="315"/>
      <c r="M669" s="315"/>
      <c r="N669" s="315"/>
      <c r="O669" s="315"/>
      <c r="P669" s="315"/>
      <c r="Q669" s="315"/>
      <c r="R669" s="315"/>
      <c r="S669" s="315"/>
      <c r="T669" s="315"/>
      <c r="U669" s="315"/>
      <c r="V669" s="315"/>
      <c r="W669" s="315"/>
      <c r="X669" s="315"/>
      <c r="Y669" s="315"/>
      <c r="Z669" s="315"/>
      <c r="AA669" s="315"/>
      <c r="AB669" s="315"/>
      <c r="AC669" s="315"/>
      <c r="AD669" s="315"/>
      <c r="AE669" s="315"/>
      <c r="AF669" s="315"/>
      <c r="AG669" s="315"/>
      <c r="AH669" s="315"/>
      <c r="AI669" s="315"/>
      <c r="AJ669" s="315"/>
      <c r="AK669" s="315"/>
      <c r="AL669" s="315"/>
      <c r="AM669" s="315"/>
      <c r="AN669" s="315"/>
    </row>
    <row r="670">
      <c r="A670" s="315"/>
      <c r="B670" s="315"/>
      <c r="C670" s="315"/>
      <c r="D670" s="315"/>
      <c r="E670" s="315"/>
      <c r="F670" s="315"/>
      <c r="G670" s="315"/>
      <c r="H670" s="315"/>
      <c r="I670" s="315"/>
      <c r="J670" s="315"/>
      <c r="K670" s="315"/>
      <c r="L670" s="315"/>
      <c r="M670" s="315"/>
      <c r="N670" s="315"/>
      <c r="O670" s="315"/>
      <c r="P670" s="315"/>
      <c r="Q670" s="315"/>
      <c r="R670" s="315"/>
      <c r="S670" s="315"/>
      <c r="T670" s="315"/>
      <c r="U670" s="315"/>
      <c r="V670" s="315"/>
      <c r="W670" s="315"/>
      <c r="X670" s="315"/>
      <c r="Y670" s="315"/>
      <c r="Z670" s="315"/>
      <c r="AA670" s="315"/>
      <c r="AB670" s="315"/>
      <c r="AC670" s="315"/>
      <c r="AD670" s="315"/>
      <c r="AE670" s="315"/>
      <c r="AF670" s="315"/>
      <c r="AG670" s="315"/>
      <c r="AH670" s="315"/>
      <c r="AI670" s="315"/>
      <c r="AJ670" s="315"/>
      <c r="AK670" s="315"/>
      <c r="AL670" s="315"/>
      <c r="AM670" s="315"/>
      <c r="AN670" s="315"/>
    </row>
    <row r="671">
      <c r="A671" s="315"/>
      <c r="B671" s="315"/>
      <c r="C671" s="315"/>
      <c r="D671" s="315"/>
      <c r="E671" s="315"/>
      <c r="F671" s="315"/>
      <c r="G671" s="315"/>
      <c r="H671" s="315"/>
      <c r="I671" s="315"/>
      <c r="J671" s="315"/>
      <c r="K671" s="315"/>
      <c r="L671" s="315"/>
      <c r="M671" s="315"/>
      <c r="N671" s="315"/>
      <c r="O671" s="315"/>
      <c r="P671" s="315"/>
      <c r="Q671" s="315"/>
      <c r="R671" s="315"/>
      <c r="S671" s="315"/>
      <c r="T671" s="315"/>
      <c r="U671" s="315"/>
      <c r="V671" s="315"/>
      <c r="W671" s="315"/>
      <c r="X671" s="315"/>
      <c r="Y671" s="315"/>
      <c r="Z671" s="315"/>
      <c r="AA671" s="315"/>
      <c r="AB671" s="315"/>
      <c r="AC671" s="315"/>
      <c r="AD671" s="315"/>
      <c r="AE671" s="315"/>
      <c r="AF671" s="315"/>
      <c r="AG671" s="315"/>
      <c r="AH671" s="315"/>
      <c r="AI671" s="315"/>
      <c r="AJ671" s="315"/>
      <c r="AK671" s="315"/>
      <c r="AL671" s="315"/>
      <c r="AM671" s="315"/>
      <c r="AN671" s="315"/>
    </row>
    <row r="672">
      <c r="A672" s="315"/>
      <c r="B672" s="315"/>
      <c r="C672" s="315"/>
      <c r="D672" s="315"/>
      <c r="E672" s="315"/>
      <c r="F672" s="315"/>
      <c r="G672" s="315"/>
      <c r="H672" s="315"/>
      <c r="I672" s="315"/>
      <c r="J672" s="315"/>
      <c r="K672" s="315"/>
      <c r="L672" s="315"/>
      <c r="M672" s="315"/>
      <c r="N672" s="315"/>
      <c r="O672" s="315"/>
      <c r="P672" s="315"/>
      <c r="Q672" s="315"/>
      <c r="R672" s="315"/>
      <c r="S672" s="315"/>
      <c r="T672" s="315"/>
      <c r="U672" s="315"/>
      <c r="V672" s="315"/>
      <c r="W672" s="315"/>
      <c r="X672" s="315"/>
      <c r="Y672" s="315"/>
      <c r="Z672" s="315"/>
      <c r="AA672" s="315"/>
      <c r="AB672" s="315"/>
      <c r="AC672" s="315"/>
      <c r="AD672" s="315"/>
      <c r="AE672" s="315"/>
      <c r="AF672" s="315"/>
      <c r="AG672" s="315"/>
      <c r="AH672" s="315"/>
      <c r="AI672" s="315"/>
      <c r="AJ672" s="315"/>
      <c r="AK672" s="315"/>
      <c r="AL672" s="315"/>
      <c r="AM672" s="315"/>
      <c r="AN672" s="315"/>
    </row>
    <row r="673">
      <c r="A673" s="315"/>
      <c r="B673" s="315"/>
      <c r="C673" s="315"/>
      <c r="D673" s="315"/>
      <c r="E673" s="315"/>
      <c r="F673" s="315"/>
      <c r="G673" s="315"/>
      <c r="H673" s="315"/>
      <c r="I673" s="315"/>
      <c r="J673" s="315"/>
      <c r="K673" s="315"/>
      <c r="L673" s="315"/>
      <c r="M673" s="315"/>
      <c r="N673" s="315"/>
      <c r="O673" s="315"/>
      <c r="P673" s="315"/>
      <c r="Q673" s="315"/>
      <c r="R673" s="315"/>
      <c r="S673" s="315"/>
      <c r="T673" s="315"/>
      <c r="U673" s="315"/>
      <c r="V673" s="315"/>
      <c r="W673" s="315"/>
      <c r="X673" s="315"/>
      <c r="Y673" s="315"/>
      <c r="Z673" s="315"/>
      <c r="AA673" s="315"/>
      <c r="AB673" s="315"/>
      <c r="AC673" s="315"/>
      <c r="AD673" s="315"/>
      <c r="AE673" s="315"/>
      <c r="AF673" s="315"/>
      <c r="AG673" s="315"/>
      <c r="AH673" s="315"/>
      <c r="AI673" s="315"/>
      <c r="AJ673" s="315"/>
      <c r="AK673" s="315"/>
      <c r="AL673" s="315"/>
      <c r="AM673" s="315"/>
      <c r="AN673" s="315"/>
    </row>
    <row r="674">
      <c r="A674" s="315"/>
      <c r="B674" s="315"/>
      <c r="C674" s="315"/>
      <c r="D674" s="315"/>
      <c r="E674" s="315"/>
      <c r="F674" s="315"/>
      <c r="G674" s="315"/>
      <c r="H674" s="315"/>
      <c r="I674" s="315"/>
      <c r="J674" s="315"/>
      <c r="K674" s="315"/>
      <c r="L674" s="315"/>
      <c r="M674" s="315"/>
      <c r="N674" s="315"/>
      <c r="O674" s="315"/>
      <c r="P674" s="315"/>
      <c r="Q674" s="315"/>
      <c r="R674" s="315"/>
      <c r="S674" s="315"/>
      <c r="T674" s="315"/>
      <c r="U674" s="315"/>
      <c r="V674" s="315"/>
      <c r="W674" s="315"/>
      <c r="X674" s="315"/>
      <c r="Y674" s="315"/>
      <c r="Z674" s="315"/>
      <c r="AA674" s="315"/>
      <c r="AB674" s="315"/>
      <c r="AC674" s="315"/>
      <c r="AD674" s="315"/>
      <c r="AE674" s="315"/>
      <c r="AF674" s="315"/>
      <c r="AG674" s="315"/>
      <c r="AH674" s="315"/>
      <c r="AI674" s="315"/>
      <c r="AJ674" s="315"/>
      <c r="AK674" s="315"/>
      <c r="AL674" s="315"/>
      <c r="AM674" s="315"/>
      <c r="AN674" s="315"/>
    </row>
    <row r="675">
      <c r="A675" s="315"/>
      <c r="B675" s="315"/>
      <c r="C675" s="315"/>
      <c r="D675" s="315"/>
      <c r="E675" s="315"/>
      <c r="F675" s="315"/>
      <c r="G675" s="315"/>
      <c r="H675" s="315"/>
      <c r="I675" s="315"/>
      <c r="J675" s="315"/>
      <c r="K675" s="315"/>
      <c r="L675" s="315"/>
      <c r="M675" s="315"/>
      <c r="N675" s="315"/>
      <c r="O675" s="315"/>
      <c r="P675" s="315"/>
      <c r="Q675" s="315"/>
      <c r="R675" s="315"/>
      <c r="S675" s="315"/>
      <c r="T675" s="315"/>
      <c r="U675" s="315"/>
      <c r="V675" s="315"/>
      <c r="W675" s="315"/>
      <c r="X675" s="315"/>
      <c r="Y675" s="315"/>
      <c r="Z675" s="315"/>
      <c r="AA675" s="315"/>
      <c r="AB675" s="315"/>
      <c r="AC675" s="315"/>
      <c r="AD675" s="315"/>
      <c r="AE675" s="315"/>
      <c r="AF675" s="315"/>
      <c r="AG675" s="315"/>
      <c r="AH675" s="315"/>
      <c r="AI675" s="315"/>
      <c r="AJ675" s="315"/>
      <c r="AK675" s="315"/>
      <c r="AL675" s="315"/>
      <c r="AM675" s="315"/>
      <c r="AN675" s="315"/>
    </row>
    <row r="676">
      <c r="A676" s="315"/>
      <c r="B676" s="315"/>
      <c r="C676" s="315"/>
      <c r="D676" s="315"/>
      <c r="E676" s="315"/>
      <c r="F676" s="315"/>
      <c r="G676" s="315"/>
      <c r="H676" s="315"/>
      <c r="I676" s="315"/>
      <c r="J676" s="315"/>
      <c r="K676" s="315"/>
      <c r="L676" s="315"/>
      <c r="M676" s="315"/>
      <c r="N676" s="315"/>
      <c r="O676" s="315"/>
      <c r="P676" s="315"/>
      <c r="Q676" s="315"/>
      <c r="R676" s="315"/>
      <c r="S676" s="315"/>
      <c r="T676" s="315"/>
      <c r="U676" s="315"/>
      <c r="V676" s="315"/>
      <c r="W676" s="315"/>
      <c r="X676" s="315"/>
      <c r="Y676" s="315"/>
      <c r="Z676" s="315"/>
      <c r="AA676" s="315"/>
      <c r="AB676" s="315"/>
      <c r="AC676" s="315"/>
      <c r="AD676" s="315"/>
      <c r="AE676" s="315"/>
      <c r="AF676" s="315"/>
      <c r="AG676" s="315"/>
      <c r="AH676" s="315"/>
      <c r="AI676" s="315"/>
      <c r="AJ676" s="315"/>
      <c r="AK676" s="315"/>
      <c r="AL676" s="315"/>
      <c r="AM676" s="315"/>
      <c r="AN676" s="315"/>
    </row>
    <row r="677">
      <c r="A677" s="315"/>
      <c r="B677" s="315"/>
      <c r="C677" s="315"/>
      <c r="D677" s="315"/>
      <c r="E677" s="315"/>
      <c r="F677" s="315"/>
      <c r="G677" s="315"/>
      <c r="H677" s="315"/>
      <c r="I677" s="315"/>
      <c r="J677" s="315"/>
      <c r="K677" s="315"/>
      <c r="L677" s="315"/>
      <c r="M677" s="315"/>
      <c r="N677" s="315"/>
      <c r="O677" s="315"/>
      <c r="P677" s="315"/>
      <c r="Q677" s="315"/>
      <c r="R677" s="315"/>
      <c r="S677" s="315"/>
      <c r="T677" s="315"/>
      <c r="U677" s="315"/>
      <c r="V677" s="315"/>
      <c r="W677" s="315"/>
      <c r="X677" s="315"/>
      <c r="Y677" s="315"/>
      <c r="Z677" s="315"/>
      <c r="AA677" s="315"/>
      <c r="AB677" s="315"/>
      <c r="AC677" s="315"/>
      <c r="AD677" s="315"/>
      <c r="AE677" s="315"/>
      <c r="AF677" s="315"/>
      <c r="AG677" s="315"/>
      <c r="AH677" s="315"/>
      <c r="AI677" s="315"/>
      <c r="AJ677" s="315"/>
      <c r="AK677" s="315"/>
      <c r="AL677" s="315"/>
      <c r="AM677" s="315"/>
      <c r="AN677" s="315"/>
    </row>
    <row r="678">
      <c r="A678" s="315"/>
      <c r="B678" s="315"/>
      <c r="C678" s="315"/>
      <c r="D678" s="315"/>
      <c r="E678" s="315"/>
      <c r="F678" s="315"/>
      <c r="G678" s="315"/>
      <c r="H678" s="315"/>
      <c r="I678" s="315"/>
      <c r="J678" s="315"/>
      <c r="K678" s="315"/>
      <c r="L678" s="315"/>
      <c r="M678" s="315"/>
      <c r="N678" s="315"/>
      <c r="O678" s="315"/>
      <c r="P678" s="315"/>
      <c r="Q678" s="315"/>
      <c r="R678" s="315"/>
      <c r="S678" s="315"/>
      <c r="T678" s="315"/>
      <c r="U678" s="315"/>
      <c r="V678" s="315"/>
      <c r="W678" s="315"/>
      <c r="X678" s="315"/>
      <c r="Y678" s="315"/>
      <c r="Z678" s="315"/>
      <c r="AA678" s="315"/>
      <c r="AB678" s="315"/>
      <c r="AC678" s="315"/>
      <c r="AD678" s="315"/>
      <c r="AE678" s="315"/>
      <c r="AF678" s="315"/>
      <c r="AG678" s="315"/>
      <c r="AH678" s="315"/>
      <c r="AI678" s="315"/>
      <c r="AJ678" s="315"/>
      <c r="AK678" s="315"/>
      <c r="AL678" s="315"/>
      <c r="AM678" s="315"/>
      <c r="AN678" s="315"/>
    </row>
    <row r="679">
      <c r="A679" s="315"/>
      <c r="B679" s="315"/>
      <c r="C679" s="315"/>
      <c r="D679" s="315"/>
      <c r="E679" s="315"/>
      <c r="F679" s="315"/>
      <c r="G679" s="315"/>
      <c r="H679" s="315"/>
      <c r="I679" s="315"/>
      <c r="J679" s="315"/>
      <c r="K679" s="315"/>
      <c r="L679" s="315"/>
      <c r="M679" s="315"/>
      <c r="N679" s="315"/>
      <c r="O679" s="315"/>
      <c r="P679" s="315"/>
      <c r="Q679" s="315"/>
      <c r="R679" s="315"/>
      <c r="S679" s="315"/>
      <c r="T679" s="315"/>
      <c r="U679" s="315"/>
      <c r="V679" s="315"/>
      <c r="W679" s="315"/>
      <c r="X679" s="315"/>
      <c r="Y679" s="315"/>
      <c r="Z679" s="315"/>
      <c r="AA679" s="315"/>
      <c r="AB679" s="315"/>
      <c r="AC679" s="315"/>
      <c r="AD679" s="315"/>
      <c r="AE679" s="315"/>
      <c r="AF679" s="315"/>
      <c r="AG679" s="315"/>
      <c r="AH679" s="315"/>
      <c r="AI679" s="315"/>
      <c r="AJ679" s="315"/>
      <c r="AK679" s="315"/>
      <c r="AL679" s="315"/>
      <c r="AM679" s="315"/>
      <c r="AN679" s="315"/>
    </row>
    <row r="680">
      <c r="A680" s="315"/>
      <c r="B680" s="315"/>
      <c r="C680" s="315"/>
      <c r="D680" s="315"/>
      <c r="E680" s="315"/>
      <c r="F680" s="315"/>
      <c r="G680" s="315"/>
      <c r="H680" s="315"/>
      <c r="I680" s="315"/>
      <c r="J680" s="315"/>
      <c r="K680" s="315"/>
      <c r="L680" s="315"/>
      <c r="M680" s="315"/>
      <c r="N680" s="315"/>
      <c r="O680" s="315"/>
      <c r="P680" s="315"/>
      <c r="Q680" s="315"/>
      <c r="R680" s="315"/>
      <c r="S680" s="315"/>
      <c r="T680" s="315"/>
      <c r="U680" s="315"/>
      <c r="V680" s="315"/>
      <c r="W680" s="315"/>
      <c r="X680" s="315"/>
      <c r="Y680" s="315"/>
      <c r="Z680" s="315"/>
      <c r="AA680" s="315"/>
      <c r="AB680" s="315"/>
      <c r="AC680" s="315"/>
      <c r="AD680" s="315"/>
      <c r="AE680" s="315"/>
      <c r="AF680" s="315"/>
      <c r="AG680" s="315"/>
      <c r="AH680" s="315"/>
      <c r="AI680" s="315"/>
      <c r="AJ680" s="315"/>
      <c r="AK680" s="315"/>
      <c r="AL680" s="315"/>
      <c r="AM680" s="315"/>
      <c r="AN680" s="315"/>
    </row>
    <row r="681">
      <c r="A681" s="315"/>
      <c r="B681" s="315"/>
      <c r="C681" s="315"/>
      <c r="D681" s="315"/>
      <c r="E681" s="315"/>
      <c r="F681" s="315"/>
      <c r="G681" s="315"/>
      <c r="H681" s="315"/>
      <c r="I681" s="315"/>
      <c r="J681" s="315"/>
      <c r="K681" s="315"/>
      <c r="L681" s="315"/>
      <c r="M681" s="315"/>
      <c r="N681" s="315"/>
      <c r="O681" s="315"/>
      <c r="P681" s="315"/>
      <c r="Q681" s="315"/>
      <c r="R681" s="315"/>
      <c r="S681" s="315"/>
      <c r="T681" s="315"/>
      <c r="U681" s="315"/>
      <c r="V681" s="315"/>
      <c r="W681" s="315"/>
      <c r="X681" s="315"/>
      <c r="Y681" s="315"/>
      <c r="Z681" s="315"/>
      <c r="AA681" s="315"/>
      <c r="AB681" s="315"/>
      <c r="AC681" s="315"/>
      <c r="AD681" s="315"/>
      <c r="AE681" s="315"/>
      <c r="AF681" s="315"/>
      <c r="AG681" s="315"/>
      <c r="AH681" s="315"/>
      <c r="AI681" s="315"/>
      <c r="AJ681" s="315"/>
      <c r="AK681" s="315"/>
      <c r="AL681" s="315"/>
      <c r="AM681" s="315"/>
      <c r="AN681" s="315"/>
    </row>
    <row r="682">
      <c r="A682" s="315"/>
      <c r="B682" s="315"/>
      <c r="C682" s="315"/>
      <c r="D682" s="315"/>
      <c r="E682" s="315"/>
      <c r="F682" s="315"/>
      <c r="G682" s="315"/>
      <c r="H682" s="315"/>
      <c r="I682" s="315"/>
      <c r="J682" s="315"/>
      <c r="K682" s="315"/>
      <c r="L682" s="315"/>
      <c r="M682" s="315"/>
      <c r="N682" s="315"/>
      <c r="O682" s="315"/>
      <c r="P682" s="315"/>
      <c r="Q682" s="315"/>
      <c r="R682" s="315"/>
      <c r="S682" s="315"/>
      <c r="T682" s="315"/>
      <c r="U682" s="315"/>
      <c r="V682" s="315"/>
      <c r="W682" s="315"/>
      <c r="X682" s="315"/>
      <c r="Y682" s="315"/>
      <c r="Z682" s="315"/>
      <c r="AA682" s="315"/>
      <c r="AB682" s="315"/>
      <c r="AC682" s="315"/>
      <c r="AD682" s="315"/>
      <c r="AE682" s="315"/>
      <c r="AF682" s="315"/>
      <c r="AG682" s="315"/>
      <c r="AH682" s="315"/>
      <c r="AI682" s="315"/>
      <c r="AJ682" s="315"/>
      <c r="AK682" s="315"/>
      <c r="AL682" s="315"/>
      <c r="AM682" s="315"/>
      <c r="AN682" s="315"/>
    </row>
    <row r="683">
      <c r="A683" s="315"/>
      <c r="B683" s="315"/>
      <c r="C683" s="315"/>
      <c r="D683" s="315"/>
      <c r="E683" s="315"/>
      <c r="F683" s="315"/>
      <c r="G683" s="315"/>
      <c r="H683" s="315"/>
      <c r="I683" s="315"/>
      <c r="J683" s="315"/>
      <c r="K683" s="315"/>
      <c r="L683" s="315"/>
      <c r="M683" s="315"/>
      <c r="N683" s="315"/>
      <c r="O683" s="315"/>
      <c r="P683" s="315"/>
      <c r="Q683" s="315"/>
      <c r="R683" s="315"/>
      <c r="S683" s="315"/>
      <c r="T683" s="315"/>
      <c r="U683" s="315"/>
      <c r="V683" s="315"/>
      <c r="W683" s="315"/>
      <c r="X683" s="315"/>
      <c r="Y683" s="315"/>
      <c r="Z683" s="315"/>
      <c r="AA683" s="315"/>
      <c r="AB683" s="315"/>
      <c r="AC683" s="315"/>
      <c r="AD683" s="315"/>
      <c r="AE683" s="315"/>
      <c r="AF683" s="315"/>
      <c r="AG683" s="315"/>
      <c r="AH683" s="315"/>
      <c r="AI683" s="315"/>
      <c r="AJ683" s="315"/>
      <c r="AK683" s="315"/>
      <c r="AL683" s="315"/>
      <c r="AM683" s="315"/>
      <c r="AN683" s="315"/>
    </row>
    <row r="684">
      <c r="A684" s="315"/>
      <c r="B684" s="315"/>
      <c r="C684" s="315"/>
      <c r="D684" s="315"/>
      <c r="E684" s="315"/>
      <c r="F684" s="315"/>
      <c r="G684" s="315"/>
      <c r="H684" s="315"/>
      <c r="I684" s="315"/>
      <c r="J684" s="315"/>
      <c r="K684" s="315"/>
      <c r="L684" s="315"/>
      <c r="M684" s="315"/>
      <c r="N684" s="315"/>
      <c r="O684" s="315"/>
      <c r="P684" s="315"/>
      <c r="Q684" s="315"/>
      <c r="R684" s="315"/>
      <c r="S684" s="315"/>
      <c r="T684" s="315"/>
      <c r="U684" s="315"/>
      <c r="V684" s="315"/>
      <c r="W684" s="315"/>
      <c r="X684" s="315"/>
      <c r="Y684" s="315"/>
      <c r="Z684" s="315"/>
      <c r="AA684" s="315"/>
      <c r="AB684" s="315"/>
      <c r="AC684" s="315"/>
      <c r="AD684" s="315"/>
      <c r="AE684" s="315"/>
      <c r="AF684" s="315"/>
      <c r="AG684" s="315"/>
      <c r="AH684" s="315"/>
      <c r="AI684" s="315"/>
      <c r="AJ684" s="315"/>
      <c r="AK684" s="315"/>
      <c r="AL684" s="315"/>
      <c r="AM684" s="315"/>
      <c r="AN684" s="315"/>
    </row>
    <row r="685">
      <c r="A685" s="315"/>
      <c r="B685" s="315"/>
      <c r="C685" s="315"/>
      <c r="D685" s="315"/>
      <c r="E685" s="315"/>
      <c r="F685" s="315"/>
      <c r="G685" s="315"/>
      <c r="H685" s="315"/>
      <c r="I685" s="315"/>
      <c r="J685" s="315"/>
      <c r="K685" s="315"/>
      <c r="L685" s="315"/>
      <c r="M685" s="315"/>
      <c r="N685" s="315"/>
      <c r="O685" s="315"/>
      <c r="P685" s="315"/>
      <c r="Q685" s="315"/>
      <c r="R685" s="315"/>
      <c r="S685" s="315"/>
      <c r="T685" s="315"/>
      <c r="U685" s="315"/>
      <c r="V685" s="315"/>
      <c r="W685" s="315"/>
      <c r="X685" s="315"/>
      <c r="Y685" s="315"/>
      <c r="Z685" s="315"/>
      <c r="AA685" s="315"/>
      <c r="AB685" s="315"/>
      <c r="AC685" s="315"/>
      <c r="AD685" s="315"/>
      <c r="AE685" s="315"/>
      <c r="AF685" s="315"/>
      <c r="AG685" s="315"/>
      <c r="AH685" s="315"/>
      <c r="AI685" s="315"/>
      <c r="AJ685" s="315"/>
      <c r="AK685" s="315"/>
      <c r="AL685" s="315"/>
      <c r="AM685" s="315"/>
      <c r="AN685" s="315"/>
    </row>
    <row r="686">
      <c r="A686" s="315"/>
      <c r="B686" s="315"/>
      <c r="C686" s="315"/>
      <c r="D686" s="315"/>
      <c r="E686" s="315"/>
      <c r="F686" s="315"/>
      <c r="G686" s="315"/>
      <c r="H686" s="315"/>
      <c r="I686" s="315"/>
      <c r="J686" s="315"/>
      <c r="K686" s="315"/>
      <c r="L686" s="315"/>
      <c r="M686" s="315"/>
      <c r="N686" s="315"/>
      <c r="O686" s="315"/>
      <c r="P686" s="315"/>
      <c r="Q686" s="315"/>
      <c r="R686" s="315"/>
      <c r="S686" s="315"/>
      <c r="T686" s="315"/>
      <c r="U686" s="315"/>
      <c r="V686" s="315"/>
      <c r="W686" s="315"/>
      <c r="X686" s="315"/>
      <c r="Y686" s="315"/>
      <c r="Z686" s="315"/>
      <c r="AA686" s="315"/>
      <c r="AB686" s="315"/>
      <c r="AC686" s="315"/>
      <c r="AD686" s="315"/>
      <c r="AE686" s="315"/>
      <c r="AF686" s="315"/>
      <c r="AG686" s="315"/>
      <c r="AH686" s="315"/>
      <c r="AI686" s="315"/>
      <c r="AJ686" s="315"/>
      <c r="AK686" s="315"/>
      <c r="AL686" s="315"/>
      <c r="AM686" s="315"/>
      <c r="AN686" s="315"/>
    </row>
    <row r="687">
      <c r="A687" s="315"/>
      <c r="B687" s="315"/>
      <c r="C687" s="315"/>
      <c r="D687" s="315"/>
      <c r="E687" s="315"/>
      <c r="F687" s="315"/>
      <c r="G687" s="315"/>
      <c r="H687" s="315"/>
      <c r="I687" s="315"/>
      <c r="J687" s="315"/>
      <c r="K687" s="315"/>
      <c r="L687" s="315"/>
      <c r="M687" s="315"/>
      <c r="N687" s="315"/>
      <c r="O687" s="315"/>
      <c r="P687" s="315"/>
      <c r="Q687" s="315"/>
      <c r="R687" s="315"/>
      <c r="S687" s="315"/>
      <c r="T687" s="315"/>
      <c r="U687" s="315"/>
      <c r="V687" s="315"/>
      <c r="W687" s="315"/>
      <c r="X687" s="315"/>
      <c r="Y687" s="315"/>
      <c r="Z687" s="315"/>
      <c r="AA687" s="315"/>
      <c r="AB687" s="315"/>
      <c r="AC687" s="315"/>
      <c r="AD687" s="315"/>
      <c r="AE687" s="315"/>
      <c r="AF687" s="315"/>
      <c r="AG687" s="315"/>
      <c r="AH687" s="315"/>
      <c r="AI687" s="315"/>
      <c r="AJ687" s="315"/>
      <c r="AK687" s="315"/>
      <c r="AL687" s="315"/>
      <c r="AM687" s="315"/>
      <c r="AN687" s="315"/>
    </row>
    <row r="688">
      <c r="A688" s="315"/>
      <c r="B688" s="315"/>
      <c r="C688" s="315"/>
      <c r="D688" s="315"/>
      <c r="E688" s="315"/>
      <c r="F688" s="315"/>
      <c r="G688" s="315"/>
      <c r="H688" s="315"/>
      <c r="I688" s="315"/>
      <c r="J688" s="315"/>
      <c r="K688" s="315"/>
      <c r="L688" s="315"/>
      <c r="M688" s="315"/>
      <c r="N688" s="315"/>
      <c r="O688" s="315"/>
      <c r="P688" s="315"/>
      <c r="Q688" s="315"/>
      <c r="R688" s="315"/>
      <c r="S688" s="315"/>
      <c r="T688" s="315"/>
      <c r="U688" s="315"/>
      <c r="V688" s="315"/>
      <c r="W688" s="315"/>
      <c r="X688" s="315"/>
      <c r="Y688" s="315"/>
      <c r="Z688" s="315"/>
      <c r="AA688" s="315"/>
      <c r="AB688" s="315"/>
      <c r="AC688" s="315"/>
      <c r="AD688" s="315"/>
      <c r="AE688" s="315"/>
      <c r="AF688" s="315"/>
      <c r="AG688" s="315"/>
      <c r="AH688" s="315"/>
      <c r="AI688" s="315"/>
      <c r="AJ688" s="315"/>
      <c r="AK688" s="315"/>
      <c r="AL688" s="315"/>
      <c r="AM688" s="315"/>
      <c r="AN688" s="315"/>
    </row>
    <row r="689">
      <c r="A689" s="315"/>
      <c r="B689" s="315"/>
      <c r="C689" s="315"/>
      <c r="D689" s="315"/>
      <c r="E689" s="315"/>
      <c r="F689" s="315"/>
      <c r="G689" s="315"/>
      <c r="H689" s="315"/>
      <c r="I689" s="315"/>
      <c r="J689" s="315"/>
      <c r="K689" s="315"/>
      <c r="L689" s="315"/>
      <c r="M689" s="315"/>
      <c r="N689" s="315"/>
      <c r="O689" s="315"/>
      <c r="P689" s="315"/>
      <c r="Q689" s="315"/>
      <c r="R689" s="315"/>
      <c r="S689" s="315"/>
      <c r="T689" s="315"/>
      <c r="U689" s="315"/>
      <c r="V689" s="315"/>
      <c r="W689" s="315"/>
      <c r="X689" s="315"/>
      <c r="Y689" s="315"/>
      <c r="Z689" s="315"/>
      <c r="AA689" s="315"/>
      <c r="AB689" s="315"/>
      <c r="AC689" s="315"/>
      <c r="AD689" s="315"/>
      <c r="AE689" s="315"/>
      <c r="AF689" s="315"/>
      <c r="AG689" s="315"/>
      <c r="AH689" s="315"/>
      <c r="AI689" s="315"/>
      <c r="AJ689" s="315"/>
      <c r="AK689" s="315"/>
      <c r="AL689" s="315"/>
      <c r="AM689" s="315"/>
      <c r="AN689" s="315"/>
    </row>
    <row r="690">
      <c r="A690" s="315"/>
      <c r="B690" s="315"/>
      <c r="C690" s="315"/>
      <c r="D690" s="315"/>
      <c r="E690" s="315"/>
      <c r="F690" s="315"/>
      <c r="G690" s="315"/>
      <c r="H690" s="315"/>
      <c r="I690" s="315"/>
      <c r="J690" s="315"/>
      <c r="K690" s="315"/>
      <c r="L690" s="315"/>
      <c r="M690" s="315"/>
      <c r="N690" s="315"/>
      <c r="O690" s="315"/>
      <c r="P690" s="315"/>
      <c r="Q690" s="315"/>
      <c r="R690" s="315"/>
      <c r="S690" s="315"/>
      <c r="T690" s="315"/>
      <c r="U690" s="315"/>
      <c r="V690" s="315"/>
      <c r="W690" s="315"/>
      <c r="X690" s="315"/>
      <c r="Y690" s="315"/>
      <c r="Z690" s="315"/>
      <c r="AA690" s="315"/>
      <c r="AB690" s="315"/>
      <c r="AC690" s="315"/>
      <c r="AD690" s="315"/>
      <c r="AE690" s="315"/>
      <c r="AF690" s="315"/>
      <c r="AG690" s="315"/>
      <c r="AH690" s="315"/>
      <c r="AI690" s="315"/>
      <c r="AJ690" s="315"/>
      <c r="AK690" s="315"/>
      <c r="AL690" s="315"/>
      <c r="AM690" s="315"/>
      <c r="AN690" s="315"/>
    </row>
    <row r="691">
      <c r="A691" s="315"/>
      <c r="B691" s="315"/>
      <c r="C691" s="315"/>
      <c r="D691" s="315"/>
      <c r="E691" s="315"/>
      <c r="F691" s="315"/>
      <c r="G691" s="315"/>
      <c r="H691" s="315"/>
      <c r="I691" s="315"/>
      <c r="J691" s="315"/>
      <c r="K691" s="315"/>
      <c r="L691" s="315"/>
      <c r="M691" s="315"/>
      <c r="N691" s="315"/>
      <c r="O691" s="315"/>
      <c r="P691" s="315"/>
      <c r="Q691" s="315"/>
      <c r="R691" s="315"/>
      <c r="S691" s="315"/>
      <c r="T691" s="315"/>
      <c r="U691" s="315"/>
      <c r="V691" s="315"/>
      <c r="W691" s="315"/>
      <c r="X691" s="315"/>
      <c r="Y691" s="315"/>
      <c r="Z691" s="315"/>
      <c r="AA691" s="315"/>
      <c r="AB691" s="315"/>
      <c r="AC691" s="315"/>
      <c r="AD691" s="315"/>
      <c r="AE691" s="315"/>
      <c r="AF691" s="315"/>
      <c r="AG691" s="315"/>
      <c r="AH691" s="315"/>
      <c r="AI691" s="315"/>
      <c r="AJ691" s="315"/>
      <c r="AK691" s="315"/>
      <c r="AL691" s="315"/>
      <c r="AM691" s="315"/>
      <c r="AN691" s="315"/>
    </row>
    <row r="692">
      <c r="A692" s="315"/>
      <c r="B692" s="315"/>
      <c r="C692" s="315"/>
      <c r="D692" s="315"/>
      <c r="E692" s="315"/>
      <c r="F692" s="315"/>
      <c r="G692" s="315"/>
      <c r="H692" s="315"/>
      <c r="I692" s="315"/>
      <c r="J692" s="315"/>
      <c r="K692" s="315"/>
      <c r="L692" s="315"/>
      <c r="M692" s="315"/>
      <c r="N692" s="315"/>
      <c r="O692" s="315"/>
      <c r="P692" s="315"/>
      <c r="Q692" s="315"/>
      <c r="R692" s="315"/>
      <c r="S692" s="315"/>
      <c r="T692" s="315"/>
      <c r="U692" s="315"/>
      <c r="V692" s="315"/>
      <c r="W692" s="315"/>
      <c r="X692" s="315"/>
      <c r="Y692" s="315"/>
      <c r="Z692" s="315"/>
      <c r="AA692" s="315"/>
      <c r="AB692" s="315"/>
      <c r="AC692" s="315"/>
      <c r="AD692" s="315"/>
      <c r="AE692" s="315"/>
      <c r="AF692" s="315"/>
      <c r="AG692" s="315"/>
      <c r="AH692" s="315"/>
      <c r="AI692" s="315"/>
      <c r="AJ692" s="315"/>
      <c r="AK692" s="315"/>
      <c r="AL692" s="315"/>
      <c r="AM692" s="315"/>
      <c r="AN692" s="315"/>
    </row>
    <row r="693">
      <c r="A693" s="315"/>
      <c r="B693" s="315"/>
      <c r="C693" s="315"/>
      <c r="D693" s="315"/>
      <c r="E693" s="315"/>
      <c r="F693" s="315"/>
      <c r="G693" s="315"/>
      <c r="H693" s="315"/>
      <c r="I693" s="315"/>
      <c r="J693" s="315"/>
      <c r="K693" s="315"/>
      <c r="L693" s="315"/>
      <c r="M693" s="315"/>
      <c r="N693" s="315"/>
      <c r="O693" s="315"/>
      <c r="P693" s="315"/>
      <c r="Q693" s="315"/>
      <c r="R693" s="315"/>
      <c r="S693" s="315"/>
      <c r="T693" s="315"/>
      <c r="U693" s="315"/>
      <c r="V693" s="315"/>
      <c r="W693" s="315"/>
      <c r="X693" s="315"/>
      <c r="Y693" s="315"/>
      <c r="Z693" s="315"/>
      <c r="AA693" s="315"/>
      <c r="AB693" s="315"/>
      <c r="AC693" s="315"/>
      <c r="AD693" s="315"/>
      <c r="AE693" s="315"/>
      <c r="AF693" s="315"/>
      <c r="AG693" s="315"/>
      <c r="AH693" s="315"/>
      <c r="AI693" s="315"/>
      <c r="AJ693" s="315"/>
      <c r="AK693" s="315"/>
      <c r="AL693" s="315"/>
      <c r="AM693" s="315"/>
      <c r="AN693" s="315"/>
    </row>
    <row r="694">
      <c r="A694" s="315"/>
      <c r="B694" s="315"/>
      <c r="C694" s="315"/>
      <c r="D694" s="315"/>
      <c r="E694" s="315"/>
      <c r="F694" s="315"/>
      <c r="G694" s="315"/>
      <c r="H694" s="315"/>
      <c r="I694" s="315"/>
      <c r="J694" s="315"/>
      <c r="K694" s="315"/>
      <c r="L694" s="315"/>
      <c r="M694" s="315"/>
      <c r="N694" s="315"/>
      <c r="O694" s="315"/>
      <c r="P694" s="315"/>
      <c r="Q694" s="315"/>
      <c r="R694" s="315"/>
      <c r="S694" s="315"/>
      <c r="T694" s="315"/>
      <c r="U694" s="315"/>
      <c r="V694" s="315"/>
      <c r="W694" s="315"/>
      <c r="X694" s="315"/>
      <c r="Y694" s="315"/>
      <c r="Z694" s="315"/>
      <c r="AA694" s="315"/>
      <c r="AB694" s="315"/>
      <c r="AC694" s="315"/>
      <c r="AD694" s="315"/>
      <c r="AE694" s="315"/>
      <c r="AF694" s="315"/>
      <c r="AG694" s="315"/>
      <c r="AH694" s="315"/>
      <c r="AI694" s="315"/>
      <c r="AJ694" s="315"/>
      <c r="AK694" s="315"/>
      <c r="AL694" s="315"/>
      <c r="AM694" s="315"/>
      <c r="AN694" s="315"/>
    </row>
    <row r="695">
      <c r="A695" s="315"/>
      <c r="B695" s="315"/>
      <c r="C695" s="315"/>
      <c r="D695" s="315"/>
      <c r="E695" s="315"/>
      <c r="F695" s="315"/>
      <c r="G695" s="315"/>
      <c r="H695" s="315"/>
      <c r="I695" s="315"/>
      <c r="J695" s="315"/>
      <c r="K695" s="315"/>
      <c r="L695" s="315"/>
      <c r="M695" s="315"/>
      <c r="N695" s="315"/>
      <c r="O695" s="315"/>
      <c r="P695" s="315"/>
      <c r="Q695" s="315"/>
      <c r="R695" s="315"/>
      <c r="S695" s="315"/>
      <c r="T695" s="315"/>
      <c r="U695" s="315"/>
      <c r="V695" s="315"/>
      <c r="W695" s="315"/>
      <c r="X695" s="315"/>
      <c r="Y695" s="315"/>
      <c r="Z695" s="315"/>
      <c r="AA695" s="315"/>
      <c r="AB695" s="315"/>
      <c r="AC695" s="315"/>
      <c r="AD695" s="315"/>
      <c r="AE695" s="315"/>
      <c r="AF695" s="315"/>
      <c r="AG695" s="315"/>
      <c r="AH695" s="315"/>
      <c r="AI695" s="315"/>
      <c r="AJ695" s="315"/>
      <c r="AK695" s="315"/>
      <c r="AL695" s="315"/>
      <c r="AM695" s="315"/>
      <c r="AN695" s="315"/>
    </row>
    <row r="696">
      <c r="A696" s="315"/>
      <c r="B696" s="315"/>
      <c r="C696" s="315"/>
      <c r="D696" s="315"/>
      <c r="E696" s="315"/>
      <c r="F696" s="315"/>
      <c r="G696" s="315"/>
      <c r="H696" s="315"/>
      <c r="I696" s="315"/>
      <c r="J696" s="315"/>
      <c r="K696" s="315"/>
      <c r="L696" s="315"/>
      <c r="M696" s="315"/>
      <c r="N696" s="315"/>
      <c r="O696" s="315"/>
      <c r="P696" s="315"/>
      <c r="Q696" s="315"/>
      <c r="R696" s="315"/>
      <c r="S696" s="315"/>
      <c r="T696" s="315"/>
      <c r="U696" s="315"/>
      <c r="V696" s="315"/>
      <c r="W696" s="315"/>
      <c r="X696" s="315"/>
      <c r="Y696" s="315"/>
      <c r="Z696" s="315"/>
      <c r="AA696" s="315"/>
      <c r="AB696" s="315"/>
      <c r="AC696" s="315"/>
      <c r="AD696" s="315"/>
      <c r="AE696" s="315"/>
      <c r="AF696" s="315"/>
      <c r="AG696" s="315"/>
      <c r="AH696" s="315"/>
      <c r="AI696" s="315"/>
      <c r="AJ696" s="315"/>
      <c r="AK696" s="315"/>
      <c r="AL696" s="315"/>
      <c r="AM696" s="315"/>
      <c r="AN696" s="315"/>
    </row>
    <row r="697">
      <c r="A697" s="315"/>
      <c r="B697" s="315"/>
      <c r="C697" s="315"/>
      <c r="D697" s="315"/>
      <c r="E697" s="315"/>
      <c r="F697" s="315"/>
      <c r="G697" s="315"/>
      <c r="H697" s="315"/>
      <c r="I697" s="315"/>
      <c r="J697" s="315"/>
      <c r="K697" s="315"/>
      <c r="L697" s="315"/>
      <c r="M697" s="315"/>
      <c r="N697" s="315"/>
      <c r="O697" s="315"/>
      <c r="P697" s="315"/>
      <c r="Q697" s="315"/>
      <c r="R697" s="315"/>
      <c r="S697" s="315"/>
      <c r="T697" s="315"/>
      <c r="U697" s="315"/>
      <c r="V697" s="315"/>
      <c r="W697" s="315"/>
      <c r="X697" s="315"/>
      <c r="Y697" s="315"/>
      <c r="Z697" s="315"/>
      <c r="AA697" s="315"/>
      <c r="AB697" s="315"/>
      <c r="AC697" s="315"/>
      <c r="AD697" s="315"/>
      <c r="AE697" s="315"/>
      <c r="AF697" s="315"/>
      <c r="AG697" s="315"/>
      <c r="AH697" s="315"/>
      <c r="AI697" s="315"/>
      <c r="AJ697" s="315"/>
      <c r="AK697" s="315"/>
      <c r="AL697" s="315"/>
      <c r="AM697" s="315"/>
      <c r="AN697" s="315"/>
    </row>
    <row r="698">
      <c r="A698" s="315"/>
      <c r="B698" s="315"/>
      <c r="C698" s="315"/>
      <c r="D698" s="315"/>
      <c r="E698" s="315"/>
      <c r="F698" s="315"/>
      <c r="G698" s="315"/>
      <c r="H698" s="315"/>
      <c r="I698" s="315"/>
      <c r="J698" s="315"/>
      <c r="K698" s="315"/>
      <c r="L698" s="315"/>
      <c r="M698" s="315"/>
      <c r="N698" s="315"/>
      <c r="O698" s="315"/>
      <c r="P698" s="315"/>
      <c r="Q698" s="315"/>
      <c r="R698" s="315"/>
      <c r="S698" s="315"/>
      <c r="T698" s="315"/>
      <c r="U698" s="315"/>
      <c r="V698" s="315"/>
      <c r="W698" s="315"/>
      <c r="X698" s="315"/>
      <c r="Y698" s="315"/>
      <c r="Z698" s="315"/>
      <c r="AA698" s="315"/>
      <c r="AB698" s="315"/>
      <c r="AC698" s="315"/>
      <c r="AD698" s="315"/>
      <c r="AE698" s="315"/>
      <c r="AF698" s="315"/>
      <c r="AG698" s="315"/>
      <c r="AH698" s="315"/>
      <c r="AI698" s="315"/>
      <c r="AJ698" s="315"/>
      <c r="AK698" s="315"/>
      <c r="AL698" s="315"/>
      <c r="AM698" s="315"/>
      <c r="AN698" s="315"/>
    </row>
    <row r="699">
      <c r="A699" s="315"/>
      <c r="B699" s="315"/>
      <c r="C699" s="315"/>
      <c r="D699" s="315"/>
      <c r="E699" s="315"/>
      <c r="F699" s="315"/>
      <c r="G699" s="315"/>
      <c r="H699" s="315"/>
      <c r="I699" s="315"/>
      <c r="J699" s="315"/>
      <c r="K699" s="315"/>
      <c r="L699" s="315"/>
      <c r="M699" s="315"/>
      <c r="N699" s="315"/>
      <c r="O699" s="315"/>
      <c r="P699" s="315"/>
      <c r="Q699" s="315"/>
      <c r="R699" s="315"/>
      <c r="S699" s="315"/>
      <c r="T699" s="315"/>
      <c r="U699" s="315"/>
      <c r="V699" s="315"/>
      <c r="W699" s="315"/>
      <c r="X699" s="315"/>
      <c r="Y699" s="315"/>
      <c r="Z699" s="315"/>
      <c r="AA699" s="315"/>
      <c r="AB699" s="315"/>
      <c r="AC699" s="315"/>
      <c r="AD699" s="315"/>
      <c r="AE699" s="315"/>
      <c r="AF699" s="315"/>
      <c r="AG699" s="315"/>
      <c r="AH699" s="315"/>
      <c r="AI699" s="315"/>
      <c r="AJ699" s="315"/>
      <c r="AK699" s="315"/>
      <c r="AL699" s="315"/>
      <c r="AM699" s="315"/>
      <c r="AN699" s="315"/>
    </row>
    <row r="700">
      <c r="A700" s="315"/>
      <c r="B700" s="315"/>
      <c r="C700" s="315"/>
      <c r="D700" s="315"/>
      <c r="E700" s="315"/>
      <c r="F700" s="315"/>
      <c r="G700" s="315"/>
      <c r="H700" s="315"/>
      <c r="I700" s="315"/>
      <c r="J700" s="315"/>
      <c r="K700" s="315"/>
      <c r="L700" s="315"/>
      <c r="M700" s="315"/>
      <c r="N700" s="315"/>
      <c r="O700" s="315"/>
      <c r="P700" s="315"/>
      <c r="Q700" s="315"/>
      <c r="R700" s="315"/>
      <c r="S700" s="315"/>
      <c r="T700" s="315"/>
      <c r="U700" s="315"/>
      <c r="V700" s="315"/>
      <c r="W700" s="315"/>
      <c r="X700" s="315"/>
      <c r="Y700" s="315"/>
      <c r="Z700" s="315"/>
      <c r="AA700" s="315"/>
      <c r="AB700" s="315"/>
      <c r="AC700" s="315"/>
      <c r="AD700" s="315"/>
      <c r="AE700" s="315"/>
      <c r="AF700" s="315"/>
      <c r="AG700" s="315"/>
      <c r="AH700" s="315"/>
      <c r="AI700" s="315"/>
      <c r="AJ700" s="315"/>
      <c r="AK700" s="315"/>
      <c r="AL700" s="315"/>
      <c r="AM700" s="315"/>
      <c r="AN700" s="315"/>
    </row>
    <row r="701">
      <c r="A701" s="315"/>
      <c r="B701" s="315"/>
      <c r="C701" s="315"/>
      <c r="D701" s="315"/>
      <c r="E701" s="315"/>
      <c r="F701" s="315"/>
      <c r="G701" s="315"/>
      <c r="H701" s="315"/>
      <c r="I701" s="315"/>
      <c r="J701" s="315"/>
      <c r="K701" s="315"/>
      <c r="L701" s="315"/>
      <c r="M701" s="315"/>
      <c r="N701" s="315"/>
      <c r="O701" s="315"/>
      <c r="P701" s="315"/>
      <c r="Q701" s="315"/>
      <c r="R701" s="315"/>
      <c r="S701" s="315"/>
      <c r="T701" s="315"/>
      <c r="U701" s="315"/>
      <c r="V701" s="315"/>
      <c r="W701" s="315"/>
      <c r="X701" s="315"/>
      <c r="Y701" s="315"/>
      <c r="Z701" s="315"/>
      <c r="AA701" s="315"/>
      <c r="AB701" s="315"/>
      <c r="AC701" s="315"/>
      <c r="AD701" s="315"/>
      <c r="AE701" s="315"/>
      <c r="AF701" s="315"/>
      <c r="AG701" s="315"/>
      <c r="AH701" s="315"/>
      <c r="AI701" s="315"/>
      <c r="AJ701" s="315"/>
      <c r="AK701" s="315"/>
      <c r="AL701" s="315"/>
      <c r="AM701" s="315"/>
      <c r="AN701" s="315"/>
    </row>
    <row r="702">
      <c r="A702" s="315"/>
      <c r="B702" s="315"/>
      <c r="C702" s="315"/>
      <c r="D702" s="315"/>
      <c r="E702" s="315"/>
      <c r="F702" s="315"/>
      <c r="G702" s="315"/>
      <c r="H702" s="315"/>
      <c r="I702" s="315"/>
      <c r="J702" s="315"/>
      <c r="K702" s="315"/>
      <c r="L702" s="315"/>
      <c r="M702" s="315"/>
      <c r="N702" s="315"/>
      <c r="O702" s="315"/>
      <c r="P702" s="315"/>
      <c r="Q702" s="315"/>
      <c r="R702" s="315"/>
      <c r="S702" s="315"/>
      <c r="T702" s="315"/>
      <c r="U702" s="315"/>
      <c r="V702" s="315"/>
      <c r="W702" s="315"/>
      <c r="X702" s="315"/>
      <c r="Y702" s="315"/>
      <c r="Z702" s="315"/>
      <c r="AA702" s="315"/>
      <c r="AB702" s="315"/>
      <c r="AC702" s="315"/>
      <c r="AD702" s="315"/>
      <c r="AE702" s="315"/>
      <c r="AF702" s="315"/>
      <c r="AG702" s="315"/>
      <c r="AH702" s="315"/>
      <c r="AI702" s="315"/>
      <c r="AJ702" s="315"/>
      <c r="AK702" s="315"/>
      <c r="AL702" s="315"/>
      <c r="AM702" s="315"/>
      <c r="AN702" s="315"/>
    </row>
    <row r="703">
      <c r="A703" s="315"/>
      <c r="B703" s="315"/>
      <c r="C703" s="315"/>
      <c r="D703" s="315"/>
      <c r="E703" s="315"/>
      <c r="F703" s="315"/>
      <c r="G703" s="315"/>
      <c r="H703" s="315"/>
      <c r="I703" s="315"/>
      <c r="J703" s="315"/>
      <c r="K703" s="315"/>
      <c r="L703" s="315"/>
      <c r="M703" s="315"/>
      <c r="N703" s="315"/>
      <c r="O703" s="315"/>
      <c r="P703" s="315"/>
      <c r="Q703" s="315"/>
      <c r="R703" s="315"/>
      <c r="S703" s="315"/>
      <c r="T703" s="315"/>
      <c r="U703" s="315"/>
      <c r="V703" s="315"/>
      <c r="W703" s="315"/>
      <c r="X703" s="315"/>
      <c r="Y703" s="315"/>
      <c r="Z703" s="315"/>
      <c r="AA703" s="315"/>
      <c r="AB703" s="315"/>
      <c r="AC703" s="315"/>
      <c r="AD703" s="315"/>
      <c r="AE703" s="315"/>
      <c r="AF703" s="315"/>
      <c r="AG703" s="315"/>
      <c r="AH703" s="315"/>
      <c r="AI703" s="315"/>
      <c r="AJ703" s="315"/>
      <c r="AK703" s="315"/>
      <c r="AL703" s="315"/>
      <c r="AM703" s="315"/>
      <c r="AN703" s="315"/>
    </row>
    <row r="704">
      <c r="A704" s="315"/>
      <c r="B704" s="315"/>
      <c r="C704" s="315"/>
      <c r="D704" s="315"/>
      <c r="E704" s="315"/>
      <c r="F704" s="315"/>
      <c r="G704" s="315"/>
      <c r="H704" s="315"/>
      <c r="I704" s="315"/>
      <c r="J704" s="315"/>
      <c r="K704" s="315"/>
      <c r="L704" s="315"/>
      <c r="M704" s="315"/>
      <c r="N704" s="315"/>
      <c r="O704" s="315"/>
      <c r="P704" s="315"/>
      <c r="Q704" s="315"/>
      <c r="R704" s="315"/>
      <c r="S704" s="315"/>
      <c r="T704" s="315"/>
      <c r="U704" s="315"/>
      <c r="V704" s="315"/>
      <c r="W704" s="315"/>
      <c r="X704" s="315"/>
      <c r="Y704" s="315"/>
      <c r="Z704" s="315"/>
      <c r="AA704" s="315"/>
      <c r="AB704" s="315"/>
      <c r="AC704" s="315"/>
      <c r="AD704" s="315"/>
      <c r="AE704" s="315"/>
      <c r="AF704" s="315"/>
      <c r="AG704" s="315"/>
      <c r="AH704" s="315"/>
      <c r="AI704" s="315"/>
      <c r="AJ704" s="315"/>
      <c r="AK704" s="315"/>
      <c r="AL704" s="315"/>
      <c r="AM704" s="315"/>
      <c r="AN704" s="315"/>
    </row>
    <row r="705">
      <c r="A705" s="315"/>
      <c r="B705" s="315"/>
      <c r="C705" s="315"/>
      <c r="D705" s="315"/>
      <c r="E705" s="315"/>
      <c r="F705" s="315"/>
      <c r="G705" s="315"/>
      <c r="H705" s="315"/>
      <c r="I705" s="315"/>
      <c r="J705" s="315"/>
      <c r="K705" s="315"/>
      <c r="L705" s="315"/>
      <c r="M705" s="315"/>
      <c r="N705" s="315"/>
      <c r="O705" s="315"/>
      <c r="P705" s="315"/>
      <c r="Q705" s="315"/>
      <c r="R705" s="315"/>
      <c r="S705" s="315"/>
      <c r="T705" s="315"/>
      <c r="U705" s="315"/>
      <c r="V705" s="315"/>
      <c r="W705" s="315"/>
      <c r="X705" s="315"/>
      <c r="Y705" s="315"/>
      <c r="Z705" s="315"/>
      <c r="AA705" s="315"/>
      <c r="AB705" s="315"/>
      <c r="AC705" s="315"/>
      <c r="AD705" s="315"/>
      <c r="AE705" s="315"/>
      <c r="AF705" s="315"/>
      <c r="AG705" s="315"/>
      <c r="AH705" s="315"/>
      <c r="AI705" s="315"/>
      <c r="AJ705" s="315"/>
      <c r="AK705" s="315"/>
      <c r="AL705" s="315"/>
      <c r="AM705" s="315"/>
      <c r="AN705" s="315"/>
    </row>
    <row r="706">
      <c r="A706" s="315"/>
      <c r="B706" s="315"/>
      <c r="C706" s="315"/>
      <c r="D706" s="315"/>
      <c r="E706" s="315"/>
      <c r="F706" s="315"/>
      <c r="G706" s="315"/>
      <c r="H706" s="315"/>
      <c r="I706" s="315"/>
      <c r="J706" s="315"/>
      <c r="K706" s="315"/>
      <c r="L706" s="315"/>
      <c r="M706" s="315"/>
      <c r="N706" s="315"/>
      <c r="O706" s="315"/>
      <c r="P706" s="315"/>
      <c r="Q706" s="315"/>
      <c r="R706" s="315"/>
      <c r="S706" s="315"/>
      <c r="T706" s="315"/>
      <c r="U706" s="315"/>
      <c r="V706" s="315"/>
      <c r="W706" s="315"/>
      <c r="X706" s="315"/>
      <c r="Y706" s="315"/>
      <c r="Z706" s="315"/>
      <c r="AA706" s="315"/>
      <c r="AB706" s="315"/>
      <c r="AC706" s="315"/>
      <c r="AD706" s="315"/>
      <c r="AE706" s="315"/>
      <c r="AF706" s="315"/>
      <c r="AG706" s="315"/>
      <c r="AH706" s="315"/>
      <c r="AI706" s="315"/>
      <c r="AJ706" s="315"/>
      <c r="AK706" s="315"/>
      <c r="AL706" s="315"/>
      <c r="AM706" s="315"/>
      <c r="AN706" s="315"/>
    </row>
    <row r="707">
      <c r="A707" s="315"/>
      <c r="B707" s="315"/>
      <c r="C707" s="315"/>
      <c r="D707" s="315"/>
      <c r="E707" s="315"/>
      <c r="F707" s="315"/>
      <c r="G707" s="315"/>
      <c r="H707" s="315"/>
      <c r="I707" s="315"/>
      <c r="J707" s="315"/>
      <c r="K707" s="315"/>
      <c r="L707" s="315"/>
      <c r="M707" s="315"/>
      <c r="N707" s="315"/>
      <c r="O707" s="315"/>
      <c r="P707" s="315"/>
      <c r="Q707" s="315"/>
      <c r="R707" s="315"/>
      <c r="S707" s="315"/>
      <c r="T707" s="315"/>
      <c r="U707" s="315"/>
      <c r="V707" s="315"/>
      <c r="W707" s="315"/>
      <c r="X707" s="315"/>
      <c r="Y707" s="315"/>
      <c r="Z707" s="315"/>
      <c r="AA707" s="315"/>
      <c r="AB707" s="315"/>
      <c r="AC707" s="315"/>
      <c r="AD707" s="315"/>
      <c r="AE707" s="315"/>
      <c r="AF707" s="315"/>
      <c r="AG707" s="315"/>
      <c r="AH707" s="315"/>
      <c r="AI707" s="315"/>
      <c r="AJ707" s="315"/>
      <c r="AK707" s="315"/>
      <c r="AL707" s="315"/>
      <c r="AM707" s="315"/>
      <c r="AN707" s="315"/>
    </row>
    <row r="708">
      <c r="A708" s="315"/>
      <c r="B708" s="315"/>
      <c r="C708" s="315"/>
      <c r="D708" s="315"/>
      <c r="E708" s="315"/>
      <c r="F708" s="315"/>
      <c r="G708" s="315"/>
      <c r="H708" s="315"/>
      <c r="I708" s="315"/>
      <c r="J708" s="315"/>
      <c r="K708" s="315"/>
      <c r="L708" s="315"/>
      <c r="M708" s="315"/>
      <c r="N708" s="315"/>
      <c r="O708" s="315"/>
      <c r="P708" s="315"/>
      <c r="Q708" s="315"/>
      <c r="R708" s="315"/>
      <c r="S708" s="315"/>
      <c r="T708" s="315"/>
      <c r="U708" s="315"/>
      <c r="V708" s="315"/>
      <c r="W708" s="315"/>
      <c r="X708" s="315"/>
      <c r="Y708" s="315"/>
      <c r="Z708" s="315"/>
      <c r="AA708" s="315"/>
      <c r="AB708" s="315"/>
      <c r="AC708" s="315"/>
      <c r="AD708" s="315"/>
      <c r="AE708" s="315"/>
      <c r="AF708" s="315"/>
      <c r="AG708" s="315"/>
      <c r="AH708" s="315"/>
      <c r="AI708" s="315"/>
      <c r="AJ708" s="315"/>
      <c r="AK708" s="315"/>
      <c r="AL708" s="315"/>
      <c r="AM708" s="315"/>
      <c r="AN708" s="315"/>
    </row>
    <row r="709">
      <c r="A709" s="315"/>
      <c r="B709" s="315"/>
      <c r="C709" s="315"/>
      <c r="D709" s="315"/>
      <c r="E709" s="315"/>
      <c r="F709" s="315"/>
      <c r="G709" s="315"/>
      <c r="H709" s="315"/>
      <c r="I709" s="315"/>
      <c r="J709" s="315"/>
      <c r="K709" s="315"/>
      <c r="L709" s="315"/>
      <c r="M709" s="315"/>
      <c r="N709" s="315"/>
      <c r="O709" s="315"/>
      <c r="P709" s="315"/>
      <c r="Q709" s="315"/>
      <c r="R709" s="315"/>
      <c r="S709" s="315"/>
      <c r="T709" s="315"/>
      <c r="U709" s="315"/>
      <c r="V709" s="315"/>
      <c r="W709" s="315"/>
      <c r="X709" s="315"/>
      <c r="Y709" s="315"/>
      <c r="Z709" s="315"/>
      <c r="AA709" s="315"/>
      <c r="AB709" s="315"/>
      <c r="AC709" s="315"/>
      <c r="AD709" s="315"/>
      <c r="AE709" s="315"/>
      <c r="AF709" s="315"/>
      <c r="AG709" s="315"/>
      <c r="AH709" s="315"/>
      <c r="AI709" s="315"/>
      <c r="AJ709" s="315"/>
      <c r="AK709" s="315"/>
      <c r="AL709" s="315"/>
      <c r="AM709" s="315"/>
      <c r="AN709" s="315"/>
    </row>
    <row r="710">
      <c r="A710" s="315"/>
      <c r="B710" s="315"/>
      <c r="C710" s="315"/>
      <c r="D710" s="315"/>
      <c r="E710" s="315"/>
      <c r="F710" s="315"/>
      <c r="G710" s="315"/>
      <c r="H710" s="315"/>
      <c r="I710" s="315"/>
      <c r="J710" s="315"/>
      <c r="K710" s="315"/>
      <c r="L710" s="315"/>
      <c r="M710" s="315"/>
      <c r="N710" s="315"/>
      <c r="O710" s="315"/>
      <c r="P710" s="315"/>
      <c r="Q710" s="315"/>
      <c r="R710" s="315"/>
      <c r="S710" s="315"/>
      <c r="T710" s="315"/>
      <c r="U710" s="315"/>
      <c r="V710" s="315"/>
      <c r="W710" s="315"/>
      <c r="X710" s="315"/>
      <c r="Y710" s="315"/>
      <c r="Z710" s="315"/>
      <c r="AA710" s="315"/>
      <c r="AB710" s="315"/>
      <c r="AC710" s="315"/>
      <c r="AD710" s="315"/>
      <c r="AE710" s="315"/>
      <c r="AF710" s="315"/>
      <c r="AG710" s="315"/>
      <c r="AH710" s="315"/>
      <c r="AI710" s="315"/>
      <c r="AJ710" s="315"/>
      <c r="AK710" s="315"/>
      <c r="AL710" s="315"/>
      <c r="AM710" s="315"/>
      <c r="AN710" s="315"/>
    </row>
    <row r="711">
      <c r="A711" s="315"/>
      <c r="B711" s="315"/>
      <c r="C711" s="315"/>
      <c r="D711" s="315"/>
      <c r="E711" s="315"/>
      <c r="F711" s="315"/>
      <c r="G711" s="315"/>
      <c r="H711" s="315"/>
      <c r="I711" s="315"/>
      <c r="J711" s="315"/>
      <c r="K711" s="315"/>
      <c r="L711" s="315"/>
      <c r="M711" s="315"/>
      <c r="N711" s="315"/>
      <c r="O711" s="315"/>
      <c r="P711" s="315"/>
      <c r="Q711" s="315"/>
      <c r="R711" s="315"/>
      <c r="S711" s="315"/>
      <c r="T711" s="315"/>
      <c r="U711" s="315"/>
      <c r="V711" s="315"/>
      <c r="W711" s="315"/>
      <c r="X711" s="315"/>
      <c r="Y711" s="315"/>
      <c r="Z711" s="315"/>
      <c r="AA711" s="315"/>
      <c r="AB711" s="315"/>
      <c r="AC711" s="315"/>
      <c r="AD711" s="315"/>
      <c r="AE711" s="315"/>
      <c r="AF711" s="315"/>
      <c r="AG711" s="315"/>
      <c r="AH711" s="315"/>
      <c r="AI711" s="315"/>
      <c r="AJ711" s="315"/>
      <c r="AK711" s="315"/>
      <c r="AL711" s="315"/>
      <c r="AM711" s="315"/>
      <c r="AN711" s="315"/>
    </row>
    <row r="712">
      <c r="A712" s="315"/>
      <c r="B712" s="315"/>
      <c r="C712" s="315"/>
      <c r="D712" s="315"/>
      <c r="E712" s="315"/>
      <c r="F712" s="315"/>
      <c r="G712" s="315"/>
      <c r="H712" s="315"/>
      <c r="I712" s="315"/>
      <c r="J712" s="315"/>
      <c r="K712" s="315"/>
      <c r="L712" s="315"/>
      <c r="M712" s="315"/>
      <c r="N712" s="315"/>
      <c r="O712" s="315"/>
      <c r="P712" s="315"/>
      <c r="Q712" s="315"/>
      <c r="R712" s="315"/>
      <c r="S712" s="315"/>
      <c r="T712" s="315"/>
      <c r="U712" s="315"/>
      <c r="V712" s="315"/>
      <c r="W712" s="315"/>
      <c r="X712" s="315"/>
      <c r="Y712" s="315"/>
      <c r="Z712" s="315"/>
      <c r="AA712" s="315"/>
      <c r="AB712" s="315"/>
      <c r="AC712" s="315"/>
      <c r="AD712" s="315"/>
      <c r="AE712" s="315"/>
      <c r="AF712" s="315"/>
      <c r="AG712" s="315"/>
      <c r="AH712" s="315"/>
      <c r="AI712" s="315"/>
      <c r="AJ712" s="315"/>
      <c r="AK712" s="315"/>
      <c r="AL712" s="315"/>
      <c r="AM712" s="315"/>
      <c r="AN712" s="315"/>
    </row>
    <row r="713">
      <c r="A713" s="315"/>
      <c r="B713" s="315"/>
      <c r="C713" s="315"/>
      <c r="D713" s="315"/>
      <c r="E713" s="315"/>
      <c r="F713" s="315"/>
      <c r="G713" s="315"/>
      <c r="H713" s="315"/>
      <c r="I713" s="315"/>
      <c r="J713" s="315"/>
      <c r="K713" s="315"/>
      <c r="L713" s="315"/>
      <c r="M713" s="315"/>
      <c r="N713" s="315"/>
      <c r="O713" s="315"/>
      <c r="P713" s="315"/>
      <c r="Q713" s="315"/>
      <c r="R713" s="315"/>
      <c r="S713" s="315"/>
      <c r="T713" s="315"/>
      <c r="U713" s="315"/>
      <c r="V713" s="315"/>
      <c r="W713" s="315"/>
      <c r="X713" s="315"/>
      <c r="Y713" s="315"/>
      <c r="Z713" s="315"/>
      <c r="AA713" s="315"/>
      <c r="AB713" s="315"/>
      <c r="AC713" s="315"/>
      <c r="AD713" s="315"/>
      <c r="AE713" s="315"/>
      <c r="AF713" s="315"/>
      <c r="AG713" s="315"/>
      <c r="AH713" s="315"/>
      <c r="AI713" s="315"/>
      <c r="AJ713" s="315"/>
      <c r="AK713" s="315"/>
      <c r="AL713" s="315"/>
      <c r="AM713" s="315"/>
      <c r="AN713" s="315"/>
    </row>
    <row r="714">
      <c r="A714" s="315"/>
      <c r="B714" s="315"/>
      <c r="C714" s="315"/>
      <c r="D714" s="315"/>
      <c r="E714" s="315"/>
      <c r="F714" s="315"/>
      <c r="G714" s="315"/>
      <c r="H714" s="315"/>
      <c r="I714" s="315"/>
      <c r="J714" s="315"/>
      <c r="K714" s="315"/>
      <c r="L714" s="315"/>
      <c r="M714" s="315"/>
      <c r="N714" s="315"/>
      <c r="O714" s="315"/>
      <c r="P714" s="315"/>
      <c r="Q714" s="315"/>
      <c r="R714" s="315"/>
      <c r="S714" s="315"/>
      <c r="T714" s="315"/>
      <c r="U714" s="315"/>
      <c r="V714" s="315"/>
      <c r="W714" s="315"/>
      <c r="X714" s="315"/>
      <c r="Y714" s="315"/>
      <c r="Z714" s="315"/>
      <c r="AA714" s="315"/>
      <c r="AB714" s="315"/>
      <c r="AC714" s="315"/>
      <c r="AD714" s="315"/>
      <c r="AE714" s="315"/>
      <c r="AF714" s="315"/>
      <c r="AG714" s="315"/>
      <c r="AH714" s="315"/>
      <c r="AI714" s="315"/>
      <c r="AJ714" s="315"/>
      <c r="AK714" s="315"/>
      <c r="AL714" s="315"/>
      <c r="AM714" s="315"/>
      <c r="AN714" s="315"/>
    </row>
    <row r="715">
      <c r="A715" s="315"/>
      <c r="B715" s="315"/>
      <c r="C715" s="315"/>
      <c r="D715" s="315"/>
      <c r="E715" s="315"/>
      <c r="F715" s="315"/>
      <c r="G715" s="315"/>
      <c r="H715" s="315"/>
      <c r="I715" s="315"/>
      <c r="J715" s="315"/>
      <c r="K715" s="315"/>
      <c r="L715" s="315"/>
      <c r="M715" s="315"/>
      <c r="N715" s="315"/>
      <c r="O715" s="315"/>
      <c r="P715" s="315"/>
      <c r="Q715" s="315"/>
      <c r="R715" s="315"/>
      <c r="S715" s="315"/>
      <c r="T715" s="315"/>
      <c r="U715" s="315"/>
      <c r="V715" s="315"/>
      <c r="W715" s="315"/>
      <c r="X715" s="315"/>
      <c r="Y715" s="315"/>
      <c r="Z715" s="315"/>
      <c r="AA715" s="315"/>
      <c r="AB715" s="315"/>
      <c r="AC715" s="315"/>
      <c r="AD715" s="315"/>
      <c r="AE715" s="315"/>
      <c r="AF715" s="315"/>
      <c r="AG715" s="315"/>
      <c r="AH715" s="315"/>
      <c r="AI715" s="315"/>
      <c r="AJ715" s="315"/>
      <c r="AK715" s="315"/>
      <c r="AL715" s="315"/>
      <c r="AM715" s="315"/>
      <c r="AN715" s="315"/>
    </row>
    <row r="716">
      <c r="A716" s="315"/>
      <c r="B716" s="315"/>
      <c r="C716" s="315"/>
      <c r="D716" s="315"/>
      <c r="E716" s="315"/>
      <c r="F716" s="315"/>
      <c r="G716" s="315"/>
      <c r="H716" s="315"/>
      <c r="I716" s="315"/>
      <c r="J716" s="315"/>
      <c r="K716" s="315"/>
      <c r="L716" s="315"/>
      <c r="M716" s="315"/>
      <c r="N716" s="315"/>
      <c r="O716" s="315"/>
      <c r="P716" s="315"/>
      <c r="Q716" s="315"/>
      <c r="R716" s="315"/>
      <c r="S716" s="315"/>
      <c r="T716" s="315"/>
      <c r="U716" s="315"/>
      <c r="V716" s="315"/>
      <c r="W716" s="315"/>
      <c r="X716" s="315"/>
      <c r="Y716" s="315"/>
      <c r="Z716" s="315"/>
      <c r="AA716" s="315"/>
      <c r="AB716" s="315"/>
      <c r="AC716" s="315"/>
      <c r="AD716" s="315"/>
      <c r="AE716" s="315"/>
      <c r="AF716" s="315"/>
      <c r="AG716" s="315"/>
      <c r="AH716" s="315"/>
      <c r="AI716" s="315"/>
      <c r="AJ716" s="315"/>
      <c r="AK716" s="315"/>
      <c r="AL716" s="315"/>
      <c r="AM716" s="315"/>
      <c r="AN716" s="315"/>
    </row>
    <row r="717">
      <c r="A717" s="315"/>
      <c r="B717" s="315"/>
      <c r="C717" s="315"/>
      <c r="D717" s="315"/>
      <c r="E717" s="315"/>
      <c r="F717" s="315"/>
      <c r="G717" s="315"/>
      <c r="H717" s="315"/>
      <c r="I717" s="315"/>
      <c r="J717" s="315"/>
      <c r="K717" s="315"/>
      <c r="L717" s="315"/>
      <c r="M717" s="315"/>
      <c r="N717" s="315"/>
      <c r="O717" s="315"/>
      <c r="P717" s="315"/>
      <c r="Q717" s="315"/>
      <c r="R717" s="315"/>
      <c r="S717" s="315"/>
      <c r="T717" s="315"/>
      <c r="U717" s="315"/>
      <c r="V717" s="315"/>
      <c r="W717" s="315"/>
      <c r="X717" s="315"/>
      <c r="Y717" s="315"/>
      <c r="Z717" s="315"/>
      <c r="AA717" s="315"/>
      <c r="AB717" s="315"/>
      <c r="AC717" s="315"/>
      <c r="AD717" s="315"/>
      <c r="AE717" s="315"/>
      <c r="AF717" s="315"/>
      <c r="AG717" s="315"/>
      <c r="AH717" s="315"/>
      <c r="AI717" s="315"/>
      <c r="AJ717" s="315"/>
      <c r="AK717" s="315"/>
      <c r="AL717" s="315"/>
      <c r="AM717" s="315"/>
      <c r="AN717" s="315"/>
    </row>
    <row r="718">
      <c r="A718" s="315"/>
      <c r="B718" s="315"/>
      <c r="C718" s="315"/>
      <c r="D718" s="315"/>
      <c r="E718" s="315"/>
      <c r="F718" s="315"/>
      <c r="G718" s="315"/>
      <c r="H718" s="315"/>
      <c r="I718" s="315"/>
      <c r="J718" s="315"/>
      <c r="K718" s="315"/>
      <c r="L718" s="315"/>
      <c r="M718" s="315"/>
      <c r="N718" s="315"/>
      <c r="O718" s="315"/>
      <c r="P718" s="315"/>
      <c r="Q718" s="315"/>
      <c r="R718" s="315"/>
      <c r="S718" s="315"/>
      <c r="T718" s="315"/>
      <c r="U718" s="315"/>
      <c r="V718" s="315"/>
      <c r="W718" s="315"/>
      <c r="X718" s="315"/>
      <c r="Y718" s="315"/>
      <c r="Z718" s="315"/>
      <c r="AA718" s="315"/>
      <c r="AB718" s="315"/>
      <c r="AC718" s="315"/>
      <c r="AD718" s="315"/>
      <c r="AE718" s="315"/>
      <c r="AF718" s="315"/>
      <c r="AG718" s="315"/>
      <c r="AH718" s="315"/>
      <c r="AI718" s="315"/>
      <c r="AJ718" s="315"/>
      <c r="AK718" s="315"/>
      <c r="AL718" s="315"/>
      <c r="AM718" s="315"/>
      <c r="AN718" s="315"/>
    </row>
    <row r="719">
      <c r="A719" s="315"/>
      <c r="B719" s="315"/>
      <c r="C719" s="315"/>
      <c r="D719" s="315"/>
      <c r="E719" s="315"/>
      <c r="F719" s="315"/>
      <c r="G719" s="315"/>
      <c r="H719" s="315"/>
      <c r="I719" s="315"/>
      <c r="J719" s="315"/>
      <c r="K719" s="315"/>
      <c r="L719" s="315"/>
      <c r="M719" s="315"/>
      <c r="N719" s="315"/>
      <c r="O719" s="315"/>
      <c r="P719" s="315"/>
      <c r="Q719" s="315"/>
      <c r="R719" s="315"/>
      <c r="S719" s="315"/>
      <c r="T719" s="315"/>
      <c r="U719" s="315"/>
      <c r="V719" s="315"/>
      <c r="W719" s="315"/>
      <c r="X719" s="315"/>
      <c r="Y719" s="315"/>
      <c r="Z719" s="315"/>
      <c r="AA719" s="315"/>
      <c r="AB719" s="315"/>
      <c r="AC719" s="315"/>
      <c r="AD719" s="315"/>
      <c r="AE719" s="315"/>
      <c r="AF719" s="315"/>
      <c r="AG719" s="315"/>
      <c r="AH719" s="315"/>
      <c r="AI719" s="315"/>
      <c r="AJ719" s="315"/>
      <c r="AK719" s="315"/>
      <c r="AL719" s="315"/>
      <c r="AM719" s="315"/>
      <c r="AN719" s="315"/>
    </row>
    <row r="720">
      <c r="A720" s="315"/>
      <c r="B720" s="315"/>
      <c r="C720" s="315"/>
      <c r="D720" s="315"/>
      <c r="E720" s="315"/>
      <c r="F720" s="315"/>
      <c r="G720" s="315"/>
      <c r="H720" s="315"/>
      <c r="I720" s="315"/>
      <c r="J720" s="315"/>
      <c r="K720" s="315"/>
      <c r="L720" s="315"/>
      <c r="M720" s="315"/>
      <c r="N720" s="315"/>
      <c r="O720" s="315"/>
      <c r="P720" s="315"/>
      <c r="Q720" s="315"/>
      <c r="R720" s="315"/>
      <c r="S720" s="315"/>
      <c r="T720" s="315"/>
      <c r="U720" s="315"/>
      <c r="V720" s="315"/>
      <c r="W720" s="315"/>
      <c r="X720" s="315"/>
      <c r="Y720" s="315"/>
      <c r="Z720" s="315"/>
      <c r="AA720" s="315"/>
      <c r="AB720" s="315"/>
      <c r="AC720" s="315"/>
      <c r="AD720" s="315"/>
      <c r="AE720" s="315"/>
      <c r="AF720" s="315"/>
      <c r="AG720" s="315"/>
      <c r="AH720" s="315"/>
      <c r="AI720" s="315"/>
      <c r="AJ720" s="315"/>
      <c r="AK720" s="315"/>
      <c r="AL720" s="315"/>
      <c r="AM720" s="315"/>
      <c r="AN720" s="315"/>
    </row>
    <row r="721">
      <c r="A721" s="315"/>
      <c r="B721" s="315"/>
      <c r="C721" s="315"/>
      <c r="D721" s="315"/>
      <c r="E721" s="315"/>
      <c r="F721" s="315"/>
      <c r="G721" s="315"/>
      <c r="H721" s="315"/>
      <c r="I721" s="315"/>
      <c r="J721" s="315"/>
      <c r="K721" s="315"/>
      <c r="L721" s="315"/>
      <c r="M721" s="315"/>
      <c r="N721" s="315"/>
      <c r="O721" s="315"/>
      <c r="P721" s="315"/>
      <c r="Q721" s="315"/>
      <c r="R721" s="315"/>
      <c r="S721" s="315"/>
      <c r="T721" s="315"/>
      <c r="U721" s="315"/>
      <c r="V721" s="315"/>
      <c r="W721" s="315"/>
      <c r="X721" s="315"/>
      <c r="Y721" s="315"/>
      <c r="Z721" s="315"/>
      <c r="AA721" s="315"/>
      <c r="AB721" s="315"/>
      <c r="AC721" s="315"/>
      <c r="AD721" s="315"/>
      <c r="AE721" s="315"/>
      <c r="AF721" s="315"/>
      <c r="AG721" s="315"/>
      <c r="AH721" s="315"/>
      <c r="AI721" s="315"/>
      <c r="AJ721" s="315"/>
      <c r="AK721" s="315"/>
      <c r="AL721" s="315"/>
      <c r="AM721" s="315"/>
      <c r="AN721" s="315"/>
    </row>
    <row r="722">
      <c r="A722" s="315"/>
      <c r="B722" s="315"/>
      <c r="C722" s="315"/>
      <c r="D722" s="315"/>
      <c r="E722" s="315"/>
      <c r="F722" s="315"/>
      <c r="G722" s="315"/>
      <c r="H722" s="315"/>
      <c r="I722" s="315"/>
      <c r="J722" s="315"/>
      <c r="K722" s="315"/>
      <c r="L722" s="315"/>
      <c r="M722" s="315"/>
      <c r="N722" s="315"/>
      <c r="O722" s="315"/>
      <c r="P722" s="315"/>
      <c r="Q722" s="315"/>
      <c r="R722" s="315"/>
      <c r="S722" s="315"/>
      <c r="T722" s="315"/>
      <c r="U722" s="315"/>
      <c r="V722" s="315"/>
      <c r="W722" s="315"/>
      <c r="X722" s="315"/>
      <c r="Y722" s="315"/>
      <c r="Z722" s="315"/>
      <c r="AA722" s="315"/>
      <c r="AB722" s="315"/>
      <c r="AC722" s="315"/>
      <c r="AD722" s="315"/>
      <c r="AE722" s="315"/>
      <c r="AF722" s="315"/>
      <c r="AG722" s="315"/>
      <c r="AH722" s="315"/>
      <c r="AI722" s="315"/>
      <c r="AJ722" s="315"/>
      <c r="AK722" s="315"/>
      <c r="AL722" s="315"/>
      <c r="AM722" s="315"/>
      <c r="AN722" s="315"/>
    </row>
    <row r="723">
      <c r="A723" s="315"/>
      <c r="B723" s="315"/>
      <c r="C723" s="315"/>
      <c r="D723" s="315"/>
      <c r="E723" s="315"/>
      <c r="F723" s="315"/>
      <c r="G723" s="315"/>
      <c r="H723" s="315"/>
      <c r="I723" s="315"/>
      <c r="J723" s="315"/>
      <c r="K723" s="315"/>
      <c r="L723" s="315"/>
      <c r="M723" s="315"/>
      <c r="N723" s="315"/>
      <c r="O723" s="315"/>
      <c r="P723" s="315"/>
      <c r="Q723" s="315"/>
      <c r="R723" s="315"/>
      <c r="S723" s="315"/>
      <c r="T723" s="315"/>
      <c r="U723" s="315"/>
      <c r="V723" s="315"/>
      <c r="W723" s="315"/>
      <c r="X723" s="315"/>
      <c r="Y723" s="315"/>
      <c r="Z723" s="315"/>
      <c r="AA723" s="315"/>
      <c r="AB723" s="315"/>
      <c r="AC723" s="315"/>
      <c r="AD723" s="315"/>
      <c r="AE723" s="315"/>
      <c r="AF723" s="315"/>
      <c r="AG723" s="315"/>
      <c r="AH723" s="315"/>
      <c r="AI723" s="315"/>
      <c r="AJ723" s="315"/>
      <c r="AK723" s="315"/>
      <c r="AL723" s="315"/>
      <c r="AM723" s="315"/>
      <c r="AN723" s="315"/>
    </row>
    <row r="724">
      <c r="A724" s="315"/>
      <c r="B724" s="315"/>
      <c r="C724" s="315"/>
      <c r="D724" s="315"/>
      <c r="E724" s="315"/>
      <c r="F724" s="315"/>
      <c r="G724" s="315"/>
      <c r="H724" s="315"/>
      <c r="I724" s="315"/>
      <c r="J724" s="315"/>
      <c r="K724" s="315"/>
      <c r="L724" s="315"/>
      <c r="M724" s="315"/>
      <c r="N724" s="315"/>
      <c r="O724" s="315"/>
      <c r="P724" s="315"/>
      <c r="Q724" s="315"/>
      <c r="R724" s="315"/>
      <c r="S724" s="315"/>
      <c r="T724" s="315"/>
      <c r="U724" s="315"/>
      <c r="V724" s="315"/>
      <c r="W724" s="315"/>
      <c r="X724" s="315"/>
      <c r="Y724" s="315"/>
      <c r="Z724" s="315"/>
      <c r="AA724" s="315"/>
      <c r="AB724" s="315"/>
      <c r="AC724" s="315"/>
      <c r="AD724" s="315"/>
      <c r="AE724" s="315"/>
      <c r="AF724" s="315"/>
      <c r="AG724" s="315"/>
      <c r="AH724" s="315"/>
      <c r="AI724" s="315"/>
      <c r="AJ724" s="315"/>
      <c r="AK724" s="315"/>
      <c r="AL724" s="315"/>
      <c r="AM724" s="315"/>
      <c r="AN724" s="315"/>
    </row>
    <row r="725">
      <c r="A725" s="315"/>
      <c r="B725" s="315"/>
      <c r="C725" s="315"/>
      <c r="D725" s="315"/>
      <c r="E725" s="315"/>
      <c r="F725" s="315"/>
      <c r="G725" s="315"/>
      <c r="H725" s="315"/>
      <c r="I725" s="315"/>
      <c r="J725" s="315"/>
      <c r="K725" s="315"/>
      <c r="L725" s="315"/>
      <c r="M725" s="315"/>
      <c r="N725" s="315"/>
      <c r="O725" s="315"/>
      <c r="P725" s="315"/>
      <c r="Q725" s="315"/>
      <c r="R725" s="315"/>
      <c r="S725" s="315"/>
      <c r="T725" s="315"/>
      <c r="U725" s="315"/>
      <c r="V725" s="315"/>
      <c r="W725" s="315"/>
      <c r="X725" s="315"/>
      <c r="Y725" s="315"/>
      <c r="Z725" s="315"/>
      <c r="AA725" s="315"/>
      <c r="AB725" s="315"/>
      <c r="AC725" s="315"/>
      <c r="AD725" s="315"/>
      <c r="AE725" s="315"/>
      <c r="AF725" s="315"/>
      <c r="AG725" s="315"/>
      <c r="AH725" s="315"/>
      <c r="AI725" s="315"/>
      <c r="AJ725" s="315"/>
      <c r="AK725" s="315"/>
      <c r="AL725" s="315"/>
      <c r="AM725" s="315"/>
      <c r="AN725" s="315"/>
    </row>
    <row r="726">
      <c r="A726" s="315"/>
      <c r="B726" s="315"/>
      <c r="C726" s="315"/>
      <c r="D726" s="315"/>
      <c r="E726" s="315"/>
      <c r="F726" s="315"/>
      <c r="G726" s="315"/>
      <c r="H726" s="315"/>
      <c r="I726" s="315"/>
      <c r="J726" s="315"/>
      <c r="K726" s="315"/>
      <c r="L726" s="315"/>
      <c r="M726" s="315"/>
      <c r="N726" s="315"/>
      <c r="O726" s="315"/>
      <c r="P726" s="315"/>
      <c r="Q726" s="315"/>
      <c r="R726" s="315"/>
      <c r="S726" s="315"/>
      <c r="T726" s="315"/>
      <c r="U726" s="315"/>
      <c r="V726" s="315"/>
      <c r="W726" s="315"/>
      <c r="X726" s="315"/>
      <c r="Y726" s="315"/>
      <c r="Z726" s="315"/>
      <c r="AA726" s="315"/>
      <c r="AB726" s="315"/>
      <c r="AC726" s="315"/>
      <c r="AD726" s="315"/>
      <c r="AE726" s="315"/>
      <c r="AF726" s="315"/>
      <c r="AG726" s="315"/>
      <c r="AH726" s="315"/>
      <c r="AI726" s="315"/>
      <c r="AJ726" s="315"/>
      <c r="AK726" s="315"/>
      <c r="AL726" s="315"/>
      <c r="AM726" s="315"/>
      <c r="AN726" s="315"/>
    </row>
    <row r="727">
      <c r="A727" s="315"/>
      <c r="B727" s="315"/>
      <c r="C727" s="315"/>
      <c r="D727" s="315"/>
      <c r="E727" s="315"/>
      <c r="F727" s="315"/>
      <c r="G727" s="315"/>
      <c r="H727" s="315"/>
      <c r="I727" s="315"/>
      <c r="J727" s="315"/>
      <c r="K727" s="315"/>
      <c r="L727" s="315"/>
      <c r="M727" s="315"/>
      <c r="N727" s="315"/>
      <c r="O727" s="315"/>
      <c r="P727" s="315"/>
      <c r="Q727" s="315"/>
      <c r="R727" s="315"/>
      <c r="S727" s="315"/>
      <c r="T727" s="315"/>
      <c r="U727" s="315"/>
      <c r="V727" s="315"/>
      <c r="W727" s="315"/>
      <c r="X727" s="315"/>
      <c r="Y727" s="315"/>
      <c r="Z727" s="315"/>
      <c r="AA727" s="315"/>
      <c r="AB727" s="315"/>
      <c r="AC727" s="315"/>
      <c r="AD727" s="315"/>
      <c r="AE727" s="315"/>
      <c r="AF727" s="315"/>
      <c r="AG727" s="315"/>
      <c r="AH727" s="315"/>
      <c r="AI727" s="315"/>
      <c r="AJ727" s="315"/>
      <c r="AK727" s="315"/>
      <c r="AL727" s="315"/>
      <c r="AM727" s="315"/>
      <c r="AN727" s="315"/>
    </row>
    <row r="728">
      <c r="A728" s="315"/>
      <c r="B728" s="315"/>
      <c r="C728" s="315"/>
      <c r="D728" s="315"/>
      <c r="E728" s="315"/>
      <c r="F728" s="315"/>
      <c r="G728" s="315"/>
      <c r="H728" s="315"/>
      <c r="I728" s="315"/>
      <c r="J728" s="315"/>
      <c r="K728" s="315"/>
      <c r="L728" s="315"/>
      <c r="M728" s="315"/>
      <c r="N728" s="315"/>
      <c r="O728" s="315"/>
      <c r="P728" s="315"/>
      <c r="Q728" s="315"/>
      <c r="R728" s="315"/>
      <c r="S728" s="315"/>
      <c r="T728" s="315"/>
      <c r="U728" s="315"/>
      <c r="V728" s="315"/>
      <c r="W728" s="315"/>
      <c r="X728" s="315"/>
      <c r="Y728" s="315"/>
      <c r="Z728" s="315"/>
      <c r="AA728" s="315"/>
      <c r="AB728" s="315"/>
      <c r="AC728" s="315"/>
      <c r="AD728" s="315"/>
      <c r="AE728" s="315"/>
      <c r="AF728" s="315"/>
      <c r="AG728" s="315"/>
      <c r="AH728" s="315"/>
      <c r="AI728" s="315"/>
      <c r="AJ728" s="315"/>
      <c r="AK728" s="315"/>
      <c r="AL728" s="315"/>
      <c r="AM728" s="315"/>
      <c r="AN728" s="315"/>
    </row>
    <row r="729">
      <c r="A729" s="315"/>
      <c r="B729" s="315"/>
      <c r="C729" s="315"/>
      <c r="D729" s="315"/>
      <c r="E729" s="315"/>
      <c r="F729" s="315"/>
      <c r="G729" s="315"/>
      <c r="H729" s="315"/>
      <c r="I729" s="315"/>
      <c r="J729" s="315"/>
      <c r="K729" s="315"/>
      <c r="L729" s="315"/>
      <c r="M729" s="315"/>
      <c r="N729" s="315"/>
      <c r="O729" s="315"/>
      <c r="P729" s="315"/>
      <c r="Q729" s="315"/>
      <c r="R729" s="315"/>
      <c r="S729" s="315"/>
      <c r="T729" s="315"/>
      <c r="U729" s="315"/>
      <c r="V729" s="315"/>
      <c r="W729" s="315"/>
      <c r="X729" s="315"/>
      <c r="Y729" s="315"/>
      <c r="Z729" s="315"/>
      <c r="AA729" s="315"/>
      <c r="AB729" s="315"/>
      <c r="AC729" s="315"/>
      <c r="AD729" s="315"/>
      <c r="AE729" s="315"/>
      <c r="AF729" s="315"/>
      <c r="AG729" s="315"/>
      <c r="AH729" s="315"/>
      <c r="AI729" s="315"/>
      <c r="AJ729" s="315"/>
      <c r="AK729" s="315"/>
      <c r="AL729" s="315"/>
      <c r="AM729" s="315"/>
      <c r="AN729" s="315"/>
    </row>
    <row r="730">
      <c r="A730" s="315"/>
      <c r="B730" s="315"/>
      <c r="C730" s="315"/>
      <c r="D730" s="315"/>
      <c r="E730" s="315"/>
      <c r="F730" s="315"/>
      <c r="G730" s="315"/>
      <c r="H730" s="315"/>
      <c r="I730" s="315"/>
      <c r="J730" s="315"/>
      <c r="K730" s="315"/>
      <c r="L730" s="315"/>
      <c r="M730" s="315"/>
      <c r="N730" s="315"/>
      <c r="O730" s="315"/>
      <c r="P730" s="315"/>
      <c r="Q730" s="315"/>
      <c r="R730" s="315"/>
      <c r="S730" s="315"/>
      <c r="T730" s="315"/>
      <c r="U730" s="315"/>
      <c r="V730" s="315"/>
      <c r="W730" s="315"/>
      <c r="X730" s="315"/>
      <c r="Y730" s="315"/>
      <c r="Z730" s="315"/>
      <c r="AA730" s="315"/>
      <c r="AB730" s="315"/>
      <c r="AC730" s="315"/>
      <c r="AD730" s="315"/>
      <c r="AE730" s="315"/>
      <c r="AF730" s="315"/>
      <c r="AG730" s="315"/>
      <c r="AH730" s="315"/>
      <c r="AI730" s="315"/>
      <c r="AJ730" s="315"/>
      <c r="AK730" s="315"/>
      <c r="AL730" s="315"/>
      <c r="AM730" s="315"/>
      <c r="AN730" s="315"/>
    </row>
    <row r="731">
      <c r="A731" s="315"/>
      <c r="B731" s="315"/>
      <c r="C731" s="315"/>
      <c r="D731" s="315"/>
      <c r="E731" s="315"/>
      <c r="F731" s="315"/>
      <c r="G731" s="315"/>
      <c r="H731" s="315"/>
      <c r="I731" s="315"/>
      <c r="J731" s="315"/>
      <c r="K731" s="315"/>
      <c r="L731" s="315"/>
      <c r="M731" s="315"/>
      <c r="N731" s="315"/>
      <c r="O731" s="315"/>
      <c r="P731" s="315"/>
      <c r="Q731" s="315"/>
      <c r="R731" s="315"/>
      <c r="S731" s="315"/>
      <c r="T731" s="315"/>
      <c r="U731" s="315"/>
      <c r="V731" s="315"/>
      <c r="W731" s="315"/>
      <c r="X731" s="315"/>
      <c r="Y731" s="315"/>
      <c r="Z731" s="315"/>
      <c r="AA731" s="315"/>
      <c r="AB731" s="315"/>
      <c r="AC731" s="315"/>
      <c r="AD731" s="315"/>
      <c r="AE731" s="315"/>
      <c r="AF731" s="315"/>
      <c r="AG731" s="315"/>
      <c r="AH731" s="315"/>
      <c r="AI731" s="315"/>
      <c r="AJ731" s="315"/>
      <c r="AK731" s="315"/>
      <c r="AL731" s="315"/>
      <c r="AM731" s="315"/>
      <c r="AN731" s="315"/>
    </row>
    <row r="732">
      <c r="A732" s="315"/>
      <c r="B732" s="315"/>
      <c r="C732" s="315"/>
      <c r="D732" s="315"/>
      <c r="E732" s="315"/>
      <c r="F732" s="315"/>
      <c r="G732" s="315"/>
      <c r="H732" s="315"/>
      <c r="I732" s="315"/>
      <c r="J732" s="315"/>
      <c r="K732" s="315"/>
      <c r="L732" s="315"/>
      <c r="M732" s="315"/>
      <c r="N732" s="315"/>
      <c r="O732" s="315"/>
      <c r="P732" s="315"/>
      <c r="Q732" s="315"/>
      <c r="R732" s="315"/>
      <c r="S732" s="315"/>
      <c r="T732" s="315"/>
      <c r="U732" s="315"/>
      <c r="V732" s="315"/>
      <c r="W732" s="315"/>
      <c r="X732" s="315"/>
      <c r="Y732" s="315"/>
      <c r="Z732" s="315"/>
      <c r="AA732" s="315"/>
      <c r="AB732" s="315"/>
      <c r="AC732" s="315"/>
      <c r="AD732" s="315"/>
      <c r="AE732" s="315"/>
      <c r="AF732" s="315"/>
      <c r="AG732" s="315"/>
      <c r="AH732" s="315"/>
      <c r="AI732" s="315"/>
      <c r="AJ732" s="315"/>
      <c r="AK732" s="315"/>
      <c r="AL732" s="315"/>
      <c r="AM732" s="315"/>
      <c r="AN732" s="315"/>
    </row>
    <row r="733">
      <c r="A733" s="315"/>
      <c r="B733" s="315"/>
      <c r="C733" s="315"/>
      <c r="D733" s="315"/>
      <c r="E733" s="315"/>
      <c r="F733" s="315"/>
      <c r="G733" s="315"/>
      <c r="H733" s="315"/>
      <c r="I733" s="315"/>
      <c r="J733" s="315"/>
      <c r="K733" s="315"/>
      <c r="L733" s="315"/>
      <c r="M733" s="315"/>
      <c r="N733" s="315"/>
      <c r="O733" s="315"/>
      <c r="P733" s="315"/>
      <c r="Q733" s="315"/>
      <c r="R733" s="315"/>
      <c r="S733" s="315"/>
      <c r="T733" s="315"/>
      <c r="U733" s="315"/>
      <c r="V733" s="315"/>
      <c r="W733" s="315"/>
      <c r="X733" s="315"/>
      <c r="Y733" s="315"/>
      <c r="Z733" s="315"/>
      <c r="AA733" s="315"/>
      <c r="AB733" s="315"/>
      <c r="AC733" s="315"/>
      <c r="AD733" s="315"/>
      <c r="AE733" s="315"/>
      <c r="AF733" s="315"/>
      <c r="AG733" s="315"/>
      <c r="AH733" s="315"/>
      <c r="AI733" s="315"/>
      <c r="AJ733" s="315"/>
      <c r="AK733" s="315"/>
      <c r="AL733" s="315"/>
      <c r="AM733" s="315"/>
      <c r="AN733" s="315"/>
    </row>
    <row r="734">
      <c r="A734" s="315"/>
      <c r="B734" s="315"/>
      <c r="C734" s="315"/>
      <c r="D734" s="315"/>
      <c r="E734" s="315"/>
      <c r="F734" s="315"/>
      <c r="G734" s="315"/>
      <c r="H734" s="315"/>
      <c r="I734" s="315"/>
      <c r="J734" s="315"/>
      <c r="K734" s="315"/>
      <c r="L734" s="315"/>
      <c r="M734" s="315"/>
      <c r="N734" s="315"/>
      <c r="O734" s="315"/>
      <c r="P734" s="315"/>
      <c r="Q734" s="315"/>
      <c r="R734" s="315"/>
      <c r="S734" s="315"/>
      <c r="T734" s="315"/>
      <c r="U734" s="315"/>
      <c r="V734" s="315"/>
      <c r="W734" s="315"/>
      <c r="X734" s="315"/>
      <c r="Y734" s="315"/>
      <c r="Z734" s="315"/>
      <c r="AA734" s="315"/>
      <c r="AB734" s="315"/>
      <c r="AC734" s="315"/>
      <c r="AD734" s="315"/>
      <c r="AE734" s="315"/>
      <c r="AF734" s="315"/>
      <c r="AG734" s="315"/>
      <c r="AH734" s="315"/>
      <c r="AI734" s="315"/>
      <c r="AJ734" s="315"/>
      <c r="AK734" s="315"/>
      <c r="AL734" s="315"/>
      <c r="AM734" s="315"/>
      <c r="AN734" s="315"/>
    </row>
    <row r="735">
      <c r="A735" s="315"/>
      <c r="B735" s="315"/>
      <c r="C735" s="315"/>
      <c r="D735" s="315"/>
      <c r="E735" s="315"/>
      <c r="F735" s="315"/>
      <c r="G735" s="315"/>
      <c r="H735" s="315"/>
      <c r="I735" s="315"/>
      <c r="J735" s="315"/>
      <c r="K735" s="315"/>
      <c r="L735" s="315"/>
      <c r="M735" s="315"/>
      <c r="N735" s="315"/>
      <c r="O735" s="315"/>
      <c r="P735" s="315"/>
      <c r="Q735" s="315"/>
      <c r="R735" s="315"/>
      <c r="S735" s="315"/>
      <c r="T735" s="315"/>
      <c r="U735" s="315"/>
      <c r="V735" s="315"/>
      <c r="W735" s="315"/>
      <c r="X735" s="315"/>
      <c r="Y735" s="315"/>
      <c r="Z735" s="315"/>
      <c r="AA735" s="315"/>
      <c r="AB735" s="315"/>
      <c r="AC735" s="315"/>
      <c r="AD735" s="315"/>
      <c r="AE735" s="315"/>
      <c r="AF735" s="315"/>
      <c r="AG735" s="315"/>
      <c r="AH735" s="315"/>
      <c r="AI735" s="315"/>
      <c r="AJ735" s="315"/>
      <c r="AK735" s="315"/>
      <c r="AL735" s="315"/>
      <c r="AM735" s="315"/>
      <c r="AN735" s="315"/>
    </row>
    <row r="736">
      <c r="A736" s="315"/>
      <c r="B736" s="315"/>
      <c r="C736" s="315"/>
      <c r="D736" s="315"/>
      <c r="E736" s="315"/>
      <c r="F736" s="315"/>
      <c r="G736" s="315"/>
      <c r="H736" s="315"/>
      <c r="I736" s="315"/>
      <c r="J736" s="315"/>
      <c r="K736" s="315"/>
      <c r="L736" s="315"/>
      <c r="M736" s="315"/>
      <c r="N736" s="315"/>
      <c r="O736" s="315"/>
      <c r="P736" s="315"/>
      <c r="Q736" s="315"/>
      <c r="R736" s="315"/>
      <c r="S736" s="315"/>
      <c r="T736" s="315"/>
      <c r="U736" s="315"/>
      <c r="V736" s="315"/>
      <c r="W736" s="315"/>
      <c r="X736" s="315"/>
      <c r="Y736" s="315"/>
      <c r="Z736" s="315"/>
      <c r="AA736" s="315"/>
      <c r="AB736" s="315"/>
      <c r="AC736" s="315"/>
      <c r="AD736" s="315"/>
      <c r="AE736" s="315"/>
      <c r="AF736" s="315"/>
      <c r="AG736" s="315"/>
      <c r="AH736" s="315"/>
      <c r="AI736" s="315"/>
      <c r="AJ736" s="315"/>
      <c r="AK736" s="315"/>
      <c r="AL736" s="315"/>
      <c r="AM736" s="315"/>
      <c r="AN736" s="315"/>
    </row>
    <row r="737">
      <c r="A737" s="315"/>
      <c r="B737" s="315"/>
      <c r="C737" s="315"/>
      <c r="D737" s="315"/>
      <c r="E737" s="315"/>
      <c r="F737" s="315"/>
      <c r="G737" s="315"/>
      <c r="H737" s="315"/>
      <c r="I737" s="315"/>
      <c r="J737" s="315"/>
      <c r="K737" s="315"/>
      <c r="L737" s="315"/>
      <c r="M737" s="315"/>
      <c r="N737" s="315"/>
      <c r="O737" s="315"/>
      <c r="P737" s="315"/>
      <c r="Q737" s="315"/>
      <c r="R737" s="315"/>
      <c r="S737" s="315"/>
      <c r="T737" s="315"/>
      <c r="U737" s="315"/>
      <c r="V737" s="315"/>
      <c r="W737" s="315"/>
      <c r="X737" s="315"/>
      <c r="Y737" s="315"/>
      <c r="Z737" s="315"/>
      <c r="AA737" s="315"/>
      <c r="AB737" s="315"/>
      <c r="AC737" s="315"/>
      <c r="AD737" s="315"/>
      <c r="AE737" s="315"/>
      <c r="AF737" s="315"/>
      <c r="AG737" s="315"/>
      <c r="AH737" s="315"/>
      <c r="AI737" s="315"/>
      <c r="AJ737" s="315"/>
      <c r="AK737" s="315"/>
      <c r="AL737" s="315"/>
      <c r="AM737" s="315"/>
      <c r="AN737" s="315"/>
    </row>
    <row r="738">
      <c r="A738" s="315"/>
      <c r="B738" s="315"/>
      <c r="C738" s="315"/>
      <c r="D738" s="315"/>
      <c r="E738" s="315"/>
      <c r="F738" s="315"/>
      <c r="G738" s="315"/>
      <c r="H738" s="315"/>
      <c r="I738" s="315"/>
      <c r="J738" s="315"/>
      <c r="K738" s="315"/>
      <c r="L738" s="315"/>
      <c r="M738" s="315"/>
      <c r="N738" s="315"/>
      <c r="O738" s="315"/>
      <c r="P738" s="315"/>
      <c r="Q738" s="315"/>
      <c r="R738" s="315"/>
      <c r="S738" s="315"/>
      <c r="T738" s="315"/>
      <c r="U738" s="315"/>
      <c r="V738" s="315"/>
      <c r="W738" s="315"/>
      <c r="X738" s="315"/>
      <c r="Y738" s="315"/>
      <c r="Z738" s="315"/>
      <c r="AA738" s="315"/>
      <c r="AB738" s="315"/>
      <c r="AC738" s="315"/>
      <c r="AD738" s="315"/>
      <c r="AE738" s="315"/>
      <c r="AF738" s="315"/>
      <c r="AG738" s="315"/>
      <c r="AH738" s="315"/>
      <c r="AI738" s="315"/>
      <c r="AJ738" s="315"/>
      <c r="AK738" s="315"/>
      <c r="AL738" s="315"/>
      <c r="AM738" s="315"/>
      <c r="AN738" s="315"/>
    </row>
    <row r="739">
      <c r="A739" s="315"/>
      <c r="B739" s="315"/>
      <c r="C739" s="315"/>
      <c r="D739" s="315"/>
      <c r="E739" s="315"/>
      <c r="F739" s="315"/>
      <c r="G739" s="315"/>
      <c r="H739" s="315"/>
      <c r="I739" s="315"/>
      <c r="J739" s="315"/>
      <c r="K739" s="315"/>
      <c r="L739" s="315"/>
      <c r="M739" s="315"/>
      <c r="N739" s="315"/>
      <c r="O739" s="315"/>
      <c r="P739" s="315"/>
      <c r="Q739" s="315"/>
      <c r="R739" s="315"/>
      <c r="S739" s="315"/>
      <c r="T739" s="315"/>
      <c r="U739" s="315"/>
      <c r="V739" s="315"/>
      <c r="W739" s="315"/>
      <c r="X739" s="315"/>
      <c r="Y739" s="315"/>
      <c r="Z739" s="315"/>
      <c r="AA739" s="315"/>
      <c r="AB739" s="315"/>
      <c r="AC739" s="315"/>
      <c r="AD739" s="315"/>
      <c r="AE739" s="315"/>
      <c r="AF739" s="315"/>
      <c r="AG739" s="315"/>
      <c r="AH739" s="315"/>
      <c r="AI739" s="315"/>
      <c r="AJ739" s="315"/>
      <c r="AK739" s="315"/>
      <c r="AL739" s="315"/>
      <c r="AM739" s="315"/>
      <c r="AN739" s="315"/>
    </row>
    <row r="740">
      <c r="A740" s="315"/>
      <c r="B740" s="315"/>
      <c r="C740" s="315"/>
      <c r="D740" s="315"/>
      <c r="E740" s="315"/>
      <c r="F740" s="315"/>
      <c r="G740" s="315"/>
      <c r="H740" s="315"/>
      <c r="I740" s="315"/>
      <c r="J740" s="315"/>
      <c r="K740" s="315"/>
      <c r="L740" s="315"/>
      <c r="M740" s="315"/>
      <c r="N740" s="315"/>
      <c r="O740" s="315"/>
      <c r="P740" s="315"/>
      <c r="Q740" s="315"/>
      <c r="R740" s="315"/>
      <c r="S740" s="315"/>
      <c r="T740" s="315"/>
      <c r="U740" s="315"/>
      <c r="V740" s="315"/>
      <c r="W740" s="315"/>
      <c r="X740" s="315"/>
      <c r="Y740" s="315"/>
      <c r="Z740" s="315"/>
      <c r="AA740" s="315"/>
      <c r="AB740" s="315"/>
      <c r="AC740" s="315"/>
      <c r="AD740" s="315"/>
      <c r="AE740" s="315"/>
      <c r="AF740" s="315"/>
      <c r="AG740" s="315"/>
      <c r="AH740" s="315"/>
      <c r="AI740" s="315"/>
      <c r="AJ740" s="315"/>
      <c r="AK740" s="315"/>
      <c r="AL740" s="315"/>
      <c r="AM740" s="315"/>
      <c r="AN740" s="315"/>
    </row>
    <row r="741">
      <c r="A741" s="315"/>
      <c r="B741" s="315"/>
      <c r="C741" s="315"/>
      <c r="D741" s="315"/>
      <c r="E741" s="315"/>
      <c r="F741" s="315"/>
      <c r="G741" s="315"/>
      <c r="H741" s="315"/>
      <c r="I741" s="315"/>
      <c r="J741" s="315"/>
      <c r="K741" s="315"/>
      <c r="L741" s="315"/>
      <c r="M741" s="315"/>
      <c r="N741" s="315"/>
      <c r="O741" s="315"/>
      <c r="P741" s="315"/>
      <c r="Q741" s="315"/>
      <c r="R741" s="315"/>
      <c r="S741" s="315"/>
      <c r="T741" s="315"/>
      <c r="U741" s="315"/>
      <c r="V741" s="315"/>
      <c r="W741" s="315"/>
      <c r="X741" s="315"/>
      <c r="Y741" s="315"/>
      <c r="Z741" s="315"/>
      <c r="AA741" s="315"/>
      <c r="AB741" s="315"/>
      <c r="AC741" s="315"/>
      <c r="AD741" s="315"/>
      <c r="AE741" s="315"/>
      <c r="AF741" s="315"/>
      <c r="AG741" s="315"/>
      <c r="AH741" s="315"/>
      <c r="AI741" s="315"/>
      <c r="AJ741" s="315"/>
      <c r="AK741" s="315"/>
      <c r="AL741" s="315"/>
      <c r="AM741" s="315"/>
      <c r="AN741" s="315"/>
    </row>
    <row r="742">
      <c r="A742" s="315"/>
      <c r="B742" s="315"/>
      <c r="C742" s="315"/>
      <c r="D742" s="315"/>
      <c r="E742" s="315"/>
      <c r="F742" s="315"/>
      <c r="G742" s="315"/>
      <c r="H742" s="315"/>
      <c r="I742" s="315"/>
      <c r="J742" s="315"/>
      <c r="K742" s="315"/>
      <c r="L742" s="315"/>
      <c r="M742" s="315"/>
      <c r="N742" s="315"/>
      <c r="O742" s="315"/>
      <c r="P742" s="315"/>
      <c r="Q742" s="315"/>
      <c r="R742" s="315"/>
      <c r="S742" s="315"/>
      <c r="T742" s="315"/>
      <c r="U742" s="315"/>
      <c r="V742" s="315"/>
      <c r="W742" s="315"/>
      <c r="X742" s="315"/>
      <c r="Y742" s="315"/>
      <c r="Z742" s="315"/>
      <c r="AA742" s="315"/>
      <c r="AB742" s="315"/>
      <c r="AC742" s="315"/>
      <c r="AD742" s="315"/>
      <c r="AE742" s="315"/>
      <c r="AF742" s="315"/>
      <c r="AG742" s="315"/>
      <c r="AH742" s="315"/>
      <c r="AI742" s="315"/>
      <c r="AJ742" s="315"/>
      <c r="AK742" s="315"/>
      <c r="AL742" s="315"/>
      <c r="AM742" s="315"/>
      <c r="AN742" s="315"/>
    </row>
    <row r="743">
      <c r="A743" s="315"/>
      <c r="B743" s="315"/>
      <c r="C743" s="315"/>
      <c r="D743" s="315"/>
      <c r="E743" s="315"/>
      <c r="F743" s="315"/>
      <c r="G743" s="315"/>
      <c r="H743" s="315"/>
      <c r="I743" s="315"/>
      <c r="J743" s="315"/>
      <c r="K743" s="315"/>
      <c r="L743" s="315"/>
      <c r="M743" s="315"/>
      <c r="N743" s="315"/>
      <c r="O743" s="315"/>
      <c r="P743" s="315"/>
      <c r="Q743" s="315"/>
      <c r="R743" s="315"/>
      <c r="S743" s="315"/>
      <c r="T743" s="315"/>
      <c r="U743" s="315"/>
      <c r="V743" s="315"/>
      <c r="W743" s="315"/>
      <c r="X743" s="315"/>
      <c r="Y743" s="315"/>
      <c r="Z743" s="315"/>
      <c r="AA743" s="315"/>
      <c r="AB743" s="315"/>
      <c r="AC743" s="315"/>
      <c r="AD743" s="315"/>
      <c r="AE743" s="315"/>
      <c r="AF743" s="315"/>
      <c r="AG743" s="315"/>
      <c r="AH743" s="315"/>
      <c r="AI743" s="315"/>
      <c r="AJ743" s="315"/>
      <c r="AK743" s="315"/>
      <c r="AL743" s="315"/>
      <c r="AM743" s="315"/>
      <c r="AN743" s="315"/>
    </row>
    <row r="744">
      <c r="A744" s="315"/>
      <c r="B744" s="315"/>
      <c r="C744" s="315"/>
      <c r="D744" s="315"/>
      <c r="E744" s="315"/>
      <c r="F744" s="315"/>
      <c r="G744" s="315"/>
      <c r="H744" s="315"/>
      <c r="I744" s="315"/>
      <c r="J744" s="315"/>
      <c r="K744" s="315"/>
      <c r="L744" s="315"/>
      <c r="M744" s="315"/>
      <c r="N744" s="315"/>
      <c r="O744" s="315"/>
      <c r="P744" s="315"/>
      <c r="Q744" s="315"/>
      <c r="R744" s="315"/>
      <c r="S744" s="315"/>
      <c r="T744" s="315"/>
      <c r="U744" s="315"/>
      <c r="V744" s="315"/>
      <c r="W744" s="315"/>
      <c r="X744" s="315"/>
      <c r="Y744" s="315"/>
      <c r="Z744" s="315"/>
      <c r="AA744" s="315"/>
      <c r="AB744" s="315"/>
      <c r="AC744" s="315"/>
      <c r="AD744" s="315"/>
      <c r="AE744" s="315"/>
      <c r="AF744" s="315"/>
      <c r="AG744" s="315"/>
      <c r="AH744" s="315"/>
      <c r="AI744" s="315"/>
      <c r="AJ744" s="315"/>
      <c r="AK744" s="315"/>
      <c r="AL744" s="315"/>
      <c r="AM744" s="315"/>
      <c r="AN744" s="315"/>
    </row>
    <row r="745">
      <c r="A745" s="315"/>
      <c r="B745" s="315"/>
      <c r="C745" s="315"/>
      <c r="D745" s="315"/>
      <c r="E745" s="315"/>
      <c r="F745" s="315"/>
      <c r="G745" s="315"/>
      <c r="H745" s="315"/>
      <c r="I745" s="315"/>
      <c r="J745" s="315"/>
      <c r="K745" s="315"/>
      <c r="L745" s="315"/>
      <c r="M745" s="315"/>
      <c r="N745" s="315"/>
      <c r="O745" s="315"/>
      <c r="P745" s="315"/>
      <c r="Q745" s="315"/>
      <c r="R745" s="315"/>
      <c r="S745" s="315"/>
      <c r="T745" s="315"/>
      <c r="U745" s="315"/>
      <c r="V745" s="315"/>
      <c r="W745" s="315"/>
      <c r="X745" s="315"/>
      <c r="Y745" s="315"/>
      <c r="Z745" s="315"/>
      <c r="AA745" s="315"/>
      <c r="AB745" s="315"/>
      <c r="AC745" s="315"/>
      <c r="AD745" s="315"/>
      <c r="AE745" s="315"/>
      <c r="AF745" s="315"/>
      <c r="AG745" s="315"/>
      <c r="AH745" s="315"/>
      <c r="AI745" s="315"/>
      <c r="AJ745" s="315"/>
      <c r="AK745" s="315"/>
      <c r="AL745" s="315"/>
      <c r="AM745" s="315"/>
      <c r="AN745" s="315"/>
    </row>
    <row r="746">
      <c r="A746" s="315"/>
      <c r="B746" s="315"/>
      <c r="C746" s="315"/>
      <c r="D746" s="315"/>
      <c r="E746" s="315"/>
      <c r="F746" s="315"/>
      <c r="G746" s="315"/>
      <c r="H746" s="315"/>
      <c r="I746" s="315"/>
      <c r="J746" s="315"/>
      <c r="K746" s="315"/>
      <c r="L746" s="315"/>
      <c r="M746" s="315"/>
      <c r="N746" s="315"/>
      <c r="O746" s="315"/>
      <c r="P746" s="315"/>
      <c r="Q746" s="315"/>
      <c r="R746" s="315"/>
      <c r="S746" s="315"/>
      <c r="T746" s="315"/>
      <c r="U746" s="315"/>
      <c r="V746" s="315"/>
      <c r="W746" s="315"/>
      <c r="X746" s="315"/>
      <c r="Y746" s="315"/>
      <c r="Z746" s="315"/>
      <c r="AA746" s="315"/>
      <c r="AB746" s="315"/>
      <c r="AC746" s="315"/>
      <c r="AD746" s="315"/>
      <c r="AE746" s="315"/>
      <c r="AF746" s="315"/>
      <c r="AG746" s="315"/>
      <c r="AH746" s="315"/>
      <c r="AI746" s="315"/>
      <c r="AJ746" s="315"/>
      <c r="AK746" s="315"/>
      <c r="AL746" s="315"/>
      <c r="AM746" s="315"/>
      <c r="AN746" s="315"/>
    </row>
    <row r="747">
      <c r="A747" s="315"/>
      <c r="B747" s="315"/>
      <c r="C747" s="315"/>
      <c r="D747" s="315"/>
      <c r="E747" s="315"/>
      <c r="F747" s="315"/>
      <c r="G747" s="315"/>
      <c r="H747" s="315"/>
      <c r="I747" s="315"/>
      <c r="J747" s="315"/>
      <c r="K747" s="315"/>
      <c r="L747" s="315"/>
      <c r="M747" s="315"/>
      <c r="N747" s="315"/>
      <c r="O747" s="315"/>
      <c r="P747" s="315"/>
      <c r="Q747" s="315"/>
      <c r="R747" s="315"/>
      <c r="S747" s="315"/>
      <c r="T747" s="315"/>
      <c r="U747" s="315"/>
      <c r="V747" s="315"/>
      <c r="W747" s="315"/>
      <c r="X747" s="315"/>
      <c r="Y747" s="315"/>
      <c r="Z747" s="315"/>
      <c r="AA747" s="315"/>
      <c r="AB747" s="315"/>
      <c r="AC747" s="315"/>
      <c r="AD747" s="315"/>
      <c r="AE747" s="315"/>
      <c r="AF747" s="315"/>
      <c r="AG747" s="315"/>
      <c r="AH747" s="315"/>
      <c r="AI747" s="315"/>
      <c r="AJ747" s="315"/>
      <c r="AK747" s="315"/>
      <c r="AL747" s="315"/>
      <c r="AM747" s="315"/>
      <c r="AN747" s="315"/>
    </row>
    <row r="748">
      <c r="A748" s="315"/>
      <c r="B748" s="315"/>
      <c r="C748" s="315"/>
      <c r="D748" s="315"/>
      <c r="E748" s="315"/>
      <c r="F748" s="315"/>
      <c r="G748" s="315"/>
      <c r="H748" s="315"/>
      <c r="I748" s="315"/>
      <c r="J748" s="315"/>
      <c r="K748" s="315"/>
      <c r="L748" s="315"/>
      <c r="M748" s="315"/>
      <c r="N748" s="315"/>
      <c r="O748" s="315"/>
      <c r="P748" s="315"/>
      <c r="Q748" s="315"/>
      <c r="R748" s="315"/>
      <c r="S748" s="315"/>
      <c r="T748" s="315"/>
      <c r="U748" s="315"/>
      <c r="V748" s="315"/>
      <c r="W748" s="315"/>
      <c r="X748" s="315"/>
      <c r="Y748" s="315"/>
      <c r="Z748" s="315"/>
      <c r="AA748" s="315"/>
      <c r="AB748" s="315"/>
      <c r="AC748" s="315"/>
      <c r="AD748" s="315"/>
      <c r="AE748" s="315"/>
      <c r="AF748" s="315"/>
      <c r="AG748" s="315"/>
      <c r="AH748" s="315"/>
      <c r="AI748" s="315"/>
      <c r="AJ748" s="315"/>
      <c r="AK748" s="315"/>
      <c r="AL748" s="315"/>
      <c r="AM748" s="315"/>
      <c r="AN748" s="315"/>
    </row>
    <row r="749">
      <c r="A749" s="315"/>
      <c r="B749" s="315"/>
      <c r="C749" s="315"/>
      <c r="D749" s="315"/>
      <c r="E749" s="315"/>
      <c r="F749" s="315"/>
      <c r="G749" s="315"/>
      <c r="H749" s="315"/>
      <c r="I749" s="315"/>
      <c r="J749" s="315"/>
      <c r="K749" s="315"/>
      <c r="L749" s="315"/>
      <c r="M749" s="315"/>
      <c r="N749" s="315"/>
      <c r="O749" s="315"/>
      <c r="P749" s="315"/>
      <c r="Q749" s="315"/>
      <c r="R749" s="315"/>
      <c r="S749" s="315"/>
      <c r="T749" s="315"/>
      <c r="U749" s="315"/>
      <c r="V749" s="315"/>
      <c r="W749" s="315"/>
      <c r="X749" s="315"/>
      <c r="Y749" s="315"/>
      <c r="Z749" s="315"/>
      <c r="AA749" s="315"/>
      <c r="AB749" s="315"/>
      <c r="AC749" s="315"/>
      <c r="AD749" s="315"/>
      <c r="AE749" s="315"/>
      <c r="AF749" s="315"/>
      <c r="AG749" s="315"/>
      <c r="AH749" s="315"/>
      <c r="AI749" s="315"/>
      <c r="AJ749" s="315"/>
      <c r="AK749" s="315"/>
      <c r="AL749" s="315"/>
      <c r="AM749" s="315"/>
      <c r="AN749" s="315"/>
    </row>
    <row r="750">
      <c r="A750" s="315"/>
      <c r="B750" s="315"/>
      <c r="C750" s="315"/>
      <c r="D750" s="315"/>
      <c r="E750" s="315"/>
      <c r="F750" s="315"/>
      <c r="G750" s="315"/>
      <c r="H750" s="315"/>
      <c r="I750" s="315"/>
      <c r="J750" s="315"/>
      <c r="K750" s="315"/>
      <c r="L750" s="315"/>
      <c r="M750" s="315"/>
      <c r="N750" s="315"/>
      <c r="O750" s="315"/>
      <c r="P750" s="315"/>
      <c r="Q750" s="315"/>
      <c r="R750" s="315"/>
      <c r="S750" s="315"/>
      <c r="T750" s="315"/>
      <c r="U750" s="315"/>
      <c r="V750" s="315"/>
      <c r="W750" s="315"/>
      <c r="X750" s="315"/>
      <c r="Y750" s="315"/>
      <c r="Z750" s="315"/>
      <c r="AA750" s="315"/>
      <c r="AB750" s="315"/>
      <c r="AC750" s="315"/>
      <c r="AD750" s="315"/>
      <c r="AE750" s="315"/>
      <c r="AF750" s="315"/>
      <c r="AG750" s="315"/>
      <c r="AH750" s="315"/>
      <c r="AI750" s="315"/>
      <c r="AJ750" s="315"/>
      <c r="AK750" s="315"/>
      <c r="AL750" s="315"/>
      <c r="AM750" s="315"/>
      <c r="AN750" s="315"/>
    </row>
    <row r="751">
      <c r="A751" s="315"/>
      <c r="B751" s="315"/>
      <c r="C751" s="315"/>
      <c r="D751" s="315"/>
      <c r="E751" s="315"/>
      <c r="F751" s="315"/>
      <c r="G751" s="315"/>
      <c r="H751" s="315"/>
      <c r="I751" s="315"/>
      <c r="J751" s="315"/>
      <c r="K751" s="315"/>
      <c r="L751" s="315"/>
      <c r="M751" s="315"/>
      <c r="N751" s="315"/>
      <c r="O751" s="315"/>
      <c r="P751" s="315"/>
      <c r="Q751" s="315"/>
      <c r="R751" s="315"/>
      <c r="S751" s="315"/>
      <c r="T751" s="315"/>
      <c r="U751" s="315"/>
      <c r="V751" s="315"/>
      <c r="W751" s="315"/>
      <c r="X751" s="315"/>
      <c r="Y751" s="315"/>
      <c r="Z751" s="315"/>
      <c r="AA751" s="315"/>
      <c r="AB751" s="315"/>
      <c r="AC751" s="315"/>
      <c r="AD751" s="315"/>
      <c r="AE751" s="315"/>
      <c r="AF751" s="315"/>
      <c r="AG751" s="315"/>
      <c r="AH751" s="315"/>
      <c r="AI751" s="315"/>
      <c r="AJ751" s="315"/>
      <c r="AK751" s="315"/>
      <c r="AL751" s="315"/>
      <c r="AM751" s="315"/>
      <c r="AN751" s="315"/>
    </row>
    <row r="752">
      <c r="A752" s="315"/>
      <c r="B752" s="315"/>
      <c r="C752" s="315"/>
      <c r="D752" s="315"/>
      <c r="E752" s="315"/>
      <c r="F752" s="315"/>
      <c r="G752" s="315"/>
      <c r="H752" s="315"/>
      <c r="I752" s="315"/>
      <c r="J752" s="315"/>
      <c r="K752" s="315"/>
      <c r="L752" s="315"/>
      <c r="M752" s="315"/>
      <c r="N752" s="315"/>
      <c r="O752" s="315"/>
      <c r="P752" s="315"/>
      <c r="Q752" s="315"/>
      <c r="R752" s="315"/>
      <c r="S752" s="315"/>
      <c r="T752" s="315"/>
      <c r="U752" s="315"/>
      <c r="V752" s="315"/>
      <c r="W752" s="315"/>
      <c r="X752" s="315"/>
      <c r="Y752" s="315"/>
      <c r="Z752" s="315"/>
      <c r="AA752" s="315"/>
      <c r="AB752" s="315"/>
      <c r="AC752" s="315"/>
      <c r="AD752" s="315"/>
      <c r="AE752" s="315"/>
      <c r="AF752" s="315"/>
      <c r="AG752" s="315"/>
      <c r="AH752" s="315"/>
      <c r="AI752" s="315"/>
      <c r="AJ752" s="315"/>
      <c r="AK752" s="315"/>
      <c r="AL752" s="315"/>
      <c r="AM752" s="315"/>
      <c r="AN752" s="315"/>
    </row>
    <row r="753">
      <c r="A753" s="315"/>
      <c r="B753" s="315"/>
      <c r="C753" s="315"/>
      <c r="D753" s="315"/>
      <c r="E753" s="315"/>
      <c r="F753" s="315"/>
      <c r="G753" s="315"/>
      <c r="H753" s="315"/>
      <c r="I753" s="315"/>
      <c r="J753" s="315"/>
      <c r="K753" s="315"/>
      <c r="L753" s="315"/>
      <c r="M753" s="315"/>
      <c r="N753" s="315"/>
      <c r="O753" s="315"/>
      <c r="P753" s="315"/>
      <c r="Q753" s="315"/>
      <c r="R753" s="315"/>
      <c r="S753" s="315"/>
      <c r="T753" s="315"/>
      <c r="U753" s="315"/>
      <c r="V753" s="315"/>
      <c r="W753" s="315"/>
      <c r="X753" s="315"/>
      <c r="Y753" s="315"/>
      <c r="Z753" s="315"/>
      <c r="AA753" s="315"/>
      <c r="AB753" s="315"/>
      <c r="AC753" s="315"/>
      <c r="AD753" s="315"/>
      <c r="AE753" s="315"/>
      <c r="AF753" s="315"/>
      <c r="AG753" s="315"/>
      <c r="AH753" s="315"/>
      <c r="AI753" s="315"/>
      <c r="AJ753" s="315"/>
      <c r="AK753" s="315"/>
      <c r="AL753" s="315"/>
      <c r="AM753" s="315"/>
      <c r="AN753" s="315"/>
    </row>
    <row r="754">
      <c r="A754" s="315"/>
      <c r="B754" s="315"/>
      <c r="C754" s="315"/>
      <c r="D754" s="315"/>
      <c r="E754" s="315"/>
      <c r="F754" s="315"/>
      <c r="G754" s="315"/>
      <c r="H754" s="315"/>
      <c r="I754" s="315"/>
      <c r="J754" s="315"/>
      <c r="K754" s="315"/>
      <c r="L754" s="315"/>
      <c r="M754" s="315"/>
      <c r="N754" s="315"/>
      <c r="O754" s="315"/>
      <c r="P754" s="315"/>
      <c r="Q754" s="315"/>
      <c r="R754" s="315"/>
      <c r="S754" s="315"/>
      <c r="T754" s="315"/>
      <c r="U754" s="315"/>
      <c r="V754" s="315"/>
      <c r="W754" s="315"/>
      <c r="X754" s="315"/>
      <c r="Y754" s="315"/>
      <c r="Z754" s="315"/>
      <c r="AA754" s="315"/>
      <c r="AB754" s="315"/>
      <c r="AC754" s="315"/>
      <c r="AD754" s="315"/>
      <c r="AE754" s="315"/>
      <c r="AF754" s="315"/>
      <c r="AG754" s="315"/>
      <c r="AH754" s="315"/>
      <c r="AI754" s="315"/>
      <c r="AJ754" s="315"/>
      <c r="AK754" s="315"/>
      <c r="AL754" s="315"/>
      <c r="AM754" s="315"/>
      <c r="AN754" s="315"/>
    </row>
    <row r="755">
      <c r="A755" s="315"/>
      <c r="B755" s="315"/>
      <c r="C755" s="315"/>
      <c r="D755" s="315"/>
      <c r="E755" s="315"/>
      <c r="F755" s="315"/>
      <c r="G755" s="315"/>
      <c r="H755" s="315"/>
      <c r="I755" s="315"/>
      <c r="J755" s="315"/>
      <c r="K755" s="315"/>
      <c r="L755" s="315"/>
      <c r="M755" s="315"/>
      <c r="N755" s="315"/>
      <c r="O755" s="315"/>
      <c r="P755" s="315"/>
      <c r="Q755" s="315"/>
      <c r="R755" s="315"/>
      <c r="S755" s="315"/>
      <c r="T755" s="315"/>
      <c r="U755" s="315"/>
      <c r="V755" s="315"/>
      <c r="W755" s="315"/>
      <c r="X755" s="315"/>
      <c r="Y755" s="315"/>
      <c r="Z755" s="315"/>
      <c r="AA755" s="315"/>
      <c r="AB755" s="315"/>
      <c r="AC755" s="315"/>
      <c r="AD755" s="315"/>
      <c r="AE755" s="315"/>
      <c r="AF755" s="315"/>
      <c r="AG755" s="315"/>
      <c r="AH755" s="315"/>
      <c r="AI755" s="315"/>
      <c r="AJ755" s="315"/>
      <c r="AK755" s="315"/>
      <c r="AL755" s="315"/>
      <c r="AM755" s="315"/>
      <c r="AN755" s="315"/>
    </row>
    <row r="756">
      <c r="A756" s="315"/>
      <c r="B756" s="315"/>
      <c r="C756" s="315"/>
      <c r="D756" s="315"/>
      <c r="E756" s="315"/>
      <c r="F756" s="315"/>
      <c r="G756" s="315"/>
      <c r="H756" s="315"/>
      <c r="I756" s="315"/>
      <c r="J756" s="315"/>
      <c r="K756" s="315"/>
      <c r="L756" s="315"/>
      <c r="M756" s="315"/>
      <c r="N756" s="315"/>
      <c r="O756" s="315"/>
      <c r="P756" s="315"/>
      <c r="Q756" s="315"/>
      <c r="R756" s="315"/>
      <c r="S756" s="315"/>
      <c r="T756" s="315"/>
      <c r="U756" s="315"/>
      <c r="V756" s="315"/>
      <c r="W756" s="315"/>
      <c r="X756" s="315"/>
      <c r="Y756" s="315"/>
      <c r="Z756" s="315"/>
      <c r="AA756" s="315"/>
      <c r="AB756" s="315"/>
      <c r="AC756" s="315"/>
      <c r="AD756" s="315"/>
      <c r="AE756" s="315"/>
      <c r="AF756" s="315"/>
      <c r="AG756" s="315"/>
      <c r="AH756" s="315"/>
      <c r="AI756" s="315"/>
      <c r="AJ756" s="315"/>
      <c r="AK756" s="315"/>
      <c r="AL756" s="315"/>
      <c r="AM756" s="315"/>
      <c r="AN756" s="315"/>
    </row>
    <row r="757">
      <c r="A757" s="315"/>
      <c r="B757" s="315"/>
      <c r="C757" s="315"/>
      <c r="D757" s="315"/>
      <c r="E757" s="315"/>
      <c r="F757" s="315"/>
      <c r="G757" s="315"/>
      <c r="H757" s="315"/>
      <c r="I757" s="315"/>
      <c r="J757" s="315"/>
      <c r="K757" s="315"/>
      <c r="L757" s="315"/>
      <c r="M757" s="315"/>
      <c r="N757" s="315"/>
      <c r="O757" s="315"/>
      <c r="P757" s="315"/>
      <c r="Q757" s="315"/>
      <c r="R757" s="315"/>
      <c r="S757" s="315"/>
      <c r="T757" s="315"/>
      <c r="U757" s="315"/>
      <c r="V757" s="315"/>
      <c r="W757" s="315"/>
      <c r="X757" s="315"/>
      <c r="Y757" s="315"/>
      <c r="Z757" s="315"/>
      <c r="AA757" s="315"/>
      <c r="AB757" s="315"/>
      <c r="AC757" s="315"/>
      <c r="AD757" s="315"/>
      <c r="AE757" s="315"/>
      <c r="AF757" s="315"/>
      <c r="AG757" s="315"/>
      <c r="AH757" s="315"/>
      <c r="AI757" s="315"/>
      <c r="AJ757" s="315"/>
      <c r="AK757" s="315"/>
      <c r="AL757" s="315"/>
      <c r="AM757" s="315"/>
      <c r="AN757" s="315"/>
    </row>
    <row r="758">
      <c r="A758" s="315"/>
      <c r="B758" s="315"/>
      <c r="C758" s="315"/>
      <c r="D758" s="315"/>
      <c r="E758" s="315"/>
      <c r="F758" s="315"/>
      <c r="G758" s="315"/>
      <c r="H758" s="315"/>
      <c r="I758" s="315"/>
      <c r="J758" s="315"/>
      <c r="K758" s="315"/>
      <c r="L758" s="315"/>
      <c r="M758" s="315"/>
      <c r="N758" s="315"/>
      <c r="O758" s="315"/>
      <c r="P758" s="315"/>
      <c r="Q758" s="315"/>
      <c r="R758" s="315"/>
      <c r="S758" s="315"/>
      <c r="T758" s="315"/>
      <c r="U758" s="315"/>
      <c r="V758" s="315"/>
      <c r="W758" s="315"/>
      <c r="X758" s="315"/>
      <c r="Y758" s="315"/>
      <c r="Z758" s="315"/>
      <c r="AA758" s="315"/>
      <c r="AB758" s="315"/>
      <c r="AC758" s="315"/>
      <c r="AD758" s="315"/>
      <c r="AE758" s="315"/>
      <c r="AF758" s="315"/>
      <c r="AG758" s="315"/>
      <c r="AH758" s="315"/>
      <c r="AI758" s="315"/>
      <c r="AJ758" s="315"/>
      <c r="AK758" s="315"/>
      <c r="AL758" s="315"/>
      <c r="AM758" s="315"/>
      <c r="AN758" s="315"/>
    </row>
    <row r="759">
      <c r="A759" s="315"/>
      <c r="B759" s="315"/>
      <c r="C759" s="315"/>
      <c r="D759" s="315"/>
      <c r="E759" s="315"/>
      <c r="F759" s="315"/>
      <c r="G759" s="315"/>
      <c r="H759" s="315"/>
      <c r="I759" s="315"/>
      <c r="J759" s="315"/>
      <c r="K759" s="315"/>
      <c r="L759" s="315"/>
      <c r="M759" s="315"/>
      <c r="N759" s="315"/>
      <c r="O759" s="315"/>
      <c r="P759" s="315"/>
      <c r="Q759" s="315"/>
      <c r="R759" s="315"/>
      <c r="S759" s="315"/>
      <c r="T759" s="315"/>
      <c r="U759" s="315"/>
      <c r="V759" s="315"/>
      <c r="W759" s="315"/>
      <c r="X759" s="315"/>
      <c r="Y759" s="315"/>
      <c r="Z759" s="315"/>
      <c r="AA759" s="315"/>
      <c r="AB759" s="315"/>
      <c r="AC759" s="315"/>
      <c r="AD759" s="315"/>
      <c r="AE759" s="315"/>
      <c r="AF759" s="315"/>
      <c r="AG759" s="315"/>
      <c r="AH759" s="315"/>
      <c r="AI759" s="315"/>
      <c r="AJ759" s="315"/>
      <c r="AK759" s="315"/>
      <c r="AL759" s="315"/>
      <c r="AM759" s="315"/>
      <c r="AN759" s="315"/>
    </row>
    <row r="760">
      <c r="A760" s="315"/>
      <c r="B760" s="315"/>
      <c r="C760" s="315"/>
      <c r="D760" s="315"/>
      <c r="E760" s="315"/>
      <c r="F760" s="315"/>
      <c r="G760" s="315"/>
      <c r="H760" s="315"/>
      <c r="I760" s="315"/>
      <c r="J760" s="315"/>
      <c r="K760" s="315"/>
      <c r="L760" s="315"/>
      <c r="M760" s="315"/>
      <c r="N760" s="315"/>
      <c r="O760" s="315"/>
      <c r="P760" s="315"/>
      <c r="Q760" s="315"/>
      <c r="R760" s="315"/>
      <c r="S760" s="315"/>
      <c r="T760" s="315"/>
      <c r="U760" s="315"/>
      <c r="V760" s="315"/>
      <c r="W760" s="315"/>
      <c r="X760" s="315"/>
      <c r="Y760" s="315"/>
      <c r="Z760" s="315"/>
      <c r="AA760" s="315"/>
      <c r="AB760" s="315"/>
      <c r="AC760" s="315"/>
      <c r="AD760" s="315"/>
      <c r="AE760" s="315"/>
      <c r="AF760" s="315"/>
      <c r="AG760" s="315"/>
      <c r="AH760" s="315"/>
      <c r="AI760" s="315"/>
      <c r="AJ760" s="315"/>
      <c r="AK760" s="315"/>
      <c r="AL760" s="315"/>
      <c r="AM760" s="315"/>
      <c r="AN760" s="315"/>
    </row>
    <row r="761">
      <c r="A761" s="315"/>
      <c r="B761" s="315"/>
      <c r="C761" s="315"/>
      <c r="D761" s="315"/>
      <c r="E761" s="315"/>
      <c r="F761" s="315"/>
      <c r="G761" s="315"/>
      <c r="H761" s="315"/>
      <c r="I761" s="315"/>
      <c r="J761" s="315"/>
      <c r="K761" s="315"/>
      <c r="L761" s="315"/>
      <c r="M761" s="315"/>
      <c r="N761" s="315"/>
      <c r="O761" s="315"/>
      <c r="P761" s="315"/>
      <c r="Q761" s="315"/>
      <c r="R761" s="315"/>
      <c r="S761" s="315"/>
      <c r="T761" s="315"/>
      <c r="U761" s="315"/>
      <c r="V761" s="315"/>
      <c r="W761" s="315"/>
      <c r="X761" s="315"/>
      <c r="Y761" s="315"/>
      <c r="Z761" s="315"/>
      <c r="AA761" s="315"/>
      <c r="AB761" s="315"/>
      <c r="AC761" s="315"/>
      <c r="AD761" s="315"/>
      <c r="AE761" s="315"/>
      <c r="AF761" s="315"/>
      <c r="AG761" s="315"/>
      <c r="AH761" s="315"/>
      <c r="AI761" s="315"/>
      <c r="AJ761" s="315"/>
      <c r="AK761" s="315"/>
      <c r="AL761" s="315"/>
      <c r="AM761" s="315"/>
      <c r="AN761" s="315"/>
    </row>
    <row r="762">
      <c r="A762" s="315"/>
      <c r="B762" s="315"/>
      <c r="C762" s="315"/>
      <c r="D762" s="315"/>
      <c r="E762" s="315"/>
      <c r="F762" s="315"/>
      <c r="G762" s="315"/>
      <c r="H762" s="315"/>
      <c r="I762" s="315"/>
      <c r="J762" s="315"/>
      <c r="K762" s="315"/>
      <c r="L762" s="315"/>
      <c r="M762" s="315"/>
      <c r="N762" s="315"/>
      <c r="O762" s="315"/>
      <c r="P762" s="315"/>
      <c r="Q762" s="315"/>
      <c r="R762" s="315"/>
      <c r="S762" s="315"/>
      <c r="T762" s="315"/>
      <c r="U762" s="315"/>
      <c r="V762" s="315"/>
      <c r="W762" s="315"/>
      <c r="X762" s="315"/>
      <c r="Y762" s="315"/>
      <c r="Z762" s="315"/>
      <c r="AA762" s="315"/>
      <c r="AB762" s="315"/>
      <c r="AC762" s="315"/>
      <c r="AD762" s="315"/>
      <c r="AE762" s="315"/>
      <c r="AF762" s="315"/>
      <c r="AG762" s="315"/>
      <c r="AH762" s="315"/>
      <c r="AI762" s="315"/>
      <c r="AJ762" s="315"/>
      <c r="AK762" s="315"/>
      <c r="AL762" s="315"/>
      <c r="AM762" s="315"/>
      <c r="AN762" s="315"/>
    </row>
    <row r="763">
      <c r="A763" s="315"/>
      <c r="B763" s="315"/>
      <c r="C763" s="315"/>
      <c r="D763" s="315"/>
      <c r="E763" s="315"/>
      <c r="F763" s="315"/>
      <c r="G763" s="315"/>
      <c r="H763" s="315"/>
      <c r="I763" s="315"/>
      <c r="J763" s="315"/>
      <c r="K763" s="315"/>
      <c r="L763" s="315"/>
      <c r="M763" s="315"/>
      <c r="N763" s="315"/>
      <c r="O763" s="315"/>
      <c r="P763" s="315"/>
      <c r="Q763" s="315"/>
      <c r="R763" s="315"/>
      <c r="S763" s="315"/>
      <c r="T763" s="315"/>
      <c r="U763" s="315"/>
      <c r="V763" s="315"/>
      <c r="W763" s="315"/>
      <c r="X763" s="315"/>
      <c r="Y763" s="315"/>
      <c r="Z763" s="315"/>
      <c r="AA763" s="315"/>
      <c r="AB763" s="315"/>
      <c r="AC763" s="315"/>
      <c r="AD763" s="315"/>
      <c r="AE763" s="315"/>
      <c r="AF763" s="315"/>
      <c r="AG763" s="315"/>
      <c r="AH763" s="315"/>
      <c r="AI763" s="315"/>
      <c r="AJ763" s="315"/>
      <c r="AK763" s="315"/>
      <c r="AL763" s="315"/>
      <c r="AM763" s="315"/>
      <c r="AN763" s="315"/>
    </row>
    <row r="764">
      <c r="A764" s="315"/>
      <c r="B764" s="315"/>
      <c r="C764" s="315"/>
      <c r="D764" s="315"/>
      <c r="E764" s="315"/>
      <c r="F764" s="315"/>
      <c r="G764" s="315"/>
      <c r="H764" s="315"/>
      <c r="I764" s="315"/>
      <c r="J764" s="315"/>
      <c r="K764" s="315"/>
      <c r="L764" s="315"/>
      <c r="M764" s="315"/>
      <c r="N764" s="315"/>
      <c r="O764" s="315"/>
      <c r="P764" s="315"/>
      <c r="Q764" s="315"/>
      <c r="R764" s="315"/>
      <c r="S764" s="315"/>
      <c r="T764" s="315"/>
      <c r="U764" s="315"/>
      <c r="V764" s="315"/>
      <c r="W764" s="315"/>
      <c r="X764" s="315"/>
      <c r="Y764" s="315"/>
      <c r="Z764" s="315"/>
      <c r="AA764" s="315"/>
      <c r="AB764" s="315"/>
      <c r="AC764" s="315"/>
      <c r="AD764" s="315"/>
      <c r="AE764" s="315"/>
      <c r="AF764" s="315"/>
      <c r="AG764" s="315"/>
      <c r="AH764" s="315"/>
      <c r="AI764" s="315"/>
      <c r="AJ764" s="315"/>
      <c r="AK764" s="315"/>
      <c r="AL764" s="315"/>
      <c r="AM764" s="315"/>
      <c r="AN764" s="315"/>
    </row>
    <row r="765">
      <c r="A765" s="315"/>
      <c r="B765" s="315"/>
      <c r="C765" s="315"/>
      <c r="D765" s="315"/>
      <c r="E765" s="315"/>
      <c r="F765" s="315"/>
      <c r="G765" s="315"/>
      <c r="H765" s="315"/>
      <c r="I765" s="315"/>
      <c r="J765" s="315"/>
      <c r="K765" s="315"/>
      <c r="L765" s="315"/>
      <c r="M765" s="315"/>
      <c r="N765" s="315"/>
      <c r="O765" s="315"/>
      <c r="P765" s="315"/>
      <c r="Q765" s="315"/>
      <c r="R765" s="315"/>
      <c r="S765" s="315"/>
      <c r="T765" s="315"/>
      <c r="U765" s="315"/>
      <c r="V765" s="315"/>
      <c r="W765" s="315"/>
      <c r="X765" s="315"/>
      <c r="Y765" s="315"/>
      <c r="Z765" s="315"/>
      <c r="AA765" s="315"/>
      <c r="AB765" s="315"/>
      <c r="AC765" s="315"/>
      <c r="AD765" s="315"/>
      <c r="AE765" s="315"/>
      <c r="AF765" s="315"/>
      <c r="AG765" s="315"/>
      <c r="AH765" s="315"/>
      <c r="AI765" s="315"/>
      <c r="AJ765" s="315"/>
      <c r="AK765" s="315"/>
      <c r="AL765" s="315"/>
      <c r="AM765" s="315"/>
      <c r="AN765" s="315"/>
    </row>
    <row r="766">
      <c r="A766" s="315"/>
      <c r="B766" s="315"/>
      <c r="C766" s="315"/>
      <c r="D766" s="315"/>
      <c r="E766" s="315"/>
      <c r="F766" s="315"/>
      <c r="G766" s="315"/>
      <c r="H766" s="315"/>
      <c r="I766" s="315"/>
      <c r="J766" s="315"/>
      <c r="K766" s="315"/>
      <c r="L766" s="315"/>
      <c r="M766" s="315"/>
      <c r="N766" s="315"/>
      <c r="O766" s="315"/>
      <c r="P766" s="315"/>
      <c r="Q766" s="315"/>
      <c r="R766" s="315"/>
      <c r="S766" s="315"/>
      <c r="T766" s="315"/>
      <c r="U766" s="315"/>
      <c r="V766" s="315"/>
      <c r="W766" s="315"/>
      <c r="X766" s="315"/>
      <c r="Y766" s="315"/>
      <c r="Z766" s="315"/>
      <c r="AA766" s="315"/>
      <c r="AB766" s="315"/>
      <c r="AC766" s="315"/>
      <c r="AD766" s="315"/>
      <c r="AE766" s="315"/>
      <c r="AF766" s="315"/>
      <c r="AG766" s="315"/>
      <c r="AH766" s="315"/>
      <c r="AI766" s="315"/>
      <c r="AJ766" s="315"/>
      <c r="AK766" s="315"/>
      <c r="AL766" s="315"/>
      <c r="AM766" s="315"/>
      <c r="AN766" s="315"/>
    </row>
    <row r="767">
      <c r="A767" s="315"/>
      <c r="B767" s="315"/>
      <c r="C767" s="315"/>
      <c r="D767" s="315"/>
      <c r="E767" s="315"/>
      <c r="F767" s="315"/>
      <c r="G767" s="315"/>
      <c r="H767" s="315"/>
      <c r="I767" s="315"/>
      <c r="J767" s="315"/>
      <c r="K767" s="315"/>
      <c r="L767" s="315"/>
      <c r="M767" s="315"/>
      <c r="N767" s="315"/>
      <c r="O767" s="315"/>
      <c r="P767" s="315"/>
      <c r="Q767" s="315"/>
      <c r="R767" s="315"/>
      <c r="S767" s="315"/>
      <c r="T767" s="315"/>
      <c r="U767" s="315"/>
      <c r="V767" s="315"/>
      <c r="W767" s="315"/>
      <c r="X767" s="315"/>
      <c r="Y767" s="315"/>
      <c r="Z767" s="315"/>
      <c r="AA767" s="315"/>
      <c r="AB767" s="315"/>
      <c r="AC767" s="315"/>
      <c r="AD767" s="315"/>
      <c r="AE767" s="315"/>
      <c r="AF767" s="315"/>
      <c r="AG767" s="315"/>
      <c r="AH767" s="315"/>
      <c r="AI767" s="315"/>
      <c r="AJ767" s="315"/>
      <c r="AK767" s="315"/>
      <c r="AL767" s="315"/>
      <c r="AM767" s="315"/>
      <c r="AN767" s="315"/>
    </row>
    <row r="768">
      <c r="A768" s="315"/>
      <c r="B768" s="315"/>
      <c r="C768" s="315"/>
      <c r="D768" s="315"/>
      <c r="E768" s="315"/>
      <c r="F768" s="315"/>
      <c r="G768" s="315"/>
      <c r="H768" s="315"/>
      <c r="I768" s="315"/>
      <c r="J768" s="315"/>
      <c r="K768" s="315"/>
      <c r="L768" s="315"/>
      <c r="M768" s="315"/>
      <c r="N768" s="315"/>
      <c r="O768" s="315"/>
      <c r="P768" s="315"/>
      <c r="Q768" s="315"/>
      <c r="R768" s="315"/>
      <c r="S768" s="315"/>
      <c r="T768" s="315"/>
      <c r="U768" s="315"/>
      <c r="V768" s="315"/>
      <c r="W768" s="315"/>
      <c r="X768" s="315"/>
      <c r="Y768" s="315"/>
      <c r="Z768" s="315"/>
      <c r="AA768" s="315"/>
      <c r="AB768" s="315"/>
      <c r="AC768" s="315"/>
      <c r="AD768" s="315"/>
      <c r="AE768" s="315"/>
      <c r="AF768" s="315"/>
      <c r="AG768" s="315"/>
      <c r="AH768" s="315"/>
      <c r="AI768" s="315"/>
      <c r="AJ768" s="315"/>
      <c r="AK768" s="315"/>
      <c r="AL768" s="315"/>
      <c r="AM768" s="315"/>
      <c r="AN768" s="315"/>
    </row>
    <row r="769">
      <c r="A769" s="315"/>
      <c r="B769" s="315"/>
      <c r="C769" s="315"/>
      <c r="D769" s="315"/>
      <c r="E769" s="315"/>
      <c r="F769" s="315"/>
      <c r="G769" s="315"/>
      <c r="H769" s="315"/>
      <c r="I769" s="315"/>
      <c r="J769" s="315"/>
      <c r="K769" s="315"/>
      <c r="L769" s="315"/>
      <c r="M769" s="315"/>
      <c r="N769" s="315"/>
      <c r="O769" s="315"/>
      <c r="P769" s="315"/>
      <c r="Q769" s="315"/>
      <c r="R769" s="315"/>
      <c r="S769" s="315"/>
      <c r="T769" s="315"/>
      <c r="U769" s="315"/>
      <c r="V769" s="315"/>
      <c r="W769" s="315"/>
      <c r="X769" s="315"/>
      <c r="Y769" s="315"/>
      <c r="Z769" s="315"/>
      <c r="AA769" s="315"/>
      <c r="AB769" s="315"/>
      <c r="AC769" s="315"/>
      <c r="AD769" s="315"/>
      <c r="AE769" s="315"/>
      <c r="AF769" s="315"/>
      <c r="AG769" s="315"/>
      <c r="AH769" s="315"/>
      <c r="AI769" s="315"/>
      <c r="AJ769" s="315"/>
      <c r="AK769" s="315"/>
      <c r="AL769" s="315"/>
      <c r="AM769" s="315"/>
      <c r="AN769" s="315"/>
    </row>
    <row r="770">
      <c r="A770" s="315"/>
      <c r="B770" s="315"/>
      <c r="C770" s="315"/>
      <c r="D770" s="315"/>
      <c r="E770" s="315"/>
      <c r="F770" s="315"/>
      <c r="G770" s="315"/>
      <c r="H770" s="315"/>
      <c r="I770" s="315"/>
      <c r="J770" s="315"/>
      <c r="K770" s="315"/>
      <c r="L770" s="315"/>
      <c r="M770" s="315"/>
      <c r="N770" s="315"/>
      <c r="O770" s="315"/>
      <c r="P770" s="315"/>
      <c r="Q770" s="315"/>
      <c r="R770" s="315"/>
      <c r="S770" s="315"/>
      <c r="T770" s="315"/>
      <c r="U770" s="315"/>
      <c r="V770" s="315"/>
      <c r="W770" s="315"/>
      <c r="X770" s="315"/>
      <c r="Y770" s="315"/>
      <c r="Z770" s="315"/>
      <c r="AA770" s="315"/>
      <c r="AB770" s="315"/>
      <c r="AC770" s="315"/>
      <c r="AD770" s="315"/>
      <c r="AE770" s="315"/>
      <c r="AF770" s="315"/>
      <c r="AG770" s="315"/>
      <c r="AH770" s="315"/>
      <c r="AI770" s="315"/>
      <c r="AJ770" s="315"/>
      <c r="AK770" s="315"/>
      <c r="AL770" s="315"/>
      <c r="AM770" s="315"/>
      <c r="AN770" s="315"/>
    </row>
    <row r="771">
      <c r="A771" s="315"/>
      <c r="B771" s="315"/>
      <c r="C771" s="315"/>
      <c r="D771" s="315"/>
      <c r="E771" s="315"/>
      <c r="F771" s="315"/>
      <c r="G771" s="315"/>
      <c r="H771" s="315"/>
      <c r="I771" s="315"/>
      <c r="J771" s="315"/>
      <c r="K771" s="315"/>
      <c r="L771" s="315"/>
      <c r="M771" s="315"/>
      <c r="N771" s="315"/>
      <c r="O771" s="315"/>
      <c r="P771" s="315"/>
      <c r="Q771" s="315"/>
      <c r="R771" s="315"/>
      <c r="S771" s="315"/>
      <c r="T771" s="315"/>
      <c r="U771" s="315"/>
      <c r="V771" s="315"/>
      <c r="W771" s="315"/>
      <c r="X771" s="315"/>
      <c r="Y771" s="315"/>
      <c r="Z771" s="315"/>
      <c r="AA771" s="315"/>
      <c r="AB771" s="315"/>
      <c r="AC771" s="315"/>
      <c r="AD771" s="315"/>
      <c r="AE771" s="315"/>
      <c r="AF771" s="315"/>
      <c r="AG771" s="315"/>
      <c r="AH771" s="315"/>
      <c r="AI771" s="315"/>
      <c r="AJ771" s="315"/>
      <c r="AK771" s="315"/>
      <c r="AL771" s="315"/>
      <c r="AM771" s="315"/>
      <c r="AN771" s="315"/>
    </row>
    <row r="772">
      <c r="A772" s="315"/>
      <c r="B772" s="315"/>
      <c r="C772" s="315"/>
      <c r="D772" s="315"/>
      <c r="E772" s="315"/>
      <c r="F772" s="315"/>
      <c r="G772" s="315"/>
      <c r="H772" s="315"/>
      <c r="I772" s="315"/>
      <c r="J772" s="315"/>
      <c r="K772" s="315"/>
      <c r="L772" s="315"/>
      <c r="M772" s="315"/>
      <c r="N772" s="315"/>
      <c r="O772" s="315"/>
      <c r="P772" s="315"/>
      <c r="Q772" s="315"/>
      <c r="R772" s="315"/>
      <c r="S772" s="315"/>
      <c r="T772" s="315"/>
      <c r="U772" s="315"/>
      <c r="V772" s="315"/>
      <c r="W772" s="315"/>
      <c r="X772" s="315"/>
      <c r="Y772" s="315"/>
      <c r="Z772" s="315"/>
      <c r="AA772" s="315"/>
      <c r="AB772" s="315"/>
      <c r="AC772" s="315"/>
      <c r="AD772" s="315"/>
      <c r="AE772" s="315"/>
      <c r="AF772" s="315"/>
      <c r="AG772" s="315"/>
      <c r="AH772" s="315"/>
      <c r="AI772" s="315"/>
      <c r="AJ772" s="315"/>
      <c r="AK772" s="315"/>
      <c r="AL772" s="315"/>
      <c r="AM772" s="315"/>
      <c r="AN772" s="315"/>
    </row>
    <row r="773">
      <c r="A773" s="315"/>
      <c r="B773" s="315"/>
      <c r="C773" s="315"/>
      <c r="D773" s="315"/>
      <c r="E773" s="315"/>
      <c r="F773" s="315"/>
      <c r="G773" s="315"/>
      <c r="H773" s="315"/>
      <c r="I773" s="315"/>
      <c r="J773" s="315"/>
      <c r="K773" s="315"/>
      <c r="L773" s="315"/>
      <c r="M773" s="315"/>
      <c r="N773" s="315"/>
      <c r="O773" s="315"/>
      <c r="P773" s="315"/>
      <c r="Q773" s="315"/>
      <c r="R773" s="315"/>
      <c r="S773" s="315"/>
      <c r="T773" s="315"/>
      <c r="U773" s="315"/>
      <c r="V773" s="315"/>
      <c r="W773" s="315"/>
      <c r="X773" s="315"/>
      <c r="Y773" s="315"/>
      <c r="Z773" s="315"/>
      <c r="AA773" s="315"/>
      <c r="AB773" s="315"/>
      <c r="AC773" s="315"/>
      <c r="AD773" s="315"/>
      <c r="AE773" s="315"/>
      <c r="AF773" s="315"/>
      <c r="AG773" s="315"/>
      <c r="AH773" s="315"/>
      <c r="AI773" s="315"/>
      <c r="AJ773" s="315"/>
      <c r="AK773" s="315"/>
      <c r="AL773" s="315"/>
      <c r="AM773" s="315"/>
      <c r="AN773" s="315"/>
    </row>
    <row r="774">
      <c r="A774" s="315"/>
      <c r="B774" s="315"/>
      <c r="C774" s="315"/>
      <c r="D774" s="315"/>
      <c r="E774" s="315"/>
      <c r="F774" s="315"/>
      <c r="G774" s="315"/>
      <c r="H774" s="315"/>
      <c r="I774" s="315"/>
      <c r="J774" s="315"/>
      <c r="K774" s="315"/>
      <c r="L774" s="315"/>
      <c r="M774" s="315"/>
      <c r="N774" s="315"/>
      <c r="O774" s="315"/>
      <c r="P774" s="315"/>
      <c r="Q774" s="315"/>
      <c r="R774" s="315"/>
      <c r="S774" s="315"/>
      <c r="T774" s="315"/>
      <c r="U774" s="315"/>
      <c r="V774" s="315"/>
      <c r="W774" s="315"/>
      <c r="X774" s="315"/>
      <c r="Y774" s="315"/>
      <c r="Z774" s="315"/>
      <c r="AA774" s="315"/>
      <c r="AB774" s="315"/>
      <c r="AC774" s="315"/>
      <c r="AD774" s="315"/>
      <c r="AE774" s="315"/>
      <c r="AF774" s="315"/>
      <c r="AG774" s="315"/>
      <c r="AH774" s="315"/>
      <c r="AI774" s="315"/>
      <c r="AJ774" s="315"/>
      <c r="AK774" s="315"/>
      <c r="AL774" s="315"/>
      <c r="AM774" s="315"/>
      <c r="AN774" s="315"/>
    </row>
    <row r="775">
      <c r="A775" s="315"/>
      <c r="B775" s="315"/>
      <c r="C775" s="315"/>
      <c r="D775" s="315"/>
      <c r="E775" s="315"/>
      <c r="F775" s="315"/>
      <c r="G775" s="315"/>
      <c r="H775" s="315"/>
      <c r="I775" s="315"/>
      <c r="J775" s="315"/>
      <c r="K775" s="315"/>
      <c r="L775" s="315"/>
      <c r="M775" s="315"/>
      <c r="N775" s="315"/>
      <c r="O775" s="315"/>
      <c r="P775" s="315"/>
      <c r="Q775" s="315"/>
      <c r="R775" s="315"/>
      <c r="S775" s="315"/>
      <c r="T775" s="315"/>
      <c r="U775" s="315"/>
      <c r="V775" s="315"/>
      <c r="W775" s="315"/>
      <c r="X775" s="315"/>
      <c r="Y775" s="315"/>
      <c r="Z775" s="315"/>
      <c r="AA775" s="315"/>
      <c r="AB775" s="315"/>
      <c r="AC775" s="315"/>
      <c r="AD775" s="315"/>
      <c r="AE775" s="315"/>
      <c r="AF775" s="315"/>
      <c r="AG775" s="315"/>
      <c r="AH775" s="315"/>
      <c r="AI775" s="315"/>
      <c r="AJ775" s="315"/>
      <c r="AK775" s="315"/>
      <c r="AL775" s="315"/>
      <c r="AM775" s="315"/>
      <c r="AN775" s="315"/>
    </row>
    <row r="776">
      <c r="A776" s="315"/>
      <c r="B776" s="315"/>
      <c r="C776" s="315"/>
      <c r="D776" s="315"/>
      <c r="E776" s="315"/>
      <c r="F776" s="315"/>
      <c r="G776" s="315"/>
      <c r="H776" s="315"/>
      <c r="I776" s="315"/>
      <c r="J776" s="315"/>
      <c r="K776" s="315"/>
      <c r="L776" s="315"/>
      <c r="M776" s="315"/>
      <c r="N776" s="315"/>
      <c r="O776" s="315"/>
      <c r="P776" s="315"/>
      <c r="Q776" s="315"/>
      <c r="R776" s="315"/>
      <c r="S776" s="315"/>
      <c r="T776" s="315"/>
      <c r="U776" s="315"/>
      <c r="V776" s="315"/>
      <c r="W776" s="315"/>
      <c r="X776" s="315"/>
      <c r="Y776" s="315"/>
      <c r="Z776" s="315"/>
      <c r="AA776" s="315"/>
      <c r="AB776" s="315"/>
      <c r="AC776" s="315"/>
      <c r="AD776" s="315"/>
      <c r="AE776" s="315"/>
      <c r="AF776" s="315"/>
      <c r="AG776" s="315"/>
      <c r="AH776" s="315"/>
      <c r="AI776" s="315"/>
      <c r="AJ776" s="315"/>
      <c r="AK776" s="315"/>
      <c r="AL776" s="315"/>
      <c r="AM776" s="315"/>
      <c r="AN776" s="315"/>
    </row>
    <row r="777">
      <c r="A777" s="315"/>
      <c r="B777" s="315"/>
      <c r="C777" s="315"/>
      <c r="D777" s="315"/>
      <c r="E777" s="315"/>
      <c r="F777" s="315"/>
      <c r="G777" s="315"/>
      <c r="H777" s="315"/>
      <c r="I777" s="315"/>
      <c r="J777" s="315"/>
      <c r="K777" s="315"/>
      <c r="L777" s="315"/>
      <c r="M777" s="315"/>
      <c r="N777" s="315"/>
      <c r="O777" s="315"/>
      <c r="P777" s="315"/>
      <c r="Q777" s="315"/>
      <c r="R777" s="315"/>
      <c r="S777" s="315"/>
      <c r="T777" s="315"/>
      <c r="U777" s="315"/>
      <c r="V777" s="315"/>
      <c r="W777" s="315"/>
      <c r="X777" s="315"/>
      <c r="Y777" s="315"/>
      <c r="Z777" s="315"/>
      <c r="AA777" s="315"/>
      <c r="AB777" s="315"/>
      <c r="AC777" s="315"/>
      <c r="AD777" s="315"/>
      <c r="AE777" s="315"/>
      <c r="AF777" s="315"/>
      <c r="AG777" s="315"/>
      <c r="AH777" s="315"/>
      <c r="AI777" s="315"/>
      <c r="AJ777" s="315"/>
      <c r="AK777" s="315"/>
      <c r="AL777" s="315"/>
      <c r="AM777" s="315"/>
      <c r="AN777" s="315"/>
    </row>
    <row r="778">
      <c r="A778" s="315"/>
      <c r="B778" s="315"/>
      <c r="C778" s="315"/>
      <c r="D778" s="315"/>
      <c r="E778" s="315"/>
      <c r="F778" s="315"/>
      <c r="G778" s="315"/>
      <c r="H778" s="315"/>
      <c r="I778" s="315"/>
      <c r="J778" s="315"/>
      <c r="K778" s="315"/>
      <c r="L778" s="315"/>
      <c r="M778" s="315"/>
      <c r="N778" s="315"/>
      <c r="O778" s="315"/>
      <c r="P778" s="315"/>
      <c r="Q778" s="315"/>
      <c r="R778" s="315"/>
      <c r="S778" s="315"/>
      <c r="T778" s="315"/>
      <c r="U778" s="315"/>
      <c r="V778" s="315"/>
      <c r="W778" s="315"/>
      <c r="X778" s="315"/>
      <c r="Y778" s="315"/>
      <c r="Z778" s="315"/>
      <c r="AA778" s="315"/>
      <c r="AB778" s="315"/>
      <c r="AC778" s="315"/>
      <c r="AD778" s="315"/>
      <c r="AE778" s="315"/>
      <c r="AF778" s="315"/>
      <c r="AG778" s="315"/>
      <c r="AH778" s="315"/>
      <c r="AI778" s="315"/>
      <c r="AJ778" s="315"/>
      <c r="AK778" s="315"/>
      <c r="AL778" s="315"/>
      <c r="AM778" s="315"/>
      <c r="AN778" s="315"/>
    </row>
    <row r="779">
      <c r="A779" s="315"/>
      <c r="B779" s="315"/>
      <c r="C779" s="315"/>
      <c r="D779" s="315"/>
      <c r="E779" s="315"/>
      <c r="F779" s="315"/>
      <c r="G779" s="315"/>
      <c r="H779" s="315"/>
      <c r="I779" s="315"/>
      <c r="J779" s="315"/>
      <c r="K779" s="315"/>
      <c r="L779" s="315"/>
      <c r="M779" s="315"/>
      <c r="N779" s="315"/>
      <c r="O779" s="315"/>
      <c r="P779" s="315"/>
      <c r="Q779" s="315"/>
      <c r="R779" s="315"/>
      <c r="S779" s="315"/>
      <c r="T779" s="315"/>
      <c r="U779" s="315"/>
      <c r="V779" s="315"/>
      <c r="W779" s="315"/>
      <c r="X779" s="315"/>
      <c r="Y779" s="315"/>
      <c r="Z779" s="315"/>
      <c r="AA779" s="315"/>
      <c r="AB779" s="315"/>
      <c r="AC779" s="315"/>
      <c r="AD779" s="315"/>
      <c r="AE779" s="315"/>
      <c r="AF779" s="315"/>
      <c r="AG779" s="315"/>
      <c r="AH779" s="315"/>
      <c r="AI779" s="315"/>
      <c r="AJ779" s="315"/>
      <c r="AK779" s="315"/>
      <c r="AL779" s="315"/>
      <c r="AM779" s="315"/>
      <c r="AN779" s="315"/>
    </row>
    <row r="780">
      <c r="A780" s="315"/>
      <c r="B780" s="315"/>
      <c r="C780" s="315"/>
      <c r="D780" s="315"/>
      <c r="E780" s="315"/>
      <c r="F780" s="315"/>
      <c r="G780" s="315"/>
      <c r="H780" s="315"/>
      <c r="I780" s="315"/>
      <c r="J780" s="315"/>
      <c r="K780" s="315"/>
      <c r="L780" s="315"/>
      <c r="M780" s="315"/>
      <c r="N780" s="315"/>
      <c r="O780" s="315"/>
      <c r="P780" s="315"/>
      <c r="Q780" s="315"/>
      <c r="R780" s="315"/>
      <c r="S780" s="315"/>
      <c r="T780" s="315"/>
      <c r="U780" s="315"/>
      <c r="V780" s="315"/>
      <c r="W780" s="315"/>
      <c r="X780" s="315"/>
      <c r="Y780" s="315"/>
      <c r="Z780" s="315"/>
      <c r="AA780" s="315"/>
      <c r="AB780" s="315"/>
      <c r="AC780" s="315"/>
      <c r="AD780" s="315"/>
      <c r="AE780" s="315"/>
      <c r="AF780" s="315"/>
      <c r="AG780" s="315"/>
      <c r="AH780" s="315"/>
      <c r="AI780" s="315"/>
      <c r="AJ780" s="315"/>
      <c r="AK780" s="315"/>
      <c r="AL780" s="315"/>
      <c r="AM780" s="315"/>
      <c r="AN780" s="315"/>
    </row>
    <row r="781">
      <c r="A781" s="315"/>
      <c r="B781" s="315"/>
      <c r="C781" s="315"/>
      <c r="D781" s="315"/>
      <c r="E781" s="315"/>
      <c r="F781" s="315"/>
      <c r="G781" s="315"/>
      <c r="H781" s="315"/>
      <c r="I781" s="315"/>
      <c r="J781" s="315"/>
      <c r="K781" s="315"/>
      <c r="L781" s="315"/>
      <c r="M781" s="315"/>
      <c r="N781" s="315"/>
      <c r="O781" s="315"/>
      <c r="P781" s="315"/>
      <c r="Q781" s="315"/>
      <c r="R781" s="315"/>
      <c r="S781" s="315"/>
      <c r="T781" s="315"/>
      <c r="U781" s="315"/>
      <c r="V781" s="315"/>
      <c r="W781" s="315"/>
      <c r="X781" s="315"/>
      <c r="Y781" s="315"/>
      <c r="Z781" s="315"/>
      <c r="AA781" s="315"/>
      <c r="AB781" s="315"/>
      <c r="AC781" s="315"/>
      <c r="AD781" s="315"/>
      <c r="AE781" s="315"/>
      <c r="AF781" s="315"/>
      <c r="AG781" s="315"/>
      <c r="AH781" s="315"/>
      <c r="AI781" s="315"/>
      <c r="AJ781" s="315"/>
      <c r="AK781" s="315"/>
      <c r="AL781" s="315"/>
      <c r="AM781" s="315"/>
      <c r="AN781" s="315"/>
    </row>
    <row r="782">
      <c r="A782" s="315"/>
      <c r="B782" s="315"/>
      <c r="C782" s="315"/>
      <c r="D782" s="315"/>
      <c r="E782" s="315"/>
      <c r="F782" s="315"/>
      <c r="G782" s="315"/>
      <c r="H782" s="315"/>
      <c r="I782" s="315"/>
      <c r="J782" s="315"/>
      <c r="K782" s="315"/>
      <c r="L782" s="315"/>
      <c r="M782" s="315"/>
      <c r="N782" s="315"/>
      <c r="O782" s="315"/>
      <c r="P782" s="315"/>
      <c r="Q782" s="315"/>
      <c r="R782" s="315"/>
      <c r="S782" s="315"/>
      <c r="T782" s="315"/>
      <c r="U782" s="315"/>
      <c r="V782" s="315"/>
      <c r="W782" s="315"/>
      <c r="X782" s="315"/>
      <c r="Y782" s="315"/>
      <c r="Z782" s="315"/>
      <c r="AA782" s="315"/>
      <c r="AB782" s="315"/>
      <c r="AC782" s="315"/>
      <c r="AD782" s="315"/>
      <c r="AE782" s="315"/>
      <c r="AF782" s="315"/>
      <c r="AG782" s="315"/>
      <c r="AH782" s="315"/>
      <c r="AI782" s="315"/>
      <c r="AJ782" s="315"/>
      <c r="AK782" s="315"/>
      <c r="AL782" s="315"/>
      <c r="AM782" s="315"/>
      <c r="AN782" s="315"/>
    </row>
    <row r="783">
      <c r="A783" s="315"/>
      <c r="B783" s="315"/>
      <c r="C783" s="315"/>
      <c r="D783" s="315"/>
      <c r="E783" s="315"/>
      <c r="F783" s="315"/>
      <c r="G783" s="315"/>
      <c r="H783" s="315"/>
      <c r="I783" s="315"/>
      <c r="J783" s="315"/>
      <c r="K783" s="315"/>
      <c r="L783" s="315"/>
      <c r="M783" s="315"/>
      <c r="N783" s="315"/>
      <c r="O783" s="315"/>
      <c r="P783" s="315"/>
      <c r="Q783" s="315"/>
      <c r="R783" s="315"/>
      <c r="S783" s="315"/>
      <c r="T783" s="315"/>
      <c r="U783" s="315"/>
      <c r="V783" s="315"/>
      <c r="W783" s="315"/>
      <c r="X783" s="315"/>
      <c r="Y783" s="315"/>
      <c r="Z783" s="315"/>
      <c r="AA783" s="315"/>
      <c r="AB783" s="315"/>
      <c r="AC783" s="315"/>
      <c r="AD783" s="315"/>
      <c r="AE783" s="315"/>
      <c r="AF783" s="315"/>
      <c r="AG783" s="315"/>
      <c r="AH783" s="315"/>
      <c r="AI783" s="315"/>
      <c r="AJ783" s="315"/>
      <c r="AK783" s="315"/>
      <c r="AL783" s="315"/>
      <c r="AM783" s="315"/>
      <c r="AN783" s="315"/>
    </row>
    <row r="784">
      <c r="A784" s="315"/>
      <c r="B784" s="315"/>
      <c r="C784" s="315"/>
      <c r="D784" s="315"/>
      <c r="E784" s="315"/>
      <c r="F784" s="315"/>
      <c r="G784" s="315"/>
      <c r="H784" s="315"/>
      <c r="I784" s="315"/>
      <c r="J784" s="315"/>
      <c r="K784" s="315"/>
      <c r="L784" s="315"/>
      <c r="M784" s="315"/>
      <c r="N784" s="315"/>
      <c r="O784" s="315"/>
      <c r="P784" s="315"/>
      <c r="Q784" s="315"/>
      <c r="R784" s="315"/>
      <c r="S784" s="315"/>
      <c r="T784" s="315"/>
      <c r="U784" s="315"/>
      <c r="V784" s="315"/>
      <c r="W784" s="315"/>
      <c r="X784" s="315"/>
      <c r="Y784" s="315"/>
      <c r="Z784" s="315"/>
      <c r="AA784" s="315"/>
      <c r="AB784" s="315"/>
      <c r="AC784" s="315"/>
      <c r="AD784" s="315"/>
      <c r="AE784" s="315"/>
      <c r="AF784" s="315"/>
      <c r="AG784" s="315"/>
      <c r="AH784" s="315"/>
      <c r="AI784" s="315"/>
      <c r="AJ784" s="315"/>
      <c r="AK784" s="315"/>
      <c r="AL784" s="315"/>
      <c r="AM784" s="315"/>
      <c r="AN784" s="315"/>
    </row>
    <row r="785">
      <c r="A785" s="315"/>
      <c r="B785" s="315"/>
      <c r="C785" s="315"/>
      <c r="D785" s="315"/>
      <c r="E785" s="315"/>
      <c r="F785" s="315"/>
      <c r="G785" s="315"/>
      <c r="H785" s="315"/>
      <c r="I785" s="315"/>
      <c r="J785" s="315"/>
      <c r="K785" s="315"/>
      <c r="L785" s="315"/>
      <c r="M785" s="315"/>
      <c r="N785" s="315"/>
      <c r="O785" s="315"/>
      <c r="P785" s="315"/>
      <c r="Q785" s="315"/>
      <c r="R785" s="315"/>
      <c r="S785" s="315"/>
      <c r="T785" s="315"/>
      <c r="U785" s="315"/>
      <c r="V785" s="315"/>
      <c r="W785" s="315"/>
      <c r="X785" s="315"/>
      <c r="Y785" s="315"/>
      <c r="Z785" s="315"/>
      <c r="AA785" s="315"/>
      <c r="AB785" s="315"/>
      <c r="AC785" s="315"/>
      <c r="AD785" s="315"/>
      <c r="AE785" s="315"/>
      <c r="AF785" s="315"/>
      <c r="AG785" s="315"/>
      <c r="AH785" s="315"/>
      <c r="AI785" s="315"/>
      <c r="AJ785" s="315"/>
      <c r="AK785" s="315"/>
      <c r="AL785" s="315"/>
      <c r="AM785" s="315"/>
      <c r="AN785" s="315"/>
    </row>
    <row r="786">
      <c r="A786" s="315"/>
      <c r="B786" s="315"/>
      <c r="C786" s="315"/>
      <c r="D786" s="315"/>
      <c r="E786" s="315"/>
      <c r="F786" s="315"/>
      <c r="G786" s="315"/>
      <c r="H786" s="315"/>
      <c r="I786" s="315"/>
      <c r="J786" s="315"/>
      <c r="K786" s="315"/>
      <c r="L786" s="315"/>
      <c r="M786" s="315"/>
      <c r="N786" s="315"/>
      <c r="O786" s="315"/>
      <c r="P786" s="315"/>
      <c r="Q786" s="315"/>
      <c r="R786" s="315"/>
      <c r="S786" s="315"/>
      <c r="T786" s="315"/>
      <c r="U786" s="315"/>
      <c r="V786" s="315"/>
      <c r="W786" s="315"/>
      <c r="X786" s="315"/>
      <c r="Y786" s="315"/>
      <c r="Z786" s="315"/>
      <c r="AA786" s="315"/>
      <c r="AB786" s="315"/>
      <c r="AC786" s="315"/>
      <c r="AD786" s="315"/>
      <c r="AE786" s="315"/>
      <c r="AF786" s="315"/>
      <c r="AG786" s="315"/>
      <c r="AH786" s="315"/>
      <c r="AI786" s="315"/>
      <c r="AJ786" s="315"/>
      <c r="AK786" s="315"/>
      <c r="AL786" s="315"/>
      <c r="AM786" s="315"/>
      <c r="AN786" s="315"/>
    </row>
    <row r="787">
      <c r="A787" s="315"/>
      <c r="B787" s="315"/>
      <c r="C787" s="315"/>
      <c r="D787" s="315"/>
      <c r="E787" s="315"/>
      <c r="F787" s="315"/>
      <c r="G787" s="315"/>
      <c r="H787" s="315"/>
      <c r="I787" s="315"/>
      <c r="J787" s="315"/>
      <c r="K787" s="315"/>
      <c r="L787" s="315"/>
      <c r="M787" s="315"/>
      <c r="N787" s="315"/>
      <c r="O787" s="315"/>
      <c r="P787" s="315"/>
      <c r="Q787" s="315"/>
      <c r="R787" s="315"/>
      <c r="S787" s="315"/>
      <c r="T787" s="315"/>
      <c r="U787" s="315"/>
      <c r="V787" s="315"/>
      <c r="W787" s="315"/>
      <c r="X787" s="315"/>
      <c r="Y787" s="315"/>
      <c r="Z787" s="315"/>
      <c r="AA787" s="315"/>
      <c r="AB787" s="315"/>
      <c r="AC787" s="315"/>
      <c r="AD787" s="315"/>
      <c r="AE787" s="315"/>
      <c r="AF787" s="315"/>
      <c r="AG787" s="315"/>
      <c r="AH787" s="315"/>
      <c r="AI787" s="315"/>
      <c r="AJ787" s="315"/>
      <c r="AK787" s="315"/>
      <c r="AL787" s="315"/>
      <c r="AM787" s="315"/>
      <c r="AN787" s="315"/>
    </row>
    <row r="788">
      <c r="A788" s="315"/>
      <c r="B788" s="315"/>
      <c r="C788" s="315"/>
      <c r="D788" s="315"/>
      <c r="E788" s="315"/>
      <c r="F788" s="315"/>
      <c r="G788" s="315"/>
      <c r="H788" s="315"/>
      <c r="I788" s="315"/>
      <c r="J788" s="315"/>
      <c r="K788" s="315"/>
      <c r="L788" s="315"/>
      <c r="M788" s="315"/>
      <c r="N788" s="315"/>
      <c r="O788" s="315"/>
      <c r="P788" s="315"/>
      <c r="Q788" s="315"/>
      <c r="R788" s="315"/>
      <c r="S788" s="315"/>
      <c r="T788" s="315"/>
      <c r="U788" s="315"/>
      <c r="V788" s="315"/>
      <c r="W788" s="315"/>
      <c r="X788" s="315"/>
      <c r="Y788" s="315"/>
      <c r="Z788" s="315"/>
      <c r="AA788" s="315"/>
      <c r="AB788" s="315"/>
      <c r="AC788" s="315"/>
      <c r="AD788" s="315"/>
      <c r="AE788" s="315"/>
      <c r="AF788" s="315"/>
      <c r="AG788" s="315"/>
      <c r="AH788" s="315"/>
      <c r="AI788" s="315"/>
      <c r="AJ788" s="315"/>
      <c r="AK788" s="315"/>
      <c r="AL788" s="315"/>
      <c r="AM788" s="315"/>
      <c r="AN788" s="315"/>
    </row>
    <row r="789">
      <c r="A789" s="315"/>
      <c r="B789" s="315"/>
      <c r="C789" s="315"/>
      <c r="D789" s="315"/>
      <c r="E789" s="315"/>
      <c r="F789" s="315"/>
      <c r="G789" s="315"/>
      <c r="H789" s="315"/>
      <c r="I789" s="315"/>
      <c r="J789" s="315"/>
      <c r="K789" s="315"/>
      <c r="L789" s="315"/>
      <c r="M789" s="315"/>
      <c r="N789" s="315"/>
      <c r="O789" s="315"/>
      <c r="P789" s="315"/>
      <c r="Q789" s="315"/>
      <c r="R789" s="315"/>
      <c r="S789" s="315"/>
      <c r="T789" s="315"/>
      <c r="U789" s="315"/>
      <c r="V789" s="315"/>
      <c r="W789" s="315"/>
      <c r="X789" s="315"/>
      <c r="Y789" s="315"/>
      <c r="Z789" s="315"/>
      <c r="AA789" s="315"/>
      <c r="AB789" s="315"/>
      <c r="AC789" s="315"/>
      <c r="AD789" s="315"/>
      <c r="AE789" s="315"/>
      <c r="AF789" s="315"/>
      <c r="AG789" s="315"/>
      <c r="AH789" s="315"/>
      <c r="AI789" s="315"/>
      <c r="AJ789" s="315"/>
      <c r="AK789" s="315"/>
      <c r="AL789" s="315"/>
      <c r="AM789" s="315"/>
      <c r="AN789" s="315"/>
    </row>
    <row r="790">
      <c r="A790" s="315"/>
      <c r="B790" s="315"/>
      <c r="C790" s="315"/>
      <c r="D790" s="315"/>
      <c r="E790" s="315"/>
      <c r="F790" s="315"/>
      <c r="G790" s="315"/>
      <c r="H790" s="315"/>
      <c r="I790" s="315"/>
      <c r="J790" s="315"/>
      <c r="K790" s="315"/>
      <c r="L790" s="315"/>
      <c r="M790" s="315"/>
      <c r="N790" s="315"/>
      <c r="O790" s="315"/>
      <c r="P790" s="315"/>
      <c r="Q790" s="315"/>
      <c r="R790" s="315"/>
      <c r="S790" s="315"/>
      <c r="T790" s="315"/>
      <c r="U790" s="315"/>
      <c r="V790" s="315"/>
      <c r="W790" s="315"/>
      <c r="X790" s="315"/>
      <c r="Y790" s="315"/>
      <c r="Z790" s="315"/>
      <c r="AA790" s="315"/>
      <c r="AB790" s="315"/>
      <c r="AC790" s="315"/>
      <c r="AD790" s="315"/>
      <c r="AE790" s="315"/>
      <c r="AF790" s="315"/>
      <c r="AG790" s="315"/>
      <c r="AH790" s="315"/>
      <c r="AI790" s="315"/>
      <c r="AJ790" s="315"/>
      <c r="AK790" s="315"/>
      <c r="AL790" s="315"/>
      <c r="AM790" s="315"/>
      <c r="AN790" s="315"/>
    </row>
    <row r="791">
      <c r="A791" s="315"/>
      <c r="B791" s="315"/>
      <c r="C791" s="315"/>
      <c r="D791" s="315"/>
      <c r="E791" s="315"/>
      <c r="F791" s="315"/>
      <c r="G791" s="315"/>
      <c r="H791" s="315"/>
      <c r="I791" s="315"/>
      <c r="J791" s="315"/>
      <c r="K791" s="315"/>
      <c r="L791" s="315"/>
      <c r="M791" s="315"/>
      <c r="N791" s="315"/>
      <c r="O791" s="315"/>
      <c r="P791" s="315"/>
      <c r="Q791" s="315"/>
      <c r="R791" s="315"/>
      <c r="S791" s="315"/>
      <c r="T791" s="315"/>
      <c r="U791" s="315"/>
      <c r="V791" s="315"/>
      <c r="W791" s="315"/>
      <c r="X791" s="315"/>
      <c r="Y791" s="315"/>
      <c r="Z791" s="315"/>
      <c r="AA791" s="315"/>
      <c r="AB791" s="315"/>
      <c r="AC791" s="315"/>
      <c r="AD791" s="315"/>
      <c r="AE791" s="315"/>
      <c r="AF791" s="315"/>
      <c r="AG791" s="315"/>
      <c r="AH791" s="315"/>
      <c r="AI791" s="315"/>
      <c r="AJ791" s="315"/>
      <c r="AK791" s="315"/>
      <c r="AL791" s="315"/>
      <c r="AM791" s="315"/>
      <c r="AN791" s="315"/>
    </row>
    <row r="792">
      <c r="A792" s="315"/>
      <c r="B792" s="315"/>
      <c r="C792" s="315"/>
      <c r="D792" s="315"/>
      <c r="E792" s="315"/>
      <c r="F792" s="315"/>
      <c r="G792" s="315"/>
      <c r="H792" s="315"/>
      <c r="I792" s="315"/>
      <c r="J792" s="315"/>
      <c r="K792" s="315"/>
      <c r="L792" s="315"/>
      <c r="M792" s="315"/>
      <c r="N792" s="315"/>
      <c r="O792" s="315"/>
      <c r="P792" s="315"/>
      <c r="Q792" s="315"/>
      <c r="R792" s="315"/>
      <c r="S792" s="315"/>
      <c r="T792" s="315"/>
      <c r="U792" s="315"/>
      <c r="V792" s="315"/>
      <c r="W792" s="315"/>
      <c r="X792" s="315"/>
      <c r="Y792" s="315"/>
      <c r="Z792" s="315"/>
      <c r="AA792" s="315"/>
      <c r="AB792" s="315"/>
      <c r="AC792" s="315"/>
      <c r="AD792" s="315"/>
      <c r="AE792" s="315"/>
      <c r="AF792" s="315"/>
      <c r="AG792" s="315"/>
      <c r="AH792" s="315"/>
      <c r="AI792" s="315"/>
      <c r="AJ792" s="315"/>
      <c r="AK792" s="315"/>
      <c r="AL792" s="315"/>
      <c r="AM792" s="315"/>
      <c r="AN792" s="315"/>
    </row>
    <row r="793">
      <c r="A793" s="315"/>
      <c r="B793" s="315"/>
      <c r="C793" s="315"/>
      <c r="D793" s="315"/>
      <c r="E793" s="315"/>
      <c r="F793" s="315"/>
      <c r="G793" s="315"/>
      <c r="H793" s="315"/>
      <c r="I793" s="315"/>
      <c r="J793" s="315"/>
      <c r="K793" s="315"/>
      <c r="L793" s="315"/>
      <c r="M793" s="315"/>
      <c r="N793" s="315"/>
      <c r="O793" s="315"/>
      <c r="P793" s="315"/>
      <c r="Q793" s="315"/>
      <c r="R793" s="315"/>
      <c r="S793" s="315"/>
      <c r="T793" s="315"/>
      <c r="U793" s="315"/>
      <c r="V793" s="315"/>
      <c r="W793" s="315"/>
      <c r="X793" s="315"/>
      <c r="Y793" s="315"/>
      <c r="Z793" s="315"/>
      <c r="AA793" s="315"/>
      <c r="AB793" s="315"/>
      <c r="AC793" s="315"/>
      <c r="AD793" s="315"/>
      <c r="AE793" s="315"/>
      <c r="AF793" s="315"/>
      <c r="AG793" s="315"/>
      <c r="AH793" s="315"/>
      <c r="AI793" s="315"/>
      <c r="AJ793" s="315"/>
      <c r="AK793" s="315"/>
      <c r="AL793" s="315"/>
      <c r="AM793" s="315"/>
      <c r="AN793" s="315"/>
    </row>
    <row r="794">
      <c r="A794" s="315"/>
      <c r="B794" s="315"/>
      <c r="C794" s="315"/>
      <c r="D794" s="315"/>
      <c r="E794" s="315"/>
      <c r="F794" s="315"/>
      <c r="G794" s="315"/>
      <c r="H794" s="315"/>
      <c r="I794" s="315"/>
      <c r="J794" s="315"/>
      <c r="K794" s="315"/>
      <c r="L794" s="315"/>
      <c r="M794" s="315"/>
      <c r="N794" s="315"/>
      <c r="O794" s="315"/>
      <c r="P794" s="315"/>
      <c r="Q794" s="315"/>
      <c r="R794" s="315"/>
      <c r="S794" s="315"/>
      <c r="T794" s="315"/>
      <c r="U794" s="315"/>
      <c r="V794" s="315"/>
      <c r="W794" s="315"/>
      <c r="X794" s="315"/>
      <c r="Y794" s="315"/>
      <c r="Z794" s="315"/>
      <c r="AA794" s="315"/>
      <c r="AB794" s="315"/>
      <c r="AC794" s="315"/>
      <c r="AD794" s="315"/>
      <c r="AE794" s="315"/>
      <c r="AF794" s="315"/>
      <c r="AG794" s="315"/>
      <c r="AH794" s="315"/>
      <c r="AI794" s="315"/>
      <c r="AJ794" s="315"/>
      <c r="AK794" s="315"/>
      <c r="AL794" s="315"/>
      <c r="AM794" s="315"/>
      <c r="AN794" s="315"/>
    </row>
    <row r="795">
      <c r="A795" s="315"/>
      <c r="B795" s="315"/>
      <c r="C795" s="315"/>
      <c r="D795" s="315"/>
      <c r="E795" s="315"/>
      <c r="F795" s="315"/>
      <c r="G795" s="315"/>
      <c r="H795" s="315"/>
      <c r="I795" s="315"/>
      <c r="J795" s="315"/>
      <c r="K795" s="315"/>
      <c r="L795" s="315"/>
      <c r="M795" s="315"/>
      <c r="N795" s="315"/>
      <c r="O795" s="315"/>
      <c r="P795" s="315"/>
      <c r="Q795" s="315"/>
      <c r="R795" s="315"/>
      <c r="S795" s="315"/>
      <c r="T795" s="315"/>
      <c r="U795" s="315"/>
      <c r="V795" s="315"/>
      <c r="W795" s="315"/>
      <c r="X795" s="315"/>
      <c r="Y795" s="315"/>
      <c r="Z795" s="315"/>
      <c r="AA795" s="315"/>
      <c r="AB795" s="315"/>
      <c r="AC795" s="315"/>
      <c r="AD795" s="315"/>
      <c r="AE795" s="315"/>
      <c r="AF795" s="315"/>
      <c r="AG795" s="315"/>
      <c r="AH795" s="315"/>
      <c r="AI795" s="315"/>
      <c r="AJ795" s="315"/>
      <c r="AK795" s="315"/>
      <c r="AL795" s="315"/>
      <c r="AM795" s="315"/>
      <c r="AN795" s="315"/>
    </row>
    <row r="796">
      <c r="A796" s="315"/>
      <c r="B796" s="315"/>
      <c r="C796" s="315"/>
      <c r="D796" s="315"/>
      <c r="E796" s="315"/>
      <c r="F796" s="315"/>
      <c r="G796" s="315"/>
      <c r="H796" s="315"/>
      <c r="I796" s="315"/>
      <c r="J796" s="315"/>
      <c r="K796" s="315"/>
      <c r="L796" s="315"/>
      <c r="M796" s="315"/>
      <c r="N796" s="315"/>
      <c r="O796" s="315"/>
      <c r="P796" s="315"/>
      <c r="Q796" s="315"/>
      <c r="R796" s="315"/>
      <c r="S796" s="315"/>
      <c r="T796" s="315"/>
      <c r="U796" s="315"/>
      <c r="V796" s="315"/>
      <c r="W796" s="315"/>
      <c r="X796" s="315"/>
      <c r="Y796" s="315"/>
      <c r="Z796" s="315"/>
      <c r="AA796" s="315"/>
      <c r="AB796" s="315"/>
      <c r="AC796" s="315"/>
      <c r="AD796" s="315"/>
      <c r="AE796" s="315"/>
      <c r="AF796" s="315"/>
      <c r="AG796" s="315"/>
      <c r="AH796" s="315"/>
      <c r="AI796" s="315"/>
      <c r="AJ796" s="315"/>
      <c r="AK796" s="315"/>
      <c r="AL796" s="315"/>
      <c r="AM796" s="315"/>
      <c r="AN796" s="315"/>
    </row>
    <row r="797">
      <c r="A797" s="315"/>
      <c r="B797" s="315"/>
      <c r="C797" s="315"/>
      <c r="D797" s="315"/>
      <c r="E797" s="315"/>
      <c r="F797" s="315"/>
      <c r="G797" s="315"/>
      <c r="H797" s="315"/>
      <c r="I797" s="315"/>
      <c r="J797" s="315"/>
      <c r="K797" s="315"/>
      <c r="L797" s="315"/>
      <c r="M797" s="315"/>
      <c r="N797" s="315"/>
      <c r="O797" s="315"/>
      <c r="P797" s="315"/>
      <c r="Q797" s="315"/>
      <c r="R797" s="315"/>
      <c r="S797" s="315"/>
      <c r="T797" s="315"/>
      <c r="U797" s="315"/>
      <c r="V797" s="315"/>
      <c r="W797" s="315"/>
      <c r="X797" s="315"/>
      <c r="Y797" s="315"/>
      <c r="Z797" s="315"/>
      <c r="AA797" s="315"/>
      <c r="AB797" s="315"/>
      <c r="AC797" s="315"/>
      <c r="AD797" s="315"/>
      <c r="AE797" s="315"/>
      <c r="AF797" s="315"/>
      <c r="AG797" s="315"/>
      <c r="AH797" s="315"/>
      <c r="AI797" s="315"/>
      <c r="AJ797" s="315"/>
      <c r="AK797" s="315"/>
      <c r="AL797" s="315"/>
      <c r="AM797" s="315"/>
      <c r="AN797" s="315"/>
    </row>
    <row r="798">
      <c r="A798" s="315"/>
      <c r="B798" s="315"/>
      <c r="C798" s="315"/>
      <c r="D798" s="315"/>
      <c r="E798" s="315"/>
      <c r="F798" s="315"/>
      <c r="G798" s="315"/>
      <c r="H798" s="315"/>
      <c r="I798" s="315"/>
      <c r="J798" s="315"/>
      <c r="K798" s="315"/>
      <c r="L798" s="315"/>
      <c r="M798" s="315"/>
      <c r="N798" s="315"/>
      <c r="O798" s="315"/>
      <c r="P798" s="315"/>
      <c r="Q798" s="315"/>
      <c r="R798" s="315"/>
      <c r="S798" s="315"/>
      <c r="T798" s="315"/>
      <c r="U798" s="315"/>
      <c r="V798" s="315"/>
      <c r="W798" s="315"/>
      <c r="X798" s="315"/>
      <c r="Y798" s="315"/>
      <c r="Z798" s="315"/>
      <c r="AA798" s="315"/>
      <c r="AB798" s="315"/>
      <c r="AC798" s="315"/>
      <c r="AD798" s="315"/>
      <c r="AE798" s="315"/>
      <c r="AF798" s="315"/>
      <c r="AG798" s="315"/>
      <c r="AH798" s="315"/>
      <c r="AI798" s="315"/>
      <c r="AJ798" s="315"/>
      <c r="AK798" s="315"/>
      <c r="AL798" s="315"/>
      <c r="AM798" s="315"/>
      <c r="AN798" s="315"/>
    </row>
    <row r="799">
      <c r="A799" s="315"/>
      <c r="B799" s="315"/>
      <c r="C799" s="315"/>
      <c r="D799" s="315"/>
      <c r="E799" s="315"/>
      <c r="F799" s="315"/>
      <c r="G799" s="315"/>
      <c r="H799" s="315"/>
      <c r="I799" s="315"/>
      <c r="J799" s="315"/>
      <c r="K799" s="315"/>
      <c r="L799" s="315"/>
      <c r="M799" s="315"/>
      <c r="N799" s="315"/>
      <c r="O799" s="315"/>
      <c r="P799" s="315"/>
      <c r="Q799" s="315"/>
      <c r="R799" s="315"/>
      <c r="S799" s="315"/>
      <c r="T799" s="315"/>
      <c r="U799" s="315"/>
      <c r="V799" s="315"/>
      <c r="W799" s="315"/>
      <c r="X799" s="315"/>
      <c r="Y799" s="315"/>
      <c r="Z799" s="315"/>
      <c r="AA799" s="315"/>
      <c r="AB799" s="315"/>
      <c r="AC799" s="315"/>
      <c r="AD799" s="315"/>
      <c r="AE799" s="315"/>
      <c r="AF799" s="315"/>
      <c r="AG799" s="315"/>
      <c r="AH799" s="315"/>
      <c r="AI799" s="315"/>
      <c r="AJ799" s="315"/>
      <c r="AK799" s="315"/>
      <c r="AL799" s="315"/>
      <c r="AM799" s="315"/>
      <c r="AN799" s="315"/>
    </row>
    <row r="800">
      <c r="A800" s="315"/>
      <c r="B800" s="315"/>
      <c r="C800" s="315"/>
      <c r="D800" s="315"/>
      <c r="E800" s="315"/>
      <c r="F800" s="315"/>
      <c r="G800" s="315"/>
      <c r="H800" s="315"/>
      <c r="I800" s="315"/>
      <c r="J800" s="315"/>
      <c r="K800" s="315"/>
      <c r="L800" s="315"/>
      <c r="M800" s="315"/>
      <c r="N800" s="315"/>
      <c r="O800" s="315"/>
      <c r="P800" s="315"/>
      <c r="Q800" s="315"/>
      <c r="R800" s="315"/>
      <c r="S800" s="315"/>
      <c r="T800" s="315"/>
      <c r="U800" s="315"/>
      <c r="V800" s="315"/>
      <c r="W800" s="315"/>
      <c r="X800" s="315"/>
      <c r="Y800" s="315"/>
      <c r="Z800" s="315"/>
      <c r="AA800" s="315"/>
      <c r="AB800" s="315"/>
      <c r="AC800" s="315"/>
      <c r="AD800" s="315"/>
      <c r="AE800" s="315"/>
      <c r="AF800" s="315"/>
      <c r="AG800" s="315"/>
      <c r="AH800" s="315"/>
      <c r="AI800" s="315"/>
      <c r="AJ800" s="315"/>
      <c r="AK800" s="315"/>
      <c r="AL800" s="315"/>
      <c r="AM800" s="315"/>
      <c r="AN800" s="315"/>
    </row>
    <row r="801">
      <c r="A801" s="315"/>
      <c r="B801" s="315"/>
      <c r="C801" s="315"/>
      <c r="D801" s="315"/>
      <c r="E801" s="315"/>
      <c r="F801" s="315"/>
      <c r="G801" s="315"/>
      <c r="H801" s="315"/>
      <c r="I801" s="315"/>
      <c r="J801" s="315"/>
      <c r="K801" s="315"/>
      <c r="L801" s="315"/>
      <c r="M801" s="315"/>
      <c r="N801" s="315"/>
      <c r="O801" s="315"/>
      <c r="P801" s="315"/>
      <c r="Q801" s="315"/>
      <c r="R801" s="315"/>
      <c r="S801" s="315"/>
      <c r="T801" s="315"/>
      <c r="U801" s="315"/>
      <c r="V801" s="315"/>
      <c r="W801" s="315"/>
      <c r="X801" s="315"/>
      <c r="Y801" s="315"/>
      <c r="Z801" s="315"/>
      <c r="AA801" s="315"/>
      <c r="AB801" s="315"/>
      <c r="AC801" s="315"/>
      <c r="AD801" s="315"/>
      <c r="AE801" s="315"/>
      <c r="AF801" s="315"/>
      <c r="AG801" s="315"/>
      <c r="AH801" s="315"/>
      <c r="AI801" s="315"/>
      <c r="AJ801" s="315"/>
      <c r="AK801" s="315"/>
      <c r="AL801" s="315"/>
      <c r="AM801" s="315"/>
      <c r="AN801" s="315"/>
    </row>
    <row r="802">
      <c r="A802" s="315"/>
      <c r="B802" s="315"/>
      <c r="C802" s="315"/>
      <c r="D802" s="315"/>
      <c r="E802" s="315"/>
      <c r="F802" s="315"/>
      <c r="G802" s="315"/>
      <c r="H802" s="315"/>
      <c r="I802" s="315"/>
      <c r="J802" s="315"/>
      <c r="K802" s="315"/>
      <c r="L802" s="315"/>
      <c r="M802" s="315"/>
      <c r="N802" s="315"/>
      <c r="O802" s="315"/>
      <c r="P802" s="315"/>
      <c r="Q802" s="315"/>
      <c r="R802" s="315"/>
      <c r="S802" s="315"/>
      <c r="T802" s="315"/>
      <c r="U802" s="315"/>
      <c r="V802" s="315"/>
      <c r="W802" s="315"/>
      <c r="X802" s="315"/>
      <c r="Y802" s="315"/>
      <c r="Z802" s="315"/>
      <c r="AA802" s="315"/>
      <c r="AB802" s="315"/>
      <c r="AC802" s="315"/>
      <c r="AD802" s="315"/>
      <c r="AE802" s="315"/>
      <c r="AF802" s="315"/>
      <c r="AG802" s="315"/>
      <c r="AH802" s="315"/>
      <c r="AI802" s="315"/>
      <c r="AJ802" s="315"/>
      <c r="AK802" s="315"/>
      <c r="AL802" s="315"/>
      <c r="AM802" s="315"/>
      <c r="AN802" s="315"/>
    </row>
    <row r="803">
      <c r="A803" s="315"/>
      <c r="B803" s="315"/>
      <c r="C803" s="315"/>
      <c r="D803" s="315"/>
      <c r="E803" s="315"/>
      <c r="F803" s="315"/>
      <c r="G803" s="315"/>
      <c r="H803" s="315"/>
      <c r="I803" s="315"/>
      <c r="J803" s="315"/>
      <c r="K803" s="315"/>
      <c r="L803" s="315"/>
      <c r="M803" s="315"/>
      <c r="N803" s="315"/>
      <c r="O803" s="315"/>
      <c r="P803" s="315"/>
      <c r="Q803" s="315"/>
      <c r="R803" s="315"/>
      <c r="S803" s="315"/>
      <c r="T803" s="315"/>
      <c r="U803" s="315"/>
      <c r="V803" s="315"/>
      <c r="W803" s="315"/>
      <c r="X803" s="315"/>
      <c r="Y803" s="315"/>
      <c r="Z803" s="315"/>
      <c r="AA803" s="315"/>
      <c r="AB803" s="315"/>
      <c r="AC803" s="315"/>
      <c r="AD803" s="315"/>
      <c r="AE803" s="315"/>
      <c r="AF803" s="315"/>
      <c r="AG803" s="315"/>
      <c r="AH803" s="315"/>
      <c r="AI803" s="315"/>
      <c r="AJ803" s="315"/>
      <c r="AK803" s="315"/>
      <c r="AL803" s="315"/>
      <c r="AM803" s="315"/>
      <c r="AN803" s="315"/>
    </row>
    <row r="804">
      <c r="A804" s="315"/>
      <c r="B804" s="315"/>
      <c r="C804" s="315"/>
      <c r="D804" s="315"/>
      <c r="E804" s="315"/>
      <c r="F804" s="315"/>
      <c r="G804" s="315"/>
      <c r="H804" s="315"/>
      <c r="I804" s="315"/>
      <c r="J804" s="315"/>
      <c r="K804" s="315"/>
      <c r="L804" s="315"/>
      <c r="M804" s="315"/>
      <c r="N804" s="315"/>
      <c r="O804" s="315"/>
      <c r="P804" s="315"/>
      <c r="Q804" s="315"/>
      <c r="R804" s="315"/>
      <c r="S804" s="315"/>
      <c r="T804" s="315"/>
      <c r="U804" s="315"/>
      <c r="V804" s="315"/>
      <c r="W804" s="315"/>
      <c r="X804" s="315"/>
      <c r="Y804" s="315"/>
      <c r="Z804" s="315"/>
      <c r="AA804" s="315"/>
      <c r="AB804" s="315"/>
      <c r="AC804" s="315"/>
      <c r="AD804" s="315"/>
      <c r="AE804" s="315"/>
      <c r="AF804" s="315"/>
      <c r="AG804" s="315"/>
      <c r="AH804" s="315"/>
      <c r="AI804" s="315"/>
      <c r="AJ804" s="315"/>
      <c r="AK804" s="315"/>
      <c r="AL804" s="315"/>
      <c r="AM804" s="315"/>
      <c r="AN804" s="315"/>
    </row>
    <row r="805">
      <c r="A805" s="315"/>
      <c r="B805" s="315"/>
      <c r="C805" s="315"/>
      <c r="D805" s="315"/>
      <c r="E805" s="315"/>
      <c r="F805" s="315"/>
      <c r="G805" s="315"/>
      <c r="H805" s="315"/>
      <c r="I805" s="315"/>
      <c r="J805" s="315"/>
      <c r="K805" s="315"/>
      <c r="L805" s="315"/>
      <c r="M805" s="315"/>
      <c r="N805" s="315"/>
      <c r="O805" s="315"/>
      <c r="P805" s="315"/>
      <c r="Q805" s="315"/>
      <c r="R805" s="315"/>
      <c r="S805" s="315"/>
      <c r="T805" s="315"/>
      <c r="U805" s="315"/>
      <c r="V805" s="315"/>
      <c r="W805" s="315"/>
      <c r="X805" s="315"/>
      <c r="Y805" s="315"/>
      <c r="Z805" s="315"/>
      <c r="AA805" s="315"/>
      <c r="AB805" s="315"/>
      <c r="AC805" s="315"/>
      <c r="AD805" s="315"/>
      <c r="AE805" s="315"/>
      <c r="AF805" s="315"/>
      <c r="AG805" s="315"/>
      <c r="AH805" s="315"/>
      <c r="AI805" s="315"/>
      <c r="AJ805" s="315"/>
      <c r="AK805" s="315"/>
      <c r="AL805" s="315"/>
      <c r="AM805" s="315"/>
      <c r="AN805" s="315"/>
    </row>
    <row r="806">
      <c r="A806" s="315"/>
      <c r="B806" s="315"/>
      <c r="C806" s="315"/>
      <c r="D806" s="315"/>
      <c r="E806" s="315"/>
      <c r="F806" s="315"/>
      <c r="G806" s="315"/>
      <c r="H806" s="315"/>
      <c r="I806" s="315"/>
      <c r="J806" s="315"/>
      <c r="K806" s="315"/>
      <c r="L806" s="315"/>
      <c r="M806" s="315"/>
      <c r="N806" s="315"/>
      <c r="O806" s="315"/>
      <c r="P806" s="315"/>
      <c r="Q806" s="315"/>
      <c r="R806" s="315"/>
      <c r="S806" s="315"/>
      <c r="T806" s="315"/>
      <c r="U806" s="315"/>
      <c r="V806" s="315"/>
      <c r="W806" s="315"/>
      <c r="X806" s="315"/>
      <c r="Y806" s="315"/>
      <c r="Z806" s="315"/>
      <c r="AA806" s="315"/>
      <c r="AB806" s="315"/>
      <c r="AC806" s="315"/>
      <c r="AD806" s="315"/>
      <c r="AE806" s="315"/>
      <c r="AF806" s="315"/>
      <c r="AG806" s="315"/>
      <c r="AH806" s="315"/>
      <c r="AI806" s="315"/>
      <c r="AJ806" s="315"/>
      <c r="AK806" s="315"/>
      <c r="AL806" s="315"/>
      <c r="AM806" s="315"/>
      <c r="AN806" s="315"/>
    </row>
    <row r="807">
      <c r="A807" s="315"/>
      <c r="B807" s="315"/>
      <c r="C807" s="315"/>
      <c r="D807" s="315"/>
      <c r="E807" s="315"/>
      <c r="F807" s="315"/>
      <c r="G807" s="315"/>
      <c r="H807" s="315"/>
      <c r="I807" s="315"/>
      <c r="J807" s="315"/>
      <c r="K807" s="315"/>
      <c r="L807" s="315"/>
      <c r="M807" s="315"/>
      <c r="N807" s="315"/>
      <c r="O807" s="315"/>
      <c r="P807" s="315"/>
      <c r="Q807" s="315"/>
      <c r="R807" s="315"/>
      <c r="S807" s="315"/>
      <c r="T807" s="315"/>
      <c r="U807" s="315"/>
      <c r="V807" s="315"/>
      <c r="W807" s="315"/>
      <c r="X807" s="315"/>
      <c r="Y807" s="315"/>
      <c r="Z807" s="315"/>
      <c r="AA807" s="315"/>
      <c r="AB807" s="315"/>
      <c r="AC807" s="315"/>
      <c r="AD807" s="315"/>
      <c r="AE807" s="315"/>
      <c r="AF807" s="315"/>
      <c r="AG807" s="315"/>
      <c r="AH807" s="315"/>
      <c r="AI807" s="315"/>
      <c r="AJ807" s="315"/>
      <c r="AK807" s="315"/>
      <c r="AL807" s="315"/>
      <c r="AM807" s="315"/>
      <c r="AN807" s="315"/>
    </row>
    <row r="808">
      <c r="A808" s="315"/>
      <c r="B808" s="315"/>
      <c r="C808" s="315"/>
      <c r="D808" s="315"/>
      <c r="E808" s="315"/>
      <c r="F808" s="315"/>
      <c r="G808" s="315"/>
      <c r="H808" s="315"/>
      <c r="I808" s="315"/>
      <c r="J808" s="315"/>
      <c r="K808" s="315"/>
      <c r="L808" s="315"/>
      <c r="M808" s="315"/>
      <c r="N808" s="315"/>
      <c r="O808" s="315"/>
      <c r="P808" s="315"/>
      <c r="Q808" s="315"/>
      <c r="R808" s="315"/>
      <c r="S808" s="315"/>
      <c r="T808" s="315"/>
      <c r="U808" s="315"/>
      <c r="V808" s="315"/>
      <c r="W808" s="315"/>
      <c r="X808" s="315"/>
      <c r="Y808" s="315"/>
      <c r="Z808" s="315"/>
      <c r="AA808" s="315"/>
      <c r="AB808" s="315"/>
      <c r="AC808" s="315"/>
      <c r="AD808" s="315"/>
      <c r="AE808" s="315"/>
      <c r="AF808" s="315"/>
      <c r="AG808" s="315"/>
      <c r="AH808" s="315"/>
      <c r="AI808" s="315"/>
      <c r="AJ808" s="315"/>
      <c r="AK808" s="315"/>
      <c r="AL808" s="315"/>
      <c r="AM808" s="315"/>
      <c r="AN808" s="315"/>
    </row>
    <row r="809">
      <c r="A809" s="315"/>
      <c r="B809" s="315"/>
      <c r="C809" s="315"/>
      <c r="D809" s="315"/>
      <c r="E809" s="315"/>
      <c r="F809" s="315"/>
      <c r="G809" s="315"/>
      <c r="H809" s="315"/>
      <c r="I809" s="315"/>
      <c r="J809" s="315"/>
      <c r="K809" s="315"/>
      <c r="L809" s="315"/>
      <c r="M809" s="315"/>
      <c r="N809" s="315"/>
      <c r="O809" s="315"/>
      <c r="P809" s="315"/>
      <c r="Q809" s="315"/>
      <c r="R809" s="315"/>
      <c r="S809" s="315"/>
      <c r="T809" s="315"/>
      <c r="U809" s="315"/>
      <c r="V809" s="315"/>
      <c r="W809" s="315"/>
      <c r="X809" s="315"/>
      <c r="Y809" s="315"/>
      <c r="Z809" s="315"/>
      <c r="AA809" s="315"/>
      <c r="AB809" s="315"/>
      <c r="AC809" s="315"/>
      <c r="AD809" s="315"/>
      <c r="AE809" s="315"/>
      <c r="AF809" s="315"/>
      <c r="AG809" s="315"/>
      <c r="AH809" s="315"/>
      <c r="AI809" s="315"/>
      <c r="AJ809" s="315"/>
      <c r="AK809" s="315"/>
      <c r="AL809" s="315"/>
      <c r="AM809" s="315"/>
      <c r="AN809" s="315"/>
    </row>
    <row r="810">
      <c r="A810" s="315"/>
      <c r="B810" s="315"/>
      <c r="C810" s="315"/>
      <c r="D810" s="315"/>
      <c r="E810" s="315"/>
      <c r="F810" s="315"/>
      <c r="G810" s="315"/>
      <c r="H810" s="315"/>
      <c r="I810" s="315"/>
      <c r="J810" s="315"/>
      <c r="K810" s="315"/>
      <c r="L810" s="315"/>
      <c r="M810" s="315"/>
      <c r="N810" s="315"/>
      <c r="O810" s="315"/>
      <c r="P810" s="315"/>
      <c r="Q810" s="315"/>
      <c r="R810" s="315"/>
      <c r="S810" s="315"/>
      <c r="T810" s="315"/>
      <c r="U810" s="315"/>
      <c r="V810" s="315"/>
      <c r="W810" s="315"/>
      <c r="X810" s="315"/>
      <c r="Y810" s="315"/>
      <c r="Z810" s="315"/>
      <c r="AA810" s="315"/>
      <c r="AB810" s="315"/>
      <c r="AC810" s="315"/>
      <c r="AD810" s="315"/>
      <c r="AE810" s="315"/>
      <c r="AF810" s="315"/>
      <c r="AG810" s="315"/>
      <c r="AH810" s="315"/>
      <c r="AI810" s="315"/>
      <c r="AJ810" s="315"/>
      <c r="AK810" s="315"/>
      <c r="AL810" s="315"/>
      <c r="AM810" s="315"/>
      <c r="AN810" s="315"/>
    </row>
    <row r="811">
      <c r="A811" s="315"/>
      <c r="B811" s="315"/>
      <c r="C811" s="315"/>
      <c r="D811" s="315"/>
      <c r="E811" s="315"/>
      <c r="F811" s="315"/>
      <c r="G811" s="315"/>
      <c r="H811" s="315"/>
      <c r="I811" s="315"/>
      <c r="J811" s="315"/>
      <c r="K811" s="315"/>
      <c r="L811" s="315"/>
      <c r="M811" s="315"/>
      <c r="N811" s="315"/>
      <c r="O811" s="315"/>
      <c r="P811" s="315"/>
      <c r="Q811" s="315"/>
      <c r="R811" s="315"/>
      <c r="S811" s="315"/>
      <c r="T811" s="315"/>
      <c r="U811" s="315"/>
      <c r="V811" s="315"/>
      <c r="W811" s="315"/>
      <c r="X811" s="315"/>
      <c r="Y811" s="315"/>
      <c r="Z811" s="315"/>
      <c r="AA811" s="315"/>
      <c r="AB811" s="315"/>
      <c r="AC811" s="315"/>
      <c r="AD811" s="315"/>
      <c r="AE811" s="315"/>
      <c r="AF811" s="315"/>
      <c r="AG811" s="315"/>
      <c r="AH811" s="315"/>
      <c r="AI811" s="315"/>
      <c r="AJ811" s="315"/>
      <c r="AK811" s="315"/>
      <c r="AL811" s="315"/>
      <c r="AM811" s="315"/>
      <c r="AN811" s="315"/>
    </row>
    <row r="812">
      <c r="A812" s="315"/>
      <c r="B812" s="315"/>
      <c r="C812" s="315"/>
      <c r="D812" s="315"/>
      <c r="E812" s="315"/>
      <c r="F812" s="315"/>
      <c r="G812" s="315"/>
      <c r="H812" s="315"/>
      <c r="I812" s="315"/>
      <c r="J812" s="315"/>
      <c r="K812" s="315"/>
      <c r="L812" s="315"/>
      <c r="M812" s="315"/>
      <c r="N812" s="315"/>
      <c r="O812" s="315"/>
      <c r="P812" s="315"/>
      <c r="Q812" s="315"/>
      <c r="R812" s="315"/>
      <c r="S812" s="315"/>
      <c r="T812" s="315"/>
      <c r="U812" s="315"/>
      <c r="V812" s="315"/>
      <c r="W812" s="315"/>
      <c r="X812" s="315"/>
      <c r="Y812" s="315"/>
      <c r="Z812" s="315"/>
      <c r="AA812" s="315"/>
      <c r="AB812" s="315"/>
      <c r="AC812" s="315"/>
      <c r="AD812" s="315"/>
      <c r="AE812" s="315"/>
      <c r="AF812" s="315"/>
      <c r="AG812" s="315"/>
      <c r="AH812" s="315"/>
      <c r="AI812" s="315"/>
      <c r="AJ812" s="315"/>
      <c r="AK812" s="315"/>
      <c r="AL812" s="315"/>
      <c r="AM812" s="315"/>
      <c r="AN812" s="315"/>
    </row>
    <row r="813">
      <c r="A813" s="315"/>
      <c r="B813" s="315"/>
      <c r="C813" s="315"/>
      <c r="D813" s="315"/>
      <c r="E813" s="315"/>
      <c r="F813" s="315"/>
      <c r="G813" s="315"/>
      <c r="H813" s="315"/>
      <c r="I813" s="315"/>
      <c r="J813" s="315"/>
      <c r="K813" s="315"/>
      <c r="L813" s="315"/>
      <c r="M813" s="315"/>
      <c r="N813" s="315"/>
      <c r="O813" s="315"/>
      <c r="P813" s="315"/>
      <c r="Q813" s="315"/>
      <c r="R813" s="315"/>
      <c r="S813" s="315"/>
      <c r="T813" s="315"/>
      <c r="U813" s="315"/>
      <c r="V813" s="315"/>
      <c r="W813" s="315"/>
      <c r="X813" s="315"/>
      <c r="Y813" s="315"/>
      <c r="Z813" s="315"/>
      <c r="AA813" s="315"/>
      <c r="AB813" s="315"/>
      <c r="AC813" s="315"/>
      <c r="AD813" s="315"/>
      <c r="AE813" s="315"/>
      <c r="AF813" s="315"/>
      <c r="AG813" s="315"/>
      <c r="AH813" s="315"/>
      <c r="AI813" s="315"/>
      <c r="AJ813" s="315"/>
      <c r="AK813" s="315"/>
      <c r="AL813" s="315"/>
      <c r="AM813" s="315"/>
      <c r="AN813" s="315"/>
    </row>
    <row r="814">
      <c r="A814" s="315"/>
      <c r="B814" s="315"/>
      <c r="C814" s="315"/>
      <c r="D814" s="315"/>
      <c r="E814" s="315"/>
      <c r="F814" s="315"/>
      <c r="G814" s="315"/>
      <c r="H814" s="315"/>
      <c r="I814" s="315"/>
      <c r="J814" s="315"/>
      <c r="K814" s="315"/>
      <c r="L814" s="315"/>
      <c r="M814" s="315"/>
      <c r="N814" s="315"/>
      <c r="O814" s="315"/>
      <c r="P814" s="315"/>
      <c r="Q814" s="315"/>
      <c r="R814" s="315"/>
      <c r="S814" s="315"/>
      <c r="T814" s="315"/>
      <c r="U814" s="315"/>
      <c r="V814" s="315"/>
      <c r="W814" s="315"/>
      <c r="X814" s="315"/>
      <c r="Y814" s="315"/>
      <c r="Z814" s="315"/>
      <c r="AA814" s="315"/>
      <c r="AB814" s="315"/>
      <c r="AC814" s="315"/>
      <c r="AD814" s="315"/>
      <c r="AE814" s="315"/>
      <c r="AF814" s="315"/>
      <c r="AG814" s="315"/>
      <c r="AH814" s="315"/>
      <c r="AI814" s="315"/>
      <c r="AJ814" s="315"/>
      <c r="AK814" s="315"/>
      <c r="AL814" s="315"/>
      <c r="AM814" s="315"/>
      <c r="AN814" s="315"/>
    </row>
    <row r="815">
      <c r="A815" s="315"/>
      <c r="B815" s="315"/>
      <c r="C815" s="315"/>
      <c r="D815" s="315"/>
      <c r="E815" s="315"/>
      <c r="F815" s="315"/>
      <c r="G815" s="315"/>
      <c r="H815" s="315"/>
      <c r="I815" s="315"/>
      <c r="J815" s="315"/>
      <c r="K815" s="315"/>
      <c r="L815" s="315"/>
      <c r="M815" s="315"/>
      <c r="N815" s="315"/>
      <c r="O815" s="315"/>
      <c r="P815" s="315"/>
      <c r="Q815" s="315"/>
      <c r="R815" s="315"/>
      <c r="S815" s="315"/>
      <c r="T815" s="315"/>
      <c r="U815" s="315"/>
      <c r="V815" s="315"/>
      <c r="W815" s="315"/>
      <c r="X815" s="315"/>
      <c r="Y815" s="315"/>
      <c r="Z815" s="315"/>
      <c r="AA815" s="315"/>
      <c r="AB815" s="315"/>
      <c r="AC815" s="315"/>
      <c r="AD815" s="315"/>
      <c r="AE815" s="315"/>
      <c r="AF815" s="315"/>
      <c r="AG815" s="315"/>
      <c r="AH815" s="315"/>
      <c r="AI815" s="315"/>
      <c r="AJ815" s="315"/>
      <c r="AK815" s="315"/>
      <c r="AL815" s="315"/>
      <c r="AM815" s="315"/>
      <c r="AN815" s="315"/>
    </row>
    <row r="816">
      <c r="A816" s="315"/>
      <c r="B816" s="315"/>
      <c r="C816" s="315"/>
      <c r="D816" s="315"/>
      <c r="E816" s="315"/>
      <c r="F816" s="315"/>
      <c r="G816" s="315"/>
      <c r="H816" s="315"/>
      <c r="I816" s="315"/>
      <c r="J816" s="315"/>
      <c r="K816" s="315"/>
      <c r="L816" s="315"/>
      <c r="M816" s="315"/>
      <c r="N816" s="315"/>
      <c r="O816" s="315"/>
      <c r="P816" s="315"/>
      <c r="Q816" s="315"/>
      <c r="R816" s="315"/>
      <c r="S816" s="315"/>
      <c r="T816" s="315"/>
      <c r="U816" s="315"/>
      <c r="V816" s="315"/>
      <c r="W816" s="315"/>
      <c r="X816" s="315"/>
      <c r="Y816" s="315"/>
      <c r="Z816" s="315"/>
      <c r="AA816" s="315"/>
      <c r="AB816" s="315"/>
      <c r="AC816" s="315"/>
      <c r="AD816" s="315"/>
      <c r="AE816" s="315"/>
      <c r="AF816" s="315"/>
      <c r="AG816" s="315"/>
      <c r="AH816" s="315"/>
      <c r="AI816" s="315"/>
      <c r="AJ816" s="315"/>
      <c r="AK816" s="315"/>
      <c r="AL816" s="315"/>
      <c r="AM816" s="315"/>
      <c r="AN816" s="315"/>
    </row>
    <row r="817">
      <c r="A817" s="315"/>
      <c r="B817" s="315"/>
      <c r="C817" s="315"/>
      <c r="D817" s="315"/>
      <c r="E817" s="315"/>
      <c r="F817" s="315"/>
      <c r="G817" s="315"/>
      <c r="H817" s="315"/>
      <c r="I817" s="315"/>
      <c r="J817" s="315"/>
      <c r="K817" s="315"/>
      <c r="L817" s="315"/>
      <c r="M817" s="315"/>
      <c r="N817" s="315"/>
      <c r="O817" s="315"/>
      <c r="P817" s="315"/>
      <c r="Q817" s="315"/>
      <c r="R817" s="315"/>
      <c r="S817" s="315"/>
      <c r="T817" s="315"/>
      <c r="U817" s="315"/>
      <c r="V817" s="315"/>
      <c r="W817" s="315"/>
      <c r="X817" s="315"/>
      <c r="Y817" s="315"/>
      <c r="Z817" s="315"/>
      <c r="AA817" s="315"/>
      <c r="AB817" s="315"/>
      <c r="AC817" s="315"/>
      <c r="AD817" s="315"/>
      <c r="AE817" s="315"/>
      <c r="AF817" s="315"/>
      <c r="AG817" s="315"/>
      <c r="AH817" s="315"/>
      <c r="AI817" s="315"/>
      <c r="AJ817" s="315"/>
      <c r="AK817" s="315"/>
      <c r="AL817" s="315"/>
      <c r="AM817" s="315"/>
      <c r="AN817" s="315"/>
    </row>
    <row r="818">
      <c r="A818" s="315"/>
      <c r="B818" s="315"/>
      <c r="C818" s="315"/>
      <c r="D818" s="315"/>
      <c r="E818" s="315"/>
      <c r="F818" s="315"/>
      <c r="G818" s="315"/>
      <c r="H818" s="315"/>
      <c r="I818" s="315"/>
      <c r="J818" s="315"/>
      <c r="K818" s="315"/>
      <c r="L818" s="315"/>
      <c r="M818" s="315"/>
      <c r="N818" s="315"/>
      <c r="O818" s="315"/>
      <c r="P818" s="315"/>
      <c r="Q818" s="315"/>
      <c r="R818" s="315"/>
      <c r="S818" s="315"/>
      <c r="T818" s="315"/>
      <c r="U818" s="315"/>
      <c r="V818" s="315"/>
      <c r="W818" s="315"/>
      <c r="X818" s="315"/>
      <c r="Y818" s="315"/>
      <c r="Z818" s="315"/>
      <c r="AA818" s="315"/>
      <c r="AB818" s="315"/>
      <c r="AC818" s="315"/>
      <c r="AD818" s="315"/>
      <c r="AE818" s="315"/>
      <c r="AF818" s="315"/>
      <c r="AG818" s="315"/>
      <c r="AH818" s="315"/>
      <c r="AI818" s="315"/>
      <c r="AJ818" s="315"/>
      <c r="AK818" s="315"/>
      <c r="AL818" s="315"/>
      <c r="AM818" s="315"/>
      <c r="AN818" s="315"/>
    </row>
    <row r="819">
      <c r="A819" s="315"/>
      <c r="B819" s="315"/>
      <c r="C819" s="315"/>
      <c r="D819" s="315"/>
      <c r="E819" s="315"/>
      <c r="F819" s="315"/>
      <c r="G819" s="315"/>
      <c r="H819" s="315"/>
      <c r="I819" s="315"/>
      <c r="J819" s="315"/>
      <c r="K819" s="315"/>
      <c r="L819" s="315"/>
      <c r="M819" s="315"/>
      <c r="N819" s="315"/>
      <c r="O819" s="315"/>
      <c r="P819" s="315"/>
      <c r="Q819" s="315"/>
      <c r="R819" s="315"/>
      <c r="S819" s="315"/>
      <c r="T819" s="315"/>
      <c r="U819" s="315"/>
      <c r="V819" s="315"/>
      <c r="W819" s="315"/>
      <c r="X819" s="315"/>
      <c r="Y819" s="315"/>
      <c r="Z819" s="315"/>
      <c r="AA819" s="315"/>
      <c r="AB819" s="315"/>
      <c r="AC819" s="315"/>
      <c r="AD819" s="315"/>
      <c r="AE819" s="315"/>
      <c r="AF819" s="315"/>
      <c r="AG819" s="315"/>
      <c r="AH819" s="315"/>
      <c r="AI819" s="315"/>
      <c r="AJ819" s="315"/>
      <c r="AK819" s="315"/>
      <c r="AL819" s="315"/>
      <c r="AM819" s="315"/>
      <c r="AN819" s="315"/>
    </row>
    <row r="820">
      <c r="A820" s="315"/>
      <c r="B820" s="315"/>
      <c r="C820" s="315"/>
      <c r="D820" s="315"/>
      <c r="E820" s="315"/>
      <c r="F820" s="315"/>
      <c r="G820" s="315"/>
      <c r="H820" s="315"/>
      <c r="I820" s="315"/>
      <c r="J820" s="315"/>
      <c r="K820" s="315"/>
      <c r="L820" s="315"/>
      <c r="M820" s="315"/>
      <c r="N820" s="315"/>
      <c r="O820" s="315"/>
      <c r="P820" s="315"/>
      <c r="Q820" s="315"/>
      <c r="R820" s="315"/>
      <c r="S820" s="315"/>
      <c r="T820" s="315"/>
      <c r="U820" s="315"/>
      <c r="V820" s="315"/>
      <c r="W820" s="315"/>
      <c r="X820" s="315"/>
      <c r="Y820" s="315"/>
      <c r="Z820" s="315"/>
      <c r="AA820" s="315"/>
      <c r="AB820" s="315"/>
      <c r="AC820" s="315"/>
      <c r="AD820" s="315"/>
      <c r="AE820" s="315"/>
      <c r="AF820" s="315"/>
      <c r="AG820" s="315"/>
      <c r="AH820" s="315"/>
      <c r="AI820" s="315"/>
      <c r="AJ820" s="315"/>
      <c r="AK820" s="315"/>
      <c r="AL820" s="315"/>
      <c r="AM820" s="315"/>
      <c r="AN820" s="315"/>
    </row>
    <row r="821">
      <c r="A821" s="315"/>
      <c r="B821" s="315"/>
      <c r="C821" s="315"/>
      <c r="D821" s="315"/>
      <c r="E821" s="315"/>
      <c r="F821" s="315"/>
      <c r="G821" s="315"/>
      <c r="H821" s="315"/>
      <c r="I821" s="315"/>
      <c r="J821" s="315"/>
      <c r="K821" s="315"/>
      <c r="L821" s="315"/>
      <c r="M821" s="315"/>
      <c r="N821" s="315"/>
      <c r="O821" s="315"/>
      <c r="P821" s="315"/>
      <c r="Q821" s="315"/>
      <c r="R821" s="315"/>
      <c r="S821" s="315"/>
      <c r="T821" s="315"/>
      <c r="U821" s="315"/>
      <c r="V821" s="315"/>
      <c r="W821" s="315"/>
      <c r="X821" s="315"/>
      <c r="Y821" s="315"/>
      <c r="Z821" s="315"/>
      <c r="AA821" s="315"/>
      <c r="AB821" s="315"/>
      <c r="AC821" s="315"/>
      <c r="AD821" s="315"/>
      <c r="AE821" s="315"/>
      <c r="AF821" s="315"/>
      <c r="AG821" s="315"/>
      <c r="AH821" s="315"/>
      <c r="AI821" s="315"/>
      <c r="AJ821" s="315"/>
      <c r="AK821" s="315"/>
      <c r="AL821" s="315"/>
      <c r="AM821" s="315"/>
      <c r="AN821" s="315"/>
    </row>
    <row r="822">
      <c r="A822" s="315"/>
      <c r="B822" s="315"/>
      <c r="C822" s="315"/>
      <c r="D822" s="315"/>
      <c r="E822" s="315"/>
      <c r="F822" s="315"/>
      <c r="G822" s="315"/>
      <c r="H822" s="315"/>
      <c r="I822" s="315"/>
      <c r="J822" s="315"/>
      <c r="K822" s="315"/>
      <c r="L822" s="315"/>
      <c r="M822" s="315"/>
      <c r="N822" s="315"/>
      <c r="O822" s="315"/>
      <c r="P822" s="315"/>
      <c r="Q822" s="315"/>
      <c r="R822" s="315"/>
      <c r="S822" s="315"/>
      <c r="T822" s="315"/>
      <c r="U822" s="315"/>
      <c r="V822" s="315"/>
      <c r="W822" s="315"/>
      <c r="X822" s="315"/>
      <c r="Y822" s="315"/>
      <c r="Z822" s="315"/>
      <c r="AA822" s="315"/>
      <c r="AB822" s="315"/>
      <c r="AC822" s="315"/>
      <c r="AD822" s="315"/>
      <c r="AE822" s="315"/>
      <c r="AF822" s="315"/>
      <c r="AG822" s="315"/>
      <c r="AH822" s="315"/>
      <c r="AI822" s="315"/>
      <c r="AJ822" s="315"/>
      <c r="AK822" s="315"/>
      <c r="AL822" s="315"/>
      <c r="AM822" s="315"/>
      <c r="AN822" s="315"/>
    </row>
    <row r="823">
      <c r="A823" s="315"/>
      <c r="B823" s="315"/>
      <c r="C823" s="315"/>
      <c r="D823" s="315"/>
      <c r="E823" s="315"/>
      <c r="F823" s="315"/>
      <c r="G823" s="315"/>
      <c r="H823" s="315"/>
      <c r="I823" s="315"/>
      <c r="J823" s="315"/>
      <c r="K823" s="315"/>
      <c r="L823" s="315"/>
      <c r="M823" s="315"/>
      <c r="N823" s="315"/>
      <c r="O823" s="315"/>
      <c r="P823" s="315"/>
      <c r="Q823" s="315"/>
      <c r="R823" s="315"/>
      <c r="S823" s="315"/>
      <c r="T823" s="315"/>
      <c r="U823" s="315"/>
      <c r="V823" s="315"/>
      <c r="W823" s="315"/>
      <c r="X823" s="315"/>
      <c r="Y823" s="315"/>
      <c r="Z823" s="315"/>
      <c r="AA823" s="315"/>
      <c r="AB823" s="315"/>
      <c r="AC823" s="315"/>
      <c r="AD823" s="315"/>
      <c r="AE823" s="315"/>
      <c r="AF823" s="315"/>
      <c r="AG823" s="315"/>
      <c r="AH823" s="315"/>
      <c r="AI823" s="315"/>
      <c r="AJ823" s="315"/>
      <c r="AK823" s="315"/>
      <c r="AL823" s="315"/>
      <c r="AM823" s="315"/>
      <c r="AN823" s="315"/>
    </row>
    <row r="824">
      <c r="A824" s="315"/>
      <c r="B824" s="315"/>
      <c r="C824" s="315"/>
      <c r="D824" s="315"/>
      <c r="E824" s="315"/>
      <c r="F824" s="315"/>
      <c r="G824" s="315"/>
      <c r="H824" s="315"/>
      <c r="I824" s="315"/>
      <c r="J824" s="315"/>
      <c r="K824" s="315"/>
      <c r="L824" s="315"/>
      <c r="M824" s="315"/>
      <c r="N824" s="315"/>
      <c r="O824" s="315"/>
      <c r="P824" s="315"/>
      <c r="Q824" s="315"/>
      <c r="R824" s="315"/>
      <c r="S824" s="315"/>
      <c r="T824" s="315"/>
      <c r="U824" s="315"/>
      <c r="V824" s="315"/>
      <c r="W824" s="315"/>
      <c r="X824" s="315"/>
      <c r="Y824" s="315"/>
      <c r="Z824" s="315"/>
      <c r="AA824" s="315"/>
      <c r="AB824" s="315"/>
      <c r="AC824" s="315"/>
      <c r="AD824" s="315"/>
      <c r="AE824" s="315"/>
      <c r="AF824" s="315"/>
      <c r="AG824" s="315"/>
      <c r="AH824" s="315"/>
      <c r="AI824" s="315"/>
      <c r="AJ824" s="315"/>
      <c r="AK824" s="315"/>
      <c r="AL824" s="315"/>
      <c r="AM824" s="315"/>
      <c r="AN824" s="315"/>
    </row>
    <row r="825">
      <c r="A825" s="315"/>
      <c r="B825" s="315"/>
      <c r="C825" s="315"/>
      <c r="D825" s="315"/>
      <c r="E825" s="315"/>
      <c r="F825" s="315"/>
      <c r="G825" s="315"/>
      <c r="H825" s="315"/>
      <c r="I825" s="315"/>
      <c r="J825" s="315"/>
      <c r="K825" s="315"/>
      <c r="L825" s="315"/>
      <c r="M825" s="315"/>
      <c r="N825" s="315"/>
      <c r="O825" s="315"/>
      <c r="P825" s="315"/>
      <c r="Q825" s="315"/>
      <c r="R825" s="315"/>
      <c r="S825" s="315"/>
      <c r="T825" s="315"/>
      <c r="U825" s="315"/>
      <c r="V825" s="315"/>
      <c r="W825" s="315"/>
      <c r="X825" s="315"/>
      <c r="Y825" s="315"/>
      <c r="Z825" s="315"/>
      <c r="AA825" s="315"/>
      <c r="AB825" s="315"/>
      <c r="AC825" s="315"/>
      <c r="AD825" s="315"/>
      <c r="AE825" s="315"/>
      <c r="AF825" s="315"/>
      <c r="AG825" s="315"/>
      <c r="AH825" s="315"/>
      <c r="AI825" s="315"/>
      <c r="AJ825" s="315"/>
      <c r="AK825" s="315"/>
      <c r="AL825" s="315"/>
      <c r="AM825" s="315"/>
      <c r="AN825" s="315"/>
    </row>
    <row r="826">
      <c r="A826" s="315"/>
      <c r="B826" s="315"/>
      <c r="C826" s="315"/>
      <c r="D826" s="315"/>
      <c r="E826" s="315"/>
      <c r="F826" s="315"/>
      <c r="G826" s="315"/>
      <c r="H826" s="315"/>
      <c r="I826" s="315"/>
      <c r="J826" s="315"/>
      <c r="K826" s="315"/>
      <c r="L826" s="315"/>
      <c r="M826" s="315"/>
      <c r="N826" s="315"/>
      <c r="O826" s="315"/>
      <c r="P826" s="315"/>
      <c r="Q826" s="315"/>
      <c r="R826" s="315"/>
      <c r="S826" s="315"/>
      <c r="T826" s="315"/>
      <c r="U826" s="315"/>
      <c r="V826" s="315"/>
      <c r="W826" s="315"/>
      <c r="X826" s="315"/>
      <c r="Y826" s="315"/>
      <c r="Z826" s="315"/>
      <c r="AA826" s="315"/>
      <c r="AB826" s="315"/>
      <c r="AC826" s="315"/>
      <c r="AD826" s="315"/>
      <c r="AE826" s="315"/>
      <c r="AF826" s="315"/>
      <c r="AG826" s="315"/>
      <c r="AH826" s="315"/>
      <c r="AI826" s="315"/>
      <c r="AJ826" s="315"/>
      <c r="AK826" s="315"/>
      <c r="AL826" s="315"/>
      <c r="AM826" s="315"/>
      <c r="AN826" s="315"/>
    </row>
    <row r="827">
      <c r="A827" s="315"/>
      <c r="B827" s="315"/>
      <c r="C827" s="315"/>
      <c r="D827" s="315"/>
      <c r="E827" s="315"/>
      <c r="F827" s="315"/>
      <c r="G827" s="315"/>
      <c r="H827" s="315"/>
      <c r="I827" s="315"/>
      <c r="J827" s="315"/>
      <c r="K827" s="315"/>
      <c r="L827" s="315"/>
      <c r="M827" s="315"/>
      <c r="N827" s="315"/>
      <c r="O827" s="315"/>
      <c r="P827" s="315"/>
      <c r="Q827" s="315"/>
      <c r="R827" s="315"/>
      <c r="S827" s="315"/>
      <c r="T827" s="315"/>
      <c r="U827" s="315"/>
      <c r="V827" s="315"/>
      <c r="W827" s="315"/>
      <c r="X827" s="315"/>
      <c r="Y827" s="315"/>
      <c r="Z827" s="315"/>
      <c r="AA827" s="315"/>
      <c r="AB827" s="315"/>
      <c r="AC827" s="315"/>
      <c r="AD827" s="315"/>
      <c r="AE827" s="315"/>
      <c r="AF827" s="315"/>
      <c r="AG827" s="315"/>
      <c r="AH827" s="315"/>
      <c r="AI827" s="315"/>
      <c r="AJ827" s="315"/>
      <c r="AK827" s="315"/>
      <c r="AL827" s="315"/>
      <c r="AM827" s="315"/>
      <c r="AN827" s="315"/>
    </row>
    <row r="828">
      <c r="A828" s="315"/>
      <c r="B828" s="315"/>
      <c r="C828" s="315"/>
      <c r="D828" s="315"/>
      <c r="E828" s="315"/>
      <c r="F828" s="315"/>
      <c r="G828" s="315"/>
      <c r="H828" s="315"/>
      <c r="I828" s="315"/>
      <c r="J828" s="315"/>
      <c r="K828" s="315"/>
      <c r="L828" s="315"/>
      <c r="M828" s="315"/>
      <c r="N828" s="315"/>
      <c r="O828" s="315"/>
      <c r="P828" s="315"/>
      <c r="Q828" s="315"/>
      <c r="R828" s="315"/>
      <c r="S828" s="315"/>
      <c r="T828" s="315"/>
      <c r="U828" s="315"/>
      <c r="V828" s="315"/>
      <c r="W828" s="315"/>
      <c r="X828" s="315"/>
      <c r="Y828" s="315"/>
      <c r="Z828" s="315"/>
      <c r="AA828" s="315"/>
      <c r="AB828" s="315"/>
      <c r="AC828" s="315"/>
      <c r="AD828" s="315"/>
      <c r="AE828" s="315"/>
      <c r="AF828" s="315"/>
      <c r="AG828" s="315"/>
      <c r="AH828" s="315"/>
      <c r="AI828" s="315"/>
      <c r="AJ828" s="315"/>
      <c r="AK828" s="315"/>
      <c r="AL828" s="315"/>
      <c r="AM828" s="315"/>
      <c r="AN828" s="315"/>
    </row>
    <row r="829">
      <c r="A829" s="315"/>
      <c r="B829" s="315"/>
      <c r="C829" s="315"/>
      <c r="D829" s="315"/>
      <c r="E829" s="315"/>
      <c r="F829" s="315"/>
      <c r="G829" s="315"/>
      <c r="H829" s="315"/>
      <c r="I829" s="315"/>
      <c r="J829" s="315"/>
      <c r="K829" s="315"/>
      <c r="L829" s="315"/>
      <c r="M829" s="315"/>
      <c r="N829" s="315"/>
      <c r="O829" s="315"/>
      <c r="P829" s="315"/>
      <c r="Q829" s="315"/>
      <c r="R829" s="315"/>
      <c r="S829" s="315"/>
      <c r="T829" s="315"/>
      <c r="U829" s="315"/>
      <c r="V829" s="315"/>
      <c r="W829" s="315"/>
      <c r="X829" s="315"/>
      <c r="Y829" s="315"/>
      <c r="Z829" s="315"/>
      <c r="AA829" s="315"/>
      <c r="AB829" s="315"/>
      <c r="AC829" s="315"/>
      <c r="AD829" s="315"/>
      <c r="AE829" s="315"/>
      <c r="AF829" s="315"/>
      <c r="AG829" s="315"/>
      <c r="AH829" s="315"/>
      <c r="AI829" s="315"/>
      <c r="AJ829" s="315"/>
      <c r="AK829" s="315"/>
      <c r="AL829" s="315"/>
      <c r="AM829" s="315"/>
      <c r="AN829" s="315"/>
    </row>
    <row r="830">
      <c r="A830" s="315"/>
      <c r="B830" s="315"/>
      <c r="C830" s="315"/>
      <c r="D830" s="315"/>
      <c r="E830" s="315"/>
      <c r="F830" s="315"/>
      <c r="G830" s="315"/>
      <c r="H830" s="315"/>
      <c r="I830" s="315"/>
      <c r="J830" s="315"/>
      <c r="K830" s="315"/>
      <c r="L830" s="315"/>
      <c r="M830" s="315"/>
      <c r="N830" s="315"/>
      <c r="O830" s="315"/>
      <c r="P830" s="315"/>
      <c r="Q830" s="315"/>
      <c r="R830" s="315"/>
      <c r="S830" s="315"/>
      <c r="T830" s="315"/>
      <c r="U830" s="315"/>
      <c r="V830" s="315"/>
      <c r="W830" s="315"/>
      <c r="X830" s="315"/>
      <c r="Y830" s="315"/>
      <c r="Z830" s="315"/>
      <c r="AA830" s="315"/>
      <c r="AB830" s="315"/>
      <c r="AC830" s="315"/>
      <c r="AD830" s="315"/>
      <c r="AE830" s="315"/>
      <c r="AF830" s="315"/>
      <c r="AG830" s="315"/>
      <c r="AH830" s="315"/>
      <c r="AI830" s="315"/>
      <c r="AJ830" s="315"/>
      <c r="AK830" s="315"/>
      <c r="AL830" s="315"/>
      <c r="AM830" s="315"/>
      <c r="AN830" s="315"/>
    </row>
    <row r="831">
      <c r="A831" s="315"/>
      <c r="B831" s="315"/>
      <c r="C831" s="315"/>
      <c r="D831" s="315"/>
      <c r="E831" s="315"/>
      <c r="F831" s="315"/>
      <c r="G831" s="315"/>
      <c r="H831" s="315"/>
      <c r="I831" s="315"/>
      <c r="J831" s="315"/>
      <c r="K831" s="315"/>
      <c r="L831" s="315"/>
      <c r="M831" s="315"/>
      <c r="N831" s="315"/>
      <c r="O831" s="315"/>
      <c r="P831" s="315"/>
      <c r="Q831" s="315"/>
      <c r="R831" s="315"/>
      <c r="S831" s="315"/>
      <c r="T831" s="315"/>
      <c r="U831" s="315"/>
      <c r="V831" s="315"/>
      <c r="W831" s="315"/>
      <c r="X831" s="315"/>
      <c r="Y831" s="315"/>
      <c r="Z831" s="315"/>
      <c r="AA831" s="315"/>
      <c r="AB831" s="315"/>
      <c r="AC831" s="315"/>
      <c r="AD831" s="315"/>
      <c r="AE831" s="315"/>
      <c r="AF831" s="315"/>
      <c r="AG831" s="315"/>
      <c r="AH831" s="315"/>
      <c r="AI831" s="315"/>
      <c r="AJ831" s="315"/>
      <c r="AK831" s="315"/>
      <c r="AL831" s="315"/>
      <c r="AM831" s="315"/>
      <c r="AN831" s="315"/>
    </row>
    <row r="832">
      <c r="A832" s="315"/>
      <c r="B832" s="315"/>
      <c r="C832" s="315"/>
      <c r="D832" s="315"/>
      <c r="E832" s="315"/>
      <c r="F832" s="315"/>
      <c r="G832" s="315"/>
      <c r="H832" s="315"/>
      <c r="I832" s="315"/>
      <c r="J832" s="315"/>
      <c r="K832" s="315"/>
      <c r="L832" s="315"/>
      <c r="M832" s="315"/>
      <c r="N832" s="315"/>
      <c r="O832" s="315"/>
      <c r="P832" s="315"/>
      <c r="Q832" s="315"/>
      <c r="R832" s="315"/>
      <c r="S832" s="315"/>
      <c r="T832" s="315"/>
      <c r="U832" s="315"/>
      <c r="V832" s="315"/>
      <c r="W832" s="315"/>
      <c r="X832" s="315"/>
      <c r="Y832" s="315"/>
      <c r="Z832" s="315"/>
      <c r="AA832" s="315"/>
      <c r="AB832" s="315"/>
      <c r="AC832" s="315"/>
      <c r="AD832" s="315"/>
      <c r="AE832" s="315"/>
      <c r="AF832" s="315"/>
      <c r="AG832" s="315"/>
      <c r="AH832" s="315"/>
      <c r="AI832" s="315"/>
      <c r="AJ832" s="315"/>
      <c r="AK832" s="315"/>
      <c r="AL832" s="315"/>
      <c r="AM832" s="315"/>
      <c r="AN832" s="315"/>
    </row>
    <row r="833">
      <c r="A833" s="315"/>
      <c r="B833" s="315"/>
      <c r="C833" s="315"/>
      <c r="D833" s="315"/>
      <c r="E833" s="315"/>
      <c r="F833" s="315"/>
      <c r="G833" s="315"/>
      <c r="H833" s="315"/>
      <c r="I833" s="315"/>
      <c r="J833" s="315"/>
      <c r="K833" s="315"/>
      <c r="L833" s="315"/>
      <c r="M833" s="315"/>
      <c r="N833" s="315"/>
      <c r="O833" s="315"/>
      <c r="P833" s="315"/>
      <c r="Q833" s="315"/>
      <c r="R833" s="315"/>
      <c r="S833" s="315"/>
      <c r="T833" s="315"/>
      <c r="U833" s="315"/>
      <c r="V833" s="315"/>
      <c r="W833" s="315"/>
      <c r="X833" s="315"/>
      <c r="Y833" s="315"/>
      <c r="Z833" s="315"/>
      <c r="AA833" s="315"/>
      <c r="AB833" s="315"/>
      <c r="AC833" s="315"/>
      <c r="AD833" s="315"/>
      <c r="AE833" s="315"/>
      <c r="AF833" s="315"/>
      <c r="AG833" s="315"/>
      <c r="AH833" s="315"/>
      <c r="AI833" s="315"/>
      <c r="AJ833" s="315"/>
      <c r="AK833" s="315"/>
      <c r="AL833" s="315"/>
      <c r="AM833" s="315"/>
      <c r="AN833" s="315"/>
    </row>
    <row r="834">
      <c r="A834" s="315"/>
      <c r="B834" s="315"/>
      <c r="C834" s="315"/>
      <c r="D834" s="315"/>
      <c r="E834" s="315"/>
      <c r="F834" s="315"/>
      <c r="G834" s="315"/>
      <c r="H834" s="315"/>
      <c r="I834" s="315"/>
      <c r="J834" s="315"/>
      <c r="K834" s="315"/>
      <c r="L834" s="315"/>
      <c r="M834" s="315"/>
      <c r="N834" s="315"/>
      <c r="O834" s="315"/>
      <c r="P834" s="315"/>
      <c r="Q834" s="315"/>
      <c r="R834" s="315"/>
      <c r="S834" s="315"/>
      <c r="T834" s="315"/>
      <c r="U834" s="315"/>
      <c r="V834" s="315"/>
      <c r="W834" s="315"/>
      <c r="X834" s="315"/>
      <c r="Y834" s="315"/>
      <c r="Z834" s="315"/>
      <c r="AA834" s="315"/>
      <c r="AB834" s="315"/>
      <c r="AC834" s="315"/>
      <c r="AD834" s="315"/>
      <c r="AE834" s="315"/>
      <c r="AF834" s="315"/>
      <c r="AG834" s="315"/>
      <c r="AH834" s="315"/>
      <c r="AI834" s="315"/>
      <c r="AJ834" s="315"/>
      <c r="AK834" s="315"/>
      <c r="AL834" s="315"/>
      <c r="AM834" s="315"/>
      <c r="AN834" s="315"/>
    </row>
    <row r="835">
      <c r="A835" s="315"/>
      <c r="B835" s="315"/>
      <c r="C835" s="315"/>
      <c r="D835" s="315"/>
      <c r="E835" s="315"/>
      <c r="F835" s="315"/>
      <c r="G835" s="315"/>
      <c r="H835" s="315"/>
      <c r="I835" s="315"/>
      <c r="J835" s="315"/>
      <c r="K835" s="315"/>
      <c r="L835" s="315"/>
      <c r="M835" s="315"/>
      <c r="N835" s="315"/>
      <c r="O835" s="315"/>
      <c r="P835" s="315"/>
      <c r="Q835" s="315"/>
      <c r="R835" s="315"/>
      <c r="S835" s="315"/>
      <c r="T835" s="315"/>
      <c r="U835" s="315"/>
      <c r="V835" s="315"/>
      <c r="W835" s="315"/>
      <c r="X835" s="315"/>
      <c r="Y835" s="315"/>
      <c r="Z835" s="315"/>
      <c r="AA835" s="315"/>
      <c r="AB835" s="315"/>
      <c r="AC835" s="315"/>
      <c r="AD835" s="315"/>
      <c r="AE835" s="315"/>
      <c r="AF835" s="315"/>
      <c r="AG835" s="315"/>
      <c r="AH835" s="315"/>
      <c r="AI835" s="315"/>
      <c r="AJ835" s="315"/>
      <c r="AK835" s="315"/>
      <c r="AL835" s="315"/>
      <c r="AM835" s="315"/>
      <c r="AN835" s="315"/>
    </row>
    <row r="836">
      <c r="A836" s="315"/>
      <c r="B836" s="315"/>
      <c r="C836" s="315"/>
      <c r="D836" s="315"/>
      <c r="E836" s="315"/>
      <c r="F836" s="315"/>
      <c r="G836" s="315"/>
      <c r="H836" s="315"/>
      <c r="I836" s="315"/>
      <c r="J836" s="315"/>
      <c r="K836" s="315"/>
      <c r="L836" s="315"/>
      <c r="M836" s="315"/>
      <c r="N836" s="315"/>
      <c r="O836" s="315"/>
      <c r="P836" s="315"/>
      <c r="Q836" s="315"/>
      <c r="R836" s="315"/>
      <c r="S836" s="315"/>
      <c r="T836" s="315"/>
      <c r="U836" s="315"/>
      <c r="V836" s="315"/>
      <c r="W836" s="315"/>
      <c r="X836" s="315"/>
      <c r="Y836" s="315"/>
      <c r="Z836" s="315"/>
      <c r="AA836" s="315"/>
      <c r="AB836" s="315"/>
      <c r="AC836" s="315"/>
      <c r="AD836" s="315"/>
      <c r="AE836" s="315"/>
      <c r="AF836" s="315"/>
      <c r="AG836" s="315"/>
      <c r="AH836" s="315"/>
      <c r="AI836" s="315"/>
      <c r="AJ836" s="315"/>
      <c r="AK836" s="315"/>
      <c r="AL836" s="315"/>
      <c r="AM836" s="315"/>
      <c r="AN836" s="315"/>
    </row>
    <row r="837">
      <c r="A837" s="315"/>
      <c r="B837" s="315"/>
      <c r="C837" s="315"/>
      <c r="D837" s="315"/>
      <c r="E837" s="315"/>
      <c r="F837" s="315"/>
      <c r="G837" s="315"/>
      <c r="H837" s="315"/>
      <c r="I837" s="315"/>
      <c r="J837" s="315"/>
      <c r="K837" s="315"/>
      <c r="L837" s="315"/>
      <c r="M837" s="315"/>
      <c r="N837" s="315"/>
      <c r="O837" s="315"/>
      <c r="P837" s="315"/>
      <c r="Q837" s="315"/>
      <c r="R837" s="315"/>
      <c r="S837" s="315"/>
      <c r="T837" s="315"/>
      <c r="U837" s="315"/>
      <c r="V837" s="315"/>
      <c r="W837" s="315"/>
      <c r="X837" s="315"/>
      <c r="Y837" s="315"/>
      <c r="Z837" s="315"/>
      <c r="AA837" s="315"/>
      <c r="AB837" s="315"/>
      <c r="AC837" s="315"/>
      <c r="AD837" s="315"/>
      <c r="AE837" s="315"/>
      <c r="AF837" s="315"/>
      <c r="AG837" s="315"/>
      <c r="AH837" s="315"/>
      <c r="AI837" s="315"/>
      <c r="AJ837" s="315"/>
      <c r="AK837" s="315"/>
      <c r="AL837" s="315"/>
      <c r="AM837" s="315"/>
      <c r="AN837" s="315"/>
    </row>
    <row r="838">
      <c r="A838" s="315"/>
      <c r="B838" s="315"/>
      <c r="C838" s="315"/>
      <c r="D838" s="315"/>
      <c r="E838" s="315"/>
      <c r="F838" s="315"/>
      <c r="G838" s="315"/>
      <c r="H838" s="315"/>
      <c r="I838" s="315"/>
      <c r="J838" s="315"/>
      <c r="K838" s="315"/>
      <c r="L838" s="315"/>
      <c r="M838" s="315"/>
      <c r="N838" s="315"/>
      <c r="O838" s="315"/>
      <c r="P838" s="315"/>
      <c r="Q838" s="315"/>
      <c r="R838" s="315"/>
      <c r="S838" s="315"/>
      <c r="T838" s="315"/>
      <c r="U838" s="315"/>
      <c r="V838" s="315"/>
      <c r="W838" s="315"/>
      <c r="X838" s="315"/>
      <c r="Y838" s="315"/>
      <c r="Z838" s="315"/>
      <c r="AA838" s="315"/>
      <c r="AB838" s="315"/>
      <c r="AC838" s="315"/>
      <c r="AD838" s="315"/>
      <c r="AE838" s="315"/>
      <c r="AF838" s="315"/>
      <c r="AG838" s="315"/>
      <c r="AH838" s="315"/>
      <c r="AI838" s="315"/>
      <c r="AJ838" s="315"/>
      <c r="AK838" s="315"/>
      <c r="AL838" s="315"/>
      <c r="AM838" s="315"/>
      <c r="AN838" s="315"/>
    </row>
    <row r="839">
      <c r="A839" s="315"/>
      <c r="B839" s="315"/>
      <c r="C839" s="315"/>
      <c r="D839" s="315"/>
      <c r="E839" s="315"/>
      <c r="F839" s="315"/>
      <c r="G839" s="315"/>
      <c r="H839" s="315"/>
      <c r="I839" s="315"/>
      <c r="J839" s="315"/>
      <c r="K839" s="315"/>
      <c r="L839" s="315"/>
      <c r="M839" s="315"/>
      <c r="N839" s="315"/>
      <c r="O839" s="315"/>
      <c r="P839" s="315"/>
      <c r="Q839" s="315"/>
      <c r="R839" s="315"/>
      <c r="S839" s="315"/>
      <c r="T839" s="315"/>
      <c r="U839" s="315"/>
      <c r="V839" s="315"/>
      <c r="W839" s="315"/>
      <c r="X839" s="315"/>
      <c r="Y839" s="315"/>
      <c r="Z839" s="315"/>
      <c r="AA839" s="315"/>
      <c r="AB839" s="315"/>
      <c r="AC839" s="315"/>
      <c r="AD839" s="315"/>
      <c r="AE839" s="315"/>
      <c r="AF839" s="315"/>
      <c r="AG839" s="315"/>
      <c r="AH839" s="315"/>
      <c r="AI839" s="315"/>
      <c r="AJ839" s="315"/>
      <c r="AK839" s="315"/>
      <c r="AL839" s="315"/>
      <c r="AM839" s="315"/>
      <c r="AN839" s="315"/>
    </row>
    <row r="840">
      <c r="A840" s="315"/>
      <c r="B840" s="315"/>
      <c r="C840" s="315"/>
      <c r="D840" s="315"/>
      <c r="E840" s="315"/>
      <c r="F840" s="315"/>
      <c r="G840" s="315"/>
      <c r="H840" s="315"/>
      <c r="I840" s="315"/>
      <c r="J840" s="315"/>
      <c r="K840" s="315"/>
      <c r="L840" s="315"/>
      <c r="M840" s="315"/>
      <c r="N840" s="315"/>
      <c r="O840" s="315"/>
      <c r="P840" s="315"/>
      <c r="Q840" s="315"/>
      <c r="R840" s="315"/>
      <c r="S840" s="315"/>
      <c r="T840" s="315"/>
      <c r="U840" s="315"/>
      <c r="V840" s="315"/>
      <c r="W840" s="315"/>
      <c r="X840" s="315"/>
      <c r="Y840" s="315"/>
      <c r="Z840" s="315"/>
      <c r="AA840" s="315"/>
      <c r="AB840" s="315"/>
      <c r="AC840" s="315"/>
      <c r="AD840" s="315"/>
      <c r="AE840" s="315"/>
      <c r="AF840" s="315"/>
      <c r="AG840" s="315"/>
      <c r="AH840" s="315"/>
      <c r="AI840" s="315"/>
      <c r="AJ840" s="315"/>
      <c r="AK840" s="315"/>
      <c r="AL840" s="315"/>
      <c r="AM840" s="315"/>
      <c r="AN840" s="315"/>
    </row>
    <row r="841">
      <c r="A841" s="315"/>
      <c r="B841" s="315"/>
      <c r="C841" s="315"/>
      <c r="D841" s="315"/>
      <c r="E841" s="315"/>
      <c r="F841" s="315"/>
      <c r="G841" s="315"/>
      <c r="H841" s="315"/>
      <c r="I841" s="315"/>
      <c r="J841" s="315"/>
      <c r="K841" s="315"/>
      <c r="L841" s="315"/>
      <c r="M841" s="315"/>
      <c r="N841" s="315"/>
      <c r="O841" s="315"/>
      <c r="P841" s="315"/>
      <c r="Q841" s="315"/>
      <c r="R841" s="315"/>
      <c r="S841" s="315"/>
      <c r="T841" s="315"/>
      <c r="U841" s="315"/>
      <c r="V841" s="315"/>
      <c r="W841" s="315"/>
      <c r="X841" s="315"/>
      <c r="Y841" s="315"/>
      <c r="Z841" s="315"/>
      <c r="AA841" s="315"/>
      <c r="AB841" s="315"/>
      <c r="AC841" s="315"/>
      <c r="AD841" s="315"/>
      <c r="AE841" s="315"/>
      <c r="AF841" s="315"/>
      <c r="AG841" s="315"/>
      <c r="AH841" s="315"/>
      <c r="AI841" s="315"/>
      <c r="AJ841" s="315"/>
      <c r="AK841" s="315"/>
      <c r="AL841" s="315"/>
      <c r="AM841" s="315"/>
      <c r="AN841" s="315"/>
    </row>
    <row r="842">
      <c r="A842" s="315"/>
      <c r="B842" s="315"/>
      <c r="C842" s="315"/>
      <c r="D842" s="315"/>
      <c r="E842" s="315"/>
      <c r="F842" s="315"/>
      <c r="G842" s="315"/>
      <c r="H842" s="315"/>
      <c r="I842" s="315"/>
      <c r="J842" s="315"/>
      <c r="K842" s="315"/>
      <c r="L842" s="315"/>
      <c r="M842" s="315"/>
      <c r="N842" s="315"/>
      <c r="O842" s="315"/>
      <c r="P842" s="315"/>
      <c r="Q842" s="315"/>
      <c r="R842" s="315"/>
      <c r="S842" s="315"/>
      <c r="T842" s="315"/>
      <c r="U842" s="315"/>
      <c r="V842" s="315"/>
      <c r="W842" s="315"/>
      <c r="X842" s="315"/>
      <c r="Y842" s="315"/>
      <c r="Z842" s="315"/>
      <c r="AA842" s="315"/>
      <c r="AB842" s="315"/>
      <c r="AC842" s="315"/>
      <c r="AD842" s="315"/>
      <c r="AE842" s="315"/>
      <c r="AF842" s="315"/>
      <c r="AG842" s="315"/>
      <c r="AH842" s="315"/>
      <c r="AI842" s="315"/>
      <c r="AJ842" s="315"/>
      <c r="AK842" s="315"/>
      <c r="AL842" s="315"/>
      <c r="AM842" s="315"/>
      <c r="AN842" s="315"/>
    </row>
    <row r="843">
      <c r="A843" s="315"/>
      <c r="B843" s="315"/>
      <c r="C843" s="315"/>
      <c r="D843" s="315"/>
      <c r="E843" s="315"/>
      <c r="F843" s="315"/>
      <c r="G843" s="315"/>
      <c r="H843" s="315"/>
      <c r="I843" s="315"/>
      <c r="J843" s="315"/>
      <c r="K843" s="315"/>
      <c r="L843" s="315"/>
      <c r="M843" s="315"/>
      <c r="N843" s="315"/>
      <c r="O843" s="315"/>
      <c r="P843" s="315"/>
      <c r="Q843" s="315"/>
      <c r="R843" s="315"/>
      <c r="S843" s="315"/>
      <c r="T843" s="315"/>
      <c r="U843" s="315"/>
      <c r="V843" s="315"/>
      <c r="W843" s="315"/>
      <c r="X843" s="315"/>
      <c r="Y843" s="315"/>
      <c r="Z843" s="315"/>
      <c r="AA843" s="315"/>
      <c r="AB843" s="315"/>
      <c r="AC843" s="315"/>
      <c r="AD843" s="315"/>
      <c r="AE843" s="315"/>
      <c r="AF843" s="315"/>
      <c r="AG843" s="315"/>
      <c r="AH843" s="315"/>
      <c r="AI843" s="315"/>
      <c r="AJ843" s="315"/>
      <c r="AK843" s="315"/>
      <c r="AL843" s="315"/>
      <c r="AM843" s="315"/>
      <c r="AN843" s="315"/>
    </row>
    <row r="844">
      <c r="A844" s="315"/>
      <c r="B844" s="315"/>
      <c r="C844" s="315"/>
      <c r="D844" s="315"/>
      <c r="E844" s="315"/>
      <c r="F844" s="315"/>
      <c r="G844" s="315"/>
      <c r="H844" s="315"/>
      <c r="I844" s="315"/>
      <c r="J844" s="315"/>
      <c r="K844" s="315"/>
      <c r="L844" s="315"/>
      <c r="M844" s="315"/>
      <c r="N844" s="315"/>
      <c r="O844" s="315"/>
      <c r="P844" s="315"/>
      <c r="Q844" s="315"/>
      <c r="R844" s="315"/>
      <c r="S844" s="315"/>
      <c r="T844" s="315"/>
      <c r="U844" s="315"/>
      <c r="V844" s="315"/>
      <c r="W844" s="315"/>
      <c r="X844" s="315"/>
      <c r="Y844" s="315"/>
      <c r="Z844" s="315"/>
      <c r="AA844" s="315"/>
      <c r="AB844" s="315"/>
      <c r="AC844" s="315"/>
      <c r="AD844" s="315"/>
      <c r="AE844" s="315"/>
      <c r="AF844" s="315"/>
      <c r="AG844" s="315"/>
      <c r="AH844" s="315"/>
      <c r="AI844" s="315"/>
      <c r="AJ844" s="315"/>
      <c r="AK844" s="315"/>
      <c r="AL844" s="315"/>
      <c r="AM844" s="315"/>
      <c r="AN844" s="315"/>
    </row>
    <row r="845">
      <c r="A845" s="315"/>
      <c r="B845" s="315"/>
      <c r="C845" s="315"/>
      <c r="D845" s="315"/>
      <c r="E845" s="315"/>
      <c r="F845" s="315"/>
      <c r="G845" s="315"/>
      <c r="H845" s="315"/>
      <c r="I845" s="315"/>
      <c r="J845" s="315"/>
      <c r="K845" s="315"/>
      <c r="L845" s="315"/>
      <c r="M845" s="315"/>
      <c r="N845" s="315"/>
      <c r="O845" s="315"/>
      <c r="P845" s="315"/>
      <c r="Q845" s="315"/>
      <c r="R845" s="315"/>
      <c r="S845" s="315"/>
      <c r="T845" s="315"/>
      <c r="U845" s="315"/>
      <c r="V845" s="315"/>
      <c r="W845" s="315"/>
      <c r="X845" s="315"/>
      <c r="Y845" s="315"/>
      <c r="Z845" s="315"/>
      <c r="AA845" s="315"/>
      <c r="AB845" s="315"/>
      <c r="AC845" s="315"/>
      <c r="AD845" s="315"/>
      <c r="AE845" s="315"/>
      <c r="AF845" s="315"/>
      <c r="AG845" s="315"/>
      <c r="AH845" s="315"/>
      <c r="AI845" s="315"/>
      <c r="AJ845" s="315"/>
      <c r="AK845" s="315"/>
      <c r="AL845" s="315"/>
      <c r="AM845" s="315"/>
      <c r="AN845" s="315"/>
    </row>
    <row r="846">
      <c r="A846" s="315"/>
      <c r="B846" s="315"/>
      <c r="C846" s="315"/>
      <c r="D846" s="315"/>
      <c r="E846" s="315"/>
      <c r="F846" s="315"/>
      <c r="G846" s="315"/>
      <c r="H846" s="315"/>
      <c r="I846" s="315"/>
      <c r="J846" s="315"/>
      <c r="K846" s="315"/>
      <c r="L846" s="315"/>
      <c r="M846" s="315"/>
      <c r="N846" s="315"/>
      <c r="O846" s="315"/>
      <c r="P846" s="315"/>
      <c r="Q846" s="315"/>
      <c r="R846" s="315"/>
      <c r="S846" s="315"/>
      <c r="T846" s="315"/>
      <c r="U846" s="315"/>
      <c r="V846" s="315"/>
      <c r="W846" s="315"/>
      <c r="X846" s="315"/>
      <c r="Y846" s="315"/>
      <c r="Z846" s="315"/>
      <c r="AA846" s="315"/>
      <c r="AB846" s="315"/>
      <c r="AC846" s="315"/>
      <c r="AD846" s="315"/>
      <c r="AE846" s="315"/>
      <c r="AF846" s="315"/>
      <c r="AG846" s="315"/>
      <c r="AH846" s="315"/>
      <c r="AI846" s="315"/>
      <c r="AJ846" s="315"/>
      <c r="AK846" s="315"/>
      <c r="AL846" s="315"/>
      <c r="AM846" s="315"/>
      <c r="AN846" s="315"/>
    </row>
    <row r="847">
      <c r="A847" s="315"/>
      <c r="B847" s="315"/>
      <c r="C847" s="315"/>
      <c r="D847" s="315"/>
      <c r="E847" s="315"/>
      <c r="F847" s="315"/>
      <c r="G847" s="315"/>
      <c r="H847" s="315"/>
      <c r="I847" s="315"/>
      <c r="J847" s="315"/>
      <c r="K847" s="315"/>
      <c r="L847" s="315"/>
      <c r="M847" s="315"/>
      <c r="N847" s="315"/>
      <c r="O847" s="315"/>
      <c r="P847" s="315"/>
      <c r="Q847" s="315"/>
      <c r="R847" s="315"/>
      <c r="S847" s="315"/>
      <c r="T847" s="315"/>
      <c r="U847" s="315"/>
      <c r="V847" s="315"/>
      <c r="W847" s="315"/>
      <c r="X847" s="315"/>
      <c r="Y847" s="315"/>
      <c r="Z847" s="315"/>
      <c r="AA847" s="315"/>
      <c r="AB847" s="315"/>
      <c r="AC847" s="315"/>
      <c r="AD847" s="315"/>
      <c r="AE847" s="315"/>
      <c r="AF847" s="315"/>
      <c r="AG847" s="315"/>
      <c r="AH847" s="315"/>
      <c r="AI847" s="315"/>
      <c r="AJ847" s="315"/>
      <c r="AK847" s="315"/>
      <c r="AL847" s="315"/>
      <c r="AM847" s="315"/>
      <c r="AN847" s="315"/>
    </row>
    <row r="848">
      <c r="A848" s="315"/>
      <c r="B848" s="315"/>
      <c r="C848" s="315"/>
      <c r="D848" s="315"/>
      <c r="E848" s="315"/>
      <c r="F848" s="315"/>
      <c r="G848" s="315"/>
      <c r="H848" s="315"/>
      <c r="I848" s="315"/>
      <c r="J848" s="315"/>
      <c r="K848" s="315"/>
      <c r="L848" s="315"/>
      <c r="M848" s="315"/>
      <c r="N848" s="315"/>
      <c r="O848" s="315"/>
      <c r="P848" s="315"/>
      <c r="Q848" s="315"/>
      <c r="R848" s="315"/>
      <c r="S848" s="315"/>
      <c r="T848" s="315"/>
      <c r="U848" s="315"/>
      <c r="V848" s="315"/>
      <c r="W848" s="315"/>
      <c r="X848" s="315"/>
      <c r="Y848" s="315"/>
      <c r="Z848" s="315"/>
      <c r="AA848" s="315"/>
      <c r="AB848" s="315"/>
      <c r="AC848" s="315"/>
      <c r="AD848" s="315"/>
      <c r="AE848" s="315"/>
      <c r="AF848" s="315"/>
      <c r="AG848" s="315"/>
      <c r="AH848" s="315"/>
      <c r="AI848" s="315"/>
      <c r="AJ848" s="315"/>
      <c r="AK848" s="315"/>
      <c r="AL848" s="315"/>
      <c r="AM848" s="315"/>
      <c r="AN848" s="315"/>
    </row>
    <row r="849">
      <c r="A849" s="315"/>
      <c r="B849" s="315"/>
      <c r="C849" s="315"/>
      <c r="D849" s="315"/>
      <c r="E849" s="315"/>
      <c r="F849" s="315"/>
      <c r="G849" s="315"/>
      <c r="H849" s="315"/>
      <c r="I849" s="315"/>
      <c r="J849" s="315"/>
      <c r="K849" s="315"/>
      <c r="L849" s="315"/>
      <c r="M849" s="315"/>
      <c r="N849" s="315"/>
      <c r="O849" s="315"/>
      <c r="P849" s="315"/>
      <c r="Q849" s="315"/>
      <c r="R849" s="315"/>
      <c r="S849" s="315"/>
      <c r="T849" s="315"/>
      <c r="U849" s="315"/>
      <c r="V849" s="315"/>
      <c r="W849" s="315"/>
      <c r="X849" s="315"/>
      <c r="Y849" s="315"/>
      <c r="Z849" s="315"/>
      <c r="AA849" s="315"/>
      <c r="AB849" s="315"/>
      <c r="AC849" s="315"/>
      <c r="AD849" s="315"/>
      <c r="AE849" s="315"/>
      <c r="AF849" s="315"/>
      <c r="AG849" s="315"/>
      <c r="AH849" s="315"/>
      <c r="AI849" s="315"/>
      <c r="AJ849" s="315"/>
      <c r="AK849" s="315"/>
      <c r="AL849" s="315"/>
      <c r="AM849" s="315"/>
      <c r="AN849" s="315"/>
    </row>
    <row r="850">
      <c r="A850" s="315"/>
      <c r="B850" s="315"/>
      <c r="C850" s="315"/>
      <c r="D850" s="315"/>
      <c r="E850" s="315"/>
      <c r="F850" s="315"/>
      <c r="G850" s="315"/>
      <c r="H850" s="315"/>
      <c r="I850" s="315"/>
      <c r="J850" s="315"/>
      <c r="K850" s="315"/>
      <c r="L850" s="315"/>
      <c r="M850" s="315"/>
      <c r="N850" s="315"/>
      <c r="O850" s="315"/>
      <c r="P850" s="315"/>
      <c r="Q850" s="315"/>
      <c r="R850" s="315"/>
      <c r="S850" s="315"/>
      <c r="T850" s="315"/>
      <c r="U850" s="315"/>
      <c r="V850" s="315"/>
      <c r="W850" s="315"/>
      <c r="X850" s="315"/>
      <c r="Y850" s="315"/>
      <c r="Z850" s="315"/>
      <c r="AA850" s="315"/>
      <c r="AB850" s="315"/>
      <c r="AC850" s="315"/>
      <c r="AD850" s="315"/>
      <c r="AE850" s="315"/>
      <c r="AF850" s="315"/>
      <c r="AG850" s="315"/>
      <c r="AH850" s="315"/>
      <c r="AI850" s="315"/>
      <c r="AJ850" s="315"/>
      <c r="AK850" s="315"/>
      <c r="AL850" s="315"/>
      <c r="AM850" s="315"/>
      <c r="AN850" s="315"/>
    </row>
    <row r="851">
      <c r="A851" s="315"/>
      <c r="B851" s="315"/>
      <c r="C851" s="315"/>
      <c r="D851" s="315"/>
      <c r="E851" s="315"/>
      <c r="F851" s="315"/>
      <c r="G851" s="315"/>
      <c r="H851" s="315"/>
      <c r="I851" s="315"/>
      <c r="J851" s="315"/>
      <c r="K851" s="315"/>
      <c r="L851" s="315"/>
      <c r="M851" s="315"/>
      <c r="N851" s="315"/>
      <c r="O851" s="315"/>
      <c r="P851" s="315"/>
      <c r="Q851" s="315"/>
      <c r="R851" s="315"/>
      <c r="S851" s="315"/>
      <c r="T851" s="315"/>
      <c r="U851" s="315"/>
      <c r="V851" s="315"/>
      <c r="W851" s="315"/>
      <c r="X851" s="315"/>
      <c r="Y851" s="315"/>
      <c r="Z851" s="315"/>
      <c r="AA851" s="315"/>
      <c r="AB851" s="315"/>
      <c r="AC851" s="315"/>
      <c r="AD851" s="315"/>
      <c r="AE851" s="315"/>
      <c r="AF851" s="315"/>
      <c r="AG851" s="315"/>
      <c r="AH851" s="315"/>
      <c r="AI851" s="315"/>
      <c r="AJ851" s="315"/>
      <c r="AK851" s="315"/>
      <c r="AL851" s="315"/>
      <c r="AM851" s="315"/>
      <c r="AN851" s="315"/>
    </row>
    <row r="852">
      <c r="A852" s="315"/>
      <c r="B852" s="315"/>
      <c r="C852" s="315"/>
      <c r="D852" s="315"/>
      <c r="E852" s="315"/>
      <c r="F852" s="315"/>
      <c r="G852" s="315"/>
      <c r="H852" s="315"/>
      <c r="I852" s="315"/>
      <c r="J852" s="315"/>
      <c r="K852" s="315"/>
      <c r="L852" s="315"/>
      <c r="M852" s="315"/>
      <c r="N852" s="315"/>
      <c r="O852" s="315"/>
      <c r="P852" s="315"/>
      <c r="Q852" s="315"/>
      <c r="R852" s="315"/>
      <c r="S852" s="315"/>
      <c r="T852" s="315"/>
      <c r="U852" s="315"/>
      <c r="V852" s="315"/>
      <c r="W852" s="315"/>
      <c r="X852" s="315"/>
      <c r="Y852" s="315"/>
      <c r="Z852" s="315"/>
      <c r="AA852" s="315"/>
      <c r="AB852" s="315"/>
      <c r="AC852" s="315"/>
      <c r="AD852" s="315"/>
      <c r="AE852" s="315"/>
      <c r="AF852" s="315"/>
      <c r="AG852" s="315"/>
      <c r="AH852" s="315"/>
      <c r="AI852" s="315"/>
      <c r="AJ852" s="315"/>
      <c r="AK852" s="315"/>
      <c r="AL852" s="315"/>
      <c r="AM852" s="315"/>
      <c r="AN852" s="315"/>
    </row>
    <row r="853">
      <c r="A853" s="315"/>
      <c r="B853" s="315"/>
      <c r="C853" s="315"/>
      <c r="D853" s="315"/>
      <c r="E853" s="315"/>
      <c r="F853" s="315"/>
      <c r="G853" s="315"/>
      <c r="H853" s="315"/>
      <c r="I853" s="315"/>
      <c r="J853" s="315"/>
      <c r="K853" s="315"/>
      <c r="L853" s="315"/>
      <c r="M853" s="315"/>
      <c r="N853" s="315"/>
      <c r="O853" s="315"/>
      <c r="P853" s="315"/>
      <c r="Q853" s="315"/>
      <c r="R853" s="315"/>
      <c r="S853" s="315"/>
      <c r="T853" s="315"/>
      <c r="U853" s="315"/>
      <c r="V853" s="315"/>
      <c r="W853" s="315"/>
      <c r="X853" s="315"/>
      <c r="Y853" s="315"/>
      <c r="Z853" s="315"/>
      <c r="AA853" s="315"/>
      <c r="AB853" s="315"/>
      <c r="AC853" s="315"/>
      <c r="AD853" s="315"/>
      <c r="AE853" s="315"/>
      <c r="AF853" s="315"/>
      <c r="AG853" s="315"/>
      <c r="AH853" s="315"/>
      <c r="AI853" s="315"/>
      <c r="AJ853" s="315"/>
      <c r="AK853" s="315"/>
      <c r="AL853" s="315"/>
      <c r="AM853" s="315"/>
      <c r="AN853" s="315"/>
    </row>
    <row r="854">
      <c r="A854" s="315"/>
      <c r="B854" s="315"/>
      <c r="C854" s="315"/>
      <c r="D854" s="315"/>
      <c r="E854" s="315"/>
      <c r="F854" s="315"/>
      <c r="G854" s="315"/>
      <c r="H854" s="315"/>
      <c r="I854" s="315"/>
      <c r="J854" s="315"/>
      <c r="K854" s="315"/>
      <c r="L854" s="315"/>
      <c r="M854" s="315"/>
      <c r="N854" s="315"/>
      <c r="O854" s="315"/>
      <c r="P854" s="315"/>
      <c r="Q854" s="315"/>
      <c r="R854" s="315"/>
      <c r="S854" s="315"/>
      <c r="T854" s="315"/>
      <c r="U854" s="315"/>
      <c r="V854" s="315"/>
      <c r="W854" s="315"/>
      <c r="X854" s="315"/>
      <c r="Y854" s="315"/>
      <c r="Z854" s="315"/>
      <c r="AA854" s="315"/>
      <c r="AB854" s="315"/>
      <c r="AC854" s="315"/>
      <c r="AD854" s="315"/>
      <c r="AE854" s="315"/>
      <c r="AF854" s="315"/>
      <c r="AG854" s="315"/>
      <c r="AH854" s="315"/>
      <c r="AI854" s="315"/>
      <c r="AJ854" s="315"/>
      <c r="AK854" s="315"/>
      <c r="AL854" s="315"/>
      <c r="AM854" s="315"/>
      <c r="AN854" s="315"/>
    </row>
    <row r="855">
      <c r="A855" s="315"/>
      <c r="B855" s="315"/>
      <c r="C855" s="315"/>
      <c r="D855" s="315"/>
      <c r="E855" s="315"/>
      <c r="F855" s="315"/>
      <c r="G855" s="315"/>
      <c r="H855" s="315"/>
      <c r="I855" s="315"/>
      <c r="J855" s="315"/>
      <c r="K855" s="315"/>
      <c r="L855" s="315"/>
      <c r="M855" s="315"/>
      <c r="N855" s="315"/>
      <c r="O855" s="315"/>
      <c r="P855" s="315"/>
      <c r="Q855" s="315"/>
      <c r="R855" s="315"/>
      <c r="S855" s="315"/>
      <c r="T855" s="315"/>
      <c r="U855" s="315"/>
      <c r="V855" s="315"/>
      <c r="W855" s="315"/>
      <c r="X855" s="315"/>
      <c r="Y855" s="315"/>
      <c r="Z855" s="315"/>
      <c r="AA855" s="315"/>
      <c r="AB855" s="315"/>
      <c r="AC855" s="315"/>
      <c r="AD855" s="315"/>
      <c r="AE855" s="315"/>
      <c r="AF855" s="315"/>
      <c r="AG855" s="315"/>
      <c r="AH855" s="315"/>
      <c r="AI855" s="315"/>
      <c r="AJ855" s="315"/>
      <c r="AK855" s="315"/>
      <c r="AL855" s="315"/>
      <c r="AM855" s="315"/>
      <c r="AN855" s="315"/>
    </row>
    <row r="856">
      <c r="A856" s="315"/>
      <c r="B856" s="315"/>
      <c r="C856" s="315"/>
      <c r="D856" s="315"/>
      <c r="E856" s="315"/>
      <c r="F856" s="315"/>
      <c r="G856" s="315"/>
      <c r="H856" s="315"/>
      <c r="I856" s="315"/>
      <c r="J856" s="315"/>
      <c r="K856" s="315"/>
      <c r="L856" s="315"/>
      <c r="M856" s="315"/>
      <c r="N856" s="315"/>
      <c r="O856" s="315"/>
      <c r="P856" s="315"/>
      <c r="Q856" s="315"/>
      <c r="R856" s="315"/>
      <c r="S856" s="315"/>
      <c r="T856" s="315"/>
      <c r="U856" s="315"/>
      <c r="V856" s="315"/>
      <c r="W856" s="315"/>
      <c r="X856" s="315"/>
      <c r="Y856" s="315"/>
      <c r="Z856" s="315"/>
      <c r="AA856" s="315"/>
      <c r="AB856" s="315"/>
      <c r="AC856" s="315"/>
      <c r="AD856" s="315"/>
      <c r="AE856" s="315"/>
      <c r="AF856" s="315"/>
      <c r="AG856" s="315"/>
      <c r="AH856" s="315"/>
      <c r="AI856" s="315"/>
      <c r="AJ856" s="315"/>
      <c r="AK856" s="315"/>
      <c r="AL856" s="315"/>
      <c r="AM856" s="315"/>
      <c r="AN856" s="315"/>
    </row>
    <row r="857">
      <c r="A857" s="315"/>
      <c r="B857" s="315"/>
      <c r="C857" s="315"/>
      <c r="D857" s="315"/>
      <c r="E857" s="315"/>
      <c r="F857" s="315"/>
      <c r="G857" s="315"/>
      <c r="H857" s="315"/>
      <c r="I857" s="315"/>
      <c r="J857" s="315"/>
      <c r="K857" s="315"/>
      <c r="L857" s="315"/>
      <c r="M857" s="315"/>
      <c r="N857" s="315"/>
      <c r="O857" s="315"/>
      <c r="P857" s="315"/>
      <c r="Q857" s="315"/>
      <c r="R857" s="315"/>
      <c r="S857" s="315"/>
      <c r="T857" s="315"/>
      <c r="U857" s="315"/>
      <c r="V857" s="315"/>
      <c r="W857" s="315"/>
      <c r="X857" s="315"/>
      <c r="Y857" s="315"/>
      <c r="Z857" s="315"/>
      <c r="AA857" s="315"/>
      <c r="AB857" s="315"/>
      <c r="AC857" s="315"/>
      <c r="AD857" s="315"/>
      <c r="AE857" s="315"/>
      <c r="AF857" s="315"/>
      <c r="AG857" s="315"/>
      <c r="AH857" s="315"/>
      <c r="AI857" s="315"/>
      <c r="AJ857" s="315"/>
      <c r="AK857" s="315"/>
      <c r="AL857" s="315"/>
      <c r="AM857" s="315"/>
      <c r="AN857" s="315"/>
    </row>
    <row r="858">
      <c r="A858" s="315"/>
      <c r="B858" s="315"/>
      <c r="C858" s="315"/>
      <c r="D858" s="315"/>
      <c r="E858" s="315"/>
      <c r="F858" s="315"/>
      <c r="G858" s="315"/>
      <c r="H858" s="315"/>
      <c r="I858" s="315"/>
      <c r="J858" s="315"/>
      <c r="K858" s="315"/>
      <c r="L858" s="315"/>
      <c r="M858" s="315"/>
      <c r="N858" s="315"/>
      <c r="O858" s="315"/>
      <c r="P858" s="315"/>
      <c r="Q858" s="315"/>
      <c r="R858" s="315"/>
      <c r="S858" s="315"/>
      <c r="T858" s="315"/>
      <c r="U858" s="315"/>
      <c r="V858" s="315"/>
      <c r="W858" s="315"/>
      <c r="X858" s="315"/>
      <c r="Y858" s="315"/>
      <c r="Z858" s="315"/>
      <c r="AA858" s="315"/>
      <c r="AB858" s="315"/>
      <c r="AC858" s="315"/>
      <c r="AD858" s="315"/>
      <c r="AE858" s="315"/>
      <c r="AF858" s="315"/>
      <c r="AG858" s="315"/>
      <c r="AH858" s="315"/>
      <c r="AI858" s="315"/>
      <c r="AJ858" s="315"/>
      <c r="AK858" s="315"/>
      <c r="AL858" s="315"/>
      <c r="AM858" s="315"/>
      <c r="AN858" s="315"/>
    </row>
    <row r="859">
      <c r="A859" s="315"/>
      <c r="B859" s="315"/>
      <c r="C859" s="315"/>
      <c r="D859" s="315"/>
      <c r="E859" s="315"/>
      <c r="F859" s="315"/>
      <c r="G859" s="315"/>
      <c r="H859" s="315"/>
      <c r="I859" s="315"/>
      <c r="J859" s="315"/>
      <c r="K859" s="315"/>
      <c r="L859" s="315"/>
      <c r="M859" s="315"/>
      <c r="N859" s="315"/>
      <c r="O859" s="315"/>
      <c r="P859" s="315"/>
      <c r="Q859" s="315"/>
      <c r="R859" s="315"/>
      <c r="S859" s="315"/>
      <c r="T859" s="315"/>
      <c r="U859" s="315"/>
      <c r="V859" s="315"/>
      <c r="W859" s="315"/>
      <c r="X859" s="315"/>
      <c r="Y859" s="315"/>
      <c r="Z859" s="315"/>
      <c r="AA859" s="315"/>
      <c r="AB859" s="315"/>
      <c r="AC859" s="315"/>
      <c r="AD859" s="315"/>
      <c r="AE859" s="315"/>
      <c r="AF859" s="315"/>
      <c r="AG859" s="315"/>
      <c r="AH859" s="315"/>
      <c r="AI859" s="315"/>
      <c r="AJ859" s="315"/>
      <c r="AK859" s="315"/>
      <c r="AL859" s="315"/>
      <c r="AM859" s="315"/>
      <c r="AN859" s="315"/>
    </row>
    <row r="860">
      <c r="A860" s="315"/>
      <c r="B860" s="315"/>
      <c r="C860" s="315"/>
      <c r="D860" s="315"/>
      <c r="E860" s="315"/>
      <c r="F860" s="315"/>
      <c r="G860" s="315"/>
      <c r="H860" s="315"/>
      <c r="I860" s="315"/>
      <c r="J860" s="315"/>
      <c r="K860" s="315"/>
      <c r="L860" s="315"/>
      <c r="M860" s="315"/>
      <c r="N860" s="315"/>
      <c r="O860" s="315"/>
      <c r="P860" s="315"/>
      <c r="Q860" s="315"/>
      <c r="R860" s="315"/>
      <c r="S860" s="315"/>
      <c r="T860" s="315"/>
      <c r="U860" s="315"/>
      <c r="V860" s="315"/>
      <c r="W860" s="315"/>
      <c r="X860" s="315"/>
      <c r="Y860" s="315"/>
      <c r="Z860" s="315"/>
      <c r="AA860" s="315"/>
      <c r="AB860" s="315"/>
      <c r="AC860" s="315"/>
      <c r="AD860" s="315"/>
      <c r="AE860" s="315"/>
      <c r="AF860" s="315"/>
      <c r="AG860" s="315"/>
      <c r="AH860" s="315"/>
      <c r="AI860" s="315"/>
      <c r="AJ860" s="315"/>
      <c r="AK860" s="315"/>
      <c r="AL860" s="315"/>
      <c r="AM860" s="315"/>
      <c r="AN860" s="315"/>
    </row>
    <row r="861">
      <c r="A861" s="315"/>
      <c r="B861" s="315"/>
      <c r="C861" s="315"/>
      <c r="D861" s="315"/>
      <c r="E861" s="315"/>
      <c r="F861" s="315"/>
      <c r="G861" s="315"/>
      <c r="H861" s="315"/>
      <c r="I861" s="315"/>
      <c r="J861" s="315"/>
      <c r="K861" s="315"/>
      <c r="L861" s="315"/>
      <c r="M861" s="315"/>
      <c r="N861" s="315"/>
      <c r="O861" s="315"/>
      <c r="P861" s="315"/>
      <c r="Q861" s="315"/>
      <c r="R861" s="315"/>
      <c r="S861" s="315"/>
      <c r="T861" s="315"/>
      <c r="U861" s="315"/>
      <c r="V861" s="315"/>
      <c r="W861" s="315"/>
      <c r="X861" s="315"/>
      <c r="Y861" s="315"/>
      <c r="Z861" s="315"/>
      <c r="AA861" s="315"/>
      <c r="AB861" s="315"/>
      <c r="AC861" s="315"/>
      <c r="AD861" s="315"/>
      <c r="AE861" s="315"/>
      <c r="AF861" s="315"/>
      <c r="AG861" s="315"/>
      <c r="AH861" s="315"/>
      <c r="AI861" s="315"/>
      <c r="AJ861" s="315"/>
      <c r="AK861" s="315"/>
      <c r="AL861" s="315"/>
      <c r="AM861" s="315"/>
      <c r="AN861" s="315"/>
    </row>
    <row r="862">
      <c r="A862" s="315"/>
      <c r="B862" s="315"/>
      <c r="C862" s="315"/>
      <c r="D862" s="315"/>
      <c r="E862" s="315"/>
      <c r="F862" s="315"/>
      <c r="G862" s="315"/>
      <c r="H862" s="315"/>
      <c r="I862" s="315"/>
      <c r="J862" s="315"/>
      <c r="K862" s="315"/>
      <c r="L862" s="315"/>
      <c r="M862" s="315"/>
      <c r="N862" s="315"/>
      <c r="O862" s="315"/>
      <c r="P862" s="315"/>
      <c r="Q862" s="315"/>
      <c r="R862" s="315"/>
      <c r="S862" s="315"/>
      <c r="T862" s="315"/>
      <c r="U862" s="315"/>
      <c r="V862" s="315"/>
      <c r="W862" s="315"/>
      <c r="X862" s="315"/>
      <c r="Y862" s="315"/>
      <c r="Z862" s="315"/>
      <c r="AA862" s="315"/>
      <c r="AB862" s="315"/>
      <c r="AC862" s="315"/>
      <c r="AD862" s="315"/>
      <c r="AE862" s="315"/>
      <c r="AF862" s="315"/>
      <c r="AG862" s="315"/>
      <c r="AH862" s="315"/>
      <c r="AI862" s="315"/>
      <c r="AJ862" s="315"/>
      <c r="AK862" s="315"/>
      <c r="AL862" s="315"/>
      <c r="AM862" s="315"/>
      <c r="AN862" s="315"/>
    </row>
    <row r="863">
      <c r="A863" s="315"/>
      <c r="B863" s="315"/>
      <c r="C863" s="315"/>
      <c r="D863" s="315"/>
      <c r="E863" s="315"/>
      <c r="F863" s="315"/>
      <c r="G863" s="315"/>
      <c r="H863" s="315"/>
      <c r="I863" s="315"/>
      <c r="J863" s="315"/>
      <c r="K863" s="315"/>
      <c r="L863" s="315"/>
      <c r="M863" s="315"/>
      <c r="N863" s="315"/>
      <c r="O863" s="315"/>
      <c r="P863" s="315"/>
      <c r="Q863" s="315"/>
      <c r="R863" s="315"/>
      <c r="S863" s="315"/>
      <c r="T863" s="315"/>
      <c r="U863" s="315"/>
      <c r="V863" s="315"/>
      <c r="W863" s="315"/>
      <c r="X863" s="315"/>
      <c r="Y863" s="315"/>
      <c r="Z863" s="315"/>
      <c r="AA863" s="315"/>
      <c r="AB863" s="315"/>
      <c r="AC863" s="315"/>
      <c r="AD863" s="315"/>
      <c r="AE863" s="315"/>
      <c r="AF863" s="315"/>
      <c r="AG863" s="315"/>
      <c r="AH863" s="315"/>
      <c r="AI863" s="315"/>
      <c r="AJ863" s="315"/>
      <c r="AK863" s="315"/>
      <c r="AL863" s="315"/>
      <c r="AM863" s="315"/>
      <c r="AN863" s="315"/>
    </row>
    <row r="864">
      <c r="A864" s="315"/>
      <c r="B864" s="315"/>
      <c r="C864" s="315"/>
      <c r="D864" s="315"/>
      <c r="E864" s="315"/>
      <c r="F864" s="315"/>
      <c r="G864" s="315"/>
      <c r="H864" s="315"/>
      <c r="I864" s="315"/>
      <c r="J864" s="315"/>
      <c r="K864" s="315"/>
      <c r="L864" s="315"/>
      <c r="M864" s="315"/>
      <c r="N864" s="315"/>
      <c r="O864" s="315"/>
      <c r="P864" s="315"/>
      <c r="Q864" s="315"/>
      <c r="R864" s="315"/>
      <c r="S864" s="315"/>
      <c r="T864" s="315"/>
      <c r="U864" s="315"/>
      <c r="V864" s="315"/>
      <c r="W864" s="315"/>
      <c r="X864" s="315"/>
      <c r="Y864" s="315"/>
      <c r="Z864" s="315"/>
      <c r="AA864" s="315"/>
      <c r="AB864" s="315"/>
      <c r="AC864" s="315"/>
      <c r="AD864" s="315"/>
      <c r="AE864" s="315"/>
      <c r="AF864" s="315"/>
      <c r="AG864" s="315"/>
      <c r="AH864" s="315"/>
      <c r="AI864" s="315"/>
      <c r="AJ864" s="315"/>
      <c r="AK864" s="315"/>
      <c r="AL864" s="315"/>
      <c r="AM864" s="315"/>
      <c r="AN864" s="315"/>
    </row>
    <row r="865">
      <c r="A865" s="315"/>
      <c r="B865" s="315"/>
      <c r="C865" s="315"/>
      <c r="D865" s="315"/>
      <c r="E865" s="315"/>
      <c r="F865" s="315"/>
      <c r="G865" s="315"/>
      <c r="H865" s="315"/>
      <c r="I865" s="315"/>
      <c r="J865" s="315"/>
      <c r="K865" s="315"/>
      <c r="L865" s="315"/>
      <c r="M865" s="315"/>
      <c r="N865" s="315"/>
      <c r="O865" s="315"/>
      <c r="P865" s="315"/>
      <c r="Q865" s="315"/>
      <c r="R865" s="315"/>
      <c r="S865" s="315"/>
      <c r="T865" s="315"/>
      <c r="U865" s="315"/>
      <c r="V865" s="315"/>
      <c r="W865" s="315"/>
      <c r="X865" s="315"/>
      <c r="Y865" s="315"/>
      <c r="Z865" s="315"/>
      <c r="AA865" s="315"/>
      <c r="AB865" s="315"/>
      <c r="AC865" s="315"/>
      <c r="AD865" s="315"/>
      <c r="AE865" s="315"/>
      <c r="AF865" s="315"/>
      <c r="AG865" s="315"/>
      <c r="AH865" s="315"/>
      <c r="AI865" s="315"/>
      <c r="AJ865" s="315"/>
      <c r="AK865" s="315"/>
      <c r="AL865" s="315"/>
      <c r="AM865" s="315"/>
      <c r="AN865" s="315"/>
    </row>
    <row r="866">
      <c r="A866" s="315"/>
      <c r="B866" s="315"/>
      <c r="C866" s="315"/>
      <c r="D866" s="315"/>
      <c r="E866" s="315"/>
      <c r="F866" s="315"/>
      <c r="G866" s="315"/>
      <c r="H866" s="315"/>
      <c r="I866" s="315"/>
      <c r="J866" s="315"/>
      <c r="K866" s="315"/>
      <c r="L866" s="315"/>
      <c r="M866" s="315"/>
      <c r="N866" s="315"/>
      <c r="O866" s="315"/>
      <c r="P866" s="315"/>
      <c r="Q866" s="315"/>
      <c r="R866" s="315"/>
      <c r="S866" s="315"/>
      <c r="T866" s="315"/>
      <c r="U866" s="315"/>
      <c r="V866" s="315"/>
      <c r="W866" s="315"/>
      <c r="X866" s="315"/>
      <c r="Y866" s="315"/>
      <c r="Z866" s="315"/>
      <c r="AA866" s="315"/>
      <c r="AB866" s="315"/>
      <c r="AC866" s="315"/>
      <c r="AD866" s="315"/>
      <c r="AE866" s="315"/>
      <c r="AF866" s="315"/>
      <c r="AG866" s="315"/>
      <c r="AH866" s="315"/>
      <c r="AI866" s="315"/>
      <c r="AJ866" s="315"/>
      <c r="AK866" s="315"/>
      <c r="AL866" s="315"/>
      <c r="AM866" s="315"/>
      <c r="AN866" s="315"/>
    </row>
    <row r="867">
      <c r="A867" s="315"/>
      <c r="B867" s="315"/>
      <c r="C867" s="315"/>
      <c r="D867" s="315"/>
      <c r="E867" s="315"/>
      <c r="F867" s="315"/>
      <c r="G867" s="315"/>
      <c r="H867" s="315"/>
      <c r="I867" s="315"/>
      <c r="J867" s="315"/>
      <c r="K867" s="315"/>
      <c r="L867" s="315"/>
      <c r="M867" s="315"/>
      <c r="N867" s="315"/>
      <c r="O867" s="315"/>
      <c r="P867" s="315"/>
      <c r="Q867" s="315"/>
      <c r="R867" s="315"/>
      <c r="S867" s="315"/>
      <c r="T867" s="315"/>
      <c r="U867" s="315"/>
      <c r="V867" s="315"/>
      <c r="W867" s="315"/>
      <c r="X867" s="315"/>
      <c r="Y867" s="315"/>
      <c r="Z867" s="315"/>
      <c r="AA867" s="315"/>
      <c r="AB867" s="315"/>
      <c r="AC867" s="315"/>
      <c r="AD867" s="315"/>
      <c r="AE867" s="315"/>
      <c r="AF867" s="315"/>
      <c r="AG867" s="315"/>
      <c r="AH867" s="315"/>
      <c r="AI867" s="315"/>
      <c r="AJ867" s="315"/>
      <c r="AK867" s="315"/>
      <c r="AL867" s="315"/>
      <c r="AM867" s="315"/>
      <c r="AN867" s="315"/>
    </row>
    <row r="868">
      <c r="A868" s="315"/>
      <c r="B868" s="315"/>
      <c r="C868" s="315"/>
      <c r="D868" s="315"/>
      <c r="E868" s="315"/>
      <c r="F868" s="315"/>
      <c r="G868" s="315"/>
      <c r="H868" s="315"/>
      <c r="I868" s="315"/>
      <c r="J868" s="315"/>
      <c r="K868" s="315"/>
      <c r="L868" s="315"/>
      <c r="M868" s="315"/>
      <c r="N868" s="315"/>
      <c r="O868" s="315"/>
      <c r="P868" s="315"/>
      <c r="Q868" s="315"/>
      <c r="R868" s="315"/>
      <c r="S868" s="315"/>
      <c r="T868" s="315"/>
      <c r="U868" s="315"/>
      <c r="V868" s="315"/>
      <c r="W868" s="315"/>
      <c r="X868" s="315"/>
      <c r="Y868" s="315"/>
      <c r="Z868" s="315"/>
      <c r="AA868" s="315"/>
      <c r="AB868" s="315"/>
      <c r="AC868" s="315"/>
      <c r="AD868" s="315"/>
      <c r="AE868" s="315"/>
      <c r="AF868" s="315"/>
      <c r="AG868" s="315"/>
      <c r="AH868" s="315"/>
      <c r="AI868" s="315"/>
      <c r="AJ868" s="315"/>
      <c r="AK868" s="315"/>
      <c r="AL868" s="315"/>
      <c r="AM868" s="315"/>
      <c r="AN868" s="315"/>
    </row>
    <row r="869">
      <c r="A869" s="315"/>
      <c r="B869" s="315"/>
      <c r="C869" s="315"/>
      <c r="D869" s="315"/>
      <c r="E869" s="315"/>
      <c r="F869" s="315"/>
      <c r="G869" s="315"/>
      <c r="H869" s="315"/>
      <c r="I869" s="315"/>
      <c r="J869" s="315"/>
      <c r="K869" s="315"/>
      <c r="L869" s="315"/>
      <c r="M869" s="315"/>
      <c r="N869" s="315"/>
      <c r="O869" s="315"/>
      <c r="P869" s="315"/>
      <c r="Q869" s="315"/>
      <c r="R869" s="315"/>
      <c r="S869" s="315"/>
      <c r="T869" s="315"/>
      <c r="U869" s="315"/>
      <c r="V869" s="315"/>
      <c r="W869" s="315"/>
      <c r="X869" s="315"/>
      <c r="Y869" s="315"/>
      <c r="Z869" s="315"/>
      <c r="AA869" s="315"/>
      <c r="AB869" s="315"/>
      <c r="AC869" s="315"/>
      <c r="AD869" s="315"/>
      <c r="AE869" s="315"/>
      <c r="AF869" s="315"/>
      <c r="AG869" s="315"/>
      <c r="AH869" s="315"/>
      <c r="AI869" s="315"/>
      <c r="AJ869" s="315"/>
      <c r="AK869" s="315"/>
      <c r="AL869" s="315"/>
      <c r="AM869" s="315"/>
      <c r="AN869" s="315"/>
    </row>
    <row r="870">
      <c r="A870" s="315"/>
      <c r="B870" s="315"/>
      <c r="C870" s="315"/>
      <c r="D870" s="315"/>
      <c r="E870" s="315"/>
      <c r="F870" s="315"/>
      <c r="G870" s="315"/>
      <c r="H870" s="315"/>
      <c r="I870" s="315"/>
      <c r="J870" s="315"/>
      <c r="K870" s="315"/>
      <c r="L870" s="315"/>
      <c r="M870" s="315"/>
      <c r="N870" s="315"/>
      <c r="O870" s="315"/>
      <c r="P870" s="315"/>
      <c r="Q870" s="315"/>
      <c r="R870" s="315"/>
      <c r="S870" s="315"/>
      <c r="T870" s="315"/>
      <c r="U870" s="315"/>
      <c r="V870" s="315"/>
      <c r="W870" s="315"/>
      <c r="X870" s="315"/>
      <c r="Y870" s="315"/>
      <c r="Z870" s="315"/>
      <c r="AA870" s="315"/>
      <c r="AB870" s="315"/>
      <c r="AC870" s="315"/>
      <c r="AD870" s="315"/>
      <c r="AE870" s="315"/>
      <c r="AF870" s="315"/>
      <c r="AG870" s="315"/>
      <c r="AH870" s="315"/>
      <c r="AI870" s="315"/>
      <c r="AJ870" s="315"/>
      <c r="AK870" s="315"/>
      <c r="AL870" s="315"/>
      <c r="AM870" s="315"/>
      <c r="AN870" s="315"/>
    </row>
    <row r="871">
      <c r="A871" s="315"/>
      <c r="B871" s="315"/>
      <c r="C871" s="315"/>
      <c r="D871" s="315"/>
      <c r="E871" s="315"/>
      <c r="F871" s="315"/>
      <c r="G871" s="315"/>
      <c r="H871" s="315"/>
      <c r="I871" s="315"/>
      <c r="J871" s="315"/>
      <c r="K871" s="315"/>
      <c r="L871" s="315"/>
      <c r="M871" s="315"/>
      <c r="N871" s="315"/>
      <c r="O871" s="315"/>
      <c r="P871" s="315"/>
      <c r="Q871" s="315"/>
      <c r="R871" s="315"/>
      <c r="S871" s="315"/>
      <c r="T871" s="315"/>
      <c r="U871" s="315"/>
      <c r="V871" s="315"/>
      <c r="W871" s="315"/>
      <c r="X871" s="315"/>
      <c r="Y871" s="315"/>
      <c r="Z871" s="315"/>
      <c r="AA871" s="315"/>
      <c r="AB871" s="315"/>
      <c r="AC871" s="315"/>
      <c r="AD871" s="315"/>
      <c r="AE871" s="315"/>
      <c r="AF871" s="315"/>
      <c r="AG871" s="315"/>
      <c r="AH871" s="315"/>
      <c r="AI871" s="315"/>
      <c r="AJ871" s="315"/>
      <c r="AK871" s="315"/>
      <c r="AL871" s="315"/>
      <c r="AM871" s="315"/>
      <c r="AN871" s="315"/>
    </row>
    <row r="872">
      <c r="A872" s="315"/>
      <c r="B872" s="315"/>
      <c r="C872" s="315"/>
      <c r="D872" s="315"/>
      <c r="E872" s="315"/>
      <c r="F872" s="315"/>
      <c r="G872" s="315"/>
      <c r="H872" s="315"/>
      <c r="I872" s="315"/>
      <c r="J872" s="315"/>
      <c r="K872" s="315"/>
      <c r="L872" s="315"/>
      <c r="M872" s="315"/>
      <c r="N872" s="315"/>
      <c r="O872" s="315"/>
      <c r="P872" s="315"/>
      <c r="Q872" s="315"/>
      <c r="R872" s="315"/>
      <c r="S872" s="315"/>
      <c r="T872" s="315"/>
      <c r="U872" s="315"/>
      <c r="V872" s="315"/>
      <c r="W872" s="315"/>
      <c r="X872" s="315"/>
      <c r="Y872" s="315"/>
      <c r="Z872" s="315"/>
      <c r="AA872" s="315"/>
      <c r="AB872" s="315"/>
      <c r="AC872" s="315"/>
      <c r="AD872" s="315"/>
      <c r="AE872" s="315"/>
      <c r="AF872" s="315"/>
      <c r="AG872" s="315"/>
      <c r="AH872" s="315"/>
      <c r="AI872" s="315"/>
      <c r="AJ872" s="315"/>
      <c r="AK872" s="315"/>
      <c r="AL872" s="315"/>
      <c r="AM872" s="315"/>
      <c r="AN872" s="315"/>
    </row>
    <row r="873">
      <c r="A873" s="315"/>
      <c r="B873" s="315"/>
      <c r="C873" s="315"/>
      <c r="D873" s="315"/>
      <c r="E873" s="315"/>
      <c r="F873" s="315"/>
      <c r="G873" s="315"/>
      <c r="H873" s="315"/>
      <c r="I873" s="315"/>
      <c r="J873" s="315"/>
      <c r="K873" s="315"/>
      <c r="L873" s="315"/>
      <c r="M873" s="315"/>
      <c r="N873" s="315"/>
      <c r="O873" s="315"/>
      <c r="P873" s="315"/>
      <c r="Q873" s="315"/>
      <c r="R873" s="315"/>
      <c r="S873" s="315"/>
      <c r="T873" s="315"/>
      <c r="U873" s="315"/>
      <c r="V873" s="315"/>
      <c r="W873" s="315"/>
      <c r="X873" s="315"/>
      <c r="Y873" s="315"/>
      <c r="Z873" s="315"/>
      <c r="AA873" s="315"/>
      <c r="AB873" s="315"/>
      <c r="AC873" s="315"/>
      <c r="AD873" s="315"/>
      <c r="AE873" s="315"/>
      <c r="AF873" s="315"/>
      <c r="AG873" s="315"/>
      <c r="AH873" s="315"/>
      <c r="AI873" s="315"/>
      <c r="AJ873" s="315"/>
      <c r="AK873" s="315"/>
      <c r="AL873" s="315"/>
      <c r="AM873" s="315"/>
      <c r="AN873" s="315"/>
    </row>
    <row r="874">
      <c r="A874" s="315"/>
      <c r="B874" s="315"/>
      <c r="C874" s="315"/>
      <c r="D874" s="315"/>
      <c r="E874" s="315"/>
      <c r="F874" s="315"/>
      <c r="G874" s="315"/>
      <c r="H874" s="315"/>
      <c r="I874" s="315"/>
      <c r="J874" s="315"/>
      <c r="K874" s="315"/>
      <c r="L874" s="315"/>
      <c r="M874" s="315"/>
      <c r="N874" s="315"/>
      <c r="O874" s="315"/>
      <c r="P874" s="315"/>
      <c r="Q874" s="315"/>
      <c r="R874" s="315"/>
      <c r="S874" s="315"/>
      <c r="T874" s="315"/>
      <c r="U874" s="315"/>
      <c r="V874" s="315"/>
      <c r="W874" s="315"/>
      <c r="X874" s="315"/>
      <c r="Y874" s="315"/>
      <c r="Z874" s="315"/>
      <c r="AA874" s="315"/>
      <c r="AB874" s="315"/>
      <c r="AC874" s="315"/>
      <c r="AD874" s="315"/>
      <c r="AE874" s="315"/>
      <c r="AF874" s="315"/>
      <c r="AG874" s="315"/>
      <c r="AH874" s="315"/>
      <c r="AI874" s="315"/>
      <c r="AJ874" s="315"/>
      <c r="AK874" s="315"/>
      <c r="AL874" s="315"/>
      <c r="AM874" s="315"/>
      <c r="AN874" s="315"/>
    </row>
    <row r="875">
      <c r="A875" s="315"/>
      <c r="B875" s="315"/>
      <c r="C875" s="315"/>
      <c r="D875" s="315"/>
      <c r="E875" s="315"/>
      <c r="F875" s="315"/>
      <c r="G875" s="315"/>
      <c r="H875" s="315"/>
      <c r="I875" s="315"/>
      <c r="J875" s="315"/>
      <c r="K875" s="315"/>
      <c r="L875" s="315"/>
      <c r="M875" s="315"/>
      <c r="N875" s="315"/>
      <c r="O875" s="315"/>
      <c r="P875" s="315"/>
      <c r="Q875" s="315"/>
      <c r="R875" s="315"/>
      <c r="S875" s="315"/>
      <c r="T875" s="315"/>
      <c r="U875" s="315"/>
      <c r="V875" s="315"/>
      <c r="W875" s="315"/>
      <c r="X875" s="315"/>
      <c r="Y875" s="315"/>
      <c r="Z875" s="315"/>
      <c r="AA875" s="315"/>
      <c r="AB875" s="315"/>
      <c r="AC875" s="315"/>
      <c r="AD875" s="315"/>
      <c r="AE875" s="315"/>
      <c r="AF875" s="315"/>
      <c r="AG875" s="315"/>
      <c r="AH875" s="315"/>
      <c r="AI875" s="315"/>
      <c r="AJ875" s="315"/>
      <c r="AK875" s="315"/>
      <c r="AL875" s="315"/>
      <c r="AM875" s="315"/>
      <c r="AN875" s="315"/>
    </row>
    <row r="876">
      <c r="A876" s="315"/>
      <c r="B876" s="315"/>
      <c r="C876" s="315"/>
      <c r="D876" s="315"/>
      <c r="E876" s="315"/>
      <c r="F876" s="315"/>
      <c r="G876" s="315"/>
      <c r="H876" s="315"/>
      <c r="I876" s="315"/>
      <c r="J876" s="315"/>
      <c r="K876" s="315"/>
      <c r="L876" s="315"/>
      <c r="M876" s="315"/>
      <c r="N876" s="315"/>
      <c r="O876" s="315"/>
      <c r="P876" s="315"/>
      <c r="Q876" s="315"/>
      <c r="R876" s="315"/>
      <c r="S876" s="315"/>
      <c r="T876" s="315"/>
      <c r="U876" s="315"/>
      <c r="V876" s="315"/>
      <c r="W876" s="315"/>
      <c r="X876" s="315"/>
      <c r="Y876" s="315"/>
      <c r="Z876" s="315"/>
      <c r="AA876" s="315"/>
      <c r="AB876" s="315"/>
      <c r="AC876" s="315"/>
      <c r="AD876" s="315"/>
      <c r="AE876" s="315"/>
      <c r="AF876" s="315"/>
      <c r="AG876" s="315"/>
      <c r="AH876" s="315"/>
      <c r="AI876" s="315"/>
      <c r="AJ876" s="315"/>
      <c r="AK876" s="315"/>
      <c r="AL876" s="315"/>
      <c r="AM876" s="315"/>
      <c r="AN876" s="315"/>
    </row>
    <row r="877">
      <c r="A877" s="315"/>
      <c r="B877" s="315"/>
      <c r="C877" s="315"/>
      <c r="D877" s="315"/>
      <c r="E877" s="315"/>
      <c r="F877" s="315"/>
      <c r="G877" s="315"/>
      <c r="H877" s="315"/>
      <c r="I877" s="315"/>
      <c r="J877" s="315"/>
      <c r="K877" s="315"/>
      <c r="L877" s="315"/>
      <c r="M877" s="315"/>
      <c r="N877" s="315"/>
      <c r="O877" s="315"/>
      <c r="P877" s="315"/>
      <c r="Q877" s="315"/>
      <c r="R877" s="315"/>
      <c r="S877" s="315"/>
      <c r="T877" s="315"/>
      <c r="U877" s="315"/>
      <c r="V877" s="315"/>
      <c r="W877" s="315"/>
      <c r="X877" s="315"/>
      <c r="Y877" s="315"/>
      <c r="Z877" s="315"/>
      <c r="AA877" s="315"/>
      <c r="AB877" s="315"/>
      <c r="AC877" s="315"/>
      <c r="AD877" s="315"/>
      <c r="AE877" s="315"/>
      <c r="AF877" s="315"/>
      <c r="AG877" s="315"/>
      <c r="AH877" s="315"/>
      <c r="AI877" s="315"/>
      <c r="AJ877" s="315"/>
      <c r="AK877" s="315"/>
      <c r="AL877" s="315"/>
      <c r="AM877" s="315"/>
      <c r="AN877" s="315"/>
    </row>
    <row r="878">
      <c r="A878" s="315"/>
      <c r="B878" s="315"/>
      <c r="C878" s="315"/>
      <c r="D878" s="315"/>
      <c r="E878" s="315"/>
      <c r="F878" s="315"/>
      <c r="G878" s="315"/>
      <c r="H878" s="315"/>
      <c r="I878" s="315"/>
      <c r="J878" s="315"/>
      <c r="K878" s="315"/>
      <c r="L878" s="315"/>
      <c r="M878" s="315"/>
      <c r="N878" s="315"/>
      <c r="O878" s="315"/>
      <c r="P878" s="315"/>
      <c r="Q878" s="315"/>
      <c r="R878" s="315"/>
      <c r="S878" s="315"/>
      <c r="T878" s="315"/>
      <c r="U878" s="315"/>
      <c r="V878" s="315"/>
      <c r="W878" s="315"/>
      <c r="X878" s="315"/>
      <c r="Y878" s="315"/>
      <c r="Z878" s="315"/>
      <c r="AA878" s="315"/>
      <c r="AB878" s="315"/>
      <c r="AC878" s="315"/>
      <c r="AD878" s="315"/>
      <c r="AE878" s="315"/>
      <c r="AF878" s="315"/>
      <c r="AG878" s="315"/>
      <c r="AH878" s="315"/>
      <c r="AI878" s="315"/>
      <c r="AJ878" s="315"/>
      <c r="AK878" s="315"/>
      <c r="AL878" s="315"/>
      <c r="AM878" s="315"/>
      <c r="AN878" s="315"/>
    </row>
    <row r="879">
      <c r="A879" s="315"/>
      <c r="B879" s="315"/>
      <c r="C879" s="315"/>
      <c r="D879" s="315"/>
      <c r="E879" s="315"/>
      <c r="F879" s="315"/>
      <c r="G879" s="315"/>
      <c r="H879" s="315"/>
      <c r="I879" s="315"/>
      <c r="J879" s="315"/>
      <c r="K879" s="315"/>
      <c r="L879" s="315"/>
      <c r="M879" s="315"/>
      <c r="N879" s="315"/>
      <c r="O879" s="315"/>
      <c r="P879" s="315"/>
      <c r="Q879" s="315"/>
      <c r="R879" s="315"/>
      <c r="S879" s="315"/>
      <c r="T879" s="315"/>
      <c r="U879" s="315"/>
      <c r="V879" s="315"/>
      <c r="W879" s="315"/>
      <c r="X879" s="315"/>
      <c r="Y879" s="315"/>
      <c r="Z879" s="315"/>
      <c r="AA879" s="315"/>
      <c r="AB879" s="315"/>
      <c r="AC879" s="315"/>
      <c r="AD879" s="315"/>
      <c r="AE879" s="315"/>
      <c r="AF879" s="315"/>
      <c r="AG879" s="315"/>
      <c r="AH879" s="315"/>
      <c r="AI879" s="315"/>
      <c r="AJ879" s="315"/>
      <c r="AK879" s="315"/>
      <c r="AL879" s="315"/>
      <c r="AM879" s="315"/>
      <c r="AN879" s="315"/>
    </row>
    <row r="880">
      <c r="A880" s="315"/>
      <c r="B880" s="315"/>
      <c r="C880" s="315"/>
      <c r="D880" s="315"/>
      <c r="E880" s="315"/>
      <c r="F880" s="315"/>
      <c r="G880" s="315"/>
      <c r="H880" s="315"/>
      <c r="I880" s="315"/>
      <c r="J880" s="315"/>
      <c r="K880" s="315"/>
      <c r="L880" s="315"/>
      <c r="M880" s="315"/>
      <c r="N880" s="315"/>
      <c r="O880" s="315"/>
      <c r="P880" s="315"/>
      <c r="Q880" s="315"/>
      <c r="R880" s="315"/>
      <c r="S880" s="315"/>
      <c r="T880" s="315"/>
      <c r="U880" s="315"/>
      <c r="V880" s="315"/>
      <c r="W880" s="315"/>
      <c r="X880" s="315"/>
      <c r="Y880" s="315"/>
      <c r="Z880" s="315"/>
      <c r="AA880" s="315"/>
      <c r="AB880" s="315"/>
      <c r="AC880" s="315"/>
      <c r="AD880" s="315"/>
      <c r="AE880" s="315"/>
      <c r="AF880" s="315"/>
      <c r="AG880" s="315"/>
      <c r="AH880" s="315"/>
      <c r="AI880" s="315"/>
      <c r="AJ880" s="315"/>
      <c r="AK880" s="315"/>
      <c r="AL880" s="315"/>
      <c r="AM880" s="315"/>
      <c r="AN880" s="315"/>
    </row>
    <row r="881">
      <c r="A881" s="315"/>
      <c r="B881" s="315"/>
      <c r="C881" s="315"/>
      <c r="D881" s="315"/>
      <c r="E881" s="315"/>
      <c r="F881" s="315"/>
      <c r="G881" s="315"/>
      <c r="H881" s="315"/>
      <c r="I881" s="315"/>
      <c r="J881" s="315"/>
      <c r="K881" s="315"/>
      <c r="L881" s="315"/>
      <c r="M881" s="315"/>
      <c r="N881" s="315"/>
      <c r="O881" s="315"/>
      <c r="P881" s="315"/>
      <c r="Q881" s="315"/>
      <c r="R881" s="315"/>
      <c r="S881" s="315"/>
      <c r="T881" s="315"/>
      <c r="U881" s="315"/>
      <c r="V881" s="315"/>
      <c r="W881" s="315"/>
      <c r="X881" s="315"/>
      <c r="Y881" s="315"/>
      <c r="Z881" s="315"/>
      <c r="AA881" s="315"/>
      <c r="AB881" s="315"/>
      <c r="AC881" s="315"/>
      <c r="AD881" s="315"/>
      <c r="AE881" s="315"/>
      <c r="AF881" s="315"/>
      <c r="AG881" s="315"/>
      <c r="AH881" s="315"/>
      <c r="AI881" s="315"/>
      <c r="AJ881" s="315"/>
      <c r="AK881" s="315"/>
      <c r="AL881" s="315"/>
      <c r="AM881" s="315"/>
      <c r="AN881" s="315"/>
    </row>
    <row r="882">
      <c r="A882" s="315"/>
      <c r="B882" s="315"/>
      <c r="C882" s="315"/>
      <c r="D882" s="315"/>
      <c r="E882" s="315"/>
      <c r="F882" s="315"/>
      <c r="G882" s="315"/>
      <c r="H882" s="315"/>
      <c r="I882" s="315"/>
      <c r="J882" s="315"/>
      <c r="K882" s="315"/>
      <c r="L882" s="315"/>
      <c r="M882" s="315"/>
      <c r="N882" s="315"/>
      <c r="O882" s="315"/>
      <c r="P882" s="315"/>
      <c r="Q882" s="315"/>
      <c r="R882" s="315"/>
      <c r="S882" s="315"/>
      <c r="T882" s="315"/>
      <c r="U882" s="315"/>
      <c r="V882" s="315"/>
      <c r="W882" s="315"/>
      <c r="X882" s="315"/>
      <c r="Y882" s="315"/>
      <c r="Z882" s="315"/>
      <c r="AA882" s="315"/>
      <c r="AB882" s="315"/>
      <c r="AC882" s="315"/>
      <c r="AD882" s="315"/>
      <c r="AE882" s="315"/>
      <c r="AF882" s="315"/>
      <c r="AG882" s="315"/>
      <c r="AH882" s="315"/>
      <c r="AI882" s="315"/>
      <c r="AJ882" s="315"/>
      <c r="AK882" s="315"/>
      <c r="AL882" s="315"/>
      <c r="AM882" s="315"/>
      <c r="AN882" s="315"/>
    </row>
    <row r="883">
      <c r="A883" s="315"/>
      <c r="B883" s="315"/>
      <c r="C883" s="315"/>
      <c r="D883" s="315"/>
      <c r="E883" s="315"/>
      <c r="F883" s="315"/>
      <c r="G883" s="315"/>
      <c r="H883" s="315"/>
      <c r="I883" s="315"/>
      <c r="J883" s="315"/>
      <c r="K883" s="315"/>
      <c r="L883" s="315"/>
      <c r="M883" s="315"/>
      <c r="N883" s="315"/>
      <c r="O883" s="315"/>
      <c r="P883" s="315"/>
      <c r="Q883" s="315"/>
      <c r="R883" s="315"/>
      <c r="S883" s="315"/>
      <c r="T883" s="315"/>
      <c r="U883" s="315"/>
      <c r="V883" s="315"/>
      <c r="W883" s="315"/>
      <c r="X883" s="315"/>
      <c r="Y883" s="315"/>
      <c r="Z883" s="315"/>
      <c r="AA883" s="315"/>
      <c r="AB883" s="315"/>
      <c r="AC883" s="315"/>
      <c r="AD883" s="315"/>
      <c r="AE883" s="315"/>
      <c r="AF883" s="315"/>
      <c r="AG883" s="315"/>
      <c r="AH883" s="315"/>
      <c r="AI883" s="315"/>
      <c r="AJ883" s="315"/>
      <c r="AK883" s="315"/>
      <c r="AL883" s="315"/>
      <c r="AM883" s="315"/>
      <c r="AN883" s="315"/>
    </row>
    <row r="884">
      <c r="A884" s="315"/>
      <c r="B884" s="315"/>
      <c r="C884" s="315"/>
      <c r="D884" s="315"/>
      <c r="E884" s="315"/>
      <c r="F884" s="315"/>
      <c r="G884" s="315"/>
      <c r="H884" s="315"/>
      <c r="I884" s="315"/>
      <c r="J884" s="315"/>
      <c r="K884" s="315"/>
      <c r="L884" s="315"/>
      <c r="M884" s="315"/>
      <c r="N884" s="315"/>
      <c r="O884" s="315"/>
      <c r="P884" s="315"/>
      <c r="Q884" s="315"/>
      <c r="R884" s="315"/>
      <c r="S884" s="315"/>
      <c r="T884" s="315"/>
      <c r="U884" s="315"/>
      <c r="V884" s="315"/>
      <c r="W884" s="315"/>
      <c r="X884" s="315"/>
      <c r="Y884" s="315"/>
      <c r="Z884" s="315"/>
      <c r="AA884" s="315"/>
      <c r="AB884" s="315"/>
      <c r="AC884" s="315"/>
      <c r="AD884" s="315"/>
      <c r="AE884" s="315"/>
      <c r="AF884" s="315"/>
      <c r="AG884" s="315"/>
      <c r="AH884" s="315"/>
      <c r="AI884" s="315"/>
      <c r="AJ884" s="315"/>
      <c r="AK884" s="315"/>
      <c r="AL884" s="315"/>
      <c r="AM884" s="315"/>
      <c r="AN884" s="315"/>
    </row>
    <row r="885">
      <c r="A885" s="315"/>
      <c r="B885" s="315"/>
      <c r="C885" s="315"/>
      <c r="D885" s="315"/>
      <c r="E885" s="315"/>
      <c r="F885" s="315"/>
      <c r="G885" s="315"/>
      <c r="H885" s="315"/>
      <c r="I885" s="315"/>
      <c r="J885" s="315"/>
      <c r="K885" s="315"/>
      <c r="L885" s="315"/>
      <c r="M885" s="315"/>
      <c r="N885" s="315"/>
      <c r="O885" s="315"/>
      <c r="P885" s="315"/>
      <c r="Q885" s="315"/>
      <c r="R885" s="315"/>
      <c r="S885" s="315"/>
      <c r="T885" s="315"/>
      <c r="U885" s="315"/>
      <c r="V885" s="315"/>
      <c r="W885" s="315"/>
      <c r="X885" s="315"/>
      <c r="Y885" s="315"/>
      <c r="Z885" s="315"/>
      <c r="AA885" s="315"/>
      <c r="AB885" s="315"/>
      <c r="AC885" s="315"/>
      <c r="AD885" s="315"/>
      <c r="AE885" s="315"/>
      <c r="AF885" s="315"/>
      <c r="AG885" s="315"/>
      <c r="AH885" s="315"/>
      <c r="AI885" s="315"/>
      <c r="AJ885" s="315"/>
      <c r="AK885" s="315"/>
      <c r="AL885" s="315"/>
      <c r="AM885" s="315"/>
      <c r="AN885" s="315"/>
    </row>
    <row r="886">
      <c r="A886" s="315"/>
      <c r="B886" s="315"/>
      <c r="C886" s="315"/>
      <c r="D886" s="315"/>
      <c r="E886" s="315"/>
      <c r="F886" s="315"/>
      <c r="G886" s="315"/>
      <c r="H886" s="315"/>
      <c r="I886" s="315"/>
      <c r="J886" s="315"/>
      <c r="K886" s="315"/>
      <c r="L886" s="315"/>
      <c r="M886" s="315"/>
      <c r="N886" s="315"/>
      <c r="O886" s="315"/>
      <c r="P886" s="315"/>
      <c r="Q886" s="315"/>
      <c r="R886" s="315"/>
      <c r="S886" s="315"/>
      <c r="T886" s="315"/>
      <c r="U886" s="315"/>
      <c r="V886" s="315"/>
      <c r="W886" s="315"/>
      <c r="X886" s="315"/>
      <c r="Y886" s="315"/>
      <c r="Z886" s="315"/>
      <c r="AA886" s="315"/>
      <c r="AB886" s="315"/>
      <c r="AC886" s="315"/>
      <c r="AD886" s="315"/>
      <c r="AE886" s="315"/>
      <c r="AF886" s="315"/>
      <c r="AG886" s="315"/>
      <c r="AH886" s="315"/>
      <c r="AI886" s="315"/>
      <c r="AJ886" s="315"/>
      <c r="AK886" s="315"/>
      <c r="AL886" s="315"/>
      <c r="AM886" s="315"/>
      <c r="AN886" s="315"/>
    </row>
    <row r="887">
      <c r="A887" s="315"/>
      <c r="B887" s="315"/>
      <c r="C887" s="315"/>
      <c r="D887" s="315"/>
      <c r="E887" s="315"/>
      <c r="F887" s="315"/>
      <c r="G887" s="315"/>
      <c r="H887" s="315"/>
      <c r="I887" s="315"/>
      <c r="J887" s="315"/>
      <c r="K887" s="315"/>
      <c r="L887" s="315"/>
      <c r="M887" s="315"/>
      <c r="N887" s="315"/>
      <c r="O887" s="315"/>
      <c r="P887" s="315"/>
      <c r="Q887" s="315"/>
      <c r="R887" s="315"/>
      <c r="S887" s="315"/>
      <c r="T887" s="315"/>
      <c r="U887" s="315"/>
      <c r="V887" s="315"/>
      <c r="W887" s="315"/>
      <c r="X887" s="315"/>
      <c r="Y887" s="315"/>
      <c r="Z887" s="315"/>
      <c r="AA887" s="315"/>
      <c r="AB887" s="315"/>
      <c r="AC887" s="315"/>
      <c r="AD887" s="315"/>
      <c r="AE887" s="315"/>
      <c r="AF887" s="315"/>
      <c r="AG887" s="315"/>
      <c r="AH887" s="315"/>
      <c r="AI887" s="315"/>
      <c r="AJ887" s="315"/>
      <c r="AK887" s="315"/>
      <c r="AL887" s="315"/>
      <c r="AM887" s="315"/>
      <c r="AN887" s="315"/>
    </row>
    <row r="888">
      <c r="A888" s="315"/>
      <c r="B888" s="315"/>
      <c r="C888" s="315"/>
      <c r="D888" s="315"/>
      <c r="E888" s="315"/>
      <c r="F888" s="315"/>
      <c r="G888" s="315"/>
      <c r="H888" s="315"/>
      <c r="I888" s="315"/>
      <c r="J888" s="315"/>
      <c r="K888" s="315"/>
      <c r="L888" s="315"/>
      <c r="M888" s="315"/>
      <c r="N888" s="315"/>
      <c r="O888" s="315"/>
      <c r="P888" s="315"/>
      <c r="Q888" s="315"/>
      <c r="R888" s="315"/>
      <c r="S888" s="315"/>
      <c r="T888" s="315"/>
      <c r="U888" s="315"/>
      <c r="V888" s="315"/>
      <c r="W888" s="315"/>
      <c r="X888" s="315"/>
      <c r="Y888" s="315"/>
      <c r="Z888" s="315"/>
      <c r="AA888" s="315"/>
      <c r="AB888" s="315"/>
      <c r="AC888" s="315"/>
      <c r="AD888" s="315"/>
      <c r="AE888" s="315"/>
      <c r="AF888" s="315"/>
      <c r="AG888" s="315"/>
      <c r="AH888" s="315"/>
      <c r="AI888" s="315"/>
      <c r="AJ888" s="315"/>
      <c r="AK888" s="315"/>
      <c r="AL888" s="315"/>
      <c r="AM888" s="315"/>
      <c r="AN888" s="315"/>
    </row>
    <row r="889">
      <c r="A889" s="315"/>
      <c r="B889" s="315"/>
      <c r="C889" s="315"/>
      <c r="D889" s="315"/>
      <c r="E889" s="315"/>
      <c r="F889" s="315"/>
      <c r="G889" s="315"/>
      <c r="H889" s="315"/>
      <c r="I889" s="315"/>
      <c r="J889" s="315"/>
      <c r="K889" s="315"/>
      <c r="L889" s="315"/>
      <c r="M889" s="315"/>
      <c r="N889" s="315"/>
      <c r="O889" s="315"/>
      <c r="P889" s="315"/>
      <c r="Q889" s="315"/>
      <c r="R889" s="315"/>
      <c r="S889" s="315"/>
      <c r="T889" s="315"/>
      <c r="U889" s="315"/>
      <c r="V889" s="315"/>
      <c r="W889" s="315"/>
      <c r="X889" s="315"/>
      <c r="Y889" s="315"/>
      <c r="Z889" s="315"/>
      <c r="AA889" s="315"/>
      <c r="AB889" s="315"/>
      <c r="AC889" s="315"/>
      <c r="AD889" s="315"/>
      <c r="AE889" s="315"/>
      <c r="AF889" s="315"/>
      <c r="AG889" s="315"/>
      <c r="AH889" s="315"/>
      <c r="AI889" s="315"/>
      <c r="AJ889" s="315"/>
      <c r="AK889" s="315"/>
      <c r="AL889" s="315"/>
      <c r="AM889" s="315"/>
      <c r="AN889" s="315"/>
    </row>
    <row r="890">
      <c r="A890" s="315"/>
      <c r="B890" s="315"/>
      <c r="C890" s="315"/>
      <c r="D890" s="315"/>
      <c r="E890" s="315"/>
      <c r="F890" s="315"/>
      <c r="G890" s="315"/>
      <c r="H890" s="315"/>
      <c r="I890" s="315"/>
      <c r="J890" s="315"/>
      <c r="K890" s="315"/>
      <c r="L890" s="315"/>
      <c r="M890" s="315"/>
      <c r="N890" s="315"/>
      <c r="O890" s="315"/>
      <c r="P890" s="315"/>
      <c r="Q890" s="315"/>
      <c r="R890" s="315"/>
      <c r="S890" s="315"/>
      <c r="T890" s="315"/>
      <c r="U890" s="315"/>
      <c r="V890" s="315"/>
      <c r="W890" s="315"/>
      <c r="X890" s="315"/>
      <c r="Y890" s="315"/>
      <c r="Z890" s="315"/>
      <c r="AA890" s="315"/>
      <c r="AB890" s="315"/>
      <c r="AC890" s="315"/>
      <c r="AD890" s="315"/>
      <c r="AE890" s="315"/>
      <c r="AF890" s="315"/>
      <c r="AG890" s="315"/>
      <c r="AH890" s="315"/>
      <c r="AI890" s="315"/>
      <c r="AJ890" s="315"/>
      <c r="AK890" s="315"/>
      <c r="AL890" s="315"/>
      <c r="AM890" s="315"/>
      <c r="AN890" s="315"/>
    </row>
    <row r="891">
      <c r="A891" s="315"/>
      <c r="B891" s="315"/>
      <c r="C891" s="315"/>
      <c r="D891" s="315"/>
      <c r="E891" s="315"/>
      <c r="F891" s="315"/>
      <c r="G891" s="315"/>
      <c r="H891" s="315"/>
      <c r="I891" s="315"/>
      <c r="J891" s="315"/>
      <c r="K891" s="315"/>
      <c r="L891" s="315"/>
      <c r="M891" s="315"/>
      <c r="N891" s="315"/>
      <c r="O891" s="315"/>
      <c r="P891" s="315"/>
      <c r="Q891" s="315"/>
      <c r="R891" s="315"/>
      <c r="S891" s="315"/>
      <c r="T891" s="315"/>
      <c r="U891" s="315"/>
      <c r="V891" s="315"/>
      <c r="W891" s="315"/>
      <c r="X891" s="315"/>
      <c r="Y891" s="315"/>
      <c r="Z891" s="315"/>
      <c r="AA891" s="315"/>
      <c r="AB891" s="315"/>
      <c r="AC891" s="315"/>
      <c r="AD891" s="315"/>
      <c r="AE891" s="315"/>
      <c r="AF891" s="315"/>
      <c r="AG891" s="315"/>
      <c r="AH891" s="315"/>
      <c r="AI891" s="315"/>
      <c r="AJ891" s="315"/>
      <c r="AK891" s="315"/>
      <c r="AL891" s="315"/>
      <c r="AM891" s="315"/>
      <c r="AN891" s="315"/>
    </row>
    <row r="892">
      <c r="A892" s="315"/>
      <c r="B892" s="315"/>
      <c r="C892" s="315"/>
      <c r="D892" s="315"/>
      <c r="E892" s="315"/>
      <c r="F892" s="315"/>
      <c r="G892" s="315"/>
      <c r="H892" s="315"/>
      <c r="I892" s="315"/>
      <c r="J892" s="315"/>
      <c r="K892" s="315"/>
      <c r="L892" s="315"/>
      <c r="M892" s="315"/>
      <c r="N892" s="315"/>
      <c r="O892" s="315"/>
      <c r="P892" s="315"/>
      <c r="Q892" s="315"/>
      <c r="R892" s="315"/>
      <c r="S892" s="315"/>
      <c r="T892" s="315"/>
      <c r="U892" s="315"/>
      <c r="V892" s="315"/>
      <c r="W892" s="315"/>
      <c r="X892" s="315"/>
      <c r="Y892" s="315"/>
      <c r="Z892" s="315"/>
      <c r="AA892" s="315"/>
      <c r="AB892" s="315"/>
      <c r="AC892" s="315"/>
      <c r="AD892" s="315"/>
      <c r="AE892" s="315"/>
      <c r="AF892" s="315"/>
      <c r="AG892" s="315"/>
      <c r="AH892" s="315"/>
      <c r="AI892" s="315"/>
      <c r="AJ892" s="315"/>
      <c r="AK892" s="315"/>
      <c r="AL892" s="315"/>
      <c r="AM892" s="315"/>
      <c r="AN892" s="315"/>
    </row>
    <row r="893">
      <c r="A893" s="315"/>
      <c r="B893" s="315"/>
      <c r="C893" s="315"/>
      <c r="D893" s="315"/>
      <c r="E893" s="315"/>
      <c r="F893" s="315"/>
      <c r="G893" s="315"/>
      <c r="H893" s="315"/>
      <c r="I893" s="315"/>
      <c r="J893" s="315"/>
      <c r="K893" s="315"/>
      <c r="L893" s="315"/>
      <c r="M893" s="315"/>
      <c r="N893" s="315"/>
      <c r="O893" s="315"/>
      <c r="P893" s="315"/>
      <c r="Q893" s="315"/>
      <c r="R893" s="315"/>
      <c r="S893" s="315"/>
      <c r="T893" s="315"/>
      <c r="U893" s="315"/>
      <c r="V893" s="315"/>
      <c r="W893" s="315"/>
      <c r="X893" s="315"/>
      <c r="Y893" s="315"/>
      <c r="Z893" s="315"/>
      <c r="AA893" s="315"/>
      <c r="AB893" s="315"/>
      <c r="AC893" s="315"/>
      <c r="AD893" s="315"/>
      <c r="AE893" s="315"/>
      <c r="AF893" s="315"/>
      <c r="AG893" s="315"/>
      <c r="AH893" s="315"/>
      <c r="AI893" s="315"/>
      <c r="AJ893" s="315"/>
      <c r="AK893" s="315"/>
      <c r="AL893" s="315"/>
      <c r="AM893" s="315"/>
      <c r="AN893" s="315"/>
    </row>
    <row r="894">
      <c r="A894" s="315"/>
      <c r="B894" s="315"/>
      <c r="C894" s="315"/>
      <c r="D894" s="315"/>
      <c r="E894" s="315"/>
      <c r="F894" s="315"/>
      <c r="G894" s="315"/>
      <c r="H894" s="315"/>
      <c r="I894" s="315"/>
      <c r="J894" s="315"/>
      <c r="K894" s="315"/>
      <c r="L894" s="315"/>
      <c r="M894" s="315"/>
      <c r="N894" s="315"/>
      <c r="O894" s="315"/>
      <c r="P894" s="315"/>
      <c r="Q894" s="315"/>
      <c r="R894" s="315"/>
      <c r="S894" s="315"/>
      <c r="T894" s="315"/>
      <c r="U894" s="315"/>
      <c r="V894" s="315"/>
      <c r="W894" s="315"/>
      <c r="X894" s="315"/>
      <c r="Y894" s="315"/>
      <c r="Z894" s="315"/>
      <c r="AA894" s="315"/>
      <c r="AB894" s="315"/>
      <c r="AC894" s="315"/>
      <c r="AD894" s="315"/>
      <c r="AE894" s="315"/>
      <c r="AF894" s="315"/>
      <c r="AG894" s="315"/>
      <c r="AH894" s="315"/>
      <c r="AI894" s="315"/>
      <c r="AJ894" s="315"/>
      <c r="AK894" s="315"/>
      <c r="AL894" s="315"/>
      <c r="AM894" s="315"/>
      <c r="AN894" s="315"/>
    </row>
    <row r="895">
      <c r="A895" s="315"/>
      <c r="B895" s="315"/>
      <c r="C895" s="315"/>
      <c r="D895" s="315"/>
      <c r="E895" s="315"/>
      <c r="F895" s="315"/>
      <c r="G895" s="315"/>
      <c r="H895" s="315"/>
      <c r="I895" s="315"/>
      <c r="J895" s="315"/>
      <c r="K895" s="315"/>
      <c r="L895" s="315"/>
      <c r="M895" s="315"/>
      <c r="N895" s="315"/>
      <c r="O895" s="315"/>
      <c r="P895" s="315"/>
      <c r="Q895" s="315"/>
      <c r="R895" s="315"/>
      <c r="S895" s="315"/>
      <c r="T895" s="315"/>
      <c r="U895" s="315"/>
      <c r="V895" s="315"/>
      <c r="W895" s="315"/>
      <c r="X895" s="315"/>
      <c r="Y895" s="315"/>
      <c r="Z895" s="315"/>
      <c r="AA895" s="315"/>
      <c r="AB895" s="315"/>
      <c r="AC895" s="315"/>
      <c r="AD895" s="315"/>
      <c r="AE895" s="315"/>
      <c r="AF895" s="315"/>
      <c r="AG895" s="315"/>
      <c r="AH895" s="315"/>
      <c r="AI895" s="315"/>
      <c r="AJ895" s="315"/>
      <c r="AK895" s="315"/>
      <c r="AL895" s="315"/>
      <c r="AM895" s="315"/>
      <c r="AN895" s="315"/>
    </row>
    <row r="896">
      <c r="A896" s="315"/>
      <c r="B896" s="315"/>
      <c r="C896" s="315"/>
      <c r="D896" s="315"/>
      <c r="E896" s="315"/>
      <c r="F896" s="315"/>
      <c r="G896" s="315"/>
      <c r="H896" s="315"/>
      <c r="I896" s="315"/>
      <c r="J896" s="315"/>
      <c r="K896" s="315"/>
      <c r="L896" s="315"/>
      <c r="M896" s="315"/>
      <c r="N896" s="315"/>
      <c r="O896" s="315"/>
      <c r="P896" s="315"/>
      <c r="Q896" s="315"/>
      <c r="R896" s="315"/>
      <c r="S896" s="315"/>
      <c r="T896" s="315"/>
      <c r="U896" s="315"/>
      <c r="V896" s="315"/>
      <c r="W896" s="315"/>
      <c r="X896" s="315"/>
      <c r="Y896" s="315"/>
      <c r="Z896" s="315"/>
      <c r="AA896" s="315"/>
      <c r="AB896" s="315"/>
      <c r="AC896" s="315"/>
      <c r="AD896" s="315"/>
      <c r="AE896" s="315"/>
      <c r="AF896" s="315"/>
      <c r="AG896" s="315"/>
      <c r="AH896" s="315"/>
      <c r="AI896" s="315"/>
      <c r="AJ896" s="315"/>
      <c r="AK896" s="315"/>
      <c r="AL896" s="315"/>
      <c r="AM896" s="315"/>
      <c r="AN896" s="315"/>
    </row>
    <row r="897">
      <c r="A897" s="315"/>
      <c r="B897" s="315"/>
      <c r="C897" s="315"/>
      <c r="D897" s="315"/>
      <c r="E897" s="315"/>
      <c r="F897" s="315"/>
      <c r="G897" s="315"/>
      <c r="H897" s="315"/>
      <c r="I897" s="315"/>
      <c r="J897" s="315"/>
      <c r="K897" s="315"/>
      <c r="L897" s="315"/>
      <c r="M897" s="315"/>
      <c r="N897" s="315"/>
      <c r="O897" s="315"/>
      <c r="P897" s="315"/>
      <c r="Q897" s="315"/>
      <c r="R897" s="315"/>
      <c r="S897" s="315"/>
      <c r="T897" s="315"/>
      <c r="U897" s="315"/>
      <c r="V897" s="315"/>
      <c r="W897" s="315"/>
      <c r="X897" s="315"/>
      <c r="Y897" s="315"/>
      <c r="Z897" s="315"/>
      <c r="AA897" s="315"/>
      <c r="AB897" s="315"/>
      <c r="AC897" s="315"/>
      <c r="AD897" s="315"/>
      <c r="AE897" s="315"/>
      <c r="AF897" s="315"/>
      <c r="AG897" s="315"/>
      <c r="AH897" s="315"/>
      <c r="AI897" s="315"/>
      <c r="AJ897" s="315"/>
      <c r="AK897" s="315"/>
      <c r="AL897" s="315"/>
      <c r="AM897" s="315"/>
      <c r="AN897" s="315"/>
    </row>
    <row r="898">
      <c r="A898" s="315"/>
      <c r="B898" s="315"/>
      <c r="C898" s="315"/>
      <c r="D898" s="315"/>
      <c r="E898" s="315"/>
      <c r="F898" s="315"/>
      <c r="G898" s="315"/>
      <c r="H898" s="315"/>
      <c r="I898" s="315"/>
      <c r="J898" s="315"/>
      <c r="K898" s="315"/>
      <c r="L898" s="315"/>
      <c r="M898" s="315"/>
      <c r="N898" s="315"/>
      <c r="O898" s="315"/>
      <c r="P898" s="315"/>
      <c r="Q898" s="315"/>
      <c r="R898" s="315"/>
      <c r="S898" s="315"/>
      <c r="T898" s="315"/>
      <c r="U898" s="315"/>
      <c r="V898" s="315"/>
      <c r="W898" s="315"/>
      <c r="X898" s="315"/>
      <c r="Y898" s="315"/>
      <c r="Z898" s="315"/>
      <c r="AA898" s="315"/>
      <c r="AB898" s="315"/>
      <c r="AC898" s="315"/>
      <c r="AD898" s="315"/>
      <c r="AE898" s="315"/>
      <c r="AF898" s="315"/>
      <c r="AG898" s="315"/>
      <c r="AH898" s="315"/>
      <c r="AI898" s="315"/>
      <c r="AJ898" s="315"/>
      <c r="AK898" s="315"/>
      <c r="AL898" s="315"/>
      <c r="AM898" s="315"/>
      <c r="AN898" s="315"/>
    </row>
    <row r="899">
      <c r="A899" s="315"/>
      <c r="B899" s="315"/>
      <c r="C899" s="315"/>
      <c r="D899" s="315"/>
      <c r="E899" s="315"/>
      <c r="F899" s="315"/>
      <c r="G899" s="315"/>
      <c r="H899" s="315"/>
      <c r="I899" s="315"/>
      <c r="J899" s="315"/>
      <c r="K899" s="315"/>
      <c r="L899" s="315"/>
      <c r="M899" s="315"/>
      <c r="N899" s="315"/>
      <c r="O899" s="315"/>
      <c r="P899" s="315"/>
      <c r="Q899" s="315"/>
      <c r="R899" s="315"/>
      <c r="S899" s="315"/>
      <c r="T899" s="315"/>
      <c r="U899" s="315"/>
      <c r="V899" s="315"/>
      <c r="W899" s="315"/>
      <c r="X899" s="315"/>
      <c r="Y899" s="315"/>
      <c r="Z899" s="315"/>
      <c r="AA899" s="315"/>
      <c r="AB899" s="315"/>
      <c r="AC899" s="315"/>
      <c r="AD899" s="315"/>
      <c r="AE899" s="315"/>
      <c r="AF899" s="315"/>
      <c r="AG899" s="315"/>
      <c r="AH899" s="315"/>
      <c r="AI899" s="315"/>
      <c r="AJ899" s="315"/>
      <c r="AK899" s="315"/>
      <c r="AL899" s="315"/>
      <c r="AM899" s="315"/>
      <c r="AN899" s="315"/>
    </row>
    <row r="900">
      <c r="A900" s="315"/>
      <c r="B900" s="315"/>
      <c r="C900" s="315"/>
      <c r="D900" s="315"/>
      <c r="E900" s="315"/>
      <c r="F900" s="315"/>
      <c r="G900" s="315"/>
      <c r="H900" s="315"/>
      <c r="I900" s="315"/>
      <c r="J900" s="315"/>
      <c r="K900" s="315"/>
      <c r="L900" s="315"/>
      <c r="M900" s="315"/>
      <c r="N900" s="315"/>
      <c r="O900" s="315"/>
      <c r="P900" s="315"/>
      <c r="Q900" s="315"/>
      <c r="R900" s="315"/>
      <c r="S900" s="315"/>
      <c r="T900" s="315"/>
      <c r="U900" s="315"/>
      <c r="V900" s="315"/>
      <c r="W900" s="315"/>
      <c r="X900" s="315"/>
      <c r="Y900" s="315"/>
      <c r="Z900" s="315"/>
      <c r="AA900" s="315"/>
      <c r="AB900" s="315"/>
      <c r="AC900" s="315"/>
      <c r="AD900" s="315"/>
      <c r="AE900" s="315"/>
      <c r="AF900" s="315"/>
      <c r="AG900" s="315"/>
      <c r="AH900" s="315"/>
      <c r="AI900" s="315"/>
      <c r="AJ900" s="315"/>
      <c r="AK900" s="315"/>
      <c r="AL900" s="315"/>
      <c r="AM900" s="315"/>
      <c r="AN900" s="315"/>
    </row>
    <row r="901">
      <c r="A901" s="315"/>
      <c r="B901" s="315"/>
      <c r="C901" s="315"/>
      <c r="D901" s="315"/>
      <c r="E901" s="315"/>
      <c r="F901" s="315"/>
      <c r="G901" s="315"/>
      <c r="H901" s="315"/>
      <c r="I901" s="315"/>
      <c r="J901" s="315"/>
      <c r="K901" s="315"/>
      <c r="L901" s="315"/>
      <c r="M901" s="315"/>
      <c r="N901" s="315"/>
      <c r="O901" s="315"/>
      <c r="P901" s="315"/>
      <c r="Q901" s="315"/>
      <c r="R901" s="315"/>
      <c r="S901" s="315"/>
      <c r="T901" s="315"/>
      <c r="U901" s="315"/>
      <c r="V901" s="315"/>
      <c r="W901" s="315"/>
      <c r="X901" s="315"/>
      <c r="Y901" s="315"/>
      <c r="Z901" s="315"/>
      <c r="AA901" s="315"/>
      <c r="AB901" s="315"/>
      <c r="AC901" s="315"/>
      <c r="AD901" s="315"/>
      <c r="AE901" s="315"/>
      <c r="AF901" s="315"/>
      <c r="AG901" s="315"/>
      <c r="AH901" s="315"/>
      <c r="AI901" s="315"/>
      <c r="AJ901" s="315"/>
      <c r="AK901" s="315"/>
      <c r="AL901" s="315"/>
      <c r="AM901" s="315"/>
      <c r="AN901" s="315"/>
    </row>
    <row r="902">
      <c r="A902" s="315"/>
      <c r="B902" s="315"/>
      <c r="C902" s="315"/>
      <c r="D902" s="315"/>
      <c r="E902" s="315"/>
      <c r="F902" s="315"/>
      <c r="G902" s="315"/>
      <c r="H902" s="315"/>
      <c r="I902" s="315"/>
      <c r="J902" s="315"/>
      <c r="K902" s="315"/>
      <c r="L902" s="315"/>
      <c r="M902" s="315"/>
      <c r="N902" s="315"/>
      <c r="O902" s="315"/>
      <c r="P902" s="315"/>
      <c r="Q902" s="315"/>
      <c r="R902" s="315"/>
      <c r="S902" s="315"/>
      <c r="T902" s="315"/>
      <c r="U902" s="315"/>
      <c r="V902" s="315"/>
      <c r="W902" s="315"/>
      <c r="X902" s="315"/>
      <c r="Y902" s="315"/>
      <c r="Z902" s="315"/>
      <c r="AA902" s="315"/>
      <c r="AB902" s="315"/>
      <c r="AC902" s="315"/>
      <c r="AD902" s="315"/>
      <c r="AE902" s="315"/>
      <c r="AF902" s="315"/>
      <c r="AG902" s="315"/>
      <c r="AH902" s="315"/>
      <c r="AI902" s="315"/>
      <c r="AJ902" s="315"/>
      <c r="AK902" s="315"/>
      <c r="AL902" s="315"/>
      <c r="AM902" s="315"/>
      <c r="AN902" s="315"/>
    </row>
    <row r="903">
      <c r="A903" s="315"/>
      <c r="B903" s="315"/>
      <c r="C903" s="315"/>
      <c r="D903" s="315"/>
      <c r="E903" s="315"/>
      <c r="F903" s="315"/>
      <c r="G903" s="315"/>
      <c r="H903" s="315"/>
      <c r="I903" s="315"/>
      <c r="J903" s="315"/>
      <c r="K903" s="315"/>
      <c r="L903" s="315"/>
      <c r="M903" s="315"/>
      <c r="N903" s="315"/>
      <c r="O903" s="315"/>
      <c r="P903" s="315"/>
      <c r="Q903" s="315"/>
      <c r="R903" s="315"/>
      <c r="S903" s="315"/>
      <c r="T903" s="315"/>
      <c r="U903" s="315"/>
      <c r="V903" s="315"/>
      <c r="W903" s="315"/>
      <c r="X903" s="315"/>
      <c r="Y903" s="315"/>
      <c r="Z903" s="315"/>
      <c r="AA903" s="315"/>
      <c r="AB903" s="315"/>
      <c r="AC903" s="315"/>
      <c r="AD903" s="315"/>
      <c r="AE903" s="315"/>
      <c r="AF903" s="315"/>
      <c r="AG903" s="315"/>
      <c r="AH903" s="315"/>
      <c r="AI903" s="315"/>
      <c r="AJ903" s="315"/>
      <c r="AK903" s="315"/>
      <c r="AL903" s="315"/>
      <c r="AM903" s="315"/>
      <c r="AN903" s="315"/>
    </row>
    <row r="904">
      <c r="A904" s="315"/>
      <c r="B904" s="315"/>
      <c r="C904" s="315"/>
      <c r="D904" s="315"/>
      <c r="E904" s="315"/>
      <c r="F904" s="315"/>
      <c r="G904" s="315"/>
      <c r="H904" s="315"/>
      <c r="I904" s="315"/>
      <c r="J904" s="315"/>
      <c r="K904" s="315"/>
      <c r="L904" s="315"/>
      <c r="M904" s="315"/>
      <c r="N904" s="315"/>
      <c r="O904" s="315"/>
      <c r="P904" s="315"/>
      <c r="Q904" s="315"/>
      <c r="R904" s="315"/>
      <c r="S904" s="315"/>
      <c r="T904" s="315"/>
      <c r="U904" s="315"/>
      <c r="V904" s="315"/>
      <c r="W904" s="315"/>
      <c r="X904" s="315"/>
      <c r="Y904" s="315"/>
      <c r="Z904" s="315"/>
      <c r="AA904" s="315"/>
      <c r="AB904" s="315"/>
      <c r="AC904" s="315"/>
      <c r="AD904" s="315"/>
      <c r="AE904" s="315"/>
      <c r="AF904" s="315"/>
      <c r="AG904" s="315"/>
      <c r="AH904" s="315"/>
      <c r="AI904" s="315"/>
      <c r="AJ904" s="315"/>
      <c r="AK904" s="315"/>
      <c r="AL904" s="315"/>
      <c r="AM904" s="315"/>
      <c r="AN904" s="315"/>
    </row>
    <row r="905">
      <c r="A905" s="315"/>
      <c r="B905" s="315"/>
      <c r="C905" s="315"/>
      <c r="D905" s="315"/>
      <c r="E905" s="315"/>
      <c r="F905" s="315"/>
      <c r="G905" s="315"/>
      <c r="H905" s="315"/>
      <c r="I905" s="315"/>
      <c r="J905" s="315"/>
      <c r="K905" s="315"/>
      <c r="L905" s="315"/>
      <c r="M905" s="315"/>
      <c r="N905" s="315"/>
      <c r="O905" s="315"/>
      <c r="P905" s="315"/>
      <c r="Q905" s="315"/>
      <c r="R905" s="315"/>
      <c r="S905" s="315"/>
      <c r="T905" s="315"/>
      <c r="U905" s="315"/>
      <c r="V905" s="315"/>
      <c r="W905" s="315"/>
      <c r="X905" s="315"/>
      <c r="Y905" s="315"/>
      <c r="Z905" s="315"/>
      <c r="AA905" s="315"/>
      <c r="AB905" s="315"/>
      <c r="AC905" s="315"/>
      <c r="AD905" s="315"/>
      <c r="AE905" s="315"/>
      <c r="AF905" s="315"/>
      <c r="AG905" s="315"/>
      <c r="AH905" s="315"/>
      <c r="AI905" s="315"/>
      <c r="AJ905" s="315"/>
      <c r="AK905" s="315"/>
      <c r="AL905" s="315"/>
      <c r="AM905" s="315"/>
      <c r="AN905" s="315"/>
    </row>
    <row r="906">
      <c r="A906" s="315"/>
      <c r="B906" s="315"/>
      <c r="C906" s="315"/>
      <c r="D906" s="315"/>
      <c r="E906" s="315"/>
      <c r="F906" s="315"/>
      <c r="G906" s="315"/>
      <c r="H906" s="315"/>
      <c r="I906" s="315"/>
      <c r="J906" s="315"/>
      <c r="K906" s="315"/>
      <c r="L906" s="315"/>
      <c r="M906" s="315"/>
      <c r="N906" s="315"/>
      <c r="O906" s="315"/>
      <c r="P906" s="315"/>
      <c r="Q906" s="315"/>
      <c r="R906" s="315"/>
      <c r="S906" s="315"/>
      <c r="T906" s="315"/>
      <c r="U906" s="315"/>
      <c r="V906" s="315"/>
      <c r="W906" s="315"/>
      <c r="X906" s="315"/>
      <c r="Y906" s="315"/>
      <c r="Z906" s="315"/>
      <c r="AA906" s="315"/>
      <c r="AB906" s="315"/>
      <c r="AC906" s="315"/>
      <c r="AD906" s="315"/>
      <c r="AE906" s="315"/>
      <c r="AF906" s="315"/>
      <c r="AG906" s="315"/>
      <c r="AH906" s="315"/>
      <c r="AI906" s="315"/>
      <c r="AJ906" s="315"/>
      <c r="AK906" s="315"/>
      <c r="AL906" s="315"/>
      <c r="AM906" s="315"/>
      <c r="AN906" s="315"/>
    </row>
    <row r="907">
      <c r="A907" s="315"/>
      <c r="B907" s="315"/>
      <c r="C907" s="315"/>
      <c r="D907" s="315"/>
      <c r="E907" s="315"/>
      <c r="F907" s="315"/>
      <c r="G907" s="315"/>
      <c r="H907" s="315"/>
      <c r="I907" s="315"/>
      <c r="J907" s="315"/>
      <c r="K907" s="315"/>
      <c r="L907" s="315"/>
      <c r="M907" s="315"/>
      <c r="N907" s="315"/>
      <c r="O907" s="315"/>
      <c r="P907" s="315"/>
      <c r="Q907" s="315"/>
      <c r="R907" s="315"/>
      <c r="S907" s="315"/>
      <c r="T907" s="315"/>
      <c r="U907" s="315"/>
      <c r="V907" s="315"/>
      <c r="W907" s="315"/>
      <c r="X907" s="315"/>
      <c r="Y907" s="315"/>
      <c r="Z907" s="315"/>
      <c r="AA907" s="315"/>
      <c r="AB907" s="315"/>
      <c r="AC907" s="315"/>
      <c r="AD907" s="315"/>
      <c r="AE907" s="315"/>
      <c r="AF907" s="315"/>
      <c r="AG907" s="315"/>
      <c r="AH907" s="315"/>
      <c r="AI907" s="315"/>
      <c r="AJ907" s="315"/>
      <c r="AK907" s="315"/>
      <c r="AL907" s="315"/>
      <c r="AM907" s="315"/>
      <c r="AN907" s="315"/>
    </row>
    <row r="908">
      <c r="A908" s="315"/>
      <c r="B908" s="315"/>
      <c r="C908" s="315"/>
      <c r="D908" s="315"/>
      <c r="E908" s="315"/>
      <c r="F908" s="315"/>
      <c r="G908" s="315"/>
      <c r="H908" s="315"/>
      <c r="I908" s="315"/>
      <c r="J908" s="315"/>
      <c r="K908" s="315"/>
      <c r="L908" s="315"/>
      <c r="M908" s="315"/>
      <c r="N908" s="315"/>
      <c r="O908" s="315"/>
      <c r="P908" s="315"/>
      <c r="Q908" s="315"/>
      <c r="R908" s="315"/>
      <c r="S908" s="315"/>
      <c r="T908" s="315"/>
      <c r="U908" s="315"/>
      <c r="V908" s="315"/>
      <c r="W908" s="315"/>
      <c r="X908" s="315"/>
      <c r="Y908" s="315"/>
      <c r="Z908" s="315"/>
      <c r="AA908" s="315"/>
      <c r="AB908" s="315"/>
      <c r="AC908" s="315"/>
      <c r="AD908" s="315"/>
      <c r="AE908" s="315"/>
      <c r="AF908" s="315"/>
      <c r="AG908" s="315"/>
      <c r="AH908" s="315"/>
      <c r="AI908" s="315"/>
      <c r="AJ908" s="315"/>
      <c r="AK908" s="315"/>
      <c r="AL908" s="315"/>
      <c r="AM908" s="315"/>
      <c r="AN908" s="315"/>
    </row>
    <row r="909">
      <c r="A909" s="315"/>
      <c r="B909" s="315"/>
      <c r="C909" s="315"/>
      <c r="D909" s="315"/>
      <c r="E909" s="315"/>
      <c r="F909" s="315"/>
      <c r="G909" s="315"/>
      <c r="H909" s="315"/>
      <c r="I909" s="315"/>
      <c r="J909" s="315"/>
      <c r="K909" s="315"/>
      <c r="L909" s="315"/>
      <c r="M909" s="315"/>
      <c r="N909" s="315"/>
      <c r="O909" s="315"/>
      <c r="P909" s="315"/>
      <c r="Q909" s="315"/>
      <c r="R909" s="315"/>
      <c r="S909" s="315"/>
      <c r="T909" s="315"/>
      <c r="U909" s="315"/>
      <c r="V909" s="315"/>
      <c r="W909" s="315"/>
      <c r="X909" s="315"/>
      <c r="Y909" s="315"/>
      <c r="Z909" s="315"/>
      <c r="AA909" s="315"/>
      <c r="AB909" s="315"/>
      <c r="AC909" s="315"/>
      <c r="AD909" s="315"/>
      <c r="AE909" s="315"/>
      <c r="AF909" s="315"/>
      <c r="AG909" s="315"/>
      <c r="AH909" s="315"/>
      <c r="AI909" s="315"/>
      <c r="AJ909" s="315"/>
      <c r="AK909" s="315"/>
      <c r="AL909" s="315"/>
      <c r="AM909" s="315"/>
      <c r="AN909" s="315"/>
    </row>
    <row r="910">
      <c r="A910" s="315"/>
      <c r="B910" s="315"/>
      <c r="C910" s="315"/>
      <c r="D910" s="315"/>
      <c r="E910" s="315"/>
      <c r="F910" s="315"/>
      <c r="G910" s="315"/>
      <c r="H910" s="315"/>
      <c r="I910" s="315"/>
      <c r="J910" s="315"/>
      <c r="K910" s="315"/>
      <c r="L910" s="315"/>
      <c r="M910" s="315"/>
      <c r="N910" s="315"/>
      <c r="O910" s="315"/>
      <c r="P910" s="315"/>
      <c r="Q910" s="315"/>
      <c r="R910" s="315"/>
      <c r="S910" s="315"/>
      <c r="T910" s="315"/>
      <c r="U910" s="315"/>
      <c r="V910" s="315"/>
      <c r="W910" s="315"/>
      <c r="X910" s="315"/>
      <c r="Y910" s="315"/>
      <c r="Z910" s="315"/>
      <c r="AA910" s="315"/>
      <c r="AB910" s="315"/>
      <c r="AC910" s="315"/>
      <c r="AD910" s="315"/>
      <c r="AE910" s="315"/>
      <c r="AF910" s="315"/>
      <c r="AG910" s="315"/>
      <c r="AH910" s="315"/>
      <c r="AI910" s="315"/>
      <c r="AJ910" s="315"/>
      <c r="AK910" s="315"/>
      <c r="AL910" s="315"/>
      <c r="AM910" s="315"/>
      <c r="AN910" s="315"/>
    </row>
    <row r="911">
      <c r="A911" s="315"/>
      <c r="B911" s="315"/>
      <c r="C911" s="315"/>
      <c r="D911" s="315"/>
      <c r="E911" s="315"/>
      <c r="F911" s="315"/>
      <c r="G911" s="315"/>
      <c r="H911" s="315"/>
      <c r="I911" s="315"/>
      <c r="J911" s="315"/>
      <c r="K911" s="315"/>
      <c r="L911" s="315"/>
      <c r="M911" s="315"/>
      <c r="N911" s="315"/>
      <c r="O911" s="315"/>
      <c r="P911" s="315"/>
      <c r="Q911" s="315"/>
      <c r="R911" s="315"/>
      <c r="S911" s="315"/>
      <c r="T911" s="315"/>
      <c r="U911" s="315"/>
      <c r="V911" s="315"/>
      <c r="W911" s="315"/>
      <c r="X911" s="315"/>
      <c r="Y911" s="315"/>
      <c r="Z911" s="315"/>
      <c r="AA911" s="315"/>
      <c r="AB911" s="315"/>
      <c r="AC911" s="315"/>
      <c r="AD911" s="315"/>
      <c r="AE911" s="315"/>
      <c r="AF911" s="315"/>
      <c r="AG911" s="315"/>
      <c r="AH911" s="315"/>
      <c r="AI911" s="315"/>
      <c r="AJ911" s="315"/>
      <c r="AK911" s="315"/>
      <c r="AL911" s="315"/>
      <c r="AM911" s="315"/>
      <c r="AN911" s="315"/>
    </row>
    <row r="912">
      <c r="A912" s="315"/>
      <c r="B912" s="315"/>
      <c r="C912" s="315"/>
      <c r="D912" s="315"/>
      <c r="E912" s="315"/>
      <c r="F912" s="315"/>
      <c r="G912" s="315"/>
      <c r="H912" s="315"/>
      <c r="I912" s="315"/>
      <c r="J912" s="315"/>
      <c r="K912" s="315"/>
      <c r="L912" s="315"/>
      <c r="M912" s="315"/>
      <c r="N912" s="315"/>
      <c r="O912" s="315"/>
      <c r="P912" s="315"/>
      <c r="Q912" s="315"/>
      <c r="R912" s="315"/>
      <c r="S912" s="315"/>
      <c r="T912" s="315"/>
      <c r="U912" s="315"/>
      <c r="V912" s="315"/>
      <c r="W912" s="315"/>
      <c r="X912" s="315"/>
      <c r="Y912" s="315"/>
      <c r="Z912" s="315"/>
      <c r="AA912" s="315"/>
      <c r="AB912" s="315"/>
      <c r="AC912" s="315"/>
      <c r="AD912" s="315"/>
      <c r="AE912" s="315"/>
      <c r="AF912" s="315"/>
      <c r="AG912" s="315"/>
      <c r="AH912" s="315"/>
      <c r="AI912" s="315"/>
      <c r="AJ912" s="315"/>
      <c r="AK912" s="315"/>
      <c r="AL912" s="315"/>
      <c r="AM912" s="315"/>
      <c r="AN912" s="315"/>
    </row>
    <row r="913">
      <c r="A913" s="315"/>
      <c r="B913" s="315"/>
      <c r="C913" s="315"/>
      <c r="D913" s="315"/>
      <c r="E913" s="315"/>
      <c r="F913" s="315"/>
      <c r="G913" s="315"/>
      <c r="H913" s="315"/>
      <c r="I913" s="315"/>
      <c r="J913" s="315"/>
      <c r="K913" s="315"/>
      <c r="L913" s="315"/>
      <c r="M913" s="315"/>
      <c r="N913" s="315"/>
      <c r="O913" s="315"/>
      <c r="P913" s="315"/>
      <c r="Q913" s="315"/>
      <c r="R913" s="315"/>
      <c r="S913" s="315"/>
      <c r="T913" s="315"/>
      <c r="U913" s="315"/>
      <c r="V913" s="315"/>
      <c r="W913" s="315"/>
      <c r="X913" s="315"/>
      <c r="Y913" s="315"/>
      <c r="Z913" s="315"/>
      <c r="AA913" s="315"/>
      <c r="AB913" s="315"/>
      <c r="AC913" s="315"/>
      <c r="AD913" s="315"/>
      <c r="AE913" s="315"/>
      <c r="AF913" s="315"/>
      <c r="AG913" s="315"/>
      <c r="AH913" s="315"/>
      <c r="AI913" s="315"/>
      <c r="AJ913" s="315"/>
      <c r="AK913" s="315"/>
      <c r="AL913" s="315"/>
      <c r="AM913" s="315"/>
      <c r="AN913" s="315"/>
    </row>
    <row r="914">
      <c r="A914" s="315"/>
      <c r="B914" s="315"/>
      <c r="C914" s="315"/>
      <c r="D914" s="315"/>
      <c r="E914" s="315"/>
      <c r="F914" s="315"/>
      <c r="G914" s="315"/>
      <c r="H914" s="315"/>
      <c r="I914" s="315"/>
      <c r="J914" s="315"/>
      <c r="K914" s="315"/>
      <c r="L914" s="315"/>
      <c r="M914" s="315"/>
      <c r="N914" s="315"/>
      <c r="O914" s="315"/>
      <c r="P914" s="315"/>
      <c r="Q914" s="315"/>
      <c r="R914" s="315"/>
      <c r="S914" s="315"/>
      <c r="T914" s="315"/>
      <c r="U914" s="315"/>
      <c r="V914" s="315"/>
      <c r="W914" s="315"/>
      <c r="X914" s="315"/>
      <c r="Y914" s="315"/>
      <c r="Z914" s="315"/>
      <c r="AA914" s="315"/>
      <c r="AB914" s="315"/>
      <c r="AC914" s="315"/>
      <c r="AD914" s="315"/>
      <c r="AE914" s="315"/>
      <c r="AF914" s="315"/>
      <c r="AG914" s="315"/>
      <c r="AH914" s="315"/>
      <c r="AI914" s="315"/>
      <c r="AJ914" s="315"/>
      <c r="AK914" s="315"/>
      <c r="AL914" s="315"/>
      <c r="AM914" s="315"/>
      <c r="AN914" s="315"/>
    </row>
    <row r="915">
      <c r="A915" s="315"/>
      <c r="B915" s="315"/>
      <c r="C915" s="315"/>
      <c r="D915" s="315"/>
      <c r="E915" s="315"/>
      <c r="F915" s="315"/>
      <c r="G915" s="315"/>
      <c r="H915" s="315"/>
      <c r="I915" s="315"/>
      <c r="J915" s="315"/>
      <c r="K915" s="315"/>
      <c r="L915" s="315"/>
      <c r="M915" s="315"/>
      <c r="N915" s="315"/>
      <c r="O915" s="315"/>
      <c r="P915" s="315"/>
      <c r="Q915" s="315"/>
      <c r="R915" s="315"/>
      <c r="S915" s="315"/>
      <c r="T915" s="315"/>
      <c r="U915" s="315"/>
      <c r="V915" s="315"/>
      <c r="W915" s="315"/>
      <c r="X915" s="315"/>
      <c r="Y915" s="315"/>
      <c r="Z915" s="315"/>
      <c r="AA915" s="315"/>
      <c r="AB915" s="315"/>
      <c r="AC915" s="315"/>
      <c r="AD915" s="315"/>
      <c r="AE915" s="315"/>
      <c r="AF915" s="315"/>
      <c r="AG915" s="315"/>
      <c r="AH915" s="315"/>
      <c r="AI915" s="315"/>
      <c r="AJ915" s="315"/>
      <c r="AK915" s="315"/>
      <c r="AL915" s="315"/>
      <c r="AM915" s="315"/>
      <c r="AN915" s="315"/>
    </row>
    <row r="916">
      <c r="A916" s="315"/>
      <c r="B916" s="315"/>
      <c r="C916" s="315"/>
      <c r="D916" s="315"/>
      <c r="E916" s="315"/>
      <c r="F916" s="315"/>
      <c r="G916" s="315"/>
      <c r="H916" s="315"/>
      <c r="I916" s="315"/>
      <c r="J916" s="315"/>
      <c r="K916" s="315"/>
      <c r="L916" s="315"/>
      <c r="M916" s="315"/>
      <c r="N916" s="315"/>
      <c r="O916" s="315"/>
      <c r="P916" s="315"/>
      <c r="Q916" s="315"/>
      <c r="R916" s="315"/>
      <c r="S916" s="315"/>
      <c r="T916" s="315"/>
      <c r="U916" s="315"/>
      <c r="V916" s="315"/>
      <c r="W916" s="315"/>
      <c r="X916" s="315"/>
      <c r="Y916" s="315"/>
      <c r="Z916" s="315"/>
      <c r="AA916" s="315"/>
      <c r="AB916" s="315"/>
      <c r="AC916" s="315"/>
      <c r="AD916" s="315"/>
      <c r="AE916" s="315"/>
      <c r="AF916" s="315"/>
      <c r="AG916" s="315"/>
      <c r="AH916" s="315"/>
      <c r="AI916" s="315"/>
      <c r="AJ916" s="315"/>
      <c r="AK916" s="315"/>
      <c r="AL916" s="315"/>
      <c r="AM916" s="315"/>
      <c r="AN916" s="315"/>
    </row>
    <row r="917">
      <c r="A917" s="315"/>
      <c r="B917" s="315"/>
      <c r="C917" s="315"/>
      <c r="D917" s="315"/>
      <c r="E917" s="315"/>
      <c r="F917" s="315"/>
      <c r="G917" s="315"/>
      <c r="H917" s="315"/>
      <c r="I917" s="315"/>
      <c r="J917" s="315"/>
      <c r="K917" s="315"/>
      <c r="L917" s="315"/>
      <c r="M917" s="315"/>
      <c r="N917" s="315"/>
      <c r="O917" s="315"/>
      <c r="P917" s="315"/>
      <c r="Q917" s="315"/>
      <c r="R917" s="315"/>
      <c r="S917" s="315"/>
      <c r="T917" s="315"/>
      <c r="U917" s="315"/>
      <c r="V917" s="315"/>
      <c r="W917" s="315"/>
      <c r="X917" s="315"/>
      <c r="Y917" s="315"/>
      <c r="Z917" s="315"/>
      <c r="AA917" s="315"/>
      <c r="AB917" s="315"/>
      <c r="AC917" s="315"/>
      <c r="AD917" s="315"/>
      <c r="AE917" s="315"/>
      <c r="AF917" s="315"/>
      <c r="AG917" s="315"/>
      <c r="AH917" s="315"/>
      <c r="AI917" s="315"/>
      <c r="AJ917" s="315"/>
      <c r="AK917" s="315"/>
      <c r="AL917" s="315"/>
      <c r="AM917" s="315"/>
      <c r="AN917" s="315"/>
    </row>
    <row r="918">
      <c r="A918" s="315"/>
      <c r="B918" s="315"/>
      <c r="C918" s="315"/>
      <c r="D918" s="315"/>
      <c r="E918" s="315"/>
      <c r="F918" s="315"/>
      <c r="G918" s="315"/>
      <c r="H918" s="315"/>
      <c r="I918" s="315"/>
      <c r="J918" s="315"/>
      <c r="K918" s="315"/>
      <c r="L918" s="315"/>
      <c r="M918" s="315"/>
      <c r="N918" s="315"/>
      <c r="O918" s="315"/>
      <c r="P918" s="315"/>
      <c r="Q918" s="315"/>
      <c r="R918" s="315"/>
      <c r="S918" s="315"/>
      <c r="T918" s="315"/>
      <c r="U918" s="315"/>
      <c r="V918" s="315"/>
      <c r="W918" s="315"/>
      <c r="X918" s="315"/>
      <c r="Y918" s="315"/>
      <c r="Z918" s="315"/>
      <c r="AA918" s="315"/>
      <c r="AB918" s="315"/>
      <c r="AC918" s="315"/>
      <c r="AD918" s="315"/>
      <c r="AE918" s="315"/>
      <c r="AF918" s="315"/>
      <c r="AG918" s="315"/>
      <c r="AH918" s="315"/>
      <c r="AI918" s="315"/>
      <c r="AJ918" s="315"/>
      <c r="AK918" s="315"/>
      <c r="AL918" s="315"/>
      <c r="AM918" s="315"/>
      <c r="AN918" s="315"/>
    </row>
    <row r="919">
      <c r="A919" s="315"/>
      <c r="B919" s="315"/>
      <c r="C919" s="315"/>
      <c r="D919" s="315"/>
      <c r="E919" s="315"/>
      <c r="F919" s="315"/>
      <c r="G919" s="315"/>
      <c r="H919" s="315"/>
      <c r="I919" s="315"/>
      <c r="J919" s="315"/>
      <c r="K919" s="315"/>
      <c r="L919" s="315"/>
      <c r="M919" s="315"/>
      <c r="N919" s="315"/>
      <c r="O919" s="315"/>
      <c r="P919" s="315"/>
      <c r="Q919" s="315"/>
      <c r="R919" s="315"/>
      <c r="S919" s="315"/>
      <c r="T919" s="315"/>
      <c r="U919" s="315"/>
      <c r="V919" s="315"/>
      <c r="W919" s="315"/>
      <c r="X919" s="315"/>
      <c r="Y919" s="315"/>
      <c r="Z919" s="315"/>
      <c r="AA919" s="315"/>
      <c r="AB919" s="315"/>
      <c r="AC919" s="315"/>
      <c r="AD919" s="315"/>
      <c r="AE919" s="315"/>
      <c r="AF919" s="315"/>
      <c r="AG919" s="315"/>
      <c r="AH919" s="315"/>
      <c r="AI919" s="315"/>
      <c r="AJ919" s="315"/>
      <c r="AK919" s="315"/>
      <c r="AL919" s="315"/>
      <c r="AM919" s="315"/>
      <c r="AN919" s="315"/>
    </row>
    <row r="920">
      <c r="A920" s="315"/>
      <c r="B920" s="315"/>
      <c r="C920" s="315"/>
      <c r="D920" s="315"/>
      <c r="E920" s="315"/>
      <c r="F920" s="315"/>
      <c r="G920" s="315"/>
      <c r="H920" s="315"/>
      <c r="I920" s="315"/>
      <c r="J920" s="315"/>
      <c r="K920" s="315"/>
      <c r="L920" s="315"/>
      <c r="M920" s="315"/>
      <c r="N920" s="315"/>
      <c r="O920" s="315"/>
      <c r="P920" s="315"/>
      <c r="Q920" s="315"/>
      <c r="R920" s="315"/>
      <c r="S920" s="315"/>
      <c r="T920" s="315"/>
      <c r="U920" s="315"/>
      <c r="V920" s="315"/>
      <c r="W920" s="315"/>
      <c r="X920" s="315"/>
      <c r="Y920" s="315"/>
      <c r="Z920" s="315"/>
      <c r="AA920" s="315"/>
      <c r="AB920" s="315"/>
      <c r="AC920" s="315"/>
      <c r="AD920" s="315"/>
      <c r="AE920" s="315"/>
      <c r="AF920" s="315"/>
      <c r="AG920" s="315"/>
      <c r="AH920" s="315"/>
      <c r="AI920" s="315"/>
      <c r="AJ920" s="315"/>
      <c r="AK920" s="315"/>
      <c r="AL920" s="315"/>
      <c r="AM920" s="315"/>
      <c r="AN920" s="315"/>
    </row>
    <row r="921">
      <c r="A921" s="315"/>
      <c r="B921" s="315"/>
      <c r="C921" s="315"/>
      <c r="D921" s="315"/>
      <c r="E921" s="315"/>
      <c r="F921" s="315"/>
      <c r="G921" s="315"/>
      <c r="H921" s="315"/>
      <c r="I921" s="315"/>
      <c r="J921" s="315"/>
      <c r="K921" s="315"/>
      <c r="L921" s="315"/>
      <c r="M921" s="315"/>
      <c r="N921" s="315"/>
      <c r="O921" s="315"/>
      <c r="P921" s="315"/>
      <c r="Q921" s="315"/>
      <c r="R921" s="315"/>
      <c r="S921" s="315"/>
      <c r="T921" s="315"/>
      <c r="U921" s="315"/>
      <c r="V921" s="315"/>
      <c r="W921" s="315"/>
      <c r="X921" s="315"/>
      <c r="Y921" s="315"/>
      <c r="Z921" s="315"/>
      <c r="AA921" s="315"/>
      <c r="AB921" s="315"/>
      <c r="AC921" s="315"/>
      <c r="AD921" s="315"/>
      <c r="AE921" s="315"/>
      <c r="AF921" s="315"/>
      <c r="AG921" s="315"/>
      <c r="AH921" s="315"/>
      <c r="AI921" s="315"/>
      <c r="AJ921" s="315"/>
      <c r="AK921" s="315"/>
      <c r="AL921" s="315"/>
      <c r="AM921" s="315"/>
      <c r="AN921" s="315"/>
    </row>
    <row r="922">
      <c r="A922" s="315"/>
      <c r="B922" s="315"/>
      <c r="C922" s="315"/>
      <c r="D922" s="315"/>
      <c r="E922" s="315"/>
      <c r="F922" s="315"/>
      <c r="G922" s="315"/>
      <c r="H922" s="315"/>
      <c r="I922" s="315"/>
      <c r="J922" s="315"/>
      <c r="K922" s="315"/>
      <c r="L922" s="315"/>
      <c r="M922" s="315"/>
      <c r="N922" s="315"/>
      <c r="O922" s="315"/>
      <c r="P922" s="315"/>
      <c r="Q922" s="315"/>
      <c r="R922" s="315"/>
      <c r="S922" s="315"/>
      <c r="T922" s="315"/>
      <c r="U922" s="315"/>
      <c r="V922" s="315"/>
      <c r="W922" s="315"/>
      <c r="X922" s="315"/>
      <c r="Y922" s="315"/>
      <c r="Z922" s="315"/>
      <c r="AA922" s="315"/>
      <c r="AB922" s="315"/>
      <c r="AC922" s="315"/>
      <c r="AD922" s="315"/>
      <c r="AE922" s="315"/>
      <c r="AF922" s="315"/>
      <c r="AG922" s="315"/>
      <c r="AH922" s="315"/>
      <c r="AI922" s="315"/>
      <c r="AJ922" s="315"/>
      <c r="AK922" s="315"/>
      <c r="AL922" s="315"/>
      <c r="AM922" s="315"/>
      <c r="AN922" s="315"/>
    </row>
    <row r="923">
      <c r="A923" s="315"/>
      <c r="B923" s="315"/>
      <c r="C923" s="315"/>
      <c r="D923" s="315"/>
      <c r="E923" s="315"/>
      <c r="F923" s="315"/>
      <c r="G923" s="315"/>
      <c r="H923" s="315"/>
      <c r="I923" s="315"/>
      <c r="J923" s="315"/>
      <c r="K923" s="315"/>
      <c r="L923" s="315"/>
      <c r="M923" s="315"/>
      <c r="N923" s="315"/>
      <c r="O923" s="315"/>
      <c r="P923" s="315"/>
      <c r="Q923" s="315"/>
      <c r="R923" s="315"/>
      <c r="S923" s="315"/>
      <c r="T923" s="315"/>
      <c r="U923" s="315"/>
      <c r="V923" s="315"/>
      <c r="W923" s="315"/>
      <c r="X923" s="315"/>
      <c r="Y923" s="315"/>
      <c r="Z923" s="315"/>
      <c r="AA923" s="315"/>
      <c r="AB923" s="315"/>
      <c r="AC923" s="315"/>
      <c r="AD923" s="315"/>
      <c r="AE923" s="315"/>
      <c r="AF923" s="315"/>
      <c r="AG923" s="315"/>
      <c r="AH923" s="315"/>
      <c r="AI923" s="315"/>
      <c r="AJ923" s="315"/>
      <c r="AK923" s="315"/>
      <c r="AL923" s="315"/>
      <c r="AM923" s="315"/>
      <c r="AN923" s="315"/>
    </row>
    <row r="924">
      <c r="A924" s="315"/>
      <c r="B924" s="315"/>
      <c r="C924" s="315"/>
      <c r="D924" s="315"/>
      <c r="E924" s="315"/>
      <c r="F924" s="315"/>
      <c r="G924" s="315"/>
      <c r="H924" s="315"/>
      <c r="I924" s="315"/>
      <c r="J924" s="315"/>
      <c r="K924" s="315"/>
      <c r="L924" s="315"/>
      <c r="M924" s="315"/>
      <c r="N924" s="315"/>
      <c r="O924" s="315"/>
      <c r="P924" s="315"/>
      <c r="Q924" s="315"/>
      <c r="R924" s="315"/>
      <c r="S924" s="315"/>
      <c r="T924" s="315"/>
      <c r="U924" s="315"/>
      <c r="V924" s="315"/>
      <c r="W924" s="315"/>
      <c r="X924" s="315"/>
      <c r="Y924" s="315"/>
      <c r="Z924" s="315"/>
      <c r="AA924" s="315"/>
      <c r="AB924" s="315"/>
      <c r="AC924" s="315"/>
      <c r="AD924" s="315"/>
      <c r="AE924" s="315"/>
      <c r="AF924" s="315"/>
      <c r="AG924" s="315"/>
      <c r="AH924" s="315"/>
      <c r="AI924" s="315"/>
      <c r="AJ924" s="315"/>
      <c r="AK924" s="315"/>
      <c r="AL924" s="315"/>
      <c r="AM924" s="315"/>
      <c r="AN924" s="315"/>
    </row>
    <row r="925">
      <c r="A925" s="315"/>
      <c r="B925" s="315"/>
      <c r="C925" s="315"/>
      <c r="D925" s="315"/>
      <c r="E925" s="315"/>
      <c r="F925" s="315"/>
      <c r="G925" s="315"/>
      <c r="H925" s="315"/>
      <c r="I925" s="315"/>
      <c r="J925" s="315"/>
      <c r="K925" s="315"/>
      <c r="L925" s="315"/>
      <c r="M925" s="315"/>
      <c r="N925" s="315"/>
      <c r="O925" s="315"/>
      <c r="P925" s="315"/>
      <c r="Q925" s="315"/>
      <c r="R925" s="315"/>
      <c r="S925" s="315"/>
      <c r="T925" s="315"/>
      <c r="U925" s="315"/>
      <c r="V925" s="315"/>
      <c r="W925" s="315"/>
      <c r="X925" s="315"/>
      <c r="Y925" s="315"/>
      <c r="Z925" s="315"/>
      <c r="AA925" s="315"/>
      <c r="AB925" s="315"/>
      <c r="AC925" s="315"/>
      <c r="AD925" s="315"/>
      <c r="AE925" s="315"/>
      <c r="AF925" s="315"/>
      <c r="AG925" s="315"/>
      <c r="AH925" s="315"/>
      <c r="AI925" s="315"/>
      <c r="AJ925" s="315"/>
      <c r="AK925" s="315"/>
      <c r="AL925" s="315"/>
      <c r="AM925" s="315"/>
      <c r="AN925" s="315"/>
    </row>
    <row r="926">
      <c r="A926" s="315"/>
      <c r="B926" s="315"/>
      <c r="C926" s="315"/>
      <c r="D926" s="315"/>
      <c r="E926" s="315"/>
      <c r="F926" s="315"/>
      <c r="G926" s="315"/>
      <c r="H926" s="315"/>
      <c r="I926" s="315"/>
      <c r="J926" s="315"/>
      <c r="K926" s="315"/>
      <c r="L926" s="315"/>
      <c r="M926" s="315"/>
      <c r="N926" s="315"/>
      <c r="O926" s="315"/>
      <c r="P926" s="315"/>
      <c r="Q926" s="315"/>
      <c r="R926" s="315"/>
      <c r="S926" s="315"/>
      <c r="T926" s="315"/>
      <c r="U926" s="315"/>
      <c r="V926" s="315"/>
      <c r="W926" s="315"/>
      <c r="X926" s="315"/>
      <c r="Y926" s="315"/>
      <c r="Z926" s="315"/>
      <c r="AA926" s="315"/>
      <c r="AB926" s="315"/>
      <c r="AC926" s="315"/>
      <c r="AD926" s="315"/>
      <c r="AE926" s="315"/>
      <c r="AF926" s="315"/>
      <c r="AG926" s="315"/>
      <c r="AH926" s="315"/>
      <c r="AI926" s="315"/>
      <c r="AJ926" s="315"/>
      <c r="AK926" s="315"/>
      <c r="AL926" s="315"/>
      <c r="AM926" s="315"/>
      <c r="AN926" s="315"/>
    </row>
    <row r="927">
      <c r="A927" s="315"/>
      <c r="B927" s="315"/>
      <c r="C927" s="315"/>
      <c r="D927" s="315"/>
      <c r="E927" s="315"/>
      <c r="F927" s="315"/>
      <c r="G927" s="315"/>
      <c r="H927" s="315"/>
      <c r="I927" s="315"/>
      <c r="J927" s="315"/>
      <c r="K927" s="315"/>
      <c r="L927" s="315"/>
      <c r="M927" s="315"/>
      <c r="N927" s="315"/>
      <c r="O927" s="315"/>
      <c r="P927" s="315"/>
      <c r="Q927" s="315"/>
      <c r="R927" s="315"/>
      <c r="S927" s="315"/>
      <c r="T927" s="315"/>
      <c r="U927" s="315"/>
      <c r="V927" s="315"/>
      <c r="W927" s="315"/>
      <c r="X927" s="315"/>
      <c r="Y927" s="315"/>
      <c r="Z927" s="315"/>
      <c r="AA927" s="315"/>
      <c r="AB927" s="315"/>
      <c r="AC927" s="315"/>
      <c r="AD927" s="315"/>
      <c r="AE927" s="315"/>
      <c r="AF927" s="315"/>
      <c r="AG927" s="315"/>
      <c r="AH927" s="315"/>
      <c r="AI927" s="315"/>
      <c r="AJ927" s="315"/>
      <c r="AK927" s="315"/>
      <c r="AL927" s="315"/>
      <c r="AM927" s="315"/>
      <c r="AN927" s="315"/>
    </row>
    <row r="928">
      <c r="A928" s="315"/>
      <c r="B928" s="315"/>
      <c r="C928" s="315"/>
      <c r="D928" s="315"/>
      <c r="E928" s="315"/>
      <c r="F928" s="315"/>
      <c r="G928" s="315"/>
      <c r="H928" s="315"/>
      <c r="I928" s="315"/>
      <c r="J928" s="315"/>
      <c r="K928" s="315"/>
      <c r="L928" s="315"/>
      <c r="M928" s="315"/>
      <c r="N928" s="315"/>
      <c r="O928" s="315"/>
      <c r="P928" s="315"/>
      <c r="Q928" s="315"/>
      <c r="R928" s="315"/>
      <c r="S928" s="315"/>
      <c r="T928" s="315"/>
      <c r="U928" s="315"/>
      <c r="V928" s="315"/>
      <c r="W928" s="315"/>
      <c r="X928" s="315"/>
      <c r="Y928" s="315"/>
      <c r="Z928" s="315"/>
      <c r="AA928" s="315"/>
      <c r="AB928" s="315"/>
      <c r="AC928" s="315"/>
      <c r="AD928" s="315"/>
      <c r="AE928" s="315"/>
      <c r="AF928" s="315"/>
      <c r="AG928" s="315"/>
      <c r="AH928" s="315"/>
      <c r="AI928" s="315"/>
      <c r="AJ928" s="315"/>
      <c r="AK928" s="315"/>
      <c r="AL928" s="315"/>
      <c r="AM928" s="315"/>
      <c r="AN928" s="315"/>
    </row>
    <row r="929">
      <c r="A929" s="315"/>
      <c r="B929" s="315"/>
      <c r="C929" s="315"/>
      <c r="D929" s="315"/>
      <c r="E929" s="315"/>
      <c r="F929" s="315"/>
      <c r="G929" s="315"/>
      <c r="H929" s="315"/>
      <c r="I929" s="315"/>
      <c r="J929" s="315"/>
      <c r="K929" s="315"/>
      <c r="L929" s="315"/>
      <c r="M929" s="315"/>
      <c r="N929" s="315"/>
      <c r="O929" s="315"/>
      <c r="P929" s="315"/>
      <c r="Q929" s="315"/>
      <c r="R929" s="315"/>
      <c r="S929" s="315"/>
      <c r="T929" s="315"/>
      <c r="U929" s="315"/>
      <c r="V929" s="315"/>
      <c r="W929" s="315"/>
      <c r="X929" s="315"/>
      <c r="Y929" s="315"/>
      <c r="Z929" s="315"/>
      <c r="AA929" s="315"/>
      <c r="AB929" s="315"/>
      <c r="AC929" s="315"/>
      <c r="AD929" s="315"/>
      <c r="AE929" s="315"/>
      <c r="AF929" s="315"/>
      <c r="AG929" s="315"/>
      <c r="AH929" s="315"/>
      <c r="AI929" s="315"/>
      <c r="AJ929" s="315"/>
      <c r="AK929" s="315"/>
      <c r="AL929" s="315"/>
      <c r="AM929" s="315"/>
      <c r="AN929" s="315"/>
    </row>
    <row r="930">
      <c r="A930" s="315"/>
      <c r="B930" s="315"/>
      <c r="C930" s="315"/>
      <c r="D930" s="315"/>
      <c r="E930" s="315"/>
      <c r="F930" s="315"/>
      <c r="G930" s="315"/>
      <c r="H930" s="315"/>
      <c r="I930" s="315"/>
      <c r="J930" s="315"/>
      <c r="K930" s="315"/>
      <c r="L930" s="315"/>
      <c r="M930" s="315"/>
      <c r="N930" s="315"/>
      <c r="O930" s="315"/>
      <c r="P930" s="315"/>
      <c r="Q930" s="315"/>
      <c r="R930" s="315"/>
      <c r="S930" s="315"/>
      <c r="T930" s="315"/>
      <c r="U930" s="315"/>
      <c r="V930" s="315"/>
      <c r="W930" s="315"/>
      <c r="X930" s="315"/>
      <c r="Y930" s="315"/>
      <c r="Z930" s="315"/>
      <c r="AA930" s="315"/>
      <c r="AB930" s="315"/>
      <c r="AC930" s="315"/>
      <c r="AD930" s="315"/>
      <c r="AE930" s="315"/>
      <c r="AF930" s="315"/>
      <c r="AG930" s="315"/>
      <c r="AH930" s="315"/>
      <c r="AI930" s="315"/>
      <c r="AJ930" s="315"/>
      <c r="AK930" s="315"/>
      <c r="AL930" s="315"/>
      <c r="AM930" s="315"/>
      <c r="AN930" s="315"/>
    </row>
    <row r="931">
      <c r="A931" s="315"/>
      <c r="B931" s="315"/>
      <c r="C931" s="315"/>
      <c r="D931" s="315"/>
      <c r="E931" s="315"/>
      <c r="F931" s="315"/>
      <c r="G931" s="315"/>
      <c r="H931" s="315"/>
      <c r="I931" s="315"/>
      <c r="J931" s="315"/>
      <c r="K931" s="315"/>
      <c r="L931" s="315"/>
      <c r="M931" s="315"/>
      <c r="N931" s="315"/>
      <c r="O931" s="315"/>
      <c r="P931" s="315"/>
      <c r="Q931" s="315"/>
      <c r="R931" s="315"/>
      <c r="S931" s="315"/>
      <c r="T931" s="315"/>
      <c r="U931" s="315"/>
      <c r="V931" s="315"/>
      <c r="W931" s="315"/>
      <c r="X931" s="315"/>
      <c r="Y931" s="315"/>
      <c r="Z931" s="315"/>
      <c r="AA931" s="315"/>
      <c r="AB931" s="315"/>
      <c r="AC931" s="315"/>
      <c r="AD931" s="315"/>
      <c r="AE931" s="315"/>
      <c r="AF931" s="315"/>
      <c r="AG931" s="315"/>
      <c r="AH931" s="315"/>
      <c r="AI931" s="315"/>
      <c r="AJ931" s="315"/>
      <c r="AK931" s="315"/>
      <c r="AL931" s="315"/>
      <c r="AM931" s="315"/>
      <c r="AN931" s="315"/>
    </row>
    <row r="932">
      <c r="A932" s="315"/>
      <c r="B932" s="315"/>
      <c r="C932" s="315"/>
      <c r="D932" s="315"/>
      <c r="E932" s="315"/>
      <c r="F932" s="315"/>
      <c r="G932" s="315"/>
      <c r="H932" s="315"/>
      <c r="I932" s="315"/>
      <c r="J932" s="315"/>
      <c r="K932" s="315"/>
      <c r="L932" s="315"/>
      <c r="M932" s="315"/>
      <c r="N932" s="315"/>
      <c r="O932" s="315"/>
      <c r="P932" s="315"/>
      <c r="Q932" s="315"/>
      <c r="R932" s="315"/>
      <c r="S932" s="315"/>
      <c r="T932" s="315"/>
      <c r="U932" s="315"/>
      <c r="V932" s="315"/>
      <c r="W932" s="315"/>
      <c r="X932" s="315"/>
      <c r="Y932" s="315"/>
      <c r="Z932" s="315"/>
      <c r="AA932" s="315"/>
      <c r="AB932" s="315"/>
      <c r="AC932" s="315"/>
      <c r="AD932" s="315"/>
      <c r="AE932" s="315"/>
      <c r="AF932" s="315"/>
      <c r="AG932" s="315"/>
      <c r="AH932" s="315"/>
      <c r="AI932" s="315"/>
      <c r="AJ932" s="315"/>
      <c r="AK932" s="315"/>
      <c r="AL932" s="315"/>
      <c r="AM932" s="315"/>
      <c r="AN932" s="315"/>
    </row>
    <row r="933">
      <c r="A933" s="315"/>
      <c r="B933" s="315"/>
      <c r="C933" s="315"/>
      <c r="D933" s="315"/>
      <c r="E933" s="315"/>
      <c r="F933" s="315"/>
      <c r="G933" s="315"/>
      <c r="H933" s="315"/>
      <c r="I933" s="315"/>
      <c r="J933" s="315"/>
      <c r="K933" s="315"/>
      <c r="L933" s="315"/>
      <c r="M933" s="315"/>
      <c r="N933" s="315"/>
      <c r="O933" s="315"/>
      <c r="P933" s="315"/>
      <c r="Q933" s="315"/>
      <c r="R933" s="315"/>
      <c r="S933" s="315"/>
      <c r="T933" s="315"/>
      <c r="U933" s="315"/>
      <c r="V933" s="315"/>
      <c r="W933" s="315"/>
      <c r="X933" s="315"/>
      <c r="Y933" s="315"/>
      <c r="Z933" s="315"/>
      <c r="AA933" s="315"/>
      <c r="AB933" s="315"/>
      <c r="AC933" s="315"/>
      <c r="AD933" s="315"/>
      <c r="AE933" s="315"/>
      <c r="AF933" s="315"/>
      <c r="AG933" s="315"/>
      <c r="AH933" s="315"/>
      <c r="AI933" s="315"/>
      <c r="AJ933" s="315"/>
      <c r="AK933" s="315"/>
      <c r="AL933" s="315"/>
      <c r="AM933" s="315"/>
      <c r="AN933" s="315"/>
    </row>
    <row r="934">
      <c r="A934" s="315"/>
      <c r="B934" s="315"/>
      <c r="C934" s="315"/>
      <c r="D934" s="315"/>
      <c r="E934" s="315"/>
      <c r="F934" s="315"/>
      <c r="G934" s="315"/>
      <c r="H934" s="315"/>
      <c r="I934" s="315"/>
      <c r="J934" s="315"/>
      <c r="K934" s="315"/>
      <c r="L934" s="315"/>
      <c r="M934" s="315"/>
      <c r="N934" s="315"/>
      <c r="O934" s="315"/>
      <c r="P934" s="315"/>
      <c r="Q934" s="315"/>
      <c r="R934" s="315"/>
      <c r="S934" s="315"/>
      <c r="T934" s="315"/>
      <c r="U934" s="315"/>
      <c r="V934" s="315"/>
      <c r="W934" s="315"/>
      <c r="X934" s="315"/>
      <c r="Y934" s="315"/>
      <c r="Z934" s="315"/>
      <c r="AA934" s="315"/>
      <c r="AB934" s="315"/>
      <c r="AC934" s="315"/>
      <c r="AD934" s="315"/>
      <c r="AE934" s="315"/>
      <c r="AF934" s="315"/>
      <c r="AG934" s="315"/>
      <c r="AH934" s="315"/>
      <c r="AI934" s="315"/>
      <c r="AJ934" s="315"/>
      <c r="AK934" s="315"/>
      <c r="AL934" s="315"/>
      <c r="AM934" s="315"/>
      <c r="AN934" s="315"/>
    </row>
    <row r="935">
      <c r="A935" s="315"/>
      <c r="B935" s="315"/>
      <c r="C935" s="315"/>
      <c r="D935" s="315"/>
      <c r="E935" s="315"/>
      <c r="F935" s="315"/>
      <c r="G935" s="315"/>
      <c r="H935" s="315"/>
      <c r="I935" s="315"/>
      <c r="J935" s="315"/>
      <c r="K935" s="315"/>
      <c r="L935" s="315"/>
      <c r="M935" s="315"/>
      <c r="N935" s="315"/>
      <c r="O935" s="315"/>
      <c r="P935" s="315"/>
      <c r="Q935" s="315"/>
      <c r="R935" s="315"/>
      <c r="S935" s="315"/>
      <c r="T935" s="315"/>
      <c r="U935" s="315"/>
      <c r="V935" s="315"/>
      <c r="W935" s="315"/>
      <c r="X935" s="315"/>
      <c r="Y935" s="315"/>
      <c r="Z935" s="315"/>
      <c r="AA935" s="315"/>
      <c r="AB935" s="315"/>
      <c r="AC935" s="315"/>
      <c r="AD935" s="315"/>
      <c r="AE935" s="315"/>
      <c r="AF935" s="315"/>
      <c r="AG935" s="315"/>
      <c r="AH935" s="315"/>
      <c r="AI935" s="315"/>
      <c r="AJ935" s="315"/>
      <c r="AK935" s="315"/>
      <c r="AL935" s="315"/>
      <c r="AM935" s="315"/>
      <c r="AN935" s="315"/>
    </row>
    <row r="936">
      <c r="A936" s="315"/>
      <c r="B936" s="315"/>
      <c r="C936" s="315"/>
      <c r="D936" s="315"/>
      <c r="E936" s="315"/>
      <c r="F936" s="315"/>
      <c r="G936" s="315"/>
      <c r="H936" s="315"/>
      <c r="I936" s="315"/>
      <c r="J936" s="315"/>
      <c r="K936" s="315"/>
      <c r="L936" s="315"/>
      <c r="M936" s="315"/>
      <c r="N936" s="315"/>
      <c r="O936" s="315"/>
      <c r="P936" s="315"/>
      <c r="Q936" s="315"/>
      <c r="R936" s="315"/>
      <c r="S936" s="315"/>
      <c r="T936" s="315"/>
      <c r="U936" s="315"/>
      <c r="V936" s="315"/>
      <c r="W936" s="315"/>
      <c r="X936" s="315"/>
      <c r="Y936" s="315"/>
      <c r="Z936" s="315"/>
      <c r="AA936" s="315"/>
      <c r="AB936" s="315"/>
      <c r="AC936" s="315"/>
      <c r="AD936" s="315"/>
      <c r="AE936" s="315"/>
      <c r="AF936" s="315"/>
      <c r="AG936" s="315"/>
      <c r="AH936" s="315"/>
      <c r="AI936" s="315"/>
      <c r="AJ936" s="315"/>
      <c r="AK936" s="315"/>
      <c r="AL936" s="315"/>
      <c r="AM936" s="315"/>
      <c r="AN936" s="315"/>
    </row>
    <row r="937">
      <c r="A937" s="315"/>
      <c r="B937" s="315"/>
      <c r="C937" s="315"/>
      <c r="D937" s="315"/>
      <c r="E937" s="315"/>
      <c r="F937" s="315"/>
      <c r="G937" s="315"/>
      <c r="H937" s="315"/>
      <c r="I937" s="315"/>
      <c r="J937" s="315"/>
      <c r="K937" s="315"/>
      <c r="L937" s="315"/>
      <c r="M937" s="315"/>
      <c r="N937" s="315"/>
      <c r="O937" s="315"/>
      <c r="P937" s="315"/>
      <c r="Q937" s="315"/>
      <c r="R937" s="315"/>
      <c r="S937" s="315"/>
      <c r="T937" s="315"/>
      <c r="U937" s="315"/>
      <c r="V937" s="315"/>
      <c r="W937" s="315"/>
      <c r="X937" s="315"/>
      <c r="Y937" s="315"/>
      <c r="Z937" s="315"/>
      <c r="AA937" s="315"/>
      <c r="AB937" s="315"/>
      <c r="AC937" s="315"/>
      <c r="AD937" s="315"/>
      <c r="AE937" s="315"/>
      <c r="AF937" s="315"/>
      <c r="AG937" s="315"/>
      <c r="AH937" s="315"/>
      <c r="AI937" s="315"/>
      <c r="AJ937" s="315"/>
      <c r="AK937" s="315"/>
      <c r="AL937" s="315"/>
      <c r="AM937" s="315"/>
      <c r="AN937" s="315"/>
    </row>
    <row r="938">
      <c r="A938" s="315"/>
      <c r="B938" s="315"/>
      <c r="C938" s="315"/>
      <c r="D938" s="315"/>
      <c r="E938" s="315"/>
      <c r="F938" s="315"/>
      <c r="G938" s="315"/>
      <c r="H938" s="315"/>
      <c r="I938" s="315"/>
      <c r="J938" s="315"/>
      <c r="K938" s="315"/>
      <c r="L938" s="315"/>
      <c r="M938" s="315"/>
      <c r="N938" s="315"/>
      <c r="O938" s="315"/>
      <c r="P938" s="315"/>
      <c r="Q938" s="315"/>
      <c r="R938" s="315"/>
      <c r="S938" s="315"/>
      <c r="T938" s="315"/>
      <c r="U938" s="315"/>
      <c r="V938" s="315"/>
      <c r="W938" s="315"/>
      <c r="X938" s="315"/>
      <c r="Y938" s="315"/>
      <c r="Z938" s="315"/>
      <c r="AA938" s="315"/>
      <c r="AB938" s="315"/>
      <c r="AC938" s="315"/>
      <c r="AD938" s="315"/>
      <c r="AE938" s="315"/>
      <c r="AF938" s="315"/>
      <c r="AG938" s="315"/>
      <c r="AH938" s="315"/>
      <c r="AI938" s="315"/>
      <c r="AJ938" s="315"/>
      <c r="AK938" s="315"/>
      <c r="AL938" s="315"/>
      <c r="AM938" s="315"/>
      <c r="AN938" s="315"/>
    </row>
    <row r="939">
      <c r="A939" s="315"/>
      <c r="B939" s="315"/>
      <c r="C939" s="315"/>
      <c r="D939" s="315"/>
      <c r="E939" s="315"/>
      <c r="F939" s="315"/>
      <c r="G939" s="315"/>
      <c r="H939" s="315"/>
      <c r="I939" s="315"/>
      <c r="J939" s="315"/>
      <c r="K939" s="315"/>
      <c r="L939" s="315"/>
      <c r="M939" s="315"/>
      <c r="N939" s="315"/>
      <c r="O939" s="315"/>
      <c r="P939" s="315"/>
      <c r="Q939" s="315"/>
      <c r="R939" s="315"/>
      <c r="S939" s="315"/>
      <c r="T939" s="315"/>
      <c r="U939" s="315"/>
      <c r="V939" s="315"/>
      <c r="W939" s="315"/>
      <c r="X939" s="315"/>
      <c r="Y939" s="315"/>
      <c r="Z939" s="315"/>
      <c r="AA939" s="315"/>
      <c r="AB939" s="315"/>
      <c r="AC939" s="315"/>
      <c r="AD939" s="315"/>
      <c r="AE939" s="315"/>
      <c r="AF939" s="315"/>
      <c r="AG939" s="315"/>
      <c r="AH939" s="315"/>
      <c r="AI939" s="315"/>
      <c r="AJ939" s="315"/>
      <c r="AK939" s="315"/>
      <c r="AL939" s="315"/>
      <c r="AM939" s="315"/>
      <c r="AN939" s="315"/>
    </row>
    <row r="940">
      <c r="A940" s="315"/>
      <c r="B940" s="315"/>
      <c r="C940" s="315"/>
      <c r="D940" s="315"/>
      <c r="E940" s="315"/>
      <c r="F940" s="315"/>
      <c r="G940" s="315"/>
      <c r="H940" s="315"/>
      <c r="I940" s="315"/>
      <c r="J940" s="315"/>
      <c r="K940" s="315"/>
      <c r="L940" s="315"/>
      <c r="M940" s="315"/>
      <c r="N940" s="315"/>
      <c r="O940" s="315"/>
      <c r="P940" s="315"/>
      <c r="Q940" s="315"/>
      <c r="R940" s="315"/>
      <c r="S940" s="315"/>
      <c r="T940" s="315"/>
      <c r="U940" s="315"/>
      <c r="V940" s="315"/>
      <c r="W940" s="315"/>
      <c r="X940" s="315"/>
      <c r="Y940" s="315"/>
      <c r="Z940" s="315"/>
      <c r="AA940" s="315"/>
      <c r="AB940" s="315"/>
      <c r="AC940" s="315"/>
      <c r="AD940" s="315"/>
      <c r="AE940" s="315"/>
      <c r="AF940" s="315"/>
      <c r="AG940" s="315"/>
      <c r="AH940" s="315"/>
      <c r="AI940" s="315"/>
      <c r="AJ940" s="315"/>
      <c r="AK940" s="315"/>
      <c r="AL940" s="315"/>
      <c r="AM940" s="315"/>
      <c r="AN940" s="315"/>
    </row>
    <row r="941">
      <c r="A941" s="315"/>
      <c r="B941" s="315"/>
      <c r="C941" s="315"/>
      <c r="D941" s="315"/>
      <c r="E941" s="315"/>
      <c r="F941" s="315"/>
      <c r="G941" s="315"/>
      <c r="H941" s="315"/>
      <c r="I941" s="315"/>
      <c r="J941" s="315"/>
      <c r="K941" s="315"/>
      <c r="L941" s="315"/>
      <c r="M941" s="315"/>
      <c r="N941" s="315"/>
      <c r="O941" s="315"/>
      <c r="P941" s="315"/>
      <c r="Q941" s="315"/>
      <c r="R941" s="315"/>
      <c r="S941" s="315"/>
      <c r="T941" s="315"/>
      <c r="U941" s="315"/>
      <c r="V941" s="315"/>
      <c r="W941" s="315"/>
      <c r="X941" s="315"/>
      <c r="Y941" s="315"/>
      <c r="Z941" s="315"/>
      <c r="AA941" s="315"/>
      <c r="AB941" s="315"/>
      <c r="AC941" s="315"/>
      <c r="AD941" s="315"/>
      <c r="AE941" s="315"/>
      <c r="AF941" s="315"/>
      <c r="AG941" s="315"/>
      <c r="AH941" s="315"/>
      <c r="AI941" s="315"/>
      <c r="AJ941" s="315"/>
      <c r="AK941" s="315"/>
      <c r="AL941" s="315"/>
      <c r="AM941" s="315"/>
      <c r="AN941" s="315"/>
    </row>
    <row r="942">
      <c r="A942" s="315"/>
      <c r="B942" s="315"/>
      <c r="C942" s="315"/>
      <c r="D942" s="315"/>
      <c r="E942" s="315"/>
      <c r="F942" s="315"/>
      <c r="G942" s="315"/>
      <c r="H942" s="315"/>
      <c r="I942" s="315"/>
      <c r="J942" s="315"/>
      <c r="K942" s="315"/>
      <c r="L942" s="315"/>
      <c r="M942" s="315"/>
      <c r="N942" s="315"/>
      <c r="O942" s="315"/>
      <c r="P942" s="315"/>
      <c r="Q942" s="315"/>
      <c r="R942" s="315"/>
      <c r="S942" s="315"/>
      <c r="T942" s="315"/>
      <c r="U942" s="315"/>
      <c r="V942" s="315"/>
      <c r="W942" s="315"/>
      <c r="X942" s="315"/>
      <c r="Y942" s="315"/>
      <c r="Z942" s="315"/>
      <c r="AA942" s="315"/>
      <c r="AB942" s="315"/>
      <c r="AC942" s="315"/>
      <c r="AD942" s="315"/>
      <c r="AE942" s="315"/>
      <c r="AF942" s="315"/>
      <c r="AG942" s="315"/>
      <c r="AH942" s="315"/>
      <c r="AI942" s="315"/>
      <c r="AJ942" s="315"/>
      <c r="AK942" s="315"/>
      <c r="AL942" s="315"/>
      <c r="AM942" s="315"/>
      <c r="AN942" s="315"/>
    </row>
    <row r="943">
      <c r="A943" s="315"/>
      <c r="B943" s="315"/>
      <c r="C943" s="315"/>
      <c r="D943" s="315"/>
      <c r="E943" s="315"/>
      <c r="F943" s="315"/>
      <c r="G943" s="315"/>
      <c r="H943" s="315"/>
      <c r="I943" s="315"/>
      <c r="J943" s="315"/>
      <c r="K943" s="315"/>
      <c r="L943" s="315"/>
      <c r="M943" s="315"/>
      <c r="N943" s="315"/>
      <c r="O943" s="315"/>
      <c r="P943" s="315"/>
      <c r="Q943" s="315"/>
      <c r="R943" s="315"/>
      <c r="S943" s="315"/>
      <c r="T943" s="315"/>
      <c r="U943" s="315"/>
      <c r="V943" s="315"/>
      <c r="W943" s="315"/>
      <c r="X943" s="315"/>
      <c r="Y943" s="315"/>
      <c r="Z943" s="315"/>
      <c r="AA943" s="315"/>
      <c r="AB943" s="315"/>
      <c r="AC943" s="315"/>
      <c r="AD943" s="315"/>
      <c r="AE943" s="315"/>
      <c r="AF943" s="315"/>
      <c r="AG943" s="315"/>
      <c r="AH943" s="315"/>
      <c r="AI943" s="315"/>
      <c r="AJ943" s="315"/>
      <c r="AK943" s="315"/>
      <c r="AL943" s="315"/>
      <c r="AM943" s="315"/>
      <c r="AN943" s="315"/>
    </row>
    <row r="944">
      <c r="A944" s="315"/>
      <c r="B944" s="315"/>
      <c r="C944" s="315"/>
      <c r="D944" s="315"/>
      <c r="E944" s="315"/>
      <c r="F944" s="315"/>
      <c r="G944" s="315"/>
      <c r="H944" s="315"/>
      <c r="I944" s="315"/>
      <c r="J944" s="315"/>
      <c r="K944" s="315"/>
      <c r="L944" s="315"/>
      <c r="M944" s="315"/>
      <c r="N944" s="315"/>
      <c r="O944" s="315"/>
      <c r="P944" s="315"/>
      <c r="Q944" s="315"/>
      <c r="R944" s="315"/>
      <c r="S944" s="315"/>
      <c r="T944" s="315"/>
      <c r="U944" s="315"/>
      <c r="V944" s="315"/>
      <c r="W944" s="315"/>
      <c r="X944" s="315"/>
      <c r="Y944" s="315"/>
      <c r="Z944" s="315"/>
      <c r="AA944" s="315"/>
      <c r="AB944" s="315"/>
      <c r="AC944" s="315"/>
      <c r="AD944" s="315"/>
      <c r="AE944" s="315"/>
      <c r="AF944" s="315"/>
      <c r="AG944" s="315"/>
      <c r="AH944" s="315"/>
      <c r="AI944" s="315"/>
      <c r="AJ944" s="315"/>
      <c r="AK944" s="315"/>
      <c r="AL944" s="315"/>
      <c r="AM944" s="315"/>
      <c r="AN944" s="315"/>
    </row>
    <row r="945">
      <c r="A945" s="315"/>
      <c r="B945" s="315"/>
      <c r="C945" s="315"/>
      <c r="D945" s="315"/>
      <c r="E945" s="315"/>
      <c r="F945" s="315"/>
      <c r="G945" s="315"/>
      <c r="H945" s="315"/>
      <c r="I945" s="315"/>
      <c r="J945" s="315"/>
      <c r="K945" s="315"/>
      <c r="L945" s="315"/>
      <c r="M945" s="315"/>
      <c r="N945" s="315"/>
      <c r="O945" s="315"/>
      <c r="P945" s="315"/>
      <c r="Q945" s="315"/>
      <c r="R945" s="315"/>
      <c r="S945" s="315"/>
      <c r="T945" s="315"/>
      <c r="U945" s="315"/>
      <c r="V945" s="315"/>
      <c r="W945" s="315"/>
      <c r="X945" s="315"/>
      <c r="Y945" s="315"/>
      <c r="Z945" s="315"/>
      <c r="AA945" s="315"/>
      <c r="AB945" s="315"/>
      <c r="AC945" s="315"/>
      <c r="AD945" s="315"/>
      <c r="AE945" s="315"/>
      <c r="AF945" s="315"/>
      <c r="AG945" s="315"/>
      <c r="AH945" s="315"/>
      <c r="AI945" s="315"/>
      <c r="AJ945" s="315"/>
      <c r="AK945" s="315"/>
      <c r="AL945" s="315"/>
      <c r="AM945" s="315"/>
      <c r="AN945" s="315"/>
    </row>
    <row r="946">
      <c r="A946" s="315"/>
      <c r="B946" s="315"/>
      <c r="C946" s="315"/>
      <c r="D946" s="315"/>
      <c r="E946" s="315"/>
      <c r="F946" s="315"/>
      <c r="G946" s="315"/>
      <c r="H946" s="315"/>
      <c r="I946" s="315"/>
      <c r="J946" s="315"/>
      <c r="K946" s="315"/>
      <c r="L946" s="315"/>
      <c r="M946" s="315"/>
      <c r="N946" s="315"/>
      <c r="O946" s="315"/>
      <c r="P946" s="315"/>
      <c r="Q946" s="315"/>
      <c r="R946" s="315"/>
      <c r="S946" s="315"/>
      <c r="T946" s="315"/>
      <c r="U946" s="315"/>
      <c r="V946" s="315"/>
      <c r="W946" s="315"/>
      <c r="X946" s="315"/>
      <c r="Y946" s="315"/>
      <c r="Z946" s="315"/>
      <c r="AA946" s="315"/>
      <c r="AB946" s="315"/>
      <c r="AC946" s="315"/>
      <c r="AD946" s="315"/>
      <c r="AE946" s="315"/>
      <c r="AF946" s="315"/>
      <c r="AG946" s="315"/>
      <c r="AH946" s="315"/>
      <c r="AI946" s="315"/>
      <c r="AJ946" s="315"/>
      <c r="AK946" s="315"/>
      <c r="AL946" s="315"/>
      <c r="AM946" s="315"/>
      <c r="AN946" s="315"/>
    </row>
    <row r="947">
      <c r="A947" s="315"/>
      <c r="B947" s="315"/>
      <c r="C947" s="315"/>
      <c r="D947" s="315"/>
      <c r="E947" s="315"/>
      <c r="F947" s="315"/>
      <c r="G947" s="315"/>
      <c r="H947" s="315"/>
      <c r="I947" s="315"/>
      <c r="J947" s="315"/>
      <c r="K947" s="315"/>
      <c r="L947" s="315"/>
      <c r="M947" s="315"/>
      <c r="N947" s="315"/>
      <c r="O947" s="315"/>
      <c r="P947" s="315"/>
      <c r="Q947" s="315"/>
      <c r="R947" s="315"/>
      <c r="S947" s="315"/>
      <c r="T947" s="315"/>
      <c r="U947" s="315"/>
      <c r="V947" s="315"/>
      <c r="W947" s="315"/>
      <c r="X947" s="315"/>
      <c r="Y947" s="315"/>
      <c r="Z947" s="315"/>
      <c r="AA947" s="315"/>
      <c r="AB947" s="315"/>
      <c r="AC947" s="315"/>
      <c r="AD947" s="315"/>
      <c r="AE947" s="315"/>
      <c r="AF947" s="315"/>
      <c r="AG947" s="315"/>
      <c r="AH947" s="315"/>
      <c r="AI947" s="315"/>
      <c r="AJ947" s="315"/>
      <c r="AK947" s="315"/>
      <c r="AL947" s="315"/>
      <c r="AM947" s="315"/>
      <c r="AN947" s="315"/>
    </row>
    <row r="948">
      <c r="A948" s="315"/>
      <c r="B948" s="315"/>
      <c r="C948" s="315"/>
      <c r="D948" s="315"/>
      <c r="E948" s="315"/>
      <c r="F948" s="315"/>
      <c r="G948" s="315"/>
      <c r="H948" s="315"/>
      <c r="I948" s="315"/>
      <c r="J948" s="315"/>
      <c r="K948" s="315"/>
      <c r="L948" s="315"/>
      <c r="M948" s="315"/>
      <c r="N948" s="315"/>
      <c r="O948" s="315"/>
      <c r="P948" s="315"/>
      <c r="Q948" s="315"/>
      <c r="R948" s="315"/>
      <c r="S948" s="315"/>
      <c r="T948" s="315"/>
      <c r="U948" s="315"/>
      <c r="V948" s="315"/>
      <c r="W948" s="315"/>
      <c r="X948" s="315"/>
      <c r="Y948" s="315"/>
      <c r="Z948" s="315"/>
      <c r="AA948" s="315"/>
      <c r="AB948" s="315"/>
      <c r="AC948" s="315"/>
      <c r="AD948" s="315"/>
      <c r="AE948" s="315"/>
      <c r="AF948" s="315"/>
      <c r="AG948" s="315"/>
      <c r="AH948" s="315"/>
      <c r="AI948" s="315"/>
      <c r="AJ948" s="315"/>
      <c r="AK948" s="315"/>
      <c r="AL948" s="315"/>
      <c r="AM948" s="315"/>
      <c r="AN948" s="315"/>
    </row>
    <row r="949">
      <c r="A949" s="315"/>
      <c r="B949" s="315"/>
      <c r="C949" s="315"/>
      <c r="D949" s="315"/>
      <c r="E949" s="315"/>
      <c r="F949" s="315"/>
      <c r="G949" s="315"/>
      <c r="H949" s="315"/>
      <c r="I949" s="315"/>
      <c r="J949" s="315"/>
      <c r="K949" s="315"/>
      <c r="L949" s="315"/>
      <c r="M949" s="315"/>
      <c r="N949" s="315"/>
      <c r="O949" s="315"/>
      <c r="P949" s="315"/>
      <c r="Q949" s="315"/>
      <c r="R949" s="315"/>
      <c r="S949" s="315"/>
      <c r="T949" s="315"/>
      <c r="U949" s="315"/>
      <c r="V949" s="315"/>
      <c r="W949" s="315"/>
      <c r="X949" s="315"/>
      <c r="Y949" s="315"/>
      <c r="Z949" s="315"/>
      <c r="AA949" s="315"/>
      <c r="AB949" s="315"/>
      <c r="AC949" s="315"/>
      <c r="AD949" s="315"/>
      <c r="AE949" s="315"/>
      <c r="AF949" s="315"/>
      <c r="AG949" s="315"/>
      <c r="AH949" s="315"/>
      <c r="AI949" s="315"/>
      <c r="AJ949" s="315"/>
      <c r="AK949" s="315"/>
      <c r="AL949" s="315"/>
      <c r="AM949" s="315"/>
      <c r="AN949" s="315"/>
    </row>
    <row r="950">
      <c r="A950" s="315"/>
      <c r="B950" s="315"/>
      <c r="C950" s="315"/>
      <c r="D950" s="315"/>
      <c r="E950" s="315"/>
      <c r="F950" s="315"/>
      <c r="G950" s="315"/>
      <c r="H950" s="315"/>
      <c r="I950" s="315"/>
      <c r="J950" s="315"/>
      <c r="K950" s="315"/>
      <c r="L950" s="315"/>
      <c r="M950" s="315"/>
      <c r="N950" s="315"/>
      <c r="O950" s="315"/>
      <c r="P950" s="315"/>
      <c r="Q950" s="315"/>
      <c r="R950" s="315"/>
      <c r="S950" s="315"/>
      <c r="T950" s="315"/>
      <c r="U950" s="315"/>
      <c r="V950" s="315"/>
      <c r="W950" s="315"/>
      <c r="X950" s="315"/>
      <c r="Y950" s="315"/>
      <c r="Z950" s="315"/>
      <c r="AA950" s="315"/>
      <c r="AB950" s="315"/>
      <c r="AC950" s="315"/>
      <c r="AD950" s="315"/>
      <c r="AE950" s="315"/>
      <c r="AF950" s="315"/>
      <c r="AG950" s="315"/>
      <c r="AH950" s="315"/>
      <c r="AI950" s="315"/>
      <c r="AJ950" s="315"/>
      <c r="AK950" s="315"/>
      <c r="AL950" s="315"/>
      <c r="AM950" s="315"/>
      <c r="AN950" s="315"/>
    </row>
    <row r="951">
      <c r="A951" s="315"/>
      <c r="B951" s="315"/>
      <c r="C951" s="315"/>
      <c r="D951" s="315"/>
      <c r="E951" s="315"/>
      <c r="F951" s="315"/>
      <c r="G951" s="315"/>
      <c r="H951" s="315"/>
      <c r="I951" s="315"/>
      <c r="J951" s="315"/>
      <c r="K951" s="315"/>
      <c r="L951" s="315"/>
      <c r="M951" s="315"/>
      <c r="N951" s="315"/>
      <c r="O951" s="315"/>
      <c r="P951" s="315"/>
      <c r="Q951" s="315"/>
      <c r="R951" s="315"/>
      <c r="S951" s="315"/>
      <c r="T951" s="315"/>
      <c r="U951" s="315"/>
      <c r="V951" s="315"/>
      <c r="W951" s="315"/>
      <c r="X951" s="315"/>
      <c r="Y951" s="315"/>
      <c r="Z951" s="315"/>
      <c r="AA951" s="315"/>
      <c r="AB951" s="315"/>
      <c r="AC951" s="315"/>
      <c r="AD951" s="315"/>
      <c r="AE951" s="315"/>
      <c r="AF951" s="315"/>
      <c r="AG951" s="315"/>
      <c r="AH951" s="315"/>
      <c r="AI951" s="315"/>
      <c r="AJ951" s="315"/>
      <c r="AK951" s="315"/>
      <c r="AL951" s="315"/>
      <c r="AM951" s="315"/>
      <c r="AN951" s="315"/>
    </row>
    <row r="952">
      <c r="A952" s="315"/>
      <c r="B952" s="315"/>
      <c r="C952" s="315"/>
      <c r="D952" s="315"/>
      <c r="E952" s="315"/>
      <c r="F952" s="315"/>
      <c r="G952" s="315"/>
      <c r="H952" s="315"/>
      <c r="I952" s="315"/>
      <c r="J952" s="315"/>
      <c r="K952" s="315"/>
      <c r="L952" s="315"/>
      <c r="M952" s="315"/>
      <c r="N952" s="315"/>
      <c r="O952" s="315"/>
      <c r="P952" s="315"/>
      <c r="Q952" s="315"/>
      <c r="R952" s="315"/>
      <c r="S952" s="315"/>
      <c r="T952" s="315"/>
      <c r="U952" s="315"/>
      <c r="V952" s="315"/>
      <c r="W952" s="315"/>
      <c r="X952" s="315"/>
      <c r="Y952" s="315"/>
      <c r="Z952" s="315"/>
      <c r="AA952" s="315"/>
      <c r="AB952" s="315"/>
      <c r="AC952" s="315"/>
      <c r="AD952" s="315"/>
      <c r="AE952" s="315"/>
      <c r="AF952" s="315"/>
      <c r="AG952" s="315"/>
      <c r="AH952" s="315"/>
      <c r="AI952" s="315"/>
      <c r="AJ952" s="315"/>
      <c r="AK952" s="315"/>
      <c r="AL952" s="315"/>
      <c r="AM952" s="315"/>
      <c r="AN952" s="315"/>
    </row>
    <row r="953">
      <c r="A953" s="315"/>
      <c r="B953" s="315"/>
      <c r="C953" s="315"/>
      <c r="D953" s="315"/>
      <c r="E953" s="315"/>
      <c r="F953" s="315"/>
      <c r="G953" s="315"/>
      <c r="H953" s="315"/>
      <c r="I953" s="315"/>
      <c r="J953" s="315"/>
      <c r="K953" s="315"/>
      <c r="L953" s="315"/>
      <c r="M953" s="315"/>
      <c r="N953" s="315"/>
      <c r="O953" s="315"/>
      <c r="P953" s="315"/>
      <c r="Q953" s="315"/>
      <c r="R953" s="315"/>
      <c r="S953" s="315"/>
      <c r="T953" s="315"/>
      <c r="U953" s="315"/>
      <c r="V953" s="315"/>
      <c r="W953" s="315"/>
      <c r="X953" s="315"/>
      <c r="Y953" s="315"/>
      <c r="Z953" s="315"/>
      <c r="AA953" s="315"/>
      <c r="AB953" s="315"/>
      <c r="AC953" s="315"/>
      <c r="AD953" s="315"/>
      <c r="AE953" s="315"/>
      <c r="AF953" s="315"/>
      <c r="AG953" s="315"/>
      <c r="AH953" s="315"/>
      <c r="AI953" s="315"/>
      <c r="AJ953" s="315"/>
      <c r="AK953" s="315"/>
      <c r="AL953" s="315"/>
      <c r="AM953" s="315"/>
      <c r="AN953" s="315"/>
    </row>
    <row r="954">
      <c r="A954" s="315"/>
      <c r="B954" s="315"/>
      <c r="C954" s="315"/>
      <c r="D954" s="315"/>
      <c r="E954" s="315"/>
      <c r="F954" s="315"/>
      <c r="G954" s="315"/>
      <c r="H954" s="315"/>
      <c r="I954" s="315"/>
      <c r="J954" s="315"/>
      <c r="K954" s="315"/>
      <c r="L954" s="315"/>
      <c r="M954" s="315"/>
      <c r="N954" s="315"/>
      <c r="O954" s="315"/>
      <c r="P954" s="315"/>
      <c r="Q954" s="315"/>
      <c r="R954" s="315"/>
      <c r="S954" s="315"/>
      <c r="T954" s="315"/>
      <c r="U954" s="315"/>
      <c r="V954" s="315"/>
      <c r="W954" s="315"/>
      <c r="X954" s="315"/>
      <c r="Y954" s="315"/>
      <c r="Z954" s="315"/>
      <c r="AA954" s="315"/>
      <c r="AB954" s="315"/>
      <c r="AC954" s="315"/>
      <c r="AD954" s="315"/>
      <c r="AE954" s="315"/>
      <c r="AF954" s="315"/>
      <c r="AG954" s="315"/>
      <c r="AH954" s="315"/>
      <c r="AI954" s="315"/>
      <c r="AJ954" s="315"/>
      <c r="AK954" s="315"/>
      <c r="AL954" s="315"/>
      <c r="AM954" s="315"/>
      <c r="AN954" s="315"/>
    </row>
    <row r="955">
      <c r="A955" s="315"/>
      <c r="B955" s="315"/>
      <c r="C955" s="315"/>
      <c r="D955" s="315"/>
      <c r="E955" s="315"/>
      <c r="F955" s="315"/>
      <c r="G955" s="315"/>
      <c r="H955" s="315"/>
      <c r="I955" s="315"/>
      <c r="J955" s="315"/>
      <c r="K955" s="315"/>
      <c r="L955" s="315"/>
      <c r="M955" s="315"/>
      <c r="N955" s="315"/>
      <c r="O955" s="315"/>
      <c r="P955" s="315"/>
      <c r="Q955" s="315"/>
      <c r="R955" s="315"/>
      <c r="S955" s="315"/>
      <c r="T955" s="315"/>
      <c r="U955" s="315"/>
      <c r="V955" s="315"/>
      <c r="W955" s="315"/>
      <c r="X955" s="315"/>
      <c r="Y955" s="315"/>
      <c r="Z955" s="315"/>
      <c r="AA955" s="315"/>
      <c r="AB955" s="315"/>
      <c r="AC955" s="315"/>
      <c r="AD955" s="315"/>
      <c r="AE955" s="315"/>
      <c r="AF955" s="315"/>
      <c r="AG955" s="315"/>
      <c r="AH955" s="315"/>
      <c r="AI955" s="315"/>
      <c r="AJ955" s="315"/>
      <c r="AK955" s="315"/>
      <c r="AL955" s="315"/>
      <c r="AM955" s="315"/>
      <c r="AN955" s="315"/>
    </row>
    <row r="956">
      <c r="A956" s="315"/>
      <c r="B956" s="315"/>
      <c r="C956" s="315"/>
      <c r="D956" s="315"/>
      <c r="E956" s="315"/>
      <c r="F956" s="315"/>
      <c r="G956" s="315"/>
      <c r="H956" s="315"/>
      <c r="I956" s="315"/>
      <c r="J956" s="315"/>
      <c r="K956" s="315"/>
      <c r="L956" s="315"/>
      <c r="M956" s="315"/>
      <c r="N956" s="315"/>
      <c r="O956" s="315"/>
      <c r="P956" s="315"/>
      <c r="Q956" s="315"/>
      <c r="R956" s="315"/>
      <c r="S956" s="315"/>
      <c r="T956" s="315"/>
      <c r="U956" s="315"/>
      <c r="V956" s="315"/>
      <c r="W956" s="315"/>
      <c r="X956" s="315"/>
      <c r="Y956" s="315"/>
      <c r="Z956" s="315"/>
      <c r="AA956" s="315"/>
      <c r="AB956" s="315"/>
      <c r="AC956" s="315"/>
      <c r="AD956" s="315"/>
      <c r="AE956" s="315"/>
      <c r="AF956" s="315"/>
      <c r="AG956" s="315"/>
      <c r="AH956" s="315"/>
      <c r="AI956" s="315"/>
      <c r="AJ956" s="315"/>
      <c r="AK956" s="315"/>
      <c r="AL956" s="315"/>
      <c r="AM956" s="315"/>
      <c r="AN956" s="315"/>
    </row>
    <row r="957">
      <c r="A957" s="315"/>
      <c r="B957" s="315"/>
      <c r="C957" s="315"/>
      <c r="D957" s="315"/>
      <c r="E957" s="315"/>
      <c r="F957" s="315"/>
      <c r="G957" s="315"/>
      <c r="H957" s="315"/>
      <c r="I957" s="315"/>
      <c r="J957" s="315"/>
      <c r="K957" s="315"/>
      <c r="L957" s="315"/>
      <c r="M957" s="315"/>
      <c r="N957" s="315"/>
      <c r="O957" s="315"/>
      <c r="P957" s="315"/>
      <c r="Q957" s="315"/>
      <c r="R957" s="315"/>
      <c r="S957" s="315"/>
      <c r="T957" s="315"/>
      <c r="U957" s="315"/>
      <c r="V957" s="315"/>
      <c r="W957" s="315"/>
      <c r="X957" s="315"/>
      <c r="Y957" s="315"/>
      <c r="Z957" s="315"/>
      <c r="AA957" s="315"/>
      <c r="AB957" s="315"/>
      <c r="AC957" s="315"/>
      <c r="AD957" s="315"/>
      <c r="AE957" s="315"/>
      <c r="AF957" s="315"/>
      <c r="AG957" s="315"/>
      <c r="AH957" s="315"/>
      <c r="AI957" s="315"/>
      <c r="AJ957" s="315"/>
      <c r="AK957" s="315"/>
      <c r="AL957" s="315"/>
      <c r="AM957" s="315"/>
      <c r="AN957" s="315"/>
    </row>
    <row r="958">
      <c r="A958" s="315"/>
      <c r="B958" s="315"/>
      <c r="C958" s="315"/>
      <c r="D958" s="315"/>
      <c r="E958" s="315"/>
      <c r="F958" s="315"/>
      <c r="G958" s="315"/>
      <c r="H958" s="315"/>
      <c r="I958" s="315"/>
      <c r="J958" s="315"/>
      <c r="K958" s="315"/>
      <c r="L958" s="315"/>
      <c r="M958" s="315"/>
      <c r="N958" s="315"/>
      <c r="O958" s="315"/>
      <c r="P958" s="315"/>
      <c r="Q958" s="315"/>
      <c r="R958" s="315"/>
      <c r="S958" s="315"/>
      <c r="T958" s="315"/>
      <c r="U958" s="315"/>
      <c r="V958" s="315"/>
      <c r="W958" s="315"/>
      <c r="X958" s="315"/>
      <c r="Y958" s="315"/>
      <c r="Z958" s="315"/>
      <c r="AA958" s="315"/>
      <c r="AB958" s="315"/>
      <c r="AC958" s="315"/>
      <c r="AD958" s="315"/>
      <c r="AE958" s="315"/>
      <c r="AF958" s="315"/>
      <c r="AG958" s="315"/>
      <c r="AH958" s="315"/>
      <c r="AI958" s="315"/>
      <c r="AJ958" s="315"/>
      <c r="AK958" s="315"/>
      <c r="AL958" s="315"/>
      <c r="AM958" s="315"/>
      <c r="AN958" s="315"/>
    </row>
    <row r="959">
      <c r="A959" s="315"/>
      <c r="B959" s="315"/>
      <c r="C959" s="315"/>
      <c r="D959" s="315"/>
      <c r="E959" s="315"/>
      <c r="F959" s="315"/>
      <c r="G959" s="315"/>
      <c r="H959" s="315"/>
      <c r="I959" s="315"/>
      <c r="J959" s="315"/>
      <c r="K959" s="315"/>
      <c r="L959" s="315"/>
      <c r="M959" s="315"/>
      <c r="N959" s="315"/>
      <c r="O959" s="315"/>
      <c r="P959" s="315"/>
      <c r="Q959" s="315"/>
      <c r="R959" s="315"/>
      <c r="S959" s="315"/>
      <c r="T959" s="315"/>
      <c r="U959" s="315"/>
      <c r="V959" s="315"/>
      <c r="W959" s="315"/>
      <c r="X959" s="315"/>
      <c r="Y959" s="315"/>
      <c r="Z959" s="315"/>
      <c r="AA959" s="315"/>
      <c r="AB959" s="315"/>
      <c r="AC959" s="315"/>
      <c r="AD959" s="315"/>
      <c r="AE959" s="315"/>
      <c r="AF959" s="315"/>
      <c r="AG959" s="315"/>
      <c r="AH959" s="315"/>
      <c r="AI959" s="315"/>
      <c r="AJ959" s="315"/>
      <c r="AK959" s="315"/>
      <c r="AL959" s="315"/>
      <c r="AM959" s="315"/>
      <c r="AN959" s="315"/>
    </row>
    <row r="960">
      <c r="A960" s="315"/>
      <c r="B960" s="315"/>
      <c r="C960" s="315"/>
      <c r="D960" s="315"/>
      <c r="E960" s="315"/>
      <c r="F960" s="315"/>
      <c r="G960" s="315"/>
      <c r="H960" s="315"/>
      <c r="I960" s="315"/>
      <c r="J960" s="315"/>
      <c r="K960" s="315"/>
      <c r="L960" s="315"/>
      <c r="M960" s="315"/>
      <c r="N960" s="315"/>
      <c r="O960" s="315"/>
      <c r="P960" s="315"/>
      <c r="Q960" s="315"/>
      <c r="R960" s="315"/>
      <c r="S960" s="315"/>
      <c r="T960" s="315"/>
      <c r="U960" s="315"/>
      <c r="V960" s="315"/>
      <c r="W960" s="315"/>
      <c r="X960" s="315"/>
      <c r="Y960" s="315"/>
      <c r="Z960" s="315"/>
      <c r="AA960" s="315"/>
      <c r="AB960" s="315"/>
      <c r="AC960" s="315"/>
      <c r="AD960" s="315"/>
      <c r="AE960" s="315"/>
      <c r="AF960" s="315"/>
      <c r="AG960" s="315"/>
      <c r="AH960" s="315"/>
      <c r="AI960" s="315"/>
      <c r="AJ960" s="315"/>
      <c r="AK960" s="315"/>
      <c r="AL960" s="315"/>
      <c r="AM960" s="315"/>
      <c r="AN960" s="315"/>
    </row>
    <row r="961">
      <c r="A961" s="315"/>
      <c r="B961" s="315"/>
      <c r="C961" s="315"/>
      <c r="D961" s="315"/>
      <c r="E961" s="315"/>
      <c r="F961" s="315"/>
      <c r="G961" s="315"/>
      <c r="H961" s="315"/>
      <c r="I961" s="315"/>
      <c r="J961" s="315"/>
      <c r="K961" s="315"/>
      <c r="L961" s="315"/>
      <c r="M961" s="315"/>
      <c r="N961" s="315"/>
      <c r="O961" s="315"/>
      <c r="P961" s="315"/>
      <c r="Q961" s="315"/>
      <c r="R961" s="315"/>
      <c r="S961" s="315"/>
      <c r="T961" s="315"/>
      <c r="U961" s="315"/>
      <c r="V961" s="315"/>
      <c r="W961" s="315"/>
      <c r="X961" s="315"/>
      <c r="Y961" s="315"/>
      <c r="Z961" s="315"/>
      <c r="AA961" s="315"/>
      <c r="AB961" s="315"/>
      <c r="AC961" s="315"/>
      <c r="AD961" s="315"/>
      <c r="AE961" s="315"/>
      <c r="AF961" s="315"/>
      <c r="AG961" s="315"/>
      <c r="AH961" s="315"/>
      <c r="AI961" s="315"/>
      <c r="AJ961" s="315"/>
      <c r="AK961" s="315"/>
      <c r="AL961" s="315"/>
      <c r="AM961" s="315"/>
      <c r="AN961" s="315"/>
    </row>
    <row r="962">
      <c r="A962" s="315"/>
      <c r="B962" s="315"/>
      <c r="C962" s="315"/>
      <c r="D962" s="315"/>
      <c r="E962" s="315"/>
      <c r="F962" s="315"/>
      <c r="G962" s="315"/>
      <c r="H962" s="315"/>
      <c r="I962" s="315"/>
      <c r="J962" s="315"/>
      <c r="K962" s="315"/>
      <c r="L962" s="315"/>
      <c r="M962" s="315"/>
      <c r="N962" s="315"/>
      <c r="O962" s="315"/>
      <c r="P962" s="315"/>
      <c r="Q962" s="315"/>
      <c r="R962" s="315"/>
      <c r="S962" s="315"/>
      <c r="T962" s="315"/>
      <c r="U962" s="315"/>
      <c r="V962" s="315"/>
      <c r="W962" s="315"/>
      <c r="X962" s="315"/>
      <c r="Y962" s="315"/>
      <c r="Z962" s="315"/>
      <c r="AA962" s="315"/>
      <c r="AB962" s="315"/>
      <c r="AC962" s="315"/>
      <c r="AD962" s="315"/>
      <c r="AE962" s="315"/>
      <c r="AF962" s="315"/>
      <c r="AG962" s="315"/>
      <c r="AH962" s="315"/>
      <c r="AI962" s="315"/>
      <c r="AJ962" s="315"/>
      <c r="AK962" s="315"/>
      <c r="AL962" s="315"/>
      <c r="AM962" s="315"/>
      <c r="AN962" s="315"/>
    </row>
    <row r="963">
      <c r="A963" s="315"/>
      <c r="B963" s="315"/>
      <c r="C963" s="315"/>
      <c r="D963" s="315"/>
      <c r="E963" s="315"/>
      <c r="F963" s="315"/>
      <c r="G963" s="315"/>
      <c r="H963" s="315"/>
      <c r="I963" s="315"/>
      <c r="J963" s="315"/>
      <c r="K963" s="315"/>
      <c r="L963" s="315"/>
      <c r="M963" s="315"/>
      <c r="N963" s="315"/>
      <c r="O963" s="315"/>
      <c r="P963" s="315"/>
      <c r="Q963" s="315"/>
      <c r="R963" s="315"/>
      <c r="S963" s="315"/>
      <c r="T963" s="315"/>
      <c r="U963" s="315"/>
      <c r="V963" s="315"/>
      <c r="W963" s="315"/>
      <c r="X963" s="315"/>
      <c r="Y963" s="315"/>
      <c r="Z963" s="315"/>
      <c r="AA963" s="315"/>
      <c r="AB963" s="315"/>
      <c r="AC963" s="315"/>
      <c r="AD963" s="315"/>
      <c r="AE963" s="315"/>
      <c r="AF963" s="315"/>
      <c r="AG963" s="315"/>
      <c r="AH963" s="315"/>
      <c r="AI963" s="315"/>
      <c r="AJ963" s="315"/>
      <c r="AK963" s="315"/>
      <c r="AL963" s="315"/>
      <c r="AM963" s="315"/>
      <c r="AN963" s="315"/>
    </row>
    <row r="964">
      <c r="A964" s="315"/>
      <c r="B964" s="315"/>
      <c r="C964" s="315"/>
      <c r="D964" s="315"/>
      <c r="E964" s="315"/>
      <c r="F964" s="315"/>
      <c r="G964" s="315"/>
      <c r="H964" s="315"/>
      <c r="I964" s="315"/>
      <c r="J964" s="315"/>
      <c r="K964" s="315"/>
      <c r="L964" s="315"/>
      <c r="M964" s="315"/>
      <c r="N964" s="315"/>
      <c r="O964" s="315"/>
      <c r="P964" s="315"/>
      <c r="Q964" s="315"/>
      <c r="R964" s="315"/>
      <c r="S964" s="315"/>
      <c r="T964" s="315"/>
      <c r="U964" s="315"/>
      <c r="V964" s="315"/>
      <c r="W964" s="315"/>
      <c r="X964" s="315"/>
      <c r="Y964" s="315"/>
      <c r="Z964" s="315"/>
      <c r="AA964" s="315"/>
      <c r="AB964" s="315"/>
      <c r="AC964" s="315"/>
      <c r="AD964" s="315"/>
      <c r="AE964" s="315"/>
      <c r="AF964" s="315"/>
      <c r="AG964" s="315"/>
      <c r="AH964" s="315"/>
      <c r="AI964" s="315"/>
      <c r="AJ964" s="315"/>
      <c r="AK964" s="315"/>
      <c r="AL964" s="315"/>
      <c r="AM964" s="315"/>
      <c r="AN964" s="315"/>
    </row>
    <row r="965">
      <c r="A965" s="315"/>
      <c r="B965" s="315"/>
      <c r="C965" s="315"/>
      <c r="D965" s="315"/>
      <c r="E965" s="315"/>
      <c r="F965" s="315"/>
      <c r="G965" s="315"/>
      <c r="H965" s="315"/>
      <c r="I965" s="315"/>
      <c r="J965" s="315"/>
      <c r="K965" s="315"/>
      <c r="L965" s="315"/>
      <c r="M965" s="315"/>
      <c r="N965" s="315"/>
      <c r="O965" s="315"/>
      <c r="P965" s="315"/>
      <c r="Q965" s="315"/>
      <c r="R965" s="315"/>
      <c r="S965" s="315"/>
      <c r="T965" s="315"/>
      <c r="U965" s="315"/>
      <c r="V965" s="315"/>
      <c r="W965" s="315"/>
      <c r="X965" s="315"/>
      <c r="Y965" s="315"/>
      <c r="Z965" s="315"/>
      <c r="AA965" s="315"/>
      <c r="AB965" s="315"/>
      <c r="AC965" s="315"/>
      <c r="AD965" s="315"/>
      <c r="AE965" s="315"/>
      <c r="AF965" s="315"/>
      <c r="AG965" s="315"/>
      <c r="AH965" s="315"/>
      <c r="AI965" s="315"/>
      <c r="AJ965" s="315"/>
      <c r="AK965" s="315"/>
      <c r="AL965" s="315"/>
      <c r="AM965" s="315"/>
      <c r="AN965" s="315"/>
    </row>
    <row r="966">
      <c r="A966" s="315"/>
      <c r="B966" s="315"/>
      <c r="C966" s="315"/>
      <c r="D966" s="315"/>
      <c r="E966" s="315"/>
      <c r="F966" s="315"/>
      <c r="G966" s="315"/>
      <c r="H966" s="315"/>
      <c r="I966" s="315"/>
      <c r="J966" s="315"/>
      <c r="K966" s="315"/>
      <c r="L966" s="315"/>
      <c r="M966" s="315"/>
      <c r="N966" s="315"/>
      <c r="O966" s="315"/>
      <c r="P966" s="315"/>
      <c r="Q966" s="315"/>
      <c r="R966" s="315"/>
      <c r="S966" s="315"/>
      <c r="T966" s="315"/>
      <c r="U966" s="315"/>
      <c r="V966" s="315"/>
      <c r="W966" s="315"/>
      <c r="X966" s="315"/>
      <c r="Y966" s="315"/>
      <c r="Z966" s="315"/>
      <c r="AA966" s="315"/>
      <c r="AB966" s="315"/>
      <c r="AC966" s="315"/>
      <c r="AD966" s="315"/>
      <c r="AE966" s="315"/>
      <c r="AF966" s="315"/>
      <c r="AG966" s="315"/>
      <c r="AH966" s="315"/>
      <c r="AI966" s="315"/>
      <c r="AJ966" s="315"/>
      <c r="AK966" s="315"/>
      <c r="AL966" s="315"/>
      <c r="AM966" s="315"/>
      <c r="AN966" s="315"/>
    </row>
    <row r="967">
      <c r="A967" s="315"/>
      <c r="B967" s="315"/>
      <c r="C967" s="315"/>
      <c r="D967" s="315"/>
      <c r="E967" s="315"/>
      <c r="F967" s="315"/>
      <c r="G967" s="315"/>
      <c r="H967" s="315"/>
      <c r="I967" s="315"/>
      <c r="J967" s="315"/>
      <c r="K967" s="315"/>
      <c r="L967" s="315"/>
      <c r="M967" s="315"/>
      <c r="N967" s="315"/>
      <c r="O967" s="315"/>
      <c r="P967" s="315"/>
      <c r="Q967" s="315"/>
      <c r="R967" s="315"/>
      <c r="S967" s="315"/>
      <c r="T967" s="315"/>
      <c r="U967" s="315"/>
      <c r="V967" s="315"/>
      <c r="W967" s="315"/>
      <c r="X967" s="315"/>
      <c r="Y967" s="315"/>
      <c r="Z967" s="315"/>
      <c r="AA967" s="315"/>
      <c r="AB967" s="315"/>
      <c r="AC967" s="315"/>
      <c r="AD967" s="315"/>
      <c r="AE967" s="315"/>
      <c r="AF967" s="315"/>
      <c r="AG967" s="315"/>
      <c r="AH967" s="315"/>
      <c r="AI967" s="315"/>
      <c r="AJ967" s="315"/>
      <c r="AK967" s="315"/>
      <c r="AL967" s="315"/>
      <c r="AM967" s="315"/>
      <c r="AN967" s="315"/>
    </row>
    <row r="968">
      <c r="A968" s="315"/>
      <c r="B968" s="315"/>
      <c r="C968" s="315"/>
      <c r="D968" s="315"/>
      <c r="E968" s="315"/>
      <c r="F968" s="315"/>
      <c r="G968" s="315"/>
      <c r="H968" s="315"/>
      <c r="I968" s="315"/>
      <c r="J968" s="315"/>
      <c r="K968" s="315"/>
      <c r="L968" s="315"/>
      <c r="M968" s="315"/>
      <c r="N968" s="315"/>
      <c r="O968" s="315"/>
      <c r="P968" s="315"/>
      <c r="Q968" s="315"/>
      <c r="R968" s="315"/>
      <c r="S968" s="315"/>
      <c r="T968" s="315"/>
      <c r="U968" s="315"/>
      <c r="V968" s="315"/>
      <c r="W968" s="315"/>
      <c r="X968" s="315"/>
      <c r="Y968" s="315"/>
      <c r="Z968" s="315"/>
      <c r="AA968" s="315"/>
      <c r="AB968" s="315"/>
      <c r="AC968" s="315"/>
      <c r="AD968" s="315"/>
      <c r="AE968" s="315"/>
      <c r="AF968" s="315"/>
      <c r="AG968" s="315"/>
      <c r="AH968" s="315"/>
      <c r="AI968" s="315"/>
      <c r="AJ968" s="315"/>
      <c r="AK968" s="315"/>
      <c r="AL968" s="315"/>
      <c r="AM968" s="315"/>
      <c r="AN968" s="315"/>
    </row>
    <row r="969">
      <c r="A969" s="315"/>
      <c r="B969" s="315"/>
      <c r="C969" s="315"/>
      <c r="D969" s="315"/>
      <c r="E969" s="315"/>
      <c r="F969" s="315"/>
      <c r="G969" s="315"/>
      <c r="H969" s="315"/>
      <c r="I969" s="315"/>
      <c r="J969" s="315"/>
      <c r="K969" s="315"/>
      <c r="L969" s="315"/>
      <c r="M969" s="315"/>
      <c r="N969" s="315"/>
      <c r="O969" s="315"/>
      <c r="P969" s="315"/>
      <c r="Q969" s="315"/>
      <c r="R969" s="315"/>
      <c r="S969" s="315"/>
      <c r="T969" s="315"/>
      <c r="U969" s="315"/>
      <c r="V969" s="315"/>
      <c r="W969" s="315"/>
      <c r="X969" s="315"/>
      <c r="Y969" s="315"/>
      <c r="Z969" s="315"/>
      <c r="AA969" s="315"/>
      <c r="AB969" s="315"/>
      <c r="AC969" s="315"/>
      <c r="AD969" s="315"/>
      <c r="AE969" s="315"/>
      <c r="AF969" s="315"/>
      <c r="AG969" s="315"/>
      <c r="AH969" s="315"/>
      <c r="AI969" s="315"/>
      <c r="AJ969" s="315"/>
      <c r="AK969" s="315"/>
      <c r="AL969" s="315"/>
      <c r="AM969" s="315"/>
      <c r="AN969" s="315"/>
    </row>
    <row r="970">
      <c r="A970" s="315"/>
      <c r="B970" s="315"/>
      <c r="C970" s="315"/>
      <c r="D970" s="315"/>
      <c r="E970" s="315"/>
      <c r="F970" s="315"/>
      <c r="G970" s="315"/>
      <c r="H970" s="315"/>
      <c r="I970" s="315"/>
      <c r="J970" s="315"/>
      <c r="K970" s="315"/>
      <c r="L970" s="315"/>
      <c r="M970" s="315"/>
      <c r="N970" s="315"/>
      <c r="O970" s="315"/>
      <c r="P970" s="315"/>
      <c r="Q970" s="315"/>
      <c r="R970" s="315"/>
      <c r="S970" s="315"/>
      <c r="T970" s="315"/>
      <c r="U970" s="315"/>
      <c r="V970" s="315"/>
      <c r="W970" s="315"/>
      <c r="X970" s="315"/>
      <c r="Y970" s="315"/>
      <c r="Z970" s="315"/>
      <c r="AA970" s="315"/>
      <c r="AB970" s="315"/>
      <c r="AC970" s="315"/>
      <c r="AD970" s="315"/>
      <c r="AE970" s="315"/>
      <c r="AF970" s="315"/>
      <c r="AG970" s="315"/>
      <c r="AH970" s="315"/>
      <c r="AI970" s="315"/>
      <c r="AJ970" s="315"/>
      <c r="AK970" s="315"/>
      <c r="AL970" s="315"/>
      <c r="AM970" s="315"/>
      <c r="AN970" s="315"/>
    </row>
    <row r="971">
      <c r="A971" s="315"/>
      <c r="B971" s="315"/>
      <c r="C971" s="315"/>
      <c r="D971" s="315"/>
      <c r="E971" s="315"/>
      <c r="F971" s="315"/>
      <c r="G971" s="315"/>
      <c r="H971" s="315"/>
      <c r="I971" s="315"/>
      <c r="J971" s="315"/>
      <c r="K971" s="315"/>
      <c r="L971" s="315"/>
      <c r="M971" s="315"/>
      <c r="N971" s="315"/>
      <c r="O971" s="315"/>
      <c r="P971" s="315"/>
      <c r="Q971" s="315"/>
      <c r="R971" s="315"/>
      <c r="S971" s="315"/>
      <c r="T971" s="315"/>
      <c r="U971" s="315"/>
      <c r="V971" s="315"/>
      <c r="W971" s="315"/>
      <c r="X971" s="315"/>
      <c r="Y971" s="315"/>
      <c r="Z971" s="315"/>
      <c r="AA971" s="315"/>
      <c r="AB971" s="315"/>
      <c r="AC971" s="315"/>
      <c r="AD971" s="315"/>
      <c r="AE971" s="315"/>
      <c r="AF971" s="315"/>
      <c r="AG971" s="315"/>
      <c r="AH971" s="315"/>
      <c r="AI971" s="315"/>
      <c r="AJ971" s="315"/>
      <c r="AK971" s="315"/>
      <c r="AL971" s="315"/>
      <c r="AM971" s="315"/>
      <c r="AN971" s="315"/>
    </row>
    <row r="972">
      <c r="A972" s="315"/>
      <c r="B972" s="315"/>
      <c r="C972" s="315"/>
      <c r="D972" s="315"/>
      <c r="E972" s="315"/>
      <c r="F972" s="315"/>
      <c r="G972" s="315"/>
      <c r="H972" s="315"/>
      <c r="I972" s="315"/>
      <c r="J972" s="315"/>
      <c r="K972" s="315"/>
      <c r="L972" s="315"/>
      <c r="M972" s="315"/>
      <c r="N972" s="315"/>
      <c r="O972" s="315"/>
      <c r="P972" s="315"/>
      <c r="Q972" s="315"/>
      <c r="R972" s="315"/>
      <c r="S972" s="315"/>
      <c r="T972" s="315"/>
      <c r="U972" s="315"/>
      <c r="V972" s="315"/>
      <c r="W972" s="315"/>
      <c r="X972" s="315"/>
      <c r="Y972" s="315"/>
      <c r="Z972" s="315"/>
      <c r="AA972" s="315"/>
      <c r="AB972" s="315"/>
      <c r="AC972" s="315"/>
      <c r="AD972" s="315"/>
      <c r="AE972" s="315"/>
      <c r="AF972" s="315"/>
      <c r="AG972" s="315"/>
      <c r="AH972" s="315"/>
      <c r="AI972" s="315"/>
      <c r="AJ972" s="315"/>
      <c r="AK972" s="315"/>
      <c r="AL972" s="315"/>
      <c r="AM972" s="315"/>
      <c r="AN972" s="315"/>
    </row>
    <row r="973">
      <c r="A973" s="315"/>
      <c r="B973" s="315"/>
      <c r="C973" s="315"/>
      <c r="D973" s="315"/>
      <c r="E973" s="315"/>
      <c r="F973" s="315"/>
      <c r="G973" s="315"/>
      <c r="H973" s="315"/>
      <c r="I973" s="315"/>
      <c r="J973" s="315"/>
      <c r="K973" s="315"/>
      <c r="L973" s="315"/>
      <c r="M973" s="315"/>
      <c r="N973" s="315"/>
      <c r="O973" s="315"/>
      <c r="P973" s="315"/>
      <c r="Q973" s="315"/>
      <c r="R973" s="315"/>
      <c r="S973" s="315"/>
      <c r="T973" s="315"/>
      <c r="U973" s="315"/>
      <c r="V973" s="315"/>
      <c r="W973" s="315"/>
      <c r="X973" s="315"/>
      <c r="Y973" s="315"/>
      <c r="Z973" s="315"/>
      <c r="AA973" s="315"/>
      <c r="AB973" s="315"/>
      <c r="AC973" s="315"/>
      <c r="AD973" s="315"/>
      <c r="AE973" s="315"/>
      <c r="AF973" s="315"/>
      <c r="AG973" s="315"/>
      <c r="AH973" s="315"/>
      <c r="AI973" s="315"/>
      <c r="AJ973" s="315"/>
      <c r="AK973" s="315"/>
      <c r="AL973" s="315"/>
      <c r="AM973" s="315"/>
      <c r="AN973" s="315"/>
    </row>
    <row r="974">
      <c r="A974" s="315"/>
      <c r="B974" s="315"/>
      <c r="C974" s="315"/>
      <c r="D974" s="315"/>
      <c r="E974" s="315"/>
      <c r="F974" s="315"/>
      <c r="G974" s="315"/>
      <c r="H974" s="315"/>
      <c r="I974" s="315"/>
      <c r="J974" s="315"/>
      <c r="K974" s="315"/>
      <c r="L974" s="315"/>
      <c r="M974" s="315"/>
      <c r="N974" s="315"/>
      <c r="O974" s="315"/>
      <c r="P974" s="315"/>
      <c r="Q974" s="315"/>
      <c r="R974" s="315"/>
      <c r="S974" s="315"/>
      <c r="T974" s="315"/>
      <c r="U974" s="315"/>
      <c r="V974" s="315"/>
      <c r="W974" s="315"/>
      <c r="X974" s="315"/>
      <c r="Y974" s="315"/>
      <c r="Z974" s="315"/>
      <c r="AA974" s="315"/>
      <c r="AB974" s="315"/>
      <c r="AC974" s="315"/>
      <c r="AD974" s="315"/>
      <c r="AE974" s="315"/>
      <c r="AF974" s="315"/>
      <c r="AG974" s="315"/>
      <c r="AH974" s="315"/>
      <c r="AI974" s="315"/>
      <c r="AJ974" s="315"/>
      <c r="AK974" s="315"/>
      <c r="AL974" s="315"/>
      <c r="AM974" s="315"/>
      <c r="AN974" s="315"/>
    </row>
    <row r="975">
      <c r="A975" s="315"/>
      <c r="B975" s="315"/>
      <c r="C975" s="315"/>
      <c r="D975" s="315"/>
      <c r="E975" s="315"/>
      <c r="F975" s="315"/>
      <c r="G975" s="315"/>
      <c r="H975" s="315"/>
      <c r="I975" s="315"/>
      <c r="J975" s="315"/>
      <c r="K975" s="315"/>
      <c r="L975" s="315"/>
      <c r="M975" s="315"/>
      <c r="N975" s="315"/>
      <c r="O975" s="315"/>
      <c r="P975" s="315"/>
      <c r="Q975" s="315"/>
      <c r="R975" s="315"/>
      <c r="S975" s="315"/>
      <c r="T975" s="315"/>
      <c r="U975" s="315"/>
      <c r="V975" s="315"/>
      <c r="W975" s="315"/>
      <c r="X975" s="315"/>
      <c r="Y975" s="315"/>
      <c r="Z975" s="315"/>
      <c r="AA975" s="315"/>
      <c r="AB975" s="315"/>
      <c r="AC975" s="315"/>
      <c r="AD975" s="315"/>
      <c r="AE975" s="315"/>
      <c r="AF975" s="315"/>
      <c r="AG975" s="315"/>
      <c r="AH975" s="315"/>
      <c r="AI975" s="315"/>
      <c r="AJ975" s="315"/>
      <c r="AK975" s="315"/>
      <c r="AL975" s="315"/>
      <c r="AM975" s="315"/>
      <c r="AN975" s="315"/>
    </row>
    <row r="976">
      <c r="A976" s="315"/>
      <c r="B976" s="315"/>
      <c r="C976" s="315"/>
      <c r="D976" s="315"/>
      <c r="E976" s="315"/>
      <c r="F976" s="315"/>
      <c r="G976" s="315"/>
      <c r="H976" s="315"/>
      <c r="I976" s="315"/>
      <c r="J976" s="315"/>
      <c r="K976" s="315"/>
      <c r="L976" s="315"/>
      <c r="M976" s="315"/>
      <c r="N976" s="315"/>
      <c r="O976" s="315"/>
      <c r="P976" s="315"/>
      <c r="Q976" s="315"/>
      <c r="R976" s="315"/>
      <c r="S976" s="315"/>
      <c r="T976" s="315"/>
      <c r="U976" s="315"/>
      <c r="V976" s="315"/>
      <c r="W976" s="315"/>
      <c r="X976" s="315"/>
      <c r="Y976" s="315"/>
      <c r="Z976" s="315"/>
      <c r="AA976" s="315"/>
      <c r="AB976" s="315"/>
      <c r="AC976" s="315"/>
      <c r="AD976" s="315"/>
      <c r="AE976" s="315"/>
      <c r="AF976" s="315"/>
      <c r="AG976" s="315"/>
      <c r="AH976" s="315"/>
      <c r="AI976" s="315"/>
      <c r="AJ976" s="315"/>
      <c r="AK976" s="315"/>
      <c r="AL976" s="315"/>
      <c r="AM976" s="315"/>
      <c r="AN976" s="315"/>
    </row>
    <row r="977">
      <c r="A977" s="315"/>
      <c r="B977" s="315"/>
      <c r="C977" s="315"/>
      <c r="D977" s="315"/>
      <c r="E977" s="315"/>
      <c r="F977" s="315"/>
      <c r="G977" s="315"/>
      <c r="H977" s="315"/>
      <c r="I977" s="315"/>
      <c r="J977" s="315"/>
      <c r="K977" s="315"/>
      <c r="L977" s="315"/>
      <c r="M977" s="315"/>
      <c r="N977" s="315"/>
      <c r="O977" s="315"/>
      <c r="P977" s="315"/>
      <c r="Q977" s="315"/>
      <c r="R977" s="315"/>
      <c r="S977" s="315"/>
      <c r="T977" s="315"/>
      <c r="U977" s="315"/>
      <c r="V977" s="315"/>
      <c r="W977" s="315"/>
      <c r="X977" s="315"/>
      <c r="Y977" s="315"/>
      <c r="Z977" s="315"/>
      <c r="AA977" s="315"/>
      <c r="AB977" s="315"/>
      <c r="AC977" s="315"/>
      <c r="AD977" s="315"/>
      <c r="AE977" s="315"/>
      <c r="AF977" s="315"/>
      <c r="AG977" s="315"/>
      <c r="AH977" s="315"/>
      <c r="AI977" s="315"/>
      <c r="AJ977" s="315"/>
      <c r="AK977" s="315"/>
      <c r="AL977" s="315"/>
      <c r="AM977" s="315"/>
      <c r="AN977" s="315"/>
    </row>
    <row r="978">
      <c r="A978" s="315"/>
      <c r="B978" s="315"/>
      <c r="C978" s="315"/>
      <c r="D978" s="315"/>
      <c r="E978" s="315"/>
      <c r="F978" s="315"/>
      <c r="G978" s="315"/>
      <c r="H978" s="315"/>
      <c r="I978" s="315"/>
      <c r="J978" s="315"/>
      <c r="K978" s="315"/>
      <c r="L978" s="315"/>
      <c r="M978" s="315"/>
      <c r="N978" s="315"/>
      <c r="O978" s="315"/>
      <c r="P978" s="315"/>
      <c r="Q978" s="315"/>
      <c r="R978" s="315"/>
      <c r="S978" s="315"/>
      <c r="T978" s="315"/>
      <c r="U978" s="315"/>
      <c r="V978" s="315"/>
      <c r="W978" s="315"/>
      <c r="X978" s="315"/>
      <c r="Y978" s="315"/>
      <c r="Z978" s="315"/>
      <c r="AA978" s="315"/>
      <c r="AB978" s="315"/>
      <c r="AC978" s="315"/>
      <c r="AD978" s="315"/>
      <c r="AE978" s="315"/>
      <c r="AF978" s="315"/>
      <c r="AG978" s="315"/>
      <c r="AH978" s="315"/>
      <c r="AI978" s="315"/>
      <c r="AJ978" s="315"/>
      <c r="AK978" s="315"/>
      <c r="AL978" s="315"/>
      <c r="AM978" s="315"/>
      <c r="AN978" s="315"/>
    </row>
    <row r="979">
      <c r="A979" s="315"/>
      <c r="B979" s="315"/>
      <c r="C979" s="315"/>
      <c r="D979" s="315"/>
      <c r="E979" s="315"/>
      <c r="F979" s="315"/>
      <c r="G979" s="315"/>
      <c r="H979" s="315"/>
      <c r="I979" s="315"/>
      <c r="J979" s="315"/>
      <c r="K979" s="315"/>
      <c r="L979" s="315"/>
      <c r="M979" s="315"/>
      <c r="N979" s="315"/>
      <c r="O979" s="315"/>
      <c r="P979" s="315"/>
      <c r="Q979" s="315"/>
      <c r="R979" s="315"/>
      <c r="S979" s="315"/>
      <c r="T979" s="315"/>
      <c r="U979" s="315"/>
      <c r="V979" s="315"/>
      <c r="W979" s="315"/>
      <c r="X979" s="315"/>
      <c r="Y979" s="315"/>
      <c r="Z979" s="315"/>
      <c r="AA979" s="315"/>
      <c r="AB979" s="315"/>
      <c r="AC979" s="315"/>
      <c r="AD979" s="315"/>
      <c r="AE979" s="315"/>
      <c r="AF979" s="315"/>
      <c r="AG979" s="315"/>
      <c r="AH979" s="315"/>
      <c r="AI979" s="315"/>
      <c r="AJ979" s="315"/>
      <c r="AK979" s="315"/>
      <c r="AL979" s="315"/>
      <c r="AM979" s="315"/>
      <c r="AN979" s="315"/>
    </row>
    <row r="980">
      <c r="A980" s="315"/>
      <c r="B980" s="315"/>
      <c r="C980" s="315"/>
      <c r="D980" s="315"/>
      <c r="E980" s="315"/>
      <c r="F980" s="315"/>
      <c r="G980" s="315"/>
      <c r="H980" s="315"/>
      <c r="I980" s="315"/>
      <c r="J980" s="315"/>
      <c r="K980" s="315"/>
      <c r="L980" s="315"/>
      <c r="M980" s="315"/>
      <c r="N980" s="315"/>
      <c r="O980" s="315"/>
      <c r="P980" s="315"/>
      <c r="Q980" s="315"/>
      <c r="R980" s="315"/>
      <c r="S980" s="315"/>
      <c r="T980" s="315"/>
      <c r="U980" s="315"/>
      <c r="V980" s="315"/>
      <c r="W980" s="315"/>
      <c r="X980" s="315"/>
      <c r="Y980" s="315"/>
      <c r="Z980" s="315"/>
      <c r="AA980" s="315"/>
      <c r="AB980" s="315"/>
      <c r="AC980" s="315"/>
      <c r="AD980" s="315"/>
      <c r="AE980" s="315"/>
      <c r="AF980" s="315"/>
      <c r="AG980" s="315"/>
      <c r="AH980" s="315"/>
      <c r="AI980" s="315"/>
      <c r="AJ980" s="315"/>
      <c r="AK980" s="315"/>
      <c r="AL980" s="315"/>
      <c r="AM980" s="315"/>
      <c r="AN980" s="315"/>
    </row>
    <row r="981">
      <c r="A981" s="315"/>
      <c r="B981" s="315"/>
      <c r="C981" s="315"/>
      <c r="D981" s="315"/>
      <c r="E981" s="315"/>
      <c r="F981" s="315"/>
      <c r="G981" s="315"/>
      <c r="H981" s="315"/>
      <c r="I981" s="315"/>
      <c r="J981" s="315"/>
      <c r="K981" s="315"/>
      <c r="L981" s="315"/>
      <c r="M981" s="315"/>
      <c r="N981" s="315"/>
      <c r="O981" s="315"/>
      <c r="P981" s="315"/>
      <c r="Q981" s="315"/>
      <c r="R981" s="315"/>
      <c r="S981" s="315"/>
      <c r="T981" s="315"/>
      <c r="U981" s="315"/>
      <c r="V981" s="315"/>
      <c r="W981" s="315"/>
      <c r="X981" s="315"/>
      <c r="Y981" s="315"/>
      <c r="Z981" s="315"/>
      <c r="AA981" s="315"/>
      <c r="AB981" s="315"/>
      <c r="AC981" s="315"/>
      <c r="AD981" s="315"/>
      <c r="AE981" s="315"/>
      <c r="AF981" s="315"/>
      <c r="AG981" s="315"/>
      <c r="AH981" s="315"/>
      <c r="AI981" s="315"/>
      <c r="AJ981" s="315"/>
      <c r="AK981" s="315"/>
      <c r="AL981" s="315"/>
      <c r="AM981" s="315"/>
      <c r="AN981" s="315"/>
    </row>
    <row r="982">
      <c r="A982" s="315"/>
      <c r="B982" s="315"/>
      <c r="C982" s="315"/>
      <c r="D982" s="315"/>
      <c r="E982" s="315"/>
      <c r="F982" s="315"/>
      <c r="G982" s="315"/>
      <c r="H982" s="315"/>
      <c r="I982" s="315"/>
      <c r="J982" s="315"/>
      <c r="K982" s="315"/>
      <c r="L982" s="315"/>
      <c r="M982" s="315"/>
      <c r="N982" s="315"/>
      <c r="O982" s="315"/>
      <c r="P982" s="315"/>
      <c r="Q982" s="315"/>
      <c r="R982" s="315"/>
      <c r="S982" s="315"/>
      <c r="T982" s="315"/>
      <c r="U982" s="315"/>
      <c r="V982" s="315"/>
      <c r="W982" s="315"/>
      <c r="X982" s="315"/>
      <c r="Y982" s="315"/>
      <c r="Z982" s="315"/>
      <c r="AA982" s="315"/>
      <c r="AB982" s="315"/>
      <c r="AC982" s="315"/>
      <c r="AD982" s="315"/>
      <c r="AE982" s="315"/>
      <c r="AF982" s="315"/>
      <c r="AG982" s="315"/>
      <c r="AH982" s="315"/>
      <c r="AI982" s="315"/>
      <c r="AJ982" s="315"/>
      <c r="AK982" s="315"/>
      <c r="AL982" s="315"/>
      <c r="AM982" s="315"/>
      <c r="AN982" s="315"/>
    </row>
    <row r="983">
      <c r="A983" s="315"/>
      <c r="B983" s="315"/>
      <c r="C983" s="315"/>
      <c r="D983" s="315"/>
      <c r="E983" s="315"/>
      <c r="F983" s="315"/>
      <c r="G983" s="315"/>
      <c r="H983" s="315"/>
      <c r="I983" s="315"/>
      <c r="J983" s="315"/>
      <c r="K983" s="315"/>
      <c r="L983" s="315"/>
      <c r="M983" s="315"/>
      <c r="N983" s="315"/>
      <c r="O983" s="315"/>
      <c r="P983" s="315"/>
      <c r="Q983" s="315"/>
      <c r="R983" s="315"/>
      <c r="S983" s="315"/>
      <c r="T983" s="315"/>
      <c r="U983" s="315"/>
      <c r="V983" s="315"/>
      <c r="W983" s="315"/>
      <c r="X983" s="315"/>
      <c r="Y983" s="315"/>
      <c r="Z983" s="315"/>
      <c r="AA983" s="315"/>
      <c r="AB983" s="315"/>
      <c r="AC983" s="315"/>
      <c r="AD983" s="315"/>
      <c r="AE983" s="315"/>
      <c r="AF983" s="315"/>
      <c r="AG983" s="315"/>
      <c r="AH983" s="315"/>
      <c r="AI983" s="315"/>
      <c r="AJ983" s="315"/>
      <c r="AK983" s="315"/>
      <c r="AL983" s="315"/>
      <c r="AM983" s="315"/>
      <c r="AN983" s="315"/>
    </row>
    <row r="984">
      <c r="A984" s="315"/>
      <c r="B984" s="315"/>
      <c r="C984" s="315"/>
      <c r="D984" s="315"/>
      <c r="E984" s="315"/>
      <c r="F984" s="315"/>
      <c r="G984" s="315"/>
      <c r="H984" s="315"/>
      <c r="I984" s="315"/>
      <c r="J984" s="315"/>
      <c r="K984" s="315"/>
      <c r="L984" s="315"/>
      <c r="M984" s="315"/>
      <c r="N984" s="315"/>
      <c r="O984" s="315"/>
      <c r="P984" s="315"/>
      <c r="Q984" s="315"/>
      <c r="R984" s="315"/>
      <c r="S984" s="315"/>
      <c r="T984" s="315"/>
      <c r="U984" s="315"/>
      <c r="V984" s="315"/>
      <c r="W984" s="315"/>
      <c r="X984" s="315"/>
      <c r="Y984" s="315"/>
      <c r="Z984" s="315"/>
      <c r="AA984" s="315"/>
      <c r="AB984" s="315"/>
      <c r="AC984" s="315"/>
      <c r="AD984" s="315"/>
      <c r="AE984" s="315"/>
      <c r="AF984" s="315"/>
      <c r="AG984" s="315"/>
      <c r="AH984" s="315"/>
      <c r="AI984" s="315"/>
      <c r="AJ984" s="315"/>
      <c r="AK984" s="315"/>
      <c r="AL984" s="315"/>
      <c r="AM984" s="315"/>
      <c r="AN984" s="315"/>
    </row>
    <row r="985">
      <c r="A985" s="315"/>
      <c r="B985" s="315"/>
      <c r="C985" s="315"/>
      <c r="D985" s="315"/>
      <c r="E985" s="315"/>
      <c r="F985" s="315"/>
      <c r="G985" s="315"/>
      <c r="H985" s="315"/>
      <c r="I985" s="315"/>
      <c r="J985" s="315"/>
      <c r="K985" s="315"/>
      <c r="L985" s="315"/>
      <c r="M985" s="315"/>
      <c r="N985" s="315"/>
      <c r="O985" s="315"/>
      <c r="P985" s="315"/>
      <c r="Q985" s="315"/>
      <c r="R985" s="315"/>
      <c r="S985" s="315"/>
      <c r="T985" s="315"/>
      <c r="U985" s="315"/>
      <c r="V985" s="315"/>
      <c r="W985" s="315"/>
      <c r="X985" s="315"/>
      <c r="Y985" s="315"/>
      <c r="Z985" s="315"/>
      <c r="AA985" s="315"/>
      <c r="AB985" s="315"/>
      <c r="AC985" s="315"/>
      <c r="AD985" s="315"/>
      <c r="AE985" s="315"/>
      <c r="AF985" s="315"/>
      <c r="AG985" s="315"/>
      <c r="AH985" s="315"/>
      <c r="AI985" s="315"/>
      <c r="AJ985" s="315"/>
      <c r="AK985" s="315"/>
      <c r="AL985" s="315"/>
      <c r="AM985" s="315"/>
      <c r="AN985" s="315"/>
    </row>
    <row r="986">
      <c r="A986" s="315"/>
      <c r="B986" s="315"/>
      <c r="C986" s="315"/>
      <c r="D986" s="315"/>
      <c r="E986" s="315"/>
      <c r="F986" s="315"/>
      <c r="G986" s="315"/>
      <c r="H986" s="315"/>
      <c r="I986" s="315"/>
      <c r="J986" s="315"/>
      <c r="K986" s="315"/>
      <c r="L986" s="315"/>
      <c r="M986" s="315"/>
      <c r="N986" s="315"/>
      <c r="O986" s="315"/>
      <c r="P986" s="315"/>
      <c r="Q986" s="315"/>
      <c r="R986" s="315"/>
      <c r="S986" s="315"/>
      <c r="T986" s="315"/>
      <c r="U986" s="315"/>
      <c r="V986" s="315"/>
      <c r="W986" s="315"/>
      <c r="X986" s="315"/>
      <c r="Y986" s="315"/>
      <c r="Z986" s="315"/>
      <c r="AA986" s="315"/>
      <c r="AB986" s="315"/>
      <c r="AC986" s="315"/>
      <c r="AD986" s="315"/>
      <c r="AE986" s="315"/>
      <c r="AF986" s="315"/>
      <c r="AG986" s="315"/>
      <c r="AH986" s="315"/>
      <c r="AI986" s="315"/>
      <c r="AJ986" s="315"/>
      <c r="AK986" s="315"/>
      <c r="AL986" s="315"/>
      <c r="AM986" s="315"/>
      <c r="AN986" s="315"/>
    </row>
    <row r="987">
      <c r="A987" s="315"/>
      <c r="B987" s="315"/>
      <c r="C987" s="315"/>
      <c r="D987" s="315"/>
      <c r="E987" s="315"/>
      <c r="F987" s="315"/>
      <c r="G987" s="315"/>
      <c r="H987" s="315"/>
      <c r="I987" s="315"/>
      <c r="J987" s="315"/>
      <c r="K987" s="315"/>
      <c r="L987" s="315"/>
      <c r="M987" s="315"/>
      <c r="N987" s="315"/>
      <c r="O987" s="315"/>
      <c r="P987" s="315"/>
      <c r="Q987" s="315"/>
      <c r="R987" s="315"/>
      <c r="S987" s="315"/>
      <c r="T987" s="315"/>
      <c r="U987" s="315"/>
      <c r="V987" s="315"/>
      <c r="W987" s="315"/>
      <c r="X987" s="315"/>
      <c r="Y987" s="315"/>
      <c r="Z987" s="315"/>
      <c r="AA987" s="315"/>
      <c r="AB987" s="315"/>
      <c r="AC987" s="315"/>
      <c r="AD987" s="315"/>
      <c r="AE987" s="315"/>
      <c r="AF987" s="315"/>
      <c r="AG987" s="315"/>
      <c r="AH987" s="315"/>
      <c r="AI987" s="315"/>
      <c r="AJ987" s="315"/>
      <c r="AK987" s="315"/>
      <c r="AL987" s="315"/>
      <c r="AM987" s="315"/>
      <c r="AN987" s="315"/>
    </row>
    <row r="988">
      <c r="A988" s="315"/>
      <c r="B988" s="315"/>
      <c r="C988" s="315"/>
      <c r="D988" s="315"/>
      <c r="E988" s="315"/>
      <c r="F988" s="315"/>
      <c r="G988" s="315"/>
      <c r="H988" s="315"/>
      <c r="I988" s="315"/>
      <c r="J988" s="315"/>
      <c r="K988" s="315"/>
      <c r="L988" s="315"/>
      <c r="M988" s="315"/>
      <c r="N988" s="315"/>
      <c r="O988" s="315"/>
      <c r="P988" s="315"/>
      <c r="Q988" s="315"/>
      <c r="R988" s="315"/>
      <c r="S988" s="315"/>
      <c r="T988" s="315"/>
      <c r="U988" s="315"/>
      <c r="V988" s="315"/>
      <c r="W988" s="315"/>
      <c r="X988" s="315"/>
      <c r="Y988" s="315"/>
      <c r="Z988" s="315"/>
      <c r="AA988" s="315"/>
      <c r="AB988" s="315"/>
      <c r="AC988" s="315"/>
      <c r="AD988" s="315"/>
      <c r="AE988" s="315"/>
      <c r="AF988" s="315"/>
      <c r="AG988" s="315"/>
      <c r="AH988" s="315"/>
      <c r="AI988" s="315"/>
      <c r="AJ988" s="315"/>
      <c r="AK988" s="315"/>
      <c r="AL988" s="315"/>
      <c r="AM988" s="315"/>
      <c r="AN988" s="315"/>
    </row>
    <row r="989">
      <c r="A989" s="315"/>
      <c r="B989" s="315"/>
      <c r="C989" s="315"/>
      <c r="D989" s="315"/>
      <c r="E989" s="315"/>
      <c r="F989" s="315"/>
      <c r="G989" s="315"/>
      <c r="H989" s="315"/>
      <c r="I989" s="315"/>
      <c r="J989" s="315"/>
      <c r="K989" s="315"/>
      <c r="L989" s="315"/>
      <c r="M989" s="315"/>
      <c r="N989" s="315"/>
      <c r="O989" s="315"/>
      <c r="P989" s="315"/>
      <c r="Q989" s="315"/>
      <c r="R989" s="315"/>
      <c r="S989" s="315"/>
      <c r="T989" s="315"/>
      <c r="U989" s="315"/>
      <c r="V989" s="315"/>
      <c r="W989" s="315"/>
      <c r="X989" s="315"/>
      <c r="Y989" s="315"/>
      <c r="Z989" s="315"/>
      <c r="AA989" s="315"/>
      <c r="AB989" s="315"/>
      <c r="AC989" s="315"/>
      <c r="AD989" s="315"/>
      <c r="AE989" s="315"/>
      <c r="AF989" s="315"/>
      <c r="AG989" s="315"/>
      <c r="AH989" s="315"/>
      <c r="AI989" s="315"/>
      <c r="AJ989" s="315"/>
      <c r="AK989" s="315"/>
      <c r="AL989" s="315"/>
      <c r="AM989" s="315"/>
      <c r="AN989" s="315"/>
    </row>
    <row r="990">
      <c r="A990" s="315"/>
      <c r="B990" s="315"/>
      <c r="C990" s="315"/>
      <c r="D990" s="315"/>
      <c r="E990" s="315"/>
      <c r="F990" s="315"/>
      <c r="G990" s="315"/>
      <c r="H990" s="315"/>
      <c r="I990" s="315"/>
      <c r="J990" s="315"/>
      <c r="K990" s="315"/>
      <c r="L990" s="315"/>
      <c r="M990" s="315"/>
      <c r="N990" s="315"/>
      <c r="O990" s="315"/>
      <c r="P990" s="315"/>
      <c r="Q990" s="315"/>
      <c r="R990" s="315"/>
      <c r="S990" s="315"/>
      <c r="T990" s="315"/>
      <c r="U990" s="315"/>
      <c r="V990" s="315"/>
      <c r="W990" s="315"/>
      <c r="X990" s="315"/>
      <c r="Y990" s="315"/>
      <c r="Z990" s="315"/>
      <c r="AA990" s="315"/>
      <c r="AB990" s="315"/>
      <c r="AC990" s="315"/>
      <c r="AD990" s="315"/>
      <c r="AE990" s="315"/>
      <c r="AF990" s="315"/>
      <c r="AG990" s="315"/>
      <c r="AH990" s="315"/>
      <c r="AI990" s="315"/>
      <c r="AJ990" s="315"/>
      <c r="AK990" s="315"/>
      <c r="AL990" s="315"/>
      <c r="AM990" s="315"/>
      <c r="AN990" s="315"/>
    </row>
    <row r="991">
      <c r="A991" s="315"/>
      <c r="B991" s="315"/>
      <c r="C991" s="315"/>
      <c r="D991" s="315"/>
      <c r="E991" s="315"/>
      <c r="F991" s="315"/>
      <c r="G991" s="315"/>
      <c r="H991" s="315"/>
      <c r="I991" s="315"/>
      <c r="J991" s="315"/>
      <c r="K991" s="315"/>
      <c r="L991" s="315"/>
      <c r="M991" s="315"/>
      <c r="N991" s="315"/>
      <c r="O991" s="315"/>
      <c r="P991" s="315"/>
      <c r="Q991" s="315"/>
      <c r="R991" s="315"/>
      <c r="S991" s="315"/>
      <c r="T991" s="315"/>
      <c r="U991" s="315"/>
      <c r="V991" s="315"/>
      <c r="W991" s="315"/>
      <c r="X991" s="315"/>
      <c r="Y991" s="315"/>
      <c r="Z991" s="315"/>
      <c r="AA991" s="315"/>
      <c r="AB991" s="315"/>
      <c r="AC991" s="315"/>
      <c r="AD991" s="315"/>
      <c r="AE991" s="315"/>
      <c r="AF991" s="315"/>
      <c r="AG991" s="315"/>
      <c r="AH991" s="315"/>
      <c r="AI991" s="315"/>
      <c r="AJ991" s="315"/>
      <c r="AK991" s="315"/>
      <c r="AL991" s="315"/>
      <c r="AM991" s="315"/>
      <c r="AN991" s="315"/>
    </row>
    <row r="992">
      <c r="A992" s="315"/>
      <c r="B992" s="315"/>
      <c r="C992" s="315"/>
      <c r="D992" s="315"/>
      <c r="E992" s="315"/>
      <c r="F992" s="315"/>
      <c r="G992" s="315"/>
      <c r="H992" s="315"/>
      <c r="I992" s="315"/>
      <c r="J992" s="315"/>
      <c r="K992" s="315"/>
      <c r="L992" s="315"/>
      <c r="M992" s="315"/>
      <c r="N992" s="315"/>
      <c r="O992" s="315"/>
      <c r="P992" s="315"/>
      <c r="Q992" s="315"/>
      <c r="R992" s="315"/>
      <c r="S992" s="315"/>
      <c r="T992" s="315"/>
      <c r="U992" s="315"/>
      <c r="V992" s="315"/>
      <c r="W992" s="315"/>
      <c r="X992" s="315"/>
      <c r="Y992" s="315"/>
      <c r="Z992" s="315"/>
      <c r="AA992" s="315"/>
      <c r="AB992" s="315"/>
      <c r="AC992" s="315"/>
      <c r="AD992" s="315"/>
      <c r="AE992" s="315"/>
      <c r="AF992" s="315"/>
      <c r="AG992" s="315"/>
      <c r="AH992" s="315"/>
      <c r="AI992" s="315"/>
      <c r="AJ992" s="315"/>
      <c r="AK992" s="315"/>
      <c r="AL992" s="315"/>
      <c r="AM992" s="315"/>
      <c r="AN992" s="315"/>
    </row>
    <row r="993">
      <c r="A993" s="315"/>
      <c r="B993" s="315"/>
      <c r="C993" s="315"/>
      <c r="D993" s="315"/>
      <c r="E993" s="315"/>
      <c r="F993" s="315"/>
      <c r="G993" s="315"/>
      <c r="H993" s="315"/>
      <c r="I993" s="315"/>
      <c r="J993" s="315"/>
      <c r="K993" s="315"/>
      <c r="L993" s="315"/>
      <c r="M993" s="315"/>
      <c r="N993" s="315"/>
      <c r="O993" s="315"/>
      <c r="P993" s="315"/>
      <c r="Q993" s="315"/>
      <c r="R993" s="315"/>
      <c r="S993" s="315"/>
      <c r="T993" s="315"/>
      <c r="U993" s="315"/>
      <c r="V993" s="315"/>
      <c r="W993" s="315"/>
      <c r="X993" s="315"/>
      <c r="Y993" s="315"/>
      <c r="Z993" s="315"/>
      <c r="AA993" s="315"/>
      <c r="AB993" s="315"/>
      <c r="AC993" s="315"/>
      <c r="AD993" s="315"/>
      <c r="AE993" s="315"/>
      <c r="AF993" s="315"/>
      <c r="AG993" s="315"/>
      <c r="AH993" s="315"/>
      <c r="AI993" s="315"/>
      <c r="AJ993" s="315"/>
      <c r="AK993" s="315"/>
      <c r="AL993" s="315"/>
      <c r="AM993" s="315"/>
      <c r="AN993" s="315"/>
    </row>
    <row r="994">
      <c r="A994" s="315"/>
      <c r="B994" s="315"/>
      <c r="C994" s="315"/>
      <c r="D994" s="315"/>
      <c r="E994" s="315"/>
      <c r="F994" s="315"/>
      <c r="G994" s="315"/>
      <c r="H994" s="315"/>
      <c r="I994" s="315"/>
      <c r="J994" s="315"/>
      <c r="K994" s="315"/>
      <c r="L994" s="315"/>
      <c r="M994" s="315"/>
      <c r="N994" s="315"/>
      <c r="O994" s="315"/>
      <c r="P994" s="315"/>
      <c r="Q994" s="315"/>
      <c r="R994" s="315"/>
      <c r="S994" s="315"/>
      <c r="T994" s="315"/>
      <c r="U994" s="315"/>
      <c r="V994" s="315"/>
      <c r="W994" s="315"/>
      <c r="X994" s="315"/>
      <c r="Y994" s="315"/>
      <c r="Z994" s="315"/>
      <c r="AA994" s="315"/>
      <c r="AB994" s="315"/>
      <c r="AC994" s="315"/>
      <c r="AD994" s="315"/>
      <c r="AE994" s="315"/>
      <c r="AF994" s="315"/>
      <c r="AG994" s="315"/>
      <c r="AH994" s="315"/>
      <c r="AI994" s="315"/>
      <c r="AJ994" s="315"/>
      <c r="AK994" s="315"/>
      <c r="AL994" s="315"/>
      <c r="AM994" s="315"/>
      <c r="AN994" s="315"/>
    </row>
    <row r="995">
      <c r="A995" s="315"/>
      <c r="B995" s="315"/>
      <c r="C995" s="315"/>
      <c r="D995" s="315"/>
      <c r="E995" s="315"/>
      <c r="F995" s="315"/>
      <c r="G995" s="315"/>
      <c r="H995" s="315"/>
      <c r="I995" s="315"/>
      <c r="J995" s="315"/>
      <c r="K995" s="315"/>
      <c r="L995" s="315"/>
      <c r="M995" s="315"/>
      <c r="N995" s="315"/>
      <c r="O995" s="315"/>
      <c r="P995" s="315"/>
      <c r="Q995" s="315"/>
      <c r="R995" s="315"/>
      <c r="S995" s="315"/>
      <c r="T995" s="315"/>
      <c r="U995" s="315"/>
      <c r="V995" s="315"/>
      <c r="W995" s="315"/>
      <c r="X995" s="315"/>
      <c r="Y995" s="315"/>
      <c r="Z995" s="315"/>
      <c r="AA995" s="315"/>
      <c r="AB995" s="315"/>
      <c r="AC995" s="315"/>
      <c r="AD995" s="315"/>
      <c r="AE995" s="315"/>
      <c r="AF995" s="315"/>
      <c r="AG995" s="315"/>
      <c r="AH995" s="315"/>
      <c r="AI995" s="315"/>
      <c r="AJ995" s="315"/>
      <c r="AK995" s="315"/>
      <c r="AL995" s="315"/>
      <c r="AM995" s="315"/>
      <c r="AN995" s="315"/>
    </row>
    <row r="996">
      <c r="A996" s="315"/>
      <c r="B996" s="315"/>
      <c r="C996" s="315"/>
      <c r="D996" s="315"/>
      <c r="E996" s="315"/>
      <c r="F996" s="315"/>
      <c r="G996" s="315"/>
      <c r="H996" s="315"/>
      <c r="I996" s="315"/>
      <c r="J996" s="315"/>
      <c r="K996" s="315"/>
      <c r="L996" s="315"/>
      <c r="M996" s="315"/>
      <c r="N996" s="315"/>
      <c r="O996" s="315"/>
      <c r="P996" s="315"/>
      <c r="Q996" s="315"/>
      <c r="R996" s="315"/>
      <c r="S996" s="315"/>
      <c r="T996" s="315"/>
      <c r="U996" s="315"/>
      <c r="V996" s="315"/>
      <c r="W996" s="315"/>
      <c r="X996" s="315"/>
      <c r="Y996" s="315"/>
      <c r="Z996" s="315"/>
      <c r="AA996" s="315"/>
      <c r="AB996" s="315"/>
      <c r="AC996" s="315"/>
      <c r="AD996" s="315"/>
      <c r="AE996" s="315"/>
      <c r="AF996" s="315"/>
      <c r="AG996" s="315"/>
      <c r="AH996" s="315"/>
      <c r="AI996" s="315"/>
      <c r="AJ996" s="315"/>
      <c r="AK996" s="315"/>
      <c r="AL996" s="315"/>
      <c r="AM996" s="315"/>
      <c r="AN996" s="315"/>
    </row>
    <row r="997">
      <c r="A997" s="315"/>
      <c r="B997" s="315"/>
      <c r="C997" s="315"/>
      <c r="D997" s="315"/>
      <c r="E997" s="315"/>
      <c r="F997" s="315"/>
      <c r="G997" s="315"/>
      <c r="H997" s="315"/>
      <c r="I997" s="315"/>
      <c r="J997" s="315"/>
      <c r="K997" s="315"/>
      <c r="L997" s="315"/>
      <c r="M997" s="315"/>
      <c r="N997" s="315"/>
      <c r="O997" s="315"/>
      <c r="P997" s="315"/>
      <c r="Q997" s="315"/>
      <c r="R997" s="315"/>
      <c r="S997" s="315"/>
      <c r="T997" s="315"/>
      <c r="U997" s="315"/>
      <c r="V997" s="315"/>
      <c r="W997" s="315"/>
      <c r="X997" s="315"/>
      <c r="Y997" s="315"/>
      <c r="Z997" s="315"/>
      <c r="AA997" s="315"/>
      <c r="AB997" s="315"/>
      <c r="AC997" s="315"/>
      <c r="AD997" s="315"/>
      <c r="AE997" s="315"/>
      <c r="AF997" s="315"/>
      <c r="AG997" s="315"/>
      <c r="AH997" s="315"/>
      <c r="AI997" s="315"/>
      <c r="AJ997" s="315"/>
      <c r="AK997" s="315"/>
      <c r="AL997" s="315"/>
      <c r="AM997" s="315"/>
      <c r="AN997" s="315"/>
    </row>
    <row r="998">
      <c r="A998" s="315"/>
      <c r="B998" s="315"/>
      <c r="C998" s="315"/>
      <c r="D998" s="315"/>
      <c r="E998" s="315"/>
      <c r="F998" s="315"/>
      <c r="G998" s="315"/>
      <c r="H998" s="315"/>
      <c r="I998" s="315"/>
      <c r="J998" s="315"/>
      <c r="K998" s="315"/>
      <c r="L998" s="315"/>
      <c r="M998" s="315"/>
      <c r="N998" s="315"/>
      <c r="O998" s="315"/>
      <c r="P998" s="315"/>
      <c r="Q998" s="315"/>
      <c r="R998" s="315"/>
      <c r="S998" s="315"/>
      <c r="T998" s="315"/>
      <c r="U998" s="315"/>
      <c r="V998" s="315"/>
      <c r="W998" s="315"/>
      <c r="X998" s="315"/>
      <c r="Y998" s="315"/>
      <c r="Z998" s="315"/>
      <c r="AA998" s="315"/>
      <c r="AB998" s="315"/>
      <c r="AC998" s="315"/>
      <c r="AD998" s="315"/>
      <c r="AE998" s="315"/>
      <c r="AF998" s="315"/>
      <c r="AG998" s="315"/>
      <c r="AH998" s="315"/>
      <c r="AI998" s="315"/>
      <c r="AJ998" s="315"/>
      <c r="AK998" s="315"/>
      <c r="AL998" s="315"/>
      <c r="AM998" s="315"/>
      <c r="AN998" s="315"/>
    </row>
    <row r="999">
      <c r="A999" s="315"/>
      <c r="B999" s="315"/>
      <c r="C999" s="315"/>
      <c r="D999" s="315"/>
      <c r="E999" s="315"/>
      <c r="F999" s="315"/>
      <c r="G999" s="315"/>
      <c r="H999" s="315"/>
      <c r="I999" s="315"/>
      <c r="J999" s="315"/>
      <c r="K999" s="315"/>
      <c r="L999" s="315"/>
      <c r="M999" s="315"/>
      <c r="N999" s="315"/>
      <c r="O999" s="315"/>
      <c r="P999" s="315"/>
      <c r="Q999" s="315"/>
      <c r="R999" s="315"/>
      <c r="S999" s="315"/>
      <c r="T999" s="315"/>
      <c r="U999" s="315"/>
      <c r="V999" s="315"/>
      <c r="W999" s="315"/>
      <c r="X999" s="315"/>
      <c r="Y999" s="315"/>
      <c r="Z999" s="315"/>
      <c r="AA999" s="315"/>
      <c r="AB999" s="315"/>
      <c r="AC999" s="315"/>
      <c r="AD999" s="315"/>
      <c r="AE999" s="315"/>
      <c r="AF999" s="315"/>
      <c r="AG999" s="315"/>
      <c r="AH999" s="315"/>
      <c r="AI999" s="315"/>
      <c r="AJ999" s="315"/>
      <c r="AK999" s="315"/>
      <c r="AL999" s="315"/>
      <c r="AM999" s="315"/>
      <c r="AN999" s="315"/>
    </row>
    <row r="1000">
      <c r="A1000" s="315"/>
      <c r="B1000" s="315"/>
      <c r="C1000" s="315"/>
      <c r="D1000" s="315"/>
      <c r="E1000" s="315"/>
      <c r="F1000" s="315"/>
      <c r="G1000" s="315"/>
      <c r="H1000" s="315"/>
      <c r="I1000" s="315"/>
      <c r="J1000" s="315"/>
      <c r="K1000" s="315"/>
      <c r="L1000" s="315"/>
      <c r="M1000" s="315"/>
      <c r="N1000" s="315"/>
      <c r="O1000" s="315"/>
      <c r="P1000" s="315"/>
      <c r="Q1000" s="315"/>
      <c r="R1000" s="315"/>
      <c r="S1000" s="315"/>
      <c r="T1000" s="315"/>
      <c r="U1000" s="315"/>
      <c r="V1000" s="315"/>
      <c r="W1000" s="315"/>
      <c r="X1000" s="315"/>
      <c r="Y1000" s="315"/>
      <c r="Z1000" s="315"/>
      <c r="AA1000" s="315"/>
      <c r="AB1000" s="315"/>
      <c r="AC1000" s="315"/>
      <c r="AD1000" s="315"/>
      <c r="AE1000" s="315"/>
      <c r="AF1000" s="315"/>
      <c r="AG1000" s="315"/>
      <c r="AH1000" s="315"/>
      <c r="AI1000" s="315"/>
      <c r="AJ1000" s="315"/>
      <c r="AK1000" s="315"/>
      <c r="AL1000" s="315"/>
      <c r="AM1000" s="315"/>
      <c r="AN1000" s="31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6" max="6" width="25.25"/>
    <col customWidth="1" min="7" max="7" width="34.38"/>
    <col customWidth="1" min="8" max="8" width="45.0"/>
    <col customWidth="1" min="9" max="9" width="40.75"/>
    <col customWidth="1" min="24" max="24" width="19.5"/>
    <col customWidth="1" min="25" max="25" width="22.25"/>
    <col customWidth="1" min="26" max="26" width="27.75"/>
  </cols>
  <sheetData>
    <row r="1">
      <c r="A1" s="289" t="str">
        <f>IFERROR(__xludf.DUMMYFUNCTION("QUERY(Mastersheet!A1:AF1000, ""SELECT * WHERE E = 'Crocs'"",1)
"),"Date")</f>
        <v>Date</v>
      </c>
      <c r="B1" s="289" t="str">
        <f>IFERROR(__xludf.DUMMYFUNCTION("""COMPUTED_VALUE"""),"Send Time")</f>
        <v>Send Time</v>
      </c>
      <c r="C1" s="289" t="str">
        <f>IFERROR(__xludf.DUMMYFUNCTION("""COMPUTED_VALUE"""),"Channel")</f>
        <v>Channel</v>
      </c>
      <c r="D1" s="289" t="str">
        <f>IFERROR(__xludf.DUMMYFUNCTION("""COMPUTED_VALUE"""),"Campaign Type")</f>
        <v>Campaign Type</v>
      </c>
      <c r="E1" s="289" t="str">
        <f>IFERROR(__xludf.DUMMYFUNCTION("""COMPUTED_VALUE"""),"Brand")</f>
        <v>Brand</v>
      </c>
      <c r="F1" s="289" t="str">
        <f>IFERROR(__xludf.DUMMYFUNCTION("""COMPUTED_VALUE"""),"Master Campaign / Offer Category")</f>
        <v>Master Campaign / Offer Category</v>
      </c>
      <c r="G1" s="289" t="str">
        <f>IFERROR(__xludf.DUMMYFUNCTION("""COMPUTED_VALUE"""),"Campaign Name")</f>
        <v>Campaign Name</v>
      </c>
      <c r="H1" s="289" t="str">
        <f>IFERROR(__xludf.DUMMYFUNCTION("""COMPUTED_VALUE"""),"Segment Name")</f>
        <v>Segment Name</v>
      </c>
      <c r="I1" s="289" t="str">
        <f>IFERROR(__xludf.DUMMYFUNCTION("""COMPUTED_VALUE"""),"Segment Logic")</f>
        <v>Segment Logic</v>
      </c>
      <c r="J1" s="289" t="str">
        <f>IFERROR(__xludf.DUMMYFUNCTION("""COMPUTED_VALUE"""),"Total Sent")</f>
        <v>Total Sent</v>
      </c>
      <c r="K1" s="289" t="str">
        <f>IFERROR(__xludf.DUMMYFUNCTION("""COMPUTED_VALUE"""),"Total Delivered")</f>
        <v>Total Delivered</v>
      </c>
      <c r="L1" s="289" t="str">
        <f>IFERROR(__xludf.DUMMYFUNCTION("""COMPUTED_VALUE"""),"Delivery Rate")</f>
        <v>Delivery Rate</v>
      </c>
      <c r="M1" s="289" t="str">
        <f>IFERROR(__xludf.DUMMYFUNCTION("""COMPUTED_VALUE"""),"Total Read")</f>
        <v>Total Read</v>
      </c>
      <c r="N1" s="289" t="str">
        <f>IFERROR(__xludf.DUMMYFUNCTION("""COMPUTED_VALUE"""),"Read Rate")</f>
        <v>Read Rate</v>
      </c>
      <c r="O1" s="289" t="str">
        <f>IFERROR(__xludf.DUMMYFUNCTION("""COMPUTED_VALUE"""),"Total Clicks")</f>
        <v>Total Clicks</v>
      </c>
      <c r="P1" s="290" t="str">
        <f>IFERROR(__xludf.DUMMYFUNCTION("""COMPUTED_VALUE"""),"Unique Clicks")</f>
        <v>Unique Clicks</v>
      </c>
      <c r="Q1" s="290" t="str">
        <f>IFERROR(__xludf.DUMMYFUNCTION("""COMPUTED_VALUE"""),"CTR")</f>
        <v>CTR</v>
      </c>
      <c r="R1" s="290" t="str">
        <f>IFERROR(__xludf.DUMMYFUNCTION("""COMPUTED_VALUE"""),"Click to Open Rate")</f>
        <v>Click to Open Rate</v>
      </c>
      <c r="S1" s="290" t="str">
        <f>IFERROR(__xludf.DUMMYFUNCTION("""COMPUTED_VALUE"""),"Goal 1 Conversions")</f>
        <v>Goal 1 Conversions</v>
      </c>
      <c r="T1" s="290" t="str">
        <f>IFERROR(__xludf.DUMMYFUNCTION("""COMPUTED_VALUE"""),"Goal 2 Add to Cart")</f>
        <v>Goal 2 Add to Cart</v>
      </c>
      <c r="U1" s="290" t="str">
        <f>IFERROR(__xludf.DUMMYFUNCTION("""COMPUTED_VALUE"""),"Total Campaign Revenue INR")</f>
        <v>Total Campaign Revenue INR</v>
      </c>
      <c r="V1" s="290" t="str">
        <f>IFERROR(__xludf.DUMMYFUNCTION("""COMPUTED_VALUE"""),"Campaign Channel Type")</f>
        <v>Campaign Channel Type</v>
      </c>
      <c r="W1" s="290" t="str">
        <f>IFERROR(__xludf.DUMMYFUNCTION("""COMPUTED_VALUE"""),"Template Type")</f>
        <v>Template Type</v>
      </c>
      <c r="X1" s="290" t="str">
        <f>IFERROR(__xludf.DUMMYFUNCTION("""COMPUTED_VALUE"""),"Segment Customer Base Type")</f>
        <v>Segment Customer Base Type</v>
      </c>
      <c r="Y1" s="290" t="str">
        <f>IFERROR(__xludf.DUMMYFUNCTION("""COMPUTED_VALUE"""),"Track Goals for")</f>
        <v>Track Goals for</v>
      </c>
      <c r="Z1" s="290" t="str">
        <f>IFERROR(__xludf.DUMMYFUNCTION("""COMPUTED_VALUE"""),"Campaign ID")</f>
        <v>Campaign ID</v>
      </c>
      <c r="AA1" s="290" t="str">
        <f>IFERROR(__xludf.DUMMYFUNCTION("""COMPUTED_VALUE"""),"Campaign Purchased Customers")</f>
        <v>Campaign Purchased Customers</v>
      </c>
      <c r="AB1" s="290" t="str">
        <f>IFERROR(__xludf.DUMMYFUNCTION("""COMPUTED_VALUE"""),"Campaign Purchased Customers - Online")</f>
        <v>Campaign Purchased Customers - Online</v>
      </c>
      <c r="AC1" s="290" t="str">
        <f>IFERROR(__xludf.DUMMYFUNCTION("""COMPUTED_VALUE"""),"Campaign Purchased Customers - Offline")</f>
        <v>Campaign Purchased Customers - Offline</v>
      </c>
      <c r="AD1" s="290" t="str">
        <f>IFERROR(__xludf.DUMMYFUNCTION("""COMPUTED_VALUE"""),"Influenced Revenue")</f>
        <v>Influenced Revenue</v>
      </c>
      <c r="AE1" s="290" t="str">
        <f>IFERROR(__xludf.DUMMYFUNCTION("""COMPUTED_VALUE"""),"Influenced Revenue - Online")</f>
        <v>Influenced Revenue - Online</v>
      </c>
      <c r="AF1" s="290" t="str">
        <f>IFERROR(__xludf.DUMMYFUNCTION("""COMPUTED_VALUE"""),"Influenced Revenue - Offline")</f>
        <v>Influenced Revenue - Offline</v>
      </c>
      <c r="AG1" s="291"/>
      <c r="AH1" s="291"/>
      <c r="AI1" s="291"/>
      <c r="AJ1" s="291"/>
      <c r="AK1" s="291"/>
      <c r="AL1" s="291"/>
      <c r="AM1" s="291"/>
      <c r="AN1" s="291"/>
      <c r="AO1" s="291"/>
      <c r="AP1" s="291"/>
      <c r="AQ1" s="291"/>
      <c r="AR1" s="291"/>
      <c r="AS1" s="291"/>
      <c r="AT1" s="291"/>
      <c r="AU1" s="291"/>
      <c r="AV1" s="291"/>
      <c r="AW1" s="291"/>
      <c r="AX1" s="291"/>
      <c r="AY1" s="291"/>
      <c r="AZ1" s="291"/>
    </row>
    <row r="2">
      <c r="A2" s="306">
        <f>IFERROR(__xludf.DUMMYFUNCTION("""COMPUTED_VALUE"""),46029.0)</f>
        <v>46029</v>
      </c>
      <c r="B2" s="247">
        <f>IFERROR(__xludf.DUMMYFUNCTION("""COMPUTED_VALUE"""),0.75)</f>
        <v>0.75</v>
      </c>
      <c r="C2" s="211" t="str">
        <f>IFERROR(__xludf.DUMMYFUNCTION("""COMPUTED_VALUE"""),"Sms")</f>
        <v>Sms</v>
      </c>
      <c r="D2" s="211" t="str">
        <f>IFERROR(__xludf.DUMMYFUNCTION("""COMPUTED_VALUE"""),"Promotional")</f>
        <v>Promotional</v>
      </c>
      <c r="E2" s="211" t="str">
        <f>IFERROR(__xludf.DUMMYFUNCTION("""COMPUTED_VALUE"""),"Crocs")</f>
        <v>Crocs</v>
      </c>
      <c r="F2" s="211" t="str">
        <f>IFERROR(__xludf.DUMMYFUNCTION("""COMPUTED_VALUE"""),"New Store")</f>
        <v>New Store</v>
      </c>
      <c r="G2" s="211" t="str">
        <f>IFERROR(__xludf.DUMMYFUNCTION("""COMPUTED_VALUE"""),"Crocs_High Street Apollo_Indore")</f>
        <v>Crocs_High Street Apollo_Indore</v>
      </c>
      <c r="H2" s="212" t="str">
        <f>IFERROR(__xludf.DUMMYFUNCTION("""COMPUTED_VALUE"""),"Crocs_IndoreApolo_7thJan2026")</f>
        <v>Crocs_IndoreApolo_7thJan2026</v>
      </c>
      <c r="I2" s="212" t="str">
        <f>IFERROR(__xludf.DUMMYFUNCTION("""COMPUTED_VALUE"""),"Custom upload")</f>
        <v>Custom upload</v>
      </c>
      <c r="J2" s="213">
        <f>IFERROR(__xludf.DUMMYFUNCTION("""COMPUTED_VALUE"""),36309.0)</f>
        <v>36309</v>
      </c>
      <c r="K2" s="213">
        <f>IFERROR(__xludf.DUMMYFUNCTION("""COMPUTED_VALUE"""),18933.0)</f>
        <v>18933</v>
      </c>
      <c r="L2" s="214">
        <f>IFERROR(__xludf.DUMMYFUNCTION("""COMPUTED_VALUE"""),0.521)</f>
        <v>0.521</v>
      </c>
      <c r="M2" s="213"/>
      <c r="N2" s="214"/>
      <c r="O2" s="213"/>
      <c r="P2" s="213"/>
      <c r="Q2" s="214"/>
      <c r="R2" s="214"/>
      <c r="S2" s="101"/>
      <c r="T2" s="101"/>
      <c r="U2" s="213"/>
      <c r="V2" s="101"/>
      <c r="W2" s="101" t="str">
        <f>IFERROR(__xludf.DUMMYFUNCTION("""COMPUTED_VALUE"""),"SMS")</f>
        <v>SMS</v>
      </c>
      <c r="X2" s="101" t="str">
        <f>IFERROR(__xludf.DUMMYFUNCTION("""COMPUTED_VALUE"""),"Custom Upload")</f>
        <v>Custom Upload</v>
      </c>
      <c r="Y2" s="101" t="str">
        <f>IFERROR(__xludf.DUMMYFUNCTION("""COMPUTED_VALUE"""),"7th Jan- 18th Jan")</f>
        <v>7th Jan- 18th Jan</v>
      </c>
      <c r="Z2" s="101" t="str">
        <f>IFERROR(__xludf.DUMMYFUNCTION("""COMPUTED_VALUE"""),"695e4525bfc915f60668402c")</f>
        <v>695e4525bfc915f60668402c</v>
      </c>
      <c r="AA2" s="213"/>
      <c r="AB2" s="213"/>
      <c r="AC2" s="213"/>
      <c r="AD2" s="213"/>
      <c r="AE2" s="213"/>
      <c r="AF2" s="213"/>
      <c r="AG2" s="282"/>
      <c r="AH2" s="282"/>
      <c r="AI2" s="282"/>
      <c r="AJ2" s="282"/>
      <c r="AK2" s="282"/>
      <c r="AL2" s="282"/>
      <c r="AM2" s="282"/>
      <c r="AN2" s="282"/>
      <c r="AO2" s="282"/>
      <c r="AP2" s="282"/>
      <c r="AQ2" s="282"/>
      <c r="AR2" s="282"/>
      <c r="AS2" s="282"/>
      <c r="AT2" s="282"/>
      <c r="AU2" s="282"/>
      <c r="AV2" s="282"/>
      <c r="AW2" s="282"/>
      <c r="AX2" s="282"/>
      <c r="AY2" s="282"/>
      <c r="AZ2" s="282"/>
    </row>
    <row r="3">
      <c r="A3" s="306">
        <f>IFERROR(__xludf.DUMMYFUNCTION("""COMPUTED_VALUE"""),46038.0)</f>
        <v>46038</v>
      </c>
      <c r="B3" s="247">
        <f>IFERROR(__xludf.DUMMYFUNCTION("""COMPUTED_VALUE"""),0.7708333333321207)</f>
        <v>0.7708333333</v>
      </c>
      <c r="C3" s="211" t="str">
        <f>IFERROR(__xludf.DUMMYFUNCTION("""COMPUTED_VALUE"""),"Whatsapp")</f>
        <v>Whatsapp</v>
      </c>
      <c r="D3" s="211" t="str">
        <f>IFERROR(__xludf.DUMMYFUNCTION("""COMPUTED_VALUE"""),"Promotional")</f>
        <v>Promotional</v>
      </c>
      <c r="E3" s="211" t="str">
        <f>IFERROR(__xludf.DUMMYFUNCTION("""COMPUTED_VALUE"""),"Crocs")</f>
        <v>Crocs</v>
      </c>
      <c r="F3" s="211" t="str">
        <f>IFERROR(__xludf.DUMMYFUNCTION("""COMPUTED_VALUE"""),"Store Launch")</f>
        <v>Store Launch</v>
      </c>
      <c r="G3" s="211" t="str">
        <f>IFERROR(__xludf.DUMMYFUNCTION("""COMPUTED_VALUE"""),"Crocs_launch Event")</f>
        <v>Crocs_launch Event</v>
      </c>
      <c r="H3" s="212" t="str">
        <f>IFERROR(__xludf.DUMMYFUNCTION("""COMPUTED_VALUE"""),"Crocs_Lajpat_Nagar_Event_16thJan")</f>
        <v>Crocs_Lajpat_Nagar_Event_16thJan</v>
      </c>
      <c r="I3" s="212" t="str">
        <f>IFERROR(__xludf.DUMMYFUNCTION("""COMPUTED_VALUE"""),"Custom upload")</f>
        <v>Custom upload</v>
      </c>
      <c r="J3" s="213">
        <f>IFERROR(__xludf.DUMMYFUNCTION("""COMPUTED_VALUE"""),95.0)</f>
        <v>95</v>
      </c>
      <c r="K3" s="213">
        <f>IFERROR(__xludf.DUMMYFUNCTION("""COMPUTED_VALUE"""),28.0)</f>
        <v>28</v>
      </c>
      <c r="L3" s="214">
        <f>IFERROR(__xludf.DUMMYFUNCTION("""COMPUTED_VALUE"""),0.2947)</f>
        <v>0.2947</v>
      </c>
      <c r="M3" s="213">
        <f>IFERROR(__xludf.DUMMYFUNCTION("""COMPUTED_VALUE"""),22.0)</f>
        <v>22</v>
      </c>
      <c r="N3" s="214">
        <f>IFERROR(__xludf.DUMMYFUNCTION("""COMPUTED_VALUE"""),0.7857)</f>
        <v>0.7857</v>
      </c>
      <c r="O3" s="213">
        <f>IFERROR(__xludf.DUMMYFUNCTION("""COMPUTED_VALUE"""),1.0)</f>
        <v>1</v>
      </c>
      <c r="P3" s="213">
        <f>IFERROR(__xludf.DUMMYFUNCTION("""COMPUTED_VALUE"""),1.0)</f>
        <v>1</v>
      </c>
      <c r="Q3" s="214">
        <f>IFERROR(__xludf.DUMMYFUNCTION("""COMPUTED_VALUE"""),0.04)</f>
        <v>0.04</v>
      </c>
      <c r="R3" s="214">
        <f>IFERROR(__xludf.DUMMYFUNCTION("""COMPUTED_VALUE"""),0.05)</f>
        <v>0.05</v>
      </c>
      <c r="S3" s="101"/>
      <c r="T3" s="101"/>
      <c r="U3" s="213"/>
      <c r="V3" s="101" t="str">
        <f>IFERROR(__xludf.DUMMYFUNCTION("""COMPUTED_VALUE"""),"Offline ")</f>
        <v>Offline </v>
      </c>
      <c r="W3" s="101" t="str">
        <f>IFERROR(__xludf.DUMMYFUNCTION("""COMPUTED_VALUE"""),"simple")</f>
        <v>simple</v>
      </c>
      <c r="X3" s="101" t="str">
        <f>IFERROR(__xludf.DUMMYFUNCTION("""COMPUTED_VALUE"""),"Generic")</f>
        <v>Generic</v>
      </c>
      <c r="Y3" s="101" t="str">
        <f>IFERROR(__xludf.DUMMYFUNCTION("""COMPUTED_VALUE"""),"17-01-2026")</f>
        <v>17-01-2026</v>
      </c>
      <c r="Z3" s="101" t="str">
        <f>IFERROR(__xludf.DUMMYFUNCTION("""COMPUTED_VALUE"""),"696a341f3ed16889658718bd")</f>
        <v>696a341f3ed16889658718bd</v>
      </c>
      <c r="AA3" s="213">
        <f>IFERROR(__xludf.DUMMYFUNCTION("""COMPUTED_VALUE"""),1.0)</f>
        <v>1</v>
      </c>
      <c r="AB3" s="213"/>
      <c r="AC3" s="213">
        <f>IFERROR(__xludf.DUMMYFUNCTION("""COMPUTED_VALUE"""),1.0)</f>
        <v>1</v>
      </c>
      <c r="AD3" s="213">
        <f>IFERROR(__xludf.DUMMYFUNCTION("""COMPUTED_VALUE"""),5995.0)</f>
        <v>5995</v>
      </c>
      <c r="AE3" s="213"/>
      <c r="AF3" s="213">
        <f>IFERROR(__xludf.DUMMYFUNCTION("""COMPUTED_VALUE"""),5995.0)</f>
        <v>5995</v>
      </c>
      <c r="AG3" s="282"/>
      <c r="AH3" s="282"/>
      <c r="AI3" s="282"/>
      <c r="AJ3" s="282"/>
      <c r="AK3" s="282"/>
      <c r="AL3" s="282"/>
      <c r="AM3" s="282"/>
      <c r="AN3" s="282"/>
      <c r="AO3" s="282"/>
      <c r="AP3" s="282"/>
      <c r="AQ3" s="282"/>
      <c r="AR3" s="282"/>
      <c r="AS3" s="282"/>
      <c r="AT3" s="282"/>
      <c r="AU3" s="282"/>
      <c r="AV3" s="282"/>
      <c r="AW3" s="282"/>
      <c r="AX3" s="282"/>
      <c r="AY3" s="282"/>
      <c r="AZ3" s="282"/>
    </row>
    <row r="4">
      <c r="A4" s="306">
        <f>IFERROR(__xludf.DUMMYFUNCTION("""COMPUTED_VALUE"""),46038.0)</f>
        <v>46038</v>
      </c>
      <c r="B4" s="247">
        <f>IFERROR(__xludf.DUMMYFUNCTION("""COMPUTED_VALUE"""),0.8125)</f>
        <v>0.8125</v>
      </c>
      <c r="C4" s="211" t="str">
        <f>IFERROR(__xludf.DUMMYFUNCTION("""COMPUTED_VALUE"""),"Sms")</f>
        <v>Sms</v>
      </c>
      <c r="D4" s="211" t="str">
        <f>IFERROR(__xludf.DUMMYFUNCTION("""COMPUTED_VALUE"""),"Fallback Campaign")</f>
        <v>Fallback Campaign</v>
      </c>
      <c r="E4" s="211" t="str">
        <f>IFERROR(__xludf.DUMMYFUNCTION("""COMPUTED_VALUE"""),"Crocs")</f>
        <v>Crocs</v>
      </c>
      <c r="F4" s="211" t="str">
        <f>IFERROR(__xludf.DUMMYFUNCTION("""COMPUTED_VALUE"""),"Store Launch")</f>
        <v>Store Launch</v>
      </c>
      <c r="G4" s="211" t="str">
        <f>IFERROR(__xludf.DUMMYFUNCTION("""COMPUTED_VALUE"""),"Crocs_launch Event_fallback")</f>
        <v>Crocs_launch Event_fallback</v>
      </c>
      <c r="H4" s="212" t="str">
        <f>IFERROR(__xludf.DUMMYFUNCTION("""COMPUTED_VALUE"""),"Crocs_Lajpat_Nagar_Event_16thJan")</f>
        <v>Crocs_Lajpat_Nagar_Event_16thJan</v>
      </c>
      <c r="I4" s="212" t="str">
        <f>IFERROR(__xludf.DUMMYFUNCTION("""COMPUTED_VALUE"""),"WA Undelivered")</f>
        <v>WA Undelivered</v>
      </c>
      <c r="J4" s="213">
        <f>IFERROR(__xludf.DUMMYFUNCTION("""COMPUTED_VALUE"""),67.0)</f>
        <v>67</v>
      </c>
      <c r="K4" s="213">
        <f>IFERROR(__xludf.DUMMYFUNCTION("""COMPUTED_VALUE"""),29.0)</f>
        <v>29</v>
      </c>
      <c r="L4" s="214">
        <f>IFERROR(__xludf.DUMMYFUNCTION("""COMPUTED_VALUE"""),0.433)</f>
        <v>0.433</v>
      </c>
      <c r="M4" s="213"/>
      <c r="N4" s="214"/>
      <c r="O4" s="213"/>
      <c r="P4" s="213"/>
      <c r="Q4" s="214"/>
      <c r="R4" s="214"/>
      <c r="S4" s="101"/>
      <c r="T4" s="101"/>
      <c r="U4" s="213"/>
      <c r="V4" s="101" t="str">
        <f>IFERROR(__xludf.DUMMYFUNCTION("""COMPUTED_VALUE"""),"Offline ")</f>
        <v>Offline </v>
      </c>
      <c r="W4" s="101" t="str">
        <f>IFERROR(__xludf.DUMMYFUNCTION("""COMPUTED_VALUE"""),"SMS")</f>
        <v>SMS</v>
      </c>
      <c r="X4" s="101" t="str">
        <f>IFERROR(__xludf.DUMMYFUNCTION("""COMPUTED_VALUE"""),"Generic")</f>
        <v>Generic</v>
      </c>
      <c r="Y4" s="101" t="str">
        <f>IFERROR(__xludf.DUMMYFUNCTION("""COMPUTED_VALUE"""),"17-01-2026")</f>
        <v>17-01-2026</v>
      </c>
      <c r="Z4" s="101" t="str">
        <f>IFERROR(__xludf.DUMMYFUNCTION("""COMPUTED_VALUE"""),"696a3430f49b4b1ee5d8962b")</f>
        <v>696a3430f49b4b1ee5d8962b</v>
      </c>
      <c r="AA4" s="213">
        <f>IFERROR(__xludf.DUMMYFUNCTION("""COMPUTED_VALUE"""),1.0)</f>
        <v>1</v>
      </c>
      <c r="AB4" s="213"/>
      <c r="AC4" s="213">
        <f>IFERROR(__xludf.DUMMYFUNCTION("""COMPUTED_VALUE"""),1.0)</f>
        <v>1</v>
      </c>
      <c r="AD4" s="213">
        <f>IFERROR(__xludf.DUMMYFUNCTION("""COMPUTED_VALUE"""),3995.0)</f>
        <v>3995</v>
      </c>
      <c r="AE4" s="213"/>
      <c r="AF4" s="213">
        <f>IFERROR(__xludf.DUMMYFUNCTION("""COMPUTED_VALUE"""),3995.0)</f>
        <v>3995</v>
      </c>
      <c r="AG4" s="282"/>
      <c r="AH4" s="282"/>
      <c r="AI4" s="282"/>
      <c r="AJ4" s="282"/>
      <c r="AK4" s="282"/>
      <c r="AL4" s="282"/>
      <c r="AM4" s="282"/>
      <c r="AN4" s="282"/>
      <c r="AO4" s="282"/>
      <c r="AP4" s="282"/>
      <c r="AQ4" s="282"/>
      <c r="AR4" s="282"/>
      <c r="AS4" s="282"/>
      <c r="AT4" s="282"/>
      <c r="AU4" s="282"/>
      <c r="AV4" s="282"/>
      <c r="AW4" s="282"/>
      <c r="AX4" s="282"/>
      <c r="AY4" s="282"/>
      <c r="AZ4" s="282"/>
    </row>
    <row r="5">
      <c r="A5" s="306">
        <f>IFERROR(__xludf.DUMMYFUNCTION("""COMPUTED_VALUE"""),46046.0)</f>
        <v>46046</v>
      </c>
      <c r="B5" s="247">
        <f>IFERROR(__xludf.DUMMYFUNCTION("""COMPUTED_VALUE"""),0.4166666666678793)</f>
        <v>0.4166666667</v>
      </c>
      <c r="C5" s="211" t="str">
        <f>IFERROR(__xludf.DUMMYFUNCTION("""COMPUTED_VALUE"""),"Sms")</f>
        <v>Sms</v>
      </c>
      <c r="D5" s="211" t="str">
        <f>IFERROR(__xludf.DUMMYFUNCTION("""COMPUTED_VALUE"""),"Promotional")</f>
        <v>Promotional</v>
      </c>
      <c r="E5" s="211" t="str">
        <f>IFERROR(__xludf.DUMMYFUNCTION("""COMPUTED_VALUE"""),"Crocs")</f>
        <v>Crocs</v>
      </c>
      <c r="F5" s="211" t="str">
        <f>IFERROR(__xludf.DUMMYFUNCTION("""COMPUTED_VALUE"""),"Republics Day campaign")</f>
        <v>Republics Day campaign</v>
      </c>
      <c r="G5" s="211" t="str">
        <f>IFERROR(__xludf.DUMMYFUNCTION("""COMPUTED_VALUE"""),"Crocs_Republic Day_1209")</f>
        <v>Crocs_Republic Day_1209</v>
      </c>
      <c r="H5" s="212" t="str">
        <f>IFERROR(__xludf.DUMMYFUNCTION("""COMPUTED_VALUE"""),"CROCS_IN_Akshardham_3017_23_Jan OR Akshardham_Staff OR Crocs_internal_new")</f>
        <v>CROCS_IN_Akshardham_3017_23_Jan OR Akshardham_Staff OR Crocs_internal_new</v>
      </c>
      <c r="I5" s="212" t="str">
        <f>IFERROR(__xludf.DUMMYFUNCTION("""COMPUTED_VALUE"""),"Custom upload")</f>
        <v>Custom upload</v>
      </c>
      <c r="J5" s="213">
        <f>IFERROR(__xludf.DUMMYFUNCTION("""COMPUTED_VALUE"""),3959.0)</f>
        <v>3959</v>
      </c>
      <c r="K5" s="213">
        <f>IFERROR(__xludf.DUMMYFUNCTION("""COMPUTED_VALUE"""),2156.0)</f>
        <v>2156</v>
      </c>
      <c r="L5" s="214">
        <f>IFERROR(__xludf.DUMMYFUNCTION("""COMPUTED_VALUE"""),0.5446)</f>
        <v>0.5446</v>
      </c>
      <c r="M5" s="213"/>
      <c r="N5" s="214"/>
      <c r="O5" s="213">
        <f>IFERROR(__xludf.DUMMYFUNCTION("""COMPUTED_VALUE"""),0.0)</f>
        <v>0</v>
      </c>
      <c r="P5" s="213"/>
      <c r="Q5" s="214">
        <f>IFERROR(__xludf.DUMMYFUNCTION("""COMPUTED_VALUE"""),0.0)</f>
        <v>0</v>
      </c>
      <c r="R5" s="214"/>
      <c r="S5" s="101"/>
      <c r="T5" s="101"/>
      <c r="U5" s="213"/>
      <c r="V5" s="101" t="str">
        <f>IFERROR(__xludf.DUMMYFUNCTION("""COMPUTED_VALUE"""),"offline")</f>
        <v>offline</v>
      </c>
      <c r="W5" s="101" t="str">
        <f>IFERROR(__xludf.DUMMYFUNCTION("""COMPUTED_VALUE"""),"SMS")</f>
        <v>SMS</v>
      </c>
      <c r="X5" s="101" t="str">
        <f>IFERROR(__xludf.DUMMYFUNCTION("""COMPUTED_VALUE"""),"Custom Upload")</f>
        <v>Custom Upload</v>
      </c>
      <c r="Y5" s="101" t="str">
        <f>IFERROR(__xludf.DUMMYFUNCTION("""COMPUTED_VALUE"""),"24th-31st Jan")</f>
        <v>24th-31st Jan</v>
      </c>
      <c r="Z5" s="101" t="str">
        <f>IFERROR(__xludf.DUMMYFUNCTION("""COMPUTED_VALUE"""),"69734e6f1cf3d360ec5b89eb")</f>
        <v>69734e6f1cf3d360ec5b89eb</v>
      </c>
      <c r="AA5" s="213">
        <f>IFERROR(__xludf.DUMMYFUNCTION("""COMPUTED_VALUE"""),5.0)</f>
        <v>5</v>
      </c>
      <c r="AB5" s="213"/>
      <c r="AC5" s="213">
        <f>IFERROR(__xludf.DUMMYFUNCTION("""COMPUTED_VALUE"""),5.0)</f>
        <v>5</v>
      </c>
      <c r="AD5" s="213">
        <f>IFERROR(__xludf.DUMMYFUNCTION("""COMPUTED_VALUE"""),22123.0)</f>
        <v>22123</v>
      </c>
      <c r="AE5" s="213"/>
      <c r="AF5" s="213">
        <f>IFERROR(__xludf.DUMMYFUNCTION("""COMPUTED_VALUE"""),22123.0)</f>
        <v>22123</v>
      </c>
      <c r="AG5" s="282"/>
      <c r="AH5" s="282"/>
      <c r="AI5" s="282"/>
      <c r="AJ5" s="282"/>
      <c r="AK5" s="282"/>
      <c r="AL5" s="282"/>
      <c r="AM5" s="282"/>
      <c r="AN5" s="282"/>
      <c r="AO5" s="282"/>
      <c r="AP5" s="282"/>
      <c r="AQ5" s="282"/>
      <c r="AR5" s="282"/>
      <c r="AS5" s="282"/>
      <c r="AT5" s="282"/>
      <c r="AU5" s="282"/>
      <c r="AV5" s="282"/>
      <c r="AW5" s="282"/>
      <c r="AX5" s="282"/>
      <c r="AY5" s="282"/>
      <c r="AZ5" s="282"/>
    </row>
    <row r="6">
      <c r="A6" s="306">
        <f>IFERROR(__xludf.DUMMYFUNCTION("""COMPUTED_VALUE"""),46046.0)</f>
        <v>46046</v>
      </c>
      <c r="B6" s="247">
        <f>IFERROR(__xludf.DUMMYFUNCTION("""COMPUTED_VALUE"""),0.4166666666678793)</f>
        <v>0.4166666667</v>
      </c>
      <c r="C6" s="211" t="str">
        <f>IFERROR(__xludf.DUMMYFUNCTION("""COMPUTED_VALUE"""),"Sms")</f>
        <v>Sms</v>
      </c>
      <c r="D6" s="211" t="str">
        <f>IFERROR(__xludf.DUMMYFUNCTION("""COMPUTED_VALUE"""),"Promotional")</f>
        <v>Promotional</v>
      </c>
      <c r="E6" s="211" t="str">
        <f>IFERROR(__xludf.DUMMYFUNCTION("""COMPUTED_VALUE"""),"Crocs")</f>
        <v>Crocs</v>
      </c>
      <c r="F6" s="211" t="str">
        <f>IFERROR(__xludf.DUMMYFUNCTION("""COMPUTED_VALUE"""),"Republics Day campaign")</f>
        <v>Republics Day campaign</v>
      </c>
      <c r="G6" s="211" t="str">
        <f>IFERROR(__xludf.DUMMYFUNCTION("""COMPUTED_VALUE"""),"Crocs_Republic Day_1203")</f>
        <v>Crocs_Republic Day_1203</v>
      </c>
      <c r="H6" s="212" t="str">
        <f>IFERROR(__xludf.DUMMYFUNCTION("""COMPUTED_VALUE"""),"CROCS_IN_MallOfFaridabad_3001_23_Jan OR Mall Of Faridabad_Staff OR Crocs_internal_new")</f>
        <v>CROCS_IN_MallOfFaridabad_3001_23_Jan OR Mall Of Faridabad_Staff OR Crocs_internal_new</v>
      </c>
      <c r="I6" s="212" t="str">
        <f>IFERROR(__xludf.DUMMYFUNCTION("""COMPUTED_VALUE"""),"Custom upload")</f>
        <v>Custom upload</v>
      </c>
      <c r="J6" s="213">
        <f>IFERROR(__xludf.DUMMYFUNCTION("""COMPUTED_VALUE"""),8444.0)</f>
        <v>8444</v>
      </c>
      <c r="K6" s="213">
        <f>IFERROR(__xludf.DUMMYFUNCTION("""COMPUTED_VALUE"""),4491.0)</f>
        <v>4491</v>
      </c>
      <c r="L6" s="214">
        <f>IFERROR(__xludf.DUMMYFUNCTION("""COMPUTED_VALUE"""),0.5319)</f>
        <v>0.5319</v>
      </c>
      <c r="M6" s="213"/>
      <c r="N6" s="214"/>
      <c r="O6" s="213">
        <f>IFERROR(__xludf.DUMMYFUNCTION("""COMPUTED_VALUE"""),0.0)</f>
        <v>0</v>
      </c>
      <c r="P6" s="213"/>
      <c r="Q6" s="214">
        <f>IFERROR(__xludf.DUMMYFUNCTION("""COMPUTED_VALUE"""),0.0)</f>
        <v>0</v>
      </c>
      <c r="R6" s="214"/>
      <c r="S6" s="101"/>
      <c r="T6" s="101"/>
      <c r="U6" s="213"/>
      <c r="V6" s="101" t="str">
        <f>IFERROR(__xludf.DUMMYFUNCTION("""COMPUTED_VALUE"""),"offline")</f>
        <v>offline</v>
      </c>
      <c r="W6" s="101" t="str">
        <f>IFERROR(__xludf.DUMMYFUNCTION("""COMPUTED_VALUE"""),"SMS")</f>
        <v>SMS</v>
      </c>
      <c r="X6" s="101" t="str">
        <f>IFERROR(__xludf.DUMMYFUNCTION("""COMPUTED_VALUE"""),"Custom Upload")</f>
        <v>Custom Upload</v>
      </c>
      <c r="Y6" s="101" t="str">
        <f>IFERROR(__xludf.DUMMYFUNCTION("""COMPUTED_VALUE"""),"24th-31st Jan")</f>
        <v>24th-31st Jan</v>
      </c>
      <c r="Z6" s="101" t="str">
        <f>IFERROR(__xludf.DUMMYFUNCTION("""COMPUTED_VALUE"""),"697350f70d0bc313ba5a321c")</f>
        <v>697350f70d0bc313ba5a321c</v>
      </c>
      <c r="AA6" s="213">
        <f>IFERROR(__xludf.DUMMYFUNCTION("""COMPUTED_VALUE"""),7.0)</f>
        <v>7</v>
      </c>
      <c r="AB6" s="213"/>
      <c r="AC6" s="213">
        <f>IFERROR(__xludf.DUMMYFUNCTION("""COMPUTED_VALUE"""),7.0)</f>
        <v>7</v>
      </c>
      <c r="AD6" s="213">
        <f>IFERROR(__xludf.DUMMYFUNCTION("""COMPUTED_VALUE"""),40900.0)</f>
        <v>40900</v>
      </c>
      <c r="AE6" s="213"/>
      <c r="AF6" s="213">
        <f>IFERROR(__xludf.DUMMYFUNCTION("""COMPUTED_VALUE"""),40900.0)</f>
        <v>40900</v>
      </c>
      <c r="AG6" s="282"/>
      <c r="AH6" s="282"/>
      <c r="AI6" s="282"/>
      <c r="AJ6" s="282"/>
      <c r="AK6" s="282"/>
      <c r="AL6" s="282"/>
      <c r="AM6" s="282"/>
      <c r="AN6" s="282"/>
      <c r="AO6" s="282"/>
      <c r="AP6" s="282"/>
      <c r="AQ6" s="282"/>
      <c r="AR6" s="282"/>
      <c r="AS6" s="282"/>
      <c r="AT6" s="282"/>
      <c r="AU6" s="282"/>
      <c r="AV6" s="282"/>
      <c r="AW6" s="282"/>
      <c r="AX6" s="282"/>
      <c r="AY6" s="282"/>
      <c r="AZ6" s="282"/>
    </row>
    <row r="7">
      <c r="A7" s="306">
        <f>IFERROR(__xludf.DUMMYFUNCTION("""COMPUTED_VALUE"""),46046.0)</f>
        <v>46046</v>
      </c>
      <c r="B7" s="247">
        <f>IFERROR(__xludf.DUMMYFUNCTION("""COMPUTED_VALUE"""),0.4166666666678793)</f>
        <v>0.4166666667</v>
      </c>
      <c r="C7" s="211" t="str">
        <f>IFERROR(__xludf.DUMMYFUNCTION("""COMPUTED_VALUE"""),"Sms")</f>
        <v>Sms</v>
      </c>
      <c r="D7" s="211" t="str">
        <f>IFERROR(__xludf.DUMMYFUNCTION("""COMPUTED_VALUE"""),"Promotional")</f>
        <v>Promotional</v>
      </c>
      <c r="E7" s="211" t="str">
        <f>IFERROR(__xludf.DUMMYFUNCTION("""COMPUTED_VALUE"""),"Crocs")</f>
        <v>Crocs</v>
      </c>
      <c r="F7" s="211" t="str">
        <f>IFERROR(__xludf.DUMMYFUNCTION("""COMPUTED_VALUE"""),"Republics Day campaign")</f>
        <v>Republics Day campaign</v>
      </c>
      <c r="G7" s="211" t="str">
        <f>IFERROR(__xludf.DUMMYFUNCTION("""COMPUTED_VALUE"""),"Crocs_Republic Day_1204")</f>
        <v>Crocs_Republic Day_1204</v>
      </c>
      <c r="H7" s="212" t="str">
        <f>IFERROR(__xludf.DUMMYFUNCTION("""COMPUTED_VALUE"""),"CROCS_IN_ModelTownLudhiana_3002_23_Jan OR Modeltown Ludhiana_Staff OR Crocs_internal_new")</f>
        <v>CROCS_IN_ModelTownLudhiana_3002_23_Jan OR Modeltown Ludhiana_Staff OR Crocs_internal_new</v>
      </c>
      <c r="I7" s="212" t="str">
        <f>IFERROR(__xludf.DUMMYFUNCTION("""COMPUTED_VALUE"""),"Custom upload")</f>
        <v>Custom upload</v>
      </c>
      <c r="J7" s="213">
        <f>IFERROR(__xludf.DUMMYFUNCTION("""COMPUTED_VALUE"""),33134.0)</f>
        <v>33134</v>
      </c>
      <c r="K7" s="213">
        <f>IFERROR(__xludf.DUMMYFUNCTION("""COMPUTED_VALUE"""),18103.0)</f>
        <v>18103</v>
      </c>
      <c r="L7" s="214">
        <f>IFERROR(__xludf.DUMMYFUNCTION("""COMPUTED_VALUE"""),0.5464)</f>
        <v>0.5464</v>
      </c>
      <c r="M7" s="213"/>
      <c r="N7" s="214"/>
      <c r="O7" s="213">
        <f>IFERROR(__xludf.DUMMYFUNCTION("""COMPUTED_VALUE"""),0.0)</f>
        <v>0</v>
      </c>
      <c r="P7" s="213"/>
      <c r="Q7" s="214">
        <f>IFERROR(__xludf.DUMMYFUNCTION("""COMPUTED_VALUE"""),0.0)</f>
        <v>0</v>
      </c>
      <c r="R7" s="214"/>
      <c r="S7" s="101"/>
      <c r="T7" s="101"/>
      <c r="U7" s="213"/>
      <c r="V7" s="101" t="str">
        <f>IFERROR(__xludf.DUMMYFUNCTION("""COMPUTED_VALUE"""),"offline")</f>
        <v>offline</v>
      </c>
      <c r="W7" s="101" t="str">
        <f>IFERROR(__xludf.DUMMYFUNCTION("""COMPUTED_VALUE"""),"SMS")</f>
        <v>SMS</v>
      </c>
      <c r="X7" s="101" t="str">
        <f>IFERROR(__xludf.DUMMYFUNCTION("""COMPUTED_VALUE"""),"Custom Upload")</f>
        <v>Custom Upload</v>
      </c>
      <c r="Y7" s="101" t="str">
        <f>IFERROR(__xludf.DUMMYFUNCTION("""COMPUTED_VALUE"""),"24th-31st Jan")</f>
        <v>24th-31st Jan</v>
      </c>
      <c r="Z7" s="101" t="str">
        <f>IFERROR(__xludf.DUMMYFUNCTION("""COMPUTED_VALUE"""),"697350fbc8c803560d31a0af")</f>
        <v>697350fbc8c803560d31a0af</v>
      </c>
      <c r="AA7" s="213">
        <f>IFERROR(__xludf.DUMMYFUNCTION("""COMPUTED_VALUE"""),14.0)</f>
        <v>14</v>
      </c>
      <c r="AB7" s="213"/>
      <c r="AC7" s="213">
        <f>IFERROR(__xludf.DUMMYFUNCTION("""COMPUTED_VALUE"""),14.0)</f>
        <v>14</v>
      </c>
      <c r="AD7" s="213">
        <f>IFERROR(__xludf.DUMMYFUNCTION("""COMPUTED_VALUE"""),69118.0)</f>
        <v>69118</v>
      </c>
      <c r="AE7" s="213"/>
      <c r="AF7" s="213">
        <f>IFERROR(__xludf.DUMMYFUNCTION("""COMPUTED_VALUE"""),69118.0)</f>
        <v>69118</v>
      </c>
      <c r="AG7" s="282"/>
      <c r="AH7" s="282"/>
      <c r="AI7" s="282"/>
      <c r="AJ7" s="282"/>
      <c r="AK7" s="282"/>
      <c r="AL7" s="282"/>
      <c r="AM7" s="282"/>
      <c r="AN7" s="282"/>
      <c r="AO7" s="282"/>
      <c r="AP7" s="282"/>
      <c r="AQ7" s="282"/>
      <c r="AR7" s="282"/>
      <c r="AS7" s="282"/>
      <c r="AT7" s="282"/>
      <c r="AU7" s="282"/>
      <c r="AV7" s="282"/>
      <c r="AW7" s="282"/>
      <c r="AX7" s="282"/>
      <c r="AY7" s="282"/>
      <c r="AZ7" s="282"/>
    </row>
    <row r="8">
      <c r="A8" s="306">
        <f>IFERROR(__xludf.DUMMYFUNCTION("""COMPUTED_VALUE"""),46046.0)</f>
        <v>46046</v>
      </c>
      <c r="B8" s="247">
        <f>IFERROR(__xludf.DUMMYFUNCTION("""COMPUTED_VALUE"""),0.4166666666678793)</f>
        <v>0.4166666667</v>
      </c>
      <c r="C8" s="211" t="str">
        <f>IFERROR(__xludf.DUMMYFUNCTION("""COMPUTED_VALUE"""),"Sms")</f>
        <v>Sms</v>
      </c>
      <c r="D8" s="211" t="str">
        <f>IFERROR(__xludf.DUMMYFUNCTION("""COMPUTED_VALUE"""),"Promotional")</f>
        <v>Promotional</v>
      </c>
      <c r="E8" s="211" t="str">
        <f>IFERROR(__xludf.DUMMYFUNCTION("""COMPUTED_VALUE"""),"Crocs")</f>
        <v>Crocs</v>
      </c>
      <c r="F8" s="211" t="str">
        <f>IFERROR(__xludf.DUMMYFUNCTION("""COMPUTED_VALUE"""),"Republics Day campaign")</f>
        <v>Republics Day campaign</v>
      </c>
      <c r="G8" s="211" t="str">
        <f>IFERROR(__xludf.DUMMYFUNCTION("""COMPUTED_VALUE"""),"Crocs_Republic Day_1205")</f>
        <v>Crocs_Republic Day_1205</v>
      </c>
      <c r="H8" s="212" t="str">
        <f>IFERROR(__xludf.DUMMYFUNCTION("""COMPUTED_VALUE"""),"CROCS_IN_IHCGhaziabad_3003_23_Jan OR IHC Ghaziabad_Staff OR Crocs_internal_new")</f>
        <v>CROCS_IN_IHCGhaziabad_3003_23_Jan OR IHC Ghaziabad_Staff OR Crocs_internal_new</v>
      </c>
      <c r="I8" s="212" t="str">
        <f>IFERROR(__xludf.DUMMYFUNCTION("""COMPUTED_VALUE"""),"Custom upload")</f>
        <v>Custom upload</v>
      </c>
      <c r="J8" s="213">
        <f>IFERROR(__xludf.DUMMYFUNCTION("""COMPUTED_VALUE"""),7182.0)</f>
        <v>7182</v>
      </c>
      <c r="K8" s="213">
        <f>IFERROR(__xludf.DUMMYFUNCTION("""COMPUTED_VALUE"""),3973.0)</f>
        <v>3973</v>
      </c>
      <c r="L8" s="214">
        <f>IFERROR(__xludf.DUMMYFUNCTION("""COMPUTED_VALUE"""),0.5532)</f>
        <v>0.5532</v>
      </c>
      <c r="M8" s="213"/>
      <c r="N8" s="214"/>
      <c r="O8" s="213">
        <f>IFERROR(__xludf.DUMMYFUNCTION("""COMPUTED_VALUE"""),0.0)</f>
        <v>0</v>
      </c>
      <c r="P8" s="213"/>
      <c r="Q8" s="214">
        <f>IFERROR(__xludf.DUMMYFUNCTION("""COMPUTED_VALUE"""),0.0)</f>
        <v>0</v>
      </c>
      <c r="R8" s="214"/>
      <c r="S8" s="101"/>
      <c r="T8" s="101"/>
      <c r="U8" s="213"/>
      <c r="V8" s="101" t="str">
        <f>IFERROR(__xludf.DUMMYFUNCTION("""COMPUTED_VALUE"""),"offline")</f>
        <v>offline</v>
      </c>
      <c r="W8" s="101" t="str">
        <f>IFERROR(__xludf.DUMMYFUNCTION("""COMPUTED_VALUE"""),"SMS")</f>
        <v>SMS</v>
      </c>
      <c r="X8" s="101" t="str">
        <f>IFERROR(__xludf.DUMMYFUNCTION("""COMPUTED_VALUE"""),"Custom Upload")</f>
        <v>Custom Upload</v>
      </c>
      <c r="Y8" s="101" t="str">
        <f>IFERROR(__xludf.DUMMYFUNCTION("""COMPUTED_VALUE"""),"24th-31st Jan")</f>
        <v>24th-31st Jan</v>
      </c>
      <c r="Z8" s="101" t="str">
        <f>IFERROR(__xludf.DUMMYFUNCTION("""COMPUTED_VALUE"""),"697352130b0d6066592fee36")</f>
        <v>697352130b0d6066592fee36</v>
      </c>
      <c r="AA8" s="213">
        <f>IFERROR(__xludf.DUMMYFUNCTION("""COMPUTED_VALUE"""),6.0)</f>
        <v>6</v>
      </c>
      <c r="AB8" s="213"/>
      <c r="AC8" s="213">
        <f>IFERROR(__xludf.DUMMYFUNCTION("""COMPUTED_VALUE"""),6.0)</f>
        <v>6</v>
      </c>
      <c r="AD8" s="213">
        <f>IFERROR(__xludf.DUMMYFUNCTION("""COMPUTED_VALUE"""),32373.0)</f>
        <v>32373</v>
      </c>
      <c r="AE8" s="213"/>
      <c r="AF8" s="213">
        <f>IFERROR(__xludf.DUMMYFUNCTION("""COMPUTED_VALUE"""),32373.0)</f>
        <v>32373</v>
      </c>
      <c r="AG8" s="282"/>
      <c r="AH8" s="282"/>
      <c r="AI8" s="282"/>
      <c r="AJ8" s="282"/>
      <c r="AK8" s="282"/>
      <c r="AL8" s="282"/>
      <c r="AM8" s="282"/>
      <c r="AN8" s="282"/>
      <c r="AO8" s="282"/>
      <c r="AP8" s="282"/>
      <c r="AQ8" s="282"/>
      <c r="AR8" s="282"/>
      <c r="AS8" s="282"/>
      <c r="AT8" s="282"/>
      <c r="AU8" s="282"/>
      <c r="AV8" s="282"/>
      <c r="AW8" s="282"/>
      <c r="AX8" s="282"/>
      <c r="AY8" s="282"/>
      <c r="AZ8" s="282"/>
    </row>
    <row r="9">
      <c r="A9" s="306">
        <f>IFERROR(__xludf.DUMMYFUNCTION("""COMPUTED_VALUE"""),46046.0)</f>
        <v>46046</v>
      </c>
      <c r="B9" s="247">
        <f>IFERROR(__xludf.DUMMYFUNCTION("""COMPUTED_VALUE"""),0.4166666666678793)</f>
        <v>0.4166666667</v>
      </c>
      <c r="C9" s="211" t="str">
        <f>IFERROR(__xludf.DUMMYFUNCTION("""COMPUTED_VALUE"""),"Sms")</f>
        <v>Sms</v>
      </c>
      <c r="D9" s="211" t="str">
        <f>IFERROR(__xludf.DUMMYFUNCTION("""COMPUTED_VALUE"""),"Promotional")</f>
        <v>Promotional</v>
      </c>
      <c r="E9" s="211" t="str">
        <f>IFERROR(__xludf.DUMMYFUNCTION("""COMPUTED_VALUE"""),"Crocs")</f>
        <v>Crocs</v>
      </c>
      <c r="F9" s="211" t="str">
        <f>IFERROR(__xludf.DUMMYFUNCTION("""COMPUTED_VALUE"""),"Republics Day campaign")</f>
        <v>Republics Day campaign</v>
      </c>
      <c r="G9" s="211" t="str">
        <f>IFERROR(__xludf.DUMMYFUNCTION("""COMPUTED_VALUE"""),"Crocs_Republic Day_1207")</f>
        <v>Crocs_Republic Day_1207</v>
      </c>
      <c r="H9" s="212" t="str">
        <f>IFERROR(__xludf.DUMMYFUNCTION("""COMPUTED_VALUE"""),"CROCS_IN_MallOfRanchi_3010_23_Jan OR Mall Of Ranchi_Staff OR Crocs_internal_new")</f>
        <v>CROCS_IN_MallOfRanchi_3010_23_Jan OR Mall Of Ranchi_Staff OR Crocs_internal_new</v>
      </c>
      <c r="I9" s="212" t="str">
        <f>IFERROR(__xludf.DUMMYFUNCTION("""COMPUTED_VALUE"""),"Custom upload")</f>
        <v>Custom upload</v>
      </c>
      <c r="J9" s="213">
        <f>IFERROR(__xludf.DUMMYFUNCTION("""COMPUTED_VALUE"""),4450.0)</f>
        <v>4450</v>
      </c>
      <c r="K9" s="213">
        <f>IFERROR(__xludf.DUMMYFUNCTION("""COMPUTED_VALUE"""),3132.0)</f>
        <v>3132</v>
      </c>
      <c r="L9" s="214">
        <f>IFERROR(__xludf.DUMMYFUNCTION("""COMPUTED_VALUE"""),0.7038)</f>
        <v>0.7038</v>
      </c>
      <c r="M9" s="213"/>
      <c r="N9" s="214"/>
      <c r="O9" s="213">
        <f>IFERROR(__xludf.DUMMYFUNCTION("""COMPUTED_VALUE"""),0.0)</f>
        <v>0</v>
      </c>
      <c r="P9" s="213"/>
      <c r="Q9" s="214">
        <f>IFERROR(__xludf.DUMMYFUNCTION("""COMPUTED_VALUE"""),0.0)</f>
        <v>0</v>
      </c>
      <c r="R9" s="214"/>
      <c r="S9" s="101"/>
      <c r="T9" s="101"/>
      <c r="U9" s="213"/>
      <c r="V9" s="101" t="str">
        <f>IFERROR(__xludf.DUMMYFUNCTION("""COMPUTED_VALUE"""),"offline")</f>
        <v>offline</v>
      </c>
      <c r="W9" s="101" t="str">
        <f>IFERROR(__xludf.DUMMYFUNCTION("""COMPUTED_VALUE"""),"SMS")</f>
        <v>SMS</v>
      </c>
      <c r="X9" s="101" t="str">
        <f>IFERROR(__xludf.DUMMYFUNCTION("""COMPUTED_VALUE"""),"Custom Upload")</f>
        <v>Custom Upload</v>
      </c>
      <c r="Y9" s="101" t="str">
        <f>IFERROR(__xludf.DUMMYFUNCTION("""COMPUTED_VALUE"""),"24th-31st Jan")</f>
        <v>24th-31st Jan</v>
      </c>
      <c r="Z9" s="101" t="str">
        <f>IFERROR(__xludf.DUMMYFUNCTION("""COMPUTED_VALUE"""),"69735342f59c57ec9def1042")</f>
        <v>69735342f59c57ec9def1042</v>
      </c>
      <c r="AA9" s="213">
        <f>IFERROR(__xludf.DUMMYFUNCTION("""COMPUTED_VALUE"""),12.0)</f>
        <v>12</v>
      </c>
      <c r="AB9" s="213"/>
      <c r="AC9" s="213">
        <f>IFERROR(__xludf.DUMMYFUNCTION("""COMPUTED_VALUE"""),12.0)</f>
        <v>12</v>
      </c>
      <c r="AD9" s="213">
        <f>IFERROR(__xludf.DUMMYFUNCTION("""COMPUTED_VALUE"""),62430.0)</f>
        <v>62430</v>
      </c>
      <c r="AE9" s="213"/>
      <c r="AF9" s="213">
        <f>IFERROR(__xludf.DUMMYFUNCTION("""COMPUTED_VALUE"""),62430.0)</f>
        <v>62430</v>
      </c>
      <c r="AG9" s="282"/>
      <c r="AH9" s="282"/>
      <c r="AI9" s="282"/>
      <c r="AJ9" s="282"/>
      <c r="AK9" s="282"/>
      <c r="AL9" s="282"/>
      <c r="AM9" s="282"/>
      <c r="AN9" s="282"/>
      <c r="AO9" s="282"/>
      <c r="AP9" s="282"/>
      <c r="AQ9" s="282"/>
      <c r="AR9" s="282"/>
      <c r="AS9" s="282"/>
      <c r="AT9" s="282"/>
      <c r="AU9" s="282"/>
      <c r="AV9" s="282"/>
      <c r="AW9" s="282"/>
      <c r="AX9" s="282"/>
      <c r="AY9" s="282"/>
      <c r="AZ9" s="282"/>
    </row>
    <row r="10">
      <c r="A10" s="306">
        <f>IFERROR(__xludf.DUMMYFUNCTION("""COMPUTED_VALUE"""),46046.0)</f>
        <v>46046</v>
      </c>
      <c r="B10" s="247">
        <f>IFERROR(__xludf.DUMMYFUNCTION("""COMPUTED_VALUE"""),0.4166666666678793)</f>
        <v>0.4166666667</v>
      </c>
      <c r="C10" s="211" t="str">
        <f>IFERROR(__xludf.DUMMYFUNCTION("""COMPUTED_VALUE"""),"Sms")</f>
        <v>Sms</v>
      </c>
      <c r="D10" s="211" t="str">
        <f>IFERROR(__xludf.DUMMYFUNCTION("""COMPUTED_VALUE"""),"Promotional")</f>
        <v>Promotional</v>
      </c>
      <c r="E10" s="211" t="str">
        <f>IFERROR(__xludf.DUMMYFUNCTION("""COMPUTED_VALUE"""),"Crocs")</f>
        <v>Crocs</v>
      </c>
      <c r="F10" s="211" t="str">
        <f>IFERROR(__xludf.DUMMYFUNCTION("""COMPUTED_VALUE"""),"Republics Day campaign")</f>
        <v>Republics Day campaign</v>
      </c>
      <c r="G10" s="211" t="str">
        <f>IFERROR(__xludf.DUMMYFUNCTION("""COMPUTED_VALUE"""),"Crocs_Republic Day_1208")</f>
        <v>Crocs_Republic Day_1208</v>
      </c>
      <c r="H10" s="212" t="str">
        <f>IFERROR(__xludf.DUMMYFUNCTION("""COMPUTED_VALUE"""),"CROCS_IN_Moga_3016_23_Jan OR Moga_Staff OR Crocs_internal_new")</f>
        <v>CROCS_IN_Moga_3016_23_Jan OR Moga_Staff OR Crocs_internal_new</v>
      </c>
      <c r="I10" s="212" t="str">
        <f>IFERROR(__xludf.DUMMYFUNCTION("""COMPUTED_VALUE"""),"Custom upload")</f>
        <v>Custom upload</v>
      </c>
      <c r="J10" s="213">
        <f>IFERROR(__xludf.DUMMYFUNCTION("""COMPUTED_VALUE"""),20911.0)</f>
        <v>20911</v>
      </c>
      <c r="K10" s="213">
        <f>IFERROR(__xludf.DUMMYFUNCTION("""COMPUTED_VALUE"""),10840.0)</f>
        <v>10840</v>
      </c>
      <c r="L10" s="214">
        <f>IFERROR(__xludf.DUMMYFUNCTION("""COMPUTED_VALUE"""),0.5184)</f>
        <v>0.5184</v>
      </c>
      <c r="M10" s="213"/>
      <c r="N10" s="214"/>
      <c r="O10" s="213">
        <f>IFERROR(__xludf.DUMMYFUNCTION("""COMPUTED_VALUE"""),0.0)</f>
        <v>0</v>
      </c>
      <c r="P10" s="213"/>
      <c r="Q10" s="214">
        <f>IFERROR(__xludf.DUMMYFUNCTION("""COMPUTED_VALUE"""),0.0)</f>
        <v>0</v>
      </c>
      <c r="R10" s="214"/>
      <c r="S10" s="101"/>
      <c r="T10" s="101"/>
      <c r="U10" s="213"/>
      <c r="V10" s="101" t="str">
        <f>IFERROR(__xludf.DUMMYFUNCTION("""COMPUTED_VALUE"""),"offline")</f>
        <v>offline</v>
      </c>
      <c r="W10" s="101" t="str">
        <f>IFERROR(__xludf.DUMMYFUNCTION("""COMPUTED_VALUE"""),"SMS")</f>
        <v>SMS</v>
      </c>
      <c r="X10" s="101" t="str">
        <f>IFERROR(__xludf.DUMMYFUNCTION("""COMPUTED_VALUE"""),"Custom Upload")</f>
        <v>Custom Upload</v>
      </c>
      <c r="Y10" s="101" t="str">
        <f>IFERROR(__xludf.DUMMYFUNCTION("""COMPUTED_VALUE"""),"24th-31st Jan")</f>
        <v>24th-31st Jan</v>
      </c>
      <c r="Z10" s="101" t="str">
        <f>IFERROR(__xludf.DUMMYFUNCTION("""COMPUTED_VALUE"""),"69735353ec4b88d38c4dda38")</f>
        <v>69735353ec4b88d38c4dda38</v>
      </c>
      <c r="AA10" s="213">
        <f>IFERROR(__xludf.DUMMYFUNCTION("""COMPUTED_VALUE"""),19.0)</f>
        <v>19</v>
      </c>
      <c r="AB10" s="213"/>
      <c r="AC10" s="213">
        <f>IFERROR(__xludf.DUMMYFUNCTION("""COMPUTED_VALUE"""),19.0)</f>
        <v>19</v>
      </c>
      <c r="AD10" s="213">
        <f>IFERROR(__xludf.DUMMYFUNCTION("""COMPUTED_VALUE"""),81703.0)</f>
        <v>81703</v>
      </c>
      <c r="AE10" s="213"/>
      <c r="AF10" s="213">
        <f>IFERROR(__xludf.DUMMYFUNCTION("""COMPUTED_VALUE"""),81703.0)</f>
        <v>81703</v>
      </c>
      <c r="AG10" s="282"/>
      <c r="AH10" s="282"/>
      <c r="AI10" s="282"/>
      <c r="AJ10" s="282"/>
      <c r="AK10" s="282"/>
      <c r="AL10" s="282"/>
      <c r="AM10" s="282"/>
      <c r="AN10" s="282"/>
      <c r="AO10" s="282"/>
      <c r="AP10" s="282"/>
      <c r="AQ10" s="282"/>
      <c r="AR10" s="282"/>
      <c r="AS10" s="282"/>
      <c r="AT10" s="282"/>
      <c r="AU10" s="282"/>
      <c r="AV10" s="282"/>
      <c r="AW10" s="282"/>
      <c r="AX10" s="282"/>
      <c r="AY10" s="282"/>
      <c r="AZ10" s="282"/>
    </row>
    <row r="11">
      <c r="A11" s="306">
        <f>IFERROR(__xludf.DUMMYFUNCTION("""COMPUTED_VALUE"""),46046.0)</f>
        <v>46046</v>
      </c>
      <c r="B11" s="247">
        <f>IFERROR(__xludf.DUMMYFUNCTION("""COMPUTED_VALUE"""),0.4166666666678793)</f>
        <v>0.4166666667</v>
      </c>
      <c r="C11" s="211" t="str">
        <f>IFERROR(__xludf.DUMMYFUNCTION("""COMPUTED_VALUE"""),"Sms")</f>
        <v>Sms</v>
      </c>
      <c r="D11" s="211" t="str">
        <f>IFERROR(__xludf.DUMMYFUNCTION("""COMPUTED_VALUE"""),"Promotional")</f>
        <v>Promotional</v>
      </c>
      <c r="E11" s="211" t="str">
        <f>IFERROR(__xludf.DUMMYFUNCTION("""COMPUTED_VALUE"""),"Crocs")</f>
        <v>Crocs</v>
      </c>
      <c r="F11" s="211" t="str">
        <f>IFERROR(__xludf.DUMMYFUNCTION("""COMPUTED_VALUE"""),"Republics Day campaign")</f>
        <v>Republics Day campaign</v>
      </c>
      <c r="G11" s="211" t="str">
        <f>IFERROR(__xludf.DUMMYFUNCTION("""COMPUTED_VALUE"""),"Crocs_Republic Day_1210")</f>
        <v>Crocs_Republic Day_1210</v>
      </c>
      <c r="H11" s="212" t="str">
        <f>IFERROR(__xludf.DUMMYFUNCTION("""COMPUTED_VALUE"""),"CROCS_IN_Shipra Mall_1210_23_Jan OR Shipra Mall Ghaziabad_Staff OR Crocs_internal_new")</f>
        <v>CROCS_IN_Shipra Mall_1210_23_Jan OR Shipra Mall Ghaziabad_Staff OR Crocs_internal_new</v>
      </c>
      <c r="I11" s="212" t="str">
        <f>IFERROR(__xludf.DUMMYFUNCTION("""COMPUTED_VALUE"""),"Custom upload")</f>
        <v>Custom upload</v>
      </c>
      <c r="J11" s="213">
        <f>IFERROR(__xludf.DUMMYFUNCTION("""COMPUTED_VALUE"""),4669.0)</f>
        <v>4669</v>
      </c>
      <c r="K11" s="213">
        <f>IFERROR(__xludf.DUMMYFUNCTION("""COMPUTED_VALUE"""),2735.0)</f>
        <v>2735</v>
      </c>
      <c r="L11" s="214">
        <f>IFERROR(__xludf.DUMMYFUNCTION("""COMPUTED_VALUE"""),0.5858)</f>
        <v>0.5858</v>
      </c>
      <c r="M11" s="213"/>
      <c r="N11" s="214"/>
      <c r="O11" s="213">
        <f>IFERROR(__xludf.DUMMYFUNCTION("""COMPUTED_VALUE"""),0.0)</f>
        <v>0</v>
      </c>
      <c r="P11" s="213"/>
      <c r="Q11" s="214">
        <f>IFERROR(__xludf.DUMMYFUNCTION("""COMPUTED_VALUE"""),0.0)</f>
        <v>0</v>
      </c>
      <c r="R11" s="214"/>
      <c r="S11" s="101"/>
      <c r="T11" s="101"/>
      <c r="U11" s="213"/>
      <c r="V11" s="101" t="str">
        <f>IFERROR(__xludf.DUMMYFUNCTION("""COMPUTED_VALUE"""),"offline")</f>
        <v>offline</v>
      </c>
      <c r="W11" s="101" t="str">
        <f>IFERROR(__xludf.DUMMYFUNCTION("""COMPUTED_VALUE"""),"SMS")</f>
        <v>SMS</v>
      </c>
      <c r="X11" s="101" t="str">
        <f>IFERROR(__xludf.DUMMYFUNCTION("""COMPUTED_VALUE"""),"Custom Upload")</f>
        <v>Custom Upload</v>
      </c>
      <c r="Y11" s="101" t="str">
        <f>IFERROR(__xludf.DUMMYFUNCTION("""COMPUTED_VALUE"""),"24th-31st Jan")</f>
        <v>24th-31st Jan</v>
      </c>
      <c r="Z11" s="101" t="str">
        <f>IFERROR(__xludf.DUMMYFUNCTION("""COMPUTED_VALUE"""),"697354b4153f4039818a9ed1")</f>
        <v>697354b4153f4039818a9ed1</v>
      </c>
      <c r="AA11" s="213">
        <f>IFERROR(__xludf.DUMMYFUNCTION("""COMPUTED_VALUE"""),2.0)</f>
        <v>2</v>
      </c>
      <c r="AB11" s="213"/>
      <c r="AC11" s="213">
        <f>IFERROR(__xludf.DUMMYFUNCTION("""COMPUTED_VALUE"""),2.0)</f>
        <v>2</v>
      </c>
      <c r="AD11" s="213">
        <f>IFERROR(__xludf.DUMMYFUNCTION("""COMPUTED_VALUE"""),7841.0)</f>
        <v>7841</v>
      </c>
      <c r="AE11" s="213"/>
      <c r="AF11" s="213">
        <f>IFERROR(__xludf.DUMMYFUNCTION("""COMPUTED_VALUE"""),7841.0)</f>
        <v>7841</v>
      </c>
      <c r="AG11" s="282"/>
      <c r="AH11" s="282"/>
      <c r="AI11" s="282"/>
      <c r="AJ11" s="282"/>
      <c r="AK11" s="282"/>
      <c r="AL11" s="282"/>
      <c r="AM11" s="282"/>
      <c r="AN11" s="282"/>
      <c r="AO11" s="282"/>
      <c r="AP11" s="282"/>
      <c r="AQ11" s="282"/>
      <c r="AR11" s="282"/>
      <c r="AS11" s="282"/>
      <c r="AT11" s="282"/>
      <c r="AU11" s="282"/>
      <c r="AV11" s="282"/>
      <c r="AW11" s="282"/>
      <c r="AX11" s="282"/>
      <c r="AY11" s="282"/>
      <c r="AZ11" s="282"/>
    </row>
    <row r="12">
      <c r="A12" s="306">
        <f>IFERROR(__xludf.DUMMYFUNCTION("""COMPUTED_VALUE"""),46046.0)</f>
        <v>46046</v>
      </c>
      <c r="B12" s="247">
        <f>IFERROR(__xludf.DUMMYFUNCTION("""COMPUTED_VALUE"""),0.4166666666678793)</f>
        <v>0.4166666667</v>
      </c>
      <c r="C12" s="211" t="str">
        <f>IFERROR(__xludf.DUMMYFUNCTION("""COMPUTED_VALUE"""),"Sms")</f>
        <v>Sms</v>
      </c>
      <c r="D12" s="211" t="str">
        <f>IFERROR(__xludf.DUMMYFUNCTION("""COMPUTED_VALUE"""),"Promotional")</f>
        <v>Promotional</v>
      </c>
      <c r="E12" s="211" t="str">
        <f>IFERROR(__xludf.DUMMYFUNCTION("""COMPUTED_VALUE"""),"Crocs")</f>
        <v>Crocs</v>
      </c>
      <c r="F12" s="211" t="str">
        <f>IFERROR(__xludf.DUMMYFUNCTION("""COMPUTED_VALUE"""),"Republics Day campaign")</f>
        <v>Republics Day campaign</v>
      </c>
      <c r="G12" s="211" t="str">
        <f>IFERROR(__xludf.DUMMYFUNCTION("""COMPUTED_VALUE"""),"Crocs_Republic Day_1247")</f>
        <v>Crocs_Republic Day_1247</v>
      </c>
      <c r="H12" s="212" t="str">
        <f>IFERROR(__xludf.DUMMYFUNCTION("""COMPUTED_VALUE"""),"CROCS_IN_Malhar Road_1247_23_Jan OR Malhar_1247_17oct OR Malhar_Staff OR Crocs_internal_new")</f>
        <v>CROCS_IN_Malhar Road_1247_23_Jan OR Malhar_1247_17oct OR Malhar_Staff OR Crocs_internal_new</v>
      </c>
      <c r="I12" s="212" t="str">
        <f>IFERROR(__xludf.DUMMYFUNCTION("""COMPUTED_VALUE"""),"Custom upload")</f>
        <v>Custom upload</v>
      </c>
      <c r="J12" s="213">
        <f>IFERROR(__xludf.DUMMYFUNCTION("""COMPUTED_VALUE"""),25815.0)</f>
        <v>25815</v>
      </c>
      <c r="K12" s="213">
        <f>IFERROR(__xludf.DUMMYFUNCTION("""COMPUTED_VALUE"""),14175.0)</f>
        <v>14175</v>
      </c>
      <c r="L12" s="214">
        <f>IFERROR(__xludf.DUMMYFUNCTION("""COMPUTED_VALUE"""),0.5491)</f>
        <v>0.5491</v>
      </c>
      <c r="M12" s="213"/>
      <c r="N12" s="214"/>
      <c r="O12" s="213">
        <f>IFERROR(__xludf.DUMMYFUNCTION("""COMPUTED_VALUE"""),0.0)</f>
        <v>0</v>
      </c>
      <c r="P12" s="213"/>
      <c r="Q12" s="214">
        <f>IFERROR(__xludf.DUMMYFUNCTION("""COMPUTED_VALUE"""),0.0)</f>
        <v>0</v>
      </c>
      <c r="R12" s="214"/>
      <c r="S12" s="101"/>
      <c r="T12" s="101"/>
      <c r="U12" s="213"/>
      <c r="V12" s="101" t="str">
        <f>IFERROR(__xludf.DUMMYFUNCTION("""COMPUTED_VALUE"""),"offline")</f>
        <v>offline</v>
      </c>
      <c r="W12" s="101" t="str">
        <f>IFERROR(__xludf.DUMMYFUNCTION("""COMPUTED_VALUE"""),"SMS")</f>
        <v>SMS</v>
      </c>
      <c r="X12" s="101" t="str">
        <f>IFERROR(__xludf.DUMMYFUNCTION("""COMPUTED_VALUE"""),"Custom Upload")</f>
        <v>Custom Upload</v>
      </c>
      <c r="Y12" s="101" t="str">
        <f>IFERROR(__xludf.DUMMYFUNCTION("""COMPUTED_VALUE"""),"24th-31st Jan")</f>
        <v>24th-31st Jan</v>
      </c>
      <c r="Z12" s="101" t="str">
        <f>IFERROR(__xludf.DUMMYFUNCTION("""COMPUTED_VALUE"""),"697356f2302b3a903e886187")</f>
        <v>697356f2302b3a903e886187</v>
      </c>
      <c r="AA12" s="213">
        <f>IFERROR(__xludf.DUMMYFUNCTION("""COMPUTED_VALUE"""),10.0)</f>
        <v>10</v>
      </c>
      <c r="AB12" s="213"/>
      <c r="AC12" s="213">
        <f>IFERROR(__xludf.DUMMYFUNCTION("""COMPUTED_VALUE"""),10.0)</f>
        <v>10</v>
      </c>
      <c r="AD12" s="213">
        <f>IFERROR(__xludf.DUMMYFUNCTION("""COMPUTED_VALUE"""),69025.0)</f>
        <v>69025</v>
      </c>
      <c r="AE12" s="213"/>
      <c r="AF12" s="213">
        <f>IFERROR(__xludf.DUMMYFUNCTION("""COMPUTED_VALUE"""),69025.0)</f>
        <v>69025</v>
      </c>
      <c r="AG12" s="282"/>
      <c r="AH12" s="282"/>
      <c r="AI12" s="282"/>
      <c r="AJ12" s="282"/>
      <c r="AK12" s="282"/>
      <c r="AL12" s="282"/>
      <c r="AM12" s="282"/>
      <c r="AN12" s="282"/>
      <c r="AO12" s="282"/>
      <c r="AP12" s="282"/>
      <c r="AQ12" s="282"/>
      <c r="AR12" s="282"/>
      <c r="AS12" s="282"/>
      <c r="AT12" s="282"/>
      <c r="AU12" s="282"/>
      <c r="AV12" s="282"/>
      <c r="AW12" s="282"/>
      <c r="AX12" s="282"/>
      <c r="AY12" s="282"/>
      <c r="AZ12" s="282"/>
    </row>
    <row r="13">
      <c r="A13" s="306">
        <f>IFERROR(__xludf.DUMMYFUNCTION("""COMPUTED_VALUE"""),46046.0)</f>
        <v>46046</v>
      </c>
      <c r="B13" s="247">
        <f>IFERROR(__xludf.DUMMYFUNCTION("""COMPUTED_VALUE"""),0.4166666666678793)</f>
        <v>0.4166666667</v>
      </c>
      <c r="C13" s="211" t="str">
        <f>IFERROR(__xludf.DUMMYFUNCTION("""COMPUTED_VALUE"""),"Sms")</f>
        <v>Sms</v>
      </c>
      <c r="D13" s="211" t="str">
        <f>IFERROR(__xludf.DUMMYFUNCTION("""COMPUTED_VALUE"""),"Promotional")</f>
        <v>Promotional</v>
      </c>
      <c r="E13" s="211" t="str">
        <f>IFERROR(__xludf.DUMMYFUNCTION("""COMPUTED_VALUE"""),"Crocs")</f>
        <v>Crocs</v>
      </c>
      <c r="F13" s="211" t="str">
        <f>IFERROR(__xludf.DUMMYFUNCTION("""COMPUTED_VALUE"""),"Republics Day campaign")</f>
        <v>Republics Day campaign</v>
      </c>
      <c r="G13" s="211" t="str">
        <f>IFERROR(__xludf.DUMMYFUNCTION("""COMPUTED_VALUE"""),"Crocs_Republic Day_1263")</f>
        <v>Crocs_Republic Day_1263</v>
      </c>
      <c r="H13" s="212" t="str">
        <f>IFERROR(__xludf.DUMMYFUNCTION("""COMPUTED_VALUE"""),"CROCS_IN_Modeltown Yamuna nagar_1263_23_Jan OR Modeltown Yamunanagar_Staff OR Crocs_internal_new")</f>
        <v>CROCS_IN_Modeltown Yamuna nagar_1263_23_Jan OR Modeltown Yamunanagar_Staff OR Crocs_internal_new</v>
      </c>
      <c r="I13" s="212" t="str">
        <f>IFERROR(__xludf.DUMMYFUNCTION("""COMPUTED_VALUE"""),"Custom upload")</f>
        <v>Custom upload</v>
      </c>
      <c r="J13" s="213">
        <f>IFERROR(__xludf.DUMMYFUNCTION("""COMPUTED_VALUE"""),6929.0)</f>
        <v>6929</v>
      </c>
      <c r="K13" s="213">
        <f>IFERROR(__xludf.DUMMYFUNCTION("""COMPUTED_VALUE"""),3901.0)</f>
        <v>3901</v>
      </c>
      <c r="L13" s="214">
        <f>IFERROR(__xludf.DUMMYFUNCTION("""COMPUTED_VALUE"""),0.563)</f>
        <v>0.563</v>
      </c>
      <c r="M13" s="213"/>
      <c r="N13" s="214"/>
      <c r="O13" s="213">
        <f>IFERROR(__xludf.DUMMYFUNCTION("""COMPUTED_VALUE"""),0.0)</f>
        <v>0</v>
      </c>
      <c r="P13" s="213"/>
      <c r="Q13" s="214">
        <f>IFERROR(__xludf.DUMMYFUNCTION("""COMPUTED_VALUE"""),0.0)</f>
        <v>0</v>
      </c>
      <c r="R13" s="214"/>
      <c r="S13" s="101"/>
      <c r="T13" s="101"/>
      <c r="U13" s="213"/>
      <c r="V13" s="101" t="str">
        <f>IFERROR(__xludf.DUMMYFUNCTION("""COMPUTED_VALUE"""),"offline")</f>
        <v>offline</v>
      </c>
      <c r="W13" s="101" t="str">
        <f>IFERROR(__xludf.DUMMYFUNCTION("""COMPUTED_VALUE"""),"SMS")</f>
        <v>SMS</v>
      </c>
      <c r="X13" s="101" t="str">
        <f>IFERROR(__xludf.DUMMYFUNCTION("""COMPUTED_VALUE"""),"Custom Upload")</f>
        <v>Custom Upload</v>
      </c>
      <c r="Y13" s="101" t="str">
        <f>IFERROR(__xludf.DUMMYFUNCTION("""COMPUTED_VALUE"""),"24th-31st Jan")</f>
        <v>24th-31st Jan</v>
      </c>
      <c r="Z13" s="101" t="str">
        <f>IFERROR(__xludf.DUMMYFUNCTION("""COMPUTED_VALUE"""),"69735700fdf99a2eabf5f6f2")</f>
        <v>69735700fdf99a2eabf5f6f2</v>
      </c>
      <c r="AA13" s="213">
        <f>IFERROR(__xludf.DUMMYFUNCTION("""COMPUTED_VALUE"""),8.0)</f>
        <v>8</v>
      </c>
      <c r="AB13" s="213"/>
      <c r="AC13" s="213">
        <f>IFERROR(__xludf.DUMMYFUNCTION("""COMPUTED_VALUE"""),8.0)</f>
        <v>8</v>
      </c>
      <c r="AD13" s="213">
        <f>IFERROR(__xludf.DUMMYFUNCTION("""COMPUTED_VALUE"""),29518.0)</f>
        <v>29518</v>
      </c>
      <c r="AE13" s="213"/>
      <c r="AF13" s="213">
        <f>IFERROR(__xludf.DUMMYFUNCTION("""COMPUTED_VALUE"""),29518.0)</f>
        <v>29518</v>
      </c>
      <c r="AG13" s="282"/>
      <c r="AH13" s="282"/>
      <c r="AI13" s="282"/>
      <c r="AJ13" s="282"/>
      <c r="AK13" s="282"/>
      <c r="AL13" s="282"/>
      <c r="AM13" s="282"/>
      <c r="AN13" s="282"/>
      <c r="AO13" s="282"/>
      <c r="AP13" s="282"/>
      <c r="AQ13" s="282"/>
      <c r="AR13" s="282"/>
      <c r="AS13" s="282"/>
      <c r="AT13" s="282"/>
      <c r="AU13" s="282"/>
      <c r="AV13" s="282"/>
      <c r="AW13" s="282"/>
      <c r="AX13" s="282"/>
      <c r="AY13" s="282"/>
      <c r="AZ13" s="282"/>
    </row>
    <row r="14">
      <c r="A14" s="306">
        <f>IFERROR(__xludf.DUMMYFUNCTION("""COMPUTED_VALUE"""),46046.0)</f>
        <v>46046</v>
      </c>
      <c r="B14" s="247">
        <f>IFERROR(__xludf.DUMMYFUNCTION("""COMPUTED_VALUE"""),0.4166666666678793)</f>
        <v>0.4166666667</v>
      </c>
      <c r="C14" s="211" t="str">
        <f>IFERROR(__xludf.DUMMYFUNCTION("""COMPUTED_VALUE"""),"Sms")</f>
        <v>Sms</v>
      </c>
      <c r="D14" s="211" t="str">
        <f>IFERROR(__xludf.DUMMYFUNCTION("""COMPUTED_VALUE"""),"Promotional")</f>
        <v>Promotional</v>
      </c>
      <c r="E14" s="211" t="str">
        <f>IFERROR(__xludf.DUMMYFUNCTION("""COMPUTED_VALUE"""),"Crocs")</f>
        <v>Crocs</v>
      </c>
      <c r="F14" s="211" t="str">
        <f>IFERROR(__xludf.DUMMYFUNCTION("""COMPUTED_VALUE"""),"Republics Day campaign")</f>
        <v>Republics Day campaign</v>
      </c>
      <c r="G14" s="211" t="str">
        <f>IFERROR(__xludf.DUMMYFUNCTION("""COMPUTED_VALUE"""),"Crocs_Republic Day_1255")</f>
        <v>Crocs_Republic Day_1255</v>
      </c>
      <c r="H14" s="212" t="str">
        <f>IFERROR(__xludf.DUMMYFUNCTION("""COMPUTED_VALUE"""),"CROCS_IN_Kohara Ludhiana_1255_23_Jan OR Kohara Ludhiana_Staff OR Crocs_Internal OR Crocs_internal_new")</f>
        <v>CROCS_IN_Kohara Ludhiana_1255_23_Jan OR Kohara Ludhiana_Staff OR Crocs_Internal OR Crocs_internal_new</v>
      </c>
      <c r="I14" s="212" t="str">
        <f>IFERROR(__xludf.DUMMYFUNCTION("""COMPUTED_VALUE"""),"Custom upload")</f>
        <v>Custom upload</v>
      </c>
      <c r="J14" s="213">
        <f>IFERROR(__xludf.DUMMYFUNCTION("""COMPUTED_VALUE"""),26594.0)</f>
        <v>26594</v>
      </c>
      <c r="K14" s="213">
        <f>IFERROR(__xludf.DUMMYFUNCTION("""COMPUTED_VALUE"""),14078.0)</f>
        <v>14078</v>
      </c>
      <c r="L14" s="214">
        <f>IFERROR(__xludf.DUMMYFUNCTION("""COMPUTED_VALUE"""),0.5294)</f>
        <v>0.5294</v>
      </c>
      <c r="M14" s="213"/>
      <c r="N14" s="214"/>
      <c r="O14" s="213">
        <f>IFERROR(__xludf.DUMMYFUNCTION("""COMPUTED_VALUE"""),0.0)</f>
        <v>0</v>
      </c>
      <c r="P14" s="213"/>
      <c r="Q14" s="214">
        <f>IFERROR(__xludf.DUMMYFUNCTION("""COMPUTED_VALUE"""),0.0)</f>
        <v>0</v>
      </c>
      <c r="R14" s="214"/>
      <c r="S14" s="101"/>
      <c r="T14" s="101"/>
      <c r="U14" s="213"/>
      <c r="V14" s="101" t="str">
        <f>IFERROR(__xludf.DUMMYFUNCTION("""COMPUTED_VALUE"""),"offline")</f>
        <v>offline</v>
      </c>
      <c r="W14" s="101" t="str">
        <f>IFERROR(__xludf.DUMMYFUNCTION("""COMPUTED_VALUE"""),"SMS")</f>
        <v>SMS</v>
      </c>
      <c r="X14" s="101" t="str">
        <f>IFERROR(__xludf.DUMMYFUNCTION("""COMPUTED_VALUE"""),"Custom Upload")</f>
        <v>Custom Upload</v>
      </c>
      <c r="Y14" s="101" t="str">
        <f>IFERROR(__xludf.DUMMYFUNCTION("""COMPUTED_VALUE"""),"24th-31st Jan")</f>
        <v>24th-31st Jan</v>
      </c>
      <c r="Z14" s="101" t="str">
        <f>IFERROR(__xludf.DUMMYFUNCTION("""COMPUTED_VALUE"""),"697357ddab6fea43009c84da")</f>
        <v>697357ddab6fea43009c84da</v>
      </c>
      <c r="AA14" s="213">
        <f>IFERROR(__xludf.DUMMYFUNCTION("""COMPUTED_VALUE"""),10.0)</f>
        <v>10</v>
      </c>
      <c r="AB14" s="213"/>
      <c r="AC14" s="213">
        <f>IFERROR(__xludf.DUMMYFUNCTION("""COMPUTED_VALUE"""),10.0)</f>
        <v>10</v>
      </c>
      <c r="AD14" s="213">
        <f>IFERROR(__xludf.DUMMYFUNCTION("""COMPUTED_VALUE"""),38803.0)</f>
        <v>38803</v>
      </c>
      <c r="AE14" s="213"/>
      <c r="AF14" s="213">
        <f>IFERROR(__xludf.DUMMYFUNCTION("""COMPUTED_VALUE"""),38803.0)</f>
        <v>38803</v>
      </c>
      <c r="AG14" s="282"/>
      <c r="AH14" s="282"/>
      <c r="AI14" s="282"/>
      <c r="AJ14" s="282"/>
      <c r="AK14" s="282"/>
      <c r="AL14" s="282"/>
      <c r="AM14" s="282"/>
      <c r="AN14" s="282"/>
      <c r="AO14" s="282"/>
      <c r="AP14" s="282"/>
      <c r="AQ14" s="282"/>
      <c r="AR14" s="282"/>
      <c r="AS14" s="282"/>
      <c r="AT14" s="282"/>
      <c r="AU14" s="282"/>
      <c r="AV14" s="282"/>
      <c r="AW14" s="282"/>
      <c r="AX14" s="282"/>
      <c r="AY14" s="282"/>
      <c r="AZ14" s="282"/>
    </row>
    <row r="15">
      <c r="A15" s="306">
        <f>IFERROR(__xludf.DUMMYFUNCTION("""COMPUTED_VALUE"""),46046.0)</f>
        <v>46046</v>
      </c>
      <c r="B15" s="247">
        <f>IFERROR(__xludf.DUMMYFUNCTION("""COMPUTED_VALUE"""),0.4166666666678793)</f>
        <v>0.4166666667</v>
      </c>
      <c r="C15" s="211" t="str">
        <f>IFERROR(__xludf.DUMMYFUNCTION("""COMPUTED_VALUE"""),"Sms")</f>
        <v>Sms</v>
      </c>
      <c r="D15" s="211" t="str">
        <f>IFERROR(__xludf.DUMMYFUNCTION("""COMPUTED_VALUE"""),"Promotional")</f>
        <v>Promotional</v>
      </c>
      <c r="E15" s="211" t="str">
        <f>IFERROR(__xludf.DUMMYFUNCTION("""COMPUTED_VALUE"""),"Crocs")</f>
        <v>Crocs</v>
      </c>
      <c r="F15" s="211" t="str">
        <f>IFERROR(__xludf.DUMMYFUNCTION("""COMPUTED_VALUE"""),"Republics Day campaign")</f>
        <v>Republics Day campaign</v>
      </c>
      <c r="G15" s="211" t="str">
        <f>IFERROR(__xludf.DUMMYFUNCTION("""COMPUTED_VALUE"""),"Crocs_Republic Day_1257")</f>
        <v>Crocs_Republic Day_1257</v>
      </c>
      <c r="H15" s="212" t="str">
        <f>IFERROR(__xludf.DUMMYFUNCTION("""COMPUTED_VALUE"""),"CROCS_IN_Gajraula_1257_23_Jan OR Gajraula_Staff OR Crocs_internal_new")</f>
        <v>CROCS_IN_Gajraula_1257_23_Jan OR Gajraula_Staff OR Crocs_internal_new</v>
      </c>
      <c r="I15" s="212" t="str">
        <f>IFERROR(__xludf.DUMMYFUNCTION("""COMPUTED_VALUE"""),"Custom upload")</f>
        <v>Custom upload</v>
      </c>
      <c r="J15" s="213">
        <f>IFERROR(__xludf.DUMMYFUNCTION("""COMPUTED_VALUE"""),3371.0)</f>
        <v>3371</v>
      </c>
      <c r="K15" s="213">
        <f>IFERROR(__xludf.DUMMYFUNCTION("""COMPUTED_VALUE"""),1992.0)</f>
        <v>1992</v>
      </c>
      <c r="L15" s="214">
        <f>IFERROR(__xludf.DUMMYFUNCTION("""COMPUTED_VALUE"""),0.5909)</f>
        <v>0.5909</v>
      </c>
      <c r="M15" s="213"/>
      <c r="N15" s="214"/>
      <c r="O15" s="213">
        <f>IFERROR(__xludf.DUMMYFUNCTION("""COMPUTED_VALUE"""),0.0)</f>
        <v>0</v>
      </c>
      <c r="P15" s="213"/>
      <c r="Q15" s="214">
        <f>IFERROR(__xludf.DUMMYFUNCTION("""COMPUTED_VALUE"""),0.0)</f>
        <v>0</v>
      </c>
      <c r="R15" s="214"/>
      <c r="S15" s="101"/>
      <c r="T15" s="101"/>
      <c r="U15" s="213"/>
      <c r="V15" s="101" t="str">
        <f>IFERROR(__xludf.DUMMYFUNCTION("""COMPUTED_VALUE"""),"offline")</f>
        <v>offline</v>
      </c>
      <c r="W15" s="101" t="str">
        <f>IFERROR(__xludf.DUMMYFUNCTION("""COMPUTED_VALUE"""),"SMS")</f>
        <v>SMS</v>
      </c>
      <c r="X15" s="101" t="str">
        <f>IFERROR(__xludf.DUMMYFUNCTION("""COMPUTED_VALUE"""),"Custom Upload")</f>
        <v>Custom Upload</v>
      </c>
      <c r="Y15" s="101" t="str">
        <f>IFERROR(__xludf.DUMMYFUNCTION("""COMPUTED_VALUE"""),"24th-31st Jan")</f>
        <v>24th-31st Jan</v>
      </c>
      <c r="Z15" s="101" t="str">
        <f>IFERROR(__xludf.DUMMYFUNCTION("""COMPUTED_VALUE"""),"69735932ec4b88d38c4ddde0")</f>
        <v>69735932ec4b88d38c4ddde0</v>
      </c>
      <c r="AA15" s="213">
        <f>IFERROR(__xludf.DUMMYFUNCTION("""COMPUTED_VALUE"""),2.0)</f>
        <v>2</v>
      </c>
      <c r="AB15" s="213"/>
      <c r="AC15" s="213">
        <f>IFERROR(__xludf.DUMMYFUNCTION("""COMPUTED_VALUE"""),2.0)</f>
        <v>2</v>
      </c>
      <c r="AD15" s="213">
        <f>IFERROR(__xludf.DUMMYFUNCTION("""COMPUTED_VALUE"""),5891.0)</f>
        <v>5891</v>
      </c>
      <c r="AE15" s="213"/>
      <c r="AF15" s="213">
        <f>IFERROR(__xludf.DUMMYFUNCTION("""COMPUTED_VALUE"""),5891.0)</f>
        <v>5891</v>
      </c>
      <c r="AG15" s="282"/>
      <c r="AH15" s="282"/>
      <c r="AI15" s="282"/>
      <c r="AJ15" s="282"/>
      <c r="AK15" s="282"/>
      <c r="AL15" s="282"/>
      <c r="AM15" s="282"/>
      <c r="AN15" s="282"/>
      <c r="AO15" s="282"/>
      <c r="AP15" s="282"/>
      <c r="AQ15" s="282"/>
      <c r="AR15" s="282"/>
      <c r="AS15" s="282"/>
      <c r="AT15" s="282"/>
      <c r="AU15" s="282"/>
      <c r="AV15" s="282"/>
      <c r="AW15" s="282"/>
      <c r="AX15" s="282"/>
      <c r="AY15" s="282"/>
      <c r="AZ15" s="282"/>
    </row>
    <row r="16">
      <c r="A16" s="306">
        <f>IFERROR(__xludf.DUMMYFUNCTION("""COMPUTED_VALUE"""),46046.0)</f>
        <v>46046</v>
      </c>
      <c r="B16" s="247">
        <f>IFERROR(__xludf.DUMMYFUNCTION("""COMPUTED_VALUE"""),0.4166666666678793)</f>
        <v>0.4166666667</v>
      </c>
      <c r="C16" s="211" t="str">
        <f>IFERROR(__xludf.DUMMYFUNCTION("""COMPUTED_VALUE"""),"Sms")</f>
        <v>Sms</v>
      </c>
      <c r="D16" s="211" t="str">
        <f>IFERROR(__xludf.DUMMYFUNCTION("""COMPUTED_VALUE"""),"Promotional")</f>
        <v>Promotional</v>
      </c>
      <c r="E16" s="211" t="str">
        <f>IFERROR(__xludf.DUMMYFUNCTION("""COMPUTED_VALUE"""),"Crocs")</f>
        <v>Crocs</v>
      </c>
      <c r="F16" s="211" t="str">
        <f>IFERROR(__xludf.DUMMYFUNCTION("""COMPUTED_VALUE"""),"Republics Day campaign")</f>
        <v>Republics Day campaign</v>
      </c>
      <c r="G16" s="211" t="str">
        <f>IFERROR(__xludf.DUMMYFUNCTION("""COMPUTED_VALUE"""),"Crocs_Republic Day_1275")</f>
        <v>Crocs_Republic Day_1275</v>
      </c>
      <c r="H16" s="212" t="str">
        <f>IFERROR(__xludf.DUMMYFUNCTION("""COMPUTED_VALUE"""),"CROCS_IN_Hisar_1275_23_Jan OR Hisar_Staff OR Crocs_internal_new")</f>
        <v>CROCS_IN_Hisar_1275_23_Jan OR Hisar_Staff OR Crocs_internal_new</v>
      </c>
      <c r="I16" s="212" t="str">
        <f>IFERROR(__xludf.DUMMYFUNCTION("""COMPUTED_VALUE"""),"Custom upload")</f>
        <v>Custom upload</v>
      </c>
      <c r="J16" s="213">
        <f>IFERROR(__xludf.DUMMYFUNCTION("""COMPUTED_VALUE"""),8761.0)</f>
        <v>8761</v>
      </c>
      <c r="K16" s="213">
        <f>IFERROR(__xludf.DUMMYFUNCTION("""COMPUTED_VALUE"""),4945.0)</f>
        <v>4945</v>
      </c>
      <c r="L16" s="214">
        <f>IFERROR(__xludf.DUMMYFUNCTION("""COMPUTED_VALUE"""),0.5644)</f>
        <v>0.5644</v>
      </c>
      <c r="M16" s="213"/>
      <c r="N16" s="214"/>
      <c r="O16" s="213">
        <f>IFERROR(__xludf.DUMMYFUNCTION("""COMPUTED_VALUE"""),0.0)</f>
        <v>0</v>
      </c>
      <c r="P16" s="213"/>
      <c r="Q16" s="214">
        <f>IFERROR(__xludf.DUMMYFUNCTION("""COMPUTED_VALUE"""),0.0)</f>
        <v>0</v>
      </c>
      <c r="R16" s="214"/>
      <c r="S16" s="101"/>
      <c r="T16" s="101"/>
      <c r="U16" s="213"/>
      <c r="V16" s="101" t="str">
        <f>IFERROR(__xludf.DUMMYFUNCTION("""COMPUTED_VALUE"""),"offline")</f>
        <v>offline</v>
      </c>
      <c r="W16" s="101" t="str">
        <f>IFERROR(__xludf.DUMMYFUNCTION("""COMPUTED_VALUE"""),"SMS")</f>
        <v>SMS</v>
      </c>
      <c r="X16" s="101" t="str">
        <f>IFERROR(__xludf.DUMMYFUNCTION("""COMPUTED_VALUE"""),"Custom Upload")</f>
        <v>Custom Upload</v>
      </c>
      <c r="Y16" s="101" t="str">
        <f>IFERROR(__xludf.DUMMYFUNCTION("""COMPUTED_VALUE"""),"24th-31st Jan")</f>
        <v>24th-31st Jan</v>
      </c>
      <c r="Z16" s="101" t="str">
        <f>IFERROR(__xludf.DUMMYFUNCTION("""COMPUTED_VALUE"""),"697359bd47fada0174e775be")</f>
        <v>697359bd47fada0174e775be</v>
      </c>
      <c r="AA16" s="213">
        <f>IFERROR(__xludf.DUMMYFUNCTION("""COMPUTED_VALUE"""),4.0)</f>
        <v>4</v>
      </c>
      <c r="AB16" s="213"/>
      <c r="AC16" s="213">
        <f>IFERROR(__xludf.DUMMYFUNCTION("""COMPUTED_VALUE"""),4.0)</f>
        <v>4</v>
      </c>
      <c r="AD16" s="213">
        <f>IFERROR(__xludf.DUMMYFUNCTION("""COMPUTED_VALUE"""),13184.0)</f>
        <v>13184</v>
      </c>
      <c r="AE16" s="213"/>
      <c r="AF16" s="213">
        <f>IFERROR(__xludf.DUMMYFUNCTION("""COMPUTED_VALUE"""),13184.0)</f>
        <v>13184</v>
      </c>
      <c r="AG16" s="282"/>
      <c r="AH16" s="282"/>
      <c r="AI16" s="282"/>
      <c r="AJ16" s="282"/>
      <c r="AK16" s="282"/>
      <c r="AL16" s="282"/>
      <c r="AM16" s="282"/>
      <c r="AN16" s="282"/>
      <c r="AO16" s="282"/>
      <c r="AP16" s="282"/>
      <c r="AQ16" s="282"/>
      <c r="AR16" s="282"/>
      <c r="AS16" s="282"/>
      <c r="AT16" s="282"/>
      <c r="AU16" s="282"/>
      <c r="AV16" s="282"/>
      <c r="AW16" s="282"/>
      <c r="AX16" s="282"/>
      <c r="AY16" s="282"/>
      <c r="AZ16" s="282"/>
    </row>
    <row r="17">
      <c r="A17" s="306">
        <f>IFERROR(__xludf.DUMMYFUNCTION("""COMPUTED_VALUE"""),46046.0)</f>
        <v>46046</v>
      </c>
      <c r="B17" s="247">
        <f>IFERROR(__xludf.DUMMYFUNCTION("""COMPUTED_VALUE"""),0.4166666666678793)</f>
        <v>0.4166666667</v>
      </c>
      <c r="C17" s="211" t="str">
        <f>IFERROR(__xludf.DUMMYFUNCTION("""COMPUTED_VALUE"""),"Sms")</f>
        <v>Sms</v>
      </c>
      <c r="D17" s="211" t="str">
        <f>IFERROR(__xludf.DUMMYFUNCTION("""COMPUTED_VALUE"""),"Promotional")</f>
        <v>Promotional</v>
      </c>
      <c r="E17" s="211" t="str">
        <f>IFERROR(__xludf.DUMMYFUNCTION("""COMPUTED_VALUE"""),"Crocs")</f>
        <v>Crocs</v>
      </c>
      <c r="F17" s="258" t="str">
        <f>IFERROR(__xludf.DUMMYFUNCTION("""COMPUTED_VALUE"""),"Republics Day campaign")</f>
        <v>Republics Day campaign</v>
      </c>
      <c r="G17" s="212" t="str">
        <f>IFERROR(__xludf.DUMMYFUNCTION("""COMPUTED_VALUE"""),"Crocs_Republic Day_1256")</f>
        <v>Crocs_Republic Day_1256</v>
      </c>
      <c r="H17" s="212" t="str">
        <f>IFERROR(__xludf.DUMMYFUNCTION("""COMPUTED_VALUE"""),"CROCS_IN_Walk In Square_1256_23_Jan OR Walk in Square Amritsar_Staff OR Crocs_internal_new")</f>
        <v>CROCS_IN_Walk In Square_1256_23_Jan OR Walk in Square Amritsar_Staff OR Crocs_internal_new</v>
      </c>
      <c r="I17" s="212" t="str">
        <f>IFERROR(__xludf.DUMMYFUNCTION("""COMPUTED_VALUE"""),"Custom upload")</f>
        <v>Custom upload</v>
      </c>
      <c r="J17" s="213">
        <f>IFERROR(__xludf.DUMMYFUNCTION("""COMPUTED_VALUE"""),13211.0)</f>
        <v>13211</v>
      </c>
      <c r="K17" s="213">
        <f>IFERROR(__xludf.DUMMYFUNCTION("""COMPUTED_VALUE"""),7903.0)</f>
        <v>7903</v>
      </c>
      <c r="L17" s="214">
        <f>IFERROR(__xludf.DUMMYFUNCTION("""COMPUTED_VALUE"""),0.5982)</f>
        <v>0.5982</v>
      </c>
      <c r="M17" s="213"/>
      <c r="N17" s="214"/>
      <c r="O17" s="213">
        <f>IFERROR(__xludf.DUMMYFUNCTION("""COMPUTED_VALUE"""),0.0)</f>
        <v>0</v>
      </c>
      <c r="P17" s="213"/>
      <c r="Q17" s="214">
        <f>IFERROR(__xludf.DUMMYFUNCTION("""COMPUTED_VALUE"""),0.0)</f>
        <v>0</v>
      </c>
      <c r="R17" s="214"/>
      <c r="S17" s="101"/>
      <c r="T17" s="101"/>
      <c r="U17" s="213"/>
      <c r="V17" s="101" t="str">
        <f>IFERROR(__xludf.DUMMYFUNCTION("""COMPUTED_VALUE"""),"offline")</f>
        <v>offline</v>
      </c>
      <c r="W17" s="101" t="str">
        <f>IFERROR(__xludf.DUMMYFUNCTION("""COMPUTED_VALUE"""),"SMS")</f>
        <v>SMS</v>
      </c>
      <c r="X17" s="101" t="str">
        <f>IFERROR(__xludf.DUMMYFUNCTION("""COMPUTED_VALUE"""),"Custom Upload")</f>
        <v>Custom Upload</v>
      </c>
      <c r="Y17" s="101" t="str">
        <f>IFERROR(__xludf.DUMMYFUNCTION("""COMPUTED_VALUE"""),"24th-31st Jan")</f>
        <v>24th-31st Jan</v>
      </c>
      <c r="Z17" s="101" t="str">
        <f>IFERROR(__xludf.DUMMYFUNCTION("""COMPUTED_VALUE"""),"69735a3b32395cb32365d4c8")</f>
        <v>69735a3b32395cb32365d4c8</v>
      </c>
      <c r="AA17" s="213">
        <f>IFERROR(__xludf.DUMMYFUNCTION("""COMPUTED_VALUE"""),1.0)</f>
        <v>1</v>
      </c>
      <c r="AB17" s="213"/>
      <c r="AC17" s="213">
        <f>IFERROR(__xludf.DUMMYFUNCTION("""COMPUTED_VALUE"""),1.0)</f>
        <v>1</v>
      </c>
      <c r="AD17" s="213">
        <f>IFERROR(__xludf.DUMMYFUNCTION("""COMPUTED_VALUE"""),1497.0)</f>
        <v>1497</v>
      </c>
      <c r="AE17" s="213"/>
      <c r="AF17" s="213">
        <f>IFERROR(__xludf.DUMMYFUNCTION("""COMPUTED_VALUE"""),1497.0)</f>
        <v>1497</v>
      </c>
      <c r="AG17" s="282"/>
      <c r="AH17" s="282"/>
      <c r="AI17" s="282"/>
      <c r="AJ17" s="282"/>
      <c r="AK17" s="282"/>
      <c r="AL17" s="282"/>
      <c r="AM17" s="282"/>
      <c r="AN17" s="282"/>
      <c r="AO17" s="282"/>
      <c r="AP17" s="282"/>
      <c r="AQ17" s="282"/>
      <c r="AR17" s="282"/>
      <c r="AS17" s="282"/>
      <c r="AT17" s="282"/>
      <c r="AU17" s="282"/>
      <c r="AV17" s="282"/>
      <c r="AW17" s="282"/>
      <c r="AX17" s="282"/>
      <c r="AY17" s="282"/>
      <c r="AZ17" s="282"/>
    </row>
    <row r="18">
      <c r="A18" s="306">
        <f>IFERROR(__xludf.DUMMYFUNCTION("""COMPUTED_VALUE"""),46046.0)</f>
        <v>46046</v>
      </c>
      <c r="B18" s="247">
        <f>IFERROR(__xludf.DUMMYFUNCTION("""COMPUTED_VALUE"""),0.4166666666678793)</f>
        <v>0.4166666667</v>
      </c>
      <c r="C18" s="211" t="str">
        <f>IFERROR(__xludf.DUMMYFUNCTION("""COMPUTED_VALUE"""),"Sms")</f>
        <v>Sms</v>
      </c>
      <c r="D18" s="211" t="str">
        <f>IFERROR(__xludf.DUMMYFUNCTION("""COMPUTED_VALUE"""),"Promotional")</f>
        <v>Promotional</v>
      </c>
      <c r="E18" s="211" t="str">
        <f>IFERROR(__xludf.DUMMYFUNCTION("""COMPUTED_VALUE"""),"Crocs")</f>
        <v>Crocs</v>
      </c>
      <c r="F18" s="258" t="str">
        <f>IFERROR(__xludf.DUMMYFUNCTION("""COMPUTED_VALUE"""),"Republics Day campaign")</f>
        <v>Republics Day campaign</v>
      </c>
      <c r="G18" s="212" t="str">
        <f>IFERROR(__xludf.DUMMYFUNCTION("""COMPUTED_VALUE"""),"Crocs_Republic Day_1290")</f>
        <v>Crocs_Republic Day_1290</v>
      </c>
      <c r="H18" s="212" t="str">
        <f>IFERROR(__xludf.DUMMYFUNCTION("""COMPUTED_VALUE"""),"CROCS_IN_Rajouri Garden_1290_23_Jan OR Rajouri Garden Delhi_Staff OR Crocs_internal_new")</f>
        <v>CROCS_IN_Rajouri Garden_1290_23_Jan OR Rajouri Garden Delhi_Staff OR Crocs_internal_new</v>
      </c>
      <c r="I18" s="212" t="str">
        <f>IFERROR(__xludf.DUMMYFUNCTION("""COMPUTED_VALUE"""),"Custom upload")</f>
        <v>Custom upload</v>
      </c>
      <c r="J18" s="213">
        <f>IFERROR(__xludf.DUMMYFUNCTION("""COMPUTED_VALUE"""),3579.0)</f>
        <v>3579</v>
      </c>
      <c r="K18" s="213">
        <f>IFERROR(__xludf.DUMMYFUNCTION("""COMPUTED_VALUE"""),1792.0)</f>
        <v>1792</v>
      </c>
      <c r="L18" s="214">
        <f>IFERROR(__xludf.DUMMYFUNCTION("""COMPUTED_VALUE"""),0.5007)</f>
        <v>0.5007</v>
      </c>
      <c r="M18" s="213"/>
      <c r="N18" s="214"/>
      <c r="O18" s="213">
        <f>IFERROR(__xludf.DUMMYFUNCTION("""COMPUTED_VALUE"""),0.0)</f>
        <v>0</v>
      </c>
      <c r="P18" s="213"/>
      <c r="Q18" s="214">
        <f>IFERROR(__xludf.DUMMYFUNCTION("""COMPUTED_VALUE"""),0.0)</f>
        <v>0</v>
      </c>
      <c r="R18" s="214"/>
      <c r="S18" s="101"/>
      <c r="T18" s="101"/>
      <c r="U18" s="213"/>
      <c r="V18" s="101" t="str">
        <f>IFERROR(__xludf.DUMMYFUNCTION("""COMPUTED_VALUE"""),"offline")</f>
        <v>offline</v>
      </c>
      <c r="W18" s="101" t="str">
        <f>IFERROR(__xludf.DUMMYFUNCTION("""COMPUTED_VALUE"""),"SMS")</f>
        <v>SMS</v>
      </c>
      <c r="X18" s="101" t="str">
        <f>IFERROR(__xludf.DUMMYFUNCTION("""COMPUTED_VALUE"""),"Custom Upload")</f>
        <v>Custom Upload</v>
      </c>
      <c r="Y18" s="101" t="str">
        <f>IFERROR(__xludf.DUMMYFUNCTION("""COMPUTED_VALUE"""),"24th-31st Jan")</f>
        <v>24th-31st Jan</v>
      </c>
      <c r="Z18" s="101" t="str">
        <f>IFERROR(__xludf.DUMMYFUNCTION("""COMPUTED_VALUE"""),"69735a4535c658d31c6facb6")</f>
        <v>69735a4535c658d31c6facb6</v>
      </c>
      <c r="AA18" s="213">
        <f>IFERROR(__xludf.DUMMYFUNCTION("""COMPUTED_VALUE"""),2.0)</f>
        <v>2</v>
      </c>
      <c r="AB18" s="213"/>
      <c r="AC18" s="213">
        <f>IFERROR(__xludf.DUMMYFUNCTION("""COMPUTED_VALUE"""),2.0)</f>
        <v>2</v>
      </c>
      <c r="AD18" s="213">
        <f>IFERROR(__xludf.DUMMYFUNCTION("""COMPUTED_VALUE"""),11891.0)</f>
        <v>11891</v>
      </c>
      <c r="AE18" s="213"/>
      <c r="AF18" s="213">
        <f>IFERROR(__xludf.DUMMYFUNCTION("""COMPUTED_VALUE"""),11891.0)</f>
        <v>11891</v>
      </c>
      <c r="AG18" s="282"/>
      <c r="AH18" s="282"/>
      <c r="AI18" s="282"/>
      <c r="AJ18" s="282"/>
      <c r="AK18" s="282"/>
      <c r="AL18" s="282"/>
      <c r="AM18" s="282"/>
      <c r="AN18" s="282"/>
      <c r="AO18" s="282"/>
      <c r="AP18" s="282"/>
      <c r="AQ18" s="282"/>
      <c r="AR18" s="282"/>
      <c r="AS18" s="282"/>
      <c r="AT18" s="282"/>
      <c r="AU18" s="282"/>
      <c r="AV18" s="282"/>
      <c r="AW18" s="282"/>
      <c r="AX18" s="282"/>
      <c r="AY18" s="282"/>
      <c r="AZ18" s="282"/>
    </row>
    <row r="19">
      <c r="A19" s="306">
        <f>IFERROR(__xludf.DUMMYFUNCTION("""COMPUTED_VALUE"""),46046.0)</f>
        <v>46046</v>
      </c>
      <c r="B19" s="247">
        <f>IFERROR(__xludf.DUMMYFUNCTION("""COMPUTED_VALUE"""),0.4166666666678793)</f>
        <v>0.4166666667</v>
      </c>
      <c r="C19" s="211" t="str">
        <f>IFERROR(__xludf.DUMMYFUNCTION("""COMPUTED_VALUE"""),"Sms")</f>
        <v>Sms</v>
      </c>
      <c r="D19" s="211" t="str">
        <f>IFERROR(__xludf.DUMMYFUNCTION("""COMPUTED_VALUE"""),"Promotional")</f>
        <v>Promotional</v>
      </c>
      <c r="E19" s="211" t="str">
        <f>IFERROR(__xludf.DUMMYFUNCTION("""COMPUTED_VALUE"""),"Crocs")</f>
        <v>Crocs</v>
      </c>
      <c r="F19" s="211" t="str">
        <f>IFERROR(__xludf.DUMMYFUNCTION("""COMPUTED_VALUE"""),"Republics Day campaign")</f>
        <v>Republics Day campaign</v>
      </c>
      <c r="G19" s="211" t="str">
        <f>IFERROR(__xludf.DUMMYFUNCTION("""COMPUTED_VALUE"""),"Crocs_Republic Day_1206")</f>
        <v>Crocs_Republic Day_1206</v>
      </c>
      <c r="H19" s="212" t="str">
        <f>IFERROR(__xludf.DUMMYFUNCTION("""COMPUTED_VALUE"""),"CROCS_IN_Pavilion Mall Kiosk_3004_23_Jan OR Pavilion Mall Kiosk_Staff OR Crocs_internal_new")</f>
        <v>CROCS_IN_Pavilion Mall Kiosk_3004_23_Jan OR Pavilion Mall Kiosk_Staff OR Crocs_internal_new</v>
      </c>
      <c r="I19" s="212" t="str">
        <f>IFERROR(__xludf.DUMMYFUNCTION("""COMPUTED_VALUE"""),"Custom upload")</f>
        <v>Custom upload</v>
      </c>
      <c r="J19" s="213">
        <f>IFERROR(__xludf.DUMMYFUNCTION("""COMPUTED_VALUE"""),384.0)</f>
        <v>384</v>
      </c>
      <c r="K19" s="213">
        <f>IFERROR(__xludf.DUMMYFUNCTION("""COMPUTED_VALUE"""),233.0)</f>
        <v>233</v>
      </c>
      <c r="L19" s="214">
        <f>IFERROR(__xludf.DUMMYFUNCTION("""COMPUTED_VALUE"""),0.6068)</f>
        <v>0.6068</v>
      </c>
      <c r="M19" s="213"/>
      <c r="N19" s="214"/>
      <c r="O19" s="213">
        <f>IFERROR(__xludf.DUMMYFUNCTION("""COMPUTED_VALUE"""),0.0)</f>
        <v>0</v>
      </c>
      <c r="P19" s="213"/>
      <c r="Q19" s="214">
        <f>IFERROR(__xludf.DUMMYFUNCTION("""COMPUTED_VALUE"""),0.0)</f>
        <v>0</v>
      </c>
      <c r="R19" s="214"/>
      <c r="S19" s="101"/>
      <c r="T19" s="101"/>
      <c r="U19" s="213"/>
      <c r="V19" s="101" t="str">
        <f>IFERROR(__xludf.DUMMYFUNCTION("""COMPUTED_VALUE"""),"offline")</f>
        <v>offline</v>
      </c>
      <c r="W19" s="101" t="str">
        <f>IFERROR(__xludf.DUMMYFUNCTION("""COMPUTED_VALUE"""),"SMS")</f>
        <v>SMS</v>
      </c>
      <c r="X19" s="101" t="str">
        <f>IFERROR(__xludf.DUMMYFUNCTION("""COMPUTED_VALUE"""),"Custom Upload")</f>
        <v>Custom Upload</v>
      </c>
      <c r="Y19" s="101" t="str">
        <f>IFERROR(__xludf.DUMMYFUNCTION("""COMPUTED_VALUE"""),"24th-31st Jan")</f>
        <v>24th-31st Jan</v>
      </c>
      <c r="Z19" s="101" t="str">
        <f>IFERROR(__xludf.DUMMYFUNCTION("""COMPUTED_VALUE"""),"69735cf60d0bc313ba5a37da")</f>
        <v>69735cf60d0bc313ba5a37da</v>
      </c>
      <c r="AA19" s="213">
        <f>IFERROR(__xludf.DUMMYFUNCTION("""COMPUTED_VALUE"""),0.0)</f>
        <v>0</v>
      </c>
      <c r="AB19" s="213"/>
      <c r="AC19" s="213">
        <f>IFERROR(__xludf.DUMMYFUNCTION("""COMPUTED_VALUE"""),0.0)</f>
        <v>0</v>
      </c>
      <c r="AD19" s="213">
        <f>IFERROR(__xludf.DUMMYFUNCTION("""COMPUTED_VALUE"""),0.0)</f>
        <v>0</v>
      </c>
      <c r="AE19" s="213"/>
      <c r="AF19" s="213">
        <f>IFERROR(__xludf.DUMMYFUNCTION("""COMPUTED_VALUE"""),0.0)</f>
        <v>0</v>
      </c>
      <c r="AG19" s="282"/>
      <c r="AH19" s="282"/>
      <c r="AI19" s="282"/>
      <c r="AJ19" s="282"/>
      <c r="AK19" s="282"/>
      <c r="AL19" s="282"/>
      <c r="AM19" s="282"/>
      <c r="AN19" s="282"/>
      <c r="AO19" s="282"/>
      <c r="AP19" s="282"/>
      <c r="AQ19" s="282"/>
      <c r="AR19" s="282"/>
      <c r="AS19" s="282"/>
      <c r="AT19" s="282"/>
      <c r="AU19" s="282"/>
      <c r="AV19" s="282"/>
      <c r="AW19" s="282"/>
      <c r="AX19" s="282"/>
      <c r="AY19" s="282"/>
      <c r="AZ19" s="282"/>
    </row>
    <row r="20">
      <c r="A20" s="306">
        <f>IFERROR(__xludf.DUMMYFUNCTION("""COMPUTED_VALUE"""),46046.0)</f>
        <v>46046</v>
      </c>
      <c r="B20" s="247">
        <f>IFERROR(__xludf.DUMMYFUNCTION("""COMPUTED_VALUE"""),0.4166666666678793)</f>
        <v>0.4166666667</v>
      </c>
      <c r="C20" s="211" t="str">
        <f>IFERROR(__xludf.DUMMYFUNCTION("""COMPUTED_VALUE"""),"Sms")</f>
        <v>Sms</v>
      </c>
      <c r="D20" s="211" t="str">
        <f>IFERROR(__xludf.DUMMYFUNCTION("""COMPUTED_VALUE"""),"Promotional")</f>
        <v>Promotional</v>
      </c>
      <c r="E20" s="211" t="str">
        <f>IFERROR(__xludf.DUMMYFUNCTION("""COMPUTED_VALUE"""),"Crocs")</f>
        <v>Crocs</v>
      </c>
      <c r="F20" s="211" t="str">
        <f>IFERROR(__xludf.DUMMYFUNCTION("""COMPUTED_VALUE"""),"Republics Day campaign")</f>
        <v>Republics Day campaign</v>
      </c>
      <c r="G20" s="211" t="str">
        <f>IFERROR(__xludf.DUMMYFUNCTION("""COMPUTED_VALUE"""),"Crocs_Republic Day_1274")</f>
        <v>Crocs_Republic Day_1274</v>
      </c>
      <c r="H20" s="212" t="str">
        <f>IFERROR(__xludf.DUMMYFUNCTION("""COMPUTED_VALUE"""),"CROCS_IN_CP67 Mohali Kiosk_1274_23_Jan OR Mohali Kiosk_Staff OR Crocs_internal_new")</f>
        <v>CROCS_IN_CP67 Mohali Kiosk_1274_23_Jan OR Mohali Kiosk_Staff OR Crocs_internal_new</v>
      </c>
      <c r="I20" s="212" t="str">
        <f>IFERROR(__xludf.DUMMYFUNCTION("""COMPUTED_VALUE"""),"Custom upload")</f>
        <v>Custom upload</v>
      </c>
      <c r="J20" s="213">
        <f>IFERROR(__xludf.DUMMYFUNCTION("""COMPUTED_VALUE"""),10456.0)</f>
        <v>10456</v>
      </c>
      <c r="K20" s="213">
        <f>IFERROR(__xludf.DUMMYFUNCTION("""COMPUTED_VALUE"""),5273.0)</f>
        <v>5273</v>
      </c>
      <c r="L20" s="214">
        <f>IFERROR(__xludf.DUMMYFUNCTION("""COMPUTED_VALUE"""),0.5043)</f>
        <v>0.5043</v>
      </c>
      <c r="M20" s="213"/>
      <c r="N20" s="214"/>
      <c r="O20" s="213">
        <f>IFERROR(__xludf.DUMMYFUNCTION("""COMPUTED_VALUE"""),0.0)</f>
        <v>0</v>
      </c>
      <c r="P20" s="213"/>
      <c r="Q20" s="214">
        <f>IFERROR(__xludf.DUMMYFUNCTION("""COMPUTED_VALUE"""),0.0)</f>
        <v>0</v>
      </c>
      <c r="R20" s="214"/>
      <c r="S20" s="101"/>
      <c r="T20" s="101"/>
      <c r="U20" s="213"/>
      <c r="V20" s="101" t="str">
        <f>IFERROR(__xludf.DUMMYFUNCTION("""COMPUTED_VALUE"""),"offline")</f>
        <v>offline</v>
      </c>
      <c r="W20" s="101" t="str">
        <f>IFERROR(__xludf.DUMMYFUNCTION("""COMPUTED_VALUE"""),"SMS")</f>
        <v>SMS</v>
      </c>
      <c r="X20" s="101" t="str">
        <f>IFERROR(__xludf.DUMMYFUNCTION("""COMPUTED_VALUE"""),"Custom Upload")</f>
        <v>Custom Upload</v>
      </c>
      <c r="Y20" s="101" t="str">
        <f>IFERROR(__xludf.DUMMYFUNCTION("""COMPUTED_VALUE"""),"24th-31st Jan")</f>
        <v>24th-31st Jan</v>
      </c>
      <c r="Z20" s="101" t="str">
        <f>IFERROR(__xludf.DUMMYFUNCTION("""COMPUTED_VALUE"""),"69735f8932395cb32365d619")</f>
        <v>69735f8932395cb32365d619</v>
      </c>
      <c r="AA20" s="213">
        <f>IFERROR(__xludf.DUMMYFUNCTION("""COMPUTED_VALUE"""),4.0)</f>
        <v>4</v>
      </c>
      <c r="AB20" s="213"/>
      <c r="AC20" s="213">
        <f>IFERROR(__xludf.DUMMYFUNCTION("""COMPUTED_VALUE"""),4.0)</f>
        <v>4</v>
      </c>
      <c r="AD20" s="213">
        <f>IFERROR(__xludf.DUMMYFUNCTION("""COMPUTED_VALUE"""),18933.0)</f>
        <v>18933</v>
      </c>
      <c r="AE20" s="213"/>
      <c r="AF20" s="213">
        <f>IFERROR(__xludf.DUMMYFUNCTION("""COMPUTED_VALUE"""),18933.0)</f>
        <v>18933</v>
      </c>
      <c r="AG20" s="282"/>
      <c r="AH20" s="282"/>
      <c r="AI20" s="282"/>
      <c r="AJ20" s="282"/>
      <c r="AK20" s="282"/>
      <c r="AL20" s="282"/>
      <c r="AM20" s="282"/>
      <c r="AN20" s="282"/>
      <c r="AO20" s="282"/>
      <c r="AP20" s="282"/>
      <c r="AQ20" s="282"/>
      <c r="AR20" s="282"/>
      <c r="AS20" s="282"/>
      <c r="AT20" s="282"/>
      <c r="AU20" s="282"/>
      <c r="AV20" s="282"/>
      <c r="AW20" s="282"/>
      <c r="AX20" s="282"/>
      <c r="AY20" s="282"/>
      <c r="AZ20" s="282"/>
    </row>
    <row r="21">
      <c r="A21" s="306">
        <f>IFERROR(__xludf.DUMMYFUNCTION("""COMPUTED_VALUE"""),46046.0)</f>
        <v>46046</v>
      </c>
      <c r="B21" s="305">
        <f>IFERROR(__xludf.DUMMYFUNCTION("""COMPUTED_VALUE"""),0.4166666666678793)</f>
        <v>0.4166666667</v>
      </c>
      <c r="C21" s="28" t="str">
        <f>IFERROR(__xludf.DUMMYFUNCTION("""COMPUTED_VALUE"""),"Sms")</f>
        <v>Sms</v>
      </c>
      <c r="D21" s="28" t="str">
        <f>IFERROR(__xludf.DUMMYFUNCTION("""COMPUTED_VALUE"""),"Promotional")</f>
        <v>Promotional</v>
      </c>
      <c r="E21" s="28" t="str">
        <f>IFERROR(__xludf.DUMMYFUNCTION("""COMPUTED_VALUE"""),"Crocs")</f>
        <v>Crocs</v>
      </c>
      <c r="F21" s="28" t="str">
        <f>IFERROR(__xludf.DUMMYFUNCTION("""COMPUTED_VALUE"""),"Republics Day campaign")</f>
        <v>Republics Day campaign</v>
      </c>
      <c r="G21" s="28" t="str">
        <f>IFERROR(__xludf.DUMMYFUNCTION("""COMPUTED_VALUE"""),"Crocs_Republic Day_1270")</f>
        <v>Crocs_Republic Day_1270</v>
      </c>
      <c r="H21" s="28" t="str">
        <f>IFERROR(__xludf.DUMMYFUNCTION("""COMPUTED_VALUE"""),"CROCS_IN_Zora Mall Raipur_1270_23_Jan OR ZORA Raipur_Staff OR Crocs_internal_new OR Crocs_Internal")</f>
        <v>CROCS_IN_Zora Mall Raipur_1270_23_Jan OR ZORA Raipur_Staff OR Crocs_internal_new OR Crocs_Internal</v>
      </c>
      <c r="I21" s="28" t="str">
        <f>IFERROR(__xludf.DUMMYFUNCTION("""COMPUTED_VALUE"""),"Custom upload")</f>
        <v>Custom upload</v>
      </c>
      <c r="J21" s="35">
        <f>IFERROR(__xludf.DUMMYFUNCTION("""COMPUTED_VALUE"""),3215.0)</f>
        <v>3215</v>
      </c>
      <c r="K21" s="35">
        <f>IFERROR(__xludf.DUMMYFUNCTION("""COMPUTED_VALUE"""),1979.0)</f>
        <v>1979</v>
      </c>
      <c r="L21" s="36">
        <f>IFERROR(__xludf.DUMMYFUNCTION("""COMPUTED_VALUE"""),0.6156)</f>
        <v>0.6156</v>
      </c>
      <c r="M21" s="35"/>
      <c r="N21" s="36"/>
      <c r="O21" s="35">
        <f>IFERROR(__xludf.DUMMYFUNCTION("""COMPUTED_VALUE"""),0.0)</f>
        <v>0</v>
      </c>
      <c r="P21" s="35"/>
      <c r="Q21" s="36">
        <f>IFERROR(__xludf.DUMMYFUNCTION("""COMPUTED_VALUE"""),0.0)</f>
        <v>0</v>
      </c>
      <c r="R21" s="36"/>
      <c r="S21" s="42"/>
      <c r="T21" s="42"/>
      <c r="U21" s="35"/>
      <c r="V21" s="42" t="str">
        <f>IFERROR(__xludf.DUMMYFUNCTION("""COMPUTED_VALUE"""),"offline")</f>
        <v>offline</v>
      </c>
      <c r="W21" s="42" t="str">
        <f>IFERROR(__xludf.DUMMYFUNCTION("""COMPUTED_VALUE"""),"SMS")</f>
        <v>SMS</v>
      </c>
      <c r="X21" s="42" t="str">
        <f>IFERROR(__xludf.DUMMYFUNCTION("""COMPUTED_VALUE"""),"Custom Upload")</f>
        <v>Custom Upload</v>
      </c>
      <c r="Y21" s="42" t="str">
        <f>IFERROR(__xludf.DUMMYFUNCTION("""COMPUTED_VALUE"""),"24th-31st Jan")</f>
        <v>24th-31st Jan</v>
      </c>
      <c r="Z21" s="42" t="str">
        <f>IFERROR(__xludf.DUMMYFUNCTION("""COMPUTED_VALUE"""),"69735f8e759270cb4dbeb424")</f>
        <v>69735f8e759270cb4dbeb424</v>
      </c>
      <c r="AA21" s="35">
        <f>IFERROR(__xludf.DUMMYFUNCTION("""COMPUTED_VALUE"""),3.0)</f>
        <v>3</v>
      </c>
      <c r="AB21" s="35"/>
      <c r="AC21" s="35">
        <f>IFERROR(__xludf.DUMMYFUNCTION("""COMPUTED_VALUE"""),3.0)</f>
        <v>3</v>
      </c>
      <c r="AD21" s="35">
        <f>IFERROR(__xludf.DUMMYFUNCTION("""COMPUTED_VALUE"""),11986.0)</f>
        <v>11986</v>
      </c>
      <c r="AE21" s="35"/>
      <c r="AF21" s="35">
        <f>IFERROR(__xludf.DUMMYFUNCTION("""COMPUTED_VALUE"""),11986.0)</f>
        <v>11986</v>
      </c>
      <c r="AG21" s="282"/>
      <c r="AH21" s="282"/>
      <c r="AI21" s="282"/>
      <c r="AJ21" s="282"/>
      <c r="AK21" s="282"/>
      <c r="AL21" s="282"/>
      <c r="AM21" s="282"/>
      <c r="AN21" s="282"/>
      <c r="AO21" s="282"/>
      <c r="AP21" s="282"/>
      <c r="AQ21" s="282"/>
      <c r="AR21" s="282"/>
      <c r="AS21" s="282"/>
      <c r="AT21" s="282"/>
      <c r="AU21" s="282"/>
      <c r="AV21" s="282"/>
      <c r="AW21" s="282"/>
      <c r="AX21" s="282"/>
      <c r="AY21" s="282"/>
      <c r="AZ21" s="282"/>
    </row>
    <row r="22">
      <c r="A22" s="306">
        <f>IFERROR(__xludf.DUMMYFUNCTION("""COMPUTED_VALUE"""),46046.0)</f>
        <v>46046</v>
      </c>
      <c r="B22" s="305">
        <f>IFERROR(__xludf.DUMMYFUNCTION("""COMPUTED_VALUE"""),0.4166666666678793)</f>
        <v>0.4166666667</v>
      </c>
      <c r="C22" s="28" t="str">
        <f>IFERROR(__xludf.DUMMYFUNCTION("""COMPUTED_VALUE"""),"Sms")</f>
        <v>Sms</v>
      </c>
      <c r="D22" s="28" t="str">
        <f>IFERROR(__xludf.DUMMYFUNCTION("""COMPUTED_VALUE"""),"Promotional")</f>
        <v>Promotional</v>
      </c>
      <c r="E22" s="28" t="str">
        <f>IFERROR(__xludf.DUMMYFUNCTION("""COMPUTED_VALUE"""),"Crocs")</f>
        <v>Crocs</v>
      </c>
      <c r="F22" s="28" t="str">
        <f>IFERROR(__xludf.DUMMYFUNCTION("""COMPUTED_VALUE"""),"Republics Day campaign")</f>
        <v>Republics Day campaign</v>
      </c>
      <c r="G22" s="28" t="str">
        <f>IFERROR(__xludf.DUMMYFUNCTION("""COMPUTED_VALUE"""),"Crocs_Republic Day_1264")</f>
        <v>Crocs_Republic Day_1264</v>
      </c>
      <c r="H22" s="28" t="str">
        <f>IFERROR(__xludf.DUMMYFUNCTION("""COMPUTED_VALUE"""),"CROCS_IN_Rajpur Road Dehradun_1264_23_Jan OR Rajpur Road Dehradun_Staff OR Crocs_internal_new")</f>
        <v>CROCS_IN_Rajpur Road Dehradun_1264_23_Jan OR Rajpur Road Dehradun_Staff OR Crocs_internal_new</v>
      </c>
      <c r="I22" s="28" t="str">
        <f>IFERROR(__xludf.DUMMYFUNCTION("""COMPUTED_VALUE"""),"Custom upload")</f>
        <v>Custom upload</v>
      </c>
      <c r="J22" s="35">
        <f>IFERROR(__xludf.DUMMYFUNCTION("""COMPUTED_VALUE"""),6663.0)</f>
        <v>6663</v>
      </c>
      <c r="K22" s="35">
        <f>IFERROR(__xludf.DUMMYFUNCTION("""COMPUTED_VALUE"""),3763.0)</f>
        <v>3763</v>
      </c>
      <c r="L22" s="36">
        <f>IFERROR(__xludf.DUMMYFUNCTION("""COMPUTED_VALUE"""),0.5648)</f>
        <v>0.5648</v>
      </c>
      <c r="M22" s="35"/>
      <c r="N22" s="36"/>
      <c r="O22" s="35">
        <f>IFERROR(__xludf.DUMMYFUNCTION("""COMPUTED_VALUE"""),0.0)</f>
        <v>0</v>
      </c>
      <c r="P22" s="35"/>
      <c r="Q22" s="36">
        <f>IFERROR(__xludf.DUMMYFUNCTION("""COMPUTED_VALUE"""),0.0)</f>
        <v>0</v>
      </c>
      <c r="R22" s="36"/>
      <c r="S22" s="42"/>
      <c r="T22" s="42"/>
      <c r="U22" s="35"/>
      <c r="V22" s="42" t="str">
        <f>IFERROR(__xludf.DUMMYFUNCTION("""COMPUTED_VALUE"""),"offline")</f>
        <v>offline</v>
      </c>
      <c r="W22" s="42" t="str">
        <f>IFERROR(__xludf.DUMMYFUNCTION("""COMPUTED_VALUE"""),"SMS")</f>
        <v>SMS</v>
      </c>
      <c r="X22" s="42" t="str">
        <f>IFERROR(__xludf.DUMMYFUNCTION("""COMPUTED_VALUE"""),"Custom Upload")</f>
        <v>Custom Upload</v>
      </c>
      <c r="Y22" s="42" t="str">
        <f>IFERROR(__xludf.DUMMYFUNCTION("""COMPUTED_VALUE"""),"24th-31st Jan")</f>
        <v>24th-31st Jan</v>
      </c>
      <c r="Z22" s="42" t="str">
        <f>IFERROR(__xludf.DUMMYFUNCTION("""COMPUTED_VALUE"""),"69735f9a3b31a1c0b2cd7cb9")</f>
        <v>69735f9a3b31a1c0b2cd7cb9</v>
      </c>
      <c r="AA22" s="35">
        <f>IFERROR(__xludf.DUMMYFUNCTION("""COMPUTED_VALUE"""),2.0)</f>
        <v>2</v>
      </c>
      <c r="AB22" s="35"/>
      <c r="AC22" s="35">
        <f>IFERROR(__xludf.DUMMYFUNCTION("""COMPUTED_VALUE"""),2.0)</f>
        <v>2</v>
      </c>
      <c r="AD22" s="35">
        <f>IFERROR(__xludf.DUMMYFUNCTION("""COMPUTED_VALUE"""),18126.0)</f>
        <v>18126</v>
      </c>
      <c r="AE22" s="35"/>
      <c r="AF22" s="35">
        <f>IFERROR(__xludf.DUMMYFUNCTION("""COMPUTED_VALUE"""),18126.0)</f>
        <v>18126</v>
      </c>
      <c r="AG22" s="282"/>
      <c r="AH22" s="282"/>
      <c r="AI22" s="282"/>
      <c r="AJ22" s="282"/>
      <c r="AK22" s="282"/>
      <c r="AL22" s="282"/>
      <c r="AM22" s="282"/>
      <c r="AN22" s="282"/>
      <c r="AO22" s="282"/>
      <c r="AP22" s="282"/>
      <c r="AQ22" s="282"/>
      <c r="AR22" s="282"/>
      <c r="AS22" s="282"/>
      <c r="AT22" s="282"/>
      <c r="AU22" s="282"/>
      <c r="AV22" s="282"/>
      <c r="AW22" s="282"/>
      <c r="AX22" s="282"/>
      <c r="AY22" s="282"/>
      <c r="AZ22" s="282"/>
    </row>
    <row r="23">
      <c r="A23" s="306">
        <f>IFERROR(__xludf.DUMMYFUNCTION("""COMPUTED_VALUE"""),46046.0)</f>
        <v>46046</v>
      </c>
      <c r="B23" s="210">
        <f>IFERROR(__xludf.DUMMYFUNCTION("""COMPUTED_VALUE"""),0.4166666666678793)</f>
        <v>0.4166666667</v>
      </c>
      <c r="C23" s="211" t="str">
        <f>IFERROR(__xludf.DUMMYFUNCTION("""COMPUTED_VALUE"""),"Sms")</f>
        <v>Sms</v>
      </c>
      <c r="D23" s="211" t="str">
        <f>IFERROR(__xludf.DUMMYFUNCTION("""COMPUTED_VALUE"""),"Promotional")</f>
        <v>Promotional</v>
      </c>
      <c r="E23" s="211" t="str">
        <f>IFERROR(__xludf.DUMMYFUNCTION("""COMPUTED_VALUE"""),"Crocs")</f>
        <v>Crocs</v>
      </c>
      <c r="F23" s="211" t="str">
        <f>IFERROR(__xludf.DUMMYFUNCTION("""COMPUTED_VALUE"""),"Republics Day campaign")</f>
        <v>Republics Day campaign</v>
      </c>
      <c r="G23" s="218" t="str">
        <f>IFERROR(__xludf.DUMMYFUNCTION("""COMPUTED_VALUE"""),"Crocs_Republic Day_1294")</f>
        <v>Crocs_Republic Day_1294</v>
      </c>
      <c r="H23" s="218" t="str">
        <f>IFERROR(__xludf.DUMMYFUNCTION("""COMPUTED_VALUE"""),"CROCS_IN_Karnal_1294_23_Jan OR Karnal_Staff OR Crocs_internal_new")</f>
        <v>CROCS_IN_Karnal_1294_23_Jan OR Karnal_Staff OR Crocs_internal_new</v>
      </c>
      <c r="I23" s="28" t="str">
        <f>IFERROR(__xludf.DUMMYFUNCTION("""COMPUTED_VALUE"""),"Custom upload")</f>
        <v>Custom upload</v>
      </c>
      <c r="J23" s="213">
        <f>IFERROR(__xludf.DUMMYFUNCTION("""COMPUTED_VALUE"""),3495.0)</f>
        <v>3495</v>
      </c>
      <c r="K23" s="213">
        <f>IFERROR(__xludf.DUMMYFUNCTION("""COMPUTED_VALUE"""),2001.0)</f>
        <v>2001</v>
      </c>
      <c r="L23" s="214">
        <f>IFERROR(__xludf.DUMMYFUNCTION("""COMPUTED_VALUE"""),0.5725)</f>
        <v>0.5725</v>
      </c>
      <c r="M23" s="213"/>
      <c r="N23" s="214"/>
      <c r="O23" s="213">
        <f>IFERROR(__xludf.DUMMYFUNCTION("""COMPUTED_VALUE"""),0.0)</f>
        <v>0</v>
      </c>
      <c r="P23" s="213"/>
      <c r="Q23" s="214">
        <f>IFERROR(__xludf.DUMMYFUNCTION("""COMPUTED_VALUE"""),0.0)</f>
        <v>0</v>
      </c>
      <c r="R23" s="214"/>
      <c r="S23" s="218"/>
      <c r="T23" s="218"/>
      <c r="U23" s="270"/>
      <c r="V23" s="101" t="str">
        <f>IFERROR(__xludf.DUMMYFUNCTION("""COMPUTED_VALUE"""),"offline")</f>
        <v>offline</v>
      </c>
      <c r="W23" s="101" t="str">
        <f>IFERROR(__xludf.DUMMYFUNCTION("""COMPUTED_VALUE"""),"SMS")</f>
        <v>SMS</v>
      </c>
      <c r="X23" s="101" t="str">
        <f>IFERROR(__xludf.DUMMYFUNCTION("""COMPUTED_VALUE"""),"Custom Upload")</f>
        <v>Custom Upload</v>
      </c>
      <c r="Y23" s="101" t="str">
        <f>IFERROR(__xludf.DUMMYFUNCTION("""COMPUTED_VALUE"""),"24th-31st Jan")</f>
        <v>24th-31st Jan</v>
      </c>
      <c r="Z23" s="101" t="str">
        <f>IFERROR(__xludf.DUMMYFUNCTION("""COMPUTED_VALUE"""),"6973619ad749ef59f87777c8")</f>
        <v>6973619ad749ef59f87777c8</v>
      </c>
      <c r="AA23" s="213">
        <f>IFERROR(__xludf.DUMMYFUNCTION("""COMPUTED_VALUE"""),5.0)</f>
        <v>5</v>
      </c>
      <c r="AB23" s="213"/>
      <c r="AC23" s="213">
        <f>IFERROR(__xludf.DUMMYFUNCTION("""COMPUTED_VALUE"""),5.0)</f>
        <v>5</v>
      </c>
      <c r="AD23" s="213">
        <f>IFERROR(__xludf.DUMMYFUNCTION("""COMPUTED_VALUE"""),26567.0)</f>
        <v>26567</v>
      </c>
      <c r="AE23" s="213"/>
      <c r="AF23" s="213">
        <f>IFERROR(__xludf.DUMMYFUNCTION("""COMPUTED_VALUE"""),26567.0)</f>
        <v>26567</v>
      </c>
      <c r="AG23" s="282"/>
      <c r="AH23" s="282"/>
      <c r="AI23" s="282"/>
      <c r="AJ23" s="282"/>
      <c r="AK23" s="282"/>
      <c r="AL23" s="282"/>
      <c r="AM23" s="282"/>
      <c r="AN23" s="282"/>
      <c r="AO23" s="282"/>
      <c r="AP23" s="282"/>
      <c r="AQ23" s="282"/>
      <c r="AR23" s="282"/>
      <c r="AS23" s="282"/>
      <c r="AT23" s="282"/>
      <c r="AU23" s="282"/>
      <c r="AV23" s="282"/>
      <c r="AW23" s="282"/>
      <c r="AX23" s="282"/>
      <c r="AY23" s="282"/>
      <c r="AZ23" s="282"/>
    </row>
    <row r="24">
      <c r="A24" s="306">
        <f>IFERROR(__xludf.DUMMYFUNCTION("""COMPUTED_VALUE"""),46046.0)</f>
        <v>46046</v>
      </c>
      <c r="B24" s="210">
        <f>IFERROR(__xludf.DUMMYFUNCTION("""COMPUTED_VALUE"""),0.4166666666678793)</f>
        <v>0.4166666667</v>
      </c>
      <c r="C24" s="211" t="str">
        <f>IFERROR(__xludf.DUMMYFUNCTION("""COMPUTED_VALUE"""),"Sms")</f>
        <v>Sms</v>
      </c>
      <c r="D24" s="211" t="str">
        <f>IFERROR(__xludf.DUMMYFUNCTION("""COMPUTED_VALUE"""),"Promotional")</f>
        <v>Promotional</v>
      </c>
      <c r="E24" s="211" t="str">
        <f>IFERROR(__xludf.DUMMYFUNCTION("""COMPUTED_VALUE"""),"Crocs")</f>
        <v>Crocs</v>
      </c>
      <c r="F24" s="211" t="str">
        <f>IFERROR(__xludf.DUMMYFUNCTION("""COMPUTED_VALUE"""),"Republics Day campaign")</f>
        <v>Republics Day campaign</v>
      </c>
      <c r="G24" s="218" t="str">
        <f>IFERROR(__xludf.DUMMYFUNCTION("""COMPUTED_VALUE"""),"Crocs_Republic Day_1293")</f>
        <v>Crocs_Republic Day_1293</v>
      </c>
      <c r="H24" s="218" t="str">
        <f>IFERROR(__xludf.DUMMYFUNCTION("""COMPUTED_VALUE"""),"CROCS_IN_Paschim Vihar Delhi_1293_23_Jan OR Paschim Vihar Delhi_Staff OR Crocs_internal_new")</f>
        <v>CROCS_IN_Paschim Vihar Delhi_1293_23_Jan OR Paschim Vihar Delhi_Staff OR Crocs_internal_new</v>
      </c>
      <c r="I24" s="28" t="str">
        <f>IFERROR(__xludf.DUMMYFUNCTION("""COMPUTED_VALUE"""),"Custom upload")</f>
        <v>Custom upload</v>
      </c>
      <c r="J24" s="213">
        <f>IFERROR(__xludf.DUMMYFUNCTION("""COMPUTED_VALUE"""),531.0)</f>
        <v>531</v>
      </c>
      <c r="K24" s="213">
        <f>IFERROR(__xludf.DUMMYFUNCTION("""COMPUTED_VALUE"""),274.0)</f>
        <v>274</v>
      </c>
      <c r="L24" s="214">
        <f>IFERROR(__xludf.DUMMYFUNCTION("""COMPUTED_VALUE"""),0.516)</f>
        <v>0.516</v>
      </c>
      <c r="M24" s="213"/>
      <c r="N24" s="214"/>
      <c r="O24" s="213">
        <f>IFERROR(__xludf.DUMMYFUNCTION("""COMPUTED_VALUE"""),0.0)</f>
        <v>0</v>
      </c>
      <c r="P24" s="213"/>
      <c r="Q24" s="214">
        <f>IFERROR(__xludf.DUMMYFUNCTION("""COMPUTED_VALUE"""),0.0)</f>
        <v>0</v>
      </c>
      <c r="R24" s="214"/>
      <c r="S24" s="218"/>
      <c r="T24" s="218"/>
      <c r="U24" s="270"/>
      <c r="V24" s="101" t="str">
        <f>IFERROR(__xludf.DUMMYFUNCTION("""COMPUTED_VALUE"""),"offline")</f>
        <v>offline</v>
      </c>
      <c r="W24" s="101" t="str">
        <f>IFERROR(__xludf.DUMMYFUNCTION("""COMPUTED_VALUE"""),"SMS")</f>
        <v>SMS</v>
      </c>
      <c r="X24" s="101" t="str">
        <f>IFERROR(__xludf.DUMMYFUNCTION("""COMPUTED_VALUE"""),"Custom Upload")</f>
        <v>Custom Upload</v>
      </c>
      <c r="Y24" s="101" t="str">
        <f>IFERROR(__xludf.DUMMYFUNCTION("""COMPUTED_VALUE"""),"24th-31st Jan")</f>
        <v>24th-31st Jan</v>
      </c>
      <c r="Z24" s="101" t="str">
        <f>IFERROR(__xludf.DUMMYFUNCTION("""COMPUTED_VALUE"""),"697361a0f07eef7773119e7b")</f>
        <v>697361a0f07eef7773119e7b</v>
      </c>
      <c r="AA24" s="213">
        <f>IFERROR(__xludf.DUMMYFUNCTION("""COMPUTED_VALUE"""),5.0)</f>
        <v>5</v>
      </c>
      <c r="AB24" s="213"/>
      <c r="AC24" s="213">
        <f>IFERROR(__xludf.DUMMYFUNCTION("""COMPUTED_VALUE"""),5.0)</f>
        <v>5</v>
      </c>
      <c r="AD24" s="213">
        <f>IFERROR(__xludf.DUMMYFUNCTION("""COMPUTED_VALUE"""),17278.0)</f>
        <v>17278</v>
      </c>
      <c r="AE24" s="213"/>
      <c r="AF24" s="213">
        <f>IFERROR(__xludf.DUMMYFUNCTION("""COMPUTED_VALUE"""),17278.0)</f>
        <v>17278</v>
      </c>
      <c r="AG24" s="282"/>
      <c r="AH24" s="282"/>
      <c r="AI24" s="282"/>
      <c r="AJ24" s="282"/>
      <c r="AK24" s="282"/>
      <c r="AL24" s="282"/>
      <c r="AM24" s="282"/>
      <c r="AN24" s="282"/>
      <c r="AO24" s="282"/>
      <c r="AP24" s="282"/>
      <c r="AQ24" s="282"/>
      <c r="AR24" s="282"/>
      <c r="AS24" s="282"/>
      <c r="AT24" s="282"/>
      <c r="AU24" s="282"/>
      <c r="AV24" s="282"/>
      <c r="AW24" s="282"/>
      <c r="AX24" s="282"/>
      <c r="AY24" s="282"/>
      <c r="AZ24" s="282"/>
    </row>
    <row r="25">
      <c r="A25" s="306">
        <f>IFERROR(__xludf.DUMMYFUNCTION("""COMPUTED_VALUE"""),46046.0)</f>
        <v>46046</v>
      </c>
      <c r="B25" s="210">
        <f>IFERROR(__xludf.DUMMYFUNCTION("""COMPUTED_VALUE"""),0.4166666666678793)</f>
        <v>0.4166666667</v>
      </c>
      <c r="C25" s="211" t="str">
        <f>IFERROR(__xludf.DUMMYFUNCTION("""COMPUTED_VALUE"""),"Sms")</f>
        <v>Sms</v>
      </c>
      <c r="D25" s="211" t="str">
        <f>IFERROR(__xludf.DUMMYFUNCTION("""COMPUTED_VALUE"""),"Promotional")</f>
        <v>Promotional</v>
      </c>
      <c r="E25" s="211" t="str">
        <f>IFERROR(__xludf.DUMMYFUNCTION("""COMPUTED_VALUE"""),"Crocs")</f>
        <v>Crocs</v>
      </c>
      <c r="F25" s="211" t="str">
        <f>IFERROR(__xludf.DUMMYFUNCTION("""COMPUTED_VALUE"""),"Republics Day campaign")</f>
        <v>Republics Day campaign</v>
      </c>
      <c r="G25" s="218" t="str">
        <f>IFERROR(__xludf.DUMMYFUNCTION("""COMPUTED_VALUE"""),"Crocs_Republic Day_1311")</f>
        <v>Crocs_Republic Day_1311</v>
      </c>
      <c r="H25" s="218" t="str">
        <f>IFERROR(__xludf.DUMMYFUNCTION("""COMPUTED_VALUE"""),"CROCS_IN_Ambience Mall Gurgaon_1311_23_Jan OR Crocs_internal_new")</f>
        <v>CROCS_IN_Ambience Mall Gurgaon_1311_23_Jan OR Crocs_internal_new</v>
      </c>
      <c r="I25" s="28" t="str">
        <f>IFERROR(__xludf.DUMMYFUNCTION("""COMPUTED_VALUE"""),"Custom upload")</f>
        <v>Custom upload</v>
      </c>
      <c r="J25" s="213">
        <f>IFERROR(__xludf.DUMMYFUNCTION("""COMPUTED_VALUE"""),120.0)</f>
        <v>120</v>
      </c>
      <c r="K25" s="213">
        <f>IFERROR(__xludf.DUMMYFUNCTION("""COMPUTED_VALUE"""),62.0)</f>
        <v>62</v>
      </c>
      <c r="L25" s="214">
        <f>IFERROR(__xludf.DUMMYFUNCTION("""COMPUTED_VALUE"""),0.5167)</f>
        <v>0.5167</v>
      </c>
      <c r="M25" s="213"/>
      <c r="N25" s="214"/>
      <c r="O25" s="213">
        <f>IFERROR(__xludf.DUMMYFUNCTION("""COMPUTED_VALUE"""),0.0)</f>
        <v>0</v>
      </c>
      <c r="P25" s="213"/>
      <c r="Q25" s="214">
        <f>IFERROR(__xludf.DUMMYFUNCTION("""COMPUTED_VALUE"""),0.0)</f>
        <v>0</v>
      </c>
      <c r="R25" s="214"/>
      <c r="S25" s="218"/>
      <c r="T25" s="218"/>
      <c r="U25" s="270"/>
      <c r="V25" s="101" t="str">
        <f>IFERROR(__xludf.DUMMYFUNCTION("""COMPUTED_VALUE"""),"offline")</f>
        <v>offline</v>
      </c>
      <c r="W25" s="101" t="str">
        <f>IFERROR(__xludf.DUMMYFUNCTION("""COMPUTED_VALUE"""),"SMS")</f>
        <v>SMS</v>
      </c>
      <c r="X25" s="101" t="str">
        <f>IFERROR(__xludf.DUMMYFUNCTION("""COMPUTED_VALUE"""),"Custom Upload")</f>
        <v>Custom Upload</v>
      </c>
      <c r="Y25" s="101" t="str">
        <f>IFERROR(__xludf.DUMMYFUNCTION("""COMPUTED_VALUE"""),"24th-31st Jan")</f>
        <v>24th-31st Jan</v>
      </c>
      <c r="Z25" s="101" t="str">
        <f>IFERROR(__xludf.DUMMYFUNCTION("""COMPUTED_VALUE"""),"697361a6b41cfca356297aa0")</f>
        <v>697361a6b41cfca356297aa0</v>
      </c>
      <c r="AA25" s="213">
        <f>IFERROR(__xludf.DUMMYFUNCTION("""COMPUTED_VALUE"""),0.0)</f>
        <v>0</v>
      </c>
      <c r="AB25" s="213"/>
      <c r="AC25" s="213">
        <f>IFERROR(__xludf.DUMMYFUNCTION("""COMPUTED_VALUE"""),0.0)</f>
        <v>0</v>
      </c>
      <c r="AD25" s="213">
        <f>IFERROR(__xludf.DUMMYFUNCTION("""COMPUTED_VALUE"""),0.0)</f>
        <v>0</v>
      </c>
      <c r="AE25" s="213"/>
      <c r="AF25" s="213">
        <f>IFERROR(__xludf.DUMMYFUNCTION("""COMPUTED_VALUE"""),0.0)</f>
        <v>0</v>
      </c>
      <c r="AG25" s="282"/>
      <c r="AH25" s="282"/>
      <c r="AI25" s="282"/>
      <c r="AJ25" s="282"/>
      <c r="AK25" s="282"/>
      <c r="AL25" s="282"/>
      <c r="AM25" s="282"/>
      <c r="AN25" s="282"/>
      <c r="AO25" s="282"/>
      <c r="AP25" s="282"/>
      <c r="AQ25" s="282"/>
      <c r="AR25" s="282"/>
      <c r="AS25" s="282"/>
      <c r="AT25" s="282"/>
      <c r="AU25" s="282"/>
      <c r="AV25" s="282"/>
      <c r="AW25" s="282"/>
      <c r="AX25" s="282"/>
      <c r="AY25" s="282"/>
      <c r="AZ25" s="282"/>
    </row>
    <row r="26">
      <c r="A26" s="306">
        <f>IFERROR(__xludf.DUMMYFUNCTION("""COMPUTED_VALUE"""),46046.0)</f>
        <v>46046</v>
      </c>
      <c r="B26" s="210">
        <f>IFERROR(__xludf.DUMMYFUNCTION("""COMPUTED_VALUE"""),0.4166666666678793)</f>
        <v>0.4166666667</v>
      </c>
      <c r="C26" s="211" t="str">
        <f>IFERROR(__xludf.DUMMYFUNCTION("""COMPUTED_VALUE"""),"Sms")</f>
        <v>Sms</v>
      </c>
      <c r="D26" s="211" t="str">
        <f>IFERROR(__xludf.DUMMYFUNCTION("""COMPUTED_VALUE"""),"Promotional")</f>
        <v>Promotional</v>
      </c>
      <c r="E26" s="211" t="str">
        <f>IFERROR(__xludf.DUMMYFUNCTION("""COMPUTED_VALUE"""),"Crocs")</f>
        <v>Crocs</v>
      </c>
      <c r="F26" s="211" t="str">
        <f>IFERROR(__xludf.DUMMYFUNCTION("""COMPUTED_VALUE"""),"Republics Day campaign")</f>
        <v>Republics Day campaign</v>
      </c>
      <c r="G26" s="218" t="str">
        <f>IFERROR(__xludf.DUMMYFUNCTION("""COMPUTED_VALUE"""),"Crocs_Republic Day_1307")</f>
        <v>Crocs_Republic Day_1307</v>
      </c>
      <c r="H26" s="218" t="str">
        <f>IFERROR(__xludf.DUMMYFUNCTION("""COMPUTED_VALUE"""),"Crocs_Lajpat_Final OR Crocs_Lajpat_Nagar_Event_16thJan OR Crocs_internal_new")</f>
        <v>Crocs_Lajpat_Final OR Crocs_Lajpat_Nagar_Event_16thJan OR Crocs_internal_new</v>
      </c>
      <c r="I26" s="28" t="str">
        <f>IFERROR(__xludf.DUMMYFUNCTION("""COMPUTED_VALUE"""),"Custom upload")</f>
        <v>Custom upload</v>
      </c>
      <c r="J26" s="213">
        <f>IFERROR(__xludf.DUMMYFUNCTION("""COMPUTED_VALUE"""),160.0)</f>
        <v>160</v>
      </c>
      <c r="K26" s="213">
        <f>IFERROR(__xludf.DUMMYFUNCTION("""COMPUTED_VALUE"""),80.0)</f>
        <v>80</v>
      </c>
      <c r="L26" s="214">
        <f>IFERROR(__xludf.DUMMYFUNCTION("""COMPUTED_VALUE"""),0.5)</f>
        <v>0.5</v>
      </c>
      <c r="M26" s="213"/>
      <c r="N26" s="214"/>
      <c r="O26" s="213">
        <f>IFERROR(__xludf.DUMMYFUNCTION("""COMPUTED_VALUE"""),0.0)</f>
        <v>0</v>
      </c>
      <c r="P26" s="213"/>
      <c r="Q26" s="214">
        <f>IFERROR(__xludf.DUMMYFUNCTION("""COMPUTED_VALUE"""),0.0)</f>
        <v>0</v>
      </c>
      <c r="R26" s="214"/>
      <c r="S26" s="218"/>
      <c r="T26" s="218"/>
      <c r="U26" s="270"/>
      <c r="V26" s="101" t="str">
        <f>IFERROR(__xludf.DUMMYFUNCTION("""COMPUTED_VALUE"""),"offline")</f>
        <v>offline</v>
      </c>
      <c r="W26" s="101" t="str">
        <f>IFERROR(__xludf.DUMMYFUNCTION("""COMPUTED_VALUE"""),"SMS")</f>
        <v>SMS</v>
      </c>
      <c r="X26" s="101" t="str">
        <f>IFERROR(__xludf.DUMMYFUNCTION("""COMPUTED_VALUE"""),"Custom Upload")</f>
        <v>Custom Upload</v>
      </c>
      <c r="Y26" s="101" t="str">
        <f>IFERROR(__xludf.DUMMYFUNCTION("""COMPUTED_VALUE"""),"24th-31st Jan")</f>
        <v>24th-31st Jan</v>
      </c>
      <c r="Z26" s="101" t="str">
        <f>IFERROR(__xludf.DUMMYFUNCTION("""COMPUTED_VALUE"""),"6973632432395cb32365d70d")</f>
        <v>6973632432395cb32365d70d</v>
      </c>
      <c r="AA26" s="213">
        <f>IFERROR(__xludf.DUMMYFUNCTION("""COMPUTED_VALUE"""),0.0)</f>
        <v>0</v>
      </c>
      <c r="AB26" s="213"/>
      <c r="AC26" s="213">
        <f>IFERROR(__xludf.DUMMYFUNCTION("""COMPUTED_VALUE"""),0.0)</f>
        <v>0</v>
      </c>
      <c r="AD26" s="213">
        <f>IFERROR(__xludf.DUMMYFUNCTION("""COMPUTED_VALUE"""),0.0)</f>
        <v>0</v>
      </c>
      <c r="AE26" s="213"/>
      <c r="AF26" s="213">
        <f>IFERROR(__xludf.DUMMYFUNCTION("""COMPUTED_VALUE"""),0.0)</f>
        <v>0</v>
      </c>
      <c r="AG26" s="282"/>
      <c r="AH26" s="282"/>
      <c r="AI26" s="282"/>
      <c r="AJ26" s="282"/>
      <c r="AK26" s="282"/>
      <c r="AL26" s="282"/>
      <c r="AM26" s="282"/>
      <c r="AN26" s="282"/>
      <c r="AO26" s="282"/>
      <c r="AP26" s="282"/>
      <c r="AQ26" s="282"/>
      <c r="AR26" s="282"/>
      <c r="AS26" s="282"/>
      <c r="AT26" s="282"/>
      <c r="AU26" s="282"/>
      <c r="AV26" s="282"/>
      <c r="AW26" s="282"/>
      <c r="AX26" s="282"/>
      <c r="AY26" s="282"/>
      <c r="AZ26" s="282"/>
    </row>
    <row r="27">
      <c r="A27" s="306">
        <f>IFERROR(__xludf.DUMMYFUNCTION("""COMPUTED_VALUE"""),46046.0)</f>
        <v>46046</v>
      </c>
      <c r="B27" s="210">
        <f>IFERROR(__xludf.DUMMYFUNCTION("""COMPUTED_VALUE"""),0.4166666666678793)</f>
        <v>0.4166666667</v>
      </c>
      <c r="C27" s="211" t="str">
        <f>IFERROR(__xludf.DUMMYFUNCTION("""COMPUTED_VALUE"""),"Sms")</f>
        <v>Sms</v>
      </c>
      <c r="D27" s="211" t="str">
        <f>IFERROR(__xludf.DUMMYFUNCTION("""COMPUTED_VALUE"""),"Promotional")</f>
        <v>Promotional</v>
      </c>
      <c r="E27" s="211" t="str">
        <f>IFERROR(__xludf.DUMMYFUNCTION("""COMPUTED_VALUE"""),"Crocs")</f>
        <v>Crocs</v>
      </c>
      <c r="F27" s="211" t="str">
        <f>IFERROR(__xludf.DUMMYFUNCTION("""COMPUTED_VALUE"""),"Republics Day campaign")</f>
        <v>Republics Day campaign</v>
      </c>
      <c r="G27" s="218" t="str">
        <f>IFERROR(__xludf.DUMMYFUNCTION("""COMPUTED_VALUE"""),"Crocs_Republic Day_1309")</f>
        <v>Crocs_Republic Day_1309</v>
      </c>
      <c r="H27" s="218" t="str">
        <f>IFERROR(__xludf.DUMMYFUNCTION("""COMPUTED_VALUE"""),"CROCS_IN_Elan Epic_1309_23_Jan OR Crocs_internal_new")</f>
        <v>CROCS_IN_Elan Epic_1309_23_Jan OR Crocs_internal_new</v>
      </c>
      <c r="I27" s="211" t="str">
        <f>IFERROR(__xludf.DUMMYFUNCTION("""COMPUTED_VALUE"""),"Custom upload")</f>
        <v>Custom upload</v>
      </c>
      <c r="J27" s="213">
        <f>IFERROR(__xludf.DUMMYFUNCTION("""COMPUTED_VALUE"""),2472.0)</f>
        <v>2472</v>
      </c>
      <c r="K27" s="213">
        <f>IFERROR(__xludf.DUMMYFUNCTION("""COMPUTED_VALUE"""),986.0)</f>
        <v>986</v>
      </c>
      <c r="L27" s="214">
        <f>IFERROR(__xludf.DUMMYFUNCTION("""COMPUTED_VALUE"""),0.3989)</f>
        <v>0.3989</v>
      </c>
      <c r="M27" s="213"/>
      <c r="N27" s="214"/>
      <c r="O27" s="213">
        <f>IFERROR(__xludf.DUMMYFUNCTION("""COMPUTED_VALUE"""),0.0)</f>
        <v>0</v>
      </c>
      <c r="P27" s="213"/>
      <c r="Q27" s="214">
        <f>IFERROR(__xludf.DUMMYFUNCTION("""COMPUTED_VALUE"""),0.0)</f>
        <v>0</v>
      </c>
      <c r="R27" s="214"/>
      <c r="S27" s="101"/>
      <c r="T27" s="218"/>
      <c r="U27" s="270"/>
      <c r="V27" s="101" t="str">
        <f>IFERROR(__xludf.DUMMYFUNCTION("""COMPUTED_VALUE"""),"offline")</f>
        <v>offline</v>
      </c>
      <c r="W27" s="101" t="str">
        <f>IFERROR(__xludf.DUMMYFUNCTION("""COMPUTED_VALUE"""),"SMS")</f>
        <v>SMS</v>
      </c>
      <c r="X27" s="101" t="str">
        <f>IFERROR(__xludf.DUMMYFUNCTION("""COMPUTED_VALUE"""),"Custom Upload")</f>
        <v>Custom Upload</v>
      </c>
      <c r="Y27" s="101" t="str">
        <f>IFERROR(__xludf.DUMMYFUNCTION("""COMPUTED_VALUE"""),"24th-31st Jan")</f>
        <v>24th-31st Jan</v>
      </c>
      <c r="Z27" s="101" t="str">
        <f>IFERROR(__xludf.DUMMYFUNCTION("""COMPUTED_VALUE"""),"6973640d93b4386821b68f3b")</f>
        <v>6973640d93b4386821b68f3b</v>
      </c>
      <c r="AA27" s="213">
        <f>IFERROR(__xludf.DUMMYFUNCTION("""COMPUTED_VALUE"""),0.0)</f>
        <v>0</v>
      </c>
      <c r="AB27" s="213"/>
      <c r="AC27" s="213">
        <f>IFERROR(__xludf.DUMMYFUNCTION("""COMPUTED_VALUE"""),0.0)</f>
        <v>0</v>
      </c>
      <c r="AD27" s="213">
        <f>IFERROR(__xludf.DUMMYFUNCTION("""COMPUTED_VALUE"""),0.0)</f>
        <v>0</v>
      </c>
      <c r="AE27" s="213"/>
      <c r="AF27" s="213">
        <f>IFERROR(__xludf.DUMMYFUNCTION("""COMPUTED_VALUE"""),0.0)</f>
        <v>0</v>
      </c>
      <c r="AG27" s="282"/>
      <c r="AH27" s="282"/>
      <c r="AI27" s="282"/>
      <c r="AJ27" s="282"/>
      <c r="AK27" s="282"/>
      <c r="AL27" s="282"/>
      <c r="AM27" s="282"/>
      <c r="AN27" s="282"/>
      <c r="AO27" s="282"/>
      <c r="AP27" s="282"/>
      <c r="AQ27" s="282"/>
      <c r="AR27" s="282"/>
      <c r="AS27" s="282"/>
      <c r="AT27" s="282"/>
      <c r="AU27" s="282"/>
      <c r="AV27" s="282"/>
      <c r="AW27" s="282"/>
      <c r="AX27" s="282"/>
      <c r="AY27" s="282"/>
      <c r="AZ27" s="282"/>
    </row>
    <row r="28">
      <c r="A28" s="306">
        <f>IFERROR(__xludf.DUMMYFUNCTION("""COMPUTED_VALUE"""),46046.0)</f>
        <v>46046</v>
      </c>
      <c r="B28" s="210">
        <f>IFERROR(__xludf.DUMMYFUNCTION("""COMPUTED_VALUE"""),0.4166666666678793)</f>
        <v>0.4166666667</v>
      </c>
      <c r="C28" s="211" t="str">
        <f>IFERROR(__xludf.DUMMYFUNCTION("""COMPUTED_VALUE"""),"Sms")</f>
        <v>Sms</v>
      </c>
      <c r="D28" s="211" t="str">
        <f>IFERROR(__xludf.DUMMYFUNCTION("""COMPUTED_VALUE"""),"Promotional")</f>
        <v>Promotional</v>
      </c>
      <c r="E28" s="211" t="str">
        <f>IFERROR(__xludf.DUMMYFUNCTION("""COMPUTED_VALUE"""),"Crocs")</f>
        <v>Crocs</v>
      </c>
      <c r="F28" s="211" t="str">
        <f>IFERROR(__xludf.DUMMYFUNCTION("""COMPUTED_VALUE"""),"Republics Day campaign")</f>
        <v>Republics Day campaign</v>
      </c>
      <c r="G28" s="218" t="str">
        <f>IFERROR(__xludf.DUMMYFUNCTION("""COMPUTED_VALUE"""),"Crocs_Republic Day_1313")</f>
        <v>Crocs_Republic Day_1313</v>
      </c>
      <c r="H28" s="218" t="str">
        <f>IFERROR(__xludf.DUMMYFUNCTION("""COMPUTED_VALUE"""),"CROCS_IN_Apollo Indore_1313_23_Jan OR Crocs_Internal OR Crocs_internal_new")</f>
        <v>CROCS_IN_Apollo Indore_1313_23_Jan OR Crocs_Internal OR Crocs_internal_new</v>
      </c>
      <c r="I28" s="211" t="str">
        <f>IFERROR(__xludf.DUMMYFUNCTION("""COMPUTED_VALUE"""),"Custom upload")</f>
        <v>Custom upload</v>
      </c>
      <c r="J28" s="213">
        <f>IFERROR(__xludf.DUMMYFUNCTION("""COMPUTED_VALUE"""),36314.0)</f>
        <v>36314</v>
      </c>
      <c r="K28" s="213">
        <f>IFERROR(__xludf.DUMMYFUNCTION("""COMPUTED_VALUE"""),18879.0)</f>
        <v>18879</v>
      </c>
      <c r="L28" s="214">
        <f>IFERROR(__xludf.DUMMYFUNCTION("""COMPUTED_VALUE"""),0.5199)</f>
        <v>0.5199</v>
      </c>
      <c r="M28" s="213"/>
      <c r="N28" s="214"/>
      <c r="O28" s="213">
        <f>IFERROR(__xludf.DUMMYFUNCTION("""COMPUTED_VALUE"""),0.0)</f>
        <v>0</v>
      </c>
      <c r="P28" s="213"/>
      <c r="Q28" s="214">
        <f>IFERROR(__xludf.DUMMYFUNCTION("""COMPUTED_VALUE"""),0.0)</f>
        <v>0</v>
      </c>
      <c r="R28" s="214"/>
      <c r="S28" s="101"/>
      <c r="T28" s="218"/>
      <c r="U28" s="270"/>
      <c r="V28" s="101" t="str">
        <f>IFERROR(__xludf.DUMMYFUNCTION("""COMPUTED_VALUE"""),"offline")</f>
        <v>offline</v>
      </c>
      <c r="W28" s="101" t="str">
        <f>IFERROR(__xludf.DUMMYFUNCTION("""COMPUTED_VALUE"""),"SMS")</f>
        <v>SMS</v>
      </c>
      <c r="X28" s="101" t="str">
        <f>IFERROR(__xludf.DUMMYFUNCTION("""COMPUTED_VALUE"""),"Custom Upload")</f>
        <v>Custom Upload</v>
      </c>
      <c r="Y28" s="101" t="str">
        <f>IFERROR(__xludf.DUMMYFUNCTION("""COMPUTED_VALUE"""),"24th-31st Jan")</f>
        <v>24th-31st Jan</v>
      </c>
      <c r="Z28" s="101" t="str">
        <f>IFERROR(__xludf.DUMMYFUNCTION("""COMPUTED_VALUE"""),"69736418f854022616f4deaa")</f>
        <v>69736418f854022616f4deaa</v>
      </c>
      <c r="AA28" s="213">
        <f>IFERROR(__xludf.DUMMYFUNCTION("""COMPUTED_VALUE"""),2.0)</f>
        <v>2</v>
      </c>
      <c r="AB28" s="213"/>
      <c r="AC28" s="213">
        <f>IFERROR(__xludf.DUMMYFUNCTION("""COMPUTED_VALUE"""),2.0)</f>
        <v>2</v>
      </c>
      <c r="AD28" s="213">
        <f>IFERROR(__xludf.DUMMYFUNCTION("""COMPUTED_VALUE"""),14280.0)</f>
        <v>14280</v>
      </c>
      <c r="AE28" s="213"/>
      <c r="AF28" s="213">
        <f>IFERROR(__xludf.DUMMYFUNCTION("""COMPUTED_VALUE"""),14280.0)</f>
        <v>14280</v>
      </c>
      <c r="AG28" s="282"/>
      <c r="AH28" s="282"/>
      <c r="AI28" s="282"/>
      <c r="AJ28" s="282"/>
      <c r="AK28" s="282"/>
      <c r="AL28" s="282"/>
      <c r="AM28" s="282"/>
      <c r="AN28" s="282"/>
      <c r="AO28" s="282"/>
      <c r="AP28" s="282"/>
      <c r="AQ28" s="282"/>
      <c r="AR28" s="282"/>
      <c r="AS28" s="282"/>
      <c r="AT28" s="282"/>
      <c r="AU28" s="282"/>
      <c r="AV28" s="282"/>
      <c r="AW28" s="282"/>
      <c r="AX28" s="282"/>
      <c r="AY28" s="282"/>
      <c r="AZ28" s="282"/>
    </row>
    <row r="29">
      <c r="A29" s="306">
        <f>IFERROR(__xludf.DUMMYFUNCTION("""COMPUTED_VALUE"""),46048.0)</f>
        <v>46048</v>
      </c>
      <c r="B29" s="210">
        <f>IFERROR(__xludf.DUMMYFUNCTION("""COMPUTED_VALUE"""),0.5208333333321207)</f>
        <v>0.5208333333</v>
      </c>
      <c r="C29" s="211" t="str">
        <f>IFERROR(__xludf.DUMMYFUNCTION("""COMPUTED_VALUE"""),"Sms")</f>
        <v>Sms</v>
      </c>
      <c r="D29" s="211" t="str">
        <f>IFERROR(__xludf.DUMMYFUNCTION("""COMPUTED_VALUE"""),"Promotional")</f>
        <v>Promotional</v>
      </c>
      <c r="E29" s="211" t="str">
        <f>IFERROR(__xludf.DUMMYFUNCTION("""COMPUTED_VALUE"""),"Crocs")</f>
        <v>Crocs</v>
      </c>
      <c r="F29" s="211" t="str">
        <f>IFERROR(__xludf.DUMMYFUNCTION("""COMPUTED_VALUE"""),"Republics Day campaign")</f>
        <v>Republics Day campaign</v>
      </c>
      <c r="G29" s="211" t="str">
        <f>IFERROR(__xludf.DUMMYFUNCTION("""COMPUTED_VALUE"""),"Crocs_Republic Day_1313_v2")</f>
        <v>Crocs_Republic Day_1313_v2</v>
      </c>
      <c r="H29" s="211" t="str">
        <f>IFERROR(__xludf.DUMMYFUNCTION("""COMPUTED_VALUE"""),"CROCS_IN_Apollo Indore_1313_23_Jan OR Crocs_Internal OR Crocs_internal_new")</f>
        <v>CROCS_IN_Apollo Indore_1313_23_Jan OR Crocs_Internal OR Crocs_internal_new</v>
      </c>
      <c r="I29" s="211" t="str">
        <f>IFERROR(__xludf.DUMMYFUNCTION("""COMPUTED_VALUE"""),"Custom upload")</f>
        <v>Custom upload</v>
      </c>
      <c r="J29" s="213">
        <f>IFERROR(__xludf.DUMMYFUNCTION("""COMPUTED_VALUE"""),36313.0)</f>
        <v>36313</v>
      </c>
      <c r="K29" s="213">
        <f>IFERROR(__xludf.DUMMYFUNCTION("""COMPUTED_VALUE"""),18900.0)</f>
        <v>18900</v>
      </c>
      <c r="L29" s="214">
        <f>IFERROR(__xludf.DUMMYFUNCTION("""COMPUTED_VALUE"""),0.5205)</f>
        <v>0.5205</v>
      </c>
      <c r="M29" s="213"/>
      <c r="N29" s="214"/>
      <c r="O29" s="213">
        <f>IFERROR(__xludf.DUMMYFUNCTION("""COMPUTED_VALUE"""),0.0)</f>
        <v>0</v>
      </c>
      <c r="P29" s="213"/>
      <c r="Q29" s="214">
        <f>IFERROR(__xludf.DUMMYFUNCTION("""COMPUTED_VALUE"""),0.0)</f>
        <v>0</v>
      </c>
      <c r="R29" s="214"/>
      <c r="S29" s="101"/>
      <c r="T29" s="101"/>
      <c r="U29" s="213"/>
      <c r="V29" s="101" t="str">
        <f>IFERROR(__xludf.DUMMYFUNCTION("""COMPUTED_VALUE"""),"offline")</f>
        <v>offline</v>
      </c>
      <c r="W29" s="101" t="str">
        <f>IFERROR(__xludf.DUMMYFUNCTION("""COMPUTED_VALUE"""),"SMS")</f>
        <v>SMS</v>
      </c>
      <c r="X29" s="101" t="str">
        <f>IFERROR(__xludf.DUMMYFUNCTION("""COMPUTED_VALUE"""),"Custom Upload")</f>
        <v>Custom Upload</v>
      </c>
      <c r="Y29" s="101" t="str">
        <f>IFERROR(__xludf.DUMMYFUNCTION("""COMPUTED_VALUE"""),"26th-31st Jan")</f>
        <v>26th-31st Jan</v>
      </c>
      <c r="Z29" s="101" t="str">
        <f>IFERROR(__xludf.DUMMYFUNCTION("""COMPUTED_VALUE"""),"69738036b016e6a750b27ad0")</f>
        <v>69738036b016e6a750b27ad0</v>
      </c>
      <c r="AA29" s="213">
        <f>IFERROR(__xludf.DUMMYFUNCTION("""COMPUTED_VALUE"""),1.0)</f>
        <v>1</v>
      </c>
      <c r="AB29" s="213"/>
      <c r="AC29" s="213">
        <f>IFERROR(__xludf.DUMMYFUNCTION("""COMPUTED_VALUE"""),1.0)</f>
        <v>1</v>
      </c>
      <c r="AD29" s="213">
        <f>IFERROR(__xludf.DUMMYFUNCTION("""COMPUTED_VALUE"""),10285.0)</f>
        <v>10285</v>
      </c>
      <c r="AE29" s="213"/>
      <c r="AF29" s="213">
        <f>IFERROR(__xludf.DUMMYFUNCTION("""COMPUTED_VALUE"""),10285.0)</f>
        <v>10285</v>
      </c>
      <c r="AG29" s="282"/>
      <c r="AH29" s="282"/>
      <c r="AI29" s="282"/>
      <c r="AJ29" s="282"/>
      <c r="AK29" s="282"/>
      <c r="AL29" s="282"/>
      <c r="AM29" s="282"/>
      <c r="AN29" s="282"/>
      <c r="AO29" s="282"/>
      <c r="AP29" s="282"/>
      <c r="AQ29" s="282"/>
      <c r="AR29" s="282"/>
      <c r="AS29" s="282"/>
      <c r="AT29" s="282"/>
      <c r="AU29" s="282"/>
      <c r="AV29" s="282"/>
      <c r="AW29" s="282"/>
      <c r="AX29" s="282"/>
      <c r="AY29" s="282"/>
      <c r="AZ29" s="282"/>
    </row>
    <row r="30">
      <c r="A30" s="306">
        <f>IFERROR(__xludf.DUMMYFUNCTION("""COMPUTED_VALUE"""),46048.0)</f>
        <v>46048</v>
      </c>
      <c r="B30" s="210">
        <f>IFERROR(__xludf.DUMMYFUNCTION("""COMPUTED_VALUE"""),0.5208333333321207)</f>
        <v>0.5208333333</v>
      </c>
      <c r="C30" s="211" t="str">
        <f>IFERROR(__xludf.DUMMYFUNCTION("""COMPUTED_VALUE"""),"Sms")</f>
        <v>Sms</v>
      </c>
      <c r="D30" s="211" t="str">
        <f>IFERROR(__xludf.DUMMYFUNCTION("""COMPUTED_VALUE"""),"Promotional")</f>
        <v>Promotional</v>
      </c>
      <c r="E30" s="211" t="str">
        <f>IFERROR(__xludf.DUMMYFUNCTION("""COMPUTED_VALUE"""),"Crocs")</f>
        <v>Crocs</v>
      </c>
      <c r="F30" s="211" t="str">
        <f>IFERROR(__xludf.DUMMYFUNCTION("""COMPUTED_VALUE"""),"Republics Day campaign")</f>
        <v>Republics Day campaign</v>
      </c>
      <c r="G30" s="211" t="str">
        <f>IFERROR(__xludf.DUMMYFUNCTION("""COMPUTED_VALUE"""),"Crocs_Republic Day_1309_v2")</f>
        <v>Crocs_Republic Day_1309_v2</v>
      </c>
      <c r="H30" s="211" t="str">
        <f>IFERROR(__xludf.DUMMYFUNCTION("""COMPUTED_VALUE"""),"CROCS_IN_Elan Epic_1309_23_Jan OR Crocs_internal_new")</f>
        <v>CROCS_IN_Elan Epic_1309_23_Jan OR Crocs_internal_new</v>
      </c>
      <c r="I30" s="211" t="str">
        <f>IFERROR(__xludf.DUMMYFUNCTION("""COMPUTED_VALUE"""),"Custom upload")</f>
        <v>Custom upload</v>
      </c>
      <c r="J30" s="213">
        <f>IFERROR(__xludf.DUMMYFUNCTION("""COMPUTED_VALUE"""),2472.0)</f>
        <v>2472</v>
      </c>
      <c r="K30" s="213">
        <f>IFERROR(__xludf.DUMMYFUNCTION("""COMPUTED_VALUE"""),981.0)</f>
        <v>981</v>
      </c>
      <c r="L30" s="214">
        <f>IFERROR(__xludf.DUMMYFUNCTION("""COMPUTED_VALUE"""),0.3968)</f>
        <v>0.3968</v>
      </c>
      <c r="M30" s="213"/>
      <c r="N30" s="214"/>
      <c r="O30" s="213">
        <f>IFERROR(__xludf.DUMMYFUNCTION("""COMPUTED_VALUE"""),0.0)</f>
        <v>0</v>
      </c>
      <c r="P30" s="213"/>
      <c r="Q30" s="214">
        <f>IFERROR(__xludf.DUMMYFUNCTION("""COMPUTED_VALUE"""),0.0)</f>
        <v>0</v>
      </c>
      <c r="R30" s="214"/>
      <c r="S30" s="101"/>
      <c r="T30" s="101"/>
      <c r="U30" s="213"/>
      <c r="V30" s="101" t="str">
        <f>IFERROR(__xludf.DUMMYFUNCTION("""COMPUTED_VALUE"""),"offline")</f>
        <v>offline</v>
      </c>
      <c r="W30" s="101" t="str">
        <f>IFERROR(__xludf.DUMMYFUNCTION("""COMPUTED_VALUE"""),"SMS")</f>
        <v>SMS</v>
      </c>
      <c r="X30" s="101" t="str">
        <f>IFERROR(__xludf.DUMMYFUNCTION("""COMPUTED_VALUE"""),"Custom Upload")</f>
        <v>Custom Upload</v>
      </c>
      <c r="Y30" s="101" t="str">
        <f>IFERROR(__xludf.DUMMYFUNCTION("""COMPUTED_VALUE"""),"26th-31st Jan")</f>
        <v>26th-31st Jan</v>
      </c>
      <c r="Z30" s="101" t="str">
        <f>IFERROR(__xludf.DUMMYFUNCTION("""COMPUTED_VALUE"""),"697380a65494eddb2d2dad2a")</f>
        <v>697380a65494eddb2d2dad2a</v>
      </c>
      <c r="AA30" s="213">
        <f>IFERROR(__xludf.DUMMYFUNCTION("""COMPUTED_VALUE"""),0.0)</f>
        <v>0</v>
      </c>
      <c r="AB30" s="213"/>
      <c r="AC30" s="213">
        <f>IFERROR(__xludf.DUMMYFUNCTION("""COMPUTED_VALUE"""),0.0)</f>
        <v>0</v>
      </c>
      <c r="AD30" s="213">
        <f>IFERROR(__xludf.DUMMYFUNCTION("""COMPUTED_VALUE"""),0.0)</f>
        <v>0</v>
      </c>
      <c r="AE30" s="213"/>
      <c r="AF30" s="213">
        <f>IFERROR(__xludf.DUMMYFUNCTION("""COMPUTED_VALUE"""),0.0)</f>
        <v>0</v>
      </c>
      <c r="AG30" s="282"/>
      <c r="AH30" s="282"/>
      <c r="AI30" s="282"/>
      <c r="AJ30" s="282"/>
      <c r="AK30" s="282"/>
      <c r="AL30" s="282"/>
      <c r="AM30" s="282"/>
      <c r="AN30" s="282"/>
      <c r="AO30" s="282"/>
      <c r="AP30" s="282"/>
      <c r="AQ30" s="282"/>
      <c r="AR30" s="282"/>
      <c r="AS30" s="282"/>
      <c r="AT30" s="282"/>
      <c r="AU30" s="282"/>
      <c r="AV30" s="282"/>
      <c r="AW30" s="282"/>
      <c r="AX30" s="282"/>
      <c r="AY30" s="282"/>
      <c r="AZ30" s="282"/>
    </row>
    <row r="31">
      <c r="A31" s="306">
        <f>IFERROR(__xludf.DUMMYFUNCTION("""COMPUTED_VALUE"""),46048.0)</f>
        <v>46048</v>
      </c>
      <c r="B31" s="210">
        <f>IFERROR(__xludf.DUMMYFUNCTION("""COMPUTED_VALUE"""),0.5208333333321207)</f>
        <v>0.5208333333</v>
      </c>
      <c r="C31" s="211" t="str">
        <f>IFERROR(__xludf.DUMMYFUNCTION("""COMPUTED_VALUE"""),"Sms")</f>
        <v>Sms</v>
      </c>
      <c r="D31" s="211" t="str">
        <f>IFERROR(__xludf.DUMMYFUNCTION("""COMPUTED_VALUE"""),"Promotional")</f>
        <v>Promotional</v>
      </c>
      <c r="E31" s="211" t="str">
        <f>IFERROR(__xludf.DUMMYFUNCTION("""COMPUTED_VALUE"""),"Crocs")</f>
        <v>Crocs</v>
      </c>
      <c r="F31" s="211" t="str">
        <f>IFERROR(__xludf.DUMMYFUNCTION("""COMPUTED_VALUE"""),"Republics Day campaign")</f>
        <v>Republics Day campaign</v>
      </c>
      <c r="G31" s="211" t="str">
        <f>IFERROR(__xludf.DUMMYFUNCTION("""COMPUTED_VALUE"""),"Crocs_Republic Day_1209_v2")</f>
        <v>Crocs_Republic Day_1209_v2</v>
      </c>
      <c r="H31" s="211" t="str">
        <f>IFERROR(__xludf.DUMMYFUNCTION("""COMPUTED_VALUE"""),"CROCS_IN_Akshardham_3017_23_Jan OR Akshardham_Staff OR Crocs_internal_new")</f>
        <v>CROCS_IN_Akshardham_3017_23_Jan OR Akshardham_Staff OR Crocs_internal_new</v>
      </c>
      <c r="I31" s="211" t="str">
        <f>IFERROR(__xludf.DUMMYFUNCTION("""COMPUTED_VALUE"""),"Custom upload")</f>
        <v>Custom upload</v>
      </c>
      <c r="J31" s="213">
        <f>IFERROR(__xludf.DUMMYFUNCTION("""COMPUTED_VALUE"""),3956.0)</f>
        <v>3956</v>
      </c>
      <c r="K31" s="213">
        <f>IFERROR(__xludf.DUMMYFUNCTION("""COMPUTED_VALUE"""),2146.0)</f>
        <v>2146</v>
      </c>
      <c r="L31" s="214">
        <f>IFERROR(__xludf.DUMMYFUNCTION("""COMPUTED_VALUE"""),0.5425)</f>
        <v>0.5425</v>
      </c>
      <c r="M31" s="213"/>
      <c r="N31" s="214"/>
      <c r="O31" s="213">
        <f>IFERROR(__xludf.DUMMYFUNCTION("""COMPUTED_VALUE"""),0.0)</f>
        <v>0</v>
      </c>
      <c r="P31" s="213"/>
      <c r="Q31" s="214">
        <f>IFERROR(__xludf.DUMMYFUNCTION("""COMPUTED_VALUE"""),0.0)</f>
        <v>0</v>
      </c>
      <c r="R31" s="214"/>
      <c r="S31" s="101"/>
      <c r="T31" s="101"/>
      <c r="U31" s="213"/>
      <c r="V31" s="101" t="str">
        <f>IFERROR(__xludf.DUMMYFUNCTION("""COMPUTED_VALUE"""),"offline")</f>
        <v>offline</v>
      </c>
      <c r="W31" s="101" t="str">
        <f>IFERROR(__xludf.DUMMYFUNCTION("""COMPUTED_VALUE"""),"SMS")</f>
        <v>SMS</v>
      </c>
      <c r="X31" s="101" t="str">
        <f>IFERROR(__xludf.DUMMYFUNCTION("""COMPUTED_VALUE"""),"Custom Upload")</f>
        <v>Custom Upload</v>
      </c>
      <c r="Y31" s="101" t="str">
        <f>IFERROR(__xludf.DUMMYFUNCTION("""COMPUTED_VALUE"""),"26th-31st Jan")</f>
        <v>26th-31st Jan</v>
      </c>
      <c r="Z31" s="101" t="str">
        <f>IFERROR(__xludf.DUMMYFUNCTION("""COMPUTED_VALUE"""),"6973813361d83f563919d9ff")</f>
        <v>6973813361d83f563919d9ff</v>
      </c>
      <c r="AA31" s="213">
        <f>IFERROR(__xludf.DUMMYFUNCTION("""COMPUTED_VALUE"""),3.0)</f>
        <v>3</v>
      </c>
      <c r="AB31" s="213"/>
      <c r="AC31" s="213">
        <f>IFERROR(__xludf.DUMMYFUNCTION("""COMPUTED_VALUE"""),3.0)</f>
        <v>3</v>
      </c>
      <c r="AD31" s="213">
        <f>IFERROR(__xludf.DUMMYFUNCTION("""COMPUTED_VALUE"""),10786.0)</f>
        <v>10786</v>
      </c>
      <c r="AE31" s="213"/>
      <c r="AF31" s="213">
        <f>IFERROR(__xludf.DUMMYFUNCTION("""COMPUTED_VALUE"""),10786.0)</f>
        <v>10786</v>
      </c>
      <c r="AG31" s="282"/>
      <c r="AH31" s="282"/>
      <c r="AI31" s="282"/>
      <c r="AJ31" s="282"/>
      <c r="AK31" s="282"/>
      <c r="AL31" s="282"/>
      <c r="AM31" s="282"/>
      <c r="AN31" s="282"/>
      <c r="AO31" s="282"/>
      <c r="AP31" s="282"/>
      <c r="AQ31" s="282"/>
      <c r="AR31" s="282"/>
      <c r="AS31" s="282"/>
      <c r="AT31" s="282"/>
      <c r="AU31" s="282"/>
      <c r="AV31" s="282"/>
      <c r="AW31" s="282"/>
      <c r="AX31" s="282"/>
      <c r="AY31" s="282"/>
      <c r="AZ31" s="282"/>
    </row>
    <row r="32">
      <c r="A32" s="306">
        <f>IFERROR(__xludf.DUMMYFUNCTION("""COMPUTED_VALUE"""),46048.0)</f>
        <v>46048</v>
      </c>
      <c r="B32" s="210">
        <f>IFERROR(__xludf.DUMMYFUNCTION("""COMPUTED_VALUE"""),0.5208333333321207)</f>
        <v>0.5208333333</v>
      </c>
      <c r="C32" s="210" t="str">
        <f>IFERROR(__xludf.DUMMYFUNCTION("""COMPUTED_VALUE"""),"Sms")</f>
        <v>Sms</v>
      </c>
      <c r="D32" s="210" t="str">
        <f>IFERROR(__xludf.DUMMYFUNCTION("""COMPUTED_VALUE"""),"Promotional")</f>
        <v>Promotional</v>
      </c>
      <c r="E32" s="210" t="str">
        <f>IFERROR(__xludf.DUMMYFUNCTION("""COMPUTED_VALUE"""),"Crocs")</f>
        <v>Crocs</v>
      </c>
      <c r="F32" s="210" t="str">
        <f>IFERROR(__xludf.DUMMYFUNCTION("""COMPUTED_VALUE"""),"Republics Day campaign")</f>
        <v>Republics Day campaign</v>
      </c>
      <c r="G32" s="210" t="str">
        <f>IFERROR(__xludf.DUMMYFUNCTION("""COMPUTED_VALUE"""),"Crocs_Republic Day_1203_v2")</f>
        <v>Crocs_Republic Day_1203_v2</v>
      </c>
      <c r="H32" s="211" t="str">
        <f>IFERROR(__xludf.DUMMYFUNCTION("""COMPUTED_VALUE"""),"CROCS_IN_MallOfFaridabad_3001_23_Jan OR Mall Of Faridabad_Staff OR Crocs_internal_new")</f>
        <v>CROCS_IN_MallOfFaridabad_3001_23_Jan OR Mall Of Faridabad_Staff OR Crocs_internal_new</v>
      </c>
      <c r="I32" s="211" t="str">
        <f>IFERROR(__xludf.DUMMYFUNCTION("""COMPUTED_VALUE"""),"Custom upload")</f>
        <v>Custom upload</v>
      </c>
      <c r="J32" s="213">
        <f>IFERROR(__xludf.DUMMYFUNCTION("""COMPUTED_VALUE"""),8440.0)</f>
        <v>8440</v>
      </c>
      <c r="K32" s="213">
        <f>IFERROR(__xludf.DUMMYFUNCTION("""COMPUTED_VALUE"""),4471.0)</f>
        <v>4471</v>
      </c>
      <c r="L32" s="214">
        <f>IFERROR(__xludf.DUMMYFUNCTION("""COMPUTED_VALUE"""),0.5297)</f>
        <v>0.5297</v>
      </c>
      <c r="M32" s="213"/>
      <c r="N32" s="214"/>
      <c r="O32" s="213">
        <f>IFERROR(__xludf.DUMMYFUNCTION("""COMPUTED_VALUE"""),0.0)</f>
        <v>0</v>
      </c>
      <c r="P32" s="213"/>
      <c r="Q32" s="214">
        <f>IFERROR(__xludf.DUMMYFUNCTION("""COMPUTED_VALUE"""),0.0)</f>
        <v>0</v>
      </c>
      <c r="R32" s="214"/>
      <c r="S32" s="101"/>
      <c r="T32" s="101"/>
      <c r="U32" s="213"/>
      <c r="V32" s="101" t="str">
        <f>IFERROR(__xludf.DUMMYFUNCTION("""COMPUTED_VALUE"""),"offline")</f>
        <v>offline</v>
      </c>
      <c r="W32" s="101" t="str">
        <f>IFERROR(__xludf.DUMMYFUNCTION("""COMPUTED_VALUE"""),"SMS")</f>
        <v>SMS</v>
      </c>
      <c r="X32" s="101" t="str">
        <f>IFERROR(__xludf.DUMMYFUNCTION("""COMPUTED_VALUE"""),"Custom Upload")</f>
        <v>Custom Upload</v>
      </c>
      <c r="Y32" s="101" t="str">
        <f>IFERROR(__xludf.DUMMYFUNCTION("""COMPUTED_VALUE"""),"26th-31st Jan")</f>
        <v>26th-31st Jan</v>
      </c>
      <c r="Z32" s="101" t="str">
        <f>IFERROR(__xludf.DUMMYFUNCTION("""COMPUTED_VALUE"""),"697382b1ab6fea43009c9108")</f>
        <v>697382b1ab6fea43009c9108</v>
      </c>
      <c r="AA32" s="213">
        <f>IFERROR(__xludf.DUMMYFUNCTION("""COMPUTED_VALUE"""),5.0)</f>
        <v>5</v>
      </c>
      <c r="AB32" s="213"/>
      <c r="AC32" s="213">
        <f>IFERROR(__xludf.DUMMYFUNCTION("""COMPUTED_VALUE"""),5.0)</f>
        <v>5</v>
      </c>
      <c r="AD32" s="213">
        <f>IFERROR(__xludf.DUMMYFUNCTION("""COMPUTED_VALUE"""),31311.0)</f>
        <v>31311</v>
      </c>
      <c r="AE32" s="213"/>
      <c r="AF32" s="213">
        <f>IFERROR(__xludf.DUMMYFUNCTION("""COMPUTED_VALUE"""),31311.0)</f>
        <v>31311</v>
      </c>
      <c r="AG32" s="282"/>
      <c r="AH32" s="282"/>
      <c r="AI32" s="282"/>
      <c r="AJ32" s="282"/>
      <c r="AK32" s="282"/>
      <c r="AL32" s="282"/>
      <c r="AM32" s="282"/>
      <c r="AN32" s="282"/>
      <c r="AO32" s="282"/>
      <c r="AP32" s="282"/>
      <c r="AQ32" s="282"/>
      <c r="AR32" s="282"/>
      <c r="AS32" s="282"/>
      <c r="AT32" s="282"/>
      <c r="AU32" s="282"/>
      <c r="AV32" s="282"/>
      <c r="AW32" s="282"/>
      <c r="AX32" s="282"/>
      <c r="AY32" s="282"/>
      <c r="AZ32" s="282"/>
    </row>
    <row r="33">
      <c r="A33" s="306">
        <f>IFERROR(__xludf.DUMMYFUNCTION("""COMPUTED_VALUE"""),46048.0)</f>
        <v>46048</v>
      </c>
      <c r="B33" s="210">
        <f>IFERROR(__xludf.DUMMYFUNCTION("""COMPUTED_VALUE"""),0.5208333333321207)</f>
        <v>0.5208333333</v>
      </c>
      <c r="C33" s="210" t="str">
        <f>IFERROR(__xludf.DUMMYFUNCTION("""COMPUTED_VALUE"""),"Sms")</f>
        <v>Sms</v>
      </c>
      <c r="D33" s="210" t="str">
        <f>IFERROR(__xludf.DUMMYFUNCTION("""COMPUTED_VALUE"""),"Promotional")</f>
        <v>Promotional</v>
      </c>
      <c r="E33" s="210" t="str">
        <f>IFERROR(__xludf.DUMMYFUNCTION("""COMPUTED_VALUE"""),"Crocs")</f>
        <v>Crocs</v>
      </c>
      <c r="F33" s="210" t="str">
        <f>IFERROR(__xludf.DUMMYFUNCTION("""COMPUTED_VALUE"""),"Republics Day campaign")</f>
        <v>Republics Day campaign</v>
      </c>
      <c r="G33" s="210" t="str">
        <f>IFERROR(__xludf.DUMMYFUNCTION("""COMPUTED_VALUE"""),"Crocs_Republic Day_1204_v2")</f>
        <v>Crocs_Republic Day_1204_v2</v>
      </c>
      <c r="H33" s="211" t="str">
        <f>IFERROR(__xludf.DUMMYFUNCTION("""COMPUTED_VALUE"""),"CROCS_IN_ModelTownLudhiana_3002_23_Jan OR Modeltown Ludhiana_Staff OR Crocs_internal_new")</f>
        <v>CROCS_IN_ModelTownLudhiana_3002_23_Jan OR Modeltown Ludhiana_Staff OR Crocs_internal_new</v>
      </c>
      <c r="I33" s="211" t="str">
        <f>IFERROR(__xludf.DUMMYFUNCTION("""COMPUTED_VALUE"""),"Custom upload")</f>
        <v>Custom upload</v>
      </c>
      <c r="J33" s="213">
        <f>IFERROR(__xludf.DUMMYFUNCTION("""COMPUTED_VALUE"""),33127.0)</f>
        <v>33127</v>
      </c>
      <c r="K33" s="213">
        <f>IFERROR(__xludf.DUMMYFUNCTION("""COMPUTED_VALUE"""),18129.0)</f>
        <v>18129</v>
      </c>
      <c r="L33" s="214">
        <f>IFERROR(__xludf.DUMMYFUNCTION("""COMPUTED_VALUE"""),0.5473)</f>
        <v>0.5473</v>
      </c>
      <c r="M33" s="213"/>
      <c r="N33" s="214"/>
      <c r="O33" s="213">
        <f>IFERROR(__xludf.DUMMYFUNCTION("""COMPUTED_VALUE"""),0.0)</f>
        <v>0</v>
      </c>
      <c r="P33" s="213"/>
      <c r="Q33" s="214">
        <f>IFERROR(__xludf.DUMMYFUNCTION("""COMPUTED_VALUE"""),0.0)</f>
        <v>0</v>
      </c>
      <c r="R33" s="214"/>
      <c r="S33" s="101"/>
      <c r="T33" s="101"/>
      <c r="U33" s="213"/>
      <c r="V33" s="101" t="str">
        <f>IFERROR(__xludf.DUMMYFUNCTION("""COMPUTED_VALUE"""),"offline")</f>
        <v>offline</v>
      </c>
      <c r="W33" s="101" t="str">
        <f>IFERROR(__xludf.DUMMYFUNCTION("""COMPUTED_VALUE"""),"SMS")</f>
        <v>SMS</v>
      </c>
      <c r="X33" s="101" t="str">
        <f>IFERROR(__xludf.DUMMYFUNCTION("""COMPUTED_VALUE"""),"Custom Upload")</f>
        <v>Custom Upload</v>
      </c>
      <c r="Y33" s="101" t="str">
        <f>IFERROR(__xludf.DUMMYFUNCTION("""COMPUTED_VALUE"""),"26th-31st Jan")</f>
        <v>26th-31st Jan</v>
      </c>
      <c r="Z33" s="101" t="str">
        <f>IFERROR(__xludf.DUMMYFUNCTION("""COMPUTED_VALUE"""),"697383d9b54cad07fd06acae")</f>
        <v>697383d9b54cad07fd06acae</v>
      </c>
      <c r="AA33" s="213">
        <f>IFERROR(__xludf.DUMMYFUNCTION("""COMPUTED_VALUE"""),8.0)</f>
        <v>8</v>
      </c>
      <c r="AB33" s="213"/>
      <c r="AC33" s="213">
        <f>IFERROR(__xludf.DUMMYFUNCTION("""COMPUTED_VALUE"""),8.0)</f>
        <v>8</v>
      </c>
      <c r="AD33" s="213">
        <f>IFERROR(__xludf.DUMMYFUNCTION("""COMPUTED_VALUE"""),38954.0)</f>
        <v>38954</v>
      </c>
      <c r="AE33" s="213"/>
      <c r="AF33" s="213">
        <f>IFERROR(__xludf.DUMMYFUNCTION("""COMPUTED_VALUE"""),38954.0)</f>
        <v>38954</v>
      </c>
      <c r="AG33" s="282"/>
      <c r="AH33" s="282"/>
      <c r="AI33" s="282"/>
      <c r="AJ33" s="282"/>
      <c r="AK33" s="282"/>
      <c r="AL33" s="282"/>
      <c r="AM33" s="282"/>
      <c r="AN33" s="282"/>
      <c r="AO33" s="282"/>
      <c r="AP33" s="282"/>
      <c r="AQ33" s="282"/>
      <c r="AR33" s="282"/>
      <c r="AS33" s="282"/>
      <c r="AT33" s="282"/>
      <c r="AU33" s="282"/>
      <c r="AV33" s="282"/>
      <c r="AW33" s="282"/>
      <c r="AX33" s="282"/>
      <c r="AY33" s="282"/>
      <c r="AZ33" s="282"/>
    </row>
    <row r="34">
      <c r="A34" s="306">
        <f>IFERROR(__xludf.DUMMYFUNCTION("""COMPUTED_VALUE"""),46048.0)</f>
        <v>46048</v>
      </c>
      <c r="B34" s="210">
        <f>IFERROR(__xludf.DUMMYFUNCTION("""COMPUTED_VALUE"""),0.5208333333321207)</f>
        <v>0.5208333333</v>
      </c>
      <c r="C34" s="210" t="str">
        <f>IFERROR(__xludf.DUMMYFUNCTION("""COMPUTED_VALUE"""),"Sms")</f>
        <v>Sms</v>
      </c>
      <c r="D34" s="210" t="str">
        <f>IFERROR(__xludf.DUMMYFUNCTION("""COMPUTED_VALUE"""),"Promotional")</f>
        <v>Promotional</v>
      </c>
      <c r="E34" s="210" t="str">
        <f>IFERROR(__xludf.DUMMYFUNCTION("""COMPUTED_VALUE"""),"Crocs")</f>
        <v>Crocs</v>
      </c>
      <c r="F34" s="210" t="str">
        <f>IFERROR(__xludf.DUMMYFUNCTION("""COMPUTED_VALUE"""),"Republics Day campaign")</f>
        <v>Republics Day campaign</v>
      </c>
      <c r="G34" s="210" t="str">
        <f>IFERROR(__xludf.DUMMYFUNCTION("""COMPUTED_VALUE"""),"Crocs_Republic Day_1205_v2")</f>
        <v>Crocs_Republic Day_1205_v2</v>
      </c>
      <c r="H34" s="211" t="str">
        <f>IFERROR(__xludf.DUMMYFUNCTION("""COMPUTED_VALUE"""),"CROCS_IN_IHCGhaziabad_3003_23_Jan OR IHC Ghaziabad_Staff OR Crocs_internal_new")</f>
        <v>CROCS_IN_IHCGhaziabad_3003_23_Jan OR IHC Ghaziabad_Staff OR Crocs_internal_new</v>
      </c>
      <c r="I34" s="211" t="str">
        <f>IFERROR(__xludf.DUMMYFUNCTION("""COMPUTED_VALUE"""),"Custom upload")</f>
        <v>Custom upload</v>
      </c>
      <c r="J34" s="213">
        <f>IFERROR(__xludf.DUMMYFUNCTION("""COMPUTED_VALUE"""),7179.0)</f>
        <v>7179</v>
      </c>
      <c r="K34" s="213">
        <f>IFERROR(__xludf.DUMMYFUNCTION("""COMPUTED_VALUE"""),3963.0)</f>
        <v>3963</v>
      </c>
      <c r="L34" s="214">
        <f>IFERROR(__xludf.DUMMYFUNCTION("""COMPUTED_VALUE"""),0.552)</f>
        <v>0.552</v>
      </c>
      <c r="M34" s="213"/>
      <c r="N34" s="214"/>
      <c r="O34" s="213">
        <f>IFERROR(__xludf.DUMMYFUNCTION("""COMPUTED_VALUE"""),0.0)</f>
        <v>0</v>
      </c>
      <c r="P34" s="213"/>
      <c r="Q34" s="214">
        <f>IFERROR(__xludf.DUMMYFUNCTION("""COMPUTED_VALUE"""),0.0)</f>
        <v>0</v>
      </c>
      <c r="R34" s="214"/>
      <c r="S34" s="101"/>
      <c r="T34" s="101"/>
      <c r="U34" s="213"/>
      <c r="V34" s="101" t="str">
        <f>IFERROR(__xludf.DUMMYFUNCTION("""COMPUTED_VALUE"""),"offline")</f>
        <v>offline</v>
      </c>
      <c r="W34" s="101" t="str">
        <f>IFERROR(__xludf.DUMMYFUNCTION("""COMPUTED_VALUE"""),"SMS")</f>
        <v>SMS</v>
      </c>
      <c r="X34" s="101" t="str">
        <f>IFERROR(__xludf.DUMMYFUNCTION("""COMPUTED_VALUE"""),"Custom Upload")</f>
        <v>Custom Upload</v>
      </c>
      <c r="Y34" s="101" t="str">
        <f>IFERROR(__xludf.DUMMYFUNCTION("""COMPUTED_VALUE"""),"26th-31st Jan")</f>
        <v>26th-31st Jan</v>
      </c>
      <c r="Z34" s="101" t="str">
        <f>IFERROR(__xludf.DUMMYFUNCTION("""COMPUTED_VALUE"""),"6973849c5339fc38b44ed6b4")</f>
        <v>6973849c5339fc38b44ed6b4</v>
      </c>
      <c r="AA34" s="213">
        <f>IFERROR(__xludf.DUMMYFUNCTION("""COMPUTED_VALUE"""),6.0)</f>
        <v>6</v>
      </c>
      <c r="AB34" s="213"/>
      <c r="AC34" s="213">
        <f>IFERROR(__xludf.DUMMYFUNCTION("""COMPUTED_VALUE"""),6.0)</f>
        <v>6</v>
      </c>
      <c r="AD34" s="213">
        <f>IFERROR(__xludf.DUMMYFUNCTION("""COMPUTED_VALUE"""),32373.0)</f>
        <v>32373</v>
      </c>
      <c r="AE34" s="213"/>
      <c r="AF34" s="213">
        <f>IFERROR(__xludf.DUMMYFUNCTION("""COMPUTED_VALUE"""),32373.0)</f>
        <v>32373</v>
      </c>
      <c r="AG34" s="282"/>
      <c r="AH34" s="282"/>
      <c r="AI34" s="282"/>
      <c r="AJ34" s="282"/>
      <c r="AK34" s="282"/>
      <c r="AL34" s="282"/>
      <c r="AM34" s="282"/>
      <c r="AN34" s="282"/>
      <c r="AO34" s="282"/>
      <c r="AP34" s="282"/>
      <c r="AQ34" s="282"/>
      <c r="AR34" s="282"/>
      <c r="AS34" s="282"/>
      <c r="AT34" s="282"/>
      <c r="AU34" s="282"/>
      <c r="AV34" s="282"/>
      <c r="AW34" s="282"/>
      <c r="AX34" s="282"/>
      <c r="AY34" s="282"/>
      <c r="AZ34" s="282"/>
    </row>
    <row r="35">
      <c r="A35" s="306">
        <f>IFERROR(__xludf.DUMMYFUNCTION("""COMPUTED_VALUE"""),46048.0)</f>
        <v>46048</v>
      </c>
      <c r="B35" s="210">
        <f>IFERROR(__xludf.DUMMYFUNCTION("""COMPUTED_VALUE"""),0.5208333333321207)</f>
        <v>0.5208333333</v>
      </c>
      <c r="C35" s="210" t="str">
        <f>IFERROR(__xludf.DUMMYFUNCTION("""COMPUTED_VALUE"""),"Sms")</f>
        <v>Sms</v>
      </c>
      <c r="D35" s="210" t="str">
        <f>IFERROR(__xludf.DUMMYFUNCTION("""COMPUTED_VALUE"""),"Promotional")</f>
        <v>Promotional</v>
      </c>
      <c r="E35" s="210" t="str">
        <f>IFERROR(__xludf.DUMMYFUNCTION("""COMPUTED_VALUE"""),"Crocs")</f>
        <v>Crocs</v>
      </c>
      <c r="F35" s="210" t="str">
        <f>IFERROR(__xludf.DUMMYFUNCTION("""COMPUTED_VALUE"""),"Republics Day campaign")</f>
        <v>Republics Day campaign</v>
      </c>
      <c r="G35" s="210" t="str">
        <f>IFERROR(__xludf.DUMMYFUNCTION("""COMPUTED_VALUE"""),"Crocs_Republic Day_1307_v2")</f>
        <v>Crocs_Republic Day_1307_v2</v>
      </c>
      <c r="H35" s="211" t="str">
        <f>IFERROR(__xludf.DUMMYFUNCTION("""COMPUTED_VALUE"""),"Crocs_Lajpat_Final OR Crocs_Lajpat_Nagar_Event_16thJan OR Crocs_internal_new")</f>
        <v>Crocs_Lajpat_Final OR Crocs_Lajpat_Nagar_Event_16thJan OR Crocs_internal_new</v>
      </c>
      <c r="I35" s="211" t="str">
        <f>IFERROR(__xludf.DUMMYFUNCTION("""COMPUTED_VALUE"""),"Custom upload")</f>
        <v>Custom upload</v>
      </c>
      <c r="J35" s="213">
        <f>IFERROR(__xludf.DUMMYFUNCTION("""COMPUTED_VALUE"""),160.0)</f>
        <v>160</v>
      </c>
      <c r="K35" s="213">
        <f>IFERROR(__xludf.DUMMYFUNCTION("""COMPUTED_VALUE"""),79.0)</f>
        <v>79</v>
      </c>
      <c r="L35" s="214">
        <f>IFERROR(__xludf.DUMMYFUNCTION("""COMPUTED_VALUE"""),0.4938)</f>
        <v>0.4938</v>
      </c>
      <c r="M35" s="213"/>
      <c r="N35" s="214"/>
      <c r="O35" s="213">
        <f>IFERROR(__xludf.DUMMYFUNCTION("""COMPUTED_VALUE"""),0.0)</f>
        <v>0</v>
      </c>
      <c r="P35" s="213"/>
      <c r="Q35" s="214">
        <f>IFERROR(__xludf.DUMMYFUNCTION("""COMPUTED_VALUE"""),0.0)</f>
        <v>0</v>
      </c>
      <c r="R35" s="214"/>
      <c r="S35" s="101"/>
      <c r="T35" s="101"/>
      <c r="U35" s="213"/>
      <c r="V35" s="101" t="str">
        <f>IFERROR(__xludf.DUMMYFUNCTION("""COMPUTED_VALUE"""),"offline")</f>
        <v>offline</v>
      </c>
      <c r="W35" s="101" t="str">
        <f>IFERROR(__xludf.DUMMYFUNCTION("""COMPUTED_VALUE"""),"SMS")</f>
        <v>SMS</v>
      </c>
      <c r="X35" s="101" t="str">
        <f>IFERROR(__xludf.DUMMYFUNCTION("""COMPUTED_VALUE"""),"Custom Upload")</f>
        <v>Custom Upload</v>
      </c>
      <c r="Y35" s="101" t="str">
        <f>IFERROR(__xludf.DUMMYFUNCTION("""COMPUTED_VALUE"""),"26th-31st Jan")</f>
        <v>26th-31st Jan</v>
      </c>
      <c r="Z35" s="101" t="str">
        <f>IFERROR(__xludf.DUMMYFUNCTION("""COMPUTED_VALUE"""),"697384bfd749ef59f8777fef")</f>
        <v>697384bfd749ef59f8777fef</v>
      </c>
      <c r="AA35" s="213">
        <f>IFERROR(__xludf.DUMMYFUNCTION("""COMPUTED_VALUE"""),0.0)</f>
        <v>0</v>
      </c>
      <c r="AB35" s="213"/>
      <c r="AC35" s="213">
        <f>IFERROR(__xludf.DUMMYFUNCTION("""COMPUTED_VALUE"""),0.0)</f>
        <v>0</v>
      </c>
      <c r="AD35" s="213">
        <f>IFERROR(__xludf.DUMMYFUNCTION("""COMPUTED_VALUE"""),0.0)</f>
        <v>0</v>
      </c>
      <c r="AE35" s="213"/>
      <c r="AF35" s="213">
        <f>IFERROR(__xludf.DUMMYFUNCTION("""COMPUTED_VALUE"""),0.0)</f>
        <v>0</v>
      </c>
      <c r="AG35" s="282"/>
      <c r="AH35" s="282"/>
      <c r="AI35" s="282"/>
      <c r="AJ35" s="282"/>
      <c r="AK35" s="282"/>
      <c r="AL35" s="282"/>
      <c r="AM35" s="282"/>
      <c r="AN35" s="282"/>
      <c r="AO35" s="282"/>
      <c r="AP35" s="282"/>
      <c r="AQ35" s="282"/>
      <c r="AR35" s="282"/>
      <c r="AS35" s="282"/>
      <c r="AT35" s="282"/>
      <c r="AU35" s="282"/>
      <c r="AV35" s="282"/>
      <c r="AW35" s="282"/>
      <c r="AX35" s="282"/>
      <c r="AY35" s="282"/>
      <c r="AZ35" s="282"/>
    </row>
    <row r="36">
      <c r="A36" s="306">
        <f>IFERROR(__xludf.DUMMYFUNCTION("""COMPUTED_VALUE"""),46048.0)</f>
        <v>46048</v>
      </c>
      <c r="B36" s="210">
        <f>IFERROR(__xludf.DUMMYFUNCTION("""COMPUTED_VALUE"""),0.5208333333321207)</f>
        <v>0.5208333333</v>
      </c>
      <c r="C36" s="210" t="str">
        <f>IFERROR(__xludf.DUMMYFUNCTION("""COMPUTED_VALUE"""),"Sms")</f>
        <v>Sms</v>
      </c>
      <c r="D36" s="210" t="str">
        <f>IFERROR(__xludf.DUMMYFUNCTION("""COMPUTED_VALUE"""),"Promotional")</f>
        <v>Promotional</v>
      </c>
      <c r="E36" s="210" t="str">
        <f>IFERROR(__xludf.DUMMYFUNCTION("""COMPUTED_VALUE"""),"Crocs")</f>
        <v>Crocs</v>
      </c>
      <c r="F36" s="210" t="str">
        <f>IFERROR(__xludf.DUMMYFUNCTION("""COMPUTED_VALUE"""),"Republics Day campaign")</f>
        <v>Republics Day campaign</v>
      </c>
      <c r="G36" s="210" t="str">
        <f>IFERROR(__xludf.DUMMYFUNCTION("""COMPUTED_VALUE"""),"Crocs_Republic Day_1311_v2")</f>
        <v>Crocs_Republic Day_1311_v2</v>
      </c>
      <c r="H36" s="211" t="str">
        <f>IFERROR(__xludf.DUMMYFUNCTION("""COMPUTED_VALUE"""),"CROCS_IN_Ambience Mall Gurgaon_1311_23_Jan OR Crocs_internal_new")</f>
        <v>CROCS_IN_Ambience Mall Gurgaon_1311_23_Jan OR Crocs_internal_new</v>
      </c>
      <c r="I36" s="211" t="str">
        <f>IFERROR(__xludf.DUMMYFUNCTION("""COMPUTED_VALUE"""),"Custom upload")</f>
        <v>Custom upload</v>
      </c>
      <c r="J36" s="213">
        <f>IFERROR(__xludf.DUMMYFUNCTION("""COMPUTED_VALUE"""),120.0)</f>
        <v>120</v>
      </c>
      <c r="K36" s="213">
        <f>IFERROR(__xludf.DUMMYFUNCTION("""COMPUTED_VALUE"""),61.0)</f>
        <v>61</v>
      </c>
      <c r="L36" s="214">
        <f>IFERROR(__xludf.DUMMYFUNCTION("""COMPUTED_VALUE"""),0.5083)</f>
        <v>0.5083</v>
      </c>
      <c r="M36" s="213"/>
      <c r="N36" s="214"/>
      <c r="O36" s="213">
        <f>IFERROR(__xludf.DUMMYFUNCTION("""COMPUTED_VALUE"""),0.0)</f>
        <v>0</v>
      </c>
      <c r="P36" s="213"/>
      <c r="Q36" s="214">
        <f>IFERROR(__xludf.DUMMYFUNCTION("""COMPUTED_VALUE"""),0.0)</f>
        <v>0</v>
      </c>
      <c r="R36" s="214"/>
      <c r="S36" s="101"/>
      <c r="T36" s="101"/>
      <c r="U36" s="213"/>
      <c r="V36" s="101" t="str">
        <f>IFERROR(__xludf.DUMMYFUNCTION("""COMPUTED_VALUE"""),"offline")</f>
        <v>offline</v>
      </c>
      <c r="W36" s="101" t="str">
        <f>IFERROR(__xludf.DUMMYFUNCTION("""COMPUTED_VALUE"""),"SMS")</f>
        <v>SMS</v>
      </c>
      <c r="X36" s="101" t="str">
        <f>IFERROR(__xludf.DUMMYFUNCTION("""COMPUTED_VALUE"""),"Custom Upload")</f>
        <v>Custom Upload</v>
      </c>
      <c r="Y36" s="101" t="str">
        <f>IFERROR(__xludf.DUMMYFUNCTION("""COMPUTED_VALUE"""),"26th-31st Jan")</f>
        <v>26th-31st Jan</v>
      </c>
      <c r="Z36" s="101" t="str">
        <f>IFERROR(__xludf.DUMMYFUNCTION("""COMPUTED_VALUE"""),"69738538759270cb4dbebe66")</f>
        <v>69738538759270cb4dbebe66</v>
      </c>
      <c r="AA36" s="213">
        <f>IFERROR(__xludf.DUMMYFUNCTION("""COMPUTED_VALUE"""),0.0)</f>
        <v>0</v>
      </c>
      <c r="AB36" s="213"/>
      <c r="AC36" s="213">
        <f>IFERROR(__xludf.DUMMYFUNCTION("""COMPUTED_VALUE"""),0.0)</f>
        <v>0</v>
      </c>
      <c r="AD36" s="213">
        <f>IFERROR(__xludf.DUMMYFUNCTION("""COMPUTED_VALUE"""),0.0)</f>
        <v>0</v>
      </c>
      <c r="AE36" s="213"/>
      <c r="AF36" s="213">
        <f>IFERROR(__xludf.DUMMYFUNCTION("""COMPUTED_VALUE"""),0.0)</f>
        <v>0</v>
      </c>
      <c r="AG36" s="282"/>
      <c r="AH36" s="282"/>
      <c r="AI36" s="282"/>
      <c r="AJ36" s="282"/>
      <c r="AK36" s="282"/>
      <c r="AL36" s="282"/>
      <c r="AM36" s="282"/>
      <c r="AN36" s="282"/>
      <c r="AO36" s="282"/>
      <c r="AP36" s="282"/>
      <c r="AQ36" s="282"/>
      <c r="AR36" s="282"/>
      <c r="AS36" s="282"/>
      <c r="AT36" s="282"/>
      <c r="AU36" s="282"/>
      <c r="AV36" s="282"/>
      <c r="AW36" s="282"/>
      <c r="AX36" s="282"/>
      <c r="AY36" s="282"/>
      <c r="AZ36" s="282"/>
    </row>
    <row r="37">
      <c r="A37" s="306">
        <f>IFERROR(__xludf.DUMMYFUNCTION("""COMPUTED_VALUE"""),46048.0)</f>
        <v>46048</v>
      </c>
      <c r="B37" s="210">
        <f>IFERROR(__xludf.DUMMYFUNCTION("""COMPUTED_VALUE"""),0.5208333333321207)</f>
        <v>0.5208333333</v>
      </c>
      <c r="C37" s="210" t="str">
        <f>IFERROR(__xludf.DUMMYFUNCTION("""COMPUTED_VALUE"""),"Sms")</f>
        <v>Sms</v>
      </c>
      <c r="D37" s="210" t="str">
        <f>IFERROR(__xludf.DUMMYFUNCTION("""COMPUTED_VALUE"""),"Promotional")</f>
        <v>Promotional</v>
      </c>
      <c r="E37" s="210" t="str">
        <f>IFERROR(__xludf.DUMMYFUNCTION("""COMPUTED_VALUE"""),"Crocs")</f>
        <v>Crocs</v>
      </c>
      <c r="F37" s="210" t="str">
        <f>IFERROR(__xludf.DUMMYFUNCTION("""COMPUTED_VALUE"""),"Republics Day campaign")</f>
        <v>Republics Day campaign</v>
      </c>
      <c r="G37" s="210" t="str">
        <f>IFERROR(__xludf.DUMMYFUNCTION("""COMPUTED_VALUE"""),"Crocs_Republic Day_1207_v2")</f>
        <v>Crocs_Republic Day_1207_v2</v>
      </c>
      <c r="H37" s="211" t="str">
        <f>IFERROR(__xludf.DUMMYFUNCTION("""COMPUTED_VALUE"""),"CROCS_IN_MallOfRanchi_3010_23_Jan OR Mall Of Ranchi_Staff OR Crocs_internal_new")</f>
        <v>CROCS_IN_MallOfRanchi_3010_23_Jan OR Mall Of Ranchi_Staff OR Crocs_internal_new</v>
      </c>
      <c r="I37" s="211" t="str">
        <f>IFERROR(__xludf.DUMMYFUNCTION("""COMPUTED_VALUE"""),"Custom upload")</f>
        <v>Custom upload</v>
      </c>
      <c r="J37" s="213">
        <f>IFERROR(__xludf.DUMMYFUNCTION("""COMPUTED_VALUE"""),4447.0)</f>
        <v>4447</v>
      </c>
      <c r="K37" s="213">
        <f>IFERROR(__xludf.DUMMYFUNCTION("""COMPUTED_VALUE"""),3123.0)</f>
        <v>3123</v>
      </c>
      <c r="L37" s="214">
        <f>IFERROR(__xludf.DUMMYFUNCTION("""COMPUTED_VALUE"""),0.7023)</f>
        <v>0.7023</v>
      </c>
      <c r="M37" s="213"/>
      <c r="N37" s="214"/>
      <c r="O37" s="213">
        <f>IFERROR(__xludf.DUMMYFUNCTION("""COMPUTED_VALUE"""),0.0)</f>
        <v>0</v>
      </c>
      <c r="P37" s="213"/>
      <c r="Q37" s="214">
        <f>IFERROR(__xludf.DUMMYFUNCTION("""COMPUTED_VALUE"""),0.0)</f>
        <v>0</v>
      </c>
      <c r="R37" s="214"/>
      <c r="S37" s="101"/>
      <c r="T37" s="101"/>
      <c r="U37" s="213"/>
      <c r="V37" s="101" t="str">
        <f>IFERROR(__xludf.DUMMYFUNCTION("""COMPUTED_VALUE"""),"offline")</f>
        <v>offline</v>
      </c>
      <c r="W37" s="101" t="str">
        <f>IFERROR(__xludf.DUMMYFUNCTION("""COMPUTED_VALUE"""),"SMS")</f>
        <v>SMS</v>
      </c>
      <c r="X37" s="101" t="str">
        <f>IFERROR(__xludf.DUMMYFUNCTION("""COMPUTED_VALUE"""),"Custom Upload")</f>
        <v>Custom Upload</v>
      </c>
      <c r="Y37" s="101" t="str">
        <f>IFERROR(__xludf.DUMMYFUNCTION("""COMPUTED_VALUE"""),"26th-31st Jan")</f>
        <v>26th-31st Jan</v>
      </c>
      <c r="Z37" s="101" t="str">
        <f>IFERROR(__xludf.DUMMYFUNCTION("""COMPUTED_VALUE"""),"69738589506675b57b65f7a9")</f>
        <v>69738589506675b57b65f7a9</v>
      </c>
      <c r="AA37" s="213">
        <f>IFERROR(__xludf.DUMMYFUNCTION("""COMPUTED_VALUE"""),9.0)</f>
        <v>9</v>
      </c>
      <c r="AB37" s="213"/>
      <c r="AC37" s="213">
        <f>IFERROR(__xludf.DUMMYFUNCTION("""COMPUTED_VALUE"""),9.0)</f>
        <v>9</v>
      </c>
      <c r="AD37" s="213">
        <f>IFERROR(__xludf.DUMMYFUNCTION("""COMPUTED_VALUE"""),50494.0)</f>
        <v>50494</v>
      </c>
      <c r="AE37" s="213"/>
      <c r="AF37" s="213">
        <f>IFERROR(__xludf.DUMMYFUNCTION("""COMPUTED_VALUE"""),50494.0)</f>
        <v>50494</v>
      </c>
      <c r="AG37" s="282"/>
      <c r="AH37" s="282"/>
      <c r="AI37" s="282"/>
      <c r="AJ37" s="282"/>
      <c r="AK37" s="282"/>
      <c r="AL37" s="282"/>
      <c r="AM37" s="282"/>
      <c r="AN37" s="282"/>
      <c r="AO37" s="282"/>
      <c r="AP37" s="282"/>
      <c r="AQ37" s="282"/>
      <c r="AR37" s="282"/>
      <c r="AS37" s="282"/>
      <c r="AT37" s="282"/>
      <c r="AU37" s="282"/>
      <c r="AV37" s="282"/>
      <c r="AW37" s="282"/>
      <c r="AX37" s="282"/>
      <c r="AY37" s="282"/>
      <c r="AZ37" s="282"/>
    </row>
    <row r="38">
      <c r="A38" s="306">
        <f>IFERROR(__xludf.DUMMYFUNCTION("""COMPUTED_VALUE"""),46048.0)</f>
        <v>46048</v>
      </c>
      <c r="B38" s="210">
        <f>IFERROR(__xludf.DUMMYFUNCTION("""COMPUTED_VALUE"""),0.5208333333321207)</f>
        <v>0.5208333333</v>
      </c>
      <c r="C38" s="210" t="str">
        <f>IFERROR(__xludf.DUMMYFUNCTION("""COMPUTED_VALUE"""),"Sms")</f>
        <v>Sms</v>
      </c>
      <c r="D38" s="210" t="str">
        <f>IFERROR(__xludf.DUMMYFUNCTION("""COMPUTED_VALUE"""),"Promotional")</f>
        <v>Promotional</v>
      </c>
      <c r="E38" s="210" t="str">
        <f>IFERROR(__xludf.DUMMYFUNCTION("""COMPUTED_VALUE"""),"Crocs")</f>
        <v>Crocs</v>
      </c>
      <c r="F38" s="210" t="str">
        <f>IFERROR(__xludf.DUMMYFUNCTION("""COMPUTED_VALUE"""),"Republics Day campaign")</f>
        <v>Republics Day campaign</v>
      </c>
      <c r="G38" s="210" t="str">
        <f>IFERROR(__xludf.DUMMYFUNCTION("""COMPUTED_VALUE"""),"Crocs_Republic Day_1293_v2")</f>
        <v>Crocs_Republic Day_1293_v2</v>
      </c>
      <c r="H38" s="211" t="str">
        <f>IFERROR(__xludf.DUMMYFUNCTION("""COMPUTED_VALUE"""),"CROCS_IN_Paschim Vihar Delhi_1293_23_Jan OR Paschim Vihar Delhi_Staff OR Crocs_internal_new")</f>
        <v>CROCS_IN_Paschim Vihar Delhi_1293_23_Jan OR Paschim Vihar Delhi_Staff OR Crocs_internal_new</v>
      </c>
      <c r="I38" s="211" t="str">
        <f>IFERROR(__xludf.DUMMYFUNCTION("""COMPUTED_VALUE"""),"Custom upload")</f>
        <v>Custom upload</v>
      </c>
      <c r="J38" s="213">
        <f>IFERROR(__xludf.DUMMYFUNCTION("""COMPUTED_VALUE"""),528.0)</f>
        <v>528</v>
      </c>
      <c r="K38" s="213">
        <f>IFERROR(__xludf.DUMMYFUNCTION("""COMPUTED_VALUE"""),272.0)</f>
        <v>272</v>
      </c>
      <c r="L38" s="214">
        <f>IFERROR(__xludf.DUMMYFUNCTION("""COMPUTED_VALUE"""),0.5152)</f>
        <v>0.5152</v>
      </c>
      <c r="M38" s="213"/>
      <c r="N38" s="214"/>
      <c r="O38" s="213">
        <f>IFERROR(__xludf.DUMMYFUNCTION("""COMPUTED_VALUE"""),0.0)</f>
        <v>0</v>
      </c>
      <c r="P38" s="213"/>
      <c r="Q38" s="214">
        <f>IFERROR(__xludf.DUMMYFUNCTION("""COMPUTED_VALUE"""),0.0)</f>
        <v>0</v>
      </c>
      <c r="R38" s="214"/>
      <c r="S38" s="101"/>
      <c r="T38" s="101"/>
      <c r="U38" s="213"/>
      <c r="V38" s="101" t="str">
        <f>IFERROR(__xludf.DUMMYFUNCTION("""COMPUTED_VALUE"""),"offline")</f>
        <v>offline</v>
      </c>
      <c r="W38" s="101" t="str">
        <f>IFERROR(__xludf.DUMMYFUNCTION("""COMPUTED_VALUE"""),"SMS")</f>
        <v>SMS</v>
      </c>
      <c r="X38" s="101" t="str">
        <f>IFERROR(__xludf.DUMMYFUNCTION("""COMPUTED_VALUE"""),"Custom Upload")</f>
        <v>Custom Upload</v>
      </c>
      <c r="Y38" s="101" t="str">
        <f>IFERROR(__xludf.DUMMYFUNCTION("""COMPUTED_VALUE"""),"26th-31st Jan")</f>
        <v>26th-31st Jan</v>
      </c>
      <c r="Z38" s="101" t="str">
        <f>IFERROR(__xludf.DUMMYFUNCTION("""COMPUTED_VALUE"""),"6973859861d83f563919da81")</f>
        <v>6973859861d83f563919da81</v>
      </c>
      <c r="AA38" s="213">
        <f>IFERROR(__xludf.DUMMYFUNCTION("""COMPUTED_VALUE"""),3.0)</f>
        <v>3</v>
      </c>
      <c r="AB38" s="213"/>
      <c r="AC38" s="213">
        <f>IFERROR(__xludf.DUMMYFUNCTION("""COMPUTED_VALUE"""),3.0)</f>
        <v>3</v>
      </c>
      <c r="AD38" s="213">
        <f>IFERROR(__xludf.DUMMYFUNCTION("""COMPUTED_VALUE"""),10886.0)</f>
        <v>10886</v>
      </c>
      <c r="AE38" s="213"/>
      <c r="AF38" s="213">
        <f>IFERROR(__xludf.DUMMYFUNCTION("""COMPUTED_VALUE"""),10886.0)</f>
        <v>10886</v>
      </c>
      <c r="AG38" s="282"/>
      <c r="AH38" s="282"/>
      <c r="AI38" s="282"/>
      <c r="AJ38" s="282"/>
      <c r="AK38" s="282"/>
      <c r="AL38" s="282"/>
      <c r="AM38" s="282"/>
      <c r="AN38" s="282"/>
      <c r="AO38" s="282"/>
      <c r="AP38" s="282"/>
      <c r="AQ38" s="282"/>
      <c r="AR38" s="282"/>
      <c r="AS38" s="282"/>
      <c r="AT38" s="282"/>
      <c r="AU38" s="282"/>
      <c r="AV38" s="282"/>
      <c r="AW38" s="282"/>
      <c r="AX38" s="282"/>
      <c r="AY38" s="282"/>
      <c r="AZ38" s="282"/>
    </row>
    <row r="39">
      <c r="A39" s="306">
        <f>IFERROR(__xludf.DUMMYFUNCTION("""COMPUTED_VALUE"""),46048.0)</f>
        <v>46048</v>
      </c>
      <c r="B39" s="210">
        <f>IFERROR(__xludf.DUMMYFUNCTION("""COMPUTED_VALUE"""),0.5208333333321207)</f>
        <v>0.5208333333</v>
      </c>
      <c r="C39" s="210" t="str">
        <f>IFERROR(__xludf.DUMMYFUNCTION("""COMPUTED_VALUE"""),"Sms")</f>
        <v>Sms</v>
      </c>
      <c r="D39" s="210" t="str">
        <f>IFERROR(__xludf.DUMMYFUNCTION("""COMPUTED_VALUE"""),"Promotional")</f>
        <v>Promotional</v>
      </c>
      <c r="E39" s="210" t="str">
        <f>IFERROR(__xludf.DUMMYFUNCTION("""COMPUTED_VALUE"""),"Crocs")</f>
        <v>Crocs</v>
      </c>
      <c r="F39" s="210" t="str">
        <f>IFERROR(__xludf.DUMMYFUNCTION("""COMPUTED_VALUE"""),"Republics Day campaign")</f>
        <v>Republics Day campaign</v>
      </c>
      <c r="G39" s="210" t="str">
        <f>IFERROR(__xludf.DUMMYFUNCTION("""COMPUTED_VALUE"""),"Crocs_Republic Day_1294_v2")</f>
        <v>Crocs_Republic Day_1294_v2</v>
      </c>
      <c r="H39" s="211" t="str">
        <f>IFERROR(__xludf.DUMMYFUNCTION("""COMPUTED_VALUE"""),"CROCS_IN_Karnal_1294_23_Jan OR Karnal_Staff OR Crocs_internal_new")</f>
        <v>CROCS_IN_Karnal_1294_23_Jan OR Karnal_Staff OR Crocs_internal_new</v>
      </c>
      <c r="I39" s="211" t="str">
        <f>IFERROR(__xludf.DUMMYFUNCTION("""COMPUTED_VALUE"""),"Custom upload")</f>
        <v>Custom upload</v>
      </c>
      <c r="J39" s="213">
        <f>IFERROR(__xludf.DUMMYFUNCTION("""COMPUTED_VALUE"""),3494.0)</f>
        <v>3494</v>
      </c>
      <c r="K39" s="213">
        <f>IFERROR(__xludf.DUMMYFUNCTION("""COMPUTED_VALUE"""),2012.0)</f>
        <v>2012</v>
      </c>
      <c r="L39" s="214">
        <f>IFERROR(__xludf.DUMMYFUNCTION("""COMPUTED_VALUE"""),0.5758)</f>
        <v>0.5758</v>
      </c>
      <c r="M39" s="213"/>
      <c r="N39" s="214"/>
      <c r="O39" s="213">
        <f>IFERROR(__xludf.DUMMYFUNCTION("""COMPUTED_VALUE"""),0.0)</f>
        <v>0</v>
      </c>
      <c r="P39" s="213"/>
      <c r="Q39" s="214">
        <f>IFERROR(__xludf.DUMMYFUNCTION("""COMPUTED_VALUE"""),0.0)</f>
        <v>0</v>
      </c>
      <c r="R39" s="214"/>
      <c r="S39" s="101"/>
      <c r="T39" s="101"/>
      <c r="U39" s="213"/>
      <c r="V39" s="101" t="str">
        <f>IFERROR(__xludf.DUMMYFUNCTION("""COMPUTED_VALUE"""),"offline")</f>
        <v>offline</v>
      </c>
      <c r="W39" s="101" t="str">
        <f>IFERROR(__xludf.DUMMYFUNCTION("""COMPUTED_VALUE"""),"SMS")</f>
        <v>SMS</v>
      </c>
      <c r="X39" s="101" t="str">
        <f>IFERROR(__xludf.DUMMYFUNCTION("""COMPUTED_VALUE"""),"Custom Upload")</f>
        <v>Custom Upload</v>
      </c>
      <c r="Y39" s="101" t="str">
        <f>IFERROR(__xludf.DUMMYFUNCTION("""COMPUTED_VALUE"""),"26th-31st Jan")</f>
        <v>26th-31st Jan</v>
      </c>
      <c r="Z39" s="101" t="str">
        <f>IFERROR(__xludf.DUMMYFUNCTION("""COMPUTED_VALUE"""),"6973863350a2e2327b291091")</f>
        <v>6973863350a2e2327b291091</v>
      </c>
      <c r="AA39" s="213">
        <f>IFERROR(__xludf.DUMMYFUNCTION("""COMPUTED_VALUE"""),4.0)</f>
        <v>4</v>
      </c>
      <c r="AB39" s="213"/>
      <c r="AC39" s="213">
        <f>IFERROR(__xludf.DUMMYFUNCTION("""COMPUTED_VALUE"""),4.0)</f>
        <v>4</v>
      </c>
      <c r="AD39" s="213">
        <f>IFERROR(__xludf.DUMMYFUNCTION("""COMPUTED_VALUE"""),21072.0)</f>
        <v>21072</v>
      </c>
      <c r="AE39" s="213"/>
      <c r="AF39" s="213">
        <f>IFERROR(__xludf.DUMMYFUNCTION("""COMPUTED_VALUE"""),21072.0)</f>
        <v>21072</v>
      </c>
      <c r="AG39" s="282"/>
      <c r="AH39" s="282"/>
      <c r="AI39" s="282"/>
      <c r="AJ39" s="282"/>
      <c r="AK39" s="282"/>
      <c r="AL39" s="282"/>
      <c r="AM39" s="282"/>
      <c r="AN39" s="282"/>
      <c r="AO39" s="282"/>
      <c r="AP39" s="282"/>
      <c r="AQ39" s="282"/>
      <c r="AR39" s="282"/>
      <c r="AS39" s="282"/>
      <c r="AT39" s="282"/>
      <c r="AU39" s="282"/>
      <c r="AV39" s="282"/>
      <c r="AW39" s="282"/>
      <c r="AX39" s="282"/>
      <c r="AY39" s="282"/>
      <c r="AZ39" s="282"/>
    </row>
    <row r="40">
      <c r="A40" s="306">
        <f>IFERROR(__xludf.DUMMYFUNCTION("""COMPUTED_VALUE"""),46048.0)</f>
        <v>46048</v>
      </c>
      <c r="B40" s="210">
        <f>IFERROR(__xludf.DUMMYFUNCTION("""COMPUTED_VALUE"""),0.5208333333321207)</f>
        <v>0.5208333333</v>
      </c>
      <c r="C40" s="210" t="str">
        <f>IFERROR(__xludf.DUMMYFUNCTION("""COMPUTED_VALUE"""),"Sms")</f>
        <v>Sms</v>
      </c>
      <c r="D40" s="210" t="str">
        <f>IFERROR(__xludf.DUMMYFUNCTION("""COMPUTED_VALUE"""),"Promotional")</f>
        <v>Promotional</v>
      </c>
      <c r="E40" s="210" t="str">
        <f>IFERROR(__xludf.DUMMYFUNCTION("""COMPUTED_VALUE"""),"Crocs")</f>
        <v>Crocs</v>
      </c>
      <c r="F40" s="210" t="str">
        <f>IFERROR(__xludf.DUMMYFUNCTION("""COMPUTED_VALUE"""),"Republics Day campaign")</f>
        <v>Republics Day campaign</v>
      </c>
      <c r="G40" s="210" t="str">
        <f>IFERROR(__xludf.DUMMYFUNCTION("""COMPUTED_VALUE"""),"Crocs_Republic Day_1208_v2")</f>
        <v>Crocs_Republic Day_1208_v2</v>
      </c>
      <c r="H40" s="211" t="str">
        <f>IFERROR(__xludf.DUMMYFUNCTION("""COMPUTED_VALUE"""),"CROCS_IN_Moga_3016_23_Jan OR Moga_Staff OR Crocs_internal_new")</f>
        <v>CROCS_IN_Moga_3016_23_Jan OR Moga_Staff OR Crocs_internal_new</v>
      </c>
      <c r="I40" s="211" t="str">
        <f>IFERROR(__xludf.DUMMYFUNCTION("""COMPUTED_VALUE"""),"Custom upload")</f>
        <v>Custom upload</v>
      </c>
      <c r="J40" s="213">
        <f>IFERROR(__xludf.DUMMYFUNCTION("""COMPUTED_VALUE"""),20901.0)</f>
        <v>20901</v>
      </c>
      <c r="K40" s="213">
        <f>IFERROR(__xludf.DUMMYFUNCTION("""COMPUTED_VALUE"""),10819.0)</f>
        <v>10819</v>
      </c>
      <c r="L40" s="214">
        <f>IFERROR(__xludf.DUMMYFUNCTION("""COMPUTED_VALUE"""),0.5176)</f>
        <v>0.5176</v>
      </c>
      <c r="M40" s="213"/>
      <c r="N40" s="214"/>
      <c r="O40" s="213">
        <f>IFERROR(__xludf.DUMMYFUNCTION("""COMPUTED_VALUE"""),0.0)</f>
        <v>0</v>
      </c>
      <c r="P40" s="213"/>
      <c r="Q40" s="214">
        <f>IFERROR(__xludf.DUMMYFUNCTION("""COMPUTED_VALUE"""),0.0)</f>
        <v>0</v>
      </c>
      <c r="R40" s="214"/>
      <c r="S40" s="101"/>
      <c r="T40" s="101"/>
      <c r="U40" s="213"/>
      <c r="V40" s="101" t="str">
        <f>IFERROR(__xludf.DUMMYFUNCTION("""COMPUTED_VALUE"""),"offline")</f>
        <v>offline</v>
      </c>
      <c r="W40" s="101" t="str">
        <f>IFERROR(__xludf.DUMMYFUNCTION("""COMPUTED_VALUE"""),"SMS")</f>
        <v>SMS</v>
      </c>
      <c r="X40" s="101" t="str">
        <f>IFERROR(__xludf.DUMMYFUNCTION("""COMPUTED_VALUE"""),"Custom Upload")</f>
        <v>Custom Upload</v>
      </c>
      <c r="Y40" s="101" t="str">
        <f>IFERROR(__xludf.DUMMYFUNCTION("""COMPUTED_VALUE"""),"26th-31st Jan")</f>
        <v>26th-31st Jan</v>
      </c>
      <c r="Z40" s="101" t="str">
        <f>IFERROR(__xludf.DUMMYFUNCTION("""COMPUTED_VALUE"""),"69738663526d5199db9bd767")</f>
        <v>69738663526d5199db9bd767</v>
      </c>
      <c r="AA40" s="213">
        <f>IFERROR(__xludf.DUMMYFUNCTION("""COMPUTED_VALUE"""),12.0)</f>
        <v>12</v>
      </c>
      <c r="AB40" s="213"/>
      <c r="AC40" s="213">
        <f>IFERROR(__xludf.DUMMYFUNCTION("""COMPUTED_VALUE"""),12.0)</f>
        <v>12</v>
      </c>
      <c r="AD40" s="213">
        <f>IFERROR(__xludf.DUMMYFUNCTION("""COMPUTED_VALUE"""),57531.0)</f>
        <v>57531</v>
      </c>
      <c r="AE40" s="213"/>
      <c r="AF40" s="213">
        <f>IFERROR(__xludf.DUMMYFUNCTION("""COMPUTED_VALUE"""),57531.0)</f>
        <v>57531</v>
      </c>
      <c r="AG40" s="282"/>
      <c r="AH40" s="282"/>
      <c r="AI40" s="282"/>
      <c r="AJ40" s="282"/>
      <c r="AK40" s="282"/>
      <c r="AL40" s="282"/>
      <c r="AM40" s="282"/>
      <c r="AN40" s="282"/>
      <c r="AO40" s="282"/>
      <c r="AP40" s="282"/>
      <c r="AQ40" s="282"/>
      <c r="AR40" s="282"/>
      <c r="AS40" s="282"/>
      <c r="AT40" s="282"/>
      <c r="AU40" s="282"/>
      <c r="AV40" s="282"/>
      <c r="AW40" s="282"/>
      <c r="AX40" s="282"/>
      <c r="AY40" s="282"/>
      <c r="AZ40" s="282"/>
    </row>
    <row r="41">
      <c r="A41" s="306">
        <f>IFERROR(__xludf.DUMMYFUNCTION("""COMPUTED_VALUE"""),46048.0)</f>
        <v>46048</v>
      </c>
      <c r="B41" s="210">
        <f>IFERROR(__xludf.DUMMYFUNCTION("""COMPUTED_VALUE"""),0.5208333333321207)</f>
        <v>0.5208333333</v>
      </c>
      <c r="C41" s="210" t="str">
        <f>IFERROR(__xludf.DUMMYFUNCTION("""COMPUTED_VALUE"""),"Sms")</f>
        <v>Sms</v>
      </c>
      <c r="D41" s="210" t="str">
        <f>IFERROR(__xludf.DUMMYFUNCTION("""COMPUTED_VALUE"""),"Promotional")</f>
        <v>Promotional</v>
      </c>
      <c r="E41" s="210" t="str">
        <f>IFERROR(__xludf.DUMMYFUNCTION("""COMPUTED_VALUE"""),"Crocs")</f>
        <v>Crocs</v>
      </c>
      <c r="F41" s="210" t="str">
        <f>IFERROR(__xludf.DUMMYFUNCTION("""COMPUTED_VALUE"""),"Republics Day campaign")</f>
        <v>Republics Day campaign</v>
      </c>
      <c r="G41" s="210" t="str">
        <f>IFERROR(__xludf.DUMMYFUNCTION("""COMPUTED_VALUE"""),"Crocs_Republic Day_1210_v2")</f>
        <v>Crocs_Republic Day_1210_v2</v>
      </c>
      <c r="H41" s="211" t="str">
        <f>IFERROR(__xludf.DUMMYFUNCTION("""COMPUTED_VALUE"""),"CROCS_IN_Shipra Mall_1210_23_Jan OR Shipra Mall Ghaziabad_Staff OR Crocs_internal_new")</f>
        <v>CROCS_IN_Shipra Mall_1210_23_Jan OR Shipra Mall Ghaziabad_Staff OR Crocs_internal_new</v>
      </c>
      <c r="I41" s="211" t="str">
        <f>IFERROR(__xludf.DUMMYFUNCTION("""COMPUTED_VALUE"""),"Custom upload")</f>
        <v>Custom upload</v>
      </c>
      <c r="J41" s="213">
        <f>IFERROR(__xludf.DUMMYFUNCTION("""COMPUTED_VALUE"""),4669.0)</f>
        <v>4669</v>
      </c>
      <c r="K41" s="213">
        <f>IFERROR(__xludf.DUMMYFUNCTION("""COMPUTED_VALUE"""),2743.0)</f>
        <v>2743</v>
      </c>
      <c r="L41" s="214">
        <f>IFERROR(__xludf.DUMMYFUNCTION("""COMPUTED_VALUE"""),0.5875)</f>
        <v>0.5875</v>
      </c>
      <c r="M41" s="213"/>
      <c r="N41" s="214"/>
      <c r="O41" s="213">
        <f>IFERROR(__xludf.DUMMYFUNCTION("""COMPUTED_VALUE"""),0.0)</f>
        <v>0</v>
      </c>
      <c r="P41" s="213"/>
      <c r="Q41" s="214">
        <f>IFERROR(__xludf.DUMMYFUNCTION("""COMPUTED_VALUE"""),0.0)</f>
        <v>0</v>
      </c>
      <c r="R41" s="214"/>
      <c r="S41" s="101"/>
      <c r="T41" s="101"/>
      <c r="U41" s="213"/>
      <c r="V41" s="101" t="str">
        <f>IFERROR(__xludf.DUMMYFUNCTION("""COMPUTED_VALUE"""),"offline")</f>
        <v>offline</v>
      </c>
      <c r="W41" s="101" t="str">
        <f>IFERROR(__xludf.DUMMYFUNCTION("""COMPUTED_VALUE"""),"SMS")</f>
        <v>SMS</v>
      </c>
      <c r="X41" s="212" t="str">
        <f>IFERROR(__xludf.DUMMYFUNCTION("""COMPUTED_VALUE"""),"Custom Upload")</f>
        <v>Custom Upload</v>
      </c>
      <c r="Y41" s="212" t="str">
        <f>IFERROR(__xludf.DUMMYFUNCTION("""COMPUTED_VALUE"""),"26th-31st Jan")</f>
        <v>26th-31st Jan</v>
      </c>
      <c r="Z41" s="212" t="str">
        <f>IFERROR(__xludf.DUMMYFUNCTION("""COMPUTED_VALUE"""),"697387e01a51ebd6682f04b2")</f>
        <v>697387e01a51ebd6682f04b2</v>
      </c>
      <c r="AA41" s="287">
        <f>IFERROR(__xludf.DUMMYFUNCTION("""COMPUTED_VALUE"""),2.0)</f>
        <v>2</v>
      </c>
      <c r="AB41" s="213"/>
      <c r="AC41" s="213">
        <f>IFERROR(__xludf.DUMMYFUNCTION("""COMPUTED_VALUE"""),2.0)</f>
        <v>2</v>
      </c>
      <c r="AD41" s="213">
        <f>IFERROR(__xludf.DUMMYFUNCTION("""COMPUTED_VALUE"""),7841.0)</f>
        <v>7841</v>
      </c>
      <c r="AE41" s="213"/>
      <c r="AF41" s="213">
        <f>IFERROR(__xludf.DUMMYFUNCTION("""COMPUTED_VALUE"""),7841.0)</f>
        <v>7841</v>
      </c>
      <c r="AG41" s="282"/>
      <c r="AH41" s="282"/>
      <c r="AI41" s="282"/>
      <c r="AJ41" s="282"/>
      <c r="AK41" s="282"/>
      <c r="AL41" s="282"/>
      <c r="AM41" s="282"/>
      <c r="AN41" s="282"/>
      <c r="AO41" s="282"/>
      <c r="AP41" s="282"/>
      <c r="AQ41" s="282"/>
      <c r="AR41" s="282"/>
      <c r="AS41" s="282"/>
      <c r="AT41" s="282"/>
      <c r="AU41" s="282"/>
      <c r="AV41" s="282"/>
      <c r="AW41" s="282"/>
      <c r="AX41" s="282"/>
      <c r="AY41" s="282"/>
      <c r="AZ41" s="282"/>
    </row>
    <row r="42">
      <c r="A42" s="306">
        <f>IFERROR(__xludf.DUMMYFUNCTION("""COMPUTED_VALUE"""),46048.0)</f>
        <v>46048</v>
      </c>
      <c r="B42" s="210">
        <f>IFERROR(__xludf.DUMMYFUNCTION("""COMPUTED_VALUE"""),0.5208333333321207)</f>
        <v>0.5208333333</v>
      </c>
      <c r="C42" s="210" t="str">
        <f>IFERROR(__xludf.DUMMYFUNCTION("""COMPUTED_VALUE"""),"Sms")</f>
        <v>Sms</v>
      </c>
      <c r="D42" s="210" t="str">
        <f>IFERROR(__xludf.DUMMYFUNCTION("""COMPUTED_VALUE"""),"Promotional")</f>
        <v>Promotional</v>
      </c>
      <c r="E42" s="210" t="str">
        <f>IFERROR(__xludf.DUMMYFUNCTION("""COMPUTED_VALUE"""),"Crocs")</f>
        <v>Crocs</v>
      </c>
      <c r="F42" s="210" t="str">
        <f>IFERROR(__xludf.DUMMYFUNCTION("""COMPUTED_VALUE"""),"Republics Day campaign")</f>
        <v>Republics Day campaign</v>
      </c>
      <c r="G42" s="210" t="str">
        <f>IFERROR(__xludf.DUMMYFUNCTION("""COMPUTED_VALUE"""),"Crocs_Republic Day_1247_v2")</f>
        <v>Crocs_Republic Day_1247_v2</v>
      </c>
      <c r="H42" s="211" t="str">
        <f>IFERROR(__xludf.DUMMYFUNCTION("""COMPUTED_VALUE"""),"CROCS_IN_Malhar Road_1247_23_Jan OR Malhar_1247_17oct OR Malhar_Staff OR Crocs_internal_new")</f>
        <v>CROCS_IN_Malhar Road_1247_23_Jan OR Malhar_1247_17oct OR Malhar_Staff OR Crocs_internal_new</v>
      </c>
      <c r="I42" s="211" t="str">
        <f>IFERROR(__xludf.DUMMYFUNCTION("""COMPUTED_VALUE"""),"Custom upload")</f>
        <v>Custom upload</v>
      </c>
      <c r="J42" s="213">
        <f>IFERROR(__xludf.DUMMYFUNCTION("""COMPUTED_VALUE"""),25807.0)</f>
        <v>25807</v>
      </c>
      <c r="K42" s="213">
        <f>IFERROR(__xludf.DUMMYFUNCTION("""COMPUTED_VALUE"""),14150.0)</f>
        <v>14150</v>
      </c>
      <c r="L42" s="214">
        <f>IFERROR(__xludf.DUMMYFUNCTION("""COMPUTED_VALUE"""),0.5483)</f>
        <v>0.5483</v>
      </c>
      <c r="M42" s="213"/>
      <c r="N42" s="214"/>
      <c r="O42" s="213">
        <f>IFERROR(__xludf.DUMMYFUNCTION("""COMPUTED_VALUE"""),0.0)</f>
        <v>0</v>
      </c>
      <c r="P42" s="213"/>
      <c r="Q42" s="214">
        <f>IFERROR(__xludf.DUMMYFUNCTION("""COMPUTED_VALUE"""),0.0)</f>
        <v>0</v>
      </c>
      <c r="R42" s="214"/>
      <c r="S42" s="101"/>
      <c r="T42" s="101"/>
      <c r="U42" s="213"/>
      <c r="V42" s="101" t="str">
        <f>IFERROR(__xludf.DUMMYFUNCTION("""COMPUTED_VALUE"""),"offline")</f>
        <v>offline</v>
      </c>
      <c r="W42" s="101" t="str">
        <f>IFERROR(__xludf.DUMMYFUNCTION("""COMPUTED_VALUE"""),"SMS")</f>
        <v>SMS</v>
      </c>
      <c r="X42" s="212" t="str">
        <f>IFERROR(__xludf.DUMMYFUNCTION("""COMPUTED_VALUE"""),"Custom Upload")</f>
        <v>Custom Upload</v>
      </c>
      <c r="Y42" s="212" t="str">
        <f>IFERROR(__xludf.DUMMYFUNCTION("""COMPUTED_VALUE"""),"26th-31st Jan")</f>
        <v>26th-31st Jan</v>
      </c>
      <c r="Z42" s="212" t="str">
        <f>IFERROR(__xludf.DUMMYFUNCTION("""COMPUTED_VALUE"""),"697389a90b0d6066592ffe64")</f>
        <v>697389a90b0d6066592ffe64</v>
      </c>
      <c r="AA42" s="287">
        <f>IFERROR(__xludf.DUMMYFUNCTION("""COMPUTED_VALUE"""),7.0)</f>
        <v>7</v>
      </c>
      <c r="AB42" s="213"/>
      <c r="AC42" s="213">
        <f>IFERROR(__xludf.DUMMYFUNCTION("""COMPUTED_VALUE"""),7.0)</f>
        <v>7</v>
      </c>
      <c r="AD42" s="213">
        <f>IFERROR(__xludf.DUMMYFUNCTION("""COMPUTED_VALUE"""),49148.0)</f>
        <v>49148</v>
      </c>
      <c r="AE42" s="213"/>
      <c r="AF42" s="213">
        <f>IFERROR(__xludf.DUMMYFUNCTION("""COMPUTED_VALUE"""),49148.0)</f>
        <v>49148</v>
      </c>
      <c r="AG42" s="282"/>
      <c r="AH42" s="282"/>
      <c r="AI42" s="282"/>
      <c r="AJ42" s="282"/>
      <c r="AK42" s="282"/>
      <c r="AL42" s="282"/>
      <c r="AM42" s="282"/>
      <c r="AN42" s="282"/>
      <c r="AO42" s="282"/>
      <c r="AP42" s="282"/>
      <c r="AQ42" s="282"/>
      <c r="AR42" s="282"/>
      <c r="AS42" s="282"/>
      <c r="AT42" s="282"/>
      <c r="AU42" s="282"/>
      <c r="AV42" s="282"/>
      <c r="AW42" s="282"/>
      <c r="AX42" s="282"/>
      <c r="AY42" s="282"/>
      <c r="AZ42" s="282"/>
    </row>
    <row r="43">
      <c r="A43" s="306">
        <f>IFERROR(__xludf.DUMMYFUNCTION("""COMPUTED_VALUE"""),46048.0)</f>
        <v>46048</v>
      </c>
      <c r="B43" s="210">
        <f>IFERROR(__xludf.DUMMYFUNCTION("""COMPUTED_VALUE"""),0.5208333333321207)</f>
        <v>0.5208333333</v>
      </c>
      <c r="C43" s="210" t="str">
        <f>IFERROR(__xludf.DUMMYFUNCTION("""COMPUTED_VALUE"""),"Sms")</f>
        <v>Sms</v>
      </c>
      <c r="D43" s="210" t="str">
        <f>IFERROR(__xludf.DUMMYFUNCTION("""COMPUTED_VALUE"""),"Promotional")</f>
        <v>Promotional</v>
      </c>
      <c r="E43" s="210" t="str">
        <f>IFERROR(__xludf.DUMMYFUNCTION("""COMPUTED_VALUE"""),"Crocs")</f>
        <v>Crocs</v>
      </c>
      <c r="F43" s="210" t="str">
        <f>IFERROR(__xludf.DUMMYFUNCTION("""COMPUTED_VALUE"""),"Republics Day campaign")</f>
        <v>Republics Day campaign</v>
      </c>
      <c r="G43" s="210" t="str">
        <f>IFERROR(__xludf.DUMMYFUNCTION("""COMPUTED_VALUE"""),"Crocs_Republic Day_1264_v2")</f>
        <v>Crocs_Republic Day_1264_v2</v>
      </c>
      <c r="H43" s="211" t="str">
        <f>IFERROR(__xludf.DUMMYFUNCTION("""COMPUTED_VALUE"""),"CROCS_IN_Rajpur Road Dehradun_1264_23_Jan OR Rajpur Road Dehradun_Staff OR Crocs_internal_new")</f>
        <v>CROCS_IN_Rajpur Road Dehradun_1264_23_Jan OR Rajpur Road Dehradun_Staff OR Crocs_internal_new</v>
      </c>
      <c r="I43" s="211" t="str">
        <f>IFERROR(__xludf.DUMMYFUNCTION("""COMPUTED_VALUE"""),"Custom upload")</f>
        <v>Custom upload</v>
      </c>
      <c r="J43" s="213">
        <f>IFERROR(__xludf.DUMMYFUNCTION("""COMPUTED_VALUE"""),6663.0)</f>
        <v>6663</v>
      </c>
      <c r="K43" s="213">
        <f>IFERROR(__xludf.DUMMYFUNCTION("""COMPUTED_VALUE"""),3761.0)</f>
        <v>3761</v>
      </c>
      <c r="L43" s="214">
        <f>IFERROR(__xludf.DUMMYFUNCTION("""COMPUTED_VALUE"""),0.5645)</f>
        <v>0.5645</v>
      </c>
      <c r="M43" s="213"/>
      <c r="N43" s="214"/>
      <c r="O43" s="213">
        <f>IFERROR(__xludf.DUMMYFUNCTION("""COMPUTED_VALUE"""),0.0)</f>
        <v>0</v>
      </c>
      <c r="P43" s="213"/>
      <c r="Q43" s="214">
        <f>IFERROR(__xludf.DUMMYFUNCTION("""COMPUTED_VALUE"""),0.0)</f>
        <v>0</v>
      </c>
      <c r="R43" s="214"/>
      <c r="S43" s="101"/>
      <c r="T43" s="101"/>
      <c r="U43" s="213"/>
      <c r="V43" s="101" t="str">
        <f>IFERROR(__xludf.DUMMYFUNCTION("""COMPUTED_VALUE"""),"offline")</f>
        <v>offline</v>
      </c>
      <c r="W43" s="101" t="str">
        <f>IFERROR(__xludf.DUMMYFUNCTION("""COMPUTED_VALUE"""),"SMS")</f>
        <v>SMS</v>
      </c>
      <c r="X43" s="212" t="str">
        <f>IFERROR(__xludf.DUMMYFUNCTION("""COMPUTED_VALUE"""),"Custom Upload")</f>
        <v>Custom Upload</v>
      </c>
      <c r="Y43" s="212" t="str">
        <f>IFERROR(__xludf.DUMMYFUNCTION("""COMPUTED_VALUE"""),"26th-31st Jan")</f>
        <v>26th-31st Jan</v>
      </c>
      <c r="Z43" s="212" t="str">
        <f>IFERROR(__xludf.DUMMYFUNCTION("""COMPUTED_VALUE"""),"697389f81095f5e97b0d6ebf")</f>
        <v>697389f81095f5e97b0d6ebf</v>
      </c>
      <c r="AA43" s="287">
        <f>IFERROR(__xludf.DUMMYFUNCTION("""COMPUTED_VALUE"""),2.0)</f>
        <v>2</v>
      </c>
      <c r="AB43" s="213"/>
      <c r="AC43" s="213">
        <f>IFERROR(__xludf.DUMMYFUNCTION("""COMPUTED_VALUE"""),2.0)</f>
        <v>2</v>
      </c>
      <c r="AD43" s="213">
        <f>IFERROR(__xludf.DUMMYFUNCTION("""COMPUTED_VALUE"""),18126.0)</f>
        <v>18126</v>
      </c>
      <c r="AE43" s="213"/>
      <c r="AF43" s="213">
        <f>IFERROR(__xludf.DUMMYFUNCTION("""COMPUTED_VALUE"""),18126.0)</f>
        <v>18126</v>
      </c>
      <c r="AG43" s="282"/>
      <c r="AH43" s="282"/>
      <c r="AI43" s="282"/>
      <c r="AJ43" s="282"/>
      <c r="AK43" s="282"/>
      <c r="AL43" s="282"/>
      <c r="AM43" s="282"/>
      <c r="AN43" s="282"/>
      <c r="AO43" s="282"/>
      <c r="AP43" s="282"/>
      <c r="AQ43" s="282"/>
      <c r="AR43" s="282"/>
      <c r="AS43" s="282"/>
      <c r="AT43" s="282"/>
      <c r="AU43" s="282"/>
      <c r="AV43" s="282"/>
      <c r="AW43" s="282"/>
      <c r="AX43" s="282"/>
      <c r="AY43" s="282"/>
      <c r="AZ43" s="282"/>
    </row>
    <row r="44">
      <c r="A44" s="306">
        <f>IFERROR(__xludf.DUMMYFUNCTION("""COMPUTED_VALUE"""),46048.0)</f>
        <v>46048</v>
      </c>
      <c r="B44" s="210">
        <f>IFERROR(__xludf.DUMMYFUNCTION("""COMPUTED_VALUE"""),0.5208333333321207)</f>
        <v>0.5208333333</v>
      </c>
      <c r="C44" s="210" t="str">
        <f>IFERROR(__xludf.DUMMYFUNCTION("""COMPUTED_VALUE"""),"Sms")</f>
        <v>Sms</v>
      </c>
      <c r="D44" s="210" t="str">
        <f>IFERROR(__xludf.DUMMYFUNCTION("""COMPUTED_VALUE"""),"Promotional")</f>
        <v>Promotional</v>
      </c>
      <c r="E44" s="210" t="str">
        <f>IFERROR(__xludf.DUMMYFUNCTION("""COMPUTED_VALUE"""),"Crocs")</f>
        <v>Crocs</v>
      </c>
      <c r="F44" s="210" t="str">
        <f>IFERROR(__xludf.DUMMYFUNCTION("""COMPUTED_VALUE"""),"Republics Day campaign")</f>
        <v>Republics Day campaign</v>
      </c>
      <c r="G44" s="210" t="str">
        <f>IFERROR(__xludf.DUMMYFUNCTION("""COMPUTED_VALUE"""),"Crocs_Republic Day_1255_v2")</f>
        <v>Crocs_Republic Day_1255_v2</v>
      </c>
      <c r="H44" s="211" t="str">
        <f>IFERROR(__xludf.DUMMYFUNCTION("""COMPUTED_VALUE"""),"CROCS_IN_Kohara Ludhiana_1255_23_Jan OR Kohara Ludhiana_Staff OR Crocs_Internal OR Crocs_internal_new")</f>
        <v>CROCS_IN_Kohara Ludhiana_1255_23_Jan OR Kohara Ludhiana_Staff OR Crocs_Internal OR Crocs_internal_new</v>
      </c>
      <c r="I44" s="211" t="str">
        <f>IFERROR(__xludf.DUMMYFUNCTION("""COMPUTED_VALUE"""),"Custom upload")</f>
        <v>Custom upload</v>
      </c>
      <c r="J44" s="213">
        <f>IFERROR(__xludf.DUMMYFUNCTION("""COMPUTED_VALUE"""),26582.0)</f>
        <v>26582</v>
      </c>
      <c r="K44" s="213">
        <f>IFERROR(__xludf.DUMMYFUNCTION("""COMPUTED_VALUE"""),14093.0)</f>
        <v>14093</v>
      </c>
      <c r="L44" s="214">
        <f>IFERROR(__xludf.DUMMYFUNCTION("""COMPUTED_VALUE"""),0.5302)</f>
        <v>0.5302</v>
      </c>
      <c r="M44" s="213"/>
      <c r="N44" s="214"/>
      <c r="O44" s="213">
        <f>IFERROR(__xludf.DUMMYFUNCTION("""COMPUTED_VALUE"""),0.0)</f>
        <v>0</v>
      </c>
      <c r="P44" s="213"/>
      <c r="Q44" s="214">
        <f>IFERROR(__xludf.DUMMYFUNCTION("""COMPUTED_VALUE"""),0.0)</f>
        <v>0</v>
      </c>
      <c r="R44" s="214"/>
      <c r="S44" s="101"/>
      <c r="T44" s="101"/>
      <c r="U44" s="213"/>
      <c r="V44" s="101" t="str">
        <f>IFERROR(__xludf.DUMMYFUNCTION("""COMPUTED_VALUE"""),"offline")</f>
        <v>offline</v>
      </c>
      <c r="W44" s="101" t="str">
        <f>IFERROR(__xludf.DUMMYFUNCTION("""COMPUTED_VALUE"""),"SMS")</f>
        <v>SMS</v>
      </c>
      <c r="X44" s="212" t="str">
        <f>IFERROR(__xludf.DUMMYFUNCTION("""COMPUTED_VALUE"""),"Custom Upload")</f>
        <v>Custom Upload</v>
      </c>
      <c r="Y44" s="212" t="str">
        <f>IFERROR(__xludf.DUMMYFUNCTION("""COMPUTED_VALUE"""),"26th-31st Jan")</f>
        <v>26th-31st Jan</v>
      </c>
      <c r="Z44" s="212" t="str">
        <f>IFERROR(__xludf.DUMMYFUNCTION("""COMPUTED_VALUE"""),"69738a80d3a577d660763b55")</f>
        <v>69738a80d3a577d660763b55</v>
      </c>
      <c r="AA44" s="213">
        <f>IFERROR(__xludf.DUMMYFUNCTION("""COMPUTED_VALUE"""),5.0)</f>
        <v>5</v>
      </c>
      <c r="AB44" s="213"/>
      <c r="AC44" s="213">
        <f>IFERROR(__xludf.DUMMYFUNCTION("""COMPUTED_VALUE"""),5.0)</f>
        <v>5</v>
      </c>
      <c r="AD44" s="213">
        <f>IFERROR(__xludf.DUMMYFUNCTION("""COMPUTED_VALUE"""),32863.0)</f>
        <v>32863</v>
      </c>
      <c r="AE44" s="213"/>
      <c r="AF44" s="213">
        <f>IFERROR(__xludf.DUMMYFUNCTION("""COMPUTED_VALUE"""),32863.0)</f>
        <v>32863</v>
      </c>
      <c r="AG44" s="282"/>
      <c r="AH44" s="282"/>
      <c r="AI44" s="282"/>
      <c r="AJ44" s="282"/>
      <c r="AK44" s="282"/>
      <c r="AL44" s="282"/>
      <c r="AM44" s="282"/>
      <c r="AN44" s="282"/>
      <c r="AO44" s="282"/>
      <c r="AP44" s="282"/>
      <c r="AQ44" s="282"/>
      <c r="AR44" s="282"/>
      <c r="AS44" s="282"/>
      <c r="AT44" s="282"/>
      <c r="AU44" s="282"/>
      <c r="AV44" s="282"/>
      <c r="AW44" s="282"/>
      <c r="AX44" s="282"/>
      <c r="AY44" s="282"/>
      <c r="AZ44" s="282"/>
    </row>
    <row r="45">
      <c r="A45" s="306">
        <f>IFERROR(__xludf.DUMMYFUNCTION("""COMPUTED_VALUE"""),46048.0)</f>
        <v>46048</v>
      </c>
      <c r="B45" s="210">
        <f>IFERROR(__xludf.DUMMYFUNCTION("""COMPUTED_VALUE"""),0.5208333333321207)</f>
        <v>0.5208333333</v>
      </c>
      <c r="C45" s="210" t="str">
        <f>IFERROR(__xludf.DUMMYFUNCTION("""COMPUTED_VALUE"""),"Sms")</f>
        <v>Sms</v>
      </c>
      <c r="D45" s="210" t="str">
        <f>IFERROR(__xludf.DUMMYFUNCTION("""COMPUTED_VALUE"""),"Promotional")</f>
        <v>Promotional</v>
      </c>
      <c r="E45" s="210" t="str">
        <f>IFERROR(__xludf.DUMMYFUNCTION("""COMPUTED_VALUE"""),"Crocs")</f>
        <v>Crocs</v>
      </c>
      <c r="F45" s="210" t="str">
        <f>IFERROR(__xludf.DUMMYFUNCTION("""COMPUTED_VALUE"""),"Republics Day campaign")</f>
        <v>Republics Day campaign</v>
      </c>
      <c r="G45" s="210" t="str">
        <f>IFERROR(__xludf.DUMMYFUNCTION("""COMPUTED_VALUE"""),"Crocs_Republic Day_1263_v2")</f>
        <v>Crocs_Republic Day_1263_v2</v>
      </c>
      <c r="H45" s="211" t="str">
        <f>IFERROR(__xludf.DUMMYFUNCTION("""COMPUTED_VALUE"""),"CROCS_IN_Modeltown Yamuna nagar_1263_23_Jan OR Modeltown Yamunanagar_Staff OR Crocs_internal_new")</f>
        <v>CROCS_IN_Modeltown Yamuna nagar_1263_23_Jan OR Modeltown Yamunanagar_Staff OR Crocs_internal_new</v>
      </c>
      <c r="I45" s="211" t="str">
        <f>IFERROR(__xludf.DUMMYFUNCTION("""COMPUTED_VALUE"""),"Custom upload")</f>
        <v>Custom upload</v>
      </c>
      <c r="J45" s="213">
        <f>IFERROR(__xludf.DUMMYFUNCTION("""COMPUTED_VALUE"""),6928.0)</f>
        <v>6928</v>
      </c>
      <c r="K45" s="213">
        <f>IFERROR(__xludf.DUMMYFUNCTION("""COMPUTED_VALUE"""),3935.0)</f>
        <v>3935</v>
      </c>
      <c r="L45" s="214">
        <f>IFERROR(__xludf.DUMMYFUNCTION("""COMPUTED_VALUE"""),0.568)</f>
        <v>0.568</v>
      </c>
      <c r="M45" s="213"/>
      <c r="N45" s="214"/>
      <c r="O45" s="213">
        <f>IFERROR(__xludf.DUMMYFUNCTION("""COMPUTED_VALUE"""),0.0)</f>
        <v>0</v>
      </c>
      <c r="P45" s="213"/>
      <c r="Q45" s="214">
        <f>IFERROR(__xludf.DUMMYFUNCTION("""COMPUTED_VALUE"""),0.0)</f>
        <v>0</v>
      </c>
      <c r="R45" s="214"/>
      <c r="S45" s="101"/>
      <c r="T45" s="101"/>
      <c r="U45" s="213"/>
      <c r="V45" s="101" t="str">
        <f>IFERROR(__xludf.DUMMYFUNCTION("""COMPUTED_VALUE"""),"offline")</f>
        <v>offline</v>
      </c>
      <c r="W45" s="101" t="str">
        <f>IFERROR(__xludf.DUMMYFUNCTION("""COMPUTED_VALUE"""),"SMS")</f>
        <v>SMS</v>
      </c>
      <c r="X45" s="212" t="str">
        <f>IFERROR(__xludf.DUMMYFUNCTION("""COMPUTED_VALUE"""),"Custom Upload")</f>
        <v>Custom Upload</v>
      </c>
      <c r="Y45" s="212" t="str">
        <f>IFERROR(__xludf.DUMMYFUNCTION("""COMPUTED_VALUE"""),"26th-31st Jan")</f>
        <v>26th-31st Jan</v>
      </c>
      <c r="Z45" s="212" t="str">
        <f>IFERROR(__xludf.DUMMYFUNCTION("""COMPUTED_VALUE"""),"69738b3bc60d3696a06bd737")</f>
        <v>69738b3bc60d3696a06bd737</v>
      </c>
      <c r="AA45" s="213">
        <f>IFERROR(__xludf.DUMMYFUNCTION("""COMPUTED_VALUE"""),7.0)</f>
        <v>7</v>
      </c>
      <c r="AB45" s="213"/>
      <c r="AC45" s="213">
        <f>IFERROR(__xludf.DUMMYFUNCTION("""COMPUTED_VALUE"""),7.0)</f>
        <v>7</v>
      </c>
      <c r="AD45" s="213">
        <f>IFERROR(__xludf.DUMMYFUNCTION("""COMPUTED_VALUE"""),26522.0)</f>
        <v>26522</v>
      </c>
      <c r="AE45" s="213"/>
      <c r="AF45" s="213">
        <f>IFERROR(__xludf.DUMMYFUNCTION("""COMPUTED_VALUE"""),26522.0)</f>
        <v>26522</v>
      </c>
      <c r="AG45" s="282"/>
      <c r="AH45" s="282"/>
      <c r="AI45" s="282"/>
      <c r="AJ45" s="282"/>
      <c r="AK45" s="282"/>
      <c r="AL45" s="282"/>
      <c r="AM45" s="282"/>
      <c r="AN45" s="282"/>
      <c r="AO45" s="282"/>
      <c r="AP45" s="282"/>
      <c r="AQ45" s="282"/>
      <c r="AR45" s="282"/>
      <c r="AS45" s="282"/>
      <c r="AT45" s="282"/>
      <c r="AU45" s="282"/>
      <c r="AV45" s="282"/>
      <c r="AW45" s="282"/>
      <c r="AX45" s="282"/>
      <c r="AY45" s="282"/>
      <c r="AZ45" s="282"/>
    </row>
    <row r="46">
      <c r="A46" s="306">
        <f>IFERROR(__xludf.DUMMYFUNCTION("""COMPUTED_VALUE"""),46048.0)</f>
        <v>46048</v>
      </c>
      <c r="B46" s="210">
        <f>IFERROR(__xludf.DUMMYFUNCTION("""COMPUTED_VALUE"""),0.5208333333321207)</f>
        <v>0.5208333333</v>
      </c>
      <c r="C46" s="210" t="str">
        <f>IFERROR(__xludf.DUMMYFUNCTION("""COMPUTED_VALUE"""),"Sms")</f>
        <v>Sms</v>
      </c>
      <c r="D46" s="210" t="str">
        <f>IFERROR(__xludf.DUMMYFUNCTION("""COMPUTED_VALUE"""),"Promotional")</f>
        <v>Promotional</v>
      </c>
      <c r="E46" s="210" t="str">
        <f>IFERROR(__xludf.DUMMYFUNCTION("""COMPUTED_VALUE"""),"Crocs")</f>
        <v>Crocs</v>
      </c>
      <c r="F46" s="210" t="str">
        <f>IFERROR(__xludf.DUMMYFUNCTION("""COMPUTED_VALUE"""),"Republics Day campaign")</f>
        <v>Republics Day campaign</v>
      </c>
      <c r="G46" s="210" t="str">
        <f>IFERROR(__xludf.DUMMYFUNCTION("""COMPUTED_VALUE"""),"Crocs_Republic Day_1270_v2")</f>
        <v>Crocs_Republic Day_1270_v2</v>
      </c>
      <c r="H46" s="211" t="str">
        <f>IFERROR(__xludf.DUMMYFUNCTION("""COMPUTED_VALUE"""),"CROCS_IN_Zora Mall Raipur_1270_23_Jan OR ZORA Raipur_Staff OR Crocs_internal_new OR Crocs_Internal")</f>
        <v>CROCS_IN_Zora Mall Raipur_1270_23_Jan OR ZORA Raipur_Staff OR Crocs_internal_new OR Crocs_Internal</v>
      </c>
      <c r="I46" s="211" t="str">
        <f>IFERROR(__xludf.DUMMYFUNCTION("""COMPUTED_VALUE"""),"Custom upload")</f>
        <v>Custom upload</v>
      </c>
      <c r="J46" s="213">
        <f>IFERROR(__xludf.DUMMYFUNCTION("""COMPUTED_VALUE"""),3214.0)</f>
        <v>3214</v>
      </c>
      <c r="K46" s="213">
        <f>IFERROR(__xludf.DUMMYFUNCTION("""COMPUTED_VALUE"""),1980.0)</f>
        <v>1980</v>
      </c>
      <c r="L46" s="214">
        <f>IFERROR(__xludf.DUMMYFUNCTION("""COMPUTED_VALUE"""),0.6161)</f>
        <v>0.6161</v>
      </c>
      <c r="M46" s="213"/>
      <c r="N46" s="214"/>
      <c r="O46" s="213">
        <f>IFERROR(__xludf.DUMMYFUNCTION("""COMPUTED_VALUE"""),0.0)</f>
        <v>0</v>
      </c>
      <c r="P46" s="213"/>
      <c r="Q46" s="214">
        <f>IFERROR(__xludf.DUMMYFUNCTION("""COMPUTED_VALUE"""),0.0)</f>
        <v>0</v>
      </c>
      <c r="R46" s="214"/>
      <c r="S46" s="101"/>
      <c r="T46" s="101"/>
      <c r="U46" s="213"/>
      <c r="V46" s="101" t="str">
        <f>IFERROR(__xludf.DUMMYFUNCTION("""COMPUTED_VALUE"""),"offline")</f>
        <v>offline</v>
      </c>
      <c r="W46" s="101" t="str">
        <f>IFERROR(__xludf.DUMMYFUNCTION("""COMPUTED_VALUE"""),"SMS")</f>
        <v>SMS</v>
      </c>
      <c r="X46" s="212" t="str">
        <f>IFERROR(__xludf.DUMMYFUNCTION("""COMPUTED_VALUE"""),"Custom Upload")</f>
        <v>Custom Upload</v>
      </c>
      <c r="Y46" s="212" t="str">
        <f>IFERROR(__xludf.DUMMYFUNCTION("""COMPUTED_VALUE"""),"26th-31st Jan")</f>
        <v>26th-31st Jan</v>
      </c>
      <c r="Z46" s="212" t="str">
        <f>IFERROR(__xludf.DUMMYFUNCTION("""COMPUTED_VALUE"""),"69738b900d0bc313ba5a432d")</f>
        <v>69738b900d0bc313ba5a432d</v>
      </c>
      <c r="AA46" s="287">
        <f>IFERROR(__xludf.DUMMYFUNCTION("""COMPUTED_VALUE"""),2.0)</f>
        <v>2</v>
      </c>
      <c r="AB46" s="213"/>
      <c r="AC46" s="213">
        <f>IFERROR(__xludf.DUMMYFUNCTION("""COMPUTED_VALUE"""),2.0)</f>
        <v>2</v>
      </c>
      <c r="AD46" s="213">
        <f>IFERROR(__xludf.DUMMYFUNCTION("""COMPUTED_VALUE"""),7991.0)</f>
        <v>7991</v>
      </c>
      <c r="AE46" s="213"/>
      <c r="AF46" s="213">
        <f>IFERROR(__xludf.DUMMYFUNCTION("""COMPUTED_VALUE"""),7991.0)</f>
        <v>7991</v>
      </c>
      <c r="AG46" s="282"/>
      <c r="AH46" s="282"/>
      <c r="AI46" s="282"/>
      <c r="AJ46" s="282"/>
      <c r="AK46" s="282"/>
      <c r="AL46" s="282"/>
      <c r="AM46" s="282"/>
      <c r="AN46" s="282"/>
      <c r="AO46" s="282"/>
      <c r="AP46" s="282"/>
      <c r="AQ46" s="282"/>
      <c r="AR46" s="282"/>
      <c r="AS46" s="282"/>
      <c r="AT46" s="282"/>
      <c r="AU46" s="282"/>
      <c r="AV46" s="282"/>
      <c r="AW46" s="282"/>
      <c r="AX46" s="282"/>
      <c r="AY46" s="282"/>
      <c r="AZ46" s="282"/>
    </row>
    <row r="47">
      <c r="A47" s="306">
        <f>IFERROR(__xludf.DUMMYFUNCTION("""COMPUTED_VALUE"""),46048.0)</f>
        <v>46048</v>
      </c>
      <c r="B47" s="210">
        <f>IFERROR(__xludf.DUMMYFUNCTION("""COMPUTED_VALUE"""),0.5208333333321207)</f>
        <v>0.5208333333</v>
      </c>
      <c r="C47" s="210" t="str">
        <f>IFERROR(__xludf.DUMMYFUNCTION("""COMPUTED_VALUE"""),"Sms")</f>
        <v>Sms</v>
      </c>
      <c r="D47" s="210" t="str">
        <f>IFERROR(__xludf.DUMMYFUNCTION("""COMPUTED_VALUE"""),"Promotional")</f>
        <v>Promotional</v>
      </c>
      <c r="E47" s="210" t="str">
        <f>IFERROR(__xludf.DUMMYFUNCTION("""COMPUTED_VALUE"""),"Crocs")</f>
        <v>Crocs</v>
      </c>
      <c r="F47" s="210" t="str">
        <f>IFERROR(__xludf.DUMMYFUNCTION("""COMPUTED_VALUE"""),"Republics Day campaign")</f>
        <v>Republics Day campaign</v>
      </c>
      <c r="G47" s="210" t="str">
        <f>IFERROR(__xludf.DUMMYFUNCTION("""COMPUTED_VALUE"""),"Crocs_Republic Day_1257_v2")</f>
        <v>Crocs_Republic Day_1257_v2</v>
      </c>
      <c r="H47" s="211" t="str">
        <f>IFERROR(__xludf.DUMMYFUNCTION("""COMPUTED_VALUE"""),"CROCS_IN_Gajraula_1257_23_Jan OR Gajraula_Staff OR Crocs_internal_new")</f>
        <v>CROCS_IN_Gajraula_1257_23_Jan OR Gajraula_Staff OR Crocs_internal_new</v>
      </c>
      <c r="I47" s="211" t="str">
        <f>IFERROR(__xludf.DUMMYFUNCTION("""COMPUTED_VALUE"""),"Custom upload")</f>
        <v>Custom upload</v>
      </c>
      <c r="J47" s="213">
        <f>IFERROR(__xludf.DUMMYFUNCTION("""COMPUTED_VALUE"""),3371.0)</f>
        <v>3371</v>
      </c>
      <c r="K47" s="213">
        <f>IFERROR(__xludf.DUMMYFUNCTION("""COMPUTED_VALUE"""),1990.0)</f>
        <v>1990</v>
      </c>
      <c r="L47" s="214">
        <f>IFERROR(__xludf.DUMMYFUNCTION("""COMPUTED_VALUE"""),0.5903)</f>
        <v>0.5903</v>
      </c>
      <c r="M47" s="213"/>
      <c r="N47" s="214"/>
      <c r="O47" s="213">
        <f>IFERROR(__xludf.DUMMYFUNCTION("""COMPUTED_VALUE"""),0.0)</f>
        <v>0</v>
      </c>
      <c r="P47" s="213"/>
      <c r="Q47" s="214">
        <f>IFERROR(__xludf.DUMMYFUNCTION("""COMPUTED_VALUE"""),0.0)</f>
        <v>0</v>
      </c>
      <c r="R47" s="214"/>
      <c r="S47" s="101"/>
      <c r="T47" s="101"/>
      <c r="U47" s="213"/>
      <c r="V47" s="101" t="str">
        <f>IFERROR(__xludf.DUMMYFUNCTION("""COMPUTED_VALUE"""),"offline")</f>
        <v>offline</v>
      </c>
      <c r="W47" s="101" t="str">
        <f>IFERROR(__xludf.DUMMYFUNCTION("""COMPUTED_VALUE"""),"SMS")</f>
        <v>SMS</v>
      </c>
      <c r="X47" s="212" t="str">
        <f>IFERROR(__xludf.DUMMYFUNCTION("""COMPUTED_VALUE"""),"Custom Upload")</f>
        <v>Custom Upload</v>
      </c>
      <c r="Y47" s="212" t="str">
        <f>IFERROR(__xludf.DUMMYFUNCTION("""COMPUTED_VALUE"""),"26th-31st Jan")</f>
        <v>26th-31st Jan</v>
      </c>
      <c r="Z47" s="212" t="str">
        <f>IFERROR(__xludf.DUMMYFUNCTION("""COMPUTED_VALUE"""),"69738bd1a43e02ecb2010de9")</f>
        <v>69738bd1a43e02ecb2010de9</v>
      </c>
      <c r="AA47" s="287">
        <f>IFERROR(__xludf.DUMMYFUNCTION("""COMPUTED_VALUE"""),2.0)</f>
        <v>2</v>
      </c>
      <c r="AB47" s="213"/>
      <c r="AC47" s="213">
        <f>IFERROR(__xludf.DUMMYFUNCTION("""COMPUTED_VALUE"""),2.0)</f>
        <v>2</v>
      </c>
      <c r="AD47" s="213">
        <f>IFERROR(__xludf.DUMMYFUNCTION("""COMPUTED_VALUE"""),5891.0)</f>
        <v>5891</v>
      </c>
      <c r="AE47" s="213"/>
      <c r="AF47" s="213">
        <f>IFERROR(__xludf.DUMMYFUNCTION("""COMPUTED_VALUE"""),5891.0)</f>
        <v>5891</v>
      </c>
      <c r="AG47" s="282"/>
      <c r="AH47" s="282"/>
      <c r="AI47" s="282"/>
      <c r="AJ47" s="282"/>
      <c r="AK47" s="282"/>
      <c r="AL47" s="282"/>
      <c r="AM47" s="282"/>
      <c r="AN47" s="282"/>
      <c r="AO47" s="282"/>
      <c r="AP47" s="282"/>
      <c r="AQ47" s="282"/>
      <c r="AR47" s="282"/>
      <c r="AS47" s="282"/>
      <c r="AT47" s="282"/>
      <c r="AU47" s="282"/>
      <c r="AV47" s="282"/>
      <c r="AW47" s="282"/>
      <c r="AX47" s="282"/>
      <c r="AY47" s="282"/>
      <c r="AZ47" s="282"/>
    </row>
    <row r="48">
      <c r="A48" s="306">
        <f>IFERROR(__xludf.DUMMYFUNCTION("""COMPUTED_VALUE"""),46048.0)</f>
        <v>46048</v>
      </c>
      <c r="B48" s="210">
        <f>IFERROR(__xludf.DUMMYFUNCTION("""COMPUTED_VALUE"""),0.5208333333321207)</f>
        <v>0.5208333333</v>
      </c>
      <c r="C48" s="210" t="str">
        <f>IFERROR(__xludf.DUMMYFUNCTION("""COMPUTED_VALUE"""),"Sms")</f>
        <v>Sms</v>
      </c>
      <c r="D48" s="210" t="str">
        <f>IFERROR(__xludf.DUMMYFUNCTION("""COMPUTED_VALUE"""),"Promotional")</f>
        <v>Promotional</v>
      </c>
      <c r="E48" s="210" t="str">
        <f>IFERROR(__xludf.DUMMYFUNCTION("""COMPUTED_VALUE"""),"Crocs")</f>
        <v>Crocs</v>
      </c>
      <c r="F48" s="210" t="str">
        <f>IFERROR(__xludf.DUMMYFUNCTION("""COMPUTED_VALUE"""),"Republics Day campaign")</f>
        <v>Republics Day campaign</v>
      </c>
      <c r="G48" s="210" t="str">
        <f>IFERROR(__xludf.DUMMYFUNCTION("""COMPUTED_VALUE"""),"Crocs_Republic Day_1274_v2")</f>
        <v>Crocs_Republic Day_1274_v2</v>
      </c>
      <c r="H48" s="211" t="str">
        <f>IFERROR(__xludf.DUMMYFUNCTION("""COMPUTED_VALUE"""),"CROCS_IN_CP67 Mohali Kiosk_1274_23_Jan OR Mohali Kiosk_Staff OR Crocs_internal_new")</f>
        <v>CROCS_IN_CP67 Mohali Kiosk_1274_23_Jan OR Mohali Kiosk_Staff OR Crocs_internal_new</v>
      </c>
      <c r="I48" s="211" t="str">
        <f>IFERROR(__xludf.DUMMYFUNCTION("""COMPUTED_VALUE"""),"Custom upload")</f>
        <v>Custom upload</v>
      </c>
      <c r="J48" s="213">
        <f>IFERROR(__xludf.DUMMYFUNCTION("""COMPUTED_VALUE"""),10454.0)</f>
        <v>10454</v>
      </c>
      <c r="K48" s="213">
        <f>IFERROR(__xludf.DUMMYFUNCTION("""COMPUTED_VALUE"""),5262.0)</f>
        <v>5262</v>
      </c>
      <c r="L48" s="214">
        <f>IFERROR(__xludf.DUMMYFUNCTION("""COMPUTED_VALUE"""),0.5033)</f>
        <v>0.5033</v>
      </c>
      <c r="M48" s="213"/>
      <c r="N48" s="214"/>
      <c r="O48" s="213">
        <f>IFERROR(__xludf.DUMMYFUNCTION("""COMPUTED_VALUE"""),0.0)</f>
        <v>0</v>
      </c>
      <c r="P48" s="213"/>
      <c r="Q48" s="214">
        <f>IFERROR(__xludf.DUMMYFUNCTION("""COMPUTED_VALUE"""),0.0)</f>
        <v>0</v>
      </c>
      <c r="R48" s="214"/>
      <c r="S48" s="101"/>
      <c r="T48" s="101"/>
      <c r="U48" s="213"/>
      <c r="V48" s="101" t="str">
        <f>IFERROR(__xludf.DUMMYFUNCTION("""COMPUTED_VALUE"""),"offline")</f>
        <v>offline</v>
      </c>
      <c r="W48" s="101" t="str">
        <f>IFERROR(__xludf.DUMMYFUNCTION("""COMPUTED_VALUE"""),"SMS")</f>
        <v>SMS</v>
      </c>
      <c r="X48" s="212" t="str">
        <f>IFERROR(__xludf.DUMMYFUNCTION("""COMPUTED_VALUE"""),"Custom Upload")</f>
        <v>Custom Upload</v>
      </c>
      <c r="Y48" s="212" t="str">
        <f>IFERROR(__xludf.DUMMYFUNCTION("""COMPUTED_VALUE"""),"26th-31st Jan")</f>
        <v>26th-31st Jan</v>
      </c>
      <c r="Z48" s="212" t="str">
        <f>IFERROR(__xludf.DUMMYFUNCTION("""COMPUTED_VALUE"""),"69738bf7d3a577d660763b8c")</f>
        <v>69738bf7d3a577d660763b8c</v>
      </c>
      <c r="AA48" s="287">
        <f>IFERROR(__xludf.DUMMYFUNCTION("""COMPUTED_VALUE"""),3.0)</f>
        <v>3</v>
      </c>
      <c r="AB48" s="213"/>
      <c r="AC48" s="213">
        <f>IFERROR(__xludf.DUMMYFUNCTION("""COMPUTED_VALUE"""),3.0)</f>
        <v>3</v>
      </c>
      <c r="AD48" s="213">
        <f>IFERROR(__xludf.DUMMYFUNCTION("""COMPUTED_VALUE"""),16836.0)</f>
        <v>16836</v>
      </c>
      <c r="AE48" s="213"/>
      <c r="AF48" s="213">
        <f>IFERROR(__xludf.DUMMYFUNCTION("""COMPUTED_VALUE"""),16836.0)</f>
        <v>16836</v>
      </c>
      <c r="AG48" s="282"/>
      <c r="AH48" s="282"/>
      <c r="AI48" s="282"/>
      <c r="AJ48" s="282"/>
      <c r="AK48" s="282"/>
      <c r="AL48" s="282"/>
      <c r="AM48" s="282"/>
      <c r="AN48" s="282"/>
      <c r="AO48" s="282"/>
      <c r="AP48" s="282"/>
      <c r="AQ48" s="282"/>
      <c r="AR48" s="282"/>
      <c r="AS48" s="282"/>
      <c r="AT48" s="282"/>
      <c r="AU48" s="282"/>
      <c r="AV48" s="282"/>
      <c r="AW48" s="282"/>
      <c r="AX48" s="282"/>
      <c r="AY48" s="282"/>
      <c r="AZ48" s="282"/>
    </row>
    <row r="49">
      <c r="A49" s="306">
        <f>IFERROR(__xludf.DUMMYFUNCTION("""COMPUTED_VALUE"""),46048.0)</f>
        <v>46048</v>
      </c>
      <c r="B49" s="247">
        <f>IFERROR(__xludf.DUMMYFUNCTION("""COMPUTED_VALUE"""),0.5208333333321207)</f>
        <v>0.5208333333</v>
      </c>
      <c r="C49" s="218" t="str">
        <f>IFERROR(__xludf.DUMMYFUNCTION("""COMPUTED_VALUE"""),"Sms")</f>
        <v>Sms</v>
      </c>
      <c r="D49" s="218" t="str">
        <f>IFERROR(__xludf.DUMMYFUNCTION("""COMPUTED_VALUE"""),"Promotional")</f>
        <v>Promotional</v>
      </c>
      <c r="E49" s="218" t="str">
        <f>IFERROR(__xludf.DUMMYFUNCTION("""COMPUTED_VALUE"""),"Crocs")</f>
        <v>Crocs</v>
      </c>
      <c r="F49" s="218" t="str">
        <f>IFERROR(__xludf.DUMMYFUNCTION("""COMPUTED_VALUE"""),"Republics Day campaign")</f>
        <v>Republics Day campaign</v>
      </c>
      <c r="G49" s="218" t="str">
        <f>IFERROR(__xludf.DUMMYFUNCTION("""COMPUTED_VALUE"""),"Crocs_Republic Day_1275_v2")</f>
        <v>Crocs_Republic Day_1275_v2</v>
      </c>
      <c r="H49" s="218" t="str">
        <f>IFERROR(__xludf.DUMMYFUNCTION("""COMPUTED_VALUE"""),"CROCS_IN_Hisar_1275_23_Jan OR Hisar_Staff OR Crocs_internal_new")</f>
        <v>CROCS_IN_Hisar_1275_23_Jan OR Hisar_Staff OR Crocs_internal_new</v>
      </c>
      <c r="I49" s="218" t="str">
        <f>IFERROR(__xludf.DUMMYFUNCTION("""COMPUTED_VALUE"""),"Custom upload")</f>
        <v>Custom upload</v>
      </c>
      <c r="J49" s="213">
        <f>IFERROR(__xludf.DUMMYFUNCTION("""COMPUTED_VALUE"""),8756.0)</f>
        <v>8756</v>
      </c>
      <c r="K49" s="213">
        <f>IFERROR(__xludf.DUMMYFUNCTION("""COMPUTED_VALUE"""),4973.0)</f>
        <v>4973</v>
      </c>
      <c r="L49" s="214">
        <f>IFERROR(__xludf.DUMMYFUNCTION("""COMPUTED_VALUE"""),0.568)</f>
        <v>0.568</v>
      </c>
      <c r="M49" s="213"/>
      <c r="N49" s="214"/>
      <c r="O49" s="213">
        <f>IFERROR(__xludf.DUMMYFUNCTION("""COMPUTED_VALUE"""),0.0)</f>
        <v>0</v>
      </c>
      <c r="P49" s="213"/>
      <c r="Q49" s="214">
        <f>IFERROR(__xludf.DUMMYFUNCTION("""COMPUTED_VALUE"""),0.0)</f>
        <v>0</v>
      </c>
      <c r="R49" s="214"/>
      <c r="S49" s="218"/>
      <c r="T49" s="218"/>
      <c r="U49" s="270"/>
      <c r="V49" s="101" t="str">
        <f>IFERROR(__xludf.DUMMYFUNCTION("""COMPUTED_VALUE"""),"offline")</f>
        <v>offline</v>
      </c>
      <c r="W49" s="101" t="str">
        <f>IFERROR(__xludf.DUMMYFUNCTION("""COMPUTED_VALUE"""),"SMS")</f>
        <v>SMS</v>
      </c>
      <c r="X49" s="212" t="str">
        <f>IFERROR(__xludf.DUMMYFUNCTION("""COMPUTED_VALUE"""),"Custom Upload")</f>
        <v>Custom Upload</v>
      </c>
      <c r="Y49" s="212" t="str">
        <f>IFERROR(__xludf.DUMMYFUNCTION("""COMPUTED_VALUE"""),"26th-31st Jan")</f>
        <v>26th-31st Jan</v>
      </c>
      <c r="Z49" s="212" t="str">
        <f>IFERROR(__xludf.DUMMYFUNCTION("""COMPUTED_VALUE"""),"69738c90fa79c048770bbf69")</f>
        <v>69738c90fa79c048770bbf69</v>
      </c>
      <c r="AA49" s="287">
        <f>IFERROR(__xludf.DUMMYFUNCTION("""COMPUTED_VALUE"""),3.0)</f>
        <v>3</v>
      </c>
      <c r="AB49" s="213"/>
      <c r="AC49" s="213">
        <f>IFERROR(__xludf.DUMMYFUNCTION("""COMPUTED_VALUE"""),3.0)</f>
        <v>3</v>
      </c>
      <c r="AD49" s="213">
        <f>IFERROR(__xludf.DUMMYFUNCTION("""COMPUTED_VALUE"""),8889.0)</f>
        <v>8889</v>
      </c>
      <c r="AE49" s="213"/>
      <c r="AF49" s="213">
        <f>IFERROR(__xludf.DUMMYFUNCTION("""COMPUTED_VALUE"""),8889.0)</f>
        <v>8889</v>
      </c>
      <c r="AG49" s="282"/>
      <c r="AH49" s="282"/>
      <c r="AI49" s="282"/>
      <c r="AJ49" s="282"/>
      <c r="AK49" s="282"/>
      <c r="AL49" s="282"/>
      <c r="AM49" s="282"/>
      <c r="AN49" s="282"/>
      <c r="AO49" s="282"/>
      <c r="AP49" s="282"/>
      <c r="AQ49" s="282"/>
      <c r="AR49" s="282"/>
      <c r="AS49" s="282"/>
      <c r="AT49" s="282"/>
      <c r="AU49" s="282"/>
      <c r="AV49" s="282"/>
      <c r="AW49" s="282"/>
      <c r="AX49" s="282"/>
      <c r="AY49" s="282"/>
      <c r="AZ49" s="282"/>
    </row>
    <row r="50">
      <c r="A50" s="306">
        <f>IFERROR(__xludf.DUMMYFUNCTION("""COMPUTED_VALUE"""),46048.0)</f>
        <v>46048</v>
      </c>
      <c r="B50" s="247">
        <f>IFERROR(__xludf.DUMMYFUNCTION("""COMPUTED_VALUE"""),0.5208333333321207)</f>
        <v>0.5208333333</v>
      </c>
      <c r="C50" s="218" t="str">
        <f>IFERROR(__xludf.DUMMYFUNCTION("""COMPUTED_VALUE"""),"Sms")</f>
        <v>Sms</v>
      </c>
      <c r="D50" s="218" t="str">
        <f>IFERROR(__xludf.DUMMYFUNCTION("""COMPUTED_VALUE"""),"Promotional")</f>
        <v>Promotional</v>
      </c>
      <c r="E50" s="218" t="str">
        <f>IFERROR(__xludf.DUMMYFUNCTION("""COMPUTED_VALUE"""),"Crocs")</f>
        <v>Crocs</v>
      </c>
      <c r="F50" s="218" t="str">
        <f>IFERROR(__xludf.DUMMYFUNCTION("""COMPUTED_VALUE"""),"Republics Day campaign")</f>
        <v>Republics Day campaign</v>
      </c>
      <c r="G50" s="218" t="str">
        <f>IFERROR(__xludf.DUMMYFUNCTION("""COMPUTED_VALUE"""),"Crocs_Republic Day_1206_v2")</f>
        <v>Crocs_Republic Day_1206_v2</v>
      </c>
      <c r="H50" s="218" t="str">
        <f>IFERROR(__xludf.DUMMYFUNCTION("""COMPUTED_VALUE"""),"CROCS_IN_Pavilion Mall Kiosk_3004_23_Jan OR Pavilion Mall Kiosk_Staff OR Crocs_internal_new")</f>
        <v>CROCS_IN_Pavilion Mall Kiosk_3004_23_Jan OR Pavilion Mall Kiosk_Staff OR Crocs_internal_new</v>
      </c>
      <c r="I50" s="218" t="str">
        <f>IFERROR(__xludf.DUMMYFUNCTION("""COMPUTED_VALUE"""),"Custom upload")</f>
        <v>Custom upload</v>
      </c>
      <c r="J50" s="213">
        <f>IFERROR(__xludf.DUMMYFUNCTION("""COMPUTED_VALUE"""),384.0)</f>
        <v>384</v>
      </c>
      <c r="K50" s="213">
        <f>IFERROR(__xludf.DUMMYFUNCTION("""COMPUTED_VALUE"""),234.0)</f>
        <v>234</v>
      </c>
      <c r="L50" s="214">
        <f>IFERROR(__xludf.DUMMYFUNCTION("""COMPUTED_VALUE"""),0.6094)</f>
        <v>0.6094</v>
      </c>
      <c r="M50" s="213"/>
      <c r="N50" s="214"/>
      <c r="O50" s="213">
        <f>IFERROR(__xludf.DUMMYFUNCTION("""COMPUTED_VALUE"""),0.0)</f>
        <v>0</v>
      </c>
      <c r="P50" s="213"/>
      <c r="Q50" s="214">
        <f>IFERROR(__xludf.DUMMYFUNCTION("""COMPUTED_VALUE"""),0.0)</f>
        <v>0</v>
      </c>
      <c r="R50" s="214"/>
      <c r="S50" s="218"/>
      <c r="T50" s="218"/>
      <c r="U50" s="270"/>
      <c r="V50" s="101" t="str">
        <f>IFERROR(__xludf.DUMMYFUNCTION("""COMPUTED_VALUE"""),"offline")</f>
        <v>offline</v>
      </c>
      <c r="W50" s="101" t="str">
        <f>IFERROR(__xludf.DUMMYFUNCTION("""COMPUTED_VALUE"""),"SMS")</f>
        <v>SMS</v>
      </c>
      <c r="X50" s="212" t="str">
        <f>IFERROR(__xludf.DUMMYFUNCTION("""COMPUTED_VALUE"""),"Custom Upload")</f>
        <v>Custom Upload</v>
      </c>
      <c r="Y50" s="212" t="str">
        <f>IFERROR(__xludf.DUMMYFUNCTION("""COMPUTED_VALUE"""),"26th-31st Jan")</f>
        <v>26th-31st Jan</v>
      </c>
      <c r="Z50" s="212" t="str">
        <f>IFERROR(__xludf.DUMMYFUNCTION("""COMPUTED_VALUE"""),"69738d0c5339fc38b44ed7db")</f>
        <v>69738d0c5339fc38b44ed7db</v>
      </c>
      <c r="AA50" s="287">
        <f>IFERROR(__xludf.DUMMYFUNCTION("""COMPUTED_VALUE"""),0.0)</f>
        <v>0</v>
      </c>
      <c r="AB50" s="213"/>
      <c r="AC50" s="213">
        <f>IFERROR(__xludf.DUMMYFUNCTION("""COMPUTED_VALUE"""),0.0)</f>
        <v>0</v>
      </c>
      <c r="AD50" s="213">
        <f>IFERROR(__xludf.DUMMYFUNCTION("""COMPUTED_VALUE"""),0.0)</f>
        <v>0</v>
      </c>
      <c r="AE50" s="213"/>
      <c r="AF50" s="213">
        <f>IFERROR(__xludf.DUMMYFUNCTION("""COMPUTED_VALUE"""),0.0)</f>
        <v>0</v>
      </c>
      <c r="AG50" s="282"/>
      <c r="AH50" s="282"/>
      <c r="AI50" s="282"/>
      <c r="AJ50" s="282"/>
      <c r="AK50" s="282"/>
      <c r="AL50" s="282"/>
      <c r="AM50" s="282"/>
      <c r="AN50" s="282"/>
      <c r="AO50" s="282"/>
      <c r="AP50" s="282"/>
      <c r="AQ50" s="282"/>
      <c r="AR50" s="282"/>
      <c r="AS50" s="282"/>
      <c r="AT50" s="282"/>
      <c r="AU50" s="282"/>
      <c r="AV50" s="282"/>
      <c r="AW50" s="282"/>
      <c r="AX50" s="282"/>
      <c r="AY50" s="282"/>
      <c r="AZ50" s="282"/>
    </row>
    <row r="51">
      <c r="A51" s="306">
        <f>IFERROR(__xludf.DUMMYFUNCTION("""COMPUTED_VALUE"""),46048.0)</f>
        <v>46048</v>
      </c>
      <c r="B51" s="247">
        <f>IFERROR(__xludf.DUMMYFUNCTION("""COMPUTED_VALUE"""),0.5208333333321207)</f>
        <v>0.5208333333</v>
      </c>
      <c r="C51" s="218" t="str">
        <f>IFERROR(__xludf.DUMMYFUNCTION("""COMPUTED_VALUE"""),"Sms")</f>
        <v>Sms</v>
      </c>
      <c r="D51" s="218" t="str">
        <f>IFERROR(__xludf.DUMMYFUNCTION("""COMPUTED_VALUE"""),"Promotional")</f>
        <v>Promotional</v>
      </c>
      <c r="E51" s="218" t="str">
        <f>IFERROR(__xludf.DUMMYFUNCTION("""COMPUTED_VALUE"""),"Crocs")</f>
        <v>Crocs</v>
      </c>
      <c r="F51" s="218" t="str">
        <f>IFERROR(__xludf.DUMMYFUNCTION("""COMPUTED_VALUE"""),"Republics Day campaign")</f>
        <v>Republics Day campaign</v>
      </c>
      <c r="G51" s="218" t="str">
        <f>IFERROR(__xludf.DUMMYFUNCTION("""COMPUTED_VALUE"""),"Crocs_Republic Day_1256_v2")</f>
        <v>Crocs_Republic Day_1256_v2</v>
      </c>
      <c r="H51" s="218" t="str">
        <f>IFERROR(__xludf.DUMMYFUNCTION("""COMPUTED_VALUE"""),"CROCS_IN_Walk In Square_1256_23_Jan OR Walk in Square Amritsar_Staff OR Crocs_internal_new")</f>
        <v>CROCS_IN_Walk In Square_1256_23_Jan OR Walk in Square Amritsar_Staff OR Crocs_internal_new</v>
      </c>
      <c r="I51" s="218" t="str">
        <f>IFERROR(__xludf.DUMMYFUNCTION("""COMPUTED_VALUE"""),"Custom upload")</f>
        <v>Custom upload</v>
      </c>
      <c r="J51" s="213">
        <f>IFERROR(__xludf.DUMMYFUNCTION("""COMPUTED_VALUE"""),13211.0)</f>
        <v>13211</v>
      </c>
      <c r="K51" s="213">
        <f>IFERROR(__xludf.DUMMYFUNCTION("""COMPUTED_VALUE"""),7877.0)</f>
        <v>7877</v>
      </c>
      <c r="L51" s="214">
        <f>IFERROR(__xludf.DUMMYFUNCTION("""COMPUTED_VALUE"""),0.5962)</f>
        <v>0.5962</v>
      </c>
      <c r="M51" s="213"/>
      <c r="N51" s="214"/>
      <c r="O51" s="213">
        <f>IFERROR(__xludf.DUMMYFUNCTION("""COMPUTED_VALUE"""),0.0)</f>
        <v>0</v>
      </c>
      <c r="P51" s="213"/>
      <c r="Q51" s="214">
        <f>IFERROR(__xludf.DUMMYFUNCTION("""COMPUTED_VALUE"""),0.0)</f>
        <v>0</v>
      </c>
      <c r="R51" s="214"/>
      <c r="S51" s="270"/>
      <c r="T51" s="270"/>
      <c r="U51" s="270"/>
      <c r="V51" s="101" t="str">
        <f>IFERROR(__xludf.DUMMYFUNCTION("""COMPUTED_VALUE"""),"offline")</f>
        <v>offline</v>
      </c>
      <c r="W51" s="101" t="str">
        <f>IFERROR(__xludf.DUMMYFUNCTION("""COMPUTED_VALUE"""),"SMS")</f>
        <v>SMS</v>
      </c>
      <c r="X51" s="212" t="str">
        <f>IFERROR(__xludf.DUMMYFUNCTION("""COMPUTED_VALUE"""),"Custom Upload")</f>
        <v>Custom Upload</v>
      </c>
      <c r="Y51" s="212" t="str">
        <f>IFERROR(__xludf.DUMMYFUNCTION("""COMPUTED_VALUE"""),"26th-31st Jan")</f>
        <v>26th-31st Jan</v>
      </c>
      <c r="Z51" s="212" t="str">
        <f>IFERROR(__xludf.DUMMYFUNCTION("""COMPUTED_VALUE"""),"69738db60b0d6066592ffedf")</f>
        <v>69738db60b0d6066592ffedf</v>
      </c>
      <c r="AA51" s="287">
        <f>IFERROR(__xludf.DUMMYFUNCTION("""COMPUTED_VALUE"""),1.0)</f>
        <v>1</v>
      </c>
      <c r="AB51" s="213"/>
      <c r="AC51" s="213">
        <f>IFERROR(__xludf.DUMMYFUNCTION("""COMPUTED_VALUE"""),1.0)</f>
        <v>1</v>
      </c>
      <c r="AD51" s="213">
        <f>IFERROR(__xludf.DUMMYFUNCTION("""COMPUTED_VALUE"""),1497.0)</f>
        <v>1497</v>
      </c>
      <c r="AE51" s="213"/>
      <c r="AF51" s="213">
        <f>IFERROR(__xludf.DUMMYFUNCTION("""COMPUTED_VALUE"""),1497.0)</f>
        <v>1497</v>
      </c>
      <c r="AG51" s="282"/>
      <c r="AH51" s="282"/>
      <c r="AI51" s="282"/>
      <c r="AJ51" s="282"/>
      <c r="AK51" s="282"/>
      <c r="AL51" s="282"/>
      <c r="AM51" s="282"/>
      <c r="AN51" s="282"/>
      <c r="AO51" s="282"/>
      <c r="AP51" s="282"/>
      <c r="AQ51" s="282"/>
      <c r="AR51" s="282"/>
      <c r="AS51" s="282"/>
      <c r="AT51" s="282"/>
      <c r="AU51" s="282"/>
      <c r="AV51" s="282"/>
      <c r="AW51" s="282"/>
      <c r="AX51" s="282"/>
      <c r="AY51" s="282"/>
      <c r="AZ51" s="282"/>
    </row>
    <row r="52">
      <c r="A52" s="306">
        <f>IFERROR(__xludf.DUMMYFUNCTION("""COMPUTED_VALUE"""),46048.0)</f>
        <v>46048</v>
      </c>
      <c r="B52" s="247">
        <f>IFERROR(__xludf.DUMMYFUNCTION("""COMPUTED_VALUE"""),0.5208333333321207)</f>
        <v>0.5208333333</v>
      </c>
      <c r="C52" s="218" t="str">
        <f>IFERROR(__xludf.DUMMYFUNCTION("""COMPUTED_VALUE"""),"Sms")</f>
        <v>Sms</v>
      </c>
      <c r="D52" s="218" t="str">
        <f>IFERROR(__xludf.DUMMYFUNCTION("""COMPUTED_VALUE"""),"Promotional")</f>
        <v>Promotional</v>
      </c>
      <c r="E52" s="218" t="str">
        <f>IFERROR(__xludf.DUMMYFUNCTION("""COMPUTED_VALUE"""),"Crocs")</f>
        <v>Crocs</v>
      </c>
      <c r="F52" s="218" t="str">
        <f>IFERROR(__xludf.DUMMYFUNCTION("""COMPUTED_VALUE"""),"Republics Day campaign")</f>
        <v>Republics Day campaign</v>
      </c>
      <c r="G52" s="218" t="str">
        <f>IFERROR(__xludf.DUMMYFUNCTION("""COMPUTED_VALUE"""),"Crocs_Republic Day_1290_v2")</f>
        <v>Crocs_Republic Day_1290_v2</v>
      </c>
      <c r="H52" s="218" t="str">
        <f>IFERROR(__xludf.DUMMYFUNCTION("""COMPUTED_VALUE"""),"CROCS_IN_Rajouri Garden_1290_23_Jan OR Rajouri Garden Delhi_Staff OR Crocs_internal_new")</f>
        <v>CROCS_IN_Rajouri Garden_1290_23_Jan OR Rajouri Garden Delhi_Staff OR Crocs_internal_new</v>
      </c>
      <c r="I52" s="218" t="str">
        <f>IFERROR(__xludf.DUMMYFUNCTION("""COMPUTED_VALUE"""),"Custom upload")</f>
        <v>Custom upload</v>
      </c>
      <c r="J52" s="213">
        <f>IFERROR(__xludf.DUMMYFUNCTION("""COMPUTED_VALUE"""),3577.0)</f>
        <v>3577</v>
      </c>
      <c r="K52" s="213">
        <f>IFERROR(__xludf.DUMMYFUNCTION("""COMPUTED_VALUE"""),1793.0)</f>
        <v>1793</v>
      </c>
      <c r="L52" s="214">
        <f>IFERROR(__xludf.DUMMYFUNCTION("""COMPUTED_VALUE"""),0.5013)</f>
        <v>0.5013</v>
      </c>
      <c r="M52" s="213"/>
      <c r="N52" s="214"/>
      <c r="O52" s="213">
        <f>IFERROR(__xludf.DUMMYFUNCTION("""COMPUTED_VALUE"""),0.0)</f>
        <v>0</v>
      </c>
      <c r="P52" s="213"/>
      <c r="Q52" s="214">
        <f>IFERROR(__xludf.DUMMYFUNCTION("""COMPUTED_VALUE"""),0.0)</f>
        <v>0</v>
      </c>
      <c r="R52" s="214"/>
      <c r="S52" s="270"/>
      <c r="T52" s="270"/>
      <c r="U52" s="270"/>
      <c r="V52" s="101" t="str">
        <f>IFERROR(__xludf.DUMMYFUNCTION("""COMPUTED_VALUE"""),"offline")</f>
        <v>offline</v>
      </c>
      <c r="W52" s="101" t="str">
        <f>IFERROR(__xludf.DUMMYFUNCTION("""COMPUTED_VALUE"""),"SMS")</f>
        <v>SMS</v>
      </c>
      <c r="X52" s="212" t="str">
        <f>IFERROR(__xludf.DUMMYFUNCTION("""COMPUTED_VALUE"""),"Custom Upload")</f>
        <v>Custom Upload</v>
      </c>
      <c r="Y52" s="212" t="str">
        <f>IFERROR(__xludf.DUMMYFUNCTION("""COMPUTED_VALUE"""),"26th-31st Jan")</f>
        <v>26th-31st Jan</v>
      </c>
      <c r="Z52" s="212" t="str">
        <f>IFERROR(__xludf.DUMMYFUNCTION("""COMPUTED_VALUE"""),"69738dd0cd5b206487bff74c")</f>
        <v>69738dd0cd5b206487bff74c</v>
      </c>
      <c r="AA52" s="287">
        <f>IFERROR(__xludf.DUMMYFUNCTION("""COMPUTED_VALUE"""),1.0)</f>
        <v>1</v>
      </c>
      <c r="AB52" s="213"/>
      <c r="AC52" s="213">
        <f>IFERROR(__xludf.DUMMYFUNCTION("""COMPUTED_VALUE"""),1.0)</f>
        <v>1</v>
      </c>
      <c r="AD52" s="213">
        <f>IFERROR(__xludf.DUMMYFUNCTION("""COMPUTED_VALUE"""),4896.0)</f>
        <v>4896</v>
      </c>
      <c r="AE52" s="213"/>
      <c r="AF52" s="213">
        <f>IFERROR(__xludf.DUMMYFUNCTION("""COMPUTED_VALUE"""),4896.0)</f>
        <v>4896</v>
      </c>
      <c r="AG52" s="282"/>
      <c r="AH52" s="282"/>
      <c r="AI52" s="282"/>
      <c r="AJ52" s="282"/>
      <c r="AK52" s="282"/>
      <c r="AL52" s="282"/>
      <c r="AM52" s="282"/>
      <c r="AN52" s="282"/>
      <c r="AO52" s="282"/>
      <c r="AP52" s="282"/>
      <c r="AQ52" s="282"/>
      <c r="AR52" s="282"/>
      <c r="AS52" s="282"/>
      <c r="AT52" s="282"/>
      <c r="AU52" s="282"/>
      <c r="AV52" s="282"/>
      <c r="AW52" s="282"/>
      <c r="AX52" s="282"/>
      <c r="AY52" s="282"/>
      <c r="AZ52" s="282"/>
    </row>
    <row r="53">
      <c r="A53" s="306">
        <f>IFERROR(__xludf.DUMMYFUNCTION("""COMPUTED_VALUE"""),46108.0)</f>
        <v>46108</v>
      </c>
      <c r="B53" s="247">
        <f>IFERROR(__xludf.DUMMYFUNCTION("""COMPUTED_VALUE"""),0.4166666666678793)</f>
        <v>0.4166666667</v>
      </c>
      <c r="C53" s="218" t="str">
        <f>IFERROR(__xludf.DUMMYFUNCTION("""COMPUTED_VALUE"""),"Sms")</f>
        <v>Sms</v>
      </c>
      <c r="D53" s="218" t="str">
        <f>IFERROR(__xludf.DUMMYFUNCTION("""COMPUTED_VALUE"""),"Promotional")</f>
        <v>Promotional</v>
      </c>
      <c r="E53" s="218" t="str">
        <f>IFERROR(__xludf.DUMMYFUNCTION("""COMPUTED_VALUE"""),"Crocs")</f>
        <v>Crocs</v>
      </c>
      <c r="F53" s="218" t="str">
        <f>IFERROR(__xludf.DUMMYFUNCTION("""COMPUTED_VALUE"""),"Store campaigns")</f>
        <v>Store campaigns</v>
      </c>
      <c r="G53" s="218" t="str">
        <f>IFERROR(__xludf.DUMMYFUNCTION("""COMPUTED_VALUE"""),"3017_Crocs outlet_Upto50")</f>
        <v>3017_Crocs outlet_Upto50</v>
      </c>
      <c r="H53" s="218" t="str">
        <f>IFERROR(__xludf.DUMMYFUNCTION("""COMPUTED_VALUE"""),"HS_HC_ATC_2times_30D")</f>
        <v>HS_HC_ATC_2times_30D</v>
      </c>
      <c r="I53" s="218" t="str">
        <f>IFERROR(__xludf.DUMMYFUNCTION("""COMPUTED_VALUE"""),"Custom Upload")</f>
        <v>Custom Upload</v>
      </c>
      <c r="J53" s="213">
        <f>IFERROR(__xludf.DUMMYFUNCTION("""COMPUTED_VALUE"""),4033.0)</f>
        <v>4033</v>
      </c>
      <c r="K53" s="213">
        <f>IFERROR(__xludf.DUMMYFUNCTION("""COMPUTED_VALUE"""),2179.0)</f>
        <v>2179</v>
      </c>
      <c r="L53" s="214">
        <f>IFERROR(__xludf.DUMMYFUNCTION("""COMPUTED_VALUE"""),0.5403)</f>
        <v>0.5403</v>
      </c>
      <c r="M53" s="213"/>
      <c r="N53" s="214"/>
      <c r="O53" s="213">
        <f>IFERROR(__xludf.DUMMYFUNCTION("""COMPUTED_VALUE"""),0.0)</f>
        <v>0</v>
      </c>
      <c r="P53" s="213"/>
      <c r="Q53" s="214">
        <f>IFERROR(__xludf.DUMMYFUNCTION("""COMPUTED_VALUE"""),0.0)</f>
        <v>0</v>
      </c>
      <c r="R53" s="214"/>
      <c r="S53" s="270"/>
      <c r="T53" s="270"/>
      <c r="U53" s="270"/>
      <c r="V53" s="101" t="str">
        <f>IFERROR(__xludf.DUMMYFUNCTION("""COMPUTED_VALUE"""),"offline ")</f>
        <v>offline </v>
      </c>
      <c r="W53" s="101" t="str">
        <f>IFERROR(__xludf.DUMMYFUNCTION("""COMPUTED_VALUE"""),"SMS")</f>
        <v>SMS</v>
      </c>
      <c r="X53" s="212" t="str">
        <f>IFERROR(__xludf.DUMMYFUNCTION("""COMPUTED_VALUE"""),"Store level")</f>
        <v>Store level</v>
      </c>
      <c r="Y53" s="212" t="str">
        <f>IFERROR(__xludf.DUMMYFUNCTION("""COMPUTED_VALUE"""),"12th April")</f>
        <v>12th April</v>
      </c>
      <c r="Z53" s="212" t="str">
        <f>IFERROR(__xludf.DUMMYFUNCTION("""COMPUTED_VALUE"""),"69c386f88df1666f199e3801")</f>
        <v>69c386f88df1666f199e3801</v>
      </c>
      <c r="AA53" s="287">
        <f>IFERROR(__xludf.DUMMYFUNCTION("""COMPUTED_VALUE"""),3.0)</f>
        <v>3</v>
      </c>
      <c r="AB53" s="213"/>
      <c r="AC53" s="213">
        <f>IFERROR(__xludf.DUMMYFUNCTION("""COMPUTED_VALUE"""),3.0)</f>
        <v>3</v>
      </c>
      <c r="AD53" s="213">
        <f>IFERROR(__xludf.DUMMYFUNCTION("""COMPUTED_VALUE"""),10835.0)</f>
        <v>10835</v>
      </c>
      <c r="AE53" s="213"/>
      <c r="AF53" s="213">
        <f>IFERROR(__xludf.DUMMYFUNCTION("""COMPUTED_VALUE"""),10835.0)</f>
        <v>10835</v>
      </c>
      <c r="AG53" s="282"/>
      <c r="AH53" s="282"/>
      <c r="AI53" s="282"/>
      <c r="AJ53" s="282"/>
      <c r="AK53" s="282"/>
      <c r="AL53" s="282"/>
      <c r="AM53" s="282"/>
      <c r="AN53" s="282"/>
      <c r="AO53" s="282"/>
      <c r="AP53" s="282"/>
      <c r="AQ53" s="282"/>
      <c r="AR53" s="282"/>
      <c r="AS53" s="282"/>
      <c r="AT53" s="282"/>
      <c r="AU53" s="282"/>
      <c r="AV53" s="282"/>
      <c r="AW53" s="282"/>
      <c r="AX53" s="282"/>
      <c r="AY53" s="282"/>
      <c r="AZ53" s="282"/>
    </row>
    <row r="54">
      <c r="A54" s="306">
        <f>IFERROR(__xludf.DUMMYFUNCTION("""COMPUTED_VALUE"""),46108.0)</f>
        <v>46108</v>
      </c>
      <c r="B54" s="247">
        <f>IFERROR(__xludf.DUMMYFUNCTION("""COMPUTED_VALUE"""),0.4166666666678793)</f>
        <v>0.4166666667</v>
      </c>
      <c r="C54" s="218" t="str">
        <f>IFERROR(__xludf.DUMMYFUNCTION("""COMPUTED_VALUE"""),"Sms")</f>
        <v>Sms</v>
      </c>
      <c r="D54" s="218" t="str">
        <f>IFERROR(__xludf.DUMMYFUNCTION("""COMPUTED_VALUE"""),"Promotional")</f>
        <v>Promotional</v>
      </c>
      <c r="E54" s="218" t="str">
        <f>IFERROR(__xludf.DUMMYFUNCTION("""COMPUTED_VALUE"""),"Crocs")</f>
        <v>Crocs</v>
      </c>
      <c r="F54" s="218" t="str">
        <f>IFERROR(__xludf.DUMMYFUNCTION("""COMPUTED_VALUE"""),"Store campaigns")</f>
        <v>Store campaigns</v>
      </c>
      <c r="G54" s="218" t="str">
        <f>IFERROR(__xludf.DUMMYFUNCTION("""COMPUTED_VALUE"""),"3002_Crocs outlet_Upto50")</f>
        <v>3002_Crocs outlet_Upto50</v>
      </c>
      <c r="H54" s="218" t="str">
        <f>IFERROR(__xludf.DUMMYFUNCTION("""COMPUTED_VALUE"""),"HS_HC_Minis_Predom_Repeat")</f>
        <v>HS_HC_Minis_Predom_Repeat</v>
      </c>
      <c r="I54" s="218" t="str">
        <f>IFERROR(__xludf.DUMMYFUNCTION("""COMPUTED_VALUE"""),"Custom Upload")</f>
        <v>Custom Upload</v>
      </c>
      <c r="J54" s="213">
        <f>IFERROR(__xludf.DUMMYFUNCTION("""COMPUTED_VALUE"""),42740.0)</f>
        <v>42740</v>
      </c>
      <c r="K54" s="213">
        <f>IFERROR(__xludf.DUMMYFUNCTION("""COMPUTED_VALUE"""),22925.0)</f>
        <v>22925</v>
      </c>
      <c r="L54" s="214">
        <f>IFERROR(__xludf.DUMMYFUNCTION("""COMPUTED_VALUE"""),0.5364)</f>
        <v>0.5364</v>
      </c>
      <c r="M54" s="213"/>
      <c r="N54" s="214"/>
      <c r="O54" s="213">
        <f>IFERROR(__xludf.DUMMYFUNCTION("""COMPUTED_VALUE"""),0.0)</f>
        <v>0</v>
      </c>
      <c r="P54" s="213"/>
      <c r="Q54" s="214">
        <f>IFERROR(__xludf.DUMMYFUNCTION("""COMPUTED_VALUE"""),0.0)</f>
        <v>0</v>
      </c>
      <c r="R54" s="214"/>
      <c r="S54" s="270"/>
      <c r="T54" s="270"/>
      <c r="U54" s="270"/>
      <c r="V54" s="101" t="str">
        <f>IFERROR(__xludf.DUMMYFUNCTION("""COMPUTED_VALUE"""),"offline ")</f>
        <v>offline </v>
      </c>
      <c r="W54" s="101" t="str">
        <f>IFERROR(__xludf.DUMMYFUNCTION("""COMPUTED_VALUE"""),"SMS")</f>
        <v>SMS</v>
      </c>
      <c r="X54" s="212" t="str">
        <f>IFERROR(__xludf.DUMMYFUNCTION("""COMPUTED_VALUE"""),"Store level")</f>
        <v>Store level</v>
      </c>
      <c r="Y54" s="212" t="str">
        <f>IFERROR(__xludf.DUMMYFUNCTION("""COMPUTED_VALUE"""),"12th April")</f>
        <v>12th April</v>
      </c>
      <c r="Z54" s="212" t="str">
        <f>IFERROR(__xludf.DUMMYFUNCTION("""COMPUTED_VALUE"""),"69c38734d3e1119ece5fd4cf")</f>
        <v>69c38734d3e1119ece5fd4cf</v>
      </c>
      <c r="AA54" s="287">
        <f>IFERROR(__xludf.DUMMYFUNCTION("""COMPUTED_VALUE"""),6.0)</f>
        <v>6</v>
      </c>
      <c r="AB54" s="213"/>
      <c r="AC54" s="213">
        <f>IFERROR(__xludf.DUMMYFUNCTION("""COMPUTED_VALUE"""),6.0)</f>
        <v>6</v>
      </c>
      <c r="AD54" s="213">
        <f>IFERROR(__xludf.DUMMYFUNCTION("""COMPUTED_VALUE"""),22121.0)</f>
        <v>22121</v>
      </c>
      <c r="AE54" s="213"/>
      <c r="AF54" s="213">
        <f>IFERROR(__xludf.DUMMYFUNCTION("""COMPUTED_VALUE"""),22121.0)</f>
        <v>22121</v>
      </c>
      <c r="AG54" s="282"/>
      <c r="AH54" s="282"/>
      <c r="AI54" s="282"/>
      <c r="AJ54" s="282"/>
      <c r="AK54" s="282"/>
      <c r="AL54" s="282"/>
      <c r="AM54" s="282"/>
      <c r="AN54" s="282"/>
      <c r="AO54" s="282"/>
      <c r="AP54" s="282"/>
      <c r="AQ54" s="282"/>
      <c r="AR54" s="282"/>
      <c r="AS54" s="282"/>
      <c r="AT54" s="282"/>
      <c r="AU54" s="282"/>
      <c r="AV54" s="282"/>
      <c r="AW54" s="282"/>
      <c r="AX54" s="282"/>
      <c r="AY54" s="282"/>
      <c r="AZ54" s="282"/>
    </row>
    <row r="55">
      <c r="A55" s="306">
        <f>IFERROR(__xludf.DUMMYFUNCTION("""COMPUTED_VALUE"""),46108.0)</f>
        <v>46108</v>
      </c>
      <c r="B55" s="247">
        <f>IFERROR(__xludf.DUMMYFUNCTION("""COMPUTED_VALUE"""),0.4166666666678793)</f>
        <v>0.4166666667</v>
      </c>
      <c r="C55" s="218" t="str">
        <f>IFERROR(__xludf.DUMMYFUNCTION("""COMPUTED_VALUE"""),"Sms")</f>
        <v>Sms</v>
      </c>
      <c r="D55" s="218" t="str">
        <f>IFERROR(__xludf.DUMMYFUNCTION("""COMPUTED_VALUE"""),"Promotional")</f>
        <v>Promotional</v>
      </c>
      <c r="E55" s="218" t="str">
        <f>IFERROR(__xludf.DUMMYFUNCTION("""COMPUTED_VALUE"""),"Crocs")</f>
        <v>Crocs</v>
      </c>
      <c r="F55" s="218" t="str">
        <f>IFERROR(__xludf.DUMMYFUNCTION("""COMPUTED_VALUE"""),"Store campaigns")</f>
        <v>Store campaigns</v>
      </c>
      <c r="G55" s="218" t="str">
        <f>IFERROR(__xludf.DUMMYFUNCTION("""COMPUTED_VALUE"""),"1263_Crocs outlet_Upto50")</f>
        <v>1263_Crocs outlet_Upto50</v>
      </c>
      <c r="H55" s="218" t="str">
        <f>IFERROR(__xludf.DUMMYFUNCTION("""COMPUTED_VALUE"""),"Repeat_Predom_Value_Less_Than_899")</f>
        <v>Repeat_Predom_Value_Less_Than_899</v>
      </c>
      <c r="I55" s="218" t="str">
        <f>IFERROR(__xludf.DUMMYFUNCTION("""COMPUTED_VALUE"""),"Custom Upload")</f>
        <v>Custom Upload</v>
      </c>
      <c r="J55" s="213">
        <f>IFERROR(__xludf.DUMMYFUNCTION("""COMPUTED_VALUE"""),7104.0)</f>
        <v>7104</v>
      </c>
      <c r="K55" s="213">
        <f>IFERROR(__xludf.DUMMYFUNCTION("""COMPUTED_VALUE"""),3920.0)</f>
        <v>3920</v>
      </c>
      <c r="L55" s="214">
        <f>IFERROR(__xludf.DUMMYFUNCTION("""COMPUTED_VALUE"""),0.5518)</f>
        <v>0.5518</v>
      </c>
      <c r="M55" s="213"/>
      <c r="N55" s="214"/>
      <c r="O55" s="213">
        <f>IFERROR(__xludf.DUMMYFUNCTION("""COMPUTED_VALUE"""),0.0)</f>
        <v>0</v>
      </c>
      <c r="P55" s="213"/>
      <c r="Q55" s="214">
        <f>IFERROR(__xludf.DUMMYFUNCTION("""COMPUTED_VALUE"""),0.0)</f>
        <v>0</v>
      </c>
      <c r="R55" s="214"/>
      <c r="S55" s="270"/>
      <c r="T55" s="270"/>
      <c r="U55" s="270"/>
      <c r="V55" s="101" t="str">
        <f>IFERROR(__xludf.DUMMYFUNCTION("""COMPUTED_VALUE"""),"offline ")</f>
        <v>offline </v>
      </c>
      <c r="W55" s="101" t="str">
        <f>IFERROR(__xludf.DUMMYFUNCTION("""COMPUTED_VALUE"""),"SMS")</f>
        <v>SMS</v>
      </c>
      <c r="X55" s="212" t="str">
        <f>IFERROR(__xludf.DUMMYFUNCTION("""COMPUTED_VALUE"""),"Store level")</f>
        <v>Store level</v>
      </c>
      <c r="Y55" s="212" t="str">
        <f>IFERROR(__xludf.DUMMYFUNCTION("""COMPUTED_VALUE"""),"12th April")</f>
        <v>12th April</v>
      </c>
      <c r="Z55" s="212" t="str">
        <f>IFERROR(__xludf.DUMMYFUNCTION("""COMPUTED_VALUE"""),"69c38763f7b75d98afb62952")</f>
        <v>69c38763f7b75d98afb62952</v>
      </c>
      <c r="AA55" s="287">
        <f>IFERROR(__xludf.DUMMYFUNCTION("""COMPUTED_VALUE"""),0.0)</f>
        <v>0</v>
      </c>
      <c r="AB55" s="213"/>
      <c r="AC55" s="213">
        <f>IFERROR(__xludf.DUMMYFUNCTION("""COMPUTED_VALUE"""),0.0)</f>
        <v>0</v>
      </c>
      <c r="AD55" s="213">
        <f>IFERROR(__xludf.DUMMYFUNCTION("""COMPUTED_VALUE"""),0.0)</f>
        <v>0</v>
      </c>
      <c r="AE55" s="213"/>
      <c r="AF55" s="213">
        <f>IFERROR(__xludf.DUMMYFUNCTION("""COMPUTED_VALUE"""),0.0)</f>
        <v>0</v>
      </c>
      <c r="AG55" s="282"/>
      <c r="AH55" s="282"/>
      <c r="AI55" s="282"/>
      <c r="AJ55" s="282"/>
      <c r="AK55" s="282"/>
      <c r="AL55" s="282"/>
      <c r="AM55" s="282"/>
      <c r="AN55" s="282"/>
      <c r="AO55" s="282"/>
      <c r="AP55" s="282"/>
      <c r="AQ55" s="282"/>
      <c r="AR55" s="282"/>
      <c r="AS55" s="282"/>
      <c r="AT55" s="282"/>
      <c r="AU55" s="282"/>
      <c r="AV55" s="282"/>
      <c r="AW55" s="282"/>
      <c r="AX55" s="282"/>
      <c r="AY55" s="282"/>
      <c r="AZ55" s="282"/>
    </row>
    <row r="56">
      <c r="A56" s="306">
        <f>IFERROR(__xludf.DUMMYFUNCTION("""COMPUTED_VALUE"""),46108.0)</f>
        <v>46108</v>
      </c>
      <c r="B56" s="247">
        <f>IFERROR(__xludf.DUMMYFUNCTION("""COMPUTED_VALUE"""),0.4166666666678793)</f>
        <v>0.4166666667</v>
      </c>
      <c r="C56" s="218" t="str">
        <f>IFERROR(__xludf.DUMMYFUNCTION("""COMPUTED_VALUE"""),"Sms")</f>
        <v>Sms</v>
      </c>
      <c r="D56" s="218" t="str">
        <f>IFERROR(__xludf.DUMMYFUNCTION("""COMPUTED_VALUE"""),"Promotional")</f>
        <v>Promotional</v>
      </c>
      <c r="E56" s="218" t="str">
        <f>IFERROR(__xludf.DUMMYFUNCTION("""COMPUTED_VALUE"""),"Crocs")</f>
        <v>Crocs</v>
      </c>
      <c r="F56" s="218" t="str">
        <f>IFERROR(__xludf.DUMMYFUNCTION("""COMPUTED_VALUE"""),"Store campaigns")</f>
        <v>Store campaigns</v>
      </c>
      <c r="G56" s="218" t="str">
        <f>IFERROR(__xludf.DUMMYFUNCTION("""COMPUTED_VALUE"""),"3016_Crocs outlet_Upto50")</f>
        <v>3016_Crocs outlet_Upto50</v>
      </c>
      <c r="H56" s="218" t="str">
        <f>IFERROR(__xludf.DUMMYFUNCTION("""COMPUTED_VALUE"""),"3016_Moga_24Mar26 OR Moga_Staff OR Crocs_Internal OR Crocs_internal_new")</f>
        <v>3016_Moga_24Mar26 OR Moga_Staff OR Crocs_Internal OR Crocs_internal_new</v>
      </c>
      <c r="I56" s="218" t="str">
        <f>IFERROR(__xludf.DUMMYFUNCTION("""COMPUTED_VALUE"""),"Custom Upload")</f>
        <v>Custom Upload</v>
      </c>
      <c r="J56" s="213">
        <f>IFERROR(__xludf.DUMMYFUNCTION("""COMPUTED_VALUE"""),20799.0)</f>
        <v>20799</v>
      </c>
      <c r="K56" s="213">
        <f>IFERROR(__xludf.DUMMYFUNCTION("""COMPUTED_VALUE"""),10795.0)</f>
        <v>10795</v>
      </c>
      <c r="L56" s="214">
        <f>IFERROR(__xludf.DUMMYFUNCTION("""COMPUTED_VALUE"""),0.519)</f>
        <v>0.519</v>
      </c>
      <c r="M56" s="213"/>
      <c r="N56" s="214"/>
      <c r="O56" s="213">
        <f>IFERROR(__xludf.DUMMYFUNCTION("""COMPUTED_VALUE"""),0.0)</f>
        <v>0</v>
      </c>
      <c r="P56" s="213"/>
      <c r="Q56" s="214">
        <f>IFERROR(__xludf.DUMMYFUNCTION("""COMPUTED_VALUE"""),0.0)</f>
        <v>0</v>
      </c>
      <c r="R56" s="214"/>
      <c r="S56" s="270"/>
      <c r="T56" s="270"/>
      <c r="U56" s="270"/>
      <c r="V56" s="101" t="str">
        <f>IFERROR(__xludf.DUMMYFUNCTION("""COMPUTED_VALUE"""),"offline ")</f>
        <v>offline </v>
      </c>
      <c r="W56" s="101" t="str">
        <f>IFERROR(__xludf.DUMMYFUNCTION("""COMPUTED_VALUE"""),"SMS")</f>
        <v>SMS</v>
      </c>
      <c r="X56" s="212" t="str">
        <f>IFERROR(__xludf.DUMMYFUNCTION("""COMPUTED_VALUE"""),"Store level")</f>
        <v>Store level</v>
      </c>
      <c r="Y56" s="212" t="str">
        <f>IFERROR(__xludf.DUMMYFUNCTION("""COMPUTED_VALUE"""),"12th April")</f>
        <v>12th April</v>
      </c>
      <c r="Z56" s="212" t="str">
        <f>IFERROR(__xludf.DUMMYFUNCTION("""COMPUTED_VALUE"""),"69c387a2d3e1119ece5fd50f")</f>
        <v>69c387a2d3e1119ece5fd50f</v>
      </c>
      <c r="AA56" s="287">
        <f>IFERROR(__xludf.DUMMYFUNCTION("""COMPUTED_VALUE"""),4.0)</f>
        <v>4</v>
      </c>
      <c r="AB56" s="213"/>
      <c r="AC56" s="213">
        <f>IFERROR(__xludf.DUMMYFUNCTION("""COMPUTED_VALUE"""),4.0)</f>
        <v>4</v>
      </c>
      <c r="AD56" s="213">
        <f>IFERROR(__xludf.DUMMYFUNCTION("""COMPUTED_VALUE"""),11884.0)</f>
        <v>11884</v>
      </c>
      <c r="AE56" s="213"/>
      <c r="AF56" s="213">
        <f>IFERROR(__xludf.DUMMYFUNCTION("""COMPUTED_VALUE"""),11884.0)</f>
        <v>11884</v>
      </c>
      <c r="AG56" s="282"/>
      <c r="AH56" s="282"/>
      <c r="AI56" s="282"/>
      <c r="AJ56" s="282"/>
      <c r="AK56" s="282"/>
      <c r="AL56" s="282"/>
      <c r="AM56" s="282"/>
      <c r="AN56" s="282"/>
      <c r="AO56" s="282"/>
      <c r="AP56" s="282"/>
      <c r="AQ56" s="282"/>
      <c r="AR56" s="282"/>
      <c r="AS56" s="282"/>
      <c r="AT56" s="282"/>
      <c r="AU56" s="282"/>
      <c r="AV56" s="282"/>
      <c r="AW56" s="282"/>
      <c r="AX56" s="282"/>
      <c r="AY56" s="282"/>
      <c r="AZ56" s="282"/>
    </row>
    <row r="57">
      <c r="A57" s="306">
        <f>IFERROR(__xludf.DUMMYFUNCTION("""COMPUTED_VALUE"""),46108.0)</f>
        <v>46108</v>
      </c>
      <c r="B57" s="247">
        <f>IFERROR(__xludf.DUMMYFUNCTION("""COMPUTED_VALUE"""),0.4166666666678793)</f>
        <v>0.4166666667</v>
      </c>
      <c r="C57" s="218" t="str">
        <f>IFERROR(__xludf.DUMMYFUNCTION("""COMPUTED_VALUE"""),"Sms")</f>
        <v>Sms</v>
      </c>
      <c r="D57" s="218" t="str">
        <f>IFERROR(__xludf.DUMMYFUNCTION("""COMPUTED_VALUE"""),"Promotional")</f>
        <v>Promotional</v>
      </c>
      <c r="E57" s="218" t="str">
        <f>IFERROR(__xludf.DUMMYFUNCTION("""COMPUTED_VALUE"""),"Crocs")</f>
        <v>Crocs</v>
      </c>
      <c r="F57" s="218" t="str">
        <f>IFERROR(__xludf.DUMMYFUNCTION("""COMPUTED_VALUE"""),"Store campaigns")</f>
        <v>Store campaigns</v>
      </c>
      <c r="G57" s="218" t="str">
        <f>IFERROR(__xludf.DUMMYFUNCTION("""COMPUTED_VALUE"""),"1256_Crocs outlet_Upto50")</f>
        <v>1256_Crocs outlet_Upto50</v>
      </c>
      <c r="H57" s="218" t="str">
        <f>IFERROR(__xludf.DUMMYFUNCTION("""COMPUTED_VALUE"""),"1256_WalkInSquare_Amritsar_24Mar26 OR Walk in Square Amritsar_Staff OR Crocs_Internal OR Crocs_internal_new")</f>
        <v>1256_WalkInSquare_Amritsar_24Mar26 OR Walk in Square Amritsar_Staff OR Crocs_Internal OR Crocs_internal_new</v>
      </c>
      <c r="I57" s="218" t="str">
        <f>IFERROR(__xludf.DUMMYFUNCTION("""COMPUTED_VALUE"""),"Custom Upload")</f>
        <v>Custom Upload</v>
      </c>
      <c r="J57" s="213">
        <f>IFERROR(__xludf.DUMMYFUNCTION("""COMPUTED_VALUE"""),16086.0)</f>
        <v>16086</v>
      </c>
      <c r="K57" s="213">
        <f>IFERROR(__xludf.DUMMYFUNCTION("""COMPUTED_VALUE"""),9550.0)</f>
        <v>9550</v>
      </c>
      <c r="L57" s="214">
        <f>IFERROR(__xludf.DUMMYFUNCTION("""COMPUTED_VALUE"""),0.5937)</f>
        <v>0.5937</v>
      </c>
      <c r="M57" s="213"/>
      <c r="N57" s="214"/>
      <c r="O57" s="213">
        <f>IFERROR(__xludf.DUMMYFUNCTION("""COMPUTED_VALUE"""),0.0)</f>
        <v>0</v>
      </c>
      <c r="P57" s="213"/>
      <c r="Q57" s="214">
        <f>IFERROR(__xludf.DUMMYFUNCTION("""COMPUTED_VALUE"""),0.0)</f>
        <v>0</v>
      </c>
      <c r="R57" s="214"/>
      <c r="S57" s="270"/>
      <c r="T57" s="270"/>
      <c r="U57" s="270"/>
      <c r="V57" s="101" t="str">
        <f>IFERROR(__xludf.DUMMYFUNCTION("""COMPUTED_VALUE"""),"offline ")</f>
        <v>offline </v>
      </c>
      <c r="W57" s="101" t="str">
        <f>IFERROR(__xludf.DUMMYFUNCTION("""COMPUTED_VALUE"""),"SMS")</f>
        <v>SMS</v>
      </c>
      <c r="X57" s="212" t="str">
        <f>IFERROR(__xludf.DUMMYFUNCTION("""COMPUTED_VALUE"""),"Store level")</f>
        <v>Store level</v>
      </c>
      <c r="Y57" s="212" t="str">
        <f>IFERROR(__xludf.DUMMYFUNCTION("""COMPUTED_VALUE"""),"12th April")</f>
        <v>12th April</v>
      </c>
      <c r="Z57" s="212" t="str">
        <f>IFERROR(__xludf.DUMMYFUNCTION("""COMPUTED_VALUE"""),"69c3881d3673ce5c85788948")</f>
        <v>69c3881d3673ce5c85788948</v>
      </c>
      <c r="AA57" s="287">
        <f>IFERROR(__xludf.DUMMYFUNCTION("""COMPUTED_VALUE"""),0.0)</f>
        <v>0</v>
      </c>
      <c r="AB57" s="213"/>
      <c r="AC57" s="213">
        <f>IFERROR(__xludf.DUMMYFUNCTION("""COMPUTED_VALUE"""),0.0)</f>
        <v>0</v>
      </c>
      <c r="AD57" s="213">
        <f>IFERROR(__xludf.DUMMYFUNCTION("""COMPUTED_VALUE"""),0.0)</f>
        <v>0</v>
      </c>
      <c r="AE57" s="213"/>
      <c r="AF57" s="213">
        <f>IFERROR(__xludf.DUMMYFUNCTION("""COMPUTED_VALUE"""),0.0)</f>
        <v>0</v>
      </c>
      <c r="AG57" s="282"/>
      <c r="AH57" s="282"/>
      <c r="AI57" s="282"/>
      <c r="AJ57" s="282"/>
      <c r="AK57" s="282"/>
      <c r="AL57" s="282"/>
      <c r="AM57" s="282"/>
      <c r="AN57" s="282"/>
      <c r="AO57" s="282"/>
      <c r="AP57" s="282"/>
      <c r="AQ57" s="282"/>
      <c r="AR57" s="282"/>
      <c r="AS57" s="282"/>
      <c r="AT57" s="282"/>
      <c r="AU57" s="282"/>
      <c r="AV57" s="282"/>
      <c r="AW57" s="282"/>
      <c r="AX57" s="282"/>
      <c r="AY57" s="282"/>
      <c r="AZ57" s="282"/>
    </row>
    <row r="58">
      <c r="A58" s="306">
        <f>IFERROR(__xludf.DUMMYFUNCTION("""COMPUTED_VALUE"""),46108.0)</f>
        <v>46108</v>
      </c>
      <c r="B58" s="247">
        <f>IFERROR(__xludf.DUMMYFUNCTION("""COMPUTED_VALUE"""),0.4166666666678793)</f>
        <v>0.4166666667</v>
      </c>
      <c r="C58" s="218" t="str">
        <f>IFERROR(__xludf.DUMMYFUNCTION("""COMPUTED_VALUE"""),"Sms")</f>
        <v>Sms</v>
      </c>
      <c r="D58" s="218" t="str">
        <f>IFERROR(__xludf.DUMMYFUNCTION("""COMPUTED_VALUE"""),"Promotional")</f>
        <v>Promotional</v>
      </c>
      <c r="E58" s="218" t="str">
        <f>IFERROR(__xludf.DUMMYFUNCTION("""COMPUTED_VALUE"""),"Crocs")</f>
        <v>Crocs</v>
      </c>
      <c r="F58" s="218" t="str">
        <f>IFERROR(__xludf.DUMMYFUNCTION("""COMPUTED_VALUE"""),"Store campaigns")</f>
        <v>Store campaigns</v>
      </c>
      <c r="G58" s="218" t="str">
        <f>IFERROR(__xludf.DUMMYFUNCTION("""COMPUTED_VALUE"""),"1257_Crocs outlet_Upto50")</f>
        <v>1257_Crocs outlet_Upto50</v>
      </c>
      <c r="H58" s="218" t="str">
        <f>IFERROR(__xludf.DUMMYFUNCTION("""COMPUTED_VALUE"""),"1257_Gajraula_24Mar26 OR Gajraula_Staff OR Crocs_Internal OR Crocs_internal_new")</f>
        <v>1257_Gajraula_24Mar26 OR Gajraula_Staff OR Crocs_Internal OR Crocs_internal_new</v>
      </c>
      <c r="I58" s="218" t="str">
        <f>IFERROR(__xludf.DUMMYFUNCTION("""COMPUTED_VALUE"""),"Custom Upload")</f>
        <v>Custom Upload</v>
      </c>
      <c r="J58" s="213">
        <f>IFERROR(__xludf.DUMMYFUNCTION("""COMPUTED_VALUE"""),4166.0)</f>
        <v>4166</v>
      </c>
      <c r="K58" s="213">
        <f>IFERROR(__xludf.DUMMYFUNCTION("""COMPUTED_VALUE"""),2457.0)</f>
        <v>2457</v>
      </c>
      <c r="L58" s="214">
        <f>IFERROR(__xludf.DUMMYFUNCTION("""COMPUTED_VALUE"""),0.5898)</f>
        <v>0.5898</v>
      </c>
      <c r="M58" s="213"/>
      <c r="N58" s="214"/>
      <c r="O58" s="213">
        <f>IFERROR(__xludf.DUMMYFUNCTION("""COMPUTED_VALUE"""),0.0)</f>
        <v>0</v>
      </c>
      <c r="P58" s="213"/>
      <c r="Q58" s="214">
        <f>IFERROR(__xludf.DUMMYFUNCTION("""COMPUTED_VALUE"""),0.0)</f>
        <v>0</v>
      </c>
      <c r="R58" s="214"/>
      <c r="S58" s="270"/>
      <c r="T58" s="270"/>
      <c r="U58" s="270"/>
      <c r="V58" s="101" t="str">
        <f>IFERROR(__xludf.DUMMYFUNCTION("""COMPUTED_VALUE"""),"offline ")</f>
        <v>offline </v>
      </c>
      <c r="W58" s="101" t="str">
        <f>IFERROR(__xludf.DUMMYFUNCTION("""COMPUTED_VALUE"""),"SMS")</f>
        <v>SMS</v>
      </c>
      <c r="X58" s="212" t="str">
        <f>IFERROR(__xludf.DUMMYFUNCTION("""COMPUTED_VALUE"""),"Store level")</f>
        <v>Store level</v>
      </c>
      <c r="Y58" s="212" t="str">
        <f>IFERROR(__xludf.DUMMYFUNCTION("""COMPUTED_VALUE"""),"12th April")</f>
        <v>12th April</v>
      </c>
      <c r="Z58" s="212" t="str">
        <f>IFERROR(__xludf.DUMMYFUNCTION("""COMPUTED_VALUE"""),"69c388433673ce5c85788973")</f>
        <v>69c388433673ce5c85788973</v>
      </c>
      <c r="AA58" s="287">
        <f>IFERROR(__xludf.DUMMYFUNCTION("""COMPUTED_VALUE"""),1.0)</f>
        <v>1</v>
      </c>
      <c r="AB58" s="213"/>
      <c r="AC58" s="213">
        <f>IFERROR(__xludf.DUMMYFUNCTION("""COMPUTED_VALUE"""),1.0)</f>
        <v>1</v>
      </c>
      <c r="AD58" s="213">
        <f>IFERROR(__xludf.DUMMYFUNCTION("""COMPUTED_VALUE"""),2446.0)</f>
        <v>2446</v>
      </c>
      <c r="AE58" s="213"/>
      <c r="AF58" s="213">
        <f>IFERROR(__xludf.DUMMYFUNCTION("""COMPUTED_VALUE"""),2446.0)</f>
        <v>2446</v>
      </c>
      <c r="AG58" s="282"/>
      <c r="AH58" s="282"/>
      <c r="AI58" s="282"/>
      <c r="AJ58" s="282"/>
      <c r="AK58" s="282"/>
      <c r="AL58" s="282"/>
      <c r="AM58" s="282"/>
      <c r="AN58" s="282"/>
      <c r="AO58" s="282"/>
      <c r="AP58" s="282"/>
      <c r="AQ58" s="282"/>
      <c r="AR58" s="282"/>
      <c r="AS58" s="282"/>
      <c r="AT58" s="282"/>
      <c r="AU58" s="282"/>
      <c r="AV58" s="282"/>
      <c r="AW58" s="282"/>
      <c r="AX58" s="282"/>
      <c r="AY58" s="282"/>
      <c r="AZ58" s="282"/>
    </row>
    <row r="59">
      <c r="A59" s="306">
        <f>IFERROR(__xludf.DUMMYFUNCTION("""COMPUTED_VALUE"""),46108.0)</f>
        <v>46108</v>
      </c>
      <c r="B59" s="247">
        <f>IFERROR(__xludf.DUMMYFUNCTION("""COMPUTED_VALUE"""),0.4166666666678793)</f>
        <v>0.4166666667</v>
      </c>
      <c r="C59" s="218" t="str">
        <f>IFERROR(__xludf.DUMMYFUNCTION("""COMPUTED_VALUE"""),"Sms")</f>
        <v>Sms</v>
      </c>
      <c r="D59" s="218" t="str">
        <f>IFERROR(__xludf.DUMMYFUNCTION("""COMPUTED_VALUE"""),"Promotional")</f>
        <v>Promotional</v>
      </c>
      <c r="E59" s="218" t="str">
        <f>IFERROR(__xludf.DUMMYFUNCTION("""COMPUTED_VALUE"""),"Crocs")</f>
        <v>Crocs</v>
      </c>
      <c r="F59" s="218" t="str">
        <f>IFERROR(__xludf.DUMMYFUNCTION("""COMPUTED_VALUE"""),"Store campaigns")</f>
        <v>Store campaigns</v>
      </c>
      <c r="G59" s="218" t="str">
        <f>IFERROR(__xludf.DUMMYFUNCTION("""COMPUTED_VALUE"""),"1293_Crocs outlet_Upto50")</f>
        <v>1293_Crocs outlet_Upto50</v>
      </c>
      <c r="H59" s="218" t="str">
        <f>IFERROR(__xludf.DUMMYFUNCTION("""COMPUTED_VALUE"""),"1293_PaschimVihar_24Mar26 OR Paschim Vihar Delhi_Staff OR Crocs_Internal OR Crocs_internal_new")</f>
        <v>1293_PaschimVihar_24Mar26 OR Paschim Vihar Delhi_Staff OR Crocs_Internal OR Crocs_internal_new</v>
      </c>
      <c r="I59" s="218" t="str">
        <f>IFERROR(__xludf.DUMMYFUNCTION("""COMPUTED_VALUE"""),"Custom Upload")</f>
        <v>Custom Upload</v>
      </c>
      <c r="J59" s="213">
        <f>IFERROR(__xludf.DUMMYFUNCTION("""COMPUTED_VALUE"""),1020.0)</f>
        <v>1020</v>
      </c>
      <c r="K59" s="213">
        <f>IFERROR(__xludf.DUMMYFUNCTION("""COMPUTED_VALUE"""),531.0)</f>
        <v>531</v>
      </c>
      <c r="L59" s="214">
        <f>IFERROR(__xludf.DUMMYFUNCTION("""COMPUTED_VALUE"""),0.5206)</f>
        <v>0.5206</v>
      </c>
      <c r="M59" s="213"/>
      <c r="N59" s="214"/>
      <c r="O59" s="213">
        <f>IFERROR(__xludf.DUMMYFUNCTION("""COMPUTED_VALUE"""),0.0)</f>
        <v>0</v>
      </c>
      <c r="P59" s="213"/>
      <c r="Q59" s="214">
        <f>IFERROR(__xludf.DUMMYFUNCTION("""COMPUTED_VALUE"""),0.0)</f>
        <v>0</v>
      </c>
      <c r="R59" s="214"/>
      <c r="S59" s="270"/>
      <c r="T59" s="270"/>
      <c r="U59" s="270"/>
      <c r="V59" s="101" t="str">
        <f>IFERROR(__xludf.DUMMYFUNCTION("""COMPUTED_VALUE"""),"offline ")</f>
        <v>offline </v>
      </c>
      <c r="W59" s="101" t="str">
        <f>IFERROR(__xludf.DUMMYFUNCTION("""COMPUTED_VALUE"""),"SMS")</f>
        <v>SMS</v>
      </c>
      <c r="X59" s="212" t="str">
        <f>IFERROR(__xludf.DUMMYFUNCTION("""COMPUTED_VALUE"""),"Store level")</f>
        <v>Store level</v>
      </c>
      <c r="Y59" s="212" t="str">
        <f>IFERROR(__xludf.DUMMYFUNCTION("""COMPUTED_VALUE"""),"12th April")</f>
        <v>12th April</v>
      </c>
      <c r="Z59" s="212" t="str">
        <f>IFERROR(__xludf.DUMMYFUNCTION("""COMPUTED_VALUE"""),"69c3887ee5ebbf33f616b137")</f>
        <v>69c3887ee5ebbf33f616b137</v>
      </c>
      <c r="AA59" s="287">
        <f>IFERROR(__xludf.DUMMYFUNCTION("""COMPUTED_VALUE"""),0.0)</f>
        <v>0</v>
      </c>
      <c r="AB59" s="213"/>
      <c r="AC59" s="213">
        <f>IFERROR(__xludf.DUMMYFUNCTION("""COMPUTED_VALUE"""),0.0)</f>
        <v>0</v>
      </c>
      <c r="AD59" s="213">
        <f>IFERROR(__xludf.DUMMYFUNCTION("""COMPUTED_VALUE"""),0.0)</f>
        <v>0</v>
      </c>
      <c r="AE59" s="213"/>
      <c r="AF59" s="213">
        <f>IFERROR(__xludf.DUMMYFUNCTION("""COMPUTED_VALUE"""),0.0)</f>
        <v>0</v>
      </c>
      <c r="AG59" s="282"/>
      <c r="AH59" s="282"/>
      <c r="AI59" s="282"/>
      <c r="AJ59" s="282"/>
      <c r="AK59" s="282"/>
      <c r="AL59" s="282"/>
      <c r="AM59" s="282"/>
      <c r="AN59" s="282"/>
      <c r="AO59" s="282"/>
      <c r="AP59" s="282"/>
      <c r="AQ59" s="282"/>
      <c r="AR59" s="282"/>
      <c r="AS59" s="282"/>
      <c r="AT59" s="282"/>
      <c r="AU59" s="282"/>
      <c r="AV59" s="282"/>
      <c r="AW59" s="282"/>
      <c r="AX59" s="282"/>
      <c r="AY59" s="282"/>
      <c r="AZ59" s="282"/>
    </row>
    <row r="60">
      <c r="A60" s="306">
        <f>IFERROR(__xludf.DUMMYFUNCTION("""COMPUTED_VALUE"""),46108.0)</f>
        <v>46108</v>
      </c>
      <c r="B60" s="247">
        <f>IFERROR(__xludf.DUMMYFUNCTION("""COMPUTED_VALUE"""),0.4166666666678793)</f>
        <v>0.4166666667</v>
      </c>
      <c r="C60" s="218" t="str">
        <f>IFERROR(__xludf.DUMMYFUNCTION("""COMPUTED_VALUE"""),"Sms")</f>
        <v>Sms</v>
      </c>
      <c r="D60" s="218" t="str">
        <f>IFERROR(__xludf.DUMMYFUNCTION("""COMPUTED_VALUE"""),"Promotional")</f>
        <v>Promotional</v>
      </c>
      <c r="E60" s="218" t="str">
        <f>IFERROR(__xludf.DUMMYFUNCTION("""COMPUTED_VALUE"""),"Crocs")</f>
        <v>Crocs</v>
      </c>
      <c r="F60" s="218" t="str">
        <f>IFERROR(__xludf.DUMMYFUNCTION("""COMPUTED_VALUE"""),"Store campaigns")</f>
        <v>Store campaigns</v>
      </c>
      <c r="G60" s="218" t="str">
        <f>IFERROR(__xludf.DUMMYFUNCTION("""COMPUTED_VALUE"""),"1275_Crocs outlet_Upto50")</f>
        <v>1275_Crocs outlet_Upto50</v>
      </c>
      <c r="H60" s="218" t="str">
        <f>IFERROR(__xludf.DUMMYFUNCTION("""COMPUTED_VALUE"""),"1275_Hisar_24Mar26 OR Hisar_Staff OR Crocs_Internal OR Crocs_internal_new")</f>
        <v>1275_Hisar_24Mar26 OR Hisar_Staff OR Crocs_Internal OR Crocs_internal_new</v>
      </c>
      <c r="I60" s="218" t="str">
        <f>IFERROR(__xludf.DUMMYFUNCTION("""COMPUTED_VALUE"""),"Custom Upload")</f>
        <v>Custom Upload</v>
      </c>
      <c r="J60" s="213">
        <f>IFERROR(__xludf.DUMMYFUNCTION("""COMPUTED_VALUE"""),8862.0)</f>
        <v>8862</v>
      </c>
      <c r="K60" s="213">
        <f>IFERROR(__xludf.DUMMYFUNCTION("""COMPUTED_VALUE"""),4898.0)</f>
        <v>4898</v>
      </c>
      <c r="L60" s="214">
        <f>IFERROR(__xludf.DUMMYFUNCTION("""COMPUTED_VALUE"""),0.5527)</f>
        <v>0.5527</v>
      </c>
      <c r="M60" s="213"/>
      <c r="N60" s="214"/>
      <c r="O60" s="213">
        <f>IFERROR(__xludf.DUMMYFUNCTION("""COMPUTED_VALUE"""),0.0)</f>
        <v>0</v>
      </c>
      <c r="P60" s="213"/>
      <c r="Q60" s="214">
        <f>IFERROR(__xludf.DUMMYFUNCTION("""COMPUTED_VALUE"""),0.0)</f>
        <v>0</v>
      </c>
      <c r="R60" s="214"/>
      <c r="S60" s="270"/>
      <c r="T60" s="270"/>
      <c r="U60" s="270"/>
      <c r="V60" s="101" t="str">
        <f>IFERROR(__xludf.DUMMYFUNCTION("""COMPUTED_VALUE"""),"offline ")</f>
        <v>offline </v>
      </c>
      <c r="W60" s="101" t="str">
        <f>IFERROR(__xludf.DUMMYFUNCTION("""COMPUTED_VALUE"""),"SMS")</f>
        <v>SMS</v>
      </c>
      <c r="X60" s="212" t="str">
        <f>IFERROR(__xludf.DUMMYFUNCTION("""COMPUTED_VALUE"""),"Store level")</f>
        <v>Store level</v>
      </c>
      <c r="Y60" s="212" t="str">
        <f>IFERROR(__xludf.DUMMYFUNCTION("""COMPUTED_VALUE"""),"12th April")</f>
        <v>12th April</v>
      </c>
      <c r="Z60" s="212" t="str">
        <f>IFERROR(__xludf.DUMMYFUNCTION("""COMPUTED_VALUE"""),"69c388a9e899ec1a85a8e861")</f>
        <v>69c388a9e899ec1a85a8e861</v>
      </c>
      <c r="AA60" s="287">
        <f>IFERROR(__xludf.DUMMYFUNCTION("""COMPUTED_VALUE"""),0.0)</f>
        <v>0</v>
      </c>
      <c r="AB60" s="213"/>
      <c r="AC60" s="213">
        <f>IFERROR(__xludf.DUMMYFUNCTION("""COMPUTED_VALUE"""),0.0)</f>
        <v>0</v>
      </c>
      <c r="AD60" s="213">
        <f>IFERROR(__xludf.DUMMYFUNCTION("""COMPUTED_VALUE"""),0.0)</f>
        <v>0</v>
      </c>
      <c r="AE60" s="213"/>
      <c r="AF60" s="213">
        <f>IFERROR(__xludf.DUMMYFUNCTION("""COMPUTED_VALUE"""),0.0)</f>
        <v>0</v>
      </c>
      <c r="AG60" s="282"/>
      <c r="AH60" s="282"/>
      <c r="AI60" s="282"/>
      <c r="AJ60" s="282"/>
      <c r="AK60" s="282"/>
      <c r="AL60" s="282"/>
      <c r="AM60" s="282"/>
      <c r="AN60" s="282"/>
      <c r="AO60" s="282"/>
      <c r="AP60" s="282"/>
      <c r="AQ60" s="282"/>
      <c r="AR60" s="282"/>
      <c r="AS60" s="282"/>
      <c r="AT60" s="282"/>
      <c r="AU60" s="282"/>
      <c r="AV60" s="282"/>
      <c r="AW60" s="282"/>
      <c r="AX60" s="282"/>
      <c r="AY60" s="282"/>
      <c r="AZ60" s="282"/>
    </row>
    <row r="61">
      <c r="A61" s="306">
        <f>IFERROR(__xludf.DUMMYFUNCTION("""COMPUTED_VALUE"""),46109.0)</f>
        <v>46109</v>
      </c>
      <c r="B61" s="247">
        <f>IFERROR(__xludf.DUMMYFUNCTION("""COMPUTED_VALUE"""),0.4166666666678793)</f>
        <v>0.4166666667</v>
      </c>
      <c r="C61" s="218" t="str">
        <f>IFERROR(__xludf.DUMMYFUNCTION("""COMPUTED_VALUE"""),"Sms")</f>
        <v>Sms</v>
      </c>
      <c r="D61" s="218" t="str">
        <f>IFERROR(__xludf.DUMMYFUNCTION("""COMPUTED_VALUE"""),"Promotional")</f>
        <v>Promotional</v>
      </c>
      <c r="E61" s="218" t="str">
        <f>IFERROR(__xludf.DUMMYFUNCTION("""COMPUTED_VALUE"""),"Crocs")</f>
        <v>Crocs</v>
      </c>
      <c r="F61" s="218" t="str">
        <f>IFERROR(__xludf.DUMMYFUNCTION("""COMPUTED_VALUE"""),"Store campaigns")</f>
        <v>Store campaigns</v>
      </c>
      <c r="G61" s="218" t="str">
        <f>IFERROR(__xludf.DUMMYFUNCTION("""COMPUTED_VALUE"""),"1255_Crocs outlet_Upto50")</f>
        <v>1255_Crocs outlet_Upto50</v>
      </c>
      <c r="H61" s="218" t="str">
        <f>IFERROR(__xludf.DUMMYFUNCTION("""COMPUTED_VALUE"""),"1255_Kohara_Ludhiana_27thMar26 OR Kohara Ludhiana_Staff OR Crocs_Internal OR Crocs_internal_new")</f>
        <v>1255_Kohara_Ludhiana_27thMar26 OR Kohara Ludhiana_Staff OR Crocs_Internal OR Crocs_internal_new</v>
      </c>
      <c r="I61" s="218" t="str">
        <f>IFERROR(__xludf.DUMMYFUNCTION("""COMPUTED_VALUE"""),"Custom Upload")</f>
        <v>Custom Upload</v>
      </c>
      <c r="J61" s="213">
        <f>IFERROR(__xludf.DUMMYFUNCTION("""COMPUTED_VALUE"""),27287.0)</f>
        <v>27287</v>
      </c>
      <c r="K61" s="213">
        <f>IFERROR(__xludf.DUMMYFUNCTION("""COMPUTED_VALUE"""),14478.0)</f>
        <v>14478</v>
      </c>
      <c r="L61" s="214">
        <f>IFERROR(__xludf.DUMMYFUNCTION("""COMPUTED_VALUE"""),0.5306)</f>
        <v>0.5306</v>
      </c>
      <c r="M61" s="213"/>
      <c r="N61" s="214"/>
      <c r="O61" s="213">
        <f>IFERROR(__xludf.DUMMYFUNCTION("""COMPUTED_VALUE"""),0.0)</f>
        <v>0</v>
      </c>
      <c r="P61" s="213"/>
      <c r="Q61" s="214">
        <f>IFERROR(__xludf.DUMMYFUNCTION("""COMPUTED_VALUE"""),0.0)</f>
        <v>0</v>
      </c>
      <c r="R61" s="214"/>
      <c r="S61" s="270"/>
      <c r="T61" s="270"/>
      <c r="U61" s="270"/>
      <c r="V61" s="101" t="str">
        <f>IFERROR(__xludf.DUMMYFUNCTION("""COMPUTED_VALUE"""),"offline ")</f>
        <v>offline </v>
      </c>
      <c r="W61" s="101" t="str">
        <f>IFERROR(__xludf.DUMMYFUNCTION("""COMPUTED_VALUE"""),"SMS")</f>
        <v>SMS</v>
      </c>
      <c r="X61" s="212" t="str">
        <f>IFERROR(__xludf.DUMMYFUNCTION("""COMPUTED_VALUE"""),"Store level")</f>
        <v>Store level</v>
      </c>
      <c r="Y61" s="212" t="str">
        <f>IFERROR(__xludf.DUMMYFUNCTION("""COMPUTED_VALUE"""),"12th April")</f>
        <v>12th April</v>
      </c>
      <c r="Z61" s="212" t="str">
        <f>IFERROR(__xludf.DUMMYFUNCTION("""COMPUTED_VALUE"""),"69c66980339fb3c9a87cc527")</f>
        <v>69c66980339fb3c9a87cc527</v>
      </c>
      <c r="AA61" s="287">
        <f>IFERROR(__xludf.DUMMYFUNCTION("""COMPUTED_VALUE"""),5.0)</f>
        <v>5</v>
      </c>
      <c r="AB61" s="213"/>
      <c r="AC61" s="213">
        <f>IFERROR(__xludf.DUMMYFUNCTION("""COMPUTED_VALUE"""),5.0)</f>
        <v>5</v>
      </c>
      <c r="AD61" s="213">
        <f>IFERROR(__xludf.DUMMYFUNCTION("""COMPUTED_VALUE"""),14378.0)</f>
        <v>14378</v>
      </c>
      <c r="AE61" s="213"/>
      <c r="AF61" s="213">
        <f>IFERROR(__xludf.DUMMYFUNCTION("""COMPUTED_VALUE"""),14378.0)</f>
        <v>14378</v>
      </c>
      <c r="AG61" s="282"/>
      <c r="AH61" s="282"/>
      <c r="AI61" s="282"/>
      <c r="AJ61" s="282"/>
      <c r="AK61" s="282"/>
      <c r="AL61" s="282"/>
      <c r="AM61" s="282"/>
      <c r="AN61" s="282"/>
      <c r="AO61" s="282"/>
      <c r="AP61" s="282"/>
      <c r="AQ61" s="282"/>
      <c r="AR61" s="282"/>
      <c r="AS61" s="282"/>
      <c r="AT61" s="282"/>
      <c r="AU61" s="282"/>
      <c r="AV61" s="282"/>
      <c r="AW61" s="282"/>
      <c r="AX61" s="282"/>
      <c r="AY61" s="282"/>
      <c r="AZ61" s="282"/>
    </row>
    <row r="62">
      <c r="A62" s="306">
        <f>IFERROR(__xludf.DUMMYFUNCTION("""COMPUTED_VALUE"""),46122.0)</f>
        <v>46122</v>
      </c>
      <c r="B62" s="247">
        <f>IFERROR(__xludf.DUMMYFUNCTION("""COMPUTED_VALUE"""),0.375)</f>
        <v>0.375</v>
      </c>
      <c r="C62" s="218" t="str">
        <f>IFERROR(__xludf.DUMMYFUNCTION("""COMPUTED_VALUE"""),"Whatsapp")</f>
        <v>Whatsapp</v>
      </c>
      <c r="D62" s="218" t="str">
        <f>IFERROR(__xludf.DUMMYFUNCTION("""COMPUTED_VALUE"""),"promotional")</f>
        <v>promotional</v>
      </c>
      <c r="E62" s="218" t="str">
        <f>IFERROR(__xludf.DUMMYFUNCTION("""COMPUTED_VALUE"""),"Crocs")</f>
        <v>Crocs</v>
      </c>
      <c r="F62" s="218" t="str">
        <f>IFERROR(__xludf.DUMMYFUNCTION("""COMPUTED_VALUE"""),"Amayra")</f>
        <v>Amayra</v>
      </c>
      <c r="G62" s="218" t="str">
        <f>IFERROR(__xludf.DUMMYFUNCTION("""COMPUTED_VALUE"""),"Flat50_Amayra_Crocs")</f>
        <v>Flat50_Amayra_Crocs</v>
      </c>
      <c r="H62" s="218" t="str">
        <f>IFERROR(__xludf.DUMMYFUNCTION("""COMPUTED_VALUE"""),"Crocs_off_AmayraEmporio_9thapril26")</f>
        <v>Crocs_off_AmayraEmporio_9thapril26</v>
      </c>
      <c r="I62" s="218" t="str">
        <f>IFERROR(__xludf.DUMMYFUNCTION("""COMPUTED_VALUE"""),"Custom Upload")</f>
        <v>Custom Upload</v>
      </c>
      <c r="J62" s="213">
        <f>IFERROR(__xludf.DUMMYFUNCTION("""COMPUTED_VALUE"""),15703.0)</f>
        <v>15703</v>
      </c>
      <c r="K62" s="213">
        <f>IFERROR(__xludf.DUMMYFUNCTION("""COMPUTED_VALUE"""),10428.0)</f>
        <v>10428</v>
      </c>
      <c r="L62" s="214">
        <f>IFERROR(__xludf.DUMMYFUNCTION("""COMPUTED_VALUE"""),0.6637)</f>
        <v>0.6637</v>
      </c>
      <c r="M62" s="213">
        <f>IFERROR(__xludf.DUMMYFUNCTION("""COMPUTED_VALUE"""),5675.0)</f>
        <v>5675</v>
      </c>
      <c r="N62" s="214">
        <f>IFERROR(__xludf.DUMMYFUNCTION("""COMPUTED_VALUE"""),0.5445)</f>
        <v>0.5445</v>
      </c>
      <c r="O62" s="213">
        <f>IFERROR(__xludf.DUMMYFUNCTION("""COMPUTED_VALUE"""),372.0)</f>
        <v>372</v>
      </c>
      <c r="P62" s="213">
        <f>IFERROR(__xludf.DUMMYFUNCTION("""COMPUTED_VALUE"""),348.0)</f>
        <v>348</v>
      </c>
      <c r="Q62" s="214">
        <f>IFERROR(__xludf.DUMMYFUNCTION("""COMPUTED_VALUE"""),0.0334)</f>
        <v>0.0334</v>
      </c>
      <c r="R62" s="214">
        <f>IFERROR(__xludf.DUMMYFUNCTION("""COMPUTED_VALUE"""),0.0613)</f>
        <v>0.0613</v>
      </c>
      <c r="S62" s="270">
        <f>IFERROR(__xludf.DUMMYFUNCTION("""COMPUTED_VALUE"""),0.0)</f>
        <v>0</v>
      </c>
      <c r="T62" s="270">
        <f>IFERROR(__xludf.DUMMYFUNCTION("""COMPUTED_VALUE"""),0.0)</f>
        <v>0</v>
      </c>
      <c r="U62" s="270">
        <f>IFERROR(__xludf.DUMMYFUNCTION("""COMPUTED_VALUE"""),0.0)</f>
        <v>0</v>
      </c>
      <c r="V62" s="101" t="str">
        <f>IFERROR(__xludf.DUMMYFUNCTION("""COMPUTED_VALUE"""),"offline")</f>
        <v>offline</v>
      </c>
      <c r="W62" s="101" t="str">
        <f>IFERROR(__xludf.DUMMYFUNCTION("""COMPUTED_VALUE"""),"simple")</f>
        <v>simple</v>
      </c>
      <c r="X62" s="212" t="str">
        <f>IFERROR(__xludf.DUMMYFUNCTION("""COMPUTED_VALUE"""),"No Brief")</f>
        <v>No Brief</v>
      </c>
      <c r="Y62" s="212" t="str">
        <f>IFERROR(__xludf.DUMMYFUNCTION("""COMPUTED_VALUE"""),"10-12 April")</f>
        <v>10-12 April</v>
      </c>
      <c r="Z62" s="212" t="str">
        <f>IFERROR(__xludf.DUMMYFUNCTION("""COMPUTED_VALUE"""),"69d79a5255be37edb2424471")</f>
        <v>69d79a5255be37edb2424471</v>
      </c>
      <c r="AA62" s="287">
        <f>IFERROR(__xludf.DUMMYFUNCTION("""COMPUTED_VALUE"""),1.0)</f>
        <v>1</v>
      </c>
      <c r="AB62" s="213"/>
      <c r="AC62" s="213">
        <f>IFERROR(__xludf.DUMMYFUNCTION("""COMPUTED_VALUE"""),1.0)</f>
        <v>1</v>
      </c>
      <c r="AD62" s="213">
        <f>IFERROR(__xludf.DUMMYFUNCTION("""COMPUTED_VALUE"""),8994.0)</f>
        <v>8994</v>
      </c>
      <c r="AE62" s="213"/>
      <c r="AF62" s="213">
        <f>IFERROR(__xludf.DUMMYFUNCTION("""COMPUTED_VALUE"""),8994.0)</f>
        <v>8994</v>
      </c>
      <c r="AG62" s="282"/>
      <c r="AH62" s="282"/>
      <c r="AI62" s="282"/>
      <c r="AJ62" s="282"/>
      <c r="AK62" s="282"/>
      <c r="AL62" s="282"/>
      <c r="AM62" s="282"/>
      <c r="AN62" s="282"/>
      <c r="AO62" s="282"/>
      <c r="AP62" s="282"/>
      <c r="AQ62" s="282"/>
      <c r="AR62" s="282"/>
      <c r="AS62" s="282"/>
      <c r="AT62" s="282"/>
      <c r="AU62" s="282"/>
      <c r="AV62" s="282"/>
      <c r="AW62" s="282"/>
      <c r="AX62" s="282"/>
      <c r="AY62" s="282"/>
      <c r="AZ62" s="282"/>
    </row>
    <row r="63">
      <c r="A63" s="306">
        <f>IFERROR(__xludf.DUMMYFUNCTION("""COMPUTED_VALUE"""),46122.0)</f>
        <v>46122</v>
      </c>
      <c r="B63" s="247">
        <f>IFERROR(__xludf.DUMMYFUNCTION("""COMPUTED_VALUE"""),0.4791666666678793)</f>
        <v>0.4791666667</v>
      </c>
      <c r="C63" s="218" t="str">
        <f>IFERROR(__xludf.DUMMYFUNCTION("""COMPUTED_VALUE"""),"Sms")</f>
        <v>Sms</v>
      </c>
      <c r="D63" s="218" t="str">
        <f>IFERROR(__xludf.DUMMYFUNCTION("""COMPUTED_VALUE"""),"Fallback campaign")</f>
        <v>Fallback campaign</v>
      </c>
      <c r="E63" s="218" t="str">
        <f>IFERROR(__xludf.DUMMYFUNCTION("""COMPUTED_VALUE"""),"Crocs")</f>
        <v>Crocs</v>
      </c>
      <c r="F63" s="218" t="str">
        <f>IFERROR(__xludf.DUMMYFUNCTION("""COMPUTED_VALUE"""),"Amayra")</f>
        <v>Amayra</v>
      </c>
      <c r="G63" s="218" t="str">
        <f>IFERROR(__xludf.DUMMYFUNCTION("""COMPUTED_VALUE"""),"Crocs_Amayra_fallback")</f>
        <v>Crocs_Amayra_fallback</v>
      </c>
      <c r="H63" s="218" t="str">
        <f>IFERROR(__xludf.DUMMYFUNCTION("""COMPUTED_VALUE"""),"Crocs_off_AmayraEmporio_9thapril26")</f>
        <v>Crocs_off_AmayraEmporio_9thapril26</v>
      </c>
      <c r="I63" s="218" t="str">
        <f>IFERROR(__xludf.DUMMYFUNCTION("""COMPUTED_VALUE"""),"WA Undelivered")</f>
        <v>WA Undelivered</v>
      </c>
      <c r="J63" s="213">
        <f>IFERROR(__xludf.DUMMYFUNCTION("""COMPUTED_VALUE"""),5135.0)</f>
        <v>5135</v>
      </c>
      <c r="K63" s="213">
        <f>IFERROR(__xludf.DUMMYFUNCTION("""COMPUTED_VALUE"""),2945.0)</f>
        <v>2945</v>
      </c>
      <c r="L63" s="214">
        <f>IFERROR(__xludf.DUMMYFUNCTION("""COMPUTED_VALUE"""),0.5735)</f>
        <v>0.5735</v>
      </c>
      <c r="M63" s="213"/>
      <c r="N63" s="214"/>
      <c r="O63" s="213">
        <f>IFERROR(__xludf.DUMMYFUNCTION("""COMPUTED_VALUE"""),0.0)</f>
        <v>0</v>
      </c>
      <c r="P63" s="213"/>
      <c r="Q63" s="214">
        <f>IFERROR(__xludf.DUMMYFUNCTION("""COMPUTED_VALUE"""),0.0)</f>
        <v>0</v>
      </c>
      <c r="R63" s="214"/>
      <c r="S63" s="270">
        <f>IFERROR(__xludf.DUMMYFUNCTION("""COMPUTED_VALUE"""),0.0)</f>
        <v>0</v>
      </c>
      <c r="T63" s="270">
        <f>IFERROR(__xludf.DUMMYFUNCTION("""COMPUTED_VALUE"""),0.0)</f>
        <v>0</v>
      </c>
      <c r="U63" s="270">
        <f>IFERROR(__xludf.DUMMYFUNCTION("""COMPUTED_VALUE"""),0.0)</f>
        <v>0</v>
      </c>
      <c r="V63" s="101" t="str">
        <f>IFERROR(__xludf.DUMMYFUNCTION("""COMPUTED_VALUE"""),"offline")</f>
        <v>offline</v>
      </c>
      <c r="W63" s="101" t="str">
        <f>IFERROR(__xludf.DUMMYFUNCTION("""COMPUTED_VALUE"""),"SMS")</f>
        <v>SMS</v>
      </c>
      <c r="X63" s="212" t="str">
        <f>IFERROR(__xludf.DUMMYFUNCTION("""COMPUTED_VALUE"""),"No Brief")</f>
        <v>No Brief</v>
      </c>
      <c r="Y63" s="212" t="str">
        <f>IFERROR(__xludf.DUMMYFUNCTION("""COMPUTED_VALUE"""),"10-12 April")</f>
        <v>10-12 April</v>
      </c>
      <c r="Z63" s="212" t="str">
        <f>IFERROR(__xludf.DUMMYFUNCTION("""COMPUTED_VALUE"""),"69d79a91112015d9d3b63f4b")</f>
        <v>69d79a91112015d9d3b63f4b</v>
      </c>
      <c r="AA63" s="287">
        <f>IFERROR(__xludf.DUMMYFUNCTION("""COMPUTED_VALUE"""),1.0)</f>
        <v>1</v>
      </c>
      <c r="AB63" s="213"/>
      <c r="AC63" s="213">
        <f>IFERROR(__xludf.DUMMYFUNCTION("""COMPUTED_VALUE"""),1.0)</f>
        <v>1</v>
      </c>
      <c r="AD63" s="213">
        <f>IFERROR(__xludf.DUMMYFUNCTION("""COMPUTED_VALUE"""),6642.0)</f>
        <v>6642</v>
      </c>
      <c r="AE63" s="213"/>
      <c r="AF63" s="213">
        <f>IFERROR(__xludf.DUMMYFUNCTION("""COMPUTED_VALUE"""),6642.0)</f>
        <v>6642</v>
      </c>
      <c r="AG63" s="282"/>
      <c r="AH63" s="282"/>
      <c r="AI63" s="282"/>
      <c r="AJ63" s="282"/>
      <c r="AK63" s="282"/>
      <c r="AL63" s="282"/>
      <c r="AM63" s="282"/>
      <c r="AN63" s="282"/>
      <c r="AO63" s="282"/>
      <c r="AP63" s="282"/>
      <c r="AQ63" s="282"/>
      <c r="AR63" s="282"/>
      <c r="AS63" s="282"/>
      <c r="AT63" s="282"/>
      <c r="AU63" s="282"/>
      <c r="AV63" s="282"/>
      <c r="AW63" s="282"/>
      <c r="AX63" s="282"/>
      <c r="AY63" s="282"/>
      <c r="AZ63" s="282"/>
    </row>
    <row r="64">
      <c r="A64" s="306">
        <f>IFERROR(__xludf.DUMMYFUNCTION("""COMPUTED_VALUE"""),46124.0)</f>
        <v>46124</v>
      </c>
      <c r="B64" s="247">
        <f>IFERROR(__xludf.DUMMYFUNCTION("""COMPUTED_VALUE"""),0.3958333333321207)</f>
        <v>0.3958333333</v>
      </c>
      <c r="C64" s="218" t="str">
        <f>IFERROR(__xludf.DUMMYFUNCTION("""COMPUTED_VALUE"""),"Sms")</f>
        <v>Sms</v>
      </c>
      <c r="D64" s="218" t="str">
        <f>IFERROR(__xludf.DUMMYFUNCTION("""COMPUTED_VALUE"""),"Promtional")</f>
        <v>Promtional</v>
      </c>
      <c r="E64" s="218" t="str">
        <f>IFERROR(__xludf.DUMMYFUNCTION("""COMPUTED_VALUE"""),"Crocs")</f>
        <v>Crocs</v>
      </c>
      <c r="F64" s="218" t="str">
        <f>IFERROR(__xludf.DUMMYFUNCTION("""COMPUTED_VALUE"""),"Amayra")</f>
        <v>Amayra</v>
      </c>
      <c r="G64" s="218" t="str">
        <f>IFERROR(__xludf.DUMMYFUNCTION("""COMPUTED_VALUE"""),"Crocs_Amayra_flat50")</f>
        <v>Crocs_Amayra_flat50</v>
      </c>
      <c r="H64" s="218" t="str">
        <f>IFERROR(__xludf.DUMMYFUNCTION("""COMPUTED_VALUE"""),"Crocs_off_AmayraEmporio_9thapril26")</f>
        <v>Crocs_off_AmayraEmporio_9thapril26</v>
      </c>
      <c r="I64" s="218" t="str">
        <f>IFERROR(__xludf.DUMMYFUNCTION("""COMPUTED_VALUE"""),"Custom Upload")</f>
        <v>Custom Upload</v>
      </c>
      <c r="J64" s="213">
        <f>IFERROR(__xludf.DUMMYFUNCTION("""COMPUTED_VALUE"""),15703.0)</f>
        <v>15703</v>
      </c>
      <c r="K64" s="213">
        <f>IFERROR(__xludf.DUMMYFUNCTION("""COMPUTED_VALUE"""),8890.0)</f>
        <v>8890</v>
      </c>
      <c r="L64" s="214">
        <f>IFERROR(__xludf.DUMMYFUNCTION("""COMPUTED_VALUE"""),0.5661)</f>
        <v>0.5661</v>
      </c>
      <c r="M64" s="213"/>
      <c r="N64" s="214"/>
      <c r="O64" s="213">
        <f>IFERROR(__xludf.DUMMYFUNCTION("""COMPUTED_VALUE"""),0.0)</f>
        <v>0</v>
      </c>
      <c r="P64" s="213"/>
      <c r="Q64" s="214">
        <f>IFERROR(__xludf.DUMMYFUNCTION("""COMPUTED_VALUE"""),0.0)</f>
        <v>0</v>
      </c>
      <c r="R64" s="214"/>
      <c r="S64" s="270">
        <f>IFERROR(__xludf.DUMMYFUNCTION("""COMPUTED_VALUE"""),0.0)</f>
        <v>0</v>
      </c>
      <c r="T64" s="270">
        <f>IFERROR(__xludf.DUMMYFUNCTION("""COMPUTED_VALUE"""),0.0)</f>
        <v>0</v>
      </c>
      <c r="U64" s="270">
        <f>IFERROR(__xludf.DUMMYFUNCTION("""COMPUTED_VALUE"""),0.0)</f>
        <v>0</v>
      </c>
      <c r="V64" s="101" t="str">
        <f>IFERROR(__xludf.DUMMYFUNCTION("""COMPUTED_VALUE"""),"offline")</f>
        <v>offline</v>
      </c>
      <c r="W64" s="101" t="str">
        <f>IFERROR(__xludf.DUMMYFUNCTION("""COMPUTED_VALUE"""),"SMS")</f>
        <v>SMS</v>
      </c>
      <c r="X64" s="212" t="str">
        <f>IFERROR(__xludf.DUMMYFUNCTION("""COMPUTED_VALUE"""),"No Brief")</f>
        <v>No Brief</v>
      </c>
      <c r="Y64" s="212" t="str">
        <f>IFERROR(__xludf.DUMMYFUNCTION("""COMPUTED_VALUE"""),"12 April")</f>
        <v>12 April</v>
      </c>
      <c r="Z64" s="212" t="str">
        <f>IFERROR(__xludf.DUMMYFUNCTION("""COMPUTED_VALUE"""),"69d79aa8f21f3a30b1f18307")</f>
        <v>69d79aa8f21f3a30b1f18307</v>
      </c>
      <c r="AA64" s="287">
        <f>IFERROR(__xludf.DUMMYFUNCTION("""COMPUTED_VALUE"""),1.0)</f>
        <v>1</v>
      </c>
      <c r="AB64" s="213"/>
      <c r="AC64" s="213">
        <f>IFERROR(__xludf.DUMMYFUNCTION("""COMPUTED_VALUE"""),1.0)</f>
        <v>1</v>
      </c>
      <c r="AD64" s="213">
        <f>IFERROR(__xludf.DUMMYFUNCTION("""COMPUTED_VALUE"""),6642.0)</f>
        <v>6642</v>
      </c>
      <c r="AE64" s="213"/>
      <c r="AF64" s="213">
        <f>IFERROR(__xludf.DUMMYFUNCTION("""COMPUTED_VALUE"""),6642.0)</f>
        <v>6642</v>
      </c>
      <c r="AG64" s="282"/>
      <c r="AH64" s="282"/>
      <c r="AI64" s="282"/>
      <c r="AJ64" s="282"/>
      <c r="AK64" s="282"/>
      <c r="AL64" s="282"/>
      <c r="AM64" s="282"/>
      <c r="AN64" s="282"/>
      <c r="AO64" s="282"/>
      <c r="AP64" s="282"/>
      <c r="AQ64" s="282"/>
      <c r="AR64" s="282"/>
      <c r="AS64" s="282"/>
      <c r="AT64" s="282"/>
      <c r="AU64" s="282"/>
      <c r="AV64" s="282"/>
      <c r="AW64" s="282"/>
      <c r="AX64" s="282"/>
      <c r="AY64" s="282"/>
      <c r="AZ64" s="282"/>
    </row>
    <row r="65">
      <c r="A65" s="306">
        <f>IFERROR(__xludf.DUMMYFUNCTION("""COMPUTED_VALUE"""),46143.0)</f>
        <v>46143</v>
      </c>
      <c r="B65" s="247">
        <f>IFERROR(__xludf.DUMMYFUNCTION("""COMPUTED_VALUE"""),0.4166666666678793)</f>
        <v>0.4166666667</v>
      </c>
      <c r="C65" s="218" t="str">
        <f>IFERROR(__xludf.DUMMYFUNCTION("""COMPUTED_VALUE"""),"Whatsapp")</f>
        <v>Whatsapp</v>
      </c>
      <c r="D65" s="218" t="str">
        <f>IFERROR(__xludf.DUMMYFUNCTION("""COMPUTED_VALUE"""),"Promtional")</f>
        <v>Promtional</v>
      </c>
      <c r="E65" s="218" t="str">
        <f>IFERROR(__xludf.DUMMYFUNCTION("""COMPUTED_VALUE"""),"Crocs")</f>
        <v>Crocs</v>
      </c>
      <c r="F65" s="218" t="str">
        <f>IFERROR(__xludf.DUMMYFUNCTION("""COMPUTED_VALUE"""),"No Brief")</f>
        <v>No Brief</v>
      </c>
      <c r="G65" s="218" t="str">
        <f>IFERROR(__xludf.DUMMYFUNCTION("""COMPUTED_VALUE"""),"Crocs_Bhopal")</f>
        <v>Crocs_Bhopal</v>
      </c>
      <c r="H65" s="218" t="str">
        <f>IFERROR(__xludf.DUMMYFUNCTION("""COMPUTED_VALUE"""),"Crocs_bhopal_29april")</f>
        <v>Crocs_bhopal_29april</v>
      </c>
      <c r="I65" s="218" t="str">
        <f>IFERROR(__xludf.DUMMYFUNCTION("""COMPUTED_VALUE"""),"Custom upload")</f>
        <v>Custom upload</v>
      </c>
      <c r="J65" s="213">
        <f>IFERROR(__xludf.DUMMYFUNCTION("""COMPUTED_VALUE"""),26638.0)</f>
        <v>26638</v>
      </c>
      <c r="K65" s="213">
        <f>IFERROR(__xludf.DUMMYFUNCTION("""COMPUTED_VALUE"""),10485.0)</f>
        <v>10485</v>
      </c>
      <c r="L65" s="214">
        <f>IFERROR(__xludf.DUMMYFUNCTION("""COMPUTED_VALUE"""),0.3935)</f>
        <v>0.3935</v>
      </c>
      <c r="M65" s="213">
        <f>IFERROR(__xludf.DUMMYFUNCTION("""COMPUTED_VALUE"""),5357.0)</f>
        <v>5357</v>
      </c>
      <c r="N65" s="214">
        <f>IFERROR(__xludf.DUMMYFUNCTION("""COMPUTED_VALUE"""),0.5111)</f>
        <v>0.5111</v>
      </c>
      <c r="O65" s="213">
        <f>IFERROR(__xludf.DUMMYFUNCTION("""COMPUTED_VALUE"""),461.0)</f>
        <v>461</v>
      </c>
      <c r="P65" s="213">
        <f>IFERROR(__xludf.DUMMYFUNCTION("""COMPUTED_VALUE"""),443.0)</f>
        <v>443</v>
      </c>
      <c r="Q65" s="214">
        <f>IFERROR(__xludf.DUMMYFUNCTION("""COMPUTED_VALUE"""),0.0423)</f>
        <v>0.0423</v>
      </c>
      <c r="R65" s="214">
        <f>IFERROR(__xludf.DUMMYFUNCTION("""COMPUTED_VALUE"""),0.0827)</f>
        <v>0.0827</v>
      </c>
      <c r="S65" s="270">
        <f>IFERROR(__xludf.DUMMYFUNCTION("""COMPUTED_VALUE"""),0.0)</f>
        <v>0</v>
      </c>
      <c r="T65" s="270">
        <f>IFERROR(__xludf.DUMMYFUNCTION("""COMPUTED_VALUE"""),0.0)</f>
        <v>0</v>
      </c>
      <c r="U65" s="270">
        <f>IFERROR(__xludf.DUMMYFUNCTION("""COMPUTED_VALUE"""),0.0)</f>
        <v>0</v>
      </c>
      <c r="V65" s="101" t="str">
        <f>IFERROR(__xludf.DUMMYFUNCTION("""COMPUTED_VALUE"""),"offline")</f>
        <v>offline</v>
      </c>
      <c r="W65" s="101" t="str">
        <f>IFERROR(__xludf.DUMMYFUNCTION("""COMPUTED_VALUE"""),"simple")</f>
        <v>simple</v>
      </c>
      <c r="X65" s="212" t="str">
        <f>IFERROR(__xludf.DUMMYFUNCTION("""COMPUTED_VALUE"""),"custom upload")</f>
        <v>custom upload</v>
      </c>
      <c r="Y65" s="212" t="str">
        <f>IFERROR(__xludf.DUMMYFUNCTION("""COMPUTED_VALUE"""),"15th May")</f>
        <v>15th May</v>
      </c>
      <c r="Z65" s="212" t="str">
        <f>IFERROR(__xludf.DUMMYFUNCTION("""COMPUTED_VALUE"""),"69f1ac23b228e7382dec5525")</f>
        <v>69f1ac23b228e7382dec5525</v>
      </c>
      <c r="AA65" s="287">
        <f>IFERROR(__xludf.DUMMYFUNCTION("""COMPUTED_VALUE"""),1.0)</f>
        <v>1</v>
      </c>
      <c r="AB65" s="213"/>
      <c r="AC65" s="213">
        <f>IFERROR(__xludf.DUMMYFUNCTION("""COMPUTED_VALUE"""),1.0)</f>
        <v>1</v>
      </c>
      <c r="AD65" s="213">
        <f>IFERROR(__xludf.DUMMYFUNCTION("""COMPUTED_VALUE"""),6293.0)</f>
        <v>6293</v>
      </c>
      <c r="AE65" s="213"/>
      <c r="AF65" s="213">
        <f>IFERROR(__xludf.DUMMYFUNCTION("""COMPUTED_VALUE"""),6293.0)</f>
        <v>6293</v>
      </c>
      <c r="AG65" s="282"/>
      <c r="AH65" s="282"/>
      <c r="AI65" s="282"/>
      <c r="AJ65" s="282"/>
      <c r="AK65" s="282"/>
      <c r="AL65" s="282"/>
      <c r="AM65" s="282"/>
      <c r="AN65" s="282"/>
      <c r="AO65" s="282"/>
      <c r="AP65" s="282"/>
      <c r="AQ65" s="282"/>
      <c r="AR65" s="282"/>
      <c r="AS65" s="282"/>
      <c r="AT65" s="282"/>
      <c r="AU65" s="282"/>
      <c r="AV65" s="282"/>
      <c r="AW65" s="282"/>
      <c r="AX65" s="282"/>
      <c r="AY65" s="282"/>
      <c r="AZ65" s="282"/>
    </row>
    <row r="66">
      <c r="A66" s="306">
        <f>IFERROR(__xludf.DUMMYFUNCTION("""COMPUTED_VALUE"""),46143.0)</f>
        <v>46143</v>
      </c>
      <c r="B66" s="247">
        <f>IFERROR(__xludf.DUMMYFUNCTION("""COMPUTED_VALUE"""),0.5)</f>
        <v>0.5</v>
      </c>
      <c r="C66" s="218" t="str">
        <f>IFERROR(__xludf.DUMMYFUNCTION("""COMPUTED_VALUE"""),"Sms")</f>
        <v>Sms</v>
      </c>
      <c r="D66" s="218" t="str">
        <f>IFERROR(__xludf.DUMMYFUNCTION("""COMPUTED_VALUE"""),"Fallback campaign")</f>
        <v>Fallback campaign</v>
      </c>
      <c r="E66" s="218" t="str">
        <f>IFERROR(__xludf.DUMMYFUNCTION("""COMPUTED_VALUE"""),"Crocs")</f>
        <v>Crocs</v>
      </c>
      <c r="F66" s="218" t="str">
        <f>IFERROR(__xludf.DUMMYFUNCTION("""COMPUTED_VALUE"""),"No Brief")</f>
        <v>No Brief</v>
      </c>
      <c r="G66" s="218" t="str">
        <f>IFERROR(__xludf.DUMMYFUNCTION("""COMPUTED_VALUE"""),"Crocs_Bhopal_fallback")</f>
        <v>Crocs_Bhopal_fallback</v>
      </c>
      <c r="H66" s="218" t="str">
        <f>IFERROR(__xludf.DUMMYFUNCTION("""COMPUTED_VALUE"""),"Crocs_bhopal_29april")</f>
        <v>Crocs_bhopal_29april</v>
      </c>
      <c r="I66" s="218" t="str">
        <f>IFERROR(__xludf.DUMMYFUNCTION("""COMPUTED_VALUE"""),"WA Undelivered")</f>
        <v>WA Undelivered</v>
      </c>
      <c r="J66" s="213">
        <f>IFERROR(__xludf.DUMMYFUNCTION("""COMPUTED_VALUE"""),16015.0)</f>
        <v>16015</v>
      </c>
      <c r="K66" s="213">
        <f>IFERROR(__xludf.DUMMYFUNCTION("""COMPUTED_VALUE"""),8261.0)</f>
        <v>8261</v>
      </c>
      <c r="L66" s="214">
        <f>IFERROR(__xludf.DUMMYFUNCTION("""COMPUTED_VALUE"""),0.5158)</f>
        <v>0.5158</v>
      </c>
      <c r="M66" s="213">
        <f>IFERROR(__xludf.DUMMYFUNCTION("""COMPUTED_VALUE"""),0.0)</f>
        <v>0</v>
      </c>
      <c r="N66" s="214">
        <f>IFERROR(__xludf.DUMMYFUNCTION("""COMPUTED_VALUE"""),0.0)</f>
        <v>0</v>
      </c>
      <c r="O66" s="213">
        <f>IFERROR(__xludf.DUMMYFUNCTION("""COMPUTED_VALUE"""),0.0)</f>
        <v>0</v>
      </c>
      <c r="P66" s="213">
        <f>IFERROR(__xludf.DUMMYFUNCTION("""COMPUTED_VALUE"""),0.0)</f>
        <v>0</v>
      </c>
      <c r="Q66" s="214">
        <f>IFERROR(__xludf.DUMMYFUNCTION("""COMPUTED_VALUE"""),0.0)</f>
        <v>0</v>
      </c>
      <c r="R66" s="214">
        <f>IFERROR(__xludf.DUMMYFUNCTION("""COMPUTED_VALUE"""),0.0)</f>
        <v>0</v>
      </c>
      <c r="S66" s="270">
        <f>IFERROR(__xludf.DUMMYFUNCTION("""COMPUTED_VALUE"""),0.0)</f>
        <v>0</v>
      </c>
      <c r="T66" s="270">
        <f>IFERROR(__xludf.DUMMYFUNCTION("""COMPUTED_VALUE"""),0.0)</f>
        <v>0</v>
      </c>
      <c r="U66" s="270">
        <f>IFERROR(__xludf.DUMMYFUNCTION("""COMPUTED_VALUE"""),0.0)</f>
        <v>0</v>
      </c>
      <c r="V66" s="101" t="str">
        <f>IFERROR(__xludf.DUMMYFUNCTION("""COMPUTED_VALUE"""),"offline")</f>
        <v>offline</v>
      </c>
      <c r="W66" s="101" t="str">
        <f>IFERROR(__xludf.DUMMYFUNCTION("""COMPUTED_VALUE"""),"sms")</f>
        <v>sms</v>
      </c>
      <c r="X66" s="212" t="str">
        <f>IFERROR(__xludf.DUMMYFUNCTION("""COMPUTED_VALUE"""),"custom upload")</f>
        <v>custom upload</v>
      </c>
      <c r="Y66" s="212" t="str">
        <f>IFERROR(__xludf.DUMMYFUNCTION("""COMPUTED_VALUE"""),"15th May")</f>
        <v>15th May</v>
      </c>
      <c r="Z66" s="212" t="str">
        <f>IFERROR(__xludf.DUMMYFUNCTION("""COMPUTED_VALUE"""),"69f1ac652bc9ef9799b23dee")</f>
        <v>69f1ac652bc9ef9799b23dee</v>
      </c>
      <c r="AA66" s="287">
        <f>IFERROR(__xludf.DUMMYFUNCTION("""COMPUTED_VALUE"""),0.0)</f>
        <v>0</v>
      </c>
      <c r="AB66" s="213"/>
      <c r="AC66" s="213">
        <f>IFERROR(__xludf.DUMMYFUNCTION("""COMPUTED_VALUE"""),0.0)</f>
        <v>0</v>
      </c>
      <c r="AD66" s="213">
        <f>IFERROR(__xludf.DUMMYFUNCTION("""COMPUTED_VALUE"""),0.0)</f>
        <v>0</v>
      </c>
      <c r="AE66" s="213"/>
      <c r="AF66" s="213">
        <f>IFERROR(__xludf.DUMMYFUNCTION("""COMPUTED_VALUE"""),0.0)</f>
        <v>0</v>
      </c>
      <c r="AG66" s="282"/>
      <c r="AH66" s="282"/>
      <c r="AI66" s="282"/>
      <c r="AJ66" s="282"/>
      <c r="AK66" s="282"/>
      <c r="AL66" s="282"/>
      <c r="AM66" s="282"/>
      <c r="AN66" s="282"/>
      <c r="AO66" s="282"/>
      <c r="AP66" s="282"/>
      <c r="AQ66" s="282"/>
      <c r="AR66" s="282"/>
      <c r="AS66" s="282"/>
      <c r="AT66" s="282"/>
      <c r="AU66" s="282"/>
      <c r="AV66" s="282"/>
      <c r="AW66" s="282"/>
      <c r="AX66" s="282"/>
      <c r="AY66" s="282"/>
      <c r="AZ66" s="282"/>
    </row>
    <row r="67">
      <c r="A67" s="306">
        <f>IFERROR(__xludf.DUMMYFUNCTION("""COMPUTED_VALUE"""),46213.0)</f>
        <v>46213</v>
      </c>
      <c r="B67" s="247">
        <f>IFERROR(__xludf.DUMMYFUNCTION("""COMPUTED_VALUE"""),0.4166666666678793)</f>
        <v>0.4166666667</v>
      </c>
      <c r="C67" s="218" t="str">
        <f>IFERROR(__xludf.DUMMYFUNCTION("""COMPUTED_VALUE"""),"Sms")</f>
        <v>Sms</v>
      </c>
      <c r="D67" s="218" t="str">
        <f>IFERROR(__xludf.DUMMYFUNCTION("""COMPUTED_VALUE"""),"Promotional")</f>
        <v>Promotional</v>
      </c>
      <c r="E67" s="218" t="str">
        <f>IFERROR(__xludf.DUMMYFUNCTION("""COMPUTED_VALUE"""),"Crocs")</f>
        <v>Crocs</v>
      </c>
      <c r="F67" s="218" t="str">
        <f>IFERROR(__xludf.DUMMYFUNCTION("""COMPUTED_VALUE"""),"No Brief")</f>
        <v>No Brief</v>
      </c>
      <c r="G67" s="218" t="str">
        <f>IFERROR(__xludf.DUMMYFUNCTION("""COMPUTED_VALUE"""),"1346_Ambi VK_Upto30")</f>
        <v>1346_Ambi VK_Upto30</v>
      </c>
      <c r="H67" s="218" t="str">
        <f>IFERROR(__xludf.DUMMYFUNCTION("""COMPUTED_VALUE"""),"CROCS_AMBI VASAT KUNJ DELHI_1346")</f>
        <v>CROCS_AMBI VASAT KUNJ DELHI_1346</v>
      </c>
      <c r="I67" s="218" t="str">
        <f>IFERROR(__xludf.DUMMYFUNCTION("""COMPUTED_VALUE"""),"Customers shopping in Txn_store Code :- 1346")</f>
        <v>Customers shopping in Txn_store Code :- 1346</v>
      </c>
      <c r="J67" s="213">
        <f>IFERROR(__xludf.DUMMYFUNCTION("""COMPUTED_VALUE"""),577.0)</f>
        <v>577</v>
      </c>
      <c r="K67" s="213">
        <f>IFERROR(__xludf.DUMMYFUNCTION("""COMPUTED_VALUE"""),306.0)</f>
        <v>306</v>
      </c>
      <c r="L67" s="214">
        <f>IFERROR(__xludf.DUMMYFUNCTION("""COMPUTED_VALUE"""),0.5303)</f>
        <v>0.5303</v>
      </c>
      <c r="M67" s="213">
        <f>IFERROR(__xludf.DUMMYFUNCTION("""COMPUTED_VALUE"""),0.0)</f>
        <v>0</v>
      </c>
      <c r="N67" s="214">
        <f>IFERROR(__xludf.DUMMYFUNCTION("""COMPUTED_VALUE"""),0.0)</f>
        <v>0</v>
      </c>
      <c r="O67" s="213">
        <f>IFERROR(__xludf.DUMMYFUNCTION("""COMPUTED_VALUE"""),0.0)</f>
        <v>0</v>
      </c>
      <c r="P67" s="213">
        <f>IFERROR(__xludf.DUMMYFUNCTION("""COMPUTED_VALUE"""),0.0)</f>
        <v>0</v>
      </c>
      <c r="Q67" s="214">
        <f>IFERROR(__xludf.DUMMYFUNCTION("""COMPUTED_VALUE"""),0.0)</f>
        <v>0</v>
      </c>
      <c r="R67" s="214">
        <f>IFERROR(__xludf.DUMMYFUNCTION("""COMPUTED_VALUE"""),0.0)</f>
        <v>0</v>
      </c>
      <c r="S67" s="270">
        <f>IFERROR(__xludf.DUMMYFUNCTION("""COMPUTED_VALUE"""),0.0)</f>
        <v>0</v>
      </c>
      <c r="T67" s="270">
        <f>IFERROR(__xludf.DUMMYFUNCTION("""COMPUTED_VALUE"""),0.0)</f>
        <v>0</v>
      </c>
      <c r="U67" s="270">
        <f>IFERROR(__xludf.DUMMYFUNCTION("""COMPUTED_VALUE"""),0.0)</f>
        <v>0</v>
      </c>
      <c r="V67" s="101" t="str">
        <f>IFERROR(__xludf.DUMMYFUNCTION("""COMPUTED_VALUE"""),"offline")</f>
        <v>offline</v>
      </c>
      <c r="W67" s="101" t="str">
        <f>IFERROR(__xludf.DUMMYFUNCTION("""COMPUTED_VALUE"""),"Sms")</f>
        <v>Sms</v>
      </c>
      <c r="X67" s="212" t="str">
        <f>IFERROR(__xludf.DUMMYFUNCTION("""COMPUTED_VALUE"""),"Store base")</f>
        <v>Store base</v>
      </c>
      <c r="Y67" s="212" t="str">
        <f>IFERROR(__xludf.DUMMYFUNCTION("""COMPUTED_VALUE"""),"10th - 31 July 2026")</f>
        <v>10th - 31 July 2026</v>
      </c>
      <c r="Z67" s="212" t="str">
        <f>IFERROR(__xludf.DUMMYFUNCTION("""COMPUTED_VALUE"""),"6a4fa65e86bf8073ff3c77ea")</f>
        <v>6a4fa65e86bf8073ff3c77ea</v>
      </c>
      <c r="AA67" s="287"/>
      <c r="AB67" s="213"/>
      <c r="AC67" s="213"/>
      <c r="AD67" s="213"/>
      <c r="AE67" s="213"/>
      <c r="AF67" s="213"/>
      <c r="AG67" s="282"/>
      <c r="AH67" s="282"/>
      <c r="AI67" s="282"/>
      <c r="AJ67" s="282"/>
      <c r="AK67" s="282"/>
      <c r="AL67" s="282"/>
      <c r="AM67" s="282"/>
      <c r="AN67" s="282"/>
      <c r="AO67" s="282"/>
      <c r="AP67" s="282"/>
      <c r="AQ67" s="282"/>
      <c r="AR67" s="282"/>
      <c r="AS67" s="282"/>
      <c r="AT67" s="282"/>
      <c r="AU67" s="282"/>
      <c r="AV67" s="282"/>
      <c r="AW67" s="282"/>
      <c r="AX67" s="282"/>
      <c r="AY67" s="282"/>
      <c r="AZ67" s="282"/>
    </row>
    <row r="68">
      <c r="A68" s="306">
        <f>IFERROR(__xludf.DUMMYFUNCTION("""COMPUTED_VALUE"""),46213.0)</f>
        <v>46213</v>
      </c>
      <c r="B68" s="247">
        <f>IFERROR(__xludf.DUMMYFUNCTION("""COMPUTED_VALUE"""),0.4166666666678793)</f>
        <v>0.4166666667</v>
      </c>
      <c r="C68" s="218" t="str">
        <f>IFERROR(__xludf.DUMMYFUNCTION("""COMPUTED_VALUE"""),"Sms")</f>
        <v>Sms</v>
      </c>
      <c r="D68" s="218" t="str">
        <f>IFERROR(__xludf.DUMMYFUNCTION("""COMPUTED_VALUE"""),"Promotional")</f>
        <v>Promotional</v>
      </c>
      <c r="E68" s="218" t="str">
        <f>IFERROR(__xludf.DUMMYFUNCTION("""COMPUTED_VALUE"""),"Crocs")</f>
        <v>Crocs</v>
      </c>
      <c r="F68" s="218" t="str">
        <f>IFERROR(__xludf.DUMMYFUNCTION("""COMPUTED_VALUE"""),"No Brief")</f>
        <v>No Brief</v>
      </c>
      <c r="G68" s="218" t="str">
        <f>IFERROR(__xludf.DUMMYFUNCTION("""COMPUTED_VALUE"""),"1311_Ambi VK_Upto30")</f>
        <v>1311_Ambi VK_Upto30</v>
      </c>
      <c r="H68" s="218" t="str">
        <f>IFERROR(__xludf.DUMMYFUNCTION("""COMPUTED_VALUE"""),"CROCS_KIOSK AMBIENCE GURGAON_1311")</f>
        <v>CROCS_KIOSK AMBIENCE GURGAON_1311</v>
      </c>
      <c r="I68" s="218" t="str">
        <f>IFERROR(__xludf.DUMMYFUNCTION("""COMPUTED_VALUE"""),"Customers shopping in Txn_store Code :- 1311")</f>
        <v>Customers shopping in Txn_store Code :- 1311</v>
      </c>
      <c r="J68" s="213">
        <f>IFERROR(__xludf.DUMMYFUNCTION("""COMPUTED_VALUE"""),968.0)</f>
        <v>968</v>
      </c>
      <c r="K68" s="213">
        <f>IFERROR(__xludf.DUMMYFUNCTION("""COMPUTED_VALUE"""),444.0)</f>
        <v>444</v>
      </c>
      <c r="L68" s="214">
        <f>IFERROR(__xludf.DUMMYFUNCTION("""COMPUTED_VALUE"""),0.4587)</f>
        <v>0.4587</v>
      </c>
      <c r="M68" s="213">
        <f>IFERROR(__xludf.DUMMYFUNCTION("""COMPUTED_VALUE"""),0.0)</f>
        <v>0</v>
      </c>
      <c r="N68" s="214">
        <f>IFERROR(__xludf.DUMMYFUNCTION("""COMPUTED_VALUE"""),0.0)</f>
        <v>0</v>
      </c>
      <c r="O68" s="213">
        <f>IFERROR(__xludf.DUMMYFUNCTION("""COMPUTED_VALUE"""),0.0)</f>
        <v>0</v>
      </c>
      <c r="P68" s="213">
        <f>IFERROR(__xludf.DUMMYFUNCTION("""COMPUTED_VALUE"""),0.0)</f>
        <v>0</v>
      </c>
      <c r="Q68" s="214">
        <f>IFERROR(__xludf.DUMMYFUNCTION("""COMPUTED_VALUE"""),0.0)</f>
        <v>0</v>
      </c>
      <c r="R68" s="214">
        <f>IFERROR(__xludf.DUMMYFUNCTION("""COMPUTED_VALUE"""),0.0)</f>
        <v>0</v>
      </c>
      <c r="S68" s="270">
        <f>IFERROR(__xludf.DUMMYFUNCTION("""COMPUTED_VALUE"""),0.0)</f>
        <v>0</v>
      </c>
      <c r="T68" s="270">
        <f>IFERROR(__xludf.DUMMYFUNCTION("""COMPUTED_VALUE"""),0.0)</f>
        <v>0</v>
      </c>
      <c r="U68" s="270">
        <f>IFERROR(__xludf.DUMMYFUNCTION("""COMPUTED_VALUE"""),0.0)</f>
        <v>0</v>
      </c>
      <c r="V68" s="101" t="str">
        <f>IFERROR(__xludf.DUMMYFUNCTION("""COMPUTED_VALUE"""),"offline")</f>
        <v>offline</v>
      </c>
      <c r="W68" s="101" t="str">
        <f>IFERROR(__xludf.DUMMYFUNCTION("""COMPUTED_VALUE"""),"Sms")</f>
        <v>Sms</v>
      </c>
      <c r="X68" s="212" t="str">
        <f>IFERROR(__xludf.DUMMYFUNCTION("""COMPUTED_VALUE"""),"Store base")</f>
        <v>Store base</v>
      </c>
      <c r="Y68" s="212" t="str">
        <f>IFERROR(__xludf.DUMMYFUNCTION("""COMPUTED_VALUE"""),"10th - 31 July 2026")</f>
        <v>10th - 31 July 2026</v>
      </c>
      <c r="Z68" s="212" t="str">
        <f>IFERROR(__xludf.DUMMYFUNCTION("""COMPUTED_VALUE"""),"6a4fa6a7f0ddeb6dd5e0cdc5")</f>
        <v>6a4fa6a7f0ddeb6dd5e0cdc5</v>
      </c>
      <c r="AA68" s="287"/>
      <c r="AB68" s="213"/>
      <c r="AC68" s="213"/>
      <c r="AD68" s="213"/>
      <c r="AE68" s="213"/>
      <c r="AF68" s="213"/>
      <c r="AG68" s="282"/>
      <c r="AH68" s="282"/>
      <c r="AI68" s="282"/>
      <c r="AJ68" s="282"/>
      <c r="AK68" s="282"/>
      <c r="AL68" s="282"/>
      <c r="AM68" s="282"/>
      <c r="AN68" s="282"/>
      <c r="AO68" s="282"/>
      <c r="AP68" s="282"/>
      <c r="AQ68" s="282"/>
      <c r="AR68" s="282"/>
      <c r="AS68" s="282"/>
      <c r="AT68" s="282"/>
      <c r="AU68" s="282"/>
      <c r="AV68" s="282"/>
      <c r="AW68" s="282"/>
      <c r="AX68" s="282"/>
      <c r="AY68" s="282"/>
      <c r="AZ68" s="282"/>
    </row>
    <row r="69">
      <c r="A69" s="306">
        <f>IFERROR(__xludf.DUMMYFUNCTION("""COMPUTED_VALUE"""),46213.0)</f>
        <v>46213</v>
      </c>
      <c r="B69" s="247">
        <f>IFERROR(__xludf.DUMMYFUNCTION("""COMPUTED_VALUE"""),0.4166666666678793)</f>
        <v>0.4166666667</v>
      </c>
      <c r="C69" s="218" t="str">
        <f>IFERROR(__xludf.DUMMYFUNCTION("""COMPUTED_VALUE"""),"Sms")</f>
        <v>Sms</v>
      </c>
      <c r="D69" s="218" t="str">
        <f>IFERROR(__xludf.DUMMYFUNCTION("""COMPUTED_VALUE"""),"Promotional")</f>
        <v>Promotional</v>
      </c>
      <c r="E69" s="218" t="str">
        <f>IFERROR(__xludf.DUMMYFUNCTION("""COMPUTED_VALUE"""),"Crocs")</f>
        <v>Crocs</v>
      </c>
      <c r="F69" s="218" t="str">
        <f>IFERROR(__xludf.DUMMYFUNCTION("""COMPUTED_VALUE"""),"No Brief")</f>
        <v>No Brief</v>
      </c>
      <c r="G69" s="218" t="str">
        <f>IFERROR(__xludf.DUMMYFUNCTION("""COMPUTED_VALUE"""),"1317_I-Thums Noida_B3@50")</f>
        <v>1317_I-Thums Noida_B3@50</v>
      </c>
      <c r="H69" s="218" t="str">
        <f>IFERROR(__xludf.DUMMYFUNCTION("""COMPUTED_VALUE"""),"CROCS_KIOSK ITHUM NOIDA_1317")</f>
        <v>CROCS_KIOSK ITHUM NOIDA_1317</v>
      </c>
      <c r="I69" s="218" t="str">
        <f>IFERROR(__xludf.DUMMYFUNCTION("""COMPUTED_VALUE"""),"Customers shopping in Txn_store Code :- 1317")</f>
        <v>Customers shopping in Txn_store Code :- 1317</v>
      </c>
      <c r="J69" s="213">
        <f>IFERROR(__xludf.DUMMYFUNCTION("""COMPUTED_VALUE"""),137.0)</f>
        <v>137</v>
      </c>
      <c r="K69" s="213">
        <f>IFERROR(__xludf.DUMMYFUNCTION("""COMPUTED_VALUE"""),70.0)</f>
        <v>70</v>
      </c>
      <c r="L69" s="214">
        <f>IFERROR(__xludf.DUMMYFUNCTION("""COMPUTED_VALUE"""),0.5109)</f>
        <v>0.5109</v>
      </c>
      <c r="M69" s="213">
        <f>IFERROR(__xludf.DUMMYFUNCTION("""COMPUTED_VALUE"""),0.0)</f>
        <v>0</v>
      </c>
      <c r="N69" s="214">
        <f>IFERROR(__xludf.DUMMYFUNCTION("""COMPUTED_VALUE"""),0.0)</f>
        <v>0</v>
      </c>
      <c r="O69" s="213">
        <f>IFERROR(__xludf.DUMMYFUNCTION("""COMPUTED_VALUE"""),0.0)</f>
        <v>0</v>
      </c>
      <c r="P69" s="213">
        <f>IFERROR(__xludf.DUMMYFUNCTION("""COMPUTED_VALUE"""),0.0)</f>
        <v>0</v>
      </c>
      <c r="Q69" s="214">
        <f>IFERROR(__xludf.DUMMYFUNCTION("""COMPUTED_VALUE"""),0.0)</f>
        <v>0</v>
      </c>
      <c r="R69" s="214">
        <f>IFERROR(__xludf.DUMMYFUNCTION("""COMPUTED_VALUE"""),0.0)</f>
        <v>0</v>
      </c>
      <c r="S69" s="270">
        <f>IFERROR(__xludf.DUMMYFUNCTION("""COMPUTED_VALUE"""),0.0)</f>
        <v>0</v>
      </c>
      <c r="T69" s="270">
        <f>IFERROR(__xludf.DUMMYFUNCTION("""COMPUTED_VALUE"""),0.0)</f>
        <v>0</v>
      </c>
      <c r="U69" s="270">
        <f>IFERROR(__xludf.DUMMYFUNCTION("""COMPUTED_VALUE"""),0.0)</f>
        <v>0</v>
      </c>
      <c r="V69" s="101" t="str">
        <f>IFERROR(__xludf.DUMMYFUNCTION("""COMPUTED_VALUE"""),"offline")</f>
        <v>offline</v>
      </c>
      <c r="W69" s="101" t="str">
        <f>IFERROR(__xludf.DUMMYFUNCTION("""COMPUTED_VALUE"""),"Sms")</f>
        <v>Sms</v>
      </c>
      <c r="X69" s="212" t="str">
        <f>IFERROR(__xludf.DUMMYFUNCTION("""COMPUTED_VALUE"""),"Store base")</f>
        <v>Store base</v>
      </c>
      <c r="Y69" s="212" t="str">
        <f>IFERROR(__xludf.DUMMYFUNCTION("""COMPUTED_VALUE"""),"10th - 31 July 2026")</f>
        <v>10th - 31 July 2026</v>
      </c>
      <c r="Z69" s="212" t="str">
        <f>IFERROR(__xludf.DUMMYFUNCTION("""COMPUTED_VALUE"""),"6a4fa6f0462d515a31ce446c")</f>
        <v>6a4fa6f0462d515a31ce446c</v>
      </c>
      <c r="AA69" s="287"/>
      <c r="AB69" s="213"/>
      <c r="AC69" s="213"/>
      <c r="AD69" s="213"/>
      <c r="AE69" s="213"/>
      <c r="AF69" s="213"/>
      <c r="AG69" s="282"/>
      <c r="AH69" s="282"/>
      <c r="AI69" s="282"/>
      <c r="AJ69" s="282"/>
      <c r="AK69" s="282"/>
      <c r="AL69" s="282"/>
      <c r="AM69" s="282"/>
      <c r="AN69" s="282"/>
      <c r="AO69" s="282"/>
      <c r="AP69" s="282"/>
      <c r="AQ69" s="282"/>
      <c r="AR69" s="282"/>
      <c r="AS69" s="282"/>
      <c r="AT69" s="282"/>
      <c r="AU69" s="282"/>
      <c r="AV69" s="282"/>
      <c r="AW69" s="282"/>
      <c r="AX69" s="282"/>
      <c r="AY69" s="282"/>
      <c r="AZ69" s="282"/>
    </row>
    <row r="70">
      <c r="A70" s="306">
        <f>IFERROR(__xludf.DUMMYFUNCTION("""COMPUTED_VALUE"""),46213.0)</f>
        <v>46213</v>
      </c>
      <c r="B70" s="247">
        <f>IFERROR(__xludf.DUMMYFUNCTION("""COMPUTED_VALUE"""),0.4166666666678793)</f>
        <v>0.4166666667</v>
      </c>
      <c r="C70" s="218" t="str">
        <f>IFERROR(__xludf.DUMMYFUNCTION("""COMPUTED_VALUE"""),"Sms")</f>
        <v>Sms</v>
      </c>
      <c r="D70" s="218" t="str">
        <f>IFERROR(__xludf.DUMMYFUNCTION("""COMPUTED_VALUE"""),"Promotional")</f>
        <v>Promotional</v>
      </c>
      <c r="E70" s="218" t="str">
        <f>IFERROR(__xludf.DUMMYFUNCTION("""COMPUTED_VALUE"""),"Crocs")</f>
        <v>Crocs</v>
      </c>
      <c r="F70" s="218" t="str">
        <f>IFERROR(__xludf.DUMMYFUNCTION("""COMPUTED_VALUE"""),"No Brief")</f>
        <v>No Brief</v>
      </c>
      <c r="G70" s="218" t="str">
        <f>IFERROR(__xludf.DUMMYFUNCTION("""COMPUTED_VALUE"""),"1274_CP 67 Mohali_B3@50")</f>
        <v>1274_CP 67 Mohali_B3@50</v>
      </c>
      <c r="H70" s="218" t="str">
        <f>IFERROR(__xludf.DUMMYFUNCTION("""COMPUTED_VALUE"""),"CROCS_KIOSK CP67 MOHALI_1274")</f>
        <v>CROCS_KIOSK CP67 MOHALI_1274</v>
      </c>
      <c r="I70" s="218" t="str">
        <f>IFERROR(__xludf.DUMMYFUNCTION("""COMPUTED_VALUE"""),"Customers shopping in Txn_store Code :- 1274")</f>
        <v>Customers shopping in Txn_store Code :- 1274</v>
      </c>
      <c r="J70" s="213">
        <f>IFERROR(__xludf.DUMMYFUNCTION("""COMPUTED_VALUE"""),10998.0)</f>
        <v>10998</v>
      </c>
      <c r="K70" s="213">
        <f>IFERROR(__xludf.DUMMYFUNCTION("""COMPUTED_VALUE"""),5534.0)</f>
        <v>5534</v>
      </c>
      <c r="L70" s="214">
        <f>IFERROR(__xludf.DUMMYFUNCTION("""COMPUTED_VALUE"""),0.5032)</f>
        <v>0.5032</v>
      </c>
      <c r="M70" s="213">
        <f>IFERROR(__xludf.DUMMYFUNCTION("""COMPUTED_VALUE"""),0.0)</f>
        <v>0</v>
      </c>
      <c r="N70" s="214">
        <f>IFERROR(__xludf.DUMMYFUNCTION("""COMPUTED_VALUE"""),0.0)</f>
        <v>0</v>
      </c>
      <c r="O70" s="213">
        <f>IFERROR(__xludf.DUMMYFUNCTION("""COMPUTED_VALUE"""),0.0)</f>
        <v>0</v>
      </c>
      <c r="P70" s="213">
        <f>IFERROR(__xludf.DUMMYFUNCTION("""COMPUTED_VALUE"""),0.0)</f>
        <v>0</v>
      </c>
      <c r="Q70" s="214">
        <f>IFERROR(__xludf.DUMMYFUNCTION("""COMPUTED_VALUE"""),0.0)</f>
        <v>0</v>
      </c>
      <c r="R70" s="214">
        <f>IFERROR(__xludf.DUMMYFUNCTION("""COMPUTED_VALUE"""),0.0)</f>
        <v>0</v>
      </c>
      <c r="S70" s="270">
        <f>IFERROR(__xludf.DUMMYFUNCTION("""COMPUTED_VALUE"""),0.0)</f>
        <v>0</v>
      </c>
      <c r="T70" s="270">
        <f>IFERROR(__xludf.DUMMYFUNCTION("""COMPUTED_VALUE"""),0.0)</f>
        <v>0</v>
      </c>
      <c r="U70" s="270">
        <f>IFERROR(__xludf.DUMMYFUNCTION("""COMPUTED_VALUE"""),0.0)</f>
        <v>0</v>
      </c>
      <c r="V70" s="101" t="str">
        <f>IFERROR(__xludf.DUMMYFUNCTION("""COMPUTED_VALUE"""),"offline")</f>
        <v>offline</v>
      </c>
      <c r="W70" s="101" t="str">
        <f>IFERROR(__xludf.DUMMYFUNCTION("""COMPUTED_VALUE"""),"Sms")</f>
        <v>Sms</v>
      </c>
      <c r="X70" s="212" t="str">
        <f>IFERROR(__xludf.DUMMYFUNCTION("""COMPUTED_VALUE"""),"Store base")</f>
        <v>Store base</v>
      </c>
      <c r="Y70" s="212" t="str">
        <f>IFERROR(__xludf.DUMMYFUNCTION("""COMPUTED_VALUE"""),"10th - 31 July 2026")</f>
        <v>10th - 31 July 2026</v>
      </c>
      <c r="Z70" s="212" t="str">
        <f>IFERROR(__xludf.DUMMYFUNCTION("""COMPUTED_VALUE"""),"6a4fa779231bcbdb0ecba45d")</f>
        <v>6a4fa779231bcbdb0ecba45d</v>
      </c>
      <c r="AA70" s="287"/>
      <c r="AB70" s="213"/>
      <c r="AC70" s="213"/>
      <c r="AD70" s="213"/>
      <c r="AE70" s="213"/>
      <c r="AF70" s="213"/>
      <c r="AG70" s="282"/>
      <c r="AH70" s="282"/>
      <c r="AI70" s="282"/>
      <c r="AJ70" s="282"/>
      <c r="AK70" s="282"/>
      <c r="AL70" s="282"/>
      <c r="AM70" s="282"/>
      <c r="AN70" s="282"/>
      <c r="AO70" s="282"/>
      <c r="AP70" s="282"/>
      <c r="AQ70" s="282"/>
      <c r="AR70" s="282"/>
      <c r="AS70" s="282"/>
      <c r="AT70" s="282"/>
      <c r="AU70" s="282"/>
      <c r="AV70" s="282"/>
      <c r="AW70" s="282"/>
      <c r="AX70" s="282"/>
      <c r="AY70" s="282"/>
      <c r="AZ70" s="282"/>
    </row>
    <row r="71">
      <c r="A71" s="306">
        <f>IFERROR(__xludf.DUMMYFUNCTION("""COMPUTED_VALUE"""),46213.0)</f>
        <v>46213</v>
      </c>
      <c r="B71" s="247">
        <f>IFERROR(__xludf.DUMMYFUNCTION("""COMPUTED_VALUE"""),0.4166666666678793)</f>
        <v>0.4166666667</v>
      </c>
      <c r="C71" s="218" t="str">
        <f>IFERROR(__xludf.DUMMYFUNCTION("""COMPUTED_VALUE"""),"Sms")</f>
        <v>Sms</v>
      </c>
      <c r="D71" s="218" t="str">
        <f>IFERROR(__xludf.DUMMYFUNCTION("""COMPUTED_VALUE"""),"Promotional")</f>
        <v>Promotional</v>
      </c>
      <c r="E71" s="218" t="str">
        <f>IFERROR(__xludf.DUMMYFUNCTION("""COMPUTED_VALUE"""),"Crocs")</f>
        <v>Crocs</v>
      </c>
      <c r="F71" s="218" t="str">
        <f>IFERROR(__xludf.DUMMYFUNCTION("""COMPUTED_VALUE"""),"No Brief")</f>
        <v>No Brief</v>
      </c>
      <c r="G71" s="218" t="str">
        <f>IFERROR(__xludf.DUMMYFUNCTION("""COMPUTED_VALUE"""),"1256_WIS Amritsar_B3@50")</f>
        <v>1256_WIS Amritsar_B3@50</v>
      </c>
      <c r="H71" s="218" t="str">
        <f>IFERROR(__xludf.DUMMYFUNCTION("""COMPUTED_VALUE"""),"CROCS_WALK IN SQUARE AMRITSAR_1256")</f>
        <v>CROCS_WALK IN SQUARE AMRITSAR_1256</v>
      </c>
      <c r="I71" s="218" t="str">
        <f>IFERROR(__xludf.DUMMYFUNCTION("""COMPUTED_VALUE"""),"Customers shopping in Txn_store Code :- 1256")</f>
        <v>Customers shopping in Txn_store Code :- 1256</v>
      </c>
      <c r="J71" s="213">
        <f>IFERROR(__xludf.DUMMYFUNCTION("""COMPUTED_VALUE"""),16262.0)</f>
        <v>16262</v>
      </c>
      <c r="K71" s="213">
        <f>IFERROR(__xludf.DUMMYFUNCTION("""COMPUTED_VALUE"""),9700.0)</f>
        <v>9700</v>
      </c>
      <c r="L71" s="214">
        <f>IFERROR(__xludf.DUMMYFUNCTION("""COMPUTED_VALUE"""),0.5965)</f>
        <v>0.5965</v>
      </c>
      <c r="M71" s="213">
        <f>IFERROR(__xludf.DUMMYFUNCTION("""COMPUTED_VALUE"""),0.0)</f>
        <v>0</v>
      </c>
      <c r="N71" s="214">
        <f>IFERROR(__xludf.DUMMYFUNCTION("""COMPUTED_VALUE"""),0.0)</f>
        <v>0</v>
      </c>
      <c r="O71" s="213">
        <f>IFERROR(__xludf.DUMMYFUNCTION("""COMPUTED_VALUE"""),0.0)</f>
        <v>0</v>
      </c>
      <c r="P71" s="213">
        <f>IFERROR(__xludf.DUMMYFUNCTION("""COMPUTED_VALUE"""),0.0)</f>
        <v>0</v>
      </c>
      <c r="Q71" s="214">
        <f>IFERROR(__xludf.DUMMYFUNCTION("""COMPUTED_VALUE"""),0.0)</f>
        <v>0</v>
      </c>
      <c r="R71" s="214">
        <f>IFERROR(__xludf.DUMMYFUNCTION("""COMPUTED_VALUE"""),0.0)</f>
        <v>0</v>
      </c>
      <c r="S71" s="270">
        <f>IFERROR(__xludf.DUMMYFUNCTION("""COMPUTED_VALUE"""),0.0)</f>
        <v>0</v>
      </c>
      <c r="T71" s="270">
        <f>IFERROR(__xludf.DUMMYFUNCTION("""COMPUTED_VALUE"""),0.0)</f>
        <v>0</v>
      </c>
      <c r="U71" s="270">
        <f>IFERROR(__xludf.DUMMYFUNCTION("""COMPUTED_VALUE"""),0.0)</f>
        <v>0</v>
      </c>
      <c r="V71" s="101" t="str">
        <f>IFERROR(__xludf.DUMMYFUNCTION("""COMPUTED_VALUE"""),"offline")</f>
        <v>offline</v>
      </c>
      <c r="W71" s="101" t="str">
        <f>IFERROR(__xludf.DUMMYFUNCTION("""COMPUTED_VALUE"""),"Sms")</f>
        <v>Sms</v>
      </c>
      <c r="X71" s="212" t="str">
        <f>IFERROR(__xludf.DUMMYFUNCTION("""COMPUTED_VALUE"""),"Store base")</f>
        <v>Store base</v>
      </c>
      <c r="Y71" s="212" t="str">
        <f>IFERROR(__xludf.DUMMYFUNCTION("""COMPUTED_VALUE"""),"10th - 31 July 2026")</f>
        <v>10th - 31 July 2026</v>
      </c>
      <c r="Z71" s="212" t="str">
        <f>IFERROR(__xludf.DUMMYFUNCTION("""COMPUTED_VALUE"""),"6a4fa7da6cfda6e89b8d7729")</f>
        <v>6a4fa7da6cfda6e89b8d7729</v>
      </c>
      <c r="AA71" s="287"/>
      <c r="AB71" s="213"/>
      <c r="AC71" s="213"/>
      <c r="AD71" s="213"/>
      <c r="AE71" s="213"/>
      <c r="AF71" s="213"/>
      <c r="AG71" s="282"/>
      <c r="AH71" s="282"/>
      <c r="AI71" s="282"/>
      <c r="AJ71" s="282"/>
      <c r="AK71" s="282"/>
      <c r="AL71" s="282"/>
      <c r="AM71" s="282"/>
      <c r="AN71" s="282"/>
      <c r="AO71" s="282"/>
      <c r="AP71" s="282"/>
      <c r="AQ71" s="282"/>
      <c r="AR71" s="282"/>
      <c r="AS71" s="282"/>
      <c r="AT71" s="282"/>
      <c r="AU71" s="282"/>
      <c r="AV71" s="282"/>
      <c r="AW71" s="282"/>
      <c r="AX71" s="282"/>
      <c r="AY71" s="282"/>
      <c r="AZ71" s="282"/>
    </row>
    <row r="72">
      <c r="A72" s="306">
        <f>IFERROR(__xludf.DUMMYFUNCTION("""COMPUTED_VALUE"""),46213.0)</f>
        <v>46213</v>
      </c>
      <c r="B72" s="247">
        <f>IFERROR(__xludf.DUMMYFUNCTION("""COMPUTED_VALUE"""),0.4166666666678793)</f>
        <v>0.4166666667</v>
      </c>
      <c r="C72" s="218" t="str">
        <f>IFERROR(__xludf.DUMMYFUNCTION("""COMPUTED_VALUE"""),"Sms")</f>
        <v>Sms</v>
      </c>
      <c r="D72" s="218" t="str">
        <f>IFERROR(__xludf.DUMMYFUNCTION("""COMPUTED_VALUE"""),"Promotional")</f>
        <v>Promotional</v>
      </c>
      <c r="E72" s="218" t="str">
        <f>IFERROR(__xludf.DUMMYFUNCTION("""COMPUTED_VALUE"""),"Crocs")</f>
        <v>Crocs</v>
      </c>
      <c r="F72" s="218" t="str">
        <f>IFERROR(__xludf.DUMMYFUNCTION("""COMPUTED_VALUE"""),"No Brief")</f>
        <v>No Brief</v>
      </c>
      <c r="G72" s="218" t="str">
        <f>IFERROR(__xludf.DUMMYFUNCTION("""COMPUTED_VALUE"""),"3017_Akshardham_Flat50")</f>
        <v>3017_Akshardham_Flat50</v>
      </c>
      <c r="H72" s="218" t="str">
        <f>IFERROR(__xludf.DUMMYFUNCTION("""COMPUTED_VALUE"""),"CROCS_AKSHARDHAM MALL_3017")</f>
        <v>CROCS_AKSHARDHAM MALL_3017</v>
      </c>
      <c r="I72" s="218" t="str">
        <f>IFERROR(__xludf.DUMMYFUNCTION("""COMPUTED_VALUE"""),"Customers shopping in Txn_store Code :- 3017")</f>
        <v>Customers shopping in Txn_store Code :- 3017</v>
      </c>
      <c r="J72" s="213">
        <f>IFERROR(__xludf.DUMMYFUNCTION("""COMPUTED_VALUE"""),4982.0)</f>
        <v>4982</v>
      </c>
      <c r="K72" s="213">
        <f>IFERROR(__xludf.DUMMYFUNCTION("""COMPUTED_VALUE"""),2737.0)</f>
        <v>2737</v>
      </c>
      <c r="L72" s="214">
        <f>IFERROR(__xludf.DUMMYFUNCTION("""COMPUTED_VALUE"""),0.5494)</f>
        <v>0.5494</v>
      </c>
      <c r="M72" s="213">
        <f>IFERROR(__xludf.DUMMYFUNCTION("""COMPUTED_VALUE"""),0.0)</f>
        <v>0</v>
      </c>
      <c r="N72" s="214">
        <f>IFERROR(__xludf.DUMMYFUNCTION("""COMPUTED_VALUE"""),0.0)</f>
        <v>0</v>
      </c>
      <c r="O72" s="213">
        <f>IFERROR(__xludf.DUMMYFUNCTION("""COMPUTED_VALUE"""),0.0)</f>
        <v>0</v>
      </c>
      <c r="P72" s="213">
        <f>IFERROR(__xludf.DUMMYFUNCTION("""COMPUTED_VALUE"""),0.0)</f>
        <v>0</v>
      </c>
      <c r="Q72" s="214">
        <f>IFERROR(__xludf.DUMMYFUNCTION("""COMPUTED_VALUE"""),0.0)</f>
        <v>0</v>
      </c>
      <c r="R72" s="214">
        <f>IFERROR(__xludf.DUMMYFUNCTION("""COMPUTED_VALUE"""),0.0)</f>
        <v>0</v>
      </c>
      <c r="S72" s="270">
        <f>IFERROR(__xludf.DUMMYFUNCTION("""COMPUTED_VALUE"""),0.0)</f>
        <v>0</v>
      </c>
      <c r="T72" s="270">
        <f>IFERROR(__xludf.DUMMYFUNCTION("""COMPUTED_VALUE"""),0.0)</f>
        <v>0</v>
      </c>
      <c r="U72" s="270">
        <f>IFERROR(__xludf.DUMMYFUNCTION("""COMPUTED_VALUE"""),0.0)</f>
        <v>0</v>
      </c>
      <c r="V72" s="101" t="str">
        <f>IFERROR(__xludf.DUMMYFUNCTION("""COMPUTED_VALUE"""),"offline")</f>
        <v>offline</v>
      </c>
      <c r="W72" s="101" t="str">
        <f>IFERROR(__xludf.DUMMYFUNCTION("""COMPUTED_VALUE"""),"Sms")</f>
        <v>Sms</v>
      </c>
      <c r="X72" s="212" t="str">
        <f>IFERROR(__xludf.DUMMYFUNCTION("""COMPUTED_VALUE"""),"Store base")</f>
        <v>Store base</v>
      </c>
      <c r="Y72" s="212" t="str">
        <f>IFERROR(__xludf.DUMMYFUNCTION("""COMPUTED_VALUE"""),"10th - 31 July 2026")</f>
        <v>10th - 31 July 2026</v>
      </c>
      <c r="Z72" s="212" t="str">
        <f>IFERROR(__xludf.DUMMYFUNCTION("""COMPUTED_VALUE"""),"6a4fa856ba49856f08c7cc4f")</f>
        <v>6a4fa856ba49856f08c7cc4f</v>
      </c>
      <c r="AA72" s="287"/>
      <c r="AB72" s="213"/>
      <c r="AC72" s="213"/>
      <c r="AD72" s="213"/>
      <c r="AE72" s="213"/>
      <c r="AF72" s="213"/>
      <c r="AG72" s="282"/>
      <c r="AH72" s="282"/>
      <c r="AI72" s="282"/>
      <c r="AJ72" s="282"/>
      <c r="AK72" s="282"/>
      <c r="AL72" s="282"/>
      <c r="AM72" s="282"/>
      <c r="AN72" s="282"/>
      <c r="AO72" s="282"/>
      <c r="AP72" s="282"/>
      <c r="AQ72" s="282"/>
      <c r="AR72" s="282"/>
      <c r="AS72" s="282"/>
      <c r="AT72" s="282"/>
      <c r="AU72" s="282"/>
      <c r="AV72" s="282"/>
      <c r="AW72" s="282"/>
      <c r="AX72" s="282"/>
      <c r="AY72" s="282"/>
      <c r="AZ72" s="282"/>
    </row>
    <row r="73">
      <c r="A73" s="306">
        <f>IFERROR(__xludf.DUMMYFUNCTION("""COMPUTED_VALUE"""),46213.0)</f>
        <v>46213</v>
      </c>
      <c r="B73" s="247">
        <f>IFERROR(__xludf.DUMMYFUNCTION("""COMPUTED_VALUE"""),0.4166666666678793)</f>
        <v>0.4166666667</v>
      </c>
      <c r="C73" s="218" t="str">
        <f>IFERROR(__xludf.DUMMYFUNCTION("""COMPUTED_VALUE"""),"Sms")</f>
        <v>Sms</v>
      </c>
      <c r="D73" s="218" t="str">
        <f>IFERROR(__xludf.DUMMYFUNCTION("""COMPUTED_VALUE"""),"Promotional")</f>
        <v>Promotional</v>
      </c>
      <c r="E73" s="218" t="str">
        <f>IFERROR(__xludf.DUMMYFUNCTION("""COMPUTED_VALUE"""),"Crocs")</f>
        <v>Crocs</v>
      </c>
      <c r="F73" s="218" t="str">
        <f>IFERROR(__xludf.DUMMYFUNCTION("""COMPUTED_VALUE"""),"No Brief")</f>
        <v>No Brief</v>
      </c>
      <c r="G73" s="218" t="str">
        <f>IFERROR(__xludf.DUMMYFUNCTION("""COMPUTED_VALUE"""),"1347_Amayra_Flat50")</f>
        <v>1347_Amayra_Flat50</v>
      </c>
      <c r="H73" s="218" t="str">
        <f>IFERROR(__xludf.DUMMYFUNCTION("""COMPUTED_VALUE"""),"CROCS_FO AMAYRA PUNJAB_1347")</f>
        <v>CROCS_FO AMAYRA PUNJAB_1347</v>
      </c>
      <c r="I73" s="218" t="str">
        <f>IFERROR(__xludf.DUMMYFUNCTION("""COMPUTED_VALUE"""),"Customers shopping in Txn_store Code :- 1347")</f>
        <v>Customers shopping in Txn_store Code :- 1347</v>
      </c>
      <c r="J73" s="213">
        <f>IFERROR(__xludf.DUMMYFUNCTION("""COMPUTED_VALUE"""),16102.0)</f>
        <v>16102</v>
      </c>
      <c r="K73" s="213">
        <f>IFERROR(__xludf.DUMMYFUNCTION("""COMPUTED_VALUE"""),9179.0)</f>
        <v>9179</v>
      </c>
      <c r="L73" s="214">
        <f>IFERROR(__xludf.DUMMYFUNCTION("""COMPUTED_VALUE"""),0.5701)</f>
        <v>0.5701</v>
      </c>
      <c r="M73" s="213">
        <f>IFERROR(__xludf.DUMMYFUNCTION("""COMPUTED_VALUE"""),0.0)</f>
        <v>0</v>
      </c>
      <c r="N73" s="214">
        <f>IFERROR(__xludf.DUMMYFUNCTION("""COMPUTED_VALUE"""),0.0)</f>
        <v>0</v>
      </c>
      <c r="O73" s="213">
        <f>IFERROR(__xludf.DUMMYFUNCTION("""COMPUTED_VALUE"""),0.0)</f>
        <v>0</v>
      </c>
      <c r="P73" s="213">
        <f>IFERROR(__xludf.DUMMYFUNCTION("""COMPUTED_VALUE"""),0.0)</f>
        <v>0</v>
      </c>
      <c r="Q73" s="214">
        <f>IFERROR(__xludf.DUMMYFUNCTION("""COMPUTED_VALUE"""),0.0)</f>
        <v>0</v>
      </c>
      <c r="R73" s="214">
        <f>IFERROR(__xludf.DUMMYFUNCTION("""COMPUTED_VALUE"""),0.0)</f>
        <v>0</v>
      </c>
      <c r="S73" s="270">
        <f>IFERROR(__xludf.DUMMYFUNCTION("""COMPUTED_VALUE"""),0.0)</f>
        <v>0</v>
      </c>
      <c r="T73" s="270">
        <f>IFERROR(__xludf.DUMMYFUNCTION("""COMPUTED_VALUE"""),0.0)</f>
        <v>0</v>
      </c>
      <c r="U73" s="270">
        <f>IFERROR(__xludf.DUMMYFUNCTION("""COMPUTED_VALUE"""),0.0)</f>
        <v>0</v>
      </c>
      <c r="V73" s="101" t="str">
        <f>IFERROR(__xludf.DUMMYFUNCTION("""COMPUTED_VALUE"""),"offline")</f>
        <v>offline</v>
      </c>
      <c r="W73" s="101" t="str">
        <f>IFERROR(__xludf.DUMMYFUNCTION("""COMPUTED_VALUE"""),"Sms")</f>
        <v>Sms</v>
      </c>
      <c r="X73" s="212" t="str">
        <f>IFERROR(__xludf.DUMMYFUNCTION("""COMPUTED_VALUE"""),"Store base")</f>
        <v>Store base</v>
      </c>
      <c r="Y73" s="212" t="str">
        <f>IFERROR(__xludf.DUMMYFUNCTION("""COMPUTED_VALUE"""),"10th - 31 July 2026")</f>
        <v>10th - 31 July 2026</v>
      </c>
      <c r="Z73" s="212" t="str">
        <f>IFERROR(__xludf.DUMMYFUNCTION("""COMPUTED_VALUE"""),"6a4fa8916cfda6e89b8d7734")</f>
        <v>6a4fa8916cfda6e89b8d7734</v>
      </c>
      <c r="AA73" s="287"/>
      <c r="AB73" s="213"/>
      <c r="AC73" s="213"/>
      <c r="AD73" s="213"/>
      <c r="AE73" s="213"/>
      <c r="AF73" s="213"/>
      <c r="AG73" s="282"/>
      <c r="AH73" s="282"/>
      <c r="AI73" s="282"/>
      <c r="AJ73" s="282"/>
      <c r="AK73" s="282"/>
      <c r="AL73" s="282"/>
      <c r="AM73" s="282"/>
      <c r="AN73" s="282"/>
      <c r="AO73" s="282"/>
      <c r="AP73" s="282"/>
      <c r="AQ73" s="282"/>
      <c r="AR73" s="282"/>
      <c r="AS73" s="282"/>
      <c r="AT73" s="282"/>
      <c r="AU73" s="282"/>
      <c r="AV73" s="282"/>
      <c r="AW73" s="282"/>
      <c r="AX73" s="282"/>
      <c r="AY73" s="282"/>
      <c r="AZ73" s="282"/>
    </row>
    <row r="74">
      <c r="A74" s="306">
        <f>IFERROR(__xludf.DUMMYFUNCTION("""COMPUTED_VALUE"""),46213.0)</f>
        <v>46213</v>
      </c>
      <c r="B74" s="247">
        <f>IFERROR(__xludf.DUMMYFUNCTION("""COMPUTED_VALUE"""),0.4166666666678793)</f>
        <v>0.4166666667</v>
      </c>
      <c r="C74" s="218" t="str">
        <f>IFERROR(__xludf.DUMMYFUNCTION("""COMPUTED_VALUE"""),"Sms")</f>
        <v>Sms</v>
      </c>
      <c r="D74" s="218" t="str">
        <f>IFERROR(__xludf.DUMMYFUNCTION("""COMPUTED_VALUE"""),"Promotional")</f>
        <v>Promotional</v>
      </c>
      <c r="E74" s="218" t="str">
        <f>IFERROR(__xludf.DUMMYFUNCTION("""COMPUTED_VALUE"""),"Crocs")</f>
        <v>Crocs</v>
      </c>
      <c r="F74" s="218" t="str">
        <f>IFERROR(__xludf.DUMMYFUNCTION("""COMPUTED_VALUE"""),"No Brief")</f>
        <v>No Brief</v>
      </c>
      <c r="G74" s="218" t="str">
        <f>IFERROR(__xludf.DUMMYFUNCTION("""COMPUTED_VALUE"""),"1257_Gajraula_Flat50")</f>
        <v>1257_Gajraula_Flat50</v>
      </c>
      <c r="H74" s="218" t="str">
        <f>IFERROR(__xludf.DUMMYFUNCTION("""COMPUTED_VALUE"""),"CROCS_GAJRAULA_1257")</f>
        <v>CROCS_GAJRAULA_1257</v>
      </c>
      <c r="I74" s="218" t="str">
        <f>IFERROR(__xludf.DUMMYFUNCTION("""COMPUTED_VALUE"""),"Customers shopping in Txn_store Code :- 1257")</f>
        <v>Customers shopping in Txn_store Code :- 1257</v>
      </c>
      <c r="J74" s="213">
        <f>IFERROR(__xludf.DUMMYFUNCTION("""COMPUTED_VALUE"""),4589.0)</f>
        <v>4589</v>
      </c>
      <c r="K74" s="213">
        <f>IFERROR(__xludf.DUMMYFUNCTION("""COMPUTED_VALUE"""),2736.0)</f>
        <v>2736</v>
      </c>
      <c r="L74" s="214">
        <f>IFERROR(__xludf.DUMMYFUNCTION("""COMPUTED_VALUE"""),0.5962)</f>
        <v>0.5962</v>
      </c>
      <c r="M74" s="213">
        <f>IFERROR(__xludf.DUMMYFUNCTION("""COMPUTED_VALUE"""),0.0)</f>
        <v>0</v>
      </c>
      <c r="N74" s="214">
        <f>IFERROR(__xludf.DUMMYFUNCTION("""COMPUTED_VALUE"""),0.0)</f>
        <v>0</v>
      </c>
      <c r="O74" s="213">
        <f>IFERROR(__xludf.DUMMYFUNCTION("""COMPUTED_VALUE"""),0.0)</f>
        <v>0</v>
      </c>
      <c r="P74" s="213">
        <f>IFERROR(__xludf.DUMMYFUNCTION("""COMPUTED_VALUE"""),0.0)</f>
        <v>0</v>
      </c>
      <c r="Q74" s="214">
        <f>IFERROR(__xludf.DUMMYFUNCTION("""COMPUTED_VALUE"""),0.0)</f>
        <v>0</v>
      </c>
      <c r="R74" s="214">
        <f>IFERROR(__xludf.DUMMYFUNCTION("""COMPUTED_VALUE"""),0.0)</f>
        <v>0</v>
      </c>
      <c r="S74" s="270">
        <f>IFERROR(__xludf.DUMMYFUNCTION("""COMPUTED_VALUE"""),0.0)</f>
        <v>0</v>
      </c>
      <c r="T74" s="270">
        <f>IFERROR(__xludf.DUMMYFUNCTION("""COMPUTED_VALUE"""),0.0)</f>
        <v>0</v>
      </c>
      <c r="U74" s="270">
        <f>IFERROR(__xludf.DUMMYFUNCTION("""COMPUTED_VALUE"""),0.0)</f>
        <v>0</v>
      </c>
      <c r="V74" s="101" t="str">
        <f>IFERROR(__xludf.DUMMYFUNCTION("""COMPUTED_VALUE"""),"offline")</f>
        <v>offline</v>
      </c>
      <c r="W74" s="101" t="str">
        <f>IFERROR(__xludf.DUMMYFUNCTION("""COMPUTED_VALUE"""),"Sms")</f>
        <v>Sms</v>
      </c>
      <c r="X74" s="212" t="str">
        <f>IFERROR(__xludf.DUMMYFUNCTION("""COMPUTED_VALUE"""),"Store base")</f>
        <v>Store base</v>
      </c>
      <c r="Y74" s="212" t="str">
        <f>IFERROR(__xludf.DUMMYFUNCTION("""COMPUTED_VALUE"""),"10th - 31 July 2026")</f>
        <v>10th - 31 July 2026</v>
      </c>
      <c r="Z74" s="212" t="str">
        <f>IFERROR(__xludf.DUMMYFUNCTION("""COMPUTED_VALUE"""),"6a4fa8d79279f5889f8f7249")</f>
        <v>6a4fa8d79279f5889f8f7249</v>
      </c>
      <c r="AA74" s="287"/>
      <c r="AB74" s="213"/>
      <c r="AC74" s="213"/>
      <c r="AD74" s="213"/>
      <c r="AE74" s="213"/>
      <c r="AF74" s="213"/>
      <c r="AG74" s="282"/>
      <c r="AH74" s="282"/>
      <c r="AI74" s="282"/>
      <c r="AJ74" s="282"/>
      <c r="AK74" s="282"/>
      <c r="AL74" s="282"/>
      <c r="AM74" s="282"/>
      <c r="AN74" s="282"/>
      <c r="AO74" s="282"/>
      <c r="AP74" s="282"/>
      <c r="AQ74" s="282"/>
      <c r="AR74" s="282"/>
      <c r="AS74" s="282"/>
      <c r="AT74" s="282"/>
      <c r="AU74" s="282"/>
      <c r="AV74" s="282"/>
      <c r="AW74" s="282"/>
      <c r="AX74" s="282"/>
      <c r="AY74" s="282"/>
      <c r="AZ74" s="282"/>
    </row>
    <row r="75">
      <c r="A75" s="306">
        <f>IFERROR(__xludf.DUMMYFUNCTION("""COMPUTED_VALUE"""),46213.0)</f>
        <v>46213</v>
      </c>
      <c r="B75" s="247">
        <f>IFERROR(__xludf.DUMMYFUNCTION("""COMPUTED_VALUE"""),0.4166666666678793)</f>
        <v>0.4166666667</v>
      </c>
      <c r="C75" s="218" t="str">
        <f>IFERROR(__xludf.DUMMYFUNCTION("""COMPUTED_VALUE"""),"Sms")</f>
        <v>Sms</v>
      </c>
      <c r="D75" s="218" t="str">
        <f>IFERROR(__xludf.DUMMYFUNCTION("""COMPUTED_VALUE"""),"Promotional")</f>
        <v>Promotional</v>
      </c>
      <c r="E75" s="218" t="str">
        <f>IFERROR(__xludf.DUMMYFUNCTION("""COMPUTED_VALUE"""),"Crocs")</f>
        <v>Crocs</v>
      </c>
      <c r="F75" s="218" t="str">
        <f>IFERROR(__xludf.DUMMYFUNCTION("""COMPUTED_VALUE"""),"No Brief")</f>
        <v>No Brief</v>
      </c>
      <c r="G75" s="218" t="str">
        <f>IFERROR(__xludf.DUMMYFUNCTION("""COMPUTED_VALUE"""),"1275_Hisar_Flat50")</f>
        <v>1275_Hisar_Flat50</v>
      </c>
      <c r="H75" s="218" t="str">
        <f>IFERROR(__xludf.DUMMYFUNCTION("""COMPUTED_VALUE"""),"CROCS_HISAR HARYANA_1275")</f>
        <v>CROCS_HISAR HARYANA_1275</v>
      </c>
      <c r="I75" s="218" t="str">
        <f>IFERROR(__xludf.DUMMYFUNCTION("""COMPUTED_VALUE"""),"Customers shopping in Txn_store Code :- 1375")</f>
        <v>Customers shopping in Txn_store Code :- 1375</v>
      </c>
      <c r="J75" s="213">
        <f>IFERROR(__xludf.DUMMYFUNCTION("""COMPUTED_VALUE"""),9142.0)</f>
        <v>9142</v>
      </c>
      <c r="K75" s="213">
        <f>IFERROR(__xludf.DUMMYFUNCTION("""COMPUTED_VALUE"""),5146.0)</f>
        <v>5146</v>
      </c>
      <c r="L75" s="214">
        <f>IFERROR(__xludf.DUMMYFUNCTION("""COMPUTED_VALUE"""),0.5629)</f>
        <v>0.5629</v>
      </c>
      <c r="M75" s="213">
        <f>IFERROR(__xludf.DUMMYFUNCTION("""COMPUTED_VALUE"""),0.0)</f>
        <v>0</v>
      </c>
      <c r="N75" s="214">
        <f>IFERROR(__xludf.DUMMYFUNCTION("""COMPUTED_VALUE"""),0.0)</f>
        <v>0</v>
      </c>
      <c r="O75" s="213">
        <f>IFERROR(__xludf.DUMMYFUNCTION("""COMPUTED_VALUE"""),0.0)</f>
        <v>0</v>
      </c>
      <c r="P75" s="213">
        <f>IFERROR(__xludf.DUMMYFUNCTION("""COMPUTED_VALUE"""),0.0)</f>
        <v>0</v>
      </c>
      <c r="Q75" s="214">
        <f>IFERROR(__xludf.DUMMYFUNCTION("""COMPUTED_VALUE"""),0.0)</f>
        <v>0</v>
      </c>
      <c r="R75" s="214">
        <f>IFERROR(__xludf.DUMMYFUNCTION("""COMPUTED_VALUE"""),0.0)</f>
        <v>0</v>
      </c>
      <c r="S75" s="270">
        <f>IFERROR(__xludf.DUMMYFUNCTION("""COMPUTED_VALUE"""),0.0)</f>
        <v>0</v>
      </c>
      <c r="T75" s="270">
        <f>IFERROR(__xludf.DUMMYFUNCTION("""COMPUTED_VALUE"""),0.0)</f>
        <v>0</v>
      </c>
      <c r="U75" s="270">
        <f>IFERROR(__xludf.DUMMYFUNCTION("""COMPUTED_VALUE"""),0.0)</f>
        <v>0</v>
      </c>
      <c r="V75" s="101" t="str">
        <f>IFERROR(__xludf.DUMMYFUNCTION("""COMPUTED_VALUE"""),"offline")</f>
        <v>offline</v>
      </c>
      <c r="W75" s="101" t="str">
        <f>IFERROR(__xludf.DUMMYFUNCTION("""COMPUTED_VALUE"""),"Sms")</f>
        <v>Sms</v>
      </c>
      <c r="X75" s="212" t="str">
        <f>IFERROR(__xludf.DUMMYFUNCTION("""COMPUTED_VALUE"""),"Store base")</f>
        <v>Store base</v>
      </c>
      <c r="Y75" s="212" t="str">
        <f>IFERROR(__xludf.DUMMYFUNCTION("""COMPUTED_VALUE"""),"10th - 31 July 2026")</f>
        <v>10th - 31 July 2026</v>
      </c>
      <c r="Z75" s="212" t="str">
        <f>IFERROR(__xludf.DUMMYFUNCTION("""COMPUTED_VALUE"""),"6a4fa918a3f4d21c29d3c962")</f>
        <v>6a4fa918a3f4d21c29d3c962</v>
      </c>
      <c r="AA75" s="287"/>
      <c r="AB75" s="213"/>
      <c r="AC75" s="213"/>
      <c r="AD75" s="213"/>
      <c r="AE75" s="213"/>
      <c r="AF75" s="213"/>
      <c r="AG75" s="282"/>
      <c r="AH75" s="282"/>
      <c r="AI75" s="282"/>
      <c r="AJ75" s="282"/>
      <c r="AK75" s="282"/>
      <c r="AL75" s="282"/>
      <c r="AM75" s="282"/>
      <c r="AN75" s="282"/>
      <c r="AO75" s="282"/>
      <c r="AP75" s="282"/>
      <c r="AQ75" s="282"/>
      <c r="AR75" s="282"/>
      <c r="AS75" s="282"/>
      <c r="AT75" s="282"/>
      <c r="AU75" s="282"/>
      <c r="AV75" s="282"/>
      <c r="AW75" s="282"/>
      <c r="AX75" s="282"/>
      <c r="AY75" s="282"/>
      <c r="AZ75" s="282"/>
    </row>
    <row r="76">
      <c r="A76" s="306">
        <f>IFERROR(__xludf.DUMMYFUNCTION("""COMPUTED_VALUE"""),46213.0)</f>
        <v>46213</v>
      </c>
      <c r="B76" s="247">
        <f>IFERROR(__xludf.DUMMYFUNCTION("""COMPUTED_VALUE"""),0.4166666666678793)</f>
        <v>0.4166666667</v>
      </c>
      <c r="C76" s="218" t="str">
        <f>IFERROR(__xludf.DUMMYFUNCTION("""COMPUTED_VALUE"""),"Sms")</f>
        <v>Sms</v>
      </c>
      <c r="D76" s="218" t="str">
        <f>IFERROR(__xludf.DUMMYFUNCTION("""COMPUTED_VALUE"""),"Promotional")</f>
        <v>Promotional</v>
      </c>
      <c r="E76" s="218" t="str">
        <f>IFERROR(__xludf.DUMMYFUNCTION("""COMPUTED_VALUE"""),"Crocs")</f>
        <v>Crocs</v>
      </c>
      <c r="F76" s="218" t="str">
        <f>IFERROR(__xludf.DUMMYFUNCTION("""COMPUTED_VALUE"""),"No Brief")</f>
        <v>No Brief</v>
      </c>
      <c r="G76" s="218" t="str">
        <f>IFERROR(__xludf.DUMMYFUNCTION("""COMPUTED_VALUE"""),"1255_Kohara_Flat50")</f>
        <v>1255_Kohara_Flat50</v>
      </c>
      <c r="H76" s="218" t="str">
        <f>IFERROR(__xludf.DUMMYFUNCTION("""COMPUTED_VALUE"""),"CROCS_KOHARA LUDHIANA_1255")</f>
        <v>CROCS_KOHARA LUDHIANA_1255</v>
      </c>
      <c r="I76" s="218" t="str">
        <f>IFERROR(__xludf.DUMMYFUNCTION("""COMPUTED_VALUE"""),"Customers shopping in Txn_store Code :- 1255")</f>
        <v>Customers shopping in Txn_store Code :- 1255</v>
      </c>
      <c r="J76" s="213">
        <f>IFERROR(__xludf.DUMMYFUNCTION("""COMPUTED_VALUE"""),27785.0)</f>
        <v>27785</v>
      </c>
      <c r="K76" s="213">
        <f>IFERROR(__xludf.DUMMYFUNCTION("""COMPUTED_VALUE"""),14675.0)</f>
        <v>14675</v>
      </c>
      <c r="L76" s="214">
        <f>IFERROR(__xludf.DUMMYFUNCTION("""COMPUTED_VALUE"""),0.5282)</f>
        <v>0.5282</v>
      </c>
      <c r="M76" s="213">
        <f>IFERROR(__xludf.DUMMYFUNCTION("""COMPUTED_VALUE"""),0.0)</f>
        <v>0</v>
      </c>
      <c r="N76" s="214">
        <f>IFERROR(__xludf.DUMMYFUNCTION("""COMPUTED_VALUE"""),0.0)</f>
        <v>0</v>
      </c>
      <c r="O76" s="213">
        <f>IFERROR(__xludf.DUMMYFUNCTION("""COMPUTED_VALUE"""),0.0)</f>
        <v>0</v>
      </c>
      <c r="P76" s="213">
        <f>IFERROR(__xludf.DUMMYFUNCTION("""COMPUTED_VALUE"""),0.0)</f>
        <v>0</v>
      </c>
      <c r="Q76" s="214">
        <f>IFERROR(__xludf.DUMMYFUNCTION("""COMPUTED_VALUE"""),0.0)</f>
        <v>0</v>
      </c>
      <c r="R76" s="214">
        <f>IFERROR(__xludf.DUMMYFUNCTION("""COMPUTED_VALUE"""),0.0)</f>
        <v>0</v>
      </c>
      <c r="S76" s="270">
        <f>IFERROR(__xludf.DUMMYFUNCTION("""COMPUTED_VALUE"""),0.0)</f>
        <v>0</v>
      </c>
      <c r="T76" s="270">
        <f>IFERROR(__xludf.DUMMYFUNCTION("""COMPUTED_VALUE"""),0.0)</f>
        <v>0</v>
      </c>
      <c r="U76" s="270">
        <f>IFERROR(__xludf.DUMMYFUNCTION("""COMPUTED_VALUE"""),0.0)</f>
        <v>0</v>
      </c>
      <c r="V76" s="101" t="str">
        <f>IFERROR(__xludf.DUMMYFUNCTION("""COMPUTED_VALUE"""),"offline")</f>
        <v>offline</v>
      </c>
      <c r="W76" s="101" t="str">
        <f>IFERROR(__xludf.DUMMYFUNCTION("""COMPUTED_VALUE"""),"Sms")</f>
        <v>Sms</v>
      </c>
      <c r="X76" s="212" t="str">
        <f>IFERROR(__xludf.DUMMYFUNCTION("""COMPUTED_VALUE"""),"Store base")</f>
        <v>Store base</v>
      </c>
      <c r="Y76" s="212" t="str">
        <f>IFERROR(__xludf.DUMMYFUNCTION("""COMPUTED_VALUE"""),"10th - 31 July 2026")</f>
        <v>10th - 31 July 2026</v>
      </c>
      <c r="Z76" s="212" t="str">
        <f>IFERROR(__xludf.DUMMYFUNCTION("""COMPUTED_VALUE"""),"6a4fa9dea3d537a702fbd597")</f>
        <v>6a4fa9dea3d537a702fbd597</v>
      </c>
      <c r="AA76" s="287"/>
      <c r="AB76" s="213"/>
      <c r="AC76" s="213"/>
      <c r="AD76" s="213"/>
      <c r="AE76" s="213"/>
      <c r="AF76" s="213"/>
      <c r="AG76" s="282"/>
      <c r="AH76" s="282"/>
      <c r="AI76" s="282"/>
      <c r="AJ76" s="282"/>
      <c r="AK76" s="282"/>
      <c r="AL76" s="282"/>
      <c r="AM76" s="282"/>
      <c r="AN76" s="282"/>
      <c r="AO76" s="282"/>
      <c r="AP76" s="282"/>
      <c r="AQ76" s="282"/>
      <c r="AR76" s="282"/>
      <c r="AS76" s="282"/>
      <c r="AT76" s="282"/>
      <c r="AU76" s="282"/>
      <c r="AV76" s="282"/>
      <c r="AW76" s="282"/>
      <c r="AX76" s="282"/>
      <c r="AY76" s="282"/>
      <c r="AZ76" s="282"/>
    </row>
    <row r="77">
      <c r="A77" s="306">
        <f>IFERROR(__xludf.DUMMYFUNCTION("""COMPUTED_VALUE"""),46213.0)</f>
        <v>46213</v>
      </c>
      <c r="B77" s="247">
        <f>IFERROR(__xludf.DUMMYFUNCTION("""COMPUTED_VALUE"""),0.4166666666678793)</f>
        <v>0.4166666667</v>
      </c>
      <c r="C77" s="218" t="str">
        <f>IFERROR(__xludf.DUMMYFUNCTION("""COMPUTED_VALUE"""),"Sms")</f>
        <v>Sms</v>
      </c>
      <c r="D77" s="218" t="str">
        <f>IFERROR(__xludf.DUMMYFUNCTION("""COMPUTED_VALUE"""),"Promotional")</f>
        <v>Promotional</v>
      </c>
      <c r="E77" s="218" t="str">
        <f>IFERROR(__xludf.DUMMYFUNCTION("""COMPUTED_VALUE"""),"Crocs")</f>
        <v>Crocs</v>
      </c>
      <c r="F77" s="218" t="str">
        <f>IFERROR(__xludf.DUMMYFUNCTION("""COMPUTED_VALUE"""),"No Brief")</f>
        <v>No Brief</v>
      </c>
      <c r="G77" s="218" t="str">
        <f>IFERROR(__xludf.DUMMYFUNCTION("""COMPUTED_VALUE"""),"3016_Moga_Flat50")</f>
        <v>3016_Moga_Flat50</v>
      </c>
      <c r="H77" s="218" t="str">
        <f>IFERROR(__xludf.DUMMYFUNCTION("""COMPUTED_VALUE"""),"CROCS_MOGA PUNJAB_3016")</f>
        <v>CROCS_MOGA PUNJAB_3016</v>
      </c>
      <c r="I77" s="218" t="str">
        <f>IFERROR(__xludf.DUMMYFUNCTION("""COMPUTED_VALUE"""),"Customers shopping in Txn_store Code :- 3016")</f>
        <v>Customers shopping in Txn_store Code :- 3016</v>
      </c>
      <c r="J77" s="213">
        <f>IFERROR(__xludf.DUMMYFUNCTION("""COMPUTED_VALUE"""),21279.0)</f>
        <v>21279</v>
      </c>
      <c r="K77" s="213">
        <f>IFERROR(__xludf.DUMMYFUNCTION("""COMPUTED_VALUE"""),11038.0)</f>
        <v>11038</v>
      </c>
      <c r="L77" s="214">
        <f>IFERROR(__xludf.DUMMYFUNCTION("""COMPUTED_VALUE"""),0.5187)</f>
        <v>0.5187</v>
      </c>
      <c r="M77" s="213">
        <f>IFERROR(__xludf.DUMMYFUNCTION("""COMPUTED_VALUE"""),0.0)</f>
        <v>0</v>
      </c>
      <c r="N77" s="214">
        <f>IFERROR(__xludf.DUMMYFUNCTION("""COMPUTED_VALUE"""),0.0)</f>
        <v>0</v>
      </c>
      <c r="O77" s="213">
        <f>IFERROR(__xludf.DUMMYFUNCTION("""COMPUTED_VALUE"""),0.0)</f>
        <v>0</v>
      </c>
      <c r="P77" s="213">
        <f>IFERROR(__xludf.DUMMYFUNCTION("""COMPUTED_VALUE"""),0.0)</f>
        <v>0</v>
      </c>
      <c r="Q77" s="214">
        <f>IFERROR(__xludf.DUMMYFUNCTION("""COMPUTED_VALUE"""),0.0)</f>
        <v>0</v>
      </c>
      <c r="R77" s="214">
        <f>IFERROR(__xludf.DUMMYFUNCTION("""COMPUTED_VALUE"""),0.0)</f>
        <v>0</v>
      </c>
      <c r="S77" s="270">
        <f>IFERROR(__xludf.DUMMYFUNCTION("""COMPUTED_VALUE"""),0.0)</f>
        <v>0</v>
      </c>
      <c r="T77" s="270">
        <f>IFERROR(__xludf.DUMMYFUNCTION("""COMPUTED_VALUE"""),0.0)</f>
        <v>0</v>
      </c>
      <c r="U77" s="270">
        <f>IFERROR(__xludf.DUMMYFUNCTION("""COMPUTED_VALUE"""),0.0)</f>
        <v>0</v>
      </c>
      <c r="V77" s="101" t="str">
        <f>IFERROR(__xludf.DUMMYFUNCTION("""COMPUTED_VALUE"""),"offline")</f>
        <v>offline</v>
      </c>
      <c r="W77" s="101" t="str">
        <f>IFERROR(__xludf.DUMMYFUNCTION("""COMPUTED_VALUE"""),"Sms")</f>
        <v>Sms</v>
      </c>
      <c r="X77" s="212" t="str">
        <f>IFERROR(__xludf.DUMMYFUNCTION("""COMPUTED_VALUE"""),"Store base")</f>
        <v>Store base</v>
      </c>
      <c r="Y77" s="212" t="str">
        <f>IFERROR(__xludf.DUMMYFUNCTION("""COMPUTED_VALUE"""),"10th - 31 July 2026")</f>
        <v>10th - 31 July 2026</v>
      </c>
      <c r="Z77" s="212" t="str">
        <f>IFERROR(__xludf.DUMMYFUNCTION("""COMPUTED_VALUE"""),"6a4faa2e2c4d5aadad43ce29")</f>
        <v>6a4faa2e2c4d5aadad43ce29</v>
      </c>
      <c r="AA77" s="287"/>
      <c r="AB77" s="213"/>
      <c r="AC77" s="213"/>
      <c r="AD77" s="213"/>
      <c r="AE77" s="213"/>
      <c r="AF77" s="213"/>
      <c r="AG77" s="282"/>
      <c r="AH77" s="282"/>
      <c r="AI77" s="282"/>
      <c r="AJ77" s="282"/>
      <c r="AK77" s="282"/>
      <c r="AL77" s="282"/>
      <c r="AM77" s="282"/>
      <c r="AN77" s="282"/>
      <c r="AO77" s="282"/>
      <c r="AP77" s="282"/>
      <c r="AQ77" s="282"/>
      <c r="AR77" s="282"/>
      <c r="AS77" s="282"/>
      <c r="AT77" s="282"/>
      <c r="AU77" s="282"/>
      <c r="AV77" s="282"/>
      <c r="AW77" s="282"/>
      <c r="AX77" s="282"/>
      <c r="AY77" s="282"/>
      <c r="AZ77" s="282"/>
    </row>
    <row r="78">
      <c r="A78" s="306">
        <f>IFERROR(__xludf.DUMMYFUNCTION("""COMPUTED_VALUE"""),46213.0)</f>
        <v>46213</v>
      </c>
      <c r="B78" s="247">
        <f>IFERROR(__xludf.DUMMYFUNCTION("""COMPUTED_VALUE"""),0.4166666666678793)</f>
        <v>0.4166666667</v>
      </c>
      <c r="C78" s="218" t="str">
        <f>IFERROR(__xludf.DUMMYFUNCTION("""COMPUTED_VALUE"""),"Sms")</f>
        <v>Sms</v>
      </c>
      <c r="D78" s="218" t="str">
        <f>IFERROR(__xludf.DUMMYFUNCTION("""COMPUTED_VALUE"""),"Promotional")</f>
        <v>Promotional</v>
      </c>
      <c r="E78" s="218" t="str">
        <f>IFERROR(__xludf.DUMMYFUNCTION("""COMPUTED_VALUE"""),"Crocs")</f>
        <v>Crocs</v>
      </c>
      <c r="F78" s="218" t="str">
        <f>IFERROR(__xludf.DUMMYFUNCTION("""COMPUTED_VALUE"""),"No Brief")</f>
        <v>No Brief</v>
      </c>
      <c r="G78" s="218" t="str">
        <f>IFERROR(__xludf.DUMMYFUNCTION("""COMPUTED_VALUE"""),"1293_Paschim Vihar_Flat50")</f>
        <v>1293_Paschim Vihar_Flat50</v>
      </c>
      <c r="H78" s="218" t="str">
        <f>IFERROR(__xludf.DUMMYFUNCTION("""COMPUTED_VALUE"""),"CROCS_PASCHIM VIHAR DELHI_1293")</f>
        <v>CROCS_PASCHIM VIHAR DELHI_1293</v>
      </c>
      <c r="I78" s="218" t="str">
        <f>IFERROR(__xludf.DUMMYFUNCTION("""COMPUTED_VALUE"""),"Customers shopping in Txn_store Code :- 1293")</f>
        <v>Customers shopping in Txn_store Code :- 1293</v>
      </c>
      <c r="J78" s="213">
        <f>IFERROR(__xludf.DUMMYFUNCTION("""COMPUTED_VALUE"""),1649.0)</f>
        <v>1649</v>
      </c>
      <c r="K78" s="213">
        <f>IFERROR(__xludf.DUMMYFUNCTION("""COMPUTED_VALUE"""),858.0)</f>
        <v>858</v>
      </c>
      <c r="L78" s="214">
        <f>IFERROR(__xludf.DUMMYFUNCTION("""COMPUTED_VALUE"""),0.5203)</f>
        <v>0.5203</v>
      </c>
      <c r="M78" s="213">
        <f>IFERROR(__xludf.DUMMYFUNCTION("""COMPUTED_VALUE"""),0.0)</f>
        <v>0</v>
      </c>
      <c r="N78" s="214">
        <f>IFERROR(__xludf.DUMMYFUNCTION("""COMPUTED_VALUE"""),0.0)</f>
        <v>0</v>
      </c>
      <c r="O78" s="213">
        <f>IFERROR(__xludf.DUMMYFUNCTION("""COMPUTED_VALUE"""),0.0)</f>
        <v>0</v>
      </c>
      <c r="P78" s="213">
        <f>IFERROR(__xludf.DUMMYFUNCTION("""COMPUTED_VALUE"""),0.0)</f>
        <v>0</v>
      </c>
      <c r="Q78" s="214">
        <f>IFERROR(__xludf.DUMMYFUNCTION("""COMPUTED_VALUE"""),0.0)</f>
        <v>0</v>
      </c>
      <c r="R78" s="214">
        <f>IFERROR(__xludf.DUMMYFUNCTION("""COMPUTED_VALUE"""),0.0)</f>
        <v>0</v>
      </c>
      <c r="S78" s="270">
        <f>IFERROR(__xludf.DUMMYFUNCTION("""COMPUTED_VALUE"""),0.0)</f>
        <v>0</v>
      </c>
      <c r="T78" s="270">
        <f>IFERROR(__xludf.DUMMYFUNCTION("""COMPUTED_VALUE"""),0.0)</f>
        <v>0</v>
      </c>
      <c r="U78" s="270">
        <f>IFERROR(__xludf.DUMMYFUNCTION("""COMPUTED_VALUE"""),0.0)</f>
        <v>0</v>
      </c>
      <c r="V78" s="101" t="str">
        <f>IFERROR(__xludf.DUMMYFUNCTION("""COMPUTED_VALUE"""),"offline")</f>
        <v>offline</v>
      </c>
      <c r="W78" s="101" t="str">
        <f>IFERROR(__xludf.DUMMYFUNCTION("""COMPUTED_VALUE"""),"Sms")</f>
        <v>Sms</v>
      </c>
      <c r="X78" s="212" t="str">
        <f>IFERROR(__xludf.DUMMYFUNCTION("""COMPUTED_VALUE"""),"Store base")</f>
        <v>Store base</v>
      </c>
      <c r="Y78" s="212" t="str">
        <f>IFERROR(__xludf.DUMMYFUNCTION("""COMPUTED_VALUE"""),"10th - 31 July 2026")</f>
        <v>10th - 31 July 2026</v>
      </c>
      <c r="Z78" s="212" t="str">
        <f>IFERROR(__xludf.DUMMYFUNCTION("""COMPUTED_VALUE"""),"6a4faa8fcbfea30c91f2fd69")</f>
        <v>6a4faa8fcbfea30c91f2fd69</v>
      </c>
      <c r="AA78" s="287"/>
      <c r="AB78" s="213"/>
      <c r="AC78" s="213"/>
      <c r="AD78" s="213"/>
      <c r="AE78" s="213"/>
      <c r="AF78" s="213"/>
      <c r="AG78" s="282"/>
      <c r="AH78" s="282"/>
      <c r="AI78" s="282"/>
      <c r="AJ78" s="282"/>
      <c r="AK78" s="282"/>
      <c r="AL78" s="282"/>
      <c r="AM78" s="282"/>
      <c r="AN78" s="282"/>
      <c r="AO78" s="282"/>
      <c r="AP78" s="282"/>
      <c r="AQ78" s="282"/>
      <c r="AR78" s="282"/>
      <c r="AS78" s="282"/>
      <c r="AT78" s="282"/>
      <c r="AU78" s="282"/>
      <c r="AV78" s="282"/>
      <c r="AW78" s="282"/>
      <c r="AX78" s="282"/>
      <c r="AY78" s="282"/>
      <c r="AZ78" s="282"/>
    </row>
    <row r="79">
      <c r="A79" s="306">
        <f>IFERROR(__xludf.DUMMYFUNCTION("""COMPUTED_VALUE"""),46213.0)</f>
        <v>46213</v>
      </c>
      <c r="B79" s="247">
        <f>IFERROR(__xludf.DUMMYFUNCTION("""COMPUTED_VALUE"""),0.4166666666678793)</f>
        <v>0.4166666667</v>
      </c>
      <c r="C79" s="218" t="str">
        <f>IFERROR(__xludf.DUMMYFUNCTION("""COMPUTED_VALUE"""),"Sms")</f>
        <v>Sms</v>
      </c>
      <c r="D79" s="218" t="str">
        <f>IFERROR(__xludf.DUMMYFUNCTION("""COMPUTED_VALUE"""),"Promotional")</f>
        <v>Promotional</v>
      </c>
      <c r="E79" s="218" t="str">
        <f>IFERROR(__xludf.DUMMYFUNCTION("""COMPUTED_VALUE"""),"Crocs")</f>
        <v>Crocs</v>
      </c>
      <c r="F79" s="218" t="str">
        <f>IFERROR(__xludf.DUMMYFUNCTION("""COMPUTED_VALUE"""),"No Brief")</f>
        <v>No Brief</v>
      </c>
      <c r="G79" s="218" t="str">
        <f>IFERROR(__xludf.DUMMYFUNCTION("""COMPUTED_VALUE"""),"1263_Yamuna Nagar_Flat50")</f>
        <v>1263_Yamuna Nagar_Flat50</v>
      </c>
      <c r="H79" s="218" t="str">
        <f>IFERROR(__xludf.DUMMYFUNCTION("""COMPUTED_VALUE"""),"CROCS_MODEL TOWN YAMUNANAGAR_1263")</f>
        <v>CROCS_MODEL TOWN YAMUNANAGAR_1263</v>
      </c>
      <c r="I79" s="218" t="str">
        <f>IFERROR(__xludf.DUMMYFUNCTION("""COMPUTED_VALUE"""),"Customers shopping in Txn_store Code :- 1263")</f>
        <v>Customers shopping in Txn_store Code :- 1263</v>
      </c>
      <c r="J79" s="213">
        <f>IFERROR(__xludf.DUMMYFUNCTION("""COMPUTED_VALUE"""),7432.0)</f>
        <v>7432</v>
      </c>
      <c r="K79" s="213">
        <f>IFERROR(__xludf.DUMMYFUNCTION("""COMPUTED_VALUE"""),4156.0)</f>
        <v>4156</v>
      </c>
      <c r="L79" s="214">
        <f>IFERROR(__xludf.DUMMYFUNCTION("""COMPUTED_VALUE"""),0.5592)</f>
        <v>0.5592</v>
      </c>
      <c r="M79" s="213">
        <f>IFERROR(__xludf.DUMMYFUNCTION("""COMPUTED_VALUE"""),0.0)</f>
        <v>0</v>
      </c>
      <c r="N79" s="214">
        <f>IFERROR(__xludf.DUMMYFUNCTION("""COMPUTED_VALUE"""),0.0)</f>
        <v>0</v>
      </c>
      <c r="O79" s="213">
        <f>IFERROR(__xludf.DUMMYFUNCTION("""COMPUTED_VALUE"""),0.0)</f>
        <v>0</v>
      </c>
      <c r="P79" s="213">
        <f>IFERROR(__xludf.DUMMYFUNCTION("""COMPUTED_VALUE"""),0.0)</f>
        <v>0</v>
      </c>
      <c r="Q79" s="214">
        <f>IFERROR(__xludf.DUMMYFUNCTION("""COMPUTED_VALUE"""),0.0)</f>
        <v>0</v>
      </c>
      <c r="R79" s="214">
        <f>IFERROR(__xludf.DUMMYFUNCTION("""COMPUTED_VALUE"""),0.0)</f>
        <v>0</v>
      </c>
      <c r="S79" s="270">
        <f>IFERROR(__xludf.DUMMYFUNCTION("""COMPUTED_VALUE"""),0.0)</f>
        <v>0</v>
      </c>
      <c r="T79" s="270">
        <f>IFERROR(__xludf.DUMMYFUNCTION("""COMPUTED_VALUE"""),0.0)</f>
        <v>0</v>
      </c>
      <c r="U79" s="270">
        <f>IFERROR(__xludf.DUMMYFUNCTION("""COMPUTED_VALUE"""),0.0)</f>
        <v>0</v>
      </c>
      <c r="V79" s="101" t="str">
        <f>IFERROR(__xludf.DUMMYFUNCTION("""COMPUTED_VALUE"""),"offline")</f>
        <v>offline</v>
      </c>
      <c r="W79" s="101" t="str">
        <f>IFERROR(__xludf.DUMMYFUNCTION("""COMPUTED_VALUE"""),"Sms")</f>
        <v>Sms</v>
      </c>
      <c r="X79" s="212" t="str">
        <f>IFERROR(__xludf.DUMMYFUNCTION("""COMPUTED_VALUE"""),"Store base")</f>
        <v>Store base</v>
      </c>
      <c r="Y79" s="212" t="str">
        <f>IFERROR(__xludf.DUMMYFUNCTION("""COMPUTED_VALUE"""),"10th - 31 July 2026")</f>
        <v>10th - 31 July 2026</v>
      </c>
      <c r="Z79" s="212" t="str">
        <f>IFERROR(__xludf.DUMMYFUNCTION("""COMPUTED_VALUE"""),"6a4faafea0701c84134a8f73")</f>
        <v>6a4faafea0701c84134a8f73</v>
      </c>
      <c r="AA79" s="287"/>
      <c r="AB79" s="213"/>
      <c r="AC79" s="213"/>
      <c r="AD79" s="213"/>
      <c r="AE79" s="213"/>
      <c r="AF79" s="213"/>
      <c r="AG79" s="282"/>
      <c r="AH79" s="282"/>
      <c r="AI79" s="282"/>
      <c r="AJ79" s="282"/>
      <c r="AK79" s="282"/>
      <c r="AL79" s="282"/>
      <c r="AM79" s="282"/>
      <c r="AN79" s="282"/>
      <c r="AO79" s="282"/>
      <c r="AP79" s="282"/>
      <c r="AQ79" s="282"/>
      <c r="AR79" s="282"/>
      <c r="AS79" s="282"/>
      <c r="AT79" s="282"/>
      <c r="AU79" s="282"/>
      <c r="AV79" s="282"/>
      <c r="AW79" s="282"/>
      <c r="AX79" s="282"/>
      <c r="AY79" s="282"/>
      <c r="AZ79" s="282"/>
    </row>
    <row r="80">
      <c r="A80" s="306"/>
      <c r="B80" s="247"/>
      <c r="C80" s="218"/>
      <c r="D80" s="218"/>
      <c r="E80" s="218"/>
      <c r="F80" s="218"/>
      <c r="G80" s="218"/>
      <c r="H80" s="218"/>
      <c r="I80" s="218"/>
      <c r="J80" s="213"/>
      <c r="K80" s="213"/>
      <c r="L80" s="214"/>
      <c r="M80" s="213"/>
      <c r="N80" s="214"/>
      <c r="O80" s="213"/>
      <c r="P80" s="213"/>
      <c r="Q80" s="214"/>
      <c r="R80" s="214"/>
      <c r="S80" s="270"/>
      <c r="T80" s="270"/>
      <c r="U80" s="270"/>
      <c r="V80" s="101"/>
      <c r="W80" s="101"/>
      <c r="X80" s="212"/>
      <c r="Y80" s="212"/>
      <c r="Z80" s="212"/>
      <c r="AA80" s="287"/>
      <c r="AB80" s="213"/>
      <c r="AC80" s="213"/>
      <c r="AD80" s="213"/>
      <c r="AE80" s="213"/>
      <c r="AF80" s="213"/>
      <c r="AG80" s="282"/>
      <c r="AH80" s="282"/>
      <c r="AI80" s="282"/>
      <c r="AJ80" s="282"/>
      <c r="AK80" s="282"/>
      <c r="AL80" s="282"/>
      <c r="AM80" s="282"/>
      <c r="AN80" s="282"/>
      <c r="AO80" s="282"/>
      <c r="AP80" s="282"/>
      <c r="AQ80" s="282"/>
      <c r="AR80" s="282"/>
      <c r="AS80" s="282"/>
      <c r="AT80" s="282"/>
      <c r="AU80" s="282"/>
      <c r="AV80" s="282"/>
      <c r="AW80" s="282"/>
      <c r="AX80" s="282"/>
      <c r="AY80" s="282"/>
      <c r="AZ80" s="282"/>
    </row>
    <row r="81">
      <c r="A81" s="306"/>
      <c r="B81" s="247"/>
      <c r="C81" s="218"/>
      <c r="D81" s="218"/>
      <c r="E81" s="218"/>
      <c r="F81" s="218"/>
      <c r="G81" s="218"/>
      <c r="H81" s="218"/>
      <c r="I81" s="218"/>
      <c r="J81" s="213"/>
      <c r="K81" s="213"/>
      <c r="L81" s="214"/>
      <c r="M81" s="213"/>
      <c r="N81" s="214"/>
      <c r="O81" s="213"/>
      <c r="P81" s="213"/>
      <c r="Q81" s="214"/>
      <c r="R81" s="214"/>
      <c r="S81" s="270"/>
      <c r="T81" s="270"/>
      <c r="U81" s="270"/>
      <c r="V81" s="101"/>
      <c r="W81" s="101"/>
      <c r="X81" s="212"/>
      <c r="Y81" s="212"/>
      <c r="Z81" s="212"/>
      <c r="AA81" s="287"/>
      <c r="AB81" s="213"/>
      <c r="AC81" s="213"/>
      <c r="AD81" s="213"/>
      <c r="AE81" s="213"/>
      <c r="AF81" s="213"/>
      <c r="AG81" s="282"/>
      <c r="AH81" s="282"/>
      <c r="AI81" s="282"/>
      <c r="AJ81" s="282"/>
      <c r="AK81" s="282"/>
      <c r="AL81" s="282"/>
      <c r="AM81" s="282"/>
      <c r="AN81" s="282"/>
      <c r="AO81" s="282"/>
      <c r="AP81" s="282"/>
      <c r="AQ81" s="282"/>
      <c r="AR81" s="282"/>
      <c r="AS81" s="282"/>
      <c r="AT81" s="282"/>
      <c r="AU81" s="282"/>
      <c r="AV81" s="282"/>
      <c r="AW81" s="282"/>
      <c r="AX81" s="282"/>
      <c r="AY81" s="282"/>
      <c r="AZ81" s="282"/>
    </row>
    <row r="82">
      <c r="A82" s="306"/>
      <c r="B82" s="247"/>
      <c r="C82" s="218"/>
      <c r="D82" s="218"/>
      <c r="E82" s="218"/>
      <c r="F82" s="218"/>
      <c r="G82" s="218"/>
      <c r="H82" s="218"/>
      <c r="I82" s="218"/>
      <c r="J82" s="213"/>
      <c r="K82" s="213"/>
      <c r="L82" s="214"/>
      <c r="M82" s="213"/>
      <c r="N82" s="214"/>
      <c r="O82" s="213"/>
      <c r="P82" s="213"/>
      <c r="Q82" s="214"/>
      <c r="R82" s="214"/>
      <c r="S82" s="270"/>
      <c r="T82" s="270"/>
      <c r="U82" s="270"/>
      <c r="V82" s="101"/>
      <c r="W82" s="101"/>
      <c r="X82" s="212"/>
      <c r="Y82" s="212"/>
      <c r="Z82" s="212"/>
      <c r="AA82" s="287"/>
      <c r="AB82" s="213"/>
      <c r="AC82" s="213"/>
      <c r="AD82" s="213"/>
      <c r="AE82" s="213"/>
      <c r="AF82" s="213"/>
      <c r="AG82" s="282"/>
      <c r="AH82" s="282"/>
      <c r="AI82" s="282"/>
      <c r="AJ82" s="282"/>
      <c r="AK82" s="282"/>
      <c r="AL82" s="282"/>
      <c r="AM82" s="282"/>
      <c r="AN82" s="282"/>
      <c r="AO82" s="282"/>
      <c r="AP82" s="282"/>
      <c r="AQ82" s="282"/>
      <c r="AR82" s="282"/>
      <c r="AS82" s="282"/>
      <c r="AT82" s="282"/>
      <c r="AU82" s="282"/>
      <c r="AV82" s="282"/>
      <c r="AW82" s="282"/>
      <c r="AX82" s="282"/>
      <c r="AY82" s="282"/>
      <c r="AZ82" s="282"/>
    </row>
    <row r="83">
      <c r="A83" s="306"/>
      <c r="B83" s="247"/>
      <c r="C83" s="218"/>
      <c r="D83" s="218"/>
      <c r="E83" s="218"/>
      <c r="F83" s="218"/>
      <c r="G83" s="218"/>
      <c r="H83" s="218"/>
      <c r="I83" s="218"/>
      <c r="J83" s="213"/>
      <c r="K83" s="213"/>
      <c r="L83" s="214"/>
      <c r="M83" s="213"/>
      <c r="N83" s="214"/>
      <c r="O83" s="213"/>
      <c r="P83" s="213"/>
      <c r="Q83" s="214"/>
      <c r="R83" s="214"/>
      <c r="S83" s="270"/>
      <c r="T83" s="270"/>
      <c r="U83" s="270"/>
      <c r="V83" s="101"/>
      <c r="W83" s="101"/>
      <c r="X83" s="212"/>
      <c r="Y83" s="212"/>
      <c r="Z83" s="212"/>
      <c r="AA83" s="287"/>
      <c r="AB83" s="213"/>
      <c r="AC83" s="213"/>
      <c r="AD83" s="213"/>
      <c r="AE83" s="213"/>
      <c r="AF83" s="213"/>
      <c r="AG83" s="282"/>
      <c r="AH83" s="282"/>
      <c r="AI83" s="282"/>
      <c r="AJ83" s="282"/>
      <c r="AK83" s="282"/>
      <c r="AL83" s="282"/>
      <c r="AM83" s="282"/>
      <c r="AN83" s="282"/>
      <c r="AO83" s="282"/>
      <c r="AP83" s="282"/>
      <c r="AQ83" s="282"/>
      <c r="AR83" s="282"/>
      <c r="AS83" s="282"/>
      <c r="AT83" s="282"/>
      <c r="AU83" s="282"/>
      <c r="AV83" s="282"/>
      <c r="AW83" s="282"/>
      <c r="AX83" s="282"/>
      <c r="AY83" s="282"/>
      <c r="AZ83" s="282"/>
    </row>
    <row r="84">
      <c r="A84" s="306"/>
      <c r="B84" s="247"/>
      <c r="C84" s="218"/>
      <c r="D84" s="218"/>
      <c r="E84" s="218"/>
      <c r="F84" s="218"/>
      <c r="G84" s="218"/>
      <c r="H84" s="218"/>
      <c r="I84" s="218"/>
      <c r="J84" s="213"/>
      <c r="K84" s="213"/>
      <c r="L84" s="214"/>
      <c r="M84" s="213"/>
      <c r="N84" s="214"/>
      <c r="O84" s="213"/>
      <c r="P84" s="213"/>
      <c r="Q84" s="214"/>
      <c r="R84" s="214"/>
      <c r="S84" s="270"/>
      <c r="T84" s="270"/>
      <c r="U84" s="270"/>
      <c r="V84" s="101"/>
      <c r="W84" s="101"/>
      <c r="X84" s="212"/>
      <c r="Y84" s="212"/>
      <c r="Z84" s="212"/>
      <c r="AA84" s="287"/>
      <c r="AB84" s="213"/>
      <c r="AC84" s="213"/>
      <c r="AD84" s="213"/>
      <c r="AE84" s="213"/>
      <c r="AF84" s="213"/>
      <c r="AG84" s="282"/>
      <c r="AH84" s="282"/>
      <c r="AI84" s="282"/>
      <c r="AJ84" s="282"/>
      <c r="AK84" s="282"/>
      <c r="AL84" s="282"/>
      <c r="AM84" s="282"/>
      <c r="AN84" s="282"/>
      <c r="AO84" s="282"/>
      <c r="AP84" s="282"/>
      <c r="AQ84" s="282"/>
      <c r="AR84" s="282"/>
      <c r="AS84" s="282"/>
      <c r="AT84" s="282"/>
      <c r="AU84" s="282"/>
      <c r="AV84" s="282"/>
      <c r="AW84" s="282"/>
      <c r="AX84" s="282"/>
      <c r="AY84" s="282"/>
      <c r="AZ84" s="282"/>
    </row>
    <row r="85">
      <c r="A85" s="306"/>
      <c r="B85" s="247"/>
      <c r="C85" s="218"/>
      <c r="D85" s="218"/>
      <c r="E85" s="218"/>
      <c r="F85" s="218"/>
      <c r="G85" s="218"/>
      <c r="H85" s="218"/>
      <c r="I85" s="218"/>
      <c r="J85" s="213"/>
      <c r="K85" s="213"/>
      <c r="L85" s="214"/>
      <c r="M85" s="213"/>
      <c r="N85" s="214"/>
      <c r="O85" s="213"/>
      <c r="P85" s="213"/>
      <c r="Q85" s="214"/>
      <c r="R85" s="214"/>
      <c r="S85" s="270"/>
      <c r="T85" s="270"/>
      <c r="U85" s="270"/>
      <c r="V85" s="101"/>
      <c r="W85" s="101"/>
      <c r="X85" s="212"/>
      <c r="Y85" s="212"/>
      <c r="Z85" s="212"/>
      <c r="AA85" s="287"/>
      <c r="AB85" s="213"/>
      <c r="AC85" s="213"/>
      <c r="AD85" s="213"/>
      <c r="AE85" s="213"/>
      <c r="AF85" s="213"/>
      <c r="AG85" s="282"/>
      <c r="AH85" s="282"/>
      <c r="AI85" s="282"/>
      <c r="AJ85" s="282"/>
      <c r="AK85" s="282"/>
      <c r="AL85" s="282"/>
      <c r="AM85" s="282"/>
      <c r="AN85" s="282"/>
      <c r="AO85" s="282"/>
      <c r="AP85" s="282"/>
      <c r="AQ85" s="282"/>
      <c r="AR85" s="282"/>
      <c r="AS85" s="282"/>
      <c r="AT85" s="282"/>
      <c r="AU85" s="282"/>
      <c r="AV85" s="282"/>
      <c r="AW85" s="282"/>
      <c r="AX85" s="282"/>
      <c r="AY85" s="282"/>
      <c r="AZ85" s="282"/>
    </row>
    <row r="86">
      <c r="A86" s="306"/>
      <c r="B86" s="247"/>
      <c r="C86" s="218"/>
      <c r="D86" s="218"/>
      <c r="E86" s="218"/>
      <c r="F86" s="218"/>
      <c r="G86" s="218"/>
      <c r="H86" s="218"/>
      <c r="I86" s="218"/>
      <c r="J86" s="213"/>
      <c r="K86" s="213"/>
      <c r="L86" s="214"/>
      <c r="M86" s="213"/>
      <c r="N86" s="214"/>
      <c r="O86" s="213"/>
      <c r="P86" s="213"/>
      <c r="Q86" s="214"/>
      <c r="R86" s="214"/>
      <c r="S86" s="270"/>
      <c r="T86" s="270"/>
      <c r="U86" s="270"/>
      <c r="V86" s="101"/>
      <c r="W86" s="101"/>
      <c r="X86" s="212"/>
      <c r="Y86" s="212"/>
      <c r="Z86" s="212"/>
      <c r="AA86" s="287"/>
      <c r="AB86" s="213"/>
      <c r="AC86" s="213"/>
      <c r="AD86" s="213"/>
      <c r="AE86" s="213"/>
      <c r="AF86" s="213"/>
      <c r="AG86" s="282"/>
      <c r="AH86" s="282"/>
      <c r="AI86" s="282"/>
      <c r="AJ86" s="282"/>
      <c r="AK86" s="282"/>
      <c r="AL86" s="282"/>
      <c r="AM86" s="282"/>
      <c r="AN86" s="282"/>
      <c r="AO86" s="282"/>
      <c r="AP86" s="282"/>
      <c r="AQ86" s="282"/>
      <c r="AR86" s="282"/>
      <c r="AS86" s="282"/>
      <c r="AT86" s="282"/>
      <c r="AU86" s="282"/>
      <c r="AV86" s="282"/>
      <c r="AW86" s="282"/>
      <c r="AX86" s="282"/>
      <c r="AY86" s="282"/>
      <c r="AZ86" s="282"/>
    </row>
    <row r="87">
      <c r="A87" s="306"/>
      <c r="B87" s="247"/>
      <c r="C87" s="218"/>
      <c r="D87" s="218"/>
      <c r="E87" s="218"/>
      <c r="F87" s="218"/>
      <c r="G87" s="218"/>
      <c r="H87" s="218"/>
      <c r="I87" s="218"/>
      <c r="J87" s="213"/>
      <c r="K87" s="213"/>
      <c r="L87" s="214"/>
      <c r="M87" s="213"/>
      <c r="N87" s="214"/>
      <c r="O87" s="213"/>
      <c r="P87" s="213"/>
      <c r="Q87" s="214"/>
      <c r="R87" s="214"/>
      <c r="S87" s="270"/>
      <c r="T87" s="270"/>
      <c r="U87" s="270"/>
      <c r="V87" s="101"/>
      <c r="W87" s="101"/>
      <c r="X87" s="212"/>
      <c r="Y87" s="212"/>
      <c r="Z87" s="212"/>
      <c r="AA87" s="287"/>
      <c r="AB87" s="213"/>
      <c r="AC87" s="213"/>
      <c r="AD87" s="213"/>
      <c r="AE87" s="213"/>
      <c r="AF87" s="213"/>
      <c r="AG87" s="282"/>
      <c r="AH87" s="282"/>
      <c r="AI87" s="282"/>
      <c r="AJ87" s="282"/>
      <c r="AK87" s="282"/>
      <c r="AL87" s="282"/>
      <c r="AM87" s="282"/>
      <c r="AN87" s="282"/>
      <c r="AO87" s="282"/>
      <c r="AP87" s="282"/>
      <c r="AQ87" s="282"/>
      <c r="AR87" s="282"/>
      <c r="AS87" s="282"/>
      <c r="AT87" s="282"/>
      <c r="AU87" s="282"/>
      <c r="AV87" s="282"/>
      <c r="AW87" s="282"/>
      <c r="AX87" s="282"/>
      <c r="AY87" s="282"/>
      <c r="AZ87" s="282"/>
    </row>
    <row r="88">
      <c r="A88" s="306"/>
      <c r="B88" s="247"/>
      <c r="C88" s="218"/>
      <c r="D88" s="218"/>
      <c r="E88" s="218"/>
      <c r="F88" s="218"/>
      <c r="G88" s="218"/>
      <c r="H88" s="218"/>
      <c r="I88" s="218"/>
      <c r="J88" s="213"/>
      <c r="K88" s="213"/>
      <c r="L88" s="214"/>
      <c r="M88" s="213"/>
      <c r="N88" s="214"/>
      <c r="O88" s="213"/>
      <c r="P88" s="213"/>
      <c r="Q88" s="214"/>
      <c r="R88" s="214"/>
      <c r="S88" s="270"/>
      <c r="T88" s="270"/>
      <c r="U88" s="270"/>
      <c r="V88" s="101"/>
      <c r="W88" s="101"/>
      <c r="X88" s="212"/>
      <c r="Y88" s="212"/>
      <c r="Z88" s="212"/>
      <c r="AA88" s="287"/>
      <c r="AB88" s="213"/>
      <c r="AC88" s="213"/>
      <c r="AD88" s="213"/>
      <c r="AE88" s="213"/>
      <c r="AF88" s="213"/>
      <c r="AG88" s="282"/>
      <c r="AH88" s="282"/>
      <c r="AI88" s="282"/>
      <c r="AJ88" s="282"/>
      <c r="AK88" s="282"/>
      <c r="AL88" s="282"/>
      <c r="AM88" s="282"/>
      <c r="AN88" s="282"/>
      <c r="AO88" s="282"/>
      <c r="AP88" s="282"/>
      <c r="AQ88" s="282"/>
      <c r="AR88" s="282"/>
      <c r="AS88" s="282"/>
      <c r="AT88" s="282"/>
      <c r="AU88" s="282"/>
      <c r="AV88" s="282"/>
      <c r="AW88" s="282"/>
      <c r="AX88" s="282"/>
      <c r="AY88" s="282"/>
      <c r="AZ88" s="282"/>
    </row>
    <row r="89">
      <c r="A89" s="306"/>
      <c r="B89" s="247"/>
      <c r="C89" s="218"/>
      <c r="D89" s="218"/>
      <c r="E89" s="218"/>
      <c r="F89" s="218"/>
      <c r="G89" s="218"/>
      <c r="H89" s="218"/>
      <c r="I89" s="218"/>
      <c r="J89" s="213"/>
      <c r="K89" s="213"/>
      <c r="L89" s="214"/>
      <c r="M89" s="213"/>
      <c r="N89" s="214"/>
      <c r="O89" s="213"/>
      <c r="P89" s="213"/>
      <c r="Q89" s="214"/>
      <c r="R89" s="214"/>
      <c r="S89" s="270"/>
      <c r="T89" s="270"/>
      <c r="U89" s="270"/>
      <c r="V89" s="101"/>
      <c r="W89" s="101"/>
      <c r="X89" s="212"/>
      <c r="Y89" s="212"/>
      <c r="Z89" s="212"/>
      <c r="AA89" s="287"/>
      <c r="AB89" s="213"/>
      <c r="AC89" s="213"/>
      <c r="AD89" s="213"/>
      <c r="AE89" s="213"/>
      <c r="AF89" s="213"/>
      <c r="AG89" s="282"/>
      <c r="AH89" s="282"/>
      <c r="AI89" s="282"/>
      <c r="AJ89" s="282"/>
      <c r="AK89" s="282"/>
      <c r="AL89" s="282"/>
      <c r="AM89" s="282"/>
      <c r="AN89" s="282"/>
      <c r="AO89" s="282"/>
      <c r="AP89" s="282"/>
      <c r="AQ89" s="282"/>
      <c r="AR89" s="282"/>
      <c r="AS89" s="282"/>
      <c r="AT89" s="282"/>
      <c r="AU89" s="282"/>
      <c r="AV89" s="282"/>
      <c r="AW89" s="282"/>
      <c r="AX89" s="282"/>
      <c r="AY89" s="282"/>
      <c r="AZ89" s="282"/>
    </row>
    <row r="90">
      <c r="A90" s="306"/>
      <c r="B90" s="247"/>
      <c r="C90" s="218"/>
      <c r="D90" s="218"/>
      <c r="E90" s="218"/>
      <c r="F90" s="218"/>
      <c r="G90" s="218"/>
      <c r="H90" s="218"/>
      <c r="I90" s="218"/>
      <c r="J90" s="213"/>
      <c r="K90" s="213"/>
      <c r="L90" s="214"/>
      <c r="M90" s="213"/>
      <c r="N90" s="214"/>
      <c r="O90" s="213"/>
      <c r="P90" s="213"/>
      <c r="Q90" s="214"/>
      <c r="R90" s="214"/>
      <c r="S90" s="270"/>
      <c r="T90" s="270"/>
      <c r="U90" s="270"/>
      <c r="V90" s="101"/>
      <c r="W90" s="101"/>
      <c r="X90" s="212"/>
      <c r="Y90" s="212"/>
      <c r="Z90" s="212"/>
      <c r="AA90" s="287"/>
      <c r="AB90" s="213"/>
      <c r="AC90" s="213"/>
      <c r="AD90" s="213"/>
      <c r="AE90" s="213"/>
      <c r="AF90" s="213"/>
      <c r="AG90" s="282"/>
      <c r="AH90" s="282"/>
      <c r="AI90" s="282"/>
      <c r="AJ90" s="282"/>
      <c r="AK90" s="282"/>
      <c r="AL90" s="282"/>
      <c r="AM90" s="282"/>
      <c r="AN90" s="282"/>
      <c r="AO90" s="282"/>
      <c r="AP90" s="282"/>
      <c r="AQ90" s="282"/>
      <c r="AR90" s="282"/>
      <c r="AS90" s="282"/>
      <c r="AT90" s="282"/>
      <c r="AU90" s="282"/>
      <c r="AV90" s="282"/>
      <c r="AW90" s="282"/>
      <c r="AX90" s="282"/>
      <c r="AY90" s="282"/>
      <c r="AZ90" s="282"/>
    </row>
    <row r="91">
      <c r="A91" s="306"/>
      <c r="B91" s="247"/>
      <c r="C91" s="218"/>
      <c r="D91" s="218"/>
      <c r="E91" s="218"/>
      <c r="F91" s="218"/>
      <c r="G91" s="218"/>
      <c r="H91" s="218"/>
      <c r="I91" s="218"/>
      <c r="J91" s="213"/>
      <c r="K91" s="213"/>
      <c r="L91" s="214"/>
      <c r="M91" s="213"/>
      <c r="N91" s="214"/>
      <c r="O91" s="213"/>
      <c r="P91" s="213"/>
      <c r="Q91" s="214"/>
      <c r="R91" s="214"/>
      <c r="S91" s="270"/>
      <c r="T91" s="270"/>
      <c r="U91" s="270"/>
      <c r="V91" s="101"/>
      <c r="W91" s="101"/>
      <c r="X91" s="212"/>
      <c r="Y91" s="212"/>
      <c r="Z91" s="212"/>
      <c r="AA91" s="287"/>
      <c r="AB91" s="213"/>
      <c r="AC91" s="213"/>
      <c r="AD91" s="213"/>
      <c r="AE91" s="213"/>
      <c r="AF91" s="213"/>
      <c r="AG91" s="282"/>
      <c r="AH91" s="282"/>
      <c r="AI91" s="282"/>
      <c r="AJ91" s="282"/>
      <c r="AK91" s="282"/>
      <c r="AL91" s="282"/>
      <c r="AM91" s="282"/>
      <c r="AN91" s="282"/>
      <c r="AO91" s="282"/>
      <c r="AP91" s="282"/>
      <c r="AQ91" s="282"/>
      <c r="AR91" s="282"/>
      <c r="AS91" s="282"/>
      <c r="AT91" s="282"/>
      <c r="AU91" s="282"/>
      <c r="AV91" s="282"/>
      <c r="AW91" s="282"/>
      <c r="AX91" s="282"/>
      <c r="AY91" s="282"/>
      <c r="AZ91" s="282"/>
    </row>
    <row r="92">
      <c r="A92" s="306"/>
      <c r="B92" s="247"/>
      <c r="C92" s="218"/>
      <c r="D92" s="218"/>
      <c r="E92" s="218"/>
      <c r="F92" s="218"/>
      <c r="G92" s="218"/>
      <c r="H92" s="218"/>
      <c r="I92" s="218"/>
      <c r="J92" s="213"/>
      <c r="K92" s="213"/>
      <c r="L92" s="214"/>
      <c r="M92" s="213"/>
      <c r="N92" s="214"/>
      <c r="O92" s="213"/>
      <c r="P92" s="213"/>
      <c r="Q92" s="214"/>
      <c r="R92" s="214"/>
      <c r="S92" s="270"/>
      <c r="T92" s="270"/>
      <c r="U92" s="270"/>
      <c r="V92" s="101"/>
      <c r="W92" s="101"/>
      <c r="X92" s="212"/>
      <c r="Y92" s="212"/>
      <c r="Z92" s="212"/>
      <c r="AA92" s="287"/>
      <c r="AB92" s="213"/>
      <c r="AC92" s="213"/>
      <c r="AD92" s="213"/>
      <c r="AE92" s="213"/>
      <c r="AF92" s="213"/>
      <c r="AG92" s="282"/>
      <c r="AH92" s="282"/>
      <c r="AI92" s="282"/>
      <c r="AJ92" s="282"/>
      <c r="AK92" s="282"/>
      <c r="AL92" s="282"/>
      <c r="AM92" s="282"/>
      <c r="AN92" s="282"/>
      <c r="AO92" s="282"/>
      <c r="AP92" s="282"/>
      <c r="AQ92" s="282"/>
      <c r="AR92" s="282"/>
      <c r="AS92" s="282"/>
      <c r="AT92" s="282"/>
      <c r="AU92" s="282"/>
      <c r="AV92" s="282"/>
      <c r="AW92" s="282"/>
      <c r="AX92" s="282"/>
      <c r="AY92" s="282"/>
      <c r="AZ92" s="282"/>
    </row>
    <row r="93">
      <c r="A93" s="306"/>
      <c r="B93" s="247"/>
      <c r="C93" s="218"/>
      <c r="D93" s="218"/>
      <c r="E93" s="218"/>
      <c r="F93" s="218"/>
      <c r="G93" s="218"/>
      <c r="H93" s="218"/>
      <c r="I93" s="218"/>
      <c r="J93" s="213"/>
      <c r="K93" s="213"/>
      <c r="L93" s="214"/>
      <c r="M93" s="213"/>
      <c r="N93" s="214"/>
      <c r="O93" s="213"/>
      <c r="P93" s="213"/>
      <c r="Q93" s="214"/>
      <c r="R93" s="214"/>
      <c r="S93" s="270"/>
      <c r="T93" s="270"/>
      <c r="U93" s="270"/>
      <c r="V93" s="101"/>
      <c r="W93" s="101"/>
      <c r="X93" s="212"/>
      <c r="Y93" s="212"/>
      <c r="Z93" s="212"/>
      <c r="AA93" s="287"/>
      <c r="AB93" s="213"/>
      <c r="AC93" s="213"/>
      <c r="AD93" s="213"/>
      <c r="AE93" s="213"/>
      <c r="AF93" s="213"/>
      <c r="AG93" s="282"/>
      <c r="AH93" s="282"/>
      <c r="AI93" s="282"/>
      <c r="AJ93" s="282"/>
      <c r="AK93" s="282"/>
      <c r="AL93" s="282"/>
      <c r="AM93" s="282"/>
      <c r="AN93" s="282"/>
      <c r="AO93" s="282"/>
      <c r="AP93" s="282"/>
      <c r="AQ93" s="282"/>
      <c r="AR93" s="282"/>
      <c r="AS93" s="282"/>
      <c r="AT93" s="282"/>
      <c r="AU93" s="282"/>
      <c r="AV93" s="282"/>
      <c r="AW93" s="282"/>
      <c r="AX93" s="282"/>
      <c r="AY93" s="282"/>
      <c r="AZ93" s="282"/>
    </row>
    <row r="94">
      <c r="A94" s="306"/>
      <c r="B94" s="247"/>
      <c r="C94" s="218"/>
      <c r="D94" s="218"/>
      <c r="E94" s="218"/>
      <c r="F94" s="218"/>
      <c r="G94" s="218"/>
      <c r="H94" s="218"/>
      <c r="I94" s="218"/>
      <c r="J94" s="213"/>
      <c r="K94" s="213"/>
      <c r="L94" s="214"/>
      <c r="M94" s="213"/>
      <c r="N94" s="214"/>
      <c r="O94" s="213"/>
      <c r="P94" s="213"/>
      <c r="Q94" s="214"/>
      <c r="R94" s="214"/>
      <c r="S94" s="270"/>
      <c r="T94" s="270"/>
      <c r="U94" s="270"/>
      <c r="V94" s="101"/>
      <c r="W94" s="101"/>
      <c r="X94" s="212"/>
      <c r="Y94" s="212"/>
      <c r="Z94" s="212"/>
      <c r="AA94" s="287"/>
      <c r="AB94" s="213"/>
      <c r="AC94" s="213"/>
      <c r="AD94" s="213"/>
      <c r="AE94" s="213"/>
      <c r="AF94" s="213"/>
      <c r="AG94" s="282"/>
      <c r="AH94" s="282"/>
      <c r="AI94" s="282"/>
      <c r="AJ94" s="282"/>
      <c r="AK94" s="282"/>
      <c r="AL94" s="282"/>
      <c r="AM94" s="282"/>
      <c r="AN94" s="282"/>
      <c r="AO94" s="282"/>
      <c r="AP94" s="282"/>
      <c r="AQ94" s="282"/>
      <c r="AR94" s="282"/>
      <c r="AS94" s="282"/>
      <c r="AT94" s="282"/>
      <c r="AU94" s="282"/>
      <c r="AV94" s="282"/>
      <c r="AW94" s="282"/>
      <c r="AX94" s="282"/>
      <c r="AY94" s="282"/>
      <c r="AZ94" s="282"/>
    </row>
    <row r="95">
      <c r="A95" s="306"/>
      <c r="B95" s="247"/>
      <c r="C95" s="218"/>
      <c r="D95" s="218"/>
      <c r="E95" s="218"/>
      <c r="F95" s="218"/>
      <c r="G95" s="218"/>
      <c r="H95" s="218"/>
      <c r="I95" s="218"/>
      <c r="J95" s="213"/>
      <c r="K95" s="213"/>
      <c r="L95" s="214"/>
      <c r="M95" s="213"/>
      <c r="N95" s="214"/>
      <c r="O95" s="213"/>
      <c r="P95" s="213"/>
      <c r="Q95" s="214"/>
      <c r="R95" s="214"/>
      <c r="S95" s="270"/>
      <c r="T95" s="270"/>
      <c r="U95" s="270"/>
      <c r="V95" s="101"/>
      <c r="W95" s="101"/>
      <c r="X95" s="212"/>
      <c r="Y95" s="212"/>
      <c r="Z95" s="212"/>
      <c r="AA95" s="287"/>
      <c r="AB95" s="213"/>
      <c r="AC95" s="213"/>
      <c r="AD95" s="213"/>
      <c r="AE95" s="213"/>
      <c r="AF95" s="213"/>
      <c r="AG95" s="282"/>
      <c r="AH95" s="282"/>
      <c r="AI95" s="282"/>
      <c r="AJ95" s="282"/>
      <c r="AK95" s="282"/>
      <c r="AL95" s="282"/>
      <c r="AM95" s="282"/>
      <c r="AN95" s="282"/>
      <c r="AO95" s="282"/>
      <c r="AP95" s="282"/>
      <c r="AQ95" s="282"/>
      <c r="AR95" s="282"/>
      <c r="AS95" s="282"/>
      <c r="AT95" s="282"/>
      <c r="AU95" s="282"/>
      <c r="AV95" s="282"/>
      <c r="AW95" s="282"/>
      <c r="AX95" s="282"/>
      <c r="AY95" s="282"/>
      <c r="AZ95" s="282"/>
    </row>
    <row r="96">
      <c r="A96" s="306"/>
      <c r="B96" s="247"/>
      <c r="C96" s="218"/>
      <c r="D96" s="218"/>
      <c r="E96" s="218"/>
      <c r="F96" s="218"/>
      <c r="G96" s="218"/>
      <c r="H96" s="218"/>
      <c r="I96" s="218"/>
      <c r="J96" s="213"/>
      <c r="K96" s="213"/>
      <c r="L96" s="214"/>
      <c r="M96" s="213"/>
      <c r="N96" s="214"/>
      <c r="O96" s="213"/>
      <c r="P96" s="213"/>
      <c r="Q96" s="214"/>
      <c r="R96" s="214"/>
      <c r="S96" s="270"/>
      <c r="T96" s="270"/>
      <c r="U96" s="270"/>
      <c r="V96" s="101"/>
      <c r="W96" s="101"/>
      <c r="X96" s="212"/>
      <c r="Y96" s="212"/>
      <c r="Z96" s="212"/>
      <c r="AA96" s="287"/>
      <c r="AB96" s="213"/>
      <c r="AC96" s="213"/>
      <c r="AD96" s="213"/>
      <c r="AE96" s="213"/>
      <c r="AF96" s="213"/>
      <c r="AG96" s="282"/>
      <c r="AH96" s="282"/>
      <c r="AI96" s="282"/>
      <c r="AJ96" s="282"/>
      <c r="AK96" s="282"/>
      <c r="AL96" s="282"/>
      <c r="AM96" s="282"/>
      <c r="AN96" s="282"/>
      <c r="AO96" s="282"/>
      <c r="AP96" s="282"/>
      <c r="AQ96" s="282"/>
      <c r="AR96" s="282"/>
      <c r="AS96" s="282"/>
      <c r="AT96" s="282"/>
      <c r="AU96" s="282"/>
      <c r="AV96" s="282"/>
      <c r="AW96" s="282"/>
      <c r="AX96" s="282"/>
      <c r="AY96" s="282"/>
      <c r="AZ96" s="282"/>
    </row>
    <row r="97">
      <c r="A97" s="306"/>
      <c r="B97" s="247"/>
      <c r="C97" s="218"/>
      <c r="D97" s="218"/>
      <c r="E97" s="218"/>
      <c r="F97" s="218"/>
      <c r="G97" s="218"/>
      <c r="H97" s="218"/>
      <c r="I97" s="218"/>
      <c r="J97" s="213"/>
      <c r="K97" s="213"/>
      <c r="L97" s="214"/>
      <c r="M97" s="213"/>
      <c r="N97" s="214"/>
      <c r="O97" s="213"/>
      <c r="P97" s="213"/>
      <c r="Q97" s="214"/>
      <c r="R97" s="214"/>
      <c r="S97" s="270"/>
      <c r="T97" s="270"/>
      <c r="U97" s="270"/>
      <c r="V97" s="101"/>
      <c r="W97" s="101"/>
      <c r="X97" s="212"/>
      <c r="Y97" s="212"/>
      <c r="Z97" s="212"/>
      <c r="AA97" s="287"/>
      <c r="AB97" s="213"/>
      <c r="AC97" s="213"/>
      <c r="AD97" s="213"/>
      <c r="AE97" s="213"/>
      <c r="AF97" s="213"/>
      <c r="AG97" s="282"/>
      <c r="AH97" s="282"/>
      <c r="AI97" s="282"/>
      <c r="AJ97" s="282"/>
      <c r="AK97" s="282"/>
      <c r="AL97" s="282"/>
      <c r="AM97" s="282"/>
      <c r="AN97" s="282"/>
      <c r="AO97" s="282"/>
      <c r="AP97" s="282"/>
      <c r="AQ97" s="282"/>
      <c r="AR97" s="282"/>
      <c r="AS97" s="282"/>
      <c r="AT97" s="282"/>
      <c r="AU97" s="282"/>
      <c r="AV97" s="282"/>
      <c r="AW97" s="282"/>
      <c r="AX97" s="282"/>
      <c r="AY97" s="282"/>
      <c r="AZ97" s="282"/>
    </row>
    <row r="98">
      <c r="A98" s="306"/>
      <c r="B98" s="247"/>
      <c r="C98" s="218"/>
      <c r="D98" s="218"/>
      <c r="E98" s="218"/>
      <c r="F98" s="218"/>
      <c r="G98" s="218"/>
      <c r="H98" s="218"/>
      <c r="I98" s="218"/>
      <c r="J98" s="213"/>
      <c r="K98" s="213"/>
      <c r="L98" s="214"/>
      <c r="M98" s="213"/>
      <c r="N98" s="214"/>
      <c r="O98" s="213"/>
      <c r="P98" s="213"/>
      <c r="Q98" s="214"/>
      <c r="R98" s="214"/>
      <c r="S98" s="270"/>
      <c r="T98" s="270"/>
      <c r="U98" s="270"/>
      <c r="V98" s="101"/>
      <c r="W98" s="101"/>
      <c r="X98" s="212"/>
      <c r="Y98" s="212"/>
      <c r="Z98" s="212"/>
      <c r="AA98" s="287"/>
      <c r="AB98" s="213"/>
      <c r="AC98" s="213"/>
      <c r="AD98" s="213"/>
      <c r="AE98" s="213"/>
      <c r="AF98" s="213"/>
      <c r="AG98" s="282"/>
      <c r="AH98" s="282"/>
      <c r="AI98" s="282"/>
      <c r="AJ98" s="282"/>
      <c r="AK98" s="282"/>
      <c r="AL98" s="282"/>
      <c r="AM98" s="282"/>
      <c r="AN98" s="282"/>
      <c r="AO98" s="282"/>
      <c r="AP98" s="282"/>
      <c r="AQ98" s="282"/>
      <c r="AR98" s="282"/>
      <c r="AS98" s="282"/>
      <c r="AT98" s="282"/>
      <c r="AU98" s="282"/>
      <c r="AV98" s="282"/>
      <c r="AW98" s="282"/>
      <c r="AX98" s="282"/>
      <c r="AY98" s="282"/>
      <c r="AZ98" s="282"/>
    </row>
    <row r="99">
      <c r="A99" s="306"/>
      <c r="B99" s="247"/>
      <c r="C99" s="218"/>
      <c r="D99" s="218"/>
      <c r="E99" s="218"/>
      <c r="F99" s="218"/>
      <c r="G99" s="218"/>
      <c r="H99" s="218"/>
      <c r="I99" s="218"/>
      <c r="J99" s="213"/>
      <c r="K99" s="213"/>
      <c r="L99" s="214"/>
      <c r="M99" s="213"/>
      <c r="N99" s="214"/>
      <c r="O99" s="213"/>
      <c r="P99" s="213"/>
      <c r="Q99" s="214"/>
      <c r="R99" s="214"/>
      <c r="S99" s="270"/>
      <c r="T99" s="270"/>
      <c r="U99" s="270"/>
      <c r="V99" s="101"/>
      <c r="W99" s="101"/>
      <c r="X99" s="212"/>
      <c r="Y99" s="212"/>
      <c r="Z99" s="212"/>
      <c r="AA99" s="287"/>
      <c r="AB99" s="213"/>
      <c r="AC99" s="213"/>
      <c r="AD99" s="213"/>
      <c r="AE99" s="213"/>
      <c r="AF99" s="213"/>
      <c r="AG99" s="282"/>
      <c r="AH99" s="282"/>
      <c r="AI99" s="282"/>
      <c r="AJ99" s="282"/>
      <c r="AK99" s="282"/>
      <c r="AL99" s="282"/>
      <c r="AM99" s="282"/>
      <c r="AN99" s="282"/>
      <c r="AO99" s="282"/>
      <c r="AP99" s="282"/>
      <c r="AQ99" s="282"/>
      <c r="AR99" s="282"/>
      <c r="AS99" s="282"/>
      <c r="AT99" s="282"/>
      <c r="AU99" s="282"/>
      <c r="AV99" s="282"/>
      <c r="AW99" s="282"/>
      <c r="AX99" s="282"/>
      <c r="AY99" s="282"/>
      <c r="AZ99" s="282"/>
    </row>
    <row r="100">
      <c r="A100" s="306"/>
      <c r="B100" s="247"/>
      <c r="C100" s="218"/>
      <c r="D100" s="218"/>
      <c r="E100" s="218"/>
      <c r="F100" s="218"/>
      <c r="G100" s="218"/>
      <c r="H100" s="218"/>
      <c r="I100" s="218"/>
      <c r="J100" s="213"/>
      <c r="K100" s="213"/>
      <c r="L100" s="214"/>
      <c r="M100" s="213"/>
      <c r="N100" s="214"/>
      <c r="O100" s="213"/>
      <c r="P100" s="213"/>
      <c r="Q100" s="214"/>
      <c r="R100" s="214"/>
      <c r="S100" s="270"/>
      <c r="T100" s="270"/>
      <c r="U100" s="270"/>
      <c r="V100" s="101"/>
      <c r="W100" s="101"/>
      <c r="X100" s="212"/>
      <c r="Y100" s="212"/>
      <c r="Z100" s="212"/>
      <c r="AA100" s="287"/>
      <c r="AB100" s="213"/>
      <c r="AC100" s="213"/>
      <c r="AD100" s="213"/>
      <c r="AE100" s="213"/>
      <c r="AF100" s="213"/>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row>
    <row r="101">
      <c r="A101" s="306"/>
      <c r="B101" s="247"/>
      <c r="C101" s="218"/>
      <c r="D101" s="218"/>
      <c r="E101" s="218"/>
      <c r="F101" s="218"/>
      <c r="G101" s="218"/>
      <c r="H101" s="218"/>
      <c r="I101" s="218"/>
      <c r="J101" s="213"/>
      <c r="K101" s="213"/>
      <c r="L101" s="214"/>
      <c r="M101" s="213"/>
      <c r="N101" s="214"/>
      <c r="O101" s="213"/>
      <c r="P101" s="213"/>
      <c r="Q101" s="214"/>
      <c r="R101" s="214"/>
      <c r="S101" s="270"/>
      <c r="T101" s="270"/>
      <c r="U101" s="270"/>
      <c r="V101" s="101"/>
      <c r="W101" s="101"/>
      <c r="X101" s="212"/>
      <c r="Y101" s="212"/>
      <c r="Z101" s="212"/>
      <c r="AA101" s="287"/>
      <c r="AB101" s="213"/>
      <c r="AC101" s="213"/>
      <c r="AD101" s="213"/>
      <c r="AE101" s="213"/>
      <c r="AF101" s="213"/>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row>
    <row r="102">
      <c r="A102" s="306"/>
      <c r="B102" s="247"/>
      <c r="C102" s="218"/>
      <c r="D102" s="218"/>
      <c r="E102" s="218"/>
      <c r="F102" s="218"/>
      <c r="G102" s="218"/>
      <c r="H102" s="218"/>
      <c r="I102" s="218"/>
      <c r="J102" s="213"/>
      <c r="K102" s="213"/>
      <c r="L102" s="214"/>
      <c r="M102" s="213"/>
      <c r="N102" s="214"/>
      <c r="O102" s="213"/>
      <c r="P102" s="213"/>
      <c r="Q102" s="214"/>
      <c r="R102" s="214"/>
      <c r="S102" s="270"/>
      <c r="T102" s="270"/>
      <c r="U102" s="270"/>
      <c r="V102" s="101"/>
      <c r="W102" s="101"/>
      <c r="X102" s="212"/>
      <c r="Y102" s="212"/>
      <c r="Z102" s="212"/>
      <c r="AA102" s="287"/>
      <c r="AB102" s="213"/>
      <c r="AC102" s="213"/>
      <c r="AD102" s="213"/>
      <c r="AE102" s="213"/>
      <c r="AF102" s="213"/>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row>
    <row r="103">
      <c r="A103" s="306"/>
      <c r="B103" s="247"/>
      <c r="C103" s="218"/>
      <c r="D103" s="218"/>
      <c r="E103" s="218"/>
      <c r="F103" s="218"/>
      <c r="G103" s="218"/>
      <c r="H103" s="218"/>
      <c r="I103" s="218"/>
      <c r="J103" s="213"/>
      <c r="K103" s="213"/>
      <c r="L103" s="214"/>
      <c r="M103" s="213"/>
      <c r="N103" s="214"/>
      <c r="O103" s="213"/>
      <c r="P103" s="213"/>
      <c r="Q103" s="214"/>
      <c r="R103" s="214"/>
      <c r="S103" s="270"/>
      <c r="T103" s="270"/>
      <c r="U103" s="270"/>
      <c r="V103" s="101"/>
      <c r="W103" s="101"/>
      <c r="X103" s="212"/>
      <c r="Y103" s="212"/>
      <c r="Z103" s="212"/>
      <c r="AA103" s="287"/>
      <c r="AB103" s="213"/>
      <c r="AC103" s="213"/>
      <c r="AD103" s="213"/>
      <c r="AE103" s="213"/>
      <c r="AF103" s="213"/>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row>
    <row r="104">
      <c r="A104" s="306"/>
      <c r="B104" s="247"/>
      <c r="C104" s="218"/>
      <c r="D104" s="218"/>
      <c r="E104" s="218"/>
      <c r="F104" s="218"/>
      <c r="G104" s="218"/>
      <c r="H104" s="218"/>
      <c r="I104" s="218"/>
      <c r="J104" s="213"/>
      <c r="K104" s="213"/>
      <c r="L104" s="214"/>
      <c r="M104" s="213"/>
      <c r="N104" s="214"/>
      <c r="O104" s="213"/>
      <c r="P104" s="213"/>
      <c r="Q104" s="214"/>
      <c r="R104" s="214"/>
      <c r="S104" s="270"/>
      <c r="T104" s="270"/>
      <c r="U104" s="270"/>
      <c r="V104" s="101"/>
      <c r="W104" s="101"/>
      <c r="X104" s="212"/>
      <c r="Y104" s="212"/>
      <c r="Z104" s="212"/>
      <c r="AA104" s="287"/>
      <c r="AB104" s="213"/>
      <c r="AC104" s="213"/>
      <c r="AD104" s="213"/>
      <c r="AE104" s="213"/>
      <c r="AF104" s="213"/>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row>
    <row r="105">
      <c r="A105" s="306"/>
      <c r="B105" s="247"/>
      <c r="C105" s="218"/>
      <c r="D105" s="218"/>
      <c r="E105" s="218"/>
      <c r="F105" s="218"/>
      <c r="G105" s="218"/>
      <c r="H105" s="218"/>
      <c r="I105" s="218"/>
      <c r="J105" s="213"/>
      <c r="K105" s="213"/>
      <c r="L105" s="214"/>
      <c r="M105" s="213"/>
      <c r="N105" s="214"/>
      <c r="O105" s="213"/>
      <c r="P105" s="213"/>
      <c r="Q105" s="214"/>
      <c r="R105" s="214"/>
      <c r="S105" s="270"/>
      <c r="T105" s="270"/>
      <c r="U105" s="270"/>
      <c r="V105" s="101"/>
      <c r="W105" s="101"/>
      <c r="X105" s="212"/>
      <c r="Y105" s="212"/>
      <c r="Z105" s="212"/>
      <c r="AA105" s="287"/>
      <c r="AB105" s="213"/>
      <c r="AC105" s="213"/>
      <c r="AD105" s="213"/>
      <c r="AE105" s="213"/>
      <c r="AF105" s="213"/>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row>
    <row r="106">
      <c r="A106" s="306"/>
      <c r="B106" s="247"/>
      <c r="C106" s="218"/>
      <c r="D106" s="218"/>
      <c r="E106" s="218"/>
      <c r="F106" s="218"/>
      <c r="G106" s="218"/>
      <c r="H106" s="218"/>
      <c r="I106" s="218"/>
      <c r="J106" s="213"/>
      <c r="K106" s="213"/>
      <c r="L106" s="214"/>
      <c r="M106" s="213"/>
      <c r="N106" s="214"/>
      <c r="O106" s="213"/>
      <c r="P106" s="213"/>
      <c r="Q106" s="214"/>
      <c r="R106" s="214"/>
      <c r="S106" s="270"/>
      <c r="T106" s="270"/>
      <c r="U106" s="270"/>
      <c r="V106" s="101"/>
      <c r="W106" s="101"/>
      <c r="X106" s="212"/>
      <c r="Y106" s="212"/>
      <c r="Z106" s="212"/>
      <c r="AA106" s="287"/>
      <c r="AB106" s="213"/>
      <c r="AC106" s="213"/>
      <c r="AD106" s="213"/>
      <c r="AE106" s="213"/>
      <c r="AF106" s="213"/>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row>
    <row r="107">
      <c r="A107" s="306"/>
      <c r="B107" s="247"/>
      <c r="C107" s="218"/>
      <c r="D107" s="218"/>
      <c r="E107" s="218"/>
      <c r="F107" s="218"/>
      <c r="G107" s="218"/>
      <c r="H107" s="218"/>
      <c r="I107" s="218"/>
      <c r="J107" s="213"/>
      <c r="K107" s="213"/>
      <c r="L107" s="214"/>
      <c r="M107" s="213"/>
      <c r="N107" s="214"/>
      <c r="O107" s="213"/>
      <c r="P107" s="213"/>
      <c r="Q107" s="214"/>
      <c r="R107" s="214"/>
      <c r="S107" s="270"/>
      <c r="T107" s="270"/>
      <c r="U107" s="270"/>
      <c r="V107" s="101"/>
      <c r="W107" s="101"/>
      <c r="X107" s="212"/>
      <c r="Y107" s="212"/>
      <c r="Z107" s="212"/>
      <c r="AA107" s="287"/>
      <c r="AB107" s="213"/>
      <c r="AC107" s="213"/>
      <c r="AD107" s="213"/>
      <c r="AE107" s="213"/>
      <c r="AF107" s="213"/>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row>
    <row r="108">
      <c r="A108" s="306"/>
      <c r="B108" s="247"/>
      <c r="C108" s="218"/>
      <c r="D108" s="218"/>
      <c r="E108" s="218"/>
      <c r="F108" s="218"/>
      <c r="G108" s="218"/>
      <c r="H108" s="218"/>
      <c r="I108" s="218"/>
      <c r="J108" s="213"/>
      <c r="K108" s="213"/>
      <c r="L108" s="214"/>
      <c r="M108" s="213"/>
      <c r="N108" s="214"/>
      <c r="O108" s="213"/>
      <c r="P108" s="213"/>
      <c r="Q108" s="214"/>
      <c r="R108" s="214"/>
      <c r="S108" s="270"/>
      <c r="T108" s="270"/>
      <c r="U108" s="270"/>
      <c r="V108" s="101"/>
      <c r="W108" s="101"/>
      <c r="X108" s="212"/>
      <c r="Y108" s="212"/>
      <c r="Z108" s="212"/>
      <c r="AA108" s="287"/>
      <c r="AB108" s="213"/>
      <c r="AC108" s="213"/>
      <c r="AD108" s="213"/>
      <c r="AE108" s="213"/>
      <c r="AF108" s="213"/>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row>
    <row r="109">
      <c r="A109" s="306"/>
      <c r="B109" s="247"/>
      <c r="C109" s="218"/>
      <c r="D109" s="218"/>
      <c r="E109" s="218"/>
      <c r="F109" s="218"/>
      <c r="G109" s="218"/>
      <c r="H109" s="218"/>
      <c r="I109" s="218"/>
      <c r="J109" s="213"/>
      <c r="K109" s="213"/>
      <c r="L109" s="214"/>
      <c r="M109" s="213"/>
      <c r="N109" s="214"/>
      <c r="O109" s="213"/>
      <c r="P109" s="213"/>
      <c r="Q109" s="214"/>
      <c r="R109" s="214"/>
      <c r="S109" s="270"/>
      <c r="T109" s="270"/>
      <c r="U109" s="270"/>
      <c r="V109" s="101"/>
      <c r="W109" s="101"/>
      <c r="X109" s="212"/>
      <c r="Y109" s="212"/>
      <c r="Z109" s="212"/>
      <c r="AA109" s="287"/>
      <c r="AB109" s="213"/>
      <c r="AC109" s="213"/>
      <c r="AD109" s="213"/>
      <c r="AE109" s="213"/>
      <c r="AF109" s="213"/>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row>
    <row r="110">
      <c r="A110" s="306"/>
      <c r="B110" s="247"/>
      <c r="C110" s="218"/>
      <c r="D110" s="218"/>
      <c r="E110" s="218"/>
      <c r="F110" s="218"/>
      <c r="G110" s="218"/>
      <c r="H110" s="218"/>
      <c r="I110" s="218"/>
      <c r="J110" s="213"/>
      <c r="K110" s="213"/>
      <c r="L110" s="214"/>
      <c r="M110" s="213"/>
      <c r="N110" s="214"/>
      <c r="O110" s="213"/>
      <c r="P110" s="213"/>
      <c r="Q110" s="214"/>
      <c r="R110" s="214"/>
      <c r="S110" s="270"/>
      <c r="T110" s="270"/>
      <c r="U110" s="270"/>
      <c r="V110" s="101"/>
      <c r="W110" s="101"/>
      <c r="X110" s="212"/>
      <c r="Y110" s="56"/>
      <c r="Z110" s="56"/>
      <c r="AA110" s="287"/>
      <c r="AB110" s="213"/>
      <c r="AC110" s="213"/>
      <c r="AD110" s="213"/>
      <c r="AE110" s="213"/>
      <c r="AF110" s="213"/>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row>
    <row r="111">
      <c r="A111" s="306"/>
      <c r="B111" s="247"/>
      <c r="C111" s="218"/>
      <c r="D111" s="218"/>
      <c r="E111" s="218"/>
      <c r="F111" s="218"/>
      <c r="G111" s="218"/>
      <c r="H111" s="218"/>
      <c r="I111" s="218"/>
      <c r="J111" s="213"/>
      <c r="K111" s="213"/>
      <c r="L111" s="214"/>
      <c r="M111" s="213"/>
      <c r="N111" s="214"/>
      <c r="O111" s="213"/>
      <c r="P111" s="213"/>
      <c r="Q111" s="214"/>
      <c r="R111" s="214"/>
      <c r="S111" s="270"/>
      <c r="T111" s="270"/>
      <c r="U111" s="270"/>
      <c r="V111" s="101"/>
      <c r="W111" s="101"/>
      <c r="X111" s="212"/>
      <c r="Y111" s="56"/>
      <c r="Z111" s="56"/>
      <c r="AA111" s="287"/>
      <c r="AB111" s="213"/>
      <c r="AC111" s="213"/>
      <c r="AD111" s="213"/>
      <c r="AE111" s="213"/>
      <c r="AF111" s="213"/>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row>
    <row r="112">
      <c r="A112" s="306"/>
      <c r="B112" s="247"/>
      <c r="C112" s="218"/>
      <c r="D112" s="218"/>
      <c r="E112" s="218"/>
      <c r="F112" s="218"/>
      <c r="G112" s="218"/>
      <c r="H112" s="218"/>
      <c r="I112" s="218"/>
      <c r="J112" s="213"/>
      <c r="K112" s="213"/>
      <c r="L112" s="214"/>
      <c r="M112" s="213"/>
      <c r="N112" s="214"/>
      <c r="O112" s="213"/>
      <c r="P112" s="213"/>
      <c r="Q112" s="214"/>
      <c r="R112" s="214"/>
      <c r="S112" s="270"/>
      <c r="T112" s="270"/>
      <c r="U112" s="270"/>
      <c r="V112" s="101"/>
      <c r="W112" s="101"/>
      <c r="X112" s="212"/>
      <c r="Y112" s="56"/>
      <c r="Z112" s="56"/>
      <c r="AA112" s="287"/>
      <c r="AB112" s="213"/>
      <c r="AC112" s="213"/>
      <c r="AD112" s="213"/>
      <c r="AE112" s="213"/>
      <c r="AF112" s="213"/>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row>
    <row r="113">
      <c r="A113" s="306"/>
      <c r="B113" s="247"/>
      <c r="C113" s="218"/>
      <c r="D113" s="218"/>
      <c r="E113" s="218"/>
      <c r="F113" s="218"/>
      <c r="G113" s="218"/>
      <c r="H113" s="218"/>
      <c r="I113" s="218"/>
      <c r="J113" s="213"/>
      <c r="K113" s="213"/>
      <c r="L113" s="214"/>
      <c r="M113" s="213"/>
      <c r="N113" s="214"/>
      <c r="O113" s="213"/>
      <c r="P113" s="213"/>
      <c r="Q113" s="214"/>
      <c r="R113" s="214"/>
      <c r="S113" s="270"/>
      <c r="T113" s="270"/>
      <c r="U113" s="270"/>
      <c r="V113" s="101"/>
      <c r="W113" s="101"/>
      <c r="X113" s="212"/>
      <c r="Y113" s="56"/>
      <c r="Z113" s="56"/>
      <c r="AA113" s="287"/>
      <c r="AB113" s="213"/>
      <c r="AC113" s="213"/>
      <c r="AD113" s="213"/>
      <c r="AE113" s="213"/>
      <c r="AF113" s="213"/>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row>
    <row r="114">
      <c r="A114" s="306"/>
      <c r="B114" s="247"/>
      <c r="C114" s="218"/>
      <c r="D114" s="218"/>
      <c r="E114" s="218"/>
      <c r="F114" s="218"/>
      <c r="G114" s="218"/>
      <c r="H114" s="218"/>
      <c r="I114" s="218"/>
      <c r="J114" s="213"/>
      <c r="K114" s="213"/>
      <c r="L114" s="214"/>
      <c r="M114" s="213"/>
      <c r="N114" s="214"/>
      <c r="O114" s="213"/>
      <c r="P114" s="213"/>
      <c r="Q114" s="214"/>
      <c r="R114" s="214"/>
      <c r="S114" s="270"/>
      <c r="T114" s="270"/>
      <c r="U114" s="270"/>
      <c r="V114" s="101"/>
      <c r="W114" s="101"/>
      <c r="X114" s="212"/>
      <c r="Y114" s="56"/>
      <c r="Z114" s="56"/>
      <c r="AA114" s="287"/>
      <c r="AB114" s="213"/>
      <c r="AC114" s="213"/>
      <c r="AD114" s="213"/>
      <c r="AE114" s="213"/>
      <c r="AF114" s="213"/>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row>
    <row r="115">
      <c r="A115" s="306"/>
      <c r="B115" s="247"/>
      <c r="C115" s="218"/>
      <c r="D115" s="218"/>
      <c r="E115" s="218"/>
      <c r="F115" s="218"/>
      <c r="G115" s="218"/>
      <c r="H115" s="218"/>
      <c r="I115" s="218"/>
      <c r="J115" s="213"/>
      <c r="K115" s="213"/>
      <c r="L115" s="214"/>
      <c r="M115" s="213"/>
      <c r="N115" s="214"/>
      <c r="O115" s="213"/>
      <c r="P115" s="213"/>
      <c r="Q115" s="214"/>
      <c r="R115" s="214"/>
      <c r="S115" s="270"/>
      <c r="T115" s="270"/>
      <c r="U115" s="270"/>
      <c r="V115" s="101"/>
      <c r="W115" s="101"/>
      <c r="X115" s="212"/>
      <c r="Y115" s="56"/>
      <c r="Z115" s="56"/>
      <c r="AA115" s="287"/>
      <c r="AB115" s="213"/>
      <c r="AC115" s="213"/>
      <c r="AD115" s="213"/>
      <c r="AE115" s="213"/>
      <c r="AF115" s="213"/>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row>
    <row r="116">
      <c r="A116" s="306"/>
      <c r="B116" s="247"/>
      <c r="C116" s="218"/>
      <c r="D116" s="218"/>
      <c r="E116" s="218"/>
      <c r="F116" s="218"/>
      <c r="G116" s="218"/>
      <c r="H116" s="218"/>
      <c r="I116" s="218"/>
      <c r="J116" s="213"/>
      <c r="K116" s="213"/>
      <c r="L116" s="214"/>
      <c r="M116" s="213"/>
      <c r="N116" s="214"/>
      <c r="O116" s="213"/>
      <c r="P116" s="213"/>
      <c r="Q116" s="214"/>
      <c r="R116" s="214"/>
      <c r="S116" s="270"/>
      <c r="T116" s="270"/>
      <c r="U116" s="270"/>
      <c r="V116" s="101"/>
      <c r="W116" s="101"/>
      <c r="X116" s="212"/>
      <c r="Y116" s="56"/>
      <c r="Z116" s="56"/>
      <c r="AA116" s="287"/>
      <c r="AB116" s="213"/>
      <c r="AC116" s="213"/>
      <c r="AD116" s="213"/>
      <c r="AE116" s="213"/>
      <c r="AF116" s="213"/>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row>
    <row r="117">
      <c r="A117" s="306"/>
      <c r="B117" s="247"/>
      <c r="C117" s="218"/>
      <c r="D117" s="218"/>
      <c r="E117" s="218"/>
      <c r="F117" s="218"/>
      <c r="G117" s="218"/>
      <c r="H117" s="218"/>
      <c r="I117" s="218"/>
      <c r="J117" s="213"/>
      <c r="K117" s="213"/>
      <c r="L117" s="214"/>
      <c r="M117" s="213"/>
      <c r="N117" s="214"/>
      <c r="O117" s="213"/>
      <c r="P117" s="213"/>
      <c r="Q117" s="214"/>
      <c r="R117" s="214"/>
      <c r="S117" s="270"/>
      <c r="T117" s="270"/>
      <c r="U117" s="270"/>
      <c r="V117" s="101"/>
      <c r="W117" s="101"/>
      <c r="X117" s="212"/>
      <c r="Y117" s="56"/>
      <c r="Z117" s="56"/>
      <c r="AA117" s="287"/>
      <c r="AB117" s="213"/>
      <c r="AC117" s="213"/>
      <c r="AD117" s="213"/>
      <c r="AE117" s="213"/>
      <c r="AF117" s="213"/>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row>
    <row r="118">
      <c r="A118" s="306"/>
      <c r="B118" s="247"/>
      <c r="C118" s="218"/>
      <c r="D118" s="218"/>
      <c r="E118" s="218"/>
      <c r="F118" s="218"/>
      <c r="G118" s="218"/>
      <c r="H118" s="218"/>
      <c r="I118" s="218"/>
      <c r="J118" s="213"/>
      <c r="K118" s="213"/>
      <c r="L118" s="214"/>
      <c r="M118" s="213"/>
      <c r="N118" s="214"/>
      <c r="O118" s="213"/>
      <c r="P118" s="213"/>
      <c r="Q118" s="214"/>
      <c r="R118" s="214"/>
      <c r="S118" s="270"/>
      <c r="T118" s="270"/>
      <c r="U118" s="270"/>
      <c r="V118" s="101"/>
      <c r="W118" s="101"/>
      <c r="X118" s="212"/>
      <c r="Y118" s="56"/>
      <c r="Z118" s="56"/>
      <c r="AA118" s="287"/>
      <c r="AB118" s="213"/>
      <c r="AC118" s="213"/>
      <c r="AD118" s="213"/>
      <c r="AE118" s="213"/>
      <c r="AF118" s="213"/>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row>
    <row r="119">
      <c r="A119" s="306"/>
      <c r="B119" s="247"/>
      <c r="C119" s="218"/>
      <c r="D119" s="218"/>
      <c r="E119" s="218"/>
      <c r="F119" s="218"/>
      <c r="G119" s="218"/>
      <c r="H119" s="218"/>
      <c r="I119" s="218"/>
      <c r="J119" s="213"/>
      <c r="K119" s="213"/>
      <c r="L119" s="214"/>
      <c r="M119" s="213"/>
      <c r="N119" s="214"/>
      <c r="O119" s="213"/>
      <c r="P119" s="213"/>
      <c r="Q119" s="214"/>
      <c r="R119" s="214"/>
      <c r="S119" s="270"/>
      <c r="T119" s="270"/>
      <c r="U119" s="270"/>
      <c r="V119" s="101"/>
      <c r="W119" s="101"/>
      <c r="X119" s="212"/>
      <c r="Y119" s="56"/>
      <c r="Z119" s="56"/>
      <c r="AA119" s="287"/>
      <c r="AB119" s="213"/>
      <c r="AC119" s="213"/>
      <c r="AD119" s="213"/>
      <c r="AE119" s="213"/>
      <c r="AF119" s="213"/>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row>
    <row r="120">
      <c r="A120" s="306"/>
      <c r="B120" s="247"/>
      <c r="C120" s="218"/>
      <c r="D120" s="218"/>
      <c r="E120" s="218"/>
      <c r="F120" s="218"/>
      <c r="G120" s="218"/>
      <c r="H120" s="218"/>
      <c r="I120" s="218"/>
      <c r="J120" s="213"/>
      <c r="K120" s="213"/>
      <c r="L120" s="214"/>
      <c r="M120" s="213"/>
      <c r="N120" s="214"/>
      <c r="O120" s="213"/>
      <c r="P120" s="213"/>
      <c r="Q120" s="214"/>
      <c r="R120" s="214"/>
      <c r="S120" s="270"/>
      <c r="T120" s="270"/>
      <c r="U120" s="270"/>
      <c r="V120" s="101"/>
      <c r="W120" s="101"/>
      <c r="X120" s="212"/>
      <c r="Y120" s="56"/>
      <c r="Z120" s="56"/>
      <c r="AA120" s="287"/>
      <c r="AB120" s="213"/>
      <c r="AC120" s="213"/>
      <c r="AD120" s="213"/>
      <c r="AE120" s="213"/>
      <c r="AF120" s="213"/>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row>
    <row r="121">
      <c r="A121" s="306"/>
      <c r="B121" s="247"/>
      <c r="C121" s="218"/>
      <c r="D121" s="218"/>
      <c r="E121" s="218"/>
      <c r="F121" s="218"/>
      <c r="G121" s="218"/>
      <c r="H121" s="218"/>
      <c r="I121" s="218"/>
      <c r="J121" s="213"/>
      <c r="K121" s="213"/>
      <c r="L121" s="214"/>
      <c r="M121" s="213"/>
      <c r="N121" s="214"/>
      <c r="O121" s="213"/>
      <c r="P121" s="213"/>
      <c r="Q121" s="214"/>
      <c r="R121" s="214"/>
      <c r="S121" s="270"/>
      <c r="T121" s="270"/>
      <c r="U121" s="270"/>
      <c r="V121" s="101"/>
      <c r="W121" s="101"/>
      <c r="X121" s="212"/>
      <c r="Y121" s="56"/>
      <c r="Z121" s="56"/>
      <c r="AA121" s="287"/>
      <c r="AB121" s="213"/>
      <c r="AC121" s="213"/>
      <c r="AD121" s="213"/>
      <c r="AE121" s="213"/>
      <c r="AF121" s="213"/>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row>
    <row r="122">
      <c r="A122" s="306"/>
      <c r="B122" s="247"/>
      <c r="C122" s="218"/>
      <c r="D122" s="218"/>
      <c r="E122" s="218"/>
      <c r="F122" s="218"/>
      <c r="G122" s="218"/>
      <c r="H122" s="218"/>
      <c r="I122" s="218"/>
      <c r="J122" s="213"/>
      <c r="K122" s="213"/>
      <c r="L122" s="214"/>
      <c r="M122" s="213"/>
      <c r="N122" s="214"/>
      <c r="O122" s="213"/>
      <c r="P122" s="213"/>
      <c r="Q122" s="214"/>
      <c r="R122" s="214"/>
      <c r="S122" s="270"/>
      <c r="T122" s="270"/>
      <c r="U122" s="270"/>
      <c r="V122" s="101"/>
      <c r="W122" s="101"/>
      <c r="X122" s="212"/>
      <c r="Y122" s="56"/>
      <c r="Z122" s="56"/>
      <c r="AA122" s="287"/>
      <c r="AB122" s="213"/>
      <c r="AC122" s="213"/>
      <c r="AD122" s="213"/>
      <c r="AE122" s="213"/>
      <c r="AF122" s="213"/>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row>
    <row r="123">
      <c r="A123" s="306"/>
      <c r="B123" s="247"/>
      <c r="C123" s="218"/>
      <c r="D123" s="218"/>
      <c r="E123" s="218"/>
      <c r="F123" s="218"/>
      <c r="G123" s="218"/>
      <c r="H123" s="218"/>
      <c r="I123" s="218"/>
      <c r="J123" s="213"/>
      <c r="K123" s="213"/>
      <c r="L123" s="214"/>
      <c r="M123" s="213"/>
      <c r="N123" s="214"/>
      <c r="O123" s="213"/>
      <c r="P123" s="213"/>
      <c r="Q123" s="214"/>
      <c r="R123" s="214"/>
      <c r="S123" s="270"/>
      <c r="T123" s="270"/>
      <c r="U123" s="270"/>
      <c r="V123" s="101"/>
      <c r="W123" s="101"/>
      <c r="X123" s="212"/>
      <c r="Y123" s="56"/>
      <c r="Z123" s="56"/>
      <c r="AA123" s="287"/>
      <c r="AB123" s="213"/>
      <c r="AC123" s="213"/>
      <c r="AD123" s="213"/>
      <c r="AE123" s="213"/>
      <c r="AF123" s="213"/>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row>
    <row r="124">
      <c r="A124" s="306"/>
      <c r="B124" s="247"/>
      <c r="C124" s="218"/>
      <c r="D124" s="218"/>
      <c r="E124" s="218"/>
      <c r="F124" s="218"/>
      <c r="G124" s="218"/>
      <c r="H124" s="218"/>
      <c r="I124" s="218"/>
      <c r="J124" s="213"/>
      <c r="K124" s="213"/>
      <c r="L124" s="214"/>
      <c r="M124" s="213"/>
      <c r="N124" s="214"/>
      <c r="O124" s="213"/>
      <c r="P124" s="213"/>
      <c r="Q124" s="214"/>
      <c r="R124" s="214"/>
      <c r="S124" s="270"/>
      <c r="T124" s="270"/>
      <c r="U124" s="270"/>
      <c r="V124" s="101"/>
      <c r="W124" s="101"/>
      <c r="X124" s="212"/>
      <c r="Y124" s="56"/>
      <c r="Z124" s="56"/>
      <c r="AA124" s="287"/>
      <c r="AB124" s="213"/>
      <c r="AC124" s="213"/>
      <c r="AD124" s="213"/>
      <c r="AE124" s="213"/>
      <c r="AF124" s="213"/>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row>
    <row r="125">
      <c r="A125" s="306"/>
      <c r="B125" s="247"/>
      <c r="C125" s="218"/>
      <c r="D125" s="218"/>
      <c r="E125" s="218"/>
      <c r="F125" s="218"/>
      <c r="G125" s="218"/>
      <c r="H125" s="218"/>
      <c r="I125" s="218"/>
      <c r="J125" s="213"/>
      <c r="K125" s="213"/>
      <c r="L125" s="214"/>
      <c r="M125" s="213"/>
      <c r="N125" s="214"/>
      <c r="O125" s="213"/>
      <c r="P125" s="213"/>
      <c r="Q125" s="214"/>
      <c r="R125" s="214"/>
      <c r="S125" s="270"/>
      <c r="T125" s="270"/>
      <c r="U125" s="270"/>
      <c r="V125" s="101"/>
      <c r="W125" s="101"/>
      <c r="X125" s="212"/>
      <c r="Y125" s="56"/>
      <c r="Z125" s="56"/>
      <c r="AA125" s="287"/>
      <c r="AB125" s="213"/>
      <c r="AC125" s="213"/>
      <c r="AD125" s="213"/>
      <c r="AE125" s="213"/>
      <c r="AF125" s="213"/>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row>
    <row r="126">
      <c r="A126" s="306"/>
      <c r="B126" s="247"/>
      <c r="C126" s="218"/>
      <c r="D126" s="218"/>
      <c r="E126" s="218"/>
      <c r="F126" s="218"/>
      <c r="G126" s="218"/>
      <c r="H126" s="218"/>
      <c r="I126" s="218"/>
      <c r="J126" s="213"/>
      <c r="K126" s="213"/>
      <c r="L126" s="214"/>
      <c r="M126" s="213"/>
      <c r="N126" s="214"/>
      <c r="O126" s="213"/>
      <c r="P126" s="213"/>
      <c r="Q126" s="214"/>
      <c r="R126" s="214"/>
      <c r="S126" s="270"/>
      <c r="T126" s="270"/>
      <c r="U126" s="270"/>
      <c r="V126" s="101"/>
      <c r="W126" s="101"/>
      <c r="X126" s="212"/>
      <c r="Y126" s="56"/>
      <c r="Z126" s="56"/>
      <c r="AA126" s="287"/>
      <c r="AB126" s="213"/>
      <c r="AC126" s="213"/>
      <c r="AD126" s="213"/>
      <c r="AE126" s="213"/>
      <c r="AF126" s="213"/>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row>
    <row r="127">
      <c r="A127" s="306"/>
      <c r="B127" s="247"/>
      <c r="C127" s="218"/>
      <c r="D127" s="218"/>
      <c r="E127" s="218"/>
      <c r="F127" s="218"/>
      <c r="G127" s="218"/>
      <c r="H127" s="218"/>
      <c r="I127" s="218"/>
      <c r="J127" s="213"/>
      <c r="K127" s="213"/>
      <c r="L127" s="214"/>
      <c r="M127" s="213"/>
      <c r="N127" s="214"/>
      <c r="O127" s="213"/>
      <c r="P127" s="213"/>
      <c r="Q127" s="214"/>
      <c r="R127" s="214"/>
      <c r="S127" s="270"/>
      <c r="T127" s="270"/>
      <c r="U127" s="270"/>
      <c r="V127" s="101"/>
      <c r="W127" s="101"/>
      <c r="X127" s="212"/>
      <c r="Y127" s="56"/>
      <c r="Z127" s="56"/>
      <c r="AA127" s="287"/>
      <c r="AB127" s="213"/>
      <c r="AC127" s="213"/>
      <c r="AD127" s="213"/>
      <c r="AE127" s="213"/>
      <c r="AF127" s="213"/>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row>
    <row r="128">
      <c r="A128" s="306"/>
      <c r="B128" s="247"/>
      <c r="C128" s="218"/>
      <c r="D128" s="218"/>
      <c r="E128" s="218"/>
      <c r="F128" s="218"/>
      <c r="G128" s="218"/>
      <c r="H128" s="218"/>
      <c r="I128" s="218"/>
      <c r="J128" s="213"/>
      <c r="K128" s="213"/>
      <c r="L128" s="214"/>
      <c r="M128" s="213"/>
      <c r="N128" s="214"/>
      <c r="O128" s="213"/>
      <c r="P128" s="213"/>
      <c r="Q128" s="214"/>
      <c r="R128" s="214"/>
      <c r="S128" s="270"/>
      <c r="T128" s="270"/>
      <c r="U128" s="270"/>
      <c r="V128" s="101"/>
      <c r="W128" s="101"/>
      <c r="X128" s="212"/>
      <c r="Y128" s="56"/>
      <c r="Z128" s="56"/>
      <c r="AA128" s="287"/>
      <c r="AB128" s="213"/>
      <c r="AC128" s="213"/>
      <c r="AD128" s="213"/>
      <c r="AE128" s="213"/>
      <c r="AF128" s="213"/>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row>
    <row r="129">
      <c r="A129" s="306"/>
      <c r="B129" s="247"/>
      <c r="C129" s="218"/>
      <c r="D129" s="218"/>
      <c r="E129" s="218"/>
      <c r="F129" s="218"/>
      <c r="G129" s="218"/>
      <c r="H129" s="218"/>
      <c r="I129" s="218"/>
      <c r="J129" s="213"/>
      <c r="K129" s="213"/>
      <c r="L129" s="214"/>
      <c r="M129" s="213"/>
      <c r="N129" s="214"/>
      <c r="O129" s="213"/>
      <c r="P129" s="213"/>
      <c r="Q129" s="214"/>
      <c r="R129" s="214"/>
      <c r="S129" s="270"/>
      <c r="T129" s="270"/>
      <c r="U129" s="270"/>
      <c r="V129" s="101"/>
      <c r="W129" s="101"/>
      <c r="X129" s="212"/>
      <c r="Y129" s="56"/>
      <c r="Z129" s="56"/>
      <c r="AA129" s="287"/>
      <c r="AB129" s="213"/>
      <c r="AC129" s="213"/>
      <c r="AD129" s="213"/>
      <c r="AE129" s="213"/>
      <c r="AF129" s="213"/>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row>
    <row r="130">
      <c r="A130" s="306"/>
      <c r="B130" s="247"/>
      <c r="C130" s="218"/>
      <c r="D130" s="218"/>
      <c r="E130" s="218"/>
      <c r="F130" s="218"/>
      <c r="G130" s="218"/>
      <c r="H130" s="218"/>
      <c r="I130" s="218"/>
      <c r="J130" s="213"/>
      <c r="K130" s="213"/>
      <c r="L130" s="214"/>
      <c r="M130" s="213"/>
      <c r="N130" s="214"/>
      <c r="O130" s="213"/>
      <c r="P130" s="213"/>
      <c r="Q130" s="214"/>
      <c r="R130" s="214"/>
      <c r="S130" s="270"/>
      <c r="T130" s="270"/>
      <c r="U130" s="270"/>
      <c r="V130" s="101"/>
      <c r="W130" s="101"/>
      <c r="X130" s="212"/>
      <c r="Y130" s="56"/>
      <c r="Z130" s="56"/>
      <c r="AA130" s="287"/>
      <c r="AB130" s="213"/>
      <c r="AC130" s="213"/>
      <c r="AD130" s="213"/>
      <c r="AE130" s="213"/>
      <c r="AF130" s="213"/>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row>
    <row r="131">
      <c r="A131" s="306"/>
      <c r="B131" s="247"/>
      <c r="C131" s="218"/>
      <c r="D131" s="218"/>
      <c r="E131" s="218"/>
      <c r="F131" s="218"/>
      <c r="G131" s="218"/>
      <c r="H131" s="218"/>
      <c r="I131" s="218"/>
      <c r="J131" s="213"/>
      <c r="K131" s="213"/>
      <c r="L131" s="214"/>
      <c r="M131" s="213"/>
      <c r="N131" s="214"/>
      <c r="O131" s="213"/>
      <c r="P131" s="213"/>
      <c r="Q131" s="214"/>
      <c r="R131" s="214"/>
      <c r="S131" s="270"/>
      <c r="T131" s="270"/>
      <c r="U131" s="270"/>
      <c r="V131" s="101"/>
      <c r="W131" s="101"/>
      <c r="X131" s="212"/>
      <c r="Y131" s="56"/>
      <c r="Z131" s="56"/>
      <c r="AA131" s="287"/>
      <c r="AB131" s="213"/>
      <c r="AC131" s="213"/>
      <c r="AD131" s="213"/>
      <c r="AE131" s="213"/>
      <c r="AF131" s="213"/>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row>
    <row r="132">
      <c r="A132" s="306"/>
      <c r="B132" s="247"/>
      <c r="C132" s="218"/>
      <c r="D132" s="218"/>
      <c r="E132" s="218"/>
      <c r="F132" s="218"/>
      <c r="G132" s="218"/>
      <c r="H132" s="218"/>
      <c r="I132" s="218"/>
      <c r="J132" s="213"/>
      <c r="K132" s="213"/>
      <c r="L132" s="214"/>
      <c r="M132" s="213"/>
      <c r="N132" s="214"/>
      <c r="O132" s="213"/>
      <c r="P132" s="213"/>
      <c r="Q132" s="214"/>
      <c r="R132" s="214"/>
      <c r="S132" s="270"/>
      <c r="T132" s="270"/>
      <c r="U132" s="270"/>
      <c r="V132" s="101"/>
      <c r="W132" s="101"/>
      <c r="X132" s="212"/>
      <c r="Y132" s="56"/>
      <c r="Z132" s="56"/>
      <c r="AA132" s="287"/>
      <c r="AB132" s="213"/>
      <c r="AC132" s="213"/>
      <c r="AD132" s="213"/>
      <c r="AE132" s="213"/>
      <c r="AF132" s="213"/>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row>
    <row r="133">
      <c r="A133" s="306"/>
      <c r="B133" s="247"/>
      <c r="C133" s="218"/>
      <c r="D133" s="218"/>
      <c r="E133" s="218"/>
      <c r="F133" s="218"/>
      <c r="G133" s="218"/>
      <c r="H133" s="218"/>
      <c r="I133" s="218"/>
      <c r="J133" s="213"/>
      <c r="K133" s="213"/>
      <c r="L133" s="214"/>
      <c r="M133" s="213"/>
      <c r="N133" s="214"/>
      <c r="O133" s="213"/>
      <c r="P133" s="213"/>
      <c r="Q133" s="214"/>
      <c r="R133" s="214"/>
      <c r="S133" s="270"/>
      <c r="T133" s="270"/>
      <c r="U133" s="270"/>
      <c r="V133" s="101"/>
      <c r="W133" s="101"/>
      <c r="X133" s="212"/>
      <c r="Y133" s="56"/>
      <c r="Z133" s="56"/>
      <c r="AA133" s="287"/>
      <c r="AB133" s="213"/>
      <c r="AC133" s="213"/>
      <c r="AD133" s="213"/>
      <c r="AE133" s="213"/>
      <c r="AF133" s="213"/>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row>
    <row r="134">
      <c r="A134" s="306"/>
      <c r="B134" s="247"/>
      <c r="C134" s="218"/>
      <c r="D134" s="218"/>
      <c r="E134" s="218"/>
      <c r="F134" s="218"/>
      <c r="G134" s="218"/>
      <c r="H134" s="218"/>
      <c r="I134" s="218"/>
      <c r="J134" s="213"/>
      <c r="K134" s="213"/>
      <c r="L134" s="214"/>
      <c r="M134" s="213"/>
      <c r="N134" s="214"/>
      <c r="O134" s="213"/>
      <c r="P134" s="213"/>
      <c r="Q134" s="214"/>
      <c r="R134" s="214"/>
      <c r="S134" s="270"/>
      <c r="T134" s="270"/>
      <c r="U134" s="270"/>
      <c r="V134" s="101"/>
      <c r="W134" s="101"/>
      <c r="X134" s="212"/>
      <c r="Y134" s="56"/>
      <c r="Z134" s="56"/>
      <c r="AA134" s="287"/>
      <c r="AB134" s="213"/>
      <c r="AC134" s="213"/>
      <c r="AD134" s="213"/>
      <c r="AE134" s="213"/>
      <c r="AF134" s="213"/>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row>
    <row r="135">
      <c r="A135" s="306"/>
      <c r="B135" s="247"/>
      <c r="C135" s="218"/>
      <c r="D135" s="218"/>
      <c r="E135" s="218"/>
      <c r="F135" s="218"/>
      <c r="G135" s="218"/>
      <c r="H135" s="218"/>
      <c r="I135" s="218"/>
      <c r="J135" s="213"/>
      <c r="K135" s="213"/>
      <c r="L135" s="214"/>
      <c r="M135" s="213"/>
      <c r="N135" s="214"/>
      <c r="O135" s="213"/>
      <c r="P135" s="213"/>
      <c r="Q135" s="214"/>
      <c r="R135" s="214"/>
      <c r="S135" s="270"/>
      <c r="T135" s="270"/>
      <c r="U135" s="270"/>
      <c r="V135" s="101"/>
      <c r="W135" s="101"/>
      <c r="X135" s="212"/>
      <c r="Y135" s="56"/>
      <c r="Z135" s="56"/>
      <c r="AA135" s="287"/>
      <c r="AB135" s="213"/>
      <c r="AC135" s="213"/>
      <c r="AD135" s="213"/>
      <c r="AE135" s="213"/>
      <c r="AF135" s="213"/>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row>
    <row r="136">
      <c r="A136" s="306"/>
      <c r="B136" s="247"/>
      <c r="C136" s="218"/>
      <c r="D136" s="218"/>
      <c r="E136" s="218"/>
      <c r="F136" s="218"/>
      <c r="G136" s="218"/>
      <c r="H136" s="218"/>
      <c r="I136" s="218"/>
      <c r="J136" s="213"/>
      <c r="K136" s="213"/>
      <c r="L136" s="214"/>
      <c r="M136" s="213"/>
      <c r="N136" s="214"/>
      <c r="O136" s="213"/>
      <c r="P136" s="213"/>
      <c r="Q136" s="214"/>
      <c r="R136" s="214"/>
      <c r="S136" s="270"/>
      <c r="T136" s="270"/>
      <c r="U136" s="270"/>
      <c r="V136" s="101"/>
      <c r="W136" s="101"/>
      <c r="X136" s="212"/>
      <c r="Y136" s="56"/>
      <c r="Z136" s="56"/>
      <c r="AA136" s="287"/>
      <c r="AB136" s="213"/>
      <c r="AC136" s="213"/>
      <c r="AD136" s="213"/>
      <c r="AE136" s="213"/>
      <c r="AF136" s="213"/>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row>
    <row r="137">
      <c r="A137" s="306"/>
      <c r="B137" s="247"/>
      <c r="C137" s="218"/>
      <c r="D137" s="218"/>
      <c r="E137" s="218"/>
      <c r="F137" s="218"/>
      <c r="G137" s="218"/>
      <c r="H137" s="218"/>
      <c r="I137" s="218"/>
      <c r="J137" s="213"/>
      <c r="K137" s="213"/>
      <c r="L137" s="214"/>
      <c r="M137" s="213"/>
      <c r="N137" s="214"/>
      <c r="O137" s="213"/>
      <c r="P137" s="213"/>
      <c r="Q137" s="214"/>
      <c r="R137" s="214"/>
      <c r="S137" s="270"/>
      <c r="T137" s="270"/>
      <c r="U137" s="270"/>
      <c r="V137" s="101"/>
      <c r="W137" s="101"/>
      <c r="X137" s="212"/>
      <c r="Y137" s="56"/>
      <c r="Z137" s="56"/>
      <c r="AA137" s="287"/>
      <c r="AB137" s="213"/>
      <c r="AC137" s="213"/>
      <c r="AD137" s="213"/>
      <c r="AE137" s="213"/>
      <c r="AF137" s="213"/>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row>
    <row r="138">
      <c r="A138" s="306"/>
      <c r="B138" s="247"/>
      <c r="C138" s="218"/>
      <c r="D138" s="218"/>
      <c r="E138" s="218"/>
      <c r="F138" s="218"/>
      <c r="G138" s="218"/>
      <c r="H138" s="218"/>
      <c r="I138" s="218"/>
      <c r="J138" s="213"/>
      <c r="K138" s="213"/>
      <c r="L138" s="214"/>
      <c r="M138" s="213"/>
      <c r="N138" s="214"/>
      <c r="O138" s="213"/>
      <c r="P138" s="213"/>
      <c r="Q138" s="214"/>
      <c r="R138" s="214"/>
      <c r="S138" s="270"/>
      <c r="T138" s="270"/>
      <c r="U138" s="270"/>
      <c r="V138" s="101"/>
      <c r="W138" s="101"/>
      <c r="X138" s="212"/>
      <c r="Y138" s="56"/>
      <c r="Z138" s="56"/>
      <c r="AA138" s="287"/>
      <c r="AB138" s="213"/>
      <c r="AC138" s="213"/>
      <c r="AD138" s="213"/>
      <c r="AE138" s="213"/>
      <c r="AF138" s="213"/>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row>
    <row r="139">
      <c r="A139" s="306"/>
      <c r="B139" s="247"/>
      <c r="C139" s="218"/>
      <c r="D139" s="218"/>
      <c r="E139" s="218"/>
      <c r="F139" s="218"/>
      <c r="G139" s="218"/>
      <c r="H139" s="218"/>
      <c r="I139" s="218"/>
      <c r="J139" s="213"/>
      <c r="K139" s="213"/>
      <c r="L139" s="214"/>
      <c r="M139" s="213"/>
      <c r="N139" s="214"/>
      <c r="O139" s="213"/>
      <c r="P139" s="213"/>
      <c r="Q139" s="214"/>
      <c r="R139" s="214"/>
      <c r="S139" s="270"/>
      <c r="T139" s="270"/>
      <c r="U139" s="270"/>
      <c r="V139" s="101"/>
      <c r="W139" s="101"/>
      <c r="X139" s="212"/>
      <c r="Y139" s="56"/>
      <c r="Z139" s="56"/>
      <c r="AA139" s="287"/>
      <c r="AB139" s="213"/>
      <c r="AC139" s="213"/>
      <c r="AD139" s="213"/>
      <c r="AE139" s="213"/>
      <c r="AF139" s="213"/>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row>
    <row r="140">
      <c r="A140" s="306"/>
      <c r="B140" s="247"/>
      <c r="C140" s="218"/>
      <c r="D140" s="218"/>
      <c r="E140" s="218"/>
      <c r="F140" s="218"/>
      <c r="G140" s="218"/>
      <c r="H140" s="218"/>
      <c r="I140" s="218"/>
      <c r="J140" s="213"/>
      <c r="K140" s="213"/>
      <c r="L140" s="214"/>
      <c r="M140" s="213"/>
      <c r="N140" s="214"/>
      <c r="O140" s="213"/>
      <c r="P140" s="213"/>
      <c r="Q140" s="214"/>
      <c r="R140" s="214"/>
      <c r="S140" s="270"/>
      <c r="T140" s="270"/>
      <c r="U140" s="270"/>
      <c r="V140" s="101"/>
      <c r="W140" s="101"/>
      <c r="X140" s="212"/>
      <c r="Y140" s="56"/>
      <c r="Z140" s="56"/>
      <c r="AA140" s="287"/>
      <c r="AB140" s="213"/>
      <c r="AC140" s="213"/>
      <c r="AD140" s="213"/>
      <c r="AE140" s="213"/>
      <c r="AF140" s="213"/>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row>
    <row r="141">
      <c r="A141" s="306"/>
      <c r="B141" s="247"/>
      <c r="C141" s="218"/>
      <c r="D141" s="218"/>
      <c r="E141" s="218"/>
      <c r="F141" s="218"/>
      <c r="G141" s="218"/>
      <c r="H141" s="218"/>
      <c r="I141" s="218"/>
      <c r="J141" s="213"/>
      <c r="K141" s="213"/>
      <c r="L141" s="214"/>
      <c r="M141" s="213"/>
      <c r="N141" s="214"/>
      <c r="O141" s="213"/>
      <c r="P141" s="213"/>
      <c r="Q141" s="214"/>
      <c r="R141" s="214"/>
      <c r="S141" s="270"/>
      <c r="T141" s="270"/>
      <c r="U141" s="270"/>
      <c r="V141" s="101"/>
      <c r="W141" s="101"/>
      <c r="X141" s="212"/>
      <c r="Y141" s="56"/>
      <c r="Z141" s="56"/>
      <c r="AA141" s="287"/>
      <c r="AB141" s="213"/>
      <c r="AC141" s="213"/>
      <c r="AD141" s="213"/>
      <c r="AE141" s="213"/>
      <c r="AF141" s="213"/>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row>
    <row r="142">
      <c r="A142" s="306"/>
      <c r="B142" s="247"/>
      <c r="C142" s="218"/>
      <c r="D142" s="218"/>
      <c r="E142" s="218"/>
      <c r="F142" s="218"/>
      <c r="G142" s="218"/>
      <c r="H142" s="218"/>
      <c r="I142" s="218"/>
      <c r="J142" s="213"/>
      <c r="K142" s="213"/>
      <c r="L142" s="214"/>
      <c r="M142" s="213"/>
      <c r="N142" s="214"/>
      <c r="O142" s="213"/>
      <c r="P142" s="213"/>
      <c r="Q142" s="214"/>
      <c r="R142" s="214"/>
      <c r="S142" s="270"/>
      <c r="T142" s="270"/>
      <c r="U142" s="270"/>
      <c r="V142" s="101"/>
      <c r="W142" s="101"/>
      <c r="X142" s="212"/>
      <c r="Y142" s="56"/>
      <c r="Z142" s="56"/>
      <c r="AA142" s="287"/>
      <c r="AB142" s="213"/>
      <c r="AC142" s="213"/>
      <c r="AD142" s="213"/>
      <c r="AE142" s="213"/>
      <c r="AF142" s="213"/>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row>
    <row r="143">
      <c r="A143" s="306"/>
      <c r="B143" s="247"/>
      <c r="C143" s="218"/>
      <c r="D143" s="218"/>
      <c r="E143" s="218"/>
      <c r="F143" s="218"/>
      <c r="G143" s="218"/>
      <c r="H143" s="218"/>
      <c r="I143" s="218"/>
      <c r="J143" s="213"/>
      <c r="K143" s="213"/>
      <c r="L143" s="214"/>
      <c r="M143" s="213"/>
      <c r="N143" s="214"/>
      <c r="O143" s="213"/>
      <c r="P143" s="213"/>
      <c r="Q143" s="214"/>
      <c r="R143" s="214"/>
      <c r="S143" s="270"/>
      <c r="T143" s="270"/>
      <c r="U143" s="270"/>
      <c r="V143" s="101"/>
      <c r="W143" s="101"/>
      <c r="X143" s="212"/>
      <c r="Y143" s="56"/>
      <c r="Z143" s="56"/>
      <c r="AA143" s="287"/>
      <c r="AB143" s="213"/>
      <c r="AC143" s="213"/>
      <c r="AD143" s="213"/>
      <c r="AE143" s="213"/>
      <c r="AF143" s="213"/>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row>
    <row r="144">
      <c r="A144" s="306"/>
      <c r="B144" s="247"/>
      <c r="C144" s="218"/>
      <c r="D144" s="218"/>
      <c r="E144" s="218"/>
      <c r="F144" s="218"/>
      <c r="G144" s="218"/>
      <c r="H144" s="218"/>
      <c r="I144" s="218"/>
      <c r="J144" s="213"/>
      <c r="K144" s="213"/>
      <c r="L144" s="214"/>
      <c r="M144" s="213"/>
      <c r="N144" s="214"/>
      <c r="O144" s="213"/>
      <c r="P144" s="213"/>
      <c r="Q144" s="214"/>
      <c r="R144" s="214"/>
      <c r="S144" s="270"/>
      <c r="T144" s="270"/>
      <c r="U144" s="270"/>
      <c r="V144" s="101"/>
      <c r="W144" s="101"/>
      <c r="X144" s="212"/>
      <c r="Y144" s="56"/>
      <c r="Z144" s="56"/>
      <c r="AA144" s="287"/>
      <c r="AB144" s="213"/>
      <c r="AC144" s="213"/>
      <c r="AD144" s="213"/>
      <c r="AE144" s="213"/>
      <c r="AF144" s="213"/>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row>
    <row r="145">
      <c r="A145" s="306"/>
      <c r="B145" s="247"/>
      <c r="C145" s="218"/>
      <c r="D145" s="218"/>
      <c r="E145" s="218"/>
      <c r="F145" s="218"/>
      <c r="G145" s="218"/>
      <c r="H145" s="218"/>
      <c r="I145" s="218"/>
      <c r="J145" s="213"/>
      <c r="K145" s="213"/>
      <c r="L145" s="214"/>
      <c r="M145" s="213"/>
      <c r="N145" s="214"/>
      <c r="O145" s="213"/>
      <c r="P145" s="213"/>
      <c r="Q145" s="214"/>
      <c r="R145" s="214"/>
      <c r="S145" s="270"/>
      <c r="T145" s="270"/>
      <c r="U145" s="270"/>
      <c r="V145" s="101"/>
      <c r="W145" s="101"/>
      <c r="X145" s="212"/>
      <c r="Y145" s="56"/>
      <c r="Z145" s="56"/>
      <c r="AA145" s="287"/>
      <c r="AB145" s="213"/>
      <c r="AC145" s="213"/>
      <c r="AD145" s="213"/>
      <c r="AE145" s="213"/>
      <c r="AF145" s="213"/>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row>
    <row r="146">
      <c r="A146" s="306"/>
      <c r="B146" s="247"/>
      <c r="C146" s="218"/>
      <c r="D146" s="218"/>
      <c r="E146" s="218"/>
      <c r="F146" s="218"/>
      <c r="G146" s="218"/>
      <c r="H146" s="218"/>
      <c r="I146" s="218"/>
      <c r="J146" s="213"/>
      <c r="K146" s="213"/>
      <c r="L146" s="214"/>
      <c r="M146" s="213"/>
      <c r="N146" s="214"/>
      <c r="O146" s="213"/>
      <c r="P146" s="213"/>
      <c r="Q146" s="214"/>
      <c r="R146" s="214"/>
      <c r="S146" s="270"/>
      <c r="T146" s="270"/>
      <c r="U146" s="270"/>
      <c r="V146" s="101"/>
      <c r="W146" s="101"/>
      <c r="X146" s="212"/>
      <c r="Y146" s="56"/>
      <c r="Z146" s="56"/>
      <c r="AA146" s="287"/>
      <c r="AB146" s="213"/>
      <c r="AC146" s="213"/>
      <c r="AD146" s="213"/>
      <c r="AE146" s="213"/>
      <c r="AF146" s="213"/>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row>
    <row r="147">
      <c r="A147" s="306"/>
      <c r="B147" s="247"/>
      <c r="C147" s="218"/>
      <c r="D147" s="218"/>
      <c r="E147" s="218"/>
      <c r="F147" s="218"/>
      <c r="G147" s="218"/>
      <c r="H147" s="218"/>
      <c r="I147" s="218"/>
      <c r="J147" s="213"/>
      <c r="K147" s="213"/>
      <c r="L147" s="214"/>
      <c r="M147" s="213"/>
      <c r="N147" s="214"/>
      <c r="O147" s="213"/>
      <c r="P147" s="213"/>
      <c r="Q147" s="214"/>
      <c r="R147" s="214"/>
      <c r="S147" s="270"/>
      <c r="T147" s="270"/>
      <c r="U147" s="270"/>
      <c r="V147" s="101"/>
      <c r="W147" s="101"/>
      <c r="X147" s="212"/>
      <c r="Y147" s="56"/>
      <c r="Z147" s="56"/>
      <c r="AA147" s="287"/>
      <c r="AB147" s="213"/>
      <c r="AC147" s="213"/>
      <c r="AD147" s="213"/>
      <c r="AE147" s="213"/>
      <c r="AF147" s="213"/>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row>
    <row r="148">
      <c r="A148" s="306"/>
      <c r="B148" s="247"/>
      <c r="C148" s="218"/>
      <c r="D148" s="218"/>
      <c r="E148" s="218"/>
      <c r="F148" s="218"/>
      <c r="G148" s="218"/>
      <c r="H148" s="218"/>
      <c r="I148" s="218"/>
      <c r="J148" s="213"/>
      <c r="K148" s="213"/>
      <c r="L148" s="214"/>
      <c r="M148" s="213"/>
      <c r="N148" s="214"/>
      <c r="O148" s="213"/>
      <c r="P148" s="213"/>
      <c r="Q148" s="214"/>
      <c r="R148" s="214"/>
      <c r="S148" s="270"/>
      <c r="T148" s="270"/>
      <c r="U148" s="270"/>
      <c r="V148" s="101"/>
      <c r="W148" s="101"/>
      <c r="X148" s="212"/>
      <c r="Y148" s="56"/>
      <c r="Z148" s="56"/>
      <c r="AA148" s="287"/>
      <c r="AB148" s="213"/>
      <c r="AC148" s="213"/>
      <c r="AD148" s="213"/>
      <c r="AE148" s="213"/>
      <c r="AF148" s="213"/>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row>
    <row r="149">
      <c r="A149" s="306"/>
      <c r="B149" s="247"/>
      <c r="C149" s="218"/>
      <c r="D149" s="218"/>
      <c r="E149" s="218"/>
      <c r="F149" s="218"/>
      <c r="G149" s="218"/>
      <c r="H149" s="218"/>
      <c r="I149" s="218"/>
      <c r="J149" s="213"/>
      <c r="K149" s="213"/>
      <c r="L149" s="214"/>
      <c r="M149" s="213"/>
      <c r="N149" s="214"/>
      <c r="O149" s="213"/>
      <c r="P149" s="213"/>
      <c r="Q149" s="214"/>
      <c r="R149" s="214"/>
      <c r="S149" s="270"/>
      <c r="T149" s="270"/>
      <c r="U149" s="270"/>
      <c r="V149" s="101"/>
      <c r="W149" s="101"/>
      <c r="X149" s="212"/>
      <c r="Y149" s="56"/>
      <c r="Z149" s="56"/>
      <c r="AA149" s="287"/>
      <c r="AB149" s="213"/>
      <c r="AC149" s="213"/>
      <c r="AD149" s="213"/>
      <c r="AE149" s="213"/>
      <c r="AF149" s="213"/>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row>
    <row r="150">
      <c r="A150" s="306"/>
      <c r="B150" s="247"/>
      <c r="C150" s="218"/>
      <c r="D150" s="218"/>
      <c r="E150" s="218"/>
      <c r="F150" s="218"/>
      <c r="G150" s="218"/>
      <c r="H150" s="218"/>
      <c r="I150" s="218"/>
      <c r="J150" s="213"/>
      <c r="K150" s="213"/>
      <c r="L150" s="214"/>
      <c r="M150" s="213"/>
      <c r="N150" s="214"/>
      <c r="O150" s="213"/>
      <c r="P150" s="213"/>
      <c r="Q150" s="214"/>
      <c r="R150" s="214"/>
      <c r="S150" s="270"/>
      <c r="T150" s="270"/>
      <c r="U150" s="270"/>
      <c r="V150" s="101"/>
      <c r="W150" s="101"/>
      <c r="X150" s="212"/>
      <c r="Y150" s="56"/>
      <c r="Z150" s="56"/>
      <c r="AA150" s="287"/>
      <c r="AB150" s="213"/>
      <c r="AC150" s="213"/>
      <c r="AD150" s="213"/>
      <c r="AE150" s="213"/>
      <c r="AF150" s="213"/>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row>
    <row r="151">
      <c r="A151" s="306"/>
      <c r="B151" s="247"/>
      <c r="C151" s="218"/>
      <c r="D151" s="218"/>
      <c r="E151" s="218"/>
      <c r="F151" s="218"/>
      <c r="G151" s="218"/>
      <c r="H151" s="218"/>
      <c r="I151" s="218"/>
      <c r="J151" s="213"/>
      <c r="K151" s="213"/>
      <c r="L151" s="214"/>
      <c r="M151" s="213"/>
      <c r="N151" s="214"/>
      <c r="O151" s="213"/>
      <c r="P151" s="213"/>
      <c r="Q151" s="214"/>
      <c r="R151" s="214"/>
      <c r="S151" s="270"/>
      <c r="T151" s="270"/>
      <c r="U151" s="270"/>
      <c r="V151" s="101"/>
      <c r="W151" s="101"/>
      <c r="X151" s="212"/>
      <c r="Y151" s="56"/>
      <c r="Z151" s="56"/>
      <c r="AA151" s="287"/>
      <c r="AB151" s="213"/>
      <c r="AC151" s="213"/>
      <c r="AD151" s="213"/>
      <c r="AE151" s="213"/>
      <c r="AF151" s="213"/>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row>
    <row r="152">
      <c r="A152" s="306"/>
      <c r="B152" s="247"/>
      <c r="C152" s="218"/>
      <c r="D152" s="218"/>
      <c r="E152" s="218"/>
      <c r="F152" s="218"/>
      <c r="G152" s="218"/>
      <c r="H152" s="218"/>
      <c r="I152" s="218"/>
      <c r="J152" s="213"/>
      <c r="K152" s="213"/>
      <c r="L152" s="214"/>
      <c r="M152" s="213"/>
      <c r="N152" s="214"/>
      <c r="O152" s="213"/>
      <c r="P152" s="213"/>
      <c r="Q152" s="214"/>
      <c r="R152" s="214"/>
      <c r="S152" s="270"/>
      <c r="T152" s="270"/>
      <c r="U152" s="270"/>
      <c r="V152" s="101"/>
      <c r="W152" s="101"/>
      <c r="X152" s="212"/>
      <c r="Y152" s="56"/>
      <c r="Z152" s="56"/>
      <c r="AA152" s="287"/>
      <c r="AB152" s="213"/>
      <c r="AC152" s="213"/>
      <c r="AD152" s="213"/>
      <c r="AE152" s="213"/>
      <c r="AF152" s="213"/>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row>
    <row r="153">
      <c r="A153" s="306"/>
      <c r="B153" s="247"/>
      <c r="C153" s="218"/>
      <c r="D153" s="218"/>
      <c r="E153" s="218"/>
      <c r="F153" s="218"/>
      <c r="G153" s="218"/>
      <c r="H153" s="218"/>
      <c r="I153" s="218"/>
      <c r="J153" s="213"/>
      <c r="K153" s="213"/>
      <c r="L153" s="214"/>
      <c r="M153" s="213"/>
      <c r="N153" s="214"/>
      <c r="O153" s="213"/>
      <c r="P153" s="213"/>
      <c r="Q153" s="214"/>
      <c r="R153" s="214"/>
      <c r="S153" s="270"/>
      <c r="T153" s="270"/>
      <c r="U153" s="270"/>
      <c r="V153" s="101"/>
      <c r="W153" s="101"/>
      <c r="X153" s="212"/>
      <c r="Y153" s="56"/>
      <c r="Z153" s="56"/>
      <c r="AA153" s="287"/>
      <c r="AB153" s="213"/>
      <c r="AC153" s="213"/>
      <c r="AD153" s="213"/>
      <c r="AE153" s="213"/>
      <c r="AF153" s="213"/>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row>
    <row r="154">
      <c r="A154" s="306"/>
      <c r="B154" s="247"/>
      <c r="C154" s="218"/>
      <c r="D154" s="218"/>
      <c r="E154" s="218"/>
      <c r="F154" s="218"/>
      <c r="G154" s="218"/>
      <c r="H154" s="218"/>
      <c r="I154" s="218"/>
      <c r="J154" s="213"/>
      <c r="K154" s="213"/>
      <c r="L154" s="214"/>
      <c r="M154" s="213"/>
      <c r="N154" s="214"/>
      <c r="O154" s="213"/>
      <c r="P154" s="213"/>
      <c r="Q154" s="214"/>
      <c r="R154" s="214"/>
      <c r="S154" s="270"/>
      <c r="T154" s="270"/>
      <c r="U154" s="270"/>
      <c r="V154" s="101"/>
      <c r="W154" s="101"/>
      <c r="X154" s="212"/>
      <c r="Y154" s="56"/>
      <c r="Z154" s="56"/>
      <c r="AA154" s="287"/>
      <c r="AB154" s="213"/>
      <c r="AC154" s="213"/>
      <c r="AD154" s="213"/>
      <c r="AE154" s="213"/>
      <c r="AF154" s="213"/>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row>
    <row r="155">
      <c r="A155" s="306"/>
      <c r="B155" s="247"/>
      <c r="C155" s="218"/>
      <c r="D155" s="218"/>
      <c r="E155" s="218"/>
      <c r="F155" s="218"/>
      <c r="G155" s="218"/>
      <c r="H155" s="218"/>
      <c r="I155" s="218"/>
      <c r="J155" s="213"/>
      <c r="K155" s="213"/>
      <c r="L155" s="214"/>
      <c r="M155" s="213"/>
      <c r="N155" s="214"/>
      <c r="O155" s="213"/>
      <c r="P155" s="213"/>
      <c r="Q155" s="214"/>
      <c r="R155" s="214"/>
      <c r="S155" s="270"/>
      <c r="T155" s="270"/>
      <c r="U155" s="270"/>
      <c r="V155" s="101"/>
      <c r="W155" s="101"/>
      <c r="X155" s="212"/>
      <c r="Y155" s="56"/>
      <c r="Z155" s="56"/>
      <c r="AA155" s="287"/>
      <c r="AB155" s="213"/>
      <c r="AC155" s="213"/>
      <c r="AD155" s="213"/>
      <c r="AE155" s="213"/>
      <c r="AF155" s="213"/>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row>
    <row r="156">
      <c r="A156" s="306"/>
      <c r="B156" s="247"/>
      <c r="C156" s="218"/>
      <c r="D156" s="218"/>
      <c r="E156" s="218"/>
      <c r="F156" s="218"/>
      <c r="G156" s="218"/>
      <c r="H156" s="218"/>
      <c r="I156" s="218"/>
      <c r="J156" s="213"/>
      <c r="K156" s="213"/>
      <c r="L156" s="214"/>
      <c r="M156" s="213"/>
      <c r="N156" s="214"/>
      <c r="O156" s="213"/>
      <c r="P156" s="213"/>
      <c r="Q156" s="214"/>
      <c r="R156" s="214"/>
      <c r="S156" s="270"/>
      <c r="T156" s="270"/>
      <c r="U156" s="270"/>
      <c r="V156" s="101"/>
      <c r="W156" s="101"/>
      <c r="X156" s="212"/>
      <c r="Y156" s="56"/>
      <c r="Z156" s="56"/>
      <c r="AA156" s="287"/>
      <c r="AB156" s="213"/>
      <c r="AC156" s="213"/>
      <c r="AD156" s="213"/>
      <c r="AE156" s="213"/>
      <c r="AF156" s="213"/>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row>
    <row r="157">
      <c r="A157" s="306"/>
      <c r="B157" s="247"/>
      <c r="C157" s="218"/>
      <c r="D157" s="218"/>
      <c r="E157" s="218"/>
      <c r="F157" s="218"/>
      <c r="G157" s="218"/>
      <c r="H157" s="218"/>
      <c r="I157" s="218"/>
      <c r="J157" s="213"/>
      <c r="K157" s="213"/>
      <c r="L157" s="214"/>
      <c r="M157" s="213"/>
      <c r="N157" s="214"/>
      <c r="O157" s="213"/>
      <c r="P157" s="213"/>
      <c r="Q157" s="214"/>
      <c r="R157" s="214"/>
      <c r="S157" s="270"/>
      <c r="T157" s="270"/>
      <c r="U157" s="270"/>
      <c r="V157" s="101"/>
      <c r="W157" s="101"/>
      <c r="X157" s="212"/>
      <c r="Y157" s="56"/>
      <c r="Z157" s="56"/>
      <c r="AA157" s="287"/>
      <c r="AB157" s="213"/>
      <c r="AC157" s="213"/>
      <c r="AD157" s="213"/>
      <c r="AE157" s="213"/>
      <c r="AF157" s="213"/>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row>
    <row r="158">
      <c r="A158" s="306"/>
      <c r="B158" s="247"/>
      <c r="C158" s="218"/>
      <c r="D158" s="218"/>
      <c r="E158" s="218"/>
      <c r="F158" s="218"/>
      <c r="G158" s="218"/>
      <c r="H158" s="218"/>
      <c r="I158" s="218"/>
      <c r="J158" s="213"/>
      <c r="K158" s="213"/>
      <c r="L158" s="214"/>
      <c r="M158" s="213"/>
      <c r="N158" s="214"/>
      <c r="O158" s="213"/>
      <c r="P158" s="213"/>
      <c r="Q158" s="214"/>
      <c r="R158" s="214"/>
      <c r="S158" s="270"/>
      <c r="T158" s="270"/>
      <c r="U158" s="270"/>
      <c r="V158" s="101"/>
      <c r="W158" s="101"/>
      <c r="X158" s="212"/>
      <c r="Y158" s="56"/>
      <c r="Z158" s="56"/>
      <c r="AA158" s="287"/>
      <c r="AB158" s="213"/>
      <c r="AC158" s="213"/>
      <c r="AD158" s="213"/>
      <c r="AE158" s="213"/>
      <c r="AF158" s="213"/>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row>
    <row r="159">
      <c r="A159" s="306"/>
      <c r="B159" s="247"/>
      <c r="C159" s="218"/>
      <c r="D159" s="218"/>
      <c r="E159" s="218"/>
      <c r="F159" s="218"/>
      <c r="G159" s="218"/>
      <c r="H159" s="218"/>
      <c r="I159" s="218"/>
      <c r="J159" s="213"/>
      <c r="K159" s="213"/>
      <c r="L159" s="214"/>
      <c r="M159" s="213"/>
      <c r="N159" s="214"/>
      <c r="O159" s="213"/>
      <c r="P159" s="213"/>
      <c r="Q159" s="214"/>
      <c r="R159" s="214"/>
      <c r="S159" s="270"/>
      <c r="T159" s="270"/>
      <c r="U159" s="270"/>
      <c r="V159" s="101"/>
      <c r="W159" s="101"/>
      <c r="X159" s="212"/>
      <c r="Y159" s="56"/>
      <c r="Z159" s="56"/>
      <c r="AA159" s="287"/>
      <c r="AB159" s="213"/>
      <c r="AC159" s="213"/>
      <c r="AD159" s="213"/>
      <c r="AE159" s="213"/>
      <c r="AF159" s="213"/>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row>
    <row r="160">
      <c r="A160" s="306"/>
      <c r="B160" s="247"/>
      <c r="C160" s="218"/>
      <c r="D160" s="218"/>
      <c r="E160" s="218"/>
      <c r="F160" s="218"/>
      <c r="G160" s="218"/>
      <c r="H160" s="218"/>
      <c r="I160" s="218"/>
      <c r="J160" s="213"/>
      <c r="K160" s="213"/>
      <c r="L160" s="214"/>
      <c r="M160" s="213"/>
      <c r="N160" s="214"/>
      <c r="O160" s="213"/>
      <c r="P160" s="213"/>
      <c r="Q160" s="214"/>
      <c r="R160" s="214"/>
      <c r="S160" s="270"/>
      <c r="T160" s="270"/>
      <c r="U160" s="270"/>
      <c r="V160" s="101"/>
      <c r="W160" s="101"/>
      <c r="X160" s="212"/>
      <c r="Y160" s="56"/>
      <c r="Z160" s="56"/>
      <c r="AA160" s="287"/>
      <c r="AB160" s="213"/>
      <c r="AC160" s="213"/>
      <c r="AD160" s="213"/>
      <c r="AE160" s="213"/>
      <c r="AF160" s="213"/>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row>
    <row r="161">
      <c r="A161" s="306"/>
      <c r="B161" s="247"/>
      <c r="C161" s="218"/>
      <c r="D161" s="218"/>
      <c r="E161" s="218"/>
      <c r="F161" s="218"/>
      <c r="G161" s="218"/>
      <c r="H161" s="218"/>
      <c r="I161" s="218"/>
      <c r="J161" s="213"/>
      <c r="K161" s="213"/>
      <c r="L161" s="214"/>
      <c r="M161" s="213"/>
      <c r="N161" s="214"/>
      <c r="O161" s="213"/>
      <c r="P161" s="213"/>
      <c r="Q161" s="214"/>
      <c r="R161" s="214"/>
      <c r="S161" s="270"/>
      <c r="T161" s="270"/>
      <c r="U161" s="270"/>
      <c r="V161" s="101"/>
      <c r="W161" s="101"/>
      <c r="X161" s="212"/>
      <c r="Y161" s="56"/>
      <c r="Z161" s="56"/>
      <c r="AA161" s="287"/>
      <c r="AB161" s="213"/>
      <c r="AC161" s="213"/>
      <c r="AD161" s="213"/>
      <c r="AE161" s="213"/>
      <c r="AF161" s="213"/>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row>
    <row r="162">
      <c r="A162" s="306"/>
      <c r="B162" s="247"/>
      <c r="C162" s="218"/>
      <c r="D162" s="218"/>
      <c r="E162" s="218"/>
      <c r="F162" s="218"/>
      <c r="G162" s="218"/>
      <c r="H162" s="218"/>
      <c r="I162" s="218"/>
      <c r="J162" s="213"/>
      <c r="K162" s="213"/>
      <c r="L162" s="214"/>
      <c r="M162" s="213"/>
      <c r="N162" s="214"/>
      <c r="O162" s="213"/>
      <c r="P162" s="213"/>
      <c r="Q162" s="214"/>
      <c r="R162" s="214"/>
      <c r="S162" s="270"/>
      <c r="T162" s="270"/>
      <c r="U162" s="270"/>
      <c r="V162" s="101"/>
      <c r="W162" s="101"/>
      <c r="X162" s="212"/>
      <c r="Y162" s="56"/>
      <c r="Z162" s="56"/>
      <c r="AA162" s="287"/>
      <c r="AB162" s="213"/>
      <c r="AC162" s="213"/>
      <c r="AD162" s="213"/>
      <c r="AE162" s="213"/>
      <c r="AF162" s="213"/>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row>
    <row r="163">
      <c r="A163" s="306"/>
      <c r="B163" s="247"/>
      <c r="C163" s="218"/>
      <c r="D163" s="218"/>
      <c r="E163" s="218"/>
      <c r="F163" s="218"/>
      <c r="G163" s="218"/>
      <c r="H163" s="218"/>
      <c r="I163" s="218"/>
      <c r="J163" s="213"/>
      <c r="K163" s="213"/>
      <c r="L163" s="214"/>
      <c r="M163" s="213"/>
      <c r="N163" s="214"/>
      <c r="O163" s="213"/>
      <c r="P163" s="213"/>
      <c r="Q163" s="214"/>
      <c r="R163" s="214"/>
      <c r="S163" s="270"/>
      <c r="T163" s="270"/>
      <c r="U163" s="270"/>
      <c r="V163" s="101"/>
      <c r="W163" s="101"/>
      <c r="X163" s="212"/>
      <c r="Y163" s="56"/>
      <c r="Z163" s="56"/>
      <c r="AA163" s="287"/>
      <c r="AB163" s="213"/>
      <c r="AC163" s="213"/>
      <c r="AD163" s="213"/>
      <c r="AE163" s="213"/>
      <c r="AF163" s="213"/>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row>
    <row r="164">
      <c r="A164" s="306"/>
      <c r="B164" s="247"/>
      <c r="C164" s="218"/>
      <c r="D164" s="218"/>
      <c r="E164" s="218"/>
      <c r="F164" s="218"/>
      <c r="G164" s="218"/>
      <c r="H164" s="218"/>
      <c r="I164" s="218"/>
      <c r="J164" s="213"/>
      <c r="K164" s="213"/>
      <c r="L164" s="214"/>
      <c r="M164" s="213"/>
      <c r="N164" s="214"/>
      <c r="O164" s="213"/>
      <c r="P164" s="213"/>
      <c r="Q164" s="214"/>
      <c r="R164" s="214"/>
      <c r="S164" s="270"/>
      <c r="T164" s="270"/>
      <c r="U164" s="270"/>
      <c r="V164" s="101"/>
      <c r="W164" s="101"/>
      <c r="X164" s="212"/>
      <c r="Y164" s="56"/>
      <c r="Z164" s="56"/>
      <c r="AA164" s="287"/>
      <c r="AB164" s="213"/>
      <c r="AC164" s="213"/>
      <c r="AD164" s="213"/>
      <c r="AE164" s="213"/>
      <c r="AF164" s="213"/>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row>
    <row r="165">
      <c r="A165" s="306"/>
      <c r="B165" s="247"/>
      <c r="C165" s="218"/>
      <c r="D165" s="218"/>
      <c r="E165" s="218"/>
      <c r="F165" s="218"/>
      <c r="G165" s="218"/>
      <c r="H165" s="218"/>
      <c r="I165" s="218"/>
      <c r="J165" s="213"/>
      <c r="K165" s="213"/>
      <c r="L165" s="214"/>
      <c r="M165" s="213"/>
      <c r="N165" s="214"/>
      <c r="O165" s="213"/>
      <c r="P165" s="213"/>
      <c r="Q165" s="214"/>
      <c r="R165" s="214"/>
      <c r="S165" s="270"/>
      <c r="T165" s="270"/>
      <c r="U165" s="270"/>
      <c r="V165" s="101"/>
      <c r="W165" s="101"/>
      <c r="X165" s="212"/>
      <c r="Y165" s="56"/>
      <c r="Z165" s="56"/>
      <c r="AA165" s="287"/>
      <c r="AB165" s="213"/>
      <c r="AC165" s="213"/>
      <c r="AD165" s="213"/>
      <c r="AE165" s="213"/>
      <c r="AF165" s="213"/>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row>
    <row r="166">
      <c r="A166" s="306"/>
      <c r="B166" s="247"/>
      <c r="C166" s="218"/>
      <c r="D166" s="218"/>
      <c r="E166" s="218"/>
      <c r="F166" s="218"/>
      <c r="G166" s="218"/>
      <c r="H166" s="218"/>
      <c r="I166" s="218"/>
      <c r="J166" s="213"/>
      <c r="K166" s="213"/>
      <c r="L166" s="214"/>
      <c r="M166" s="213"/>
      <c r="N166" s="214"/>
      <c r="O166" s="213"/>
      <c r="P166" s="213"/>
      <c r="Q166" s="214"/>
      <c r="R166" s="214"/>
      <c r="S166" s="270"/>
      <c r="T166" s="270"/>
      <c r="U166" s="270"/>
      <c r="V166" s="101"/>
      <c r="W166" s="101"/>
      <c r="X166" s="212"/>
      <c r="Y166" s="56"/>
      <c r="Z166" s="56"/>
      <c r="AA166" s="287"/>
      <c r="AB166" s="213"/>
      <c r="AC166" s="213"/>
      <c r="AD166" s="213"/>
      <c r="AE166" s="213"/>
      <c r="AF166" s="213"/>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row>
    <row r="167">
      <c r="A167" s="306"/>
      <c r="B167" s="247"/>
      <c r="C167" s="218"/>
      <c r="D167" s="218"/>
      <c r="E167" s="218"/>
      <c r="F167" s="218"/>
      <c r="G167" s="218"/>
      <c r="H167" s="218"/>
      <c r="I167" s="218"/>
      <c r="J167" s="213"/>
      <c r="K167" s="213"/>
      <c r="L167" s="214"/>
      <c r="M167" s="213"/>
      <c r="N167" s="214"/>
      <c r="O167" s="213"/>
      <c r="P167" s="213"/>
      <c r="Q167" s="214"/>
      <c r="R167" s="214"/>
      <c r="S167" s="270"/>
      <c r="T167" s="270"/>
      <c r="U167" s="270"/>
      <c r="V167" s="101"/>
      <c r="W167" s="101"/>
      <c r="X167" s="212"/>
      <c r="Y167" s="56"/>
      <c r="Z167" s="56"/>
      <c r="AA167" s="287"/>
      <c r="AB167" s="213"/>
      <c r="AC167" s="213"/>
      <c r="AD167" s="213"/>
      <c r="AE167" s="213"/>
      <c r="AF167" s="213"/>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row>
    <row r="168">
      <c r="A168" s="306"/>
      <c r="B168" s="247"/>
      <c r="C168" s="218"/>
      <c r="D168" s="218"/>
      <c r="E168" s="218"/>
      <c r="F168" s="218"/>
      <c r="G168" s="218"/>
      <c r="H168" s="218"/>
      <c r="I168" s="218"/>
      <c r="J168" s="213"/>
      <c r="K168" s="213"/>
      <c r="L168" s="214"/>
      <c r="M168" s="213"/>
      <c r="N168" s="214"/>
      <c r="O168" s="213"/>
      <c r="P168" s="213"/>
      <c r="Q168" s="214"/>
      <c r="R168" s="214"/>
      <c r="S168" s="270"/>
      <c r="T168" s="270"/>
      <c r="U168" s="270"/>
      <c r="V168" s="101"/>
      <c r="W168" s="101"/>
      <c r="X168" s="212"/>
      <c r="Y168" s="56"/>
      <c r="Z168" s="56"/>
      <c r="AA168" s="287"/>
      <c r="AB168" s="213"/>
      <c r="AC168" s="213"/>
      <c r="AD168" s="213"/>
      <c r="AE168" s="213"/>
      <c r="AF168" s="213"/>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row>
    <row r="169">
      <c r="A169" s="306"/>
      <c r="B169" s="247"/>
      <c r="C169" s="218"/>
      <c r="D169" s="218"/>
      <c r="E169" s="218"/>
      <c r="F169" s="218"/>
      <c r="G169" s="218"/>
      <c r="H169" s="218"/>
      <c r="I169" s="218"/>
      <c r="J169" s="213"/>
      <c r="K169" s="213"/>
      <c r="L169" s="214"/>
      <c r="M169" s="213"/>
      <c r="N169" s="214"/>
      <c r="O169" s="213"/>
      <c r="P169" s="213"/>
      <c r="Q169" s="214"/>
      <c r="R169" s="214"/>
      <c r="S169" s="270"/>
      <c r="T169" s="270"/>
      <c r="U169" s="270"/>
      <c r="V169" s="101"/>
      <c r="W169" s="101"/>
      <c r="X169" s="212"/>
      <c r="Y169" s="56"/>
      <c r="Z169" s="56"/>
      <c r="AA169" s="287"/>
      <c r="AB169" s="213"/>
      <c r="AC169" s="213"/>
      <c r="AD169" s="213"/>
      <c r="AE169" s="213"/>
      <c r="AF169" s="213"/>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row>
    <row r="170">
      <c r="A170" s="306"/>
      <c r="B170" s="247"/>
      <c r="C170" s="218"/>
      <c r="D170" s="218"/>
      <c r="E170" s="218"/>
      <c r="F170" s="218"/>
      <c r="G170" s="218"/>
      <c r="H170" s="218"/>
      <c r="I170" s="218"/>
      <c r="J170" s="213"/>
      <c r="K170" s="213"/>
      <c r="L170" s="214"/>
      <c r="M170" s="213"/>
      <c r="N170" s="214"/>
      <c r="O170" s="213"/>
      <c r="P170" s="213"/>
      <c r="Q170" s="214"/>
      <c r="R170" s="214"/>
      <c r="S170" s="270"/>
      <c r="T170" s="270"/>
      <c r="U170" s="270"/>
      <c r="V170" s="101"/>
      <c r="W170" s="101"/>
      <c r="X170" s="212"/>
      <c r="Y170" s="56"/>
      <c r="Z170" s="56"/>
      <c r="AA170" s="287"/>
      <c r="AB170" s="213"/>
      <c r="AC170" s="213"/>
      <c r="AD170" s="213"/>
      <c r="AE170" s="213"/>
      <c r="AF170" s="213"/>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row>
    <row r="171">
      <c r="A171" s="306"/>
      <c r="B171" s="247"/>
      <c r="C171" s="218"/>
      <c r="D171" s="218"/>
      <c r="E171" s="218"/>
      <c r="F171" s="218"/>
      <c r="G171" s="218"/>
      <c r="H171" s="218"/>
      <c r="I171" s="218"/>
      <c r="J171" s="213"/>
      <c r="K171" s="213"/>
      <c r="L171" s="214"/>
      <c r="M171" s="213"/>
      <c r="N171" s="214"/>
      <c r="O171" s="213"/>
      <c r="P171" s="213"/>
      <c r="Q171" s="214"/>
      <c r="R171" s="214"/>
      <c r="S171" s="270"/>
      <c r="T171" s="270"/>
      <c r="U171" s="270"/>
      <c r="V171" s="101"/>
      <c r="W171" s="101"/>
      <c r="X171" s="212"/>
      <c r="Y171" s="56"/>
      <c r="Z171" s="56"/>
      <c r="AA171" s="287"/>
      <c r="AB171" s="213"/>
      <c r="AC171" s="213"/>
      <c r="AD171" s="213"/>
      <c r="AE171" s="213"/>
      <c r="AF171" s="213"/>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row>
    <row r="172">
      <c r="A172" s="306"/>
      <c r="B172" s="247"/>
      <c r="C172" s="218"/>
      <c r="D172" s="218"/>
      <c r="E172" s="218"/>
      <c r="F172" s="218"/>
      <c r="G172" s="218"/>
      <c r="H172" s="218"/>
      <c r="I172" s="218"/>
      <c r="J172" s="213"/>
      <c r="K172" s="213"/>
      <c r="L172" s="214"/>
      <c r="M172" s="213"/>
      <c r="N172" s="214"/>
      <c r="O172" s="213"/>
      <c r="P172" s="213"/>
      <c r="Q172" s="214"/>
      <c r="R172" s="214"/>
      <c r="S172" s="270"/>
      <c r="T172" s="270"/>
      <c r="U172" s="270"/>
      <c r="V172" s="101"/>
      <c r="W172" s="101"/>
      <c r="X172" s="212"/>
      <c r="Y172" s="56"/>
      <c r="Z172" s="56"/>
      <c r="AA172" s="287"/>
      <c r="AB172" s="213"/>
      <c r="AC172" s="213"/>
      <c r="AD172" s="213"/>
      <c r="AE172" s="213"/>
      <c r="AF172" s="213"/>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row>
    <row r="173">
      <c r="A173" s="306"/>
      <c r="B173" s="247"/>
      <c r="C173" s="218"/>
      <c r="D173" s="218"/>
      <c r="E173" s="218"/>
      <c r="F173" s="218"/>
      <c r="G173" s="218"/>
      <c r="H173" s="218"/>
      <c r="I173" s="218"/>
      <c r="J173" s="213"/>
      <c r="K173" s="213"/>
      <c r="L173" s="214"/>
      <c r="M173" s="213"/>
      <c r="N173" s="214"/>
      <c r="O173" s="213"/>
      <c r="P173" s="213"/>
      <c r="Q173" s="214"/>
      <c r="R173" s="214"/>
      <c r="S173" s="270"/>
      <c r="T173" s="270"/>
      <c r="U173" s="270"/>
      <c r="V173" s="101"/>
      <c r="W173" s="101"/>
      <c r="X173" s="212"/>
      <c r="Y173" s="56"/>
      <c r="Z173" s="56"/>
      <c r="AA173" s="287"/>
      <c r="AB173" s="213"/>
      <c r="AC173" s="213"/>
      <c r="AD173" s="213"/>
      <c r="AE173" s="213"/>
      <c r="AF173" s="213"/>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row>
    <row r="174">
      <c r="A174" s="306"/>
      <c r="B174" s="247"/>
      <c r="C174" s="218"/>
      <c r="D174" s="218"/>
      <c r="E174" s="218"/>
      <c r="F174" s="218"/>
      <c r="G174" s="218"/>
      <c r="H174" s="218"/>
      <c r="I174" s="218"/>
      <c r="J174" s="213"/>
      <c r="K174" s="213"/>
      <c r="L174" s="214"/>
      <c r="M174" s="213"/>
      <c r="N174" s="214"/>
      <c r="O174" s="213"/>
      <c r="P174" s="213"/>
      <c r="Q174" s="214"/>
      <c r="R174" s="214"/>
      <c r="S174" s="270"/>
      <c r="T174" s="270"/>
      <c r="U174" s="270"/>
      <c r="V174" s="101"/>
      <c r="W174" s="101"/>
      <c r="X174" s="212"/>
      <c r="Y174" s="56"/>
      <c r="Z174" s="56"/>
      <c r="AA174" s="287"/>
      <c r="AB174" s="213"/>
      <c r="AC174" s="213"/>
      <c r="AD174" s="213"/>
      <c r="AE174" s="213"/>
      <c r="AF174" s="213"/>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row>
    <row r="175">
      <c r="A175" s="306"/>
      <c r="B175" s="247"/>
      <c r="C175" s="218"/>
      <c r="D175" s="218"/>
      <c r="E175" s="218"/>
      <c r="F175" s="218"/>
      <c r="G175" s="218"/>
      <c r="H175" s="218"/>
      <c r="I175" s="218"/>
      <c r="J175" s="213"/>
      <c r="K175" s="213"/>
      <c r="L175" s="214"/>
      <c r="M175" s="213"/>
      <c r="N175" s="214"/>
      <c r="O175" s="213"/>
      <c r="P175" s="213"/>
      <c r="Q175" s="214"/>
      <c r="R175" s="214"/>
      <c r="S175" s="270"/>
      <c r="T175" s="270"/>
      <c r="U175" s="270"/>
      <c r="V175" s="101"/>
      <c r="W175" s="101"/>
      <c r="X175" s="212"/>
      <c r="Y175" s="56"/>
      <c r="Z175" s="56"/>
      <c r="AA175" s="287"/>
      <c r="AB175" s="213"/>
      <c r="AC175" s="213"/>
      <c r="AD175" s="213"/>
      <c r="AE175" s="213"/>
      <c r="AF175" s="213"/>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row>
    <row r="176">
      <c r="A176" s="306"/>
      <c r="B176" s="247"/>
      <c r="C176" s="218"/>
      <c r="D176" s="218"/>
      <c r="E176" s="218"/>
      <c r="F176" s="218"/>
      <c r="G176" s="218"/>
      <c r="H176" s="218"/>
      <c r="I176" s="218"/>
      <c r="J176" s="213"/>
      <c r="K176" s="213"/>
      <c r="L176" s="214"/>
      <c r="M176" s="213"/>
      <c r="N176" s="214"/>
      <c r="O176" s="213"/>
      <c r="P176" s="213"/>
      <c r="Q176" s="214"/>
      <c r="R176" s="214"/>
      <c r="S176" s="270"/>
      <c r="T176" s="270"/>
      <c r="U176" s="270"/>
      <c r="V176" s="101"/>
      <c r="W176" s="101"/>
      <c r="X176" s="212"/>
      <c r="Y176" s="56"/>
      <c r="Z176" s="56"/>
      <c r="AA176" s="287"/>
      <c r="AB176" s="213"/>
      <c r="AC176" s="213"/>
      <c r="AD176" s="213"/>
      <c r="AE176" s="213"/>
      <c r="AF176" s="213"/>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row>
    <row r="177">
      <c r="A177" s="306"/>
      <c r="B177" s="247"/>
      <c r="C177" s="218"/>
      <c r="D177" s="218"/>
      <c r="E177" s="218"/>
      <c r="F177" s="218"/>
      <c r="G177" s="218"/>
      <c r="H177" s="218"/>
      <c r="I177" s="218"/>
      <c r="J177" s="213"/>
      <c r="K177" s="213"/>
      <c r="L177" s="214"/>
      <c r="M177" s="213"/>
      <c r="N177" s="214"/>
      <c r="O177" s="213"/>
      <c r="P177" s="213"/>
      <c r="Q177" s="214"/>
      <c r="R177" s="214"/>
      <c r="S177" s="270"/>
      <c r="T177" s="270"/>
      <c r="U177" s="270"/>
      <c r="V177" s="101"/>
      <c r="W177" s="101"/>
      <c r="X177" s="212"/>
      <c r="Y177" s="56"/>
      <c r="Z177" s="56"/>
      <c r="AA177" s="287"/>
      <c r="AB177" s="213"/>
      <c r="AC177" s="213"/>
      <c r="AD177" s="213"/>
      <c r="AE177" s="213"/>
      <c r="AF177" s="213"/>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row>
    <row r="178">
      <c r="A178" s="306"/>
      <c r="B178" s="247"/>
      <c r="C178" s="218"/>
      <c r="D178" s="218"/>
      <c r="E178" s="218"/>
      <c r="F178" s="218"/>
      <c r="G178" s="218"/>
      <c r="H178" s="218"/>
      <c r="I178" s="218"/>
      <c r="J178" s="213"/>
      <c r="K178" s="213"/>
      <c r="L178" s="214"/>
      <c r="M178" s="213"/>
      <c r="N178" s="214"/>
      <c r="O178" s="213"/>
      <c r="P178" s="213"/>
      <c r="Q178" s="214"/>
      <c r="R178" s="214"/>
      <c r="S178" s="270"/>
      <c r="T178" s="270"/>
      <c r="U178" s="270"/>
      <c r="V178" s="101"/>
      <c r="W178" s="101"/>
      <c r="X178" s="212"/>
      <c r="Y178" s="56"/>
      <c r="Z178" s="56"/>
      <c r="AA178" s="287"/>
      <c r="AB178" s="213"/>
      <c r="AC178" s="213"/>
      <c r="AD178" s="213"/>
      <c r="AE178" s="213"/>
      <c r="AF178" s="213"/>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row>
    <row r="179">
      <c r="A179" s="306"/>
      <c r="B179" s="247"/>
      <c r="C179" s="218"/>
      <c r="D179" s="218"/>
      <c r="E179" s="218"/>
      <c r="F179" s="218"/>
      <c r="G179" s="218"/>
      <c r="H179" s="218"/>
      <c r="I179" s="218"/>
      <c r="J179" s="213"/>
      <c r="K179" s="213"/>
      <c r="L179" s="214"/>
      <c r="M179" s="213"/>
      <c r="N179" s="214"/>
      <c r="O179" s="213"/>
      <c r="P179" s="213"/>
      <c r="Q179" s="214"/>
      <c r="R179" s="214"/>
      <c r="S179" s="270"/>
      <c r="T179" s="270"/>
      <c r="U179" s="270"/>
      <c r="V179" s="101"/>
      <c r="W179" s="101"/>
      <c r="X179" s="212"/>
      <c r="Y179" s="56"/>
      <c r="Z179" s="56"/>
      <c r="AA179" s="287"/>
      <c r="AB179" s="213"/>
      <c r="AC179" s="213"/>
      <c r="AD179" s="213"/>
      <c r="AE179" s="213"/>
      <c r="AF179" s="213"/>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row>
    <row r="180">
      <c r="A180" s="306"/>
      <c r="B180" s="247"/>
      <c r="C180" s="218"/>
      <c r="D180" s="218"/>
      <c r="E180" s="218"/>
      <c r="F180" s="218"/>
      <c r="G180" s="218"/>
      <c r="H180" s="218"/>
      <c r="I180" s="218"/>
      <c r="J180" s="213"/>
      <c r="K180" s="213"/>
      <c r="L180" s="214"/>
      <c r="M180" s="213"/>
      <c r="N180" s="214"/>
      <c r="O180" s="213"/>
      <c r="P180" s="213"/>
      <c r="Q180" s="214"/>
      <c r="R180" s="214"/>
      <c r="S180" s="270"/>
      <c r="T180" s="270"/>
      <c r="U180" s="270"/>
      <c r="V180" s="101"/>
      <c r="W180" s="101"/>
      <c r="X180" s="212"/>
      <c r="Y180" s="56"/>
      <c r="Z180" s="56"/>
      <c r="AA180" s="287"/>
      <c r="AB180" s="213"/>
      <c r="AC180" s="213"/>
      <c r="AD180" s="213"/>
      <c r="AE180" s="213"/>
      <c r="AF180" s="213"/>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row>
    <row r="181">
      <c r="A181" s="306"/>
      <c r="B181" s="247"/>
      <c r="C181" s="218"/>
      <c r="D181" s="218"/>
      <c r="E181" s="218"/>
      <c r="F181" s="218"/>
      <c r="G181" s="218"/>
      <c r="H181" s="218"/>
      <c r="I181" s="218"/>
      <c r="J181" s="213"/>
      <c r="K181" s="213"/>
      <c r="L181" s="214"/>
      <c r="M181" s="213"/>
      <c r="N181" s="214"/>
      <c r="O181" s="213"/>
      <c r="P181" s="213"/>
      <c r="Q181" s="214"/>
      <c r="R181" s="214"/>
      <c r="S181" s="270"/>
      <c r="T181" s="270"/>
      <c r="U181" s="270"/>
      <c r="V181" s="101"/>
      <c r="W181" s="101"/>
      <c r="X181" s="212"/>
      <c r="Y181" s="56"/>
      <c r="Z181" s="56"/>
      <c r="AA181" s="287"/>
      <c r="AB181" s="213"/>
      <c r="AC181" s="213"/>
      <c r="AD181" s="213"/>
      <c r="AE181" s="213"/>
      <c r="AF181" s="213"/>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row>
    <row r="182">
      <c r="A182" s="306"/>
      <c r="B182" s="247"/>
      <c r="C182" s="218"/>
      <c r="D182" s="218"/>
      <c r="E182" s="218"/>
      <c r="F182" s="218"/>
      <c r="G182" s="218"/>
      <c r="H182" s="218"/>
      <c r="I182" s="218"/>
      <c r="J182" s="213"/>
      <c r="K182" s="213"/>
      <c r="L182" s="214"/>
      <c r="M182" s="213"/>
      <c r="N182" s="214"/>
      <c r="O182" s="213"/>
      <c r="P182" s="213"/>
      <c r="Q182" s="214"/>
      <c r="R182" s="214"/>
      <c r="S182" s="270"/>
      <c r="T182" s="270"/>
      <c r="U182" s="270"/>
      <c r="V182" s="101"/>
      <c r="W182" s="101"/>
      <c r="X182" s="212"/>
      <c r="Y182" s="56"/>
      <c r="Z182" s="56"/>
      <c r="AA182" s="287"/>
      <c r="AB182" s="213"/>
      <c r="AC182" s="213"/>
      <c r="AD182" s="213"/>
      <c r="AE182" s="213"/>
      <c r="AF182" s="213"/>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row>
    <row r="183">
      <c r="A183" s="306"/>
      <c r="B183" s="247"/>
      <c r="C183" s="218"/>
      <c r="D183" s="218"/>
      <c r="E183" s="218"/>
      <c r="F183" s="218"/>
      <c r="G183" s="218"/>
      <c r="H183" s="218"/>
      <c r="I183" s="218"/>
      <c r="J183" s="213"/>
      <c r="K183" s="213"/>
      <c r="L183" s="214"/>
      <c r="M183" s="213"/>
      <c r="N183" s="214"/>
      <c r="O183" s="213"/>
      <c r="P183" s="213"/>
      <c r="Q183" s="214"/>
      <c r="R183" s="214"/>
      <c r="S183" s="270"/>
      <c r="T183" s="270"/>
      <c r="U183" s="270"/>
      <c r="V183" s="101"/>
      <c r="W183" s="101"/>
      <c r="X183" s="212"/>
      <c r="Y183" s="56"/>
      <c r="Z183" s="56"/>
      <c r="AA183" s="287"/>
      <c r="AB183" s="213"/>
      <c r="AC183" s="213"/>
      <c r="AD183" s="213"/>
      <c r="AE183" s="213"/>
      <c r="AF183" s="213"/>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row>
    <row r="184">
      <c r="A184" s="306"/>
      <c r="B184" s="247"/>
      <c r="C184" s="218"/>
      <c r="D184" s="218"/>
      <c r="E184" s="218"/>
      <c r="F184" s="218"/>
      <c r="G184" s="218"/>
      <c r="H184" s="218"/>
      <c r="I184" s="218"/>
      <c r="J184" s="213"/>
      <c r="K184" s="213"/>
      <c r="L184" s="214"/>
      <c r="M184" s="213"/>
      <c r="N184" s="214"/>
      <c r="O184" s="213"/>
      <c r="P184" s="213"/>
      <c r="Q184" s="214"/>
      <c r="R184" s="214"/>
      <c r="S184" s="270"/>
      <c r="T184" s="270"/>
      <c r="U184" s="270"/>
      <c r="V184" s="101"/>
      <c r="W184" s="101"/>
      <c r="X184" s="212"/>
      <c r="Y184" s="56"/>
      <c r="Z184" s="56"/>
      <c r="AA184" s="287"/>
      <c r="AB184" s="213"/>
      <c r="AC184" s="213"/>
      <c r="AD184" s="213"/>
      <c r="AE184" s="213"/>
      <c r="AF184" s="213"/>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row>
    <row r="185">
      <c r="A185" s="306"/>
      <c r="B185" s="247"/>
      <c r="C185" s="218"/>
      <c r="D185" s="218"/>
      <c r="E185" s="218"/>
      <c r="F185" s="218"/>
      <c r="G185" s="218"/>
      <c r="H185" s="218"/>
      <c r="I185" s="218"/>
      <c r="J185" s="213"/>
      <c r="K185" s="213"/>
      <c r="L185" s="214"/>
      <c r="M185" s="213"/>
      <c r="N185" s="214"/>
      <c r="O185" s="213"/>
      <c r="P185" s="213"/>
      <c r="Q185" s="214"/>
      <c r="R185" s="214"/>
      <c r="S185" s="270"/>
      <c r="T185" s="270"/>
      <c r="U185" s="270"/>
      <c r="V185" s="101"/>
      <c r="W185" s="101"/>
      <c r="X185" s="212"/>
      <c r="Y185" s="56"/>
      <c r="Z185" s="56"/>
      <c r="AA185" s="287"/>
      <c r="AB185" s="213"/>
      <c r="AC185" s="213"/>
      <c r="AD185" s="213"/>
      <c r="AE185" s="213"/>
      <c r="AF185" s="213"/>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row>
    <row r="186">
      <c r="A186" s="306"/>
      <c r="B186" s="247"/>
      <c r="C186" s="218"/>
      <c r="D186" s="218"/>
      <c r="E186" s="218"/>
      <c r="F186" s="218"/>
      <c r="G186" s="218"/>
      <c r="H186" s="218"/>
      <c r="I186" s="218"/>
      <c r="J186" s="213"/>
      <c r="K186" s="213"/>
      <c r="L186" s="214"/>
      <c r="M186" s="213"/>
      <c r="N186" s="214"/>
      <c r="O186" s="213"/>
      <c r="P186" s="213"/>
      <c r="Q186" s="214"/>
      <c r="R186" s="214"/>
      <c r="S186" s="270"/>
      <c r="T186" s="270"/>
      <c r="U186" s="270"/>
      <c r="V186" s="101"/>
      <c r="W186" s="101"/>
      <c r="X186" s="212"/>
      <c r="Y186" s="56"/>
      <c r="Z186" s="56"/>
      <c r="AA186" s="287"/>
      <c r="AB186" s="213"/>
      <c r="AC186" s="213"/>
      <c r="AD186" s="213"/>
      <c r="AE186" s="213"/>
      <c r="AF186" s="213"/>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row>
    <row r="187">
      <c r="A187" s="306"/>
      <c r="B187" s="247"/>
      <c r="C187" s="218"/>
      <c r="D187" s="218"/>
      <c r="E187" s="218"/>
      <c r="F187" s="218"/>
      <c r="G187" s="218"/>
      <c r="H187" s="218"/>
      <c r="I187" s="218"/>
      <c r="J187" s="213"/>
      <c r="K187" s="213"/>
      <c r="L187" s="214"/>
      <c r="M187" s="213"/>
      <c r="N187" s="214"/>
      <c r="O187" s="213"/>
      <c r="P187" s="213"/>
      <c r="Q187" s="214"/>
      <c r="R187" s="214"/>
      <c r="S187" s="270"/>
      <c r="T187" s="270"/>
      <c r="U187" s="270"/>
      <c r="V187" s="101"/>
      <c r="W187" s="101"/>
      <c r="X187" s="212"/>
      <c r="Y187" s="56"/>
      <c r="Z187" s="56"/>
      <c r="AA187" s="287"/>
      <c r="AB187" s="213"/>
      <c r="AC187" s="213"/>
      <c r="AD187" s="213"/>
      <c r="AE187" s="213"/>
      <c r="AF187" s="213"/>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row>
    <row r="188">
      <c r="A188" s="306"/>
      <c r="B188" s="247"/>
      <c r="C188" s="218"/>
      <c r="D188" s="218"/>
      <c r="E188" s="218"/>
      <c r="F188" s="218"/>
      <c r="G188" s="218"/>
      <c r="H188" s="218"/>
      <c r="I188" s="218"/>
      <c r="J188" s="213"/>
      <c r="K188" s="213"/>
      <c r="L188" s="214"/>
      <c r="M188" s="213"/>
      <c r="N188" s="214"/>
      <c r="O188" s="213"/>
      <c r="P188" s="213"/>
      <c r="Q188" s="214"/>
      <c r="R188" s="214"/>
      <c r="S188" s="270"/>
      <c r="T188" s="270"/>
      <c r="U188" s="270"/>
      <c r="V188" s="101"/>
      <c r="W188" s="101"/>
      <c r="X188" s="212"/>
      <c r="Y188" s="56"/>
      <c r="Z188" s="56"/>
      <c r="AA188" s="287"/>
      <c r="AB188" s="213"/>
      <c r="AC188" s="213"/>
      <c r="AD188" s="213"/>
      <c r="AE188" s="213"/>
      <c r="AF188" s="213"/>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row>
    <row r="189">
      <c r="A189" s="306"/>
      <c r="B189" s="247"/>
      <c r="C189" s="218"/>
      <c r="D189" s="218"/>
      <c r="E189" s="218"/>
      <c r="F189" s="218"/>
      <c r="G189" s="218"/>
      <c r="H189" s="218"/>
      <c r="I189" s="218"/>
      <c r="J189" s="213"/>
      <c r="K189" s="213"/>
      <c r="L189" s="214"/>
      <c r="M189" s="213"/>
      <c r="N189" s="214"/>
      <c r="O189" s="213"/>
      <c r="P189" s="213"/>
      <c r="Q189" s="214"/>
      <c r="R189" s="214"/>
      <c r="S189" s="270"/>
      <c r="T189" s="270"/>
      <c r="U189" s="270"/>
      <c r="V189" s="101"/>
      <c r="W189" s="101"/>
      <c r="X189" s="212"/>
      <c r="Y189" s="56"/>
      <c r="Z189" s="56"/>
      <c r="AA189" s="287"/>
      <c r="AB189" s="213"/>
      <c r="AC189" s="213"/>
      <c r="AD189" s="213"/>
      <c r="AE189" s="213"/>
      <c r="AF189" s="213"/>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row>
    <row r="190">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98"/>
      <c r="W190" s="298"/>
      <c r="X190" s="298"/>
      <c r="Y190" s="298"/>
      <c r="Z190" s="298"/>
      <c r="AA190" s="298"/>
      <c r="AB190" s="298"/>
      <c r="AC190" s="298"/>
      <c r="AD190" s="298"/>
      <c r="AE190" s="298"/>
      <c r="AF190" s="298"/>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row>
    <row r="19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98"/>
      <c r="W191" s="298"/>
      <c r="X191" s="298"/>
      <c r="Y191" s="298"/>
      <c r="Z191" s="298"/>
      <c r="AA191" s="298"/>
      <c r="AB191" s="298"/>
      <c r="AC191" s="298"/>
      <c r="AD191" s="298"/>
      <c r="AE191" s="298"/>
      <c r="AF191" s="298"/>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row>
    <row r="192">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98"/>
      <c r="W192" s="298"/>
      <c r="X192" s="298"/>
      <c r="Y192" s="298"/>
      <c r="Z192" s="298"/>
      <c r="AA192" s="298"/>
      <c r="AB192" s="298"/>
      <c r="AC192" s="298"/>
      <c r="AD192" s="298"/>
      <c r="AE192" s="298"/>
      <c r="AF192" s="298"/>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row>
    <row r="193">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98"/>
      <c r="W193" s="298"/>
      <c r="X193" s="298"/>
      <c r="Y193" s="298"/>
      <c r="Z193" s="298"/>
      <c r="AA193" s="298"/>
      <c r="AB193" s="298"/>
      <c r="AC193" s="298"/>
      <c r="AD193" s="298"/>
      <c r="AE193" s="298"/>
      <c r="AF193" s="298"/>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row>
    <row r="194">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98"/>
      <c r="W194" s="298"/>
      <c r="X194" s="298"/>
      <c r="Y194" s="298"/>
      <c r="Z194" s="298"/>
      <c r="AA194" s="298"/>
      <c r="AB194" s="298"/>
      <c r="AC194" s="298"/>
      <c r="AD194" s="298"/>
      <c r="AE194" s="298"/>
      <c r="AF194" s="298"/>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row>
    <row r="195">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98"/>
      <c r="W195" s="298"/>
      <c r="X195" s="298"/>
      <c r="Y195" s="298"/>
      <c r="Z195" s="298"/>
      <c r="AA195" s="298"/>
      <c r="AB195" s="298"/>
      <c r="AC195" s="298"/>
      <c r="AD195" s="298"/>
      <c r="AE195" s="298"/>
      <c r="AF195" s="298"/>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row>
    <row r="196">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98"/>
      <c r="W196" s="298"/>
      <c r="X196" s="298"/>
      <c r="Y196" s="298"/>
      <c r="Z196" s="298"/>
      <c r="AA196" s="298"/>
      <c r="AB196" s="298"/>
      <c r="AC196" s="298"/>
      <c r="AD196" s="298"/>
      <c r="AE196" s="298"/>
      <c r="AF196" s="298"/>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row>
    <row r="197">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98"/>
      <c r="W197" s="298"/>
      <c r="X197" s="298"/>
      <c r="Y197" s="298"/>
      <c r="Z197" s="298"/>
      <c r="AA197" s="298"/>
      <c r="AB197" s="298"/>
      <c r="AC197" s="298"/>
      <c r="AD197" s="298"/>
      <c r="AE197" s="298"/>
      <c r="AF197" s="298"/>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row>
    <row r="198">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98"/>
      <c r="W198" s="298"/>
      <c r="X198" s="298"/>
      <c r="Y198" s="298"/>
      <c r="Z198" s="298"/>
      <c r="AA198" s="298"/>
      <c r="AB198" s="298"/>
      <c r="AC198" s="298"/>
      <c r="AD198" s="298"/>
      <c r="AE198" s="298"/>
      <c r="AF198" s="298"/>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row>
    <row r="199">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98"/>
      <c r="W199" s="298"/>
      <c r="X199" s="298"/>
      <c r="Y199" s="298"/>
      <c r="Z199" s="298"/>
      <c r="AA199" s="298"/>
      <c r="AB199" s="298"/>
      <c r="AC199" s="298"/>
      <c r="AD199" s="298"/>
      <c r="AE199" s="298"/>
      <c r="AF199" s="298"/>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row>
    <row r="200">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98"/>
      <c r="W200" s="298"/>
      <c r="X200" s="298"/>
      <c r="Y200" s="298"/>
      <c r="Z200" s="298"/>
      <c r="AA200" s="298"/>
      <c r="AB200" s="298"/>
      <c r="AC200" s="298"/>
      <c r="AD200" s="298"/>
      <c r="AE200" s="298"/>
      <c r="AF200" s="298"/>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row>
    <row r="20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98"/>
      <c r="W201" s="298"/>
      <c r="X201" s="298"/>
      <c r="Y201" s="298"/>
      <c r="Z201" s="298"/>
      <c r="AA201" s="298"/>
      <c r="AB201" s="298"/>
      <c r="AC201" s="298"/>
      <c r="AD201" s="298"/>
      <c r="AE201" s="298"/>
      <c r="AF201" s="298"/>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row>
    <row r="202">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98"/>
      <c r="W202" s="298"/>
      <c r="X202" s="298"/>
      <c r="Y202" s="298"/>
      <c r="Z202" s="298"/>
      <c r="AA202" s="298"/>
      <c r="AB202" s="298"/>
      <c r="AC202" s="298"/>
      <c r="AD202" s="298"/>
      <c r="AE202" s="298"/>
      <c r="AF202" s="298"/>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row>
    <row r="203">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98"/>
      <c r="W203" s="298"/>
      <c r="X203" s="298"/>
      <c r="Y203" s="298"/>
      <c r="Z203" s="298"/>
      <c r="AA203" s="298"/>
      <c r="AB203" s="298"/>
      <c r="AC203" s="298"/>
      <c r="AD203" s="298"/>
      <c r="AE203" s="298"/>
      <c r="AF203" s="298"/>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row>
    <row r="204">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98"/>
      <c r="W204" s="298"/>
      <c r="X204" s="298"/>
      <c r="Y204" s="298"/>
      <c r="Z204" s="298"/>
      <c r="AA204" s="298"/>
      <c r="AB204" s="298"/>
      <c r="AC204" s="298"/>
      <c r="AD204" s="298"/>
      <c r="AE204" s="298"/>
      <c r="AF204" s="298"/>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row>
    <row r="205">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98"/>
      <c r="W205" s="298"/>
      <c r="X205" s="298"/>
      <c r="Y205" s="298"/>
      <c r="Z205" s="298"/>
      <c r="AA205" s="298"/>
      <c r="AB205" s="298"/>
      <c r="AC205" s="298"/>
      <c r="AD205" s="298"/>
      <c r="AE205" s="298"/>
      <c r="AF205" s="298"/>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row>
    <row r="206">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98"/>
      <c r="W206" s="298"/>
      <c r="X206" s="298"/>
      <c r="Y206" s="298"/>
      <c r="Z206" s="298"/>
      <c r="AA206" s="298"/>
      <c r="AB206" s="298"/>
      <c r="AC206" s="298"/>
      <c r="AD206" s="298"/>
      <c r="AE206" s="298"/>
      <c r="AF206" s="298"/>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row>
    <row r="207">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98"/>
      <c r="W207" s="298"/>
      <c r="X207" s="298"/>
      <c r="Y207" s="298"/>
      <c r="Z207" s="298"/>
      <c r="AA207" s="298"/>
      <c r="AB207" s="298"/>
      <c r="AC207" s="298"/>
      <c r="AD207" s="298"/>
      <c r="AE207" s="298"/>
      <c r="AF207" s="298"/>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row>
    <row r="208">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98"/>
      <c r="W208" s="298"/>
      <c r="X208" s="298"/>
      <c r="Y208" s="298"/>
      <c r="Z208" s="298"/>
      <c r="AA208" s="298"/>
      <c r="AB208" s="298"/>
      <c r="AC208" s="298"/>
      <c r="AD208" s="298"/>
      <c r="AE208" s="298"/>
      <c r="AF208" s="298"/>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row>
    <row r="209">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98"/>
      <c r="W209" s="298"/>
      <c r="X209" s="298"/>
      <c r="Y209" s="298"/>
      <c r="Z209" s="298"/>
      <c r="AA209" s="298"/>
      <c r="AB209" s="298"/>
      <c r="AC209" s="298"/>
      <c r="AD209" s="298"/>
      <c r="AE209" s="298"/>
      <c r="AF209" s="298"/>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row>
    <row r="210">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98"/>
      <c r="W210" s="298"/>
      <c r="X210" s="298"/>
      <c r="Y210" s="298"/>
      <c r="Z210" s="298"/>
      <c r="AA210" s="298"/>
      <c r="AB210" s="298"/>
      <c r="AC210" s="298"/>
      <c r="AD210" s="298"/>
      <c r="AE210" s="298"/>
      <c r="AF210" s="298"/>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row>
    <row r="21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98"/>
      <c r="W211" s="298"/>
      <c r="X211" s="298"/>
      <c r="Y211" s="298"/>
      <c r="Z211" s="298"/>
      <c r="AA211" s="298"/>
      <c r="AB211" s="298"/>
      <c r="AC211" s="298"/>
      <c r="AD211" s="298"/>
      <c r="AE211" s="298"/>
      <c r="AF211" s="298"/>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row>
    <row r="212">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98"/>
      <c r="W212" s="298"/>
      <c r="X212" s="298"/>
      <c r="Y212" s="298"/>
      <c r="Z212" s="298"/>
      <c r="AA212" s="298"/>
      <c r="AB212" s="298"/>
      <c r="AC212" s="298"/>
      <c r="AD212" s="298"/>
      <c r="AE212" s="298"/>
      <c r="AF212" s="298"/>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row>
    <row r="213">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98"/>
      <c r="W213" s="298"/>
      <c r="X213" s="298"/>
      <c r="Y213" s="298"/>
      <c r="Z213" s="298"/>
      <c r="AA213" s="298"/>
      <c r="AB213" s="298"/>
      <c r="AC213" s="298"/>
      <c r="AD213" s="298"/>
      <c r="AE213" s="298"/>
      <c r="AF213" s="298"/>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row>
    <row r="214">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98"/>
      <c r="W214" s="298"/>
      <c r="X214" s="298"/>
      <c r="Y214" s="298"/>
      <c r="Z214" s="298"/>
      <c r="AA214" s="298"/>
      <c r="AB214" s="298"/>
      <c r="AC214" s="298"/>
      <c r="AD214" s="298"/>
      <c r="AE214" s="298"/>
      <c r="AF214" s="298"/>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row>
    <row r="215">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98"/>
      <c r="W215" s="298"/>
      <c r="X215" s="298"/>
      <c r="Y215" s="298"/>
      <c r="Z215" s="298"/>
      <c r="AA215" s="298"/>
      <c r="AB215" s="298"/>
      <c r="AC215" s="298"/>
      <c r="AD215" s="298"/>
      <c r="AE215" s="298"/>
      <c r="AF215" s="298"/>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row>
    <row r="216">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98"/>
      <c r="W216" s="298"/>
      <c r="X216" s="298"/>
      <c r="Y216" s="298"/>
      <c r="Z216" s="298"/>
      <c r="AA216" s="298"/>
      <c r="AB216" s="298"/>
      <c r="AC216" s="298"/>
      <c r="AD216" s="298"/>
      <c r="AE216" s="298"/>
      <c r="AF216" s="298"/>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row>
    <row r="217">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98"/>
      <c r="W217" s="298"/>
      <c r="X217" s="298"/>
      <c r="Y217" s="298"/>
      <c r="Z217" s="298"/>
      <c r="AA217" s="298"/>
      <c r="AB217" s="298"/>
      <c r="AC217" s="298"/>
      <c r="AD217" s="298"/>
      <c r="AE217" s="298"/>
      <c r="AF217" s="298"/>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row>
    <row r="218">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98"/>
      <c r="W218" s="298"/>
      <c r="X218" s="298"/>
      <c r="Y218" s="298"/>
      <c r="Z218" s="298"/>
      <c r="AA218" s="298"/>
      <c r="AB218" s="298"/>
      <c r="AC218" s="298"/>
      <c r="AD218" s="298"/>
      <c r="AE218" s="298"/>
      <c r="AF218" s="298"/>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row>
    <row r="219">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98"/>
      <c r="W219" s="298"/>
      <c r="X219" s="298"/>
      <c r="Y219" s="298"/>
      <c r="Z219" s="298"/>
      <c r="AA219" s="298"/>
      <c r="AB219" s="298"/>
      <c r="AC219" s="298"/>
      <c r="AD219" s="298"/>
      <c r="AE219" s="298"/>
      <c r="AF219" s="298"/>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row>
    <row r="220">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98"/>
      <c r="W220" s="298"/>
      <c r="X220" s="298"/>
      <c r="Y220" s="298"/>
      <c r="Z220" s="298"/>
      <c r="AA220" s="298"/>
      <c r="AB220" s="298"/>
      <c r="AC220" s="298"/>
      <c r="AD220" s="298"/>
      <c r="AE220" s="298"/>
      <c r="AF220" s="298"/>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row>
    <row r="22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98"/>
      <c r="W221" s="298"/>
      <c r="X221" s="298"/>
      <c r="Y221" s="298"/>
      <c r="Z221" s="298"/>
      <c r="AA221" s="298"/>
      <c r="AB221" s="298"/>
      <c r="AC221" s="298"/>
      <c r="AD221" s="298"/>
      <c r="AE221" s="298"/>
      <c r="AF221" s="298"/>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row>
    <row r="222">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98"/>
      <c r="W222" s="298"/>
      <c r="X222" s="298"/>
      <c r="Y222" s="298"/>
      <c r="Z222" s="298"/>
      <c r="AA222" s="298"/>
      <c r="AB222" s="298"/>
      <c r="AC222" s="298"/>
      <c r="AD222" s="298"/>
      <c r="AE222" s="298"/>
      <c r="AF222" s="298"/>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row>
    <row r="223">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98"/>
      <c r="W223" s="298"/>
      <c r="X223" s="298"/>
      <c r="Y223" s="298"/>
      <c r="Z223" s="298"/>
      <c r="AA223" s="298"/>
      <c r="AB223" s="298"/>
      <c r="AC223" s="298"/>
      <c r="AD223" s="298"/>
      <c r="AE223" s="298"/>
      <c r="AF223" s="298"/>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row>
    <row r="224">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98"/>
      <c r="W224" s="298"/>
      <c r="X224" s="298"/>
      <c r="Y224" s="298"/>
      <c r="Z224" s="298"/>
      <c r="AA224" s="298"/>
      <c r="AB224" s="298"/>
      <c r="AC224" s="298"/>
      <c r="AD224" s="298"/>
      <c r="AE224" s="298"/>
      <c r="AF224" s="298"/>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row>
    <row r="225">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98"/>
      <c r="W225" s="298"/>
      <c r="X225" s="298"/>
      <c r="Y225" s="298"/>
      <c r="Z225" s="298"/>
      <c r="AA225" s="298"/>
      <c r="AB225" s="298"/>
      <c r="AC225" s="298"/>
      <c r="AD225" s="298"/>
      <c r="AE225" s="298"/>
      <c r="AF225" s="298"/>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row>
    <row r="226">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98"/>
      <c r="W226" s="298"/>
      <c r="X226" s="298"/>
      <c r="Y226" s="298"/>
      <c r="Z226" s="298"/>
      <c r="AA226" s="298"/>
      <c r="AB226" s="298"/>
      <c r="AC226" s="298"/>
      <c r="AD226" s="298"/>
      <c r="AE226" s="298"/>
      <c r="AF226" s="298"/>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row>
    <row r="227">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98"/>
      <c r="W227" s="298"/>
      <c r="X227" s="298"/>
      <c r="Y227" s="298"/>
      <c r="Z227" s="298"/>
      <c r="AA227" s="298"/>
      <c r="AB227" s="298"/>
      <c r="AC227" s="298"/>
      <c r="AD227" s="298"/>
      <c r="AE227" s="298"/>
      <c r="AF227" s="298"/>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row>
    <row r="228">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98"/>
      <c r="W228" s="298"/>
      <c r="X228" s="298"/>
      <c r="Y228" s="298"/>
      <c r="Z228" s="298"/>
      <c r="AA228" s="298"/>
      <c r="AB228" s="298"/>
      <c r="AC228" s="298"/>
      <c r="AD228" s="298"/>
      <c r="AE228" s="298"/>
      <c r="AF228" s="298"/>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row>
    <row r="229">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98"/>
      <c r="W229" s="298"/>
      <c r="X229" s="298"/>
      <c r="Y229" s="298"/>
      <c r="Z229" s="298"/>
      <c r="AA229" s="298"/>
      <c r="AB229" s="298"/>
      <c r="AC229" s="298"/>
      <c r="AD229" s="298"/>
      <c r="AE229" s="298"/>
      <c r="AF229" s="298"/>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row>
    <row r="230">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98"/>
      <c r="W230" s="298"/>
      <c r="X230" s="298"/>
      <c r="Y230" s="298"/>
      <c r="Z230" s="298"/>
      <c r="AA230" s="298"/>
      <c r="AB230" s="298"/>
      <c r="AC230" s="298"/>
      <c r="AD230" s="298"/>
      <c r="AE230" s="298"/>
      <c r="AF230" s="298"/>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row>
    <row r="23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98"/>
      <c r="W231" s="298"/>
      <c r="X231" s="298"/>
      <c r="Y231" s="298"/>
      <c r="Z231" s="298"/>
      <c r="AA231" s="298"/>
      <c r="AB231" s="298"/>
      <c r="AC231" s="298"/>
      <c r="AD231" s="298"/>
      <c r="AE231" s="298"/>
      <c r="AF231" s="298"/>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row>
    <row r="232">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98"/>
      <c r="W232" s="298"/>
      <c r="X232" s="298"/>
      <c r="Y232" s="298"/>
      <c r="Z232" s="298"/>
      <c r="AA232" s="298"/>
      <c r="AB232" s="298"/>
      <c r="AC232" s="298"/>
      <c r="AD232" s="298"/>
      <c r="AE232" s="298"/>
      <c r="AF232" s="298"/>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row>
    <row r="233">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98"/>
      <c r="W233" s="298"/>
      <c r="X233" s="298"/>
      <c r="Y233" s="298"/>
      <c r="Z233" s="298"/>
      <c r="AA233" s="298"/>
      <c r="AB233" s="298"/>
      <c r="AC233" s="298"/>
      <c r="AD233" s="298"/>
      <c r="AE233" s="298"/>
      <c r="AF233" s="298"/>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row>
    <row r="234">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98"/>
      <c r="W234" s="298"/>
      <c r="X234" s="298"/>
      <c r="Y234" s="298"/>
      <c r="Z234" s="298"/>
      <c r="AA234" s="298"/>
      <c r="AB234" s="298"/>
      <c r="AC234" s="298"/>
      <c r="AD234" s="298"/>
      <c r="AE234" s="298"/>
      <c r="AF234" s="298"/>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row>
    <row r="235">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98"/>
      <c r="W235" s="298"/>
      <c r="X235" s="298"/>
      <c r="Y235" s="298"/>
      <c r="Z235" s="298"/>
      <c r="AA235" s="298"/>
      <c r="AB235" s="298"/>
      <c r="AC235" s="298"/>
      <c r="AD235" s="298"/>
      <c r="AE235" s="298"/>
      <c r="AF235" s="298"/>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row>
    <row r="236">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98"/>
      <c r="W236" s="298"/>
      <c r="X236" s="298"/>
      <c r="Y236" s="298"/>
      <c r="Z236" s="298"/>
      <c r="AA236" s="298"/>
      <c r="AB236" s="298"/>
      <c r="AC236" s="298"/>
      <c r="AD236" s="298"/>
      <c r="AE236" s="298"/>
      <c r="AF236" s="298"/>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row>
    <row r="237">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98"/>
      <c r="W237" s="298"/>
      <c r="X237" s="298"/>
      <c r="Y237" s="298"/>
      <c r="Z237" s="298"/>
      <c r="AA237" s="298"/>
      <c r="AB237" s="298"/>
      <c r="AC237" s="298"/>
      <c r="AD237" s="298"/>
      <c r="AE237" s="298"/>
      <c r="AF237" s="298"/>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row>
    <row r="238">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98"/>
      <c r="W238" s="298"/>
      <c r="X238" s="298"/>
      <c r="Y238" s="298"/>
      <c r="Z238" s="298"/>
      <c r="AA238" s="298"/>
      <c r="AB238" s="298"/>
      <c r="AC238" s="298"/>
      <c r="AD238" s="298"/>
      <c r="AE238" s="298"/>
      <c r="AF238" s="298"/>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row>
    <row r="239">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98"/>
      <c r="W239" s="298"/>
      <c r="X239" s="298"/>
      <c r="Y239" s="298"/>
      <c r="Z239" s="298"/>
      <c r="AA239" s="298"/>
      <c r="AB239" s="298"/>
      <c r="AC239" s="298"/>
      <c r="AD239" s="298"/>
      <c r="AE239" s="298"/>
      <c r="AF239" s="298"/>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row>
    <row r="240">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98"/>
      <c r="W240" s="298"/>
      <c r="X240" s="298"/>
      <c r="Y240" s="298"/>
      <c r="Z240" s="298"/>
      <c r="AA240" s="298"/>
      <c r="AB240" s="298"/>
      <c r="AC240" s="298"/>
      <c r="AD240" s="298"/>
      <c r="AE240" s="298"/>
      <c r="AF240" s="298"/>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row>
    <row r="24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98"/>
      <c r="W241" s="298"/>
      <c r="X241" s="298"/>
      <c r="Y241" s="298"/>
      <c r="Z241" s="298"/>
      <c r="AA241" s="298"/>
      <c r="AB241" s="298"/>
      <c r="AC241" s="298"/>
      <c r="AD241" s="298"/>
      <c r="AE241" s="298"/>
      <c r="AF241" s="298"/>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row>
    <row r="242">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98"/>
      <c r="W242" s="298"/>
      <c r="X242" s="298"/>
      <c r="Y242" s="298"/>
      <c r="Z242" s="298"/>
      <c r="AA242" s="298"/>
      <c r="AB242" s="298"/>
      <c r="AC242" s="298"/>
      <c r="AD242" s="298"/>
      <c r="AE242" s="298"/>
      <c r="AF242" s="298"/>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row>
    <row r="243">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98"/>
      <c r="W243" s="298"/>
      <c r="X243" s="298"/>
      <c r="Y243" s="298"/>
      <c r="Z243" s="298"/>
      <c r="AA243" s="298"/>
      <c r="AB243" s="298"/>
      <c r="AC243" s="298"/>
      <c r="AD243" s="298"/>
      <c r="AE243" s="298"/>
      <c r="AF243" s="298"/>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row>
    <row r="244">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98"/>
      <c r="W244" s="298"/>
      <c r="X244" s="298"/>
      <c r="Y244" s="298"/>
      <c r="Z244" s="298"/>
      <c r="AA244" s="298"/>
      <c r="AB244" s="298"/>
      <c r="AC244" s="298"/>
      <c r="AD244" s="298"/>
      <c r="AE244" s="298"/>
      <c r="AF244" s="298"/>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row>
    <row r="245">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98"/>
      <c r="W245" s="298"/>
      <c r="X245" s="298"/>
      <c r="Y245" s="298"/>
      <c r="Z245" s="298"/>
      <c r="AA245" s="298"/>
      <c r="AB245" s="298"/>
      <c r="AC245" s="298"/>
      <c r="AD245" s="298"/>
      <c r="AE245" s="298"/>
      <c r="AF245" s="298"/>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row>
    <row r="246">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98"/>
      <c r="W246" s="298"/>
      <c r="X246" s="298"/>
      <c r="Y246" s="298"/>
      <c r="Z246" s="298"/>
      <c r="AA246" s="298"/>
      <c r="AB246" s="298"/>
      <c r="AC246" s="298"/>
      <c r="AD246" s="298"/>
      <c r="AE246" s="298"/>
      <c r="AF246" s="298"/>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row>
    <row r="247">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98"/>
      <c r="W247" s="298"/>
      <c r="X247" s="298"/>
      <c r="Y247" s="298"/>
      <c r="Z247" s="298"/>
      <c r="AA247" s="298"/>
      <c r="AB247" s="298"/>
      <c r="AC247" s="298"/>
      <c r="AD247" s="298"/>
      <c r="AE247" s="298"/>
      <c r="AF247" s="298"/>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row>
    <row r="248">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98"/>
      <c r="W248" s="298"/>
      <c r="X248" s="298"/>
      <c r="Y248" s="298"/>
      <c r="Z248" s="298"/>
      <c r="AA248" s="298"/>
      <c r="AB248" s="298"/>
      <c r="AC248" s="298"/>
      <c r="AD248" s="298"/>
      <c r="AE248" s="298"/>
      <c r="AF248" s="298"/>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row>
    <row r="249">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98"/>
      <c r="W249" s="298"/>
      <c r="X249" s="298"/>
      <c r="Y249" s="298"/>
      <c r="Z249" s="298"/>
      <c r="AA249" s="298"/>
      <c r="AB249" s="298"/>
      <c r="AC249" s="298"/>
      <c r="AD249" s="298"/>
      <c r="AE249" s="298"/>
      <c r="AF249" s="298"/>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row>
    <row r="250">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98"/>
      <c r="W250" s="298"/>
      <c r="X250" s="298"/>
      <c r="Y250" s="298"/>
      <c r="Z250" s="298"/>
      <c r="AA250" s="298"/>
      <c r="AB250" s="298"/>
      <c r="AC250" s="298"/>
      <c r="AD250" s="298"/>
      <c r="AE250" s="298"/>
      <c r="AF250" s="298"/>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row>
    <row r="25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98"/>
      <c r="W251" s="298"/>
      <c r="X251" s="298"/>
      <c r="Y251" s="298"/>
      <c r="Z251" s="298"/>
      <c r="AA251" s="298"/>
      <c r="AB251" s="298"/>
      <c r="AC251" s="298"/>
      <c r="AD251" s="298"/>
      <c r="AE251" s="298"/>
      <c r="AF251" s="298"/>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row>
    <row r="252">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98"/>
      <c r="W252" s="298"/>
      <c r="X252" s="298"/>
      <c r="Y252" s="298"/>
      <c r="Z252" s="298"/>
      <c r="AA252" s="298"/>
      <c r="AB252" s="298"/>
      <c r="AC252" s="298"/>
      <c r="AD252" s="298"/>
      <c r="AE252" s="298"/>
      <c r="AF252" s="298"/>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row>
    <row r="253">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98"/>
      <c r="W253" s="298"/>
      <c r="X253" s="298"/>
      <c r="Y253" s="298"/>
      <c r="Z253" s="298"/>
      <c r="AA253" s="298"/>
      <c r="AB253" s="298"/>
      <c r="AC253" s="298"/>
      <c r="AD253" s="298"/>
      <c r="AE253" s="298"/>
      <c r="AF253" s="298"/>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row>
    <row r="254">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98"/>
      <c r="W254" s="298"/>
      <c r="X254" s="298"/>
      <c r="Y254" s="298"/>
      <c r="Z254" s="298"/>
      <c r="AA254" s="298"/>
      <c r="AB254" s="298"/>
      <c r="AC254" s="298"/>
      <c r="AD254" s="298"/>
      <c r="AE254" s="298"/>
      <c r="AF254" s="298"/>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row>
    <row r="255">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98"/>
      <c r="W255" s="298"/>
      <c r="X255" s="298"/>
      <c r="Y255" s="298"/>
      <c r="Z255" s="298"/>
      <c r="AA255" s="298"/>
      <c r="AB255" s="298"/>
      <c r="AC255" s="298"/>
      <c r="AD255" s="298"/>
      <c r="AE255" s="298"/>
      <c r="AF255" s="298"/>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row>
    <row r="256">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98"/>
      <c r="W256" s="298"/>
      <c r="X256" s="298"/>
      <c r="Y256" s="298"/>
      <c r="Z256" s="298"/>
      <c r="AA256" s="298"/>
      <c r="AB256" s="298"/>
      <c r="AC256" s="298"/>
      <c r="AD256" s="298"/>
      <c r="AE256" s="298"/>
      <c r="AF256" s="298"/>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row>
    <row r="257">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98"/>
      <c r="W257" s="298"/>
      <c r="X257" s="298"/>
      <c r="Y257" s="298"/>
      <c r="Z257" s="298"/>
      <c r="AA257" s="298"/>
      <c r="AB257" s="298"/>
      <c r="AC257" s="298"/>
      <c r="AD257" s="298"/>
      <c r="AE257" s="298"/>
      <c r="AF257" s="298"/>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row>
    <row r="258">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98"/>
      <c r="W258" s="298"/>
      <c r="X258" s="298"/>
      <c r="Y258" s="298"/>
      <c r="Z258" s="298"/>
      <c r="AA258" s="298"/>
      <c r="AB258" s="298"/>
      <c r="AC258" s="298"/>
      <c r="AD258" s="298"/>
      <c r="AE258" s="298"/>
      <c r="AF258" s="298"/>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row>
    <row r="259">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98"/>
      <c r="W259" s="298"/>
      <c r="X259" s="298"/>
      <c r="Y259" s="298"/>
      <c r="Z259" s="298"/>
      <c r="AA259" s="298"/>
      <c r="AB259" s="298"/>
      <c r="AC259" s="298"/>
      <c r="AD259" s="298"/>
      <c r="AE259" s="298"/>
      <c r="AF259" s="298"/>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row>
    <row r="260">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98"/>
      <c r="W260" s="298"/>
      <c r="X260" s="298"/>
      <c r="Y260" s="298"/>
      <c r="Z260" s="298"/>
      <c r="AA260" s="298"/>
      <c r="AB260" s="298"/>
      <c r="AC260" s="298"/>
      <c r="AD260" s="298"/>
      <c r="AE260" s="298"/>
      <c r="AF260" s="298"/>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row>
    <row r="26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98"/>
      <c r="W261" s="298"/>
      <c r="X261" s="298"/>
      <c r="Y261" s="298"/>
      <c r="Z261" s="298"/>
      <c r="AA261" s="298"/>
      <c r="AB261" s="298"/>
      <c r="AC261" s="298"/>
      <c r="AD261" s="298"/>
      <c r="AE261" s="298"/>
      <c r="AF261" s="298"/>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row>
    <row r="262">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98"/>
      <c r="W262" s="298"/>
      <c r="X262" s="298"/>
      <c r="Y262" s="298"/>
      <c r="Z262" s="298"/>
      <c r="AA262" s="298"/>
      <c r="AB262" s="298"/>
      <c r="AC262" s="298"/>
      <c r="AD262" s="298"/>
      <c r="AE262" s="298"/>
      <c r="AF262" s="298"/>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row>
    <row r="263">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98"/>
      <c r="W263" s="298"/>
      <c r="X263" s="298"/>
      <c r="Y263" s="298"/>
      <c r="Z263" s="298"/>
      <c r="AA263" s="298"/>
      <c r="AB263" s="298"/>
      <c r="AC263" s="298"/>
      <c r="AD263" s="298"/>
      <c r="AE263" s="298"/>
      <c r="AF263" s="298"/>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row>
    <row r="264">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98"/>
      <c r="W264" s="298"/>
      <c r="X264" s="298"/>
      <c r="Y264" s="298"/>
      <c r="Z264" s="298"/>
      <c r="AA264" s="298"/>
      <c r="AB264" s="298"/>
      <c r="AC264" s="298"/>
      <c r="AD264" s="298"/>
      <c r="AE264" s="298"/>
      <c r="AF264" s="298"/>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row>
    <row r="265">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98"/>
      <c r="W265" s="298"/>
      <c r="X265" s="298"/>
      <c r="Y265" s="298"/>
      <c r="Z265" s="298"/>
      <c r="AA265" s="298"/>
      <c r="AB265" s="298"/>
      <c r="AC265" s="298"/>
      <c r="AD265" s="298"/>
      <c r="AE265" s="298"/>
      <c r="AF265" s="298"/>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row>
    <row r="266">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98"/>
      <c r="W266" s="298"/>
      <c r="X266" s="298"/>
      <c r="Y266" s="298"/>
      <c r="Z266" s="298"/>
      <c r="AA266" s="298"/>
      <c r="AB266" s="298"/>
      <c r="AC266" s="298"/>
      <c r="AD266" s="298"/>
      <c r="AE266" s="298"/>
      <c r="AF266" s="298"/>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row>
    <row r="267">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98"/>
      <c r="W267" s="298"/>
      <c r="X267" s="298"/>
      <c r="Y267" s="298"/>
      <c r="Z267" s="298"/>
      <c r="AA267" s="298"/>
      <c r="AB267" s="298"/>
      <c r="AC267" s="298"/>
      <c r="AD267" s="298"/>
      <c r="AE267" s="298"/>
      <c r="AF267" s="298"/>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row>
    <row r="268">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98"/>
      <c r="W268" s="298"/>
      <c r="X268" s="298"/>
      <c r="Y268" s="298"/>
      <c r="Z268" s="298"/>
      <c r="AA268" s="298"/>
      <c r="AB268" s="298"/>
      <c r="AC268" s="298"/>
      <c r="AD268" s="298"/>
      <c r="AE268" s="298"/>
      <c r="AF268" s="298"/>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row>
    <row r="269">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98"/>
      <c r="W269" s="298"/>
      <c r="X269" s="298"/>
      <c r="Y269" s="298"/>
      <c r="Z269" s="298"/>
      <c r="AA269" s="298"/>
      <c r="AB269" s="298"/>
      <c r="AC269" s="298"/>
      <c r="AD269" s="298"/>
      <c r="AE269" s="298"/>
      <c r="AF269" s="298"/>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row>
    <row r="270">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98"/>
      <c r="W270" s="298"/>
      <c r="X270" s="298"/>
      <c r="Y270" s="298"/>
      <c r="Z270" s="298"/>
      <c r="AA270" s="298"/>
      <c r="AB270" s="298"/>
      <c r="AC270" s="298"/>
      <c r="AD270" s="298"/>
      <c r="AE270" s="298"/>
      <c r="AF270" s="298"/>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row>
    <row r="27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98"/>
      <c r="W271" s="298"/>
      <c r="X271" s="298"/>
      <c r="Y271" s="298"/>
      <c r="Z271" s="298"/>
      <c r="AA271" s="298"/>
      <c r="AB271" s="298"/>
      <c r="AC271" s="298"/>
      <c r="AD271" s="298"/>
      <c r="AE271" s="298"/>
      <c r="AF271" s="298"/>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row>
    <row r="272">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98"/>
      <c r="W272" s="298"/>
      <c r="X272" s="298"/>
      <c r="Y272" s="298"/>
      <c r="Z272" s="298"/>
      <c r="AA272" s="298"/>
      <c r="AB272" s="298"/>
      <c r="AC272" s="298"/>
      <c r="AD272" s="298"/>
      <c r="AE272" s="298"/>
      <c r="AF272" s="298"/>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row>
    <row r="273">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98"/>
      <c r="W273" s="298"/>
      <c r="X273" s="298"/>
      <c r="Y273" s="298"/>
      <c r="Z273" s="298"/>
      <c r="AA273" s="298"/>
      <c r="AB273" s="298"/>
      <c r="AC273" s="298"/>
      <c r="AD273" s="298"/>
      <c r="AE273" s="298"/>
      <c r="AF273" s="298"/>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row>
    <row r="274">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98"/>
      <c r="W274" s="298"/>
      <c r="X274" s="298"/>
      <c r="Y274" s="298"/>
      <c r="Z274" s="298"/>
      <c r="AA274" s="298"/>
      <c r="AB274" s="298"/>
      <c r="AC274" s="298"/>
      <c r="AD274" s="298"/>
      <c r="AE274" s="298"/>
      <c r="AF274" s="298"/>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row>
    <row r="275">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98"/>
      <c r="W275" s="298"/>
      <c r="X275" s="298"/>
      <c r="Y275" s="298"/>
      <c r="Z275" s="298"/>
      <c r="AA275" s="298"/>
      <c r="AB275" s="298"/>
      <c r="AC275" s="298"/>
      <c r="AD275" s="298"/>
      <c r="AE275" s="298"/>
      <c r="AF275" s="298"/>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row>
    <row r="276">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98"/>
      <c r="W276" s="298"/>
      <c r="X276" s="298"/>
      <c r="Y276" s="298"/>
      <c r="Z276" s="298"/>
      <c r="AA276" s="298"/>
      <c r="AB276" s="298"/>
      <c r="AC276" s="298"/>
      <c r="AD276" s="298"/>
      <c r="AE276" s="298"/>
      <c r="AF276" s="298"/>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row>
    <row r="277">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98"/>
      <c r="W277" s="298"/>
      <c r="X277" s="298"/>
      <c r="Y277" s="298"/>
      <c r="Z277" s="298"/>
      <c r="AA277" s="298"/>
      <c r="AB277" s="298"/>
      <c r="AC277" s="298"/>
      <c r="AD277" s="298"/>
      <c r="AE277" s="298"/>
      <c r="AF277" s="298"/>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row>
    <row r="278">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98"/>
      <c r="W278" s="298"/>
      <c r="X278" s="298"/>
      <c r="Y278" s="298"/>
      <c r="Z278" s="298"/>
      <c r="AA278" s="298"/>
      <c r="AB278" s="298"/>
      <c r="AC278" s="298"/>
      <c r="AD278" s="298"/>
      <c r="AE278" s="298"/>
      <c r="AF278" s="298"/>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row>
    <row r="279">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98"/>
      <c r="W279" s="298"/>
      <c r="X279" s="298"/>
      <c r="Y279" s="298"/>
      <c r="Z279" s="298"/>
      <c r="AA279" s="298"/>
      <c r="AB279" s="298"/>
      <c r="AC279" s="298"/>
      <c r="AD279" s="298"/>
      <c r="AE279" s="298"/>
      <c r="AF279" s="298"/>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row>
    <row r="280">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98"/>
      <c r="W280" s="298"/>
      <c r="X280" s="298"/>
      <c r="Y280" s="298"/>
      <c r="Z280" s="298"/>
      <c r="AA280" s="298"/>
      <c r="AB280" s="298"/>
      <c r="AC280" s="298"/>
      <c r="AD280" s="298"/>
      <c r="AE280" s="298"/>
      <c r="AF280" s="298"/>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row>
    <row r="28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98"/>
      <c r="W281" s="298"/>
      <c r="X281" s="298"/>
      <c r="Y281" s="298"/>
      <c r="Z281" s="298"/>
      <c r="AA281" s="298"/>
      <c r="AB281" s="298"/>
      <c r="AC281" s="298"/>
      <c r="AD281" s="298"/>
      <c r="AE281" s="298"/>
      <c r="AF281" s="298"/>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row>
    <row r="282">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98"/>
      <c r="W282" s="298"/>
      <c r="X282" s="298"/>
      <c r="Y282" s="298"/>
      <c r="Z282" s="298"/>
      <c r="AA282" s="298"/>
      <c r="AB282" s="298"/>
      <c r="AC282" s="298"/>
      <c r="AD282" s="298"/>
      <c r="AE282" s="298"/>
      <c r="AF282" s="298"/>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row>
    <row r="283">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98"/>
      <c r="W283" s="298"/>
      <c r="X283" s="298"/>
      <c r="Y283" s="298"/>
      <c r="Z283" s="298"/>
      <c r="AA283" s="298"/>
      <c r="AB283" s="298"/>
      <c r="AC283" s="298"/>
      <c r="AD283" s="298"/>
      <c r="AE283" s="298"/>
      <c r="AF283" s="298"/>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row>
    <row r="284">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98"/>
      <c r="W284" s="298"/>
      <c r="X284" s="298"/>
      <c r="Y284" s="298"/>
      <c r="Z284" s="298"/>
      <c r="AA284" s="298"/>
      <c r="AB284" s="298"/>
      <c r="AC284" s="298"/>
      <c r="AD284" s="298"/>
      <c r="AE284" s="298"/>
      <c r="AF284" s="298"/>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row>
    <row r="285">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98"/>
      <c r="W285" s="298"/>
      <c r="X285" s="298"/>
      <c r="Y285" s="298"/>
      <c r="Z285" s="298"/>
      <c r="AA285" s="298"/>
      <c r="AB285" s="298"/>
      <c r="AC285" s="298"/>
      <c r="AD285" s="298"/>
      <c r="AE285" s="298"/>
      <c r="AF285" s="298"/>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row>
    <row r="286">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98"/>
      <c r="W286" s="298"/>
      <c r="X286" s="298"/>
      <c r="Y286" s="298"/>
      <c r="Z286" s="298"/>
      <c r="AA286" s="298"/>
      <c r="AB286" s="298"/>
      <c r="AC286" s="298"/>
      <c r="AD286" s="298"/>
      <c r="AE286" s="298"/>
      <c r="AF286" s="298"/>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row>
    <row r="287">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98"/>
      <c r="W287" s="298"/>
      <c r="X287" s="298"/>
      <c r="Y287" s="298"/>
      <c r="Z287" s="298"/>
      <c r="AA287" s="298"/>
      <c r="AB287" s="298"/>
      <c r="AC287" s="298"/>
      <c r="AD287" s="298"/>
      <c r="AE287" s="298"/>
      <c r="AF287" s="298"/>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row>
    <row r="288">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98"/>
      <c r="W288" s="298"/>
      <c r="X288" s="298"/>
      <c r="Y288" s="298"/>
      <c r="Z288" s="298"/>
      <c r="AA288" s="298"/>
      <c r="AB288" s="298"/>
      <c r="AC288" s="298"/>
      <c r="AD288" s="298"/>
      <c r="AE288" s="298"/>
      <c r="AF288" s="298"/>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row>
    <row r="289">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98"/>
      <c r="W289" s="298"/>
      <c r="X289" s="298"/>
      <c r="Y289" s="298"/>
      <c r="Z289" s="298"/>
      <c r="AA289" s="298"/>
      <c r="AB289" s="298"/>
      <c r="AC289" s="298"/>
      <c r="AD289" s="298"/>
      <c r="AE289" s="298"/>
      <c r="AF289" s="298"/>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row>
    <row r="290">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98"/>
      <c r="W290" s="298"/>
      <c r="X290" s="298"/>
      <c r="Y290" s="298"/>
      <c r="Z290" s="298"/>
      <c r="AA290" s="298"/>
      <c r="AB290" s="298"/>
      <c r="AC290" s="298"/>
      <c r="AD290" s="298"/>
      <c r="AE290" s="298"/>
      <c r="AF290" s="298"/>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row>
    <row r="29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98"/>
      <c r="W291" s="298"/>
      <c r="X291" s="298"/>
      <c r="Y291" s="298"/>
      <c r="Z291" s="298"/>
      <c r="AA291" s="298"/>
      <c r="AB291" s="298"/>
      <c r="AC291" s="298"/>
      <c r="AD291" s="298"/>
      <c r="AE291" s="298"/>
      <c r="AF291" s="298"/>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row>
    <row r="292">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98"/>
      <c r="W292" s="298"/>
      <c r="X292" s="298"/>
      <c r="Y292" s="298"/>
      <c r="Z292" s="298"/>
      <c r="AA292" s="298"/>
      <c r="AB292" s="298"/>
      <c r="AC292" s="298"/>
      <c r="AD292" s="298"/>
      <c r="AE292" s="298"/>
      <c r="AF292" s="298"/>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row>
    <row r="293">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98"/>
      <c r="W293" s="298"/>
      <c r="X293" s="298"/>
      <c r="Y293" s="298"/>
      <c r="Z293" s="298"/>
      <c r="AA293" s="298"/>
      <c r="AB293" s="298"/>
      <c r="AC293" s="298"/>
      <c r="AD293" s="298"/>
      <c r="AE293" s="298"/>
      <c r="AF293" s="298"/>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row>
    <row r="294">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98"/>
      <c r="W294" s="298"/>
      <c r="X294" s="298"/>
      <c r="Y294" s="298"/>
      <c r="Z294" s="298"/>
      <c r="AA294" s="298"/>
      <c r="AB294" s="298"/>
      <c r="AC294" s="298"/>
      <c r="AD294" s="298"/>
      <c r="AE294" s="298"/>
      <c r="AF294" s="298"/>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row>
    <row r="295">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98"/>
      <c r="W295" s="298"/>
      <c r="X295" s="298"/>
      <c r="Y295" s="298"/>
      <c r="Z295" s="298"/>
      <c r="AA295" s="298"/>
      <c r="AB295" s="298"/>
      <c r="AC295" s="298"/>
      <c r="AD295" s="298"/>
      <c r="AE295" s="298"/>
      <c r="AF295" s="298"/>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row>
    <row r="296">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98"/>
      <c r="W296" s="298"/>
      <c r="X296" s="298"/>
      <c r="Y296" s="298"/>
      <c r="Z296" s="298"/>
      <c r="AA296" s="298"/>
      <c r="AB296" s="298"/>
      <c r="AC296" s="298"/>
      <c r="AD296" s="298"/>
      <c r="AE296" s="298"/>
      <c r="AF296" s="298"/>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row>
    <row r="297">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98"/>
      <c r="W297" s="298"/>
      <c r="X297" s="298"/>
      <c r="Y297" s="298"/>
      <c r="Z297" s="298"/>
      <c r="AA297" s="298"/>
      <c r="AB297" s="298"/>
      <c r="AC297" s="298"/>
      <c r="AD297" s="298"/>
      <c r="AE297" s="298"/>
      <c r="AF297" s="298"/>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row>
    <row r="298">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98"/>
      <c r="W298" s="298"/>
      <c r="X298" s="298"/>
      <c r="Y298" s="298"/>
      <c r="Z298" s="298"/>
      <c r="AA298" s="298"/>
      <c r="AB298" s="298"/>
      <c r="AC298" s="298"/>
      <c r="AD298" s="298"/>
      <c r="AE298" s="298"/>
      <c r="AF298" s="298"/>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row>
    <row r="299">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98"/>
      <c r="W299" s="298"/>
      <c r="X299" s="298"/>
      <c r="Y299" s="298"/>
      <c r="Z299" s="298"/>
      <c r="AA299" s="298"/>
      <c r="AB299" s="298"/>
      <c r="AC299" s="298"/>
      <c r="AD299" s="298"/>
      <c r="AE299" s="298"/>
      <c r="AF299" s="298"/>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row>
    <row r="300">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98"/>
      <c r="W300" s="298"/>
      <c r="X300" s="298"/>
      <c r="Y300" s="298"/>
      <c r="Z300" s="298"/>
      <c r="AA300" s="298"/>
      <c r="AB300" s="298"/>
      <c r="AC300" s="298"/>
      <c r="AD300" s="298"/>
      <c r="AE300" s="298"/>
      <c r="AF300" s="298"/>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row>
    <row r="30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98"/>
      <c r="W301" s="298"/>
      <c r="X301" s="298"/>
      <c r="Y301" s="298"/>
      <c r="Z301" s="298"/>
      <c r="AA301" s="298"/>
      <c r="AB301" s="298"/>
      <c r="AC301" s="298"/>
      <c r="AD301" s="298"/>
      <c r="AE301" s="298"/>
      <c r="AF301" s="298"/>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row>
    <row r="302">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98"/>
      <c r="W302" s="298"/>
      <c r="X302" s="298"/>
      <c r="Y302" s="298"/>
      <c r="Z302" s="298"/>
      <c r="AA302" s="298"/>
      <c r="AB302" s="298"/>
      <c r="AC302" s="298"/>
      <c r="AD302" s="298"/>
      <c r="AE302" s="298"/>
      <c r="AF302" s="298"/>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row>
    <row r="303">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98"/>
      <c r="W303" s="298"/>
      <c r="X303" s="298"/>
      <c r="Y303" s="298"/>
      <c r="Z303" s="298"/>
      <c r="AA303" s="298"/>
      <c r="AB303" s="298"/>
      <c r="AC303" s="298"/>
      <c r="AD303" s="298"/>
      <c r="AE303" s="298"/>
      <c r="AF303" s="298"/>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row>
    <row r="304">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98"/>
      <c r="W304" s="298"/>
      <c r="X304" s="298"/>
      <c r="Y304" s="298"/>
      <c r="Z304" s="298"/>
      <c r="AA304" s="298"/>
      <c r="AB304" s="298"/>
      <c r="AC304" s="298"/>
      <c r="AD304" s="298"/>
      <c r="AE304" s="298"/>
      <c r="AF304" s="298"/>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row>
    <row r="305">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98"/>
      <c r="W305" s="298"/>
      <c r="X305" s="298"/>
      <c r="Y305" s="298"/>
      <c r="Z305" s="298"/>
      <c r="AA305" s="298"/>
      <c r="AB305" s="298"/>
      <c r="AC305" s="298"/>
      <c r="AD305" s="298"/>
      <c r="AE305" s="298"/>
      <c r="AF305" s="298"/>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row>
    <row r="306">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98"/>
      <c r="W306" s="298"/>
      <c r="X306" s="298"/>
      <c r="Y306" s="298"/>
      <c r="Z306" s="298"/>
      <c r="AA306" s="298"/>
      <c r="AB306" s="298"/>
      <c r="AC306" s="298"/>
      <c r="AD306" s="298"/>
      <c r="AE306" s="298"/>
      <c r="AF306" s="298"/>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row>
    <row r="307">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98"/>
      <c r="W307" s="298"/>
      <c r="X307" s="298"/>
      <c r="Y307" s="298"/>
      <c r="Z307" s="298"/>
      <c r="AA307" s="298"/>
      <c r="AB307" s="298"/>
      <c r="AC307" s="298"/>
      <c r="AD307" s="298"/>
      <c r="AE307" s="298"/>
      <c r="AF307" s="298"/>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row>
    <row r="308">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98"/>
      <c r="W308" s="298"/>
      <c r="X308" s="298"/>
      <c r="Y308" s="298"/>
      <c r="Z308" s="298"/>
      <c r="AA308" s="298"/>
      <c r="AB308" s="298"/>
      <c r="AC308" s="298"/>
      <c r="AD308" s="298"/>
      <c r="AE308" s="298"/>
      <c r="AF308" s="298"/>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row>
    <row r="309">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98"/>
      <c r="W309" s="298"/>
      <c r="X309" s="298"/>
      <c r="Y309" s="298"/>
      <c r="Z309" s="298"/>
      <c r="AA309" s="298"/>
      <c r="AB309" s="298"/>
      <c r="AC309" s="298"/>
      <c r="AD309" s="298"/>
      <c r="AE309" s="298"/>
      <c r="AF309" s="298"/>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row>
    <row r="310">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98"/>
      <c r="W310" s="298"/>
      <c r="X310" s="298"/>
      <c r="Y310" s="298"/>
      <c r="Z310" s="298"/>
      <c r="AA310" s="298"/>
      <c r="AB310" s="298"/>
      <c r="AC310" s="298"/>
      <c r="AD310" s="298"/>
      <c r="AE310" s="298"/>
      <c r="AF310" s="298"/>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row>
    <row r="31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98"/>
      <c r="W311" s="298"/>
      <c r="X311" s="298"/>
      <c r="Y311" s="298"/>
      <c r="Z311" s="298"/>
      <c r="AA311" s="298"/>
      <c r="AB311" s="298"/>
      <c r="AC311" s="298"/>
      <c r="AD311" s="298"/>
      <c r="AE311" s="298"/>
      <c r="AF311" s="298"/>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row>
    <row r="312">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98"/>
      <c r="W312" s="298"/>
      <c r="X312" s="298"/>
      <c r="Y312" s="298"/>
      <c r="Z312" s="298"/>
      <c r="AA312" s="298"/>
      <c r="AB312" s="298"/>
      <c r="AC312" s="298"/>
      <c r="AD312" s="298"/>
      <c r="AE312" s="298"/>
      <c r="AF312" s="298"/>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row>
    <row r="313">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98"/>
      <c r="W313" s="298"/>
      <c r="X313" s="298"/>
      <c r="Y313" s="298"/>
      <c r="Z313" s="298"/>
      <c r="AA313" s="298"/>
      <c r="AB313" s="298"/>
      <c r="AC313" s="298"/>
      <c r="AD313" s="298"/>
      <c r="AE313" s="298"/>
      <c r="AF313" s="298"/>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row>
    <row r="314">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98"/>
      <c r="W314" s="298"/>
      <c r="X314" s="298"/>
      <c r="Y314" s="298"/>
      <c r="Z314" s="298"/>
      <c r="AA314" s="298"/>
      <c r="AB314" s="298"/>
      <c r="AC314" s="298"/>
      <c r="AD314" s="298"/>
      <c r="AE314" s="298"/>
      <c r="AF314" s="298"/>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row>
    <row r="315">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98"/>
      <c r="W315" s="298"/>
      <c r="X315" s="298"/>
      <c r="Y315" s="298"/>
      <c r="Z315" s="298"/>
      <c r="AA315" s="298"/>
      <c r="AB315" s="298"/>
      <c r="AC315" s="298"/>
      <c r="AD315" s="298"/>
      <c r="AE315" s="298"/>
      <c r="AF315" s="298"/>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row>
    <row r="316">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98"/>
      <c r="W316" s="298"/>
      <c r="X316" s="298"/>
      <c r="Y316" s="298"/>
      <c r="Z316" s="298"/>
      <c r="AA316" s="298"/>
      <c r="AB316" s="298"/>
      <c r="AC316" s="298"/>
      <c r="AD316" s="298"/>
      <c r="AE316" s="298"/>
      <c r="AF316" s="298"/>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row>
    <row r="317">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98"/>
      <c r="W317" s="298"/>
      <c r="X317" s="298"/>
      <c r="Y317" s="298"/>
      <c r="Z317" s="298"/>
      <c r="AA317" s="298"/>
      <c r="AB317" s="298"/>
      <c r="AC317" s="298"/>
      <c r="AD317" s="298"/>
      <c r="AE317" s="298"/>
      <c r="AF317" s="298"/>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row>
    <row r="318">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98"/>
      <c r="W318" s="298"/>
      <c r="X318" s="298"/>
      <c r="Y318" s="298"/>
      <c r="Z318" s="298"/>
      <c r="AA318" s="298"/>
      <c r="AB318" s="298"/>
      <c r="AC318" s="298"/>
      <c r="AD318" s="298"/>
      <c r="AE318" s="298"/>
      <c r="AF318" s="298"/>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row>
    <row r="319">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98"/>
      <c r="W319" s="298"/>
      <c r="X319" s="298"/>
      <c r="Y319" s="298"/>
      <c r="Z319" s="298"/>
      <c r="AA319" s="298"/>
      <c r="AB319" s="298"/>
      <c r="AC319" s="298"/>
      <c r="AD319" s="298"/>
      <c r="AE319" s="298"/>
      <c r="AF319" s="298"/>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row>
    <row r="320">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98"/>
      <c r="W320" s="298"/>
      <c r="X320" s="298"/>
      <c r="Y320" s="298"/>
      <c r="Z320" s="298"/>
      <c r="AA320" s="298"/>
      <c r="AB320" s="298"/>
      <c r="AC320" s="298"/>
      <c r="AD320" s="298"/>
      <c r="AE320" s="298"/>
      <c r="AF320" s="298"/>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row>
    <row r="32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98"/>
      <c r="W321" s="298"/>
      <c r="X321" s="298"/>
      <c r="Y321" s="298"/>
      <c r="Z321" s="298"/>
      <c r="AA321" s="298"/>
      <c r="AB321" s="298"/>
      <c r="AC321" s="298"/>
      <c r="AD321" s="298"/>
      <c r="AE321" s="298"/>
      <c r="AF321" s="298"/>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row>
    <row r="322">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98"/>
      <c r="W322" s="298"/>
      <c r="X322" s="298"/>
      <c r="Y322" s="298"/>
      <c r="Z322" s="298"/>
      <c r="AA322" s="298"/>
      <c r="AB322" s="298"/>
      <c r="AC322" s="298"/>
      <c r="AD322" s="298"/>
      <c r="AE322" s="298"/>
      <c r="AF322" s="298"/>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row>
    <row r="323">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98"/>
      <c r="W323" s="298"/>
      <c r="X323" s="298"/>
      <c r="Y323" s="298"/>
      <c r="Z323" s="298"/>
      <c r="AA323" s="298"/>
      <c r="AB323" s="298"/>
      <c r="AC323" s="298"/>
      <c r="AD323" s="298"/>
      <c r="AE323" s="298"/>
      <c r="AF323" s="298"/>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row>
    <row r="324">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98"/>
      <c r="W324" s="298"/>
      <c r="X324" s="298"/>
      <c r="Y324" s="298"/>
      <c r="Z324" s="298"/>
      <c r="AA324" s="298"/>
      <c r="AB324" s="298"/>
      <c r="AC324" s="298"/>
      <c r="AD324" s="298"/>
      <c r="AE324" s="298"/>
      <c r="AF324" s="298"/>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row>
    <row r="325">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98"/>
      <c r="W325" s="298"/>
      <c r="X325" s="298"/>
      <c r="Y325" s="298"/>
      <c r="Z325" s="298"/>
      <c r="AA325" s="298"/>
      <c r="AB325" s="298"/>
      <c r="AC325" s="298"/>
      <c r="AD325" s="298"/>
      <c r="AE325" s="298"/>
      <c r="AF325" s="298"/>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row>
    <row r="326">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98"/>
      <c r="W326" s="298"/>
      <c r="X326" s="298"/>
      <c r="Y326" s="298"/>
      <c r="Z326" s="298"/>
      <c r="AA326" s="298"/>
      <c r="AB326" s="298"/>
      <c r="AC326" s="298"/>
      <c r="AD326" s="298"/>
      <c r="AE326" s="298"/>
      <c r="AF326" s="298"/>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row>
    <row r="327">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98"/>
      <c r="W327" s="298"/>
      <c r="X327" s="298"/>
      <c r="Y327" s="298"/>
      <c r="Z327" s="298"/>
      <c r="AA327" s="298"/>
      <c r="AB327" s="298"/>
      <c r="AC327" s="298"/>
      <c r="AD327" s="298"/>
      <c r="AE327" s="298"/>
      <c r="AF327" s="298"/>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row>
    <row r="328">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98"/>
      <c r="W328" s="298"/>
      <c r="X328" s="298"/>
      <c r="Y328" s="298"/>
      <c r="Z328" s="298"/>
      <c r="AA328" s="298"/>
      <c r="AB328" s="298"/>
      <c r="AC328" s="298"/>
      <c r="AD328" s="298"/>
      <c r="AE328" s="298"/>
      <c r="AF328" s="298"/>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row>
    <row r="329">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98"/>
      <c r="W329" s="298"/>
      <c r="X329" s="298"/>
      <c r="Y329" s="298"/>
      <c r="Z329" s="298"/>
      <c r="AA329" s="298"/>
      <c r="AB329" s="298"/>
      <c r="AC329" s="298"/>
      <c r="AD329" s="298"/>
      <c r="AE329" s="298"/>
      <c r="AF329" s="298"/>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row>
    <row r="330">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98"/>
      <c r="W330" s="298"/>
      <c r="X330" s="298"/>
      <c r="Y330" s="298"/>
      <c r="Z330" s="298"/>
      <c r="AA330" s="298"/>
      <c r="AB330" s="298"/>
      <c r="AC330" s="298"/>
      <c r="AD330" s="298"/>
      <c r="AE330" s="298"/>
      <c r="AF330" s="298"/>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row>
    <row r="33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98"/>
      <c r="W331" s="298"/>
      <c r="X331" s="298"/>
      <c r="Y331" s="298"/>
      <c r="Z331" s="298"/>
      <c r="AA331" s="298"/>
      <c r="AB331" s="298"/>
      <c r="AC331" s="298"/>
      <c r="AD331" s="298"/>
      <c r="AE331" s="298"/>
      <c r="AF331" s="298"/>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row>
    <row r="332">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98"/>
      <c r="W332" s="298"/>
      <c r="X332" s="298"/>
      <c r="Y332" s="298"/>
      <c r="Z332" s="298"/>
      <c r="AA332" s="298"/>
      <c r="AB332" s="298"/>
      <c r="AC332" s="298"/>
      <c r="AD332" s="298"/>
      <c r="AE332" s="298"/>
      <c r="AF332" s="298"/>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row>
    <row r="333">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98"/>
      <c r="W333" s="298"/>
      <c r="X333" s="298"/>
      <c r="Y333" s="298"/>
      <c r="Z333" s="298"/>
      <c r="AA333" s="298"/>
      <c r="AB333" s="298"/>
      <c r="AC333" s="298"/>
      <c r="AD333" s="298"/>
      <c r="AE333" s="298"/>
      <c r="AF333" s="298"/>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row>
    <row r="334">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98"/>
      <c r="W334" s="298"/>
      <c r="X334" s="298"/>
      <c r="Y334" s="298"/>
      <c r="Z334" s="298"/>
      <c r="AA334" s="298"/>
      <c r="AB334" s="298"/>
      <c r="AC334" s="298"/>
      <c r="AD334" s="298"/>
      <c r="AE334" s="298"/>
      <c r="AF334" s="298"/>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row>
    <row r="335">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98"/>
      <c r="W335" s="298"/>
      <c r="X335" s="298"/>
      <c r="Y335" s="298"/>
      <c r="Z335" s="298"/>
      <c r="AA335" s="298"/>
      <c r="AB335" s="298"/>
      <c r="AC335" s="298"/>
      <c r="AD335" s="298"/>
      <c r="AE335" s="298"/>
      <c r="AF335" s="298"/>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row>
    <row r="336">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98"/>
      <c r="W336" s="298"/>
      <c r="X336" s="298"/>
      <c r="Y336" s="298"/>
      <c r="Z336" s="298"/>
      <c r="AA336" s="298"/>
      <c r="AB336" s="298"/>
      <c r="AC336" s="298"/>
      <c r="AD336" s="298"/>
      <c r="AE336" s="298"/>
      <c r="AF336" s="298"/>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row>
    <row r="337">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98"/>
      <c r="W337" s="298"/>
      <c r="X337" s="298"/>
      <c r="Y337" s="298"/>
      <c r="Z337" s="298"/>
      <c r="AA337" s="298"/>
      <c r="AB337" s="298"/>
      <c r="AC337" s="298"/>
      <c r="AD337" s="298"/>
      <c r="AE337" s="298"/>
      <c r="AF337" s="298"/>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row>
    <row r="338">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98"/>
      <c r="W338" s="298"/>
      <c r="X338" s="298"/>
      <c r="Y338" s="298"/>
      <c r="Z338" s="298"/>
      <c r="AA338" s="298"/>
      <c r="AB338" s="298"/>
      <c r="AC338" s="298"/>
      <c r="AD338" s="298"/>
      <c r="AE338" s="298"/>
      <c r="AF338" s="298"/>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row>
    <row r="339">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98"/>
      <c r="W339" s="298"/>
      <c r="X339" s="298"/>
      <c r="Y339" s="298"/>
      <c r="Z339" s="298"/>
      <c r="AA339" s="298"/>
      <c r="AB339" s="298"/>
      <c r="AC339" s="298"/>
      <c r="AD339" s="298"/>
      <c r="AE339" s="298"/>
      <c r="AF339" s="298"/>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row>
    <row r="340">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98"/>
      <c r="W340" s="298"/>
      <c r="X340" s="298"/>
      <c r="Y340" s="298"/>
      <c r="Z340" s="298"/>
      <c r="AA340" s="298"/>
      <c r="AB340" s="298"/>
      <c r="AC340" s="298"/>
      <c r="AD340" s="298"/>
      <c r="AE340" s="298"/>
      <c r="AF340" s="298"/>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row>
    <row r="34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98"/>
      <c r="W341" s="298"/>
      <c r="X341" s="298"/>
      <c r="Y341" s="298"/>
      <c r="Z341" s="298"/>
      <c r="AA341" s="298"/>
      <c r="AB341" s="298"/>
      <c r="AC341" s="298"/>
      <c r="AD341" s="298"/>
      <c r="AE341" s="298"/>
      <c r="AF341" s="298"/>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row>
    <row r="342">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98"/>
      <c r="W342" s="298"/>
      <c r="X342" s="298"/>
      <c r="Y342" s="298"/>
      <c r="Z342" s="298"/>
      <c r="AA342" s="298"/>
      <c r="AB342" s="298"/>
      <c r="AC342" s="298"/>
      <c r="AD342" s="298"/>
      <c r="AE342" s="298"/>
      <c r="AF342" s="298"/>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row>
    <row r="343">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98"/>
      <c r="W343" s="298"/>
      <c r="X343" s="298"/>
      <c r="Y343" s="298"/>
      <c r="Z343" s="298"/>
      <c r="AA343" s="298"/>
      <c r="AB343" s="298"/>
      <c r="AC343" s="298"/>
      <c r="AD343" s="298"/>
      <c r="AE343" s="298"/>
      <c r="AF343" s="298"/>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row>
    <row r="344">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98"/>
      <c r="W344" s="298"/>
      <c r="X344" s="298"/>
      <c r="Y344" s="298"/>
      <c r="Z344" s="298"/>
      <c r="AA344" s="298"/>
      <c r="AB344" s="298"/>
      <c r="AC344" s="298"/>
      <c r="AD344" s="298"/>
      <c r="AE344" s="298"/>
      <c r="AF344" s="298"/>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row>
    <row r="345">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98"/>
      <c r="W345" s="298"/>
      <c r="X345" s="298"/>
      <c r="Y345" s="298"/>
      <c r="Z345" s="298"/>
      <c r="AA345" s="298"/>
      <c r="AB345" s="298"/>
      <c r="AC345" s="298"/>
      <c r="AD345" s="298"/>
      <c r="AE345" s="298"/>
      <c r="AF345" s="298"/>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row>
    <row r="346">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98"/>
      <c r="W346" s="298"/>
      <c r="X346" s="298"/>
      <c r="Y346" s="298"/>
      <c r="Z346" s="298"/>
      <c r="AA346" s="298"/>
      <c r="AB346" s="298"/>
      <c r="AC346" s="298"/>
      <c r="AD346" s="298"/>
      <c r="AE346" s="298"/>
      <c r="AF346" s="298"/>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row>
    <row r="347">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98"/>
      <c r="W347" s="298"/>
      <c r="X347" s="298"/>
      <c r="Y347" s="298"/>
      <c r="Z347" s="298"/>
      <c r="AA347" s="298"/>
      <c r="AB347" s="298"/>
      <c r="AC347" s="298"/>
      <c r="AD347" s="298"/>
      <c r="AE347" s="298"/>
      <c r="AF347" s="298"/>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row>
    <row r="348">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98"/>
      <c r="W348" s="298"/>
      <c r="X348" s="298"/>
      <c r="Y348" s="298"/>
      <c r="Z348" s="298"/>
      <c r="AA348" s="298"/>
      <c r="AB348" s="298"/>
      <c r="AC348" s="298"/>
      <c r="AD348" s="298"/>
      <c r="AE348" s="298"/>
      <c r="AF348" s="298"/>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row>
    <row r="349">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98"/>
      <c r="W349" s="298"/>
      <c r="X349" s="298"/>
      <c r="Y349" s="298"/>
      <c r="Z349" s="298"/>
      <c r="AA349" s="298"/>
      <c r="AB349" s="298"/>
      <c r="AC349" s="298"/>
      <c r="AD349" s="298"/>
      <c r="AE349" s="298"/>
      <c r="AF349" s="298"/>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row>
    <row r="350">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98"/>
      <c r="W350" s="298"/>
      <c r="X350" s="298"/>
      <c r="Y350" s="298"/>
      <c r="Z350" s="298"/>
      <c r="AA350" s="298"/>
      <c r="AB350" s="298"/>
      <c r="AC350" s="298"/>
      <c r="AD350" s="298"/>
      <c r="AE350" s="298"/>
      <c r="AF350" s="298"/>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row>
    <row r="35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98"/>
      <c r="W351" s="298"/>
      <c r="X351" s="298"/>
      <c r="Y351" s="298"/>
      <c r="Z351" s="298"/>
      <c r="AA351" s="298"/>
      <c r="AB351" s="298"/>
      <c r="AC351" s="298"/>
      <c r="AD351" s="298"/>
      <c r="AE351" s="298"/>
      <c r="AF351" s="298"/>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row>
    <row r="352">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98"/>
      <c r="W352" s="298"/>
      <c r="X352" s="298"/>
      <c r="Y352" s="298"/>
      <c r="Z352" s="298"/>
      <c r="AA352" s="298"/>
      <c r="AB352" s="298"/>
      <c r="AC352" s="298"/>
      <c r="AD352" s="298"/>
      <c r="AE352" s="298"/>
      <c r="AF352" s="298"/>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row>
    <row r="353">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98"/>
      <c r="W353" s="298"/>
      <c r="X353" s="298"/>
      <c r="Y353" s="298"/>
      <c r="Z353" s="298"/>
      <c r="AA353" s="298"/>
      <c r="AB353" s="298"/>
      <c r="AC353" s="298"/>
      <c r="AD353" s="298"/>
      <c r="AE353" s="298"/>
      <c r="AF353" s="298"/>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row>
    <row r="354">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98"/>
      <c r="W354" s="298"/>
      <c r="X354" s="298"/>
      <c r="Y354" s="298"/>
      <c r="Z354" s="298"/>
      <c r="AA354" s="298"/>
      <c r="AB354" s="298"/>
      <c r="AC354" s="298"/>
      <c r="AD354" s="298"/>
      <c r="AE354" s="298"/>
      <c r="AF354" s="298"/>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row>
    <row r="355">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98"/>
      <c r="W355" s="298"/>
      <c r="X355" s="298"/>
      <c r="Y355" s="298"/>
      <c r="Z355" s="298"/>
      <c r="AA355" s="298"/>
      <c r="AB355" s="298"/>
      <c r="AC355" s="298"/>
      <c r="AD355" s="298"/>
      <c r="AE355" s="298"/>
      <c r="AF355" s="298"/>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row>
    <row r="356">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98"/>
      <c r="W356" s="298"/>
      <c r="X356" s="298"/>
      <c r="Y356" s="298"/>
      <c r="Z356" s="298"/>
      <c r="AA356" s="298"/>
      <c r="AB356" s="298"/>
      <c r="AC356" s="298"/>
      <c r="AD356" s="298"/>
      <c r="AE356" s="298"/>
      <c r="AF356" s="298"/>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row>
    <row r="357">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98"/>
      <c r="W357" s="298"/>
      <c r="X357" s="298"/>
      <c r="Y357" s="298"/>
      <c r="Z357" s="298"/>
      <c r="AA357" s="298"/>
      <c r="AB357" s="298"/>
      <c r="AC357" s="298"/>
      <c r="AD357" s="298"/>
      <c r="AE357" s="298"/>
      <c r="AF357" s="298"/>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row>
    <row r="358">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98"/>
      <c r="W358" s="298"/>
      <c r="X358" s="298"/>
      <c r="Y358" s="298"/>
      <c r="Z358" s="298"/>
      <c r="AA358" s="298"/>
      <c r="AB358" s="298"/>
      <c r="AC358" s="298"/>
      <c r="AD358" s="298"/>
      <c r="AE358" s="298"/>
      <c r="AF358" s="298"/>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row>
    <row r="359">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98"/>
      <c r="W359" s="298"/>
      <c r="X359" s="298"/>
      <c r="Y359" s="298"/>
      <c r="Z359" s="298"/>
      <c r="AA359" s="298"/>
      <c r="AB359" s="298"/>
      <c r="AC359" s="298"/>
      <c r="AD359" s="298"/>
      <c r="AE359" s="298"/>
      <c r="AF359" s="298"/>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row>
    <row r="360">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98"/>
      <c r="W360" s="298"/>
      <c r="X360" s="298"/>
      <c r="Y360" s="298"/>
      <c r="Z360" s="298"/>
      <c r="AA360" s="298"/>
      <c r="AB360" s="298"/>
      <c r="AC360" s="298"/>
      <c r="AD360" s="298"/>
      <c r="AE360" s="298"/>
      <c r="AF360" s="298"/>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row>
    <row r="36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98"/>
      <c r="W361" s="298"/>
      <c r="X361" s="298"/>
      <c r="Y361" s="298"/>
      <c r="Z361" s="298"/>
      <c r="AA361" s="298"/>
      <c r="AB361" s="298"/>
      <c r="AC361" s="298"/>
      <c r="AD361" s="298"/>
      <c r="AE361" s="298"/>
      <c r="AF361" s="298"/>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row>
    <row r="362">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98"/>
      <c r="W362" s="298"/>
      <c r="X362" s="298"/>
      <c r="Y362" s="298"/>
      <c r="Z362" s="298"/>
      <c r="AA362" s="298"/>
      <c r="AB362" s="298"/>
      <c r="AC362" s="298"/>
      <c r="AD362" s="298"/>
      <c r="AE362" s="298"/>
      <c r="AF362" s="298"/>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row>
    <row r="363">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98"/>
      <c r="W363" s="298"/>
      <c r="X363" s="298"/>
      <c r="Y363" s="298"/>
      <c r="Z363" s="298"/>
      <c r="AA363" s="298"/>
      <c r="AB363" s="298"/>
      <c r="AC363" s="298"/>
      <c r="AD363" s="298"/>
      <c r="AE363" s="298"/>
      <c r="AF363" s="298"/>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row>
    <row r="364">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98"/>
      <c r="W364" s="298"/>
      <c r="X364" s="298"/>
      <c r="Y364" s="298"/>
      <c r="Z364" s="298"/>
      <c r="AA364" s="298"/>
      <c r="AB364" s="298"/>
      <c r="AC364" s="298"/>
      <c r="AD364" s="298"/>
      <c r="AE364" s="298"/>
      <c r="AF364" s="298"/>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row>
    <row r="365">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98"/>
      <c r="W365" s="298"/>
      <c r="X365" s="298"/>
      <c r="Y365" s="298"/>
      <c r="Z365" s="298"/>
      <c r="AA365" s="298"/>
      <c r="AB365" s="298"/>
      <c r="AC365" s="298"/>
      <c r="AD365" s="298"/>
      <c r="AE365" s="298"/>
      <c r="AF365" s="298"/>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row>
    <row r="366">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98"/>
      <c r="W366" s="298"/>
      <c r="X366" s="298"/>
      <c r="Y366" s="298"/>
      <c r="Z366" s="298"/>
      <c r="AA366" s="298"/>
      <c r="AB366" s="298"/>
      <c r="AC366" s="298"/>
      <c r="AD366" s="298"/>
      <c r="AE366" s="298"/>
      <c r="AF366" s="298"/>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row>
    <row r="367">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98"/>
      <c r="W367" s="298"/>
      <c r="X367" s="298"/>
      <c r="Y367" s="298"/>
      <c r="Z367" s="298"/>
      <c r="AA367" s="298"/>
      <c r="AB367" s="298"/>
      <c r="AC367" s="298"/>
      <c r="AD367" s="298"/>
      <c r="AE367" s="298"/>
      <c r="AF367" s="298"/>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row>
    <row r="368">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98"/>
      <c r="W368" s="298"/>
      <c r="X368" s="298"/>
      <c r="Y368" s="298"/>
      <c r="Z368" s="298"/>
      <c r="AA368" s="298"/>
      <c r="AB368" s="298"/>
      <c r="AC368" s="298"/>
      <c r="AD368" s="298"/>
      <c r="AE368" s="298"/>
      <c r="AF368" s="298"/>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row>
    <row r="369">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98"/>
      <c r="W369" s="298"/>
      <c r="X369" s="298"/>
      <c r="Y369" s="298"/>
      <c r="Z369" s="298"/>
      <c r="AA369" s="298"/>
      <c r="AB369" s="298"/>
      <c r="AC369" s="298"/>
      <c r="AD369" s="298"/>
      <c r="AE369" s="298"/>
      <c r="AF369" s="298"/>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row>
    <row r="370">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98"/>
      <c r="W370" s="298"/>
      <c r="X370" s="298"/>
      <c r="Y370" s="298"/>
      <c r="Z370" s="298"/>
      <c r="AA370" s="298"/>
      <c r="AB370" s="298"/>
      <c r="AC370" s="298"/>
      <c r="AD370" s="298"/>
      <c r="AE370" s="298"/>
      <c r="AF370" s="298"/>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row>
    <row r="37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98"/>
      <c r="W371" s="298"/>
      <c r="X371" s="298"/>
      <c r="Y371" s="298"/>
      <c r="Z371" s="298"/>
      <c r="AA371" s="298"/>
      <c r="AB371" s="298"/>
      <c r="AC371" s="298"/>
      <c r="AD371" s="298"/>
      <c r="AE371" s="298"/>
      <c r="AF371" s="298"/>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row>
    <row r="372">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98"/>
      <c r="W372" s="298"/>
      <c r="X372" s="298"/>
      <c r="Y372" s="298"/>
      <c r="Z372" s="298"/>
      <c r="AA372" s="298"/>
      <c r="AB372" s="298"/>
      <c r="AC372" s="298"/>
      <c r="AD372" s="298"/>
      <c r="AE372" s="298"/>
      <c r="AF372" s="298"/>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row>
    <row r="373">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98"/>
      <c r="W373" s="298"/>
      <c r="X373" s="298"/>
      <c r="Y373" s="298"/>
      <c r="Z373" s="298"/>
      <c r="AA373" s="298"/>
      <c r="AB373" s="298"/>
      <c r="AC373" s="298"/>
      <c r="AD373" s="298"/>
      <c r="AE373" s="298"/>
      <c r="AF373" s="298"/>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row>
    <row r="374">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98"/>
      <c r="W374" s="298"/>
      <c r="X374" s="298"/>
      <c r="Y374" s="298"/>
      <c r="Z374" s="298"/>
      <c r="AA374" s="298"/>
      <c r="AB374" s="298"/>
      <c r="AC374" s="298"/>
      <c r="AD374" s="298"/>
      <c r="AE374" s="298"/>
      <c r="AF374" s="298"/>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row>
    <row r="375">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98"/>
      <c r="W375" s="298"/>
      <c r="X375" s="298"/>
      <c r="Y375" s="298"/>
      <c r="Z375" s="298"/>
      <c r="AA375" s="298"/>
      <c r="AB375" s="298"/>
      <c r="AC375" s="298"/>
      <c r="AD375" s="298"/>
      <c r="AE375" s="298"/>
      <c r="AF375" s="298"/>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row>
    <row r="376">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98"/>
      <c r="W376" s="298"/>
      <c r="X376" s="298"/>
      <c r="Y376" s="298"/>
      <c r="Z376" s="298"/>
      <c r="AA376" s="298"/>
      <c r="AB376" s="298"/>
      <c r="AC376" s="298"/>
      <c r="AD376" s="298"/>
      <c r="AE376" s="298"/>
      <c r="AF376" s="298"/>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row>
    <row r="377">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98"/>
      <c r="W377" s="298"/>
      <c r="X377" s="298"/>
      <c r="Y377" s="298"/>
      <c r="Z377" s="298"/>
      <c r="AA377" s="298"/>
      <c r="AB377" s="298"/>
      <c r="AC377" s="298"/>
      <c r="AD377" s="298"/>
      <c r="AE377" s="298"/>
      <c r="AF377" s="298"/>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row>
    <row r="378">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98"/>
      <c r="W378" s="298"/>
      <c r="X378" s="298"/>
      <c r="Y378" s="298"/>
      <c r="Z378" s="298"/>
      <c r="AA378" s="298"/>
      <c r="AB378" s="298"/>
      <c r="AC378" s="298"/>
      <c r="AD378" s="298"/>
      <c r="AE378" s="298"/>
      <c r="AF378" s="298"/>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row>
    <row r="379">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98"/>
      <c r="W379" s="298"/>
      <c r="X379" s="298"/>
      <c r="Y379" s="298"/>
      <c r="Z379" s="298"/>
      <c r="AA379" s="298"/>
      <c r="AB379" s="298"/>
      <c r="AC379" s="298"/>
      <c r="AD379" s="298"/>
      <c r="AE379" s="298"/>
      <c r="AF379" s="298"/>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row>
    <row r="380">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98"/>
      <c r="W380" s="298"/>
      <c r="X380" s="298"/>
      <c r="Y380" s="298"/>
      <c r="Z380" s="298"/>
      <c r="AA380" s="298"/>
      <c r="AB380" s="298"/>
      <c r="AC380" s="298"/>
      <c r="AD380" s="298"/>
      <c r="AE380" s="298"/>
      <c r="AF380" s="298"/>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row>
    <row r="38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98"/>
      <c r="W381" s="298"/>
      <c r="X381" s="298"/>
      <c r="Y381" s="298"/>
      <c r="Z381" s="298"/>
      <c r="AA381" s="298"/>
      <c r="AB381" s="298"/>
      <c r="AC381" s="298"/>
      <c r="AD381" s="298"/>
      <c r="AE381" s="298"/>
      <c r="AF381" s="298"/>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row>
    <row r="382">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98"/>
      <c r="W382" s="298"/>
      <c r="X382" s="298"/>
      <c r="Y382" s="298"/>
      <c r="Z382" s="298"/>
      <c r="AA382" s="298"/>
      <c r="AB382" s="298"/>
      <c r="AC382" s="298"/>
      <c r="AD382" s="298"/>
      <c r="AE382" s="298"/>
      <c r="AF382" s="298"/>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row>
    <row r="383">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98"/>
      <c r="W383" s="298"/>
      <c r="X383" s="298"/>
      <c r="Y383" s="298"/>
      <c r="Z383" s="298"/>
      <c r="AA383" s="298"/>
      <c r="AB383" s="298"/>
      <c r="AC383" s="298"/>
      <c r="AD383" s="298"/>
      <c r="AE383" s="298"/>
      <c r="AF383" s="298"/>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row>
    <row r="384">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98"/>
      <c r="W384" s="298"/>
      <c r="X384" s="298"/>
      <c r="Y384" s="298"/>
      <c r="Z384" s="298"/>
      <c r="AA384" s="298"/>
      <c r="AB384" s="298"/>
      <c r="AC384" s="298"/>
      <c r="AD384" s="298"/>
      <c r="AE384" s="298"/>
      <c r="AF384" s="298"/>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row>
    <row r="385">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98"/>
      <c r="W385" s="298"/>
      <c r="X385" s="298"/>
      <c r="Y385" s="298"/>
      <c r="Z385" s="298"/>
      <c r="AA385" s="298"/>
      <c r="AB385" s="298"/>
      <c r="AC385" s="298"/>
      <c r="AD385" s="298"/>
      <c r="AE385" s="298"/>
      <c r="AF385" s="298"/>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row>
    <row r="386">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98"/>
      <c r="W386" s="298"/>
      <c r="X386" s="298"/>
      <c r="Y386" s="298"/>
      <c r="Z386" s="298"/>
      <c r="AA386" s="298"/>
      <c r="AB386" s="298"/>
      <c r="AC386" s="298"/>
      <c r="AD386" s="298"/>
      <c r="AE386" s="298"/>
      <c r="AF386" s="298"/>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row>
    <row r="387">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98"/>
      <c r="W387" s="298"/>
      <c r="X387" s="298"/>
      <c r="Y387" s="298"/>
      <c r="Z387" s="298"/>
      <c r="AA387" s="298"/>
      <c r="AB387" s="298"/>
      <c r="AC387" s="298"/>
      <c r="AD387" s="298"/>
      <c r="AE387" s="298"/>
      <c r="AF387" s="298"/>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row>
    <row r="388">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98"/>
      <c r="W388" s="298"/>
      <c r="X388" s="298"/>
      <c r="Y388" s="298"/>
      <c r="Z388" s="298"/>
      <c r="AA388" s="298"/>
      <c r="AB388" s="298"/>
      <c r="AC388" s="298"/>
      <c r="AD388" s="298"/>
      <c r="AE388" s="298"/>
      <c r="AF388" s="298"/>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row>
    <row r="389">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98"/>
      <c r="W389" s="298"/>
      <c r="X389" s="298"/>
      <c r="Y389" s="298"/>
      <c r="Z389" s="298"/>
      <c r="AA389" s="298"/>
      <c r="AB389" s="298"/>
      <c r="AC389" s="298"/>
      <c r="AD389" s="298"/>
      <c r="AE389" s="298"/>
      <c r="AF389" s="298"/>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row>
    <row r="390">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98"/>
      <c r="W390" s="298"/>
      <c r="X390" s="298"/>
      <c r="Y390" s="298"/>
      <c r="Z390" s="298"/>
      <c r="AA390" s="298"/>
      <c r="AB390" s="298"/>
      <c r="AC390" s="298"/>
      <c r="AD390" s="298"/>
      <c r="AE390" s="298"/>
      <c r="AF390" s="298"/>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row>
    <row r="39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98"/>
      <c r="W391" s="298"/>
      <c r="X391" s="298"/>
      <c r="Y391" s="298"/>
      <c r="Z391" s="298"/>
      <c r="AA391" s="298"/>
      <c r="AB391" s="298"/>
      <c r="AC391" s="298"/>
      <c r="AD391" s="298"/>
      <c r="AE391" s="298"/>
      <c r="AF391" s="298"/>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row>
    <row r="392">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98"/>
      <c r="W392" s="298"/>
      <c r="X392" s="298"/>
      <c r="Y392" s="298"/>
      <c r="Z392" s="298"/>
      <c r="AA392" s="298"/>
      <c r="AB392" s="298"/>
      <c r="AC392" s="298"/>
      <c r="AD392" s="298"/>
      <c r="AE392" s="298"/>
      <c r="AF392" s="298"/>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row>
    <row r="393">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98"/>
      <c r="W393" s="298"/>
      <c r="X393" s="298"/>
      <c r="Y393" s="298"/>
      <c r="Z393" s="298"/>
      <c r="AA393" s="298"/>
      <c r="AB393" s="298"/>
      <c r="AC393" s="298"/>
      <c r="AD393" s="298"/>
      <c r="AE393" s="298"/>
      <c r="AF393" s="298"/>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row>
    <row r="394">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98"/>
      <c r="W394" s="298"/>
      <c r="X394" s="298"/>
      <c r="Y394" s="298"/>
      <c r="Z394" s="298"/>
      <c r="AA394" s="298"/>
      <c r="AB394" s="298"/>
      <c r="AC394" s="298"/>
      <c r="AD394" s="298"/>
      <c r="AE394" s="298"/>
      <c r="AF394" s="298"/>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row>
    <row r="395">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98"/>
      <c r="W395" s="298"/>
      <c r="X395" s="298"/>
      <c r="Y395" s="298"/>
      <c r="Z395" s="298"/>
      <c r="AA395" s="298"/>
      <c r="AB395" s="298"/>
      <c r="AC395" s="298"/>
      <c r="AD395" s="298"/>
      <c r="AE395" s="298"/>
      <c r="AF395" s="298"/>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row>
    <row r="396">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98"/>
      <c r="W396" s="298"/>
      <c r="X396" s="298"/>
      <c r="Y396" s="298"/>
      <c r="Z396" s="298"/>
      <c r="AA396" s="298"/>
      <c r="AB396" s="298"/>
      <c r="AC396" s="298"/>
      <c r="AD396" s="298"/>
      <c r="AE396" s="298"/>
      <c r="AF396" s="298"/>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row>
    <row r="397">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98"/>
      <c r="W397" s="298"/>
      <c r="X397" s="298"/>
      <c r="Y397" s="298"/>
      <c r="Z397" s="298"/>
      <c r="AA397" s="298"/>
      <c r="AB397" s="298"/>
      <c r="AC397" s="298"/>
      <c r="AD397" s="298"/>
      <c r="AE397" s="298"/>
      <c r="AF397" s="298"/>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row>
    <row r="398">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98"/>
      <c r="W398" s="298"/>
      <c r="X398" s="298"/>
      <c r="Y398" s="298"/>
      <c r="Z398" s="298"/>
      <c r="AA398" s="298"/>
      <c r="AB398" s="298"/>
      <c r="AC398" s="298"/>
      <c r="AD398" s="298"/>
      <c r="AE398" s="298"/>
      <c r="AF398" s="298"/>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row>
    <row r="399">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98"/>
      <c r="W399" s="298"/>
      <c r="X399" s="298"/>
      <c r="Y399" s="298"/>
      <c r="Z399" s="298"/>
      <c r="AA399" s="298"/>
      <c r="AB399" s="298"/>
      <c r="AC399" s="298"/>
      <c r="AD399" s="298"/>
      <c r="AE399" s="298"/>
      <c r="AF399" s="298"/>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row>
    <row r="400">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98"/>
      <c r="W400" s="298"/>
      <c r="X400" s="298"/>
      <c r="Y400" s="298"/>
      <c r="Z400" s="298"/>
      <c r="AA400" s="298"/>
      <c r="AB400" s="298"/>
      <c r="AC400" s="298"/>
      <c r="AD400" s="298"/>
      <c r="AE400" s="298"/>
      <c r="AF400" s="298"/>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row>
    <row r="40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98"/>
      <c r="W401" s="298"/>
      <c r="X401" s="298"/>
      <c r="Y401" s="298"/>
      <c r="Z401" s="298"/>
      <c r="AA401" s="298"/>
      <c r="AB401" s="298"/>
      <c r="AC401" s="298"/>
      <c r="AD401" s="298"/>
      <c r="AE401" s="298"/>
      <c r="AF401" s="298"/>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row>
    <row r="402">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98"/>
      <c r="W402" s="298"/>
      <c r="X402" s="298"/>
      <c r="Y402" s="298"/>
      <c r="Z402" s="298"/>
      <c r="AA402" s="298"/>
      <c r="AB402" s="298"/>
      <c r="AC402" s="298"/>
      <c r="AD402" s="298"/>
      <c r="AE402" s="298"/>
      <c r="AF402" s="298"/>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row>
    <row r="403">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98"/>
      <c r="W403" s="298"/>
      <c r="X403" s="298"/>
      <c r="Y403" s="298"/>
      <c r="Z403" s="298"/>
      <c r="AA403" s="298"/>
      <c r="AB403" s="298"/>
      <c r="AC403" s="298"/>
      <c r="AD403" s="298"/>
      <c r="AE403" s="298"/>
      <c r="AF403" s="298"/>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row>
    <row r="404">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98"/>
      <c r="W404" s="298"/>
      <c r="X404" s="298"/>
      <c r="Y404" s="298"/>
      <c r="Z404" s="298"/>
      <c r="AA404" s="298"/>
      <c r="AB404" s="298"/>
      <c r="AC404" s="298"/>
      <c r="AD404" s="298"/>
      <c r="AE404" s="298"/>
      <c r="AF404" s="298"/>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row>
    <row r="405">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98"/>
      <c r="W405" s="298"/>
      <c r="X405" s="298"/>
      <c r="Y405" s="298"/>
      <c r="Z405" s="298"/>
      <c r="AA405" s="298"/>
      <c r="AB405" s="298"/>
      <c r="AC405" s="298"/>
      <c r="AD405" s="298"/>
      <c r="AE405" s="298"/>
      <c r="AF405" s="298"/>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row>
    <row r="406">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98"/>
      <c r="W406" s="298"/>
      <c r="X406" s="298"/>
      <c r="Y406" s="298"/>
      <c r="Z406" s="298"/>
      <c r="AA406" s="298"/>
      <c r="AB406" s="298"/>
      <c r="AC406" s="298"/>
      <c r="AD406" s="298"/>
      <c r="AE406" s="298"/>
      <c r="AF406" s="298"/>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row>
    <row r="407">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98"/>
      <c r="W407" s="298"/>
      <c r="X407" s="298"/>
      <c r="Y407" s="298"/>
      <c r="Z407" s="298"/>
      <c r="AA407" s="298"/>
      <c r="AB407" s="298"/>
      <c r="AC407" s="298"/>
      <c r="AD407" s="298"/>
      <c r="AE407" s="298"/>
      <c r="AF407" s="298"/>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row>
    <row r="408">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98"/>
      <c r="W408" s="298"/>
      <c r="X408" s="298"/>
      <c r="Y408" s="298"/>
      <c r="Z408" s="298"/>
      <c r="AA408" s="298"/>
      <c r="AB408" s="298"/>
      <c r="AC408" s="298"/>
      <c r="AD408" s="298"/>
      <c r="AE408" s="298"/>
      <c r="AF408" s="298"/>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row>
    <row r="409">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98"/>
      <c r="W409" s="298"/>
      <c r="X409" s="298"/>
      <c r="Y409" s="298"/>
      <c r="Z409" s="298"/>
      <c r="AA409" s="298"/>
      <c r="AB409" s="298"/>
      <c r="AC409" s="298"/>
      <c r="AD409" s="298"/>
      <c r="AE409" s="298"/>
      <c r="AF409" s="298"/>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row>
    <row r="410">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98"/>
      <c r="W410" s="298"/>
      <c r="X410" s="298"/>
      <c r="Y410" s="298"/>
      <c r="Z410" s="298"/>
      <c r="AA410" s="298"/>
      <c r="AB410" s="298"/>
      <c r="AC410" s="298"/>
      <c r="AD410" s="298"/>
      <c r="AE410" s="298"/>
      <c r="AF410" s="298"/>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row>
    <row r="41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98"/>
      <c r="W411" s="298"/>
      <c r="X411" s="298"/>
      <c r="Y411" s="298"/>
      <c r="Z411" s="298"/>
      <c r="AA411" s="298"/>
      <c r="AB411" s="298"/>
      <c r="AC411" s="298"/>
      <c r="AD411" s="298"/>
      <c r="AE411" s="298"/>
      <c r="AF411" s="298"/>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row>
    <row r="412">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98"/>
      <c r="W412" s="298"/>
      <c r="X412" s="298"/>
      <c r="Y412" s="298"/>
      <c r="Z412" s="298"/>
      <c r="AA412" s="298"/>
      <c r="AB412" s="298"/>
      <c r="AC412" s="298"/>
      <c r="AD412" s="298"/>
      <c r="AE412" s="298"/>
      <c r="AF412" s="298"/>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row>
    <row r="413">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98"/>
      <c r="W413" s="298"/>
      <c r="X413" s="298"/>
      <c r="Y413" s="298"/>
      <c r="Z413" s="298"/>
      <c r="AA413" s="298"/>
      <c r="AB413" s="298"/>
      <c r="AC413" s="298"/>
      <c r="AD413" s="298"/>
      <c r="AE413" s="298"/>
      <c r="AF413" s="298"/>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row>
    <row r="414">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98"/>
      <c r="W414" s="298"/>
      <c r="X414" s="298"/>
      <c r="Y414" s="298"/>
      <c r="Z414" s="298"/>
      <c r="AA414" s="298"/>
      <c r="AB414" s="298"/>
      <c r="AC414" s="298"/>
      <c r="AD414" s="298"/>
      <c r="AE414" s="298"/>
      <c r="AF414" s="298"/>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row>
    <row r="415">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98"/>
      <c r="W415" s="298"/>
      <c r="X415" s="298"/>
      <c r="Y415" s="298"/>
      <c r="Z415" s="298"/>
      <c r="AA415" s="298"/>
      <c r="AB415" s="298"/>
      <c r="AC415" s="298"/>
      <c r="AD415" s="298"/>
      <c r="AE415" s="298"/>
      <c r="AF415" s="298"/>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row>
    <row r="416">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98"/>
      <c r="W416" s="298"/>
      <c r="X416" s="298"/>
      <c r="Y416" s="298"/>
      <c r="Z416" s="298"/>
      <c r="AA416" s="298"/>
      <c r="AB416" s="298"/>
      <c r="AC416" s="298"/>
      <c r="AD416" s="298"/>
      <c r="AE416" s="298"/>
      <c r="AF416" s="298"/>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row>
    <row r="417">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98"/>
      <c r="W417" s="298"/>
      <c r="X417" s="298"/>
      <c r="Y417" s="298"/>
      <c r="Z417" s="298"/>
      <c r="AA417" s="298"/>
      <c r="AB417" s="298"/>
      <c r="AC417" s="298"/>
      <c r="AD417" s="298"/>
      <c r="AE417" s="298"/>
      <c r="AF417" s="298"/>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row>
    <row r="418">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98"/>
      <c r="W418" s="298"/>
      <c r="X418" s="298"/>
      <c r="Y418" s="298"/>
      <c r="Z418" s="298"/>
      <c r="AA418" s="298"/>
      <c r="AB418" s="298"/>
      <c r="AC418" s="298"/>
      <c r="AD418" s="298"/>
      <c r="AE418" s="298"/>
      <c r="AF418" s="298"/>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row>
    <row r="419">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98"/>
      <c r="W419" s="298"/>
      <c r="X419" s="298"/>
      <c r="Y419" s="298"/>
      <c r="Z419" s="298"/>
      <c r="AA419" s="298"/>
      <c r="AB419" s="298"/>
      <c r="AC419" s="298"/>
      <c r="AD419" s="298"/>
      <c r="AE419" s="298"/>
      <c r="AF419" s="298"/>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row>
    <row r="420">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98"/>
      <c r="W420" s="298"/>
      <c r="X420" s="298"/>
      <c r="Y420" s="298"/>
      <c r="Z420" s="298"/>
      <c r="AA420" s="298"/>
      <c r="AB420" s="298"/>
      <c r="AC420" s="298"/>
      <c r="AD420" s="298"/>
      <c r="AE420" s="298"/>
      <c r="AF420" s="298"/>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row>
    <row r="42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98"/>
      <c r="W421" s="298"/>
      <c r="X421" s="298"/>
      <c r="Y421" s="298"/>
      <c r="Z421" s="298"/>
      <c r="AA421" s="298"/>
      <c r="AB421" s="298"/>
      <c r="AC421" s="298"/>
      <c r="AD421" s="298"/>
      <c r="AE421" s="298"/>
      <c r="AF421" s="298"/>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row>
    <row r="422">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98"/>
      <c r="W422" s="298"/>
      <c r="X422" s="298"/>
      <c r="Y422" s="298"/>
      <c r="Z422" s="298"/>
      <c r="AA422" s="298"/>
      <c r="AB422" s="298"/>
      <c r="AC422" s="298"/>
      <c r="AD422" s="298"/>
      <c r="AE422" s="298"/>
      <c r="AF422" s="298"/>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row>
    <row r="423">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98"/>
      <c r="W423" s="298"/>
      <c r="X423" s="298"/>
      <c r="Y423" s="298"/>
      <c r="Z423" s="298"/>
      <c r="AA423" s="298"/>
      <c r="AB423" s="298"/>
      <c r="AC423" s="298"/>
      <c r="AD423" s="298"/>
      <c r="AE423" s="298"/>
      <c r="AF423" s="298"/>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row>
    <row r="424">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98"/>
      <c r="W424" s="298"/>
      <c r="X424" s="298"/>
      <c r="Y424" s="298"/>
      <c r="Z424" s="298"/>
      <c r="AA424" s="298"/>
      <c r="AB424" s="298"/>
      <c r="AC424" s="298"/>
      <c r="AD424" s="298"/>
      <c r="AE424" s="298"/>
      <c r="AF424" s="298"/>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row>
    <row r="425">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98"/>
      <c r="W425" s="298"/>
      <c r="X425" s="298"/>
      <c r="Y425" s="298"/>
      <c r="Z425" s="298"/>
      <c r="AA425" s="298"/>
      <c r="AB425" s="298"/>
      <c r="AC425" s="298"/>
      <c r="AD425" s="298"/>
      <c r="AE425" s="298"/>
      <c r="AF425" s="298"/>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row>
    <row r="426">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98"/>
      <c r="W426" s="298"/>
      <c r="X426" s="298"/>
      <c r="Y426" s="298"/>
      <c r="Z426" s="298"/>
      <c r="AA426" s="298"/>
      <c r="AB426" s="298"/>
      <c r="AC426" s="298"/>
      <c r="AD426" s="298"/>
      <c r="AE426" s="298"/>
      <c r="AF426" s="298"/>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row>
    <row r="427">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98"/>
      <c r="W427" s="298"/>
      <c r="X427" s="298"/>
      <c r="Y427" s="298"/>
      <c r="Z427" s="298"/>
      <c r="AA427" s="298"/>
      <c r="AB427" s="298"/>
      <c r="AC427" s="298"/>
      <c r="AD427" s="298"/>
      <c r="AE427" s="298"/>
      <c r="AF427" s="298"/>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row>
    <row r="428">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98"/>
      <c r="W428" s="298"/>
      <c r="X428" s="298"/>
      <c r="Y428" s="298"/>
      <c r="Z428" s="298"/>
      <c r="AA428" s="298"/>
      <c r="AB428" s="298"/>
      <c r="AC428" s="298"/>
      <c r="AD428" s="298"/>
      <c r="AE428" s="298"/>
      <c r="AF428" s="298"/>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row>
    <row r="429">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98"/>
      <c r="W429" s="298"/>
      <c r="X429" s="298"/>
      <c r="Y429" s="298"/>
      <c r="Z429" s="298"/>
      <c r="AA429" s="298"/>
      <c r="AB429" s="298"/>
      <c r="AC429" s="298"/>
      <c r="AD429" s="298"/>
      <c r="AE429" s="298"/>
      <c r="AF429" s="298"/>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row>
    <row r="430">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98"/>
      <c r="W430" s="298"/>
      <c r="X430" s="298"/>
      <c r="Y430" s="298"/>
      <c r="Z430" s="298"/>
      <c r="AA430" s="298"/>
      <c r="AB430" s="298"/>
      <c r="AC430" s="298"/>
      <c r="AD430" s="298"/>
      <c r="AE430" s="298"/>
      <c r="AF430" s="298"/>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row>
    <row r="43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98"/>
      <c r="W431" s="298"/>
      <c r="X431" s="298"/>
      <c r="Y431" s="298"/>
      <c r="Z431" s="298"/>
      <c r="AA431" s="298"/>
      <c r="AB431" s="298"/>
      <c r="AC431" s="298"/>
      <c r="AD431" s="298"/>
      <c r="AE431" s="298"/>
      <c r="AF431" s="298"/>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row>
    <row r="432">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98"/>
      <c r="W432" s="298"/>
      <c r="X432" s="298"/>
      <c r="Y432" s="298"/>
      <c r="Z432" s="298"/>
      <c r="AA432" s="298"/>
      <c r="AB432" s="298"/>
      <c r="AC432" s="298"/>
      <c r="AD432" s="298"/>
      <c r="AE432" s="298"/>
      <c r="AF432" s="298"/>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row>
    <row r="433">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98"/>
      <c r="W433" s="298"/>
      <c r="X433" s="298"/>
      <c r="Y433" s="298"/>
      <c r="Z433" s="298"/>
      <c r="AA433" s="298"/>
      <c r="AB433" s="298"/>
      <c r="AC433" s="298"/>
      <c r="AD433" s="298"/>
      <c r="AE433" s="298"/>
      <c r="AF433" s="298"/>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row>
    <row r="434">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98"/>
      <c r="W434" s="298"/>
      <c r="X434" s="298"/>
      <c r="Y434" s="298"/>
      <c r="Z434" s="298"/>
      <c r="AA434" s="298"/>
      <c r="AB434" s="298"/>
      <c r="AC434" s="298"/>
      <c r="AD434" s="298"/>
      <c r="AE434" s="298"/>
      <c r="AF434" s="298"/>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row>
    <row r="435">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98"/>
      <c r="W435" s="298"/>
      <c r="X435" s="298"/>
      <c r="Y435" s="298"/>
      <c r="Z435" s="298"/>
      <c r="AA435" s="298"/>
      <c r="AB435" s="298"/>
      <c r="AC435" s="298"/>
      <c r="AD435" s="298"/>
      <c r="AE435" s="298"/>
      <c r="AF435" s="298"/>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row>
    <row r="436">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98"/>
      <c r="W436" s="298"/>
      <c r="X436" s="298"/>
      <c r="Y436" s="298"/>
      <c r="Z436" s="298"/>
      <c r="AA436" s="298"/>
      <c r="AB436" s="298"/>
      <c r="AC436" s="298"/>
      <c r="AD436" s="298"/>
      <c r="AE436" s="298"/>
      <c r="AF436" s="298"/>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row>
    <row r="437">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98"/>
      <c r="W437" s="298"/>
      <c r="X437" s="298"/>
      <c r="Y437" s="298"/>
      <c r="Z437" s="298"/>
      <c r="AA437" s="298"/>
      <c r="AB437" s="298"/>
      <c r="AC437" s="298"/>
      <c r="AD437" s="298"/>
      <c r="AE437" s="298"/>
      <c r="AF437" s="298"/>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row>
    <row r="438">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98"/>
      <c r="W438" s="298"/>
      <c r="X438" s="298"/>
      <c r="Y438" s="298"/>
      <c r="Z438" s="298"/>
      <c r="AA438" s="298"/>
      <c r="AB438" s="298"/>
      <c r="AC438" s="298"/>
      <c r="AD438" s="298"/>
      <c r="AE438" s="298"/>
      <c r="AF438" s="298"/>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row>
    <row r="439">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98"/>
      <c r="W439" s="298"/>
      <c r="X439" s="298"/>
      <c r="Y439" s="298"/>
      <c r="Z439" s="298"/>
      <c r="AA439" s="298"/>
      <c r="AB439" s="298"/>
      <c r="AC439" s="298"/>
      <c r="AD439" s="298"/>
      <c r="AE439" s="298"/>
      <c r="AF439" s="298"/>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row>
    <row r="440">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98"/>
      <c r="W440" s="298"/>
      <c r="X440" s="298"/>
      <c r="Y440" s="298"/>
      <c r="Z440" s="298"/>
      <c r="AA440" s="298"/>
      <c r="AB440" s="298"/>
      <c r="AC440" s="298"/>
      <c r="AD440" s="298"/>
      <c r="AE440" s="298"/>
      <c r="AF440" s="298"/>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row>
    <row r="44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98"/>
      <c r="W441" s="298"/>
      <c r="X441" s="298"/>
      <c r="Y441" s="298"/>
      <c r="Z441" s="298"/>
      <c r="AA441" s="298"/>
      <c r="AB441" s="298"/>
      <c r="AC441" s="298"/>
      <c r="AD441" s="298"/>
      <c r="AE441" s="298"/>
      <c r="AF441" s="298"/>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row>
    <row r="442">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98"/>
      <c r="W442" s="298"/>
      <c r="X442" s="298"/>
      <c r="Y442" s="298"/>
      <c r="Z442" s="298"/>
      <c r="AA442" s="298"/>
      <c r="AB442" s="298"/>
      <c r="AC442" s="298"/>
      <c r="AD442" s="298"/>
      <c r="AE442" s="298"/>
      <c r="AF442" s="298"/>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row>
    <row r="443">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98"/>
      <c r="W443" s="298"/>
      <c r="X443" s="298"/>
      <c r="Y443" s="298"/>
      <c r="Z443" s="298"/>
      <c r="AA443" s="298"/>
      <c r="AB443" s="298"/>
      <c r="AC443" s="298"/>
      <c r="AD443" s="298"/>
      <c r="AE443" s="298"/>
      <c r="AF443" s="298"/>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row>
    <row r="444">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98"/>
      <c r="W444" s="298"/>
      <c r="X444" s="298"/>
      <c r="Y444" s="298"/>
      <c r="Z444" s="298"/>
      <c r="AA444" s="298"/>
      <c r="AB444" s="298"/>
      <c r="AC444" s="298"/>
      <c r="AD444" s="298"/>
      <c r="AE444" s="298"/>
      <c r="AF444" s="298"/>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row>
    <row r="445">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98"/>
      <c r="W445" s="298"/>
      <c r="X445" s="298"/>
      <c r="Y445" s="298"/>
      <c r="Z445" s="298"/>
      <c r="AA445" s="298"/>
      <c r="AB445" s="298"/>
      <c r="AC445" s="298"/>
      <c r="AD445" s="298"/>
      <c r="AE445" s="298"/>
      <c r="AF445" s="298"/>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row>
    <row r="446">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98"/>
      <c r="W446" s="298"/>
      <c r="X446" s="298"/>
      <c r="Y446" s="298"/>
      <c r="Z446" s="298"/>
      <c r="AA446" s="298"/>
      <c r="AB446" s="298"/>
      <c r="AC446" s="298"/>
      <c r="AD446" s="298"/>
      <c r="AE446" s="298"/>
      <c r="AF446" s="298"/>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row>
    <row r="447">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98"/>
      <c r="W447" s="298"/>
      <c r="X447" s="298"/>
      <c r="Y447" s="298"/>
      <c r="Z447" s="298"/>
      <c r="AA447" s="298"/>
      <c r="AB447" s="298"/>
      <c r="AC447" s="298"/>
      <c r="AD447" s="298"/>
      <c r="AE447" s="298"/>
      <c r="AF447" s="298"/>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row>
    <row r="448">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98"/>
      <c r="W448" s="298"/>
      <c r="X448" s="298"/>
      <c r="Y448" s="298"/>
      <c r="Z448" s="298"/>
      <c r="AA448" s="298"/>
      <c r="AB448" s="298"/>
      <c r="AC448" s="298"/>
      <c r="AD448" s="298"/>
      <c r="AE448" s="298"/>
      <c r="AF448" s="298"/>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row>
    <row r="449">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98"/>
      <c r="W449" s="298"/>
      <c r="X449" s="298"/>
      <c r="Y449" s="298"/>
      <c r="Z449" s="298"/>
      <c r="AA449" s="298"/>
      <c r="AB449" s="298"/>
      <c r="AC449" s="298"/>
      <c r="AD449" s="298"/>
      <c r="AE449" s="298"/>
      <c r="AF449" s="298"/>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row>
    <row r="450">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98"/>
      <c r="W450" s="298"/>
      <c r="X450" s="298"/>
      <c r="Y450" s="298"/>
      <c r="Z450" s="298"/>
      <c r="AA450" s="298"/>
      <c r="AB450" s="298"/>
      <c r="AC450" s="298"/>
      <c r="AD450" s="298"/>
      <c r="AE450" s="298"/>
      <c r="AF450" s="298"/>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row>
    <row r="45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98"/>
      <c r="W451" s="298"/>
      <c r="X451" s="298"/>
      <c r="Y451" s="298"/>
      <c r="Z451" s="298"/>
      <c r="AA451" s="298"/>
      <c r="AB451" s="298"/>
      <c r="AC451" s="298"/>
      <c r="AD451" s="298"/>
      <c r="AE451" s="298"/>
      <c r="AF451" s="298"/>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row>
    <row r="452">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98"/>
      <c r="W452" s="298"/>
      <c r="X452" s="298"/>
      <c r="Y452" s="298"/>
      <c r="Z452" s="298"/>
      <c r="AA452" s="298"/>
      <c r="AB452" s="298"/>
      <c r="AC452" s="298"/>
      <c r="AD452" s="298"/>
      <c r="AE452" s="298"/>
      <c r="AF452" s="298"/>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row>
    <row r="453">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98"/>
      <c r="W453" s="298"/>
      <c r="X453" s="298"/>
      <c r="Y453" s="298"/>
      <c r="Z453" s="298"/>
      <c r="AA453" s="298"/>
      <c r="AB453" s="298"/>
      <c r="AC453" s="298"/>
      <c r="AD453" s="298"/>
      <c r="AE453" s="298"/>
      <c r="AF453" s="298"/>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row>
    <row r="454">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98"/>
      <c r="W454" s="298"/>
      <c r="X454" s="298"/>
      <c r="Y454" s="298"/>
      <c r="Z454" s="298"/>
      <c r="AA454" s="298"/>
      <c r="AB454" s="298"/>
      <c r="AC454" s="298"/>
      <c r="AD454" s="298"/>
      <c r="AE454" s="298"/>
      <c r="AF454" s="298"/>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row>
    <row r="455">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98"/>
      <c r="W455" s="298"/>
      <c r="X455" s="298"/>
      <c r="Y455" s="298"/>
      <c r="Z455" s="298"/>
      <c r="AA455" s="298"/>
      <c r="AB455" s="298"/>
      <c r="AC455" s="298"/>
      <c r="AD455" s="298"/>
      <c r="AE455" s="298"/>
      <c r="AF455" s="298"/>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row>
    <row r="456">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98"/>
      <c r="W456" s="298"/>
      <c r="X456" s="298"/>
      <c r="Y456" s="298"/>
      <c r="Z456" s="298"/>
      <c r="AA456" s="298"/>
      <c r="AB456" s="298"/>
      <c r="AC456" s="298"/>
      <c r="AD456" s="298"/>
      <c r="AE456" s="298"/>
      <c r="AF456" s="298"/>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row>
    <row r="457">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98"/>
      <c r="W457" s="298"/>
      <c r="X457" s="298"/>
      <c r="Y457" s="298"/>
      <c r="Z457" s="298"/>
      <c r="AA457" s="298"/>
      <c r="AB457" s="298"/>
      <c r="AC457" s="298"/>
      <c r="AD457" s="298"/>
      <c r="AE457" s="298"/>
      <c r="AF457" s="298"/>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row>
    <row r="458">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98"/>
      <c r="W458" s="298"/>
      <c r="X458" s="298"/>
      <c r="Y458" s="298"/>
      <c r="Z458" s="298"/>
      <c r="AA458" s="298"/>
      <c r="AB458" s="298"/>
      <c r="AC458" s="298"/>
      <c r="AD458" s="298"/>
      <c r="AE458" s="298"/>
      <c r="AF458" s="298"/>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row>
    <row r="459">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98"/>
      <c r="W459" s="298"/>
      <c r="X459" s="298"/>
      <c r="Y459" s="298"/>
      <c r="Z459" s="298"/>
      <c r="AA459" s="298"/>
      <c r="AB459" s="298"/>
      <c r="AC459" s="298"/>
      <c r="AD459" s="298"/>
      <c r="AE459" s="298"/>
      <c r="AF459" s="298"/>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row>
    <row r="460">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98"/>
      <c r="W460" s="298"/>
      <c r="X460" s="298"/>
      <c r="Y460" s="298"/>
      <c r="Z460" s="298"/>
      <c r="AA460" s="298"/>
      <c r="AB460" s="298"/>
      <c r="AC460" s="298"/>
      <c r="AD460" s="298"/>
      <c r="AE460" s="298"/>
      <c r="AF460" s="298"/>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row>
    <row r="46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98"/>
      <c r="W461" s="298"/>
      <c r="X461" s="298"/>
      <c r="Y461" s="298"/>
      <c r="Z461" s="298"/>
      <c r="AA461" s="298"/>
      <c r="AB461" s="298"/>
      <c r="AC461" s="298"/>
      <c r="AD461" s="298"/>
      <c r="AE461" s="298"/>
      <c r="AF461" s="298"/>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row>
    <row r="462">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98"/>
      <c r="W462" s="298"/>
      <c r="X462" s="298"/>
      <c r="Y462" s="298"/>
      <c r="Z462" s="298"/>
      <c r="AA462" s="298"/>
      <c r="AB462" s="298"/>
      <c r="AC462" s="298"/>
      <c r="AD462" s="298"/>
      <c r="AE462" s="298"/>
      <c r="AF462" s="298"/>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row>
    <row r="463">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98"/>
      <c r="W463" s="298"/>
      <c r="X463" s="298"/>
      <c r="Y463" s="298"/>
      <c r="Z463" s="298"/>
      <c r="AA463" s="298"/>
      <c r="AB463" s="298"/>
      <c r="AC463" s="298"/>
      <c r="AD463" s="298"/>
      <c r="AE463" s="298"/>
      <c r="AF463" s="298"/>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row>
    <row r="464">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98"/>
      <c r="W464" s="298"/>
      <c r="X464" s="298"/>
      <c r="Y464" s="298"/>
      <c r="Z464" s="298"/>
      <c r="AA464" s="298"/>
      <c r="AB464" s="298"/>
      <c r="AC464" s="298"/>
      <c r="AD464" s="298"/>
      <c r="AE464" s="298"/>
      <c r="AF464" s="298"/>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row>
    <row r="465">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98"/>
      <c r="W465" s="298"/>
      <c r="X465" s="298"/>
      <c r="Y465" s="298"/>
      <c r="Z465" s="298"/>
      <c r="AA465" s="298"/>
      <c r="AB465" s="298"/>
      <c r="AC465" s="298"/>
      <c r="AD465" s="298"/>
      <c r="AE465" s="298"/>
      <c r="AF465" s="298"/>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row>
    <row r="466">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98"/>
      <c r="W466" s="298"/>
      <c r="X466" s="298"/>
      <c r="Y466" s="298"/>
      <c r="Z466" s="298"/>
      <c r="AA466" s="298"/>
      <c r="AB466" s="298"/>
      <c r="AC466" s="298"/>
      <c r="AD466" s="298"/>
      <c r="AE466" s="298"/>
      <c r="AF466" s="298"/>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row>
    <row r="467">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98"/>
      <c r="W467" s="298"/>
      <c r="X467" s="298"/>
      <c r="Y467" s="298"/>
      <c r="Z467" s="298"/>
      <c r="AA467" s="298"/>
      <c r="AB467" s="298"/>
      <c r="AC467" s="298"/>
      <c r="AD467" s="298"/>
      <c r="AE467" s="298"/>
      <c r="AF467" s="298"/>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row>
    <row r="468">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98"/>
      <c r="W468" s="298"/>
      <c r="X468" s="298"/>
      <c r="Y468" s="298"/>
      <c r="Z468" s="298"/>
      <c r="AA468" s="298"/>
      <c r="AB468" s="298"/>
      <c r="AC468" s="298"/>
      <c r="AD468" s="298"/>
      <c r="AE468" s="298"/>
      <c r="AF468" s="298"/>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row>
    <row r="469">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98"/>
      <c r="W469" s="298"/>
      <c r="X469" s="298"/>
      <c r="Y469" s="298"/>
      <c r="Z469" s="298"/>
      <c r="AA469" s="298"/>
      <c r="AB469" s="298"/>
      <c r="AC469" s="298"/>
      <c r="AD469" s="298"/>
      <c r="AE469" s="298"/>
      <c r="AF469" s="298"/>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row>
    <row r="470">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98"/>
      <c r="W470" s="298"/>
      <c r="X470" s="298"/>
      <c r="Y470" s="298"/>
      <c r="Z470" s="298"/>
      <c r="AA470" s="298"/>
      <c r="AB470" s="298"/>
      <c r="AC470" s="298"/>
      <c r="AD470" s="298"/>
      <c r="AE470" s="298"/>
      <c r="AF470" s="298"/>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row>
    <row r="47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98"/>
      <c r="W471" s="298"/>
      <c r="X471" s="298"/>
      <c r="Y471" s="298"/>
      <c r="Z471" s="298"/>
      <c r="AA471" s="298"/>
      <c r="AB471" s="298"/>
      <c r="AC471" s="298"/>
      <c r="AD471" s="298"/>
      <c r="AE471" s="298"/>
      <c r="AF471" s="298"/>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row>
    <row r="472">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98"/>
      <c r="W472" s="298"/>
      <c r="X472" s="298"/>
      <c r="Y472" s="298"/>
      <c r="Z472" s="298"/>
      <c r="AA472" s="298"/>
      <c r="AB472" s="298"/>
      <c r="AC472" s="298"/>
      <c r="AD472" s="298"/>
      <c r="AE472" s="298"/>
      <c r="AF472" s="298"/>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row>
    <row r="473">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98"/>
      <c r="W473" s="298"/>
      <c r="X473" s="298"/>
      <c r="Y473" s="298"/>
      <c r="Z473" s="298"/>
      <c r="AA473" s="298"/>
      <c r="AB473" s="298"/>
      <c r="AC473" s="298"/>
      <c r="AD473" s="298"/>
      <c r="AE473" s="298"/>
      <c r="AF473" s="298"/>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row>
    <row r="474">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98"/>
      <c r="W474" s="298"/>
      <c r="X474" s="298"/>
      <c r="Y474" s="298"/>
      <c r="Z474" s="298"/>
      <c r="AA474" s="298"/>
      <c r="AB474" s="298"/>
      <c r="AC474" s="298"/>
      <c r="AD474" s="298"/>
      <c r="AE474" s="298"/>
      <c r="AF474" s="298"/>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row>
    <row r="475">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98"/>
      <c r="W475" s="298"/>
      <c r="X475" s="298"/>
      <c r="Y475" s="298"/>
      <c r="Z475" s="298"/>
      <c r="AA475" s="298"/>
      <c r="AB475" s="298"/>
      <c r="AC475" s="298"/>
      <c r="AD475" s="298"/>
      <c r="AE475" s="298"/>
      <c r="AF475" s="298"/>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row>
    <row r="476">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98"/>
      <c r="W476" s="298"/>
      <c r="X476" s="298"/>
      <c r="Y476" s="298"/>
      <c r="Z476" s="298"/>
      <c r="AA476" s="298"/>
      <c r="AB476" s="298"/>
      <c r="AC476" s="298"/>
      <c r="AD476" s="298"/>
      <c r="AE476" s="298"/>
      <c r="AF476" s="298"/>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row>
    <row r="477">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98"/>
      <c r="W477" s="298"/>
      <c r="X477" s="298"/>
      <c r="Y477" s="298"/>
      <c r="Z477" s="298"/>
      <c r="AA477" s="298"/>
      <c r="AB477" s="298"/>
      <c r="AC477" s="298"/>
      <c r="AD477" s="298"/>
      <c r="AE477" s="298"/>
      <c r="AF477" s="298"/>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row>
    <row r="478">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98"/>
      <c r="W478" s="298"/>
      <c r="X478" s="298"/>
      <c r="Y478" s="298"/>
      <c r="Z478" s="298"/>
      <c r="AA478" s="298"/>
      <c r="AB478" s="298"/>
      <c r="AC478" s="298"/>
      <c r="AD478" s="298"/>
      <c r="AE478" s="298"/>
      <c r="AF478" s="298"/>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row>
    <row r="479">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98"/>
      <c r="W479" s="298"/>
      <c r="X479" s="298"/>
      <c r="Y479" s="298"/>
      <c r="Z479" s="298"/>
      <c r="AA479" s="298"/>
      <c r="AB479" s="298"/>
      <c r="AC479" s="298"/>
      <c r="AD479" s="298"/>
      <c r="AE479" s="298"/>
      <c r="AF479" s="298"/>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row>
    <row r="480">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98"/>
      <c r="W480" s="298"/>
      <c r="X480" s="298"/>
      <c r="Y480" s="298"/>
      <c r="Z480" s="298"/>
      <c r="AA480" s="298"/>
      <c r="AB480" s="298"/>
      <c r="AC480" s="298"/>
      <c r="AD480" s="298"/>
      <c r="AE480" s="298"/>
      <c r="AF480" s="298"/>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row>
    <row r="48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98"/>
      <c r="W481" s="298"/>
      <c r="X481" s="298"/>
      <c r="Y481" s="298"/>
      <c r="Z481" s="298"/>
      <c r="AA481" s="298"/>
      <c r="AB481" s="298"/>
      <c r="AC481" s="298"/>
      <c r="AD481" s="298"/>
      <c r="AE481" s="298"/>
      <c r="AF481" s="298"/>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row>
    <row r="482">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98"/>
      <c r="W482" s="298"/>
      <c r="X482" s="298"/>
      <c r="Y482" s="298"/>
      <c r="Z482" s="298"/>
      <c r="AA482" s="298"/>
      <c r="AB482" s="298"/>
      <c r="AC482" s="298"/>
      <c r="AD482" s="298"/>
      <c r="AE482" s="298"/>
      <c r="AF482" s="298"/>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row>
    <row r="483">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98"/>
      <c r="W483" s="298"/>
      <c r="X483" s="298"/>
      <c r="Y483" s="298"/>
      <c r="Z483" s="298"/>
      <c r="AA483" s="298"/>
      <c r="AB483" s="298"/>
      <c r="AC483" s="298"/>
      <c r="AD483" s="298"/>
      <c r="AE483" s="298"/>
      <c r="AF483" s="298"/>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row>
    <row r="484">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98"/>
      <c r="W484" s="298"/>
      <c r="X484" s="298"/>
      <c r="Y484" s="298"/>
      <c r="Z484" s="298"/>
      <c r="AA484" s="298"/>
      <c r="AB484" s="298"/>
      <c r="AC484" s="298"/>
      <c r="AD484" s="298"/>
      <c r="AE484" s="298"/>
      <c r="AF484" s="298"/>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row>
    <row r="485">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98"/>
      <c r="W485" s="298"/>
      <c r="X485" s="298"/>
      <c r="Y485" s="298"/>
      <c r="Z485" s="298"/>
      <c r="AA485" s="298"/>
      <c r="AB485" s="298"/>
      <c r="AC485" s="298"/>
      <c r="AD485" s="298"/>
      <c r="AE485" s="298"/>
      <c r="AF485" s="298"/>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row>
    <row r="486">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98"/>
      <c r="W486" s="298"/>
      <c r="X486" s="298"/>
      <c r="Y486" s="298"/>
      <c r="Z486" s="298"/>
      <c r="AA486" s="298"/>
      <c r="AB486" s="298"/>
      <c r="AC486" s="298"/>
      <c r="AD486" s="298"/>
      <c r="AE486" s="298"/>
      <c r="AF486" s="298"/>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row>
    <row r="487">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98"/>
      <c r="W487" s="298"/>
      <c r="X487" s="298"/>
      <c r="Y487" s="298"/>
      <c r="Z487" s="298"/>
      <c r="AA487" s="298"/>
      <c r="AB487" s="298"/>
      <c r="AC487" s="298"/>
      <c r="AD487" s="298"/>
      <c r="AE487" s="298"/>
      <c r="AF487" s="298"/>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row>
    <row r="488">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98"/>
      <c r="W488" s="298"/>
      <c r="X488" s="298"/>
      <c r="Y488" s="298"/>
      <c r="Z488" s="298"/>
      <c r="AA488" s="298"/>
      <c r="AB488" s="298"/>
      <c r="AC488" s="298"/>
      <c r="AD488" s="298"/>
      <c r="AE488" s="298"/>
      <c r="AF488" s="298"/>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row>
    <row r="489">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98"/>
      <c r="W489" s="298"/>
      <c r="X489" s="298"/>
      <c r="Y489" s="298"/>
      <c r="Z489" s="298"/>
      <c r="AA489" s="298"/>
      <c r="AB489" s="298"/>
      <c r="AC489" s="298"/>
      <c r="AD489" s="298"/>
      <c r="AE489" s="298"/>
      <c r="AF489" s="298"/>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row>
    <row r="490">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98"/>
      <c r="W490" s="298"/>
      <c r="X490" s="298"/>
      <c r="Y490" s="298"/>
      <c r="Z490" s="298"/>
      <c r="AA490" s="298"/>
      <c r="AB490" s="298"/>
      <c r="AC490" s="298"/>
      <c r="AD490" s="298"/>
      <c r="AE490" s="298"/>
      <c r="AF490" s="298"/>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row>
    <row r="49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98"/>
      <c r="W491" s="298"/>
      <c r="X491" s="298"/>
      <c r="Y491" s="298"/>
      <c r="Z491" s="298"/>
      <c r="AA491" s="298"/>
      <c r="AB491" s="298"/>
      <c r="AC491" s="298"/>
      <c r="AD491" s="298"/>
      <c r="AE491" s="298"/>
      <c r="AF491" s="298"/>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row>
    <row r="492">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98"/>
      <c r="W492" s="298"/>
      <c r="X492" s="298"/>
      <c r="Y492" s="298"/>
      <c r="Z492" s="298"/>
      <c r="AA492" s="298"/>
      <c r="AB492" s="298"/>
      <c r="AC492" s="298"/>
      <c r="AD492" s="298"/>
      <c r="AE492" s="298"/>
      <c r="AF492" s="298"/>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row>
    <row r="493">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98"/>
      <c r="W493" s="298"/>
      <c r="X493" s="298"/>
      <c r="Y493" s="298"/>
      <c r="Z493" s="298"/>
      <c r="AA493" s="298"/>
      <c r="AB493" s="298"/>
      <c r="AC493" s="298"/>
      <c r="AD493" s="298"/>
      <c r="AE493" s="298"/>
      <c r="AF493" s="298"/>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row>
    <row r="494">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98"/>
      <c r="W494" s="298"/>
      <c r="X494" s="298"/>
      <c r="Y494" s="298"/>
      <c r="Z494" s="298"/>
      <c r="AA494" s="298"/>
      <c r="AB494" s="298"/>
      <c r="AC494" s="298"/>
      <c r="AD494" s="298"/>
      <c r="AE494" s="298"/>
      <c r="AF494" s="298"/>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row>
    <row r="495">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98"/>
      <c r="W495" s="298"/>
      <c r="X495" s="298"/>
      <c r="Y495" s="298"/>
      <c r="Z495" s="298"/>
      <c r="AA495" s="298"/>
      <c r="AB495" s="298"/>
      <c r="AC495" s="298"/>
      <c r="AD495" s="298"/>
      <c r="AE495" s="298"/>
      <c r="AF495" s="298"/>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row>
    <row r="496">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98"/>
      <c r="W496" s="298"/>
      <c r="X496" s="298"/>
      <c r="Y496" s="298"/>
      <c r="Z496" s="298"/>
      <c r="AA496" s="298"/>
      <c r="AB496" s="298"/>
      <c r="AC496" s="298"/>
      <c r="AD496" s="298"/>
      <c r="AE496" s="298"/>
      <c r="AF496" s="298"/>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row>
    <row r="497">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98"/>
      <c r="W497" s="298"/>
      <c r="X497" s="298"/>
      <c r="Y497" s="298"/>
      <c r="Z497" s="298"/>
      <c r="AA497" s="298"/>
      <c r="AB497" s="298"/>
      <c r="AC497" s="298"/>
      <c r="AD497" s="298"/>
      <c r="AE497" s="298"/>
      <c r="AF497" s="298"/>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row>
    <row r="498">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98"/>
      <c r="W498" s="298"/>
      <c r="X498" s="298"/>
      <c r="Y498" s="298"/>
      <c r="Z498" s="298"/>
      <c r="AA498" s="298"/>
      <c r="AB498" s="298"/>
      <c r="AC498" s="298"/>
      <c r="AD498" s="298"/>
      <c r="AE498" s="298"/>
      <c r="AF498" s="298"/>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row>
    <row r="499">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98"/>
      <c r="W499" s="298"/>
      <c r="X499" s="298"/>
      <c r="Y499" s="298"/>
      <c r="Z499" s="298"/>
      <c r="AA499" s="298"/>
      <c r="AB499" s="298"/>
      <c r="AC499" s="298"/>
      <c r="AD499" s="298"/>
      <c r="AE499" s="298"/>
      <c r="AF499" s="298"/>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row>
    <row r="500">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98"/>
      <c r="W500" s="298"/>
      <c r="X500" s="298"/>
      <c r="Y500" s="298"/>
      <c r="Z500" s="298"/>
      <c r="AA500" s="298"/>
      <c r="AB500" s="298"/>
      <c r="AC500" s="298"/>
      <c r="AD500" s="298"/>
      <c r="AE500" s="298"/>
      <c r="AF500" s="298"/>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row>
    <row r="50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98"/>
      <c r="W501" s="298"/>
      <c r="X501" s="298"/>
      <c r="Y501" s="298"/>
      <c r="Z501" s="298"/>
      <c r="AA501" s="298"/>
      <c r="AB501" s="298"/>
      <c r="AC501" s="298"/>
      <c r="AD501" s="298"/>
      <c r="AE501" s="298"/>
      <c r="AF501" s="298"/>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row>
    <row r="502">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98"/>
      <c r="W502" s="298"/>
      <c r="X502" s="298"/>
      <c r="Y502" s="298"/>
      <c r="Z502" s="298"/>
      <c r="AA502" s="298"/>
      <c r="AB502" s="298"/>
      <c r="AC502" s="298"/>
      <c r="AD502" s="298"/>
      <c r="AE502" s="298"/>
      <c r="AF502" s="298"/>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row>
    <row r="503">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98"/>
      <c r="W503" s="298"/>
      <c r="X503" s="298"/>
      <c r="Y503" s="298"/>
      <c r="Z503" s="298"/>
      <c r="AA503" s="298"/>
      <c r="AB503" s="298"/>
      <c r="AC503" s="298"/>
      <c r="AD503" s="298"/>
      <c r="AE503" s="298"/>
      <c r="AF503" s="298"/>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row>
    <row r="504">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98"/>
      <c r="W504" s="298"/>
      <c r="X504" s="298"/>
      <c r="Y504" s="298"/>
      <c r="Z504" s="298"/>
      <c r="AA504" s="298"/>
      <c r="AB504" s="298"/>
      <c r="AC504" s="298"/>
      <c r="AD504" s="298"/>
      <c r="AE504" s="298"/>
      <c r="AF504" s="298"/>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row>
    <row r="505">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98"/>
      <c r="W505" s="298"/>
      <c r="X505" s="298"/>
      <c r="Y505" s="298"/>
      <c r="Z505" s="298"/>
      <c r="AA505" s="298"/>
      <c r="AB505" s="298"/>
      <c r="AC505" s="298"/>
      <c r="AD505" s="298"/>
      <c r="AE505" s="298"/>
      <c r="AF505" s="298"/>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row>
    <row r="506">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98"/>
      <c r="W506" s="298"/>
      <c r="X506" s="298"/>
      <c r="Y506" s="298"/>
      <c r="Z506" s="298"/>
      <c r="AA506" s="298"/>
      <c r="AB506" s="298"/>
      <c r="AC506" s="298"/>
      <c r="AD506" s="298"/>
      <c r="AE506" s="298"/>
      <c r="AF506" s="298"/>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row>
    <row r="507">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98"/>
      <c r="W507" s="298"/>
      <c r="X507" s="298"/>
      <c r="Y507" s="298"/>
      <c r="Z507" s="298"/>
      <c r="AA507" s="298"/>
      <c r="AB507" s="298"/>
      <c r="AC507" s="298"/>
      <c r="AD507" s="298"/>
      <c r="AE507" s="298"/>
      <c r="AF507" s="298"/>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row>
    <row r="508">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98"/>
      <c r="W508" s="298"/>
      <c r="X508" s="298"/>
      <c r="Y508" s="298"/>
      <c r="Z508" s="298"/>
      <c r="AA508" s="298"/>
      <c r="AB508" s="298"/>
      <c r="AC508" s="298"/>
      <c r="AD508" s="298"/>
      <c r="AE508" s="298"/>
      <c r="AF508" s="298"/>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row>
    <row r="509">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98"/>
      <c r="W509" s="298"/>
      <c r="X509" s="298"/>
      <c r="Y509" s="298"/>
      <c r="Z509" s="298"/>
      <c r="AA509" s="298"/>
      <c r="AB509" s="298"/>
      <c r="AC509" s="298"/>
      <c r="AD509" s="298"/>
      <c r="AE509" s="298"/>
      <c r="AF509" s="298"/>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row>
    <row r="510">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98"/>
      <c r="W510" s="298"/>
      <c r="X510" s="298"/>
      <c r="Y510" s="298"/>
      <c r="Z510" s="298"/>
      <c r="AA510" s="298"/>
      <c r="AB510" s="298"/>
      <c r="AC510" s="298"/>
      <c r="AD510" s="298"/>
      <c r="AE510" s="298"/>
      <c r="AF510" s="298"/>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row>
    <row r="51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98"/>
      <c r="W511" s="298"/>
      <c r="X511" s="298"/>
      <c r="Y511" s="298"/>
      <c r="Z511" s="298"/>
      <c r="AA511" s="298"/>
      <c r="AB511" s="298"/>
      <c r="AC511" s="298"/>
      <c r="AD511" s="298"/>
      <c r="AE511" s="298"/>
      <c r="AF511" s="298"/>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row>
    <row r="512">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98"/>
      <c r="W512" s="298"/>
      <c r="X512" s="298"/>
      <c r="Y512" s="298"/>
      <c r="Z512" s="298"/>
      <c r="AA512" s="298"/>
      <c r="AB512" s="298"/>
      <c r="AC512" s="298"/>
      <c r="AD512" s="298"/>
      <c r="AE512" s="298"/>
      <c r="AF512" s="298"/>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row>
    <row r="513">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98"/>
      <c r="W513" s="298"/>
      <c r="X513" s="298"/>
      <c r="Y513" s="298"/>
      <c r="Z513" s="298"/>
      <c r="AA513" s="298"/>
      <c r="AB513" s="298"/>
      <c r="AC513" s="298"/>
      <c r="AD513" s="298"/>
      <c r="AE513" s="298"/>
      <c r="AF513" s="298"/>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row>
    <row r="514">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98"/>
      <c r="W514" s="298"/>
      <c r="X514" s="298"/>
      <c r="Y514" s="298"/>
      <c r="Z514" s="298"/>
      <c r="AA514" s="298"/>
      <c r="AB514" s="298"/>
      <c r="AC514" s="298"/>
      <c r="AD514" s="298"/>
      <c r="AE514" s="298"/>
      <c r="AF514" s="298"/>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row>
    <row r="515">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98"/>
      <c r="W515" s="298"/>
      <c r="X515" s="298"/>
      <c r="Y515" s="298"/>
      <c r="Z515" s="298"/>
      <c r="AA515" s="298"/>
      <c r="AB515" s="298"/>
      <c r="AC515" s="298"/>
      <c r="AD515" s="298"/>
      <c r="AE515" s="298"/>
      <c r="AF515" s="298"/>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row>
    <row r="516">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98"/>
      <c r="W516" s="298"/>
      <c r="X516" s="298"/>
      <c r="Y516" s="298"/>
      <c r="Z516" s="298"/>
      <c r="AA516" s="298"/>
      <c r="AB516" s="298"/>
      <c r="AC516" s="298"/>
      <c r="AD516" s="298"/>
      <c r="AE516" s="298"/>
      <c r="AF516" s="298"/>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row>
    <row r="517">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98"/>
      <c r="W517" s="298"/>
      <c r="X517" s="298"/>
      <c r="Y517" s="298"/>
      <c r="Z517" s="298"/>
      <c r="AA517" s="298"/>
      <c r="AB517" s="298"/>
      <c r="AC517" s="298"/>
      <c r="AD517" s="298"/>
      <c r="AE517" s="298"/>
      <c r="AF517" s="298"/>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row>
    <row r="518">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98"/>
      <c r="W518" s="298"/>
      <c r="X518" s="298"/>
      <c r="Y518" s="298"/>
      <c r="Z518" s="298"/>
      <c r="AA518" s="298"/>
      <c r="AB518" s="298"/>
      <c r="AC518" s="298"/>
      <c r="AD518" s="298"/>
      <c r="AE518" s="298"/>
      <c r="AF518" s="298"/>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row>
    <row r="519">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98"/>
      <c r="W519" s="298"/>
      <c r="X519" s="298"/>
      <c r="Y519" s="298"/>
      <c r="Z519" s="298"/>
      <c r="AA519" s="298"/>
      <c r="AB519" s="298"/>
      <c r="AC519" s="298"/>
      <c r="AD519" s="298"/>
      <c r="AE519" s="298"/>
      <c r="AF519" s="298"/>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row>
    <row r="520">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98"/>
      <c r="W520" s="298"/>
      <c r="X520" s="298"/>
      <c r="Y520" s="298"/>
      <c r="Z520" s="298"/>
      <c r="AA520" s="298"/>
      <c r="AB520" s="298"/>
      <c r="AC520" s="298"/>
      <c r="AD520" s="298"/>
      <c r="AE520" s="298"/>
      <c r="AF520" s="298"/>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row>
    <row r="52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98"/>
      <c r="W521" s="298"/>
      <c r="X521" s="298"/>
      <c r="Y521" s="298"/>
      <c r="Z521" s="298"/>
      <c r="AA521" s="298"/>
      <c r="AB521" s="298"/>
      <c r="AC521" s="298"/>
      <c r="AD521" s="298"/>
      <c r="AE521" s="298"/>
      <c r="AF521" s="298"/>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row>
    <row r="522">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98"/>
      <c r="W522" s="298"/>
      <c r="X522" s="298"/>
      <c r="Y522" s="298"/>
      <c r="Z522" s="298"/>
      <c r="AA522" s="298"/>
      <c r="AB522" s="298"/>
      <c r="AC522" s="298"/>
      <c r="AD522" s="298"/>
      <c r="AE522" s="298"/>
      <c r="AF522" s="298"/>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row>
    <row r="523">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98"/>
      <c r="W523" s="298"/>
      <c r="X523" s="298"/>
      <c r="Y523" s="298"/>
      <c r="Z523" s="298"/>
      <c r="AA523" s="298"/>
      <c r="AB523" s="298"/>
      <c r="AC523" s="298"/>
      <c r="AD523" s="298"/>
      <c r="AE523" s="298"/>
      <c r="AF523" s="298"/>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row>
    <row r="524">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98"/>
      <c r="W524" s="298"/>
      <c r="X524" s="298"/>
      <c r="Y524" s="298"/>
      <c r="Z524" s="298"/>
      <c r="AA524" s="298"/>
      <c r="AB524" s="298"/>
      <c r="AC524" s="298"/>
      <c r="AD524" s="298"/>
      <c r="AE524" s="298"/>
      <c r="AF524" s="298"/>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row>
    <row r="525">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98"/>
      <c r="W525" s="298"/>
      <c r="X525" s="298"/>
      <c r="Y525" s="298"/>
      <c r="Z525" s="298"/>
      <c r="AA525" s="298"/>
      <c r="AB525" s="298"/>
      <c r="AC525" s="298"/>
      <c r="AD525" s="298"/>
      <c r="AE525" s="298"/>
      <c r="AF525" s="298"/>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row>
    <row r="526">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98"/>
      <c r="W526" s="298"/>
      <c r="X526" s="298"/>
      <c r="Y526" s="298"/>
      <c r="Z526" s="298"/>
      <c r="AA526" s="298"/>
      <c r="AB526" s="298"/>
      <c r="AC526" s="298"/>
      <c r="AD526" s="298"/>
      <c r="AE526" s="298"/>
      <c r="AF526" s="298"/>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row>
    <row r="527">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98"/>
      <c r="W527" s="298"/>
      <c r="X527" s="298"/>
      <c r="Y527" s="298"/>
      <c r="Z527" s="298"/>
      <c r="AA527" s="298"/>
      <c r="AB527" s="298"/>
      <c r="AC527" s="298"/>
      <c r="AD527" s="298"/>
      <c r="AE527" s="298"/>
      <c r="AF527" s="298"/>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row>
    <row r="528">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98"/>
      <c r="W528" s="298"/>
      <c r="X528" s="298"/>
      <c r="Y528" s="298"/>
      <c r="Z528" s="298"/>
      <c r="AA528" s="298"/>
      <c r="AB528" s="298"/>
      <c r="AC528" s="298"/>
      <c r="AD528" s="298"/>
      <c r="AE528" s="298"/>
      <c r="AF528" s="298"/>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row>
    <row r="529">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98"/>
      <c r="W529" s="298"/>
      <c r="X529" s="298"/>
      <c r="Y529" s="298"/>
      <c r="Z529" s="298"/>
      <c r="AA529" s="298"/>
      <c r="AB529" s="298"/>
      <c r="AC529" s="298"/>
      <c r="AD529" s="298"/>
      <c r="AE529" s="298"/>
      <c r="AF529" s="298"/>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row>
    <row r="530">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98"/>
      <c r="W530" s="298"/>
      <c r="X530" s="298"/>
      <c r="Y530" s="298"/>
      <c r="Z530" s="298"/>
      <c r="AA530" s="298"/>
      <c r="AB530" s="298"/>
      <c r="AC530" s="298"/>
      <c r="AD530" s="298"/>
      <c r="AE530" s="298"/>
      <c r="AF530" s="298"/>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row>
    <row r="53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98"/>
      <c r="W531" s="298"/>
      <c r="X531" s="298"/>
      <c r="Y531" s="298"/>
      <c r="Z531" s="298"/>
      <c r="AA531" s="298"/>
      <c r="AB531" s="298"/>
      <c r="AC531" s="298"/>
      <c r="AD531" s="298"/>
      <c r="AE531" s="298"/>
      <c r="AF531" s="298"/>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row>
    <row r="532">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98"/>
      <c r="W532" s="298"/>
      <c r="X532" s="298"/>
      <c r="Y532" s="298"/>
      <c r="Z532" s="298"/>
      <c r="AA532" s="298"/>
      <c r="AB532" s="298"/>
      <c r="AC532" s="298"/>
      <c r="AD532" s="298"/>
      <c r="AE532" s="298"/>
      <c r="AF532" s="298"/>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row>
    <row r="533">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98"/>
      <c r="W533" s="298"/>
      <c r="X533" s="298"/>
      <c r="Y533" s="298"/>
      <c r="Z533" s="298"/>
      <c r="AA533" s="298"/>
      <c r="AB533" s="298"/>
      <c r="AC533" s="298"/>
      <c r="AD533" s="298"/>
      <c r="AE533" s="298"/>
      <c r="AF533" s="298"/>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row>
    <row r="534">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98"/>
      <c r="W534" s="298"/>
      <c r="X534" s="298"/>
      <c r="Y534" s="298"/>
      <c r="Z534" s="298"/>
      <c r="AA534" s="298"/>
      <c r="AB534" s="298"/>
      <c r="AC534" s="298"/>
      <c r="AD534" s="298"/>
      <c r="AE534" s="298"/>
      <c r="AF534" s="298"/>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row>
    <row r="535">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98"/>
      <c r="W535" s="298"/>
      <c r="X535" s="298"/>
      <c r="Y535" s="298"/>
      <c r="Z535" s="298"/>
      <c r="AA535" s="298"/>
      <c r="AB535" s="298"/>
      <c r="AC535" s="298"/>
      <c r="AD535" s="298"/>
      <c r="AE535" s="298"/>
      <c r="AF535" s="298"/>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row>
    <row r="536">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98"/>
      <c r="W536" s="298"/>
      <c r="X536" s="298"/>
      <c r="Y536" s="298"/>
      <c r="Z536" s="298"/>
      <c r="AA536" s="298"/>
      <c r="AB536" s="298"/>
      <c r="AC536" s="298"/>
      <c r="AD536" s="298"/>
      <c r="AE536" s="298"/>
      <c r="AF536" s="298"/>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row>
    <row r="537">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98"/>
      <c r="W537" s="298"/>
      <c r="X537" s="298"/>
      <c r="Y537" s="298"/>
      <c r="Z537" s="298"/>
      <c r="AA537" s="298"/>
      <c r="AB537" s="298"/>
      <c r="AC537" s="298"/>
      <c r="AD537" s="298"/>
      <c r="AE537" s="298"/>
      <c r="AF537" s="298"/>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row>
    <row r="538">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98"/>
      <c r="W538" s="298"/>
      <c r="X538" s="298"/>
      <c r="Y538" s="298"/>
      <c r="Z538" s="298"/>
      <c r="AA538" s="298"/>
      <c r="AB538" s="298"/>
      <c r="AC538" s="298"/>
      <c r="AD538" s="298"/>
      <c r="AE538" s="298"/>
      <c r="AF538" s="298"/>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row>
    <row r="539">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98"/>
      <c r="W539" s="298"/>
      <c r="X539" s="298"/>
      <c r="Y539" s="298"/>
      <c r="Z539" s="298"/>
      <c r="AA539" s="298"/>
      <c r="AB539" s="298"/>
      <c r="AC539" s="298"/>
      <c r="AD539" s="298"/>
      <c r="AE539" s="298"/>
      <c r="AF539" s="298"/>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row>
    <row r="540">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98"/>
      <c r="W540" s="298"/>
      <c r="X540" s="298"/>
      <c r="Y540" s="298"/>
      <c r="Z540" s="298"/>
      <c r="AA540" s="298"/>
      <c r="AB540" s="298"/>
      <c r="AC540" s="298"/>
      <c r="AD540" s="298"/>
      <c r="AE540" s="298"/>
      <c r="AF540" s="298"/>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row>
    <row r="54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98"/>
      <c r="W541" s="298"/>
      <c r="X541" s="298"/>
      <c r="Y541" s="298"/>
      <c r="Z541" s="298"/>
      <c r="AA541" s="298"/>
      <c r="AB541" s="298"/>
      <c r="AC541" s="298"/>
      <c r="AD541" s="298"/>
      <c r="AE541" s="298"/>
      <c r="AF541" s="298"/>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row>
    <row r="542">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98"/>
      <c r="W542" s="298"/>
      <c r="X542" s="298"/>
      <c r="Y542" s="298"/>
      <c r="Z542" s="298"/>
      <c r="AA542" s="298"/>
      <c r="AB542" s="298"/>
      <c r="AC542" s="298"/>
      <c r="AD542" s="298"/>
      <c r="AE542" s="298"/>
      <c r="AF542" s="298"/>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row>
    <row r="543">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98"/>
      <c r="W543" s="298"/>
      <c r="X543" s="298"/>
      <c r="Y543" s="298"/>
      <c r="Z543" s="298"/>
      <c r="AA543" s="298"/>
      <c r="AB543" s="298"/>
      <c r="AC543" s="298"/>
      <c r="AD543" s="298"/>
      <c r="AE543" s="298"/>
      <c r="AF543" s="298"/>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row>
    <row r="544">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98"/>
      <c r="W544" s="298"/>
      <c r="X544" s="298"/>
      <c r="Y544" s="298"/>
      <c r="Z544" s="298"/>
      <c r="AA544" s="298"/>
      <c r="AB544" s="298"/>
      <c r="AC544" s="298"/>
      <c r="AD544" s="298"/>
      <c r="AE544" s="298"/>
      <c r="AF544" s="298"/>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row>
    <row r="545">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98"/>
      <c r="W545" s="298"/>
      <c r="X545" s="298"/>
      <c r="Y545" s="298"/>
      <c r="Z545" s="298"/>
      <c r="AA545" s="298"/>
      <c r="AB545" s="298"/>
      <c r="AC545" s="298"/>
      <c r="AD545" s="298"/>
      <c r="AE545" s="298"/>
      <c r="AF545" s="298"/>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row>
    <row r="546">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98"/>
      <c r="W546" s="298"/>
      <c r="X546" s="298"/>
      <c r="Y546" s="298"/>
      <c r="Z546" s="298"/>
      <c r="AA546" s="298"/>
      <c r="AB546" s="298"/>
      <c r="AC546" s="298"/>
      <c r="AD546" s="298"/>
      <c r="AE546" s="298"/>
      <c r="AF546" s="298"/>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row>
    <row r="547">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98"/>
      <c r="W547" s="298"/>
      <c r="X547" s="298"/>
      <c r="Y547" s="298"/>
      <c r="Z547" s="298"/>
      <c r="AA547" s="298"/>
      <c r="AB547" s="298"/>
      <c r="AC547" s="298"/>
      <c r="AD547" s="298"/>
      <c r="AE547" s="298"/>
      <c r="AF547" s="298"/>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row>
    <row r="548">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98"/>
      <c r="W548" s="298"/>
      <c r="X548" s="298"/>
      <c r="Y548" s="298"/>
      <c r="Z548" s="298"/>
      <c r="AA548" s="298"/>
      <c r="AB548" s="298"/>
      <c r="AC548" s="298"/>
      <c r="AD548" s="298"/>
      <c r="AE548" s="298"/>
      <c r="AF548" s="298"/>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row>
    <row r="549">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98"/>
      <c r="W549" s="298"/>
      <c r="X549" s="298"/>
      <c r="Y549" s="298"/>
      <c r="Z549" s="298"/>
      <c r="AA549" s="298"/>
      <c r="AB549" s="298"/>
      <c r="AC549" s="298"/>
      <c r="AD549" s="298"/>
      <c r="AE549" s="298"/>
      <c r="AF549" s="298"/>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row>
    <row r="550">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98"/>
      <c r="W550" s="298"/>
      <c r="X550" s="298"/>
      <c r="Y550" s="298"/>
      <c r="Z550" s="298"/>
      <c r="AA550" s="298"/>
      <c r="AB550" s="298"/>
      <c r="AC550" s="298"/>
      <c r="AD550" s="298"/>
      <c r="AE550" s="298"/>
      <c r="AF550" s="298"/>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row>
    <row r="55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98"/>
      <c r="W551" s="298"/>
      <c r="X551" s="298"/>
      <c r="Y551" s="298"/>
      <c r="Z551" s="298"/>
      <c r="AA551" s="298"/>
      <c r="AB551" s="298"/>
      <c r="AC551" s="298"/>
      <c r="AD551" s="298"/>
      <c r="AE551" s="298"/>
      <c r="AF551" s="298"/>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row>
    <row r="552">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98"/>
      <c r="W552" s="298"/>
      <c r="X552" s="298"/>
      <c r="Y552" s="298"/>
      <c r="Z552" s="298"/>
      <c r="AA552" s="298"/>
      <c r="AB552" s="298"/>
      <c r="AC552" s="298"/>
      <c r="AD552" s="298"/>
      <c r="AE552" s="298"/>
      <c r="AF552" s="298"/>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row>
    <row r="553">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98"/>
      <c r="W553" s="298"/>
      <c r="X553" s="298"/>
      <c r="Y553" s="298"/>
      <c r="Z553" s="298"/>
      <c r="AA553" s="298"/>
      <c r="AB553" s="298"/>
      <c r="AC553" s="298"/>
      <c r="AD553" s="298"/>
      <c r="AE553" s="298"/>
      <c r="AF553" s="298"/>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row>
    <row r="554">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98"/>
      <c r="W554" s="298"/>
      <c r="X554" s="298"/>
      <c r="Y554" s="298"/>
      <c r="Z554" s="298"/>
      <c r="AA554" s="298"/>
      <c r="AB554" s="298"/>
      <c r="AC554" s="298"/>
      <c r="AD554" s="298"/>
      <c r="AE554" s="298"/>
      <c r="AF554" s="298"/>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row>
    <row r="555">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98"/>
      <c r="W555" s="298"/>
      <c r="X555" s="298"/>
      <c r="Y555" s="298"/>
      <c r="Z555" s="298"/>
      <c r="AA555" s="298"/>
      <c r="AB555" s="298"/>
      <c r="AC555" s="298"/>
      <c r="AD555" s="298"/>
      <c r="AE555" s="298"/>
      <c r="AF555" s="298"/>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row>
    <row r="556">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98"/>
      <c r="W556" s="298"/>
      <c r="X556" s="298"/>
      <c r="Y556" s="298"/>
      <c r="Z556" s="298"/>
      <c r="AA556" s="298"/>
      <c r="AB556" s="298"/>
      <c r="AC556" s="298"/>
      <c r="AD556" s="298"/>
      <c r="AE556" s="298"/>
      <c r="AF556" s="298"/>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row>
    <row r="557">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98"/>
      <c r="W557" s="298"/>
      <c r="X557" s="298"/>
      <c r="Y557" s="298"/>
      <c r="Z557" s="298"/>
      <c r="AA557" s="298"/>
      <c r="AB557" s="298"/>
      <c r="AC557" s="298"/>
      <c r="AD557" s="298"/>
      <c r="AE557" s="298"/>
      <c r="AF557" s="298"/>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row>
    <row r="558">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98"/>
      <c r="W558" s="298"/>
      <c r="X558" s="298"/>
      <c r="Y558" s="298"/>
      <c r="Z558" s="298"/>
      <c r="AA558" s="298"/>
      <c r="AB558" s="298"/>
      <c r="AC558" s="298"/>
      <c r="AD558" s="298"/>
      <c r="AE558" s="298"/>
      <c r="AF558" s="298"/>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row>
    <row r="559">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98"/>
      <c r="W559" s="298"/>
      <c r="X559" s="298"/>
      <c r="Y559" s="298"/>
      <c r="Z559" s="298"/>
      <c r="AA559" s="298"/>
      <c r="AB559" s="298"/>
      <c r="AC559" s="298"/>
      <c r="AD559" s="298"/>
      <c r="AE559" s="298"/>
      <c r="AF559" s="298"/>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row>
    <row r="560">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98"/>
      <c r="W560" s="298"/>
      <c r="X560" s="298"/>
      <c r="Y560" s="298"/>
      <c r="Z560" s="298"/>
      <c r="AA560" s="298"/>
      <c r="AB560" s="298"/>
      <c r="AC560" s="298"/>
      <c r="AD560" s="298"/>
      <c r="AE560" s="298"/>
      <c r="AF560" s="298"/>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row>
    <row r="56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98"/>
      <c r="W561" s="298"/>
      <c r="X561" s="298"/>
      <c r="Y561" s="298"/>
      <c r="Z561" s="298"/>
      <c r="AA561" s="298"/>
      <c r="AB561" s="298"/>
      <c r="AC561" s="298"/>
      <c r="AD561" s="298"/>
      <c r="AE561" s="298"/>
      <c r="AF561" s="298"/>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row>
    <row r="562">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98"/>
      <c r="W562" s="298"/>
      <c r="X562" s="298"/>
      <c r="Y562" s="298"/>
      <c r="Z562" s="298"/>
      <c r="AA562" s="298"/>
      <c r="AB562" s="298"/>
      <c r="AC562" s="298"/>
      <c r="AD562" s="298"/>
      <c r="AE562" s="298"/>
      <c r="AF562" s="298"/>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row>
    <row r="563">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98"/>
      <c r="W563" s="298"/>
      <c r="X563" s="298"/>
      <c r="Y563" s="298"/>
      <c r="Z563" s="298"/>
      <c r="AA563" s="298"/>
      <c r="AB563" s="298"/>
      <c r="AC563" s="298"/>
      <c r="AD563" s="298"/>
      <c r="AE563" s="298"/>
      <c r="AF563" s="298"/>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row>
    <row r="564">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98"/>
      <c r="W564" s="298"/>
      <c r="X564" s="298"/>
      <c r="Y564" s="298"/>
      <c r="Z564" s="298"/>
      <c r="AA564" s="298"/>
      <c r="AB564" s="298"/>
      <c r="AC564" s="298"/>
      <c r="AD564" s="298"/>
      <c r="AE564" s="298"/>
      <c r="AF564" s="298"/>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row>
    <row r="565">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98"/>
      <c r="W565" s="298"/>
      <c r="X565" s="298"/>
      <c r="Y565" s="298"/>
      <c r="Z565" s="298"/>
      <c r="AA565" s="298"/>
      <c r="AB565" s="298"/>
      <c r="AC565" s="298"/>
      <c r="AD565" s="298"/>
      <c r="AE565" s="298"/>
      <c r="AF565" s="298"/>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row>
    <row r="566">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98"/>
      <c r="W566" s="298"/>
      <c r="X566" s="298"/>
      <c r="Y566" s="298"/>
      <c r="Z566" s="298"/>
      <c r="AA566" s="298"/>
      <c r="AB566" s="298"/>
      <c r="AC566" s="298"/>
      <c r="AD566" s="298"/>
      <c r="AE566" s="298"/>
      <c r="AF566" s="298"/>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row>
    <row r="567">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98"/>
      <c r="W567" s="298"/>
      <c r="X567" s="298"/>
      <c r="Y567" s="298"/>
      <c r="Z567" s="298"/>
      <c r="AA567" s="298"/>
      <c r="AB567" s="298"/>
      <c r="AC567" s="298"/>
      <c r="AD567" s="298"/>
      <c r="AE567" s="298"/>
      <c r="AF567" s="298"/>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row>
    <row r="568">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98"/>
      <c r="W568" s="298"/>
      <c r="X568" s="298"/>
      <c r="Y568" s="298"/>
      <c r="Z568" s="298"/>
      <c r="AA568" s="298"/>
      <c r="AB568" s="298"/>
      <c r="AC568" s="298"/>
      <c r="AD568" s="298"/>
      <c r="AE568" s="298"/>
      <c r="AF568" s="298"/>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row>
    <row r="569">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98"/>
      <c r="W569" s="298"/>
      <c r="X569" s="298"/>
      <c r="Y569" s="298"/>
      <c r="Z569" s="298"/>
      <c r="AA569" s="298"/>
      <c r="AB569" s="298"/>
      <c r="AC569" s="298"/>
      <c r="AD569" s="298"/>
      <c r="AE569" s="298"/>
      <c r="AF569" s="298"/>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row>
    <row r="570">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98"/>
      <c r="W570" s="298"/>
      <c r="X570" s="298"/>
      <c r="Y570" s="298"/>
      <c r="Z570" s="298"/>
      <c r="AA570" s="298"/>
      <c r="AB570" s="298"/>
      <c r="AC570" s="298"/>
      <c r="AD570" s="298"/>
      <c r="AE570" s="298"/>
      <c r="AF570" s="298"/>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row>
    <row r="57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98"/>
      <c r="W571" s="298"/>
      <c r="X571" s="298"/>
      <c r="Y571" s="298"/>
      <c r="Z571" s="298"/>
      <c r="AA571" s="298"/>
      <c r="AB571" s="298"/>
      <c r="AC571" s="298"/>
      <c r="AD571" s="298"/>
      <c r="AE571" s="298"/>
      <c r="AF571" s="298"/>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row>
    <row r="572">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98"/>
      <c r="W572" s="298"/>
      <c r="X572" s="298"/>
      <c r="Y572" s="298"/>
      <c r="Z572" s="298"/>
      <c r="AA572" s="298"/>
      <c r="AB572" s="298"/>
      <c r="AC572" s="298"/>
      <c r="AD572" s="298"/>
      <c r="AE572" s="298"/>
      <c r="AF572" s="298"/>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row>
    <row r="573">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98"/>
      <c r="W573" s="298"/>
      <c r="X573" s="298"/>
      <c r="Y573" s="298"/>
      <c r="Z573" s="298"/>
      <c r="AA573" s="298"/>
      <c r="AB573" s="298"/>
      <c r="AC573" s="298"/>
      <c r="AD573" s="298"/>
      <c r="AE573" s="298"/>
      <c r="AF573" s="298"/>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row>
    <row r="574">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98"/>
      <c r="W574" s="298"/>
      <c r="X574" s="298"/>
      <c r="Y574" s="298"/>
      <c r="Z574" s="298"/>
      <c r="AA574" s="298"/>
      <c r="AB574" s="298"/>
      <c r="AC574" s="298"/>
      <c r="AD574" s="298"/>
      <c r="AE574" s="298"/>
      <c r="AF574" s="298"/>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row>
    <row r="575">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98"/>
      <c r="W575" s="298"/>
      <c r="X575" s="298"/>
      <c r="Y575" s="298"/>
      <c r="Z575" s="298"/>
      <c r="AA575" s="298"/>
      <c r="AB575" s="298"/>
      <c r="AC575" s="298"/>
      <c r="AD575" s="298"/>
      <c r="AE575" s="298"/>
      <c r="AF575" s="298"/>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row>
    <row r="576">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98"/>
      <c r="W576" s="298"/>
      <c r="X576" s="298"/>
      <c r="Y576" s="298"/>
      <c r="Z576" s="298"/>
      <c r="AA576" s="298"/>
      <c r="AB576" s="298"/>
      <c r="AC576" s="298"/>
      <c r="AD576" s="298"/>
      <c r="AE576" s="298"/>
      <c r="AF576" s="298"/>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row>
    <row r="577">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98"/>
      <c r="W577" s="298"/>
      <c r="X577" s="298"/>
      <c r="Y577" s="298"/>
      <c r="Z577" s="298"/>
      <c r="AA577" s="298"/>
      <c r="AB577" s="298"/>
      <c r="AC577" s="298"/>
      <c r="AD577" s="298"/>
      <c r="AE577" s="298"/>
      <c r="AF577" s="298"/>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row>
    <row r="578">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98"/>
      <c r="W578" s="298"/>
      <c r="X578" s="298"/>
      <c r="Y578" s="298"/>
      <c r="Z578" s="298"/>
      <c r="AA578" s="298"/>
      <c r="AB578" s="298"/>
      <c r="AC578" s="298"/>
      <c r="AD578" s="298"/>
      <c r="AE578" s="298"/>
      <c r="AF578" s="298"/>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row>
    <row r="579">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98"/>
      <c r="W579" s="298"/>
      <c r="X579" s="298"/>
      <c r="Y579" s="298"/>
      <c r="Z579" s="298"/>
      <c r="AA579" s="298"/>
      <c r="AB579" s="298"/>
      <c r="AC579" s="298"/>
      <c r="AD579" s="298"/>
      <c r="AE579" s="298"/>
      <c r="AF579" s="298"/>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row>
    <row r="580">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98"/>
      <c r="W580" s="298"/>
      <c r="X580" s="298"/>
      <c r="Y580" s="298"/>
      <c r="Z580" s="298"/>
      <c r="AA580" s="298"/>
      <c r="AB580" s="298"/>
      <c r="AC580" s="298"/>
      <c r="AD580" s="298"/>
      <c r="AE580" s="298"/>
      <c r="AF580" s="298"/>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row>
    <row r="58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98"/>
      <c r="W581" s="298"/>
      <c r="X581" s="298"/>
      <c r="Y581" s="298"/>
      <c r="Z581" s="298"/>
      <c r="AA581" s="298"/>
      <c r="AB581" s="298"/>
      <c r="AC581" s="298"/>
      <c r="AD581" s="298"/>
      <c r="AE581" s="298"/>
      <c r="AF581" s="298"/>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row>
    <row r="582">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98"/>
      <c r="W582" s="298"/>
      <c r="X582" s="298"/>
      <c r="Y582" s="298"/>
      <c r="Z582" s="298"/>
      <c r="AA582" s="298"/>
      <c r="AB582" s="298"/>
      <c r="AC582" s="298"/>
      <c r="AD582" s="298"/>
      <c r="AE582" s="298"/>
      <c r="AF582" s="298"/>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row>
    <row r="583">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98"/>
      <c r="W583" s="298"/>
      <c r="X583" s="298"/>
      <c r="Y583" s="298"/>
      <c r="Z583" s="298"/>
      <c r="AA583" s="298"/>
      <c r="AB583" s="298"/>
      <c r="AC583" s="298"/>
      <c r="AD583" s="298"/>
      <c r="AE583" s="298"/>
      <c r="AF583" s="298"/>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row>
    <row r="584">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98"/>
      <c r="W584" s="298"/>
      <c r="X584" s="298"/>
      <c r="Y584" s="298"/>
      <c r="Z584" s="298"/>
      <c r="AA584" s="298"/>
      <c r="AB584" s="298"/>
      <c r="AC584" s="298"/>
      <c r="AD584" s="298"/>
      <c r="AE584" s="298"/>
      <c r="AF584" s="298"/>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row>
    <row r="585">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98"/>
      <c r="W585" s="298"/>
      <c r="X585" s="298"/>
      <c r="Y585" s="298"/>
      <c r="Z585" s="298"/>
      <c r="AA585" s="298"/>
      <c r="AB585" s="298"/>
      <c r="AC585" s="298"/>
      <c r="AD585" s="298"/>
      <c r="AE585" s="298"/>
      <c r="AF585" s="298"/>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row>
    <row r="586">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98"/>
      <c r="W586" s="298"/>
      <c r="X586" s="298"/>
      <c r="Y586" s="298"/>
      <c r="Z586" s="298"/>
      <c r="AA586" s="298"/>
      <c r="AB586" s="298"/>
      <c r="AC586" s="298"/>
      <c r="AD586" s="298"/>
      <c r="AE586" s="298"/>
      <c r="AF586" s="298"/>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row>
    <row r="587">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98"/>
      <c r="W587" s="298"/>
      <c r="X587" s="298"/>
      <c r="Y587" s="298"/>
      <c r="Z587" s="298"/>
      <c r="AA587" s="298"/>
      <c r="AB587" s="298"/>
      <c r="AC587" s="298"/>
      <c r="AD587" s="298"/>
      <c r="AE587" s="298"/>
      <c r="AF587" s="298"/>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row>
    <row r="588">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98"/>
      <c r="W588" s="298"/>
      <c r="X588" s="298"/>
      <c r="Y588" s="298"/>
      <c r="Z588" s="298"/>
      <c r="AA588" s="298"/>
      <c r="AB588" s="298"/>
      <c r="AC588" s="298"/>
      <c r="AD588" s="298"/>
      <c r="AE588" s="298"/>
      <c r="AF588" s="298"/>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row>
    <row r="589">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98"/>
      <c r="W589" s="298"/>
      <c r="X589" s="298"/>
      <c r="Y589" s="298"/>
      <c r="Z589" s="298"/>
      <c r="AA589" s="298"/>
      <c r="AB589" s="298"/>
      <c r="AC589" s="298"/>
      <c r="AD589" s="298"/>
      <c r="AE589" s="298"/>
      <c r="AF589" s="298"/>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row>
    <row r="590">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98"/>
      <c r="W590" s="298"/>
      <c r="X590" s="298"/>
      <c r="Y590" s="298"/>
      <c r="Z590" s="298"/>
      <c r="AA590" s="298"/>
      <c r="AB590" s="298"/>
      <c r="AC590" s="298"/>
      <c r="AD590" s="298"/>
      <c r="AE590" s="298"/>
      <c r="AF590" s="298"/>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row>
    <row r="59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98"/>
      <c r="W591" s="298"/>
      <c r="X591" s="298"/>
      <c r="Y591" s="298"/>
      <c r="Z591" s="298"/>
      <c r="AA591" s="298"/>
      <c r="AB591" s="298"/>
      <c r="AC591" s="298"/>
      <c r="AD591" s="298"/>
      <c r="AE591" s="298"/>
      <c r="AF591" s="298"/>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row>
    <row r="592">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98"/>
      <c r="W592" s="298"/>
      <c r="X592" s="298"/>
      <c r="Y592" s="298"/>
      <c r="Z592" s="298"/>
      <c r="AA592" s="298"/>
      <c r="AB592" s="298"/>
      <c r="AC592" s="298"/>
      <c r="AD592" s="298"/>
      <c r="AE592" s="298"/>
      <c r="AF592" s="298"/>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row>
    <row r="593">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98"/>
      <c r="W593" s="298"/>
      <c r="X593" s="298"/>
      <c r="Y593" s="298"/>
      <c r="Z593" s="298"/>
      <c r="AA593" s="298"/>
      <c r="AB593" s="298"/>
      <c r="AC593" s="298"/>
      <c r="AD593" s="298"/>
      <c r="AE593" s="298"/>
      <c r="AF593" s="298"/>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row>
    <row r="594">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98"/>
      <c r="W594" s="298"/>
      <c r="X594" s="298"/>
      <c r="Y594" s="298"/>
      <c r="Z594" s="298"/>
      <c r="AA594" s="298"/>
      <c r="AB594" s="298"/>
      <c r="AC594" s="298"/>
      <c r="AD594" s="298"/>
      <c r="AE594" s="298"/>
      <c r="AF594" s="298"/>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row>
    <row r="595">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98"/>
      <c r="W595" s="298"/>
      <c r="X595" s="298"/>
      <c r="Y595" s="298"/>
      <c r="Z595" s="298"/>
      <c r="AA595" s="298"/>
      <c r="AB595" s="298"/>
      <c r="AC595" s="298"/>
      <c r="AD595" s="298"/>
      <c r="AE595" s="298"/>
      <c r="AF595" s="298"/>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row>
    <row r="596">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98"/>
      <c r="W596" s="298"/>
      <c r="X596" s="298"/>
      <c r="Y596" s="298"/>
      <c r="Z596" s="298"/>
      <c r="AA596" s="298"/>
      <c r="AB596" s="298"/>
      <c r="AC596" s="298"/>
      <c r="AD596" s="298"/>
      <c r="AE596" s="298"/>
      <c r="AF596" s="298"/>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row>
    <row r="597">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98"/>
      <c r="W597" s="298"/>
      <c r="X597" s="298"/>
      <c r="Y597" s="298"/>
      <c r="Z597" s="298"/>
      <c r="AA597" s="298"/>
      <c r="AB597" s="298"/>
      <c r="AC597" s="298"/>
      <c r="AD597" s="298"/>
      <c r="AE597" s="298"/>
      <c r="AF597" s="298"/>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row>
    <row r="598">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98"/>
      <c r="W598" s="298"/>
      <c r="X598" s="298"/>
      <c r="Y598" s="298"/>
      <c r="Z598" s="298"/>
      <c r="AA598" s="298"/>
      <c r="AB598" s="298"/>
      <c r="AC598" s="298"/>
      <c r="AD598" s="298"/>
      <c r="AE598" s="298"/>
      <c r="AF598" s="298"/>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row>
    <row r="599">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98"/>
      <c r="W599" s="298"/>
      <c r="X599" s="298"/>
      <c r="Y599" s="298"/>
      <c r="Z599" s="298"/>
      <c r="AA599" s="298"/>
      <c r="AB599" s="298"/>
      <c r="AC599" s="298"/>
      <c r="AD599" s="298"/>
      <c r="AE599" s="298"/>
      <c r="AF599" s="298"/>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row>
    <row r="600">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98"/>
      <c r="W600" s="298"/>
      <c r="X600" s="298"/>
      <c r="Y600" s="298"/>
      <c r="Z600" s="298"/>
      <c r="AA600" s="298"/>
      <c r="AB600" s="298"/>
      <c r="AC600" s="298"/>
      <c r="AD600" s="298"/>
      <c r="AE600" s="298"/>
      <c r="AF600" s="298"/>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row>
    <row r="60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98"/>
      <c r="W601" s="298"/>
      <c r="X601" s="298"/>
      <c r="Y601" s="298"/>
      <c r="Z601" s="298"/>
      <c r="AA601" s="298"/>
      <c r="AB601" s="298"/>
      <c r="AC601" s="298"/>
      <c r="AD601" s="298"/>
      <c r="AE601" s="298"/>
      <c r="AF601" s="298"/>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row>
    <row r="602">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98"/>
      <c r="W602" s="298"/>
      <c r="X602" s="298"/>
      <c r="Y602" s="298"/>
      <c r="Z602" s="298"/>
      <c r="AA602" s="298"/>
      <c r="AB602" s="298"/>
      <c r="AC602" s="298"/>
      <c r="AD602" s="298"/>
      <c r="AE602" s="298"/>
      <c r="AF602" s="298"/>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row>
    <row r="603">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98"/>
      <c r="W603" s="298"/>
      <c r="X603" s="298"/>
      <c r="Y603" s="298"/>
      <c r="Z603" s="298"/>
      <c r="AA603" s="298"/>
      <c r="AB603" s="298"/>
      <c r="AC603" s="298"/>
      <c r="AD603" s="298"/>
      <c r="AE603" s="298"/>
      <c r="AF603" s="298"/>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row>
    <row r="604">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98"/>
      <c r="W604" s="298"/>
      <c r="X604" s="298"/>
      <c r="Y604" s="298"/>
      <c r="Z604" s="298"/>
      <c r="AA604" s="298"/>
      <c r="AB604" s="298"/>
      <c r="AC604" s="298"/>
      <c r="AD604" s="298"/>
      <c r="AE604" s="298"/>
      <c r="AF604" s="298"/>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row>
    <row r="605">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98"/>
      <c r="W605" s="298"/>
      <c r="X605" s="298"/>
      <c r="Y605" s="298"/>
      <c r="Z605" s="298"/>
      <c r="AA605" s="298"/>
      <c r="AB605" s="298"/>
      <c r="AC605" s="298"/>
      <c r="AD605" s="298"/>
      <c r="AE605" s="298"/>
      <c r="AF605" s="298"/>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row>
    <row r="606">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98"/>
      <c r="W606" s="298"/>
      <c r="X606" s="298"/>
      <c r="Y606" s="298"/>
      <c r="Z606" s="298"/>
      <c r="AA606" s="298"/>
      <c r="AB606" s="298"/>
      <c r="AC606" s="298"/>
      <c r="AD606" s="298"/>
      <c r="AE606" s="298"/>
      <c r="AF606" s="298"/>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row>
    <row r="607">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98"/>
      <c r="W607" s="298"/>
      <c r="X607" s="298"/>
      <c r="Y607" s="298"/>
      <c r="Z607" s="298"/>
      <c r="AA607" s="298"/>
      <c r="AB607" s="298"/>
      <c r="AC607" s="298"/>
      <c r="AD607" s="298"/>
      <c r="AE607" s="298"/>
      <c r="AF607" s="298"/>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row>
    <row r="608">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98"/>
      <c r="W608" s="298"/>
      <c r="X608" s="298"/>
      <c r="Y608" s="298"/>
      <c r="Z608" s="298"/>
      <c r="AA608" s="298"/>
      <c r="AB608" s="298"/>
      <c r="AC608" s="298"/>
      <c r="AD608" s="298"/>
      <c r="AE608" s="298"/>
      <c r="AF608" s="298"/>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row>
    <row r="609">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98"/>
      <c r="W609" s="298"/>
      <c r="X609" s="298"/>
      <c r="Y609" s="298"/>
      <c r="Z609" s="298"/>
      <c r="AA609" s="298"/>
      <c r="AB609" s="298"/>
      <c r="AC609" s="298"/>
      <c r="AD609" s="298"/>
      <c r="AE609" s="298"/>
      <c r="AF609" s="298"/>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row>
    <row r="610">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98"/>
      <c r="W610" s="298"/>
      <c r="X610" s="298"/>
      <c r="Y610" s="298"/>
      <c r="Z610" s="298"/>
      <c r="AA610" s="298"/>
      <c r="AB610" s="298"/>
      <c r="AC610" s="298"/>
      <c r="AD610" s="298"/>
      <c r="AE610" s="298"/>
      <c r="AF610" s="298"/>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row>
    <row r="61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98"/>
      <c r="W611" s="298"/>
      <c r="X611" s="298"/>
      <c r="Y611" s="298"/>
      <c r="Z611" s="298"/>
      <c r="AA611" s="298"/>
      <c r="AB611" s="298"/>
      <c r="AC611" s="298"/>
      <c r="AD611" s="298"/>
      <c r="AE611" s="298"/>
      <c r="AF611" s="298"/>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row>
    <row r="612">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98"/>
      <c r="W612" s="298"/>
      <c r="X612" s="298"/>
      <c r="Y612" s="298"/>
      <c r="Z612" s="298"/>
      <c r="AA612" s="298"/>
      <c r="AB612" s="298"/>
      <c r="AC612" s="298"/>
      <c r="AD612" s="298"/>
      <c r="AE612" s="298"/>
      <c r="AF612" s="298"/>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row>
    <row r="613">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98"/>
      <c r="W613" s="298"/>
      <c r="X613" s="298"/>
      <c r="Y613" s="298"/>
      <c r="Z613" s="298"/>
      <c r="AA613" s="298"/>
      <c r="AB613" s="298"/>
      <c r="AC613" s="298"/>
      <c r="AD613" s="298"/>
      <c r="AE613" s="298"/>
      <c r="AF613" s="298"/>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row>
    <row r="614">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98"/>
      <c r="W614" s="298"/>
      <c r="X614" s="298"/>
      <c r="Y614" s="298"/>
      <c r="Z614" s="298"/>
      <c r="AA614" s="298"/>
      <c r="AB614" s="298"/>
      <c r="AC614" s="298"/>
      <c r="AD614" s="298"/>
      <c r="AE614" s="298"/>
      <c r="AF614" s="298"/>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row>
    <row r="615">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98"/>
      <c r="W615" s="298"/>
      <c r="X615" s="298"/>
      <c r="Y615" s="298"/>
      <c r="Z615" s="298"/>
      <c r="AA615" s="298"/>
      <c r="AB615" s="298"/>
      <c r="AC615" s="298"/>
      <c r="AD615" s="298"/>
      <c r="AE615" s="298"/>
      <c r="AF615" s="298"/>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row>
    <row r="616">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98"/>
      <c r="W616" s="298"/>
      <c r="X616" s="298"/>
      <c r="Y616" s="298"/>
      <c r="Z616" s="298"/>
      <c r="AA616" s="298"/>
      <c r="AB616" s="298"/>
      <c r="AC616" s="298"/>
      <c r="AD616" s="298"/>
      <c r="AE616" s="298"/>
      <c r="AF616" s="298"/>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row>
    <row r="617">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98"/>
      <c r="W617" s="298"/>
      <c r="X617" s="298"/>
      <c r="Y617" s="298"/>
      <c r="Z617" s="298"/>
      <c r="AA617" s="298"/>
      <c r="AB617" s="298"/>
      <c r="AC617" s="298"/>
      <c r="AD617" s="298"/>
      <c r="AE617" s="298"/>
      <c r="AF617" s="298"/>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row>
    <row r="618">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98"/>
      <c r="W618" s="298"/>
      <c r="X618" s="298"/>
      <c r="Y618" s="298"/>
      <c r="Z618" s="298"/>
      <c r="AA618" s="298"/>
      <c r="AB618" s="298"/>
      <c r="AC618" s="298"/>
      <c r="AD618" s="298"/>
      <c r="AE618" s="298"/>
      <c r="AF618" s="298"/>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row>
    <row r="619">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98"/>
      <c r="W619" s="298"/>
      <c r="X619" s="298"/>
      <c r="Y619" s="298"/>
      <c r="Z619" s="298"/>
      <c r="AA619" s="298"/>
      <c r="AB619" s="298"/>
      <c r="AC619" s="298"/>
      <c r="AD619" s="298"/>
      <c r="AE619" s="298"/>
      <c r="AF619" s="298"/>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row>
    <row r="620">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98"/>
      <c r="W620" s="298"/>
      <c r="X620" s="298"/>
      <c r="Y620" s="298"/>
      <c r="Z620" s="298"/>
      <c r="AA620" s="298"/>
      <c r="AB620" s="298"/>
      <c r="AC620" s="298"/>
      <c r="AD620" s="298"/>
      <c r="AE620" s="298"/>
      <c r="AF620" s="298"/>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row>
    <row r="62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98"/>
      <c r="W621" s="298"/>
      <c r="X621" s="298"/>
      <c r="Y621" s="298"/>
      <c r="Z621" s="298"/>
      <c r="AA621" s="298"/>
      <c r="AB621" s="298"/>
      <c r="AC621" s="298"/>
      <c r="AD621" s="298"/>
      <c r="AE621" s="298"/>
      <c r="AF621" s="298"/>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row>
    <row r="622">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98"/>
      <c r="W622" s="298"/>
      <c r="X622" s="298"/>
      <c r="Y622" s="298"/>
      <c r="Z622" s="298"/>
      <c r="AA622" s="298"/>
      <c r="AB622" s="298"/>
      <c r="AC622" s="298"/>
      <c r="AD622" s="298"/>
      <c r="AE622" s="298"/>
      <c r="AF622" s="298"/>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row>
    <row r="623">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98"/>
      <c r="W623" s="298"/>
      <c r="X623" s="298"/>
      <c r="Y623" s="298"/>
      <c r="Z623" s="298"/>
      <c r="AA623" s="298"/>
      <c r="AB623" s="298"/>
      <c r="AC623" s="298"/>
      <c r="AD623" s="298"/>
      <c r="AE623" s="298"/>
      <c r="AF623" s="298"/>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row>
    <row r="624">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98"/>
      <c r="W624" s="298"/>
      <c r="X624" s="298"/>
      <c r="Y624" s="298"/>
      <c r="Z624" s="298"/>
      <c r="AA624" s="298"/>
      <c r="AB624" s="298"/>
      <c r="AC624" s="298"/>
      <c r="AD624" s="298"/>
      <c r="AE624" s="298"/>
      <c r="AF624" s="298"/>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row>
    <row r="625">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98"/>
      <c r="W625" s="298"/>
      <c r="X625" s="298"/>
      <c r="Y625" s="298"/>
      <c r="Z625" s="298"/>
      <c r="AA625" s="298"/>
      <c r="AB625" s="298"/>
      <c r="AC625" s="298"/>
      <c r="AD625" s="298"/>
      <c r="AE625" s="298"/>
      <c r="AF625" s="298"/>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row>
    <row r="626">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98"/>
      <c r="W626" s="298"/>
      <c r="X626" s="298"/>
      <c r="Y626" s="298"/>
      <c r="Z626" s="298"/>
      <c r="AA626" s="298"/>
      <c r="AB626" s="298"/>
      <c r="AC626" s="298"/>
      <c r="AD626" s="298"/>
      <c r="AE626" s="298"/>
      <c r="AF626" s="298"/>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row>
    <row r="627">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98"/>
      <c r="W627" s="298"/>
      <c r="X627" s="298"/>
      <c r="Y627" s="298"/>
      <c r="Z627" s="298"/>
      <c r="AA627" s="298"/>
      <c r="AB627" s="298"/>
      <c r="AC627" s="298"/>
      <c r="AD627" s="298"/>
      <c r="AE627" s="298"/>
      <c r="AF627" s="298"/>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row>
    <row r="628">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98"/>
      <c r="W628" s="298"/>
      <c r="X628" s="298"/>
      <c r="Y628" s="298"/>
      <c r="Z628" s="298"/>
      <c r="AA628" s="298"/>
      <c r="AB628" s="298"/>
      <c r="AC628" s="298"/>
      <c r="AD628" s="298"/>
      <c r="AE628" s="298"/>
      <c r="AF628" s="298"/>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row>
    <row r="629">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98"/>
      <c r="W629" s="298"/>
      <c r="X629" s="298"/>
      <c r="Y629" s="298"/>
      <c r="Z629" s="298"/>
      <c r="AA629" s="298"/>
      <c r="AB629" s="298"/>
      <c r="AC629" s="298"/>
      <c r="AD629" s="298"/>
      <c r="AE629" s="298"/>
      <c r="AF629" s="298"/>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row>
    <row r="630">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98"/>
      <c r="W630" s="298"/>
      <c r="X630" s="298"/>
      <c r="Y630" s="298"/>
      <c r="Z630" s="298"/>
      <c r="AA630" s="298"/>
      <c r="AB630" s="298"/>
      <c r="AC630" s="298"/>
      <c r="AD630" s="298"/>
      <c r="AE630" s="298"/>
      <c r="AF630" s="298"/>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row>
    <row r="63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98"/>
      <c r="W631" s="298"/>
      <c r="X631" s="298"/>
      <c r="Y631" s="298"/>
      <c r="Z631" s="298"/>
      <c r="AA631" s="298"/>
      <c r="AB631" s="298"/>
      <c r="AC631" s="298"/>
      <c r="AD631" s="298"/>
      <c r="AE631" s="298"/>
      <c r="AF631" s="298"/>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row>
    <row r="632">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98"/>
      <c r="W632" s="298"/>
      <c r="X632" s="298"/>
      <c r="Y632" s="298"/>
      <c r="Z632" s="298"/>
      <c r="AA632" s="298"/>
      <c r="AB632" s="298"/>
      <c r="AC632" s="298"/>
      <c r="AD632" s="298"/>
      <c r="AE632" s="298"/>
      <c r="AF632" s="298"/>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row>
    <row r="633">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98"/>
      <c r="W633" s="298"/>
      <c r="X633" s="298"/>
      <c r="Y633" s="298"/>
      <c r="Z633" s="298"/>
      <c r="AA633" s="298"/>
      <c r="AB633" s="298"/>
      <c r="AC633" s="298"/>
      <c r="AD633" s="298"/>
      <c r="AE633" s="298"/>
      <c r="AF633" s="298"/>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row>
    <row r="634">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98"/>
      <c r="W634" s="298"/>
      <c r="X634" s="298"/>
      <c r="Y634" s="298"/>
      <c r="Z634" s="298"/>
      <c r="AA634" s="298"/>
      <c r="AB634" s="298"/>
      <c r="AC634" s="298"/>
      <c r="AD634" s="298"/>
      <c r="AE634" s="298"/>
      <c r="AF634" s="298"/>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row>
    <row r="635">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98"/>
      <c r="W635" s="298"/>
      <c r="X635" s="298"/>
      <c r="Y635" s="298"/>
      <c r="Z635" s="298"/>
      <c r="AA635" s="298"/>
      <c r="AB635" s="298"/>
      <c r="AC635" s="298"/>
      <c r="AD635" s="298"/>
      <c r="AE635" s="298"/>
      <c r="AF635" s="298"/>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row>
    <row r="636">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98"/>
      <c r="W636" s="298"/>
      <c r="X636" s="298"/>
      <c r="Y636" s="298"/>
      <c r="Z636" s="298"/>
      <c r="AA636" s="298"/>
      <c r="AB636" s="298"/>
      <c r="AC636" s="298"/>
      <c r="AD636" s="298"/>
      <c r="AE636" s="298"/>
      <c r="AF636" s="298"/>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row>
    <row r="637">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98"/>
      <c r="W637" s="298"/>
      <c r="X637" s="298"/>
      <c r="Y637" s="298"/>
      <c r="Z637" s="298"/>
      <c r="AA637" s="298"/>
      <c r="AB637" s="298"/>
      <c r="AC637" s="298"/>
      <c r="AD637" s="298"/>
      <c r="AE637" s="298"/>
      <c r="AF637" s="298"/>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row>
    <row r="638">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98"/>
      <c r="W638" s="298"/>
      <c r="X638" s="298"/>
      <c r="Y638" s="298"/>
      <c r="Z638" s="298"/>
      <c r="AA638" s="298"/>
      <c r="AB638" s="298"/>
      <c r="AC638" s="298"/>
      <c r="AD638" s="298"/>
      <c r="AE638" s="298"/>
      <c r="AF638" s="298"/>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row>
    <row r="639">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98"/>
      <c r="W639" s="298"/>
      <c r="X639" s="298"/>
      <c r="Y639" s="298"/>
      <c r="Z639" s="298"/>
      <c r="AA639" s="298"/>
      <c r="AB639" s="298"/>
      <c r="AC639" s="298"/>
      <c r="AD639" s="298"/>
      <c r="AE639" s="298"/>
      <c r="AF639" s="298"/>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row>
    <row r="640">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98"/>
      <c r="W640" s="298"/>
      <c r="X640" s="298"/>
      <c r="Y640" s="298"/>
      <c r="Z640" s="298"/>
      <c r="AA640" s="298"/>
      <c r="AB640" s="298"/>
      <c r="AC640" s="298"/>
      <c r="AD640" s="298"/>
      <c r="AE640" s="298"/>
      <c r="AF640" s="298"/>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row>
    <row r="64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98"/>
      <c r="W641" s="298"/>
      <c r="X641" s="298"/>
      <c r="Y641" s="298"/>
      <c r="Z641" s="298"/>
      <c r="AA641" s="298"/>
      <c r="AB641" s="298"/>
      <c r="AC641" s="298"/>
      <c r="AD641" s="298"/>
      <c r="AE641" s="298"/>
      <c r="AF641" s="298"/>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row>
    <row r="642">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98"/>
      <c r="W642" s="298"/>
      <c r="X642" s="298"/>
      <c r="Y642" s="298"/>
      <c r="Z642" s="298"/>
      <c r="AA642" s="298"/>
      <c r="AB642" s="298"/>
      <c r="AC642" s="298"/>
      <c r="AD642" s="298"/>
      <c r="AE642" s="298"/>
      <c r="AF642" s="298"/>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row>
    <row r="643">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98"/>
      <c r="W643" s="298"/>
      <c r="X643" s="298"/>
      <c r="Y643" s="298"/>
      <c r="Z643" s="298"/>
      <c r="AA643" s="298"/>
      <c r="AB643" s="298"/>
      <c r="AC643" s="298"/>
      <c r="AD643" s="298"/>
      <c r="AE643" s="298"/>
      <c r="AF643" s="298"/>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row>
    <row r="644">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98"/>
      <c r="W644" s="298"/>
      <c r="X644" s="298"/>
      <c r="Y644" s="298"/>
      <c r="Z644" s="298"/>
      <c r="AA644" s="298"/>
      <c r="AB644" s="298"/>
      <c r="AC644" s="298"/>
      <c r="AD644" s="298"/>
      <c r="AE644" s="298"/>
      <c r="AF644" s="298"/>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row>
    <row r="645">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98"/>
      <c r="W645" s="298"/>
      <c r="X645" s="298"/>
      <c r="Y645" s="298"/>
      <c r="Z645" s="298"/>
      <c r="AA645" s="298"/>
      <c r="AB645" s="298"/>
      <c r="AC645" s="298"/>
      <c r="AD645" s="298"/>
      <c r="AE645" s="298"/>
      <c r="AF645" s="298"/>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row>
    <row r="646">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98"/>
      <c r="W646" s="298"/>
      <c r="X646" s="298"/>
      <c r="Y646" s="298"/>
      <c r="Z646" s="298"/>
      <c r="AA646" s="298"/>
      <c r="AB646" s="298"/>
      <c r="AC646" s="298"/>
      <c r="AD646" s="298"/>
      <c r="AE646" s="298"/>
      <c r="AF646" s="298"/>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row>
    <row r="647">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98"/>
      <c r="W647" s="298"/>
      <c r="X647" s="298"/>
      <c r="Y647" s="298"/>
      <c r="Z647" s="298"/>
      <c r="AA647" s="298"/>
      <c r="AB647" s="298"/>
      <c r="AC647" s="298"/>
      <c r="AD647" s="298"/>
      <c r="AE647" s="298"/>
      <c r="AF647" s="298"/>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row>
    <row r="648">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98"/>
      <c r="W648" s="298"/>
      <c r="X648" s="298"/>
      <c r="Y648" s="298"/>
      <c r="Z648" s="298"/>
      <c r="AA648" s="298"/>
      <c r="AB648" s="298"/>
      <c r="AC648" s="298"/>
      <c r="AD648" s="298"/>
      <c r="AE648" s="298"/>
      <c r="AF648" s="298"/>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row>
    <row r="649">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98"/>
      <c r="W649" s="298"/>
      <c r="X649" s="298"/>
      <c r="Y649" s="298"/>
      <c r="Z649" s="298"/>
      <c r="AA649" s="298"/>
      <c r="AB649" s="298"/>
      <c r="AC649" s="298"/>
      <c r="AD649" s="298"/>
      <c r="AE649" s="298"/>
      <c r="AF649" s="298"/>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row>
    <row r="650">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98"/>
      <c r="W650" s="298"/>
      <c r="X650" s="298"/>
      <c r="Y650" s="298"/>
      <c r="Z650" s="298"/>
      <c r="AA650" s="298"/>
      <c r="AB650" s="298"/>
      <c r="AC650" s="298"/>
      <c r="AD650" s="298"/>
      <c r="AE650" s="298"/>
      <c r="AF650" s="298"/>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row>
    <row r="65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98"/>
      <c r="W651" s="298"/>
      <c r="X651" s="298"/>
      <c r="Y651" s="298"/>
      <c r="Z651" s="298"/>
      <c r="AA651" s="298"/>
      <c r="AB651" s="298"/>
      <c r="AC651" s="298"/>
      <c r="AD651" s="298"/>
      <c r="AE651" s="298"/>
      <c r="AF651" s="298"/>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row>
    <row r="652">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98"/>
      <c r="W652" s="298"/>
      <c r="X652" s="298"/>
      <c r="Y652" s="298"/>
      <c r="Z652" s="298"/>
      <c r="AA652" s="298"/>
      <c r="AB652" s="298"/>
      <c r="AC652" s="298"/>
      <c r="AD652" s="298"/>
      <c r="AE652" s="298"/>
      <c r="AF652" s="298"/>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row>
    <row r="653">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98"/>
      <c r="W653" s="298"/>
      <c r="X653" s="298"/>
      <c r="Y653" s="298"/>
      <c r="Z653" s="298"/>
      <c r="AA653" s="298"/>
      <c r="AB653" s="298"/>
      <c r="AC653" s="298"/>
      <c r="AD653" s="298"/>
      <c r="AE653" s="298"/>
      <c r="AF653" s="298"/>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row>
    <row r="654">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98"/>
      <c r="W654" s="298"/>
      <c r="X654" s="298"/>
      <c r="Y654" s="298"/>
      <c r="Z654" s="298"/>
      <c r="AA654" s="298"/>
      <c r="AB654" s="298"/>
      <c r="AC654" s="298"/>
      <c r="AD654" s="298"/>
      <c r="AE654" s="298"/>
      <c r="AF654" s="298"/>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row>
    <row r="655">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98"/>
      <c r="W655" s="298"/>
      <c r="X655" s="298"/>
      <c r="Y655" s="298"/>
      <c r="Z655" s="298"/>
      <c r="AA655" s="298"/>
      <c r="AB655" s="298"/>
      <c r="AC655" s="298"/>
      <c r="AD655" s="298"/>
      <c r="AE655" s="298"/>
      <c r="AF655" s="298"/>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row>
    <row r="656">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98"/>
      <c r="W656" s="298"/>
      <c r="X656" s="298"/>
      <c r="Y656" s="298"/>
      <c r="Z656" s="298"/>
      <c r="AA656" s="298"/>
      <c r="AB656" s="298"/>
      <c r="AC656" s="298"/>
      <c r="AD656" s="298"/>
      <c r="AE656" s="298"/>
      <c r="AF656" s="298"/>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row>
    <row r="657">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98"/>
      <c r="W657" s="298"/>
      <c r="X657" s="298"/>
      <c r="Y657" s="298"/>
      <c r="Z657" s="298"/>
      <c r="AA657" s="298"/>
      <c r="AB657" s="298"/>
      <c r="AC657" s="298"/>
      <c r="AD657" s="298"/>
      <c r="AE657" s="298"/>
      <c r="AF657" s="298"/>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row>
    <row r="658">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98"/>
      <c r="W658" s="298"/>
      <c r="X658" s="298"/>
      <c r="Y658" s="298"/>
      <c r="Z658" s="298"/>
      <c r="AA658" s="298"/>
      <c r="AB658" s="298"/>
      <c r="AC658" s="298"/>
      <c r="AD658" s="298"/>
      <c r="AE658" s="298"/>
      <c r="AF658" s="298"/>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row>
    <row r="659">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98"/>
      <c r="W659" s="298"/>
      <c r="X659" s="298"/>
      <c r="Y659" s="298"/>
      <c r="Z659" s="298"/>
      <c r="AA659" s="298"/>
      <c r="AB659" s="298"/>
      <c r="AC659" s="298"/>
      <c r="AD659" s="298"/>
      <c r="AE659" s="298"/>
      <c r="AF659" s="298"/>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row>
    <row r="660">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98"/>
      <c r="W660" s="298"/>
      <c r="X660" s="298"/>
      <c r="Y660" s="298"/>
      <c r="Z660" s="298"/>
      <c r="AA660" s="298"/>
      <c r="AB660" s="298"/>
      <c r="AC660" s="298"/>
      <c r="AD660" s="298"/>
      <c r="AE660" s="298"/>
      <c r="AF660" s="298"/>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row>
    <row r="66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98"/>
      <c r="W661" s="298"/>
      <c r="X661" s="298"/>
      <c r="Y661" s="298"/>
      <c r="Z661" s="298"/>
      <c r="AA661" s="298"/>
      <c r="AB661" s="298"/>
      <c r="AC661" s="298"/>
      <c r="AD661" s="298"/>
      <c r="AE661" s="298"/>
      <c r="AF661" s="298"/>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row>
    <row r="662">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98"/>
      <c r="W662" s="298"/>
      <c r="X662" s="298"/>
      <c r="Y662" s="298"/>
      <c r="Z662" s="298"/>
      <c r="AA662" s="298"/>
      <c r="AB662" s="298"/>
      <c r="AC662" s="298"/>
      <c r="AD662" s="298"/>
      <c r="AE662" s="298"/>
      <c r="AF662" s="298"/>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row>
    <row r="663">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98"/>
      <c r="W663" s="298"/>
      <c r="X663" s="298"/>
      <c r="Y663" s="298"/>
      <c r="Z663" s="298"/>
      <c r="AA663" s="298"/>
      <c r="AB663" s="298"/>
      <c r="AC663" s="298"/>
      <c r="AD663" s="298"/>
      <c r="AE663" s="298"/>
      <c r="AF663" s="298"/>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row>
    <row r="664">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98"/>
      <c r="W664" s="298"/>
      <c r="X664" s="298"/>
      <c r="Y664" s="298"/>
      <c r="Z664" s="298"/>
      <c r="AA664" s="298"/>
      <c r="AB664" s="298"/>
      <c r="AC664" s="298"/>
      <c r="AD664" s="298"/>
      <c r="AE664" s="298"/>
      <c r="AF664" s="298"/>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row>
    <row r="665">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98"/>
      <c r="W665" s="298"/>
      <c r="X665" s="298"/>
      <c r="Y665" s="298"/>
      <c r="Z665" s="298"/>
      <c r="AA665" s="298"/>
      <c r="AB665" s="298"/>
      <c r="AC665" s="298"/>
      <c r="AD665" s="298"/>
      <c r="AE665" s="298"/>
      <c r="AF665" s="298"/>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row>
    <row r="666">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98"/>
      <c r="W666" s="298"/>
      <c r="X666" s="298"/>
      <c r="Y666" s="298"/>
      <c r="Z666" s="298"/>
      <c r="AA666" s="298"/>
      <c r="AB666" s="298"/>
      <c r="AC666" s="298"/>
      <c r="AD666" s="298"/>
      <c r="AE666" s="298"/>
      <c r="AF666" s="298"/>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row>
    <row r="667">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98"/>
      <c r="W667" s="298"/>
      <c r="X667" s="298"/>
      <c r="Y667" s="298"/>
      <c r="Z667" s="298"/>
      <c r="AA667" s="298"/>
      <c r="AB667" s="298"/>
      <c r="AC667" s="298"/>
      <c r="AD667" s="298"/>
      <c r="AE667" s="298"/>
      <c r="AF667" s="298"/>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row>
    <row r="668">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98"/>
      <c r="W668" s="298"/>
      <c r="X668" s="298"/>
      <c r="Y668" s="298"/>
      <c r="Z668" s="298"/>
      <c r="AA668" s="298"/>
      <c r="AB668" s="298"/>
      <c r="AC668" s="298"/>
      <c r="AD668" s="298"/>
      <c r="AE668" s="298"/>
      <c r="AF668" s="298"/>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row>
    <row r="669">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98"/>
      <c r="W669" s="298"/>
      <c r="X669" s="298"/>
      <c r="Y669" s="298"/>
      <c r="Z669" s="298"/>
      <c r="AA669" s="298"/>
      <c r="AB669" s="298"/>
      <c r="AC669" s="298"/>
      <c r="AD669" s="298"/>
      <c r="AE669" s="298"/>
      <c r="AF669" s="298"/>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row>
    <row r="670">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98"/>
      <c r="W670" s="298"/>
      <c r="X670" s="298"/>
      <c r="Y670" s="298"/>
      <c r="Z670" s="298"/>
      <c r="AA670" s="298"/>
      <c r="AB670" s="298"/>
      <c r="AC670" s="298"/>
      <c r="AD670" s="298"/>
      <c r="AE670" s="298"/>
      <c r="AF670" s="298"/>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row>
    <row r="67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98"/>
      <c r="W671" s="298"/>
      <c r="X671" s="298"/>
      <c r="Y671" s="298"/>
      <c r="Z671" s="298"/>
      <c r="AA671" s="298"/>
      <c r="AB671" s="298"/>
      <c r="AC671" s="298"/>
      <c r="AD671" s="298"/>
      <c r="AE671" s="298"/>
      <c r="AF671" s="298"/>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row>
    <row r="672">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98"/>
      <c r="W672" s="298"/>
      <c r="X672" s="298"/>
      <c r="Y672" s="298"/>
      <c r="Z672" s="298"/>
      <c r="AA672" s="298"/>
      <c r="AB672" s="298"/>
      <c r="AC672" s="298"/>
      <c r="AD672" s="298"/>
      <c r="AE672" s="298"/>
      <c r="AF672" s="298"/>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row>
    <row r="673">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98"/>
      <c r="W673" s="298"/>
      <c r="X673" s="298"/>
      <c r="Y673" s="298"/>
      <c r="Z673" s="298"/>
      <c r="AA673" s="298"/>
      <c r="AB673" s="298"/>
      <c r="AC673" s="298"/>
      <c r="AD673" s="298"/>
      <c r="AE673" s="298"/>
      <c r="AF673" s="298"/>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row>
    <row r="674">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98"/>
      <c r="W674" s="298"/>
      <c r="X674" s="298"/>
      <c r="Y674" s="298"/>
      <c r="Z674" s="298"/>
      <c r="AA674" s="298"/>
      <c r="AB674" s="298"/>
      <c r="AC674" s="298"/>
      <c r="AD674" s="298"/>
      <c r="AE674" s="298"/>
      <c r="AF674" s="298"/>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row>
    <row r="675">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98"/>
      <c r="W675" s="298"/>
      <c r="X675" s="298"/>
      <c r="Y675" s="298"/>
      <c r="Z675" s="298"/>
      <c r="AA675" s="298"/>
      <c r="AB675" s="298"/>
      <c r="AC675" s="298"/>
      <c r="AD675" s="298"/>
      <c r="AE675" s="298"/>
      <c r="AF675" s="298"/>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row>
    <row r="676">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98"/>
      <c r="W676" s="298"/>
      <c r="X676" s="298"/>
      <c r="Y676" s="298"/>
      <c r="Z676" s="298"/>
      <c r="AA676" s="298"/>
      <c r="AB676" s="298"/>
      <c r="AC676" s="298"/>
      <c r="AD676" s="298"/>
      <c r="AE676" s="298"/>
      <c r="AF676" s="298"/>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row>
    <row r="677">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98"/>
      <c r="W677" s="298"/>
      <c r="X677" s="298"/>
      <c r="Y677" s="298"/>
      <c r="Z677" s="298"/>
      <c r="AA677" s="298"/>
      <c r="AB677" s="298"/>
      <c r="AC677" s="298"/>
      <c r="AD677" s="298"/>
      <c r="AE677" s="298"/>
      <c r="AF677" s="298"/>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row>
    <row r="678">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98"/>
      <c r="W678" s="298"/>
      <c r="X678" s="298"/>
      <c r="Y678" s="298"/>
      <c r="Z678" s="298"/>
      <c r="AA678" s="298"/>
      <c r="AB678" s="298"/>
      <c r="AC678" s="298"/>
      <c r="AD678" s="298"/>
      <c r="AE678" s="298"/>
      <c r="AF678" s="298"/>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row>
    <row r="679">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98"/>
      <c r="W679" s="298"/>
      <c r="X679" s="298"/>
      <c r="Y679" s="298"/>
      <c r="Z679" s="298"/>
      <c r="AA679" s="298"/>
      <c r="AB679" s="298"/>
      <c r="AC679" s="298"/>
      <c r="AD679" s="298"/>
      <c r="AE679" s="298"/>
      <c r="AF679" s="298"/>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row>
    <row r="680">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98"/>
      <c r="W680" s="298"/>
      <c r="X680" s="298"/>
      <c r="Y680" s="298"/>
      <c r="Z680" s="298"/>
      <c r="AA680" s="298"/>
      <c r="AB680" s="298"/>
      <c r="AC680" s="298"/>
      <c r="AD680" s="298"/>
      <c r="AE680" s="298"/>
      <c r="AF680" s="298"/>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row>
    <row r="68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98"/>
      <c r="W681" s="298"/>
      <c r="X681" s="298"/>
      <c r="Y681" s="298"/>
      <c r="Z681" s="298"/>
      <c r="AA681" s="298"/>
      <c r="AB681" s="298"/>
      <c r="AC681" s="298"/>
      <c r="AD681" s="298"/>
      <c r="AE681" s="298"/>
      <c r="AF681" s="298"/>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row>
    <row r="682">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98"/>
      <c r="W682" s="298"/>
      <c r="X682" s="298"/>
      <c r="Y682" s="298"/>
      <c r="Z682" s="298"/>
      <c r="AA682" s="298"/>
      <c r="AB682" s="298"/>
      <c r="AC682" s="298"/>
      <c r="AD682" s="298"/>
      <c r="AE682" s="298"/>
      <c r="AF682" s="298"/>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row>
    <row r="683">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98"/>
      <c r="W683" s="298"/>
      <c r="X683" s="298"/>
      <c r="Y683" s="298"/>
      <c r="Z683" s="298"/>
      <c r="AA683" s="298"/>
      <c r="AB683" s="298"/>
      <c r="AC683" s="298"/>
      <c r="AD683" s="298"/>
      <c r="AE683" s="298"/>
      <c r="AF683" s="298"/>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row>
    <row r="684">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98"/>
      <c r="W684" s="298"/>
      <c r="X684" s="298"/>
      <c r="Y684" s="298"/>
      <c r="Z684" s="298"/>
      <c r="AA684" s="298"/>
      <c r="AB684" s="298"/>
      <c r="AC684" s="298"/>
      <c r="AD684" s="298"/>
      <c r="AE684" s="298"/>
      <c r="AF684" s="298"/>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row>
    <row r="685">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98"/>
      <c r="W685" s="298"/>
      <c r="X685" s="298"/>
      <c r="Y685" s="298"/>
      <c r="Z685" s="298"/>
      <c r="AA685" s="298"/>
      <c r="AB685" s="298"/>
      <c r="AC685" s="298"/>
      <c r="AD685" s="298"/>
      <c r="AE685" s="298"/>
      <c r="AF685" s="298"/>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row>
    <row r="686">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98"/>
      <c r="W686" s="298"/>
      <c r="X686" s="298"/>
      <c r="Y686" s="298"/>
      <c r="Z686" s="298"/>
      <c r="AA686" s="298"/>
      <c r="AB686" s="298"/>
      <c r="AC686" s="298"/>
      <c r="AD686" s="298"/>
      <c r="AE686" s="298"/>
      <c r="AF686" s="298"/>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row>
    <row r="687">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98"/>
      <c r="W687" s="298"/>
      <c r="X687" s="298"/>
      <c r="Y687" s="298"/>
      <c r="Z687" s="298"/>
      <c r="AA687" s="298"/>
      <c r="AB687" s="298"/>
      <c r="AC687" s="298"/>
      <c r="AD687" s="298"/>
      <c r="AE687" s="298"/>
      <c r="AF687" s="298"/>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row>
    <row r="688">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98"/>
      <c r="W688" s="298"/>
      <c r="X688" s="298"/>
      <c r="Y688" s="298"/>
      <c r="Z688" s="298"/>
      <c r="AA688" s="298"/>
      <c r="AB688" s="298"/>
      <c r="AC688" s="298"/>
      <c r="AD688" s="298"/>
      <c r="AE688" s="298"/>
      <c r="AF688" s="298"/>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row>
    <row r="689">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98"/>
      <c r="W689" s="298"/>
      <c r="X689" s="298"/>
      <c r="Y689" s="298"/>
      <c r="Z689" s="298"/>
      <c r="AA689" s="298"/>
      <c r="AB689" s="298"/>
      <c r="AC689" s="298"/>
      <c r="AD689" s="298"/>
      <c r="AE689" s="298"/>
      <c r="AF689" s="298"/>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row>
    <row r="690">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98"/>
      <c r="W690" s="298"/>
      <c r="X690" s="298"/>
      <c r="Y690" s="298"/>
      <c r="Z690" s="298"/>
      <c r="AA690" s="298"/>
      <c r="AB690" s="298"/>
      <c r="AC690" s="298"/>
      <c r="AD690" s="298"/>
      <c r="AE690" s="298"/>
      <c r="AF690" s="298"/>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row>
    <row r="69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98"/>
      <c r="W691" s="298"/>
      <c r="X691" s="298"/>
      <c r="Y691" s="298"/>
      <c r="Z691" s="298"/>
      <c r="AA691" s="298"/>
      <c r="AB691" s="298"/>
      <c r="AC691" s="298"/>
      <c r="AD691" s="298"/>
      <c r="AE691" s="298"/>
      <c r="AF691" s="298"/>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row>
    <row r="692">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98"/>
      <c r="W692" s="298"/>
      <c r="X692" s="298"/>
      <c r="Y692" s="298"/>
      <c r="Z692" s="298"/>
      <c r="AA692" s="298"/>
      <c r="AB692" s="298"/>
      <c r="AC692" s="298"/>
      <c r="AD692" s="298"/>
      <c r="AE692" s="298"/>
      <c r="AF692" s="298"/>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row>
    <row r="693">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98"/>
      <c r="W693" s="298"/>
      <c r="X693" s="298"/>
      <c r="Y693" s="298"/>
      <c r="Z693" s="298"/>
      <c r="AA693" s="298"/>
      <c r="AB693" s="298"/>
      <c r="AC693" s="298"/>
      <c r="AD693" s="298"/>
      <c r="AE693" s="298"/>
      <c r="AF693" s="298"/>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row>
    <row r="694">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98"/>
      <c r="W694" s="298"/>
      <c r="X694" s="298"/>
      <c r="Y694" s="298"/>
      <c r="Z694" s="298"/>
      <c r="AA694" s="298"/>
      <c r="AB694" s="298"/>
      <c r="AC694" s="298"/>
      <c r="AD694" s="298"/>
      <c r="AE694" s="298"/>
      <c r="AF694" s="298"/>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row>
    <row r="695">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98"/>
      <c r="W695" s="298"/>
      <c r="X695" s="298"/>
      <c r="Y695" s="298"/>
      <c r="Z695" s="298"/>
      <c r="AA695" s="298"/>
      <c r="AB695" s="298"/>
      <c r="AC695" s="298"/>
      <c r="AD695" s="298"/>
      <c r="AE695" s="298"/>
      <c r="AF695" s="298"/>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row>
    <row r="696">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98"/>
      <c r="W696" s="298"/>
      <c r="X696" s="298"/>
      <c r="Y696" s="298"/>
      <c r="Z696" s="298"/>
      <c r="AA696" s="298"/>
      <c r="AB696" s="298"/>
      <c r="AC696" s="298"/>
      <c r="AD696" s="298"/>
      <c r="AE696" s="298"/>
      <c r="AF696" s="298"/>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row>
    <row r="697">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98"/>
      <c r="W697" s="298"/>
      <c r="X697" s="298"/>
      <c r="Y697" s="298"/>
      <c r="Z697" s="298"/>
      <c r="AA697" s="298"/>
      <c r="AB697" s="298"/>
      <c r="AC697" s="298"/>
      <c r="AD697" s="298"/>
      <c r="AE697" s="298"/>
      <c r="AF697" s="298"/>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row>
    <row r="698">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98"/>
      <c r="W698" s="298"/>
      <c r="X698" s="298"/>
      <c r="Y698" s="298"/>
      <c r="Z698" s="298"/>
      <c r="AA698" s="298"/>
      <c r="AB698" s="298"/>
      <c r="AC698" s="298"/>
      <c r="AD698" s="298"/>
      <c r="AE698" s="298"/>
      <c r="AF698" s="298"/>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row>
    <row r="699">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98"/>
      <c r="W699" s="298"/>
      <c r="X699" s="298"/>
      <c r="Y699" s="298"/>
      <c r="Z699" s="298"/>
      <c r="AA699" s="298"/>
      <c r="AB699" s="298"/>
      <c r="AC699" s="298"/>
      <c r="AD699" s="298"/>
      <c r="AE699" s="298"/>
      <c r="AF699" s="298"/>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row>
    <row r="700">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98"/>
      <c r="W700" s="298"/>
      <c r="X700" s="298"/>
      <c r="Y700" s="298"/>
      <c r="Z700" s="298"/>
      <c r="AA700" s="298"/>
      <c r="AB700" s="298"/>
      <c r="AC700" s="298"/>
      <c r="AD700" s="298"/>
      <c r="AE700" s="298"/>
      <c r="AF700" s="298"/>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row>
    <row r="70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98"/>
      <c r="W701" s="298"/>
      <c r="X701" s="298"/>
      <c r="Y701" s="298"/>
      <c r="Z701" s="298"/>
      <c r="AA701" s="298"/>
      <c r="AB701" s="298"/>
      <c r="AC701" s="298"/>
      <c r="AD701" s="298"/>
      <c r="AE701" s="298"/>
      <c r="AF701" s="298"/>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row>
    <row r="702">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98"/>
      <c r="W702" s="298"/>
      <c r="X702" s="298"/>
      <c r="Y702" s="298"/>
      <c r="Z702" s="298"/>
      <c r="AA702" s="298"/>
      <c r="AB702" s="298"/>
      <c r="AC702" s="298"/>
      <c r="AD702" s="298"/>
      <c r="AE702" s="298"/>
      <c r="AF702" s="298"/>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row>
    <row r="703">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98"/>
      <c r="W703" s="298"/>
      <c r="X703" s="298"/>
      <c r="Y703" s="298"/>
      <c r="Z703" s="298"/>
      <c r="AA703" s="298"/>
      <c r="AB703" s="298"/>
      <c r="AC703" s="298"/>
      <c r="AD703" s="298"/>
      <c r="AE703" s="298"/>
      <c r="AF703" s="298"/>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row>
    <row r="704">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98"/>
      <c r="W704" s="298"/>
      <c r="X704" s="298"/>
      <c r="Y704" s="298"/>
      <c r="Z704" s="298"/>
      <c r="AA704" s="298"/>
      <c r="AB704" s="298"/>
      <c r="AC704" s="298"/>
      <c r="AD704" s="298"/>
      <c r="AE704" s="298"/>
      <c r="AF704" s="298"/>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row>
    <row r="705">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98"/>
      <c r="W705" s="298"/>
      <c r="X705" s="298"/>
      <c r="Y705" s="298"/>
      <c r="Z705" s="298"/>
      <c r="AA705" s="298"/>
      <c r="AB705" s="298"/>
      <c r="AC705" s="298"/>
      <c r="AD705" s="298"/>
      <c r="AE705" s="298"/>
      <c r="AF705" s="298"/>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row>
    <row r="706">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98"/>
      <c r="W706" s="298"/>
      <c r="X706" s="298"/>
      <c r="Y706" s="298"/>
      <c r="Z706" s="298"/>
      <c r="AA706" s="298"/>
      <c r="AB706" s="298"/>
      <c r="AC706" s="298"/>
      <c r="AD706" s="298"/>
      <c r="AE706" s="298"/>
      <c r="AF706" s="298"/>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row>
    <row r="707">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98"/>
      <c r="W707" s="298"/>
      <c r="X707" s="298"/>
      <c r="Y707" s="298"/>
      <c r="Z707" s="298"/>
      <c r="AA707" s="298"/>
      <c r="AB707" s="298"/>
      <c r="AC707" s="298"/>
      <c r="AD707" s="298"/>
      <c r="AE707" s="298"/>
      <c r="AF707" s="298"/>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row>
    <row r="708">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98"/>
      <c r="W708" s="298"/>
      <c r="X708" s="298"/>
      <c r="Y708" s="298"/>
      <c r="Z708" s="298"/>
      <c r="AA708" s="298"/>
      <c r="AB708" s="298"/>
      <c r="AC708" s="298"/>
      <c r="AD708" s="298"/>
      <c r="AE708" s="298"/>
      <c r="AF708" s="298"/>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row>
    <row r="709">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98"/>
      <c r="W709" s="298"/>
      <c r="X709" s="298"/>
      <c r="Y709" s="298"/>
      <c r="Z709" s="298"/>
      <c r="AA709" s="298"/>
      <c r="AB709" s="298"/>
      <c r="AC709" s="298"/>
      <c r="AD709" s="298"/>
      <c r="AE709" s="298"/>
      <c r="AF709" s="298"/>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row>
    <row r="710">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98"/>
      <c r="W710" s="298"/>
      <c r="X710" s="298"/>
      <c r="Y710" s="298"/>
      <c r="Z710" s="298"/>
      <c r="AA710" s="298"/>
      <c r="AB710" s="298"/>
      <c r="AC710" s="298"/>
      <c r="AD710" s="298"/>
      <c r="AE710" s="298"/>
      <c r="AF710" s="298"/>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row>
    <row r="71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98"/>
      <c r="W711" s="298"/>
      <c r="X711" s="298"/>
      <c r="Y711" s="298"/>
      <c r="Z711" s="298"/>
      <c r="AA711" s="298"/>
      <c r="AB711" s="298"/>
      <c r="AC711" s="298"/>
      <c r="AD711" s="298"/>
      <c r="AE711" s="298"/>
      <c r="AF711" s="298"/>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row>
    <row r="712">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98"/>
      <c r="W712" s="298"/>
      <c r="X712" s="298"/>
      <c r="Y712" s="298"/>
      <c r="Z712" s="298"/>
      <c r="AA712" s="298"/>
      <c r="AB712" s="298"/>
      <c r="AC712" s="298"/>
      <c r="AD712" s="298"/>
      <c r="AE712" s="298"/>
      <c r="AF712" s="298"/>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row>
    <row r="713">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98"/>
      <c r="W713" s="298"/>
      <c r="X713" s="298"/>
      <c r="Y713" s="298"/>
      <c r="Z713" s="298"/>
      <c r="AA713" s="298"/>
      <c r="AB713" s="298"/>
      <c r="AC713" s="298"/>
      <c r="AD713" s="298"/>
      <c r="AE713" s="298"/>
      <c r="AF713" s="298"/>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row>
    <row r="714">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98"/>
      <c r="W714" s="298"/>
      <c r="X714" s="298"/>
      <c r="Y714" s="298"/>
      <c r="Z714" s="298"/>
      <c r="AA714" s="298"/>
      <c r="AB714" s="298"/>
      <c r="AC714" s="298"/>
      <c r="AD714" s="298"/>
      <c r="AE714" s="298"/>
      <c r="AF714" s="298"/>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row>
    <row r="715">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98"/>
      <c r="W715" s="298"/>
      <c r="X715" s="298"/>
      <c r="Y715" s="298"/>
      <c r="Z715" s="298"/>
      <c r="AA715" s="298"/>
      <c r="AB715" s="298"/>
      <c r="AC715" s="298"/>
      <c r="AD715" s="298"/>
      <c r="AE715" s="298"/>
      <c r="AF715" s="298"/>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row>
    <row r="716">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98"/>
      <c r="W716" s="298"/>
      <c r="X716" s="298"/>
      <c r="Y716" s="298"/>
      <c r="Z716" s="298"/>
      <c r="AA716" s="298"/>
      <c r="AB716" s="298"/>
      <c r="AC716" s="298"/>
      <c r="AD716" s="298"/>
      <c r="AE716" s="298"/>
      <c r="AF716" s="298"/>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row>
    <row r="717">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98"/>
      <c r="W717" s="298"/>
      <c r="X717" s="298"/>
      <c r="Y717" s="298"/>
      <c r="Z717" s="298"/>
      <c r="AA717" s="298"/>
      <c r="AB717" s="298"/>
      <c r="AC717" s="298"/>
      <c r="AD717" s="298"/>
      <c r="AE717" s="298"/>
      <c r="AF717" s="298"/>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row>
    <row r="718">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98"/>
      <c r="W718" s="298"/>
      <c r="X718" s="298"/>
      <c r="Y718" s="298"/>
      <c r="Z718" s="298"/>
      <c r="AA718" s="298"/>
      <c r="AB718" s="298"/>
      <c r="AC718" s="298"/>
      <c r="AD718" s="298"/>
      <c r="AE718" s="298"/>
      <c r="AF718" s="298"/>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row>
    <row r="719">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98"/>
      <c r="W719" s="298"/>
      <c r="X719" s="298"/>
      <c r="Y719" s="298"/>
      <c r="Z719" s="298"/>
      <c r="AA719" s="298"/>
      <c r="AB719" s="298"/>
      <c r="AC719" s="298"/>
      <c r="AD719" s="298"/>
      <c r="AE719" s="298"/>
      <c r="AF719" s="298"/>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row>
    <row r="720">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98"/>
      <c r="W720" s="298"/>
      <c r="X720" s="298"/>
      <c r="Y720" s="298"/>
      <c r="Z720" s="298"/>
      <c r="AA720" s="298"/>
      <c r="AB720" s="298"/>
      <c r="AC720" s="298"/>
      <c r="AD720" s="298"/>
      <c r="AE720" s="298"/>
      <c r="AF720" s="298"/>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row>
    <row r="72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98"/>
      <c r="W721" s="298"/>
      <c r="X721" s="298"/>
      <c r="Y721" s="298"/>
      <c r="Z721" s="298"/>
      <c r="AA721" s="298"/>
      <c r="AB721" s="298"/>
      <c r="AC721" s="298"/>
      <c r="AD721" s="298"/>
      <c r="AE721" s="298"/>
      <c r="AF721" s="298"/>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row>
    <row r="722">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98"/>
      <c r="W722" s="298"/>
      <c r="X722" s="298"/>
      <c r="Y722" s="298"/>
      <c r="Z722" s="298"/>
      <c r="AA722" s="298"/>
      <c r="AB722" s="298"/>
      <c r="AC722" s="298"/>
      <c r="AD722" s="298"/>
      <c r="AE722" s="298"/>
      <c r="AF722" s="298"/>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row>
    <row r="723">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98"/>
      <c r="W723" s="298"/>
      <c r="X723" s="298"/>
      <c r="Y723" s="298"/>
      <c r="Z723" s="298"/>
      <c r="AA723" s="298"/>
      <c r="AB723" s="298"/>
      <c r="AC723" s="298"/>
      <c r="AD723" s="298"/>
      <c r="AE723" s="298"/>
      <c r="AF723" s="298"/>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row>
    <row r="724">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98"/>
      <c r="W724" s="298"/>
      <c r="X724" s="298"/>
      <c r="Y724" s="298"/>
      <c r="Z724" s="298"/>
      <c r="AA724" s="298"/>
      <c r="AB724" s="298"/>
      <c r="AC724" s="298"/>
      <c r="AD724" s="298"/>
      <c r="AE724" s="298"/>
      <c r="AF724" s="298"/>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row>
    <row r="725">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98"/>
      <c r="W725" s="298"/>
      <c r="X725" s="298"/>
      <c r="Y725" s="298"/>
      <c r="Z725" s="298"/>
      <c r="AA725" s="298"/>
      <c r="AB725" s="298"/>
      <c r="AC725" s="298"/>
      <c r="AD725" s="298"/>
      <c r="AE725" s="298"/>
      <c r="AF725" s="298"/>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row>
    <row r="726">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98"/>
      <c r="W726" s="298"/>
      <c r="X726" s="298"/>
      <c r="Y726" s="298"/>
      <c r="Z726" s="298"/>
      <c r="AA726" s="298"/>
      <c r="AB726" s="298"/>
      <c r="AC726" s="298"/>
      <c r="AD726" s="298"/>
      <c r="AE726" s="298"/>
      <c r="AF726" s="298"/>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row>
    <row r="727">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98"/>
      <c r="W727" s="298"/>
      <c r="X727" s="298"/>
      <c r="Y727" s="298"/>
      <c r="Z727" s="298"/>
      <c r="AA727" s="298"/>
      <c r="AB727" s="298"/>
      <c r="AC727" s="298"/>
      <c r="AD727" s="298"/>
      <c r="AE727" s="298"/>
      <c r="AF727" s="298"/>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row>
    <row r="728">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98"/>
      <c r="W728" s="298"/>
      <c r="X728" s="298"/>
      <c r="Y728" s="298"/>
      <c r="Z728" s="298"/>
      <c r="AA728" s="298"/>
      <c r="AB728" s="298"/>
      <c r="AC728" s="298"/>
      <c r="AD728" s="298"/>
      <c r="AE728" s="298"/>
      <c r="AF728" s="298"/>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row>
    <row r="729">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98"/>
      <c r="W729" s="298"/>
      <c r="X729" s="298"/>
      <c r="Y729" s="298"/>
      <c r="Z729" s="298"/>
      <c r="AA729" s="298"/>
      <c r="AB729" s="298"/>
      <c r="AC729" s="298"/>
      <c r="AD729" s="298"/>
      <c r="AE729" s="298"/>
      <c r="AF729" s="298"/>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row>
    <row r="730">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98"/>
      <c r="W730" s="298"/>
      <c r="X730" s="298"/>
      <c r="Y730" s="298"/>
      <c r="Z730" s="298"/>
      <c r="AA730" s="298"/>
      <c r="AB730" s="298"/>
      <c r="AC730" s="298"/>
      <c r="AD730" s="298"/>
      <c r="AE730" s="298"/>
      <c r="AF730" s="298"/>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row>
    <row r="73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98"/>
      <c r="W731" s="298"/>
      <c r="X731" s="298"/>
      <c r="Y731" s="298"/>
      <c r="Z731" s="298"/>
      <c r="AA731" s="298"/>
      <c r="AB731" s="298"/>
      <c r="AC731" s="298"/>
      <c r="AD731" s="298"/>
      <c r="AE731" s="298"/>
      <c r="AF731" s="298"/>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row>
    <row r="732">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98"/>
      <c r="W732" s="298"/>
      <c r="X732" s="298"/>
      <c r="Y732" s="298"/>
      <c r="Z732" s="298"/>
      <c r="AA732" s="298"/>
      <c r="AB732" s="298"/>
      <c r="AC732" s="298"/>
      <c r="AD732" s="298"/>
      <c r="AE732" s="298"/>
      <c r="AF732" s="298"/>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row>
    <row r="733">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98"/>
      <c r="W733" s="298"/>
      <c r="X733" s="298"/>
      <c r="Y733" s="298"/>
      <c r="Z733" s="298"/>
      <c r="AA733" s="298"/>
      <c r="AB733" s="298"/>
      <c r="AC733" s="298"/>
      <c r="AD733" s="298"/>
      <c r="AE733" s="298"/>
      <c r="AF733" s="298"/>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row>
    <row r="734">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98"/>
      <c r="W734" s="298"/>
      <c r="X734" s="298"/>
      <c r="Y734" s="298"/>
      <c r="Z734" s="298"/>
      <c r="AA734" s="298"/>
      <c r="AB734" s="298"/>
      <c r="AC734" s="298"/>
      <c r="AD734" s="298"/>
      <c r="AE734" s="298"/>
      <c r="AF734" s="298"/>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row>
    <row r="735">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98"/>
      <c r="W735" s="298"/>
      <c r="X735" s="298"/>
      <c r="Y735" s="298"/>
      <c r="Z735" s="298"/>
      <c r="AA735" s="298"/>
      <c r="AB735" s="298"/>
      <c r="AC735" s="298"/>
      <c r="AD735" s="298"/>
      <c r="AE735" s="298"/>
      <c r="AF735" s="298"/>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row>
    <row r="736">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98"/>
      <c r="W736" s="298"/>
      <c r="X736" s="298"/>
      <c r="Y736" s="298"/>
      <c r="Z736" s="298"/>
      <c r="AA736" s="298"/>
      <c r="AB736" s="298"/>
      <c r="AC736" s="298"/>
      <c r="AD736" s="298"/>
      <c r="AE736" s="298"/>
      <c r="AF736" s="298"/>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row>
    <row r="737">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98"/>
      <c r="W737" s="298"/>
      <c r="X737" s="298"/>
      <c r="Y737" s="298"/>
      <c r="Z737" s="298"/>
      <c r="AA737" s="298"/>
      <c r="AB737" s="298"/>
      <c r="AC737" s="298"/>
      <c r="AD737" s="298"/>
      <c r="AE737" s="298"/>
      <c r="AF737" s="298"/>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row>
    <row r="738">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98"/>
      <c r="W738" s="298"/>
      <c r="X738" s="298"/>
      <c r="Y738" s="298"/>
      <c r="Z738" s="298"/>
      <c r="AA738" s="298"/>
      <c r="AB738" s="298"/>
      <c r="AC738" s="298"/>
      <c r="AD738" s="298"/>
      <c r="AE738" s="298"/>
      <c r="AF738" s="298"/>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row>
    <row r="739">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98"/>
      <c r="W739" s="298"/>
      <c r="X739" s="298"/>
      <c r="Y739" s="298"/>
      <c r="Z739" s="298"/>
      <c r="AA739" s="298"/>
      <c r="AB739" s="298"/>
      <c r="AC739" s="298"/>
      <c r="AD739" s="298"/>
      <c r="AE739" s="298"/>
      <c r="AF739" s="298"/>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row>
    <row r="740">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98"/>
      <c r="W740" s="298"/>
      <c r="X740" s="298"/>
      <c r="Y740" s="298"/>
      <c r="Z740" s="298"/>
      <c r="AA740" s="298"/>
      <c r="AB740" s="298"/>
      <c r="AC740" s="298"/>
      <c r="AD740" s="298"/>
      <c r="AE740" s="298"/>
      <c r="AF740" s="298"/>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row>
    <row r="74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98"/>
      <c r="W741" s="298"/>
      <c r="X741" s="298"/>
      <c r="Y741" s="298"/>
      <c r="Z741" s="298"/>
      <c r="AA741" s="298"/>
      <c r="AB741" s="298"/>
      <c r="AC741" s="298"/>
      <c r="AD741" s="298"/>
      <c r="AE741" s="298"/>
      <c r="AF741" s="298"/>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row>
    <row r="742">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98"/>
      <c r="W742" s="298"/>
      <c r="X742" s="298"/>
      <c r="Y742" s="298"/>
      <c r="Z742" s="298"/>
      <c r="AA742" s="298"/>
      <c r="AB742" s="298"/>
      <c r="AC742" s="298"/>
      <c r="AD742" s="298"/>
      <c r="AE742" s="298"/>
      <c r="AF742" s="298"/>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row>
    <row r="743">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98"/>
      <c r="W743" s="298"/>
      <c r="X743" s="298"/>
      <c r="Y743" s="298"/>
      <c r="Z743" s="298"/>
      <c r="AA743" s="298"/>
      <c r="AB743" s="298"/>
      <c r="AC743" s="298"/>
      <c r="AD743" s="298"/>
      <c r="AE743" s="298"/>
      <c r="AF743" s="298"/>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row>
    <row r="744">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98"/>
      <c r="W744" s="298"/>
      <c r="X744" s="298"/>
      <c r="Y744" s="298"/>
      <c r="Z744" s="298"/>
      <c r="AA744" s="298"/>
      <c r="AB744" s="298"/>
      <c r="AC744" s="298"/>
      <c r="AD744" s="298"/>
      <c r="AE744" s="298"/>
      <c r="AF744" s="298"/>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row>
    <row r="745">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98"/>
      <c r="W745" s="298"/>
      <c r="X745" s="298"/>
      <c r="Y745" s="298"/>
      <c r="Z745" s="298"/>
      <c r="AA745" s="298"/>
      <c r="AB745" s="298"/>
      <c r="AC745" s="298"/>
      <c r="AD745" s="298"/>
      <c r="AE745" s="298"/>
      <c r="AF745" s="298"/>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row>
    <row r="746">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98"/>
      <c r="W746" s="298"/>
      <c r="X746" s="298"/>
      <c r="Y746" s="298"/>
      <c r="Z746" s="298"/>
      <c r="AA746" s="298"/>
      <c r="AB746" s="298"/>
      <c r="AC746" s="298"/>
      <c r="AD746" s="298"/>
      <c r="AE746" s="298"/>
      <c r="AF746" s="298"/>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row>
    <row r="747">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98"/>
      <c r="W747" s="298"/>
      <c r="X747" s="298"/>
      <c r="Y747" s="298"/>
      <c r="Z747" s="298"/>
      <c r="AA747" s="298"/>
      <c r="AB747" s="298"/>
      <c r="AC747" s="298"/>
      <c r="AD747" s="298"/>
      <c r="AE747" s="298"/>
      <c r="AF747" s="298"/>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row>
    <row r="748">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98"/>
      <c r="W748" s="298"/>
      <c r="X748" s="298"/>
      <c r="Y748" s="298"/>
      <c r="Z748" s="298"/>
      <c r="AA748" s="298"/>
      <c r="AB748" s="298"/>
      <c r="AC748" s="298"/>
      <c r="AD748" s="298"/>
      <c r="AE748" s="298"/>
      <c r="AF748" s="298"/>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row>
    <row r="749">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98"/>
      <c r="W749" s="298"/>
      <c r="X749" s="298"/>
      <c r="Y749" s="298"/>
      <c r="Z749" s="298"/>
      <c r="AA749" s="298"/>
      <c r="AB749" s="298"/>
      <c r="AC749" s="298"/>
      <c r="AD749" s="298"/>
      <c r="AE749" s="298"/>
      <c r="AF749" s="298"/>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row>
    <row r="750">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98"/>
      <c r="W750" s="298"/>
      <c r="X750" s="298"/>
      <c r="Y750" s="298"/>
      <c r="Z750" s="298"/>
      <c r="AA750" s="298"/>
      <c r="AB750" s="298"/>
      <c r="AC750" s="298"/>
      <c r="AD750" s="298"/>
      <c r="AE750" s="298"/>
      <c r="AF750" s="298"/>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row>
    <row r="75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98"/>
      <c r="W751" s="298"/>
      <c r="X751" s="298"/>
      <c r="Y751" s="298"/>
      <c r="Z751" s="298"/>
      <c r="AA751" s="298"/>
      <c r="AB751" s="298"/>
      <c r="AC751" s="298"/>
      <c r="AD751" s="298"/>
      <c r="AE751" s="298"/>
      <c r="AF751" s="298"/>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row>
    <row r="752">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98"/>
      <c r="W752" s="298"/>
      <c r="X752" s="298"/>
      <c r="Y752" s="298"/>
      <c r="Z752" s="298"/>
      <c r="AA752" s="298"/>
      <c r="AB752" s="298"/>
      <c r="AC752" s="298"/>
      <c r="AD752" s="298"/>
      <c r="AE752" s="298"/>
      <c r="AF752" s="298"/>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row>
    <row r="753">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98"/>
      <c r="W753" s="298"/>
      <c r="X753" s="298"/>
      <c r="Y753" s="298"/>
      <c r="Z753" s="298"/>
      <c r="AA753" s="298"/>
      <c r="AB753" s="298"/>
      <c r="AC753" s="298"/>
      <c r="AD753" s="298"/>
      <c r="AE753" s="298"/>
      <c r="AF753" s="298"/>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row>
    <row r="754">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98"/>
      <c r="W754" s="298"/>
      <c r="X754" s="298"/>
      <c r="Y754" s="298"/>
      <c r="Z754" s="298"/>
      <c r="AA754" s="298"/>
      <c r="AB754" s="298"/>
      <c r="AC754" s="298"/>
      <c r="AD754" s="298"/>
      <c r="AE754" s="298"/>
      <c r="AF754" s="298"/>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row>
    <row r="755">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98"/>
      <c r="W755" s="298"/>
      <c r="X755" s="298"/>
      <c r="Y755" s="298"/>
      <c r="Z755" s="298"/>
      <c r="AA755" s="298"/>
      <c r="AB755" s="298"/>
      <c r="AC755" s="298"/>
      <c r="AD755" s="298"/>
      <c r="AE755" s="298"/>
      <c r="AF755" s="298"/>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row>
    <row r="756">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98"/>
      <c r="W756" s="298"/>
      <c r="X756" s="298"/>
      <c r="Y756" s="298"/>
      <c r="Z756" s="298"/>
      <c r="AA756" s="298"/>
      <c r="AB756" s="298"/>
      <c r="AC756" s="298"/>
      <c r="AD756" s="298"/>
      <c r="AE756" s="298"/>
      <c r="AF756" s="298"/>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row>
    <row r="757">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98"/>
      <c r="W757" s="298"/>
      <c r="X757" s="298"/>
      <c r="Y757" s="298"/>
      <c r="Z757" s="298"/>
      <c r="AA757" s="298"/>
      <c r="AB757" s="298"/>
      <c r="AC757" s="298"/>
      <c r="AD757" s="298"/>
      <c r="AE757" s="298"/>
      <c r="AF757" s="298"/>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row>
    <row r="758">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98"/>
      <c r="W758" s="298"/>
      <c r="X758" s="298"/>
      <c r="Y758" s="298"/>
      <c r="Z758" s="298"/>
      <c r="AA758" s="298"/>
      <c r="AB758" s="298"/>
      <c r="AC758" s="298"/>
      <c r="AD758" s="298"/>
      <c r="AE758" s="298"/>
      <c r="AF758" s="298"/>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row>
    <row r="759">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98"/>
      <c r="W759" s="298"/>
      <c r="X759" s="298"/>
      <c r="Y759" s="298"/>
      <c r="Z759" s="298"/>
      <c r="AA759" s="298"/>
      <c r="AB759" s="298"/>
      <c r="AC759" s="298"/>
      <c r="AD759" s="298"/>
      <c r="AE759" s="298"/>
      <c r="AF759" s="298"/>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row>
    <row r="760">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98"/>
      <c r="W760" s="298"/>
      <c r="X760" s="298"/>
      <c r="Y760" s="298"/>
      <c r="Z760" s="298"/>
      <c r="AA760" s="298"/>
      <c r="AB760" s="298"/>
      <c r="AC760" s="298"/>
      <c r="AD760" s="298"/>
      <c r="AE760" s="298"/>
      <c r="AF760" s="298"/>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row>
    <row r="76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98"/>
      <c r="W761" s="298"/>
      <c r="X761" s="298"/>
      <c r="Y761" s="298"/>
      <c r="Z761" s="298"/>
      <c r="AA761" s="298"/>
      <c r="AB761" s="298"/>
      <c r="AC761" s="298"/>
      <c r="AD761" s="298"/>
      <c r="AE761" s="298"/>
      <c r="AF761" s="298"/>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row>
    <row r="762">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98"/>
      <c r="W762" s="298"/>
      <c r="X762" s="298"/>
      <c r="Y762" s="298"/>
      <c r="Z762" s="298"/>
      <c r="AA762" s="298"/>
      <c r="AB762" s="298"/>
      <c r="AC762" s="298"/>
      <c r="AD762" s="298"/>
      <c r="AE762" s="298"/>
      <c r="AF762" s="298"/>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row>
    <row r="763">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98"/>
      <c r="W763" s="298"/>
      <c r="X763" s="298"/>
      <c r="Y763" s="298"/>
      <c r="Z763" s="298"/>
      <c r="AA763" s="298"/>
      <c r="AB763" s="298"/>
      <c r="AC763" s="298"/>
      <c r="AD763" s="298"/>
      <c r="AE763" s="298"/>
      <c r="AF763" s="298"/>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row>
    <row r="764">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98"/>
      <c r="W764" s="298"/>
      <c r="X764" s="298"/>
      <c r="Y764" s="298"/>
      <c r="Z764" s="298"/>
      <c r="AA764" s="298"/>
      <c r="AB764" s="298"/>
      <c r="AC764" s="298"/>
      <c r="AD764" s="298"/>
      <c r="AE764" s="298"/>
      <c r="AF764" s="298"/>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row>
    <row r="765">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98"/>
      <c r="W765" s="298"/>
      <c r="X765" s="298"/>
      <c r="Y765" s="298"/>
      <c r="Z765" s="298"/>
      <c r="AA765" s="298"/>
      <c r="AB765" s="298"/>
      <c r="AC765" s="298"/>
      <c r="AD765" s="298"/>
      <c r="AE765" s="298"/>
      <c r="AF765" s="298"/>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row>
    <row r="766">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98"/>
      <c r="W766" s="298"/>
      <c r="X766" s="298"/>
      <c r="Y766" s="298"/>
      <c r="Z766" s="298"/>
      <c r="AA766" s="298"/>
      <c r="AB766" s="298"/>
      <c r="AC766" s="298"/>
      <c r="AD766" s="298"/>
      <c r="AE766" s="298"/>
      <c r="AF766" s="298"/>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row>
    <row r="767">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98"/>
      <c r="W767" s="298"/>
      <c r="X767" s="298"/>
      <c r="Y767" s="298"/>
      <c r="Z767" s="298"/>
      <c r="AA767" s="298"/>
      <c r="AB767" s="298"/>
      <c r="AC767" s="298"/>
      <c r="AD767" s="298"/>
      <c r="AE767" s="298"/>
      <c r="AF767" s="298"/>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row>
    <row r="768">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98"/>
      <c r="W768" s="298"/>
      <c r="X768" s="298"/>
      <c r="Y768" s="298"/>
      <c r="Z768" s="298"/>
      <c r="AA768" s="298"/>
      <c r="AB768" s="298"/>
      <c r="AC768" s="298"/>
      <c r="AD768" s="298"/>
      <c r="AE768" s="298"/>
      <c r="AF768" s="298"/>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row>
    <row r="769">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98"/>
      <c r="W769" s="298"/>
      <c r="X769" s="298"/>
      <c r="Y769" s="298"/>
      <c r="Z769" s="298"/>
      <c r="AA769" s="298"/>
      <c r="AB769" s="298"/>
      <c r="AC769" s="298"/>
      <c r="AD769" s="298"/>
      <c r="AE769" s="298"/>
      <c r="AF769" s="298"/>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row>
    <row r="770">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98"/>
      <c r="W770" s="298"/>
      <c r="X770" s="298"/>
      <c r="Y770" s="298"/>
      <c r="Z770" s="298"/>
      <c r="AA770" s="298"/>
      <c r="AB770" s="298"/>
      <c r="AC770" s="298"/>
      <c r="AD770" s="298"/>
      <c r="AE770" s="298"/>
      <c r="AF770" s="298"/>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row>
    <row r="77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98"/>
      <c r="W771" s="298"/>
      <c r="X771" s="298"/>
      <c r="Y771" s="298"/>
      <c r="Z771" s="298"/>
      <c r="AA771" s="298"/>
      <c r="AB771" s="298"/>
      <c r="AC771" s="298"/>
      <c r="AD771" s="298"/>
      <c r="AE771" s="298"/>
      <c r="AF771" s="298"/>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row>
    <row r="772">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98"/>
      <c r="W772" s="298"/>
      <c r="X772" s="298"/>
      <c r="Y772" s="298"/>
      <c r="Z772" s="298"/>
      <c r="AA772" s="298"/>
      <c r="AB772" s="298"/>
      <c r="AC772" s="298"/>
      <c r="AD772" s="298"/>
      <c r="AE772" s="298"/>
      <c r="AF772" s="298"/>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row>
    <row r="773">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98"/>
      <c r="W773" s="298"/>
      <c r="X773" s="298"/>
      <c r="Y773" s="298"/>
      <c r="Z773" s="298"/>
      <c r="AA773" s="298"/>
      <c r="AB773" s="298"/>
      <c r="AC773" s="298"/>
      <c r="AD773" s="298"/>
      <c r="AE773" s="298"/>
      <c r="AF773" s="298"/>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row>
    <row r="774">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98"/>
      <c r="W774" s="298"/>
      <c r="X774" s="298"/>
      <c r="Y774" s="298"/>
      <c r="Z774" s="298"/>
      <c r="AA774" s="298"/>
      <c r="AB774" s="298"/>
      <c r="AC774" s="298"/>
      <c r="AD774" s="298"/>
      <c r="AE774" s="298"/>
      <c r="AF774" s="298"/>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row>
    <row r="775">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98"/>
      <c r="W775" s="298"/>
      <c r="X775" s="298"/>
      <c r="Y775" s="298"/>
      <c r="Z775" s="298"/>
      <c r="AA775" s="298"/>
      <c r="AB775" s="298"/>
      <c r="AC775" s="298"/>
      <c r="AD775" s="298"/>
      <c r="AE775" s="298"/>
      <c r="AF775" s="298"/>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row>
    <row r="776">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98"/>
      <c r="W776" s="298"/>
      <c r="X776" s="298"/>
      <c r="Y776" s="298"/>
      <c r="Z776" s="298"/>
      <c r="AA776" s="298"/>
      <c r="AB776" s="298"/>
      <c r="AC776" s="298"/>
      <c r="AD776" s="298"/>
      <c r="AE776" s="298"/>
      <c r="AF776" s="298"/>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row>
    <row r="777">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98"/>
      <c r="W777" s="298"/>
      <c r="X777" s="298"/>
      <c r="Y777" s="298"/>
      <c r="Z777" s="298"/>
      <c r="AA777" s="298"/>
      <c r="AB777" s="298"/>
      <c r="AC777" s="298"/>
      <c r="AD777" s="298"/>
      <c r="AE777" s="298"/>
      <c r="AF777" s="298"/>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row>
    <row r="778">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98"/>
      <c r="W778" s="298"/>
      <c r="X778" s="298"/>
      <c r="Y778" s="298"/>
      <c r="Z778" s="298"/>
      <c r="AA778" s="298"/>
      <c r="AB778" s="298"/>
      <c r="AC778" s="298"/>
      <c r="AD778" s="298"/>
      <c r="AE778" s="298"/>
      <c r="AF778" s="298"/>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row>
    <row r="779">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98"/>
      <c r="W779" s="298"/>
      <c r="X779" s="298"/>
      <c r="Y779" s="298"/>
      <c r="Z779" s="298"/>
      <c r="AA779" s="298"/>
      <c r="AB779" s="298"/>
      <c r="AC779" s="298"/>
      <c r="AD779" s="298"/>
      <c r="AE779" s="298"/>
      <c r="AF779" s="298"/>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row>
    <row r="780">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98"/>
      <c r="W780" s="298"/>
      <c r="X780" s="298"/>
      <c r="Y780" s="298"/>
      <c r="Z780" s="298"/>
      <c r="AA780" s="298"/>
      <c r="AB780" s="298"/>
      <c r="AC780" s="298"/>
      <c r="AD780" s="298"/>
      <c r="AE780" s="298"/>
      <c r="AF780" s="298"/>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row>
    <row r="78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98"/>
      <c r="W781" s="298"/>
      <c r="X781" s="298"/>
      <c r="Y781" s="298"/>
      <c r="Z781" s="298"/>
      <c r="AA781" s="298"/>
      <c r="AB781" s="298"/>
      <c r="AC781" s="298"/>
      <c r="AD781" s="298"/>
      <c r="AE781" s="298"/>
      <c r="AF781" s="298"/>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row>
    <row r="782">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98"/>
      <c r="W782" s="298"/>
      <c r="X782" s="298"/>
      <c r="Y782" s="298"/>
      <c r="Z782" s="298"/>
      <c r="AA782" s="298"/>
      <c r="AB782" s="298"/>
      <c r="AC782" s="298"/>
      <c r="AD782" s="298"/>
      <c r="AE782" s="298"/>
      <c r="AF782" s="298"/>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row>
    <row r="783">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98"/>
      <c r="W783" s="298"/>
      <c r="X783" s="298"/>
      <c r="Y783" s="298"/>
      <c r="Z783" s="298"/>
      <c r="AA783" s="298"/>
      <c r="AB783" s="298"/>
      <c r="AC783" s="298"/>
      <c r="AD783" s="298"/>
      <c r="AE783" s="298"/>
      <c r="AF783" s="298"/>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row>
    <row r="784">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98"/>
      <c r="W784" s="298"/>
      <c r="X784" s="298"/>
      <c r="Y784" s="298"/>
      <c r="Z784" s="298"/>
      <c r="AA784" s="298"/>
      <c r="AB784" s="298"/>
      <c r="AC784" s="298"/>
      <c r="AD784" s="298"/>
      <c r="AE784" s="298"/>
      <c r="AF784" s="298"/>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row>
    <row r="785">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98"/>
      <c r="W785" s="298"/>
      <c r="X785" s="298"/>
      <c r="Y785" s="298"/>
      <c r="Z785" s="298"/>
      <c r="AA785" s="298"/>
      <c r="AB785" s="298"/>
      <c r="AC785" s="298"/>
      <c r="AD785" s="298"/>
      <c r="AE785" s="298"/>
      <c r="AF785" s="298"/>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row>
    <row r="786">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98"/>
      <c r="W786" s="298"/>
      <c r="X786" s="298"/>
      <c r="Y786" s="298"/>
      <c r="Z786" s="298"/>
      <c r="AA786" s="298"/>
      <c r="AB786" s="298"/>
      <c r="AC786" s="298"/>
      <c r="AD786" s="298"/>
      <c r="AE786" s="298"/>
      <c r="AF786" s="298"/>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row>
    <row r="787">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98"/>
      <c r="W787" s="298"/>
      <c r="X787" s="298"/>
      <c r="Y787" s="298"/>
      <c r="Z787" s="298"/>
      <c r="AA787" s="298"/>
      <c r="AB787" s="298"/>
      <c r="AC787" s="298"/>
      <c r="AD787" s="298"/>
      <c r="AE787" s="298"/>
      <c r="AF787" s="298"/>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row>
    <row r="788">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98"/>
      <c r="W788" s="298"/>
      <c r="X788" s="298"/>
      <c r="Y788" s="298"/>
      <c r="Z788" s="298"/>
      <c r="AA788" s="298"/>
      <c r="AB788" s="298"/>
      <c r="AC788" s="298"/>
      <c r="AD788" s="298"/>
      <c r="AE788" s="298"/>
      <c r="AF788" s="298"/>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row>
    <row r="789">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98"/>
      <c r="W789" s="298"/>
      <c r="X789" s="298"/>
      <c r="Y789" s="298"/>
      <c r="Z789" s="298"/>
      <c r="AA789" s="298"/>
      <c r="AB789" s="298"/>
      <c r="AC789" s="298"/>
      <c r="AD789" s="298"/>
      <c r="AE789" s="298"/>
      <c r="AF789" s="298"/>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row>
    <row r="790">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98"/>
      <c r="W790" s="298"/>
      <c r="X790" s="298"/>
      <c r="Y790" s="298"/>
      <c r="Z790" s="298"/>
      <c r="AA790" s="298"/>
      <c r="AB790" s="298"/>
      <c r="AC790" s="298"/>
      <c r="AD790" s="298"/>
      <c r="AE790" s="298"/>
      <c r="AF790" s="298"/>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row>
    <row r="79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98"/>
      <c r="W791" s="298"/>
      <c r="X791" s="298"/>
      <c r="Y791" s="298"/>
      <c r="Z791" s="298"/>
      <c r="AA791" s="298"/>
      <c r="AB791" s="298"/>
      <c r="AC791" s="298"/>
      <c r="AD791" s="298"/>
      <c r="AE791" s="298"/>
      <c r="AF791" s="298"/>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row>
    <row r="792">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98"/>
      <c r="W792" s="298"/>
      <c r="X792" s="298"/>
      <c r="Y792" s="298"/>
      <c r="Z792" s="298"/>
      <c r="AA792" s="298"/>
      <c r="AB792" s="298"/>
      <c r="AC792" s="298"/>
      <c r="AD792" s="298"/>
      <c r="AE792" s="298"/>
      <c r="AF792" s="298"/>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row>
    <row r="793">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98"/>
      <c r="W793" s="298"/>
      <c r="X793" s="298"/>
      <c r="Y793" s="298"/>
      <c r="Z793" s="298"/>
      <c r="AA793" s="298"/>
      <c r="AB793" s="298"/>
      <c r="AC793" s="298"/>
      <c r="AD793" s="298"/>
      <c r="AE793" s="298"/>
      <c r="AF793" s="298"/>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row>
    <row r="794">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98"/>
      <c r="W794" s="298"/>
      <c r="X794" s="298"/>
      <c r="Y794" s="298"/>
      <c r="Z794" s="298"/>
      <c r="AA794" s="298"/>
      <c r="AB794" s="298"/>
      <c r="AC794" s="298"/>
      <c r="AD794" s="298"/>
      <c r="AE794" s="298"/>
      <c r="AF794" s="298"/>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row>
    <row r="795">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98"/>
      <c r="W795" s="298"/>
      <c r="X795" s="298"/>
      <c r="Y795" s="298"/>
      <c r="Z795" s="298"/>
      <c r="AA795" s="298"/>
      <c r="AB795" s="298"/>
      <c r="AC795" s="298"/>
      <c r="AD795" s="298"/>
      <c r="AE795" s="298"/>
      <c r="AF795" s="298"/>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row>
    <row r="796">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98"/>
      <c r="W796" s="298"/>
      <c r="X796" s="298"/>
      <c r="Y796" s="298"/>
      <c r="Z796" s="298"/>
      <c r="AA796" s="298"/>
      <c r="AB796" s="298"/>
      <c r="AC796" s="298"/>
      <c r="AD796" s="298"/>
      <c r="AE796" s="298"/>
      <c r="AF796" s="298"/>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row>
    <row r="797">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98"/>
      <c r="W797" s="298"/>
      <c r="X797" s="298"/>
      <c r="Y797" s="298"/>
      <c r="Z797" s="298"/>
      <c r="AA797" s="298"/>
      <c r="AB797" s="298"/>
      <c r="AC797" s="298"/>
      <c r="AD797" s="298"/>
      <c r="AE797" s="298"/>
      <c r="AF797" s="298"/>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row>
    <row r="798">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98"/>
      <c r="W798" s="298"/>
      <c r="X798" s="298"/>
      <c r="Y798" s="298"/>
      <c r="Z798" s="298"/>
      <c r="AA798" s="298"/>
      <c r="AB798" s="298"/>
      <c r="AC798" s="298"/>
      <c r="AD798" s="298"/>
      <c r="AE798" s="298"/>
      <c r="AF798" s="298"/>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row>
    <row r="799">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98"/>
      <c r="W799" s="298"/>
      <c r="X799" s="298"/>
      <c r="Y799" s="298"/>
      <c r="Z799" s="298"/>
      <c r="AA799" s="298"/>
      <c r="AB799" s="298"/>
      <c r="AC799" s="298"/>
      <c r="AD799" s="298"/>
      <c r="AE799" s="298"/>
      <c r="AF799" s="298"/>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row>
    <row r="800">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98"/>
      <c r="W800" s="298"/>
      <c r="X800" s="298"/>
      <c r="Y800" s="298"/>
      <c r="Z800" s="298"/>
      <c r="AA800" s="298"/>
      <c r="AB800" s="298"/>
      <c r="AC800" s="298"/>
      <c r="AD800" s="298"/>
      <c r="AE800" s="298"/>
      <c r="AF800" s="298"/>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row>
    <row r="80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98"/>
      <c r="W801" s="298"/>
      <c r="X801" s="298"/>
      <c r="Y801" s="298"/>
      <c r="Z801" s="298"/>
      <c r="AA801" s="298"/>
      <c r="AB801" s="298"/>
      <c r="AC801" s="298"/>
      <c r="AD801" s="298"/>
      <c r="AE801" s="298"/>
      <c r="AF801" s="298"/>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row>
    <row r="802">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98"/>
      <c r="W802" s="298"/>
      <c r="X802" s="298"/>
      <c r="Y802" s="298"/>
      <c r="Z802" s="298"/>
      <c r="AA802" s="298"/>
      <c r="AB802" s="298"/>
      <c r="AC802" s="298"/>
      <c r="AD802" s="298"/>
      <c r="AE802" s="298"/>
      <c r="AF802" s="298"/>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row>
    <row r="803">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98"/>
      <c r="W803" s="298"/>
      <c r="X803" s="298"/>
      <c r="Y803" s="298"/>
      <c r="Z803" s="298"/>
      <c r="AA803" s="298"/>
      <c r="AB803" s="298"/>
      <c r="AC803" s="298"/>
      <c r="AD803" s="298"/>
      <c r="AE803" s="298"/>
      <c r="AF803" s="298"/>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row>
    <row r="804">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98"/>
      <c r="W804" s="298"/>
      <c r="X804" s="298"/>
      <c r="Y804" s="298"/>
      <c r="Z804" s="298"/>
      <c r="AA804" s="298"/>
      <c r="AB804" s="298"/>
      <c r="AC804" s="298"/>
      <c r="AD804" s="298"/>
      <c r="AE804" s="298"/>
      <c r="AF804" s="298"/>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row>
    <row r="805">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98"/>
      <c r="W805" s="298"/>
      <c r="X805" s="298"/>
      <c r="Y805" s="298"/>
      <c r="Z805" s="298"/>
      <c r="AA805" s="298"/>
      <c r="AB805" s="298"/>
      <c r="AC805" s="298"/>
      <c r="AD805" s="298"/>
      <c r="AE805" s="298"/>
      <c r="AF805" s="298"/>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row>
    <row r="806">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98"/>
      <c r="W806" s="298"/>
      <c r="X806" s="298"/>
      <c r="Y806" s="298"/>
      <c r="Z806" s="298"/>
      <c r="AA806" s="298"/>
      <c r="AB806" s="298"/>
      <c r="AC806" s="298"/>
      <c r="AD806" s="298"/>
      <c r="AE806" s="298"/>
      <c r="AF806" s="298"/>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row>
    <row r="807">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98"/>
      <c r="W807" s="298"/>
      <c r="X807" s="298"/>
      <c r="Y807" s="298"/>
      <c r="Z807" s="298"/>
      <c r="AA807" s="298"/>
      <c r="AB807" s="298"/>
      <c r="AC807" s="298"/>
      <c r="AD807" s="298"/>
      <c r="AE807" s="298"/>
      <c r="AF807" s="298"/>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row>
    <row r="808">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98"/>
      <c r="W808" s="298"/>
      <c r="X808" s="298"/>
      <c r="Y808" s="298"/>
      <c r="Z808" s="298"/>
      <c r="AA808" s="298"/>
      <c r="AB808" s="298"/>
      <c r="AC808" s="298"/>
      <c r="AD808" s="298"/>
      <c r="AE808" s="298"/>
      <c r="AF808" s="298"/>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row>
    <row r="809">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98"/>
      <c r="W809" s="298"/>
      <c r="X809" s="298"/>
      <c r="Y809" s="298"/>
      <c r="Z809" s="298"/>
      <c r="AA809" s="298"/>
      <c r="AB809" s="298"/>
      <c r="AC809" s="298"/>
      <c r="AD809" s="298"/>
      <c r="AE809" s="298"/>
      <c r="AF809" s="298"/>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row>
    <row r="810">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98"/>
      <c r="W810" s="298"/>
      <c r="X810" s="298"/>
      <c r="Y810" s="298"/>
      <c r="Z810" s="298"/>
      <c r="AA810" s="298"/>
      <c r="AB810" s="298"/>
      <c r="AC810" s="298"/>
      <c r="AD810" s="298"/>
      <c r="AE810" s="298"/>
      <c r="AF810" s="298"/>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row>
    <row r="81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98"/>
      <c r="W811" s="298"/>
      <c r="X811" s="298"/>
      <c r="Y811" s="298"/>
      <c r="Z811" s="298"/>
      <c r="AA811" s="298"/>
      <c r="AB811" s="298"/>
      <c r="AC811" s="298"/>
      <c r="AD811" s="298"/>
      <c r="AE811" s="298"/>
      <c r="AF811" s="298"/>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row>
    <row r="812">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98"/>
      <c r="W812" s="298"/>
      <c r="X812" s="298"/>
      <c r="Y812" s="298"/>
      <c r="Z812" s="298"/>
      <c r="AA812" s="298"/>
      <c r="AB812" s="298"/>
      <c r="AC812" s="298"/>
      <c r="AD812" s="298"/>
      <c r="AE812" s="298"/>
      <c r="AF812" s="298"/>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row>
    <row r="813">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98"/>
      <c r="W813" s="298"/>
      <c r="X813" s="298"/>
      <c r="Y813" s="298"/>
      <c r="Z813" s="298"/>
      <c r="AA813" s="298"/>
      <c r="AB813" s="298"/>
      <c r="AC813" s="298"/>
      <c r="AD813" s="298"/>
      <c r="AE813" s="298"/>
      <c r="AF813" s="298"/>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row>
    <row r="814">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98"/>
      <c r="W814" s="298"/>
      <c r="X814" s="298"/>
      <c r="Y814" s="298"/>
      <c r="Z814" s="298"/>
      <c r="AA814" s="298"/>
      <c r="AB814" s="298"/>
      <c r="AC814" s="298"/>
      <c r="AD814" s="298"/>
      <c r="AE814" s="298"/>
      <c r="AF814" s="298"/>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row>
    <row r="815">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98"/>
      <c r="W815" s="298"/>
      <c r="X815" s="298"/>
      <c r="Y815" s="298"/>
      <c r="Z815" s="298"/>
      <c r="AA815" s="298"/>
      <c r="AB815" s="298"/>
      <c r="AC815" s="298"/>
      <c r="AD815" s="298"/>
      <c r="AE815" s="298"/>
      <c r="AF815" s="298"/>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row>
    <row r="816">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98"/>
      <c r="W816" s="298"/>
      <c r="X816" s="298"/>
      <c r="Y816" s="298"/>
      <c r="Z816" s="298"/>
      <c r="AA816" s="298"/>
      <c r="AB816" s="298"/>
      <c r="AC816" s="298"/>
      <c r="AD816" s="298"/>
      <c r="AE816" s="298"/>
      <c r="AF816" s="298"/>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row>
    <row r="817">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98"/>
      <c r="W817" s="298"/>
      <c r="X817" s="298"/>
      <c r="Y817" s="298"/>
      <c r="Z817" s="298"/>
      <c r="AA817" s="298"/>
      <c r="AB817" s="298"/>
      <c r="AC817" s="298"/>
      <c r="AD817" s="298"/>
      <c r="AE817" s="298"/>
      <c r="AF817" s="298"/>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row>
    <row r="818">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98"/>
      <c r="W818" s="298"/>
      <c r="X818" s="298"/>
      <c r="Y818" s="298"/>
      <c r="Z818" s="298"/>
      <c r="AA818" s="298"/>
      <c r="AB818" s="298"/>
      <c r="AC818" s="298"/>
      <c r="AD818" s="298"/>
      <c r="AE818" s="298"/>
      <c r="AF818" s="298"/>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row>
    <row r="819">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98"/>
      <c r="W819" s="298"/>
      <c r="X819" s="298"/>
      <c r="Y819" s="298"/>
      <c r="Z819" s="298"/>
      <c r="AA819" s="298"/>
      <c r="AB819" s="298"/>
      <c r="AC819" s="298"/>
      <c r="AD819" s="298"/>
      <c r="AE819" s="298"/>
      <c r="AF819" s="298"/>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row>
    <row r="820">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98"/>
      <c r="W820" s="298"/>
      <c r="X820" s="298"/>
      <c r="Y820" s="298"/>
      <c r="Z820" s="298"/>
      <c r="AA820" s="298"/>
      <c r="AB820" s="298"/>
      <c r="AC820" s="298"/>
      <c r="AD820" s="298"/>
      <c r="AE820" s="298"/>
      <c r="AF820" s="298"/>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row>
    <row r="82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98"/>
      <c r="W821" s="298"/>
      <c r="X821" s="298"/>
      <c r="Y821" s="298"/>
      <c r="Z821" s="298"/>
      <c r="AA821" s="298"/>
      <c r="AB821" s="298"/>
      <c r="AC821" s="298"/>
      <c r="AD821" s="298"/>
      <c r="AE821" s="298"/>
      <c r="AF821" s="298"/>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row>
    <row r="822">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98"/>
      <c r="W822" s="298"/>
      <c r="X822" s="298"/>
      <c r="Y822" s="298"/>
      <c r="Z822" s="298"/>
      <c r="AA822" s="298"/>
      <c r="AB822" s="298"/>
      <c r="AC822" s="298"/>
      <c r="AD822" s="298"/>
      <c r="AE822" s="298"/>
      <c r="AF822" s="298"/>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row>
    <row r="823">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98"/>
      <c r="W823" s="298"/>
      <c r="X823" s="298"/>
      <c r="Y823" s="298"/>
      <c r="Z823" s="298"/>
      <c r="AA823" s="298"/>
      <c r="AB823" s="298"/>
      <c r="AC823" s="298"/>
      <c r="AD823" s="298"/>
      <c r="AE823" s="298"/>
      <c r="AF823" s="298"/>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row>
    <row r="824">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98"/>
      <c r="W824" s="298"/>
      <c r="X824" s="298"/>
      <c r="Y824" s="298"/>
      <c r="Z824" s="298"/>
      <c r="AA824" s="298"/>
      <c r="AB824" s="298"/>
      <c r="AC824" s="298"/>
      <c r="AD824" s="298"/>
      <c r="AE824" s="298"/>
      <c r="AF824" s="298"/>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row>
    <row r="825">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98"/>
      <c r="W825" s="298"/>
      <c r="X825" s="298"/>
      <c r="Y825" s="298"/>
      <c r="Z825" s="298"/>
      <c r="AA825" s="298"/>
      <c r="AB825" s="298"/>
      <c r="AC825" s="298"/>
      <c r="AD825" s="298"/>
      <c r="AE825" s="298"/>
      <c r="AF825" s="298"/>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row>
    <row r="826">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98"/>
      <c r="W826" s="298"/>
      <c r="X826" s="298"/>
      <c r="Y826" s="298"/>
      <c r="Z826" s="298"/>
      <c r="AA826" s="298"/>
      <c r="AB826" s="298"/>
      <c r="AC826" s="298"/>
      <c r="AD826" s="298"/>
      <c r="AE826" s="298"/>
      <c r="AF826" s="298"/>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row>
    <row r="827">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98"/>
      <c r="W827" s="298"/>
      <c r="X827" s="298"/>
      <c r="Y827" s="298"/>
      <c r="Z827" s="298"/>
      <c r="AA827" s="298"/>
      <c r="AB827" s="298"/>
      <c r="AC827" s="298"/>
      <c r="AD827" s="298"/>
      <c r="AE827" s="298"/>
      <c r="AF827" s="298"/>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row>
    <row r="828">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98"/>
      <c r="W828" s="298"/>
      <c r="X828" s="298"/>
      <c r="Y828" s="298"/>
      <c r="Z828" s="298"/>
      <c r="AA828" s="298"/>
      <c r="AB828" s="298"/>
      <c r="AC828" s="298"/>
      <c r="AD828" s="298"/>
      <c r="AE828" s="298"/>
      <c r="AF828" s="298"/>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row>
    <row r="829">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98"/>
      <c r="W829" s="298"/>
      <c r="X829" s="298"/>
      <c r="Y829" s="298"/>
      <c r="Z829" s="298"/>
      <c r="AA829" s="298"/>
      <c r="AB829" s="298"/>
      <c r="AC829" s="298"/>
      <c r="AD829" s="298"/>
      <c r="AE829" s="298"/>
      <c r="AF829" s="298"/>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row>
    <row r="830">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98"/>
      <c r="W830" s="298"/>
      <c r="X830" s="298"/>
      <c r="Y830" s="298"/>
      <c r="Z830" s="298"/>
      <c r="AA830" s="298"/>
      <c r="AB830" s="298"/>
      <c r="AC830" s="298"/>
      <c r="AD830" s="298"/>
      <c r="AE830" s="298"/>
      <c r="AF830" s="298"/>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row>
    <row r="83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98"/>
      <c r="W831" s="298"/>
      <c r="X831" s="298"/>
      <c r="Y831" s="298"/>
      <c r="Z831" s="298"/>
      <c r="AA831" s="298"/>
      <c r="AB831" s="298"/>
      <c r="AC831" s="298"/>
      <c r="AD831" s="298"/>
      <c r="AE831" s="298"/>
      <c r="AF831" s="298"/>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row>
    <row r="832">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98"/>
      <c r="W832" s="298"/>
      <c r="X832" s="298"/>
      <c r="Y832" s="298"/>
      <c r="Z832" s="298"/>
      <c r="AA832" s="298"/>
      <c r="AB832" s="298"/>
      <c r="AC832" s="298"/>
      <c r="AD832" s="298"/>
      <c r="AE832" s="298"/>
      <c r="AF832" s="298"/>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row>
    <row r="833">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98"/>
      <c r="W833" s="298"/>
      <c r="X833" s="298"/>
      <c r="Y833" s="298"/>
      <c r="Z833" s="298"/>
      <c r="AA833" s="298"/>
      <c r="AB833" s="298"/>
      <c r="AC833" s="298"/>
      <c r="AD833" s="298"/>
      <c r="AE833" s="298"/>
      <c r="AF833" s="298"/>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row>
    <row r="834">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98"/>
      <c r="W834" s="298"/>
      <c r="X834" s="298"/>
      <c r="Y834" s="298"/>
      <c r="Z834" s="298"/>
      <c r="AA834" s="298"/>
      <c r="AB834" s="298"/>
      <c r="AC834" s="298"/>
      <c r="AD834" s="298"/>
      <c r="AE834" s="298"/>
      <c r="AF834" s="298"/>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row>
    <row r="835">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98"/>
      <c r="W835" s="298"/>
      <c r="X835" s="298"/>
      <c r="Y835" s="298"/>
      <c r="Z835" s="298"/>
      <c r="AA835" s="298"/>
      <c r="AB835" s="298"/>
      <c r="AC835" s="298"/>
      <c r="AD835" s="298"/>
      <c r="AE835" s="298"/>
      <c r="AF835" s="298"/>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row>
    <row r="836">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98"/>
      <c r="W836" s="298"/>
      <c r="X836" s="298"/>
      <c r="Y836" s="298"/>
      <c r="Z836" s="298"/>
      <c r="AA836" s="298"/>
      <c r="AB836" s="298"/>
      <c r="AC836" s="298"/>
      <c r="AD836" s="298"/>
      <c r="AE836" s="298"/>
      <c r="AF836" s="298"/>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row>
    <row r="837">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98"/>
      <c r="W837" s="298"/>
      <c r="X837" s="298"/>
      <c r="Y837" s="298"/>
      <c r="Z837" s="298"/>
      <c r="AA837" s="298"/>
      <c r="AB837" s="298"/>
      <c r="AC837" s="298"/>
      <c r="AD837" s="298"/>
      <c r="AE837" s="298"/>
      <c r="AF837" s="298"/>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row>
    <row r="838">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98"/>
      <c r="W838" s="298"/>
      <c r="X838" s="298"/>
      <c r="Y838" s="298"/>
      <c r="Z838" s="298"/>
      <c r="AA838" s="298"/>
      <c r="AB838" s="298"/>
      <c r="AC838" s="298"/>
      <c r="AD838" s="298"/>
      <c r="AE838" s="298"/>
      <c r="AF838" s="298"/>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row>
    <row r="839">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98"/>
      <c r="W839" s="298"/>
      <c r="X839" s="298"/>
      <c r="Y839" s="298"/>
      <c r="Z839" s="298"/>
      <c r="AA839" s="298"/>
      <c r="AB839" s="298"/>
      <c r="AC839" s="298"/>
      <c r="AD839" s="298"/>
      <c r="AE839" s="298"/>
      <c r="AF839" s="298"/>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row>
    <row r="840">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98"/>
      <c r="W840" s="298"/>
      <c r="X840" s="298"/>
      <c r="Y840" s="298"/>
      <c r="Z840" s="298"/>
      <c r="AA840" s="298"/>
      <c r="AB840" s="298"/>
      <c r="AC840" s="298"/>
      <c r="AD840" s="298"/>
      <c r="AE840" s="298"/>
      <c r="AF840" s="298"/>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row>
    <row r="84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98"/>
      <c r="W841" s="298"/>
      <c r="X841" s="298"/>
      <c r="Y841" s="298"/>
      <c r="Z841" s="298"/>
      <c r="AA841" s="298"/>
      <c r="AB841" s="298"/>
      <c r="AC841" s="298"/>
      <c r="AD841" s="298"/>
      <c r="AE841" s="298"/>
      <c r="AF841" s="298"/>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row>
    <row r="842">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98"/>
      <c r="W842" s="298"/>
      <c r="X842" s="298"/>
      <c r="Y842" s="298"/>
      <c r="Z842" s="298"/>
      <c r="AA842" s="298"/>
      <c r="AB842" s="298"/>
      <c r="AC842" s="298"/>
      <c r="AD842" s="298"/>
      <c r="AE842" s="298"/>
      <c r="AF842" s="298"/>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row>
    <row r="843">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98"/>
      <c r="W843" s="298"/>
      <c r="X843" s="298"/>
      <c r="Y843" s="298"/>
      <c r="Z843" s="298"/>
      <c r="AA843" s="298"/>
      <c r="AB843" s="298"/>
      <c r="AC843" s="298"/>
      <c r="AD843" s="298"/>
      <c r="AE843" s="298"/>
      <c r="AF843" s="298"/>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row>
    <row r="844">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98"/>
      <c r="W844" s="298"/>
      <c r="X844" s="298"/>
      <c r="Y844" s="298"/>
      <c r="Z844" s="298"/>
      <c r="AA844" s="298"/>
      <c r="AB844" s="298"/>
      <c r="AC844" s="298"/>
      <c r="AD844" s="298"/>
      <c r="AE844" s="298"/>
      <c r="AF844" s="298"/>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row>
    <row r="845">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98"/>
      <c r="W845" s="298"/>
      <c r="X845" s="298"/>
      <c r="Y845" s="298"/>
      <c r="Z845" s="298"/>
      <c r="AA845" s="298"/>
      <c r="AB845" s="298"/>
      <c r="AC845" s="298"/>
      <c r="AD845" s="298"/>
      <c r="AE845" s="298"/>
      <c r="AF845" s="298"/>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row>
    <row r="846">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98"/>
      <c r="W846" s="298"/>
      <c r="X846" s="298"/>
      <c r="Y846" s="298"/>
      <c r="Z846" s="298"/>
      <c r="AA846" s="298"/>
      <c r="AB846" s="298"/>
      <c r="AC846" s="298"/>
      <c r="AD846" s="298"/>
      <c r="AE846" s="298"/>
      <c r="AF846" s="298"/>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row>
    <row r="847">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98"/>
      <c r="W847" s="298"/>
      <c r="X847" s="298"/>
      <c r="Y847" s="298"/>
      <c r="Z847" s="298"/>
      <c r="AA847" s="298"/>
      <c r="AB847" s="298"/>
      <c r="AC847" s="298"/>
      <c r="AD847" s="298"/>
      <c r="AE847" s="298"/>
      <c r="AF847" s="298"/>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row>
    <row r="848">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98"/>
      <c r="W848" s="298"/>
      <c r="X848" s="298"/>
      <c r="Y848" s="298"/>
      <c r="Z848" s="298"/>
      <c r="AA848" s="298"/>
      <c r="AB848" s="298"/>
      <c r="AC848" s="298"/>
      <c r="AD848" s="298"/>
      <c r="AE848" s="298"/>
      <c r="AF848" s="298"/>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row>
    <row r="849">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98"/>
      <c r="W849" s="298"/>
      <c r="X849" s="298"/>
      <c r="Y849" s="298"/>
      <c r="Z849" s="298"/>
      <c r="AA849" s="298"/>
      <c r="AB849" s="298"/>
      <c r="AC849" s="298"/>
      <c r="AD849" s="298"/>
      <c r="AE849" s="298"/>
      <c r="AF849" s="298"/>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row>
    <row r="850">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98"/>
      <c r="W850" s="298"/>
      <c r="X850" s="298"/>
      <c r="Y850" s="298"/>
      <c r="Z850" s="298"/>
      <c r="AA850" s="298"/>
      <c r="AB850" s="298"/>
      <c r="AC850" s="298"/>
      <c r="AD850" s="298"/>
      <c r="AE850" s="298"/>
      <c r="AF850" s="298"/>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row>
    <row r="85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98"/>
      <c r="W851" s="298"/>
      <c r="X851" s="298"/>
      <c r="Y851" s="298"/>
      <c r="Z851" s="298"/>
      <c r="AA851" s="298"/>
      <c r="AB851" s="298"/>
      <c r="AC851" s="298"/>
      <c r="AD851" s="298"/>
      <c r="AE851" s="298"/>
      <c r="AF851" s="298"/>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row>
    <row r="852">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98"/>
      <c r="W852" s="298"/>
      <c r="X852" s="298"/>
      <c r="Y852" s="298"/>
      <c r="Z852" s="298"/>
      <c r="AA852" s="298"/>
      <c r="AB852" s="298"/>
      <c r="AC852" s="298"/>
      <c r="AD852" s="298"/>
      <c r="AE852" s="298"/>
      <c r="AF852" s="298"/>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row>
    <row r="853">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98"/>
      <c r="W853" s="298"/>
      <c r="X853" s="298"/>
      <c r="Y853" s="298"/>
      <c r="Z853" s="298"/>
      <c r="AA853" s="298"/>
      <c r="AB853" s="298"/>
      <c r="AC853" s="298"/>
      <c r="AD853" s="298"/>
      <c r="AE853" s="298"/>
      <c r="AF853" s="298"/>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row>
    <row r="854">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98"/>
      <c r="W854" s="298"/>
      <c r="X854" s="298"/>
      <c r="Y854" s="298"/>
      <c r="Z854" s="298"/>
      <c r="AA854" s="298"/>
      <c r="AB854" s="298"/>
      <c r="AC854" s="298"/>
      <c r="AD854" s="298"/>
      <c r="AE854" s="298"/>
      <c r="AF854" s="298"/>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row>
    <row r="855">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98"/>
      <c r="W855" s="298"/>
      <c r="X855" s="298"/>
      <c r="Y855" s="298"/>
      <c r="Z855" s="298"/>
      <c r="AA855" s="298"/>
      <c r="AB855" s="298"/>
      <c r="AC855" s="298"/>
      <c r="AD855" s="298"/>
      <c r="AE855" s="298"/>
      <c r="AF855" s="298"/>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row>
    <row r="856">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98"/>
      <c r="W856" s="298"/>
      <c r="X856" s="298"/>
      <c r="Y856" s="298"/>
      <c r="Z856" s="298"/>
      <c r="AA856" s="298"/>
      <c r="AB856" s="298"/>
      <c r="AC856" s="298"/>
      <c r="AD856" s="298"/>
      <c r="AE856" s="298"/>
      <c r="AF856" s="298"/>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row>
    <row r="857">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98"/>
      <c r="W857" s="298"/>
      <c r="X857" s="298"/>
      <c r="Y857" s="298"/>
      <c r="Z857" s="298"/>
      <c r="AA857" s="298"/>
      <c r="AB857" s="298"/>
      <c r="AC857" s="298"/>
      <c r="AD857" s="298"/>
      <c r="AE857" s="298"/>
      <c r="AF857" s="298"/>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row>
    <row r="858">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98"/>
      <c r="W858" s="298"/>
      <c r="X858" s="298"/>
      <c r="Y858" s="298"/>
      <c r="Z858" s="298"/>
      <c r="AA858" s="298"/>
      <c r="AB858" s="298"/>
      <c r="AC858" s="298"/>
      <c r="AD858" s="298"/>
      <c r="AE858" s="298"/>
      <c r="AF858" s="298"/>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row>
    <row r="859">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98"/>
      <c r="W859" s="298"/>
      <c r="X859" s="298"/>
      <c r="Y859" s="298"/>
      <c r="Z859" s="298"/>
      <c r="AA859" s="298"/>
      <c r="AB859" s="298"/>
      <c r="AC859" s="298"/>
      <c r="AD859" s="298"/>
      <c r="AE859" s="298"/>
      <c r="AF859" s="298"/>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row>
    <row r="860">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98"/>
      <c r="W860" s="298"/>
      <c r="X860" s="298"/>
      <c r="Y860" s="298"/>
      <c r="Z860" s="298"/>
      <c r="AA860" s="298"/>
      <c r="AB860" s="298"/>
      <c r="AC860" s="298"/>
      <c r="AD860" s="298"/>
      <c r="AE860" s="298"/>
      <c r="AF860" s="298"/>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row>
    <row r="86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98"/>
      <c r="W861" s="298"/>
      <c r="X861" s="298"/>
      <c r="Y861" s="298"/>
      <c r="Z861" s="298"/>
      <c r="AA861" s="298"/>
      <c r="AB861" s="298"/>
      <c r="AC861" s="298"/>
      <c r="AD861" s="298"/>
      <c r="AE861" s="298"/>
      <c r="AF861" s="298"/>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row>
    <row r="862">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98"/>
      <c r="W862" s="298"/>
      <c r="X862" s="298"/>
      <c r="Y862" s="298"/>
      <c r="Z862" s="298"/>
      <c r="AA862" s="298"/>
      <c r="AB862" s="298"/>
      <c r="AC862" s="298"/>
      <c r="AD862" s="298"/>
      <c r="AE862" s="298"/>
      <c r="AF862" s="298"/>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row>
    <row r="863">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98"/>
      <c r="W863" s="298"/>
      <c r="X863" s="298"/>
      <c r="Y863" s="298"/>
      <c r="Z863" s="298"/>
      <c r="AA863" s="298"/>
      <c r="AB863" s="298"/>
      <c r="AC863" s="298"/>
      <c r="AD863" s="298"/>
      <c r="AE863" s="298"/>
      <c r="AF863" s="298"/>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row>
    <row r="864">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98"/>
      <c r="W864" s="298"/>
      <c r="X864" s="298"/>
      <c r="Y864" s="298"/>
      <c r="Z864" s="298"/>
      <c r="AA864" s="298"/>
      <c r="AB864" s="298"/>
      <c r="AC864" s="298"/>
      <c r="AD864" s="298"/>
      <c r="AE864" s="298"/>
      <c r="AF864" s="298"/>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row>
    <row r="865">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98"/>
      <c r="W865" s="298"/>
      <c r="X865" s="298"/>
      <c r="Y865" s="298"/>
      <c r="Z865" s="298"/>
      <c r="AA865" s="298"/>
      <c r="AB865" s="298"/>
      <c r="AC865" s="298"/>
      <c r="AD865" s="298"/>
      <c r="AE865" s="298"/>
      <c r="AF865" s="298"/>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row>
    <row r="866">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98"/>
      <c r="W866" s="298"/>
      <c r="X866" s="298"/>
      <c r="Y866" s="298"/>
      <c r="Z866" s="298"/>
      <c r="AA866" s="298"/>
      <c r="AB866" s="298"/>
      <c r="AC866" s="298"/>
      <c r="AD866" s="298"/>
      <c r="AE866" s="298"/>
      <c r="AF866" s="298"/>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row>
    <row r="867">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98"/>
      <c r="W867" s="298"/>
      <c r="X867" s="298"/>
      <c r="Y867" s="298"/>
      <c r="Z867" s="298"/>
      <c r="AA867" s="298"/>
      <c r="AB867" s="298"/>
      <c r="AC867" s="298"/>
      <c r="AD867" s="298"/>
      <c r="AE867" s="298"/>
      <c r="AF867" s="298"/>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row>
    <row r="868">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98"/>
      <c r="W868" s="298"/>
      <c r="X868" s="298"/>
      <c r="Y868" s="298"/>
      <c r="Z868" s="298"/>
      <c r="AA868" s="298"/>
      <c r="AB868" s="298"/>
      <c r="AC868" s="298"/>
      <c r="AD868" s="298"/>
      <c r="AE868" s="298"/>
      <c r="AF868" s="298"/>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row>
    <row r="869">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98"/>
      <c r="W869" s="298"/>
      <c r="X869" s="298"/>
      <c r="Y869" s="298"/>
      <c r="Z869" s="298"/>
      <c r="AA869" s="298"/>
      <c r="AB869" s="298"/>
      <c r="AC869" s="298"/>
      <c r="AD869" s="298"/>
      <c r="AE869" s="298"/>
      <c r="AF869" s="298"/>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row>
    <row r="870">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98"/>
      <c r="W870" s="298"/>
      <c r="X870" s="298"/>
      <c r="Y870" s="298"/>
      <c r="Z870" s="298"/>
      <c r="AA870" s="298"/>
      <c r="AB870" s="298"/>
      <c r="AC870" s="298"/>
      <c r="AD870" s="298"/>
      <c r="AE870" s="298"/>
      <c r="AF870" s="298"/>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row>
    <row r="87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98"/>
      <c r="W871" s="298"/>
      <c r="X871" s="298"/>
      <c r="Y871" s="298"/>
      <c r="Z871" s="298"/>
      <c r="AA871" s="298"/>
      <c r="AB871" s="298"/>
      <c r="AC871" s="298"/>
      <c r="AD871" s="298"/>
      <c r="AE871" s="298"/>
      <c r="AF871" s="298"/>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row>
    <row r="872">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98"/>
      <c r="W872" s="298"/>
      <c r="X872" s="298"/>
      <c r="Y872" s="298"/>
      <c r="Z872" s="298"/>
      <c r="AA872" s="298"/>
      <c r="AB872" s="298"/>
      <c r="AC872" s="298"/>
      <c r="AD872" s="298"/>
      <c r="AE872" s="298"/>
      <c r="AF872" s="298"/>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row>
    <row r="873">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98"/>
      <c r="W873" s="298"/>
      <c r="X873" s="298"/>
      <c r="Y873" s="298"/>
      <c r="Z873" s="298"/>
      <c r="AA873" s="298"/>
      <c r="AB873" s="298"/>
      <c r="AC873" s="298"/>
      <c r="AD873" s="298"/>
      <c r="AE873" s="298"/>
      <c r="AF873" s="298"/>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row>
    <row r="874">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98"/>
      <c r="W874" s="298"/>
      <c r="X874" s="298"/>
      <c r="Y874" s="298"/>
      <c r="Z874" s="298"/>
      <c r="AA874" s="298"/>
      <c r="AB874" s="298"/>
      <c r="AC874" s="298"/>
      <c r="AD874" s="298"/>
      <c r="AE874" s="298"/>
      <c r="AF874" s="298"/>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row>
    <row r="875">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98"/>
      <c r="W875" s="298"/>
      <c r="X875" s="298"/>
      <c r="Y875" s="298"/>
      <c r="Z875" s="298"/>
      <c r="AA875" s="298"/>
      <c r="AB875" s="298"/>
      <c r="AC875" s="298"/>
      <c r="AD875" s="298"/>
      <c r="AE875" s="298"/>
      <c r="AF875" s="298"/>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row>
    <row r="876">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98"/>
      <c r="W876" s="298"/>
      <c r="X876" s="298"/>
      <c r="Y876" s="298"/>
      <c r="Z876" s="298"/>
      <c r="AA876" s="298"/>
      <c r="AB876" s="298"/>
      <c r="AC876" s="298"/>
      <c r="AD876" s="298"/>
      <c r="AE876" s="298"/>
      <c r="AF876" s="298"/>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row>
    <row r="877">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98"/>
      <c r="W877" s="298"/>
      <c r="X877" s="298"/>
      <c r="Y877" s="298"/>
      <c r="Z877" s="298"/>
      <c r="AA877" s="298"/>
      <c r="AB877" s="298"/>
      <c r="AC877" s="298"/>
      <c r="AD877" s="298"/>
      <c r="AE877" s="298"/>
      <c r="AF877" s="298"/>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row>
    <row r="878">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98"/>
      <c r="W878" s="298"/>
      <c r="X878" s="298"/>
      <c r="Y878" s="298"/>
      <c r="Z878" s="298"/>
      <c r="AA878" s="298"/>
      <c r="AB878" s="298"/>
      <c r="AC878" s="298"/>
      <c r="AD878" s="298"/>
      <c r="AE878" s="298"/>
      <c r="AF878" s="298"/>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row>
    <row r="879">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98"/>
      <c r="W879" s="298"/>
      <c r="X879" s="298"/>
      <c r="Y879" s="298"/>
      <c r="Z879" s="298"/>
      <c r="AA879" s="298"/>
      <c r="AB879" s="298"/>
      <c r="AC879" s="298"/>
      <c r="AD879" s="298"/>
      <c r="AE879" s="298"/>
      <c r="AF879" s="298"/>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row>
    <row r="880">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98"/>
      <c r="W880" s="298"/>
      <c r="X880" s="298"/>
      <c r="Y880" s="298"/>
      <c r="Z880" s="298"/>
      <c r="AA880" s="298"/>
      <c r="AB880" s="298"/>
      <c r="AC880" s="298"/>
      <c r="AD880" s="298"/>
      <c r="AE880" s="298"/>
      <c r="AF880" s="298"/>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row>
    <row r="88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98"/>
      <c r="W881" s="298"/>
      <c r="X881" s="298"/>
      <c r="Y881" s="298"/>
      <c r="Z881" s="298"/>
      <c r="AA881" s="298"/>
      <c r="AB881" s="298"/>
      <c r="AC881" s="298"/>
      <c r="AD881" s="298"/>
      <c r="AE881" s="298"/>
      <c r="AF881" s="298"/>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row>
    <row r="882">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98"/>
      <c r="W882" s="298"/>
      <c r="X882" s="298"/>
      <c r="Y882" s="298"/>
      <c r="Z882" s="298"/>
      <c r="AA882" s="298"/>
      <c r="AB882" s="298"/>
      <c r="AC882" s="298"/>
      <c r="AD882" s="298"/>
      <c r="AE882" s="298"/>
      <c r="AF882" s="298"/>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row>
    <row r="883">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98"/>
      <c r="W883" s="298"/>
      <c r="X883" s="298"/>
      <c r="Y883" s="298"/>
      <c r="Z883" s="298"/>
      <c r="AA883" s="298"/>
      <c r="AB883" s="298"/>
      <c r="AC883" s="298"/>
      <c r="AD883" s="298"/>
      <c r="AE883" s="298"/>
      <c r="AF883" s="298"/>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row>
    <row r="884">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98"/>
      <c r="W884" s="298"/>
      <c r="X884" s="298"/>
      <c r="Y884" s="298"/>
      <c r="Z884" s="298"/>
      <c r="AA884" s="298"/>
      <c r="AB884" s="298"/>
      <c r="AC884" s="298"/>
      <c r="AD884" s="298"/>
      <c r="AE884" s="298"/>
      <c r="AF884" s="298"/>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row>
    <row r="885">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98"/>
      <c r="W885" s="298"/>
      <c r="X885" s="298"/>
      <c r="Y885" s="298"/>
      <c r="Z885" s="298"/>
      <c r="AA885" s="298"/>
      <c r="AB885" s="298"/>
      <c r="AC885" s="298"/>
      <c r="AD885" s="298"/>
      <c r="AE885" s="298"/>
      <c r="AF885" s="298"/>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row>
    <row r="886">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98"/>
      <c r="W886" s="298"/>
      <c r="X886" s="298"/>
      <c r="Y886" s="298"/>
      <c r="Z886" s="298"/>
      <c r="AA886" s="298"/>
      <c r="AB886" s="298"/>
      <c r="AC886" s="298"/>
      <c r="AD886" s="298"/>
      <c r="AE886" s="298"/>
      <c r="AF886" s="298"/>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row>
    <row r="887">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98"/>
      <c r="W887" s="298"/>
      <c r="X887" s="298"/>
      <c r="Y887" s="298"/>
      <c r="Z887" s="298"/>
      <c r="AA887" s="298"/>
      <c r="AB887" s="298"/>
      <c r="AC887" s="298"/>
      <c r="AD887" s="298"/>
      <c r="AE887" s="298"/>
      <c r="AF887" s="298"/>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row>
    <row r="888">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98"/>
      <c r="W888" s="298"/>
      <c r="X888" s="298"/>
      <c r="Y888" s="298"/>
      <c r="Z888" s="298"/>
      <c r="AA888" s="298"/>
      <c r="AB888" s="298"/>
      <c r="AC888" s="298"/>
      <c r="AD888" s="298"/>
      <c r="AE888" s="298"/>
      <c r="AF888" s="298"/>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row>
    <row r="889">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98"/>
      <c r="W889" s="298"/>
      <c r="X889" s="298"/>
      <c r="Y889" s="298"/>
      <c r="Z889" s="298"/>
      <c r="AA889" s="298"/>
      <c r="AB889" s="298"/>
      <c r="AC889" s="298"/>
      <c r="AD889" s="298"/>
      <c r="AE889" s="298"/>
      <c r="AF889" s="298"/>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row>
    <row r="890">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98"/>
      <c r="W890" s="298"/>
      <c r="X890" s="298"/>
      <c r="Y890" s="298"/>
      <c r="Z890" s="298"/>
      <c r="AA890" s="298"/>
      <c r="AB890" s="298"/>
      <c r="AC890" s="298"/>
      <c r="AD890" s="298"/>
      <c r="AE890" s="298"/>
      <c r="AF890" s="298"/>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row>
    <row r="89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98"/>
      <c r="W891" s="298"/>
      <c r="X891" s="298"/>
      <c r="Y891" s="298"/>
      <c r="Z891" s="298"/>
      <c r="AA891" s="298"/>
      <c r="AB891" s="298"/>
      <c r="AC891" s="298"/>
      <c r="AD891" s="298"/>
      <c r="AE891" s="298"/>
      <c r="AF891" s="298"/>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row>
    <row r="892">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98"/>
      <c r="W892" s="298"/>
      <c r="X892" s="298"/>
      <c r="Y892" s="298"/>
      <c r="Z892" s="298"/>
      <c r="AA892" s="298"/>
      <c r="AB892" s="298"/>
      <c r="AC892" s="298"/>
      <c r="AD892" s="298"/>
      <c r="AE892" s="298"/>
      <c r="AF892" s="298"/>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row>
    <row r="893">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98"/>
      <c r="W893" s="298"/>
      <c r="X893" s="298"/>
      <c r="Y893" s="298"/>
      <c r="Z893" s="298"/>
      <c r="AA893" s="298"/>
      <c r="AB893" s="298"/>
      <c r="AC893" s="298"/>
      <c r="AD893" s="298"/>
      <c r="AE893" s="298"/>
      <c r="AF893" s="298"/>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row>
    <row r="894">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98"/>
      <c r="W894" s="298"/>
      <c r="X894" s="298"/>
      <c r="Y894" s="298"/>
      <c r="Z894" s="298"/>
      <c r="AA894" s="298"/>
      <c r="AB894" s="298"/>
      <c r="AC894" s="298"/>
      <c r="AD894" s="298"/>
      <c r="AE894" s="298"/>
      <c r="AF894" s="298"/>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row>
    <row r="895">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98"/>
      <c r="W895" s="298"/>
      <c r="X895" s="298"/>
      <c r="Y895" s="298"/>
      <c r="Z895" s="298"/>
      <c r="AA895" s="298"/>
      <c r="AB895" s="298"/>
      <c r="AC895" s="298"/>
      <c r="AD895" s="298"/>
      <c r="AE895" s="298"/>
      <c r="AF895" s="298"/>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row>
    <row r="896">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98"/>
      <c r="W896" s="298"/>
      <c r="X896" s="298"/>
      <c r="Y896" s="298"/>
      <c r="Z896" s="298"/>
      <c r="AA896" s="298"/>
      <c r="AB896" s="298"/>
      <c r="AC896" s="298"/>
      <c r="AD896" s="298"/>
      <c r="AE896" s="298"/>
      <c r="AF896" s="298"/>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row>
    <row r="897">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98"/>
      <c r="W897" s="298"/>
      <c r="X897" s="298"/>
      <c r="Y897" s="298"/>
      <c r="Z897" s="298"/>
      <c r="AA897" s="298"/>
      <c r="AB897" s="298"/>
      <c r="AC897" s="298"/>
      <c r="AD897" s="298"/>
      <c r="AE897" s="298"/>
      <c r="AF897" s="298"/>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row>
    <row r="898">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98"/>
      <c r="W898" s="298"/>
      <c r="X898" s="298"/>
      <c r="Y898" s="298"/>
      <c r="Z898" s="298"/>
      <c r="AA898" s="298"/>
      <c r="AB898" s="298"/>
      <c r="AC898" s="298"/>
      <c r="AD898" s="298"/>
      <c r="AE898" s="298"/>
      <c r="AF898" s="298"/>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row>
    <row r="899">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98"/>
      <c r="W899" s="298"/>
      <c r="X899" s="298"/>
      <c r="Y899" s="298"/>
      <c r="Z899" s="298"/>
      <c r="AA899" s="298"/>
      <c r="AB899" s="298"/>
      <c r="AC899" s="298"/>
      <c r="AD899" s="298"/>
      <c r="AE899" s="298"/>
      <c r="AF899" s="298"/>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row>
    <row r="900">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98"/>
      <c r="W900" s="298"/>
      <c r="X900" s="298"/>
      <c r="Y900" s="298"/>
      <c r="Z900" s="298"/>
      <c r="AA900" s="298"/>
      <c r="AB900" s="298"/>
      <c r="AC900" s="298"/>
      <c r="AD900" s="298"/>
      <c r="AE900" s="298"/>
      <c r="AF900" s="298"/>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row>
    <row r="90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98"/>
      <c r="W901" s="298"/>
      <c r="X901" s="298"/>
      <c r="Y901" s="298"/>
      <c r="Z901" s="298"/>
      <c r="AA901" s="298"/>
      <c r="AB901" s="298"/>
      <c r="AC901" s="298"/>
      <c r="AD901" s="298"/>
      <c r="AE901" s="298"/>
      <c r="AF901" s="298"/>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row>
    <row r="902">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98"/>
      <c r="W902" s="298"/>
      <c r="X902" s="298"/>
      <c r="Y902" s="298"/>
      <c r="Z902" s="298"/>
      <c r="AA902" s="298"/>
      <c r="AB902" s="298"/>
      <c r="AC902" s="298"/>
      <c r="AD902" s="298"/>
      <c r="AE902" s="298"/>
      <c r="AF902" s="298"/>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row>
    <row r="903">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98"/>
      <c r="W903" s="298"/>
      <c r="X903" s="298"/>
      <c r="Y903" s="298"/>
      <c r="Z903" s="298"/>
      <c r="AA903" s="298"/>
      <c r="AB903" s="298"/>
      <c r="AC903" s="298"/>
      <c r="AD903" s="298"/>
      <c r="AE903" s="298"/>
      <c r="AF903" s="298"/>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row>
    <row r="904">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98"/>
      <c r="W904" s="298"/>
      <c r="X904" s="298"/>
      <c r="Y904" s="298"/>
      <c r="Z904" s="298"/>
      <c r="AA904" s="298"/>
      <c r="AB904" s="298"/>
      <c r="AC904" s="298"/>
      <c r="AD904" s="298"/>
      <c r="AE904" s="298"/>
      <c r="AF904" s="298"/>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row>
    <row r="905">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98"/>
      <c r="W905" s="298"/>
      <c r="X905" s="298"/>
      <c r="Y905" s="298"/>
      <c r="Z905" s="298"/>
      <c r="AA905" s="298"/>
      <c r="AB905" s="298"/>
      <c r="AC905" s="298"/>
      <c r="AD905" s="298"/>
      <c r="AE905" s="298"/>
      <c r="AF905" s="298"/>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row>
    <row r="906">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98"/>
      <c r="W906" s="298"/>
      <c r="X906" s="298"/>
      <c r="Y906" s="298"/>
      <c r="Z906" s="298"/>
      <c r="AA906" s="298"/>
      <c r="AB906" s="298"/>
      <c r="AC906" s="298"/>
      <c r="AD906" s="298"/>
      <c r="AE906" s="298"/>
      <c r="AF906" s="298"/>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row>
    <row r="907">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98"/>
      <c r="W907" s="298"/>
      <c r="X907" s="298"/>
      <c r="Y907" s="298"/>
      <c r="Z907" s="298"/>
      <c r="AA907" s="298"/>
      <c r="AB907" s="298"/>
      <c r="AC907" s="298"/>
      <c r="AD907" s="298"/>
      <c r="AE907" s="298"/>
      <c r="AF907" s="298"/>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row>
    <row r="908">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98"/>
      <c r="W908" s="298"/>
      <c r="X908" s="298"/>
      <c r="Y908" s="298"/>
      <c r="Z908" s="298"/>
      <c r="AA908" s="298"/>
      <c r="AB908" s="298"/>
      <c r="AC908" s="298"/>
      <c r="AD908" s="298"/>
      <c r="AE908" s="298"/>
      <c r="AF908" s="298"/>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row>
    <row r="909">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98"/>
      <c r="W909" s="298"/>
      <c r="X909" s="298"/>
      <c r="Y909" s="298"/>
      <c r="Z909" s="298"/>
      <c r="AA909" s="298"/>
      <c r="AB909" s="298"/>
      <c r="AC909" s="298"/>
      <c r="AD909" s="298"/>
      <c r="AE909" s="298"/>
      <c r="AF909" s="298"/>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row>
    <row r="910">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98"/>
      <c r="W910" s="298"/>
      <c r="X910" s="298"/>
      <c r="Y910" s="298"/>
      <c r="Z910" s="298"/>
      <c r="AA910" s="298"/>
      <c r="AB910" s="298"/>
      <c r="AC910" s="298"/>
      <c r="AD910" s="298"/>
      <c r="AE910" s="298"/>
      <c r="AF910" s="298"/>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row>
    <row r="91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98"/>
      <c r="W911" s="298"/>
      <c r="X911" s="298"/>
      <c r="Y911" s="298"/>
      <c r="Z911" s="298"/>
      <c r="AA911" s="298"/>
      <c r="AB911" s="298"/>
      <c r="AC911" s="298"/>
      <c r="AD911" s="298"/>
      <c r="AE911" s="298"/>
      <c r="AF911" s="298"/>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row>
    <row r="912">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98"/>
      <c r="W912" s="298"/>
      <c r="X912" s="298"/>
      <c r="Y912" s="298"/>
      <c r="Z912" s="298"/>
      <c r="AA912" s="298"/>
      <c r="AB912" s="298"/>
      <c r="AC912" s="298"/>
      <c r="AD912" s="298"/>
      <c r="AE912" s="298"/>
      <c r="AF912" s="298"/>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row>
    <row r="913">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98"/>
      <c r="W913" s="298"/>
      <c r="X913" s="298"/>
      <c r="Y913" s="298"/>
      <c r="Z913" s="298"/>
      <c r="AA913" s="298"/>
      <c r="AB913" s="298"/>
      <c r="AC913" s="298"/>
      <c r="AD913" s="298"/>
      <c r="AE913" s="298"/>
      <c r="AF913" s="298"/>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row>
    <row r="914">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98"/>
      <c r="W914" s="298"/>
      <c r="X914" s="298"/>
      <c r="Y914" s="298"/>
      <c r="Z914" s="298"/>
      <c r="AA914" s="298"/>
      <c r="AB914" s="298"/>
      <c r="AC914" s="298"/>
      <c r="AD914" s="298"/>
      <c r="AE914" s="298"/>
      <c r="AF914" s="298"/>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row>
    <row r="915">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98"/>
      <c r="W915" s="298"/>
      <c r="X915" s="298"/>
      <c r="Y915" s="298"/>
      <c r="Z915" s="298"/>
      <c r="AA915" s="298"/>
      <c r="AB915" s="298"/>
      <c r="AC915" s="298"/>
      <c r="AD915" s="298"/>
      <c r="AE915" s="298"/>
      <c r="AF915" s="298"/>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row>
    <row r="916">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98"/>
      <c r="W916" s="298"/>
      <c r="X916" s="298"/>
      <c r="Y916" s="298"/>
      <c r="Z916" s="298"/>
      <c r="AA916" s="298"/>
      <c r="AB916" s="298"/>
      <c r="AC916" s="298"/>
      <c r="AD916" s="298"/>
      <c r="AE916" s="298"/>
      <c r="AF916" s="298"/>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row>
    <row r="917">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98"/>
      <c r="W917" s="298"/>
      <c r="X917" s="298"/>
      <c r="Y917" s="298"/>
      <c r="Z917" s="298"/>
      <c r="AA917" s="298"/>
      <c r="AB917" s="298"/>
      <c r="AC917" s="298"/>
      <c r="AD917" s="298"/>
      <c r="AE917" s="298"/>
      <c r="AF917" s="298"/>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row>
    <row r="918">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98"/>
      <c r="W918" s="298"/>
      <c r="X918" s="298"/>
      <c r="Y918" s="298"/>
      <c r="Z918" s="298"/>
      <c r="AA918" s="298"/>
      <c r="AB918" s="298"/>
      <c r="AC918" s="298"/>
      <c r="AD918" s="298"/>
      <c r="AE918" s="298"/>
      <c r="AF918" s="298"/>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row>
    <row r="919">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98"/>
      <c r="W919" s="298"/>
      <c r="X919" s="298"/>
      <c r="Y919" s="298"/>
      <c r="Z919" s="298"/>
      <c r="AA919" s="298"/>
      <c r="AB919" s="298"/>
      <c r="AC919" s="298"/>
      <c r="AD919" s="298"/>
      <c r="AE919" s="298"/>
      <c r="AF919" s="298"/>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row>
    <row r="920">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98"/>
      <c r="W920" s="298"/>
      <c r="X920" s="298"/>
      <c r="Y920" s="298"/>
      <c r="Z920" s="298"/>
      <c r="AA920" s="298"/>
      <c r="AB920" s="298"/>
      <c r="AC920" s="298"/>
      <c r="AD920" s="298"/>
      <c r="AE920" s="298"/>
      <c r="AF920" s="298"/>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row>
    <row r="92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98"/>
      <c r="W921" s="298"/>
      <c r="X921" s="298"/>
      <c r="Y921" s="298"/>
      <c r="Z921" s="298"/>
      <c r="AA921" s="298"/>
      <c r="AB921" s="298"/>
      <c r="AC921" s="298"/>
      <c r="AD921" s="298"/>
      <c r="AE921" s="298"/>
      <c r="AF921" s="298"/>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row>
    <row r="922">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98"/>
      <c r="W922" s="298"/>
      <c r="X922" s="298"/>
      <c r="Y922" s="298"/>
      <c r="Z922" s="298"/>
      <c r="AA922" s="298"/>
      <c r="AB922" s="298"/>
      <c r="AC922" s="298"/>
      <c r="AD922" s="298"/>
      <c r="AE922" s="298"/>
      <c r="AF922" s="298"/>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row>
    <row r="923">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98"/>
      <c r="W923" s="298"/>
      <c r="X923" s="298"/>
      <c r="Y923" s="298"/>
      <c r="Z923" s="298"/>
      <c r="AA923" s="298"/>
      <c r="AB923" s="298"/>
      <c r="AC923" s="298"/>
      <c r="AD923" s="298"/>
      <c r="AE923" s="298"/>
      <c r="AF923" s="298"/>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row>
    <row r="924">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98"/>
      <c r="W924" s="298"/>
      <c r="X924" s="298"/>
      <c r="Y924" s="298"/>
      <c r="Z924" s="298"/>
      <c r="AA924" s="298"/>
      <c r="AB924" s="298"/>
      <c r="AC924" s="298"/>
      <c r="AD924" s="298"/>
      <c r="AE924" s="298"/>
      <c r="AF924" s="298"/>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row>
    <row r="925">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98"/>
      <c r="W925" s="298"/>
      <c r="X925" s="298"/>
      <c r="Y925" s="298"/>
      <c r="Z925" s="298"/>
      <c r="AA925" s="298"/>
      <c r="AB925" s="298"/>
      <c r="AC925" s="298"/>
      <c r="AD925" s="298"/>
      <c r="AE925" s="298"/>
      <c r="AF925" s="298"/>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row>
    <row r="926">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98"/>
      <c r="W926" s="298"/>
      <c r="X926" s="298"/>
      <c r="Y926" s="298"/>
      <c r="Z926" s="298"/>
      <c r="AA926" s="298"/>
      <c r="AB926" s="298"/>
      <c r="AC926" s="298"/>
      <c r="AD926" s="298"/>
      <c r="AE926" s="298"/>
      <c r="AF926" s="298"/>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row>
    <row r="927">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98"/>
      <c r="W927" s="298"/>
      <c r="X927" s="298"/>
      <c r="Y927" s="298"/>
      <c r="Z927" s="298"/>
      <c r="AA927" s="298"/>
      <c r="AB927" s="298"/>
      <c r="AC927" s="298"/>
      <c r="AD927" s="298"/>
      <c r="AE927" s="298"/>
      <c r="AF927" s="298"/>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row>
    <row r="928">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98"/>
      <c r="W928" s="298"/>
      <c r="X928" s="298"/>
      <c r="Y928" s="298"/>
      <c r="Z928" s="298"/>
      <c r="AA928" s="298"/>
      <c r="AB928" s="298"/>
      <c r="AC928" s="298"/>
      <c r="AD928" s="298"/>
      <c r="AE928" s="298"/>
      <c r="AF928" s="298"/>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row>
    <row r="929">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98"/>
      <c r="W929" s="298"/>
      <c r="X929" s="298"/>
      <c r="Y929" s="298"/>
      <c r="Z929" s="298"/>
      <c r="AA929" s="298"/>
      <c r="AB929" s="298"/>
      <c r="AC929" s="298"/>
      <c r="AD929" s="298"/>
      <c r="AE929" s="298"/>
      <c r="AF929" s="298"/>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row>
    <row r="930">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98"/>
      <c r="W930" s="298"/>
      <c r="X930" s="298"/>
      <c r="Y930" s="298"/>
      <c r="Z930" s="298"/>
      <c r="AA930" s="298"/>
      <c r="AB930" s="298"/>
      <c r="AC930" s="298"/>
      <c r="AD930" s="298"/>
      <c r="AE930" s="298"/>
      <c r="AF930" s="298"/>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row>
    <row r="93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98"/>
      <c r="W931" s="298"/>
      <c r="X931" s="298"/>
      <c r="Y931" s="298"/>
      <c r="Z931" s="298"/>
      <c r="AA931" s="298"/>
      <c r="AB931" s="298"/>
      <c r="AC931" s="298"/>
      <c r="AD931" s="298"/>
      <c r="AE931" s="298"/>
      <c r="AF931" s="298"/>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row>
    <row r="932">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98"/>
      <c r="W932" s="298"/>
      <c r="X932" s="298"/>
      <c r="Y932" s="298"/>
      <c r="Z932" s="298"/>
      <c r="AA932" s="298"/>
      <c r="AB932" s="298"/>
      <c r="AC932" s="298"/>
      <c r="AD932" s="298"/>
      <c r="AE932" s="298"/>
      <c r="AF932" s="298"/>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row>
    <row r="933">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98"/>
      <c r="W933" s="298"/>
      <c r="X933" s="298"/>
      <c r="Y933" s="298"/>
      <c r="Z933" s="298"/>
      <c r="AA933" s="298"/>
      <c r="AB933" s="298"/>
      <c r="AC933" s="298"/>
      <c r="AD933" s="298"/>
      <c r="AE933" s="298"/>
      <c r="AF933" s="298"/>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row>
    <row r="934">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98"/>
      <c r="W934" s="298"/>
      <c r="X934" s="298"/>
      <c r="Y934" s="298"/>
      <c r="Z934" s="298"/>
      <c r="AA934" s="298"/>
      <c r="AB934" s="298"/>
      <c r="AC934" s="298"/>
      <c r="AD934" s="298"/>
      <c r="AE934" s="298"/>
      <c r="AF934" s="298"/>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row>
    <row r="935">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98"/>
      <c r="W935" s="298"/>
      <c r="X935" s="298"/>
      <c r="Y935" s="298"/>
      <c r="Z935" s="298"/>
      <c r="AA935" s="298"/>
      <c r="AB935" s="298"/>
      <c r="AC935" s="298"/>
      <c r="AD935" s="298"/>
      <c r="AE935" s="298"/>
      <c r="AF935" s="298"/>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row>
    <row r="936">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98"/>
      <c r="W936" s="298"/>
      <c r="X936" s="298"/>
      <c r="Y936" s="298"/>
      <c r="Z936" s="298"/>
      <c r="AA936" s="298"/>
      <c r="AB936" s="298"/>
      <c r="AC936" s="298"/>
      <c r="AD936" s="298"/>
      <c r="AE936" s="298"/>
      <c r="AF936" s="298"/>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row>
    <row r="937">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98"/>
      <c r="W937" s="298"/>
      <c r="X937" s="298"/>
      <c r="Y937" s="298"/>
      <c r="Z937" s="298"/>
      <c r="AA937" s="298"/>
      <c r="AB937" s="298"/>
      <c r="AC937" s="298"/>
      <c r="AD937" s="298"/>
      <c r="AE937" s="298"/>
      <c r="AF937" s="298"/>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row>
    <row r="938">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98"/>
      <c r="W938" s="298"/>
      <c r="X938" s="298"/>
      <c r="Y938" s="298"/>
      <c r="Z938" s="298"/>
      <c r="AA938" s="298"/>
      <c r="AB938" s="298"/>
      <c r="AC938" s="298"/>
      <c r="AD938" s="298"/>
      <c r="AE938" s="298"/>
      <c r="AF938" s="298"/>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row>
    <row r="939">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98"/>
      <c r="W939" s="298"/>
      <c r="X939" s="298"/>
      <c r="Y939" s="298"/>
      <c r="Z939" s="298"/>
      <c r="AA939" s="298"/>
      <c r="AB939" s="298"/>
      <c r="AC939" s="298"/>
      <c r="AD939" s="298"/>
      <c r="AE939" s="298"/>
      <c r="AF939" s="298"/>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row>
    <row r="940">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98"/>
      <c r="W940" s="298"/>
      <c r="X940" s="298"/>
      <c r="Y940" s="298"/>
      <c r="Z940" s="298"/>
      <c r="AA940" s="298"/>
      <c r="AB940" s="298"/>
      <c r="AC940" s="298"/>
      <c r="AD940" s="298"/>
      <c r="AE940" s="298"/>
      <c r="AF940" s="298"/>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row>
    <row r="94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98"/>
      <c r="W941" s="298"/>
      <c r="X941" s="298"/>
      <c r="Y941" s="298"/>
      <c r="Z941" s="298"/>
      <c r="AA941" s="298"/>
      <c r="AB941" s="298"/>
      <c r="AC941" s="298"/>
      <c r="AD941" s="298"/>
      <c r="AE941" s="298"/>
      <c r="AF941" s="298"/>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row>
    <row r="942">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98"/>
      <c r="W942" s="298"/>
      <c r="X942" s="298"/>
      <c r="Y942" s="298"/>
      <c r="Z942" s="298"/>
      <c r="AA942" s="298"/>
      <c r="AB942" s="298"/>
      <c r="AC942" s="298"/>
      <c r="AD942" s="298"/>
      <c r="AE942" s="298"/>
      <c r="AF942" s="298"/>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row>
    <row r="943">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98"/>
      <c r="W943" s="298"/>
      <c r="X943" s="298"/>
      <c r="Y943" s="298"/>
      <c r="Z943" s="298"/>
      <c r="AA943" s="298"/>
      <c r="AB943" s="298"/>
      <c r="AC943" s="298"/>
      <c r="AD943" s="298"/>
      <c r="AE943" s="298"/>
      <c r="AF943" s="298"/>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row>
    <row r="944">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98"/>
      <c r="W944" s="298"/>
      <c r="X944" s="298"/>
      <c r="Y944" s="298"/>
      <c r="Z944" s="298"/>
      <c r="AA944" s="298"/>
      <c r="AB944" s="298"/>
      <c r="AC944" s="298"/>
      <c r="AD944" s="298"/>
      <c r="AE944" s="298"/>
      <c r="AF944" s="298"/>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row>
    <row r="945">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98"/>
      <c r="W945" s="298"/>
      <c r="X945" s="298"/>
      <c r="Y945" s="298"/>
      <c r="Z945" s="298"/>
      <c r="AA945" s="298"/>
      <c r="AB945" s="298"/>
      <c r="AC945" s="298"/>
      <c r="AD945" s="298"/>
      <c r="AE945" s="298"/>
      <c r="AF945" s="298"/>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row>
    <row r="946">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98"/>
      <c r="W946" s="298"/>
      <c r="X946" s="298"/>
      <c r="Y946" s="298"/>
      <c r="Z946" s="298"/>
      <c r="AA946" s="298"/>
      <c r="AB946" s="298"/>
      <c r="AC946" s="298"/>
      <c r="AD946" s="298"/>
      <c r="AE946" s="298"/>
      <c r="AF946" s="298"/>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row>
    <row r="947">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98"/>
      <c r="W947" s="298"/>
      <c r="X947" s="298"/>
      <c r="Y947" s="298"/>
      <c r="Z947" s="298"/>
      <c r="AA947" s="298"/>
      <c r="AB947" s="298"/>
      <c r="AC947" s="298"/>
      <c r="AD947" s="298"/>
      <c r="AE947" s="298"/>
      <c r="AF947" s="298"/>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row>
    <row r="948">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98"/>
      <c r="W948" s="298"/>
      <c r="X948" s="298"/>
      <c r="Y948" s="298"/>
      <c r="Z948" s="298"/>
      <c r="AA948" s="298"/>
      <c r="AB948" s="298"/>
      <c r="AC948" s="298"/>
      <c r="AD948" s="298"/>
      <c r="AE948" s="298"/>
      <c r="AF948" s="298"/>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row>
    <row r="949">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98"/>
      <c r="W949" s="298"/>
      <c r="X949" s="298"/>
      <c r="Y949" s="298"/>
      <c r="Z949" s="298"/>
      <c r="AA949" s="298"/>
      <c r="AB949" s="298"/>
      <c r="AC949" s="298"/>
      <c r="AD949" s="298"/>
      <c r="AE949" s="298"/>
      <c r="AF949" s="298"/>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row>
    <row r="950">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98"/>
      <c r="W950" s="298"/>
      <c r="X950" s="298"/>
      <c r="Y950" s="298"/>
      <c r="Z950" s="298"/>
      <c r="AA950" s="298"/>
      <c r="AB950" s="298"/>
      <c r="AC950" s="298"/>
      <c r="AD950" s="298"/>
      <c r="AE950" s="298"/>
      <c r="AF950" s="298"/>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row>
    <row r="95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98"/>
      <c r="W951" s="298"/>
      <c r="X951" s="298"/>
      <c r="Y951" s="298"/>
      <c r="Z951" s="298"/>
      <c r="AA951" s="298"/>
      <c r="AB951" s="298"/>
      <c r="AC951" s="298"/>
      <c r="AD951" s="298"/>
      <c r="AE951" s="298"/>
      <c r="AF951" s="298"/>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row>
    <row r="952">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98"/>
      <c r="W952" s="298"/>
      <c r="X952" s="298"/>
      <c r="Y952" s="298"/>
      <c r="Z952" s="298"/>
      <c r="AA952" s="298"/>
      <c r="AB952" s="298"/>
      <c r="AC952" s="298"/>
      <c r="AD952" s="298"/>
      <c r="AE952" s="298"/>
      <c r="AF952" s="298"/>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row>
    <row r="953">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98"/>
      <c r="W953" s="298"/>
      <c r="X953" s="298"/>
      <c r="Y953" s="298"/>
      <c r="Z953" s="298"/>
      <c r="AA953" s="298"/>
      <c r="AB953" s="298"/>
      <c r="AC953" s="298"/>
      <c r="AD953" s="298"/>
      <c r="AE953" s="298"/>
      <c r="AF953" s="298"/>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row>
    <row r="954">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98"/>
      <c r="W954" s="298"/>
      <c r="X954" s="298"/>
      <c r="Y954" s="298"/>
      <c r="Z954" s="298"/>
      <c r="AA954" s="298"/>
      <c r="AB954" s="298"/>
      <c r="AC954" s="298"/>
      <c r="AD954" s="298"/>
      <c r="AE954" s="298"/>
      <c r="AF954" s="298"/>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row>
    <row r="955">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98"/>
      <c r="W955" s="298"/>
      <c r="X955" s="298"/>
      <c r="Y955" s="298"/>
      <c r="Z955" s="298"/>
      <c r="AA955" s="298"/>
      <c r="AB955" s="298"/>
      <c r="AC955" s="298"/>
      <c r="AD955" s="298"/>
      <c r="AE955" s="298"/>
      <c r="AF955" s="298"/>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row>
    <row r="956">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98"/>
      <c r="W956" s="298"/>
      <c r="X956" s="298"/>
      <c r="Y956" s="298"/>
      <c r="Z956" s="298"/>
      <c r="AA956" s="298"/>
      <c r="AB956" s="298"/>
      <c r="AC956" s="298"/>
      <c r="AD956" s="298"/>
      <c r="AE956" s="298"/>
      <c r="AF956" s="298"/>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row>
    <row r="957">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98"/>
      <c r="W957" s="298"/>
      <c r="X957" s="298"/>
      <c r="Y957" s="298"/>
      <c r="Z957" s="298"/>
      <c r="AA957" s="298"/>
      <c r="AB957" s="298"/>
      <c r="AC957" s="298"/>
      <c r="AD957" s="298"/>
      <c r="AE957" s="298"/>
      <c r="AF957" s="298"/>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row>
    <row r="958">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98"/>
      <c r="W958" s="298"/>
      <c r="X958" s="298"/>
      <c r="Y958" s="298"/>
      <c r="Z958" s="298"/>
      <c r="AA958" s="298"/>
      <c r="AB958" s="298"/>
      <c r="AC958" s="298"/>
      <c r="AD958" s="298"/>
      <c r="AE958" s="298"/>
      <c r="AF958" s="298"/>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row>
    <row r="959">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98"/>
      <c r="W959" s="298"/>
      <c r="X959" s="298"/>
      <c r="Y959" s="298"/>
      <c r="Z959" s="298"/>
      <c r="AA959" s="298"/>
      <c r="AB959" s="298"/>
      <c r="AC959" s="298"/>
      <c r="AD959" s="298"/>
      <c r="AE959" s="298"/>
      <c r="AF959" s="298"/>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row>
    <row r="960">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98"/>
      <c r="W960" s="298"/>
      <c r="X960" s="298"/>
      <c r="Y960" s="298"/>
      <c r="Z960" s="298"/>
      <c r="AA960" s="298"/>
      <c r="AB960" s="298"/>
      <c r="AC960" s="298"/>
      <c r="AD960" s="298"/>
      <c r="AE960" s="298"/>
      <c r="AF960" s="298"/>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row>
    <row r="96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98"/>
      <c r="W961" s="298"/>
      <c r="X961" s="298"/>
      <c r="Y961" s="298"/>
      <c r="Z961" s="298"/>
      <c r="AA961" s="298"/>
      <c r="AB961" s="298"/>
      <c r="AC961" s="298"/>
      <c r="AD961" s="298"/>
      <c r="AE961" s="298"/>
      <c r="AF961" s="298"/>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row>
    <row r="962">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98"/>
      <c r="W962" s="298"/>
      <c r="X962" s="298"/>
      <c r="Y962" s="298"/>
      <c r="Z962" s="298"/>
      <c r="AA962" s="298"/>
      <c r="AB962" s="298"/>
      <c r="AC962" s="298"/>
      <c r="AD962" s="298"/>
      <c r="AE962" s="298"/>
      <c r="AF962" s="298"/>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row>
    <row r="963">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98"/>
      <c r="W963" s="298"/>
      <c r="X963" s="298"/>
      <c r="Y963" s="298"/>
      <c r="Z963" s="298"/>
      <c r="AA963" s="298"/>
      <c r="AB963" s="298"/>
      <c r="AC963" s="298"/>
      <c r="AD963" s="298"/>
      <c r="AE963" s="298"/>
      <c r="AF963" s="298"/>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row>
    <row r="964">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98"/>
      <c r="W964" s="298"/>
      <c r="X964" s="298"/>
      <c r="Y964" s="298"/>
      <c r="Z964" s="298"/>
      <c r="AA964" s="298"/>
      <c r="AB964" s="298"/>
      <c r="AC964" s="298"/>
      <c r="AD964" s="298"/>
      <c r="AE964" s="298"/>
      <c r="AF964" s="298"/>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row>
    <row r="965">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98"/>
      <c r="W965" s="298"/>
      <c r="X965" s="298"/>
      <c r="Y965" s="298"/>
      <c r="Z965" s="298"/>
      <c r="AA965" s="298"/>
      <c r="AB965" s="298"/>
      <c r="AC965" s="298"/>
      <c r="AD965" s="298"/>
      <c r="AE965" s="298"/>
      <c r="AF965" s="298"/>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row>
    <row r="966">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98"/>
      <c r="W966" s="298"/>
      <c r="X966" s="298"/>
      <c r="Y966" s="298"/>
      <c r="Z966" s="298"/>
      <c r="AA966" s="298"/>
      <c r="AB966" s="298"/>
      <c r="AC966" s="298"/>
      <c r="AD966" s="298"/>
      <c r="AE966" s="298"/>
      <c r="AF966" s="298"/>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row>
    <row r="967">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98"/>
      <c r="W967" s="298"/>
      <c r="X967" s="298"/>
      <c r="Y967" s="298"/>
      <c r="Z967" s="298"/>
      <c r="AA967" s="298"/>
      <c r="AB967" s="298"/>
      <c r="AC967" s="298"/>
      <c r="AD967" s="298"/>
      <c r="AE967" s="298"/>
      <c r="AF967" s="298"/>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row>
    <row r="968">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98"/>
      <c r="W968" s="298"/>
      <c r="X968" s="298"/>
      <c r="Y968" s="298"/>
      <c r="Z968" s="298"/>
      <c r="AA968" s="298"/>
      <c r="AB968" s="298"/>
      <c r="AC968" s="298"/>
      <c r="AD968" s="298"/>
      <c r="AE968" s="298"/>
      <c r="AF968" s="298"/>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row>
    <row r="969">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98"/>
      <c r="W969" s="298"/>
      <c r="X969" s="298"/>
      <c r="Y969" s="298"/>
      <c r="Z969" s="298"/>
      <c r="AA969" s="298"/>
      <c r="AB969" s="298"/>
      <c r="AC969" s="298"/>
      <c r="AD969" s="298"/>
      <c r="AE969" s="298"/>
      <c r="AF969" s="298"/>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row>
    <row r="970">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98"/>
      <c r="W970" s="298"/>
      <c r="X970" s="298"/>
      <c r="Y970" s="298"/>
      <c r="Z970" s="298"/>
      <c r="AA970" s="298"/>
      <c r="AB970" s="298"/>
      <c r="AC970" s="298"/>
      <c r="AD970" s="298"/>
      <c r="AE970" s="298"/>
      <c r="AF970" s="298"/>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row>
    <row r="97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98"/>
      <c r="W971" s="298"/>
      <c r="X971" s="298"/>
      <c r="Y971" s="298"/>
      <c r="Z971" s="298"/>
      <c r="AA971" s="298"/>
      <c r="AB971" s="298"/>
      <c r="AC971" s="298"/>
      <c r="AD971" s="298"/>
      <c r="AE971" s="298"/>
      <c r="AF971" s="298"/>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row>
    <row r="972">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98"/>
      <c r="W972" s="298"/>
      <c r="X972" s="298"/>
      <c r="Y972" s="298"/>
      <c r="Z972" s="298"/>
      <c r="AA972" s="298"/>
      <c r="AB972" s="298"/>
      <c r="AC972" s="298"/>
      <c r="AD972" s="298"/>
      <c r="AE972" s="298"/>
      <c r="AF972" s="298"/>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row>
    <row r="973">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98"/>
      <c r="W973" s="298"/>
      <c r="X973" s="298"/>
      <c r="Y973" s="298"/>
      <c r="Z973" s="298"/>
      <c r="AA973" s="298"/>
      <c r="AB973" s="298"/>
      <c r="AC973" s="298"/>
      <c r="AD973" s="298"/>
      <c r="AE973" s="298"/>
      <c r="AF973" s="298"/>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row>
    <row r="974">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98"/>
      <c r="W974" s="298"/>
      <c r="X974" s="298"/>
      <c r="Y974" s="298"/>
      <c r="Z974" s="298"/>
      <c r="AA974" s="298"/>
      <c r="AB974" s="298"/>
      <c r="AC974" s="298"/>
      <c r="AD974" s="298"/>
      <c r="AE974" s="298"/>
      <c r="AF974" s="298"/>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row>
    <row r="975">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98"/>
      <c r="W975" s="298"/>
      <c r="X975" s="298"/>
      <c r="Y975" s="298"/>
      <c r="Z975" s="298"/>
      <c r="AA975" s="298"/>
      <c r="AB975" s="298"/>
      <c r="AC975" s="298"/>
      <c r="AD975" s="298"/>
      <c r="AE975" s="298"/>
      <c r="AF975" s="298"/>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row>
    <row r="976">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98"/>
      <c r="W976" s="298"/>
      <c r="X976" s="298"/>
      <c r="Y976" s="298"/>
      <c r="Z976" s="298"/>
      <c r="AA976" s="298"/>
      <c r="AB976" s="298"/>
      <c r="AC976" s="298"/>
      <c r="AD976" s="298"/>
      <c r="AE976" s="298"/>
      <c r="AF976" s="298"/>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row>
    <row r="977">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98"/>
      <c r="W977" s="298"/>
      <c r="X977" s="298"/>
      <c r="Y977" s="298"/>
      <c r="Z977" s="298"/>
      <c r="AA977" s="298"/>
      <c r="AB977" s="298"/>
      <c r="AC977" s="298"/>
      <c r="AD977" s="298"/>
      <c r="AE977" s="298"/>
      <c r="AF977" s="298"/>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row>
    <row r="978">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98"/>
      <c r="W978" s="298"/>
      <c r="X978" s="298"/>
      <c r="Y978" s="298"/>
      <c r="Z978" s="298"/>
      <c r="AA978" s="298"/>
      <c r="AB978" s="298"/>
      <c r="AC978" s="298"/>
      <c r="AD978" s="298"/>
      <c r="AE978" s="298"/>
      <c r="AF978" s="298"/>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row>
    <row r="979">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98"/>
      <c r="W979" s="298"/>
      <c r="X979" s="298"/>
      <c r="Y979" s="298"/>
      <c r="Z979" s="298"/>
      <c r="AA979" s="298"/>
      <c r="AB979" s="298"/>
      <c r="AC979" s="298"/>
      <c r="AD979" s="298"/>
      <c r="AE979" s="298"/>
      <c r="AF979" s="298"/>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row>
    <row r="980">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98"/>
      <c r="W980" s="298"/>
      <c r="X980" s="298"/>
      <c r="Y980" s="298"/>
      <c r="Z980" s="298"/>
      <c r="AA980" s="298"/>
      <c r="AB980" s="298"/>
      <c r="AC980" s="298"/>
      <c r="AD980" s="298"/>
      <c r="AE980" s="298"/>
      <c r="AF980" s="298"/>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row>
    <row r="98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98"/>
      <c r="W981" s="298"/>
      <c r="X981" s="298"/>
      <c r="Y981" s="298"/>
      <c r="Z981" s="298"/>
      <c r="AA981" s="298"/>
      <c r="AB981" s="298"/>
      <c r="AC981" s="298"/>
      <c r="AD981" s="298"/>
      <c r="AE981" s="298"/>
      <c r="AF981" s="298"/>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row>
    <row r="982">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98"/>
      <c r="W982" s="298"/>
      <c r="X982" s="298"/>
      <c r="Y982" s="298"/>
      <c r="Z982" s="298"/>
      <c r="AA982" s="298"/>
      <c r="AB982" s="298"/>
      <c r="AC982" s="298"/>
      <c r="AD982" s="298"/>
      <c r="AE982" s="298"/>
      <c r="AF982" s="298"/>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row>
    <row r="983">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98"/>
      <c r="W983" s="298"/>
      <c r="X983" s="298"/>
      <c r="Y983" s="298"/>
      <c r="Z983" s="298"/>
      <c r="AA983" s="298"/>
      <c r="AB983" s="298"/>
      <c r="AC983" s="298"/>
      <c r="AD983" s="298"/>
      <c r="AE983" s="298"/>
      <c r="AF983" s="298"/>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row>
    <row r="984">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98"/>
      <c r="W984" s="298"/>
      <c r="X984" s="298"/>
      <c r="Y984" s="298"/>
      <c r="Z984" s="298"/>
      <c r="AA984" s="298"/>
      <c r="AB984" s="298"/>
      <c r="AC984" s="298"/>
      <c r="AD984" s="298"/>
      <c r="AE984" s="298"/>
      <c r="AF984" s="298"/>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row>
    <row r="985">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98"/>
      <c r="W985" s="298"/>
      <c r="X985" s="298"/>
      <c r="Y985" s="298"/>
      <c r="Z985" s="298"/>
      <c r="AA985" s="298"/>
      <c r="AB985" s="298"/>
      <c r="AC985" s="298"/>
      <c r="AD985" s="298"/>
      <c r="AE985" s="298"/>
      <c r="AF985" s="298"/>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row>
    <row r="986">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98"/>
      <c r="W986" s="298"/>
      <c r="X986" s="298"/>
      <c r="Y986" s="298"/>
      <c r="Z986" s="298"/>
      <c r="AA986" s="298"/>
      <c r="AB986" s="298"/>
      <c r="AC986" s="298"/>
      <c r="AD986" s="298"/>
      <c r="AE986" s="298"/>
      <c r="AF986" s="298"/>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row>
    <row r="987">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98"/>
      <c r="W987" s="298"/>
      <c r="X987" s="298"/>
      <c r="Y987" s="298"/>
      <c r="Z987" s="298"/>
      <c r="AA987" s="298"/>
      <c r="AB987" s="298"/>
      <c r="AC987" s="298"/>
      <c r="AD987" s="298"/>
      <c r="AE987" s="298"/>
      <c r="AF987" s="298"/>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row>
    <row r="988">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98"/>
      <c r="W988" s="298"/>
      <c r="X988" s="298"/>
      <c r="Y988" s="298"/>
      <c r="Z988" s="298"/>
      <c r="AA988" s="298"/>
      <c r="AB988" s="298"/>
      <c r="AC988" s="298"/>
      <c r="AD988" s="298"/>
      <c r="AE988" s="298"/>
      <c r="AF988" s="298"/>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row>
    <row r="989">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98"/>
      <c r="W989" s="298"/>
      <c r="X989" s="298"/>
      <c r="Y989" s="298"/>
      <c r="Z989" s="298"/>
      <c r="AA989" s="298"/>
      <c r="AB989" s="298"/>
      <c r="AC989" s="298"/>
      <c r="AD989" s="298"/>
      <c r="AE989" s="298"/>
      <c r="AF989" s="298"/>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row>
    <row r="990">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98"/>
      <c r="W990" s="298"/>
      <c r="X990" s="298"/>
      <c r="Y990" s="298"/>
      <c r="Z990" s="298"/>
      <c r="AA990" s="298"/>
      <c r="AB990" s="298"/>
      <c r="AC990" s="298"/>
      <c r="AD990" s="298"/>
      <c r="AE990" s="298"/>
      <c r="AF990" s="298"/>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row>
    <row r="99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98"/>
      <c r="W991" s="298"/>
      <c r="X991" s="298"/>
      <c r="Y991" s="298"/>
      <c r="Z991" s="298"/>
      <c r="AA991" s="298"/>
      <c r="AB991" s="298"/>
      <c r="AC991" s="298"/>
      <c r="AD991" s="298"/>
      <c r="AE991" s="298"/>
      <c r="AF991" s="298"/>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row>
    <row r="992">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98"/>
      <c r="W992" s="298"/>
      <c r="X992" s="298"/>
      <c r="Y992" s="298"/>
      <c r="Z992" s="298"/>
      <c r="AA992" s="298"/>
      <c r="AB992" s="298"/>
      <c r="AC992" s="298"/>
      <c r="AD992" s="298"/>
      <c r="AE992" s="298"/>
      <c r="AF992" s="298"/>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row>
    <row r="993">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98"/>
      <c r="W993" s="298"/>
      <c r="X993" s="298"/>
      <c r="Y993" s="298"/>
      <c r="Z993" s="298"/>
      <c r="AA993" s="298"/>
      <c r="AB993" s="298"/>
      <c r="AC993" s="298"/>
      <c r="AD993" s="298"/>
      <c r="AE993" s="298"/>
      <c r="AF993" s="298"/>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row>
    <row r="994">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98"/>
      <c r="W994" s="298"/>
      <c r="X994" s="298"/>
      <c r="Y994" s="298"/>
      <c r="Z994" s="298"/>
      <c r="AA994" s="298"/>
      <c r="AB994" s="298"/>
      <c r="AC994" s="298"/>
      <c r="AD994" s="298"/>
      <c r="AE994" s="298"/>
      <c r="AF994" s="298"/>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row>
    <row r="995">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98"/>
      <c r="W995" s="298"/>
      <c r="X995" s="298"/>
      <c r="Y995" s="298"/>
      <c r="Z995" s="298"/>
      <c r="AA995" s="298"/>
      <c r="AB995" s="298"/>
      <c r="AC995" s="298"/>
      <c r="AD995" s="298"/>
      <c r="AE995" s="298"/>
      <c r="AF995" s="298"/>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row>
    <row r="996">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98"/>
      <c r="W996" s="298"/>
      <c r="X996" s="298"/>
      <c r="Y996" s="298"/>
      <c r="Z996" s="298"/>
      <c r="AA996" s="298"/>
      <c r="AB996" s="298"/>
      <c r="AC996" s="298"/>
      <c r="AD996" s="298"/>
      <c r="AE996" s="298"/>
      <c r="AF996" s="298"/>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row>
    <row r="997">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98"/>
      <c r="W997" s="298"/>
      <c r="X997" s="298"/>
      <c r="Y997" s="298"/>
      <c r="Z997" s="298"/>
      <c r="AA997" s="298"/>
      <c r="AB997" s="298"/>
      <c r="AC997" s="298"/>
      <c r="AD997" s="298"/>
      <c r="AE997" s="298"/>
      <c r="AF997" s="298"/>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row>
    <row r="998">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98"/>
      <c r="W998" s="298"/>
      <c r="X998" s="298"/>
      <c r="Y998" s="298"/>
      <c r="Z998" s="298"/>
      <c r="AA998" s="298"/>
      <c r="AB998" s="298"/>
      <c r="AC998" s="298"/>
      <c r="AD998" s="298"/>
      <c r="AE998" s="298"/>
      <c r="AF998" s="298"/>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row>
    <row r="999">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98"/>
      <c r="W999" s="298"/>
      <c r="X999" s="298"/>
      <c r="Y999" s="298"/>
      <c r="Z999" s="298"/>
      <c r="AA999" s="298"/>
      <c r="AB999" s="298"/>
      <c r="AC999" s="298"/>
      <c r="AD999" s="298"/>
      <c r="AE999" s="298"/>
      <c r="AF999" s="298"/>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row>
    <row r="1000">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98"/>
      <c r="W1000" s="298"/>
      <c r="X1000" s="298"/>
      <c r="Y1000" s="298"/>
      <c r="Z1000" s="298"/>
      <c r="AA1000" s="298"/>
      <c r="AB1000" s="298"/>
      <c r="AC1000" s="298"/>
      <c r="AD1000" s="298"/>
      <c r="AE1000" s="298"/>
      <c r="AF1000" s="298"/>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3" max="3" width="17.13"/>
    <col customWidth="1" min="5" max="5" width="22.63"/>
    <col customWidth="1" min="6" max="6" width="38.25"/>
    <col customWidth="1" min="7" max="7" width="29.13"/>
    <col customWidth="1" min="8" max="8" width="37.88"/>
    <col customWidth="1" min="9" max="9" width="74.75"/>
    <col customWidth="1" min="21" max="32" width="14.0"/>
  </cols>
  <sheetData>
    <row r="1">
      <c r="A1" s="207" t="str">
        <f>IFERROR(__xludf.DUMMYFUNCTION("QUERY(Mastersheet!A1:AF1000, ""SELECT * WHERE E = 'AGIPL'"",1)"),"Date")</f>
        <v>Date</v>
      </c>
      <c r="B1" s="207" t="str">
        <f>IFERROR(__xludf.DUMMYFUNCTION("""COMPUTED_VALUE"""),"Send Time")</f>
        <v>Send Time</v>
      </c>
      <c r="C1" s="207" t="str">
        <f>IFERROR(__xludf.DUMMYFUNCTION("""COMPUTED_VALUE"""),"Channel")</f>
        <v>Channel</v>
      </c>
      <c r="D1" s="207" t="str">
        <f>IFERROR(__xludf.DUMMYFUNCTION("""COMPUTED_VALUE"""),"Campaign Type")</f>
        <v>Campaign Type</v>
      </c>
      <c r="E1" s="207" t="str">
        <f>IFERROR(__xludf.DUMMYFUNCTION("""COMPUTED_VALUE"""),"Brand")</f>
        <v>Brand</v>
      </c>
      <c r="F1" s="207" t="str">
        <f>IFERROR(__xludf.DUMMYFUNCTION("""COMPUTED_VALUE"""),"Master Campaign / Offer Category")</f>
        <v>Master Campaign / Offer Category</v>
      </c>
      <c r="G1" s="207" t="str">
        <f>IFERROR(__xludf.DUMMYFUNCTION("""COMPUTED_VALUE"""),"Campaign Name")</f>
        <v>Campaign Name</v>
      </c>
      <c r="H1" s="207" t="str">
        <f>IFERROR(__xludf.DUMMYFUNCTION("""COMPUTED_VALUE"""),"Segment Name")</f>
        <v>Segment Name</v>
      </c>
      <c r="I1" s="207" t="str">
        <f>IFERROR(__xludf.DUMMYFUNCTION("""COMPUTED_VALUE"""),"Segment Logic")</f>
        <v>Segment Logic</v>
      </c>
      <c r="J1" s="207" t="str">
        <f>IFERROR(__xludf.DUMMYFUNCTION("""COMPUTED_VALUE"""),"Total Sent")</f>
        <v>Total Sent</v>
      </c>
      <c r="K1" s="207" t="str">
        <f>IFERROR(__xludf.DUMMYFUNCTION("""COMPUTED_VALUE"""),"Total Delivered")</f>
        <v>Total Delivered</v>
      </c>
      <c r="L1" s="207" t="str">
        <f>IFERROR(__xludf.DUMMYFUNCTION("""COMPUTED_VALUE"""),"Delivery Rate")</f>
        <v>Delivery Rate</v>
      </c>
      <c r="M1" s="207" t="str">
        <f>IFERROR(__xludf.DUMMYFUNCTION("""COMPUTED_VALUE"""),"Total Read")</f>
        <v>Total Read</v>
      </c>
      <c r="N1" s="207" t="str">
        <f>IFERROR(__xludf.DUMMYFUNCTION("""COMPUTED_VALUE"""),"Read Rate")</f>
        <v>Read Rate</v>
      </c>
      <c r="O1" s="207" t="str">
        <f>IFERROR(__xludf.DUMMYFUNCTION("""COMPUTED_VALUE"""),"Total Clicks")</f>
        <v>Total Clicks</v>
      </c>
      <c r="P1" s="207" t="str">
        <f>IFERROR(__xludf.DUMMYFUNCTION("""COMPUTED_VALUE"""),"Unique Clicks")</f>
        <v>Unique Clicks</v>
      </c>
      <c r="Q1" s="207" t="str">
        <f>IFERROR(__xludf.DUMMYFUNCTION("""COMPUTED_VALUE"""),"CTR")</f>
        <v>CTR</v>
      </c>
      <c r="R1" s="207" t="str">
        <f>IFERROR(__xludf.DUMMYFUNCTION("""COMPUTED_VALUE"""),"Click to Open Rate")</f>
        <v>Click to Open Rate</v>
      </c>
      <c r="S1" s="207" t="str">
        <f>IFERROR(__xludf.DUMMYFUNCTION("""COMPUTED_VALUE"""),"Goal 1 Conversions")</f>
        <v>Goal 1 Conversions</v>
      </c>
      <c r="T1" s="207" t="str">
        <f>IFERROR(__xludf.DUMMYFUNCTION("""COMPUTED_VALUE"""),"Goal 2 Add to Cart")</f>
        <v>Goal 2 Add to Cart</v>
      </c>
      <c r="U1" s="207" t="str">
        <f>IFERROR(__xludf.DUMMYFUNCTION("""COMPUTED_VALUE"""),"Total Campaign Revenue INR")</f>
        <v>Total Campaign Revenue INR</v>
      </c>
      <c r="V1" s="207" t="str">
        <f>IFERROR(__xludf.DUMMYFUNCTION("""COMPUTED_VALUE"""),"Campaign Channel Type")</f>
        <v>Campaign Channel Type</v>
      </c>
      <c r="W1" s="207" t="str">
        <f>IFERROR(__xludf.DUMMYFUNCTION("""COMPUTED_VALUE"""),"Template Type")</f>
        <v>Template Type</v>
      </c>
      <c r="X1" s="207" t="str">
        <f>IFERROR(__xludf.DUMMYFUNCTION("""COMPUTED_VALUE"""),"Segment Customer Base Type")</f>
        <v>Segment Customer Base Type</v>
      </c>
      <c r="Y1" s="207" t="str">
        <f>IFERROR(__xludf.DUMMYFUNCTION("""COMPUTED_VALUE"""),"Track Goals for")</f>
        <v>Track Goals for</v>
      </c>
      <c r="Z1" s="207" t="str">
        <f>IFERROR(__xludf.DUMMYFUNCTION("""COMPUTED_VALUE"""),"Campaign ID")</f>
        <v>Campaign ID</v>
      </c>
      <c r="AA1" s="207" t="str">
        <f>IFERROR(__xludf.DUMMYFUNCTION("""COMPUTED_VALUE"""),"Campaign Purchased Customers")</f>
        <v>Campaign Purchased Customers</v>
      </c>
      <c r="AB1" s="207" t="str">
        <f>IFERROR(__xludf.DUMMYFUNCTION("""COMPUTED_VALUE"""),"Campaign Purchased Customers - Online")</f>
        <v>Campaign Purchased Customers - Online</v>
      </c>
      <c r="AC1" s="207" t="str">
        <f>IFERROR(__xludf.DUMMYFUNCTION("""COMPUTED_VALUE"""),"Campaign Purchased Customers - Offline")</f>
        <v>Campaign Purchased Customers - Offline</v>
      </c>
      <c r="AD1" s="207" t="str">
        <f>IFERROR(__xludf.DUMMYFUNCTION("""COMPUTED_VALUE"""),"Influenced Revenue")</f>
        <v>Influenced Revenue</v>
      </c>
      <c r="AE1" s="207" t="str">
        <f>IFERROR(__xludf.DUMMYFUNCTION("""COMPUTED_VALUE"""),"Influenced Revenue - Online")</f>
        <v>Influenced Revenue - Online</v>
      </c>
      <c r="AF1" s="207" t="str">
        <f>IFERROR(__xludf.DUMMYFUNCTION("""COMPUTED_VALUE"""),"Influenced Revenue - Offline")</f>
        <v>Influenced Revenue - Offline</v>
      </c>
      <c r="AG1" s="236"/>
      <c r="AH1" s="236"/>
      <c r="AI1" s="236"/>
      <c r="AJ1" s="236"/>
      <c r="AK1" s="236"/>
    </row>
    <row r="2">
      <c r="A2" s="314">
        <f>IFERROR(__xludf.DUMMYFUNCTION("""COMPUTED_VALUE"""),46096.0)</f>
        <v>46096</v>
      </c>
      <c r="B2" s="238">
        <f>IFERROR(__xludf.DUMMYFUNCTION("""COMPUTED_VALUE"""),0.3333333333321207)</f>
        <v>0.3333333333</v>
      </c>
      <c r="C2" s="96" t="str">
        <f>IFERROR(__xludf.DUMMYFUNCTION("""COMPUTED_VALUE"""),"Whatsapp")</f>
        <v>Whatsapp</v>
      </c>
      <c r="D2" s="212" t="str">
        <f>IFERROR(__xludf.DUMMYFUNCTION("""COMPUTED_VALUE"""),"Promotional")</f>
        <v>Promotional</v>
      </c>
      <c r="E2" s="96" t="str">
        <f>IFERROR(__xludf.DUMMYFUNCTION("""COMPUTED_VALUE"""),"AGIPL")</f>
        <v>AGIPL</v>
      </c>
      <c r="F2" s="212" t="str">
        <f>IFERROR(__xludf.DUMMYFUNCTION("""COMPUTED_VALUE"""),"App Launch Campaign")</f>
        <v>App Launch Campaign</v>
      </c>
      <c r="G2" s="212" t="str">
        <f>IFERROR(__xludf.DUMMYFUNCTION("""COMPUTED_VALUE"""),"ALDO_CROCS_APP")</f>
        <v>ALDO_CROCS_APP</v>
      </c>
      <c r="H2" s="28" t="str">
        <f>IFERROR(__xludf.DUMMYFUNCTION("""COMPUTED_VALUE"""),"CrossBrand_CROCS_ALAPP")</f>
        <v>CrossBrand_CROCS_ALAPP</v>
      </c>
      <c r="I2" s="28" t="str">
        <f>IFERROR(__xludf.DUMMYFUNCTION("""COMPUTED_VALUE"""),"Customers who have shopped in CROCS and excluding Aldo Customers in the entire period")</f>
        <v>Customers who have shopped in CROCS and excluding Aldo Customers in the entire period</v>
      </c>
      <c r="J2" s="239">
        <f>IFERROR(__xludf.DUMMYFUNCTION("""COMPUTED_VALUE"""),23473.0)</f>
        <v>23473</v>
      </c>
      <c r="K2" s="240">
        <f>IFERROR(__xludf.DUMMYFUNCTION("""COMPUTED_VALUE"""),12285.0)</f>
        <v>12285</v>
      </c>
      <c r="L2" s="241">
        <f>IFERROR(__xludf.DUMMYFUNCTION("""COMPUTED_VALUE"""),0.5234)</f>
        <v>0.5234</v>
      </c>
      <c r="M2" s="240">
        <f>IFERROR(__xludf.DUMMYFUNCTION("""COMPUTED_VALUE"""),6364.0)</f>
        <v>6364</v>
      </c>
      <c r="N2" s="136">
        <f>IFERROR(__xludf.DUMMYFUNCTION("""COMPUTED_VALUE"""),0.5181)</f>
        <v>0.5181</v>
      </c>
      <c r="O2" s="239">
        <f>IFERROR(__xludf.DUMMYFUNCTION("""COMPUTED_VALUE"""),279.0)</f>
        <v>279</v>
      </c>
      <c r="P2" s="239">
        <f>IFERROR(__xludf.DUMMYFUNCTION("""COMPUTED_VALUE"""),262.0)</f>
        <v>262</v>
      </c>
      <c r="Q2" s="214">
        <f>IFERROR(__xludf.DUMMYFUNCTION("""COMPUTED_VALUE"""),0.0213)</f>
        <v>0.0213</v>
      </c>
      <c r="R2" s="214">
        <f>IFERROR(__xludf.DUMMYFUNCTION("""COMPUTED_VALUE"""),0.0412)</f>
        <v>0.0412</v>
      </c>
      <c r="S2" s="101"/>
      <c r="T2" s="222"/>
      <c r="U2" s="242"/>
      <c r="V2" s="242" t="str">
        <f>IFERROR(__xludf.DUMMYFUNCTION("""COMPUTED_VALUE"""),"overall")</f>
        <v>overall</v>
      </c>
      <c r="W2" s="243" t="str">
        <f>IFERROR(__xludf.DUMMYFUNCTION("""COMPUTED_VALUE"""),"simple")</f>
        <v>simple</v>
      </c>
      <c r="X2" s="243" t="str">
        <f>IFERROR(__xludf.DUMMYFUNCTION("""COMPUTED_VALUE"""),"Cross Brand")</f>
        <v>Cross Brand</v>
      </c>
      <c r="Y2" s="243" t="str">
        <f>IFERROR(__xludf.DUMMYFUNCTION("""COMPUTED_VALUE"""),"17th March 206, Tuesday ")</f>
        <v>17th March 206, Tuesday </v>
      </c>
      <c r="Z2" s="243" t="str">
        <f>IFERROR(__xludf.DUMMYFUNCTION("""COMPUTED_VALUE"""),"69b405d0e6312ab464995e26")</f>
        <v>69b405d0e6312ab464995e26</v>
      </c>
      <c r="AA2" s="243"/>
      <c r="AB2" s="243"/>
      <c r="AC2" s="243"/>
      <c r="AD2" s="243"/>
      <c r="AE2" s="243"/>
      <c r="AF2" s="243"/>
      <c r="AG2" s="208"/>
      <c r="AH2" s="208"/>
      <c r="AI2" s="208"/>
      <c r="AJ2" s="208"/>
      <c r="AK2" s="208"/>
    </row>
    <row r="3">
      <c r="A3" s="314">
        <f>IFERROR(__xludf.DUMMYFUNCTION("""COMPUTED_VALUE"""),46096.0)</f>
        <v>46096</v>
      </c>
      <c r="B3" s="238">
        <f>IFERROR(__xludf.DUMMYFUNCTION("""COMPUTED_VALUE"""),0.3333333333321207)</f>
        <v>0.3333333333</v>
      </c>
      <c r="C3" s="96" t="str">
        <f>IFERROR(__xludf.DUMMYFUNCTION("""COMPUTED_VALUE"""),"Whatsapp")</f>
        <v>Whatsapp</v>
      </c>
      <c r="D3" s="212" t="str">
        <f>IFERROR(__xludf.DUMMYFUNCTION("""COMPUTED_VALUE"""),"Promotional")</f>
        <v>Promotional</v>
      </c>
      <c r="E3" s="96" t="str">
        <f>IFERROR(__xludf.DUMMYFUNCTION("""COMPUTED_VALUE"""),"AGIPL")</f>
        <v>AGIPL</v>
      </c>
      <c r="F3" s="212" t="str">
        <f>IFERROR(__xludf.DUMMYFUNCTION("""COMPUTED_VALUE"""),"App Launch Campaign")</f>
        <v>App Launch Campaign</v>
      </c>
      <c r="G3" s="212" t="str">
        <f>IFERROR(__xludf.DUMMYFUNCTION("""COMPUTED_VALUE"""),"ALDO_BHPCBASE_APP")</f>
        <v>ALDO_BHPCBASE_APP</v>
      </c>
      <c r="H3" s="28" t="str">
        <f>IFERROR(__xludf.DUMMYFUNCTION("""COMPUTED_VALUE"""),"CrossBrand_BHPC_ALAPP")</f>
        <v>CrossBrand_BHPC_ALAPP</v>
      </c>
      <c r="I3" s="28" t="str">
        <f>IFERROR(__xludf.DUMMYFUNCTION("""COMPUTED_VALUE"""),"Customers who have shopped in BHPC and excluding Aldo Customers in the entire period")</f>
        <v>Customers who have shopped in BHPC and excluding Aldo Customers in the entire period</v>
      </c>
      <c r="J3" s="239">
        <f>IFERROR(__xludf.DUMMYFUNCTION("""COMPUTED_VALUE"""),116282.0)</f>
        <v>116282</v>
      </c>
      <c r="K3" s="240">
        <f>IFERROR(__xludf.DUMMYFUNCTION("""COMPUTED_VALUE"""),56180.0)</f>
        <v>56180</v>
      </c>
      <c r="L3" s="241">
        <f>IFERROR(__xludf.DUMMYFUNCTION("""COMPUTED_VALUE"""),0.4831)</f>
        <v>0.4831</v>
      </c>
      <c r="M3" s="240">
        <f>IFERROR(__xludf.DUMMYFUNCTION("""COMPUTED_VALUE"""),29250.0)</f>
        <v>29250</v>
      </c>
      <c r="N3" s="136">
        <f>IFERROR(__xludf.DUMMYFUNCTION("""COMPUTED_VALUE"""),0.5205)</f>
        <v>0.5205</v>
      </c>
      <c r="O3" s="239">
        <f>IFERROR(__xludf.DUMMYFUNCTION("""COMPUTED_VALUE"""),1431.0)</f>
        <v>1431</v>
      </c>
      <c r="P3" s="239">
        <f>IFERROR(__xludf.DUMMYFUNCTION("""COMPUTED_VALUE"""),1367.0)</f>
        <v>1367</v>
      </c>
      <c r="Q3" s="214">
        <f>IFERROR(__xludf.DUMMYFUNCTION("""COMPUTED_VALUE"""),0.0243)</f>
        <v>0.0243</v>
      </c>
      <c r="R3" s="214">
        <f>IFERROR(__xludf.DUMMYFUNCTION("""COMPUTED_VALUE"""),0.0468)</f>
        <v>0.0468</v>
      </c>
      <c r="S3" s="101"/>
      <c r="T3" s="222"/>
      <c r="U3" s="242"/>
      <c r="V3" s="242" t="str">
        <f>IFERROR(__xludf.DUMMYFUNCTION("""COMPUTED_VALUE"""),"overall")</f>
        <v>overall</v>
      </c>
      <c r="W3" s="243" t="str">
        <f>IFERROR(__xludf.DUMMYFUNCTION("""COMPUTED_VALUE"""),"simple")</f>
        <v>simple</v>
      </c>
      <c r="X3" s="243" t="str">
        <f>IFERROR(__xludf.DUMMYFUNCTION("""COMPUTED_VALUE"""),"Cross Brand")</f>
        <v>Cross Brand</v>
      </c>
      <c r="Y3" s="243" t="str">
        <f>IFERROR(__xludf.DUMMYFUNCTION("""COMPUTED_VALUE"""),"17th March 206, Tuesday ")</f>
        <v>17th March 206, Tuesday </v>
      </c>
      <c r="Z3" s="243" t="str">
        <f>IFERROR(__xludf.DUMMYFUNCTION("""COMPUTED_VALUE"""),"69b405df17cffc0a310fa23b")</f>
        <v>69b405df17cffc0a310fa23b</v>
      </c>
      <c r="AA3" s="243"/>
      <c r="AB3" s="243"/>
      <c r="AC3" s="243"/>
      <c r="AD3" s="243"/>
      <c r="AE3" s="243"/>
      <c r="AF3" s="243"/>
      <c r="AG3" s="208"/>
      <c r="AH3" s="208"/>
      <c r="AI3" s="208"/>
      <c r="AJ3" s="208"/>
      <c r="AK3" s="208"/>
    </row>
    <row r="4">
      <c r="A4" s="314">
        <f>IFERROR(__xludf.DUMMYFUNCTION("""COMPUTED_VALUE"""),46096.0)</f>
        <v>46096</v>
      </c>
      <c r="B4" s="238">
        <f>IFERROR(__xludf.DUMMYFUNCTION("""COMPUTED_VALUE"""),0.3333333333321207)</f>
        <v>0.3333333333</v>
      </c>
      <c r="C4" s="96" t="str">
        <f>IFERROR(__xludf.DUMMYFUNCTION("""COMPUTED_VALUE"""),"Whatsapp")</f>
        <v>Whatsapp</v>
      </c>
      <c r="D4" s="212" t="str">
        <f>IFERROR(__xludf.DUMMYFUNCTION("""COMPUTED_VALUE"""),"Promotional")</f>
        <v>Promotional</v>
      </c>
      <c r="E4" s="96" t="str">
        <f>IFERROR(__xludf.DUMMYFUNCTION("""COMPUTED_VALUE"""),"AGIPL")</f>
        <v>AGIPL</v>
      </c>
      <c r="F4" s="212" t="str">
        <f>IFERROR(__xludf.DUMMYFUNCTION("""COMPUTED_VALUE"""),"App Launch Campaign")</f>
        <v>App Launch Campaign</v>
      </c>
      <c r="G4" s="212" t="str">
        <f>IFERROR(__xludf.DUMMYFUNCTION("""COMPUTED_VALUE"""),"ALDO_APP_VSBase")</f>
        <v>ALDO_APP_VSBase</v>
      </c>
      <c r="H4" s="28" t="str">
        <f>IFERROR(__xludf.DUMMYFUNCTION("""COMPUTED_VALUE"""),"CrossBrand_VS_ALAPP")</f>
        <v>CrossBrand_VS_ALAPP</v>
      </c>
      <c r="I4" s="28" t="str">
        <f>IFERROR(__xludf.DUMMYFUNCTION("""COMPUTED_VALUE"""),"Customers who have shopped in VS and excluding Aldo Customers in the entire period")</f>
        <v>Customers who have shopped in VS and excluding Aldo Customers in the entire period</v>
      </c>
      <c r="J4" s="239">
        <f>IFERROR(__xludf.DUMMYFUNCTION("""COMPUTED_VALUE"""),343424.0)</f>
        <v>343424</v>
      </c>
      <c r="K4" s="240">
        <f>IFERROR(__xludf.DUMMYFUNCTION("""COMPUTED_VALUE"""),49033.0)</f>
        <v>49033</v>
      </c>
      <c r="L4" s="241">
        <f>IFERROR(__xludf.DUMMYFUNCTION("""COMPUTED_VALUE"""),0.1428)</f>
        <v>0.1428</v>
      </c>
      <c r="M4" s="240">
        <f>IFERROR(__xludf.DUMMYFUNCTION("""COMPUTED_VALUE"""),17718.0)</f>
        <v>17718</v>
      </c>
      <c r="N4" s="136">
        <f>IFERROR(__xludf.DUMMYFUNCTION("""COMPUTED_VALUE"""),0.361)</f>
        <v>0.361</v>
      </c>
      <c r="O4" s="239">
        <f>IFERROR(__xludf.DUMMYFUNCTION("""COMPUTED_VALUE"""),521.0)</f>
        <v>521</v>
      </c>
      <c r="P4" s="239">
        <f>IFERROR(__xludf.DUMMYFUNCTION("""COMPUTED_VALUE"""),494.0)</f>
        <v>494</v>
      </c>
      <c r="Q4" s="214">
        <f>IFERROR(__xludf.DUMMYFUNCTION("""COMPUTED_VALUE"""),0.0101)</f>
        <v>0.0101</v>
      </c>
      <c r="R4" s="214">
        <f>IFERROR(__xludf.DUMMYFUNCTION("""COMPUTED_VALUE"""),0.0279)</f>
        <v>0.0279</v>
      </c>
      <c r="S4" s="101"/>
      <c r="T4" s="222"/>
      <c r="U4" s="242"/>
      <c r="V4" s="242" t="str">
        <f>IFERROR(__xludf.DUMMYFUNCTION("""COMPUTED_VALUE"""),"overall")</f>
        <v>overall</v>
      </c>
      <c r="W4" s="243" t="str">
        <f>IFERROR(__xludf.DUMMYFUNCTION("""COMPUTED_VALUE"""),"simple")</f>
        <v>simple</v>
      </c>
      <c r="X4" s="243" t="str">
        <f>IFERROR(__xludf.DUMMYFUNCTION("""COMPUTED_VALUE"""),"Cross Brand")</f>
        <v>Cross Brand</v>
      </c>
      <c r="Y4" s="243" t="str">
        <f>IFERROR(__xludf.DUMMYFUNCTION("""COMPUTED_VALUE"""),"17th March 206, Tuesday ")</f>
        <v>17th March 206, Tuesday </v>
      </c>
      <c r="Z4" s="243" t="str">
        <f>IFERROR(__xludf.DUMMYFUNCTION("""COMPUTED_VALUE"""),"69b405e8212e0a8f96d11b71")</f>
        <v>69b405e8212e0a8f96d11b71</v>
      </c>
      <c r="AA4" s="243"/>
      <c r="AB4" s="243"/>
      <c r="AC4" s="243"/>
      <c r="AD4" s="243"/>
      <c r="AE4" s="243"/>
      <c r="AF4" s="243"/>
      <c r="AG4" s="208"/>
      <c r="AH4" s="208"/>
      <c r="AI4" s="208"/>
      <c r="AJ4" s="208"/>
      <c r="AK4" s="208"/>
    </row>
    <row r="5">
      <c r="A5" s="314">
        <f>IFERROR(__xludf.DUMMYFUNCTION("""COMPUTED_VALUE"""),46096.0)</f>
        <v>46096</v>
      </c>
      <c r="B5" s="238">
        <f>IFERROR(__xludf.DUMMYFUNCTION("""COMPUTED_VALUE"""),0.75)</f>
        <v>0.75</v>
      </c>
      <c r="C5" s="96" t="str">
        <f>IFERROR(__xludf.DUMMYFUNCTION("""COMPUTED_VALUE"""),"Sms")</f>
        <v>Sms</v>
      </c>
      <c r="D5" s="212" t="str">
        <f>IFERROR(__xludf.DUMMYFUNCTION("""COMPUTED_VALUE"""),"Fallback Campaign")</f>
        <v>Fallback Campaign</v>
      </c>
      <c r="E5" s="96" t="str">
        <f>IFERROR(__xludf.DUMMYFUNCTION("""COMPUTED_VALUE"""),"AGIPL")</f>
        <v>AGIPL</v>
      </c>
      <c r="F5" s="212" t="str">
        <f>IFERROR(__xludf.DUMMYFUNCTION("""COMPUTED_VALUE"""),"App Launch Campaign")</f>
        <v>App Launch Campaign</v>
      </c>
      <c r="G5" s="212" t="str">
        <f>IFERROR(__xludf.DUMMYFUNCTION("""COMPUTED_VALUE"""),"CrossBrandVS_SMS")</f>
        <v>CrossBrandVS_SMS</v>
      </c>
      <c r="H5" s="28" t="str">
        <f>IFERROR(__xludf.DUMMYFUNCTION("""COMPUTED_VALUE"""),"CrossBrand_VS_ALAPP")</f>
        <v>CrossBrand_VS_ALAPP</v>
      </c>
      <c r="I5" s="28" t="str">
        <f>IFERROR(__xludf.DUMMYFUNCTION("""COMPUTED_VALUE"""),"WA Undelivered")</f>
        <v>WA Undelivered</v>
      </c>
      <c r="J5" s="239">
        <f>IFERROR(__xludf.DUMMYFUNCTION("""COMPUTED_VALUE"""),293882.0)</f>
        <v>293882</v>
      </c>
      <c r="K5" s="240">
        <f>IFERROR(__xludf.DUMMYFUNCTION("""COMPUTED_VALUE"""),188873.0)</f>
        <v>188873</v>
      </c>
      <c r="L5" s="241">
        <f>IFERROR(__xludf.DUMMYFUNCTION("""COMPUTED_VALUE"""),0.6427)</f>
        <v>0.6427</v>
      </c>
      <c r="M5" s="240"/>
      <c r="N5" s="136"/>
      <c r="O5" s="239">
        <f>IFERROR(__xludf.DUMMYFUNCTION("""COMPUTED_VALUE"""),56.0)</f>
        <v>56</v>
      </c>
      <c r="P5" s="239"/>
      <c r="Q5" s="214">
        <f>IFERROR(__xludf.DUMMYFUNCTION("""COMPUTED_VALUE"""),3.0E-4)</f>
        <v>0.0003</v>
      </c>
      <c r="R5" s="214"/>
      <c r="S5" s="101"/>
      <c r="T5" s="222"/>
      <c r="U5" s="242"/>
      <c r="V5" s="242" t="str">
        <f>IFERROR(__xludf.DUMMYFUNCTION("""COMPUTED_VALUE"""),"overall")</f>
        <v>overall</v>
      </c>
      <c r="W5" s="243" t="str">
        <f>IFERROR(__xludf.DUMMYFUNCTION("""COMPUTED_VALUE"""),"SMS")</f>
        <v>SMS</v>
      </c>
      <c r="X5" s="243" t="str">
        <f>IFERROR(__xludf.DUMMYFUNCTION("""COMPUTED_VALUE"""),"Cross Brand")</f>
        <v>Cross Brand</v>
      </c>
      <c r="Y5" s="243" t="str">
        <f>IFERROR(__xludf.DUMMYFUNCTION("""COMPUTED_VALUE"""),"17th March 206, Tuesday ")</f>
        <v>17th March 206, Tuesday </v>
      </c>
      <c r="Z5" s="243" t="str">
        <f>IFERROR(__xludf.DUMMYFUNCTION("""COMPUTED_VALUE"""),"69b413d524b4791cc0acf08d")</f>
        <v>69b413d524b4791cc0acf08d</v>
      </c>
      <c r="AA5" s="243"/>
      <c r="AB5" s="243"/>
      <c r="AC5" s="243"/>
      <c r="AD5" s="243"/>
      <c r="AE5" s="243"/>
      <c r="AF5" s="243"/>
      <c r="AG5" s="208"/>
      <c r="AH5" s="208"/>
      <c r="AI5" s="208"/>
      <c r="AJ5" s="208"/>
      <c r="AK5" s="208"/>
    </row>
    <row r="6">
      <c r="A6" s="314">
        <f>IFERROR(__xludf.DUMMYFUNCTION("""COMPUTED_VALUE"""),46096.0)</f>
        <v>46096</v>
      </c>
      <c r="B6" s="238">
        <f>IFERROR(__xludf.DUMMYFUNCTION("""COMPUTED_VALUE"""),0.75)</f>
        <v>0.75</v>
      </c>
      <c r="C6" s="96" t="str">
        <f>IFERROR(__xludf.DUMMYFUNCTION("""COMPUTED_VALUE"""),"Sms")</f>
        <v>Sms</v>
      </c>
      <c r="D6" s="212" t="str">
        <f>IFERROR(__xludf.DUMMYFUNCTION("""COMPUTED_VALUE"""),"Fallback Campaign")</f>
        <v>Fallback Campaign</v>
      </c>
      <c r="E6" s="96" t="str">
        <f>IFERROR(__xludf.DUMMYFUNCTION("""COMPUTED_VALUE"""),"AGIPL")</f>
        <v>AGIPL</v>
      </c>
      <c r="F6" s="212" t="str">
        <f>IFERROR(__xludf.DUMMYFUNCTION("""COMPUTED_VALUE"""),"App Launch Campaign")</f>
        <v>App Launch Campaign</v>
      </c>
      <c r="G6" s="212" t="str">
        <f>IFERROR(__xludf.DUMMYFUNCTION("""COMPUTED_VALUE"""),"BHPC_ALAPP_SMS")</f>
        <v>BHPC_ALAPP_SMS</v>
      </c>
      <c r="H6" s="28" t="str">
        <f>IFERROR(__xludf.DUMMYFUNCTION("""COMPUTED_VALUE"""),"CrossBrand_BHPC_ALAPP")</f>
        <v>CrossBrand_BHPC_ALAPP</v>
      </c>
      <c r="I6" s="28" t="str">
        <f>IFERROR(__xludf.DUMMYFUNCTION("""COMPUTED_VALUE"""),"WA Undelivered")</f>
        <v>WA Undelivered</v>
      </c>
      <c r="J6" s="239">
        <f>IFERROR(__xludf.DUMMYFUNCTION("""COMPUTED_VALUE"""),59214.0)</f>
        <v>59214</v>
      </c>
      <c r="K6" s="240">
        <f>IFERROR(__xludf.DUMMYFUNCTION("""COMPUTED_VALUE"""),33044.0)</f>
        <v>33044</v>
      </c>
      <c r="L6" s="241">
        <f>IFERROR(__xludf.DUMMYFUNCTION("""COMPUTED_VALUE"""),0.558)</f>
        <v>0.558</v>
      </c>
      <c r="M6" s="240"/>
      <c r="N6" s="136"/>
      <c r="O6" s="239">
        <f>IFERROR(__xludf.DUMMYFUNCTION("""COMPUTED_VALUE"""),26.0)</f>
        <v>26</v>
      </c>
      <c r="P6" s="239"/>
      <c r="Q6" s="214">
        <f>IFERROR(__xludf.DUMMYFUNCTION("""COMPUTED_VALUE"""),8.0E-4)</f>
        <v>0.0008</v>
      </c>
      <c r="R6" s="214"/>
      <c r="S6" s="101"/>
      <c r="T6" s="222"/>
      <c r="U6" s="242"/>
      <c r="V6" s="242" t="str">
        <f>IFERROR(__xludf.DUMMYFUNCTION("""COMPUTED_VALUE"""),"overall")</f>
        <v>overall</v>
      </c>
      <c r="W6" s="243" t="str">
        <f>IFERROR(__xludf.DUMMYFUNCTION("""COMPUTED_VALUE"""),"SMS")</f>
        <v>SMS</v>
      </c>
      <c r="X6" s="243" t="str">
        <f>IFERROR(__xludf.DUMMYFUNCTION("""COMPUTED_VALUE"""),"Cross Brand")</f>
        <v>Cross Brand</v>
      </c>
      <c r="Y6" s="243" t="str">
        <f>IFERROR(__xludf.DUMMYFUNCTION("""COMPUTED_VALUE"""),"17th March 206, Tuesday ")</f>
        <v>17th March 206, Tuesday </v>
      </c>
      <c r="Z6" s="243" t="str">
        <f>IFERROR(__xludf.DUMMYFUNCTION("""COMPUTED_VALUE"""),"69b414314d978836f5cae8f9")</f>
        <v>69b414314d978836f5cae8f9</v>
      </c>
      <c r="AA6" s="243"/>
      <c r="AB6" s="243"/>
      <c r="AC6" s="243"/>
      <c r="AD6" s="243"/>
      <c r="AE6" s="243"/>
      <c r="AF6" s="243"/>
      <c r="AG6" s="208"/>
      <c r="AH6" s="208"/>
      <c r="AI6" s="208"/>
      <c r="AJ6" s="208"/>
      <c r="AK6" s="208"/>
    </row>
    <row r="7">
      <c r="A7" s="314">
        <f>IFERROR(__xludf.DUMMYFUNCTION("""COMPUTED_VALUE"""),46096.0)</f>
        <v>46096</v>
      </c>
      <c r="B7" s="238">
        <f>IFERROR(__xludf.DUMMYFUNCTION("""COMPUTED_VALUE"""),0.75)</f>
        <v>0.75</v>
      </c>
      <c r="C7" s="96" t="str">
        <f>IFERROR(__xludf.DUMMYFUNCTION("""COMPUTED_VALUE"""),"Sms")</f>
        <v>Sms</v>
      </c>
      <c r="D7" s="212" t="str">
        <f>IFERROR(__xludf.DUMMYFUNCTION("""COMPUTED_VALUE"""),"Fallback Campaign")</f>
        <v>Fallback Campaign</v>
      </c>
      <c r="E7" s="96" t="str">
        <f>IFERROR(__xludf.DUMMYFUNCTION("""COMPUTED_VALUE"""),"AGIPL")</f>
        <v>AGIPL</v>
      </c>
      <c r="F7" s="212" t="str">
        <f>IFERROR(__xludf.DUMMYFUNCTION("""COMPUTED_VALUE"""),"App Launch Campaign")</f>
        <v>App Launch Campaign</v>
      </c>
      <c r="G7" s="212" t="str">
        <f>IFERROR(__xludf.DUMMYFUNCTION("""COMPUTED_VALUE"""),"CROCS_ALAPP_SMS")</f>
        <v>CROCS_ALAPP_SMS</v>
      </c>
      <c r="H7" s="28" t="str">
        <f>IFERROR(__xludf.DUMMYFUNCTION("""COMPUTED_VALUE"""),"CrossBrand_CROCS_ALAPP")</f>
        <v>CrossBrand_CROCS_ALAPP</v>
      </c>
      <c r="I7" s="28" t="str">
        <f>IFERROR(__xludf.DUMMYFUNCTION("""COMPUTED_VALUE"""),"WA Undelivered")</f>
        <v>WA Undelivered</v>
      </c>
      <c r="J7" s="239">
        <f>IFERROR(__xludf.DUMMYFUNCTION("""COMPUTED_VALUE"""),11011.0)</f>
        <v>11011</v>
      </c>
      <c r="K7" s="240">
        <f>IFERROR(__xludf.DUMMYFUNCTION("""COMPUTED_VALUE"""),6294.0)</f>
        <v>6294</v>
      </c>
      <c r="L7" s="241">
        <f>IFERROR(__xludf.DUMMYFUNCTION("""COMPUTED_VALUE"""),0.5716)</f>
        <v>0.5716</v>
      </c>
      <c r="M7" s="240"/>
      <c r="N7" s="136"/>
      <c r="O7" s="239">
        <f>IFERROR(__xludf.DUMMYFUNCTION("""COMPUTED_VALUE"""),3.0)</f>
        <v>3</v>
      </c>
      <c r="P7" s="239"/>
      <c r="Q7" s="214">
        <f>IFERROR(__xludf.DUMMYFUNCTION("""COMPUTED_VALUE"""),5.0E-4)</f>
        <v>0.0005</v>
      </c>
      <c r="R7" s="214"/>
      <c r="S7" s="101"/>
      <c r="T7" s="222"/>
      <c r="U7" s="242"/>
      <c r="V7" s="242" t="str">
        <f>IFERROR(__xludf.DUMMYFUNCTION("""COMPUTED_VALUE"""),"overall")</f>
        <v>overall</v>
      </c>
      <c r="W7" s="243" t="str">
        <f>IFERROR(__xludf.DUMMYFUNCTION("""COMPUTED_VALUE"""),"SMS")</f>
        <v>SMS</v>
      </c>
      <c r="X7" s="243" t="str">
        <f>IFERROR(__xludf.DUMMYFUNCTION("""COMPUTED_VALUE"""),"Cross Brand")</f>
        <v>Cross Brand</v>
      </c>
      <c r="Y7" s="243" t="str">
        <f>IFERROR(__xludf.DUMMYFUNCTION("""COMPUTED_VALUE"""),"17th March 206, Tuesday ")</f>
        <v>17th March 206, Tuesday </v>
      </c>
      <c r="Z7" s="243" t="str">
        <f>IFERROR(__xludf.DUMMYFUNCTION("""COMPUTED_VALUE"""),"69b4147c07ecbc8ce4521fa8")</f>
        <v>69b4147c07ecbc8ce4521fa8</v>
      </c>
      <c r="AA7" s="243"/>
      <c r="AB7" s="243"/>
      <c r="AC7" s="243"/>
      <c r="AD7" s="243"/>
      <c r="AE7" s="243"/>
      <c r="AF7" s="243"/>
      <c r="AG7" s="208"/>
      <c r="AH7" s="208"/>
      <c r="AI7" s="208"/>
      <c r="AJ7" s="208"/>
      <c r="AK7" s="208"/>
    </row>
    <row r="8">
      <c r="A8" s="314">
        <f>IFERROR(__xludf.DUMMYFUNCTION("""COMPUTED_VALUE"""),46136.0)</f>
        <v>46136</v>
      </c>
      <c r="B8" s="238">
        <f>IFERROR(__xludf.DUMMYFUNCTION("""COMPUTED_VALUE"""),0.4166666666678793)</f>
        <v>0.4166666667</v>
      </c>
      <c r="C8" s="96" t="str">
        <f>IFERROR(__xludf.DUMMYFUNCTION("""COMPUTED_VALUE"""),"Whatsapp")</f>
        <v>Whatsapp</v>
      </c>
      <c r="D8" s="212" t="str">
        <f>IFERROR(__xludf.DUMMYFUNCTION("""COMPUTED_VALUE"""),"Promotional")</f>
        <v>Promotional</v>
      </c>
      <c r="E8" s="96" t="str">
        <f>IFERROR(__xludf.DUMMYFUNCTION("""COMPUTED_VALUE"""),"AGIPL")</f>
        <v>AGIPL</v>
      </c>
      <c r="F8" s="212" t="str">
        <f>IFERROR(__xludf.DUMMYFUNCTION("""COMPUTED_VALUE"""),"No Brief")</f>
        <v>No Brief</v>
      </c>
      <c r="G8" s="212" t="str">
        <f>IFERROR(__xludf.DUMMYFUNCTION("""COMPUTED_VALUE"""),"BBW_crossbrand_AL_WA_v2")</f>
        <v>BBW_crossbrand_AL_WA_v2</v>
      </c>
      <c r="H8" s="28" t="str">
        <f>IFERROR(__xludf.DUMMYFUNCTION("""COMPUTED_VALUE"""),"BBW_OFF_MMR_Base")</f>
        <v>BBW_OFF_MMR_Base</v>
      </c>
      <c r="I8" s="28" t="str">
        <f>IFERROR(__xludf.DUMMYFUNCTION("""COMPUTED_VALUE"""),"All Offline Customers who have purchased with Txn_City is Mumbai or Navi Mumbai or Thane (MMR) from brand BBW")</f>
        <v>All Offline Customers who have purchased with Txn_City is Mumbai or Navi Mumbai or Thane (MMR) from brand BBW</v>
      </c>
      <c r="J8" s="239">
        <f>IFERROR(__xludf.DUMMYFUNCTION("""COMPUTED_VALUE"""),103917.0)</f>
        <v>103917</v>
      </c>
      <c r="K8" s="240">
        <f>IFERROR(__xludf.DUMMYFUNCTION("""COMPUTED_VALUE"""),51943.0)</f>
        <v>51943</v>
      </c>
      <c r="L8" s="241">
        <f>IFERROR(__xludf.DUMMYFUNCTION("""COMPUTED_VALUE"""),0.4998)</f>
        <v>0.4998</v>
      </c>
      <c r="M8" s="240">
        <f>IFERROR(__xludf.DUMMYFUNCTION("""COMPUTED_VALUE"""),22102.0)</f>
        <v>22102</v>
      </c>
      <c r="N8" s="136">
        <f>IFERROR(__xludf.DUMMYFUNCTION("""COMPUTED_VALUE"""),0.4255)</f>
        <v>0.4255</v>
      </c>
      <c r="O8" s="239">
        <f>IFERROR(__xludf.DUMMYFUNCTION("""COMPUTED_VALUE"""),789.0)</f>
        <v>789</v>
      </c>
      <c r="P8" s="239">
        <f>IFERROR(__xludf.DUMMYFUNCTION("""COMPUTED_VALUE"""),756.0)</f>
        <v>756</v>
      </c>
      <c r="Q8" s="214">
        <f>IFERROR(__xludf.DUMMYFUNCTION("""COMPUTED_VALUE"""),0.0146)</f>
        <v>0.0146</v>
      </c>
      <c r="R8" s="214">
        <f>IFERROR(__xludf.DUMMYFUNCTION("""COMPUTED_VALUE"""),0.0342)</f>
        <v>0.0342</v>
      </c>
      <c r="S8" s="101">
        <f>IFERROR(__xludf.DUMMYFUNCTION("""COMPUTED_VALUE"""),0.0)</f>
        <v>0</v>
      </c>
      <c r="T8" s="222">
        <f>IFERROR(__xludf.DUMMYFUNCTION("""COMPUTED_VALUE"""),0.0)</f>
        <v>0</v>
      </c>
      <c r="U8" s="242">
        <f>IFERROR(__xludf.DUMMYFUNCTION("""COMPUTED_VALUE"""),0.0)</f>
        <v>0</v>
      </c>
      <c r="V8" s="242" t="str">
        <f>IFERROR(__xludf.DUMMYFUNCTION("""COMPUTED_VALUE"""),"offline")</f>
        <v>offline</v>
      </c>
      <c r="W8" s="243" t="str">
        <f>IFERROR(__xludf.DUMMYFUNCTION("""COMPUTED_VALUE"""),"simple")</f>
        <v>simple</v>
      </c>
      <c r="X8" s="243" t="str">
        <f>IFERROR(__xludf.DUMMYFUNCTION("""COMPUTED_VALUE"""),"Cross Brand")</f>
        <v>Cross Brand</v>
      </c>
      <c r="Y8" s="243" t="str">
        <f>IFERROR(__xludf.DUMMYFUNCTION("""COMPUTED_VALUE"""),"27th april")</f>
        <v>27th april</v>
      </c>
      <c r="Z8" s="243" t="str">
        <f>IFERROR(__xludf.DUMMYFUNCTION("""COMPUTED_VALUE"""),"69eae8d03a4e21ee7c573015")</f>
        <v>69eae8d03a4e21ee7c573015</v>
      </c>
      <c r="AA8" s="243">
        <f>IFERROR(__xludf.DUMMYFUNCTION("""COMPUTED_VALUE"""),30.0)</f>
        <v>30</v>
      </c>
      <c r="AB8" s="243"/>
      <c r="AC8" s="243">
        <f>IFERROR(__xludf.DUMMYFUNCTION("""COMPUTED_VALUE"""),30.0)</f>
        <v>30</v>
      </c>
      <c r="AD8" s="243">
        <f>IFERROR(__xludf.DUMMYFUNCTION("""COMPUTED_VALUE"""),139099.0)</f>
        <v>139099</v>
      </c>
      <c r="AE8" s="243"/>
      <c r="AF8" s="243">
        <f>IFERROR(__xludf.DUMMYFUNCTION("""COMPUTED_VALUE"""),139099.0)</f>
        <v>139099</v>
      </c>
      <c r="AG8" s="208"/>
      <c r="AH8" s="208"/>
      <c r="AI8" s="208"/>
      <c r="AJ8" s="208"/>
      <c r="AK8" s="208"/>
    </row>
    <row r="9">
      <c r="A9" s="314">
        <f>IFERROR(__xludf.DUMMYFUNCTION("""COMPUTED_VALUE"""),46136.0)</f>
        <v>46136</v>
      </c>
      <c r="B9" s="238">
        <f>IFERROR(__xludf.DUMMYFUNCTION("""COMPUTED_VALUE"""),0.4166666666678793)</f>
        <v>0.4166666667</v>
      </c>
      <c r="C9" s="96" t="str">
        <f>IFERROR(__xludf.DUMMYFUNCTION("""COMPUTED_VALUE"""),"Whatsapp")</f>
        <v>Whatsapp</v>
      </c>
      <c r="D9" s="212" t="str">
        <f>IFERROR(__xludf.DUMMYFUNCTION("""COMPUTED_VALUE"""),"Promotional")</f>
        <v>Promotional</v>
      </c>
      <c r="E9" s="96" t="str">
        <f>IFERROR(__xludf.DUMMYFUNCTION("""COMPUTED_VALUE"""),"AGIPL")</f>
        <v>AGIPL</v>
      </c>
      <c r="F9" s="212" t="str">
        <f>IFERROR(__xludf.DUMMYFUNCTION("""COMPUTED_VALUE"""),"No Brief")</f>
        <v>No Brief</v>
      </c>
      <c r="G9" s="212" t="str">
        <f>IFERROR(__xludf.DUMMYFUNCTION("""COMPUTED_VALUE"""),"VS_crossbrand_AL_WA_v2")</f>
        <v>VS_crossbrand_AL_WA_v2</v>
      </c>
      <c r="H9" s="28" t="str">
        <f>IFERROR(__xludf.DUMMYFUNCTION("""COMPUTED_VALUE"""),"VS_OFF_MMR_Base")</f>
        <v>VS_OFF_MMR_Base</v>
      </c>
      <c r="I9" s="28" t="str">
        <f>IFERROR(__xludf.DUMMYFUNCTION("""COMPUTED_VALUE"""),"All Offline Customers who have purchased with Txn_City is Mumbai or Navi Mumbai or Thane (MMR) from brand VS")</f>
        <v>All Offline Customers who have purchased with Txn_City is Mumbai or Navi Mumbai or Thane (MMR) from brand VS</v>
      </c>
      <c r="J9" s="239">
        <f>IFERROR(__xludf.DUMMYFUNCTION("""COMPUTED_VALUE"""),37745.0)</f>
        <v>37745</v>
      </c>
      <c r="K9" s="240">
        <f>IFERROR(__xludf.DUMMYFUNCTION("""COMPUTED_VALUE"""),18283.0)</f>
        <v>18283</v>
      </c>
      <c r="L9" s="241">
        <f>IFERROR(__xludf.DUMMYFUNCTION("""COMPUTED_VALUE"""),0.4844)</f>
        <v>0.4844</v>
      </c>
      <c r="M9" s="240">
        <f>IFERROR(__xludf.DUMMYFUNCTION("""COMPUTED_VALUE"""),6557.0)</f>
        <v>6557</v>
      </c>
      <c r="N9" s="136">
        <f>IFERROR(__xludf.DUMMYFUNCTION("""COMPUTED_VALUE"""),0.3586)</f>
        <v>0.3586</v>
      </c>
      <c r="O9" s="239">
        <f>IFERROR(__xludf.DUMMYFUNCTION("""COMPUTED_VALUE"""),292.0)</f>
        <v>292</v>
      </c>
      <c r="P9" s="239">
        <f>IFERROR(__xludf.DUMMYFUNCTION("""COMPUTED_VALUE"""),273.0)</f>
        <v>273</v>
      </c>
      <c r="Q9" s="214">
        <f>IFERROR(__xludf.DUMMYFUNCTION("""COMPUTED_VALUE"""),0.0149)</f>
        <v>0.0149</v>
      </c>
      <c r="R9" s="214">
        <f>IFERROR(__xludf.DUMMYFUNCTION("""COMPUTED_VALUE"""),0.0416)</f>
        <v>0.0416</v>
      </c>
      <c r="S9" s="101">
        <f>IFERROR(__xludf.DUMMYFUNCTION("""COMPUTED_VALUE"""),0.0)</f>
        <v>0</v>
      </c>
      <c r="T9" s="222">
        <f>IFERROR(__xludf.DUMMYFUNCTION("""COMPUTED_VALUE"""),0.0)</f>
        <v>0</v>
      </c>
      <c r="U9" s="242">
        <f>IFERROR(__xludf.DUMMYFUNCTION("""COMPUTED_VALUE"""),0.0)</f>
        <v>0</v>
      </c>
      <c r="V9" s="242" t="str">
        <f>IFERROR(__xludf.DUMMYFUNCTION("""COMPUTED_VALUE"""),"offline")</f>
        <v>offline</v>
      </c>
      <c r="W9" s="243" t="str">
        <f>IFERROR(__xludf.DUMMYFUNCTION("""COMPUTED_VALUE"""),"simple")</f>
        <v>simple</v>
      </c>
      <c r="X9" s="243" t="str">
        <f>IFERROR(__xludf.DUMMYFUNCTION("""COMPUTED_VALUE"""),"Cross Brand")</f>
        <v>Cross Brand</v>
      </c>
      <c r="Y9" s="243" t="str">
        <f>IFERROR(__xludf.DUMMYFUNCTION("""COMPUTED_VALUE"""),"27th april")</f>
        <v>27th april</v>
      </c>
      <c r="Z9" s="243" t="str">
        <f>IFERROR(__xludf.DUMMYFUNCTION("""COMPUTED_VALUE"""),"69eae9013a4e21ee7c57301b")</f>
        <v>69eae9013a4e21ee7c57301b</v>
      </c>
      <c r="AA9" s="243">
        <f>IFERROR(__xludf.DUMMYFUNCTION("""COMPUTED_VALUE"""),19.0)</f>
        <v>19</v>
      </c>
      <c r="AB9" s="243"/>
      <c r="AC9" s="243">
        <f>IFERROR(__xludf.DUMMYFUNCTION("""COMPUTED_VALUE"""),19.0)</f>
        <v>19</v>
      </c>
      <c r="AD9" s="243">
        <f>IFERROR(__xludf.DUMMYFUNCTION("""COMPUTED_VALUE"""),178264.0)</f>
        <v>178264</v>
      </c>
      <c r="AE9" s="243"/>
      <c r="AF9" s="243">
        <f>IFERROR(__xludf.DUMMYFUNCTION("""COMPUTED_VALUE"""),178264.0)</f>
        <v>178264</v>
      </c>
      <c r="AG9" s="208"/>
      <c r="AH9" s="208"/>
      <c r="AI9" s="208"/>
      <c r="AJ9" s="208"/>
      <c r="AK9" s="208"/>
    </row>
    <row r="10">
      <c r="A10" s="314">
        <f>IFERROR(__xludf.DUMMYFUNCTION("""COMPUTED_VALUE"""),46136.0)</f>
        <v>46136</v>
      </c>
      <c r="B10" s="238">
        <f>IFERROR(__xludf.DUMMYFUNCTION("""COMPUTED_VALUE"""),0.4166666666678793)</f>
        <v>0.4166666667</v>
      </c>
      <c r="C10" s="96" t="str">
        <f>IFERROR(__xludf.DUMMYFUNCTION("""COMPUTED_VALUE"""),"Whatsapp")</f>
        <v>Whatsapp</v>
      </c>
      <c r="D10" s="212" t="str">
        <f>IFERROR(__xludf.DUMMYFUNCTION("""COMPUTED_VALUE"""),"Promotional")</f>
        <v>Promotional</v>
      </c>
      <c r="E10" s="96" t="str">
        <f>IFERROR(__xludf.DUMMYFUNCTION("""COMPUTED_VALUE"""),"AGIPL")</f>
        <v>AGIPL</v>
      </c>
      <c r="F10" s="212" t="str">
        <f>IFERROR(__xludf.DUMMYFUNCTION("""COMPUTED_VALUE"""),"No Brief")</f>
        <v>No Brief</v>
      </c>
      <c r="G10" s="212" t="str">
        <f>IFERROR(__xludf.DUMMYFUNCTION("""COMPUTED_VALUE"""),"BHPC_crossbrand_AL_WA_v2")</f>
        <v>BHPC_crossbrand_AL_WA_v2</v>
      </c>
      <c r="H10" s="28" t="str">
        <f>IFERROR(__xludf.DUMMYFUNCTION("""COMPUTED_VALUE"""),"BHPC_OFF_MMR_Base")</f>
        <v>BHPC_OFF_MMR_Base</v>
      </c>
      <c r="I10" s="28" t="str">
        <f>IFERROR(__xludf.DUMMYFUNCTION("""COMPUTED_VALUE"""),"All Offline Customers who have purchased with Txn_City is Mumbai or Navi Mumbai or Thane (MMR) from brand BHPC")</f>
        <v>All Offline Customers who have purchased with Txn_City is Mumbai or Navi Mumbai or Thane (MMR) from brand BHPC</v>
      </c>
      <c r="J10" s="239">
        <f>IFERROR(__xludf.DUMMYFUNCTION("""COMPUTED_VALUE"""),9449.0)</f>
        <v>9449</v>
      </c>
      <c r="K10" s="240">
        <f>IFERROR(__xludf.DUMMYFUNCTION("""COMPUTED_VALUE"""),5439.0)</f>
        <v>5439</v>
      </c>
      <c r="L10" s="241">
        <f>IFERROR(__xludf.DUMMYFUNCTION("""COMPUTED_VALUE"""),0.5756)</f>
        <v>0.5756</v>
      </c>
      <c r="M10" s="240">
        <f>IFERROR(__xludf.DUMMYFUNCTION("""COMPUTED_VALUE"""),2792.0)</f>
        <v>2792</v>
      </c>
      <c r="N10" s="136">
        <f>IFERROR(__xludf.DUMMYFUNCTION("""COMPUTED_VALUE"""),0.5133)</f>
        <v>0.5133</v>
      </c>
      <c r="O10" s="239">
        <f>IFERROR(__xludf.DUMMYFUNCTION("""COMPUTED_VALUE"""),116.0)</f>
        <v>116</v>
      </c>
      <c r="P10" s="239">
        <f>IFERROR(__xludf.DUMMYFUNCTION("""COMPUTED_VALUE"""),108.0)</f>
        <v>108</v>
      </c>
      <c r="Q10" s="214">
        <f>IFERROR(__xludf.DUMMYFUNCTION("""COMPUTED_VALUE"""),0.0199)</f>
        <v>0.0199</v>
      </c>
      <c r="R10" s="214">
        <f>IFERROR(__xludf.DUMMYFUNCTION("""COMPUTED_VALUE"""),0.0387)</f>
        <v>0.0387</v>
      </c>
      <c r="S10" s="101">
        <f>IFERROR(__xludf.DUMMYFUNCTION("""COMPUTED_VALUE"""),0.0)</f>
        <v>0</v>
      </c>
      <c r="T10" s="222">
        <f>IFERROR(__xludf.DUMMYFUNCTION("""COMPUTED_VALUE"""),0.0)</f>
        <v>0</v>
      </c>
      <c r="U10" s="242">
        <f>IFERROR(__xludf.DUMMYFUNCTION("""COMPUTED_VALUE"""),0.0)</f>
        <v>0</v>
      </c>
      <c r="V10" s="242" t="str">
        <f>IFERROR(__xludf.DUMMYFUNCTION("""COMPUTED_VALUE"""),"offline")</f>
        <v>offline</v>
      </c>
      <c r="W10" s="243" t="str">
        <f>IFERROR(__xludf.DUMMYFUNCTION("""COMPUTED_VALUE"""),"simple")</f>
        <v>simple</v>
      </c>
      <c r="X10" s="243" t="str">
        <f>IFERROR(__xludf.DUMMYFUNCTION("""COMPUTED_VALUE"""),"Cross Brand")</f>
        <v>Cross Brand</v>
      </c>
      <c r="Y10" s="243" t="str">
        <f>IFERROR(__xludf.DUMMYFUNCTION("""COMPUTED_VALUE"""),"27th april")</f>
        <v>27th april</v>
      </c>
      <c r="Z10" s="243" t="str">
        <f>IFERROR(__xludf.DUMMYFUNCTION("""COMPUTED_VALUE"""),"69eae91fc4c1869659490983")</f>
        <v>69eae91fc4c1869659490983</v>
      </c>
      <c r="AA10" s="243">
        <f>IFERROR(__xludf.DUMMYFUNCTION("""COMPUTED_VALUE"""),3.0)</f>
        <v>3</v>
      </c>
      <c r="AB10" s="243"/>
      <c r="AC10" s="243">
        <f>IFERROR(__xludf.DUMMYFUNCTION("""COMPUTED_VALUE"""),3.0)</f>
        <v>3</v>
      </c>
      <c r="AD10" s="243">
        <f>IFERROR(__xludf.DUMMYFUNCTION("""COMPUTED_VALUE"""),14795.0)</f>
        <v>14795</v>
      </c>
      <c r="AE10" s="243"/>
      <c r="AF10" s="243">
        <f>IFERROR(__xludf.DUMMYFUNCTION("""COMPUTED_VALUE"""),14795.0)</f>
        <v>14795</v>
      </c>
      <c r="AG10" s="208"/>
      <c r="AH10" s="208"/>
      <c r="AI10" s="208"/>
      <c r="AJ10" s="208"/>
      <c r="AK10" s="208"/>
    </row>
    <row r="11">
      <c r="A11" s="314">
        <f>IFERROR(__xludf.DUMMYFUNCTION("""COMPUTED_VALUE"""),46136.0)</f>
        <v>46136</v>
      </c>
      <c r="B11" s="238">
        <f>IFERROR(__xludf.DUMMYFUNCTION("""COMPUTED_VALUE"""),0.75)</f>
        <v>0.75</v>
      </c>
      <c r="C11" s="96" t="str">
        <f>IFERROR(__xludf.DUMMYFUNCTION("""COMPUTED_VALUE"""),"Sms")</f>
        <v>Sms</v>
      </c>
      <c r="D11" s="212" t="str">
        <f>IFERROR(__xludf.DUMMYFUNCTION("""COMPUTED_VALUE"""),"Fallback campaign")</f>
        <v>Fallback campaign</v>
      </c>
      <c r="E11" s="96" t="str">
        <f>IFERROR(__xludf.DUMMYFUNCTION("""COMPUTED_VALUE"""),"AGIPL")</f>
        <v>AGIPL</v>
      </c>
      <c r="F11" s="212" t="str">
        <f>IFERROR(__xludf.DUMMYFUNCTION("""COMPUTED_VALUE"""),"No Brief")</f>
        <v>No Brief</v>
      </c>
      <c r="G11" s="212" t="str">
        <f>IFERROR(__xludf.DUMMYFUNCTION("""COMPUTED_VALUE"""),"BHPC_crossbrand")</f>
        <v>BHPC_crossbrand</v>
      </c>
      <c r="H11" s="28" t="str">
        <f>IFERROR(__xludf.DUMMYFUNCTION("""COMPUTED_VALUE"""),"BHPC_OFF_MMR_Base")</f>
        <v>BHPC_OFF_MMR_Base</v>
      </c>
      <c r="I11" s="28" t="str">
        <f>IFERROR(__xludf.DUMMYFUNCTION("""COMPUTED_VALUE"""),"WA Undelivered")</f>
        <v>WA Undelivered</v>
      </c>
      <c r="J11" s="239">
        <f>IFERROR(__xludf.DUMMYFUNCTION("""COMPUTED_VALUE"""),3922.0)</f>
        <v>3922</v>
      </c>
      <c r="K11" s="240">
        <f>IFERROR(__xludf.DUMMYFUNCTION("""COMPUTED_VALUE"""),1956.0)</f>
        <v>1956</v>
      </c>
      <c r="L11" s="241">
        <f>IFERROR(__xludf.DUMMYFUNCTION("""COMPUTED_VALUE"""),0.4987)</f>
        <v>0.4987</v>
      </c>
      <c r="M11" s="240">
        <f>IFERROR(__xludf.DUMMYFUNCTION("""COMPUTED_VALUE"""),0.0)</f>
        <v>0</v>
      </c>
      <c r="N11" s="136">
        <f>IFERROR(__xludf.DUMMYFUNCTION("""COMPUTED_VALUE"""),0.0)</f>
        <v>0</v>
      </c>
      <c r="O11" s="239">
        <f>IFERROR(__xludf.DUMMYFUNCTION("""COMPUTED_VALUE"""),0.0)</f>
        <v>0</v>
      </c>
      <c r="P11" s="239">
        <f>IFERROR(__xludf.DUMMYFUNCTION("""COMPUTED_VALUE"""),0.0)</f>
        <v>0</v>
      </c>
      <c r="Q11" s="214">
        <f>IFERROR(__xludf.DUMMYFUNCTION("""COMPUTED_VALUE"""),0.0)</f>
        <v>0</v>
      </c>
      <c r="R11" s="214">
        <f>IFERROR(__xludf.DUMMYFUNCTION("""COMPUTED_VALUE"""),0.0)</f>
        <v>0</v>
      </c>
      <c r="S11" s="101">
        <f>IFERROR(__xludf.DUMMYFUNCTION("""COMPUTED_VALUE"""),0.0)</f>
        <v>0</v>
      </c>
      <c r="T11" s="222">
        <f>IFERROR(__xludf.DUMMYFUNCTION("""COMPUTED_VALUE"""),0.0)</f>
        <v>0</v>
      </c>
      <c r="U11" s="242">
        <f>IFERROR(__xludf.DUMMYFUNCTION("""COMPUTED_VALUE"""),0.0)</f>
        <v>0</v>
      </c>
      <c r="V11" s="242" t="str">
        <f>IFERROR(__xludf.DUMMYFUNCTION("""COMPUTED_VALUE"""),"offline")</f>
        <v>offline</v>
      </c>
      <c r="W11" s="243" t="str">
        <f>IFERROR(__xludf.DUMMYFUNCTION("""COMPUTED_VALUE"""),"sms")</f>
        <v>sms</v>
      </c>
      <c r="X11" s="243" t="str">
        <f>IFERROR(__xludf.DUMMYFUNCTION("""COMPUTED_VALUE"""),"Cross Brand")</f>
        <v>Cross Brand</v>
      </c>
      <c r="Y11" s="243" t="str">
        <f>IFERROR(__xludf.DUMMYFUNCTION("""COMPUTED_VALUE"""),"27th april")</f>
        <v>27th april</v>
      </c>
      <c r="Z11" s="243" t="str">
        <f>IFERROR(__xludf.DUMMYFUNCTION("""COMPUTED_VALUE"""),"69eb61f675528cfe0fb594a7")</f>
        <v>69eb61f675528cfe0fb594a7</v>
      </c>
      <c r="AA11" s="243">
        <f>IFERROR(__xludf.DUMMYFUNCTION("""COMPUTED_VALUE"""),0.0)</f>
        <v>0</v>
      </c>
      <c r="AB11" s="243"/>
      <c r="AC11" s="243">
        <f>IFERROR(__xludf.DUMMYFUNCTION("""COMPUTED_VALUE"""),0.0)</f>
        <v>0</v>
      </c>
      <c r="AD11" s="243">
        <f>IFERROR(__xludf.DUMMYFUNCTION("""COMPUTED_VALUE"""),0.0)</f>
        <v>0</v>
      </c>
      <c r="AE11" s="243"/>
      <c r="AF11" s="243">
        <f>IFERROR(__xludf.DUMMYFUNCTION("""COMPUTED_VALUE"""),0.0)</f>
        <v>0</v>
      </c>
      <c r="AG11" s="208"/>
      <c r="AH11" s="208"/>
      <c r="AI11" s="208"/>
      <c r="AJ11" s="208"/>
      <c r="AK11" s="208"/>
    </row>
    <row r="12">
      <c r="A12" s="314">
        <f>IFERROR(__xludf.DUMMYFUNCTION("""COMPUTED_VALUE"""),46136.0)</f>
        <v>46136</v>
      </c>
      <c r="B12" s="238">
        <f>IFERROR(__xludf.DUMMYFUNCTION("""COMPUTED_VALUE"""),0.75)</f>
        <v>0.75</v>
      </c>
      <c r="C12" s="96" t="str">
        <f>IFERROR(__xludf.DUMMYFUNCTION("""COMPUTED_VALUE"""),"Sms")</f>
        <v>Sms</v>
      </c>
      <c r="D12" s="212" t="str">
        <f>IFERROR(__xludf.DUMMYFUNCTION("""COMPUTED_VALUE"""),"Fallback campaign")</f>
        <v>Fallback campaign</v>
      </c>
      <c r="E12" s="96" t="str">
        <f>IFERROR(__xludf.DUMMYFUNCTION("""COMPUTED_VALUE"""),"AGIPL")</f>
        <v>AGIPL</v>
      </c>
      <c r="F12" s="212" t="str">
        <f>IFERROR(__xludf.DUMMYFUNCTION("""COMPUTED_VALUE"""),"No Brief")</f>
        <v>No Brief</v>
      </c>
      <c r="G12" s="212" t="str">
        <f>IFERROR(__xludf.DUMMYFUNCTION("""COMPUTED_VALUE"""),"VS_crossbrand")</f>
        <v>VS_crossbrand</v>
      </c>
      <c r="H12" s="28" t="str">
        <f>IFERROR(__xludf.DUMMYFUNCTION("""COMPUTED_VALUE"""),"VS_OFF_MMR_Base")</f>
        <v>VS_OFF_MMR_Base</v>
      </c>
      <c r="I12" s="28" t="str">
        <f>IFERROR(__xludf.DUMMYFUNCTION("""COMPUTED_VALUE"""),"WA Undelivered")</f>
        <v>WA Undelivered</v>
      </c>
      <c r="J12" s="239">
        <f>IFERROR(__xludf.DUMMYFUNCTION("""COMPUTED_VALUE"""),19257.0)</f>
        <v>19257</v>
      </c>
      <c r="K12" s="240">
        <f>IFERROR(__xludf.DUMMYFUNCTION("""COMPUTED_VALUE"""),11117.0)</f>
        <v>11117</v>
      </c>
      <c r="L12" s="241">
        <f>IFERROR(__xludf.DUMMYFUNCTION("""COMPUTED_VALUE"""),0.5773)</f>
        <v>0.5773</v>
      </c>
      <c r="M12" s="240">
        <f>IFERROR(__xludf.DUMMYFUNCTION("""COMPUTED_VALUE"""),0.0)</f>
        <v>0</v>
      </c>
      <c r="N12" s="136">
        <f>IFERROR(__xludf.DUMMYFUNCTION("""COMPUTED_VALUE"""),0.0)</f>
        <v>0</v>
      </c>
      <c r="O12" s="239">
        <f>IFERROR(__xludf.DUMMYFUNCTION("""COMPUTED_VALUE"""),0.0)</f>
        <v>0</v>
      </c>
      <c r="P12" s="239">
        <f>IFERROR(__xludf.DUMMYFUNCTION("""COMPUTED_VALUE"""),0.0)</f>
        <v>0</v>
      </c>
      <c r="Q12" s="214">
        <f>IFERROR(__xludf.DUMMYFUNCTION("""COMPUTED_VALUE"""),0.0)</f>
        <v>0</v>
      </c>
      <c r="R12" s="214">
        <f>IFERROR(__xludf.DUMMYFUNCTION("""COMPUTED_VALUE"""),0.0)</f>
        <v>0</v>
      </c>
      <c r="S12" s="101">
        <f>IFERROR(__xludf.DUMMYFUNCTION("""COMPUTED_VALUE"""),0.0)</f>
        <v>0</v>
      </c>
      <c r="T12" s="222">
        <f>IFERROR(__xludf.DUMMYFUNCTION("""COMPUTED_VALUE"""),0.0)</f>
        <v>0</v>
      </c>
      <c r="U12" s="242">
        <f>IFERROR(__xludf.DUMMYFUNCTION("""COMPUTED_VALUE"""),0.0)</f>
        <v>0</v>
      </c>
      <c r="V12" s="242" t="str">
        <f>IFERROR(__xludf.DUMMYFUNCTION("""COMPUTED_VALUE"""),"offline")</f>
        <v>offline</v>
      </c>
      <c r="W12" s="243" t="str">
        <f>IFERROR(__xludf.DUMMYFUNCTION("""COMPUTED_VALUE"""),"sms")</f>
        <v>sms</v>
      </c>
      <c r="X12" s="243" t="str">
        <f>IFERROR(__xludf.DUMMYFUNCTION("""COMPUTED_VALUE"""),"Cross Brand")</f>
        <v>Cross Brand</v>
      </c>
      <c r="Y12" s="243" t="str">
        <f>IFERROR(__xludf.DUMMYFUNCTION("""COMPUTED_VALUE"""),"27th april")</f>
        <v>27th april</v>
      </c>
      <c r="Z12" s="243" t="str">
        <f>IFERROR(__xludf.DUMMYFUNCTION("""COMPUTED_VALUE"""),"69eb6207a599a1d8f3287f54")</f>
        <v>69eb6207a599a1d8f3287f54</v>
      </c>
      <c r="AA12" s="243">
        <f>IFERROR(__xludf.DUMMYFUNCTION("""COMPUTED_VALUE"""),7.0)</f>
        <v>7</v>
      </c>
      <c r="AB12" s="243"/>
      <c r="AC12" s="243">
        <f>IFERROR(__xludf.DUMMYFUNCTION("""COMPUTED_VALUE"""),7.0)</f>
        <v>7</v>
      </c>
      <c r="AD12" s="243">
        <f>IFERROR(__xludf.DUMMYFUNCTION("""COMPUTED_VALUE"""),67719.0)</f>
        <v>67719</v>
      </c>
      <c r="AE12" s="243"/>
      <c r="AF12" s="243">
        <f>IFERROR(__xludf.DUMMYFUNCTION("""COMPUTED_VALUE"""),67719.0)</f>
        <v>67719</v>
      </c>
      <c r="AG12" s="208"/>
      <c r="AH12" s="208"/>
      <c r="AI12" s="208"/>
      <c r="AJ12" s="208"/>
      <c r="AK12" s="208"/>
    </row>
    <row r="13">
      <c r="A13" s="314">
        <f>IFERROR(__xludf.DUMMYFUNCTION("""COMPUTED_VALUE"""),46136.0)</f>
        <v>46136</v>
      </c>
      <c r="B13" s="238">
        <f>IFERROR(__xludf.DUMMYFUNCTION("""COMPUTED_VALUE"""),0.75)</f>
        <v>0.75</v>
      </c>
      <c r="C13" s="96" t="str">
        <f>IFERROR(__xludf.DUMMYFUNCTION("""COMPUTED_VALUE"""),"Sms")</f>
        <v>Sms</v>
      </c>
      <c r="D13" s="212" t="str">
        <f>IFERROR(__xludf.DUMMYFUNCTION("""COMPUTED_VALUE"""),"Fallback campaign")</f>
        <v>Fallback campaign</v>
      </c>
      <c r="E13" s="96" t="str">
        <f>IFERROR(__xludf.DUMMYFUNCTION("""COMPUTED_VALUE"""),"AGIPL")</f>
        <v>AGIPL</v>
      </c>
      <c r="F13" s="212" t="str">
        <f>IFERROR(__xludf.DUMMYFUNCTION("""COMPUTED_VALUE"""),"No Brief")</f>
        <v>No Brief</v>
      </c>
      <c r="G13" s="212" t="str">
        <f>IFERROR(__xludf.DUMMYFUNCTION("""COMPUTED_VALUE"""),"BBW_crossbrand")</f>
        <v>BBW_crossbrand</v>
      </c>
      <c r="H13" s="28" t="str">
        <f>IFERROR(__xludf.DUMMYFUNCTION("""COMPUTED_VALUE"""),"BBW_OFF_MMR_Base")</f>
        <v>BBW_OFF_MMR_Base</v>
      </c>
      <c r="I13" s="28" t="str">
        <f>IFERROR(__xludf.DUMMYFUNCTION("""COMPUTED_VALUE"""),"WA Undelivered")</f>
        <v>WA Undelivered</v>
      </c>
      <c r="J13" s="239">
        <f>IFERROR(__xludf.DUMMYFUNCTION("""COMPUTED_VALUE"""),51634.0)</f>
        <v>51634</v>
      </c>
      <c r="K13" s="240">
        <f>IFERROR(__xludf.DUMMYFUNCTION("""COMPUTED_VALUE"""),28405.0)</f>
        <v>28405</v>
      </c>
      <c r="L13" s="241">
        <f>IFERROR(__xludf.DUMMYFUNCTION("""COMPUTED_VALUE"""),0.5501)</f>
        <v>0.5501</v>
      </c>
      <c r="M13" s="240">
        <f>IFERROR(__xludf.DUMMYFUNCTION("""COMPUTED_VALUE"""),0.0)</f>
        <v>0</v>
      </c>
      <c r="N13" s="136">
        <f>IFERROR(__xludf.DUMMYFUNCTION("""COMPUTED_VALUE"""),0.0)</f>
        <v>0</v>
      </c>
      <c r="O13" s="239">
        <f>IFERROR(__xludf.DUMMYFUNCTION("""COMPUTED_VALUE"""),0.0)</f>
        <v>0</v>
      </c>
      <c r="P13" s="239">
        <f>IFERROR(__xludf.DUMMYFUNCTION("""COMPUTED_VALUE"""),0.0)</f>
        <v>0</v>
      </c>
      <c r="Q13" s="214">
        <f>IFERROR(__xludf.DUMMYFUNCTION("""COMPUTED_VALUE"""),0.0)</f>
        <v>0</v>
      </c>
      <c r="R13" s="214">
        <f>IFERROR(__xludf.DUMMYFUNCTION("""COMPUTED_VALUE"""),0.0)</f>
        <v>0</v>
      </c>
      <c r="S13" s="101">
        <f>IFERROR(__xludf.DUMMYFUNCTION("""COMPUTED_VALUE"""),0.0)</f>
        <v>0</v>
      </c>
      <c r="T13" s="222">
        <f>IFERROR(__xludf.DUMMYFUNCTION("""COMPUTED_VALUE"""),0.0)</f>
        <v>0</v>
      </c>
      <c r="U13" s="242">
        <f>IFERROR(__xludf.DUMMYFUNCTION("""COMPUTED_VALUE"""),0.0)</f>
        <v>0</v>
      </c>
      <c r="V13" s="242" t="str">
        <f>IFERROR(__xludf.DUMMYFUNCTION("""COMPUTED_VALUE"""),"offline")</f>
        <v>offline</v>
      </c>
      <c r="W13" s="243" t="str">
        <f>IFERROR(__xludf.DUMMYFUNCTION("""COMPUTED_VALUE"""),"sms")</f>
        <v>sms</v>
      </c>
      <c r="X13" s="243" t="str">
        <f>IFERROR(__xludf.DUMMYFUNCTION("""COMPUTED_VALUE"""),"Cross Brand")</f>
        <v>Cross Brand</v>
      </c>
      <c r="Y13" s="243" t="str">
        <f>IFERROR(__xludf.DUMMYFUNCTION("""COMPUTED_VALUE"""),"27th april")</f>
        <v>27th april</v>
      </c>
      <c r="Z13" s="243" t="str">
        <f>IFERROR(__xludf.DUMMYFUNCTION("""COMPUTED_VALUE"""),"69eb621ceb38c3005d1ddd57")</f>
        <v>69eb621ceb38c3005d1ddd57</v>
      </c>
      <c r="AA13" s="243">
        <f>IFERROR(__xludf.DUMMYFUNCTION("""COMPUTED_VALUE"""),20.0)</f>
        <v>20</v>
      </c>
      <c r="AB13" s="243"/>
      <c r="AC13" s="243">
        <f>IFERROR(__xludf.DUMMYFUNCTION("""COMPUTED_VALUE"""),20.0)</f>
        <v>20</v>
      </c>
      <c r="AD13" s="243">
        <f>IFERROR(__xludf.DUMMYFUNCTION("""COMPUTED_VALUE"""),178765.0)</f>
        <v>178765</v>
      </c>
      <c r="AE13" s="243"/>
      <c r="AF13" s="243">
        <f>IFERROR(__xludf.DUMMYFUNCTION("""COMPUTED_VALUE"""),178765.0)</f>
        <v>178765</v>
      </c>
      <c r="AG13" s="208"/>
      <c r="AH13" s="208"/>
      <c r="AI13" s="208"/>
      <c r="AJ13" s="208"/>
      <c r="AK13" s="208"/>
    </row>
    <row r="14">
      <c r="A14" s="245">
        <f>IFERROR(__xludf.DUMMYFUNCTION("""COMPUTED_VALUE"""),46143.0)</f>
        <v>46143</v>
      </c>
      <c r="B14" s="220">
        <f>IFERROR(__xludf.DUMMYFUNCTION("""COMPUTED_VALUE"""),0.3541666666678793)</f>
        <v>0.3541666667</v>
      </c>
      <c r="C14" s="222" t="str">
        <f>IFERROR(__xludf.DUMMYFUNCTION("""COMPUTED_VALUE"""),"Whatsapp")</f>
        <v>Whatsapp</v>
      </c>
      <c r="D14" s="222" t="str">
        <f>IFERROR(__xludf.DUMMYFUNCTION("""COMPUTED_VALUE"""),"Promtional")</f>
        <v>Promtional</v>
      </c>
      <c r="E14" s="222" t="str">
        <f>IFERROR(__xludf.DUMMYFUNCTION("""COMPUTED_VALUE"""),"AGIPL")</f>
        <v>AGIPL</v>
      </c>
      <c r="F14" s="222" t="str">
        <f>IFERROR(__xludf.DUMMYFUNCTION("""COMPUTED_VALUE"""),"MAY BOGO 2026 1-3 MAY - B1G1")</f>
        <v>MAY BOGO 2026 1-3 MAY - B1G1</v>
      </c>
      <c r="G14" s="221" t="str">
        <f>IFERROR(__xludf.DUMMYFUNCTION("""COMPUTED_VALUE"""),"day1 crossbrand _VS_Master_OnOff_Exclude_AL")</f>
        <v>day1 crossbrand _VS_Master_OnOff_Exclude_AL</v>
      </c>
      <c r="H14" s="223" t="str">
        <f>IFERROR(__xludf.DUMMYFUNCTION("""COMPUTED_VALUE"""),"VS_Master_OnOff_Exclude_AL")</f>
        <v>VS_Master_OnOff_Exclude_AL</v>
      </c>
      <c r="I14" s="223" t="str">
        <f>IFERROR(__xludf.DUMMYFUNCTION("""COMPUTED_VALUE"""),"VS Base")</f>
        <v>VS Base</v>
      </c>
      <c r="J14" s="224">
        <f>IFERROR(__xludf.DUMMYFUNCTION("""COMPUTED_VALUE"""),229475.0)</f>
        <v>229475</v>
      </c>
      <c r="K14" s="224">
        <f>IFERROR(__xludf.DUMMYFUNCTION("""COMPUTED_VALUE"""),100860.0)</f>
        <v>100860</v>
      </c>
      <c r="L14" s="225">
        <f>IFERROR(__xludf.DUMMYFUNCTION("""COMPUTED_VALUE"""),0.4395)</f>
        <v>0.4395</v>
      </c>
      <c r="M14" s="224">
        <f>IFERROR(__xludf.DUMMYFUNCTION("""COMPUTED_VALUE"""),35256.0)</f>
        <v>35256</v>
      </c>
      <c r="N14" s="225">
        <f>IFERROR(__xludf.DUMMYFUNCTION("""COMPUTED_VALUE"""),0.3495)</f>
        <v>0.3495</v>
      </c>
      <c r="O14" s="224">
        <f>IFERROR(__xludf.DUMMYFUNCTION("""COMPUTED_VALUE"""),4831.0)</f>
        <v>4831</v>
      </c>
      <c r="P14" s="224">
        <f>IFERROR(__xludf.DUMMYFUNCTION("""COMPUTED_VALUE"""),4565.0)</f>
        <v>4565</v>
      </c>
      <c r="Q14" s="225">
        <f>IFERROR(__xludf.DUMMYFUNCTION("""COMPUTED_VALUE"""),0.0453)</f>
        <v>0.0453</v>
      </c>
      <c r="R14" s="225">
        <f>IFERROR(__xludf.DUMMYFUNCTION("""COMPUTED_VALUE"""),0.1295)</f>
        <v>0.1295</v>
      </c>
      <c r="S14" s="226">
        <f>IFERROR(__xludf.DUMMYFUNCTION("""COMPUTED_VALUE"""),0.0)</f>
        <v>0</v>
      </c>
      <c r="T14" s="226">
        <f>IFERROR(__xludf.DUMMYFUNCTION("""COMPUTED_VALUE"""),0.0)</f>
        <v>0</v>
      </c>
      <c r="U14" s="224">
        <f>IFERROR(__xludf.DUMMYFUNCTION("""COMPUTED_VALUE"""),0.0)</f>
        <v>0</v>
      </c>
      <c r="V14" s="224" t="str">
        <f>IFERROR(__xludf.DUMMYFUNCTION("""COMPUTED_VALUE"""),"overall ")</f>
        <v>overall </v>
      </c>
      <c r="W14" s="229" t="str">
        <f>IFERROR(__xludf.DUMMYFUNCTION("""COMPUTED_VALUE"""),"simple")</f>
        <v>simple</v>
      </c>
      <c r="X14" s="229" t="str">
        <f>IFERROR(__xludf.DUMMYFUNCTION("""COMPUTED_VALUE"""),"VS Base")</f>
        <v>VS Base</v>
      </c>
      <c r="Y14" s="229" t="str">
        <f>IFERROR(__xludf.DUMMYFUNCTION("""COMPUTED_VALUE"""),"1st May - 4TH May")</f>
        <v>1st May - 4TH May</v>
      </c>
      <c r="Z14" s="229" t="str">
        <f>IFERROR(__xludf.DUMMYFUNCTION("""COMPUTED_VALUE"""),"69f358b78361a39c180f69bb")</f>
        <v>69f358b78361a39c180f69bb</v>
      </c>
      <c r="AA14" s="229">
        <f>IFERROR(__xludf.DUMMYFUNCTION("""COMPUTED_VALUE"""),261.0)</f>
        <v>261</v>
      </c>
      <c r="AB14" s="229">
        <f>IFERROR(__xludf.DUMMYFUNCTION("""COMPUTED_VALUE"""),128.0)</f>
        <v>128</v>
      </c>
      <c r="AC14" s="229">
        <f>IFERROR(__xludf.DUMMYFUNCTION("""COMPUTED_VALUE"""),133.0)</f>
        <v>133</v>
      </c>
      <c r="AD14" s="229">
        <f>IFERROR(__xludf.DUMMYFUNCTION("""COMPUTED_VALUE"""),3391392.0)</f>
        <v>3391392</v>
      </c>
      <c r="AE14" s="229">
        <f>IFERROR(__xludf.DUMMYFUNCTION("""COMPUTED_VALUE"""),1588041.0)</f>
        <v>1588041</v>
      </c>
      <c r="AF14" s="229">
        <f>IFERROR(__xludf.DUMMYFUNCTION("""COMPUTED_VALUE"""),1803351.0)</f>
        <v>1803351</v>
      </c>
      <c r="AG14" s="208"/>
      <c r="AH14" s="208"/>
      <c r="AI14" s="208"/>
      <c r="AJ14" s="208"/>
      <c r="AK14" s="208"/>
    </row>
    <row r="15">
      <c r="A15" s="245">
        <f>IFERROR(__xludf.DUMMYFUNCTION("""COMPUTED_VALUE"""),46143.0)</f>
        <v>46143</v>
      </c>
      <c r="B15" s="244">
        <f>IFERROR(__xludf.DUMMYFUNCTION("""COMPUTED_VALUE"""),0.35763888889050577)</f>
        <v>0.3576388889</v>
      </c>
      <c r="C15" s="222" t="str">
        <f>IFERROR(__xludf.DUMMYFUNCTION("""COMPUTED_VALUE"""),"Whatsapp")</f>
        <v>Whatsapp</v>
      </c>
      <c r="D15" s="222" t="str">
        <f>IFERROR(__xludf.DUMMYFUNCTION("""COMPUTED_VALUE"""),"Promtional")</f>
        <v>Promtional</v>
      </c>
      <c r="E15" s="222" t="str">
        <f>IFERROR(__xludf.DUMMYFUNCTION("""COMPUTED_VALUE"""),"AGIPL")</f>
        <v>AGIPL</v>
      </c>
      <c r="F15" s="222" t="str">
        <f>IFERROR(__xludf.DUMMYFUNCTION("""COMPUTED_VALUE"""),"MAY BOGO 2026 1-3 MAY - B1G1")</f>
        <v>MAY BOGO 2026 1-3 MAY - B1G1</v>
      </c>
      <c r="G15" s="221" t="str">
        <f>IFERROR(__xludf.DUMMYFUNCTION("""COMPUTED_VALUE"""),"day1 crossbrand_BBW_Exclude_AL_onoff_2023")</f>
        <v>day1 crossbrand_BBW_Exclude_AL_onoff_2023</v>
      </c>
      <c r="H15" s="223" t="str">
        <f>IFERROR(__xludf.DUMMYFUNCTION("""COMPUTED_VALUE"""),"BBW_Exclude_AL_onoff_2023")</f>
        <v>BBW_Exclude_AL_onoff_2023</v>
      </c>
      <c r="I15" s="221" t="str">
        <f>IFERROR(__xludf.DUMMYFUNCTION("""COMPUTED_VALUE"""),"BBW Base")</f>
        <v>BBW Base</v>
      </c>
      <c r="J15" s="224">
        <f>IFERROR(__xludf.DUMMYFUNCTION("""COMPUTED_VALUE"""),133612.0)</f>
        <v>133612</v>
      </c>
      <c r="K15" s="224">
        <f>IFERROR(__xludf.DUMMYFUNCTION("""COMPUTED_VALUE"""),63391.0)</f>
        <v>63391</v>
      </c>
      <c r="L15" s="225">
        <f>IFERROR(__xludf.DUMMYFUNCTION("""COMPUTED_VALUE"""),0.4743)</f>
        <v>0.4743</v>
      </c>
      <c r="M15" s="224">
        <f>IFERROR(__xludf.DUMMYFUNCTION("""COMPUTED_VALUE"""),23846.0)</f>
        <v>23846</v>
      </c>
      <c r="N15" s="225">
        <f>IFERROR(__xludf.DUMMYFUNCTION("""COMPUTED_VALUE"""),0.3762)</f>
        <v>0.3762</v>
      </c>
      <c r="O15" s="224">
        <f>IFERROR(__xludf.DUMMYFUNCTION("""COMPUTED_VALUE"""),3190.0)</f>
        <v>3190</v>
      </c>
      <c r="P15" s="224">
        <f>IFERROR(__xludf.DUMMYFUNCTION("""COMPUTED_VALUE"""),3026.0)</f>
        <v>3026</v>
      </c>
      <c r="Q15" s="225">
        <f>IFERROR(__xludf.DUMMYFUNCTION("""COMPUTED_VALUE"""),0.0477)</f>
        <v>0.0477</v>
      </c>
      <c r="R15" s="225">
        <f>IFERROR(__xludf.DUMMYFUNCTION("""COMPUTED_VALUE"""),0.1269)</f>
        <v>0.1269</v>
      </c>
      <c r="S15" s="226">
        <f>IFERROR(__xludf.DUMMYFUNCTION("""COMPUTED_VALUE"""),0.0)</f>
        <v>0</v>
      </c>
      <c r="T15" s="226">
        <f>IFERROR(__xludf.DUMMYFUNCTION("""COMPUTED_VALUE"""),0.0)</f>
        <v>0</v>
      </c>
      <c r="U15" s="224">
        <f>IFERROR(__xludf.DUMMYFUNCTION("""COMPUTED_VALUE"""),0.0)</f>
        <v>0</v>
      </c>
      <c r="V15" s="224" t="str">
        <f>IFERROR(__xludf.DUMMYFUNCTION("""COMPUTED_VALUE"""),"overall ")</f>
        <v>overall </v>
      </c>
      <c r="W15" s="229" t="str">
        <f>IFERROR(__xludf.DUMMYFUNCTION("""COMPUTED_VALUE"""),"simple")</f>
        <v>simple</v>
      </c>
      <c r="X15" s="229" t="str">
        <f>IFERROR(__xludf.DUMMYFUNCTION("""COMPUTED_VALUE"""),"BBW Base - 2023")</f>
        <v>BBW Base - 2023</v>
      </c>
      <c r="Y15" s="229" t="str">
        <f>IFERROR(__xludf.DUMMYFUNCTION("""COMPUTED_VALUE"""),"1st May - 4TH May")</f>
        <v>1st May - 4TH May</v>
      </c>
      <c r="Z15" s="229" t="str">
        <f>IFERROR(__xludf.DUMMYFUNCTION("""COMPUTED_VALUE"""),"69f358ef0b7820911f9c5a9f")</f>
        <v>69f358ef0b7820911f9c5a9f</v>
      </c>
      <c r="AA15" s="229">
        <f>IFERROR(__xludf.DUMMYFUNCTION("""COMPUTED_VALUE"""),101.0)</f>
        <v>101</v>
      </c>
      <c r="AB15" s="229">
        <f>IFERROR(__xludf.DUMMYFUNCTION("""COMPUTED_VALUE"""),47.0)</f>
        <v>47</v>
      </c>
      <c r="AC15" s="229">
        <f>IFERROR(__xludf.DUMMYFUNCTION("""COMPUTED_VALUE"""),54.0)</f>
        <v>54</v>
      </c>
      <c r="AD15" s="229">
        <f>IFERROR(__xludf.DUMMYFUNCTION("""COMPUTED_VALUE"""),1330824.0)</f>
        <v>1330824</v>
      </c>
      <c r="AE15" s="229">
        <f>IFERROR(__xludf.DUMMYFUNCTION("""COMPUTED_VALUE"""),574347.0)</f>
        <v>574347</v>
      </c>
      <c r="AF15" s="229">
        <f>IFERROR(__xludf.DUMMYFUNCTION("""COMPUTED_VALUE"""),756477.0)</f>
        <v>756477</v>
      </c>
      <c r="AG15" s="208"/>
      <c r="AH15" s="208"/>
      <c r="AI15" s="208"/>
      <c r="AJ15" s="208"/>
      <c r="AK15" s="208"/>
    </row>
    <row r="16">
      <c r="A16" s="216">
        <f>IFERROR(__xludf.DUMMYFUNCTION("""COMPUTED_VALUE"""),46143.0)</f>
        <v>46143</v>
      </c>
      <c r="B16" s="210">
        <f>IFERROR(__xludf.DUMMYFUNCTION("""COMPUTED_VALUE"""),0.36111111110949423)</f>
        <v>0.3611111111</v>
      </c>
      <c r="C16" s="211" t="str">
        <f>IFERROR(__xludf.DUMMYFUNCTION("""COMPUTED_VALUE"""),"Whatsapp")</f>
        <v>Whatsapp</v>
      </c>
      <c r="D16" s="211" t="str">
        <f>IFERROR(__xludf.DUMMYFUNCTION("""COMPUTED_VALUE"""),"Promtional")</f>
        <v>Promtional</v>
      </c>
      <c r="E16" s="211" t="str">
        <f>IFERROR(__xludf.DUMMYFUNCTION("""COMPUTED_VALUE"""),"AGIPL")</f>
        <v>AGIPL</v>
      </c>
      <c r="F16" s="211" t="str">
        <f>IFERROR(__xludf.DUMMYFUNCTION("""COMPUTED_VALUE"""),"MAY BOGO 2026 1-3 MAY - B1G1")</f>
        <v>MAY BOGO 2026 1-3 MAY - B1G1</v>
      </c>
      <c r="G16" s="218" t="str">
        <f>IFERROR(__xludf.DUMMYFUNCTION("""COMPUTED_VALUE"""),"day1 crossbrand_BBW_Exclude_AL_onoff_2024")</f>
        <v>day1 crossbrand_BBW_Exclude_AL_onoff_2024</v>
      </c>
      <c r="H16" s="218" t="str">
        <f>IFERROR(__xludf.DUMMYFUNCTION("""COMPUTED_VALUE"""),"BBW_Exclude_AL_onoff_2024")</f>
        <v>BBW_Exclude_AL_onoff_2024</v>
      </c>
      <c r="I16" s="212" t="str">
        <f>IFERROR(__xludf.DUMMYFUNCTION("""COMPUTED_VALUE"""),"BBW Base")</f>
        <v>BBW Base</v>
      </c>
      <c r="J16" s="213">
        <f>IFERROR(__xludf.DUMMYFUNCTION("""COMPUTED_VALUE"""),286345.0)</f>
        <v>286345</v>
      </c>
      <c r="K16" s="213">
        <f>IFERROR(__xludf.DUMMYFUNCTION("""COMPUTED_VALUE"""),31425.0)</f>
        <v>31425</v>
      </c>
      <c r="L16" s="214">
        <f>IFERROR(__xludf.DUMMYFUNCTION("""COMPUTED_VALUE"""),0.1097)</f>
        <v>0.1097</v>
      </c>
      <c r="M16" s="213">
        <f>IFERROR(__xludf.DUMMYFUNCTION("""COMPUTED_VALUE"""),12493.0)</f>
        <v>12493</v>
      </c>
      <c r="N16" s="214">
        <f>IFERROR(__xludf.DUMMYFUNCTION("""COMPUTED_VALUE"""),0.3976)</f>
        <v>0.3976</v>
      </c>
      <c r="O16" s="213">
        <f>IFERROR(__xludf.DUMMYFUNCTION("""COMPUTED_VALUE"""),1471.0)</f>
        <v>1471</v>
      </c>
      <c r="P16" s="213">
        <f>IFERROR(__xludf.DUMMYFUNCTION("""COMPUTED_VALUE"""),1399.0)</f>
        <v>1399</v>
      </c>
      <c r="Q16" s="214">
        <f>IFERROR(__xludf.DUMMYFUNCTION("""COMPUTED_VALUE"""),0.0445)</f>
        <v>0.0445</v>
      </c>
      <c r="R16" s="214">
        <f>IFERROR(__xludf.DUMMYFUNCTION("""COMPUTED_VALUE"""),0.112)</f>
        <v>0.112</v>
      </c>
      <c r="S16" s="101">
        <f>IFERROR(__xludf.DUMMYFUNCTION("""COMPUTED_VALUE"""),0.0)</f>
        <v>0</v>
      </c>
      <c r="T16" s="101">
        <f>IFERROR(__xludf.DUMMYFUNCTION("""COMPUTED_VALUE"""),0.0)</f>
        <v>0</v>
      </c>
      <c r="U16" s="213">
        <f>IFERROR(__xludf.DUMMYFUNCTION("""COMPUTED_VALUE"""),0.0)</f>
        <v>0</v>
      </c>
      <c r="V16" s="213" t="str">
        <f>IFERROR(__xludf.DUMMYFUNCTION("""COMPUTED_VALUE"""),"overall ")</f>
        <v>overall </v>
      </c>
      <c r="W16" s="98" t="str">
        <f>IFERROR(__xludf.DUMMYFUNCTION("""COMPUTED_VALUE"""),"simple")</f>
        <v>simple</v>
      </c>
      <c r="X16" s="98" t="str">
        <f>IFERROR(__xludf.DUMMYFUNCTION("""COMPUTED_VALUE"""),"BBW Base - 2024")</f>
        <v>BBW Base - 2024</v>
      </c>
      <c r="Y16" s="98" t="str">
        <f>IFERROR(__xludf.DUMMYFUNCTION("""COMPUTED_VALUE"""),"1st May - 4TH May")</f>
        <v>1st May - 4TH May</v>
      </c>
      <c r="Z16" s="98" t="str">
        <f>IFERROR(__xludf.DUMMYFUNCTION("""COMPUTED_VALUE"""),"69f3593051b33c29a802a8d1")</f>
        <v>69f3593051b33c29a802a8d1</v>
      </c>
      <c r="AA16" s="98">
        <f>IFERROR(__xludf.DUMMYFUNCTION("""COMPUTED_VALUE"""),204.0)</f>
        <v>204</v>
      </c>
      <c r="AB16" s="98">
        <f>IFERROR(__xludf.DUMMYFUNCTION("""COMPUTED_VALUE"""),63.0)</f>
        <v>63</v>
      </c>
      <c r="AC16" s="98">
        <f>IFERROR(__xludf.DUMMYFUNCTION("""COMPUTED_VALUE"""),141.0)</f>
        <v>141</v>
      </c>
      <c r="AD16" s="98">
        <f>IFERROR(__xludf.DUMMYFUNCTION("""COMPUTED_VALUE"""),2614263.0)</f>
        <v>2614263</v>
      </c>
      <c r="AE16" s="98">
        <f>IFERROR(__xludf.DUMMYFUNCTION("""COMPUTED_VALUE"""),716076.0)</f>
        <v>716076</v>
      </c>
      <c r="AF16" s="98">
        <f>IFERROR(__xludf.DUMMYFUNCTION("""COMPUTED_VALUE"""),1898187.0)</f>
        <v>1898187</v>
      </c>
      <c r="AG16" s="208"/>
      <c r="AH16" s="208"/>
      <c r="AI16" s="208"/>
      <c r="AJ16" s="208"/>
      <c r="AK16" s="208"/>
    </row>
    <row r="17">
      <c r="A17" s="216">
        <f>IFERROR(__xludf.DUMMYFUNCTION("""COMPUTED_VALUE"""),46143.0)</f>
        <v>46143</v>
      </c>
      <c r="B17" s="210">
        <f>IFERROR(__xludf.DUMMYFUNCTION("""COMPUTED_VALUE"""),0.3645833333321207)</f>
        <v>0.3645833333</v>
      </c>
      <c r="C17" s="211" t="str">
        <f>IFERROR(__xludf.DUMMYFUNCTION("""COMPUTED_VALUE"""),"Whatsapp")</f>
        <v>Whatsapp</v>
      </c>
      <c r="D17" s="211" t="str">
        <f>IFERROR(__xludf.DUMMYFUNCTION("""COMPUTED_VALUE"""),"Promtional")</f>
        <v>Promtional</v>
      </c>
      <c r="E17" s="211" t="str">
        <f>IFERROR(__xludf.DUMMYFUNCTION("""COMPUTED_VALUE"""),"AGIPL")</f>
        <v>AGIPL</v>
      </c>
      <c r="F17" s="211" t="str">
        <f>IFERROR(__xludf.DUMMYFUNCTION("""COMPUTED_VALUE"""),"MAY BOGO 2026 1-3 MAY - B1G1")</f>
        <v>MAY BOGO 2026 1-3 MAY - B1G1</v>
      </c>
      <c r="G17" s="218" t="str">
        <f>IFERROR(__xludf.DUMMYFUNCTION("""COMPUTED_VALUE"""),"day 1 crossbrand_BBW_Exclude_AL_onoff_2025")</f>
        <v>day 1 crossbrand_BBW_Exclude_AL_onoff_2025</v>
      </c>
      <c r="H17" s="218" t="str">
        <f>IFERROR(__xludf.DUMMYFUNCTION("""COMPUTED_VALUE"""),"BBW_Exclude_AL_onoff_2025")</f>
        <v>BBW_Exclude_AL_onoff_2025</v>
      </c>
      <c r="I17" s="212" t="str">
        <f>IFERROR(__xludf.DUMMYFUNCTION("""COMPUTED_VALUE"""),"BBW Base")</f>
        <v>BBW Base</v>
      </c>
      <c r="J17" s="213">
        <f>IFERROR(__xludf.DUMMYFUNCTION("""COMPUTED_VALUE"""),334505.0)</f>
        <v>334505</v>
      </c>
      <c r="K17" s="213">
        <f>IFERROR(__xludf.DUMMYFUNCTION("""COMPUTED_VALUE"""),9457.0)</f>
        <v>9457</v>
      </c>
      <c r="L17" s="214">
        <f>IFERROR(__xludf.DUMMYFUNCTION("""COMPUTED_VALUE"""),0.0283)</f>
        <v>0.0283</v>
      </c>
      <c r="M17" s="213">
        <f>IFERROR(__xludf.DUMMYFUNCTION("""COMPUTED_VALUE"""),3884.0)</f>
        <v>3884</v>
      </c>
      <c r="N17" s="214">
        <f>IFERROR(__xludf.DUMMYFUNCTION("""COMPUTED_VALUE"""),0.4107)</f>
        <v>0.4107</v>
      </c>
      <c r="O17" s="213">
        <f>IFERROR(__xludf.DUMMYFUNCTION("""COMPUTED_VALUE"""),456.0)</f>
        <v>456</v>
      </c>
      <c r="P17" s="213">
        <f>IFERROR(__xludf.DUMMYFUNCTION("""COMPUTED_VALUE"""),438.0)</f>
        <v>438</v>
      </c>
      <c r="Q17" s="214">
        <f>IFERROR(__xludf.DUMMYFUNCTION("""COMPUTED_VALUE"""),0.0463)</f>
        <v>0.0463</v>
      </c>
      <c r="R17" s="214">
        <f>IFERROR(__xludf.DUMMYFUNCTION("""COMPUTED_VALUE"""),0.1128)</f>
        <v>0.1128</v>
      </c>
      <c r="S17" s="101">
        <f>IFERROR(__xludf.DUMMYFUNCTION("""COMPUTED_VALUE"""),0.0)</f>
        <v>0</v>
      </c>
      <c r="T17" s="101">
        <f>IFERROR(__xludf.DUMMYFUNCTION("""COMPUTED_VALUE"""),0.0)</f>
        <v>0</v>
      </c>
      <c r="U17" s="213">
        <f>IFERROR(__xludf.DUMMYFUNCTION("""COMPUTED_VALUE"""),0.0)</f>
        <v>0</v>
      </c>
      <c r="V17" s="213" t="str">
        <f>IFERROR(__xludf.DUMMYFUNCTION("""COMPUTED_VALUE"""),"overall ")</f>
        <v>overall </v>
      </c>
      <c r="W17" s="98" t="str">
        <f>IFERROR(__xludf.DUMMYFUNCTION("""COMPUTED_VALUE"""),"simple")</f>
        <v>simple</v>
      </c>
      <c r="X17" s="98" t="str">
        <f>IFERROR(__xludf.DUMMYFUNCTION("""COMPUTED_VALUE"""),"BBW Base - 2025")</f>
        <v>BBW Base - 2025</v>
      </c>
      <c r="Y17" s="98" t="str">
        <f>IFERROR(__xludf.DUMMYFUNCTION("""COMPUTED_VALUE"""),"1st May - 4TH May")</f>
        <v>1st May - 4TH May</v>
      </c>
      <c r="Z17" s="98" t="str">
        <f>IFERROR(__xludf.DUMMYFUNCTION("""COMPUTED_VALUE"""),"69f35973094def537a263450")</f>
        <v>69f35973094def537a263450</v>
      </c>
      <c r="AA17" s="98">
        <f>IFERROR(__xludf.DUMMYFUNCTION("""COMPUTED_VALUE"""),204.0)</f>
        <v>204</v>
      </c>
      <c r="AB17" s="98">
        <f>IFERROR(__xludf.DUMMYFUNCTION("""COMPUTED_VALUE"""),69.0)</f>
        <v>69</v>
      </c>
      <c r="AC17" s="98">
        <f>IFERROR(__xludf.DUMMYFUNCTION("""COMPUTED_VALUE"""),135.0)</f>
        <v>135</v>
      </c>
      <c r="AD17" s="98">
        <f>IFERROR(__xludf.DUMMYFUNCTION("""COMPUTED_VALUE"""),2812460.0)</f>
        <v>2812460</v>
      </c>
      <c r="AE17" s="98">
        <f>IFERROR(__xludf.DUMMYFUNCTION("""COMPUTED_VALUE"""),836195.0)</f>
        <v>836195</v>
      </c>
      <c r="AF17" s="98">
        <f>IFERROR(__xludf.DUMMYFUNCTION("""COMPUTED_VALUE"""),1976265.0)</f>
        <v>1976265</v>
      </c>
      <c r="AG17" s="208"/>
      <c r="AH17" s="208"/>
      <c r="AI17" s="208"/>
      <c r="AJ17" s="208"/>
      <c r="AK17" s="208"/>
    </row>
    <row r="18">
      <c r="A18" s="216">
        <f>IFERROR(__xludf.DUMMYFUNCTION("""COMPUTED_VALUE"""),46143.0)</f>
        <v>46143</v>
      </c>
      <c r="B18" s="210">
        <f>IFERROR(__xludf.DUMMYFUNCTION("""COMPUTED_VALUE"""),0.5208333333321207)</f>
        <v>0.5208333333</v>
      </c>
      <c r="C18" s="211" t="str">
        <f>IFERROR(__xludf.DUMMYFUNCTION("""COMPUTED_VALUE"""),"Sms")</f>
        <v>Sms</v>
      </c>
      <c r="D18" s="211" t="str">
        <f>IFERROR(__xludf.DUMMYFUNCTION("""COMPUTED_VALUE"""),"Fallback campaign")</f>
        <v>Fallback campaign</v>
      </c>
      <c r="E18" s="211" t="str">
        <f>IFERROR(__xludf.DUMMYFUNCTION("""COMPUTED_VALUE"""),"AGIPL")</f>
        <v>AGIPL</v>
      </c>
      <c r="F18" s="211" t="str">
        <f>IFERROR(__xludf.DUMMYFUNCTION("""COMPUTED_VALUE"""),"MAY BOGO 2026 1-3 MAY - B1G1")</f>
        <v>MAY BOGO 2026 1-3 MAY - B1G1</v>
      </c>
      <c r="G18" s="218" t="str">
        <f>IFERROR(__xludf.DUMMYFUNCTION("""COMPUTED_VALUE"""),"Crossbrand_CK_Exc_AL_onoff v2")</f>
        <v>Crossbrand_CK_Exc_AL_onoff v2</v>
      </c>
      <c r="H18" s="218" t="str">
        <f>IFERROR(__xludf.DUMMYFUNCTION("""COMPUTED_VALUE"""),"CK_Exc_AL_onoff")</f>
        <v>CK_Exc_AL_onoff</v>
      </c>
      <c r="I18" s="212" t="str">
        <f>IFERROR(__xludf.DUMMYFUNCTION("""COMPUTED_VALUE"""),"RCS Undelivered")</f>
        <v>RCS Undelivered</v>
      </c>
      <c r="J18" s="213">
        <f>IFERROR(__xludf.DUMMYFUNCTION("""COMPUTED_VALUE"""),109933.0)</f>
        <v>109933</v>
      </c>
      <c r="K18" s="213">
        <f>IFERROR(__xludf.DUMMYFUNCTION("""COMPUTED_VALUE"""),59496.0)</f>
        <v>59496</v>
      </c>
      <c r="L18" s="214">
        <f>IFERROR(__xludf.DUMMYFUNCTION("""COMPUTED_VALUE"""),0.5412)</f>
        <v>0.5412</v>
      </c>
      <c r="M18" s="213">
        <f>IFERROR(__xludf.DUMMYFUNCTION("""COMPUTED_VALUE"""),0.0)</f>
        <v>0</v>
      </c>
      <c r="N18" s="214">
        <f>IFERROR(__xludf.DUMMYFUNCTION("""COMPUTED_VALUE"""),0.0)</f>
        <v>0</v>
      </c>
      <c r="O18" s="213">
        <f>IFERROR(__xludf.DUMMYFUNCTION("""COMPUTED_VALUE"""),128.0)</f>
        <v>128</v>
      </c>
      <c r="P18" s="213">
        <f>IFERROR(__xludf.DUMMYFUNCTION("""COMPUTED_VALUE"""),0.0)</f>
        <v>0</v>
      </c>
      <c r="Q18" s="214">
        <f>IFERROR(__xludf.DUMMYFUNCTION("""COMPUTED_VALUE"""),0.0022)</f>
        <v>0.0022</v>
      </c>
      <c r="R18" s="214">
        <f>IFERROR(__xludf.DUMMYFUNCTION("""COMPUTED_VALUE"""),0.0)</f>
        <v>0</v>
      </c>
      <c r="S18" s="101">
        <f>IFERROR(__xludf.DUMMYFUNCTION("""COMPUTED_VALUE"""),0.0)</f>
        <v>0</v>
      </c>
      <c r="T18" s="101">
        <f>IFERROR(__xludf.DUMMYFUNCTION("""COMPUTED_VALUE"""),0.0)</f>
        <v>0</v>
      </c>
      <c r="U18" s="213">
        <f>IFERROR(__xludf.DUMMYFUNCTION("""COMPUTED_VALUE"""),0.0)</f>
        <v>0</v>
      </c>
      <c r="V18" s="213" t="str">
        <f>IFERROR(__xludf.DUMMYFUNCTION("""COMPUTED_VALUE"""),"overall ")</f>
        <v>overall </v>
      </c>
      <c r="W18" s="98" t="str">
        <f>IFERROR(__xludf.DUMMYFUNCTION("""COMPUTED_VALUE"""),"sms")</f>
        <v>sms</v>
      </c>
      <c r="X18" s="98" t="str">
        <f>IFERROR(__xludf.DUMMYFUNCTION("""COMPUTED_VALUE"""),"CK Base")</f>
        <v>CK Base</v>
      </c>
      <c r="Y18" s="98" t="str">
        <f>IFERROR(__xludf.DUMMYFUNCTION("""COMPUTED_VALUE"""),"1st May - 4TH May")</f>
        <v>1st May - 4TH May</v>
      </c>
      <c r="Z18" s="98" t="str">
        <f>IFERROR(__xludf.DUMMYFUNCTION("""COMPUTED_VALUE"""),"69f449855a2db9c6dea11264")</f>
        <v>69f449855a2db9c6dea11264</v>
      </c>
      <c r="AA18" s="98">
        <f>IFERROR(__xludf.DUMMYFUNCTION("""COMPUTED_VALUE"""),270.0)</f>
        <v>270</v>
      </c>
      <c r="AB18" s="98">
        <f>IFERROR(__xludf.DUMMYFUNCTION("""COMPUTED_VALUE"""),81.0)</f>
        <v>81</v>
      </c>
      <c r="AC18" s="98">
        <f>IFERROR(__xludf.DUMMYFUNCTION("""COMPUTED_VALUE"""),189.0)</f>
        <v>189</v>
      </c>
      <c r="AD18" s="98">
        <f>IFERROR(__xludf.DUMMYFUNCTION("""COMPUTED_VALUE"""),3943880.0)</f>
        <v>3943880</v>
      </c>
      <c r="AE18" s="98">
        <f>IFERROR(__xludf.DUMMYFUNCTION("""COMPUTED_VALUE"""),1138710.0)</f>
        <v>1138710</v>
      </c>
      <c r="AF18" s="98">
        <f>IFERROR(__xludf.DUMMYFUNCTION("""COMPUTED_VALUE"""),2805170.0)</f>
        <v>2805170</v>
      </c>
      <c r="AG18" s="208"/>
      <c r="AH18" s="208"/>
      <c r="AI18" s="208"/>
      <c r="AJ18" s="208"/>
      <c r="AK18" s="208"/>
    </row>
    <row r="19">
      <c r="A19" s="216">
        <f>IFERROR(__xludf.DUMMYFUNCTION("""COMPUTED_VALUE"""),46143.0)</f>
        <v>46143</v>
      </c>
      <c r="B19" s="210">
        <f>IFERROR(__xludf.DUMMYFUNCTION("""COMPUTED_VALUE"""),0.5208333333321207)</f>
        <v>0.5208333333</v>
      </c>
      <c r="C19" s="211" t="str">
        <f>IFERROR(__xludf.DUMMYFUNCTION("""COMPUTED_VALUE"""),"Sms")</f>
        <v>Sms</v>
      </c>
      <c r="D19" s="211" t="str">
        <f>IFERROR(__xludf.DUMMYFUNCTION("""COMPUTED_VALUE"""),"Fallback campaign")</f>
        <v>Fallback campaign</v>
      </c>
      <c r="E19" s="211" t="str">
        <f>IFERROR(__xludf.DUMMYFUNCTION("""COMPUTED_VALUE"""),"AGIPL")</f>
        <v>AGIPL</v>
      </c>
      <c r="F19" s="211" t="str">
        <f>IFERROR(__xludf.DUMMYFUNCTION("""COMPUTED_VALUE"""),"MAY BOGO 2026 1-3 MAY - B1G1")</f>
        <v>MAY BOGO 2026 1-3 MAY - B1G1</v>
      </c>
      <c r="G19" s="218" t="str">
        <f>IFERROR(__xludf.DUMMYFUNCTION("""COMPUTED_VALUE"""),"crossbrand_BBW_Exclude_AL_onoff_2026 v2")</f>
        <v>crossbrand_BBW_Exclude_AL_onoff_2026 v2</v>
      </c>
      <c r="H19" s="218" t="str">
        <f>IFERROR(__xludf.DUMMYFUNCTION("""COMPUTED_VALUE"""),"BBW_Exclude_AL_onoff_2026")</f>
        <v>BBW_Exclude_AL_onoff_2026</v>
      </c>
      <c r="I19" s="212" t="str">
        <f>IFERROR(__xludf.DUMMYFUNCTION("""COMPUTED_VALUE"""),"RCS Undelivered")</f>
        <v>RCS Undelivered</v>
      </c>
      <c r="J19" s="213">
        <f>IFERROR(__xludf.DUMMYFUNCTION("""COMPUTED_VALUE"""),76516.0)</f>
        <v>76516</v>
      </c>
      <c r="K19" s="213">
        <f>IFERROR(__xludf.DUMMYFUNCTION("""COMPUTED_VALUE"""),44765.0)</f>
        <v>44765</v>
      </c>
      <c r="L19" s="214">
        <f>IFERROR(__xludf.DUMMYFUNCTION("""COMPUTED_VALUE"""),0.585)</f>
        <v>0.585</v>
      </c>
      <c r="M19" s="213">
        <f>IFERROR(__xludf.DUMMYFUNCTION("""COMPUTED_VALUE"""),0.0)</f>
        <v>0</v>
      </c>
      <c r="N19" s="214">
        <f>IFERROR(__xludf.DUMMYFUNCTION("""COMPUTED_VALUE"""),0.0)</f>
        <v>0</v>
      </c>
      <c r="O19" s="213">
        <f>IFERROR(__xludf.DUMMYFUNCTION("""COMPUTED_VALUE"""),97.0)</f>
        <v>97</v>
      </c>
      <c r="P19" s="213">
        <f>IFERROR(__xludf.DUMMYFUNCTION("""COMPUTED_VALUE"""),0.0)</f>
        <v>0</v>
      </c>
      <c r="Q19" s="214">
        <f>IFERROR(__xludf.DUMMYFUNCTION("""COMPUTED_VALUE"""),0.0022)</f>
        <v>0.0022</v>
      </c>
      <c r="R19" s="214">
        <f>IFERROR(__xludf.DUMMYFUNCTION("""COMPUTED_VALUE"""),0.0)</f>
        <v>0</v>
      </c>
      <c r="S19" s="101">
        <f>IFERROR(__xludf.DUMMYFUNCTION("""COMPUTED_VALUE"""),0.0)</f>
        <v>0</v>
      </c>
      <c r="T19" s="101">
        <f>IFERROR(__xludf.DUMMYFUNCTION("""COMPUTED_VALUE"""),0.0)</f>
        <v>0</v>
      </c>
      <c r="U19" s="213">
        <f>IFERROR(__xludf.DUMMYFUNCTION("""COMPUTED_VALUE"""),0.0)</f>
        <v>0</v>
      </c>
      <c r="V19" s="213" t="str">
        <f>IFERROR(__xludf.DUMMYFUNCTION("""COMPUTED_VALUE"""),"overall ")</f>
        <v>overall </v>
      </c>
      <c r="W19" s="98" t="str">
        <f>IFERROR(__xludf.DUMMYFUNCTION("""COMPUTED_VALUE"""),"sms")</f>
        <v>sms</v>
      </c>
      <c r="X19" s="98" t="str">
        <f>IFERROR(__xludf.DUMMYFUNCTION("""COMPUTED_VALUE"""),"BBW Base - 2026")</f>
        <v>BBW Base - 2026</v>
      </c>
      <c r="Y19" s="98" t="str">
        <f>IFERROR(__xludf.DUMMYFUNCTION("""COMPUTED_VALUE"""),"1st May - 4TH May")</f>
        <v>1st May - 4TH May</v>
      </c>
      <c r="Z19" s="98" t="str">
        <f>IFERROR(__xludf.DUMMYFUNCTION("""COMPUTED_VALUE"""),"69f4498d2e667a805ed77f40")</f>
        <v>69f4498d2e667a805ed77f40</v>
      </c>
      <c r="AA19" s="98">
        <f>IFERROR(__xludf.DUMMYFUNCTION("""COMPUTED_VALUE"""),73.0)</f>
        <v>73</v>
      </c>
      <c r="AB19" s="98">
        <f>IFERROR(__xludf.DUMMYFUNCTION("""COMPUTED_VALUE"""),14.0)</f>
        <v>14</v>
      </c>
      <c r="AC19" s="98">
        <f>IFERROR(__xludf.DUMMYFUNCTION("""COMPUTED_VALUE"""),59.0)</f>
        <v>59</v>
      </c>
      <c r="AD19" s="98">
        <f>IFERROR(__xludf.DUMMYFUNCTION("""COMPUTED_VALUE"""),990783.0)</f>
        <v>990783</v>
      </c>
      <c r="AE19" s="98">
        <f>IFERROR(__xludf.DUMMYFUNCTION("""COMPUTED_VALUE"""),167189.0)</f>
        <v>167189</v>
      </c>
      <c r="AF19" s="98">
        <f>IFERROR(__xludf.DUMMYFUNCTION("""COMPUTED_VALUE"""),823594.0)</f>
        <v>823594</v>
      </c>
      <c r="AG19" s="208"/>
      <c r="AH19" s="208"/>
      <c r="AI19" s="208"/>
      <c r="AJ19" s="208"/>
      <c r="AK19" s="208"/>
    </row>
    <row r="20">
      <c r="A20" s="216">
        <f>IFERROR(__xludf.DUMMYFUNCTION("""COMPUTED_VALUE"""),46143.0)</f>
        <v>46143</v>
      </c>
      <c r="B20" s="210">
        <f>IFERROR(__xludf.DUMMYFUNCTION("""COMPUTED_VALUE"""),0.5208333333321207)</f>
        <v>0.5208333333</v>
      </c>
      <c r="C20" s="211" t="str">
        <f>IFERROR(__xludf.DUMMYFUNCTION("""COMPUTED_VALUE"""),"Sms")</f>
        <v>Sms</v>
      </c>
      <c r="D20" s="211" t="str">
        <f>IFERROR(__xludf.DUMMYFUNCTION("""COMPUTED_VALUE"""),"Fallback campaign")</f>
        <v>Fallback campaign</v>
      </c>
      <c r="E20" s="211" t="str">
        <f>IFERROR(__xludf.DUMMYFUNCTION("""COMPUTED_VALUE"""),"AGIPL")</f>
        <v>AGIPL</v>
      </c>
      <c r="F20" s="211" t="str">
        <f>IFERROR(__xludf.DUMMYFUNCTION("""COMPUTED_VALUE"""),"MAY BOGO 2026 1-3 MAY - B1G1")</f>
        <v>MAY BOGO 2026 1-3 MAY - B1G1</v>
      </c>
      <c r="G20" s="218" t="str">
        <f>IFERROR(__xludf.DUMMYFUNCTION("""COMPUTED_VALUE"""),"crossbrand_BBW_Exclude_AL_onoff_2025 v2")</f>
        <v>crossbrand_BBW_Exclude_AL_onoff_2025 v2</v>
      </c>
      <c r="H20" s="218" t="str">
        <f>IFERROR(__xludf.DUMMYFUNCTION("""COMPUTED_VALUE"""),"BBW_Exclude_AL_onoff_2025")</f>
        <v>BBW_Exclude_AL_onoff_2025</v>
      </c>
      <c r="I20" s="212" t="str">
        <f>IFERROR(__xludf.DUMMYFUNCTION("""COMPUTED_VALUE"""),"RCS Undelivered")</f>
        <v>RCS Undelivered</v>
      </c>
      <c r="J20" s="213">
        <f>IFERROR(__xludf.DUMMYFUNCTION("""COMPUTED_VALUE"""),244473.0)</f>
        <v>244473</v>
      </c>
      <c r="K20" s="213">
        <f>IFERROR(__xludf.DUMMYFUNCTION("""COMPUTED_VALUE"""),140104.0)</f>
        <v>140104</v>
      </c>
      <c r="L20" s="214">
        <f>IFERROR(__xludf.DUMMYFUNCTION("""COMPUTED_VALUE"""),0.5731)</f>
        <v>0.5731</v>
      </c>
      <c r="M20" s="213">
        <f>IFERROR(__xludf.DUMMYFUNCTION("""COMPUTED_VALUE"""),0.0)</f>
        <v>0</v>
      </c>
      <c r="N20" s="214">
        <f>IFERROR(__xludf.DUMMYFUNCTION("""COMPUTED_VALUE"""),0.0)</f>
        <v>0</v>
      </c>
      <c r="O20" s="213">
        <f>IFERROR(__xludf.DUMMYFUNCTION("""COMPUTED_VALUE"""),256.0)</f>
        <v>256</v>
      </c>
      <c r="P20" s="213">
        <f>IFERROR(__xludf.DUMMYFUNCTION("""COMPUTED_VALUE"""),0.0)</f>
        <v>0</v>
      </c>
      <c r="Q20" s="214">
        <f>IFERROR(__xludf.DUMMYFUNCTION("""COMPUTED_VALUE"""),0.0018)</f>
        <v>0.0018</v>
      </c>
      <c r="R20" s="214">
        <f>IFERROR(__xludf.DUMMYFUNCTION("""COMPUTED_VALUE"""),0.0)</f>
        <v>0</v>
      </c>
      <c r="S20" s="101">
        <f>IFERROR(__xludf.DUMMYFUNCTION("""COMPUTED_VALUE"""),0.0)</f>
        <v>0</v>
      </c>
      <c r="T20" s="101">
        <f>IFERROR(__xludf.DUMMYFUNCTION("""COMPUTED_VALUE"""),0.0)</f>
        <v>0</v>
      </c>
      <c r="U20" s="213">
        <f>IFERROR(__xludf.DUMMYFUNCTION("""COMPUTED_VALUE"""),0.0)</f>
        <v>0</v>
      </c>
      <c r="V20" s="213" t="str">
        <f>IFERROR(__xludf.DUMMYFUNCTION("""COMPUTED_VALUE"""),"overall ")</f>
        <v>overall </v>
      </c>
      <c r="W20" s="98" t="str">
        <f>IFERROR(__xludf.DUMMYFUNCTION("""COMPUTED_VALUE"""),"sms")</f>
        <v>sms</v>
      </c>
      <c r="X20" s="98" t="str">
        <f>IFERROR(__xludf.DUMMYFUNCTION("""COMPUTED_VALUE"""),"BBW Base - 2025")</f>
        <v>BBW Base - 2025</v>
      </c>
      <c r="Y20" s="98" t="str">
        <f>IFERROR(__xludf.DUMMYFUNCTION("""COMPUTED_VALUE"""),"1st May - 4TH May")</f>
        <v>1st May - 4TH May</v>
      </c>
      <c r="Z20" s="98" t="str">
        <f>IFERROR(__xludf.DUMMYFUNCTION("""COMPUTED_VALUE"""),"69f44a2403e722c849eb17f1")</f>
        <v>69f44a2403e722c849eb17f1</v>
      </c>
      <c r="AA20" s="98"/>
      <c r="AB20" s="98"/>
      <c r="AC20" s="98"/>
      <c r="AD20" s="98"/>
      <c r="AE20" s="98"/>
      <c r="AF20" s="98"/>
      <c r="AG20" s="208"/>
      <c r="AH20" s="208"/>
      <c r="AI20" s="208"/>
      <c r="AJ20" s="208"/>
      <c r="AK20" s="208"/>
    </row>
    <row r="21">
      <c r="A21" s="216">
        <f>IFERROR(__xludf.DUMMYFUNCTION("""COMPUTED_VALUE"""),46143.0)</f>
        <v>46143</v>
      </c>
      <c r="B21" s="210">
        <f>IFERROR(__xludf.DUMMYFUNCTION("""COMPUTED_VALUE"""),0.5208333333321207)</f>
        <v>0.5208333333</v>
      </c>
      <c r="C21" s="211" t="str">
        <f>IFERROR(__xludf.DUMMYFUNCTION("""COMPUTED_VALUE"""),"Sms")</f>
        <v>Sms</v>
      </c>
      <c r="D21" s="211" t="str">
        <f>IFERROR(__xludf.DUMMYFUNCTION("""COMPUTED_VALUE"""),"Fallback campaign")</f>
        <v>Fallback campaign</v>
      </c>
      <c r="E21" s="211" t="str">
        <f>IFERROR(__xludf.DUMMYFUNCTION("""COMPUTED_VALUE"""),"AGIPL")</f>
        <v>AGIPL</v>
      </c>
      <c r="F21" s="211" t="str">
        <f>IFERROR(__xludf.DUMMYFUNCTION("""COMPUTED_VALUE"""),"MAY BOGO 2026 1-3 MAY - B1G1")</f>
        <v>MAY BOGO 2026 1-3 MAY - B1G1</v>
      </c>
      <c r="G21" s="218" t="str">
        <f>IFERROR(__xludf.DUMMYFUNCTION("""COMPUTED_VALUE"""),"Crossbrand_BBW_Exclude_AL_onoff_2024 v2")</f>
        <v>Crossbrand_BBW_Exclude_AL_onoff_2024 v2</v>
      </c>
      <c r="H21" s="218" t="str">
        <f>IFERROR(__xludf.DUMMYFUNCTION("""COMPUTED_VALUE"""),"BBW_Exclude_AL_onoff_2024")</f>
        <v>BBW_Exclude_AL_onoff_2024</v>
      </c>
      <c r="I21" s="212" t="str">
        <f>IFERROR(__xludf.DUMMYFUNCTION("""COMPUTED_VALUE"""),"RCS Undelivered")</f>
        <v>RCS Undelivered</v>
      </c>
      <c r="J21" s="213">
        <f>IFERROR(__xludf.DUMMYFUNCTION("""COMPUTED_VALUE"""),196849.0)</f>
        <v>196849</v>
      </c>
      <c r="K21" s="213">
        <f>IFERROR(__xludf.DUMMYFUNCTION("""COMPUTED_VALUE"""),107446.0)</f>
        <v>107446</v>
      </c>
      <c r="L21" s="214">
        <f>IFERROR(__xludf.DUMMYFUNCTION("""COMPUTED_VALUE"""),0.5458)</f>
        <v>0.5458</v>
      </c>
      <c r="M21" s="213">
        <f>IFERROR(__xludf.DUMMYFUNCTION("""COMPUTED_VALUE"""),0.0)</f>
        <v>0</v>
      </c>
      <c r="N21" s="214">
        <f>IFERROR(__xludf.DUMMYFUNCTION("""COMPUTED_VALUE"""),0.0)</f>
        <v>0</v>
      </c>
      <c r="O21" s="213">
        <f>IFERROR(__xludf.DUMMYFUNCTION("""COMPUTED_VALUE"""),180.0)</f>
        <v>180</v>
      </c>
      <c r="P21" s="213">
        <f>IFERROR(__xludf.DUMMYFUNCTION("""COMPUTED_VALUE"""),0.0)</f>
        <v>0</v>
      </c>
      <c r="Q21" s="214">
        <f>IFERROR(__xludf.DUMMYFUNCTION("""COMPUTED_VALUE"""),0.0017)</f>
        <v>0.0017</v>
      </c>
      <c r="R21" s="214">
        <f>IFERROR(__xludf.DUMMYFUNCTION("""COMPUTED_VALUE"""),0.0)</f>
        <v>0</v>
      </c>
      <c r="S21" s="101">
        <f>IFERROR(__xludf.DUMMYFUNCTION("""COMPUTED_VALUE"""),0.0)</f>
        <v>0</v>
      </c>
      <c r="T21" s="101">
        <f>IFERROR(__xludf.DUMMYFUNCTION("""COMPUTED_VALUE"""),0.0)</f>
        <v>0</v>
      </c>
      <c r="U21" s="213">
        <f>IFERROR(__xludf.DUMMYFUNCTION("""COMPUTED_VALUE"""),0.0)</f>
        <v>0</v>
      </c>
      <c r="V21" s="213" t="str">
        <f>IFERROR(__xludf.DUMMYFUNCTION("""COMPUTED_VALUE"""),"overall ")</f>
        <v>overall </v>
      </c>
      <c r="W21" s="98" t="str">
        <f>IFERROR(__xludf.DUMMYFUNCTION("""COMPUTED_VALUE"""),"sms")</f>
        <v>sms</v>
      </c>
      <c r="X21" s="98" t="str">
        <f>IFERROR(__xludf.DUMMYFUNCTION("""COMPUTED_VALUE"""),"BBW Base - 2024")</f>
        <v>BBW Base - 2024</v>
      </c>
      <c r="Y21" s="98" t="str">
        <f>IFERROR(__xludf.DUMMYFUNCTION("""COMPUTED_VALUE"""),"1st May - 4TH May")</f>
        <v>1st May - 4TH May</v>
      </c>
      <c r="Z21" s="98" t="str">
        <f>IFERROR(__xludf.DUMMYFUNCTION("""COMPUTED_VALUE"""),"69f44ab5229663e7432b12c4")</f>
        <v>69f44ab5229663e7432b12c4</v>
      </c>
      <c r="AA21" s="98"/>
      <c r="AB21" s="98"/>
      <c r="AC21" s="98"/>
      <c r="AD21" s="98"/>
      <c r="AE21" s="98"/>
      <c r="AF21" s="98"/>
      <c r="AG21" s="208"/>
      <c r="AH21" s="208"/>
      <c r="AI21" s="208"/>
      <c r="AJ21" s="208"/>
      <c r="AK21" s="208"/>
    </row>
    <row r="22">
      <c r="A22" s="216">
        <f>IFERROR(__xludf.DUMMYFUNCTION("""COMPUTED_VALUE"""),46143.0)</f>
        <v>46143</v>
      </c>
      <c r="B22" s="210">
        <f>IFERROR(__xludf.DUMMYFUNCTION("""COMPUTED_VALUE"""),0.5208333333321207)</f>
        <v>0.5208333333</v>
      </c>
      <c r="C22" s="211" t="str">
        <f>IFERROR(__xludf.DUMMYFUNCTION("""COMPUTED_VALUE"""),"Sms")</f>
        <v>Sms</v>
      </c>
      <c r="D22" s="211" t="str">
        <f>IFERROR(__xludf.DUMMYFUNCTION("""COMPUTED_VALUE"""),"Fallback campaign")</f>
        <v>Fallback campaign</v>
      </c>
      <c r="E22" s="211" t="str">
        <f>IFERROR(__xludf.DUMMYFUNCTION("""COMPUTED_VALUE"""),"AGIPL")</f>
        <v>AGIPL</v>
      </c>
      <c r="F22" s="211" t="str">
        <f>IFERROR(__xludf.DUMMYFUNCTION("""COMPUTED_VALUE"""),"MAY BOGO 2026 1-3 MAY - B1G1")</f>
        <v>MAY BOGO 2026 1-3 MAY - B1G1</v>
      </c>
      <c r="G22" s="218" t="str">
        <f>IFERROR(__xludf.DUMMYFUNCTION("""COMPUTED_VALUE"""),"Crossbrand_BBW_Exclude_AL_on off_2023 v2")</f>
        <v>Crossbrand_BBW_Exclude_AL_on off_2023 v2</v>
      </c>
      <c r="H22" s="218" t="str">
        <f>IFERROR(__xludf.DUMMYFUNCTION("""COMPUTED_VALUE"""),"BBW_Exclude_AL_onoff_2023")</f>
        <v>BBW_Exclude_AL_onoff_2023</v>
      </c>
      <c r="I22" s="212" t="str">
        <f>IFERROR(__xludf.DUMMYFUNCTION("""COMPUTED_VALUE"""),"RCS Undelivered")</f>
        <v>RCS Undelivered</v>
      </c>
      <c r="J22" s="213">
        <f>IFERROR(__xludf.DUMMYFUNCTION("""COMPUTED_VALUE"""),55317.0)</f>
        <v>55317</v>
      </c>
      <c r="K22" s="213">
        <f>IFERROR(__xludf.DUMMYFUNCTION("""COMPUTED_VALUE"""),28997.0)</f>
        <v>28997</v>
      </c>
      <c r="L22" s="214">
        <f>IFERROR(__xludf.DUMMYFUNCTION("""COMPUTED_VALUE"""),0.5242)</f>
        <v>0.5242</v>
      </c>
      <c r="M22" s="213">
        <f>IFERROR(__xludf.DUMMYFUNCTION("""COMPUTED_VALUE"""),0.0)</f>
        <v>0</v>
      </c>
      <c r="N22" s="214">
        <f>IFERROR(__xludf.DUMMYFUNCTION("""COMPUTED_VALUE"""),0.0)</f>
        <v>0</v>
      </c>
      <c r="O22" s="213">
        <f>IFERROR(__xludf.DUMMYFUNCTION("""COMPUTED_VALUE"""),55.0)</f>
        <v>55</v>
      </c>
      <c r="P22" s="213">
        <f>IFERROR(__xludf.DUMMYFUNCTION("""COMPUTED_VALUE"""),0.0)</f>
        <v>0</v>
      </c>
      <c r="Q22" s="214">
        <f>IFERROR(__xludf.DUMMYFUNCTION("""COMPUTED_VALUE"""),0.0019)</f>
        <v>0.0019</v>
      </c>
      <c r="R22" s="214">
        <f>IFERROR(__xludf.DUMMYFUNCTION("""COMPUTED_VALUE"""),0.0)</f>
        <v>0</v>
      </c>
      <c r="S22" s="101">
        <f>IFERROR(__xludf.DUMMYFUNCTION("""COMPUTED_VALUE"""),0.0)</f>
        <v>0</v>
      </c>
      <c r="T22" s="101">
        <f>IFERROR(__xludf.DUMMYFUNCTION("""COMPUTED_VALUE"""),0.0)</f>
        <v>0</v>
      </c>
      <c r="U22" s="213">
        <f>IFERROR(__xludf.DUMMYFUNCTION("""COMPUTED_VALUE"""),0.0)</f>
        <v>0</v>
      </c>
      <c r="V22" s="213" t="str">
        <f>IFERROR(__xludf.DUMMYFUNCTION("""COMPUTED_VALUE"""),"overall ")</f>
        <v>overall </v>
      </c>
      <c r="W22" s="98" t="str">
        <f>IFERROR(__xludf.DUMMYFUNCTION("""COMPUTED_VALUE"""),"sms")</f>
        <v>sms</v>
      </c>
      <c r="X22" s="98" t="str">
        <f>IFERROR(__xludf.DUMMYFUNCTION("""COMPUTED_VALUE"""),"BBW Base - 2023")</f>
        <v>BBW Base - 2023</v>
      </c>
      <c r="Y22" s="98" t="str">
        <f>IFERROR(__xludf.DUMMYFUNCTION("""COMPUTED_VALUE"""),"1st May - 4TH May")</f>
        <v>1st May - 4TH May</v>
      </c>
      <c r="Z22" s="98" t="str">
        <f>IFERROR(__xludf.DUMMYFUNCTION("""COMPUTED_VALUE"""),"69f44b4acad0c56b4256bace")</f>
        <v>69f44b4acad0c56b4256bace</v>
      </c>
      <c r="AA22" s="98"/>
      <c r="AB22" s="98"/>
      <c r="AC22" s="98"/>
      <c r="AD22" s="98"/>
      <c r="AE22" s="98"/>
      <c r="AF22" s="98"/>
      <c r="AG22" s="208"/>
      <c r="AH22" s="208"/>
      <c r="AI22" s="208"/>
      <c r="AJ22" s="208"/>
      <c r="AK22" s="208"/>
    </row>
    <row r="23">
      <c r="A23" s="314">
        <f>IFERROR(__xludf.DUMMYFUNCTION("""COMPUTED_VALUE"""),46143.0)</f>
        <v>46143</v>
      </c>
      <c r="B23" s="238">
        <f>IFERROR(__xludf.DUMMYFUNCTION("""COMPUTED_VALUE"""),0.5208333333321207)</f>
        <v>0.5208333333</v>
      </c>
      <c r="C23" s="96" t="str">
        <f>IFERROR(__xludf.DUMMYFUNCTION("""COMPUTED_VALUE"""),"Sms")</f>
        <v>Sms</v>
      </c>
      <c r="D23" s="212" t="str">
        <f>IFERROR(__xludf.DUMMYFUNCTION("""COMPUTED_VALUE"""),"Fallback campaign")</f>
        <v>Fallback campaign</v>
      </c>
      <c r="E23" s="96" t="str">
        <f>IFERROR(__xludf.DUMMYFUNCTION("""COMPUTED_VALUE"""),"AGIPL")</f>
        <v>AGIPL</v>
      </c>
      <c r="F23" s="212" t="str">
        <f>IFERROR(__xludf.DUMMYFUNCTION("""COMPUTED_VALUE"""),"MAY BOGO 2026 1-3 MAY - B1G1")</f>
        <v>MAY BOGO 2026 1-3 MAY - B1G1</v>
      </c>
      <c r="G23" s="212" t="str">
        <f>IFERROR(__xludf.DUMMYFUNCTION("""COMPUTED_VALUE"""),"Cross Brand_VS_Master_OnOff_Exclude_AL")</f>
        <v>Cross Brand_VS_Master_OnOff_Exclude_AL</v>
      </c>
      <c r="H23" s="28" t="str">
        <f>IFERROR(__xludf.DUMMYFUNCTION("""COMPUTED_VALUE"""),"VS_Master_OnOff_Exclude_AL")</f>
        <v>VS_Master_OnOff_Exclude_AL</v>
      </c>
      <c r="I23" s="28" t="str">
        <f>IFERROR(__xludf.DUMMYFUNCTION("""COMPUTED_VALUE"""),"RCS Undelivered")</f>
        <v>RCS Undelivered</v>
      </c>
      <c r="J23" s="239">
        <f>IFERROR(__xludf.DUMMYFUNCTION("""COMPUTED_VALUE"""),103673.0)</f>
        <v>103673</v>
      </c>
      <c r="K23" s="240">
        <f>IFERROR(__xludf.DUMMYFUNCTION("""COMPUTED_VALUE"""),64198.0)</f>
        <v>64198</v>
      </c>
      <c r="L23" s="241">
        <f>IFERROR(__xludf.DUMMYFUNCTION("""COMPUTED_VALUE"""),0.6192)</f>
        <v>0.6192</v>
      </c>
      <c r="M23" s="240">
        <f>IFERROR(__xludf.DUMMYFUNCTION("""COMPUTED_VALUE"""),0.0)</f>
        <v>0</v>
      </c>
      <c r="N23" s="136">
        <f>IFERROR(__xludf.DUMMYFUNCTION("""COMPUTED_VALUE"""),0.0)</f>
        <v>0</v>
      </c>
      <c r="O23" s="239">
        <f>IFERROR(__xludf.DUMMYFUNCTION("""COMPUTED_VALUE"""),133.0)</f>
        <v>133</v>
      </c>
      <c r="P23" s="239">
        <f>IFERROR(__xludf.DUMMYFUNCTION("""COMPUTED_VALUE"""),0.0)</f>
        <v>0</v>
      </c>
      <c r="Q23" s="214">
        <f>IFERROR(__xludf.DUMMYFUNCTION("""COMPUTED_VALUE"""),0.0021)</f>
        <v>0.0021</v>
      </c>
      <c r="R23" s="214">
        <f>IFERROR(__xludf.DUMMYFUNCTION("""COMPUTED_VALUE"""),0.0)</f>
        <v>0</v>
      </c>
      <c r="S23" s="101">
        <f>IFERROR(__xludf.DUMMYFUNCTION("""COMPUTED_VALUE"""),0.0)</f>
        <v>0</v>
      </c>
      <c r="T23" s="222">
        <f>IFERROR(__xludf.DUMMYFUNCTION("""COMPUTED_VALUE"""),0.0)</f>
        <v>0</v>
      </c>
      <c r="U23" s="242">
        <f>IFERROR(__xludf.DUMMYFUNCTION("""COMPUTED_VALUE"""),0.0)</f>
        <v>0</v>
      </c>
      <c r="V23" s="242" t="str">
        <f>IFERROR(__xludf.DUMMYFUNCTION("""COMPUTED_VALUE"""),"overall ")</f>
        <v>overall </v>
      </c>
      <c r="W23" s="243" t="str">
        <f>IFERROR(__xludf.DUMMYFUNCTION("""COMPUTED_VALUE"""),"sms")</f>
        <v>sms</v>
      </c>
      <c r="X23" s="243" t="str">
        <f>IFERROR(__xludf.DUMMYFUNCTION("""COMPUTED_VALUE"""),"VS Base")</f>
        <v>VS Base</v>
      </c>
      <c r="Y23" s="243" t="str">
        <f>IFERROR(__xludf.DUMMYFUNCTION("""COMPUTED_VALUE"""),"1st May - 4TH May")</f>
        <v>1st May - 4TH May</v>
      </c>
      <c r="Z23" s="243" t="str">
        <f>IFERROR(__xludf.DUMMYFUNCTION("""COMPUTED_VALUE"""),"69f44b9ab9f13223d9d41529")</f>
        <v>69f44b9ab9f13223d9d41529</v>
      </c>
      <c r="AA23" s="243"/>
      <c r="AB23" s="243"/>
      <c r="AC23" s="243"/>
      <c r="AD23" s="243"/>
      <c r="AE23" s="243"/>
      <c r="AF23" s="243"/>
      <c r="AG23" s="208"/>
      <c r="AH23" s="208"/>
      <c r="AI23" s="208"/>
      <c r="AJ23" s="208"/>
      <c r="AK23" s="208"/>
    </row>
    <row r="24">
      <c r="A24" s="314">
        <f>IFERROR(__xludf.DUMMYFUNCTION("""COMPUTED_VALUE"""),46143.0)</f>
        <v>46143</v>
      </c>
      <c r="B24" s="238">
        <f>IFERROR(__xludf.DUMMYFUNCTION("""COMPUTED_VALUE"""),46143.39583333333)</f>
        <v>46143.39583</v>
      </c>
      <c r="C24" s="96" t="str">
        <f>IFERROR(__xludf.DUMMYFUNCTION("""COMPUTED_VALUE"""),"Rcs")</f>
        <v>Rcs</v>
      </c>
      <c r="D24" s="212" t="str">
        <f>IFERROR(__xludf.DUMMYFUNCTION("""COMPUTED_VALUE"""),"Fallback campaign")</f>
        <v>Fallback campaign</v>
      </c>
      <c r="E24" s="96" t="str">
        <f>IFERROR(__xludf.DUMMYFUNCTION("""COMPUTED_VALUE"""),"AGIPL")</f>
        <v>AGIPL</v>
      </c>
      <c r="F24" s="212" t="str">
        <f>IFERROR(__xludf.DUMMYFUNCTION("""COMPUTED_VALUE"""),"MAY BOGO 2026 1-3 MAY - B1G1")</f>
        <v>MAY BOGO 2026 1-3 MAY - B1G1</v>
      </c>
      <c r="G24" s="212" t="str">
        <f>IFERROR(__xludf.DUMMYFUNCTION("""COMPUTED_VALUE"""),"1st May_Bogo_ VS_Master_OnOff_Exclude_AL")</f>
        <v>1st May_Bogo_ VS_Master_OnOff_Exclude_AL</v>
      </c>
      <c r="H24" s="28" t="str">
        <f>IFERROR(__xludf.DUMMYFUNCTION("""COMPUTED_VALUE"""),"VS_Master_OnOff_Exclude_AL")</f>
        <v>VS_Master_OnOff_Exclude_AL</v>
      </c>
      <c r="I24" s="28" t="str">
        <f>IFERROR(__xludf.DUMMYFUNCTION("""COMPUTED_VALUE"""),"WA Undelivered")</f>
        <v>WA Undelivered</v>
      </c>
      <c r="J24" s="239">
        <f>IFERROR(__xludf.DUMMYFUNCTION("""COMPUTED_VALUE"""),127058.0)</f>
        <v>127058</v>
      </c>
      <c r="K24" s="240">
        <f>IFERROR(__xludf.DUMMYFUNCTION("""COMPUTED_VALUE"""),23039.0)</f>
        <v>23039</v>
      </c>
      <c r="L24" s="241">
        <f>IFERROR(__xludf.DUMMYFUNCTION("""COMPUTED_VALUE"""),0.181326638228211)</f>
        <v>0.1813266382</v>
      </c>
      <c r="M24" s="240">
        <f>IFERROR(__xludf.DUMMYFUNCTION("""COMPUTED_VALUE"""),3030.0)</f>
        <v>3030</v>
      </c>
      <c r="N24" s="136">
        <f>IFERROR(__xludf.DUMMYFUNCTION("""COMPUTED_VALUE"""),0.1315)</f>
        <v>0.1315</v>
      </c>
      <c r="O24" s="239">
        <f>IFERROR(__xludf.DUMMYFUNCTION("""COMPUTED_VALUE"""),85.0)</f>
        <v>85</v>
      </c>
      <c r="P24" s="239">
        <f>IFERROR(__xludf.DUMMYFUNCTION("""COMPUTED_VALUE"""),0.0)</f>
        <v>0</v>
      </c>
      <c r="Q24" s="214">
        <f>IFERROR(__xludf.DUMMYFUNCTION("""COMPUTED_VALUE"""),0.0039)</f>
        <v>0.0039</v>
      </c>
      <c r="R24" s="214">
        <f>IFERROR(__xludf.DUMMYFUNCTION("""COMPUTED_VALUE"""),0.0)</f>
        <v>0</v>
      </c>
      <c r="S24" s="101">
        <f>IFERROR(__xludf.DUMMYFUNCTION("""COMPUTED_VALUE"""),0.0)</f>
        <v>0</v>
      </c>
      <c r="T24" s="222">
        <f>IFERROR(__xludf.DUMMYFUNCTION("""COMPUTED_VALUE"""),0.0)</f>
        <v>0</v>
      </c>
      <c r="U24" s="242">
        <f>IFERROR(__xludf.DUMMYFUNCTION("""COMPUTED_VALUE"""),0.0)</f>
        <v>0</v>
      </c>
      <c r="V24" s="242" t="str">
        <f>IFERROR(__xludf.DUMMYFUNCTION("""COMPUTED_VALUE"""),"overall")</f>
        <v>overall</v>
      </c>
      <c r="W24" s="243" t="str">
        <f>IFERROR(__xludf.DUMMYFUNCTION("""COMPUTED_VALUE"""),"rcs")</f>
        <v>rcs</v>
      </c>
      <c r="X24" s="243" t="str">
        <f>IFERROR(__xludf.DUMMYFUNCTION("""COMPUTED_VALUE"""),"VS Base")</f>
        <v>VS Base</v>
      </c>
      <c r="Y24" s="243" t="str">
        <f>IFERROR(__xludf.DUMMYFUNCTION("""COMPUTED_VALUE"""),"1st May - 4TH May")</f>
        <v>1st May - 4TH May</v>
      </c>
      <c r="Z24" s="243" t="str">
        <f>IFERROR(__xludf.DUMMYFUNCTION("""COMPUTED_VALUE"""),"69f370306fb6f85c90d6f2e0")</f>
        <v>69f370306fb6f85c90d6f2e0</v>
      </c>
      <c r="AA24" s="243"/>
      <c r="AB24" s="243"/>
      <c r="AC24" s="243"/>
      <c r="AD24" s="243"/>
      <c r="AE24" s="243"/>
      <c r="AF24" s="243"/>
      <c r="AG24" s="208"/>
      <c r="AH24" s="208"/>
      <c r="AI24" s="208"/>
      <c r="AJ24" s="208"/>
      <c r="AK24" s="208"/>
    </row>
    <row r="25">
      <c r="A25" s="314">
        <f>IFERROR(__xludf.DUMMYFUNCTION("""COMPUTED_VALUE"""),46143.0)</f>
        <v>46143</v>
      </c>
      <c r="B25" s="238">
        <f>IFERROR(__xludf.DUMMYFUNCTION("""COMPUTED_VALUE"""),46143.39583333333)</f>
        <v>46143.39583</v>
      </c>
      <c r="C25" s="96" t="str">
        <f>IFERROR(__xludf.DUMMYFUNCTION("""COMPUTED_VALUE"""),"Rcs")</f>
        <v>Rcs</v>
      </c>
      <c r="D25" s="212" t="str">
        <f>IFERROR(__xludf.DUMMYFUNCTION("""COMPUTED_VALUE"""),"Fallback campaign")</f>
        <v>Fallback campaign</v>
      </c>
      <c r="E25" s="96" t="str">
        <f>IFERROR(__xludf.DUMMYFUNCTION("""COMPUTED_VALUE"""),"AGIPL")</f>
        <v>AGIPL</v>
      </c>
      <c r="F25" s="212" t="str">
        <f>IFERROR(__xludf.DUMMYFUNCTION("""COMPUTED_VALUE"""),"MAY BOGO 2026 1-3 MAY - B1G1")</f>
        <v>MAY BOGO 2026 1-3 MAY - B1G1</v>
      </c>
      <c r="G25" s="212" t="str">
        <f>IFERROR(__xludf.DUMMYFUNCTION("""COMPUTED_VALUE"""),"1st May_Bogo_ BBW_Exclude_AL_onoff_2023")</f>
        <v>1st May_Bogo_ BBW_Exclude_AL_onoff_2023</v>
      </c>
      <c r="H25" s="28" t="str">
        <f>IFERROR(__xludf.DUMMYFUNCTION("""COMPUTED_VALUE"""),"BBW_Exclude_AL_onoff_2023")</f>
        <v>BBW_Exclude_AL_onoff_2023</v>
      </c>
      <c r="I25" s="28" t="str">
        <f>IFERROR(__xludf.DUMMYFUNCTION("""COMPUTED_VALUE"""),"WA Undelivered")</f>
        <v>WA Undelivered</v>
      </c>
      <c r="J25" s="239">
        <f>IFERROR(__xludf.DUMMYFUNCTION("""COMPUTED_VALUE"""),69180.0)</f>
        <v>69180</v>
      </c>
      <c r="K25" s="240">
        <f>IFERROR(__xludf.DUMMYFUNCTION("""COMPUTED_VALUE"""),13969.0)</f>
        <v>13969</v>
      </c>
      <c r="L25" s="241">
        <f>IFERROR(__xludf.DUMMYFUNCTION("""COMPUTED_VALUE"""),0.201922520959815)</f>
        <v>0.201922521</v>
      </c>
      <c r="M25" s="240">
        <f>IFERROR(__xludf.DUMMYFUNCTION("""COMPUTED_VALUE"""),2170.0)</f>
        <v>2170</v>
      </c>
      <c r="N25" s="136">
        <f>IFERROR(__xludf.DUMMYFUNCTION("""COMPUTED_VALUE"""),0.1553)</f>
        <v>0.1553</v>
      </c>
      <c r="O25" s="239">
        <f>IFERROR(__xludf.DUMMYFUNCTION("""COMPUTED_VALUE"""),50.0)</f>
        <v>50</v>
      </c>
      <c r="P25" s="239">
        <f>IFERROR(__xludf.DUMMYFUNCTION("""COMPUTED_VALUE"""),0.0)</f>
        <v>0</v>
      </c>
      <c r="Q25" s="214">
        <f>IFERROR(__xludf.DUMMYFUNCTION("""COMPUTED_VALUE"""),0.0039)</f>
        <v>0.0039</v>
      </c>
      <c r="R25" s="214">
        <f>IFERROR(__xludf.DUMMYFUNCTION("""COMPUTED_VALUE"""),0.0)</f>
        <v>0</v>
      </c>
      <c r="S25" s="101">
        <f>IFERROR(__xludf.DUMMYFUNCTION("""COMPUTED_VALUE"""),0.0)</f>
        <v>0</v>
      </c>
      <c r="T25" s="222">
        <f>IFERROR(__xludf.DUMMYFUNCTION("""COMPUTED_VALUE"""),0.0)</f>
        <v>0</v>
      </c>
      <c r="U25" s="242">
        <f>IFERROR(__xludf.DUMMYFUNCTION("""COMPUTED_VALUE"""),0.0)</f>
        <v>0</v>
      </c>
      <c r="V25" s="242" t="str">
        <f>IFERROR(__xludf.DUMMYFUNCTION("""COMPUTED_VALUE"""),"overall")</f>
        <v>overall</v>
      </c>
      <c r="W25" s="243" t="str">
        <f>IFERROR(__xludf.DUMMYFUNCTION("""COMPUTED_VALUE"""),"rcs")</f>
        <v>rcs</v>
      </c>
      <c r="X25" s="243" t="str">
        <f>IFERROR(__xludf.DUMMYFUNCTION("""COMPUTED_VALUE"""),"BBW Base - 2023")</f>
        <v>BBW Base - 2023</v>
      </c>
      <c r="Y25" s="243" t="str">
        <f>IFERROR(__xludf.DUMMYFUNCTION("""COMPUTED_VALUE"""),"1st May - 4TH May")</f>
        <v>1st May - 4TH May</v>
      </c>
      <c r="Z25" s="243" t="str">
        <f>IFERROR(__xludf.DUMMYFUNCTION("""COMPUTED_VALUE"""),"69f3706e313ceec475d2564a")</f>
        <v>69f3706e313ceec475d2564a</v>
      </c>
      <c r="AA25" s="243"/>
      <c r="AB25" s="243"/>
      <c r="AC25" s="243"/>
      <c r="AD25" s="243"/>
      <c r="AE25" s="243"/>
      <c r="AF25" s="243"/>
      <c r="AG25" s="208"/>
      <c r="AH25" s="208"/>
      <c r="AI25" s="208"/>
      <c r="AJ25" s="208"/>
      <c r="AK25" s="208"/>
    </row>
    <row r="26">
      <c r="A26" s="314">
        <f>IFERROR(__xludf.DUMMYFUNCTION("""COMPUTED_VALUE"""),46143.0)</f>
        <v>46143</v>
      </c>
      <c r="B26" s="238">
        <f>IFERROR(__xludf.DUMMYFUNCTION("""COMPUTED_VALUE"""),46143.39583333333)</f>
        <v>46143.39583</v>
      </c>
      <c r="C26" s="96" t="str">
        <f>IFERROR(__xludf.DUMMYFUNCTION("""COMPUTED_VALUE"""),"Rcs")</f>
        <v>Rcs</v>
      </c>
      <c r="D26" s="212" t="str">
        <f>IFERROR(__xludf.DUMMYFUNCTION("""COMPUTED_VALUE"""),"Fallback campaign")</f>
        <v>Fallback campaign</v>
      </c>
      <c r="E26" s="96" t="str">
        <f>IFERROR(__xludf.DUMMYFUNCTION("""COMPUTED_VALUE"""),"AGIPL")</f>
        <v>AGIPL</v>
      </c>
      <c r="F26" s="212" t="str">
        <f>IFERROR(__xludf.DUMMYFUNCTION("""COMPUTED_VALUE"""),"MAY BOGO 2026 1-3 MAY - B1G1")</f>
        <v>MAY BOGO 2026 1-3 MAY - B1G1</v>
      </c>
      <c r="G26" s="212" t="str">
        <f>IFERROR(__xludf.DUMMYFUNCTION("""COMPUTED_VALUE"""),"1st May_Bogo_ BBW_Exclude_AL_onoff_2024")</f>
        <v>1st May_Bogo_ BBW_Exclude_AL_onoff_2024</v>
      </c>
      <c r="H26" s="28" t="str">
        <f>IFERROR(__xludf.DUMMYFUNCTION("""COMPUTED_VALUE"""),"BBW_Exclude_AL_onoff_2024")</f>
        <v>BBW_Exclude_AL_onoff_2024</v>
      </c>
      <c r="I26" s="28" t="str">
        <f>IFERROR(__xludf.DUMMYFUNCTION("""COMPUTED_VALUE"""),"WA Undelivered")</f>
        <v>WA Undelivered</v>
      </c>
      <c r="J26" s="239">
        <f>IFERROR(__xludf.DUMMYFUNCTION("""COMPUTED_VALUE"""),254797.0)</f>
        <v>254797</v>
      </c>
      <c r="K26" s="240">
        <f>IFERROR(__xludf.DUMMYFUNCTION("""COMPUTED_VALUE"""),58394.0)</f>
        <v>58394</v>
      </c>
      <c r="L26" s="241">
        <f>IFERROR(__xludf.DUMMYFUNCTION("""COMPUTED_VALUE"""),0.229178522510077)</f>
        <v>0.2291785225</v>
      </c>
      <c r="M26" s="240">
        <f>IFERROR(__xludf.DUMMYFUNCTION("""COMPUTED_VALUE"""),9634.0)</f>
        <v>9634</v>
      </c>
      <c r="N26" s="136">
        <f>IFERROR(__xludf.DUMMYFUNCTION("""COMPUTED_VALUE"""),0.165)</f>
        <v>0.165</v>
      </c>
      <c r="O26" s="239">
        <f>IFERROR(__xludf.DUMMYFUNCTION("""COMPUTED_VALUE"""),201.0)</f>
        <v>201</v>
      </c>
      <c r="P26" s="239">
        <f>IFERROR(__xludf.DUMMYFUNCTION("""COMPUTED_VALUE"""),0.0)</f>
        <v>0</v>
      </c>
      <c r="Q26" s="214">
        <f>IFERROR(__xludf.DUMMYFUNCTION("""COMPUTED_VALUE"""),0.0038)</f>
        <v>0.0038</v>
      </c>
      <c r="R26" s="214">
        <f>IFERROR(__xludf.DUMMYFUNCTION("""COMPUTED_VALUE"""),0.0)</f>
        <v>0</v>
      </c>
      <c r="S26" s="101">
        <f>IFERROR(__xludf.DUMMYFUNCTION("""COMPUTED_VALUE"""),0.0)</f>
        <v>0</v>
      </c>
      <c r="T26" s="222">
        <f>IFERROR(__xludf.DUMMYFUNCTION("""COMPUTED_VALUE"""),0.0)</f>
        <v>0</v>
      </c>
      <c r="U26" s="242">
        <f>IFERROR(__xludf.DUMMYFUNCTION("""COMPUTED_VALUE"""),0.0)</f>
        <v>0</v>
      </c>
      <c r="V26" s="242" t="str">
        <f>IFERROR(__xludf.DUMMYFUNCTION("""COMPUTED_VALUE"""),"overall")</f>
        <v>overall</v>
      </c>
      <c r="W26" s="243" t="str">
        <f>IFERROR(__xludf.DUMMYFUNCTION("""COMPUTED_VALUE"""),"rcs")</f>
        <v>rcs</v>
      </c>
      <c r="X26" s="243" t="str">
        <f>IFERROR(__xludf.DUMMYFUNCTION("""COMPUTED_VALUE"""),"BBW Base - 2024")</f>
        <v>BBW Base - 2024</v>
      </c>
      <c r="Y26" s="243" t="str">
        <f>IFERROR(__xludf.DUMMYFUNCTION("""COMPUTED_VALUE"""),"1st May - 4TH May")</f>
        <v>1st May - 4TH May</v>
      </c>
      <c r="Z26" s="243" t="str">
        <f>IFERROR(__xludf.DUMMYFUNCTION("""COMPUTED_VALUE"""),"69f370c25a4eca78a0afc11c")</f>
        <v>69f370c25a4eca78a0afc11c</v>
      </c>
      <c r="AA26" s="243"/>
      <c r="AB26" s="243"/>
      <c r="AC26" s="243"/>
      <c r="AD26" s="243"/>
      <c r="AE26" s="243"/>
      <c r="AF26" s="243"/>
      <c r="AG26" s="208"/>
      <c r="AH26" s="208"/>
      <c r="AI26" s="208"/>
      <c r="AJ26" s="208"/>
      <c r="AK26" s="208"/>
    </row>
    <row r="27">
      <c r="A27" s="314">
        <f>IFERROR(__xludf.DUMMYFUNCTION("""COMPUTED_VALUE"""),46143.0)</f>
        <v>46143</v>
      </c>
      <c r="B27" s="238">
        <f>IFERROR(__xludf.DUMMYFUNCTION("""COMPUTED_VALUE"""),46143.39583333333)</f>
        <v>46143.39583</v>
      </c>
      <c r="C27" s="96" t="str">
        <f>IFERROR(__xludf.DUMMYFUNCTION("""COMPUTED_VALUE"""),"Rcs")</f>
        <v>Rcs</v>
      </c>
      <c r="D27" s="212" t="str">
        <f>IFERROR(__xludf.DUMMYFUNCTION("""COMPUTED_VALUE"""),"Fallback campaign")</f>
        <v>Fallback campaign</v>
      </c>
      <c r="E27" s="96" t="str">
        <f>IFERROR(__xludf.DUMMYFUNCTION("""COMPUTED_VALUE"""),"AGIPL")</f>
        <v>AGIPL</v>
      </c>
      <c r="F27" s="212" t="str">
        <f>IFERROR(__xludf.DUMMYFUNCTION("""COMPUTED_VALUE"""),"MAY BOGO 2026 1-3 MAY - B1G1")</f>
        <v>MAY BOGO 2026 1-3 MAY - B1G1</v>
      </c>
      <c r="G27" s="212" t="str">
        <f>IFERROR(__xludf.DUMMYFUNCTION("""COMPUTED_VALUE"""),"1st May_Bogo_ BBW_Exclude_AL_onoff_2025")</f>
        <v>1st May_Bogo_ BBW_Exclude_AL_onoff_2025</v>
      </c>
      <c r="H27" s="28" t="str">
        <f>IFERROR(__xludf.DUMMYFUNCTION("""COMPUTED_VALUE"""),"BBW_Exclude_AL_onoff_2025")</f>
        <v>BBW_Exclude_AL_onoff_2025</v>
      </c>
      <c r="I27" s="28" t="str">
        <f>IFERROR(__xludf.DUMMYFUNCTION("""COMPUTED_VALUE"""),"WA Undelivered")</f>
        <v>WA Undelivered</v>
      </c>
      <c r="J27" s="239">
        <f>IFERROR(__xludf.DUMMYFUNCTION("""COMPUTED_VALUE"""),324573.0)</f>
        <v>324573</v>
      </c>
      <c r="K27" s="240">
        <f>IFERROR(__xludf.DUMMYFUNCTION("""COMPUTED_VALUE"""),81294.0)</f>
        <v>81294</v>
      </c>
      <c r="L27" s="241">
        <f>IFERROR(__xludf.DUMMYFUNCTION("""COMPUTED_VALUE"""),0.250464456378072)</f>
        <v>0.2504644564</v>
      </c>
      <c r="M27" s="240">
        <f>IFERROR(__xludf.DUMMYFUNCTION("""COMPUTED_VALUE"""),12978.0)</f>
        <v>12978</v>
      </c>
      <c r="N27" s="136">
        <f>IFERROR(__xludf.DUMMYFUNCTION("""COMPUTED_VALUE"""),0.1597)</f>
        <v>0.1597</v>
      </c>
      <c r="O27" s="239">
        <f>IFERROR(__xludf.DUMMYFUNCTION("""COMPUTED_VALUE"""),304.0)</f>
        <v>304</v>
      </c>
      <c r="P27" s="239">
        <f>IFERROR(__xludf.DUMMYFUNCTION("""COMPUTED_VALUE"""),0.0)</f>
        <v>0</v>
      </c>
      <c r="Q27" s="214">
        <f>IFERROR(__xludf.DUMMYFUNCTION("""COMPUTED_VALUE"""),0.0041)</f>
        <v>0.0041</v>
      </c>
      <c r="R27" s="214">
        <f>IFERROR(__xludf.DUMMYFUNCTION("""COMPUTED_VALUE"""),0.0)</f>
        <v>0</v>
      </c>
      <c r="S27" s="101">
        <f>IFERROR(__xludf.DUMMYFUNCTION("""COMPUTED_VALUE"""),0.0)</f>
        <v>0</v>
      </c>
      <c r="T27" s="222">
        <f>IFERROR(__xludf.DUMMYFUNCTION("""COMPUTED_VALUE"""),0.0)</f>
        <v>0</v>
      </c>
      <c r="U27" s="242">
        <f>IFERROR(__xludf.DUMMYFUNCTION("""COMPUTED_VALUE"""),0.0)</f>
        <v>0</v>
      </c>
      <c r="V27" s="242" t="str">
        <f>IFERROR(__xludf.DUMMYFUNCTION("""COMPUTED_VALUE"""),"overall")</f>
        <v>overall</v>
      </c>
      <c r="W27" s="243" t="str">
        <f>IFERROR(__xludf.DUMMYFUNCTION("""COMPUTED_VALUE"""),"rcs")</f>
        <v>rcs</v>
      </c>
      <c r="X27" s="243" t="str">
        <f>IFERROR(__xludf.DUMMYFUNCTION("""COMPUTED_VALUE"""),"BBW Base - 2025")</f>
        <v>BBW Base - 2025</v>
      </c>
      <c r="Y27" s="243" t="str">
        <f>IFERROR(__xludf.DUMMYFUNCTION("""COMPUTED_VALUE"""),"1st May - 4TH May")</f>
        <v>1st May - 4TH May</v>
      </c>
      <c r="Z27" s="243" t="str">
        <f>IFERROR(__xludf.DUMMYFUNCTION("""COMPUTED_VALUE"""),"69f370e156bbb58a1cb0ce61")</f>
        <v>69f370e156bbb58a1cb0ce61</v>
      </c>
      <c r="AA27" s="243"/>
      <c r="AB27" s="243"/>
      <c r="AC27" s="243"/>
      <c r="AD27" s="243"/>
      <c r="AE27" s="243"/>
      <c r="AF27" s="243"/>
      <c r="AG27" s="208"/>
      <c r="AH27" s="208"/>
      <c r="AI27" s="208"/>
      <c r="AJ27" s="208"/>
      <c r="AK27" s="208"/>
    </row>
    <row r="28">
      <c r="A28" s="314">
        <f>IFERROR(__xludf.DUMMYFUNCTION("""COMPUTED_VALUE"""),46143.0)</f>
        <v>46143</v>
      </c>
      <c r="B28" s="238">
        <f>IFERROR(__xludf.DUMMYFUNCTION("""COMPUTED_VALUE"""),46143.39583333333)</f>
        <v>46143.39583</v>
      </c>
      <c r="C28" s="96" t="str">
        <f>IFERROR(__xludf.DUMMYFUNCTION("""COMPUTED_VALUE"""),"Rcs")</f>
        <v>Rcs</v>
      </c>
      <c r="D28" s="212" t="str">
        <f>IFERROR(__xludf.DUMMYFUNCTION("""COMPUTED_VALUE"""),"Fallback campaign")</f>
        <v>Fallback campaign</v>
      </c>
      <c r="E28" s="96" t="str">
        <f>IFERROR(__xludf.DUMMYFUNCTION("""COMPUTED_VALUE"""),"AGIPL")</f>
        <v>AGIPL</v>
      </c>
      <c r="F28" s="212" t="str">
        <f>IFERROR(__xludf.DUMMYFUNCTION("""COMPUTED_VALUE"""),"MAY BOGO 2026 1-3 MAY - B1G1")</f>
        <v>MAY BOGO 2026 1-3 MAY - B1G1</v>
      </c>
      <c r="G28" s="212" t="str">
        <f>IFERROR(__xludf.DUMMYFUNCTION("""COMPUTED_VALUE"""),"1st May_Bogo_ BBW_Exclude_AL_onoff_2026")</f>
        <v>1st May_Bogo_ BBW_Exclude_AL_onoff_2026</v>
      </c>
      <c r="H28" s="28" t="str">
        <f>IFERROR(__xludf.DUMMYFUNCTION("""COMPUTED_VALUE"""),"BBW_Exclude_AL_onoff_2026")</f>
        <v>BBW_Exclude_AL_onoff_2026</v>
      </c>
      <c r="I28" s="28" t="str">
        <f>IFERROR(__xludf.DUMMYFUNCTION("""COMPUTED_VALUE"""),"WA Undelivered")</f>
        <v>WA Undelivered</v>
      </c>
      <c r="J28" s="239">
        <f>IFERROR(__xludf.DUMMYFUNCTION("""COMPUTED_VALUE"""),102037.0)</f>
        <v>102037</v>
      </c>
      <c r="K28" s="240">
        <f>IFERROR(__xludf.DUMMYFUNCTION("""COMPUTED_VALUE"""),25986.0)</f>
        <v>25986</v>
      </c>
      <c r="L28" s="241">
        <f>IFERROR(__xludf.DUMMYFUNCTION("""COMPUTED_VALUE"""),0.254672324744945)</f>
        <v>0.2546723247</v>
      </c>
      <c r="M28" s="240">
        <f>IFERROR(__xludf.DUMMYFUNCTION("""COMPUTED_VALUE"""),4176.0)</f>
        <v>4176</v>
      </c>
      <c r="N28" s="136">
        <f>IFERROR(__xludf.DUMMYFUNCTION("""COMPUTED_VALUE"""),0.1608)</f>
        <v>0.1608</v>
      </c>
      <c r="O28" s="239">
        <f>IFERROR(__xludf.DUMMYFUNCTION("""COMPUTED_VALUE"""),119.0)</f>
        <v>119</v>
      </c>
      <c r="P28" s="239">
        <f>IFERROR(__xludf.DUMMYFUNCTION("""COMPUTED_VALUE"""),0.0)</f>
        <v>0</v>
      </c>
      <c r="Q28" s="214">
        <f>IFERROR(__xludf.DUMMYFUNCTION("""COMPUTED_VALUE"""),0.005)</f>
        <v>0.005</v>
      </c>
      <c r="R28" s="214">
        <f>IFERROR(__xludf.DUMMYFUNCTION("""COMPUTED_VALUE"""),0.0)</f>
        <v>0</v>
      </c>
      <c r="S28" s="101">
        <f>IFERROR(__xludf.DUMMYFUNCTION("""COMPUTED_VALUE"""),0.0)</f>
        <v>0</v>
      </c>
      <c r="T28" s="222">
        <f>IFERROR(__xludf.DUMMYFUNCTION("""COMPUTED_VALUE"""),0.0)</f>
        <v>0</v>
      </c>
      <c r="U28" s="242">
        <f>IFERROR(__xludf.DUMMYFUNCTION("""COMPUTED_VALUE"""),0.0)</f>
        <v>0</v>
      </c>
      <c r="V28" s="242" t="str">
        <f>IFERROR(__xludf.DUMMYFUNCTION("""COMPUTED_VALUE"""),"overall")</f>
        <v>overall</v>
      </c>
      <c r="W28" s="243" t="str">
        <f>IFERROR(__xludf.DUMMYFUNCTION("""COMPUTED_VALUE"""),"rcs")</f>
        <v>rcs</v>
      </c>
      <c r="X28" s="243" t="str">
        <f>IFERROR(__xludf.DUMMYFUNCTION("""COMPUTED_VALUE"""),"BBW Base - 2026")</f>
        <v>BBW Base - 2026</v>
      </c>
      <c r="Y28" s="243" t="str">
        <f>IFERROR(__xludf.DUMMYFUNCTION("""COMPUTED_VALUE"""),"1st May - 4TH May")</f>
        <v>1st May - 4TH May</v>
      </c>
      <c r="Z28" s="243" t="str">
        <f>IFERROR(__xludf.DUMMYFUNCTION("""COMPUTED_VALUE"""),"69f3710722969270fba7adde")</f>
        <v>69f3710722969270fba7adde</v>
      </c>
      <c r="AA28" s="243"/>
      <c r="AB28" s="243"/>
      <c r="AC28" s="243"/>
      <c r="AD28" s="243"/>
      <c r="AE28" s="243"/>
      <c r="AF28" s="243"/>
      <c r="AG28" s="208"/>
      <c r="AH28" s="208"/>
      <c r="AI28" s="208"/>
      <c r="AJ28" s="208"/>
      <c r="AK28" s="208"/>
    </row>
    <row r="29">
      <c r="A29" s="314">
        <f>IFERROR(__xludf.DUMMYFUNCTION("""COMPUTED_VALUE"""),46143.0)</f>
        <v>46143</v>
      </c>
      <c r="B29" s="238">
        <f>IFERROR(__xludf.DUMMYFUNCTION("""COMPUTED_VALUE"""),46143.39583333333)</f>
        <v>46143.39583</v>
      </c>
      <c r="C29" s="96" t="str">
        <f>IFERROR(__xludf.DUMMYFUNCTION("""COMPUTED_VALUE"""),"Rcs")</f>
        <v>Rcs</v>
      </c>
      <c r="D29" s="212" t="str">
        <f>IFERROR(__xludf.DUMMYFUNCTION("""COMPUTED_VALUE"""),"Fallback campaign")</f>
        <v>Fallback campaign</v>
      </c>
      <c r="E29" s="96" t="str">
        <f>IFERROR(__xludf.DUMMYFUNCTION("""COMPUTED_VALUE"""),"AGIPL")</f>
        <v>AGIPL</v>
      </c>
      <c r="F29" s="212" t="str">
        <f>IFERROR(__xludf.DUMMYFUNCTION("""COMPUTED_VALUE"""),"MAY BOGO 2026 1-3 MAY - B1G1")</f>
        <v>MAY BOGO 2026 1-3 MAY - B1G1</v>
      </c>
      <c r="G29" s="212" t="str">
        <f>IFERROR(__xludf.DUMMYFUNCTION("""COMPUTED_VALUE"""),"1st May_Bogo_ CK_Exc_AL_onoff")</f>
        <v>1st May_Bogo_ CK_Exc_AL_onoff</v>
      </c>
      <c r="H29" s="28" t="str">
        <f>IFERROR(__xludf.DUMMYFUNCTION("""COMPUTED_VALUE"""),"CK_Exc_AL_onoff")</f>
        <v>CK_Exc_AL_onoff</v>
      </c>
      <c r="I29" s="28" t="str">
        <f>IFERROR(__xludf.DUMMYFUNCTION("""COMPUTED_VALUE"""),"WA Undelivered")</f>
        <v>WA Undelivered</v>
      </c>
      <c r="J29" s="239">
        <f>IFERROR(__xludf.DUMMYFUNCTION("""COMPUTED_VALUE"""),131521.0)</f>
        <v>131521</v>
      </c>
      <c r="K29" s="240">
        <f>IFERROR(__xludf.DUMMYFUNCTION("""COMPUTED_VALUE"""),21926.0)</f>
        <v>21926</v>
      </c>
      <c r="L29" s="241">
        <f>IFERROR(__xludf.DUMMYFUNCTION("""COMPUTED_VALUE"""),0.166711019533002)</f>
        <v>0.1667110195</v>
      </c>
      <c r="M29" s="240">
        <f>IFERROR(__xludf.DUMMYFUNCTION("""COMPUTED_VALUE"""),3887.0)</f>
        <v>3887</v>
      </c>
      <c r="N29" s="136">
        <f>IFERROR(__xludf.DUMMYFUNCTION("""COMPUTED_VALUE"""),0.1773)</f>
        <v>0.1773</v>
      </c>
      <c r="O29" s="239">
        <f>IFERROR(__xludf.DUMMYFUNCTION("""COMPUTED_VALUE"""),105.0)</f>
        <v>105</v>
      </c>
      <c r="P29" s="239">
        <f>IFERROR(__xludf.DUMMYFUNCTION("""COMPUTED_VALUE"""),0.0)</f>
        <v>0</v>
      </c>
      <c r="Q29" s="214">
        <f>IFERROR(__xludf.DUMMYFUNCTION("""COMPUTED_VALUE"""),0.0054)</f>
        <v>0.0054</v>
      </c>
      <c r="R29" s="214">
        <f>IFERROR(__xludf.DUMMYFUNCTION("""COMPUTED_VALUE"""),0.0)</f>
        <v>0</v>
      </c>
      <c r="S29" s="101">
        <f>IFERROR(__xludf.DUMMYFUNCTION("""COMPUTED_VALUE"""),0.0)</f>
        <v>0</v>
      </c>
      <c r="T29" s="222">
        <f>IFERROR(__xludf.DUMMYFUNCTION("""COMPUTED_VALUE"""),0.0)</f>
        <v>0</v>
      </c>
      <c r="U29" s="242">
        <f>IFERROR(__xludf.DUMMYFUNCTION("""COMPUTED_VALUE"""),0.0)</f>
        <v>0</v>
      </c>
      <c r="V29" s="242" t="str">
        <f>IFERROR(__xludf.DUMMYFUNCTION("""COMPUTED_VALUE"""),"overall")</f>
        <v>overall</v>
      </c>
      <c r="W29" s="243" t="str">
        <f>IFERROR(__xludf.DUMMYFUNCTION("""COMPUTED_VALUE"""),"rcs")</f>
        <v>rcs</v>
      </c>
      <c r="X29" s="243" t="str">
        <f>IFERROR(__xludf.DUMMYFUNCTION("""COMPUTED_VALUE"""),"CK Base")</f>
        <v>CK Base</v>
      </c>
      <c r="Y29" s="243" t="str">
        <f>IFERROR(__xludf.DUMMYFUNCTION("""COMPUTED_VALUE"""),"1st May - 4TH May")</f>
        <v>1st May - 4TH May</v>
      </c>
      <c r="Z29" s="243" t="str">
        <f>IFERROR(__xludf.DUMMYFUNCTION("""COMPUTED_VALUE"""),"69f3712719d5dc4bc0e91827")</f>
        <v>69f3712719d5dc4bc0e91827</v>
      </c>
      <c r="AA29" s="243"/>
      <c r="AB29" s="243"/>
      <c r="AC29" s="243"/>
      <c r="AD29" s="243"/>
      <c r="AE29" s="243"/>
      <c r="AF29" s="243"/>
      <c r="AG29" s="208"/>
      <c r="AH29" s="208"/>
      <c r="AI29" s="208"/>
      <c r="AJ29" s="208"/>
      <c r="AK29" s="208"/>
    </row>
    <row r="30">
      <c r="A30" s="314">
        <f>IFERROR(__xludf.DUMMYFUNCTION("""COMPUTED_VALUE"""),46144.0)</f>
        <v>46144</v>
      </c>
      <c r="B30" s="238">
        <f>IFERROR(__xludf.DUMMYFUNCTION("""COMPUTED_VALUE"""),0.7916666666678793)</f>
        <v>0.7916666667</v>
      </c>
      <c r="C30" s="96" t="str">
        <f>IFERROR(__xludf.DUMMYFUNCTION("""COMPUTED_VALUE"""),"Whatsapp")</f>
        <v>Whatsapp</v>
      </c>
      <c r="D30" s="212" t="str">
        <f>IFERROR(__xludf.DUMMYFUNCTION("""COMPUTED_VALUE"""),"Promtional")</f>
        <v>Promtional</v>
      </c>
      <c r="E30" s="96" t="str">
        <f>IFERROR(__xludf.DUMMYFUNCTION("""COMPUTED_VALUE"""),"AGIPL")</f>
        <v>AGIPL</v>
      </c>
      <c r="F30" s="212" t="str">
        <f>IFERROR(__xludf.DUMMYFUNCTION("""COMPUTED_VALUE"""),"MAY BOGO 2026 1-3 MAY - B1G1")</f>
        <v>MAY BOGO 2026 1-3 MAY - B1G1</v>
      </c>
      <c r="G30" s="212" t="str">
        <f>IFERROR(__xludf.DUMMYFUNCTION("""COMPUTED_VALUE"""),"retrigger_CK_Exc_AL_onoff")</f>
        <v>retrigger_CK_Exc_AL_onoff</v>
      </c>
      <c r="H30" s="28" t="str">
        <f>IFERROR(__xludf.DUMMYFUNCTION("""COMPUTED_VALUE"""),"CK_Exc_AL_onoff")</f>
        <v>CK_Exc_AL_onoff</v>
      </c>
      <c r="I30" s="28" t="str">
        <f>IFERROR(__xludf.DUMMYFUNCTION("""COMPUTED_VALUE"""),"CK Base")</f>
        <v>CK Base</v>
      </c>
      <c r="J30" s="239">
        <f>IFERROR(__xludf.DUMMYFUNCTION("""COMPUTED_VALUE"""),131623.0)</f>
        <v>131623</v>
      </c>
      <c r="K30" s="240">
        <f>IFERROR(__xludf.DUMMYFUNCTION("""COMPUTED_VALUE"""),52130.0)</f>
        <v>52130</v>
      </c>
      <c r="L30" s="241">
        <f>IFERROR(__xludf.DUMMYFUNCTION("""COMPUTED_VALUE"""),0.3959)</f>
        <v>0.3959</v>
      </c>
      <c r="M30" s="240">
        <f>IFERROR(__xludf.DUMMYFUNCTION("""COMPUTED_VALUE"""),18814.0)</f>
        <v>18814</v>
      </c>
      <c r="N30" s="136">
        <f>IFERROR(__xludf.DUMMYFUNCTION("""COMPUTED_VALUE"""),0.3609)</f>
        <v>0.3609</v>
      </c>
      <c r="O30" s="239">
        <f>IFERROR(__xludf.DUMMYFUNCTION("""COMPUTED_VALUE"""),2350.0)</f>
        <v>2350</v>
      </c>
      <c r="P30" s="239">
        <f>IFERROR(__xludf.DUMMYFUNCTION("""COMPUTED_VALUE"""),2186.0)</f>
        <v>2186</v>
      </c>
      <c r="Q30" s="214">
        <f>IFERROR(__xludf.DUMMYFUNCTION("""COMPUTED_VALUE"""),0.0419)</f>
        <v>0.0419</v>
      </c>
      <c r="R30" s="214">
        <f>IFERROR(__xludf.DUMMYFUNCTION("""COMPUTED_VALUE"""),0.1162)</f>
        <v>0.1162</v>
      </c>
      <c r="S30" s="101">
        <f>IFERROR(__xludf.DUMMYFUNCTION("""COMPUTED_VALUE"""),0.0)</f>
        <v>0</v>
      </c>
      <c r="T30" s="222">
        <f>IFERROR(__xludf.DUMMYFUNCTION("""COMPUTED_VALUE"""),0.0)</f>
        <v>0</v>
      </c>
      <c r="U30" s="242">
        <f>IFERROR(__xludf.DUMMYFUNCTION("""COMPUTED_VALUE"""),0.0)</f>
        <v>0</v>
      </c>
      <c r="V30" s="242" t="str">
        <f>IFERROR(__xludf.DUMMYFUNCTION("""COMPUTED_VALUE"""),"overall ")</f>
        <v>overall </v>
      </c>
      <c r="W30" s="243" t="str">
        <f>IFERROR(__xludf.DUMMYFUNCTION("""COMPUTED_VALUE"""),"simple")</f>
        <v>simple</v>
      </c>
      <c r="X30" s="243" t="str">
        <f>IFERROR(__xludf.DUMMYFUNCTION("""COMPUTED_VALUE"""),"CK Base")</f>
        <v>CK Base</v>
      </c>
      <c r="Y30" s="243" t="str">
        <f>IFERROR(__xludf.DUMMYFUNCTION("""COMPUTED_VALUE"""),"1st May - 4TH May")</f>
        <v>1st May - 4TH May</v>
      </c>
      <c r="Z30" s="243" t="str">
        <f>IFERROR(__xludf.DUMMYFUNCTION("""COMPUTED_VALUE"""),"69f5fa4be51e9ea4792b9f3c")</f>
        <v>69f5fa4be51e9ea4792b9f3c</v>
      </c>
      <c r="AA30" s="243"/>
      <c r="AB30" s="243"/>
      <c r="AC30" s="243"/>
      <c r="AD30" s="243"/>
      <c r="AE30" s="243"/>
      <c r="AF30" s="243"/>
      <c r="AG30" s="208"/>
      <c r="AH30" s="208"/>
      <c r="AI30" s="208"/>
      <c r="AJ30" s="208"/>
      <c r="AK30" s="208"/>
    </row>
    <row r="31">
      <c r="A31" s="314">
        <f>IFERROR(__xludf.DUMMYFUNCTION("""COMPUTED_VALUE"""),46144.0)</f>
        <v>46144</v>
      </c>
      <c r="B31" s="238">
        <f>IFERROR(__xludf.DUMMYFUNCTION("""COMPUTED_VALUE"""),0.7916666666678793)</f>
        <v>0.7916666667</v>
      </c>
      <c r="C31" s="96" t="str">
        <f>IFERROR(__xludf.DUMMYFUNCTION("""COMPUTED_VALUE"""),"Whatsapp")</f>
        <v>Whatsapp</v>
      </c>
      <c r="D31" s="212" t="str">
        <f>IFERROR(__xludf.DUMMYFUNCTION("""COMPUTED_VALUE"""),"Promtional")</f>
        <v>Promtional</v>
      </c>
      <c r="E31" s="96" t="str">
        <f>IFERROR(__xludf.DUMMYFUNCTION("""COMPUTED_VALUE"""),"AGIPL")</f>
        <v>AGIPL</v>
      </c>
      <c r="F31" s="212" t="str">
        <f>IFERROR(__xludf.DUMMYFUNCTION("""COMPUTED_VALUE"""),"MAY BOGO 2026 1-3 MAY - B1G1")</f>
        <v>MAY BOGO 2026 1-3 MAY - B1G1</v>
      </c>
      <c r="G31" s="212" t="str">
        <f>IFERROR(__xludf.DUMMYFUNCTION("""COMPUTED_VALUE"""),"retrigger_BBW_Exclude_AL_onoff_2026")</f>
        <v>retrigger_BBW_Exclude_AL_onoff_2026</v>
      </c>
      <c r="H31" s="28" t="str">
        <f>IFERROR(__xludf.DUMMYFUNCTION("""COMPUTED_VALUE"""),"BBW_Exclude_AL_onoff_2026")</f>
        <v>BBW_Exclude_AL_onoff_2026</v>
      </c>
      <c r="I31" s="28" t="str">
        <f>IFERROR(__xludf.DUMMYFUNCTION("""COMPUTED_VALUE"""),"BBW Base")</f>
        <v>BBW Base</v>
      </c>
      <c r="J31" s="239">
        <f>IFERROR(__xludf.DUMMYFUNCTION("""COMPUTED_VALUE"""),104890.0)</f>
        <v>104890</v>
      </c>
      <c r="K31" s="240">
        <f>IFERROR(__xludf.DUMMYFUNCTION("""COMPUTED_VALUE"""),43731.0)</f>
        <v>43731</v>
      </c>
      <c r="L31" s="241">
        <f>IFERROR(__xludf.DUMMYFUNCTION("""COMPUTED_VALUE"""),0.4169)</f>
        <v>0.4169</v>
      </c>
      <c r="M31" s="240">
        <f>IFERROR(__xludf.DUMMYFUNCTION("""COMPUTED_VALUE"""),17623.0)</f>
        <v>17623</v>
      </c>
      <c r="N31" s="136">
        <f>IFERROR(__xludf.DUMMYFUNCTION("""COMPUTED_VALUE"""),0.4027)</f>
        <v>0.4027</v>
      </c>
      <c r="O31" s="239">
        <f>IFERROR(__xludf.DUMMYFUNCTION("""COMPUTED_VALUE"""),1971.0)</f>
        <v>1971</v>
      </c>
      <c r="P31" s="239">
        <f>IFERROR(__xludf.DUMMYFUNCTION("""COMPUTED_VALUE"""),1862.0)</f>
        <v>1862</v>
      </c>
      <c r="Q31" s="214">
        <f>IFERROR(__xludf.DUMMYFUNCTION("""COMPUTED_VALUE"""),0.0426)</f>
        <v>0.0426</v>
      </c>
      <c r="R31" s="214">
        <f>IFERROR(__xludf.DUMMYFUNCTION("""COMPUTED_VALUE"""),0.1058)</f>
        <v>0.1058</v>
      </c>
      <c r="S31" s="101">
        <f>IFERROR(__xludf.DUMMYFUNCTION("""COMPUTED_VALUE"""),0.0)</f>
        <v>0</v>
      </c>
      <c r="T31" s="222">
        <f>IFERROR(__xludf.DUMMYFUNCTION("""COMPUTED_VALUE"""),0.0)</f>
        <v>0</v>
      </c>
      <c r="U31" s="242">
        <f>IFERROR(__xludf.DUMMYFUNCTION("""COMPUTED_VALUE"""),0.0)</f>
        <v>0</v>
      </c>
      <c r="V31" s="242" t="str">
        <f>IFERROR(__xludf.DUMMYFUNCTION("""COMPUTED_VALUE"""),"overall ")</f>
        <v>overall </v>
      </c>
      <c r="W31" s="243" t="str">
        <f>IFERROR(__xludf.DUMMYFUNCTION("""COMPUTED_VALUE"""),"simple")</f>
        <v>simple</v>
      </c>
      <c r="X31" s="243" t="str">
        <f>IFERROR(__xludf.DUMMYFUNCTION("""COMPUTED_VALUE"""),"BBW Base - 2026")</f>
        <v>BBW Base - 2026</v>
      </c>
      <c r="Y31" s="243" t="str">
        <f>IFERROR(__xludf.DUMMYFUNCTION("""COMPUTED_VALUE"""),"1st May - 4TH May")</f>
        <v>1st May - 4TH May</v>
      </c>
      <c r="Z31" s="243" t="str">
        <f>IFERROR(__xludf.DUMMYFUNCTION("""COMPUTED_VALUE"""),"69f5fa5d53532f8af5dde8e9")</f>
        <v>69f5fa5d53532f8af5dde8e9</v>
      </c>
      <c r="AA31" s="243"/>
      <c r="AB31" s="243"/>
      <c r="AC31" s="243"/>
      <c r="AD31" s="243"/>
      <c r="AE31" s="243"/>
      <c r="AF31" s="243"/>
      <c r="AG31" s="208"/>
      <c r="AH31" s="208"/>
      <c r="AI31" s="208"/>
      <c r="AJ31" s="208"/>
      <c r="AK31" s="208"/>
    </row>
    <row r="32">
      <c r="A32" s="314">
        <f>IFERROR(__xludf.DUMMYFUNCTION("""COMPUTED_VALUE"""),46145.0)</f>
        <v>46145</v>
      </c>
      <c r="B32" s="238">
        <f>IFERROR(__xludf.DUMMYFUNCTION("""COMPUTED_VALUE"""),0.3541666666678793)</f>
        <v>0.3541666667</v>
      </c>
      <c r="C32" s="96" t="str">
        <f>IFERROR(__xludf.DUMMYFUNCTION("""COMPUTED_VALUE"""),"Whatsapp")</f>
        <v>Whatsapp</v>
      </c>
      <c r="D32" s="212" t="str">
        <f>IFERROR(__xludf.DUMMYFUNCTION("""COMPUTED_VALUE"""),"Promtional")</f>
        <v>Promtional</v>
      </c>
      <c r="E32" s="96" t="str">
        <f>IFERROR(__xludf.DUMMYFUNCTION("""COMPUTED_VALUE"""),"AGIPL")</f>
        <v>AGIPL</v>
      </c>
      <c r="F32" s="212" t="str">
        <f>IFERROR(__xludf.DUMMYFUNCTION("""COMPUTED_VALUE"""),"MAY BOGO 2026 1-3 MAY - B1G1")</f>
        <v>MAY BOGO 2026 1-3 MAY - B1G1</v>
      </c>
      <c r="G32" s="212" t="str">
        <f>IFERROR(__xludf.DUMMYFUNCTION("""COMPUTED_VALUE"""),"last day bogo_crossbrand _VS_Master_OnOff_Exclude_AL")</f>
        <v>last day bogo_crossbrand _VS_Master_OnOff_Exclude_AL</v>
      </c>
      <c r="H32" s="28" t="str">
        <f>IFERROR(__xludf.DUMMYFUNCTION("""COMPUTED_VALUE"""),"VS_Master_OnOff_Exclude_AL")</f>
        <v>VS_Master_OnOff_Exclude_AL</v>
      </c>
      <c r="I32" s="28" t="str">
        <f>IFERROR(__xludf.DUMMYFUNCTION("""COMPUTED_VALUE"""),"VS Base")</f>
        <v>VS Base</v>
      </c>
      <c r="J32" s="239">
        <f>IFERROR(__xludf.DUMMYFUNCTION("""COMPUTED_VALUE"""),229680.0)</f>
        <v>229680</v>
      </c>
      <c r="K32" s="240">
        <f>IFERROR(__xludf.DUMMYFUNCTION("""COMPUTED_VALUE"""),110894.0)</f>
        <v>110894</v>
      </c>
      <c r="L32" s="241">
        <f>IFERROR(__xludf.DUMMYFUNCTION("""COMPUTED_VALUE"""),0.4827)</f>
        <v>0.4827</v>
      </c>
      <c r="M32" s="240">
        <f>IFERROR(__xludf.DUMMYFUNCTION("""COMPUTED_VALUE"""),34000.0)</f>
        <v>34000</v>
      </c>
      <c r="N32" s="136">
        <f>IFERROR(__xludf.DUMMYFUNCTION("""COMPUTED_VALUE"""),0.3064)</f>
        <v>0.3064</v>
      </c>
      <c r="O32" s="239">
        <f>IFERROR(__xludf.DUMMYFUNCTION("""COMPUTED_VALUE"""),2658.0)</f>
        <v>2658</v>
      </c>
      <c r="P32" s="239">
        <f>IFERROR(__xludf.DUMMYFUNCTION("""COMPUTED_VALUE"""),2545.0)</f>
        <v>2545</v>
      </c>
      <c r="Q32" s="214">
        <f>IFERROR(__xludf.DUMMYFUNCTION("""COMPUTED_VALUE"""),0.023)</f>
        <v>0.023</v>
      </c>
      <c r="R32" s="214">
        <f>IFERROR(__xludf.DUMMYFUNCTION("""COMPUTED_VALUE"""),0.0749)</f>
        <v>0.0749</v>
      </c>
      <c r="S32" s="101">
        <f>IFERROR(__xludf.DUMMYFUNCTION("""COMPUTED_VALUE"""),0.0)</f>
        <v>0</v>
      </c>
      <c r="T32" s="222">
        <f>IFERROR(__xludf.DUMMYFUNCTION("""COMPUTED_VALUE"""),0.0)</f>
        <v>0</v>
      </c>
      <c r="U32" s="242">
        <f>IFERROR(__xludf.DUMMYFUNCTION("""COMPUTED_VALUE"""),0.0)</f>
        <v>0</v>
      </c>
      <c r="V32" s="242" t="str">
        <f>IFERROR(__xludf.DUMMYFUNCTION("""COMPUTED_VALUE"""),"overall ")</f>
        <v>overall </v>
      </c>
      <c r="W32" s="243" t="str">
        <f>IFERROR(__xludf.DUMMYFUNCTION("""COMPUTED_VALUE"""),"simple")</f>
        <v>simple</v>
      </c>
      <c r="X32" s="243" t="str">
        <f>IFERROR(__xludf.DUMMYFUNCTION("""COMPUTED_VALUE"""),"VS Base")</f>
        <v>VS Base</v>
      </c>
      <c r="Y32" s="243" t="str">
        <f>IFERROR(__xludf.DUMMYFUNCTION("""COMPUTED_VALUE"""),"1st May - 4TH May")</f>
        <v>1st May - 4TH May</v>
      </c>
      <c r="Z32" s="243" t="str">
        <f>IFERROR(__xludf.DUMMYFUNCTION("""COMPUTED_VALUE"""),"69f35abf98e339af89188a24")</f>
        <v>69f35abf98e339af89188a24</v>
      </c>
      <c r="AA32" s="316"/>
      <c r="AB32" s="316"/>
      <c r="AC32" s="316"/>
      <c r="AD32" s="316"/>
      <c r="AE32" s="316"/>
      <c r="AF32" s="316"/>
      <c r="AG32" s="208"/>
      <c r="AH32" s="208"/>
      <c r="AI32" s="208"/>
      <c r="AJ32" s="208"/>
      <c r="AK32" s="208"/>
    </row>
    <row r="33">
      <c r="A33" s="245">
        <f>IFERROR(__xludf.DUMMYFUNCTION("""COMPUTED_VALUE"""),46145.0)</f>
        <v>46145</v>
      </c>
      <c r="B33" s="246">
        <f>IFERROR(__xludf.DUMMYFUNCTION("""COMPUTED_VALUE"""),0.35763888889050577)</f>
        <v>0.3576388889</v>
      </c>
      <c r="C33" s="222" t="str">
        <f>IFERROR(__xludf.DUMMYFUNCTION("""COMPUTED_VALUE"""),"Whatsapp")</f>
        <v>Whatsapp</v>
      </c>
      <c r="D33" s="222" t="str">
        <f>IFERROR(__xludf.DUMMYFUNCTION("""COMPUTED_VALUE"""),"Promtional")</f>
        <v>Promtional</v>
      </c>
      <c r="E33" s="222" t="str">
        <f>IFERROR(__xludf.DUMMYFUNCTION("""COMPUTED_VALUE"""),"AGIPL")</f>
        <v>AGIPL</v>
      </c>
      <c r="F33" s="222" t="str">
        <f>IFERROR(__xludf.DUMMYFUNCTION("""COMPUTED_VALUE"""),"MAY BOGO 2026 1-3 MAY - B1G1")</f>
        <v>MAY BOGO 2026 1-3 MAY - B1G1</v>
      </c>
      <c r="G33" s="221" t="str">
        <f>IFERROR(__xludf.DUMMYFUNCTION("""COMPUTED_VALUE"""),"Last day bogo crossbrand_BBW_Exclude_AL_onoff_2023")</f>
        <v>Last day bogo crossbrand_BBW_Exclude_AL_onoff_2023</v>
      </c>
      <c r="H33" s="223" t="str">
        <f>IFERROR(__xludf.DUMMYFUNCTION("""COMPUTED_VALUE"""),"BBW_Exclude_AL_onoff_2023")</f>
        <v>BBW_Exclude_AL_onoff_2023</v>
      </c>
      <c r="I33" s="223" t="str">
        <f>IFERROR(__xludf.DUMMYFUNCTION("""COMPUTED_VALUE"""),"BBW Base")</f>
        <v>BBW Base</v>
      </c>
      <c r="J33" s="224">
        <f>IFERROR(__xludf.DUMMYFUNCTION("""COMPUTED_VALUE"""),133264.0)</f>
        <v>133264</v>
      </c>
      <c r="K33" s="224">
        <f>IFERROR(__xludf.DUMMYFUNCTION("""COMPUTED_VALUE"""),62846.0)</f>
        <v>62846</v>
      </c>
      <c r="L33" s="225">
        <f>IFERROR(__xludf.DUMMYFUNCTION("""COMPUTED_VALUE"""),0.4715)</f>
        <v>0.4715</v>
      </c>
      <c r="M33" s="224">
        <f>IFERROR(__xludf.DUMMYFUNCTION("""COMPUTED_VALUE"""),20457.0)</f>
        <v>20457</v>
      </c>
      <c r="N33" s="225">
        <f>IFERROR(__xludf.DUMMYFUNCTION("""COMPUTED_VALUE"""),0.3252)</f>
        <v>0.3252</v>
      </c>
      <c r="O33" s="224">
        <f>IFERROR(__xludf.DUMMYFUNCTION("""COMPUTED_VALUE"""),1470.0)</f>
        <v>1470</v>
      </c>
      <c r="P33" s="224">
        <f>IFERROR(__xludf.DUMMYFUNCTION("""COMPUTED_VALUE"""),1420.0)</f>
        <v>1420</v>
      </c>
      <c r="Q33" s="225">
        <f>IFERROR(__xludf.DUMMYFUNCTION("""COMPUTED_VALUE"""),0.0226)</f>
        <v>0.0226</v>
      </c>
      <c r="R33" s="225">
        <f>IFERROR(__xludf.DUMMYFUNCTION("""COMPUTED_VALUE"""),0.0695)</f>
        <v>0.0695</v>
      </c>
      <c r="S33" s="226">
        <f>IFERROR(__xludf.DUMMYFUNCTION("""COMPUTED_VALUE"""),0.0)</f>
        <v>0</v>
      </c>
      <c r="T33" s="226">
        <f>IFERROR(__xludf.DUMMYFUNCTION("""COMPUTED_VALUE"""),0.0)</f>
        <v>0</v>
      </c>
      <c r="U33" s="224">
        <f>IFERROR(__xludf.DUMMYFUNCTION("""COMPUTED_VALUE"""),0.0)</f>
        <v>0</v>
      </c>
      <c r="V33" s="224" t="str">
        <f>IFERROR(__xludf.DUMMYFUNCTION("""COMPUTED_VALUE"""),"overall ")</f>
        <v>overall </v>
      </c>
      <c r="W33" s="229" t="str">
        <f>IFERROR(__xludf.DUMMYFUNCTION("""COMPUTED_VALUE"""),"simple")</f>
        <v>simple</v>
      </c>
      <c r="X33" s="229" t="str">
        <f>IFERROR(__xludf.DUMMYFUNCTION("""COMPUTED_VALUE"""),"BBW Base - 2023")</f>
        <v>BBW Base - 2023</v>
      </c>
      <c r="Y33" s="229" t="str">
        <f>IFERROR(__xludf.DUMMYFUNCTION("""COMPUTED_VALUE"""),"1st May - 4TH May")</f>
        <v>1st May - 4TH May</v>
      </c>
      <c r="Z33" s="229" t="str">
        <f>IFERROR(__xludf.DUMMYFUNCTION("""COMPUTED_VALUE"""),"69f35af85bfdf1a68c6a2db1")</f>
        <v>69f35af85bfdf1a68c6a2db1</v>
      </c>
      <c r="AA33" s="229"/>
      <c r="AB33" s="229"/>
      <c r="AC33" s="229"/>
      <c r="AD33" s="229"/>
      <c r="AE33" s="229"/>
      <c r="AF33" s="229"/>
      <c r="AG33" s="208"/>
      <c r="AH33" s="208"/>
      <c r="AI33" s="208"/>
      <c r="AJ33" s="208"/>
      <c r="AK33" s="208"/>
    </row>
    <row r="34">
      <c r="A34" s="216">
        <f>IFERROR(__xludf.DUMMYFUNCTION("""COMPUTED_VALUE"""),46145.0)</f>
        <v>46145</v>
      </c>
      <c r="B34" s="210">
        <f>IFERROR(__xludf.DUMMYFUNCTION("""COMPUTED_VALUE"""),0.36111111110949423)</f>
        <v>0.3611111111</v>
      </c>
      <c r="C34" s="218" t="str">
        <f>IFERROR(__xludf.DUMMYFUNCTION("""COMPUTED_VALUE"""),"Whatsapp")</f>
        <v>Whatsapp</v>
      </c>
      <c r="D34" s="218" t="str">
        <f>IFERROR(__xludf.DUMMYFUNCTION("""COMPUTED_VALUE"""),"Promtional")</f>
        <v>Promtional</v>
      </c>
      <c r="E34" s="218" t="str">
        <f>IFERROR(__xludf.DUMMYFUNCTION("""COMPUTED_VALUE"""),"AGIPL")</f>
        <v>AGIPL</v>
      </c>
      <c r="F34" s="218" t="str">
        <f>IFERROR(__xludf.DUMMYFUNCTION("""COMPUTED_VALUE"""),"MAY BOGO 2026 1-3 MAY - B1G1")</f>
        <v>MAY BOGO 2026 1-3 MAY - B1G1</v>
      </c>
      <c r="G34" s="212" t="str">
        <f>IFERROR(__xludf.DUMMYFUNCTION("""COMPUTED_VALUE"""),"Last day bogo crossbrand_BBW_Exclude_AL_onoff_2024")</f>
        <v>Last day bogo crossbrand_BBW_Exclude_AL_onoff_2024</v>
      </c>
      <c r="H34" s="212" t="str">
        <f>IFERROR(__xludf.DUMMYFUNCTION("""COMPUTED_VALUE"""),"BBW_Exclude_AL_onoff_2024")</f>
        <v>BBW_Exclude_AL_onoff_2024</v>
      </c>
      <c r="I34" s="212" t="str">
        <f>IFERROR(__xludf.DUMMYFUNCTION("""COMPUTED_VALUE"""),"BBW Base")</f>
        <v>BBW Base</v>
      </c>
      <c r="J34" s="213">
        <f>IFERROR(__xludf.DUMMYFUNCTION("""COMPUTED_VALUE"""),286270.0)</f>
        <v>286270</v>
      </c>
      <c r="K34" s="213">
        <f>IFERROR(__xludf.DUMMYFUNCTION("""COMPUTED_VALUE"""),112795.0)</f>
        <v>112795</v>
      </c>
      <c r="L34" s="214">
        <f>IFERROR(__xludf.DUMMYFUNCTION("""COMPUTED_VALUE"""),0.3939)</f>
        <v>0.3939</v>
      </c>
      <c r="M34" s="213">
        <f>IFERROR(__xludf.DUMMYFUNCTION("""COMPUTED_VALUE"""),40261.0)</f>
        <v>40261</v>
      </c>
      <c r="N34" s="214">
        <f>IFERROR(__xludf.DUMMYFUNCTION("""COMPUTED_VALUE"""),0.3566)</f>
        <v>0.3566</v>
      </c>
      <c r="O34" s="213">
        <f>IFERROR(__xludf.DUMMYFUNCTION("""COMPUTED_VALUE"""),3658.0)</f>
        <v>3658</v>
      </c>
      <c r="P34" s="213">
        <f>IFERROR(__xludf.DUMMYFUNCTION("""COMPUTED_VALUE"""),3547.0)</f>
        <v>3547</v>
      </c>
      <c r="Q34" s="214">
        <f>IFERROR(__xludf.DUMMYFUNCTION("""COMPUTED_VALUE"""),0.0315)</f>
        <v>0.0315</v>
      </c>
      <c r="R34" s="214">
        <f>IFERROR(__xludf.DUMMYFUNCTION("""COMPUTED_VALUE"""),0.0882)</f>
        <v>0.0882</v>
      </c>
      <c r="S34" s="101">
        <f>IFERROR(__xludf.DUMMYFUNCTION("""COMPUTED_VALUE"""),0.0)</f>
        <v>0</v>
      </c>
      <c r="T34" s="226">
        <f>IFERROR(__xludf.DUMMYFUNCTION("""COMPUTED_VALUE"""),0.0)</f>
        <v>0</v>
      </c>
      <c r="U34" s="224">
        <f>IFERROR(__xludf.DUMMYFUNCTION("""COMPUTED_VALUE"""),0.0)</f>
        <v>0</v>
      </c>
      <c r="V34" s="224" t="str">
        <f>IFERROR(__xludf.DUMMYFUNCTION("""COMPUTED_VALUE"""),"overall ")</f>
        <v>overall </v>
      </c>
      <c r="W34" s="229" t="str">
        <f>IFERROR(__xludf.DUMMYFUNCTION("""COMPUTED_VALUE"""),"simple")</f>
        <v>simple</v>
      </c>
      <c r="X34" s="229" t="str">
        <f>IFERROR(__xludf.DUMMYFUNCTION("""COMPUTED_VALUE"""),"BBW Base - 2024")</f>
        <v>BBW Base - 2024</v>
      </c>
      <c r="Y34" s="229" t="str">
        <f>IFERROR(__xludf.DUMMYFUNCTION("""COMPUTED_VALUE"""),"1st May - 4TH May")</f>
        <v>1st May - 4TH May</v>
      </c>
      <c r="Z34" s="229" t="str">
        <f>IFERROR(__xludf.DUMMYFUNCTION("""COMPUTED_VALUE"""),"69f35d3456f5de75beb9c327")</f>
        <v>69f35d3456f5de75beb9c327</v>
      </c>
      <c r="AA34" s="229"/>
      <c r="AB34" s="229"/>
      <c r="AC34" s="229"/>
      <c r="AD34" s="229"/>
      <c r="AE34" s="229"/>
      <c r="AF34" s="229"/>
      <c r="AG34" s="208"/>
      <c r="AH34" s="208"/>
      <c r="AI34" s="208"/>
      <c r="AJ34" s="208"/>
      <c r="AK34" s="208"/>
    </row>
    <row r="35">
      <c r="A35" s="216">
        <f>IFERROR(__xludf.DUMMYFUNCTION("""COMPUTED_VALUE"""),46145.0)</f>
        <v>46145</v>
      </c>
      <c r="B35" s="210">
        <f>IFERROR(__xludf.DUMMYFUNCTION("""COMPUTED_VALUE"""),0.3645833333321207)</f>
        <v>0.3645833333</v>
      </c>
      <c r="C35" s="218" t="str">
        <f>IFERROR(__xludf.DUMMYFUNCTION("""COMPUTED_VALUE"""),"Whatsapp")</f>
        <v>Whatsapp</v>
      </c>
      <c r="D35" s="218" t="str">
        <f>IFERROR(__xludf.DUMMYFUNCTION("""COMPUTED_VALUE"""),"Promtional")</f>
        <v>Promtional</v>
      </c>
      <c r="E35" s="218" t="str">
        <f>IFERROR(__xludf.DUMMYFUNCTION("""COMPUTED_VALUE"""),"AGIPL")</f>
        <v>AGIPL</v>
      </c>
      <c r="F35" s="218" t="str">
        <f>IFERROR(__xludf.DUMMYFUNCTION("""COMPUTED_VALUE"""),"MAY BOGO 2026 1-3 MAY - B1G1")</f>
        <v>MAY BOGO 2026 1-3 MAY - B1G1</v>
      </c>
      <c r="G35" s="212" t="str">
        <f>IFERROR(__xludf.DUMMYFUNCTION("""COMPUTED_VALUE"""),"Last day bogo_crossbrand_BBW_Exclude_AL_onoff_2025")</f>
        <v>Last day bogo_crossbrand_BBW_Exclude_AL_onoff_2025</v>
      </c>
      <c r="H35" s="212" t="str">
        <f>IFERROR(__xludf.DUMMYFUNCTION("""COMPUTED_VALUE"""),"BBW_Exclude_AL_onoff_2025")</f>
        <v>BBW_Exclude_AL_onoff_2025</v>
      </c>
      <c r="I35" s="212" t="str">
        <f>IFERROR(__xludf.DUMMYFUNCTION("""COMPUTED_VALUE"""),"BBW Base")</f>
        <v>BBW Base</v>
      </c>
      <c r="J35" s="213">
        <f>IFERROR(__xludf.DUMMYFUNCTION("""COMPUTED_VALUE"""),334343.0)</f>
        <v>334343</v>
      </c>
      <c r="K35" s="213">
        <f>IFERROR(__xludf.DUMMYFUNCTION("""COMPUTED_VALUE"""),7991.0)</f>
        <v>7991</v>
      </c>
      <c r="L35" s="214">
        <f>IFERROR(__xludf.DUMMYFUNCTION("""COMPUTED_VALUE"""),0.0239)</f>
        <v>0.0239</v>
      </c>
      <c r="M35" s="213">
        <f>IFERROR(__xludf.DUMMYFUNCTION("""COMPUTED_VALUE"""),2972.0)</f>
        <v>2972</v>
      </c>
      <c r="N35" s="214">
        <f>IFERROR(__xludf.DUMMYFUNCTION("""COMPUTED_VALUE"""),0.3718)</f>
        <v>0.3718</v>
      </c>
      <c r="O35" s="213">
        <f>IFERROR(__xludf.DUMMYFUNCTION("""COMPUTED_VALUE"""),268.0)</f>
        <v>268</v>
      </c>
      <c r="P35" s="213">
        <f>IFERROR(__xludf.DUMMYFUNCTION("""COMPUTED_VALUE"""),257.0)</f>
        <v>257</v>
      </c>
      <c r="Q35" s="214">
        <f>IFERROR(__xludf.DUMMYFUNCTION("""COMPUTED_VALUE"""),0.0322)</f>
        <v>0.0322</v>
      </c>
      <c r="R35" s="214">
        <f>IFERROR(__xludf.DUMMYFUNCTION("""COMPUTED_VALUE"""),0.0865)</f>
        <v>0.0865</v>
      </c>
      <c r="S35" s="101">
        <f>IFERROR(__xludf.DUMMYFUNCTION("""COMPUTED_VALUE"""),0.0)</f>
        <v>0</v>
      </c>
      <c r="T35" s="226">
        <f>IFERROR(__xludf.DUMMYFUNCTION("""COMPUTED_VALUE"""),0.0)</f>
        <v>0</v>
      </c>
      <c r="U35" s="224">
        <f>IFERROR(__xludf.DUMMYFUNCTION("""COMPUTED_VALUE"""),0.0)</f>
        <v>0</v>
      </c>
      <c r="V35" s="224" t="str">
        <f>IFERROR(__xludf.DUMMYFUNCTION("""COMPUTED_VALUE"""),"overall ")</f>
        <v>overall </v>
      </c>
      <c r="W35" s="229" t="str">
        <f>IFERROR(__xludf.DUMMYFUNCTION("""COMPUTED_VALUE"""),"simple")</f>
        <v>simple</v>
      </c>
      <c r="X35" s="229" t="str">
        <f>IFERROR(__xludf.DUMMYFUNCTION("""COMPUTED_VALUE"""),"BBW Base - 2025")</f>
        <v>BBW Base - 2025</v>
      </c>
      <c r="Y35" s="229" t="str">
        <f>IFERROR(__xludf.DUMMYFUNCTION("""COMPUTED_VALUE"""),"1st May - 4TH May")</f>
        <v>1st May - 4TH May</v>
      </c>
      <c r="Z35" s="229" t="str">
        <f>IFERROR(__xludf.DUMMYFUNCTION("""COMPUTED_VALUE"""),"69f35d646a7bcbf3fb6d6cdb")</f>
        <v>69f35d646a7bcbf3fb6d6cdb</v>
      </c>
      <c r="AA35" s="229"/>
      <c r="AB35" s="229"/>
      <c r="AC35" s="229"/>
      <c r="AD35" s="229"/>
      <c r="AE35" s="229"/>
      <c r="AF35" s="229"/>
      <c r="AG35" s="208"/>
      <c r="AH35" s="208"/>
      <c r="AI35" s="208"/>
      <c r="AJ35" s="208"/>
      <c r="AK35" s="208"/>
    </row>
    <row r="36">
      <c r="A36" s="216">
        <f>IFERROR(__xludf.DUMMYFUNCTION("""COMPUTED_VALUE"""),46145.0)</f>
        <v>46145</v>
      </c>
      <c r="B36" s="210">
        <f>IFERROR(__xludf.DUMMYFUNCTION("""COMPUTED_VALUE"""),0.3680555555547471)</f>
        <v>0.3680555556</v>
      </c>
      <c r="C36" s="218" t="str">
        <f>IFERROR(__xludf.DUMMYFUNCTION("""COMPUTED_VALUE"""),"Whatsapp")</f>
        <v>Whatsapp</v>
      </c>
      <c r="D36" s="218" t="str">
        <f>IFERROR(__xludf.DUMMYFUNCTION("""COMPUTED_VALUE"""),"Promtional")</f>
        <v>Promtional</v>
      </c>
      <c r="E36" s="218" t="str">
        <f>IFERROR(__xludf.DUMMYFUNCTION("""COMPUTED_VALUE"""),"AGIPL")</f>
        <v>AGIPL</v>
      </c>
      <c r="F36" s="218" t="str">
        <f>IFERROR(__xludf.DUMMYFUNCTION("""COMPUTED_VALUE"""),"MAY BOGO 2026 1-3 MAY - B1G1")</f>
        <v>MAY BOGO 2026 1-3 MAY - B1G1</v>
      </c>
      <c r="G36" s="212" t="str">
        <f>IFERROR(__xludf.DUMMYFUNCTION("""COMPUTED_VALUE"""),"Last day bogo crossbrand_BBW_Exclude_AL_onoff_2026")</f>
        <v>Last day bogo crossbrand_BBW_Exclude_AL_onoff_2026</v>
      </c>
      <c r="H36" s="212" t="str">
        <f>IFERROR(__xludf.DUMMYFUNCTION("""COMPUTED_VALUE"""),"BBW_Exclude_AL_onoff_2026")</f>
        <v>BBW_Exclude_AL_onoff_2026</v>
      </c>
      <c r="I36" s="212" t="str">
        <f>IFERROR(__xludf.DUMMYFUNCTION("""COMPUTED_VALUE"""),"BBW Base")</f>
        <v>BBW Base</v>
      </c>
      <c r="J36" s="213">
        <f>IFERROR(__xludf.DUMMYFUNCTION("""COMPUTED_VALUE"""),104890.0)</f>
        <v>104890</v>
      </c>
      <c r="K36" s="213">
        <f>IFERROR(__xludf.DUMMYFUNCTION("""COMPUTED_VALUE"""),8.0)</f>
        <v>8</v>
      </c>
      <c r="L36" s="214">
        <f>IFERROR(__xludf.DUMMYFUNCTION("""COMPUTED_VALUE"""),1.0E-4)</f>
        <v>0.0001</v>
      </c>
      <c r="M36" s="213">
        <f>IFERROR(__xludf.DUMMYFUNCTION("""COMPUTED_VALUE"""),2.0)</f>
        <v>2</v>
      </c>
      <c r="N36" s="214">
        <f>IFERROR(__xludf.DUMMYFUNCTION("""COMPUTED_VALUE"""),0.25)</f>
        <v>0.25</v>
      </c>
      <c r="O36" s="213">
        <f>IFERROR(__xludf.DUMMYFUNCTION("""COMPUTED_VALUE"""),0.0)</f>
        <v>0</v>
      </c>
      <c r="P36" s="213">
        <f>IFERROR(__xludf.DUMMYFUNCTION("""COMPUTED_VALUE"""),0.0)</f>
        <v>0</v>
      </c>
      <c r="Q36" s="214">
        <f>IFERROR(__xludf.DUMMYFUNCTION("""COMPUTED_VALUE"""),0.0)</f>
        <v>0</v>
      </c>
      <c r="R36" s="214">
        <f>IFERROR(__xludf.DUMMYFUNCTION("""COMPUTED_VALUE"""),0.0)</f>
        <v>0</v>
      </c>
      <c r="S36" s="101">
        <f>IFERROR(__xludf.DUMMYFUNCTION("""COMPUTED_VALUE"""),0.0)</f>
        <v>0</v>
      </c>
      <c r="T36" s="226">
        <f>IFERROR(__xludf.DUMMYFUNCTION("""COMPUTED_VALUE"""),0.0)</f>
        <v>0</v>
      </c>
      <c r="U36" s="224">
        <f>IFERROR(__xludf.DUMMYFUNCTION("""COMPUTED_VALUE"""),0.0)</f>
        <v>0</v>
      </c>
      <c r="V36" s="224" t="str">
        <f>IFERROR(__xludf.DUMMYFUNCTION("""COMPUTED_VALUE"""),"overall ")</f>
        <v>overall </v>
      </c>
      <c r="W36" s="229" t="str">
        <f>IFERROR(__xludf.DUMMYFUNCTION("""COMPUTED_VALUE"""),"simple")</f>
        <v>simple</v>
      </c>
      <c r="X36" s="229" t="str">
        <f>IFERROR(__xludf.DUMMYFUNCTION("""COMPUTED_VALUE"""),"BBW Base - 2026")</f>
        <v>BBW Base - 2026</v>
      </c>
      <c r="Y36" s="229" t="str">
        <f>IFERROR(__xludf.DUMMYFUNCTION("""COMPUTED_VALUE"""),"1st May - 4TH May")</f>
        <v>1st May - 4TH May</v>
      </c>
      <c r="Z36" s="229" t="str">
        <f>IFERROR(__xludf.DUMMYFUNCTION("""COMPUTED_VALUE"""),"69f35d9419d5dc4bc0e916f5")</f>
        <v>69f35d9419d5dc4bc0e916f5</v>
      </c>
      <c r="AA36" s="229"/>
      <c r="AB36" s="229"/>
      <c r="AC36" s="229"/>
      <c r="AD36" s="229"/>
      <c r="AE36" s="229"/>
      <c r="AF36" s="229"/>
      <c r="AG36" s="208"/>
      <c r="AH36" s="208"/>
      <c r="AI36" s="208"/>
      <c r="AJ36" s="208"/>
      <c r="AK36" s="208"/>
    </row>
    <row r="37">
      <c r="A37" s="216">
        <f>IFERROR(__xludf.DUMMYFUNCTION("""COMPUTED_VALUE"""),46145.0)</f>
        <v>46145</v>
      </c>
      <c r="B37" s="210">
        <f>IFERROR(__xludf.DUMMYFUNCTION("""COMPUTED_VALUE"""),0.5)</f>
        <v>0.5</v>
      </c>
      <c r="C37" s="218" t="str">
        <f>IFERROR(__xludf.DUMMYFUNCTION("""COMPUTED_VALUE"""),"Sms")</f>
        <v>Sms</v>
      </c>
      <c r="D37" s="218" t="str">
        <f>IFERROR(__xludf.DUMMYFUNCTION("""COMPUTED_VALUE"""),"Fallback campaign")</f>
        <v>Fallback campaign</v>
      </c>
      <c r="E37" s="218" t="str">
        <f>IFERROR(__xludf.DUMMYFUNCTION("""COMPUTED_VALUE"""),"AGIPL")</f>
        <v>AGIPL</v>
      </c>
      <c r="F37" s="218" t="str">
        <f>IFERROR(__xludf.DUMMYFUNCTION("""COMPUTED_VALUE"""),"MAY BOGO 2026 1-3 MAY - B1G1")</f>
        <v>MAY BOGO 2026 1-3 MAY - B1G1</v>
      </c>
      <c r="G37" s="212" t="str">
        <f>IFERROR(__xludf.DUMMYFUNCTION("""COMPUTED_VALUE"""),"ALBG_LastDay_Crossbrand_CK_Exc_AL_onoff")</f>
        <v>ALBG_LastDay_Crossbrand_CK_Exc_AL_onoff</v>
      </c>
      <c r="H37" s="212" t="str">
        <f>IFERROR(__xludf.DUMMYFUNCTION("""COMPUTED_VALUE"""),"CK_Exc_AL_onoff")</f>
        <v>CK_Exc_AL_onoff</v>
      </c>
      <c r="I37" s="212" t="str">
        <f>IFERROR(__xludf.DUMMYFUNCTION("""COMPUTED_VALUE"""),"RCS Undelivered")</f>
        <v>RCS Undelivered</v>
      </c>
      <c r="J37" s="213">
        <f>IFERROR(__xludf.DUMMYFUNCTION("""COMPUTED_VALUE"""),110179.0)</f>
        <v>110179</v>
      </c>
      <c r="K37" s="213">
        <f>IFERROR(__xludf.DUMMYFUNCTION("""COMPUTED_VALUE"""),59940.0)</f>
        <v>59940</v>
      </c>
      <c r="L37" s="214">
        <f>IFERROR(__xludf.DUMMYFUNCTION("""COMPUTED_VALUE"""),0.544)</f>
        <v>0.544</v>
      </c>
      <c r="M37" s="213">
        <f>IFERROR(__xludf.DUMMYFUNCTION("""COMPUTED_VALUE"""),0.0)</f>
        <v>0</v>
      </c>
      <c r="N37" s="214">
        <f>IFERROR(__xludf.DUMMYFUNCTION("""COMPUTED_VALUE"""),0.0)</f>
        <v>0</v>
      </c>
      <c r="O37" s="213">
        <f>IFERROR(__xludf.DUMMYFUNCTION("""COMPUTED_VALUE"""),96.0)</f>
        <v>96</v>
      </c>
      <c r="P37" s="213">
        <f>IFERROR(__xludf.DUMMYFUNCTION("""COMPUTED_VALUE"""),0.0)</f>
        <v>0</v>
      </c>
      <c r="Q37" s="214">
        <f>IFERROR(__xludf.DUMMYFUNCTION("""COMPUTED_VALUE"""),0.0016)</f>
        <v>0.0016</v>
      </c>
      <c r="R37" s="214">
        <f>IFERROR(__xludf.DUMMYFUNCTION("""COMPUTED_VALUE"""),0.0)</f>
        <v>0</v>
      </c>
      <c r="S37" s="101">
        <f>IFERROR(__xludf.DUMMYFUNCTION("""COMPUTED_VALUE"""),0.0)</f>
        <v>0</v>
      </c>
      <c r="T37" s="226">
        <f>IFERROR(__xludf.DUMMYFUNCTION("""COMPUTED_VALUE"""),0.0)</f>
        <v>0</v>
      </c>
      <c r="U37" s="224">
        <f>IFERROR(__xludf.DUMMYFUNCTION("""COMPUTED_VALUE"""),0.0)</f>
        <v>0</v>
      </c>
      <c r="V37" s="224" t="str">
        <f>IFERROR(__xludf.DUMMYFUNCTION("""COMPUTED_VALUE"""),"overall ")</f>
        <v>overall </v>
      </c>
      <c r="W37" s="229" t="str">
        <f>IFERROR(__xludf.DUMMYFUNCTION("""COMPUTED_VALUE"""),"sms")</f>
        <v>sms</v>
      </c>
      <c r="X37" s="229" t="str">
        <f>IFERROR(__xludf.DUMMYFUNCTION("""COMPUTED_VALUE"""),"CK Base")</f>
        <v>CK Base</v>
      </c>
      <c r="Y37" s="229" t="str">
        <f>IFERROR(__xludf.DUMMYFUNCTION("""COMPUTED_VALUE"""),"1st May - 4TH May")</f>
        <v>1st May - 4TH May</v>
      </c>
      <c r="Z37" s="229" t="str">
        <f>IFERROR(__xludf.DUMMYFUNCTION("""COMPUTED_VALUE"""),"69f5c0fb963c8b5a8f86de63")</f>
        <v>69f5c0fb963c8b5a8f86de63</v>
      </c>
      <c r="AA37" s="229"/>
      <c r="AB37" s="229"/>
      <c r="AC37" s="229"/>
      <c r="AD37" s="229"/>
      <c r="AE37" s="229"/>
      <c r="AF37" s="229"/>
      <c r="AG37" s="208"/>
      <c r="AH37" s="208"/>
      <c r="AI37" s="208"/>
      <c r="AJ37" s="208"/>
      <c r="AK37" s="208"/>
    </row>
    <row r="38">
      <c r="A38" s="216">
        <f>IFERROR(__xludf.DUMMYFUNCTION("""COMPUTED_VALUE"""),46145.0)</f>
        <v>46145</v>
      </c>
      <c r="B38" s="210">
        <f>IFERROR(__xludf.DUMMYFUNCTION("""COMPUTED_VALUE"""),0.5)</f>
        <v>0.5</v>
      </c>
      <c r="C38" s="218" t="str">
        <f>IFERROR(__xludf.DUMMYFUNCTION("""COMPUTED_VALUE"""),"Sms")</f>
        <v>Sms</v>
      </c>
      <c r="D38" s="218" t="str">
        <f>IFERROR(__xludf.DUMMYFUNCTION("""COMPUTED_VALUE"""),"Fallback campaign")</f>
        <v>Fallback campaign</v>
      </c>
      <c r="E38" s="218" t="str">
        <f>IFERROR(__xludf.DUMMYFUNCTION("""COMPUTED_VALUE"""),"AGIPL")</f>
        <v>AGIPL</v>
      </c>
      <c r="F38" s="218" t="str">
        <f>IFERROR(__xludf.DUMMYFUNCTION("""COMPUTED_VALUE"""),"MAY BOGO 2026 1-3 MAY - B1G1")</f>
        <v>MAY BOGO 2026 1-3 MAY - B1G1</v>
      </c>
      <c r="G38" s="212" t="str">
        <f>IFERROR(__xludf.DUMMYFUNCTION("""COMPUTED_VALUE"""),"ALBG_LastDay_Crossbrand_BBW_Exclude_AL_onoff_2026")</f>
        <v>ALBG_LastDay_Crossbrand_BBW_Exclude_AL_onoff_2026</v>
      </c>
      <c r="H38" s="212" t="str">
        <f>IFERROR(__xludf.DUMMYFUNCTION("""COMPUTED_VALUE"""),"BBW_Exclude_AL_onoff_2026")</f>
        <v>BBW_Exclude_AL_onoff_2026</v>
      </c>
      <c r="I38" s="212" t="str">
        <f>IFERROR(__xludf.DUMMYFUNCTION("""COMPUTED_VALUE"""),"RCS Undelivered")</f>
        <v>RCS Undelivered</v>
      </c>
      <c r="J38" s="213">
        <f>IFERROR(__xludf.DUMMYFUNCTION("""COMPUTED_VALUE"""),78341.0)</f>
        <v>78341</v>
      </c>
      <c r="K38" s="213">
        <f>IFERROR(__xludf.DUMMYFUNCTION("""COMPUTED_VALUE"""),46103.0)</f>
        <v>46103</v>
      </c>
      <c r="L38" s="214">
        <f>IFERROR(__xludf.DUMMYFUNCTION("""COMPUTED_VALUE"""),0.5885)</f>
        <v>0.5885</v>
      </c>
      <c r="M38" s="213">
        <f>IFERROR(__xludf.DUMMYFUNCTION("""COMPUTED_VALUE"""),0.0)</f>
        <v>0</v>
      </c>
      <c r="N38" s="214">
        <f>IFERROR(__xludf.DUMMYFUNCTION("""COMPUTED_VALUE"""),0.0)</f>
        <v>0</v>
      </c>
      <c r="O38" s="213">
        <f>IFERROR(__xludf.DUMMYFUNCTION("""COMPUTED_VALUE"""),53.0)</f>
        <v>53</v>
      </c>
      <c r="P38" s="213">
        <f>IFERROR(__xludf.DUMMYFUNCTION("""COMPUTED_VALUE"""),0.0)</f>
        <v>0</v>
      </c>
      <c r="Q38" s="214">
        <f>IFERROR(__xludf.DUMMYFUNCTION("""COMPUTED_VALUE"""),0.0011)</f>
        <v>0.0011</v>
      </c>
      <c r="R38" s="214">
        <f>IFERROR(__xludf.DUMMYFUNCTION("""COMPUTED_VALUE"""),0.0)</f>
        <v>0</v>
      </c>
      <c r="S38" s="101">
        <f>IFERROR(__xludf.DUMMYFUNCTION("""COMPUTED_VALUE"""),0.0)</f>
        <v>0</v>
      </c>
      <c r="T38" s="226">
        <f>IFERROR(__xludf.DUMMYFUNCTION("""COMPUTED_VALUE"""),0.0)</f>
        <v>0</v>
      </c>
      <c r="U38" s="224">
        <f>IFERROR(__xludf.DUMMYFUNCTION("""COMPUTED_VALUE"""),0.0)</f>
        <v>0</v>
      </c>
      <c r="V38" s="224" t="str">
        <f>IFERROR(__xludf.DUMMYFUNCTION("""COMPUTED_VALUE"""),"overall ")</f>
        <v>overall </v>
      </c>
      <c r="W38" s="229" t="str">
        <f>IFERROR(__xludf.DUMMYFUNCTION("""COMPUTED_VALUE"""),"sms")</f>
        <v>sms</v>
      </c>
      <c r="X38" s="229" t="str">
        <f>IFERROR(__xludf.DUMMYFUNCTION("""COMPUTED_VALUE"""),"BBW Base - 2026")</f>
        <v>BBW Base - 2026</v>
      </c>
      <c r="Y38" s="229" t="str">
        <f>IFERROR(__xludf.DUMMYFUNCTION("""COMPUTED_VALUE"""),"1st May - 4TH May")</f>
        <v>1st May - 4TH May</v>
      </c>
      <c r="Z38" s="229" t="str">
        <f>IFERROR(__xludf.DUMMYFUNCTION("""COMPUTED_VALUE"""),"69f5c10ce0a1035b0946095a")</f>
        <v>69f5c10ce0a1035b0946095a</v>
      </c>
      <c r="AA38" s="229"/>
      <c r="AB38" s="229"/>
      <c r="AC38" s="229"/>
      <c r="AD38" s="229"/>
      <c r="AE38" s="229"/>
      <c r="AF38" s="229"/>
      <c r="AG38" s="208"/>
      <c r="AH38" s="208"/>
      <c r="AI38" s="208"/>
      <c r="AJ38" s="208"/>
      <c r="AK38" s="208"/>
    </row>
    <row r="39">
      <c r="A39" s="216">
        <f>IFERROR(__xludf.DUMMYFUNCTION("""COMPUTED_VALUE"""),46145.0)</f>
        <v>46145</v>
      </c>
      <c r="B39" s="210">
        <f>IFERROR(__xludf.DUMMYFUNCTION("""COMPUTED_VALUE"""),0.5)</f>
        <v>0.5</v>
      </c>
      <c r="C39" s="218" t="str">
        <f>IFERROR(__xludf.DUMMYFUNCTION("""COMPUTED_VALUE"""),"Sms")</f>
        <v>Sms</v>
      </c>
      <c r="D39" s="218" t="str">
        <f>IFERROR(__xludf.DUMMYFUNCTION("""COMPUTED_VALUE"""),"Fallback campaign")</f>
        <v>Fallback campaign</v>
      </c>
      <c r="E39" s="218" t="str">
        <f>IFERROR(__xludf.DUMMYFUNCTION("""COMPUTED_VALUE"""),"AGIPL")</f>
        <v>AGIPL</v>
      </c>
      <c r="F39" s="218" t="str">
        <f>IFERROR(__xludf.DUMMYFUNCTION("""COMPUTED_VALUE"""),"MAY BOGO 2026 1-3 MAY - B1G1")</f>
        <v>MAY BOGO 2026 1-3 MAY - B1G1</v>
      </c>
      <c r="G39" s="212" t="str">
        <f>IFERROR(__xludf.DUMMYFUNCTION("""COMPUTED_VALUE"""),"ALBG_LastDay_Crossbrand")</f>
        <v>ALBG_LastDay_Crossbrand</v>
      </c>
      <c r="H39" s="212" t="str">
        <f>IFERROR(__xludf.DUMMYFUNCTION("""COMPUTED_VALUE"""),"BBW_Exclude_AL_onoff_2025")</f>
        <v>BBW_Exclude_AL_onoff_2025</v>
      </c>
      <c r="I39" s="212" t="str">
        <f>IFERROR(__xludf.DUMMYFUNCTION("""COMPUTED_VALUE"""),"RCS Undelivered")</f>
        <v>RCS Undelivered</v>
      </c>
      <c r="J39" s="213">
        <f>IFERROR(__xludf.DUMMYFUNCTION("""COMPUTED_VALUE"""),247348.0)</f>
        <v>247348</v>
      </c>
      <c r="K39" s="213">
        <f>IFERROR(__xludf.DUMMYFUNCTION("""COMPUTED_VALUE"""),143297.0)</f>
        <v>143297</v>
      </c>
      <c r="L39" s="214">
        <f>IFERROR(__xludf.DUMMYFUNCTION("""COMPUTED_VALUE"""),0.5793)</f>
        <v>0.5793</v>
      </c>
      <c r="M39" s="213">
        <f>IFERROR(__xludf.DUMMYFUNCTION("""COMPUTED_VALUE"""),0.0)</f>
        <v>0</v>
      </c>
      <c r="N39" s="214">
        <f>IFERROR(__xludf.DUMMYFUNCTION("""COMPUTED_VALUE"""),0.0)</f>
        <v>0</v>
      </c>
      <c r="O39" s="213">
        <f>IFERROR(__xludf.DUMMYFUNCTION("""COMPUTED_VALUE"""),189.0)</f>
        <v>189</v>
      </c>
      <c r="P39" s="213">
        <f>IFERROR(__xludf.DUMMYFUNCTION("""COMPUTED_VALUE"""),0.0)</f>
        <v>0</v>
      </c>
      <c r="Q39" s="214">
        <f>IFERROR(__xludf.DUMMYFUNCTION("""COMPUTED_VALUE"""),0.0013)</f>
        <v>0.0013</v>
      </c>
      <c r="R39" s="214">
        <f>IFERROR(__xludf.DUMMYFUNCTION("""COMPUTED_VALUE"""),0.0)</f>
        <v>0</v>
      </c>
      <c r="S39" s="101">
        <f>IFERROR(__xludf.DUMMYFUNCTION("""COMPUTED_VALUE"""),0.0)</f>
        <v>0</v>
      </c>
      <c r="T39" s="226">
        <f>IFERROR(__xludf.DUMMYFUNCTION("""COMPUTED_VALUE"""),0.0)</f>
        <v>0</v>
      </c>
      <c r="U39" s="224">
        <f>IFERROR(__xludf.DUMMYFUNCTION("""COMPUTED_VALUE"""),0.0)</f>
        <v>0</v>
      </c>
      <c r="V39" s="224" t="str">
        <f>IFERROR(__xludf.DUMMYFUNCTION("""COMPUTED_VALUE"""),"overall ")</f>
        <v>overall </v>
      </c>
      <c r="W39" s="229" t="str">
        <f>IFERROR(__xludf.DUMMYFUNCTION("""COMPUTED_VALUE"""),"sms")</f>
        <v>sms</v>
      </c>
      <c r="X39" s="229" t="str">
        <f>IFERROR(__xludf.DUMMYFUNCTION("""COMPUTED_VALUE"""),"BBW Base - 2025")</f>
        <v>BBW Base - 2025</v>
      </c>
      <c r="Y39" s="229" t="str">
        <f>IFERROR(__xludf.DUMMYFUNCTION("""COMPUTED_VALUE"""),"1st May - 4TH May")</f>
        <v>1st May - 4TH May</v>
      </c>
      <c r="Z39" s="229" t="str">
        <f>IFERROR(__xludf.DUMMYFUNCTION("""COMPUTED_VALUE"""),"69f5c11906b3c8eae8747fac")</f>
        <v>69f5c11906b3c8eae8747fac</v>
      </c>
      <c r="AA39" s="229"/>
      <c r="AB39" s="229"/>
      <c r="AC39" s="229"/>
      <c r="AD39" s="229"/>
      <c r="AE39" s="229"/>
      <c r="AF39" s="229"/>
      <c r="AG39" s="208"/>
      <c r="AH39" s="208"/>
      <c r="AI39" s="208"/>
      <c r="AJ39" s="208"/>
      <c r="AK39" s="208"/>
    </row>
    <row r="40">
      <c r="A40" s="216">
        <f>IFERROR(__xludf.DUMMYFUNCTION("""COMPUTED_VALUE"""),46145.0)</f>
        <v>46145</v>
      </c>
      <c r="B40" s="210">
        <f>IFERROR(__xludf.DUMMYFUNCTION("""COMPUTED_VALUE"""),0.5)</f>
        <v>0.5</v>
      </c>
      <c r="C40" s="218" t="str">
        <f>IFERROR(__xludf.DUMMYFUNCTION("""COMPUTED_VALUE"""),"Sms")</f>
        <v>Sms</v>
      </c>
      <c r="D40" s="218" t="str">
        <f>IFERROR(__xludf.DUMMYFUNCTION("""COMPUTED_VALUE"""),"Fallback campaign")</f>
        <v>Fallback campaign</v>
      </c>
      <c r="E40" s="218" t="str">
        <f>IFERROR(__xludf.DUMMYFUNCTION("""COMPUTED_VALUE"""),"AGIPL")</f>
        <v>AGIPL</v>
      </c>
      <c r="F40" s="218" t="str">
        <f>IFERROR(__xludf.DUMMYFUNCTION("""COMPUTED_VALUE"""),"MAY BOGO 2026 1-3 MAY - B1G1")</f>
        <v>MAY BOGO 2026 1-3 MAY - B1G1</v>
      </c>
      <c r="G40" s="212" t="str">
        <f>IFERROR(__xludf.DUMMYFUNCTION("""COMPUTED_VALUE"""),"ALBG_LastDay_Crossbrand_VS_Master_OnOff_Exclude_AL")</f>
        <v>ALBG_LastDay_Crossbrand_VS_Master_OnOff_Exclude_AL</v>
      </c>
      <c r="H40" s="212" t="str">
        <f>IFERROR(__xludf.DUMMYFUNCTION("""COMPUTED_VALUE"""),"VS_Master_OnOff_Exclude_AL")</f>
        <v>VS_Master_OnOff_Exclude_AL</v>
      </c>
      <c r="I40" s="212" t="str">
        <f>IFERROR(__xludf.DUMMYFUNCTION("""COMPUTED_VALUE"""),"RCS Undelivered")</f>
        <v>RCS Undelivered</v>
      </c>
      <c r="J40" s="213">
        <f>IFERROR(__xludf.DUMMYFUNCTION("""COMPUTED_VALUE"""),95989.0)</f>
        <v>95989</v>
      </c>
      <c r="K40" s="213">
        <f>IFERROR(__xludf.DUMMYFUNCTION("""COMPUTED_VALUE"""),59039.0)</f>
        <v>59039</v>
      </c>
      <c r="L40" s="214">
        <f>IFERROR(__xludf.DUMMYFUNCTION("""COMPUTED_VALUE"""),0.6151)</f>
        <v>0.6151</v>
      </c>
      <c r="M40" s="213">
        <f>IFERROR(__xludf.DUMMYFUNCTION("""COMPUTED_VALUE"""),0.0)</f>
        <v>0</v>
      </c>
      <c r="N40" s="214">
        <f>IFERROR(__xludf.DUMMYFUNCTION("""COMPUTED_VALUE"""),0.0)</f>
        <v>0</v>
      </c>
      <c r="O40" s="213">
        <f>IFERROR(__xludf.DUMMYFUNCTION("""COMPUTED_VALUE"""),80.0)</f>
        <v>80</v>
      </c>
      <c r="P40" s="213">
        <f>IFERROR(__xludf.DUMMYFUNCTION("""COMPUTED_VALUE"""),0.0)</f>
        <v>0</v>
      </c>
      <c r="Q40" s="214">
        <f>IFERROR(__xludf.DUMMYFUNCTION("""COMPUTED_VALUE"""),0.0014)</f>
        <v>0.0014</v>
      </c>
      <c r="R40" s="214">
        <f>IFERROR(__xludf.DUMMYFUNCTION("""COMPUTED_VALUE"""),0.0)</f>
        <v>0</v>
      </c>
      <c r="S40" s="101">
        <f>IFERROR(__xludf.DUMMYFUNCTION("""COMPUTED_VALUE"""),0.0)</f>
        <v>0</v>
      </c>
      <c r="T40" s="226">
        <f>IFERROR(__xludf.DUMMYFUNCTION("""COMPUTED_VALUE"""),0.0)</f>
        <v>0</v>
      </c>
      <c r="U40" s="224">
        <f>IFERROR(__xludf.DUMMYFUNCTION("""COMPUTED_VALUE"""),0.0)</f>
        <v>0</v>
      </c>
      <c r="V40" s="224" t="str">
        <f>IFERROR(__xludf.DUMMYFUNCTION("""COMPUTED_VALUE"""),"overall ")</f>
        <v>overall </v>
      </c>
      <c r="W40" s="229" t="str">
        <f>IFERROR(__xludf.DUMMYFUNCTION("""COMPUTED_VALUE"""),"sms")</f>
        <v>sms</v>
      </c>
      <c r="X40" s="229" t="str">
        <f>IFERROR(__xludf.DUMMYFUNCTION("""COMPUTED_VALUE"""),"VS Base")</f>
        <v>VS Base</v>
      </c>
      <c r="Y40" s="229" t="str">
        <f>IFERROR(__xludf.DUMMYFUNCTION("""COMPUTED_VALUE"""),"1st May - 4TH May")</f>
        <v>1st May - 4TH May</v>
      </c>
      <c r="Z40" s="229" t="str">
        <f>IFERROR(__xludf.DUMMYFUNCTION("""COMPUTED_VALUE"""),"69f5c1b02994acd357b16d2f")</f>
        <v>69f5c1b02994acd357b16d2f</v>
      </c>
      <c r="AA40" s="229"/>
      <c r="AB40" s="229"/>
      <c r="AC40" s="229"/>
      <c r="AD40" s="229"/>
      <c r="AE40" s="229"/>
      <c r="AF40" s="229"/>
      <c r="AG40" s="208"/>
      <c r="AH40" s="208"/>
      <c r="AI40" s="208"/>
      <c r="AJ40" s="208"/>
      <c r="AK40" s="208"/>
    </row>
    <row r="41">
      <c r="A41" s="216">
        <f>IFERROR(__xludf.DUMMYFUNCTION("""COMPUTED_VALUE"""),46145.0)</f>
        <v>46145</v>
      </c>
      <c r="B41" s="210">
        <f>IFERROR(__xludf.DUMMYFUNCTION("""COMPUTED_VALUE"""),0.5)</f>
        <v>0.5</v>
      </c>
      <c r="C41" s="218" t="str">
        <f>IFERROR(__xludf.DUMMYFUNCTION("""COMPUTED_VALUE"""),"Sms")</f>
        <v>Sms</v>
      </c>
      <c r="D41" s="218" t="str">
        <f>IFERROR(__xludf.DUMMYFUNCTION("""COMPUTED_VALUE"""),"Fallback campaign")</f>
        <v>Fallback campaign</v>
      </c>
      <c r="E41" s="218" t="str">
        <f>IFERROR(__xludf.DUMMYFUNCTION("""COMPUTED_VALUE"""),"AGIPL")</f>
        <v>AGIPL</v>
      </c>
      <c r="F41" s="218" t="str">
        <f>IFERROR(__xludf.DUMMYFUNCTION("""COMPUTED_VALUE"""),"MAY BOGO 2026 1-3 MAY - B1G1")</f>
        <v>MAY BOGO 2026 1-3 MAY - B1G1</v>
      </c>
      <c r="G41" s="212" t="str">
        <f>IFERROR(__xludf.DUMMYFUNCTION("""COMPUTED_VALUE"""),"ALBG_LastDay_Crossbrand_BBW_Exclude_AL_onoff_2023")</f>
        <v>ALBG_LastDay_Crossbrand_BBW_Exclude_AL_onoff_2023</v>
      </c>
      <c r="H41" s="212" t="str">
        <f>IFERROR(__xludf.DUMMYFUNCTION("""COMPUTED_VALUE"""),"BBW_Exclude_AL_onoff_2023")</f>
        <v>BBW_Exclude_AL_onoff_2023</v>
      </c>
      <c r="I41" s="212" t="str">
        <f>IFERROR(__xludf.DUMMYFUNCTION("""COMPUTED_VALUE"""),"RCS Undelivered")</f>
        <v>RCS Undelivered</v>
      </c>
      <c r="J41" s="213">
        <f>IFERROR(__xludf.DUMMYFUNCTION("""COMPUTED_VALUE"""),55359.0)</f>
        <v>55359</v>
      </c>
      <c r="K41" s="213">
        <f>IFERROR(__xludf.DUMMYFUNCTION("""COMPUTED_VALUE"""),28902.0)</f>
        <v>28902</v>
      </c>
      <c r="L41" s="214">
        <f>IFERROR(__xludf.DUMMYFUNCTION("""COMPUTED_VALUE"""),0.5221)</f>
        <v>0.5221</v>
      </c>
      <c r="M41" s="213">
        <f>IFERROR(__xludf.DUMMYFUNCTION("""COMPUTED_VALUE"""),0.0)</f>
        <v>0</v>
      </c>
      <c r="N41" s="214">
        <f>IFERROR(__xludf.DUMMYFUNCTION("""COMPUTED_VALUE"""),0.0)</f>
        <v>0</v>
      </c>
      <c r="O41" s="213">
        <f>IFERROR(__xludf.DUMMYFUNCTION("""COMPUTED_VALUE"""),42.0)</f>
        <v>42</v>
      </c>
      <c r="P41" s="213">
        <f>IFERROR(__xludf.DUMMYFUNCTION("""COMPUTED_VALUE"""),0.0)</f>
        <v>0</v>
      </c>
      <c r="Q41" s="214">
        <f>IFERROR(__xludf.DUMMYFUNCTION("""COMPUTED_VALUE"""),0.0015)</f>
        <v>0.0015</v>
      </c>
      <c r="R41" s="214">
        <f>IFERROR(__xludf.DUMMYFUNCTION("""COMPUTED_VALUE"""),0.0)</f>
        <v>0</v>
      </c>
      <c r="S41" s="101">
        <f>IFERROR(__xludf.DUMMYFUNCTION("""COMPUTED_VALUE"""),0.0)</f>
        <v>0</v>
      </c>
      <c r="T41" s="226">
        <f>IFERROR(__xludf.DUMMYFUNCTION("""COMPUTED_VALUE"""),0.0)</f>
        <v>0</v>
      </c>
      <c r="U41" s="224">
        <f>IFERROR(__xludf.DUMMYFUNCTION("""COMPUTED_VALUE"""),0.0)</f>
        <v>0</v>
      </c>
      <c r="V41" s="224" t="str">
        <f>IFERROR(__xludf.DUMMYFUNCTION("""COMPUTED_VALUE"""),"overall ")</f>
        <v>overall </v>
      </c>
      <c r="W41" s="229" t="str">
        <f>IFERROR(__xludf.DUMMYFUNCTION("""COMPUTED_VALUE"""),"sms")</f>
        <v>sms</v>
      </c>
      <c r="X41" s="229" t="str">
        <f>IFERROR(__xludf.DUMMYFUNCTION("""COMPUTED_VALUE"""),"BBW Base - 2023")</f>
        <v>BBW Base - 2023</v>
      </c>
      <c r="Y41" s="229" t="str">
        <f>IFERROR(__xludf.DUMMYFUNCTION("""COMPUTED_VALUE"""),"1st May - 4TH May")</f>
        <v>1st May - 4TH May</v>
      </c>
      <c r="Z41" s="229" t="str">
        <f>IFERROR(__xludf.DUMMYFUNCTION("""COMPUTED_VALUE"""),"69f5c1bf7c72563122c590a9")</f>
        <v>69f5c1bf7c72563122c590a9</v>
      </c>
      <c r="AA41" s="229"/>
      <c r="AB41" s="229"/>
      <c r="AC41" s="229"/>
      <c r="AD41" s="229"/>
      <c r="AE41" s="229"/>
      <c r="AF41" s="229"/>
      <c r="AG41" s="208"/>
      <c r="AH41" s="208"/>
      <c r="AI41" s="208"/>
      <c r="AJ41" s="208"/>
      <c r="AK41" s="208"/>
    </row>
    <row r="42">
      <c r="A42" s="216">
        <f>IFERROR(__xludf.DUMMYFUNCTION("""COMPUTED_VALUE"""),46145.0)</f>
        <v>46145</v>
      </c>
      <c r="B42" s="247">
        <f>IFERROR(__xludf.DUMMYFUNCTION("""COMPUTED_VALUE"""),0.5)</f>
        <v>0.5</v>
      </c>
      <c r="C42" s="218" t="str">
        <f>IFERROR(__xludf.DUMMYFUNCTION("""COMPUTED_VALUE"""),"Sms")</f>
        <v>Sms</v>
      </c>
      <c r="D42" s="218" t="str">
        <f>IFERROR(__xludf.DUMMYFUNCTION("""COMPUTED_VALUE"""),"Fallback campaign")</f>
        <v>Fallback campaign</v>
      </c>
      <c r="E42" s="218" t="str">
        <f>IFERROR(__xludf.DUMMYFUNCTION("""COMPUTED_VALUE"""),"AGIPL")</f>
        <v>AGIPL</v>
      </c>
      <c r="F42" s="218" t="str">
        <f>IFERROR(__xludf.DUMMYFUNCTION("""COMPUTED_VALUE"""),"MAY BOGO 2026 1-3 MAY - B1G1")</f>
        <v>MAY BOGO 2026 1-3 MAY - B1G1</v>
      </c>
      <c r="G42" s="212" t="str">
        <f>IFERROR(__xludf.DUMMYFUNCTION("""COMPUTED_VALUE"""),"ALBG_LastDay_Crossbrand_BBW_Exclude_AL_onoff_2024")</f>
        <v>ALBG_LastDay_Crossbrand_BBW_Exclude_AL_onoff_2024</v>
      </c>
      <c r="H42" s="212" t="str">
        <f>IFERROR(__xludf.DUMMYFUNCTION("""COMPUTED_VALUE"""),"BBW_Exclude_AL_onoff_2024")</f>
        <v>BBW_Exclude_AL_onoff_2024</v>
      </c>
      <c r="I42" s="211" t="str">
        <f>IFERROR(__xludf.DUMMYFUNCTION("""COMPUTED_VALUE"""),"RCS Undelivered")</f>
        <v>RCS Undelivered</v>
      </c>
      <c r="J42" s="213">
        <f>IFERROR(__xludf.DUMMYFUNCTION("""COMPUTED_VALUE"""),135013.0)</f>
        <v>135013</v>
      </c>
      <c r="K42" s="213">
        <f>IFERROR(__xludf.DUMMYFUNCTION("""COMPUTED_VALUE"""),73485.0)</f>
        <v>73485</v>
      </c>
      <c r="L42" s="214">
        <f>IFERROR(__xludf.DUMMYFUNCTION("""COMPUTED_VALUE"""),0.5443)</f>
        <v>0.5443</v>
      </c>
      <c r="M42" s="213">
        <f>IFERROR(__xludf.DUMMYFUNCTION("""COMPUTED_VALUE"""),0.0)</f>
        <v>0</v>
      </c>
      <c r="N42" s="214">
        <f>IFERROR(__xludf.DUMMYFUNCTION("""COMPUTED_VALUE"""),0.0)</f>
        <v>0</v>
      </c>
      <c r="O42" s="213">
        <f>IFERROR(__xludf.DUMMYFUNCTION("""COMPUTED_VALUE"""),99.0)</f>
        <v>99</v>
      </c>
      <c r="P42" s="213">
        <f>IFERROR(__xludf.DUMMYFUNCTION("""COMPUTED_VALUE"""),0.0)</f>
        <v>0</v>
      </c>
      <c r="Q42" s="214">
        <f>IFERROR(__xludf.DUMMYFUNCTION("""COMPUTED_VALUE"""),0.0013)</f>
        <v>0.0013</v>
      </c>
      <c r="R42" s="214">
        <f>IFERROR(__xludf.DUMMYFUNCTION("""COMPUTED_VALUE"""),0.0)</f>
        <v>0</v>
      </c>
      <c r="S42" s="101">
        <f>IFERROR(__xludf.DUMMYFUNCTION("""COMPUTED_VALUE"""),0.0)</f>
        <v>0</v>
      </c>
      <c r="T42" s="226">
        <f>IFERROR(__xludf.DUMMYFUNCTION("""COMPUTED_VALUE"""),0.0)</f>
        <v>0</v>
      </c>
      <c r="U42" s="224">
        <f>IFERROR(__xludf.DUMMYFUNCTION("""COMPUTED_VALUE"""),0.0)</f>
        <v>0</v>
      </c>
      <c r="V42" s="224" t="str">
        <f>IFERROR(__xludf.DUMMYFUNCTION("""COMPUTED_VALUE"""),"overall ")</f>
        <v>overall </v>
      </c>
      <c r="W42" s="229" t="str">
        <f>IFERROR(__xludf.DUMMYFUNCTION("""COMPUTED_VALUE"""),"sms")</f>
        <v>sms</v>
      </c>
      <c r="X42" s="229" t="str">
        <f>IFERROR(__xludf.DUMMYFUNCTION("""COMPUTED_VALUE"""),"BBW Base - 2024")</f>
        <v>BBW Base - 2024</v>
      </c>
      <c r="Y42" s="229" t="str">
        <f>IFERROR(__xludf.DUMMYFUNCTION("""COMPUTED_VALUE"""),"1st May - 4TH May")</f>
        <v>1st May - 4TH May</v>
      </c>
      <c r="Z42" s="229" t="str">
        <f>IFERROR(__xludf.DUMMYFUNCTION("""COMPUTED_VALUE"""),"69f5c1cc17d8d2cefc698706")</f>
        <v>69f5c1cc17d8d2cefc698706</v>
      </c>
      <c r="AA42" s="229"/>
      <c r="AB42" s="229"/>
      <c r="AC42" s="229"/>
      <c r="AD42" s="229"/>
      <c r="AE42" s="229"/>
      <c r="AF42" s="229"/>
      <c r="AG42" s="208"/>
      <c r="AH42" s="208"/>
      <c r="AI42" s="208"/>
      <c r="AJ42" s="208"/>
      <c r="AK42" s="208"/>
    </row>
    <row r="43">
      <c r="A43" s="216">
        <f>IFERROR(__xludf.DUMMYFUNCTION("""COMPUTED_VALUE"""),46145.0)</f>
        <v>46145</v>
      </c>
      <c r="B43" s="247">
        <f>IFERROR(__xludf.DUMMYFUNCTION("""COMPUTED_VALUE"""),46145.45833333333)</f>
        <v>46145.45833</v>
      </c>
      <c r="C43" s="218" t="str">
        <f>IFERROR(__xludf.DUMMYFUNCTION("""COMPUTED_VALUE"""),"Rcs")</f>
        <v>Rcs</v>
      </c>
      <c r="D43" s="218" t="str">
        <f>IFERROR(__xludf.DUMMYFUNCTION("""COMPUTED_VALUE"""),"Fallback campaign")</f>
        <v>Fallback campaign</v>
      </c>
      <c r="E43" s="218" t="str">
        <f>IFERROR(__xludf.DUMMYFUNCTION("""COMPUTED_VALUE"""),"AGIPL")</f>
        <v>AGIPL</v>
      </c>
      <c r="F43" s="218" t="str">
        <f>IFERROR(__xludf.DUMMYFUNCTION("""COMPUTED_VALUE"""),"MAY BOGO 2026 1-3 MAY - B1G1")</f>
        <v>MAY BOGO 2026 1-3 MAY - B1G1</v>
      </c>
      <c r="G43" s="212" t="str">
        <f>IFERROR(__xludf.DUMMYFUNCTION("""COMPUTED_VALUE"""),"3rdMay_LD_VS_Master_OnOff_Exclude_AL")</f>
        <v>3rdMay_LD_VS_Master_OnOff_Exclude_AL</v>
      </c>
      <c r="H43" s="212" t="str">
        <f>IFERROR(__xludf.DUMMYFUNCTION("""COMPUTED_VALUE"""),"VS_Master_OnOff_Exclude_AL")</f>
        <v>VS_Master_OnOff_Exclude_AL</v>
      </c>
      <c r="I43" s="211" t="str">
        <f>IFERROR(__xludf.DUMMYFUNCTION("""COMPUTED_VALUE"""),"WA Undelivered")</f>
        <v>WA Undelivered</v>
      </c>
      <c r="J43" s="213">
        <f>IFERROR(__xludf.DUMMYFUNCTION("""COMPUTED_VALUE"""),117691.0)</f>
        <v>117691</v>
      </c>
      <c r="K43" s="213">
        <f>IFERROR(__xludf.DUMMYFUNCTION("""COMPUTED_VALUE"""),21115.0)</f>
        <v>21115</v>
      </c>
      <c r="L43" s="214">
        <f>IFERROR(__xludf.DUMMYFUNCTION("""COMPUTED_VALUE"""),0.179410490181917)</f>
        <v>0.1794104902</v>
      </c>
      <c r="M43" s="213">
        <f>IFERROR(__xludf.DUMMYFUNCTION("""COMPUTED_VALUE"""),2499.0)</f>
        <v>2499</v>
      </c>
      <c r="N43" s="214">
        <f>IFERROR(__xludf.DUMMYFUNCTION("""COMPUTED_VALUE"""),0.1184)</f>
        <v>0.1184</v>
      </c>
      <c r="O43" s="213">
        <f>IFERROR(__xludf.DUMMYFUNCTION("""COMPUTED_VALUE"""),64.0)</f>
        <v>64</v>
      </c>
      <c r="P43" s="213">
        <f>IFERROR(__xludf.DUMMYFUNCTION("""COMPUTED_VALUE"""),0.0)</f>
        <v>0</v>
      </c>
      <c r="Q43" s="214">
        <f>IFERROR(__xludf.DUMMYFUNCTION("""COMPUTED_VALUE"""),0.0032)</f>
        <v>0.0032</v>
      </c>
      <c r="R43" s="214">
        <f>IFERROR(__xludf.DUMMYFUNCTION("""COMPUTED_VALUE"""),0.0)</f>
        <v>0</v>
      </c>
      <c r="S43" s="101">
        <f>IFERROR(__xludf.DUMMYFUNCTION("""COMPUTED_VALUE"""),0.0)</f>
        <v>0</v>
      </c>
      <c r="T43" s="226">
        <f>IFERROR(__xludf.DUMMYFUNCTION("""COMPUTED_VALUE"""),0.0)</f>
        <v>0</v>
      </c>
      <c r="U43" s="224">
        <f>IFERROR(__xludf.DUMMYFUNCTION("""COMPUTED_VALUE"""),0.0)</f>
        <v>0</v>
      </c>
      <c r="V43" s="224" t="str">
        <f>IFERROR(__xludf.DUMMYFUNCTION("""COMPUTED_VALUE"""),"overall")</f>
        <v>overall</v>
      </c>
      <c r="W43" s="229" t="str">
        <f>IFERROR(__xludf.DUMMYFUNCTION("""COMPUTED_VALUE"""),"rcs")</f>
        <v>rcs</v>
      </c>
      <c r="X43" s="229" t="str">
        <f>IFERROR(__xludf.DUMMYFUNCTION("""COMPUTED_VALUE"""),"VS Base")</f>
        <v>VS Base</v>
      </c>
      <c r="Y43" s="229" t="str">
        <f>IFERROR(__xludf.DUMMYFUNCTION("""COMPUTED_VALUE"""),"1st May - 4TH May")</f>
        <v>1st May - 4TH May</v>
      </c>
      <c r="Z43" s="229" t="str">
        <f>IFERROR(__xludf.DUMMYFUNCTION("""COMPUTED_VALUE"""),"69f5acba7c72563122c58f93")</f>
        <v>69f5acba7c72563122c58f93</v>
      </c>
      <c r="AA43" s="229"/>
      <c r="AB43" s="229"/>
      <c r="AC43" s="229"/>
      <c r="AD43" s="229"/>
      <c r="AE43" s="229"/>
      <c r="AF43" s="229"/>
      <c r="AG43" s="208"/>
      <c r="AH43" s="208"/>
      <c r="AI43" s="208"/>
      <c r="AJ43" s="208"/>
      <c r="AK43" s="208"/>
    </row>
    <row r="44">
      <c r="A44" s="216">
        <f>IFERROR(__xludf.DUMMYFUNCTION("""COMPUTED_VALUE"""),46145.0)</f>
        <v>46145</v>
      </c>
      <c r="B44" s="247">
        <f>IFERROR(__xludf.DUMMYFUNCTION("""COMPUTED_VALUE"""),46145.45833333333)</f>
        <v>46145.45833</v>
      </c>
      <c r="C44" s="218" t="str">
        <f>IFERROR(__xludf.DUMMYFUNCTION("""COMPUTED_VALUE"""),"Rcs")</f>
        <v>Rcs</v>
      </c>
      <c r="D44" s="218" t="str">
        <f>IFERROR(__xludf.DUMMYFUNCTION("""COMPUTED_VALUE"""),"Fallback campaign")</f>
        <v>Fallback campaign</v>
      </c>
      <c r="E44" s="218" t="str">
        <f>IFERROR(__xludf.DUMMYFUNCTION("""COMPUTED_VALUE"""),"AGIPL")</f>
        <v>AGIPL</v>
      </c>
      <c r="F44" s="218" t="str">
        <f>IFERROR(__xludf.DUMMYFUNCTION("""COMPUTED_VALUE"""),"MAY BOGO 2026 1-3 MAY - B1G1")</f>
        <v>MAY BOGO 2026 1-3 MAY - B1G1</v>
      </c>
      <c r="G44" s="212" t="str">
        <f>IFERROR(__xludf.DUMMYFUNCTION("""COMPUTED_VALUE"""),"3rdMay_LD_BBW_Exclude_AL_onoff_2023")</f>
        <v>3rdMay_LD_BBW_Exclude_AL_onoff_2023</v>
      </c>
      <c r="H44" s="212" t="str">
        <f>IFERROR(__xludf.DUMMYFUNCTION("""COMPUTED_VALUE"""),"BBW_Exclude_AL_onoff_2023")</f>
        <v>BBW_Exclude_AL_onoff_2023</v>
      </c>
      <c r="I44" s="211" t="str">
        <f>IFERROR(__xludf.DUMMYFUNCTION("""COMPUTED_VALUE"""),"WA Undelivered")</f>
        <v>WA Undelivered</v>
      </c>
      <c r="J44" s="213">
        <f>IFERROR(__xludf.DUMMYFUNCTION("""COMPUTED_VALUE"""),69570.0)</f>
        <v>69570</v>
      </c>
      <c r="K44" s="213">
        <f>IFERROR(__xludf.DUMMYFUNCTION("""COMPUTED_VALUE"""),13967.0)</f>
        <v>13967</v>
      </c>
      <c r="L44" s="214">
        <f>IFERROR(__xludf.DUMMYFUNCTION("""COMPUTED_VALUE"""),0.200761822624695)</f>
        <v>0.2007618226</v>
      </c>
      <c r="M44" s="213">
        <f>IFERROR(__xludf.DUMMYFUNCTION("""COMPUTED_VALUE"""),1997.0)</f>
        <v>1997</v>
      </c>
      <c r="N44" s="214">
        <f>IFERROR(__xludf.DUMMYFUNCTION("""COMPUTED_VALUE"""),0.1431)</f>
        <v>0.1431</v>
      </c>
      <c r="O44" s="213">
        <f>IFERROR(__xludf.DUMMYFUNCTION("""COMPUTED_VALUE"""),56.0)</f>
        <v>56</v>
      </c>
      <c r="P44" s="213">
        <f>IFERROR(__xludf.DUMMYFUNCTION("""COMPUTED_VALUE"""),0.0)</f>
        <v>0</v>
      </c>
      <c r="Q44" s="214">
        <f>IFERROR(__xludf.DUMMYFUNCTION("""COMPUTED_VALUE"""),0.0043)</f>
        <v>0.0043</v>
      </c>
      <c r="R44" s="214">
        <f>IFERROR(__xludf.DUMMYFUNCTION("""COMPUTED_VALUE"""),0.0)</f>
        <v>0</v>
      </c>
      <c r="S44" s="101">
        <f>IFERROR(__xludf.DUMMYFUNCTION("""COMPUTED_VALUE"""),0.0)</f>
        <v>0</v>
      </c>
      <c r="T44" s="226">
        <f>IFERROR(__xludf.DUMMYFUNCTION("""COMPUTED_VALUE"""),0.0)</f>
        <v>0</v>
      </c>
      <c r="U44" s="224">
        <f>IFERROR(__xludf.DUMMYFUNCTION("""COMPUTED_VALUE"""),0.0)</f>
        <v>0</v>
      </c>
      <c r="V44" s="224" t="str">
        <f>IFERROR(__xludf.DUMMYFUNCTION("""COMPUTED_VALUE"""),"overall")</f>
        <v>overall</v>
      </c>
      <c r="W44" s="229" t="str">
        <f>IFERROR(__xludf.DUMMYFUNCTION("""COMPUTED_VALUE"""),"rcs")</f>
        <v>rcs</v>
      </c>
      <c r="X44" s="229" t="str">
        <f>IFERROR(__xludf.DUMMYFUNCTION("""COMPUTED_VALUE"""),"BBW Base - 2023")</f>
        <v>BBW Base - 2023</v>
      </c>
      <c r="Y44" s="229" t="str">
        <f>IFERROR(__xludf.DUMMYFUNCTION("""COMPUTED_VALUE"""),"1st May - 4TH May")</f>
        <v>1st May - 4TH May</v>
      </c>
      <c r="Z44" s="229" t="str">
        <f>IFERROR(__xludf.DUMMYFUNCTION("""COMPUTED_VALUE"""),"69f5acf67f69c06832016df1")</f>
        <v>69f5acf67f69c06832016df1</v>
      </c>
      <c r="AA44" s="229"/>
      <c r="AB44" s="229"/>
      <c r="AC44" s="229"/>
      <c r="AD44" s="229"/>
      <c r="AE44" s="229"/>
      <c r="AF44" s="229"/>
      <c r="AG44" s="208"/>
      <c r="AH44" s="208"/>
      <c r="AI44" s="208"/>
      <c r="AJ44" s="208"/>
      <c r="AK44" s="208"/>
    </row>
    <row r="45">
      <c r="A45" s="314">
        <f>IFERROR(__xludf.DUMMYFUNCTION("""COMPUTED_VALUE"""),46145.0)</f>
        <v>46145</v>
      </c>
      <c r="B45" s="238">
        <f>IFERROR(__xludf.DUMMYFUNCTION("""COMPUTED_VALUE"""),46145.45833333333)</f>
        <v>46145.45833</v>
      </c>
      <c r="C45" s="96" t="str">
        <f>IFERROR(__xludf.DUMMYFUNCTION("""COMPUTED_VALUE"""),"Rcs")</f>
        <v>Rcs</v>
      </c>
      <c r="D45" s="96" t="str">
        <f>IFERROR(__xludf.DUMMYFUNCTION("""COMPUTED_VALUE"""),"Fallback campaign")</f>
        <v>Fallback campaign</v>
      </c>
      <c r="E45" s="96" t="str">
        <f>IFERROR(__xludf.DUMMYFUNCTION("""COMPUTED_VALUE"""),"AGIPL")</f>
        <v>AGIPL</v>
      </c>
      <c r="F45" s="212" t="str">
        <f>IFERROR(__xludf.DUMMYFUNCTION("""COMPUTED_VALUE"""),"MAY BOGO 2026 1-3 MAY - B1G1")</f>
        <v>MAY BOGO 2026 1-3 MAY - B1G1</v>
      </c>
      <c r="G45" s="212" t="str">
        <f>IFERROR(__xludf.DUMMYFUNCTION("""COMPUTED_VALUE"""),"3rdMay_LD_BBW_Exclude_AL_onoff_2024")</f>
        <v>3rdMay_LD_BBW_Exclude_AL_onoff_2024</v>
      </c>
      <c r="H45" s="248" t="str">
        <f>IFERROR(__xludf.DUMMYFUNCTION("""COMPUTED_VALUE"""),"BBW_Exclude_AL_onoff_2024")</f>
        <v>BBW_Exclude_AL_onoff_2024</v>
      </c>
      <c r="I45" s="248" t="str">
        <f>IFERROR(__xludf.DUMMYFUNCTION("""COMPUTED_VALUE"""),"WA Undelivered")</f>
        <v>WA Undelivered</v>
      </c>
      <c r="J45" s="249">
        <f>IFERROR(__xludf.DUMMYFUNCTION("""COMPUTED_VALUE"""),171457.0)</f>
        <v>171457</v>
      </c>
      <c r="K45" s="250">
        <f>IFERROR(__xludf.DUMMYFUNCTION("""COMPUTED_VALUE"""),36135.0)</f>
        <v>36135</v>
      </c>
      <c r="L45" s="251">
        <f>IFERROR(__xludf.DUMMYFUNCTION("""COMPUTED_VALUE"""),0.210752550202091)</f>
        <v>0.2107525502</v>
      </c>
      <c r="M45" s="250">
        <f>IFERROR(__xludf.DUMMYFUNCTION("""COMPUTED_VALUE"""),5170.0)</f>
        <v>5170</v>
      </c>
      <c r="N45" s="252">
        <f>IFERROR(__xludf.DUMMYFUNCTION("""COMPUTED_VALUE"""),0.1432)</f>
        <v>0.1432</v>
      </c>
      <c r="O45" s="317">
        <f>IFERROR(__xludf.DUMMYFUNCTION("""COMPUTED_VALUE"""),99.0)</f>
        <v>99</v>
      </c>
      <c r="P45" s="317">
        <f>IFERROR(__xludf.DUMMYFUNCTION("""COMPUTED_VALUE"""),0.0)</f>
        <v>0</v>
      </c>
      <c r="Q45" s="214">
        <f>IFERROR(__xludf.DUMMYFUNCTION("""COMPUTED_VALUE"""),0.003)</f>
        <v>0.003</v>
      </c>
      <c r="R45" s="214">
        <f>IFERROR(__xludf.DUMMYFUNCTION("""COMPUTED_VALUE"""),0.0)</f>
        <v>0</v>
      </c>
      <c r="S45" s="101">
        <f>IFERROR(__xludf.DUMMYFUNCTION("""COMPUTED_VALUE"""),0.0)</f>
        <v>0</v>
      </c>
      <c r="T45" s="226">
        <f>IFERROR(__xludf.DUMMYFUNCTION("""COMPUTED_VALUE"""),0.0)</f>
        <v>0</v>
      </c>
      <c r="U45" s="224">
        <f>IFERROR(__xludf.DUMMYFUNCTION("""COMPUTED_VALUE"""),0.0)</f>
        <v>0</v>
      </c>
      <c r="V45" s="224" t="str">
        <f>IFERROR(__xludf.DUMMYFUNCTION("""COMPUTED_VALUE"""),"overall")</f>
        <v>overall</v>
      </c>
      <c r="W45" s="229" t="str">
        <f>IFERROR(__xludf.DUMMYFUNCTION("""COMPUTED_VALUE"""),"rcs")</f>
        <v>rcs</v>
      </c>
      <c r="X45" s="229" t="str">
        <f>IFERROR(__xludf.DUMMYFUNCTION("""COMPUTED_VALUE"""),"BBW Base - 2024")</f>
        <v>BBW Base - 2024</v>
      </c>
      <c r="Y45" s="229" t="str">
        <f>IFERROR(__xludf.DUMMYFUNCTION("""COMPUTED_VALUE"""),"1st May - 4TH May")</f>
        <v>1st May - 4TH May</v>
      </c>
      <c r="Z45" s="229" t="str">
        <f>IFERROR(__xludf.DUMMYFUNCTION("""COMPUTED_VALUE"""),"69f5ad4553532f8af5dde3cc")</f>
        <v>69f5ad4553532f8af5dde3cc</v>
      </c>
      <c r="AA45" s="229"/>
      <c r="AB45" s="229"/>
      <c r="AC45" s="229"/>
      <c r="AD45" s="229"/>
      <c r="AE45" s="229"/>
      <c r="AF45" s="229"/>
      <c r="AG45" s="208"/>
      <c r="AH45" s="208"/>
      <c r="AI45" s="208"/>
      <c r="AJ45" s="208"/>
      <c r="AK45" s="208"/>
    </row>
    <row r="46">
      <c r="A46" s="314">
        <f>IFERROR(__xludf.DUMMYFUNCTION("""COMPUTED_VALUE"""),46145.0)</f>
        <v>46145</v>
      </c>
      <c r="B46" s="238">
        <f>IFERROR(__xludf.DUMMYFUNCTION("""COMPUTED_VALUE"""),46145.45833333333)</f>
        <v>46145.45833</v>
      </c>
      <c r="C46" s="96" t="str">
        <f>IFERROR(__xludf.DUMMYFUNCTION("""COMPUTED_VALUE"""),"Rcs")</f>
        <v>Rcs</v>
      </c>
      <c r="D46" s="96" t="str">
        <f>IFERROR(__xludf.DUMMYFUNCTION("""COMPUTED_VALUE"""),"Fallback campaign")</f>
        <v>Fallback campaign</v>
      </c>
      <c r="E46" s="96" t="str">
        <f>IFERROR(__xludf.DUMMYFUNCTION("""COMPUTED_VALUE"""),"AGIPL")</f>
        <v>AGIPL</v>
      </c>
      <c r="F46" s="212" t="str">
        <f>IFERROR(__xludf.DUMMYFUNCTION("""COMPUTED_VALUE"""),"MAY BOGO 2026 1-3 MAY - B1G1")</f>
        <v>MAY BOGO 2026 1-3 MAY - B1G1</v>
      </c>
      <c r="G46" s="212" t="str">
        <f>IFERROR(__xludf.DUMMYFUNCTION("""COMPUTED_VALUE"""),"3rdMay_LD_BBW_Exclude_AL_onoff_2025")</f>
        <v>3rdMay_LD_BBW_Exclude_AL_onoff_2025</v>
      </c>
      <c r="H46" s="248" t="str">
        <f>IFERROR(__xludf.DUMMYFUNCTION("""COMPUTED_VALUE"""),"BBW_Exclude_AL_onoff_2025")</f>
        <v>BBW_Exclude_AL_onoff_2025</v>
      </c>
      <c r="I46" s="248" t="str">
        <f>IFERROR(__xludf.DUMMYFUNCTION("""COMPUTED_VALUE"""),"WA Undelivered")</f>
        <v>WA Undelivered</v>
      </c>
      <c r="J46" s="249">
        <f>IFERROR(__xludf.DUMMYFUNCTION("""COMPUTED_VALUE"""),326262.0)</f>
        <v>326262</v>
      </c>
      <c r="K46" s="250">
        <f>IFERROR(__xludf.DUMMYFUNCTION("""COMPUTED_VALUE"""),78645.0)</f>
        <v>78645</v>
      </c>
      <c r="L46" s="251">
        <f>IFERROR(__xludf.DUMMYFUNCTION("""COMPUTED_VALUE"""),0.241048605108778)</f>
        <v>0.2410486051</v>
      </c>
      <c r="M46" s="250">
        <f>IFERROR(__xludf.DUMMYFUNCTION("""COMPUTED_VALUE"""),11416.0)</f>
        <v>11416</v>
      </c>
      <c r="N46" s="252">
        <f>IFERROR(__xludf.DUMMYFUNCTION("""COMPUTED_VALUE"""),0.1454)</f>
        <v>0.1454</v>
      </c>
      <c r="O46" s="317">
        <f>IFERROR(__xludf.DUMMYFUNCTION("""COMPUTED_VALUE"""),232.0)</f>
        <v>232</v>
      </c>
      <c r="P46" s="317">
        <f>IFERROR(__xludf.DUMMYFUNCTION("""COMPUTED_VALUE"""),0.0)</f>
        <v>0</v>
      </c>
      <c r="Q46" s="214">
        <f>IFERROR(__xludf.DUMMYFUNCTION("""COMPUTED_VALUE"""),0.0032)</f>
        <v>0.0032</v>
      </c>
      <c r="R46" s="214">
        <f>IFERROR(__xludf.DUMMYFUNCTION("""COMPUTED_VALUE"""),0.0)</f>
        <v>0</v>
      </c>
      <c r="S46" s="101">
        <f>IFERROR(__xludf.DUMMYFUNCTION("""COMPUTED_VALUE"""),0.0)</f>
        <v>0</v>
      </c>
      <c r="T46" s="226">
        <f>IFERROR(__xludf.DUMMYFUNCTION("""COMPUTED_VALUE"""),0.0)</f>
        <v>0</v>
      </c>
      <c r="U46" s="224">
        <f>IFERROR(__xludf.DUMMYFUNCTION("""COMPUTED_VALUE"""),0.0)</f>
        <v>0</v>
      </c>
      <c r="V46" s="224" t="str">
        <f>IFERROR(__xludf.DUMMYFUNCTION("""COMPUTED_VALUE"""),"overall")</f>
        <v>overall</v>
      </c>
      <c r="W46" s="229" t="str">
        <f>IFERROR(__xludf.DUMMYFUNCTION("""COMPUTED_VALUE"""),"rcs")</f>
        <v>rcs</v>
      </c>
      <c r="X46" s="229" t="str">
        <f>IFERROR(__xludf.DUMMYFUNCTION("""COMPUTED_VALUE"""),"BBW Base - 2025")</f>
        <v>BBW Base - 2025</v>
      </c>
      <c r="Y46" s="229" t="str">
        <f>IFERROR(__xludf.DUMMYFUNCTION("""COMPUTED_VALUE"""),"1st May - 4TH May")</f>
        <v>1st May - 4TH May</v>
      </c>
      <c r="Z46" s="229" t="str">
        <f>IFERROR(__xludf.DUMMYFUNCTION("""COMPUTED_VALUE"""),"69f5ad9296e38cb88d6f5717")</f>
        <v>69f5ad9296e38cb88d6f5717</v>
      </c>
      <c r="AA46" s="229"/>
      <c r="AB46" s="229"/>
      <c r="AC46" s="229"/>
      <c r="AD46" s="229"/>
      <c r="AE46" s="229"/>
      <c r="AF46" s="229"/>
      <c r="AG46" s="208"/>
      <c r="AH46" s="208"/>
      <c r="AI46" s="208"/>
      <c r="AJ46" s="208"/>
      <c r="AK46" s="208"/>
    </row>
    <row r="47">
      <c r="A47" s="314">
        <f>IFERROR(__xludf.DUMMYFUNCTION("""COMPUTED_VALUE"""),46145.0)</f>
        <v>46145</v>
      </c>
      <c r="B47" s="238">
        <f>IFERROR(__xludf.DUMMYFUNCTION("""COMPUTED_VALUE"""),46145.45833333333)</f>
        <v>46145.45833</v>
      </c>
      <c r="C47" s="96" t="str">
        <f>IFERROR(__xludf.DUMMYFUNCTION("""COMPUTED_VALUE"""),"Rcs")</f>
        <v>Rcs</v>
      </c>
      <c r="D47" s="96" t="str">
        <f>IFERROR(__xludf.DUMMYFUNCTION("""COMPUTED_VALUE"""),"Fallback campaign")</f>
        <v>Fallback campaign</v>
      </c>
      <c r="E47" s="96" t="str">
        <f>IFERROR(__xludf.DUMMYFUNCTION("""COMPUTED_VALUE"""),"AGIPL")</f>
        <v>AGIPL</v>
      </c>
      <c r="F47" s="212" t="str">
        <f>IFERROR(__xludf.DUMMYFUNCTION("""COMPUTED_VALUE"""),"MAY BOGO 2026 1-3 MAY - B1G1")</f>
        <v>MAY BOGO 2026 1-3 MAY - B1G1</v>
      </c>
      <c r="G47" s="212" t="str">
        <f>IFERROR(__xludf.DUMMYFUNCTION("""COMPUTED_VALUE"""),"3rdMay_LD_BBW_Exclude_AL_onoff_2026")</f>
        <v>3rdMay_LD_BBW_Exclude_AL_onoff_2026</v>
      </c>
      <c r="H47" s="248" t="str">
        <f>IFERROR(__xludf.DUMMYFUNCTION("""COMPUTED_VALUE"""),"BBW_Exclude_AL_onoff_2026")</f>
        <v>BBW_Exclude_AL_onoff_2026</v>
      </c>
      <c r="I47" s="248" t="str">
        <f>IFERROR(__xludf.DUMMYFUNCTION("""COMPUTED_VALUE"""),"WA Undelivered")</f>
        <v>WA Undelivered</v>
      </c>
      <c r="J47" s="249">
        <f>IFERROR(__xludf.DUMMYFUNCTION("""COMPUTED_VALUE"""),104957.0)</f>
        <v>104957</v>
      </c>
      <c r="K47" s="250">
        <f>IFERROR(__xludf.DUMMYFUNCTION("""COMPUTED_VALUE"""),26571.0)</f>
        <v>26571</v>
      </c>
      <c r="L47" s="251">
        <f>IFERROR(__xludf.DUMMYFUNCTION("""COMPUTED_VALUE"""),0.253160818239851)</f>
        <v>0.2531608182</v>
      </c>
      <c r="M47" s="250">
        <f>IFERROR(__xludf.DUMMYFUNCTION("""COMPUTED_VALUE"""),3924.0)</f>
        <v>3924</v>
      </c>
      <c r="N47" s="252">
        <f>IFERROR(__xludf.DUMMYFUNCTION("""COMPUTED_VALUE"""),0.1479)</f>
        <v>0.1479</v>
      </c>
      <c r="O47" s="317">
        <f>IFERROR(__xludf.DUMMYFUNCTION("""COMPUTED_VALUE"""),72.0)</f>
        <v>72</v>
      </c>
      <c r="P47" s="317">
        <f>IFERROR(__xludf.DUMMYFUNCTION("""COMPUTED_VALUE"""),0.0)</f>
        <v>0</v>
      </c>
      <c r="Q47" s="214">
        <f>IFERROR(__xludf.DUMMYFUNCTION("""COMPUTED_VALUE"""),0.0028)</f>
        <v>0.0028</v>
      </c>
      <c r="R47" s="214">
        <f>IFERROR(__xludf.DUMMYFUNCTION("""COMPUTED_VALUE"""),0.0)</f>
        <v>0</v>
      </c>
      <c r="S47" s="101">
        <f>IFERROR(__xludf.DUMMYFUNCTION("""COMPUTED_VALUE"""),0.0)</f>
        <v>0</v>
      </c>
      <c r="T47" s="226">
        <f>IFERROR(__xludf.DUMMYFUNCTION("""COMPUTED_VALUE"""),0.0)</f>
        <v>0</v>
      </c>
      <c r="U47" s="224">
        <f>IFERROR(__xludf.DUMMYFUNCTION("""COMPUTED_VALUE"""),0.0)</f>
        <v>0</v>
      </c>
      <c r="V47" s="224" t="str">
        <f>IFERROR(__xludf.DUMMYFUNCTION("""COMPUTED_VALUE"""),"overall")</f>
        <v>overall</v>
      </c>
      <c r="W47" s="229" t="str">
        <f>IFERROR(__xludf.DUMMYFUNCTION("""COMPUTED_VALUE"""),"rcs")</f>
        <v>rcs</v>
      </c>
      <c r="X47" s="229" t="str">
        <f>IFERROR(__xludf.DUMMYFUNCTION("""COMPUTED_VALUE"""),"BBW Base - 2026")</f>
        <v>BBW Base - 2026</v>
      </c>
      <c r="Y47" s="229" t="str">
        <f>IFERROR(__xludf.DUMMYFUNCTION("""COMPUTED_VALUE"""),"1st May - 4TH May")</f>
        <v>1st May - 4TH May</v>
      </c>
      <c r="Z47" s="229" t="str">
        <f>IFERROR(__xludf.DUMMYFUNCTION("""COMPUTED_VALUE"""),"69f5adfa8912c89213206fa0")</f>
        <v>69f5adfa8912c89213206fa0</v>
      </c>
      <c r="AA47" s="229"/>
      <c r="AB47" s="229"/>
      <c r="AC47" s="229"/>
      <c r="AD47" s="229"/>
      <c r="AE47" s="229"/>
      <c r="AF47" s="229"/>
      <c r="AG47" s="208"/>
      <c r="AH47" s="208"/>
      <c r="AI47" s="208"/>
      <c r="AJ47" s="208"/>
      <c r="AK47" s="208"/>
    </row>
    <row r="48">
      <c r="A48" s="306">
        <f>IFERROR(__xludf.DUMMYFUNCTION("""COMPUTED_VALUE"""),46145.0)</f>
        <v>46145</v>
      </c>
      <c r="B48" s="238">
        <f>IFERROR(__xludf.DUMMYFUNCTION("""COMPUTED_VALUE"""),46145.45833333333)</f>
        <v>46145.45833</v>
      </c>
      <c r="C48" s="96" t="str">
        <f>IFERROR(__xludf.DUMMYFUNCTION("""COMPUTED_VALUE"""),"Rcs")</f>
        <v>Rcs</v>
      </c>
      <c r="D48" s="96" t="str">
        <f>IFERROR(__xludf.DUMMYFUNCTION("""COMPUTED_VALUE"""),"Fallback campaign")</f>
        <v>Fallback campaign</v>
      </c>
      <c r="E48" s="96" t="str">
        <f>IFERROR(__xludf.DUMMYFUNCTION("""COMPUTED_VALUE"""),"AGIPL")</f>
        <v>AGIPL</v>
      </c>
      <c r="F48" s="212" t="str">
        <f>IFERROR(__xludf.DUMMYFUNCTION("""COMPUTED_VALUE"""),"MAY BOGO 2026 1-3 MAY - B1G1")</f>
        <v>MAY BOGO 2026 1-3 MAY - B1G1</v>
      </c>
      <c r="G48" s="212" t="str">
        <f>IFERROR(__xludf.DUMMYFUNCTION("""COMPUTED_VALUE"""),"3rdMay_LD_CK_Exc_AL_onoff")</f>
        <v>3rdMay_LD_CK_Exc_AL_onoff</v>
      </c>
      <c r="H48" s="254" t="str">
        <f>IFERROR(__xludf.DUMMYFUNCTION("""COMPUTED_VALUE"""),"CK_Exc_AL_onoff")</f>
        <v>CK_Exc_AL_onoff</v>
      </c>
      <c r="I48" s="254" t="str">
        <f>IFERROR(__xludf.DUMMYFUNCTION("""COMPUTED_VALUE"""),"WA Undelivered")</f>
        <v>WA Undelivered</v>
      </c>
      <c r="J48" s="249">
        <f>IFERROR(__xludf.DUMMYFUNCTION("""COMPUTED_VALUE"""),131650.0)</f>
        <v>131650</v>
      </c>
      <c r="K48" s="255">
        <f>IFERROR(__xludf.DUMMYFUNCTION("""COMPUTED_VALUE"""),21446.0)</f>
        <v>21446</v>
      </c>
      <c r="L48" s="256">
        <f>IFERROR(__xludf.DUMMYFUNCTION("""COMPUTED_VALUE"""),0.162901633118116)</f>
        <v>0.1629016331</v>
      </c>
      <c r="M48" s="255">
        <f>IFERROR(__xludf.DUMMYFUNCTION("""COMPUTED_VALUE"""),3480.0)</f>
        <v>3480</v>
      </c>
      <c r="N48" s="257">
        <f>IFERROR(__xludf.DUMMYFUNCTION("""COMPUTED_VALUE"""),0.1624)</f>
        <v>0.1624</v>
      </c>
      <c r="O48" s="317">
        <f>IFERROR(__xludf.DUMMYFUNCTION("""COMPUTED_VALUE"""),89.0)</f>
        <v>89</v>
      </c>
      <c r="P48" s="317">
        <f>IFERROR(__xludf.DUMMYFUNCTION("""COMPUTED_VALUE"""),0.0)</f>
        <v>0</v>
      </c>
      <c r="Q48" s="214">
        <f>IFERROR(__xludf.DUMMYFUNCTION("""COMPUTED_VALUE"""),0.0049)</f>
        <v>0.0049</v>
      </c>
      <c r="R48" s="214">
        <f>IFERROR(__xludf.DUMMYFUNCTION("""COMPUTED_VALUE"""),0.0)</f>
        <v>0</v>
      </c>
      <c r="S48" s="101">
        <f>IFERROR(__xludf.DUMMYFUNCTION("""COMPUTED_VALUE"""),0.0)</f>
        <v>0</v>
      </c>
      <c r="T48" s="226">
        <f>IFERROR(__xludf.DUMMYFUNCTION("""COMPUTED_VALUE"""),0.0)</f>
        <v>0</v>
      </c>
      <c r="U48" s="224">
        <f>IFERROR(__xludf.DUMMYFUNCTION("""COMPUTED_VALUE"""),0.0)</f>
        <v>0</v>
      </c>
      <c r="V48" s="224" t="str">
        <f>IFERROR(__xludf.DUMMYFUNCTION("""COMPUTED_VALUE"""),"overall")</f>
        <v>overall</v>
      </c>
      <c r="W48" s="229" t="str">
        <f>IFERROR(__xludf.DUMMYFUNCTION("""COMPUTED_VALUE"""),"rcs")</f>
        <v>rcs</v>
      </c>
      <c r="X48" s="229" t="str">
        <f>IFERROR(__xludf.DUMMYFUNCTION("""COMPUTED_VALUE"""),"CK Base")</f>
        <v>CK Base</v>
      </c>
      <c r="Y48" s="229" t="str">
        <f>IFERROR(__xludf.DUMMYFUNCTION("""COMPUTED_VALUE"""),"1st May - 4TH May")</f>
        <v>1st May - 4TH May</v>
      </c>
      <c r="Z48" s="229" t="str">
        <f>IFERROR(__xludf.DUMMYFUNCTION("""COMPUTED_VALUE"""),"69f5ae2b7ab6607b88bbf851")</f>
        <v>69f5ae2b7ab6607b88bbf851</v>
      </c>
      <c r="AA48" s="229"/>
      <c r="AB48" s="229"/>
      <c r="AC48" s="229"/>
      <c r="AD48" s="229"/>
      <c r="AE48" s="229"/>
      <c r="AF48" s="229"/>
      <c r="AG48" s="208"/>
      <c r="AH48" s="208"/>
      <c r="AI48" s="208"/>
      <c r="AJ48" s="208"/>
      <c r="AK48" s="208"/>
    </row>
    <row r="49">
      <c r="A49" s="306">
        <f>IFERROR(__xludf.DUMMYFUNCTION("""COMPUTED_VALUE"""),46160.0)</f>
        <v>46160</v>
      </c>
      <c r="B49" s="238">
        <f>IFERROR(__xludf.DUMMYFUNCTION("""COMPUTED_VALUE"""),0.4375)</f>
        <v>0.4375</v>
      </c>
      <c r="C49" s="96" t="str">
        <f>IFERROR(__xludf.DUMMYFUNCTION("""COMPUTED_VALUE"""),"Whatsapp")</f>
        <v>Whatsapp</v>
      </c>
      <c r="D49" s="96" t="str">
        <f>IFERROR(__xludf.DUMMYFUNCTION("""COMPUTED_VALUE"""),"Promotional")</f>
        <v>Promotional</v>
      </c>
      <c r="E49" s="96" t="str">
        <f>IFERROR(__xludf.DUMMYFUNCTION("""COMPUTED_VALUE"""),"AGIPL")</f>
        <v>AGIPL</v>
      </c>
      <c r="F49" s="212" t="str">
        <f>IFERROR(__xludf.DUMMYFUNCTION("""COMPUTED_VALUE"""),"No Brief")</f>
        <v>No Brief</v>
      </c>
      <c r="G49" s="212" t="str">
        <f>IFERROR(__xludf.DUMMYFUNCTION("""COMPUTED_VALUE"""),"FnFSummerSale_AG")</f>
        <v>FnFSummerSale_AG</v>
      </c>
      <c r="H49" s="258" t="str">
        <f>IFERROR(__xludf.DUMMYFUNCTION("""COMPUTED_VALUE"""),"AGIPL_IDs")</f>
        <v>AGIPL_IDs</v>
      </c>
      <c r="I49" s="254" t="str">
        <f>IFERROR(__xludf.DUMMYFUNCTION("""COMPUTED_VALUE"""),"No Brief")</f>
        <v>No Brief</v>
      </c>
      <c r="J49" s="249">
        <f>IFERROR(__xludf.DUMMYFUNCTION("""COMPUTED_VALUE"""),2549.0)</f>
        <v>2549</v>
      </c>
      <c r="K49" s="255">
        <f>IFERROR(__xludf.DUMMYFUNCTION("""COMPUTED_VALUE"""),1625.0)</f>
        <v>1625</v>
      </c>
      <c r="L49" s="256">
        <f>IFERROR(__xludf.DUMMYFUNCTION("""COMPUTED_VALUE"""),0.638)</f>
        <v>0.638</v>
      </c>
      <c r="M49" s="255">
        <f>IFERROR(__xludf.DUMMYFUNCTION("""COMPUTED_VALUE"""),1279.0)</f>
        <v>1279</v>
      </c>
      <c r="N49" s="257">
        <f>IFERROR(__xludf.DUMMYFUNCTION("""COMPUTED_VALUE"""),0.7871)</f>
        <v>0.7871</v>
      </c>
      <c r="O49" s="317">
        <f>IFERROR(__xludf.DUMMYFUNCTION("""COMPUTED_VALUE"""),1245.0)</f>
        <v>1245</v>
      </c>
      <c r="P49" s="317">
        <f>IFERROR(__xludf.DUMMYFUNCTION("""COMPUTED_VALUE"""),686.0)</f>
        <v>686</v>
      </c>
      <c r="Q49" s="214">
        <f>IFERROR(__xludf.DUMMYFUNCTION("""COMPUTED_VALUE"""),0.4222)</f>
        <v>0.4222</v>
      </c>
      <c r="R49" s="214">
        <f>IFERROR(__xludf.DUMMYFUNCTION("""COMPUTED_VALUE"""),0.5364)</f>
        <v>0.5364</v>
      </c>
      <c r="S49" s="101">
        <f>IFERROR(__xludf.DUMMYFUNCTION("""COMPUTED_VALUE"""),0.0)</f>
        <v>0</v>
      </c>
      <c r="T49" s="226">
        <f>IFERROR(__xludf.DUMMYFUNCTION("""COMPUTED_VALUE"""),0.0)</f>
        <v>0</v>
      </c>
      <c r="U49" s="224">
        <f>IFERROR(__xludf.DUMMYFUNCTION("""COMPUTED_VALUE"""),0.0)</f>
        <v>0</v>
      </c>
      <c r="V49" s="224" t="str">
        <f>IFERROR(__xludf.DUMMYFUNCTION("""COMPUTED_VALUE"""),"overall")</f>
        <v>overall</v>
      </c>
      <c r="W49" s="229" t="str">
        <f>IFERROR(__xludf.DUMMYFUNCTION("""COMPUTED_VALUE"""),"Simple")</f>
        <v>Simple</v>
      </c>
      <c r="X49" s="229" t="str">
        <f>IFERROR(__xludf.DUMMYFUNCTION("""COMPUTED_VALUE"""),"No Brief")</f>
        <v>No Brief</v>
      </c>
      <c r="Y49" s="229" t="str">
        <f>IFERROR(__xludf.DUMMYFUNCTION("""COMPUTED_VALUE"""),"22nd May 2026")</f>
        <v>22nd May 2026</v>
      </c>
      <c r="Z49" s="229" t="str">
        <f>IFERROR(__xludf.DUMMYFUNCTION("""COMPUTED_VALUE"""),"6a070008f1a6befacd863b82")</f>
        <v>6a070008f1a6befacd863b82</v>
      </c>
      <c r="AA49" s="229">
        <f>IFERROR(__xludf.DUMMYFUNCTION("""COMPUTED_VALUE"""),24.0)</f>
        <v>24</v>
      </c>
      <c r="AB49" s="229">
        <f>IFERROR(__xludf.DUMMYFUNCTION("""COMPUTED_VALUE"""),3.0)</f>
        <v>3</v>
      </c>
      <c r="AC49" s="229">
        <f>IFERROR(__xludf.DUMMYFUNCTION("""COMPUTED_VALUE"""),21.0)</f>
        <v>21</v>
      </c>
      <c r="AD49" s="229">
        <f>IFERROR(__xludf.DUMMYFUNCTION("""COMPUTED_VALUE"""),62322.0)</f>
        <v>62322</v>
      </c>
      <c r="AE49" s="229">
        <f>IFERROR(__xludf.DUMMYFUNCTION("""COMPUTED_VALUE"""),11208.0)</f>
        <v>11208</v>
      </c>
      <c r="AF49" s="229">
        <f>IFERROR(__xludf.DUMMYFUNCTION("""COMPUTED_VALUE"""),51114.0)</f>
        <v>51114</v>
      </c>
      <c r="AG49" s="208"/>
      <c r="AH49" s="208"/>
      <c r="AI49" s="208"/>
      <c r="AJ49" s="208"/>
      <c r="AK49" s="208"/>
    </row>
    <row r="50">
      <c r="A50" s="306">
        <f>IFERROR(__xludf.DUMMYFUNCTION("""COMPUTED_VALUE"""),46161.0)</f>
        <v>46161</v>
      </c>
      <c r="B50" s="259">
        <f>IFERROR(__xludf.DUMMYFUNCTION("""COMPUTED_VALUE"""),0.375)</f>
        <v>0.375</v>
      </c>
      <c r="C50" s="96" t="str">
        <f>IFERROR(__xludf.DUMMYFUNCTION("""COMPUTED_VALUE"""),"Whatsapp")</f>
        <v>Whatsapp</v>
      </c>
      <c r="D50" s="96" t="str">
        <f>IFERROR(__xludf.DUMMYFUNCTION("""COMPUTED_VALUE"""),"Promotional")</f>
        <v>Promotional</v>
      </c>
      <c r="E50" s="96" t="str">
        <f>IFERROR(__xludf.DUMMYFUNCTION("""COMPUTED_VALUE"""),"AGIPL")</f>
        <v>AGIPL</v>
      </c>
      <c r="F50" s="212" t="str">
        <f>IFERROR(__xludf.DUMMYFUNCTION("""COMPUTED_VALUE"""),"Pune NSO PMC FA - NSO Campaign")</f>
        <v>Pune NSO PMC FA - NSO Campaign</v>
      </c>
      <c r="G50" s="212" t="str">
        <f>IFERROR(__xludf.DUMMYFUNCTION("""COMPUTED_VALUE"""),"Pune_NSO_ALDO_CX")</f>
        <v>Pune_NSO_ALDO_CX</v>
      </c>
      <c r="H50" s="10" t="str">
        <f>IFERROR(__xludf.DUMMYFUNCTION("""COMPUTED_VALUE"""),"AL_x_VS_Pune")</f>
        <v>AL_x_VS_Pune</v>
      </c>
      <c r="I50" s="10" t="str">
        <f>IFERROR(__xludf.DUMMYFUNCTION("""COMPUTED_VALUE"""),"Customers who have purchased at least 1 time with Txn_Brand: AL AND Txn_City: Pune")</f>
        <v>Customers who have purchased at least 1 time with Txn_Brand: AL AND Txn_City: Pune</v>
      </c>
      <c r="J50" s="260">
        <f>IFERROR(__xludf.DUMMYFUNCTION("""COMPUTED_VALUE"""),12653.0)</f>
        <v>12653</v>
      </c>
      <c r="K50" s="261">
        <f>IFERROR(__xludf.DUMMYFUNCTION("""COMPUTED_VALUE"""),6844.0)</f>
        <v>6844</v>
      </c>
      <c r="L50" s="214">
        <f>IFERROR(__xludf.DUMMYFUNCTION("""COMPUTED_VALUE"""),0.5408)</f>
        <v>0.5408</v>
      </c>
      <c r="M50" s="262">
        <f>IFERROR(__xludf.DUMMYFUNCTION("""COMPUTED_VALUE"""),2476.0)</f>
        <v>2476</v>
      </c>
      <c r="N50" s="263">
        <f>IFERROR(__xludf.DUMMYFUNCTION("""COMPUTED_VALUE"""),0.3618)</f>
        <v>0.3618</v>
      </c>
      <c r="O50" s="318">
        <f>IFERROR(__xludf.DUMMYFUNCTION("""COMPUTED_VALUE"""),81.0)</f>
        <v>81</v>
      </c>
      <c r="P50" s="213">
        <f>IFERROR(__xludf.DUMMYFUNCTION("""COMPUTED_VALUE"""),75.0)</f>
        <v>75</v>
      </c>
      <c r="Q50" s="214">
        <f>IFERROR(__xludf.DUMMYFUNCTION("""COMPUTED_VALUE"""),0.011)</f>
        <v>0.011</v>
      </c>
      <c r="R50" s="214">
        <f>IFERROR(__xludf.DUMMYFUNCTION("""COMPUTED_VALUE"""),0.0303)</f>
        <v>0.0303</v>
      </c>
      <c r="S50" s="101">
        <f>IFERROR(__xludf.DUMMYFUNCTION("""COMPUTED_VALUE"""),15.0)</f>
        <v>15</v>
      </c>
      <c r="T50" s="226">
        <f>IFERROR(__xludf.DUMMYFUNCTION("""COMPUTED_VALUE"""),0.0)</f>
        <v>0</v>
      </c>
      <c r="U50" s="224">
        <f>IFERROR(__xludf.DUMMYFUNCTION("""COMPUTED_VALUE"""),0.0)</f>
        <v>0</v>
      </c>
      <c r="V50" s="224" t="str">
        <f>IFERROR(__xludf.DUMMYFUNCTION("""COMPUTED_VALUE"""),"overall")</f>
        <v>overall</v>
      </c>
      <c r="W50" s="229" t="str">
        <f>IFERROR(__xludf.DUMMYFUNCTION("""COMPUTED_VALUE"""),"Simple")</f>
        <v>Simple</v>
      </c>
      <c r="X50" s="229" t="str">
        <f>IFERROR(__xludf.DUMMYFUNCTION("""COMPUTED_VALUE"""),"No Brief")</f>
        <v>No Brief</v>
      </c>
      <c r="Y50" s="229" t="str">
        <f>IFERROR(__xludf.DUMMYFUNCTION("""COMPUTED_VALUE"""),"19th - 24th May")</f>
        <v>19th - 24th May</v>
      </c>
      <c r="Z50" s="229" t="str">
        <f>IFERROR(__xludf.DUMMYFUNCTION("""COMPUTED_VALUE"""),"6a0afb96b4d8997eb02fb1ea")</f>
        <v>6a0afb96b4d8997eb02fb1ea</v>
      </c>
      <c r="AA50" s="229">
        <f>IFERROR(__xludf.DUMMYFUNCTION("""COMPUTED_VALUE"""),18.0)</f>
        <v>18</v>
      </c>
      <c r="AB50" s="229">
        <f>IFERROR(__xludf.DUMMYFUNCTION("""COMPUTED_VALUE"""),2.0)</f>
        <v>2</v>
      </c>
      <c r="AC50" s="229">
        <f>IFERROR(__xludf.DUMMYFUNCTION("""COMPUTED_VALUE"""),16.0)</f>
        <v>16</v>
      </c>
      <c r="AD50" s="229">
        <f>IFERROR(__xludf.DUMMYFUNCTION("""COMPUTED_VALUE"""),161661.0)</f>
        <v>161661</v>
      </c>
      <c r="AE50" s="229">
        <f>IFERROR(__xludf.DUMMYFUNCTION("""COMPUTED_VALUE"""),4884.0)</f>
        <v>4884</v>
      </c>
      <c r="AF50" s="229">
        <f>IFERROR(__xludf.DUMMYFUNCTION("""COMPUTED_VALUE"""),156777.0)</f>
        <v>156777</v>
      </c>
      <c r="AG50" s="208"/>
      <c r="AH50" s="208"/>
      <c r="AI50" s="208"/>
      <c r="AJ50" s="208"/>
      <c r="AK50" s="208"/>
    </row>
    <row r="51">
      <c r="A51" s="306">
        <f>IFERROR(__xludf.DUMMYFUNCTION("""COMPUTED_VALUE"""),46161.0)</f>
        <v>46161</v>
      </c>
      <c r="B51" s="259">
        <f>IFERROR(__xludf.DUMMYFUNCTION("""COMPUTED_VALUE"""),0.37847222222262644)</f>
        <v>0.3784722222</v>
      </c>
      <c r="C51" s="96" t="str">
        <f>IFERROR(__xludf.DUMMYFUNCTION("""COMPUTED_VALUE"""),"Whatsapp")</f>
        <v>Whatsapp</v>
      </c>
      <c r="D51" s="96" t="str">
        <f>IFERROR(__xludf.DUMMYFUNCTION("""COMPUTED_VALUE"""),"Promotional")</f>
        <v>Promotional</v>
      </c>
      <c r="E51" s="28" t="str">
        <f>IFERROR(__xludf.DUMMYFUNCTION("""COMPUTED_VALUE"""),"AGIPL")</f>
        <v>AGIPL</v>
      </c>
      <c r="F51" s="212" t="str">
        <f>IFERROR(__xludf.DUMMYFUNCTION("""COMPUTED_VALUE"""),"Pune NSO PMC FA - NSO Campaign")</f>
        <v>Pune NSO PMC FA - NSO Campaign</v>
      </c>
      <c r="G51" s="212" t="str">
        <f>IFERROR(__xludf.DUMMYFUNCTION("""COMPUTED_VALUE"""),"Pune_NSO_CK_CX")</f>
        <v>Pune_NSO_CK_CX</v>
      </c>
      <c r="H51" s="258" t="str">
        <f>IFERROR(__xludf.DUMMYFUNCTION("""COMPUTED_VALUE"""),"CK_x_VS_Pune")</f>
        <v>CK_x_VS_Pune</v>
      </c>
      <c r="I51" s="265" t="str">
        <f>IFERROR(__xludf.DUMMYFUNCTION("""COMPUTED_VALUE"""),"Customers who have purchased at least 1 time with Txn_Brand: CK AND Txn_City: Pune")</f>
        <v>Customers who have purchased at least 1 time with Txn_Brand: CK AND Txn_City: Pune</v>
      </c>
      <c r="J51" s="266">
        <f>IFERROR(__xludf.DUMMYFUNCTION("""COMPUTED_VALUE"""),5780.0)</f>
        <v>5780</v>
      </c>
      <c r="K51" s="261">
        <f>IFERROR(__xludf.DUMMYFUNCTION("""COMPUTED_VALUE"""),2843.0)</f>
        <v>2843</v>
      </c>
      <c r="L51" s="214">
        <f>IFERROR(__xludf.DUMMYFUNCTION("""COMPUTED_VALUE"""),0.4919)</f>
        <v>0.4919</v>
      </c>
      <c r="M51" s="261">
        <f>IFERROR(__xludf.DUMMYFUNCTION("""COMPUTED_VALUE"""),831.0)</f>
        <v>831</v>
      </c>
      <c r="N51" s="263">
        <f>IFERROR(__xludf.DUMMYFUNCTION("""COMPUTED_VALUE"""),0.2923)</f>
        <v>0.2923</v>
      </c>
      <c r="O51" s="213">
        <f>IFERROR(__xludf.DUMMYFUNCTION("""COMPUTED_VALUE"""),21.0)</f>
        <v>21</v>
      </c>
      <c r="P51" s="213">
        <f>IFERROR(__xludf.DUMMYFUNCTION("""COMPUTED_VALUE"""),16.0)</f>
        <v>16</v>
      </c>
      <c r="Q51" s="214">
        <f>IFERROR(__xludf.DUMMYFUNCTION("""COMPUTED_VALUE"""),0.0056)</f>
        <v>0.0056</v>
      </c>
      <c r="R51" s="214">
        <f>IFERROR(__xludf.DUMMYFUNCTION("""COMPUTED_VALUE"""),0.0193)</f>
        <v>0.0193</v>
      </c>
      <c r="S51" s="101">
        <f>IFERROR(__xludf.DUMMYFUNCTION("""COMPUTED_VALUE"""),11.0)</f>
        <v>11</v>
      </c>
      <c r="T51" s="226">
        <f>IFERROR(__xludf.DUMMYFUNCTION("""COMPUTED_VALUE"""),0.0)</f>
        <v>0</v>
      </c>
      <c r="U51" s="224">
        <f>IFERROR(__xludf.DUMMYFUNCTION("""COMPUTED_VALUE"""),0.0)</f>
        <v>0</v>
      </c>
      <c r="V51" s="224" t="str">
        <f>IFERROR(__xludf.DUMMYFUNCTION("""COMPUTED_VALUE"""),"overall")</f>
        <v>overall</v>
      </c>
      <c r="W51" s="229" t="str">
        <f>IFERROR(__xludf.DUMMYFUNCTION("""COMPUTED_VALUE"""),"Simple")</f>
        <v>Simple</v>
      </c>
      <c r="X51" s="229" t="str">
        <f>IFERROR(__xludf.DUMMYFUNCTION("""COMPUTED_VALUE"""),"No Brief")</f>
        <v>No Brief</v>
      </c>
      <c r="Y51" s="229" t="str">
        <f>IFERROR(__xludf.DUMMYFUNCTION("""COMPUTED_VALUE"""),"19th - 24th May")</f>
        <v>19th - 24th May</v>
      </c>
      <c r="Z51" s="229" t="str">
        <f>IFERROR(__xludf.DUMMYFUNCTION("""COMPUTED_VALUE"""),"6a0afbef65eb6c8bad30427c")</f>
        <v>6a0afbef65eb6c8bad30427c</v>
      </c>
      <c r="AA51" s="229">
        <f>IFERROR(__xludf.DUMMYFUNCTION("""COMPUTED_VALUE"""),12.0)</f>
        <v>12</v>
      </c>
      <c r="AB51" s="229">
        <f>IFERROR(__xludf.DUMMYFUNCTION("""COMPUTED_VALUE"""),4.0)</f>
        <v>4</v>
      </c>
      <c r="AC51" s="229">
        <f>IFERROR(__xludf.DUMMYFUNCTION("""COMPUTED_VALUE"""),8.0)</f>
        <v>8</v>
      </c>
      <c r="AD51" s="229">
        <f>IFERROR(__xludf.DUMMYFUNCTION("""COMPUTED_VALUE"""),91237.0)</f>
        <v>91237</v>
      </c>
      <c r="AE51" s="229">
        <f>IFERROR(__xludf.DUMMYFUNCTION("""COMPUTED_VALUE"""),20091.0)</f>
        <v>20091</v>
      </c>
      <c r="AF51" s="229">
        <f>IFERROR(__xludf.DUMMYFUNCTION("""COMPUTED_VALUE"""),71146.0)</f>
        <v>71146</v>
      </c>
      <c r="AG51" s="208"/>
      <c r="AH51" s="208"/>
      <c r="AI51" s="208"/>
      <c r="AJ51" s="208"/>
      <c r="AK51" s="208"/>
    </row>
    <row r="52">
      <c r="A52" s="306">
        <f>IFERROR(__xludf.DUMMYFUNCTION("""COMPUTED_VALUE"""),46161.0)</f>
        <v>46161</v>
      </c>
      <c r="B52" s="238">
        <f>IFERROR(__xludf.DUMMYFUNCTION("""COMPUTED_VALUE"""),0.9375)</f>
        <v>0.9375</v>
      </c>
      <c r="C52" s="96" t="str">
        <f>IFERROR(__xludf.DUMMYFUNCTION("""COMPUTED_VALUE"""),"Sms")</f>
        <v>Sms</v>
      </c>
      <c r="D52" s="96" t="str">
        <f>IFERROR(__xludf.DUMMYFUNCTION("""COMPUTED_VALUE"""),"Fallback campaign")</f>
        <v>Fallback campaign</v>
      </c>
      <c r="E52" s="96" t="str">
        <f>IFERROR(__xludf.DUMMYFUNCTION("""COMPUTED_VALUE"""),"AGIPL")</f>
        <v>AGIPL</v>
      </c>
      <c r="F52" s="212" t="str">
        <f>IFERROR(__xludf.DUMMYFUNCTION("""COMPUTED_VALUE"""),"Pune NSO PMC FA - NSO Campaign")</f>
        <v>Pune NSO PMC FA - NSO Campaign</v>
      </c>
      <c r="G52" s="212" t="str">
        <f>IFERROR(__xludf.DUMMYFUNCTION("""COMPUTED_VALUE"""),"Pune_NSO_ALDO_CX (FB)")</f>
        <v>Pune_NSO_ALDO_CX (FB)</v>
      </c>
      <c r="H52" s="248" t="str">
        <f>IFERROR(__xludf.DUMMYFUNCTION("""COMPUTED_VALUE"""),"AL_x_VS_Pune")</f>
        <v>AL_x_VS_Pune</v>
      </c>
      <c r="I52" s="267" t="str">
        <f>IFERROR(__xludf.DUMMYFUNCTION("""COMPUTED_VALUE"""),"WA Undelivered")</f>
        <v>WA Undelivered</v>
      </c>
      <c r="J52" s="249">
        <f>IFERROR(__xludf.DUMMYFUNCTION("""COMPUTED_VALUE"""),5408.0)</f>
        <v>5408</v>
      </c>
      <c r="K52" s="250">
        <f>IFERROR(__xludf.DUMMYFUNCTION("""COMPUTED_VALUE"""),2978.0)</f>
        <v>2978</v>
      </c>
      <c r="L52" s="251">
        <f>IFERROR(__xludf.DUMMYFUNCTION("""COMPUTED_VALUE"""),0.5507)</f>
        <v>0.5507</v>
      </c>
      <c r="M52" s="250">
        <f>IFERROR(__xludf.DUMMYFUNCTION("""COMPUTED_VALUE"""),0.0)</f>
        <v>0</v>
      </c>
      <c r="N52" s="252">
        <f>IFERROR(__xludf.DUMMYFUNCTION("""COMPUTED_VALUE"""),0.0)</f>
        <v>0</v>
      </c>
      <c r="O52" s="317">
        <f>IFERROR(__xludf.DUMMYFUNCTION("""COMPUTED_VALUE"""),3.0)</f>
        <v>3</v>
      </c>
      <c r="P52" s="317">
        <f>IFERROR(__xludf.DUMMYFUNCTION("""COMPUTED_VALUE"""),0.0)</f>
        <v>0</v>
      </c>
      <c r="Q52" s="214">
        <f>IFERROR(__xludf.DUMMYFUNCTION("""COMPUTED_VALUE"""),0.001)</f>
        <v>0.001</v>
      </c>
      <c r="R52" s="214">
        <f>IFERROR(__xludf.DUMMYFUNCTION("""COMPUTED_VALUE"""),0.0)</f>
        <v>0</v>
      </c>
      <c r="S52" s="101">
        <f>IFERROR(__xludf.DUMMYFUNCTION("""COMPUTED_VALUE"""),2.0)</f>
        <v>2</v>
      </c>
      <c r="T52" s="226">
        <f>IFERROR(__xludf.DUMMYFUNCTION("""COMPUTED_VALUE"""),0.0)</f>
        <v>0</v>
      </c>
      <c r="U52" s="224">
        <f>IFERROR(__xludf.DUMMYFUNCTION("""COMPUTED_VALUE"""),7032.0)</f>
        <v>7032</v>
      </c>
      <c r="V52" s="224" t="str">
        <f>IFERROR(__xludf.DUMMYFUNCTION("""COMPUTED_VALUE"""),"overall")</f>
        <v>overall</v>
      </c>
      <c r="W52" s="229" t="str">
        <f>IFERROR(__xludf.DUMMYFUNCTION("""COMPUTED_VALUE"""),"SMS")</f>
        <v>SMS</v>
      </c>
      <c r="X52" s="229" t="str">
        <f>IFERROR(__xludf.DUMMYFUNCTION("""COMPUTED_VALUE"""),"No Brief")</f>
        <v>No Brief</v>
      </c>
      <c r="Y52" s="229" t="str">
        <f>IFERROR(__xludf.DUMMYFUNCTION("""COMPUTED_VALUE"""),"19th - 24th May")</f>
        <v>19th - 24th May</v>
      </c>
      <c r="Z52" s="229" t="str">
        <f>IFERROR(__xludf.DUMMYFUNCTION("""COMPUTED_VALUE"""),"6a0b0f696737efd09ac91742")</f>
        <v>6a0b0f696737efd09ac91742</v>
      </c>
      <c r="AA52" s="229">
        <f>IFERROR(__xludf.DUMMYFUNCTION("""COMPUTED_VALUE"""),6.0)</f>
        <v>6</v>
      </c>
      <c r="AB52" s="229">
        <f>IFERROR(__xludf.DUMMYFUNCTION("""COMPUTED_VALUE"""),2.0)</f>
        <v>2</v>
      </c>
      <c r="AC52" s="229">
        <f>IFERROR(__xludf.DUMMYFUNCTION("""COMPUTED_VALUE"""),4.0)</f>
        <v>4</v>
      </c>
      <c r="AD52" s="229">
        <f>IFERROR(__xludf.DUMMYFUNCTION("""COMPUTED_VALUE"""),64083.0)</f>
        <v>64083</v>
      </c>
      <c r="AE52" s="229">
        <f>IFERROR(__xludf.DUMMYFUNCTION("""COMPUTED_VALUE"""),3896.0)</f>
        <v>3896</v>
      </c>
      <c r="AF52" s="229">
        <f>IFERROR(__xludf.DUMMYFUNCTION("""COMPUTED_VALUE"""),60187.0)</f>
        <v>60187</v>
      </c>
      <c r="AG52" s="208"/>
      <c r="AH52" s="208"/>
      <c r="AI52" s="208"/>
      <c r="AJ52" s="208"/>
      <c r="AK52" s="208"/>
    </row>
    <row r="53">
      <c r="A53" s="306">
        <f>IFERROR(__xludf.DUMMYFUNCTION("""COMPUTED_VALUE"""),46161.0)</f>
        <v>46161</v>
      </c>
      <c r="B53" s="259">
        <f>IFERROR(__xludf.DUMMYFUNCTION("""COMPUTED_VALUE"""),0.9375)</f>
        <v>0.9375</v>
      </c>
      <c r="C53" s="96" t="str">
        <f>IFERROR(__xludf.DUMMYFUNCTION("""COMPUTED_VALUE"""),"Sms")</f>
        <v>Sms</v>
      </c>
      <c r="D53" s="96" t="str">
        <f>IFERROR(__xludf.DUMMYFUNCTION("""COMPUTED_VALUE"""),"Fallback campaign")</f>
        <v>Fallback campaign</v>
      </c>
      <c r="E53" s="28" t="str">
        <f>IFERROR(__xludf.DUMMYFUNCTION("""COMPUTED_VALUE"""),"AGIPL")</f>
        <v>AGIPL</v>
      </c>
      <c r="F53" s="212" t="str">
        <f>IFERROR(__xludf.DUMMYFUNCTION("""COMPUTED_VALUE"""),"Pune NSO PMC FA - NSO Campaign")</f>
        <v>Pune NSO PMC FA - NSO Campaign</v>
      </c>
      <c r="G53" s="212" t="str">
        <f>IFERROR(__xludf.DUMMYFUNCTION("""COMPUTED_VALUE"""),"Pune_NSO_CK_CX (FB)")</f>
        <v>Pune_NSO_CK_CX (FB)</v>
      </c>
      <c r="H53" s="258" t="str">
        <f>IFERROR(__xludf.DUMMYFUNCTION("""COMPUTED_VALUE"""),"CK_x_VS_Pune")</f>
        <v>CK_x_VS_Pune</v>
      </c>
      <c r="I53" s="265" t="str">
        <f>IFERROR(__xludf.DUMMYFUNCTION("""COMPUTED_VALUE"""),"WA Undelivered")</f>
        <v>WA Undelivered</v>
      </c>
      <c r="J53" s="266">
        <f>IFERROR(__xludf.DUMMYFUNCTION("""COMPUTED_VALUE"""),2633.0)</f>
        <v>2633</v>
      </c>
      <c r="K53" s="261">
        <f>IFERROR(__xludf.DUMMYFUNCTION("""COMPUTED_VALUE"""),1461.0)</f>
        <v>1461</v>
      </c>
      <c r="L53" s="214">
        <f>IFERROR(__xludf.DUMMYFUNCTION("""COMPUTED_VALUE"""),0.5549)</f>
        <v>0.5549</v>
      </c>
      <c r="M53" s="261">
        <f>IFERROR(__xludf.DUMMYFUNCTION("""COMPUTED_VALUE"""),0.0)</f>
        <v>0</v>
      </c>
      <c r="N53" s="263">
        <f>IFERROR(__xludf.DUMMYFUNCTION("""COMPUTED_VALUE"""),0.0)</f>
        <v>0</v>
      </c>
      <c r="O53" s="213">
        <f>IFERROR(__xludf.DUMMYFUNCTION("""COMPUTED_VALUE"""),6.0)</f>
        <v>6</v>
      </c>
      <c r="P53" s="213">
        <f>IFERROR(__xludf.DUMMYFUNCTION("""COMPUTED_VALUE"""),0.0)</f>
        <v>0</v>
      </c>
      <c r="Q53" s="214">
        <f>IFERROR(__xludf.DUMMYFUNCTION("""COMPUTED_VALUE"""),0.0041)</f>
        <v>0.0041</v>
      </c>
      <c r="R53" s="214">
        <f>IFERROR(__xludf.DUMMYFUNCTION("""COMPUTED_VALUE"""),0.0)</f>
        <v>0</v>
      </c>
      <c r="S53" s="101">
        <f>IFERROR(__xludf.DUMMYFUNCTION("""COMPUTED_VALUE"""),0.0)</f>
        <v>0</v>
      </c>
      <c r="T53" s="226">
        <f>IFERROR(__xludf.DUMMYFUNCTION("""COMPUTED_VALUE"""),0.0)</f>
        <v>0</v>
      </c>
      <c r="U53" s="224">
        <f>IFERROR(__xludf.DUMMYFUNCTION("""COMPUTED_VALUE"""),0.0)</f>
        <v>0</v>
      </c>
      <c r="V53" s="224" t="str">
        <f>IFERROR(__xludf.DUMMYFUNCTION("""COMPUTED_VALUE"""),"overall")</f>
        <v>overall</v>
      </c>
      <c r="W53" s="229" t="str">
        <f>IFERROR(__xludf.DUMMYFUNCTION("""COMPUTED_VALUE"""),"SMS")</f>
        <v>SMS</v>
      </c>
      <c r="X53" s="229" t="str">
        <f>IFERROR(__xludf.DUMMYFUNCTION("""COMPUTED_VALUE"""),"No Brief")</f>
        <v>No Brief</v>
      </c>
      <c r="Y53" s="229" t="str">
        <f>IFERROR(__xludf.DUMMYFUNCTION("""COMPUTED_VALUE"""),"19th - 24th May")</f>
        <v>19th - 24th May</v>
      </c>
      <c r="Z53" s="229" t="str">
        <f>IFERROR(__xludf.DUMMYFUNCTION("""COMPUTED_VALUE"""),"6a0b103f3807ef083667c2a1")</f>
        <v>6a0b103f3807ef083667c2a1</v>
      </c>
      <c r="AA53" s="229">
        <f>IFERROR(__xludf.DUMMYFUNCTION("""COMPUTED_VALUE"""),6.0)</f>
        <v>6</v>
      </c>
      <c r="AB53" s="229">
        <f>IFERROR(__xludf.DUMMYFUNCTION("""COMPUTED_VALUE"""),0.0)</f>
        <v>0</v>
      </c>
      <c r="AC53" s="229">
        <f>IFERROR(__xludf.DUMMYFUNCTION("""COMPUTED_VALUE"""),6.0)</f>
        <v>6</v>
      </c>
      <c r="AD53" s="229">
        <f>IFERROR(__xludf.DUMMYFUNCTION("""COMPUTED_VALUE"""),94334.0)</f>
        <v>94334</v>
      </c>
      <c r="AE53" s="229">
        <f>IFERROR(__xludf.DUMMYFUNCTION("""COMPUTED_VALUE"""),0.0)</f>
        <v>0</v>
      </c>
      <c r="AF53" s="229">
        <f>IFERROR(__xludf.DUMMYFUNCTION("""COMPUTED_VALUE"""),94334.0)</f>
        <v>94334</v>
      </c>
      <c r="AG53" s="208"/>
      <c r="AH53" s="208"/>
      <c r="AI53" s="208"/>
      <c r="AJ53" s="208"/>
      <c r="AK53" s="208"/>
    </row>
    <row r="54">
      <c r="A54" s="306">
        <f>IFERROR(__xludf.DUMMYFUNCTION("""COMPUTED_VALUE"""),46161.0)</f>
        <v>46161</v>
      </c>
      <c r="B54" s="259">
        <f>IFERROR(__xludf.DUMMYFUNCTION("""COMPUTED_VALUE"""),0.5416666666678793)</f>
        <v>0.5416666667</v>
      </c>
      <c r="C54" s="96" t="str">
        <f>IFERROR(__xludf.DUMMYFUNCTION("""COMPUTED_VALUE"""),"Sms")</f>
        <v>Sms</v>
      </c>
      <c r="D54" s="96" t="str">
        <f>IFERROR(__xludf.DUMMYFUNCTION("""COMPUTED_VALUE"""),"Promtional")</f>
        <v>Promtional</v>
      </c>
      <c r="E54" s="28" t="str">
        <f>IFERROR(__xludf.DUMMYFUNCTION("""COMPUTED_VALUE"""),"AGIPL")</f>
        <v>AGIPL</v>
      </c>
      <c r="F54" s="212" t="str">
        <f>IFERROR(__xludf.DUMMYFUNCTION("""COMPUTED_VALUE"""),"No Brief")</f>
        <v>No Brief</v>
      </c>
      <c r="G54" s="212" t="str">
        <f>IFERROR(__xludf.DUMMYFUNCTION("""COMPUTED_VALUE"""),"FnFSummerSale_AG")</f>
        <v>FnFSummerSale_AG</v>
      </c>
      <c r="H54" s="258" t="str">
        <f>IFERROR(__xludf.DUMMYFUNCTION("""COMPUTED_VALUE"""),"AGIPL_IDs")</f>
        <v>AGIPL_IDs</v>
      </c>
      <c r="I54" s="265" t="str">
        <f>IFERROR(__xludf.DUMMYFUNCTION("""COMPUTED_VALUE"""),"No Brief")</f>
        <v>No Brief</v>
      </c>
      <c r="J54" s="266">
        <f>IFERROR(__xludf.DUMMYFUNCTION("""COMPUTED_VALUE"""),2554.0)</f>
        <v>2554</v>
      </c>
      <c r="K54" s="261">
        <f>IFERROR(__xludf.DUMMYFUNCTION("""COMPUTED_VALUE"""),2001.0)</f>
        <v>2001</v>
      </c>
      <c r="L54" s="214">
        <f>IFERROR(__xludf.DUMMYFUNCTION("""COMPUTED_VALUE"""),0.7835)</f>
        <v>0.7835</v>
      </c>
      <c r="M54" s="261">
        <f>IFERROR(__xludf.DUMMYFUNCTION("""COMPUTED_VALUE"""),0.0)</f>
        <v>0</v>
      </c>
      <c r="N54" s="263">
        <f>IFERROR(__xludf.DUMMYFUNCTION("""COMPUTED_VALUE"""),0.0)</f>
        <v>0</v>
      </c>
      <c r="O54" s="213">
        <f>IFERROR(__xludf.DUMMYFUNCTION("""COMPUTED_VALUE"""),0.0)</f>
        <v>0</v>
      </c>
      <c r="P54" s="213">
        <f>IFERROR(__xludf.DUMMYFUNCTION("""COMPUTED_VALUE"""),0.0)</f>
        <v>0</v>
      </c>
      <c r="Q54" s="214">
        <f>IFERROR(__xludf.DUMMYFUNCTION("""COMPUTED_VALUE"""),0.0)</f>
        <v>0</v>
      </c>
      <c r="R54" s="214">
        <f>IFERROR(__xludf.DUMMYFUNCTION("""COMPUTED_VALUE"""),0.0)</f>
        <v>0</v>
      </c>
      <c r="S54" s="101">
        <f>IFERROR(__xludf.DUMMYFUNCTION("""COMPUTED_VALUE"""),0.0)</f>
        <v>0</v>
      </c>
      <c r="T54" s="226">
        <f>IFERROR(__xludf.DUMMYFUNCTION("""COMPUTED_VALUE"""),0.0)</f>
        <v>0</v>
      </c>
      <c r="U54" s="224">
        <f>IFERROR(__xludf.DUMMYFUNCTION("""COMPUTED_VALUE"""),0.0)</f>
        <v>0</v>
      </c>
      <c r="V54" s="224" t="str">
        <f>IFERROR(__xludf.DUMMYFUNCTION("""COMPUTED_VALUE"""),"overall")</f>
        <v>overall</v>
      </c>
      <c r="W54" s="229" t="str">
        <f>IFERROR(__xludf.DUMMYFUNCTION("""COMPUTED_VALUE"""),"SMS")</f>
        <v>SMS</v>
      </c>
      <c r="X54" s="229" t="str">
        <f>IFERROR(__xludf.DUMMYFUNCTION("""COMPUTED_VALUE"""),"No Brief")</f>
        <v>No Brief</v>
      </c>
      <c r="Y54" s="229" t="str">
        <f>IFERROR(__xludf.DUMMYFUNCTION("""COMPUTED_VALUE"""),"22nd May 2026")</f>
        <v>22nd May 2026</v>
      </c>
      <c r="Z54" s="229" t="str">
        <f>IFERROR(__xludf.DUMMYFUNCTION("""COMPUTED_VALUE"""),"6a0c09316962ab240bd06c69")</f>
        <v>6a0c09316962ab240bd06c69</v>
      </c>
      <c r="AA54" s="229">
        <f>IFERROR(__xludf.DUMMYFUNCTION("""COMPUTED_VALUE"""),4.0)</f>
        <v>4</v>
      </c>
      <c r="AB54" s="229">
        <f>IFERROR(__xludf.DUMMYFUNCTION("""COMPUTED_VALUE"""),1.0)</f>
        <v>1</v>
      </c>
      <c r="AC54" s="229">
        <f>IFERROR(__xludf.DUMMYFUNCTION("""COMPUTED_VALUE"""),3.0)</f>
        <v>3</v>
      </c>
      <c r="AD54" s="229">
        <f>IFERROR(__xludf.DUMMYFUNCTION("""COMPUTED_VALUE"""),22478.0)</f>
        <v>22478</v>
      </c>
      <c r="AE54" s="229">
        <f>IFERROR(__xludf.DUMMYFUNCTION("""COMPUTED_VALUE"""),1098.0)</f>
        <v>1098</v>
      </c>
      <c r="AF54" s="229">
        <f>IFERROR(__xludf.DUMMYFUNCTION("""COMPUTED_VALUE"""),21380.0)</f>
        <v>21380</v>
      </c>
      <c r="AG54" s="208"/>
      <c r="AH54" s="208"/>
      <c r="AI54" s="208"/>
      <c r="AJ54" s="208"/>
      <c r="AK54" s="208"/>
    </row>
    <row r="55">
      <c r="A55" s="306">
        <f>IFERROR(__xludf.DUMMYFUNCTION("""COMPUTED_VALUE"""),46163.0)</f>
        <v>46163</v>
      </c>
      <c r="B55" s="238">
        <f>IFERROR(__xludf.DUMMYFUNCTION("""COMPUTED_VALUE"""),0.375)</f>
        <v>0.375</v>
      </c>
      <c r="C55" s="96" t="str">
        <f>IFERROR(__xludf.DUMMYFUNCTION("""COMPUTED_VALUE"""),"Whatsapp")</f>
        <v>Whatsapp</v>
      </c>
      <c r="D55" s="96" t="str">
        <f>IFERROR(__xludf.DUMMYFUNCTION("""COMPUTED_VALUE"""),"Promotional")</f>
        <v>Promotional</v>
      </c>
      <c r="E55" s="96" t="str">
        <f>IFERROR(__xludf.DUMMYFUNCTION("""COMPUTED_VALUE"""),"AGIPL")</f>
        <v>AGIPL</v>
      </c>
      <c r="F55" s="212" t="str">
        <f>IFERROR(__xludf.DUMMYFUNCTION("""COMPUTED_VALUE"""),"No Brief")</f>
        <v>No Brief</v>
      </c>
      <c r="G55" s="212" t="str">
        <f>IFERROR(__xludf.DUMMYFUNCTION("""COMPUTED_VALUE"""),"F&amp;F Clearance Sale_AG")</f>
        <v>F&amp;F Clearance Sale_AG</v>
      </c>
      <c r="H55" s="258" t="str">
        <f>IFERROR(__xludf.DUMMYFUNCTION("""COMPUTED_VALUE"""),"AGIPL_IDs")</f>
        <v>AGIPL_IDs</v>
      </c>
      <c r="I55" s="265" t="str">
        <f>IFERROR(__xludf.DUMMYFUNCTION("""COMPUTED_VALUE"""),"No Brief")</f>
        <v>No Brief</v>
      </c>
      <c r="J55" s="213">
        <f>IFERROR(__xludf.DUMMYFUNCTION("""COMPUTED_VALUE"""),2549.0)</f>
        <v>2549</v>
      </c>
      <c r="K55" s="261">
        <f>IFERROR(__xludf.DUMMYFUNCTION("""COMPUTED_VALUE"""),1709.0)</f>
        <v>1709</v>
      </c>
      <c r="L55" s="214">
        <f>IFERROR(__xludf.DUMMYFUNCTION("""COMPUTED_VALUE"""),0.6705)</f>
        <v>0.6705</v>
      </c>
      <c r="M55" s="261">
        <f>IFERROR(__xludf.DUMMYFUNCTION("""COMPUTED_VALUE"""),1319.0)</f>
        <v>1319</v>
      </c>
      <c r="N55" s="263">
        <f>IFERROR(__xludf.DUMMYFUNCTION("""COMPUTED_VALUE"""),0.7718)</f>
        <v>0.7718</v>
      </c>
      <c r="O55" s="213">
        <f>IFERROR(__xludf.DUMMYFUNCTION("""COMPUTED_VALUE"""),539.0)</f>
        <v>539</v>
      </c>
      <c r="P55" s="213">
        <f>IFERROR(__xludf.DUMMYFUNCTION("""COMPUTED_VALUE"""),378.0)</f>
        <v>378</v>
      </c>
      <c r="Q55" s="214">
        <f>IFERROR(__xludf.DUMMYFUNCTION("""COMPUTED_VALUE"""),0.2212)</f>
        <v>0.2212</v>
      </c>
      <c r="R55" s="214">
        <f>IFERROR(__xludf.DUMMYFUNCTION("""COMPUTED_VALUE"""),0.2866)</f>
        <v>0.2866</v>
      </c>
      <c r="S55" s="101">
        <f>IFERROR(__xludf.DUMMYFUNCTION("""COMPUTED_VALUE"""),0.0)</f>
        <v>0</v>
      </c>
      <c r="T55" s="226">
        <f>IFERROR(__xludf.DUMMYFUNCTION("""COMPUTED_VALUE"""),0.0)</f>
        <v>0</v>
      </c>
      <c r="U55" s="224">
        <f>IFERROR(__xludf.DUMMYFUNCTION("""COMPUTED_VALUE"""),0.0)</f>
        <v>0</v>
      </c>
      <c r="V55" s="224" t="str">
        <f>IFERROR(__xludf.DUMMYFUNCTION("""COMPUTED_VALUE"""),"overall")</f>
        <v>overall</v>
      </c>
      <c r="W55" s="229" t="str">
        <f>IFERROR(__xludf.DUMMYFUNCTION("""COMPUTED_VALUE"""),"Simple")</f>
        <v>Simple</v>
      </c>
      <c r="X55" s="229" t="str">
        <f>IFERROR(__xludf.DUMMYFUNCTION("""COMPUTED_VALUE"""),"No Brief")</f>
        <v>No Brief</v>
      </c>
      <c r="Y55" s="229" t="str">
        <f>IFERROR(__xludf.DUMMYFUNCTION("""COMPUTED_VALUE"""),"22nd May 2026")</f>
        <v>22nd May 2026</v>
      </c>
      <c r="Z55" s="229" t="str">
        <f>IFERROR(__xludf.DUMMYFUNCTION("""COMPUTED_VALUE"""),"6a0d4dce0900aa4a5042922b")</f>
        <v>6a0d4dce0900aa4a5042922b</v>
      </c>
      <c r="AA55" s="229">
        <f>IFERROR(__xludf.DUMMYFUNCTION("""COMPUTED_VALUE"""),26.0)</f>
        <v>26</v>
      </c>
      <c r="AB55" s="229">
        <f>IFERROR(__xludf.DUMMYFUNCTION("""COMPUTED_VALUE"""),4.0)</f>
        <v>4</v>
      </c>
      <c r="AC55" s="229">
        <f>IFERROR(__xludf.DUMMYFUNCTION("""COMPUTED_VALUE"""),22.0)</f>
        <v>22</v>
      </c>
      <c r="AD55" s="229">
        <f>IFERROR(__xludf.DUMMYFUNCTION("""COMPUTED_VALUE"""),95720.0)</f>
        <v>95720</v>
      </c>
      <c r="AE55" s="229">
        <f>IFERROR(__xludf.DUMMYFUNCTION("""COMPUTED_VALUE"""),12306.0)</f>
        <v>12306</v>
      </c>
      <c r="AF55" s="229">
        <f>IFERROR(__xludf.DUMMYFUNCTION("""COMPUTED_VALUE"""),83414.0)</f>
        <v>83414</v>
      </c>
      <c r="AG55" s="208"/>
      <c r="AH55" s="208"/>
      <c r="AI55" s="208"/>
      <c r="AJ55" s="208"/>
      <c r="AK55" s="208"/>
    </row>
    <row r="56">
      <c r="A56" s="245">
        <f>IFERROR(__xludf.DUMMYFUNCTION("""COMPUTED_VALUE"""),46163.0)</f>
        <v>46163</v>
      </c>
      <c r="B56" s="246">
        <f>IFERROR(__xludf.DUMMYFUNCTION("""COMPUTED_VALUE"""),0.4583333333321207)</f>
        <v>0.4583333333</v>
      </c>
      <c r="C56" s="222" t="str">
        <f>IFERROR(__xludf.DUMMYFUNCTION("""COMPUTED_VALUE"""),"Sms")</f>
        <v>Sms</v>
      </c>
      <c r="D56" s="222" t="str">
        <f>IFERROR(__xludf.DUMMYFUNCTION("""COMPUTED_VALUE"""),"Fallback campaign")</f>
        <v>Fallback campaign</v>
      </c>
      <c r="E56" s="222" t="str">
        <f>IFERROR(__xludf.DUMMYFUNCTION("""COMPUTED_VALUE"""),"AGIPL")</f>
        <v>AGIPL</v>
      </c>
      <c r="F56" s="222" t="str">
        <f>IFERROR(__xludf.DUMMYFUNCTION("""COMPUTED_VALUE"""),"No Brief")</f>
        <v>No Brief</v>
      </c>
      <c r="G56" s="221" t="str">
        <f>IFERROR(__xludf.DUMMYFUNCTION("""COMPUTED_VALUE"""),"F&amp;F Clearance Sale_AG_fallback")</f>
        <v>F&amp;F Clearance Sale_AG_fallback</v>
      </c>
      <c r="H56" s="223" t="str">
        <f>IFERROR(__xludf.DUMMYFUNCTION("""COMPUTED_VALUE"""),"AGIPL_IDs")</f>
        <v>AGIPL_IDs</v>
      </c>
      <c r="I56" s="223" t="str">
        <f>IFERROR(__xludf.DUMMYFUNCTION("""COMPUTED_VALUE"""),"WA Undelivered")</f>
        <v>WA Undelivered</v>
      </c>
      <c r="J56" s="224">
        <f>IFERROR(__xludf.DUMMYFUNCTION("""COMPUTED_VALUE"""),823.0)</f>
        <v>823</v>
      </c>
      <c r="K56" s="224">
        <f>IFERROR(__xludf.DUMMYFUNCTION("""COMPUTED_VALUE"""),644.0)</f>
        <v>644</v>
      </c>
      <c r="L56" s="225">
        <f>IFERROR(__xludf.DUMMYFUNCTION("""COMPUTED_VALUE"""),0.7825)</f>
        <v>0.7825</v>
      </c>
      <c r="M56" s="224">
        <f>IFERROR(__xludf.DUMMYFUNCTION("""COMPUTED_VALUE"""),0.0)</f>
        <v>0</v>
      </c>
      <c r="N56" s="225">
        <f>IFERROR(__xludf.DUMMYFUNCTION("""COMPUTED_VALUE"""),0.0)</f>
        <v>0</v>
      </c>
      <c r="O56" s="224">
        <f>IFERROR(__xludf.DUMMYFUNCTION("""COMPUTED_VALUE"""),0.0)</f>
        <v>0</v>
      </c>
      <c r="P56" s="224">
        <f>IFERROR(__xludf.DUMMYFUNCTION("""COMPUTED_VALUE"""),0.0)</f>
        <v>0</v>
      </c>
      <c r="Q56" s="225">
        <f>IFERROR(__xludf.DUMMYFUNCTION("""COMPUTED_VALUE"""),0.0)</f>
        <v>0</v>
      </c>
      <c r="R56" s="225">
        <f>IFERROR(__xludf.DUMMYFUNCTION("""COMPUTED_VALUE"""),0.0)</f>
        <v>0</v>
      </c>
      <c r="S56" s="226">
        <f>IFERROR(__xludf.DUMMYFUNCTION("""COMPUTED_VALUE"""),0.0)</f>
        <v>0</v>
      </c>
      <c r="T56" s="226">
        <f>IFERROR(__xludf.DUMMYFUNCTION("""COMPUTED_VALUE"""),0.0)</f>
        <v>0</v>
      </c>
      <c r="U56" s="224">
        <f>IFERROR(__xludf.DUMMYFUNCTION("""COMPUTED_VALUE"""),0.0)</f>
        <v>0</v>
      </c>
      <c r="V56" s="224" t="str">
        <f>IFERROR(__xludf.DUMMYFUNCTION("""COMPUTED_VALUE"""),"overall")</f>
        <v>overall</v>
      </c>
      <c r="W56" s="229" t="str">
        <f>IFERROR(__xludf.DUMMYFUNCTION("""COMPUTED_VALUE"""),"SMS")</f>
        <v>SMS</v>
      </c>
      <c r="X56" s="229" t="str">
        <f>IFERROR(__xludf.DUMMYFUNCTION("""COMPUTED_VALUE"""),"No Brief")</f>
        <v>No Brief</v>
      </c>
      <c r="Y56" s="229" t="str">
        <f>IFERROR(__xludf.DUMMYFUNCTION("""COMPUTED_VALUE"""),"22nd May 2026")</f>
        <v>22nd May 2026</v>
      </c>
      <c r="Z56" s="229" t="str">
        <f>IFERROR(__xludf.DUMMYFUNCTION("""COMPUTED_VALUE"""),"6a0d52c8b90eadf7e3db7c6e")</f>
        <v>6a0d52c8b90eadf7e3db7c6e</v>
      </c>
      <c r="AA56" s="229">
        <f>IFERROR(__xludf.DUMMYFUNCTION("""COMPUTED_VALUE"""),1.0)</f>
        <v>1</v>
      </c>
      <c r="AB56" s="229">
        <f>IFERROR(__xludf.DUMMYFUNCTION("""COMPUTED_VALUE"""),0.0)</f>
        <v>0</v>
      </c>
      <c r="AC56" s="229">
        <f>IFERROR(__xludf.DUMMYFUNCTION("""COMPUTED_VALUE"""),1.0)</f>
        <v>1</v>
      </c>
      <c r="AD56" s="229">
        <f>IFERROR(__xludf.DUMMYFUNCTION("""COMPUTED_VALUE"""),14002.0)</f>
        <v>14002</v>
      </c>
      <c r="AE56" s="229">
        <f>IFERROR(__xludf.DUMMYFUNCTION("""COMPUTED_VALUE"""),0.0)</f>
        <v>0</v>
      </c>
      <c r="AF56" s="229">
        <f>IFERROR(__xludf.DUMMYFUNCTION("""COMPUTED_VALUE"""),14002.0)</f>
        <v>14002</v>
      </c>
      <c r="AG56" s="208"/>
      <c r="AH56" s="208"/>
      <c r="AI56" s="208"/>
      <c r="AJ56" s="208"/>
      <c r="AK56" s="208"/>
    </row>
    <row r="57">
      <c r="A57" s="306">
        <f>IFERROR(__xludf.DUMMYFUNCTION("""COMPUTED_VALUE"""),46186.0)</f>
        <v>46186</v>
      </c>
      <c r="B57" s="238">
        <f>IFERROR(__xludf.DUMMYFUNCTION("""COMPUTED_VALUE"""),0.4166666666678793)</f>
        <v>0.4166666667</v>
      </c>
      <c r="C57" s="96" t="str">
        <f>IFERROR(__xludf.DUMMYFUNCTION("""COMPUTED_VALUE"""),"Sms")</f>
        <v>Sms</v>
      </c>
      <c r="D57" s="212" t="str">
        <f>IFERROR(__xludf.DUMMYFUNCTION("""COMPUTED_VALUE"""),"Promotional")</f>
        <v>Promotional</v>
      </c>
      <c r="E57" s="96" t="str">
        <f>IFERROR(__xludf.DUMMYFUNCTION("""COMPUTED_VALUE"""),"AGIPL")</f>
        <v>AGIPL</v>
      </c>
      <c r="F57" s="212" t="str">
        <f>IFERROR(__xludf.DUMMYFUNCTION("""COMPUTED_VALUE"""),"CROSSBRANDS_EOSS_JUNE2026 - EOSS30-70OFF")</f>
        <v>CROSSBRANDS_EOSS_JUNE2026 - EOSS30-70OFF</v>
      </c>
      <c r="G57" s="212" t="str">
        <f>IFERROR(__xludf.DUMMYFUNCTION("""COMPUTED_VALUE"""),"ALDO_SMS_AGIPL_VS")</f>
        <v>ALDO_SMS_AGIPL_VS</v>
      </c>
      <c r="H57" s="28" t="str">
        <f>IFERROR(__xludf.DUMMYFUNCTION("""COMPUTED_VALUE"""),"VS_Master_OnOff_Exclude_AL")</f>
        <v>VS_Master_OnOff_Exclude_AL</v>
      </c>
      <c r="I57" s="28" t="str">
        <f>IFERROR(__xludf.DUMMYFUNCTION("""COMPUTED_VALUE"""),"VS Base")</f>
        <v>VS Base</v>
      </c>
      <c r="J57" s="239">
        <f>IFERROR(__xludf.DUMMYFUNCTION("""COMPUTED_VALUE"""),231196.0)</f>
        <v>231196</v>
      </c>
      <c r="K57" s="240">
        <f>IFERROR(__xludf.DUMMYFUNCTION("""COMPUTED_VALUE"""),150354.0)</f>
        <v>150354</v>
      </c>
      <c r="L57" s="241">
        <f>IFERROR(__xludf.DUMMYFUNCTION("""COMPUTED_VALUE"""),0.6503)</f>
        <v>0.6503</v>
      </c>
      <c r="M57" s="240">
        <f>IFERROR(__xludf.DUMMYFUNCTION("""COMPUTED_VALUE"""),0.0)</f>
        <v>0</v>
      </c>
      <c r="N57" s="136">
        <f>IFERROR(__xludf.DUMMYFUNCTION("""COMPUTED_VALUE"""),0.0)</f>
        <v>0</v>
      </c>
      <c r="O57" s="239">
        <f>IFERROR(__xludf.DUMMYFUNCTION("""COMPUTED_VALUE"""),185.0)</f>
        <v>185</v>
      </c>
      <c r="P57" s="239">
        <f>IFERROR(__xludf.DUMMYFUNCTION("""COMPUTED_VALUE"""),0.0)</f>
        <v>0</v>
      </c>
      <c r="Q57" s="214">
        <f>IFERROR(__xludf.DUMMYFUNCTION("""COMPUTED_VALUE"""),0.0012)</f>
        <v>0.0012</v>
      </c>
      <c r="R57" s="214">
        <f>IFERROR(__xludf.DUMMYFUNCTION("""COMPUTED_VALUE"""),0.0)</f>
        <v>0</v>
      </c>
      <c r="S57" s="101">
        <f>IFERROR(__xludf.DUMMYFUNCTION("""COMPUTED_VALUE"""),55.0)</f>
        <v>55</v>
      </c>
      <c r="T57" s="222">
        <f>IFERROR(__xludf.DUMMYFUNCTION("""COMPUTED_VALUE"""),0.0)</f>
        <v>0</v>
      </c>
      <c r="U57" s="242">
        <f>IFERROR(__xludf.DUMMYFUNCTION("""COMPUTED_VALUE"""),268526.0)</f>
        <v>268526</v>
      </c>
      <c r="V57" s="242" t="str">
        <f>IFERROR(__xludf.DUMMYFUNCTION("""COMPUTED_VALUE"""),"overall")</f>
        <v>overall</v>
      </c>
      <c r="W57" s="243" t="str">
        <f>IFERROR(__xludf.DUMMYFUNCTION("""COMPUTED_VALUE"""),"Sms")</f>
        <v>Sms</v>
      </c>
      <c r="X57" s="243" t="str">
        <f>IFERROR(__xludf.DUMMYFUNCTION("""COMPUTED_VALUE"""),"VS Base")</f>
        <v>VS Base</v>
      </c>
      <c r="Y57" s="243" t="str">
        <f>IFERROR(__xludf.DUMMYFUNCTION("""COMPUTED_VALUE"""),"14th June 2026")</f>
        <v>14th June 2026</v>
      </c>
      <c r="Z57" s="243" t="str">
        <f>IFERROR(__xludf.DUMMYFUNCTION("""COMPUTED_VALUE"""),"6a2bc872629df978b5be649c")</f>
        <v>6a2bc872629df978b5be649c</v>
      </c>
      <c r="AA57" s="243">
        <f>IFERROR(__xludf.DUMMYFUNCTION("""COMPUTED_VALUE"""),20.0)</f>
        <v>20</v>
      </c>
      <c r="AB57" s="243">
        <f>IFERROR(__xludf.DUMMYFUNCTION("""COMPUTED_VALUE"""),5.0)</f>
        <v>5</v>
      </c>
      <c r="AC57" s="243">
        <f>IFERROR(__xludf.DUMMYFUNCTION("""COMPUTED_VALUE"""),15.0)</f>
        <v>15</v>
      </c>
      <c r="AD57" s="243">
        <f>IFERROR(__xludf.DUMMYFUNCTION("""COMPUTED_VALUE"""),145393.0)</f>
        <v>145393</v>
      </c>
      <c r="AE57" s="243">
        <f>IFERROR(__xludf.DUMMYFUNCTION("""COMPUTED_VALUE"""),37416.0)</f>
        <v>37416</v>
      </c>
      <c r="AF57" s="243">
        <f>IFERROR(__xludf.DUMMYFUNCTION("""COMPUTED_VALUE"""),107977.0)</f>
        <v>107977</v>
      </c>
      <c r="AG57" s="208"/>
      <c r="AH57" s="208"/>
      <c r="AI57" s="208"/>
      <c r="AJ57" s="208"/>
      <c r="AK57" s="208"/>
    </row>
    <row r="58">
      <c r="A58" s="306">
        <f>IFERROR(__xludf.DUMMYFUNCTION("""COMPUTED_VALUE"""),46186.0)</f>
        <v>46186</v>
      </c>
      <c r="B58" s="238">
        <f>IFERROR(__xludf.DUMMYFUNCTION("""COMPUTED_VALUE"""),0.4166666666678793)</f>
        <v>0.4166666667</v>
      </c>
      <c r="C58" s="96" t="str">
        <f>IFERROR(__xludf.DUMMYFUNCTION("""COMPUTED_VALUE"""),"Sms")</f>
        <v>Sms</v>
      </c>
      <c r="D58" s="212" t="str">
        <f>IFERROR(__xludf.DUMMYFUNCTION("""COMPUTED_VALUE"""),"Promotional")</f>
        <v>Promotional</v>
      </c>
      <c r="E58" s="96" t="str">
        <f>IFERROR(__xludf.DUMMYFUNCTION("""COMPUTED_VALUE"""),"AGIPL")</f>
        <v>AGIPL</v>
      </c>
      <c r="F58" s="212" t="str">
        <f>IFERROR(__xludf.DUMMYFUNCTION("""COMPUTED_VALUE"""),"CROSSBRANDS_EOSS_JUNE2026 - EOSS30-70OFF")</f>
        <v>CROSSBRANDS_EOSS_JUNE2026 - EOSS30-70OFF</v>
      </c>
      <c r="G58" s="212" t="str">
        <f>IFERROR(__xludf.DUMMYFUNCTION("""COMPUTED_VALUE"""),"ALDO_BBW23_AGIPL_SMS")</f>
        <v>ALDO_BBW23_AGIPL_SMS</v>
      </c>
      <c r="H58" s="28" t="str">
        <f>IFERROR(__xludf.DUMMYFUNCTION("""COMPUTED_VALUE"""),"BBW_Exclude_AL_onoff_2023")</f>
        <v>BBW_Exclude_AL_onoff_2023</v>
      </c>
      <c r="I58" s="28" t="str">
        <f>IFERROR(__xludf.DUMMYFUNCTION("""COMPUTED_VALUE"""),"BBW Base")</f>
        <v>BBW Base</v>
      </c>
      <c r="J58" s="239">
        <f>IFERROR(__xludf.DUMMYFUNCTION("""COMPUTED_VALUE"""),119007.0)</f>
        <v>119007</v>
      </c>
      <c r="K58" s="240">
        <f>IFERROR(__xludf.DUMMYFUNCTION("""COMPUTED_VALUE"""),67366.0)</f>
        <v>67366</v>
      </c>
      <c r="L58" s="241">
        <f>IFERROR(__xludf.DUMMYFUNCTION("""COMPUTED_VALUE"""),0.5661)</f>
        <v>0.5661</v>
      </c>
      <c r="M58" s="240">
        <f>IFERROR(__xludf.DUMMYFUNCTION("""COMPUTED_VALUE"""),0.0)</f>
        <v>0</v>
      </c>
      <c r="N58" s="136">
        <f>IFERROR(__xludf.DUMMYFUNCTION("""COMPUTED_VALUE"""),0.0)</f>
        <v>0</v>
      </c>
      <c r="O58" s="239">
        <f>IFERROR(__xludf.DUMMYFUNCTION("""COMPUTED_VALUE"""),77.0)</f>
        <v>77</v>
      </c>
      <c r="P58" s="239">
        <f>IFERROR(__xludf.DUMMYFUNCTION("""COMPUTED_VALUE"""),0.0)</f>
        <v>0</v>
      </c>
      <c r="Q58" s="214">
        <f>IFERROR(__xludf.DUMMYFUNCTION("""COMPUTED_VALUE"""),0.0011)</f>
        <v>0.0011</v>
      </c>
      <c r="R58" s="214">
        <f>IFERROR(__xludf.DUMMYFUNCTION("""COMPUTED_VALUE"""),0.0)</f>
        <v>0</v>
      </c>
      <c r="S58" s="101">
        <f>IFERROR(__xludf.DUMMYFUNCTION("""COMPUTED_VALUE"""),63.0)</f>
        <v>63</v>
      </c>
      <c r="T58" s="222">
        <f>IFERROR(__xludf.DUMMYFUNCTION("""COMPUTED_VALUE"""),0.0)</f>
        <v>0</v>
      </c>
      <c r="U58" s="242">
        <f>IFERROR(__xludf.DUMMYFUNCTION("""COMPUTED_VALUE"""),155557.0)</f>
        <v>155557</v>
      </c>
      <c r="V58" s="242" t="str">
        <f>IFERROR(__xludf.DUMMYFUNCTION("""COMPUTED_VALUE"""),"overall")</f>
        <v>overall</v>
      </c>
      <c r="W58" s="243" t="str">
        <f>IFERROR(__xludf.DUMMYFUNCTION("""COMPUTED_VALUE"""),"Sms")</f>
        <v>Sms</v>
      </c>
      <c r="X58" s="243" t="str">
        <f>IFERROR(__xludf.DUMMYFUNCTION("""COMPUTED_VALUE"""),"BBW Base - 2023")</f>
        <v>BBW Base - 2023</v>
      </c>
      <c r="Y58" s="243" t="str">
        <f>IFERROR(__xludf.DUMMYFUNCTION("""COMPUTED_VALUE"""),"14th June 2026")</f>
        <v>14th June 2026</v>
      </c>
      <c r="Z58" s="243" t="str">
        <f>IFERROR(__xludf.DUMMYFUNCTION("""COMPUTED_VALUE"""),"6a2bc8a16fd0c95ab75f9888")</f>
        <v>6a2bc8a16fd0c95ab75f9888</v>
      </c>
      <c r="AA58" s="243">
        <f>IFERROR(__xludf.DUMMYFUNCTION("""COMPUTED_VALUE"""),4.0)</f>
        <v>4</v>
      </c>
      <c r="AB58" s="243">
        <f>IFERROR(__xludf.DUMMYFUNCTION("""COMPUTED_VALUE"""),2.0)</f>
        <v>2</v>
      </c>
      <c r="AC58" s="243">
        <f>IFERROR(__xludf.DUMMYFUNCTION("""COMPUTED_VALUE"""),2.0)</f>
        <v>2</v>
      </c>
      <c r="AD58" s="243">
        <f>IFERROR(__xludf.DUMMYFUNCTION("""COMPUTED_VALUE"""),47776.0)</f>
        <v>47776</v>
      </c>
      <c r="AE58" s="243">
        <f>IFERROR(__xludf.DUMMYFUNCTION("""COMPUTED_VALUE"""),33396.0)</f>
        <v>33396</v>
      </c>
      <c r="AF58" s="243">
        <f>IFERROR(__xludf.DUMMYFUNCTION("""COMPUTED_VALUE"""),14380.0)</f>
        <v>14380</v>
      </c>
      <c r="AG58" s="208"/>
      <c r="AH58" s="208"/>
      <c r="AI58" s="208"/>
      <c r="AJ58" s="208"/>
      <c r="AK58" s="208"/>
    </row>
    <row r="59">
      <c r="A59" s="245">
        <f>IFERROR(__xludf.DUMMYFUNCTION("""COMPUTED_VALUE"""),46186.0)</f>
        <v>46186</v>
      </c>
      <c r="B59" s="246">
        <f>IFERROR(__xludf.DUMMYFUNCTION("""COMPUTED_VALUE"""),0.4166666666678793)</f>
        <v>0.4166666667</v>
      </c>
      <c r="C59" s="222" t="str">
        <f>IFERROR(__xludf.DUMMYFUNCTION("""COMPUTED_VALUE"""),"Sms")</f>
        <v>Sms</v>
      </c>
      <c r="D59" s="222" t="str">
        <f>IFERROR(__xludf.DUMMYFUNCTION("""COMPUTED_VALUE"""),"Promotional")</f>
        <v>Promotional</v>
      </c>
      <c r="E59" s="222" t="str">
        <f>IFERROR(__xludf.DUMMYFUNCTION("""COMPUTED_VALUE"""),"AGIPL")</f>
        <v>AGIPL</v>
      </c>
      <c r="F59" s="222" t="str">
        <f>IFERROR(__xludf.DUMMYFUNCTION("""COMPUTED_VALUE"""),"CROSSBRANDS_EOSS_JUNE2026 - EOSS30-70OFF")</f>
        <v>CROSSBRANDS_EOSS_JUNE2026 - EOSS30-70OFF</v>
      </c>
      <c r="G59" s="221" t="str">
        <f>IFERROR(__xludf.DUMMYFUNCTION("""COMPUTED_VALUE"""),"AL_BBW24_AGIPL_SMS")</f>
        <v>AL_BBW24_AGIPL_SMS</v>
      </c>
      <c r="H59" s="223" t="str">
        <f>IFERROR(__xludf.DUMMYFUNCTION("""COMPUTED_VALUE"""),"BBW_Exclude_AL_onoff_2024")</f>
        <v>BBW_Exclude_AL_onoff_2024</v>
      </c>
      <c r="I59" s="223" t="str">
        <f>IFERROR(__xludf.DUMMYFUNCTION("""COMPUTED_VALUE"""),"BBW Base")</f>
        <v>BBW Base</v>
      </c>
      <c r="J59" s="224">
        <f>IFERROR(__xludf.DUMMYFUNCTION("""COMPUTED_VALUE"""),290497.0)</f>
        <v>290497</v>
      </c>
      <c r="K59" s="224">
        <f>IFERROR(__xludf.DUMMYFUNCTION("""COMPUTED_VALUE"""),169471.0)</f>
        <v>169471</v>
      </c>
      <c r="L59" s="225">
        <f>IFERROR(__xludf.DUMMYFUNCTION("""COMPUTED_VALUE"""),0.5834)</f>
        <v>0.5834</v>
      </c>
      <c r="M59" s="224">
        <f>IFERROR(__xludf.DUMMYFUNCTION("""COMPUTED_VALUE"""),0.0)</f>
        <v>0</v>
      </c>
      <c r="N59" s="225">
        <f>IFERROR(__xludf.DUMMYFUNCTION("""COMPUTED_VALUE"""),0.0)</f>
        <v>0</v>
      </c>
      <c r="O59" s="224">
        <f>IFERROR(__xludf.DUMMYFUNCTION("""COMPUTED_VALUE"""),175.0)</f>
        <v>175</v>
      </c>
      <c r="P59" s="224">
        <f>IFERROR(__xludf.DUMMYFUNCTION("""COMPUTED_VALUE"""),0.0)</f>
        <v>0</v>
      </c>
      <c r="Q59" s="225">
        <f>IFERROR(__xludf.DUMMYFUNCTION("""COMPUTED_VALUE"""),0.001)</f>
        <v>0.001</v>
      </c>
      <c r="R59" s="225">
        <f>IFERROR(__xludf.DUMMYFUNCTION("""COMPUTED_VALUE"""),0.0)</f>
        <v>0</v>
      </c>
      <c r="S59" s="226">
        <f>IFERROR(__xludf.DUMMYFUNCTION("""COMPUTED_VALUE"""),74.0)</f>
        <v>74</v>
      </c>
      <c r="T59" s="226">
        <f>IFERROR(__xludf.DUMMYFUNCTION("""COMPUTED_VALUE"""),0.0)</f>
        <v>0</v>
      </c>
      <c r="U59" s="224">
        <f>IFERROR(__xludf.DUMMYFUNCTION("""COMPUTED_VALUE"""),160118.0)</f>
        <v>160118</v>
      </c>
      <c r="V59" s="224" t="str">
        <f>IFERROR(__xludf.DUMMYFUNCTION("""COMPUTED_VALUE"""),"overall")</f>
        <v>overall</v>
      </c>
      <c r="W59" s="229" t="str">
        <f>IFERROR(__xludf.DUMMYFUNCTION("""COMPUTED_VALUE"""),"Sms")</f>
        <v>Sms</v>
      </c>
      <c r="X59" s="229" t="str">
        <f>IFERROR(__xludf.DUMMYFUNCTION("""COMPUTED_VALUE"""),"BBW Base - 2024")</f>
        <v>BBW Base - 2024</v>
      </c>
      <c r="Y59" s="229" t="str">
        <f>IFERROR(__xludf.DUMMYFUNCTION("""COMPUTED_VALUE"""),"14th June 2026")</f>
        <v>14th June 2026</v>
      </c>
      <c r="Z59" s="229" t="str">
        <f>IFERROR(__xludf.DUMMYFUNCTION("""COMPUTED_VALUE"""),"6a2bc8eeac669d6f3f0757d9")</f>
        <v>6a2bc8eeac669d6f3f0757d9</v>
      </c>
      <c r="AA59" s="229">
        <f>IFERROR(__xludf.DUMMYFUNCTION("""COMPUTED_VALUE"""),15.0)</f>
        <v>15</v>
      </c>
      <c r="AB59" s="229">
        <f>IFERROR(__xludf.DUMMYFUNCTION("""COMPUTED_VALUE"""),0.0)</f>
        <v>0</v>
      </c>
      <c r="AC59" s="229">
        <f>IFERROR(__xludf.DUMMYFUNCTION("""COMPUTED_VALUE"""),15.0)</f>
        <v>15</v>
      </c>
      <c r="AD59" s="229">
        <f>IFERROR(__xludf.DUMMYFUNCTION("""COMPUTED_VALUE"""),153848.0)</f>
        <v>153848</v>
      </c>
      <c r="AE59" s="229">
        <f>IFERROR(__xludf.DUMMYFUNCTION("""COMPUTED_VALUE"""),0.0)</f>
        <v>0</v>
      </c>
      <c r="AF59" s="229">
        <f>IFERROR(__xludf.DUMMYFUNCTION("""COMPUTED_VALUE"""),153848.0)</f>
        <v>153848</v>
      </c>
      <c r="AG59" s="208"/>
      <c r="AH59" s="208"/>
      <c r="AI59" s="208"/>
      <c r="AJ59" s="208"/>
      <c r="AK59" s="208"/>
    </row>
    <row r="60">
      <c r="A60" s="245">
        <f>IFERROR(__xludf.DUMMYFUNCTION("""COMPUTED_VALUE"""),46186.0)</f>
        <v>46186</v>
      </c>
      <c r="B60" s="246">
        <f>IFERROR(__xludf.DUMMYFUNCTION("""COMPUTED_VALUE"""),0.4166666666678793)</f>
        <v>0.4166666667</v>
      </c>
      <c r="C60" s="222" t="str">
        <f>IFERROR(__xludf.DUMMYFUNCTION("""COMPUTED_VALUE"""),"Sms")</f>
        <v>Sms</v>
      </c>
      <c r="D60" s="222" t="str">
        <f>IFERROR(__xludf.DUMMYFUNCTION("""COMPUTED_VALUE"""),"Promotional")</f>
        <v>Promotional</v>
      </c>
      <c r="E60" s="222" t="str">
        <f>IFERROR(__xludf.DUMMYFUNCTION("""COMPUTED_VALUE"""),"AGIPL")</f>
        <v>AGIPL</v>
      </c>
      <c r="F60" s="222" t="str">
        <f>IFERROR(__xludf.DUMMYFUNCTION("""COMPUTED_VALUE"""),"CROSSBRANDS_EOSS_JUNE2026 - EOSS30-70OFF")</f>
        <v>CROSSBRANDS_EOSS_JUNE2026 - EOSS30-70OFF</v>
      </c>
      <c r="G60" s="221" t="str">
        <f>IFERROR(__xludf.DUMMYFUNCTION("""COMPUTED_VALUE"""),"ALBBW25_SMS_AGIPL")</f>
        <v>ALBBW25_SMS_AGIPL</v>
      </c>
      <c r="H60" s="223" t="str">
        <f>IFERROR(__xludf.DUMMYFUNCTION("""COMPUTED_VALUE"""),"BBW_Exclude_AL_onoff_2025")</f>
        <v>BBW_Exclude_AL_onoff_2025</v>
      </c>
      <c r="I60" s="223" t="str">
        <f>IFERROR(__xludf.DUMMYFUNCTION("""COMPUTED_VALUE"""),"BBW Base")</f>
        <v>BBW Base</v>
      </c>
      <c r="J60" s="224">
        <f>IFERROR(__xludf.DUMMYFUNCTION("""COMPUTED_VALUE"""),336649.0)</f>
        <v>336649</v>
      </c>
      <c r="K60" s="224">
        <f>IFERROR(__xludf.DUMMYFUNCTION("""COMPUTED_VALUE"""),205829.0)</f>
        <v>205829</v>
      </c>
      <c r="L60" s="225">
        <f>IFERROR(__xludf.DUMMYFUNCTION("""COMPUTED_VALUE"""),0.6114)</f>
        <v>0.6114</v>
      </c>
      <c r="M60" s="224">
        <f>IFERROR(__xludf.DUMMYFUNCTION("""COMPUTED_VALUE"""),0.0)</f>
        <v>0</v>
      </c>
      <c r="N60" s="225">
        <f>IFERROR(__xludf.DUMMYFUNCTION("""COMPUTED_VALUE"""),0.0)</f>
        <v>0</v>
      </c>
      <c r="O60" s="224">
        <f>IFERROR(__xludf.DUMMYFUNCTION("""COMPUTED_VALUE"""),207.0)</f>
        <v>207</v>
      </c>
      <c r="P60" s="224">
        <f>IFERROR(__xludf.DUMMYFUNCTION("""COMPUTED_VALUE"""),0.0)</f>
        <v>0</v>
      </c>
      <c r="Q60" s="225">
        <f>IFERROR(__xludf.DUMMYFUNCTION("""COMPUTED_VALUE"""),0.001)</f>
        <v>0.001</v>
      </c>
      <c r="R60" s="225">
        <f>IFERROR(__xludf.DUMMYFUNCTION("""COMPUTED_VALUE"""),0.0)</f>
        <v>0</v>
      </c>
      <c r="S60" s="226">
        <f>IFERROR(__xludf.DUMMYFUNCTION("""COMPUTED_VALUE"""),63.0)</f>
        <v>63</v>
      </c>
      <c r="T60" s="226">
        <f>IFERROR(__xludf.DUMMYFUNCTION("""COMPUTED_VALUE"""),0.0)</f>
        <v>0</v>
      </c>
      <c r="U60" s="224">
        <f>IFERROR(__xludf.DUMMYFUNCTION("""COMPUTED_VALUE"""),169124.0)</f>
        <v>169124</v>
      </c>
      <c r="V60" s="224" t="str">
        <f>IFERROR(__xludf.DUMMYFUNCTION("""COMPUTED_VALUE"""),"overall")</f>
        <v>overall</v>
      </c>
      <c r="W60" s="229" t="str">
        <f>IFERROR(__xludf.DUMMYFUNCTION("""COMPUTED_VALUE"""),"Sms")</f>
        <v>Sms</v>
      </c>
      <c r="X60" s="229" t="str">
        <f>IFERROR(__xludf.DUMMYFUNCTION("""COMPUTED_VALUE"""),"BBW Base - 2025")</f>
        <v>BBW Base - 2025</v>
      </c>
      <c r="Y60" s="229" t="str">
        <f>IFERROR(__xludf.DUMMYFUNCTION("""COMPUTED_VALUE"""),"14th June 2026")</f>
        <v>14th June 2026</v>
      </c>
      <c r="Z60" s="229" t="str">
        <f>IFERROR(__xludf.DUMMYFUNCTION("""COMPUTED_VALUE"""),"6a2bc944657cb331eaa90b55")</f>
        <v>6a2bc944657cb331eaa90b55</v>
      </c>
      <c r="AA60" s="229">
        <f>IFERROR(__xludf.DUMMYFUNCTION("""COMPUTED_VALUE"""),19.0)</f>
        <v>19</v>
      </c>
      <c r="AB60" s="229">
        <f>IFERROR(__xludf.DUMMYFUNCTION("""COMPUTED_VALUE"""),4.0)</f>
        <v>4</v>
      </c>
      <c r="AC60" s="229">
        <f>IFERROR(__xludf.DUMMYFUNCTION("""COMPUTED_VALUE"""),15.0)</f>
        <v>15</v>
      </c>
      <c r="AD60" s="229">
        <f>IFERROR(__xludf.DUMMYFUNCTION("""COMPUTED_VALUE"""),143940.0)</f>
        <v>143940</v>
      </c>
      <c r="AE60" s="229">
        <f>IFERROR(__xludf.DUMMYFUNCTION("""COMPUTED_VALUE"""),19822.0)</f>
        <v>19822</v>
      </c>
      <c r="AF60" s="229">
        <f>IFERROR(__xludf.DUMMYFUNCTION("""COMPUTED_VALUE"""),124118.0)</f>
        <v>124118</v>
      </c>
      <c r="AG60" s="208"/>
      <c r="AH60" s="208"/>
      <c r="AI60" s="208"/>
      <c r="AJ60" s="208"/>
      <c r="AK60" s="208"/>
    </row>
    <row r="61">
      <c r="A61" s="216">
        <f>IFERROR(__xludf.DUMMYFUNCTION("""COMPUTED_VALUE"""),46186.0)</f>
        <v>46186</v>
      </c>
      <c r="B61" s="210">
        <f>IFERROR(__xludf.DUMMYFUNCTION("""COMPUTED_VALUE"""),0.4166666666678793)</f>
        <v>0.4166666667</v>
      </c>
      <c r="C61" s="218" t="str">
        <f>IFERROR(__xludf.DUMMYFUNCTION("""COMPUTED_VALUE"""),"Sms")</f>
        <v>Sms</v>
      </c>
      <c r="D61" s="218" t="str">
        <f>IFERROR(__xludf.DUMMYFUNCTION("""COMPUTED_VALUE"""),"Promotional")</f>
        <v>Promotional</v>
      </c>
      <c r="E61" s="218" t="str">
        <f>IFERROR(__xludf.DUMMYFUNCTION("""COMPUTED_VALUE"""),"AGIPL")</f>
        <v>AGIPL</v>
      </c>
      <c r="F61" s="218" t="str">
        <f>IFERROR(__xludf.DUMMYFUNCTION("""COMPUTED_VALUE"""),"CROSSBRANDS_EOSS_JUNE2026 - EOSS30-70OFF")</f>
        <v>CROSSBRANDS_EOSS_JUNE2026 - EOSS30-70OFF</v>
      </c>
      <c r="G61" s="211" t="str">
        <f>IFERROR(__xludf.DUMMYFUNCTION("""COMPUTED_VALUE"""),"AL2020BBW_SMS_AGIPL")</f>
        <v>AL2020BBW_SMS_AGIPL</v>
      </c>
      <c r="H61" s="212" t="str">
        <f>IFERROR(__xludf.DUMMYFUNCTION("""COMPUTED_VALUE"""),"BBW_Exclude_AL_onoff_2026")</f>
        <v>BBW_Exclude_AL_onoff_2026</v>
      </c>
      <c r="I61" s="212" t="str">
        <f>IFERROR(__xludf.DUMMYFUNCTION("""COMPUTED_VALUE"""),"BBW Base")</f>
        <v>BBW Base</v>
      </c>
      <c r="J61" s="213">
        <f>IFERROR(__xludf.DUMMYFUNCTION("""COMPUTED_VALUE"""),139225.0)</f>
        <v>139225</v>
      </c>
      <c r="K61" s="213">
        <f>IFERROR(__xludf.DUMMYFUNCTION("""COMPUTED_VALUE"""),86283.0)</f>
        <v>86283</v>
      </c>
      <c r="L61" s="214">
        <f>IFERROR(__xludf.DUMMYFUNCTION("""COMPUTED_VALUE"""),0.6197)</f>
        <v>0.6197</v>
      </c>
      <c r="M61" s="213">
        <f>IFERROR(__xludf.DUMMYFUNCTION("""COMPUTED_VALUE"""),0.0)</f>
        <v>0</v>
      </c>
      <c r="N61" s="214">
        <f>IFERROR(__xludf.DUMMYFUNCTION("""COMPUTED_VALUE"""),0.0)</f>
        <v>0</v>
      </c>
      <c r="O61" s="213">
        <f>IFERROR(__xludf.DUMMYFUNCTION("""COMPUTED_VALUE"""),107.0)</f>
        <v>107</v>
      </c>
      <c r="P61" s="213">
        <f>IFERROR(__xludf.DUMMYFUNCTION("""COMPUTED_VALUE"""),0.0)</f>
        <v>0</v>
      </c>
      <c r="Q61" s="214">
        <f>IFERROR(__xludf.DUMMYFUNCTION("""COMPUTED_VALUE"""),0.0012)</f>
        <v>0.0012</v>
      </c>
      <c r="R61" s="214">
        <f>IFERROR(__xludf.DUMMYFUNCTION("""COMPUTED_VALUE"""),0.0)</f>
        <v>0</v>
      </c>
      <c r="S61" s="101">
        <f>IFERROR(__xludf.DUMMYFUNCTION("""COMPUTED_VALUE"""),42.0)</f>
        <v>42</v>
      </c>
      <c r="T61" s="226">
        <f>IFERROR(__xludf.DUMMYFUNCTION("""COMPUTED_VALUE"""),0.0)</f>
        <v>0</v>
      </c>
      <c r="U61" s="224">
        <f>IFERROR(__xludf.DUMMYFUNCTION("""COMPUTED_VALUE"""),68143.0)</f>
        <v>68143</v>
      </c>
      <c r="V61" s="224" t="str">
        <f>IFERROR(__xludf.DUMMYFUNCTION("""COMPUTED_VALUE"""),"overall")</f>
        <v>overall</v>
      </c>
      <c r="W61" s="229" t="str">
        <f>IFERROR(__xludf.DUMMYFUNCTION("""COMPUTED_VALUE"""),"Sms")</f>
        <v>Sms</v>
      </c>
      <c r="X61" s="229" t="str">
        <f>IFERROR(__xludf.DUMMYFUNCTION("""COMPUTED_VALUE"""),"BBW Base - 2026")</f>
        <v>BBW Base - 2026</v>
      </c>
      <c r="Y61" s="229" t="str">
        <f>IFERROR(__xludf.DUMMYFUNCTION("""COMPUTED_VALUE"""),"14th June 2026")</f>
        <v>14th June 2026</v>
      </c>
      <c r="Z61" s="229" t="str">
        <f>IFERROR(__xludf.DUMMYFUNCTION("""COMPUTED_VALUE"""),"6a2bc984adc284dbcf645ece")</f>
        <v>6a2bc984adc284dbcf645ece</v>
      </c>
      <c r="AA61" s="229">
        <f>IFERROR(__xludf.DUMMYFUNCTION("""COMPUTED_VALUE"""),8.0)</f>
        <v>8</v>
      </c>
      <c r="AB61" s="229">
        <f>IFERROR(__xludf.DUMMYFUNCTION("""COMPUTED_VALUE"""),1.0)</f>
        <v>1</v>
      </c>
      <c r="AC61" s="229">
        <f>IFERROR(__xludf.DUMMYFUNCTION("""COMPUTED_VALUE"""),7.0)</f>
        <v>7</v>
      </c>
      <c r="AD61" s="229">
        <f>IFERROR(__xludf.DUMMYFUNCTION("""COMPUTED_VALUE"""),83982.0)</f>
        <v>83982</v>
      </c>
      <c r="AE61" s="229">
        <f>IFERROR(__xludf.DUMMYFUNCTION("""COMPUTED_VALUE"""),8324.0)</f>
        <v>8324</v>
      </c>
      <c r="AF61" s="229">
        <f>IFERROR(__xludf.DUMMYFUNCTION("""COMPUTED_VALUE"""),75658.0)</f>
        <v>75658</v>
      </c>
      <c r="AG61" s="208"/>
      <c r="AH61" s="208"/>
      <c r="AI61" s="208"/>
      <c r="AJ61" s="208"/>
      <c r="AK61" s="208"/>
    </row>
    <row r="62">
      <c r="A62" s="216">
        <f>IFERROR(__xludf.DUMMYFUNCTION("""COMPUTED_VALUE"""),46186.0)</f>
        <v>46186</v>
      </c>
      <c r="B62" s="247">
        <f>IFERROR(__xludf.DUMMYFUNCTION("""COMPUTED_VALUE"""),0.4166666666678793)</f>
        <v>0.4166666667</v>
      </c>
      <c r="C62" s="218" t="str">
        <f>IFERROR(__xludf.DUMMYFUNCTION("""COMPUTED_VALUE"""),"Sms")</f>
        <v>Sms</v>
      </c>
      <c r="D62" s="218" t="str">
        <f>IFERROR(__xludf.DUMMYFUNCTION("""COMPUTED_VALUE"""),"Promotional")</f>
        <v>Promotional</v>
      </c>
      <c r="E62" s="218" t="str">
        <f>IFERROR(__xludf.DUMMYFUNCTION("""COMPUTED_VALUE"""),"AGIPL")</f>
        <v>AGIPL</v>
      </c>
      <c r="F62" s="218" t="str">
        <f>IFERROR(__xludf.DUMMYFUNCTION("""COMPUTED_VALUE"""),"CROSSBRANDS_EOSS_JUNE2026 - EOSS30-70OFF")</f>
        <v>CROSSBRANDS_EOSS_JUNE2026 - EOSS30-70OFF</v>
      </c>
      <c r="G62" s="211" t="str">
        <f>IFERROR(__xludf.DUMMYFUNCTION("""COMPUTED_VALUE"""),"ALCK_Base_SMS_AGIPL")</f>
        <v>ALCK_Base_SMS_AGIPL</v>
      </c>
      <c r="H62" s="212" t="str">
        <f>IFERROR(__xludf.DUMMYFUNCTION("""COMPUTED_VALUE"""),"CK_Exc_AL_onoff")</f>
        <v>CK_Exc_AL_onoff</v>
      </c>
      <c r="I62" s="211" t="str">
        <f>IFERROR(__xludf.DUMMYFUNCTION("""COMPUTED_VALUE"""),"CK Base")</f>
        <v>CK Base</v>
      </c>
      <c r="J62" s="213">
        <f>IFERROR(__xludf.DUMMYFUNCTION("""COMPUTED_VALUE"""),133758.0)</f>
        <v>133758</v>
      </c>
      <c r="K62" s="213">
        <f>IFERROR(__xludf.DUMMYFUNCTION("""COMPUTED_VALUE"""),75510.0)</f>
        <v>75510</v>
      </c>
      <c r="L62" s="214">
        <f>IFERROR(__xludf.DUMMYFUNCTION("""COMPUTED_VALUE"""),0.5645)</f>
        <v>0.5645</v>
      </c>
      <c r="M62" s="213">
        <f>IFERROR(__xludf.DUMMYFUNCTION("""COMPUTED_VALUE"""),0.0)</f>
        <v>0</v>
      </c>
      <c r="N62" s="214">
        <f>IFERROR(__xludf.DUMMYFUNCTION("""COMPUTED_VALUE"""),0.0)</f>
        <v>0</v>
      </c>
      <c r="O62" s="213">
        <f>IFERROR(__xludf.DUMMYFUNCTION("""COMPUTED_VALUE"""),108.0)</f>
        <v>108</v>
      </c>
      <c r="P62" s="213">
        <f>IFERROR(__xludf.DUMMYFUNCTION("""COMPUTED_VALUE"""),0.0)</f>
        <v>0</v>
      </c>
      <c r="Q62" s="214">
        <f>IFERROR(__xludf.DUMMYFUNCTION("""COMPUTED_VALUE"""),0.0014)</f>
        <v>0.0014</v>
      </c>
      <c r="R62" s="214">
        <f>IFERROR(__xludf.DUMMYFUNCTION("""COMPUTED_VALUE"""),0.0)</f>
        <v>0</v>
      </c>
      <c r="S62" s="101">
        <f>IFERROR(__xludf.DUMMYFUNCTION("""COMPUTED_VALUE"""),3.0)</f>
        <v>3</v>
      </c>
      <c r="T62" s="226">
        <f>IFERROR(__xludf.DUMMYFUNCTION("""COMPUTED_VALUE"""),0.0)</f>
        <v>0</v>
      </c>
      <c r="U62" s="224">
        <f>IFERROR(__xludf.DUMMYFUNCTION("""COMPUTED_VALUE"""),15197.0)</f>
        <v>15197</v>
      </c>
      <c r="V62" s="224" t="str">
        <f>IFERROR(__xludf.DUMMYFUNCTION("""COMPUTED_VALUE"""),"overall")</f>
        <v>overall</v>
      </c>
      <c r="W62" s="229" t="str">
        <f>IFERROR(__xludf.DUMMYFUNCTION("""COMPUTED_VALUE"""),"Sms")</f>
        <v>Sms</v>
      </c>
      <c r="X62" s="229" t="str">
        <f>IFERROR(__xludf.DUMMYFUNCTION("""COMPUTED_VALUE"""),"CK Base")</f>
        <v>CK Base</v>
      </c>
      <c r="Y62" s="229" t="str">
        <f>IFERROR(__xludf.DUMMYFUNCTION("""COMPUTED_VALUE"""),"14th June 2026")</f>
        <v>14th June 2026</v>
      </c>
      <c r="Z62" s="229" t="str">
        <f>IFERROR(__xludf.DUMMYFUNCTION("""COMPUTED_VALUE"""),"6a2bc9b80b3864b6c0c71fc1")</f>
        <v>6a2bc9b80b3864b6c0c71fc1</v>
      </c>
      <c r="AA62" s="229">
        <f>IFERROR(__xludf.DUMMYFUNCTION("""COMPUTED_VALUE"""),35.0)</f>
        <v>35</v>
      </c>
      <c r="AB62" s="229">
        <f>IFERROR(__xludf.DUMMYFUNCTION("""COMPUTED_VALUE"""),4.0)</f>
        <v>4</v>
      </c>
      <c r="AC62" s="229">
        <f>IFERROR(__xludf.DUMMYFUNCTION("""COMPUTED_VALUE"""),31.0)</f>
        <v>31</v>
      </c>
      <c r="AD62" s="229">
        <f>IFERROR(__xludf.DUMMYFUNCTION("""COMPUTED_VALUE"""),314362.0)</f>
        <v>314362</v>
      </c>
      <c r="AE62" s="229">
        <f>IFERROR(__xludf.DUMMYFUNCTION("""COMPUTED_VALUE"""),17976.0)</f>
        <v>17976</v>
      </c>
      <c r="AF62" s="229">
        <f>IFERROR(__xludf.DUMMYFUNCTION("""COMPUTED_VALUE"""),296386.0)</f>
        <v>296386</v>
      </c>
      <c r="AG62" s="208"/>
      <c r="AH62" s="208"/>
      <c r="AI62" s="208"/>
      <c r="AJ62" s="208"/>
      <c r="AK62" s="208"/>
    </row>
    <row r="63">
      <c r="A63" s="216">
        <f>IFERROR(__xludf.DUMMYFUNCTION("""COMPUTED_VALUE"""),46192.0)</f>
        <v>46192</v>
      </c>
      <c r="B63" s="210">
        <f>IFERROR(__xludf.DUMMYFUNCTION("""COMPUTED_VALUE"""),0.75)</f>
        <v>0.75</v>
      </c>
      <c r="C63" s="218" t="str">
        <f>IFERROR(__xludf.DUMMYFUNCTION("""COMPUTED_VALUE"""),"Sms")</f>
        <v>Sms</v>
      </c>
      <c r="D63" s="218" t="str">
        <f>IFERROR(__xludf.DUMMYFUNCTION("""COMPUTED_VALUE"""),"Promotional")</f>
        <v>Promotional</v>
      </c>
      <c r="E63" s="218" t="str">
        <f>IFERROR(__xludf.DUMMYFUNCTION("""COMPUTED_VALUE"""),"AGIPL")</f>
        <v>AGIPL</v>
      </c>
      <c r="F63" s="218" t="str">
        <f>IFERROR(__xludf.DUMMYFUNCTION("""COMPUTED_VALUE"""),"BBW_Crossbrands_SAS_SMS_JUNE2026 - SAS 50-70 OFF")</f>
        <v>BBW_Crossbrands_SAS_SMS_JUNE2026 - SAS 50-70 OFF</v>
      </c>
      <c r="G63" s="212" t="str">
        <f>IFERROR(__xludf.DUMMYFUNCTION("""COMPUTED_VALUE"""),"bbw_sms_al_base_agipl_sas_19june")</f>
        <v>bbw_sms_al_base_agipl_sas_19june</v>
      </c>
      <c r="H63" s="212" t="str">
        <f>IFERROR(__xludf.DUMMYFUNCTION("""COMPUTED_VALUE"""),"BBW_AL_SASCampaign_OnOff")</f>
        <v>BBW_AL_SASCampaign_OnOff</v>
      </c>
      <c r="I63" s="212" t="str">
        <f>IFERROR(__xludf.DUMMYFUNCTION("""COMPUTED_VALUE"""),"Customers who have purchased in the last 36 months with Txn_Brand AL and Exclude BBW Base")</f>
        <v>Customers who have purchased in the last 36 months with Txn_Brand AL and Exclude BBW Base</v>
      </c>
      <c r="J63" s="213">
        <f>IFERROR(__xludf.DUMMYFUNCTION("""COMPUTED_VALUE"""),285970.0)</f>
        <v>285970</v>
      </c>
      <c r="K63" s="213">
        <f>IFERROR(__xludf.DUMMYFUNCTION("""COMPUTED_VALUE"""),165454.0)</f>
        <v>165454</v>
      </c>
      <c r="L63" s="214">
        <f>IFERROR(__xludf.DUMMYFUNCTION("""COMPUTED_VALUE"""),0.5786)</f>
        <v>0.5786</v>
      </c>
      <c r="M63" s="213">
        <f>IFERROR(__xludf.DUMMYFUNCTION("""COMPUTED_VALUE"""),0.0)</f>
        <v>0</v>
      </c>
      <c r="N63" s="214">
        <f>IFERROR(__xludf.DUMMYFUNCTION("""COMPUTED_VALUE"""),0.0)</f>
        <v>0</v>
      </c>
      <c r="O63" s="213">
        <f>IFERROR(__xludf.DUMMYFUNCTION("""COMPUTED_VALUE"""),151.0)</f>
        <v>151</v>
      </c>
      <c r="P63" s="213">
        <f>IFERROR(__xludf.DUMMYFUNCTION("""COMPUTED_VALUE"""),0.0)</f>
        <v>0</v>
      </c>
      <c r="Q63" s="214">
        <f>IFERROR(__xludf.DUMMYFUNCTION("""COMPUTED_VALUE"""),9.0E-4)</f>
        <v>0.0009</v>
      </c>
      <c r="R63" s="214">
        <f>IFERROR(__xludf.DUMMYFUNCTION("""COMPUTED_VALUE"""),0.0)</f>
        <v>0</v>
      </c>
      <c r="S63" s="101">
        <f>IFERROR(__xludf.DUMMYFUNCTION("""COMPUTED_VALUE"""),79.0)</f>
        <v>79</v>
      </c>
      <c r="T63" s="226">
        <f>IFERROR(__xludf.DUMMYFUNCTION("""COMPUTED_VALUE"""),0.0)</f>
        <v>0</v>
      </c>
      <c r="U63" s="224">
        <f>IFERROR(__xludf.DUMMYFUNCTION("""COMPUTED_VALUE"""),583385.0)</f>
        <v>583385</v>
      </c>
      <c r="V63" s="224" t="str">
        <f>IFERROR(__xludf.DUMMYFUNCTION("""COMPUTED_VALUE"""),"Overall")</f>
        <v>Overall</v>
      </c>
      <c r="W63" s="229" t="str">
        <f>IFERROR(__xludf.DUMMYFUNCTION("""COMPUTED_VALUE"""),"Sms")</f>
        <v>Sms</v>
      </c>
      <c r="X63" s="229" t="str">
        <f>IFERROR(__xludf.DUMMYFUNCTION("""COMPUTED_VALUE"""),"AL Base")</f>
        <v>AL Base</v>
      </c>
      <c r="Y63" s="229" t="str">
        <f>IFERROR(__xludf.DUMMYFUNCTION("""COMPUTED_VALUE"""),"19-20 June")</f>
        <v>19-20 June</v>
      </c>
      <c r="Z63" s="229" t="str">
        <f>IFERROR(__xludf.DUMMYFUNCTION("""COMPUTED_VALUE"""),"6a33b3f7a2347851df960e71")</f>
        <v>6a33b3f7a2347851df960e71</v>
      </c>
      <c r="AA63" s="229">
        <f>IFERROR(__xludf.DUMMYFUNCTION("""COMPUTED_VALUE"""),92.0)</f>
        <v>92</v>
      </c>
      <c r="AB63" s="229">
        <f>IFERROR(__xludf.DUMMYFUNCTION("""COMPUTED_VALUE"""),14.0)</f>
        <v>14</v>
      </c>
      <c r="AC63" s="229">
        <f>IFERROR(__xludf.DUMMYFUNCTION("""COMPUTED_VALUE"""),78.0)</f>
        <v>78</v>
      </c>
      <c r="AD63" s="229">
        <f>IFERROR(__xludf.DUMMYFUNCTION("""COMPUTED_VALUE"""),321074.0)</f>
        <v>321074</v>
      </c>
      <c r="AE63" s="229">
        <f>IFERROR(__xludf.DUMMYFUNCTION("""COMPUTED_VALUE"""),27636.0)</f>
        <v>27636</v>
      </c>
      <c r="AF63" s="229">
        <f>IFERROR(__xludf.DUMMYFUNCTION("""COMPUTED_VALUE"""),293438.0)</f>
        <v>293438</v>
      </c>
      <c r="AG63" s="208"/>
      <c r="AH63" s="208"/>
      <c r="AI63" s="208"/>
      <c r="AJ63" s="208"/>
      <c r="AK63" s="208"/>
    </row>
    <row r="64">
      <c r="A64" s="245">
        <f>IFERROR(__xludf.DUMMYFUNCTION("""COMPUTED_VALUE"""),46192.0)</f>
        <v>46192</v>
      </c>
      <c r="B64" s="246">
        <f>IFERROR(__xludf.DUMMYFUNCTION("""COMPUTED_VALUE"""),0.7534722222226264)</f>
        <v>0.7534722222</v>
      </c>
      <c r="C64" s="222" t="str">
        <f>IFERROR(__xludf.DUMMYFUNCTION("""COMPUTED_VALUE"""),"Sms")</f>
        <v>Sms</v>
      </c>
      <c r="D64" s="222" t="str">
        <f>IFERROR(__xludf.DUMMYFUNCTION("""COMPUTED_VALUE"""),"Promotional")</f>
        <v>Promotional</v>
      </c>
      <c r="E64" s="222" t="str">
        <f>IFERROR(__xludf.DUMMYFUNCTION("""COMPUTED_VALUE"""),"AGIPL")</f>
        <v>AGIPL</v>
      </c>
      <c r="F64" s="222" t="str">
        <f>IFERROR(__xludf.DUMMYFUNCTION("""COMPUTED_VALUE"""),"BBW_Crossbrands_SAS_SMS_JUNE2026 - SAS 50-70 OFF")</f>
        <v>BBW_Crossbrands_SAS_SMS_JUNE2026 - SAS 50-70 OFF</v>
      </c>
      <c r="G64" s="221" t="str">
        <f>IFERROR(__xludf.DUMMYFUNCTION("""COMPUTED_VALUE"""),"bbw_sms_ck_base_agipl_sas_19june")</f>
        <v>bbw_sms_ck_base_agipl_sas_19june</v>
      </c>
      <c r="H64" s="223" t="str">
        <f>IFERROR(__xludf.DUMMYFUNCTION("""COMPUTED_VALUE"""),"BBW_CK_SASCampaign_OnOff")</f>
        <v>BBW_CK_SASCampaign_OnOff</v>
      </c>
      <c r="I64" s="223" t="str">
        <f>IFERROR(__xludf.DUMMYFUNCTION("""COMPUTED_VALUE"""),"Customers who have purchased in the last 36 months with Txn_Brand CK and Exclude BBW Base")</f>
        <v>Customers who have purchased in the last 36 months with Txn_Brand CK and Exclude BBW Base</v>
      </c>
      <c r="J64" s="224">
        <f>IFERROR(__xludf.DUMMYFUNCTION("""COMPUTED_VALUE"""),152872.0)</f>
        <v>152872</v>
      </c>
      <c r="K64" s="224">
        <f>IFERROR(__xludf.DUMMYFUNCTION("""COMPUTED_VALUE"""),87205.0)</f>
        <v>87205</v>
      </c>
      <c r="L64" s="225">
        <f>IFERROR(__xludf.DUMMYFUNCTION("""COMPUTED_VALUE"""),0.5704)</f>
        <v>0.5704</v>
      </c>
      <c r="M64" s="224">
        <f>IFERROR(__xludf.DUMMYFUNCTION("""COMPUTED_VALUE"""),0.0)</f>
        <v>0</v>
      </c>
      <c r="N64" s="225">
        <f>IFERROR(__xludf.DUMMYFUNCTION("""COMPUTED_VALUE"""),0.0)</f>
        <v>0</v>
      </c>
      <c r="O64" s="224">
        <f>IFERROR(__xludf.DUMMYFUNCTION("""COMPUTED_VALUE"""),80.0)</f>
        <v>80</v>
      </c>
      <c r="P64" s="224">
        <f>IFERROR(__xludf.DUMMYFUNCTION("""COMPUTED_VALUE"""),0.0)</f>
        <v>0</v>
      </c>
      <c r="Q64" s="225">
        <f>IFERROR(__xludf.DUMMYFUNCTION("""COMPUTED_VALUE"""),9.0E-4)</f>
        <v>0.0009</v>
      </c>
      <c r="R64" s="225">
        <f>IFERROR(__xludf.DUMMYFUNCTION("""COMPUTED_VALUE"""),0.0)</f>
        <v>0</v>
      </c>
      <c r="S64" s="226">
        <f>IFERROR(__xludf.DUMMYFUNCTION("""COMPUTED_VALUE"""),26.0)</f>
        <v>26</v>
      </c>
      <c r="T64" s="226">
        <f>IFERROR(__xludf.DUMMYFUNCTION("""COMPUTED_VALUE"""),0.0)</f>
        <v>0</v>
      </c>
      <c r="U64" s="224">
        <f>IFERROR(__xludf.DUMMYFUNCTION("""COMPUTED_VALUE"""),173961.0)</f>
        <v>173961</v>
      </c>
      <c r="V64" s="224" t="str">
        <f>IFERROR(__xludf.DUMMYFUNCTION("""COMPUTED_VALUE"""),"Overall")</f>
        <v>Overall</v>
      </c>
      <c r="W64" s="229" t="str">
        <f>IFERROR(__xludf.DUMMYFUNCTION("""COMPUTED_VALUE"""),"Sms")</f>
        <v>Sms</v>
      </c>
      <c r="X64" s="229" t="str">
        <f>IFERROR(__xludf.DUMMYFUNCTION("""COMPUTED_VALUE"""),"CK Base")</f>
        <v>CK Base</v>
      </c>
      <c r="Y64" s="229" t="str">
        <f>IFERROR(__xludf.DUMMYFUNCTION("""COMPUTED_VALUE"""),"19-20 June")</f>
        <v>19-20 June</v>
      </c>
      <c r="Z64" s="229" t="str">
        <f>IFERROR(__xludf.DUMMYFUNCTION("""COMPUTED_VALUE"""),"6a33b476893fb92bbf8d152b")</f>
        <v>6a33b476893fb92bbf8d152b</v>
      </c>
      <c r="AA64" s="229">
        <f>IFERROR(__xludf.DUMMYFUNCTION("""COMPUTED_VALUE"""),57.0)</f>
        <v>57</v>
      </c>
      <c r="AB64" s="229">
        <f>IFERROR(__xludf.DUMMYFUNCTION("""COMPUTED_VALUE"""),8.0)</f>
        <v>8</v>
      </c>
      <c r="AC64" s="229">
        <f>IFERROR(__xludf.DUMMYFUNCTION("""COMPUTED_VALUE"""),49.0)</f>
        <v>49</v>
      </c>
      <c r="AD64" s="229">
        <f>IFERROR(__xludf.DUMMYFUNCTION("""COMPUTED_VALUE"""),155173.0)</f>
        <v>155173</v>
      </c>
      <c r="AE64" s="229">
        <f>IFERROR(__xludf.DUMMYFUNCTION("""COMPUTED_VALUE"""),14015.0)</f>
        <v>14015</v>
      </c>
      <c r="AF64" s="229">
        <f>IFERROR(__xludf.DUMMYFUNCTION("""COMPUTED_VALUE"""),141158.0)</f>
        <v>141158</v>
      </c>
      <c r="AG64" s="208"/>
      <c r="AH64" s="208"/>
      <c r="AI64" s="208"/>
      <c r="AJ64" s="208"/>
      <c r="AK64" s="208"/>
    </row>
    <row r="65">
      <c r="A65" s="245">
        <f>IFERROR(__xludf.DUMMYFUNCTION("""COMPUTED_VALUE"""),46213.0)</f>
        <v>46213</v>
      </c>
      <c r="B65" s="246">
        <f>IFERROR(__xludf.DUMMYFUNCTION("""COMPUTED_VALUE"""),0.4375)</f>
        <v>0.4375</v>
      </c>
      <c r="C65" s="222" t="str">
        <f>IFERROR(__xludf.DUMMYFUNCTION("""COMPUTED_VALUE"""),"Whatsapp")</f>
        <v>Whatsapp</v>
      </c>
      <c r="D65" s="222" t="str">
        <f>IFERROR(__xludf.DUMMYFUNCTION("""COMPUTED_VALUE"""),"Fallback campaign")</f>
        <v>Fallback campaign</v>
      </c>
      <c r="E65" s="222" t="str">
        <f>IFERROR(__xludf.DUMMYFUNCTION("""COMPUTED_VALUE"""),"AGIPL")</f>
        <v>AGIPL</v>
      </c>
      <c r="F65" s="222" t="str">
        <f>IFERROR(__xludf.DUMMYFUNCTION("""COMPUTED_VALUE"""),"SAS_July_PJs - PJs")</f>
        <v>SAS_July_PJs - PJs</v>
      </c>
      <c r="G65" s="221" t="str">
        <f>IFERROR(__xludf.DUMMYFUNCTION("""COMPUTED_VALUE"""),"Store Visit_PJs_SAS_MUM (WA_FB_Cross-brand_AL)")</f>
        <v>Store Visit_PJs_SAS_MUM (WA_FB_Cross-brand_AL)</v>
      </c>
      <c r="H65" s="223" t="str">
        <f>IFERROR(__xludf.DUMMYFUNCTION("""COMPUTED_VALUE"""),"VS_ALDOa_Mumbai")</f>
        <v>VS_ALDOa_Mumbai</v>
      </c>
      <c r="I65" s="221" t="str">
        <f>IFERROR(__xludf.DUMMYFUNCTION("""COMPUTED_VALUE"""),"RCS Undelivered")</f>
        <v>RCS Undelivered</v>
      </c>
      <c r="J65" s="224">
        <f>IFERROR(__xludf.DUMMYFUNCTION("""COMPUTED_VALUE"""),14452.0)</f>
        <v>14452</v>
      </c>
      <c r="K65" s="224">
        <f>IFERROR(__xludf.DUMMYFUNCTION("""COMPUTED_VALUE"""),8928.0)</f>
        <v>8928</v>
      </c>
      <c r="L65" s="225">
        <f>IFERROR(__xludf.DUMMYFUNCTION("""COMPUTED_VALUE"""),0.6178)</f>
        <v>0.6178</v>
      </c>
      <c r="M65" s="224">
        <f>IFERROR(__xludf.DUMMYFUNCTION("""COMPUTED_VALUE"""),2829.0)</f>
        <v>2829</v>
      </c>
      <c r="N65" s="225">
        <f>IFERROR(__xludf.DUMMYFUNCTION("""COMPUTED_VALUE"""),0.3168)</f>
        <v>0.3168</v>
      </c>
      <c r="O65" s="224">
        <f>IFERROR(__xludf.DUMMYFUNCTION("""COMPUTED_VALUE"""),0.0)</f>
        <v>0</v>
      </c>
      <c r="P65" s="224">
        <f>IFERROR(__xludf.DUMMYFUNCTION("""COMPUTED_VALUE"""),0.0)</f>
        <v>0</v>
      </c>
      <c r="Q65" s="225">
        <f>IFERROR(__xludf.DUMMYFUNCTION("""COMPUTED_VALUE"""),0.0)</f>
        <v>0</v>
      </c>
      <c r="R65" s="225">
        <f>IFERROR(__xludf.DUMMYFUNCTION("""COMPUTED_VALUE"""),0.0)</f>
        <v>0</v>
      </c>
      <c r="S65" s="226">
        <f>IFERROR(__xludf.DUMMYFUNCTION("""COMPUTED_VALUE"""),41.0)</f>
        <v>41</v>
      </c>
      <c r="T65" s="226">
        <f>IFERROR(__xludf.DUMMYFUNCTION("""COMPUTED_VALUE"""),0.0)</f>
        <v>0</v>
      </c>
      <c r="U65" s="224">
        <f>IFERROR(__xludf.DUMMYFUNCTION("""COMPUTED_VALUE"""),0.0)</f>
        <v>0</v>
      </c>
      <c r="V65" s="224" t="str">
        <f>IFERROR(__xludf.DUMMYFUNCTION("""COMPUTED_VALUE"""),"offline")</f>
        <v>offline</v>
      </c>
      <c r="W65" s="229" t="str">
        <f>IFERROR(__xludf.DUMMYFUNCTION("""COMPUTED_VALUE"""),"simple")</f>
        <v>simple</v>
      </c>
      <c r="X65" s="229" t="str">
        <f>IFERROR(__xludf.DUMMYFUNCTION("""COMPUTED_VALUE"""),"AL Base")</f>
        <v>AL Base</v>
      </c>
      <c r="Y65" s="229" t="str">
        <f>IFERROR(__xludf.DUMMYFUNCTION("""COMPUTED_VALUE"""),"10th - 12th July")</f>
        <v>10th - 12th July</v>
      </c>
      <c r="Z65" s="229" t="str">
        <f>IFERROR(__xludf.DUMMYFUNCTION("""COMPUTED_VALUE"""),"6a4faa73071b0ad263100314")</f>
        <v>6a4faa73071b0ad263100314</v>
      </c>
      <c r="AA65" s="229">
        <f>IFERROR(__xludf.DUMMYFUNCTION("""COMPUTED_VALUE"""),23.0)</f>
        <v>23</v>
      </c>
      <c r="AB65" s="229"/>
      <c r="AC65" s="229">
        <f>IFERROR(__xludf.DUMMYFUNCTION("""COMPUTED_VALUE"""),23.0)</f>
        <v>23</v>
      </c>
      <c r="AD65" s="229">
        <f>IFERROR(__xludf.DUMMYFUNCTION("""COMPUTED_VALUE"""),127707.0)</f>
        <v>127707</v>
      </c>
      <c r="AE65" s="229"/>
      <c r="AF65" s="229">
        <f>IFERROR(__xludf.DUMMYFUNCTION("""COMPUTED_VALUE"""),127707.0)</f>
        <v>127707</v>
      </c>
      <c r="AG65" s="208"/>
      <c r="AH65" s="208"/>
      <c r="AI65" s="208"/>
      <c r="AJ65" s="208"/>
      <c r="AK65" s="208"/>
    </row>
    <row r="66">
      <c r="A66" s="245">
        <f>IFERROR(__xludf.DUMMYFUNCTION("""COMPUTED_VALUE"""),46213.0)</f>
        <v>46213</v>
      </c>
      <c r="B66" s="246">
        <f>IFERROR(__xludf.DUMMYFUNCTION("""COMPUTED_VALUE"""),0.4375)</f>
        <v>0.4375</v>
      </c>
      <c r="C66" s="222" t="str">
        <f>IFERROR(__xludf.DUMMYFUNCTION("""COMPUTED_VALUE"""),"Whatsapp")</f>
        <v>Whatsapp</v>
      </c>
      <c r="D66" s="222" t="str">
        <f>IFERROR(__xludf.DUMMYFUNCTION("""COMPUTED_VALUE"""),"Fallback campaign")</f>
        <v>Fallback campaign</v>
      </c>
      <c r="E66" s="222" t="str">
        <f>IFERROR(__xludf.DUMMYFUNCTION("""COMPUTED_VALUE"""),"AGIPL")</f>
        <v>AGIPL</v>
      </c>
      <c r="F66" s="222" t="str">
        <f>IFERROR(__xludf.DUMMYFUNCTION("""COMPUTED_VALUE"""),"SAS_July_PJs - PJs")</f>
        <v>SAS_July_PJs - PJs</v>
      </c>
      <c r="G66" s="221" t="str">
        <f>IFERROR(__xludf.DUMMYFUNCTION("""COMPUTED_VALUE"""),"Store Visit_PJs_SAS_DEL (WA_FB_Cross-brand_AL)")</f>
        <v>Store Visit_PJs_SAS_DEL (WA_FB_Cross-brand_AL)</v>
      </c>
      <c r="H66" s="223" t="str">
        <f>IFERROR(__xludf.DUMMYFUNCTION("""COMPUTED_VALUE"""),"VS_ALDO_Delhi")</f>
        <v>VS_ALDO_Delhi</v>
      </c>
      <c r="I66" s="221" t="str">
        <f>IFERROR(__xludf.DUMMYFUNCTION("""COMPUTED_VALUE"""),"RCS Undelivered")</f>
        <v>RCS Undelivered</v>
      </c>
      <c r="J66" s="224">
        <f>IFERROR(__xludf.DUMMYFUNCTION("""COMPUTED_VALUE"""),13892.0)</f>
        <v>13892</v>
      </c>
      <c r="K66" s="224">
        <f>IFERROR(__xludf.DUMMYFUNCTION("""COMPUTED_VALUE"""),8737.0)</f>
        <v>8737</v>
      </c>
      <c r="L66" s="225">
        <f>IFERROR(__xludf.DUMMYFUNCTION("""COMPUTED_VALUE"""),0.6289)</f>
        <v>0.6289</v>
      </c>
      <c r="M66" s="224">
        <f>IFERROR(__xludf.DUMMYFUNCTION("""COMPUTED_VALUE"""),2700.0)</f>
        <v>2700</v>
      </c>
      <c r="N66" s="225">
        <f>IFERROR(__xludf.DUMMYFUNCTION("""COMPUTED_VALUE"""),0.3088)</f>
        <v>0.3088</v>
      </c>
      <c r="O66" s="224">
        <f>IFERROR(__xludf.DUMMYFUNCTION("""COMPUTED_VALUE"""),0.0)</f>
        <v>0</v>
      </c>
      <c r="P66" s="224">
        <f>IFERROR(__xludf.DUMMYFUNCTION("""COMPUTED_VALUE"""),0.0)</f>
        <v>0</v>
      </c>
      <c r="Q66" s="225">
        <f>IFERROR(__xludf.DUMMYFUNCTION("""COMPUTED_VALUE"""),0.0)</f>
        <v>0</v>
      </c>
      <c r="R66" s="225">
        <f>IFERROR(__xludf.DUMMYFUNCTION("""COMPUTED_VALUE"""),0.0)</f>
        <v>0</v>
      </c>
      <c r="S66" s="226">
        <f>IFERROR(__xludf.DUMMYFUNCTION("""COMPUTED_VALUE"""),37.0)</f>
        <v>37</v>
      </c>
      <c r="T66" s="226">
        <f>IFERROR(__xludf.DUMMYFUNCTION("""COMPUTED_VALUE"""),0.0)</f>
        <v>0</v>
      </c>
      <c r="U66" s="224">
        <f>IFERROR(__xludf.DUMMYFUNCTION("""COMPUTED_VALUE"""),0.0)</f>
        <v>0</v>
      </c>
      <c r="V66" s="224" t="str">
        <f>IFERROR(__xludf.DUMMYFUNCTION("""COMPUTED_VALUE"""),"offline")</f>
        <v>offline</v>
      </c>
      <c r="W66" s="229" t="str">
        <f>IFERROR(__xludf.DUMMYFUNCTION("""COMPUTED_VALUE"""),"simple")</f>
        <v>simple</v>
      </c>
      <c r="X66" s="229" t="str">
        <f>IFERROR(__xludf.DUMMYFUNCTION("""COMPUTED_VALUE"""),"AL Base")</f>
        <v>AL Base</v>
      </c>
      <c r="Y66" s="229" t="str">
        <f>IFERROR(__xludf.DUMMYFUNCTION("""COMPUTED_VALUE"""),"10th - 12th July")</f>
        <v>10th - 12th July</v>
      </c>
      <c r="Z66" s="229" t="str">
        <f>IFERROR(__xludf.DUMMYFUNCTION("""COMPUTED_VALUE"""),"6a4fab01c8dbac5930b271f2")</f>
        <v>6a4fab01c8dbac5930b271f2</v>
      </c>
      <c r="AA66" s="229">
        <f>IFERROR(__xludf.DUMMYFUNCTION("""COMPUTED_VALUE"""),9.0)</f>
        <v>9</v>
      </c>
      <c r="AB66" s="229"/>
      <c r="AC66" s="229">
        <f>IFERROR(__xludf.DUMMYFUNCTION("""COMPUTED_VALUE"""),9.0)</f>
        <v>9</v>
      </c>
      <c r="AD66" s="229">
        <f>IFERROR(__xludf.DUMMYFUNCTION("""COMPUTED_VALUE"""),85319.0)</f>
        <v>85319</v>
      </c>
      <c r="AE66" s="229"/>
      <c r="AF66" s="229">
        <f>IFERROR(__xludf.DUMMYFUNCTION("""COMPUTED_VALUE"""),85319.0)</f>
        <v>85319</v>
      </c>
      <c r="AG66" s="208"/>
      <c r="AH66" s="208"/>
      <c r="AI66" s="208"/>
      <c r="AJ66" s="208"/>
      <c r="AK66" s="208"/>
    </row>
    <row r="67">
      <c r="A67" s="245">
        <f>IFERROR(__xludf.DUMMYFUNCTION("""COMPUTED_VALUE"""),46213.0)</f>
        <v>46213</v>
      </c>
      <c r="B67" s="246">
        <f>IFERROR(__xludf.DUMMYFUNCTION("""COMPUTED_VALUE"""),0.4375)</f>
        <v>0.4375</v>
      </c>
      <c r="C67" s="222" t="str">
        <f>IFERROR(__xludf.DUMMYFUNCTION("""COMPUTED_VALUE"""),"Whatsapp")</f>
        <v>Whatsapp</v>
      </c>
      <c r="D67" s="222" t="str">
        <f>IFERROR(__xludf.DUMMYFUNCTION("""COMPUTED_VALUE"""),"Fallback campaign")</f>
        <v>Fallback campaign</v>
      </c>
      <c r="E67" s="222" t="str">
        <f>IFERROR(__xludf.DUMMYFUNCTION("""COMPUTED_VALUE"""),"AGIPL")</f>
        <v>AGIPL</v>
      </c>
      <c r="F67" s="222" t="str">
        <f>IFERROR(__xludf.DUMMYFUNCTION("""COMPUTED_VALUE"""),"SAS_July_PJs - PJs")</f>
        <v>SAS_July_PJs - PJs</v>
      </c>
      <c r="G67" s="221" t="str">
        <f>IFERROR(__xludf.DUMMYFUNCTION("""COMPUTED_VALUE"""),"Store Visit_PJs_SAS_BLR (WA_FB_Cross-brand_AL)")</f>
        <v>Store Visit_PJs_SAS_BLR (WA_FB_Cross-brand_AL)</v>
      </c>
      <c r="H67" s="223" t="str">
        <f>IFERROR(__xludf.DUMMYFUNCTION("""COMPUTED_VALUE"""),"VS_ALDO_Bangalore")</f>
        <v>VS_ALDO_Bangalore</v>
      </c>
      <c r="I67" s="221" t="str">
        <f>IFERROR(__xludf.DUMMYFUNCTION("""COMPUTED_VALUE"""),"RCS Undelivered")</f>
        <v>RCS Undelivered</v>
      </c>
      <c r="J67" s="224">
        <f>IFERROR(__xludf.DUMMYFUNCTION("""COMPUTED_VALUE"""),18804.0)</f>
        <v>18804</v>
      </c>
      <c r="K67" s="224">
        <f>IFERROR(__xludf.DUMMYFUNCTION("""COMPUTED_VALUE"""),11523.0)</f>
        <v>11523</v>
      </c>
      <c r="L67" s="225">
        <f>IFERROR(__xludf.DUMMYFUNCTION("""COMPUTED_VALUE"""),0.6127)</f>
        <v>0.6127</v>
      </c>
      <c r="M67" s="224">
        <f>IFERROR(__xludf.DUMMYFUNCTION("""COMPUTED_VALUE"""),3503.0)</f>
        <v>3503</v>
      </c>
      <c r="N67" s="225">
        <f>IFERROR(__xludf.DUMMYFUNCTION("""COMPUTED_VALUE"""),0.3039)</f>
        <v>0.3039</v>
      </c>
      <c r="O67" s="224">
        <f>IFERROR(__xludf.DUMMYFUNCTION("""COMPUTED_VALUE"""),0.0)</f>
        <v>0</v>
      </c>
      <c r="P67" s="224">
        <f>IFERROR(__xludf.DUMMYFUNCTION("""COMPUTED_VALUE"""),0.0)</f>
        <v>0</v>
      </c>
      <c r="Q67" s="225">
        <f>IFERROR(__xludf.DUMMYFUNCTION("""COMPUTED_VALUE"""),0.0)</f>
        <v>0</v>
      </c>
      <c r="R67" s="225">
        <f>IFERROR(__xludf.DUMMYFUNCTION("""COMPUTED_VALUE"""),0.0)</f>
        <v>0</v>
      </c>
      <c r="S67" s="226">
        <f>IFERROR(__xludf.DUMMYFUNCTION("""COMPUTED_VALUE"""),63.0)</f>
        <v>63</v>
      </c>
      <c r="T67" s="226">
        <f>IFERROR(__xludf.DUMMYFUNCTION("""COMPUTED_VALUE"""),0.0)</f>
        <v>0</v>
      </c>
      <c r="U67" s="224">
        <f>IFERROR(__xludf.DUMMYFUNCTION("""COMPUTED_VALUE"""),0.0)</f>
        <v>0</v>
      </c>
      <c r="V67" s="224" t="str">
        <f>IFERROR(__xludf.DUMMYFUNCTION("""COMPUTED_VALUE"""),"offline")</f>
        <v>offline</v>
      </c>
      <c r="W67" s="229" t="str">
        <f>IFERROR(__xludf.DUMMYFUNCTION("""COMPUTED_VALUE"""),"simple")</f>
        <v>simple</v>
      </c>
      <c r="X67" s="229" t="str">
        <f>IFERROR(__xludf.DUMMYFUNCTION("""COMPUTED_VALUE"""),"AL Base")</f>
        <v>AL Base</v>
      </c>
      <c r="Y67" s="229" t="str">
        <f>IFERROR(__xludf.DUMMYFUNCTION("""COMPUTED_VALUE"""),"10th - 12th July")</f>
        <v>10th - 12th July</v>
      </c>
      <c r="Z67" s="229" t="str">
        <f>IFERROR(__xludf.DUMMYFUNCTION("""COMPUTED_VALUE"""),"6a4fab879aa40630e845c64a")</f>
        <v>6a4fab879aa40630e845c64a</v>
      </c>
      <c r="AA67" s="229">
        <f>IFERROR(__xludf.DUMMYFUNCTION("""COMPUTED_VALUE"""),10.0)</f>
        <v>10</v>
      </c>
      <c r="AB67" s="229"/>
      <c r="AC67" s="229">
        <f>IFERROR(__xludf.DUMMYFUNCTION("""COMPUTED_VALUE"""),10.0)</f>
        <v>10</v>
      </c>
      <c r="AD67" s="229">
        <f>IFERROR(__xludf.DUMMYFUNCTION("""COMPUTED_VALUE"""),46984.0)</f>
        <v>46984</v>
      </c>
      <c r="AE67" s="229"/>
      <c r="AF67" s="229">
        <f>IFERROR(__xludf.DUMMYFUNCTION("""COMPUTED_VALUE"""),46984.0)</f>
        <v>46984</v>
      </c>
      <c r="AG67" s="208"/>
      <c r="AH67" s="208"/>
      <c r="AI67" s="208"/>
      <c r="AJ67" s="208"/>
      <c r="AK67" s="208"/>
    </row>
    <row r="68">
      <c r="A68" s="245">
        <f>IFERROR(__xludf.DUMMYFUNCTION("""COMPUTED_VALUE"""),46213.0)</f>
        <v>46213</v>
      </c>
      <c r="B68" s="220">
        <f>IFERROR(__xludf.DUMMYFUNCTION("""COMPUTED_VALUE"""),0.4375)</f>
        <v>0.4375</v>
      </c>
      <c r="C68" s="221" t="str">
        <f>IFERROR(__xludf.DUMMYFUNCTION("""COMPUTED_VALUE"""),"Whatsapp")</f>
        <v>Whatsapp</v>
      </c>
      <c r="D68" s="222" t="str">
        <f>IFERROR(__xludf.DUMMYFUNCTION("""COMPUTED_VALUE"""),"Fallback campaign")</f>
        <v>Fallback campaign</v>
      </c>
      <c r="E68" s="222" t="str">
        <f>IFERROR(__xludf.DUMMYFUNCTION("""COMPUTED_VALUE"""),"AGIPL")</f>
        <v>AGIPL</v>
      </c>
      <c r="F68" s="222" t="str">
        <f>IFERROR(__xludf.DUMMYFUNCTION("""COMPUTED_VALUE"""),"SAS_July_PJs - PJs")</f>
        <v>SAS_July_PJs - PJs</v>
      </c>
      <c r="G68" s="222" t="str">
        <f>IFERROR(__xludf.DUMMYFUNCTION("""COMPUTED_VALUE"""),"Store Visit_PJs_SAS_PUN (WA_FB_Cross-brand_AL)")</f>
        <v>Store Visit_PJs_SAS_PUN (WA_FB_Cross-brand_AL)</v>
      </c>
      <c r="H68" s="222" t="str">
        <f>IFERROR(__xludf.DUMMYFUNCTION("""COMPUTED_VALUE"""),"VS_ALDO_Pune")</f>
        <v>VS_ALDO_Pune</v>
      </c>
      <c r="I68" s="223" t="str">
        <f>IFERROR(__xludf.DUMMYFUNCTION("""COMPUTED_VALUE"""),"RCS Undelivered")</f>
        <v>RCS Undelivered</v>
      </c>
      <c r="J68" s="224">
        <f>IFERROR(__xludf.DUMMYFUNCTION("""COMPUTED_VALUE"""),6658.0)</f>
        <v>6658</v>
      </c>
      <c r="K68" s="224">
        <f>IFERROR(__xludf.DUMMYFUNCTION("""COMPUTED_VALUE"""),4099.0)</f>
        <v>4099</v>
      </c>
      <c r="L68" s="225">
        <f>IFERROR(__xludf.DUMMYFUNCTION("""COMPUTED_VALUE"""),0.6157)</f>
        <v>0.6157</v>
      </c>
      <c r="M68" s="224">
        <f>IFERROR(__xludf.DUMMYFUNCTION("""COMPUTED_VALUE"""),1275.0)</f>
        <v>1275</v>
      </c>
      <c r="N68" s="225">
        <f>IFERROR(__xludf.DUMMYFUNCTION("""COMPUTED_VALUE"""),0.3111)</f>
        <v>0.3111</v>
      </c>
      <c r="O68" s="224">
        <f>IFERROR(__xludf.DUMMYFUNCTION("""COMPUTED_VALUE"""),0.0)</f>
        <v>0</v>
      </c>
      <c r="P68" s="224">
        <f>IFERROR(__xludf.DUMMYFUNCTION("""COMPUTED_VALUE"""),0.0)</f>
        <v>0</v>
      </c>
      <c r="Q68" s="225">
        <f>IFERROR(__xludf.DUMMYFUNCTION("""COMPUTED_VALUE"""),0.0)</f>
        <v>0</v>
      </c>
      <c r="R68" s="225">
        <f>IFERROR(__xludf.DUMMYFUNCTION("""COMPUTED_VALUE"""),0.0)</f>
        <v>0</v>
      </c>
      <c r="S68" s="226">
        <f>IFERROR(__xludf.DUMMYFUNCTION("""COMPUTED_VALUE"""),22.0)</f>
        <v>22</v>
      </c>
      <c r="T68" s="226">
        <f>IFERROR(__xludf.DUMMYFUNCTION("""COMPUTED_VALUE"""),0.0)</f>
        <v>0</v>
      </c>
      <c r="U68" s="224">
        <f>IFERROR(__xludf.DUMMYFUNCTION("""COMPUTED_VALUE"""),0.0)</f>
        <v>0</v>
      </c>
      <c r="V68" s="224" t="str">
        <f>IFERROR(__xludf.DUMMYFUNCTION("""COMPUTED_VALUE"""),"offline")</f>
        <v>offline</v>
      </c>
      <c r="W68" s="229" t="str">
        <f>IFERROR(__xludf.DUMMYFUNCTION("""COMPUTED_VALUE"""),"simple")</f>
        <v>simple</v>
      </c>
      <c r="X68" s="229" t="str">
        <f>IFERROR(__xludf.DUMMYFUNCTION("""COMPUTED_VALUE"""),"AL Base")</f>
        <v>AL Base</v>
      </c>
      <c r="Y68" s="229" t="str">
        <f>IFERROR(__xludf.DUMMYFUNCTION("""COMPUTED_VALUE"""),"10th - 12th July")</f>
        <v>10th - 12th July</v>
      </c>
      <c r="Z68" s="229" t="str">
        <f>IFERROR(__xludf.DUMMYFUNCTION("""COMPUTED_VALUE"""),"6a4fac97f3e345d0abce1929")</f>
        <v>6a4fac97f3e345d0abce1929</v>
      </c>
      <c r="AA68" s="229">
        <f>IFERROR(__xludf.DUMMYFUNCTION("""COMPUTED_VALUE"""),10.0)</f>
        <v>10</v>
      </c>
      <c r="AB68" s="229"/>
      <c r="AC68" s="229">
        <f>IFERROR(__xludf.DUMMYFUNCTION("""COMPUTED_VALUE"""),10.0)</f>
        <v>10</v>
      </c>
      <c r="AD68" s="229">
        <f>IFERROR(__xludf.DUMMYFUNCTION("""COMPUTED_VALUE"""),68558.0)</f>
        <v>68558</v>
      </c>
      <c r="AE68" s="229"/>
      <c r="AF68" s="229">
        <f>IFERROR(__xludf.DUMMYFUNCTION("""COMPUTED_VALUE"""),68558.0)</f>
        <v>68558</v>
      </c>
      <c r="AG68" s="208"/>
      <c r="AH68" s="208"/>
      <c r="AI68" s="208"/>
      <c r="AJ68" s="208"/>
      <c r="AK68" s="208"/>
    </row>
    <row r="69">
      <c r="A69" s="245">
        <f>IFERROR(__xludf.DUMMYFUNCTION("""COMPUTED_VALUE"""),46213.0)</f>
        <v>46213</v>
      </c>
      <c r="B69" s="220">
        <f>IFERROR(__xludf.DUMMYFUNCTION("""COMPUTED_VALUE"""),0.4375)</f>
        <v>0.4375</v>
      </c>
      <c r="C69" s="221" t="str">
        <f>IFERROR(__xludf.DUMMYFUNCTION("""COMPUTED_VALUE"""),"Whatsapp")</f>
        <v>Whatsapp</v>
      </c>
      <c r="D69" s="222" t="str">
        <f>IFERROR(__xludf.DUMMYFUNCTION("""COMPUTED_VALUE"""),"Fallback campaign")</f>
        <v>Fallback campaign</v>
      </c>
      <c r="E69" s="222" t="str">
        <f>IFERROR(__xludf.DUMMYFUNCTION("""COMPUTED_VALUE"""),"AGIPL")</f>
        <v>AGIPL</v>
      </c>
      <c r="F69" s="222" t="str">
        <f>IFERROR(__xludf.DUMMYFUNCTION("""COMPUTED_VALUE"""),"SAS_July_PJs - PJs")</f>
        <v>SAS_July_PJs - PJs</v>
      </c>
      <c r="G69" s="222" t="str">
        <f>IFERROR(__xludf.DUMMYFUNCTION("""COMPUTED_VALUE"""),"Store Visit_PJs_SAS_MUM (WA_FB_Cross-brand_CK)")</f>
        <v>Store Visit_PJs_SAS_MUM (WA_FB_Cross-brand_CK)</v>
      </c>
      <c r="H69" s="222" t="str">
        <f>IFERROR(__xludf.DUMMYFUNCTION("""COMPUTED_VALUE"""),"VS_CK_Mumbai")</f>
        <v>VS_CK_Mumbai</v>
      </c>
      <c r="I69" s="223" t="str">
        <f>IFERROR(__xludf.DUMMYFUNCTION("""COMPUTED_VALUE"""),"RCS Undelivered")</f>
        <v>RCS Undelivered</v>
      </c>
      <c r="J69" s="224">
        <f>IFERROR(__xludf.DUMMYFUNCTION("""COMPUTED_VALUE"""),10036.0)</f>
        <v>10036</v>
      </c>
      <c r="K69" s="224">
        <f>IFERROR(__xludf.DUMMYFUNCTION("""COMPUTED_VALUE"""),5984.0)</f>
        <v>5984</v>
      </c>
      <c r="L69" s="225">
        <f>IFERROR(__xludf.DUMMYFUNCTION("""COMPUTED_VALUE"""),0.5963)</f>
        <v>0.5963</v>
      </c>
      <c r="M69" s="224">
        <f>IFERROR(__xludf.DUMMYFUNCTION("""COMPUTED_VALUE"""),1583.0)</f>
        <v>1583</v>
      </c>
      <c r="N69" s="225">
        <f>IFERROR(__xludf.DUMMYFUNCTION("""COMPUTED_VALUE"""),0.2645)</f>
        <v>0.2645</v>
      </c>
      <c r="O69" s="224">
        <f>IFERROR(__xludf.DUMMYFUNCTION("""COMPUTED_VALUE"""),0.0)</f>
        <v>0</v>
      </c>
      <c r="P69" s="224">
        <f>IFERROR(__xludf.DUMMYFUNCTION("""COMPUTED_VALUE"""),0.0)</f>
        <v>0</v>
      </c>
      <c r="Q69" s="225">
        <f>IFERROR(__xludf.DUMMYFUNCTION("""COMPUTED_VALUE"""),0.0)</f>
        <v>0</v>
      </c>
      <c r="R69" s="225">
        <f>IFERROR(__xludf.DUMMYFUNCTION("""COMPUTED_VALUE"""),0.0)</f>
        <v>0</v>
      </c>
      <c r="S69" s="226">
        <f>IFERROR(__xludf.DUMMYFUNCTION("""COMPUTED_VALUE"""),40.0)</f>
        <v>40</v>
      </c>
      <c r="T69" s="226">
        <f>IFERROR(__xludf.DUMMYFUNCTION("""COMPUTED_VALUE"""),0.0)</f>
        <v>0</v>
      </c>
      <c r="U69" s="224">
        <f>IFERROR(__xludf.DUMMYFUNCTION("""COMPUTED_VALUE"""),0.0)</f>
        <v>0</v>
      </c>
      <c r="V69" s="224" t="str">
        <f>IFERROR(__xludf.DUMMYFUNCTION("""COMPUTED_VALUE"""),"offline")</f>
        <v>offline</v>
      </c>
      <c r="W69" s="229" t="str">
        <f>IFERROR(__xludf.DUMMYFUNCTION("""COMPUTED_VALUE"""),"simple")</f>
        <v>simple</v>
      </c>
      <c r="X69" s="229" t="str">
        <f>IFERROR(__xludf.DUMMYFUNCTION("""COMPUTED_VALUE"""),"CK Base")</f>
        <v>CK Base</v>
      </c>
      <c r="Y69" s="229" t="str">
        <f>IFERROR(__xludf.DUMMYFUNCTION("""COMPUTED_VALUE"""),"10th - 12th July")</f>
        <v>10th - 12th July</v>
      </c>
      <c r="Z69" s="229" t="str">
        <f>IFERROR(__xludf.DUMMYFUNCTION("""COMPUTED_VALUE"""),"6a4fad0b231bcbdb0ecba5cd")</f>
        <v>6a4fad0b231bcbdb0ecba5cd</v>
      </c>
      <c r="AA69" s="229">
        <f>IFERROR(__xludf.DUMMYFUNCTION("""COMPUTED_VALUE"""),14.0)</f>
        <v>14</v>
      </c>
      <c r="AB69" s="229"/>
      <c r="AC69" s="229">
        <f>IFERROR(__xludf.DUMMYFUNCTION("""COMPUTED_VALUE"""),14.0)</f>
        <v>14</v>
      </c>
      <c r="AD69" s="229">
        <f>IFERROR(__xludf.DUMMYFUNCTION("""COMPUTED_VALUE"""),105893.0)</f>
        <v>105893</v>
      </c>
      <c r="AE69" s="229"/>
      <c r="AF69" s="229">
        <f>IFERROR(__xludf.DUMMYFUNCTION("""COMPUTED_VALUE"""),105893.0)</f>
        <v>105893</v>
      </c>
      <c r="AG69" s="208"/>
      <c r="AH69" s="208"/>
      <c r="AI69" s="208"/>
      <c r="AJ69" s="208"/>
      <c r="AK69" s="208"/>
    </row>
    <row r="70">
      <c r="A70" s="216">
        <f>IFERROR(__xludf.DUMMYFUNCTION("""COMPUTED_VALUE"""),46213.0)</f>
        <v>46213</v>
      </c>
      <c r="B70" s="210">
        <f>IFERROR(__xludf.DUMMYFUNCTION("""COMPUTED_VALUE"""),0.4375)</f>
        <v>0.4375</v>
      </c>
      <c r="C70" s="211" t="str">
        <f>IFERROR(__xludf.DUMMYFUNCTION("""COMPUTED_VALUE"""),"Whatsapp")</f>
        <v>Whatsapp</v>
      </c>
      <c r="D70" s="211" t="str">
        <f>IFERROR(__xludf.DUMMYFUNCTION("""COMPUTED_VALUE"""),"Fallback campaign")</f>
        <v>Fallback campaign</v>
      </c>
      <c r="E70" s="211" t="str">
        <f>IFERROR(__xludf.DUMMYFUNCTION("""COMPUTED_VALUE"""),"AGIPL")</f>
        <v>AGIPL</v>
      </c>
      <c r="F70" s="211" t="str">
        <f>IFERROR(__xludf.DUMMYFUNCTION("""COMPUTED_VALUE"""),"SAS_July_PJs - PJs")</f>
        <v>SAS_July_PJs - PJs</v>
      </c>
      <c r="G70" s="218" t="str">
        <f>IFERROR(__xludf.DUMMYFUNCTION("""COMPUTED_VALUE"""),"Store Visit_PJs_SAS_DEL (WA_FB_Cross-brand_CK)")</f>
        <v>Store Visit_PJs_SAS_DEL (WA_FB_Cross-brand_CK)</v>
      </c>
      <c r="H70" s="218" t="str">
        <f>IFERROR(__xludf.DUMMYFUNCTION("""COMPUTED_VALUE"""),"VS_CK_Delhi")</f>
        <v>VS_CK_Delhi</v>
      </c>
      <c r="I70" s="212" t="str">
        <f>IFERROR(__xludf.DUMMYFUNCTION("""COMPUTED_VALUE"""),"RCS Undelivered")</f>
        <v>RCS Undelivered</v>
      </c>
      <c r="J70" s="213">
        <f>IFERROR(__xludf.DUMMYFUNCTION("""COMPUTED_VALUE"""),16343.0)</f>
        <v>16343</v>
      </c>
      <c r="K70" s="213">
        <f>IFERROR(__xludf.DUMMYFUNCTION("""COMPUTED_VALUE"""),9597.0)</f>
        <v>9597</v>
      </c>
      <c r="L70" s="214">
        <f>IFERROR(__xludf.DUMMYFUNCTION("""COMPUTED_VALUE"""),0.5872)</f>
        <v>0.5872</v>
      </c>
      <c r="M70" s="213">
        <f>IFERROR(__xludf.DUMMYFUNCTION("""COMPUTED_VALUE"""),2402.0)</f>
        <v>2402</v>
      </c>
      <c r="N70" s="214">
        <f>IFERROR(__xludf.DUMMYFUNCTION("""COMPUTED_VALUE"""),0.2503)</f>
        <v>0.2503</v>
      </c>
      <c r="O70" s="213">
        <f>IFERROR(__xludf.DUMMYFUNCTION("""COMPUTED_VALUE"""),0.0)</f>
        <v>0</v>
      </c>
      <c r="P70" s="213">
        <f>IFERROR(__xludf.DUMMYFUNCTION("""COMPUTED_VALUE"""),0.0)</f>
        <v>0</v>
      </c>
      <c r="Q70" s="214">
        <f>IFERROR(__xludf.DUMMYFUNCTION("""COMPUTED_VALUE"""),0.0)</f>
        <v>0</v>
      </c>
      <c r="R70" s="214">
        <f>IFERROR(__xludf.DUMMYFUNCTION("""COMPUTED_VALUE"""),0.0)</f>
        <v>0</v>
      </c>
      <c r="S70" s="101">
        <f>IFERROR(__xludf.DUMMYFUNCTION("""COMPUTED_VALUE"""),63.0)</f>
        <v>63</v>
      </c>
      <c r="T70" s="101">
        <f>IFERROR(__xludf.DUMMYFUNCTION("""COMPUTED_VALUE"""),0.0)</f>
        <v>0</v>
      </c>
      <c r="U70" s="213">
        <f>IFERROR(__xludf.DUMMYFUNCTION("""COMPUTED_VALUE"""),0.0)</f>
        <v>0</v>
      </c>
      <c r="V70" s="213" t="str">
        <f>IFERROR(__xludf.DUMMYFUNCTION("""COMPUTED_VALUE"""),"offline")</f>
        <v>offline</v>
      </c>
      <c r="W70" s="98" t="str">
        <f>IFERROR(__xludf.DUMMYFUNCTION("""COMPUTED_VALUE"""),"simple")</f>
        <v>simple</v>
      </c>
      <c r="X70" s="98" t="str">
        <f>IFERROR(__xludf.DUMMYFUNCTION("""COMPUTED_VALUE"""),"CK Base")</f>
        <v>CK Base</v>
      </c>
      <c r="Y70" s="98" t="str">
        <f>IFERROR(__xludf.DUMMYFUNCTION("""COMPUTED_VALUE"""),"10th - 12th July")</f>
        <v>10th - 12th July</v>
      </c>
      <c r="Z70" s="98" t="str">
        <f>IFERROR(__xludf.DUMMYFUNCTION("""COMPUTED_VALUE"""),"6a4fad88d7475a0f3677407b")</f>
        <v>6a4fad88d7475a0f3677407b</v>
      </c>
      <c r="AA70" s="98">
        <f>IFERROR(__xludf.DUMMYFUNCTION("""COMPUTED_VALUE"""),10.0)</f>
        <v>10</v>
      </c>
      <c r="AB70" s="98"/>
      <c r="AC70" s="98">
        <f>IFERROR(__xludf.DUMMYFUNCTION("""COMPUTED_VALUE"""),10.0)</f>
        <v>10</v>
      </c>
      <c r="AD70" s="98">
        <f>IFERROR(__xludf.DUMMYFUNCTION("""COMPUTED_VALUE"""),49622.0)</f>
        <v>49622</v>
      </c>
      <c r="AE70" s="98"/>
      <c r="AF70" s="98">
        <f>IFERROR(__xludf.DUMMYFUNCTION("""COMPUTED_VALUE"""),49622.0)</f>
        <v>49622</v>
      </c>
      <c r="AG70" s="208"/>
      <c r="AH70" s="208"/>
      <c r="AI70" s="208"/>
      <c r="AJ70" s="208"/>
      <c r="AK70" s="208"/>
    </row>
    <row r="71">
      <c r="A71" s="216">
        <f>IFERROR(__xludf.DUMMYFUNCTION("""COMPUTED_VALUE"""),46213.0)</f>
        <v>46213</v>
      </c>
      <c r="B71" s="210">
        <f>IFERROR(__xludf.DUMMYFUNCTION("""COMPUTED_VALUE"""),0.4375)</f>
        <v>0.4375</v>
      </c>
      <c r="C71" s="211" t="str">
        <f>IFERROR(__xludf.DUMMYFUNCTION("""COMPUTED_VALUE"""),"Whatsapp")</f>
        <v>Whatsapp</v>
      </c>
      <c r="D71" s="211" t="str">
        <f>IFERROR(__xludf.DUMMYFUNCTION("""COMPUTED_VALUE"""),"Fallback campaign")</f>
        <v>Fallback campaign</v>
      </c>
      <c r="E71" s="211" t="str">
        <f>IFERROR(__xludf.DUMMYFUNCTION("""COMPUTED_VALUE"""),"AGIPL")</f>
        <v>AGIPL</v>
      </c>
      <c r="F71" s="211" t="str">
        <f>IFERROR(__xludf.DUMMYFUNCTION("""COMPUTED_VALUE"""),"SAS_July_PJs - PJs")</f>
        <v>SAS_July_PJs - PJs</v>
      </c>
      <c r="G71" s="218" t="str">
        <f>IFERROR(__xludf.DUMMYFUNCTION("""COMPUTED_VALUE"""),"Store Visit_PJs_SAS_BLR (WA_FB_Cross-brand_CK)")</f>
        <v>Store Visit_PJs_SAS_BLR (WA_FB_Cross-brand_CK)</v>
      </c>
      <c r="H71" s="218" t="str">
        <f>IFERROR(__xludf.DUMMYFUNCTION("""COMPUTED_VALUE"""),"VS_CK_Bangalore")</f>
        <v>VS_CK_Bangalore</v>
      </c>
      <c r="I71" s="212" t="str">
        <f>IFERROR(__xludf.DUMMYFUNCTION("""COMPUTED_VALUE"""),"RCS Undelivered")</f>
        <v>RCS Undelivered</v>
      </c>
      <c r="J71" s="213">
        <f>IFERROR(__xludf.DUMMYFUNCTION("""COMPUTED_VALUE"""),10572.0)</f>
        <v>10572</v>
      </c>
      <c r="K71" s="213">
        <f>IFERROR(__xludf.DUMMYFUNCTION("""COMPUTED_VALUE"""),6002.0)</f>
        <v>6002</v>
      </c>
      <c r="L71" s="214">
        <f>IFERROR(__xludf.DUMMYFUNCTION("""COMPUTED_VALUE"""),0.5677)</f>
        <v>0.5677</v>
      </c>
      <c r="M71" s="213">
        <f>IFERROR(__xludf.DUMMYFUNCTION("""COMPUTED_VALUE"""),1518.0)</f>
        <v>1518</v>
      </c>
      <c r="N71" s="214">
        <f>IFERROR(__xludf.DUMMYFUNCTION("""COMPUTED_VALUE"""),0.2529)</f>
        <v>0.2529</v>
      </c>
      <c r="O71" s="213">
        <f>IFERROR(__xludf.DUMMYFUNCTION("""COMPUTED_VALUE"""),0.0)</f>
        <v>0</v>
      </c>
      <c r="P71" s="213">
        <f>IFERROR(__xludf.DUMMYFUNCTION("""COMPUTED_VALUE"""),0.0)</f>
        <v>0</v>
      </c>
      <c r="Q71" s="214">
        <f>IFERROR(__xludf.DUMMYFUNCTION("""COMPUTED_VALUE"""),0.0)</f>
        <v>0</v>
      </c>
      <c r="R71" s="214">
        <f>IFERROR(__xludf.DUMMYFUNCTION("""COMPUTED_VALUE"""),0.0)</f>
        <v>0</v>
      </c>
      <c r="S71" s="101">
        <f>IFERROR(__xludf.DUMMYFUNCTION("""COMPUTED_VALUE"""),31.0)</f>
        <v>31</v>
      </c>
      <c r="T71" s="101">
        <f>IFERROR(__xludf.DUMMYFUNCTION("""COMPUTED_VALUE"""),0.0)</f>
        <v>0</v>
      </c>
      <c r="U71" s="213">
        <f>IFERROR(__xludf.DUMMYFUNCTION("""COMPUTED_VALUE"""),0.0)</f>
        <v>0</v>
      </c>
      <c r="V71" s="213" t="str">
        <f>IFERROR(__xludf.DUMMYFUNCTION("""COMPUTED_VALUE"""),"offline")</f>
        <v>offline</v>
      </c>
      <c r="W71" s="98" t="str">
        <f>IFERROR(__xludf.DUMMYFUNCTION("""COMPUTED_VALUE"""),"simple")</f>
        <v>simple</v>
      </c>
      <c r="X71" s="98" t="str">
        <f>IFERROR(__xludf.DUMMYFUNCTION("""COMPUTED_VALUE"""),"CK Base")</f>
        <v>CK Base</v>
      </c>
      <c r="Y71" s="98" t="str">
        <f>IFERROR(__xludf.DUMMYFUNCTION("""COMPUTED_VALUE"""),"10th - 12th July")</f>
        <v>10th - 12th July</v>
      </c>
      <c r="Z71" s="98" t="str">
        <f>IFERROR(__xludf.DUMMYFUNCTION("""COMPUTED_VALUE"""),"6a4fae09fc05ac9e5526d902")</f>
        <v>6a4fae09fc05ac9e5526d902</v>
      </c>
      <c r="AA71" s="98">
        <f>IFERROR(__xludf.DUMMYFUNCTION("""COMPUTED_VALUE"""),11.0)</f>
        <v>11</v>
      </c>
      <c r="AB71" s="98"/>
      <c r="AC71" s="98">
        <f>IFERROR(__xludf.DUMMYFUNCTION("""COMPUTED_VALUE"""),11.0)</f>
        <v>11</v>
      </c>
      <c r="AD71" s="98">
        <f>IFERROR(__xludf.DUMMYFUNCTION("""COMPUTED_VALUE"""),91484.0)</f>
        <v>91484</v>
      </c>
      <c r="AE71" s="98"/>
      <c r="AF71" s="98">
        <f>IFERROR(__xludf.DUMMYFUNCTION("""COMPUTED_VALUE"""),91484.0)</f>
        <v>91484</v>
      </c>
      <c r="AG71" s="208"/>
      <c r="AH71" s="208"/>
      <c r="AI71" s="208"/>
      <c r="AJ71" s="208"/>
      <c r="AK71" s="208"/>
    </row>
    <row r="72">
      <c r="A72" s="216">
        <f>IFERROR(__xludf.DUMMYFUNCTION("""COMPUTED_VALUE"""),46213.0)</f>
        <v>46213</v>
      </c>
      <c r="B72" s="210">
        <f>IFERROR(__xludf.DUMMYFUNCTION("""COMPUTED_VALUE"""),0.4375)</f>
        <v>0.4375</v>
      </c>
      <c r="C72" s="211" t="str">
        <f>IFERROR(__xludf.DUMMYFUNCTION("""COMPUTED_VALUE"""),"Whatsapp")</f>
        <v>Whatsapp</v>
      </c>
      <c r="D72" s="211" t="str">
        <f>IFERROR(__xludf.DUMMYFUNCTION("""COMPUTED_VALUE"""),"Fallback campaign")</f>
        <v>Fallback campaign</v>
      </c>
      <c r="E72" s="211" t="str">
        <f>IFERROR(__xludf.DUMMYFUNCTION("""COMPUTED_VALUE"""),"AGIPL")</f>
        <v>AGIPL</v>
      </c>
      <c r="F72" s="211" t="str">
        <f>IFERROR(__xludf.DUMMYFUNCTION("""COMPUTED_VALUE"""),"SAS_July_PJs - PJs")</f>
        <v>SAS_July_PJs - PJs</v>
      </c>
      <c r="G72" s="218" t="str">
        <f>IFERROR(__xludf.DUMMYFUNCTION("""COMPUTED_VALUE"""),"Store Visit_PJs_SAS_PUN (WA_FB_Cross-brand_CK)")</f>
        <v>Store Visit_PJs_SAS_PUN (WA_FB_Cross-brand_CK)</v>
      </c>
      <c r="H72" s="218" t="str">
        <f>IFERROR(__xludf.DUMMYFUNCTION("""COMPUTED_VALUE"""),"VS_CK_Pune")</f>
        <v>VS_CK_Pune</v>
      </c>
      <c r="I72" s="212" t="str">
        <f>IFERROR(__xludf.DUMMYFUNCTION("""COMPUTED_VALUE"""),"RCS Undelivered")</f>
        <v>RCS Undelivered</v>
      </c>
      <c r="J72" s="213">
        <f>IFERROR(__xludf.DUMMYFUNCTION("""COMPUTED_VALUE"""),3803.0)</f>
        <v>3803</v>
      </c>
      <c r="K72" s="213">
        <f>IFERROR(__xludf.DUMMYFUNCTION("""COMPUTED_VALUE"""),2161.0)</f>
        <v>2161</v>
      </c>
      <c r="L72" s="214">
        <f>IFERROR(__xludf.DUMMYFUNCTION("""COMPUTED_VALUE"""),0.5682)</f>
        <v>0.5682</v>
      </c>
      <c r="M72" s="213">
        <f>IFERROR(__xludf.DUMMYFUNCTION("""COMPUTED_VALUE"""),599.0)</f>
        <v>599</v>
      </c>
      <c r="N72" s="214">
        <f>IFERROR(__xludf.DUMMYFUNCTION("""COMPUTED_VALUE"""),0.2772)</f>
        <v>0.2772</v>
      </c>
      <c r="O72" s="213">
        <f>IFERROR(__xludf.DUMMYFUNCTION("""COMPUTED_VALUE"""),0.0)</f>
        <v>0</v>
      </c>
      <c r="P72" s="213">
        <f>IFERROR(__xludf.DUMMYFUNCTION("""COMPUTED_VALUE"""),0.0)</f>
        <v>0</v>
      </c>
      <c r="Q72" s="214">
        <f>IFERROR(__xludf.DUMMYFUNCTION("""COMPUTED_VALUE"""),0.0)</f>
        <v>0</v>
      </c>
      <c r="R72" s="214">
        <f>IFERROR(__xludf.DUMMYFUNCTION("""COMPUTED_VALUE"""),0.0)</f>
        <v>0</v>
      </c>
      <c r="S72" s="101">
        <f>IFERROR(__xludf.DUMMYFUNCTION("""COMPUTED_VALUE"""),13.0)</f>
        <v>13</v>
      </c>
      <c r="T72" s="101">
        <f>IFERROR(__xludf.DUMMYFUNCTION("""COMPUTED_VALUE"""),0.0)</f>
        <v>0</v>
      </c>
      <c r="U72" s="213">
        <f>IFERROR(__xludf.DUMMYFUNCTION("""COMPUTED_VALUE"""),0.0)</f>
        <v>0</v>
      </c>
      <c r="V72" s="213" t="str">
        <f>IFERROR(__xludf.DUMMYFUNCTION("""COMPUTED_VALUE"""),"offline")</f>
        <v>offline</v>
      </c>
      <c r="W72" s="98" t="str">
        <f>IFERROR(__xludf.DUMMYFUNCTION("""COMPUTED_VALUE"""),"simple")</f>
        <v>simple</v>
      </c>
      <c r="X72" s="98" t="str">
        <f>IFERROR(__xludf.DUMMYFUNCTION("""COMPUTED_VALUE"""),"CK Base")</f>
        <v>CK Base</v>
      </c>
      <c r="Y72" s="98" t="str">
        <f>IFERROR(__xludf.DUMMYFUNCTION("""COMPUTED_VALUE"""),"10th - 12th July")</f>
        <v>10th - 12th July</v>
      </c>
      <c r="Z72" s="98" t="str">
        <f>IFERROR(__xludf.DUMMYFUNCTION("""COMPUTED_VALUE"""),"6a4faeec793bc6c996e9b256")</f>
        <v>6a4faeec793bc6c996e9b256</v>
      </c>
      <c r="AA72" s="98">
        <f>IFERROR(__xludf.DUMMYFUNCTION("""COMPUTED_VALUE"""),5.0)</f>
        <v>5</v>
      </c>
      <c r="AB72" s="98"/>
      <c r="AC72" s="98">
        <f>IFERROR(__xludf.DUMMYFUNCTION("""COMPUTED_VALUE"""),5.0)</f>
        <v>5</v>
      </c>
      <c r="AD72" s="98">
        <f>IFERROR(__xludf.DUMMYFUNCTION("""COMPUTED_VALUE"""),21466.0)</f>
        <v>21466</v>
      </c>
      <c r="AE72" s="98"/>
      <c r="AF72" s="98">
        <f>IFERROR(__xludf.DUMMYFUNCTION("""COMPUTED_VALUE"""),21466.0)</f>
        <v>21466</v>
      </c>
      <c r="AG72" s="208"/>
      <c r="AH72" s="208"/>
      <c r="AI72" s="208"/>
      <c r="AJ72" s="208"/>
      <c r="AK72" s="208"/>
    </row>
    <row r="73">
      <c r="A73" s="216">
        <f>IFERROR(__xludf.DUMMYFUNCTION("""COMPUTED_VALUE"""),46213.0)</f>
        <v>46213</v>
      </c>
      <c r="B73" s="210">
        <f>IFERROR(__xludf.DUMMYFUNCTION("""COMPUTED_VALUE"""),0.5)</f>
        <v>0.5</v>
      </c>
      <c r="C73" s="211" t="str">
        <f>IFERROR(__xludf.DUMMYFUNCTION("""COMPUTED_VALUE"""),"Sms")</f>
        <v>Sms</v>
      </c>
      <c r="D73" s="211" t="str">
        <f>IFERROR(__xludf.DUMMYFUNCTION("""COMPUTED_VALUE"""),"Fallback campaign")</f>
        <v>Fallback campaign</v>
      </c>
      <c r="E73" s="211" t="str">
        <f>IFERROR(__xludf.DUMMYFUNCTION("""COMPUTED_VALUE"""),"AGIPL")</f>
        <v>AGIPL</v>
      </c>
      <c r="F73" s="211" t="str">
        <f>IFERROR(__xludf.DUMMYFUNCTION("""COMPUTED_VALUE"""),"SAS_July_PJs - PJs")</f>
        <v>SAS_July_PJs - PJs</v>
      </c>
      <c r="G73" s="218" t="str">
        <f>IFERROR(__xludf.DUMMYFUNCTION("""COMPUTED_VALUE"""),"Store Visit_PJs_SAS_MUM (SMS_FB_AL)")</f>
        <v>Store Visit_PJs_SAS_MUM (SMS_FB_AL)</v>
      </c>
      <c r="H73" s="218" t="str">
        <f>IFERROR(__xludf.DUMMYFUNCTION("""COMPUTED_VALUE"""),"VS_ALDOa_Mumbai")</f>
        <v>VS_ALDOa_Mumbai</v>
      </c>
      <c r="I73" s="212" t="str">
        <f>IFERROR(__xludf.DUMMYFUNCTION("""COMPUTED_VALUE"""),"WA Undelivered")</f>
        <v>WA Undelivered</v>
      </c>
      <c r="J73" s="213">
        <f>IFERROR(__xludf.DUMMYFUNCTION("""COMPUTED_VALUE"""),4975.0)</f>
        <v>4975</v>
      </c>
      <c r="K73" s="213">
        <f>IFERROR(__xludf.DUMMYFUNCTION("""COMPUTED_VALUE"""),2450.0)</f>
        <v>2450</v>
      </c>
      <c r="L73" s="214">
        <f>IFERROR(__xludf.DUMMYFUNCTION("""COMPUTED_VALUE"""),0.4925)</f>
        <v>0.4925</v>
      </c>
      <c r="M73" s="213">
        <f>IFERROR(__xludf.DUMMYFUNCTION("""COMPUTED_VALUE"""),0.0)</f>
        <v>0</v>
      </c>
      <c r="N73" s="214">
        <f>IFERROR(__xludf.DUMMYFUNCTION("""COMPUTED_VALUE"""),0.0)</f>
        <v>0</v>
      </c>
      <c r="O73" s="213">
        <f>IFERROR(__xludf.DUMMYFUNCTION("""COMPUTED_VALUE"""),0.0)</f>
        <v>0</v>
      </c>
      <c r="P73" s="213">
        <f>IFERROR(__xludf.DUMMYFUNCTION("""COMPUTED_VALUE"""),0.0)</f>
        <v>0</v>
      </c>
      <c r="Q73" s="214">
        <f>IFERROR(__xludf.DUMMYFUNCTION("""COMPUTED_VALUE"""),0.0)</f>
        <v>0</v>
      </c>
      <c r="R73" s="214">
        <f>IFERROR(__xludf.DUMMYFUNCTION("""COMPUTED_VALUE"""),0.0)</f>
        <v>0</v>
      </c>
      <c r="S73" s="101">
        <f>IFERROR(__xludf.DUMMYFUNCTION("""COMPUTED_VALUE"""),12.0)</f>
        <v>12</v>
      </c>
      <c r="T73" s="101">
        <f>IFERROR(__xludf.DUMMYFUNCTION("""COMPUTED_VALUE"""),0.0)</f>
        <v>0</v>
      </c>
      <c r="U73" s="213">
        <f>IFERROR(__xludf.DUMMYFUNCTION("""COMPUTED_VALUE"""),112669.0)</f>
        <v>112669</v>
      </c>
      <c r="V73" s="213" t="str">
        <f>IFERROR(__xludf.DUMMYFUNCTION("""COMPUTED_VALUE"""),"offline")</f>
        <v>offline</v>
      </c>
      <c r="W73" s="98" t="str">
        <f>IFERROR(__xludf.DUMMYFUNCTION("""COMPUTED_VALUE"""),"Sms")</f>
        <v>Sms</v>
      </c>
      <c r="X73" s="98" t="str">
        <f>IFERROR(__xludf.DUMMYFUNCTION("""COMPUTED_VALUE"""),"AL Base")</f>
        <v>AL Base</v>
      </c>
      <c r="Y73" s="98" t="str">
        <f>IFERROR(__xludf.DUMMYFUNCTION("""COMPUTED_VALUE"""),"10th - 12th July")</f>
        <v>10th - 12th July</v>
      </c>
      <c r="Z73" s="98" t="str">
        <f>IFERROR(__xludf.DUMMYFUNCTION("""COMPUTED_VALUE"""),"6a4fafc3c71f297b82aafda5")</f>
        <v>6a4fafc3c71f297b82aafda5</v>
      </c>
      <c r="AA73" s="98">
        <f>IFERROR(__xludf.DUMMYFUNCTION("""COMPUTED_VALUE"""),4.0)</f>
        <v>4</v>
      </c>
      <c r="AB73" s="98"/>
      <c r="AC73" s="98">
        <f>IFERROR(__xludf.DUMMYFUNCTION("""COMPUTED_VALUE"""),4.0)</f>
        <v>4</v>
      </c>
      <c r="AD73" s="98">
        <f>IFERROR(__xludf.DUMMYFUNCTION("""COMPUTED_VALUE"""),28027.0)</f>
        <v>28027</v>
      </c>
      <c r="AE73" s="98"/>
      <c r="AF73" s="98">
        <f>IFERROR(__xludf.DUMMYFUNCTION("""COMPUTED_VALUE"""),28027.0)</f>
        <v>28027</v>
      </c>
      <c r="AG73" s="208"/>
      <c r="AH73" s="208"/>
      <c r="AI73" s="208"/>
      <c r="AJ73" s="208"/>
      <c r="AK73" s="208"/>
    </row>
    <row r="74">
      <c r="A74" s="216">
        <f>IFERROR(__xludf.DUMMYFUNCTION("""COMPUTED_VALUE"""),46213.0)</f>
        <v>46213</v>
      </c>
      <c r="B74" s="210">
        <f>IFERROR(__xludf.DUMMYFUNCTION("""COMPUTED_VALUE"""),0.5)</f>
        <v>0.5</v>
      </c>
      <c r="C74" s="211" t="str">
        <f>IFERROR(__xludf.DUMMYFUNCTION("""COMPUTED_VALUE"""),"Sms")</f>
        <v>Sms</v>
      </c>
      <c r="D74" s="211" t="str">
        <f>IFERROR(__xludf.DUMMYFUNCTION("""COMPUTED_VALUE"""),"Fallback campaign")</f>
        <v>Fallback campaign</v>
      </c>
      <c r="E74" s="211" t="str">
        <f>IFERROR(__xludf.DUMMYFUNCTION("""COMPUTED_VALUE"""),"AGIPL")</f>
        <v>AGIPL</v>
      </c>
      <c r="F74" s="211" t="str">
        <f>IFERROR(__xludf.DUMMYFUNCTION("""COMPUTED_VALUE"""),"SAS_July_PJs - PJs")</f>
        <v>SAS_July_PJs - PJs</v>
      </c>
      <c r="G74" s="218" t="str">
        <f>IFERROR(__xludf.DUMMYFUNCTION("""COMPUTED_VALUE"""),"Store Visit_PJs_SAS_DEL (SMS_FB_AL)")</f>
        <v>Store Visit_PJs_SAS_DEL (SMS_FB_AL)</v>
      </c>
      <c r="H74" s="218" t="str">
        <f>IFERROR(__xludf.DUMMYFUNCTION("""COMPUTED_VALUE"""),"VS_ALDO_Delhi")</f>
        <v>VS_ALDO_Delhi</v>
      </c>
      <c r="I74" s="212" t="str">
        <f>IFERROR(__xludf.DUMMYFUNCTION("""COMPUTED_VALUE"""),"WA Undelivered")</f>
        <v>WA Undelivered</v>
      </c>
      <c r="J74" s="213">
        <f>IFERROR(__xludf.DUMMYFUNCTION("""COMPUTED_VALUE"""),4740.0)</f>
        <v>4740</v>
      </c>
      <c r="K74" s="213">
        <f>IFERROR(__xludf.DUMMYFUNCTION("""COMPUTED_VALUE"""),2403.0)</f>
        <v>2403</v>
      </c>
      <c r="L74" s="214">
        <f>IFERROR(__xludf.DUMMYFUNCTION("""COMPUTED_VALUE"""),0.507)</f>
        <v>0.507</v>
      </c>
      <c r="M74" s="213">
        <f>IFERROR(__xludf.DUMMYFUNCTION("""COMPUTED_VALUE"""),0.0)</f>
        <v>0</v>
      </c>
      <c r="N74" s="214">
        <f>IFERROR(__xludf.DUMMYFUNCTION("""COMPUTED_VALUE"""),0.0)</f>
        <v>0</v>
      </c>
      <c r="O74" s="213">
        <f>IFERROR(__xludf.DUMMYFUNCTION("""COMPUTED_VALUE"""),0.0)</f>
        <v>0</v>
      </c>
      <c r="P74" s="213">
        <f>IFERROR(__xludf.DUMMYFUNCTION("""COMPUTED_VALUE"""),0.0)</f>
        <v>0</v>
      </c>
      <c r="Q74" s="214">
        <f>IFERROR(__xludf.DUMMYFUNCTION("""COMPUTED_VALUE"""),0.0)</f>
        <v>0</v>
      </c>
      <c r="R74" s="214">
        <f>IFERROR(__xludf.DUMMYFUNCTION("""COMPUTED_VALUE"""),0.0)</f>
        <v>0</v>
      </c>
      <c r="S74" s="101">
        <f>IFERROR(__xludf.DUMMYFUNCTION("""COMPUTED_VALUE"""),11.0)</f>
        <v>11</v>
      </c>
      <c r="T74" s="101">
        <f>IFERROR(__xludf.DUMMYFUNCTION("""COMPUTED_VALUE"""),0.0)</f>
        <v>0</v>
      </c>
      <c r="U74" s="213">
        <f>IFERROR(__xludf.DUMMYFUNCTION("""COMPUTED_VALUE"""),235890.0)</f>
        <v>235890</v>
      </c>
      <c r="V74" s="213" t="str">
        <f>IFERROR(__xludf.DUMMYFUNCTION("""COMPUTED_VALUE"""),"offline")</f>
        <v>offline</v>
      </c>
      <c r="W74" s="98" t="str">
        <f>IFERROR(__xludf.DUMMYFUNCTION("""COMPUTED_VALUE"""),"Sms")</f>
        <v>Sms</v>
      </c>
      <c r="X74" s="98" t="str">
        <f>IFERROR(__xludf.DUMMYFUNCTION("""COMPUTED_VALUE"""),"AL Base")</f>
        <v>AL Base</v>
      </c>
      <c r="Y74" s="98" t="str">
        <f>IFERROR(__xludf.DUMMYFUNCTION("""COMPUTED_VALUE"""),"10th - 12th July")</f>
        <v>10th - 12th July</v>
      </c>
      <c r="Z74" s="98" t="str">
        <f>IFERROR(__xludf.DUMMYFUNCTION("""COMPUTED_VALUE"""),"6a4fb021fe8d79172a5b5311")</f>
        <v>6a4fb021fe8d79172a5b5311</v>
      </c>
      <c r="AA74" s="98">
        <f>IFERROR(__xludf.DUMMYFUNCTION("""COMPUTED_VALUE"""),2.0)</f>
        <v>2</v>
      </c>
      <c r="AB74" s="98"/>
      <c r="AC74" s="98">
        <f>IFERROR(__xludf.DUMMYFUNCTION("""COMPUTED_VALUE"""),2.0)</f>
        <v>2</v>
      </c>
      <c r="AD74" s="98">
        <f>IFERROR(__xludf.DUMMYFUNCTION("""COMPUTED_VALUE"""),77000.0)</f>
        <v>77000</v>
      </c>
      <c r="AE74" s="98"/>
      <c r="AF74" s="98">
        <f>IFERROR(__xludf.DUMMYFUNCTION("""COMPUTED_VALUE"""),77000.0)</f>
        <v>77000</v>
      </c>
      <c r="AG74" s="208"/>
      <c r="AH74" s="208"/>
      <c r="AI74" s="208"/>
      <c r="AJ74" s="208"/>
      <c r="AK74" s="208"/>
    </row>
    <row r="75">
      <c r="A75" s="216">
        <f>IFERROR(__xludf.DUMMYFUNCTION("""COMPUTED_VALUE"""),46213.0)</f>
        <v>46213</v>
      </c>
      <c r="B75" s="210">
        <f>IFERROR(__xludf.DUMMYFUNCTION("""COMPUTED_VALUE"""),0.5)</f>
        <v>0.5</v>
      </c>
      <c r="C75" s="211" t="str">
        <f>IFERROR(__xludf.DUMMYFUNCTION("""COMPUTED_VALUE"""),"Sms")</f>
        <v>Sms</v>
      </c>
      <c r="D75" s="211" t="str">
        <f>IFERROR(__xludf.DUMMYFUNCTION("""COMPUTED_VALUE"""),"Fallback campaign")</f>
        <v>Fallback campaign</v>
      </c>
      <c r="E75" s="211" t="str">
        <f>IFERROR(__xludf.DUMMYFUNCTION("""COMPUTED_VALUE"""),"AGIPL")</f>
        <v>AGIPL</v>
      </c>
      <c r="F75" s="211" t="str">
        <f>IFERROR(__xludf.DUMMYFUNCTION("""COMPUTED_VALUE"""),"SAS_July_PJs - PJs")</f>
        <v>SAS_July_PJs - PJs</v>
      </c>
      <c r="G75" s="218" t="str">
        <f>IFERROR(__xludf.DUMMYFUNCTION("""COMPUTED_VALUE"""),"Store Visit_PJs_SAS_BLR (SMS_FB_AL)")</f>
        <v>Store Visit_PJs_SAS_BLR (SMS_FB_AL)</v>
      </c>
      <c r="H75" s="218" t="str">
        <f>IFERROR(__xludf.DUMMYFUNCTION("""COMPUTED_VALUE"""),"VS_ALDO_Bangalore")</f>
        <v>VS_ALDO_Bangalore</v>
      </c>
      <c r="I75" s="212" t="str">
        <f>IFERROR(__xludf.DUMMYFUNCTION("""COMPUTED_VALUE"""),"WA Undelivered")</f>
        <v>WA Undelivered</v>
      </c>
      <c r="J75" s="213">
        <f>IFERROR(__xludf.DUMMYFUNCTION("""COMPUTED_VALUE"""),6828.0)</f>
        <v>6828</v>
      </c>
      <c r="K75" s="213">
        <f>IFERROR(__xludf.DUMMYFUNCTION("""COMPUTED_VALUE"""),3673.0)</f>
        <v>3673</v>
      </c>
      <c r="L75" s="214">
        <f>IFERROR(__xludf.DUMMYFUNCTION("""COMPUTED_VALUE"""),0.5379)</f>
        <v>0.5379</v>
      </c>
      <c r="M75" s="213">
        <f>IFERROR(__xludf.DUMMYFUNCTION("""COMPUTED_VALUE"""),0.0)</f>
        <v>0</v>
      </c>
      <c r="N75" s="214">
        <f>IFERROR(__xludf.DUMMYFUNCTION("""COMPUTED_VALUE"""),0.0)</f>
        <v>0</v>
      </c>
      <c r="O75" s="213">
        <f>IFERROR(__xludf.DUMMYFUNCTION("""COMPUTED_VALUE"""),0.0)</f>
        <v>0</v>
      </c>
      <c r="P75" s="213">
        <f>IFERROR(__xludf.DUMMYFUNCTION("""COMPUTED_VALUE"""),0.0)</f>
        <v>0</v>
      </c>
      <c r="Q75" s="214">
        <f>IFERROR(__xludf.DUMMYFUNCTION("""COMPUTED_VALUE"""),0.0)</f>
        <v>0</v>
      </c>
      <c r="R75" s="214">
        <f>IFERROR(__xludf.DUMMYFUNCTION("""COMPUTED_VALUE"""),0.0)</f>
        <v>0</v>
      </c>
      <c r="S75" s="101">
        <f>IFERROR(__xludf.DUMMYFUNCTION("""COMPUTED_VALUE"""),23.0)</f>
        <v>23</v>
      </c>
      <c r="T75" s="101">
        <f>IFERROR(__xludf.DUMMYFUNCTION("""COMPUTED_VALUE"""),0.0)</f>
        <v>0</v>
      </c>
      <c r="U75" s="213">
        <f>IFERROR(__xludf.DUMMYFUNCTION("""COMPUTED_VALUE"""),196989.0)</f>
        <v>196989</v>
      </c>
      <c r="V75" s="213" t="str">
        <f>IFERROR(__xludf.DUMMYFUNCTION("""COMPUTED_VALUE"""),"offline")</f>
        <v>offline</v>
      </c>
      <c r="W75" s="98" t="str">
        <f>IFERROR(__xludf.DUMMYFUNCTION("""COMPUTED_VALUE"""),"Sms")</f>
        <v>Sms</v>
      </c>
      <c r="X75" s="98" t="str">
        <f>IFERROR(__xludf.DUMMYFUNCTION("""COMPUTED_VALUE"""),"AL Base")</f>
        <v>AL Base</v>
      </c>
      <c r="Y75" s="98" t="str">
        <f>IFERROR(__xludf.DUMMYFUNCTION("""COMPUTED_VALUE"""),"10th - 12th July")</f>
        <v>10th - 12th July</v>
      </c>
      <c r="Z75" s="98" t="str">
        <f>IFERROR(__xludf.DUMMYFUNCTION("""COMPUTED_VALUE"""),"6a4fb0d4a0701c84134a8fcc")</f>
        <v>6a4fb0d4a0701c84134a8fcc</v>
      </c>
      <c r="AA75" s="98">
        <f>IFERROR(__xludf.DUMMYFUNCTION("""COMPUTED_VALUE"""),4.0)</f>
        <v>4</v>
      </c>
      <c r="AB75" s="98"/>
      <c r="AC75" s="98">
        <f>IFERROR(__xludf.DUMMYFUNCTION("""COMPUTED_VALUE"""),4.0)</f>
        <v>4</v>
      </c>
      <c r="AD75" s="98">
        <f>IFERROR(__xludf.DUMMYFUNCTION("""COMPUTED_VALUE"""),26250.0)</f>
        <v>26250</v>
      </c>
      <c r="AE75" s="98"/>
      <c r="AF75" s="98">
        <f>IFERROR(__xludf.DUMMYFUNCTION("""COMPUTED_VALUE"""),26250.0)</f>
        <v>26250</v>
      </c>
      <c r="AG75" s="208"/>
      <c r="AH75" s="208"/>
      <c r="AI75" s="208"/>
      <c r="AJ75" s="208"/>
      <c r="AK75" s="208"/>
    </row>
    <row r="76">
      <c r="A76" s="216">
        <f>IFERROR(__xludf.DUMMYFUNCTION("""COMPUTED_VALUE"""),46213.0)</f>
        <v>46213</v>
      </c>
      <c r="B76" s="210">
        <f>IFERROR(__xludf.DUMMYFUNCTION("""COMPUTED_VALUE"""),0.5)</f>
        <v>0.5</v>
      </c>
      <c r="C76" s="211" t="str">
        <f>IFERROR(__xludf.DUMMYFUNCTION("""COMPUTED_VALUE"""),"Sms")</f>
        <v>Sms</v>
      </c>
      <c r="D76" s="211" t="str">
        <f>IFERROR(__xludf.DUMMYFUNCTION("""COMPUTED_VALUE"""),"Fallback campaign")</f>
        <v>Fallback campaign</v>
      </c>
      <c r="E76" s="211" t="str">
        <f>IFERROR(__xludf.DUMMYFUNCTION("""COMPUTED_VALUE"""),"AGIPL")</f>
        <v>AGIPL</v>
      </c>
      <c r="F76" s="211" t="str">
        <f>IFERROR(__xludf.DUMMYFUNCTION("""COMPUTED_VALUE"""),"SAS_July_PJs - PJs")</f>
        <v>SAS_July_PJs - PJs</v>
      </c>
      <c r="G76" s="218" t="str">
        <f>IFERROR(__xludf.DUMMYFUNCTION("""COMPUTED_VALUE"""),"Store Visit_PJs_SAS_PUN (SMS_FB_AL)")</f>
        <v>Store Visit_PJs_SAS_PUN (SMS_FB_AL)</v>
      </c>
      <c r="H76" s="218" t="str">
        <f>IFERROR(__xludf.DUMMYFUNCTION("""COMPUTED_VALUE"""),"VS_ALDO_Pune")</f>
        <v>VS_ALDO_Pune</v>
      </c>
      <c r="I76" s="212" t="str">
        <f>IFERROR(__xludf.DUMMYFUNCTION("""COMPUTED_VALUE"""),"WA Undelivered")</f>
        <v>WA Undelivered</v>
      </c>
      <c r="J76" s="213">
        <f>IFERROR(__xludf.DUMMYFUNCTION("""COMPUTED_VALUE"""),2364.0)</f>
        <v>2364</v>
      </c>
      <c r="K76" s="213">
        <f>IFERROR(__xludf.DUMMYFUNCTION("""COMPUTED_VALUE"""),1226.0)</f>
        <v>1226</v>
      </c>
      <c r="L76" s="214">
        <f>IFERROR(__xludf.DUMMYFUNCTION("""COMPUTED_VALUE"""),0.5186)</f>
        <v>0.5186</v>
      </c>
      <c r="M76" s="213">
        <f>IFERROR(__xludf.DUMMYFUNCTION("""COMPUTED_VALUE"""),0.0)</f>
        <v>0</v>
      </c>
      <c r="N76" s="214">
        <f>IFERROR(__xludf.DUMMYFUNCTION("""COMPUTED_VALUE"""),0.0)</f>
        <v>0</v>
      </c>
      <c r="O76" s="213">
        <f>IFERROR(__xludf.DUMMYFUNCTION("""COMPUTED_VALUE"""),0.0)</f>
        <v>0</v>
      </c>
      <c r="P76" s="213">
        <f>IFERROR(__xludf.DUMMYFUNCTION("""COMPUTED_VALUE"""),0.0)</f>
        <v>0</v>
      </c>
      <c r="Q76" s="214">
        <f>IFERROR(__xludf.DUMMYFUNCTION("""COMPUTED_VALUE"""),0.0)</f>
        <v>0</v>
      </c>
      <c r="R76" s="214">
        <f>IFERROR(__xludf.DUMMYFUNCTION("""COMPUTED_VALUE"""),0.0)</f>
        <v>0</v>
      </c>
      <c r="S76" s="101">
        <f>IFERROR(__xludf.DUMMYFUNCTION("""COMPUTED_VALUE"""),10.0)</f>
        <v>10</v>
      </c>
      <c r="T76" s="101">
        <f>IFERROR(__xludf.DUMMYFUNCTION("""COMPUTED_VALUE"""),0.0)</f>
        <v>0</v>
      </c>
      <c r="U76" s="213">
        <f>IFERROR(__xludf.DUMMYFUNCTION("""COMPUTED_VALUE"""),55333.0)</f>
        <v>55333</v>
      </c>
      <c r="V76" s="213" t="str">
        <f>IFERROR(__xludf.DUMMYFUNCTION("""COMPUTED_VALUE"""),"offline")</f>
        <v>offline</v>
      </c>
      <c r="W76" s="98" t="str">
        <f>IFERROR(__xludf.DUMMYFUNCTION("""COMPUTED_VALUE"""),"Sms")</f>
        <v>Sms</v>
      </c>
      <c r="X76" s="98" t="str">
        <f>IFERROR(__xludf.DUMMYFUNCTION("""COMPUTED_VALUE"""),"AL Base")</f>
        <v>AL Base</v>
      </c>
      <c r="Y76" s="98" t="str">
        <f>IFERROR(__xludf.DUMMYFUNCTION("""COMPUTED_VALUE"""),"10th - 12th July")</f>
        <v>10th - 12th July</v>
      </c>
      <c r="Z76" s="98" t="str">
        <f>IFERROR(__xludf.DUMMYFUNCTION("""COMPUTED_VALUE"""),"6a4fb133c71f297b82aafdb0")</f>
        <v>6a4fb133c71f297b82aafdb0</v>
      </c>
      <c r="AA76" s="98">
        <f>IFERROR(__xludf.DUMMYFUNCTION("""COMPUTED_VALUE"""),6.0)</f>
        <v>6</v>
      </c>
      <c r="AB76" s="98"/>
      <c r="AC76" s="98">
        <f>IFERROR(__xludf.DUMMYFUNCTION("""COMPUTED_VALUE"""),6.0)</f>
        <v>6</v>
      </c>
      <c r="AD76" s="98">
        <f>IFERROR(__xludf.DUMMYFUNCTION("""COMPUTED_VALUE"""),24392.0)</f>
        <v>24392</v>
      </c>
      <c r="AE76" s="98"/>
      <c r="AF76" s="98">
        <f>IFERROR(__xludf.DUMMYFUNCTION("""COMPUTED_VALUE"""),24392.0)</f>
        <v>24392</v>
      </c>
      <c r="AG76" s="208"/>
      <c r="AH76" s="208"/>
      <c r="AI76" s="208"/>
      <c r="AJ76" s="208"/>
      <c r="AK76" s="208"/>
    </row>
    <row r="77">
      <c r="A77" s="216">
        <f>IFERROR(__xludf.DUMMYFUNCTION("""COMPUTED_VALUE"""),46213.0)</f>
        <v>46213</v>
      </c>
      <c r="B77" s="210">
        <f>IFERROR(__xludf.DUMMYFUNCTION("""COMPUTED_VALUE"""),0.5)</f>
        <v>0.5</v>
      </c>
      <c r="C77" s="211" t="str">
        <f>IFERROR(__xludf.DUMMYFUNCTION("""COMPUTED_VALUE"""),"Sms")</f>
        <v>Sms</v>
      </c>
      <c r="D77" s="211" t="str">
        <f>IFERROR(__xludf.DUMMYFUNCTION("""COMPUTED_VALUE"""),"Fallback campaign")</f>
        <v>Fallback campaign</v>
      </c>
      <c r="E77" s="211" t="str">
        <f>IFERROR(__xludf.DUMMYFUNCTION("""COMPUTED_VALUE"""),"AGIPL")</f>
        <v>AGIPL</v>
      </c>
      <c r="F77" s="211" t="str">
        <f>IFERROR(__xludf.DUMMYFUNCTION("""COMPUTED_VALUE"""),"SAS_July_PJs - PJs")</f>
        <v>SAS_July_PJs - PJs</v>
      </c>
      <c r="G77" s="218" t="str">
        <f>IFERROR(__xludf.DUMMYFUNCTION("""COMPUTED_VALUE"""),"Store Visit_PJs_SAS_MUM (SMS_FB_CK)")</f>
        <v>Store Visit_PJs_SAS_MUM (SMS_FB_CK)</v>
      </c>
      <c r="H77" s="218" t="str">
        <f>IFERROR(__xludf.DUMMYFUNCTION("""COMPUTED_VALUE"""),"VS_CK_Mumbai")</f>
        <v>VS_CK_Mumbai</v>
      </c>
      <c r="I77" s="212" t="str">
        <f>IFERROR(__xludf.DUMMYFUNCTION("""COMPUTED_VALUE"""),"WA Undelivered")</f>
        <v>WA Undelivered</v>
      </c>
      <c r="J77" s="213">
        <f>IFERROR(__xludf.DUMMYFUNCTION("""COMPUTED_VALUE"""),3572.0)</f>
        <v>3572</v>
      </c>
      <c r="K77" s="213">
        <f>IFERROR(__xludf.DUMMYFUNCTION("""COMPUTED_VALUE"""),1884.0)</f>
        <v>1884</v>
      </c>
      <c r="L77" s="214">
        <f>IFERROR(__xludf.DUMMYFUNCTION("""COMPUTED_VALUE"""),0.5274)</f>
        <v>0.5274</v>
      </c>
      <c r="M77" s="213">
        <f>IFERROR(__xludf.DUMMYFUNCTION("""COMPUTED_VALUE"""),0.0)</f>
        <v>0</v>
      </c>
      <c r="N77" s="214">
        <f>IFERROR(__xludf.DUMMYFUNCTION("""COMPUTED_VALUE"""),0.0)</f>
        <v>0</v>
      </c>
      <c r="O77" s="213">
        <f>IFERROR(__xludf.DUMMYFUNCTION("""COMPUTED_VALUE"""),0.0)</f>
        <v>0</v>
      </c>
      <c r="P77" s="213">
        <f>IFERROR(__xludf.DUMMYFUNCTION("""COMPUTED_VALUE"""),0.0)</f>
        <v>0</v>
      </c>
      <c r="Q77" s="214">
        <f>IFERROR(__xludf.DUMMYFUNCTION("""COMPUTED_VALUE"""),0.0)</f>
        <v>0</v>
      </c>
      <c r="R77" s="214">
        <f>IFERROR(__xludf.DUMMYFUNCTION("""COMPUTED_VALUE"""),0.0)</f>
        <v>0</v>
      </c>
      <c r="S77" s="101">
        <f>IFERROR(__xludf.DUMMYFUNCTION("""COMPUTED_VALUE"""),16.0)</f>
        <v>16</v>
      </c>
      <c r="T77" s="101">
        <f>IFERROR(__xludf.DUMMYFUNCTION("""COMPUTED_VALUE"""),0.0)</f>
        <v>0</v>
      </c>
      <c r="U77" s="213">
        <f>IFERROR(__xludf.DUMMYFUNCTION("""COMPUTED_VALUE"""),139567.0)</f>
        <v>139567</v>
      </c>
      <c r="V77" s="213" t="str">
        <f>IFERROR(__xludf.DUMMYFUNCTION("""COMPUTED_VALUE"""),"offline")</f>
        <v>offline</v>
      </c>
      <c r="W77" s="98" t="str">
        <f>IFERROR(__xludf.DUMMYFUNCTION("""COMPUTED_VALUE"""),"Sms")</f>
        <v>Sms</v>
      </c>
      <c r="X77" s="98" t="str">
        <f>IFERROR(__xludf.DUMMYFUNCTION("""COMPUTED_VALUE"""),"CK Base")</f>
        <v>CK Base</v>
      </c>
      <c r="Y77" s="98" t="str">
        <f>IFERROR(__xludf.DUMMYFUNCTION("""COMPUTED_VALUE"""),"10th - 12th July")</f>
        <v>10th - 12th July</v>
      </c>
      <c r="Z77" s="98" t="str">
        <f>IFERROR(__xludf.DUMMYFUNCTION("""COMPUTED_VALUE"""),"6a4fb18df0de8c1eded7d43e")</f>
        <v>6a4fb18df0de8c1eded7d43e</v>
      </c>
      <c r="AA77" s="98">
        <f>IFERROR(__xludf.DUMMYFUNCTION("""COMPUTED_VALUE"""),6.0)</f>
        <v>6</v>
      </c>
      <c r="AB77" s="98"/>
      <c r="AC77" s="98">
        <f>IFERROR(__xludf.DUMMYFUNCTION("""COMPUTED_VALUE"""),6.0)</f>
        <v>6</v>
      </c>
      <c r="AD77" s="98">
        <f>IFERROR(__xludf.DUMMYFUNCTION("""COMPUTED_VALUE"""),72867.0)</f>
        <v>72867</v>
      </c>
      <c r="AE77" s="98"/>
      <c r="AF77" s="98">
        <f>IFERROR(__xludf.DUMMYFUNCTION("""COMPUTED_VALUE"""),72867.0)</f>
        <v>72867</v>
      </c>
      <c r="AG77" s="208"/>
      <c r="AH77" s="208"/>
      <c r="AI77" s="208"/>
      <c r="AJ77" s="208"/>
      <c r="AK77" s="208"/>
    </row>
    <row r="78">
      <c r="A78" s="216">
        <f>IFERROR(__xludf.DUMMYFUNCTION("""COMPUTED_VALUE"""),46213.0)</f>
        <v>46213</v>
      </c>
      <c r="B78" s="210">
        <f>IFERROR(__xludf.DUMMYFUNCTION("""COMPUTED_VALUE"""),0.5)</f>
        <v>0.5</v>
      </c>
      <c r="C78" s="211" t="str">
        <f>IFERROR(__xludf.DUMMYFUNCTION("""COMPUTED_VALUE"""),"Sms")</f>
        <v>Sms</v>
      </c>
      <c r="D78" s="211" t="str">
        <f>IFERROR(__xludf.DUMMYFUNCTION("""COMPUTED_VALUE"""),"Fallback campaign")</f>
        <v>Fallback campaign</v>
      </c>
      <c r="E78" s="211" t="str">
        <f>IFERROR(__xludf.DUMMYFUNCTION("""COMPUTED_VALUE"""),"AGIPL")</f>
        <v>AGIPL</v>
      </c>
      <c r="F78" s="211" t="str">
        <f>IFERROR(__xludf.DUMMYFUNCTION("""COMPUTED_VALUE"""),"SAS_July_PJs - PJs")</f>
        <v>SAS_July_PJs - PJs</v>
      </c>
      <c r="G78" s="218" t="str">
        <f>IFERROR(__xludf.DUMMYFUNCTION("""COMPUTED_VALUE"""),"Store Visit_PJs_SAS_DEL (SMS_FB_CK)")</f>
        <v>Store Visit_PJs_SAS_DEL (SMS_FB_CK)</v>
      </c>
      <c r="H78" s="218" t="str">
        <f>IFERROR(__xludf.DUMMYFUNCTION("""COMPUTED_VALUE"""),"VS_CK_Delhi")</f>
        <v>VS_CK_Delhi</v>
      </c>
      <c r="I78" s="212" t="str">
        <f>IFERROR(__xludf.DUMMYFUNCTION("""COMPUTED_VALUE"""),"WA Undelivered")</f>
        <v>WA Undelivered</v>
      </c>
      <c r="J78" s="213">
        <f>IFERROR(__xludf.DUMMYFUNCTION("""COMPUTED_VALUE"""),6198.0)</f>
        <v>6198</v>
      </c>
      <c r="K78" s="213">
        <f>IFERROR(__xludf.DUMMYFUNCTION("""COMPUTED_VALUE"""),3407.0)</f>
        <v>3407</v>
      </c>
      <c r="L78" s="214">
        <f>IFERROR(__xludf.DUMMYFUNCTION("""COMPUTED_VALUE"""),0.5497)</f>
        <v>0.5497</v>
      </c>
      <c r="M78" s="213">
        <f>IFERROR(__xludf.DUMMYFUNCTION("""COMPUTED_VALUE"""),0.0)</f>
        <v>0</v>
      </c>
      <c r="N78" s="214">
        <f>IFERROR(__xludf.DUMMYFUNCTION("""COMPUTED_VALUE"""),0.0)</f>
        <v>0</v>
      </c>
      <c r="O78" s="213">
        <f>IFERROR(__xludf.DUMMYFUNCTION("""COMPUTED_VALUE"""),0.0)</f>
        <v>0</v>
      </c>
      <c r="P78" s="213">
        <f>IFERROR(__xludf.DUMMYFUNCTION("""COMPUTED_VALUE"""),0.0)</f>
        <v>0</v>
      </c>
      <c r="Q78" s="214">
        <f>IFERROR(__xludf.DUMMYFUNCTION("""COMPUTED_VALUE"""),0.0)</f>
        <v>0</v>
      </c>
      <c r="R78" s="214">
        <f>IFERROR(__xludf.DUMMYFUNCTION("""COMPUTED_VALUE"""),0.0)</f>
        <v>0</v>
      </c>
      <c r="S78" s="101">
        <f>IFERROR(__xludf.DUMMYFUNCTION("""COMPUTED_VALUE"""),17.0)</f>
        <v>17</v>
      </c>
      <c r="T78" s="101">
        <f>IFERROR(__xludf.DUMMYFUNCTION("""COMPUTED_VALUE"""),0.0)</f>
        <v>0</v>
      </c>
      <c r="U78" s="213">
        <f>IFERROR(__xludf.DUMMYFUNCTION("""COMPUTED_VALUE"""),138042.0)</f>
        <v>138042</v>
      </c>
      <c r="V78" s="213" t="str">
        <f>IFERROR(__xludf.DUMMYFUNCTION("""COMPUTED_VALUE"""),"offline")</f>
        <v>offline</v>
      </c>
      <c r="W78" s="98" t="str">
        <f>IFERROR(__xludf.DUMMYFUNCTION("""COMPUTED_VALUE"""),"Sms")</f>
        <v>Sms</v>
      </c>
      <c r="X78" s="98" t="str">
        <f>IFERROR(__xludf.DUMMYFUNCTION("""COMPUTED_VALUE"""),"CK Base")</f>
        <v>CK Base</v>
      </c>
      <c r="Y78" s="98" t="str">
        <f>IFERROR(__xludf.DUMMYFUNCTION("""COMPUTED_VALUE"""),"10th - 12th July")</f>
        <v>10th - 12th July</v>
      </c>
      <c r="Z78" s="98" t="str">
        <f>IFERROR(__xludf.DUMMYFUNCTION("""COMPUTED_VALUE"""),"6a4fb1fcc1de9234b6b31030")</f>
        <v>6a4fb1fcc1de9234b6b31030</v>
      </c>
      <c r="AA78" s="98">
        <f>IFERROR(__xludf.DUMMYFUNCTION("""COMPUTED_VALUE"""),9.0)</f>
        <v>9</v>
      </c>
      <c r="AB78" s="98"/>
      <c r="AC78" s="98">
        <f>IFERROR(__xludf.DUMMYFUNCTION("""COMPUTED_VALUE"""),9.0)</f>
        <v>9</v>
      </c>
      <c r="AD78" s="98">
        <f>IFERROR(__xludf.DUMMYFUNCTION("""COMPUTED_VALUE"""),55515.0)</f>
        <v>55515</v>
      </c>
      <c r="AE78" s="98"/>
      <c r="AF78" s="98">
        <f>IFERROR(__xludf.DUMMYFUNCTION("""COMPUTED_VALUE"""),55515.0)</f>
        <v>55515</v>
      </c>
      <c r="AG78" s="208"/>
      <c r="AH78" s="208"/>
      <c r="AI78" s="208"/>
      <c r="AJ78" s="208"/>
      <c r="AK78" s="208"/>
    </row>
    <row r="79">
      <c r="A79" s="216">
        <f>IFERROR(__xludf.DUMMYFUNCTION("""COMPUTED_VALUE"""),46213.0)</f>
        <v>46213</v>
      </c>
      <c r="B79" s="210">
        <f>IFERROR(__xludf.DUMMYFUNCTION("""COMPUTED_VALUE"""),0.5)</f>
        <v>0.5</v>
      </c>
      <c r="C79" s="211" t="str">
        <f>IFERROR(__xludf.DUMMYFUNCTION("""COMPUTED_VALUE"""),"Sms")</f>
        <v>Sms</v>
      </c>
      <c r="D79" s="211" t="str">
        <f>IFERROR(__xludf.DUMMYFUNCTION("""COMPUTED_VALUE"""),"Fallback campaign")</f>
        <v>Fallback campaign</v>
      </c>
      <c r="E79" s="211" t="str">
        <f>IFERROR(__xludf.DUMMYFUNCTION("""COMPUTED_VALUE"""),"AGIPL")</f>
        <v>AGIPL</v>
      </c>
      <c r="F79" s="211" t="str">
        <f>IFERROR(__xludf.DUMMYFUNCTION("""COMPUTED_VALUE"""),"SAS_July_PJs - PJs")</f>
        <v>SAS_July_PJs - PJs</v>
      </c>
      <c r="G79" s="218" t="str">
        <f>IFERROR(__xludf.DUMMYFUNCTION("""COMPUTED_VALUE"""),"Store Visit_PJs_SAS_BLR (SMS_FB_CK)")</f>
        <v>Store Visit_PJs_SAS_BLR (SMS_FB_CK)</v>
      </c>
      <c r="H79" s="218" t="str">
        <f>IFERROR(__xludf.DUMMYFUNCTION("""COMPUTED_VALUE"""),"VS_CK_Bangalore")</f>
        <v>VS_CK_Bangalore</v>
      </c>
      <c r="I79" s="212" t="str">
        <f>IFERROR(__xludf.DUMMYFUNCTION("""COMPUTED_VALUE"""),"WA Undelivered")</f>
        <v>WA Undelivered</v>
      </c>
      <c r="J79" s="213">
        <f>IFERROR(__xludf.DUMMYFUNCTION("""COMPUTED_VALUE"""),4223.0)</f>
        <v>4223</v>
      </c>
      <c r="K79" s="213">
        <f>IFERROR(__xludf.DUMMYFUNCTION("""COMPUTED_VALUE"""),2397.0)</f>
        <v>2397</v>
      </c>
      <c r="L79" s="214">
        <f>IFERROR(__xludf.DUMMYFUNCTION("""COMPUTED_VALUE"""),0.5676)</f>
        <v>0.5676</v>
      </c>
      <c r="M79" s="213">
        <f>IFERROR(__xludf.DUMMYFUNCTION("""COMPUTED_VALUE"""),0.0)</f>
        <v>0</v>
      </c>
      <c r="N79" s="214">
        <f>IFERROR(__xludf.DUMMYFUNCTION("""COMPUTED_VALUE"""),0.0)</f>
        <v>0</v>
      </c>
      <c r="O79" s="213">
        <f>IFERROR(__xludf.DUMMYFUNCTION("""COMPUTED_VALUE"""),0.0)</f>
        <v>0</v>
      </c>
      <c r="P79" s="213">
        <f>IFERROR(__xludf.DUMMYFUNCTION("""COMPUTED_VALUE"""),0.0)</f>
        <v>0</v>
      </c>
      <c r="Q79" s="214">
        <f>IFERROR(__xludf.DUMMYFUNCTION("""COMPUTED_VALUE"""),0.0)</f>
        <v>0</v>
      </c>
      <c r="R79" s="214">
        <f>IFERROR(__xludf.DUMMYFUNCTION("""COMPUTED_VALUE"""),0.0)</f>
        <v>0</v>
      </c>
      <c r="S79" s="101">
        <f>IFERROR(__xludf.DUMMYFUNCTION("""COMPUTED_VALUE"""),11.0)</f>
        <v>11</v>
      </c>
      <c r="T79" s="101">
        <f>IFERROR(__xludf.DUMMYFUNCTION("""COMPUTED_VALUE"""),0.0)</f>
        <v>0</v>
      </c>
      <c r="U79" s="213">
        <f>IFERROR(__xludf.DUMMYFUNCTION("""COMPUTED_VALUE"""),97737.0)</f>
        <v>97737</v>
      </c>
      <c r="V79" s="213" t="str">
        <f>IFERROR(__xludf.DUMMYFUNCTION("""COMPUTED_VALUE"""),"offline")</f>
        <v>offline</v>
      </c>
      <c r="W79" s="98" t="str">
        <f>IFERROR(__xludf.DUMMYFUNCTION("""COMPUTED_VALUE"""),"Sms")</f>
        <v>Sms</v>
      </c>
      <c r="X79" s="98" t="str">
        <f>IFERROR(__xludf.DUMMYFUNCTION("""COMPUTED_VALUE"""),"CK Base")</f>
        <v>CK Base</v>
      </c>
      <c r="Y79" s="98" t="str">
        <f>IFERROR(__xludf.DUMMYFUNCTION("""COMPUTED_VALUE"""),"10th - 12th July")</f>
        <v>10th - 12th July</v>
      </c>
      <c r="Z79" s="98" t="str">
        <f>IFERROR(__xludf.DUMMYFUNCTION("""COMPUTED_VALUE"""),"6a4fb241a3f4d21c29d3ca3b")</f>
        <v>6a4fb241a3f4d21c29d3ca3b</v>
      </c>
      <c r="AA79" s="98">
        <f>IFERROR(__xludf.DUMMYFUNCTION("""COMPUTED_VALUE"""),3.0)</f>
        <v>3</v>
      </c>
      <c r="AB79" s="98"/>
      <c r="AC79" s="98">
        <f>IFERROR(__xludf.DUMMYFUNCTION("""COMPUTED_VALUE"""),3.0)</f>
        <v>3</v>
      </c>
      <c r="AD79" s="98">
        <f>IFERROR(__xludf.DUMMYFUNCTION("""COMPUTED_VALUE"""),28401.0)</f>
        <v>28401</v>
      </c>
      <c r="AE79" s="98"/>
      <c r="AF79" s="98">
        <f>IFERROR(__xludf.DUMMYFUNCTION("""COMPUTED_VALUE"""),28401.0)</f>
        <v>28401</v>
      </c>
      <c r="AG79" s="208"/>
      <c r="AH79" s="208"/>
      <c r="AI79" s="208"/>
      <c r="AJ79" s="208"/>
      <c r="AK79" s="208"/>
    </row>
    <row r="80">
      <c r="A80" s="216">
        <f>IFERROR(__xludf.DUMMYFUNCTION("""COMPUTED_VALUE"""),46213.0)</f>
        <v>46213</v>
      </c>
      <c r="B80" s="210">
        <f>IFERROR(__xludf.DUMMYFUNCTION("""COMPUTED_VALUE"""),0.5)</f>
        <v>0.5</v>
      </c>
      <c r="C80" s="211" t="str">
        <f>IFERROR(__xludf.DUMMYFUNCTION("""COMPUTED_VALUE"""),"Sms")</f>
        <v>Sms</v>
      </c>
      <c r="D80" s="211" t="str">
        <f>IFERROR(__xludf.DUMMYFUNCTION("""COMPUTED_VALUE"""),"Fallback campaign")</f>
        <v>Fallback campaign</v>
      </c>
      <c r="E80" s="211" t="str">
        <f>IFERROR(__xludf.DUMMYFUNCTION("""COMPUTED_VALUE"""),"AGIPL")</f>
        <v>AGIPL</v>
      </c>
      <c r="F80" s="211" t="str">
        <f>IFERROR(__xludf.DUMMYFUNCTION("""COMPUTED_VALUE"""),"SAS_July_PJs - PJs")</f>
        <v>SAS_July_PJs - PJs</v>
      </c>
      <c r="G80" s="218" t="str">
        <f>IFERROR(__xludf.DUMMYFUNCTION("""COMPUTED_VALUE"""),"Store Visit_PJs_SAS_PUN (SMS_FB_CK)")</f>
        <v>Store Visit_PJs_SAS_PUN (SMS_FB_CK)</v>
      </c>
      <c r="H80" s="218" t="str">
        <f>IFERROR(__xludf.DUMMYFUNCTION("""COMPUTED_VALUE"""),"VS_CK_Pune")</f>
        <v>VS_CK_Pune</v>
      </c>
      <c r="I80" s="212" t="str">
        <f>IFERROR(__xludf.DUMMYFUNCTION("""COMPUTED_VALUE"""),"WA Undelivered")</f>
        <v>WA Undelivered</v>
      </c>
      <c r="J80" s="213">
        <f>IFERROR(__xludf.DUMMYFUNCTION("""COMPUTED_VALUE"""),1510.0)</f>
        <v>1510</v>
      </c>
      <c r="K80" s="213">
        <f>IFERROR(__xludf.DUMMYFUNCTION("""COMPUTED_VALUE"""),843.0)</f>
        <v>843</v>
      </c>
      <c r="L80" s="214">
        <f>IFERROR(__xludf.DUMMYFUNCTION("""COMPUTED_VALUE"""),0.5583)</f>
        <v>0.5583</v>
      </c>
      <c r="M80" s="213">
        <f>IFERROR(__xludf.DUMMYFUNCTION("""COMPUTED_VALUE"""),0.0)</f>
        <v>0</v>
      </c>
      <c r="N80" s="214">
        <f>IFERROR(__xludf.DUMMYFUNCTION("""COMPUTED_VALUE"""),0.0)</f>
        <v>0</v>
      </c>
      <c r="O80" s="213">
        <f>IFERROR(__xludf.DUMMYFUNCTION("""COMPUTED_VALUE"""),0.0)</f>
        <v>0</v>
      </c>
      <c r="P80" s="213">
        <f>IFERROR(__xludf.DUMMYFUNCTION("""COMPUTED_VALUE"""),0.0)</f>
        <v>0</v>
      </c>
      <c r="Q80" s="214">
        <f>IFERROR(__xludf.DUMMYFUNCTION("""COMPUTED_VALUE"""),0.0)</f>
        <v>0</v>
      </c>
      <c r="R80" s="214">
        <f>IFERROR(__xludf.DUMMYFUNCTION("""COMPUTED_VALUE"""),0.0)</f>
        <v>0</v>
      </c>
      <c r="S80" s="101">
        <f>IFERROR(__xludf.DUMMYFUNCTION("""COMPUTED_VALUE"""),8.0)</f>
        <v>8</v>
      </c>
      <c r="T80" s="101">
        <f>IFERROR(__xludf.DUMMYFUNCTION("""COMPUTED_VALUE"""),0.0)</f>
        <v>0</v>
      </c>
      <c r="U80" s="213">
        <f>IFERROR(__xludf.DUMMYFUNCTION("""COMPUTED_VALUE"""),68930.0)</f>
        <v>68930</v>
      </c>
      <c r="V80" s="213" t="str">
        <f>IFERROR(__xludf.DUMMYFUNCTION("""COMPUTED_VALUE"""),"offline")</f>
        <v>offline</v>
      </c>
      <c r="W80" s="98" t="str">
        <f>IFERROR(__xludf.DUMMYFUNCTION("""COMPUTED_VALUE"""),"Sms")</f>
        <v>Sms</v>
      </c>
      <c r="X80" s="98" t="str">
        <f>IFERROR(__xludf.DUMMYFUNCTION("""COMPUTED_VALUE"""),"CK Base")</f>
        <v>CK Base</v>
      </c>
      <c r="Y80" s="98" t="str">
        <f>IFERROR(__xludf.DUMMYFUNCTION("""COMPUTED_VALUE"""),"10th - 12th July")</f>
        <v>10th - 12th July</v>
      </c>
      <c r="Z80" s="98" t="str">
        <f>IFERROR(__xludf.DUMMYFUNCTION("""COMPUTED_VALUE"""),"6a4fb28071560fcda614bcc0")</f>
        <v>6a4fb28071560fcda614bcc0</v>
      </c>
      <c r="AA80" s="98">
        <f>IFERROR(__xludf.DUMMYFUNCTION("""COMPUTED_VALUE"""),5.0)</f>
        <v>5</v>
      </c>
      <c r="AB80" s="98"/>
      <c r="AC80" s="98">
        <f>IFERROR(__xludf.DUMMYFUNCTION("""COMPUTED_VALUE"""),5.0)</f>
        <v>5</v>
      </c>
      <c r="AD80" s="98">
        <f>IFERROR(__xludf.DUMMYFUNCTION("""COMPUTED_VALUE"""),51719.0)</f>
        <v>51719</v>
      </c>
      <c r="AE80" s="98"/>
      <c r="AF80" s="98">
        <f>IFERROR(__xludf.DUMMYFUNCTION("""COMPUTED_VALUE"""),51719.0)</f>
        <v>51719</v>
      </c>
      <c r="AG80" s="208"/>
      <c r="AH80" s="208"/>
      <c r="AI80" s="208"/>
      <c r="AJ80" s="208"/>
      <c r="AK80" s="208"/>
    </row>
    <row r="81">
      <c r="A81" s="306">
        <f>IFERROR(__xludf.DUMMYFUNCTION("""COMPUTED_VALUE"""),46213.0)</f>
        <v>46213</v>
      </c>
      <c r="B81" s="238">
        <f>IFERROR(__xludf.DUMMYFUNCTION("""COMPUTED_VALUE"""),0.3541666666678793)</f>
        <v>0.3541666667</v>
      </c>
      <c r="C81" s="96" t="str">
        <f>IFERROR(__xludf.DUMMYFUNCTION("""COMPUTED_VALUE"""),"Rcs")</f>
        <v>Rcs</v>
      </c>
      <c r="D81" s="212" t="str">
        <f>IFERROR(__xludf.DUMMYFUNCTION("""COMPUTED_VALUE"""),"Promotional")</f>
        <v>Promotional</v>
      </c>
      <c r="E81" s="96" t="str">
        <f>IFERROR(__xludf.DUMMYFUNCTION("""COMPUTED_VALUE"""),"AGIPL")</f>
        <v>AGIPL</v>
      </c>
      <c r="F81" s="212" t="str">
        <f>IFERROR(__xludf.DUMMYFUNCTION("""COMPUTED_VALUE"""),"SAS_July_PJs - PJs")</f>
        <v>SAS_July_PJs - PJs</v>
      </c>
      <c r="G81" s="212" t="str">
        <f>IFERROR(__xludf.DUMMYFUNCTION("""COMPUTED_VALUE"""),"Store Visit_PJs_SAS_MUM (Cross-brand_AL)")</f>
        <v>Store Visit_PJs_SAS_MUM (Cross-brand_AL)</v>
      </c>
      <c r="H81" s="28" t="str">
        <f>IFERROR(__xludf.DUMMYFUNCTION("""COMPUTED_VALUE"""),"VS_ALDOa_Mumbai")</f>
        <v>VS_ALDOa_Mumbai</v>
      </c>
      <c r="I81" s="28" t="str">
        <f>IFERROR(__xludf.DUMMYFUNCTION("""COMPUTED_VALUE"""),"All customers who have shopped in last 1 year Mumbai ALDO stores or have shopped online with Txn_City is Mumbai")</f>
        <v>All customers who have shopped in last 1 year Mumbai ALDO stores or have shopped online with Txn_City is Mumbai</v>
      </c>
      <c r="J81" s="239">
        <f>IFERROR(__xludf.DUMMYFUNCTION("""COMPUTED_VALUE"""),18083.0)</f>
        <v>18083</v>
      </c>
      <c r="K81" s="240">
        <f>IFERROR(__xludf.DUMMYFUNCTION("""COMPUTED_VALUE"""),3579.0)</f>
        <v>3579</v>
      </c>
      <c r="L81" s="241">
        <f>IFERROR(__xludf.DUMMYFUNCTION("""COMPUTED_VALUE"""),0.1979)</f>
        <v>0.1979</v>
      </c>
      <c r="M81" s="240">
        <f>IFERROR(__xludf.DUMMYFUNCTION("""COMPUTED_VALUE"""),878.0)</f>
        <v>878</v>
      </c>
      <c r="N81" s="136">
        <f>IFERROR(__xludf.DUMMYFUNCTION("""COMPUTED_VALUE"""),0.2453)</f>
        <v>0.2453</v>
      </c>
      <c r="O81" s="239">
        <f>IFERROR(__xludf.DUMMYFUNCTION("""COMPUTED_VALUE"""),6.0)</f>
        <v>6</v>
      </c>
      <c r="P81" s="239">
        <f>IFERROR(__xludf.DUMMYFUNCTION("""COMPUTED_VALUE"""),0.0)</f>
        <v>0</v>
      </c>
      <c r="Q81" s="214">
        <f>IFERROR(__xludf.DUMMYFUNCTION("""COMPUTED_VALUE"""),0.002)</f>
        <v>0.002</v>
      </c>
      <c r="R81" s="214">
        <f>IFERROR(__xludf.DUMMYFUNCTION("""COMPUTED_VALUE"""),0.0)</f>
        <v>0</v>
      </c>
      <c r="S81" s="101">
        <f>IFERROR(__xludf.DUMMYFUNCTION("""COMPUTED_VALUE"""),13.0)</f>
        <v>13</v>
      </c>
      <c r="T81" s="222">
        <f>IFERROR(__xludf.DUMMYFUNCTION("""COMPUTED_VALUE"""),0.0)</f>
        <v>0</v>
      </c>
      <c r="U81" s="242">
        <f>IFERROR(__xludf.DUMMYFUNCTION("""COMPUTED_VALUE"""),146718.0)</f>
        <v>146718</v>
      </c>
      <c r="V81" s="242" t="str">
        <f>IFERROR(__xludf.DUMMYFUNCTION("""COMPUTED_VALUE"""),"offline")</f>
        <v>offline</v>
      </c>
      <c r="W81" s="243" t="str">
        <f>IFERROR(__xludf.DUMMYFUNCTION("""COMPUTED_VALUE"""),"RCS")</f>
        <v>RCS</v>
      </c>
      <c r="X81" s="243" t="str">
        <f>IFERROR(__xludf.DUMMYFUNCTION("""COMPUTED_VALUE"""),"AL Base")</f>
        <v>AL Base</v>
      </c>
      <c r="Y81" s="243" t="str">
        <f>IFERROR(__xludf.DUMMYFUNCTION("""COMPUTED_VALUE"""),"10th - 12th July")</f>
        <v>10th - 12th July</v>
      </c>
      <c r="Z81" s="243" t="str">
        <f>IFERROR(__xludf.DUMMYFUNCTION("""COMPUTED_VALUE"""),"6a4fa1f6fe8d79172a5b5112")</f>
        <v>6a4fa1f6fe8d79172a5b5112</v>
      </c>
      <c r="AA81" s="243">
        <f>IFERROR(__xludf.DUMMYFUNCTION("""COMPUTED_VALUE"""),2.0)</f>
        <v>2</v>
      </c>
      <c r="AB81" s="243"/>
      <c r="AC81" s="243">
        <f>IFERROR(__xludf.DUMMYFUNCTION("""COMPUTED_VALUE"""),2.0)</f>
        <v>2</v>
      </c>
      <c r="AD81" s="243">
        <f>IFERROR(__xludf.DUMMYFUNCTION("""COMPUTED_VALUE"""),32836.0)</f>
        <v>32836</v>
      </c>
      <c r="AE81" s="243"/>
      <c r="AF81" s="243">
        <f>IFERROR(__xludf.DUMMYFUNCTION("""COMPUTED_VALUE"""),32836.0)</f>
        <v>32836</v>
      </c>
      <c r="AG81" s="208"/>
      <c r="AH81" s="208"/>
      <c r="AI81" s="208"/>
      <c r="AJ81" s="208"/>
      <c r="AK81" s="208"/>
    </row>
    <row r="82">
      <c r="A82" s="245">
        <f>IFERROR(__xludf.DUMMYFUNCTION("""COMPUTED_VALUE"""),46213.0)</f>
        <v>46213</v>
      </c>
      <c r="B82" s="220">
        <f>IFERROR(__xludf.DUMMYFUNCTION("""COMPUTED_VALUE"""),0.3541666666678793)</f>
        <v>0.3541666667</v>
      </c>
      <c r="C82" s="222" t="str">
        <f>IFERROR(__xludf.DUMMYFUNCTION("""COMPUTED_VALUE"""),"Rcs")</f>
        <v>Rcs</v>
      </c>
      <c r="D82" s="222" t="str">
        <f>IFERROR(__xludf.DUMMYFUNCTION("""COMPUTED_VALUE"""),"Promotional")</f>
        <v>Promotional</v>
      </c>
      <c r="E82" s="222" t="str">
        <f>IFERROR(__xludf.DUMMYFUNCTION("""COMPUTED_VALUE"""),"AGIPL")</f>
        <v>AGIPL</v>
      </c>
      <c r="F82" s="222" t="str">
        <f>IFERROR(__xludf.DUMMYFUNCTION("""COMPUTED_VALUE"""),"SAS_July_PJs - PJs")</f>
        <v>SAS_July_PJs - PJs</v>
      </c>
      <c r="G82" s="221" t="str">
        <f>IFERROR(__xludf.DUMMYFUNCTION("""COMPUTED_VALUE"""),"Store Visit_PJs_SAS_DEL (Cross-brand_AL)")</f>
        <v>Store Visit_PJs_SAS_DEL (Cross-brand_AL)</v>
      </c>
      <c r="H82" s="223" t="str">
        <f>IFERROR(__xludf.DUMMYFUNCTION("""COMPUTED_VALUE"""),"VS_ALDO_Delhi")</f>
        <v>VS_ALDO_Delhi</v>
      </c>
      <c r="I82" s="223" t="str">
        <f>IFERROR(__xludf.DUMMYFUNCTION("""COMPUTED_VALUE"""),"All customers who have shopped in last 1 year Delhi ALDO stores or have shopped online with Txn_City is Delhi")</f>
        <v>All customers who have shopped in last 1 year Delhi ALDO stores or have shopped online with Txn_City is Delhi</v>
      </c>
      <c r="J82" s="224">
        <f>IFERROR(__xludf.DUMMYFUNCTION("""COMPUTED_VALUE"""),16577.0)</f>
        <v>16577</v>
      </c>
      <c r="K82" s="224">
        <f>IFERROR(__xludf.DUMMYFUNCTION("""COMPUTED_VALUE"""),2665.0)</f>
        <v>2665</v>
      </c>
      <c r="L82" s="225">
        <f>IFERROR(__xludf.DUMMYFUNCTION("""COMPUTED_VALUE"""),0.1608)</f>
        <v>0.1608</v>
      </c>
      <c r="M82" s="224">
        <f>IFERROR(__xludf.DUMMYFUNCTION("""COMPUTED_VALUE"""),619.0)</f>
        <v>619</v>
      </c>
      <c r="N82" s="225">
        <f>IFERROR(__xludf.DUMMYFUNCTION("""COMPUTED_VALUE"""),0.2323)</f>
        <v>0.2323</v>
      </c>
      <c r="O82" s="224">
        <f>IFERROR(__xludf.DUMMYFUNCTION("""COMPUTED_VALUE"""),3.0)</f>
        <v>3</v>
      </c>
      <c r="P82" s="224">
        <f>IFERROR(__xludf.DUMMYFUNCTION("""COMPUTED_VALUE"""),0.0)</f>
        <v>0</v>
      </c>
      <c r="Q82" s="225">
        <f>IFERROR(__xludf.DUMMYFUNCTION("""COMPUTED_VALUE"""),0.0026)</f>
        <v>0.0026</v>
      </c>
      <c r="R82" s="225">
        <f>IFERROR(__xludf.DUMMYFUNCTION("""COMPUTED_VALUE"""),0.0)</f>
        <v>0</v>
      </c>
      <c r="S82" s="226">
        <f>IFERROR(__xludf.DUMMYFUNCTION("""COMPUTED_VALUE"""),8.0)</f>
        <v>8</v>
      </c>
      <c r="T82" s="226">
        <f>IFERROR(__xludf.DUMMYFUNCTION("""COMPUTED_VALUE"""),0.0)</f>
        <v>0</v>
      </c>
      <c r="U82" s="224">
        <f>IFERROR(__xludf.DUMMYFUNCTION("""COMPUTED_VALUE"""),46663.0)</f>
        <v>46663</v>
      </c>
      <c r="V82" s="224" t="str">
        <f>IFERROR(__xludf.DUMMYFUNCTION("""COMPUTED_VALUE"""),"offline")</f>
        <v>offline</v>
      </c>
      <c r="W82" s="229" t="str">
        <f>IFERROR(__xludf.DUMMYFUNCTION("""COMPUTED_VALUE"""),"RCS")</f>
        <v>RCS</v>
      </c>
      <c r="X82" s="229" t="str">
        <f>IFERROR(__xludf.DUMMYFUNCTION("""COMPUTED_VALUE"""),"AL Base")</f>
        <v>AL Base</v>
      </c>
      <c r="Y82" s="229" t="str">
        <f>IFERROR(__xludf.DUMMYFUNCTION("""COMPUTED_VALUE"""),"10th - 12th July")</f>
        <v>10th - 12th July</v>
      </c>
      <c r="Z82" s="229" t="str">
        <f>IFERROR(__xludf.DUMMYFUNCTION("""COMPUTED_VALUE"""),"6a4fa561cbfea30c91f2fc76")</f>
        <v>6a4fa561cbfea30c91f2fc76</v>
      </c>
      <c r="AA82" s="229">
        <f>IFERROR(__xludf.DUMMYFUNCTION("""COMPUTED_VALUE"""),0.0)</f>
        <v>0</v>
      </c>
      <c r="AB82" s="229"/>
      <c r="AC82" s="229">
        <f>IFERROR(__xludf.DUMMYFUNCTION("""COMPUTED_VALUE"""),0.0)</f>
        <v>0</v>
      </c>
      <c r="AD82" s="229">
        <f>IFERROR(__xludf.DUMMYFUNCTION("""COMPUTED_VALUE"""),0.0)</f>
        <v>0</v>
      </c>
      <c r="AE82" s="229"/>
      <c r="AF82" s="229">
        <f>IFERROR(__xludf.DUMMYFUNCTION("""COMPUTED_VALUE"""),0.0)</f>
        <v>0</v>
      </c>
      <c r="AG82" s="208"/>
      <c r="AH82" s="208"/>
      <c r="AI82" s="208"/>
      <c r="AJ82" s="208"/>
      <c r="AK82" s="208"/>
    </row>
    <row r="83">
      <c r="A83" s="245">
        <f>IFERROR(__xludf.DUMMYFUNCTION("""COMPUTED_VALUE"""),46213.0)</f>
        <v>46213</v>
      </c>
      <c r="B83" s="244">
        <f>IFERROR(__xludf.DUMMYFUNCTION("""COMPUTED_VALUE"""),0.3541666666678793)</f>
        <v>0.3541666667</v>
      </c>
      <c r="C83" s="222" t="str">
        <f>IFERROR(__xludf.DUMMYFUNCTION("""COMPUTED_VALUE"""),"Rcs")</f>
        <v>Rcs</v>
      </c>
      <c r="D83" s="222" t="str">
        <f>IFERROR(__xludf.DUMMYFUNCTION("""COMPUTED_VALUE"""),"Promotional")</f>
        <v>Promotional</v>
      </c>
      <c r="E83" s="222" t="str">
        <f>IFERROR(__xludf.DUMMYFUNCTION("""COMPUTED_VALUE"""),"AGIPL")</f>
        <v>AGIPL</v>
      </c>
      <c r="F83" s="222" t="str">
        <f>IFERROR(__xludf.DUMMYFUNCTION("""COMPUTED_VALUE"""),"SAS_July_PJs - PJs")</f>
        <v>SAS_July_PJs - PJs</v>
      </c>
      <c r="G83" s="221" t="str">
        <f>IFERROR(__xludf.DUMMYFUNCTION("""COMPUTED_VALUE"""),"Store Visit_PJs_SAS_BLR (Cross-brand_AL)")</f>
        <v>Store Visit_PJs_SAS_BLR (Cross-brand_AL)</v>
      </c>
      <c r="H83" s="223" t="str">
        <f>IFERROR(__xludf.DUMMYFUNCTION("""COMPUTED_VALUE"""),"VS_ALDO_Bangalore")</f>
        <v>VS_ALDO_Bangalore</v>
      </c>
      <c r="I83" s="221" t="str">
        <f>IFERROR(__xludf.DUMMYFUNCTION("""COMPUTED_VALUE"""),"All customers who have shopped in last 1 year Bengaluru ALDO stores or have shopped online with Txn_City is Bengaluru")</f>
        <v>All customers who have shopped in last 1 year Bengaluru ALDO stores or have shopped online with Txn_City is Bengaluru</v>
      </c>
      <c r="J83" s="224">
        <f>IFERROR(__xludf.DUMMYFUNCTION("""COMPUTED_VALUE"""),22775.0)</f>
        <v>22775</v>
      </c>
      <c r="K83" s="224">
        <f>IFERROR(__xludf.DUMMYFUNCTION("""COMPUTED_VALUE"""),3965.0)</f>
        <v>3965</v>
      </c>
      <c r="L83" s="225">
        <f>IFERROR(__xludf.DUMMYFUNCTION("""COMPUTED_VALUE"""),0.1741)</f>
        <v>0.1741</v>
      </c>
      <c r="M83" s="224">
        <f>IFERROR(__xludf.DUMMYFUNCTION("""COMPUTED_VALUE"""),819.0)</f>
        <v>819</v>
      </c>
      <c r="N83" s="225">
        <f>IFERROR(__xludf.DUMMYFUNCTION("""COMPUTED_VALUE"""),0.2066)</f>
        <v>0.2066</v>
      </c>
      <c r="O83" s="224">
        <f>IFERROR(__xludf.DUMMYFUNCTION("""COMPUTED_VALUE"""),11.0)</f>
        <v>11</v>
      </c>
      <c r="P83" s="224">
        <f>IFERROR(__xludf.DUMMYFUNCTION("""COMPUTED_VALUE"""),0.0)</f>
        <v>0</v>
      </c>
      <c r="Q83" s="225">
        <f>IFERROR(__xludf.DUMMYFUNCTION("""COMPUTED_VALUE"""),0.0028)</f>
        <v>0.0028</v>
      </c>
      <c r="R83" s="225">
        <f>IFERROR(__xludf.DUMMYFUNCTION("""COMPUTED_VALUE"""),0.0)</f>
        <v>0</v>
      </c>
      <c r="S83" s="226">
        <f>IFERROR(__xludf.DUMMYFUNCTION("""COMPUTED_VALUE"""),16.0)</f>
        <v>16</v>
      </c>
      <c r="T83" s="226">
        <f>IFERROR(__xludf.DUMMYFUNCTION("""COMPUTED_VALUE"""),0.0)</f>
        <v>0</v>
      </c>
      <c r="U83" s="242">
        <f>IFERROR(__xludf.DUMMYFUNCTION("""COMPUTED_VALUE"""),111075.0)</f>
        <v>111075</v>
      </c>
      <c r="V83" s="242" t="str">
        <f>IFERROR(__xludf.DUMMYFUNCTION("""COMPUTED_VALUE"""),"offline")</f>
        <v>offline</v>
      </c>
      <c r="W83" s="243" t="str">
        <f>IFERROR(__xludf.DUMMYFUNCTION("""COMPUTED_VALUE"""),"RCS")</f>
        <v>RCS</v>
      </c>
      <c r="X83" s="243" t="str">
        <f>IFERROR(__xludf.DUMMYFUNCTION("""COMPUTED_VALUE"""),"AL Base")</f>
        <v>AL Base</v>
      </c>
      <c r="Y83" s="243" t="str">
        <f>IFERROR(__xludf.DUMMYFUNCTION("""COMPUTED_VALUE"""),"10th - 12th July")</f>
        <v>10th - 12th July</v>
      </c>
      <c r="Z83" s="243" t="str">
        <f>IFERROR(__xludf.DUMMYFUNCTION("""COMPUTED_VALUE"""),"6a4fa681965dec76e2fc6bd8")</f>
        <v>6a4fa681965dec76e2fc6bd8</v>
      </c>
      <c r="AA83" s="243">
        <f>IFERROR(__xludf.DUMMYFUNCTION("""COMPUTED_VALUE"""),3.0)</f>
        <v>3</v>
      </c>
      <c r="AB83" s="243"/>
      <c r="AC83" s="243">
        <f>IFERROR(__xludf.DUMMYFUNCTION("""COMPUTED_VALUE"""),3.0)</f>
        <v>3</v>
      </c>
      <c r="AD83" s="243">
        <f>IFERROR(__xludf.DUMMYFUNCTION("""COMPUTED_VALUE"""),11677.0)</f>
        <v>11677</v>
      </c>
      <c r="AE83" s="243"/>
      <c r="AF83" s="243">
        <f>IFERROR(__xludf.DUMMYFUNCTION("""COMPUTED_VALUE"""),11677.0)</f>
        <v>11677</v>
      </c>
      <c r="AG83" s="208"/>
      <c r="AH83" s="208"/>
      <c r="AI83" s="208"/>
      <c r="AJ83" s="208"/>
      <c r="AK83" s="208"/>
    </row>
    <row r="84">
      <c r="A84" s="216">
        <f>IFERROR(__xludf.DUMMYFUNCTION("""COMPUTED_VALUE"""),46213.0)</f>
        <v>46213</v>
      </c>
      <c r="B84" s="247">
        <f>IFERROR(__xludf.DUMMYFUNCTION("""COMPUTED_VALUE"""),0.3541666666678793)</f>
        <v>0.3541666667</v>
      </c>
      <c r="C84" s="218" t="str">
        <f>IFERROR(__xludf.DUMMYFUNCTION("""COMPUTED_VALUE"""),"Rcs")</f>
        <v>Rcs</v>
      </c>
      <c r="D84" s="218" t="str">
        <f>IFERROR(__xludf.DUMMYFUNCTION("""COMPUTED_VALUE"""),"Promotional")</f>
        <v>Promotional</v>
      </c>
      <c r="E84" s="218" t="str">
        <f>IFERROR(__xludf.DUMMYFUNCTION("""COMPUTED_VALUE"""),"AGIPL")</f>
        <v>AGIPL</v>
      </c>
      <c r="F84" s="218" t="str">
        <f>IFERROR(__xludf.DUMMYFUNCTION("""COMPUTED_VALUE"""),"SAS_July_PJs - PJs")</f>
        <v>SAS_July_PJs - PJs</v>
      </c>
      <c r="G84" s="211" t="str">
        <f>IFERROR(__xludf.DUMMYFUNCTION("""COMPUTED_VALUE"""),"Store Visit_PJs_SAS_PUN (Cross-brand_AL)")</f>
        <v>Store Visit_PJs_SAS_PUN (Cross-brand_AL)</v>
      </c>
      <c r="H84" s="212" t="str">
        <f>IFERROR(__xludf.DUMMYFUNCTION("""COMPUTED_VALUE"""),"VS_ALDO_Pune")</f>
        <v>VS_ALDO_Pune</v>
      </c>
      <c r="I84" s="211" t="str">
        <f>IFERROR(__xludf.DUMMYFUNCTION("""COMPUTED_VALUE"""),"All customers who have shopped in last 1 year Pune ALDO stores or have shopped online with Txn_City is Pune")</f>
        <v>All customers who have shopped in last 1 year Pune ALDO stores or have shopped online with Txn_City is Pune</v>
      </c>
      <c r="J84" s="213">
        <f>IFERROR(__xludf.DUMMYFUNCTION("""COMPUTED_VALUE"""),8335.0)</f>
        <v>8335</v>
      </c>
      <c r="K84" s="213">
        <f>IFERROR(__xludf.DUMMYFUNCTION("""COMPUTED_VALUE"""),1719.0)</f>
        <v>1719</v>
      </c>
      <c r="L84" s="214">
        <f>IFERROR(__xludf.DUMMYFUNCTION("""COMPUTED_VALUE"""),0.2062)</f>
        <v>0.2062</v>
      </c>
      <c r="M84" s="213">
        <f>IFERROR(__xludf.DUMMYFUNCTION("""COMPUTED_VALUE"""),366.0)</f>
        <v>366</v>
      </c>
      <c r="N84" s="214">
        <f>IFERROR(__xludf.DUMMYFUNCTION("""COMPUTED_VALUE"""),0.2129)</f>
        <v>0.2129</v>
      </c>
      <c r="O84" s="213">
        <f>IFERROR(__xludf.DUMMYFUNCTION("""COMPUTED_VALUE"""),1.0)</f>
        <v>1</v>
      </c>
      <c r="P84" s="213">
        <f>IFERROR(__xludf.DUMMYFUNCTION("""COMPUTED_VALUE"""),0.0)</f>
        <v>0</v>
      </c>
      <c r="Q84" s="214">
        <f>IFERROR(__xludf.DUMMYFUNCTION("""COMPUTED_VALUE"""),6.0E-4)</f>
        <v>0.0006</v>
      </c>
      <c r="R84" s="214">
        <f>IFERROR(__xludf.DUMMYFUNCTION("""COMPUTED_VALUE"""),0.0)</f>
        <v>0</v>
      </c>
      <c r="S84" s="101">
        <f>IFERROR(__xludf.DUMMYFUNCTION("""COMPUTED_VALUE"""),10.0)</f>
        <v>10</v>
      </c>
      <c r="T84" s="226">
        <f>IFERROR(__xludf.DUMMYFUNCTION("""COMPUTED_VALUE"""),0.0)</f>
        <v>0</v>
      </c>
      <c r="U84" s="224">
        <f>IFERROR(__xludf.DUMMYFUNCTION("""COMPUTED_VALUE"""),104494.0)</f>
        <v>104494</v>
      </c>
      <c r="V84" s="224" t="str">
        <f>IFERROR(__xludf.DUMMYFUNCTION("""COMPUTED_VALUE"""),"offline")</f>
        <v>offline</v>
      </c>
      <c r="W84" s="229" t="str">
        <f>IFERROR(__xludf.DUMMYFUNCTION("""COMPUTED_VALUE"""),"RCS")</f>
        <v>RCS</v>
      </c>
      <c r="X84" s="229" t="str">
        <f>IFERROR(__xludf.DUMMYFUNCTION("""COMPUTED_VALUE"""),"AL Base")</f>
        <v>AL Base</v>
      </c>
      <c r="Y84" s="229" t="str">
        <f>IFERROR(__xludf.DUMMYFUNCTION("""COMPUTED_VALUE"""),"10th - 12th July")</f>
        <v>10th - 12th July</v>
      </c>
      <c r="Z84" s="229" t="str">
        <f>IFERROR(__xludf.DUMMYFUNCTION("""COMPUTED_VALUE"""),"6a4fa6e14a8095a6a3e859fe")</f>
        <v>6a4fa6e14a8095a6a3e859fe</v>
      </c>
      <c r="AA84" s="229">
        <f>IFERROR(__xludf.DUMMYFUNCTION("""COMPUTED_VALUE"""),5.0)</f>
        <v>5</v>
      </c>
      <c r="AB84" s="229"/>
      <c r="AC84" s="229">
        <f>IFERROR(__xludf.DUMMYFUNCTION("""COMPUTED_VALUE"""),5.0)</f>
        <v>5</v>
      </c>
      <c r="AD84" s="229">
        <f>IFERROR(__xludf.DUMMYFUNCTION("""COMPUTED_VALUE"""),101428.0)</f>
        <v>101428</v>
      </c>
      <c r="AE84" s="229"/>
      <c r="AF84" s="229">
        <f>IFERROR(__xludf.DUMMYFUNCTION("""COMPUTED_VALUE"""),101428.0)</f>
        <v>101428</v>
      </c>
      <c r="AG84" s="208"/>
      <c r="AH84" s="208"/>
      <c r="AI84" s="208"/>
      <c r="AJ84" s="208"/>
      <c r="AK84" s="208"/>
    </row>
    <row r="85">
      <c r="A85" s="216">
        <f>IFERROR(__xludf.DUMMYFUNCTION("""COMPUTED_VALUE"""),46213.0)</f>
        <v>46213</v>
      </c>
      <c r="B85" s="247">
        <f>IFERROR(__xludf.DUMMYFUNCTION("""COMPUTED_VALUE"""),0.3541666666678793)</f>
        <v>0.3541666667</v>
      </c>
      <c r="C85" s="218" t="str">
        <f>IFERROR(__xludf.DUMMYFUNCTION("""COMPUTED_VALUE"""),"Rcs")</f>
        <v>Rcs</v>
      </c>
      <c r="D85" s="218" t="str">
        <f>IFERROR(__xludf.DUMMYFUNCTION("""COMPUTED_VALUE"""),"Promotional")</f>
        <v>Promotional</v>
      </c>
      <c r="E85" s="218" t="str">
        <f>IFERROR(__xludf.DUMMYFUNCTION("""COMPUTED_VALUE"""),"AGIPL")</f>
        <v>AGIPL</v>
      </c>
      <c r="F85" s="218" t="str">
        <f>IFERROR(__xludf.DUMMYFUNCTION("""COMPUTED_VALUE"""),"SAS_July_PJs - PJs")</f>
        <v>SAS_July_PJs - PJs</v>
      </c>
      <c r="G85" s="212" t="str">
        <f>IFERROR(__xludf.DUMMYFUNCTION("""COMPUTED_VALUE"""),"Store Visit_PJs_SAS_MUM (Cross-brand_CK)")</f>
        <v>Store Visit_PJs_SAS_MUM (Cross-brand_CK)</v>
      </c>
      <c r="H85" s="212" t="str">
        <f>IFERROR(__xludf.DUMMYFUNCTION("""COMPUTED_VALUE"""),"VS_CK_Mumbai")</f>
        <v>VS_CK_Mumbai</v>
      </c>
      <c r="I85" s="211" t="str">
        <f>IFERROR(__xludf.DUMMYFUNCTION("""COMPUTED_VALUE"""),"All customers who have shopped in last 1 year Mumbai CK stores or have shopped online with Txn_City is Mumbai")</f>
        <v>All customers who have shopped in last 1 year Mumbai CK stores or have shopped online with Txn_City is Mumbai</v>
      </c>
      <c r="J85" s="213">
        <f>IFERROR(__xludf.DUMMYFUNCTION("""COMPUTED_VALUE"""),11787.0)</f>
        <v>11787</v>
      </c>
      <c r="K85" s="213">
        <f>IFERROR(__xludf.DUMMYFUNCTION("""COMPUTED_VALUE"""),1761.0)</f>
        <v>1761</v>
      </c>
      <c r="L85" s="214">
        <f>IFERROR(__xludf.DUMMYFUNCTION("""COMPUTED_VALUE"""),0.1494)</f>
        <v>0.1494</v>
      </c>
      <c r="M85" s="213">
        <f>IFERROR(__xludf.DUMMYFUNCTION("""COMPUTED_VALUE"""),424.0)</f>
        <v>424</v>
      </c>
      <c r="N85" s="214">
        <f>IFERROR(__xludf.DUMMYFUNCTION("""COMPUTED_VALUE"""),0.2408)</f>
        <v>0.2408</v>
      </c>
      <c r="O85" s="213">
        <f>IFERROR(__xludf.DUMMYFUNCTION("""COMPUTED_VALUE"""),3.0)</f>
        <v>3</v>
      </c>
      <c r="P85" s="213">
        <f>IFERROR(__xludf.DUMMYFUNCTION("""COMPUTED_VALUE"""),0.0)</f>
        <v>0</v>
      </c>
      <c r="Q85" s="214">
        <f>IFERROR(__xludf.DUMMYFUNCTION("""COMPUTED_VALUE"""),0.0017)</f>
        <v>0.0017</v>
      </c>
      <c r="R85" s="214">
        <f>IFERROR(__xludf.DUMMYFUNCTION("""COMPUTED_VALUE"""),0.0)</f>
        <v>0</v>
      </c>
      <c r="S85" s="101">
        <f>IFERROR(__xludf.DUMMYFUNCTION("""COMPUTED_VALUE"""),14.0)</f>
        <v>14</v>
      </c>
      <c r="T85" s="226">
        <f>IFERROR(__xludf.DUMMYFUNCTION("""COMPUTED_VALUE"""),0.0)</f>
        <v>0</v>
      </c>
      <c r="U85" s="224">
        <f>IFERROR(__xludf.DUMMYFUNCTION("""COMPUTED_VALUE"""),99259.0)</f>
        <v>99259</v>
      </c>
      <c r="V85" s="224" t="str">
        <f>IFERROR(__xludf.DUMMYFUNCTION("""COMPUTED_VALUE"""),"offline")</f>
        <v>offline</v>
      </c>
      <c r="W85" s="229" t="str">
        <f>IFERROR(__xludf.DUMMYFUNCTION("""COMPUTED_VALUE"""),"RCS")</f>
        <v>RCS</v>
      </c>
      <c r="X85" s="229" t="str">
        <f>IFERROR(__xludf.DUMMYFUNCTION("""COMPUTED_VALUE"""),"CK Base")</f>
        <v>CK Base</v>
      </c>
      <c r="Y85" s="229" t="str">
        <f>IFERROR(__xludf.DUMMYFUNCTION("""COMPUTED_VALUE"""),"10th - 12th July")</f>
        <v>10th - 12th July</v>
      </c>
      <c r="Z85" s="229" t="str">
        <f>IFERROR(__xludf.DUMMYFUNCTION("""COMPUTED_VALUE"""),"6a4fa8376b5c35552025a65f")</f>
        <v>6a4fa8376b5c35552025a65f</v>
      </c>
      <c r="AA85" s="229">
        <f>IFERROR(__xludf.DUMMYFUNCTION("""COMPUTED_VALUE"""),6.0)</f>
        <v>6</v>
      </c>
      <c r="AB85" s="229"/>
      <c r="AC85" s="229">
        <f>IFERROR(__xludf.DUMMYFUNCTION("""COMPUTED_VALUE"""),6.0)</f>
        <v>6</v>
      </c>
      <c r="AD85" s="229">
        <f>IFERROR(__xludf.DUMMYFUNCTION("""COMPUTED_VALUE"""),52872.0)</f>
        <v>52872</v>
      </c>
      <c r="AE85" s="229"/>
      <c r="AF85" s="229">
        <f>IFERROR(__xludf.DUMMYFUNCTION("""COMPUTED_VALUE"""),52872.0)</f>
        <v>52872</v>
      </c>
      <c r="AG85" s="208"/>
      <c r="AH85" s="208"/>
      <c r="AI85" s="208"/>
      <c r="AJ85" s="208"/>
      <c r="AK85" s="208"/>
    </row>
    <row r="86">
      <c r="A86" s="216">
        <f>IFERROR(__xludf.DUMMYFUNCTION("""COMPUTED_VALUE"""),46213.0)</f>
        <v>46213</v>
      </c>
      <c r="B86" s="247">
        <f>IFERROR(__xludf.DUMMYFUNCTION("""COMPUTED_VALUE"""),0.3541666666678793)</f>
        <v>0.3541666667</v>
      </c>
      <c r="C86" s="218" t="str">
        <f>IFERROR(__xludf.DUMMYFUNCTION("""COMPUTED_VALUE"""),"Rcs")</f>
        <v>Rcs</v>
      </c>
      <c r="D86" s="218" t="str">
        <f>IFERROR(__xludf.DUMMYFUNCTION("""COMPUTED_VALUE"""),"Promotional")</f>
        <v>Promotional</v>
      </c>
      <c r="E86" s="218" t="str">
        <f>IFERROR(__xludf.DUMMYFUNCTION("""COMPUTED_VALUE"""),"AGIPL")</f>
        <v>AGIPL</v>
      </c>
      <c r="F86" s="218" t="str">
        <f>IFERROR(__xludf.DUMMYFUNCTION("""COMPUTED_VALUE"""),"SAS_July_PJs - PJs")</f>
        <v>SAS_July_PJs - PJs</v>
      </c>
      <c r="G86" s="212" t="str">
        <f>IFERROR(__xludf.DUMMYFUNCTION("""COMPUTED_VALUE"""),"Store Visit_PJs_SAS_DEL (Cross-brand_CK)")</f>
        <v>Store Visit_PJs_SAS_DEL (Cross-brand_CK)</v>
      </c>
      <c r="H86" s="212" t="str">
        <f>IFERROR(__xludf.DUMMYFUNCTION("""COMPUTED_VALUE"""),"VS_CK_Delhi")</f>
        <v>VS_CK_Delhi</v>
      </c>
      <c r="I86" s="211" t="str">
        <f>IFERROR(__xludf.DUMMYFUNCTION("""COMPUTED_VALUE"""),"All customers who have shopped in last 1 year Delhi CK stores or have shopped online with Txn_City is Delhi")</f>
        <v>All customers who have shopped in last 1 year Delhi CK stores or have shopped online with Txn_City is Delhi</v>
      </c>
      <c r="J86" s="213">
        <f>IFERROR(__xludf.DUMMYFUNCTION("""COMPUTED_VALUE"""),18752.0)</f>
        <v>18752</v>
      </c>
      <c r="K86" s="213">
        <f>IFERROR(__xludf.DUMMYFUNCTION("""COMPUTED_VALUE"""),2342.0)</f>
        <v>2342</v>
      </c>
      <c r="L86" s="214">
        <f>IFERROR(__xludf.DUMMYFUNCTION("""COMPUTED_VALUE"""),0.1249)</f>
        <v>0.1249</v>
      </c>
      <c r="M86" s="213">
        <f>IFERROR(__xludf.DUMMYFUNCTION("""COMPUTED_VALUE"""),519.0)</f>
        <v>519</v>
      </c>
      <c r="N86" s="214">
        <f>IFERROR(__xludf.DUMMYFUNCTION("""COMPUTED_VALUE"""),0.2216)</f>
        <v>0.2216</v>
      </c>
      <c r="O86" s="213">
        <f>IFERROR(__xludf.DUMMYFUNCTION("""COMPUTED_VALUE"""),6.0)</f>
        <v>6</v>
      </c>
      <c r="P86" s="213">
        <f>IFERROR(__xludf.DUMMYFUNCTION("""COMPUTED_VALUE"""),0.0)</f>
        <v>0</v>
      </c>
      <c r="Q86" s="214">
        <f>IFERROR(__xludf.DUMMYFUNCTION("""COMPUTED_VALUE"""),0.003)</f>
        <v>0.003</v>
      </c>
      <c r="R86" s="214">
        <f>IFERROR(__xludf.DUMMYFUNCTION("""COMPUTED_VALUE"""),0.0)</f>
        <v>0</v>
      </c>
      <c r="S86" s="101">
        <f>IFERROR(__xludf.DUMMYFUNCTION("""COMPUTED_VALUE"""),9.0)</f>
        <v>9</v>
      </c>
      <c r="T86" s="226">
        <f>IFERROR(__xludf.DUMMYFUNCTION("""COMPUTED_VALUE"""),0.0)</f>
        <v>0</v>
      </c>
      <c r="U86" s="224">
        <f>IFERROR(__xludf.DUMMYFUNCTION("""COMPUTED_VALUE"""),78601.0)</f>
        <v>78601</v>
      </c>
      <c r="V86" s="224" t="str">
        <f>IFERROR(__xludf.DUMMYFUNCTION("""COMPUTED_VALUE"""),"offline")</f>
        <v>offline</v>
      </c>
      <c r="W86" s="229" t="str">
        <f>IFERROR(__xludf.DUMMYFUNCTION("""COMPUTED_VALUE"""),"RCS")</f>
        <v>RCS</v>
      </c>
      <c r="X86" s="229" t="str">
        <f>IFERROR(__xludf.DUMMYFUNCTION("""COMPUTED_VALUE"""),"CK Base")</f>
        <v>CK Base</v>
      </c>
      <c r="Y86" s="229" t="str">
        <f>IFERROR(__xludf.DUMMYFUNCTION("""COMPUTED_VALUE"""),"10th - 12th July")</f>
        <v>10th - 12th July</v>
      </c>
      <c r="Z86" s="229" t="str">
        <f>IFERROR(__xludf.DUMMYFUNCTION("""COMPUTED_VALUE"""),"6a4fa88b06d585520eee1581")</f>
        <v>6a4fa88b06d585520eee1581</v>
      </c>
      <c r="AA86" s="229">
        <f>IFERROR(__xludf.DUMMYFUNCTION("""COMPUTED_VALUE"""),1.0)</f>
        <v>1</v>
      </c>
      <c r="AB86" s="229"/>
      <c r="AC86" s="229">
        <f>IFERROR(__xludf.DUMMYFUNCTION("""COMPUTED_VALUE"""),1.0)</f>
        <v>1</v>
      </c>
      <c r="AD86" s="229">
        <f>IFERROR(__xludf.DUMMYFUNCTION("""COMPUTED_VALUE"""),13967.0)</f>
        <v>13967</v>
      </c>
      <c r="AE86" s="229"/>
      <c r="AF86" s="229">
        <f>IFERROR(__xludf.DUMMYFUNCTION("""COMPUTED_VALUE"""),13967.0)</f>
        <v>13967</v>
      </c>
      <c r="AG86" s="208"/>
      <c r="AH86" s="208"/>
      <c r="AI86" s="208"/>
      <c r="AJ86" s="208"/>
      <c r="AK86" s="208"/>
    </row>
    <row r="87">
      <c r="A87" s="216">
        <f>IFERROR(__xludf.DUMMYFUNCTION("""COMPUTED_VALUE"""),46213.0)</f>
        <v>46213</v>
      </c>
      <c r="B87" s="247">
        <f>IFERROR(__xludf.DUMMYFUNCTION("""COMPUTED_VALUE"""),0.3541666666678793)</f>
        <v>0.3541666667</v>
      </c>
      <c r="C87" s="218" t="str">
        <f>IFERROR(__xludf.DUMMYFUNCTION("""COMPUTED_VALUE"""),"Rcs")</f>
        <v>Rcs</v>
      </c>
      <c r="D87" s="218" t="str">
        <f>IFERROR(__xludf.DUMMYFUNCTION("""COMPUTED_VALUE"""),"Promotional")</f>
        <v>Promotional</v>
      </c>
      <c r="E87" s="218" t="str">
        <f>IFERROR(__xludf.DUMMYFUNCTION("""COMPUTED_VALUE"""),"AGIPL")</f>
        <v>AGIPL</v>
      </c>
      <c r="F87" s="218" t="str">
        <f>IFERROR(__xludf.DUMMYFUNCTION("""COMPUTED_VALUE"""),"SAS_July_PJs - PJs")</f>
        <v>SAS_July_PJs - PJs</v>
      </c>
      <c r="G87" s="212" t="str">
        <f>IFERROR(__xludf.DUMMYFUNCTION("""COMPUTED_VALUE"""),"Store Visit_PJs_SAS_BLR (Cross-brand_CK)")</f>
        <v>Store Visit_PJs_SAS_BLR (Cross-brand_CK)</v>
      </c>
      <c r="H87" s="212" t="str">
        <f>IFERROR(__xludf.DUMMYFUNCTION("""COMPUTED_VALUE"""),"VS_CK_Bangalore")</f>
        <v>VS_CK_Bangalore</v>
      </c>
      <c r="I87" s="211" t="str">
        <f>IFERROR(__xludf.DUMMYFUNCTION("""COMPUTED_VALUE"""),"All customers who have shopped in last 1 year Bengaluru CK stores or have shopped online with Txn_City is Bengaluru")</f>
        <v>All customers who have shopped in last 1 year Bengaluru CK stores or have shopped online with Txn_City is Bengaluru</v>
      </c>
      <c r="J87" s="213">
        <f>IFERROR(__xludf.DUMMYFUNCTION("""COMPUTED_VALUE"""),12370.0)</f>
        <v>12370</v>
      </c>
      <c r="K87" s="213">
        <f>IFERROR(__xludf.DUMMYFUNCTION("""COMPUTED_VALUE"""),1765.0)</f>
        <v>1765</v>
      </c>
      <c r="L87" s="214">
        <f>IFERROR(__xludf.DUMMYFUNCTION("""COMPUTED_VALUE"""),0.1427)</f>
        <v>0.1427</v>
      </c>
      <c r="M87" s="213">
        <f>IFERROR(__xludf.DUMMYFUNCTION("""COMPUTED_VALUE"""),333.0)</f>
        <v>333</v>
      </c>
      <c r="N87" s="214">
        <f>IFERROR(__xludf.DUMMYFUNCTION("""COMPUTED_VALUE"""),0.1887)</f>
        <v>0.1887</v>
      </c>
      <c r="O87" s="213">
        <f>IFERROR(__xludf.DUMMYFUNCTION("""COMPUTED_VALUE"""),1.0)</f>
        <v>1</v>
      </c>
      <c r="P87" s="213">
        <f>IFERROR(__xludf.DUMMYFUNCTION("""COMPUTED_VALUE"""),0.0)</f>
        <v>0</v>
      </c>
      <c r="Q87" s="214">
        <f>IFERROR(__xludf.DUMMYFUNCTION("""COMPUTED_VALUE"""),6.0E-4)</f>
        <v>0.0006</v>
      </c>
      <c r="R87" s="214">
        <f>IFERROR(__xludf.DUMMYFUNCTION("""COMPUTED_VALUE"""),0.0)</f>
        <v>0</v>
      </c>
      <c r="S87" s="101">
        <f>IFERROR(__xludf.DUMMYFUNCTION("""COMPUTED_VALUE"""),8.0)</f>
        <v>8</v>
      </c>
      <c r="T87" s="226">
        <f>IFERROR(__xludf.DUMMYFUNCTION("""COMPUTED_VALUE"""),0.0)</f>
        <v>0</v>
      </c>
      <c r="U87" s="224">
        <f>IFERROR(__xludf.DUMMYFUNCTION("""COMPUTED_VALUE"""),31738.0)</f>
        <v>31738</v>
      </c>
      <c r="V87" s="224" t="str">
        <f>IFERROR(__xludf.DUMMYFUNCTION("""COMPUTED_VALUE"""),"offline")</f>
        <v>offline</v>
      </c>
      <c r="W87" s="229" t="str">
        <f>IFERROR(__xludf.DUMMYFUNCTION("""COMPUTED_VALUE"""),"RCS")</f>
        <v>RCS</v>
      </c>
      <c r="X87" s="229" t="str">
        <f>IFERROR(__xludf.DUMMYFUNCTION("""COMPUTED_VALUE"""),"CK Base")</f>
        <v>CK Base</v>
      </c>
      <c r="Y87" s="229" t="str">
        <f>IFERROR(__xludf.DUMMYFUNCTION("""COMPUTED_VALUE"""),"10th - 12th July")</f>
        <v>10th - 12th July</v>
      </c>
      <c r="Z87" s="229" t="str">
        <f>IFERROR(__xludf.DUMMYFUNCTION("""COMPUTED_VALUE"""),"6a4fa8d0c1de9234b6b30f2d")</f>
        <v>6a4fa8d0c1de9234b6b30f2d</v>
      </c>
      <c r="AA87" s="229">
        <f>IFERROR(__xludf.DUMMYFUNCTION("""COMPUTED_VALUE"""),3.0)</f>
        <v>3</v>
      </c>
      <c r="AB87" s="229"/>
      <c r="AC87" s="229">
        <f>IFERROR(__xludf.DUMMYFUNCTION("""COMPUTED_VALUE"""),3.0)</f>
        <v>3</v>
      </c>
      <c r="AD87" s="229">
        <f>IFERROR(__xludf.DUMMYFUNCTION("""COMPUTED_VALUE"""),16615.0)</f>
        <v>16615</v>
      </c>
      <c r="AE87" s="229"/>
      <c r="AF87" s="229">
        <f>IFERROR(__xludf.DUMMYFUNCTION("""COMPUTED_VALUE"""),16615.0)</f>
        <v>16615</v>
      </c>
      <c r="AG87" s="208"/>
      <c r="AH87" s="208"/>
      <c r="AI87" s="208"/>
      <c r="AJ87" s="208"/>
      <c r="AK87" s="208"/>
    </row>
    <row r="88">
      <c r="A88" s="216">
        <f>IFERROR(__xludf.DUMMYFUNCTION("""COMPUTED_VALUE"""),46213.0)</f>
        <v>46213</v>
      </c>
      <c r="B88" s="247">
        <f>IFERROR(__xludf.DUMMYFUNCTION("""COMPUTED_VALUE"""),0.3541666666678793)</f>
        <v>0.3541666667</v>
      </c>
      <c r="C88" s="218" t="str">
        <f>IFERROR(__xludf.DUMMYFUNCTION("""COMPUTED_VALUE"""),"Rcs")</f>
        <v>Rcs</v>
      </c>
      <c r="D88" s="218" t="str">
        <f>IFERROR(__xludf.DUMMYFUNCTION("""COMPUTED_VALUE"""),"Promotional")</f>
        <v>Promotional</v>
      </c>
      <c r="E88" s="218" t="str">
        <f>IFERROR(__xludf.DUMMYFUNCTION("""COMPUTED_VALUE"""),"AGIPL")</f>
        <v>AGIPL</v>
      </c>
      <c r="F88" s="218" t="str">
        <f>IFERROR(__xludf.DUMMYFUNCTION("""COMPUTED_VALUE"""),"SAS_July_PJs - PJs")</f>
        <v>SAS_July_PJs - PJs</v>
      </c>
      <c r="G88" s="212" t="str">
        <f>IFERROR(__xludf.DUMMYFUNCTION("""COMPUTED_VALUE"""),"Store Visit_PJs_SAS_PUN (Cross-brand_CK)")</f>
        <v>Store Visit_PJs_SAS_PUN (Cross-brand_CK)</v>
      </c>
      <c r="H88" s="212" t="str">
        <f>IFERROR(__xludf.DUMMYFUNCTION("""COMPUTED_VALUE"""),"VS_CK_Pune")</f>
        <v>VS_CK_Pune</v>
      </c>
      <c r="I88" s="211" t="str">
        <f>IFERROR(__xludf.DUMMYFUNCTION("""COMPUTED_VALUE"""),"All customers who have shopped in last 1 year Pune CK stores or have shopped online with Txn_City is Pune")</f>
        <v>All customers who have shopped in last 1 year Pune CK stores or have shopped online with Txn_City is Pune</v>
      </c>
      <c r="J88" s="213">
        <f>IFERROR(__xludf.DUMMYFUNCTION("""COMPUTED_VALUE"""),4495.0)</f>
        <v>4495</v>
      </c>
      <c r="K88" s="213">
        <f>IFERROR(__xludf.DUMMYFUNCTION("""COMPUTED_VALUE"""),685.0)</f>
        <v>685</v>
      </c>
      <c r="L88" s="214">
        <f>IFERROR(__xludf.DUMMYFUNCTION("""COMPUTED_VALUE"""),0.1524)</f>
        <v>0.1524</v>
      </c>
      <c r="M88" s="213">
        <f>IFERROR(__xludf.DUMMYFUNCTION("""COMPUTED_VALUE"""),129.0)</f>
        <v>129</v>
      </c>
      <c r="N88" s="214">
        <f>IFERROR(__xludf.DUMMYFUNCTION("""COMPUTED_VALUE"""),0.1883)</f>
        <v>0.1883</v>
      </c>
      <c r="O88" s="213">
        <f>IFERROR(__xludf.DUMMYFUNCTION("""COMPUTED_VALUE"""),2.0)</f>
        <v>2</v>
      </c>
      <c r="P88" s="213">
        <f>IFERROR(__xludf.DUMMYFUNCTION("""COMPUTED_VALUE"""),0.0)</f>
        <v>0</v>
      </c>
      <c r="Q88" s="214">
        <f>IFERROR(__xludf.DUMMYFUNCTION("""COMPUTED_VALUE"""),0.0029)</f>
        <v>0.0029</v>
      </c>
      <c r="R88" s="214">
        <f>IFERROR(__xludf.DUMMYFUNCTION("""COMPUTED_VALUE"""),0.0)</f>
        <v>0</v>
      </c>
      <c r="S88" s="101">
        <f>IFERROR(__xludf.DUMMYFUNCTION("""COMPUTED_VALUE"""),2.0)</f>
        <v>2</v>
      </c>
      <c r="T88" s="226">
        <f>IFERROR(__xludf.DUMMYFUNCTION("""COMPUTED_VALUE"""),0.0)</f>
        <v>0</v>
      </c>
      <c r="U88" s="224">
        <f>IFERROR(__xludf.DUMMYFUNCTION("""COMPUTED_VALUE"""),11499.0)</f>
        <v>11499</v>
      </c>
      <c r="V88" s="224" t="str">
        <f>IFERROR(__xludf.DUMMYFUNCTION("""COMPUTED_VALUE"""),"offline")</f>
        <v>offline</v>
      </c>
      <c r="W88" s="229" t="str">
        <f>IFERROR(__xludf.DUMMYFUNCTION("""COMPUTED_VALUE"""),"RCS")</f>
        <v>RCS</v>
      </c>
      <c r="X88" s="229" t="str">
        <f>IFERROR(__xludf.DUMMYFUNCTION("""COMPUTED_VALUE"""),"CK Base")</f>
        <v>CK Base</v>
      </c>
      <c r="Y88" s="229" t="str">
        <f>IFERROR(__xludf.DUMMYFUNCTION("""COMPUTED_VALUE"""),"10th - 12th July")</f>
        <v>10th - 12th July</v>
      </c>
      <c r="Z88" s="229" t="str">
        <f>IFERROR(__xludf.DUMMYFUNCTION("""COMPUTED_VALUE"""),"6a4fa90f965dec76e2fc6c1d")</f>
        <v>6a4fa90f965dec76e2fc6c1d</v>
      </c>
      <c r="AA88" s="229">
        <f>IFERROR(__xludf.DUMMYFUNCTION("""COMPUTED_VALUE"""),1.0)</f>
        <v>1</v>
      </c>
      <c r="AB88" s="229"/>
      <c r="AC88" s="229">
        <f>IFERROR(__xludf.DUMMYFUNCTION("""COMPUTED_VALUE"""),1.0)</f>
        <v>1</v>
      </c>
      <c r="AD88" s="229">
        <f>IFERROR(__xludf.DUMMYFUNCTION("""COMPUTED_VALUE"""),9899.0)</f>
        <v>9899</v>
      </c>
      <c r="AE88" s="229"/>
      <c r="AF88" s="229">
        <f>IFERROR(__xludf.DUMMYFUNCTION("""COMPUTED_VALUE"""),9899.0)</f>
        <v>9899</v>
      </c>
      <c r="AG88" s="208"/>
      <c r="AH88" s="208"/>
      <c r="AI88" s="208"/>
      <c r="AJ88" s="208"/>
      <c r="AK88" s="208"/>
    </row>
    <row r="89">
      <c r="A89" s="216"/>
      <c r="B89" s="247"/>
      <c r="C89" s="218"/>
      <c r="D89" s="218"/>
      <c r="E89" s="218"/>
      <c r="F89" s="218"/>
      <c r="G89" s="212"/>
      <c r="H89" s="212"/>
      <c r="I89" s="211"/>
      <c r="J89" s="213"/>
      <c r="K89" s="213"/>
      <c r="L89" s="214"/>
      <c r="M89" s="213"/>
      <c r="N89" s="214"/>
      <c r="O89" s="213"/>
      <c r="P89" s="213"/>
      <c r="Q89" s="214"/>
      <c r="R89" s="214"/>
      <c r="S89" s="101"/>
      <c r="T89" s="226"/>
      <c r="U89" s="224"/>
      <c r="V89" s="224"/>
      <c r="W89" s="229"/>
      <c r="X89" s="229"/>
      <c r="Y89" s="229"/>
      <c r="Z89" s="229"/>
      <c r="AA89" s="229"/>
      <c r="AB89" s="229"/>
      <c r="AC89" s="229"/>
      <c r="AD89" s="229"/>
      <c r="AE89" s="229"/>
      <c r="AF89" s="229"/>
      <c r="AG89" s="208"/>
      <c r="AH89" s="208"/>
      <c r="AI89" s="208"/>
      <c r="AJ89" s="208"/>
      <c r="AK89" s="208"/>
    </row>
    <row r="90">
      <c r="A90" s="216"/>
      <c r="B90" s="247"/>
      <c r="C90" s="218"/>
      <c r="D90" s="218"/>
      <c r="E90" s="218"/>
      <c r="F90" s="218"/>
      <c r="G90" s="212"/>
      <c r="H90" s="212"/>
      <c r="I90" s="211"/>
      <c r="J90" s="213"/>
      <c r="K90" s="213"/>
      <c r="L90" s="214"/>
      <c r="M90" s="213"/>
      <c r="N90" s="214"/>
      <c r="O90" s="213"/>
      <c r="P90" s="213"/>
      <c r="Q90" s="214"/>
      <c r="R90" s="214"/>
      <c r="S90" s="101"/>
      <c r="T90" s="226"/>
      <c r="U90" s="224"/>
      <c r="V90" s="224"/>
      <c r="W90" s="229"/>
      <c r="X90" s="229"/>
      <c r="Y90" s="229"/>
      <c r="Z90" s="229"/>
      <c r="AA90" s="229"/>
      <c r="AB90" s="229"/>
      <c r="AC90" s="229"/>
      <c r="AD90" s="229"/>
      <c r="AE90" s="229"/>
      <c r="AF90" s="229"/>
      <c r="AG90" s="208"/>
      <c r="AH90" s="208"/>
      <c r="AI90" s="208"/>
      <c r="AJ90" s="208"/>
      <c r="AK90" s="208"/>
    </row>
    <row r="91">
      <c r="A91" s="245"/>
      <c r="B91" s="246"/>
      <c r="C91" s="222"/>
      <c r="D91" s="222"/>
      <c r="E91" s="222"/>
      <c r="F91" s="222"/>
      <c r="G91" s="221"/>
      <c r="H91" s="223"/>
      <c r="I91" s="221"/>
      <c r="J91" s="224"/>
      <c r="K91" s="224"/>
      <c r="L91" s="225"/>
      <c r="M91" s="224"/>
      <c r="N91" s="225"/>
      <c r="O91" s="224"/>
      <c r="P91" s="224"/>
      <c r="Q91" s="225"/>
      <c r="R91" s="225"/>
      <c r="S91" s="226"/>
      <c r="T91" s="226"/>
      <c r="U91" s="224"/>
      <c r="V91" s="224"/>
      <c r="W91" s="229"/>
      <c r="X91" s="229"/>
      <c r="Y91" s="229"/>
      <c r="Z91" s="229"/>
      <c r="AA91" s="229"/>
      <c r="AB91" s="229"/>
      <c r="AC91" s="229"/>
      <c r="AD91" s="229"/>
      <c r="AE91" s="229"/>
      <c r="AF91" s="229"/>
      <c r="AG91" s="208"/>
      <c r="AH91" s="208"/>
      <c r="AI91" s="208"/>
      <c r="AJ91" s="208"/>
      <c r="AK91" s="208"/>
    </row>
    <row r="92">
      <c r="A92" s="245"/>
      <c r="B92" s="246"/>
      <c r="C92" s="222"/>
      <c r="D92" s="222"/>
      <c r="E92" s="222"/>
      <c r="F92" s="222"/>
      <c r="G92" s="221"/>
      <c r="H92" s="223"/>
      <c r="I92" s="221"/>
      <c r="J92" s="224"/>
      <c r="K92" s="224"/>
      <c r="L92" s="225"/>
      <c r="M92" s="224"/>
      <c r="N92" s="225"/>
      <c r="O92" s="224"/>
      <c r="P92" s="224"/>
      <c r="Q92" s="225"/>
      <c r="R92" s="225"/>
      <c r="S92" s="226"/>
      <c r="T92" s="226"/>
      <c r="U92" s="224"/>
      <c r="V92" s="224"/>
      <c r="W92" s="229"/>
      <c r="X92" s="229"/>
      <c r="Y92" s="229"/>
      <c r="Z92" s="229"/>
      <c r="AA92" s="229"/>
      <c r="AB92" s="229"/>
      <c r="AC92" s="229"/>
      <c r="AD92" s="229"/>
      <c r="AE92" s="229"/>
      <c r="AF92" s="229"/>
      <c r="AG92" s="208"/>
      <c r="AH92" s="208"/>
      <c r="AI92" s="208"/>
      <c r="AJ92" s="208"/>
      <c r="AK92" s="208"/>
    </row>
    <row r="93">
      <c r="A93" s="245"/>
      <c r="B93" s="246"/>
      <c r="C93" s="222"/>
      <c r="D93" s="222"/>
      <c r="E93" s="222"/>
      <c r="F93" s="222"/>
      <c r="G93" s="221"/>
      <c r="H93" s="223"/>
      <c r="I93" s="221"/>
      <c r="J93" s="224"/>
      <c r="K93" s="224"/>
      <c r="L93" s="225"/>
      <c r="M93" s="224"/>
      <c r="N93" s="225"/>
      <c r="O93" s="224"/>
      <c r="P93" s="224"/>
      <c r="Q93" s="225"/>
      <c r="R93" s="225"/>
      <c r="S93" s="226"/>
      <c r="T93" s="226"/>
      <c r="U93" s="224"/>
      <c r="V93" s="224"/>
      <c r="W93" s="229"/>
      <c r="X93" s="229"/>
      <c r="Y93" s="229"/>
      <c r="Z93" s="229"/>
      <c r="AA93" s="229"/>
      <c r="AB93" s="229"/>
      <c r="AC93" s="229"/>
      <c r="AD93" s="229"/>
      <c r="AE93" s="229"/>
      <c r="AF93" s="229"/>
      <c r="AG93" s="208"/>
      <c r="AH93" s="208"/>
      <c r="AI93" s="208"/>
      <c r="AJ93" s="208"/>
      <c r="AK93" s="208"/>
    </row>
    <row r="94">
      <c r="A94" s="245"/>
      <c r="B94" s="246"/>
      <c r="C94" s="222"/>
      <c r="D94" s="222"/>
      <c r="E94" s="222"/>
      <c r="F94" s="222"/>
      <c r="G94" s="221"/>
      <c r="H94" s="223"/>
      <c r="I94" s="223"/>
      <c r="J94" s="224"/>
      <c r="K94" s="224"/>
      <c r="L94" s="225"/>
      <c r="M94" s="224"/>
      <c r="N94" s="225"/>
      <c r="O94" s="224"/>
      <c r="P94" s="224"/>
      <c r="Q94" s="225"/>
      <c r="R94" s="225"/>
      <c r="S94" s="226"/>
      <c r="T94" s="226"/>
      <c r="U94" s="224"/>
      <c r="V94" s="224"/>
      <c r="W94" s="229"/>
      <c r="X94" s="229"/>
      <c r="Y94" s="229"/>
      <c r="Z94" s="229"/>
      <c r="AA94" s="229"/>
      <c r="AB94" s="229"/>
      <c r="AC94" s="229"/>
      <c r="AD94" s="229"/>
      <c r="AE94" s="229"/>
      <c r="AF94" s="229"/>
      <c r="AG94" s="208"/>
      <c r="AH94" s="208"/>
      <c r="AI94" s="208"/>
      <c r="AJ94" s="208"/>
      <c r="AK94" s="208"/>
    </row>
    <row r="95">
      <c r="A95" s="245"/>
      <c r="B95" s="246"/>
      <c r="C95" s="222"/>
      <c r="D95" s="222"/>
      <c r="E95" s="222"/>
      <c r="F95" s="222"/>
      <c r="G95" s="221"/>
      <c r="H95" s="223"/>
      <c r="I95" s="223"/>
      <c r="J95" s="224"/>
      <c r="K95" s="224"/>
      <c r="L95" s="225"/>
      <c r="M95" s="224"/>
      <c r="N95" s="225"/>
      <c r="O95" s="224"/>
      <c r="P95" s="224"/>
      <c r="Q95" s="225"/>
      <c r="R95" s="225"/>
      <c r="S95" s="226"/>
      <c r="T95" s="226"/>
      <c r="U95" s="224"/>
      <c r="V95" s="224"/>
      <c r="W95" s="229"/>
      <c r="X95" s="229"/>
      <c r="Y95" s="229"/>
      <c r="Z95" s="229"/>
      <c r="AA95" s="229"/>
      <c r="AB95" s="229"/>
      <c r="AC95" s="229"/>
      <c r="AD95" s="229"/>
      <c r="AE95" s="229"/>
      <c r="AF95" s="229"/>
      <c r="AG95" s="208"/>
      <c r="AH95" s="208"/>
      <c r="AI95" s="208"/>
      <c r="AJ95" s="208"/>
      <c r="AK95" s="208"/>
    </row>
    <row r="96">
      <c r="A96" s="245"/>
      <c r="B96" s="244"/>
      <c r="C96" s="222"/>
      <c r="D96" s="222"/>
      <c r="E96" s="222"/>
      <c r="F96" s="222"/>
      <c r="G96" s="222"/>
      <c r="H96" s="222"/>
      <c r="I96" s="223"/>
      <c r="J96" s="242"/>
      <c r="K96" s="242"/>
      <c r="L96" s="268"/>
      <c r="M96" s="242"/>
      <c r="N96" s="268"/>
      <c r="O96" s="242"/>
      <c r="P96" s="242"/>
      <c r="Q96" s="268"/>
      <c r="R96" s="268"/>
      <c r="S96" s="222"/>
      <c r="T96" s="222"/>
      <c r="U96" s="242"/>
      <c r="V96" s="242"/>
      <c r="W96" s="243"/>
      <c r="X96" s="243"/>
      <c r="Y96" s="243"/>
      <c r="Z96" s="243"/>
      <c r="AA96" s="243"/>
      <c r="AB96" s="243"/>
      <c r="AC96" s="243"/>
      <c r="AD96" s="243"/>
      <c r="AE96" s="243"/>
      <c r="AF96" s="243"/>
      <c r="AG96" s="208"/>
      <c r="AH96" s="208"/>
      <c r="AI96" s="208"/>
      <c r="AJ96" s="208"/>
      <c r="AK96" s="208"/>
    </row>
    <row r="97">
      <c r="A97" s="245"/>
      <c r="B97" s="244"/>
      <c r="C97" s="222"/>
      <c r="D97" s="222"/>
      <c r="E97" s="222"/>
      <c r="F97" s="222"/>
      <c r="G97" s="222"/>
      <c r="H97" s="222"/>
      <c r="I97" s="223"/>
      <c r="J97" s="242"/>
      <c r="K97" s="242"/>
      <c r="L97" s="268"/>
      <c r="M97" s="242"/>
      <c r="N97" s="268"/>
      <c r="O97" s="242"/>
      <c r="P97" s="242"/>
      <c r="Q97" s="268"/>
      <c r="R97" s="268"/>
      <c r="S97" s="222"/>
      <c r="T97" s="222"/>
      <c r="U97" s="242"/>
      <c r="V97" s="242"/>
      <c r="W97" s="243"/>
      <c r="X97" s="243"/>
      <c r="Y97" s="243"/>
      <c r="Z97" s="243"/>
      <c r="AA97" s="243"/>
      <c r="AB97" s="243"/>
      <c r="AC97" s="243"/>
      <c r="AD97" s="243"/>
      <c r="AE97" s="243"/>
      <c r="AF97" s="243"/>
      <c r="AG97" s="208"/>
      <c r="AH97" s="208"/>
      <c r="AI97" s="208"/>
      <c r="AJ97" s="208"/>
      <c r="AK97" s="208"/>
    </row>
    <row r="98">
      <c r="A98" s="245"/>
      <c r="B98" s="244"/>
      <c r="C98" s="222"/>
      <c r="D98" s="222"/>
      <c r="E98" s="222"/>
      <c r="F98" s="222"/>
      <c r="G98" s="222"/>
      <c r="H98" s="222"/>
      <c r="I98" s="223"/>
      <c r="J98" s="242"/>
      <c r="K98" s="242"/>
      <c r="L98" s="268"/>
      <c r="M98" s="242"/>
      <c r="N98" s="268"/>
      <c r="O98" s="242"/>
      <c r="P98" s="242"/>
      <c r="Q98" s="268"/>
      <c r="R98" s="268"/>
      <c r="S98" s="222"/>
      <c r="T98" s="222"/>
      <c r="U98" s="242"/>
      <c r="V98" s="242"/>
      <c r="W98" s="243"/>
      <c r="X98" s="243"/>
      <c r="Y98" s="243"/>
      <c r="Z98" s="243"/>
      <c r="AA98" s="243"/>
      <c r="AB98" s="243"/>
      <c r="AC98" s="243"/>
      <c r="AD98" s="243"/>
      <c r="AE98" s="243"/>
      <c r="AF98" s="243"/>
      <c r="AG98" s="208"/>
      <c r="AH98" s="208"/>
      <c r="AI98" s="208"/>
      <c r="AJ98" s="208"/>
      <c r="AK98" s="208"/>
    </row>
    <row r="99">
      <c r="A99" s="245"/>
      <c r="B99" s="244"/>
      <c r="C99" s="222"/>
      <c r="D99" s="222"/>
      <c r="E99" s="222"/>
      <c r="F99" s="222"/>
      <c r="G99" s="222"/>
      <c r="H99" s="222"/>
      <c r="I99" s="223"/>
      <c r="J99" s="242"/>
      <c r="K99" s="242"/>
      <c r="L99" s="268"/>
      <c r="M99" s="242"/>
      <c r="N99" s="268"/>
      <c r="O99" s="242"/>
      <c r="P99" s="242"/>
      <c r="Q99" s="268"/>
      <c r="R99" s="268"/>
      <c r="S99" s="222"/>
      <c r="T99" s="222"/>
      <c r="U99" s="242"/>
      <c r="V99" s="242"/>
      <c r="W99" s="243"/>
      <c r="X99" s="243"/>
      <c r="Y99" s="243"/>
      <c r="Z99" s="243"/>
      <c r="AA99" s="243"/>
      <c r="AB99" s="243"/>
      <c r="AC99" s="243"/>
      <c r="AD99" s="243"/>
      <c r="AE99" s="243"/>
      <c r="AF99" s="243"/>
      <c r="AG99" s="208"/>
      <c r="AH99" s="208"/>
      <c r="AI99" s="208"/>
      <c r="AJ99" s="208"/>
      <c r="AK99" s="208"/>
    </row>
    <row r="100">
      <c r="A100" s="245"/>
      <c r="B100" s="244"/>
      <c r="C100" s="222"/>
      <c r="D100" s="222"/>
      <c r="E100" s="222"/>
      <c r="F100" s="222"/>
      <c r="G100" s="222"/>
      <c r="H100" s="222"/>
      <c r="I100" s="223"/>
      <c r="J100" s="242"/>
      <c r="K100" s="242"/>
      <c r="L100" s="268"/>
      <c r="M100" s="242"/>
      <c r="N100" s="268"/>
      <c r="O100" s="242"/>
      <c r="P100" s="242"/>
      <c r="Q100" s="268"/>
      <c r="R100" s="268"/>
      <c r="S100" s="222"/>
      <c r="T100" s="222"/>
      <c r="U100" s="242"/>
      <c r="V100" s="242"/>
      <c r="W100" s="243"/>
      <c r="X100" s="243"/>
      <c r="Y100" s="243"/>
      <c r="Z100" s="243"/>
      <c r="AA100" s="243"/>
      <c r="AB100" s="243"/>
      <c r="AC100" s="243"/>
      <c r="AD100" s="243"/>
      <c r="AE100" s="243"/>
      <c r="AF100" s="243"/>
      <c r="AG100" s="208"/>
      <c r="AH100" s="208"/>
      <c r="AI100" s="208"/>
      <c r="AJ100" s="208"/>
      <c r="AK100" s="208"/>
    </row>
    <row r="101">
      <c r="A101" s="245"/>
      <c r="B101" s="244"/>
      <c r="C101" s="222"/>
      <c r="D101" s="222"/>
      <c r="E101" s="222"/>
      <c r="F101" s="222"/>
      <c r="G101" s="222"/>
      <c r="H101" s="222"/>
      <c r="I101" s="223"/>
      <c r="J101" s="242"/>
      <c r="K101" s="242"/>
      <c r="L101" s="268"/>
      <c r="M101" s="242"/>
      <c r="N101" s="268"/>
      <c r="O101" s="242"/>
      <c r="P101" s="242"/>
      <c r="Q101" s="268"/>
      <c r="R101" s="268"/>
      <c r="S101" s="222"/>
      <c r="T101" s="222"/>
      <c r="U101" s="242"/>
      <c r="V101" s="242"/>
      <c r="W101" s="243"/>
      <c r="X101" s="243"/>
      <c r="Y101" s="243"/>
      <c r="Z101" s="243"/>
      <c r="AA101" s="243"/>
      <c r="AB101" s="243"/>
      <c r="AC101" s="243"/>
      <c r="AD101" s="243"/>
      <c r="AE101" s="243"/>
      <c r="AF101" s="243"/>
      <c r="AG101" s="208"/>
      <c r="AH101" s="208"/>
      <c r="AI101" s="208"/>
      <c r="AJ101" s="208"/>
      <c r="AK101" s="208"/>
    </row>
    <row r="102">
      <c r="A102" s="245"/>
      <c r="B102" s="244"/>
      <c r="C102" s="222"/>
      <c r="D102" s="222"/>
      <c r="E102" s="222"/>
      <c r="F102" s="222"/>
      <c r="G102" s="222"/>
      <c r="H102" s="222"/>
      <c r="I102" s="223"/>
      <c r="J102" s="242"/>
      <c r="K102" s="242"/>
      <c r="L102" s="268"/>
      <c r="M102" s="242"/>
      <c r="N102" s="268"/>
      <c r="O102" s="242"/>
      <c r="P102" s="242"/>
      <c r="Q102" s="268"/>
      <c r="R102" s="268"/>
      <c r="S102" s="222"/>
      <c r="T102" s="222"/>
      <c r="U102" s="242"/>
      <c r="V102" s="242"/>
      <c r="W102" s="243"/>
      <c r="X102" s="243"/>
      <c r="Y102" s="243"/>
      <c r="Z102" s="243"/>
      <c r="AA102" s="243"/>
      <c r="AB102" s="243"/>
      <c r="AC102" s="243"/>
      <c r="AD102" s="243"/>
      <c r="AE102" s="243"/>
      <c r="AF102" s="243"/>
      <c r="AG102" s="208"/>
      <c r="AH102" s="208"/>
      <c r="AI102" s="208"/>
      <c r="AJ102" s="208"/>
      <c r="AK102" s="208"/>
    </row>
    <row r="103">
      <c r="A103" s="245"/>
      <c r="B103" s="244"/>
      <c r="C103" s="222"/>
      <c r="D103" s="222"/>
      <c r="E103" s="222"/>
      <c r="F103" s="222"/>
      <c r="G103" s="222"/>
      <c r="H103" s="222"/>
      <c r="I103" s="223"/>
      <c r="J103" s="242"/>
      <c r="K103" s="242"/>
      <c r="L103" s="268"/>
      <c r="M103" s="242"/>
      <c r="N103" s="268"/>
      <c r="O103" s="242"/>
      <c r="P103" s="242"/>
      <c r="Q103" s="268"/>
      <c r="R103" s="268"/>
      <c r="S103" s="222"/>
      <c r="T103" s="222"/>
      <c r="U103" s="242"/>
      <c r="V103" s="242"/>
      <c r="W103" s="243"/>
      <c r="X103" s="243"/>
      <c r="Y103" s="243"/>
      <c r="Z103" s="243"/>
      <c r="AA103" s="243"/>
      <c r="AB103" s="243"/>
      <c r="AC103" s="243"/>
      <c r="AD103" s="243"/>
      <c r="AE103" s="243"/>
      <c r="AF103" s="243"/>
      <c r="AG103" s="208"/>
      <c r="AH103" s="208"/>
      <c r="AI103" s="208"/>
      <c r="AJ103" s="208"/>
      <c r="AK103" s="208"/>
    </row>
    <row r="104">
      <c r="A104" s="245"/>
      <c r="B104" s="244"/>
      <c r="C104" s="222"/>
      <c r="D104" s="222"/>
      <c r="E104" s="222"/>
      <c r="F104" s="222"/>
      <c r="G104" s="222"/>
      <c r="H104" s="222"/>
      <c r="I104" s="223"/>
      <c r="J104" s="242"/>
      <c r="K104" s="242"/>
      <c r="L104" s="268"/>
      <c r="M104" s="242"/>
      <c r="N104" s="268"/>
      <c r="O104" s="242"/>
      <c r="P104" s="242"/>
      <c r="Q104" s="268"/>
      <c r="R104" s="268"/>
      <c r="S104" s="222"/>
      <c r="T104" s="222"/>
      <c r="U104" s="242"/>
      <c r="V104" s="242"/>
      <c r="W104" s="243"/>
      <c r="X104" s="243"/>
      <c r="Y104" s="243"/>
      <c r="Z104" s="243"/>
      <c r="AA104" s="243"/>
      <c r="AB104" s="243"/>
      <c r="AC104" s="243"/>
      <c r="AD104" s="243"/>
      <c r="AE104" s="243"/>
      <c r="AF104" s="243"/>
      <c r="AG104" s="208"/>
      <c r="AH104" s="208"/>
      <c r="AI104" s="208"/>
      <c r="AJ104" s="208"/>
      <c r="AK104" s="208"/>
    </row>
    <row r="105">
      <c r="A105" s="245"/>
      <c r="B105" s="244"/>
      <c r="C105" s="222"/>
      <c r="D105" s="222"/>
      <c r="E105" s="222"/>
      <c r="F105" s="222"/>
      <c r="G105" s="222"/>
      <c r="H105" s="222"/>
      <c r="I105" s="223"/>
      <c r="J105" s="242"/>
      <c r="K105" s="242"/>
      <c r="L105" s="268"/>
      <c r="M105" s="242"/>
      <c r="N105" s="268"/>
      <c r="O105" s="242"/>
      <c r="P105" s="242"/>
      <c r="Q105" s="268"/>
      <c r="R105" s="268"/>
      <c r="S105" s="222"/>
      <c r="T105" s="222"/>
      <c r="U105" s="242"/>
      <c r="V105" s="242"/>
      <c r="W105" s="243"/>
      <c r="X105" s="243"/>
      <c r="Y105" s="243"/>
      <c r="Z105" s="243"/>
      <c r="AA105" s="243"/>
      <c r="AB105" s="243"/>
      <c r="AC105" s="243"/>
      <c r="AD105" s="243"/>
      <c r="AE105" s="243"/>
      <c r="AF105" s="243"/>
      <c r="AG105" s="208"/>
      <c r="AH105" s="208"/>
      <c r="AI105" s="208"/>
      <c r="AJ105" s="208"/>
      <c r="AK105" s="208"/>
    </row>
    <row r="106">
      <c r="A106" s="245"/>
      <c r="B106" s="244"/>
      <c r="C106" s="222"/>
      <c r="D106" s="222"/>
      <c r="E106" s="222"/>
      <c r="F106" s="222"/>
      <c r="G106" s="222"/>
      <c r="H106" s="222"/>
      <c r="I106" s="223"/>
      <c r="J106" s="242"/>
      <c r="K106" s="242"/>
      <c r="L106" s="268"/>
      <c r="M106" s="242"/>
      <c r="N106" s="268"/>
      <c r="O106" s="242"/>
      <c r="P106" s="242"/>
      <c r="Q106" s="268"/>
      <c r="R106" s="268"/>
      <c r="S106" s="222"/>
      <c r="T106" s="222"/>
      <c r="U106" s="242"/>
      <c r="V106" s="242"/>
      <c r="W106" s="243"/>
      <c r="X106" s="243"/>
      <c r="Y106" s="243"/>
      <c r="Z106" s="243"/>
      <c r="AA106" s="243"/>
      <c r="AB106" s="243"/>
      <c r="AC106" s="243"/>
      <c r="AD106" s="243"/>
      <c r="AE106" s="243"/>
      <c r="AF106" s="243"/>
      <c r="AG106" s="208"/>
      <c r="AH106" s="208"/>
      <c r="AI106" s="208"/>
      <c r="AJ106" s="208"/>
      <c r="AK106" s="208"/>
    </row>
    <row r="107">
      <c r="A107" s="245"/>
      <c r="B107" s="244"/>
      <c r="C107" s="222"/>
      <c r="D107" s="222"/>
      <c r="E107" s="222"/>
      <c r="F107" s="222"/>
      <c r="G107" s="222"/>
      <c r="H107" s="222"/>
      <c r="I107" s="223"/>
      <c r="J107" s="242"/>
      <c r="K107" s="242"/>
      <c r="L107" s="268"/>
      <c r="M107" s="242"/>
      <c r="N107" s="268"/>
      <c r="O107" s="242"/>
      <c r="P107" s="242"/>
      <c r="Q107" s="268"/>
      <c r="R107" s="268"/>
      <c r="S107" s="222"/>
      <c r="T107" s="222"/>
      <c r="U107" s="242"/>
      <c r="V107" s="242"/>
      <c r="W107" s="243"/>
      <c r="X107" s="243"/>
      <c r="Y107" s="243"/>
      <c r="Z107" s="243"/>
      <c r="AA107" s="243"/>
      <c r="AB107" s="243"/>
      <c r="AC107" s="243"/>
      <c r="AD107" s="243"/>
      <c r="AE107" s="243"/>
      <c r="AF107" s="243"/>
      <c r="AG107" s="208"/>
      <c r="AH107" s="208"/>
      <c r="AI107" s="208"/>
      <c r="AJ107" s="208"/>
      <c r="AK107" s="208"/>
    </row>
    <row r="108">
      <c r="A108" s="245"/>
      <c r="B108" s="244"/>
      <c r="C108" s="222"/>
      <c r="D108" s="222"/>
      <c r="E108" s="222"/>
      <c r="F108" s="222"/>
      <c r="G108" s="222"/>
      <c r="H108" s="222"/>
      <c r="I108" s="223"/>
      <c r="J108" s="242"/>
      <c r="K108" s="242"/>
      <c r="L108" s="268"/>
      <c r="M108" s="242"/>
      <c r="N108" s="268"/>
      <c r="O108" s="242"/>
      <c r="P108" s="242"/>
      <c r="Q108" s="268"/>
      <c r="R108" s="268"/>
      <c r="S108" s="222"/>
      <c r="T108" s="222"/>
      <c r="U108" s="242"/>
      <c r="V108" s="242"/>
      <c r="W108" s="243"/>
      <c r="X108" s="243"/>
      <c r="Y108" s="243"/>
      <c r="Z108" s="243"/>
      <c r="AA108" s="243"/>
      <c r="AB108" s="243"/>
      <c r="AC108" s="243"/>
      <c r="AD108" s="243"/>
      <c r="AE108" s="243"/>
      <c r="AF108" s="243"/>
      <c r="AG108" s="208"/>
      <c r="AH108" s="208"/>
      <c r="AI108" s="208"/>
      <c r="AJ108" s="208"/>
      <c r="AK108" s="208"/>
    </row>
    <row r="109">
      <c r="A109" s="245"/>
      <c r="B109" s="244"/>
      <c r="C109" s="222"/>
      <c r="D109" s="222"/>
      <c r="E109" s="222"/>
      <c r="F109" s="222"/>
      <c r="G109" s="222"/>
      <c r="H109" s="222"/>
      <c r="I109" s="223"/>
      <c r="J109" s="224"/>
      <c r="K109" s="224"/>
      <c r="L109" s="225"/>
      <c r="M109" s="224"/>
      <c r="N109" s="225"/>
      <c r="O109" s="224"/>
      <c r="P109" s="224"/>
      <c r="Q109" s="225"/>
      <c r="R109" s="225"/>
      <c r="S109" s="226"/>
      <c r="T109" s="226"/>
      <c r="U109" s="224"/>
      <c r="V109" s="224"/>
      <c r="W109" s="229"/>
      <c r="X109" s="229"/>
      <c r="Y109" s="229"/>
      <c r="Z109" s="229"/>
      <c r="AA109" s="229"/>
      <c r="AB109" s="229"/>
      <c r="AC109" s="229"/>
      <c r="AD109" s="229"/>
      <c r="AE109" s="229"/>
      <c r="AF109" s="229"/>
      <c r="AG109" s="208"/>
      <c r="AH109" s="208"/>
      <c r="AI109" s="208"/>
      <c r="AJ109" s="208"/>
      <c r="AK109" s="208"/>
    </row>
    <row r="110">
      <c r="A110" s="245"/>
      <c r="B110" s="244"/>
      <c r="C110" s="222"/>
      <c r="D110" s="222"/>
      <c r="E110" s="222"/>
      <c r="F110" s="222"/>
      <c r="G110" s="222"/>
      <c r="H110" s="222"/>
      <c r="I110" s="223"/>
      <c r="J110" s="224"/>
      <c r="K110" s="224"/>
      <c r="L110" s="225"/>
      <c r="M110" s="224"/>
      <c r="N110" s="225"/>
      <c r="O110" s="224"/>
      <c r="P110" s="224"/>
      <c r="Q110" s="225"/>
      <c r="R110" s="225"/>
      <c r="S110" s="226"/>
      <c r="T110" s="226"/>
      <c r="U110" s="224"/>
      <c r="V110" s="226"/>
      <c r="W110" s="231"/>
      <c r="X110" s="231"/>
      <c r="Y110" s="231"/>
      <c r="Z110" s="231"/>
      <c r="AA110" s="229"/>
      <c r="AB110" s="231"/>
      <c r="AC110" s="229"/>
      <c r="AD110" s="229"/>
      <c r="AE110" s="229"/>
      <c r="AF110" s="229"/>
      <c r="AG110" s="208"/>
      <c r="AH110" s="208"/>
      <c r="AI110" s="208"/>
      <c r="AJ110" s="208"/>
      <c r="AK110" s="208"/>
    </row>
    <row r="111">
      <c r="A111" s="245"/>
      <c r="B111" s="244"/>
      <c r="C111" s="222"/>
      <c r="D111" s="222"/>
      <c r="E111" s="222"/>
      <c r="F111" s="222"/>
      <c r="G111" s="222"/>
      <c r="H111" s="222"/>
      <c r="I111" s="223"/>
      <c r="J111" s="224"/>
      <c r="K111" s="224"/>
      <c r="L111" s="225"/>
      <c r="M111" s="224"/>
      <c r="N111" s="225"/>
      <c r="O111" s="224"/>
      <c r="P111" s="224"/>
      <c r="Q111" s="225"/>
      <c r="R111" s="225"/>
      <c r="S111" s="226"/>
      <c r="T111" s="226"/>
      <c r="U111" s="224"/>
      <c r="V111" s="226"/>
      <c r="W111" s="231"/>
      <c r="X111" s="231"/>
      <c r="Y111" s="231"/>
      <c r="Z111" s="231"/>
      <c r="AA111" s="229"/>
      <c r="AB111" s="231"/>
      <c r="AC111" s="229"/>
      <c r="AD111" s="229"/>
      <c r="AE111" s="229"/>
      <c r="AF111" s="229"/>
      <c r="AG111" s="208"/>
      <c r="AH111" s="208"/>
      <c r="AI111" s="208"/>
      <c r="AJ111" s="208"/>
      <c r="AK111" s="208"/>
    </row>
    <row r="112">
      <c r="A112" s="245"/>
      <c r="B112" s="244"/>
      <c r="C112" s="222"/>
      <c r="D112" s="222"/>
      <c r="E112" s="222"/>
      <c r="F112" s="222"/>
      <c r="G112" s="222"/>
      <c r="H112" s="222"/>
      <c r="I112" s="223"/>
      <c r="J112" s="224"/>
      <c r="K112" s="224"/>
      <c r="L112" s="225"/>
      <c r="M112" s="224"/>
      <c r="N112" s="225"/>
      <c r="O112" s="224"/>
      <c r="P112" s="224"/>
      <c r="Q112" s="225"/>
      <c r="R112" s="225"/>
      <c r="S112" s="226"/>
      <c r="T112" s="226"/>
      <c r="U112" s="224"/>
      <c r="V112" s="226"/>
      <c r="W112" s="231"/>
      <c r="X112" s="231"/>
      <c r="Y112" s="231"/>
      <c r="Z112" s="231"/>
      <c r="AA112" s="229"/>
      <c r="AB112" s="231"/>
      <c r="AC112" s="229"/>
      <c r="AD112" s="229"/>
      <c r="AE112" s="229"/>
      <c r="AF112" s="229"/>
      <c r="AG112" s="208"/>
      <c r="AH112" s="208"/>
      <c r="AI112" s="208"/>
      <c r="AJ112" s="208"/>
      <c r="AK112" s="208"/>
    </row>
    <row r="113">
      <c r="A113" s="245"/>
      <c r="B113" s="244"/>
      <c r="C113" s="222"/>
      <c r="D113" s="222"/>
      <c r="E113" s="222"/>
      <c r="F113" s="222"/>
      <c r="G113" s="222"/>
      <c r="H113" s="222"/>
      <c r="I113" s="223"/>
      <c r="J113" s="224"/>
      <c r="K113" s="224"/>
      <c r="L113" s="225"/>
      <c r="M113" s="224"/>
      <c r="N113" s="225"/>
      <c r="O113" s="224"/>
      <c r="P113" s="224"/>
      <c r="Q113" s="225"/>
      <c r="R113" s="225"/>
      <c r="S113" s="226"/>
      <c r="T113" s="226"/>
      <c r="U113" s="224"/>
      <c r="V113" s="226"/>
      <c r="W113" s="231"/>
      <c r="X113" s="231"/>
      <c r="Y113" s="231"/>
      <c r="Z113" s="231"/>
      <c r="AA113" s="229"/>
      <c r="AB113" s="231"/>
      <c r="AC113" s="229"/>
      <c r="AD113" s="229"/>
      <c r="AE113" s="229"/>
      <c r="AF113" s="229"/>
      <c r="AG113" s="208"/>
      <c r="AH113" s="208"/>
      <c r="AI113" s="208"/>
      <c r="AJ113" s="208"/>
      <c r="AK113" s="208"/>
    </row>
    <row r="114">
      <c r="A114" s="245"/>
      <c r="B114" s="244"/>
      <c r="C114" s="222"/>
      <c r="D114" s="222"/>
      <c r="E114" s="222"/>
      <c r="F114" s="222"/>
      <c r="G114" s="222"/>
      <c r="H114" s="222"/>
      <c r="I114" s="223"/>
      <c r="J114" s="224"/>
      <c r="K114" s="224"/>
      <c r="L114" s="225"/>
      <c r="M114" s="224"/>
      <c r="N114" s="225"/>
      <c r="O114" s="224"/>
      <c r="P114" s="224"/>
      <c r="Q114" s="225"/>
      <c r="R114" s="225"/>
      <c r="S114" s="226"/>
      <c r="T114" s="226"/>
      <c r="U114" s="224"/>
      <c r="V114" s="226"/>
      <c r="W114" s="231"/>
      <c r="X114" s="231"/>
      <c r="Y114" s="231"/>
      <c r="Z114" s="231"/>
      <c r="AA114" s="229"/>
      <c r="AB114" s="231"/>
      <c r="AC114" s="229"/>
      <c r="AD114" s="229"/>
      <c r="AE114" s="229"/>
      <c r="AF114" s="229"/>
      <c r="AG114" s="208"/>
      <c r="AH114" s="208"/>
      <c r="AI114" s="208"/>
      <c r="AJ114" s="208"/>
      <c r="AK114" s="208"/>
    </row>
    <row r="115">
      <c r="A115" s="245"/>
      <c r="B115" s="244"/>
      <c r="C115" s="222"/>
      <c r="D115" s="222"/>
      <c r="E115" s="222"/>
      <c r="F115" s="222"/>
      <c r="G115" s="222"/>
      <c r="H115" s="222"/>
      <c r="I115" s="223"/>
      <c r="J115" s="224"/>
      <c r="K115" s="224"/>
      <c r="L115" s="225"/>
      <c r="M115" s="224"/>
      <c r="N115" s="225"/>
      <c r="O115" s="224"/>
      <c r="P115" s="224"/>
      <c r="Q115" s="225"/>
      <c r="R115" s="225"/>
      <c r="S115" s="226"/>
      <c r="T115" s="226"/>
      <c r="U115" s="224"/>
      <c r="V115" s="226"/>
      <c r="W115" s="231"/>
      <c r="X115" s="231"/>
      <c r="Y115" s="231"/>
      <c r="Z115" s="231"/>
      <c r="AA115" s="229"/>
      <c r="AB115" s="231"/>
      <c r="AC115" s="229"/>
      <c r="AD115" s="229"/>
      <c r="AE115" s="229"/>
      <c r="AF115" s="229"/>
      <c r="AG115" s="208"/>
      <c r="AH115" s="208"/>
      <c r="AI115" s="208"/>
      <c r="AJ115" s="208"/>
      <c r="AK115" s="208"/>
    </row>
    <row r="116">
      <c r="A116" s="245"/>
      <c r="B116" s="244"/>
      <c r="C116" s="222"/>
      <c r="D116" s="222"/>
      <c r="E116" s="222"/>
      <c r="F116" s="222"/>
      <c r="G116" s="222"/>
      <c r="H116" s="222"/>
      <c r="I116" s="223"/>
      <c r="J116" s="224"/>
      <c r="K116" s="224"/>
      <c r="L116" s="225"/>
      <c r="M116" s="224"/>
      <c r="N116" s="225"/>
      <c r="O116" s="224"/>
      <c r="P116" s="224"/>
      <c r="Q116" s="225"/>
      <c r="R116" s="225"/>
      <c r="S116" s="226"/>
      <c r="T116" s="226"/>
      <c r="U116" s="224"/>
      <c r="V116" s="226"/>
      <c r="W116" s="231"/>
      <c r="X116" s="231"/>
      <c r="Y116" s="231"/>
      <c r="Z116" s="231"/>
      <c r="AA116" s="229"/>
      <c r="AB116" s="231"/>
      <c r="AC116" s="229"/>
      <c r="AD116" s="229"/>
      <c r="AE116" s="229"/>
      <c r="AF116" s="229"/>
      <c r="AG116" s="208"/>
      <c r="AH116" s="208"/>
      <c r="AI116" s="208"/>
      <c r="AJ116" s="208"/>
      <c r="AK116" s="208"/>
    </row>
    <row r="117">
      <c r="A117" s="245"/>
      <c r="B117" s="244"/>
      <c r="C117" s="222"/>
      <c r="D117" s="222"/>
      <c r="E117" s="222"/>
      <c r="F117" s="222"/>
      <c r="G117" s="222"/>
      <c r="H117" s="222"/>
      <c r="I117" s="223"/>
      <c r="J117" s="224"/>
      <c r="K117" s="224"/>
      <c r="L117" s="225"/>
      <c r="M117" s="224"/>
      <c r="N117" s="225"/>
      <c r="O117" s="224"/>
      <c r="P117" s="224"/>
      <c r="Q117" s="225"/>
      <c r="R117" s="225"/>
      <c r="S117" s="226"/>
      <c r="T117" s="226"/>
      <c r="U117" s="224"/>
      <c r="V117" s="226"/>
      <c r="W117" s="231"/>
      <c r="X117" s="231"/>
      <c r="Y117" s="231"/>
      <c r="Z117" s="231"/>
      <c r="AA117" s="229"/>
      <c r="AB117" s="231"/>
      <c r="AC117" s="229"/>
      <c r="AD117" s="229"/>
      <c r="AE117" s="229"/>
      <c r="AF117" s="229"/>
      <c r="AG117" s="208"/>
      <c r="AH117" s="208"/>
      <c r="AI117" s="208"/>
      <c r="AJ117" s="208"/>
      <c r="AK117" s="208"/>
    </row>
    <row r="118">
      <c r="A118" s="245"/>
      <c r="B118" s="244"/>
      <c r="C118" s="222"/>
      <c r="D118" s="222"/>
      <c r="E118" s="222"/>
      <c r="F118" s="222"/>
      <c r="G118" s="222"/>
      <c r="H118" s="222"/>
      <c r="I118" s="223"/>
      <c r="J118" s="224"/>
      <c r="K118" s="224"/>
      <c r="L118" s="225"/>
      <c r="M118" s="224"/>
      <c r="N118" s="225"/>
      <c r="O118" s="224"/>
      <c r="P118" s="224"/>
      <c r="Q118" s="225"/>
      <c r="R118" s="225"/>
      <c r="S118" s="226"/>
      <c r="T118" s="226"/>
      <c r="U118" s="224"/>
      <c r="V118" s="226"/>
      <c r="W118" s="231"/>
      <c r="X118" s="231"/>
      <c r="Y118" s="231"/>
      <c r="Z118" s="231"/>
      <c r="AA118" s="229"/>
      <c r="AB118" s="231"/>
      <c r="AC118" s="229"/>
      <c r="AD118" s="229"/>
      <c r="AE118" s="229"/>
      <c r="AF118" s="229"/>
      <c r="AG118" s="208"/>
      <c r="AH118" s="208"/>
      <c r="AI118" s="208"/>
      <c r="AJ118" s="208"/>
      <c r="AK118" s="208"/>
    </row>
    <row r="119">
      <c r="A119" s="245"/>
      <c r="B119" s="244"/>
      <c r="C119" s="222"/>
      <c r="D119" s="222"/>
      <c r="E119" s="222"/>
      <c r="F119" s="222"/>
      <c r="G119" s="222"/>
      <c r="H119" s="222"/>
      <c r="I119" s="223"/>
      <c r="J119" s="224"/>
      <c r="K119" s="224"/>
      <c r="L119" s="225"/>
      <c r="M119" s="224"/>
      <c r="N119" s="225"/>
      <c r="O119" s="224"/>
      <c r="P119" s="224"/>
      <c r="Q119" s="225"/>
      <c r="R119" s="225"/>
      <c r="S119" s="226"/>
      <c r="T119" s="226"/>
      <c r="U119" s="224"/>
      <c r="V119" s="226"/>
      <c r="W119" s="231"/>
      <c r="X119" s="231"/>
      <c r="Y119" s="231"/>
      <c r="Z119" s="231"/>
      <c r="AA119" s="229"/>
      <c r="AB119" s="231"/>
      <c r="AC119" s="229"/>
      <c r="AD119" s="229"/>
      <c r="AE119" s="229"/>
      <c r="AF119" s="229"/>
      <c r="AG119" s="208"/>
      <c r="AH119" s="208"/>
      <c r="AI119" s="208"/>
      <c r="AJ119" s="208"/>
      <c r="AK119" s="208"/>
    </row>
    <row r="120">
      <c r="A120" s="245"/>
      <c r="B120" s="244"/>
      <c r="C120" s="222"/>
      <c r="D120" s="222"/>
      <c r="E120" s="222"/>
      <c r="F120" s="222"/>
      <c r="G120" s="222"/>
      <c r="H120" s="222"/>
      <c r="I120" s="223"/>
      <c r="J120" s="224"/>
      <c r="K120" s="224"/>
      <c r="L120" s="225"/>
      <c r="M120" s="224"/>
      <c r="N120" s="225"/>
      <c r="O120" s="224"/>
      <c r="P120" s="224"/>
      <c r="Q120" s="225"/>
      <c r="R120" s="225"/>
      <c r="S120" s="226"/>
      <c r="T120" s="226"/>
      <c r="U120" s="224"/>
      <c r="V120" s="226"/>
      <c r="W120" s="231"/>
      <c r="X120" s="231"/>
      <c r="Y120" s="231"/>
      <c r="Z120" s="231"/>
      <c r="AA120" s="229"/>
      <c r="AB120" s="231"/>
      <c r="AC120" s="229"/>
      <c r="AD120" s="229"/>
      <c r="AE120" s="229"/>
      <c r="AF120" s="229"/>
      <c r="AG120" s="208"/>
      <c r="AH120" s="208"/>
      <c r="AI120" s="208"/>
      <c r="AJ120" s="208"/>
      <c r="AK120" s="208"/>
    </row>
    <row r="121">
      <c r="A121" s="245"/>
      <c r="B121" s="244"/>
      <c r="C121" s="222"/>
      <c r="D121" s="222"/>
      <c r="E121" s="222"/>
      <c r="F121" s="222"/>
      <c r="G121" s="222"/>
      <c r="H121" s="222"/>
      <c r="I121" s="223"/>
      <c r="J121" s="224"/>
      <c r="K121" s="224"/>
      <c r="L121" s="225"/>
      <c r="M121" s="224"/>
      <c r="N121" s="225"/>
      <c r="O121" s="224"/>
      <c r="P121" s="224"/>
      <c r="Q121" s="225"/>
      <c r="R121" s="225"/>
      <c r="S121" s="226"/>
      <c r="T121" s="226"/>
      <c r="U121" s="224"/>
      <c r="V121" s="226"/>
      <c r="W121" s="231"/>
      <c r="X121" s="231"/>
      <c r="Y121" s="231"/>
      <c r="Z121" s="231"/>
      <c r="AA121" s="229"/>
      <c r="AB121" s="231"/>
      <c r="AC121" s="229"/>
      <c r="AD121" s="229"/>
      <c r="AE121" s="229"/>
      <c r="AF121" s="229"/>
      <c r="AG121" s="208"/>
      <c r="AH121" s="208"/>
      <c r="AI121" s="208"/>
      <c r="AJ121" s="208"/>
      <c r="AK121" s="208"/>
    </row>
    <row r="122">
      <c r="A122" s="245"/>
      <c r="B122" s="244"/>
      <c r="C122" s="222"/>
      <c r="D122" s="222"/>
      <c r="E122" s="222"/>
      <c r="F122" s="222"/>
      <c r="G122" s="222"/>
      <c r="H122" s="222"/>
      <c r="I122" s="223"/>
      <c r="J122" s="224"/>
      <c r="K122" s="224"/>
      <c r="L122" s="225"/>
      <c r="M122" s="224"/>
      <c r="N122" s="225"/>
      <c r="O122" s="224"/>
      <c r="P122" s="224"/>
      <c r="Q122" s="225"/>
      <c r="R122" s="225"/>
      <c r="S122" s="226"/>
      <c r="T122" s="226"/>
      <c r="U122" s="224"/>
      <c r="V122" s="226"/>
      <c r="W122" s="231"/>
      <c r="X122" s="231"/>
      <c r="Y122" s="231"/>
      <c r="Z122" s="231"/>
      <c r="AA122" s="229"/>
      <c r="AB122" s="231"/>
      <c r="AC122" s="229"/>
      <c r="AD122" s="229"/>
      <c r="AE122" s="229"/>
      <c r="AF122" s="229"/>
      <c r="AG122" s="208"/>
      <c r="AH122" s="208"/>
      <c r="AI122" s="208"/>
      <c r="AJ122" s="208"/>
      <c r="AK122" s="208"/>
    </row>
    <row r="123">
      <c r="A123" s="245"/>
      <c r="B123" s="244"/>
      <c r="C123" s="222"/>
      <c r="D123" s="222"/>
      <c r="E123" s="222"/>
      <c r="F123" s="222"/>
      <c r="G123" s="222"/>
      <c r="H123" s="222"/>
      <c r="I123" s="223"/>
      <c r="J123" s="224"/>
      <c r="K123" s="224"/>
      <c r="L123" s="225"/>
      <c r="M123" s="224"/>
      <c r="N123" s="225"/>
      <c r="O123" s="224"/>
      <c r="P123" s="224"/>
      <c r="Q123" s="225"/>
      <c r="R123" s="225"/>
      <c r="S123" s="226"/>
      <c r="T123" s="226"/>
      <c r="U123" s="224"/>
      <c r="V123" s="226"/>
      <c r="W123" s="231"/>
      <c r="X123" s="231"/>
      <c r="Y123" s="231"/>
      <c r="Z123" s="231"/>
      <c r="AA123" s="229"/>
      <c r="AB123" s="231"/>
      <c r="AC123" s="229"/>
      <c r="AD123" s="229"/>
      <c r="AE123" s="229"/>
      <c r="AF123" s="229"/>
      <c r="AG123" s="208"/>
      <c r="AH123" s="208"/>
      <c r="AI123" s="208"/>
      <c r="AJ123" s="208"/>
      <c r="AK123" s="208"/>
    </row>
    <row r="124">
      <c r="A124" s="245"/>
      <c r="B124" s="244"/>
      <c r="C124" s="222"/>
      <c r="D124" s="222"/>
      <c r="E124" s="222"/>
      <c r="F124" s="222"/>
      <c r="G124" s="222"/>
      <c r="H124" s="222"/>
      <c r="I124" s="223"/>
      <c r="J124" s="224"/>
      <c r="K124" s="224"/>
      <c r="L124" s="225"/>
      <c r="M124" s="224"/>
      <c r="N124" s="225"/>
      <c r="O124" s="224"/>
      <c r="P124" s="224"/>
      <c r="Q124" s="225"/>
      <c r="R124" s="225"/>
      <c r="S124" s="226"/>
      <c r="T124" s="226"/>
      <c r="U124" s="224"/>
      <c r="V124" s="226"/>
      <c r="W124" s="231"/>
      <c r="X124" s="231"/>
      <c r="Y124" s="231"/>
      <c r="Z124" s="231"/>
      <c r="AA124" s="229"/>
      <c r="AB124" s="231"/>
      <c r="AC124" s="229"/>
      <c r="AD124" s="229"/>
      <c r="AE124" s="229"/>
      <c r="AF124" s="229"/>
      <c r="AG124" s="208"/>
      <c r="AH124" s="208"/>
      <c r="AI124" s="208"/>
      <c r="AJ124" s="208"/>
      <c r="AK124" s="208"/>
    </row>
    <row r="125">
      <c r="A125" s="245"/>
      <c r="B125" s="244"/>
      <c r="C125" s="222"/>
      <c r="D125" s="222"/>
      <c r="E125" s="222"/>
      <c r="F125" s="222"/>
      <c r="G125" s="222"/>
      <c r="H125" s="222"/>
      <c r="I125" s="223"/>
      <c r="J125" s="224"/>
      <c r="K125" s="224"/>
      <c r="L125" s="225"/>
      <c r="M125" s="224"/>
      <c r="N125" s="225"/>
      <c r="O125" s="224"/>
      <c r="P125" s="224"/>
      <c r="Q125" s="225"/>
      <c r="R125" s="225"/>
      <c r="S125" s="226"/>
      <c r="T125" s="226"/>
      <c r="U125" s="224"/>
      <c r="V125" s="226"/>
      <c r="W125" s="231"/>
      <c r="X125" s="231"/>
      <c r="Y125" s="231"/>
      <c r="Z125" s="231"/>
      <c r="AA125" s="229"/>
      <c r="AB125" s="231"/>
      <c r="AC125" s="229"/>
      <c r="AD125" s="229"/>
      <c r="AE125" s="229"/>
      <c r="AF125" s="229"/>
      <c r="AG125" s="208"/>
      <c r="AH125" s="208"/>
      <c r="AI125" s="208"/>
      <c r="AJ125" s="208"/>
      <c r="AK125" s="208"/>
    </row>
    <row r="126">
      <c r="A126" s="245"/>
      <c r="B126" s="244"/>
      <c r="C126" s="222"/>
      <c r="D126" s="222"/>
      <c r="E126" s="222"/>
      <c r="F126" s="222"/>
      <c r="G126" s="222"/>
      <c r="H126" s="222"/>
      <c r="I126" s="223"/>
      <c r="J126" s="224"/>
      <c r="K126" s="224"/>
      <c r="L126" s="225"/>
      <c r="M126" s="224"/>
      <c r="N126" s="225"/>
      <c r="O126" s="224"/>
      <c r="P126" s="224"/>
      <c r="Q126" s="225"/>
      <c r="R126" s="225"/>
      <c r="S126" s="226"/>
      <c r="T126" s="226"/>
      <c r="U126" s="224"/>
      <c r="V126" s="226"/>
      <c r="W126" s="231"/>
      <c r="X126" s="231"/>
      <c r="Y126" s="231"/>
      <c r="Z126" s="231"/>
      <c r="AA126" s="229"/>
      <c r="AB126" s="231"/>
      <c r="AC126" s="229"/>
      <c r="AD126" s="229"/>
      <c r="AE126" s="229"/>
      <c r="AF126" s="229"/>
      <c r="AG126" s="208"/>
      <c r="AH126" s="208"/>
      <c r="AI126" s="208"/>
      <c r="AJ126" s="208"/>
      <c r="AK126" s="208"/>
    </row>
    <row r="127">
      <c r="A127" s="245"/>
      <c r="B127" s="244"/>
      <c r="C127" s="222"/>
      <c r="D127" s="222"/>
      <c r="E127" s="222"/>
      <c r="F127" s="222"/>
      <c r="G127" s="222"/>
      <c r="H127" s="222"/>
      <c r="I127" s="223"/>
      <c r="J127" s="224"/>
      <c r="K127" s="224"/>
      <c r="L127" s="225"/>
      <c r="M127" s="224"/>
      <c r="N127" s="225"/>
      <c r="O127" s="224"/>
      <c r="P127" s="224"/>
      <c r="Q127" s="225"/>
      <c r="R127" s="225"/>
      <c r="S127" s="226"/>
      <c r="T127" s="226"/>
      <c r="U127" s="224"/>
      <c r="V127" s="226"/>
      <c r="W127" s="231"/>
      <c r="X127" s="231"/>
      <c r="Y127" s="231"/>
      <c r="Z127" s="231"/>
      <c r="AA127" s="229"/>
      <c r="AB127" s="231"/>
      <c r="AC127" s="229"/>
      <c r="AD127" s="229"/>
      <c r="AE127" s="229"/>
      <c r="AF127" s="229"/>
      <c r="AG127" s="208"/>
      <c r="AH127" s="208"/>
      <c r="AI127" s="208"/>
      <c r="AJ127" s="208"/>
      <c r="AK127" s="208"/>
    </row>
    <row r="128">
      <c r="A128" s="245"/>
      <c r="B128" s="244"/>
      <c r="C128" s="222"/>
      <c r="D128" s="222"/>
      <c r="E128" s="222"/>
      <c r="F128" s="222"/>
      <c r="G128" s="222"/>
      <c r="H128" s="222"/>
      <c r="I128" s="223"/>
      <c r="J128" s="224"/>
      <c r="K128" s="224"/>
      <c r="L128" s="225"/>
      <c r="M128" s="224"/>
      <c r="N128" s="225"/>
      <c r="O128" s="224"/>
      <c r="P128" s="224"/>
      <c r="Q128" s="225"/>
      <c r="R128" s="225"/>
      <c r="S128" s="226"/>
      <c r="T128" s="226"/>
      <c r="U128" s="224"/>
      <c r="V128" s="226"/>
      <c r="W128" s="231"/>
      <c r="X128" s="231"/>
      <c r="Y128" s="231"/>
      <c r="Z128" s="231"/>
      <c r="AA128" s="229"/>
      <c r="AB128" s="231"/>
      <c r="AC128" s="229"/>
      <c r="AD128" s="229"/>
      <c r="AE128" s="229"/>
      <c r="AF128" s="229"/>
      <c r="AG128" s="208"/>
      <c r="AH128" s="208"/>
      <c r="AI128" s="208"/>
      <c r="AJ128" s="208"/>
      <c r="AK128" s="208"/>
    </row>
    <row r="129">
      <c r="A129" s="245"/>
      <c r="B129" s="244"/>
      <c r="C129" s="222"/>
      <c r="D129" s="222"/>
      <c r="E129" s="222"/>
      <c r="F129" s="222"/>
      <c r="G129" s="222"/>
      <c r="H129" s="222"/>
      <c r="I129" s="223"/>
      <c r="J129" s="224"/>
      <c r="K129" s="224"/>
      <c r="L129" s="225"/>
      <c r="M129" s="224"/>
      <c r="N129" s="225"/>
      <c r="O129" s="224"/>
      <c r="P129" s="224"/>
      <c r="Q129" s="225"/>
      <c r="R129" s="225"/>
      <c r="S129" s="226"/>
      <c r="T129" s="226"/>
      <c r="U129" s="224"/>
      <c r="V129" s="226"/>
      <c r="W129" s="231"/>
      <c r="X129" s="231"/>
      <c r="Y129" s="231"/>
      <c r="Z129" s="231"/>
      <c r="AA129" s="229"/>
      <c r="AB129" s="231"/>
      <c r="AC129" s="229"/>
      <c r="AD129" s="229"/>
      <c r="AE129" s="229"/>
      <c r="AF129" s="229"/>
      <c r="AG129" s="208"/>
      <c r="AH129" s="208"/>
      <c r="AI129" s="208"/>
      <c r="AJ129" s="208"/>
      <c r="AK129" s="208"/>
    </row>
    <row r="130">
      <c r="A130" s="245"/>
      <c r="B130" s="244"/>
      <c r="C130" s="222"/>
      <c r="D130" s="222"/>
      <c r="E130" s="222"/>
      <c r="F130" s="222"/>
      <c r="G130" s="222"/>
      <c r="H130" s="222"/>
      <c r="I130" s="223"/>
      <c r="J130" s="224"/>
      <c r="K130" s="224"/>
      <c r="L130" s="225"/>
      <c r="M130" s="224"/>
      <c r="N130" s="225"/>
      <c r="O130" s="224"/>
      <c r="P130" s="224"/>
      <c r="Q130" s="225"/>
      <c r="R130" s="225"/>
      <c r="S130" s="226"/>
      <c r="T130" s="226"/>
      <c r="U130" s="224"/>
      <c r="V130" s="226"/>
      <c r="W130" s="231"/>
      <c r="X130" s="231"/>
      <c r="Y130" s="231"/>
      <c r="Z130" s="231"/>
      <c r="AA130" s="229"/>
      <c r="AB130" s="231"/>
      <c r="AC130" s="229"/>
      <c r="AD130" s="229"/>
      <c r="AE130" s="229"/>
      <c r="AF130" s="229"/>
      <c r="AG130" s="208"/>
      <c r="AH130" s="208"/>
      <c r="AI130" s="208"/>
      <c r="AJ130" s="208"/>
      <c r="AK130" s="208"/>
    </row>
    <row r="131">
      <c r="A131" s="245"/>
      <c r="B131" s="244"/>
      <c r="C131" s="222"/>
      <c r="D131" s="222"/>
      <c r="E131" s="222"/>
      <c r="F131" s="222"/>
      <c r="G131" s="222"/>
      <c r="H131" s="222"/>
      <c r="I131" s="223"/>
      <c r="J131" s="224"/>
      <c r="K131" s="224"/>
      <c r="L131" s="225"/>
      <c r="M131" s="224"/>
      <c r="N131" s="225"/>
      <c r="O131" s="224"/>
      <c r="P131" s="224"/>
      <c r="Q131" s="225"/>
      <c r="R131" s="225"/>
      <c r="S131" s="226"/>
      <c r="T131" s="226"/>
      <c r="U131" s="224"/>
      <c r="V131" s="226"/>
      <c r="W131" s="231"/>
      <c r="X131" s="231"/>
      <c r="Y131" s="231"/>
      <c r="Z131" s="231"/>
      <c r="AA131" s="229"/>
      <c r="AB131" s="231"/>
      <c r="AC131" s="229"/>
      <c r="AD131" s="229"/>
      <c r="AE131" s="229"/>
      <c r="AF131" s="229"/>
      <c r="AG131" s="208"/>
      <c r="AH131" s="208"/>
      <c r="AI131" s="208"/>
      <c r="AJ131" s="208"/>
      <c r="AK131" s="208"/>
    </row>
    <row r="132">
      <c r="A132" s="245"/>
      <c r="B132" s="244"/>
      <c r="C132" s="222"/>
      <c r="D132" s="222"/>
      <c r="E132" s="222"/>
      <c r="F132" s="222"/>
      <c r="G132" s="222"/>
      <c r="H132" s="222"/>
      <c r="I132" s="223"/>
      <c r="J132" s="224"/>
      <c r="K132" s="224"/>
      <c r="L132" s="225"/>
      <c r="M132" s="224"/>
      <c r="N132" s="225"/>
      <c r="O132" s="224"/>
      <c r="P132" s="224"/>
      <c r="Q132" s="225"/>
      <c r="R132" s="225"/>
      <c r="S132" s="226"/>
      <c r="T132" s="226"/>
      <c r="U132" s="224"/>
      <c r="V132" s="226"/>
      <c r="W132" s="231"/>
      <c r="X132" s="231"/>
      <c r="Y132" s="231"/>
      <c r="Z132" s="231"/>
      <c r="AA132" s="229"/>
      <c r="AB132" s="231"/>
      <c r="AC132" s="229"/>
      <c r="AD132" s="229"/>
      <c r="AE132" s="229"/>
      <c r="AF132" s="229"/>
      <c r="AG132" s="208"/>
      <c r="AH132" s="208"/>
      <c r="AI132" s="208"/>
      <c r="AJ132" s="208"/>
      <c r="AK132" s="208"/>
    </row>
    <row r="133">
      <c r="A133" s="245"/>
      <c r="B133" s="244"/>
      <c r="C133" s="222"/>
      <c r="D133" s="222"/>
      <c r="E133" s="222"/>
      <c r="F133" s="222"/>
      <c r="G133" s="222"/>
      <c r="H133" s="222"/>
      <c r="I133" s="223"/>
      <c r="J133" s="224"/>
      <c r="K133" s="224"/>
      <c r="L133" s="225"/>
      <c r="M133" s="224"/>
      <c r="N133" s="225"/>
      <c r="O133" s="224"/>
      <c r="P133" s="224"/>
      <c r="Q133" s="225"/>
      <c r="R133" s="225"/>
      <c r="S133" s="226"/>
      <c r="T133" s="226"/>
      <c r="U133" s="224"/>
      <c r="V133" s="226"/>
      <c r="W133" s="231"/>
      <c r="X133" s="231"/>
      <c r="Y133" s="231"/>
      <c r="Z133" s="231"/>
      <c r="AA133" s="229"/>
      <c r="AB133" s="231"/>
      <c r="AC133" s="229"/>
      <c r="AD133" s="229"/>
      <c r="AE133" s="229"/>
      <c r="AF133" s="229"/>
      <c r="AG133" s="208"/>
      <c r="AH133" s="208"/>
      <c r="AI133" s="208"/>
      <c r="AJ133" s="208"/>
      <c r="AK133" s="208"/>
    </row>
    <row r="134">
      <c r="A134" s="245"/>
      <c r="B134" s="244"/>
      <c r="C134" s="222"/>
      <c r="D134" s="222"/>
      <c r="E134" s="222"/>
      <c r="F134" s="222"/>
      <c r="G134" s="222"/>
      <c r="H134" s="222"/>
      <c r="I134" s="223"/>
      <c r="J134" s="224"/>
      <c r="K134" s="224"/>
      <c r="L134" s="225"/>
      <c r="M134" s="224"/>
      <c r="N134" s="225"/>
      <c r="O134" s="224"/>
      <c r="P134" s="224"/>
      <c r="Q134" s="225"/>
      <c r="R134" s="225"/>
      <c r="S134" s="226"/>
      <c r="T134" s="226"/>
      <c r="U134" s="224"/>
      <c r="V134" s="226"/>
      <c r="W134" s="231"/>
      <c r="X134" s="231"/>
      <c r="Y134" s="231"/>
      <c r="Z134" s="231"/>
      <c r="AA134" s="229"/>
      <c r="AB134" s="231"/>
      <c r="AC134" s="229"/>
      <c r="AD134" s="229"/>
      <c r="AE134" s="229"/>
      <c r="AF134" s="229"/>
      <c r="AG134" s="208"/>
      <c r="AH134" s="208"/>
      <c r="AI134" s="208"/>
      <c r="AJ134" s="208"/>
      <c r="AK134" s="208"/>
    </row>
    <row r="135">
      <c r="A135" s="245"/>
      <c r="B135" s="244"/>
      <c r="C135" s="222"/>
      <c r="D135" s="222"/>
      <c r="E135" s="222"/>
      <c r="F135" s="222"/>
      <c r="G135" s="222"/>
      <c r="H135" s="222"/>
      <c r="I135" s="223"/>
      <c r="J135" s="224"/>
      <c r="K135" s="224"/>
      <c r="L135" s="225"/>
      <c r="M135" s="224"/>
      <c r="N135" s="225"/>
      <c r="O135" s="224"/>
      <c r="P135" s="224"/>
      <c r="Q135" s="225"/>
      <c r="R135" s="225"/>
      <c r="S135" s="226"/>
      <c r="T135" s="226"/>
      <c r="U135" s="224"/>
      <c r="V135" s="226"/>
      <c r="W135" s="231"/>
      <c r="X135" s="231"/>
      <c r="Y135" s="231"/>
      <c r="Z135" s="231"/>
      <c r="AA135" s="229"/>
      <c r="AB135" s="231"/>
      <c r="AC135" s="229"/>
      <c r="AD135" s="229"/>
      <c r="AE135" s="229"/>
      <c r="AF135" s="229"/>
      <c r="AG135" s="208"/>
      <c r="AH135" s="208"/>
      <c r="AI135" s="208"/>
      <c r="AJ135" s="208"/>
      <c r="AK135" s="208"/>
    </row>
    <row r="136">
      <c r="A136" s="245"/>
      <c r="B136" s="244"/>
      <c r="C136" s="222"/>
      <c r="D136" s="222"/>
      <c r="E136" s="222"/>
      <c r="F136" s="222"/>
      <c r="G136" s="222"/>
      <c r="H136" s="222"/>
      <c r="I136" s="223"/>
      <c r="J136" s="224"/>
      <c r="K136" s="224"/>
      <c r="L136" s="225"/>
      <c r="M136" s="224"/>
      <c r="N136" s="225"/>
      <c r="O136" s="224"/>
      <c r="P136" s="224"/>
      <c r="Q136" s="225"/>
      <c r="R136" s="225"/>
      <c r="S136" s="226"/>
      <c r="T136" s="226"/>
      <c r="U136" s="224"/>
      <c r="V136" s="226"/>
      <c r="W136" s="231"/>
      <c r="X136" s="231"/>
      <c r="Y136" s="231"/>
      <c r="Z136" s="231"/>
      <c r="AA136" s="229"/>
      <c r="AB136" s="231"/>
      <c r="AC136" s="229"/>
      <c r="AD136" s="229"/>
      <c r="AE136" s="229"/>
      <c r="AF136" s="229"/>
      <c r="AG136" s="208"/>
      <c r="AH136" s="208"/>
      <c r="AI136" s="208"/>
      <c r="AJ136" s="208"/>
      <c r="AK136" s="208"/>
    </row>
    <row r="137">
      <c r="A137" s="245"/>
      <c r="B137" s="244"/>
      <c r="C137" s="222"/>
      <c r="D137" s="222"/>
      <c r="E137" s="222"/>
      <c r="F137" s="222"/>
      <c r="G137" s="222"/>
      <c r="H137" s="222"/>
      <c r="I137" s="223"/>
      <c r="J137" s="224"/>
      <c r="K137" s="224"/>
      <c r="L137" s="225"/>
      <c r="M137" s="224"/>
      <c r="N137" s="225"/>
      <c r="O137" s="224"/>
      <c r="P137" s="224"/>
      <c r="Q137" s="225"/>
      <c r="R137" s="225"/>
      <c r="S137" s="226"/>
      <c r="T137" s="226"/>
      <c r="U137" s="224"/>
      <c r="V137" s="226"/>
      <c r="W137" s="231"/>
      <c r="X137" s="231"/>
      <c r="Y137" s="231"/>
      <c r="Z137" s="231"/>
      <c r="AA137" s="229"/>
      <c r="AB137" s="231"/>
      <c r="AC137" s="229"/>
      <c r="AD137" s="229"/>
      <c r="AE137" s="229"/>
      <c r="AF137" s="229"/>
      <c r="AG137" s="208"/>
      <c r="AH137" s="208"/>
      <c r="AI137" s="208"/>
      <c r="AJ137" s="208"/>
      <c r="AK137" s="208"/>
    </row>
    <row r="138">
      <c r="A138" s="245"/>
      <c r="B138" s="244"/>
      <c r="C138" s="222"/>
      <c r="D138" s="222"/>
      <c r="E138" s="222"/>
      <c r="F138" s="222"/>
      <c r="G138" s="222"/>
      <c r="H138" s="222"/>
      <c r="I138" s="223"/>
      <c r="J138" s="224"/>
      <c r="K138" s="224"/>
      <c r="L138" s="225"/>
      <c r="M138" s="224"/>
      <c r="N138" s="225"/>
      <c r="O138" s="224"/>
      <c r="P138" s="224"/>
      <c r="Q138" s="225"/>
      <c r="R138" s="225"/>
      <c r="S138" s="226"/>
      <c r="T138" s="226"/>
      <c r="U138" s="224"/>
      <c r="V138" s="226"/>
      <c r="W138" s="231"/>
      <c r="X138" s="231"/>
      <c r="Y138" s="231"/>
      <c r="Z138" s="231"/>
      <c r="AA138" s="229"/>
      <c r="AB138" s="231"/>
      <c r="AC138" s="229"/>
      <c r="AD138" s="229"/>
      <c r="AE138" s="229"/>
      <c r="AF138" s="229"/>
      <c r="AG138" s="208"/>
      <c r="AH138" s="208"/>
      <c r="AI138" s="208"/>
      <c r="AJ138" s="208"/>
      <c r="AK138" s="208"/>
    </row>
    <row r="139">
      <c r="A139" s="245"/>
      <c r="B139" s="244"/>
      <c r="C139" s="222"/>
      <c r="D139" s="222"/>
      <c r="E139" s="222"/>
      <c r="F139" s="222"/>
      <c r="G139" s="222"/>
      <c r="H139" s="222"/>
      <c r="I139" s="223"/>
      <c r="J139" s="224"/>
      <c r="K139" s="224"/>
      <c r="L139" s="225"/>
      <c r="M139" s="224"/>
      <c r="N139" s="225"/>
      <c r="O139" s="224"/>
      <c r="P139" s="224"/>
      <c r="Q139" s="225"/>
      <c r="R139" s="225"/>
      <c r="S139" s="226"/>
      <c r="T139" s="226"/>
      <c r="U139" s="224"/>
      <c r="V139" s="226"/>
      <c r="W139" s="231"/>
      <c r="X139" s="231"/>
      <c r="Y139" s="231"/>
      <c r="Z139" s="231"/>
      <c r="AA139" s="229"/>
      <c r="AB139" s="231"/>
      <c r="AC139" s="229"/>
      <c r="AD139" s="229"/>
      <c r="AE139" s="229"/>
      <c r="AF139" s="229"/>
      <c r="AG139" s="208"/>
      <c r="AH139" s="208"/>
      <c r="AI139" s="208"/>
      <c r="AJ139" s="208"/>
      <c r="AK139" s="208"/>
    </row>
    <row r="140">
      <c r="A140" s="245"/>
      <c r="B140" s="244"/>
      <c r="C140" s="222"/>
      <c r="D140" s="222"/>
      <c r="E140" s="222"/>
      <c r="F140" s="222"/>
      <c r="G140" s="222"/>
      <c r="H140" s="222"/>
      <c r="I140" s="223"/>
      <c r="J140" s="242"/>
      <c r="K140" s="242"/>
      <c r="L140" s="268"/>
      <c r="M140" s="242"/>
      <c r="N140" s="268"/>
      <c r="O140" s="242"/>
      <c r="P140" s="242"/>
      <c r="Q140" s="268"/>
      <c r="R140" s="268"/>
      <c r="S140" s="222"/>
      <c r="T140" s="222"/>
      <c r="U140" s="242"/>
      <c r="V140" s="222"/>
      <c r="W140" s="269"/>
      <c r="X140" s="269"/>
      <c r="Y140" s="269"/>
      <c r="Z140" s="269"/>
      <c r="AA140" s="243"/>
      <c r="AB140" s="269"/>
      <c r="AC140" s="243"/>
      <c r="AD140" s="243"/>
      <c r="AE140" s="243"/>
      <c r="AF140" s="243"/>
      <c r="AG140" s="208"/>
      <c r="AH140" s="208"/>
      <c r="AI140" s="208"/>
      <c r="AJ140" s="208"/>
      <c r="AK140" s="208"/>
    </row>
    <row r="141">
      <c r="A141" s="245"/>
      <c r="B141" s="244"/>
      <c r="C141" s="222"/>
      <c r="D141" s="222"/>
      <c r="E141" s="222"/>
      <c r="F141" s="222"/>
      <c r="G141" s="222"/>
      <c r="H141" s="222"/>
      <c r="I141" s="223"/>
      <c r="J141" s="242"/>
      <c r="K141" s="242"/>
      <c r="L141" s="268"/>
      <c r="M141" s="242"/>
      <c r="N141" s="268"/>
      <c r="O141" s="242"/>
      <c r="P141" s="242"/>
      <c r="Q141" s="268"/>
      <c r="R141" s="268"/>
      <c r="S141" s="222"/>
      <c r="T141" s="222"/>
      <c r="U141" s="242"/>
      <c r="V141" s="222"/>
      <c r="W141" s="269"/>
      <c r="X141" s="269"/>
      <c r="Y141" s="269"/>
      <c r="Z141" s="269"/>
      <c r="AA141" s="243"/>
      <c r="AB141" s="269"/>
      <c r="AC141" s="243"/>
      <c r="AD141" s="243"/>
      <c r="AE141" s="243"/>
      <c r="AF141" s="243"/>
      <c r="AG141" s="208"/>
      <c r="AH141" s="208"/>
      <c r="AI141" s="208"/>
      <c r="AJ141" s="208"/>
      <c r="AK141" s="208"/>
    </row>
    <row r="142">
      <c r="A142" s="245"/>
      <c r="B142" s="244"/>
      <c r="C142" s="222"/>
      <c r="D142" s="222"/>
      <c r="E142" s="222"/>
      <c r="F142" s="222"/>
      <c r="G142" s="222"/>
      <c r="H142" s="222"/>
      <c r="I142" s="223"/>
      <c r="J142" s="242"/>
      <c r="K142" s="242"/>
      <c r="L142" s="268"/>
      <c r="M142" s="242"/>
      <c r="N142" s="268"/>
      <c r="O142" s="242"/>
      <c r="P142" s="242"/>
      <c r="Q142" s="268"/>
      <c r="R142" s="268"/>
      <c r="S142" s="222"/>
      <c r="T142" s="222"/>
      <c r="U142" s="242"/>
      <c r="V142" s="222"/>
      <c r="W142" s="269"/>
      <c r="X142" s="269"/>
      <c r="Y142" s="269"/>
      <c r="Z142" s="269"/>
      <c r="AA142" s="243"/>
      <c r="AB142" s="269"/>
      <c r="AC142" s="243"/>
      <c r="AD142" s="243"/>
      <c r="AE142" s="243"/>
      <c r="AF142" s="243"/>
      <c r="AG142" s="208"/>
      <c r="AH142" s="208"/>
      <c r="AI142" s="208"/>
      <c r="AJ142" s="208"/>
      <c r="AK142" s="208"/>
    </row>
    <row r="143">
      <c r="A143" s="245"/>
      <c r="B143" s="244"/>
      <c r="C143" s="222"/>
      <c r="D143" s="222"/>
      <c r="E143" s="222"/>
      <c r="F143" s="222"/>
      <c r="G143" s="222"/>
      <c r="H143" s="222"/>
      <c r="I143" s="223"/>
      <c r="J143" s="242"/>
      <c r="K143" s="242"/>
      <c r="L143" s="268"/>
      <c r="M143" s="242"/>
      <c r="N143" s="268"/>
      <c r="O143" s="242"/>
      <c r="P143" s="242"/>
      <c r="Q143" s="268"/>
      <c r="R143" s="268"/>
      <c r="S143" s="222"/>
      <c r="T143" s="222"/>
      <c r="U143" s="242"/>
      <c r="V143" s="222"/>
      <c r="W143" s="269"/>
      <c r="X143" s="269"/>
      <c r="Y143" s="269"/>
      <c r="Z143" s="269"/>
      <c r="AA143" s="243"/>
      <c r="AB143" s="269"/>
      <c r="AC143" s="243"/>
      <c r="AD143" s="243"/>
      <c r="AE143" s="243"/>
      <c r="AF143" s="243"/>
      <c r="AG143" s="208"/>
      <c r="AH143" s="208"/>
      <c r="AI143" s="208"/>
      <c r="AJ143" s="208"/>
      <c r="AK143" s="208"/>
    </row>
    <row r="144">
      <c r="A144" s="245"/>
      <c r="B144" s="244"/>
      <c r="C144" s="222"/>
      <c r="D144" s="222"/>
      <c r="E144" s="222"/>
      <c r="F144" s="222"/>
      <c r="G144" s="222"/>
      <c r="H144" s="222"/>
      <c r="I144" s="223"/>
      <c r="J144" s="242"/>
      <c r="K144" s="242"/>
      <c r="L144" s="268"/>
      <c r="M144" s="242"/>
      <c r="N144" s="268"/>
      <c r="O144" s="242"/>
      <c r="P144" s="242"/>
      <c r="Q144" s="268"/>
      <c r="R144" s="268"/>
      <c r="S144" s="222"/>
      <c r="T144" s="222"/>
      <c r="U144" s="242"/>
      <c r="V144" s="222"/>
      <c r="W144" s="269"/>
      <c r="X144" s="269"/>
      <c r="Y144" s="269"/>
      <c r="Z144" s="269"/>
      <c r="AA144" s="243"/>
      <c r="AB144" s="269"/>
      <c r="AC144" s="243"/>
      <c r="AD144" s="243"/>
      <c r="AE144" s="243"/>
      <c r="AF144" s="243"/>
      <c r="AG144" s="208"/>
      <c r="AH144" s="208"/>
      <c r="AI144" s="208"/>
      <c r="AJ144" s="208"/>
      <c r="AK144" s="208"/>
    </row>
    <row r="145">
      <c r="A145" s="245"/>
      <c r="B145" s="244"/>
      <c r="C145" s="222"/>
      <c r="D145" s="222"/>
      <c r="E145" s="222"/>
      <c r="F145" s="222"/>
      <c r="G145" s="222"/>
      <c r="H145" s="222"/>
      <c r="I145" s="223"/>
      <c r="J145" s="242"/>
      <c r="K145" s="242"/>
      <c r="L145" s="268"/>
      <c r="M145" s="242"/>
      <c r="N145" s="268"/>
      <c r="O145" s="242"/>
      <c r="P145" s="242"/>
      <c r="Q145" s="268"/>
      <c r="R145" s="268"/>
      <c r="S145" s="222"/>
      <c r="T145" s="222"/>
      <c r="U145" s="242"/>
      <c r="V145" s="222"/>
      <c r="W145" s="269"/>
      <c r="X145" s="269"/>
      <c r="Y145" s="269"/>
      <c r="Z145" s="269"/>
      <c r="AA145" s="243"/>
      <c r="AB145" s="269"/>
      <c r="AC145" s="243"/>
      <c r="AD145" s="243"/>
      <c r="AE145" s="243"/>
      <c r="AF145" s="243"/>
      <c r="AG145" s="208"/>
      <c r="AH145" s="208"/>
      <c r="AI145" s="208"/>
      <c r="AJ145" s="208"/>
      <c r="AK145" s="208"/>
    </row>
    <row r="146">
      <c r="A146" s="245"/>
      <c r="B146" s="244"/>
      <c r="C146" s="222"/>
      <c r="D146" s="222"/>
      <c r="E146" s="222"/>
      <c r="F146" s="222"/>
      <c r="G146" s="222"/>
      <c r="H146" s="222"/>
      <c r="I146" s="223"/>
      <c r="J146" s="242"/>
      <c r="K146" s="242"/>
      <c r="L146" s="268"/>
      <c r="M146" s="242"/>
      <c r="N146" s="268"/>
      <c r="O146" s="242"/>
      <c r="P146" s="242"/>
      <c r="Q146" s="268"/>
      <c r="R146" s="268"/>
      <c r="S146" s="222"/>
      <c r="T146" s="222"/>
      <c r="U146" s="242"/>
      <c r="V146" s="222"/>
      <c r="W146" s="269"/>
      <c r="X146" s="269"/>
      <c r="Y146" s="269"/>
      <c r="Z146" s="269"/>
      <c r="AA146" s="243"/>
      <c r="AB146" s="269"/>
      <c r="AC146" s="243"/>
      <c r="AD146" s="243"/>
      <c r="AE146" s="243"/>
      <c r="AF146" s="243"/>
      <c r="AG146" s="208"/>
      <c r="AH146" s="208"/>
      <c r="AI146" s="208"/>
      <c r="AJ146" s="208"/>
      <c r="AK146" s="208"/>
    </row>
    <row r="147">
      <c r="A147" s="245"/>
      <c r="B147" s="244"/>
      <c r="C147" s="222"/>
      <c r="D147" s="222"/>
      <c r="E147" s="222"/>
      <c r="F147" s="222"/>
      <c r="G147" s="222"/>
      <c r="H147" s="222"/>
      <c r="I147" s="223"/>
      <c r="J147" s="242"/>
      <c r="K147" s="242"/>
      <c r="L147" s="268"/>
      <c r="M147" s="242"/>
      <c r="N147" s="268"/>
      <c r="O147" s="242"/>
      <c r="P147" s="242"/>
      <c r="Q147" s="268"/>
      <c r="R147" s="268"/>
      <c r="S147" s="222"/>
      <c r="T147" s="222"/>
      <c r="U147" s="242"/>
      <c r="V147" s="222"/>
      <c r="W147" s="269"/>
      <c r="X147" s="269"/>
      <c r="Y147" s="269"/>
      <c r="Z147" s="269"/>
      <c r="AA147" s="243"/>
      <c r="AB147" s="269"/>
      <c r="AC147" s="243"/>
      <c r="AD147" s="243"/>
      <c r="AE147" s="243"/>
      <c r="AF147" s="243"/>
      <c r="AG147" s="208"/>
      <c r="AH147" s="208"/>
      <c r="AI147" s="208"/>
      <c r="AJ147" s="208"/>
      <c r="AK147" s="208"/>
    </row>
    <row r="148">
      <c r="A148" s="245"/>
      <c r="B148" s="244"/>
      <c r="C148" s="222"/>
      <c r="D148" s="222"/>
      <c r="E148" s="222"/>
      <c r="F148" s="222"/>
      <c r="G148" s="222"/>
      <c r="H148" s="222"/>
      <c r="I148" s="223"/>
      <c r="J148" s="242"/>
      <c r="K148" s="242"/>
      <c r="L148" s="268"/>
      <c r="M148" s="242"/>
      <c r="N148" s="268"/>
      <c r="O148" s="242"/>
      <c r="P148" s="242"/>
      <c r="Q148" s="268"/>
      <c r="R148" s="268"/>
      <c r="S148" s="222"/>
      <c r="T148" s="222"/>
      <c r="U148" s="242"/>
      <c r="V148" s="222"/>
      <c r="W148" s="269"/>
      <c r="X148" s="269"/>
      <c r="Y148" s="269"/>
      <c r="Z148" s="269"/>
      <c r="AA148" s="243"/>
      <c r="AB148" s="269"/>
      <c r="AC148" s="243"/>
      <c r="AD148" s="243"/>
      <c r="AE148" s="243"/>
      <c r="AF148" s="243"/>
      <c r="AG148" s="208"/>
      <c r="AH148" s="208"/>
      <c r="AI148" s="208"/>
      <c r="AJ148" s="208"/>
      <c r="AK148" s="208"/>
    </row>
    <row r="149">
      <c r="A149" s="245"/>
      <c r="B149" s="244"/>
      <c r="C149" s="222"/>
      <c r="D149" s="222"/>
      <c r="E149" s="222"/>
      <c r="F149" s="222"/>
      <c r="G149" s="222"/>
      <c r="H149" s="222"/>
      <c r="I149" s="223"/>
      <c r="J149" s="242"/>
      <c r="K149" s="242"/>
      <c r="L149" s="268"/>
      <c r="M149" s="242"/>
      <c r="N149" s="268"/>
      <c r="O149" s="242"/>
      <c r="P149" s="242"/>
      <c r="Q149" s="268"/>
      <c r="R149" s="268"/>
      <c r="S149" s="222"/>
      <c r="T149" s="222"/>
      <c r="U149" s="242"/>
      <c r="V149" s="222"/>
      <c r="W149" s="269"/>
      <c r="X149" s="269"/>
      <c r="Y149" s="269"/>
      <c r="Z149" s="269"/>
      <c r="AA149" s="243"/>
      <c r="AB149" s="269"/>
      <c r="AC149" s="243"/>
      <c r="AD149" s="243"/>
      <c r="AE149" s="243"/>
      <c r="AF149" s="243"/>
      <c r="AG149" s="208"/>
      <c r="AH149" s="208"/>
      <c r="AI149" s="208"/>
      <c r="AJ149" s="208"/>
      <c r="AK149" s="208"/>
    </row>
    <row r="150">
      <c r="A150" s="245"/>
      <c r="B150" s="244"/>
      <c r="C150" s="222"/>
      <c r="D150" s="222"/>
      <c r="E150" s="222"/>
      <c r="F150" s="222"/>
      <c r="G150" s="222"/>
      <c r="H150" s="222"/>
      <c r="I150" s="223"/>
      <c r="J150" s="242"/>
      <c r="K150" s="242"/>
      <c r="L150" s="268"/>
      <c r="M150" s="242"/>
      <c r="N150" s="268"/>
      <c r="O150" s="242"/>
      <c r="P150" s="242"/>
      <c r="Q150" s="268"/>
      <c r="R150" s="268"/>
      <c r="S150" s="222"/>
      <c r="T150" s="222"/>
      <c r="U150" s="242"/>
      <c r="V150" s="222"/>
      <c r="W150" s="269"/>
      <c r="X150" s="269"/>
      <c r="Y150" s="269"/>
      <c r="Z150" s="269"/>
      <c r="AA150" s="243"/>
      <c r="AB150" s="269"/>
      <c r="AC150" s="243"/>
      <c r="AD150" s="243"/>
      <c r="AE150" s="243"/>
      <c r="AF150" s="243"/>
      <c r="AG150" s="208"/>
      <c r="AH150" s="208"/>
      <c r="AI150" s="208"/>
      <c r="AJ150" s="208"/>
      <c r="AK150" s="208"/>
    </row>
    <row r="151">
      <c r="A151" s="245"/>
      <c r="B151" s="244"/>
      <c r="C151" s="222"/>
      <c r="D151" s="222"/>
      <c r="E151" s="222"/>
      <c r="F151" s="222"/>
      <c r="G151" s="222"/>
      <c r="H151" s="222"/>
      <c r="I151" s="223"/>
      <c r="J151" s="242"/>
      <c r="K151" s="242"/>
      <c r="L151" s="268"/>
      <c r="M151" s="242"/>
      <c r="N151" s="268"/>
      <c r="O151" s="242"/>
      <c r="P151" s="242"/>
      <c r="Q151" s="268"/>
      <c r="R151" s="268"/>
      <c r="S151" s="222"/>
      <c r="T151" s="222"/>
      <c r="U151" s="242"/>
      <c r="V151" s="222"/>
      <c r="W151" s="269"/>
      <c r="X151" s="269"/>
      <c r="Y151" s="269"/>
      <c r="Z151" s="269"/>
      <c r="AA151" s="243"/>
      <c r="AB151" s="269"/>
      <c r="AC151" s="243"/>
      <c r="AD151" s="243"/>
      <c r="AE151" s="243"/>
      <c r="AF151" s="243"/>
      <c r="AG151" s="208"/>
      <c r="AH151" s="208"/>
      <c r="AI151" s="208"/>
      <c r="AJ151" s="208"/>
      <c r="AK151" s="208"/>
    </row>
    <row r="152">
      <c r="A152" s="245"/>
      <c r="B152" s="244"/>
      <c r="C152" s="222"/>
      <c r="D152" s="222"/>
      <c r="E152" s="222"/>
      <c r="F152" s="222"/>
      <c r="G152" s="222"/>
      <c r="H152" s="222"/>
      <c r="I152" s="223"/>
      <c r="J152" s="242"/>
      <c r="K152" s="242"/>
      <c r="L152" s="268"/>
      <c r="M152" s="242"/>
      <c r="N152" s="268"/>
      <c r="O152" s="242"/>
      <c r="P152" s="242"/>
      <c r="Q152" s="268"/>
      <c r="R152" s="268"/>
      <c r="S152" s="222"/>
      <c r="T152" s="222"/>
      <c r="U152" s="242"/>
      <c r="V152" s="222"/>
      <c r="W152" s="269"/>
      <c r="X152" s="269"/>
      <c r="Y152" s="269"/>
      <c r="Z152" s="269"/>
      <c r="AA152" s="243"/>
      <c r="AB152" s="269"/>
      <c r="AC152" s="243"/>
      <c r="AD152" s="243"/>
      <c r="AE152" s="243"/>
      <c r="AF152" s="243"/>
      <c r="AG152" s="208"/>
      <c r="AH152" s="208"/>
      <c r="AI152" s="208"/>
      <c r="AJ152" s="208"/>
      <c r="AK152" s="208"/>
    </row>
    <row r="153">
      <c r="A153" s="245"/>
      <c r="B153" s="244"/>
      <c r="C153" s="222"/>
      <c r="D153" s="222"/>
      <c r="E153" s="222"/>
      <c r="F153" s="222"/>
      <c r="G153" s="222"/>
      <c r="H153" s="222"/>
      <c r="I153" s="223"/>
      <c r="J153" s="242"/>
      <c r="K153" s="242"/>
      <c r="L153" s="268"/>
      <c r="M153" s="242"/>
      <c r="N153" s="268"/>
      <c r="O153" s="242"/>
      <c r="P153" s="242"/>
      <c r="Q153" s="268"/>
      <c r="R153" s="268"/>
      <c r="S153" s="222"/>
      <c r="T153" s="222"/>
      <c r="U153" s="242"/>
      <c r="V153" s="222"/>
      <c r="W153" s="269"/>
      <c r="X153" s="269"/>
      <c r="Y153" s="269"/>
      <c r="Z153" s="269"/>
      <c r="AA153" s="243"/>
      <c r="AB153" s="269"/>
      <c r="AC153" s="243"/>
      <c r="AD153" s="243"/>
      <c r="AE153" s="243"/>
      <c r="AF153" s="243"/>
      <c r="AG153" s="208"/>
      <c r="AH153" s="208"/>
      <c r="AI153" s="208"/>
      <c r="AJ153" s="208"/>
      <c r="AK153" s="208"/>
    </row>
    <row r="154">
      <c r="A154" s="245"/>
      <c r="B154" s="244"/>
      <c r="C154" s="222"/>
      <c r="D154" s="222"/>
      <c r="E154" s="222"/>
      <c r="F154" s="222"/>
      <c r="G154" s="222"/>
      <c r="H154" s="222"/>
      <c r="I154" s="223"/>
      <c r="J154" s="242"/>
      <c r="K154" s="242"/>
      <c r="L154" s="268"/>
      <c r="M154" s="242"/>
      <c r="N154" s="268"/>
      <c r="O154" s="242"/>
      <c r="P154" s="242"/>
      <c r="Q154" s="268"/>
      <c r="R154" s="268"/>
      <c r="S154" s="222"/>
      <c r="T154" s="222"/>
      <c r="U154" s="242"/>
      <c r="V154" s="222"/>
      <c r="W154" s="269"/>
      <c r="X154" s="269"/>
      <c r="Y154" s="269"/>
      <c r="Z154" s="269"/>
      <c r="AA154" s="243"/>
      <c r="AB154" s="269"/>
      <c r="AC154" s="243"/>
      <c r="AD154" s="243"/>
      <c r="AE154" s="243"/>
      <c r="AF154" s="243"/>
      <c r="AG154" s="208"/>
      <c r="AH154" s="208"/>
      <c r="AI154" s="208"/>
      <c r="AJ154" s="208"/>
      <c r="AK154" s="208"/>
    </row>
    <row r="155">
      <c r="A155" s="245"/>
      <c r="B155" s="244"/>
      <c r="C155" s="222"/>
      <c r="D155" s="222"/>
      <c r="E155" s="222"/>
      <c r="F155" s="222"/>
      <c r="G155" s="222"/>
      <c r="H155" s="222"/>
      <c r="I155" s="223"/>
      <c r="J155" s="242"/>
      <c r="K155" s="242"/>
      <c r="L155" s="268"/>
      <c r="M155" s="242"/>
      <c r="N155" s="268"/>
      <c r="O155" s="242"/>
      <c r="P155" s="242"/>
      <c r="Q155" s="268"/>
      <c r="R155" s="268"/>
      <c r="S155" s="222"/>
      <c r="T155" s="222"/>
      <c r="U155" s="242"/>
      <c r="V155" s="222"/>
      <c r="W155" s="269"/>
      <c r="X155" s="269"/>
      <c r="Y155" s="269"/>
      <c r="Z155" s="269"/>
      <c r="AA155" s="243"/>
      <c r="AB155" s="269"/>
      <c r="AC155" s="243"/>
      <c r="AD155" s="243"/>
      <c r="AE155" s="243"/>
      <c r="AF155" s="243"/>
      <c r="AG155" s="208"/>
      <c r="AH155" s="208"/>
      <c r="AI155" s="208"/>
      <c r="AJ155" s="208"/>
      <c r="AK155" s="208"/>
    </row>
    <row r="156">
      <c r="A156" s="245"/>
      <c r="B156" s="244"/>
      <c r="C156" s="222"/>
      <c r="D156" s="222"/>
      <c r="E156" s="222"/>
      <c r="F156" s="222"/>
      <c r="G156" s="222"/>
      <c r="H156" s="222"/>
      <c r="I156" s="223"/>
      <c r="J156" s="242"/>
      <c r="K156" s="242"/>
      <c r="L156" s="268"/>
      <c r="M156" s="242"/>
      <c r="N156" s="268"/>
      <c r="O156" s="242"/>
      <c r="P156" s="242"/>
      <c r="Q156" s="268"/>
      <c r="R156" s="268"/>
      <c r="S156" s="222"/>
      <c r="T156" s="222"/>
      <c r="U156" s="242"/>
      <c r="V156" s="222"/>
      <c r="W156" s="269"/>
      <c r="X156" s="269"/>
      <c r="Y156" s="269"/>
      <c r="Z156" s="269"/>
      <c r="AA156" s="243"/>
      <c r="AB156" s="269"/>
      <c r="AC156" s="243"/>
      <c r="AD156" s="243"/>
      <c r="AE156" s="243"/>
      <c r="AF156" s="243"/>
      <c r="AG156" s="208"/>
      <c r="AH156" s="208"/>
      <c r="AI156" s="208"/>
      <c r="AJ156" s="208"/>
      <c r="AK156" s="208"/>
    </row>
    <row r="157">
      <c r="A157" s="245"/>
      <c r="B157" s="244"/>
      <c r="C157" s="222"/>
      <c r="D157" s="222"/>
      <c r="E157" s="222"/>
      <c r="F157" s="222"/>
      <c r="G157" s="222"/>
      <c r="H157" s="222"/>
      <c r="I157" s="223"/>
      <c r="J157" s="242"/>
      <c r="K157" s="242"/>
      <c r="L157" s="268"/>
      <c r="M157" s="242"/>
      <c r="N157" s="268"/>
      <c r="O157" s="242"/>
      <c r="P157" s="242"/>
      <c r="Q157" s="268"/>
      <c r="R157" s="268"/>
      <c r="S157" s="222"/>
      <c r="T157" s="222"/>
      <c r="U157" s="242"/>
      <c r="V157" s="222"/>
      <c r="W157" s="269"/>
      <c r="X157" s="269"/>
      <c r="Y157" s="269"/>
      <c r="Z157" s="269"/>
      <c r="AA157" s="243"/>
      <c r="AB157" s="269"/>
      <c r="AC157" s="243"/>
      <c r="AD157" s="243"/>
      <c r="AE157" s="243"/>
      <c r="AF157" s="243"/>
      <c r="AG157" s="208"/>
      <c r="AH157" s="208"/>
      <c r="AI157" s="208"/>
      <c r="AJ157" s="208"/>
      <c r="AK157" s="208"/>
    </row>
    <row r="158">
      <c r="A158" s="245"/>
      <c r="B158" s="244"/>
      <c r="C158" s="222"/>
      <c r="D158" s="222"/>
      <c r="E158" s="222"/>
      <c r="F158" s="222"/>
      <c r="G158" s="222"/>
      <c r="H158" s="222"/>
      <c r="I158" s="223"/>
      <c r="J158" s="242"/>
      <c r="K158" s="242"/>
      <c r="L158" s="268"/>
      <c r="M158" s="242"/>
      <c r="N158" s="268"/>
      <c r="O158" s="242"/>
      <c r="P158" s="242"/>
      <c r="Q158" s="268"/>
      <c r="R158" s="268"/>
      <c r="S158" s="222"/>
      <c r="T158" s="222"/>
      <c r="U158" s="242"/>
      <c r="V158" s="222"/>
      <c r="W158" s="269"/>
      <c r="X158" s="269"/>
      <c r="Y158" s="269"/>
      <c r="Z158" s="269"/>
      <c r="AA158" s="243"/>
      <c r="AB158" s="269"/>
      <c r="AC158" s="243"/>
      <c r="AD158" s="243"/>
      <c r="AE158" s="243"/>
      <c r="AF158" s="243"/>
      <c r="AG158" s="208"/>
      <c r="AH158" s="208"/>
      <c r="AI158" s="208"/>
      <c r="AJ158" s="208"/>
      <c r="AK158" s="208"/>
    </row>
    <row r="159">
      <c r="A159" s="245"/>
      <c r="B159" s="244"/>
      <c r="C159" s="222"/>
      <c r="D159" s="222"/>
      <c r="E159" s="222"/>
      <c r="F159" s="222"/>
      <c r="G159" s="222"/>
      <c r="H159" s="222"/>
      <c r="I159" s="223"/>
      <c r="J159" s="242"/>
      <c r="K159" s="242"/>
      <c r="L159" s="268"/>
      <c r="M159" s="242"/>
      <c r="N159" s="268"/>
      <c r="O159" s="242"/>
      <c r="P159" s="242"/>
      <c r="Q159" s="268"/>
      <c r="R159" s="268"/>
      <c r="S159" s="222"/>
      <c r="T159" s="222"/>
      <c r="U159" s="242"/>
      <c r="V159" s="222"/>
      <c r="W159" s="269"/>
      <c r="X159" s="269"/>
      <c r="Y159" s="269"/>
      <c r="Z159" s="269"/>
      <c r="AA159" s="243"/>
      <c r="AB159" s="269"/>
      <c r="AC159" s="243"/>
      <c r="AD159" s="243"/>
      <c r="AE159" s="243"/>
      <c r="AF159" s="243"/>
      <c r="AG159" s="208"/>
      <c r="AH159" s="208"/>
      <c r="AI159" s="208"/>
      <c r="AJ159" s="208"/>
      <c r="AK159" s="208"/>
    </row>
    <row r="160">
      <c r="A160" s="319"/>
      <c r="B160" s="274"/>
      <c r="C160" s="208"/>
      <c r="D160" s="208"/>
      <c r="E160" s="208"/>
      <c r="F160" s="208"/>
      <c r="G160" s="208"/>
      <c r="H160" s="208"/>
      <c r="I160" s="233"/>
      <c r="J160" s="275"/>
      <c r="K160" s="275"/>
      <c r="L160" s="276"/>
      <c r="M160" s="275"/>
      <c r="N160" s="276"/>
      <c r="O160" s="275"/>
      <c r="P160" s="275"/>
      <c r="Q160" s="276"/>
      <c r="R160" s="276"/>
      <c r="S160" s="208"/>
      <c r="T160" s="208"/>
      <c r="U160" s="275"/>
      <c r="V160" s="208"/>
      <c r="W160" s="232"/>
      <c r="X160" s="232"/>
      <c r="Y160" s="232"/>
      <c r="Z160" s="232"/>
      <c r="AA160" s="277"/>
      <c r="AB160" s="232"/>
      <c r="AC160" s="277"/>
      <c r="AD160" s="277"/>
      <c r="AE160" s="277"/>
      <c r="AF160" s="277"/>
      <c r="AG160" s="208"/>
      <c r="AH160" s="208"/>
      <c r="AI160" s="208"/>
      <c r="AJ160" s="208"/>
      <c r="AK160" s="208"/>
    </row>
    <row r="161">
      <c r="A161" s="319"/>
      <c r="B161" s="274"/>
      <c r="C161" s="208"/>
      <c r="D161" s="208"/>
      <c r="E161" s="208"/>
      <c r="F161" s="208"/>
      <c r="G161" s="208"/>
      <c r="H161" s="208"/>
      <c r="I161" s="233"/>
      <c r="J161" s="275"/>
      <c r="K161" s="275"/>
      <c r="L161" s="276"/>
      <c r="M161" s="275"/>
      <c r="N161" s="276"/>
      <c r="O161" s="275"/>
      <c r="P161" s="275"/>
      <c r="Q161" s="276"/>
      <c r="R161" s="276"/>
      <c r="S161" s="208"/>
      <c r="T161" s="208"/>
      <c r="U161" s="275"/>
      <c r="V161" s="208"/>
      <c r="W161" s="232"/>
      <c r="X161" s="232"/>
      <c r="Y161" s="232"/>
      <c r="Z161" s="232"/>
      <c r="AA161" s="277"/>
      <c r="AB161" s="232"/>
      <c r="AC161" s="277"/>
      <c r="AD161" s="277"/>
      <c r="AE161" s="277"/>
      <c r="AF161" s="277"/>
      <c r="AG161" s="208"/>
      <c r="AH161" s="208"/>
      <c r="AI161" s="208"/>
      <c r="AJ161" s="208"/>
      <c r="AK161" s="208"/>
    </row>
    <row r="162">
      <c r="A162" s="319"/>
      <c r="B162" s="274"/>
      <c r="C162" s="208"/>
      <c r="D162" s="208"/>
      <c r="E162" s="208"/>
      <c r="F162" s="208"/>
      <c r="G162" s="208"/>
      <c r="H162" s="208"/>
      <c r="I162" s="233"/>
      <c r="J162" s="275"/>
      <c r="K162" s="275"/>
      <c r="L162" s="276"/>
      <c r="M162" s="275"/>
      <c r="N162" s="276"/>
      <c r="O162" s="275"/>
      <c r="P162" s="275"/>
      <c r="Q162" s="276"/>
      <c r="R162" s="276"/>
      <c r="S162" s="208"/>
      <c r="T162" s="208"/>
      <c r="U162" s="275"/>
      <c r="V162" s="208"/>
      <c r="W162" s="232"/>
      <c r="X162" s="232"/>
      <c r="Y162" s="232"/>
      <c r="Z162" s="232"/>
      <c r="AA162" s="277"/>
      <c r="AB162" s="232"/>
      <c r="AC162" s="277"/>
      <c r="AD162" s="277"/>
      <c r="AE162" s="277"/>
      <c r="AF162" s="277"/>
      <c r="AG162" s="208"/>
      <c r="AH162" s="208"/>
      <c r="AI162" s="208"/>
      <c r="AJ162" s="208"/>
      <c r="AK162" s="208"/>
    </row>
    <row r="163">
      <c r="A163" s="319"/>
      <c r="B163" s="274"/>
      <c r="C163" s="208"/>
      <c r="D163" s="208"/>
      <c r="E163" s="208"/>
      <c r="F163" s="208"/>
      <c r="G163" s="208"/>
      <c r="H163" s="208"/>
      <c r="I163" s="233"/>
      <c r="J163" s="275"/>
      <c r="K163" s="275"/>
      <c r="L163" s="276"/>
      <c r="M163" s="275"/>
      <c r="N163" s="276"/>
      <c r="O163" s="275"/>
      <c r="P163" s="275"/>
      <c r="Q163" s="276"/>
      <c r="R163" s="276"/>
      <c r="S163" s="208"/>
      <c r="T163" s="208"/>
      <c r="U163" s="275"/>
      <c r="V163" s="208"/>
      <c r="W163" s="232"/>
      <c r="X163" s="232"/>
      <c r="Y163" s="232"/>
      <c r="Z163" s="232"/>
      <c r="AA163" s="277"/>
      <c r="AB163" s="232"/>
      <c r="AC163" s="277"/>
      <c r="AD163" s="277"/>
      <c r="AE163" s="277"/>
      <c r="AF163" s="277"/>
      <c r="AG163" s="208"/>
      <c r="AH163" s="208"/>
      <c r="AI163" s="208"/>
      <c r="AJ163" s="208"/>
      <c r="AK163" s="208"/>
    </row>
    <row r="164">
      <c r="A164" s="319"/>
      <c r="B164" s="274"/>
      <c r="C164" s="208"/>
      <c r="D164" s="208"/>
      <c r="E164" s="208"/>
      <c r="F164" s="208"/>
      <c r="G164" s="208"/>
      <c r="H164" s="208"/>
      <c r="I164" s="233"/>
      <c r="J164" s="275"/>
      <c r="K164" s="275"/>
      <c r="L164" s="276"/>
      <c r="M164" s="275"/>
      <c r="N164" s="276"/>
      <c r="O164" s="275"/>
      <c r="P164" s="275"/>
      <c r="Q164" s="276"/>
      <c r="R164" s="276"/>
      <c r="S164" s="208"/>
      <c r="T164" s="208"/>
      <c r="U164" s="275"/>
      <c r="V164" s="208"/>
      <c r="W164" s="232"/>
      <c r="X164" s="232"/>
      <c r="Y164" s="232"/>
      <c r="Z164" s="232"/>
      <c r="AA164" s="277"/>
      <c r="AB164" s="232"/>
      <c r="AC164" s="277"/>
      <c r="AD164" s="277"/>
      <c r="AE164" s="277"/>
      <c r="AF164" s="277"/>
      <c r="AG164" s="208"/>
      <c r="AH164" s="208"/>
      <c r="AI164" s="208"/>
      <c r="AJ164" s="208"/>
      <c r="AK164" s="208"/>
    </row>
    <row r="165">
      <c r="A165" s="319"/>
      <c r="B165" s="274"/>
      <c r="C165" s="208"/>
      <c r="D165" s="208"/>
      <c r="E165" s="208"/>
      <c r="F165" s="208"/>
      <c r="G165" s="208"/>
      <c r="H165" s="208"/>
      <c r="I165" s="233"/>
      <c r="J165" s="275"/>
      <c r="K165" s="275"/>
      <c r="L165" s="276"/>
      <c r="M165" s="275"/>
      <c r="N165" s="276"/>
      <c r="O165" s="275"/>
      <c r="P165" s="275"/>
      <c r="Q165" s="276"/>
      <c r="R165" s="276"/>
      <c r="S165" s="208"/>
      <c r="T165" s="208"/>
      <c r="U165" s="275"/>
      <c r="V165" s="208"/>
      <c r="W165" s="232"/>
      <c r="X165" s="232"/>
      <c r="Y165" s="232"/>
      <c r="Z165" s="232"/>
      <c r="AA165" s="277"/>
      <c r="AB165" s="232"/>
      <c r="AC165" s="277"/>
      <c r="AD165" s="277"/>
      <c r="AE165" s="277"/>
      <c r="AF165" s="277"/>
      <c r="AG165" s="208"/>
      <c r="AH165" s="208"/>
      <c r="AI165" s="208"/>
      <c r="AJ165" s="208"/>
      <c r="AK165" s="208"/>
    </row>
    <row r="166">
      <c r="A166" s="319"/>
      <c r="B166" s="274"/>
      <c r="C166" s="208"/>
      <c r="D166" s="208"/>
      <c r="E166" s="208"/>
      <c r="F166" s="208"/>
      <c r="G166" s="208"/>
      <c r="H166" s="208"/>
      <c r="I166" s="233"/>
      <c r="J166" s="275"/>
      <c r="K166" s="275"/>
      <c r="L166" s="276"/>
      <c r="M166" s="275"/>
      <c r="N166" s="276"/>
      <c r="O166" s="275"/>
      <c r="P166" s="275"/>
      <c r="Q166" s="276"/>
      <c r="R166" s="276"/>
      <c r="S166" s="208"/>
      <c r="T166" s="208"/>
      <c r="U166" s="275"/>
      <c r="V166" s="208"/>
      <c r="W166" s="232"/>
      <c r="X166" s="232"/>
      <c r="Y166" s="232"/>
      <c r="Z166" s="232"/>
      <c r="AA166" s="277"/>
      <c r="AB166" s="232"/>
      <c r="AC166" s="277"/>
      <c r="AD166" s="277"/>
      <c r="AE166" s="277"/>
      <c r="AF166" s="277"/>
      <c r="AG166" s="208"/>
      <c r="AH166" s="208"/>
      <c r="AI166" s="208"/>
      <c r="AJ166" s="208"/>
      <c r="AK166" s="208"/>
    </row>
    <row r="167">
      <c r="A167" s="319"/>
      <c r="B167" s="274"/>
      <c r="C167" s="208"/>
      <c r="D167" s="208"/>
      <c r="E167" s="208"/>
      <c r="F167" s="208"/>
      <c r="G167" s="208"/>
      <c r="H167" s="208"/>
      <c r="I167" s="233"/>
      <c r="J167" s="275"/>
      <c r="K167" s="275"/>
      <c r="L167" s="276"/>
      <c r="M167" s="275"/>
      <c r="N167" s="276"/>
      <c r="O167" s="275"/>
      <c r="P167" s="275"/>
      <c r="Q167" s="276"/>
      <c r="R167" s="276"/>
      <c r="S167" s="208"/>
      <c r="T167" s="208"/>
      <c r="U167" s="275"/>
      <c r="V167" s="208"/>
      <c r="W167" s="232"/>
      <c r="X167" s="232"/>
      <c r="Y167" s="232"/>
      <c r="Z167" s="232"/>
      <c r="AA167" s="277"/>
      <c r="AB167" s="232"/>
      <c r="AC167" s="277"/>
      <c r="AD167" s="277"/>
      <c r="AE167" s="277"/>
      <c r="AF167" s="277"/>
      <c r="AG167" s="208"/>
      <c r="AH167" s="208"/>
      <c r="AI167" s="208"/>
      <c r="AJ167" s="208"/>
      <c r="AK167" s="208"/>
    </row>
    <row r="168">
      <c r="A168" s="319"/>
      <c r="B168" s="274"/>
      <c r="C168" s="208"/>
      <c r="D168" s="208"/>
      <c r="E168" s="208"/>
      <c r="F168" s="208"/>
      <c r="G168" s="208"/>
      <c r="H168" s="208"/>
      <c r="I168" s="233"/>
      <c r="J168" s="275"/>
      <c r="K168" s="275"/>
      <c r="L168" s="276"/>
      <c r="M168" s="275"/>
      <c r="N168" s="276"/>
      <c r="O168" s="275"/>
      <c r="P168" s="275"/>
      <c r="Q168" s="276"/>
      <c r="R168" s="276"/>
      <c r="S168" s="208"/>
      <c r="T168" s="208"/>
      <c r="U168" s="275"/>
      <c r="V168" s="208"/>
      <c r="W168" s="232"/>
      <c r="X168" s="232"/>
      <c r="Y168" s="232"/>
      <c r="Z168" s="232"/>
      <c r="AA168" s="277"/>
      <c r="AB168" s="232"/>
      <c r="AC168" s="277"/>
      <c r="AD168" s="277"/>
      <c r="AE168" s="277"/>
      <c r="AF168" s="277"/>
      <c r="AG168" s="208"/>
      <c r="AH168" s="208"/>
      <c r="AI168" s="208"/>
      <c r="AJ168" s="208"/>
      <c r="AK168" s="208"/>
    </row>
    <row r="169">
      <c r="A169" s="319"/>
      <c r="B169" s="274"/>
      <c r="C169" s="208"/>
      <c r="D169" s="208"/>
      <c r="E169" s="208"/>
      <c r="F169" s="208"/>
      <c r="G169" s="208"/>
      <c r="H169" s="208"/>
      <c r="I169" s="233"/>
      <c r="J169" s="275"/>
      <c r="K169" s="275"/>
      <c r="L169" s="276"/>
      <c r="M169" s="275"/>
      <c r="N169" s="276"/>
      <c r="O169" s="275"/>
      <c r="P169" s="275"/>
      <c r="Q169" s="276"/>
      <c r="R169" s="276"/>
      <c r="S169" s="208"/>
      <c r="T169" s="208"/>
      <c r="U169" s="275"/>
      <c r="V169" s="208"/>
      <c r="W169" s="232"/>
      <c r="X169" s="232"/>
      <c r="Y169" s="232"/>
      <c r="Z169" s="232"/>
      <c r="AA169" s="277"/>
      <c r="AB169" s="232"/>
      <c r="AC169" s="277"/>
      <c r="AD169" s="277"/>
      <c r="AE169" s="277"/>
      <c r="AF169" s="277"/>
      <c r="AG169" s="208"/>
      <c r="AH169" s="208"/>
      <c r="AI169" s="208"/>
      <c r="AJ169" s="208"/>
      <c r="AK169" s="208"/>
    </row>
    <row r="170">
      <c r="A170" s="319"/>
      <c r="B170" s="274"/>
      <c r="C170" s="208"/>
      <c r="D170" s="208"/>
      <c r="E170" s="208"/>
      <c r="F170" s="208"/>
      <c r="G170" s="208"/>
      <c r="H170" s="208"/>
      <c r="I170" s="233"/>
      <c r="J170" s="275"/>
      <c r="K170" s="275"/>
      <c r="L170" s="276"/>
      <c r="M170" s="275"/>
      <c r="N170" s="276"/>
      <c r="O170" s="275"/>
      <c r="P170" s="275"/>
      <c r="Q170" s="276"/>
      <c r="R170" s="276"/>
      <c r="S170" s="208"/>
      <c r="T170" s="208"/>
      <c r="U170" s="275"/>
      <c r="V170" s="208"/>
      <c r="W170" s="232"/>
      <c r="X170" s="232"/>
      <c r="Y170" s="232"/>
      <c r="Z170" s="232"/>
      <c r="AA170" s="277"/>
      <c r="AB170" s="232"/>
      <c r="AC170" s="277"/>
      <c r="AD170" s="277"/>
      <c r="AE170" s="277"/>
      <c r="AF170" s="277"/>
      <c r="AG170" s="208"/>
      <c r="AH170" s="208"/>
      <c r="AI170" s="208"/>
      <c r="AJ170" s="208"/>
      <c r="AK170" s="208"/>
    </row>
    <row r="171">
      <c r="A171" s="319"/>
      <c r="B171" s="274"/>
      <c r="C171" s="208"/>
      <c r="D171" s="208"/>
      <c r="E171" s="208"/>
      <c r="F171" s="208"/>
      <c r="G171" s="208"/>
      <c r="H171" s="208"/>
      <c r="I171" s="233"/>
      <c r="J171" s="275"/>
      <c r="K171" s="275"/>
      <c r="L171" s="276"/>
      <c r="M171" s="275"/>
      <c r="N171" s="276"/>
      <c r="O171" s="275"/>
      <c r="P171" s="275"/>
      <c r="Q171" s="276"/>
      <c r="R171" s="276"/>
      <c r="S171" s="208"/>
      <c r="T171" s="208"/>
      <c r="U171" s="275"/>
      <c r="V171" s="208"/>
      <c r="W171" s="232"/>
      <c r="X171" s="232"/>
      <c r="Y171" s="232"/>
      <c r="Z171" s="232"/>
      <c r="AA171" s="277"/>
      <c r="AB171" s="232"/>
      <c r="AC171" s="277"/>
      <c r="AD171" s="277"/>
      <c r="AE171" s="277"/>
      <c r="AF171" s="277"/>
      <c r="AG171" s="208"/>
      <c r="AH171" s="208"/>
      <c r="AI171" s="208"/>
      <c r="AJ171" s="208"/>
      <c r="AK171" s="208"/>
    </row>
    <row r="172">
      <c r="A172" s="319"/>
      <c r="B172" s="274"/>
      <c r="C172" s="208"/>
      <c r="D172" s="208"/>
      <c r="E172" s="208"/>
      <c r="F172" s="208"/>
      <c r="G172" s="208"/>
      <c r="H172" s="208"/>
      <c r="I172" s="233"/>
      <c r="J172" s="275"/>
      <c r="K172" s="275"/>
      <c r="L172" s="276"/>
      <c r="M172" s="275"/>
      <c r="N172" s="276"/>
      <c r="O172" s="275"/>
      <c r="P172" s="275"/>
      <c r="Q172" s="276"/>
      <c r="R172" s="276"/>
      <c r="S172" s="208"/>
      <c r="T172" s="208"/>
      <c r="U172" s="275"/>
      <c r="V172" s="208"/>
      <c r="W172" s="232"/>
      <c r="X172" s="232"/>
      <c r="Y172" s="232"/>
      <c r="Z172" s="232"/>
      <c r="AA172" s="277"/>
      <c r="AB172" s="232"/>
      <c r="AC172" s="277"/>
      <c r="AD172" s="277"/>
      <c r="AE172" s="277"/>
      <c r="AF172" s="277"/>
      <c r="AG172" s="208"/>
      <c r="AH172" s="208"/>
      <c r="AI172" s="208"/>
      <c r="AJ172" s="208"/>
      <c r="AK172" s="208"/>
    </row>
    <row r="173">
      <c r="A173" s="319"/>
      <c r="B173" s="274"/>
      <c r="C173" s="208"/>
      <c r="D173" s="208"/>
      <c r="E173" s="208"/>
      <c r="F173" s="208"/>
      <c r="G173" s="208"/>
      <c r="H173" s="208"/>
      <c r="I173" s="233"/>
      <c r="J173" s="275"/>
      <c r="K173" s="275"/>
      <c r="L173" s="276"/>
      <c r="M173" s="275"/>
      <c r="N173" s="276"/>
      <c r="O173" s="275"/>
      <c r="P173" s="275"/>
      <c r="Q173" s="276"/>
      <c r="R173" s="276"/>
      <c r="S173" s="208"/>
      <c r="T173" s="208"/>
      <c r="U173" s="275"/>
      <c r="V173" s="208"/>
      <c r="W173" s="232"/>
      <c r="X173" s="232"/>
      <c r="Y173" s="232"/>
      <c r="Z173" s="232"/>
      <c r="AA173" s="277"/>
      <c r="AB173" s="232"/>
      <c r="AC173" s="277"/>
      <c r="AD173" s="277"/>
      <c r="AE173" s="277"/>
      <c r="AF173" s="277"/>
      <c r="AG173" s="208"/>
      <c r="AH173" s="208"/>
      <c r="AI173" s="208"/>
      <c r="AJ173" s="208"/>
      <c r="AK173" s="208"/>
    </row>
    <row r="174">
      <c r="A174" s="319"/>
      <c r="B174" s="274"/>
      <c r="C174" s="208"/>
      <c r="D174" s="208"/>
      <c r="E174" s="208"/>
      <c r="F174" s="208"/>
      <c r="G174" s="208"/>
      <c r="H174" s="208"/>
      <c r="I174" s="233"/>
      <c r="J174" s="275"/>
      <c r="K174" s="275"/>
      <c r="L174" s="276"/>
      <c r="M174" s="275"/>
      <c r="N174" s="276"/>
      <c r="O174" s="275"/>
      <c r="P174" s="275"/>
      <c r="Q174" s="276"/>
      <c r="R174" s="276"/>
      <c r="S174" s="208"/>
      <c r="T174" s="208"/>
      <c r="U174" s="275"/>
      <c r="V174" s="208"/>
      <c r="W174" s="232"/>
      <c r="X174" s="232"/>
      <c r="Y174" s="232"/>
      <c r="Z174" s="232"/>
      <c r="AA174" s="277"/>
      <c r="AB174" s="232"/>
      <c r="AC174" s="277"/>
      <c r="AD174" s="277"/>
      <c r="AE174" s="277"/>
      <c r="AF174" s="277"/>
      <c r="AG174" s="208"/>
      <c r="AH174" s="208"/>
      <c r="AI174" s="208"/>
      <c r="AJ174" s="208"/>
      <c r="AK174" s="208"/>
    </row>
    <row r="175">
      <c r="A175" s="319"/>
      <c r="B175" s="274"/>
      <c r="C175" s="208"/>
      <c r="D175" s="208"/>
      <c r="E175" s="208"/>
      <c r="F175" s="208"/>
      <c r="G175" s="208"/>
      <c r="H175" s="208"/>
      <c r="I175" s="233"/>
      <c r="J175" s="275"/>
      <c r="K175" s="275"/>
      <c r="L175" s="276"/>
      <c r="M175" s="275"/>
      <c r="N175" s="276"/>
      <c r="O175" s="275"/>
      <c r="P175" s="275"/>
      <c r="Q175" s="276"/>
      <c r="R175" s="276"/>
      <c r="S175" s="208"/>
      <c r="T175" s="208"/>
      <c r="U175" s="275"/>
      <c r="V175" s="208"/>
      <c r="W175" s="232"/>
      <c r="X175" s="232"/>
      <c r="Y175" s="232"/>
      <c r="Z175" s="232"/>
      <c r="AA175" s="277"/>
      <c r="AB175" s="232"/>
      <c r="AC175" s="277"/>
      <c r="AD175" s="277"/>
      <c r="AE175" s="277"/>
      <c r="AF175" s="277"/>
      <c r="AG175" s="208"/>
      <c r="AH175" s="208"/>
      <c r="AI175" s="208"/>
      <c r="AJ175" s="208"/>
      <c r="AK175" s="208"/>
    </row>
    <row r="176">
      <c r="A176" s="234"/>
      <c r="B176" s="208"/>
      <c r="C176" s="208"/>
      <c r="D176" s="208"/>
      <c r="E176" s="208"/>
      <c r="F176" s="208"/>
      <c r="G176" s="208"/>
      <c r="H176" s="208"/>
      <c r="I176" s="233"/>
      <c r="J176" s="208"/>
      <c r="K176" s="208"/>
      <c r="L176" s="208"/>
      <c r="M176" s="208"/>
      <c r="N176" s="208"/>
      <c r="O176" s="208"/>
      <c r="P176" s="208"/>
      <c r="Q176" s="208"/>
      <c r="R176" s="208"/>
      <c r="S176" s="208"/>
      <c r="T176" s="208"/>
      <c r="U176" s="208"/>
      <c r="V176" s="208"/>
      <c r="W176" s="232"/>
      <c r="X176" s="232"/>
      <c r="Y176" s="232"/>
      <c r="Z176" s="232"/>
      <c r="AA176" s="232"/>
      <c r="AB176" s="232"/>
      <c r="AC176" s="232"/>
      <c r="AD176" s="232"/>
      <c r="AE176" s="232"/>
      <c r="AF176" s="232"/>
      <c r="AG176" s="208"/>
      <c r="AH176" s="208"/>
      <c r="AI176" s="208"/>
      <c r="AJ176" s="208"/>
      <c r="AK176" s="208"/>
    </row>
    <row r="177">
      <c r="A177" s="234"/>
      <c r="B177" s="208"/>
      <c r="C177" s="208"/>
      <c r="D177" s="208"/>
      <c r="E177" s="208"/>
      <c r="F177" s="208"/>
      <c r="G177" s="208"/>
      <c r="H177" s="208"/>
      <c r="I177" s="233"/>
      <c r="J177" s="208"/>
      <c r="K177" s="208"/>
      <c r="L177" s="208"/>
      <c r="M177" s="208"/>
      <c r="N177" s="208"/>
      <c r="O177" s="208"/>
      <c r="P177" s="208"/>
      <c r="Q177" s="208"/>
      <c r="R177" s="208"/>
      <c r="S177" s="208"/>
      <c r="T177" s="208"/>
      <c r="U177" s="208"/>
      <c r="V177" s="208"/>
      <c r="W177" s="232"/>
      <c r="X177" s="232"/>
      <c r="Y177" s="232"/>
      <c r="Z177" s="232"/>
      <c r="AA177" s="232"/>
      <c r="AB177" s="232"/>
      <c r="AC177" s="232"/>
      <c r="AD177" s="232"/>
      <c r="AE177" s="232"/>
      <c r="AF177" s="232"/>
      <c r="AG177" s="208"/>
      <c r="AH177" s="208"/>
      <c r="AI177" s="208"/>
      <c r="AJ177" s="208"/>
      <c r="AK177" s="208"/>
    </row>
    <row r="178">
      <c r="A178" s="234"/>
      <c r="B178" s="208"/>
      <c r="C178" s="208"/>
      <c r="D178" s="208"/>
      <c r="E178" s="208"/>
      <c r="F178" s="208"/>
      <c r="G178" s="208"/>
      <c r="H178" s="208"/>
      <c r="I178" s="233"/>
      <c r="J178" s="208"/>
      <c r="K178" s="208"/>
      <c r="L178" s="208"/>
      <c r="M178" s="208"/>
      <c r="N178" s="208"/>
      <c r="O178" s="208"/>
      <c r="P178" s="208"/>
      <c r="Q178" s="208"/>
      <c r="R178" s="208"/>
      <c r="S178" s="208"/>
      <c r="T178" s="208"/>
      <c r="U178" s="208"/>
      <c r="V178" s="208"/>
      <c r="W178" s="232"/>
      <c r="X178" s="232"/>
      <c r="Y178" s="232"/>
      <c r="Z178" s="232"/>
      <c r="AA178" s="232"/>
      <c r="AB178" s="232"/>
      <c r="AC178" s="232"/>
      <c r="AD178" s="232"/>
      <c r="AE178" s="232"/>
      <c r="AF178" s="232"/>
      <c r="AG178" s="208"/>
      <c r="AH178" s="208"/>
      <c r="AI178" s="208"/>
      <c r="AJ178" s="208"/>
      <c r="AK178" s="208"/>
    </row>
    <row r="179">
      <c r="A179" s="234"/>
      <c r="B179" s="208"/>
      <c r="C179" s="208"/>
      <c r="D179" s="208"/>
      <c r="E179" s="208"/>
      <c r="F179" s="208"/>
      <c r="G179" s="208"/>
      <c r="H179" s="208"/>
      <c r="I179" s="233"/>
      <c r="J179" s="208"/>
      <c r="K179" s="208"/>
      <c r="L179" s="208"/>
      <c r="M179" s="208"/>
      <c r="N179" s="208"/>
      <c r="O179" s="208"/>
      <c r="P179" s="208"/>
      <c r="Q179" s="208"/>
      <c r="R179" s="208"/>
      <c r="S179" s="208"/>
      <c r="T179" s="208"/>
      <c r="U179" s="208"/>
      <c r="V179" s="208"/>
      <c r="W179" s="232"/>
      <c r="X179" s="232"/>
      <c r="Y179" s="232"/>
      <c r="Z179" s="232"/>
      <c r="AA179" s="232"/>
      <c r="AB179" s="232"/>
      <c r="AC179" s="232"/>
      <c r="AD179" s="232"/>
      <c r="AE179" s="232"/>
      <c r="AF179" s="232"/>
      <c r="AG179" s="208"/>
      <c r="AH179" s="208"/>
      <c r="AI179" s="208"/>
      <c r="AJ179" s="208"/>
      <c r="AK179" s="208"/>
    </row>
    <row r="180">
      <c r="A180" s="234"/>
      <c r="B180" s="208"/>
      <c r="C180" s="208"/>
      <c r="D180" s="208"/>
      <c r="E180" s="208"/>
      <c r="F180" s="208"/>
      <c r="G180" s="208"/>
      <c r="H180" s="208"/>
      <c r="I180" s="233"/>
      <c r="J180" s="208"/>
      <c r="K180" s="208"/>
      <c r="L180" s="208"/>
      <c r="M180" s="208"/>
      <c r="N180" s="208"/>
      <c r="O180" s="208"/>
      <c r="P180" s="208"/>
      <c r="Q180" s="208"/>
      <c r="R180" s="208"/>
      <c r="S180" s="208"/>
      <c r="T180" s="208"/>
      <c r="U180" s="208"/>
      <c r="V180" s="208"/>
      <c r="W180" s="232"/>
      <c r="X180" s="232"/>
      <c r="Y180" s="232"/>
      <c r="Z180" s="232"/>
      <c r="AA180" s="232"/>
      <c r="AB180" s="232"/>
      <c r="AC180" s="232"/>
      <c r="AD180" s="232"/>
      <c r="AE180" s="232"/>
      <c r="AF180" s="232"/>
      <c r="AG180" s="208"/>
      <c r="AH180" s="208"/>
      <c r="AI180" s="208"/>
      <c r="AJ180" s="208"/>
      <c r="AK180" s="208"/>
    </row>
    <row r="181">
      <c r="A181" s="234"/>
      <c r="B181" s="208"/>
      <c r="C181" s="208"/>
      <c r="D181" s="208"/>
      <c r="E181" s="208"/>
      <c r="F181" s="208"/>
      <c r="G181" s="208"/>
      <c r="H181" s="208"/>
      <c r="I181" s="233"/>
      <c r="J181" s="208"/>
      <c r="K181" s="208"/>
      <c r="L181" s="208"/>
      <c r="M181" s="208"/>
      <c r="N181" s="208"/>
      <c r="O181" s="208"/>
      <c r="P181" s="208"/>
      <c r="Q181" s="208"/>
      <c r="R181" s="208"/>
      <c r="S181" s="208"/>
      <c r="T181" s="208"/>
      <c r="U181" s="208"/>
      <c r="V181" s="208"/>
      <c r="W181" s="232"/>
      <c r="X181" s="232"/>
      <c r="Y181" s="232"/>
      <c r="Z181" s="232"/>
      <c r="AA181" s="232"/>
      <c r="AB181" s="232"/>
      <c r="AC181" s="232"/>
      <c r="AD181" s="232"/>
      <c r="AE181" s="232"/>
      <c r="AF181" s="232"/>
      <c r="AG181" s="208"/>
      <c r="AH181" s="208"/>
      <c r="AI181" s="208"/>
      <c r="AJ181" s="208"/>
      <c r="AK181" s="208"/>
    </row>
    <row r="182">
      <c r="A182" s="234"/>
      <c r="B182" s="208"/>
      <c r="C182" s="208"/>
      <c r="D182" s="208"/>
      <c r="E182" s="208"/>
      <c r="F182" s="208"/>
      <c r="G182" s="208"/>
      <c r="H182" s="208"/>
      <c r="I182" s="233"/>
      <c r="J182" s="208"/>
      <c r="K182" s="208"/>
      <c r="L182" s="208"/>
      <c r="M182" s="208"/>
      <c r="N182" s="208"/>
      <c r="O182" s="208"/>
      <c r="P182" s="208"/>
      <c r="Q182" s="208"/>
      <c r="R182" s="208"/>
      <c r="S182" s="208"/>
      <c r="T182" s="208"/>
      <c r="U182" s="208"/>
      <c r="V182" s="208"/>
      <c r="W182" s="232"/>
      <c r="X182" s="232"/>
      <c r="Y182" s="232"/>
      <c r="Z182" s="232"/>
      <c r="AA182" s="232"/>
      <c r="AB182" s="232"/>
      <c r="AC182" s="232"/>
      <c r="AD182" s="232"/>
      <c r="AE182" s="232"/>
      <c r="AF182" s="232"/>
      <c r="AG182" s="208"/>
      <c r="AH182" s="208"/>
      <c r="AI182" s="208"/>
      <c r="AJ182" s="208"/>
      <c r="AK182" s="208"/>
    </row>
    <row r="183">
      <c r="A183" s="234"/>
      <c r="B183" s="208"/>
      <c r="C183" s="208"/>
      <c r="D183" s="208"/>
      <c r="E183" s="208"/>
      <c r="F183" s="208"/>
      <c r="G183" s="208"/>
      <c r="H183" s="208"/>
      <c r="I183" s="233"/>
      <c r="J183" s="208"/>
      <c r="K183" s="208"/>
      <c r="L183" s="208"/>
      <c r="M183" s="208"/>
      <c r="N183" s="208"/>
      <c r="O183" s="208"/>
      <c r="P183" s="208"/>
      <c r="Q183" s="208"/>
      <c r="R183" s="208"/>
      <c r="S183" s="208"/>
      <c r="T183" s="208"/>
      <c r="U183" s="208"/>
      <c r="V183" s="208"/>
      <c r="W183" s="232"/>
      <c r="X183" s="232"/>
      <c r="Y183" s="232"/>
      <c r="Z183" s="232"/>
      <c r="AA183" s="232"/>
      <c r="AB183" s="232"/>
      <c r="AC183" s="232"/>
      <c r="AD183" s="232"/>
      <c r="AE183" s="232"/>
      <c r="AF183" s="232"/>
      <c r="AG183" s="208"/>
      <c r="AH183" s="208"/>
      <c r="AI183" s="208"/>
      <c r="AJ183" s="208"/>
      <c r="AK183" s="208"/>
    </row>
    <row r="184">
      <c r="A184" s="234"/>
      <c r="B184" s="208"/>
      <c r="C184" s="208"/>
      <c r="D184" s="208"/>
      <c r="E184" s="208"/>
      <c r="F184" s="208"/>
      <c r="G184" s="208"/>
      <c r="H184" s="208"/>
      <c r="I184" s="233"/>
      <c r="J184" s="208"/>
      <c r="K184" s="208"/>
      <c r="L184" s="208"/>
      <c r="M184" s="208"/>
      <c r="N184" s="208"/>
      <c r="O184" s="208"/>
      <c r="P184" s="208"/>
      <c r="Q184" s="208"/>
      <c r="R184" s="208"/>
      <c r="S184" s="208"/>
      <c r="T184" s="208"/>
      <c r="U184" s="208"/>
      <c r="V184" s="208"/>
      <c r="W184" s="232"/>
      <c r="X184" s="232"/>
      <c r="Y184" s="232"/>
      <c r="Z184" s="232"/>
      <c r="AA184" s="232"/>
      <c r="AB184" s="232"/>
      <c r="AC184" s="232"/>
      <c r="AD184" s="232"/>
      <c r="AE184" s="232"/>
      <c r="AF184" s="232"/>
      <c r="AG184" s="208"/>
      <c r="AH184" s="208"/>
      <c r="AI184" s="208"/>
      <c r="AJ184" s="208"/>
      <c r="AK184" s="208"/>
    </row>
    <row r="185">
      <c r="A185" s="234"/>
      <c r="B185" s="208"/>
      <c r="C185" s="208"/>
      <c r="D185" s="208"/>
      <c r="E185" s="208"/>
      <c r="F185" s="208"/>
      <c r="G185" s="208"/>
      <c r="H185" s="208"/>
      <c r="I185" s="233"/>
      <c r="J185" s="208"/>
      <c r="K185" s="208"/>
      <c r="L185" s="208"/>
      <c r="M185" s="208"/>
      <c r="N185" s="208"/>
      <c r="O185" s="208"/>
      <c r="P185" s="208"/>
      <c r="Q185" s="208"/>
      <c r="R185" s="208"/>
      <c r="S185" s="208"/>
      <c r="T185" s="208"/>
      <c r="U185" s="208"/>
      <c r="V185" s="208"/>
      <c r="W185" s="232"/>
      <c r="X185" s="232"/>
      <c r="Y185" s="232"/>
      <c r="Z185" s="232"/>
      <c r="AA185" s="232"/>
      <c r="AB185" s="232"/>
      <c r="AC185" s="232"/>
      <c r="AD185" s="232"/>
      <c r="AE185" s="232"/>
      <c r="AF185" s="232"/>
      <c r="AG185" s="208"/>
      <c r="AH185" s="208"/>
      <c r="AI185" s="208"/>
      <c r="AJ185" s="208"/>
      <c r="AK185" s="208"/>
    </row>
    <row r="186">
      <c r="A186" s="234"/>
      <c r="B186" s="208"/>
      <c r="C186" s="208"/>
      <c r="D186" s="208"/>
      <c r="E186" s="208"/>
      <c r="F186" s="208"/>
      <c r="G186" s="208"/>
      <c r="H186" s="208"/>
      <c r="I186" s="233"/>
      <c r="J186" s="208"/>
      <c r="K186" s="208"/>
      <c r="L186" s="208"/>
      <c r="M186" s="208"/>
      <c r="N186" s="208"/>
      <c r="O186" s="208"/>
      <c r="P186" s="208"/>
      <c r="Q186" s="208"/>
      <c r="R186" s="208"/>
      <c r="S186" s="208"/>
      <c r="T186" s="208"/>
      <c r="U186" s="208"/>
      <c r="V186" s="208"/>
      <c r="W186" s="232"/>
      <c r="X186" s="232"/>
      <c r="Y186" s="232"/>
      <c r="Z186" s="232"/>
      <c r="AA186" s="232"/>
      <c r="AB186" s="232"/>
      <c r="AC186" s="232"/>
      <c r="AD186" s="232"/>
      <c r="AE186" s="232"/>
      <c r="AF186" s="232"/>
      <c r="AG186" s="208"/>
      <c r="AH186" s="208"/>
      <c r="AI186" s="208"/>
      <c r="AJ186" s="208"/>
      <c r="AK186" s="208"/>
    </row>
    <row r="187">
      <c r="A187" s="234"/>
      <c r="B187" s="208"/>
      <c r="C187" s="208"/>
      <c r="D187" s="208"/>
      <c r="E187" s="208"/>
      <c r="F187" s="208"/>
      <c r="G187" s="208"/>
      <c r="H187" s="208"/>
      <c r="I187" s="233"/>
      <c r="J187" s="208"/>
      <c r="K187" s="208"/>
      <c r="L187" s="208"/>
      <c r="M187" s="208"/>
      <c r="N187" s="208"/>
      <c r="O187" s="208"/>
      <c r="P187" s="208"/>
      <c r="Q187" s="208"/>
      <c r="R187" s="208"/>
      <c r="S187" s="208"/>
      <c r="T187" s="208"/>
      <c r="U187" s="208"/>
      <c r="V187" s="208"/>
      <c r="W187" s="232"/>
      <c r="X187" s="232"/>
      <c r="Y187" s="232"/>
      <c r="Z187" s="232"/>
      <c r="AA187" s="232"/>
      <c r="AB187" s="232"/>
      <c r="AC187" s="232"/>
      <c r="AD187" s="232"/>
      <c r="AE187" s="232"/>
      <c r="AF187" s="232"/>
      <c r="AG187" s="208"/>
      <c r="AH187" s="208"/>
      <c r="AI187" s="208"/>
      <c r="AJ187" s="208"/>
      <c r="AK187" s="208"/>
    </row>
    <row r="188">
      <c r="A188" s="234"/>
      <c r="B188" s="208"/>
      <c r="C188" s="208"/>
      <c r="D188" s="208"/>
      <c r="E188" s="208"/>
      <c r="F188" s="208"/>
      <c r="G188" s="208"/>
      <c r="H188" s="208"/>
      <c r="I188" s="233"/>
      <c r="J188" s="208"/>
      <c r="K188" s="208"/>
      <c r="L188" s="208"/>
      <c r="M188" s="208"/>
      <c r="N188" s="208"/>
      <c r="O188" s="208"/>
      <c r="P188" s="208"/>
      <c r="Q188" s="208"/>
      <c r="R188" s="208"/>
      <c r="S188" s="208"/>
      <c r="T188" s="208"/>
      <c r="U188" s="208"/>
      <c r="V188" s="208"/>
      <c r="W188" s="232"/>
      <c r="X188" s="232"/>
      <c r="Y188" s="232"/>
      <c r="Z188" s="232"/>
      <c r="AA188" s="232"/>
      <c r="AB188" s="232"/>
      <c r="AC188" s="232"/>
      <c r="AD188" s="232"/>
      <c r="AE188" s="232"/>
      <c r="AF188" s="232"/>
      <c r="AG188" s="208"/>
      <c r="AH188" s="208"/>
      <c r="AI188" s="208"/>
      <c r="AJ188" s="208"/>
      <c r="AK188" s="208"/>
    </row>
    <row r="189">
      <c r="A189" s="234"/>
      <c r="B189" s="208"/>
      <c r="C189" s="208"/>
      <c r="D189" s="208"/>
      <c r="E189" s="208"/>
      <c r="F189" s="208"/>
      <c r="G189" s="208"/>
      <c r="H189" s="208"/>
      <c r="I189" s="233"/>
      <c r="J189" s="208"/>
      <c r="K189" s="208"/>
      <c r="L189" s="208"/>
      <c r="M189" s="208"/>
      <c r="N189" s="208"/>
      <c r="O189" s="208"/>
      <c r="P189" s="208"/>
      <c r="Q189" s="208"/>
      <c r="R189" s="208"/>
      <c r="S189" s="208"/>
      <c r="T189" s="208"/>
      <c r="U189" s="208"/>
      <c r="V189" s="208"/>
      <c r="W189" s="232"/>
      <c r="X189" s="232"/>
      <c r="Y189" s="232"/>
      <c r="Z189" s="232"/>
      <c r="AA189" s="232"/>
      <c r="AB189" s="232"/>
      <c r="AC189" s="232"/>
      <c r="AD189" s="232"/>
      <c r="AE189" s="232"/>
      <c r="AF189" s="232"/>
      <c r="AG189" s="208"/>
      <c r="AH189" s="208"/>
      <c r="AI189" s="208"/>
      <c r="AJ189" s="208"/>
      <c r="AK189" s="208"/>
    </row>
    <row r="190">
      <c r="A190" s="234"/>
      <c r="B190" s="208"/>
      <c r="C190" s="208"/>
      <c r="D190" s="208"/>
      <c r="E190" s="208"/>
      <c r="F190" s="208"/>
      <c r="G190" s="208"/>
      <c r="H190" s="208"/>
      <c r="I190" s="233"/>
      <c r="J190" s="208"/>
      <c r="K190" s="208"/>
      <c r="L190" s="208"/>
      <c r="M190" s="208"/>
      <c r="N190" s="208"/>
      <c r="O190" s="208"/>
      <c r="P190" s="208"/>
      <c r="Q190" s="208"/>
      <c r="R190" s="208"/>
      <c r="S190" s="208"/>
      <c r="T190" s="208"/>
      <c r="U190" s="208"/>
      <c r="V190" s="208"/>
      <c r="W190" s="232"/>
      <c r="X190" s="232"/>
      <c r="Y190" s="232"/>
      <c r="Z190" s="232"/>
      <c r="AA190" s="232"/>
      <c r="AB190" s="232"/>
      <c r="AC190" s="232"/>
      <c r="AD190" s="232"/>
      <c r="AE190" s="232"/>
      <c r="AF190" s="232"/>
      <c r="AG190" s="208"/>
      <c r="AH190" s="208"/>
      <c r="AI190" s="208"/>
      <c r="AJ190" s="208"/>
      <c r="AK190" s="208"/>
    </row>
    <row r="191">
      <c r="A191" s="234"/>
      <c r="B191" s="208"/>
      <c r="C191" s="208"/>
      <c r="D191" s="208"/>
      <c r="E191" s="208"/>
      <c r="F191" s="208"/>
      <c r="G191" s="208"/>
      <c r="H191" s="208"/>
      <c r="I191" s="233"/>
      <c r="J191" s="208"/>
      <c r="K191" s="208"/>
      <c r="L191" s="208"/>
      <c r="M191" s="208"/>
      <c r="N191" s="208"/>
      <c r="O191" s="208"/>
      <c r="P191" s="208"/>
      <c r="Q191" s="208"/>
      <c r="R191" s="208"/>
      <c r="S191" s="208"/>
      <c r="T191" s="208"/>
      <c r="U191" s="208"/>
      <c r="V191" s="208"/>
      <c r="W191" s="232"/>
      <c r="X191" s="232"/>
      <c r="Y191" s="232"/>
      <c r="Z191" s="232"/>
      <c r="AA191" s="232"/>
      <c r="AB191" s="232"/>
      <c r="AC191" s="232"/>
      <c r="AD191" s="232"/>
      <c r="AE191" s="232"/>
      <c r="AF191" s="232"/>
      <c r="AG191" s="208"/>
      <c r="AH191" s="208"/>
      <c r="AI191" s="208"/>
      <c r="AJ191" s="208"/>
      <c r="AK191" s="208"/>
    </row>
    <row r="192">
      <c r="A192" s="234"/>
      <c r="B192" s="208"/>
      <c r="C192" s="208"/>
      <c r="D192" s="208"/>
      <c r="E192" s="208"/>
      <c r="F192" s="208"/>
      <c r="G192" s="208"/>
      <c r="H192" s="208"/>
      <c r="I192" s="233"/>
      <c r="J192" s="208"/>
      <c r="K192" s="208"/>
      <c r="L192" s="208"/>
      <c r="M192" s="208"/>
      <c r="N192" s="208"/>
      <c r="O192" s="208"/>
      <c r="P192" s="208"/>
      <c r="Q192" s="208"/>
      <c r="R192" s="208"/>
      <c r="S192" s="208"/>
      <c r="T192" s="208"/>
      <c r="U192" s="208"/>
      <c r="V192" s="208"/>
      <c r="W192" s="232"/>
      <c r="X192" s="232"/>
      <c r="Y192" s="232"/>
      <c r="Z192" s="232"/>
      <c r="AA192" s="232"/>
      <c r="AB192" s="232"/>
      <c r="AC192" s="232"/>
      <c r="AD192" s="232"/>
      <c r="AE192" s="232"/>
      <c r="AF192" s="232"/>
      <c r="AG192" s="208"/>
      <c r="AH192" s="208"/>
      <c r="AI192" s="208"/>
      <c r="AJ192" s="208"/>
      <c r="AK192" s="208"/>
    </row>
    <row r="193">
      <c r="A193" s="234"/>
      <c r="B193" s="208"/>
      <c r="C193" s="208"/>
      <c r="D193" s="208"/>
      <c r="E193" s="208"/>
      <c r="F193" s="208"/>
      <c r="G193" s="208"/>
      <c r="H193" s="208"/>
      <c r="I193" s="233"/>
      <c r="J193" s="208"/>
      <c r="K193" s="208"/>
      <c r="L193" s="208"/>
      <c r="M193" s="208"/>
      <c r="N193" s="208"/>
      <c r="O193" s="208"/>
      <c r="P193" s="208"/>
      <c r="Q193" s="208"/>
      <c r="R193" s="208"/>
      <c r="S193" s="208"/>
      <c r="T193" s="208"/>
      <c r="U193" s="208"/>
      <c r="V193" s="208"/>
      <c r="W193" s="232"/>
      <c r="X193" s="232"/>
      <c r="Y193" s="232"/>
      <c r="Z193" s="232"/>
      <c r="AA193" s="232"/>
      <c r="AB193" s="232"/>
      <c r="AC193" s="232"/>
      <c r="AD193" s="232"/>
      <c r="AE193" s="232"/>
      <c r="AF193" s="232"/>
      <c r="AG193" s="208"/>
      <c r="AH193" s="208"/>
      <c r="AI193" s="208"/>
      <c r="AJ193" s="208"/>
      <c r="AK193" s="208"/>
    </row>
    <row r="194">
      <c r="A194" s="234"/>
      <c r="B194" s="208"/>
      <c r="C194" s="208"/>
      <c r="D194" s="208"/>
      <c r="E194" s="208"/>
      <c r="F194" s="208"/>
      <c r="G194" s="208"/>
      <c r="H194" s="208"/>
      <c r="I194" s="233"/>
      <c r="J194" s="208"/>
      <c r="K194" s="208"/>
      <c r="L194" s="208"/>
      <c r="M194" s="208"/>
      <c r="N194" s="208"/>
      <c r="O194" s="208"/>
      <c r="P194" s="208"/>
      <c r="Q194" s="208"/>
      <c r="R194" s="208"/>
      <c r="S194" s="208"/>
      <c r="T194" s="208"/>
      <c r="U194" s="208"/>
      <c r="V194" s="208"/>
      <c r="W194" s="232"/>
      <c r="X194" s="232"/>
      <c r="Y194" s="232"/>
      <c r="Z194" s="232"/>
      <c r="AA194" s="232"/>
      <c r="AB194" s="232"/>
      <c r="AC194" s="232"/>
      <c r="AD194" s="232"/>
      <c r="AE194" s="232"/>
      <c r="AF194" s="232"/>
      <c r="AG194" s="208"/>
      <c r="AH194" s="208"/>
      <c r="AI194" s="208"/>
      <c r="AJ194" s="208"/>
      <c r="AK194" s="208"/>
    </row>
    <row r="195">
      <c r="A195" s="234"/>
      <c r="B195" s="208"/>
      <c r="C195" s="208"/>
      <c r="D195" s="208"/>
      <c r="E195" s="208"/>
      <c r="F195" s="208"/>
      <c r="G195" s="208"/>
      <c r="H195" s="208"/>
      <c r="I195" s="233"/>
      <c r="J195" s="208"/>
      <c r="K195" s="208"/>
      <c r="L195" s="208"/>
      <c r="M195" s="208"/>
      <c r="N195" s="208"/>
      <c r="O195" s="208"/>
      <c r="P195" s="208"/>
      <c r="Q195" s="208"/>
      <c r="R195" s="208"/>
      <c r="S195" s="208"/>
      <c r="T195" s="208"/>
      <c r="U195" s="208"/>
      <c r="V195" s="208"/>
      <c r="W195" s="232"/>
      <c r="X195" s="232"/>
      <c r="Y195" s="232"/>
      <c r="Z195" s="232"/>
      <c r="AA195" s="232"/>
      <c r="AB195" s="232"/>
      <c r="AC195" s="232"/>
      <c r="AD195" s="232"/>
      <c r="AE195" s="232"/>
      <c r="AF195" s="232"/>
      <c r="AG195" s="208"/>
      <c r="AH195" s="208"/>
      <c r="AI195" s="208"/>
      <c r="AJ195" s="208"/>
      <c r="AK195" s="208"/>
    </row>
    <row r="196">
      <c r="A196" s="234"/>
      <c r="B196" s="208"/>
      <c r="C196" s="208"/>
      <c r="D196" s="208"/>
      <c r="E196" s="208"/>
      <c r="F196" s="208"/>
      <c r="G196" s="208"/>
      <c r="H196" s="208"/>
      <c r="I196" s="233"/>
      <c r="J196" s="208"/>
      <c r="K196" s="208"/>
      <c r="L196" s="208"/>
      <c r="M196" s="208"/>
      <c r="N196" s="208"/>
      <c r="O196" s="208"/>
      <c r="P196" s="208"/>
      <c r="Q196" s="208"/>
      <c r="R196" s="208"/>
      <c r="S196" s="208"/>
      <c r="T196" s="208"/>
      <c r="U196" s="208"/>
      <c r="V196" s="208"/>
      <c r="W196" s="232"/>
      <c r="X196" s="232"/>
      <c r="Y196" s="232"/>
      <c r="Z196" s="232"/>
      <c r="AA196" s="232"/>
      <c r="AB196" s="232"/>
      <c r="AC196" s="232"/>
      <c r="AD196" s="232"/>
      <c r="AE196" s="232"/>
      <c r="AF196" s="232"/>
      <c r="AG196" s="208"/>
      <c r="AH196" s="208"/>
      <c r="AI196" s="208"/>
      <c r="AJ196" s="208"/>
      <c r="AK196" s="208"/>
    </row>
    <row r="197">
      <c r="A197" s="234"/>
      <c r="B197" s="208"/>
      <c r="C197" s="208"/>
      <c r="D197" s="208"/>
      <c r="E197" s="208"/>
      <c r="F197" s="208"/>
      <c r="G197" s="208"/>
      <c r="H197" s="208"/>
      <c r="I197" s="233"/>
      <c r="J197" s="208"/>
      <c r="K197" s="208"/>
      <c r="L197" s="208"/>
      <c r="M197" s="208"/>
      <c r="N197" s="208"/>
      <c r="O197" s="208"/>
      <c r="P197" s="208"/>
      <c r="Q197" s="208"/>
      <c r="R197" s="208"/>
      <c r="S197" s="208"/>
      <c r="T197" s="208"/>
      <c r="U197" s="208"/>
      <c r="V197" s="208"/>
      <c r="W197" s="232"/>
      <c r="X197" s="232"/>
      <c r="Y197" s="232"/>
      <c r="Z197" s="232"/>
      <c r="AA197" s="232"/>
      <c r="AB197" s="232"/>
      <c r="AC197" s="232"/>
      <c r="AD197" s="232"/>
      <c r="AE197" s="232"/>
      <c r="AF197" s="232"/>
      <c r="AG197" s="208"/>
      <c r="AH197" s="208"/>
      <c r="AI197" s="208"/>
      <c r="AJ197" s="208"/>
      <c r="AK197" s="208"/>
    </row>
    <row r="198">
      <c r="A198" s="234"/>
      <c r="B198" s="208"/>
      <c r="C198" s="208"/>
      <c r="D198" s="208"/>
      <c r="E198" s="208"/>
      <c r="F198" s="208"/>
      <c r="G198" s="208"/>
      <c r="H198" s="208"/>
      <c r="I198" s="233"/>
      <c r="J198" s="208"/>
      <c r="K198" s="208"/>
      <c r="L198" s="208"/>
      <c r="M198" s="208"/>
      <c r="N198" s="208"/>
      <c r="O198" s="208"/>
      <c r="P198" s="208"/>
      <c r="Q198" s="208"/>
      <c r="R198" s="208"/>
      <c r="S198" s="208"/>
      <c r="T198" s="208"/>
      <c r="U198" s="208"/>
      <c r="V198" s="208"/>
      <c r="W198" s="232"/>
      <c r="X198" s="232"/>
      <c r="Y198" s="232"/>
      <c r="Z198" s="232"/>
      <c r="AA198" s="232"/>
      <c r="AB198" s="232"/>
      <c r="AC198" s="232"/>
      <c r="AD198" s="232"/>
      <c r="AE198" s="232"/>
      <c r="AF198" s="232"/>
      <c r="AG198" s="208"/>
      <c r="AH198" s="208"/>
      <c r="AI198" s="208"/>
      <c r="AJ198" s="208"/>
      <c r="AK198" s="208"/>
    </row>
    <row r="199">
      <c r="A199" s="234"/>
      <c r="B199" s="208"/>
      <c r="C199" s="208"/>
      <c r="D199" s="208"/>
      <c r="E199" s="208"/>
      <c r="F199" s="208"/>
      <c r="G199" s="208"/>
      <c r="H199" s="208"/>
      <c r="I199" s="233"/>
      <c r="J199" s="208"/>
      <c r="K199" s="208"/>
      <c r="L199" s="208"/>
      <c r="M199" s="208"/>
      <c r="N199" s="208"/>
      <c r="O199" s="208"/>
      <c r="P199" s="208"/>
      <c r="Q199" s="208"/>
      <c r="R199" s="208"/>
      <c r="S199" s="208"/>
      <c r="T199" s="208"/>
      <c r="U199" s="208"/>
      <c r="V199" s="208"/>
      <c r="W199" s="232"/>
      <c r="X199" s="232"/>
      <c r="Y199" s="232"/>
      <c r="Z199" s="232"/>
      <c r="AA199" s="232"/>
      <c r="AB199" s="232"/>
      <c r="AC199" s="232"/>
      <c r="AD199" s="232"/>
      <c r="AE199" s="232"/>
      <c r="AF199" s="232"/>
      <c r="AG199" s="208"/>
      <c r="AH199" s="208"/>
      <c r="AI199" s="208"/>
      <c r="AJ199" s="208"/>
      <c r="AK199" s="208"/>
    </row>
    <row r="200">
      <c r="A200" s="234"/>
      <c r="B200" s="208"/>
      <c r="C200" s="208"/>
      <c r="D200" s="208"/>
      <c r="E200" s="208"/>
      <c r="F200" s="208"/>
      <c r="G200" s="208"/>
      <c r="H200" s="208"/>
      <c r="I200" s="233"/>
      <c r="J200" s="208"/>
      <c r="K200" s="208"/>
      <c r="L200" s="208"/>
      <c r="M200" s="208"/>
      <c r="N200" s="208"/>
      <c r="O200" s="208"/>
      <c r="P200" s="208"/>
      <c r="Q200" s="208"/>
      <c r="R200" s="208"/>
      <c r="S200" s="208"/>
      <c r="T200" s="208"/>
      <c r="U200" s="208"/>
      <c r="V200" s="208"/>
      <c r="W200" s="232"/>
      <c r="X200" s="232"/>
      <c r="Y200" s="232"/>
      <c r="Z200" s="232"/>
      <c r="AA200" s="232"/>
      <c r="AB200" s="232"/>
      <c r="AC200" s="232"/>
      <c r="AD200" s="232"/>
      <c r="AE200" s="232"/>
      <c r="AF200" s="232"/>
      <c r="AG200" s="208"/>
      <c r="AH200" s="208"/>
      <c r="AI200" s="208"/>
      <c r="AJ200" s="208"/>
      <c r="AK200" s="208"/>
    </row>
    <row r="201">
      <c r="A201" s="234"/>
      <c r="B201" s="208"/>
      <c r="C201" s="208"/>
      <c r="D201" s="208"/>
      <c r="E201" s="208"/>
      <c r="F201" s="208"/>
      <c r="G201" s="208"/>
      <c r="H201" s="208"/>
      <c r="I201" s="233"/>
      <c r="J201" s="208"/>
      <c r="K201" s="208"/>
      <c r="L201" s="208"/>
      <c r="M201" s="208"/>
      <c r="N201" s="208"/>
      <c r="O201" s="208"/>
      <c r="P201" s="208"/>
      <c r="Q201" s="208"/>
      <c r="R201" s="208"/>
      <c r="S201" s="208"/>
      <c r="T201" s="208"/>
      <c r="U201" s="208"/>
      <c r="V201" s="208"/>
      <c r="W201" s="232"/>
      <c r="X201" s="232"/>
      <c r="Y201" s="232"/>
      <c r="Z201" s="232"/>
      <c r="AA201" s="232"/>
      <c r="AB201" s="232"/>
      <c r="AC201" s="232"/>
      <c r="AD201" s="232"/>
      <c r="AE201" s="232"/>
      <c r="AF201" s="232"/>
      <c r="AG201" s="208"/>
      <c r="AH201" s="208"/>
      <c r="AI201" s="208"/>
      <c r="AJ201" s="208"/>
      <c r="AK201" s="208"/>
    </row>
    <row r="202">
      <c r="A202" s="234"/>
      <c r="B202" s="208"/>
      <c r="C202" s="208"/>
      <c r="D202" s="208"/>
      <c r="E202" s="208"/>
      <c r="F202" s="208"/>
      <c r="G202" s="208"/>
      <c r="H202" s="208"/>
      <c r="I202" s="233"/>
      <c r="J202" s="208"/>
      <c r="K202" s="208"/>
      <c r="L202" s="208"/>
      <c r="M202" s="208"/>
      <c r="N202" s="208"/>
      <c r="O202" s="208"/>
      <c r="P202" s="208"/>
      <c r="Q202" s="208"/>
      <c r="R202" s="208"/>
      <c r="S202" s="208"/>
      <c r="T202" s="208"/>
      <c r="U202" s="208"/>
      <c r="V202" s="208"/>
      <c r="W202" s="232"/>
      <c r="X202" s="232"/>
      <c r="Y202" s="232"/>
      <c r="Z202" s="232"/>
      <c r="AA202" s="232"/>
      <c r="AB202" s="232"/>
      <c r="AC202" s="232"/>
      <c r="AD202" s="232"/>
      <c r="AE202" s="232"/>
      <c r="AF202" s="232"/>
      <c r="AG202" s="208"/>
      <c r="AH202" s="208"/>
      <c r="AI202" s="208"/>
      <c r="AJ202" s="208"/>
      <c r="AK202" s="208"/>
    </row>
    <row r="203">
      <c r="A203" s="234"/>
      <c r="B203" s="208"/>
      <c r="C203" s="208"/>
      <c r="D203" s="208"/>
      <c r="E203" s="208"/>
      <c r="F203" s="208"/>
      <c r="G203" s="208"/>
      <c r="H203" s="208"/>
      <c r="I203" s="233"/>
      <c r="J203" s="208"/>
      <c r="K203" s="208"/>
      <c r="L203" s="208"/>
      <c r="M203" s="208"/>
      <c r="N203" s="208"/>
      <c r="O203" s="208"/>
      <c r="P203" s="208"/>
      <c r="Q203" s="208"/>
      <c r="R203" s="208"/>
      <c r="S203" s="208"/>
      <c r="T203" s="208"/>
      <c r="U203" s="208"/>
      <c r="V203" s="208"/>
      <c r="W203" s="232"/>
      <c r="X203" s="232"/>
      <c r="Y203" s="232"/>
      <c r="Z203" s="232"/>
      <c r="AA203" s="232"/>
      <c r="AB203" s="232"/>
      <c r="AC203" s="232"/>
      <c r="AD203" s="232"/>
      <c r="AE203" s="232"/>
      <c r="AF203" s="232"/>
      <c r="AG203" s="208"/>
      <c r="AH203" s="208"/>
      <c r="AI203" s="208"/>
      <c r="AJ203" s="208"/>
      <c r="AK203" s="208"/>
    </row>
    <row r="204">
      <c r="A204" s="234"/>
      <c r="B204" s="208"/>
      <c r="C204" s="208"/>
      <c r="D204" s="208"/>
      <c r="E204" s="208"/>
      <c r="F204" s="208"/>
      <c r="G204" s="208"/>
      <c r="H204" s="208"/>
      <c r="I204" s="233"/>
      <c r="J204" s="208"/>
      <c r="K204" s="208"/>
      <c r="L204" s="208"/>
      <c r="M204" s="208"/>
      <c r="N204" s="208"/>
      <c r="O204" s="208"/>
      <c r="P204" s="208"/>
      <c r="Q204" s="208"/>
      <c r="R204" s="208"/>
      <c r="S204" s="208"/>
      <c r="T204" s="208"/>
      <c r="U204" s="208"/>
      <c r="V204" s="208"/>
      <c r="W204" s="232"/>
      <c r="X204" s="232"/>
      <c r="Y204" s="232"/>
      <c r="Z204" s="232"/>
      <c r="AA204" s="232"/>
      <c r="AB204" s="232"/>
      <c r="AC204" s="232"/>
      <c r="AD204" s="232"/>
      <c r="AE204" s="232"/>
      <c r="AF204" s="232"/>
      <c r="AG204" s="208"/>
      <c r="AH204" s="208"/>
      <c r="AI204" s="208"/>
      <c r="AJ204" s="208"/>
      <c r="AK204" s="208"/>
    </row>
    <row r="205">
      <c r="A205" s="234"/>
      <c r="B205" s="208"/>
      <c r="C205" s="208"/>
      <c r="D205" s="208"/>
      <c r="E205" s="208"/>
      <c r="F205" s="208"/>
      <c r="G205" s="208"/>
      <c r="H205" s="208"/>
      <c r="I205" s="233"/>
      <c r="J205" s="208"/>
      <c r="K205" s="208"/>
      <c r="L205" s="208"/>
      <c r="M205" s="208"/>
      <c r="N205" s="208"/>
      <c r="O205" s="208"/>
      <c r="P205" s="208"/>
      <c r="Q205" s="208"/>
      <c r="R205" s="208"/>
      <c r="S205" s="208"/>
      <c r="T205" s="208"/>
      <c r="U205" s="208"/>
      <c r="V205" s="208"/>
      <c r="W205" s="232"/>
      <c r="X205" s="232"/>
      <c r="Y205" s="232"/>
      <c r="Z205" s="232"/>
      <c r="AA205" s="232"/>
      <c r="AB205" s="232"/>
      <c r="AC205" s="232"/>
      <c r="AD205" s="232"/>
      <c r="AE205" s="232"/>
      <c r="AF205" s="232"/>
      <c r="AG205" s="208"/>
      <c r="AH205" s="208"/>
      <c r="AI205" s="208"/>
      <c r="AJ205" s="208"/>
      <c r="AK205" s="208"/>
    </row>
    <row r="206">
      <c r="A206" s="234"/>
      <c r="B206" s="208"/>
      <c r="C206" s="208"/>
      <c r="D206" s="208"/>
      <c r="E206" s="208"/>
      <c r="F206" s="208"/>
      <c r="G206" s="208"/>
      <c r="H206" s="208"/>
      <c r="I206" s="233"/>
      <c r="J206" s="208"/>
      <c r="K206" s="208"/>
      <c r="L206" s="208"/>
      <c r="M206" s="208"/>
      <c r="N206" s="208"/>
      <c r="O206" s="208"/>
      <c r="P206" s="208"/>
      <c r="Q206" s="208"/>
      <c r="R206" s="208"/>
      <c r="S206" s="208"/>
      <c r="T206" s="208"/>
      <c r="U206" s="208"/>
      <c r="V206" s="208"/>
      <c r="W206" s="232"/>
      <c r="X206" s="232"/>
      <c r="Y206" s="232"/>
      <c r="Z206" s="232"/>
      <c r="AA206" s="232"/>
      <c r="AB206" s="232"/>
      <c r="AC206" s="232"/>
      <c r="AD206" s="232"/>
      <c r="AE206" s="232"/>
      <c r="AF206" s="232"/>
      <c r="AG206" s="208"/>
      <c r="AH206" s="208"/>
      <c r="AI206" s="208"/>
      <c r="AJ206" s="208"/>
      <c r="AK206" s="208"/>
    </row>
    <row r="207">
      <c r="A207" s="234"/>
      <c r="B207" s="208"/>
      <c r="C207" s="208"/>
      <c r="D207" s="208"/>
      <c r="E207" s="208"/>
      <c r="F207" s="208"/>
      <c r="G207" s="208"/>
      <c r="H207" s="208"/>
      <c r="I207" s="233"/>
      <c r="J207" s="208"/>
      <c r="K207" s="208"/>
      <c r="L207" s="208"/>
      <c r="M207" s="208"/>
      <c r="N207" s="208"/>
      <c r="O207" s="208"/>
      <c r="P207" s="208"/>
      <c r="Q207" s="208"/>
      <c r="R207" s="208"/>
      <c r="S207" s="208"/>
      <c r="T207" s="208"/>
      <c r="U207" s="208"/>
      <c r="V207" s="208"/>
      <c r="W207" s="232"/>
      <c r="X207" s="232"/>
      <c r="Y207" s="232"/>
      <c r="Z207" s="232"/>
      <c r="AA207" s="232"/>
      <c r="AB207" s="232"/>
      <c r="AC207" s="232"/>
      <c r="AD207" s="232"/>
      <c r="AE207" s="232"/>
      <c r="AF207" s="232"/>
      <c r="AG207" s="208"/>
      <c r="AH207" s="208"/>
      <c r="AI207" s="208"/>
      <c r="AJ207" s="208"/>
      <c r="AK207" s="208"/>
    </row>
    <row r="208">
      <c r="A208" s="234"/>
      <c r="B208" s="208"/>
      <c r="C208" s="208"/>
      <c r="D208" s="208"/>
      <c r="E208" s="208"/>
      <c r="F208" s="208"/>
      <c r="G208" s="208"/>
      <c r="H208" s="208"/>
      <c r="I208" s="233"/>
      <c r="J208" s="208"/>
      <c r="K208" s="208"/>
      <c r="L208" s="208"/>
      <c r="M208" s="208"/>
      <c r="N208" s="208"/>
      <c r="O208" s="208"/>
      <c r="P208" s="208"/>
      <c r="Q208" s="208"/>
      <c r="R208" s="208"/>
      <c r="S208" s="208"/>
      <c r="T208" s="208"/>
      <c r="U208" s="208"/>
      <c r="V208" s="208"/>
      <c r="W208" s="232"/>
      <c r="X208" s="232"/>
      <c r="Y208" s="232"/>
      <c r="Z208" s="232"/>
      <c r="AA208" s="232"/>
      <c r="AB208" s="232"/>
      <c r="AC208" s="232"/>
      <c r="AD208" s="232"/>
      <c r="AE208" s="232"/>
      <c r="AF208" s="232"/>
      <c r="AG208" s="208"/>
      <c r="AH208" s="208"/>
      <c r="AI208" s="208"/>
      <c r="AJ208" s="208"/>
      <c r="AK208" s="208"/>
    </row>
    <row r="209">
      <c r="A209" s="234"/>
      <c r="B209" s="208"/>
      <c r="C209" s="208"/>
      <c r="D209" s="208"/>
      <c r="E209" s="208"/>
      <c r="F209" s="208"/>
      <c r="G209" s="208"/>
      <c r="H209" s="208"/>
      <c r="I209" s="233"/>
      <c r="J209" s="208"/>
      <c r="K209" s="208"/>
      <c r="L209" s="208"/>
      <c r="M209" s="208"/>
      <c r="N209" s="208"/>
      <c r="O209" s="208"/>
      <c r="P209" s="208"/>
      <c r="Q209" s="208"/>
      <c r="R209" s="208"/>
      <c r="S209" s="208"/>
      <c r="T209" s="208"/>
      <c r="U209" s="208"/>
      <c r="V209" s="208"/>
      <c r="W209" s="232"/>
      <c r="X209" s="232"/>
      <c r="Y209" s="232"/>
      <c r="Z209" s="232"/>
      <c r="AA209" s="232"/>
      <c r="AB209" s="232"/>
      <c r="AC209" s="232"/>
      <c r="AD209" s="232"/>
      <c r="AE209" s="232"/>
      <c r="AF209" s="232"/>
      <c r="AG209" s="208"/>
      <c r="AH209" s="208"/>
      <c r="AI209" s="208"/>
      <c r="AJ209" s="208"/>
      <c r="AK209" s="208"/>
    </row>
    <row r="210">
      <c r="A210" s="234"/>
      <c r="B210" s="208"/>
      <c r="C210" s="208"/>
      <c r="D210" s="208"/>
      <c r="E210" s="208"/>
      <c r="F210" s="208"/>
      <c r="G210" s="208"/>
      <c r="H210" s="208"/>
      <c r="I210" s="233"/>
      <c r="J210" s="208"/>
      <c r="K210" s="208"/>
      <c r="L210" s="208"/>
      <c r="M210" s="208"/>
      <c r="N210" s="208"/>
      <c r="O210" s="208"/>
      <c r="P210" s="208"/>
      <c r="Q210" s="208"/>
      <c r="R210" s="208"/>
      <c r="S210" s="208"/>
      <c r="T210" s="208"/>
      <c r="U210" s="208"/>
      <c r="V210" s="208"/>
      <c r="W210" s="232"/>
      <c r="X210" s="232"/>
      <c r="Y210" s="232"/>
      <c r="Z210" s="232"/>
      <c r="AA210" s="232"/>
      <c r="AB210" s="232"/>
      <c r="AC210" s="232"/>
      <c r="AD210" s="232"/>
      <c r="AE210" s="232"/>
      <c r="AF210" s="232"/>
      <c r="AG210" s="208"/>
      <c r="AH210" s="208"/>
      <c r="AI210" s="208"/>
      <c r="AJ210" s="208"/>
      <c r="AK210" s="208"/>
    </row>
    <row r="211">
      <c r="A211" s="234"/>
      <c r="B211" s="208"/>
      <c r="C211" s="208"/>
      <c r="D211" s="208"/>
      <c r="E211" s="208"/>
      <c r="F211" s="208"/>
      <c r="G211" s="208"/>
      <c r="H211" s="208"/>
      <c r="I211" s="233"/>
      <c r="J211" s="208"/>
      <c r="K211" s="208"/>
      <c r="L211" s="208"/>
      <c r="M211" s="208"/>
      <c r="N211" s="208"/>
      <c r="O211" s="208"/>
      <c r="P211" s="208"/>
      <c r="Q211" s="208"/>
      <c r="R211" s="208"/>
      <c r="S211" s="208"/>
      <c r="T211" s="208"/>
      <c r="U211" s="208"/>
      <c r="V211" s="208"/>
      <c r="W211" s="232"/>
      <c r="X211" s="232"/>
      <c r="Y211" s="232"/>
      <c r="Z211" s="232"/>
      <c r="AA211" s="232"/>
      <c r="AB211" s="232"/>
      <c r="AC211" s="232"/>
      <c r="AD211" s="232"/>
      <c r="AE211" s="232"/>
      <c r="AF211" s="232"/>
      <c r="AG211" s="208"/>
      <c r="AH211" s="208"/>
      <c r="AI211" s="208"/>
      <c r="AJ211" s="208"/>
      <c r="AK211" s="208"/>
    </row>
    <row r="212">
      <c r="A212" s="234"/>
      <c r="B212" s="208"/>
      <c r="C212" s="208"/>
      <c r="D212" s="208"/>
      <c r="E212" s="208"/>
      <c r="F212" s="208"/>
      <c r="G212" s="208"/>
      <c r="H212" s="208"/>
      <c r="I212" s="233"/>
      <c r="J212" s="208"/>
      <c r="K212" s="208"/>
      <c r="L212" s="208"/>
      <c r="M212" s="208"/>
      <c r="N212" s="208"/>
      <c r="O212" s="208"/>
      <c r="P212" s="208"/>
      <c r="Q212" s="208"/>
      <c r="R212" s="208"/>
      <c r="S212" s="208"/>
      <c r="T212" s="208"/>
      <c r="U212" s="208"/>
      <c r="V212" s="208"/>
      <c r="W212" s="232"/>
      <c r="X212" s="232"/>
      <c r="Y212" s="232"/>
      <c r="Z212" s="232"/>
      <c r="AA212" s="232"/>
      <c r="AB212" s="232"/>
      <c r="AC212" s="232"/>
      <c r="AD212" s="232"/>
      <c r="AE212" s="232"/>
      <c r="AF212" s="232"/>
      <c r="AG212" s="208"/>
      <c r="AH212" s="208"/>
      <c r="AI212" s="208"/>
      <c r="AJ212" s="208"/>
      <c r="AK212" s="208"/>
    </row>
    <row r="213">
      <c r="A213" s="234"/>
      <c r="B213" s="208"/>
      <c r="C213" s="208"/>
      <c r="D213" s="208"/>
      <c r="E213" s="208"/>
      <c r="F213" s="208"/>
      <c r="G213" s="208"/>
      <c r="H213" s="208"/>
      <c r="I213" s="233"/>
      <c r="J213" s="208"/>
      <c r="K213" s="208"/>
      <c r="L213" s="208"/>
      <c r="M213" s="208"/>
      <c r="N213" s="208"/>
      <c r="O213" s="208"/>
      <c r="P213" s="208"/>
      <c r="Q213" s="208"/>
      <c r="R213" s="208"/>
      <c r="S213" s="208"/>
      <c r="T213" s="208"/>
      <c r="U213" s="208"/>
      <c r="V213" s="208"/>
      <c r="W213" s="232"/>
      <c r="X213" s="232"/>
      <c r="Y213" s="232"/>
      <c r="Z213" s="232"/>
      <c r="AA213" s="232"/>
      <c r="AB213" s="232"/>
      <c r="AC213" s="232"/>
      <c r="AD213" s="232"/>
      <c r="AE213" s="232"/>
      <c r="AF213" s="232"/>
      <c r="AG213" s="208"/>
      <c r="AH213" s="208"/>
      <c r="AI213" s="208"/>
      <c r="AJ213" s="208"/>
      <c r="AK213" s="208"/>
    </row>
    <row r="214">
      <c r="A214" s="234"/>
      <c r="B214" s="208"/>
      <c r="C214" s="208"/>
      <c r="D214" s="208"/>
      <c r="E214" s="208"/>
      <c r="F214" s="208"/>
      <c r="G214" s="208"/>
      <c r="H214" s="208"/>
      <c r="I214" s="233"/>
      <c r="J214" s="208"/>
      <c r="K214" s="208"/>
      <c r="L214" s="208"/>
      <c r="M214" s="208"/>
      <c r="N214" s="208"/>
      <c r="O214" s="208"/>
      <c r="P214" s="208"/>
      <c r="Q214" s="208"/>
      <c r="R214" s="208"/>
      <c r="S214" s="208"/>
      <c r="T214" s="208"/>
      <c r="U214" s="208"/>
      <c r="V214" s="208"/>
      <c r="W214" s="232"/>
      <c r="X214" s="232"/>
      <c r="Y214" s="232"/>
      <c r="Z214" s="232"/>
      <c r="AA214" s="232"/>
      <c r="AB214" s="232"/>
      <c r="AC214" s="232"/>
      <c r="AD214" s="232"/>
      <c r="AE214" s="232"/>
      <c r="AF214" s="232"/>
      <c r="AG214" s="208"/>
      <c r="AH214" s="208"/>
      <c r="AI214" s="208"/>
      <c r="AJ214" s="208"/>
      <c r="AK214" s="208"/>
    </row>
    <row r="215">
      <c r="A215" s="234"/>
      <c r="B215" s="208"/>
      <c r="C215" s="208"/>
      <c r="D215" s="208"/>
      <c r="E215" s="208"/>
      <c r="F215" s="208"/>
      <c r="G215" s="208"/>
      <c r="H215" s="208"/>
      <c r="I215" s="233"/>
      <c r="J215" s="208"/>
      <c r="K215" s="208"/>
      <c r="L215" s="208"/>
      <c r="M215" s="208"/>
      <c r="N215" s="208"/>
      <c r="O215" s="208"/>
      <c r="P215" s="208"/>
      <c r="Q215" s="208"/>
      <c r="R215" s="208"/>
      <c r="S215" s="208"/>
      <c r="T215" s="208"/>
      <c r="U215" s="208"/>
      <c r="V215" s="208"/>
      <c r="W215" s="232"/>
      <c r="X215" s="232"/>
      <c r="Y215" s="232"/>
      <c r="Z215" s="232"/>
      <c r="AA215" s="232"/>
      <c r="AB215" s="232"/>
      <c r="AC215" s="232"/>
      <c r="AD215" s="232"/>
      <c r="AE215" s="232"/>
      <c r="AF215" s="232"/>
      <c r="AG215" s="208"/>
      <c r="AH215" s="208"/>
      <c r="AI215" s="208"/>
      <c r="AJ215" s="208"/>
      <c r="AK215" s="208"/>
    </row>
    <row r="216">
      <c r="A216" s="234"/>
      <c r="B216" s="208"/>
      <c r="C216" s="208"/>
      <c r="D216" s="208"/>
      <c r="E216" s="208"/>
      <c r="F216" s="208"/>
      <c r="G216" s="208"/>
      <c r="H216" s="208"/>
      <c r="I216" s="233"/>
      <c r="J216" s="208"/>
      <c r="K216" s="208"/>
      <c r="L216" s="208"/>
      <c r="M216" s="208"/>
      <c r="N216" s="208"/>
      <c r="O216" s="208"/>
      <c r="P216" s="208"/>
      <c r="Q216" s="208"/>
      <c r="R216" s="208"/>
      <c r="S216" s="208"/>
      <c r="T216" s="208"/>
      <c r="U216" s="208"/>
      <c r="V216" s="208"/>
      <c r="W216" s="232"/>
      <c r="X216" s="232"/>
      <c r="Y216" s="232"/>
      <c r="Z216" s="232"/>
      <c r="AA216" s="232"/>
      <c r="AB216" s="232"/>
      <c r="AC216" s="232"/>
      <c r="AD216" s="232"/>
      <c r="AE216" s="232"/>
      <c r="AF216" s="232"/>
      <c r="AG216" s="208"/>
      <c r="AH216" s="208"/>
      <c r="AI216" s="208"/>
      <c r="AJ216" s="208"/>
      <c r="AK216" s="208"/>
    </row>
    <row r="217">
      <c r="A217" s="234"/>
      <c r="B217" s="208"/>
      <c r="C217" s="208"/>
      <c r="D217" s="208"/>
      <c r="E217" s="208"/>
      <c r="F217" s="208"/>
      <c r="G217" s="208"/>
      <c r="H217" s="208"/>
      <c r="I217" s="233"/>
      <c r="J217" s="208"/>
      <c r="K217" s="208"/>
      <c r="L217" s="208"/>
      <c r="M217" s="208"/>
      <c r="N217" s="208"/>
      <c r="O217" s="208"/>
      <c r="P217" s="208"/>
      <c r="Q217" s="208"/>
      <c r="R217" s="208"/>
      <c r="S217" s="208"/>
      <c r="T217" s="208"/>
      <c r="U217" s="208"/>
      <c r="V217" s="208"/>
      <c r="W217" s="232"/>
      <c r="X217" s="232"/>
      <c r="Y217" s="232"/>
      <c r="Z217" s="232"/>
      <c r="AA217" s="232"/>
      <c r="AB217" s="232"/>
      <c r="AC217" s="232"/>
      <c r="AD217" s="232"/>
      <c r="AE217" s="232"/>
      <c r="AF217" s="232"/>
      <c r="AG217" s="208"/>
      <c r="AH217" s="208"/>
      <c r="AI217" s="208"/>
      <c r="AJ217" s="208"/>
      <c r="AK217" s="208"/>
    </row>
    <row r="218">
      <c r="A218" s="234"/>
      <c r="B218" s="208"/>
      <c r="C218" s="208"/>
      <c r="D218" s="208"/>
      <c r="E218" s="208"/>
      <c r="F218" s="208"/>
      <c r="G218" s="208"/>
      <c r="H218" s="208"/>
      <c r="I218" s="233"/>
      <c r="J218" s="208"/>
      <c r="K218" s="208"/>
      <c r="L218" s="208"/>
      <c r="M218" s="208"/>
      <c r="N218" s="208"/>
      <c r="O218" s="208"/>
      <c r="P218" s="208"/>
      <c r="Q218" s="208"/>
      <c r="R218" s="208"/>
      <c r="S218" s="208"/>
      <c r="T218" s="208"/>
      <c r="U218" s="208"/>
      <c r="V218" s="208"/>
      <c r="W218" s="232"/>
      <c r="X218" s="232"/>
      <c r="Y218" s="232"/>
      <c r="Z218" s="232"/>
      <c r="AA218" s="232"/>
      <c r="AB218" s="232"/>
      <c r="AC218" s="232"/>
      <c r="AD218" s="232"/>
      <c r="AE218" s="232"/>
      <c r="AF218" s="232"/>
      <c r="AG218" s="208"/>
      <c r="AH218" s="208"/>
      <c r="AI218" s="208"/>
      <c r="AJ218" s="208"/>
      <c r="AK218" s="208"/>
    </row>
    <row r="219">
      <c r="A219" s="234"/>
      <c r="B219" s="208"/>
      <c r="C219" s="208"/>
      <c r="D219" s="208"/>
      <c r="E219" s="208"/>
      <c r="F219" s="208"/>
      <c r="G219" s="208"/>
      <c r="H219" s="208"/>
      <c r="I219" s="233"/>
      <c r="J219" s="208"/>
      <c r="K219" s="208"/>
      <c r="L219" s="208"/>
      <c r="M219" s="208"/>
      <c r="N219" s="208"/>
      <c r="O219" s="208"/>
      <c r="P219" s="208"/>
      <c r="Q219" s="208"/>
      <c r="R219" s="208"/>
      <c r="S219" s="208"/>
      <c r="T219" s="208"/>
      <c r="U219" s="208"/>
      <c r="V219" s="208"/>
      <c r="W219" s="232"/>
      <c r="X219" s="232"/>
      <c r="Y219" s="232"/>
      <c r="Z219" s="232"/>
      <c r="AA219" s="232"/>
      <c r="AB219" s="232"/>
      <c r="AC219" s="232"/>
      <c r="AD219" s="232"/>
      <c r="AE219" s="232"/>
      <c r="AF219" s="232"/>
      <c r="AG219" s="208"/>
      <c r="AH219" s="208"/>
      <c r="AI219" s="208"/>
      <c r="AJ219" s="208"/>
      <c r="AK219" s="208"/>
    </row>
    <row r="220">
      <c r="A220" s="234"/>
      <c r="B220" s="208"/>
      <c r="C220" s="208"/>
      <c r="D220" s="208"/>
      <c r="E220" s="208"/>
      <c r="F220" s="208"/>
      <c r="G220" s="208"/>
      <c r="H220" s="208"/>
      <c r="I220" s="233"/>
      <c r="J220" s="208"/>
      <c r="K220" s="208"/>
      <c r="L220" s="208"/>
      <c r="M220" s="208"/>
      <c r="N220" s="208"/>
      <c r="O220" s="208"/>
      <c r="P220" s="208"/>
      <c r="Q220" s="208"/>
      <c r="R220" s="208"/>
      <c r="S220" s="208"/>
      <c r="T220" s="208"/>
      <c r="U220" s="208"/>
      <c r="V220" s="208"/>
      <c r="W220" s="232"/>
      <c r="X220" s="232"/>
      <c r="Y220" s="232"/>
      <c r="Z220" s="232"/>
      <c r="AA220" s="232"/>
      <c r="AB220" s="232"/>
      <c r="AC220" s="232"/>
      <c r="AD220" s="232"/>
      <c r="AE220" s="232"/>
      <c r="AF220" s="232"/>
      <c r="AG220" s="208"/>
      <c r="AH220" s="208"/>
      <c r="AI220" s="208"/>
      <c r="AJ220" s="208"/>
      <c r="AK220" s="208"/>
    </row>
    <row r="221">
      <c r="A221" s="234"/>
      <c r="B221" s="208"/>
      <c r="C221" s="208"/>
      <c r="D221" s="208"/>
      <c r="E221" s="208"/>
      <c r="F221" s="208"/>
      <c r="G221" s="208"/>
      <c r="H221" s="208"/>
      <c r="I221" s="233"/>
      <c r="J221" s="208"/>
      <c r="K221" s="208"/>
      <c r="L221" s="208"/>
      <c r="M221" s="208"/>
      <c r="N221" s="208"/>
      <c r="O221" s="208"/>
      <c r="P221" s="208"/>
      <c r="Q221" s="208"/>
      <c r="R221" s="208"/>
      <c r="S221" s="208"/>
      <c r="T221" s="208"/>
      <c r="U221" s="208"/>
      <c r="V221" s="208"/>
      <c r="W221" s="232"/>
      <c r="X221" s="232"/>
      <c r="Y221" s="232"/>
      <c r="Z221" s="232"/>
      <c r="AA221" s="232"/>
      <c r="AB221" s="232"/>
      <c r="AC221" s="232"/>
      <c r="AD221" s="232"/>
      <c r="AE221" s="232"/>
      <c r="AF221" s="232"/>
      <c r="AG221" s="208"/>
      <c r="AH221" s="208"/>
      <c r="AI221" s="208"/>
      <c r="AJ221" s="208"/>
      <c r="AK221" s="208"/>
    </row>
    <row r="222">
      <c r="A222" s="234"/>
      <c r="B222" s="208"/>
      <c r="C222" s="208"/>
      <c r="D222" s="208"/>
      <c r="E222" s="208"/>
      <c r="F222" s="208"/>
      <c r="G222" s="208"/>
      <c r="H222" s="208"/>
      <c r="I222" s="233"/>
      <c r="J222" s="208"/>
      <c r="K222" s="208"/>
      <c r="L222" s="208"/>
      <c r="M222" s="208"/>
      <c r="N222" s="208"/>
      <c r="O222" s="208"/>
      <c r="P222" s="208"/>
      <c r="Q222" s="208"/>
      <c r="R222" s="208"/>
      <c r="S222" s="208"/>
      <c r="T222" s="208"/>
      <c r="U222" s="208"/>
      <c r="V222" s="208"/>
      <c r="W222" s="232"/>
      <c r="X222" s="232"/>
      <c r="Y222" s="232"/>
      <c r="Z222" s="232"/>
      <c r="AA222" s="232"/>
      <c r="AB222" s="232"/>
      <c r="AC222" s="232"/>
      <c r="AD222" s="232"/>
      <c r="AE222" s="232"/>
      <c r="AF222" s="232"/>
      <c r="AG222" s="208"/>
      <c r="AH222" s="208"/>
      <c r="AI222" s="208"/>
      <c r="AJ222" s="208"/>
      <c r="AK222" s="208"/>
    </row>
    <row r="223">
      <c r="A223" s="234"/>
      <c r="B223" s="208"/>
      <c r="C223" s="208"/>
      <c r="D223" s="208"/>
      <c r="E223" s="208"/>
      <c r="F223" s="208"/>
      <c r="G223" s="208"/>
      <c r="H223" s="208"/>
      <c r="I223" s="233"/>
      <c r="J223" s="208"/>
      <c r="K223" s="208"/>
      <c r="L223" s="208"/>
      <c r="M223" s="208"/>
      <c r="N223" s="208"/>
      <c r="O223" s="208"/>
      <c r="P223" s="208"/>
      <c r="Q223" s="208"/>
      <c r="R223" s="208"/>
      <c r="S223" s="208"/>
      <c r="T223" s="208"/>
      <c r="U223" s="208"/>
      <c r="V223" s="208"/>
      <c r="W223" s="232"/>
      <c r="X223" s="232"/>
      <c r="Y223" s="232"/>
      <c r="Z223" s="232"/>
      <c r="AA223" s="232"/>
      <c r="AB223" s="232"/>
      <c r="AC223" s="232"/>
      <c r="AD223" s="232"/>
      <c r="AE223" s="232"/>
      <c r="AF223" s="232"/>
      <c r="AG223" s="208"/>
      <c r="AH223" s="208"/>
      <c r="AI223" s="208"/>
      <c r="AJ223" s="208"/>
      <c r="AK223" s="208"/>
    </row>
    <row r="224">
      <c r="A224" s="234"/>
      <c r="B224" s="208"/>
      <c r="C224" s="208"/>
      <c r="D224" s="208"/>
      <c r="E224" s="208"/>
      <c r="F224" s="208"/>
      <c r="G224" s="208"/>
      <c r="H224" s="208"/>
      <c r="I224" s="233"/>
      <c r="J224" s="208"/>
      <c r="K224" s="208"/>
      <c r="L224" s="208"/>
      <c r="M224" s="208"/>
      <c r="N224" s="208"/>
      <c r="O224" s="208"/>
      <c r="P224" s="208"/>
      <c r="Q224" s="208"/>
      <c r="R224" s="208"/>
      <c r="S224" s="208"/>
      <c r="T224" s="208"/>
      <c r="U224" s="208"/>
      <c r="V224" s="208"/>
      <c r="W224" s="232"/>
      <c r="X224" s="232"/>
      <c r="Y224" s="232"/>
      <c r="Z224" s="232"/>
      <c r="AA224" s="232"/>
      <c r="AB224" s="232"/>
      <c r="AC224" s="232"/>
      <c r="AD224" s="232"/>
      <c r="AE224" s="232"/>
      <c r="AF224" s="232"/>
      <c r="AG224" s="208"/>
      <c r="AH224" s="208"/>
      <c r="AI224" s="208"/>
      <c r="AJ224" s="208"/>
      <c r="AK224" s="208"/>
    </row>
    <row r="225">
      <c r="A225" s="234"/>
      <c r="B225" s="208"/>
      <c r="C225" s="208"/>
      <c r="D225" s="208"/>
      <c r="E225" s="208"/>
      <c r="F225" s="208"/>
      <c r="G225" s="208"/>
      <c r="H225" s="208"/>
      <c r="I225" s="233"/>
      <c r="J225" s="208"/>
      <c r="K225" s="208"/>
      <c r="L225" s="208"/>
      <c r="M225" s="208"/>
      <c r="N225" s="208"/>
      <c r="O225" s="208"/>
      <c r="P225" s="208"/>
      <c r="Q225" s="208"/>
      <c r="R225" s="208"/>
      <c r="S225" s="208"/>
      <c r="T225" s="208"/>
      <c r="U225" s="208"/>
      <c r="V225" s="208"/>
      <c r="W225" s="232"/>
      <c r="X225" s="232"/>
      <c r="Y225" s="232"/>
      <c r="Z225" s="232"/>
      <c r="AA225" s="232"/>
      <c r="AB225" s="232"/>
      <c r="AC225" s="232"/>
      <c r="AD225" s="232"/>
      <c r="AE225" s="232"/>
      <c r="AF225" s="232"/>
      <c r="AG225" s="208"/>
      <c r="AH225" s="208"/>
      <c r="AI225" s="208"/>
      <c r="AJ225" s="208"/>
      <c r="AK225" s="208"/>
    </row>
    <row r="226">
      <c r="A226" s="234"/>
      <c r="B226" s="208"/>
      <c r="C226" s="208"/>
      <c r="D226" s="208"/>
      <c r="E226" s="208"/>
      <c r="F226" s="208"/>
      <c r="G226" s="208"/>
      <c r="H226" s="208"/>
      <c r="I226" s="233"/>
      <c r="J226" s="208"/>
      <c r="K226" s="208"/>
      <c r="L226" s="208"/>
      <c r="M226" s="208"/>
      <c r="N226" s="208"/>
      <c r="O226" s="208"/>
      <c r="P226" s="208"/>
      <c r="Q226" s="208"/>
      <c r="R226" s="208"/>
      <c r="S226" s="208"/>
      <c r="T226" s="208"/>
      <c r="U226" s="208"/>
      <c r="V226" s="208"/>
      <c r="W226" s="232"/>
      <c r="X226" s="232"/>
      <c r="Y226" s="232"/>
      <c r="Z226" s="232"/>
      <c r="AA226" s="232"/>
      <c r="AB226" s="232"/>
      <c r="AC226" s="232"/>
      <c r="AD226" s="232"/>
      <c r="AE226" s="232"/>
      <c r="AF226" s="232"/>
      <c r="AG226" s="208"/>
      <c r="AH226" s="208"/>
      <c r="AI226" s="208"/>
      <c r="AJ226" s="208"/>
      <c r="AK226" s="208"/>
    </row>
    <row r="227">
      <c r="A227" s="234"/>
      <c r="B227" s="208"/>
      <c r="C227" s="208"/>
      <c r="D227" s="208"/>
      <c r="E227" s="208"/>
      <c r="F227" s="208"/>
      <c r="G227" s="208"/>
      <c r="H227" s="208"/>
      <c r="I227" s="233"/>
      <c r="J227" s="208"/>
      <c r="K227" s="208"/>
      <c r="L227" s="208"/>
      <c r="M227" s="208"/>
      <c r="N227" s="208"/>
      <c r="O227" s="208"/>
      <c r="P227" s="208"/>
      <c r="Q227" s="208"/>
      <c r="R227" s="208"/>
      <c r="S227" s="208"/>
      <c r="T227" s="208"/>
      <c r="U227" s="208"/>
      <c r="V227" s="208"/>
      <c r="W227" s="232"/>
      <c r="X227" s="232"/>
      <c r="Y227" s="232"/>
      <c r="Z227" s="232"/>
      <c r="AA227" s="232"/>
      <c r="AB227" s="232"/>
      <c r="AC227" s="232"/>
      <c r="AD227" s="232"/>
      <c r="AE227" s="232"/>
      <c r="AF227" s="232"/>
      <c r="AG227" s="208"/>
      <c r="AH227" s="208"/>
      <c r="AI227" s="208"/>
      <c r="AJ227" s="208"/>
      <c r="AK227" s="208"/>
    </row>
    <row r="228">
      <c r="A228" s="234"/>
      <c r="B228" s="208"/>
      <c r="C228" s="208"/>
      <c r="D228" s="208"/>
      <c r="E228" s="208"/>
      <c r="F228" s="208"/>
      <c r="G228" s="208"/>
      <c r="H228" s="208"/>
      <c r="I228" s="233"/>
      <c r="J228" s="208"/>
      <c r="K228" s="208"/>
      <c r="L228" s="208"/>
      <c r="M228" s="208"/>
      <c r="N228" s="208"/>
      <c r="O228" s="208"/>
      <c r="P228" s="208"/>
      <c r="Q228" s="208"/>
      <c r="R228" s="208"/>
      <c r="S228" s="208"/>
      <c r="T228" s="208"/>
      <c r="U228" s="208"/>
      <c r="V228" s="208"/>
      <c r="W228" s="232"/>
      <c r="X228" s="232"/>
      <c r="Y228" s="232"/>
      <c r="Z228" s="232"/>
      <c r="AA228" s="232"/>
      <c r="AB228" s="232"/>
      <c r="AC228" s="232"/>
      <c r="AD228" s="232"/>
      <c r="AE228" s="232"/>
      <c r="AF228" s="232"/>
      <c r="AG228" s="208"/>
      <c r="AH228" s="208"/>
      <c r="AI228" s="208"/>
      <c r="AJ228" s="208"/>
      <c r="AK228" s="208"/>
    </row>
    <row r="229">
      <c r="A229" s="234"/>
      <c r="B229" s="208"/>
      <c r="C229" s="208"/>
      <c r="D229" s="208"/>
      <c r="E229" s="208"/>
      <c r="F229" s="208"/>
      <c r="G229" s="208"/>
      <c r="H229" s="208"/>
      <c r="I229" s="233"/>
      <c r="J229" s="208"/>
      <c r="K229" s="208"/>
      <c r="L229" s="208"/>
      <c r="M229" s="208"/>
      <c r="N229" s="208"/>
      <c r="O229" s="208"/>
      <c r="P229" s="208"/>
      <c r="Q229" s="208"/>
      <c r="R229" s="208"/>
      <c r="S229" s="208"/>
      <c r="T229" s="208"/>
      <c r="U229" s="208"/>
      <c r="V229" s="208"/>
      <c r="W229" s="232"/>
      <c r="X229" s="232"/>
      <c r="Y229" s="232"/>
      <c r="Z229" s="232"/>
      <c r="AA229" s="232"/>
      <c r="AB229" s="232"/>
      <c r="AC229" s="232"/>
      <c r="AD229" s="232"/>
      <c r="AE229" s="232"/>
      <c r="AF229" s="232"/>
      <c r="AG229" s="208"/>
      <c r="AH229" s="208"/>
      <c r="AI229" s="208"/>
      <c r="AJ229" s="208"/>
      <c r="AK229" s="208"/>
    </row>
    <row r="230">
      <c r="A230" s="234"/>
      <c r="B230" s="208"/>
      <c r="C230" s="208"/>
      <c r="D230" s="208"/>
      <c r="E230" s="208"/>
      <c r="F230" s="208"/>
      <c r="G230" s="208"/>
      <c r="H230" s="208"/>
      <c r="I230" s="233"/>
      <c r="J230" s="208"/>
      <c r="K230" s="208"/>
      <c r="L230" s="208"/>
      <c r="M230" s="208"/>
      <c r="N230" s="208"/>
      <c r="O230" s="208"/>
      <c r="P230" s="208"/>
      <c r="Q230" s="208"/>
      <c r="R230" s="208"/>
      <c r="S230" s="208"/>
      <c r="T230" s="208"/>
      <c r="U230" s="208"/>
      <c r="V230" s="208"/>
      <c r="W230" s="232"/>
      <c r="X230" s="232"/>
      <c r="Y230" s="232"/>
      <c r="Z230" s="232"/>
      <c r="AA230" s="232"/>
      <c r="AB230" s="232"/>
      <c r="AC230" s="232"/>
      <c r="AD230" s="232"/>
      <c r="AE230" s="232"/>
      <c r="AF230" s="232"/>
      <c r="AG230" s="208"/>
      <c r="AH230" s="208"/>
      <c r="AI230" s="208"/>
      <c r="AJ230" s="208"/>
      <c r="AK230" s="208"/>
    </row>
    <row r="231">
      <c r="A231" s="234"/>
      <c r="B231" s="208"/>
      <c r="C231" s="208"/>
      <c r="D231" s="208"/>
      <c r="E231" s="208"/>
      <c r="F231" s="208"/>
      <c r="G231" s="208"/>
      <c r="H231" s="208"/>
      <c r="I231" s="233"/>
      <c r="J231" s="208"/>
      <c r="K231" s="208"/>
      <c r="L231" s="208"/>
      <c r="M231" s="208"/>
      <c r="N231" s="208"/>
      <c r="O231" s="208"/>
      <c r="P231" s="208"/>
      <c r="Q231" s="208"/>
      <c r="R231" s="208"/>
      <c r="S231" s="208"/>
      <c r="T231" s="208"/>
      <c r="U231" s="208"/>
      <c r="V231" s="208"/>
      <c r="W231" s="232"/>
      <c r="X231" s="232"/>
      <c r="Y231" s="232"/>
      <c r="Z231" s="232"/>
      <c r="AA231" s="232"/>
      <c r="AB231" s="232"/>
      <c r="AC231" s="232"/>
      <c r="AD231" s="232"/>
      <c r="AE231" s="232"/>
      <c r="AF231" s="232"/>
      <c r="AG231" s="208"/>
      <c r="AH231" s="208"/>
      <c r="AI231" s="208"/>
      <c r="AJ231" s="208"/>
      <c r="AK231" s="208"/>
    </row>
    <row r="232">
      <c r="A232" s="234"/>
      <c r="B232" s="208"/>
      <c r="C232" s="208"/>
      <c r="D232" s="208"/>
      <c r="E232" s="208"/>
      <c r="F232" s="208"/>
      <c r="G232" s="208"/>
      <c r="H232" s="208"/>
      <c r="I232" s="233"/>
      <c r="J232" s="208"/>
      <c r="K232" s="208"/>
      <c r="L232" s="208"/>
      <c r="M232" s="208"/>
      <c r="N232" s="208"/>
      <c r="O232" s="208"/>
      <c r="P232" s="208"/>
      <c r="Q232" s="208"/>
      <c r="R232" s="208"/>
      <c r="S232" s="208"/>
      <c r="T232" s="208"/>
      <c r="U232" s="208"/>
      <c r="V232" s="208"/>
      <c r="W232" s="232"/>
      <c r="X232" s="232"/>
      <c r="Y232" s="232"/>
      <c r="Z232" s="232"/>
      <c r="AA232" s="232"/>
      <c r="AB232" s="232"/>
      <c r="AC232" s="232"/>
      <c r="AD232" s="232"/>
      <c r="AE232" s="232"/>
      <c r="AF232" s="232"/>
      <c r="AG232" s="208"/>
      <c r="AH232" s="208"/>
      <c r="AI232" s="208"/>
      <c r="AJ232" s="208"/>
      <c r="AK232" s="208"/>
    </row>
    <row r="233">
      <c r="A233" s="234"/>
      <c r="B233" s="208"/>
      <c r="C233" s="208"/>
      <c r="D233" s="208"/>
      <c r="E233" s="208"/>
      <c r="F233" s="208"/>
      <c r="G233" s="208"/>
      <c r="H233" s="208"/>
      <c r="I233" s="233"/>
      <c r="J233" s="208"/>
      <c r="K233" s="208"/>
      <c r="L233" s="208"/>
      <c r="M233" s="208"/>
      <c r="N233" s="208"/>
      <c r="O233" s="208"/>
      <c r="P233" s="208"/>
      <c r="Q233" s="208"/>
      <c r="R233" s="208"/>
      <c r="S233" s="208"/>
      <c r="T233" s="208"/>
      <c r="U233" s="208"/>
      <c r="V233" s="208"/>
      <c r="W233" s="232"/>
      <c r="X233" s="232"/>
      <c r="Y233" s="232"/>
      <c r="Z233" s="232"/>
      <c r="AA233" s="232"/>
      <c r="AB233" s="232"/>
      <c r="AC233" s="232"/>
      <c r="AD233" s="232"/>
      <c r="AE233" s="232"/>
      <c r="AF233" s="232"/>
      <c r="AG233" s="208"/>
      <c r="AH233" s="208"/>
      <c r="AI233" s="208"/>
      <c r="AJ233" s="208"/>
      <c r="AK233" s="208"/>
    </row>
    <row r="234">
      <c r="A234" s="234"/>
      <c r="B234" s="208"/>
      <c r="C234" s="208"/>
      <c r="D234" s="208"/>
      <c r="E234" s="208"/>
      <c r="F234" s="208"/>
      <c r="G234" s="208"/>
      <c r="H234" s="208"/>
      <c r="I234" s="233"/>
      <c r="J234" s="208"/>
      <c r="K234" s="208"/>
      <c r="L234" s="208"/>
      <c r="M234" s="208"/>
      <c r="N234" s="208"/>
      <c r="O234" s="208"/>
      <c r="P234" s="208"/>
      <c r="Q234" s="208"/>
      <c r="R234" s="208"/>
      <c r="S234" s="208"/>
      <c r="T234" s="208"/>
      <c r="U234" s="208"/>
      <c r="V234" s="208"/>
      <c r="W234" s="232"/>
      <c r="X234" s="232"/>
      <c r="Y234" s="232"/>
      <c r="Z234" s="232"/>
      <c r="AA234" s="232"/>
      <c r="AB234" s="232"/>
      <c r="AC234" s="232"/>
      <c r="AD234" s="232"/>
      <c r="AE234" s="232"/>
      <c r="AF234" s="232"/>
      <c r="AG234" s="208"/>
      <c r="AH234" s="208"/>
      <c r="AI234" s="208"/>
      <c r="AJ234" s="208"/>
      <c r="AK234" s="208"/>
    </row>
    <row r="235">
      <c r="A235" s="234"/>
      <c r="B235" s="208"/>
      <c r="C235" s="208"/>
      <c r="D235" s="208"/>
      <c r="E235" s="208"/>
      <c r="F235" s="208"/>
      <c r="G235" s="208"/>
      <c r="H235" s="208"/>
      <c r="I235" s="233"/>
      <c r="J235" s="208"/>
      <c r="K235" s="208"/>
      <c r="L235" s="208"/>
      <c r="M235" s="208"/>
      <c r="N235" s="208"/>
      <c r="O235" s="208"/>
      <c r="P235" s="208"/>
      <c r="Q235" s="208"/>
      <c r="R235" s="208"/>
      <c r="S235" s="208"/>
      <c r="T235" s="208"/>
      <c r="U235" s="208"/>
      <c r="V235" s="208"/>
      <c r="W235" s="232"/>
      <c r="X235" s="232"/>
      <c r="Y235" s="232"/>
      <c r="Z235" s="232"/>
      <c r="AA235" s="232"/>
      <c r="AB235" s="232"/>
      <c r="AC235" s="232"/>
      <c r="AD235" s="232"/>
      <c r="AE235" s="232"/>
      <c r="AF235" s="232"/>
      <c r="AG235" s="208"/>
      <c r="AH235" s="208"/>
      <c r="AI235" s="208"/>
      <c r="AJ235" s="208"/>
      <c r="AK235" s="208"/>
    </row>
    <row r="236">
      <c r="A236" s="234"/>
      <c r="B236" s="208"/>
      <c r="C236" s="208"/>
      <c r="D236" s="208"/>
      <c r="E236" s="208"/>
      <c r="F236" s="208"/>
      <c r="G236" s="208"/>
      <c r="H236" s="208"/>
      <c r="I236" s="233"/>
      <c r="J236" s="208"/>
      <c r="K236" s="208"/>
      <c r="L236" s="208"/>
      <c r="M236" s="208"/>
      <c r="N236" s="208"/>
      <c r="O236" s="208"/>
      <c r="P236" s="208"/>
      <c r="Q236" s="208"/>
      <c r="R236" s="208"/>
      <c r="S236" s="208"/>
      <c r="T236" s="208"/>
      <c r="U236" s="208"/>
      <c r="V236" s="208"/>
      <c r="W236" s="232"/>
      <c r="X236" s="232"/>
      <c r="Y236" s="232"/>
      <c r="Z236" s="232"/>
      <c r="AA236" s="232"/>
      <c r="AB236" s="232"/>
      <c r="AC236" s="232"/>
      <c r="AD236" s="232"/>
      <c r="AE236" s="232"/>
      <c r="AF236" s="232"/>
      <c r="AG236" s="208"/>
      <c r="AH236" s="208"/>
      <c r="AI236" s="208"/>
      <c r="AJ236" s="208"/>
      <c r="AK236" s="208"/>
    </row>
    <row r="237">
      <c r="A237" s="234"/>
      <c r="B237" s="208"/>
      <c r="C237" s="208"/>
      <c r="D237" s="208"/>
      <c r="E237" s="208"/>
      <c r="F237" s="208"/>
      <c r="G237" s="208"/>
      <c r="H237" s="208"/>
      <c r="I237" s="233"/>
      <c r="J237" s="208"/>
      <c r="K237" s="208"/>
      <c r="L237" s="208"/>
      <c r="M237" s="208"/>
      <c r="N237" s="208"/>
      <c r="O237" s="208"/>
      <c r="P237" s="208"/>
      <c r="Q237" s="208"/>
      <c r="R237" s="208"/>
      <c r="S237" s="208"/>
      <c r="T237" s="208"/>
      <c r="U237" s="208"/>
      <c r="V237" s="208"/>
      <c r="W237" s="232"/>
      <c r="X237" s="232"/>
      <c r="Y237" s="232"/>
      <c r="Z237" s="232"/>
      <c r="AA237" s="232"/>
      <c r="AB237" s="232"/>
      <c r="AC237" s="232"/>
      <c r="AD237" s="232"/>
      <c r="AE237" s="232"/>
      <c r="AF237" s="232"/>
      <c r="AG237" s="208"/>
      <c r="AH237" s="208"/>
      <c r="AI237" s="208"/>
      <c r="AJ237" s="208"/>
      <c r="AK237" s="208"/>
    </row>
    <row r="238">
      <c r="A238" s="234"/>
      <c r="B238" s="208"/>
      <c r="C238" s="208"/>
      <c r="D238" s="208"/>
      <c r="E238" s="208"/>
      <c r="F238" s="208"/>
      <c r="G238" s="208"/>
      <c r="H238" s="208"/>
      <c r="I238" s="233"/>
      <c r="J238" s="208"/>
      <c r="K238" s="208"/>
      <c r="L238" s="208"/>
      <c r="M238" s="208"/>
      <c r="N238" s="208"/>
      <c r="O238" s="208"/>
      <c r="P238" s="208"/>
      <c r="Q238" s="208"/>
      <c r="R238" s="208"/>
      <c r="S238" s="208"/>
      <c r="T238" s="208"/>
      <c r="U238" s="208"/>
      <c r="V238" s="208"/>
      <c r="W238" s="232"/>
      <c r="X238" s="232"/>
      <c r="Y238" s="232"/>
      <c r="Z238" s="232"/>
      <c r="AA238" s="232"/>
      <c r="AB238" s="232"/>
      <c r="AC238" s="232"/>
      <c r="AD238" s="232"/>
      <c r="AE238" s="232"/>
      <c r="AF238" s="232"/>
      <c r="AG238" s="208"/>
      <c r="AH238" s="208"/>
      <c r="AI238" s="208"/>
      <c r="AJ238" s="208"/>
      <c r="AK238" s="208"/>
    </row>
    <row r="239">
      <c r="A239" s="234"/>
      <c r="B239" s="208"/>
      <c r="C239" s="208"/>
      <c r="D239" s="208"/>
      <c r="E239" s="208"/>
      <c r="F239" s="208"/>
      <c r="G239" s="208"/>
      <c r="H239" s="208"/>
      <c r="I239" s="233"/>
      <c r="J239" s="208"/>
      <c r="K239" s="208"/>
      <c r="L239" s="208"/>
      <c r="M239" s="208"/>
      <c r="N239" s="208"/>
      <c r="O239" s="208"/>
      <c r="P239" s="208"/>
      <c r="Q239" s="208"/>
      <c r="R239" s="208"/>
      <c r="S239" s="208"/>
      <c r="T239" s="208"/>
      <c r="U239" s="208"/>
      <c r="V239" s="208"/>
      <c r="W239" s="232"/>
      <c r="X239" s="232"/>
      <c r="Y239" s="232"/>
      <c r="Z239" s="232"/>
      <c r="AA239" s="232"/>
      <c r="AB239" s="232"/>
      <c r="AC239" s="232"/>
      <c r="AD239" s="232"/>
      <c r="AE239" s="232"/>
      <c r="AF239" s="232"/>
      <c r="AG239" s="208"/>
      <c r="AH239" s="208"/>
      <c r="AI239" s="208"/>
      <c r="AJ239" s="208"/>
      <c r="AK239" s="208"/>
    </row>
    <row r="240">
      <c r="A240" s="234"/>
      <c r="B240" s="208"/>
      <c r="C240" s="208"/>
      <c r="D240" s="208"/>
      <c r="E240" s="208"/>
      <c r="F240" s="208"/>
      <c r="G240" s="208"/>
      <c r="H240" s="208"/>
      <c r="I240" s="233"/>
      <c r="J240" s="208"/>
      <c r="K240" s="208"/>
      <c r="L240" s="208"/>
      <c r="M240" s="208"/>
      <c r="N240" s="208"/>
      <c r="O240" s="208"/>
      <c r="P240" s="208"/>
      <c r="Q240" s="208"/>
      <c r="R240" s="208"/>
      <c r="S240" s="208"/>
      <c r="T240" s="208"/>
      <c r="U240" s="208"/>
      <c r="V240" s="208"/>
      <c r="W240" s="232"/>
      <c r="X240" s="232"/>
      <c r="Y240" s="232"/>
      <c r="Z240" s="232"/>
      <c r="AA240" s="232"/>
      <c r="AB240" s="232"/>
      <c r="AC240" s="232"/>
      <c r="AD240" s="232"/>
      <c r="AE240" s="232"/>
      <c r="AF240" s="232"/>
      <c r="AG240" s="208"/>
      <c r="AH240" s="208"/>
      <c r="AI240" s="208"/>
      <c r="AJ240" s="208"/>
      <c r="AK240" s="208"/>
    </row>
    <row r="241">
      <c r="A241" s="234"/>
      <c r="B241" s="208"/>
      <c r="C241" s="208"/>
      <c r="D241" s="208"/>
      <c r="E241" s="208"/>
      <c r="F241" s="208"/>
      <c r="G241" s="208"/>
      <c r="H241" s="208"/>
      <c r="I241" s="233"/>
      <c r="J241" s="208"/>
      <c r="K241" s="208"/>
      <c r="L241" s="208"/>
      <c r="M241" s="208"/>
      <c r="N241" s="208"/>
      <c r="O241" s="208"/>
      <c r="P241" s="208"/>
      <c r="Q241" s="208"/>
      <c r="R241" s="208"/>
      <c r="S241" s="208"/>
      <c r="T241" s="208"/>
      <c r="U241" s="208"/>
      <c r="V241" s="208"/>
      <c r="W241" s="232"/>
      <c r="X241" s="232"/>
      <c r="Y241" s="232"/>
      <c r="Z241" s="232"/>
      <c r="AA241" s="232"/>
      <c r="AB241" s="232"/>
      <c r="AC241" s="232"/>
      <c r="AD241" s="232"/>
      <c r="AE241" s="232"/>
      <c r="AF241" s="232"/>
      <c r="AG241" s="208"/>
      <c r="AH241" s="208"/>
      <c r="AI241" s="208"/>
      <c r="AJ241" s="208"/>
      <c r="AK241" s="208"/>
    </row>
    <row r="242">
      <c r="A242" s="234"/>
      <c r="B242" s="208"/>
      <c r="C242" s="208"/>
      <c r="D242" s="208"/>
      <c r="E242" s="208"/>
      <c r="F242" s="208"/>
      <c r="G242" s="208"/>
      <c r="H242" s="208"/>
      <c r="I242" s="233"/>
      <c r="J242" s="208"/>
      <c r="K242" s="208"/>
      <c r="L242" s="208"/>
      <c r="M242" s="208"/>
      <c r="N242" s="208"/>
      <c r="O242" s="208"/>
      <c r="P242" s="208"/>
      <c r="Q242" s="208"/>
      <c r="R242" s="208"/>
      <c r="S242" s="208"/>
      <c r="T242" s="208"/>
      <c r="U242" s="208"/>
      <c r="V242" s="208"/>
      <c r="W242" s="232"/>
      <c r="X242" s="232"/>
      <c r="Y242" s="232"/>
      <c r="Z242" s="232"/>
      <c r="AA242" s="232"/>
      <c r="AB242" s="232"/>
      <c r="AC242" s="232"/>
      <c r="AD242" s="232"/>
      <c r="AE242" s="232"/>
      <c r="AF242" s="232"/>
      <c r="AG242" s="208"/>
      <c r="AH242" s="208"/>
      <c r="AI242" s="208"/>
      <c r="AJ242" s="208"/>
      <c r="AK242" s="208"/>
    </row>
    <row r="243">
      <c r="A243" s="234"/>
      <c r="B243" s="208"/>
      <c r="C243" s="208"/>
      <c r="D243" s="208"/>
      <c r="E243" s="208"/>
      <c r="F243" s="208"/>
      <c r="G243" s="208"/>
      <c r="H243" s="208"/>
      <c r="I243" s="233"/>
      <c r="J243" s="208"/>
      <c r="K243" s="208"/>
      <c r="L243" s="208"/>
      <c r="M243" s="208"/>
      <c r="N243" s="208"/>
      <c r="O243" s="208"/>
      <c r="P243" s="208"/>
      <c r="Q243" s="208"/>
      <c r="R243" s="208"/>
      <c r="S243" s="208"/>
      <c r="T243" s="208"/>
      <c r="U243" s="208"/>
      <c r="V243" s="208"/>
      <c r="W243" s="232"/>
      <c r="X243" s="232"/>
      <c r="Y243" s="232"/>
      <c r="Z243" s="232"/>
      <c r="AA243" s="232"/>
      <c r="AB243" s="232"/>
      <c r="AC243" s="232"/>
      <c r="AD243" s="232"/>
      <c r="AE243" s="232"/>
      <c r="AF243" s="232"/>
      <c r="AG243" s="208"/>
      <c r="AH243" s="208"/>
      <c r="AI243" s="208"/>
      <c r="AJ243" s="208"/>
      <c r="AK243" s="208"/>
    </row>
    <row r="244">
      <c r="A244" s="234"/>
      <c r="B244" s="208"/>
      <c r="C244" s="208"/>
      <c r="D244" s="208"/>
      <c r="E244" s="208"/>
      <c r="F244" s="208"/>
      <c r="G244" s="208"/>
      <c r="H244" s="208"/>
      <c r="I244" s="233"/>
      <c r="J244" s="208"/>
      <c r="K244" s="208"/>
      <c r="L244" s="208"/>
      <c r="M244" s="208"/>
      <c r="N244" s="208"/>
      <c r="O244" s="208"/>
      <c r="P244" s="208"/>
      <c r="Q244" s="208"/>
      <c r="R244" s="208"/>
      <c r="S244" s="208"/>
      <c r="T244" s="208"/>
      <c r="U244" s="208"/>
      <c r="V244" s="208"/>
      <c r="W244" s="232"/>
      <c r="X244" s="232"/>
      <c r="Y244" s="232"/>
      <c r="Z244" s="232"/>
      <c r="AA244" s="232"/>
      <c r="AB244" s="232"/>
      <c r="AC244" s="232"/>
      <c r="AD244" s="232"/>
      <c r="AE244" s="232"/>
      <c r="AF244" s="232"/>
      <c r="AG244" s="208"/>
      <c r="AH244" s="208"/>
      <c r="AI244" s="208"/>
      <c r="AJ244" s="208"/>
      <c r="AK244" s="208"/>
    </row>
    <row r="245">
      <c r="A245" s="234"/>
      <c r="B245" s="208"/>
      <c r="C245" s="208"/>
      <c r="D245" s="208"/>
      <c r="E245" s="208"/>
      <c r="F245" s="208"/>
      <c r="G245" s="208"/>
      <c r="H245" s="208"/>
      <c r="I245" s="233"/>
      <c r="J245" s="208"/>
      <c r="K245" s="208"/>
      <c r="L245" s="208"/>
      <c r="M245" s="208"/>
      <c r="N245" s="208"/>
      <c r="O245" s="208"/>
      <c r="P245" s="208"/>
      <c r="Q245" s="208"/>
      <c r="R245" s="208"/>
      <c r="S245" s="208"/>
      <c r="T245" s="208"/>
      <c r="U245" s="208"/>
      <c r="V245" s="208"/>
      <c r="W245" s="232"/>
      <c r="X245" s="232"/>
      <c r="Y245" s="232"/>
      <c r="Z245" s="232"/>
      <c r="AA245" s="232"/>
      <c r="AB245" s="232"/>
      <c r="AC245" s="232"/>
      <c r="AD245" s="232"/>
      <c r="AE245" s="232"/>
      <c r="AF245" s="232"/>
      <c r="AG245" s="208"/>
      <c r="AH245" s="208"/>
      <c r="AI245" s="208"/>
      <c r="AJ245" s="208"/>
      <c r="AK245" s="208"/>
    </row>
    <row r="246">
      <c r="A246" s="234"/>
      <c r="B246" s="208"/>
      <c r="C246" s="208"/>
      <c r="D246" s="208"/>
      <c r="E246" s="208"/>
      <c r="F246" s="208"/>
      <c r="G246" s="208"/>
      <c r="H246" s="208"/>
      <c r="I246" s="233"/>
      <c r="J246" s="208"/>
      <c r="K246" s="208"/>
      <c r="L246" s="208"/>
      <c r="M246" s="208"/>
      <c r="N246" s="208"/>
      <c r="O246" s="208"/>
      <c r="P246" s="208"/>
      <c r="Q246" s="208"/>
      <c r="R246" s="208"/>
      <c r="S246" s="208"/>
      <c r="T246" s="208"/>
      <c r="U246" s="208"/>
      <c r="V246" s="208"/>
      <c r="W246" s="232"/>
      <c r="X246" s="232"/>
      <c r="Y246" s="232"/>
      <c r="Z246" s="232"/>
      <c r="AA246" s="232"/>
      <c r="AB246" s="232"/>
      <c r="AC246" s="232"/>
      <c r="AD246" s="232"/>
      <c r="AE246" s="232"/>
      <c r="AF246" s="232"/>
      <c r="AG246" s="208"/>
      <c r="AH246" s="208"/>
      <c r="AI246" s="208"/>
      <c r="AJ246" s="208"/>
      <c r="AK246" s="208"/>
    </row>
    <row r="247">
      <c r="A247" s="234"/>
      <c r="B247" s="208"/>
      <c r="C247" s="208"/>
      <c r="D247" s="208"/>
      <c r="E247" s="208"/>
      <c r="F247" s="208"/>
      <c r="G247" s="208"/>
      <c r="H247" s="208"/>
      <c r="I247" s="233"/>
      <c r="J247" s="208"/>
      <c r="K247" s="208"/>
      <c r="L247" s="208"/>
      <c r="M247" s="208"/>
      <c r="N247" s="208"/>
      <c r="O247" s="208"/>
      <c r="P247" s="208"/>
      <c r="Q247" s="208"/>
      <c r="R247" s="208"/>
      <c r="S247" s="208"/>
      <c r="T247" s="208"/>
      <c r="U247" s="208"/>
      <c r="V247" s="208"/>
      <c r="W247" s="232"/>
      <c r="X247" s="232"/>
      <c r="Y247" s="232"/>
      <c r="Z247" s="232"/>
      <c r="AA247" s="232"/>
      <c r="AB247" s="232"/>
      <c r="AC247" s="232"/>
      <c r="AD247" s="232"/>
      <c r="AE247" s="232"/>
      <c r="AF247" s="232"/>
      <c r="AG247" s="208"/>
      <c r="AH247" s="208"/>
      <c r="AI247" s="208"/>
      <c r="AJ247" s="208"/>
      <c r="AK247" s="208"/>
    </row>
    <row r="248">
      <c r="A248" s="234"/>
      <c r="B248" s="208"/>
      <c r="C248" s="208"/>
      <c r="D248" s="208"/>
      <c r="E248" s="208"/>
      <c r="F248" s="208"/>
      <c r="G248" s="208"/>
      <c r="H248" s="208"/>
      <c r="I248" s="233"/>
      <c r="J248" s="208"/>
      <c r="K248" s="208"/>
      <c r="L248" s="208"/>
      <c r="M248" s="208"/>
      <c r="N248" s="208"/>
      <c r="O248" s="208"/>
      <c r="P248" s="208"/>
      <c r="Q248" s="208"/>
      <c r="R248" s="208"/>
      <c r="S248" s="208"/>
      <c r="T248" s="208"/>
      <c r="U248" s="208"/>
      <c r="V248" s="208"/>
      <c r="W248" s="232"/>
      <c r="X248" s="232"/>
      <c r="Y248" s="232"/>
      <c r="Z248" s="232"/>
      <c r="AA248" s="232"/>
      <c r="AB248" s="232"/>
      <c r="AC248" s="232"/>
      <c r="AD248" s="232"/>
      <c r="AE248" s="232"/>
      <c r="AF248" s="232"/>
      <c r="AG248" s="208"/>
      <c r="AH248" s="208"/>
      <c r="AI248" s="208"/>
      <c r="AJ248" s="208"/>
      <c r="AK248" s="208"/>
    </row>
    <row r="249">
      <c r="A249" s="234"/>
      <c r="B249" s="208"/>
      <c r="C249" s="208"/>
      <c r="D249" s="208"/>
      <c r="E249" s="208"/>
      <c r="F249" s="208"/>
      <c r="G249" s="208"/>
      <c r="H249" s="208"/>
      <c r="I249" s="233"/>
      <c r="J249" s="208"/>
      <c r="K249" s="208"/>
      <c r="L249" s="208"/>
      <c r="M249" s="208"/>
      <c r="N249" s="208"/>
      <c r="O249" s="208"/>
      <c r="P249" s="208"/>
      <c r="Q249" s="208"/>
      <c r="R249" s="208"/>
      <c r="S249" s="208"/>
      <c r="T249" s="208"/>
      <c r="U249" s="208"/>
      <c r="V249" s="208"/>
      <c r="W249" s="232"/>
      <c r="X249" s="232"/>
      <c r="Y249" s="232"/>
      <c r="Z249" s="232"/>
      <c r="AA249" s="232"/>
      <c r="AB249" s="232"/>
      <c r="AC249" s="232"/>
      <c r="AD249" s="232"/>
      <c r="AE249" s="232"/>
      <c r="AF249" s="232"/>
      <c r="AG249" s="208"/>
      <c r="AH249" s="208"/>
      <c r="AI249" s="208"/>
      <c r="AJ249" s="208"/>
      <c r="AK249" s="208"/>
    </row>
    <row r="250">
      <c r="A250" s="234"/>
      <c r="B250" s="208"/>
      <c r="C250" s="208"/>
      <c r="D250" s="208"/>
      <c r="E250" s="208"/>
      <c r="F250" s="208"/>
      <c r="G250" s="208"/>
      <c r="H250" s="208"/>
      <c r="I250" s="233"/>
      <c r="J250" s="208"/>
      <c r="K250" s="208"/>
      <c r="L250" s="208"/>
      <c r="M250" s="208"/>
      <c r="N250" s="208"/>
      <c r="O250" s="208"/>
      <c r="P250" s="208"/>
      <c r="Q250" s="208"/>
      <c r="R250" s="208"/>
      <c r="S250" s="208"/>
      <c r="T250" s="208"/>
      <c r="U250" s="208"/>
      <c r="V250" s="208"/>
      <c r="W250" s="232"/>
      <c r="X250" s="232"/>
      <c r="Y250" s="232"/>
      <c r="Z250" s="232"/>
      <c r="AA250" s="232"/>
      <c r="AB250" s="232"/>
      <c r="AC250" s="232"/>
      <c r="AD250" s="232"/>
      <c r="AE250" s="232"/>
      <c r="AF250" s="232"/>
      <c r="AG250" s="208"/>
      <c r="AH250" s="208"/>
      <c r="AI250" s="208"/>
      <c r="AJ250" s="208"/>
      <c r="AK250" s="208"/>
    </row>
    <row r="251">
      <c r="A251" s="234"/>
      <c r="B251" s="208"/>
      <c r="C251" s="208"/>
      <c r="D251" s="208"/>
      <c r="E251" s="208"/>
      <c r="F251" s="208"/>
      <c r="G251" s="208"/>
      <c r="H251" s="208"/>
      <c r="I251" s="233"/>
      <c r="J251" s="208"/>
      <c r="K251" s="208"/>
      <c r="L251" s="208"/>
      <c r="M251" s="208"/>
      <c r="N251" s="208"/>
      <c r="O251" s="208"/>
      <c r="P251" s="208"/>
      <c r="Q251" s="208"/>
      <c r="R251" s="208"/>
      <c r="S251" s="208"/>
      <c r="T251" s="208"/>
      <c r="U251" s="208"/>
      <c r="V251" s="208"/>
      <c r="W251" s="232"/>
      <c r="X251" s="232"/>
      <c r="Y251" s="232"/>
      <c r="Z251" s="232"/>
      <c r="AA251" s="232"/>
      <c r="AB251" s="232"/>
      <c r="AC251" s="232"/>
      <c r="AD251" s="232"/>
      <c r="AE251" s="232"/>
      <c r="AF251" s="232"/>
      <c r="AG251" s="208"/>
      <c r="AH251" s="208"/>
      <c r="AI251" s="208"/>
      <c r="AJ251" s="208"/>
      <c r="AK251" s="208"/>
    </row>
    <row r="252">
      <c r="A252" s="234"/>
      <c r="B252" s="208"/>
      <c r="C252" s="208"/>
      <c r="D252" s="208"/>
      <c r="E252" s="208"/>
      <c r="F252" s="208"/>
      <c r="G252" s="208"/>
      <c r="H252" s="208"/>
      <c r="I252" s="233"/>
      <c r="J252" s="208"/>
      <c r="K252" s="208"/>
      <c r="L252" s="208"/>
      <c r="M252" s="208"/>
      <c r="N252" s="208"/>
      <c r="O252" s="208"/>
      <c r="P252" s="208"/>
      <c r="Q252" s="208"/>
      <c r="R252" s="208"/>
      <c r="S252" s="208"/>
      <c r="T252" s="208"/>
      <c r="U252" s="208"/>
      <c r="V252" s="208"/>
      <c r="W252" s="232"/>
      <c r="X252" s="232"/>
      <c r="Y252" s="232"/>
      <c r="Z252" s="232"/>
      <c r="AA252" s="232"/>
      <c r="AB252" s="232"/>
      <c r="AC252" s="232"/>
      <c r="AD252" s="232"/>
      <c r="AE252" s="232"/>
      <c r="AF252" s="232"/>
      <c r="AG252" s="208"/>
      <c r="AH252" s="208"/>
      <c r="AI252" s="208"/>
      <c r="AJ252" s="208"/>
      <c r="AK252" s="208"/>
    </row>
    <row r="253">
      <c r="A253" s="234"/>
      <c r="B253" s="208"/>
      <c r="C253" s="208"/>
      <c r="D253" s="208"/>
      <c r="E253" s="208"/>
      <c r="F253" s="208"/>
      <c r="G253" s="208"/>
      <c r="H253" s="208"/>
      <c r="I253" s="233"/>
      <c r="J253" s="208"/>
      <c r="K253" s="208"/>
      <c r="L253" s="208"/>
      <c r="M253" s="208"/>
      <c r="N253" s="208"/>
      <c r="O253" s="208"/>
      <c r="P253" s="208"/>
      <c r="Q253" s="208"/>
      <c r="R253" s="208"/>
      <c r="S253" s="208"/>
      <c r="T253" s="208"/>
      <c r="U253" s="208"/>
      <c r="V253" s="208"/>
      <c r="W253" s="232"/>
      <c r="X253" s="232"/>
      <c r="Y253" s="232"/>
      <c r="Z253" s="232"/>
      <c r="AA253" s="232"/>
      <c r="AB253" s="232"/>
      <c r="AC253" s="232"/>
      <c r="AD253" s="232"/>
      <c r="AE253" s="232"/>
      <c r="AF253" s="232"/>
      <c r="AG253" s="208"/>
      <c r="AH253" s="208"/>
      <c r="AI253" s="208"/>
      <c r="AJ253" s="208"/>
      <c r="AK253" s="208"/>
    </row>
    <row r="254">
      <c r="A254" s="234"/>
      <c r="B254" s="208"/>
      <c r="C254" s="208"/>
      <c r="D254" s="208"/>
      <c r="E254" s="208"/>
      <c r="F254" s="208"/>
      <c r="G254" s="208"/>
      <c r="H254" s="208"/>
      <c r="I254" s="233"/>
      <c r="J254" s="208"/>
      <c r="K254" s="208"/>
      <c r="L254" s="208"/>
      <c r="M254" s="208"/>
      <c r="N254" s="208"/>
      <c r="O254" s="208"/>
      <c r="P254" s="208"/>
      <c r="Q254" s="208"/>
      <c r="R254" s="208"/>
      <c r="S254" s="208"/>
      <c r="T254" s="208"/>
      <c r="U254" s="208"/>
      <c r="V254" s="208"/>
      <c r="W254" s="232"/>
      <c r="X254" s="232"/>
      <c r="Y254" s="232"/>
      <c r="Z254" s="232"/>
      <c r="AA254" s="232"/>
      <c r="AB254" s="232"/>
      <c r="AC254" s="232"/>
      <c r="AD254" s="232"/>
      <c r="AE254" s="232"/>
      <c r="AF254" s="232"/>
      <c r="AG254" s="208"/>
      <c r="AH254" s="208"/>
      <c r="AI254" s="208"/>
      <c r="AJ254" s="208"/>
      <c r="AK254" s="208"/>
    </row>
    <row r="255">
      <c r="A255" s="234"/>
      <c r="B255" s="208"/>
      <c r="C255" s="208"/>
      <c r="D255" s="208"/>
      <c r="E255" s="208"/>
      <c r="F255" s="208"/>
      <c r="G255" s="208"/>
      <c r="H255" s="208"/>
      <c r="I255" s="233"/>
      <c r="J255" s="208"/>
      <c r="K255" s="208"/>
      <c r="L255" s="208"/>
      <c r="M255" s="208"/>
      <c r="N255" s="208"/>
      <c r="O255" s="208"/>
      <c r="P255" s="208"/>
      <c r="Q255" s="208"/>
      <c r="R255" s="208"/>
      <c r="S255" s="208"/>
      <c r="T255" s="208"/>
      <c r="U255" s="208"/>
      <c r="V255" s="208"/>
      <c r="W255" s="232"/>
      <c r="X255" s="232"/>
      <c r="Y255" s="232"/>
      <c r="Z255" s="232"/>
      <c r="AA255" s="232"/>
      <c r="AB255" s="232"/>
      <c r="AC255" s="232"/>
      <c r="AD255" s="232"/>
      <c r="AE255" s="232"/>
      <c r="AF255" s="232"/>
      <c r="AG255" s="208"/>
      <c r="AH255" s="208"/>
      <c r="AI255" s="208"/>
      <c r="AJ255" s="208"/>
      <c r="AK255" s="208"/>
    </row>
    <row r="256">
      <c r="A256" s="234"/>
      <c r="B256" s="208"/>
      <c r="C256" s="208"/>
      <c r="D256" s="208"/>
      <c r="E256" s="208"/>
      <c r="F256" s="208"/>
      <c r="G256" s="208"/>
      <c r="H256" s="208"/>
      <c r="I256" s="233"/>
      <c r="J256" s="208"/>
      <c r="K256" s="208"/>
      <c r="L256" s="208"/>
      <c r="M256" s="208"/>
      <c r="N256" s="208"/>
      <c r="O256" s="208"/>
      <c r="P256" s="208"/>
      <c r="Q256" s="208"/>
      <c r="R256" s="208"/>
      <c r="S256" s="208"/>
      <c r="T256" s="208"/>
      <c r="U256" s="208"/>
      <c r="V256" s="208"/>
      <c r="W256" s="232"/>
      <c r="X256" s="232"/>
      <c r="Y256" s="232"/>
      <c r="Z256" s="232"/>
      <c r="AA256" s="232"/>
      <c r="AB256" s="232"/>
      <c r="AC256" s="232"/>
      <c r="AD256" s="232"/>
      <c r="AE256" s="232"/>
      <c r="AF256" s="232"/>
      <c r="AG256" s="208"/>
      <c r="AH256" s="208"/>
      <c r="AI256" s="208"/>
      <c r="AJ256" s="208"/>
      <c r="AK256" s="208"/>
    </row>
    <row r="257">
      <c r="A257" s="234"/>
      <c r="B257" s="208"/>
      <c r="C257" s="208"/>
      <c r="D257" s="208"/>
      <c r="E257" s="208"/>
      <c r="F257" s="208"/>
      <c r="G257" s="208"/>
      <c r="H257" s="208"/>
      <c r="I257" s="233"/>
      <c r="J257" s="208"/>
      <c r="K257" s="208"/>
      <c r="L257" s="208"/>
      <c r="M257" s="208"/>
      <c r="N257" s="208"/>
      <c r="O257" s="208"/>
      <c r="P257" s="208"/>
      <c r="Q257" s="208"/>
      <c r="R257" s="208"/>
      <c r="S257" s="208"/>
      <c r="T257" s="208"/>
      <c r="U257" s="208"/>
      <c r="V257" s="208"/>
      <c r="W257" s="232"/>
      <c r="X257" s="232"/>
      <c r="Y257" s="232"/>
      <c r="Z257" s="232"/>
      <c r="AA257" s="232"/>
      <c r="AB257" s="232"/>
      <c r="AC257" s="232"/>
      <c r="AD257" s="232"/>
      <c r="AE257" s="232"/>
      <c r="AF257" s="232"/>
      <c r="AG257" s="208"/>
      <c r="AH257" s="208"/>
      <c r="AI257" s="208"/>
      <c r="AJ257" s="208"/>
      <c r="AK257" s="208"/>
    </row>
    <row r="258">
      <c r="A258" s="234"/>
      <c r="B258" s="208"/>
      <c r="C258" s="208"/>
      <c r="D258" s="208"/>
      <c r="E258" s="208"/>
      <c r="F258" s="208"/>
      <c r="G258" s="208"/>
      <c r="H258" s="208"/>
      <c r="I258" s="233"/>
      <c r="J258" s="208"/>
      <c r="K258" s="208"/>
      <c r="L258" s="208"/>
      <c r="M258" s="208"/>
      <c r="N258" s="208"/>
      <c r="O258" s="208"/>
      <c r="P258" s="208"/>
      <c r="Q258" s="208"/>
      <c r="R258" s="208"/>
      <c r="S258" s="208"/>
      <c r="T258" s="208"/>
      <c r="U258" s="208"/>
      <c r="V258" s="208"/>
      <c r="W258" s="232"/>
      <c r="X258" s="232"/>
      <c r="Y258" s="232"/>
      <c r="Z258" s="232"/>
      <c r="AA258" s="232"/>
      <c r="AB258" s="232"/>
      <c r="AC258" s="232"/>
      <c r="AD258" s="232"/>
      <c r="AE258" s="232"/>
      <c r="AF258" s="232"/>
      <c r="AG258" s="208"/>
      <c r="AH258" s="208"/>
      <c r="AI258" s="208"/>
      <c r="AJ258" s="208"/>
      <c r="AK258" s="208"/>
    </row>
    <row r="259">
      <c r="A259" s="234"/>
      <c r="B259" s="208"/>
      <c r="C259" s="208"/>
      <c r="D259" s="208"/>
      <c r="E259" s="208"/>
      <c r="F259" s="208"/>
      <c r="G259" s="208"/>
      <c r="H259" s="208"/>
      <c r="I259" s="233"/>
      <c r="J259" s="208"/>
      <c r="K259" s="208"/>
      <c r="L259" s="208"/>
      <c r="M259" s="208"/>
      <c r="N259" s="208"/>
      <c r="O259" s="208"/>
      <c r="P259" s="208"/>
      <c r="Q259" s="208"/>
      <c r="R259" s="208"/>
      <c r="S259" s="208"/>
      <c r="T259" s="208"/>
      <c r="U259" s="208"/>
      <c r="V259" s="208"/>
      <c r="W259" s="232"/>
      <c r="X259" s="232"/>
      <c r="Y259" s="232"/>
      <c r="Z259" s="232"/>
      <c r="AA259" s="232"/>
      <c r="AB259" s="232"/>
      <c r="AC259" s="232"/>
      <c r="AD259" s="232"/>
      <c r="AE259" s="232"/>
      <c r="AF259" s="232"/>
      <c r="AG259" s="208"/>
      <c r="AH259" s="208"/>
      <c r="AI259" s="208"/>
      <c r="AJ259" s="208"/>
      <c r="AK259" s="208"/>
    </row>
    <row r="260">
      <c r="A260" s="234"/>
      <c r="B260" s="208"/>
      <c r="C260" s="208"/>
      <c r="D260" s="208"/>
      <c r="E260" s="208"/>
      <c r="F260" s="208"/>
      <c r="G260" s="208"/>
      <c r="H260" s="208"/>
      <c r="I260" s="233"/>
      <c r="J260" s="208"/>
      <c r="K260" s="208"/>
      <c r="L260" s="208"/>
      <c r="M260" s="208"/>
      <c r="N260" s="208"/>
      <c r="O260" s="208"/>
      <c r="P260" s="208"/>
      <c r="Q260" s="208"/>
      <c r="R260" s="208"/>
      <c r="S260" s="208"/>
      <c r="T260" s="208"/>
      <c r="U260" s="208"/>
      <c r="V260" s="208"/>
      <c r="W260" s="232"/>
      <c r="X260" s="232"/>
      <c r="Y260" s="232"/>
      <c r="Z260" s="232"/>
      <c r="AA260" s="232"/>
      <c r="AB260" s="232"/>
      <c r="AC260" s="232"/>
      <c r="AD260" s="232"/>
      <c r="AE260" s="232"/>
      <c r="AF260" s="232"/>
      <c r="AG260" s="208"/>
      <c r="AH260" s="208"/>
      <c r="AI260" s="208"/>
      <c r="AJ260" s="208"/>
      <c r="AK260" s="208"/>
    </row>
    <row r="261">
      <c r="A261" s="234"/>
      <c r="B261" s="208"/>
      <c r="C261" s="208"/>
      <c r="D261" s="208"/>
      <c r="E261" s="208"/>
      <c r="F261" s="208"/>
      <c r="G261" s="208"/>
      <c r="H261" s="208"/>
      <c r="I261" s="233"/>
      <c r="J261" s="208"/>
      <c r="K261" s="208"/>
      <c r="L261" s="208"/>
      <c r="M261" s="208"/>
      <c r="N261" s="208"/>
      <c r="O261" s="208"/>
      <c r="P261" s="208"/>
      <c r="Q261" s="208"/>
      <c r="R261" s="208"/>
      <c r="S261" s="208"/>
      <c r="T261" s="208"/>
      <c r="U261" s="208"/>
      <c r="V261" s="208"/>
      <c r="W261" s="232"/>
      <c r="X261" s="232"/>
      <c r="Y261" s="232"/>
      <c r="Z261" s="232"/>
      <c r="AA261" s="232"/>
      <c r="AB261" s="232"/>
      <c r="AC261" s="232"/>
      <c r="AD261" s="232"/>
      <c r="AE261" s="232"/>
      <c r="AF261" s="232"/>
      <c r="AG261" s="208"/>
      <c r="AH261" s="208"/>
      <c r="AI261" s="208"/>
      <c r="AJ261" s="208"/>
      <c r="AK261" s="208"/>
    </row>
    <row r="262">
      <c r="A262" s="234"/>
      <c r="B262" s="208"/>
      <c r="C262" s="208"/>
      <c r="D262" s="208"/>
      <c r="E262" s="208"/>
      <c r="F262" s="208"/>
      <c r="G262" s="208"/>
      <c r="H262" s="208"/>
      <c r="I262" s="233"/>
      <c r="J262" s="208"/>
      <c r="K262" s="208"/>
      <c r="L262" s="208"/>
      <c r="M262" s="208"/>
      <c r="N262" s="208"/>
      <c r="O262" s="208"/>
      <c r="P262" s="208"/>
      <c r="Q262" s="208"/>
      <c r="R262" s="208"/>
      <c r="S262" s="208"/>
      <c r="T262" s="208"/>
      <c r="U262" s="208"/>
      <c r="V262" s="208"/>
      <c r="W262" s="232"/>
      <c r="X262" s="232"/>
      <c r="Y262" s="232"/>
      <c r="Z262" s="232"/>
      <c r="AA262" s="232"/>
      <c r="AB262" s="232"/>
      <c r="AC262" s="232"/>
      <c r="AD262" s="232"/>
      <c r="AE262" s="232"/>
      <c r="AF262" s="232"/>
      <c r="AG262" s="208"/>
      <c r="AH262" s="208"/>
      <c r="AI262" s="208"/>
      <c r="AJ262" s="208"/>
      <c r="AK262" s="208"/>
    </row>
    <row r="263">
      <c r="A263" s="234"/>
      <c r="B263" s="208"/>
      <c r="C263" s="208"/>
      <c r="D263" s="208"/>
      <c r="E263" s="208"/>
      <c r="F263" s="208"/>
      <c r="G263" s="208"/>
      <c r="H263" s="208"/>
      <c r="I263" s="233"/>
      <c r="J263" s="208"/>
      <c r="K263" s="208"/>
      <c r="L263" s="208"/>
      <c r="M263" s="208"/>
      <c r="N263" s="208"/>
      <c r="O263" s="208"/>
      <c r="P263" s="208"/>
      <c r="Q263" s="208"/>
      <c r="R263" s="208"/>
      <c r="S263" s="208"/>
      <c r="T263" s="208"/>
      <c r="U263" s="208"/>
      <c r="V263" s="208"/>
      <c r="W263" s="232"/>
      <c r="X263" s="232"/>
      <c r="Y263" s="232"/>
      <c r="Z263" s="232"/>
      <c r="AA263" s="232"/>
      <c r="AB263" s="232"/>
      <c r="AC263" s="232"/>
      <c r="AD263" s="232"/>
      <c r="AE263" s="232"/>
      <c r="AF263" s="232"/>
      <c r="AG263" s="208"/>
      <c r="AH263" s="208"/>
      <c r="AI263" s="208"/>
      <c r="AJ263" s="208"/>
      <c r="AK263" s="208"/>
    </row>
    <row r="264">
      <c r="A264" s="234"/>
      <c r="B264" s="208"/>
      <c r="C264" s="208"/>
      <c r="D264" s="208"/>
      <c r="E264" s="208"/>
      <c r="F264" s="208"/>
      <c r="G264" s="208"/>
      <c r="H264" s="208"/>
      <c r="I264" s="233"/>
      <c r="J264" s="208"/>
      <c r="K264" s="208"/>
      <c r="L264" s="208"/>
      <c r="M264" s="208"/>
      <c r="N264" s="208"/>
      <c r="O264" s="208"/>
      <c r="P264" s="208"/>
      <c r="Q264" s="208"/>
      <c r="R264" s="208"/>
      <c r="S264" s="208"/>
      <c r="T264" s="208"/>
      <c r="U264" s="208"/>
      <c r="V264" s="208"/>
      <c r="W264" s="232"/>
      <c r="X264" s="232"/>
      <c r="Y264" s="232"/>
      <c r="Z264" s="232"/>
      <c r="AA264" s="232"/>
      <c r="AB264" s="232"/>
      <c r="AC264" s="232"/>
      <c r="AD264" s="232"/>
      <c r="AE264" s="232"/>
      <c r="AF264" s="232"/>
      <c r="AG264" s="208"/>
      <c r="AH264" s="208"/>
      <c r="AI264" s="208"/>
      <c r="AJ264" s="208"/>
      <c r="AK264" s="208"/>
    </row>
    <row r="265">
      <c r="A265" s="234"/>
      <c r="B265" s="208"/>
      <c r="C265" s="208"/>
      <c r="D265" s="208"/>
      <c r="E265" s="208"/>
      <c r="F265" s="208"/>
      <c r="G265" s="208"/>
      <c r="H265" s="208"/>
      <c r="I265" s="233"/>
      <c r="J265" s="208"/>
      <c r="K265" s="208"/>
      <c r="L265" s="208"/>
      <c r="M265" s="208"/>
      <c r="N265" s="208"/>
      <c r="O265" s="208"/>
      <c r="P265" s="208"/>
      <c r="Q265" s="208"/>
      <c r="R265" s="208"/>
      <c r="S265" s="208"/>
      <c r="T265" s="208"/>
      <c r="U265" s="208"/>
      <c r="V265" s="208"/>
      <c r="W265" s="232"/>
      <c r="X265" s="232"/>
      <c r="Y265" s="232"/>
      <c r="Z265" s="232"/>
      <c r="AA265" s="232"/>
      <c r="AB265" s="232"/>
      <c r="AC265" s="232"/>
      <c r="AD265" s="232"/>
      <c r="AE265" s="232"/>
      <c r="AF265" s="232"/>
      <c r="AG265" s="208"/>
      <c r="AH265" s="208"/>
      <c r="AI265" s="208"/>
      <c r="AJ265" s="208"/>
      <c r="AK265" s="208"/>
    </row>
    <row r="266">
      <c r="A266" s="234"/>
      <c r="B266" s="208"/>
      <c r="C266" s="208"/>
      <c r="D266" s="208"/>
      <c r="E266" s="208"/>
      <c r="F266" s="208"/>
      <c r="G266" s="208"/>
      <c r="H266" s="208"/>
      <c r="I266" s="233"/>
      <c r="J266" s="208"/>
      <c r="K266" s="208"/>
      <c r="L266" s="208"/>
      <c r="M266" s="208"/>
      <c r="N266" s="208"/>
      <c r="O266" s="208"/>
      <c r="P266" s="208"/>
      <c r="Q266" s="208"/>
      <c r="R266" s="208"/>
      <c r="S266" s="208"/>
      <c r="T266" s="208"/>
      <c r="U266" s="208"/>
      <c r="V266" s="208"/>
      <c r="W266" s="232"/>
      <c r="X266" s="232"/>
      <c r="Y266" s="232"/>
      <c r="Z266" s="232"/>
      <c r="AA266" s="232"/>
      <c r="AB266" s="232"/>
      <c r="AC266" s="232"/>
      <c r="AD266" s="232"/>
      <c r="AE266" s="232"/>
      <c r="AF266" s="232"/>
      <c r="AG266" s="208"/>
      <c r="AH266" s="208"/>
      <c r="AI266" s="208"/>
      <c r="AJ266" s="208"/>
      <c r="AK266" s="208"/>
    </row>
    <row r="267">
      <c r="A267" s="234"/>
      <c r="B267" s="208"/>
      <c r="C267" s="208"/>
      <c r="D267" s="208"/>
      <c r="E267" s="208"/>
      <c r="F267" s="208"/>
      <c r="G267" s="208"/>
      <c r="H267" s="208"/>
      <c r="I267" s="233"/>
      <c r="J267" s="208"/>
      <c r="K267" s="208"/>
      <c r="L267" s="208"/>
      <c r="M267" s="208"/>
      <c r="N267" s="208"/>
      <c r="O267" s="208"/>
      <c r="P267" s="208"/>
      <c r="Q267" s="208"/>
      <c r="R267" s="208"/>
      <c r="S267" s="208"/>
      <c r="T267" s="208"/>
      <c r="U267" s="208"/>
      <c r="V267" s="208"/>
      <c r="W267" s="232"/>
      <c r="X267" s="232"/>
      <c r="Y267" s="232"/>
      <c r="Z267" s="232"/>
      <c r="AA267" s="232"/>
      <c r="AB267" s="232"/>
      <c r="AC267" s="232"/>
      <c r="AD267" s="232"/>
      <c r="AE267" s="232"/>
      <c r="AF267" s="232"/>
      <c r="AG267" s="208"/>
      <c r="AH267" s="208"/>
      <c r="AI267" s="208"/>
      <c r="AJ267" s="208"/>
      <c r="AK267" s="208"/>
    </row>
    <row r="268">
      <c r="A268" s="234"/>
      <c r="B268" s="208"/>
      <c r="C268" s="208"/>
      <c r="D268" s="208"/>
      <c r="E268" s="208"/>
      <c r="F268" s="208"/>
      <c r="G268" s="208"/>
      <c r="H268" s="208"/>
      <c r="I268" s="233"/>
      <c r="J268" s="208"/>
      <c r="K268" s="208"/>
      <c r="L268" s="208"/>
      <c r="M268" s="208"/>
      <c r="N268" s="208"/>
      <c r="O268" s="208"/>
      <c r="P268" s="208"/>
      <c r="Q268" s="208"/>
      <c r="R268" s="208"/>
      <c r="S268" s="208"/>
      <c r="T268" s="208"/>
      <c r="U268" s="208"/>
      <c r="V268" s="208"/>
      <c r="W268" s="232"/>
      <c r="X268" s="232"/>
      <c r="Y268" s="232"/>
      <c r="Z268" s="232"/>
      <c r="AA268" s="232"/>
      <c r="AB268" s="232"/>
      <c r="AC268" s="232"/>
      <c r="AD268" s="232"/>
      <c r="AE268" s="232"/>
      <c r="AF268" s="232"/>
      <c r="AG268" s="208"/>
      <c r="AH268" s="208"/>
      <c r="AI268" s="208"/>
      <c r="AJ268" s="208"/>
      <c r="AK268" s="208"/>
    </row>
    <row r="269">
      <c r="A269" s="234"/>
      <c r="B269" s="208"/>
      <c r="C269" s="208"/>
      <c r="D269" s="208"/>
      <c r="E269" s="208"/>
      <c r="F269" s="208"/>
      <c r="G269" s="208"/>
      <c r="H269" s="208"/>
      <c r="I269" s="233"/>
      <c r="J269" s="208"/>
      <c r="K269" s="208"/>
      <c r="L269" s="208"/>
      <c r="M269" s="208"/>
      <c r="N269" s="208"/>
      <c r="O269" s="208"/>
      <c r="P269" s="208"/>
      <c r="Q269" s="208"/>
      <c r="R269" s="208"/>
      <c r="S269" s="208"/>
      <c r="T269" s="208"/>
      <c r="U269" s="208"/>
      <c r="V269" s="208"/>
      <c r="W269" s="232"/>
      <c r="X269" s="232"/>
      <c r="Y269" s="232"/>
      <c r="Z269" s="232"/>
      <c r="AA269" s="232"/>
      <c r="AB269" s="232"/>
      <c r="AC269" s="232"/>
      <c r="AD269" s="232"/>
      <c r="AE269" s="232"/>
      <c r="AF269" s="232"/>
      <c r="AG269" s="208"/>
      <c r="AH269" s="208"/>
      <c r="AI269" s="208"/>
      <c r="AJ269" s="208"/>
      <c r="AK269" s="208"/>
    </row>
    <row r="270">
      <c r="A270" s="234"/>
      <c r="B270" s="208"/>
      <c r="C270" s="208"/>
      <c r="D270" s="208"/>
      <c r="E270" s="208"/>
      <c r="F270" s="208"/>
      <c r="G270" s="208"/>
      <c r="H270" s="208"/>
      <c r="I270" s="233"/>
      <c r="J270" s="208"/>
      <c r="K270" s="208"/>
      <c r="L270" s="208"/>
      <c r="M270" s="208"/>
      <c r="N270" s="208"/>
      <c r="O270" s="208"/>
      <c r="P270" s="208"/>
      <c r="Q270" s="208"/>
      <c r="R270" s="208"/>
      <c r="S270" s="208"/>
      <c r="T270" s="208"/>
      <c r="U270" s="208"/>
      <c r="V270" s="208"/>
      <c r="W270" s="232"/>
      <c r="X270" s="232"/>
      <c r="Y270" s="232"/>
      <c r="Z270" s="232"/>
      <c r="AA270" s="232"/>
      <c r="AB270" s="232"/>
      <c r="AC270" s="232"/>
      <c r="AD270" s="232"/>
      <c r="AE270" s="232"/>
      <c r="AF270" s="232"/>
      <c r="AG270" s="208"/>
      <c r="AH270" s="208"/>
      <c r="AI270" s="208"/>
      <c r="AJ270" s="208"/>
      <c r="AK270" s="208"/>
    </row>
    <row r="271">
      <c r="A271" s="234"/>
      <c r="B271" s="208"/>
      <c r="C271" s="208"/>
      <c r="D271" s="208"/>
      <c r="E271" s="208"/>
      <c r="F271" s="208"/>
      <c r="G271" s="208"/>
      <c r="H271" s="208"/>
      <c r="I271" s="233"/>
      <c r="J271" s="208"/>
      <c r="K271" s="208"/>
      <c r="L271" s="208"/>
      <c r="M271" s="208"/>
      <c r="N271" s="208"/>
      <c r="O271" s="208"/>
      <c r="P271" s="208"/>
      <c r="Q271" s="208"/>
      <c r="R271" s="208"/>
      <c r="S271" s="208"/>
      <c r="T271" s="208"/>
      <c r="U271" s="208"/>
      <c r="V271" s="208"/>
      <c r="W271" s="232"/>
      <c r="X271" s="232"/>
      <c r="Y271" s="232"/>
      <c r="Z271" s="232"/>
      <c r="AA271" s="232"/>
      <c r="AB271" s="232"/>
      <c r="AC271" s="232"/>
      <c r="AD271" s="232"/>
      <c r="AE271" s="232"/>
      <c r="AF271" s="232"/>
      <c r="AG271" s="208"/>
      <c r="AH271" s="208"/>
      <c r="AI271" s="208"/>
      <c r="AJ271" s="208"/>
      <c r="AK271" s="208"/>
    </row>
    <row r="272">
      <c r="A272" s="234"/>
      <c r="B272" s="208"/>
      <c r="C272" s="208"/>
      <c r="D272" s="208"/>
      <c r="E272" s="208"/>
      <c r="F272" s="208"/>
      <c r="G272" s="208"/>
      <c r="H272" s="208"/>
      <c r="I272" s="233"/>
      <c r="J272" s="208"/>
      <c r="K272" s="208"/>
      <c r="L272" s="208"/>
      <c r="M272" s="208"/>
      <c r="N272" s="208"/>
      <c r="O272" s="208"/>
      <c r="P272" s="208"/>
      <c r="Q272" s="208"/>
      <c r="R272" s="208"/>
      <c r="S272" s="208"/>
      <c r="T272" s="208"/>
      <c r="U272" s="208"/>
      <c r="V272" s="208"/>
      <c r="W272" s="232"/>
      <c r="X272" s="232"/>
      <c r="Y272" s="232"/>
      <c r="Z272" s="232"/>
      <c r="AA272" s="232"/>
      <c r="AB272" s="232"/>
      <c r="AC272" s="232"/>
      <c r="AD272" s="232"/>
      <c r="AE272" s="232"/>
      <c r="AF272" s="232"/>
      <c r="AG272" s="208"/>
      <c r="AH272" s="208"/>
      <c r="AI272" s="208"/>
      <c r="AJ272" s="208"/>
      <c r="AK272" s="208"/>
    </row>
    <row r="273">
      <c r="A273" s="234"/>
      <c r="B273" s="208"/>
      <c r="C273" s="208"/>
      <c r="D273" s="208"/>
      <c r="E273" s="208"/>
      <c r="F273" s="208"/>
      <c r="G273" s="208"/>
      <c r="H273" s="208"/>
      <c r="I273" s="233"/>
      <c r="J273" s="208"/>
      <c r="K273" s="208"/>
      <c r="L273" s="208"/>
      <c r="M273" s="208"/>
      <c r="N273" s="208"/>
      <c r="O273" s="208"/>
      <c r="P273" s="208"/>
      <c r="Q273" s="208"/>
      <c r="R273" s="208"/>
      <c r="S273" s="208"/>
      <c r="T273" s="208"/>
      <c r="U273" s="208"/>
      <c r="V273" s="208"/>
      <c r="W273" s="232"/>
      <c r="X273" s="232"/>
      <c r="Y273" s="232"/>
      <c r="Z273" s="232"/>
      <c r="AA273" s="232"/>
      <c r="AB273" s="232"/>
      <c r="AC273" s="232"/>
      <c r="AD273" s="232"/>
      <c r="AE273" s="232"/>
      <c r="AF273" s="232"/>
      <c r="AG273" s="208"/>
      <c r="AH273" s="208"/>
      <c r="AI273" s="208"/>
      <c r="AJ273" s="208"/>
      <c r="AK273" s="208"/>
    </row>
    <row r="274">
      <c r="A274" s="234"/>
      <c r="B274" s="208"/>
      <c r="C274" s="208"/>
      <c r="D274" s="208"/>
      <c r="E274" s="208"/>
      <c r="F274" s="208"/>
      <c r="G274" s="208"/>
      <c r="H274" s="208"/>
      <c r="I274" s="233"/>
      <c r="J274" s="208"/>
      <c r="K274" s="208"/>
      <c r="L274" s="208"/>
      <c r="M274" s="208"/>
      <c r="N274" s="208"/>
      <c r="O274" s="208"/>
      <c r="P274" s="208"/>
      <c r="Q274" s="208"/>
      <c r="R274" s="208"/>
      <c r="S274" s="208"/>
      <c r="T274" s="208"/>
      <c r="U274" s="208"/>
      <c r="V274" s="208"/>
      <c r="W274" s="232"/>
      <c r="X274" s="232"/>
      <c r="Y274" s="232"/>
      <c r="Z274" s="232"/>
      <c r="AA274" s="232"/>
      <c r="AB274" s="232"/>
      <c r="AC274" s="232"/>
      <c r="AD274" s="232"/>
      <c r="AE274" s="232"/>
      <c r="AF274" s="232"/>
      <c r="AG274" s="208"/>
      <c r="AH274" s="208"/>
      <c r="AI274" s="208"/>
      <c r="AJ274" s="208"/>
      <c r="AK274" s="208"/>
    </row>
    <row r="275">
      <c r="A275" s="234"/>
      <c r="B275" s="208"/>
      <c r="C275" s="208"/>
      <c r="D275" s="208"/>
      <c r="E275" s="208"/>
      <c r="F275" s="208"/>
      <c r="G275" s="208"/>
      <c r="H275" s="208"/>
      <c r="I275" s="233"/>
      <c r="J275" s="208"/>
      <c r="K275" s="208"/>
      <c r="L275" s="208"/>
      <c r="M275" s="208"/>
      <c r="N275" s="208"/>
      <c r="O275" s="208"/>
      <c r="P275" s="208"/>
      <c r="Q275" s="208"/>
      <c r="R275" s="208"/>
      <c r="S275" s="208"/>
      <c r="T275" s="208"/>
      <c r="U275" s="208"/>
      <c r="V275" s="208"/>
      <c r="W275" s="232"/>
      <c r="X275" s="232"/>
      <c r="Y275" s="232"/>
      <c r="Z275" s="232"/>
      <c r="AA275" s="232"/>
      <c r="AB275" s="232"/>
      <c r="AC275" s="232"/>
      <c r="AD275" s="232"/>
      <c r="AE275" s="232"/>
      <c r="AF275" s="232"/>
      <c r="AG275" s="208"/>
      <c r="AH275" s="208"/>
      <c r="AI275" s="208"/>
      <c r="AJ275" s="208"/>
      <c r="AK275" s="208"/>
    </row>
    <row r="276">
      <c r="A276" s="234"/>
      <c r="B276" s="208"/>
      <c r="C276" s="208"/>
      <c r="D276" s="208"/>
      <c r="E276" s="208"/>
      <c r="F276" s="208"/>
      <c r="G276" s="208"/>
      <c r="H276" s="208"/>
      <c r="I276" s="233"/>
      <c r="J276" s="208"/>
      <c r="K276" s="208"/>
      <c r="L276" s="208"/>
      <c r="M276" s="208"/>
      <c r="N276" s="208"/>
      <c r="O276" s="208"/>
      <c r="P276" s="208"/>
      <c r="Q276" s="208"/>
      <c r="R276" s="208"/>
      <c r="S276" s="208"/>
      <c r="T276" s="208"/>
      <c r="U276" s="208"/>
      <c r="V276" s="208"/>
      <c r="W276" s="232"/>
      <c r="X276" s="232"/>
      <c r="Y276" s="232"/>
      <c r="Z276" s="232"/>
      <c r="AA276" s="232"/>
      <c r="AB276" s="232"/>
      <c r="AC276" s="232"/>
      <c r="AD276" s="232"/>
      <c r="AE276" s="232"/>
      <c r="AF276" s="232"/>
      <c r="AG276" s="208"/>
      <c r="AH276" s="208"/>
      <c r="AI276" s="208"/>
      <c r="AJ276" s="208"/>
      <c r="AK276" s="208"/>
    </row>
    <row r="277">
      <c r="A277" s="234"/>
      <c r="B277" s="208"/>
      <c r="C277" s="208"/>
      <c r="D277" s="208"/>
      <c r="E277" s="208"/>
      <c r="F277" s="208"/>
      <c r="G277" s="208"/>
      <c r="H277" s="208"/>
      <c r="I277" s="233"/>
      <c r="J277" s="208"/>
      <c r="K277" s="208"/>
      <c r="L277" s="208"/>
      <c r="M277" s="208"/>
      <c r="N277" s="208"/>
      <c r="O277" s="208"/>
      <c r="P277" s="208"/>
      <c r="Q277" s="208"/>
      <c r="R277" s="208"/>
      <c r="S277" s="208"/>
      <c r="T277" s="208"/>
      <c r="U277" s="208"/>
      <c r="V277" s="208"/>
      <c r="W277" s="232"/>
      <c r="X277" s="232"/>
      <c r="Y277" s="232"/>
      <c r="Z277" s="232"/>
      <c r="AA277" s="232"/>
      <c r="AB277" s="232"/>
      <c r="AC277" s="232"/>
      <c r="AD277" s="232"/>
      <c r="AE277" s="232"/>
      <c r="AF277" s="232"/>
      <c r="AG277" s="208"/>
      <c r="AH277" s="208"/>
      <c r="AI277" s="208"/>
      <c r="AJ277" s="208"/>
      <c r="AK277" s="208"/>
    </row>
    <row r="278">
      <c r="A278" s="234"/>
      <c r="B278" s="208"/>
      <c r="C278" s="208"/>
      <c r="D278" s="208"/>
      <c r="E278" s="208"/>
      <c r="F278" s="208"/>
      <c r="G278" s="208"/>
      <c r="H278" s="208"/>
      <c r="I278" s="233"/>
      <c r="J278" s="208"/>
      <c r="K278" s="208"/>
      <c r="L278" s="208"/>
      <c r="M278" s="208"/>
      <c r="N278" s="208"/>
      <c r="O278" s="208"/>
      <c r="P278" s="208"/>
      <c r="Q278" s="208"/>
      <c r="R278" s="208"/>
      <c r="S278" s="208"/>
      <c r="T278" s="208"/>
      <c r="U278" s="208"/>
      <c r="V278" s="208"/>
      <c r="W278" s="232"/>
      <c r="X278" s="232"/>
      <c r="Y278" s="232"/>
      <c r="Z278" s="232"/>
      <c r="AA278" s="232"/>
      <c r="AB278" s="232"/>
      <c r="AC278" s="232"/>
      <c r="AD278" s="232"/>
      <c r="AE278" s="232"/>
      <c r="AF278" s="232"/>
      <c r="AG278" s="208"/>
      <c r="AH278" s="208"/>
      <c r="AI278" s="208"/>
      <c r="AJ278" s="208"/>
      <c r="AK278" s="208"/>
    </row>
    <row r="279">
      <c r="A279" s="234"/>
      <c r="B279" s="208"/>
      <c r="C279" s="208"/>
      <c r="D279" s="208"/>
      <c r="E279" s="208"/>
      <c r="F279" s="208"/>
      <c r="G279" s="208"/>
      <c r="H279" s="208"/>
      <c r="I279" s="233"/>
      <c r="J279" s="208"/>
      <c r="K279" s="208"/>
      <c r="L279" s="208"/>
      <c r="M279" s="208"/>
      <c r="N279" s="208"/>
      <c r="O279" s="208"/>
      <c r="P279" s="208"/>
      <c r="Q279" s="208"/>
      <c r="R279" s="208"/>
      <c r="S279" s="208"/>
      <c r="T279" s="208"/>
      <c r="U279" s="208"/>
      <c r="V279" s="208"/>
      <c r="W279" s="232"/>
      <c r="X279" s="232"/>
      <c r="Y279" s="232"/>
      <c r="Z279" s="232"/>
      <c r="AA279" s="232"/>
      <c r="AB279" s="232"/>
      <c r="AC279" s="232"/>
      <c r="AD279" s="232"/>
      <c r="AE279" s="232"/>
      <c r="AF279" s="232"/>
      <c r="AG279" s="208"/>
      <c r="AH279" s="208"/>
      <c r="AI279" s="208"/>
      <c r="AJ279" s="208"/>
      <c r="AK279" s="208"/>
    </row>
    <row r="280">
      <c r="A280" s="234"/>
      <c r="B280" s="208"/>
      <c r="C280" s="208"/>
      <c r="D280" s="208"/>
      <c r="E280" s="208"/>
      <c r="F280" s="208"/>
      <c r="G280" s="208"/>
      <c r="H280" s="208"/>
      <c r="I280" s="233"/>
      <c r="J280" s="208"/>
      <c r="K280" s="208"/>
      <c r="L280" s="208"/>
      <c r="M280" s="208"/>
      <c r="N280" s="208"/>
      <c r="O280" s="208"/>
      <c r="P280" s="208"/>
      <c r="Q280" s="208"/>
      <c r="R280" s="208"/>
      <c r="S280" s="208"/>
      <c r="T280" s="208"/>
      <c r="U280" s="208"/>
      <c r="V280" s="208"/>
      <c r="W280" s="232"/>
      <c r="X280" s="232"/>
      <c r="Y280" s="232"/>
      <c r="Z280" s="232"/>
      <c r="AA280" s="232"/>
      <c r="AB280" s="232"/>
      <c r="AC280" s="232"/>
      <c r="AD280" s="232"/>
      <c r="AE280" s="232"/>
      <c r="AF280" s="232"/>
      <c r="AG280" s="208"/>
      <c r="AH280" s="208"/>
      <c r="AI280" s="208"/>
      <c r="AJ280" s="208"/>
      <c r="AK280" s="208"/>
    </row>
    <row r="281">
      <c r="A281" s="234"/>
      <c r="B281" s="208"/>
      <c r="C281" s="208"/>
      <c r="D281" s="208"/>
      <c r="E281" s="208"/>
      <c r="F281" s="208"/>
      <c r="G281" s="208"/>
      <c r="H281" s="208"/>
      <c r="I281" s="233"/>
      <c r="J281" s="208"/>
      <c r="K281" s="208"/>
      <c r="L281" s="208"/>
      <c r="M281" s="208"/>
      <c r="N281" s="208"/>
      <c r="O281" s="208"/>
      <c r="P281" s="208"/>
      <c r="Q281" s="208"/>
      <c r="R281" s="208"/>
      <c r="S281" s="208"/>
      <c r="T281" s="208"/>
      <c r="U281" s="208"/>
      <c r="V281" s="208"/>
      <c r="W281" s="232"/>
      <c r="X281" s="232"/>
      <c r="Y281" s="232"/>
      <c r="Z281" s="232"/>
      <c r="AA281" s="232"/>
      <c r="AB281" s="232"/>
      <c r="AC281" s="232"/>
      <c r="AD281" s="232"/>
      <c r="AE281" s="232"/>
      <c r="AF281" s="232"/>
      <c r="AG281" s="208"/>
      <c r="AH281" s="208"/>
      <c r="AI281" s="208"/>
      <c r="AJ281" s="208"/>
      <c r="AK281" s="208"/>
    </row>
    <row r="282">
      <c r="A282" s="234"/>
      <c r="B282" s="208"/>
      <c r="C282" s="208"/>
      <c r="D282" s="208"/>
      <c r="E282" s="208"/>
      <c r="F282" s="208"/>
      <c r="G282" s="208"/>
      <c r="H282" s="208"/>
      <c r="I282" s="233"/>
      <c r="J282" s="208"/>
      <c r="K282" s="208"/>
      <c r="L282" s="208"/>
      <c r="M282" s="208"/>
      <c r="N282" s="208"/>
      <c r="O282" s="208"/>
      <c r="P282" s="208"/>
      <c r="Q282" s="208"/>
      <c r="R282" s="208"/>
      <c r="S282" s="208"/>
      <c r="T282" s="208"/>
      <c r="U282" s="208"/>
      <c r="V282" s="208"/>
      <c r="W282" s="232"/>
      <c r="X282" s="232"/>
      <c r="Y282" s="232"/>
      <c r="Z282" s="232"/>
      <c r="AA282" s="232"/>
      <c r="AB282" s="232"/>
      <c r="AC282" s="232"/>
      <c r="AD282" s="232"/>
      <c r="AE282" s="232"/>
      <c r="AF282" s="232"/>
      <c r="AG282" s="208"/>
      <c r="AH282" s="208"/>
      <c r="AI282" s="208"/>
      <c r="AJ282" s="208"/>
      <c r="AK282" s="208"/>
    </row>
    <row r="283">
      <c r="A283" s="234"/>
      <c r="B283" s="208"/>
      <c r="C283" s="208"/>
      <c r="D283" s="208"/>
      <c r="E283" s="208"/>
      <c r="F283" s="208"/>
      <c r="G283" s="208"/>
      <c r="H283" s="208"/>
      <c r="I283" s="233"/>
      <c r="J283" s="208"/>
      <c r="K283" s="208"/>
      <c r="L283" s="208"/>
      <c r="M283" s="208"/>
      <c r="N283" s="208"/>
      <c r="O283" s="208"/>
      <c r="P283" s="208"/>
      <c r="Q283" s="208"/>
      <c r="R283" s="208"/>
      <c r="S283" s="208"/>
      <c r="T283" s="208"/>
      <c r="U283" s="208"/>
      <c r="V283" s="208"/>
      <c r="W283" s="232"/>
      <c r="X283" s="232"/>
      <c r="Y283" s="232"/>
      <c r="Z283" s="232"/>
      <c r="AA283" s="232"/>
      <c r="AB283" s="232"/>
      <c r="AC283" s="232"/>
      <c r="AD283" s="232"/>
      <c r="AE283" s="232"/>
      <c r="AF283" s="232"/>
      <c r="AG283" s="208"/>
      <c r="AH283" s="208"/>
      <c r="AI283" s="208"/>
      <c r="AJ283" s="208"/>
      <c r="AK283" s="208"/>
    </row>
    <row r="284">
      <c r="A284" s="234"/>
      <c r="B284" s="208"/>
      <c r="C284" s="208"/>
      <c r="D284" s="208"/>
      <c r="E284" s="208"/>
      <c r="F284" s="208"/>
      <c r="G284" s="208"/>
      <c r="H284" s="208"/>
      <c r="I284" s="233"/>
      <c r="J284" s="208"/>
      <c r="K284" s="208"/>
      <c r="L284" s="208"/>
      <c r="M284" s="208"/>
      <c r="N284" s="208"/>
      <c r="O284" s="208"/>
      <c r="P284" s="208"/>
      <c r="Q284" s="208"/>
      <c r="R284" s="208"/>
      <c r="S284" s="208"/>
      <c r="T284" s="208"/>
      <c r="U284" s="208"/>
      <c r="V284" s="208"/>
      <c r="W284" s="232"/>
      <c r="X284" s="232"/>
      <c r="Y284" s="232"/>
      <c r="Z284" s="232"/>
      <c r="AA284" s="232"/>
      <c r="AB284" s="232"/>
      <c r="AC284" s="232"/>
      <c r="AD284" s="232"/>
      <c r="AE284" s="232"/>
      <c r="AF284" s="232"/>
      <c r="AG284" s="208"/>
      <c r="AH284" s="208"/>
      <c r="AI284" s="208"/>
      <c r="AJ284" s="208"/>
      <c r="AK284" s="208"/>
    </row>
    <row r="285">
      <c r="A285" s="234"/>
      <c r="B285" s="208"/>
      <c r="C285" s="208"/>
      <c r="D285" s="208"/>
      <c r="E285" s="208"/>
      <c r="F285" s="208"/>
      <c r="G285" s="208"/>
      <c r="H285" s="208"/>
      <c r="I285" s="233"/>
      <c r="J285" s="208"/>
      <c r="K285" s="208"/>
      <c r="L285" s="208"/>
      <c r="M285" s="208"/>
      <c r="N285" s="208"/>
      <c r="O285" s="208"/>
      <c r="P285" s="208"/>
      <c r="Q285" s="208"/>
      <c r="R285" s="208"/>
      <c r="S285" s="208"/>
      <c r="T285" s="208"/>
      <c r="U285" s="208"/>
      <c r="V285" s="208"/>
      <c r="W285" s="232"/>
      <c r="X285" s="232"/>
      <c r="Y285" s="232"/>
      <c r="Z285" s="232"/>
      <c r="AA285" s="232"/>
      <c r="AB285" s="232"/>
      <c r="AC285" s="232"/>
      <c r="AD285" s="232"/>
      <c r="AE285" s="232"/>
      <c r="AF285" s="232"/>
      <c r="AG285" s="208"/>
      <c r="AH285" s="208"/>
      <c r="AI285" s="208"/>
      <c r="AJ285" s="208"/>
      <c r="AK285" s="208"/>
    </row>
    <row r="286">
      <c r="A286" s="234"/>
      <c r="B286" s="208"/>
      <c r="C286" s="208"/>
      <c r="D286" s="208"/>
      <c r="E286" s="208"/>
      <c r="F286" s="208"/>
      <c r="G286" s="208"/>
      <c r="H286" s="208"/>
      <c r="I286" s="233"/>
      <c r="J286" s="208"/>
      <c r="K286" s="208"/>
      <c r="L286" s="208"/>
      <c r="M286" s="208"/>
      <c r="N286" s="208"/>
      <c r="O286" s="208"/>
      <c r="P286" s="208"/>
      <c r="Q286" s="208"/>
      <c r="R286" s="208"/>
      <c r="S286" s="208"/>
      <c r="T286" s="208"/>
      <c r="U286" s="208"/>
      <c r="V286" s="208"/>
      <c r="W286" s="232"/>
      <c r="X286" s="232"/>
      <c r="Y286" s="232"/>
      <c r="Z286" s="232"/>
      <c r="AA286" s="232"/>
      <c r="AB286" s="232"/>
      <c r="AC286" s="232"/>
      <c r="AD286" s="232"/>
      <c r="AE286" s="232"/>
      <c r="AF286" s="232"/>
      <c r="AG286" s="208"/>
      <c r="AH286" s="208"/>
      <c r="AI286" s="208"/>
      <c r="AJ286" s="208"/>
      <c r="AK286" s="208"/>
    </row>
    <row r="287">
      <c r="A287" s="234"/>
      <c r="B287" s="208"/>
      <c r="C287" s="208"/>
      <c r="D287" s="208"/>
      <c r="E287" s="208"/>
      <c r="F287" s="208"/>
      <c r="G287" s="208"/>
      <c r="H287" s="208"/>
      <c r="I287" s="233"/>
      <c r="J287" s="208"/>
      <c r="K287" s="208"/>
      <c r="L287" s="208"/>
      <c r="M287" s="208"/>
      <c r="N287" s="208"/>
      <c r="O287" s="208"/>
      <c r="P287" s="208"/>
      <c r="Q287" s="208"/>
      <c r="R287" s="208"/>
      <c r="S287" s="208"/>
      <c r="T287" s="208"/>
      <c r="U287" s="208"/>
      <c r="V287" s="208"/>
      <c r="W287" s="232"/>
      <c r="X287" s="232"/>
      <c r="Y287" s="232"/>
      <c r="Z287" s="232"/>
      <c r="AA287" s="232"/>
      <c r="AB287" s="232"/>
      <c r="AC287" s="232"/>
      <c r="AD287" s="232"/>
      <c r="AE287" s="232"/>
      <c r="AF287" s="232"/>
      <c r="AG287" s="208"/>
      <c r="AH287" s="208"/>
      <c r="AI287" s="208"/>
      <c r="AJ287" s="208"/>
      <c r="AK287" s="208"/>
    </row>
    <row r="288">
      <c r="A288" s="234"/>
      <c r="B288" s="208"/>
      <c r="C288" s="208"/>
      <c r="D288" s="208"/>
      <c r="E288" s="208"/>
      <c r="F288" s="208"/>
      <c r="G288" s="208"/>
      <c r="H288" s="208"/>
      <c r="I288" s="233"/>
      <c r="J288" s="208"/>
      <c r="K288" s="208"/>
      <c r="L288" s="208"/>
      <c r="M288" s="208"/>
      <c r="N288" s="208"/>
      <c r="O288" s="208"/>
      <c r="P288" s="208"/>
      <c r="Q288" s="208"/>
      <c r="R288" s="208"/>
      <c r="S288" s="208"/>
      <c r="T288" s="208"/>
      <c r="U288" s="208"/>
      <c r="V288" s="208"/>
      <c r="W288" s="232"/>
      <c r="X288" s="232"/>
      <c r="Y288" s="232"/>
      <c r="Z288" s="232"/>
      <c r="AA288" s="232"/>
      <c r="AB288" s="232"/>
      <c r="AC288" s="232"/>
      <c r="AD288" s="232"/>
      <c r="AE288" s="232"/>
      <c r="AF288" s="232"/>
      <c r="AG288" s="208"/>
      <c r="AH288" s="208"/>
      <c r="AI288" s="208"/>
      <c r="AJ288" s="208"/>
      <c r="AK288" s="208"/>
    </row>
    <row r="289">
      <c r="A289" s="234"/>
      <c r="B289" s="208"/>
      <c r="C289" s="208"/>
      <c r="D289" s="208"/>
      <c r="E289" s="208"/>
      <c r="F289" s="208"/>
      <c r="G289" s="208"/>
      <c r="H289" s="208"/>
      <c r="I289" s="233"/>
      <c r="J289" s="208"/>
      <c r="K289" s="208"/>
      <c r="L289" s="208"/>
      <c r="M289" s="208"/>
      <c r="N289" s="208"/>
      <c r="O289" s="208"/>
      <c r="P289" s="208"/>
      <c r="Q289" s="208"/>
      <c r="R289" s="208"/>
      <c r="S289" s="208"/>
      <c r="T289" s="208"/>
      <c r="U289" s="208"/>
      <c r="V289" s="208"/>
      <c r="W289" s="232"/>
      <c r="X289" s="232"/>
      <c r="Y289" s="232"/>
      <c r="Z289" s="232"/>
      <c r="AA289" s="232"/>
      <c r="AB289" s="232"/>
      <c r="AC289" s="232"/>
      <c r="AD289" s="232"/>
      <c r="AE289" s="232"/>
      <c r="AF289" s="232"/>
      <c r="AG289" s="208"/>
      <c r="AH289" s="208"/>
      <c r="AI289" s="208"/>
      <c r="AJ289" s="208"/>
      <c r="AK289" s="208"/>
    </row>
    <row r="290">
      <c r="A290" s="234"/>
      <c r="B290" s="208"/>
      <c r="C290" s="208"/>
      <c r="D290" s="208"/>
      <c r="E290" s="208"/>
      <c r="F290" s="208"/>
      <c r="G290" s="208"/>
      <c r="H290" s="208"/>
      <c r="I290" s="233"/>
      <c r="J290" s="208"/>
      <c r="K290" s="208"/>
      <c r="L290" s="208"/>
      <c r="M290" s="208"/>
      <c r="N290" s="208"/>
      <c r="O290" s="208"/>
      <c r="P290" s="208"/>
      <c r="Q290" s="208"/>
      <c r="R290" s="208"/>
      <c r="S290" s="208"/>
      <c r="T290" s="208"/>
      <c r="U290" s="208"/>
      <c r="V290" s="208"/>
      <c r="W290" s="232"/>
      <c r="X290" s="232"/>
      <c r="Y290" s="232"/>
      <c r="Z290" s="232"/>
      <c r="AA290" s="232"/>
      <c r="AB290" s="232"/>
      <c r="AC290" s="232"/>
      <c r="AD290" s="232"/>
      <c r="AE290" s="232"/>
      <c r="AF290" s="232"/>
      <c r="AG290" s="208"/>
      <c r="AH290" s="208"/>
      <c r="AI290" s="208"/>
      <c r="AJ290" s="208"/>
      <c r="AK290" s="208"/>
    </row>
    <row r="291">
      <c r="A291" s="234"/>
      <c r="B291" s="208"/>
      <c r="C291" s="208"/>
      <c r="D291" s="208"/>
      <c r="E291" s="208"/>
      <c r="F291" s="208"/>
      <c r="G291" s="208"/>
      <c r="H291" s="208"/>
      <c r="I291" s="233"/>
      <c r="J291" s="208"/>
      <c r="K291" s="208"/>
      <c r="L291" s="208"/>
      <c r="M291" s="208"/>
      <c r="N291" s="208"/>
      <c r="O291" s="208"/>
      <c r="P291" s="208"/>
      <c r="Q291" s="208"/>
      <c r="R291" s="208"/>
      <c r="S291" s="208"/>
      <c r="T291" s="208"/>
      <c r="U291" s="208"/>
      <c r="V291" s="208"/>
      <c r="W291" s="232"/>
      <c r="X291" s="232"/>
      <c r="Y291" s="232"/>
      <c r="Z291" s="232"/>
      <c r="AA291" s="232"/>
      <c r="AB291" s="232"/>
      <c r="AC291" s="232"/>
      <c r="AD291" s="232"/>
      <c r="AE291" s="232"/>
      <c r="AF291" s="232"/>
      <c r="AG291" s="208"/>
      <c r="AH291" s="208"/>
      <c r="AI291" s="208"/>
      <c r="AJ291" s="208"/>
      <c r="AK291" s="208"/>
    </row>
    <row r="292">
      <c r="A292" s="234"/>
      <c r="B292" s="208"/>
      <c r="C292" s="208"/>
      <c r="D292" s="208"/>
      <c r="E292" s="208"/>
      <c r="F292" s="208"/>
      <c r="G292" s="208"/>
      <c r="H292" s="208"/>
      <c r="I292" s="233"/>
      <c r="J292" s="208"/>
      <c r="K292" s="208"/>
      <c r="L292" s="208"/>
      <c r="M292" s="208"/>
      <c r="N292" s="208"/>
      <c r="O292" s="208"/>
      <c r="P292" s="208"/>
      <c r="Q292" s="208"/>
      <c r="R292" s="208"/>
      <c r="S292" s="208"/>
      <c r="T292" s="208"/>
      <c r="U292" s="208"/>
      <c r="V292" s="208"/>
      <c r="W292" s="232"/>
      <c r="X292" s="232"/>
      <c r="Y292" s="232"/>
      <c r="Z292" s="232"/>
      <c r="AA292" s="232"/>
      <c r="AB292" s="232"/>
      <c r="AC292" s="232"/>
      <c r="AD292" s="232"/>
      <c r="AE292" s="232"/>
      <c r="AF292" s="232"/>
      <c r="AG292" s="208"/>
      <c r="AH292" s="208"/>
      <c r="AI292" s="208"/>
      <c r="AJ292" s="208"/>
      <c r="AK292" s="208"/>
    </row>
    <row r="293">
      <c r="A293" s="234"/>
      <c r="B293" s="208"/>
      <c r="C293" s="208"/>
      <c r="D293" s="208"/>
      <c r="E293" s="208"/>
      <c r="F293" s="208"/>
      <c r="G293" s="208"/>
      <c r="H293" s="208"/>
      <c r="I293" s="233"/>
      <c r="J293" s="208"/>
      <c r="K293" s="208"/>
      <c r="L293" s="208"/>
      <c r="M293" s="208"/>
      <c r="N293" s="208"/>
      <c r="O293" s="208"/>
      <c r="P293" s="208"/>
      <c r="Q293" s="208"/>
      <c r="R293" s="208"/>
      <c r="S293" s="208"/>
      <c r="T293" s="208"/>
      <c r="U293" s="208"/>
      <c r="V293" s="208"/>
      <c r="W293" s="232"/>
      <c r="X293" s="232"/>
      <c r="Y293" s="232"/>
      <c r="Z293" s="232"/>
      <c r="AA293" s="232"/>
      <c r="AB293" s="232"/>
      <c r="AC293" s="232"/>
      <c r="AD293" s="232"/>
      <c r="AE293" s="232"/>
      <c r="AF293" s="232"/>
      <c r="AG293" s="208"/>
      <c r="AH293" s="208"/>
      <c r="AI293" s="208"/>
      <c r="AJ293" s="208"/>
      <c r="AK293" s="208"/>
    </row>
    <row r="294">
      <c r="A294" s="234"/>
      <c r="B294" s="208"/>
      <c r="C294" s="208"/>
      <c r="D294" s="208"/>
      <c r="E294" s="208"/>
      <c r="F294" s="208"/>
      <c r="G294" s="208"/>
      <c r="H294" s="208"/>
      <c r="I294" s="233"/>
      <c r="J294" s="208"/>
      <c r="K294" s="208"/>
      <c r="L294" s="208"/>
      <c r="M294" s="208"/>
      <c r="N294" s="208"/>
      <c r="O294" s="208"/>
      <c r="P294" s="208"/>
      <c r="Q294" s="208"/>
      <c r="R294" s="208"/>
      <c r="S294" s="208"/>
      <c r="T294" s="208"/>
      <c r="U294" s="208"/>
      <c r="V294" s="208"/>
      <c r="W294" s="232"/>
      <c r="X294" s="232"/>
      <c r="Y294" s="232"/>
      <c r="Z294" s="232"/>
      <c r="AA294" s="232"/>
      <c r="AB294" s="232"/>
      <c r="AC294" s="232"/>
      <c r="AD294" s="232"/>
      <c r="AE294" s="232"/>
      <c r="AF294" s="232"/>
      <c r="AG294" s="208"/>
      <c r="AH294" s="208"/>
      <c r="AI294" s="208"/>
      <c r="AJ294" s="208"/>
      <c r="AK294" s="208"/>
    </row>
    <row r="295">
      <c r="A295" s="234"/>
      <c r="B295" s="208"/>
      <c r="C295" s="208"/>
      <c r="D295" s="208"/>
      <c r="E295" s="208"/>
      <c r="F295" s="208"/>
      <c r="G295" s="208"/>
      <c r="H295" s="208"/>
      <c r="I295" s="233"/>
      <c r="J295" s="208"/>
      <c r="K295" s="208"/>
      <c r="L295" s="208"/>
      <c r="M295" s="208"/>
      <c r="N295" s="208"/>
      <c r="O295" s="208"/>
      <c r="P295" s="208"/>
      <c r="Q295" s="208"/>
      <c r="R295" s="208"/>
      <c r="S295" s="208"/>
      <c r="T295" s="208"/>
      <c r="U295" s="208"/>
      <c r="V295" s="208"/>
      <c r="W295" s="232"/>
      <c r="X295" s="232"/>
      <c r="Y295" s="232"/>
      <c r="Z295" s="232"/>
      <c r="AA295" s="232"/>
      <c r="AB295" s="232"/>
      <c r="AC295" s="232"/>
      <c r="AD295" s="232"/>
      <c r="AE295" s="232"/>
      <c r="AF295" s="232"/>
      <c r="AG295" s="208"/>
      <c r="AH295" s="208"/>
      <c r="AI295" s="208"/>
      <c r="AJ295" s="208"/>
      <c r="AK295" s="208"/>
    </row>
    <row r="296">
      <c r="A296" s="234"/>
      <c r="B296" s="208"/>
      <c r="C296" s="208"/>
      <c r="D296" s="208"/>
      <c r="E296" s="208"/>
      <c r="F296" s="208"/>
      <c r="G296" s="208"/>
      <c r="H296" s="208"/>
      <c r="I296" s="233"/>
      <c r="J296" s="208"/>
      <c r="K296" s="208"/>
      <c r="L296" s="208"/>
      <c r="M296" s="208"/>
      <c r="N296" s="208"/>
      <c r="O296" s="208"/>
      <c r="P296" s="208"/>
      <c r="Q296" s="208"/>
      <c r="R296" s="208"/>
      <c r="S296" s="208"/>
      <c r="T296" s="208"/>
      <c r="U296" s="208"/>
      <c r="V296" s="208"/>
      <c r="W296" s="232"/>
      <c r="X296" s="232"/>
      <c r="Y296" s="232"/>
      <c r="Z296" s="232"/>
      <c r="AA296" s="232"/>
      <c r="AB296" s="232"/>
      <c r="AC296" s="232"/>
      <c r="AD296" s="232"/>
      <c r="AE296" s="232"/>
      <c r="AF296" s="232"/>
      <c r="AG296" s="208"/>
      <c r="AH296" s="208"/>
      <c r="AI296" s="208"/>
      <c r="AJ296" s="208"/>
      <c r="AK296" s="208"/>
    </row>
    <row r="297">
      <c r="A297" s="234"/>
      <c r="B297" s="208"/>
      <c r="C297" s="208"/>
      <c r="D297" s="208"/>
      <c r="E297" s="208"/>
      <c r="F297" s="208"/>
      <c r="G297" s="208"/>
      <c r="H297" s="208"/>
      <c r="I297" s="233"/>
      <c r="J297" s="208"/>
      <c r="K297" s="208"/>
      <c r="L297" s="208"/>
      <c r="M297" s="208"/>
      <c r="N297" s="208"/>
      <c r="O297" s="208"/>
      <c r="P297" s="208"/>
      <c r="Q297" s="208"/>
      <c r="R297" s="208"/>
      <c r="S297" s="208"/>
      <c r="T297" s="208"/>
      <c r="U297" s="208"/>
      <c r="V297" s="208"/>
      <c r="W297" s="232"/>
      <c r="X297" s="232"/>
      <c r="Y297" s="232"/>
      <c r="Z297" s="232"/>
      <c r="AA297" s="232"/>
      <c r="AB297" s="232"/>
      <c r="AC297" s="232"/>
      <c r="AD297" s="232"/>
      <c r="AE297" s="232"/>
      <c r="AF297" s="232"/>
      <c r="AG297" s="208"/>
      <c r="AH297" s="208"/>
      <c r="AI297" s="208"/>
      <c r="AJ297" s="208"/>
      <c r="AK297" s="208"/>
    </row>
    <row r="298">
      <c r="A298" s="234"/>
      <c r="B298" s="208"/>
      <c r="C298" s="208"/>
      <c r="D298" s="208"/>
      <c r="E298" s="208"/>
      <c r="F298" s="208"/>
      <c r="G298" s="208"/>
      <c r="H298" s="208"/>
      <c r="I298" s="233"/>
      <c r="J298" s="208"/>
      <c r="K298" s="208"/>
      <c r="L298" s="208"/>
      <c r="M298" s="208"/>
      <c r="N298" s="208"/>
      <c r="O298" s="208"/>
      <c r="P298" s="208"/>
      <c r="Q298" s="208"/>
      <c r="R298" s="208"/>
      <c r="S298" s="208"/>
      <c r="T298" s="208"/>
      <c r="U298" s="208"/>
      <c r="V298" s="208"/>
      <c r="W298" s="232"/>
      <c r="X298" s="232"/>
      <c r="Y298" s="232"/>
      <c r="Z298" s="232"/>
      <c r="AA298" s="232"/>
      <c r="AB298" s="232"/>
      <c r="AC298" s="232"/>
      <c r="AD298" s="232"/>
      <c r="AE298" s="232"/>
      <c r="AF298" s="232"/>
      <c r="AG298" s="208"/>
      <c r="AH298" s="208"/>
      <c r="AI298" s="208"/>
      <c r="AJ298" s="208"/>
      <c r="AK298" s="208"/>
    </row>
    <row r="299">
      <c r="A299" s="234"/>
      <c r="B299" s="208"/>
      <c r="C299" s="208"/>
      <c r="D299" s="208"/>
      <c r="E299" s="208"/>
      <c r="F299" s="208"/>
      <c r="G299" s="208"/>
      <c r="H299" s="208"/>
      <c r="I299" s="233"/>
      <c r="J299" s="208"/>
      <c r="K299" s="208"/>
      <c r="L299" s="208"/>
      <c r="M299" s="208"/>
      <c r="N299" s="208"/>
      <c r="O299" s="208"/>
      <c r="P299" s="208"/>
      <c r="Q299" s="208"/>
      <c r="R299" s="208"/>
      <c r="S299" s="208"/>
      <c r="T299" s="208"/>
      <c r="U299" s="208"/>
      <c r="V299" s="208"/>
      <c r="W299" s="232"/>
      <c r="X299" s="232"/>
      <c r="Y299" s="232"/>
      <c r="Z299" s="232"/>
      <c r="AA299" s="232"/>
      <c r="AB299" s="232"/>
      <c r="AC299" s="232"/>
      <c r="AD299" s="232"/>
      <c r="AE299" s="232"/>
      <c r="AF299" s="232"/>
      <c r="AG299" s="208"/>
      <c r="AH299" s="208"/>
      <c r="AI299" s="208"/>
      <c r="AJ299" s="208"/>
      <c r="AK299" s="208"/>
    </row>
    <row r="300">
      <c r="A300" s="234"/>
      <c r="B300" s="208"/>
      <c r="C300" s="208"/>
      <c r="D300" s="208"/>
      <c r="E300" s="208"/>
      <c r="F300" s="208"/>
      <c r="G300" s="208"/>
      <c r="H300" s="208"/>
      <c r="I300" s="233"/>
      <c r="J300" s="208"/>
      <c r="K300" s="208"/>
      <c r="L300" s="208"/>
      <c r="M300" s="208"/>
      <c r="N300" s="208"/>
      <c r="O300" s="208"/>
      <c r="P300" s="208"/>
      <c r="Q300" s="208"/>
      <c r="R300" s="208"/>
      <c r="S300" s="208"/>
      <c r="T300" s="208"/>
      <c r="U300" s="208"/>
      <c r="V300" s="208"/>
      <c r="W300" s="232"/>
      <c r="X300" s="232"/>
      <c r="Y300" s="232"/>
      <c r="Z300" s="232"/>
      <c r="AA300" s="232"/>
      <c r="AB300" s="232"/>
      <c r="AC300" s="232"/>
      <c r="AD300" s="232"/>
      <c r="AE300" s="232"/>
      <c r="AF300" s="232"/>
      <c r="AG300" s="208"/>
      <c r="AH300" s="208"/>
      <c r="AI300" s="208"/>
      <c r="AJ300" s="208"/>
      <c r="AK300" s="208"/>
    </row>
    <row r="301">
      <c r="A301" s="234"/>
      <c r="B301" s="208"/>
      <c r="C301" s="208"/>
      <c r="D301" s="208"/>
      <c r="E301" s="208"/>
      <c r="F301" s="208"/>
      <c r="G301" s="208"/>
      <c r="H301" s="208"/>
      <c r="I301" s="233"/>
      <c r="J301" s="208"/>
      <c r="K301" s="208"/>
      <c r="L301" s="208"/>
      <c r="M301" s="208"/>
      <c r="N301" s="208"/>
      <c r="O301" s="208"/>
      <c r="P301" s="208"/>
      <c r="Q301" s="208"/>
      <c r="R301" s="208"/>
      <c r="S301" s="208"/>
      <c r="T301" s="208"/>
      <c r="U301" s="208"/>
      <c r="V301" s="208"/>
      <c r="W301" s="232"/>
      <c r="X301" s="232"/>
      <c r="Y301" s="232"/>
      <c r="Z301" s="232"/>
      <c r="AA301" s="232"/>
      <c r="AB301" s="232"/>
      <c r="AC301" s="232"/>
      <c r="AD301" s="232"/>
      <c r="AE301" s="232"/>
      <c r="AF301" s="232"/>
      <c r="AG301" s="208"/>
      <c r="AH301" s="208"/>
      <c r="AI301" s="208"/>
      <c r="AJ301" s="208"/>
      <c r="AK301" s="208"/>
    </row>
    <row r="302">
      <c r="A302" s="234"/>
      <c r="B302" s="208"/>
      <c r="C302" s="208"/>
      <c r="D302" s="208"/>
      <c r="E302" s="208"/>
      <c r="F302" s="208"/>
      <c r="G302" s="208"/>
      <c r="H302" s="208"/>
      <c r="I302" s="233"/>
      <c r="J302" s="208"/>
      <c r="K302" s="208"/>
      <c r="L302" s="208"/>
      <c r="M302" s="208"/>
      <c r="N302" s="208"/>
      <c r="O302" s="208"/>
      <c r="P302" s="208"/>
      <c r="Q302" s="208"/>
      <c r="R302" s="208"/>
      <c r="S302" s="208"/>
      <c r="T302" s="208"/>
      <c r="U302" s="208"/>
      <c r="V302" s="208"/>
      <c r="W302" s="232"/>
      <c r="X302" s="232"/>
      <c r="Y302" s="232"/>
      <c r="Z302" s="232"/>
      <c r="AA302" s="232"/>
      <c r="AB302" s="232"/>
      <c r="AC302" s="232"/>
      <c r="AD302" s="232"/>
      <c r="AE302" s="232"/>
      <c r="AF302" s="232"/>
      <c r="AG302" s="208"/>
      <c r="AH302" s="208"/>
      <c r="AI302" s="208"/>
      <c r="AJ302" s="208"/>
      <c r="AK302" s="208"/>
    </row>
    <row r="303">
      <c r="A303" s="234"/>
      <c r="B303" s="208"/>
      <c r="C303" s="208"/>
      <c r="D303" s="208"/>
      <c r="E303" s="208"/>
      <c r="F303" s="208"/>
      <c r="G303" s="208"/>
      <c r="H303" s="208"/>
      <c r="I303" s="233"/>
      <c r="J303" s="208"/>
      <c r="K303" s="208"/>
      <c r="L303" s="208"/>
      <c r="M303" s="208"/>
      <c r="N303" s="208"/>
      <c r="O303" s="208"/>
      <c r="P303" s="208"/>
      <c r="Q303" s="208"/>
      <c r="R303" s="208"/>
      <c r="S303" s="208"/>
      <c r="T303" s="208"/>
      <c r="U303" s="208"/>
      <c r="V303" s="208"/>
      <c r="W303" s="232"/>
      <c r="X303" s="232"/>
      <c r="Y303" s="232"/>
      <c r="Z303" s="232"/>
      <c r="AA303" s="232"/>
      <c r="AB303" s="232"/>
      <c r="AC303" s="232"/>
      <c r="AD303" s="232"/>
      <c r="AE303" s="232"/>
      <c r="AF303" s="232"/>
      <c r="AG303" s="208"/>
      <c r="AH303" s="208"/>
      <c r="AI303" s="208"/>
      <c r="AJ303" s="208"/>
      <c r="AK303" s="208"/>
    </row>
    <row r="304">
      <c r="A304" s="234"/>
      <c r="B304" s="208"/>
      <c r="C304" s="208"/>
      <c r="D304" s="208"/>
      <c r="E304" s="208"/>
      <c r="F304" s="208"/>
      <c r="G304" s="208"/>
      <c r="H304" s="208"/>
      <c r="I304" s="233"/>
      <c r="J304" s="208"/>
      <c r="K304" s="208"/>
      <c r="L304" s="208"/>
      <c r="M304" s="208"/>
      <c r="N304" s="208"/>
      <c r="O304" s="208"/>
      <c r="P304" s="208"/>
      <c r="Q304" s="208"/>
      <c r="R304" s="208"/>
      <c r="S304" s="208"/>
      <c r="T304" s="208"/>
      <c r="U304" s="208"/>
      <c r="V304" s="208"/>
      <c r="W304" s="232"/>
      <c r="X304" s="232"/>
      <c r="Y304" s="232"/>
      <c r="Z304" s="232"/>
      <c r="AA304" s="232"/>
      <c r="AB304" s="232"/>
      <c r="AC304" s="232"/>
      <c r="AD304" s="232"/>
      <c r="AE304" s="232"/>
      <c r="AF304" s="232"/>
      <c r="AG304" s="208"/>
      <c r="AH304" s="208"/>
      <c r="AI304" s="208"/>
      <c r="AJ304" s="208"/>
      <c r="AK304" s="208"/>
    </row>
    <row r="305">
      <c r="A305" s="234"/>
      <c r="B305" s="208"/>
      <c r="C305" s="208"/>
      <c r="D305" s="208"/>
      <c r="E305" s="208"/>
      <c r="F305" s="208"/>
      <c r="G305" s="208"/>
      <c r="H305" s="208"/>
      <c r="I305" s="233"/>
      <c r="J305" s="208"/>
      <c r="K305" s="208"/>
      <c r="L305" s="208"/>
      <c r="M305" s="208"/>
      <c r="N305" s="208"/>
      <c r="O305" s="208"/>
      <c r="P305" s="208"/>
      <c r="Q305" s="208"/>
      <c r="R305" s="208"/>
      <c r="S305" s="208"/>
      <c r="T305" s="208"/>
      <c r="U305" s="208"/>
      <c r="V305" s="208"/>
      <c r="W305" s="232"/>
      <c r="X305" s="232"/>
      <c r="Y305" s="232"/>
      <c r="Z305" s="232"/>
      <c r="AA305" s="232"/>
      <c r="AB305" s="232"/>
      <c r="AC305" s="232"/>
      <c r="AD305" s="232"/>
      <c r="AE305" s="232"/>
      <c r="AF305" s="232"/>
      <c r="AG305" s="208"/>
      <c r="AH305" s="208"/>
      <c r="AI305" s="208"/>
      <c r="AJ305" s="208"/>
      <c r="AK305" s="208"/>
    </row>
    <row r="306">
      <c r="A306" s="234"/>
      <c r="B306" s="208"/>
      <c r="C306" s="208"/>
      <c r="D306" s="208"/>
      <c r="E306" s="208"/>
      <c r="F306" s="208"/>
      <c r="G306" s="208"/>
      <c r="H306" s="208"/>
      <c r="I306" s="233"/>
      <c r="J306" s="208"/>
      <c r="K306" s="208"/>
      <c r="L306" s="208"/>
      <c r="M306" s="208"/>
      <c r="N306" s="208"/>
      <c r="O306" s="208"/>
      <c r="P306" s="208"/>
      <c r="Q306" s="208"/>
      <c r="R306" s="208"/>
      <c r="S306" s="208"/>
      <c r="T306" s="208"/>
      <c r="U306" s="208"/>
      <c r="V306" s="208"/>
      <c r="W306" s="232"/>
      <c r="X306" s="232"/>
      <c r="Y306" s="232"/>
      <c r="Z306" s="232"/>
      <c r="AA306" s="232"/>
      <c r="AB306" s="232"/>
      <c r="AC306" s="232"/>
      <c r="AD306" s="232"/>
      <c r="AE306" s="232"/>
      <c r="AF306" s="232"/>
      <c r="AG306" s="208"/>
      <c r="AH306" s="208"/>
      <c r="AI306" s="208"/>
      <c r="AJ306" s="208"/>
      <c r="AK306" s="208"/>
    </row>
    <row r="307">
      <c r="A307" s="234"/>
      <c r="B307" s="208"/>
      <c r="C307" s="208"/>
      <c r="D307" s="208"/>
      <c r="E307" s="208"/>
      <c r="F307" s="208"/>
      <c r="G307" s="208"/>
      <c r="H307" s="208"/>
      <c r="I307" s="233"/>
      <c r="J307" s="208"/>
      <c r="K307" s="208"/>
      <c r="L307" s="208"/>
      <c r="M307" s="208"/>
      <c r="N307" s="208"/>
      <c r="O307" s="208"/>
      <c r="P307" s="208"/>
      <c r="Q307" s="208"/>
      <c r="R307" s="208"/>
      <c r="S307" s="208"/>
      <c r="T307" s="208"/>
      <c r="U307" s="208"/>
      <c r="V307" s="208"/>
      <c r="W307" s="232"/>
      <c r="X307" s="232"/>
      <c r="Y307" s="232"/>
      <c r="Z307" s="232"/>
      <c r="AA307" s="232"/>
      <c r="AB307" s="232"/>
      <c r="AC307" s="232"/>
      <c r="AD307" s="232"/>
      <c r="AE307" s="232"/>
      <c r="AF307" s="232"/>
      <c r="AG307" s="208"/>
      <c r="AH307" s="208"/>
      <c r="AI307" s="208"/>
      <c r="AJ307" s="208"/>
      <c r="AK307" s="208"/>
    </row>
    <row r="308">
      <c r="A308" s="234"/>
      <c r="B308" s="208"/>
      <c r="C308" s="208"/>
      <c r="D308" s="208"/>
      <c r="E308" s="208"/>
      <c r="F308" s="208"/>
      <c r="G308" s="208"/>
      <c r="H308" s="208"/>
      <c r="I308" s="233"/>
      <c r="J308" s="208"/>
      <c r="K308" s="208"/>
      <c r="L308" s="208"/>
      <c r="M308" s="208"/>
      <c r="N308" s="208"/>
      <c r="O308" s="208"/>
      <c r="P308" s="208"/>
      <c r="Q308" s="208"/>
      <c r="R308" s="208"/>
      <c r="S308" s="208"/>
      <c r="T308" s="208"/>
      <c r="U308" s="208"/>
      <c r="V308" s="208"/>
      <c r="W308" s="232"/>
      <c r="X308" s="232"/>
      <c r="Y308" s="232"/>
      <c r="Z308" s="232"/>
      <c r="AA308" s="232"/>
      <c r="AB308" s="232"/>
      <c r="AC308" s="232"/>
      <c r="AD308" s="232"/>
      <c r="AE308" s="232"/>
      <c r="AF308" s="232"/>
      <c r="AG308" s="208"/>
      <c r="AH308" s="208"/>
      <c r="AI308" s="208"/>
      <c r="AJ308" s="208"/>
      <c r="AK308" s="208"/>
    </row>
    <row r="309">
      <c r="A309" s="234"/>
      <c r="B309" s="208"/>
      <c r="C309" s="208"/>
      <c r="D309" s="208"/>
      <c r="E309" s="208"/>
      <c r="F309" s="208"/>
      <c r="G309" s="208"/>
      <c r="H309" s="208"/>
      <c r="I309" s="233"/>
      <c r="J309" s="208"/>
      <c r="K309" s="208"/>
      <c r="L309" s="208"/>
      <c r="M309" s="208"/>
      <c r="N309" s="208"/>
      <c r="O309" s="208"/>
      <c r="P309" s="208"/>
      <c r="Q309" s="208"/>
      <c r="R309" s="208"/>
      <c r="S309" s="208"/>
      <c r="T309" s="208"/>
      <c r="U309" s="208"/>
      <c r="V309" s="208"/>
      <c r="W309" s="232"/>
      <c r="X309" s="232"/>
      <c r="Y309" s="232"/>
      <c r="Z309" s="232"/>
      <c r="AA309" s="232"/>
      <c r="AB309" s="232"/>
      <c r="AC309" s="232"/>
      <c r="AD309" s="232"/>
      <c r="AE309" s="232"/>
      <c r="AF309" s="232"/>
      <c r="AG309" s="208"/>
      <c r="AH309" s="208"/>
      <c r="AI309" s="208"/>
      <c r="AJ309" s="208"/>
      <c r="AK309" s="208"/>
    </row>
    <row r="310">
      <c r="A310" s="234"/>
      <c r="B310" s="208"/>
      <c r="C310" s="208"/>
      <c r="D310" s="208"/>
      <c r="E310" s="208"/>
      <c r="F310" s="208"/>
      <c r="G310" s="208"/>
      <c r="H310" s="208"/>
      <c r="I310" s="233"/>
      <c r="J310" s="208"/>
      <c r="K310" s="208"/>
      <c r="L310" s="208"/>
      <c r="M310" s="208"/>
      <c r="N310" s="208"/>
      <c r="O310" s="208"/>
      <c r="P310" s="208"/>
      <c r="Q310" s="208"/>
      <c r="R310" s="208"/>
      <c r="S310" s="208"/>
      <c r="T310" s="208"/>
      <c r="U310" s="208"/>
      <c r="V310" s="208"/>
      <c r="W310" s="232"/>
      <c r="X310" s="232"/>
      <c r="Y310" s="232"/>
      <c r="Z310" s="232"/>
      <c r="AA310" s="232"/>
      <c r="AB310" s="232"/>
      <c r="AC310" s="232"/>
      <c r="AD310" s="232"/>
      <c r="AE310" s="232"/>
      <c r="AF310" s="232"/>
      <c r="AG310" s="208"/>
      <c r="AH310" s="208"/>
      <c r="AI310" s="208"/>
      <c r="AJ310" s="208"/>
      <c r="AK310" s="208"/>
    </row>
    <row r="311">
      <c r="A311" s="234"/>
      <c r="B311" s="208"/>
      <c r="C311" s="208"/>
      <c r="D311" s="208"/>
      <c r="E311" s="208"/>
      <c r="F311" s="208"/>
      <c r="G311" s="208"/>
      <c r="H311" s="208"/>
      <c r="I311" s="233"/>
      <c r="J311" s="208"/>
      <c r="K311" s="208"/>
      <c r="L311" s="208"/>
      <c r="M311" s="208"/>
      <c r="N311" s="208"/>
      <c r="O311" s="208"/>
      <c r="P311" s="208"/>
      <c r="Q311" s="208"/>
      <c r="R311" s="208"/>
      <c r="S311" s="208"/>
      <c r="T311" s="208"/>
      <c r="U311" s="208"/>
      <c r="V311" s="208"/>
      <c r="W311" s="232"/>
      <c r="X311" s="232"/>
      <c r="Y311" s="232"/>
      <c r="Z311" s="232"/>
      <c r="AA311" s="232"/>
      <c r="AB311" s="232"/>
      <c r="AC311" s="232"/>
      <c r="AD311" s="232"/>
      <c r="AE311" s="232"/>
      <c r="AF311" s="232"/>
      <c r="AG311" s="208"/>
      <c r="AH311" s="208"/>
      <c r="AI311" s="208"/>
      <c r="AJ311" s="208"/>
      <c r="AK311" s="208"/>
    </row>
    <row r="312">
      <c r="A312" s="234"/>
      <c r="B312" s="208"/>
      <c r="C312" s="208"/>
      <c r="D312" s="208"/>
      <c r="E312" s="208"/>
      <c r="F312" s="208"/>
      <c r="G312" s="208"/>
      <c r="H312" s="208"/>
      <c r="I312" s="233"/>
      <c r="J312" s="208"/>
      <c r="K312" s="208"/>
      <c r="L312" s="208"/>
      <c r="M312" s="208"/>
      <c r="N312" s="208"/>
      <c r="O312" s="208"/>
      <c r="P312" s="208"/>
      <c r="Q312" s="208"/>
      <c r="R312" s="208"/>
      <c r="S312" s="208"/>
      <c r="T312" s="208"/>
      <c r="U312" s="208"/>
      <c r="V312" s="208"/>
      <c r="W312" s="232"/>
      <c r="X312" s="232"/>
      <c r="Y312" s="232"/>
      <c r="Z312" s="232"/>
      <c r="AA312" s="232"/>
      <c r="AB312" s="232"/>
      <c r="AC312" s="232"/>
      <c r="AD312" s="232"/>
      <c r="AE312" s="232"/>
      <c r="AF312" s="232"/>
      <c r="AG312" s="208"/>
      <c r="AH312" s="208"/>
      <c r="AI312" s="208"/>
      <c r="AJ312" s="208"/>
      <c r="AK312" s="208"/>
    </row>
    <row r="313">
      <c r="A313" s="234"/>
      <c r="B313" s="208"/>
      <c r="C313" s="208"/>
      <c r="D313" s="208"/>
      <c r="E313" s="208"/>
      <c r="F313" s="208"/>
      <c r="G313" s="208"/>
      <c r="H313" s="208"/>
      <c r="I313" s="233"/>
      <c r="J313" s="208"/>
      <c r="K313" s="208"/>
      <c r="L313" s="208"/>
      <c r="M313" s="208"/>
      <c r="N313" s="208"/>
      <c r="O313" s="208"/>
      <c r="P313" s="208"/>
      <c r="Q313" s="208"/>
      <c r="R313" s="208"/>
      <c r="S313" s="208"/>
      <c r="T313" s="208"/>
      <c r="U313" s="208"/>
      <c r="V313" s="208"/>
      <c r="W313" s="232"/>
      <c r="X313" s="232"/>
      <c r="Y313" s="232"/>
      <c r="Z313" s="232"/>
      <c r="AA313" s="232"/>
      <c r="AB313" s="232"/>
      <c r="AC313" s="232"/>
      <c r="AD313" s="232"/>
      <c r="AE313" s="232"/>
      <c r="AF313" s="232"/>
      <c r="AG313" s="208"/>
      <c r="AH313" s="208"/>
      <c r="AI313" s="208"/>
      <c r="AJ313" s="208"/>
      <c r="AK313" s="208"/>
    </row>
    <row r="314">
      <c r="A314" s="234"/>
      <c r="B314" s="208"/>
      <c r="C314" s="208"/>
      <c r="D314" s="208"/>
      <c r="E314" s="208"/>
      <c r="F314" s="208"/>
      <c r="G314" s="208"/>
      <c r="H314" s="208"/>
      <c r="I314" s="233"/>
      <c r="J314" s="208"/>
      <c r="K314" s="208"/>
      <c r="L314" s="208"/>
      <c r="M314" s="208"/>
      <c r="N314" s="208"/>
      <c r="O314" s="208"/>
      <c r="P314" s="208"/>
      <c r="Q314" s="208"/>
      <c r="R314" s="208"/>
      <c r="S314" s="208"/>
      <c r="T314" s="208"/>
      <c r="U314" s="208"/>
      <c r="V314" s="208"/>
      <c r="W314" s="232"/>
      <c r="X314" s="232"/>
      <c r="Y314" s="232"/>
      <c r="Z314" s="232"/>
      <c r="AA314" s="232"/>
      <c r="AB314" s="232"/>
      <c r="AC314" s="232"/>
      <c r="AD314" s="232"/>
      <c r="AE314" s="232"/>
      <c r="AF314" s="232"/>
      <c r="AG314" s="208"/>
      <c r="AH314" s="208"/>
      <c r="AI314" s="208"/>
      <c r="AJ314" s="208"/>
      <c r="AK314" s="208"/>
    </row>
    <row r="315">
      <c r="A315" s="234"/>
      <c r="B315" s="208"/>
      <c r="C315" s="208"/>
      <c r="D315" s="208"/>
      <c r="E315" s="208"/>
      <c r="F315" s="208"/>
      <c r="G315" s="208"/>
      <c r="H315" s="208"/>
      <c r="I315" s="233"/>
      <c r="J315" s="208"/>
      <c r="K315" s="208"/>
      <c r="L315" s="208"/>
      <c r="M315" s="208"/>
      <c r="N315" s="208"/>
      <c r="O315" s="208"/>
      <c r="P315" s="208"/>
      <c r="Q315" s="208"/>
      <c r="R315" s="208"/>
      <c r="S315" s="208"/>
      <c r="T315" s="208"/>
      <c r="U315" s="208"/>
      <c r="V315" s="208"/>
      <c r="W315" s="232"/>
      <c r="X315" s="232"/>
      <c r="Y315" s="232"/>
      <c r="Z315" s="232"/>
      <c r="AA315" s="232"/>
      <c r="AB315" s="232"/>
      <c r="AC315" s="232"/>
      <c r="AD315" s="232"/>
      <c r="AE315" s="232"/>
      <c r="AF315" s="232"/>
      <c r="AG315" s="208"/>
      <c r="AH315" s="208"/>
      <c r="AI315" s="208"/>
      <c r="AJ315" s="208"/>
      <c r="AK315" s="208"/>
    </row>
    <row r="316">
      <c r="A316" s="234"/>
      <c r="B316" s="208"/>
      <c r="C316" s="208"/>
      <c r="D316" s="208"/>
      <c r="E316" s="208"/>
      <c r="F316" s="208"/>
      <c r="G316" s="208"/>
      <c r="H316" s="208"/>
      <c r="I316" s="233"/>
      <c r="J316" s="208"/>
      <c r="K316" s="208"/>
      <c r="L316" s="208"/>
      <c r="M316" s="208"/>
      <c r="N316" s="208"/>
      <c r="O316" s="208"/>
      <c r="P316" s="208"/>
      <c r="Q316" s="208"/>
      <c r="R316" s="208"/>
      <c r="S316" s="208"/>
      <c r="T316" s="208"/>
      <c r="U316" s="208"/>
      <c r="V316" s="208"/>
      <c r="W316" s="232"/>
      <c r="X316" s="232"/>
      <c r="Y316" s="232"/>
      <c r="Z316" s="232"/>
      <c r="AA316" s="232"/>
      <c r="AB316" s="232"/>
      <c r="AC316" s="232"/>
      <c r="AD316" s="232"/>
      <c r="AE316" s="232"/>
      <c r="AF316" s="232"/>
      <c r="AG316" s="208"/>
      <c r="AH316" s="208"/>
      <c r="AI316" s="208"/>
      <c r="AJ316" s="208"/>
      <c r="AK316" s="208"/>
    </row>
    <row r="317">
      <c r="A317" s="234"/>
      <c r="B317" s="208"/>
      <c r="C317" s="208"/>
      <c r="D317" s="208"/>
      <c r="E317" s="208"/>
      <c r="F317" s="208"/>
      <c r="G317" s="208"/>
      <c r="H317" s="208"/>
      <c r="I317" s="233"/>
      <c r="J317" s="208"/>
      <c r="K317" s="208"/>
      <c r="L317" s="208"/>
      <c r="M317" s="208"/>
      <c r="N317" s="208"/>
      <c r="O317" s="208"/>
      <c r="P317" s="208"/>
      <c r="Q317" s="208"/>
      <c r="R317" s="208"/>
      <c r="S317" s="208"/>
      <c r="T317" s="208"/>
      <c r="U317" s="208"/>
      <c r="V317" s="208"/>
      <c r="W317" s="232"/>
      <c r="X317" s="232"/>
      <c r="Y317" s="232"/>
      <c r="Z317" s="232"/>
      <c r="AA317" s="232"/>
      <c r="AB317" s="232"/>
      <c r="AC317" s="232"/>
      <c r="AD317" s="232"/>
      <c r="AE317" s="232"/>
      <c r="AF317" s="232"/>
      <c r="AG317" s="208"/>
      <c r="AH317" s="208"/>
      <c r="AI317" s="208"/>
      <c r="AJ317" s="208"/>
      <c r="AK317" s="208"/>
    </row>
    <row r="318">
      <c r="A318" s="234"/>
      <c r="B318" s="208"/>
      <c r="C318" s="208"/>
      <c r="D318" s="208"/>
      <c r="E318" s="208"/>
      <c r="F318" s="208"/>
      <c r="G318" s="208"/>
      <c r="H318" s="208"/>
      <c r="I318" s="233"/>
      <c r="J318" s="208"/>
      <c r="K318" s="208"/>
      <c r="L318" s="208"/>
      <c r="M318" s="208"/>
      <c r="N318" s="208"/>
      <c r="O318" s="208"/>
      <c r="P318" s="208"/>
      <c r="Q318" s="208"/>
      <c r="R318" s="208"/>
      <c r="S318" s="208"/>
      <c r="T318" s="208"/>
      <c r="U318" s="208"/>
      <c r="V318" s="208"/>
      <c r="W318" s="232"/>
      <c r="X318" s="232"/>
      <c r="Y318" s="232"/>
      <c r="Z318" s="232"/>
      <c r="AA318" s="232"/>
      <c r="AB318" s="232"/>
      <c r="AC318" s="232"/>
      <c r="AD318" s="232"/>
      <c r="AE318" s="232"/>
      <c r="AF318" s="232"/>
      <c r="AG318" s="208"/>
      <c r="AH318" s="208"/>
      <c r="AI318" s="208"/>
      <c r="AJ318" s="208"/>
      <c r="AK318" s="208"/>
    </row>
    <row r="319">
      <c r="A319" s="234"/>
      <c r="B319" s="208"/>
      <c r="C319" s="208"/>
      <c r="D319" s="208"/>
      <c r="E319" s="208"/>
      <c r="F319" s="208"/>
      <c r="G319" s="208"/>
      <c r="H319" s="208"/>
      <c r="I319" s="233"/>
      <c r="J319" s="208"/>
      <c r="K319" s="208"/>
      <c r="L319" s="208"/>
      <c r="M319" s="208"/>
      <c r="N319" s="208"/>
      <c r="O319" s="208"/>
      <c r="P319" s="208"/>
      <c r="Q319" s="208"/>
      <c r="R319" s="208"/>
      <c r="S319" s="208"/>
      <c r="T319" s="208"/>
      <c r="U319" s="208"/>
      <c r="V319" s="208"/>
      <c r="W319" s="232"/>
      <c r="X319" s="232"/>
      <c r="Y319" s="232"/>
      <c r="Z319" s="232"/>
      <c r="AA319" s="232"/>
      <c r="AB319" s="232"/>
      <c r="AC319" s="232"/>
      <c r="AD319" s="232"/>
      <c r="AE319" s="232"/>
      <c r="AF319" s="232"/>
      <c r="AG319" s="208"/>
      <c r="AH319" s="208"/>
      <c r="AI319" s="208"/>
      <c r="AJ319" s="208"/>
      <c r="AK319" s="208"/>
    </row>
    <row r="320">
      <c r="A320" s="234"/>
      <c r="B320" s="208"/>
      <c r="C320" s="208"/>
      <c r="D320" s="208"/>
      <c r="E320" s="208"/>
      <c r="F320" s="208"/>
      <c r="G320" s="208"/>
      <c r="H320" s="208"/>
      <c r="I320" s="233"/>
      <c r="J320" s="208"/>
      <c r="K320" s="208"/>
      <c r="L320" s="208"/>
      <c r="M320" s="208"/>
      <c r="N320" s="208"/>
      <c r="O320" s="208"/>
      <c r="P320" s="208"/>
      <c r="Q320" s="208"/>
      <c r="R320" s="208"/>
      <c r="S320" s="208"/>
      <c r="T320" s="208"/>
      <c r="U320" s="208"/>
      <c r="V320" s="208"/>
      <c r="W320" s="232"/>
      <c r="X320" s="232"/>
      <c r="Y320" s="232"/>
      <c r="Z320" s="232"/>
      <c r="AA320" s="232"/>
      <c r="AB320" s="232"/>
      <c r="AC320" s="232"/>
      <c r="AD320" s="232"/>
      <c r="AE320" s="232"/>
      <c r="AF320" s="232"/>
      <c r="AG320" s="208"/>
      <c r="AH320" s="208"/>
      <c r="AI320" s="208"/>
      <c r="AJ320" s="208"/>
      <c r="AK320" s="208"/>
    </row>
    <row r="321">
      <c r="A321" s="234"/>
      <c r="B321" s="208"/>
      <c r="C321" s="208"/>
      <c r="D321" s="208"/>
      <c r="E321" s="208"/>
      <c r="F321" s="208"/>
      <c r="G321" s="208"/>
      <c r="H321" s="208"/>
      <c r="I321" s="233"/>
      <c r="J321" s="208"/>
      <c r="K321" s="208"/>
      <c r="L321" s="208"/>
      <c r="M321" s="208"/>
      <c r="N321" s="208"/>
      <c r="O321" s="208"/>
      <c r="P321" s="208"/>
      <c r="Q321" s="208"/>
      <c r="R321" s="208"/>
      <c r="S321" s="208"/>
      <c r="T321" s="208"/>
      <c r="U321" s="208"/>
      <c r="V321" s="208"/>
      <c r="W321" s="232"/>
      <c r="X321" s="232"/>
      <c r="Y321" s="232"/>
      <c r="Z321" s="232"/>
      <c r="AA321" s="232"/>
      <c r="AB321" s="232"/>
      <c r="AC321" s="232"/>
      <c r="AD321" s="232"/>
      <c r="AE321" s="232"/>
      <c r="AF321" s="232"/>
      <c r="AG321" s="208"/>
      <c r="AH321" s="208"/>
      <c r="AI321" s="208"/>
      <c r="AJ321" s="208"/>
      <c r="AK321" s="208"/>
    </row>
    <row r="322">
      <c r="A322" s="234"/>
      <c r="B322" s="208"/>
      <c r="C322" s="208"/>
      <c r="D322" s="208"/>
      <c r="E322" s="208"/>
      <c r="F322" s="208"/>
      <c r="G322" s="208"/>
      <c r="H322" s="208"/>
      <c r="I322" s="233"/>
      <c r="J322" s="208"/>
      <c r="K322" s="208"/>
      <c r="L322" s="208"/>
      <c r="M322" s="208"/>
      <c r="N322" s="208"/>
      <c r="O322" s="208"/>
      <c r="P322" s="208"/>
      <c r="Q322" s="208"/>
      <c r="R322" s="208"/>
      <c r="S322" s="208"/>
      <c r="T322" s="208"/>
      <c r="U322" s="208"/>
      <c r="V322" s="208"/>
      <c r="W322" s="232"/>
      <c r="X322" s="232"/>
      <c r="Y322" s="232"/>
      <c r="Z322" s="232"/>
      <c r="AA322" s="232"/>
      <c r="AB322" s="232"/>
      <c r="AC322" s="232"/>
      <c r="AD322" s="232"/>
      <c r="AE322" s="232"/>
      <c r="AF322" s="232"/>
      <c r="AG322" s="208"/>
      <c r="AH322" s="208"/>
      <c r="AI322" s="208"/>
      <c r="AJ322" s="208"/>
      <c r="AK322" s="208"/>
    </row>
    <row r="323">
      <c r="A323" s="234"/>
      <c r="B323" s="208"/>
      <c r="C323" s="208"/>
      <c r="D323" s="208"/>
      <c r="E323" s="208"/>
      <c r="F323" s="208"/>
      <c r="G323" s="208"/>
      <c r="H323" s="208"/>
      <c r="I323" s="233"/>
      <c r="J323" s="208"/>
      <c r="K323" s="208"/>
      <c r="L323" s="208"/>
      <c r="M323" s="208"/>
      <c r="N323" s="208"/>
      <c r="O323" s="208"/>
      <c r="P323" s="208"/>
      <c r="Q323" s="208"/>
      <c r="R323" s="208"/>
      <c r="S323" s="208"/>
      <c r="T323" s="208"/>
      <c r="U323" s="208"/>
      <c r="V323" s="208"/>
      <c r="W323" s="232"/>
      <c r="X323" s="232"/>
      <c r="Y323" s="232"/>
      <c r="Z323" s="232"/>
      <c r="AA323" s="232"/>
      <c r="AB323" s="232"/>
      <c r="AC323" s="232"/>
      <c r="AD323" s="232"/>
      <c r="AE323" s="232"/>
      <c r="AF323" s="232"/>
      <c r="AG323" s="208"/>
      <c r="AH323" s="208"/>
      <c r="AI323" s="208"/>
      <c r="AJ323" s="208"/>
      <c r="AK323" s="208"/>
    </row>
    <row r="324">
      <c r="A324" s="234"/>
      <c r="B324" s="208"/>
      <c r="C324" s="208"/>
      <c r="D324" s="208"/>
      <c r="E324" s="208"/>
      <c r="F324" s="208"/>
      <c r="G324" s="208"/>
      <c r="H324" s="208"/>
      <c r="I324" s="233"/>
      <c r="J324" s="208"/>
      <c r="K324" s="208"/>
      <c r="L324" s="208"/>
      <c r="M324" s="208"/>
      <c r="N324" s="208"/>
      <c r="O324" s="208"/>
      <c r="P324" s="208"/>
      <c r="Q324" s="208"/>
      <c r="R324" s="208"/>
      <c r="S324" s="208"/>
      <c r="T324" s="208"/>
      <c r="U324" s="208"/>
      <c r="V324" s="208"/>
      <c r="W324" s="232"/>
      <c r="X324" s="232"/>
      <c r="Y324" s="232"/>
      <c r="Z324" s="232"/>
      <c r="AA324" s="232"/>
      <c r="AB324" s="232"/>
      <c r="AC324" s="232"/>
      <c r="AD324" s="232"/>
      <c r="AE324" s="232"/>
      <c r="AF324" s="232"/>
      <c r="AG324" s="208"/>
      <c r="AH324" s="208"/>
      <c r="AI324" s="208"/>
      <c r="AJ324" s="208"/>
      <c r="AK324" s="208"/>
    </row>
    <row r="325">
      <c r="A325" s="234"/>
      <c r="B325" s="208"/>
      <c r="C325" s="208"/>
      <c r="D325" s="208"/>
      <c r="E325" s="208"/>
      <c r="F325" s="208"/>
      <c r="G325" s="208"/>
      <c r="H325" s="208"/>
      <c r="I325" s="233"/>
      <c r="J325" s="208"/>
      <c r="K325" s="208"/>
      <c r="L325" s="208"/>
      <c r="M325" s="208"/>
      <c r="N325" s="208"/>
      <c r="O325" s="208"/>
      <c r="P325" s="208"/>
      <c r="Q325" s="208"/>
      <c r="R325" s="208"/>
      <c r="S325" s="208"/>
      <c r="T325" s="208"/>
      <c r="U325" s="208"/>
      <c r="V325" s="208"/>
      <c r="W325" s="232"/>
      <c r="X325" s="232"/>
      <c r="Y325" s="232"/>
      <c r="Z325" s="232"/>
      <c r="AA325" s="232"/>
      <c r="AB325" s="232"/>
      <c r="AC325" s="232"/>
      <c r="AD325" s="232"/>
      <c r="AE325" s="232"/>
      <c r="AF325" s="232"/>
      <c r="AG325" s="208"/>
      <c r="AH325" s="208"/>
      <c r="AI325" s="208"/>
      <c r="AJ325" s="208"/>
      <c r="AK325" s="208"/>
    </row>
    <row r="326">
      <c r="A326" s="234"/>
      <c r="B326" s="208"/>
      <c r="C326" s="208"/>
      <c r="D326" s="208"/>
      <c r="E326" s="208"/>
      <c r="F326" s="208"/>
      <c r="G326" s="208"/>
      <c r="H326" s="208"/>
      <c r="I326" s="233"/>
      <c r="J326" s="208"/>
      <c r="K326" s="208"/>
      <c r="L326" s="208"/>
      <c r="M326" s="208"/>
      <c r="N326" s="208"/>
      <c r="O326" s="208"/>
      <c r="P326" s="208"/>
      <c r="Q326" s="208"/>
      <c r="R326" s="208"/>
      <c r="S326" s="208"/>
      <c r="T326" s="208"/>
      <c r="U326" s="208"/>
      <c r="V326" s="208"/>
      <c r="W326" s="232"/>
      <c r="X326" s="232"/>
      <c r="Y326" s="232"/>
      <c r="Z326" s="232"/>
      <c r="AA326" s="232"/>
      <c r="AB326" s="232"/>
      <c r="AC326" s="232"/>
      <c r="AD326" s="232"/>
      <c r="AE326" s="232"/>
      <c r="AF326" s="232"/>
      <c r="AG326" s="208"/>
      <c r="AH326" s="208"/>
      <c r="AI326" s="208"/>
      <c r="AJ326" s="208"/>
      <c r="AK326" s="208"/>
    </row>
    <row r="327">
      <c r="A327" s="234"/>
      <c r="B327" s="208"/>
      <c r="C327" s="208"/>
      <c r="D327" s="208"/>
      <c r="E327" s="208"/>
      <c r="F327" s="208"/>
      <c r="G327" s="208"/>
      <c r="H327" s="208"/>
      <c r="I327" s="233"/>
      <c r="J327" s="208"/>
      <c r="K327" s="208"/>
      <c r="L327" s="208"/>
      <c r="M327" s="208"/>
      <c r="N327" s="208"/>
      <c r="O327" s="208"/>
      <c r="P327" s="208"/>
      <c r="Q327" s="208"/>
      <c r="R327" s="208"/>
      <c r="S327" s="208"/>
      <c r="T327" s="208"/>
      <c r="U327" s="208"/>
      <c r="V327" s="208"/>
      <c r="W327" s="232"/>
      <c r="X327" s="232"/>
      <c r="Y327" s="232"/>
      <c r="Z327" s="232"/>
      <c r="AA327" s="232"/>
      <c r="AB327" s="232"/>
      <c r="AC327" s="232"/>
      <c r="AD327" s="232"/>
      <c r="AE327" s="232"/>
      <c r="AF327" s="232"/>
      <c r="AG327" s="208"/>
      <c r="AH327" s="208"/>
      <c r="AI327" s="208"/>
      <c r="AJ327" s="208"/>
      <c r="AK327" s="208"/>
    </row>
    <row r="328">
      <c r="A328" s="234"/>
      <c r="B328" s="208"/>
      <c r="C328" s="208"/>
      <c r="D328" s="208"/>
      <c r="E328" s="208"/>
      <c r="F328" s="208"/>
      <c r="G328" s="208"/>
      <c r="H328" s="208"/>
      <c r="I328" s="233"/>
      <c r="J328" s="208"/>
      <c r="K328" s="208"/>
      <c r="L328" s="208"/>
      <c r="M328" s="208"/>
      <c r="N328" s="208"/>
      <c r="O328" s="208"/>
      <c r="P328" s="208"/>
      <c r="Q328" s="208"/>
      <c r="R328" s="208"/>
      <c r="S328" s="208"/>
      <c r="T328" s="208"/>
      <c r="U328" s="208"/>
      <c r="V328" s="208"/>
      <c r="W328" s="232"/>
      <c r="X328" s="232"/>
      <c r="Y328" s="232"/>
      <c r="Z328" s="232"/>
      <c r="AA328" s="232"/>
      <c r="AB328" s="232"/>
      <c r="AC328" s="232"/>
      <c r="AD328" s="232"/>
      <c r="AE328" s="232"/>
      <c r="AF328" s="232"/>
      <c r="AG328" s="208"/>
      <c r="AH328" s="208"/>
      <c r="AI328" s="208"/>
      <c r="AJ328" s="208"/>
      <c r="AK328" s="208"/>
    </row>
    <row r="329">
      <c r="A329" s="234"/>
      <c r="B329" s="208"/>
      <c r="C329" s="208"/>
      <c r="D329" s="208"/>
      <c r="E329" s="208"/>
      <c r="F329" s="208"/>
      <c r="G329" s="208"/>
      <c r="H329" s="208"/>
      <c r="I329" s="233"/>
      <c r="J329" s="208"/>
      <c r="K329" s="208"/>
      <c r="L329" s="208"/>
      <c r="M329" s="208"/>
      <c r="N329" s="208"/>
      <c r="O329" s="208"/>
      <c r="P329" s="208"/>
      <c r="Q329" s="208"/>
      <c r="R329" s="208"/>
      <c r="S329" s="208"/>
      <c r="T329" s="208"/>
      <c r="U329" s="208"/>
      <c r="V329" s="208"/>
      <c r="W329" s="232"/>
      <c r="X329" s="232"/>
      <c r="Y329" s="232"/>
      <c r="Z329" s="232"/>
      <c r="AA329" s="232"/>
      <c r="AB329" s="232"/>
      <c r="AC329" s="232"/>
      <c r="AD329" s="232"/>
      <c r="AE329" s="232"/>
      <c r="AF329" s="232"/>
      <c r="AG329" s="208"/>
      <c r="AH329" s="208"/>
      <c r="AI329" s="208"/>
      <c r="AJ329" s="208"/>
      <c r="AK329" s="208"/>
    </row>
    <row r="330">
      <c r="A330" s="234"/>
      <c r="B330" s="208"/>
      <c r="C330" s="208"/>
      <c r="D330" s="208"/>
      <c r="E330" s="208"/>
      <c r="F330" s="208"/>
      <c r="G330" s="208"/>
      <c r="H330" s="208"/>
      <c r="I330" s="233"/>
      <c r="J330" s="208"/>
      <c r="K330" s="208"/>
      <c r="L330" s="208"/>
      <c r="M330" s="208"/>
      <c r="N330" s="208"/>
      <c r="O330" s="208"/>
      <c r="P330" s="208"/>
      <c r="Q330" s="208"/>
      <c r="R330" s="208"/>
      <c r="S330" s="208"/>
      <c r="T330" s="208"/>
      <c r="U330" s="208"/>
      <c r="V330" s="208"/>
      <c r="W330" s="232"/>
      <c r="X330" s="232"/>
      <c r="Y330" s="232"/>
      <c r="Z330" s="232"/>
      <c r="AA330" s="232"/>
      <c r="AB330" s="232"/>
      <c r="AC330" s="232"/>
      <c r="AD330" s="232"/>
      <c r="AE330" s="232"/>
      <c r="AF330" s="232"/>
      <c r="AG330" s="208"/>
      <c r="AH330" s="208"/>
      <c r="AI330" s="208"/>
      <c r="AJ330" s="208"/>
      <c r="AK330" s="208"/>
    </row>
    <row r="331">
      <c r="A331" s="234"/>
      <c r="B331" s="208"/>
      <c r="C331" s="208"/>
      <c r="D331" s="208"/>
      <c r="E331" s="208"/>
      <c r="F331" s="208"/>
      <c r="G331" s="208"/>
      <c r="H331" s="208"/>
      <c r="I331" s="233"/>
      <c r="J331" s="208"/>
      <c r="K331" s="208"/>
      <c r="L331" s="208"/>
      <c r="M331" s="208"/>
      <c r="N331" s="208"/>
      <c r="O331" s="208"/>
      <c r="P331" s="208"/>
      <c r="Q331" s="208"/>
      <c r="R331" s="208"/>
      <c r="S331" s="208"/>
      <c r="T331" s="208"/>
      <c r="U331" s="208"/>
      <c r="V331" s="208"/>
      <c r="W331" s="232"/>
      <c r="X331" s="232"/>
      <c r="Y331" s="232"/>
      <c r="Z331" s="232"/>
      <c r="AA331" s="232"/>
      <c r="AB331" s="232"/>
      <c r="AC331" s="232"/>
      <c r="AD331" s="232"/>
      <c r="AE331" s="232"/>
      <c r="AF331" s="232"/>
      <c r="AG331" s="208"/>
      <c r="AH331" s="208"/>
      <c r="AI331" s="208"/>
      <c r="AJ331" s="208"/>
      <c r="AK331" s="208"/>
    </row>
    <row r="332">
      <c r="A332" s="234"/>
      <c r="B332" s="208"/>
      <c r="C332" s="208"/>
      <c r="D332" s="208"/>
      <c r="E332" s="208"/>
      <c r="F332" s="208"/>
      <c r="G332" s="208"/>
      <c r="H332" s="208"/>
      <c r="I332" s="233"/>
      <c r="J332" s="208"/>
      <c r="K332" s="208"/>
      <c r="L332" s="208"/>
      <c r="M332" s="208"/>
      <c r="N332" s="208"/>
      <c r="O332" s="208"/>
      <c r="P332" s="208"/>
      <c r="Q332" s="208"/>
      <c r="R332" s="208"/>
      <c r="S332" s="208"/>
      <c r="T332" s="208"/>
      <c r="U332" s="208"/>
      <c r="V332" s="208"/>
      <c r="W332" s="232"/>
      <c r="X332" s="232"/>
      <c r="Y332" s="232"/>
      <c r="Z332" s="232"/>
      <c r="AA332" s="232"/>
      <c r="AB332" s="232"/>
      <c r="AC332" s="232"/>
      <c r="AD332" s="232"/>
      <c r="AE332" s="232"/>
      <c r="AF332" s="232"/>
      <c r="AG332" s="208"/>
      <c r="AH332" s="208"/>
      <c r="AI332" s="208"/>
      <c r="AJ332" s="208"/>
      <c r="AK332" s="208"/>
    </row>
    <row r="333">
      <c r="A333" s="234"/>
      <c r="B333" s="208"/>
      <c r="C333" s="208"/>
      <c r="D333" s="208"/>
      <c r="E333" s="208"/>
      <c r="F333" s="208"/>
      <c r="G333" s="208"/>
      <c r="H333" s="208"/>
      <c r="I333" s="233"/>
      <c r="J333" s="208"/>
      <c r="K333" s="208"/>
      <c r="L333" s="208"/>
      <c r="M333" s="208"/>
      <c r="N333" s="208"/>
      <c r="O333" s="208"/>
      <c r="P333" s="208"/>
      <c r="Q333" s="208"/>
      <c r="R333" s="208"/>
      <c r="S333" s="208"/>
      <c r="T333" s="208"/>
      <c r="U333" s="208"/>
      <c r="V333" s="208"/>
      <c r="W333" s="232"/>
      <c r="X333" s="232"/>
      <c r="Y333" s="232"/>
      <c r="Z333" s="232"/>
      <c r="AA333" s="232"/>
      <c r="AB333" s="232"/>
      <c r="AC333" s="232"/>
      <c r="AD333" s="232"/>
      <c r="AE333" s="232"/>
      <c r="AF333" s="232"/>
      <c r="AG333" s="208"/>
      <c r="AH333" s="208"/>
      <c r="AI333" s="208"/>
      <c r="AJ333" s="208"/>
      <c r="AK333" s="208"/>
    </row>
    <row r="334">
      <c r="A334" s="234"/>
      <c r="B334" s="208"/>
      <c r="C334" s="208"/>
      <c r="D334" s="208"/>
      <c r="E334" s="208"/>
      <c r="F334" s="208"/>
      <c r="G334" s="208"/>
      <c r="H334" s="208"/>
      <c r="I334" s="233"/>
      <c r="J334" s="208"/>
      <c r="K334" s="208"/>
      <c r="L334" s="208"/>
      <c r="M334" s="208"/>
      <c r="N334" s="208"/>
      <c r="O334" s="208"/>
      <c r="P334" s="208"/>
      <c r="Q334" s="208"/>
      <c r="R334" s="208"/>
      <c r="S334" s="208"/>
      <c r="T334" s="208"/>
      <c r="U334" s="208"/>
      <c r="V334" s="208"/>
      <c r="W334" s="232"/>
      <c r="X334" s="232"/>
      <c r="Y334" s="232"/>
      <c r="Z334" s="232"/>
      <c r="AA334" s="232"/>
      <c r="AB334" s="232"/>
      <c r="AC334" s="232"/>
      <c r="AD334" s="232"/>
      <c r="AE334" s="232"/>
      <c r="AF334" s="232"/>
      <c r="AG334" s="208"/>
      <c r="AH334" s="208"/>
      <c r="AI334" s="208"/>
      <c r="AJ334" s="208"/>
      <c r="AK334" s="208"/>
    </row>
    <row r="335">
      <c r="A335" s="234"/>
      <c r="B335" s="208"/>
      <c r="C335" s="208"/>
      <c r="D335" s="208"/>
      <c r="E335" s="208"/>
      <c r="F335" s="208"/>
      <c r="G335" s="208"/>
      <c r="H335" s="208"/>
      <c r="I335" s="233"/>
      <c r="J335" s="208"/>
      <c r="K335" s="208"/>
      <c r="L335" s="208"/>
      <c r="M335" s="208"/>
      <c r="N335" s="208"/>
      <c r="O335" s="208"/>
      <c r="P335" s="208"/>
      <c r="Q335" s="208"/>
      <c r="R335" s="208"/>
      <c r="S335" s="208"/>
      <c r="T335" s="208"/>
      <c r="U335" s="208"/>
      <c r="V335" s="208"/>
      <c r="W335" s="232"/>
      <c r="X335" s="232"/>
      <c r="Y335" s="232"/>
      <c r="Z335" s="232"/>
      <c r="AA335" s="232"/>
      <c r="AB335" s="232"/>
      <c r="AC335" s="232"/>
      <c r="AD335" s="232"/>
      <c r="AE335" s="232"/>
      <c r="AF335" s="232"/>
      <c r="AG335" s="208"/>
      <c r="AH335" s="208"/>
      <c r="AI335" s="208"/>
      <c r="AJ335" s="208"/>
      <c r="AK335" s="208"/>
    </row>
    <row r="336">
      <c r="A336" s="234"/>
      <c r="B336" s="208"/>
      <c r="C336" s="208"/>
      <c r="D336" s="208"/>
      <c r="E336" s="208"/>
      <c r="F336" s="208"/>
      <c r="G336" s="208"/>
      <c r="H336" s="208"/>
      <c r="I336" s="233"/>
      <c r="J336" s="208"/>
      <c r="K336" s="208"/>
      <c r="L336" s="208"/>
      <c r="M336" s="208"/>
      <c r="N336" s="208"/>
      <c r="O336" s="208"/>
      <c r="P336" s="208"/>
      <c r="Q336" s="208"/>
      <c r="R336" s="208"/>
      <c r="S336" s="208"/>
      <c r="T336" s="208"/>
      <c r="U336" s="208"/>
      <c r="V336" s="208"/>
      <c r="W336" s="232"/>
      <c r="X336" s="232"/>
      <c r="Y336" s="232"/>
      <c r="Z336" s="232"/>
      <c r="AA336" s="232"/>
      <c r="AB336" s="232"/>
      <c r="AC336" s="232"/>
      <c r="AD336" s="232"/>
      <c r="AE336" s="232"/>
      <c r="AF336" s="232"/>
      <c r="AG336" s="208"/>
      <c r="AH336" s="208"/>
      <c r="AI336" s="208"/>
      <c r="AJ336" s="208"/>
      <c r="AK336" s="208"/>
    </row>
    <row r="337">
      <c r="A337" s="234"/>
      <c r="B337" s="208"/>
      <c r="C337" s="208"/>
      <c r="D337" s="208"/>
      <c r="E337" s="208"/>
      <c r="F337" s="208"/>
      <c r="G337" s="208"/>
      <c r="H337" s="208"/>
      <c r="I337" s="233"/>
      <c r="J337" s="208"/>
      <c r="K337" s="208"/>
      <c r="L337" s="208"/>
      <c r="M337" s="208"/>
      <c r="N337" s="208"/>
      <c r="O337" s="208"/>
      <c r="P337" s="208"/>
      <c r="Q337" s="208"/>
      <c r="R337" s="208"/>
      <c r="S337" s="208"/>
      <c r="T337" s="208"/>
      <c r="U337" s="208"/>
      <c r="V337" s="208"/>
      <c r="W337" s="232"/>
      <c r="X337" s="232"/>
      <c r="Y337" s="232"/>
      <c r="Z337" s="232"/>
      <c r="AA337" s="232"/>
      <c r="AB337" s="232"/>
      <c r="AC337" s="232"/>
      <c r="AD337" s="232"/>
      <c r="AE337" s="232"/>
      <c r="AF337" s="232"/>
      <c r="AG337" s="208"/>
      <c r="AH337" s="208"/>
      <c r="AI337" s="208"/>
      <c r="AJ337" s="208"/>
      <c r="AK337" s="208"/>
    </row>
    <row r="338">
      <c r="A338" s="234"/>
      <c r="B338" s="208"/>
      <c r="C338" s="208"/>
      <c r="D338" s="208"/>
      <c r="E338" s="208"/>
      <c r="F338" s="208"/>
      <c r="G338" s="208"/>
      <c r="H338" s="208"/>
      <c r="I338" s="233"/>
      <c r="J338" s="208"/>
      <c r="K338" s="208"/>
      <c r="L338" s="208"/>
      <c r="M338" s="208"/>
      <c r="N338" s="208"/>
      <c r="O338" s="208"/>
      <c r="P338" s="208"/>
      <c r="Q338" s="208"/>
      <c r="R338" s="208"/>
      <c r="S338" s="208"/>
      <c r="T338" s="208"/>
      <c r="U338" s="208"/>
      <c r="V338" s="208"/>
      <c r="W338" s="232"/>
      <c r="X338" s="232"/>
      <c r="Y338" s="232"/>
      <c r="Z338" s="232"/>
      <c r="AA338" s="232"/>
      <c r="AB338" s="232"/>
      <c r="AC338" s="232"/>
      <c r="AD338" s="232"/>
      <c r="AE338" s="232"/>
      <c r="AF338" s="232"/>
      <c r="AG338" s="208"/>
      <c r="AH338" s="208"/>
      <c r="AI338" s="208"/>
      <c r="AJ338" s="208"/>
      <c r="AK338" s="208"/>
    </row>
    <row r="339">
      <c r="A339" s="234"/>
      <c r="B339" s="208"/>
      <c r="C339" s="208"/>
      <c r="D339" s="208"/>
      <c r="E339" s="208"/>
      <c r="F339" s="208"/>
      <c r="G339" s="208"/>
      <c r="H339" s="208"/>
      <c r="I339" s="233"/>
      <c r="J339" s="208"/>
      <c r="K339" s="208"/>
      <c r="L339" s="208"/>
      <c r="M339" s="208"/>
      <c r="N339" s="208"/>
      <c r="O339" s="208"/>
      <c r="P339" s="208"/>
      <c r="Q339" s="208"/>
      <c r="R339" s="208"/>
      <c r="S339" s="208"/>
      <c r="T339" s="208"/>
      <c r="U339" s="208"/>
      <c r="V339" s="208"/>
      <c r="W339" s="232"/>
      <c r="X339" s="232"/>
      <c r="Y339" s="232"/>
      <c r="Z339" s="232"/>
      <c r="AA339" s="232"/>
      <c r="AB339" s="232"/>
      <c r="AC339" s="232"/>
      <c r="AD339" s="232"/>
      <c r="AE339" s="232"/>
      <c r="AF339" s="232"/>
      <c r="AG339" s="208"/>
      <c r="AH339" s="208"/>
      <c r="AI339" s="208"/>
      <c r="AJ339" s="208"/>
      <c r="AK339" s="208"/>
    </row>
    <row r="340">
      <c r="A340" s="234"/>
      <c r="B340" s="208"/>
      <c r="C340" s="208"/>
      <c r="D340" s="208"/>
      <c r="E340" s="208"/>
      <c r="F340" s="208"/>
      <c r="G340" s="208"/>
      <c r="H340" s="208"/>
      <c r="I340" s="233"/>
      <c r="J340" s="208"/>
      <c r="K340" s="208"/>
      <c r="L340" s="208"/>
      <c r="M340" s="208"/>
      <c r="N340" s="208"/>
      <c r="O340" s="208"/>
      <c r="P340" s="208"/>
      <c r="Q340" s="208"/>
      <c r="R340" s="208"/>
      <c r="S340" s="208"/>
      <c r="T340" s="208"/>
      <c r="U340" s="208"/>
      <c r="V340" s="208"/>
      <c r="W340" s="232"/>
      <c r="X340" s="232"/>
      <c r="Y340" s="232"/>
      <c r="Z340" s="232"/>
      <c r="AA340" s="232"/>
      <c r="AB340" s="232"/>
      <c r="AC340" s="232"/>
      <c r="AD340" s="232"/>
      <c r="AE340" s="232"/>
      <c r="AF340" s="232"/>
      <c r="AG340" s="208"/>
      <c r="AH340" s="208"/>
      <c r="AI340" s="208"/>
      <c r="AJ340" s="208"/>
      <c r="AK340" s="208"/>
    </row>
    <row r="341">
      <c r="A341" s="234"/>
      <c r="B341" s="208"/>
      <c r="C341" s="208"/>
      <c r="D341" s="208"/>
      <c r="E341" s="208"/>
      <c r="F341" s="208"/>
      <c r="G341" s="208"/>
      <c r="H341" s="208"/>
      <c r="I341" s="233"/>
      <c r="J341" s="208"/>
      <c r="K341" s="208"/>
      <c r="L341" s="208"/>
      <c r="M341" s="208"/>
      <c r="N341" s="208"/>
      <c r="O341" s="208"/>
      <c r="P341" s="208"/>
      <c r="Q341" s="208"/>
      <c r="R341" s="208"/>
      <c r="S341" s="208"/>
      <c r="T341" s="208"/>
      <c r="U341" s="208"/>
      <c r="V341" s="208"/>
      <c r="W341" s="232"/>
      <c r="X341" s="232"/>
      <c r="Y341" s="232"/>
      <c r="Z341" s="232"/>
      <c r="AA341" s="232"/>
      <c r="AB341" s="232"/>
      <c r="AC341" s="232"/>
      <c r="AD341" s="232"/>
      <c r="AE341" s="232"/>
      <c r="AF341" s="232"/>
      <c r="AG341" s="208"/>
      <c r="AH341" s="208"/>
      <c r="AI341" s="208"/>
      <c r="AJ341" s="208"/>
      <c r="AK341" s="208"/>
    </row>
    <row r="342">
      <c r="A342" s="234"/>
      <c r="B342" s="208"/>
      <c r="C342" s="208"/>
      <c r="D342" s="208"/>
      <c r="E342" s="208"/>
      <c r="F342" s="208"/>
      <c r="G342" s="208"/>
      <c r="H342" s="208"/>
      <c r="I342" s="233"/>
      <c r="J342" s="208"/>
      <c r="K342" s="208"/>
      <c r="L342" s="208"/>
      <c r="M342" s="208"/>
      <c r="N342" s="208"/>
      <c r="O342" s="208"/>
      <c r="P342" s="208"/>
      <c r="Q342" s="208"/>
      <c r="R342" s="208"/>
      <c r="S342" s="208"/>
      <c r="T342" s="208"/>
      <c r="U342" s="208"/>
      <c r="V342" s="208"/>
      <c r="W342" s="232"/>
      <c r="X342" s="232"/>
      <c r="Y342" s="232"/>
      <c r="Z342" s="232"/>
      <c r="AA342" s="232"/>
      <c r="AB342" s="232"/>
      <c r="AC342" s="232"/>
      <c r="AD342" s="232"/>
      <c r="AE342" s="232"/>
      <c r="AF342" s="232"/>
      <c r="AG342" s="208"/>
      <c r="AH342" s="208"/>
      <c r="AI342" s="208"/>
      <c r="AJ342" s="208"/>
      <c r="AK342" s="208"/>
    </row>
    <row r="343">
      <c r="A343" s="234"/>
      <c r="B343" s="208"/>
      <c r="C343" s="208"/>
      <c r="D343" s="208"/>
      <c r="E343" s="208"/>
      <c r="F343" s="208"/>
      <c r="G343" s="208"/>
      <c r="H343" s="208"/>
      <c r="I343" s="233"/>
      <c r="J343" s="208"/>
      <c r="K343" s="208"/>
      <c r="L343" s="208"/>
      <c r="M343" s="208"/>
      <c r="N343" s="208"/>
      <c r="O343" s="208"/>
      <c r="P343" s="208"/>
      <c r="Q343" s="208"/>
      <c r="R343" s="208"/>
      <c r="S343" s="208"/>
      <c r="T343" s="208"/>
      <c r="U343" s="208"/>
      <c r="V343" s="208"/>
      <c r="W343" s="232"/>
      <c r="X343" s="232"/>
      <c r="Y343" s="232"/>
      <c r="Z343" s="232"/>
      <c r="AA343" s="232"/>
      <c r="AB343" s="232"/>
      <c r="AC343" s="232"/>
      <c r="AD343" s="232"/>
      <c r="AE343" s="232"/>
      <c r="AF343" s="232"/>
      <c r="AG343" s="208"/>
      <c r="AH343" s="208"/>
      <c r="AI343" s="208"/>
      <c r="AJ343" s="208"/>
      <c r="AK343" s="208"/>
    </row>
    <row r="344">
      <c r="A344" s="234"/>
      <c r="B344" s="208"/>
      <c r="C344" s="208"/>
      <c r="D344" s="208"/>
      <c r="E344" s="208"/>
      <c r="F344" s="208"/>
      <c r="G344" s="208"/>
      <c r="H344" s="208"/>
      <c r="I344" s="233"/>
      <c r="J344" s="208"/>
      <c r="K344" s="208"/>
      <c r="L344" s="208"/>
      <c r="M344" s="208"/>
      <c r="N344" s="208"/>
      <c r="O344" s="208"/>
      <c r="P344" s="208"/>
      <c r="Q344" s="208"/>
      <c r="R344" s="208"/>
      <c r="S344" s="208"/>
      <c r="T344" s="208"/>
      <c r="U344" s="208"/>
      <c r="V344" s="208"/>
      <c r="W344" s="232"/>
      <c r="X344" s="232"/>
      <c r="Y344" s="232"/>
      <c r="Z344" s="232"/>
      <c r="AA344" s="232"/>
      <c r="AB344" s="232"/>
      <c r="AC344" s="232"/>
      <c r="AD344" s="232"/>
      <c r="AE344" s="232"/>
      <c r="AF344" s="232"/>
      <c r="AG344" s="208"/>
      <c r="AH344" s="208"/>
      <c r="AI344" s="208"/>
      <c r="AJ344" s="208"/>
      <c r="AK344" s="208"/>
    </row>
    <row r="345">
      <c r="A345" s="234"/>
      <c r="B345" s="208"/>
      <c r="C345" s="208"/>
      <c r="D345" s="208"/>
      <c r="E345" s="208"/>
      <c r="F345" s="208"/>
      <c r="G345" s="208"/>
      <c r="H345" s="208"/>
      <c r="I345" s="233"/>
      <c r="J345" s="208"/>
      <c r="K345" s="208"/>
      <c r="L345" s="208"/>
      <c r="M345" s="208"/>
      <c r="N345" s="208"/>
      <c r="O345" s="208"/>
      <c r="P345" s="208"/>
      <c r="Q345" s="208"/>
      <c r="R345" s="208"/>
      <c r="S345" s="208"/>
      <c r="T345" s="208"/>
      <c r="U345" s="208"/>
      <c r="V345" s="208"/>
      <c r="W345" s="232"/>
      <c r="X345" s="232"/>
      <c r="Y345" s="232"/>
      <c r="Z345" s="232"/>
      <c r="AA345" s="232"/>
      <c r="AB345" s="232"/>
      <c r="AC345" s="232"/>
      <c r="AD345" s="232"/>
      <c r="AE345" s="232"/>
      <c r="AF345" s="232"/>
      <c r="AG345" s="208"/>
      <c r="AH345" s="208"/>
      <c r="AI345" s="208"/>
      <c r="AJ345" s="208"/>
      <c r="AK345" s="208"/>
    </row>
    <row r="346">
      <c r="A346" s="234"/>
      <c r="B346" s="208"/>
      <c r="C346" s="208"/>
      <c r="D346" s="208"/>
      <c r="E346" s="208"/>
      <c r="F346" s="208"/>
      <c r="G346" s="208"/>
      <c r="H346" s="208"/>
      <c r="I346" s="233"/>
      <c r="J346" s="208"/>
      <c r="K346" s="208"/>
      <c r="L346" s="208"/>
      <c r="M346" s="208"/>
      <c r="N346" s="208"/>
      <c r="O346" s="208"/>
      <c r="P346" s="208"/>
      <c r="Q346" s="208"/>
      <c r="R346" s="208"/>
      <c r="S346" s="208"/>
      <c r="T346" s="208"/>
      <c r="U346" s="208"/>
      <c r="V346" s="208"/>
      <c r="W346" s="232"/>
      <c r="X346" s="232"/>
      <c r="Y346" s="232"/>
      <c r="Z346" s="232"/>
      <c r="AA346" s="232"/>
      <c r="AB346" s="232"/>
      <c r="AC346" s="232"/>
      <c r="AD346" s="232"/>
      <c r="AE346" s="232"/>
      <c r="AF346" s="232"/>
      <c r="AG346" s="208"/>
      <c r="AH346" s="208"/>
      <c r="AI346" s="208"/>
      <c r="AJ346" s="208"/>
      <c r="AK346" s="208"/>
    </row>
    <row r="347">
      <c r="A347" s="234"/>
      <c r="B347" s="208"/>
      <c r="C347" s="208"/>
      <c r="D347" s="208"/>
      <c r="E347" s="208"/>
      <c r="F347" s="208"/>
      <c r="G347" s="208"/>
      <c r="H347" s="208"/>
      <c r="I347" s="233"/>
      <c r="J347" s="208"/>
      <c r="K347" s="208"/>
      <c r="L347" s="208"/>
      <c r="M347" s="208"/>
      <c r="N347" s="208"/>
      <c r="O347" s="208"/>
      <c r="P347" s="208"/>
      <c r="Q347" s="208"/>
      <c r="R347" s="208"/>
      <c r="S347" s="208"/>
      <c r="T347" s="208"/>
      <c r="U347" s="208"/>
      <c r="V347" s="208"/>
      <c r="W347" s="232"/>
      <c r="X347" s="232"/>
      <c r="Y347" s="232"/>
      <c r="Z347" s="232"/>
      <c r="AA347" s="232"/>
      <c r="AB347" s="232"/>
      <c r="AC347" s="232"/>
      <c r="AD347" s="232"/>
      <c r="AE347" s="232"/>
      <c r="AF347" s="232"/>
      <c r="AG347" s="208"/>
      <c r="AH347" s="208"/>
      <c r="AI347" s="208"/>
      <c r="AJ347" s="208"/>
      <c r="AK347" s="208"/>
    </row>
    <row r="348">
      <c r="A348" s="234"/>
      <c r="B348" s="208"/>
      <c r="C348" s="208"/>
      <c r="D348" s="208"/>
      <c r="E348" s="208"/>
      <c r="F348" s="208"/>
      <c r="G348" s="208"/>
      <c r="H348" s="208"/>
      <c r="I348" s="233"/>
      <c r="J348" s="208"/>
      <c r="K348" s="208"/>
      <c r="L348" s="208"/>
      <c r="M348" s="208"/>
      <c r="N348" s="208"/>
      <c r="O348" s="208"/>
      <c r="P348" s="208"/>
      <c r="Q348" s="208"/>
      <c r="R348" s="208"/>
      <c r="S348" s="208"/>
      <c r="T348" s="208"/>
      <c r="U348" s="208"/>
      <c r="V348" s="208"/>
      <c r="W348" s="232"/>
      <c r="X348" s="232"/>
      <c r="Y348" s="232"/>
      <c r="Z348" s="232"/>
      <c r="AA348" s="232"/>
      <c r="AB348" s="232"/>
      <c r="AC348" s="232"/>
      <c r="AD348" s="232"/>
      <c r="AE348" s="232"/>
      <c r="AF348" s="232"/>
      <c r="AG348" s="208"/>
      <c r="AH348" s="208"/>
      <c r="AI348" s="208"/>
      <c r="AJ348" s="208"/>
      <c r="AK348" s="208"/>
    </row>
    <row r="349">
      <c r="A349" s="234"/>
      <c r="B349" s="208"/>
      <c r="C349" s="208"/>
      <c r="D349" s="208"/>
      <c r="E349" s="208"/>
      <c r="F349" s="208"/>
      <c r="G349" s="208"/>
      <c r="H349" s="208"/>
      <c r="I349" s="233"/>
      <c r="J349" s="208"/>
      <c r="K349" s="208"/>
      <c r="L349" s="208"/>
      <c r="M349" s="208"/>
      <c r="N349" s="208"/>
      <c r="O349" s="208"/>
      <c r="P349" s="208"/>
      <c r="Q349" s="208"/>
      <c r="R349" s="208"/>
      <c r="S349" s="208"/>
      <c r="T349" s="208"/>
      <c r="U349" s="208"/>
      <c r="V349" s="208"/>
      <c r="W349" s="232"/>
      <c r="X349" s="232"/>
      <c r="Y349" s="232"/>
      <c r="Z349" s="232"/>
      <c r="AA349" s="232"/>
      <c r="AB349" s="232"/>
      <c r="AC349" s="232"/>
      <c r="AD349" s="232"/>
      <c r="AE349" s="232"/>
      <c r="AF349" s="232"/>
      <c r="AG349" s="208"/>
      <c r="AH349" s="208"/>
      <c r="AI349" s="208"/>
      <c r="AJ349" s="208"/>
      <c r="AK349" s="208"/>
    </row>
    <row r="350">
      <c r="A350" s="234"/>
      <c r="B350" s="208"/>
      <c r="C350" s="208"/>
      <c r="D350" s="208"/>
      <c r="E350" s="208"/>
      <c r="F350" s="208"/>
      <c r="G350" s="208"/>
      <c r="H350" s="208"/>
      <c r="I350" s="233"/>
      <c r="J350" s="208"/>
      <c r="K350" s="208"/>
      <c r="L350" s="208"/>
      <c r="M350" s="208"/>
      <c r="N350" s="208"/>
      <c r="O350" s="208"/>
      <c r="P350" s="208"/>
      <c r="Q350" s="208"/>
      <c r="R350" s="208"/>
      <c r="S350" s="208"/>
      <c r="T350" s="208"/>
      <c r="U350" s="208"/>
      <c r="V350" s="208"/>
      <c r="W350" s="232"/>
      <c r="X350" s="232"/>
      <c r="Y350" s="232"/>
      <c r="Z350" s="232"/>
      <c r="AA350" s="232"/>
      <c r="AB350" s="232"/>
      <c r="AC350" s="232"/>
      <c r="AD350" s="232"/>
      <c r="AE350" s="232"/>
      <c r="AF350" s="232"/>
      <c r="AG350" s="208"/>
      <c r="AH350" s="208"/>
      <c r="AI350" s="208"/>
      <c r="AJ350" s="208"/>
      <c r="AK350" s="208"/>
    </row>
    <row r="351">
      <c r="A351" s="234"/>
      <c r="B351" s="208"/>
      <c r="C351" s="208"/>
      <c r="D351" s="208"/>
      <c r="E351" s="208"/>
      <c r="F351" s="208"/>
      <c r="G351" s="208"/>
      <c r="H351" s="208"/>
      <c r="I351" s="233"/>
      <c r="J351" s="208"/>
      <c r="K351" s="208"/>
      <c r="L351" s="208"/>
      <c r="M351" s="208"/>
      <c r="N351" s="208"/>
      <c r="O351" s="208"/>
      <c r="P351" s="208"/>
      <c r="Q351" s="208"/>
      <c r="R351" s="208"/>
      <c r="S351" s="208"/>
      <c r="T351" s="208"/>
      <c r="U351" s="208"/>
      <c r="V351" s="208"/>
      <c r="W351" s="232"/>
      <c r="X351" s="232"/>
      <c r="Y351" s="232"/>
      <c r="Z351" s="232"/>
      <c r="AA351" s="232"/>
      <c r="AB351" s="232"/>
      <c r="AC351" s="232"/>
      <c r="AD351" s="232"/>
      <c r="AE351" s="232"/>
      <c r="AF351" s="232"/>
      <c r="AG351" s="208"/>
      <c r="AH351" s="208"/>
      <c r="AI351" s="208"/>
      <c r="AJ351" s="208"/>
      <c r="AK351" s="208"/>
    </row>
    <row r="352">
      <c r="A352" s="234"/>
      <c r="B352" s="208"/>
      <c r="C352" s="208"/>
      <c r="D352" s="208"/>
      <c r="E352" s="208"/>
      <c r="F352" s="208"/>
      <c r="G352" s="208"/>
      <c r="H352" s="208"/>
      <c r="I352" s="233"/>
      <c r="J352" s="208"/>
      <c r="K352" s="208"/>
      <c r="L352" s="208"/>
      <c r="M352" s="208"/>
      <c r="N352" s="208"/>
      <c r="O352" s="208"/>
      <c r="P352" s="208"/>
      <c r="Q352" s="208"/>
      <c r="R352" s="208"/>
      <c r="S352" s="208"/>
      <c r="T352" s="208"/>
      <c r="U352" s="208"/>
      <c r="V352" s="208"/>
      <c r="W352" s="232"/>
      <c r="X352" s="232"/>
      <c r="Y352" s="232"/>
      <c r="Z352" s="232"/>
      <c r="AA352" s="232"/>
      <c r="AB352" s="232"/>
      <c r="AC352" s="232"/>
      <c r="AD352" s="232"/>
      <c r="AE352" s="232"/>
      <c r="AF352" s="232"/>
      <c r="AG352" s="208"/>
      <c r="AH352" s="208"/>
      <c r="AI352" s="208"/>
      <c r="AJ352" s="208"/>
      <c r="AK352" s="208"/>
    </row>
    <row r="353">
      <c r="A353" s="234"/>
      <c r="B353" s="208"/>
      <c r="C353" s="208"/>
      <c r="D353" s="208"/>
      <c r="E353" s="208"/>
      <c r="F353" s="208"/>
      <c r="G353" s="208"/>
      <c r="H353" s="208"/>
      <c r="I353" s="233"/>
      <c r="J353" s="208"/>
      <c r="K353" s="208"/>
      <c r="L353" s="208"/>
      <c r="M353" s="208"/>
      <c r="N353" s="208"/>
      <c r="O353" s="208"/>
      <c r="P353" s="208"/>
      <c r="Q353" s="208"/>
      <c r="R353" s="208"/>
      <c r="S353" s="208"/>
      <c r="T353" s="208"/>
      <c r="U353" s="208"/>
      <c r="V353" s="208"/>
      <c r="W353" s="232"/>
      <c r="X353" s="232"/>
      <c r="Y353" s="232"/>
      <c r="Z353" s="232"/>
      <c r="AA353" s="232"/>
      <c r="AB353" s="232"/>
      <c r="AC353" s="232"/>
      <c r="AD353" s="232"/>
      <c r="AE353" s="232"/>
      <c r="AF353" s="232"/>
      <c r="AG353" s="208"/>
      <c r="AH353" s="208"/>
      <c r="AI353" s="208"/>
      <c r="AJ353" s="208"/>
      <c r="AK353" s="208"/>
    </row>
    <row r="354">
      <c r="A354" s="234"/>
      <c r="B354" s="208"/>
      <c r="C354" s="208"/>
      <c r="D354" s="208"/>
      <c r="E354" s="208"/>
      <c r="F354" s="208"/>
      <c r="G354" s="208"/>
      <c r="H354" s="208"/>
      <c r="I354" s="233"/>
      <c r="J354" s="208"/>
      <c r="K354" s="208"/>
      <c r="L354" s="208"/>
      <c r="M354" s="208"/>
      <c r="N354" s="208"/>
      <c r="O354" s="208"/>
      <c r="P354" s="208"/>
      <c r="Q354" s="208"/>
      <c r="R354" s="208"/>
      <c r="S354" s="208"/>
      <c r="T354" s="208"/>
      <c r="U354" s="208"/>
      <c r="V354" s="208"/>
      <c r="W354" s="232"/>
      <c r="X354" s="232"/>
      <c r="Y354" s="232"/>
      <c r="Z354" s="232"/>
      <c r="AA354" s="232"/>
      <c r="AB354" s="232"/>
      <c r="AC354" s="232"/>
      <c r="AD354" s="232"/>
      <c r="AE354" s="232"/>
      <c r="AF354" s="232"/>
      <c r="AG354" s="208"/>
      <c r="AH354" s="208"/>
      <c r="AI354" s="208"/>
      <c r="AJ354" s="208"/>
      <c r="AK354" s="208"/>
    </row>
    <row r="355">
      <c r="A355" s="234"/>
      <c r="B355" s="208"/>
      <c r="C355" s="208"/>
      <c r="D355" s="208"/>
      <c r="E355" s="208"/>
      <c r="F355" s="208"/>
      <c r="G355" s="208"/>
      <c r="H355" s="208"/>
      <c r="I355" s="233"/>
      <c r="J355" s="208"/>
      <c r="K355" s="208"/>
      <c r="L355" s="208"/>
      <c r="M355" s="208"/>
      <c r="N355" s="208"/>
      <c r="O355" s="208"/>
      <c r="P355" s="208"/>
      <c r="Q355" s="208"/>
      <c r="R355" s="208"/>
      <c r="S355" s="208"/>
      <c r="T355" s="208"/>
      <c r="U355" s="208"/>
      <c r="V355" s="208"/>
      <c r="W355" s="232"/>
      <c r="X355" s="232"/>
      <c r="Y355" s="232"/>
      <c r="Z355" s="232"/>
      <c r="AA355" s="232"/>
      <c r="AB355" s="232"/>
      <c r="AC355" s="232"/>
      <c r="AD355" s="232"/>
      <c r="AE355" s="232"/>
      <c r="AF355" s="232"/>
      <c r="AG355" s="208"/>
      <c r="AH355" s="208"/>
      <c r="AI355" s="208"/>
      <c r="AJ355" s="208"/>
      <c r="AK355" s="208"/>
    </row>
    <row r="356">
      <c r="A356" s="234"/>
      <c r="B356" s="208"/>
      <c r="C356" s="208"/>
      <c r="D356" s="208"/>
      <c r="E356" s="208"/>
      <c r="F356" s="208"/>
      <c r="G356" s="208"/>
      <c r="H356" s="208"/>
      <c r="I356" s="233"/>
      <c r="J356" s="208"/>
      <c r="K356" s="208"/>
      <c r="L356" s="208"/>
      <c r="M356" s="208"/>
      <c r="N356" s="208"/>
      <c r="O356" s="208"/>
      <c r="P356" s="208"/>
      <c r="Q356" s="208"/>
      <c r="R356" s="208"/>
      <c r="S356" s="208"/>
      <c r="T356" s="208"/>
      <c r="U356" s="208"/>
      <c r="V356" s="208"/>
      <c r="W356" s="232"/>
      <c r="X356" s="232"/>
      <c r="Y356" s="232"/>
      <c r="Z356" s="232"/>
      <c r="AA356" s="232"/>
      <c r="AB356" s="232"/>
      <c r="AC356" s="232"/>
      <c r="AD356" s="232"/>
      <c r="AE356" s="232"/>
      <c r="AF356" s="232"/>
      <c r="AG356" s="208"/>
      <c r="AH356" s="208"/>
      <c r="AI356" s="208"/>
      <c r="AJ356" s="208"/>
      <c r="AK356" s="208"/>
    </row>
    <row r="357">
      <c r="A357" s="234"/>
      <c r="B357" s="208"/>
      <c r="C357" s="208"/>
      <c r="D357" s="208"/>
      <c r="E357" s="208"/>
      <c r="F357" s="208"/>
      <c r="G357" s="208"/>
      <c r="H357" s="208"/>
      <c r="I357" s="233"/>
      <c r="J357" s="208"/>
      <c r="K357" s="208"/>
      <c r="L357" s="208"/>
      <c r="M357" s="208"/>
      <c r="N357" s="208"/>
      <c r="O357" s="208"/>
      <c r="P357" s="208"/>
      <c r="Q357" s="208"/>
      <c r="R357" s="208"/>
      <c r="S357" s="208"/>
      <c r="T357" s="208"/>
      <c r="U357" s="208"/>
      <c r="V357" s="208"/>
      <c r="W357" s="232"/>
      <c r="X357" s="232"/>
      <c r="Y357" s="232"/>
      <c r="Z357" s="232"/>
      <c r="AA357" s="232"/>
      <c r="AB357" s="232"/>
      <c r="AC357" s="232"/>
      <c r="AD357" s="232"/>
      <c r="AE357" s="232"/>
      <c r="AF357" s="232"/>
      <c r="AG357" s="208"/>
      <c r="AH357" s="208"/>
      <c r="AI357" s="208"/>
      <c r="AJ357" s="208"/>
      <c r="AK357" s="208"/>
    </row>
    <row r="358">
      <c r="A358" s="234"/>
      <c r="B358" s="208"/>
      <c r="C358" s="208"/>
      <c r="D358" s="208"/>
      <c r="E358" s="208"/>
      <c r="F358" s="208"/>
      <c r="G358" s="208"/>
      <c r="H358" s="208"/>
      <c r="I358" s="233"/>
      <c r="J358" s="208"/>
      <c r="K358" s="208"/>
      <c r="L358" s="208"/>
      <c r="M358" s="208"/>
      <c r="N358" s="208"/>
      <c r="O358" s="208"/>
      <c r="P358" s="208"/>
      <c r="Q358" s="208"/>
      <c r="R358" s="208"/>
      <c r="S358" s="208"/>
      <c r="T358" s="208"/>
      <c r="U358" s="208"/>
      <c r="V358" s="208"/>
      <c r="W358" s="232"/>
      <c r="X358" s="232"/>
      <c r="Y358" s="232"/>
      <c r="Z358" s="232"/>
      <c r="AA358" s="232"/>
      <c r="AB358" s="232"/>
      <c r="AC358" s="232"/>
      <c r="AD358" s="232"/>
      <c r="AE358" s="232"/>
      <c r="AF358" s="232"/>
      <c r="AG358" s="208"/>
      <c r="AH358" s="208"/>
      <c r="AI358" s="208"/>
      <c r="AJ358" s="208"/>
      <c r="AK358" s="208"/>
    </row>
    <row r="359">
      <c r="A359" s="234"/>
      <c r="B359" s="208"/>
      <c r="C359" s="208"/>
      <c r="D359" s="208"/>
      <c r="E359" s="208"/>
      <c r="F359" s="208"/>
      <c r="G359" s="208"/>
      <c r="H359" s="208"/>
      <c r="I359" s="233"/>
      <c r="J359" s="208"/>
      <c r="K359" s="208"/>
      <c r="L359" s="208"/>
      <c r="M359" s="208"/>
      <c r="N359" s="208"/>
      <c r="O359" s="208"/>
      <c r="P359" s="208"/>
      <c r="Q359" s="208"/>
      <c r="R359" s="208"/>
      <c r="S359" s="208"/>
      <c r="T359" s="208"/>
      <c r="U359" s="208"/>
      <c r="V359" s="208"/>
      <c r="W359" s="232"/>
      <c r="X359" s="232"/>
      <c r="Y359" s="232"/>
      <c r="Z359" s="232"/>
      <c r="AA359" s="232"/>
      <c r="AB359" s="232"/>
      <c r="AC359" s="232"/>
      <c r="AD359" s="232"/>
      <c r="AE359" s="232"/>
      <c r="AF359" s="232"/>
      <c r="AG359" s="208"/>
      <c r="AH359" s="208"/>
      <c r="AI359" s="208"/>
      <c r="AJ359" s="208"/>
      <c r="AK359" s="208"/>
    </row>
    <row r="360">
      <c r="A360" s="234"/>
      <c r="B360" s="208"/>
      <c r="C360" s="208"/>
      <c r="D360" s="208"/>
      <c r="E360" s="208"/>
      <c r="F360" s="208"/>
      <c r="G360" s="208"/>
      <c r="H360" s="208"/>
      <c r="I360" s="233"/>
      <c r="J360" s="208"/>
      <c r="K360" s="208"/>
      <c r="L360" s="208"/>
      <c r="M360" s="208"/>
      <c r="N360" s="208"/>
      <c r="O360" s="208"/>
      <c r="P360" s="208"/>
      <c r="Q360" s="208"/>
      <c r="R360" s="208"/>
      <c r="S360" s="208"/>
      <c r="T360" s="208"/>
      <c r="U360" s="208"/>
      <c r="V360" s="208"/>
      <c r="W360" s="232"/>
      <c r="X360" s="232"/>
      <c r="Y360" s="232"/>
      <c r="Z360" s="232"/>
      <c r="AA360" s="232"/>
      <c r="AB360" s="232"/>
      <c r="AC360" s="232"/>
      <c r="AD360" s="232"/>
      <c r="AE360" s="232"/>
      <c r="AF360" s="232"/>
      <c r="AG360" s="208"/>
      <c r="AH360" s="208"/>
      <c r="AI360" s="208"/>
      <c r="AJ360" s="208"/>
      <c r="AK360" s="208"/>
    </row>
    <row r="361">
      <c r="A361" s="234"/>
      <c r="B361" s="208"/>
      <c r="C361" s="208"/>
      <c r="D361" s="208"/>
      <c r="E361" s="208"/>
      <c r="F361" s="208"/>
      <c r="G361" s="208"/>
      <c r="H361" s="208"/>
      <c r="I361" s="233"/>
      <c r="J361" s="208"/>
      <c r="K361" s="208"/>
      <c r="L361" s="208"/>
      <c r="M361" s="208"/>
      <c r="N361" s="208"/>
      <c r="O361" s="208"/>
      <c r="P361" s="208"/>
      <c r="Q361" s="208"/>
      <c r="R361" s="208"/>
      <c r="S361" s="208"/>
      <c r="T361" s="208"/>
      <c r="U361" s="208"/>
      <c r="V361" s="208"/>
      <c r="W361" s="232"/>
      <c r="X361" s="232"/>
      <c r="Y361" s="232"/>
      <c r="Z361" s="232"/>
      <c r="AA361" s="232"/>
      <c r="AB361" s="232"/>
      <c r="AC361" s="232"/>
      <c r="AD361" s="232"/>
      <c r="AE361" s="232"/>
      <c r="AF361" s="232"/>
      <c r="AG361" s="208"/>
      <c r="AH361" s="208"/>
      <c r="AI361" s="208"/>
      <c r="AJ361" s="208"/>
      <c r="AK361" s="208"/>
    </row>
    <row r="362">
      <c r="A362" s="234"/>
      <c r="B362" s="208"/>
      <c r="C362" s="208"/>
      <c r="D362" s="208"/>
      <c r="E362" s="208"/>
      <c r="F362" s="208"/>
      <c r="G362" s="208"/>
      <c r="H362" s="208"/>
      <c r="I362" s="233"/>
      <c r="J362" s="208"/>
      <c r="K362" s="208"/>
      <c r="L362" s="208"/>
      <c r="M362" s="208"/>
      <c r="N362" s="208"/>
      <c r="O362" s="208"/>
      <c r="P362" s="208"/>
      <c r="Q362" s="208"/>
      <c r="R362" s="208"/>
      <c r="S362" s="208"/>
      <c r="T362" s="208"/>
      <c r="U362" s="208"/>
      <c r="V362" s="208"/>
      <c r="W362" s="232"/>
      <c r="X362" s="232"/>
      <c r="Y362" s="232"/>
      <c r="Z362" s="232"/>
      <c r="AA362" s="232"/>
      <c r="AB362" s="232"/>
      <c r="AC362" s="232"/>
      <c r="AD362" s="232"/>
      <c r="AE362" s="232"/>
      <c r="AF362" s="232"/>
      <c r="AG362" s="208"/>
      <c r="AH362" s="208"/>
      <c r="AI362" s="208"/>
      <c r="AJ362" s="208"/>
      <c r="AK362" s="208"/>
    </row>
    <row r="363">
      <c r="A363" s="234"/>
      <c r="B363" s="208"/>
      <c r="C363" s="208"/>
      <c r="D363" s="208"/>
      <c r="E363" s="208"/>
      <c r="F363" s="208"/>
      <c r="G363" s="208"/>
      <c r="H363" s="208"/>
      <c r="I363" s="233"/>
      <c r="J363" s="208"/>
      <c r="K363" s="208"/>
      <c r="L363" s="208"/>
      <c r="M363" s="208"/>
      <c r="N363" s="208"/>
      <c r="O363" s="208"/>
      <c r="P363" s="208"/>
      <c r="Q363" s="208"/>
      <c r="R363" s="208"/>
      <c r="S363" s="208"/>
      <c r="T363" s="208"/>
      <c r="U363" s="208"/>
      <c r="V363" s="208"/>
      <c r="W363" s="232"/>
      <c r="X363" s="232"/>
      <c r="Y363" s="232"/>
      <c r="Z363" s="232"/>
      <c r="AA363" s="232"/>
      <c r="AB363" s="232"/>
      <c r="AC363" s="232"/>
      <c r="AD363" s="232"/>
      <c r="AE363" s="232"/>
      <c r="AF363" s="232"/>
      <c r="AG363" s="208"/>
      <c r="AH363" s="208"/>
      <c r="AI363" s="208"/>
      <c r="AJ363" s="208"/>
      <c r="AK363" s="208"/>
    </row>
    <row r="364">
      <c r="A364" s="234"/>
      <c r="B364" s="208"/>
      <c r="C364" s="208"/>
      <c r="D364" s="208"/>
      <c r="E364" s="208"/>
      <c r="F364" s="208"/>
      <c r="G364" s="208"/>
      <c r="H364" s="208"/>
      <c r="I364" s="233"/>
      <c r="J364" s="208"/>
      <c r="K364" s="208"/>
      <c r="L364" s="208"/>
      <c r="M364" s="208"/>
      <c r="N364" s="208"/>
      <c r="O364" s="208"/>
      <c r="P364" s="208"/>
      <c r="Q364" s="208"/>
      <c r="R364" s="208"/>
      <c r="S364" s="208"/>
      <c r="T364" s="208"/>
      <c r="U364" s="208"/>
      <c r="V364" s="208"/>
      <c r="W364" s="232"/>
      <c r="X364" s="232"/>
      <c r="Y364" s="232"/>
      <c r="Z364" s="232"/>
      <c r="AA364" s="232"/>
      <c r="AB364" s="232"/>
      <c r="AC364" s="232"/>
      <c r="AD364" s="232"/>
      <c r="AE364" s="232"/>
      <c r="AF364" s="232"/>
      <c r="AG364" s="208"/>
      <c r="AH364" s="208"/>
      <c r="AI364" s="208"/>
      <c r="AJ364" s="208"/>
      <c r="AK364" s="208"/>
    </row>
    <row r="365">
      <c r="A365" s="234"/>
      <c r="B365" s="208"/>
      <c r="C365" s="208"/>
      <c r="D365" s="208"/>
      <c r="E365" s="208"/>
      <c r="F365" s="208"/>
      <c r="G365" s="208"/>
      <c r="H365" s="208"/>
      <c r="I365" s="233"/>
      <c r="J365" s="208"/>
      <c r="K365" s="208"/>
      <c r="L365" s="208"/>
      <c r="M365" s="208"/>
      <c r="N365" s="208"/>
      <c r="O365" s="208"/>
      <c r="P365" s="208"/>
      <c r="Q365" s="208"/>
      <c r="R365" s="208"/>
      <c r="S365" s="208"/>
      <c r="T365" s="208"/>
      <c r="U365" s="208"/>
      <c r="V365" s="208"/>
      <c r="W365" s="232"/>
      <c r="X365" s="232"/>
      <c r="Y365" s="232"/>
      <c r="Z365" s="232"/>
      <c r="AA365" s="232"/>
      <c r="AB365" s="232"/>
      <c r="AC365" s="232"/>
      <c r="AD365" s="232"/>
      <c r="AE365" s="232"/>
      <c r="AF365" s="232"/>
      <c r="AG365" s="208"/>
      <c r="AH365" s="208"/>
      <c r="AI365" s="208"/>
      <c r="AJ365" s="208"/>
      <c r="AK365" s="208"/>
    </row>
    <row r="366">
      <c r="A366" s="234"/>
      <c r="B366" s="208"/>
      <c r="C366" s="208"/>
      <c r="D366" s="208"/>
      <c r="E366" s="208"/>
      <c r="F366" s="208"/>
      <c r="G366" s="208"/>
      <c r="H366" s="208"/>
      <c r="I366" s="233"/>
      <c r="J366" s="208"/>
      <c r="K366" s="208"/>
      <c r="L366" s="208"/>
      <c r="M366" s="208"/>
      <c r="N366" s="208"/>
      <c r="O366" s="208"/>
      <c r="P366" s="208"/>
      <c r="Q366" s="208"/>
      <c r="R366" s="208"/>
      <c r="S366" s="208"/>
      <c r="T366" s="208"/>
      <c r="U366" s="208"/>
      <c r="V366" s="208"/>
      <c r="W366" s="232"/>
      <c r="X366" s="232"/>
      <c r="Y366" s="232"/>
      <c r="Z366" s="232"/>
      <c r="AA366" s="232"/>
      <c r="AB366" s="232"/>
      <c r="AC366" s="232"/>
      <c r="AD366" s="232"/>
      <c r="AE366" s="232"/>
      <c r="AF366" s="232"/>
      <c r="AG366" s="208"/>
      <c r="AH366" s="208"/>
      <c r="AI366" s="208"/>
      <c r="AJ366" s="208"/>
      <c r="AK366" s="208"/>
    </row>
    <row r="367">
      <c r="A367" s="234"/>
      <c r="B367" s="208"/>
      <c r="C367" s="208"/>
      <c r="D367" s="208"/>
      <c r="E367" s="208"/>
      <c r="F367" s="208"/>
      <c r="G367" s="208"/>
      <c r="H367" s="208"/>
      <c r="I367" s="233"/>
      <c r="J367" s="208"/>
      <c r="K367" s="208"/>
      <c r="L367" s="208"/>
      <c r="M367" s="208"/>
      <c r="N367" s="208"/>
      <c r="O367" s="208"/>
      <c r="P367" s="208"/>
      <c r="Q367" s="208"/>
      <c r="R367" s="208"/>
      <c r="S367" s="208"/>
      <c r="T367" s="208"/>
      <c r="U367" s="208"/>
      <c r="V367" s="208"/>
      <c r="W367" s="232"/>
      <c r="X367" s="232"/>
      <c r="Y367" s="232"/>
      <c r="Z367" s="232"/>
      <c r="AA367" s="232"/>
      <c r="AB367" s="232"/>
      <c r="AC367" s="232"/>
      <c r="AD367" s="232"/>
      <c r="AE367" s="232"/>
      <c r="AF367" s="232"/>
      <c r="AG367" s="208"/>
      <c r="AH367" s="208"/>
      <c r="AI367" s="208"/>
      <c r="AJ367" s="208"/>
      <c r="AK367" s="208"/>
    </row>
    <row r="368">
      <c r="A368" s="234"/>
      <c r="B368" s="208"/>
      <c r="C368" s="208"/>
      <c r="D368" s="208"/>
      <c r="E368" s="208"/>
      <c r="F368" s="208"/>
      <c r="G368" s="208"/>
      <c r="H368" s="208"/>
      <c r="I368" s="233"/>
      <c r="J368" s="208"/>
      <c r="K368" s="208"/>
      <c r="L368" s="208"/>
      <c r="M368" s="208"/>
      <c r="N368" s="208"/>
      <c r="O368" s="208"/>
      <c r="P368" s="208"/>
      <c r="Q368" s="208"/>
      <c r="R368" s="208"/>
      <c r="S368" s="208"/>
      <c r="T368" s="208"/>
      <c r="U368" s="208"/>
      <c r="V368" s="208"/>
      <c r="W368" s="232"/>
      <c r="X368" s="232"/>
      <c r="Y368" s="232"/>
      <c r="Z368" s="232"/>
      <c r="AA368" s="232"/>
      <c r="AB368" s="232"/>
      <c r="AC368" s="232"/>
      <c r="AD368" s="232"/>
      <c r="AE368" s="232"/>
      <c r="AF368" s="232"/>
      <c r="AG368" s="208"/>
      <c r="AH368" s="208"/>
      <c r="AI368" s="208"/>
      <c r="AJ368" s="208"/>
      <c r="AK368" s="208"/>
    </row>
    <row r="369">
      <c r="A369" s="234"/>
      <c r="B369" s="208"/>
      <c r="C369" s="208"/>
      <c r="D369" s="208"/>
      <c r="E369" s="208"/>
      <c r="F369" s="208"/>
      <c r="G369" s="208"/>
      <c r="H369" s="208"/>
      <c r="I369" s="233"/>
      <c r="J369" s="208"/>
      <c r="K369" s="208"/>
      <c r="L369" s="208"/>
      <c r="M369" s="208"/>
      <c r="N369" s="208"/>
      <c r="O369" s="208"/>
      <c r="P369" s="208"/>
      <c r="Q369" s="208"/>
      <c r="R369" s="208"/>
      <c r="S369" s="208"/>
      <c r="T369" s="208"/>
      <c r="U369" s="208"/>
      <c r="V369" s="208"/>
      <c r="W369" s="232"/>
      <c r="X369" s="232"/>
      <c r="Y369" s="232"/>
      <c r="Z369" s="232"/>
      <c r="AA369" s="232"/>
      <c r="AB369" s="232"/>
      <c r="AC369" s="232"/>
      <c r="AD369" s="232"/>
      <c r="AE369" s="232"/>
      <c r="AF369" s="232"/>
      <c r="AG369" s="208"/>
      <c r="AH369" s="208"/>
      <c r="AI369" s="208"/>
      <c r="AJ369" s="208"/>
      <c r="AK369" s="208"/>
    </row>
    <row r="370">
      <c r="A370" s="234"/>
      <c r="B370" s="208"/>
      <c r="C370" s="208"/>
      <c r="D370" s="208"/>
      <c r="E370" s="208"/>
      <c r="F370" s="208"/>
      <c r="G370" s="208"/>
      <c r="H370" s="208"/>
      <c r="I370" s="233"/>
      <c r="J370" s="208"/>
      <c r="K370" s="208"/>
      <c r="L370" s="208"/>
      <c r="M370" s="208"/>
      <c r="N370" s="208"/>
      <c r="O370" s="208"/>
      <c r="P370" s="208"/>
      <c r="Q370" s="208"/>
      <c r="R370" s="208"/>
      <c r="S370" s="208"/>
      <c r="T370" s="208"/>
      <c r="U370" s="208"/>
      <c r="V370" s="208"/>
      <c r="W370" s="232"/>
      <c r="X370" s="232"/>
      <c r="Y370" s="232"/>
      <c r="Z370" s="232"/>
      <c r="AA370" s="232"/>
      <c r="AB370" s="232"/>
      <c r="AC370" s="232"/>
      <c r="AD370" s="232"/>
      <c r="AE370" s="232"/>
      <c r="AF370" s="232"/>
      <c r="AG370" s="208"/>
      <c r="AH370" s="208"/>
      <c r="AI370" s="208"/>
      <c r="AJ370" s="208"/>
      <c r="AK370" s="208"/>
    </row>
    <row r="371">
      <c r="A371" s="234"/>
      <c r="B371" s="208"/>
      <c r="C371" s="208"/>
      <c r="D371" s="208"/>
      <c r="E371" s="208"/>
      <c r="F371" s="208"/>
      <c r="G371" s="208"/>
      <c r="H371" s="208"/>
      <c r="I371" s="233"/>
      <c r="J371" s="208"/>
      <c r="K371" s="208"/>
      <c r="L371" s="208"/>
      <c r="M371" s="208"/>
      <c r="N371" s="208"/>
      <c r="O371" s="208"/>
      <c r="P371" s="208"/>
      <c r="Q371" s="208"/>
      <c r="R371" s="208"/>
      <c r="S371" s="208"/>
      <c r="T371" s="208"/>
      <c r="U371" s="208"/>
      <c r="V371" s="208"/>
      <c r="W371" s="232"/>
      <c r="X371" s="232"/>
      <c r="Y371" s="232"/>
      <c r="Z371" s="232"/>
      <c r="AA371" s="232"/>
      <c r="AB371" s="232"/>
      <c r="AC371" s="232"/>
      <c r="AD371" s="232"/>
      <c r="AE371" s="232"/>
      <c r="AF371" s="232"/>
      <c r="AG371" s="208"/>
      <c r="AH371" s="208"/>
      <c r="AI371" s="208"/>
      <c r="AJ371" s="208"/>
      <c r="AK371" s="208"/>
    </row>
    <row r="372">
      <c r="A372" s="234"/>
      <c r="B372" s="208"/>
      <c r="C372" s="208"/>
      <c r="D372" s="208"/>
      <c r="E372" s="208"/>
      <c r="F372" s="208"/>
      <c r="G372" s="208"/>
      <c r="H372" s="208"/>
      <c r="I372" s="233"/>
      <c r="J372" s="208"/>
      <c r="K372" s="208"/>
      <c r="L372" s="208"/>
      <c r="M372" s="208"/>
      <c r="N372" s="208"/>
      <c r="O372" s="208"/>
      <c r="P372" s="208"/>
      <c r="Q372" s="208"/>
      <c r="R372" s="208"/>
      <c r="S372" s="208"/>
      <c r="T372" s="208"/>
      <c r="U372" s="208"/>
      <c r="V372" s="208"/>
      <c r="W372" s="232"/>
      <c r="X372" s="232"/>
      <c r="Y372" s="232"/>
      <c r="Z372" s="232"/>
      <c r="AA372" s="232"/>
      <c r="AB372" s="232"/>
      <c r="AC372" s="232"/>
      <c r="AD372" s="232"/>
      <c r="AE372" s="232"/>
      <c r="AF372" s="232"/>
      <c r="AG372" s="208"/>
      <c r="AH372" s="208"/>
      <c r="AI372" s="208"/>
      <c r="AJ372" s="208"/>
      <c r="AK372" s="208"/>
    </row>
    <row r="373">
      <c r="A373" s="234"/>
      <c r="B373" s="208"/>
      <c r="C373" s="208"/>
      <c r="D373" s="208"/>
      <c r="E373" s="208"/>
      <c r="F373" s="208"/>
      <c r="G373" s="208"/>
      <c r="H373" s="208"/>
      <c r="I373" s="233"/>
      <c r="J373" s="208"/>
      <c r="K373" s="208"/>
      <c r="L373" s="208"/>
      <c r="M373" s="208"/>
      <c r="N373" s="208"/>
      <c r="O373" s="208"/>
      <c r="P373" s="208"/>
      <c r="Q373" s="208"/>
      <c r="R373" s="208"/>
      <c r="S373" s="208"/>
      <c r="T373" s="208"/>
      <c r="U373" s="208"/>
      <c r="V373" s="208"/>
      <c r="W373" s="232"/>
      <c r="X373" s="232"/>
      <c r="Y373" s="232"/>
      <c r="Z373" s="232"/>
      <c r="AA373" s="232"/>
      <c r="AB373" s="232"/>
      <c r="AC373" s="232"/>
      <c r="AD373" s="232"/>
      <c r="AE373" s="232"/>
      <c r="AF373" s="232"/>
      <c r="AG373" s="208"/>
      <c r="AH373" s="208"/>
      <c r="AI373" s="208"/>
      <c r="AJ373" s="208"/>
      <c r="AK373" s="208"/>
    </row>
    <row r="374">
      <c r="A374" s="234"/>
      <c r="B374" s="208"/>
      <c r="C374" s="208"/>
      <c r="D374" s="208"/>
      <c r="E374" s="208"/>
      <c r="F374" s="208"/>
      <c r="G374" s="208"/>
      <c r="H374" s="208"/>
      <c r="I374" s="233"/>
      <c r="J374" s="208"/>
      <c r="K374" s="208"/>
      <c r="L374" s="208"/>
      <c r="M374" s="208"/>
      <c r="N374" s="208"/>
      <c r="O374" s="208"/>
      <c r="P374" s="208"/>
      <c r="Q374" s="208"/>
      <c r="R374" s="208"/>
      <c r="S374" s="208"/>
      <c r="T374" s="208"/>
      <c r="U374" s="208"/>
      <c r="V374" s="208"/>
      <c r="W374" s="232"/>
      <c r="X374" s="232"/>
      <c r="Y374" s="232"/>
      <c r="Z374" s="232"/>
      <c r="AA374" s="232"/>
      <c r="AB374" s="232"/>
      <c r="AC374" s="232"/>
      <c r="AD374" s="232"/>
      <c r="AE374" s="232"/>
      <c r="AF374" s="232"/>
      <c r="AG374" s="208"/>
      <c r="AH374" s="208"/>
      <c r="AI374" s="208"/>
      <c r="AJ374" s="208"/>
      <c r="AK374" s="208"/>
    </row>
    <row r="375">
      <c r="A375" s="234"/>
      <c r="B375" s="208"/>
      <c r="C375" s="208"/>
      <c r="D375" s="208"/>
      <c r="E375" s="208"/>
      <c r="F375" s="208"/>
      <c r="G375" s="208"/>
      <c r="H375" s="208"/>
      <c r="I375" s="233"/>
      <c r="J375" s="208"/>
      <c r="K375" s="208"/>
      <c r="L375" s="208"/>
      <c r="M375" s="208"/>
      <c r="N375" s="208"/>
      <c r="O375" s="208"/>
      <c r="P375" s="208"/>
      <c r="Q375" s="208"/>
      <c r="R375" s="208"/>
      <c r="S375" s="208"/>
      <c r="T375" s="208"/>
      <c r="U375" s="208"/>
      <c r="V375" s="208"/>
      <c r="W375" s="232"/>
      <c r="X375" s="232"/>
      <c r="Y375" s="232"/>
      <c r="Z375" s="232"/>
      <c r="AA375" s="232"/>
      <c r="AB375" s="232"/>
      <c r="AC375" s="232"/>
      <c r="AD375" s="232"/>
      <c r="AE375" s="232"/>
      <c r="AF375" s="232"/>
      <c r="AG375" s="208"/>
      <c r="AH375" s="208"/>
      <c r="AI375" s="208"/>
      <c r="AJ375" s="208"/>
      <c r="AK375" s="208"/>
    </row>
    <row r="376">
      <c r="A376" s="234"/>
      <c r="B376" s="208"/>
      <c r="C376" s="208"/>
      <c r="D376" s="208"/>
      <c r="E376" s="208"/>
      <c r="F376" s="208"/>
      <c r="G376" s="208"/>
      <c r="H376" s="208"/>
      <c r="I376" s="233"/>
      <c r="J376" s="208"/>
      <c r="K376" s="208"/>
      <c r="L376" s="208"/>
      <c r="M376" s="208"/>
      <c r="N376" s="208"/>
      <c r="O376" s="208"/>
      <c r="P376" s="208"/>
      <c r="Q376" s="208"/>
      <c r="R376" s="208"/>
      <c r="S376" s="208"/>
      <c r="T376" s="208"/>
      <c r="U376" s="208"/>
      <c r="V376" s="208"/>
      <c r="W376" s="232"/>
      <c r="X376" s="232"/>
      <c r="Y376" s="232"/>
      <c r="Z376" s="232"/>
      <c r="AA376" s="232"/>
      <c r="AB376" s="232"/>
      <c r="AC376" s="232"/>
      <c r="AD376" s="232"/>
      <c r="AE376" s="232"/>
      <c r="AF376" s="232"/>
      <c r="AG376" s="208"/>
      <c r="AH376" s="208"/>
      <c r="AI376" s="208"/>
      <c r="AJ376" s="208"/>
      <c r="AK376" s="208"/>
    </row>
    <row r="377">
      <c r="A377" s="234"/>
      <c r="B377" s="208"/>
      <c r="C377" s="208"/>
      <c r="D377" s="208"/>
      <c r="E377" s="208"/>
      <c r="F377" s="208"/>
      <c r="G377" s="208"/>
      <c r="H377" s="208"/>
      <c r="I377" s="233"/>
      <c r="J377" s="208"/>
      <c r="K377" s="208"/>
      <c r="L377" s="208"/>
      <c r="M377" s="208"/>
      <c r="N377" s="208"/>
      <c r="O377" s="208"/>
      <c r="P377" s="208"/>
      <c r="Q377" s="208"/>
      <c r="R377" s="208"/>
      <c r="S377" s="208"/>
      <c r="T377" s="208"/>
      <c r="U377" s="208"/>
      <c r="V377" s="208"/>
      <c r="W377" s="232"/>
      <c r="X377" s="232"/>
      <c r="Y377" s="232"/>
      <c r="Z377" s="232"/>
      <c r="AA377" s="232"/>
      <c r="AB377" s="232"/>
      <c r="AC377" s="232"/>
      <c r="AD377" s="232"/>
      <c r="AE377" s="232"/>
      <c r="AF377" s="232"/>
      <c r="AG377" s="208"/>
      <c r="AH377" s="208"/>
      <c r="AI377" s="208"/>
      <c r="AJ377" s="208"/>
      <c r="AK377" s="208"/>
    </row>
    <row r="378">
      <c r="A378" s="234"/>
      <c r="B378" s="208"/>
      <c r="C378" s="208"/>
      <c r="D378" s="208"/>
      <c r="E378" s="208"/>
      <c r="F378" s="208"/>
      <c r="G378" s="208"/>
      <c r="H378" s="208"/>
      <c r="I378" s="233"/>
      <c r="J378" s="208"/>
      <c r="K378" s="208"/>
      <c r="L378" s="208"/>
      <c r="M378" s="208"/>
      <c r="N378" s="208"/>
      <c r="O378" s="208"/>
      <c r="P378" s="208"/>
      <c r="Q378" s="208"/>
      <c r="R378" s="208"/>
      <c r="S378" s="208"/>
      <c r="T378" s="208"/>
      <c r="U378" s="208"/>
      <c r="V378" s="208"/>
      <c r="W378" s="232"/>
      <c r="X378" s="232"/>
      <c r="Y378" s="232"/>
      <c r="Z378" s="232"/>
      <c r="AA378" s="232"/>
      <c r="AB378" s="232"/>
      <c r="AC378" s="232"/>
      <c r="AD378" s="232"/>
      <c r="AE378" s="232"/>
      <c r="AF378" s="232"/>
      <c r="AG378" s="208"/>
      <c r="AH378" s="208"/>
      <c r="AI378" s="208"/>
      <c r="AJ378" s="208"/>
      <c r="AK378" s="208"/>
    </row>
    <row r="379">
      <c r="A379" s="234"/>
      <c r="B379" s="208"/>
      <c r="C379" s="208"/>
      <c r="D379" s="208"/>
      <c r="E379" s="208"/>
      <c r="F379" s="208"/>
      <c r="G379" s="208"/>
      <c r="H379" s="208"/>
      <c r="I379" s="233"/>
      <c r="J379" s="208"/>
      <c r="K379" s="208"/>
      <c r="L379" s="208"/>
      <c r="M379" s="208"/>
      <c r="N379" s="208"/>
      <c r="O379" s="208"/>
      <c r="P379" s="208"/>
      <c r="Q379" s="208"/>
      <c r="R379" s="208"/>
      <c r="S379" s="208"/>
      <c r="T379" s="208"/>
      <c r="U379" s="208"/>
      <c r="V379" s="208"/>
      <c r="W379" s="232"/>
      <c r="X379" s="232"/>
      <c r="Y379" s="232"/>
      <c r="Z379" s="232"/>
      <c r="AA379" s="232"/>
      <c r="AB379" s="232"/>
      <c r="AC379" s="232"/>
      <c r="AD379" s="232"/>
      <c r="AE379" s="232"/>
      <c r="AF379" s="232"/>
      <c r="AG379" s="208"/>
      <c r="AH379" s="208"/>
      <c r="AI379" s="208"/>
      <c r="AJ379" s="208"/>
      <c r="AK379" s="208"/>
    </row>
    <row r="380">
      <c r="A380" s="234"/>
      <c r="B380" s="208"/>
      <c r="C380" s="208"/>
      <c r="D380" s="208"/>
      <c r="E380" s="208"/>
      <c r="F380" s="208"/>
      <c r="G380" s="208"/>
      <c r="H380" s="208"/>
      <c r="I380" s="233"/>
      <c r="J380" s="208"/>
      <c r="K380" s="208"/>
      <c r="L380" s="208"/>
      <c r="M380" s="208"/>
      <c r="N380" s="208"/>
      <c r="O380" s="208"/>
      <c r="P380" s="208"/>
      <c r="Q380" s="208"/>
      <c r="R380" s="208"/>
      <c r="S380" s="208"/>
      <c r="T380" s="208"/>
      <c r="U380" s="208"/>
      <c r="V380" s="208"/>
      <c r="W380" s="232"/>
      <c r="X380" s="232"/>
      <c r="Y380" s="232"/>
      <c r="Z380" s="232"/>
      <c r="AA380" s="232"/>
      <c r="AB380" s="232"/>
      <c r="AC380" s="232"/>
      <c r="AD380" s="232"/>
      <c r="AE380" s="232"/>
      <c r="AF380" s="232"/>
      <c r="AG380" s="208"/>
      <c r="AH380" s="208"/>
      <c r="AI380" s="208"/>
      <c r="AJ380" s="208"/>
      <c r="AK380" s="208"/>
    </row>
    <row r="381">
      <c r="A381" s="234"/>
      <c r="B381" s="208"/>
      <c r="C381" s="208"/>
      <c r="D381" s="208"/>
      <c r="E381" s="208"/>
      <c r="F381" s="208"/>
      <c r="G381" s="208"/>
      <c r="H381" s="208"/>
      <c r="I381" s="233"/>
      <c r="J381" s="208"/>
      <c r="K381" s="208"/>
      <c r="L381" s="208"/>
      <c r="M381" s="208"/>
      <c r="N381" s="208"/>
      <c r="O381" s="208"/>
      <c r="P381" s="208"/>
      <c r="Q381" s="208"/>
      <c r="R381" s="208"/>
      <c r="S381" s="208"/>
      <c r="T381" s="208"/>
      <c r="U381" s="208"/>
      <c r="V381" s="208"/>
      <c r="W381" s="232"/>
      <c r="X381" s="232"/>
      <c r="Y381" s="232"/>
      <c r="Z381" s="232"/>
      <c r="AA381" s="232"/>
      <c r="AB381" s="232"/>
      <c r="AC381" s="232"/>
      <c r="AD381" s="232"/>
      <c r="AE381" s="232"/>
      <c r="AF381" s="232"/>
      <c r="AG381" s="208"/>
      <c r="AH381" s="208"/>
      <c r="AI381" s="208"/>
      <c r="AJ381" s="208"/>
      <c r="AK381" s="208"/>
    </row>
    <row r="382">
      <c r="A382" s="234"/>
      <c r="B382" s="208"/>
      <c r="C382" s="208"/>
      <c r="D382" s="208"/>
      <c r="E382" s="208"/>
      <c r="F382" s="208"/>
      <c r="G382" s="208"/>
      <c r="H382" s="208"/>
      <c r="I382" s="233"/>
      <c r="J382" s="208"/>
      <c r="K382" s="208"/>
      <c r="L382" s="208"/>
      <c r="M382" s="208"/>
      <c r="N382" s="208"/>
      <c r="O382" s="208"/>
      <c r="P382" s="208"/>
      <c r="Q382" s="208"/>
      <c r="R382" s="208"/>
      <c r="S382" s="208"/>
      <c r="T382" s="208"/>
      <c r="U382" s="208"/>
      <c r="V382" s="208"/>
      <c r="W382" s="232"/>
      <c r="X382" s="232"/>
      <c r="Y382" s="232"/>
      <c r="Z382" s="232"/>
      <c r="AA382" s="232"/>
      <c r="AB382" s="232"/>
      <c r="AC382" s="232"/>
      <c r="AD382" s="232"/>
      <c r="AE382" s="232"/>
      <c r="AF382" s="232"/>
      <c r="AG382" s="208"/>
      <c r="AH382" s="208"/>
      <c r="AI382" s="208"/>
      <c r="AJ382" s="208"/>
      <c r="AK382" s="208"/>
    </row>
    <row r="383">
      <c r="A383" s="234"/>
      <c r="B383" s="208"/>
      <c r="C383" s="208"/>
      <c r="D383" s="208"/>
      <c r="E383" s="208"/>
      <c r="F383" s="208"/>
      <c r="G383" s="208"/>
      <c r="H383" s="208"/>
      <c r="I383" s="233"/>
      <c r="J383" s="208"/>
      <c r="K383" s="208"/>
      <c r="L383" s="208"/>
      <c r="M383" s="208"/>
      <c r="N383" s="208"/>
      <c r="O383" s="208"/>
      <c r="P383" s="208"/>
      <c r="Q383" s="208"/>
      <c r="R383" s="208"/>
      <c r="S383" s="208"/>
      <c r="T383" s="208"/>
      <c r="U383" s="208"/>
      <c r="V383" s="208"/>
      <c r="W383" s="232"/>
      <c r="X383" s="232"/>
      <c r="Y383" s="232"/>
      <c r="Z383" s="232"/>
      <c r="AA383" s="232"/>
      <c r="AB383" s="232"/>
      <c r="AC383" s="232"/>
      <c r="AD383" s="232"/>
      <c r="AE383" s="232"/>
      <c r="AF383" s="232"/>
      <c r="AG383" s="208"/>
      <c r="AH383" s="208"/>
      <c r="AI383" s="208"/>
      <c r="AJ383" s="208"/>
      <c r="AK383" s="208"/>
    </row>
    <row r="384">
      <c r="A384" s="234"/>
      <c r="B384" s="208"/>
      <c r="C384" s="208"/>
      <c r="D384" s="208"/>
      <c r="E384" s="208"/>
      <c r="F384" s="208"/>
      <c r="G384" s="208"/>
      <c r="H384" s="208"/>
      <c r="I384" s="233"/>
      <c r="J384" s="208"/>
      <c r="K384" s="208"/>
      <c r="L384" s="208"/>
      <c r="M384" s="208"/>
      <c r="N384" s="208"/>
      <c r="O384" s="208"/>
      <c r="P384" s="208"/>
      <c r="Q384" s="208"/>
      <c r="R384" s="208"/>
      <c r="S384" s="208"/>
      <c r="T384" s="208"/>
      <c r="U384" s="208"/>
      <c r="V384" s="208"/>
      <c r="W384" s="232"/>
      <c r="X384" s="232"/>
      <c r="Y384" s="232"/>
      <c r="Z384" s="232"/>
      <c r="AA384" s="232"/>
      <c r="AB384" s="232"/>
      <c r="AC384" s="232"/>
      <c r="AD384" s="232"/>
      <c r="AE384" s="232"/>
      <c r="AF384" s="232"/>
      <c r="AG384" s="208"/>
      <c r="AH384" s="208"/>
      <c r="AI384" s="208"/>
      <c r="AJ384" s="208"/>
      <c r="AK384" s="208"/>
    </row>
    <row r="385">
      <c r="A385" s="234"/>
      <c r="B385" s="208"/>
      <c r="C385" s="208"/>
      <c r="D385" s="208"/>
      <c r="E385" s="208"/>
      <c r="F385" s="208"/>
      <c r="G385" s="208"/>
      <c r="H385" s="208"/>
      <c r="I385" s="233"/>
      <c r="J385" s="208"/>
      <c r="K385" s="208"/>
      <c r="L385" s="208"/>
      <c r="M385" s="208"/>
      <c r="N385" s="208"/>
      <c r="O385" s="208"/>
      <c r="P385" s="208"/>
      <c r="Q385" s="208"/>
      <c r="R385" s="208"/>
      <c r="S385" s="208"/>
      <c r="T385" s="208"/>
      <c r="U385" s="208"/>
      <c r="V385" s="208"/>
      <c r="W385" s="232"/>
      <c r="X385" s="232"/>
      <c r="Y385" s="232"/>
      <c r="Z385" s="232"/>
      <c r="AA385" s="232"/>
      <c r="AB385" s="232"/>
      <c r="AC385" s="232"/>
      <c r="AD385" s="232"/>
      <c r="AE385" s="232"/>
      <c r="AF385" s="232"/>
      <c r="AG385" s="208"/>
      <c r="AH385" s="208"/>
      <c r="AI385" s="208"/>
      <c r="AJ385" s="208"/>
      <c r="AK385" s="208"/>
    </row>
    <row r="386">
      <c r="A386" s="234"/>
      <c r="B386" s="208"/>
      <c r="C386" s="208"/>
      <c r="D386" s="208"/>
      <c r="E386" s="208"/>
      <c r="F386" s="208"/>
      <c r="G386" s="208"/>
      <c r="H386" s="208"/>
      <c r="I386" s="233"/>
      <c r="J386" s="208"/>
      <c r="K386" s="208"/>
      <c r="L386" s="208"/>
      <c r="M386" s="208"/>
      <c r="N386" s="208"/>
      <c r="O386" s="208"/>
      <c r="P386" s="208"/>
      <c r="Q386" s="208"/>
      <c r="R386" s="208"/>
      <c r="S386" s="208"/>
      <c r="T386" s="208"/>
      <c r="U386" s="208"/>
      <c r="V386" s="208"/>
      <c r="W386" s="232"/>
      <c r="X386" s="232"/>
      <c r="Y386" s="232"/>
      <c r="Z386" s="232"/>
      <c r="AA386" s="232"/>
      <c r="AB386" s="232"/>
      <c r="AC386" s="232"/>
      <c r="AD386" s="232"/>
      <c r="AE386" s="232"/>
      <c r="AF386" s="232"/>
      <c r="AG386" s="208"/>
      <c r="AH386" s="208"/>
      <c r="AI386" s="208"/>
      <c r="AJ386" s="208"/>
      <c r="AK386" s="208"/>
    </row>
    <row r="387">
      <c r="A387" s="234"/>
      <c r="B387" s="208"/>
      <c r="C387" s="208"/>
      <c r="D387" s="208"/>
      <c r="E387" s="208"/>
      <c r="F387" s="208"/>
      <c r="G387" s="208"/>
      <c r="H387" s="208"/>
      <c r="I387" s="233"/>
      <c r="J387" s="208"/>
      <c r="K387" s="208"/>
      <c r="L387" s="208"/>
      <c r="M387" s="208"/>
      <c r="N387" s="208"/>
      <c r="O387" s="208"/>
      <c r="P387" s="208"/>
      <c r="Q387" s="208"/>
      <c r="R387" s="208"/>
      <c r="S387" s="208"/>
      <c r="T387" s="208"/>
      <c r="U387" s="208"/>
      <c r="V387" s="208"/>
      <c r="W387" s="232"/>
      <c r="X387" s="232"/>
      <c r="Y387" s="232"/>
      <c r="Z387" s="232"/>
      <c r="AA387" s="232"/>
      <c r="AB387" s="232"/>
      <c r="AC387" s="232"/>
      <c r="AD387" s="232"/>
      <c r="AE387" s="232"/>
      <c r="AF387" s="232"/>
      <c r="AG387" s="208"/>
      <c r="AH387" s="208"/>
      <c r="AI387" s="208"/>
      <c r="AJ387" s="208"/>
      <c r="AK387" s="208"/>
    </row>
    <row r="388">
      <c r="A388" s="234"/>
      <c r="B388" s="208"/>
      <c r="C388" s="208"/>
      <c r="D388" s="208"/>
      <c r="E388" s="208"/>
      <c r="F388" s="208"/>
      <c r="G388" s="208"/>
      <c r="H388" s="208"/>
      <c r="I388" s="233"/>
      <c r="J388" s="208"/>
      <c r="K388" s="208"/>
      <c r="L388" s="208"/>
      <c r="M388" s="208"/>
      <c r="N388" s="208"/>
      <c r="O388" s="208"/>
      <c r="P388" s="208"/>
      <c r="Q388" s="208"/>
      <c r="R388" s="208"/>
      <c r="S388" s="208"/>
      <c r="T388" s="208"/>
      <c r="U388" s="208"/>
      <c r="V388" s="208"/>
      <c r="W388" s="232"/>
      <c r="X388" s="232"/>
      <c r="Y388" s="232"/>
      <c r="Z388" s="232"/>
      <c r="AA388" s="232"/>
      <c r="AB388" s="232"/>
      <c r="AC388" s="232"/>
      <c r="AD388" s="232"/>
      <c r="AE388" s="232"/>
      <c r="AF388" s="232"/>
      <c r="AG388" s="208"/>
      <c r="AH388" s="208"/>
      <c r="AI388" s="208"/>
      <c r="AJ388" s="208"/>
      <c r="AK388" s="208"/>
    </row>
    <row r="389">
      <c r="A389" s="234"/>
      <c r="B389" s="208"/>
      <c r="C389" s="208"/>
      <c r="D389" s="208"/>
      <c r="E389" s="208"/>
      <c r="F389" s="208"/>
      <c r="G389" s="208"/>
      <c r="H389" s="208"/>
      <c r="I389" s="233"/>
      <c r="J389" s="208"/>
      <c r="K389" s="208"/>
      <c r="L389" s="208"/>
      <c r="M389" s="208"/>
      <c r="N389" s="208"/>
      <c r="O389" s="208"/>
      <c r="P389" s="208"/>
      <c r="Q389" s="208"/>
      <c r="R389" s="208"/>
      <c r="S389" s="208"/>
      <c r="T389" s="208"/>
      <c r="U389" s="208"/>
      <c r="V389" s="208"/>
      <c r="W389" s="232"/>
      <c r="X389" s="232"/>
      <c r="Y389" s="232"/>
      <c r="Z389" s="232"/>
      <c r="AA389" s="232"/>
      <c r="AB389" s="232"/>
      <c r="AC389" s="232"/>
      <c r="AD389" s="232"/>
      <c r="AE389" s="232"/>
      <c r="AF389" s="232"/>
      <c r="AG389" s="208"/>
      <c r="AH389" s="208"/>
      <c r="AI389" s="208"/>
      <c r="AJ389" s="208"/>
      <c r="AK389" s="208"/>
    </row>
    <row r="390">
      <c r="A390" s="234"/>
      <c r="B390" s="208"/>
      <c r="C390" s="208"/>
      <c r="D390" s="208"/>
      <c r="E390" s="208"/>
      <c r="F390" s="208"/>
      <c r="G390" s="208"/>
      <c r="H390" s="208"/>
      <c r="I390" s="233"/>
      <c r="J390" s="208"/>
      <c r="K390" s="208"/>
      <c r="L390" s="208"/>
      <c r="M390" s="208"/>
      <c r="N390" s="208"/>
      <c r="O390" s="208"/>
      <c r="P390" s="208"/>
      <c r="Q390" s="208"/>
      <c r="R390" s="208"/>
      <c r="S390" s="208"/>
      <c r="T390" s="208"/>
      <c r="U390" s="208"/>
      <c r="V390" s="208"/>
      <c r="W390" s="232"/>
      <c r="X390" s="232"/>
      <c r="Y390" s="232"/>
      <c r="Z390" s="232"/>
      <c r="AA390" s="232"/>
      <c r="AB390" s="232"/>
      <c r="AC390" s="232"/>
      <c r="AD390" s="232"/>
      <c r="AE390" s="232"/>
      <c r="AF390" s="232"/>
      <c r="AG390" s="208"/>
      <c r="AH390" s="208"/>
      <c r="AI390" s="208"/>
      <c r="AJ390" s="208"/>
      <c r="AK390" s="208"/>
    </row>
    <row r="391">
      <c r="A391" s="234"/>
      <c r="B391" s="208"/>
      <c r="C391" s="208"/>
      <c r="D391" s="208"/>
      <c r="E391" s="208"/>
      <c r="F391" s="208"/>
      <c r="G391" s="208"/>
      <c r="H391" s="208"/>
      <c r="I391" s="233"/>
      <c r="J391" s="208"/>
      <c r="K391" s="208"/>
      <c r="L391" s="208"/>
      <c r="M391" s="208"/>
      <c r="N391" s="208"/>
      <c r="O391" s="208"/>
      <c r="P391" s="208"/>
      <c r="Q391" s="208"/>
      <c r="R391" s="208"/>
      <c r="S391" s="208"/>
      <c r="T391" s="208"/>
      <c r="U391" s="208"/>
      <c r="V391" s="208"/>
      <c r="W391" s="232"/>
      <c r="X391" s="232"/>
      <c r="Y391" s="232"/>
      <c r="Z391" s="232"/>
      <c r="AA391" s="232"/>
      <c r="AB391" s="232"/>
      <c r="AC391" s="232"/>
      <c r="AD391" s="232"/>
      <c r="AE391" s="232"/>
      <c r="AF391" s="232"/>
      <c r="AG391" s="208"/>
      <c r="AH391" s="208"/>
      <c r="AI391" s="208"/>
      <c r="AJ391" s="208"/>
      <c r="AK391" s="208"/>
    </row>
    <row r="392">
      <c r="A392" s="234"/>
      <c r="B392" s="208"/>
      <c r="C392" s="208"/>
      <c r="D392" s="208"/>
      <c r="E392" s="208"/>
      <c r="F392" s="208"/>
      <c r="G392" s="208"/>
      <c r="H392" s="208"/>
      <c r="I392" s="233"/>
      <c r="J392" s="208"/>
      <c r="K392" s="208"/>
      <c r="L392" s="208"/>
      <c r="M392" s="208"/>
      <c r="N392" s="208"/>
      <c r="O392" s="208"/>
      <c r="P392" s="208"/>
      <c r="Q392" s="208"/>
      <c r="R392" s="208"/>
      <c r="S392" s="208"/>
      <c r="T392" s="208"/>
      <c r="U392" s="208"/>
      <c r="V392" s="208"/>
      <c r="W392" s="232"/>
      <c r="X392" s="232"/>
      <c r="Y392" s="232"/>
      <c r="Z392" s="232"/>
      <c r="AA392" s="232"/>
      <c r="AB392" s="232"/>
      <c r="AC392" s="232"/>
      <c r="AD392" s="232"/>
      <c r="AE392" s="232"/>
      <c r="AF392" s="232"/>
      <c r="AG392" s="208"/>
      <c r="AH392" s="208"/>
      <c r="AI392" s="208"/>
      <c r="AJ392" s="208"/>
      <c r="AK392" s="208"/>
    </row>
    <row r="393">
      <c r="A393" s="234"/>
      <c r="B393" s="208"/>
      <c r="C393" s="208"/>
      <c r="D393" s="208"/>
      <c r="E393" s="208"/>
      <c r="F393" s="208"/>
      <c r="G393" s="208"/>
      <c r="H393" s="208"/>
      <c r="I393" s="233"/>
      <c r="J393" s="208"/>
      <c r="K393" s="208"/>
      <c r="L393" s="208"/>
      <c r="M393" s="208"/>
      <c r="N393" s="208"/>
      <c r="O393" s="208"/>
      <c r="P393" s="208"/>
      <c r="Q393" s="208"/>
      <c r="R393" s="208"/>
      <c r="S393" s="208"/>
      <c r="T393" s="208"/>
      <c r="U393" s="208"/>
      <c r="V393" s="208"/>
      <c r="W393" s="232"/>
      <c r="X393" s="232"/>
      <c r="Y393" s="232"/>
      <c r="Z393" s="232"/>
      <c r="AA393" s="232"/>
      <c r="AB393" s="232"/>
      <c r="AC393" s="232"/>
      <c r="AD393" s="232"/>
      <c r="AE393" s="232"/>
      <c r="AF393" s="232"/>
      <c r="AG393" s="208"/>
      <c r="AH393" s="208"/>
      <c r="AI393" s="208"/>
      <c r="AJ393" s="208"/>
      <c r="AK393" s="208"/>
    </row>
    <row r="394">
      <c r="A394" s="234"/>
      <c r="B394" s="208"/>
      <c r="C394" s="208"/>
      <c r="D394" s="208"/>
      <c r="E394" s="208"/>
      <c r="F394" s="208"/>
      <c r="G394" s="208"/>
      <c r="H394" s="208"/>
      <c r="I394" s="233"/>
      <c r="J394" s="208"/>
      <c r="K394" s="208"/>
      <c r="L394" s="208"/>
      <c r="M394" s="208"/>
      <c r="N394" s="208"/>
      <c r="O394" s="208"/>
      <c r="P394" s="208"/>
      <c r="Q394" s="208"/>
      <c r="R394" s="208"/>
      <c r="S394" s="208"/>
      <c r="T394" s="208"/>
      <c r="U394" s="208"/>
      <c r="V394" s="208"/>
      <c r="W394" s="232"/>
      <c r="X394" s="232"/>
      <c r="Y394" s="232"/>
      <c r="Z394" s="232"/>
      <c r="AA394" s="232"/>
      <c r="AB394" s="232"/>
      <c r="AC394" s="232"/>
      <c r="AD394" s="232"/>
      <c r="AE394" s="232"/>
      <c r="AF394" s="232"/>
      <c r="AG394" s="208"/>
      <c r="AH394" s="208"/>
      <c r="AI394" s="208"/>
      <c r="AJ394" s="208"/>
      <c r="AK394" s="208"/>
    </row>
    <row r="395">
      <c r="A395" s="234"/>
      <c r="B395" s="208"/>
      <c r="C395" s="208"/>
      <c r="D395" s="208"/>
      <c r="E395" s="208"/>
      <c r="F395" s="208"/>
      <c r="G395" s="208"/>
      <c r="H395" s="208"/>
      <c r="I395" s="233"/>
      <c r="J395" s="208"/>
      <c r="K395" s="208"/>
      <c r="L395" s="208"/>
      <c r="M395" s="208"/>
      <c r="N395" s="208"/>
      <c r="O395" s="208"/>
      <c r="P395" s="208"/>
      <c r="Q395" s="208"/>
      <c r="R395" s="208"/>
      <c r="S395" s="208"/>
      <c r="T395" s="208"/>
      <c r="U395" s="208"/>
      <c r="V395" s="208"/>
      <c r="W395" s="232"/>
      <c r="X395" s="232"/>
      <c r="Y395" s="232"/>
      <c r="Z395" s="232"/>
      <c r="AA395" s="232"/>
      <c r="AB395" s="232"/>
      <c r="AC395" s="232"/>
      <c r="AD395" s="232"/>
      <c r="AE395" s="232"/>
      <c r="AF395" s="232"/>
      <c r="AG395" s="208"/>
      <c r="AH395" s="208"/>
      <c r="AI395" s="208"/>
      <c r="AJ395" s="208"/>
      <c r="AK395" s="208"/>
    </row>
    <row r="396">
      <c r="A396" s="234"/>
      <c r="B396" s="208"/>
      <c r="C396" s="208"/>
      <c r="D396" s="208"/>
      <c r="E396" s="208"/>
      <c r="F396" s="208"/>
      <c r="G396" s="208"/>
      <c r="H396" s="208"/>
      <c r="I396" s="233"/>
      <c r="J396" s="208"/>
      <c r="K396" s="208"/>
      <c r="L396" s="208"/>
      <c r="M396" s="208"/>
      <c r="N396" s="208"/>
      <c r="O396" s="208"/>
      <c r="P396" s="208"/>
      <c r="Q396" s="208"/>
      <c r="R396" s="208"/>
      <c r="S396" s="208"/>
      <c r="T396" s="208"/>
      <c r="U396" s="208"/>
      <c r="V396" s="208"/>
      <c r="W396" s="232"/>
      <c r="X396" s="232"/>
      <c r="Y396" s="232"/>
      <c r="Z396" s="232"/>
      <c r="AA396" s="232"/>
      <c r="AB396" s="232"/>
      <c r="AC396" s="232"/>
      <c r="AD396" s="232"/>
      <c r="AE396" s="232"/>
      <c r="AF396" s="232"/>
      <c r="AG396" s="208"/>
      <c r="AH396" s="208"/>
      <c r="AI396" s="208"/>
      <c r="AJ396" s="208"/>
      <c r="AK396" s="208"/>
    </row>
    <row r="397">
      <c r="A397" s="234"/>
      <c r="B397" s="208"/>
      <c r="C397" s="208"/>
      <c r="D397" s="208"/>
      <c r="E397" s="208"/>
      <c r="F397" s="208"/>
      <c r="G397" s="208"/>
      <c r="H397" s="208"/>
      <c r="I397" s="233"/>
      <c r="J397" s="208"/>
      <c r="K397" s="208"/>
      <c r="L397" s="208"/>
      <c r="M397" s="208"/>
      <c r="N397" s="208"/>
      <c r="O397" s="208"/>
      <c r="P397" s="208"/>
      <c r="Q397" s="208"/>
      <c r="R397" s="208"/>
      <c r="S397" s="208"/>
      <c r="T397" s="208"/>
      <c r="U397" s="208"/>
      <c r="V397" s="208"/>
      <c r="W397" s="232"/>
      <c r="X397" s="232"/>
      <c r="Y397" s="232"/>
      <c r="Z397" s="232"/>
      <c r="AA397" s="232"/>
      <c r="AB397" s="232"/>
      <c r="AC397" s="232"/>
      <c r="AD397" s="232"/>
      <c r="AE397" s="232"/>
      <c r="AF397" s="232"/>
      <c r="AG397" s="208"/>
      <c r="AH397" s="208"/>
      <c r="AI397" s="208"/>
      <c r="AJ397" s="208"/>
      <c r="AK397" s="208"/>
    </row>
    <row r="398">
      <c r="A398" s="234"/>
      <c r="B398" s="208"/>
      <c r="C398" s="208"/>
      <c r="D398" s="208"/>
      <c r="E398" s="208"/>
      <c r="F398" s="208"/>
      <c r="G398" s="208"/>
      <c r="H398" s="208"/>
      <c r="I398" s="233"/>
      <c r="J398" s="208"/>
      <c r="K398" s="208"/>
      <c r="L398" s="208"/>
      <c r="M398" s="208"/>
      <c r="N398" s="208"/>
      <c r="O398" s="208"/>
      <c r="P398" s="208"/>
      <c r="Q398" s="208"/>
      <c r="R398" s="208"/>
      <c r="S398" s="208"/>
      <c r="T398" s="208"/>
      <c r="U398" s="208"/>
      <c r="V398" s="208"/>
      <c r="W398" s="232"/>
      <c r="X398" s="232"/>
      <c r="Y398" s="232"/>
      <c r="Z398" s="232"/>
      <c r="AA398" s="232"/>
      <c r="AB398" s="232"/>
      <c r="AC398" s="232"/>
      <c r="AD398" s="232"/>
      <c r="AE398" s="232"/>
      <c r="AF398" s="232"/>
      <c r="AG398" s="208"/>
      <c r="AH398" s="208"/>
      <c r="AI398" s="208"/>
      <c r="AJ398" s="208"/>
      <c r="AK398" s="208"/>
    </row>
    <row r="399">
      <c r="A399" s="234"/>
      <c r="B399" s="208"/>
      <c r="C399" s="208"/>
      <c r="D399" s="208"/>
      <c r="E399" s="208"/>
      <c r="F399" s="208"/>
      <c r="G399" s="208"/>
      <c r="H399" s="208"/>
      <c r="I399" s="233"/>
      <c r="J399" s="208"/>
      <c r="K399" s="208"/>
      <c r="L399" s="208"/>
      <c r="M399" s="208"/>
      <c r="N399" s="208"/>
      <c r="O399" s="208"/>
      <c r="P399" s="208"/>
      <c r="Q399" s="208"/>
      <c r="R399" s="208"/>
      <c r="S399" s="208"/>
      <c r="T399" s="208"/>
      <c r="U399" s="208"/>
      <c r="V399" s="208"/>
      <c r="W399" s="232"/>
      <c r="X399" s="232"/>
      <c r="Y399" s="232"/>
      <c r="Z399" s="232"/>
      <c r="AA399" s="232"/>
      <c r="AB399" s="232"/>
      <c r="AC399" s="232"/>
      <c r="AD399" s="232"/>
      <c r="AE399" s="232"/>
      <c r="AF399" s="232"/>
      <c r="AG399" s="208"/>
      <c r="AH399" s="208"/>
      <c r="AI399" s="208"/>
      <c r="AJ399" s="208"/>
      <c r="AK399" s="208"/>
    </row>
    <row r="400">
      <c r="A400" s="234"/>
      <c r="B400" s="208"/>
      <c r="C400" s="208"/>
      <c r="D400" s="208"/>
      <c r="E400" s="208"/>
      <c r="F400" s="208"/>
      <c r="G400" s="208"/>
      <c r="H400" s="208"/>
      <c r="I400" s="233"/>
      <c r="J400" s="208"/>
      <c r="K400" s="208"/>
      <c r="L400" s="208"/>
      <c r="M400" s="208"/>
      <c r="N400" s="208"/>
      <c r="O400" s="208"/>
      <c r="P400" s="208"/>
      <c r="Q400" s="208"/>
      <c r="R400" s="208"/>
      <c r="S400" s="208"/>
      <c r="T400" s="208"/>
      <c r="U400" s="208"/>
      <c r="V400" s="208"/>
      <c r="W400" s="232"/>
      <c r="X400" s="232"/>
      <c r="Y400" s="232"/>
      <c r="Z400" s="232"/>
      <c r="AA400" s="232"/>
      <c r="AB400" s="232"/>
      <c r="AC400" s="232"/>
      <c r="AD400" s="232"/>
      <c r="AE400" s="232"/>
      <c r="AF400" s="232"/>
      <c r="AG400" s="208"/>
      <c r="AH400" s="208"/>
      <c r="AI400" s="208"/>
      <c r="AJ400" s="208"/>
      <c r="AK400" s="208"/>
    </row>
    <row r="401">
      <c r="A401" s="234"/>
      <c r="B401" s="208"/>
      <c r="C401" s="208"/>
      <c r="D401" s="208"/>
      <c r="E401" s="208"/>
      <c r="F401" s="208"/>
      <c r="G401" s="208"/>
      <c r="H401" s="208"/>
      <c r="I401" s="233"/>
      <c r="J401" s="208"/>
      <c r="K401" s="208"/>
      <c r="L401" s="208"/>
      <c r="M401" s="208"/>
      <c r="N401" s="208"/>
      <c r="O401" s="208"/>
      <c r="P401" s="208"/>
      <c r="Q401" s="208"/>
      <c r="R401" s="208"/>
      <c r="S401" s="208"/>
      <c r="T401" s="208"/>
      <c r="U401" s="208"/>
      <c r="V401" s="208"/>
      <c r="W401" s="232"/>
      <c r="X401" s="232"/>
      <c r="Y401" s="232"/>
      <c r="Z401" s="232"/>
      <c r="AA401" s="232"/>
      <c r="AB401" s="232"/>
      <c r="AC401" s="232"/>
      <c r="AD401" s="232"/>
      <c r="AE401" s="232"/>
      <c r="AF401" s="232"/>
      <c r="AG401" s="208"/>
      <c r="AH401" s="208"/>
      <c r="AI401" s="208"/>
      <c r="AJ401" s="208"/>
      <c r="AK401" s="208"/>
    </row>
    <row r="402">
      <c r="A402" s="234"/>
      <c r="B402" s="208"/>
      <c r="C402" s="208"/>
      <c r="D402" s="208"/>
      <c r="E402" s="208"/>
      <c r="F402" s="208"/>
      <c r="G402" s="208"/>
      <c r="H402" s="208"/>
      <c r="I402" s="233"/>
      <c r="J402" s="208"/>
      <c r="K402" s="208"/>
      <c r="L402" s="208"/>
      <c r="M402" s="208"/>
      <c r="N402" s="208"/>
      <c r="O402" s="208"/>
      <c r="P402" s="208"/>
      <c r="Q402" s="208"/>
      <c r="R402" s="208"/>
      <c r="S402" s="208"/>
      <c r="T402" s="208"/>
      <c r="U402" s="208"/>
      <c r="V402" s="208"/>
      <c r="W402" s="232"/>
      <c r="X402" s="232"/>
      <c r="Y402" s="232"/>
      <c r="Z402" s="232"/>
      <c r="AA402" s="232"/>
      <c r="AB402" s="232"/>
      <c r="AC402" s="232"/>
      <c r="AD402" s="232"/>
      <c r="AE402" s="232"/>
      <c r="AF402" s="232"/>
      <c r="AG402" s="208"/>
      <c r="AH402" s="208"/>
      <c r="AI402" s="208"/>
      <c r="AJ402" s="208"/>
      <c r="AK402" s="208"/>
    </row>
    <row r="403">
      <c r="A403" s="234"/>
      <c r="B403" s="208"/>
      <c r="C403" s="208"/>
      <c r="D403" s="208"/>
      <c r="E403" s="208"/>
      <c r="F403" s="208"/>
      <c r="G403" s="208"/>
      <c r="H403" s="208"/>
      <c r="I403" s="233"/>
      <c r="J403" s="208"/>
      <c r="K403" s="208"/>
      <c r="L403" s="208"/>
      <c r="M403" s="208"/>
      <c r="N403" s="208"/>
      <c r="O403" s="208"/>
      <c r="P403" s="208"/>
      <c r="Q403" s="208"/>
      <c r="R403" s="208"/>
      <c r="S403" s="208"/>
      <c r="T403" s="208"/>
      <c r="U403" s="208"/>
      <c r="V403" s="208"/>
      <c r="W403" s="232"/>
      <c r="X403" s="232"/>
      <c r="Y403" s="232"/>
      <c r="Z403" s="232"/>
      <c r="AA403" s="232"/>
      <c r="AB403" s="232"/>
      <c r="AC403" s="232"/>
      <c r="AD403" s="232"/>
      <c r="AE403" s="232"/>
      <c r="AF403" s="232"/>
      <c r="AG403" s="208"/>
      <c r="AH403" s="208"/>
      <c r="AI403" s="208"/>
      <c r="AJ403" s="208"/>
      <c r="AK403" s="208"/>
    </row>
    <row r="404">
      <c r="A404" s="234"/>
      <c r="B404" s="208"/>
      <c r="C404" s="208"/>
      <c r="D404" s="208"/>
      <c r="E404" s="208"/>
      <c r="F404" s="208"/>
      <c r="G404" s="208"/>
      <c r="H404" s="208"/>
      <c r="I404" s="233"/>
      <c r="J404" s="208"/>
      <c r="K404" s="208"/>
      <c r="L404" s="208"/>
      <c r="M404" s="208"/>
      <c r="N404" s="208"/>
      <c r="O404" s="208"/>
      <c r="P404" s="208"/>
      <c r="Q404" s="208"/>
      <c r="R404" s="208"/>
      <c r="S404" s="208"/>
      <c r="T404" s="208"/>
      <c r="U404" s="208"/>
      <c r="V404" s="208"/>
      <c r="W404" s="232"/>
      <c r="X404" s="232"/>
      <c r="Y404" s="232"/>
      <c r="Z404" s="232"/>
      <c r="AA404" s="232"/>
      <c r="AB404" s="232"/>
      <c r="AC404" s="232"/>
      <c r="AD404" s="232"/>
      <c r="AE404" s="232"/>
      <c r="AF404" s="232"/>
      <c r="AG404" s="208"/>
      <c r="AH404" s="208"/>
      <c r="AI404" s="208"/>
      <c r="AJ404" s="208"/>
      <c r="AK404" s="208"/>
    </row>
    <row r="405">
      <c r="A405" s="234"/>
      <c r="B405" s="208"/>
      <c r="C405" s="208"/>
      <c r="D405" s="208"/>
      <c r="E405" s="208"/>
      <c r="F405" s="208"/>
      <c r="G405" s="208"/>
      <c r="H405" s="208"/>
      <c r="I405" s="233"/>
      <c r="J405" s="208"/>
      <c r="K405" s="208"/>
      <c r="L405" s="208"/>
      <c r="M405" s="208"/>
      <c r="N405" s="208"/>
      <c r="O405" s="208"/>
      <c r="P405" s="208"/>
      <c r="Q405" s="208"/>
      <c r="R405" s="208"/>
      <c r="S405" s="208"/>
      <c r="T405" s="208"/>
      <c r="U405" s="208"/>
      <c r="V405" s="208"/>
      <c r="W405" s="232"/>
      <c r="X405" s="232"/>
      <c r="Y405" s="232"/>
      <c r="Z405" s="232"/>
      <c r="AA405" s="232"/>
      <c r="AB405" s="232"/>
      <c r="AC405" s="232"/>
      <c r="AD405" s="232"/>
      <c r="AE405" s="232"/>
      <c r="AF405" s="232"/>
      <c r="AG405" s="208"/>
      <c r="AH405" s="208"/>
      <c r="AI405" s="208"/>
      <c r="AJ405" s="208"/>
      <c r="AK405" s="208"/>
    </row>
    <row r="406">
      <c r="A406" s="234"/>
      <c r="B406" s="208"/>
      <c r="C406" s="208"/>
      <c r="D406" s="208"/>
      <c r="E406" s="208"/>
      <c r="F406" s="208"/>
      <c r="G406" s="208"/>
      <c r="H406" s="208"/>
      <c r="I406" s="233"/>
      <c r="J406" s="208"/>
      <c r="K406" s="208"/>
      <c r="L406" s="208"/>
      <c r="M406" s="208"/>
      <c r="N406" s="208"/>
      <c r="O406" s="208"/>
      <c r="P406" s="208"/>
      <c r="Q406" s="208"/>
      <c r="R406" s="208"/>
      <c r="S406" s="208"/>
      <c r="T406" s="208"/>
      <c r="U406" s="208"/>
      <c r="V406" s="208"/>
      <c r="W406" s="232"/>
      <c r="X406" s="232"/>
      <c r="Y406" s="232"/>
      <c r="Z406" s="232"/>
      <c r="AA406" s="232"/>
      <c r="AB406" s="232"/>
      <c r="AC406" s="232"/>
      <c r="AD406" s="232"/>
      <c r="AE406" s="232"/>
      <c r="AF406" s="232"/>
      <c r="AG406" s="208"/>
      <c r="AH406" s="208"/>
      <c r="AI406" s="208"/>
      <c r="AJ406" s="208"/>
      <c r="AK406" s="208"/>
    </row>
    <row r="407">
      <c r="A407" s="234"/>
      <c r="B407" s="208"/>
      <c r="C407" s="208"/>
      <c r="D407" s="208"/>
      <c r="E407" s="208"/>
      <c r="F407" s="208"/>
      <c r="G407" s="208"/>
      <c r="H407" s="208"/>
      <c r="I407" s="233"/>
      <c r="J407" s="208"/>
      <c r="K407" s="208"/>
      <c r="L407" s="208"/>
      <c r="M407" s="208"/>
      <c r="N407" s="208"/>
      <c r="O407" s="208"/>
      <c r="P407" s="208"/>
      <c r="Q407" s="208"/>
      <c r="R407" s="208"/>
      <c r="S407" s="208"/>
      <c r="T407" s="208"/>
      <c r="U407" s="208"/>
      <c r="V407" s="208"/>
      <c r="W407" s="232"/>
      <c r="X407" s="232"/>
      <c r="Y407" s="232"/>
      <c r="Z407" s="232"/>
      <c r="AA407" s="232"/>
      <c r="AB407" s="232"/>
      <c r="AC407" s="232"/>
      <c r="AD407" s="232"/>
      <c r="AE407" s="232"/>
      <c r="AF407" s="232"/>
      <c r="AG407" s="208"/>
      <c r="AH407" s="208"/>
      <c r="AI407" s="208"/>
      <c r="AJ407" s="208"/>
      <c r="AK407" s="208"/>
    </row>
    <row r="408">
      <c r="A408" s="234"/>
      <c r="B408" s="208"/>
      <c r="C408" s="208"/>
      <c r="D408" s="208"/>
      <c r="E408" s="208"/>
      <c r="F408" s="208"/>
      <c r="G408" s="208"/>
      <c r="H408" s="208"/>
      <c r="I408" s="233"/>
      <c r="J408" s="208"/>
      <c r="K408" s="208"/>
      <c r="L408" s="208"/>
      <c r="M408" s="208"/>
      <c r="N408" s="208"/>
      <c r="O408" s="208"/>
      <c r="P408" s="208"/>
      <c r="Q408" s="208"/>
      <c r="R408" s="208"/>
      <c r="S408" s="208"/>
      <c r="T408" s="208"/>
      <c r="U408" s="208"/>
      <c r="V408" s="208"/>
      <c r="W408" s="232"/>
      <c r="X408" s="232"/>
      <c r="Y408" s="232"/>
      <c r="Z408" s="232"/>
      <c r="AA408" s="232"/>
      <c r="AB408" s="232"/>
      <c r="AC408" s="232"/>
      <c r="AD408" s="232"/>
      <c r="AE408" s="232"/>
      <c r="AF408" s="232"/>
      <c r="AG408" s="208"/>
      <c r="AH408" s="208"/>
      <c r="AI408" s="208"/>
      <c r="AJ408" s="208"/>
      <c r="AK408" s="208"/>
    </row>
    <row r="409">
      <c r="A409" s="234"/>
      <c r="B409" s="208"/>
      <c r="C409" s="208"/>
      <c r="D409" s="208"/>
      <c r="E409" s="208"/>
      <c r="F409" s="208"/>
      <c r="G409" s="208"/>
      <c r="H409" s="208"/>
      <c r="I409" s="233"/>
      <c r="J409" s="208"/>
      <c r="K409" s="208"/>
      <c r="L409" s="208"/>
      <c r="M409" s="208"/>
      <c r="N409" s="208"/>
      <c r="O409" s="208"/>
      <c r="P409" s="208"/>
      <c r="Q409" s="208"/>
      <c r="R409" s="208"/>
      <c r="S409" s="208"/>
      <c r="T409" s="208"/>
      <c r="U409" s="208"/>
      <c r="V409" s="208"/>
      <c r="W409" s="232"/>
      <c r="X409" s="232"/>
      <c r="Y409" s="232"/>
      <c r="Z409" s="232"/>
      <c r="AA409" s="232"/>
      <c r="AB409" s="232"/>
      <c r="AC409" s="232"/>
      <c r="AD409" s="232"/>
      <c r="AE409" s="232"/>
      <c r="AF409" s="232"/>
      <c r="AG409" s="208"/>
      <c r="AH409" s="208"/>
      <c r="AI409" s="208"/>
      <c r="AJ409" s="208"/>
      <c r="AK409" s="208"/>
    </row>
    <row r="410">
      <c r="A410" s="234"/>
      <c r="B410" s="208"/>
      <c r="C410" s="208"/>
      <c r="D410" s="208"/>
      <c r="E410" s="208"/>
      <c r="F410" s="208"/>
      <c r="G410" s="208"/>
      <c r="H410" s="208"/>
      <c r="I410" s="233"/>
      <c r="J410" s="208"/>
      <c r="K410" s="208"/>
      <c r="L410" s="208"/>
      <c r="M410" s="208"/>
      <c r="N410" s="208"/>
      <c r="O410" s="208"/>
      <c r="P410" s="208"/>
      <c r="Q410" s="208"/>
      <c r="R410" s="208"/>
      <c r="S410" s="208"/>
      <c r="T410" s="208"/>
      <c r="U410" s="208"/>
      <c r="V410" s="208"/>
      <c r="W410" s="232"/>
      <c r="X410" s="232"/>
      <c r="Y410" s="232"/>
      <c r="Z410" s="232"/>
      <c r="AA410" s="232"/>
      <c r="AB410" s="232"/>
      <c r="AC410" s="232"/>
      <c r="AD410" s="232"/>
      <c r="AE410" s="232"/>
      <c r="AF410" s="232"/>
      <c r="AG410" s="208"/>
      <c r="AH410" s="208"/>
      <c r="AI410" s="208"/>
      <c r="AJ410" s="208"/>
      <c r="AK410" s="208"/>
    </row>
    <row r="411">
      <c r="A411" s="234"/>
      <c r="B411" s="208"/>
      <c r="C411" s="208"/>
      <c r="D411" s="208"/>
      <c r="E411" s="208"/>
      <c r="F411" s="208"/>
      <c r="G411" s="208"/>
      <c r="H411" s="208"/>
      <c r="I411" s="233"/>
      <c r="J411" s="208"/>
      <c r="K411" s="208"/>
      <c r="L411" s="208"/>
      <c r="M411" s="208"/>
      <c r="N411" s="208"/>
      <c r="O411" s="208"/>
      <c r="P411" s="208"/>
      <c r="Q411" s="208"/>
      <c r="R411" s="208"/>
      <c r="S411" s="208"/>
      <c r="T411" s="208"/>
      <c r="U411" s="208"/>
      <c r="V411" s="208"/>
      <c r="W411" s="232"/>
      <c r="X411" s="232"/>
      <c r="Y411" s="232"/>
      <c r="Z411" s="232"/>
      <c r="AA411" s="232"/>
      <c r="AB411" s="232"/>
      <c r="AC411" s="232"/>
      <c r="AD411" s="232"/>
      <c r="AE411" s="232"/>
      <c r="AF411" s="232"/>
      <c r="AG411" s="208"/>
      <c r="AH411" s="208"/>
      <c r="AI411" s="208"/>
      <c r="AJ411" s="208"/>
      <c r="AK411" s="208"/>
    </row>
    <row r="412">
      <c r="A412" s="234"/>
      <c r="B412" s="208"/>
      <c r="C412" s="208"/>
      <c r="D412" s="208"/>
      <c r="E412" s="208"/>
      <c r="F412" s="208"/>
      <c r="G412" s="208"/>
      <c r="H412" s="208"/>
      <c r="I412" s="233"/>
      <c r="J412" s="208"/>
      <c r="K412" s="208"/>
      <c r="L412" s="208"/>
      <c r="M412" s="208"/>
      <c r="N412" s="208"/>
      <c r="O412" s="208"/>
      <c r="P412" s="208"/>
      <c r="Q412" s="208"/>
      <c r="R412" s="208"/>
      <c r="S412" s="208"/>
      <c r="T412" s="208"/>
      <c r="U412" s="208"/>
      <c r="V412" s="208"/>
      <c r="W412" s="232"/>
      <c r="X412" s="232"/>
      <c r="Y412" s="232"/>
      <c r="Z412" s="232"/>
      <c r="AA412" s="232"/>
      <c r="AB412" s="232"/>
      <c r="AC412" s="232"/>
      <c r="AD412" s="232"/>
      <c r="AE412" s="232"/>
      <c r="AF412" s="232"/>
      <c r="AG412" s="208"/>
      <c r="AH412" s="208"/>
      <c r="AI412" s="208"/>
      <c r="AJ412" s="208"/>
      <c r="AK412" s="208"/>
    </row>
    <row r="413">
      <c r="A413" s="234"/>
      <c r="B413" s="208"/>
      <c r="C413" s="208"/>
      <c r="D413" s="208"/>
      <c r="E413" s="208"/>
      <c r="F413" s="208"/>
      <c r="G413" s="208"/>
      <c r="H413" s="208"/>
      <c r="I413" s="233"/>
      <c r="J413" s="208"/>
      <c r="K413" s="208"/>
      <c r="L413" s="208"/>
      <c r="M413" s="208"/>
      <c r="N413" s="208"/>
      <c r="O413" s="208"/>
      <c r="P413" s="208"/>
      <c r="Q413" s="208"/>
      <c r="R413" s="208"/>
      <c r="S413" s="208"/>
      <c r="T413" s="208"/>
      <c r="U413" s="208"/>
      <c r="V413" s="208"/>
      <c r="W413" s="232"/>
      <c r="X413" s="232"/>
      <c r="Y413" s="232"/>
      <c r="Z413" s="232"/>
      <c r="AA413" s="232"/>
      <c r="AB413" s="232"/>
      <c r="AC413" s="232"/>
      <c r="AD413" s="232"/>
      <c r="AE413" s="232"/>
      <c r="AF413" s="232"/>
      <c r="AG413" s="208"/>
      <c r="AH413" s="208"/>
      <c r="AI413" s="208"/>
      <c r="AJ413" s="208"/>
      <c r="AK413" s="208"/>
    </row>
    <row r="414">
      <c r="A414" s="234"/>
      <c r="B414" s="208"/>
      <c r="C414" s="208"/>
      <c r="D414" s="208"/>
      <c r="E414" s="208"/>
      <c r="F414" s="208"/>
      <c r="G414" s="208"/>
      <c r="H414" s="208"/>
      <c r="I414" s="233"/>
      <c r="J414" s="208"/>
      <c r="K414" s="208"/>
      <c r="L414" s="208"/>
      <c r="M414" s="208"/>
      <c r="N414" s="208"/>
      <c r="O414" s="208"/>
      <c r="P414" s="208"/>
      <c r="Q414" s="208"/>
      <c r="R414" s="208"/>
      <c r="S414" s="208"/>
      <c r="T414" s="208"/>
      <c r="U414" s="208"/>
      <c r="V414" s="208"/>
      <c r="W414" s="232"/>
      <c r="X414" s="232"/>
      <c r="Y414" s="232"/>
      <c r="Z414" s="232"/>
      <c r="AA414" s="232"/>
      <c r="AB414" s="232"/>
      <c r="AC414" s="232"/>
      <c r="AD414" s="232"/>
      <c r="AE414" s="232"/>
      <c r="AF414" s="232"/>
      <c r="AG414" s="208"/>
      <c r="AH414" s="208"/>
      <c r="AI414" s="208"/>
      <c r="AJ414" s="208"/>
      <c r="AK414" s="208"/>
    </row>
    <row r="415">
      <c r="A415" s="234"/>
      <c r="B415" s="208"/>
      <c r="C415" s="208"/>
      <c r="D415" s="208"/>
      <c r="E415" s="208"/>
      <c r="F415" s="208"/>
      <c r="G415" s="208"/>
      <c r="H415" s="208"/>
      <c r="I415" s="233"/>
      <c r="J415" s="208"/>
      <c r="K415" s="208"/>
      <c r="L415" s="208"/>
      <c r="M415" s="208"/>
      <c r="N415" s="208"/>
      <c r="O415" s="208"/>
      <c r="P415" s="208"/>
      <c r="Q415" s="208"/>
      <c r="R415" s="208"/>
      <c r="S415" s="208"/>
      <c r="T415" s="208"/>
      <c r="U415" s="208"/>
      <c r="V415" s="208"/>
      <c r="W415" s="232"/>
      <c r="X415" s="232"/>
      <c r="Y415" s="232"/>
      <c r="Z415" s="232"/>
      <c r="AA415" s="232"/>
      <c r="AB415" s="232"/>
      <c r="AC415" s="232"/>
      <c r="AD415" s="232"/>
      <c r="AE415" s="232"/>
      <c r="AF415" s="232"/>
      <c r="AG415" s="208"/>
      <c r="AH415" s="208"/>
      <c r="AI415" s="208"/>
      <c r="AJ415" s="208"/>
      <c r="AK415" s="208"/>
    </row>
    <row r="416">
      <c r="A416" s="234"/>
      <c r="B416" s="208"/>
      <c r="C416" s="208"/>
      <c r="D416" s="208"/>
      <c r="E416" s="208"/>
      <c r="F416" s="208"/>
      <c r="G416" s="208"/>
      <c r="H416" s="208"/>
      <c r="I416" s="233"/>
      <c r="J416" s="208"/>
      <c r="K416" s="208"/>
      <c r="L416" s="208"/>
      <c r="M416" s="208"/>
      <c r="N416" s="208"/>
      <c r="O416" s="208"/>
      <c r="P416" s="208"/>
      <c r="Q416" s="208"/>
      <c r="R416" s="208"/>
      <c r="S416" s="208"/>
      <c r="T416" s="208"/>
      <c r="U416" s="208"/>
      <c r="V416" s="208"/>
      <c r="W416" s="232"/>
      <c r="X416" s="232"/>
      <c r="Y416" s="232"/>
      <c r="Z416" s="232"/>
      <c r="AA416" s="232"/>
      <c r="AB416" s="232"/>
      <c r="AC416" s="232"/>
      <c r="AD416" s="232"/>
      <c r="AE416" s="232"/>
      <c r="AF416" s="232"/>
      <c r="AG416" s="208"/>
      <c r="AH416" s="208"/>
      <c r="AI416" s="208"/>
      <c r="AJ416" s="208"/>
      <c r="AK416" s="208"/>
    </row>
    <row r="417">
      <c r="A417" s="234"/>
      <c r="B417" s="208"/>
      <c r="C417" s="208"/>
      <c r="D417" s="208"/>
      <c r="E417" s="208"/>
      <c r="F417" s="208"/>
      <c r="G417" s="208"/>
      <c r="H417" s="208"/>
      <c r="I417" s="233"/>
      <c r="J417" s="208"/>
      <c r="K417" s="208"/>
      <c r="L417" s="208"/>
      <c r="M417" s="208"/>
      <c r="N417" s="208"/>
      <c r="O417" s="208"/>
      <c r="P417" s="208"/>
      <c r="Q417" s="208"/>
      <c r="R417" s="208"/>
      <c r="S417" s="208"/>
      <c r="T417" s="208"/>
      <c r="U417" s="208"/>
      <c r="V417" s="208"/>
      <c r="W417" s="232"/>
      <c r="X417" s="232"/>
      <c r="Y417" s="232"/>
      <c r="Z417" s="232"/>
      <c r="AA417" s="232"/>
      <c r="AB417" s="232"/>
      <c r="AC417" s="232"/>
      <c r="AD417" s="232"/>
      <c r="AE417" s="232"/>
      <c r="AF417" s="232"/>
      <c r="AG417" s="208"/>
      <c r="AH417" s="208"/>
      <c r="AI417" s="208"/>
      <c r="AJ417" s="208"/>
      <c r="AK417" s="208"/>
    </row>
    <row r="418">
      <c r="A418" s="234"/>
      <c r="B418" s="208"/>
      <c r="C418" s="208"/>
      <c r="D418" s="208"/>
      <c r="E418" s="208"/>
      <c r="F418" s="208"/>
      <c r="G418" s="208"/>
      <c r="H418" s="208"/>
      <c r="I418" s="233"/>
      <c r="J418" s="208"/>
      <c r="K418" s="208"/>
      <c r="L418" s="208"/>
      <c r="M418" s="208"/>
      <c r="N418" s="208"/>
      <c r="O418" s="208"/>
      <c r="P418" s="208"/>
      <c r="Q418" s="208"/>
      <c r="R418" s="208"/>
      <c r="S418" s="208"/>
      <c r="T418" s="208"/>
      <c r="U418" s="208"/>
      <c r="V418" s="208"/>
      <c r="W418" s="232"/>
      <c r="X418" s="232"/>
      <c r="Y418" s="232"/>
      <c r="Z418" s="232"/>
      <c r="AA418" s="232"/>
      <c r="AB418" s="232"/>
      <c r="AC418" s="232"/>
      <c r="AD418" s="232"/>
      <c r="AE418" s="232"/>
      <c r="AF418" s="232"/>
      <c r="AG418" s="208"/>
      <c r="AH418" s="208"/>
      <c r="AI418" s="208"/>
      <c r="AJ418" s="208"/>
      <c r="AK418" s="208"/>
    </row>
    <row r="419">
      <c r="A419" s="234"/>
      <c r="B419" s="208"/>
      <c r="C419" s="208"/>
      <c r="D419" s="208"/>
      <c r="E419" s="208"/>
      <c r="F419" s="208"/>
      <c r="G419" s="208"/>
      <c r="H419" s="208"/>
      <c r="I419" s="233"/>
      <c r="J419" s="208"/>
      <c r="K419" s="208"/>
      <c r="L419" s="208"/>
      <c r="M419" s="208"/>
      <c r="N419" s="208"/>
      <c r="O419" s="208"/>
      <c r="P419" s="208"/>
      <c r="Q419" s="208"/>
      <c r="R419" s="208"/>
      <c r="S419" s="208"/>
      <c r="T419" s="208"/>
      <c r="U419" s="208"/>
      <c r="V419" s="208"/>
      <c r="W419" s="232"/>
      <c r="X419" s="232"/>
      <c r="Y419" s="232"/>
      <c r="Z419" s="232"/>
      <c r="AA419" s="232"/>
      <c r="AB419" s="232"/>
      <c r="AC419" s="232"/>
      <c r="AD419" s="232"/>
      <c r="AE419" s="232"/>
      <c r="AF419" s="232"/>
      <c r="AG419" s="208"/>
      <c r="AH419" s="208"/>
      <c r="AI419" s="208"/>
      <c r="AJ419" s="208"/>
      <c r="AK419" s="208"/>
    </row>
    <row r="420">
      <c r="A420" s="234"/>
      <c r="B420" s="208"/>
      <c r="C420" s="208"/>
      <c r="D420" s="208"/>
      <c r="E420" s="208"/>
      <c r="F420" s="208"/>
      <c r="G420" s="208"/>
      <c r="H420" s="208"/>
      <c r="I420" s="233"/>
      <c r="J420" s="208"/>
      <c r="K420" s="208"/>
      <c r="L420" s="208"/>
      <c r="M420" s="208"/>
      <c r="N420" s="208"/>
      <c r="O420" s="208"/>
      <c r="P420" s="208"/>
      <c r="Q420" s="208"/>
      <c r="R420" s="208"/>
      <c r="S420" s="208"/>
      <c r="T420" s="208"/>
      <c r="U420" s="208"/>
      <c r="V420" s="208"/>
      <c r="W420" s="232"/>
      <c r="X420" s="232"/>
      <c r="Y420" s="232"/>
      <c r="Z420" s="232"/>
      <c r="AA420" s="232"/>
      <c r="AB420" s="232"/>
      <c r="AC420" s="232"/>
      <c r="AD420" s="232"/>
      <c r="AE420" s="232"/>
      <c r="AF420" s="232"/>
      <c r="AG420" s="208"/>
      <c r="AH420" s="208"/>
      <c r="AI420" s="208"/>
      <c r="AJ420" s="208"/>
      <c r="AK420" s="208"/>
    </row>
    <row r="421">
      <c r="A421" s="234"/>
      <c r="B421" s="208"/>
      <c r="C421" s="208"/>
      <c r="D421" s="208"/>
      <c r="E421" s="208"/>
      <c r="F421" s="208"/>
      <c r="G421" s="208"/>
      <c r="H421" s="208"/>
      <c r="I421" s="233"/>
      <c r="J421" s="208"/>
      <c r="K421" s="208"/>
      <c r="L421" s="208"/>
      <c r="M421" s="208"/>
      <c r="N421" s="208"/>
      <c r="O421" s="208"/>
      <c r="P421" s="208"/>
      <c r="Q421" s="208"/>
      <c r="R421" s="208"/>
      <c r="S421" s="208"/>
      <c r="T421" s="208"/>
      <c r="U421" s="208"/>
      <c r="V421" s="208"/>
      <c r="W421" s="232"/>
      <c r="X421" s="232"/>
      <c r="Y421" s="232"/>
      <c r="Z421" s="232"/>
      <c r="AA421" s="232"/>
      <c r="AB421" s="232"/>
      <c r="AC421" s="232"/>
      <c r="AD421" s="232"/>
      <c r="AE421" s="232"/>
      <c r="AF421" s="232"/>
      <c r="AG421" s="208"/>
      <c r="AH421" s="208"/>
      <c r="AI421" s="208"/>
      <c r="AJ421" s="208"/>
      <c r="AK421" s="208"/>
    </row>
    <row r="422">
      <c r="A422" s="234"/>
      <c r="B422" s="208"/>
      <c r="C422" s="208"/>
      <c r="D422" s="208"/>
      <c r="E422" s="208"/>
      <c r="F422" s="208"/>
      <c r="G422" s="208"/>
      <c r="H422" s="208"/>
      <c r="I422" s="233"/>
      <c r="J422" s="208"/>
      <c r="K422" s="208"/>
      <c r="L422" s="208"/>
      <c r="M422" s="208"/>
      <c r="N422" s="208"/>
      <c r="O422" s="208"/>
      <c r="P422" s="208"/>
      <c r="Q422" s="208"/>
      <c r="R422" s="208"/>
      <c r="S422" s="208"/>
      <c r="T422" s="208"/>
      <c r="U422" s="208"/>
      <c r="V422" s="208"/>
      <c r="W422" s="232"/>
      <c r="X422" s="232"/>
      <c r="Y422" s="232"/>
      <c r="Z422" s="232"/>
      <c r="AA422" s="232"/>
      <c r="AB422" s="232"/>
      <c r="AC422" s="232"/>
      <c r="AD422" s="232"/>
      <c r="AE422" s="232"/>
      <c r="AF422" s="232"/>
      <c r="AG422" s="208"/>
      <c r="AH422" s="208"/>
      <c r="AI422" s="208"/>
      <c r="AJ422" s="208"/>
      <c r="AK422" s="208"/>
    </row>
    <row r="423">
      <c r="A423" s="234"/>
      <c r="B423" s="208"/>
      <c r="C423" s="208"/>
      <c r="D423" s="208"/>
      <c r="E423" s="208"/>
      <c r="F423" s="208"/>
      <c r="G423" s="208"/>
      <c r="H423" s="208"/>
      <c r="I423" s="233"/>
      <c r="J423" s="208"/>
      <c r="K423" s="208"/>
      <c r="L423" s="208"/>
      <c r="M423" s="208"/>
      <c r="N423" s="208"/>
      <c r="O423" s="208"/>
      <c r="P423" s="208"/>
      <c r="Q423" s="208"/>
      <c r="R423" s="208"/>
      <c r="S423" s="208"/>
      <c r="T423" s="208"/>
      <c r="U423" s="208"/>
      <c r="V423" s="208"/>
      <c r="W423" s="232"/>
      <c r="X423" s="232"/>
      <c r="Y423" s="232"/>
      <c r="Z423" s="232"/>
      <c r="AA423" s="232"/>
      <c r="AB423" s="232"/>
      <c r="AC423" s="232"/>
      <c r="AD423" s="232"/>
      <c r="AE423" s="232"/>
      <c r="AF423" s="232"/>
      <c r="AG423" s="208"/>
      <c r="AH423" s="208"/>
      <c r="AI423" s="208"/>
      <c r="AJ423" s="208"/>
      <c r="AK423" s="208"/>
    </row>
    <row r="424">
      <c r="A424" s="234"/>
      <c r="B424" s="208"/>
      <c r="C424" s="208"/>
      <c r="D424" s="208"/>
      <c r="E424" s="208"/>
      <c r="F424" s="208"/>
      <c r="G424" s="208"/>
      <c r="H424" s="208"/>
      <c r="I424" s="233"/>
      <c r="J424" s="208"/>
      <c r="K424" s="208"/>
      <c r="L424" s="208"/>
      <c r="M424" s="208"/>
      <c r="N424" s="208"/>
      <c r="O424" s="208"/>
      <c r="P424" s="208"/>
      <c r="Q424" s="208"/>
      <c r="R424" s="208"/>
      <c r="S424" s="208"/>
      <c r="T424" s="208"/>
      <c r="U424" s="208"/>
      <c r="V424" s="208"/>
      <c r="W424" s="232"/>
      <c r="X424" s="232"/>
      <c r="Y424" s="232"/>
      <c r="Z424" s="232"/>
      <c r="AA424" s="232"/>
      <c r="AB424" s="232"/>
      <c r="AC424" s="232"/>
      <c r="AD424" s="232"/>
      <c r="AE424" s="232"/>
      <c r="AF424" s="232"/>
      <c r="AG424" s="208"/>
      <c r="AH424" s="208"/>
      <c r="AI424" s="208"/>
      <c r="AJ424" s="208"/>
      <c r="AK424" s="208"/>
    </row>
    <row r="425">
      <c r="A425" s="234"/>
      <c r="B425" s="208"/>
      <c r="C425" s="208"/>
      <c r="D425" s="208"/>
      <c r="E425" s="208"/>
      <c r="F425" s="208"/>
      <c r="G425" s="208"/>
      <c r="H425" s="208"/>
      <c r="I425" s="233"/>
      <c r="J425" s="208"/>
      <c r="K425" s="208"/>
      <c r="L425" s="208"/>
      <c r="M425" s="208"/>
      <c r="N425" s="208"/>
      <c r="O425" s="208"/>
      <c r="P425" s="208"/>
      <c r="Q425" s="208"/>
      <c r="R425" s="208"/>
      <c r="S425" s="208"/>
      <c r="T425" s="208"/>
      <c r="U425" s="208"/>
      <c r="V425" s="208"/>
      <c r="W425" s="232"/>
      <c r="X425" s="232"/>
      <c r="Y425" s="232"/>
      <c r="Z425" s="232"/>
      <c r="AA425" s="232"/>
      <c r="AB425" s="232"/>
      <c r="AC425" s="232"/>
      <c r="AD425" s="232"/>
      <c r="AE425" s="232"/>
      <c r="AF425" s="232"/>
      <c r="AG425" s="208"/>
      <c r="AH425" s="208"/>
      <c r="AI425" s="208"/>
      <c r="AJ425" s="208"/>
      <c r="AK425" s="208"/>
    </row>
    <row r="426">
      <c r="A426" s="234"/>
      <c r="B426" s="208"/>
      <c r="C426" s="208"/>
      <c r="D426" s="208"/>
      <c r="E426" s="208"/>
      <c r="F426" s="208"/>
      <c r="G426" s="208"/>
      <c r="H426" s="208"/>
      <c r="I426" s="233"/>
      <c r="J426" s="208"/>
      <c r="K426" s="208"/>
      <c r="L426" s="208"/>
      <c r="M426" s="208"/>
      <c r="N426" s="208"/>
      <c r="O426" s="208"/>
      <c r="P426" s="208"/>
      <c r="Q426" s="208"/>
      <c r="R426" s="208"/>
      <c r="S426" s="208"/>
      <c r="T426" s="208"/>
      <c r="U426" s="208"/>
      <c r="V426" s="208"/>
      <c r="W426" s="232"/>
      <c r="X426" s="232"/>
      <c r="Y426" s="232"/>
      <c r="Z426" s="232"/>
      <c r="AA426" s="232"/>
      <c r="AB426" s="232"/>
      <c r="AC426" s="232"/>
      <c r="AD426" s="232"/>
      <c r="AE426" s="232"/>
      <c r="AF426" s="232"/>
      <c r="AG426" s="208"/>
      <c r="AH426" s="208"/>
      <c r="AI426" s="208"/>
      <c r="AJ426" s="208"/>
      <c r="AK426" s="208"/>
    </row>
    <row r="427">
      <c r="A427" s="234"/>
      <c r="B427" s="208"/>
      <c r="C427" s="208"/>
      <c r="D427" s="208"/>
      <c r="E427" s="208"/>
      <c r="F427" s="208"/>
      <c r="G427" s="208"/>
      <c r="H427" s="208"/>
      <c r="I427" s="233"/>
      <c r="J427" s="208"/>
      <c r="K427" s="208"/>
      <c r="L427" s="208"/>
      <c r="M427" s="208"/>
      <c r="N427" s="208"/>
      <c r="O427" s="208"/>
      <c r="P427" s="208"/>
      <c r="Q427" s="208"/>
      <c r="R427" s="208"/>
      <c r="S427" s="208"/>
      <c r="T427" s="208"/>
      <c r="U427" s="208"/>
      <c r="V427" s="208"/>
      <c r="W427" s="232"/>
      <c r="X427" s="232"/>
      <c r="Y427" s="232"/>
      <c r="Z427" s="232"/>
      <c r="AA427" s="232"/>
      <c r="AB427" s="232"/>
      <c r="AC427" s="232"/>
      <c r="AD427" s="232"/>
      <c r="AE427" s="232"/>
      <c r="AF427" s="232"/>
      <c r="AG427" s="208"/>
      <c r="AH427" s="208"/>
      <c r="AI427" s="208"/>
      <c r="AJ427" s="208"/>
      <c r="AK427" s="208"/>
    </row>
    <row r="428">
      <c r="A428" s="234"/>
      <c r="B428" s="208"/>
      <c r="C428" s="208"/>
      <c r="D428" s="208"/>
      <c r="E428" s="208"/>
      <c r="F428" s="208"/>
      <c r="G428" s="208"/>
      <c r="H428" s="208"/>
      <c r="I428" s="233"/>
      <c r="J428" s="208"/>
      <c r="K428" s="208"/>
      <c r="L428" s="208"/>
      <c r="M428" s="208"/>
      <c r="N428" s="208"/>
      <c r="O428" s="208"/>
      <c r="P428" s="208"/>
      <c r="Q428" s="208"/>
      <c r="R428" s="208"/>
      <c r="S428" s="208"/>
      <c r="T428" s="208"/>
      <c r="U428" s="208"/>
      <c r="V428" s="208"/>
      <c r="W428" s="232"/>
      <c r="X428" s="232"/>
      <c r="Y428" s="232"/>
      <c r="Z428" s="232"/>
      <c r="AA428" s="232"/>
      <c r="AB428" s="232"/>
      <c r="AC428" s="232"/>
      <c r="AD428" s="232"/>
      <c r="AE428" s="232"/>
      <c r="AF428" s="232"/>
      <c r="AG428" s="208"/>
      <c r="AH428" s="208"/>
      <c r="AI428" s="208"/>
      <c r="AJ428" s="208"/>
      <c r="AK428" s="208"/>
    </row>
    <row r="429">
      <c r="A429" s="234"/>
      <c r="B429" s="208"/>
      <c r="C429" s="208"/>
      <c r="D429" s="208"/>
      <c r="E429" s="208"/>
      <c r="F429" s="208"/>
      <c r="G429" s="208"/>
      <c r="H429" s="208"/>
      <c r="I429" s="233"/>
      <c r="J429" s="208"/>
      <c r="K429" s="208"/>
      <c r="L429" s="208"/>
      <c r="M429" s="208"/>
      <c r="N429" s="208"/>
      <c r="O429" s="208"/>
      <c r="P429" s="208"/>
      <c r="Q429" s="208"/>
      <c r="R429" s="208"/>
      <c r="S429" s="208"/>
      <c r="T429" s="208"/>
      <c r="U429" s="208"/>
      <c r="V429" s="208"/>
      <c r="W429" s="232"/>
      <c r="X429" s="232"/>
      <c r="Y429" s="232"/>
      <c r="Z429" s="232"/>
      <c r="AA429" s="232"/>
      <c r="AB429" s="232"/>
      <c r="AC429" s="232"/>
      <c r="AD429" s="232"/>
      <c r="AE429" s="232"/>
      <c r="AF429" s="232"/>
      <c r="AG429" s="208"/>
      <c r="AH429" s="208"/>
      <c r="AI429" s="208"/>
      <c r="AJ429" s="208"/>
      <c r="AK429" s="208"/>
    </row>
    <row r="430">
      <c r="A430" s="234"/>
      <c r="B430" s="208"/>
      <c r="C430" s="208"/>
      <c r="D430" s="208"/>
      <c r="E430" s="208"/>
      <c r="F430" s="208"/>
      <c r="G430" s="208"/>
      <c r="H430" s="208"/>
      <c r="I430" s="233"/>
      <c r="J430" s="208"/>
      <c r="K430" s="208"/>
      <c r="L430" s="208"/>
      <c r="M430" s="208"/>
      <c r="N430" s="208"/>
      <c r="O430" s="208"/>
      <c r="P430" s="208"/>
      <c r="Q430" s="208"/>
      <c r="R430" s="208"/>
      <c r="S430" s="208"/>
      <c r="T430" s="208"/>
      <c r="U430" s="208"/>
      <c r="V430" s="208"/>
      <c r="W430" s="232"/>
      <c r="X430" s="232"/>
      <c r="Y430" s="232"/>
      <c r="Z430" s="232"/>
      <c r="AA430" s="232"/>
      <c r="AB430" s="232"/>
      <c r="AC430" s="232"/>
      <c r="AD430" s="232"/>
      <c r="AE430" s="232"/>
      <c r="AF430" s="232"/>
      <c r="AG430" s="208"/>
      <c r="AH430" s="208"/>
      <c r="AI430" s="208"/>
      <c r="AJ430" s="208"/>
      <c r="AK430" s="208"/>
    </row>
    <row r="431">
      <c r="A431" s="234"/>
      <c r="B431" s="208"/>
      <c r="C431" s="208"/>
      <c r="D431" s="208"/>
      <c r="E431" s="208"/>
      <c r="F431" s="208"/>
      <c r="G431" s="208"/>
      <c r="H431" s="208"/>
      <c r="I431" s="233"/>
      <c r="J431" s="208"/>
      <c r="K431" s="208"/>
      <c r="L431" s="208"/>
      <c r="M431" s="208"/>
      <c r="N431" s="208"/>
      <c r="O431" s="208"/>
      <c r="P431" s="208"/>
      <c r="Q431" s="208"/>
      <c r="R431" s="208"/>
      <c r="S431" s="208"/>
      <c r="T431" s="208"/>
      <c r="U431" s="208"/>
      <c r="V431" s="208"/>
      <c r="W431" s="232"/>
      <c r="X431" s="232"/>
      <c r="Y431" s="232"/>
      <c r="Z431" s="232"/>
      <c r="AA431" s="232"/>
      <c r="AB431" s="232"/>
      <c r="AC431" s="232"/>
      <c r="AD431" s="232"/>
      <c r="AE431" s="232"/>
      <c r="AF431" s="232"/>
      <c r="AG431" s="208"/>
      <c r="AH431" s="208"/>
      <c r="AI431" s="208"/>
      <c r="AJ431" s="208"/>
      <c r="AK431" s="208"/>
    </row>
    <row r="432">
      <c r="A432" s="234"/>
      <c r="B432" s="208"/>
      <c r="C432" s="208"/>
      <c r="D432" s="208"/>
      <c r="E432" s="208"/>
      <c r="F432" s="208"/>
      <c r="G432" s="208"/>
      <c r="H432" s="208"/>
      <c r="I432" s="233"/>
      <c r="J432" s="208"/>
      <c r="K432" s="208"/>
      <c r="L432" s="208"/>
      <c r="M432" s="208"/>
      <c r="N432" s="208"/>
      <c r="O432" s="208"/>
      <c r="P432" s="208"/>
      <c r="Q432" s="208"/>
      <c r="R432" s="208"/>
      <c r="S432" s="208"/>
      <c r="T432" s="208"/>
      <c r="U432" s="208"/>
      <c r="V432" s="208"/>
      <c r="W432" s="232"/>
      <c r="X432" s="232"/>
      <c r="Y432" s="232"/>
      <c r="Z432" s="232"/>
      <c r="AA432" s="232"/>
      <c r="AB432" s="232"/>
      <c r="AC432" s="232"/>
      <c r="AD432" s="232"/>
      <c r="AE432" s="232"/>
      <c r="AF432" s="232"/>
      <c r="AG432" s="208"/>
      <c r="AH432" s="208"/>
      <c r="AI432" s="208"/>
      <c r="AJ432" s="208"/>
      <c r="AK432" s="208"/>
    </row>
    <row r="433">
      <c r="A433" s="234"/>
      <c r="B433" s="208"/>
      <c r="C433" s="208"/>
      <c r="D433" s="208"/>
      <c r="E433" s="208"/>
      <c r="F433" s="208"/>
      <c r="G433" s="208"/>
      <c r="H433" s="208"/>
      <c r="I433" s="233"/>
      <c r="J433" s="208"/>
      <c r="K433" s="208"/>
      <c r="L433" s="208"/>
      <c r="M433" s="208"/>
      <c r="N433" s="208"/>
      <c r="O433" s="208"/>
      <c r="P433" s="208"/>
      <c r="Q433" s="208"/>
      <c r="R433" s="208"/>
      <c r="S433" s="208"/>
      <c r="T433" s="208"/>
      <c r="U433" s="208"/>
      <c r="V433" s="208"/>
      <c r="W433" s="232"/>
      <c r="X433" s="232"/>
      <c r="Y433" s="232"/>
      <c r="Z433" s="232"/>
      <c r="AA433" s="232"/>
      <c r="AB433" s="232"/>
      <c r="AC433" s="232"/>
      <c r="AD433" s="232"/>
      <c r="AE433" s="232"/>
      <c r="AF433" s="232"/>
      <c r="AG433" s="208"/>
      <c r="AH433" s="208"/>
      <c r="AI433" s="208"/>
      <c r="AJ433" s="208"/>
      <c r="AK433" s="208"/>
    </row>
    <row r="434">
      <c r="A434" s="234"/>
      <c r="B434" s="208"/>
      <c r="C434" s="208"/>
      <c r="D434" s="208"/>
      <c r="E434" s="208"/>
      <c r="F434" s="208"/>
      <c r="G434" s="208"/>
      <c r="H434" s="208"/>
      <c r="I434" s="233"/>
      <c r="J434" s="208"/>
      <c r="K434" s="208"/>
      <c r="L434" s="208"/>
      <c r="M434" s="208"/>
      <c r="N434" s="208"/>
      <c r="O434" s="208"/>
      <c r="P434" s="208"/>
      <c r="Q434" s="208"/>
      <c r="R434" s="208"/>
      <c r="S434" s="208"/>
      <c r="T434" s="208"/>
      <c r="U434" s="208"/>
      <c r="V434" s="208"/>
      <c r="W434" s="232"/>
      <c r="X434" s="232"/>
      <c r="Y434" s="232"/>
      <c r="Z434" s="232"/>
      <c r="AA434" s="232"/>
      <c r="AB434" s="232"/>
      <c r="AC434" s="232"/>
      <c r="AD434" s="232"/>
      <c r="AE434" s="232"/>
      <c r="AF434" s="232"/>
      <c r="AG434" s="208"/>
      <c r="AH434" s="208"/>
      <c r="AI434" s="208"/>
      <c r="AJ434" s="208"/>
      <c r="AK434" s="208"/>
    </row>
    <row r="435">
      <c r="A435" s="234"/>
      <c r="B435" s="208"/>
      <c r="C435" s="208"/>
      <c r="D435" s="208"/>
      <c r="E435" s="208"/>
      <c r="F435" s="208"/>
      <c r="G435" s="208"/>
      <c r="H435" s="208"/>
      <c r="I435" s="233"/>
      <c r="J435" s="208"/>
      <c r="K435" s="208"/>
      <c r="L435" s="208"/>
      <c r="M435" s="208"/>
      <c r="N435" s="208"/>
      <c r="O435" s="208"/>
      <c r="P435" s="208"/>
      <c r="Q435" s="208"/>
      <c r="R435" s="208"/>
      <c r="S435" s="208"/>
      <c r="T435" s="208"/>
      <c r="U435" s="208"/>
      <c r="V435" s="208"/>
      <c r="W435" s="232"/>
      <c r="X435" s="232"/>
      <c r="Y435" s="232"/>
      <c r="Z435" s="232"/>
      <c r="AA435" s="232"/>
      <c r="AB435" s="232"/>
      <c r="AC435" s="232"/>
      <c r="AD435" s="232"/>
      <c r="AE435" s="232"/>
      <c r="AF435" s="232"/>
      <c r="AG435" s="208"/>
      <c r="AH435" s="208"/>
      <c r="AI435" s="208"/>
      <c r="AJ435" s="208"/>
      <c r="AK435" s="208"/>
    </row>
    <row r="436">
      <c r="A436" s="234"/>
      <c r="B436" s="208"/>
      <c r="C436" s="208"/>
      <c r="D436" s="208"/>
      <c r="E436" s="208"/>
      <c r="F436" s="208"/>
      <c r="G436" s="208"/>
      <c r="H436" s="208"/>
      <c r="I436" s="233"/>
      <c r="J436" s="208"/>
      <c r="K436" s="208"/>
      <c r="L436" s="208"/>
      <c r="M436" s="208"/>
      <c r="N436" s="208"/>
      <c r="O436" s="208"/>
      <c r="P436" s="208"/>
      <c r="Q436" s="208"/>
      <c r="R436" s="208"/>
      <c r="S436" s="208"/>
      <c r="T436" s="208"/>
      <c r="U436" s="208"/>
      <c r="V436" s="208"/>
      <c r="W436" s="232"/>
      <c r="X436" s="232"/>
      <c r="Y436" s="232"/>
      <c r="Z436" s="232"/>
      <c r="AA436" s="232"/>
      <c r="AB436" s="232"/>
      <c r="AC436" s="232"/>
      <c r="AD436" s="232"/>
      <c r="AE436" s="232"/>
      <c r="AF436" s="232"/>
      <c r="AG436" s="208"/>
      <c r="AH436" s="208"/>
      <c r="AI436" s="208"/>
      <c r="AJ436" s="208"/>
      <c r="AK436" s="208"/>
    </row>
    <row r="437">
      <c r="A437" s="234"/>
      <c r="B437" s="208"/>
      <c r="C437" s="208"/>
      <c r="D437" s="208"/>
      <c r="E437" s="208"/>
      <c r="F437" s="208"/>
      <c r="G437" s="208"/>
      <c r="H437" s="208"/>
      <c r="I437" s="233"/>
      <c r="J437" s="208"/>
      <c r="K437" s="208"/>
      <c r="L437" s="208"/>
      <c r="M437" s="208"/>
      <c r="N437" s="208"/>
      <c r="O437" s="208"/>
      <c r="P437" s="208"/>
      <c r="Q437" s="208"/>
      <c r="R437" s="208"/>
      <c r="S437" s="208"/>
      <c r="T437" s="208"/>
      <c r="U437" s="208"/>
      <c r="V437" s="208"/>
      <c r="W437" s="232"/>
      <c r="X437" s="232"/>
      <c r="Y437" s="232"/>
      <c r="Z437" s="232"/>
      <c r="AA437" s="232"/>
      <c r="AB437" s="232"/>
      <c r="AC437" s="232"/>
      <c r="AD437" s="232"/>
      <c r="AE437" s="232"/>
      <c r="AF437" s="232"/>
      <c r="AG437" s="208"/>
      <c r="AH437" s="208"/>
      <c r="AI437" s="208"/>
      <c r="AJ437" s="208"/>
      <c r="AK437" s="208"/>
    </row>
    <row r="438">
      <c r="A438" s="234"/>
      <c r="B438" s="208"/>
      <c r="C438" s="208"/>
      <c r="D438" s="208"/>
      <c r="E438" s="208"/>
      <c r="F438" s="208"/>
      <c r="G438" s="208"/>
      <c r="H438" s="208"/>
      <c r="I438" s="233"/>
      <c r="J438" s="208"/>
      <c r="K438" s="208"/>
      <c r="L438" s="208"/>
      <c r="M438" s="208"/>
      <c r="N438" s="208"/>
      <c r="O438" s="208"/>
      <c r="P438" s="208"/>
      <c r="Q438" s="208"/>
      <c r="R438" s="208"/>
      <c r="S438" s="208"/>
      <c r="T438" s="208"/>
      <c r="U438" s="208"/>
      <c r="V438" s="208"/>
      <c r="W438" s="232"/>
      <c r="X438" s="232"/>
      <c r="Y438" s="232"/>
      <c r="Z438" s="232"/>
      <c r="AA438" s="232"/>
      <c r="AB438" s="232"/>
      <c r="AC438" s="232"/>
      <c r="AD438" s="232"/>
      <c r="AE438" s="232"/>
      <c r="AF438" s="232"/>
      <c r="AG438" s="208"/>
      <c r="AH438" s="208"/>
      <c r="AI438" s="208"/>
      <c r="AJ438" s="208"/>
      <c r="AK438" s="208"/>
    </row>
    <row r="439">
      <c r="A439" s="234"/>
      <c r="B439" s="208"/>
      <c r="C439" s="208"/>
      <c r="D439" s="208"/>
      <c r="E439" s="208"/>
      <c r="F439" s="208"/>
      <c r="G439" s="208"/>
      <c r="H439" s="208"/>
      <c r="I439" s="233"/>
      <c r="J439" s="208"/>
      <c r="K439" s="208"/>
      <c r="L439" s="208"/>
      <c r="M439" s="208"/>
      <c r="N439" s="208"/>
      <c r="O439" s="208"/>
      <c r="P439" s="208"/>
      <c r="Q439" s="208"/>
      <c r="R439" s="208"/>
      <c r="S439" s="208"/>
      <c r="T439" s="208"/>
      <c r="U439" s="208"/>
      <c r="V439" s="208"/>
      <c r="W439" s="232"/>
      <c r="X439" s="232"/>
      <c r="Y439" s="232"/>
      <c r="Z439" s="232"/>
      <c r="AA439" s="232"/>
      <c r="AB439" s="232"/>
      <c r="AC439" s="232"/>
      <c r="AD439" s="232"/>
      <c r="AE439" s="232"/>
      <c r="AF439" s="232"/>
      <c r="AG439" s="208"/>
      <c r="AH439" s="208"/>
      <c r="AI439" s="208"/>
      <c r="AJ439" s="208"/>
      <c r="AK439" s="208"/>
    </row>
    <row r="440">
      <c r="A440" s="234"/>
      <c r="B440" s="208"/>
      <c r="C440" s="208"/>
      <c r="D440" s="208"/>
      <c r="E440" s="208"/>
      <c r="F440" s="208"/>
      <c r="G440" s="208"/>
      <c r="H440" s="208"/>
      <c r="I440" s="233"/>
      <c r="J440" s="208"/>
      <c r="K440" s="208"/>
      <c r="L440" s="208"/>
      <c r="M440" s="208"/>
      <c r="N440" s="208"/>
      <c r="O440" s="208"/>
      <c r="P440" s="208"/>
      <c r="Q440" s="208"/>
      <c r="R440" s="208"/>
      <c r="S440" s="208"/>
      <c r="T440" s="208"/>
      <c r="U440" s="208"/>
      <c r="V440" s="208"/>
      <c r="W440" s="232"/>
      <c r="X440" s="232"/>
      <c r="Y440" s="232"/>
      <c r="Z440" s="232"/>
      <c r="AA440" s="232"/>
      <c r="AB440" s="232"/>
      <c r="AC440" s="232"/>
      <c r="AD440" s="232"/>
      <c r="AE440" s="232"/>
      <c r="AF440" s="232"/>
      <c r="AG440" s="208"/>
      <c r="AH440" s="208"/>
      <c r="AI440" s="208"/>
      <c r="AJ440" s="208"/>
      <c r="AK440" s="208"/>
    </row>
    <row r="441">
      <c r="A441" s="234"/>
      <c r="B441" s="208"/>
      <c r="C441" s="208"/>
      <c r="D441" s="208"/>
      <c r="E441" s="208"/>
      <c r="F441" s="208"/>
      <c r="G441" s="208"/>
      <c r="H441" s="208"/>
      <c r="I441" s="233"/>
      <c r="J441" s="208"/>
      <c r="K441" s="208"/>
      <c r="L441" s="208"/>
      <c r="M441" s="208"/>
      <c r="N441" s="208"/>
      <c r="O441" s="208"/>
      <c r="P441" s="208"/>
      <c r="Q441" s="208"/>
      <c r="R441" s="208"/>
      <c r="S441" s="208"/>
      <c r="T441" s="208"/>
      <c r="U441" s="208"/>
      <c r="V441" s="208"/>
      <c r="W441" s="232"/>
      <c r="X441" s="232"/>
      <c r="Y441" s="232"/>
      <c r="Z441" s="232"/>
      <c r="AA441" s="232"/>
      <c r="AB441" s="232"/>
      <c r="AC441" s="232"/>
      <c r="AD441" s="232"/>
      <c r="AE441" s="232"/>
      <c r="AF441" s="232"/>
      <c r="AG441" s="208"/>
      <c r="AH441" s="208"/>
      <c r="AI441" s="208"/>
      <c r="AJ441" s="208"/>
      <c r="AK441" s="208"/>
    </row>
    <row r="442">
      <c r="A442" s="234"/>
      <c r="B442" s="208"/>
      <c r="C442" s="208"/>
      <c r="D442" s="208"/>
      <c r="E442" s="208"/>
      <c r="F442" s="208"/>
      <c r="G442" s="208"/>
      <c r="H442" s="208"/>
      <c r="I442" s="233"/>
      <c r="J442" s="208"/>
      <c r="K442" s="208"/>
      <c r="L442" s="208"/>
      <c r="M442" s="208"/>
      <c r="N442" s="208"/>
      <c r="O442" s="208"/>
      <c r="P442" s="208"/>
      <c r="Q442" s="208"/>
      <c r="R442" s="208"/>
      <c r="S442" s="208"/>
      <c r="T442" s="208"/>
      <c r="U442" s="208"/>
      <c r="V442" s="208"/>
      <c r="W442" s="232"/>
      <c r="X442" s="232"/>
      <c r="Y442" s="232"/>
      <c r="Z442" s="232"/>
      <c r="AA442" s="232"/>
      <c r="AB442" s="232"/>
      <c r="AC442" s="232"/>
      <c r="AD442" s="232"/>
      <c r="AE442" s="232"/>
      <c r="AF442" s="232"/>
      <c r="AG442" s="208"/>
      <c r="AH442" s="208"/>
      <c r="AI442" s="208"/>
      <c r="AJ442" s="208"/>
      <c r="AK442" s="208"/>
    </row>
    <row r="443">
      <c r="A443" s="234"/>
      <c r="B443" s="208"/>
      <c r="C443" s="208"/>
      <c r="D443" s="208"/>
      <c r="E443" s="208"/>
      <c r="F443" s="208"/>
      <c r="G443" s="208"/>
      <c r="H443" s="208"/>
      <c r="I443" s="233"/>
      <c r="J443" s="208"/>
      <c r="K443" s="208"/>
      <c r="L443" s="208"/>
      <c r="M443" s="208"/>
      <c r="N443" s="208"/>
      <c r="O443" s="208"/>
      <c r="P443" s="208"/>
      <c r="Q443" s="208"/>
      <c r="R443" s="208"/>
      <c r="S443" s="208"/>
      <c r="T443" s="208"/>
      <c r="U443" s="208"/>
      <c r="V443" s="208"/>
      <c r="W443" s="232"/>
      <c r="X443" s="232"/>
      <c r="Y443" s="232"/>
      <c r="Z443" s="232"/>
      <c r="AA443" s="232"/>
      <c r="AB443" s="232"/>
      <c r="AC443" s="232"/>
      <c r="AD443" s="232"/>
      <c r="AE443" s="232"/>
      <c r="AF443" s="232"/>
      <c r="AG443" s="208"/>
      <c r="AH443" s="208"/>
      <c r="AI443" s="208"/>
      <c r="AJ443" s="208"/>
      <c r="AK443" s="208"/>
    </row>
    <row r="444">
      <c r="A444" s="234"/>
      <c r="B444" s="208"/>
      <c r="C444" s="208"/>
      <c r="D444" s="208"/>
      <c r="E444" s="208"/>
      <c r="F444" s="208"/>
      <c r="G444" s="208"/>
      <c r="H444" s="208"/>
      <c r="I444" s="233"/>
      <c r="J444" s="208"/>
      <c r="K444" s="208"/>
      <c r="L444" s="208"/>
      <c r="M444" s="208"/>
      <c r="N444" s="208"/>
      <c r="O444" s="208"/>
      <c r="P444" s="208"/>
      <c r="Q444" s="208"/>
      <c r="R444" s="208"/>
      <c r="S444" s="208"/>
      <c r="T444" s="208"/>
      <c r="U444" s="208"/>
      <c r="V444" s="208"/>
      <c r="W444" s="232"/>
      <c r="X444" s="232"/>
      <c r="Y444" s="232"/>
      <c r="Z444" s="232"/>
      <c r="AA444" s="232"/>
      <c r="AB444" s="232"/>
      <c r="AC444" s="232"/>
      <c r="AD444" s="232"/>
      <c r="AE444" s="232"/>
      <c r="AF444" s="232"/>
      <c r="AG444" s="208"/>
      <c r="AH444" s="208"/>
      <c r="AI444" s="208"/>
      <c r="AJ444" s="208"/>
      <c r="AK444" s="208"/>
    </row>
    <row r="445">
      <c r="A445" s="234"/>
      <c r="B445" s="208"/>
      <c r="C445" s="208"/>
      <c r="D445" s="208"/>
      <c r="E445" s="208"/>
      <c r="F445" s="208"/>
      <c r="G445" s="208"/>
      <c r="H445" s="208"/>
      <c r="I445" s="233"/>
      <c r="J445" s="208"/>
      <c r="K445" s="208"/>
      <c r="L445" s="208"/>
      <c r="M445" s="208"/>
      <c r="N445" s="208"/>
      <c r="O445" s="208"/>
      <c r="P445" s="208"/>
      <c r="Q445" s="208"/>
      <c r="R445" s="208"/>
      <c r="S445" s="208"/>
      <c r="T445" s="208"/>
      <c r="U445" s="208"/>
      <c r="V445" s="208"/>
      <c r="W445" s="232"/>
      <c r="X445" s="232"/>
      <c r="Y445" s="232"/>
      <c r="Z445" s="232"/>
      <c r="AA445" s="232"/>
      <c r="AB445" s="232"/>
      <c r="AC445" s="232"/>
      <c r="AD445" s="232"/>
      <c r="AE445" s="232"/>
      <c r="AF445" s="232"/>
      <c r="AG445" s="208"/>
      <c r="AH445" s="208"/>
      <c r="AI445" s="208"/>
      <c r="AJ445" s="208"/>
      <c r="AK445" s="208"/>
    </row>
    <row r="446">
      <c r="A446" s="234"/>
      <c r="B446" s="208"/>
      <c r="C446" s="208"/>
      <c r="D446" s="208"/>
      <c r="E446" s="208"/>
      <c r="F446" s="208"/>
      <c r="G446" s="208"/>
      <c r="H446" s="208"/>
      <c r="I446" s="233"/>
      <c r="J446" s="208"/>
      <c r="K446" s="208"/>
      <c r="L446" s="208"/>
      <c r="M446" s="208"/>
      <c r="N446" s="208"/>
      <c r="O446" s="208"/>
      <c r="P446" s="208"/>
      <c r="Q446" s="208"/>
      <c r="R446" s="208"/>
      <c r="S446" s="208"/>
      <c r="T446" s="208"/>
      <c r="U446" s="208"/>
      <c r="V446" s="208"/>
      <c r="W446" s="232"/>
      <c r="X446" s="232"/>
      <c r="Y446" s="232"/>
      <c r="Z446" s="232"/>
      <c r="AA446" s="232"/>
      <c r="AB446" s="232"/>
      <c r="AC446" s="232"/>
      <c r="AD446" s="232"/>
      <c r="AE446" s="232"/>
      <c r="AF446" s="232"/>
      <c r="AG446" s="208"/>
      <c r="AH446" s="208"/>
      <c r="AI446" s="208"/>
      <c r="AJ446" s="208"/>
      <c r="AK446" s="208"/>
    </row>
    <row r="447">
      <c r="A447" s="234"/>
      <c r="B447" s="208"/>
      <c r="C447" s="208"/>
      <c r="D447" s="208"/>
      <c r="E447" s="208"/>
      <c r="F447" s="208"/>
      <c r="G447" s="208"/>
      <c r="H447" s="208"/>
      <c r="I447" s="233"/>
      <c r="J447" s="208"/>
      <c r="K447" s="208"/>
      <c r="L447" s="208"/>
      <c r="M447" s="208"/>
      <c r="N447" s="208"/>
      <c r="O447" s="208"/>
      <c r="P447" s="208"/>
      <c r="Q447" s="208"/>
      <c r="R447" s="208"/>
      <c r="S447" s="208"/>
      <c r="T447" s="208"/>
      <c r="U447" s="208"/>
      <c r="V447" s="208"/>
      <c r="W447" s="232"/>
      <c r="X447" s="232"/>
      <c r="Y447" s="232"/>
      <c r="Z447" s="232"/>
      <c r="AA447" s="232"/>
      <c r="AB447" s="232"/>
      <c r="AC447" s="232"/>
      <c r="AD447" s="232"/>
      <c r="AE447" s="232"/>
      <c r="AF447" s="232"/>
      <c r="AG447" s="208"/>
      <c r="AH447" s="208"/>
      <c r="AI447" s="208"/>
      <c r="AJ447" s="208"/>
      <c r="AK447" s="208"/>
    </row>
    <row r="448">
      <c r="A448" s="234"/>
      <c r="B448" s="208"/>
      <c r="C448" s="208"/>
      <c r="D448" s="208"/>
      <c r="E448" s="208"/>
      <c r="F448" s="208"/>
      <c r="G448" s="208"/>
      <c r="H448" s="208"/>
      <c r="I448" s="233"/>
      <c r="J448" s="208"/>
      <c r="K448" s="208"/>
      <c r="L448" s="208"/>
      <c r="M448" s="208"/>
      <c r="N448" s="208"/>
      <c r="O448" s="208"/>
      <c r="P448" s="208"/>
      <c r="Q448" s="208"/>
      <c r="R448" s="208"/>
      <c r="S448" s="208"/>
      <c r="T448" s="208"/>
      <c r="U448" s="208"/>
      <c r="V448" s="208"/>
      <c r="W448" s="232"/>
      <c r="X448" s="232"/>
      <c r="Y448" s="232"/>
      <c r="Z448" s="232"/>
      <c r="AA448" s="232"/>
      <c r="AB448" s="232"/>
      <c r="AC448" s="232"/>
      <c r="AD448" s="232"/>
      <c r="AE448" s="232"/>
      <c r="AF448" s="232"/>
      <c r="AG448" s="208"/>
      <c r="AH448" s="208"/>
      <c r="AI448" s="208"/>
      <c r="AJ448" s="208"/>
      <c r="AK448" s="208"/>
    </row>
    <row r="449">
      <c r="A449" s="234"/>
      <c r="B449" s="208"/>
      <c r="C449" s="208"/>
      <c r="D449" s="208"/>
      <c r="E449" s="208"/>
      <c r="F449" s="208"/>
      <c r="G449" s="208"/>
      <c r="H449" s="208"/>
      <c r="I449" s="233"/>
      <c r="J449" s="208"/>
      <c r="K449" s="208"/>
      <c r="L449" s="208"/>
      <c r="M449" s="208"/>
      <c r="N449" s="208"/>
      <c r="O449" s="208"/>
      <c r="P449" s="208"/>
      <c r="Q449" s="208"/>
      <c r="R449" s="208"/>
      <c r="S449" s="208"/>
      <c r="T449" s="208"/>
      <c r="U449" s="208"/>
      <c r="V449" s="208"/>
      <c r="W449" s="232"/>
      <c r="X449" s="232"/>
      <c r="Y449" s="232"/>
      <c r="Z449" s="232"/>
      <c r="AA449" s="232"/>
      <c r="AB449" s="232"/>
      <c r="AC449" s="232"/>
      <c r="AD449" s="232"/>
      <c r="AE449" s="232"/>
      <c r="AF449" s="232"/>
      <c r="AG449" s="208"/>
      <c r="AH449" s="208"/>
      <c r="AI449" s="208"/>
      <c r="AJ449" s="208"/>
      <c r="AK449" s="208"/>
    </row>
    <row r="450">
      <c r="A450" s="234"/>
      <c r="B450" s="208"/>
      <c r="C450" s="208"/>
      <c r="D450" s="208"/>
      <c r="E450" s="208"/>
      <c r="F450" s="208"/>
      <c r="G450" s="208"/>
      <c r="H450" s="208"/>
      <c r="I450" s="233"/>
      <c r="J450" s="208"/>
      <c r="K450" s="208"/>
      <c r="L450" s="208"/>
      <c r="M450" s="208"/>
      <c r="N450" s="208"/>
      <c r="O450" s="208"/>
      <c r="P450" s="208"/>
      <c r="Q450" s="208"/>
      <c r="R450" s="208"/>
      <c r="S450" s="208"/>
      <c r="T450" s="208"/>
      <c r="U450" s="208"/>
      <c r="V450" s="208"/>
      <c r="W450" s="232"/>
      <c r="X450" s="232"/>
      <c r="Y450" s="232"/>
      <c r="Z450" s="232"/>
      <c r="AA450" s="232"/>
      <c r="AB450" s="232"/>
      <c r="AC450" s="232"/>
      <c r="AD450" s="232"/>
      <c r="AE450" s="232"/>
      <c r="AF450" s="232"/>
      <c r="AG450" s="208"/>
      <c r="AH450" s="208"/>
      <c r="AI450" s="208"/>
      <c r="AJ450" s="208"/>
      <c r="AK450" s="208"/>
    </row>
    <row r="451">
      <c r="A451" s="234"/>
      <c r="B451" s="208"/>
      <c r="C451" s="208"/>
      <c r="D451" s="208"/>
      <c r="E451" s="208"/>
      <c r="F451" s="208"/>
      <c r="G451" s="208"/>
      <c r="H451" s="208"/>
      <c r="I451" s="233"/>
      <c r="J451" s="208"/>
      <c r="K451" s="208"/>
      <c r="L451" s="208"/>
      <c r="M451" s="208"/>
      <c r="N451" s="208"/>
      <c r="O451" s="208"/>
      <c r="P451" s="208"/>
      <c r="Q451" s="208"/>
      <c r="R451" s="208"/>
      <c r="S451" s="208"/>
      <c r="T451" s="208"/>
      <c r="U451" s="208"/>
      <c r="V451" s="208"/>
      <c r="W451" s="232"/>
      <c r="X451" s="232"/>
      <c r="Y451" s="232"/>
      <c r="Z451" s="232"/>
      <c r="AA451" s="232"/>
      <c r="AB451" s="232"/>
      <c r="AC451" s="232"/>
      <c r="AD451" s="232"/>
      <c r="AE451" s="232"/>
      <c r="AF451" s="232"/>
      <c r="AG451" s="208"/>
      <c r="AH451" s="208"/>
      <c r="AI451" s="208"/>
      <c r="AJ451" s="208"/>
      <c r="AK451" s="208"/>
    </row>
    <row r="452">
      <c r="A452" s="234"/>
      <c r="B452" s="208"/>
      <c r="C452" s="208"/>
      <c r="D452" s="208"/>
      <c r="E452" s="208"/>
      <c r="F452" s="208"/>
      <c r="G452" s="208"/>
      <c r="H452" s="208"/>
      <c r="I452" s="233"/>
      <c r="J452" s="208"/>
      <c r="K452" s="208"/>
      <c r="L452" s="208"/>
      <c r="M452" s="208"/>
      <c r="N452" s="208"/>
      <c r="O452" s="208"/>
      <c r="P452" s="208"/>
      <c r="Q452" s="208"/>
      <c r="R452" s="208"/>
      <c r="S452" s="208"/>
      <c r="T452" s="208"/>
      <c r="U452" s="208"/>
      <c r="V452" s="208"/>
      <c r="W452" s="232"/>
      <c r="X452" s="232"/>
      <c r="Y452" s="232"/>
      <c r="Z452" s="232"/>
      <c r="AA452" s="232"/>
      <c r="AB452" s="232"/>
      <c r="AC452" s="232"/>
      <c r="AD452" s="232"/>
      <c r="AE452" s="232"/>
      <c r="AF452" s="232"/>
      <c r="AG452" s="208"/>
      <c r="AH452" s="208"/>
      <c r="AI452" s="208"/>
      <c r="AJ452" s="208"/>
      <c r="AK452" s="208"/>
    </row>
    <row r="453">
      <c r="A453" s="234"/>
      <c r="B453" s="208"/>
      <c r="C453" s="208"/>
      <c r="D453" s="208"/>
      <c r="E453" s="208"/>
      <c r="F453" s="208"/>
      <c r="G453" s="208"/>
      <c r="H453" s="208"/>
      <c r="I453" s="233"/>
      <c r="J453" s="208"/>
      <c r="K453" s="208"/>
      <c r="L453" s="208"/>
      <c r="M453" s="208"/>
      <c r="N453" s="208"/>
      <c r="O453" s="208"/>
      <c r="P453" s="208"/>
      <c r="Q453" s="208"/>
      <c r="R453" s="208"/>
      <c r="S453" s="208"/>
      <c r="T453" s="208"/>
      <c r="U453" s="208"/>
      <c r="V453" s="208"/>
      <c r="W453" s="232"/>
      <c r="X453" s="232"/>
      <c r="Y453" s="232"/>
      <c r="Z453" s="232"/>
      <c r="AA453" s="232"/>
      <c r="AB453" s="232"/>
      <c r="AC453" s="232"/>
      <c r="AD453" s="232"/>
      <c r="AE453" s="232"/>
      <c r="AF453" s="232"/>
      <c r="AG453" s="208"/>
      <c r="AH453" s="208"/>
      <c r="AI453" s="208"/>
      <c r="AJ453" s="208"/>
      <c r="AK453" s="208"/>
    </row>
    <row r="454">
      <c r="A454" s="234"/>
      <c r="B454" s="208"/>
      <c r="C454" s="208"/>
      <c r="D454" s="208"/>
      <c r="E454" s="208"/>
      <c r="F454" s="208"/>
      <c r="G454" s="208"/>
      <c r="H454" s="208"/>
      <c r="I454" s="233"/>
      <c r="J454" s="208"/>
      <c r="K454" s="208"/>
      <c r="L454" s="208"/>
      <c r="M454" s="208"/>
      <c r="N454" s="208"/>
      <c r="O454" s="208"/>
      <c r="P454" s="208"/>
      <c r="Q454" s="208"/>
      <c r="R454" s="208"/>
      <c r="S454" s="208"/>
      <c r="T454" s="208"/>
      <c r="U454" s="208"/>
      <c r="V454" s="208"/>
      <c r="W454" s="232"/>
      <c r="X454" s="232"/>
      <c r="Y454" s="232"/>
      <c r="Z454" s="232"/>
      <c r="AA454" s="232"/>
      <c r="AB454" s="232"/>
      <c r="AC454" s="232"/>
      <c r="AD454" s="232"/>
      <c r="AE454" s="232"/>
      <c r="AF454" s="232"/>
      <c r="AG454" s="208"/>
      <c r="AH454" s="208"/>
      <c r="AI454" s="208"/>
      <c r="AJ454" s="208"/>
      <c r="AK454" s="208"/>
    </row>
    <row r="455">
      <c r="A455" s="234"/>
      <c r="B455" s="208"/>
      <c r="C455" s="208"/>
      <c r="D455" s="208"/>
      <c r="E455" s="208"/>
      <c r="F455" s="208"/>
      <c r="G455" s="208"/>
      <c r="H455" s="208"/>
      <c r="I455" s="233"/>
      <c r="J455" s="208"/>
      <c r="K455" s="208"/>
      <c r="L455" s="208"/>
      <c r="M455" s="208"/>
      <c r="N455" s="208"/>
      <c r="O455" s="208"/>
      <c r="P455" s="208"/>
      <c r="Q455" s="208"/>
      <c r="R455" s="208"/>
      <c r="S455" s="208"/>
      <c r="T455" s="208"/>
      <c r="U455" s="208"/>
      <c r="V455" s="208"/>
      <c r="W455" s="232"/>
      <c r="X455" s="232"/>
      <c r="Y455" s="232"/>
      <c r="Z455" s="232"/>
      <c r="AA455" s="232"/>
      <c r="AB455" s="232"/>
      <c r="AC455" s="232"/>
      <c r="AD455" s="232"/>
      <c r="AE455" s="232"/>
      <c r="AF455" s="232"/>
      <c r="AG455" s="208"/>
      <c r="AH455" s="208"/>
      <c r="AI455" s="208"/>
      <c r="AJ455" s="208"/>
      <c r="AK455" s="208"/>
    </row>
    <row r="456">
      <c r="A456" s="234"/>
      <c r="B456" s="208"/>
      <c r="C456" s="208"/>
      <c r="D456" s="208"/>
      <c r="E456" s="208"/>
      <c r="F456" s="208"/>
      <c r="G456" s="208"/>
      <c r="H456" s="208"/>
      <c r="I456" s="233"/>
      <c r="J456" s="208"/>
      <c r="K456" s="208"/>
      <c r="L456" s="208"/>
      <c r="M456" s="208"/>
      <c r="N456" s="208"/>
      <c r="O456" s="208"/>
      <c r="P456" s="208"/>
      <c r="Q456" s="208"/>
      <c r="R456" s="208"/>
      <c r="S456" s="208"/>
      <c r="T456" s="208"/>
      <c r="U456" s="208"/>
      <c r="V456" s="208"/>
      <c r="W456" s="232"/>
      <c r="X456" s="232"/>
      <c r="Y456" s="232"/>
      <c r="Z456" s="232"/>
      <c r="AA456" s="232"/>
      <c r="AB456" s="232"/>
      <c r="AC456" s="232"/>
      <c r="AD456" s="232"/>
      <c r="AE456" s="232"/>
      <c r="AF456" s="232"/>
      <c r="AG456" s="208"/>
      <c r="AH456" s="208"/>
      <c r="AI456" s="208"/>
      <c r="AJ456" s="208"/>
      <c r="AK456" s="208"/>
    </row>
    <row r="457">
      <c r="A457" s="234"/>
      <c r="B457" s="208"/>
      <c r="C457" s="208"/>
      <c r="D457" s="208"/>
      <c r="E457" s="208"/>
      <c r="F457" s="208"/>
      <c r="G457" s="208"/>
      <c r="H457" s="208"/>
      <c r="I457" s="233"/>
      <c r="J457" s="208"/>
      <c r="K457" s="208"/>
      <c r="L457" s="208"/>
      <c r="M457" s="208"/>
      <c r="N457" s="208"/>
      <c r="O457" s="208"/>
      <c r="P457" s="208"/>
      <c r="Q457" s="208"/>
      <c r="R457" s="208"/>
      <c r="S457" s="208"/>
      <c r="T457" s="208"/>
      <c r="U457" s="208"/>
      <c r="V457" s="208"/>
      <c r="W457" s="232"/>
      <c r="X457" s="232"/>
      <c r="Y457" s="232"/>
      <c r="Z457" s="232"/>
      <c r="AA457" s="232"/>
      <c r="AB457" s="232"/>
      <c r="AC457" s="232"/>
      <c r="AD457" s="232"/>
      <c r="AE457" s="232"/>
      <c r="AF457" s="232"/>
      <c r="AG457" s="208"/>
      <c r="AH457" s="208"/>
      <c r="AI457" s="208"/>
      <c r="AJ457" s="208"/>
      <c r="AK457" s="208"/>
    </row>
    <row r="458">
      <c r="A458" s="234"/>
      <c r="B458" s="208"/>
      <c r="C458" s="208"/>
      <c r="D458" s="208"/>
      <c r="E458" s="208"/>
      <c r="F458" s="208"/>
      <c r="G458" s="208"/>
      <c r="H458" s="208"/>
      <c r="I458" s="233"/>
      <c r="J458" s="208"/>
      <c r="K458" s="208"/>
      <c r="L458" s="208"/>
      <c r="M458" s="208"/>
      <c r="N458" s="208"/>
      <c r="O458" s="208"/>
      <c r="P458" s="208"/>
      <c r="Q458" s="208"/>
      <c r="R458" s="208"/>
      <c r="S458" s="208"/>
      <c r="T458" s="208"/>
      <c r="U458" s="208"/>
      <c r="V458" s="208"/>
      <c r="W458" s="232"/>
      <c r="X458" s="232"/>
      <c r="Y458" s="232"/>
      <c r="Z458" s="232"/>
      <c r="AA458" s="232"/>
      <c r="AB458" s="232"/>
      <c r="AC458" s="232"/>
      <c r="AD458" s="232"/>
      <c r="AE458" s="232"/>
      <c r="AF458" s="232"/>
      <c r="AG458" s="208"/>
      <c r="AH458" s="208"/>
      <c r="AI458" s="208"/>
      <c r="AJ458" s="208"/>
      <c r="AK458" s="208"/>
    </row>
    <row r="459">
      <c r="A459" s="234"/>
      <c r="B459" s="208"/>
      <c r="C459" s="208"/>
      <c r="D459" s="208"/>
      <c r="E459" s="208"/>
      <c r="F459" s="208"/>
      <c r="G459" s="208"/>
      <c r="H459" s="208"/>
      <c r="I459" s="233"/>
      <c r="J459" s="208"/>
      <c r="K459" s="208"/>
      <c r="L459" s="208"/>
      <c r="M459" s="208"/>
      <c r="N459" s="208"/>
      <c r="O459" s="208"/>
      <c r="P459" s="208"/>
      <c r="Q459" s="208"/>
      <c r="R459" s="208"/>
      <c r="S459" s="208"/>
      <c r="T459" s="208"/>
      <c r="U459" s="208"/>
      <c r="V459" s="208"/>
      <c r="W459" s="232"/>
      <c r="X459" s="232"/>
      <c r="Y459" s="232"/>
      <c r="Z459" s="232"/>
      <c r="AA459" s="232"/>
      <c r="AB459" s="232"/>
      <c r="AC459" s="232"/>
      <c r="AD459" s="232"/>
      <c r="AE459" s="232"/>
      <c r="AF459" s="232"/>
      <c r="AG459" s="208"/>
      <c r="AH459" s="208"/>
      <c r="AI459" s="208"/>
      <c r="AJ459" s="208"/>
      <c r="AK459" s="208"/>
    </row>
    <row r="460">
      <c r="A460" s="234"/>
      <c r="B460" s="208"/>
      <c r="C460" s="208"/>
      <c r="D460" s="208"/>
      <c r="E460" s="208"/>
      <c r="F460" s="208"/>
      <c r="G460" s="208"/>
      <c r="H460" s="208"/>
      <c r="I460" s="233"/>
      <c r="J460" s="208"/>
      <c r="K460" s="208"/>
      <c r="L460" s="208"/>
      <c r="M460" s="208"/>
      <c r="N460" s="208"/>
      <c r="O460" s="208"/>
      <c r="P460" s="208"/>
      <c r="Q460" s="208"/>
      <c r="R460" s="208"/>
      <c r="S460" s="208"/>
      <c r="T460" s="208"/>
      <c r="U460" s="208"/>
      <c r="V460" s="208"/>
      <c r="W460" s="232"/>
      <c r="X460" s="232"/>
      <c r="Y460" s="232"/>
      <c r="Z460" s="232"/>
      <c r="AA460" s="232"/>
      <c r="AB460" s="232"/>
      <c r="AC460" s="232"/>
      <c r="AD460" s="232"/>
      <c r="AE460" s="232"/>
      <c r="AF460" s="232"/>
      <c r="AG460" s="208"/>
      <c r="AH460" s="208"/>
      <c r="AI460" s="208"/>
      <c r="AJ460" s="208"/>
      <c r="AK460" s="208"/>
    </row>
    <row r="461">
      <c r="A461" s="234"/>
      <c r="B461" s="208"/>
      <c r="C461" s="208"/>
      <c r="D461" s="208"/>
      <c r="E461" s="208"/>
      <c r="F461" s="208"/>
      <c r="G461" s="208"/>
      <c r="H461" s="208"/>
      <c r="I461" s="233"/>
      <c r="J461" s="208"/>
      <c r="K461" s="208"/>
      <c r="L461" s="208"/>
      <c r="M461" s="208"/>
      <c r="N461" s="208"/>
      <c r="O461" s="208"/>
      <c r="P461" s="208"/>
      <c r="Q461" s="208"/>
      <c r="R461" s="208"/>
      <c r="S461" s="208"/>
      <c r="T461" s="208"/>
      <c r="U461" s="208"/>
      <c r="V461" s="208"/>
      <c r="W461" s="232"/>
      <c r="X461" s="232"/>
      <c r="Y461" s="232"/>
      <c r="Z461" s="232"/>
      <c r="AA461" s="232"/>
      <c r="AB461" s="232"/>
      <c r="AC461" s="232"/>
      <c r="AD461" s="232"/>
      <c r="AE461" s="232"/>
      <c r="AF461" s="232"/>
      <c r="AG461" s="208"/>
      <c r="AH461" s="208"/>
      <c r="AI461" s="208"/>
      <c r="AJ461" s="208"/>
      <c r="AK461" s="208"/>
    </row>
    <row r="462">
      <c r="A462" s="234"/>
      <c r="B462" s="208"/>
      <c r="C462" s="208"/>
      <c r="D462" s="208"/>
      <c r="E462" s="208"/>
      <c r="F462" s="208"/>
      <c r="G462" s="208"/>
      <c r="H462" s="208"/>
      <c r="I462" s="233"/>
      <c r="J462" s="208"/>
      <c r="K462" s="208"/>
      <c r="L462" s="208"/>
      <c r="M462" s="208"/>
      <c r="N462" s="208"/>
      <c r="O462" s="208"/>
      <c r="P462" s="208"/>
      <c r="Q462" s="208"/>
      <c r="R462" s="208"/>
      <c r="S462" s="208"/>
      <c r="T462" s="208"/>
      <c r="U462" s="208"/>
      <c r="V462" s="208"/>
      <c r="W462" s="232"/>
      <c r="X462" s="232"/>
      <c r="Y462" s="232"/>
      <c r="Z462" s="232"/>
      <c r="AA462" s="232"/>
      <c r="AB462" s="232"/>
      <c r="AC462" s="232"/>
      <c r="AD462" s="232"/>
      <c r="AE462" s="232"/>
      <c r="AF462" s="232"/>
      <c r="AG462" s="208"/>
      <c r="AH462" s="208"/>
      <c r="AI462" s="208"/>
      <c r="AJ462" s="208"/>
      <c r="AK462" s="208"/>
    </row>
    <row r="463">
      <c r="A463" s="234"/>
      <c r="B463" s="208"/>
      <c r="C463" s="208"/>
      <c r="D463" s="208"/>
      <c r="E463" s="208"/>
      <c r="F463" s="208"/>
      <c r="G463" s="208"/>
      <c r="H463" s="208"/>
      <c r="I463" s="233"/>
      <c r="J463" s="208"/>
      <c r="K463" s="208"/>
      <c r="L463" s="208"/>
      <c r="M463" s="208"/>
      <c r="N463" s="208"/>
      <c r="O463" s="208"/>
      <c r="P463" s="208"/>
      <c r="Q463" s="208"/>
      <c r="R463" s="208"/>
      <c r="S463" s="208"/>
      <c r="T463" s="208"/>
      <c r="U463" s="208"/>
      <c r="V463" s="208"/>
      <c r="W463" s="232"/>
      <c r="X463" s="232"/>
      <c r="Y463" s="232"/>
      <c r="Z463" s="232"/>
      <c r="AA463" s="232"/>
      <c r="AB463" s="232"/>
      <c r="AC463" s="232"/>
      <c r="AD463" s="232"/>
      <c r="AE463" s="232"/>
      <c r="AF463" s="232"/>
      <c r="AG463" s="208"/>
      <c r="AH463" s="208"/>
      <c r="AI463" s="208"/>
      <c r="AJ463" s="208"/>
      <c r="AK463" s="208"/>
    </row>
    <row r="464">
      <c r="A464" s="234"/>
      <c r="B464" s="208"/>
      <c r="C464" s="208"/>
      <c r="D464" s="208"/>
      <c r="E464" s="208"/>
      <c r="F464" s="208"/>
      <c r="G464" s="208"/>
      <c r="H464" s="208"/>
      <c r="I464" s="233"/>
      <c r="J464" s="208"/>
      <c r="K464" s="208"/>
      <c r="L464" s="208"/>
      <c r="M464" s="208"/>
      <c r="N464" s="208"/>
      <c r="O464" s="208"/>
      <c r="P464" s="208"/>
      <c r="Q464" s="208"/>
      <c r="R464" s="208"/>
      <c r="S464" s="208"/>
      <c r="T464" s="208"/>
      <c r="U464" s="208"/>
      <c r="V464" s="208"/>
      <c r="W464" s="232"/>
      <c r="X464" s="232"/>
      <c r="Y464" s="232"/>
      <c r="Z464" s="232"/>
      <c r="AA464" s="232"/>
      <c r="AB464" s="232"/>
      <c r="AC464" s="232"/>
      <c r="AD464" s="232"/>
      <c r="AE464" s="232"/>
      <c r="AF464" s="232"/>
      <c r="AG464" s="208"/>
      <c r="AH464" s="208"/>
      <c r="AI464" s="208"/>
      <c r="AJ464" s="208"/>
      <c r="AK464" s="208"/>
    </row>
    <row r="465">
      <c r="A465" s="234"/>
      <c r="B465" s="208"/>
      <c r="C465" s="208"/>
      <c r="D465" s="208"/>
      <c r="E465" s="208"/>
      <c r="F465" s="208"/>
      <c r="G465" s="208"/>
      <c r="H465" s="208"/>
      <c r="I465" s="233"/>
      <c r="J465" s="208"/>
      <c r="K465" s="208"/>
      <c r="L465" s="208"/>
      <c r="M465" s="208"/>
      <c r="N465" s="208"/>
      <c r="O465" s="208"/>
      <c r="P465" s="208"/>
      <c r="Q465" s="208"/>
      <c r="R465" s="208"/>
      <c r="S465" s="208"/>
      <c r="T465" s="208"/>
      <c r="U465" s="208"/>
      <c r="V465" s="208"/>
      <c r="W465" s="232"/>
      <c r="X465" s="232"/>
      <c r="Y465" s="232"/>
      <c r="Z465" s="232"/>
      <c r="AA465" s="232"/>
      <c r="AB465" s="232"/>
      <c r="AC465" s="232"/>
      <c r="AD465" s="232"/>
      <c r="AE465" s="232"/>
      <c r="AF465" s="232"/>
      <c r="AG465" s="208"/>
      <c r="AH465" s="208"/>
      <c r="AI465" s="208"/>
      <c r="AJ465" s="208"/>
      <c r="AK465" s="208"/>
    </row>
    <row r="466">
      <c r="A466" s="234"/>
      <c r="B466" s="208"/>
      <c r="C466" s="208"/>
      <c r="D466" s="208"/>
      <c r="E466" s="208"/>
      <c r="F466" s="208"/>
      <c r="G466" s="208"/>
      <c r="H466" s="208"/>
      <c r="I466" s="233"/>
      <c r="J466" s="208"/>
      <c r="K466" s="208"/>
      <c r="L466" s="208"/>
      <c r="M466" s="208"/>
      <c r="N466" s="208"/>
      <c r="O466" s="208"/>
      <c r="P466" s="208"/>
      <c r="Q466" s="208"/>
      <c r="R466" s="208"/>
      <c r="S466" s="208"/>
      <c r="T466" s="208"/>
      <c r="U466" s="208"/>
      <c r="V466" s="208"/>
      <c r="W466" s="232"/>
      <c r="X466" s="232"/>
      <c r="Y466" s="232"/>
      <c r="Z466" s="232"/>
      <c r="AA466" s="232"/>
      <c r="AB466" s="232"/>
      <c r="AC466" s="232"/>
      <c r="AD466" s="232"/>
      <c r="AE466" s="232"/>
      <c r="AF466" s="232"/>
      <c r="AG466" s="208"/>
      <c r="AH466" s="208"/>
      <c r="AI466" s="208"/>
      <c r="AJ466" s="208"/>
      <c r="AK466" s="208"/>
    </row>
    <row r="467">
      <c r="A467" s="234"/>
      <c r="B467" s="208"/>
      <c r="C467" s="208"/>
      <c r="D467" s="208"/>
      <c r="E467" s="208"/>
      <c r="F467" s="208"/>
      <c r="G467" s="208"/>
      <c r="H467" s="208"/>
      <c r="I467" s="233"/>
      <c r="J467" s="208"/>
      <c r="K467" s="208"/>
      <c r="L467" s="208"/>
      <c r="M467" s="208"/>
      <c r="N467" s="208"/>
      <c r="O467" s="208"/>
      <c r="P467" s="208"/>
      <c r="Q467" s="208"/>
      <c r="R467" s="208"/>
      <c r="S467" s="208"/>
      <c r="T467" s="208"/>
      <c r="U467" s="208"/>
      <c r="V467" s="208"/>
      <c r="W467" s="232"/>
      <c r="X467" s="232"/>
      <c r="Y467" s="232"/>
      <c r="Z467" s="232"/>
      <c r="AA467" s="232"/>
      <c r="AB467" s="232"/>
      <c r="AC467" s="232"/>
      <c r="AD467" s="232"/>
      <c r="AE467" s="232"/>
      <c r="AF467" s="232"/>
      <c r="AG467" s="208"/>
      <c r="AH467" s="208"/>
      <c r="AI467" s="208"/>
      <c r="AJ467" s="208"/>
      <c r="AK467" s="208"/>
    </row>
    <row r="468">
      <c r="A468" s="234"/>
      <c r="B468" s="208"/>
      <c r="C468" s="208"/>
      <c r="D468" s="208"/>
      <c r="E468" s="208"/>
      <c r="F468" s="208"/>
      <c r="G468" s="208"/>
      <c r="H468" s="208"/>
      <c r="I468" s="233"/>
      <c r="J468" s="208"/>
      <c r="K468" s="208"/>
      <c r="L468" s="208"/>
      <c r="M468" s="208"/>
      <c r="N468" s="208"/>
      <c r="O468" s="208"/>
      <c r="P468" s="208"/>
      <c r="Q468" s="208"/>
      <c r="R468" s="208"/>
      <c r="S468" s="208"/>
      <c r="T468" s="208"/>
      <c r="U468" s="208"/>
      <c r="V468" s="208"/>
      <c r="W468" s="232"/>
      <c r="X468" s="232"/>
      <c r="Y468" s="232"/>
      <c r="Z468" s="232"/>
      <c r="AA468" s="232"/>
      <c r="AB468" s="232"/>
      <c r="AC468" s="232"/>
      <c r="AD468" s="232"/>
      <c r="AE468" s="232"/>
      <c r="AF468" s="232"/>
      <c r="AG468" s="208"/>
      <c r="AH468" s="208"/>
      <c r="AI468" s="208"/>
      <c r="AJ468" s="208"/>
      <c r="AK468" s="208"/>
    </row>
    <row r="469">
      <c r="A469" s="234"/>
      <c r="B469" s="208"/>
      <c r="C469" s="208"/>
      <c r="D469" s="208"/>
      <c r="E469" s="208"/>
      <c r="F469" s="208"/>
      <c r="G469" s="208"/>
      <c r="H469" s="208"/>
      <c r="I469" s="233"/>
      <c r="J469" s="208"/>
      <c r="K469" s="208"/>
      <c r="L469" s="208"/>
      <c r="M469" s="208"/>
      <c r="N469" s="208"/>
      <c r="O469" s="208"/>
      <c r="P469" s="208"/>
      <c r="Q469" s="208"/>
      <c r="R469" s="208"/>
      <c r="S469" s="208"/>
      <c r="T469" s="208"/>
      <c r="U469" s="208"/>
      <c r="V469" s="208"/>
      <c r="W469" s="232"/>
      <c r="X469" s="232"/>
      <c r="Y469" s="232"/>
      <c r="Z469" s="232"/>
      <c r="AA469" s="232"/>
      <c r="AB469" s="232"/>
      <c r="AC469" s="232"/>
      <c r="AD469" s="232"/>
      <c r="AE469" s="232"/>
      <c r="AF469" s="232"/>
      <c r="AG469" s="208"/>
      <c r="AH469" s="208"/>
      <c r="AI469" s="208"/>
      <c r="AJ469" s="208"/>
      <c r="AK469" s="208"/>
    </row>
    <row r="470">
      <c r="A470" s="234"/>
      <c r="B470" s="208"/>
      <c r="C470" s="208"/>
      <c r="D470" s="208"/>
      <c r="E470" s="208"/>
      <c r="F470" s="208"/>
      <c r="G470" s="208"/>
      <c r="H470" s="208"/>
      <c r="I470" s="233"/>
      <c r="J470" s="208"/>
      <c r="K470" s="208"/>
      <c r="L470" s="208"/>
      <c r="M470" s="208"/>
      <c r="N470" s="208"/>
      <c r="O470" s="208"/>
      <c r="P470" s="208"/>
      <c r="Q470" s="208"/>
      <c r="R470" s="208"/>
      <c r="S470" s="208"/>
      <c r="T470" s="208"/>
      <c r="U470" s="208"/>
      <c r="V470" s="208"/>
      <c r="W470" s="232"/>
      <c r="X470" s="232"/>
      <c r="Y470" s="232"/>
      <c r="Z470" s="232"/>
      <c r="AA470" s="232"/>
      <c r="AB470" s="232"/>
      <c r="AC470" s="232"/>
      <c r="AD470" s="232"/>
      <c r="AE470" s="232"/>
      <c r="AF470" s="232"/>
      <c r="AG470" s="208"/>
      <c r="AH470" s="208"/>
      <c r="AI470" s="208"/>
      <c r="AJ470" s="208"/>
      <c r="AK470" s="208"/>
    </row>
    <row r="471">
      <c r="A471" s="234"/>
      <c r="B471" s="208"/>
      <c r="C471" s="208"/>
      <c r="D471" s="208"/>
      <c r="E471" s="208"/>
      <c r="F471" s="208"/>
      <c r="G471" s="208"/>
      <c r="H471" s="208"/>
      <c r="I471" s="233"/>
      <c r="J471" s="208"/>
      <c r="K471" s="208"/>
      <c r="L471" s="208"/>
      <c r="M471" s="208"/>
      <c r="N471" s="208"/>
      <c r="O471" s="208"/>
      <c r="P471" s="208"/>
      <c r="Q471" s="208"/>
      <c r="R471" s="208"/>
      <c r="S471" s="208"/>
      <c r="T471" s="208"/>
      <c r="U471" s="208"/>
      <c r="V471" s="208"/>
      <c r="W471" s="232"/>
      <c r="X471" s="232"/>
      <c r="Y471" s="232"/>
      <c r="Z471" s="232"/>
      <c r="AA471" s="232"/>
      <c r="AB471" s="232"/>
      <c r="AC471" s="232"/>
      <c r="AD471" s="232"/>
      <c r="AE471" s="232"/>
      <c r="AF471" s="232"/>
      <c r="AG471" s="208"/>
      <c r="AH471" s="208"/>
      <c r="AI471" s="208"/>
      <c r="AJ471" s="208"/>
      <c r="AK471" s="208"/>
    </row>
    <row r="472">
      <c r="A472" s="234"/>
      <c r="B472" s="208"/>
      <c r="C472" s="208"/>
      <c r="D472" s="208"/>
      <c r="E472" s="208"/>
      <c r="F472" s="208"/>
      <c r="G472" s="208"/>
      <c r="H472" s="208"/>
      <c r="I472" s="233"/>
      <c r="J472" s="208"/>
      <c r="K472" s="208"/>
      <c r="L472" s="208"/>
      <c r="M472" s="208"/>
      <c r="N472" s="208"/>
      <c r="O472" s="208"/>
      <c r="P472" s="208"/>
      <c r="Q472" s="208"/>
      <c r="R472" s="208"/>
      <c r="S472" s="208"/>
      <c r="T472" s="208"/>
      <c r="U472" s="208"/>
      <c r="V472" s="208"/>
      <c r="W472" s="232"/>
      <c r="X472" s="232"/>
      <c r="Y472" s="232"/>
      <c r="Z472" s="232"/>
      <c r="AA472" s="232"/>
      <c r="AB472" s="232"/>
      <c r="AC472" s="232"/>
      <c r="AD472" s="232"/>
      <c r="AE472" s="232"/>
      <c r="AF472" s="232"/>
      <c r="AG472" s="208"/>
      <c r="AH472" s="208"/>
      <c r="AI472" s="208"/>
      <c r="AJ472" s="208"/>
      <c r="AK472" s="208"/>
    </row>
    <row r="473">
      <c r="A473" s="234"/>
      <c r="B473" s="208"/>
      <c r="C473" s="208"/>
      <c r="D473" s="208"/>
      <c r="E473" s="208"/>
      <c r="F473" s="208"/>
      <c r="G473" s="208"/>
      <c r="H473" s="208"/>
      <c r="I473" s="233"/>
      <c r="J473" s="208"/>
      <c r="K473" s="208"/>
      <c r="L473" s="208"/>
      <c r="M473" s="208"/>
      <c r="N473" s="208"/>
      <c r="O473" s="208"/>
      <c r="P473" s="208"/>
      <c r="Q473" s="208"/>
      <c r="R473" s="208"/>
      <c r="S473" s="208"/>
      <c r="T473" s="208"/>
      <c r="U473" s="208"/>
      <c r="V473" s="208"/>
      <c r="W473" s="232"/>
      <c r="X473" s="232"/>
      <c r="Y473" s="232"/>
      <c r="Z473" s="232"/>
      <c r="AA473" s="232"/>
      <c r="AB473" s="232"/>
      <c r="AC473" s="232"/>
      <c r="AD473" s="232"/>
      <c r="AE473" s="232"/>
      <c r="AF473" s="232"/>
      <c r="AG473" s="208"/>
      <c r="AH473" s="208"/>
      <c r="AI473" s="208"/>
      <c r="AJ473" s="208"/>
      <c r="AK473" s="208"/>
    </row>
    <row r="474">
      <c r="A474" s="234"/>
      <c r="B474" s="208"/>
      <c r="C474" s="208"/>
      <c r="D474" s="208"/>
      <c r="E474" s="208"/>
      <c r="F474" s="208"/>
      <c r="G474" s="208"/>
      <c r="H474" s="208"/>
      <c r="I474" s="233"/>
      <c r="J474" s="208"/>
      <c r="K474" s="208"/>
      <c r="L474" s="208"/>
      <c r="M474" s="208"/>
      <c r="N474" s="208"/>
      <c r="O474" s="208"/>
      <c r="P474" s="208"/>
      <c r="Q474" s="208"/>
      <c r="R474" s="208"/>
      <c r="S474" s="208"/>
      <c r="T474" s="208"/>
      <c r="U474" s="208"/>
      <c r="V474" s="208"/>
      <c r="W474" s="232"/>
      <c r="X474" s="232"/>
      <c r="Y474" s="232"/>
      <c r="Z474" s="232"/>
      <c r="AA474" s="232"/>
      <c r="AB474" s="232"/>
      <c r="AC474" s="232"/>
      <c r="AD474" s="232"/>
      <c r="AE474" s="232"/>
      <c r="AF474" s="232"/>
      <c r="AG474" s="208"/>
      <c r="AH474" s="208"/>
      <c r="AI474" s="208"/>
      <c r="AJ474" s="208"/>
      <c r="AK474" s="208"/>
    </row>
    <row r="475">
      <c r="A475" s="234"/>
      <c r="B475" s="208"/>
      <c r="C475" s="208"/>
      <c r="D475" s="208"/>
      <c r="E475" s="208"/>
      <c r="F475" s="208"/>
      <c r="G475" s="208"/>
      <c r="H475" s="208"/>
      <c r="I475" s="233"/>
      <c r="J475" s="208"/>
      <c r="K475" s="208"/>
      <c r="L475" s="208"/>
      <c r="M475" s="208"/>
      <c r="N475" s="208"/>
      <c r="O475" s="208"/>
      <c r="P475" s="208"/>
      <c r="Q475" s="208"/>
      <c r="R475" s="208"/>
      <c r="S475" s="208"/>
      <c r="T475" s="208"/>
      <c r="U475" s="208"/>
      <c r="V475" s="208"/>
      <c r="W475" s="232"/>
      <c r="X475" s="232"/>
      <c r="Y475" s="232"/>
      <c r="Z475" s="232"/>
      <c r="AA475" s="232"/>
      <c r="AB475" s="232"/>
      <c r="AC475" s="232"/>
      <c r="AD475" s="232"/>
      <c r="AE475" s="232"/>
      <c r="AF475" s="232"/>
      <c r="AG475" s="208"/>
      <c r="AH475" s="208"/>
      <c r="AI475" s="208"/>
      <c r="AJ475" s="208"/>
      <c r="AK475" s="208"/>
    </row>
    <row r="476">
      <c r="A476" s="234"/>
      <c r="B476" s="208"/>
      <c r="C476" s="208"/>
      <c r="D476" s="208"/>
      <c r="E476" s="208"/>
      <c r="F476" s="208"/>
      <c r="G476" s="208"/>
      <c r="H476" s="208"/>
      <c r="I476" s="233"/>
      <c r="J476" s="208"/>
      <c r="K476" s="208"/>
      <c r="L476" s="208"/>
      <c r="M476" s="208"/>
      <c r="N476" s="208"/>
      <c r="O476" s="208"/>
      <c r="P476" s="208"/>
      <c r="Q476" s="208"/>
      <c r="R476" s="208"/>
      <c r="S476" s="208"/>
      <c r="T476" s="208"/>
      <c r="U476" s="208"/>
      <c r="V476" s="208"/>
      <c r="W476" s="232"/>
      <c r="X476" s="232"/>
      <c r="Y476" s="232"/>
      <c r="Z476" s="232"/>
      <c r="AA476" s="232"/>
      <c r="AB476" s="232"/>
      <c r="AC476" s="232"/>
      <c r="AD476" s="232"/>
      <c r="AE476" s="232"/>
      <c r="AF476" s="232"/>
      <c r="AG476" s="208"/>
      <c r="AH476" s="208"/>
      <c r="AI476" s="208"/>
      <c r="AJ476" s="208"/>
      <c r="AK476" s="208"/>
    </row>
    <row r="477">
      <c r="A477" s="234"/>
      <c r="B477" s="208"/>
      <c r="C477" s="208"/>
      <c r="D477" s="208"/>
      <c r="E477" s="208"/>
      <c r="F477" s="208"/>
      <c r="G477" s="208"/>
      <c r="H477" s="208"/>
      <c r="I477" s="233"/>
      <c r="J477" s="208"/>
      <c r="K477" s="208"/>
      <c r="L477" s="208"/>
      <c r="M477" s="208"/>
      <c r="N477" s="208"/>
      <c r="O477" s="208"/>
      <c r="P477" s="208"/>
      <c r="Q477" s="208"/>
      <c r="R477" s="208"/>
      <c r="S477" s="208"/>
      <c r="T477" s="208"/>
      <c r="U477" s="208"/>
      <c r="V477" s="208"/>
      <c r="W477" s="232"/>
      <c r="X477" s="232"/>
      <c r="Y477" s="232"/>
      <c r="Z477" s="232"/>
      <c r="AA477" s="232"/>
      <c r="AB477" s="232"/>
      <c r="AC477" s="232"/>
      <c r="AD477" s="232"/>
      <c r="AE477" s="232"/>
      <c r="AF477" s="232"/>
      <c r="AG477" s="208"/>
      <c r="AH477" s="208"/>
      <c r="AI477" s="208"/>
      <c r="AJ477" s="208"/>
      <c r="AK477" s="208"/>
    </row>
    <row r="478">
      <c r="A478" s="234"/>
      <c r="B478" s="208"/>
      <c r="C478" s="208"/>
      <c r="D478" s="208"/>
      <c r="E478" s="208"/>
      <c r="F478" s="208"/>
      <c r="G478" s="208"/>
      <c r="H478" s="208"/>
      <c r="I478" s="233"/>
      <c r="J478" s="208"/>
      <c r="K478" s="208"/>
      <c r="L478" s="208"/>
      <c r="M478" s="208"/>
      <c r="N478" s="208"/>
      <c r="O478" s="208"/>
      <c r="P478" s="208"/>
      <c r="Q478" s="208"/>
      <c r="R478" s="208"/>
      <c r="S478" s="208"/>
      <c r="T478" s="208"/>
      <c r="U478" s="208"/>
      <c r="V478" s="208"/>
      <c r="W478" s="232"/>
      <c r="X478" s="232"/>
      <c r="Y478" s="232"/>
      <c r="Z478" s="232"/>
      <c r="AA478" s="232"/>
      <c r="AB478" s="232"/>
      <c r="AC478" s="232"/>
      <c r="AD478" s="232"/>
      <c r="AE478" s="232"/>
      <c r="AF478" s="232"/>
      <c r="AG478" s="208"/>
      <c r="AH478" s="208"/>
      <c r="AI478" s="208"/>
      <c r="AJ478" s="208"/>
      <c r="AK478" s="208"/>
    </row>
    <row r="479">
      <c r="A479" s="234"/>
      <c r="B479" s="208"/>
      <c r="C479" s="208"/>
      <c r="D479" s="208"/>
      <c r="E479" s="208"/>
      <c r="F479" s="208"/>
      <c r="G479" s="208"/>
      <c r="H479" s="208"/>
      <c r="I479" s="233"/>
      <c r="J479" s="208"/>
      <c r="K479" s="208"/>
      <c r="L479" s="208"/>
      <c r="M479" s="208"/>
      <c r="N479" s="208"/>
      <c r="O479" s="208"/>
      <c r="P479" s="208"/>
      <c r="Q479" s="208"/>
      <c r="R479" s="208"/>
      <c r="S479" s="208"/>
      <c r="T479" s="208"/>
      <c r="U479" s="208"/>
      <c r="V479" s="208"/>
      <c r="W479" s="232"/>
      <c r="X479" s="232"/>
      <c r="Y479" s="232"/>
      <c r="Z479" s="232"/>
      <c r="AA479" s="232"/>
      <c r="AB479" s="232"/>
      <c r="AC479" s="232"/>
      <c r="AD479" s="232"/>
      <c r="AE479" s="232"/>
      <c r="AF479" s="232"/>
      <c r="AG479" s="208"/>
      <c r="AH479" s="208"/>
      <c r="AI479" s="208"/>
      <c r="AJ479" s="208"/>
      <c r="AK479" s="208"/>
    </row>
    <row r="480">
      <c r="A480" s="234"/>
      <c r="B480" s="208"/>
      <c r="C480" s="208"/>
      <c r="D480" s="208"/>
      <c r="E480" s="208"/>
      <c r="F480" s="208"/>
      <c r="G480" s="208"/>
      <c r="H480" s="208"/>
      <c r="I480" s="233"/>
      <c r="J480" s="208"/>
      <c r="K480" s="208"/>
      <c r="L480" s="208"/>
      <c r="M480" s="208"/>
      <c r="N480" s="208"/>
      <c r="O480" s="208"/>
      <c r="P480" s="208"/>
      <c r="Q480" s="208"/>
      <c r="R480" s="208"/>
      <c r="S480" s="208"/>
      <c r="T480" s="208"/>
      <c r="U480" s="208"/>
      <c r="V480" s="208"/>
      <c r="W480" s="232"/>
      <c r="X480" s="232"/>
      <c r="Y480" s="232"/>
      <c r="Z480" s="232"/>
      <c r="AA480" s="232"/>
      <c r="AB480" s="232"/>
      <c r="AC480" s="232"/>
      <c r="AD480" s="232"/>
      <c r="AE480" s="232"/>
      <c r="AF480" s="232"/>
      <c r="AG480" s="208"/>
      <c r="AH480" s="208"/>
      <c r="AI480" s="208"/>
      <c r="AJ480" s="208"/>
      <c r="AK480" s="208"/>
    </row>
    <row r="481">
      <c r="A481" s="234"/>
      <c r="B481" s="208"/>
      <c r="C481" s="208"/>
      <c r="D481" s="208"/>
      <c r="E481" s="208"/>
      <c r="F481" s="208"/>
      <c r="G481" s="208"/>
      <c r="H481" s="208"/>
      <c r="I481" s="233"/>
      <c r="J481" s="208"/>
      <c r="K481" s="208"/>
      <c r="L481" s="208"/>
      <c r="M481" s="208"/>
      <c r="N481" s="208"/>
      <c r="O481" s="208"/>
      <c r="P481" s="208"/>
      <c r="Q481" s="208"/>
      <c r="R481" s="208"/>
      <c r="S481" s="208"/>
      <c r="T481" s="208"/>
      <c r="U481" s="208"/>
      <c r="V481" s="208"/>
      <c r="W481" s="232"/>
      <c r="X481" s="232"/>
      <c r="Y481" s="232"/>
      <c r="Z481" s="232"/>
      <c r="AA481" s="232"/>
      <c r="AB481" s="232"/>
      <c r="AC481" s="232"/>
      <c r="AD481" s="232"/>
      <c r="AE481" s="232"/>
      <c r="AF481" s="232"/>
      <c r="AG481" s="208"/>
      <c r="AH481" s="208"/>
      <c r="AI481" s="208"/>
      <c r="AJ481" s="208"/>
      <c r="AK481" s="208"/>
    </row>
    <row r="482">
      <c r="A482" s="234"/>
      <c r="B482" s="208"/>
      <c r="C482" s="208"/>
      <c r="D482" s="208"/>
      <c r="E482" s="208"/>
      <c r="F482" s="208"/>
      <c r="G482" s="208"/>
      <c r="H482" s="208"/>
      <c r="I482" s="233"/>
      <c r="J482" s="208"/>
      <c r="K482" s="208"/>
      <c r="L482" s="208"/>
      <c r="M482" s="208"/>
      <c r="N482" s="208"/>
      <c r="O482" s="208"/>
      <c r="P482" s="208"/>
      <c r="Q482" s="208"/>
      <c r="R482" s="208"/>
      <c r="S482" s="208"/>
      <c r="T482" s="208"/>
      <c r="U482" s="208"/>
      <c r="V482" s="208"/>
      <c r="W482" s="232"/>
      <c r="X482" s="232"/>
      <c r="Y482" s="232"/>
      <c r="Z482" s="232"/>
      <c r="AA482" s="232"/>
      <c r="AB482" s="232"/>
      <c r="AC482" s="232"/>
      <c r="AD482" s="232"/>
      <c r="AE482" s="232"/>
      <c r="AF482" s="232"/>
      <c r="AG482" s="208"/>
      <c r="AH482" s="208"/>
      <c r="AI482" s="208"/>
      <c r="AJ482" s="208"/>
      <c r="AK482" s="208"/>
    </row>
    <row r="483">
      <c r="A483" s="234"/>
      <c r="B483" s="208"/>
      <c r="C483" s="208"/>
      <c r="D483" s="208"/>
      <c r="E483" s="208"/>
      <c r="F483" s="208"/>
      <c r="G483" s="208"/>
      <c r="H483" s="208"/>
      <c r="I483" s="233"/>
      <c r="J483" s="208"/>
      <c r="K483" s="208"/>
      <c r="L483" s="208"/>
      <c r="M483" s="208"/>
      <c r="N483" s="208"/>
      <c r="O483" s="208"/>
      <c r="P483" s="208"/>
      <c r="Q483" s="208"/>
      <c r="R483" s="208"/>
      <c r="S483" s="208"/>
      <c r="T483" s="208"/>
      <c r="U483" s="208"/>
      <c r="V483" s="208"/>
      <c r="W483" s="232"/>
      <c r="X483" s="232"/>
      <c r="Y483" s="232"/>
      <c r="Z483" s="232"/>
      <c r="AA483" s="232"/>
      <c r="AB483" s="232"/>
      <c r="AC483" s="232"/>
      <c r="AD483" s="232"/>
      <c r="AE483" s="232"/>
      <c r="AF483" s="232"/>
      <c r="AG483" s="208"/>
      <c r="AH483" s="208"/>
      <c r="AI483" s="208"/>
      <c r="AJ483" s="208"/>
      <c r="AK483" s="208"/>
    </row>
    <row r="484">
      <c r="A484" s="234"/>
      <c r="B484" s="208"/>
      <c r="C484" s="208"/>
      <c r="D484" s="208"/>
      <c r="E484" s="208"/>
      <c r="F484" s="208"/>
      <c r="G484" s="208"/>
      <c r="H484" s="208"/>
      <c r="I484" s="233"/>
      <c r="J484" s="208"/>
      <c r="K484" s="208"/>
      <c r="L484" s="208"/>
      <c r="M484" s="208"/>
      <c r="N484" s="208"/>
      <c r="O484" s="208"/>
      <c r="P484" s="208"/>
      <c r="Q484" s="208"/>
      <c r="R484" s="208"/>
      <c r="S484" s="208"/>
      <c r="T484" s="208"/>
      <c r="U484" s="208"/>
      <c r="V484" s="208"/>
      <c r="W484" s="232"/>
      <c r="X484" s="232"/>
      <c r="Y484" s="232"/>
      <c r="Z484" s="232"/>
      <c r="AA484" s="232"/>
      <c r="AB484" s="232"/>
      <c r="AC484" s="232"/>
      <c r="AD484" s="232"/>
      <c r="AE484" s="232"/>
      <c r="AF484" s="232"/>
      <c r="AG484" s="208"/>
      <c r="AH484" s="208"/>
      <c r="AI484" s="208"/>
      <c r="AJ484" s="208"/>
      <c r="AK484" s="208"/>
    </row>
    <row r="485">
      <c r="A485" s="234"/>
      <c r="B485" s="208"/>
      <c r="C485" s="208"/>
      <c r="D485" s="208"/>
      <c r="E485" s="208"/>
      <c r="F485" s="208"/>
      <c r="G485" s="208"/>
      <c r="H485" s="208"/>
      <c r="I485" s="233"/>
      <c r="J485" s="208"/>
      <c r="K485" s="208"/>
      <c r="L485" s="208"/>
      <c r="M485" s="208"/>
      <c r="N485" s="208"/>
      <c r="O485" s="208"/>
      <c r="P485" s="208"/>
      <c r="Q485" s="208"/>
      <c r="R485" s="208"/>
      <c r="S485" s="208"/>
      <c r="T485" s="208"/>
      <c r="U485" s="208"/>
      <c r="V485" s="208"/>
      <c r="W485" s="232"/>
      <c r="X485" s="232"/>
      <c r="Y485" s="232"/>
      <c r="Z485" s="232"/>
      <c r="AA485" s="232"/>
      <c r="AB485" s="232"/>
      <c r="AC485" s="232"/>
      <c r="AD485" s="232"/>
      <c r="AE485" s="232"/>
      <c r="AF485" s="232"/>
      <c r="AG485" s="208"/>
      <c r="AH485" s="208"/>
      <c r="AI485" s="208"/>
      <c r="AJ485" s="208"/>
      <c r="AK485" s="208"/>
    </row>
    <row r="486">
      <c r="A486" s="234"/>
      <c r="B486" s="208"/>
      <c r="C486" s="208"/>
      <c r="D486" s="208"/>
      <c r="E486" s="208"/>
      <c r="F486" s="208"/>
      <c r="G486" s="208"/>
      <c r="H486" s="208"/>
      <c r="I486" s="233"/>
      <c r="J486" s="208"/>
      <c r="K486" s="208"/>
      <c r="L486" s="208"/>
      <c r="M486" s="208"/>
      <c r="N486" s="208"/>
      <c r="O486" s="208"/>
      <c r="P486" s="208"/>
      <c r="Q486" s="208"/>
      <c r="R486" s="208"/>
      <c r="S486" s="208"/>
      <c r="T486" s="208"/>
      <c r="U486" s="208"/>
      <c r="V486" s="208"/>
      <c r="W486" s="232"/>
      <c r="X486" s="232"/>
      <c r="Y486" s="232"/>
      <c r="Z486" s="232"/>
      <c r="AA486" s="232"/>
      <c r="AB486" s="232"/>
      <c r="AC486" s="232"/>
      <c r="AD486" s="232"/>
      <c r="AE486" s="232"/>
      <c r="AF486" s="232"/>
      <c r="AG486" s="208"/>
      <c r="AH486" s="208"/>
      <c r="AI486" s="208"/>
      <c r="AJ486" s="208"/>
      <c r="AK486" s="208"/>
    </row>
    <row r="487">
      <c r="A487" s="234"/>
      <c r="B487" s="208"/>
      <c r="C487" s="208"/>
      <c r="D487" s="208"/>
      <c r="E487" s="208"/>
      <c r="F487" s="208"/>
      <c r="G487" s="208"/>
      <c r="H487" s="208"/>
      <c r="I487" s="233"/>
      <c r="J487" s="208"/>
      <c r="K487" s="208"/>
      <c r="L487" s="208"/>
      <c r="M487" s="208"/>
      <c r="N487" s="208"/>
      <c r="O487" s="208"/>
      <c r="P487" s="208"/>
      <c r="Q487" s="208"/>
      <c r="R487" s="208"/>
      <c r="S487" s="208"/>
      <c r="T487" s="208"/>
      <c r="U487" s="208"/>
      <c r="V487" s="208"/>
      <c r="W487" s="232"/>
      <c r="X487" s="232"/>
      <c r="Y487" s="232"/>
      <c r="Z487" s="232"/>
      <c r="AA487" s="232"/>
      <c r="AB487" s="232"/>
      <c r="AC487" s="232"/>
      <c r="AD487" s="232"/>
      <c r="AE487" s="232"/>
      <c r="AF487" s="232"/>
      <c r="AG487" s="208"/>
      <c r="AH487" s="208"/>
      <c r="AI487" s="208"/>
      <c r="AJ487" s="208"/>
      <c r="AK487" s="208"/>
    </row>
    <row r="488">
      <c r="A488" s="234"/>
      <c r="B488" s="208"/>
      <c r="C488" s="208"/>
      <c r="D488" s="208"/>
      <c r="E488" s="208"/>
      <c r="F488" s="208"/>
      <c r="G488" s="208"/>
      <c r="H488" s="208"/>
      <c r="I488" s="233"/>
      <c r="J488" s="208"/>
      <c r="K488" s="208"/>
      <c r="L488" s="208"/>
      <c r="M488" s="208"/>
      <c r="N488" s="208"/>
      <c r="O488" s="208"/>
      <c r="P488" s="208"/>
      <c r="Q488" s="208"/>
      <c r="R488" s="208"/>
      <c r="S488" s="208"/>
      <c r="T488" s="208"/>
      <c r="U488" s="208"/>
      <c r="V488" s="208"/>
      <c r="W488" s="232"/>
      <c r="X488" s="232"/>
      <c r="Y488" s="232"/>
      <c r="Z488" s="232"/>
      <c r="AA488" s="232"/>
      <c r="AB488" s="232"/>
      <c r="AC488" s="232"/>
      <c r="AD488" s="232"/>
      <c r="AE488" s="232"/>
      <c r="AF488" s="232"/>
      <c r="AG488" s="208"/>
      <c r="AH488" s="208"/>
      <c r="AI488" s="208"/>
      <c r="AJ488" s="208"/>
      <c r="AK488" s="208"/>
    </row>
    <row r="489">
      <c r="A489" s="234"/>
      <c r="B489" s="208"/>
      <c r="C489" s="208"/>
      <c r="D489" s="208"/>
      <c r="E489" s="208"/>
      <c r="F489" s="208"/>
      <c r="G489" s="208"/>
      <c r="H489" s="208"/>
      <c r="I489" s="233"/>
      <c r="J489" s="208"/>
      <c r="K489" s="208"/>
      <c r="L489" s="208"/>
      <c r="M489" s="208"/>
      <c r="N489" s="208"/>
      <c r="O489" s="208"/>
      <c r="P489" s="208"/>
      <c r="Q489" s="208"/>
      <c r="R489" s="208"/>
      <c r="S489" s="208"/>
      <c r="T489" s="208"/>
      <c r="U489" s="208"/>
      <c r="V489" s="208"/>
      <c r="W489" s="232"/>
      <c r="X489" s="232"/>
      <c r="Y489" s="232"/>
      <c r="Z489" s="232"/>
      <c r="AA489" s="232"/>
      <c r="AB489" s="232"/>
      <c r="AC489" s="232"/>
      <c r="AD489" s="232"/>
      <c r="AE489" s="232"/>
      <c r="AF489" s="232"/>
      <c r="AG489" s="208"/>
      <c r="AH489" s="208"/>
      <c r="AI489" s="208"/>
      <c r="AJ489" s="208"/>
      <c r="AK489" s="208"/>
    </row>
    <row r="490">
      <c r="A490" s="234"/>
      <c r="B490" s="208"/>
      <c r="C490" s="208"/>
      <c r="D490" s="208"/>
      <c r="E490" s="208"/>
      <c r="F490" s="208"/>
      <c r="G490" s="208"/>
      <c r="H490" s="208"/>
      <c r="I490" s="233"/>
      <c r="J490" s="208"/>
      <c r="K490" s="208"/>
      <c r="L490" s="208"/>
      <c r="M490" s="208"/>
      <c r="N490" s="208"/>
      <c r="O490" s="208"/>
      <c r="P490" s="208"/>
      <c r="Q490" s="208"/>
      <c r="R490" s="208"/>
      <c r="S490" s="208"/>
      <c r="T490" s="208"/>
      <c r="U490" s="208"/>
      <c r="V490" s="208"/>
      <c r="W490" s="232"/>
      <c r="X490" s="232"/>
      <c r="Y490" s="232"/>
      <c r="Z490" s="232"/>
      <c r="AA490" s="232"/>
      <c r="AB490" s="232"/>
      <c r="AC490" s="232"/>
      <c r="AD490" s="232"/>
      <c r="AE490" s="232"/>
      <c r="AF490" s="232"/>
      <c r="AG490" s="208"/>
      <c r="AH490" s="208"/>
      <c r="AI490" s="208"/>
      <c r="AJ490" s="208"/>
      <c r="AK490" s="208"/>
    </row>
    <row r="491">
      <c r="A491" s="234"/>
      <c r="B491" s="208"/>
      <c r="C491" s="208"/>
      <c r="D491" s="208"/>
      <c r="E491" s="208"/>
      <c r="F491" s="208"/>
      <c r="G491" s="208"/>
      <c r="H491" s="208"/>
      <c r="I491" s="233"/>
      <c r="J491" s="208"/>
      <c r="K491" s="208"/>
      <c r="L491" s="208"/>
      <c r="M491" s="208"/>
      <c r="N491" s="208"/>
      <c r="O491" s="208"/>
      <c r="P491" s="208"/>
      <c r="Q491" s="208"/>
      <c r="R491" s="208"/>
      <c r="S491" s="208"/>
      <c r="T491" s="208"/>
      <c r="U491" s="208"/>
      <c r="V491" s="208"/>
      <c r="W491" s="232"/>
      <c r="X491" s="232"/>
      <c r="Y491" s="232"/>
      <c r="Z491" s="232"/>
      <c r="AA491" s="232"/>
      <c r="AB491" s="232"/>
      <c r="AC491" s="232"/>
      <c r="AD491" s="232"/>
      <c r="AE491" s="232"/>
      <c r="AF491" s="232"/>
      <c r="AG491" s="208"/>
      <c r="AH491" s="208"/>
      <c r="AI491" s="208"/>
      <c r="AJ491" s="208"/>
      <c r="AK491" s="208"/>
    </row>
    <row r="492">
      <c r="A492" s="234"/>
      <c r="B492" s="208"/>
      <c r="C492" s="208"/>
      <c r="D492" s="208"/>
      <c r="E492" s="208"/>
      <c r="F492" s="208"/>
      <c r="G492" s="208"/>
      <c r="H492" s="208"/>
      <c r="I492" s="233"/>
      <c r="J492" s="208"/>
      <c r="K492" s="208"/>
      <c r="L492" s="208"/>
      <c r="M492" s="208"/>
      <c r="N492" s="208"/>
      <c r="O492" s="208"/>
      <c r="P492" s="208"/>
      <c r="Q492" s="208"/>
      <c r="R492" s="208"/>
      <c r="S492" s="208"/>
      <c r="T492" s="208"/>
      <c r="U492" s="208"/>
      <c r="V492" s="208"/>
      <c r="W492" s="232"/>
      <c r="X492" s="232"/>
      <c r="Y492" s="232"/>
      <c r="Z492" s="232"/>
      <c r="AA492" s="232"/>
      <c r="AB492" s="232"/>
      <c r="AC492" s="232"/>
      <c r="AD492" s="232"/>
      <c r="AE492" s="232"/>
      <c r="AF492" s="232"/>
      <c r="AG492" s="208"/>
      <c r="AH492" s="208"/>
      <c r="AI492" s="208"/>
      <c r="AJ492" s="208"/>
      <c r="AK492" s="208"/>
    </row>
    <row r="493">
      <c r="A493" s="234"/>
      <c r="B493" s="208"/>
      <c r="C493" s="208"/>
      <c r="D493" s="208"/>
      <c r="E493" s="208"/>
      <c r="F493" s="208"/>
      <c r="G493" s="208"/>
      <c r="H493" s="208"/>
      <c r="I493" s="233"/>
      <c r="J493" s="208"/>
      <c r="K493" s="208"/>
      <c r="L493" s="208"/>
      <c r="M493" s="208"/>
      <c r="N493" s="208"/>
      <c r="O493" s="208"/>
      <c r="P493" s="208"/>
      <c r="Q493" s="208"/>
      <c r="R493" s="208"/>
      <c r="S493" s="208"/>
      <c r="T493" s="208"/>
      <c r="U493" s="208"/>
      <c r="V493" s="208"/>
      <c r="W493" s="232"/>
      <c r="X493" s="232"/>
      <c r="Y493" s="232"/>
      <c r="Z493" s="232"/>
      <c r="AA493" s="232"/>
      <c r="AB493" s="232"/>
      <c r="AC493" s="232"/>
      <c r="AD493" s="232"/>
      <c r="AE493" s="232"/>
      <c r="AF493" s="232"/>
      <c r="AG493" s="208"/>
      <c r="AH493" s="208"/>
      <c r="AI493" s="208"/>
      <c r="AJ493" s="208"/>
      <c r="AK493" s="208"/>
    </row>
    <row r="494">
      <c r="A494" s="234"/>
      <c r="B494" s="208"/>
      <c r="C494" s="208"/>
      <c r="D494" s="208"/>
      <c r="E494" s="208"/>
      <c r="F494" s="208"/>
      <c r="G494" s="208"/>
      <c r="H494" s="208"/>
      <c r="I494" s="233"/>
      <c r="J494" s="208"/>
      <c r="K494" s="208"/>
      <c r="L494" s="208"/>
      <c r="M494" s="208"/>
      <c r="N494" s="208"/>
      <c r="O494" s="208"/>
      <c r="P494" s="208"/>
      <c r="Q494" s="208"/>
      <c r="R494" s="208"/>
      <c r="S494" s="208"/>
      <c r="T494" s="208"/>
      <c r="U494" s="208"/>
      <c r="V494" s="208"/>
      <c r="W494" s="232"/>
      <c r="X494" s="232"/>
      <c r="Y494" s="232"/>
      <c r="Z494" s="232"/>
      <c r="AA494" s="232"/>
      <c r="AB494" s="232"/>
      <c r="AC494" s="232"/>
      <c r="AD494" s="232"/>
      <c r="AE494" s="232"/>
      <c r="AF494" s="232"/>
      <c r="AG494" s="208"/>
      <c r="AH494" s="208"/>
      <c r="AI494" s="208"/>
      <c r="AJ494" s="208"/>
      <c r="AK494" s="208"/>
    </row>
    <row r="495">
      <c r="A495" s="234"/>
      <c r="B495" s="208"/>
      <c r="C495" s="208"/>
      <c r="D495" s="208"/>
      <c r="E495" s="208"/>
      <c r="F495" s="208"/>
      <c r="G495" s="208"/>
      <c r="H495" s="208"/>
      <c r="I495" s="233"/>
      <c r="J495" s="208"/>
      <c r="K495" s="208"/>
      <c r="L495" s="208"/>
      <c r="M495" s="208"/>
      <c r="N495" s="208"/>
      <c r="O495" s="208"/>
      <c r="P495" s="208"/>
      <c r="Q495" s="208"/>
      <c r="R495" s="208"/>
      <c r="S495" s="208"/>
      <c r="T495" s="208"/>
      <c r="U495" s="208"/>
      <c r="V495" s="208"/>
      <c r="W495" s="232"/>
      <c r="X495" s="232"/>
      <c r="Y495" s="232"/>
      <c r="Z495" s="232"/>
      <c r="AA495" s="232"/>
      <c r="AB495" s="232"/>
      <c r="AC495" s="232"/>
      <c r="AD495" s="232"/>
      <c r="AE495" s="232"/>
      <c r="AF495" s="232"/>
      <c r="AG495" s="208"/>
      <c r="AH495" s="208"/>
      <c r="AI495" s="208"/>
      <c r="AJ495" s="208"/>
      <c r="AK495" s="208"/>
    </row>
    <row r="496">
      <c r="A496" s="234"/>
      <c r="B496" s="208"/>
      <c r="C496" s="208"/>
      <c r="D496" s="208"/>
      <c r="E496" s="208"/>
      <c r="F496" s="208"/>
      <c r="G496" s="208"/>
      <c r="H496" s="208"/>
      <c r="I496" s="233"/>
      <c r="J496" s="208"/>
      <c r="K496" s="208"/>
      <c r="L496" s="208"/>
      <c r="M496" s="208"/>
      <c r="N496" s="208"/>
      <c r="O496" s="208"/>
      <c r="P496" s="208"/>
      <c r="Q496" s="208"/>
      <c r="R496" s="208"/>
      <c r="S496" s="208"/>
      <c r="T496" s="208"/>
      <c r="U496" s="208"/>
      <c r="V496" s="208"/>
      <c r="W496" s="232"/>
      <c r="X496" s="232"/>
      <c r="Y496" s="232"/>
      <c r="Z496" s="232"/>
      <c r="AA496" s="232"/>
      <c r="AB496" s="232"/>
      <c r="AC496" s="232"/>
      <c r="AD496" s="232"/>
      <c r="AE496" s="232"/>
      <c r="AF496" s="232"/>
      <c r="AG496" s="208"/>
      <c r="AH496" s="208"/>
      <c r="AI496" s="208"/>
      <c r="AJ496" s="208"/>
      <c r="AK496" s="208"/>
    </row>
    <row r="497">
      <c r="A497" s="234"/>
      <c r="B497" s="208"/>
      <c r="C497" s="208"/>
      <c r="D497" s="208"/>
      <c r="E497" s="208"/>
      <c r="F497" s="208"/>
      <c r="G497" s="208"/>
      <c r="H497" s="208"/>
      <c r="I497" s="233"/>
      <c r="J497" s="208"/>
      <c r="K497" s="208"/>
      <c r="L497" s="208"/>
      <c r="M497" s="208"/>
      <c r="N497" s="208"/>
      <c r="O497" s="208"/>
      <c r="P497" s="208"/>
      <c r="Q497" s="208"/>
      <c r="R497" s="208"/>
      <c r="S497" s="208"/>
      <c r="T497" s="208"/>
      <c r="U497" s="208"/>
      <c r="V497" s="208"/>
      <c r="W497" s="232"/>
      <c r="X497" s="232"/>
      <c r="Y497" s="232"/>
      <c r="Z497" s="232"/>
      <c r="AA497" s="232"/>
      <c r="AB497" s="232"/>
      <c r="AC497" s="232"/>
      <c r="AD497" s="232"/>
      <c r="AE497" s="232"/>
      <c r="AF497" s="232"/>
      <c r="AG497" s="208"/>
      <c r="AH497" s="208"/>
      <c r="AI497" s="208"/>
      <c r="AJ497" s="208"/>
      <c r="AK497" s="208"/>
    </row>
    <row r="498">
      <c r="A498" s="234"/>
      <c r="B498" s="208"/>
      <c r="C498" s="208"/>
      <c r="D498" s="208"/>
      <c r="E498" s="208"/>
      <c r="F498" s="208"/>
      <c r="G498" s="208"/>
      <c r="H498" s="208"/>
      <c r="I498" s="233"/>
      <c r="J498" s="208"/>
      <c r="K498" s="208"/>
      <c r="L498" s="208"/>
      <c r="M498" s="208"/>
      <c r="N498" s="208"/>
      <c r="O498" s="208"/>
      <c r="P498" s="208"/>
      <c r="Q498" s="208"/>
      <c r="R498" s="208"/>
      <c r="S498" s="208"/>
      <c r="T498" s="208"/>
      <c r="U498" s="208"/>
      <c r="V498" s="208"/>
      <c r="W498" s="232"/>
      <c r="X498" s="232"/>
      <c r="Y498" s="232"/>
      <c r="Z498" s="232"/>
      <c r="AA498" s="232"/>
      <c r="AB498" s="232"/>
      <c r="AC498" s="232"/>
      <c r="AD498" s="232"/>
      <c r="AE498" s="232"/>
      <c r="AF498" s="232"/>
      <c r="AG498" s="208"/>
      <c r="AH498" s="208"/>
      <c r="AI498" s="208"/>
      <c r="AJ498" s="208"/>
      <c r="AK498" s="208"/>
    </row>
    <row r="499">
      <c r="A499" s="234"/>
      <c r="B499" s="208"/>
      <c r="C499" s="208"/>
      <c r="D499" s="208"/>
      <c r="E499" s="208"/>
      <c r="F499" s="208"/>
      <c r="G499" s="208"/>
      <c r="H499" s="208"/>
      <c r="I499" s="233"/>
      <c r="J499" s="208"/>
      <c r="K499" s="208"/>
      <c r="L499" s="208"/>
      <c r="M499" s="208"/>
      <c r="N499" s="208"/>
      <c r="O499" s="208"/>
      <c r="P499" s="208"/>
      <c r="Q499" s="208"/>
      <c r="R499" s="208"/>
      <c r="S499" s="208"/>
      <c r="T499" s="208"/>
      <c r="U499" s="208"/>
      <c r="V499" s="208"/>
      <c r="W499" s="232"/>
      <c r="X499" s="232"/>
      <c r="Y499" s="232"/>
      <c r="Z499" s="232"/>
      <c r="AA499" s="232"/>
      <c r="AB499" s="232"/>
      <c r="AC499" s="232"/>
      <c r="AD499" s="232"/>
      <c r="AE499" s="232"/>
      <c r="AF499" s="232"/>
      <c r="AG499" s="208"/>
      <c r="AH499" s="208"/>
      <c r="AI499" s="208"/>
      <c r="AJ499" s="208"/>
      <c r="AK499" s="208"/>
    </row>
    <row r="500">
      <c r="A500" s="234"/>
      <c r="B500" s="208"/>
      <c r="C500" s="208"/>
      <c r="D500" s="208"/>
      <c r="E500" s="208"/>
      <c r="F500" s="208"/>
      <c r="G500" s="208"/>
      <c r="H500" s="208"/>
      <c r="I500" s="233"/>
      <c r="J500" s="208"/>
      <c r="K500" s="208"/>
      <c r="L500" s="208"/>
      <c r="M500" s="208"/>
      <c r="N500" s="208"/>
      <c r="O500" s="208"/>
      <c r="P500" s="208"/>
      <c r="Q500" s="208"/>
      <c r="R500" s="208"/>
      <c r="S500" s="208"/>
      <c r="T500" s="208"/>
      <c r="U500" s="208"/>
      <c r="V500" s="208"/>
      <c r="W500" s="232"/>
      <c r="X500" s="232"/>
      <c r="Y500" s="232"/>
      <c r="Z500" s="232"/>
      <c r="AA500" s="232"/>
      <c r="AB500" s="232"/>
      <c r="AC500" s="232"/>
      <c r="AD500" s="232"/>
      <c r="AE500" s="232"/>
      <c r="AF500" s="232"/>
      <c r="AG500" s="208"/>
      <c r="AH500" s="208"/>
      <c r="AI500" s="208"/>
      <c r="AJ500" s="208"/>
      <c r="AK500" s="208"/>
    </row>
    <row r="501">
      <c r="A501" s="234"/>
      <c r="B501" s="208"/>
      <c r="C501" s="208"/>
      <c r="D501" s="208"/>
      <c r="E501" s="208"/>
      <c r="F501" s="208"/>
      <c r="G501" s="208"/>
      <c r="H501" s="208"/>
      <c r="I501" s="233"/>
      <c r="J501" s="208"/>
      <c r="K501" s="208"/>
      <c r="L501" s="208"/>
      <c r="M501" s="208"/>
      <c r="N501" s="208"/>
      <c r="O501" s="208"/>
      <c r="P501" s="208"/>
      <c r="Q501" s="208"/>
      <c r="R501" s="208"/>
      <c r="S501" s="208"/>
      <c r="T501" s="208"/>
      <c r="U501" s="208"/>
      <c r="V501" s="208"/>
      <c r="W501" s="232"/>
      <c r="X501" s="232"/>
      <c r="Y501" s="232"/>
      <c r="Z501" s="232"/>
      <c r="AA501" s="232"/>
      <c r="AB501" s="232"/>
      <c r="AC501" s="232"/>
      <c r="AD501" s="232"/>
      <c r="AE501" s="232"/>
      <c r="AF501" s="232"/>
      <c r="AG501" s="208"/>
      <c r="AH501" s="208"/>
      <c r="AI501" s="208"/>
      <c r="AJ501" s="208"/>
      <c r="AK501" s="208"/>
    </row>
    <row r="502">
      <c r="A502" s="234"/>
      <c r="B502" s="208"/>
      <c r="C502" s="208"/>
      <c r="D502" s="208"/>
      <c r="E502" s="208"/>
      <c r="F502" s="208"/>
      <c r="G502" s="208"/>
      <c r="H502" s="208"/>
      <c r="I502" s="233"/>
      <c r="J502" s="208"/>
      <c r="K502" s="208"/>
      <c r="L502" s="208"/>
      <c r="M502" s="208"/>
      <c r="N502" s="208"/>
      <c r="O502" s="208"/>
      <c r="P502" s="208"/>
      <c r="Q502" s="208"/>
      <c r="R502" s="208"/>
      <c r="S502" s="208"/>
      <c r="T502" s="208"/>
      <c r="U502" s="208"/>
      <c r="V502" s="208"/>
      <c r="W502" s="232"/>
      <c r="X502" s="232"/>
      <c r="Y502" s="232"/>
      <c r="Z502" s="232"/>
      <c r="AA502" s="232"/>
      <c r="AB502" s="232"/>
      <c r="AC502" s="232"/>
      <c r="AD502" s="232"/>
      <c r="AE502" s="232"/>
      <c r="AF502" s="232"/>
      <c r="AG502" s="208"/>
      <c r="AH502" s="208"/>
      <c r="AI502" s="208"/>
      <c r="AJ502" s="208"/>
      <c r="AK502" s="208"/>
    </row>
    <row r="503">
      <c r="A503" s="234"/>
      <c r="B503" s="208"/>
      <c r="C503" s="208"/>
      <c r="D503" s="208"/>
      <c r="E503" s="208"/>
      <c r="F503" s="208"/>
      <c r="G503" s="208"/>
      <c r="H503" s="208"/>
      <c r="I503" s="233"/>
      <c r="J503" s="208"/>
      <c r="K503" s="208"/>
      <c r="L503" s="208"/>
      <c r="M503" s="208"/>
      <c r="N503" s="208"/>
      <c r="O503" s="208"/>
      <c r="P503" s="208"/>
      <c r="Q503" s="208"/>
      <c r="R503" s="208"/>
      <c r="S503" s="208"/>
      <c r="T503" s="208"/>
      <c r="U503" s="208"/>
      <c r="V503" s="208"/>
      <c r="W503" s="232"/>
      <c r="X503" s="232"/>
      <c r="Y503" s="232"/>
      <c r="Z503" s="232"/>
      <c r="AA503" s="232"/>
      <c r="AB503" s="232"/>
      <c r="AC503" s="232"/>
      <c r="AD503" s="232"/>
      <c r="AE503" s="232"/>
      <c r="AF503" s="232"/>
      <c r="AG503" s="208"/>
      <c r="AH503" s="208"/>
      <c r="AI503" s="208"/>
      <c r="AJ503" s="208"/>
      <c r="AK503" s="208"/>
    </row>
    <row r="504">
      <c r="A504" s="234"/>
      <c r="B504" s="208"/>
      <c r="C504" s="208"/>
      <c r="D504" s="208"/>
      <c r="E504" s="208"/>
      <c r="F504" s="208"/>
      <c r="G504" s="208"/>
      <c r="H504" s="208"/>
      <c r="I504" s="233"/>
      <c r="J504" s="208"/>
      <c r="K504" s="208"/>
      <c r="L504" s="208"/>
      <c r="M504" s="208"/>
      <c r="N504" s="208"/>
      <c r="O504" s="208"/>
      <c r="P504" s="208"/>
      <c r="Q504" s="208"/>
      <c r="R504" s="208"/>
      <c r="S504" s="208"/>
      <c r="T504" s="208"/>
      <c r="U504" s="208"/>
      <c r="V504" s="208"/>
      <c r="W504" s="232"/>
      <c r="X504" s="232"/>
      <c r="Y504" s="232"/>
      <c r="Z504" s="232"/>
      <c r="AA504" s="232"/>
      <c r="AB504" s="232"/>
      <c r="AC504" s="232"/>
      <c r="AD504" s="232"/>
      <c r="AE504" s="232"/>
      <c r="AF504" s="232"/>
      <c r="AG504" s="208"/>
      <c r="AH504" s="208"/>
      <c r="AI504" s="208"/>
      <c r="AJ504" s="208"/>
      <c r="AK504" s="208"/>
    </row>
    <row r="505">
      <c r="A505" s="234"/>
      <c r="B505" s="208"/>
      <c r="C505" s="208"/>
      <c r="D505" s="208"/>
      <c r="E505" s="208"/>
      <c r="F505" s="208"/>
      <c r="G505" s="208"/>
      <c r="H505" s="208"/>
      <c r="I505" s="233"/>
      <c r="J505" s="208"/>
      <c r="K505" s="208"/>
      <c r="L505" s="208"/>
      <c r="M505" s="208"/>
      <c r="N505" s="208"/>
      <c r="O505" s="208"/>
      <c r="P505" s="208"/>
      <c r="Q505" s="208"/>
      <c r="R505" s="208"/>
      <c r="S505" s="208"/>
      <c r="T505" s="208"/>
      <c r="U505" s="208"/>
      <c r="V505" s="208"/>
      <c r="W505" s="232"/>
      <c r="X505" s="232"/>
      <c r="Y505" s="232"/>
      <c r="Z505" s="232"/>
      <c r="AA505" s="232"/>
      <c r="AB505" s="232"/>
      <c r="AC505" s="232"/>
      <c r="AD505" s="232"/>
      <c r="AE505" s="232"/>
      <c r="AF505" s="232"/>
      <c r="AG505" s="208"/>
      <c r="AH505" s="208"/>
      <c r="AI505" s="208"/>
      <c r="AJ505" s="208"/>
      <c r="AK505" s="208"/>
    </row>
    <row r="506">
      <c r="A506" s="234"/>
      <c r="B506" s="208"/>
      <c r="C506" s="208"/>
      <c r="D506" s="208"/>
      <c r="E506" s="208"/>
      <c r="F506" s="208"/>
      <c r="G506" s="208"/>
      <c r="H506" s="208"/>
      <c r="I506" s="233"/>
      <c r="J506" s="208"/>
      <c r="K506" s="208"/>
      <c r="L506" s="208"/>
      <c r="M506" s="208"/>
      <c r="N506" s="208"/>
      <c r="O506" s="208"/>
      <c r="P506" s="208"/>
      <c r="Q506" s="208"/>
      <c r="R506" s="208"/>
      <c r="S506" s="208"/>
      <c r="T506" s="208"/>
      <c r="U506" s="208"/>
      <c r="V506" s="208"/>
      <c r="W506" s="232"/>
      <c r="X506" s="232"/>
      <c r="Y506" s="232"/>
      <c r="Z506" s="232"/>
      <c r="AA506" s="232"/>
      <c r="AB506" s="232"/>
      <c r="AC506" s="232"/>
      <c r="AD506" s="232"/>
      <c r="AE506" s="232"/>
      <c r="AF506" s="232"/>
      <c r="AG506" s="208"/>
      <c r="AH506" s="208"/>
      <c r="AI506" s="208"/>
      <c r="AJ506" s="208"/>
      <c r="AK506" s="208"/>
    </row>
    <row r="507">
      <c r="A507" s="234"/>
      <c r="B507" s="208"/>
      <c r="C507" s="208"/>
      <c r="D507" s="208"/>
      <c r="E507" s="208"/>
      <c r="F507" s="208"/>
      <c r="G507" s="208"/>
      <c r="H507" s="208"/>
      <c r="I507" s="233"/>
      <c r="J507" s="208"/>
      <c r="K507" s="208"/>
      <c r="L507" s="208"/>
      <c r="M507" s="208"/>
      <c r="N507" s="208"/>
      <c r="O507" s="208"/>
      <c r="P507" s="208"/>
      <c r="Q507" s="208"/>
      <c r="R507" s="208"/>
      <c r="S507" s="208"/>
      <c r="T507" s="208"/>
      <c r="U507" s="208"/>
      <c r="V507" s="208"/>
      <c r="W507" s="232"/>
      <c r="X507" s="232"/>
      <c r="Y507" s="232"/>
      <c r="Z507" s="232"/>
      <c r="AA507" s="232"/>
      <c r="AB507" s="232"/>
      <c r="AC507" s="232"/>
      <c r="AD507" s="232"/>
      <c r="AE507" s="232"/>
      <c r="AF507" s="232"/>
      <c r="AG507" s="208"/>
      <c r="AH507" s="208"/>
      <c r="AI507" s="208"/>
      <c r="AJ507" s="208"/>
      <c r="AK507" s="208"/>
    </row>
    <row r="508">
      <c r="A508" s="234"/>
      <c r="B508" s="208"/>
      <c r="C508" s="208"/>
      <c r="D508" s="208"/>
      <c r="E508" s="208"/>
      <c r="F508" s="208"/>
      <c r="G508" s="208"/>
      <c r="H508" s="208"/>
      <c r="I508" s="233"/>
      <c r="J508" s="208"/>
      <c r="K508" s="208"/>
      <c r="L508" s="208"/>
      <c r="M508" s="208"/>
      <c r="N508" s="208"/>
      <c r="O508" s="208"/>
      <c r="P508" s="208"/>
      <c r="Q508" s="208"/>
      <c r="R508" s="208"/>
      <c r="S508" s="208"/>
      <c r="T508" s="208"/>
      <c r="U508" s="208"/>
      <c r="V508" s="208"/>
      <c r="W508" s="232"/>
      <c r="X508" s="232"/>
      <c r="Y508" s="232"/>
      <c r="Z508" s="232"/>
      <c r="AA508" s="232"/>
      <c r="AB508" s="232"/>
      <c r="AC508" s="232"/>
      <c r="AD508" s="232"/>
      <c r="AE508" s="232"/>
      <c r="AF508" s="232"/>
      <c r="AG508" s="208"/>
      <c r="AH508" s="208"/>
      <c r="AI508" s="208"/>
      <c r="AJ508" s="208"/>
      <c r="AK508" s="208"/>
    </row>
    <row r="509">
      <c r="A509" s="234"/>
      <c r="B509" s="208"/>
      <c r="C509" s="208"/>
      <c r="D509" s="208"/>
      <c r="E509" s="208"/>
      <c r="F509" s="208"/>
      <c r="G509" s="208"/>
      <c r="H509" s="208"/>
      <c r="I509" s="233"/>
      <c r="J509" s="208"/>
      <c r="K509" s="208"/>
      <c r="L509" s="208"/>
      <c r="M509" s="208"/>
      <c r="N509" s="208"/>
      <c r="O509" s="208"/>
      <c r="P509" s="208"/>
      <c r="Q509" s="208"/>
      <c r="R509" s="208"/>
      <c r="S509" s="208"/>
      <c r="T509" s="208"/>
      <c r="U509" s="208"/>
      <c r="V509" s="208"/>
      <c r="W509" s="232"/>
      <c r="X509" s="232"/>
      <c r="Y509" s="232"/>
      <c r="Z509" s="232"/>
      <c r="AA509" s="232"/>
      <c r="AB509" s="232"/>
      <c r="AC509" s="232"/>
      <c r="AD509" s="232"/>
      <c r="AE509" s="232"/>
      <c r="AF509" s="232"/>
      <c r="AG509" s="208"/>
      <c r="AH509" s="208"/>
      <c r="AI509" s="208"/>
      <c r="AJ509" s="208"/>
      <c r="AK509" s="208"/>
    </row>
    <row r="510">
      <c r="A510" s="234"/>
      <c r="B510" s="208"/>
      <c r="C510" s="208"/>
      <c r="D510" s="208"/>
      <c r="E510" s="208"/>
      <c r="F510" s="208"/>
      <c r="G510" s="208"/>
      <c r="H510" s="208"/>
      <c r="I510" s="233"/>
      <c r="J510" s="208"/>
      <c r="K510" s="208"/>
      <c r="L510" s="208"/>
      <c r="M510" s="208"/>
      <c r="N510" s="208"/>
      <c r="O510" s="208"/>
      <c r="P510" s="208"/>
      <c r="Q510" s="208"/>
      <c r="R510" s="208"/>
      <c r="S510" s="208"/>
      <c r="T510" s="208"/>
      <c r="U510" s="208"/>
      <c r="V510" s="208"/>
      <c r="W510" s="232"/>
      <c r="X510" s="232"/>
      <c r="Y510" s="232"/>
      <c r="Z510" s="232"/>
      <c r="AA510" s="232"/>
      <c r="AB510" s="232"/>
      <c r="AC510" s="232"/>
      <c r="AD510" s="232"/>
      <c r="AE510" s="232"/>
      <c r="AF510" s="232"/>
      <c r="AG510" s="208"/>
      <c r="AH510" s="208"/>
      <c r="AI510" s="208"/>
      <c r="AJ510" s="208"/>
      <c r="AK510" s="208"/>
    </row>
    <row r="511">
      <c r="A511" s="234"/>
      <c r="B511" s="208"/>
      <c r="C511" s="208"/>
      <c r="D511" s="208"/>
      <c r="E511" s="208"/>
      <c r="F511" s="208"/>
      <c r="G511" s="208"/>
      <c r="H511" s="208"/>
      <c r="I511" s="233"/>
      <c r="J511" s="208"/>
      <c r="K511" s="208"/>
      <c r="L511" s="208"/>
      <c r="M511" s="208"/>
      <c r="N511" s="208"/>
      <c r="O511" s="208"/>
      <c r="P511" s="208"/>
      <c r="Q511" s="208"/>
      <c r="R511" s="208"/>
      <c r="S511" s="208"/>
      <c r="T511" s="208"/>
      <c r="U511" s="208"/>
      <c r="V511" s="208"/>
      <c r="W511" s="232"/>
      <c r="X511" s="232"/>
      <c r="Y511" s="232"/>
      <c r="Z511" s="232"/>
      <c r="AA511" s="232"/>
      <c r="AB511" s="232"/>
      <c r="AC511" s="232"/>
      <c r="AD511" s="232"/>
      <c r="AE511" s="232"/>
      <c r="AF511" s="232"/>
      <c r="AG511" s="208"/>
      <c r="AH511" s="208"/>
      <c r="AI511" s="208"/>
      <c r="AJ511" s="208"/>
      <c r="AK511" s="208"/>
    </row>
    <row r="512">
      <c r="A512" s="234"/>
      <c r="B512" s="208"/>
      <c r="C512" s="208"/>
      <c r="D512" s="208"/>
      <c r="E512" s="208"/>
      <c r="F512" s="208"/>
      <c r="G512" s="208"/>
      <c r="H512" s="208"/>
      <c r="I512" s="233"/>
      <c r="J512" s="208"/>
      <c r="K512" s="208"/>
      <c r="L512" s="208"/>
      <c r="M512" s="208"/>
      <c r="N512" s="208"/>
      <c r="O512" s="208"/>
      <c r="P512" s="208"/>
      <c r="Q512" s="208"/>
      <c r="R512" s="208"/>
      <c r="S512" s="208"/>
      <c r="T512" s="208"/>
      <c r="U512" s="208"/>
      <c r="V512" s="208"/>
      <c r="W512" s="232"/>
      <c r="X512" s="232"/>
      <c r="Y512" s="232"/>
      <c r="Z512" s="232"/>
      <c r="AA512" s="232"/>
      <c r="AB512" s="232"/>
      <c r="AC512" s="232"/>
      <c r="AD512" s="232"/>
      <c r="AE512" s="232"/>
      <c r="AF512" s="232"/>
      <c r="AG512" s="208"/>
      <c r="AH512" s="208"/>
      <c r="AI512" s="208"/>
      <c r="AJ512" s="208"/>
      <c r="AK512" s="208"/>
    </row>
    <row r="513">
      <c r="A513" s="234"/>
      <c r="B513" s="208"/>
      <c r="C513" s="208"/>
      <c r="D513" s="208"/>
      <c r="E513" s="208"/>
      <c r="F513" s="208"/>
      <c r="G513" s="208"/>
      <c r="H513" s="208"/>
      <c r="I513" s="233"/>
      <c r="J513" s="208"/>
      <c r="K513" s="208"/>
      <c r="L513" s="208"/>
      <c r="M513" s="208"/>
      <c r="N513" s="208"/>
      <c r="O513" s="208"/>
      <c r="P513" s="208"/>
      <c r="Q513" s="208"/>
      <c r="R513" s="208"/>
      <c r="S513" s="208"/>
      <c r="T513" s="208"/>
      <c r="U513" s="208"/>
      <c r="V513" s="208"/>
      <c r="W513" s="232"/>
      <c r="X513" s="232"/>
      <c r="Y513" s="232"/>
      <c r="Z513" s="232"/>
      <c r="AA513" s="232"/>
      <c r="AB513" s="232"/>
      <c r="AC513" s="232"/>
      <c r="AD513" s="232"/>
      <c r="AE513" s="232"/>
      <c r="AF513" s="232"/>
      <c r="AG513" s="208"/>
      <c r="AH513" s="208"/>
      <c r="AI513" s="208"/>
      <c r="AJ513" s="208"/>
      <c r="AK513" s="208"/>
    </row>
    <row r="514">
      <c r="A514" s="234"/>
      <c r="B514" s="208"/>
      <c r="C514" s="208"/>
      <c r="D514" s="208"/>
      <c r="E514" s="208"/>
      <c r="F514" s="208"/>
      <c r="G514" s="208"/>
      <c r="H514" s="208"/>
      <c r="I514" s="233"/>
      <c r="J514" s="208"/>
      <c r="K514" s="208"/>
      <c r="L514" s="208"/>
      <c r="M514" s="208"/>
      <c r="N514" s="208"/>
      <c r="O514" s="208"/>
      <c r="P514" s="208"/>
      <c r="Q514" s="208"/>
      <c r="R514" s="208"/>
      <c r="S514" s="208"/>
      <c r="T514" s="208"/>
      <c r="U514" s="208"/>
      <c r="V514" s="208"/>
      <c r="W514" s="232"/>
      <c r="X514" s="232"/>
      <c r="Y514" s="232"/>
      <c r="Z514" s="232"/>
      <c r="AA514" s="232"/>
      <c r="AB514" s="232"/>
      <c r="AC514" s="232"/>
      <c r="AD514" s="232"/>
      <c r="AE514" s="232"/>
      <c r="AF514" s="232"/>
      <c r="AG514" s="208"/>
      <c r="AH514" s="208"/>
      <c r="AI514" s="208"/>
      <c r="AJ514" s="208"/>
      <c r="AK514" s="208"/>
    </row>
    <row r="515">
      <c r="A515" s="234"/>
      <c r="B515" s="208"/>
      <c r="C515" s="208"/>
      <c r="D515" s="208"/>
      <c r="E515" s="208"/>
      <c r="F515" s="208"/>
      <c r="G515" s="208"/>
      <c r="H515" s="208"/>
      <c r="I515" s="233"/>
      <c r="J515" s="208"/>
      <c r="K515" s="208"/>
      <c r="L515" s="208"/>
      <c r="M515" s="208"/>
      <c r="N515" s="208"/>
      <c r="O515" s="208"/>
      <c r="P515" s="208"/>
      <c r="Q515" s="208"/>
      <c r="R515" s="208"/>
      <c r="S515" s="208"/>
      <c r="T515" s="208"/>
      <c r="U515" s="208"/>
      <c r="V515" s="208"/>
      <c r="W515" s="232"/>
      <c r="X515" s="232"/>
      <c r="Y515" s="232"/>
      <c r="Z515" s="232"/>
      <c r="AA515" s="232"/>
      <c r="AB515" s="232"/>
      <c r="AC515" s="232"/>
      <c r="AD515" s="232"/>
      <c r="AE515" s="232"/>
      <c r="AF515" s="232"/>
      <c r="AG515" s="208"/>
      <c r="AH515" s="208"/>
      <c r="AI515" s="208"/>
      <c r="AJ515" s="208"/>
      <c r="AK515" s="208"/>
    </row>
    <row r="516">
      <c r="A516" s="234"/>
      <c r="B516" s="208"/>
      <c r="C516" s="208"/>
      <c r="D516" s="208"/>
      <c r="E516" s="208"/>
      <c r="F516" s="208"/>
      <c r="G516" s="208"/>
      <c r="H516" s="208"/>
      <c r="I516" s="233"/>
      <c r="J516" s="208"/>
      <c r="K516" s="208"/>
      <c r="L516" s="208"/>
      <c r="M516" s="208"/>
      <c r="N516" s="208"/>
      <c r="O516" s="208"/>
      <c r="P516" s="208"/>
      <c r="Q516" s="208"/>
      <c r="R516" s="208"/>
      <c r="S516" s="208"/>
      <c r="T516" s="208"/>
      <c r="U516" s="208"/>
      <c r="V516" s="208"/>
      <c r="W516" s="232"/>
      <c r="X516" s="232"/>
      <c r="Y516" s="232"/>
      <c r="Z516" s="232"/>
      <c r="AA516" s="232"/>
      <c r="AB516" s="232"/>
      <c r="AC516" s="232"/>
      <c r="AD516" s="232"/>
      <c r="AE516" s="232"/>
      <c r="AF516" s="232"/>
      <c r="AG516" s="208"/>
      <c r="AH516" s="208"/>
      <c r="AI516" s="208"/>
      <c r="AJ516" s="208"/>
      <c r="AK516" s="208"/>
    </row>
    <row r="517">
      <c r="A517" s="234"/>
      <c r="B517" s="208"/>
      <c r="C517" s="208"/>
      <c r="D517" s="208"/>
      <c r="E517" s="208"/>
      <c r="F517" s="208"/>
      <c r="G517" s="208"/>
      <c r="H517" s="208"/>
      <c r="I517" s="233"/>
      <c r="J517" s="208"/>
      <c r="K517" s="208"/>
      <c r="L517" s="208"/>
      <c r="M517" s="208"/>
      <c r="N517" s="208"/>
      <c r="O517" s="208"/>
      <c r="P517" s="208"/>
      <c r="Q517" s="208"/>
      <c r="R517" s="208"/>
      <c r="S517" s="208"/>
      <c r="T517" s="208"/>
      <c r="U517" s="208"/>
      <c r="V517" s="208"/>
      <c r="W517" s="232"/>
      <c r="X517" s="232"/>
      <c r="Y517" s="232"/>
      <c r="Z517" s="232"/>
      <c r="AA517" s="232"/>
      <c r="AB517" s="232"/>
      <c r="AC517" s="232"/>
      <c r="AD517" s="232"/>
      <c r="AE517" s="232"/>
      <c r="AF517" s="232"/>
      <c r="AG517" s="208"/>
      <c r="AH517" s="208"/>
      <c r="AI517" s="208"/>
      <c r="AJ517" s="208"/>
      <c r="AK517" s="208"/>
    </row>
    <row r="518">
      <c r="A518" s="234"/>
      <c r="B518" s="208"/>
      <c r="C518" s="208"/>
      <c r="D518" s="208"/>
      <c r="E518" s="208"/>
      <c r="F518" s="208"/>
      <c r="G518" s="208"/>
      <c r="H518" s="208"/>
      <c r="I518" s="233"/>
      <c r="J518" s="208"/>
      <c r="K518" s="208"/>
      <c r="L518" s="208"/>
      <c r="M518" s="208"/>
      <c r="N518" s="208"/>
      <c r="O518" s="208"/>
      <c r="P518" s="208"/>
      <c r="Q518" s="208"/>
      <c r="R518" s="208"/>
      <c r="S518" s="208"/>
      <c r="T518" s="208"/>
      <c r="U518" s="208"/>
      <c r="V518" s="208"/>
      <c r="W518" s="232"/>
      <c r="X518" s="232"/>
      <c r="Y518" s="232"/>
      <c r="Z518" s="232"/>
      <c r="AA518" s="232"/>
      <c r="AB518" s="232"/>
      <c r="AC518" s="232"/>
      <c r="AD518" s="232"/>
      <c r="AE518" s="232"/>
      <c r="AF518" s="232"/>
      <c r="AG518" s="208"/>
      <c r="AH518" s="208"/>
      <c r="AI518" s="208"/>
      <c r="AJ518" s="208"/>
      <c r="AK518" s="208"/>
    </row>
    <row r="519">
      <c r="A519" s="234"/>
      <c r="B519" s="208"/>
      <c r="C519" s="208"/>
      <c r="D519" s="208"/>
      <c r="E519" s="208"/>
      <c r="F519" s="208"/>
      <c r="G519" s="208"/>
      <c r="H519" s="208"/>
      <c r="I519" s="233"/>
      <c r="J519" s="208"/>
      <c r="K519" s="208"/>
      <c r="L519" s="208"/>
      <c r="M519" s="208"/>
      <c r="N519" s="208"/>
      <c r="O519" s="208"/>
      <c r="P519" s="208"/>
      <c r="Q519" s="208"/>
      <c r="R519" s="208"/>
      <c r="S519" s="208"/>
      <c r="T519" s="208"/>
      <c r="U519" s="208"/>
      <c r="V519" s="208"/>
      <c r="W519" s="232"/>
      <c r="X519" s="232"/>
      <c r="Y519" s="232"/>
      <c r="Z519" s="232"/>
      <c r="AA519" s="232"/>
      <c r="AB519" s="232"/>
      <c r="AC519" s="232"/>
      <c r="AD519" s="232"/>
      <c r="AE519" s="232"/>
      <c r="AF519" s="232"/>
      <c r="AG519" s="208"/>
      <c r="AH519" s="208"/>
      <c r="AI519" s="208"/>
      <c r="AJ519" s="208"/>
      <c r="AK519" s="208"/>
    </row>
    <row r="520">
      <c r="A520" s="234"/>
      <c r="B520" s="208"/>
      <c r="C520" s="208"/>
      <c r="D520" s="208"/>
      <c r="E520" s="208"/>
      <c r="F520" s="208"/>
      <c r="G520" s="208"/>
      <c r="H520" s="208"/>
      <c r="I520" s="233"/>
      <c r="J520" s="208"/>
      <c r="K520" s="208"/>
      <c r="L520" s="208"/>
      <c r="M520" s="208"/>
      <c r="N520" s="208"/>
      <c r="O520" s="208"/>
      <c r="P520" s="208"/>
      <c r="Q520" s="208"/>
      <c r="R520" s="208"/>
      <c r="S520" s="208"/>
      <c r="T520" s="208"/>
      <c r="U520" s="208"/>
      <c r="V520" s="208"/>
      <c r="W520" s="232"/>
      <c r="X520" s="232"/>
      <c r="Y520" s="232"/>
      <c r="Z520" s="232"/>
      <c r="AA520" s="232"/>
      <c r="AB520" s="232"/>
      <c r="AC520" s="232"/>
      <c r="AD520" s="232"/>
      <c r="AE520" s="232"/>
      <c r="AF520" s="232"/>
      <c r="AG520" s="208"/>
      <c r="AH520" s="208"/>
      <c r="AI520" s="208"/>
      <c r="AJ520" s="208"/>
      <c r="AK520" s="208"/>
    </row>
    <row r="521">
      <c r="A521" s="234"/>
      <c r="B521" s="208"/>
      <c r="C521" s="208"/>
      <c r="D521" s="208"/>
      <c r="E521" s="208"/>
      <c r="F521" s="208"/>
      <c r="G521" s="208"/>
      <c r="H521" s="208"/>
      <c r="I521" s="233"/>
      <c r="J521" s="208"/>
      <c r="K521" s="208"/>
      <c r="L521" s="208"/>
      <c r="M521" s="208"/>
      <c r="N521" s="208"/>
      <c r="O521" s="208"/>
      <c r="P521" s="208"/>
      <c r="Q521" s="208"/>
      <c r="R521" s="208"/>
      <c r="S521" s="208"/>
      <c r="T521" s="208"/>
      <c r="U521" s="208"/>
      <c r="V521" s="208"/>
      <c r="W521" s="232"/>
      <c r="X521" s="232"/>
      <c r="Y521" s="232"/>
      <c r="Z521" s="232"/>
      <c r="AA521" s="232"/>
      <c r="AB521" s="232"/>
      <c r="AC521" s="232"/>
      <c r="AD521" s="232"/>
      <c r="AE521" s="232"/>
      <c r="AF521" s="232"/>
      <c r="AG521" s="208"/>
      <c r="AH521" s="208"/>
      <c r="AI521" s="208"/>
      <c r="AJ521" s="208"/>
      <c r="AK521" s="208"/>
    </row>
    <row r="522">
      <c r="A522" s="234"/>
      <c r="B522" s="208"/>
      <c r="C522" s="208"/>
      <c r="D522" s="208"/>
      <c r="E522" s="208"/>
      <c r="F522" s="208"/>
      <c r="G522" s="208"/>
      <c r="H522" s="208"/>
      <c r="I522" s="233"/>
      <c r="J522" s="208"/>
      <c r="K522" s="208"/>
      <c r="L522" s="208"/>
      <c r="M522" s="208"/>
      <c r="N522" s="208"/>
      <c r="O522" s="208"/>
      <c r="P522" s="208"/>
      <c r="Q522" s="208"/>
      <c r="R522" s="208"/>
      <c r="S522" s="208"/>
      <c r="T522" s="208"/>
      <c r="U522" s="208"/>
      <c r="V522" s="208"/>
      <c r="W522" s="232"/>
      <c r="X522" s="232"/>
      <c r="Y522" s="232"/>
      <c r="Z522" s="232"/>
      <c r="AA522" s="232"/>
      <c r="AB522" s="232"/>
      <c r="AC522" s="232"/>
      <c r="AD522" s="232"/>
      <c r="AE522" s="232"/>
      <c r="AF522" s="232"/>
      <c r="AG522" s="208"/>
      <c r="AH522" s="208"/>
      <c r="AI522" s="208"/>
      <c r="AJ522" s="208"/>
      <c r="AK522" s="208"/>
    </row>
    <row r="523">
      <c r="A523" s="234"/>
      <c r="B523" s="208"/>
      <c r="C523" s="208"/>
      <c r="D523" s="208"/>
      <c r="E523" s="208"/>
      <c r="F523" s="208"/>
      <c r="G523" s="208"/>
      <c r="H523" s="208"/>
      <c r="I523" s="233"/>
      <c r="J523" s="208"/>
      <c r="K523" s="208"/>
      <c r="L523" s="208"/>
      <c r="M523" s="208"/>
      <c r="N523" s="208"/>
      <c r="O523" s="208"/>
      <c r="P523" s="208"/>
      <c r="Q523" s="208"/>
      <c r="R523" s="208"/>
      <c r="S523" s="208"/>
      <c r="T523" s="208"/>
      <c r="U523" s="208"/>
      <c r="V523" s="208"/>
      <c r="W523" s="232"/>
      <c r="X523" s="232"/>
      <c r="Y523" s="232"/>
      <c r="Z523" s="232"/>
      <c r="AA523" s="232"/>
      <c r="AB523" s="232"/>
      <c r="AC523" s="232"/>
      <c r="AD523" s="232"/>
      <c r="AE523" s="232"/>
      <c r="AF523" s="232"/>
      <c r="AG523" s="208"/>
      <c r="AH523" s="208"/>
      <c r="AI523" s="208"/>
      <c r="AJ523" s="208"/>
      <c r="AK523" s="208"/>
    </row>
    <row r="524">
      <c r="A524" s="234"/>
      <c r="B524" s="208"/>
      <c r="C524" s="208"/>
      <c r="D524" s="208"/>
      <c r="E524" s="208"/>
      <c r="F524" s="208"/>
      <c r="G524" s="208"/>
      <c r="H524" s="208"/>
      <c r="I524" s="233"/>
      <c r="J524" s="208"/>
      <c r="K524" s="208"/>
      <c r="L524" s="208"/>
      <c r="M524" s="208"/>
      <c r="N524" s="208"/>
      <c r="O524" s="208"/>
      <c r="P524" s="208"/>
      <c r="Q524" s="208"/>
      <c r="R524" s="208"/>
      <c r="S524" s="208"/>
      <c r="T524" s="208"/>
      <c r="U524" s="208"/>
      <c r="V524" s="208"/>
      <c r="W524" s="232"/>
      <c r="X524" s="232"/>
      <c r="Y524" s="232"/>
      <c r="Z524" s="232"/>
      <c r="AA524" s="232"/>
      <c r="AB524" s="232"/>
      <c r="AC524" s="232"/>
      <c r="AD524" s="232"/>
      <c r="AE524" s="232"/>
      <c r="AF524" s="232"/>
      <c r="AG524" s="208"/>
      <c r="AH524" s="208"/>
      <c r="AI524" s="208"/>
      <c r="AJ524" s="208"/>
      <c r="AK524" s="208"/>
    </row>
    <row r="525">
      <c r="A525" s="234"/>
      <c r="B525" s="208"/>
      <c r="C525" s="208"/>
      <c r="D525" s="208"/>
      <c r="E525" s="208"/>
      <c r="F525" s="208"/>
      <c r="G525" s="208"/>
      <c r="H525" s="208"/>
      <c r="I525" s="233"/>
      <c r="J525" s="208"/>
      <c r="K525" s="208"/>
      <c r="L525" s="208"/>
      <c r="M525" s="208"/>
      <c r="N525" s="208"/>
      <c r="O525" s="208"/>
      <c r="P525" s="208"/>
      <c r="Q525" s="208"/>
      <c r="R525" s="208"/>
      <c r="S525" s="208"/>
      <c r="T525" s="208"/>
      <c r="U525" s="208"/>
      <c r="V525" s="208"/>
      <c r="W525" s="232"/>
      <c r="X525" s="232"/>
      <c r="Y525" s="232"/>
      <c r="Z525" s="232"/>
      <c r="AA525" s="232"/>
      <c r="AB525" s="232"/>
      <c r="AC525" s="232"/>
      <c r="AD525" s="232"/>
      <c r="AE525" s="232"/>
      <c r="AF525" s="232"/>
      <c r="AG525" s="208"/>
      <c r="AH525" s="208"/>
      <c r="AI525" s="208"/>
      <c r="AJ525" s="208"/>
      <c r="AK525" s="208"/>
    </row>
    <row r="526">
      <c r="A526" s="234"/>
      <c r="B526" s="208"/>
      <c r="C526" s="208"/>
      <c r="D526" s="208"/>
      <c r="E526" s="208"/>
      <c r="F526" s="208"/>
      <c r="G526" s="208"/>
      <c r="H526" s="208"/>
      <c r="I526" s="233"/>
      <c r="J526" s="208"/>
      <c r="K526" s="208"/>
      <c r="L526" s="208"/>
      <c r="M526" s="208"/>
      <c r="N526" s="208"/>
      <c r="O526" s="208"/>
      <c r="P526" s="208"/>
      <c r="Q526" s="208"/>
      <c r="R526" s="208"/>
      <c r="S526" s="208"/>
      <c r="T526" s="208"/>
      <c r="U526" s="208"/>
      <c r="V526" s="208"/>
      <c r="W526" s="232"/>
      <c r="X526" s="232"/>
      <c r="Y526" s="232"/>
      <c r="Z526" s="232"/>
      <c r="AA526" s="232"/>
      <c r="AB526" s="232"/>
      <c r="AC526" s="232"/>
      <c r="AD526" s="232"/>
      <c r="AE526" s="232"/>
      <c r="AF526" s="232"/>
      <c r="AG526" s="208"/>
      <c r="AH526" s="208"/>
      <c r="AI526" s="208"/>
      <c r="AJ526" s="208"/>
      <c r="AK526" s="208"/>
    </row>
    <row r="527">
      <c r="A527" s="234"/>
      <c r="B527" s="208"/>
      <c r="C527" s="208"/>
      <c r="D527" s="208"/>
      <c r="E527" s="208"/>
      <c r="F527" s="208"/>
      <c r="G527" s="208"/>
      <c r="H527" s="208"/>
      <c r="I527" s="233"/>
      <c r="J527" s="208"/>
      <c r="K527" s="208"/>
      <c r="L527" s="208"/>
      <c r="M527" s="208"/>
      <c r="N527" s="208"/>
      <c r="O527" s="208"/>
      <c r="P527" s="208"/>
      <c r="Q527" s="208"/>
      <c r="R527" s="208"/>
      <c r="S527" s="208"/>
      <c r="T527" s="208"/>
      <c r="U527" s="208"/>
      <c r="V527" s="208"/>
      <c r="W527" s="232"/>
      <c r="X527" s="232"/>
      <c r="Y527" s="232"/>
      <c r="Z527" s="232"/>
      <c r="AA527" s="232"/>
      <c r="AB527" s="232"/>
      <c r="AC527" s="232"/>
      <c r="AD527" s="232"/>
      <c r="AE527" s="232"/>
      <c r="AF527" s="232"/>
      <c r="AG527" s="208"/>
      <c r="AH527" s="208"/>
      <c r="AI527" s="208"/>
      <c r="AJ527" s="208"/>
      <c r="AK527" s="208"/>
    </row>
    <row r="528">
      <c r="A528" s="234"/>
      <c r="B528" s="208"/>
      <c r="C528" s="208"/>
      <c r="D528" s="208"/>
      <c r="E528" s="208"/>
      <c r="F528" s="208"/>
      <c r="G528" s="208"/>
      <c r="H528" s="208"/>
      <c r="I528" s="233"/>
      <c r="J528" s="208"/>
      <c r="K528" s="208"/>
      <c r="L528" s="208"/>
      <c r="M528" s="208"/>
      <c r="N528" s="208"/>
      <c r="O528" s="208"/>
      <c r="P528" s="208"/>
      <c r="Q528" s="208"/>
      <c r="R528" s="208"/>
      <c r="S528" s="208"/>
      <c r="T528" s="208"/>
      <c r="U528" s="208"/>
      <c r="V528" s="208"/>
      <c r="W528" s="232"/>
      <c r="X528" s="232"/>
      <c r="Y528" s="232"/>
      <c r="Z528" s="232"/>
      <c r="AA528" s="232"/>
      <c r="AB528" s="232"/>
      <c r="AC528" s="232"/>
      <c r="AD528" s="232"/>
      <c r="AE528" s="232"/>
      <c r="AF528" s="232"/>
      <c r="AG528" s="208"/>
      <c r="AH528" s="208"/>
      <c r="AI528" s="208"/>
      <c r="AJ528" s="208"/>
      <c r="AK528" s="208"/>
    </row>
    <row r="529">
      <c r="A529" s="234"/>
      <c r="B529" s="208"/>
      <c r="C529" s="208"/>
      <c r="D529" s="208"/>
      <c r="E529" s="208"/>
      <c r="F529" s="208"/>
      <c r="G529" s="208"/>
      <c r="H529" s="208"/>
      <c r="I529" s="233"/>
      <c r="J529" s="208"/>
      <c r="K529" s="208"/>
      <c r="L529" s="208"/>
      <c r="M529" s="208"/>
      <c r="N529" s="208"/>
      <c r="O529" s="208"/>
      <c r="P529" s="208"/>
      <c r="Q529" s="208"/>
      <c r="R529" s="208"/>
      <c r="S529" s="208"/>
      <c r="T529" s="208"/>
      <c r="U529" s="208"/>
      <c r="V529" s="208"/>
      <c r="W529" s="232"/>
      <c r="X529" s="232"/>
      <c r="Y529" s="232"/>
      <c r="Z529" s="232"/>
      <c r="AA529" s="232"/>
      <c r="AB529" s="232"/>
      <c r="AC529" s="232"/>
      <c r="AD529" s="232"/>
      <c r="AE529" s="232"/>
      <c r="AF529" s="232"/>
      <c r="AG529" s="208"/>
      <c r="AH529" s="208"/>
      <c r="AI529" s="208"/>
      <c r="AJ529" s="208"/>
      <c r="AK529" s="208"/>
    </row>
    <row r="530">
      <c r="A530" s="234"/>
      <c r="B530" s="208"/>
      <c r="C530" s="208"/>
      <c r="D530" s="208"/>
      <c r="E530" s="208"/>
      <c r="F530" s="208"/>
      <c r="G530" s="208"/>
      <c r="H530" s="208"/>
      <c r="I530" s="233"/>
      <c r="J530" s="208"/>
      <c r="K530" s="208"/>
      <c r="L530" s="208"/>
      <c r="M530" s="208"/>
      <c r="N530" s="208"/>
      <c r="O530" s="208"/>
      <c r="P530" s="208"/>
      <c r="Q530" s="208"/>
      <c r="R530" s="208"/>
      <c r="S530" s="208"/>
      <c r="T530" s="208"/>
      <c r="U530" s="208"/>
      <c r="V530" s="208"/>
      <c r="W530" s="232"/>
      <c r="X530" s="232"/>
      <c r="Y530" s="232"/>
      <c r="Z530" s="232"/>
      <c r="AA530" s="232"/>
      <c r="AB530" s="232"/>
      <c r="AC530" s="232"/>
      <c r="AD530" s="232"/>
      <c r="AE530" s="232"/>
      <c r="AF530" s="232"/>
      <c r="AG530" s="208"/>
      <c r="AH530" s="208"/>
      <c r="AI530" s="208"/>
      <c r="AJ530" s="208"/>
      <c r="AK530" s="208"/>
    </row>
    <row r="531">
      <c r="A531" s="234"/>
      <c r="B531" s="208"/>
      <c r="C531" s="208"/>
      <c r="D531" s="208"/>
      <c r="E531" s="208"/>
      <c r="F531" s="208"/>
      <c r="G531" s="208"/>
      <c r="H531" s="208"/>
      <c r="I531" s="233"/>
      <c r="J531" s="208"/>
      <c r="K531" s="208"/>
      <c r="L531" s="208"/>
      <c r="M531" s="208"/>
      <c r="N531" s="208"/>
      <c r="O531" s="208"/>
      <c r="P531" s="208"/>
      <c r="Q531" s="208"/>
      <c r="R531" s="208"/>
      <c r="S531" s="208"/>
      <c r="T531" s="208"/>
      <c r="U531" s="208"/>
      <c r="V531" s="208"/>
      <c r="W531" s="232"/>
      <c r="X531" s="232"/>
      <c r="Y531" s="232"/>
      <c r="Z531" s="232"/>
      <c r="AA531" s="232"/>
      <c r="AB531" s="232"/>
      <c r="AC531" s="232"/>
      <c r="AD531" s="232"/>
      <c r="AE531" s="232"/>
      <c r="AF531" s="232"/>
      <c r="AG531" s="208"/>
      <c r="AH531" s="208"/>
      <c r="AI531" s="208"/>
      <c r="AJ531" s="208"/>
      <c r="AK531" s="208"/>
    </row>
    <row r="532">
      <c r="A532" s="234"/>
      <c r="B532" s="208"/>
      <c r="C532" s="208"/>
      <c r="D532" s="208"/>
      <c r="E532" s="208"/>
      <c r="F532" s="208"/>
      <c r="G532" s="208"/>
      <c r="H532" s="208"/>
      <c r="I532" s="233"/>
      <c r="J532" s="208"/>
      <c r="K532" s="208"/>
      <c r="L532" s="208"/>
      <c r="M532" s="208"/>
      <c r="N532" s="208"/>
      <c r="O532" s="208"/>
      <c r="P532" s="208"/>
      <c r="Q532" s="208"/>
      <c r="R532" s="208"/>
      <c r="S532" s="208"/>
      <c r="T532" s="208"/>
      <c r="U532" s="208"/>
      <c r="V532" s="208"/>
      <c r="W532" s="232"/>
      <c r="X532" s="232"/>
      <c r="Y532" s="232"/>
      <c r="Z532" s="232"/>
      <c r="AA532" s="232"/>
      <c r="AB532" s="232"/>
      <c r="AC532" s="232"/>
      <c r="AD532" s="232"/>
      <c r="AE532" s="232"/>
      <c r="AF532" s="232"/>
      <c r="AG532" s="208"/>
      <c r="AH532" s="208"/>
      <c r="AI532" s="208"/>
      <c r="AJ532" s="208"/>
      <c r="AK532" s="208"/>
    </row>
    <row r="533">
      <c r="A533" s="234"/>
      <c r="B533" s="208"/>
      <c r="C533" s="208"/>
      <c r="D533" s="208"/>
      <c r="E533" s="208"/>
      <c r="F533" s="208"/>
      <c r="G533" s="208"/>
      <c r="H533" s="208"/>
      <c r="I533" s="233"/>
      <c r="J533" s="208"/>
      <c r="K533" s="208"/>
      <c r="L533" s="208"/>
      <c r="M533" s="208"/>
      <c r="N533" s="208"/>
      <c r="O533" s="208"/>
      <c r="P533" s="208"/>
      <c r="Q533" s="208"/>
      <c r="R533" s="208"/>
      <c r="S533" s="208"/>
      <c r="T533" s="208"/>
      <c r="U533" s="208"/>
      <c r="V533" s="208"/>
      <c r="W533" s="232"/>
      <c r="X533" s="232"/>
      <c r="Y533" s="232"/>
      <c r="Z533" s="232"/>
      <c r="AA533" s="232"/>
      <c r="AB533" s="232"/>
      <c r="AC533" s="232"/>
      <c r="AD533" s="232"/>
      <c r="AE533" s="232"/>
      <c r="AF533" s="232"/>
      <c r="AG533" s="208"/>
      <c r="AH533" s="208"/>
      <c r="AI533" s="208"/>
      <c r="AJ533" s="208"/>
      <c r="AK533" s="208"/>
    </row>
    <row r="534">
      <c r="A534" s="234"/>
      <c r="B534" s="208"/>
      <c r="C534" s="208"/>
      <c r="D534" s="208"/>
      <c r="E534" s="208"/>
      <c r="F534" s="208"/>
      <c r="G534" s="208"/>
      <c r="H534" s="208"/>
      <c r="I534" s="233"/>
      <c r="J534" s="208"/>
      <c r="K534" s="208"/>
      <c r="L534" s="208"/>
      <c r="M534" s="208"/>
      <c r="N534" s="208"/>
      <c r="O534" s="208"/>
      <c r="P534" s="208"/>
      <c r="Q534" s="208"/>
      <c r="R534" s="208"/>
      <c r="S534" s="208"/>
      <c r="T534" s="208"/>
      <c r="U534" s="208"/>
      <c r="V534" s="208"/>
      <c r="W534" s="232"/>
      <c r="X534" s="232"/>
      <c r="Y534" s="232"/>
      <c r="Z534" s="232"/>
      <c r="AA534" s="232"/>
      <c r="AB534" s="232"/>
      <c r="AC534" s="232"/>
      <c r="AD534" s="232"/>
      <c r="AE534" s="232"/>
      <c r="AF534" s="232"/>
      <c r="AG534" s="208"/>
      <c r="AH534" s="208"/>
      <c r="AI534" s="208"/>
      <c r="AJ534" s="208"/>
      <c r="AK534" s="208"/>
    </row>
    <row r="535">
      <c r="A535" s="234"/>
      <c r="B535" s="208"/>
      <c r="C535" s="208"/>
      <c r="D535" s="208"/>
      <c r="E535" s="208"/>
      <c r="F535" s="208"/>
      <c r="G535" s="208"/>
      <c r="H535" s="208"/>
      <c r="I535" s="233"/>
      <c r="J535" s="208"/>
      <c r="K535" s="208"/>
      <c r="L535" s="208"/>
      <c r="M535" s="208"/>
      <c r="N535" s="208"/>
      <c r="O535" s="208"/>
      <c r="P535" s="208"/>
      <c r="Q535" s="208"/>
      <c r="R535" s="208"/>
      <c r="S535" s="208"/>
      <c r="T535" s="208"/>
      <c r="U535" s="208"/>
      <c r="V535" s="208"/>
      <c r="W535" s="232"/>
      <c r="X535" s="232"/>
      <c r="Y535" s="232"/>
      <c r="Z535" s="232"/>
      <c r="AA535" s="232"/>
      <c r="AB535" s="232"/>
      <c r="AC535" s="232"/>
      <c r="AD535" s="232"/>
      <c r="AE535" s="232"/>
      <c r="AF535" s="232"/>
      <c r="AG535" s="208"/>
      <c r="AH535" s="208"/>
      <c r="AI535" s="208"/>
      <c r="AJ535" s="208"/>
      <c r="AK535" s="208"/>
    </row>
    <row r="536">
      <c r="A536" s="234"/>
      <c r="B536" s="208"/>
      <c r="C536" s="208"/>
      <c r="D536" s="208"/>
      <c r="E536" s="208"/>
      <c r="F536" s="208"/>
      <c r="G536" s="208"/>
      <c r="H536" s="208"/>
      <c r="I536" s="233"/>
      <c r="J536" s="208"/>
      <c r="K536" s="208"/>
      <c r="L536" s="208"/>
      <c r="M536" s="208"/>
      <c r="N536" s="208"/>
      <c r="O536" s="208"/>
      <c r="P536" s="208"/>
      <c r="Q536" s="208"/>
      <c r="R536" s="208"/>
      <c r="S536" s="208"/>
      <c r="T536" s="208"/>
      <c r="U536" s="208"/>
      <c r="V536" s="208"/>
      <c r="W536" s="232"/>
      <c r="X536" s="232"/>
      <c r="Y536" s="232"/>
      <c r="Z536" s="232"/>
      <c r="AA536" s="232"/>
      <c r="AB536" s="232"/>
      <c r="AC536" s="232"/>
      <c r="AD536" s="232"/>
      <c r="AE536" s="232"/>
      <c r="AF536" s="232"/>
      <c r="AG536" s="208"/>
      <c r="AH536" s="208"/>
      <c r="AI536" s="208"/>
      <c r="AJ536" s="208"/>
      <c r="AK536" s="208"/>
    </row>
    <row r="537">
      <c r="A537" s="234"/>
      <c r="B537" s="208"/>
      <c r="C537" s="208"/>
      <c r="D537" s="208"/>
      <c r="E537" s="208"/>
      <c r="F537" s="208"/>
      <c r="G537" s="208"/>
      <c r="H537" s="208"/>
      <c r="I537" s="233"/>
      <c r="J537" s="208"/>
      <c r="K537" s="208"/>
      <c r="L537" s="208"/>
      <c r="M537" s="208"/>
      <c r="N537" s="208"/>
      <c r="O537" s="208"/>
      <c r="P537" s="208"/>
      <c r="Q537" s="208"/>
      <c r="R537" s="208"/>
      <c r="S537" s="208"/>
      <c r="T537" s="208"/>
      <c r="U537" s="208"/>
      <c r="V537" s="208"/>
      <c r="W537" s="232"/>
      <c r="X537" s="232"/>
      <c r="Y537" s="232"/>
      <c r="Z537" s="232"/>
      <c r="AA537" s="232"/>
      <c r="AB537" s="232"/>
      <c r="AC537" s="232"/>
      <c r="AD537" s="232"/>
      <c r="AE537" s="232"/>
      <c r="AF537" s="232"/>
      <c r="AG537" s="208"/>
      <c r="AH537" s="208"/>
      <c r="AI537" s="208"/>
      <c r="AJ537" s="208"/>
      <c r="AK537" s="208"/>
    </row>
    <row r="538">
      <c r="A538" s="234"/>
      <c r="B538" s="208"/>
      <c r="C538" s="208"/>
      <c r="D538" s="208"/>
      <c r="E538" s="208"/>
      <c r="F538" s="208"/>
      <c r="G538" s="208"/>
      <c r="H538" s="208"/>
      <c r="I538" s="233"/>
      <c r="J538" s="208"/>
      <c r="K538" s="208"/>
      <c r="L538" s="208"/>
      <c r="M538" s="208"/>
      <c r="N538" s="208"/>
      <c r="O538" s="208"/>
      <c r="P538" s="208"/>
      <c r="Q538" s="208"/>
      <c r="R538" s="208"/>
      <c r="S538" s="208"/>
      <c r="T538" s="208"/>
      <c r="U538" s="208"/>
      <c r="V538" s="208"/>
      <c r="W538" s="232"/>
      <c r="X538" s="232"/>
      <c r="Y538" s="232"/>
      <c r="Z538" s="232"/>
      <c r="AA538" s="232"/>
      <c r="AB538" s="232"/>
      <c r="AC538" s="232"/>
      <c r="AD538" s="232"/>
      <c r="AE538" s="232"/>
      <c r="AF538" s="232"/>
      <c r="AG538" s="208"/>
      <c r="AH538" s="208"/>
      <c r="AI538" s="208"/>
      <c r="AJ538" s="208"/>
      <c r="AK538" s="208"/>
    </row>
    <row r="539">
      <c r="A539" s="234"/>
      <c r="B539" s="208"/>
      <c r="C539" s="208"/>
      <c r="D539" s="208"/>
      <c r="E539" s="208"/>
      <c r="F539" s="208"/>
      <c r="G539" s="208"/>
      <c r="H539" s="208"/>
      <c r="I539" s="233"/>
      <c r="J539" s="208"/>
      <c r="K539" s="208"/>
      <c r="L539" s="208"/>
      <c r="M539" s="208"/>
      <c r="N539" s="208"/>
      <c r="O539" s="208"/>
      <c r="P539" s="208"/>
      <c r="Q539" s="208"/>
      <c r="R539" s="208"/>
      <c r="S539" s="208"/>
      <c r="T539" s="208"/>
      <c r="U539" s="208"/>
      <c r="V539" s="208"/>
      <c r="W539" s="232"/>
      <c r="X539" s="232"/>
      <c r="Y539" s="232"/>
      <c r="Z539" s="232"/>
      <c r="AA539" s="232"/>
      <c r="AB539" s="232"/>
      <c r="AC539" s="232"/>
      <c r="AD539" s="232"/>
      <c r="AE539" s="232"/>
      <c r="AF539" s="232"/>
      <c r="AG539" s="208"/>
      <c r="AH539" s="208"/>
      <c r="AI539" s="208"/>
      <c r="AJ539" s="208"/>
      <c r="AK539" s="208"/>
    </row>
    <row r="540">
      <c r="A540" s="234"/>
      <c r="B540" s="208"/>
      <c r="C540" s="208"/>
      <c r="D540" s="208"/>
      <c r="E540" s="208"/>
      <c r="F540" s="208"/>
      <c r="G540" s="208"/>
      <c r="H540" s="208"/>
      <c r="I540" s="233"/>
      <c r="J540" s="208"/>
      <c r="K540" s="208"/>
      <c r="L540" s="208"/>
      <c r="M540" s="208"/>
      <c r="N540" s="208"/>
      <c r="O540" s="208"/>
      <c r="P540" s="208"/>
      <c r="Q540" s="208"/>
      <c r="R540" s="208"/>
      <c r="S540" s="208"/>
      <c r="T540" s="208"/>
      <c r="U540" s="208"/>
      <c r="V540" s="208"/>
      <c r="W540" s="232"/>
      <c r="X540" s="232"/>
      <c r="Y540" s="232"/>
      <c r="Z540" s="232"/>
      <c r="AA540" s="232"/>
      <c r="AB540" s="232"/>
      <c r="AC540" s="232"/>
      <c r="AD540" s="232"/>
      <c r="AE540" s="232"/>
      <c r="AF540" s="232"/>
      <c r="AG540" s="208"/>
      <c r="AH540" s="208"/>
      <c r="AI540" s="208"/>
      <c r="AJ540" s="208"/>
      <c r="AK540" s="208"/>
    </row>
    <row r="541">
      <c r="A541" s="234"/>
      <c r="B541" s="208"/>
      <c r="C541" s="208"/>
      <c r="D541" s="208"/>
      <c r="E541" s="208"/>
      <c r="F541" s="208"/>
      <c r="G541" s="208"/>
      <c r="H541" s="208"/>
      <c r="I541" s="233"/>
      <c r="J541" s="208"/>
      <c r="K541" s="208"/>
      <c r="L541" s="208"/>
      <c r="M541" s="208"/>
      <c r="N541" s="208"/>
      <c r="O541" s="208"/>
      <c r="P541" s="208"/>
      <c r="Q541" s="208"/>
      <c r="R541" s="208"/>
      <c r="S541" s="208"/>
      <c r="T541" s="208"/>
      <c r="U541" s="208"/>
      <c r="V541" s="208"/>
      <c r="W541" s="232"/>
      <c r="X541" s="232"/>
      <c r="Y541" s="232"/>
      <c r="Z541" s="232"/>
      <c r="AA541" s="232"/>
      <c r="AB541" s="232"/>
      <c r="AC541" s="232"/>
      <c r="AD541" s="232"/>
      <c r="AE541" s="232"/>
      <c r="AF541" s="232"/>
      <c r="AG541" s="208"/>
      <c r="AH541" s="208"/>
      <c r="AI541" s="208"/>
      <c r="AJ541" s="208"/>
      <c r="AK541" s="208"/>
    </row>
    <row r="542">
      <c r="A542" s="234"/>
      <c r="B542" s="208"/>
      <c r="C542" s="208"/>
      <c r="D542" s="208"/>
      <c r="E542" s="208"/>
      <c r="F542" s="208"/>
      <c r="G542" s="208"/>
      <c r="H542" s="208"/>
      <c r="I542" s="233"/>
      <c r="J542" s="208"/>
      <c r="K542" s="208"/>
      <c r="L542" s="208"/>
      <c r="M542" s="208"/>
      <c r="N542" s="208"/>
      <c r="O542" s="208"/>
      <c r="P542" s="208"/>
      <c r="Q542" s="208"/>
      <c r="R542" s="208"/>
      <c r="S542" s="208"/>
      <c r="T542" s="208"/>
      <c r="U542" s="208"/>
      <c r="V542" s="208"/>
      <c r="W542" s="232"/>
      <c r="X542" s="232"/>
      <c r="Y542" s="232"/>
      <c r="Z542" s="232"/>
      <c r="AA542" s="232"/>
      <c r="AB542" s="232"/>
      <c r="AC542" s="232"/>
      <c r="AD542" s="232"/>
      <c r="AE542" s="232"/>
      <c r="AF542" s="232"/>
      <c r="AG542" s="208"/>
      <c r="AH542" s="208"/>
      <c r="AI542" s="208"/>
      <c r="AJ542" s="208"/>
      <c r="AK542" s="208"/>
    </row>
    <row r="543">
      <c r="A543" s="234"/>
      <c r="B543" s="208"/>
      <c r="C543" s="208"/>
      <c r="D543" s="208"/>
      <c r="E543" s="208"/>
      <c r="F543" s="208"/>
      <c r="G543" s="208"/>
      <c r="H543" s="208"/>
      <c r="I543" s="233"/>
      <c r="J543" s="208"/>
      <c r="K543" s="208"/>
      <c r="L543" s="208"/>
      <c r="M543" s="208"/>
      <c r="N543" s="208"/>
      <c r="O543" s="208"/>
      <c r="P543" s="208"/>
      <c r="Q543" s="208"/>
      <c r="R543" s="208"/>
      <c r="S543" s="208"/>
      <c r="T543" s="208"/>
      <c r="U543" s="208"/>
      <c r="V543" s="208"/>
      <c r="W543" s="232"/>
      <c r="X543" s="232"/>
      <c r="Y543" s="232"/>
      <c r="Z543" s="232"/>
      <c r="AA543" s="232"/>
      <c r="AB543" s="232"/>
      <c r="AC543" s="232"/>
      <c r="AD543" s="232"/>
      <c r="AE543" s="232"/>
      <c r="AF543" s="232"/>
      <c r="AG543" s="208"/>
      <c r="AH543" s="208"/>
      <c r="AI543" s="208"/>
      <c r="AJ543" s="208"/>
      <c r="AK543" s="208"/>
    </row>
    <row r="544">
      <c r="A544" s="234"/>
      <c r="B544" s="208"/>
      <c r="C544" s="208"/>
      <c r="D544" s="208"/>
      <c r="E544" s="208"/>
      <c r="F544" s="208"/>
      <c r="G544" s="208"/>
      <c r="H544" s="208"/>
      <c r="I544" s="233"/>
      <c r="J544" s="208"/>
      <c r="K544" s="208"/>
      <c r="L544" s="208"/>
      <c r="M544" s="208"/>
      <c r="N544" s="208"/>
      <c r="O544" s="208"/>
      <c r="P544" s="208"/>
      <c r="Q544" s="208"/>
      <c r="R544" s="208"/>
      <c r="S544" s="208"/>
      <c r="T544" s="208"/>
      <c r="U544" s="208"/>
      <c r="V544" s="208"/>
      <c r="W544" s="232"/>
      <c r="X544" s="232"/>
      <c r="Y544" s="232"/>
      <c r="Z544" s="232"/>
      <c r="AA544" s="232"/>
      <c r="AB544" s="232"/>
      <c r="AC544" s="232"/>
      <c r="AD544" s="232"/>
      <c r="AE544" s="232"/>
      <c r="AF544" s="232"/>
      <c r="AG544" s="208"/>
      <c r="AH544" s="208"/>
      <c r="AI544" s="208"/>
      <c r="AJ544" s="208"/>
      <c r="AK544" s="208"/>
    </row>
    <row r="545">
      <c r="A545" s="234"/>
      <c r="B545" s="208"/>
      <c r="C545" s="208"/>
      <c r="D545" s="208"/>
      <c r="E545" s="208"/>
      <c r="F545" s="208"/>
      <c r="G545" s="208"/>
      <c r="H545" s="208"/>
      <c r="I545" s="233"/>
      <c r="J545" s="208"/>
      <c r="K545" s="208"/>
      <c r="L545" s="208"/>
      <c r="M545" s="208"/>
      <c r="N545" s="208"/>
      <c r="O545" s="208"/>
      <c r="P545" s="208"/>
      <c r="Q545" s="208"/>
      <c r="R545" s="208"/>
      <c r="S545" s="208"/>
      <c r="T545" s="208"/>
      <c r="U545" s="208"/>
      <c r="V545" s="208"/>
      <c r="W545" s="232"/>
      <c r="X545" s="232"/>
      <c r="Y545" s="232"/>
      <c r="Z545" s="232"/>
      <c r="AA545" s="232"/>
      <c r="AB545" s="232"/>
      <c r="AC545" s="232"/>
      <c r="AD545" s="232"/>
      <c r="AE545" s="232"/>
      <c r="AF545" s="232"/>
      <c r="AG545" s="208"/>
      <c r="AH545" s="208"/>
      <c r="AI545" s="208"/>
      <c r="AJ545" s="208"/>
      <c r="AK545" s="208"/>
    </row>
    <row r="546">
      <c r="A546" s="234"/>
      <c r="B546" s="208"/>
      <c r="C546" s="208"/>
      <c r="D546" s="208"/>
      <c r="E546" s="208"/>
      <c r="F546" s="208"/>
      <c r="G546" s="208"/>
      <c r="H546" s="208"/>
      <c r="I546" s="233"/>
      <c r="J546" s="208"/>
      <c r="K546" s="208"/>
      <c r="L546" s="208"/>
      <c r="M546" s="208"/>
      <c r="N546" s="208"/>
      <c r="O546" s="208"/>
      <c r="P546" s="208"/>
      <c r="Q546" s="208"/>
      <c r="R546" s="208"/>
      <c r="S546" s="208"/>
      <c r="T546" s="208"/>
      <c r="U546" s="208"/>
      <c r="V546" s="208"/>
      <c r="W546" s="232"/>
      <c r="X546" s="232"/>
      <c r="Y546" s="232"/>
      <c r="Z546" s="232"/>
      <c r="AA546" s="232"/>
      <c r="AB546" s="232"/>
      <c r="AC546" s="232"/>
      <c r="AD546" s="232"/>
      <c r="AE546" s="232"/>
      <c r="AF546" s="232"/>
      <c r="AG546" s="208"/>
      <c r="AH546" s="208"/>
      <c r="AI546" s="208"/>
      <c r="AJ546" s="208"/>
      <c r="AK546" s="208"/>
    </row>
    <row r="547">
      <c r="A547" s="234"/>
      <c r="B547" s="208"/>
      <c r="C547" s="208"/>
      <c r="D547" s="208"/>
      <c r="E547" s="208"/>
      <c r="F547" s="208"/>
      <c r="G547" s="208"/>
      <c r="H547" s="208"/>
      <c r="I547" s="233"/>
      <c r="J547" s="208"/>
      <c r="K547" s="208"/>
      <c r="L547" s="208"/>
      <c r="M547" s="208"/>
      <c r="N547" s="208"/>
      <c r="O547" s="208"/>
      <c r="P547" s="208"/>
      <c r="Q547" s="208"/>
      <c r="R547" s="208"/>
      <c r="S547" s="208"/>
      <c r="T547" s="208"/>
      <c r="U547" s="208"/>
      <c r="V547" s="208"/>
      <c r="W547" s="232"/>
      <c r="X547" s="232"/>
      <c r="Y547" s="232"/>
      <c r="Z547" s="232"/>
      <c r="AA547" s="232"/>
      <c r="AB547" s="232"/>
      <c r="AC547" s="232"/>
      <c r="AD547" s="232"/>
      <c r="AE547" s="232"/>
      <c r="AF547" s="232"/>
      <c r="AG547" s="208"/>
      <c r="AH547" s="208"/>
      <c r="AI547" s="208"/>
      <c r="AJ547" s="208"/>
      <c r="AK547" s="208"/>
    </row>
    <row r="548">
      <c r="A548" s="234"/>
      <c r="B548" s="208"/>
      <c r="C548" s="208"/>
      <c r="D548" s="208"/>
      <c r="E548" s="208"/>
      <c r="F548" s="208"/>
      <c r="G548" s="208"/>
      <c r="H548" s="208"/>
      <c r="I548" s="233"/>
      <c r="J548" s="208"/>
      <c r="K548" s="208"/>
      <c r="L548" s="208"/>
      <c r="M548" s="208"/>
      <c r="N548" s="208"/>
      <c r="O548" s="208"/>
      <c r="P548" s="208"/>
      <c r="Q548" s="208"/>
      <c r="R548" s="208"/>
      <c r="S548" s="208"/>
      <c r="T548" s="208"/>
      <c r="U548" s="208"/>
      <c r="V548" s="208"/>
      <c r="W548" s="232"/>
      <c r="X548" s="232"/>
      <c r="Y548" s="232"/>
      <c r="Z548" s="232"/>
      <c r="AA548" s="232"/>
      <c r="AB548" s="232"/>
      <c r="AC548" s="232"/>
      <c r="AD548" s="232"/>
      <c r="AE548" s="232"/>
      <c r="AF548" s="232"/>
      <c r="AG548" s="208"/>
      <c r="AH548" s="208"/>
      <c r="AI548" s="208"/>
      <c r="AJ548" s="208"/>
      <c r="AK548" s="208"/>
    </row>
    <row r="549">
      <c r="A549" s="234"/>
      <c r="B549" s="208"/>
      <c r="C549" s="208"/>
      <c r="D549" s="208"/>
      <c r="E549" s="208"/>
      <c r="F549" s="208"/>
      <c r="G549" s="208"/>
      <c r="H549" s="208"/>
      <c r="I549" s="233"/>
      <c r="J549" s="208"/>
      <c r="K549" s="208"/>
      <c r="L549" s="208"/>
      <c r="M549" s="208"/>
      <c r="N549" s="208"/>
      <c r="O549" s="208"/>
      <c r="P549" s="208"/>
      <c r="Q549" s="208"/>
      <c r="R549" s="208"/>
      <c r="S549" s="208"/>
      <c r="T549" s="208"/>
      <c r="U549" s="208"/>
      <c r="V549" s="208"/>
      <c r="W549" s="232"/>
      <c r="X549" s="232"/>
      <c r="Y549" s="232"/>
      <c r="Z549" s="232"/>
      <c r="AA549" s="232"/>
      <c r="AB549" s="232"/>
      <c r="AC549" s="232"/>
      <c r="AD549" s="232"/>
      <c r="AE549" s="232"/>
      <c r="AF549" s="232"/>
      <c r="AG549" s="208"/>
      <c r="AH549" s="208"/>
      <c r="AI549" s="208"/>
      <c r="AJ549" s="208"/>
      <c r="AK549" s="208"/>
    </row>
    <row r="550">
      <c r="A550" s="234"/>
      <c r="B550" s="208"/>
      <c r="C550" s="208"/>
      <c r="D550" s="208"/>
      <c r="E550" s="208"/>
      <c r="F550" s="208"/>
      <c r="G550" s="208"/>
      <c r="H550" s="208"/>
      <c r="I550" s="233"/>
      <c r="J550" s="208"/>
      <c r="K550" s="208"/>
      <c r="L550" s="208"/>
      <c r="M550" s="208"/>
      <c r="N550" s="208"/>
      <c r="O550" s="208"/>
      <c r="P550" s="208"/>
      <c r="Q550" s="208"/>
      <c r="R550" s="208"/>
      <c r="S550" s="208"/>
      <c r="T550" s="208"/>
      <c r="U550" s="208"/>
      <c r="V550" s="208"/>
      <c r="W550" s="232"/>
      <c r="X550" s="232"/>
      <c r="Y550" s="232"/>
      <c r="Z550" s="232"/>
      <c r="AA550" s="232"/>
      <c r="AB550" s="232"/>
      <c r="AC550" s="232"/>
      <c r="AD550" s="232"/>
      <c r="AE550" s="232"/>
      <c r="AF550" s="232"/>
      <c r="AG550" s="208"/>
      <c r="AH550" s="208"/>
      <c r="AI550" s="208"/>
      <c r="AJ550" s="208"/>
      <c r="AK550" s="208"/>
    </row>
    <row r="551">
      <c r="A551" s="234"/>
      <c r="B551" s="208"/>
      <c r="C551" s="208"/>
      <c r="D551" s="208"/>
      <c r="E551" s="208"/>
      <c r="F551" s="208"/>
      <c r="G551" s="208"/>
      <c r="H551" s="208"/>
      <c r="I551" s="233"/>
      <c r="J551" s="208"/>
      <c r="K551" s="208"/>
      <c r="L551" s="208"/>
      <c r="M551" s="208"/>
      <c r="N551" s="208"/>
      <c r="O551" s="208"/>
      <c r="P551" s="208"/>
      <c r="Q551" s="208"/>
      <c r="R551" s="208"/>
      <c r="S551" s="208"/>
      <c r="T551" s="208"/>
      <c r="U551" s="208"/>
      <c r="V551" s="208"/>
      <c r="W551" s="232"/>
      <c r="X551" s="232"/>
      <c r="Y551" s="232"/>
      <c r="Z551" s="232"/>
      <c r="AA551" s="232"/>
      <c r="AB551" s="232"/>
      <c r="AC551" s="232"/>
      <c r="AD551" s="232"/>
      <c r="AE551" s="232"/>
      <c r="AF551" s="232"/>
      <c r="AG551" s="208"/>
      <c r="AH551" s="208"/>
      <c r="AI551" s="208"/>
      <c r="AJ551" s="208"/>
      <c r="AK551" s="208"/>
    </row>
    <row r="552">
      <c r="A552" s="234"/>
      <c r="B552" s="208"/>
      <c r="C552" s="208"/>
      <c r="D552" s="208"/>
      <c r="E552" s="208"/>
      <c r="F552" s="208"/>
      <c r="G552" s="208"/>
      <c r="H552" s="208"/>
      <c r="I552" s="233"/>
      <c r="J552" s="208"/>
      <c r="K552" s="208"/>
      <c r="L552" s="208"/>
      <c r="M552" s="208"/>
      <c r="N552" s="208"/>
      <c r="O552" s="208"/>
      <c r="P552" s="208"/>
      <c r="Q552" s="208"/>
      <c r="R552" s="208"/>
      <c r="S552" s="208"/>
      <c r="T552" s="208"/>
      <c r="U552" s="208"/>
      <c r="V552" s="208"/>
      <c r="W552" s="232"/>
      <c r="X552" s="232"/>
      <c r="Y552" s="232"/>
      <c r="Z552" s="232"/>
      <c r="AA552" s="232"/>
      <c r="AB552" s="232"/>
      <c r="AC552" s="232"/>
      <c r="AD552" s="232"/>
      <c r="AE552" s="232"/>
      <c r="AF552" s="232"/>
      <c r="AG552" s="208"/>
      <c r="AH552" s="208"/>
      <c r="AI552" s="208"/>
      <c r="AJ552" s="208"/>
      <c r="AK552" s="208"/>
    </row>
    <row r="553">
      <c r="A553" s="234"/>
      <c r="B553" s="208"/>
      <c r="C553" s="208"/>
      <c r="D553" s="208"/>
      <c r="E553" s="208"/>
      <c r="F553" s="208"/>
      <c r="G553" s="208"/>
      <c r="H553" s="208"/>
      <c r="I553" s="233"/>
      <c r="J553" s="208"/>
      <c r="K553" s="208"/>
      <c r="L553" s="208"/>
      <c r="M553" s="208"/>
      <c r="N553" s="208"/>
      <c r="O553" s="208"/>
      <c r="P553" s="208"/>
      <c r="Q553" s="208"/>
      <c r="R553" s="208"/>
      <c r="S553" s="208"/>
      <c r="T553" s="208"/>
      <c r="U553" s="208"/>
      <c r="V553" s="208"/>
      <c r="W553" s="232"/>
      <c r="X553" s="232"/>
      <c r="Y553" s="232"/>
      <c r="Z553" s="232"/>
      <c r="AA553" s="232"/>
      <c r="AB553" s="232"/>
      <c r="AC553" s="232"/>
      <c r="AD553" s="232"/>
      <c r="AE553" s="232"/>
      <c r="AF553" s="232"/>
      <c r="AG553" s="208"/>
      <c r="AH553" s="208"/>
      <c r="AI553" s="208"/>
      <c r="AJ553" s="208"/>
      <c r="AK553" s="208"/>
    </row>
    <row r="554">
      <c r="A554" s="234"/>
      <c r="B554" s="208"/>
      <c r="C554" s="208"/>
      <c r="D554" s="208"/>
      <c r="E554" s="208"/>
      <c r="F554" s="208"/>
      <c r="G554" s="208"/>
      <c r="H554" s="208"/>
      <c r="I554" s="233"/>
      <c r="J554" s="208"/>
      <c r="K554" s="208"/>
      <c r="L554" s="208"/>
      <c r="M554" s="208"/>
      <c r="N554" s="208"/>
      <c r="O554" s="208"/>
      <c r="P554" s="208"/>
      <c r="Q554" s="208"/>
      <c r="R554" s="208"/>
      <c r="S554" s="208"/>
      <c r="T554" s="208"/>
      <c r="U554" s="208"/>
      <c r="V554" s="208"/>
      <c r="W554" s="232"/>
      <c r="X554" s="232"/>
      <c r="Y554" s="232"/>
      <c r="Z554" s="232"/>
      <c r="AA554" s="232"/>
      <c r="AB554" s="232"/>
      <c r="AC554" s="232"/>
      <c r="AD554" s="232"/>
      <c r="AE554" s="232"/>
      <c r="AF554" s="232"/>
      <c r="AG554" s="208"/>
      <c r="AH554" s="208"/>
      <c r="AI554" s="208"/>
      <c r="AJ554" s="208"/>
      <c r="AK554" s="208"/>
    </row>
    <row r="555">
      <c r="A555" s="234"/>
      <c r="B555" s="208"/>
      <c r="C555" s="208"/>
      <c r="D555" s="208"/>
      <c r="E555" s="208"/>
      <c r="F555" s="208"/>
      <c r="G555" s="208"/>
      <c r="H555" s="208"/>
      <c r="I555" s="233"/>
      <c r="J555" s="208"/>
      <c r="K555" s="208"/>
      <c r="L555" s="208"/>
      <c r="M555" s="208"/>
      <c r="N555" s="208"/>
      <c r="O555" s="208"/>
      <c r="P555" s="208"/>
      <c r="Q555" s="208"/>
      <c r="R555" s="208"/>
      <c r="S555" s="208"/>
      <c r="T555" s="208"/>
      <c r="U555" s="208"/>
      <c r="V555" s="208"/>
      <c r="W555" s="232"/>
      <c r="X555" s="232"/>
      <c r="Y555" s="232"/>
      <c r="Z555" s="232"/>
      <c r="AA555" s="232"/>
      <c r="AB555" s="232"/>
      <c r="AC555" s="232"/>
      <c r="AD555" s="232"/>
      <c r="AE555" s="232"/>
      <c r="AF555" s="232"/>
      <c r="AG555" s="208"/>
      <c r="AH555" s="208"/>
      <c r="AI555" s="208"/>
      <c r="AJ555" s="208"/>
      <c r="AK555" s="208"/>
    </row>
    <row r="556">
      <c r="A556" s="234"/>
      <c r="B556" s="208"/>
      <c r="C556" s="208"/>
      <c r="D556" s="208"/>
      <c r="E556" s="208"/>
      <c r="F556" s="208"/>
      <c r="G556" s="208"/>
      <c r="H556" s="208"/>
      <c r="I556" s="233"/>
      <c r="J556" s="208"/>
      <c r="K556" s="208"/>
      <c r="L556" s="208"/>
      <c r="M556" s="208"/>
      <c r="N556" s="208"/>
      <c r="O556" s="208"/>
      <c r="P556" s="208"/>
      <c r="Q556" s="208"/>
      <c r="R556" s="208"/>
      <c r="S556" s="208"/>
      <c r="T556" s="208"/>
      <c r="U556" s="208"/>
      <c r="V556" s="208"/>
      <c r="W556" s="232"/>
      <c r="X556" s="232"/>
      <c r="Y556" s="232"/>
      <c r="Z556" s="232"/>
      <c r="AA556" s="232"/>
      <c r="AB556" s="232"/>
      <c r="AC556" s="232"/>
      <c r="AD556" s="232"/>
      <c r="AE556" s="232"/>
      <c r="AF556" s="232"/>
      <c r="AG556" s="208"/>
      <c r="AH556" s="208"/>
      <c r="AI556" s="208"/>
      <c r="AJ556" s="208"/>
      <c r="AK556" s="208"/>
    </row>
    <row r="557">
      <c r="A557" s="234"/>
      <c r="B557" s="208"/>
      <c r="C557" s="208"/>
      <c r="D557" s="208"/>
      <c r="E557" s="208"/>
      <c r="F557" s="208"/>
      <c r="G557" s="208"/>
      <c r="H557" s="208"/>
      <c r="I557" s="233"/>
      <c r="J557" s="208"/>
      <c r="K557" s="208"/>
      <c r="L557" s="208"/>
      <c r="M557" s="208"/>
      <c r="N557" s="208"/>
      <c r="O557" s="208"/>
      <c r="P557" s="208"/>
      <c r="Q557" s="208"/>
      <c r="R557" s="208"/>
      <c r="S557" s="208"/>
      <c r="T557" s="208"/>
      <c r="U557" s="208"/>
      <c r="V557" s="208"/>
      <c r="W557" s="232"/>
      <c r="X557" s="232"/>
      <c r="Y557" s="232"/>
      <c r="Z557" s="232"/>
      <c r="AA557" s="232"/>
      <c r="AB557" s="232"/>
      <c r="AC557" s="232"/>
      <c r="AD557" s="232"/>
      <c r="AE557" s="232"/>
      <c r="AF557" s="232"/>
      <c r="AG557" s="208"/>
      <c r="AH557" s="208"/>
      <c r="AI557" s="208"/>
      <c r="AJ557" s="208"/>
      <c r="AK557" s="208"/>
    </row>
    <row r="558">
      <c r="A558" s="234"/>
      <c r="B558" s="208"/>
      <c r="C558" s="208"/>
      <c r="D558" s="208"/>
      <c r="E558" s="208"/>
      <c r="F558" s="208"/>
      <c r="G558" s="208"/>
      <c r="H558" s="208"/>
      <c r="I558" s="233"/>
      <c r="J558" s="208"/>
      <c r="K558" s="208"/>
      <c r="L558" s="208"/>
      <c r="M558" s="208"/>
      <c r="N558" s="208"/>
      <c r="O558" s="208"/>
      <c r="P558" s="208"/>
      <c r="Q558" s="208"/>
      <c r="R558" s="208"/>
      <c r="S558" s="208"/>
      <c r="T558" s="208"/>
      <c r="U558" s="208"/>
      <c r="V558" s="208"/>
      <c r="W558" s="232"/>
      <c r="X558" s="232"/>
      <c r="Y558" s="232"/>
      <c r="Z558" s="232"/>
      <c r="AA558" s="232"/>
      <c r="AB558" s="232"/>
      <c r="AC558" s="232"/>
      <c r="AD558" s="232"/>
      <c r="AE558" s="232"/>
      <c r="AF558" s="232"/>
      <c r="AG558" s="208"/>
      <c r="AH558" s="208"/>
      <c r="AI558" s="208"/>
      <c r="AJ558" s="208"/>
      <c r="AK558" s="208"/>
    </row>
    <row r="559">
      <c r="A559" s="234"/>
      <c r="B559" s="208"/>
      <c r="C559" s="208"/>
      <c r="D559" s="208"/>
      <c r="E559" s="208"/>
      <c r="F559" s="208"/>
      <c r="G559" s="208"/>
      <c r="H559" s="208"/>
      <c r="I559" s="233"/>
      <c r="J559" s="208"/>
      <c r="K559" s="208"/>
      <c r="L559" s="208"/>
      <c r="M559" s="208"/>
      <c r="N559" s="208"/>
      <c r="O559" s="208"/>
      <c r="P559" s="208"/>
      <c r="Q559" s="208"/>
      <c r="R559" s="208"/>
      <c r="S559" s="208"/>
      <c r="T559" s="208"/>
      <c r="U559" s="208"/>
      <c r="V559" s="208"/>
      <c r="W559" s="232"/>
      <c r="X559" s="232"/>
      <c r="Y559" s="232"/>
      <c r="Z559" s="232"/>
      <c r="AA559" s="232"/>
      <c r="AB559" s="232"/>
      <c r="AC559" s="232"/>
      <c r="AD559" s="232"/>
      <c r="AE559" s="232"/>
      <c r="AF559" s="232"/>
      <c r="AG559" s="208"/>
      <c r="AH559" s="208"/>
      <c r="AI559" s="208"/>
      <c r="AJ559" s="208"/>
      <c r="AK559" s="208"/>
    </row>
    <row r="560">
      <c r="A560" s="234"/>
      <c r="B560" s="208"/>
      <c r="C560" s="208"/>
      <c r="D560" s="208"/>
      <c r="E560" s="208"/>
      <c r="F560" s="208"/>
      <c r="G560" s="208"/>
      <c r="H560" s="208"/>
      <c r="I560" s="233"/>
      <c r="J560" s="208"/>
      <c r="K560" s="208"/>
      <c r="L560" s="208"/>
      <c r="M560" s="208"/>
      <c r="N560" s="208"/>
      <c r="O560" s="208"/>
      <c r="P560" s="208"/>
      <c r="Q560" s="208"/>
      <c r="R560" s="208"/>
      <c r="S560" s="208"/>
      <c r="T560" s="208"/>
      <c r="U560" s="208"/>
      <c r="V560" s="208"/>
      <c r="W560" s="232"/>
      <c r="X560" s="232"/>
      <c r="Y560" s="232"/>
      <c r="Z560" s="232"/>
      <c r="AA560" s="232"/>
      <c r="AB560" s="232"/>
      <c r="AC560" s="232"/>
      <c r="AD560" s="232"/>
      <c r="AE560" s="232"/>
      <c r="AF560" s="232"/>
      <c r="AG560" s="208"/>
      <c r="AH560" s="208"/>
      <c r="AI560" s="208"/>
      <c r="AJ560" s="208"/>
      <c r="AK560" s="208"/>
    </row>
    <row r="561">
      <c r="A561" s="234"/>
      <c r="B561" s="208"/>
      <c r="C561" s="208"/>
      <c r="D561" s="208"/>
      <c r="E561" s="208"/>
      <c r="F561" s="208"/>
      <c r="G561" s="208"/>
      <c r="H561" s="208"/>
      <c r="I561" s="233"/>
      <c r="J561" s="208"/>
      <c r="K561" s="208"/>
      <c r="L561" s="208"/>
      <c r="M561" s="208"/>
      <c r="N561" s="208"/>
      <c r="O561" s="208"/>
      <c r="P561" s="208"/>
      <c r="Q561" s="208"/>
      <c r="R561" s="208"/>
      <c r="S561" s="208"/>
      <c r="T561" s="208"/>
      <c r="U561" s="208"/>
      <c r="V561" s="208"/>
      <c r="W561" s="232"/>
      <c r="X561" s="232"/>
      <c r="Y561" s="232"/>
      <c r="Z561" s="232"/>
      <c r="AA561" s="232"/>
      <c r="AB561" s="232"/>
      <c r="AC561" s="232"/>
      <c r="AD561" s="232"/>
      <c r="AE561" s="232"/>
      <c r="AF561" s="232"/>
      <c r="AG561" s="208"/>
      <c r="AH561" s="208"/>
      <c r="AI561" s="208"/>
      <c r="AJ561" s="208"/>
      <c r="AK561" s="208"/>
    </row>
    <row r="562">
      <c r="A562" s="234"/>
      <c r="B562" s="208"/>
      <c r="C562" s="208"/>
      <c r="D562" s="208"/>
      <c r="E562" s="208"/>
      <c r="F562" s="208"/>
      <c r="G562" s="208"/>
      <c r="H562" s="208"/>
      <c r="I562" s="233"/>
      <c r="J562" s="208"/>
      <c r="K562" s="208"/>
      <c r="L562" s="208"/>
      <c r="M562" s="208"/>
      <c r="N562" s="208"/>
      <c r="O562" s="208"/>
      <c r="P562" s="208"/>
      <c r="Q562" s="208"/>
      <c r="R562" s="208"/>
      <c r="S562" s="208"/>
      <c r="T562" s="208"/>
      <c r="U562" s="208"/>
      <c r="V562" s="208"/>
      <c r="W562" s="232"/>
      <c r="X562" s="232"/>
      <c r="Y562" s="232"/>
      <c r="Z562" s="232"/>
      <c r="AA562" s="232"/>
      <c r="AB562" s="232"/>
      <c r="AC562" s="232"/>
      <c r="AD562" s="232"/>
      <c r="AE562" s="232"/>
      <c r="AF562" s="232"/>
      <c r="AG562" s="208"/>
      <c r="AH562" s="208"/>
      <c r="AI562" s="208"/>
      <c r="AJ562" s="208"/>
      <c r="AK562" s="208"/>
    </row>
    <row r="563">
      <c r="A563" s="234"/>
      <c r="B563" s="208"/>
      <c r="C563" s="208"/>
      <c r="D563" s="208"/>
      <c r="E563" s="208"/>
      <c r="F563" s="208"/>
      <c r="G563" s="208"/>
      <c r="H563" s="208"/>
      <c r="I563" s="233"/>
      <c r="J563" s="208"/>
      <c r="K563" s="208"/>
      <c r="L563" s="208"/>
      <c r="M563" s="208"/>
      <c r="N563" s="208"/>
      <c r="O563" s="208"/>
      <c r="P563" s="208"/>
      <c r="Q563" s="208"/>
      <c r="R563" s="208"/>
      <c r="S563" s="208"/>
      <c r="T563" s="208"/>
      <c r="U563" s="208"/>
      <c r="V563" s="208"/>
      <c r="W563" s="232"/>
      <c r="X563" s="232"/>
      <c r="Y563" s="232"/>
      <c r="Z563" s="232"/>
      <c r="AA563" s="232"/>
      <c r="AB563" s="232"/>
      <c r="AC563" s="232"/>
      <c r="AD563" s="232"/>
      <c r="AE563" s="232"/>
      <c r="AF563" s="232"/>
      <c r="AG563" s="208"/>
      <c r="AH563" s="208"/>
      <c r="AI563" s="208"/>
      <c r="AJ563" s="208"/>
      <c r="AK563" s="208"/>
    </row>
    <row r="564">
      <c r="A564" s="234"/>
      <c r="B564" s="208"/>
      <c r="C564" s="208"/>
      <c r="D564" s="208"/>
      <c r="E564" s="208"/>
      <c r="F564" s="208"/>
      <c r="G564" s="208"/>
      <c r="H564" s="208"/>
      <c r="I564" s="233"/>
      <c r="J564" s="208"/>
      <c r="K564" s="208"/>
      <c r="L564" s="208"/>
      <c r="M564" s="208"/>
      <c r="N564" s="208"/>
      <c r="O564" s="208"/>
      <c r="P564" s="208"/>
      <c r="Q564" s="208"/>
      <c r="R564" s="208"/>
      <c r="S564" s="208"/>
      <c r="T564" s="208"/>
      <c r="U564" s="208"/>
      <c r="V564" s="208"/>
      <c r="W564" s="232"/>
      <c r="X564" s="232"/>
      <c r="Y564" s="232"/>
      <c r="Z564" s="232"/>
      <c r="AA564" s="232"/>
      <c r="AB564" s="232"/>
      <c r="AC564" s="232"/>
      <c r="AD564" s="232"/>
      <c r="AE564" s="232"/>
      <c r="AF564" s="232"/>
      <c r="AG564" s="208"/>
      <c r="AH564" s="208"/>
      <c r="AI564" s="208"/>
      <c r="AJ564" s="208"/>
      <c r="AK564" s="208"/>
    </row>
    <row r="565">
      <c r="A565" s="234"/>
      <c r="B565" s="208"/>
      <c r="C565" s="208"/>
      <c r="D565" s="208"/>
      <c r="E565" s="208"/>
      <c r="F565" s="208"/>
      <c r="G565" s="208"/>
      <c r="H565" s="208"/>
      <c r="I565" s="233"/>
      <c r="J565" s="208"/>
      <c r="K565" s="208"/>
      <c r="L565" s="208"/>
      <c r="M565" s="208"/>
      <c r="N565" s="208"/>
      <c r="O565" s="208"/>
      <c r="P565" s="208"/>
      <c r="Q565" s="208"/>
      <c r="R565" s="208"/>
      <c r="S565" s="208"/>
      <c r="T565" s="208"/>
      <c r="U565" s="208"/>
      <c r="V565" s="208"/>
      <c r="W565" s="232"/>
      <c r="X565" s="232"/>
      <c r="Y565" s="232"/>
      <c r="Z565" s="232"/>
      <c r="AA565" s="232"/>
      <c r="AB565" s="232"/>
      <c r="AC565" s="232"/>
      <c r="AD565" s="232"/>
      <c r="AE565" s="232"/>
      <c r="AF565" s="232"/>
      <c r="AG565" s="208"/>
      <c r="AH565" s="208"/>
      <c r="AI565" s="208"/>
      <c r="AJ565" s="208"/>
      <c r="AK565" s="208"/>
    </row>
    <row r="566">
      <c r="A566" s="234"/>
      <c r="B566" s="208"/>
      <c r="C566" s="208"/>
      <c r="D566" s="208"/>
      <c r="E566" s="208"/>
      <c r="F566" s="208"/>
      <c r="G566" s="208"/>
      <c r="H566" s="208"/>
      <c r="I566" s="233"/>
      <c r="J566" s="208"/>
      <c r="K566" s="208"/>
      <c r="L566" s="208"/>
      <c r="M566" s="208"/>
      <c r="N566" s="208"/>
      <c r="O566" s="208"/>
      <c r="P566" s="208"/>
      <c r="Q566" s="208"/>
      <c r="R566" s="208"/>
      <c r="S566" s="208"/>
      <c r="T566" s="208"/>
      <c r="U566" s="208"/>
      <c r="V566" s="208"/>
      <c r="W566" s="232"/>
      <c r="X566" s="232"/>
      <c r="Y566" s="232"/>
      <c r="Z566" s="232"/>
      <c r="AA566" s="232"/>
      <c r="AB566" s="232"/>
      <c r="AC566" s="232"/>
      <c r="AD566" s="232"/>
      <c r="AE566" s="232"/>
      <c r="AF566" s="232"/>
      <c r="AG566" s="208"/>
      <c r="AH566" s="208"/>
      <c r="AI566" s="208"/>
      <c r="AJ566" s="208"/>
      <c r="AK566" s="208"/>
    </row>
    <row r="567">
      <c r="A567" s="234"/>
      <c r="B567" s="208"/>
      <c r="C567" s="208"/>
      <c r="D567" s="208"/>
      <c r="E567" s="208"/>
      <c r="F567" s="208"/>
      <c r="G567" s="208"/>
      <c r="H567" s="208"/>
      <c r="I567" s="233"/>
      <c r="J567" s="208"/>
      <c r="K567" s="208"/>
      <c r="L567" s="208"/>
      <c r="M567" s="208"/>
      <c r="N567" s="208"/>
      <c r="O567" s="208"/>
      <c r="P567" s="208"/>
      <c r="Q567" s="208"/>
      <c r="R567" s="208"/>
      <c r="S567" s="208"/>
      <c r="T567" s="208"/>
      <c r="U567" s="208"/>
      <c r="V567" s="208"/>
      <c r="W567" s="232"/>
      <c r="X567" s="232"/>
      <c r="Y567" s="232"/>
      <c r="Z567" s="232"/>
      <c r="AA567" s="232"/>
      <c r="AB567" s="232"/>
      <c r="AC567" s="232"/>
      <c r="AD567" s="232"/>
      <c r="AE567" s="232"/>
      <c r="AF567" s="232"/>
      <c r="AG567" s="208"/>
      <c r="AH567" s="208"/>
      <c r="AI567" s="208"/>
      <c r="AJ567" s="208"/>
      <c r="AK567" s="208"/>
    </row>
    <row r="568">
      <c r="A568" s="234"/>
      <c r="B568" s="208"/>
      <c r="C568" s="208"/>
      <c r="D568" s="208"/>
      <c r="E568" s="208"/>
      <c r="F568" s="208"/>
      <c r="G568" s="208"/>
      <c r="H568" s="208"/>
      <c r="I568" s="233"/>
      <c r="J568" s="208"/>
      <c r="K568" s="208"/>
      <c r="L568" s="208"/>
      <c r="M568" s="208"/>
      <c r="N568" s="208"/>
      <c r="O568" s="208"/>
      <c r="P568" s="208"/>
      <c r="Q568" s="208"/>
      <c r="R568" s="208"/>
      <c r="S568" s="208"/>
      <c r="T568" s="208"/>
      <c r="U568" s="208"/>
      <c r="V568" s="208"/>
      <c r="W568" s="232"/>
      <c r="X568" s="232"/>
      <c r="Y568" s="232"/>
      <c r="Z568" s="232"/>
      <c r="AA568" s="232"/>
      <c r="AB568" s="232"/>
      <c r="AC568" s="232"/>
      <c r="AD568" s="232"/>
      <c r="AE568" s="232"/>
      <c r="AF568" s="232"/>
      <c r="AG568" s="208"/>
      <c r="AH568" s="208"/>
      <c r="AI568" s="208"/>
      <c r="AJ568" s="208"/>
      <c r="AK568" s="208"/>
    </row>
    <row r="569">
      <c r="A569" s="234"/>
      <c r="B569" s="208"/>
      <c r="C569" s="208"/>
      <c r="D569" s="208"/>
      <c r="E569" s="208"/>
      <c r="F569" s="208"/>
      <c r="G569" s="208"/>
      <c r="H569" s="208"/>
      <c r="I569" s="233"/>
      <c r="J569" s="208"/>
      <c r="K569" s="208"/>
      <c r="L569" s="208"/>
      <c r="M569" s="208"/>
      <c r="N569" s="208"/>
      <c r="O569" s="208"/>
      <c r="P569" s="208"/>
      <c r="Q569" s="208"/>
      <c r="R569" s="208"/>
      <c r="S569" s="208"/>
      <c r="T569" s="208"/>
      <c r="U569" s="208"/>
      <c r="V569" s="208"/>
      <c r="W569" s="232"/>
      <c r="X569" s="232"/>
      <c r="Y569" s="232"/>
      <c r="Z569" s="232"/>
      <c r="AA569" s="232"/>
      <c r="AB569" s="232"/>
      <c r="AC569" s="232"/>
      <c r="AD569" s="232"/>
      <c r="AE569" s="232"/>
      <c r="AF569" s="232"/>
      <c r="AG569" s="208"/>
      <c r="AH569" s="208"/>
      <c r="AI569" s="208"/>
      <c r="AJ569" s="208"/>
      <c r="AK569" s="208"/>
    </row>
    <row r="570">
      <c r="A570" s="234"/>
      <c r="B570" s="208"/>
      <c r="C570" s="208"/>
      <c r="D570" s="208"/>
      <c r="E570" s="208"/>
      <c r="F570" s="208"/>
      <c r="G570" s="208"/>
      <c r="H570" s="208"/>
      <c r="I570" s="233"/>
      <c r="J570" s="208"/>
      <c r="K570" s="208"/>
      <c r="L570" s="208"/>
      <c r="M570" s="208"/>
      <c r="N570" s="208"/>
      <c r="O570" s="208"/>
      <c r="P570" s="208"/>
      <c r="Q570" s="208"/>
      <c r="R570" s="208"/>
      <c r="S570" s="208"/>
      <c r="T570" s="208"/>
      <c r="U570" s="208"/>
      <c r="V570" s="208"/>
      <c r="W570" s="232"/>
      <c r="X570" s="232"/>
      <c r="Y570" s="232"/>
      <c r="Z570" s="232"/>
      <c r="AA570" s="232"/>
      <c r="AB570" s="232"/>
      <c r="AC570" s="232"/>
      <c r="AD570" s="232"/>
      <c r="AE570" s="232"/>
      <c r="AF570" s="232"/>
      <c r="AG570" s="208"/>
      <c r="AH570" s="208"/>
      <c r="AI570" s="208"/>
      <c r="AJ570" s="208"/>
      <c r="AK570" s="208"/>
    </row>
    <row r="571">
      <c r="A571" s="234"/>
      <c r="B571" s="208"/>
      <c r="C571" s="208"/>
      <c r="D571" s="208"/>
      <c r="E571" s="208"/>
      <c r="F571" s="208"/>
      <c r="G571" s="208"/>
      <c r="H571" s="208"/>
      <c r="I571" s="233"/>
      <c r="J571" s="208"/>
      <c r="K571" s="208"/>
      <c r="L571" s="208"/>
      <c r="M571" s="208"/>
      <c r="N571" s="208"/>
      <c r="O571" s="208"/>
      <c r="P571" s="208"/>
      <c r="Q571" s="208"/>
      <c r="R571" s="208"/>
      <c r="S571" s="208"/>
      <c r="T571" s="208"/>
      <c r="U571" s="208"/>
      <c r="V571" s="208"/>
      <c r="W571" s="232"/>
      <c r="X571" s="232"/>
      <c r="Y571" s="232"/>
      <c r="Z571" s="232"/>
      <c r="AA571" s="232"/>
      <c r="AB571" s="232"/>
      <c r="AC571" s="232"/>
      <c r="AD571" s="232"/>
      <c r="AE571" s="232"/>
      <c r="AF571" s="232"/>
      <c r="AG571" s="208"/>
      <c r="AH571" s="208"/>
      <c r="AI571" s="208"/>
      <c r="AJ571" s="208"/>
      <c r="AK571" s="208"/>
    </row>
    <row r="572">
      <c r="A572" s="234"/>
      <c r="B572" s="208"/>
      <c r="C572" s="208"/>
      <c r="D572" s="208"/>
      <c r="E572" s="208"/>
      <c r="F572" s="208"/>
      <c r="G572" s="208"/>
      <c r="H572" s="208"/>
      <c r="I572" s="233"/>
      <c r="J572" s="208"/>
      <c r="K572" s="208"/>
      <c r="L572" s="208"/>
      <c r="M572" s="208"/>
      <c r="N572" s="208"/>
      <c r="O572" s="208"/>
      <c r="P572" s="208"/>
      <c r="Q572" s="208"/>
      <c r="R572" s="208"/>
      <c r="S572" s="208"/>
      <c r="T572" s="208"/>
      <c r="U572" s="208"/>
      <c r="V572" s="208"/>
      <c r="W572" s="232"/>
      <c r="X572" s="232"/>
      <c r="Y572" s="232"/>
      <c r="Z572" s="232"/>
      <c r="AA572" s="232"/>
      <c r="AB572" s="232"/>
      <c r="AC572" s="232"/>
      <c r="AD572" s="232"/>
      <c r="AE572" s="232"/>
      <c r="AF572" s="232"/>
      <c r="AG572" s="208"/>
      <c r="AH572" s="208"/>
      <c r="AI572" s="208"/>
      <c r="AJ572" s="208"/>
      <c r="AK572" s="208"/>
    </row>
    <row r="573">
      <c r="A573" s="234"/>
      <c r="B573" s="208"/>
      <c r="C573" s="208"/>
      <c r="D573" s="208"/>
      <c r="E573" s="208"/>
      <c r="F573" s="208"/>
      <c r="G573" s="208"/>
      <c r="H573" s="208"/>
      <c r="I573" s="233"/>
      <c r="J573" s="208"/>
      <c r="K573" s="208"/>
      <c r="L573" s="208"/>
      <c r="M573" s="208"/>
      <c r="N573" s="208"/>
      <c r="O573" s="208"/>
      <c r="P573" s="208"/>
      <c r="Q573" s="208"/>
      <c r="R573" s="208"/>
      <c r="S573" s="208"/>
      <c r="T573" s="208"/>
      <c r="U573" s="208"/>
      <c r="V573" s="208"/>
      <c r="W573" s="232"/>
      <c r="X573" s="232"/>
      <c r="Y573" s="232"/>
      <c r="Z573" s="232"/>
      <c r="AA573" s="232"/>
      <c r="AB573" s="232"/>
      <c r="AC573" s="232"/>
      <c r="AD573" s="232"/>
      <c r="AE573" s="232"/>
      <c r="AF573" s="232"/>
      <c r="AG573" s="208"/>
      <c r="AH573" s="208"/>
      <c r="AI573" s="208"/>
      <c r="AJ573" s="208"/>
      <c r="AK573" s="208"/>
    </row>
    <row r="574">
      <c r="A574" s="234"/>
      <c r="B574" s="208"/>
      <c r="C574" s="208"/>
      <c r="D574" s="208"/>
      <c r="E574" s="208"/>
      <c r="F574" s="208"/>
      <c r="G574" s="208"/>
      <c r="H574" s="208"/>
      <c r="I574" s="233"/>
      <c r="J574" s="208"/>
      <c r="K574" s="208"/>
      <c r="L574" s="208"/>
      <c r="M574" s="208"/>
      <c r="N574" s="208"/>
      <c r="O574" s="208"/>
      <c r="P574" s="208"/>
      <c r="Q574" s="208"/>
      <c r="R574" s="208"/>
      <c r="S574" s="208"/>
      <c r="T574" s="208"/>
      <c r="U574" s="208"/>
      <c r="V574" s="208"/>
      <c r="W574" s="232"/>
      <c r="X574" s="232"/>
      <c r="Y574" s="232"/>
      <c r="Z574" s="232"/>
      <c r="AA574" s="232"/>
      <c r="AB574" s="232"/>
      <c r="AC574" s="232"/>
      <c r="AD574" s="232"/>
      <c r="AE574" s="232"/>
      <c r="AF574" s="232"/>
      <c r="AG574" s="208"/>
      <c r="AH574" s="208"/>
      <c r="AI574" s="208"/>
      <c r="AJ574" s="208"/>
      <c r="AK574" s="208"/>
    </row>
    <row r="575">
      <c r="A575" s="234"/>
      <c r="B575" s="208"/>
      <c r="C575" s="208"/>
      <c r="D575" s="208"/>
      <c r="E575" s="208"/>
      <c r="F575" s="208"/>
      <c r="G575" s="208"/>
      <c r="H575" s="208"/>
      <c r="I575" s="233"/>
      <c r="J575" s="208"/>
      <c r="K575" s="208"/>
      <c r="L575" s="208"/>
      <c r="M575" s="208"/>
      <c r="N575" s="208"/>
      <c r="O575" s="208"/>
      <c r="P575" s="208"/>
      <c r="Q575" s="208"/>
      <c r="R575" s="208"/>
      <c r="S575" s="208"/>
      <c r="T575" s="208"/>
      <c r="U575" s="208"/>
      <c r="V575" s="208"/>
      <c r="W575" s="232"/>
      <c r="X575" s="232"/>
      <c r="Y575" s="232"/>
      <c r="Z575" s="232"/>
      <c r="AA575" s="232"/>
      <c r="AB575" s="232"/>
      <c r="AC575" s="232"/>
      <c r="AD575" s="232"/>
      <c r="AE575" s="232"/>
      <c r="AF575" s="232"/>
      <c r="AG575" s="208"/>
      <c r="AH575" s="208"/>
      <c r="AI575" s="208"/>
      <c r="AJ575" s="208"/>
      <c r="AK575" s="208"/>
    </row>
    <row r="576">
      <c r="A576" s="234"/>
      <c r="B576" s="208"/>
      <c r="C576" s="208"/>
      <c r="D576" s="208"/>
      <c r="E576" s="208"/>
      <c r="F576" s="208"/>
      <c r="G576" s="208"/>
      <c r="H576" s="208"/>
      <c r="I576" s="233"/>
      <c r="J576" s="208"/>
      <c r="K576" s="208"/>
      <c r="L576" s="208"/>
      <c r="M576" s="208"/>
      <c r="N576" s="208"/>
      <c r="O576" s="208"/>
      <c r="P576" s="208"/>
      <c r="Q576" s="208"/>
      <c r="R576" s="208"/>
      <c r="S576" s="208"/>
      <c r="T576" s="208"/>
      <c r="U576" s="208"/>
      <c r="V576" s="208"/>
      <c r="W576" s="232"/>
      <c r="X576" s="232"/>
      <c r="Y576" s="232"/>
      <c r="Z576" s="232"/>
      <c r="AA576" s="232"/>
      <c r="AB576" s="232"/>
      <c r="AC576" s="232"/>
      <c r="AD576" s="232"/>
      <c r="AE576" s="232"/>
      <c r="AF576" s="232"/>
      <c r="AG576" s="208"/>
      <c r="AH576" s="208"/>
      <c r="AI576" s="208"/>
      <c r="AJ576" s="208"/>
      <c r="AK576" s="208"/>
    </row>
    <row r="577">
      <c r="A577" s="234"/>
      <c r="B577" s="208"/>
      <c r="C577" s="208"/>
      <c r="D577" s="208"/>
      <c r="E577" s="208"/>
      <c r="F577" s="208"/>
      <c r="G577" s="208"/>
      <c r="H577" s="208"/>
      <c r="I577" s="233"/>
      <c r="J577" s="208"/>
      <c r="K577" s="208"/>
      <c r="L577" s="208"/>
      <c r="M577" s="208"/>
      <c r="N577" s="208"/>
      <c r="O577" s="208"/>
      <c r="P577" s="208"/>
      <c r="Q577" s="208"/>
      <c r="R577" s="208"/>
      <c r="S577" s="208"/>
      <c r="T577" s="208"/>
      <c r="U577" s="208"/>
      <c r="V577" s="208"/>
      <c r="W577" s="232"/>
      <c r="X577" s="232"/>
      <c r="Y577" s="232"/>
      <c r="Z577" s="232"/>
      <c r="AA577" s="232"/>
      <c r="AB577" s="232"/>
      <c r="AC577" s="232"/>
      <c r="AD577" s="232"/>
      <c r="AE577" s="232"/>
      <c r="AF577" s="232"/>
      <c r="AG577" s="208"/>
      <c r="AH577" s="208"/>
      <c r="AI577" s="208"/>
      <c r="AJ577" s="208"/>
      <c r="AK577" s="208"/>
    </row>
    <row r="578">
      <c r="A578" s="234"/>
      <c r="B578" s="208"/>
      <c r="C578" s="208"/>
      <c r="D578" s="208"/>
      <c r="E578" s="208"/>
      <c r="F578" s="208"/>
      <c r="G578" s="208"/>
      <c r="H578" s="208"/>
      <c r="I578" s="233"/>
      <c r="J578" s="208"/>
      <c r="K578" s="208"/>
      <c r="L578" s="208"/>
      <c r="M578" s="208"/>
      <c r="N578" s="208"/>
      <c r="O578" s="208"/>
      <c r="P578" s="208"/>
      <c r="Q578" s="208"/>
      <c r="R578" s="208"/>
      <c r="S578" s="208"/>
      <c r="T578" s="208"/>
      <c r="U578" s="208"/>
      <c r="V578" s="208"/>
      <c r="W578" s="232"/>
      <c r="X578" s="232"/>
      <c r="Y578" s="232"/>
      <c r="Z578" s="232"/>
      <c r="AA578" s="232"/>
      <c r="AB578" s="232"/>
      <c r="AC578" s="232"/>
      <c r="AD578" s="232"/>
      <c r="AE578" s="232"/>
      <c r="AF578" s="232"/>
      <c r="AG578" s="208"/>
      <c r="AH578" s="208"/>
      <c r="AI578" s="208"/>
      <c r="AJ578" s="208"/>
      <c r="AK578" s="208"/>
    </row>
    <row r="579">
      <c r="A579" s="234"/>
      <c r="B579" s="208"/>
      <c r="C579" s="208"/>
      <c r="D579" s="208"/>
      <c r="E579" s="208"/>
      <c r="F579" s="208"/>
      <c r="G579" s="208"/>
      <c r="H579" s="208"/>
      <c r="I579" s="233"/>
      <c r="J579" s="208"/>
      <c r="K579" s="208"/>
      <c r="L579" s="208"/>
      <c r="M579" s="208"/>
      <c r="N579" s="208"/>
      <c r="O579" s="208"/>
      <c r="P579" s="208"/>
      <c r="Q579" s="208"/>
      <c r="R579" s="208"/>
      <c r="S579" s="208"/>
      <c r="T579" s="208"/>
      <c r="U579" s="208"/>
      <c r="V579" s="208"/>
      <c r="W579" s="232"/>
      <c r="X579" s="232"/>
      <c r="Y579" s="232"/>
      <c r="Z579" s="232"/>
      <c r="AA579" s="232"/>
      <c r="AB579" s="232"/>
      <c r="AC579" s="232"/>
      <c r="AD579" s="232"/>
      <c r="AE579" s="232"/>
      <c r="AF579" s="232"/>
      <c r="AG579" s="208"/>
      <c r="AH579" s="208"/>
      <c r="AI579" s="208"/>
      <c r="AJ579" s="208"/>
      <c r="AK579" s="208"/>
    </row>
    <row r="580">
      <c r="A580" s="234"/>
      <c r="B580" s="208"/>
      <c r="C580" s="208"/>
      <c r="D580" s="208"/>
      <c r="E580" s="208"/>
      <c r="F580" s="208"/>
      <c r="G580" s="208"/>
      <c r="H580" s="208"/>
      <c r="I580" s="233"/>
      <c r="J580" s="208"/>
      <c r="K580" s="208"/>
      <c r="L580" s="208"/>
      <c r="M580" s="208"/>
      <c r="N580" s="208"/>
      <c r="O580" s="208"/>
      <c r="P580" s="208"/>
      <c r="Q580" s="208"/>
      <c r="R580" s="208"/>
      <c r="S580" s="208"/>
      <c r="T580" s="208"/>
      <c r="U580" s="208"/>
      <c r="V580" s="208"/>
      <c r="W580" s="232"/>
      <c r="X580" s="232"/>
      <c r="Y580" s="232"/>
      <c r="Z580" s="232"/>
      <c r="AA580" s="232"/>
      <c r="AB580" s="232"/>
      <c r="AC580" s="232"/>
      <c r="AD580" s="232"/>
      <c r="AE580" s="232"/>
      <c r="AF580" s="232"/>
      <c r="AG580" s="208"/>
      <c r="AH580" s="208"/>
      <c r="AI580" s="208"/>
      <c r="AJ580" s="208"/>
      <c r="AK580" s="208"/>
    </row>
    <row r="581">
      <c r="A581" s="234"/>
      <c r="B581" s="208"/>
      <c r="C581" s="208"/>
      <c r="D581" s="208"/>
      <c r="E581" s="208"/>
      <c r="F581" s="208"/>
      <c r="G581" s="208"/>
      <c r="H581" s="208"/>
      <c r="I581" s="233"/>
      <c r="J581" s="208"/>
      <c r="K581" s="208"/>
      <c r="L581" s="208"/>
      <c r="M581" s="208"/>
      <c r="N581" s="208"/>
      <c r="O581" s="208"/>
      <c r="P581" s="208"/>
      <c r="Q581" s="208"/>
      <c r="R581" s="208"/>
      <c r="S581" s="208"/>
      <c r="T581" s="208"/>
      <c r="U581" s="208"/>
      <c r="V581" s="208"/>
      <c r="W581" s="232"/>
      <c r="X581" s="232"/>
      <c r="Y581" s="232"/>
      <c r="Z581" s="232"/>
      <c r="AA581" s="232"/>
      <c r="AB581" s="232"/>
      <c r="AC581" s="232"/>
      <c r="AD581" s="232"/>
      <c r="AE581" s="232"/>
      <c r="AF581" s="232"/>
      <c r="AG581" s="208"/>
      <c r="AH581" s="208"/>
      <c r="AI581" s="208"/>
      <c r="AJ581" s="208"/>
      <c r="AK581" s="208"/>
    </row>
    <row r="582">
      <c r="A582" s="234"/>
      <c r="B582" s="208"/>
      <c r="C582" s="208"/>
      <c r="D582" s="208"/>
      <c r="E582" s="208"/>
      <c r="F582" s="208"/>
      <c r="G582" s="208"/>
      <c r="H582" s="208"/>
      <c r="I582" s="233"/>
      <c r="J582" s="208"/>
      <c r="K582" s="208"/>
      <c r="L582" s="208"/>
      <c r="M582" s="208"/>
      <c r="N582" s="208"/>
      <c r="O582" s="208"/>
      <c r="P582" s="208"/>
      <c r="Q582" s="208"/>
      <c r="R582" s="208"/>
      <c r="S582" s="208"/>
      <c r="T582" s="208"/>
      <c r="U582" s="208"/>
      <c r="V582" s="208"/>
      <c r="W582" s="232"/>
      <c r="X582" s="232"/>
      <c r="Y582" s="232"/>
      <c r="Z582" s="232"/>
      <c r="AA582" s="232"/>
      <c r="AB582" s="232"/>
      <c r="AC582" s="232"/>
      <c r="AD582" s="232"/>
      <c r="AE582" s="232"/>
      <c r="AF582" s="232"/>
      <c r="AG582" s="208"/>
      <c r="AH582" s="208"/>
      <c r="AI582" s="208"/>
      <c r="AJ582" s="208"/>
      <c r="AK582" s="208"/>
    </row>
    <row r="583">
      <c r="A583" s="234"/>
      <c r="B583" s="208"/>
      <c r="C583" s="208"/>
      <c r="D583" s="208"/>
      <c r="E583" s="208"/>
      <c r="F583" s="208"/>
      <c r="G583" s="208"/>
      <c r="H583" s="208"/>
      <c r="I583" s="233"/>
      <c r="J583" s="208"/>
      <c r="K583" s="208"/>
      <c r="L583" s="208"/>
      <c r="M583" s="208"/>
      <c r="N583" s="208"/>
      <c r="O583" s="208"/>
      <c r="P583" s="208"/>
      <c r="Q583" s="208"/>
      <c r="R583" s="208"/>
      <c r="S583" s="208"/>
      <c r="T583" s="208"/>
      <c r="U583" s="208"/>
      <c r="V583" s="208"/>
      <c r="W583" s="232"/>
      <c r="X583" s="232"/>
      <c r="Y583" s="232"/>
      <c r="Z583" s="232"/>
      <c r="AA583" s="232"/>
      <c r="AB583" s="232"/>
      <c r="AC583" s="232"/>
      <c r="AD583" s="232"/>
      <c r="AE583" s="232"/>
      <c r="AF583" s="232"/>
      <c r="AG583" s="208"/>
      <c r="AH583" s="208"/>
      <c r="AI583" s="208"/>
      <c r="AJ583" s="208"/>
      <c r="AK583" s="208"/>
    </row>
    <row r="584">
      <c r="A584" s="234"/>
      <c r="B584" s="208"/>
      <c r="C584" s="208"/>
      <c r="D584" s="208"/>
      <c r="E584" s="208"/>
      <c r="F584" s="208"/>
      <c r="G584" s="208"/>
      <c r="H584" s="208"/>
      <c r="I584" s="233"/>
      <c r="J584" s="208"/>
      <c r="K584" s="208"/>
      <c r="L584" s="208"/>
      <c r="M584" s="208"/>
      <c r="N584" s="208"/>
      <c r="O584" s="208"/>
      <c r="P584" s="208"/>
      <c r="Q584" s="208"/>
      <c r="R584" s="208"/>
      <c r="S584" s="208"/>
      <c r="T584" s="208"/>
      <c r="U584" s="208"/>
      <c r="V584" s="208"/>
      <c r="W584" s="232"/>
      <c r="X584" s="232"/>
      <c r="Y584" s="232"/>
      <c r="Z584" s="232"/>
      <c r="AA584" s="232"/>
      <c r="AB584" s="232"/>
      <c r="AC584" s="232"/>
      <c r="AD584" s="232"/>
      <c r="AE584" s="232"/>
      <c r="AF584" s="232"/>
      <c r="AG584" s="208"/>
      <c r="AH584" s="208"/>
      <c r="AI584" s="208"/>
      <c r="AJ584" s="208"/>
      <c r="AK584" s="208"/>
    </row>
    <row r="585">
      <c r="A585" s="234"/>
      <c r="B585" s="208"/>
      <c r="C585" s="208"/>
      <c r="D585" s="208"/>
      <c r="E585" s="208"/>
      <c r="F585" s="208"/>
      <c r="G585" s="208"/>
      <c r="H585" s="208"/>
      <c r="I585" s="233"/>
      <c r="J585" s="208"/>
      <c r="K585" s="208"/>
      <c r="L585" s="208"/>
      <c r="M585" s="208"/>
      <c r="N585" s="208"/>
      <c r="O585" s="208"/>
      <c r="P585" s="208"/>
      <c r="Q585" s="208"/>
      <c r="R585" s="208"/>
      <c r="S585" s="208"/>
      <c r="T585" s="208"/>
      <c r="U585" s="208"/>
      <c r="V585" s="208"/>
      <c r="W585" s="232"/>
      <c r="X585" s="232"/>
      <c r="Y585" s="232"/>
      <c r="Z585" s="232"/>
      <c r="AA585" s="232"/>
      <c r="AB585" s="232"/>
      <c r="AC585" s="232"/>
      <c r="AD585" s="232"/>
      <c r="AE585" s="232"/>
      <c r="AF585" s="232"/>
      <c r="AG585" s="208"/>
      <c r="AH585" s="208"/>
      <c r="AI585" s="208"/>
      <c r="AJ585" s="208"/>
      <c r="AK585" s="208"/>
    </row>
    <row r="586">
      <c r="A586" s="234"/>
      <c r="B586" s="208"/>
      <c r="C586" s="208"/>
      <c r="D586" s="208"/>
      <c r="E586" s="208"/>
      <c r="F586" s="208"/>
      <c r="G586" s="208"/>
      <c r="H586" s="208"/>
      <c r="I586" s="233"/>
      <c r="J586" s="208"/>
      <c r="K586" s="208"/>
      <c r="L586" s="208"/>
      <c r="M586" s="208"/>
      <c r="N586" s="208"/>
      <c r="O586" s="208"/>
      <c r="P586" s="208"/>
      <c r="Q586" s="208"/>
      <c r="R586" s="208"/>
      <c r="S586" s="208"/>
      <c r="T586" s="208"/>
      <c r="U586" s="208"/>
      <c r="V586" s="208"/>
      <c r="W586" s="232"/>
      <c r="X586" s="232"/>
      <c r="Y586" s="232"/>
      <c r="Z586" s="232"/>
      <c r="AA586" s="232"/>
      <c r="AB586" s="232"/>
      <c r="AC586" s="232"/>
      <c r="AD586" s="232"/>
      <c r="AE586" s="232"/>
      <c r="AF586" s="232"/>
      <c r="AG586" s="208"/>
      <c r="AH586" s="208"/>
      <c r="AI586" s="208"/>
      <c r="AJ586" s="208"/>
      <c r="AK586" s="208"/>
    </row>
    <row r="587">
      <c r="A587" s="234"/>
      <c r="B587" s="208"/>
      <c r="C587" s="208"/>
      <c r="D587" s="208"/>
      <c r="E587" s="208"/>
      <c r="F587" s="208"/>
      <c r="G587" s="208"/>
      <c r="H587" s="208"/>
      <c r="I587" s="233"/>
      <c r="J587" s="208"/>
      <c r="K587" s="208"/>
      <c r="L587" s="208"/>
      <c r="M587" s="208"/>
      <c r="N587" s="208"/>
      <c r="O587" s="208"/>
      <c r="P587" s="208"/>
      <c r="Q587" s="208"/>
      <c r="R587" s="208"/>
      <c r="S587" s="208"/>
      <c r="T587" s="208"/>
      <c r="U587" s="208"/>
      <c r="V587" s="208"/>
      <c r="W587" s="232"/>
      <c r="X587" s="232"/>
      <c r="Y587" s="232"/>
      <c r="Z587" s="232"/>
      <c r="AA587" s="232"/>
      <c r="AB587" s="232"/>
      <c r="AC587" s="232"/>
      <c r="AD587" s="232"/>
      <c r="AE587" s="232"/>
      <c r="AF587" s="232"/>
      <c r="AG587" s="208"/>
      <c r="AH587" s="208"/>
      <c r="AI587" s="208"/>
      <c r="AJ587" s="208"/>
      <c r="AK587" s="208"/>
    </row>
    <row r="588">
      <c r="A588" s="234"/>
      <c r="B588" s="208"/>
      <c r="C588" s="208"/>
      <c r="D588" s="208"/>
      <c r="E588" s="208"/>
      <c r="F588" s="208"/>
      <c r="G588" s="208"/>
      <c r="H588" s="208"/>
      <c r="I588" s="233"/>
      <c r="J588" s="208"/>
      <c r="K588" s="208"/>
      <c r="L588" s="208"/>
      <c r="M588" s="208"/>
      <c r="N588" s="208"/>
      <c r="O588" s="208"/>
      <c r="P588" s="208"/>
      <c r="Q588" s="208"/>
      <c r="R588" s="208"/>
      <c r="S588" s="208"/>
      <c r="T588" s="208"/>
      <c r="U588" s="208"/>
      <c r="V588" s="208"/>
      <c r="W588" s="232"/>
      <c r="X588" s="232"/>
      <c r="Y588" s="232"/>
      <c r="Z588" s="232"/>
      <c r="AA588" s="232"/>
      <c r="AB588" s="232"/>
      <c r="AC588" s="232"/>
      <c r="AD588" s="232"/>
      <c r="AE588" s="232"/>
      <c r="AF588" s="232"/>
      <c r="AG588" s="208"/>
      <c r="AH588" s="208"/>
      <c r="AI588" s="208"/>
      <c r="AJ588" s="208"/>
      <c r="AK588" s="208"/>
    </row>
    <row r="589">
      <c r="A589" s="234"/>
      <c r="B589" s="208"/>
      <c r="C589" s="208"/>
      <c r="D589" s="208"/>
      <c r="E589" s="208"/>
      <c r="F589" s="208"/>
      <c r="G589" s="208"/>
      <c r="H589" s="208"/>
      <c r="I589" s="233"/>
      <c r="J589" s="208"/>
      <c r="K589" s="208"/>
      <c r="L589" s="208"/>
      <c r="M589" s="208"/>
      <c r="N589" s="208"/>
      <c r="O589" s="208"/>
      <c r="P589" s="208"/>
      <c r="Q589" s="208"/>
      <c r="R589" s="208"/>
      <c r="S589" s="208"/>
      <c r="T589" s="208"/>
      <c r="U589" s="208"/>
      <c r="V589" s="208"/>
      <c r="W589" s="232"/>
      <c r="X589" s="232"/>
      <c r="Y589" s="232"/>
      <c r="Z589" s="232"/>
      <c r="AA589" s="232"/>
      <c r="AB589" s="232"/>
      <c r="AC589" s="232"/>
      <c r="AD589" s="232"/>
      <c r="AE589" s="232"/>
      <c r="AF589" s="232"/>
      <c r="AG589" s="208"/>
      <c r="AH589" s="208"/>
      <c r="AI589" s="208"/>
      <c r="AJ589" s="208"/>
      <c r="AK589" s="208"/>
    </row>
    <row r="590">
      <c r="A590" s="234"/>
      <c r="B590" s="208"/>
      <c r="C590" s="208"/>
      <c r="D590" s="208"/>
      <c r="E590" s="208"/>
      <c r="F590" s="208"/>
      <c r="G590" s="208"/>
      <c r="H590" s="208"/>
      <c r="I590" s="233"/>
      <c r="J590" s="208"/>
      <c r="K590" s="208"/>
      <c r="L590" s="208"/>
      <c r="M590" s="208"/>
      <c r="N590" s="208"/>
      <c r="O590" s="208"/>
      <c r="P590" s="208"/>
      <c r="Q590" s="208"/>
      <c r="R590" s="208"/>
      <c r="S590" s="208"/>
      <c r="T590" s="208"/>
      <c r="U590" s="208"/>
      <c r="V590" s="208"/>
      <c r="W590" s="232"/>
      <c r="X590" s="232"/>
      <c r="Y590" s="232"/>
      <c r="Z590" s="232"/>
      <c r="AA590" s="232"/>
      <c r="AB590" s="232"/>
      <c r="AC590" s="232"/>
      <c r="AD590" s="232"/>
      <c r="AE590" s="232"/>
      <c r="AF590" s="232"/>
      <c r="AG590" s="208"/>
      <c r="AH590" s="208"/>
      <c r="AI590" s="208"/>
      <c r="AJ590" s="208"/>
      <c r="AK590" s="208"/>
    </row>
    <row r="591">
      <c r="A591" s="234"/>
      <c r="B591" s="208"/>
      <c r="C591" s="208"/>
      <c r="D591" s="208"/>
      <c r="E591" s="208"/>
      <c r="F591" s="208"/>
      <c r="G591" s="208"/>
      <c r="H591" s="208"/>
      <c r="I591" s="233"/>
      <c r="J591" s="208"/>
      <c r="K591" s="208"/>
      <c r="L591" s="208"/>
      <c r="M591" s="208"/>
      <c r="N591" s="208"/>
      <c r="O591" s="208"/>
      <c r="P591" s="208"/>
      <c r="Q591" s="208"/>
      <c r="R591" s="208"/>
      <c r="S591" s="208"/>
      <c r="T591" s="208"/>
      <c r="U591" s="208"/>
      <c r="V591" s="208"/>
      <c r="W591" s="232"/>
      <c r="X591" s="232"/>
      <c r="Y591" s="232"/>
      <c r="Z591" s="232"/>
      <c r="AA591" s="232"/>
      <c r="AB591" s="232"/>
      <c r="AC591" s="232"/>
      <c r="AD591" s="232"/>
      <c r="AE591" s="232"/>
      <c r="AF591" s="232"/>
      <c r="AG591" s="208"/>
      <c r="AH591" s="208"/>
      <c r="AI591" s="208"/>
      <c r="AJ591" s="208"/>
      <c r="AK591" s="208"/>
    </row>
    <row r="592">
      <c r="A592" s="234"/>
      <c r="B592" s="208"/>
      <c r="C592" s="208"/>
      <c r="D592" s="208"/>
      <c r="E592" s="208"/>
      <c r="F592" s="208"/>
      <c r="G592" s="208"/>
      <c r="H592" s="208"/>
      <c r="I592" s="233"/>
      <c r="J592" s="208"/>
      <c r="K592" s="208"/>
      <c r="L592" s="208"/>
      <c r="M592" s="208"/>
      <c r="N592" s="208"/>
      <c r="O592" s="208"/>
      <c r="P592" s="208"/>
      <c r="Q592" s="208"/>
      <c r="R592" s="208"/>
      <c r="S592" s="208"/>
      <c r="T592" s="208"/>
      <c r="U592" s="208"/>
      <c r="V592" s="208"/>
      <c r="W592" s="232"/>
      <c r="X592" s="232"/>
      <c r="Y592" s="232"/>
      <c r="Z592" s="232"/>
      <c r="AA592" s="232"/>
      <c r="AB592" s="232"/>
      <c r="AC592" s="232"/>
      <c r="AD592" s="232"/>
      <c r="AE592" s="232"/>
      <c r="AF592" s="232"/>
      <c r="AG592" s="208"/>
      <c r="AH592" s="208"/>
      <c r="AI592" s="208"/>
      <c r="AJ592" s="208"/>
      <c r="AK592" s="208"/>
    </row>
    <row r="593">
      <c r="A593" s="234"/>
      <c r="B593" s="208"/>
      <c r="C593" s="208"/>
      <c r="D593" s="208"/>
      <c r="E593" s="208"/>
      <c r="F593" s="208"/>
      <c r="G593" s="208"/>
      <c r="H593" s="208"/>
      <c r="I593" s="233"/>
      <c r="J593" s="208"/>
      <c r="K593" s="208"/>
      <c r="L593" s="208"/>
      <c r="M593" s="208"/>
      <c r="N593" s="208"/>
      <c r="O593" s="208"/>
      <c r="P593" s="208"/>
      <c r="Q593" s="208"/>
      <c r="R593" s="208"/>
      <c r="S593" s="208"/>
      <c r="T593" s="208"/>
      <c r="U593" s="208"/>
      <c r="V593" s="208"/>
      <c r="W593" s="232"/>
      <c r="X593" s="232"/>
      <c r="Y593" s="232"/>
      <c r="Z593" s="232"/>
      <c r="AA593" s="232"/>
      <c r="AB593" s="232"/>
      <c r="AC593" s="232"/>
      <c r="AD593" s="232"/>
      <c r="AE593" s="232"/>
      <c r="AF593" s="232"/>
      <c r="AG593" s="208"/>
      <c r="AH593" s="208"/>
      <c r="AI593" s="208"/>
      <c r="AJ593" s="208"/>
      <c r="AK593" s="208"/>
    </row>
    <row r="594">
      <c r="A594" s="234"/>
      <c r="B594" s="208"/>
      <c r="C594" s="208"/>
      <c r="D594" s="208"/>
      <c r="E594" s="208"/>
      <c r="F594" s="208"/>
      <c r="G594" s="208"/>
      <c r="H594" s="208"/>
      <c r="I594" s="233"/>
      <c r="J594" s="208"/>
      <c r="K594" s="208"/>
      <c r="L594" s="208"/>
      <c r="M594" s="208"/>
      <c r="N594" s="208"/>
      <c r="O594" s="208"/>
      <c r="P594" s="208"/>
      <c r="Q594" s="208"/>
      <c r="R594" s="208"/>
      <c r="S594" s="208"/>
      <c r="T594" s="208"/>
      <c r="U594" s="208"/>
      <c r="V594" s="208"/>
      <c r="W594" s="232"/>
      <c r="X594" s="232"/>
      <c r="Y594" s="232"/>
      <c r="Z594" s="232"/>
      <c r="AA594" s="232"/>
      <c r="AB594" s="232"/>
      <c r="AC594" s="232"/>
      <c r="AD594" s="232"/>
      <c r="AE594" s="232"/>
      <c r="AF594" s="232"/>
      <c r="AG594" s="208"/>
      <c r="AH594" s="208"/>
      <c r="AI594" s="208"/>
      <c r="AJ594" s="208"/>
      <c r="AK594" s="208"/>
    </row>
    <row r="595">
      <c r="A595" s="234"/>
      <c r="B595" s="208"/>
      <c r="C595" s="208"/>
      <c r="D595" s="208"/>
      <c r="E595" s="208"/>
      <c r="F595" s="208"/>
      <c r="G595" s="208"/>
      <c r="H595" s="208"/>
      <c r="I595" s="233"/>
      <c r="J595" s="208"/>
      <c r="K595" s="208"/>
      <c r="L595" s="208"/>
      <c r="M595" s="208"/>
      <c r="N595" s="208"/>
      <c r="O595" s="208"/>
      <c r="P595" s="208"/>
      <c r="Q595" s="208"/>
      <c r="R595" s="208"/>
      <c r="S595" s="208"/>
      <c r="T595" s="208"/>
      <c r="U595" s="208"/>
      <c r="V595" s="208"/>
      <c r="W595" s="232"/>
      <c r="X595" s="232"/>
      <c r="Y595" s="232"/>
      <c r="Z595" s="232"/>
      <c r="AA595" s="232"/>
      <c r="AB595" s="232"/>
      <c r="AC595" s="232"/>
      <c r="AD595" s="232"/>
      <c r="AE595" s="232"/>
      <c r="AF595" s="232"/>
      <c r="AG595" s="208"/>
      <c r="AH595" s="208"/>
      <c r="AI595" s="208"/>
      <c r="AJ595" s="208"/>
      <c r="AK595" s="208"/>
    </row>
    <row r="596">
      <c r="A596" s="234"/>
      <c r="B596" s="208"/>
      <c r="C596" s="208"/>
      <c r="D596" s="208"/>
      <c r="E596" s="208"/>
      <c r="F596" s="208"/>
      <c r="G596" s="208"/>
      <c r="H596" s="208"/>
      <c r="I596" s="233"/>
      <c r="J596" s="208"/>
      <c r="K596" s="208"/>
      <c r="L596" s="208"/>
      <c r="M596" s="208"/>
      <c r="N596" s="208"/>
      <c r="O596" s="208"/>
      <c r="P596" s="208"/>
      <c r="Q596" s="208"/>
      <c r="R596" s="208"/>
      <c r="S596" s="208"/>
      <c r="T596" s="208"/>
      <c r="U596" s="208"/>
      <c r="V596" s="208"/>
      <c r="W596" s="232"/>
      <c r="X596" s="232"/>
      <c r="Y596" s="232"/>
      <c r="Z596" s="232"/>
      <c r="AA596" s="232"/>
      <c r="AB596" s="232"/>
      <c r="AC596" s="232"/>
      <c r="AD596" s="232"/>
      <c r="AE596" s="232"/>
      <c r="AF596" s="232"/>
      <c r="AG596" s="208"/>
      <c r="AH596" s="208"/>
      <c r="AI596" s="208"/>
      <c r="AJ596" s="208"/>
      <c r="AK596" s="208"/>
    </row>
    <row r="597">
      <c r="A597" s="234"/>
      <c r="B597" s="208"/>
      <c r="C597" s="208"/>
      <c r="D597" s="208"/>
      <c r="E597" s="208"/>
      <c r="F597" s="208"/>
      <c r="G597" s="208"/>
      <c r="H597" s="208"/>
      <c r="I597" s="233"/>
      <c r="J597" s="208"/>
      <c r="K597" s="208"/>
      <c r="L597" s="208"/>
      <c r="M597" s="208"/>
      <c r="N597" s="208"/>
      <c r="O597" s="208"/>
      <c r="P597" s="208"/>
      <c r="Q597" s="208"/>
      <c r="R597" s="208"/>
      <c r="S597" s="208"/>
      <c r="T597" s="208"/>
      <c r="U597" s="208"/>
      <c r="V597" s="208"/>
      <c r="W597" s="232"/>
      <c r="X597" s="232"/>
      <c r="Y597" s="232"/>
      <c r="Z597" s="232"/>
      <c r="AA597" s="232"/>
      <c r="AB597" s="232"/>
      <c r="AC597" s="232"/>
      <c r="AD597" s="232"/>
      <c r="AE597" s="232"/>
      <c r="AF597" s="232"/>
      <c r="AG597" s="208"/>
      <c r="AH597" s="208"/>
      <c r="AI597" s="208"/>
      <c r="AJ597" s="208"/>
      <c r="AK597" s="208"/>
    </row>
    <row r="598">
      <c r="A598" s="234"/>
      <c r="B598" s="208"/>
      <c r="C598" s="208"/>
      <c r="D598" s="208"/>
      <c r="E598" s="208"/>
      <c r="F598" s="208"/>
      <c r="G598" s="208"/>
      <c r="H598" s="208"/>
      <c r="I598" s="233"/>
      <c r="J598" s="208"/>
      <c r="K598" s="208"/>
      <c r="L598" s="208"/>
      <c r="M598" s="208"/>
      <c r="N598" s="208"/>
      <c r="O598" s="208"/>
      <c r="P598" s="208"/>
      <c r="Q598" s="208"/>
      <c r="R598" s="208"/>
      <c r="S598" s="208"/>
      <c r="T598" s="208"/>
      <c r="U598" s="208"/>
      <c r="V598" s="208"/>
      <c r="W598" s="232"/>
      <c r="X598" s="232"/>
      <c r="Y598" s="232"/>
      <c r="Z598" s="232"/>
      <c r="AA598" s="232"/>
      <c r="AB598" s="232"/>
      <c r="AC598" s="232"/>
      <c r="AD598" s="232"/>
      <c r="AE598" s="232"/>
      <c r="AF598" s="232"/>
      <c r="AG598" s="208"/>
      <c r="AH598" s="208"/>
      <c r="AI598" s="208"/>
      <c r="AJ598" s="208"/>
      <c r="AK598" s="208"/>
    </row>
    <row r="599">
      <c r="A599" s="234"/>
      <c r="B599" s="208"/>
      <c r="C599" s="208"/>
      <c r="D599" s="208"/>
      <c r="E599" s="208"/>
      <c r="F599" s="208"/>
      <c r="G599" s="208"/>
      <c r="H599" s="208"/>
      <c r="I599" s="233"/>
      <c r="J599" s="208"/>
      <c r="K599" s="208"/>
      <c r="L599" s="208"/>
      <c r="M599" s="208"/>
      <c r="N599" s="208"/>
      <c r="O599" s="208"/>
      <c r="P599" s="208"/>
      <c r="Q599" s="208"/>
      <c r="R599" s="208"/>
      <c r="S599" s="208"/>
      <c r="T599" s="208"/>
      <c r="U599" s="208"/>
      <c r="V599" s="208"/>
      <c r="W599" s="232"/>
      <c r="X599" s="232"/>
      <c r="Y599" s="232"/>
      <c r="Z599" s="232"/>
      <c r="AA599" s="232"/>
      <c r="AB599" s="232"/>
      <c r="AC599" s="232"/>
      <c r="AD599" s="232"/>
      <c r="AE599" s="232"/>
      <c r="AF599" s="232"/>
      <c r="AG599" s="208"/>
      <c r="AH599" s="208"/>
      <c r="AI599" s="208"/>
      <c r="AJ599" s="208"/>
      <c r="AK599" s="208"/>
    </row>
    <row r="600">
      <c r="A600" s="234"/>
      <c r="B600" s="208"/>
      <c r="C600" s="208"/>
      <c r="D600" s="208"/>
      <c r="E600" s="208"/>
      <c r="F600" s="208"/>
      <c r="G600" s="208"/>
      <c r="H600" s="208"/>
      <c r="I600" s="233"/>
      <c r="J600" s="208"/>
      <c r="K600" s="208"/>
      <c r="L600" s="208"/>
      <c r="M600" s="208"/>
      <c r="N600" s="208"/>
      <c r="O600" s="208"/>
      <c r="P600" s="208"/>
      <c r="Q600" s="208"/>
      <c r="R600" s="208"/>
      <c r="S600" s="208"/>
      <c r="T600" s="208"/>
      <c r="U600" s="208"/>
      <c r="V600" s="208"/>
      <c r="W600" s="232"/>
      <c r="X600" s="232"/>
      <c r="Y600" s="232"/>
      <c r="Z600" s="232"/>
      <c r="AA600" s="232"/>
      <c r="AB600" s="232"/>
      <c r="AC600" s="232"/>
      <c r="AD600" s="232"/>
      <c r="AE600" s="232"/>
      <c r="AF600" s="232"/>
      <c r="AG600" s="208"/>
      <c r="AH600" s="208"/>
      <c r="AI600" s="208"/>
      <c r="AJ600" s="208"/>
      <c r="AK600" s="208"/>
    </row>
    <row r="601">
      <c r="A601" s="234"/>
      <c r="B601" s="208"/>
      <c r="C601" s="208"/>
      <c r="D601" s="208"/>
      <c r="E601" s="208"/>
      <c r="F601" s="208"/>
      <c r="G601" s="208"/>
      <c r="H601" s="208"/>
      <c r="I601" s="233"/>
      <c r="J601" s="208"/>
      <c r="K601" s="208"/>
      <c r="L601" s="208"/>
      <c r="M601" s="208"/>
      <c r="N601" s="208"/>
      <c r="O601" s="208"/>
      <c r="P601" s="208"/>
      <c r="Q601" s="208"/>
      <c r="R601" s="208"/>
      <c r="S601" s="208"/>
      <c r="T601" s="208"/>
      <c r="U601" s="208"/>
      <c r="V601" s="208"/>
      <c r="W601" s="232"/>
      <c r="X601" s="232"/>
      <c r="Y601" s="232"/>
      <c r="Z601" s="232"/>
      <c r="AA601" s="232"/>
      <c r="AB601" s="232"/>
      <c r="AC601" s="232"/>
      <c r="AD601" s="232"/>
      <c r="AE601" s="232"/>
      <c r="AF601" s="232"/>
      <c r="AG601" s="208"/>
      <c r="AH601" s="208"/>
      <c r="AI601" s="208"/>
      <c r="AJ601" s="208"/>
      <c r="AK601" s="208"/>
    </row>
    <row r="602">
      <c r="A602" s="234"/>
      <c r="B602" s="208"/>
      <c r="C602" s="208"/>
      <c r="D602" s="208"/>
      <c r="E602" s="208"/>
      <c r="F602" s="208"/>
      <c r="G602" s="208"/>
      <c r="H602" s="208"/>
      <c r="I602" s="233"/>
      <c r="J602" s="208"/>
      <c r="K602" s="208"/>
      <c r="L602" s="208"/>
      <c r="M602" s="208"/>
      <c r="N602" s="208"/>
      <c r="O602" s="208"/>
      <c r="P602" s="208"/>
      <c r="Q602" s="208"/>
      <c r="R602" s="208"/>
      <c r="S602" s="208"/>
      <c r="T602" s="208"/>
      <c r="U602" s="208"/>
      <c r="V602" s="208"/>
      <c r="W602" s="232"/>
      <c r="X602" s="232"/>
      <c r="Y602" s="232"/>
      <c r="Z602" s="232"/>
      <c r="AA602" s="232"/>
      <c r="AB602" s="232"/>
      <c r="AC602" s="232"/>
      <c r="AD602" s="232"/>
      <c r="AE602" s="232"/>
      <c r="AF602" s="232"/>
      <c r="AG602" s="208"/>
      <c r="AH602" s="208"/>
      <c r="AI602" s="208"/>
      <c r="AJ602" s="208"/>
      <c r="AK602" s="208"/>
    </row>
    <row r="603">
      <c r="A603" s="234"/>
      <c r="B603" s="208"/>
      <c r="C603" s="208"/>
      <c r="D603" s="208"/>
      <c r="E603" s="208"/>
      <c r="F603" s="208"/>
      <c r="G603" s="208"/>
      <c r="H603" s="208"/>
      <c r="I603" s="233"/>
      <c r="J603" s="208"/>
      <c r="K603" s="208"/>
      <c r="L603" s="208"/>
      <c r="M603" s="208"/>
      <c r="N603" s="208"/>
      <c r="O603" s="208"/>
      <c r="P603" s="208"/>
      <c r="Q603" s="208"/>
      <c r="R603" s="208"/>
      <c r="S603" s="208"/>
      <c r="T603" s="208"/>
      <c r="U603" s="208"/>
      <c r="V603" s="208"/>
      <c r="W603" s="232"/>
      <c r="X603" s="232"/>
      <c r="Y603" s="232"/>
      <c r="Z603" s="232"/>
      <c r="AA603" s="232"/>
      <c r="AB603" s="232"/>
      <c r="AC603" s="232"/>
      <c r="AD603" s="232"/>
      <c r="AE603" s="232"/>
      <c r="AF603" s="232"/>
      <c r="AG603" s="208"/>
      <c r="AH603" s="208"/>
      <c r="AI603" s="208"/>
      <c r="AJ603" s="208"/>
      <c r="AK603" s="208"/>
    </row>
    <row r="604">
      <c r="A604" s="234"/>
      <c r="B604" s="208"/>
      <c r="C604" s="208"/>
      <c r="D604" s="208"/>
      <c r="E604" s="208"/>
      <c r="F604" s="208"/>
      <c r="G604" s="208"/>
      <c r="H604" s="208"/>
      <c r="I604" s="233"/>
      <c r="J604" s="208"/>
      <c r="K604" s="208"/>
      <c r="L604" s="208"/>
      <c r="M604" s="208"/>
      <c r="N604" s="208"/>
      <c r="O604" s="208"/>
      <c r="P604" s="208"/>
      <c r="Q604" s="208"/>
      <c r="R604" s="208"/>
      <c r="S604" s="208"/>
      <c r="T604" s="208"/>
      <c r="U604" s="208"/>
      <c r="V604" s="208"/>
      <c r="W604" s="232"/>
      <c r="X604" s="232"/>
      <c r="Y604" s="232"/>
      <c r="Z604" s="232"/>
      <c r="AA604" s="232"/>
      <c r="AB604" s="232"/>
      <c r="AC604" s="232"/>
      <c r="AD604" s="232"/>
      <c r="AE604" s="232"/>
      <c r="AF604" s="232"/>
      <c r="AG604" s="208"/>
      <c r="AH604" s="208"/>
      <c r="AI604" s="208"/>
      <c r="AJ604" s="208"/>
      <c r="AK604" s="208"/>
    </row>
    <row r="605">
      <c r="A605" s="234"/>
      <c r="B605" s="208"/>
      <c r="C605" s="208"/>
      <c r="D605" s="208"/>
      <c r="E605" s="208"/>
      <c r="F605" s="208"/>
      <c r="G605" s="208"/>
      <c r="H605" s="208"/>
      <c r="I605" s="233"/>
      <c r="J605" s="208"/>
      <c r="K605" s="208"/>
      <c r="L605" s="208"/>
      <c r="M605" s="208"/>
      <c r="N605" s="208"/>
      <c r="O605" s="208"/>
      <c r="P605" s="208"/>
      <c r="Q605" s="208"/>
      <c r="R605" s="208"/>
      <c r="S605" s="208"/>
      <c r="T605" s="208"/>
      <c r="U605" s="208"/>
      <c r="V605" s="208"/>
      <c r="W605" s="232"/>
      <c r="X605" s="232"/>
      <c r="Y605" s="232"/>
      <c r="Z605" s="232"/>
      <c r="AA605" s="232"/>
      <c r="AB605" s="232"/>
      <c r="AC605" s="232"/>
      <c r="AD605" s="232"/>
      <c r="AE605" s="232"/>
      <c r="AF605" s="232"/>
      <c r="AG605" s="208"/>
      <c r="AH605" s="208"/>
      <c r="AI605" s="208"/>
      <c r="AJ605" s="208"/>
      <c r="AK605" s="208"/>
    </row>
    <row r="606">
      <c r="A606" s="234"/>
      <c r="B606" s="208"/>
      <c r="C606" s="208"/>
      <c r="D606" s="208"/>
      <c r="E606" s="208"/>
      <c r="F606" s="208"/>
      <c r="G606" s="208"/>
      <c r="H606" s="208"/>
      <c r="I606" s="233"/>
      <c r="J606" s="208"/>
      <c r="K606" s="208"/>
      <c r="L606" s="208"/>
      <c r="M606" s="208"/>
      <c r="N606" s="208"/>
      <c r="O606" s="208"/>
      <c r="P606" s="208"/>
      <c r="Q606" s="208"/>
      <c r="R606" s="208"/>
      <c r="S606" s="208"/>
      <c r="T606" s="208"/>
      <c r="U606" s="208"/>
      <c r="V606" s="208"/>
      <c r="W606" s="232"/>
      <c r="X606" s="232"/>
      <c r="Y606" s="232"/>
      <c r="Z606" s="232"/>
      <c r="AA606" s="232"/>
      <c r="AB606" s="232"/>
      <c r="AC606" s="232"/>
      <c r="AD606" s="232"/>
      <c r="AE606" s="232"/>
      <c r="AF606" s="232"/>
      <c r="AG606" s="208"/>
      <c r="AH606" s="208"/>
      <c r="AI606" s="208"/>
      <c r="AJ606" s="208"/>
      <c r="AK606" s="208"/>
    </row>
    <row r="607">
      <c r="A607" s="234"/>
      <c r="B607" s="208"/>
      <c r="C607" s="208"/>
      <c r="D607" s="208"/>
      <c r="E607" s="208"/>
      <c r="F607" s="208"/>
      <c r="G607" s="208"/>
      <c r="H607" s="208"/>
      <c r="I607" s="233"/>
      <c r="J607" s="208"/>
      <c r="K607" s="208"/>
      <c r="L607" s="208"/>
      <c r="M607" s="208"/>
      <c r="N607" s="208"/>
      <c r="O607" s="208"/>
      <c r="P607" s="208"/>
      <c r="Q607" s="208"/>
      <c r="R607" s="208"/>
      <c r="S607" s="208"/>
      <c r="T607" s="208"/>
      <c r="U607" s="208"/>
      <c r="V607" s="208"/>
      <c r="W607" s="232"/>
      <c r="X607" s="232"/>
      <c r="Y607" s="232"/>
      <c r="Z607" s="232"/>
      <c r="AA607" s="232"/>
      <c r="AB607" s="232"/>
      <c r="AC607" s="232"/>
      <c r="AD607" s="232"/>
      <c r="AE607" s="232"/>
      <c r="AF607" s="232"/>
      <c r="AG607" s="208"/>
      <c r="AH607" s="208"/>
      <c r="AI607" s="208"/>
      <c r="AJ607" s="208"/>
      <c r="AK607" s="208"/>
    </row>
    <row r="608">
      <c r="A608" s="234"/>
      <c r="B608" s="208"/>
      <c r="C608" s="208"/>
      <c r="D608" s="208"/>
      <c r="E608" s="208"/>
      <c r="F608" s="208"/>
      <c r="G608" s="208"/>
      <c r="H608" s="208"/>
      <c r="I608" s="233"/>
      <c r="J608" s="208"/>
      <c r="K608" s="208"/>
      <c r="L608" s="208"/>
      <c r="M608" s="208"/>
      <c r="N608" s="208"/>
      <c r="O608" s="208"/>
      <c r="P608" s="208"/>
      <c r="Q608" s="208"/>
      <c r="R608" s="208"/>
      <c r="S608" s="208"/>
      <c r="T608" s="208"/>
      <c r="U608" s="208"/>
      <c r="V608" s="208"/>
      <c r="W608" s="232"/>
      <c r="X608" s="232"/>
      <c r="Y608" s="232"/>
      <c r="Z608" s="232"/>
      <c r="AA608" s="232"/>
      <c r="AB608" s="232"/>
      <c r="AC608" s="232"/>
      <c r="AD608" s="232"/>
      <c r="AE608" s="232"/>
      <c r="AF608" s="232"/>
      <c r="AG608" s="208"/>
      <c r="AH608" s="208"/>
      <c r="AI608" s="208"/>
      <c r="AJ608" s="208"/>
      <c r="AK608" s="208"/>
    </row>
    <row r="609">
      <c r="A609" s="234"/>
      <c r="B609" s="208"/>
      <c r="C609" s="208"/>
      <c r="D609" s="208"/>
      <c r="E609" s="208"/>
      <c r="F609" s="208"/>
      <c r="G609" s="208"/>
      <c r="H609" s="208"/>
      <c r="I609" s="233"/>
      <c r="J609" s="208"/>
      <c r="K609" s="208"/>
      <c r="L609" s="208"/>
      <c r="M609" s="208"/>
      <c r="N609" s="208"/>
      <c r="O609" s="208"/>
      <c r="P609" s="208"/>
      <c r="Q609" s="208"/>
      <c r="R609" s="208"/>
      <c r="S609" s="208"/>
      <c r="T609" s="208"/>
      <c r="U609" s="208"/>
      <c r="V609" s="208"/>
      <c r="W609" s="232"/>
      <c r="X609" s="232"/>
      <c r="Y609" s="232"/>
      <c r="Z609" s="232"/>
      <c r="AA609" s="232"/>
      <c r="AB609" s="232"/>
      <c r="AC609" s="232"/>
      <c r="AD609" s="232"/>
      <c r="AE609" s="232"/>
      <c r="AF609" s="232"/>
      <c r="AG609" s="208"/>
      <c r="AH609" s="208"/>
      <c r="AI609" s="208"/>
      <c r="AJ609" s="208"/>
      <c r="AK609" s="208"/>
    </row>
    <row r="610">
      <c r="A610" s="234"/>
      <c r="B610" s="208"/>
      <c r="C610" s="208"/>
      <c r="D610" s="208"/>
      <c r="E610" s="208"/>
      <c r="F610" s="208"/>
      <c r="G610" s="208"/>
      <c r="H610" s="208"/>
      <c r="I610" s="233"/>
      <c r="J610" s="208"/>
      <c r="K610" s="208"/>
      <c r="L610" s="208"/>
      <c r="M610" s="208"/>
      <c r="N610" s="208"/>
      <c r="O610" s="208"/>
      <c r="P610" s="208"/>
      <c r="Q610" s="208"/>
      <c r="R610" s="208"/>
      <c r="S610" s="208"/>
      <c r="T610" s="208"/>
      <c r="U610" s="208"/>
      <c r="V610" s="208"/>
      <c r="W610" s="232"/>
      <c r="X610" s="232"/>
      <c r="Y610" s="232"/>
      <c r="Z610" s="232"/>
      <c r="AA610" s="232"/>
      <c r="AB610" s="232"/>
      <c r="AC610" s="232"/>
      <c r="AD610" s="232"/>
      <c r="AE610" s="232"/>
      <c r="AF610" s="232"/>
      <c r="AG610" s="208"/>
      <c r="AH610" s="208"/>
      <c r="AI610" s="208"/>
      <c r="AJ610" s="208"/>
      <c r="AK610" s="208"/>
    </row>
    <row r="611">
      <c r="A611" s="234"/>
      <c r="B611" s="208"/>
      <c r="C611" s="208"/>
      <c r="D611" s="208"/>
      <c r="E611" s="208"/>
      <c r="F611" s="208"/>
      <c r="G611" s="208"/>
      <c r="H611" s="208"/>
      <c r="I611" s="233"/>
      <c r="J611" s="208"/>
      <c r="K611" s="208"/>
      <c r="L611" s="208"/>
      <c r="M611" s="208"/>
      <c r="N611" s="208"/>
      <c r="O611" s="208"/>
      <c r="P611" s="208"/>
      <c r="Q611" s="208"/>
      <c r="R611" s="208"/>
      <c r="S611" s="208"/>
      <c r="T611" s="208"/>
      <c r="U611" s="208"/>
      <c r="V611" s="208"/>
      <c r="W611" s="232"/>
      <c r="X611" s="232"/>
      <c r="Y611" s="232"/>
      <c r="Z611" s="232"/>
      <c r="AA611" s="232"/>
      <c r="AB611" s="232"/>
      <c r="AC611" s="232"/>
      <c r="AD611" s="232"/>
      <c r="AE611" s="232"/>
      <c r="AF611" s="232"/>
      <c r="AG611" s="208"/>
      <c r="AH611" s="208"/>
      <c r="AI611" s="208"/>
      <c r="AJ611" s="208"/>
      <c r="AK611" s="208"/>
    </row>
    <row r="612">
      <c r="A612" s="234"/>
      <c r="B612" s="208"/>
      <c r="C612" s="208"/>
      <c r="D612" s="208"/>
      <c r="E612" s="208"/>
      <c r="F612" s="208"/>
      <c r="G612" s="208"/>
      <c r="H612" s="208"/>
      <c r="I612" s="233"/>
      <c r="J612" s="208"/>
      <c r="K612" s="208"/>
      <c r="L612" s="208"/>
      <c r="M612" s="208"/>
      <c r="N612" s="208"/>
      <c r="O612" s="208"/>
      <c r="P612" s="208"/>
      <c r="Q612" s="208"/>
      <c r="R612" s="208"/>
      <c r="S612" s="208"/>
      <c r="T612" s="208"/>
      <c r="U612" s="208"/>
      <c r="V612" s="208"/>
      <c r="W612" s="232"/>
      <c r="X612" s="232"/>
      <c r="Y612" s="232"/>
      <c r="Z612" s="232"/>
      <c r="AA612" s="232"/>
      <c r="AB612" s="232"/>
      <c r="AC612" s="232"/>
      <c r="AD612" s="232"/>
      <c r="AE612" s="232"/>
      <c r="AF612" s="232"/>
      <c r="AG612" s="208"/>
      <c r="AH612" s="208"/>
      <c r="AI612" s="208"/>
      <c r="AJ612" s="208"/>
      <c r="AK612" s="208"/>
    </row>
    <row r="613">
      <c r="A613" s="234"/>
      <c r="B613" s="208"/>
      <c r="C613" s="208"/>
      <c r="D613" s="208"/>
      <c r="E613" s="208"/>
      <c r="F613" s="208"/>
      <c r="G613" s="208"/>
      <c r="H613" s="208"/>
      <c r="I613" s="233"/>
      <c r="J613" s="208"/>
      <c r="K613" s="208"/>
      <c r="L613" s="208"/>
      <c r="M613" s="208"/>
      <c r="N613" s="208"/>
      <c r="O613" s="208"/>
      <c r="P613" s="208"/>
      <c r="Q613" s="208"/>
      <c r="R613" s="208"/>
      <c r="S613" s="208"/>
      <c r="T613" s="208"/>
      <c r="U613" s="208"/>
      <c r="V613" s="208"/>
      <c r="W613" s="232"/>
      <c r="X613" s="232"/>
      <c r="Y613" s="232"/>
      <c r="Z613" s="232"/>
      <c r="AA613" s="232"/>
      <c r="AB613" s="232"/>
      <c r="AC613" s="232"/>
      <c r="AD613" s="232"/>
      <c r="AE613" s="232"/>
      <c r="AF613" s="232"/>
      <c r="AG613" s="208"/>
      <c r="AH613" s="208"/>
      <c r="AI613" s="208"/>
      <c r="AJ613" s="208"/>
      <c r="AK613" s="208"/>
    </row>
    <row r="614">
      <c r="A614" s="234"/>
      <c r="B614" s="208"/>
      <c r="C614" s="208"/>
      <c r="D614" s="208"/>
      <c r="E614" s="208"/>
      <c r="F614" s="208"/>
      <c r="G614" s="208"/>
      <c r="H614" s="208"/>
      <c r="I614" s="233"/>
      <c r="J614" s="208"/>
      <c r="K614" s="208"/>
      <c r="L614" s="208"/>
      <c r="M614" s="208"/>
      <c r="N614" s="208"/>
      <c r="O614" s="208"/>
      <c r="P614" s="208"/>
      <c r="Q614" s="208"/>
      <c r="R614" s="208"/>
      <c r="S614" s="208"/>
      <c r="T614" s="208"/>
      <c r="U614" s="208"/>
      <c r="V614" s="208"/>
      <c r="W614" s="232"/>
      <c r="X614" s="232"/>
      <c r="Y614" s="232"/>
      <c r="Z614" s="232"/>
      <c r="AA614" s="232"/>
      <c r="AB614" s="232"/>
      <c r="AC614" s="232"/>
      <c r="AD614" s="232"/>
      <c r="AE614" s="232"/>
      <c r="AF614" s="232"/>
      <c r="AG614" s="208"/>
      <c r="AH614" s="208"/>
      <c r="AI614" s="208"/>
      <c r="AJ614" s="208"/>
      <c r="AK614" s="208"/>
    </row>
    <row r="615">
      <c r="A615" s="234"/>
      <c r="B615" s="208"/>
      <c r="C615" s="208"/>
      <c r="D615" s="208"/>
      <c r="E615" s="208"/>
      <c r="F615" s="208"/>
      <c r="G615" s="208"/>
      <c r="H615" s="208"/>
      <c r="I615" s="233"/>
      <c r="J615" s="208"/>
      <c r="K615" s="208"/>
      <c r="L615" s="208"/>
      <c r="M615" s="208"/>
      <c r="N615" s="208"/>
      <c r="O615" s="208"/>
      <c r="P615" s="208"/>
      <c r="Q615" s="208"/>
      <c r="R615" s="208"/>
      <c r="S615" s="208"/>
      <c r="T615" s="208"/>
      <c r="U615" s="208"/>
      <c r="V615" s="208"/>
      <c r="W615" s="232"/>
      <c r="X615" s="232"/>
      <c r="Y615" s="232"/>
      <c r="Z615" s="232"/>
      <c r="AA615" s="232"/>
      <c r="AB615" s="232"/>
      <c r="AC615" s="232"/>
      <c r="AD615" s="232"/>
      <c r="AE615" s="232"/>
      <c r="AF615" s="232"/>
      <c r="AG615" s="208"/>
      <c r="AH615" s="208"/>
      <c r="AI615" s="208"/>
      <c r="AJ615" s="208"/>
      <c r="AK615" s="208"/>
    </row>
    <row r="616">
      <c r="A616" s="234"/>
      <c r="B616" s="208"/>
      <c r="C616" s="208"/>
      <c r="D616" s="208"/>
      <c r="E616" s="208"/>
      <c r="F616" s="208"/>
      <c r="G616" s="208"/>
      <c r="H616" s="208"/>
      <c r="I616" s="233"/>
      <c r="J616" s="208"/>
      <c r="K616" s="208"/>
      <c r="L616" s="208"/>
      <c r="M616" s="208"/>
      <c r="N616" s="208"/>
      <c r="O616" s="208"/>
      <c r="P616" s="208"/>
      <c r="Q616" s="208"/>
      <c r="R616" s="208"/>
      <c r="S616" s="208"/>
      <c r="T616" s="208"/>
      <c r="U616" s="208"/>
      <c r="V616" s="208"/>
      <c r="W616" s="232"/>
      <c r="X616" s="232"/>
      <c r="Y616" s="232"/>
      <c r="Z616" s="232"/>
      <c r="AA616" s="232"/>
      <c r="AB616" s="232"/>
      <c r="AC616" s="232"/>
      <c r="AD616" s="232"/>
      <c r="AE616" s="232"/>
      <c r="AF616" s="232"/>
      <c r="AG616" s="208"/>
      <c r="AH616" s="208"/>
      <c r="AI616" s="208"/>
      <c r="AJ616" s="208"/>
      <c r="AK616" s="208"/>
    </row>
    <row r="617">
      <c r="A617" s="234"/>
      <c r="B617" s="208"/>
      <c r="C617" s="208"/>
      <c r="D617" s="208"/>
      <c r="E617" s="208"/>
      <c r="F617" s="208"/>
      <c r="G617" s="208"/>
      <c r="H617" s="208"/>
      <c r="I617" s="233"/>
      <c r="J617" s="208"/>
      <c r="K617" s="208"/>
      <c r="L617" s="208"/>
      <c r="M617" s="208"/>
      <c r="N617" s="208"/>
      <c r="O617" s="208"/>
      <c r="P617" s="208"/>
      <c r="Q617" s="208"/>
      <c r="R617" s="208"/>
      <c r="S617" s="208"/>
      <c r="T617" s="208"/>
      <c r="U617" s="208"/>
      <c r="V617" s="208"/>
      <c r="W617" s="232"/>
      <c r="X617" s="232"/>
      <c r="Y617" s="232"/>
      <c r="Z617" s="232"/>
      <c r="AA617" s="232"/>
      <c r="AB617" s="232"/>
      <c r="AC617" s="232"/>
      <c r="AD617" s="232"/>
      <c r="AE617" s="232"/>
      <c r="AF617" s="232"/>
      <c r="AG617" s="208"/>
      <c r="AH617" s="208"/>
      <c r="AI617" s="208"/>
      <c r="AJ617" s="208"/>
      <c r="AK617" s="208"/>
    </row>
    <row r="618">
      <c r="A618" s="234"/>
      <c r="B618" s="208"/>
      <c r="C618" s="208"/>
      <c r="D618" s="208"/>
      <c r="E618" s="208"/>
      <c r="F618" s="208"/>
      <c r="G618" s="208"/>
      <c r="H618" s="208"/>
      <c r="I618" s="233"/>
      <c r="J618" s="208"/>
      <c r="K618" s="208"/>
      <c r="L618" s="208"/>
      <c r="M618" s="208"/>
      <c r="N618" s="208"/>
      <c r="O618" s="208"/>
      <c r="P618" s="208"/>
      <c r="Q618" s="208"/>
      <c r="R618" s="208"/>
      <c r="S618" s="208"/>
      <c r="T618" s="208"/>
      <c r="U618" s="208"/>
      <c r="V618" s="208"/>
      <c r="W618" s="232"/>
      <c r="X618" s="232"/>
      <c r="Y618" s="232"/>
      <c r="Z618" s="232"/>
      <c r="AA618" s="232"/>
      <c r="AB618" s="232"/>
      <c r="AC618" s="232"/>
      <c r="AD618" s="232"/>
      <c r="AE618" s="232"/>
      <c r="AF618" s="232"/>
      <c r="AG618" s="208"/>
      <c r="AH618" s="208"/>
      <c r="AI618" s="208"/>
      <c r="AJ618" s="208"/>
      <c r="AK618" s="208"/>
    </row>
    <row r="619">
      <c r="A619" s="234"/>
      <c r="B619" s="208"/>
      <c r="C619" s="208"/>
      <c r="D619" s="208"/>
      <c r="E619" s="208"/>
      <c r="F619" s="208"/>
      <c r="G619" s="208"/>
      <c r="H619" s="208"/>
      <c r="I619" s="233"/>
      <c r="J619" s="208"/>
      <c r="K619" s="208"/>
      <c r="L619" s="208"/>
      <c r="M619" s="208"/>
      <c r="N619" s="208"/>
      <c r="O619" s="208"/>
      <c r="P619" s="208"/>
      <c r="Q619" s="208"/>
      <c r="R619" s="208"/>
      <c r="S619" s="208"/>
      <c r="T619" s="208"/>
      <c r="U619" s="208"/>
      <c r="V619" s="208"/>
      <c r="W619" s="232"/>
      <c r="X619" s="232"/>
      <c r="Y619" s="232"/>
      <c r="Z619" s="232"/>
      <c r="AA619" s="232"/>
      <c r="AB619" s="232"/>
      <c r="AC619" s="232"/>
      <c r="AD619" s="232"/>
      <c r="AE619" s="232"/>
      <c r="AF619" s="232"/>
      <c r="AG619" s="208"/>
      <c r="AH619" s="208"/>
      <c r="AI619" s="208"/>
      <c r="AJ619" s="208"/>
      <c r="AK619" s="208"/>
    </row>
    <row r="620">
      <c r="A620" s="234"/>
      <c r="B620" s="208"/>
      <c r="C620" s="208"/>
      <c r="D620" s="208"/>
      <c r="E620" s="208"/>
      <c r="F620" s="208"/>
      <c r="G620" s="208"/>
      <c r="H620" s="208"/>
      <c r="I620" s="233"/>
      <c r="J620" s="208"/>
      <c r="K620" s="208"/>
      <c r="L620" s="208"/>
      <c r="M620" s="208"/>
      <c r="N620" s="208"/>
      <c r="O620" s="208"/>
      <c r="P620" s="208"/>
      <c r="Q620" s="208"/>
      <c r="R620" s="208"/>
      <c r="S620" s="208"/>
      <c r="T620" s="208"/>
      <c r="U620" s="208"/>
      <c r="V620" s="208"/>
      <c r="W620" s="232"/>
      <c r="X620" s="232"/>
      <c r="Y620" s="232"/>
      <c r="Z620" s="232"/>
      <c r="AA620" s="232"/>
      <c r="AB620" s="232"/>
      <c r="AC620" s="232"/>
      <c r="AD620" s="232"/>
      <c r="AE620" s="232"/>
      <c r="AF620" s="232"/>
      <c r="AG620" s="208"/>
      <c r="AH620" s="208"/>
      <c r="AI620" s="208"/>
      <c r="AJ620" s="208"/>
      <c r="AK620" s="208"/>
    </row>
    <row r="621">
      <c r="A621" s="234"/>
      <c r="B621" s="208"/>
      <c r="C621" s="208"/>
      <c r="D621" s="208"/>
      <c r="E621" s="208"/>
      <c r="F621" s="208"/>
      <c r="G621" s="208"/>
      <c r="H621" s="208"/>
      <c r="I621" s="233"/>
      <c r="J621" s="208"/>
      <c r="K621" s="208"/>
      <c r="L621" s="208"/>
      <c r="M621" s="208"/>
      <c r="N621" s="208"/>
      <c r="O621" s="208"/>
      <c r="P621" s="208"/>
      <c r="Q621" s="208"/>
      <c r="R621" s="208"/>
      <c r="S621" s="208"/>
      <c r="T621" s="208"/>
      <c r="U621" s="208"/>
      <c r="V621" s="208"/>
      <c r="W621" s="232"/>
      <c r="X621" s="232"/>
      <c r="Y621" s="232"/>
      <c r="Z621" s="232"/>
      <c r="AA621" s="232"/>
      <c r="AB621" s="232"/>
      <c r="AC621" s="232"/>
      <c r="AD621" s="232"/>
      <c r="AE621" s="232"/>
      <c r="AF621" s="232"/>
      <c r="AG621" s="208"/>
      <c r="AH621" s="208"/>
      <c r="AI621" s="208"/>
      <c r="AJ621" s="208"/>
      <c r="AK621" s="208"/>
    </row>
    <row r="622">
      <c r="A622" s="234"/>
      <c r="B622" s="208"/>
      <c r="C622" s="208"/>
      <c r="D622" s="208"/>
      <c r="E622" s="208"/>
      <c r="F622" s="208"/>
      <c r="G622" s="208"/>
      <c r="H622" s="208"/>
      <c r="I622" s="233"/>
      <c r="J622" s="208"/>
      <c r="K622" s="208"/>
      <c r="L622" s="208"/>
      <c r="M622" s="208"/>
      <c r="N622" s="208"/>
      <c r="O622" s="208"/>
      <c r="P622" s="208"/>
      <c r="Q622" s="208"/>
      <c r="R622" s="208"/>
      <c r="S622" s="208"/>
      <c r="T622" s="208"/>
      <c r="U622" s="208"/>
      <c r="V622" s="208"/>
      <c r="W622" s="232"/>
      <c r="X622" s="232"/>
      <c r="Y622" s="232"/>
      <c r="Z622" s="232"/>
      <c r="AA622" s="232"/>
      <c r="AB622" s="232"/>
      <c r="AC622" s="232"/>
      <c r="AD622" s="232"/>
      <c r="AE622" s="232"/>
      <c r="AF622" s="232"/>
      <c r="AG622" s="208"/>
      <c r="AH622" s="208"/>
      <c r="AI622" s="208"/>
      <c r="AJ622" s="208"/>
      <c r="AK622" s="208"/>
    </row>
    <row r="623">
      <c r="A623" s="234"/>
      <c r="B623" s="208"/>
      <c r="C623" s="208"/>
      <c r="D623" s="208"/>
      <c r="E623" s="208"/>
      <c r="F623" s="208"/>
      <c r="G623" s="208"/>
      <c r="H623" s="208"/>
      <c r="I623" s="233"/>
      <c r="J623" s="208"/>
      <c r="K623" s="208"/>
      <c r="L623" s="208"/>
      <c r="M623" s="208"/>
      <c r="N623" s="208"/>
      <c r="O623" s="208"/>
      <c r="P623" s="208"/>
      <c r="Q623" s="208"/>
      <c r="R623" s="208"/>
      <c r="S623" s="208"/>
      <c r="T623" s="208"/>
      <c r="U623" s="208"/>
      <c r="V623" s="208"/>
      <c r="W623" s="232"/>
      <c r="X623" s="232"/>
      <c r="Y623" s="232"/>
      <c r="Z623" s="232"/>
      <c r="AA623" s="232"/>
      <c r="AB623" s="232"/>
      <c r="AC623" s="232"/>
      <c r="AD623" s="232"/>
      <c r="AE623" s="232"/>
      <c r="AF623" s="232"/>
      <c r="AG623" s="208"/>
      <c r="AH623" s="208"/>
      <c r="AI623" s="208"/>
      <c r="AJ623" s="208"/>
      <c r="AK623" s="208"/>
    </row>
    <row r="624">
      <c r="A624" s="234"/>
      <c r="B624" s="208"/>
      <c r="C624" s="208"/>
      <c r="D624" s="208"/>
      <c r="E624" s="208"/>
      <c r="F624" s="208"/>
      <c r="G624" s="208"/>
      <c r="H624" s="208"/>
      <c r="I624" s="233"/>
      <c r="J624" s="208"/>
      <c r="K624" s="208"/>
      <c r="L624" s="208"/>
      <c r="M624" s="208"/>
      <c r="N624" s="208"/>
      <c r="O624" s="208"/>
      <c r="P624" s="208"/>
      <c r="Q624" s="208"/>
      <c r="R624" s="208"/>
      <c r="S624" s="208"/>
      <c r="T624" s="208"/>
      <c r="U624" s="208"/>
      <c r="V624" s="208"/>
      <c r="W624" s="232"/>
      <c r="X624" s="232"/>
      <c r="Y624" s="232"/>
      <c r="Z624" s="232"/>
      <c r="AA624" s="232"/>
      <c r="AB624" s="232"/>
      <c r="AC624" s="232"/>
      <c r="AD624" s="232"/>
      <c r="AE624" s="232"/>
      <c r="AF624" s="232"/>
      <c r="AG624" s="208"/>
      <c r="AH624" s="208"/>
      <c r="AI624" s="208"/>
      <c r="AJ624" s="208"/>
      <c r="AK624" s="208"/>
    </row>
    <row r="625">
      <c r="A625" s="234"/>
      <c r="B625" s="208"/>
      <c r="C625" s="208"/>
      <c r="D625" s="208"/>
      <c r="E625" s="208"/>
      <c r="F625" s="208"/>
      <c r="G625" s="208"/>
      <c r="H625" s="208"/>
      <c r="I625" s="233"/>
      <c r="J625" s="208"/>
      <c r="K625" s="208"/>
      <c r="L625" s="208"/>
      <c r="M625" s="208"/>
      <c r="N625" s="208"/>
      <c r="O625" s="208"/>
      <c r="P625" s="208"/>
      <c r="Q625" s="208"/>
      <c r="R625" s="208"/>
      <c r="S625" s="208"/>
      <c r="T625" s="208"/>
      <c r="U625" s="208"/>
      <c r="V625" s="208"/>
      <c r="W625" s="232"/>
      <c r="X625" s="232"/>
      <c r="Y625" s="232"/>
      <c r="Z625" s="232"/>
      <c r="AA625" s="232"/>
      <c r="AB625" s="232"/>
      <c r="AC625" s="232"/>
      <c r="AD625" s="232"/>
      <c r="AE625" s="232"/>
      <c r="AF625" s="232"/>
      <c r="AG625" s="208"/>
      <c r="AH625" s="208"/>
      <c r="AI625" s="208"/>
      <c r="AJ625" s="208"/>
      <c r="AK625" s="208"/>
    </row>
    <row r="626">
      <c r="A626" s="234"/>
      <c r="B626" s="208"/>
      <c r="C626" s="208"/>
      <c r="D626" s="208"/>
      <c r="E626" s="208"/>
      <c r="F626" s="208"/>
      <c r="G626" s="208"/>
      <c r="H626" s="208"/>
      <c r="I626" s="233"/>
      <c r="J626" s="208"/>
      <c r="K626" s="208"/>
      <c r="L626" s="208"/>
      <c r="M626" s="208"/>
      <c r="N626" s="208"/>
      <c r="O626" s="208"/>
      <c r="P626" s="208"/>
      <c r="Q626" s="208"/>
      <c r="R626" s="208"/>
      <c r="S626" s="208"/>
      <c r="T626" s="208"/>
      <c r="U626" s="208"/>
      <c r="V626" s="208"/>
      <c r="W626" s="232"/>
      <c r="X626" s="232"/>
      <c r="Y626" s="232"/>
      <c r="Z626" s="232"/>
      <c r="AA626" s="232"/>
      <c r="AB626" s="232"/>
      <c r="AC626" s="232"/>
      <c r="AD626" s="232"/>
      <c r="AE626" s="232"/>
      <c r="AF626" s="232"/>
      <c r="AG626" s="208"/>
      <c r="AH626" s="208"/>
      <c r="AI626" s="208"/>
      <c r="AJ626" s="208"/>
      <c r="AK626" s="208"/>
    </row>
    <row r="627">
      <c r="A627" s="234"/>
      <c r="B627" s="208"/>
      <c r="C627" s="208"/>
      <c r="D627" s="208"/>
      <c r="E627" s="208"/>
      <c r="F627" s="208"/>
      <c r="G627" s="208"/>
      <c r="H627" s="208"/>
      <c r="I627" s="233"/>
      <c r="J627" s="208"/>
      <c r="K627" s="208"/>
      <c r="L627" s="208"/>
      <c r="M627" s="208"/>
      <c r="N627" s="208"/>
      <c r="O627" s="208"/>
      <c r="P627" s="208"/>
      <c r="Q627" s="208"/>
      <c r="R627" s="208"/>
      <c r="S627" s="208"/>
      <c r="T627" s="208"/>
      <c r="U627" s="208"/>
      <c r="V627" s="208"/>
      <c r="W627" s="232"/>
      <c r="X627" s="232"/>
      <c r="Y627" s="232"/>
      <c r="Z627" s="232"/>
      <c r="AA627" s="232"/>
      <c r="AB627" s="232"/>
      <c r="AC627" s="232"/>
      <c r="AD627" s="232"/>
      <c r="AE627" s="232"/>
      <c r="AF627" s="232"/>
      <c r="AG627" s="208"/>
      <c r="AH627" s="208"/>
      <c r="AI627" s="208"/>
      <c r="AJ627" s="208"/>
      <c r="AK627" s="208"/>
    </row>
    <row r="628">
      <c r="A628" s="234"/>
      <c r="B628" s="208"/>
      <c r="C628" s="208"/>
      <c r="D628" s="208"/>
      <c r="E628" s="208"/>
      <c r="F628" s="208"/>
      <c r="G628" s="208"/>
      <c r="H628" s="208"/>
      <c r="I628" s="233"/>
      <c r="J628" s="208"/>
      <c r="K628" s="208"/>
      <c r="L628" s="208"/>
      <c r="M628" s="208"/>
      <c r="N628" s="208"/>
      <c r="O628" s="208"/>
      <c r="P628" s="208"/>
      <c r="Q628" s="208"/>
      <c r="R628" s="208"/>
      <c r="S628" s="208"/>
      <c r="T628" s="208"/>
      <c r="U628" s="208"/>
      <c r="V628" s="208"/>
      <c r="W628" s="232"/>
      <c r="X628" s="232"/>
      <c r="Y628" s="232"/>
      <c r="Z628" s="232"/>
      <c r="AA628" s="232"/>
      <c r="AB628" s="232"/>
      <c r="AC628" s="232"/>
      <c r="AD628" s="232"/>
      <c r="AE628" s="232"/>
      <c r="AF628" s="232"/>
      <c r="AG628" s="208"/>
      <c r="AH628" s="208"/>
      <c r="AI628" s="208"/>
      <c r="AJ628" s="208"/>
      <c r="AK628" s="208"/>
    </row>
    <row r="629">
      <c r="A629" s="234"/>
      <c r="B629" s="208"/>
      <c r="C629" s="208"/>
      <c r="D629" s="208"/>
      <c r="E629" s="208"/>
      <c r="F629" s="208"/>
      <c r="G629" s="208"/>
      <c r="H629" s="208"/>
      <c r="I629" s="233"/>
      <c r="J629" s="208"/>
      <c r="K629" s="208"/>
      <c r="L629" s="208"/>
      <c r="M629" s="208"/>
      <c r="N629" s="208"/>
      <c r="O629" s="208"/>
      <c r="P629" s="208"/>
      <c r="Q629" s="208"/>
      <c r="R629" s="208"/>
      <c r="S629" s="208"/>
      <c r="T629" s="208"/>
      <c r="U629" s="208"/>
      <c r="V629" s="208"/>
      <c r="W629" s="232"/>
      <c r="X629" s="232"/>
      <c r="Y629" s="232"/>
      <c r="Z629" s="232"/>
      <c r="AA629" s="232"/>
      <c r="AB629" s="232"/>
      <c r="AC629" s="232"/>
      <c r="AD629" s="232"/>
      <c r="AE629" s="232"/>
      <c r="AF629" s="232"/>
      <c r="AG629" s="208"/>
      <c r="AH629" s="208"/>
      <c r="AI629" s="208"/>
      <c r="AJ629" s="208"/>
      <c r="AK629" s="208"/>
    </row>
    <row r="630">
      <c r="A630" s="234"/>
      <c r="B630" s="208"/>
      <c r="C630" s="208"/>
      <c r="D630" s="208"/>
      <c r="E630" s="208"/>
      <c r="F630" s="208"/>
      <c r="G630" s="208"/>
      <c r="H630" s="208"/>
      <c r="I630" s="233"/>
      <c r="J630" s="208"/>
      <c r="K630" s="208"/>
      <c r="L630" s="208"/>
      <c r="M630" s="208"/>
      <c r="N630" s="208"/>
      <c r="O630" s="208"/>
      <c r="P630" s="208"/>
      <c r="Q630" s="208"/>
      <c r="R630" s="208"/>
      <c r="S630" s="208"/>
      <c r="T630" s="208"/>
      <c r="U630" s="208"/>
      <c r="V630" s="208"/>
      <c r="W630" s="232"/>
      <c r="X630" s="232"/>
      <c r="Y630" s="232"/>
      <c r="Z630" s="232"/>
      <c r="AA630" s="232"/>
      <c r="AB630" s="232"/>
      <c r="AC630" s="232"/>
      <c r="AD630" s="232"/>
      <c r="AE630" s="232"/>
      <c r="AF630" s="232"/>
      <c r="AG630" s="208"/>
      <c r="AH630" s="208"/>
      <c r="AI630" s="208"/>
      <c r="AJ630" s="208"/>
      <c r="AK630" s="208"/>
    </row>
    <row r="631">
      <c r="A631" s="234"/>
      <c r="B631" s="208"/>
      <c r="C631" s="208"/>
      <c r="D631" s="208"/>
      <c r="E631" s="208"/>
      <c r="F631" s="208"/>
      <c r="G631" s="208"/>
      <c r="H631" s="208"/>
      <c r="I631" s="233"/>
      <c r="J631" s="208"/>
      <c r="K631" s="208"/>
      <c r="L631" s="208"/>
      <c r="M631" s="208"/>
      <c r="N631" s="208"/>
      <c r="O631" s="208"/>
      <c r="P631" s="208"/>
      <c r="Q631" s="208"/>
      <c r="R631" s="208"/>
      <c r="S631" s="208"/>
      <c r="T631" s="208"/>
      <c r="U631" s="208"/>
      <c r="V631" s="208"/>
      <c r="W631" s="232"/>
      <c r="X631" s="232"/>
      <c r="Y631" s="232"/>
      <c r="Z631" s="232"/>
      <c r="AA631" s="232"/>
      <c r="AB631" s="232"/>
      <c r="AC631" s="232"/>
      <c r="AD631" s="232"/>
      <c r="AE631" s="232"/>
      <c r="AF631" s="232"/>
      <c r="AG631" s="208"/>
      <c r="AH631" s="208"/>
      <c r="AI631" s="208"/>
      <c r="AJ631" s="208"/>
      <c r="AK631" s="208"/>
    </row>
    <row r="632">
      <c r="A632" s="234"/>
      <c r="B632" s="208"/>
      <c r="C632" s="208"/>
      <c r="D632" s="208"/>
      <c r="E632" s="208"/>
      <c r="F632" s="208"/>
      <c r="G632" s="208"/>
      <c r="H632" s="208"/>
      <c r="I632" s="233"/>
      <c r="J632" s="208"/>
      <c r="K632" s="208"/>
      <c r="L632" s="208"/>
      <c r="M632" s="208"/>
      <c r="N632" s="208"/>
      <c r="O632" s="208"/>
      <c r="P632" s="208"/>
      <c r="Q632" s="208"/>
      <c r="R632" s="208"/>
      <c r="S632" s="208"/>
      <c r="T632" s="208"/>
      <c r="U632" s="208"/>
      <c r="V632" s="208"/>
      <c r="W632" s="232"/>
      <c r="X632" s="232"/>
      <c r="Y632" s="232"/>
      <c r="Z632" s="232"/>
      <c r="AA632" s="232"/>
      <c r="AB632" s="232"/>
      <c r="AC632" s="232"/>
      <c r="AD632" s="232"/>
      <c r="AE632" s="232"/>
      <c r="AF632" s="232"/>
      <c r="AG632" s="208"/>
      <c r="AH632" s="208"/>
      <c r="AI632" s="208"/>
      <c r="AJ632" s="208"/>
      <c r="AK632" s="208"/>
    </row>
    <row r="633">
      <c r="A633" s="234"/>
      <c r="B633" s="208"/>
      <c r="C633" s="208"/>
      <c r="D633" s="208"/>
      <c r="E633" s="208"/>
      <c r="F633" s="208"/>
      <c r="G633" s="208"/>
      <c r="H633" s="208"/>
      <c r="I633" s="233"/>
      <c r="J633" s="208"/>
      <c r="K633" s="208"/>
      <c r="L633" s="208"/>
      <c r="M633" s="208"/>
      <c r="N633" s="208"/>
      <c r="O633" s="208"/>
      <c r="P633" s="208"/>
      <c r="Q633" s="208"/>
      <c r="R633" s="208"/>
      <c r="S633" s="208"/>
      <c r="T633" s="208"/>
      <c r="U633" s="208"/>
      <c r="V633" s="208"/>
      <c r="W633" s="232"/>
      <c r="X633" s="232"/>
      <c r="Y633" s="232"/>
      <c r="Z633" s="232"/>
      <c r="AA633" s="232"/>
      <c r="AB633" s="232"/>
      <c r="AC633" s="232"/>
      <c r="AD633" s="232"/>
      <c r="AE633" s="232"/>
      <c r="AF633" s="232"/>
      <c r="AG633" s="208"/>
      <c r="AH633" s="208"/>
      <c r="AI633" s="208"/>
      <c r="AJ633" s="208"/>
      <c r="AK633" s="208"/>
    </row>
    <row r="634">
      <c r="A634" s="234"/>
      <c r="B634" s="208"/>
      <c r="C634" s="208"/>
      <c r="D634" s="208"/>
      <c r="E634" s="208"/>
      <c r="F634" s="208"/>
      <c r="G634" s="208"/>
      <c r="H634" s="208"/>
      <c r="I634" s="233"/>
      <c r="J634" s="208"/>
      <c r="K634" s="208"/>
      <c r="L634" s="208"/>
      <c r="M634" s="208"/>
      <c r="N634" s="208"/>
      <c r="O634" s="208"/>
      <c r="P634" s="208"/>
      <c r="Q634" s="208"/>
      <c r="R634" s="208"/>
      <c r="S634" s="208"/>
      <c r="T634" s="208"/>
      <c r="U634" s="208"/>
      <c r="V634" s="208"/>
      <c r="W634" s="232"/>
      <c r="X634" s="232"/>
      <c r="Y634" s="232"/>
      <c r="Z634" s="232"/>
      <c r="AA634" s="232"/>
      <c r="AB634" s="232"/>
      <c r="AC634" s="232"/>
      <c r="AD634" s="232"/>
      <c r="AE634" s="232"/>
      <c r="AF634" s="232"/>
      <c r="AG634" s="208"/>
      <c r="AH634" s="208"/>
      <c r="AI634" s="208"/>
      <c r="AJ634" s="208"/>
      <c r="AK634" s="208"/>
    </row>
    <row r="635">
      <c r="A635" s="234"/>
      <c r="B635" s="208"/>
      <c r="C635" s="208"/>
      <c r="D635" s="208"/>
      <c r="E635" s="208"/>
      <c r="F635" s="208"/>
      <c r="G635" s="208"/>
      <c r="H635" s="208"/>
      <c r="I635" s="233"/>
      <c r="J635" s="208"/>
      <c r="K635" s="208"/>
      <c r="L635" s="208"/>
      <c r="M635" s="208"/>
      <c r="N635" s="208"/>
      <c r="O635" s="208"/>
      <c r="P635" s="208"/>
      <c r="Q635" s="208"/>
      <c r="R635" s="208"/>
      <c r="S635" s="208"/>
      <c r="T635" s="208"/>
      <c r="U635" s="208"/>
      <c r="V635" s="208"/>
      <c r="W635" s="232"/>
      <c r="X635" s="232"/>
      <c r="Y635" s="232"/>
      <c r="Z635" s="232"/>
      <c r="AA635" s="232"/>
      <c r="AB635" s="232"/>
      <c r="AC635" s="232"/>
      <c r="AD635" s="232"/>
      <c r="AE635" s="232"/>
      <c r="AF635" s="232"/>
      <c r="AG635" s="208"/>
      <c r="AH635" s="208"/>
      <c r="AI635" s="208"/>
      <c r="AJ635" s="208"/>
      <c r="AK635" s="208"/>
    </row>
    <row r="636">
      <c r="A636" s="234"/>
      <c r="B636" s="208"/>
      <c r="C636" s="208"/>
      <c r="D636" s="208"/>
      <c r="E636" s="208"/>
      <c r="F636" s="208"/>
      <c r="G636" s="208"/>
      <c r="H636" s="208"/>
      <c r="I636" s="233"/>
      <c r="J636" s="208"/>
      <c r="K636" s="208"/>
      <c r="L636" s="208"/>
      <c r="M636" s="208"/>
      <c r="N636" s="208"/>
      <c r="O636" s="208"/>
      <c r="P636" s="208"/>
      <c r="Q636" s="208"/>
      <c r="R636" s="208"/>
      <c r="S636" s="208"/>
      <c r="T636" s="208"/>
      <c r="U636" s="208"/>
      <c r="V636" s="208"/>
      <c r="W636" s="232"/>
      <c r="X636" s="232"/>
      <c r="Y636" s="232"/>
      <c r="Z636" s="232"/>
      <c r="AA636" s="232"/>
      <c r="AB636" s="232"/>
      <c r="AC636" s="232"/>
      <c r="AD636" s="232"/>
      <c r="AE636" s="232"/>
      <c r="AF636" s="232"/>
      <c r="AG636" s="208"/>
      <c r="AH636" s="208"/>
      <c r="AI636" s="208"/>
      <c r="AJ636" s="208"/>
      <c r="AK636" s="208"/>
    </row>
    <row r="637">
      <c r="A637" s="234"/>
      <c r="B637" s="208"/>
      <c r="C637" s="208"/>
      <c r="D637" s="208"/>
      <c r="E637" s="208"/>
      <c r="F637" s="208"/>
      <c r="G637" s="208"/>
      <c r="H637" s="208"/>
      <c r="I637" s="233"/>
      <c r="J637" s="208"/>
      <c r="K637" s="208"/>
      <c r="L637" s="208"/>
      <c r="M637" s="208"/>
      <c r="N637" s="208"/>
      <c r="O637" s="208"/>
      <c r="P637" s="208"/>
      <c r="Q637" s="208"/>
      <c r="R637" s="208"/>
      <c r="S637" s="208"/>
      <c r="T637" s="208"/>
      <c r="U637" s="208"/>
      <c r="V637" s="208"/>
      <c r="W637" s="232"/>
      <c r="X637" s="232"/>
      <c r="Y637" s="232"/>
      <c r="Z637" s="232"/>
      <c r="AA637" s="232"/>
      <c r="AB637" s="232"/>
      <c r="AC637" s="232"/>
      <c r="AD637" s="232"/>
      <c r="AE637" s="232"/>
      <c r="AF637" s="232"/>
      <c r="AG637" s="208"/>
      <c r="AH637" s="208"/>
      <c r="AI637" s="208"/>
      <c r="AJ637" s="208"/>
      <c r="AK637" s="208"/>
    </row>
    <row r="638">
      <c r="A638" s="234"/>
      <c r="B638" s="208"/>
      <c r="C638" s="208"/>
      <c r="D638" s="208"/>
      <c r="E638" s="208"/>
      <c r="F638" s="208"/>
      <c r="G638" s="208"/>
      <c r="H638" s="208"/>
      <c r="I638" s="233"/>
      <c r="J638" s="208"/>
      <c r="K638" s="208"/>
      <c r="L638" s="208"/>
      <c r="M638" s="208"/>
      <c r="N638" s="208"/>
      <c r="O638" s="208"/>
      <c r="P638" s="208"/>
      <c r="Q638" s="208"/>
      <c r="R638" s="208"/>
      <c r="S638" s="208"/>
      <c r="T638" s="208"/>
      <c r="U638" s="208"/>
      <c r="V638" s="208"/>
      <c r="W638" s="232"/>
      <c r="X638" s="232"/>
      <c r="Y638" s="232"/>
      <c r="Z638" s="232"/>
      <c r="AA638" s="232"/>
      <c r="AB638" s="232"/>
      <c r="AC638" s="232"/>
      <c r="AD638" s="232"/>
      <c r="AE638" s="232"/>
      <c r="AF638" s="232"/>
      <c r="AG638" s="208"/>
      <c r="AH638" s="208"/>
      <c r="AI638" s="208"/>
      <c r="AJ638" s="208"/>
      <c r="AK638" s="208"/>
    </row>
    <row r="639">
      <c r="A639" s="234"/>
      <c r="B639" s="208"/>
      <c r="C639" s="208"/>
      <c r="D639" s="208"/>
      <c r="E639" s="208"/>
      <c r="F639" s="208"/>
      <c r="G639" s="208"/>
      <c r="H639" s="208"/>
      <c r="I639" s="233"/>
      <c r="J639" s="208"/>
      <c r="K639" s="208"/>
      <c r="L639" s="208"/>
      <c r="M639" s="208"/>
      <c r="N639" s="208"/>
      <c r="O639" s="208"/>
      <c r="P639" s="208"/>
      <c r="Q639" s="208"/>
      <c r="R639" s="208"/>
      <c r="S639" s="208"/>
      <c r="T639" s="208"/>
      <c r="U639" s="208"/>
      <c r="V639" s="208"/>
      <c r="W639" s="232"/>
      <c r="X639" s="232"/>
      <c r="Y639" s="232"/>
      <c r="Z639" s="232"/>
      <c r="AA639" s="232"/>
      <c r="AB639" s="232"/>
      <c r="AC639" s="232"/>
      <c r="AD639" s="232"/>
      <c r="AE639" s="232"/>
      <c r="AF639" s="232"/>
      <c r="AG639" s="208"/>
      <c r="AH639" s="208"/>
      <c r="AI639" s="208"/>
      <c r="AJ639" s="208"/>
      <c r="AK639" s="208"/>
    </row>
    <row r="640">
      <c r="A640" s="234"/>
      <c r="B640" s="208"/>
      <c r="C640" s="208"/>
      <c r="D640" s="208"/>
      <c r="E640" s="208"/>
      <c r="F640" s="208"/>
      <c r="G640" s="208"/>
      <c r="H640" s="208"/>
      <c r="I640" s="233"/>
      <c r="J640" s="208"/>
      <c r="K640" s="208"/>
      <c r="L640" s="208"/>
      <c r="M640" s="208"/>
      <c r="N640" s="208"/>
      <c r="O640" s="208"/>
      <c r="P640" s="208"/>
      <c r="Q640" s="208"/>
      <c r="R640" s="208"/>
      <c r="S640" s="208"/>
      <c r="T640" s="208"/>
      <c r="U640" s="208"/>
      <c r="V640" s="208"/>
      <c r="W640" s="232"/>
      <c r="X640" s="232"/>
      <c r="Y640" s="232"/>
      <c r="Z640" s="232"/>
      <c r="AA640" s="232"/>
      <c r="AB640" s="232"/>
      <c r="AC640" s="232"/>
      <c r="AD640" s="232"/>
      <c r="AE640" s="232"/>
      <c r="AF640" s="232"/>
      <c r="AG640" s="208"/>
      <c r="AH640" s="208"/>
      <c r="AI640" s="208"/>
      <c r="AJ640" s="208"/>
      <c r="AK640" s="208"/>
    </row>
    <row r="641">
      <c r="A641" s="234"/>
      <c r="B641" s="208"/>
      <c r="C641" s="208"/>
      <c r="D641" s="208"/>
      <c r="E641" s="208"/>
      <c r="F641" s="208"/>
      <c r="G641" s="208"/>
      <c r="H641" s="208"/>
      <c r="I641" s="233"/>
      <c r="J641" s="208"/>
      <c r="K641" s="208"/>
      <c r="L641" s="208"/>
      <c r="M641" s="208"/>
      <c r="N641" s="208"/>
      <c r="O641" s="208"/>
      <c r="P641" s="208"/>
      <c r="Q641" s="208"/>
      <c r="R641" s="208"/>
      <c r="S641" s="208"/>
      <c r="T641" s="208"/>
      <c r="U641" s="208"/>
      <c r="V641" s="208"/>
      <c r="W641" s="232"/>
      <c r="X641" s="232"/>
      <c r="Y641" s="232"/>
      <c r="Z641" s="232"/>
      <c r="AA641" s="232"/>
      <c r="AB641" s="232"/>
      <c r="AC641" s="232"/>
      <c r="AD641" s="232"/>
      <c r="AE641" s="232"/>
      <c r="AF641" s="232"/>
      <c r="AG641" s="208"/>
      <c r="AH641" s="208"/>
      <c r="AI641" s="208"/>
      <c r="AJ641" s="208"/>
      <c r="AK641" s="208"/>
    </row>
    <row r="642">
      <c r="A642" s="234"/>
      <c r="B642" s="208"/>
      <c r="C642" s="208"/>
      <c r="D642" s="208"/>
      <c r="E642" s="208"/>
      <c r="F642" s="208"/>
      <c r="G642" s="208"/>
      <c r="H642" s="208"/>
      <c r="I642" s="233"/>
      <c r="J642" s="208"/>
      <c r="K642" s="208"/>
      <c r="L642" s="208"/>
      <c r="M642" s="208"/>
      <c r="N642" s="208"/>
      <c r="O642" s="208"/>
      <c r="P642" s="208"/>
      <c r="Q642" s="208"/>
      <c r="R642" s="208"/>
      <c r="S642" s="208"/>
      <c r="T642" s="208"/>
      <c r="U642" s="208"/>
      <c r="V642" s="208"/>
      <c r="W642" s="232"/>
      <c r="X642" s="232"/>
      <c r="Y642" s="232"/>
      <c r="Z642" s="232"/>
      <c r="AA642" s="232"/>
      <c r="AB642" s="232"/>
      <c r="AC642" s="232"/>
      <c r="AD642" s="232"/>
      <c r="AE642" s="232"/>
      <c r="AF642" s="232"/>
      <c r="AG642" s="208"/>
      <c r="AH642" s="208"/>
      <c r="AI642" s="208"/>
      <c r="AJ642" s="208"/>
      <c r="AK642" s="208"/>
    </row>
    <row r="643">
      <c r="A643" s="234"/>
      <c r="B643" s="208"/>
      <c r="C643" s="208"/>
      <c r="D643" s="208"/>
      <c r="E643" s="208"/>
      <c r="F643" s="208"/>
      <c r="G643" s="208"/>
      <c r="H643" s="208"/>
      <c r="I643" s="233"/>
      <c r="J643" s="208"/>
      <c r="K643" s="208"/>
      <c r="L643" s="208"/>
      <c r="M643" s="208"/>
      <c r="N643" s="208"/>
      <c r="O643" s="208"/>
      <c r="P643" s="208"/>
      <c r="Q643" s="208"/>
      <c r="R643" s="208"/>
      <c r="S643" s="208"/>
      <c r="T643" s="208"/>
      <c r="U643" s="208"/>
      <c r="V643" s="208"/>
      <c r="W643" s="232"/>
      <c r="X643" s="232"/>
      <c r="Y643" s="232"/>
      <c r="Z643" s="232"/>
      <c r="AA643" s="232"/>
      <c r="AB643" s="232"/>
      <c r="AC643" s="232"/>
      <c r="AD643" s="232"/>
      <c r="AE643" s="232"/>
      <c r="AF643" s="232"/>
      <c r="AG643" s="208"/>
      <c r="AH643" s="208"/>
      <c r="AI643" s="208"/>
      <c r="AJ643" s="208"/>
      <c r="AK643" s="208"/>
    </row>
    <row r="644">
      <c r="A644" s="234"/>
      <c r="B644" s="208"/>
      <c r="C644" s="208"/>
      <c r="D644" s="208"/>
      <c r="E644" s="208"/>
      <c r="F644" s="208"/>
      <c r="G644" s="208"/>
      <c r="H644" s="208"/>
      <c r="I644" s="233"/>
      <c r="J644" s="208"/>
      <c r="K644" s="208"/>
      <c r="L644" s="208"/>
      <c r="M644" s="208"/>
      <c r="N644" s="208"/>
      <c r="O644" s="208"/>
      <c r="P644" s="208"/>
      <c r="Q644" s="208"/>
      <c r="R644" s="208"/>
      <c r="S644" s="208"/>
      <c r="T644" s="208"/>
      <c r="U644" s="208"/>
      <c r="V644" s="208"/>
      <c r="W644" s="232"/>
      <c r="X644" s="232"/>
      <c r="Y644" s="232"/>
      <c r="Z644" s="232"/>
      <c r="AA644" s="232"/>
      <c r="AB644" s="232"/>
      <c r="AC644" s="232"/>
      <c r="AD644" s="232"/>
      <c r="AE644" s="232"/>
      <c r="AF644" s="232"/>
      <c r="AG644" s="208"/>
      <c r="AH644" s="208"/>
      <c r="AI644" s="208"/>
      <c r="AJ644" s="208"/>
      <c r="AK644" s="208"/>
    </row>
    <row r="645">
      <c r="A645" s="234"/>
      <c r="B645" s="208"/>
      <c r="C645" s="208"/>
      <c r="D645" s="208"/>
      <c r="E645" s="208"/>
      <c r="F645" s="208"/>
      <c r="G645" s="208"/>
      <c r="H645" s="208"/>
      <c r="I645" s="233"/>
      <c r="J645" s="208"/>
      <c r="K645" s="208"/>
      <c r="L645" s="208"/>
      <c r="M645" s="208"/>
      <c r="N645" s="208"/>
      <c r="O645" s="208"/>
      <c r="P645" s="208"/>
      <c r="Q645" s="208"/>
      <c r="R645" s="208"/>
      <c r="S645" s="208"/>
      <c r="T645" s="208"/>
      <c r="U645" s="208"/>
      <c r="V645" s="208"/>
      <c r="W645" s="232"/>
      <c r="X645" s="232"/>
      <c r="Y645" s="232"/>
      <c r="Z645" s="232"/>
      <c r="AA645" s="232"/>
      <c r="AB645" s="232"/>
      <c r="AC645" s="232"/>
      <c r="AD645" s="232"/>
      <c r="AE645" s="232"/>
      <c r="AF645" s="232"/>
      <c r="AG645" s="208"/>
      <c r="AH645" s="208"/>
      <c r="AI645" s="208"/>
      <c r="AJ645" s="208"/>
      <c r="AK645" s="208"/>
    </row>
    <row r="646">
      <c r="A646" s="234"/>
      <c r="B646" s="208"/>
      <c r="C646" s="208"/>
      <c r="D646" s="208"/>
      <c r="E646" s="208"/>
      <c r="F646" s="208"/>
      <c r="G646" s="208"/>
      <c r="H646" s="208"/>
      <c r="I646" s="233"/>
      <c r="J646" s="208"/>
      <c r="K646" s="208"/>
      <c r="L646" s="208"/>
      <c r="M646" s="208"/>
      <c r="N646" s="208"/>
      <c r="O646" s="208"/>
      <c r="P646" s="208"/>
      <c r="Q646" s="208"/>
      <c r="R646" s="208"/>
      <c r="S646" s="208"/>
      <c r="T646" s="208"/>
      <c r="U646" s="208"/>
      <c r="V646" s="208"/>
      <c r="W646" s="232"/>
      <c r="X646" s="232"/>
      <c r="Y646" s="232"/>
      <c r="Z646" s="232"/>
      <c r="AA646" s="232"/>
      <c r="AB646" s="232"/>
      <c r="AC646" s="232"/>
      <c r="AD646" s="232"/>
      <c r="AE646" s="232"/>
      <c r="AF646" s="232"/>
      <c r="AG646" s="208"/>
      <c r="AH646" s="208"/>
      <c r="AI646" s="208"/>
      <c r="AJ646" s="208"/>
      <c r="AK646" s="208"/>
    </row>
    <row r="647">
      <c r="A647" s="234"/>
      <c r="B647" s="208"/>
      <c r="C647" s="208"/>
      <c r="D647" s="208"/>
      <c r="E647" s="208"/>
      <c r="F647" s="208"/>
      <c r="G647" s="208"/>
      <c r="H647" s="208"/>
      <c r="I647" s="233"/>
      <c r="J647" s="208"/>
      <c r="K647" s="208"/>
      <c r="L647" s="208"/>
      <c r="M647" s="208"/>
      <c r="N647" s="208"/>
      <c r="O647" s="208"/>
      <c r="P647" s="208"/>
      <c r="Q647" s="208"/>
      <c r="R647" s="208"/>
      <c r="S647" s="208"/>
      <c r="T647" s="208"/>
      <c r="U647" s="208"/>
      <c r="V647" s="208"/>
      <c r="W647" s="232"/>
      <c r="X647" s="232"/>
      <c r="Y647" s="232"/>
      <c r="Z647" s="232"/>
      <c r="AA647" s="232"/>
      <c r="AB647" s="232"/>
      <c r="AC647" s="232"/>
      <c r="AD647" s="232"/>
      <c r="AE647" s="232"/>
      <c r="AF647" s="232"/>
      <c r="AG647" s="208"/>
      <c r="AH647" s="208"/>
      <c r="AI647" s="208"/>
      <c r="AJ647" s="208"/>
      <c r="AK647" s="208"/>
    </row>
    <row r="648">
      <c r="A648" s="234"/>
      <c r="B648" s="208"/>
      <c r="C648" s="208"/>
      <c r="D648" s="208"/>
      <c r="E648" s="208"/>
      <c r="F648" s="208"/>
      <c r="G648" s="208"/>
      <c r="H648" s="208"/>
      <c r="I648" s="233"/>
      <c r="J648" s="208"/>
      <c r="K648" s="208"/>
      <c r="L648" s="208"/>
      <c r="M648" s="208"/>
      <c r="N648" s="208"/>
      <c r="O648" s="208"/>
      <c r="P648" s="208"/>
      <c r="Q648" s="208"/>
      <c r="R648" s="208"/>
      <c r="S648" s="208"/>
      <c r="T648" s="208"/>
      <c r="U648" s="208"/>
      <c r="V648" s="208"/>
      <c r="W648" s="232"/>
      <c r="X648" s="232"/>
      <c r="Y648" s="232"/>
      <c r="Z648" s="232"/>
      <c r="AA648" s="232"/>
      <c r="AB648" s="232"/>
      <c r="AC648" s="232"/>
      <c r="AD648" s="232"/>
      <c r="AE648" s="232"/>
      <c r="AF648" s="232"/>
      <c r="AG648" s="208"/>
      <c r="AH648" s="208"/>
      <c r="AI648" s="208"/>
      <c r="AJ648" s="208"/>
      <c r="AK648" s="208"/>
    </row>
    <row r="649">
      <c r="A649" s="234"/>
      <c r="B649" s="208"/>
      <c r="C649" s="208"/>
      <c r="D649" s="208"/>
      <c r="E649" s="208"/>
      <c r="F649" s="208"/>
      <c r="G649" s="208"/>
      <c r="H649" s="208"/>
      <c r="I649" s="233"/>
      <c r="J649" s="208"/>
      <c r="K649" s="208"/>
      <c r="L649" s="208"/>
      <c r="M649" s="208"/>
      <c r="N649" s="208"/>
      <c r="O649" s="208"/>
      <c r="P649" s="208"/>
      <c r="Q649" s="208"/>
      <c r="R649" s="208"/>
      <c r="S649" s="208"/>
      <c r="T649" s="208"/>
      <c r="U649" s="208"/>
      <c r="V649" s="208"/>
      <c r="W649" s="232"/>
      <c r="X649" s="232"/>
      <c r="Y649" s="232"/>
      <c r="Z649" s="232"/>
      <c r="AA649" s="232"/>
      <c r="AB649" s="232"/>
      <c r="AC649" s="232"/>
      <c r="AD649" s="232"/>
      <c r="AE649" s="232"/>
      <c r="AF649" s="232"/>
      <c r="AG649" s="208"/>
      <c r="AH649" s="208"/>
      <c r="AI649" s="208"/>
      <c r="AJ649" s="208"/>
      <c r="AK649" s="208"/>
    </row>
    <row r="650">
      <c r="A650" s="234"/>
      <c r="B650" s="208"/>
      <c r="C650" s="208"/>
      <c r="D650" s="208"/>
      <c r="E650" s="208"/>
      <c r="F650" s="208"/>
      <c r="G650" s="208"/>
      <c r="H650" s="208"/>
      <c r="I650" s="233"/>
      <c r="J650" s="208"/>
      <c r="K650" s="208"/>
      <c r="L650" s="208"/>
      <c r="M650" s="208"/>
      <c r="N650" s="208"/>
      <c r="O650" s="208"/>
      <c r="P650" s="208"/>
      <c r="Q650" s="208"/>
      <c r="R650" s="208"/>
      <c r="S650" s="208"/>
      <c r="T650" s="208"/>
      <c r="U650" s="208"/>
      <c r="V650" s="208"/>
      <c r="W650" s="232"/>
      <c r="X650" s="232"/>
      <c r="Y650" s="232"/>
      <c r="Z650" s="232"/>
      <c r="AA650" s="232"/>
      <c r="AB650" s="232"/>
      <c r="AC650" s="232"/>
      <c r="AD650" s="232"/>
      <c r="AE650" s="232"/>
      <c r="AF650" s="232"/>
      <c r="AG650" s="208"/>
      <c r="AH650" s="208"/>
      <c r="AI650" s="208"/>
      <c r="AJ650" s="208"/>
      <c r="AK650" s="208"/>
    </row>
    <row r="651">
      <c r="A651" s="234"/>
      <c r="B651" s="208"/>
      <c r="C651" s="208"/>
      <c r="D651" s="208"/>
      <c r="E651" s="208"/>
      <c r="F651" s="208"/>
      <c r="G651" s="208"/>
      <c r="H651" s="208"/>
      <c r="I651" s="233"/>
      <c r="J651" s="208"/>
      <c r="K651" s="208"/>
      <c r="L651" s="208"/>
      <c r="M651" s="208"/>
      <c r="N651" s="208"/>
      <c r="O651" s="208"/>
      <c r="P651" s="208"/>
      <c r="Q651" s="208"/>
      <c r="R651" s="208"/>
      <c r="S651" s="208"/>
      <c r="T651" s="208"/>
      <c r="U651" s="208"/>
      <c r="V651" s="208"/>
      <c r="W651" s="232"/>
      <c r="X651" s="232"/>
      <c r="Y651" s="232"/>
      <c r="Z651" s="232"/>
      <c r="AA651" s="232"/>
      <c r="AB651" s="232"/>
      <c r="AC651" s="232"/>
      <c r="AD651" s="232"/>
      <c r="AE651" s="232"/>
      <c r="AF651" s="232"/>
      <c r="AG651" s="208"/>
      <c r="AH651" s="208"/>
      <c r="AI651" s="208"/>
      <c r="AJ651" s="208"/>
      <c r="AK651" s="208"/>
    </row>
    <row r="652">
      <c r="A652" s="234"/>
      <c r="B652" s="208"/>
      <c r="C652" s="208"/>
      <c r="D652" s="208"/>
      <c r="E652" s="208"/>
      <c r="F652" s="208"/>
      <c r="G652" s="208"/>
      <c r="H652" s="208"/>
      <c r="I652" s="233"/>
      <c r="J652" s="208"/>
      <c r="K652" s="208"/>
      <c r="L652" s="208"/>
      <c r="M652" s="208"/>
      <c r="N652" s="208"/>
      <c r="O652" s="208"/>
      <c r="P652" s="208"/>
      <c r="Q652" s="208"/>
      <c r="R652" s="208"/>
      <c r="S652" s="208"/>
      <c r="T652" s="208"/>
      <c r="U652" s="208"/>
      <c r="V652" s="208"/>
      <c r="W652" s="232"/>
      <c r="X652" s="232"/>
      <c r="Y652" s="232"/>
      <c r="Z652" s="232"/>
      <c r="AA652" s="232"/>
      <c r="AB652" s="232"/>
      <c r="AC652" s="232"/>
      <c r="AD652" s="232"/>
      <c r="AE652" s="232"/>
      <c r="AF652" s="232"/>
      <c r="AG652" s="208"/>
      <c r="AH652" s="208"/>
      <c r="AI652" s="208"/>
      <c r="AJ652" s="208"/>
      <c r="AK652" s="208"/>
    </row>
    <row r="653">
      <c r="A653" s="234"/>
      <c r="B653" s="208"/>
      <c r="C653" s="208"/>
      <c r="D653" s="208"/>
      <c r="E653" s="208"/>
      <c r="F653" s="208"/>
      <c r="G653" s="208"/>
      <c r="H653" s="208"/>
      <c r="I653" s="233"/>
      <c r="J653" s="208"/>
      <c r="K653" s="208"/>
      <c r="L653" s="208"/>
      <c r="M653" s="208"/>
      <c r="N653" s="208"/>
      <c r="O653" s="208"/>
      <c r="P653" s="208"/>
      <c r="Q653" s="208"/>
      <c r="R653" s="208"/>
      <c r="S653" s="208"/>
      <c r="T653" s="208"/>
      <c r="U653" s="208"/>
      <c r="V653" s="208"/>
      <c r="W653" s="232"/>
      <c r="X653" s="232"/>
      <c r="Y653" s="232"/>
      <c r="Z653" s="232"/>
      <c r="AA653" s="232"/>
      <c r="AB653" s="232"/>
      <c r="AC653" s="232"/>
      <c r="AD653" s="232"/>
      <c r="AE653" s="232"/>
      <c r="AF653" s="232"/>
      <c r="AG653" s="208"/>
      <c r="AH653" s="208"/>
      <c r="AI653" s="208"/>
      <c r="AJ653" s="208"/>
      <c r="AK653" s="208"/>
    </row>
    <row r="654">
      <c r="A654" s="234"/>
      <c r="B654" s="208"/>
      <c r="C654" s="208"/>
      <c r="D654" s="208"/>
      <c r="E654" s="208"/>
      <c r="F654" s="208"/>
      <c r="G654" s="208"/>
      <c r="H654" s="208"/>
      <c r="I654" s="233"/>
      <c r="J654" s="208"/>
      <c r="K654" s="208"/>
      <c r="L654" s="208"/>
      <c r="M654" s="208"/>
      <c r="N654" s="208"/>
      <c r="O654" s="208"/>
      <c r="P654" s="208"/>
      <c r="Q654" s="208"/>
      <c r="R654" s="208"/>
      <c r="S654" s="208"/>
      <c r="T654" s="208"/>
      <c r="U654" s="208"/>
      <c r="V654" s="208"/>
      <c r="W654" s="232"/>
      <c r="X654" s="232"/>
      <c r="Y654" s="232"/>
      <c r="Z654" s="232"/>
      <c r="AA654" s="232"/>
      <c r="AB654" s="232"/>
      <c r="AC654" s="232"/>
      <c r="AD654" s="232"/>
      <c r="AE654" s="232"/>
      <c r="AF654" s="232"/>
      <c r="AG654" s="208"/>
      <c r="AH654" s="208"/>
      <c r="AI654" s="208"/>
      <c r="AJ654" s="208"/>
      <c r="AK654" s="208"/>
    </row>
    <row r="655">
      <c r="A655" s="234"/>
      <c r="B655" s="208"/>
      <c r="C655" s="208"/>
      <c r="D655" s="208"/>
      <c r="E655" s="208"/>
      <c r="F655" s="208"/>
      <c r="G655" s="208"/>
      <c r="H655" s="208"/>
      <c r="I655" s="233"/>
      <c r="J655" s="208"/>
      <c r="K655" s="208"/>
      <c r="L655" s="208"/>
      <c r="M655" s="208"/>
      <c r="N655" s="208"/>
      <c r="O655" s="208"/>
      <c r="P655" s="208"/>
      <c r="Q655" s="208"/>
      <c r="R655" s="208"/>
      <c r="S655" s="208"/>
      <c r="T655" s="208"/>
      <c r="U655" s="208"/>
      <c r="V655" s="208"/>
      <c r="W655" s="232"/>
      <c r="X655" s="232"/>
      <c r="Y655" s="232"/>
      <c r="Z655" s="232"/>
      <c r="AA655" s="232"/>
      <c r="AB655" s="232"/>
      <c r="AC655" s="232"/>
      <c r="AD655" s="232"/>
      <c r="AE655" s="232"/>
      <c r="AF655" s="232"/>
      <c r="AG655" s="208"/>
      <c r="AH655" s="208"/>
      <c r="AI655" s="208"/>
      <c r="AJ655" s="208"/>
      <c r="AK655" s="208"/>
    </row>
    <row r="656">
      <c r="A656" s="234"/>
      <c r="B656" s="208"/>
      <c r="C656" s="208"/>
      <c r="D656" s="208"/>
      <c r="E656" s="208"/>
      <c r="F656" s="208"/>
      <c r="G656" s="208"/>
      <c r="H656" s="208"/>
      <c r="I656" s="233"/>
      <c r="J656" s="208"/>
      <c r="K656" s="208"/>
      <c r="L656" s="208"/>
      <c r="M656" s="208"/>
      <c r="N656" s="208"/>
      <c r="O656" s="208"/>
      <c r="P656" s="208"/>
      <c r="Q656" s="208"/>
      <c r="R656" s="208"/>
      <c r="S656" s="208"/>
      <c r="T656" s="208"/>
      <c r="U656" s="208"/>
      <c r="V656" s="208"/>
      <c r="W656" s="232"/>
      <c r="X656" s="232"/>
      <c r="Y656" s="232"/>
      <c r="Z656" s="232"/>
      <c r="AA656" s="232"/>
      <c r="AB656" s="232"/>
      <c r="AC656" s="232"/>
      <c r="AD656" s="232"/>
      <c r="AE656" s="232"/>
      <c r="AF656" s="232"/>
      <c r="AG656" s="208"/>
      <c r="AH656" s="208"/>
      <c r="AI656" s="208"/>
      <c r="AJ656" s="208"/>
      <c r="AK656" s="208"/>
    </row>
    <row r="657">
      <c r="A657" s="234"/>
      <c r="B657" s="208"/>
      <c r="C657" s="208"/>
      <c r="D657" s="208"/>
      <c r="E657" s="208"/>
      <c r="F657" s="208"/>
      <c r="G657" s="208"/>
      <c r="H657" s="208"/>
      <c r="I657" s="233"/>
      <c r="J657" s="208"/>
      <c r="K657" s="208"/>
      <c r="L657" s="208"/>
      <c r="M657" s="208"/>
      <c r="N657" s="208"/>
      <c r="O657" s="208"/>
      <c r="P657" s="208"/>
      <c r="Q657" s="208"/>
      <c r="R657" s="208"/>
      <c r="S657" s="208"/>
      <c r="T657" s="208"/>
      <c r="U657" s="208"/>
      <c r="V657" s="208"/>
      <c r="W657" s="232"/>
      <c r="X657" s="232"/>
      <c r="Y657" s="232"/>
      <c r="Z657" s="232"/>
      <c r="AA657" s="232"/>
      <c r="AB657" s="232"/>
      <c r="AC657" s="232"/>
      <c r="AD657" s="232"/>
      <c r="AE657" s="232"/>
      <c r="AF657" s="232"/>
      <c r="AG657" s="208"/>
      <c r="AH657" s="208"/>
      <c r="AI657" s="208"/>
      <c r="AJ657" s="208"/>
      <c r="AK657" s="208"/>
    </row>
    <row r="658">
      <c r="A658" s="234"/>
      <c r="B658" s="208"/>
      <c r="C658" s="208"/>
      <c r="D658" s="208"/>
      <c r="E658" s="208"/>
      <c r="F658" s="208"/>
      <c r="G658" s="208"/>
      <c r="H658" s="208"/>
      <c r="I658" s="233"/>
      <c r="J658" s="208"/>
      <c r="K658" s="208"/>
      <c r="L658" s="208"/>
      <c r="M658" s="208"/>
      <c r="N658" s="208"/>
      <c r="O658" s="208"/>
      <c r="P658" s="208"/>
      <c r="Q658" s="208"/>
      <c r="R658" s="208"/>
      <c r="S658" s="208"/>
      <c r="T658" s="208"/>
      <c r="U658" s="208"/>
      <c r="V658" s="208"/>
      <c r="W658" s="232"/>
      <c r="X658" s="232"/>
      <c r="Y658" s="232"/>
      <c r="Z658" s="232"/>
      <c r="AA658" s="232"/>
      <c r="AB658" s="232"/>
      <c r="AC658" s="232"/>
      <c r="AD658" s="232"/>
      <c r="AE658" s="232"/>
      <c r="AF658" s="232"/>
      <c r="AG658" s="208"/>
      <c r="AH658" s="208"/>
      <c r="AI658" s="208"/>
      <c r="AJ658" s="208"/>
      <c r="AK658" s="208"/>
    </row>
    <row r="659">
      <c r="A659" s="234"/>
      <c r="B659" s="208"/>
      <c r="C659" s="208"/>
      <c r="D659" s="208"/>
      <c r="E659" s="208"/>
      <c r="F659" s="208"/>
      <c r="G659" s="208"/>
      <c r="H659" s="208"/>
      <c r="I659" s="233"/>
      <c r="J659" s="208"/>
      <c r="K659" s="208"/>
      <c r="L659" s="208"/>
      <c r="M659" s="208"/>
      <c r="N659" s="208"/>
      <c r="O659" s="208"/>
      <c r="P659" s="208"/>
      <c r="Q659" s="208"/>
      <c r="R659" s="208"/>
      <c r="S659" s="208"/>
      <c r="T659" s="208"/>
      <c r="U659" s="208"/>
      <c r="V659" s="208"/>
      <c r="W659" s="232"/>
      <c r="X659" s="232"/>
      <c r="Y659" s="232"/>
      <c r="Z659" s="232"/>
      <c r="AA659" s="232"/>
      <c r="AB659" s="232"/>
      <c r="AC659" s="232"/>
      <c r="AD659" s="232"/>
      <c r="AE659" s="232"/>
      <c r="AF659" s="232"/>
      <c r="AG659" s="208"/>
      <c r="AH659" s="208"/>
      <c r="AI659" s="208"/>
      <c r="AJ659" s="208"/>
      <c r="AK659" s="208"/>
    </row>
    <row r="660">
      <c r="A660" s="234"/>
      <c r="B660" s="208"/>
      <c r="C660" s="208"/>
      <c r="D660" s="208"/>
      <c r="E660" s="208"/>
      <c r="F660" s="208"/>
      <c r="G660" s="208"/>
      <c r="H660" s="208"/>
      <c r="I660" s="233"/>
      <c r="J660" s="208"/>
      <c r="K660" s="208"/>
      <c r="L660" s="208"/>
      <c r="M660" s="208"/>
      <c r="N660" s="208"/>
      <c r="O660" s="208"/>
      <c r="P660" s="208"/>
      <c r="Q660" s="208"/>
      <c r="R660" s="208"/>
      <c r="S660" s="208"/>
      <c r="T660" s="208"/>
      <c r="U660" s="208"/>
      <c r="V660" s="208"/>
      <c r="W660" s="232"/>
      <c r="X660" s="232"/>
      <c r="Y660" s="232"/>
      <c r="Z660" s="232"/>
      <c r="AA660" s="232"/>
      <c r="AB660" s="232"/>
      <c r="AC660" s="232"/>
      <c r="AD660" s="232"/>
      <c r="AE660" s="232"/>
      <c r="AF660" s="232"/>
      <c r="AG660" s="208"/>
      <c r="AH660" s="208"/>
      <c r="AI660" s="208"/>
      <c r="AJ660" s="208"/>
      <c r="AK660" s="208"/>
    </row>
    <row r="661">
      <c r="A661" s="234"/>
      <c r="B661" s="208"/>
      <c r="C661" s="208"/>
      <c r="D661" s="208"/>
      <c r="E661" s="208"/>
      <c r="F661" s="208"/>
      <c r="G661" s="208"/>
      <c r="H661" s="208"/>
      <c r="I661" s="233"/>
      <c r="J661" s="208"/>
      <c r="K661" s="208"/>
      <c r="L661" s="208"/>
      <c r="M661" s="208"/>
      <c r="N661" s="208"/>
      <c r="O661" s="208"/>
      <c r="P661" s="208"/>
      <c r="Q661" s="208"/>
      <c r="R661" s="208"/>
      <c r="S661" s="208"/>
      <c r="T661" s="208"/>
      <c r="U661" s="208"/>
      <c r="V661" s="208"/>
      <c r="W661" s="232"/>
      <c r="X661" s="232"/>
      <c r="Y661" s="232"/>
      <c r="Z661" s="232"/>
      <c r="AA661" s="232"/>
      <c r="AB661" s="232"/>
      <c r="AC661" s="232"/>
      <c r="AD661" s="232"/>
      <c r="AE661" s="232"/>
      <c r="AF661" s="232"/>
      <c r="AG661" s="208"/>
      <c r="AH661" s="208"/>
      <c r="AI661" s="208"/>
      <c r="AJ661" s="208"/>
      <c r="AK661" s="208"/>
    </row>
    <row r="662">
      <c r="A662" s="234"/>
      <c r="B662" s="208"/>
      <c r="C662" s="208"/>
      <c r="D662" s="208"/>
      <c r="E662" s="208"/>
      <c r="F662" s="208"/>
      <c r="G662" s="208"/>
      <c r="H662" s="208"/>
      <c r="I662" s="233"/>
      <c r="J662" s="208"/>
      <c r="K662" s="208"/>
      <c r="L662" s="208"/>
      <c r="M662" s="208"/>
      <c r="N662" s="208"/>
      <c r="O662" s="208"/>
      <c r="P662" s="208"/>
      <c r="Q662" s="208"/>
      <c r="R662" s="208"/>
      <c r="S662" s="208"/>
      <c r="T662" s="208"/>
      <c r="U662" s="208"/>
      <c r="V662" s="208"/>
      <c r="W662" s="232"/>
      <c r="X662" s="232"/>
      <c r="Y662" s="232"/>
      <c r="Z662" s="232"/>
      <c r="AA662" s="232"/>
      <c r="AB662" s="232"/>
      <c r="AC662" s="232"/>
      <c r="AD662" s="232"/>
      <c r="AE662" s="232"/>
      <c r="AF662" s="232"/>
      <c r="AG662" s="208"/>
      <c r="AH662" s="208"/>
      <c r="AI662" s="208"/>
      <c r="AJ662" s="208"/>
      <c r="AK662" s="208"/>
    </row>
    <row r="663">
      <c r="A663" s="234"/>
      <c r="B663" s="208"/>
      <c r="C663" s="208"/>
      <c r="D663" s="208"/>
      <c r="E663" s="208"/>
      <c r="F663" s="208"/>
      <c r="G663" s="208"/>
      <c r="H663" s="208"/>
      <c r="I663" s="233"/>
      <c r="J663" s="208"/>
      <c r="K663" s="208"/>
      <c r="L663" s="208"/>
      <c r="M663" s="208"/>
      <c r="N663" s="208"/>
      <c r="O663" s="208"/>
      <c r="P663" s="208"/>
      <c r="Q663" s="208"/>
      <c r="R663" s="208"/>
      <c r="S663" s="208"/>
      <c r="T663" s="208"/>
      <c r="U663" s="208"/>
      <c r="V663" s="208"/>
      <c r="W663" s="232"/>
      <c r="X663" s="232"/>
      <c r="Y663" s="232"/>
      <c r="Z663" s="232"/>
      <c r="AA663" s="232"/>
      <c r="AB663" s="232"/>
      <c r="AC663" s="232"/>
      <c r="AD663" s="232"/>
      <c r="AE663" s="232"/>
      <c r="AF663" s="232"/>
      <c r="AG663" s="208"/>
      <c r="AH663" s="208"/>
      <c r="AI663" s="208"/>
      <c r="AJ663" s="208"/>
      <c r="AK663" s="208"/>
    </row>
    <row r="664">
      <c r="A664" s="234"/>
      <c r="B664" s="208"/>
      <c r="C664" s="208"/>
      <c r="D664" s="208"/>
      <c r="E664" s="208"/>
      <c r="F664" s="208"/>
      <c r="G664" s="208"/>
      <c r="H664" s="208"/>
      <c r="I664" s="233"/>
      <c r="J664" s="208"/>
      <c r="K664" s="208"/>
      <c r="L664" s="208"/>
      <c r="M664" s="208"/>
      <c r="N664" s="208"/>
      <c r="O664" s="208"/>
      <c r="P664" s="208"/>
      <c r="Q664" s="208"/>
      <c r="R664" s="208"/>
      <c r="S664" s="208"/>
      <c r="T664" s="208"/>
      <c r="U664" s="208"/>
      <c r="V664" s="208"/>
      <c r="W664" s="232"/>
      <c r="X664" s="232"/>
      <c r="Y664" s="232"/>
      <c r="Z664" s="232"/>
      <c r="AA664" s="232"/>
      <c r="AB664" s="232"/>
      <c r="AC664" s="232"/>
      <c r="AD664" s="232"/>
      <c r="AE664" s="232"/>
      <c r="AF664" s="232"/>
      <c r="AG664" s="208"/>
      <c r="AH664" s="208"/>
      <c r="AI664" s="208"/>
      <c r="AJ664" s="208"/>
      <c r="AK664" s="208"/>
    </row>
    <row r="665">
      <c r="A665" s="234"/>
      <c r="B665" s="208"/>
      <c r="C665" s="208"/>
      <c r="D665" s="208"/>
      <c r="E665" s="208"/>
      <c r="F665" s="208"/>
      <c r="G665" s="208"/>
      <c r="H665" s="208"/>
      <c r="I665" s="233"/>
      <c r="J665" s="208"/>
      <c r="K665" s="208"/>
      <c r="L665" s="208"/>
      <c r="M665" s="208"/>
      <c r="N665" s="208"/>
      <c r="O665" s="208"/>
      <c r="P665" s="208"/>
      <c r="Q665" s="208"/>
      <c r="R665" s="208"/>
      <c r="S665" s="208"/>
      <c r="T665" s="208"/>
      <c r="U665" s="208"/>
      <c r="V665" s="208"/>
      <c r="W665" s="232"/>
      <c r="X665" s="232"/>
      <c r="Y665" s="232"/>
      <c r="Z665" s="232"/>
      <c r="AA665" s="232"/>
      <c r="AB665" s="232"/>
      <c r="AC665" s="232"/>
      <c r="AD665" s="232"/>
      <c r="AE665" s="232"/>
      <c r="AF665" s="232"/>
      <c r="AG665" s="208"/>
      <c r="AH665" s="208"/>
      <c r="AI665" s="208"/>
      <c r="AJ665" s="208"/>
      <c r="AK665" s="208"/>
    </row>
    <row r="666">
      <c r="A666" s="234"/>
      <c r="B666" s="208"/>
      <c r="C666" s="208"/>
      <c r="D666" s="208"/>
      <c r="E666" s="208"/>
      <c r="F666" s="208"/>
      <c r="G666" s="208"/>
      <c r="H666" s="208"/>
      <c r="I666" s="233"/>
      <c r="J666" s="208"/>
      <c r="K666" s="208"/>
      <c r="L666" s="208"/>
      <c r="M666" s="208"/>
      <c r="N666" s="208"/>
      <c r="O666" s="208"/>
      <c r="P666" s="208"/>
      <c r="Q666" s="208"/>
      <c r="R666" s="208"/>
      <c r="S666" s="208"/>
      <c r="T666" s="208"/>
      <c r="U666" s="208"/>
      <c r="V666" s="208"/>
      <c r="W666" s="232"/>
      <c r="X666" s="232"/>
      <c r="Y666" s="232"/>
      <c r="Z666" s="232"/>
      <c r="AA666" s="232"/>
      <c r="AB666" s="232"/>
      <c r="AC666" s="232"/>
      <c r="AD666" s="232"/>
      <c r="AE666" s="232"/>
      <c r="AF666" s="232"/>
      <c r="AG666" s="208"/>
      <c r="AH666" s="208"/>
      <c r="AI666" s="208"/>
      <c r="AJ666" s="208"/>
      <c r="AK666" s="208"/>
    </row>
    <row r="667">
      <c r="A667" s="234"/>
      <c r="B667" s="208"/>
      <c r="C667" s="208"/>
      <c r="D667" s="208"/>
      <c r="E667" s="208"/>
      <c r="F667" s="208"/>
      <c r="G667" s="208"/>
      <c r="H667" s="208"/>
      <c r="I667" s="233"/>
      <c r="J667" s="208"/>
      <c r="K667" s="208"/>
      <c r="L667" s="208"/>
      <c r="M667" s="208"/>
      <c r="N667" s="208"/>
      <c r="O667" s="208"/>
      <c r="P667" s="208"/>
      <c r="Q667" s="208"/>
      <c r="R667" s="208"/>
      <c r="S667" s="208"/>
      <c r="T667" s="208"/>
      <c r="U667" s="208"/>
      <c r="V667" s="208"/>
      <c r="W667" s="232"/>
      <c r="X667" s="232"/>
      <c r="Y667" s="232"/>
      <c r="Z667" s="232"/>
      <c r="AA667" s="232"/>
      <c r="AB667" s="232"/>
      <c r="AC667" s="232"/>
      <c r="AD667" s="232"/>
      <c r="AE667" s="232"/>
      <c r="AF667" s="232"/>
      <c r="AG667" s="208"/>
      <c r="AH667" s="208"/>
      <c r="AI667" s="208"/>
      <c r="AJ667" s="208"/>
      <c r="AK667" s="208"/>
    </row>
    <row r="668">
      <c r="A668" s="234"/>
      <c r="B668" s="208"/>
      <c r="C668" s="208"/>
      <c r="D668" s="208"/>
      <c r="E668" s="208"/>
      <c r="F668" s="208"/>
      <c r="G668" s="208"/>
      <c r="H668" s="208"/>
      <c r="I668" s="233"/>
      <c r="J668" s="208"/>
      <c r="K668" s="208"/>
      <c r="L668" s="208"/>
      <c r="M668" s="208"/>
      <c r="N668" s="208"/>
      <c r="O668" s="208"/>
      <c r="P668" s="208"/>
      <c r="Q668" s="208"/>
      <c r="R668" s="208"/>
      <c r="S668" s="208"/>
      <c r="T668" s="208"/>
      <c r="U668" s="208"/>
      <c r="V668" s="208"/>
      <c r="W668" s="232"/>
      <c r="X668" s="232"/>
      <c r="Y668" s="232"/>
      <c r="Z668" s="232"/>
      <c r="AA668" s="232"/>
      <c r="AB668" s="232"/>
      <c r="AC668" s="232"/>
      <c r="AD668" s="232"/>
      <c r="AE668" s="232"/>
      <c r="AF668" s="232"/>
      <c r="AG668" s="208"/>
      <c r="AH668" s="208"/>
      <c r="AI668" s="208"/>
      <c r="AJ668" s="208"/>
      <c r="AK668" s="208"/>
    </row>
    <row r="669">
      <c r="A669" s="234"/>
      <c r="B669" s="208"/>
      <c r="C669" s="208"/>
      <c r="D669" s="208"/>
      <c r="E669" s="208"/>
      <c r="F669" s="208"/>
      <c r="G669" s="208"/>
      <c r="H669" s="208"/>
      <c r="I669" s="233"/>
      <c r="J669" s="208"/>
      <c r="K669" s="208"/>
      <c r="L669" s="208"/>
      <c r="M669" s="208"/>
      <c r="N669" s="208"/>
      <c r="O669" s="208"/>
      <c r="P669" s="208"/>
      <c r="Q669" s="208"/>
      <c r="R669" s="208"/>
      <c r="S669" s="208"/>
      <c r="T669" s="208"/>
      <c r="U669" s="208"/>
      <c r="V669" s="208"/>
      <c r="W669" s="232"/>
      <c r="X669" s="232"/>
      <c r="Y669" s="232"/>
      <c r="Z669" s="232"/>
      <c r="AA669" s="232"/>
      <c r="AB669" s="232"/>
      <c r="AC669" s="232"/>
      <c r="AD669" s="232"/>
      <c r="AE669" s="232"/>
      <c r="AF669" s="232"/>
      <c r="AG669" s="208"/>
      <c r="AH669" s="208"/>
      <c r="AI669" s="208"/>
      <c r="AJ669" s="208"/>
      <c r="AK669" s="208"/>
    </row>
    <row r="670">
      <c r="A670" s="234"/>
      <c r="B670" s="208"/>
      <c r="C670" s="208"/>
      <c r="D670" s="208"/>
      <c r="E670" s="208"/>
      <c r="F670" s="208"/>
      <c r="G670" s="208"/>
      <c r="H670" s="208"/>
      <c r="I670" s="233"/>
      <c r="J670" s="208"/>
      <c r="K670" s="208"/>
      <c r="L670" s="208"/>
      <c r="M670" s="208"/>
      <c r="N670" s="208"/>
      <c r="O670" s="208"/>
      <c r="P670" s="208"/>
      <c r="Q670" s="208"/>
      <c r="R670" s="208"/>
      <c r="S670" s="208"/>
      <c r="T670" s="208"/>
      <c r="U670" s="208"/>
      <c r="V670" s="208"/>
      <c r="W670" s="232"/>
      <c r="X670" s="232"/>
      <c r="Y670" s="232"/>
      <c r="Z670" s="232"/>
      <c r="AA670" s="232"/>
      <c r="AB670" s="232"/>
      <c r="AC670" s="232"/>
      <c r="AD670" s="232"/>
      <c r="AE670" s="232"/>
      <c r="AF670" s="232"/>
      <c r="AG670" s="208"/>
      <c r="AH670" s="208"/>
      <c r="AI670" s="208"/>
      <c r="AJ670" s="208"/>
      <c r="AK670" s="208"/>
    </row>
    <row r="671">
      <c r="A671" s="234"/>
      <c r="B671" s="208"/>
      <c r="C671" s="208"/>
      <c r="D671" s="208"/>
      <c r="E671" s="208"/>
      <c r="F671" s="208"/>
      <c r="G671" s="208"/>
      <c r="H671" s="208"/>
      <c r="I671" s="233"/>
      <c r="J671" s="208"/>
      <c r="K671" s="208"/>
      <c r="L671" s="208"/>
      <c r="M671" s="208"/>
      <c r="N671" s="208"/>
      <c r="O671" s="208"/>
      <c r="P671" s="208"/>
      <c r="Q671" s="208"/>
      <c r="R671" s="208"/>
      <c r="S671" s="208"/>
      <c r="T671" s="208"/>
      <c r="U671" s="208"/>
      <c r="V671" s="208"/>
      <c r="W671" s="232"/>
      <c r="X671" s="232"/>
      <c r="Y671" s="232"/>
      <c r="Z671" s="232"/>
      <c r="AA671" s="232"/>
      <c r="AB671" s="232"/>
      <c r="AC671" s="232"/>
      <c r="AD671" s="232"/>
      <c r="AE671" s="232"/>
      <c r="AF671" s="232"/>
      <c r="AG671" s="208"/>
      <c r="AH671" s="208"/>
      <c r="AI671" s="208"/>
      <c r="AJ671" s="208"/>
      <c r="AK671" s="208"/>
    </row>
    <row r="672">
      <c r="A672" s="234"/>
      <c r="B672" s="208"/>
      <c r="C672" s="208"/>
      <c r="D672" s="208"/>
      <c r="E672" s="208"/>
      <c r="F672" s="208"/>
      <c r="G672" s="208"/>
      <c r="H672" s="208"/>
      <c r="I672" s="233"/>
      <c r="J672" s="208"/>
      <c r="K672" s="208"/>
      <c r="L672" s="208"/>
      <c r="M672" s="208"/>
      <c r="N672" s="208"/>
      <c r="O672" s="208"/>
      <c r="P672" s="208"/>
      <c r="Q672" s="208"/>
      <c r="R672" s="208"/>
      <c r="S672" s="208"/>
      <c r="T672" s="208"/>
      <c r="U672" s="208"/>
      <c r="V672" s="208"/>
      <c r="W672" s="232"/>
      <c r="X672" s="232"/>
      <c r="Y672" s="232"/>
      <c r="Z672" s="232"/>
      <c r="AA672" s="232"/>
      <c r="AB672" s="232"/>
      <c r="AC672" s="232"/>
      <c r="AD672" s="232"/>
      <c r="AE672" s="232"/>
      <c r="AF672" s="232"/>
      <c r="AG672" s="208"/>
      <c r="AH672" s="208"/>
      <c r="AI672" s="208"/>
      <c r="AJ672" s="208"/>
      <c r="AK672" s="208"/>
    </row>
    <row r="673">
      <c r="A673" s="234"/>
      <c r="B673" s="208"/>
      <c r="C673" s="208"/>
      <c r="D673" s="208"/>
      <c r="E673" s="208"/>
      <c r="F673" s="208"/>
      <c r="G673" s="208"/>
      <c r="H673" s="208"/>
      <c r="I673" s="233"/>
      <c r="J673" s="208"/>
      <c r="K673" s="208"/>
      <c r="L673" s="208"/>
      <c r="M673" s="208"/>
      <c r="N673" s="208"/>
      <c r="O673" s="208"/>
      <c r="P673" s="208"/>
      <c r="Q673" s="208"/>
      <c r="R673" s="208"/>
      <c r="S673" s="208"/>
      <c r="T673" s="208"/>
      <c r="U673" s="208"/>
      <c r="V673" s="208"/>
      <c r="W673" s="232"/>
      <c r="X673" s="232"/>
      <c r="Y673" s="232"/>
      <c r="Z673" s="232"/>
      <c r="AA673" s="232"/>
      <c r="AB673" s="232"/>
      <c r="AC673" s="232"/>
      <c r="AD673" s="232"/>
      <c r="AE673" s="232"/>
      <c r="AF673" s="232"/>
      <c r="AG673" s="208"/>
      <c r="AH673" s="208"/>
      <c r="AI673" s="208"/>
      <c r="AJ673" s="208"/>
      <c r="AK673" s="208"/>
    </row>
    <row r="674">
      <c r="A674" s="234"/>
      <c r="B674" s="208"/>
      <c r="C674" s="208"/>
      <c r="D674" s="208"/>
      <c r="E674" s="208"/>
      <c r="F674" s="208"/>
      <c r="G674" s="208"/>
      <c r="H674" s="208"/>
      <c r="I674" s="233"/>
      <c r="J674" s="208"/>
      <c r="K674" s="208"/>
      <c r="L674" s="208"/>
      <c r="M674" s="208"/>
      <c r="N674" s="208"/>
      <c r="O674" s="208"/>
      <c r="P674" s="208"/>
      <c r="Q674" s="208"/>
      <c r="R674" s="208"/>
      <c r="S674" s="208"/>
      <c r="T674" s="208"/>
      <c r="U674" s="208"/>
      <c r="V674" s="208"/>
      <c r="W674" s="232"/>
      <c r="X674" s="232"/>
      <c r="Y674" s="232"/>
      <c r="Z674" s="232"/>
      <c r="AA674" s="232"/>
      <c r="AB674" s="232"/>
      <c r="AC674" s="232"/>
      <c r="AD674" s="232"/>
      <c r="AE674" s="232"/>
      <c r="AF674" s="232"/>
      <c r="AG674" s="208"/>
      <c r="AH674" s="208"/>
      <c r="AI674" s="208"/>
      <c r="AJ674" s="208"/>
      <c r="AK674" s="208"/>
    </row>
    <row r="675">
      <c r="A675" s="234"/>
      <c r="B675" s="208"/>
      <c r="C675" s="208"/>
      <c r="D675" s="208"/>
      <c r="E675" s="208"/>
      <c r="F675" s="208"/>
      <c r="G675" s="208"/>
      <c r="H675" s="208"/>
      <c r="I675" s="233"/>
      <c r="J675" s="208"/>
      <c r="K675" s="208"/>
      <c r="L675" s="208"/>
      <c r="M675" s="208"/>
      <c r="N675" s="208"/>
      <c r="O675" s="208"/>
      <c r="P675" s="208"/>
      <c r="Q675" s="208"/>
      <c r="R675" s="208"/>
      <c r="S675" s="208"/>
      <c r="T675" s="208"/>
      <c r="U675" s="208"/>
      <c r="V675" s="208"/>
      <c r="W675" s="232"/>
      <c r="X675" s="232"/>
      <c r="Y675" s="232"/>
      <c r="Z675" s="232"/>
      <c r="AA675" s="232"/>
      <c r="AB675" s="232"/>
      <c r="AC675" s="232"/>
      <c r="AD675" s="232"/>
      <c r="AE675" s="232"/>
      <c r="AF675" s="232"/>
      <c r="AG675" s="208"/>
      <c r="AH675" s="208"/>
      <c r="AI675" s="208"/>
      <c r="AJ675" s="208"/>
      <c r="AK675" s="208"/>
    </row>
    <row r="676">
      <c r="A676" s="234"/>
      <c r="B676" s="208"/>
      <c r="C676" s="208"/>
      <c r="D676" s="208"/>
      <c r="E676" s="208"/>
      <c r="F676" s="208"/>
      <c r="G676" s="208"/>
      <c r="H676" s="208"/>
      <c r="I676" s="233"/>
      <c r="J676" s="208"/>
      <c r="K676" s="208"/>
      <c r="L676" s="208"/>
      <c r="M676" s="208"/>
      <c r="N676" s="208"/>
      <c r="O676" s="208"/>
      <c r="P676" s="208"/>
      <c r="Q676" s="208"/>
      <c r="R676" s="208"/>
      <c r="S676" s="208"/>
      <c r="T676" s="208"/>
      <c r="U676" s="208"/>
      <c r="V676" s="208"/>
      <c r="W676" s="232"/>
      <c r="X676" s="232"/>
      <c r="Y676" s="232"/>
      <c r="Z676" s="232"/>
      <c r="AA676" s="232"/>
      <c r="AB676" s="232"/>
      <c r="AC676" s="232"/>
      <c r="AD676" s="232"/>
      <c r="AE676" s="232"/>
      <c r="AF676" s="232"/>
      <c r="AG676" s="208"/>
      <c r="AH676" s="208"/>
      <c r="AI676" s="208"/>
      <c r="AJ676" s="208"/>
      <c r="AK676" s="208"/>
    </row>
    <row r="677">
      <c r="A677" s="234"/>
      <c r="B677" s="208"/>
      <c r="C677" s="208"/>
      <c r="D677" s="208"/>
      <c r="E677" s="208"/>
      <c r="F677" s="208"/>
      <c r="G677" s="208"/>
      <c r="H677" s="208"/>
      <c r="I677" s="233"/>
      <c r="J677" s="208"/>
      <c r="K677" s="208"/>
      <c r="L677" s="208"/>
      <c r="M677" s="208"/>
      <c r="N677" s="208"/>
      <c r="O677" s="208"/>
      <c r="P677" s="208"/>
      <c r="Q677" s="208"/>
      <c r="R677" s="208"/>
      <c r="S677" s="208"/>
      <c r="T677" s="208"/>
      <c r="U677" s="208"/>
      <c r="V677" s="208"/>
      <c r="W677" s="232"/>
      <c r="X677" s="232"/>
      <c r="Y677" s="232"/>
      <c r="Z677" s="232"/>
      <c r="AA677" s="232"/>
      <c r="AB677" s="232"/>
      <c r="AC677" s="232"/>
      <c r="AD677" s="232"/>
      <c r="AE677" s="232"/>
      <c r="AF677" s="232"/>
      <c r="AG677" s="208"/>
      <c r="AH677" s="208"/>
      <c r="AI677" s="208"/>
      <c r="AJ677" s="208"/>
      <c r="AK677" s="208"/>
    </row>
    <row r="678">
      <c r="A678" s="234"/>
      <c r="B678" s="208"/>
      <c r="C678" s="208"/>
      <c r="D678" s="208"/>
      <c r="E678" s="208"/>
      <c r="F678" s="208"/>
      <c r="G678" s="208"/>
      <c r="H678" s="208"/>
      <c r="I678" s="233"/>
      <c r="J678" s="208"/>
      <c r="K678" s="208"/>
      <c r="L678" s="208"/>
      <c r="M678" s="208"/>
      <c r="N678" s="208"/>
      <c r="O678" s="208"/>
      <c r="P678" s="208"/>
      <c r="Q678" s="208"/>
      <c r="R678" s="208"/>
      <c r="S678" s="208"/>
      <c r="T678" s="208"/>
      <c r="U678" s="208"/>
      <c r="V678" s="208"/>
      <c r="W678" s="232"/>
      <c r="X678" s="232"/>
      <c r="Y678" s="232"/>
      <c r="Z678" s="232"/>
      <c r="AA678" s="232"/>
      <c r="AB678" s="232"/>
      <c r="AC678" s="232"/>
      <c r="AD678" s="232"/>
      <c r="AE678" s="232"/>
      <c r="AF678" s="232"/>
      <c r="AG678" s="208"/>
      <c r="AH678" s="208"/>
      <c r="AI678" s="208"/>
      <c r="AJ678" s="208"/>
      <c r="AK678" s="208"/>
    </row>
    <row r="679">
      <c r="A679" s="234"/>
      <c r="B679" s="208"/>
      <c r="C679" s="208"/>
      <c r="D679" s="208"/>
      <c r="E679" s="208"/>
      <c r="F679" s="208"/>
      <c r="G679" s="208"/>
      <c r="H679" s="208"/>
      <c r="I679" s="233"/>
      <c r="J679" s="208"/>
      <c r="K679" s="208"/>
      <c r="L679" s="208"/>
      <c r="M679" s="208"/>
      <c r="N679" s="208"/>
      <c r="O679" s="208"/>
      <c r="P679" s="208"/>
      <c r="Q679" s="208"/>
      <c r="R679" s="208"/>
      <c r="S679" s="208"/>
      <c r="T679" s="208"/>
      <c r="U679" s="208"/>
      <c r="V679" s="208"/>
      <c r="W679" s="232"/>
      <c r="X679" s="232"/>
      <c r="Y679" s="232"/>
      <c r="Z679" s="232"/>
      <c r="AA679" s="232"/>
      <c r="AB679" s="232"/>
      <c r="AC679" s="232"/>
      <c r="AD679" s="232"/>
      <c r="AE679" s="232"/>
      <c r="AF679" s="232"/>
      <c r="AG679" s="208"/>
      <c r="AH679" s="208"/>
      <c r="AI679" s="208"/>
      <c r="AJ679" s="208"/>
      <c r="AK679" s="208"/>
    </row>
    <row r="680">
      <c r="A680" s="234"/>
      <c r="B680" s="208"/>
      <c r="C680" s="208"/>
      <c r="D680" s="208"/>
      <c r="E680" s="208"/>
      <c r="F680" s="208"/>
      <c r="G680" s="208"/>
      <c r="H680" s="208"/>
      <c r="I680" s="233"/>
      <c r="J680" s="208"/>
      <c r="K680" s="208"/>
      <c r="L680" s="208"/>
      <c r="M680" s="208"/>
      <c r="N680" s="208"/>
      <c r="O680" s="208"/>
      <c r="P680" s="208"/>
      <c r="Q680" s="208"/>
      <c r="R680" s="208"/>
      <c r="S680" s="208"/>
      <c r="T680" s="208"/>
      <c r="U680" s="208"/>
      <c r="V680" s="208"/>
      <c r="W680" s="232"/>
      <c r="X680" s="232"/>
      <c r="Y680" s="232"/>
      <c r="Z680" s="232"/>
      <c r="AA680" s="232"/>
      <c r="AB680" s="232"/>
      <c r="AC680" s="232"/>
      <c r="AD680" s="232"/>
      <c r="AE680" s="232"/>
      <c r="AF680" s="232"/>
      <c r="AG680" s="208"/>
      <c r="AH680" s="208"/>
      <c r="AI680" s="208"/>
      <c r="AJ680" s="208"/>
      <c r="AK680" s="208"/>
    </row>
    <row r="681">
      <c r="A681" s="234"/>
      <c r="B681" s="208"/>
      <c r="C681" s="208"/>
      <c r="D681" s="208"/>
      <c r="E681" s="208"/>
      <c r="F681" s="208"/>
      <c r="G681" s="208"/>
      <c r="H681" s="208"/>
      <c r="I681" s="233"/>
      <c r="J681" s="208"/>
      <c r="K681" s="208"/>
      <c r="L681" s="208"/>
      <c r="M681" s="208"/>
      <c r="N681" s="208"/>
      <c r="O681" s="208"/>
      <c r="P681" s="208"/>
      <c r="Q681" s="208"/>
      <c r="R681" s="208"/>
      <c r="S681" s="208"/>
      <c r="T681" s="208"/>
      <c r="U681" s="208"/>
      <c r="V681" s="208"/>
      <c r="W681" s="232"/>
      <c r="X681" s="232"/>
      <c r="Y681" s="232"/>
      <c r="Z681" s="232"/>
      <c r="AA681" s="232"/>
      <c r="AB681" s="232"/>
      <c r="AC681" s="232"/>
      <c r="AD681" s="232"/>
      <c r="AE681" s="232"/>
      <c r="AF681" s="232"/>
      <c r="AG681" s="208"/>
      <c r="AH681" s="208"/>
      <c r="AI681" s="208"/>
      <c r="AJ681" s="208"/>
      <c r="AK681" s="208"/>
    </row>
    <row r="682">
      <c r="A682" s="234"/>
      <c r="B682" s="208"/>
      <c r="C682" s="208"/>
      <c r="D682" s="208"/>
      <c r="E682" s="208"/>
      <c r="F682" s="208"/>
      <c r="G682" s="208"/>
      <c r="H682" s="208"/>
      <c r="I682" s="233"/>
      <c r="J682" s="208"/>
      <c r="K682" s="208"/>
      <c r="L682" s="208"/>
      <c r="M682" s="208"/>
      <c r="N682" s="208"/>
      <c r="O682" s="208"/>
      <c r="P682" s="208"/>
      <c r="Q682" s="208"/>
      <c r="R682" s="208"/>
      <c r="S682" s="208"/>
      <c r="T682" s="208"/>
      <c r="U682" s="208"/>
      <c r="V682" s="208"/>
      <c r="W682" s="232"/>
      <c r="X682" s="232"/>
      <c r="Y682" s="232"/>
      <c r="Z682" s="232"/>
      <c r="AA682" s="232"/>
      <c r="AB682" s="232"/>
      <c r="AC682" s="232"/>
      <c r="AD682" s="232"/>
      <c r="AE682" s="232"/>
      <c r="AF682" s="232"/>
      <c r="AG682" s="208"/>
      <c r="AH682" s="208"/>
      <c r="AI682" s="208"/>
      <c r="AJ682" s="208"/>
      <c r="AK682" s="208"/>
    </row>
    <row r="683">
      <c r="A683" s="234"/>
      <c r="B683" s="208"/>
      <c r="C683" s="208"/>
      <c r="D683" s="208"/>
      <c r="E683" s="208"/>
      <c r="F683" s="208"/>
      <c r="G683" s="208"/>
      <c r="H683" s="208"/>
      <c r="I683" s="233"/>
      <c r="J683" s="208"/>
      <c r="K683" s="208"/>
      <c r="L683" s="208"/>
      <c r="M683" s="208"/>
      <c r="N683" s="208"/>
      <c r="O683" s="208"/>
      <c r="P683" s="208"/>
      <c r="Q683" s="208"/>
      <c r="R683" s="208"/>
      <c r="S683" s="208"/>
      <c r="T683" s="208"/>
      <c r="U683" s="208"/>
      <c r="V683" s="208"/>
      <c r="W683" s="232"/>
      <c r="X683" s="232"/>
      <c r="Y683" s="232"/>
      <c r="Z683" s="232"/>
      <c r="AA683" s="232"/>
      <c r="AB683" s="232"/>
      <c r="AC683" s="232"/>
      <c r="AD683" s="232"/>
      <c r="AE683" s="232"/>
      <c r="AF683" s="232"/>
      <c r="AG683" s="208"/>
      <c r="AH683" s="208"/>
      <c r="AI683" s="208"/>
      <c r="AJ683" s="208"/>
      <c r="AK683" s="208"/>
    </row>
    <row r="684">
      <c r="A684" s="234"/>
      <c r="B684" s="208"/>
      <c r="C684" s="208"/>
      <c r="D684" s="208"/>
      <c r="E684" s="208"/>
      <c r="F684" s="208"/>
      <c r="G684" s="208"/>
      <c r="H684" s="208"/>
      <c r="I684" s="233"/>
      <c r="J684" s="208"/>
      <c r="K684" s="208"/>
      <c r="L684" s="208"/>
      <c r="M684" s="208"/>
      <c r="N684" s="208"/>
      <c r="O684" s="208"/>
      <c r="P684" s="208"/>
      <c r="Q684" s="208"/>
      <c r="R684" s="208"/>
      <c r="S684" s="208"/>
      <c r="T684" s="208"/>
      <c r="U684" s="208"/>
      <c r="V684" s="208"/>
      <c r="W684" s="232"/>
      <c r="X684" s="232"/>
      <c r="Y684" s="232"/>
      <c r="Z684" s="232"/>
      <c r="AA684" s="232"/>
      <c r="AB684" s="232"/>
      <c r="AC684" s="232"/>
      <c r="AD684" s="232"/>
      <c r="AE684" s="232"/>
      <c r="AF684" s="232"/>
      <c r="AG684" s="208"/>
      <c r="AH684" s="208"/>
      <c r="AI684" s="208"/>
      <c r="AJ684" s="208"/>
      <c r="AK684" s="208"/>
    </row>
    <row r="685">
      <c r="A685" s="234"/>
      <c r="B685" s="208"/>
      <c r="C685" s="208"/>
      <c r="D685" s="208"/>
      <c r="E685" s="208"/>
      <c r="F685" s="208"/>
      <c r="G685" s="208"/>
      <c r="H685" s="208"/>
      <c r="I685" s="233"/>
      <c r="J685" s="208"/>
      <c r="K685" s="208"/>
      <c r="L685" s="208"/>
      <c r="M685" s="208"/>
      <c r="N685" s="208"/>
      <c r="O685" s="208"/>
      <c r="P685" s="208"/>
      <c r="Q685" s="208"/>
      <c r="R685" s="208"/>
      <c r="S685" s="208"/>
      <c r="T685" s="208"/>
      <c r="U685" s="208"/>
      <c r="V685" s="208"/>
      <c r="W685" s="232"/>
      <c r="X685" s="232"/>
      <c r="Y685" s="232"/>
      <c r="Z685" s="232"/>
      <c r="AA685" s="232"/>
      <c r="AB685" s="232"/>
      <c r="AC685" s="232"/>
      <c r="AD685" s="232"/>
      <c r="AE685" s="232"/>
      <c r="AF685" s="232"/>
      <c r="AG685" s="208"/>
      <c r="AH685" s="208"/>
      <c r="AI685" s="208"/>
      <c r="AJ685" s="208"/>
      <c r="AK685" s="208"/>
    </row>
    <row r="686">
      <c r="A686" s="234"/>
      <c r="B686" s="208"/>
      <c r="C686" s="208"/>
      <c r="D686" s="208"/>
      <c r="E686" s="208"/>
      <c r="F686" s="208"/>
      <c r="G686" s="208"/>
      <c r="H686" s="208"/>
      <c r="I686" s="233"/>
      <c r="J686" s="208"/>
      <c r="K686" s="208"/>
      <c r="L686" s="208"/>
      <c r="M686" s="208"/>
      <c r="N686" s="208"/>
      <c r="O686" s="208"/>
      <c r="P686" s="208"/>
      <c r="Q686" s="208"/>
      <c r="R686" s="208"/>
      <c r="S686" s="208"/>
      <c r="T686" s="208"/>
      <c r="U686" s="208"/>
      <c r="V686" s="208"/>
      <c r="W686" s="232"/>
      <c r="X686" s="232"/>
      <c r="Y686" s="232"/>
      <c r="Z686" s="232"/>
      <c r="AA686" s="232"/>
      <c r="AB686" s="232"/>
      <c r="AC686" s="232"/>
      <c r="AD686" s="232"/>
      <c r="AE686" s="232"/>
      <c r="AF686" s="232"/>
      <c r="AG686" s="208"/>
      <c r="AH686" s="208"/>
      <c r="AI686" s="208"/>
      <c r="AJ686" s="208"/>
      <c r="AK686" s="208"/>
    </row>
    <row r="687">
      <c r="A687" s="234"/>
      <c r="B687" s="208"/>
      <c r="C687" s="208"/>
      <c r="D687" s="208"/>
      <c r="E687" s="208"/>
      <c r="F687" s="208"/>
      <c r="G687" s="208"/>
      <c r="H687" s="208"/>
      <c r="I687" s="233"/>
      <c r="J687" s="208"/>
      <c r="K687" s="208"/>
      <c r="L687" s="208"/>
      <c r="M687" s="208"/>
      <c r="N687" s="208"/>
      <c r="O687" s="208"/>
      <c r="P687" s="208"/>
      <c r="Q687" s="208"/>
      <c r="R687" s="208"/>
      <c r="S687" s="208"/>
      <c r="T687" s="208"/>
      <c r="U687" s="208"/>
      <c r="V687" s="208"/>
      <c r="W687" s="232"/>
      <c r="X687" s="232"/>
      <c r="Y687" s="232"/>
      <c r="Z687" s="232"/>
      <c r="AA687" s="232"/>
      <c r="AB687" s="232"/>
      <c r="AC687" s="232"/>
      <c r="AD687" s="232"/>
      <c r="AE687" s="232"/>
      <c r="AF687" s="232"/>
      <c r="AG687" s="208"/>
      <c r="AH687" s="208"/>
      <c r="AI687" s="208"/>
      <c r="AJ687" s="208"/>
      <c r="AK687" s="208"/>
    </row>
    <row r="688">
      <c r="A688" s="234"/>
      <c r="B688" s="208"/>
      <c r="C688" s="208"/>
      <c r="D688" s="208"/>
      <c r="E688" s="208"/>
      <c r="F688" s="208"/>
      <c r="G688" s="208"/>
      <c r="H688" s="208"/>
      <c r="I688" s="233"/>
      <c r="J688" s="208"/>
      <c r="K688" s="208"/>
      <c r="L688" s="208"/>
      <c r="M688" s="208"/>
      <c r="N688" s="208"/>
      <c r="O688" s="208"/>
      <c r="P688" s="208"/>
      <c r="Q688" s="208"/>
      <c r="R688" s="208"/>
      <c r="S688" s="208"/>
      <c r="T688" s="208"/>
      <c r="U688" s="208"/>
      <c r="V688" s="208"/>
      <c r="W688" s="232"/>
      <c r="X688" s="232"/>
      <c r="Y688" s="232"/>
      <c r="Z688" s="232"/>
      <c r="AA688" s="232"/>
      <c r="AB688" s="232"/>
      <c r="AC688" s="232"/>
      <c r="AD688" s="232"/>
      <c r="AE688" s="232"/>
      <c r="AF688" s="232"/>
      <c r="AG688" s="208"/>
      <c r="AH688" s="208"/>
      <c r="AI688" s="208"/>
      <c r="AJ688" s="208"/>
      <c r="AK688" s="208"/>
    </row>
    <row r="689">
      <c r="A689" s="234"/>
      <c r="B689" s="208"/>
      <c r="C689" s="208"/>
      <c r="D689" s="208"/>
      <c r="E689" s="208"/>
      <c r="F689" s="208"/>
      <c r="G689" s="208"/>
      <c r="H689" s="208"/>
      <c r="I689" s="233"/>
      <c r="J689" s="208"/>
      <c r="K689" s="208"/>
      <c r="L689" s="208"/>
      <c r="M689" s="208"/>
      <c r="N689" s="208"/>
      <c r="O689" s="208"/>
      <c r="P689" s="208"/>
      <c r="Q689" s="208"/>
      <c r="R689" s="208"/>
      <c r="S689" s="208"/>
      <c r="T689" s="208"/>
      <c r="U689" s="208"/>
      <c r="V689" s="208"/>
      <c r="W689" s="232"/>
      <c r="X689" s="232"/>
      <c r="Y689" s="232"/>
      <c r="Z689" s="232"/>
      <c r="AA689" s="232"/>
      <c r="AB689" s="232"/>
      <c r="AC689" s="232"/>
      <c r="AD689" s="232"/>
      <c r="AE689" s="232"/>
      <c r="AF689" s="232"/>
      <c r="AG689" s="208"/>
      <c r="AH689" s="208"/>
      <c r="AI689" s="208"/>
      <c r="AJ689" s="208"/>
      <c r="AK689" s="208"/>
    </row>
    <row r="690">
      <c r="A690" s="234"/>
      <c r="B690" s="208"/>
      <c r="C690" s="208"/>
      <c r="D690" s="208"/>
      <c r="E690" s="208"/>
      <c r="F690" s="208"/>
      <c r="G690" s="208"/>
      <c r="H690" s="208"/>
      <c r="I690" s="233"/>
      <c r="J690" s="208"/>
      <c r="K690" s="208"/>
      <c r="L690" s="208"/>
      <c r="M690" s="208"/>
      <c r="N690" s="208"/>
      <c r="O690" s="208"/>
      <c r="P690" s="208"/>
      <c r="Q690" s="208"/>
      <c r="R690" s="208"/>
      <c r="S690" s="208"/>
      <c r="T690" s="208"/>
      <c r="U690" s="208"/>
      <c r="V690" s="208"/>
      <c r="W690" s="232"/>
      <c r="X690" s="232"/>
      <c r="Y690" s="232"/>
      <c r="Z690" s="232"/>
      <c r="AA690" s="232"/>
      <c r="AB690" s="232"/>
      <c r="AC690" s="232"/>
      <c r="AD690" s="232"/>
      <c r="AE690" s="232"/>
      <c r="AF690" s="232"/>
      <c r="AG690" s="208"/>
      <c r="AH690" s="208"/>
      <c r="AI690" s="208"/>
      <c r="AJ690" s="208"/>
      <c r="AK690" s="208"/>
    </row>
    <row r="691">
      <c r="A691" s="234"/>
      <c r="B691" s="208"/>
      <c r="C691" s="208"/>
      <c r="D691" s="208"/>
      <c r="E691" s="208"/>
      <c r="F691" s="208"/>
      <c r="G691" s="208"/>
      <c r="H691" s="208"/>
      <c r="I691" s="233"/>
      <c r="J691" s="208"/>
      <c r="K691" s="208"/>
      <c r="L691" s="208"/>
      <c r="M691" s="208"/>
      <c r="N691" s="208"/>
      <c r="O691" s="208"/>
      <c r="P691" s="208"/>
      <c r="Q691" s="208"/>
      <c r="R691" s="208"/>
      <c r="S691" s="208"/>
      <c r="T691" s="208"/>
      <c r="U691" s="208"/>
      <c r="V691" s="208"/>
      <c r="W691" s="232"/>
      <c r="X691" s="232"/>
      <c r="Y691" s="232"/>
      <c r="Z691" s="232"/>
      <c r="AA691" s="232"/>
      <c r="AB691" s="232"/>
      <c r="AC691" s="232"/>
      <c r="AD691" s="232"/>
      <c r="AE691" s="232"/>
      <c r="AF691" s="232"/>
      <c r="AG691" s="208"/>
      <c r="AH691" s="208"/>
      <c r="AI691" s="208"/>
      <c r="AJ691" s="208"/>
      <c r="AK691" s="208"/>
    </row>
    <row r="692">
      <c r="A692" s="234"/>
      <c r="B692" s="208"/>
      <c r="C692" s="208"/>
      <c r="D692" s="208"/>
      <c r="E692" s="208"/>
      <c r="F692" s="208"/>
      <c r="G692" s="208"/>
      <c r="H692" s="208"/>
      <c r="I692" s="233"/>
      <c r="J692" s="208"/>
      <c r="K692" s="208"/>
      <c r="L692" s="208"/>
      <c r="M692" s="208"/>
      <c r="N692" s="208"/>
      <c r="O692" s="208"/>
      <c r="P692" s="208"/>
      <c r="Q692" s="208"/>
      <c r="R692" s="208"/>
      <c r="S692" s="208"/>
      <c r="T692" s="208"/>
      <c r="U692" s="208"/>
      <c r="V692" s="208"/>
      <c r="W692" s="232"/>
      <c r="X692" s="232"/>
      <c r="Y692" s="232"/>
      <c r="Z692" s="232"/>
      <c r="AA692" s="232"/>
      <c r="AB692" s="232"/>
      <c r="AC692" s="232"/>
      <c r="AD692" s="232"/>
      <c r="AE692" s="232"/>
      <c r="AF692" s="232"/>
      <c r="AG692" s="208"/>
      <c r="AH692" s="208"/>
      <c r="AI692" s="208"/>
      <c r="AJ692" s="208"/>
      <c r="AK692" s="208"/>
    </row>
    <row r="693">
      <c r="A693" s="234"/>
      <c r="B693" s="208"/>
      <c r="C693" s="208"/>
      <c r="D693" s="208"/>
      <c r="E693" s="208"/>
      <c r="F693" s="208"/>
      <c r="G693" s="208"/>
      <c r="H693" s="208"/>
      <c r="I693" s="233"/>
      <c r="J693" s="208"/>
      <c r="K693" s="208"/>
      <c r="L693" s="208"/>
      <c r="M693" s="208"/>
      <c r="N693" s="208"/>
      <c r="O693" s="208"/>
      <c r="P693" s="208"/>
      <c r="Q693" s="208"/>
      <c r="R693" s="208"/>
      <c r="S693" s="208"/>
      <c r="T693" s="208"/>
      <c r="U693" s="208"/>
      <c r="V693" s="208"/>
      <c r="W693" s="232"/>
      <c r="X693" s="232"/>
      <c r="Y693" s="232"/>
      <c r="Z693" s="232"/>
      <c r="AA693" s="232"/>
      <c r="AB693" s="232"/>
      <c r="AC693" s="232"/>
      <c r="AD693" s="232"/>
      <c r="AE693" s="232"/>
      <c r="AF693" s="232"/>
      <c r="AG693" s="208"/>
      <c r="AH693" s="208"/>
      <c r="AI693" s="208"/>
      <c r="AJ693" s="208"/>
      <c r="AK693" s="208"/>
    </row>
    <row r="694">
      <c r="A694" s="234"/>
      <c r="B694" s="208"/>
      <c r="C694" s="208"/>
      <c r="D694" s="208"/>
      <c r="E694" s="208"/>
      <c r="F694" s="208"/>
      <c r="G694" s="208"/>
      <c r="H694" s="208"/>
      <c r="I694" s="233"/>
      <c r="J694" s="208"/>
      <c r="K694" s="208"/>
      <c r="L694" s="208"/>
      <c r="M694" s="208"/>
      <c r="N694" s="208"/>
      <c r="O694" s="208"/>
      <c r="P694" s="208"/>
      <c r="Q694" s="208"/>
      <c r="R694" s="208"/>
      <c r="S694" s="208"/>
      <c r="T694" s="208"/>
      <c r="U694" s="208"/>
      <c r="V694" s="208"/>
      <c r="W694" s="232"/>
      <c r="X694" s="232"/>
      <c r="Y694" s="232"/>
      <c r="Z694" s="232"/>
      <c r="AA694" s="232"/>
      <c r="AB694" s="232"/>
      <c r="AC694" s="232"/>
      <c r="AD694" s="232"/>
      <c r="AE694" s="232"/>
      <c r="AF694" s="232"/>
      <c r="AG694" s="208"/>
      <c r="AH694" s="208"/>
      <c r="AI694" s="208"/>
      <c r="AJ694" s="208"/>
      <c r="AK694" s="208"/>
    </row>
    <row r="695">
      <c r="A695" s="234"/>
      <c r="B695" s="208"/>
      <c r="C695" s="208"/>
      <c r="D695" s="208"/>
      <c r="E695" s="208"/>
      <c r="F695" s="208"/>
      <c r="G695" s="208"/>
      <c r="H695" s="208"/>
      <c r="I695" s="233"/>
      <c r="J695" s="208"/>
      <c r="K695" s="208"/>
      <c r="L695" s="208"/>
      <c r="M695" s="208"/>
      <c r="N695" s="208"/>
      <c r="O695" s="208"/>
      <c r="P695" s="208"/>
      <c r="Q695" s="208"/>
      <c r="R695" s="208"/>
      <c r="S695" s="208"/>
      <c r="T695" s="208"/>
      <c r="U695" s="208"/>
      <c r="V695" s="208"/>
      <c r="W695" s="232"/>
      <c r="X695" s="232"/>
      <c r="Y695" s="232"/>
      <c r="Z695" s="232"/>
      <c r="AA695" s="232"/>
      <c r="AB695" s="232"/>
      <c r="AC695" s="232"/>
      <c r="AD695" s="232"/>
      <c r="AE695" s="232"/>
      <c r="AF695" s="232"/>
      <c r="AG695" s="208"/>
      <c r="AH695" s="208"/>
      <c r="AI695" s="208"/>
      <c r="AJ695" s="208"/>
      <c r="AK695" s="208"/>
    </row>
    <row r="696">
      <c r="A696" s="234"/>
      <c r="B696" s="208"/>
      <c r="C696" s="208"/>
      <c r="D696" s="208"/>
      <c r="E696" s="208"/>
      <c r="F696" s="208"/>
      <c r="G696" s="208"/>
      <c r="H696" s="208"/>
      <c r="I696" s="233"/>
      <c r="J696" s="208"/>
      <c r="K696" s="208"/>
      <c r="L696" s="208"/>
      <c r="M696" s="208"/>
      <c r="N696" s="208"/>
      <c r="O696" s="208"/>
      <c r="P696" s="208"/>
      <c r="Q696" s="208"/>
      <c r="R696" s="208"/>
      <c r="S696" s="208"/>
      <c r="T696" s="208"/>
      <c r="U696" s="208"/>
      <c r="V696" s="208"/>
      <c r="W696" s="232"/>
      <c r="X696" s="232"/>
      <c r="Y696" s="232"/>
      <c r="Z696" s="232"/>
      <c r="AA696" s="232"/>
      <c r="AB696" s="232"/>
      <c r="AC696" s="232"/>
      <c r="AD696" s="232"/>
      <c r="AE696" s="232"/>
      <c r="AF696" s="232"/>
      <c r="AG696" s="208"/>
      <c r="AH696" s="208"/>
      <c r="AI696" s="208"/>
      <c r="AJ696" s="208"/>
      <c r="AK696" s="208"/>
    </row>
    <row r="697">
      <c r="A697" s="234"/>
      <c r="B697" s="208"/>
      <c r="C697" s="208"/>
      <c r="D697" s="208"/>
      <c r="E697" s="208"/>
      <c r="F697" s="208"/>
      <c r="G697" s="208"/>
      <c r="H697" s="208"/>
      <c r="I697" s="233"/>
      <c r="J697" s="208"/>
      <c r="K697" s="208"/>
      <c r="L697" s="208"/>
      <c r="M697" s="208"/>
      <c r="N697" s="208"/>
      <c r="O697" s="208"/>
      <c r="P697" s="208"/>
      <c r="Q697" s="208"/>
      <c r="R697" s="208"/>
      <c r="S697" s="208"/>
      <c r="T697" s="208"/>
      <c r="U697" s="208"/>
      <c r="V697" s="208"/>
      <c r="W697" s="232"/>
      <c r="X697" s="232"/>
      <c r="Y697" s="232"/>
      <c r="Z697" s="232"/>
      <c r="AA697" s="232"/>
      <c r="AB697" s="232"/>
      <c r="AC697" s="232"/>
      <c r="AD697" s="232"/>
      <c r="AE697" s="232"/>
      <c r="AF697" s="232"/>
      <c r="AG697" s="208"/>
      <c r="AH697" s="208"/>
      <c r="AI697" s="208"/>
      <c r="AJ697" s="208"/>
      <c r="AK697" s="208"/>
    </row>
    <row r="698">
      <c r="A698" s="234"/>
      <c r="B698" s="208"/>
      <c r="C698" s="208"/>
      <c r="D698" s="208"/>
      <c r="E698" s="208"/>
      <c r="F698" s="208"/>
      <c r="G698" s="208"/>
      <c r="H698" s="208"/>
      <c r="I698" s="233"/>
      <c r="J698" s="208"/>
      <c r="K698" s="208"/>
      <c r="L698" s="208"/>
      <c r="M698" s="208"/>
      <c r="N698" s="208"/>
      <c r="O698" s="208"/>
      <c r="P698" s="208"/>
      <c r="Q698" s="208"/>
      <c r="R698" s="208"/>
      <c r="S698" s="208"/>
      <c r="T698" s="208"/>
      <c r="U698" s="208"/>
      <c r="V698" s="208"/>
      <c r="W698" s="232"/>
      <c r="X698" s="232"/>
      <c r="Y698" s="232"/>
      <c r="Z698" s="232"/>
      <c r="AA698" s="232"/>
      <c r="AB698" s="232"/>
      <c r="AC698" s="232"/>
      <c r="AD698" s="232"/>
      <c r="AE698" s="232"/>
      <c r="AF698" s="232"/>
      <c r="AG698" s="208"/>
      <c r="AH698" s="208"/>
      <c r="AI698" s="208"/>
      <c r="AJ698" s="208"/>
      <c r="AK698" s="208"/>
    </row>
    <row r="699">
      <c r="A699" s="234"/>
      <c r="B699" s="208"/>
      <c r="C699" s="208"/>
      <c r="D699" s="208"/>
      <c r="E699" s="208"/>
      <c r="F699" s="208"/>
      <c r="G699" s="208"/>
      <c r="H699" s="208"/>
      <c r="I699" s="233"/>
      <c r="J699" s="208"/>
      <c r="K699" s="208"/>
      <c r="L699" s="208"/>
      <c r="M699" s="208"/>
      <c r="N699" s="208"/>
      <c r="O699" s="208"/>
      <c r="P699" s="208"/>
      <c r="Q699" s="208"/>
      <c r="R699" s="208"/>
      <c r="S699" s="208"/>
      <c r="T699" s="208"/>
      <c r="U699" s="208"/>
      <c r="V699" s="208"/>
      <c r="W699" s="232"/>
      <c r="X699" s="232"/>
      <c r="Y699" s="232"/>
      <c r="Z699" s="232"/>
      <c r="AA699" s="232"/>
      <c r="AB699" s="232"/>
      <c r="AC699" s="232"/>
      <c r="AD699" s="232"/>
      <c r="AE699" s="232"/>
      <c r="AF699" s="232"/>
      <c r="AG699" s="208"/>
      <c r="AH699" s="208"/>
      <c r="AI699" s="208"/>
      <c r="AJ699" s="208"/>
      <c r="AK699" s="208"/>
    </row>
    <row r="700">
      <c r="A700" s="234"/>
      <c r="B700" s="208"/>
      <c r="C700" s="208"/>
      <c r="D700" s="208"/>
      <c r="E700" s="208"/>
      <c r="F700" s="208"/>
      <c r="G700" s="208"/>
      <c r="H700" s="208"/>
      <c r="I700" s="233"/>
      <c r="J700" s="208"/>
      <c r="K700" s="208"/>
      <c r="L700" s="208"/>
      <c r="M700" s="208"/>
      <c r="N700" s="208"/>
      <c r="O700" s="208"/>
      <c r="P700" s="208"/>
      <c r="Q700" s="208"/>
      <c r="R700" s="208"/>
      <c r="S700" s="208"/>
      <c r="T700" s="208"/>
      <c r="U700" s="208"/>
      <c r="V700" s="208"/>
      <c r="W700" s="232"/>
      <c r="X700" s="232"/>
      <c r="Y700" s="232"/>
      <c r="Z700" s="232"/>
      <c r="AA700" s="232"/>
      <c r="AB700" s="232"/>
      <c r="AC700" s="232"/>
      <c r="AD700" s="232"/>
      <c r="AE700" s="232"/>
      <c r="AF700" s="232"/>
      <c r="AG700" s="208"/>
      <c r="AH700" s="208"/>
      <c r="AI700" s="208"/>
      <c r="AJ700" s="208"/>
      <c r="AK700" s="208"/>
    </row>
    <row r="701">
      <c r="A701" s="234"/>
      <c r="B701" s="208"/>
      <c r="C701" s="208"/>
      <c r="D701" s="208"/>
      <c r="E701" s="208"/>
      <c r="F701" s="208"/>
      <c r="G701" s="208"/>
      <c r="H701" s="208"/>
      <c r="I701" s="233"/>
      <c r="J701" s="208"/>
      <c r="K701" s="208"/>
      <c r="L701" s="208"/>
      <c r="M701" s="208"/>
      <c r="N701" s="208"/>
      <c r="O701" s="208"/>
      <c r="P701" s="208"/>
      <c r="Q701" s="208"/>
      <c r="R701" s="208"/>
      <c r="S701" s="208"/>
      <c r="T701" s="208"/>
      <c r="U701" s="208"/>
      <c r="V701" s="208"/>
      <c r="W701" s="232"/>
      <c r="X701" s="232"/>
      <c r="Y701" s="232"/>
      <c r="Z701" s="232"/>
      <c r="AA701" s="232"/>
      <c r="AB701" s="232"/>
      <c r="AC701" s="232"/>
      <c r="AD701" s="232"/>
      <c r="AE701" s="232"/>
      <c r="AF701" s="232"/>
      <c r="AG701" s="208"/>
      <c r="AH701" s="208"/>
      <c r="AI701" s="208"/>
      <c r="AJ701" s="208"/>
      <c r="AK701" s="208"/>
    </row>
    <row r="702">
      <c r="A702" s="234"/>
      <c r="B702" s="208"/>
      <c r="C702" s="208"/>
      <c r="D702" s="208"/>
      <c r="E702" s="208"/>
      <c r="F702" s="208"/>
      <c r="G702" s="208"/>
      <c r="H702" s="208"/>
      <c r="I702" s="233"/>
      <c r="J702" s="208"/>
      <c r="K702" s="208"/>
      <c r="L702" s="208"/>
      <c r="M702" s="208"/>
      <c r="N702" s="208"/>
      <c r="O702" s="208"/>
      <c r="P702" s="208"/>
      <c r="Q702" s="208"/>
      <c r="R702" s="208"/>
      <c r="S702" s="208"/>
      <c r="T702" s="208"/>
      <c r="U702" s="208"/>
      <c r="V702" s="208"/>
      <c r="W702" s="232"/>
      <c r="X702" s="232"/>
      <c r="Y702" s="232"/>
      <c r="Z702" s="232"/>
      <c r="AA702" s="232"/>
      <c r="AB702" s="232"/>
      <c r="AC702" s="232"/>
      <c r="AD702" s="232"/>
      <c r="AE702" s="232"/>
      <c r="AF702" s="232"/>
      <c r="AG702" s="208"/>
      <c r="AH702" s="208"/>
      <c r="AI702" s="208"/>
      <c r="AJ702" s="208"/>
      <c r="AK702" s="208"/>
    </row>
    <row r="703">
      <c r="A703" s="234"/>
      <c r="B703" s="208"/>
      <c r="C703" s="208"/>
      <c r="D703" s="208"/>
      <c r="E703" s="208"/>
      <c r="F703" s="208"/>
      <c r="G703" s="208"/>
      <c r="H703" s="208"/>
      <c r="I703" s="233"/>
      <c r="J703" s="208"/>
      <c r="K703" s="208"/>
      <c r="L703" s="208"/>
      <c r="M703" s="208"/>
      <c r="N703" s="208"/>
      <c r="O703" s="208"/>
      <c r="P703" s="208"/>
      <c r="Q703" s="208"/>
      <c r="R703" s="208"/>
      <c r="S703" s="208"/>
      <c r="T703" s="208"/>
      <c r="U703" s="208"/>
      <c r="V703" s="208"/>
      <c r="W703" s="232"/>
      <c r="X703" s="232"/>
      <c r="Y703" s="232"/>
      <c r="Z703" s="232"/>
      <c r="AA703" s="232"/>
      <c r="AB703" s="232"/>
      <c r="AC703" s="232"/>
      <c r="AD703" s="232"/>
      <c r="AE703" s="232"/>
      <c r="AF703" s="232"/>
      <c r="AG703" s="208"/>
      <c r="AH703" s="208"/>
      <c r="AI703" s="208"/>
      <c r="AJ703" s="208"/>
      <c r="AK703" s="208"/>
    </row>
    <row r="704">
      <c r="A704" s="234"/>
      <c r="B704" s="208"/>
      <c r="C704" s="208"/>
      <c r="D704" s="208"/>
      <c r="E704" s="208"/>
      <c r="F704" s="208"/>
      <c r="G704" s="208"/>
      <c r="H704" s="208"/>
      <c r="I704" s="233"/>
      <c r="J704" s="208"/>
      <c r="K704" s="208"/>
      <c r="L704" s="208"/>
      <c r="M704" s="208"/>
      <c r="N704" s="208"/>
      <c r="O704" s="208"/>
      <c r="P704" s="208"/>
      <c r="Q704" s="208"/>
      <c r="R704" s="208"/>
      <c r="S704" s="208"/>
      <c r="T704" s="208"/>
      <c r="U704" s="208"/>
      <c r="V704" s="208"/>
      <c r="W704" s="232"/>
      <c r="X704" s="232"/>
      <c r="Y704" s="232"/>
      <c r="Z704" s="232"/>
      <c r="AA704" s="232"/>
      <c r="AB704" s="232"/>
      <c r="AC704" s="232"/>
      <c r="AD704" s="232"/>
      <c r="AE704" s="232"/>
      <c r="AF704" s="232"/>
      <c r="AG704" s="208"/>
      <c r="AH704" s="208"/>
      <c r="AI704" s="208"/>
      <c r="AJ704" s="208"/>
      <c r="AK704" s="208"/>
    </row>
    <row r="705">
      <c r="A705" s="234"/>
      <c r="B705" s="208"/>
      <c r="C705" s="208"/>
      <c r="D705" s="208"/>
      <c r="E705" s="208"/>
      <c r="F705" s="208"/>
      <c r="G705" s="208"/>
      <c r="H705" s="208"/>
      <c r="I705" s="233"/>
      <c r="J705" s="208"/>
      <c r="K705" s="208"/>
      <c r="L705" s="208"/>
      <c r="M705" s="208"/>
      <c r="N705" s="208"/>
      <c r="O705" s="208"/>
      <c r="P705" s="208"/>
      <c r="Q705" s="208"/>
      <c r="R705" s="208"/>
      <c r="S705" s="208"/>
      <c r="T705" s="208"/>
      <c r="U705" s="208"/>
      <c r="V705" s="208"/>
      <c r="W705" s="232"/>
      <c r="X705" s="232"/>
      <c r="Y705" s="232"/>
      <c r="Z705" s="232"/>
      <c r="AA705" s="232"/>
      <c r="AB705" s="232"/>
      <c r="AC705" s="232"/>
      <c r="AD705" s="232"/>
      <c r="AE705" s="232"/>
      <c r="AF705" s="232"/>
      <c r="AG705" s="208"/>
      <c r="AH705" s="208"/>
      <c r="AI705" s="208"/>
      <c r="AJ705" s="208"/>
      <c r="AK705" s="208"/>
    </row>
    <row r="706">
      <c r="A706" s="234"/>
      <c r="B706" s="208"/>
      <c r="C706" s="208"/>
      <c r="D706" s="208"/>
      <c r="E706" s="208"/>
      <c r="F706" s="208"/>
      <c r="G706" s="208"/>
      <c r="H706" s="208"/>
      <c r="I706" s="233"/>
      <c r="J706" s="208"/>
      <c r="K706" s="208"/>
      <c r="L706" s="208"/>
      <c r="M706" s="208"/>
      <c r="N706" s="208"/>
      <c r="O706" s="208"/>
      <c r="P706" s="208"/>
      <c r="Q706" s="208"/>
      <c r="R706" s="208"/>
      <c r="S706" s="208"/>
      <c r="T706" s="208"/>
      <c r="U706" s="208"/>
      <c r="V706" s="208"/>
      <c r="W706" s="232"/>
      <c r="X706" s="232"/>
      <c r="Y706" s="232"/>
      <c r="Z706" s="232"/>
      <c r="AA706" s="232"/>
      <c r="AB706" s="232"/>
      <c r="AC706" s="232"/>
      <c r="AD706" s="232"/>
      <c r="AE706" s="232"/>
      <c r="AF706" s="232"/>
      <c r="AG706" s="208"/>
      <c r="AH706" s="208"/>
      <c r="AI706" s="208"/>
      <c r="AJ706" s="208"/>
      <c r="AK706" s="208"/>
    </row>
    <row r="707">
      <c r="A707" s="234"/>
      <c r="B707" s="208"/>
      <c r="C707" s="208"/>
      <c r="D707" s="208"/>
      <c r="E707" s="208"/>
      <c r="F707" s="208"/>
      <c r="G707" s="208"/>
      <c r="H707" s="208"/>
      <c r="I707" s="233"/>
      <c r="J707" s="208"/>
      <c r="K707" s="208"/>
      <c r="L707" s="208"/>
      <c r="M707" s="208"/>
      <c r="N707" s="208"/>
      <c r="O707" s="208"/>
      <c r="P707" s="208"/>
      <c r="Q707" s="208"/>
      <c r="R707" s="208"/>
      <c r="S707" s="208"/>
      <c r="T707" s="208"/>
      <c r="U707" s="208"/>
      <c r="V707" s="208"/>
      <c r="W707" s="232"/>
      <c r="X707" s="232"/>
      <c r="Y707" s="232"/>
      <c r="Z707" s="232"/>
      <c r="AA707" s="232"/>
      <c r="AB707" s="232"/>
      <c r="AC707" s="232"/>
      <c r="AD707" s="232"/>
      <c r="AE707" s="232"/>
      <c r="AF707" s="232"/>
      <c r="AG707" s="208"/>
      <c r="AH707" s="208"/>
      <c r="AI707" s="208"/>
      <c r="AJ707" s="208"/>
      <c r="AK707" s="208"/>
    </row>
    <row r="708">
      <c r="A708" s="234"/>
      <c r="B708" s="208"/>
      <c r="C708" s="208"/>
      <c r="D708" s="208"/>
      <c r="E708" s="208"/>
      <c r="F708" s="208"/>
      <c r="G708" s="208"/>
      <c r="H708" s="208"/>
      <c r="I708" s="233"/>
      <c r="J708" s="208"/>
      <c r="K708" s="208"/>
      <c r="L708" s="208"/>
      <c r="M708" s="208"/>
      <c r="N708" s="208"/>
      <c r="O708" s="208"/>
      <c r="P708" s="208"/>
      <c r="Q708" s="208"/>
      <c r="R708" s="208"/>
      <c r="S708" s="208"/>
      <c r="T708" s="208"/>
      <c r="U708" s="208"/>
      <c r="V708" s="208"/>
      <c r="W708" s="232"/>
      <c r="X708" s="232"/>
      <c r="Y708" s="232"/>
      <c r="Z708" s="232"/>
      <c r="AA708" s="232"/>
      <c r="AB708" s="232"/>
      <c r="AC708" s="232"/>
      <c r="AD708" s="232"/>
      <c r="AE708" s="232"/>
      <c r="AF708" s="232"/>
      <c r="AG708" s="208"/>
      <c r="AH708" s="208"/>
      <c r="AI708" s="208"/>
      <c r="AJ708" s="208"/>
      <c r="AK708" s="208"/>
    </row>
    <row r="709">
      <c r="A709" s="234"/>
      <c r="B709" s="208"/>
      <c r="C709" s="208"/>
      <c r="D709" s="208"/>
      <c r="E709" s="208"/>
      <c r="F709" s="208"/>
      <c r="G709" s="208"/>
      <c r="H709" s="208"/>
      <c r="I709" s="233"/>
      <c r="J709" s="208"/>
      <c r="K709" s="208"/>
      <c r="L709" s="208"/>
      <c r="M709" s="208"/>
      <c r="N709" s="208"/>
      <c r="O709" s="208"/>
      <c r="P709" s="208"/>
      <c r="Q709" s="208"/>
      <c r="R709" s="208"/>
      <c r="S709" s="208"/>
      <c r="T709" s="208"/>
      <c r="U709" s="208"/>
      <c r="V709" s="208"/>
      <c r="W709" s="232"/>
      <c r="X709" s="232"/>
      <c r="Y709" s="232"/>
      <c r="Z709" s="232"/>
      <c r="AA709" s="232"/>
      <c r="AB709" s="232"/>
      <c r="AC709" s="232"/>
      <c r="AD709" s="232"/>
      <c r="AE709" s="232"/>
      <c r="AF709" s="232"/>
      <c r="AG709" s="208"/>
      <c r="AH709" s="208"/>
      <c r="AI709" s="208"/>
      <c r="AJ709" s="208"/>
      <c r="AK709" s="208"/>
    </row>
    <row r="710">
      <c r="A710" s="234"/>
      <c r="B710" s="208"/>
      <c r="C710" s="208"/>
      <c r="D710" s="208"/>
      <c r="E710" s="208"/>
      <c r="F710" s="208"/>
      <c r="G710" s="208"/>
      <c r="H710" s="208"/>
      <c r="I710" s="233"/>
      <c r="J710" s="208"/>
      <c r="K710" s="208"/>
      <c r="L710" s="208"/>
      <c r="M710" s="208"/>
      <c r="N710" s="208"/>
      <c r="O710" s="208"/>
      <c r="P710" s="208"/>
      <c r="Q710" s="208"/>
      <c r="R710" s="208"/>
      <c r="S710" s="208"/>
      <c r="T710" s="208"/>
      <c r="U710" s="208"/>
      <c r="V710" s="208"/>
      <c r="W710" s="232"/>
      <c r="X710" s="232"/>
      <c r="Y710" s="232"/>
      <c r="Z710" s="232"/>
      <c r="AA710" s="232"/>
      <c r="AB710" s="232"/>
      <c r="AC710" s="232"/>
      <c r="AD710" s="232"/>
      <c r="AE710" s="232"/>
      <c r="AF710" s="232"/>
      <c r="AG710" s="208"/>
      <c r="AH710" s="208"/>
      <c r="AI710" s="208"/>
      <c r="AJ710" s="208"/>
      <c r="AK710" s="208"/>
    </row>
    <row r="711">
      <c r="A711" s="234"/>
      <c r="B711" s="208"/>
      <c r="C711" s="208"/>
      <c r="D711" s="208"/>
      <c r="E711" s="208"/>
      <c r="F711" s="208"/>
      <c r="G711" s="208"/>
      <c r="H711" s="208"/>
      <c r="I711" s="233"/>
      <c r="J711" s="208"/>
      <c r="K711" s="208"/>
      <c r="L711" s="208"/>
      <c r="M711" s="208"/>
      <c r="N711" s="208"/>
      <c r="O711" s="208"/>
      <c r="P711" s="208"/>
      <c r="Q711" s="208"/>
      <c r="R711" s="208"/>
      <c r="S711" s="208"/>
      <c r="T711" s="208"/>
      <c r="U711" s="208"/>
      <c r="V711" s="208"/>
      <c r="W711" s="232"/>
      <c r="X711" s="232"/>
      <c r="Y711" s="232"/>
      <c r="Z711" s="232"/>
      <c r="AA711" s="232"/>
      <c r="AB711" s="232"/>
      <c r="AC711" s="232"/>
      <c r="AD711" s="232"/>
      <c r="AE711" s="232"/>
      <c r="AF711" s="232"/>
      <c r="AG711" s="208"/>
      <c r="AH711" s="208"/>
      <c r="AI711" s="208"/>
      <c r="AJ711" s="208"/>
      <c r="AK711" s="208"/>
    </row>
    <row r="712">
      <c r="A712" s="234"/>
      <c r="B712" s="208"/>
      <c r="C712" s="208"/>
      <c r="D712" s="208"/>
      <c r="E712" s="208"/>
      <c r="F712" s="208"/>
      <c r="G712" s="208"/>
      <c r="H712" s="208"/>
      <c r="I712" s="233"/>
      <c r="J712" s="208"/>
      <c r="K712" s="208"/>
      <c r="L712" s="208"/>
      <c r="M712" s="208"/>
      <c r="N712" s="208"/>
      <c r="O712" s="208"/>
      <c r="P712" s="208"/>
      <c r="Q712" s="208"/>
      <c r="R712" s="208"/>
      <c r="S712" s="208"/>
      <c r="T712" s="208"/>
      <c r="U712" s="208"/>
      <c r="V712" s="208"/>
      <c r="W712" s="232"/>
      <c r="X712" s="232"/>
      <c r="Y712" s="232"/>
      <c r="Z712" s="232"/>
      <c r="AA712" s="232"/>
      <c r="AB712" s="232"/>
      <c r="AC712" s="232"/>
      <c r="AD712" s="232"/>
      <c r="AE712" s="232"/>
      <c r="AF712" s="232"/>
      <c r="AG712" s="208"/>
      <c r="AH712" s="208"/>
      <c r="AI712" s="208"/>
      <c r="AJ712" s="208"/>
      <c r="AK712" s="208"/>
    </row>
    <row r="713">
      <c r="A713" s="234"/>
      <c r="B713" s="208"/>
      <c r="C713" s="208"/>
      <c r="D713" s="208"/>
      <c r="E713" s="208"/>
      <c r="F713" s="208"/>
      <c r="G713" s="208"/>
      <c r="H713" s="208"/>
      <c r="I713" s="233"/>
      <c r="J713" s="208"/>
      <c r="K713" s="208"/>
      <c r="L713" s="208"/>
      <c r="M713" s="208"/>
      <c r="N713" s="208"/>
      <c r="O713" s="208"/>
      <c r="P713" s="208"/>
      <c r="Q713" s="208"/>
      <c r="R713" s="208"/>
      <c r="S713" s="208"/>
      <c r="T713" s="208"/>
      <c r="U713" s="208"/>
      <c r="V713" s="208"/>
      <c r="W713" s="232"/>
      <c r="X713" s="232"/>
      <c r="Y713" s="232"/>
      <c r="Z713" s="232"/>
      <c r="AA713" s="232"/>
      <c r="AB713" s="232"/>
      <c r="AC713" s="232"/>
      <c r="AD713" s="232"/>
      <c r="AE713" s="232"/>
      <c r="AF713" s="232"/>
      <c r="AG713" s="208"/>
      <c r="AH713" s="208"/>
      <c r="AI713" s="208"/>
      <c r="AJ713" s="208"/>
      <c r="AK713" s="208"/>
    </row>
    <row r="714">
      <c r="A714" s="234"/>
      <c r="B714" s="208"/>
      <c r="C714" s="208"/>
      <c r="D714" s="208"/>
      <c r="E714" s="208"/>
      <c r="F714" s="208"/>
      <c r="G714" s="208"/>
      <c r="H714" s="208"/>
      <c r="I714" s="233"/>
      <c r="J714" s="208"/>
      <c r="K714" s="208"/>
      <c r="L714" s="208"/>
      <c r="M714" s="208"/>
      <c r="N714" s="208"/>
      <c r="O714" s="208"/>
      <c r="P714" s="208"/>
      <c r="Q714" s="208"/>
      <c r="R714" s="208"/>
      <c r="S714" s="208"/>
      <c r="T714" s="208"/>
      <c r="U714" s="208"/>
      <c r="V714" s="208"/>
      <c r="W714" s="232"/>
      <c r="X714" s="232"/>
      <c r="Y714" s="232"/>
      <c r="Z714" s="232"/>
      <c r="AA714" s="232"/>
      <c r="AB714" s="232"/>
      <c r="AC714" s="232"/>
      <c r="AD714" s="232"/>
      <c r="AE714" s="232"/>
      <c r="AF714" s="232"/>
      <c r="AG714" s="208"/>
      <c r="AH714" s="208"/>
      <c r="AI714" s="208"/>
      <c r="AJ714" s="208"/>
      <c r="AK714" s="208"/>
    </row>
    <row r="715">
      <c r="A715" s="234"/>
      <c r="B715" s="208"/>
      <c r="C715" s="208"/>
      <c r="D715" s="208"/>
      <c r="E715" s="208"/>
      <c r="F715" s="208"/>
      <c r="G715" s="208"/>
      <c r="H715" s="208"/>
      <c r="I715" s="233"/>
      <c r="J715" s="208"/>
      <c r="K715" s="208"/>
      <c r="L715" s="208"/>
      <c r="M715" s="208"/>
      <c r="N715" s="208"/>
      <c r="O715" s="208"/>
      <c r="P715" s="208"/>
      <c r="Q715" s="208"/>
      <c r="R715" s="208"/>
      <c r="S715" s="208"/>
      <c r="T715" s="208"/>
      <c r="U715" s="208"/>
      <c r="V715" s="208"/>
      <c r="W715" s="232"/>
      <c r="X715" s="232"/>
      <c r="Y715" s="232"/>
      <c r="Z715" s="232"/>
      <c r="AA715" s="232"/>
      <c r="AB715" s="232"/>
      <c r="AC715" s="232"/>
      <c r="AD715" s="232"/>
      <c r="AE715" s="232"/>
      <c r="AF715" s="232"/>
      <c r="AG715" s="208"/>
      <c r="AH715" s="208"/>
      <c r="AI715" s="208"/>
      <c r="AJ715" s="208"/>
      <c r="AK715" s="208"/>
    </row>
    <row r="716">
      <c r="A716" s="234"/>
      <c r="B716" s="208"/>
      <c r="C716" s="208"/>
      <c r="D716" s="208"/>
      <c r="E716" s="208"/>
      <c r="F716" s="208"/>
      <c r="G716" s="208"/>
      <c r="H716" s="208"/>
      <c r="I716" s="233"/>
      <c r="J716" s="208"/>
      <c r="K716" s="208"/>
      <c r="L716" s="208"/>
      <c r="M716" s="208"/>
      <c r="N716" s="208"/>
      <c r="O716" s="208"/>
      <c r="P716" s="208"/>
      <c r="Q716" s="208"/>
      <c r="R716" s="208"/>
      <c r="S716" s="208"/>
      <c r="T716" s="208"/>
      <c r="U716" s="208"/>
      <c r="V716" s="208"/>
      <c r="W716" s="232"/>
      <c r="X716" s="232"/>
      <c r="Y716" s="232"/>
      <c r="Z716" s="232"/>
      <c r="AA716" s="232"/>
      <c r="AB716" s="232"/>
      <c r="AC716" s="232"/>
      <c r="AD716" s="232"/>
      <c r="AE716" s="232"/>
      <c r="AF716" s="232"/>
      <c r="AG716" s="208"/>
      <c r="AH716" s="208"/>
      <c r="AI716" s="208"/>
      <c r="AJ716" s="208"/>
      <c r="AK716" s="208"/>
    </row>
    <row r="717">
      <c r="A717" s="234"/>
      <c r="B717" s="208"/>
      <c r="C717" s="208"/>
      <c r="D717" s="208"/>
      <c r="E717" s="208"/>
      <c r="F717" s="208"/>
      <c r="G717" s="208"/>
      <c r="H717" s="208"/>
      <c r="I717" s="233"/>
      <c r="J717" s="208"/>
      <c r="K717" s="208"/>
      <c r="L717" s="208"/>
      <c r="M717" s="208"/>
      <c r="N717" s="208"/>
      <c r="O717" s="208"/>
      <c r="P717" s="208"/>
      <c r="Q717" s="208"/>
      <c r="R717" s="208"/>
      <c r="S717" s="208"/>
      <c r="T717" s="208"/>
      <c r="U717" s="208"/>
      <c r="V717" s="208"/>
      <c r="W717" s="232"/>
      <c r="X717" s="232"/>
      <c r="Y717" s="232"/>
      <c r="Z717" s="232"/>
      <c r="AA717" s="232"/>
      <c r="AB717" s="232"/>
      <c r="AC717" s="232"/>
      <c r="AD717" s="232"/>
      <c r="AE717" s="232"/>
      <c r="AF717" s="232"/>
      <c r="AG717" s="208"/>
      <c r="AH717" s="208"/>
      <c r="AI717" s="208"/>
      <c r="AJ717" s="208"/>
      <c r="AK717" s="208"/>
    </row>
    <row r="718">
      <c r="A718" s="234"/>
      <c r="B718" s="208"/>
      <c r="C718" s="208"/>
      <c r="D718" s="208"/>
      <c r="E718" s="208"/>
      <c r="F718" s="208"/>
      <c r="G718" s="208"/>
      <c r="H718" s="208"/>
      <c r="I718" s="233"/>
      <c r="J718" s="208"/>
      <c r="K718" s="208"/>
      <c r="L718" s="208"/>
      <c r="M718" s="208"/>
      <c r="N718" s="208"/>
      <c r="O718" s="208"/>
      <c r="P718" s="208"/>
      <c r="Q718" s="208"/>
      <c r="R718" s="208"/>
      <c r="S718" s="208"/>
      <c r="T718" s="208"/>
      <c r="U718" s="208"/>
      <c r="V718" s="208"/>
      <c r="W718" s="232"/>
      <c r="X718" s="232"/>
      <c r="Y718" s="232"/>
      <c r="Z718" s="232"/>
      <c r="AA718" s="232"/>
      <c r="AB718" s="232"/>
      <c r="AC718" s="232"/>
      <c r="AD718" s="232"/>
      <c r="AE718" s="232"/>
      <c r="AF718" s="232"/>
      <c r="AG718" s="208"/>
      <c r="AH718" s="208"/>
      <c r="AI718" s="208"/>
      <c r="AJ718" s="208"/>
      <c r="AK718" s="208"/>
    </row>
    <row r="719">
      <c r="A719" s="234"/>
      <c r="B719" s="208"/>
      <c r="C719" s="208"/>
      <c r="D719" s="208"/>
      <c r="E719" s="208"/>
      <c r="F719" s="208"/>
      <c r="G719" s="208"/>
      <c r="H719" s="208"/>
      <c r="I719" s="233"/>
      <c r="J719" s="208"/>
      <c r="K719" s="208"/>
      <c r="L719" s="208"/>
      <c r="M719" s="208"/>
      <c r="N719" s="208"/>
      <c r="O719" s="208"/>
      <c r="P719" s="208"/>
      <c r="Q719" s="208"/>
      <c r="R719" s="208"/>
      <c r="S719" s="208"/>
      <c r="T719" s="208"/>
      <c r="U719" s="208"/>
      <c r="V719" s="208"/>
      <c r="W719" s="232"/>
      <c r="X719" s="232"/>
      <c r="Y719" s="232"/>
      <c r="Z719" s="232"/>
      <c r="AA719" s="232"/>
      <c r="AB719" s="232"/>
      <c r="AC719" s="232"/>
      <c r="AD719" s="232"/>
      <c r="AE719" s="232"/>
      <c r="AF719" s="232"/>
      <c r="AG719" s="208"/>
      <c r="AH719" s="208"/>
      <c r="AI719" s="208"/>
      <c r="AJ719" s="208"/>
      <c r="AK719" s="208"/>
    </row>
    <row r="720">
      <c r="A720" s="234"/>
      <c r="B720" s="208"/>
      <c r="C720" s="208"/>
      <c r="D720" s="208"/>
      <c r="E720" s="208"/>
      <c r="F720" s="208"/>
      <c r="G720" s="208"/>
      <c r="H720" s="208"/>
      <c r="I720" s="233"/>
      <c r="J720" s="208"/>
      <c r="K720" s="208"/>
      <c r="L720" s="208"/>
      <c r="M720" s="208"/>
      <c r="N720" s="208"/>
      <c r="O720" s="208"/>
      <c r="P720" s="208"/>
      <c r="Q720" s="208"/>
      <c r="R720" s="208"/>
      <c r="S720" s="208"/>
      <c r="T720" s="208"/>
      <c r="U720" s="208"/>
      <c r="V720" s="208"/>
      <c r="W720" s="232"/>
      <c r="X720" s="232"/>
      <c r="Y720" s="232"/>
      <c r="Z720" s="232"/>
      <c r="AA720" s="232"/>
      <c r="AB720" s="232"/>
      <c r="AC720" s="232"/>
      <c r="AD720" s="232"/>
      <c r="AE720" s="232"/>
      <c r="AF720" s="232"/>
      <c r="AG720" s="208"/>
      <c r="AH720" s="208"/>
      <c r="AI720" s="208"/>
      <c r="AJ720" s="208"/>
      <c r="AK720" s="208"/>
    </row>
    <row r="721">
      <c r="A721" s="234"/>
      <c r="B721" s="208"/>
      <c r="C721" s="208"/>
      <c r="D721" s="208"/>
      <c r="E721" s="208"/>
      <c r="F721" s="208"/>
      <c r="G721" s="208"/>
      <c r="H721" s="208"/>
      <c r="I721" s="233"/>
      <c r="J721" s="208"/>
      <c r="K721" s="208"/>
      <c r="L721" s="208"/>
      <c r="M721" s="208"/>
      <c r="N721" s="208"/>
      <c r="O721" s="208"/>
      <c r="P721" s="208"/>
      <c r="Q721" s="208"/>
      <c r="R721" s="208"/>
      <c r="S721" s="208"/>
      <c r="T721" s="208"/>
      <c r="U721" s="208"/>
      <c r="V721" s="208"/>
      <c r="W721" s="232"/>
      <c r="X721" s="232"/>
      <c r="Y721" s="232"/>
      <c r="Z721" s="232"/>
      <c r="AA721" s="232"/>
      <c r="AB721" s="232"/>
      <c r="AC721" s="232"/>
      <c r="AD721" s="232"/>
      <c r="AE721" s="232"/>
      <c r="AF721" s="232"/>
      <c r="AG721" s="208"/>
      <c r="AH721" s="208"/>
      <c r="AI721" s="208"/>
      <c r="AJ721" s="208"/>
      <c r="AK721" s="208"/>
    </row>
    <row r="722">
      <c r="A722" s="234"/>
      <c r="B722" s="208"/>
      <c r="C722" s="208"/>
      <c r="D722" s="208"/>
      <c r="E722" s="208"/>
      <c r="F722" s="208"/>
      <c r="G722" s="208"/>
      <c r="H722" s="208"/>
      <c r="I722" s="233"/>
      <c r="J722" s="208"/>
      <c r="K722" s="208"/>
      <c r="L722" s="208"/>
      <c r="M722" s="208"/>
      <c r="N722" s="208"/>
      <c r="O722" s="208"/>
      <c r="P722" s="208"/>
      <c r="Q722" s="208"/>
      <c r="R722" s="208"/>
      <c r="S722" s="208"/>
      <c r="T722" s="208"/>
      <c r="U722" s="208"/>
      <c r="V722" s="208"/>
      <c r="W722" s="232"/>
      <c r="X722" s="232"/>
      <c r="Y722" s="232"/>
      <c r="Z722" s="232"/>
      <c r="AA722" s="232"/>
      <c r="AB722" s="232"/>
      <c r="AC722" s="232"/>
      <c r="AD722" s="232"/>
      <c r="AE722" s="232"/>
      <c r="AF722" s="232"/>
      <c r="AG722" s="208"/>
      <c r="AH722" s="208"/>
      <c r="AI722" s="208"/>
      <c r="AJ722" s="208"/>
      <c r="AK722" s="208"/>
    </row>
    <row r="723">
      <c r="A723" s="234"/>
      <c r="B723" s="208"/>
      <c r="C723" s="208"/>
      <c r="D723" s="208"/>
      <c r="E723" s="208"/>
      <c r="F723" s="208"/>
      <c r="G723" s="208"/>
      <c r="H723" s="208"/>
      <c r="I723" s="233"/>
      <c r="J723" s="208"/>
      <c r="K723" s="208"/>
      <c r="L723" s="208"/>
      <c r="M723" s="208"/>
      <c r="N723" s="208"/>
      <c r="O723" s="208"/>
      <c r="P723" s="208"/>
      <c r="Q723" s="208"/>
      <c r="R723" s="208"/>
      <c r="S723" s="208"/>
      <c r="T723" s="208"/>
      <c r="U723" s="208"/>
      <c r="V723" s="208"/>
      <c r="W723" s="232"/>
      <c r="X723" s="232"/>
      <c r="Y723" s="232"/>
      <c r="Z723" s="232"/>
      <c r="AA723" s="232"/>
      <c r="AB723" s="232"/>
      <c r="AC723" s="232"/>
      <c r="AD723" s="232"/>
      <c r="AE723" s="232"/>
      <c r="AF723" s="232"/>
      <c r="AG723" s="208"/>
      <c r="AH723" s="208"/>
      <c r="AI723" s="208"/>
      <c r="AJ723" s="208"/>
      <c r="AK723" s="208"/>
    </row>
    <row r="724">
      <c r="A724" s="234"/>
      <c r="B724" s="208"/>
      <c r="C724" s="208"/>
      <c r="D724" s="208"/>
      <c r="E724" s="208"/>
      <c r="F724" s="208"/>
      <c r="G724" s="208"/>
      <c r="H724" s="208"/>
      <c r="I724" s="233"/>
      <c r="J724" s="208"/>
      <c r="K724" s="208"/>
      <c r="L724" s="208"/>
      <c r="M724" s="208"/>
      <c r="N724" s="208"/>
      <c r="O724" s="208"/>
      <c r="P724" s="208"/>
      <c r="Q724" s="208"/>
      <c r="R724" s="208"/>
      <c r="S724" s="208"/>
      <c r="T724" s="208"/>
      <c r="U724" s="208"/>
      <c r="V724" s="208"/>
      <c r="W724" s="232"/>
      <c r="X724" s="232"/>
      <c r="Y724" s="232"/>
      <c r="Z724" s="232"/>
      <c r="AA724" s="232"/>
      <c r="AB724" s="232"/>
      <c r="AC724" s="232"/>
      <c r="AD724" s="232"/>
      <c r="AE724" s="232"/>
      <c r="AF724" s="232"/>
      <c r="AG724" s="208"/>
      <c r="AH724" s="208"/>
      <c r="AI724" s="208"/>
      <c r="AJ724" s="208"/>
      <c r="AK724" s="208"/>
    </row>
    <row r="725">
      <c r="A725" s="234"/>
      <c r="B725" s="208"/>
      <c r="C725" s="208"/>
      <c r="D725" s="208"/>
      <c r="E725" s="208"/>
      <c r="F725" s="208"/>
      <c r="G725" s="208"/>
      <c r="H725" s="208"/>
      <c r="I725" s="233"/>
      <c r="J725" s="208"/>
      <c r="K725" s="208"/>
      <c r="L725" s="208"/>
      <c r="M725" s="208"/>
      <c r="N725" s="208"/>
      <c r="O725" s="208"/>
      <c r="P725" s="208"/>
      <c r="Q725" s="208"/>
      <c r="R725" s="208"/>
      <c r="S725" s="208"/>
      <c r="T725" s="208"/>
      <c r="U725" s="208"/>
      <c r="V725" s="208"/>
      <c r="W725" s="232"/>
      <c r="X725" s="232"/>
      <c r="Y725" s="232"/>
      <c r="Z725" s="232"/>
      <c r="AA725" s="232"/>
      <c r="AB725" s="232"/>
      <c r="AC725" s="232"/>
      <c r="AD725" s="232"/>
      <c r="AE725" s="232"/>
      <c r="AF725" s="232"/>
      <c r="AG725" s="208"/>
      <c r="AH725" s="208"/>
      <c r="AI725" s="208"/>
      <c r="AJ725" s="208"/>
      <c r="AK725" s="208"/>
    </row>
    <row r="726">
      <c r="A726" s="234"/>
      <c r="B726" s="208"/>
      <c r="C726" s="208"/>
      <c r="D726" s="208"/>
      <c r="E726" s="208"/>
      <c r="F726" s="208"/>
      <c r="G726" s="208"/>
      <c r="H726" s="208"/>
      <c r="I726" s="233"/>
      <c r="J726" s="208"/>
      <c r="K726" s="208"/>
      <c r="L726" s="208"/>
      <c r="M726" s="208"/>
      <c r="N726" s="208"/>
      <c r="O726" s="208"/>
      <c r="P726" s="208"/>
      <c r="Q726" s="208"/>
      <c r="R726" s="208"/>
      <c r="S726" s="208"/>
      <c r="T726" s="208"/>
      <c r="U726" s="208"/>
      <c r="V726" s="208"/>
      <c r="W726" s="232"/>
      <c r="X726" s="232"/>
      <c r="Y726" s="232"/>
      <c r="Z726" s="232"/>
      <c r="AA726" s="232"/>
      <c r="AB726" s="232"/>
      <c r="AC726" s="232"/>
      <c r="AD726" s="232"/>
      <c r="AE726" s="232"/>
      <c r="AF726" s="232"/>
      <c r="AG726" s="208"/>
      <c r="AH726" s="208"/>
      <c r="AI726" s="208"/>
      <c r="AJ726" s="208"/>
      <c r="AK726" s="208"/>
    </row>
    <row r="727">
      <c r="A727" s="234"/>
      <c r="B727" s="208"/>
      <c r="C727" s="208"/>
      <c r="D727" s="208"/>
      <c r="E727" s="208"/>
      <c r="F727" s="208"/>
      <c r="G727" s="208"/>
      <c r="H727" s="208"/>
      <c r="I727" s="233"/>
      <c r="J727" s="208"/>
      <c r="K727" s="208"/>
      <c r="L727" s="208"/>
      <c r="M727" s="208"/>
      <c r="N727" s="208"/>
      <c r="O727" s="208"/>
      <c r="P727" s="208"/>
      <c r="Q727" s="208"/>
      <c r="R727" s="208"/>
      <c r="S727" s="208"/>
      <c r="T727" s="208"/>
      <c r="U727" s="208"/>
      <c r="V727" s="208"/>
      <c r="W727" s="232"/>
      <c r="X727" s="232"/>
      <c r="Y727" s="232"/>
      <c r="Z727" s="232"/>
      <c r="AA727" s="232"/>
      <c r="AB727" s="232"/>
      <c r="AC727" s="232"/>
      <c r="AD727" s="232"/>
      <c r="AE727" s="232"/>
      <c r="AF727" s="232"/>
      <c r="AG727" s="208"/>
      <c r="AH727" s="208"/>
      <c r="AI727" s="208"/>
      <c r="AJ727" s="208"/>
      <c r="AK727" s="208"/>
    </row>
    <row r="728">
      <c r="A728" s="234"/>
      <c r="B728" s="208"/>
      <c r="C728" s="208"/>
      <c r="D728" s="208"/>
      <c r="E728" s="208"/>
      <c r="F728" s="208"/>
      <c r="G728" s="208"/>
      <c r="H728" s="208"/>
      <c r="I728" s="233"/>
      <c r="J728" s="208"/>
      <c r="K728" s="208"/>
      <c r="L728" s="208"/>
      <c r="M728" s="208"/>
      <c r="N728" s="208"/>
      <c r="O728" s="208"/>
      <c r="P728" s="208"/>
      <c r="Q728" s="208"/>
      <c r="R728" s="208"/>
      <c r="S728" s="208"/>
      <c r="T728" s="208"/>
      <c r="U728" s="208"/>
      <c r="V728" s="208"/>
      <c r="W728" s="232"/>
      <c r="X728" s="232"/>
      <c r="Y728" s="232"/>
      <c r="Z728" s="232"/>
      <c r="AA728" s="232"/>
      <c r="AB728" s="232"/>
      <c r="AC728" s="232"/>
      <c r="AD728" s="232"/>
      <c r="AE728" s="232"/>
      <c r="AF728" s="232"/>
      <c r="AG728" s="208"/>
      <c r="AH728" s="208"/>
      <c r="AI728" s="208"/>
      <c r="AJ728" s="208"/>
      <c r="AK728" s="208"/>
    </row>
    <row r="729">
      <c r="A729" s="234"/>
      <c r="B729" s="208"/>
      <c r="C729" s="208"/>
      <c r="D729" s="208"/>
      <c r="E729" s="208"/>
      <c r="F729" s="208"/>
      <c r="G729" s="208"/>
      <c r="H729" s="208"/>
      <c r="I729" s="233"/>
      <c r="J729" s="208"/>
      <c r="K729" s="208"/>
      <c r="L729" s="208"/>
      <c r="M729" s="208"/>
      <c r="N729" s="208"/>
      <c r="O729" s="208"/>
      <c r="P729" s="208"/>
      <c r="Q729" s="208"/>
      <c r="R729" s="208"/>
      <c r="S729" s="208"/>
      <c r="T729" s="208"/>
      <c r="U729" s="208"/>
      <c r="V729" s="208"/>
      <c r="W729" s="232"/>
      <c r="X729" s="232"/>
      <c r="Y729" s="232"/>
      <c r="Z729" s="232"/>
      <c r="AA729" s="232"/>
      <c r="AB729" s="232"/>
      <c r="AC729" s="232"/>
      <c r="AD729" s="232"/>
      <c r="AE729" s="232"/>
      <c r="AF729" s="232"/>
      <c r="AG729" s="208"/>
      <c r="AH729" s="208"/>
      <c r="AI729" s="208"/>
      <c r="AJ729" s="208"/>
      <c r="AK729" s="208"/>
    </row>
    <row r="730">
      <c r="A730" s="234"/>
      <c r="B730" s="208"/>
      <c r="C730" s="208"/>
      <c r="D730" s="208"/>
      <c r="E730" s="208"/>
      <c r="F730" s="208"/>
      <c r="G730" s="208"/>
      <c r="H730" s="208"/>
      <c r="I730" s="233"/>
      <c r="J730" s="208"/>
      <c r="K730" s="208"/>
      <c r="L730" s="208"/>
      <c r="M730" s="208"/>
      <c r="N730" s="208"/>
      <c r="O730" s="208"/>
      <c r="P730" s="208"/>
      <c r="Q730" s="208"/>
      <c r="R730" s="208"/>
      <c r="S730" s="208"/>
      <c r="T730" s="208"/>
      <c r="U730" s="208"/>
      <c r="V730" s="208"/>
      <c r="W730" s="232"/>
      <c r="X730" s="232"/>
      <c r="Y730" s="232"/>
      <c r="Z730" s="232"/>
      <c r="AA730" s="232"/>
      <c r="AB730" s="232"/>
      <c r="AC730" s="232"/>
      <c r="AD730" s="232"/>
      <c r="AE730" s="232"/>
      <c r="AF730" s="232"/>
      <c r="AG730" s="208"/>
      <c r="AH730" s="208"/>
      <c r="AI730" s="208"/>
      <c r="AJ730" s="208"/>
      <c r="AK730" s="208"/>
    </row>
    <row r="731">
      <c r="A731" s="234"/>
      <c r="B731" s="208"/>
      <c r="C731" s="208"/>
      <c r="D731" s="208"/>
      <c r="E731" s="208"/>
      <c r="F731" s="208"/>
      <c r="G731" s="208"/>
      <c r="H731" s="208"/>
      <c r="I731" s="233"/>
      <c r="J731" s="208"/>
      <c r="K731" s="208"/>
      <c r="L731" s="208"/>
      <c r="M731" s="208"/>
      <c r="N731" s="208"/>
      <c r="O731" s="208"/>
      <c r="P731" s="208"/>
      <c r="Q731" s="208"/>
      <c r="R731" s="208"/>
      <c r="S731" s="208"/>
      <c r="T731" s="208"/>
      <c r="U731" s="208"/>
      <c r="V731" s="208"/>
      <c r="W731" s="232"/>
      <c r="X731" s="232"/>
      <c r="Y731" s="232"/>
      <c r="Z731" s="232"/>
      <c r="AA731" s="232"/>
      <c r="AB731" s="232"/>
      <c r="AC731" s="232"/>
      <c r="AD731" s="232"/>
      <c r="AE731" s="232"/>
      <c r="AF731" s="232"/>
      <c r="AG731" s="208"/>
      <c r="AH731" s="208"/>
      <c r="AI731" s="208"/>
      <c r="AJ731" s="208"/>
      <c r="AK731" s="208"/>
    </row>
    <row r="732">
      <c r="A732" s="234"/>
      <c r="B732" s="208"/>
      <c r="C732" s="208"/>
      <c r="D732" s="208"/>
      <c r="E732" s="208"/>
      <c r="F732" s="208"/>
      <c r="G732" s="208"/>
      <c r="H732" s="208"/>
      <c r="I732" s="233"/>
      <c r="J732" s="208"/>
      <c r="K732" s="208"/>
      <c r="L732" s="208"/>
      <c r="M732" s="208"/>
      <c r="N732" s="208"/>
      <c r="O732" s="208"/>
      <c r="P732" s="208"/>
      <c r="Q732" s="208"/>
      <c r="R732" s="208"/>
      <c r="S732" s="208"/>
      <c r="T732" s="208"/>
      <c r="U732" s="208"/>
      <c r="V732" s="208"/>
      <c r="W732" s="232"/>
      <c r="X732" s="232"/>
      <c r="Y732" s="232"/>
      <c r="Z732" s="232"/>
      <c r="AA732" s="232"/>
      <c r="AB732" s="232"/>
      <c r="AC732" s="232"/>
      <c r="AD732" s="232"/>
      <c r="AE732" s="232"/>
      <c r="AF732" s="232"/>
      <c r="AG732" s="208"/>
      <c r="AH732" s="208"/>
      <c r="AI732" s="208"/>
      <c r="AJ732" s="208"/>
      <c r="AK732" s="208"/>
    </row>
    <row r="733">
      <c r="A733" s="234"/>
      <c r="B733" s="208"/>
      <c r="C733" s="208"/>
      <c r="D733" s="208"/>
      <c r="E733" s="208"/>
      <c r="F733" s="208"/>
      <c r="G733" s="208"/>
      <c r="H733" s="208"/>
      <c r="I733" s="233"/>
      <c r="J733" s="208"/>
      <c r="K733" s="208"/>
      <c r="L733" s="208"/>
      <c r="M733" s="208"/>
      <c r="N733" s="208"/>
      <c r="O733" s="208"/>
      <c r="P733" s="208"/>
      <c r="Q733" s="208"/>
      <c r="R733" s="208"/>
      <c r="S733" s="208"/>
      <c r="T733" s="208"/>
      <c r="U733" s="208"/>
      <c r="V733" s="208"/>
      <c r="W733" s="232"/>
      <c r="X733" s="232"/>
      <c r="Y733" s="232"/>
      <c r="Z733" s="232"/>
      <c r="AA733" s="232"/>
      <c r="AB733" s="232"/>
      <c r="AC733" s="232"/>
      <c r="AD733" s="232"/>
      <c r="AE733" s="232"/>
      <c r="AF733" s="232"/>
      <c r="AG733" s="208"/>
      <c r="AH733" s="208"/>
      <c r="AI733" s="208"/>
      <c r="AJ733" s="208"/>
      <c r="AK733" s="208"/>
    </row>
    <row r="734">
      <c r="A734" s="234"/>
      <c r="B734" s="208"/>
      <c r="C734" s="208"/>
      <c r="D734" s="208"/>
      <c r="E734" s="208"/>
      <c r="F734" s="208"/>
      <c r="G734" s="208"/>
      <c r="H734" s="208"/>
      <c r="I734" s="233"/>
      <c r="J734" s="208"/>
      <c r="K734" s="208"/>
      <c r="L734" s="208"/>
      <c r="M734" s="208"/>
      <c r="N734" s="208"/>
      <c r="O734" s="208"/>
      <c r="P734" s="208"/>
      <c r="Q734" s="208"/>
      <c r="R734" s="208"/>
      <c r="S734" s="208"/>
      <c r="T734" s="208"/>
      <c r="U734" s="208"/>
      <c r="V734" s="208"/>
      <c r="W734" s="232"/>
      <c r="X734" s="232"/>
      <c r="Y734" s="232"/>
      <c r="Z734" s="232"/>
      <c r="AA734" s="232"/>
      <c r="AB734" s="232"/>
      <c r="AC734" s="232"/>
      <c r="AD734" s="232"/>
      <c r="AE734" s="232"/>
      <c r="AF734" s="232"/>
      <c r="AG734" s="208"/>
      <c r="AH734" s="208"/>
      <c r="AI734" s="208"/>
      <c r="AJ734" s="208"/>
      <c r="AK734" s="208"/>
    </row>
    <row r="735">
      <c r="A735" s="234"/>
      <c r="B735" s="208"/>
      <c r="C735" s="208"/>
      <c r="D735" s="208"/>
      <c r="E735" s="208"/>
      <c r="F735" s="208"/>
      <c r="G735" s="208"/>
      <c r="H735" s="208"/>
      <c r="I735" s="233"/>
      <c r="J735" s="208"/>
      <c r="K735" s="208"/>
      <c r="L735" s="208"/>
      <c r="M735" s="208"/>
      <c r="N735" s="208"/>
      <c r="O735" s="208"/>
      <c r="P735" s="208"/>
      <c r="Q735" s="208"/>
      <c r="R735" s="208"/>
      <c r="S735" s="208"/>
      <c r="T735" s="208"/>
      <c r="U735" s="208"/>
      <c r="V735" s="208"/>
      <c r="W735" s="232"/>
      <c r="X735" s="232"/>
      <c r="Y735" s="232"/>
      <c r="Z735" s="232"/>
      <c r="AA735" s="232"/>
      <c r="AB735" s="232"/>
      <c r="AC735" s="232"/>
      <c r="AD735" s="232"/>
      <c r="AE735" s="232"/>
      <c r="AF735" s="232"/>
      <c r="AG735" s="208"/>
      <c r="AH735" s="208"/>
      <c r="AI735" s="208"/>
      <c r="AJ735" s="208"/>
      <c r="AK735" s="208"/>
    </row>
    <row r="736">
      <c r="A736" s="234"/>
      <c r="B736" s="208"/>
      <c r="C736" s="208"/>
      <c r="D736" s="208"/>
      <c r="E736" s="208"/>
      <c r="F736" s="208"/>
      <c r="G736" s="208"/>
      <c r="H736" s="208"/>
      <c r="I736" s="233"/>
      <c r="J736" s="208"/>
      <c r="K736" s="208"/>
      <c r="L736" s="208"/>
      <c r="M736" s="208"/>
      <c r="N736" s="208"/>
      <c r="O736" s="208"/>
      <c r="P736" s="208"/>
      <c r="Q736" s="208"/>
      <c r="R736" s="208"/>
      <c r="S736" s="208"/>
      <c r="T736" s="208"/>
      <c r="U736" s="208"/>
      <c r="V736" s="208"/>
      <c r="W736" s="232"/>
      <c r="X736" s="232"/>
      <c r="Y736" s="232"/>
      <c r="Z736" s="232"/>
      <c r="AA736" s="232"/>
      <c r="AB736" s="232"/>
      <c r="AC736" s="232"/>
      <c r="AD736" s="232"/>
      <c r="AE736" s="232"/>
      <c r="AF736" s="232"/>
      <c r="AG736" s="208"/>
      <c r="AH736" s="208"/>
      <c r="AI736" s="208"/>
      <c r="AJ736" s="208"/>
      <c r="AK736" s="208"/>
    </row>
    <row r="737">
      <c r="A737" s="234"/>
      <c r="B737" s="208"/>
      <c r="C737" s="208"/>
      <c r="D737" s="208"/>
      <c r="E737" s="208"/>
      <c r="F737" s="208"/>
      <c r="G737" s="208"/>
      <c r="H737" s="208"/>
      <c r="I737" s="233"/>
      <c r="J737" s="208"/>
      <c r="K737" s="208"/>
      <c r="L737" s="208"/>
      <c r="M737" s="208"/>
      <c r="N737" s="208"/>
      <c r="O737" s="208"/>
      <c r="P737" s="208"/>
      <c r="Q737" s="208"/>
      <c r="R737" s="208"/>
      <c r="S737" s="208"/>
      <c r="T737" s="208"/>
      <c r="U737" s="208"/>
      <c r="V737" s="208"/>
      <c r="W737" s="232"/>
      <c r="X737" s="232"/>
      <c r="Y737" s="232"/>
      <c r="Z737" s="232"/>
      <c r="AA737" s="232"/>
      <c r="AB737" s="232"/>
      <c r="AC737" s="232"/>
      <c r="AD737" s="232"/>
      <c r="AE737" s="232"/>
      <c r="AF737" s="232"/>
      <c r="AG737" s="208"/>
      <c r="AH737" s="208"/>
      <c r="AI737" s="208"/>
      <c r="AJ737" s="208"/>
      <c r="AK737" s="208"/>
    </row>
    <row r="738">
      <c r="A738" s="234"/>
      <c r="B738" s="208"/>
      <c r="C738" s="208"/>
      <c r="D738" s="208"/>
      <c r="E738" s="208"/>
      <c r="F738" s="208"/>
      <c r="G738" s="208"/>
      <c r="H738" s="208"/>
      <c r="I738" s="233"/>
      <c r="J738" s="208"/>
      <c r="K738" s="208"/>
      <c r="L738" s="208"/>
      <c r="M738" s="208"/>
      <c r="N738" s="208"/>
      <c r="O738" s="208"/>
      <c r="P738" s="208"/>
      <c r="Q738" s="208"/>
      <c r="R738" s="208"/>
      <c r="S738" s="208"/>
      <c r="T738" s="208"/>
      <c r="U738" s="208"/>
      <c r="V738" s="208"/>
      <c r="W738" s="232"/>
      <c r="X738" s="232"/>
      <c r="Y738" s="232"/>
      <c r="Z738" s="232"/>
      <c r="AA738" s="232"/>
      <c r="AB738" s="232"/>
      <c r="AC738" s="232"/>
      <c r="AD738" s="232"/>
      <c r="AE738" s="232"/>
      <c r="AF738" s="232"/>
      <c r="AG738" s="208"/>
      <c r="AH738" s="208"/>
      <c r="AI738" s="208"/>
      <c r="AJ738" s="208"/>
      <c r="AK738" s="208"/>
    </row>
    <row r="739">
      <c r="A739" s="234"/>
      <c r="B739" s="208"/>
      <c r="C739" s="208"/>
      <c r="D739" s="208"/>
      <c r="E739" s="208"/>
      <c r="F739" s="208"/>
      <c r="G739" s="208"/>
      <c r="H739" s="208"/>
      <c r="I739" s="233"/>
      <c r="J739" s="208"/>
      <c r="K739" s="208"/>
      <c r="L739" s="208"/>
      <c r="M739" s="208"/>
      <c r="N739" s="208"/>
      <c r="O739" s="208"/>
      <c r="P739" s="208"/>
      <c r="Q739" s="208"/>
      <c r="R739" s="208"/>
      <c r="S739" s="208"/>
      <c r="T739" s="208"/>
      <c r="U739" s="208"/>
      <c r="V739" s="208"/>
      <c r="W739" s="232"/>
      <c r="X739" s="232"/>
      <c r="Y739" s="232"/>
      <c r="Z739" s="232"/>
      <c r="AA739" s="232"/>
      <c r="AB739" s="232"/>
      <c r="AC739" s="232"/>
      <c r="AD739" s="232"/>
      <c r="AE739" s="232"/>
      <c r="AF739" s="232"/>
      <c r="AG739" s="208"/>
      <c r="AH739" s="208"/>
      <c r="AI739" s="208"/>
      <c r="AJ739" s="208"/>
      <c r="AK739" s="208"/>
    </row>
    <row r="740">
      <c r="A740" s="234"/>
      <c r="B740" s="208"/>
      <c r="C740" s="208"/>
      <c r="D740" s="208"/>
      <c r="E740" s="208"/>
      <c r="F740" s="208"/>
      <c r="G740" s="208"/>
      <c r="H740" s="208"/>
      <c r="I740" s="233"/>
      <c r="J740" s="208"/>
      <c r="K740" s="208"/>
      <c r="L740" s="208"/>
      <c r="M740" s="208"/>
      <c r="N740" s="208"/>
      <c r="O740" s="208"/>
      <c r="P740" s="208"/>
      <c r="Q740" s="208"/>
      <c r="R740" s="208"/>
      <c r="S740" s="208"/>
      <c r="T740" s="208"/>
      <c r="U740" s="208"/>
      <c r="V740" s="208"/>
      <c r="W740" s="232"/>
      <c r="X740" s="232"/>
      <c r="Y740" s="232"/>
      <c r="Z740" s="232"/>
      <c r="AA740" s="232"/>
      <c r="AB740" s="232"/>
      <c r="AC740" s="232"/>
      <c r="AD740" s="232"/>
      <c r="AE740" s="232"/>
      <c r="AF740" s="232"/>
      <c r="AG740" s="208"/>
      <c r="AH740" s="208"/>
      <c r="AI740" s="208"/>
      <c r="AJ740" s="208"/>
      <c r="AK740" s="208"/>
    </row>
    <row r="741">
      <c r="A741" s="234"/>
      <c r="B741" s="208"/>
      <c r="C741" s="208"/>
      <c r="D741" s="208"/>
      <c r="E741" s="208"/>
      <c r="F741" s="208"/>
      <c r="G741" s="208"/>
      <c r="H741" s="208"/>
      <c r="I741" s="233"/>
      <c r="J741" s="208"/>
      <c r="K741" s="208"/>
      <c r="L741" s="208"/>
      <c r="M741" s="208"/>
      <c r="N741" s="208"/>
      <c r="O741" s="208"/>
      <c r="P741" s="208"/>
      <c r="Q741" s="208"/>
      <c r="R741" s="208"/>
      <c r="S741" s="208"/>
      <c r="T741" s="208"/>
      <c r="U741" s="208"/>
      <c r="V741" s="208"/>
      <c r="W741" s="232"/>
      <c r="X741" s="232"/>
      <c r="Y741" s="232"/>
      <c r="Z741" s="232"/>
      <c r="AA741" s="232"/>
      <c r="AB741" s="232"/>
      <c r="AC741" s="232"/>
      <c r="AD741" s="232"/>
      <c r="AE741" s="232"/>
      <c r="AF741" s="232"/>
      <c r="AG741" s="208"/>
      <c r="AH741" s="208"/>
      <c r="AI741" s="208"/>
      <c r="AJ741" s="208"/>
      <c r="AK741" s="208"/>
    </row>
    <row r="742">
      <c r="A742" s="234"/>
      <c r="B742" s="208"/>
      <c r="C742" s="208"/>
      <c r="D742" s="208"/>
      <c r="E742" s="208"/>
      <c r="F742" s="208"/>
      <c r="G742" s="208"/>
      <c r="H742" s="208"/>
      <c r="I742" s="233"/>
      <c r="J742" s="208"/>
      <c r="K742" s="208"/>
      <c r="L742" s="208"/>
      <c r="M742" s="208"/>
      <c r="N742" s="208"/>
      <c r="O742" s="208"/>
      <c r="P742" s="208"/>
      <c r="Q742" s="208"/>
      <c r="R742" s="208"/>
      <c r="S742" s="208"/>
      <c r="T742" s="208"/>
      <c r="U742" s="208"/>
      <c r="V742" s="208"/>
      <c r="W742" s="232"/>
      <c r="X742" s="232"/>
      <c r="Y742" s="232"/>
      <c r="Z742" s="232"/>
      <c r="AA742" s="232"/>
      <c r="AB742" s="232"/>
      <c r="AC742" s="232"/>
      <c r="AD742" s="232"/>
      <c r="AE742" s="232"/>
      <c r="AF742" s="232"/>
      <c r="AG742" s="208"/>
      <c r="AH742" s="208"/>
      <c r="AI742" s="208"/>
      <c r="AJ742" s="208"/>
      <c r="AK742" s="208"/>
    </row>
    <row r="743">
      <c r="A743" s="234"/>
      <c r="B743" s="208"/>
      <c r="C743" s="208"/>
      <c r="D743" s="208"/>
      <c r="E743" s="208"/>
      <c r="F743" s="208"/>
      <c r="G743" s="208"/>
      <c r="H743" s="208"/>
      <c r="I743" s="233"/>
      <c r="J743" s="208"/>
      <c r="K743" s="208"/>
      <c r="L743" s="208"/>
      <c r="M743" s="208"/>
      <c r="N743" s="208"/>
      <c r="O743" s="208"/>
      <c r="P743" s="208"/>
      <c r="Q743" s="208"/>
      <c r="R743" s="208"/>
      <c r="S743" s="208"/>
      <c r="T743" s="208"/>
      <c r="U743" s="208"/>
      <c r="V743" s="208"/>
      <c r="W743" s="232"/>
      <c r="X743" s="232"/>
      <c r="Y743" s="232"/>
      <c r="Z743" s="232"/>
      <c r="AA743" s="232"/>
      <c r="AB743" s="232"/>
      <c r="AC743" s="232"/>
      <c r="AD743" s="232"/>
      <c r="AE743" s="232"/>
      <c r="AF743" s="232"/>
      <c r="AG743" s="208"/>
      <c r="AH743" s="208"/>
      <c r="AI743" s="208"/>
      <c r="AJ743" s="208"/>
      <c r="AK743" s="208"/>
    </row>
    <row r="744">
      <c r="A744" s="234"/>
      <c r="B744" s="208"/>
      <c r="C744" s="208"/>
      <c r="D744" s="208"/>
      <c r="E744" s="208"/>
      <c r="F744" s="208"/>
      <c r="G744" s="208"/>
      <c r="H744" s="208"/>
      <c r="I744" s="233"/>
      <c r="J744" s="208"/>
      <c r="K744" s="208"/>
      <c r="L744" s="208"/>
      <c r="M744" s="208"/>
      <c r="N744" s="208"/>
      <c r="O744" s="208"/>
      <c r="P744" s="208"/>
      <c r="Q744" s="208"/>
      <c r="R744" s="208"/>
      <c r="S744" s="208"/>
      <c r="T744" s="208"/>
      <c r="U744" s="208"/>
      <c r="V744" s="208"/>
      <c r="W744" s="232"/>
      <c r="X744" s="232"/>
      <c r="Y744" s="232"/>
      <c r="Z744" s="232"/>
      <c r="AA744" s="232"/>
      <c r="AB744" s="232"/>
      <c r="AC744" s="232"/>
      <c r="AD744" s="232"/>
      <c r="AE744" s="232"/>
      <c r="AF744" s="232"/>
      <c r="AG744" s="208"/>
      <c r="AH744" s="208"/>
      <c r="AI744" s="208"/>
      <c r="AJ744" s="208"/>
      <c r="AK744" s="208"/>
    </row>
    <row r="745">
      <c r="A745" s="234"/>
      <c r="B745" s="208"/>
      <c r="C745" s="208"/>
      <c r="D745" s="208"/>
      <c r="E745" s="208"/>
      <c r="F745" s="208"/>
      <c r="G745" s="208"/>
      <c r="H745" s="208"/>
      <c r="I745" s="233"/>
      <c r="J745" s="208"/>
      <c r="K745" s="208"/>
      <c r="L745" s="208"/>
      <c r="M745" s="208"/>
      <c r="N745" s="208"/>
      <c r="O745" s="208"/>
      <c r="P745" s="208"/>
      <c r="Q745" s="208"/>
      <c r="R745" s="208"/>
      <c r="S745" s="208"/>
      <c r="T745" s="208"/>
      <c r="U745" s="208"/>
      <c r="V745" s="208"/>
      <c r="W745" s="232"/>
      <c r="X745" s="232"/>
      <c r="Y745" s="232"/>
      <c r="Z745" s="232"/>
      <c r="AA745" s="232"/>
      <c r="AB745" s="232"/>
      <c r="AC745" s="232"/>
      <c r="AD745" s="232"/>
      <c r="AE745" s="232"/>
      <c r="AF745" s="232"/>
      <c r="AG745" s="208"/>
      <c r="AH745" s="208"/>
      <c r="AI745" s="208"/>
      <c r="AJ745" s="208"/>
      <c r="AK745" s="208"/>
    </row>
    <row r="746">
      <c r="A746" s="234"/>
      <c r="B746" s="208"/>
      <c r="C746" s="208"/>
      <c r="D746" s="208"/>
      <c r="E746" s="208"/>
      <c r="F746" s="208"/>
      <c r="G746" s="208"/>
      <c r="H746" s="208"/>
      <c r="I746" s="233"/>
      <c r="J746" s="208"/>
      <c r="K746" s="208"/>
      <c r="L746" s="208"/>
      <c r="M746" s="208"/>
      <c r="N746" s="208"/>
      <c r="O746" s="208"/>
      <c r="P746" s="208"/>
      <c r="Q746" s="208"/>
      <c r="R746" s="208"/>
      <c r="S746" s="208"/>
      <c r="T746" s="208"/>
      <c r="U746" s="208"/>
      <c r="V746" s="208"/>
      <c r="W746" s="232"/>
      <c r="X746" s="232"/>
      <c r="Y746" s="232"/>
      <c r="Z746" s="232"/>
      <c r="AA746" s="232"/>
      <c r="AB746" s="232"/>
      <c r="AC746" s="232"/>
      <c r="AD746" s="232"/>
      <c r="AE746" s="232"/>
      <c r="AF746" s="232"/>
      <c r="AG746" s="208"/>
      <c r="AH746" s="208"/>
      <c r="AI746" s="208"/>
      <c r="AJ746" s="208"/>
      <c r="AK746" s="208"/>
    </row>
    <row r="747">
      <c r="A747" s="234"/>
      <c r="B747" s="208"/>
      <c r="C747" s="208"/>
      <c r="D747" s="208"/>
      <c r="E747" s="208"/>
      <c r="F747" s="208"/>
      <c r="G747" s="208"/>
      <c r="H747" s="208"/>
      <c r="I747" s="233"/>
      <c r="J747" s="208"/>
      <c r="K747" s="208"/>
      <c r="L747" s="208"/>
      <c r="M747" s="208"/>
      <c r="N747" s="208"/>
      <c r="O747" s="208"/>
      <c r="P747" s="208"/>
      <c r="Q747" s="208"/>
      <c r="R747" s="208"/>
      <c r="S747" s="208"/>
      <c r="T747" s="208"/>
      <c r="U747" s="208"/>
      <c r="V747" s="208"/>
      <c r="W747" s="232"/>
      <c r="X747" s="232"/>
      <c r="Y747" s="232"/>
      <c r="Z747" s="232"/>
      <c r="AA747" s="232"/>
      <c r="AB747" s="232"/>
      <c r="AC747" s="232"/>
      <c r="AD747" s="232"/>
      <c r="AE747" s="232"/>
      <c r="AF747" s="232"/>
      <c r="AG747" s="208"/>
      <c r="AH747" s="208"/>
      <c r="AI747" s="208"/>
      <c r="AJ747" s="208"/>
      <c r="AK747" s="208"/>
    </row>
    <row r="748">
      <c r="A748" s="234"/>
      <c r="B748" s="208"/>
      <c r="C748" s="208"/>
      <c r="D748" s="208"/>
      <c r="E748" s="208"/>
      <c r="F748" s="208"/>
      <c r="G748" s="208"/>
      <c r="H748" s="208"/>
      <c r="I748" s="233"/>
      <c r="J748" s="208"/>
      <c r="K748" s="208"/>
      <c r="L748" s="208"/>
      <c r="M748" s="208"/>
      <c r="N748" s="208"/>
      <c r="O748" s="208"/>
      <c r="P748" s="208"/>
      <c r="Q748" s="208"/>
      <c r="R748" s="208"/>
      <c r="S748" s="208"/>
      <c r="T748" s="208"/>
      <c r="U748" s="208"/>
      <c r="V748" s="208"/>
      <c r="W748" s="232"/>
      <c r="X748" s="232"/>
      <c r="Y748" s="232"/>
      <c r="Z748" s="232"/>
      <c r="AA748" s="232"/>
      <c r="AB748" s="232"/>
      <c r="AC748" s="232"/>
      <c r="AD748" s="232"/>
      <c r="AE748" s="232"/>
      <c r="AF748" s="232"/>
      <c r="AG748" s="208"/>
      <c r="AH748" s="208"/>
      <c r="AI748" s="208"/>
      <c r="AJ748" s="208"/>
      <c r="AK748" s="208"/>
    </row>
    <row r="749">
      <c r="A749" s="234"/>
      <c r="B749" s="208"/>
      <c r="C749" s="208"/>
      <c r="D749" s="208"/>
      <c r="E749" s="208"/>
      <c r="F749" s="208"/>
      <c r="G749" s="208"/>
      <c r="H749" s="208"/>
      <c r="I749" s="233"/>
      <c r="J749" s="208"/>
      <c r="K749" s="208"/>
      <c r="L749" s="208"/>
      <c r="M749" s="208"/>
      <c r="N749" s="208"/>
      <c r="O749" s="208"/>
      <c r="P749" s="208"/>
      <c r="Q749" s="208"/>
      <c r="R749" s="208"/>
      <c r="S749" s="208"/>
      <c r="T749" s="208"/>
      <c r="U749" s="208"/>
      <c r="V749" s="208"/>
      <c r="W749" s="232"/>
      <c r="X749" s="232"/>
      <c r="Y749" s="232"/>
      <c r="Z749" s="232"/>
      <c r="AA749" s="232"/>
      <c r="AB749" s="232"/>
      <c r="AC749" s="232"/>
      <c r="AD749" s="232"/>
      <c r="AE749" s="232"/>
      <c r="AF749" s="232"/>
      <c r="AG749" s="208"/>
      <c r="AH749" s="208"/>
      <c r="AI749" s="208"/>
      <c r="AJ749" s="208"/>
      <c r="AK749" s="208"/>
    </row>
    <row r="750">
      <c r="A750" s="234"/>
      <c r="B750" s="208"/>
      <c r="C750" s="208"/>
      <c r="D750" s="208"/>
      <c r="E750" s="208"/>
      <c r="F750" s="208"/>
      <c r="G750" s="208"/>
      <c r="H750" s="208"/>
      <c r="I750" s="233"/>
      <c r="J750" s="208"/>
      <c r="K750" s="208"/>
      <c r="L750" s="208"/>
      <c r="M750" s="208"/>
      <c r="N750" s="208"/>
      <c r="O750" s="208"/>
      <c r="P750" s="208"/>
      <c r="Q750" s="208"/>
      <c r="R750" s="208"/>
      <c r="S750" s="208"/>
      <c r="T750" s="208"/>
      <c r="U750" s="208"/>
      <c r="V750" s="208"/>
      <c r="W750" s="232"/>
      <c r="X750" s="232"/>
      <c r="Y750" s="232"/>
      <c r="Z750" s="232"/>
      <c r="AA750" s="232"/>
      <c r="AB750" s="232"/>
      <c r="AC750" s="232"/>
      <c r="AD750" s="232"/>
      <c r="AE750" s="232"/>
      <c r="AF750" s="232"/>
      <c r="AG750" s="208"/>
      <c r="AH750" s="208"/>
      <c r="AI750" s="208"/>
      <c r="AJ750" s="208"/>
      <c r="AK750" s="208"/>
    </row>
    <row r="751">
      <c r="A751" s="234"/>
      <c r="B751" s="208"/>
      <c r="C751" s="208"/>
      <c r="D751" s="208"/>
      <c r="E751" s="208"/>
      <c r="F751" s="208"/>
      <c r="G751" s="208"/>
      <c r="H751" s="208"/>
      <c r="I751" s="233"/>
      <c r="J751" s="208"/>
      <c r="K751" s="208"/>
      <c r="L751" s="208"/>
      <c r="M751" s="208"/>
      <c r="N751" s="208"/>
      <c r="O751" s="208"/>
      <c r="P751" s="208"/>
      <c r="Q751" s="208"/>
      <c r="R751" s="208"/>
      <c r="S751" s="208"/>
      <c r="T751" s="208"/>
      <c r="U751" s="208"/>
      <c r="V751" s="208"/>
      <c r="W751" s="232"/>
      <c r="X751" s="232"/>
      <c r="Y751" s="232"/>
      <c r="Z751" s="232"/>
      <c r="AA751" s="232"/>
      <c r="AB751" s="232"/>
      <c r="AC751" s="232"/>
      <c r="AD751" s="232"/>
      <c r="AE751" s="232"/>
      <c r="AF751" s="232"/>
      <c r="AG751" s="208"/>
      <c r="AH751" s="208"/>
      <c r="AI751" s="208"/>
      <c r="AJ751" s="208"/>
      <c r="AK751" s="208"/>
    </row>
    <row r="752">
      <c r="A752" s="234"/>
      <c r="B752" s="208"/>
      <c r="C752" s="208"/>
      <c r="D752" s="208"/>
      <c r="E752" s="208"/>
      <c r="F752" s="208"/>
      <c r="G752" s="208"/>
      <c r="H752" s="208"/>
      <c r="I752" s="233"/>
      <c r="J752" s="208"/>
      <c r="K752" s="208"/>
      <c r="L752" s="208"/>
      <c r="M752" s="208"/>
      <c r="N752" s="208"/>
      <c r="O752" s="208"/>
      <c r="P752" s="208"/>
      <c r="Q752" s="208"/>
      <c r="R752" s="208"/>
      <c r="S752" s="208"/>
      <c r="T752" s="208"/>
      <c r="U752" s="208"/>
      <c r="V752" s="208"/>
      <c r="W752" s="232"/>
      <c r="X752" s="232"/>
      <c r="Y752" s="232"/>
      <c r="Z752" s="232"/>
      <c r="AA752" s="232"/>
      <c r="AB752" s="232"/>
      <c r="AC752" s="232"/>
      <c r="AD752" s="232"/>
      <c r="AE752" s="232"/>
      <c r="AF752" s="232"/>
      <c r="AG752" s="208"/>
      <c r="AH752" s="208"/>
      <c r="AI752" s="208"/>
      <c r="AJ752" s="208"/>
      <c r="AK752" s="208"/>
    </row>
    <row r="753">
      <c r="A753" s="234"/>
      <c r="B753" s="208"/>
      <c r="C753" s="208"/>
      <c r="D753" s="208"/>
      <c r="E753" s="208"/>
      <c r="F753" s="208"/>
      <c r="G753" s="208"/>
      <c r="H753" s="208"/>
      <c r="I753" s="233"/>
      <c r="J753" s="208"/>
      <c r="K753" s="208"/>
      <c r="L753" s="208"/>
      <c r="M753" s="208"/>
      <c r="N753" s="208"/>
      <c r="O753" s="208"/>
      <c r="P753" s="208"/>
      <c r="Q753" s="208"/>
      <c r="R753" s="208"/>
      <c r="S753" s="208"/>
      <c r="T753" s="208"/>
      <c r="U753" s="208"/>
      <c r="V753" s="208"/>
      <c r="W753" s="232"/>
      <c r="X753" s="232"/>
      <c r="Y753" s="232"/>
      <c r="Z753" s="232"/>
      <c r="AA753" s="232"/>
      <c r="AB753" s="232"/>
      <c r="AC753" s="232"/>
      <c r="AD753" s="232"/>
      <c r="AE753" s="232"/>
      <c r="AF753" s="232"/>
      <c r="AG753" s="208"/>
      <c r="AH753" s="208"/>
      <c r="AI753" s="208"/>
      <c r="AJ753" s="208"/>
      <c r="AK753" s="208"/>
    </row>
    <row r="754">
      <c r="A754" s="234"/>
      <c r="B754" s="208"/>
      <c r="C754" s="208"/>
      <c r="D754" s="208"/>
      <c r="E754" s="208"/>
      <c r="F754" s="208"/>
      <c r="G754" s="208"/>
      <c r="H754" s="208"/>
      <c r="I754" s="233"/>
      <c r="J754" s="208"/>
      <c r="K754" s="208"/>
      <c r="L754" s="208"/>
      <c r="M754" s="208"/>
      <c r="N754" s="208"/>
      <c r="O754" s="208"/>
      <c r="P754" s="208"/>
      <c r="Q754" s="208"/>
      <c r="R754" s="208"/>
      <c r="S754" s="208"/>
      <c r="T754" s="208"/>
      <c r="U754" s="208"/>
      <c r="V754" s="208"/>
      <c r="W754" s="232"/>
      <c r="X754" s="232"/>
      <c r="Y754" s="232"/>
      <c r="Z754" s="232"/>
      <c r="AA754" s="232"/>
      <c r="AB754" s="232"/>
      <c r="AC754" s="232"/>
      <c r="AD754" s="232"/>
      <c r="AE754" s="232"/>
      <c r="AF754" s="232"/>
      <c r="AG754" s="208"/>
      <c r="AH754" s="208"/>
      <c r="AI754" s="208"/>
      <c r="AJ754" s="208"/>
      <c r="AK754" s="208"/>
    </row>
    <row r="755">
      <c r="A755" s="234"/>
      <c r="B755" s="208"/>
      <c r="C755" s="208"/>
      <c r="D755" s="208"/>
      <c r="E755" s="208"/>
      <c r="F755" s="208"/>
      <c r="G755" s="208"/>
      <c r="H755" s="208"/>
      <c r="I755" s="233"/>
      <c r="J755" s="208"/>
      <c r="K755" s="208"/>
      <c r="L755" s="208"/>
      <c r="M755" s="208"/>
      <c r="N755" s="208"/>
      <c r="O755" s="208"/>
      <c r="P755" s="208"/>
      <c r="Q755" s="208"/>
      <c r="R755" s="208"/>
      <c r="S755" s="208"/>
      <c r="T755" s="208"/>
      <c r="U755" s="208"/>
      <c r="V755" s="208"/>
      <c r="W755" s="232"/>
      <c r="X755" s="232"/>
      <c r="Y755" s="232"/>
      <c r="Z755" s="232"/>
      <c r="AA755" s="232"/>
      <c r="AB755" s="232"/>
      <c r="AC755" s="232"/>
      <c r="AD755" s="232"/>
      <c r="AE755" s="232"/>
      <c r="AF755" s="232"/>
      <c r="AG755" s="208"/>
      <c r="AH755" s="208"/>
      <c r="AI755" s="208"/>
      <c r="AJ755" s="208"/>
      <c r="AK755" s="208"/>
    </row>
    <row r="756">
      <c r="A756" s="234"/>
      <c r="B756" s="208"/>
      <c r="C756" s="208"/>
      <c r="D756" s="208"/>
      <c r="E756" s="208"/>
      <c r="F756" s="208"/>
      <c r="G756" s="208"/>
      <c r="H756" s="208"/>
      <c r="I756" s="233"/>
      <c r="J756" s="208"/>
      <c r="K756" s="208"/>
      <c r="L756" s="208"/>
      <c r="M756" s="208"/>
      <c r="N756" s="208"/>
      <c r="O756" s="208"/>
      <c r="P756" s="208"/>
      <c r="Q756" s="208"/>
      <c r="R756" s="208"/>
      <c r="S756" s="208"/>
      <c r="T756" s="208"/>
      <c r="U756" s="208"/>
      <c r="V756" s="208"/>
      <c r="W756" s="232"/>
      <c r="X756" s="232"/>
      <c r="Y756" s="232"/>
      <c r="Z756" s="232"/>
      <c r="AA756" s="232"/>
      <c r="AB756" s="232"/>
      <c r="AC756" s="232"/>
      <c r="AD756" s="232"/>
      <c r="AE756" s="232"/>
      <c r="AF756" s="232"/>
      <c r="AG756" s="208"/>
      <c r="AH756" s="208"/>
      <c r="AI756" s="208"/>
      <c r="AJ756" s="208"/>
      <c r="AK756" s="208"/>
    </row>
    <row r="757">
      <c r="A757" s="234"/>
      <c r="B757" s="208"/>
      <c r="C757" s="208"/>
      <c r="D757" s="208"/>
      <c r="E757" s="208"/>
      <c r="F757" s="208"/>
      <c r="G757" s="208"/>
      <c r="H757" s="208"/>
      <c r="I757" s="233"/>
      <c r="J757" s="208"/>
      <c r="K757" s="208"/>
      <c r="L757" s="208"/>
      <c r="M757" s="208"/>
      <c r="N757" s="208"/>
      <c r="O757" s="208"/>
      <c r="P757" s="208"/>
      <c r="Q757" s="208"/>
      <c r="R757" s="208"/>
      <c r="S757" s="208"/>
      <c r="T757" s="208"/>
      <c r="U757" s="208"/>
      <c r="V757" s="208"/>
      <c r="W757" s="232"/>
      <c r="X757" s="232"/>
      <c r="Y757" s="232"/>
      <c r="Z757" s="232"/>
      <c r="AA757" s="232"/>
      <c r="AB757" s="232"/>
      <c r="AC757" s="232"/>
      <c r="AD757" s="232"/>
      <c r="AE757" s="232"/>
      <c r="AF757" s="232"/>
      <c r="AG757" s="208"/>
      <c r="AH757" s="208"/>
      <c r="AI757" s="208"/>
      <c r="AJ757" s="208"/>
      <c r="AK757" s="208"/>
    </row>
    <row r="758">
      <c r="A758" s="234"/>
      <c r="B758" s="208"/>
      <c r="C758" s="208"/>
      <c r="D758" s="208"/>
      <c r="E758" s="208"/>
      <c r="F758" s="208"/>
      <c r="G758" s="208"/>
      <c r="H758" s="208"/>
      <c r="I758" s="233"/>
      <c r="J758" s="208"/>
      <c r="K758" s="208"/>
      <c r="L758" s="208"/>
      <c r="M758" s="208"/>
      <c r="N758" s="208"/>
      <c r="O758" s="208"/>
      <c r="P758" s="208"/>
      <c r="Q758" s="208"/>
      <c r="R758" s="208"/>
      <c r="S758" s="208"/>
      <c r="T758" s="208"/>
      <c r="U758" s="208"/>
      <c r="V758" s="208"/>
      <c r="W758" s="232"/>
      <c r="X758" s="232"/>
      <c r="Y758" s="232"/>
      <c r="Z758" s="232"/>
      <c r="AA758" s="232"/>
      <c r="AB758" s="232"/>
      <c r="AC758" s="232"/>
      <c r="AD758" s="232"/>
      <c r="AE758" s="232"/>
      <c r="AF758" s="232"/>
      <c r="AG758" s="208"/>
      <c r="AH758" s="208"/>
      <c r="AI758" s="208"/>
      <c r="AJ758" s="208"/>
      <c r="AK758" s="208"/>
    </row>
    <row r="759">
      <c r="A759" s="234"/>
      <c r="B759" s="208"/>
      <c r="C759" s="208"/>
      <c r="D759" s="208"/>
      <c r="E759" s="208"/>
      <c r="F759" s="208"/>
      <c r="G759" s="208"/>
      <c r="H759" s="208"/>
      <c r="I759" s="233"/>
      <c r="J759" s="208"/>
      <c r="K759" s="208"/>
      <c r="L759" s="208"/>
      <c r="M759" s="208"/>
      <c r="N759" s="208"/>
      <c r="O759" s="208"/>
      <c r="P759" s="208"/>
      <c r="Q759" s="208"/>
      <c r="R759" s="208"/>
      <c r="S759" s="208"/>
      <c r="T759" s="208"/>
      <c r="U759" s="208"/>
      <c r="V759" s="208"/>
      <c r="W759" s="232"/>
      <c r="X759" s="232"/>
      <c r="Y759" s="232"/>
      <c r="Z759" s="232"/>
      <c r="AA759" s="232"/>
      <c r="AB759" s="232"/>
      <c r="AC759" s="232"/>
      <c r="AD759" s="232"/>
      <c r="AE759" s="232"/>
      <c r="AF759" s="232"/>
      <c r="AG759" s="208"/>
      <c r="AH759" s="208"/>
      <c r="AI759" s="208"/>
      <c r="AJ759" s="208"/>
      <c r="AK759" s="208"/>
    </row>
    <row r="760">
      <c r="A760" s="234"/>
      <c r="B760" s="208"/>
      <c r="C760" s="208"/>
      <c r="D760" s="208"/>
      <c r="E760" s="208"/>
      <c r="F760" s="208"/>
      <c r="G760" s="208"/>
      <c r="H760" s="208"/>
      <c r="I760" s="233"/>
      <c r="J760" s="208"/>
      <c r="K760" s="208"/>
      <c r="L760" s="208"/>
      <c r="M760" s="208"/>
      <c r="N760" s="208"/>
      <c r="O760" s="208"/>
      <c r="P760" s="208"/>
      <c r="Q760" s="208"/>
      <c r="R760" s="208"/>
      <c r="S760" s="208"/>
      <c r="T760" s="208"/>
      <c r="U760" s="208"/>
      <c r="V760" s="208"/>
      <c r="W760" s="232"/>
      <c r="X760" s="232"/>
      <c r="Y760" s="232"/>
      <c r="Z760" s="232"/>
      <c r="AA760" s="232"/>
      <c r="AB760" s="232"/>
      <c r="AC760" s="232"/>
      <c r="AD760" s="232"/>
      <c r="AE760" s="232"/>
      <c r="AF760" s="232"/>
      <c r="AG760" s="208"/>
      <c r="AH760" s="208"/>
      <c r="AI760" s="208"/>
      <c r="AJ760" s="208"/>
      <c r="AK760" s="208"/>
    </row>
    <row r="761">
      <c r="A761" s="234"/>
      <c r="B761" s="208"/>
      <c r="C761" s="208"/>
      <c r="D761" s="208"/>
      <c r="E761" s="208"/>
      <c r="F761" s="208"/>
      <c r="G761" s="208"/>
      <c r="H761" s="208"/>
      <c r="I761" s="233"/>
      <c r="J761" s="208"/>
      <c r="K761" s="208"/>
      <c r="L761" s="208"/>
      <c r="M761" s="208"/>
      <c r="N761" s="208"/>
      <c r="O761" s="208"/>
      <c r="P761" s="208"/>
      <c r="Q761" s="208"/>
      <c r="R761" s="208"/>
      <c r="S761" s="208"/>
      <c r="T761" s="208"/>
      <c r="U761" s="208"/>
      <c r="V761" s="208"/>
      <c r="W761" s="232"/>
      <c r="X761" s="232"/>
      <c r="Y761" s="232"/>
      <c r="Z761" s="232"/>
      <c r="AA761" s="232"/>
      <c r="AB761" s="232"/>
      <c r="AC761" s="232"/>
      <c r="AD761" s="232"/>
      <c r="AE761" s="232"/>
      <c r="AF761" s="232"/>
      <c r="AG761" s="208"/>
      <c r="AH761" s="208"/>
      <c r="AI761" s="208"/>
      <c r="AJ761" s="208"/>
      <c r="AK761" s="208"/>
    </row>
    <row r="762">
      <c r="A762" s="234"/>
      <c r="B762" s="208"/>
      <c r="C762" s="208"/>
      <c r="D762" s="208"/>
      <c r="E762" s="208"/>
      <c r="F762" s="208"/>
      <c r="G762" s="208"/>
      <c r="H762" s="208"/>
      <c r="I762" s="233"/>
      <c r="J762" s="208"/>
      <c r="K762" s="208"/>
      <c r="L762" s="208"/>
      <c r="M762" s="208"/>
      <c r="N762" s="208"/>
      <c r="O762" s="208"/>
      <c r="P762" s="208"/>
      <c r="Q762" s="208"/>
      <c r="R762" s="208"/>
      <c r="S762" s="208"/>
      <c r="T762" s="208"/>
      <c r="U762" s="208"/>
      <c r="V762" s="208"/>
      <c r="W762" s="232"/>
      <c r="X762" s="232"/>
      <c r="Y762" s="232"/>
      <c r="Z762" s="232"/>
      <c r="AA762" s="232"/>
      <c r="AB762" s="232"/>
      <c r="AC762" s="232"/>
      <c r="AD762" s="232"/>
      <c r="AE762" s="232"/>
      <c r="AF762" s="232"/>
      <c r="AG762" s="208"/>
      <c r="AH762" s="208"/>
      <c r="AI762" s="208"/>
      <c r="AJ762" s="208"/>
      <c r="AK762" s="208"/>
    </row>
    <row r="763">
      <c r="A763" s="234"/>
      <c r="B763" s="208"/>
      <c r="C763" s="208"/>
      <c r="D763" s="208"/>
      <c r="E763" s="208"/>
      <c r="F763" s="208"/>
      <c r="G763" s="208"/>
      <c r="H763" s="208"/>
      <c r="I763" s="233"/>
      <c r="J763" s="208"/>
      <c r="K763" s="208"/>
      <c r="L763" s="208"/>
      <c r="M763" s="208"/>
      <c r="N763" s="208"/>
      <c r="O763" s="208"/>
      <c r="P763" s="208"/>
      <c r="Q763" s="208"/>
      <c r="R763" s="208"/>
      <c r="S763" s="208"/>
      <c r="T763" s="208"/>
      <c r="U763" s="208"/>
      <c r="V763" s="208"/>
      <c r="W763" s="232"/>
      <c r="X763" s="232"/>
      <c r="Y763" s="232"/>
      <c r="Z763" s="232"/>
      <c r="AA763" s="232"/>
      <c r="AB763" s="232"/>
      <c r="AC763" s="232"/>
      <c r="AD763" s="232"/>
      <c r="AE763" s="232"/>
      <c r="AF763" s="232"/>
      <c r="AG763" s="208"/>
      <c r="AH763" s="208"/>
      <c r="AI763" s="208"/>
      <c r="AJ763" s="208"/>
      <c r="AK763" s="208"/>
    </row>
    <row r="764">
      <c r="A764" s="234"/>
      <c r="B764" s="208"/>
      <c r="C764" s="208"/>
      <c r="D764" s="208"/>
      <c r="E764" s="208"/>
      <c r="F764" s="208"/>
      <c r="G764" s="208"/>
      <c r="H764" s="208"/>
      <c r="I764" s="233"/>
      <c r="J764" s="208"/>
      <c r="K764" s="208"/>
      <c r="L764" s="208"/>
      <c r="M764" s="208"/>
      <c r="N764" s="208"/>
      <c r="O764" s="208"/>
      <c r="P764" s="208"/>
      <c r="Q764" s="208"/>
      <c r="R764" s="208"/>
      <c r="S764" s="208"/>
      <c r="T764" s="208"/>
      <c r="U764" s="208"/>
      <c r="V764" s="208"/>
      <c r="W764" s="232"/>
      <c r="X764" s="232"/>
      <c r="Y764" s="232"/>
      <c r="Z764" s="232"/>
      <c r="AA764" s="232"/>
      <c r="AB764" s="232"/>
      <c r="AC764" s="232"/>
      <c r="AD764" s="232"/>
      <c r="AE764" s="232"/>
      <c r="AF764" s="232"/>
      <c r="AG764" s="208"/>
      <c r="AH764" s="208"/>
      <c r="AI764" s="208"/>
      <c r="AJ764" s="208"/>
      <c r="AK764" s="208"/>
    </row>
    <row r="765">
      <c r="A765" s="234"/>
      <c r="B765" s="208"/>
      <c r="C765" s="208"/>
      <c r="D765" s="208"/>
      <c r="E765" s="208"/>
      <c r="F765" s="208"/>
      <c r="G765" s="208"/>
      <c r="H765" s="208"/>
      <c r="I765" s="233"/>
      <c r="J765" s="208"/>
      <c r="K765" s="208"/>
      <c r="L765" s="208"/>
      <c r="M765" s="208"/>
      <c r="N765" s="208"/>
      <c r="O765" s="208"/>
      <c r="P765" s="208"/>
      <c r="Q765" s="208"/>
      <c r="R765" s="208"/>
      <c r="S765" s="208"/>
      <c r="T765" s="208"/>
      <c r="U765" s="208"/>
      <c r="V765" s="208"/>
      <c r="W765" s="232"/>
      <c r="X765" s="232"/>
      <c r="Y765" s="232"/>
      <c r="Z765" s="232"/>
      <c r="AA765" s="232"/>
      <c r="AB765" s="232"/>
      <c r="AC765" s="232"/>
      <c r="AD765" s="232"/>
      <c r="AE765" s="232"/>
      <c r="AF765" s="232"/>
      <c r="AG765" s="208"/>
      <c r="AH765" s="208"/>
      <c r="AI765" s="208"/>
      <c r="AJ765" s="208"/>
      <c r="AK765" s="208"/>
    </row>
    <row r="766">
      <c r="A766" s="234"/>
      <c r="B766" s="208"/>
      <c r="C766" s="208"/>
      <c r="D766" s="208"/>
      <c r="E766" s="208"/>
      <c r="F766" s="208"/>
      <c r="G766" s="208"/>
      <c r="H766" s="208"/>
      <c r="I766" s="233"/>
      <c r="J766" s="208"/>
      <c r="K766" s="208"/>
      <c r="L766" s="208"/>
      <c r="M766" s="208"/>
      <c r="N766" s="208"/>
      <c r="O766" s="208"/>
      <c r="P766" s="208"/>
      <c r="Q766" s="208"/>
      <c r="R766" s="208"/>
      <c r="S766" s="208"/>
      <c r="T766" s="208"/>
      <c r="U766" s="208"/>
      <c r="V766" s="208"/>
      <c r="W766" s="232"/>
      <c r="X766" s="232"/>
      <c r="Y766" s="232"/>
      <c r="Z766" s="232"/>
      <c r="AA766" s="232"/>
      <c r="AB766" s="232"/>
      <c r="AC766" s="232"/>
      <c r="AD766" s="232"/>
      <c r="AE766" s="232"/>
      <c r="AF766" s="232"/>
      <c r="AG766" s="208"/>
      <c r="AH766" s="208"/>
      <c r="AI766" s="208"/>
      <c r="AJ766" s="208"/>
      <c r="AK766" s="208"/>
    </row>
    <row r="767">
      <c r="A767" s="234"/>
      <c r="B767" s="208"/>
      <c r="C767" s="208"/>
      <c r="D767" s="208"/>
      <c r="E767" s="208"/>
      <c r="F767" s="208"/>
      <c r="G767" s="208"/>
      <c r="H767" s="208"/>
      <c r="I767" s="233"/>
      <c r="J767" s="208"/>
      <c r="K767" s="208"/>
      <c r="L767" s="208"/>
      <c r="M767" s="208"/>
      <c r="N767" s="208"/>
      <c r="O767" s="208"/>
      <c r="P767" s="208"/>
      <c r="Q767" s="208"/>
      <c r="R767" s="208"/>
      <c r="S767" s="208"/>
      <c r="T767" s="208"/>
      <c r="U767" s="208"/>
      <c r="V767" s="208"/>
      <c r="W767" s="232"/>
      <c r="X767" s="232"/>
      <c r="Y767" s="232"/>
      <c r="Z767" s="232"/>
      <c r="AA767" s="232"/>
      <c r="AB767" s="232"/>
      <c r="AC767" s="232"/>
      <c r="AD767" s="232"/>
      <c r="AE767" s="232"/>
      <c r="AF767" s="232"/>
      <c r="AG767" s="208"/>
      <c r="AH767" s="208"/>
      <c r="AI767" s="208"/>
      <c r="AJ767" s="208"/>
      <c r="AK767" s="208"/>
    </row>
    <row r="768">
      <c r="A768" s="234"/>
      <c r="B768" s="208"/>
      <c r="C768" s="208"/>
      <c r="D768" s="208"/>
      <c r="E768" s="208"/>
      <c r="F768" s="208"/>
      <c r="G768" s="208"/>
      <c r="H768" s="208"/>
      <c r="I768" s="233"/>
      <c r="J768" s="208"/>
      <c r="K768" s="208"/>
      <c r="L768" s="208"/>
      <c r="M768" s="208"/>
      <c r="N768" s="208"/>
      <c r="O768" s="208"/>
      <c r="P768" s="208"/>
      <c r="Q768" s="208"/>
      <c r="R768" s="208"/>
      <c r="S768" s="208"/>
      <c r="T768" s="208"/>
      <c r="U768" s="208"/>
      <c r="V768" s="208"/>
      <c r="W768" s="232"/>
      <c r="X768" s="232"/>
      <c r="Y768" s="232"/>
      <c r="Z768" s="232"/>
      <c r="AA768" s="232"/>
      <c r="AB768" s="232"/>
      <c r="AC768" s="232"/>
      <c r="AD768" s="232"/>
      <c r="AE768" s="232"/>
      <c r="AF768" s="232"/>
      <c r="AG768" s="208"/>
      <c r="AH768" s="208"/>
      <c r="AI768" s="208"/>
      <c r="AJ768" s="208"/>
      <c r="AK768" s="208"/>
    </row>
    <row r="769">
      <c r="A769" s="234"/>
      <c r="B769" s="208"/>
      <c r="C769" s="208"/>
      <c r="D769" s="208"/>
      <c r="E769" s="208"/>
      <c r="F769" s="208"/>
      <c r="G769" s="208"/>
      <c r="H769" s="208"/>
      <c r="I769" s="233"/>
      <c r="J769" s="208"/>
      <c r="K769" s="208"/>
      <c r="L769" s="208"/>
      <c r="M769" s="208"/>
      <c r="N769" s="208"/>
      <c r="O769" s="208"/>
      <c r="P769" s="208"/>
      <c r="Q769" s="208"/>
      <c r="R769" s="208"/>
      <c r="S769" s="208"/>
      <c r="T769" s="208"/>
      <c r="U769" s="208"/>
      <c r="V769" s="208"/>
      <c r="W769" s="232"/>
      <c r="X769" s="232"/>
      <c r="Y769" s="232"/>
      <c r="Z769" s="232"/>
      <c r="AA769" s="232"/>
      <c r="AB769" s="232"/>
      <c r="AC769" s="232"/>
      <c r="AD769" s="232"/>
      <c r="AE769" s="232"/>
      <c r="AF769" s="232"/>
      <c r="AG769" s="208"/>
      <c r="AH769" s="208"/>
      <c r="AI769" s="208"/>
      <c r="AJ769" s="208"/>
      <c r="AK769" s="208"/>
    </row>
    <row r="770">
      <c r="A770" s="234"/>
      <c r="B770" s="208"/>
      <c r="C770" s="208"/>
      <c r="D770" s="208"/>
      <c r="E770" s="208"/>
      <c r="F770" s="208"/>
      <c r="G770" s="208"/>
      <c r="H770" s="208"/>
      <c r="I770" s="233"/>
      <c r="J770" s="208"/>
      <c r="K770" s="208"/>
      <c r="L770" s="208"/>
      <c r="M770" s="208"/>
      <c r="N770" s="208"/>
      <c r="O770" s="208"/>
      <c r="P770" s="208"/>
      <c r="Q770" s="208"/>
      <c r="R770" s="208"/>
      <c r="S770" s="208"/>
      <c r="T770" s="208"/>
      <c r="U770" s="208"/>
      <c r="V770" s="208"/>
      <c r="W770" s="232"/>
      <c r="X770" s="232"/>
      <c r="Y770" s="232"/>
      <c r="Z770" s="232"/>
      <c r="AA770" s="232"/>
      <c r="AB770" s="232"/>
      <c r="AC770" s="232"/>
      <c r="AD770" s="232"/>
      <c r="AE770" s="232"/>
      <c r="AF770" s="232"/>
      <c r="AG770" s="208"/>
      <c r="AH770" s="208"/>
      <c r="AI770" s="208"/>
      <c r="AJ770" s="208"/>
      <c r="AK770" s="208"/>
    </row>
    <row r="771">
      <c r="A771" s="234"/>
      <c r="B771" s="208"/>
      <c r="C771" s="208"/>
      <c r="D771" s="208"/>
      <c r="E771" s="208"/>
      <c r="F771" s="208"/>
      <c r="G771" s="208"/>
      <c r="H771" s="208"/>
      <c r="I771" s="233"/>
      <c r="J771" s="208"/>
      <c r="K771" s="208"/>
      <c r="L771" s="208"/>
      <c r="M771" s="208"/>
      <c r="N771" s="208"/>
      <c r="O771" s="208"/>
      <c r="P771" s="208"/>
      <c r="Q771" s="208"/>
      <c r="R771" s="208"/>
      <c r="S771" s="208"/>
      <c r="T771" s="208"/>
      <c r="U771" s="208"/>
      <c r="V771" s="208"/>
      <c r="W771" s="232"/>
      <c r="X771" s="232"/>
      <c r="Y771" s="232"/>
      <c r="Z771" s="232"/>
      <c r="AA771" s="232"/>
      <c r="AB771" s="232"/>
      <c r="AC771" s="232"/>
      <c r="AD771" s="232"/>
      <c r="AE771" s="232"/>
      <c r="AF771" s="232"/>
      <c r="AG771" s="208"/>
      <c r="AH771" s="208"/>
      <c r="AI771" s="208"/>
      <c r="AJ771" s="208"/>
      <c r="AK771" s="208"/>
    </row>
    <row r="772">
      <c r="A772" s="234"/>
      <c r="B772" s="208"/>
      <c r="C772" s="208"/>
      <c r="D772" s="208"/>
      <c r="E772" s="208"/>
      <c r="F772" s="208"/>
      <c r="G772" s="208"/>
      <c r="H772" s="208"/>
      <c r="I772" s="233"/>
      <c r="J772" s="208"/>
      <c r="K772" s="208"/>
      <c r="L772" s="208"/>
      <c r="M772" s="208"/>
      <c r="N772" s="208"/>
      <c r="O772" s="208"/>
      <c r="P772" s="208"/>
      <c r="Q772" s="208"/>
      <c r="R772" s="208"/>
      <c r="S772" s="208"/>
      <c r="T772" s="208"/>
      <c r="U772" s="208"/>
      <c r="V772" s="208"/>
      <c r="W772" s="232"/>
      <c r="X772" s="232"/>
      <c r="Y772" s="232"/>
      <c r="Z772" s="232"/>
      <c r="AA772" s="232"/>
      <c r="AB772" s="232"/>
      <c r="AC772" s="232"/>
      <c r="AD772" s="232"/>
      <c r="AE772" s="232"/>
      <c r="AF772" s="232"/>
      <c r="AG772" s="208"/>
      <c r="AH772" s="208"/>
      <c r="AI772" s="208"/>
      <c r="AJ772" s="208"/>
      <c r="AK772" s="208"/>
    </row>
    <row r="773">
      <c r="A773" s="234"/>
      <c r="B773" s="208"/>
      <c r="C773" s="208"/>
      <c r="D773" s="208"/>
      <c r="E773" s="208"/>
      <c r="F773" s="208"/>
      <c r="G773" s="208"/>
      <c r="H773" s="208"/>
      <c r="I773" s="233"/>
      <c r="J773" s="208"/>
      <c r="K773" s="208"/>
      <c r="L773" s="208"/>
      <c r="M773" s="208"/>
      <c r="N773" s="208"/>
      <c r="O773" s="208"/>
      <c r="P773" s="208"/>
      <c r="Q773" s="208"/>
      <c r="R773" s="208"/>
      <c r="S773" s="208"/>
      <c r="T773" s="208"/>
      <c r="U773" s="208"/>
      <c r="V773" s="208"/>
      <c r="W773" s="232"/>
      <c r="X773" s="232"/>
      <c r="Y773" s="232"/>
      <c r="Z773" s="232"/>
      <c r="AA773" s="232"/>
      <c r="AB773" s="232"/>
      <c r="AC773" s="232"/>
      <c r="AD773" s="232"/>
      <c r="AE773" s="232"/>
      <c r="AF773" s="232"/>
      <c r="AG773" s="208"/>
      <c r="AH773" s="208"/>
      <c r="AI773" s="208"/>
      <c r="AJ773" s="208"/>
      <c r="AK773" s="208"/>
    </row>
    <row r="774">
      <c r="A774" s="234"/>
      <c r="B774" s="208"/>
      <c r="C774" s="208"/>
      <c r="D774" s="208"/>
      <c r="E774" s="208"/>
      <c r="F774" s="208"/>
      <c r="G774" s="208"/>
      <c r="H774" s="208"/>
      <c r="I774" s="233"/>
      <c r="J774" s="208"/>
      <c r="K774" s="208"/>
      <c r="L774" s="208"/>
      <c r="M774" s="208"/>
      <c r="N774" s="208"/>
      <c r="O774" s="208"/>
      <c r="P774" s="208"/>
      <c r="Q774" s="208"/>
      <c r="R774" s="208"/>
      <c r="S774" s="208"/>
      <c r="T774" s="208"/>
      <c r="U774" s="208"/>
      <c r="V774" s="208"/>
      <c r="W774" s="232"/>
      <c r="X774" s="232"/>
      <c r="Y774" s="232"/>
      <c r="Z774" s="232"/>
      <c r="AA774" s="232"/>
      <c r="AB774" s="232"/>
      <c r="AC774" s="232"/>
      <c r="AD774" s="232"/>
      <c r="AE774" s="232"/>
      <c r="AF774" s="232"/>
      <c r="AG774" s="208"/>
      <c r="AH774" s="208"/>
      <c r="AI774" s="208"/>
      <c r="AJ774" s="208"/>
      <c r="AK774" s="208"/>
    </row>
    <row r="775">
      <c r="A775" s="234"/>
      <c r="B775" s="208"/>
      <c r="C775" s="208"/>
      <c r="D775" s="208"/>
      <c r="E775" s="208"/>
      <c r="F775" s="208"/>
      <c r="G775" s="208"/>
      <c r="H775" s="208"/>
      <c r="I775" s="233"/>
      <c r="J775" s="208"/>
      <c r="K775" s="208"/>
      <c r="L775" s="208"/>
      <c r="M775" s="208"/>
      <c r="N775" s="208"/>
      <c r="O775" s="208"/>
      <c r="P775" s="208"/>
      <c r="Q775" s="208"/>
      <c r="R775" s="208"/>
      <c r="S775" s="208"/>
      <c r="T775" s="208"/>
      <c r="U775" s="208"/>
      <c r="V775" s="208"/>
      <c r="W775" s="232"/>
      <c r="X775" s="232"/>
      <c r="Y775" s="232"/>
      <c r="Z775" s="232"/>
      <c r="AA775" s="232"/>
      <c r="AB775" s="232"/>
      <c r="AC775" s="232"/>
      <c r="AD775" s="232"/>
      <c r="AE775" s="232"/>
      <c r="AF775" s="232"/>
      <c r="AG775" s="208"/>
      <c r="AH775" s="208"/>
      <c r="AI775" s="208"/>
      <c r="AJ775" s="208"/>
      <c r="AK775" s="208"/>
    </row>
    <row r="776">
      <c r="A776" s="234"/>
      <c r="B776" s="208"/>
      <c r="C776" s="208"/>
      <c r="D776" s="208"/>
      <c r="E776" s="208"/>
      <c r="F776" s="208"/>
      <c r="G776" s="208"/>
      <c r="H776" s="208"/>
      <c r="I776" s="233"/>
      <c r="J776" s="208"/>
      <c r="K776" s="208"/>
      <c r="L776" s="208"/>
      <c r="M776" s="208"/>
      <c r="N776" s="208"/>
      <c r="O776" s="208"/>
      <c r="P776" s="208"/>
      <c r="Q776" s="208"/>
      <c r="R776" s="208"/>
      <c r="S776" s="208"/>
      <c r="T776" s="208"/>
      <c r="U776" s="208"/>
      <c r="V776" s="208"/>
      <c r="W776" s="232"/>
      <c r="X776" s="232"/>
      <c r="Y776" s="232"/>
      <c r="Z776" s="232"/>
      <c r="AA776" s="232"/>
      <c r="AB776" s="232"/>
      <c r="AC776" s="232"/>
      <c r="AD776" s="232"/>
      <c r="AE776" s="232"/>
      <c r="AF776" s="232"/>
      <c r="AG776" s="208"/>
      <c r="AH776" s="208"/>
      <c r="AI776" s="208"/>
      <c r="AJ776" s="208"/>
      <c r="AK776" s="208"/>
    </row>
    <row r="777">
      <c r="A777" s="234"/>
      <c r="B777" s="208"/>
      <c r="C777" s="208"/>
      <c r="D777" s="208"/>
      <c r="E777" s="208"/>
      <c r="F777" s="208"/>
      <c r="G777" s="208"/>
      <c r="H777" s="208"/>
      <c r="I777" s="233"/>
      <c r="J777" s="208"/>
      <c r="K777" s="208"/>
      <c r="L777" s="208"/>
      <c r="M777" s="208"/>
      <c r="N777" s="208"/>
      <c r="O777" s="208"/>
      <c r="P777" s="208"/>
      <c r="Q777" s="208"/>
      <c r="R777" s="208"/>
      <c r="S777" s="208"/>
      <c r="T777" s="208"/>
      <c r="U777" s="208"/>
      <c r="V777" s="208"/>
      <c r="W777" s="232"/>
      <c r="X777" s="232"/>
      <c r="Y777" s="232"/>
      <c r="Z777" s="232"/>
      <c r="AA777" s="232"/>
      <c r="AB777" s="232"/>
      <c r="AC777" s="232"/>
      <c r="AD777" s="232"/>
      <c r="AE777" s="232"/>
      <c r="AF777" s="232"/>
      <c r="AG777" s="208"/>
      <c r="AH777" s="208"/>
      <c r="AI777" s="208"/>
      <c r="AJ777" s="208"/>
      <c r="AK777" s="208"/>
    </row>
    <row r="778">
      <c r="A778" s="234"/>
      <c r="B778" s="208"/>
      <c r="C778" s="208"/>
      <c r="D778" s="208"/>
      <c r="E778" s="208"/>
      <c r="F778" s="208"/>
      <c r="G778" s="208"/>
      <c r="H778" s="208"/>
      <c r="I778" s="233"/>
      <c r="J778" s="208"/>
      <c r="K778" s="208"/>
      <c r="L778" s="208"/>
      <c r="M778" s="208"/>
      <c r="N778" s="208"/>
      <c r="O778" s="208"/>
      <c r="P778" s="208"/>
      <c r="Q778" s="208"/>
      <c r="R778" s="208"/>
      <c r="S778" s="208"/>
      <c r="T778" s="208"/>
      <c r="U778" s="208"/>
      <c r="V778" s="208"/>
      <c r="W778" s="232"/>
      <c r="X778" s="232"/>
      <c r="Y778" s="232"/>
      <c r="Z778" s="232"/>
      <c r="AA778" s="232"/>
      <c r="AB778" s="232"/>
      <c r="AC778" s="232"/>
      <c r="AD778" s="232"/>
      <c r="AE778" s="232"/>
      <c r="AF778" s="232"/>
      <c r="AG778" s="208"/>
      <c r="AH778" s="208"/>
      <c r="AI778" s="208"/>
      <c r="AJ778" s="208"/>
      <c r="AK778" s="208"/>
    </row>
    <row r="779">
      <c r="A779" s="234"/>
      <c r="B779" s="208"/>
      <c r="C779" s="208"/>
      <c r="D779" s="208"/>
      <c r="E779" s="208"/>
      <c r="F779" s="208"/>
      <c r="G779" s="208"/>
      <c r="H779" s="208"/>
      <c r="I779" s="233"/>
      <c r="J779" s="208"/>
      <c r="K779" s="208"/>
      <c r="L779" s="208"/>
      <c r="M779" s="208"/>
      <c r="N779" s="208"/>
      <c r="O779" s="208"/>
      <c r="P779" s="208"/>
      <c r="Q779" s="208"/>
      <c r="R779" s="208"/>
      <c r="S779" s="208"/>
      <c r="T779" s="208"/>
      <c r="U779" s="208"/>
      <c r="V779" s="208"/>
      <c r="W779" s="232"/>
      <c r="X779" s="232"/>
      <c r="Y779" s="232"/>
      <c r="Z779" s="232"/>
      <c r="AA779" s="232"/>
      <c r="AB779" s="232"/>
      <c r="AC779" s="232"/>
      <c r="AD779" s="232"/>
      <c r="AE779" s="232"/>
      <c r="AF779" s="232"/>
      <c r="AG779" s="208"/>
      <c r="AH779" s="208"/>
      <c r="AI779" s="208"/>
      <c r="AJ779" s="208"/>
      <c r="AK779" s="208"/>
    </row>
    <row r="780">
      <c r="A780" s="234"/>
      <c r="B780" s="208"/>
      <c r="C780" s="208"/>
      <c r="D780" s="208"/>
      <c r="E780" s="208"/>
      <c r="F780" s="208"/>
      <c r="G780" s="208"/>
      <c r="H780" s="208"/>
      <c r="I780" s="233"/>
      <c r="J780" s="208"/>
      <c r="K780" s="208"/>
      <c r="L780" s="208"/>
      <c r="M780" s="208"/>
      <c r="N780" s="208"/>
      <c r="O780" s="208"/>
      <c r="P780" s="208"/>
      <c r="Q780" s="208"/>
      <c r="R780" s="208"/>
      <c r="S780" s="208"/>
      <c r="T780" s="208"/>
      <c r="U780" s="208"/>
      <c r="V780" s="208"/>
      <c r="W780" s="232"/>
      <c r="X780" s="232"/>
      <c r="Y780" s="232"/>
      <c r="Z780" s="232"/>
      <c r="AA780" s="232"/>
      <c r="AB780" s="232"/>
      <c r="AC780" s="232"/>
      <c r="AD780" s="232"/>
      <c r="AE780" s="232"/>
      <c r="AF780" s="232"/>
      <c r="AG780" s="208"/>
      <c r="AH780" s="208"/>
      <c r="AI780" s="208"/>
      <c r="AJ780" s="208"/>
      <c r="AK780" s="208"/>
    </row>
    <row r="781">
      <c r="A781" s="234"/>
      <c r="B781" s="208"/>
      <c r="C781" s="208"/>
      <c r="D781" s="208"/>
      <c r="E781" s="208"/>
      <c r="F781" s="208"/>
      <c r="G781" s="208"/>
      <c r="H781" s="208"/>
      <c r="I781" s="233"/>
      <c r="J781" s="208"/>
      <c r="K781" s="208"/>
      <c r="L781" s="208"/>
      <c r="M781" s="208"/>
      <c r="N781" s="208"/>
      <c r="O781" s="208"/>
      <c r="P781" s="208"/>
      <c r="Q781" s="208"/>
      <c r="R781" s="208"/>
      <c r="S781" s="208"/>
      <c r="T781" s="208"/>
      <c r="U781" s="208"/>
      <c r="V781" s="208"/>
      <c r="W781" s="232"/>
      <c r="X781" s="232"/>
      <c r="Y781" s="232"/>
      <c r="Z781" s="232"/>
      <c r="AA781" s="232"/>
      <c r="AB781" s="232"/>
      <c r="AC781" s="232"/>
      <c r="AD781" s="232"/>
      <c r="AE781" s="232"/>
      <c r="AF781" s="232"/>
      <c r="AG781" s="208"/>
      <c r="AH781" s="208"/>
      <c r="AI781" s="208"/>
      <c r="AJ781" s="208"/>
      <c r="AK781" s="208"/>
    </row>
    <row r="782">
      <c r="A782" s="234"/>
      <c r="B782" s="208"/>
      <c r="C782" s="208"/>
      <c r="D782" s="208"/>
      <c r="E782" s="208"/>
      <c r="F782" s="208"/>
      <c r="G782" s="208"/>
      <c r="H782" s="208"/>
      <c r="I782" s="233"/>
      <c r="J782" s="208"/>
      <c r="K782" s="208"/>
      <c r="L782" s="208"/>
      <c r="M782" s="208"/>
      <c r="N782" s="208"/>
      <c r="O782" s="208"/>
      <c r="P782" s="208"/>
      <c r="Q782" s="208"/>
      <c r="R782" s="208"/>
      <c r="S782" s="208"/>
      <c r="T782" s="208"/>
      <c r="U782" s="208"/>
      <c r="V782" s="208"/>
      <c r="W782" s="232"/>
      <c r="X782" s="232"/>
      <c r="Y782" s="232"/>
      <c r="Z782" s="232"/>
      <c r="AA782" s="232"/>
      <c r="AB782" s="232"/>
      <c r="AC782" s="232"/>
      <c r="AD782" s="232"/>
      <c r="AE782" s="232"/>
      <c r="AF782" s="232"/>
      <c r="AG782" s="208"/>
      <c r="AH782" s="208"/>
      <c r="AI782" s="208"/>
      <c r="AJ782" s="208"/>
      <c r="AK782" s="208"/>
    </row>
    <row r="783">
      <c r="A783" s="234"/>
      <c r="B783" s="208"/>
      <c r="C783" s="208"/>
      <c r="D783" s="208"/>
      <c r="E783" s="208"/>
      <c r="F783" s="208"/>
      <c r="G783" s="208"/>
      <c r="H783" s="208"/>
      <c r="I783" s="233"/>
      <c r="J783" s="208"/>
      <c r="K783" s="208"/>
      <c r="L783" s="208"/>
      <c r="M783" s="208"/>
      <c r="N783" s="208"/>
      <c r="O783" s="208"/>
      <c r="P783" s="208"/>
      <c r="Q783" s="208"/>
      <c r="R783" s="208"/>
      <c r="S783" s="208"/>
      <c r="T783" s="208"/>
      <c r="U783" s="208"/>
      <c r="V783" s="208"/>
      <c r="W783" s="232"/>
      <c r="X783" s="232"/>
      <c r="Y783" s="232"/>
      <c r="Z783" s="232"/>
      <c r="AA783" s="232"/>
      <c r="AB783" s="232"/>
      <c r="AC783" s="232"/>
      <c r="AD783" s="232"/>
      <c r="AE783" s="232"/>
      <c r="AF783" s="232"/>
      <c r="AG783" s="208"/>
      <c r="AH783" s="208"/>
      <c r="AI783" s="208"/>
      <c r="AJ783" s="208"/>
      <c r="AK783" s="208"/>
    </row>
    <row r="784">
      <c r="A784" s="234"/>
      <c r="B784" s="208"/>
      <c r="C784" s="208"/>
      <c r="D784" s="208"/>
      <c r="E784" s="208"/>
      <c r="F784" s="208"/>
      <c r="G784" s="208"/>
      <c r="H784" s="208"/>
      <c r="I784" s="233"/>
      <c r="J784" s="208"/>
      <c r="K784" s="208"/>
      <c r="L784" s="208"/>
      <c r="M784" s="208"/>
      <c r="N784" s="208"/>
      <c r="O784" s="208"/>
      <c r="P784" s="208"/>
      <c r="Q784" s="208"/>
      <c r="R784" s="208"/>
      <c r="S784" s="208"/>
      <c r="T784" s="208"/>
      <c r="U784" s="208"/>
      <c r="V784" s="208"/>
      <c r="W784" s="232"/>
      <c r="X784" s="232"/>
      <c r="Y784" s="232"/>
      <c r="Z784" s="232"/>
      <c r="AA784" s="232"/>
      <c r="AB784" s="232"/>
      <c r="AC784" s="232"/>
      <c r="AD784" s="232"/>
      <c r="AE784" s="232"/>
      <c r="AF784" s="232"/>
      <c r="AG784" s="208"/>
      <c r="AH784" s="208"/>
      <c r="AI784" s="208"/>
      <c r="AJ784" s="208"/>
      <c r="AK784" s="208"/>
    </row>
    <row r="785">
      <c r="A785" s="234"/>
      <c r="B785" s="208"/>
      <c r="C785" s="208"/>
      <c r="D785" s="208"/>
      <c r="E785" s="208"/>
      <c r="F785" s="208"/>
      <c r="G785" s="208"/>
      <c r="H785" s="208"/>
      <c r="I785" s="233"/>
      <c r="J785" s="208"/>
      <c r="K785" s="208"/>
      <c r="L785" s="208"/>
      <c r="M785" s="208"/>
      <c r="N785" s="208"/>
      <c r="O785" s="208"/>
      <c r="P785" s="208"/>
      <c r="Q785" s="208"/>
      <c r="R785" s="208"/>
      <c r="S785" s="208"/>
      <c r="T785" s="208"/>
      <c r="U785" s="208"/>
      <c r="V785" s="208"/>
      <c r="W785" s="232"/>
      <c r="X785" s="232"/>
      <c r="Y785" s="232"/>
      <c r="Z785" s="232"/>
      <c r="AA785" s="232"/>
      <c r="AB785" s="232"/>
      <c r="AC785" s="232"/>
      <c r="AD785" s="232"/>
      <c r="AE785" s="232"/>
      <c r="AF785" s="232"/>
      <c r="AG785" s="208"/>
      <c r="AH785" s="208"/>
      <c r="AI785" s="208"/>
      <c r="AJ785" s="208"/>
      <c r="AK785" s="208"/>
    </row>
    <row r="786">
      <c r="A786" s="234"/>
      <c r="B786" s="208"/>
      <c r="C786" s="208"/>
      <c r="D786" s="208"/>
      <c r="E786" s="208"/>
      <c r="F786" s="208"/>
      <c r="G786" s="208"/>
      <c r="H786" s="208"/>
      <c r="I786" s="233"/>
      <c r="J786" s="208"/>
      <c r="K786" s="208"/>
      <c r="L786" s="208"/>
      <c r="M786" s="208"/>
      <c r="N786" s="208"/>
      <c r="O786" s="208"/>
      <c r="P786" s="208"/>
      <c r="Q786" s="208"/>
      <c r="R786" s="208"/>
      <c r="S786" s="208"/>
      <c r="T786" s="208"/>
      <c r="U786" s="208"/>
      <c r="V786" s="208"/>
      <c r="W786" s="232"/>
      <c r="X786" s="232"/>
      <c r="Y786" s="232"/>
      <c r="Z786" s="232"/>
      <c r="AA786" s="232"/>
      <c r="AB786" s="232"/>
      <c r="AC786" s="232"/>
      <c r="AD786" s="232"/>
      <c r="AE786" s="232"/>
      <c r="AF786" s="232"/>
      <c r="AG786" s="208"/>
      <c r="AH786" s="208"/>
      <c r="AI786" s="208"/>
      <c r="AJ786" s="208"/>
      <c r="AK786" s="208"/>
    </row>
    <row r="787">
      <c r="A787" s="234"/>
      <c r="B787" s="208"/>
      <c r="C787" s="208"/>
      <c r="D787" s="208"/>
      <c r="E787" s="208"/>
      <c r="F787" s="208"/>
      <c r="G787" s="208"/>
      <c r="H787" s="208"/>
      <c r="I787" s="233"/>
      <c r="J787" s="208"/>
      <c r="K787" s="208"/>
      <c r="L787" s="208"/>
      <c r="M787" s="208"/>
      <c r="N787" s="208"/>
      <c r="O787" s="208"/>
      <c r="P787" s="208"/>
      <c r="Q787" s="208"/>
      <c r="R787" s="208"/>
      <c r="S787" s="208"/>
      <c r="T787" s="208"/>
      <c r="U787" s="208"/>
      <c r="V787" s="208"/>
      <c r="W787" s="232"/>
      <c r="X787" s="232"/>
      <c r="Y787" s="232"/>
      <c r="Z787" s="232"/>
      <c r="AA787" s="232"/>
      <c r="AB787" s="232"/>
      <c r="AC787" s="232"/>
      <c r="AD787" s="232"/>
      <c r="AE787" s="232"/>
      <c r="AF787" s="232"/>
      <c r="AG787" s="208"/>
      <c r="AH787" s="208"/>
      <c r="AI787" s="208"/>
      <c r="AJ787" s="208"/>
      <c r="AK787" s="208"/>
    </row>
    <row r="788">
      <c r="A788" s="234"/>
      <c r="B788" s="208"/>
      <c r="C788" s="208"/>
      <c r="D788" s="208"/>
      <c r="E788" s="208"/>
      <c r="F788" s="208"/>
      <c r="G788" s="208"/>
      <c r="H788" s="208"/>
      <c r="I788" s="233"/>
      <c r="J788" s="208"/>
      <c r="K788" s="208"/>
      <c r="L788" s="208"/>
      <c r="M788" s="208"/>
      <c r="N788" s="208"/>
      <c r="O788" s="208"/>
      <c r="P788" s="208"/>
      <c r="Q788" s="208"/>
      <c r="R788" s="208"/>
      <c r="S788" s="208"/>
      <c r="T788" s="208"/>
      <c r="U788" s="208"/>
      <c r="V788" s="208"/>
      <c r="W788" s="232"/>
      <c r="X788" s="232"/>
      <c r="Y788" s="232"/>
      <c r="Z788" s="232"/>
      <c r="AA788" s="232"/>
      <c r="AB788" s="232"/>
      <c r="AC788" s="232"/>
      <c r="AD788" s="232"/>
      <c r="AE788" s="232"/>
      <c r="AF788" s="232"/>
      <c r="AG788" s="208"/>
      <c r="AH788" s="208"/>
      <c r="AI788" s="208"/>
      <c r="AJ788" s="208"/>
      <c r="AK788" s="208"/>
    </row>
    <row r="789">
      <c r="A789" s="234"/>
      <c r="B789" s="208"/>
      <c r="C789" s="208"/>
      <c r="D789" s="208"/>
      <c r="E789" s="208"/>
      <c r="F789" s="208"/>
      <c r="G789" s="208"/>
      <c r="H789" s="208"/>
      <c r="I789" s="233"/>
      <c r="J789" s="208"/>
      <c r="K789" s="208"/>
      <c r="L789" s="208"/>
      <c r="M789" s="208"/>
      <c r="N789" s="208"/>
      <c r="O789" s="208"/>
      <c r="P789" s="208"/>
      <c r="Q789" s="208"/>
      <c r="R789" s="208"/>
      <c r="S789" s="208"/>
      <c r="T789" s="208"/>
      <c r="U789" s="208"/>
      <c r="V789" s="208"/>
      <c r="W789" s="232"/>
      <c r="X789" s="232"/>
      <c r="Y789" s="232"/>
      <c r="Z789" s="232"/>
      <c r="AA789" s="232"/>
      <c r="AB789" s="232"/>
      <c r="AC789" s="232"/>
      <c r="AD789" s="232"/>
      <c r="AE789" s="232"/>
      <c r="AF789" s="232"/>
      <c r="AG789" s="208"/>
      <c r="AH789" s="208"/>
      <c r="AI789" s="208"/>
      <c r="AJ789" s="208"/>
      <c r="AK789" s="208"/>
    </row>
    <row r="790">
      <c r="A790" s="234"/>
      <c r="B790" s="208"/>
      <c r="C790" s="208"/>
      <c r="D790" s="208"/>
      <c r="E790" s="208"/>
      <c r="F790" s="208"/>
      <c r="G790" s="208"/>
      <c r="H790" s="208"/>
      <c r="I790" s="233"/>
      <c r="J790" s="208"/>
      <c r="K790" s="208"/>
      <c r="L790" s="208"/>
      <c r="M790" s="208"/>
      <c r="N790" s="208"/>
      <c r="O790" s="208"/>
      <c r="P790" s="208"/>
      <c r="Q790" s="208"/>
      <c r="R790" s="208"/>
      <c r="S790" s="208"/>
      <c r="T790" s="208"/>
      <c r="U790" s="208"/>
      <c r="V790" s="208"/>
      <c r="W790" s="232"/>
      <c r="X790" s="232"/>
      <c r="Y790" s="232"/>
      <c r="Z790" s="232"/>
      <c r="AA790" s="232"/>
      <c r="AB790" s="232"/>
      <c r="AC790" s="232"/>
      <c r="AD790" s="232"/>
      <c r="AE790" s="232"/>
      <c r="AF790" s="232"/>
      <c r="AG790" s="208"/>
      <c r="AH790" s="208"/>
      <c r="AI790" s="208"/>
      <c r="AJ790" s="208"/>
      <c r="AK790" s="208"/>
    </row>
    <row r="791">
      <c r="A791" s="234"/>
      <c r="B791" s="208"/>
      <c r="C791" s="208"/>
      <c r="D791" s="208"/>
      <c r="E791" s="208"/>
      <c r="F791" s="208"/>
      <c r="G791" s="208"/>
      <c r="H791" s="208"/>
      <c r="I791" s="233"/>
      <c r="J791" s="208"/>
      <c r="K791" s="208"/>
      <c r="L791" s="208"/>
      <c r="M791" s="208"/>
      <c r="N791" s="208"/>
      <c r="O791" s="208"/>
      <c r="P791" s="208"/>
      <c r="Q791" s="208"/>
      <c r="R791" s="208"/>
      <c r="S791" s="208"/>
      <c r="T791" s="208"/>
      <c r="U791" s="208"/>
      <c r="V791" s="208"/>
      <c r="W791" s="232"/>
      <c r="X791" s="232"/>
      <c r="Y791" s="232"/>
      <c r="Z791" s="232"/>
      <c r="AA791" s="232"/>
      <c r="AB791" s="232"/>
      <c r="AC791" s="232"/>
      <c r="AD791" s="232"/>
      <c r="AE791" s="232"/>
      <c r="AF791" s="232"/>
      <c r="AG791" s="208"/>
      <c r="AH791" s="208"/>
      <c r="AI791" s="208"/>
      <c r="AJ791" s="208"/>
      <c r="AK791" s="208"/>
    </row>
    <row r="792">
      <c r="A792" s="234"/>
      <c r="B792" s="208"/>
      <c r="C792" s="208"/>
      <c r="D792" s="208"/>
      <c r="E792" s="208"/>
      <c r="F792" s="208"/>
      <c r="G792" s="208"/>
      <c r="H792" s="208"/>
      <c r="I792" s="233"/>
      <c r="J792" s="208"/>
      <c r="K792" s="208"/>
      <c r="L792" s="208"/>
      <c r="M792" s="208"/>
      <c r="N792" s="208"/>
      <c r="O792" s="208"/>
      <c r="P792" s="208"/>
      <c r="Q792" s="208"/>
      <c r="R792" s="208"/>
      <c r="S792" s="208"/>
      <c r="T792" s="208"/>
      <c r="U792" s="208"/>
      <c r="V792" s="208"/>
      <c r="W792" s="232"/>
      <c r="X792" s="232"/>
      <c r="Y792" s="232"/>
      <c r="Z792" s="232"/>
      <c r="AA792" s="232"/>
      <c r="AB792" s="232"/>
      <c r="AC792" s="232"/>
      <c r="AD792" s="232"/>
      <c r="AE792" s="232"/>
      <c r="AF792" s="232"/>
      <c r="AG792" s="208"/>
      <c r="AH792" s="208"/>
      <c r="AI792" s="208"/>
      <c r="AJ792" s="208"/>
      <c r="AK792" s="208"/>
    </row>
    <row r="793">
      <c r="A793" s="234"/>
      <c r="B793" s="208"/>
      <c r="C793" s="208"/>
      <c r="D793" s="208"/>
      <c r="E793" s="208"/>
      <c r="F793" s="208"/>
      <c r="G793" s="208"/>
      <c r="H793" s="208"/>
      <c r="I793" s="233"/>
      <c r="J793" s="208"/>
      <c r="K793" s="208"/>
      <c r="L793" s="208"/>
      <c r="M793" s="208"/>
      <c r="N793" s="208"/>
      <c r="O793" s="208"/>
      <c r="P793" s="208"/>
      <c r="Q793" s="208"/>
      <c r="R793" s="208"/>
      <c r="S793" s="208"/>
      <c r="T793" s="208"/>
      <c r="U793" s="208"/>
      <c r="V793" s="208"/>
      <c r="W793" s="232"/>
      <c r="X793" s="232"/>
      <c r="Y793" s="232"/>
      <c r="Z793" s="232"/>
      <c r="AA793" s="232"/>
      <c r="AB793" s="232"/>
      <c r="AC793" s="232"/>
      <c r="AD793" s="232"/>
      <c r="AE793" s="232"/>
      <c r="AF793" s="232"/>
      <c r="AG793" s="208"/>
      <c r="AH793" s="208"/>
      <c r="AI793" s="208"/>
      <c r="AJ793" s="208"/>
      <c r="AK793" s="208"/>
    </row>
    <row r="794">
      <c r="A794" s="234"/>
      <c r="B794" s="208"/>
      <c r="C794" s="208"/>
      <c r="D794" s="208"/>
      <c r="E794" s="208"/>
      <c r="F794" s="208"/>
      <c r="G794" s="208"/>
      <c r="H794" s="208"/>
      <c r="I794" s="233"/>
      <c r="J794" s="208"/>
      <c r="K794" s="208"/>
      <c r="L794" s="208"/>
      <c r="M794" s="208"/>
      <c r="N794" s="208"/>
      <c r="O794" s="208"/>
      <c r="P794" s="208"/>
      <c r="Q794" s="208"/>
      <c r="R794" s="208"/>
      <c r="S794" s="208"/>
      <c r="T794" s="208"/>
      <c r="U794" s="208"/>
      <c r="V794" s="208"/>
      <c r="W794" s="232"/>
      <c r="X794" s="232"/>
      <c r="Y794" s="232"/>
      <c r="Z794" s="232"/>
      <c r="AA794" s="232"/>
      <c r="AB794" s="232"/>
      <c r="AC794" s="232"/>
      <c r="AD794" s="232"/>
      <c r="AE794" s="232"/>
      <c r="AF794" s="232"/>
      <c r="AG794" s="208"/>
      <c r="AH794" s="208"/>
      <c r="AI794" s="208"/>
      <c r="AJ794" s="208"/>
      <c r="AK794" s="208"/>
    </row>
    <row r="795">
      <c r="A795" s="234"/>
      <c r="B795" s="208"/>
      <c r="C795" s="208"/>
      <c r="D795" s="208"/>
      <c r="E795" s="208"/>
      <c r="F795" s="208"/>
      <c r="G795" s="208"/>
      <c r="H795" s="208"/>
      <c r="I795" s="233"/>
      <c r="J795" s="208"/>
      <c r="K795" s="208"/>
      <c r="L795" s="208"/>
      <c r="M795" s="208"/>
      <c r="N795" s="208"/>
      <c r="O795" s="208"/>
      <c r="P795" s="208"/>
      <c r="Q795" s="208"/>
      <c r="R795" s="208"/>
      <c r="S795" s="208"/>
      <c r="T795" s="208"/>
      <c r="U795" s="208"/>
      <c r="V795" s="208"/>
      <c r="W795" s="232"/>
      <c r="X795" s="232"/>
      <c r="Y795" s="232"/>
      <c r="Z795" s="232"/>
      <c r="AA795" s="232"/>
      <c r="AB795" s="232"/>
      <c r="AC795" s="232"/>
      <c r="AD795" s="232"/>
      <c r="AE795" s="232"/>
      <c r="AF795" s="232"/>
      <c r="AG795" s="208"/>
      <c r="AH795" s="208"/>
      <c r="AI795" s="208"/>
      <c r="AJ795" s="208"/>
      <c r="AK795" s="208"/>
    </row>
    <row r="796">
      <c r="A796" s="234"/>
      <c r="B796" s="208"/>
      <c r="C796" s="208"/>
      <c r="D796" s="208"/>
      <c r="E796" s="208"/>
      <c r="F796" s="208"/>
      <c r="G796" s="208"/>
      <c r="H796" s="208"/>
      <c r="I796" s="233"/>
      <c r="J796" s="208"/>
      <c r="K796" s="208"/>
      <c r="L796" s="208"/>
      <c r="M796" s="208"/>
      <c r="N796" s="208"/>
      <c r="O796" s="208"/>
      <c r="P796" s="208"/>
      <c r="Q796" s="208"/>
      <c r="R796" s="208"/>
      <c r="S796" s="208"/>
      <c r="T796" s="208"/>
      <c r="U796" s="208"/>
      <c r="V796" s="208"/>
      <c r="W796" s="232"/>
      <c r="X796" s="232"/>
      <c r="Y796" s="232"/>
      <c r="Z796" s="232"/>
      <c r="AA796" s="232"/>
      <c r="AB796" s="232"/>
      <c r="AC796" s="232"/>
      <c r="AD796" s="232"/>
      <c r="AE796" s="232"/>
      <c r="AF796" s="232"/>
      <c r="AG796" s="208"/>
      <c r="AH796" s="208"/>
      <c r="AI796" s="208"/>
      <c r="AJ796" s="208"/>
      <c r="AK796" s="208"/>
    </row>
    <row r="797">
      <c r="A797" s="234"/>
      <c r="B797" s="208"/>
      <c r="C797" s="208"/>
      <c r="D797" s="208"/>
      <c r="E797" s="208"/>
      <c r="F797" s="208"/>
      <c r="G797" s="208"/>
      <c r="H797" s="208"/>
      <c r="I797" s="233"/>
      <c r="J797" s="208"/>
      <c r="K797" s="208"/>
      <c r="L797" s="208"/>
      <c r="M797" s="208"/>
      <c r="N797" s="208"/>
      <c r="O797" s="208"/>
      <c r="P797" s="208"/>
      <c r="Q797" s="208"/>
      <c r="R797" s="208"/>
      <c r="S797" s="208"/>
      <c r="T797" s="208"/>
      <c r="U797" s="208"/>
      <c r="V797" s="208"/>
      <c r="W797" s="232"/>
      <c r="X797" s="232"/>
      <c r="Y797" s="232"/>
      <c r="Z797" s="232"/>
      <c r="AA797" s="232"/>
      <c r="AB797" s="232"/>
      <c r="AC797" s="232"/>
      <c r="AD797" s="232"/>
      <c r="AE797" s="232"/>
      <c r="AF797" s="232"/>
      <c r="AG797" s="208"/>
      <c r="AH797" s="208"/>
      <c r="AI797" s="208"/>
      <c r="AJ797" s="208"/>
      <c r="AK797" s="208"/>
    </row>
    <row r="798">
      <c r="A798" s="234"/>
      <c r="B798" s="208"/>
      <c r="C798" s="208"/>
      <c r="D798" s="208"/>
      <c r="E798" s="208"/>
      <c r="F798" s="208"/>
      <c r="G798" s="208"/>
      <c r="H798" s="208"/>
      <c r="I798" s="233"/>
      <c r="J798" s="208"/>
      <c r="K798" s="208"/>
      <c r="L798" s="208"/>
      <c r="M798" s="208"/>
      <c r="N798" s="208"/>
      <c r="O798" s="208"/>
      <c r="P798" s="208"/>
      <c r="Q798" s="208"/>
      <c r="R798" s="208"/>
      <c r="S798" s="208"/>
      <c r="T798" s="208"/>
      <c r="U798" s="208"/>
      <c r="V798" s="208"/>
      <c r="W798" s="232"/>
      <c r="X798" s="232"/>
      <c r="Y798" s="232"/>
      <c r="Z798" s="232"/>
      <c r="AA798" s="232"/>
      <c r="AB798" s="232"/>
      <c r="AC798" s="232"/>
      <c r="AD798" s="232"/>
      <c r="AE798" s="232"/>
      <c r="AF798" s="232"/>
      <c r="AG798" s="208"/>
      <c r="AH798" s="208"/>
      <c r="AI798" s="208"/>
      <c r="AJ798" s="208"/>
      <c r="AK798" s="208"/>
    </row>
    <row r="799">
      <c r="A799" s="234"/>
      <c r="B799" s="208"/>
      <c r="C799" s="208"/>
      <c r="D799" s="208"/>
      <c r="E799" s="208"/>
      <c r="F799" s="208"/>
      <c r="G799" s="208"/>
      <c r="H799" s="208"/>
      <c r="I799" s="233"/>
      <c r="J799" s="208"/>
      <c r="K799" s="208"/>
      <c r="L799" s="208"/>
      <c r="M799" s="208"/>
      <c r="N799" s="208"/>
      <c r="O799" s="208"/>
      <c r="P799" s="208"/>
      <c r="Q799" s="208"/>
      <c r="R799" s="208"/>
      <c r="S799" s="208"/>
      <c r="T799" s="208"/>
      <c r="U799" s="208"/>
      <c r="V799" s="208"/>
      <c r="W799" s="232"/>
      <c r="X799" s="232"/>
      <c r="Y799" s="232"/>
      <c r="Z799" s="232"/>
      <c r="AA799" s="232"/>
      <c r="AB799" s="232"/>
      <c r="AC799" s="232"/>
      <c r="AD799" s="232"/>
      <c r="AE799" s="232"/>
      <c r="AF799" s="232"/>
      <c r="AG799" s="208"/>
      <c r="AH799" s="208"/>
      <c r="AI799" s="208"/>
      <c r="AJ799" s="208"/>
      <c r="AK799" s="208"/>
    </row>
    <row r="800">
      <c r="A800" s="234"/>
      <c r="B800" s="208"/>
      <c r="C800" s="208"/>
      <c r="D800" s="208"/>
      <c r="E800" s="208"/>
      <c r="F800" s="208"/>
      <c r="G800" s="208"/>
      <c r="H800" s="208"/>
      <c r="I800" s="233"/>
      <c r="J800" s="208"/>
      <c r="K800" s="208"/>
      <c r="L800" s="208"/>
      <c r="M800" s="208"/>
      <c r="N800" s="208"/>
      <c r="O800" s="208"/>
      <c r="P800" s="208"/>
      <c r="Q800" s="208"/>
      <c r="R800" s="208"/>
      <c r="S800" s="208"/>
      <c r="T800" s="208"/>
      <c r="U800" s="208"/>
      <c r="V800" s="208"/>
      <c r="W800" s="232"/>
      <c r="X800" s="232"/>
      <c r="Y800" s="232"/>
      <c r="Z800" s="232"/>
      <c r="AA800" s="232"/>
      <c r="AB800" s="232"/>
      <c r="AC800" s="232"/>
      <c r="AD800" s="232"/>
      <c r="AE800" s="232"/>
      <c r="AF800" s="232"/>
      <c r="AG800" s="208"/>
      <c r="AH800" s="208"/>
      <c r="AI800" s="208"/>
      <c r="AJ800" s="208"/>
      <c r="AK800" s="208"/>
    </row>
    <row r="801">
      <c r="A801" s="234"/>
      <c r="B801" s="208"/>
      <c r="C801" s="208"/>
      <c r="D801" s="208"/>
      <c r="E801" s="208"/>
      <c r="F801" s="208"/>
      <c r="G801" s="208"/>
      <c r="H801" s="208"/>
      <c r="I801" s="233"/>
      <c r="J801" s="208"/>
      <c r="K801" s="208"/>
      <c r="L801" s="208"/>
      <c r="M801" s="208"/>
      <c r="N801" s="208"/>
      <c r="O801" s="208"/>
      <c r="P801" s="208"/>
      <c r="Q801" s="208"/>
      <c r="R801" s="208"/>
      <c r="S801" s="208"/>
      <c r="T801" s="208"/>
      <c r="U801" s="208"/>
      <c r="V801" s="208"/>
      <c r="W801" s="232"/>
      <c r="X801" s="232"/>
      <c r="Y801" s="232"/>
      <c r="Z801" s="232"/>
      <c r="AA801" s="232"/>
      <c r="AB801" s="232"/>
      <c r="AC801" s="232"/>
      <c r="AD801" s="232"/>
      <c r="AE801" s="232"/>
      <c r="AF801" s="232"/>
      <c r="AG801" s="208"/>
      <c r="AH801" s="208"/>
      <c r="AI801" s="208"/>
      <c r="AJ801" s="208"/>
      <c r="AK801" s="208"/>
    </row>
    <row r="802">
      <c r="A802" s="234"/>
      <c r="B802" s="208"/>
      <c r="C802" s="208"/>
      <c r="D802" s="208"/>
      <c r="E802" s="208"/>
      <c r="F802" s="208"/>
      <c r="G802" s="208"/>
      <c r="H802" s="208"/>
      <c r="I802" s="233"/>
      <c r="J802" s="208"/>
      <c r="K802" s="208"/>
      <c r="L802" s="208"/>
      <c r="M802" s="208"/>
      <c r="N802" s="208"/>
      <c r="O802" s="208"/>
      <c r="P802" s="208"/>
      <c r="Q802" s="208"/>
      <c r="R802" s="208"/>
      <c r="S802" s="208"/>
      <c r="T802" s="208"/>
      <c r="U802" s="208"/>
      <c r="V802" s="208"/>
      <c r="W802" s="232"/>
      <c r="X802" s="232"/>
      <c r="Y802" s="232"/>
      <c r="Z802" s="232"/>
      <c r="AA802" s="232"/>
      <c r="AB802" s="232"/>
      <c r="AC802" s="232"/>
      <c r="AD802" s="232"/>
      <c r="AE802" s="232"/>
      <c r="AF802" s="232"/>
      <c r="AG802" s="208"/>
      <c r="AH802" s="208"/>
      <c r="AI802" s="208"/>
      <c r="AJ802" s="208"/>
      <c r="AK802" s="208"/>
    </row>
    <row r="803">
      <c r="A803" s="234"/>
      <c r="B803" s="208"/>
      <c r="C803" s="208"/>
      <c r="D803" s="208"/>
      <c r="E803" s="208"/>
      <c r="F803" s="208"/>
      <c r="G803" s="208"/>
      <c r="H803" s="208"/>
      <c r="I803" s="233"/>
      <c r="J803" s="208"/>
      <c r="K803" s="208"/>
      <c r="L803" s="208"/>
      <c r="M803" s="208"/>
      <c r="N803" s="208"/>
      <c r="O803" s="208"/>
      <c r="P803" s="208"/>
      <c r="Q803" s="208"/>
      <c r="R803" s="208"/>
      <c r="S803" s="208"/>
      <c r="T803" s="208"/>
      <c r="U803" s="208"/>
      <c r="V803" s="208"/>
      <c r="W803" s="232"/>
      <c r="X803" s="232"/>
      <c r="Y803" s="232"/>
      <c r="Z803" s="232"/>
      <c r="AA803" s="232"/>
      <c r="AB803" s="232"/>
      <c r="AC803" s="232"/>
      <c r="AD803" s="232"/>
      <c r="AE803" s="232"/>
      <c r="AF803" s="232"/>
      <c r="AG803" s="208"/>
      <c r="AH803" s="208"/>
      <c r="AI803" s="208"/>
      <c r="AJ803" s="208"/>
      <c r="AK803" s="208"/>
    </row>
    <row r="804">
      <c r="A804" s="234"/>
      <c r="B804" s="208"/>
      <c r="C804" s="208"/>
      <c r="D804" s="208"/>
      <c r="E804" s="208"/>
      <c r="F804" s="208"/>
      <c r="G804" s="208"/>
      <c r="H804" s="208"/>
      <c r="I804" s="233"/>
      <c r="J804" s="208"/>
      <c r="K804" s="208"/>
      <c r="L804" s="208"/>
      <c r="M804" s="208"/>
      <c r="N804" s="208"/>
      <c r="O804" s="208"/>
      <c r="P804" s="208"/>
      <c r="Q804" s="208"/>
      <c r="R804" s="208"/>
      <c r="S804" s="208"/>
      <c r="T804" s="208"/>
      <c r="U804" s="208"/>
      <c r="V804" s="208"/>
      <c r="W804" s="232"/>
      <c r="X804" s="232"/>
      <c r="Y804" s="232"/>
      <c r="Z804" s="232"/>
      <c r="AA804" s="232"/>
      <c r="AB804" s="232"/>
      <c r="AC804" s="232"/>
      <c r="AD804" s="232"/>
      <c r="AE804" s="232"/>
      <c r="AF804" s="232"/>
      <c r="AG804" s="208"/>
      <c r="AH804" s="208"/>
      <c r="AI804" s="208"/>
      <c r="AJ804" s="208"/>
      <c r="AK804" s="208"/>
    </row>
    <row r="805">
      <c r="A805" s="234"/>
      <c r="B805" s="208"/>
      <c r="C805" s="208"/>
      <c r="D805" s="208"/>
      <c r="E805" s="208"/>
      <c r="F805" s="208"/>
      <c r="G805" s="208"/>
      <c r="H805" s="208"/>
      <c r="I805" s="233"/>
      <c r="J805" s="208"/>
      <c r="K805" s="208"/>
      <c r="L805" s="208"/>
      <c r="M805" s="208"/>
      <c r="N805" s="208"/>
      <c r="O805" s="208"/>
      <c r="P805" s="208"/>
      <c r="Q805" s="208"/>
      <c r="R805" s="208"/>
      <c r="S805" s="208"/>
      <c r="T805" s="208"/>
      <c r="U805" s="208"/>
      <c r="V805" s="208"/>
      <c r="W805" s="232"/>
      <c r="X805" s="232"/>
      <c r="Y805" s="232"/>
      <c r="Z805" s="232"/>
      <c r="AA805" s="232"/>
      <c r="AB805" s="232"/>
      <c r="AC805" s="232"/>
      <c r="AD805" s="232"/>
      <c r="AE805" s="232"/>
      <c r="AF805" s="232"/>
      <c r="AG805" s="208"/>
      <c r="AH805" s="208"/>
      <c r="AI805" s="208"/>
      <c r="AJ805" s="208"/>
      <c r="AK805" s="208"/>
    </row>
    <row r="806">
      <c r="A806" s="234"/>
      <c r="B806" s="208"/>
      <c r="C806" s="208"/>
      <c r="D806" s="208"/>
      <c r="E806" s="208"/>
      <c r="F806" s="208"/>
      <c r="G806" s="208"/>
      <c r="H806" s="208"/>
      <c r="I806" s="233"/>
      <c r="J806" s="208"/>
      <c r="K806" s="208"/>
      <c r="L806" s="208"/>
      <c r="M806" s="208"/>
      <c r="N806" s="208"/>
      <c r="O806" s="208"/>
      <c r="P806" s="208"/>
      <c r="Q806" s="208"/>
      <c r="R806" s="208"/>
      <c r="S806" s="208"/>
      <c r="T806" s="208"/>
      <c r="U806" s="208"/>
      <c r="V806" s="208"/>
      <c r="W806" s="232"/>
      <c r="X806" s="232"/>
      <c r="Y806" s="232"/>
      <c r="Z806" s="232"/>
      <c r="AA806" s="232"/>
      <c r="AB806" s="232"/>
      <c r="AC806" s="232"/>
      <c r="AD806" s="232"/>
      <c r="AE806" s="232"/>
      <c r="AF806" s="232"/>
      <c r="AG806" s="208"/>
      <c r="AH806" s="208"/>
      <c r="AI806" s="208"/>
      <c r="AJ806" s="208"/>
      <c r="AK806" s="208"/>
    </row>
    <row r="807">
      <c r="A807" s="234"/>
      <c r="B807" s="208"/>
      <c r="C807" s="208"/>
      <c r="D807" s="208"/>
      <c r="E807" s="208"/>
      <c r="F807" s="208"/>
      <c r="G807" s="208"/>
      <c r="H807" s="208"/>
      <c r="I807" s="233"/>
      <c r="J807" s="208"/>
      <c r="K807" s="208"/>
      <c r="L807" s="208"/>
      <c r="M807" s="208"/>
      <c r="N807" s="208"/>
      <c r="O807" s="208"/>
      <c r="P807" s="208"/>
      <c r="Q807" s="208"/>
      <c r="R807" s="208"/>
      <c r="S807" s="208"/>
      <c r="T807" s="208"/>
      <c r="U807" s="208"/>
      <c r="V807" s="208"/>
      <c r="W807" s="232"/>
      <c r="X807" s="232"/>
      <c r="Y807" s="232"/>
      <c r="Z807" s="232"/>
      <c r="AA807" s="232"/>
      <c r="AB807" s="232"/>
      <c r="AC807" s="232"/>
      <c r="AD807" s="232"/>
      <c r="AE807" s="232"/>
      <c r="AF807" s="232"/>
      <c r="AG807" s="208"/>
      <c r="AH807" s="208"/>
      <c r="AI807" s="208"/>
      <c r="AJ807" s="208"/>
      <c r="AK807" s="208"/>
    </row>
    <row r="808">
      <c r="A808" s="234"/>
      <c r="B808" s="208"/>
      <c r="C808" s="208"/>
      <c r="D808" s="208"/>
      <c r="E808" s="208"/>
      <c r="F808" s="208"/>
      <c r="G808" s="208"/>
      <c r="H808" s="208"/>
      <c r="I808" s="233"/>
      <c r="J808" s="208"/>
      <c r="K808" s="208"/>
      <c r="L808" s="208"/>
      <c r="M808" s="208"/>
      <c r="N808" s="208"/>
      <c r="O808" s="208"/>
      <c r="P808" s="208"/>
      <c r="Q808" s="208"/>
      <c r="R808" s="208"/>
      <c r="S808" s="208"/>
      <c r="T808" s="208"/>
      <c r="U808" s="208"/>
      <c r="V808" s="208"/>
      <c r="W808" s="232"/>
      <c r="X808" s="232"/>
      <c r="Y808" s="232"/>
      <c r="Z808" s="232"/>
      <c r="AA808" s="232"/>
      <c r="AB808" s="232"/>
      <c r="AC808" s="232"/>
      <c r="AD808" s="232"/>
      <c r="AE808" s="232"/>
      <c r="AF808" s="232"/>
      <c r="AG808" s="208"/>
      <c r="AH808" s="208"/>
      <c r="AI808" s="208"/>
      <c r="AJ808" s="208"/>
      <c r="AK808" s="208"/>
    </row>
    <row r="809">
      <c r="A809" s="234"/>
      <c r="B809" s="208"/>
      <c r="C809" s="208"/>
      <c r="D809" s="208"/>
      <c r="E809" s="208"/>
      <c r="F809" s="208"/>
      <c r="G809" s="208"/>
      <c r="H809" s="208"/>
      <c r="I809" s="233"/>
      <c r="J809" s="208"/>
      <c r="K809" s="208"/>
      <c r="L809" s="208"/>
      <c r="M809" s="208"/>
      <c r="N809" s="208"/>
      <c r="O809" s="208"/>
      <c r="P809" s="208"/>
      <c r="Q809" s="208"/>
      <c r="R809" s="208"/>
      <c r="S809" s="208"/>
      <c r="T809" s="208"/>
      <c r="U809" s="208"/>
      <c r="V809" s="208"/>
      <c r="W809" s="232"/>
      <c r="X809" s="232"/>
      <c r="Y809" s="232"/>
      <c r="Z809" s="232"/>
      <c r="AA809" s="232"/>
      <c r="AB809" s="232"/>
      <c r="AC809" s="232"/>
      <c r="AD809" s="232"/>
      <c r="AE809" s="232"/>
      <c r="AF809" s="232"/>
      <c r="AG809" s="208"/>
      <c r="AH809" s="208"/>
      <c r="AI809" s="208"/>
      <c r="AJ809" s="208"/>
      <c r="AK809" s="208"/>
    </row>
    <row r="810">
      <c r="A810" s="234"/>
      <c r="B810" s="208"/>
      <c r="C810" s="208"/>
      <c r="D810" s="208"/>
      <c r="E810" s="208"/>
      <c r="F810" s="208"/>
      <c r="G810" s="208"/>
      <c r="H810" s="208"/>
      <c r="I810" s="233"/>
      <c r="J810" s="208"/>
      <c r="K810" s="208"/>
      <c r="L810" s="208"/>
      <c r="M810" s="208"/>
      <c r="N810" s="208"/>
      <c r="O810" s="208"/>
      <c r="P810" s="208"/>
      <c r="Q810" s="208"/>
      <c r="R810" s="208"/>
      <c r="S810" s="208"/>
      <c r="T810" s="208"/>
      <c r="U810" s="208"/>
      <c r="V810" s="208"/>
      <c r="W810" s="232"/>
      <c r="X810" s="232"/>
      <c r="Y810" s="232"/>
      <c r="Z810" s="232"/>
      <c r="AA810" s="232"/>
      <c r="AB810" s="232"/>
      <c r="AC810" s="232"/>
      <c r="AD810" s="232"/>
      <c r="AE810" s="232"/>
      <c r="AF810" s="232"/>
      <c r="AG810" s="208"/>
      <c r="AH810" s="208"/>
      <c r="AI810" s="208"/>
      <c r="AJ810" s="208"/>
      <c r="AK810" s="208"/>
    </row>
    <row r="811">
      <c r="A811" s="234"/>
      <c r="B811" s="208"/>
      <c r="C811" s="208"/>
      <c r="D811" s="208"/>
      <c r="E811" s="208"/>
      <c r="F811" s="208"/>
      <c r="G811" s="208"/>
      <c r="H811" s="208"/>
      <c r="I811" s="233"/>
      <c r="J811" s="208"/>
      <c r="K811" s="208"/>
      <c r="L811" s="208"/>
      <c r="M811" s="208"/>
      <c r="N811" s="208"/>
      <c r="O811" s="208"/>
      <c r="P811" s="208"/>
      <c r="Q811" s="208"/>
      <c r="R811" s="208"/>
      <c r="S811" s="208"/>
      <c r="T811" s="208"/>
      <c r="U811" s="208"/>
      <c r="V811" s="208"/>
      <c r="W811" s="232"/>
      <c r="X811" s="232"/>
      <c r="Y811" s="232"/>
      <c r="Z811" s="232"/>
      <c r="AA811" s="232"/>
      <c r="AB811" s="232"/>
      <c r="AC811" s="232"/>
      <c r="AD811" s="232"/>
      <c r="AE811" s="232"/>
      <c r="AF811" s="232"/>
      <c r="AG811" s="208"/>
      <c r="AH811" s="208"/>
      <c r="AI811" s="208"/>
      <c r="AJ811" s="208"/>
      <c r="AK811" s="208"/>
    </row>
    <row r="812">
      <c r="A812" s="234"/>
      <c r="B812" s="208"/>
      <c r="C812" s="208"/>
      <c r="D812" s="208"/>
      <c r="E812" s="208"/>
      <c r="F812" s="208"/>
      <c r="G812" s="208"/>
      <c r="H812" s="208"/>
      <c r="I812" s="233"/>
      <c r="J812" s="208"/>
      <c r="K812" s="208"/>
      <c r="L812" s="208"/>
      <c r="M812" s="208"/>
      <c r="N812" s="208"/>
      <c r="O812" s="208"/>
      <c r="P812" s="208"/>
      <c r="Q812" s="208"/>
      <c r="R812" s="208"/>
      <c r="S812" s="208"/>
      <c r="T812" s="208"/>
      <c r="U812" s="208"/>
      <c r="V812" s="208"/>
      <c r="W812" s="232"/>
      <c r="X812" s="232"/>
      <c r="Y812" s="232"/>
      <c r="Z812" s="232"/>
      <c r="AA812" s="232"/>
      <c r="AB812" s="232"/>
      <c r="AC812" s="232"/>
      <c r="AD812" s="232"/>
      <c r="AE812" s="232"/>
      <c r="AF812" s="232"/>
      <c r="AG812" s="208"/>
      <c r="AH812" s="208"/>
      <c r="AI812" s="208"/>
      <c r="AJ812" s="208"/>
      <c r="AK812" s="208"/>
    </row>
    <row r="813">
      <c r="A813" s="234"/>
      <c r="B813" s="208"/>
      <c r="C813" s="208"/>
      <c r="D813" s="208"/>
      <c r="E813" s="208"/>
      <c r="F813" s="208"/>
      <c r="G813" s="208"/>
      <c r="H813" s="208"/>
      <c r="I813" s="233"/>
      <c r="J813" s="208"/>
      <c r="K813" s="208"/>
      <c r="L813" s="208"/>
      <c r="M813" s="208"/>
      <c r="N813" s="208"/>
      <c r="O813" s="208"/>
      <c r="P813" s="208"/>
      <c r="Q813" s="208"/>
      <c r="R813" s="208"/>
      <c r="S813" s="208"/>
      <c r="T813" s="208"/>
      <c r="U813" s="208"/>
      <c r="V813" s="208"/>
      <c r="W813" s="232"/>
      <c r="X813" s="232"/>
      <c r="Y813" s="232"/>
      <c r="Z813" s="232"/>
      <c r="AA813" s="232"/>
      <c r="AB813" s="232"/>
      <c r="AC813" s="232"/>
      <c r="AD813" s="232"/>
      <c r="AE813" s="232"/>
      <c r="AF813" s="232"/>
      <c r="AG813" s="208"/>
      <c r="AH813" s="208"/>
      <c r="AI813" s="208"/>
      <c r="AJ813" s="208"/>
      <c r="AK813" s="208"/>
    </row>
    <row r="814">
      <c r="A814" s="234"/>
      <c r="B814" s="208"/>
      <c r="C814" s="208"/>
      <c r="D814" s="208"/>
      <c r="E814" s="208"/>
      <c r="F814" s="208"/>
      <c r="G814" s="208"/>
      <c r="H814" s="208"/>
      <c r="I814" s="233"/>
      <c r="J814" s="208"/>
      <c r="K814" s="208"/>
      <c r="L814" s="208"/>
      <c r="M814" s="208"/>
      <c r="N814" s="208"/>
      <c r="O814" s="208"/>
      <c r="P814" s="208"/>
      <c r="Q814" s="208"/>
      <c r="R814" s="208"/>
      <c r="S814" s="208"/>
      <c r="T814" s="208"/>
      <c r="U814" s="208"/>
      <c r="V814" s="208"/>
      <c r="W814" s="232"/>
      <c r="X814" s="232"/>
      <c r="Y814" s="232"/>
      <c r="Z814" s="232"/>
      <c r="AA814" s="232"/>
      <c r="AB814" s="232"/>
      <c r="AC814" s="232"/>
      <c r="AD814" s="232"/>
      <c r="AE814" s="232"/>
      <c r="AF814" s="232"/>
      <c r="AG814" s="208"/>
      <c r="AH814" s="208"/>
      <c r="AI814" s="208"/>
      <c r="AJ814" s="208"/>
      <c r="AK814" s="208"/>
    </row>
    <row r="815">
      <c r="A815" s="234"/>
      <c r="B815" s="208"/>
      <c r="C815" s="208"/>
      <c r="D815" s="208"/>
      <c r="E815" s="208"/>
      <c r="F815" s="208"/>
      <c r="G815" s="208"/>
      <c r="H815" s="208"/>
      <c r="I815" s="233"/>
      <c r="J815" s="208"/>
      <c r="K815" s="208"/>
      <c r="L815" s="208"/>
      <c r="M815" s="208"/>
      <c r="N815" s="208"/>
      <c r="O815" s="208"/>
      <c r="P815" s="208"/>
      <c r="Q815" s="208"/>
      <c r="R815" s="208"/>
      <c r="S815" s="208"/>
      <c r="T815" s="208"/>
      <c r="U815" s="208"/>
      <c r="V815" s="208"/>
      <c r="W815" s="232"/>
      <c r="X815" s="232"/>
      <c r="Y815" s="232"/>
      <c r="Z815" s="232"/>
      <c r="AA815" s="232"/>
      <c r="AB815" s="232"/>
      <c r="AC815" s="232"/>
      <c r="AD815" s="232"/>
      <c r="AE815" s="232"/>
      <c r="AF815" s="232"/>
      <c r="AG815" s="208"/>
      <c r="AH815" s="208"/>
      <c r="AI815" s="208"/>
      <c r="AJ815" s="208"/>
      <c r="AK815" s="208"/>
    </row>
    <row r="816">
      <c r="A816" s="234"/>
      <c r="B816" s="208"/>
      <c r="C816" s="208"/>
      <c r="D816" s="208"/>
      <c r="E816" s="208"/>
      <c r="F816" s="208"/>
      <c r="G816" s="208"/>
      <c r="H816" s="208"/>
      <c r="I816" s="233"/>
      <c r="J816" s="208"/>
      <c r="K816" s="208"/>
      <c r="L816" s="208"/>
      <c r="M816" s="208"/>
      <c r="N816" s="208"/>
      <c r="O816" s="208"/>
      <c r="P816" s="208"/>
      <c r="Q816" s="208"/>
      <c r="R816" s="208"/>
      <c r="S816" s="208"/>
      <c r="T816" s="208"/>
      <c r="U816" s="208"/>
      <c r="V816" s="208"/>
      <c r="W816" s="232"/>
      <c r="X816" s="232"/>
      <c r="Y816" s="232"/>
      <c r="Z816" s="232"/>
      <c r="AA816" s="232"/>
      <c r="AB816" s="232"/>
      <c r="AC816" s="232"/>
      <c r="AD816" s="232"/>
      <c r="AE816" s="232"/>
      <c r="AF816" s="232"/>
      <c r="AG816" s="208"/>
      <c r="AH816" s="208"/>
      <c r="AI816" s="208"/>
      <c r="AJ816" s="208"/>
      <c r="AK816" s="208"/>
    </row>
    <row r="817">
      <c r="A817" s="234"/>
      <c r="B817" s="208"/>
      <c r="C817" s="208"/>
      <c r="D817" s="208"/>
      <c r="E817" s="208"/>
      <c r="F817" s="208"/>
      <c r="G817" s="208"/>
      <c r="H817" s="208"/>
      <c r="I817" s="233"/>
      <c r="J817" s="208"/>
      <c r="K817" s="208"/>
      <c r="L817" s="208"/>
      <c r="M817" s="208"/>
      <c r="N817" s="208"/>
      <c r="O817" s="208"/>
      <c r="P817" s="208"/>
      <c r="Q817" s="208"/>
      <c r="R817" s="208"/>
      <c r="S817" s="208"/>
      <c r="T817" s="208"/>
      <c r="U817" s="208"/>
      <c r="V817" s="208"/>
      <c r="W817" s="232"/>
      <c r="X817" s="232"/>
      <c r="Y817" s="232"/>
      <c r="Z817" s="232"/>
      <c r="AA817" s="232"/>
      <c r="AB817" s="232"/>
      <c r="AC817" s="232"/>
      <c r="AD817" s="232"/>
      <c r="AE817" s="232"/>
      <c r="AF817" s="232"/>
      <c r="AG817" s="208"/>
      <c r="AH817" s="208"/>
      <c r="AI817" s="208"/>
      <c r="AJ817" s="208"/>
      <c r="AK817" s="208"/>
    </row>
    <row r="818">
      <c r="A818" s="234"/>
      <c r="B818" s="208"/>
      <c r="C818" s="208"/>
      <c r="D818" s="208"/>
      <c r="E818" s="208"/>
      <c r="F818" s="208"/>
      <c r="G818" s="208"/>
      <c r="H818" s="208"/>
      <c r="I818" s="233"/>
      <c r="J818" s="208"/>
      <c r="K818" s="208"/>
      <c r="L818" s="208"/>
      <c r="M818" s="208"/>
      <c r="N818" s="208"/>
      <c r="O818" s="208"/>
      <c r="P818" s="208"/>
      <c r="Q818" s="208"/>
      <c r="R818" s="208"/>
      <c r="S818" s="208"/>
      <c r="T818" s="208"/>
      <c r="U818" s="208"/>
      <c r="V818" s="208"/>
      <c r="W818" s="232"/>
      <c r="X818" s="232"/>
      <c r="Y818" s="232"/>
      <c r="Z818" s="232"/>
      <c r="AA818" s="232"/>
      <c r="AB818" s="232"/>
      <c r="AC818" s="232"/>
      <c r="AD818" s="232"/>
      <c r="AE818" s="232"/>
      <c r="AF818" s="232"/>
      <c r="AG818" s="208"/>
      <c r="AH818" s="208"/>
      <c r="AI818" s="208"/>
      <c r="AJ818" s="208"/>
      <c r="AK818" s="208"/>
    </row>
    <row r="819">
      <c r="A819" s="234"/>
      <c r="B819" s="208"/>
      <c r="C819" s="208"/>
      <c r="D819" s="208"/>
      <c r="E819" s="208"/>
      <c r="F819" s="208"/>
      <c r="G819" s="208"/>
      <c r="H819" s="208"/>
      <c r="I819" s="233"/>
      <c r="J819" s="208"/>
      <c r="K819" s="208"/>
      <c r="L819" s="208"/>
      <c r="M819" s="208"/>
      <c r="N819" s="208"/>
      <c r="O819" s="208"/>
      <c r="P819" s="208"/>
      <c r="Q819" s="208"/>
      <c r="R819" s="208"/>
      <c r="S819" s="208"/>
      <c r="T819" s="208"/>
      <c r="U819" s="208"/>
      <c r="V819" s="208"/>
      <c r="W819" s="232"/>
      <c r="X819" s="232"/>
      <c r="Y819" s="232"/>
      <c r="Z819" s="232"/>
      <c r="AA819" s="232"/>
      <c r="AB819" s="232"/>
      <c r="AC819" s="232"/>
      <c r="AD819" s="232"/>
      <c r="AE819" s="232"/>
      <c r="AF819" s="232"/>
      <c r="AG819" s="208"/>
      <c r="AH819" s="208"/>
      <c r="AI819" s="208"/>
      <c r="AJ819" s="208"/>
      <c r="AK819" s="208"/>
    </row>
    <row r="820">
      <c r="A820" s="234"/>
      <c r="B820" s="208"/>
      <c r="C820" s="208"/>
      <c r="D820" s="208"/>
      <c r="E820" s="208"/>
      <c r="F820" s="208"/>
      <c r="G820" s="208"/>
      <c r="H820" s="208"/>
      <c r="I820" s="233"/>
      <c r="J820" s="208"/>
      <c r="K820" s="208"/>
      <c r="L820" s="208"/>
      <c r="M820" s="208"/>
      <c r="N820" s="208"/>
      <c r="O820" s="208"/>
      <c r="P820" s="208"/>
      <c r="Q820" s="208"/>
      <c r="R820" s="208"/>
      <c r="S820" s="208"/>
      <c r="T820" s="208"/>
      <c r="U820" s="208"/>
      <c r="V820" s="208"/>
      <c r="W820" s="232"/>
      <c r="X820" s="232"/>
      <c r="Y820" s="232"/>
      <c r="Z820" s="232"/>
      <c r="AA820" s="232"/>
      <c r="AB820" s="232"/>
      <c r="AC820" s="232"/>
      <c r="AD820" s="232"/>
      <c r="AE820" s="232"/>
      <c r="AF820" s="232"/>
      <c r="AG820" s="208"/>
      <c r="AH820" s="208"/>
      <c r="AI820" s="208"/>
      <c r="AJ820" s="208"/>
      <c r="AK820" s="208"/>
    </row>
    <row r="821">
      <c r="A821" s="234"/>
      <c r="B821" s="208"/>
      <c r="C821" s="208"/>
      <c r="D821" s="208"/>
      <c r="E821" s="208"/>
      <c r="F821" s="208"/>
      <c r="G821" s="208"/>
      <c r="H821" s="208"/>
      <c r="I821" s="233"/>
      <c r="J821" s="208"/>
      <c r="K821" s="208"/>
      <c r="L821" s="208"/>
      <c r="M821" s="208"/>
      <c r="N821" s="208"/>
      <c r="O821" s="208"/>
      <c r="P821" s="208"/>
      <c r="Q821" s="208"/>
      <c r="R821" s="208"/>
      <c r="S821" s="208"/>
      <c r="T821" s="208"/>
      <c r="U821" s="208"/>
      <c r="V821" s="208"/>
      <c r="W821" s="232"/>
      <c r="X821" s="232"/>
      <c r="Y821" s="232"/>
      <c r="Z821" s="232"/>
      <c r="AA821" s="232"/>
      <c r="AB821" s="232"/>
      <c r="AC821" s="232"/>
      <c r="AD821" s="232"/>
      <c r="AE821" s="232"/>
      <c r="AF821" s="232"/>
      <c r="AG821" s="208"/>
      <c r="AH821" s="208"/>
      <c r="AI821" s="208"/>
      <c r="AJ821" s="208"/>
      <c r="AK821" s="208"/>
    </row>
    <row r="822">
      <c r="A822" s="234"/>
      <c r="B822" s="208"/>
      <c r="C822" s="208"/>
      <c r="D822" s="208"/>
      <c r="E822" s="208"/>
      <c r="F822" s="208"/>
      <c r="G822" s="208"/>
      <c r="H822" s="208"/>
      <c r="I822" s="233"/>
      <c r="J822" s="208"/>
      <c r="K822" s="208"/>
      <c r="L822" s="208"/>
      <c r="M822" s="208"/>
      <c r="N822" s="208"/>
      <c r="O822" s="208"/>
      <c r="P822" s="208"/>
      <c r="Q822" s="208"/>
      <c r="R822" s="208"/>
      <c r="S822" s="208"/>
      <c r="T822" s="208"/>
      <c r="U822" s="208"/>
      <c r="V822" s="208"/>
      <c r="W822" s="232"/>
      <c r="X822" s="232"/>
      <c r="Y822" s="232"/>
      <c r="Z822" s="232"/>
      <c r="AA822" s="232"/>
      <c r="AB822" s="232"/>
      <c r="AC822" s="232"/>
      <c r="AD822" s="232"/>
      <c r="AE822" s="232"/>
      <c r="AF822" s="232"/>
      <c r="AG822" s="208"/>
      <c r="AH822" s="208"/>
      <c r="AI822" s="208"/>
      <c r="AJ822" s="208"/>
      <c r="AK822" s="208"/>
    </row>
    <row r="823">
      <c r="A823" s="234"/>
      <c r="B823" s="208"/>
      <c r="C823" s="208"/>
      <c r="D823" s="208"/>
      <c r="E823" s="208"/>
      <c r="F823" s="208"/>
      <c r="G823" s="208"/>
      <c r="H823" s="208"/>
      <c r="I823" s="233"/>
      <c r="J823" s="208"/>
      <c r="K823" s="208"/>
      <c r="L823" s="208"/>
      <c r="M823" s="208"/>
      <c r="N823" s="208"/>
      <c r="O823" s="208"/>
      <c r="P823" s="208"/>
      <c r="Q823" s="208"/>
      <c r="R823" s="208"/>
      <c r="S823" s="208"/>
      <c r="T823" s="208"/>
      <c r="U823" s="208"/>
      <c r="V823" s="208"/>
      <c r="W823" s="232"/>
      <c r="X823" s="232"/>
      <c r="Y823" s="232"/>
      <c r="Z823" s="232"/>
      <c r="AA823" s="232"/>
      <c r="AB823" s="232"/>
      <c r="AC823" s="232"/>
      <c r="AD823" s="232"/>
      <c r="AE823" s="232"/>
      <c r="AF823" s="232"/>
      <c r="AG823" s="208"/>
      <c r="AH823" s="208"/>
      <c r="AI823" s="208"/>
      <c r="AJ823" s="208"/>
      <c r="AK823" s="208"/>
    </row>
    <row r="824">
      <c r="A824" s="234"/>
      <c r="B824" s="208"/>
      <c r="C824" s="208"/>
      <c r="D824" s="208"/>
      <c r="E824" s="208"/>
      <c r="F824" s="208"/>
      <c r="G824" s="208"/>
      <c r="H824" s="208"/>
      <c r="I824" s="233"/>
      <c r="J824" s="208"/>
      <c r="K824" s="208"/>
      <c r="L824" s="208"/>
      <c r="M824" s="208"/>
      <c r="N824" s="208"/>
      <c r="O824" s="208"/>
      <c r="P824" s="208"/>
      <c r="Q824" s="208"/>
      <c r="R824" s="208"/>
      <c r="S824" s="208"/>
      <c r="T824" s="208"/>
      <c r="U824" s="208"/>
      <c r="V824" s="208"/>
      <c r="W824" s="232"/>
      <c r="X824" s="232"/>
      <c r="Y824" s="232"/>
      <c r="Z824" s="232"/>
      <c r="AA824" s="232"/>
      <c r="AB824" s="232"/>
      <c r="AC824" s="232"/>
      <c r="AD824" s="232"/>
      <c r="AE824" s="232"/>
      <c r="AF824" s="232"/>
      <c r="AG824" s="208"/>
      <c r="AH824" s="208"/>
      <c r="AI824" s="208"/>
      <c r="AJ824" s="208"/>
      <c r="AK824" s="208"/>
    </row>
    <row r="825">
      <c r="A825" s="234"/>
      <c r="B825" s="208"/>
      <c r="C825" s="208"/>
      <c r="D825" s="208"/>
      <c r="E825" s="208"/>
      <c r="F825" s="208"/>
      <c r="G825" s="208"/>
      <c r="H825" s="208"/>
      <c r="I825" s="233"/>
      <c r="J825" s="208"/>
      <c r="K825" s="208"/>
      <c r="L825" s="208"/>
      <c r="M825" s="208"/>
      <c r="N825" s="208"/>
      <c r="O825" s="208"/>
      <c r="P825" s="208"/>
      <c r="Q825" s="208"/>
      <c r="R825" s="208"/>
      <c r="S825" s="208"/>
      <c r="T825" s="208"/>
      <c r="U825" s="208"/>
      <c r="V825" s="208"/>
      <c r="W825" s="232"/>
      <c r="X825" s="232"/>
      <c r="Y825" s="232"/>
      <c r="Z825" s="232"/>
      <c r="AA825" s="232"/>
      <c r="AB825" s="232"/>
      <c r="AC825" s="232"/>
      <c r="AD825" s="232"/>
      <c r="AE825" s="232"/>
      <c r="AF825" s="232"/>
      <c r="AG825" s="208"/>
      <c r="AH825" s="208"/>
      <c r="AI825" s="208"/>
      <c r="AJ825" s="208"/>
      <c r="AK825" s="208"/>
    </row>
    <row r="826">
      <c r="A826" s="234"/>
      <c r="B826" s="208"/>
      <c r="C826" s="208"/>
      <c r="D826" s="208"/>
      <c r="E826" s="208"/>
      <c r="F826" s="208"/>
      <c r="G826" s="208"/>
      <c r="H826" s="208"/>
      <c r="I826" s="233"/>
      <c r="J826" s="208"/>
      <c r="K826" s="208"/>
      <c r="L826" s="208"/>
      <c r="M826" s="208"/>
      <c r="N826" s="208"/>
      <c r="O826" s="208"/>
      <c r="P826" s="208"/>
      <c r="Q826" s="208"/>
      <c r="R826" s="208"/>
      <c r="S826" s="208"/>
      <c r="T826" s="208"/>
      <c r="U826" s="208"/>
      <c r="V826" s="208"/>
      <c r="W826" s="232"/>
      <c r="X826" s="232"/>
      <c r="Y826" s="232"/>
      <c r="Z826" s="232"/>
      <c r="AA826" s="232"/>
      <c r="AB826" s="232"/>
      <c r="AC826" s="232"/>
      <c r="AD826" s="232"/>
      <c r="AE826" s="232"/>
      <c r="AF826" s="232"/>
      <c r="AG826" s="208"/>
      <c r="AH826" s="208"/>
      <c r="AI826" s="208"/>
      <c r="AJ826" s="208"/>
      <c r="AK826" s="208"/>
    </row>
    <row r="827">
      <c r="A827" s="234"/>
      <c r="B827" s="208"/>
      <c r="C827" s="208"/>
      <c r="D827" s="208"/>
      <c r="E827" s="208"/>
      <c r="F827" s="208"/>
      <c r="G827" s="208"/>
      <c r="H827" s="208"/>
      <c r="I827" s="233"/>
      <c r="J827" s="208"/>
      <c r="K827" s="208"/>
      <c r="L827" s="208"/>
      <c r="M827" s="208"/>
      <c r="N827" s="208"/>
      <c r="O827" s="208"/>
      <c r="P827" s="208"/>
      <c r="Q827" s="208"/>
      <c r="R827" s="208"/>
      <c r="S827" s="208"/>
      <c r="T827" s="208"/>
      <c r="U827" s="208"/>
      <c r="V827" s="208"/>
      <c r="W827" s="232"/>
      <c r="X827" s="232"/>
      <c r="Y827" s="232"/>
      <c r="Z827" s="232"/>
      <c r="AA827" s="232"/>
      <c r="AB827" s="232"/>
      <c r="AC827" s="232"/>
      <c r="AD827" s="232"/>
      <c r="AE827" s="232"/>
      <c r="AF827" s="232"/>
      <c r="AG827" s="208"/>
      <c r="AH827" s="208"/>
      <c r="AI827" s="208"/>
      <c r="AJ827" s="208"/>
      <c r="AK827" s="208"/>
    </row>
    <row r="828">
      <c r="A828" s="234"/>
      <c r="B828" s="208"/>
      <c r="C828" s="208"/>
      <c r="D828" s="208"/>
      <c r="E828" s="208"/>
      <c r="F828" s="208"/>
      <c r="G828" s="208"/>
      <c r="H828" s="208"/>
      <c r="I828" s="233"/>
      <c r="J828" s="208"/>
      <c r="K828" s="208"/>
      <c r="L828" s="208"/>
      <c r="M828" s="208"/>
      <c r="N828" s="208"/>
      <c r="O828" s="208"/>
      <c r="P828" s="208"/>
      <c r="Q828" s="208"/>
      <c r="R828" s="208"/>
      <c r="S828" s="208"/>
      <c r="T828" s="208"/>
      <c r="U828" s="208"/>
      <c r="V828" s="208"/>
      <c r="W828" s="232"/>
      <c r="X828" s="232"/>
      <c r="Y828" s="232"/>
      <c r="Z828" s="232"/>
      <c r="AA828" s="232"/>
      <c r="AB828" s="232"/>
      <c r="AC828" s="232"/>
      <c r="AD828" s="232"/>
      <c r="AE828" s="232"/>
      <c r="AF828" s="232"/>
      <c r="AG828" s="208"/>
      <c r="AH828" s="208"/>
      <c r="AI828" s="208"/>
      <c r="AJ828" s="208"/>
      <c r="AK828" s="208"/>
    </row>
    <row r="829">
      <c r="A829" s="234"/>
      <c r="B829" s="208"/>
      <c r="C829" s="208"/>
      <c r="D829" s="208"/>
      <c r="E829" s="208"/>
      <c r="F829" s="208"/>
      <c r="G829" s="208"/>
      <c r="H829" s="208"/>
      <c r="I829" s="233"/>
      <c r="J829" s="208"/>
      <c r="K829" s="208"/>
      <c r="L829" s="208"/>
      <c r="M829" s="208"/>
      <c r="N829" s="208"/>
      <c r="O829" s="208"/>
      <c r="P829" s="208"/>
      <c r="Q829" s="208"/>
      <c r="R829" s="208"/>
      <c r="S829" s="208"/>
      <c r="T829" s="208"/>
      <c r="U829" s="208"/>
      <c r="V829" s="208"/>
      <c r="W829" s="232"/>
      <c r="X829" s="232"/>
      <c r="Y829" s="232"/>
      <c r="Z829" s="232"/>
      <c r="AA829" s="232"/>
      <c r="AB829" s="232"/>
      <c r="AC829" s="232"/>
      <c r="AD829" s="232"/>
      <c r="AE829" s="232"/>
      <c r="AF829" s="232"/>
      <c r="AG829" s="208"/>
      <c r="AH829" s="208"/>
      <c r="AI829" s="208"/>
      <c r="AJ829" s="208"/>
      <c r="AK829" s="208"/>
    </row>
    <row r="830">
      <c r="A830" s="234"/>
      <c r="B830" s="208"/>
      <c r="C830" s="208"/>
      <c r="D830" s="208"/>
      <c r="E830" s="208"/>
      <c r="F830" s="208"/>
      <c r="G830" s="208"/>
      <c r="H830" s="208"/>
      <c r="I830" s="233"/>
      <c r="J830" s="208"/>
      <c r="K830" s="208"/>
      <c r="L830" s="208"/>
      <c r="M830" s="208"/>
      <c r="N830" s="208"/>
      <c r="O830" s="208"/>
      <c r="P830" s="208"/>
      <c r="Q830" s="208"/>
      <c r="R830" s="208"/>
      <c r="S830" s="208"/>
      <c r="T830" s="208"/>
      <c r="U830" s="208"/>
      <c r="V830" s="208"/>
      <c r="W830" s="232"/>
      <c r="X830" s="232"/>
      <c r="Y830" s="232"/>
      <c r="Z830" s="232"/>
      <c r="AA830" s="232"/>
      <c r="AB830" s="232"/>
      <c r="AC830" s="232"/>
      <c r="AD830" s="232"/>
      <c r="AE830" s="232"/>
      <c r="AF830" s="232"/>
      <c r="AG830" s="208"/>
      <c r="AH830" s="208"/>
      <c r="AI830" s="208"/>
      <c r="AJ830" s="208"/>
      <c r="AK830" s="208"/>
    </row>
    <row r="831">
      <c r="A831" s="234"/>
      <c r="B831" s="208"/>
      <c r="C831" s="208"/>
      <c r="D831" s="208"/>
      <c r="E831" s="208"/>
      <c r="F831" s="208"/>
      <c r="G831" s="208"/>
      <c r="H831" s="208"/>
      <c r="I831" s="233"/>
      <c r="J831" s="208"/>
      <c r="K831" s="208"/>
      <c r="L831" s="208"/>
      <c r="M831" s="208"/>
      <c r="N831" s="208"/>
      <c r="O831" s="208"/>
      <c r="P831" s="208"/>
      <c r="Q831" s="208"/>
      <c r="R831" s="208"/>
      <c r="S831" s="208"/>
      <c r="T831" s="208"/>
      <c r="U831" s="208"/>
      <c r="V831" s="208"/>
      <c r="W831" s="232"/>
      <c r="X831" s="232"/>
      <c r="Y831" s="232"/>
      <c r="Z831" s="232"/>
      <c r="AA831" s="232"/>
      <c r="AB831" s="232"/>
      <c r="AC831" s="232"/>
      <c r="AD831" s="232"/>
      <c r="AE831" s="232"/>
      <c r="AF831" s="232"/>
      <c r="AG831" s="208"/>
      <c r="AH831" s="208"/>
      <c r="AI831" s="208"/>
      <c r="AJ831" s="208"/>
      <c r="AK831" s="208"/>
    </row>
    <row r="832">
      <c r="A832" s="234"/>
      <c r="B832" s="208"/>
      <c r="C832" s="208"/>
      <c r="D832" s="208"/>
      <c r="E832" s="208"/>
      <c r="F832" s="208"/>
      <c r="G832" s="208"/>
      <c r="H832" s="208"/>
      <c r="I832" s="233"/>
      <c r="J832" s="208"/>
      <c r="K832" s="208"/>
      <c r="L832" s="208"/>
      <c r="M832" s="208"/>
      <c r="N832" s="208"/>
      <c r="O832" s="208"/>
      <c r="P832" s="208"/>
      <c r="Q832" s="208"/>
      <c r="R832" s="208"/>
      <c r="S832" s="208"/>
      <c r="T832" s="208"/>
      <c r="U832" s="208"/>
      <c r="V832" s="208"/>
      <c r="W832" s="232"/>
      <c r="X832" s="232"/>
      <c r="Y832" s="232"/>
      <c r="Z832" s="232"/>
      <c r="AA832" s="232"/>
      <c r="AB832" s="232"/>
      <c r="AC832" s="232"/>
      <c r="AD832" s="232"/>
      <c r="AE832" s="232"/>
      <c r="AF832" s="232"/>
      <c r="AG832" s="208"/>
      <c r="AH832" s="208"/>
      <c r="AI832" s="208"/>
      <c r="AJ832" s="208"/>
      <c r="AK832" s="208"/>
    </row>
    <row r="833">
      <c r="A833" s="234"/>
      <c r="B833" s="208"/>
      <c r="C833" s="208"/>
      <c r="D833" s="208"/>
      <c r="E833" s="208"/>
      <c r="F833" s="208"/>
      <c r="G833" s="208"/>
      <c r="H833" s="208"/>
      <c r="I833" s="233"/>
      <c r="J833" s="208"/>
      <c r="K833" s="208"/>
      <c r="L833" s="208"/>
      <c r="M833" s="208"/>
      <c r="N833" s="208"/>
      <c r="O833" s="208"/>
      <c r="P833" s="208"/>
      <c r="Q833" s="208"/>
      <c r="R833" s="208"/>
      <c r="S833" s="208"/>
      <c r="T833" s="208"/>
      <c r="U833" s="208"/>
      <c r="V833" s="208"/>
      <c r="W833" s="232"/>
      <c r="X833" s="232"/>
      <c r="Y833" s="232"/>
      <c r="Z833" s="232"/>
      <c r="AA833" s="232"/>
      <c r="AB833" s="232"/>
      <c r="AC833" s="232"/>
      <c r="AD833" s="232"/>
      <c r="AE833" s="232"/>
      <c r="AF833" s="232"/>
      <c r="AG833" s="208"/>
      <c r="AH833" s="208"/>
      <c r="AI833" s="208"/>
      <c r="AJ833" s="208"/>
      <c r="AK833" s="208"/>
    </row>
    <row r="834">
      <c r="A834" s="234"/>
      <c r="B834" s="208"/>
      <c r="C834" s="208"/>
      <c r="D834" s="208"/>
      <c r="E834" s="208"/>
      <c r="F834" s="208"/>
      <c r="G834" s="208"/>
      <c r="H834" s="208"/>
      <c r="I834" s="233"/>
      <c r="J834" s="208"/>
      <c r="K834" s="208"/>
      <c r="L834" s="208"/>
      <c r="M834" s="208"/>
      <c r="N834" s="208"/>
      <c r="O834" s="208"/>
      <c r="P834" s="208"/>
      <c r="Q834" s="208"/>
      <c r="R834" s="208"/>
      <c r="S834" s="208"/>
      <c r="T834" s="208"/>
      <c r="U834" s="208"/>
      <c r="V834" s="208"/>
      <c r="W834" s="232"/>
      <c r="X834" s="232"/>
      <c r="Y834" s="232"/>
      <c r="Z834" s="232"/>
      <c r="AA834" s="232"/>
      <c r="AB834" s="232"/>
      <c r="AC834" s="232"/>
      <c r="AD834" s="232"/>
      <c r="AE834" s="232"/>
      <c r="AF834" s="232"/>
      <c r="AG834" s="208"/>
      <c r="AH834" s="208"/>
      <c r="AI834" s="208"/>
      <c r="AJ834" s="208"/>
      <c r="AK834" s="208"/>
    </row>
    <row r="835">
      <c r="A835" s="234"/>
      <c r="B835" s="208"/>
      <c r="C835" s="208"/>
      <c r="D835" s="208"/>
      <c r="E835" s="208"/>
      <c r="F835" s="208"/>
      <c r="G835" s="208"/>
      <c r="H835" s="208"/>
      <c r="I835" s="233"/>
      <c r="J835" s="208"/>
      <c r="K835" s="208"/>
      <c r="L835" s="208"/>
      <c r="M835" s="208"/>
      <c r="N835" s="208"/>
      <c r="O835" s="208"/>
      <c r="P835" s="208"/>
      <c r="Q835" s="208"/>
      <c r="R835" s="208"/>
      <c r="S835" s="208"/>
      <c r="T835" s="208"/>
      <c r="U835" s="208"/>
      <c r="V835" s="208"/>
      <c r="W835" s="232"/>
      <c r="X835" s="232"/>
      <c r="Y835" s="232"/>
      <c r="Z835" s="232"/>
      <c r="AA835" s="232"/>
      <c r="AB835" s="232"/>
      <c r="AC835" s="232"/>
      <c r="AD835" s="232"/>
      <c r="AE835" s="232"/>
      <c r="AF835" s="232"/>
      <c r="AG835" s="208"/>
      <c r="AH835" s="208"/>
      <c r="AI835" s="208"/>
      <c r="AJ835" s="208"/>
      <c r="AK835" s="208"/>
    </row>
    <row r="836">
      <c r="A836" s="234"/>
      <c r="B836" s="208"/>
      <c r="C836" s="208"/>
      <c r="D836" s="208"/>
      <c r="E836" s="208"/>
      <c r="F836" s="208"/>
      <c r="G836" s="208"/>
      <c r="H836" s="208"/>
      <c r="I836" s="233"/>
      <c r="J836" s="208"/>
      <c r="K836" s="208"/>
      <c r="L836" s="208"/>
      <c r="M836" s="208"/>
      <c r="N836" s="208"/>
      <c r="O836" s="208"/>
      <c r="P836" s="208"/>
      <c r="Q836" s="208"/>
      <c r="R836" s="208"/>
      <c r="S836" s="208"/>
      <c r="T836" s="208"/>
      <c r="U836" s="208"/>
      <c r="V836" s="208"/>
      <c r="W836" s="232"/>
      <c r="X836" s="232"/>
      <c r="Y836" s="232"/>
      <c r="Z836" s="232"/>
      <c r="AA836" s="232"/>
      <c r="AB836" s="232"/>
      <c r="AC836" s="232"/>
      <c r="AD836" s="232"/>
      <c r="AE836" s="232"/>
      <c r="AF836" s="232"/>
      <c r="AG836" s="208"/>
      <c r="AH836" s="208"/>
      <c r="AI836" s="208"/>
      <c r="AJ836" s="208"/>
      <c r="AK836" s="208"/>
    </row>
    <row r="837">
      <c r="A837" s="234"/>
      <c r="B837" s="208"/>
      <c r="C837" s="208"/>
      <c r="D837" s="208"/>
      <c r="E837" s="208"/>
      <c r="F837" s="208"/>
      <c r="G837" s="208"/>
      <c r="H837" s="208"/>
      <c r="I837" s="233"/>
      <c r="J837" s="208"/>
      <c r="K837" s="208"/>
      <c r="L837" s="208"/>
      <c r="M837" s="208"/>
      <c r="N837" s="208"/>
      <c r="O837" s="208"/>
      <c r="P837" s="208"/>
      <c r="Q837" s="208"/>
      <c r="R837" s="208"/>
      <c r="S837" s="208"/>
      <c r="T837" s="208"/>
      <c r="U837" s="208"/>
      <c r="V837" s="208"/>
      <c r="W837" s="232"/>
      <c r="X837" s="232"/>
      <c r="Y837" s="232"/>
      <c r="Z837" s="232"/>
      <c r="AA837" s="232"/>
      <c r="AB837" s="232"/>
      <c r="AC837" s="232"/>
      <c r="AD837" s="232"/>
      <c r="AE837" s="232"/>
      <c r="AF837" s="232"/>
      <c r="AG837" s="208"/>
      <c r="AH837" s="208"/>
      <c r="AI837" s="208"/>
      <c r="AJ837" s="208"/>
      <c r="AK837" s="208"/>
    </row>
    <row r="838">
      <c r="A838" s="234"/>
      <c r="B838" s="208"/>
      <c r="C838" s="208"/>
      <c r="D838" s="208"/>
      <c r="E838" s="208"/>
      <c r="F838" s="208"/>
      <c r="G838" s="208"/>
      <c r="H838" s="208"/>
      <c r="I838" s="233"/>
      <c r="J838" s="208"/>
      <c r="K838" s="208"/>
      <c r="L838" s="208"/>
      <c r="M838" s="208"/>
      <c r="N838" s="208"/>
      <c r="O838" s="208"/>
      <c r="P838" s="208"/>
      <c r="Q838" s="208"/>
      <c r="R838" s="208"/>
      <c r="S838" s="208"/>
      <c r="T838" s="208"/>
      <c r="U838" s="208"/>
      <c r="V838" s="208"/>
      <c r="W838" s="232"/>
      <c r="X838" s="232"/>
      <c r="Y838" s="232"/>
      <c r="Z838" s="232"/>
      <c r="AA838" s="232"/>
      <c r="AB838" s="232"/>
      <c r="AC838" s="232"/>
      <c r="AD838" s="232"/>
      <c r="AE838" s="232"/>
      <c r="AF838" s="232"/>
      <c r="AG838" s="208"/>
      <c r="AH838" s="208"/>
      <c r="AI838" s="208"/>
      <c r="AJ838" s="208"/>
      <c r="AK838" s="208"/>
    </row>
    <row r="839">
      <c r="A839" s="234"/>
      <c r="B839" s="208"/>
      <c r="C839" s="208"/>
      <c r="D839" s="208"/>
      <c r="E839" s="208"/>
      <c r="F839" s="208"/>
      <c r="G839" s="208"/>
      <c r="H839" s="208"/>
      <c r="I839" s="233"/>
      <c r="J839" s="208"/>
      <c r="K839" s="208"/>
      <c r="L839" s="208"/>
      <c r="M839" s="208"/>
      <c r="N839" s="208"/>
      <c r="O839" s="208"/>
      <c r="P839" s="208"/>
      <c r="Q839" s="208"/>
      <c r="R839" s="208"/>
      <c r="S839" s="208"/>
      <c r="T839" s="208"/>
      <c r="U839" s="208"/>
      <c r="V839" s="208"/>
      <c r="W839" s="232"/>
      <c r="X839" s="232"/>
      <c r="Y839" s="232"/>
      <c r="Z839" s="232"/>
      <c r="AA839" s="232"/>
      <c r="AB839" s="232"/>
      <c r="AC839" s="232"/>
      <c r="AD839" s="232"/>
      <c r="AE839" s="232"/>
      <c r="AF839" s="232"/>
      <c r="AG839" s="208"/>
      <c r="AH839" s="208"/>
      <c r="AI839" s="208"/>
      <c r="AJ839" s="208"/>
      <c r="AK839" s="208"/>
    </row>
    <row r="840">
      <c r="A840" s="234"/>
      <c r="B840" s="208"/>
      <c r="C840" s="208"/>
      <c r="D840" s="208"/>
      <c r="E840" s="208"/>
      <c r="F840" s="208"/>
      <c r="G840" s="208"/>
      <c r="H840" s="208"/>
      <c r="I840" s="233"/>
      <c r="J840" s="208"/>
      <c r="K840" s="208"/>
      <c r="L840" s="208"/>
      <c r="M840" s="208"/>
      <c r="N840" s="208"/>
      <c r="O840" s="208"/>
      <c r="P840" s="208"/>
      <c r="Q840" s="208"/>
      <c r="R840" s="208"/>
      <c r="S840" s="208"/>
      <c r="T840" s="208"/>
      <c r="U840" s="208"/>
      <c r="V840" s="208"/>
      <c r="W840" s="232"/>
      <c r="X840" s="232"/>
      <c r="Y840" s="232"/>
      <c r="Z840" s="232"/>
      <c r="AA840" s="232"/>
      <c r="AB840" s="232"/>
      <c r="AC840" s="232"/>
      <c r="AD840" s="232"/>
      <c r="AE840" s="232"/>
      <c r="AF840" s="232"/>
      <c r="AG840" s="208"/>
      <c r="AH840" s="208"/>
      <c r="AI840" s="208"/>
      <c r="AJ840" s="208"/>
      <c r="AK840" s="208"/>
    </row>
    <row r="841">
      <c r="A841" s="234"/>
      <c r="B841" s="208"/>
      <c r="C841" s="208"/>
      <c r="D841" s="208"/>
      <c r="E841" s="208"/>
      <c r="F841" s="208"/>
      <c r="G841" s="208"/>
      <c r="H841" s="208"/>
      <c r="I841" s="233"/>
      <c r="J841" s="208"/>
      <c r="K841" s="208"/>
      <c r="L841" s="208"/>
      <c r="M841" s="208"/>
      <c r="N841" s="208"/>
      <c r="O841" s="208"/>
      <c r="P841" s="208"/>
      <c r="Q841" s="208"/>
      <c r="R841" s="208"/>
      <c r="S841" s="208"/>
      <c r="T841" s="208"/>
      <c r="U841" s="208"/>
      <c r="V841" s="208"/>
      <c r="W841" s="232"/>
      <c r="X841" s="232"/>
      <c r="Y841" s="232"/>
      <c r="Z841" s="232"/>
      <c r="AA841" s="232"/>
      <c r="AB841" s="232"/>
      <c r="AC841" s="232"/>
      <c r="AD841" s="232"/>
      <c r="AE841" s="232"/>
      <c r="AF841" s="232"/>
      <c r="AG841" s="208"/>
      <c r="AH841" s="208"/>
      <c r="AI841" s="208"/>
      <c r="AJ841" s="208"/>
      <c r="AK841" s="208"/>
    </row>
    <row r="842">
      <c r="A842" s="234"/>
      <c r="B842" s="208"/>
      <c r="C842" s="208"/>
      <c r="D842" s="208"/>
      <c r="E842" s="208"/>
      <c r="F842" s="208"/>
      <c r="G842" s="208"/>
      <c r="H842" s="208"/>
      <c r="I842" s="233"/>
      <c r="J842" s="208"/>
      <c r="K842" s="208"/>
      <c r="L842" s="208"/>
      <c r="M842" s="208"/>
      <c r="N842" s="208"/>
      <c r="O842" s="208"/>
      <c r="P842" s="208"/>
      <c r="Q842" s="208"/>
      <c r="R842" s="208"/>
      <c r="S842" s="208"/>
      <c r="T842" s="208"/>
      <c r="U842" s="208"/>
      <c r="V842" s="208"/>
      <c r="W842" s="232"/>
      <c r="X842" s="232"/>
      <c r="Y842" s="232"/>
      <c r="Z842" s="232"/>
      <c r="AA842" s="232"/>
      <c r="AB842" s="232"/>
      <c r="AC842" s="232"/>
      <c r="AD842" s="232"/>
      <c r="AE842" s="232"/>
      <c r="AF842" s="232"/>
      <c r="AG842" s="208"/>
      <c r="AH842" s="208"/>
      <c r="AI842" s="208"/>
      <c r="AJ842" s="208"/>
      <c r="AK842" s="208"/>
    </row>
    <row r="843">
      <c r="A843" s="234"/>
      <c r="B843" s="208"/>
      <c r="C843" s="208"/>
      <c r="D843" s="208"/>
      <c r="E843" s="208"/>
      <c r="F843" s="208"/>
      <c r="G843" s="208"/>
      <c r="H843" s="208"/>
      <c r="I843" s="233"/>
      <c r="J843" s="208"/>
      <c r="K843" s="208"/>
      <c r="L843" s="208"/>
      <c r="M843" s="208"/>
      <c r="N843" s="208"/>
      <c r="O843" s="208"/>
      <c r="P843" s="208"/>
      <c r="Q843" s="208"/>
      <c r="R843" s="208"/>
      <c r="S843" s="208"/>
      <c r="T843" s="208"/>
      <c r="U843" s="208"/>
      <c r="V843" s="208"/>
      <c r="W843" s="232"/>
      <c r="X843" s="232"/>
      <c r="Y843" s="232"/>
      <c r="Z843" s="232"/>
      <c r="AA843" s="232"/>
      <c r="AB843" s="232"/>
      <c r="AC843" s="232"/>
      <c r="AD843" s="232"/>
      <c r="AE843" s="232"/>
      <c r="AF843" s="232"/>
      <c r="AG843" s="208"/>
      <c r="AH843" s="208"/>
      <c r="AI843" s="208"/>
      <c r="AJ843" s="208"/>
      <c r="AK843" s="208"/>
    </row>
    <row r="844">
      <c r="A844" s="234"/>
      <c r="B844" s="208"/>
      <c r="C844" s="208"/>
      <c r="D844" s="208"/>
      <c r="E844" s="208"/>
      <c r="F844" s="208"/>
      <c r="G844" s="208"/>
      <c r="H844" s="208"/>
      <c r="I844" s="233"/>
      <c r="J844" s="208"/>
      <c r="K844" s="208"/>
      <c r="L844" s="208"/>
      <c r="M844" s="208"/>
      <c r="N844" s="208"/>
      <c r="O844" s="208"/>
      <c r="P844" s="208"/>
      <c r="Q844" s="208"/>
      <c r="R844" s="208"/>
      <c r="S844" s="208"/>
      <c r="T844" s="208"/>
      <c r="U844" s="208"/>
      <c r="V844" s="208"/>
      <c r="W844" s="232"/>
      <c r="X844" s="232"/>
      <c r="Y844" s="232"/>
      <c r="Z844" s="232"/>
      <c r="AA844" s="232"/>
      <c r="AB844" s="232"/>
      <c r="AC844" s="232"/>
      <c r="AD844" s="232"/>
      <c r="AE844" s="232"/>
      <c r="AF844" s="232"/>
      <c r="AG844" s="208"/>
      <c r="AH844" s="208"/>
      <c r="AI844" s="208"/>
      <c r="AJ844" s="208"/>
      <c r="AK844" s="208"/>
    </row>
    <row r="845">
      <c r="A845" s="234"/>
      <c r="B845" s="208"/>
      <c r="C845" s="208"/>
      <c r="D845" s="208"/>
      <c r="E845" s="208"/>
      <c r="F845" s="208"/>
      <c r="G845" s="208"/>
      <c r="H845" s="208"/>
      <c r="I845" s="233"/>
      <c r="J845" s="208"/>
      <c r="K845" s="208"/>
      <c r="L845" s="208"/>
      <c r="M845" s="208"/>
      <c r="N845" s="208"/>
      <c r="O845" s="208"/>
      <c r="P845" s="208"/>
      <c r="Q845" s="208"/>
      <c r="R845" s="208"/>
      <c r="S845" s="208"/>
      <c r="T845" s="208"/>
      <c r="U845" s="208"/>
      <c r="V845" s="208"/>
      <c r="W845" s="232"/>
      <c r="X845" s="232"/>
      <c r="Y845" s="232"/>
      <c r="Z845" s="232"/>
      <c r="AA845" s="232"/>
      <c r="AB845" s="232"/>
      <c r="AC845" s="232"/>
      <c r="AD845" s="232"/>
      <c r="AE845" s="232"/>
      <c r="AF845" s="232"/>
      <c r="AG845" s="208"/>
      <c r="AH845" s="208"/>
      <c r="AI845" s="208"/>
      <c r="AJ845" s="208"/>
      <c r="AK845" s="208"/>
    </row>
    <row r="846">
      <c r="A846" s="234"/>
      <c r="B846" s="208"/>
      <c r="C846" s="208"/>
      <c r="D846" s="208"/>
      <c r="E846" s="208"/>
      <c r="F846" s="208"/>
      <c r="G846" s="208"/>
      <c r="H846" s="208"/>
      <c r="I846" s="233"/>
      <c r="J846" s="208"/>
      <c r="K846" s="208"/>
      <c r="L846" s="208"/>
      <c r="M846" s="208"/>
      <c r="N846" s="208"/>
      <c r="O846" s="208"/>
      <c r="P846" s="208"/>
      <c r="Q846" s="208"/>
      <c r="R846" s="208"/>
      <c r="S846" s="208"/>
      <c r="T846" s="208"/>
      <c r="U846" s="208"/>
      <c r="V846" s="208"/>
      <c r="W846" s="232"/>
      <c r="X846" s="232"/>
      <c r="Y846" s="232"/>
      <c r="Z846" s="232"/>
      <c r="AA846" s="232"/>
      <c r="AB846" s="232"/>
      <c r="AC846" s="232"/>
      <c r="AD846" s="232"/>
      <c r="AE846" s="232"/>
      <c r="AF846" s="232"/>
      <c r="AG846" s="208"/>
      <c r="AH846" s="208"/>
      <c r="AI846" s="208"/>
      <c r="AJ846" s="208"/>
      <c r="AK846" s="208"/>
    </row>
    <row r="847">
      <c r="A847" s="234"/>
      <c r="B847" s="208"/>
      <c r="C847" s="208"/>
      <c r="D847" s="208"/>
      <c r="E847" s="208"/>
      <c r="F847" s="208"/>
      <c r="G847" s="208"/>
      <c r="H847" s="208"/>
      <c r="I847" s="233"/>
      <c r="J847" s="208"/>
      <c r="K847" s="208"/>
      <c r="L847" s="208"/>
      <c r="M847" s="208"/>
      <c r="N847" s="208"/>
      <c r="O847" s="208"/>
      <c r="P847" s="208"/>
      <c r="Q847" s="208"/>
      <c r="R847" s="208"/>
      <c r="S847" s="208"/>
      <c r="T847" s="208"/>
      <c r="U847" s="208"/>
      <c r="V847" s="208"/>
      <c r="W847" s="232"/>
      <c r="X847" s="232"/>
      <c r="Y847" s="232"/>
      <c r="Z847" s="232"/>
      <c r="AA847" s="232"/>
      <c r="AB847" s="232"/>
      <c r="AC847" s="232"/>
      <c r="AD847" s="232"/>
      <c r="AE847" s="232"/>
      <c r="AF847" s="232"/>
      <c r="AG847" s="208"/>
      <c r="AH847" s="208"/>
      <c r="AI847" s="208"/>
      <c r="AJ847" s="208"/>
      <c r="AK847" s="208"/>
    </row>
    <row r="848">
      <c r="A848" s="234"/>
      <c r="B848" s="208"/>
      <c r="C848" s="208"/>
      <c r="D848" s="208"/>
      <c r="E848" s="208"/>
      <c r="F848" s="208"/>
      <c r="G848" s="208"/>
      <c r="H848" s="208"/>
      <c r="I848" s="233"/>
      <c r="J848" s="208"/>
      <c r="K848" s="208"/>
      <c r="L848" s="208"/>
      <c r="M848" s="208"/>
      <c r="N848" s="208"/>
      <c r="O848" s="208"/>
      <c r="P848" s="208"/>
      <c r="Q848" s="208"/>
      <c r="R848" s="208"/>
      <c r="S848" s="208"/>
      <c r="T848" s="208"/>
      <c r="U848" s="208"/>
      <c r="V848" s="208"/>
      <c r="W848" s="232"/>
      <c r="X848" s="232"/>
      <c r="Y848" s="232"/>
      <c r="Z848" s="232"/>
      <c r="AA848" s="232"/>
      <c r="AB848" s="232"/>
      <c r="AC848" s="232"/>
      <c r="AD848" s="232"/>
      <c r="AE848" s="232"/>
      <c r="AF848" s="232"/>
      <c r="AG848" s="208"/>
      <c r="AH848" s="208"/>
      <c r="AI848" s="208"/>
      <c r="AJ848" s="208"/>
      <c r="AK848" s="208"/>
    </row>
    <row r="849">
      <c r="A849" s="234"/>
      <c r="B849" s="208"/>
      <c r="C849" s="208"/>
      <c r="D849" s="208"/>
      <c r="E849" s="208"/>
      <c r="F849" s="208"/>
      <c r="G849" s="208"/>
      <c r="H849" s="208"/>
      <c r="I849" s="233"/>
      <c r="J849" s="208"/>
      <c r="K849" s="208"/>
      <c r="L849" s="208"/>
      <c r="M849" s="208"/>
      <c r="N849" s="208"/>
      <c r="O849" s="208"/>
      <c r="P849" s="208"/>
      <c r="Q849" s="208"/>
      <c r="R849" s="208"/>
      <c r="S849" s="208"/>
      <c r="T849" s="208"/>
      <c r="U849" s="208"/>
      <c r="V849" s="208"/>
      <c r="W849" s="232"/>
      <c r="X849" s="232"/>
      <c r="Y849" s="232"/>
      <c r="Z849" s="232"/>
      <c r="AA849" s="232"/>
      <c r="AB849" s="232"/>
      <c r="AC849" s="232"/>
      <c r="AD849" s="232"/>
      <c r="AE849" s="232"/>
      <c r="AF849" s="232"/>
      <c r="AG849" s="208"/>
      <c r="AH849" s="208"/>
      <c r="AI849" s="208"/>
      <c r="AJ849" s="208"/>
      <c r="AK849" s="208"/>
    </row>
    <row r="850">
      <c r="A850" s="234"/>
      <c r="B850" s="208"/>
      <c r="C850" s="208"/>
      <c r="D850" s="208"/>
      <c r="E850" s="208"/>
      <c r="F850" s="208"/>
      <c r="G850" s="208"/>
      <c r="H850" s="208"/>
      <c r="I850" s="233"/>
      <c r="J850" s="208"/>
      <c r="K850" s="208"/>
      <c r="L850" s="208"/>
      <c r="M850" s="208"/>
      <c r="N850" s="208"/>
      <c r="O850" s="208"/>
      <c r="P850" s="208"/>
      <c r="Q850" s="208"/>
      <c r="R850" s="208"/>
      <c r="S850" s="208"/>
      <c r="T850" s="208"/>
      <c r="U850" s="208"/>
      <c r="V850" s="208"/>
      <c r="W850" s="232"/>
      <c r="X850" s="232"/>
      <c r="Y850" s="232"/>
      <c r="Z850" s="232"/>
      <c r="AA850" s="232"/>
      <c r="AB850" s="232"/>
      <c r="AC850" s="232"/>
      <c r="AD850" s="232"/>
      <c r="AE850" s="232"/>
      <c r="AF850" s="232"/>
      <c r="AG850" s="208"/>
      <c r="AH850" s="208"/>
      <c r="AI850" s="208"/>
      <c r="AJ850" s="208"/>
      <c r="AK850" s="208"/>
    </row>
    <row r="851">
      <c r="A851" s="234"/>
      <c r="B851" s="208"/>
      <c r="C851" s="208"/>
      <c r="D851" s="208"/>
      <c r="E851" s="208"/>
      <c r="F851" s="208"/>
      <c r="G851" s="208"/>
      <c r="H851" s="208"/>
      <c r="I851" s="233"/>
      <c r="J851" s="208"/>
      <c r="K851" s="208"/>
      <c r="L851" s="208"/>
      <c r="M851" s="208"/>
      <c r="N851" s="208"/>
      <c r="O851" s="208"/>
      <c r="P851" s="208"/>
      <c r="Q851" s="208"/>
      <c r="R851" s="208"/>
      <c r="S851" s="208"/>
      <c r="T851" s="208"/>
      <c r="U851" s="208"/>
      <c r="V851" s="208"/>
      <c r="W851" s="232"/>
      <c r="X851" s="232"/>
      <c r="Y851" s="232"/>
      <c r="Z851" s="232"/>
      <c r="AA851" s="232"/>
      <c r="AB851" s="232"/>
      <c r="AC851" s="232"/>
      <c r="AD851" s="232"/>
      <c r="AE851" s="232"/>
      <c r="AF851" s="232"/>
      <c r="AG851" s="208"/>
      <c r="AH851" s="208"/>
      <c r="AI851" s="208"/>
      <c r="AJ851" s="208"/>
      <c r="AK851" s="208"/>
    </row>
    <row r="852">
      <c r="A852" s="234"/>
      <c r="B852" s="208"/>
      <c r="C852" s="208"/>
      <c r="D852" s="208"/>
      <c r="E852" s="208"/>
      <c r="F852" s="208"/>
      <c r="G852" s="208"/>
      <c r="H852" s="208"/>
      <c r="I852" s="233"/>
      <c r="J852" s="208"/>
      <c r="K852" s="208"/>
      <c r="L852" s="208"/>
      <c r="M852" s="208"/>
      <c r="N852" s="208"/>
      <c r="O852" s="208"/>
      <c r="P852" s="208"/>
      <c r="Q852" s="208"/>
      <c r="R852" s="208"/>
      <c r="S852" s="208"/>
      <c r="T852" s="208"/>
      <c r="U852" s="208"/>
      <c r="V852" s="208"/>
      <c r="W852" s="232"/>
      <c r="X852" s="232"/>
      <c r="Y852" s="232"/>
      <c r="Z852" s="232"/>
      <c r="AA852" s="232"/>
      <c r="AB852" s="232"/>
      <c r="AC852" s="232"/>
      <c r="AD852" s="232"/>
      <c r="AE852" s="232"/>
      <c r="AF852" s="232"/>
      <c r="AG852" s="208"/>
      <c r="AH852" s="208"/>
      <c r="AI852" s="208"/>
      <c r="AJ852" s="208"/>
      <c r="AK852" s="208"/>
    </row>
    <row r="853">
      <c r="A853" s="234"/>
      <c r="B853" s="208"/>
      <c r="C853" s="208"/>
      <c r="D853" s="208"/>
      <c r="E853" s="208"/>
      <c r="F853" s="208"/>
      <c r="G853" s="208"/>
      <c r="H853" s="208"/>
      <c r="I853" s="233"/>
      <c r="J853" s="208"/>
      <c r="K853" s="208"/>
      <c r="L853" s="208"/>
      <c r="M853" s="208"/>
      <c r="N853" s="208"/>
      <c r="O853" s="208"/>
      <c r="P853" s="208"/>
      <c r="Q853" s="208"/>
      <c r="R853" s="208"/>
      <c r="S853" s="208"/>
      <c r="T853" s="208"/>
      <c r="U853" s="208"/>
      <c r="V853" s="208"/>
      <c r="W853" s="232"/>
      <c r="X853" s="232"/>
      <c r="Y853" s="232"/>
      <c r="Z853" s="232"/>
      <c r="AA853" s="232"/>
      <c r="AB853" s="232"/>
      <c r="AC853" s="232"/>
      <c r="AD853" s="232"/>
      <c r="AE853" s="232"/>
      <c r="AF853" s="232"/>
      <c r="AG853" s="208"/>
      <c r="AH853" s="208"/>
      <c r="AI853" s="208"/>
      <c r="AJ853" s="208"/>
      <c r="AK853" s="208"/>
    </row>
    <row r="854">
      <c r="A854" s="234"/>
      <c r="B854" s="208"/>
      <c r="C854" s="208"/>
      <c r="D854" s="208"/>
      <c r="E854" s="208"/>
      <c r="F854" s="208"/>
      <c r="G854" s="208"/>
      <c r="H854" s="208"/>
      <c r="I854" s="233"/>
      <c r="J854" s="208"/>
      <c r="K854" s="208"/>
      <c r="L854" s="208"/>
      <c r="M854" s="208"/>
      <c r="N854" s="208"/>
      <c r="O854" s="208"/>
      <c r="P854" s="208"/>
      <c r="Q854" s="208"/>
      <c r="R854" s="208"/>
      <c r="S854" s="208"/>
      <c r="T854" s="208"/>
      <c r="U854" s="208"/>
      <c r="V854" s="208"/>
      <c r="W854" s="232"/>
      <c r="X854" s="232"/>
      <c r="Y854" s="232"/>
      <c r="Z854" s="232"/>
      <c r="AA854" s="232"/>
      <c r="AB854" s="232"/>
      <c r="AC854" s="232"/>
      <c r="AD854" s="232"/>
      <c r="AE854" s="232"/>
      <c r="AF854" s="232"/>
      <c r="AG854" s="208"/>
      <c r="AH854" s="208"/>
      <c r="AI854" s="208"/>
      <c r="AJ854" s="208"/>
      <c r="AK854" s="208"/>
    </row>
    <row r="855">
      <c r="A855" s="234"/>
      <c r="B855" s="208"/>
      <c r="C855" s="208"/>
      <c r="D855" s="208"/>
      <c r="E855" s="208"/>
      <c r="F855" s="208"/>
      <c r="G855" s="208"/>
      <c r="H855" s="208"/>
      <c r="I855" s="233"/>
      <c r="J855" s="208"/>
      <c r="K855" s="208"/>
      <c r="L855" s="208"/>
      <c r="M855" s="208"/>
      <c r="N855" s="208"/>
      <c r="O855" s="208"/>
      <c r="P855" s="208"/>
      <c r="Q855" s="208"/>
      <c r="R855" s="208"/>
      <c r="S855" s="208"/>
      <c r="T855" s="208"/>
      <c r="U855" s="208"/>
      <c r="V855" s="208"/>
      <c r="W855" s="232"/>
      <c r="X855" s="232"/>
      <c r="Y855" s="232"/>
      <c r="Z855" s="232"/>
      <c r="AA855" s="232"/>
      <c r="AB855" s="232"/>
      <c r="AC855" s="232"/>
      <c r="AD855" s="232"/>
      <c r="AE855" s="232"/>
      <c r="AF855" s="232"/>
      <c r="AG855" s="208"/>
      <c r="AH855" s="208"/>
      <c r="AI855" s="208"/>
      <c r="AJ855" s="208"/>
      <c r="AK855" s="208"/>
    </row>
    <row r="856">
      <c r="A856" s="234"/>
      <c r="B856" s="208"/>
      <c r="C856" s="208"/>
      <c r="D856" s="208"/>
      <c r="E856" s="208"/>
      <c r="F856" s="208"/>
      <c r="G856" s="208"/>
      <c r="H856" s="208"/>
      <c r="I856" s="233"/>
      <c r="J856" s="208"/>
      <c r="K856" s="208"/>
      <c r="L856" s="208"/>
      <c r="M856" s="208"/>
      <c r="N856" s="208"/>
      <c r="O856" s="208"/>
      <c r="P856" s="208"/>
      <c r="Q856" s="208"/>
      <c r="R856" s="208"/>
      <c r="S856" s="208"/>
      <c r="T856" s="208"/>
      <c r="U856" s="208"/>
      <c r="V856" s="208"/>
      <c r="W856" s="232"/>
      <c r="X856" s="232"/>
      <c r="Y856" s="232"/>
      <c r="Z856" s="232"/>
      <c r="AA856" s="232"/>
      <c r="AB856" s="232"/>
      <c r="AC856" s="232"/>
      <c r="AD856" s="232"/>
      <c r="AE856" s="232"/>
      <c r="AF856" s="232"/>
      <c r="AG856" s="208"/>
      <c r="AH856" s="208"/>
      <c r="AI856" s="208"/>
      <c r="AJ856" s="208"/>
      <c r="AK856" s="208"/>
    </row>
    <row r="857">
      <c r="A857" s="234"/>
      <c r="B857" s="208"/>
      <c r="C857" s="208"/>
      <c r="D857" s="208"/>
      <c r="E857" s="208"/>
      <c r="F857" s="208"/>
      <c r="G857" s="208"/>
      <c r="H857" s="208"/>
      <c r="I857" s="233"/>
      <c r="J857" s="208"/>
      <c r="K857" s="208"/>
      <c r="L857" s="208"/>
      <c r="M857" s="208"/>
      <c r="N857" s="208"/>
      <c r="O857" s="208"/>
      <c r="P857" s="208"/>
      <c r="Q857" s="208"/>
      <c r="R857" s="208"/>
      <c r="S857" s="208"/>
      <c r="T857" s="208"/>
      <c r="U857" s="208"/>
      <c r="V857" s="208"/>
      <c r="W857" s="232"/>
      <c r="X857" s="232"/>
      <c r="Y857" s="232"/>
      <c r="Z857" s="232"/>
      <c r="AA857" s="232"/>
      <c r="AB857" s="232"/>
      <c r="AC857" s="232"/>
      <c r="AD857" s="232"/>
      <c r="AE857" s="232"/>
      <c r="AF857" s="232"/>
      <c r="AG857" s="208"/>
      <c r="AH857" s="208"/>
      <c r="AI857" s="208"/>
      <c r="AJ857" s="208"/>
      <c r="AK857" s="208"/>
    </row>
    <row r="858">
      <c r="A858" s="234"/>
      <c r="B858" s="208"/>
      <c r="C858" s="208"/>
      <c r="D858" s="208"/>
      <c r="E858" s="208"/>
      <c r="F858" s="208"/>
      <c r="G858" s="208"/>
      <c r="H858" s="208"/>
      <c r="I858" s="233"/>
      <c r="J858" s="208"/>
      <c r="K858" s="208"/>
      <c r="L858" s="208"/>
      <c r="M858" s="208"/>
      <c r="N858" s="208"/>
      <c r="O858" s="208"/>
      <c r="P858" s="208"/>
      <c r="Q858" s="208"/>
      <c r="R858" s="208"/>
      <c r="S858" s="208"/>
      <c r="T858" s="208"/>
      <c r="U858" s="208"/>
      <c r="V858" s="208"/>
      <c r="W858" s="232"/>
      <c r="X858" s="232"/>
      <c r="Y858" s="232"/>
      <c r="Z858" s="232"/>
      <c r="AA858" s="232"/>
      <c r="AB858" s="232"/>
      <c r="AC858" s="232"/>
      <c r="AD858" s="232"/>
      <c r="AE858" s="232"/>
      <c r="AF858" s="232"/>
      <c r="AG858" s="208"/>
      <c r="AH858" s="208"/>
      <c r="AI858" s="208"/>
      <c r="AJ858" s="208"/>
      <c r="AK858" s="208"/>
    </row>
    <row r="859">
      <c r="A859" s="234"/>
      <c r="B859" s="208"/>
      <c r="C859" s="208"/>
      <c r="D859" s="208"/>
      <c r="E859" s="208"/>
      <c r="F859" s="208"/>
      <c r="G859" s="208"/>
      <c r="H859" s="208"/>
      <c r="I859" s="233"/>
      <c r="J859" s="208"/>
      <c r="K859" s="208"/>
      <c r="L859" s="208"/>
      <c r="M859" s="208"/>
      <c r="N859" s="208"/>
      <c r="O859" s="208"/>
      <c r="P859" s="208"/>
      <c r="Q859" s="208"/>
      <c r="R859" s="208"/>
      <c r="S859" s="208"/>
      <c r="T859" s="208"/>
      <c r="U859" s="208"/>
      <c r="V859" s="208"/>
      <c r="W859" s="232"/>
      <c r="X859" s="232"/>
      <c r="Y859" s="232"/>
      <c r="Z859" s="232"/>
      <c r="AA859" s="232"/>
      <c r="AB859" s="232"/>
      <c r="AC859" s="232"/>
      <c r="AD859" s="232"/>
      <c r="AE859" s="232"/>
      <c r="AF859" s="232"/>
      <c r="AG859" s="208"/>
      <c r="AH859" s="208"/>
      <c r="AI859" s="208"/>
      <c r="AJ859" s="208"/>
      <c r="AK859" s="208"/>
    </row>
    <row r="860">
      <c r="A860" s="234"/>
      <c r="B860" s="208"/>
      <c r="C860" s="208"/>
      <c r="D860" s="208"/>
      <c r="E860" s="208"/>
      <c r="F860" s="208"/>
      <c r="G860" s="208"/>
      <c r="H860" s="208"/>
      <c r="I860" s="233"/>
      <c r="J860" s="208"/>
      <c r="K860" s="208"/>
      <c r="L860" s="208"/>
      <c r="M860" s="208"/>
      <c r="N860" s="208"/>
      <c r="O860" s="208"/>
      <c r="P860" s="208"/>
      <c r="Q860" s="208"/>
      <c r="R860" s="208"/>
      <c r="S860" s="208"/>
      <c r="T860" s="208"/>
      <c r="U860" s="208"/>
      <c r="V860" s="208"/>
      <c r="W860" s="232"/>
      <c r="X860" s="232"/>
      <c r="Y860" s="232"/>
      <c r="Z860" s="232"/>
      <c r="AA860" s="232"/>
      <c r="AB860" s="232"/>
      <c r="AC860" s="232"/>
      <c r="AD860" s="232"/>
      <c r="AE860" s="232"/>
      <c r="AF860" s="232"/>
      <c r="AG860" s="208"/>
      <c r="AH860" s="208"/>
      <c r="AI860" s="208"/>
      <c r="AJ860" s="208"/>
      <c r="AK860" s="208"/>
    </row>
    <row r="861">
      <c r="A861" s="234"/>
      <c r="B861" s="208"/>
      <c r="C861" s="208"/>
      <c r="D861" s="208"/>
      <c r="E861" s="208"/>
      <c r="F861" s="208"/>
      <c r="G861" s="208"/>
      <c r="H861" s="208"/>
      <c r="I861" s="233"/>
      <c r="J861" s="208"/>
      <c r="K861" s="208"/>
      <c r="L861" s="208"/>
      <c r="M861" s="208"/>
      <c r="N861" s="208"/>
      <c r="O861" s="208"/>
      <c r="P861" s="208"/>
      <c r="Q861" s="208"/>
      <c r="R861" s="208"/>
      <c r="S861" s="208"/>
      <c r="T861" s="208"/>
      <c r="U861" s="208"/>
      <c r="V861" s="208"/>
      <c r="W861" s="232"/>
      <c r="X861" s="232"/>
      <c r="Y861" s="232"/>
      <c r="Z861" s="232"/>
      <c r="AA861" s="232"/>
      <c r="AB861" s="232"/>
      <c r="AC861" s="232"/>
      <c r="AD861" s="232"/>
      <c r="AE861" s="232"/>
      <c r="AF861" s="232"/>
      <c r="AG861" s="208"/>
      <c r="AH861" s="208"/>
      <c r="AI861" s="208"/>
      <c r="AJ861" s="208"/>
      <c r="AK861" s="208"/>
    </row>
    <row r="862">
      <c r="A862" s="234"/>
      <c r="B862" s="208"/>
      <c r="C862" s="208"/>
      <c r="D862" s="208"/>
      <c r="E862" s="208"/>
      <c r="F862" s="208"/>
      <c r="G862" s="208"/>
      <c r="H862" s="208"/>
      <c r="I862" s="233"/>
      <c r="J862" s="208"/>
      <c r="K862" s="208"/>
      <c r="L862" s="208"/>
      <c r="M862" s="208"/>
      <c r="N862" s="208"/>
      <c r="O862" s="208"/>
      <c r="P862" s="208"/>
      <c r="Q862" s="208"/>
      <c r="R862" s="208"/>
      <c r="S862" s="208"/>
      <c r="T862" s="208"/>
      <c r="U862" s="208"/>
      <c r="V862" s="208"/>
      <c r="W862" s="232"/>
      <c r="X862" s="232"/>
      <c r="Y862" s="232"/>
      <c r="Z862" s="232"/>
      <c r="AA862" s="232"/>
      <c r="AB862" s="232"/>
      <c r="AC862" s="232"/>
      <c r="AD862" s="232"/>
      <c r="AE862" s="232"/>
      <c r="AF862" s="232"/>
      <c r="AG862" s="208"/>
      <c r="AH862" s="208"/>
      <c r="AI862" s="208"/>
      <c r="AJ862" s="208"/>
      <c r="AK862" s="208"/>
    </row>
    <row r="863">
      <c r="A863" s="234"/>
      <c r="B863" s="208"/>
      <c r="C863" s="208"/>
      <c r="D863" s="208"/>
      <c r="E863" s="208"/>
      <c r="F863" s="208"/>
      <c r="G863" s="208"/>
      <c r="H863" s="208"/>
      <c r="I863" s="233"/>
      <c r="J863" s="208"/>
      <c r="K863" s="208"/>
      <c r="L863" s="208"/>
      <c r="M863" s="208"/>
      <c r="N863" s="208"/>
      <c r="O863" s="208"/>
      <c r="P863" s="208"/>
      <c r="Q863" s="208"/>
      <c r="R863" s="208"/>
      <c r="S863" s="208"/>
      <c r="T863" s="208"/>
      <c r="U863" s="208"/>
      <c r="V863" s="208"/>
      <c r="W863" s="232"/>
      <c r="X863" s="232"/>
      <c r="Y863" s="232"/>
      <c r="Z863" s="232"/>
      <c r="AA863" s="232"/>
      <c r="AB863" s="232"/>
      <c r="AC863" s="232"/>
      <c r="AD863" s="232"/>
      <c r="AE863" s="232"/>
      <c r="AF863" s="232"/>
      <c r="AG863" s="208"/>
      <c r="AH863" s="208"/>
      <c r="AI863" s="208"/>
      <c r="AJ863" s="208"/>
      <c r="AK863" s="208"/>
    </row>
    <row r="864">
      <c r="A864" s="234"/>
      <c r="B864" s="208"/>
      <c r="C864" s="208"/>
      <c r="D864" s="208"/>
      <c r="E864" s="208"/>
      <c r="F864" s="208"/>
      <c r="G864" s="208"/>
      <c r="H864" s="208"/>
      <c r="I864" s="233"/>
      <c r="J864" s="208"/>
      <c r="K864" s="208"/>
      <c r="L864" s="208"/>
      <c r="M864" s="208"/>
      <c r="N864" s="208"/>
      <c r="O864" s="208"/>
      <c r="P864" s="208"/>
      <c r="Q864" s="208"/>
      <c r="R864" s="208"/>
      <c r="S864" s="208"/>
      <c r="T864" s="208"/>
      <c r="U864" s="208"/>
      <c r="V864" s="208"/>
      <c r="W864" s="232"/>
      <c r="X864" s="232"/>
      <c r="Y864" s="232"/>
      <c r="Z864" s="232"/>
      <c r="AA864" s="232"/>
      <c r="AB864" s="232"/>
      <c r="AC864" s="232"/>
      <c r="AD864" s="232"/>
      <c r="AE864" s="232"/>
      <c r="AF864" s="232"/>
      <c r="AG864" s="208"/>
      <c r="AH864" s="208"/>
      <c r="AI864" s="208"/>
      <c r="AJ864" s="208"/>
      <c r="AK864" s="208"/>
    </row>
    <row r="865">
      <c r="A865" s="234"/>
      <c r="B865" s="208"/>
      <c r="C865" s="208"/>
      <c r="D865" s="208"/>
      <c r="E865" s="208"/>
      <c r="F865" s="208"/>
      <c r="G865" s="208"/>
      <c r="H865" s="208"/>
      <c r="I865" s="233"/>
      <c r="J865" s="208"/>
      <c r="K865" s="208"/>
      <c r="L865" s="208"/>
      <c r="M865" s="208"/>
      <c r="N865" s="208"/>
      <c r="O865" s="208"/>
      <c r="P865" s="208"/>
      <c r="Q865" s="208"/>
      <c r="R865" s="208"/>
      <c r="S865" s="208"/>
      <c r="T865" s="208"/>
      <c r="U865" s="208"/>
      <c r="V865" s="208"/>
      <c r="W865" s="232"/>
      <c r="X865" s="232"/>
      <c r="Y865" s="232"/>
      <c r="Z865" s="232"/>
      <c r="AA865" s="232"/>
      <c r="AB865" s="232"/>
      <c r="AC865" s="232"/>
      <c r="AD865" s="232"/>
      <c r="AE865" s="232"/>
      <c r="AF865" s="232"/>
      <c r="AG865" s="208"/>
      <c r="AH865" s="208"/>
      <c r="AI865" s="208"/>
      <c r="AJ865" s="208"/>
      <c r="AK865" s="208"/>
    </row>
    <row r="866">
      <c r="A866" s="234"/>
      <c r="B866" s="208"/>
      <c r="C866" s="208"/>
      <c r="D866" s="208"/>
      <c r="E866" s="208"/>
      <c r="F866" s="208"/>
      <c r="G866" s="208"/>
      <c r="H866" s="208"/>
      <c r="I866" s="233"/>
      <c r="J866" s="208"/>
      <c r="K866" s="208"/>
      <c r="L866" s="208"/>
      <c r="M866" s="208"/>
      <c r="N866" s="208"/>
      <c r="O866" s="208"/>
      <c r="P866" s="208"/>
      <c r="Q866" s="208"/>
      <c r="R866" s="208"/>
      <c r="S866" s="208"/>
      <c r="T866" s="208"/>
      <c r="U866" s="208"/>
      <c r="V866" s="208"/>
      <c r="W866" s="232"/>
      <c r="X866" s="232"/>
      <c r="Y866" s="232"/>
      <c r="Z866" s="232"/>
      <c r="AA866" s="232"/>
      <c r="AB866" s="232"/>
      <c r="AC866" s="232"/>
      <c r="AD866" s="232"/>
      <c r="AE866" s="232"/>
      <c r="AF866" s="232"/>
      <c r="AG866" s="208"/>
      <c r="AH866" s="208"/>
      <c r="AI866" s="208"/>
      <c r="AJ866" s="208"/>
      <c r="AK866" s="208"/>
    </row>
    <row r="867">
      <c r="A867" s="234"/>
      <c r="B867" s="208"/>
      <c r="C867" s="208"/>
      <c r="D867" s="208"/>
      <c r="E867" s="208"/>
      <c r="F867" s="208"/>
      <c r="G867" s="208"/>
      <c r="H867" s="208"/>
      <c r="I867" s="233"/>
      <c r="J867" s="208"/>
      <c r="K867" s="208"/>
      <c r="L867" s="208"/>
      <c r="M867" s="208"/>
      <c r="N867" s="208"/>
      <c r="O867" s="208"/>
      <c r="P867" s="208"/>
      <c r="Q867" s="208"/>
      <c r="R867" s="208"/>
      <c r="S867" s="208"/>
      <c r="T867" s="208"/>
      <c r="U867" s="208"/>
      <c r="V867" s="208"/>
      <c r="W867" s="232"/>
      <c r="X867" s="232"/>
      <c r="Y867" s="232"/>
      <c r="Z867" s="232"/>
      <c r="AA867" s="232"/>
      <c r="AB867" s="232"/>
      <c r="AC867" s="232"/>
      <c r="AD867" s="232"/>
      <c r="AE867" s="232"/>
      <c r="AF867" s="232"/>
      <c r="AG867" s="208"/>
      <c r="AH867" s="208"/>
      <c r="AI867" s="208"/>
      <c r="AJ867" s="208"/>
      <c r="AK867" s="208"/>
    </row>
    <row r="868">
      <c r="A868" s="234"/>
      <c r="B868" s="208"/>
      <c r="C868" s="208"/>
      <c r="D868" s="208"/>
      <c r="E868" s="208"/>
      <c r="F868" s="208"/>
      <c r="G868" s="208"/>
      <c r="H868" s="208"/>
      <c r="I868" s="233"/>
      <c r="J868" s="208"/>
      <c r="K868" s="208"/>
      <c r="L868" s="208"/>
      <c r="M868" s="208"/>
      <c r="N868" s="208"/>
      <c r="O868" s="208"/>
      <c r="P868" s="208"/>
      <c r="Q868" s="208"/>
      <c r="R868" s="208"/>
      <c r="S868" s="208"/>
      <c r="T868" s="208"/>
      <c r="U868" s="208"/>
      <c r="V868" s="208"/>
      <c r="W868" s="232"/>
      <c r="X868" s="232"/>
      <c r="Y868" s="232"/>
      <c r="Z868" s="232"/>
      <c r="AA868" s="232"/>
      <c r="AB868" s="232"/>
      <c r="AC868" s="232"/>
      <c r="AD868" s="232"/>
      <c r="AE868" s="232"/>
      <c r="AF868" s="232"/>
      <c r="AG868" s="208"/>
      <c r="AH868" s="208"/>
      <c r="AI868" s="208"/>
      <c r="AJ868" s="208"/>
      <c r="AK868" s="208"/>
    </row>
    <row r="869">
      <c r="A869" s="234"/>
      <c r="B869" s="208"/>
      <c r="C869" s="208"/>
      <c r="D869" s="208"/>
      <c r="E869" s="208"/>
      <c r="F869" s="208"/>
      <c r="G869" s="208"/>
      <c r="H869" s="208"/>
      <c r="I869" s="233"/>
      <c r="J869" s="208"/>
      <c r="K869" s="208"/>
      <c r="L869" s="208"/>
      <c r="M869" s="208"/>
      <c r="N869" s="208"/>
      <c r="O869" s="208"/>
      <c r="P869" s="208"/>
      <c r="Q869" s="208"/>
      <c r="R869" s="208"/>
      <c r="S869" s="208"/>
      <c r="T869" s="208"/>
      <c r="U869" s="208"/>
      <c r="V869" s="208"/>
      <c r="W869" s="232"/>
      <c r="X869" s="232"/>
      <c r="Y869" s="232"/>
      <c r="Z869" s="232"/>
      <c r="AA869" s="232"/>
      <c r="AB869" s="232"/>
      <c r="AC869" s="232"/>
      <c r="AD869" s="232"/>
      <c r="AE869" s="232"/>
      <c r="AF869" s="232"/>
      <c r="AG869" s="208"/>
      <c r="AH869" s="208"/>
      <c r="AI869" s="208"/>
      <c r="AJ869" s="208"/>
      <c r="AK869" s="208"/>
    </row>
    <row r="870">
      <c r="A870" s="234"/>
      <c r="B870" s="208"/>
      <c r="C870" s="208"/>
      <c r="D870" s="208"/>
      <c r="E870" s="208"/>
      <c r="F870" s="208"/>
      <c r="G870" s="208"/>
      <c r="H870" s="208"/>
      <c r="I870" s="233"/>
      <c r="J870" s="208"/>
      <c r="K870" s="208"/>
      <c r="L870" s="208"/>
      <c r="M870" s="208"/>
      <c r="N870" s="208"/>
      <c r="O870" s="208"/>
      <c r="P870" s="208"/>
      <c r="Q870" s="208"/>
      <c r="R870" s="208"/>
      <c r="S870" s="208"/>
      <c r="T870" s="208"/>
      <c r="U870" s="208"/>
      <c r="V870" s="208"/>
      <c r="W870" s="232"/>
      <c r="X870" s="232"/>
      <c r="Y870" s="232"/>
      <c r="Z870" s="232"/>
      <c r="AA870" s="232"/>
      <c r="AB870" s="232"/>
      <c r="AC870" s="232"/>
      <c r="AD870" s="232"/>
      <c r="AE870" s="232"/>
      <c r="AF870" s="232"/>
      <c r="AG870" s="208"/>
      <c r="AH870" s="208"/>
      <c r="AI870" s="208"/>
      <c r="AJ870" s="208"/>
      <c r="AK870" s="208"/>
    </row>
    <row r="871">
      <c r="A871" s="234"/>
      <c r="B871" s="208"/>
      <c r="C871" s="208"/>
      <c r="D871" s="208"/>
      <c r="E871" s="208"/>
      <c r="F871" s="208"/>
      <c r="G871" s="208"/>
      <c r="H871" s="208"/>
      <c r="I871" s="233"/>
      <c r="J871" s="208"/>
      <c r="K871" s="208"/>
      <c r="L871" s="208"/>
      <c r="M871" s="208"/>
      <c r="N871" s="208"/>
      <c r="O871" s="208"/>
      <c r="P871" s="208"/>
      <c r="Q871" s="208"/>
      <c r="R871" s="208"/>
      <c r="S871" s="208"/>
      <c r="T871" s="208"/>
      <c r="U871" s="208"/>
      <c r="V871" s="208"/>
      <c r="W871" s="232"/>
      <c r="X871" s="232"/>
      <c r="Y871" s="232"/>
      <c r="Z871" s="232"/>
      <c r="AA871" s="232"/>
      <c r="AB871" s="232"/>
      <c r="AC871" s="232"/>
      <c r="AD871" s="232"/>
      <c r="AE871" s="232"/>
      <c r="AF871" s="232"/>
      <c r="AG871" s="208"/>
      <c r="AH871" s="208"/>
      <c r="AI871" s="208"/>
      <c r="AJ871" s="208"/>
      <c r="AK871" s="208"/>
    </row>
    <row r="872">
      <c r="A872" s="234"/>
      <c r="B872" s="208"/>
      <c r="C872" s="208"/>
      <c r="D872" s="208"/>
      <c r="E872" s="208"/>
      <c r="F872" s="208"/>
      <c r="G872" s="208"/>
      <c r="H872" s="208"/>
      <c r="I872" s="233"/>
      <c r="J872" s="208"/>
      <c r="K872" s="208"/>
      <c r="L872" s="208"/>
      <c r="M872" s="208"/>
      <c r="N872" s="208"/>
      <c r="O872" s="208"/>
      <c r="P872" s="208"/>
      <c r="Q872" s="208"/>
      <c r="R872" s="208"/>
      <c r="S872" s="208"/>
      <c r="T872" s="208"/>
      <c r="U872" s="208"/>
      <c r="V872" s="208"/>
      <c r="W872" s="232"/>
      <c r="X872" s="232"/>
      <c r="Y872" s="232"/>
      <c r="Z872" s="232"/>
      <c r="AA872" s="232"/>
      <c r="AB872" s="232"/>
      <c r="AC872" s="232"/>
      <c r="AD872" s="232"/>
      <c r="AE872" s="232"/>
      <c r="AF872" s="232"/>
      <c r="AG872" s="208"/>
      <c r="AH872" s="208"/>
      <c r="AI872" s="208"/>
      <c r="AJ872" s="208"/>
      <c r="AK872" s="208"/>
    </row>
    <row r="873">
      <c r="A873" s="234"/>
      <c r="B873" s="208"/>
      <c r="C873" s="208"/>
      <c r="D873" s="208"/>
      <c r="E873" s="208"/>
      <c r="F873" s="208"/>
      <c r="G873" s="208"/>
      <c r="H873" s="208"/>
      <c r="I873" s="233"/>
      <c r="J873" s="208"/>
      <c r="K873" s="208"/>
      <c r="L873" s="208"/>
      <c r="M873" s="208"/>
      <c r="N873" s="208"/>
      <c r="O873" s="208"/>
      <c r="P873" s="208"/>
      <c r="Q873" s="208"/>
      <c r="R873" s="208"/>
      <c r="S873" s="208"/>
      <c r="T873" s="208"/>
      <c r="U873" s="208"/>
      <c r="V873" s="208"/>
      <c r="W873" s="232"/>
      <c r="X873" s="232"/>
      <c r="Y873" s="232"/>
      <c r="Z873" s="232"/>
      <c r="AA873" s="232"/>
      <c r="AB873" s="232"/>
      <c r="AC873" s="232"/>
      <c r="AD873" s="232"/>
      <c r="AE873" s="232"/>
      <c r="AF873" s="232"/>
      <c r="AG873" s="208"/>
      <c r="AH873" s="208"/>
      <c r="AI873" s="208"/>
      <c r="AJ873" s="208"/>
      <c r="AK873" s="208"/>
    </row>
    <row r="874">
      <c r="A874" s="234"/>
      <c r="B874" s="208"/>
      <c r="C874" s="208"/>
      <c r="D874" s="208"/>
      <c r="E874" s="208"/>
      <c r="F874" s="208"/>
      <c r="G874" s="208"/>
      <c r="H874" s="208"/>
      <c r="I874" s="233"/>
      <c r="J874" s="208"/>
      <c r="K874" s="208"/>
      <c r="L874" s="208"/>
      <c r="M874" s="208"/>
      <c r="N874" s="208"/>
      <c r="O874" s="208"/>
      <c r="P874" s="208"/>
      <c r="Q874" s="208"/>
      <c r="R874" s="208"/>
      <c r="S874" s="208"/>
      <c r="T874" s="208"/>
      <c r="U874" s="208"/>
      <c r="V874" s="208"/>
      <c r="W874" s="232"/>
      <c r="X874" s="232"/>
      <c r="Y874" s="232"/>
      <c r="Z874" s="232"/>
      <c r="AA874" s="232"/>
      <c r="AB874" s="232"/>
      <c r="AC874" s="232"/>
      <c r="AD874" s="232"/>
      <c r="AE874" s="232"/>
      <c r="AF874" s="232"/>
      <c r="AG874" s="208"/>
      <c r="AH874" s="208"/>
      <c r="AI874" s="208"/>
      <c r="AJ874" s="208"/>
      <c r="AK874" s="208"/>
    </row>
    <row r="875">
      <c r="A875" s="234"/>
      <c r="B875" s="208"/>
      <c r="C875" s="208"/>
      <c r="D875" s="208"/>
      <c r="E875" s="208"/>
      <c r="F875" s="208"/>
      <c r="G875" s="208"/>
      <c r="H875" s="208"/>
      <c r="I875" s="233"/>
      <c r="J875" s="208"/>
      <c r="K875" s="208"/>
      <c r="L875" s="208"/>
      <c r="M875" s="208"/>
      <c r="N875" s="208"/>
      <c r="O875" s="208"/>
      <c r="P875" s="208"/>
      <c r="Q875" s="208"/>
      <c r="R875" s="208"/>
      <c r="S875" s="208"/>
      <c r="T875" s="208"/>
      <c r="U875" s="208"/>
      <c r="V875" s="208"/>
      <c r="W875" s="232"/>
      <c r="X875" s="232"/>
      <c r="Y875" s="232"/>
      <c r="Z875" s="232"/>
      <c r="AA875" s="232"/>
      <c r="AB875" s="232"/>
      <c r="AC875" s="232"/>
      <c r="AD875" s="232"/>
      <c r="AE875" s="232"/>
      <c r="AF875" s="232"/>
      <c r="AG875" s="208"/>
      <c r="AH875" s="208"/>
      <c r="AI875" s="208"/>
      <c r="AJ875" s="208"/>
      <c r="AK875" s="208"/>
    </row>
    <row r="876">
      <c r="A876" s="234"/>
      <c r="B876" s="208"/>
      <c r="C876" s="208"/>
      <c r="D876" s="208"/>
      <c r="E876" s="208"/>
      <c r="F876" s="208"/>
      <c r="G876" s="208"/>
      <c r="H876" s="208"/>
      <c r="I876" s="233"/>
      <c r="J876" s="208"/>
      <c r="K876" s="208"/>
      <c r="L876" s="208"/>
      <c r="M876" s="208"/>
      <c r="N876" s="208"/>
      <c r="O876" s="208"/>
      <c r="P876" s="208"/>
      <c r="Q876" s="208"/>
      <c r="R876" s="208"/>
      <c r="S876" s="208"/>
      <c r="T876" s="208"/>
      <c r="U876" s="208"/>
      <c r="V876" s="208"/>
      <c r="W876" s="232"/>
      <c r="X876" s="232"/>
      <c r="Y876" s="232"/>
      <c r="Z876" s="232"/>
      <c r="AA876" s="232"/>
      <c r="AB876" s="232"/>
      <c r="AC876" s="232"/>
      <c r="AD876" s="232"/>
      <c r="AE876" s="232"/>
      <c r="AF876" s="232"/>
      <c r="AG876" s="208"/>
      <c r="AH876" s="208"/>
      <c r="AI876" s="208"/>
      <c r="AJ876" s="208"/>
      <c r="AK876" s="208"/>
    </row>
    <row r="877">
      <c r="A877" s="234"/>
      <c r="B877" s="208"/>
      <c r="C877" s="208"/>
      <c r="D877" s="208"/>
      <c r="E877" s="208"/>
      <c r="F877" s="208"/>
      <c r="G877" s="208"/>
      <c r="H877" s="208"/>
      <c r="I877" s="233"/>
      <c r="J877" s="208"/>
      <c r="K877" s="208"/>
      <c r="L877" s="208"/>
      <c r="M877" s="208"/>
      <c r="N877" s="208"/>
      <c r="O877" s="208"/>
      <c r="P877" s="208"/>
      <c r="Q877" s="208"/>
      <c r="R877" s="208"/>
      <c r="S877" s="208"/>
      <c r="T877" s="208"/>
      <c r="U877" s="208"/>
      <c r="V877" s="208"/>
      <c r="W877" s="232"/>
      <c r="X877" s="232"/>
      <c r="Y877" s="232"/>
      <c r="Z877" s="232"/>
      <c r="AA877" s="232"/>
      <c r="AB877" s="232"/>
      <c r="AC877" s="232"/>
      <c r="AD877" s="232"/>
      <c r="AE877" s="232"/>
      <c r="AF877" s="232"/>
      <c r="AG877" s="208"/>
      <c r="AH877" s="208"/>
      <c r="AI877" s="208"/>
      <c r="AJ877" s="208"/>
      <c r="AK877" s="208"/>
    </row>
    <row r="878">
      <c r="A878" s="234"/>
      <c r="B878" s="208"/>
      <c r="C878" s="208"/>
      <c r="D878" s="208"/>
      <c r="E878" s="208"/>
      <c r="F878" s="208"/>
      <c r="G878" s="208"/>
      <c r="H878" s="208"/>
      <c r="I878" s="233"/>
      <c r="J878" s="208"/>
      <c r="K878" s="208"/>
      <c r="L878" s="208"/>
      <c r="M878" s="208"/>
      <c r="N878" s="208"/>
      <c r="O878" s="208"/>
      <c r="P878" s="208"/>
      <c r="Q878" s="208"/>
      <c r="R878" s="208"/>
      <c r="S878" s="208"/>
      <c r="T878" s="208"/>
      <c r="U878" s="208"/>
      <c r="V878" s="208"/>
      <c r="W878" s="232"/>
      <c r="X878" s="232"/>
      <c r="Y878" s="232"/>
      <c r="Z878" s="232"/>
      <c r="AA878" s="232"/>
      <c r="AB878" s="232"/>
      <c r="AC878" s="232"/>
      <c r="AD878" s="232"/>
      <c r="AE878" s="232"/>
      <c r="AF878" s="232"/>
      <c r="AG878" s="208"/>
      <c r="AH878" s="208"/>
      <c r="AI878" s="208"/>
      <c r="AJ878" s="208"/>
      <c r="AK878" s="208"/>
    </row>
    <row r="879">
      <c r="A879" s="234"/>
      <c r="B879" s="208"/>
      <c r="C879" s="208"/>
      <c r="D879" s="208"/>
      <c r="E879" s="208"/>
      <c r="F879" s="208"/>
      <c r="G879" s="208"/>
      <c r="H879" s="208"/>
      <c r="I879" s="233"/>
      <c r="J879" s="208"/>
      <c r="K879" s="208"/>
      <c r="L879" s="208"/>
      <c r="M879" s="208"/>
      <c r="N879" s="208"/>
      <c r="O879" s="208"/>
      <c r="P879" s="208"/>
      <c r="Q879" s="208"/>
      <c r="R879" s="208"/>
      <c r="S879" s="208"/>
      <c r="T879" s="208"/>
      <c r="U879" s="208"/>
      <c r="V879" s="208"/>
      <c r="W879" s="232"/>
      <c r="X879" s="232"/>
      <c r="Y879" s="232"/>
      <c r="Z879" s="232"/>
      <c r="AA879" s="232"/>
      <c r="AB879" s="232"/>
      <c r="AC879" s="232"/>
      <c r="AD879" s="232"/>
      <c r="AE879" s="232"/>
      <c r="AF879" s="232"/>
      <c r="AG879" s="208"/>
      <c r="AH879" s="208"/>
      <c r="AI879" s="208"/>
      <c r="AJ879" s="208"/>
      <c r="AK879" s="208"/>
    </row>
    <row r="880">
      <c r="A880" s="234"/>
      <c r="B880" s="208"/>
      <c r="C880" s="208"/>
      <c r="D880" s="208"/>
      <c r="E880" s="208"/>
      <c r="F880" s="208"/>
      <c r="G880" s="208"/>
      <c r="H880" s="208"/>
      <c r="I880" s="233"/>
      <c r="J880" s="208"/>
      <c r="K880" s="208"/>
      <c r="L880" s="208"/>
      <c r="M880" s="208"/>
      <c r="N880" s="208"/>
      <c r="O880" s="208"/>
      <c r="P880" s="208"/>
      <c r="Q880" s="208"/>
      <c r="R880" s="208"/>
      <c r="S880" s="208"/>
      <c r="T880" s="208"/>
      <c r="U880" s="208"/>
      <c r="V880" s="208"/>
      <c r="W880" s="232"/>
      <c r="X880" s="232"/>
      <c r="Y880" s="232"/>
      <c r="Z880" s="232"/>
      <c r="AA880" s="232"/>
      <c r="AB880" s="232"/>
      <c r="AC880" s="232"/>
      <c r="AD880" s="232"/>
      <c r="AE880" s="232"/>
      <c r="AF880" s="232"/>
      <c r="AG880" s="208"/>
      <c r="AH880" s="208"/>
      <c r="AI880" s="208"/>
      <c r="AJ880" s="208"/>
      <c r="AK880" s="208"/>
    </row>
    <row r="881">
      <c r="A881" s="234"/>
      <c r="B881" s="208"/>
      <c r="C881" s="208"/>
      <c r="D881" s="208"/>
      <c r="E881" s="208"/>
      <c r="F881" s="208"/>
      <c r="G881" s="208"/>
      <c r="H881" s="208"/>
      <c r="I881" s="233"/>
      <c r="J881" s="208"/>
      <c r="K881" s="208"/>
      <c r="L881" s="208"/>
      <c r="M881" s="208"/>
      <c r="N881" s="208"/>
      <c r="O881" s="208"/>
      <c r="P881" s="208"/>
      <c r="Q881" s="208"/>
      <c r="R881" s="208"/>
      <c r="S881" s="208"/>
      <c r="T881" s="208"/>
      <c r="U881" s="208"/>
      <c r="V881" s="208"/>
      <c r="W881" s="232"/>
      <c r="X881" s="232"/>
      <c r="Y881" s="232"/>
      <c r="Z881" s="232"/>
      <c r="AA881" s="232"/>
      <c r="AB881" s="232"/>
      <c r="AC881" s="232"/>
      <c r="AD881" s="232"/>
      <c r="AE881" s="232"/>
      <c r="AF881" s="232"/>
      <c r="AG881" s="208"/>
      <c r="AH881" s="208"/>
      <c r="AI881" s="208"/>
      <c r="AJ881" s="208"/>
      <c r="AK881" s="208"/>
    </row>
    <row r="882">
      <c r="A882" s="234"/>
      <c r="B882" s="208"/>
      <c r="C882" s="208"/>
      <c r="D882" s="208"/>
      <c r="E882" s="208"/>
      <c r="F882" s="208"/>
      <c r="G882" s="208"/>
      <c r="H882" s="208"/>
      <c r="I882" s="233"/>
      <c r="J882" s="208"/>
      <c r="K882" s="208"/>
      <c r="L882" s="208"/>
      <c r="M882" s="208"/>
      <c r="N882" s="208"/>
      <c r="O882" s="208"/>
      <c r="P882" s="208"/>
      <c r="Q882" s="208"/>
      <c r="R882" s="208"/>
      <c r="S882" s="208"/>
      <c r="T882" s="208"/>
      <c r="U882" s="208"/>
      <c r="V882" s="208"/>
      <c r="W882" s="232"/>
      <c r="X882" s="232"/>
      <c r="Y882" s="232"/>
      <c r="Z882" s="232"/>
      <c r="AA882" s="232"/>
      <c r="AB882" s="232"/>
      <c r="AC882" s="232"/>
      <c r="AD882" s="232"/>
      <c r="AE882" s="232"/>
      <c r="AF882" s="232"/>
      <c r="AG882" s="208"/>
      <c r="AH882" s="208"/>
      <c r="AI882" s="208"/>
      <c r="AJ882" s="208"/>
      <c r="AK882" s="208"/>
    </row>
    <row r="883">
      <c r="A883" s="234"/>
      <c r="B883" s="208"/>
      <c r="C883" s="208"/>
      <c r="D883" s="208"/>
      <c r="E883" s="208"/>
      <c r="F883" s="208"/>
      <c r="G883" s="208"/>
      <c r="H883" s="208"/>
      <c r="I883" s="233"/>
      <c r="J883" s="208"/>
      <c r="K883" s="208"/>
      <c r="L883" s="208"/>
      <c r="M883" s="208"/>
      <c r="N883" s="208"/>
      <c r="O883" s="208"/>
      <c r="P883" s="208"/>
      <c r="Q883" s="208"/>
      <c r="R883" s="208"/>
      <c r="S883" s="208"/>
      <c r="T883" s="208"/>
      <c r="U883" s="208"/>
      <c r="V883" s="208"/>
      <c r="W883" s="232"/>
      <c r="X883" s="232"/>
      <c r="Y883" s="232"/>
      <c r="Z883" s="232"/>
      <c r="AA883" s="232"/>
      <c r="AB883" s="232"/>
      <c r="AC883" s="232"/>
      <c r="AD883" s="232"/>
      <c r="AE883" s="232"/>
      <c r="AF883" s="232"/>
      <c r="AG883" s="208"/>
      <c r="AH883" s="208"/>
      <c r="AI883" s="208"/>
      <c r="AJ883" s="208"/>
      <c r="AK883" s="208"/>
    </row>
    <row r="884">
      <c r="A884" s="234"/>
      <c r="B884" s="208"/>
      <c r="C884" s="208"/>
      <c r="D884" s="208"/>
      <c r="E884" s="208"/>
      <c r="F884" s="208"/>
      <c r="G884" s="208"/>
      <c r="H884" s="208"/>
      <c r="I884" s="233"/>
      <c r="J884" s="208"/>
      <c r="K884" s="208"/>
      <c r="L884" s="208"/>
      <c r="M884" s="208"/>
      <c r="N884" s="208"/>
      <c r="O884" s="208"/>
      <c r="P884" s="208"/>
      <c r="Q884" s="208"/>
      <c r="R884" s="208"/>
      <c r="S884" s="208"/>
      <c r="T884" s="208"/>
      <c r="U884" s="208"/>
      <c r="V884" s="208"/>
      <c r="W884" s="232"/>
      <c r="X884" s="232"/>
      <c r="Y884" s="232"/>
      <c r="Z884" s="232"/>
      <c r="AA884" s="232"/>
      <c r="AB884" s="232"/>
      <c r="AC884" s="232"/>
      <c r="AD884" s="232"/>
      <c r="AE884" s="232"/>
      <c r="AF884" s="232"/>
      <c r="AG884" s="208"/>
      <c r="AH884" s="208"/>
      <c r="AI884" s="208"/>
      <c r="AJ884" s="208"/>
      <c r="AK884" s="208"/>
    </row>
    <row r="885">
      <c r="A885" s="234"/>
      <c r="B885" s="208"/>
      <c r="C885" s="208"/>
      <c r="D885" s="208"/>
      <c r="E885" s="208"/>
      <c r="F885" s="208"/>
      <c r="G885" s="208"/>
      <c r="H885" s="208"/>
      <c r="I885" s="233"/>
      <c r="J885" s="208"/>
      <c r="K885" s="208"/>
      <c r="L885" s="208"/>
      <c r="M885" s="208"/>
      <c r="N885" s="208"/>
      <c r="O885" s="208"/>
      <c r="P885" s="208"/>
      <c r="Q885" s="208"/>
      <c r="R885" s="208"/>
      <c r="S885" s="208"/>
      <c r="T885" s="208"/>
      <c r="U885" s="208"/>
      <c r="V885" s="208"/>
      <c r="W885" s="232"/>
      <c r="X885" s="232"/>
      <c r="Y885" s="232"/>
      <c r="Z885" s="232"/>
      <c r="AA885" s="232"/>
      <c r="AB885" s="232"/>
      <c r="AC885" s="232"/>
      <c r="AD885" s="232"/>
      <c r="AE885" s="232"/>
      <c r="AF885" s="232"/>
      <c r="AG885" s="208"/>
      <c r="AH885" s="208"/>
      <c r="AI885" s="208"/>
      <c r="AJ885" s="208"/>
      <c r="AK885" s="208"/>
    </row>
    <row r="886">
      <c r="A886" s="234"/>
      <c r="B886" s="208"/>
      <c r="C886" s="208"/>
      <c r="D886" s="208"/>
      <c r="E886" s="208"/>
      <c r="F886" s="208"/>
      <c r="G886" s="208"/>
      <c r="H886" s="208"/>
      <c r="I886" s="233"/>
      <c r="J886" s="208"/>
      <c r="K886" s="208"/>
      <c r="L886" s="208"/>
      <c r="M886" s="208"/>
      <c r="N886" s="208"/>
      <c r="O886" s="208"/>
      <c r="P886" s="208"/>
      <c r="Q886" s="208"/>
      <c r="R886" s="208"/>
      <c r="S886" s="208"/>
      <c r="T886" s="208"/>
      <c r="U886" s="208"/>
      <c r="V886" s="208"/>
      <c r="W886" s="232"/>
      <c r="X886" s="232"/>
      <c r="Y886" s="232"/>
      <c r="Z886" s="232"/>
      <c r="AA886" s="232"/>
      <c r="AB886" s="232"/>
      <c r="AC886" s="232"/>
      <c r="AD886" s="232"/>
      <c r="AE886" s="232"/>
      <c r="AF886" s="232"/>
      <c r="AG886" s="208"/>
      <c r="AH886" s="208"/>
      <c r="AI886" s="208"/>
      <c r="AJ886" s="208"/>
      <c r="AK886" s="208"/>
    </row>
    <row r="887">
      <c r="A887" s="234"/>
      <c r="B887" s="208"/>
      <c r="C887" s="208"/>
      <c r="D887" s="208"/>
      <c r="E887" s="208"/>
      <c r="F887" s="208"/>
      <c r="G887" s="208"/>
      <c r="H887" s="208"/>
      <c r="I887" s="233"/>
      <c r="J887" s="208"/>
      <c r="K887" s="208"/>
      <c r="L887" s="208"/>
      <c r="M887" s="208"/>
      <c r="N887" s="208"/>
      <c r="O887" s="208"/>
      <c r="P887" s="208"/>
      <c r="Q887" s="208"/>
      <c r="R887" s="208"/>
      <c r="S887" s="208"/>
      <c r="T887" s="208"/>
      <c r="U887" s="208"/>
      <c r="V887" s="208"/>
      <c r="W887" s="232"/>
      <c r="X887" s="232"/>
      <c r="Y887" s="232"/>
      <c r="Z887" s="232"/>
      <c r="AA887" s="232"/>
      <c r="AB887" s="232"/>
      <c r="AC887" s="232"/>
      <c r="AD887" s="232"/>
      <c r="AE887" s="232"/>
      <c r="AF887" s="232"/>
      <c r="AG887" s="208"/>
      <c r="AH887" s="208"/>
      <c r="AI887" s="208"/>
      <c r="AJ887" s="208"/>
      <c r="AK887" s="208"/>
    </row>
    <row r="888">
      <c r="A888" s="234"/>
      <c r="B888" s="208"/>
      <c r="C888" s="208"/>
      <c r="D888" s="208"/>
      <c r="E888" s="208"/>
      <c r="F888" s="208"/>
      <c r="G888" s="208"/>
      <c r="H888" s="208"/>
      <c r="I888" s="233"/>
      <c r="J888" s="208"/>
      <c r="K888" s="208"/>
      <c r="L888" s="208"/>
      <c r="M888" s="208"/>
      <c r="N888" s="208"/>
      <c r="O888" s="208"/>
      <c r="P888" s="208"/>
      <c r="Q888" s="208"/>
      <c r="R888" s="208"/>
      <c r="S888" s="208"/>
      <c r="T888" s="208"/>
      <c r="U888" s="208"/>
      <c r="V888" s="208"/>
      <c r="W888" s="232"/>
      <c r="X888" s="232"/>
      <c r="Y888" s="232"/>
      <c r="Z888" s="232"/>
      <c r="AA888" s="232"/>
      <c r="AB888" s="232"/>
      <c r="AC888" s="232"/>
      <c r="AD888" s="232"/>
      <c r="AE888" s="232"/>
      <c r="AF888" s="232"/>
      <c r="AG888" s="208"/>
      <c r="AH888" s="208"/>
      <c r="AI888" s="208"/>
      <c r="AJ888" s="208"/>
      <c r="AK888" s="208"/>
    </row>
    <row r="889">
      <c r="A889" s="234"/>
      <c r="B889" s="208"/>
      <c r="C889" s="208"/>
      <c r="D889" s="208"/>
      <c r="E889" s="208"/>
      <c r="F889" s="208"/>
      <c r="G889" s="208"/>
      <c r="H889" s="208"/>
      <c r="I889" s="233"/>
      <c r="J889" s="208"/>
      <c r="K889" s="208"/>
      <c r="L889" s="208"/>
      <c r="M889" s="208"/>
      <c r="N889" s="208"/>
      <c r="O889" s="208"/>
      <c r="P889" s="208"/>
      <c r="Q889" s="208"/>
      <c r="R889" s="208"/>
      <c r="S889" s="208"/>
      <c r="T889" s="208"/>
      <c r="U889" s="208"/>
      <c r="V889" s="208"/>
      <c r="W889" s="232"/>
      <c r="X889" s="232"/>
      <c r="Y889" s="232"/>
      <c r="Z889" s="232"/>
      <c r="AA889" s="232"/>
      <c r="AB889" s="232"/>
      <c r="AC889" s="232"/>
      <c r="AD889" s="232"/>
      <c r="AE889" s="232"/>
      <c r="AF889" s="232"/>
      <c r="AG889" s="208"/>
      <c r="AH889" s="208"/>
      <c r="AI889" s="208"/>
      <c r="AJ889" s="208"/>
      <c r="AK889" s="208"/>
    </row>
    <row r="890">
      <c r="A890" s="234"/>
      <c r="B890" s="208"/>
      <c r="C890" s="208"/>
      <c r="D890" s="208"/>
      <c r="E890" s="208"/>
      <c r="F890" s="208"/>
      <c r="G890" s="208"/>
      <c r="H890" s="208"/>
      <c r="I890" s="233"/>
      <c r="J890" s="208"/>
      <c r="K890" s="208"/>
      <c r="L890" s="208"/>
      <c r="M890" s="208"/>
      <c r="N890" s="208"/>
      <c r="O890" s="208"/>
      <c r="P890" s="208"/>
      <c r="Q890" s="208"/>
      <c r="R890" s="208"/>
      <c r="S890" s="208"/>
      <c r="T890" s="208"/>
      <c r="U890" s="208"/>
      <c r="V890" s="208"/>
      <c r="W890" s="232"/>
      <c r="X890" s="232"/>
      <c r="Y890" s="232"/>
      <c r="Z890" s="232"/>
      <c r="AA890" s="232"/>
      <c r="AB890" s="232"/>
      <c r="AC890" s="232"/>
      <c r="AD890" s="232"/>
      <c r="AE890" s="232"/>
      <c r="AF890" s="232"/>
      <c r="AG890" s="208"/>
      <c r="AH890" s="208"/>
      <c r="AI890" s="208"/>
      <c r="AJ890" s="208"/>
      <c r="AK890" s="208"/>
    </row>
    <row r="891">
      <c r="A891" s="234"/>
      <c r="B891" s="208"/>
      <c r="C891" s="208"/>
      <c r="D891" s="208"/>
      <c r="E891" s="208"/>
      <c r="F891" s="208"/>
      <c r="G891" s="208"/>
      <c r="H891" s="208"/>
      <c r="I891" s="233"/>
      <c r="J891" s="208"/>
      <c r="K891" s="208"/>
      <c r="L891" s="208"/>
      <c r="M891" s="208"/>
      <c r="N891" s="208"/>
      <c r="O891" s="208"/>
      <c r="P891" s="208"/>
      <c r="Q891" s="208"/>
      <c r="R891" s="208"/>
      <c r="S891" s="208"/>
      <c r="T891" s="208"/>
      <c r="U891" s="208"/>
      <c r="V891" s="208"/>
      <c r="W891" s="232"/>
      <c r="X891" s="232"/>
      <c r="Y891" s="232"/>
      <c r="Z891" s="232"/>
      <c r="AA891" s="232"/>
      <c r="AB891" s="232"/>
      <c r="AC891" s="232"/>
      <c r="AD891" s="232"/>
      <c r="AE891" s="232"/>
      <c r="AF891" s="232"/>
      <c r="AG891" s="208"/>
      <c r="AH891" s="208"/>
      <c r="AI891" s="208"/>
      <c r="AJ891" s="208"/>
      <c r="AK891" s="208"/>
    </row>
    <row r="892">
      <c r="A892" s="234"/>
      <c r="B892" s="208"/>
      <c r="C892" s="208"/>
      <c r="D892" s="208"/>
      <c r="E892" s="208"/>
      <c r="F892" s="208"/>
      <c r="G892" s="208"/>
      <c r="H892" s="208"/>
      <c r="I892" s="233"/>
      <c r="J892" s="208"/>
      <c r="K892" s="208"/>
      <c r="L892" s="208"/>
      <c r="M892" s="208"/>
      <c r="N892" s="208"/>
      <c r="O892" s="208"/>
      <c r="P892" s="208"/>
      <c r="Q892" s="208"/>
      <c r="R892" s="208"/>
      <c r="S892" s="208"/>
      <c r="T892" s="208"/>
      <c r="U892" s="208"/>
      <c r="V892" s="208"/>
      <c r="W892" s="232"/>
      <c r="X892" s="232"/>
      <c r="Y892" s="232"/>
      <c r="Z892" s="232"/>
      <c r="AA892" s="232"/>
      <c r="AB892" s="232"/>
      <c r="AC892" s="232"/>
      <c r="AD892" s="232"/>
      <c r="AE892" s="232"/>
      <c r="AF892" s="232"/>
      <c r="AG892" s="208"/>
      <c r="AH892" s="208"/>
      <c r="AI892" s="208"/>
      <c r="AJ892" s="208"/>
      <c r="AK892" s="208"/>
    </row>
    <row r="893">
      <c r="A893" s="234"/>
      <c r="B893" s="208"/>
      <c r="C893" s="208"/>
      <c r="D893" s="208"/>
      <c r="E893" s="208"/>
      <c r="F893" s="208"/>
      <c r="G893" s="208"/>
      <c r="H893" s="208"/>
      <c r="I893" s="233"/>
      <c r="J893" s="208"/>
      <c r="K893" s="208"/>
      <c r="L893" s="208"/>
      <c r="M893" s="208"/>
      <c r="N893" s="208"/>
      <c r="O893" s="208"/>
      <c r="P893" s="208"/>
      <c r="Q893" s="208"/>
      <c r="R893" s="208"/>
      <c r="S893" s="208"/>
      <c r="T893" s="208"/>
      <c r="U893" s="208"/>
      <c r="V893" s="208"/>
      <c r="W893" s="232"/>
      <c r="X893" s="232"/>
      <c r="Y893" s="232"/>
      <c r="Z893" s="232"/>
      <c r="AA893" s="232"/>
      <c r="AB893" s="232"/>
      <c r="AC893" s="232"/>
      <c r="AD893" s="232"/>
      <c r="AE893" s="232"/>
      <c r="AF893" s="232"/>
      <c r="AG893" s="208"/>
      <c r="AH893" s="208"/>
      <c r="AI893" s="208"/>
      <c r="AJ893" s="208"/>
      <c r="AK893" s="208"/>
    </row>
    <row r="894">
      <c r="A894" s="234"/>
      <c r="B894" s="208"/>
      <c r="C894" s="208"/>
      <c r="D894" s="208"/>
      <c r="E894" s="208"/>
      <c r="F894" s="208"/>
      <c r="G894" s="208"/>
      <c r="H894" s="208"/>
      <c r="I894" s="233"/>
      <c r="J894" s="208"/>
      <c r="K894" s="208"/>
      <c r="L894" s="208"/>
      <c r="M894" s="208"/>
      <c r="N894" s="208"/>
      <c r="O894" s="208"/>
      <c r="P894" s="208"/>
      <c r="Q894" s="208"/>
      <c r="R894" s="208"/>
      <c r="S894" s="208"/>
      <c r="T894" s="208"/>
      <c r="U894" s="208"/>
      <c r="V894" s="208"/>
      <c r="W894" s="232"/>
      <c r="X894" s="232"/>
      <c r="Y894" s="232"/>
      <c r="Z894" s="232"/>
      <c r="AA894" s="232"/>
      <c r="AB894" s="232"/>
      <c r="AC894" s="232"/>
      <c r="AD894" s="232"/>
      <c r="AE894" s="232"/>
      <c r="AF894" s="232"/>
      <c r="AG894" s="208"/>
      <c r="AH894" s="208"/>
      <c r="AI894" s="208"/>
      <c r="AJ894" s="208"/>
      <c r="AK894" s="208"/>
    </row>
    <row r="895">
      <c r="A895" s="234"/>
      <c r="B895" s="208"/>
      <c r="C895" s="208"/>
      <c r="D895" s="208"/>
      <c r="E895" s="208"/>
      <c r="F895" s="208"/>
      <c r="G895" s="208"/>
      <c r="H895" s="208"/>
      <c r="I895" s="233"/>
      <c r="J895" s="208"/>
      <c r="K895" s="208"/>
      <c r="L895" s="208"/>
      <c r="M895" s="208"/>
      <c r="N895" s="208"/>
      <c r="O895" s="208"/>
      <c r="P895" s="208"/>
      <c r="Q895" s="208"/>
      <c r="R895" s="208"/>
      <c r="S895" s="208"/>
      <c r="T895" s="208"/>
      <c r="U895" s="208"/>
      <c r="V895" s="208"/>
      <c r="W895" s="232"/>
      <c r="X895" s="232"/>
      <c r="Y895" s="232"/>
      <c r="Z895" s="232"/>
      <c r="AA895" s="232"/>
      <c r="AB895" s="232"/>
      <c r="AC895" s="232"/>
      <c r="AD895" s="232"/>
      <c r="AE895" s="232"/>
      <c r="AF895" s="232"/>
      <c r="AG895" s="208"/>
      <c r="AH895" s="208"/>
      <c r="AI895" s="208"/>
      <c r="AJ895" s="208"/>
      <c r="AK895" s="208"/>
    </row>
    <row r="896">
      <c r="A896" s="234"/>
      <c r="B896" s="208"/>
      <c r="C896" s="208"/>
      <c r="D896" s="208"/>
      <c r="E896" s="208"/>
      <c r="F896" s="208"/>
      <c r="G896" s="208"/>
      <c r="H896" s="208"/>
      <c r="I896" s="233"/>
      <c r="J896" s="208"/>
      <c r="K896" s="208"/>
      <c r="L896" s="208"/>
      <c r="M896" s="208"/>
      <c r="N896" s="208"/>
      <c r="O896" s="208"/>
      <c r="P896" s="208"/>
      <c r="Q896" s="208"/>
      <c r="R896" s="208"/>
      <c r="S896" s="208"/>
      <c r="T896" s="208"/>
      <c r="U896" s="208"/>
      <c r="V896" s="208"/>
      <c r="W896" s="232"/>
      <c r="X896" s="232"/>
      <c r="Y896" s="232"/>
      <c r="Z896" s="232"/>
      <c r="AA896" s="232"/>
      <c r="AB896" s="232"/>
      <c r="AC896" s="232"/>
      <c r="AD896" s="232"/>
      <c r="AE896" s="232"/>
      <c r="AF896" s="232"/>
      <c r="AG896" s="208"/>
      <c r="AH896" s="208"/>
      <c r="AI896" s="208"/>
      <c r="AJ896" s="208"/>
      <c r="AK896" s="208"/>
    </row>
    <row r="897">
      <c r="A897" s="234"/>
      <c r="B897" s="208"/>
      <c r="C897" s="208"/>
      <c r="D897" s="208"/>
      <c r="E897" s="208"/>
      <c r="F897" s="208"/>
      <c r="G897" s="208"/>
      <c r="H897" s="208"/>
      <c r="I897" s="233"/>
      <c r="J897" s="208"/>
      <c r="K897" s="208"/>
      <c r="L897" s="208"/>
      <c r="M897" s="208"/>
      <c r="N897" s="208"/>
      <c r="O897" s="208"/>
      <c r="P897" s="208"/>
      <c r="Q897" s="208"/>
      <c r="R897" s="208"/>
      <c r="S897" s="208"/>
      <c r="T897" s="208"/>
      <c r="U897" s="208"/>
      <c r="V897" s="208"/>
      <c r="W897" s="232"/>
      <c r="X897" s="232"/>
      <c r="Y897" s="232"/>
      <c r="Z897" s="232"/>
      <c r="AA897" s="232"/>
      <c r="AB897" s="232"/>
      <c r="AC897" s="232"/>
      <c r="AD897" s="232"/>
      <c r="AE897" s="232"/>
      <c r="AF897" s="232"/>
      <c r="AG897" s="208"/>
      <c r="AH897" s="208"/>
      <c r="AI897" s="208"/>
      <c r="AJ897" s="208"/>
      <c r="AK897" s="208"/>
    </row>
    <row r="898">
      <c r="A898" s="234"/>
      <c r="B898" s="208"/>
      <c r="C898" s="208"/>
      <c r="D898" s="208"/>
      <c r="E898" s="208"/>
      <c r="F898" s="208"/>
      <c r="G898" s="208"/>
      <c r="H898" s="208"/>
      <c r="I898" s="233"/>
      <c r="J898" s="208"/>
      <c r="K898" s="208"/>
      <c r="L898" s="208"/>
      <c r="M898" s="208"/>
      <c r="N898" s="208"/>
      <c r="O898" s="208"/>
      <c r="P898" s="208"/>
      <c r="Q898" s="208"/>
      <c r="R898" s="208"/>
      <c r="S898" s="208"/>
      <c r="T898" s="208"/>
      <c r="U898" s="208"/>
      <c r="V898" s="208"/>
      <c r="W898" s="232"/>
      <c r="X898" s="232"/>
      <c r="Y898" s="232"/>
      <c r="Z898" s="232"/>
      <c r="AA898" s="232"/>
      <c r="AB898" s="232"/>
      <c r="AC898" s="232"/>
      <c r="AD898" s="232"/>
      <c r="AE898" s="232"/>
      <c r="AF898" s="232"/>
      <c r="AG898" s="208"/>
      <c r="AH898" s="208"/>
      <c r="AI898" s="208"/>
      <c r="AJ898" s="208"/>
      <c r="AK898" s="208"/>
    </row>
    <row r="899">
      <c r="A899" s="234"/>
      <c r="B899" s="208"/>
      <c r="C899" s="208"/>
      <c r="D899" s="208"/>
      <c r="E899" s="208"/>
      <c r="F899" s="208"/>
      <c r="G899" s="208"/>
      <c r="H899" s="208"/>
      <c r="I899" s="233"/>
      <c r="J899" s="208"/>
      <c r="K899" s="208"/>
      <c r="L899" s="208"/>
      <c r="M899" s="208"/>
      <c r="N899" s="208"/>
      <c r="O899" s="208"/>
      <c r="P899" s="208"/>
      <c r="Q899" s="208"/>
      <c r="R899" s="208"/>
      <c r="S899" s="208"/>
      <c r="T899" s="208"/>
      <c r="U899" s="208"/>
      <c r="V899" s="208"/>
      <c r="W899" s="232"/>
      <c r="X899" s="232"/>
      <c r="Y899" s="232"/>
      <c r="Z899" s="232"/>
      <c r="AA899" s="232"/>
      <c r="AB899" s="232"/>
      <c r="AC899" s="232"/>
      <c r="AD899" s="232"/>
      <c r="AE899" s="232"/>
      <c r="AF899" s="232"/>
      <c r="AG899" s="208"/>
      <c r="AH899" s="208"/>
      <c r="AI899" s="208"/>
      <c r="AJ899" s="208"/>
      <c r="AK899" s="208"/>
    </row>
    <row r="900">
      <c r="A900" s="234"/>
      <c r="B900" s="208"/>
      <c r="C900" s="208"/>
      <c r="D900" s="208"/>
      <c r="E900" s="208"/>
      <c r="F900" s="208"/>
      <c r="G900" s="208"/>
      <c r="H900" s="208"/>
      <c r="I900" s="233"/>
      <c r="J900" s="208"/>
      <c r="K900" s="208"/>
      <c r="L900" s="208"/>
      <c r="M900" s="208"/>
      <c r="N900" s="208"/>
      <c r="O900" s="208"/>
      <c r="P900" s="208"/>
      <c r="Q900" s="208"/>
      <c r="R900" s="208"/>
      <c r="S900" s="208"/>
      <c r="T900" s="208"/>
      <c r="U900" s="208"/>
      <c r="V900" s="208"/>
      <c r="W900" s="232"/>
      <c r="X900" s="232"/>
      <c r="Y900" s="232"/>
      <c r="Z900" s="232"/>
      <c r="AA900" s="232"/>
      <c r="AB900" s="232"/>
      <c r="AC900" s="232"/>
      <c r="AD900" s="232"/>
      <c r="AE900" s="232"/>
      <c r="AF900" s="232"/>
      <c r="AG900" s="208"/>
      <c r="AH900" s="208"/>
      <c r="AI900" s="208"/>
      <c r="AJ900" s="208"/>
      <c r="AK900" s="208"/>
    </row>
    <row r="901">
      <c r="A901" s="234"/>
      <c r="B901" s="208"/>
      <c r="C901" s="208"/>
      <c r="D901" s="208"/>
      <c r="E901" s="208"/>
      <c r="F901" s="208"/>
      <c r="G901" s="208"/>
      <c r="H901" s="208"/>
      <c r="I901" s="233"/>
      <c r="J901" s="208"/>
      <c r="K901" s="208"/>
      <c r="L901" s="208"/>
      <c r="M901" s="208"/>
      <c r="N901" s="208"/>
      <c r="O901" s="208"/>
      <c r="P901" s="208"/>
      <c r="Q901" s="208"/>
      <c r="R901" s="208"/>
      <c r="S901" s="208"/>
      <c r="T901" s="208"/>
      <c r="U901" s="208"/>
      <c r="V901" s="208"/>
      <c r="W901" s="232"/>
      <c r="X901" s="232"/>
      <c r="Y901" s="232"/>
      <c r="Z901" s="232"/>
      <c r="AA901" s="232"/>
      <c r="AB901" s="232"/>
      <c r="AC901" s="232"/>
      <c r="AD901" s="232"/>
      <c r="AE901" s="232"/>
      <c r="AF901" s="232"/>
      <c r="AG901" s="208"/>
      <c r="AH901" s="208"/>
      <c r="AI901" s="208"/>
      <c r="AJ901" s="208"/>
      <c r="AK901" s="208"/>
    </row>
    <row r="902">
      <c r="A902" s="234"/>
      <c r="B902" s="208"/>
      <c r="C902" s="208"/>
      <c r="D902" s="208"/>
      <c r="E902" s="208"/>
      <c r="F902" s="208"/>
      <c r="G902" s="208"/>
      <c r="H902" s="208"/>
      <c r="I902" s="233"/>
      <c r="J902" s="208"/>
      <c r="K902" s="208"/>
      <c r="L902" s="208"/>
      <c r="M902" s="208"/>
      <c r="N902" s="208"/>
      <c r="O902" s="208"/>
      <c r="P902" s="208"/>
      <c r="Q902" s="208"/>
      <c r="R902" s="208"/>
      <c r="S902" s="208"/>
      <c r="T902" s="208"/>
      <c r="U902" s="208"/>
      <c r="V902" s="208"/>
      <c r="W902" s="232"/>
      <c r="X902" s="232"/>
      <c r="Y902" s="232"/>
      <c r="Z902" s="232"/>
      <c r="AA902" s="232"/>
      <c r="AB902" s="232"/>
      <c r="AC902" s="232"/>
      <c r="AD902" s="232"/>
      <c r="AE902" s="232"/>
      <c r="AF902" s="232"/>
      <c r="AG902" s="208"/>
      <c r="AH902" s="208"/>
      <c r="AI902" s="208"/>
      <c r="AJ902" s="208"/>
      <c r="AK902" s="208"/>
    </row>
    <row r="903">
      <c r="A903" s="234"/>
      <c r="B903" s="208"/>
      <c r="C903" s="208"/>
      <c r="D903" s="208"/>
      <c r="E903" s="208"/>
      <c r="F903" s="208"/>
      <c r="G903" s="208"/>
      <c r="H903" s="208"/>
      <c r="I903" s="233"/>
      <c r="J903" s="208"/>
      <c r="K903" s="208"/>
      <c r="L903" s="208"/>
      <c r="M903" s="208"/>
      <c r="N903" s="208"/>
      <c r="O903" s="208"/>
      <c r="P903" s="208"/>
      <c r="Q903" s="208"/>
      <c r="R903" s="208"/>
      <c r="S903" s="208"/>
      <c r="T903" s="208"/>
      <c r="U903" s="208"/>
      <c r="V903" s="208"/>
      <c r="W903" s="232"/>
      <c r="X903" s="232"/>
      <c r="Y903" s="232"/>
      <c r="Z903" s="232"/>
      <c r="AA903" s="232"/>
      <c r="AB903" s="232"/>
      <c r="AC903" s="232"/>
      <c r="AD903" s="232"/>
      <c r="AE903" s="232"/>
      <c r="AF903" s="232"/>
      <c r="AG903" s="208"/>
      <c r="AH903" s="208"/>
      <c r="AI903" s="208"/>
      <c r="AJ903" s="208"/>
      <c r="AK903" s="208"/>
    </row>
    <row r="904">
      <c r="A904" s="234"/>
      <c r="B904" s="208"/>
      <c r="C904" s="208"/>
      <c r="D904" s="208"/>
      <c r="E904" s="208"/>
      <c r="F904" s="208"/>
      <c r="G904" s="208"/>
      <c r="H904" s="208"/>
      <c r="I904" s="233"/>
      <c r="J904" s="208"/>
      <c r="K904" s="208"/>
      <c r="L904" s="208"/>
      <c r="M904" s="208"/>
      <c r="N904" s="208"/>
      <c r="O904" s="208"/>
      <c r="P904" s="208"/>
      <c r="Q904" s="208"/>
      <c r="R904" s="208"/>
      <c r="S904" s="208"/>
      <c r="T904" s="208"/>
      <c r="U904" s="208"/>
      <c r="V904" s="208"/>
      <c r="W904" s="232"/>
      <c r="X904" s="232"/>
      <c r="Y904" s="232"/>
      <c r="Z904" s="232"/>
      <c r="AA904" s="232"/>
      <c r="AB904" s="232"/>
      <c r="AC904" s="232"/>
      <c r="AD904" s="232"/>
      <c r="AE904" s="232"/>
      <c r="AF904" s="232"/>
      <c r="AG904" s="208"/>
      <c r="AH904" s="208"/>
      <c r="AI904" s="208"/>
      <c r="AJ904" s="208"/>
      <c r="AK904" s="208"/>
    </row>
    <row r="905">
      <c r="A905" s="234"/>
      <c r="B905" s="208"/>
      <c r="C905" s="208"/>
      <c r="D905" s="208"/>
      <c r="E905" s="208"/>
      <c r="F905" s="208"/>
      <c r="G905" s="208"/>
      <c r="H905" s="208"/>
      <c r="I905" s="233"/>
      <c r="J905" s="208"/>
      <c r="K905" s="208"/>
      <c r="L905" s="208"/>
      <c r="M905" s="208"/>
      <c r="N905" s="208"/>
      <c r="O905" s="208"/>
      <c r="P905" s="208"/>
      <c r="Q905" s="208"/>
      <c r="R905" s="208"/>
      <c r="S905" s="208"/>
      <c r="T905" s="208"/>
      <c r="U905" s="208"/>
      <c r="V905" s="208"/>
      <c r="W905" s="232"/>
      <c r="X905" s="232"/>
      <c r="Y905" s="232"/>
      <c r="Z905" s="232"/>
      <c r="AA905" s="232"/>
      <c r="AB905" s="232"/>
      <c r="AC905" s="232"/>
      <c r="AD905" s="232"/>
      <c r="AE905" s="232"/>
      <c r="AF905" s="232"/>
      <c r="AG905" s="208"/>
      <c r="AH905" s="208"/>
      <c r="AI905" s="208"/>
      <c r="AJ905" s="208"/>
      <c r="AK905" s="208"/>
    </row>
    <row r="906">
      <c r="A906" s="234"/>
      <c r="B906" s="208"/>
      <c r="C906" s="208"/>
      <c r="D906" s="208"/>
      <c r="E906" s="208"/>
      <c r="F906" s="208"/>
      <c r="G906" s="208"/>
      <c r="H906" s="208"/>
      <c r="I906" s="233"/>
      <c r="J906" s="208"/>
      <c r="K906" s="208"/>
      <c r="L906" s="208"/>
      <c r="M906" s="208"/>
      <c r="N906" s="208"/>
      <c r="O906" s="208"/>
      <c r="P906" s="208"/>
      <c r="Q906" s="208"/>
      <c r="R906" s="208"/>
      <c r="S906" s="208"/>
      <c r="T906" s="208"/>
      <c r="U906" s="208"/>
      <c r="V906" s="208"/>
      <c r="W906" s="232"/>
      <c r="X906" s="232"/>
      <c r="Y906" s="232"/>
      <c r="Z906" s="232"/>
      <c r="AA906" s="232"/>
      <c r="AB906" s="232"/>
      <c r="AC906" s="232"/>
      <c r="AD906" s="232"/>
      <c r="AE906" s="232"/>
      <c r="AF906" s="232"/>
      <c r="AG906" s="208"/>
      <c r="AH906" s="208"/>
      <c r="AI906" s="208"/>
      <c r="AJ906" s="208"/>
      <c r="AK906" s="208"/>
    </row>
    <row r="907">
      <c r="A907" s="234"/>
      <c r="B907" s="208"/>
      <c r="C907" s="208"/>
      <c r="D907" s="208"/>
      <c r="E907" s="208"/>
      <c r="F907" s="208"/>
      <c r="G907" s="208"/>
      <c r="H907" s="208"/>
      <c r="I907" s="233"/>
      <c r="J907" s="208"/>
      <c r="K907" s="208"/>
      <c r="L907" s="208"/>
      <c r="M907" s="208"/>
      <c r="N907" s="208"/>
      <c r="O907" s="208"/>
      <c r="P907" s="208"/>
      <c r="Q907" s="208"/>
      <c r="R907" s="208"/>
      <c r="S907" s="208"/>
      <c r="T907" s="208"/>
      <c r="U907" s="208"/>
      <c r="V907" s="208"/>
      <c r="W907" s="232"/>
      <c r="X907" s="232"/>
      <c r="Y907" s="232"/>
      <c r="Z907" s="232"/>
      <c r="AA907" s="232"/>
      <c r="AB907" s="232"/>
      <c r="AC907" s="232"/>
      <c r="AD907" s="232"/>
      <c r="AE907" s="232"/>
      <c r="AF907" s="232"/>
      <c r="AG907" s="208"/>
      <c r="AH907" s="208"/>
      <c r="AI907" s="208"/>
      <c r="AJ907" s="208"/>
      <c r="AK907" s="208"/>
    </row>
    <row r="908">
      <c r="A908" s="234"/>
      <c r="B908" s="208"/>
      <c r="C908" s="208"/>
      <c r="D908" s="208"/>
      <c r="E908" s="208"/>
      <c r="F908" s="208"/>
      <c r="G908" s="208"/>
      <c r="H908" s="208"/>
      <c r="I908" s="233"/>
      <c r="J908" s="208"/>
      <c r="K908" s="208"/>
      <c r="L908" s="208"/>
      <c r="M908" s="208"/>
      <c r="N908" s="208"/>
      <c r="O908" s="208"/>
      <c r="P908" s="208"/>
      <c r="Q908" s="208"/>
      <c r="R908" s="208"/>
      <c r="S908" s="208"/>
      <c r="T908" s="208"/>
      <c r="U908" s="208"/>
      <c r="V908" s="208"/>
      <c r="W908" s="232"/>
      <c r="X908" s="232"/>
      <c r="Y908" s="232"/>
      <c r="Z908" s="232"/>
      <c r="AA908" s="232"/>
      <c r="AB908" s="232"/>
      <c r="AC908" s="232"/>
      <c r="AD908" s="232"/>
      <c r="AE908" s="232"/>
      <c r="AF908" s="232"/>
      <c r="AG908" s="208"/>
      <c r="AH908" s="208"/>
      <c r="AI908" s="208"/>
      <c r="AJ908" s="208"/>
      <c r="AK908" s="208"/>
    </row>
    <row r="909">
      <c r="A909" s="234"/>
      <c r="B909" s="208"/>
      <c r="C909" s="208"/>
      <c r="D909" s="208"/>
      <c r="E909" s="208"/>
      <c r="F909" s="208"/>
      <c r="G909" s="208"/>
      <c r="H909" s="208"/>
      <c r="I909" s="233"/>
      <c r="J909" s="208"/>
      <c r="K909" s="208"/>
      <c r="L909" s="208"/>
      <c r="M909" s="208"/>
      <c r="N909" s="208"/>
      <c r="O909" s="208"/>
      <c r="P909" s="208"/>
      <c r="Q909" s="208"/>
      <c r="R909" s="208"/>
      <c r="S909" s="208"/>
      <c r="T909" s="208"/>
      <c r="U909" s="208"/>
      <c r="V909" s="208"/>
      <c r="W909" s="232"/>
      <c r="X909" s="232"/>
      <c r="Y909" s="232"/>
      <c r="Z909" s="232"/>
      <c r="AA909" s="232"/>
      <c r="AB909" s="232"/>
      <c r="AC909" s="232"/>
      <c r="AD909" s="232"/>
      <c r="AE909" s="232"/>
      <c r="AF909" s="232"/>
      <c r="AG909" s="208"/>
      <c r="AH909" s="208"/>
      <c r="AI909" s="208"/>
      <c r="AJ909" s="208"/>
      <c r="AK909" s="208"/>
    </row>
    <row r="910">
      <c r="A910" s="234"/>
      <c r="B910" s="208"/>
      <c r="C910" s="208"/>
      <c r="D910" s="208"/>
      <c r="E910" s="208"/>
      <c r="F910" s="208"/>
      <c r="G910" s="208"/>
      <c r="H910" s="208"/>
      <c r="I910" s="233"/>
      <c r="J910" s="208"/>
      <c r="K910" s="208"/>
      <c r="L910" s="208"/>
      <c r="M910" s="208"/>
      <c r="N910" s="208"/>
      <c r="O910" s="208"/>
      <c r="P910" s="208"/>
      <c r="Q910" s="208"/>
      <c r="R910" s="208"/>
      <c r="S910" s="208"/>
      <c r="T910" s="208"/>
      <c r="U910" s="208"/>
      <c r="V910" s="208"/>
      <c r="W910" s="232"/>
      <c r="X910" s="232"/>
      <c r="Y910" s="232"/>
      <c r="Z910" s="232"/>
      <c r="AA910" s="232"/>
      <c r="AB910" s="232"/>
      <c r="AC910" s="232"/>
      <c r="AD910" s="232"/>
      <c r="AE910" s="232"/>
      <c r="AF910" s="232"/>
      <c r="AG910" s="208"/>
      <c r="AH910" s="208"/>
      <c r="AI910" s="208"/>
      <c r="AJ910" s="208"/>
      <c r="AK910" s="208"/>
    </row>
    <row r="911">
      <c r="A911" s="234"/>
      <c r="B911" s="208"/>
      <c r="C911" s="208"/>
      <c r="D911" s="208"/>
      <c r="E911" s="208"/>
      <c r="F911" s="208"/>
      <c r="G911" s="208"/>
      <c r="H911" s="208"/>
      <c r="I911" s="233"/>
      <c r="J911" s="208"/>
      <c r="K911" s="208"/>
      <c r="L911" s="208"/>
      <c r="M911" s="208"/>
      <c r="N911" s="208"/>
      <c r="O911" s="208"/>
      <c r="P911" s="208"/>
      <c r="Q911" s="208"/>
      <c r="R911" s="208"/>
      <c r="S911" s="208"/>
      <c r="T911" s="208"/>
      <c r="U911" s="208"/>
      <c r="V911" s="208"/>
      <c r="W911" s="232"/>
      <c r="X911" s="232"/>
      <c r="Y911" s="232"/>
      <c r="Z911" s="232"/>
      <c r="AA911" s="232"/>
      <c r="AB911" s="232"/>
      <c r="AC911" s="232"/>
      <c r="AD911" s="232"/>
      <c r="AE911" s="232"/>
      <c r="AF911" s="232"/>
      <c r="AG911" s="208"/>
      <c r="AH911" s="208"/>
      <c r="AI911" s="208"/>
      <c r="AJ911" s="208"/>
      <c r="AK911" s="208"/>
    </row>
    <row r="912">
      <c r="A912" s="234"/>
      <c r="B912" s="208"/>
      <c r="C912" s="208"/>
      <c r="D912" s="208"/>
      <c r="E912" s="208"/>
      <c r="F912" s="208"/>
      <c r="G912" s="208"/>
      <c r="H912" s="208"/>
      <c r="I912" s="233"/>
      <c r="J912" s="208"/>
      <c r="K912" s="208"/>
      <c r="L912" s="208"/>
      <c r="M912" s="208"/>
      <c r="N912" s="208"/>
      <c r="O912" s="208"/>
      <c r="P912" s="208"/>
      <c r="Q912" s="208"/>
      <c r="R912" s="208"/>
      <c r="S912" s="208"/>
      <c r="T912" s="208"/>
      <c r="U912" s="208"/>
      <c r="V912" s="208"/>
      <c r="W912" s="232"/>
      <c r="X912" s="232"/>
      <c r="Y912" s="232"/>
      <c r="Z912" s="232"/>
      <c r="AA912" s="232"/>
      <c r="AB912" s="232"/>
      <c r="AC912" s="232"/>
      <c r="AD912" s="232"/>
      <c r="AE912" s="232"/>
      <c r="AF912" s="232"/>
      <c r="AG912" s="208"/>
      <c r="AH912" s="208"/>
      <c r="AI912" s="208"/>
      <c r="AJ912" s="208"/>
      <c r="AK912" s="208"/>
    </row>
    <row r="913">
      <c r="A913" s="234"/>
      <c r="B913" s="208"/>
      <c r="C913" s="208"/>
      <c r="D913" s="208"/>
      <c r="E913" s="208"/>
      <c r="F913" s="208"/>
      <c r="G913" s="208"/>
      <c r="H913" s="208"/>
      <c r="I913" s="233"/>
      <c r="J913" s="208"/>
      <c r="K913" s="208"/>
      <c r="L913" s="208"/>
      <c r="M913" s="208"/>
      <c r="N913" s="208"/>
      <c r="O913" s="208"/>
      <c r="P913" s="208"/>
      <c r="Q913" s="208"/>
      <c r="R913" s="208"/>
      <c r="S913" s="208"/>
      <c r="T913" s="208"/>
      <c r="U913" s="208"/>
      <c r="V913" s="208"/>
      <c r="W913" s="232"/>
      <c r="X913" s="232"/>
      <c r="Y913" s="232"/>
      <c r="Z913" s="232"/>
      <c r="AA913" s="232"/>
      <c r="AB913" s="232"/>
      <c r="AC913" s="232"/>
      <c r="AD913" s="232"/>
      <c r="AE913" s="232"/>
      <c r="AF913" s="232"/>
      <c r="AG913" s="208"/>
      <c r="AH913" s="208"/>
      <c r="AI913" s="208"/>
      <c r="AJ913" s="208"/>
      <c r="AK913" s="208"/>
    </row>
    <row r="914">
      <c r="A914" s="234"/>
      <c r="B914" s="208"/>
      <c r="C914" s="208"/>
      <c r="D914" s="208"/>
      <c r="E914" s="208"/>
      <c r="F914" s="208"/>
      <c r="G914" s="208"/>
      <c r="H914" s="208"/>
      <c r="I914" s="233"/>
      <c r="J914" s="208"/>
      <c r="K914" s="208"/>
      <c r="L914" s="208"/>
      <c r="M914" s="208"/>
      <c r="N914" s="208"/>
      <c r="O914" s="208"/>
      <c r="P914" s="208"/>
      <c r="Q914" s="208"/>
      <c r="R914" s="208"/>
      <c r="S914" s="208"/>
      <c r="T914" s="208"/>
      <c r="U914" s="208"/>
      <c r="V914" s="208"/>
      <c r="W914" s="232"/>
      <c r="X914" s="232"/>
      <c r="Y914" s="232"/>
      <c r="Z914" s="232"/>
      <c r="AA914" s="232"/>
      <c r="AB914" s="232"/>
      <c r="AC914" s="232"/>
      <c r="AD914" s="232"/>
      <c r="AE914" s="232"/>
      <c r="AF914" s="232"/>
      <c r="AG914" s="208"/>
      <c r="AH914" s="208"/>
      <c r="AI914" s="208"/>
      <c r="AJ914" s="208"/>
      <c r="AK914" s="208"/>
    </row>
    <row r="915">
      <c r="A915" s="234"/>
      <c r="B915" s="208"/>
      <c r="C915" s="208"/>
      <c r="D915" s="208"/>
      <c r="E915" s="208"/>
      <c r="F915" s="208"/>
      <c r="G915" s="208"/>
      <c r="H915" s="208"/>
      <c r="I915" s="233"/>
      <c r="J915" s="208"/>
      <c r="K915" s="208"/>
      <c r="L915" s="208"/>
      <c r="M915" s="208"/>
      <c r="N915" s="208"/>
      <c r="O915" s="208"/>
      <c r="P915" s="208"/>
      <c r="Q915" s="208"/>
      <c r="R915" s="208"/>
      <c r="S915" s="208"/>
      <c r="T915" s="208"/>
      <c r="U915" s="208"/>
      <c r="V915" s="208"/>
      <c r="W915" s="232"/>
      <c r="X915" s="232"/>
      <c r="Y915" s="232"/>
      <c r="Z915" s="232"/>
      <c r="AA915" s="232"/>
      <c r="AB915" s="232"/>
      <c r="AC915" s="232"/>
      <c r="AD915" s="232"/>
      <c r="AE915" s="232"/>
      <c r="AF915" s="232"/>
      <c r="AG915" s="208"/>
      <c r="AH915" s="208"/>
      <c r="AI915" s="208"/>
      <c r="AJ915" s="208"/>
      <c r="AK915" s="208"/>
    </row>
    <row r="916">
      <c r="A916" s="234"/>
      <c r="B916" s="208"/>
      <c r="C916" s="208"/>
      <c r="D916" s="208"/>
      <c r="E916" s="208"/>
      <c r="F916" s="208"/>
      <c r="G916" s="208"/>
      <c r="H916" s="208"/>
      <c r="I916" s="233"/>
      <c r="J916" s="208"/>
      <c r="K916" s="208"/>
      <c r="L916" s="208"/>
      <c r="M916" s="208"/>
      <c r="N916" s="208"/>
      <c r="O916" s="208"/>
      <c r="P916" s="208"/>
      <c r="Q916" s="208"/>
      <c r="R916" s="208"/>
      <c r="S916" s="208"/>
      <c r="T916" s="208"/>
      <c r="U916" s="208"/>
      <c r="V916" s="208"/>
      <c r="W916" s="232"/>
      <c r="X916" s="232"/>
      <c r="Y916" s="232"/>
      <c r="Z916" s="232"/>
      <c r="AA916" s="232"/>
      <c r="AB916" s="232"/>
      <c r="AC916" s="232"/>
      <c r="AD916" s="232"/>
      <c r="AE916" s="232"/>
      <c r="AF916" s="232"/>
      <c r="AG916" s="208"/>
      <c r="AH916" s="208"/>
      <c r="AI916" s="208"/>
      <c r="AJ916" s="208"/>
      <c r="AK916" s="208"/>
    </row>
    <row r="917">
      <c r="A917" s="234"/>
      <c r="B917" s="208"/>
      <c r="C917" s="208"/>
      <c r="D917" s="208"/>
      <c r="E917" s="208"/>
      <c r="F917" s="208"/>
      <c r="G917" s="208"/>
      <c r="H917" s="208"/>
      <c r="I917" s="233"/>
      <c r="J917" s="208"/>
      <c r="K917" s="208"/>
      <c r="L917" s="208"/>
      <c r="M917" s="208"/>
      <c r="N917" s="208"/>
      <c r="O917" s="208"/>
      <c r="P917" s="208"/>
      <c r="Q917" s="208"/>
      <c r="R917" s="208"/>
      <c r="S917" s="208"/>
      <c r="T917" s="208"/>
      <c r="U917" s="208"/>
      <c r="V917" s="208"/>
      <c r="W917" s="232"/>
      <c r="X917" s="232"/>
      <c r="Y917" s="232"/>
      <c r="Z917" s="232"/>
      <c r="AA917" s="232"/>
      <c r="AB917" s="232"/>
      <c r="AC917" s="232"/>
      <c r="AD917" s="232"/>
      <c r="AE917" s="232"/>
      <c r="AF917" s="232"/>
      <c r="AG917" s="208"/>
      <c r="AH917" s="208"/>
      <c r="AI917" s="208"/>
      <c r="AJ917" s="208"/>
      <c r="AK917" s="208"/>
    </row>
    <row r="918">
      <c r="A918" s="234"/>
      <c r="B918" s="208"/>
      <c r="C918" s="208"/>
      <c r="D918" s="208"/>
      <c r="E918" s="208"/>
      <c r="F918" s="208"/>
      <c r="G918" s="208"/>
      <c r="H918" s="208"/>
      <c r="I918" s="233"/>
      <c r="J918" s="208"/>
      <c r="K918" s="208"/>
      <c r="L918" s="208"/>
      <c r="M918" s="208"/>
      <c r="N918" s="208"/>
      <c r="O918" s="208"/>
      <c r="P918" s="208"/>
      <c r="Q918" s="208"/>
      <c r="R918" s="208"/>
      <c r="S918" s="208"/>
      <c r="T918" s="208"/>
      <c r="U918" s="208"/>
      <c r="V918" s="208"/>
      <c r="W918" s="232"/>
      <c r="X918" s="232"/>
      <c r="Y918" s="232"/>
      <c r="Z918" s="232"/>
      <c r="AA918" s="232"/>
      <c r="AB918" s="232"/>
      <c r="AC918" s="232"/>
      <c r="AD918" s="232"/>
      <c r="AE918" s="232"/>
      <c r="AF918" s="232"/>
      <c r="AG918" s="208"/>
      <c r="AH918" s="208"/>
      <c r="AI918" s="208"/>
      <c r="AJ918" s="208"/>
      <c r="AK918" s="208"/>
    </row>
    <row r="919">
      <c r="A919" s="234"/>
      <c r="B919" s="208"/>
      <c r="C919" s="208"/>
      <c r="D919" s="208"/>
      <c r="E919" s="208"/>
      <c r="F919" s="208"/>
      <c r="G919" s="208"/>
      <c r="H919" s="208"/>
      <c r="I919" s="233"/>
      <c r="J919" s="208"/>
      <c r="K919" s="208"/>
      <c r="L919" s="208"/>
      <c r="M919" s="208"/>
      <c r="N919" s="208"/>
      <c r="O919" s="208"/>
      <c r="P919" s="208"/>
      <c r="Q919" s="208"/>
      <c r="R919" s="208"/>
      <c r="S919" s="208"/>
      <c r="T919" s="208"/>
      <c r="U919" s="208"/>
      <c r="V919" s="208"/>
      <c r="W919" s="232"/>
      <c r="X919" s="232"/>
      <c r="Y919" s="232"/>
      <c r="Z919" s="232"/>
      <c r="AA919" s="232"/>
      <c r="AB919" s="232"/>
      <c r="AC919" s="232"/>
      <c r="AD919" s="232"/>
      <c r="AE919" s="232"/>
      <c r="AF919" s="232"/>
      <c r="AG919" s="208"/>
      <c r="AH919" s="208"/>
      <c r="AI919" s="208"/>
      <c r="AJ919" s="208"/>
      <c r="AK919" s="208"/>
    </row>
    <row r="920">
      <c r="A920" s="234"/>
      <c r="B920" s="208"/>
      <c r="C920" s="208"/>
      <c r="D920" s="208"/>
      <c r="E920" s="208"/>
      <c r="F920" s="208"/>
      <c r="G920" s="208"/>
      <c r="H920" s="208"/>
      <c r="I920" s="233"/>
      <c r="J920" s="208"/>
      <c r="K920" s="208"/>
      <c r="L920" s="208"/>
      <c r="M920" s="208"/>
      <c r="N920" s="208"/>
      <c r="O920" s="208"/>
      <c r="P920" s="208"/>
      <c r="Q920" s="208"/>
      <c r="R920" s="208"/>
      <c r="S920" s="208"/>
      <c r="T920" s="208"/>
      <c r="U920" s="208"/>
      <c r="V920" s="208"/>
      <c r="W920" s="232"/>
      <c r="X920" s="232"/>
      <c r="Y920" s="232"/>
      <c r="Z920" s="232"/>
      <c r="AA920" s="232"/>
      <c r="AB920" s="232"/>
      <c r="AC920" s="232"/>
      <c r="AD920" s="232"/>
      <c r="AE920" s="232"/>
      <c r="AF920" s="232"/>
      <c r="AG920" s="208"/>
      <c r="AH920" s="208"/>
      <c r="AI920" s="208"/>
      <c r="AJ920" s="208"/>
      <c r="AK920" s="208"/>
    </row>
    <row r="921">
      <c r="A921" s="234"/>
      <c r="B921" s="208"/>
      <c r="C921" s="208"/>
      <c r="D921" s="208"/>
      <c r="E921" s="208"/>
      <c r="F921" s="208"/>
      <c r="G921" s="208"/>
      <c r="H921" s="208"/>
      <c r="I921" s="233"/>
      <c r="J921" s="208"/>
      <c r="K921" s="208"/>
      <c r="L921" s="208"/>
      <c r="M921" s="208"/>
      <c r="N921" s="208"/>
      <c r="O921" s="208"/>
      <c r="P921" s="208"/>
      <c r="Q921" s="208"/>
      <c r="R921" s="208"/>
      <c r="S921" s="208"/>
      <c r="T921" s="208"/>
      <c r="U921" s="208"/>
      <c r="V921" s="208"/>
      <c r="W921" s="232"/>
      <c r="X921" s="232"/>
      <c r="Y921" s="232"/>
      <c r="Z921" s="232"/>
      <c r="AA921" s="232"/>
      <c r="AB921" s="232"/>
      <c r="AC921" s="232"/>
      <c r="AD921" s="232"/>
      <c r="AE921" s="232"/>
      <c r="AF921" s="232"/>
      <c r="AG921" s="208"/>
      <c r="AH921" s="208"/>
      <c r="AI921" s="208"/>
      <c r="AJ921" s="208"/>
      <c r="AK921" s="208"/>
    </row>
    <row r="922">
      <c r="A922" s="234"/>
      <c r="B922" s="208"/>
      <c r="C922" s="208"/>
      <c r="D922" s="208"/>
      <c r="E922" s="208"/>
      <c r="F922" s="208"/>
      <c r="G922" s="208"/>
      <c r="H922" s="208"/>
      <c r="I922" s="233"/>
      <c r="J922" s="208"/>
      <c r="K922" s="208"/>
      <c r="L922" s="208"/>
      <c r="M922" s="208"/>
      <c r="N922" s="208"/>
      <c r="O922" s="208"/>
      <c r="P922" s="208"/>
      <c r="Q922" s="208"/>
      <c r="R922" s="208"/>
      <c r="S922" s="208"/>
      <c r="T922" s="208"/>
      <c r="U922" s="208"/>
      <c r="V922" s="208"/>
      <c r="W922" s="232"/>
      <c r="X922" s="232"/>
      <c r="Y922" s="232"/>
      <c r="Z922" s="232"/>
      <c r="AA922" s="232"/>
      <c r="AB922" s="232"/>
      <c r="AC922" s="232"/>
      <c r="AD922" s="232"/>
      <c r="AE922" s="232"/>
      <c r="AF922" s="232"/>
      <c r="AG922" s="208"/>
      <c r="AH922" s="208"/>
      <c r="AI922" s="208"/>
      <c r="AJ922" s="208"/>
      <c r="AK922" s="208"/>
    </row>
    <row r="923">
      <c r="A923" s="234"/>
      <c r="B923" s="208"/>
      <c r="C923" s="208"/>
      <c r="D923" s="208"/>
      <c r="E923" s="208"/>
      <c r="F923" s="208"/>
      <c r="G923" s="208"/>
      <c r="H923" s="208"/>
      <c r="I923" s="233"/>
      <c r="J923" s="208"/>
      <c r="K923" s="208"/>
      <c r="L923" s="208"/>
      <c r="M923" s="208"/>
      <c r="N923" s="208"/>
      <c r="O923" s="208"/>
      <c r="P923" s="208"/>
      <c r="Q923" s="208"/>
      <c r="R923" s="208"/>
      <c r="S923" s="208"/>
      <c r="T923" s="208"/>
      <c r="U923" s="208"/>
      <c r="V923" s="208"/>
      <c r="W923" s="232"/>
      <c r="X923" s="232"/>
      <c r="Y923" s="232"/>
      <c r="Z923" s="232"/>
      <c r="AA923" s="232"/>
      <c r="AB923" s="232"/>
      <c r="AC923" s="232"/>
      <c r="AD923" s="232"/>
      <c r="AE923" s="232"/>
      <c r="AF923" s="232"/>
      <c r="AG923" s="208"/>
      <c r="AH923" s="208"/>
      <c r="AI923" s="208"/>
      <c r="AJ923" s="208"/>
      <c r="AK923" s="208"/>
    </row>
    <row r="924">
      <c r="A924" s="234"/>
      <c r="B924" s="208"/>
      <c r="C924" s="208"/>
      <c r="D924" s="208"/>
      <c r="E924" s="208"/>
      <c r="F924" s="208"/>
      <c r="G924" s="208"/>
      <c r="H924" s="208"/>
      <c r="I924" s="233"/>
      <c r="J924" s="208"/>
      <c r="K924" s="208"/>
      <c r="L924" s="208"/>
      <c r="M924" s="208"/>
      <c r="N924" s="208"/>
      <c r="O924" s="208"/>
      <c r="P924" s="208"/>
      <c r="Q924" s="208"/>
      <c r="R924" s="208"/>
      <c r="S924" s="208"/>
      <c r="T924" s="208"/>
      <c r="U924" s="208"/>
      <c r="V924" s="208"/>
      <c r="W924" s="232"/>
      <c r="X924" s="232"/>
      <c r="Y924" s="232"/>
      <c r="Z924" s="232"/>
      <c r="AA924" s="232"/>
      <c r="AB924" s="232"/>
      <c r="AC924" s="232"/>
      <c r="AD924" s="232"/>
      <c r="AE924" s="232"/>
      <c r="AF924" s="232"/>
      <c r="AG924" s="208"/>
      <c r="AH924" s="208"/>
      <c r="AI924" s="208"/>
      <c r="AJ924" s="208"/>
      <c r="AK924" s="208"/>
    </row>
    <row r="925">
      <c r="A925" s="234"/>
      <c r="B925" s="208"/>
      <c r="C925" s="208"/>
      <c r="D925" s="208"/>
      <c r="E925" s="208"/>
      <c r="F925" s="208"/>
      <c r="G925" s="208"/>
      <c r="H925" s="208"/>
      <c r="I925" s="233"/>
      <c r="J925" s="208"/>
      <c r="K925" s="208"/>
      <c r="L925" s="208"/>
      <c r="M925" s="208"/>
      <c r="N925" s="208"/>
      <c r="O925" s="208"/>
      <c r="P925" s="208"/>
      <c r="Q925" s="208"/>
      <c r="R925" s="208"/>
      <c r="S925" s="208"/>
      <c r="T925" s="208"/>
      <c r="U925" s="208"/>
      <c r="V925" s="208"/>
      <c r="W925" s="232"/>
      <c r="X925" s="232"/>
      <c r="Y925" s="232"/>
      <c r="Z925" s="232"/>
      <c r="AA925" s="232"/>
      <c r="AB925" s="232"/>
      <c r="AC925" s="232"/>
      <c r="AD925" s="232"/>
      <c r="AE925" s="232"/>
      <c r="AF925" s="232"/>
      <c r="AG925" s="208"/>
      <c r="AH925" s="208"/>
      <c r="AI925" s="208"/>
      <c r="AJ925" s="208"/>
      <c r="AK925" s="208"/>
    </row>
    <row r="926">
      <c r="A926" s="234"/>
      <c r="B926" s="208"/>
      <c r="C926" s="208"/>
      <c r="D926" s="208"/>
      <c r="E926" s="208"/>
      <c r="F926" s="208"/>
      <c r="G926" s="208"/>
      <c r="H926" s="208"/>
      <c r="I926" s="233"/>
      <c r="J926" s="208"/>
      <c r="K926" s="208"/>
      <c r="L926" s="208"/>
      <c r="M926" s="208"/>
      <c r="N926" s="208"/>
      <c r="O926" s="208"/>
      <c r="P926" s="208"/>
      <c r="Q926" s="208"/>
      <c r="R926" s="208"/>
      <c r="S926" s="208"/>
      <c r="T926" s="208"/>
      <c r="U926" s="208"/>
      <c r="V926" s="208"/>
      <c r="W926" s="232"/>
      <c r="X926" s="232"/>
      <c r="Y926" s="232"/>
      <c r="Z926" s="232"/>
      <c r="AA926" s="232"/>
      <c r="AB926" s="232"/>
      <c r="AC926" s="232"/>
      <c r="AD926" s="232"/>
      <c r="AE926" s="232"/>
      <c r="AF926" s="232"/>
      <c r="AG926" s="208"/>
      <c r="AH926" s="208"/>
      <c r="AI926" s="208"/>
      <c r="AJ926" s="208"/>
      <c r="AK926" s="208"/>
    </row>
    <row r="927">
      <c r="A927" s="234"/>
      <c r="B927" s="208"/>
      <c r="C927" s="208"/>
      <c r="D927" s="208"/>
      <c r="E927" s="208"/>
      <c r="F927" s="208"/>
      <c r="G927" s="208"/>
      <c r="H927" s="208"/>
      <c r="I927" s="233"/>
      <c r="J927" s="208"/>
      <c r="K927" s="208"/>
      <c r="L927" s="208"/>
      <c r="M927" s="208"/>
      <c r="N927" s="208"/>
      <c r="O927" s="208"/>
      <c r="P927" s="208"/>
      <c r="Q927" s="208"/>
      <c r="R927" s="208"/>
      <c r="S927" s="208"/>
      <c r="T927" s="208"/>
      <c r="U927" s="208"/>
      <c r="V927" s="208"/>
      <c r="W927" s="232"/>
      <c r="X927" s="232"/>
      <c r="Y927" s="232"/>
      <c r="Z927" s="232"/>
      <c r="AA927" s="232"/>
      <c r="AB927" s="232"/>
      <c r="AC927" s="232"/>
      <c r="AD927" s="232"/>
      <c r="AE927" s="232"/>
      <c r="AF927" s="232"/>
      <c r="AG927" s="208"/>
      <c r="AH927" s="208"/>
      <c r="AI927" s="208"/>
      <c r="AJ927" s="208"/>
      <c r="AK927" s="208"/>
    </row>
    <row r="928">
      <c r="A928" s="234"/>
      <c r="B928" s="208"/>
      <c r="C928" s="208"/>
      <c r="D928" s="208"/>
      <c r="E928" s="208"/>
      <c r="F928" s="208"/>
      <c r="G928" s="208"/>
      <c r="H928" s="208"/>
      <c r="I928" s="233"/>
      <c r="J928" s="208"/>
      <c r="K928" s="208"/>
      <c r="L928" s="208"/>
      <c r="M928" s="208"/>
      <c r="N928" s="208"/>
      <c r="O928" s="208"/>
      <c r="P928" s="208"/>
      <c r="Q928" s="208"/>
      <c r="R928" s="208"/>
      <c r="S928" s="208"/>
      <c r="T928" s="208"/>
      <c r="U928" s="208"/>
      <c r="V928" s="208"/>
      <c r="W928" s="232"/>
      <c r="X928" s="232"/>
      <c r="Y928" s="232"/>
      <c r="Z928" s="232"/>
      <c r="AA928" s="232"/>
      <c r="AB928" s="232"/>
      <c r="AC928" s="232"/>
      <c r="AD928" s="232"/>
      <c r="AE928" s="232"/>
      <c r="AF928" s="232"/>
      <c r="AG928" s="208"/>
      <c r="AH928" s="208"/>
      <c r="AI928" s="208"/>
      <c r="AJ928" s="208"/>
      <c r="AK928" s="208"/>
    </row>
    <row r="929">
      <c r="A929" s="234"/>
      <c r="B929" s="208"/>
      <c r="C929" s="208"/>
      <c r="D929" s="208"/>
      <c r="E929" s="208"/>
      <c r="F929" s="208"/>
      <c r="G929" s="208"/>
      <c r="H929" s="208"/>
      <c r="I929" s="233"/>
      <c r="J929" s="208"/>
      <c r="K929" s="208"/>
      <c r="L929" s="208"/>
      <c r="M929" s="208"/>
      <c r="N929" s="208"/>
      <c r="O929" s="208"/>
      <c r="P929" s="208"/>
      <c r="Q929" s="208"/>
      <c r="R929" s="208"/>
      <c r="S929" s="208"/>
      <c r="T929" s="208"/>
      <c r="U929" s="208"/>
      <c r="V929" s="208"/>
      <c r="W929" s="232"/>
      <c r="X929" s="232"/>
      <c r="Y929" s="232"/>
      <c r="Z929" s="232"/>
      <c r="AA929" s="232"/>
      <c r="AB929" s="232"/>
      <c r="AC929" s="232"/>
      <c r="AD929" s="232"/>
      <c r="AE929" s="232"/>
      <c r="AF929" s="232"/>
      <c r="AG929" s="208"/>
      <c r="AH929" s="208"/>
      <c r="AI929" s="208"/>
      <c r="AJ929" s="208"/>
      <c r="AK929" s="208"/>
    </row>
    <row r="930">
      <c r="A930" s="234"/>
      <c r="B930" s="208"/>
      <c r="C930" s="208"/>
      <c r="D930" s="208"/>
      <c r="E930" s="208"/>
      <c r="F930" s="208"/>
      <c r="G930" s="208"/>
      <c r="H930" s="208"/>
      <c r="I930" s="233"/>
      <c r="J930" s="208"/>
      <c r="K930" s="208"/>
      <c r="L930" s="208"/>
      <c r="M930" s="208"/>
      <c r="N930" s="208"/>
      <c r="O930" s="208"/>
      <c r="P930" s="208"/>
      <c r="Q930" s="208"/>
      <c r="R930" s="208"/>
      <c r="S930" s="208"/>
      <c r="T930" s="208"/>
      <c r="U930" s="208"/>
      <c r="V930" s="208"/>
      <c r="W930" s="232"/>
      <c r="X930" s="232"/>
      <c r="Y930" s="232"/>
      <c r="Z930" s="232"/>
      <c r="AA930" s="232"/>
      <c r="AB930" s="232"/>
      <c r="AC930" s="232"/>
      <c r="AD930" s="232"/>
      <c r="AE930" s="232"/>
      <c r="AF930" s="232"/>
      <c r="AG930" s="208"/>
      <c r="AH930" s="208"/>
      <c r="AI930" s="208"/>
      <c r="AJ930" s="208"/>
      <c r="AK930" s="208"/>
    </row>
    <row r="931">
      <c r="A931" s="234"/>
      <c r="B931" s="208"/>
      <c r="C931" s="208"/>
      <c r="D931" s="208"/>
      <c r="E931" s="208"/>
      <c r="F931" s="208"/>
      <c r="G931" s="208"/>
      <c r="H931" s="208"/>
      <c r="I931" s="233"/>
      <c r="J931" s="208"/>
      <c r="K931" s="208"/>
      <c r="L931" s="208"/>
      <c r="M931" s="208"/>
      <c r="N931" s="208"/>
      <c r="O931" s="208"/>
      <c r="P931" s="208"/>
      <c r="Q931" s="208"/>
      <c r="R931" s="208"/>
      <c r="S931" s="208"/>
      <c r="T931" s="208"/>
      <c r="U931" s="208"/>
      <c r="V931" s="208"/>
      <c r="W931" s="232"/>
      <c r="X931" s="232"/>
      <c r="Y931" s="232"/>
      <c r="Z931" s="232"/>
      <c r="AA931" s="232"/>
      <c r="AB931" s="232"/>
      <c r="AC931" s="232"/>
      <c r="AD931" s="232"/>
      <c r="AE931" s="232"/>
      <c r="AF931" s="232"/>
      <c r="AG931" s="208"/>
      <c r="AH931" s="208"/>
      <c r="AI931" s="208"/>
      <c r="AJ931" s="208"/>
      <c r="AK931" s="208"/>
    </row>
    <row r="932">
      <c r="A932" s="234"/>
      <c r="B932" s="208"/>
      <c r="C932" s="208"/>
      <c r="D932" s="208"/>
      <c r="E932" s="208"/>
      <c r="F932" s="208"/>
      <c r="G932" s="208"/>
      <c r="H932" s="208"/>
      <c r="I932" s="233"/>
      <c r="J932" s="208"/>
      <c r="K932" s="208"/>
      <c r="L932" s="208"/>
      <c r="M932" s="208"/>
      <c r="N932" s="208"/>
      <c r="O932" s="208"/>
      <c r="P932" s="208"/>
      <c r="Q932" s="208"/>
      <c r="R932" s="208"/>
      <c r="S932" s="208"/>
      <c r="T932" s="208"/>
      <c r="U932" s="208"/>
      <c r="V932" s="208"/>
      <c r="W932" s="232"/>
      <c r="X932" s="232"/>
      <c r="Y932" s="232"/>
      <c r="Z932" s="232"/>
      <c r="AA932" s="232"/>
      <c r="AB932" s="232"/>
      <c r="AC932" s="232"/>
      <c r="AD932" s="232"/>
      <c r="AE932" s="232"/>
      <c r="AF932" s="232"/>
      <c r="AG932" s="208"/>
      <c r="AH932" s="208"/>
      <c r="AI932" s="208"/>
      <c r="AJ932" s="208"/>
      <c r="AK932" s="208"/>
    </row>
    <row r="933">
      <c r="A933" s="234"/>
      <c r="B933" s="208"/>
      <c r="C933" s="208"/>
      <c r="D933" s="208"/>
      <c r="E933" s="208"/>
      <c r="F933" s="208"/>
      <c r="G933" s="208"/>
      <c r="H933" s="208"/>
      <c r="I933" s="233"/>
      <c r="J933" s="208"/>
      <c r="K933" s="208"/>
      <c r="L933" s="208"/>
      <c r="M933" s="208"/>
      <c r="N933" s="208"/>
      <c r="O933" s="208"/>
      <c r="P933" s="208"/>
      <c r="Q933" s="208"/>
      <c r="R933" s="208"/>
      <c r="S933" s="208"/>
      <c r="T933" s="208"/>
      <c r="U933" s="208"/>
      <c r="V933" s="208"/>
      <c r="W933" s="232"/>
      <c r="X933" s="232"/>
      <c r="Y933" s="232"/>
      <c r="Z933" s="232"/>
      <c r="AA933" s="232"/>
      <c r="AB933" s="232"/>
      <c r="AC933" s="232"/>
      <c r="AD933" s="232"/>
      <c r="AE933" s="232"/>
      <c r="AF933" s="232"/>
      <c r="AG933" s="208"/>
      <c r="AH933" s="208"/>
      <c r="AI933" s="208"/>
      <c r="AJ933" s="208"/>
      <c r="AK933" s="208"/>
    </row>
    <row r="934">
      <c r="A934" s="234"/>
      <c r="B934" s="208"/>
      <c r="C934" s="208"/>
      <c r="D934" s="208"/>
      <c r="E934" s="208"/>
      <c r="F934" s="208"/>
      <c r="G934" s="208"/>
      <c r="H934" s="208"/>
      <c r="I934" s="233"/>
      <c r="J934" s="208"/>
      <c r="K934" s="208"/>
      <c r="L934" s="208"/>
      <c r="M934" s="208"/>
      <c r="N934" s="208"/>
      <c r="O934" s="208"/>
      <c r="P934" s="208"/>
      <c r="Q934" s="208"/>
      <c r="R934" s="208"/>
      <c r="S934" s="208"/>
      <c r="T934" s="208"/>
      <c r="U934" s="208"/>
      <c r="V934" s="208"/>
      <c r="W934" s="232"/>
      <c r="X934" s="232"/>
      <c r="Y934" s="232"/>
      <c r="Z934" s="232"/>
      <c r="AA934" s="232"/>
      <c r="AB934" s="232"/>
      <c r="AC934" s="232"/>
      <c r="AD934" s="232"/>
      <c r="AE934" s="232"/>
      <c r="AF934" s="232"/>
      <c r="AG934" s="208"/>
      <c r="AH934" s="208"/>
      <c r="AI934" s="208"/>
      <c r="AJ934" s="208"/>
      <c r="AK934" s="208"/>
    </row>
    <row r="935">
      <c r="A935" s="234"/>
      <c r="B935" s="208"/>
      <c r="C935" s="208"/>
      <c r="D935" s="208"/>
      <c r="E935" s="208"/>
      <c r="F935" s="208"/>
      <c r="G935" s="208"/>
      <c r="H935" s="208"/>
      <c r="I935" s="233"/>
      <c r="J935" s="208"/>
      <c r="K935" s="208"/>
      <c r="L935" s="208"/>
      <c r="M935" s="208"/>
      <c r="N935" s="208"/>
      <c r="O935" s="208"/>
      <c r="P935" s="208"/>
      <c r="Q935" s="208"/>
      <c r="R935" s="208"/>
      <c r="S935" s="208"/>
      <c r="T935" s="208"/>
      <c r="U935" s="208"/>
      <c r="V935" s="208"/>
      <c r="W935" s="232"/>
      <c r="X935" s="232"/>
      <c r="Y935" s="232"/>
      <c r="Z935" s="232"/>
      <c r="AA935" s="232"/>
      <c r="AB935" s="232"/>
      <c r="AC935" s="232"/>
      <c r="AD935" s="232"/>
      <c r="AE935" s="232"/>
      <c r="AF935" s="232"/>
      <c r="AG935" s="208"/>
      <c r="AH935" s="208"/>
      <c r="AI935" s="208"/>
      <c r="AJ935" s="208"/>
      <c r="AK935" s="208"/>
    </row>
    <row r="936">
      <c r="A936" s="234"/>
      <c r="B936" s="208"/>
      <c r="C936" s="208"/>
      <c r="D936" s="208"/>
      <c r="E936" s="208"/>
      <c r="F936" s="208"/>
      <c r="G936" s="208"/>
      <c r="H936" s="208"/>
      <c r="I936" s="233"/>
      <c r="J936" s="208"/>
      <c r="K936" s="208"/>
      <c r="L936" s="208"/>
      <c r="M936" s="208"/>
      <c r="N936" s="208"/>
      <c r="O936" s="208"/>
      <c r="P936" s="208"/>
      <c r="Q936" s="208"/>
      <c r="R936" s="208"/>
      <c r="S936" s="208"/>
      <c r="T936" s="208"/>
      <c r="U936" s="208"/>
      <c r="V936" s="208"/>
      <c r="W936" s="232"/>
      <c r="X936" s="232"/>
      <c r="Y936" s="232"/>
      <c r="Z936" s="232"/>
      <c r="AA936" s="232"/>
      <c r="AB936" s="232"/>
      <c r="AC936" s="232"/>
      <c r="AD936" s="232"/>
      <c r="AE936" s="232"/>
      <c r="AF936" s="232"/>
      <c r="AG936" s="208"/>
      <c r="AH936" s="208"/>
      <c r="AI936" s="208"/>
      <c r="AJ936" s="208"/>
      <c r="AK936" s="208"/>
    </row>
    <row r="937">
      <c r="A937" s="234"/>
      <c r="B937" s="208"/>
      <c r="C937" s="208"/>
      <c r="D937" s="208"/>
      <c r="E937" s="208"/>
      <c r="F937" s="208"/>
      <c r="G937" s="208"/>
      <c r="H937" s="208"/>
      <c r="I937" s="233"/>
      <c r="J937" s="208"/>
      <c r="K937" s="208"/>
      <c r="L937" s="208"/>
      <c r="M937" s="208"/>
      <c r="N937" s="208"/>
      <c r="O937" s="208"/>
      <c r="P937" s="208"/>
      <c r="Q937" s="208"/>
      <c r="R937" s="208"/>
      <c r="S937" s="208"/>
      <c r="T937" s="208"/>
      <c r="U937" s="208"/>
      <c r="V937" s="208"/>
      <c r="W937" s="232"/>
      <c r="X937" s="232"/>
      <c r="Y937" s="232"/>
      <c r="Z937" s="232"/>
      <c r="AA937" s="232"/>
      <c r="AB937" s="232"/>
      <c r="AC937" s="232"/>
      <c r="AD937" s="232"/>
      <c r="AE937" s="232"/>
      <c r="AF937" s="232"/>
      <c r="AG937" s="208"/>
      <c r="AH937" s="208"/>
      <c r="AI937" s="208"/>
      <c r="AJ937" s="208"/>
      <c r="AK937" s="208"/>
    </row>
    <row r="938">
      <c r="A938" s="234"/>
      <c r="B938" s="208"/>
      <c r="C938" s="208"/>
      <c r="D938" s="208"/>
      <c r="E938" s="208"/>
      <c r="F938" s="208"/>
      <c r="G938" s="208"/>
      <c r="H938" s="208"/>
      <c r="I938" s="233"/>
      <c r="J938" s="208"/>
      <c r="K938" s="208"/>
      <c r="L938" s="208"/>
      <c r="M938" s="208"/>
      <c r="N938" s="208"/>
      <c r="O938" s="208"/>
      <c r="P938" s="208"/>
      <c r="Q938" s="208"/>
      <c r="R938" s="208"/>
      <c r="S938" s="208"/>
      <c r="T938" s="208"/>
      <c r="U938" s="208"/>
      <c r="V938" s="208"/>
      <c r="W938" s="232"/>
      <c r="X938" s="232"/>
      <c r="Y938" s="232"/>
      <c r="Z938" s="232"/>
      <c r="AA938" s="232"/>
      <c r="AB938" s="232"/>
      <c r="AC938" s="232"/>
      <c r="AD938" s="232"/>
      <c r="AE938" s="232"/>
      <c r="AF938" s="232"/>
      <c r="AG938" s="208"/>
      <c r="AH938" s="208"/>
      <c r="AI938" s="208"/>
      <c r="AJ938" s="208"/>
      <c r="AK938" s="208"/>
    </row>
    <row r="939">
      <c r="A939" s="234"/>
      <c r="B939" s="208"/>
      <c r="C939" s="208"/>
      <c r="D939" s="208"/>
      <c r="E939" s="208"/>
      <c r="F939" s="208"/>
      <c r="G939" s="208"/>
      <c r="H939" s="208"/>
      <c r="I939" s="233"/>
      <c r="J939" s="208"/>
      <c r="K939" s="208"/>
      <c r="L939" s="208"/>
      <c r="M939" s="208"/>
      <c r="N939" s="208"/>
      <c r="O939" s="208"/>
      <c r="P939" s="208"/>
      <c r="Q939" s="208"/>
      <c r="R939" s="208"/>
      <c r="S939" s="208"/>
      <c r="T939" s="208"/>
      <c r="U939" s="208"/>
      <c r="V939" s="208"/>
      <c r="W939" s="232"/>
      <c r="X939" s="232"/>
      <c r="Y939" s="232"/>
      <c r="Z939" s="232"/>
      <c r="AA939" s="232"/>
      <c r="AB939" s="232"/>
      <c r="AC939" s="232"/>
      <c r="AD939" s="232"/>
      <c r="AE939" s="232"/>
      <c r="AF939" s="232"/>
      <c r="AG939" s="208"/>
      <c r="AH939" s="208"/>
      <c r="AI939" s="208"/>
      <c r="AJ939" s="208"/>
      <c r="AK939" s="208"/>
    </row>
    <row r="940">
      <c r="A940" s="234"/>
      <c r="B940" s="208"/>
      <c r="C940" s="208"/>
      <c r="D940" s="208"/>
      <c r="E940" s="208"/>
      <c r="F940" s="208"/>
      <c r="G940" s="208"/>
      <c r="H940" s="208"/>
      <c r="I940" s="233"/>
      <c r="J940" s="208"/>
      <c r="K940" s="208"/>
      <c r="L940" s="208"/>
      <c r="M940" s="208"/>
      <c r="N940" s="208"/>
      <c r="O940" s="208"/>
      <c r="P940" s="208"/>
      <c r="Q940" s="208"/>
      <c r="R940" s="208"/>
      <c r="S940" s="208"/>
      <c r="T940" s="208"/>
      <c r="U940" s="208"/>
      <c r="V940" s="208"/>
      <c r="W940" s="232"/>
      <c r="X940" s="232"/>
      <c r="Y940" s="232"/>
      <c r="Z940" s="232"/>
      <c r="AA940" s="232"/>
      <c r="AB940" s="232"/>
      <c r="AC940" s="232"/>
      <c r="AD940" s="232"/>
      <c r="AE940" s="232"/>
      <c r="AF940" s="232"/>
      <c r="AG940" s="208"/>
      <c r="AH940" s="208"/>
      <c r="AI940" s="208"/>
      <c r="AJ940" s="208"/>
      <c r="AK940" s="208"/>
    </row>
    <row r="941">
      <c r="A941" s="234"/>
      <c r="B941" s="208"/>
      <c r="C941" s="208"/>
      <c r="D941" s="208"/>
      <c r="E941" s="208"/>
      <c r="F941" s="208"/>
      <c r="G941" s="208"/>
      <c r="H941" s="208"/>
      <c r="I941" s="233"/>
      <c r="J941" s="208"/>
      <c r="K941" s="208"/>
      <c r="L941" s="208"/>
      <c r="M941" s="208"/>
      <c r="N941" s="208"/>
      <c r="O941" s="208"/>
      <c r="P941" s="208"/>
      <c r="Q941" s="208"/>
      <c r="R941" s="208"/>
      <c r="S941" s="208"/>
      <c r="T941" s="208"/>
      <c r="U941" s="208"/>
      <c r="V941" s="208"/>
      <c r="W941" s="232"/>
      <c r="X941" s="232"/>
      <c r="Y941" s="232"/>
      <c r="Z941" s="232"/>
      <c r="AA941" s="232"/>
      <c r="AB941" s="232"/>
      <c r="AC941" s="232"/>
      <c r="AD941" s="232"/>
      <c r="AE941" s="232"/>
      <c r="AF941" s="232"/>
      <c r="AG941" s="208"/>
      <c r="AH941" s="208"/>
      <c r="AI941" s="208"/>
      <c r="AJ941" s="208"/>
      <c r="AK941" s="208"/>
    </row>
    <row r="942">
      <c r="A942" s="234"/>
      <c r="B942" s="208"/>
      <c r="C942" s="208"/>
      <c r="D942" s="208"/>
      <c r="E942" s="208"/>
      <c r="F942" s="208"/>
      <c r="G942" s="208"/>
      <c r="H942" s="208"/>
      <c r="I942" s="233"/>
      <c r="J942" s="208"/>
      <c r="K942" s="208"/>
      <c r="L942" s="208"/>
      <c r="M942" s="208"/>
      <c r="N942" s="208"/>
      <c r="O942" s="208"/>
      <c r="P942" s="208"/>
      <c r="Q942" s="208"/>
      <c r="R942" s="208"/>
      <c r="S942" s="208"/>
      <c r="T942" s="208"/>
      <c r="U942" s="208"/>
      <c r="V942" s="208"/>
      <c r="W942" s="232"/>
      <c r="X942" s="232"/>
      <c r="Y942" s="232"/>
      <c r="Z942" s="232"/>
      <c r="AA942" s="232"/>
      <c r="AB942" s="232"/>
      <c r="AC942" s="232"/>
      <c r="AD942" s="232"/>
      <c r="AE942" s="232"/>
      <c r="AF942" s="232"/>
      <c r="AG942" s="208"/>
      <c r="AH942" s="208"/>
      <c r="AI942" s="208"/>
      <c r="AJ942" s="208"/>
      <c r="AK942" s="208"/>
    </row>
    <row r="943">
      <c r="A943" s="234"/>
      <c r="B943" s="208"/>
      <c r="C943" s="208"/>
      <c r="D943" s="208"/>
      <c r="E943" s="208"/>
      <c r="F943" s="208"/>
      <c r="G943" s="208"/>
      <c r="H943" s="208"/>
      <c r="I943" s="233"/>
      <c r="J943" s="208"/>
      <c r="K943" s="208"/>
      <c r="L943" s="208"/>
      <c r="M943" s="208"/>
      <c r="N943" s="208"/>
      <c r="O943" s="208"/>
      <c r="P943" s="208"/>
      <c r="Q943" s="208"/>
      <c r="R943" s="208"/>
      <c r="S943" s="208"/>
      <c r="T943" s="208"/>
      <c r="U943" s="208"/>
      <c r="V943" s="208"/>
      <c r="W943" s="232"/>
      <c r="X943" s="232"/>
      <c r="Y943" s="232"/>
      <c r="Z943" s="232"/>
      <c r="AA943" s="232"/>
      <c r="AB943" s="232"/>
      <c r="AC943" s="232"/>
      <c r="AD943" s="232"/>
      <c r="AE943" s="232"/>
      <c r="AF943" s="232"/>
      <c r="AG943" s="208"/>
      <c r="AH943" s="208"/>
      <c r="AI943" s="208"/>
      <c r="AJ943" s="208"/>
      <c r="AK943" s="208"/>
    </row>
    <row r="944">
      <c r="A944" s="234"/>
      <c r="B944" s="208"/>
      <c r="C944" s="208"/>
      <c r="D944" s="208"/>
      <c r="E944" s="208"/>
      <c r="F944" s="208"/>
      <c r="G944" s="208"/>
      <c r="H944" s="208"/>
      <c r="I944" s="233"/>
      <c r="J944" s="208"/>
      <c r="K944" s="208"/>
      <c r="L944" s="208"/>
      <c r="M944" s="208"/>
      <c r="N944" s="208"/>
      <c r="O944" s="208"/>
      <c r="P944" s="208"/>
      <c r="Q944" s="208"/>
      <c r="R944" s="208"/>
      <c r="S944" s="208"/>
      <c r="T944" s="208"/>
      <c r="U944" s="208"/>
      <c r="V944" s="208"/>
      <c r="W944" s="232"/>
      <c r="X944" s="232"/>
      <c r="Y944" s="232"/>
      <c r="Z944" s="232"/>
      <c r="AA944" s="232"/>
      <c r="AB944" s="232"/>
      <c r="AC944" s="232"/>
      <c r="AD944" s="232"/>
      <c r="AE944" s="232"/>
      <c r="AF944" s="232"/>
      <c r="AG944" s="208"/>
      <c r="AH944" s="208"/>
      <c r="AI944" s="208"/>
      <c r="AJ944" s="208"/>
      <c r="AK944" s="208"/>
    </row>
    <row r="945">
      <c r="A945" s="234"/>
      <c r="B945" s="208"/>
      <c r="C945" s="208"/>
      <c r="D945" s="208"/>
      <c r="E945" s="208"/>
      <c r="F945" s="208"/>
      <c r="G945" s="208"/>
      <c r="H945" s="208"/>
      <c r="I945" s="233"/>
      <c r="J945" s="208"/>
      <c r="K945" s="208"/>
      <c r="L945" s="208"/>
      <c r="M945" s="208"/>
      <c r="N945" s="208"/>
      <c r="O945" s="208"/>
      <c r="P945" s="208"/>
      <c r="Q945" s="208"/>
      <c r="R945" s="208"/>
      <c r="S945" s="208"/>
      <c r="T945" s="208"/>
      <c r="U945" s="208"/>
      <c r="V945" s="208"/>
      <c r="W945" s="232"/>
      <c r="X945" s="232"/>
      <c r="Y945" s="232"/>
      <c r="Z945" s="232"/>
      <c r="AA945" s="232"/>
      <c r="AB945" s="232"/>
      <c r="AC945" s="232"/>
      <c r="AD945" s="232"/>
      <c r="AE945" s="232"/>
      <c r="AF945" s="232"/>
      <c r="AG945" s="208"/>
      <c r="AH945" s="208"/>
      <c r="AI945" s="208"/>
      <c r="AJ945" s="208"/>
      <c r="AK945" s="208"/>
    </row>
    <row r="946">
      <c r="A946" s="234"/>
      <c r="B946" s="208"/>
      <c r="C946" s="208"/>
      <c r="D946" s="208"/>
      <c r="E946" s="208"/>
      <c r="F946" s="208"/>
      <c r="G946" s="208"/>
      <c r="H946" s="208"/>
      <c r="I946" s="233"/>
      <c r="J946" s="208"/>
      <c r="K946" s="208"/>
      <c r="L946" s="208"/>
      <c r="M946" s="208"/>
      <c r="N946" s="208"/>
      <c r="O946" s="208"/>
      <c r="P946" s="208"/>
      <c r="Q946" s="208"/>
      <c r="R946" s="208"/>
      <c r="S946" s="208"/>
      <c r="T946" s="208"/>
      <c r="U946" s="208"/>
      <c r="V946" s="208"/>
      <c r="W946" s="232"/>
      <c r="X946" s="232"/>
      <c r="Y946" s="232"/>
      <c r="Z946" s="232"/>
      <c r="AA946" s="232"/>
      <c r="AB946" s="232"/>
      <c r="AC946" s="232"/>
      <c r="AD946" s="232"/>
      <c r="AE946" s="232"/>
      <c r="AF946" s="232"/>
      <c r="AG946" s="208"/>
      <c r="AH946" s="208"/>
      <c r="AI946" s="208"/>
      <c r="AJ946" s="208"/>
      <c r="AK946" s="208"/>
    </row>
    <row r="947">
      <c r="A947" s="234"/>
      <c r="B947" s="208"/>
      <c r="C947" s="208"/>
      <c r="D947" s="208"/>
      <c r="E947" s="208"/>
      <c r="F947" s="208"/>
      <c r="G947" s="208"/>
      <c r="H947" s="208"/>
      <c r="I947" s="233"/>
      <c r="J947" s="208"/>
      <c r="K947" s="208"/>
      <c r="L947" s="208"/>
      <c r="M947" s="208"/>
      <c r="N947" s="208"/>
      <c r="O947" s="208"/>
      <c r="P947" s="208"/>
      <c r="Q947" s="208"/>
      <c r="R947" s="208"/>
      <c r="S947" s="208"/>
      <c r="T947" s="208"/>
      <c r="U947" s="208"/>
      <c r="V947" s="208"/>
      <c r="W947" s="232"/>
      <c r="X947" s="232"/>
      <c r="Y947" s="232"/>
      <c r="Z947" s="232"/>
      <c r="AA947" s="232"/>
      <c r="AB947" s="232"/>
      <c r="AC947" s="232"/>
      <c r="AD947" s="232"/>
      <c r="AE947" s="232"/>
      <c r="AF947" s="232"/>
      <c r="AG947" s="208"/>
      <c r="AH947" s="208"/>
      <c r="AI947" s="208"/>
      <c r="AJ947" s="208"/>
      <c r="AK947" s="208"/>
    </row>
    <row r="948">
      <c r="A948" s="234"/>
      <c r="B948" s="208"/>
      <c r="C948" s="208"/>
      <c r="D948" s="208"/>
      <c r="E948" s="208"/>
      <c r="F948" s="208"/>
      <c r="G948" s="208"/>
      <c r="H948" s="208"/>
      <c r="I948" s="233"/>
      <c r="J948" s="208"/>
      <c r="K948" s="208"/>
      <c r="L948" s="208"/>
      <c r="M948" s="208"/>
      <c r="N948" s="208"/>
      <c r="O948" s="208"/>
      <c r="P948" s="208"/>
      <c r="Q948" s="208"/>
      <c r="R948" s="208"/>
      <c r="S948" s="208"/>
      <c r="T948" s="208"/>
      <c r="U948" s="208"/>
      <c r="V948" s="208"/>
      <c r="W948" s="232"/>
      <c r="X948" s="232"/>
      <c r="Y948" s="232"/>
      <c r="Z948" s="232"/>
      <c r="AA948" s="232"/>
      <c r="AB948" s="232"/>
      <c r="AC948" s="232"/>
      <c r="AD948" s="232"/>
      <c r="AE948" s="232"/>
      <c r="AF948" s="232"/>
      <c r="AG948" s="208"/>
      <c r="AH948" s="208"/>
      <c r="AI948" s="208"/>
      <c r="AJ948" s="208"/>
      <c r="AK948" s="208"/>
    </row>
    <row r="949">
      <c r="A949" s="234"/>
      <c r="B949" s="208"/>
      <c r="C949" s="208"/>
      <c r="D949" s="208"/>
      <c r="E949" s="208"/>
      <c r="F949" s="208"/>
      <c r="G949" s="208"/>
      <c r="H949" s="208"/>
      <c r="I949" s="233"/>
      <c r="J949" s="208"/>
      <c r="K949" s="208"/>
      <c r="L949" s="208"/>
      <c r="M949" s="208"/>
      <c r="N949" s="208"/>
      <c r="O949" s="208"/>
      <c r="P949" s="208"/>
      <c r="Q949" s="208"/>
      <c r="R949" s="208"/>
      <c r="S949" s="208"/>
      <c r="T949" s="208"/>
      <c r="U949" s="208"/>
      <c r="V949" s="208"/>
      <c r="W949" s="232"/>
      <c r="X949" s="232"/>
      <c r="Y949" s="232"/>
      <c r="Z949" s="232"/>
      <c r="AA949" s="232"/>
      <c r="AB949" s="232"/>
      <c r="AC949" s="232"/>
      <c r="AD949" s="232"/>
      <c r="AE949" s="232"/>
      <c r="AF949" s="232"/>
      <c r="AG949" s="208"/>
      <c r="AH949" s="208"/>
      <c r="AI949" s="208"/>
      <c r="AJ949" s="208"/>
      <c r="AK949" s="208"/>
    </row>
    <row r="950">
      <c r="A950" s="234"/>
      <c r="B950" s="208"/>
      <c r="C950" s="208"/>
      <c r="D950" s="208"/>
      <c r="E950" s="208"/>
      <c r="F950" s="208"/>
      <c r="G950" s="208"/>
      <c r="H950" s="208"/>
      <c r="I950" s="233"/>
      <c r="J950" s="208"/>
      <c r="K950" s="208"/>
      <c r="L950" s="208"/>
      <c r="M950" s="208"/>
      <c r="N950" s="208"/>
      <c r="O950" s="208"/>
      <c r="P950" s="208"/>
      <c r="Q950" s="208"/>
      <c r="R950" s="208"/>
      <c r="S950" s="208"/>
      <c r="T950" s="208"/>
      <c r="U950" s="208"/>
      <c r="V950" s="208"/>
      <c r="W950" s="232"/>
      <c r="X950" s="232"/>
      <c r="Y950" s="232"/>
      <c r="Z950" s="232"/>
      <c r="AA950" s="232"/>
      <c r="AB950" s="232"/>
      <c r="AC950" s="232"/>
      <c r="AD950" s="232"/>
      <c r="AE950" s="232"/>
      <c r="AF950" s="232"/>
      <c r="AG950" s="208"/>
      <c r="AH950" s="208"/>
      <c r="AI950" s="208"/>
      <c r="AJ950" s="208"/>
      <c r="AK950" s="208"/>
    </row>
    <row r="951">
      <c r="A951" s="234"/>
      <c r="B951" s="208"/>
      <c r="C951" s="208"/>
      <c r="D951" s="208"/>
      <c r="E951" s="208"/>
      <c r="F951" s="208"/>
      <c r="G951" s="208"/>
      <c r="H951" s="208"/>
      <c r="I951" s="233"/>
      <c r="J951" s="208"/>
      <c r="K951" s="208"/>
      <c r="L951" s="208"/>
      <c r="M951" s="208"/>
      <c r="N951" s="208"/>
      <c r="O951" s="208"/>
      <c r="P951" s="208"/>
      <c r="Q951" s="208"/>
      <c r="R951" s="208"/>
      <c r="S951" s="208"/>
      <c r="T951" s="208"/>
      <c r="U951" s="208"/>
      <c r="V951" s="208"/>
      <c r="W951" s="232"/>
      <c r="X951" s="232"/>
      <c r="Y951" s="232"/>
      <c r="Z951" s="232"/>
      <c r="AA951" s="232"/>
      <c r="AB951" s="232"/>
      <c r="AC951" s="232"/>
      <c r="AD951" s="232"/>
      <c r="AE951" s="232"/>
      <c r="AF951" s="232"/>
      <c r="AG951" s="208"/>
      <c r="AH951" s="208"/>
      <c r="AI951" s="208"/>
      <c r="AJ951" s="208"/>
      <c r="AK951" s="208"/>
    </row>
    <row r="952">
      <c r="A952" s="234"/>
      <c r="B952" s="208"/>
      <c r="C952" s="208"/>
      <c r="D952" s="208"/>
      <c r="E952" s="208"/>
      <c r="F952" s="208"/>
      <c r="G952" s="208"/>
      <c r="H952" s="208"/>
      <c r="I952" s="233"/>
      <c r="J952" s="208"/>
      <c r="K952" s="208"/>
      <c r="L952" s="208"/>
      <c r="M952" s="208"/>
      <c r="N952" s="208"/>
      <c r="O952" s="208"/>
      <c r="P952" s="208"/>
      <c r="Q952" s="208"/>
      <c r="R952" s="208"/>
      <c r="S952" s="208"/>
      <c r="T952" s="208"/>
      <c r="U952" s="208"/>
      <c r="V952" s="208"/>
      <c r="W952" s="232"/>
      <c r="X952" s="232"/>
      <c r="Y952" s="232"/>
      <c r="Z952" s="232"/>
      <c r="AA952" s="232"/>
      <c r="AB952" s="232"/>
      <c r="AC952" s="232"/>
      <c r="AD952" s="232"/>
      <c r="AE952" s="232"/>
      <c r="AF952" s="232"/>
      <c r="AG952" s="208"/>
      <c r="AH952" s="208"/>
      <c r="AI952" s="208"/>
      <c r="AJ952" s="208"/>
      <c r="AK952" s="208"/>
    </row>
    <row r="953">
      <c r="A953" s="234"/>
      <c r="B953" s="208"/>
      <c r="C953" s="208"/>
      <c r="D953" s="208"/>
      <c r="E953" s="208"/>
      <c r="F953" s="208"/>
      <c r="G953" s="208"/>
      <c r="H953" s="208"/>
      <c r="I953" s="233"/>
      <c r="J953" s="208"/>
      <c r="K953" s="208"/>
      <c r="L953" s="208"/>
      <c r="M953" s="208"/>
      <c r="N953" s="208"/>
      <c r="O953" s="208"/>
      <c r="P953" s="208"/>
      <c r="Q953" s="208"/>
      <c r="R953" s="208"/>
      <c r="S953" s="208"/>
      <c r="T953" s="208"/>
      <c r="U953" s="208"/>
      <c r="V953" s="208"/>
      <c r="W953" s="232"/>
      <c r="X953" s="232"/>
      <c r="Y953" s="232"/>
      <c r="Z953" s="232"/>
      <c r="AA953" s="232"/>
      <c r="AB953" s="232"/>
      <c r="AC953" s="232"/>
      <c r="AD953" s="232"/>
      <c r="AE953" s="232"/>
      <c r="AF953" s="232"/>
      <c r="AG953" s="208"/>
      <c r="AH953" s="208"/>
      <c r="AI953" s="208"/>
      <c r="AJ953" s="208"/>
      <c r="AK953" s="208"/>
    </row>
    <row r="954">
      <c r="A954" s="234"/>
      <c r="B954" s="208"/>
      <c r="C954" s="208"/>
      <c r="D954" s="208"/>
      <c r="E954" s="208"/>
      <c r="F954" s="208"/>
      <c r="G954" s="208"/>
      <c r="H954" s="208"/>
      <c r="I954" s="233"/>
      <c r="J954" s="208"/>
      <c r="K954" s="208"/>
      <c r="L954" s="208"/>
      <c r="M954" s="208"/>
      <c r="N954" s="208"/>
      <c r="O954" s="208"/>
      <c r="P954" s="208"/>
      <c r="Q954" s="208"/>
      <c r="R954" s="208"/>
      <c r="S954" s="208"/>
      <c r="T954" s="208"/>
      <c r="U954" s="208"/>
      <c r="V954" s="208"/>
      <c r="W954" s="232"/>
      <c r="X954" s="232"/>
      <c r="Y954" s="232"/>
      <c r="Z954" s="232"/>
      <c r="AA954" s="232"/>
      <c r="AB954" s="232"/>
      <c r="AC954" s="232"/>
      <c r="AD954" s="232"/>
      <c r="AE954" s="232"/>
      <c r="AF954" s="232"/>
      <c r="AG954" s="208"/>
      <c r="AH954" s="208"/>
      <c r="AI954" s="208"/>
      <c r="AJ954" s="208"/>
      <c r="AK954" s="208"/>
    </row>
    <row r="955">
      <c r="A955" s="234"/>
      <c r="B955" s="208"/>
      <c r="C955" s="208"/>
      <c r="D955" s="208"/>
      <c r="E955" s="208"/>
      <c r="F955" s="208"/>
      <c r="G955" s="208"/>
      <c r="H955" s="208"/>
      <c r="I955" s="233"/>
      <c r="J955" s="208"/>
      <c r="K955" s="208"/>
      <c r="L955" s="208"/>
      <c r="M955" s="208"/>
      <c r="N955" s="208"/>
      <c r="O955" s="208"/>
      <c r="P955" s="208"/>
      <c r="Q955" s="208"/>
      <c r="R955" s="208"/>
      <c r="S955" s="208"/>
      <c r="T955" s="208"/>
      <c r="U955" s="208"/>
      <c r="V955" s="208"/>
      <c r="W955" s="232"/>
      <c r="X955" s="232"/>
      <c r="Y955" s="232"/>
      <c r="Z955" s="232"/>
      <c r="AA955" s="232"/>
      <c r="AB955" s="232"/>
      <c r="AC955" s="232"/>
      <c r="AD955" s="232"/>
      <c r="AE955" s="232"/>
      <c r="AF955" s="232"/>
      <c r="AG955" s="208"/>
      <c r="AH955" s="208"/>
      <c r="AI955" s="208"/>
      <c r="AJ955" s="208"/>
      <c r="AK955" s="208"/>
    </row>
    <row r="956">
      <c r="A956" s="234"/>
      <c r="B956" s="208"/>
      <c r="C956" s="208"/>
      <c r="D956" s="208"/>
      <c r="E956" s="208"/>
      <c r="F956" s="208"/>
      <c r="G956" s="208"/>
      <c r="H956" s="208"/>
      <c r="I956" s="233"/>
      <c r="J956" s="208"/>
      <c r="K956" s="208"/>
      <c r="L956" s="208"/>
      <c r="M956" s="208"/>
      <c r="N956" s="208"/>
      <c r="O956" s="208"/>
      <c r="P956" s="208"/>
      <c r="Q956" s="208"/>
      <c r="R956" s="208"/>
      <c r="S956" s="208"/>
      <c r="T956" s="208"/>
      <c r="U956" s="208"/>
      <c r="V956" s="208"/>
      <c r="W956" s="232"/>
      <c r="X956" s="232"/>
      <c r="Y956" s="232"/>
      <c r="Z956" s="232"/>
      <c r="AA956" s="232"/>
      <c r="AB956" s="232"/>
      <c r="AC956" s="232"/>
      <c r="AD956" s="232"/>
      <c r="AE956" s="232"/>
      <c r="AF956" s="232"/>
      <c r="AG956" s="208"/>
      <c r="AH956" s="208"/>
      <c r="AI956" s="208"/>
      <c r="AJ956" s="208"/>
      <c r="AK956" s="208"/>
    </row>
    <row r="957">
      <c r="A957" s="234"/>
      <c r="B957" s="208"/>
      <c r="C957" s="208"/>
      <c r="D957" s="208"/>
      <c r="E957" s="208"/>
      <c r="F957" s="208"/>
      <c r="G957" s="208"/>
      <c r="H957" s="208"/>
      <c r="I957" s="233"/>
      <c r="J957" s="208"/>
      <c r="K957" s="208"/>
      <c r="L957" s="208"/>
      <c r="M957" s="208"/>
      <c r="N957" s="208"/>
      <c r="O957" s="208"/>
      <c r="P957" s="208"/>
      <c r="Q957" s="208"/>
      <c r="R957" s="208"/>
      <c r="S957" s="208"/>
      <c r="T957" s="208"/>
      <c r="U957" s="208"/>
      <c r="V957" s="208"/>
      <c r="W957" s="232"/>
      <c r="X957" s="232"/>
      <c r="Y957" s="232"/>
      <c r="Z957" s="232"/>
      <c r="AA957" s="232"/>
      <c r="AB957" s="232"/>
      <c r="AC957" s="232"/>
      <c r="AD957" s="232"/>
      <c r="AE957" s="232"/>
      <c r="AF957" s="232"/>
      <c r="AG957" s="208"/>
      <c r="AH957" s="208"/>
      <c r="AI957" s="208"/>
      <c r="AJ957" s="208"/>
      <c r="AK957" s="208"/>
    </row>
    <row r="958">
      <c r="A958" s="234"/>
      <c r="B958" s="208"/>
      <c r="C958" s="208"/>
      <c r="D958" s="208"/>
      <c r="E958" s="208"/>
      <c r="F958" s="208"/>
      <c r="G958" s="208"/>
      <c r="H958" s="208"/>
      <c r="I958" s="233"/>
      <c r="J958" s="208"/>
      <c r="K958" s="208"/>
      <c r="L958" s="208"/>
      <c r="M958" s="208"/>
      <c r="N958" s="208"/>
      <c r="O958" s="208"/>
      <c r="P958" s="208"/>
      <c r="Q958" s="208"/>
      <c r="R958" s="208"/>
      <c r="S958" s="208"/>
      <c r="T958" s="208"/>
      <c r="U958" s="208"/>
      <c r="V958" s="208"/>
      <c r="W958" s="232"/>
      <c r="X958" s="232"/>
      <c r="Y958" s="232"/>
      <c r="Z958" s="232"/>
      <c r="AA958" s="232"/>
      <c r="AB958" s="232"/>
      <c r="AC958" s="232"/>
      <c r="AD958" s="232"/>
      <c r="AE958" s="232"/>
      <c r="AF958" s="232"/>
      <c r="AG958" s="208"/>
      <c r="AH958" s="208"/>
      <c r="AI958" s="208"/>
      <c r="AJ958" s="208"/>
      <c r="AK958" s="208"/>
    </row>
    <row r="959">
      <c r="A959" s="234"/>
      <c r="B959" s="208"/>
      <c r="C959" s="208"/>
      <c r="D959" s="208"/>
      <c r="E959" s="208"/>
      <c r="F959" s="208"/>
      <c r="G959" s="208"/>
      <c r="H959" s="208"/>
      <c r="I959" s="233"/>
      <c r="J959" s="208"/>
      <c r="K959" s="208"/>
      <c r="L959" s="208"/>
      <c r="M959" s="208"/>
      <c r="N959" s="208"/>
      <c r="O959" s="208"/>
      <c r="P959" s="208"/>
      <c r="Q959" s="208"/>
      <c r="R959" s="208"/>
      <c r="S959" s="208"/>
      <c r="T959" s="208"/>
      <c r="U959" s="208"/>
      <c r="V959" s="208"/>
      <c r="W959" s="232"/>
      <c r="X959" s="232"/>
      <c r="Y959" s="232"/>
      <c r="Z959" s="232"/>
      <c r="AA959" s="232"/>
      <c r="AB959" s="232"/>
      <c r="AC959" s="232"/>
      <c r="AD959" s="232"/>
      <c r="AE959" s="232"/>
      <c r="AF959" s="232"/>
      <c r="AG959" s="208"/>
      <c r="AH959" s="208"/>
      <c r="AI959" s="208"/>
      <c r="AJ959" s="208"/>
      <c r="AK959" s="208"/>
    </row>
    <row r="960">
      <c r="A960" s="234"/>
      <c r="B960" s="208"/>
      <c r="C960" s="208"/>
      <c r="D960" s="208"/>
      <c r="E960" s="208"/>
      <c r="F960" s="208"/>
      <c r="G960" s="208"/>
      <c r="H960" s="208"/>
      <c r="I960" s="233"/>
      <c r="J960" s="208"/>
      <c r="K960" s="208"/>
      <c r="L960" s="208"/>
      <c r="M960" s="208"/>
      <c r="N960" s="208"/>
      <c r="O960" s="208"/>
      <c r="P960" s="208"/>
      <c r="Q960" s="208"/>
      <c r="R960" s="208"/>
      <c r="S960" s="208"/>
      <c r="T960" s="208"/>
      <c r="U960" s="208"/>
      <c r="V960" s="208"/>
      <c r="W960" s="232"/>
      <c r="X960" s="232"/>
      <c r="Y960" s="232"/>
      <c r="Z960" s="232"/>
      <c r="AA960" s="232"/>
      <c r="AB960" s="232"/>
      <c r="AC960" s="232"/>
      <c r="AD960" s="232"/>
      <c r="AE960" s="232"/>
      <c r="AF960" s="232"/>
      <c r="AG960" s="208"/>
      <c r="AH960" s="208"/>
      <c r="AI960" s="208"/>
      <c r="AJ960" s="208"/>
      <c r="AK960" s="208"/>
    </row>
    <row r="961">
      <c r="A961" s="234"/>
      <c r="B961" s="208"/>
      <c r="C961" s="208"/>
      <c r="D961" s="208"/>
      <c r="E961" s="208"/>
      <c r="F961" s="208"/>
      <c r="G961" s="208"/>
      <c r="H961" s="208"/>
      <c r="I961" s="233"/>
      <c r="J961" s="208"/>
      <c r="K961" s="208"/>
      <c r="L961" s="208"/>
      <c r="M961" s="208"/>
      <c r="N961" s="208"/>
      <c r="O961" s="208"/>
      <c r="P961" s="208"/>
      <c r="Q961" s="208"/>
      <c r="R961" s="208"/>
      <c r="S961" s="208"/>
      <c r="T961" s="208"/>
      <c r="U961" s="208"/>
      <c r="V961" s="208"/>
      <c r="W961" s="232"/>
      <c r="X961" s="232"/>
      <c r="Y961" s="232"/>
      <c r="Z961" s="232"/>
      <c r="AA961" s="232"/>
      <c r="AB961" s="232"/>
      <c r="AC961" s="232"/>
      <c r="AD961" s="232"/>
      <c r="AE961" s="232"/>
      <c r="AF961" s="232"/>
      <c r="AG961" s="208"/>
      <c r="AH961" s="208"/>
      <c r="AI961" s="208"/>
      <c r="AJ961" s="208"/>
      <c r="AK961" s="208"/>
    </row>
    <row r="962">
      <c r="A962" s="234"/>
      <c r="B962" s="208"/>
      <c r="C962" s="208"/>
      <c r="D962" s="208"/>
      <c r="E962" s="208"/>
      <c r="F962" s="208"/>
      <c r="G962" s="208"/>
      <c r="H962" s="208"/>
      <c r="I962" s="233"/>
      <c r="J962" s="208"/>
      <c r="K962" s="208"/>
      <c r="L962" s="208"/>
      <c r="M962" s="208"/>
      <c r="N962" s="208"/>
      <c r="O962" s="208"/>
      <c r="P962" s="208"/>
      <c r="Q962" s="208"/>
      <c r="R962" s="208"/>
      <c r="S962" s="208"/>
      <c r="T962" s="208"/>
      <c r="U962" s="208"/>
      <c r="V962" s="208"/>
      <c r="W962" s="232"/>
      <c r="X962" s="232"/>
      <c r="Y962" s="232"/>
      <c r="Z962" s="232"/>
      <c r="AA962" s="232"/>
      <c r="AB962" s="232"/>
      <c r="AC962" s="232"/>
      <c r="AD962" s="232"/>
      <c r="AE962" s="232"/>
      <c r="AF962" s="232"/>
      <c r="AG962" s="208"/>
      <c r="AH962" s="208"/>
      <c r="AI962" s="208"/>
      <c r="AJ962" s="208"/>
      <c r="AK962" s="208"/>
    </row>
    <row r="963">
      <c r="A963" s="234"/>
      <c r="B963" s="208"/>
      <c r="C963" s="208"/>
      <c r="D963" s="208"/>
      <c r="E963" s="208"/>
      <c r="F963" s="208"/>
      <c r="G963" s="208"/>
      <c r="H963" s="208"/>
      <c r="I963" s="233"/>
      <c r="J963" s="208"/>
      <c r="K963" s="208"/>
      <c r="L963" s="208"/>
      <c r="M963" s="208"/>
      <c r="N963" s="208"/>
      <c r="O963" s="208"/>
      <c r="P963" s="208"/>
      <c r="Q963" s="208"/>
      <c r="R963" s="208"/>
      <c r="S963" s="208"/>
      <c r="T963" s="208"/>
      <c r="U963" s="208"/>
      <c r="V963" s="208"/>
      <c r="W963" s="232"/>
      <c r="X963" s="232"/>
      <c r="Y963" s="232"/>
      <c r="Z963" s="232"/>
      <c r="AA963" s="232"/>
      <c r="AB963" s="232"/>
      <c r="AC963" s="232"/>
      <c r="AD963" s="232"/>
      <c r="AE963" s="232"/>
      <c r="AF963" s="232"/>
      <c r="AG963" s="208"/>
      <c r="AH963" s="208"/>
      <c r="AI963" s="208"/>
      <c r="AJ963" s="208"/>
      <c r="AK963" s="208"/>
    </row>
    <row r="964">
      <c r="A964" s="234"/>
      <c r="B964" s="208"/>
      <c r="C964" s="208"/>
      <c r="D964" s="208"/>
      <c r="E964" s="208"/>
      <c r="F964" s="208"/>
      <c r="G964" s="208"/>
      <c r="H964" s="208"/>
      <c r="I964" s="233"/>
      <c r="J964" s="208"/>
      <c r="K964" s="208"/>
      <c r="L964" s="208"/>
      <c r="M964" s="208"/>
      <c r="N964" s="208"/>
      <c r="O964" s="208"/>
      <c r="P964" s="208"/>
      <c r="Q964" s="208"/>
      <c r="R964" s="208"/>
      <c r="S964" s="208"/>
      <c r="T964" s="208"/>
      <c r="U964" s="208"/>
      <c r="V964" s="208"/>
      <c r="W964" s="232"/>
      <c r="X964" s="232"/>
      <c r="Y964" s="232"/>
      <c r="Z964" s="232"/>
      <c r="AA964" s="232"/>
      <c r="AB964" s="232"/>
      <c r="AC964" s="232"/>
      <c r="AD964" s="232"/>
      <c r="AE964" s="232"/>
      <c r="AF964" s="232"/>
      <c r="AG964" s="208"/>
      <c r="AH964" s="208"/>
      <c r="AI964" s="208"/>
      <c r="AJ964" s="208"/>
      <c r="AK964" s="208"/>
    </row>
    <row r="965">
      <c r="A965" s="234"/>
      <c r="B965" s="208"/>
      <c r="C965" s="208"/>
      <c r="D965" s="208"/>
      <c r="E965" s="208"/>
      <c r="F965" s="208"/>
      <c r="G965" s="208"/>
      <c r="H965" s="208"/>
      <c r="I965" s="233"/>
      <c r="J965" s="208"/>
      <c r="K965" s="208"/>
      <c r="L965" s="208"/>
      <c r="M965" s="208"/>
      <c r="N965" s="208"/>
      <c r="O965" s="208"/>
      <c r="P965" s="208"/>
      <c r="Q965" s="208"/>
      <c r="R965" s="208"/>
      <c r="S965" s="208"/>
      <c r="T965" s="208"/>
      <c r="U965" s="208"/>
      <c r="V965" s="208"/>
      <c r="W965" s="232"/>
      <c r="X965" s="232"/>
      <c r="Y965" s="232"/>
      <c r="Z965" s="232"/>
      <c r="AA965" s="232"/>
      <c r="AB965" s="232"/>
      <c r="AC965" s="232"/>
      <c r="AD965" s="232"/>
      <c r="AE965" s="232"/>
      <c r="AF965" s="232"/>
      <c r="AG965" s="208"/>
      <c r="AH965" s="208"/>
      <c r="AI965" s="208"/>
      <c r="AJ965" s="208"/>
      <c r="AK965" s="208"/>
    </row>
    <row r="966">
      <c r="A966" s="234"/>
      <c r="B966" s="208"/>
      <c r="C966" s="208"/>
      <c r="D966" s="208"/>
      <c r="E966" s="208"/>
      <c r="F966" s="208"/>
      <c r="G966" s="208"/>
      <c r="H966" s="208"/>
      <c r="I966" s="233"/>
      <c r="J966" s="208"/>
      <c r="K966" s="208"/>
      <c r="L966" s="208"/>
      <c r="M966" s="208"/>
      <c r="N966" s="208"/>
      <c r="O966" s="208"/>
      <c r="P966" s="208"/>
      <c r="Q966" s="208"/>
      <c r="R966" s="208"/>
      <c r="S966" s="208"/>
      <c r="T966" s="208"/>
      <c r="U966" s="208"/>
      <c r="V966" s="208"/>
      <c r="W966" s="232"/>
      <c r="X966" s="232"/>
      <c r="Y966" s="232"/>
      <c r="Z966" s="232"/>
      <c r="AA966" s="232"/>
      <c r="AB966" s="232"/>
      <c r="AC966" s="232"/>
      <c r="AD966" s="232"/>
      <c r="AE966" s="232"/>
      <c r="AF966" s="232"/>
      <c r="AG966" s="208"/>
      <c r="AH966" s="208"/>
      <c r="AI966" s="208"/>
      <c r="AJ966" s="208"/>
      <c r="AK966" s="208"/>
    </row>
    <row r="967">
      <c r="A967" s="234"/>
      <c r="B967" s="208"/>
      <c r="C967" s="208"/>
      <c r="D967" s="208"/>
      <c r="E967" s="208"/>
      <c r="F967" s="208"/>
      <c r="G967" s="208"/>
      <c r="H967" s="208"/>
      <c r="I967" s="233"/>
      <c r="J967" s="208"/>
      <c r="K967" s="208"/>
      <c r="L967" s="208"/>
      <c r="M967" s="208"/>
      <c r="N967" s="208"/>
      <c r="O967" s="208"/>
      <c r="P967" s="208"/>
      <c r="Q967" s="208"/>
      <c r="R967" s="208"/>
      <c r="S967" s="208"/>
      <c r="T967" s="208"/>
      <c r="U967" s="208"/>
      <c r="V967" s="208"/>
      <c r="W967" s="232"/>
      <c r="X967" s="232"/>
      <c r="Y967" s="232"/>
      <c r="Z967" s="232"/>
      <c r="AA967" s="232"/>
      <c r="AB967" s="232"/>
      <c r="AC967" s="232"/>
      <c r="AD967" s="232"/>
      <c r="AE967" s="232"/>
      <c r="AF967" s="232"/>
      <c r="AG967" s="208"/>
      <c r="AH967" s="208"/>
      <c r="AI967" s="208"/>
      <c r="AJ967" s="208"/>
      <c r="AK967" s="208"/>
    </row>
    <row r="968">
      <c r="A968" s="234"/>
      <c r="B968" s="208"/>
      <c r="C968" s="208"/>
      <c r="D968" s="208"/>
      <c r="E968" s="208"/>
      <c r="F968" s="208"/>
      <c r="G968" s="208"/>
      <c r="H968" s="208"/>
      <c r="I968" s="233"/>
      <c r="J968" s="208"/>
      <c r="K968" s="208"/>
      <c r="L968" s="208"/>
      <c r="M968" s="208"/>
      <c r="N968" s="208"/>
      <c r="O968" s="208"/>
      <c r="P968" s="208"/>
      <c r="Q968" s="208"/>
      <c r="R968" s="208"/>
      <c r="S968" s="208"/>
      <c r="T968" s="208"/>
      <c r="U968" s="208"/>
      <c r="V968" s="208"/>
      <c r="W968" s="232"/>
      <c r="X968" s="232"/>
      <c r="Y968" s="232"/>
      <c r="Z968" s="232"/>
      <c r="AA968" s="232"/>
      <c r="AB968" s="232"/>
      <c r="AC968" s="232"/>
      <c r="AD968" s="232"/>
      <c r="AE968" s="232"/>
      <c r="AF968" s="232"/>
      <c r="AG968" s="208"/>
      <c r="AH968" s="208"/>
      <c r="AI968" s="208"/>
      <c r="AJ968" s="208"/>
      <c r="AK968" s="208"/>
    </row>
    <row r="969">
      <c r="A969" s="234"/>
      <c r="B969" s="208"/>
      <c r="C969" s="208"/>
      <c r="D969" s="208"/>
      <c r="E969" s="208"/>
      <c r="F969" s="208"/>
      <c r="G969" s="208"/>
      <c r="H969" s="208"/>
      <c r="I969" s="233"/>
      <c r="J969" s="208"/>
      <c r="K969" s="208"/>
      <c r="L969" s="208"/>
      <c r="M969" s="208"/>
      <c r="N969" s="208"/>
      <c r="O969" s="208"/>
      <c r="P969" s="208"/>
      <c r="Q969" s="208"/>
      <c r="R969" s="208"/>
      <c r="S969" s="208"/>
      <c r="T969" s="208"/>
      <c r="U969" s="208"/>
      <c r="V969" s="208"/>
      <c r="W969" s="232"/>
      <c r="X969" s="232"/>
      <c r="Y969" s="232"/>
      <c r="Z969" s="232"/>
      <c r="AA969" s="232"/>
      <c r="AB969" s="232"/>
      <c r="AC969" s="232"/>
      <c r="AD969" s="232"/>
      <c r="AE969" s="232"/>
      <c r="AF969" s="232"/>
      <c r="AG969" s="208"/>
      <c r="AH969" s="208"/>
      <c r="AI969" s="208"/>
      <c r="AJ969" s="208"/>
      <c r="AK969" s="208"/>
    </row>
    <row r="970">
      <c r="A970" s="234"/>
      <c r="B970" s="208"/>
      <c r="C970" s="208"/>
      <c r="D970" s="208"/>
      <c r="E970" s="208"/>
      <c r="F970" s="208"/>
      <c r="G970" s="208"/>
      <c r="H970" s="208"/>
      <c r="I970" s="233"/>
      <c r="J970" s="208"/>
      <c r="K970" s="208"/>
      <c r="L970" s="208"/>
      <c r="M970" s="208"/>
      <c r="N970" s="208"/>
      <c r="O970" s="208"/>
      <c r="P970" s="208"/>
      <c r="Q970" s="208"/>
      <c r="R970" s="208"/>
      <c r="S970" s="208"/>
      <c r="T970" s="208"/>
      <c r="U970" s="208"/>
      <c r="V970" s="208"/>
      <c r="W970" s="232"/>
      <c r="X970" s="232"/>
      <c r="Y970" s="232"/>
      <c r="Z970" s="232"/>
      <c r="AA970" s="232"/>
      <c r="AB970" s="232"/>
      <c r="AC970" s="232"/>
      <c r="AD970" s="232"/>
      <c r="AE970" s="232"/>
      <c r="AF970" s="232"/>
      <c r="AG970" s="208"/>
      <c r="AH970" s="208"/>
      <c r="AI970" s="208"/>
      <c r="AJ970" s="208"/>
      <c r="AK970" s="208"/>
    </row>
    <row r="971">
      <c r="A971" s="234"/>
      <c r="B971" s="208"/>
      <c r="C971" s="208"/>
      <c r="D971" s="208"/>
      <c r="E971" s="208"/>
      <c r="F971" s="208"/>
      <c r="G971" s="208"/>
      <c r="H971" s="208"/>
      <c r="I971" s="233"/>
      <c r="J971" s="208"/>
      <c r="K971" s="208"/>
      <c r="L971" s="208"/>
      <c r="M971" s="208"/>
      <c r="N971" s="208"/>
      <c r="O971" s="208"/>
      <c r="P971" s="208"/>
      <c r="Q971" s="208"/>
      <c r="R971" s="208"/>
      <c r="S971" s="208"/>
      <c r="T971" s="208"/>
      <c r="U971" s="208"/>
      <c r="V971" s="208"/>
      <c r="W971" s="232"/>
      <c r="X971" s="232"/>
      <c r="Y971" s="232"/>
      <c r="Z971" s="232"/>
      <c r="AA971" s="232"/>
      <c r="AB971" s="232"/>
      <c r="AC971" s="232"/>
      <c r="AD971" s="232"/>
      <c r="AE971" s="232"/>
      <c r="AF971" s="232"/>
      <c r="AG971" s="208"/>
      <c r="AH971" s="208"/>
      <c r="AI971" s="208"/>
      <c r="AJ971" s="208"/>
      <c r="AK971" s="208"/>
    </row>
    <row r="972">
      <c r="A972" s="234"/>
      <c r="B972" s="208"/>
      <c r="C972" s="208"/>
      <c r="D972" s="208"/>
      <c r="E972" s="208"/>
      <c r="F972" s="208"/>
      <c r="G972" s="208"/>
      <c r="H972" s="208"/>
      <c r="I972" s="233"/>
      <c r="J972" s="208"/>
      <c r="K972" s="208"/>
      <c r="L972" s="208"/>
      <c r="M972" s="208"/>
      <c r="N972" s="208"/>
      <c r="O972" s="208"/>
      <c r="P972" s="208"/>
      <c r="Q972" s="208"/>
      <c r="R972" s="208"/>
      <c r="S972" s="208"/>
      <c r="T972" s="208"/>
      <c r="U972" s="208"/>
      <c r="V972" s="208"/>
      <c r="W972" s="232"/>
      <c r="X972" s="232"/>
      <c r="Y972" s="232"/>
      <c r="Z972" s="232"/>
      <c r="AA972" s="232"/>
      <c r="AB972" s="232"/>
      <c r="AC972" s="232"/>
      <c r="AD972" s="232"/>
      <c r="AE972" s="232"/>
      <c r="AF972" s="232"/>
      <c r="AG972" s="208"/>
      <c r="AH972" s="208"/>
      <c r="AI972" s="208"/>
      <c r="AJ972" s="208"/>
      <c r="AK972" s="208"/>
    </row>
    <row r="973">
      <c r="A973" s="234"/>
      <c r="B973" s="208"/>
      <c r="C973" s="208"/>
      <c r="D973" s="208"/>
      <c r="E973" s="208"/>
      <c r="F973" s="208"/>
      <c r="G973" s="208"/>
      <c r="H973" s="208"/>
      <c r="I973" s="233"/>
      <c r="J973" s="208"/>
      <c r="K973" s="208"/>
      <c r="L973" s="208"/>
      <c r="M973" s="208"/>
      <c r="N973" s="208"/>
      <c r="O973" s="208"/>
      <c r="P973" s="208"/>
      <c r="Q973" s="208"/>
      <c r="R973" s="208"/>
      <c r="S973" s="208"/>
      <c r="T973" s="208"/>
      <c r="U973" s="208"/>
      <c r="V973" s="208"/>
      <c r="W973" s="232"/>
      <c r="X973" s="232"/>
      <c r="Y973" s="232"/>
      <c r="Z973" s="232"/>
      <c r="AA973" s="232"/>
      <c r="AB973" s="232"/>
      <c r="AC973" s="232"/>
      <c r="AD973" s="232"/>
      <c r="AE973" s="232"/>
      <c r="AF973" s="232"/>
      <c r="AG973" s="208"/>
      <c r="AH973" s="208"/>
      <c r="AI973" s="208"/>
      <c r="AJ973" s="208"/>
      <c r="AK973" s="208"/>
    </row>
    <row r="974">
      <c r="A974" s="234"/>
      <c r="B974" s="208"/>
      <c r="C974" s="208"/>
      <c r="D974" s="208"/>
      <c r="E974" s="208"/>
      <c r="F974" s="208"/>
      <c r="G974" s="208"/>
      <c r="H974" s="208"/>
      <c r="I974" s="233"/>
      <c r="J974" s="208"/>
      <c r="K974" s="208"/>
      <c r="L974" s="208"/>
      <c r="M974" s="208"/>
      <c r="N974" s="208"/>
      <c r="O974" s="208"/>
      <c r="P974" s="208"/>
      <c r="Q974" s="208"/>
      <c r="R974" s="208"/>
      <c r="S974" s="208"/>
      <c r="T974" s="208"/>
      <c r="U974" s="208"/>
      <c r="V974" s="208"/>
      <c r="W974" s="232"/>
      <c r="X974" s="232"/>
      <c r="Y974" s="232"/>
      <c r="Z974" s="232"/>
      <c r="AA974" s="232"/>
      <c r="AB974" s="232"/>
      <c r="AC974" s="232"/>
      <c r="AD974" s="232"/>
      <c r="AE974" s="232"/>
      <c r="AF974" s="232"/>
      <c r="AG974" s="208"/>
      <c r="AH974" s="208"/>
      <c r="AI974" s="208"/>
      <c r="AJ974" s="208"/>
      <c r="AK974" s="208"/>
    </row>
    <row r="975">
      <c r="A975" s="234"/>
      <c r="B975" s="208"/>
      <c r="C975" s="208"/>
      <c r="D975" s="208"/>
      <c r="E975" s="208"/>
      <c r="F975" s="208"/>
      <c r="G975" s="208"/>
      <c r="H975" s="208"/>
      <c r="I975" s="233"/>
      <c r="J975" s="208"/>
      <c r="K975" s="208"/>
      <c r="L975" s="208"/>
      <c r="M975" s="208"/>
      <c r="N975" s="208"/>
      <c r="O975" s="208"/>
      <c r="P975" s="208"/>
      <c r="Q975" s="208"/>
      <c r="R975" s="208"/>
      <c r="S975" s="208"/>
      <c r="T975" s="208"/>
      <c r="U975" s="208"/>
      <c r="V975" s="208"/>
      <c r="W975" s="232"/>
      <c r="X975" s="232"/>
      <c r="Y975" s="232"/>
      <c r="Z975" s="232"/>
      <c r="AA975" s="232"/>
      <c r="AB975" s="232"/>
      <c r="AC975" s="232"/>
      <c r="AD975" s="232"/>
      <c r="AE975" s="232"/>
      <c r="AF975" s="232"/>
      <c r="AG975" s="208"/>
      <c r="AH975" s="208"/>
      <c r="AI975" s="208"/>
      <c r="AJ975" s="208"/>
      <c r="AK975" s="208"/>
    </row>
    <row r="976">
      <c r="A976" s="234"/>
      <c r="B976" s="208"/>
      <c r="C976" s="208"/>
      <c r="D976" s="208"/>
      <c r="E976" s="208"/>
      <c r="F976" s="208"/>
      <c r="G976" s="208"/>
      <c r="H976" s="208"/>
      <c r="I976" s="233"/>
      <c r="J976" s="208"/>
      <c r="K976" s="208"/>
      <c r="L976" s="208"/>
      <c r="M976" s="208"/>
      <c r="N976" s="208"/>
      <c r="O976" s="208"/>
      <c r="P976" s="208"/>
      <c r="Q976" s="208"/>
      <c r="R976" s="208"/>
      <c r="S976" s="208"/>
      <c r="T976" s="208"/>
      <c r="U976" s="208"/>
      <c r="V976" s="208"/>
      <c r="W976" s="232"/>
      <c r="X976" s="232"/>
      <c r="Y976" s="232"/>
      <c r="Z976" s="232"/>
      <c r="AA976" s="232"/>
      <c r="AB976" s="232"/>
      <c r="AC976" s="232"/>
      <c r="AD976" s="232"/>
      <c r="AE976" s="232"/>
      <c r="AF976" s="232"/>
      <c r="AG976" s="208"/>
      <c r="AH976" s="208"/>
      <c r="AI976" s="208"/>
      <c r="AJ976" s="208"/>
      <c r="AK976" s="208"/>
    </row>
    <row r="977">
      <c r="A977" s="234"/>
      <c r="B977" s="208"/>
      <c r="C977" s="208"/>
      <c r="D977" s="208"/>
      <c r="E977" s="208"/>
      <c r="F977" s="208"/>
      <c r="G977" s="208"/>
      <c r="H977" s="208"/>
      <c r="I977" s="233"/>
      <c r="J977" s="208"/>
      <c r="K977" s="208"/>
      <c r="L977" s="208"/>
      <c r="M977" s="208"/>
      <c r="N977" s="208"/>
      <c r="O977" s="208"/>
      <c r="P977" s="208"/>
      <c r="Q977" s="208"/>
      <c r="R977" s="208"/>
      <c r="S977" s="208"/>
      <c r="T977" s="208"/>
      <c r="U977" s="208"/>
      <c r="V977" s="208"/>
      <c r="W977" s="232"/>
      <c r="X977" s="232"/>
      <c r="Y977" s="232"/>
      <c r="Z977" s="232"/>
      <c r="AA977" s="232"/>
      <c r="AB977" s="232"/>
      <c r="AC977" s="232"/>
      <c r="AD977" s="232"/>
      <c r="AE977" s="232"/>
      <c r="AF977" s="232"/>
      <c r="AG977" s="208"/>
      <c r="AH977" s="208"/>
      <c r="AI977" s="208"/>
      <c r="AJ977" s="208"/>
      <c r="AK977" s="208"/>
    </row>
    <row r="978">
      <c r="A978" s="234"/>
      <c r="B978" s="208"/>
      <c r="C978" s="208"/>
      <c r="D978" s="208"/>
      <c r="E978" s="208"/>
      <c r="F978" s="208"/>
      <c r="G978" s="208"/>
      <c r="H978" s="208"/>
      <c r="I978" s="233"/>
      <c r="J978" s="208"/>
      <c r="K978" s="208"/>
      <c r="L978" s="208"/>
      <c r="M978" s="208"/>
      <c r="N978" s="208"/>
      <c r="O978" s="208"/>
      <c r="P978" s="208"/>
      <c r="Q978" s="208"/>
      <c r="R978" s="208"/>
      <c r="S978" s="208"/>
      <c r="T978" s="208"/>
      <c r="U978" s="208"/>
      <c r="V978" s="208"/>
      <c r="W978" s="232"/>
      <c r="X978" s="232"/>
      <c r="Y978" s="232"/>
      <c r="Z978" s="232"/>
      <c r="AA978" s="232"/>
      <c r="AB978" s="232"/>
      <c r="AC978" s="232"/>
      <c r="AD978" s="232"/>
      <c r="AE978" s="232"/>
      <c r="AF978" s="232"/>
      <c r="AG978" s="208"/>
      <c r="AH978" s="208"/>
      <c r="AI978" s="208"/>
      <c r="AJ978" s="208"/>
      <c r="AK978" s="208"/>
    </row>
    <row r="979">
      <c r="A979" s="234"/>
      <c r="B979" s="208"/>
      <c r="C979" s="208"/>
      <c r="D979" s="208"/>
      <c r="E979" s="208"/>
      <c r="F979" s="208"/>
      <c r="G979" s="208"/>
      <c r="H979" s="208"/>
      <c r="I979" s="233"/>
      <c r="J979" s="208"/>
      <c r="K979" s="208"/>
      <c r="L979" s="208"/>
      <c r="M979" s="208"/>
      <c r="N979" s="208"/>
      <c r="O979" s="208"/>
      <c r="P979" s="208"/>
      <c r="Q979" s="208"/>
      <c r="R979" s="208"/>
      <c r="S979" s="208"/>
      <c r="T979" s="208"/>
      <c r="U979" s="208"/>
      <c r="V979" s="208"/>
      <c r="W979" s="232"/>
      <c r="X979" s="232"/>
      <c r="Y979" s="232"/>
      <c r="Z979" s="232"/>
      <c r="AA979" s="232"/>
      <c r="AB979" s="232"/>
      <c r="AC979" s="232"/>
      <c r="AD979" s="232"/>
      <c r="AE979" s="232"/>
      <c r="AF979" s="232"/>
      <c r="AG979" s="208"/>
      <c r="AH979" s="208"/>
      <c r="AI979" s="208"/>
      <c r="AJ979" s="208"/>
      <c r="AK979" s="208"/>
    </row>
    <row r="980">
      <c r="A980" s="234"/>
      <c r="B980" s="208"/>
      <c r="C980" s="208"/>
      <c r="D980" s="208"/>
      <c r="E980" s="208"/>
      <c r="F980" s="208"/>
      <c r="G980" s="208"/>
      <c r="H980" s="208"/>
      <c r="I980" s="233"/>
      <c r="J980" s="208"/>
      <c r="K980" s="208"/>
      <c r="L980" s="208"/>
      <c r="M980" s="208"/>
      <c r="N980" s="208"/>
      <c r="O980" s="208"/>
      <c r="P980" s="208"/>
      <c r="Q980" s="208"/>
      <c r="R980" s="208"/>
      <c r="S980" s="208"/>
      <c r="T980" s="208"/>
      <c r="U980" s="208"/>
      <c r="V980" s="208"/>
      <c r="W980" s="232"/>
      <c r="X980" s="232"/>
      <c r="Y980" s="232"/>
      <c r="Z980" s="232"/>
      <c r="AA980" s="232"/>
      <c r="AB980" s="232"/>
      <c r="AC980" s="232"/>
      <c r="AD980" s="232"/>
      <c r="AE980" s="232"/>
      <c r="AF980" s="232"/>
      <c r="AG980" s="208"/>
      <c r="AH980" s="208"/>
      <c r="AI980" s="208"/>
      <c r="AJ980" s="208"/>
      <c r="AK980" s="208"/>
    </row>
    <row r="981">
      <c r="A981" s="234"/>
      <c r="B981" s="208"/>
      <c r="C981" s="208"/>
      <c r="D981" s="208"/>
      <c r="E981" s="208"/>
      <c r="F981" s="208"/>
      <c r="G981" s="208"/>
      <c r="H981" s="208"/>
      <c r="I981" s="233"/>
      <c r="J981" s="208"/>
      <c r="K981" s="208"/>
      <c r="L981" s="208"/>
      <c r="M981" s="208"/>
      <c r="N981" s="208"/>
      <c r="O981" s="208"/>
      <c r="P981" s="208"/>
      <c r="Q981" s="208"/>
      <c r="R981" s="208"/>
      <c r="S981" s="208"/>
      <c r="T981" s="208"/>
      <c r="U981" s="208"/>
      <c r="V981" s="208"/>
      <c r="W981" s="232"/>
      <c r="X981" s="232"/>
      <c r="Y981" s="232"/>
      <c r="Z981" s="232"/>
      <c r="AA981" s="232"/>
      <c r="AB981" s="232"/>
      <c r="AC981" s="232"/>
      <c r="AD981" s="232"/>
      <c r="AE981" s="232"/>
      <c r="AF981" s="232"/>
      <c r="AG981" s="208"/>
      <c r="AH981" s="208"/>
      <c r="AI981" s="208"/>
      <c r="AJ981" s="208"/>
      <c r="AK981" s="208"/>
    </row>
    <row r="982">
      <c r="A982" s="234"/>
      <c r="B982" s="208"/>
      <c r="C982" s="208"/>
      <c r="D982" s="208"/>
      <c r="E982" s="208"/>
      <c r="F982" s="208"/>
      <c r="G982" s="208"/>
      <c r="H982" s="208"/>
      <c r="I982" s="233"/>
      <c r="J982" s="208"/>
      <c r="K982" s="208"/>
      <c r="L982" s="208"/>
      <c r="M982" s="208"/>
      <c r="N982" s="208"/>
      <c r="O982" s="208"/>
      <c r="P982" s="208"/>
      <c r="Q982" s="208"/>
      <c r="R982" s="208"/>
      <c r="S982" s="208"/>
      <c r="T982" s="208"/>
      <c r="U982" s="208"/>
      <c r="V982" s="208"/>
      <c r="W982" s="232"/>
      <c r="X982" s="232"/>
      <c r="Y982" s="232"/>
      <c r="Z982" s="232"/>
      <c r="AA982" s="232"/>
      <c r="AB982" s="232"/>
      <c r="AC982" s="232"/>
      <c r="AD982" s="232"/>
      <c r="AE982" s="232"/>
      <c r="AF982" s="232"/>
      <c r="AG982" s="208"/>
      <c r="AH982" s="208"/>
      <c r="AI982" s="208"/>
      <c r="AJ982" s="208"/>
      <c r="AK982" s="208"/>
    </row>
    <row r="983">
      <c r="A983" s="234"/>
      <c r="B983" s="208"/>
      <c r="C983" s="208"/>
      <c r="D983" s="208"/>
      <c r="E983" s="208"/>
      <c r="F983" s="208"/>
      <c r="G983" s="208"/>
      <c r="H983" s="208"/>
      <c r="I983" s="233"/>
      <c r="J983" s="208"/>
      <c r="K983" s="208"/>
      <c r="L983" s="208"/>
      <c r="M983" s="208"/>
      <c r="N983" s="208"/>
      <c r="O983" s="208"/>
      <c r="P983" s="208"/>
      <c r="Q983" s="208"/>
      <c r="R983" s="208"/>
      <c r="S983" s="208"/>
      <c r="T983" s="208"/>
      <c r="U983" s="208"/>
      <c r="V983" s="208"/>
      <c r="W983" s="232"/>
      <c r="X983" s="232"/>
      <c r="Y983" s="232"/>
      <c r="Z983" s="232"/>
      <c r="AA983" s="232"/>
      <c r="AB983" s="232"/>
      <c r="AC983" s="232"/>
      <c r="AD983" s="232"/>
      <c r="AE983" s="232"/>
      <c r="AF983" s="232"/>
      <c r="AG983" s="208"/>
      <c r="AH983" s="208"/>
      <c r="AI983" s="208"/>
      <c r="AJ983" s="208"/>
      <c r="AK983" s="208"/>
    </row>
    <row r="984">
      <c r="A984" s="234"/>
      <c r="B984" s="208"/>
      <c r="C984" s="208"/>
      <c r="D984" s="208"/>
      <c r="E984" s="208"/>
      <c r="F984" s="208"/>
      <c r="G984" s="208"/>
      <c r="H984" s="208"/>
      <c r="I984" s="233"/>
      <c r="J984" s="208"/>
      <c r="K984" s="208"/>
      <c r="L984" s="208"/>
      <c r="M984" s="208"/>
      <c r="N984" s="208"/>
      <c r="O984" s="208"/>
      <c r="P984" s="208"/>
      <c r="Q984" s="208"/>
      <c r="R984" s="208"/>
      <c r="S984" s="208"/>
      <c r="T984" s="208"/>
      <c r="U984" s="208"/>
      <c r="V984" s="208"/>
      <c r="W984" s="232"/>
      <c r="X984" s="232"/>
      <c r="Y984" s="232"/>
      <c r="Z984" s="232"/>
      <c r="AA984" s="232"/>
      <c r="AB984" s="232"/>
      <c r="AC984" s="232"/>
      <c r="AD984" s="232"/>
      <c r="AE984" s="232"/>
      <c r="AF984" s="232"/>
      <c r="AG984" s="208"/>
      <c r="AH984" s="208"/>
      <c r="AI984" s="208"/>
      <c r="AJ984" s="208"/>
      <c r="AK984" s="208"/>
    </row>
    <row r="985">
      <c r="A985" s="234"/>
      <c r="B985" s="208"/>
      <c r="C985" s="208"/>
      <c r="D985" s="208"/>
      <c r="E985" s="208"/>
      <c r="F985" s="208"/>
      <c r="G985" s="208"/>
      <c r="H985" s="208"/>
      <c r="I985" s="233"/>
      <c r="J985" s="208"/>
      <c r="K985" s="208"/>
      <c r="L985" s="208"/>
      <c r="M985" s="208"/>
      <c r="N985" s="208"/>
      <c r="O985" s="208"/>
      <c r="P985" s="208"/>
      <c r="Q985" s="208"/>
      <c r="R985" s="208"/>
      <c r="S985" s="208"/>
      <c r="T985" s="208"/>
      <c r="U985" s="208"/>
      <c r="V985" s="208"/>
      <c r="W985" s="232"/>
      <c r="X985" s="232"/>
      <c r="Y985" s="232"/>
      <c r="Z985" s="232"/>
      <c r="AA985" s="232"/>
      <c r="AB985" s="232"/>
      <c r="AC985" s="232"/>
      <c r="AD985" s="232"/>
      <c r="AE985" s="232"/>
      <c r="AF985" s="232"/>
      <c r="AG985" s="208"/>
      <c r="AH985" s="208"/>
      <c r="AI985" s="208"/>
      <c r="AJ985" s="208"/>
      <c r="AK985" s="208"/>
    </row>
    <row r="986">
      <c r="A986" s="234"/>
      <c r="B986" s="208"/>
      <c r="C986" s="208"/>
      <c r="D986" s="208"/>
      <c r="E986" s="208"/>
      <c r="F986" s="208"/>
      <c r="G986" s="208"/>
      <c r="H986" s="208"/>
      <c r="I986" s="233"/>
      <c r="J986" s="208"/>
      <c r="K986" s="208"/>
      <c r="L986" s="208"/>
      <c r="M986" s="208"/>
      <c r="N986" s="208"/>
      <c r="O986" s="208"/>
      <c r="P986" s="208"/>
      <c r="Q986" s="208"/>
      <c r="R986" s="208"/>
      <c r="S986" s="208"/>
      <c r="T986" s="208"/>
      <c r="U986" s="208"/>
      <c r="V986" s="208"/>
      <c r="W986" s="232"/>
      <c r="X986" s="232"/>
      <c r="Y986" s="232"/>
      <c r="Z986" s="232"/>
      <c r="AA986" s="232"/>
      <c r="AB986" s="232"/>
      <c r="AC986" s="232"/>
      <c r="AD986" s="232"/>
      <c r="AE986" s="232"/>
      <c r="AF986" s="232"/>
      <c r="AG986" s="208"/>
      <c r="AH986" s="208"/>
      <c r="AI986" s="208"/>
      <c r="AJ986" s="208"/>
      <c r="AK986" s="208"/>
    </row>
    <row r="987">
      <c r="A987" s="234"/>
      <c r="B987" s="208"/>
      <c r="C987" s="208"/>
      <c r="D987" s="208"/>
      <c r="E987" s="208"/>
      <c r="F987" s="208"/>
      <c r="G987" s="208"/>
      <c r="H987" s="208"/>
      <c r="I987" s="233"/>
      <c r="J987" s="208"/>
      <c r="K987" s="208"/>
      <c r="L987" s="208"/>
      <c r="M987" s="208"/>
      <c r="N987" s="208"/>
      <c r="O987" s="208"/>
      <c r="P987" s="208"/>
      <c r="Q987" s="208"/>
      <c r="R987" s="208"/>
      <c r="S987" s="208"/>
      <c r="T987" s="208"/>
      <c r="U987" s="208"/>
      <c r="V987" s="208"/>
      <c r="W987" s="232"/>
      <c r="X987" s="232"/>
      <c r="Y987" s="232"/>
      <c r="Z987" s="232"/>
      <c r="AA987" s="232"/>
      <c r="AB987" s="232"/>
      <c r="AC987" s="232"/>
      <c r="AD987" s="232"/>
      <c r="AE987" s="232"/>
      <c r="AF987" s="232"/>
      <c r="AG987" s="208"/>
      <c r="AH987" s="208"/>
      <c r="AI987" s="208"/>
      <c r="AJ987" s="208"/>
      <c r="AK987" s="208"/>
    </row>
    <row r="988">
      <c r="A988" s="234"/>
      <c r="B988" s="208"/>
      <c r="C988" s="208"/>
      <c r="D988" s="208"/>
      <c r="E988" s="208"/>
      <c r="F988" s="208"/>
      <c r="G988" s="208"/>
      <c r="H988" s="208"/>
      <c r="I988" s="233"/>
      <c r="J988" s="208"/>
      <c r="K988" s="208"/>
      <c r="L988" s="208"/>
      <c r="M988" s="208"/>
      <c r="N988" s="208"/>
      <c r="O988" s="208"/>
      <c r="P988" s="208"/>
      <c r="Q988" s="208"/>
      <c r="R988" s="208"/>
      <c r="S988" s="208"/>
      <c r="T988" s="208"/>
      <c r="U988" s="208"/>
      <c r="V988" s="208"/>
      <c r="W988" s="232"/>
      <c r="X988" s="232"/>
      <c r="Y988" s="232"/>
      <c r="Z988" s="232"/>
      <c r="AA988" s="232"/>
      <c r="AB988" s="232"/>
      <c r="AC988" s="232"/>
      <c r="AD988" s="232"/>
      <c r="AE988" s="232"/>
      <c r="AF988" s="232"/>
      <c r="AG988" s="208"/>
      <c r="AH988" s="208"/>
      <c r="AI988" s="208"/>
      <c r="AJ988" s="208"/>
      <c r="AK988" s="208"/>
    </row>
    <row r="989">
      <c r="A989" s="234"/>
      <c r="B989" s="208"/>
      <c r="C989" s="208"/>
      <c r="D989" s="208"/>
      <c r="E989" s="208"/>
      <c r="F989" s="208"/>
      <c r="G989" s="208"/>
      <c r="H989" s="208"/>
      <c r="I989" s="233"/>
      <c r="J989" s="208"/>
      <c r="K989" s="208"/>
      <c r="L989" s="208"/>
      <c r="M989" s="208"/>
      <c r="N989" s="208"/>
      <c r="O989" s="208"/>
      <c r="P989" s="208"/>
      <c r="Q989" s="208"/>
      <c r="R989" s="208"/>
      <c r="S989" s="208"/>
      <c r="T989" s="208"/>
      <c r="U989" s="208"/>
      <c r="V989" s="208"/>
      <c r="W989" s="232"/>
      <c r="X989" s="232"/>
      <c r="Y989" s="232"/>
      <c r="Z989" s="232"/>
      <c r="AA989" s="232"/>
      <c r="AB989" s="232"/>
      <c r="AC989" s="232"/>
      <c r="AD989" s="232"/>
      <c r="AE989" s="232"/>
      <c r="AF989" s="232"/>
      <c r="AG989" s="208"/>
      <c r="AH989" s="208"/>
      <c r="AI989" s="208"/>
      <c r="AJ989" s="208"/>
      <c r="AK989" s="208"/>
    </row>
    <row r="990">
      <c r="A990" s="234"/>
      <c r="B990" s="208"/>
      <c r="C990" s="208"/>
      <c r="D990" s="208"/>
      <c r="E990" s="208"/>
      <c r="F990" s="208"/>
      <c r="G990" s="208"/>
      <c r="H990" s="208"/>
      <c r="I990" s="233"/>
      <c r="J990" s="208"/>
      <c r="K990" s="208"/>
      <c r="L990" s="208"/>
      <c r="M990" s="208"/>
      <c r="N990" s="208"/>
      <c r="O990" s="208"/>
      <c r="P990" s="208"/>
      <c r="Q990" s="208"/>
      <c r="R990" s="208"/>
      <c r="S990" s="208"/>
      <c r="T990" s="208"/>
      <c r="U990" s="208"/>
      <c r="V990" s="208"/>
      <c r="W990" s="232"/>
      <c r="X990" s="232"/>
      <c r="Y990" s="232"/>
      <c r="Z990" s="232"/>
      <c r="AA990" s="232"/>
      <c r="AB990" s="232"/>
      <c r="AC990" s="232"/>
      <c r="AD990" s="232"/>
      <c r="AE990" s="232"/>
      <c r="AF990" s="232"/>
      <c r="AG990" s="208"/>
      <c r="AH990" s="208"/>
      <c r="AI990" s="208"/>
      <c r="AJ990" s="208"/>
      <c r="AK990" s="208"/>
    </row>
    <row r="991">
      <c r="A991" s="234"/>
      <c r="B991" s="208"/>
      <c r="C991" s="208"/>
      <c r="D991" s="208"/>
      <c r="E991" s="208"/>
      <c r="F991" s="208"/>
      <c r="G991" s="208"/>
      <c r="H991" s="208"/>
      <c r="I991" s="233"/>
      <c r="J991" s="208"/>
      <c r="K991" s="208"/>
      <c r="L991" s="208"/>
      <c r="M991" s="208"/>
      <c r="N991" s="208"/>
      <c r="O991" s="208"/>
      <c r="P991" s="208"/>
      <c r="Q991" s="208"/>
      <c r="R991" s="208"/>
      <c r="S991" s="208"/>
      <c r="T991" s="208"/>
      <c r="U991" s="208"/>
      <c r="V991" s="208"/>
      <c r="W991" s="232"/>
      <c r="X991" s="232"/>
      <c r="Y991" s="232"/>
      <c r="Z991" s="232"/>
      <c r="AA991" s="232"/>
      <c r="AB991" s="232"/>
      <c r="AC991" s="232"/>
      <c r="AD991" s="232"/>
      <c r="AE991" s="232"/>
      <c r="AF991" s="232"/>
      <c r="AG991" s="208"/>
      <c r="AH991" s="208"/>
      <c r="AI991" s="208"/>
      <c r="AJ991" s="208"/>
      <c r="AK991" s="208"/>
    </row>
    <row r="992">
      <c r="A992" s="234"/>
      <c r="B992" s="208"/>
      <c r="C992" s="208"/>
      <c r="D992" s="208"/>
      <c r="E992" s="208"/>
      <c r="F992" s="208"/>
      <c r="G992" s="208"/>
      <c r="H992" s="208"/>
      <c r="I992" s="233"/>
      <c r="J992" s="208"/>
      <c r="K992" s="208"/>
      <c r="L992" s="208"/>
      <c r="M992" s="208"/>
      <c r="N992" s="208"/>
      <c r="O992" s="208"/>
      <c r="P992" s="208"/>
      <c r="Q992" s="208"/>
      <c r="R992" s="208"/>
      <c r="S992" s="208"/>
      <c r="T992" s="208"/>
      <c r="U992" s="208"/>
      <c r="V992" s="208"/>
      <c r="W992" s="232"/>
      <c r="X992" s="232"/>
      <c r="Y992" s="232"/>
      <c r="Z992" s="232"/>
      <c r="AA992" s="232"/>
      <c r="AB992" s="232"/>
      <c r="AC992" s="232"/>
      <c r="AD992" s="232"/>
      <c r="AE992" s="232"/>
      <c r="AF992" s="232"/>
      <c r="AG992" s="208"/>
      <c r="AH992" s="208"/>
      <c r="AI992" s="208"/>
      <c r="AJ992" s="208"/>
      <c r="AK992" s="208"/>
    </row>
    <row r="993">
      <c r="A993" s="234"/>
      <c r="B993" s="208"/>
      <c r="C993" s="208"/>
      <c r="D993" s="208"/>
      <c r="E993" s="208"/>
      <c r="F993" s="208"/>
      <c r="G993" s="208"/>
      <c r="H993" s="208"/>
      <c r="I993" s="233"/>
      <c r="J993" s="208"/>
      <c r="K993" s="208"/>
      <c r="L993" s="208"/>
      <c r="M993" s="208"/>
      <c r="N993" s="208"/>
      <c r="O993" s="208"/>
      <c r="P993" s="208"/>
      <c r="Q993" s="208"/>
      <c r="R993" s="208"/>
      <c r="S993" s="208"/>
      <c r="T993" s="208"/>
      <c r="U993" s="208"/>
      <c r="V993" s="208"/>
      <c r="W993" s="232"/>
      <c r="X993" s="232"/>
      <c r="Y993" s="232"/>
      <c r="Z993" s="232"/>
      <c r="AA993" s="232"/>
      <c r="AB993" s="232"/>
      <c r="AC993" s="232"/>
      <c r="AD993" s="232"/>
      <c r="AE993" s="232"/>
      <c r="AF993" s="232"/>
      <c r="AG993" s="208"/>
      <c r="AH993" s="208"/>
      <c r="AI993" s="208"/>
      <c r="AJ993" s="208"/>
      <c r="AK993" s="208"/>
    </row>
    <row r="994">
      <c r="A994" s="234"/>
      <c r="B994" s="208"/>
      <c r="C994" s="208"/>
      <c r="D994" s="208"/>
      <c r="E994" s="208"/>
      <c r="F994" s="208"/>
      <c r="G994" s="208"/>
      <c r="H994" s="208"/>
      <c r="I994" s="233"/>
      <c r="J994" s="208"/>
      <c r="K994" s="208"/>
      <c r="L994" s="208"/>
      <c r="M994" s="208"/>
      <c r="N994" s="208"/>
      <c r="O994" s="208"/>
      <c r="P994" s="208"/>
      <c r="Q994" s="208"/>
      <c r="R994" s="208"/>
      <c r="S994" s="208"/>
      <c r="T994" s="208"/>
      <c r="U994" s="208"/>
      <c r="V994" s="208"/>
      <c r="W994" s="232"/>
      <c r="X994" s="232"/>
      <c r="Y994" s="232"/>
      <c r="Z994" s="232"/>
      <c r="AA994" s="232"/>
      <c r="AB994" s="232"/>
      <c r="AC994" s="232"/>
      <c r="AD994" s="232"/>
      <c r="AE994" s="232"/>
      <c r="AF994" s="232"/>
      <c r="AG994" s="208"/>
      <c r="AH994" s="208"/>
      <c r="AI994" s="208"/>
      <c r="AJ994" s="208"/>
      <c r="AK994" s="208"/>
    </row>
    <row r="995">
      <c r="A995" s="234"/>
      <c r="B995" s="208"/>
      <c r="C995" s="208"/>
      <c r="D995" s="208"/>
      <c r="E995" s="208"/>
      <c r="F995" s="208"/>
      <c r="G995" s="208"/>
      <c r="H995" s="208"/>
      <c r="I995" s="233"/>
      <c r="J995" s="208"/>
      <c r="K995" s="208"/>
      <c r="L995" s="208"/>
      <c r="M995" s="208"/>
      <c r="N995" s="208"/>
      <c r="O995" s="208"/>
      <c r="P995" s="208"/>
      <c r="Q995" s="208"/>
      <c r="R995" s="208"/>
      <c r="S995" s="208"/>
      <c r="T995" s="208"/>
      <c r="U995" s="208"/>
      <c r="V995" s="208"/>
      <c r="W995" s="232"/>
      <c r="X995" s="232"/>
      <c r="Y995" s="232"/>
      <c r="Z995" s="232"/>
      <c r="AA995" s="232"/>
      <c r="AB995" s="232"/>
      <c r="AC995" s="232"/>
      <c r="AD995" s="232"/>
      <c r="AE995" s="232"/>
      <c r="AF995" s="232"/>
      <c r="AG995" s="208"/>
      <c r="AH995" s="208"/>
      <c r="AI995" s="208"/>
      <c r="AJ995" s="208"/>
      <c r="AK995" s="208"/>
    </row>
    <row r="996">
      <c r="A996" s="234"/>
      <c r="B996" s="208"/>
      <c r="C996" s="208"/>
      <c r="D996" s="208"/>
      <c r="E996" s="208"/>
      <c r="F996" s="208"/>
      <c r="G996" s="208"/>
      <c r="H996" s="208"/>
      <c r="I996" s="233"/>
      <c r="J996" s="208"/>
      <c r="K996" s="208"/>
      <c r="L996" s="208"/>
      <c r="M996" s="208"/>
      <c r="N996" s="208"/>
      <c r="O996" s="208"/>
      <c r="P996" s="208"/>
      <c r="Q996" s="208"/>
      <c r="R996" s="208"/>
      <c r="S996" s="208"/>
      <c r="T996" s="208"/>
      <c r="U996" s="208"/>
      <c r="V996" s="208"/>
      <c r="W996" s="232"/>
      <c r="X996" s="232"/>
      <c r="Y996" s="232"/>
      <c r="Z996" s="232"/>
      <c r="AA996" s="232"/>
      <c r="AB996" s="232"/>
      <c r="AC996" s="232"/>
      <c r="AD996" s="232"/>
      <c r="AE996" s="232"/>
      <c r="AF996" s="232"/>
      <c r="AG996" s="208"/>
      <c r="AH996" s="208"/>
      <c r="AI996" s="208"/>
      <c r="AJ996" s="208"/>
      <c r="AK996" s="208"/>
    </row>
    <row r="997">
      <c r="A997" s="234"/>
      <c r="B997" s="208"/>
      <c r="C997" s="208"/>
      <c r="D997" s="208"/>
      <c r="E997" s="208"/>
      <c r="F997" s="208"/>
      <c r="G997" s="208"/>
      <c r="H997" s="208"/>
      <c r="I997" s="233"/>
      <c r="J997" s="208"/>
      <c r="K997" s="208"/>
      <c r="L997" s="208"/>
      <c r="M997" s="208"/>
      <c r="N997" s="208"/>
      <c r="O997" s="208"/>
      <c r="P997" s="208"/>
      <c r="Q997" s="208"/>
      <c r="R997" s="208"/>
      <c r="S997" s="208"/>
      <c r="T997" s="208"/>
      <c r="U997" s="208"/>
      <c r="V997" s="208"/>
      <c r="W997" s="232"/>
      <c r="X997" s="232"/>
      <c r="Y997" s="232"/>
      <c r="Z997" s="232"/>
      <c r="AA997" s="232"/>
      <c r="AB997" s="232"/>
      <c r="AC997" s="232"/>
      <c r="AD997" s="232"/>
      <c r="AE997" s="232"/>
      <c r="AF997" s="232"/>
      <c r="AG997" s="208"/>
      <c r="AH997" s="208"/>
      <c r="AI997" s="208"/>
      <c r="AJ997" s="208"/>
      <c r="AK997" s="208"/>
    </row>
    <row r="998">
      <c r="A998" s="234"/>
      <c r="B998" s="208"/>
      <c r="C998" s="208"/>
      <c r="D998" s="208"/>
      <c r="E998" s="208"/>
      <c r="F998" s="208"/>
      <c r="G998" s="208"/>
      <c r="H998" s="208"/>
      <c r="I998" s="233"/>
      <c r="J998" s="208"/>
      <c r="K998" s="208"/>
      <c r="L998" s="208"/>
      <c r="M998" s="208"/>
      <c r="N998" s="208"/>
      <c r="O998" s="208"/>
      <c r="P998" s="208"/>
      <c r="Q998" s="208"/>
      <c r="R998" s="208"/>
      <c r="S998" s="208"/>
      <c r="T998" s="208"/>
      <c r="U998" s="208"/>
      <c r="V998" s="208"/>
      <c r="W998" s="232"/>
      <c r="X998" s="232"/>
      <c r="Y998" s="232"/>
      <c r="Z998" s="232"/>
      <c r="AA998" s="232"/>
      <c r="AB998" s="232"/>
      <c r="AC998" s="232"/>
      <c r="AD998" s="232"/>
      <c r="AE998" s="232"/>
      <c r="AF998" s="232"/>
      <c r="AG998" s="208"/>
      <c r="AH998" s="208"/>
      <c r="AI998" s="208"/>
      <c r="AJ998" s="208"/>
      <c r="AK998" s="208"/>
    </row>
    <row r="999">
      <c r="A999" s="234"/>
      <c r="B999" s="208"/>
      <c r="C999" s="208"/>
      <c r="D999" s="208"/>
      <c r="E999" s="208"/>
      <c r="F999" s="208"/>
      <c r="G999" s="208"/>
      <c r="H999" s="208"/>
      <c r="I999" s="233"/>
      <c r="J999" s="208"/>
      <c r="K999" s="208"/>
      <c r="L999" s="208"/>
      <c r="M999" s="208"/>
      <c r="N999" s="208"/>
      <c r="O999" s="208"/>
      <c r="P999" s="208"/>
      <c r="Q999" s="208"/>
      <c r="R999" s="208"/>
      <c r="S999" s="208"/>
      <c r="T999" s="208"/>
      <c r="U999" s="208"/>
      <c r="V999" s="208"/>
      <c r="W999" s="232"/>
      <c r="X999" s="232"/>
      <c r="Y999" s="232"/>
      <c r="Z999" s="232"/>
      <c r="AA999" s="232"/>
      <c r="AB999" s="232"/>
      <c r="AC999" s="232"/>
      <c r="AD999" s="232"/>
      <c r="AE999" s="232"/>
      <c r="AF999" s="232"/>
      <c r="AG999" s="208"/>
      <c r="AH999" s="208"/>
      <c r="AI999" s="208"/>
      <c r="AJ999" s="208"/>
      <c r="AK999" s="208"/>
    </row>
    <row r="1000">
      <c r="A1000" s="234"/>
      <c r="B1000" s="208"/>
      <c r="C1000" s="208"/>
      <c r="D1000" s="208"/>
      <c r="E1000" s="208"/>
      <c r="F1000" s="208"/>
      <c r="G1000" s="208"/>
      <c r="H1000" s="208"/>
      <c r="I1000" s="233"/>
      <c r="J1000" s="208"/>
      <c r="K1000" s="208"/>
      <c r="L1000" s="208"/>
      <c r="M1000" s="208"/>
      <c r="N1000" s="208"/>
      <c r="O1000" s="208"/>
      <c r="P1000" s="208"/>
      <c r="Q1000" s="208"/>
      <c r="R1000" s="208"/>
      <c r="S1000" s="208"/>
      <c r="T1000" s="208"/>
      <c r="U1000" s="208"/>
      <c r="V1000" s="208"/>
      <c r="W1000" s="232"/>
      <c r="X1000" s="232"/>
      <c r="Y1000" s="232"/>
      <c r="Z1000" s="232"/>
      <c r="AA1000" s="232"/>
      <c r="AB1000" s="232"/>
      <c r="AC1000" s="232"/>
      <c r="AD1000" s="232"/>
      <c r="AE1000" s="232"/>
      <c r="AF1000" s="232"/>
      <c r="AG1000" s="208"/>
      <c r="AH1000" s="208"/>
      <c r="AI1000" s="208"/>
      <c r="AJ1000" s="208"/>
      <c r="AK1000" s="20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9.88"/>
    <col customWidth="1" min="3" max="3" width="17.13"/>
    <col customWidth="1" min="4" max="4" width="25.75"/>
    <col customWidth="1" min="5" max="5" width="30.38"/>
    <col customWidth="1" min="6" max="6" width="41.88"/>
    <col customWidth="1" min="7" max="7" width="33.75"/>
    <col customWidth="1" min="8" max="8" width="45.88"/>
    <col customWidth="1" min="9" max="9" width="44.5"/>
    <col customWidth="1" min="10" max="10" width="12.0"/>
    <col customWidth="1" min="11" max="11" width="9.75"/>
    <col customWidth="1" min="12" max="12" width="9.63"/>
    <col customWidth="1" min="13" max="13" width="10.25"/>
    <col customWidth="1" min="14" max="14" width="12.38"/>
    <col customWidth="1" min="15" max="15" width="9.13"/>
    <col customWidth="1" min="16" max="17" width="12.25"/>
    <col customWidth="1" min="18" max="18" width="12.75"/>
    <col customWidth="1" min="19" max="19" width="9.75"/>
    <col customWidth="1" min="24" max="24" width="21.0"/>
    <col customWidth="1" min="25" max="25" width="33.25"/>
    <col customWidth="1" min="26" max="26" width="29.5"/>
  </cols>
  <sheetData>
    <row r="1">
      <c r="A1" s="207" t="str">
        <f>IFERROR(__xludf.DUMMYFUNCTION("QUERY(Mastersheet!A1:AF1000, ""SELECT * WHERE E = 'CIS'"", 1)"),"Date")</f>
        <v>Date</v>
      </c>
      <c r="B1" s="207" t="str">
        <f>IFERROR(__xludf.DUMMYFUNCTION("""COMPUTED_VALUE"""),"Send Time")</f>
        <v>Send Time</v>
      </c>
      <c r="C1" s="207" t="str">
        <f>IFERROR(__xludf.DUMMYFUNCTION("""COMPUTED_VALUE"""),"Channel")</f>
        <v>Channel</v>
      </c>
      <c r="D1" s="207" t="str">
        <f>IFERROR(__xludf.DUMMYFUNCTION("""COMPUTED_VALUE"""),"Campaign Type")</f>
        <v>Campaign Type</v>
      </c>
      <c r="E1" s="207" t="str">
        <f>IFERROR(__xludf.DUMMYFUNCTION("""COMPUTED_VALUE"""),"Brand")</f>
        <v>Brand</v>
      </c>
      <c r="F1" s="207" t="str">
        <f>IFERROR(__xludf.DUMMYFUNCTION("""COMPUTED_VALUE"""),"Master Campaign / Offer Category")</f>
        <v>Master Campaign / Offer Category</v>
      </c>
      <c r="G1" s="207" t="str">
        <f>IFERROR(__xludf.DUMMYFUNCTION("""COMPUTED_VALUE"""),"Campaign Name")</f>
        <v>Campaign Name</v>
      </c>
      <c r="H1" s="207" t="str">
        <f>IFERROR(__xludf.DUMMYFUNCTION("""COMPUTED_VALUE"""),"Segment Name")</f>
        <v>Segment Name</v>
      </c>
      <c r="I1" s="207" t="str">
        <f>IFERROR(__xludf.DUMMYFUNCTION("""COMPUTED_VALUE"""),"Segment Logic")</f>
        <v>Segment Logic</v>
      </c>
      <c r="J1" s="207" t="str">
        <f>IFERROR(__xludf.DUMMYFUNCTION("""COMPUTED_VALUE"""),"Total Sent")</f>
        <v>Total Sent</v>
      </c>
      <c r="K1" s="207" t="str">
        <f>IFERROR(__xludf.DUMMYFUNCTION("""COMPUTED_VALUE"""),"Total Delivered")</f>
        <v>Total Delivered</v>
      </c>
      <c r="L1" s="207" t="str">
        <f>IFERROR(__xludf.DUMMYFUNCTION("""COMPUTED_VALUE"""),"Delivery Rate")</f>
        <v>Delivery Rate</v>
      </c>
      <c r="M1" s="207" t="str">
        <f>IFERROR(__xludf.DUMMYFUNCTION("""COMPUTED_VALUE"""),"Total Read")</f>
        <v>Total Read</v>
      </c>
      <c r="N1" s="207" t="str">
        <f>IFERROR(__xludf.DUMMYFUNCTION("""COMPUTED_VALUE"""),"Read Rate")</f>
        <v>Read Rate</v>
      </c>
      <c r="O1" s="207" t="str">
        <f>IFERROR(__xludf.DUMMYFUNCTION("""COMPUTED_VALUE"""),"Total Clicks")</f>
        <v>Total Clicks</v>
      </c>
      <c r="P1" s="207" t="str">
        <f>IFERROR(__xludf.DUMMYFUNCTION("""COMPUTED_VALUE"""),"Unique Clicks")</f>
        <v>Unique Clicks</v>
      </c>
      <c r="Q1" s="207" t="str">
        <f>IFERROR(__xludf.DUMMYFUNCTION("""COMPUTED_VALUE"""),"CTR")</f>
        <v>CTR</v>
      </c>
      <c r="R1" s="207" t="str">
        <f>IFERROR(__xludf.DUMMYFUNCTION("""COMPUTED_VALUE"""),"Click to Open Rate")</f>
        <v>Click to Open Rate</v>
      </c>
      <c r="S1" s="207" t="str">
        <f>IFERROR(__xludf.DUMMYFUNCTION("""COMPUTED_VALUE"""),"Goal 1 Conversions")</f>
        <v>Goal 1 Conversions</v>
      </c>
      <c r="T1" s="207" t="str">
        <f>IFERROR(__xludf.DUMMYFUNCTION("""COMPUTED_VALUE"""),"Goal 2 Add to Cart")</f>
        <v>Goal 2 Add to Cart</v>
      </c>
      <c r="U1" s="207" t="str">
        <f>IFERROR(__xludf.DUMMYFUNCTION("""COMPUTED_VALUE"""),"Total Campaign Revenue INR")</f>
        <v>Total Campaign Revenue INR</v>
      </c>
      <c r="V1" s="207" t="str">
        <f>IFERROR(__xludf.DUMMYFUNCTION("""COMPUTED_VALUE"""),"Campaign Channel Type")</f>
        <v>Campaign Channel Type</v>
      </c>
      <c r="W1" s="207" t="str">
        <f>IFERROR(__xludf.DUMMYFUNCTION("""COMPUTED_VALUE"""),"Template Type")</f>
        <v>Template Type</v>
      </c>
      <c r="X1" s="207" t="str">
        <f>IFERROR(__xludf.DUMMYFUNCTION("""COMPUTED_VALUE"""),"Segment Customer Base Type")</f>
        <v>Segment Customer Base Type</v>
      </c>
      <c r="Y1" s="207" t="str">
        <f>IFERROR(__xludf.DUMMYFUNCTION("""COMPUTED_VALUE"""),"Track Goals for")</f>
        <v>Track Goals for</v>
      </c>
      <c r="Z1" s="207" t="str">
        <f>IFERROR(__xludf.DUMMYFUNCTION("""COMPUTED_VALUE"""),"Campaign ID")</f>
        <v>Campaign ID</v>
      </c>
      <c r="AA1" s="207" t="str">
        <f>IFERROR(__xludf.DUMMYFUNCTION("""COMPUTED_VALUE"""),"Campaign Purchased Customers")</f>
        <v>Campaign Purchased Customers</v>
      </c>
      <c r="AB1" s="207" t="str">
        <f>IFERROR(__xludf.DUMMYFUNCTION("""COMPUTED_VALUE"""),"Campaign Purchased Customers - Online")</f>
        <v>Campaign Purchased Customers - Online</v>
      </c>
      <c r="AC1" s="207" t="str">
        <f>IFERROR(__xludf.DUMMYFUNCTION("""COMPUTED_VALUE"""),"Campaign Purchased Customers - Offline")</f>
        <v>Campaign Purchased Customers - Offline</v>
      </c>
      <c r="AD1" s="207" t="str">
        <f>IFERROR(__xludf.DUMMYFUNCTION("""COMPUTED_VALUE"""),"Influenced Revenue")</f>
        <v>Influenced Revenue</v>
      </c>
      <c r="AE1" s="207" t="str">
        <f>IFERROR(__xludf.DUMMYFUNCTION("""COMPUTED_VALUE"""),"Influenced Revenue - Online")</f>
        <v>Influenced Revenue - Online</v>
      </c>
      <c r="AF1" s="207" t="str">
        <f>IFERROR(__xludf.DUMMYFUNCTION("""COMPUTED_VALUE"""),"Influenced Revenue - Offline")</f>
        <v>Influenced Revenue - Offline</v>
      </c>
      <c r="AG1" s="208"/>
      <c r="AH1" s="208"/>
      <c r="AI1" s="208"/>
      <c r="AJ1" s="208"/>
      <c r="AK1" s="208"/>
    </row>
    <row r="2">
      <c r="A2" s="209">
        <f>IFERROR(__xludf.DUMMYFUNCTION("""COMPUTED_VALUE"""),46149.0)</f>
        <v>46149</v>
      </c>
      <c r="B2" s="210">
        <f>IFERROR(__xludf.DUMMYFUNCTION("""COMPUTED_VALUE"""),46149.79166666667)</f>
        <v>46149.79167</v>
      </c>
      <c r="C2" s="211" t="str">
        <f>IFERROR(__xludf.DUMMYFUNCTION("""COMPUTED_VALUE"""),"Sms")</f>
        <v>Sms</v>
      </c>
      <c r="D2" s="211" t="str">
        <f>IFERROR(__xludf.DUMMYFUNCTION("""COMPUTED_VALUE"""),"Promtional")</f>
        <v>Promtional</v>
      </c>
      <c r="E2" s="211" t="str">
        <f>IFERROR(__xludf.DUMMYFUNCTION("""COMPUTED_VALUE"""),"CIS")</f>
        <v>CIS</v>
      </c>
      <c r="F2" s="211" t="str">
        <f>IFERROR(__xludf.DUMMYFUNCTION("""COMPUTED_VALUE"""),"Flat_40_Call_It_Spring_All_Products - Flat 40% Off")</f>
        <v>Flat_40_Call_It_Spring_All_Products - Flat 40% Off</v>
      </c>
      <c r="G2" s="211" t="str">
        <f>IFERROR(__xludf.DUMMYFUNCTION("""COMPUTED_VALUE"""),"CIS_40")</f>
        <v>CIS_40</v>
      </c>
      <c r="H2" s="212" t="str">
        <f>IFERROR(__xludf.DUMMYFUNCTION("""COMPUTED_VALUE"""),"CIS_Base_ONOff_Unique")</f>
        <v>CIS_Base_ONOff_Unique</v>
      </c>
      <c r="I2" s="212" t="str">
        <f>IFERROR(__xludf.DUMMYFUNCTION("""COMPUTED_VALUE"""),"Customers who have purchased in the last 36 months with Brand_PM contains SP AND Exclude overlapping Base for ALDO and CIS Base")</f>
        <v>Customers who have purchased in the last 36 months with Brand_PM contains SP AND Exclude overlapping Base for ALDO and CIS Base</v>
      </c>
      <c r="J2" s="213">
        <f>IFERROR(__xludf.DUMMYFUNCTION("""COMPUTED_VALUE"""),12127.0)</f>
        <v>12127</v>
      </c>
      <c r="K2" s="213">
        <f>IFERROR(__xludf.DUMMYFUNCTION("""COMPUTED_VALUE"""),7250.0)</f>
        <v>7250</v>
      </c>
      <c r="L2" s="214">
        <f>IFERROR(__xludf.DUMMYFUNCTION("""COMPUTED_VALUE"""),0.5978395316236497)</f>
        <v>0.5978395316</v>
      </c>
      <c r="M2" s="213">
        <f>IFERROR(__xludf.DUMMYFUNCTION("""COMPUTED_VALUE"""),0.0)</f>
        <v>0</v>
      </c>
      <c r="N2" s="214">
        <f>IFERROR(__xludf.DUMMYFUNCTION("""COMPUTED_VALUE"""),0.0)</f>
        <v>0</v>
      </c>
      <c r="O2" s="101">
        <f>IFERROR(__xludf.DUMMYFUNCTION("""COMPUTED_VALUE"""),9.0)</f>
        <v>9</v>
      </c>
      <c r="P2" s="101">
        <f>IFERROR(__xludf.DUMMYFUNCTION("""COMPUTED_VALUE"""),0.0)</f>
        <v>0</v>
      </c>
      <c r="Q2" s="214">
        <f>IFERROR(__xludf.DUMMYFUNCTION("""COMPUTED_VALUE"""),0.0012)</f>
        <v>0.0012</v>
      </c>
      <c r="R2" s="214">
        <f>IFERROR(__xludf.DUMMYFUNCTION("""COMPUTED_VALUE"""),0.0)</f>
        <v>0</v>
      </c>
      <c r="S2" s="101">
        <f>IFERROR(__xludf.DUMMYFUNCTION("""COMPUTED_VALUE"""),3.0)</f>
        <v>3</v>
      </c>
      <c r="T2" s="101">
        <f>IFERROR(__xludf.DUMMYFUNCTION("""COMPUTED_VALUE"""),10.0)</f>
        <v>10</v>
      </c>
      <c r="U2" s="213">
        <f>IFERROR(__xludf.DUMMYFUNCTION("""COMPUTED_VALUE"""),17596.0)</f>
        <v>17596</v>
      </c>
      <c r="V2" s="213" t="str">
        <f>IFERROR(__xludf.DUMMYFUNCTION("""COMPUTED_VALUE"""),"overall")</f>
        <v>overall</v>
      </c>
      <c r="W2" s="213" t="str">
        <f>IFERROR(__xludf.DUMMYFUNCTION("""COMPUTED_VALUE"""),"sms")</f>
        <v>sms</v>
      </c>
      <c r="X2" s="213" t="str">
        <f>IFERROR(__xludf.DUMMYFUNCTION("""COMPUTED_VALUE"""),"All User Base")</f>
        <v>All User Base</v>
      </c>
      <c r="Y2" s="213" t="str">
        <f>IFERROR(__xludf.DUMMYFUNCTION("""COMPUTED_VALUE"""),"7th to 8th")</f>
        <v>7th to 8th</v>
      </c>
      <c r="Z2" s="213" t="str">
        <f>IFERROR(__xludf.DUMMYFUNCTION("""COMPUTED_VALUE"""),"69fc82fef8786b34a4fd4f4a")</f>
        <v>69fc82fef8786b34a4fd4f4a</v>
      </c>
      <c r="AA2" s="213">
        <f>IFERROR(__xludf.DUMMYFUNCTION("""COMPUTED_VALUE"""),56.0)</f>
        <v>56</v>
      </c>
      <c r="AB2" s="213">
        <f>IFERROR(__xludf.DUMMYFUNCTION("""COMPUTED_VALUE"""),40.0)</f>
        <v>40</v>
      </c>
      <c r="AC2" s="213">
        <f>IFERROR(__xludf.DUMMYFUNCTION("""COMPUTED_VALUE"""),16.0)</f>
        <v>16</v>
      </c>
      <c r="AD2" s="213">
        <f>IFERROR(__xludf.DUMMYFUNCTION("""COMPUTED_VALUE"""),49342.0)</f>
        <v>49342</v>
      </c>
      <c r="AE2" s="213">
        <f>IFERROR(__xludf.DUMMYFUNCTION("""COMPUTED_VALUE"""),44491.0)</f>
        <v>44491</v>
      </c>
      <c r="AF2" s="213">
        <f>IFERROR(__xludf.DUMMYFUNCTION("""COMPUTED_VALUE"""),4851.0)</f>
        <v>4851</v>
      </c>
      <c r="AG2" s="208"/>
      <c r="AH2" s="208"/>
      <c r="AI2" s="208"/>
      <c r="AJ2" s="208"/>
      <c r="AK2" s="208"/>
    </row>
    <row r="3">
      <c r="A3" s="209">
        <f>IFERROR(__xludf.DUMMYFUNCTION("""COMPUTED_VALUE"""),46151.0)</f>
        <v>46151</v>
      </c>
      <c r="B3" s="210">
        <f>IFERROR(__xludf.DUMMYFUNCTION("""COMPUTED_VALUE"""),46151.33333333333)</f>
        <v>46151.33333</v>
      </c>
      <c r="C3" s="211" t="str">
        <f>IFERROR(__xludf.DUMMYFUNCTION("""COMPUTED_VALUE"""),"Whatsapp")</f>
        <v>Whatsapp</v>
      </c>
      <c r="D3" s="211" t="str">
        <f>IFERROR(__xludf.DUMMYFUNCTION("""COMPUTED_VALUE"""),"Promtional")</f>
        <v>Promtional</v>
      </c>
      <c r="E3" s="211" t="str">
        <f>IFERROR(__xludf.DUMMYFUNCTION("""COMPUTED_VALUE"""),"CIS")</f>
        <v>CIS</v>
      </c>
      <c r="F3" s="211" t="str">
        <f>IFERROR(__xludf.DUMMYFUNCTION("""COMPUTED_VALUE"""),"Flat_40_Call_It_Spring_All_Products")</f>
        <v>Flat_40_Call_It_Spring_All_Products</v>
      </c>
      <c r="G3" s="211" t="str">
        <f>IFERROR(__xludf.DUMMYFUNCTION("""COMPUTED_VALUE"""),"CIS_Flat40_Saturday")</f>
        <v>CIS_Flat40_Saturday</v>
      </c>
      <c r="H3" s="212" t="str">
        <f>IFERROR(__xludf.DUMMYFUNCTION("""COMPUTED_VALUE"""),"CIS_Base_ONOff_Unique")</f>
        <v>CIS_Base_ONOff_Unique</v>
      </c>
      <c r="I3" s="212" t="str">
        <f>IFERROR(__xludf.DUMMYFUNCTION("""COMPUTED_VALUE"""),"Customers who have purchased in the last 36 months with Brand_PM contains SP AND Exclude overlapping Base for ALDO and CIS Base")</f>
        <v>Customers who have purchased in the last 36 months with Brand_PM contains SP AND Exclude overlapping Base for ALDO and CIS Base</v>
      </c>
      <c r="J3" s="213">
        <f>IFERROR(__xludf.DUMMYFUNCTION("""COMPUTED_VALUE"""),12125.0)</f>
        <v>12125</v>
      </c>
      <c r="K3" s="213">
        <f>IFERROR(__xludf.DUMMYFUNCTION("""COMPUTED_VALUE"""),3865.0)</f>
        <v>3865</v>
      </c>
      <c r="L3" s="214">
        <f>IFERROR(__xludf.DUMMYFUNCTION("""COMPUTED_VALUE"""),0.3188)</f>
        <v>0.3188</v>
      </c>
      <c r="M3" s="213">
        <f>IFERROR(__xludf.DUMMYFUNCTION("""COMPUTED_VALUE"""),1632.0)</f>
        <v>1632</v>
      </c>
      <c r="N3" s="214">
        <f>IFERROR(__xludf.DUMMYFUNCTION("""COMPUTED_VALUE"""),0.4225)</f>
        <v>0.4225</v>
      </c>
      <c r="O3" s="101">
        <f>IFERROR(__xludf.DUMMYFUNCTION("""COMPUTED_VALUE"""),241.0)</f>
        <v>241</v>
      </c>
      <c r="P3" s="101">
        <f>IFERROR(__xludf.DUMMYFUNCTION("""COMPUTED_VALUE"""),224.0)</f>
        <v>224</v>
      </c>
      <c r="Q3" s="214">
        <f>IFERROR(__xludf.DUMMYFUNCTION("""COMPUTED_VALUE"""),0.057999999999999996)</f>
        <v>0.058</v>
      </c>
      <c r="R3" s="214">
        <f>IFERROR(__xludf.DUMMYFUNCTION("""COMPUTED_VALUE"""),0.1373)</f>
        <v>0.1373</v>
      </c>
      <c r="S3" s="101">
        <f>IFERROR(__xludf.DUMMYFUNCTION("""COMPUTED_VALUE"""),1.0)</f>
        <v>1</v>
      </c>
      <c r="T3" s="101">
        <f>IFERROR(__xludf.DUMMYFUNCTION("""COMPUTED_VALUE"""),1.0)</f>
        <v>1</v>
      </c>
      <c r="U3" s="213">
        <f>IFERROR(__xludf.DUMMYFUNCTION("""COMPUTED_VALUE"""),4999.0)</f>
        <v>4999</v>
      </c>
      <c r="V3" s="213" t="str">
        <f>IFERROR(__xludf.DUMMYFUNCTION("""COMPUTED_VALUE"""),"overall")</f>
        <v>overall</v>
      </c>
      <c r="W3" s="213" t="str">
        <f>IFERROR(__xludf.DUMMYFUNCTION("""COMPUTED_VALUE"""),"simple")</f>
        <v>simple</v>
      </c>
      <c r="X3" s="213" t="str">
        <f>IFERROR(__xludf.DUMMYFUNCTION("""COMPUTED_VALUE"""),"All User Base")</f>
        <v>All User Base</v>
      </c>
      <c r="Y3" s="213" t="str">
        <f>IFERROR(__xludf.DUMMYFUNCTION("""COMPUTED_VALUE"""),"9th to 11th")</f>
        <v>9th to 11th</v>
      </c>
      <c r="Z3" s="213" t="str">
        <f>IFERROR(__xludf.DUMMYFUNCTION("""COMPUTED_VALUE"""),"69fdb2152ee0a910acc4acf8")</f>
        <v>69fdb2152ee0a910acc4acf8</v>
      </c>
      <c r="AA3" s="213">
        <f>IFERROR(__xludf.DUMMYFUNCTION("""COMPUTED_VALUE"""),4.0)</f>
        <v>4</v>
      </c>
      <c r="AB3" s="213">
        <f>IFERROR(__xludf.DUMMYFUNCTION("""COMPUTED_VALUE"""),2.0)</f>
        <v>2</v>
      </c>
      <c r="AC3" s="213">
        <f>IFERROR(__xludf.DUMMYFUNCTION("""COMPUTED_VALUE"""),2.0)</f>
        <v>2</v>
      </c>
      <c r="AD3" s="213">
        <f>IFERROR(__xludf.DUMMYFUNCTION("""COMPUTED_VALUE"""),23438.0)</f>
        <v>23438</v>
      </c>
      <c r="AE3" s="213">
        <f>IFERROR(__xludf.DUMMYFUNCTION("""COMPUTED_VALUE"""),11558.0)</f>
        <v>11558</v>
      </c>
      <c r="AF3" s="213">
        <f>IFERROR(__xludf.DUMMYFUNCTION("""COMPUTED_VALUE"""),11880.0)</f>
        <v>11880</v>
      </c>
      <c r="AG3" s="208"/>
      <c r="AH3" s="208"/>
      <c r="AI3" s="208"/>
      <c r="AJ3" s="208"/>
      <c r="AK3" s="208"/>
    </row>
    <row r="4">
      <c r="A4" s="209">
        <f>IFERROR(__xludf.DUMMYFUNCTION("""COMPUTED_VALUE"""),46151.0)</f>
        <v>46151</v>
      </c>
      <c r="B4" s="210">
        <f>IFERROR(__xludf.DUMMYFUNCTION("""COMPUTED_VALUE"""),46151.59375)</f>
        <v>46151.59375</v>
      </c>
      <c r="C4" s="211" t="str">
        <f>IFERROR(__xludf.DUMMYFUNCTION("""COMPUTED_VALUE"""),"Rcs")</f>
        <v>Rcs</v>
      </c>
      <c r="D4" s="211" t="str">
        <f>IFERROR(__xludf.DUMMYFUNCTION("""COMPUTED_VALUE"""),"Fallback campaign")</f>
        <v>Fallback campaign</v>
      </c>
      <c r="E4" s="211" t="str">
        <f>IFERROR(__xludf.DUMMYFUNCTION("""COMPUTED_VALUE"""),"CIS")</f>
        <v>CIS</v>
      </c>
      <c r="F4" s="211" t="str">
        <f>IFERROR(__xludf.DUMMYFUNCTION("""COMPUTED_VALUE"""),"Flat_40_Call_It_Spring_All_Products - Flat 40% Off")</f>
        <v>Flat_40_Call_It_Spring_All_Products - Flat 40% Off</v>
      </c>
      <c r="G4" s="211" t="str">
        <f>IFERROR(__xludf.DUMMYFUNCTION("""COMPUTED_VALUE"""),"CIS_Flat40_Fallback RCS_V2")</f>
        <v>CIS_Flat40_Fallback RCS_V2</v>
      </c>
      <c r="H4" s="212" t="str">
        <f>IFERROR(__xludf.DUMMYFUNCTION("""COMPUTED_VALUE"""),"CIS_Base_ONOff_Unique")</f>
        <v>CIS_Base_ONOff_Unique</v>
      </c>
      <c r="I4" s="212" t="str">
        <f>IFERROR(__xludf.DUMMYFUNCTION("""COMPUTED_VALUE"""),"WA Undelivered")</f>
        <v>WA Undelivered</v>
      </c>
      <c r="J4" s="213">
        <f>IFERROR(__xludf.DUMMYFUNCTION("""COMPUTED_VALUE"""),8202.0)</f>
        <v>8202</v>
      </c>
      <c r="K4" s="213">
        <f>IFERROR(__xludf.DUMMYFUNCTION("""COMPUTED_VALUE"""),686.0)</f>
        <v>686</v>
      </c>
      <c r="L4" s="214">
        <f>IFERROR(__xludf.DUMMYFUNCTION("""COMPUTED_VALUE"""),0.0836381370397464)</f>
        <v>0.08363813704</v>
      </c>
      <c r="M4" s="213">
        <f>IFERROR(__xludf.DUMMYFUNCTION("""COMPUTED_VALUE"""),108.0)</f>
        <v>108</v>
      </c>
      <c r="N4" s="214">
        <f>IFERROR(__xludf.DUMMYFUNCTION("""COMPUTED_VALUE"""),0.1574)</f>
        <v>0.1574</v>
      </c>
      <c r="O4" s="101">
        <f>IFERROR(__xludf.DUMMYFUNCTION("""COMPUTED_VALUE"""),5.0)</f>
        <v>5</v>
      </c>
      <c r="P4" s="101">
        <f>IFERROR(__xludf.DUMMYFUNCTION("""COMPUTED_VALUE"""),0.0)</f>
        <v>0</v>
      </c>
      <c r="Q4" s="214">
        <f>IFERROR(__xludf.DUMMYFUNCTION("""COMPUTED_VALUE"""),0.0087)</f>
        <v>0.0087</v>
      </c>
      <c r="R4" s="214">
        <f>IFERROR(__xludf.DUMMYFUNCTION("""COMPUTED_VALUE"""),0.0)</f>
        <v>0</v>
      </c>
      <c r="S4" s="101">
        <f>IFERROR(__xludf.DUMMYFUNCTION("""COMPUTED_VALUE"""),0.0)</f>
        <v>0</v>
      </c>
      <c r="T4" s="101">
        <f>IFERROR(__xludf.DUMMYFUNCTION("""COMPUTED_VALUE"""),1.0)</f>
        <v>1</v>
      </c>
      <c r="U4" s="213">
        <f>IFERROR(__xludf.DUMMYFUNCTION("""COMPUTED_VALUE"""),0.0)</f>
        <v>0</v>
      </c>
      <c r="V4" s="213" t="str">
        <f>IFERROR(__xludf.DUMMYFUNCTION("""COMPUTED_VALUE"""),"overall")</f>
        <v>overall</v>
      </c>
      <c r="W4" s="213" t="str">
        <f>IFERROR(__xludf.DUMMYFUNCTION("""COMPUTED_VALUE"""),"rcs")</f>
        <v>rcs</v>
      </c>
      <c r="X4" s="213" t="str">
        <f>IFERROR(__xludf.DUMMYFUNCTION("""COMPUTED_VALUE"""),"All User Base")</f>
        <v>All User Base</v>
      </c>
      <c r="Y4" s="213" t="str">
        <f>IFERROR(__xludf.DUMMYFUNCTION("""COMPUTED_VALUE"""),"09th to 11th")</f>
        <v>09th to 11th</v>
      </c>
      <c r="Z4" s="213" t="str">
        <f>IFERROR(__xludf.DUMMYFUNCTION("""COMPUTED_VALUE"""),"69feec43a766a9379f0777f8")</f>
        <v>69feec43a766a9379f0777f8</v>
      </c>
      <c r="AA4" s="213">
        <f>IFERROR(__xludf.DUMMYFUNCTION("""COMPUTED_VALUE"""),0.0)</f>
        <v>0</v>
      </c>
      <c r="AB4" s="213">
        <f>IFERROR(__xludf.DUMMYFUNCTION("""COMPUTED_VALUE"""),0.0)</f>
        <v>0</v>
      </c>
      <c r="AC4" s="213">
        <f>IFERROR(__xludf.DUMMYFUNCTION("""COMPUTED_VALUE"""),0.0)</f>
        <v>0</v>
      </c>
      <c r="AD4" s="213">
        <f>IFERROR(__xludf.DUMMYFUNCTION("""COMPUTED_VALUE"""),0.0)</f>
        <v>0</v>
      </c>
      <c r="AE4" s="213">
        <f>IFERROR(__xludf.DUMMYFUNCTION("""COMPUTED_VALUE"""),0.0)</f>
        <v>0</v>
      </c>
      <c r="AF4" s="213">
        <f>IFERROR(__xludf.DUMMYFUNCTION("""COMPUTED_VALUE"""),0.0)</f>
        <v>0</v>
      </c>
      <c r="AG4" s="208"/>
      <c r="AH4" s="208"/>
      <c r="AI4" s="208"/>
      <c r="AJ4" s="208"/>
      <c r="AK4" s="208"/>
    </row>
    <row r="5">
      <c r="A5" s="209">
        <f>IFERROR(__xludf.DUMMYFUNCTION("""COMPUTED_VALUE"""),46151.0)</f>
        <v>46151</v>
      </c>
      <c r="B5" s="210">
        <f>IFERROR(__xludf.DUMMYFUNCTION("""COMPUTED_VALUE"""),46151.63541666667)</f>
        <v>46151.63542</v>
      </c>
      <c r="C5" s="211" t="str">
        <f>IFERROR(__xludf.DUMMYFUNCTION("""COMPUTED_VALUE"""),"Sms")</f>
        <v>Sms</v>
      </c>
      <c r="D5" s="211" t="str">
        <f>IFERROR(__xludf.DUMMYFUNCTION("""COMPUTED_VALUE"""),"Fallback campaign")</f>
        <v>Fallback campaign</v>
      </c>
      <c r="E5" s="211" t="str">
        <f>IFERROR(__xludf.DUMMYFUNCTION("""COMPUTED_VALUE"""),"CIS")</f>
        <v>CIS</v>
      </c>
      <c r="F5" s="211" t="str">
        <f>IFERROR(__xludf.DUMMYFUNCTION("""COMPUTED_VALUE"""),"Flat_40_Call_It_Spring_All_Products - Flat 40% Off")</f>
        <v>Flat_40_Call_It_Spring_All_Products - Flat 40% Off</v>
      </c>
      <c r="G5" s="211" t="str">
        <f>IFERROR(__xludf.DUMMYFUNCTION("""COMPUTED_VALUE"""),"CIS_40_Fallback_V2")</f>
        <v>CIS_40_Fallback_V2</v>
      </c>
      <c r="H5" s="212" t="str">
        <f>IFERROR(__xludf.DUMMYFUNCTION("""COMPUTED_VALUE"""),"CIS_Base_ONOff_Unique")</f>
        <v>CIS_Base_ONOff_Unique</v>
      </c>
      <c r="I5" s="212" t="str">
        <f>IFERROR(__xludf.DUMMYFUNCTION("""COMPUTED_VALUE"""),"RCS Undelivered")</f>
        <v>RCS Undelivered</v>
      </c>
      <c r="J5" s="213">
        <f>IFERROR(__xludf.DUMMYFUNCTION("""COMPUTED_VALUE"""),7535.0)</f>
        <v>7535</v>
      </c>
      <c r="K5" s="213">
        <f>IFERROR(__xludf.DUMMYFUNCTION("""COMPUTED_VALUE"""),4386.0)</f>
        <v>4386</v>
      </c>
      <c r="L5" s="214">
        <f>IFERROR(__xludf.DUMMYFUNCTION("""COMPUTED_VALUE"""),0.5820836098208361)</f>
        <v>0.5820836098</v>
      </c>
      <c r="M5" s="213">
        <f>IFERROR(__xludf.DUMMYFUNCTION("""COMPUTED_VALUE"""),0.0)</f>
        <v>0</v>
      </c>
      <c r="N5" s="214">
        <f>IFERROR(__xludf.DUMMYFUNCTION("""COMPUTED_VALUE"""),0.0)</f>
        <v>0</v>
      </c>
      <c r="O5" s="101">
        <f>IFERROR(__xludf.DUMMYFUNCTION("""COMPUTED_VALUE"""),2.0)</f>
        <v>2</v>
      </c>
      <c r="P5" s="101">
        <f>IFERROR(__xludf.DUMMYFUNCTION("""COMPUTED_VALUE"""),0.0)</f>
        <v>0</v>
      </c>
      <c r="Q5" s="214">
        <f>IFERROR(__xludf.DUMMYFUNCTION("""COMPUTED_VALUE"""),5.0E-4)</f>
        <v>0.0005</v>
      </c>
      <c r="R5" s="214">
        <f>IFERROR(__xludf.DUMMYFUNCTION("""COMPUTED_VALUE"""),0.0)</f>
        <v>0</v>
      </c>
      <c r="S5" s="101">
        <f>IFERROR(__xludf.DUMMYFUNCTION("""COMPUTED_VALUE"""),0.0)</f>
        <v>0</v>
      </c>
      <c r="T5" s="101">
        <f>IFERROR(__xludf.DUMMYFUNCTION("""COMPUTED_VALUE"""),2.0)</f>
        <v>2</v>
      </c>
      <c r="U5" s="213">
        <f>IFERROR(__xludf.DUMMYFUNCTION("""COMPUTED_VALUE"""),0.0)</f>
        <v>0</v>
      </c>
      <c r="V5" s="213" t="str">
        <f>IFERROR(__xludf.DUMMYFUNCTION("""COMPUTED_VALUE"""),"overall")</f>
        <v>overall</v>
      </c>
      <c r="W5" s="213" t="str">
        <f>IFERROR(__xludf.DUMMYFUNCTION("""COMPUTED_VALUE"""),"sms")</f>
        <v>sms</v>
      </c>
      <c r="X5" s="213" t="str">
        <f>IFERROR(__xludf.DUMMYFUNCTION("""COMPUTED_VALUE"""),"All User Base")</f>
        <v>All User Base</v>
      </c>
      <c r="Y5" s="213" t="str">
        <f>IFERROR(__xludf.DUMMYFUNCTION("""COMPUTED_VALUE"""),"09th to 11th")</f>
        <v>09th to 11th</v>
      </c>
      <c r="Z5" s="213" t="str">
        <f>IFERROR(__xludf.DUMMYFUNCTION("""COMPUTED_VALUE"""),"69feec9c673359b9391eca72")</f>
        <v>69feec9c673359b9391eca72</v>
      </c>
      <c r="AA5" s="213">
        <f>IFERROR(__xludf.DUMMYFUNCTION("""COMPUTED_VALUE"""),5.0)</f>
        <v>5</v>
      </c>
      <c r="AB5" s="213">
        <f>IFERROR(__xludf.DUMMYFUNCTION("""COMPUTED_VALUE"""),3.0)</f>
        <v>3</v>
      </c>
      <c r="AC5" s="213">
        <f>IFERROR(__xludf.DUMMYFUNCTION("""COMPUTED_VALUE"""),2.0)</f>
        <v>2</v>
      </c>
      <c r="AD5" s="213">
        <f>IFERROR(__xludf.DUMMYFUNCTION("""COMPUTED_VALUE"""),28897.0)</f>
        <v>28897</v>
      </c>
      <c r="AE5" s="213">
        <f>IFERROR(__xludf.DUMMYFUNCTION("""COMPUTED_VALUE"""),23317.0)</f>
        <v>23317</v>
      </c>
      <c r="AF5" s="213">
        <f>IFERROR(__xludf.DUMMYFUNCTION("""COMPUTED_VALUE"""),5580.0)</f>
        <v>5580</v>
      </c>
      <c r="AG5" s="208"/>
      <c r="AH5" s="208"/>
      <c r="AI5" s="208"/>
      <c r="AJ5" s="208"/>
      <c r="AK5" s="208"/>
    </row>
    <row r="6">
      <c r="A6" s="209">
        <f>IFERROR(__xludf.DUMMYFUNCTION("""COMPUTED_VALUE"""),46158.0)</f>
        <v>46158</v>
      </c>
      <c r="B6" s="210">
        <f>IFERROR(__xludf.DUMMYFUNCTION("""COMPUTED_VALUE"""),0.4166666666678793)</f>
        <v>0.4166666667</v>
      </c>
      <c r="C6" s="211" t="str">
        <f>IFERROR(__xludf.DUMMYFUNCTION("""COMPUTED_VALUE"""),"Whatsapp")</f>
        <v>Whatsapp</v>
      </c>
      <c r="D6" s="211" t="str">
        <f>IFERROR(__xludf.DUMMYFUNCTION("""COMPUTED_VALUE"""),"Promtional")</f>
        <v>Promtional</v>
      </c>
      <c r="E6" s="211" t="str">
        <f>IFERROR(__xludf.DUMMYFUNCTION("""COMPUTED_VALUE"""),"CIS")</f>
        <v>CIS</v>
      </c>
      <c r="F6" s="211" t="str">
        <f>IFERROR(__xludf.DUMMYFUNCTION("""COMPUTED_VALUE"""),"CIS_Footwear_Launch")</f>
        <v>CIS_Footwear_Launch</v>
      </c>
      <c r="G6" s="211" t="str">
        <f>IFERROR(__xludf.DUMMYFUNCTION("""COMPUTED_VALUE"""),"CIS_Footwear")</f>
        <v>CIS_Footwear</v>
      </c>
      <c r="H6" s="212" t="str">
        <f>IFERROR(__xludf.DUMMYFUNCTION("""COMPUTED_VALUE"""),"CIS_Base_ONOff_Unique")</f>
        <v>CIS_Base_ONOff_Unique</v>
      </c>
      <c r="I6" s="212" t="str">
        <f>IFERROR(__xludf.DUMMYFUNCTION("""COMPUTED_VALUE"""),"Customers who have purchased in the last 36 months with Brand_PM contains SP AND Exclude overlapping Base for ALDO and CIS Base")</f>
        <v>Customers who have purchased in the last 36 months with Brand_PM contains SP AND Exclude overlapping Base for ALDO and CIS Base</v>
      </c>
      <c r="J6" s="213">
        <f>IFERROR(__xludf.DUMMYFUNCTION("""COMPUTED_VALUE"""),12129.0)</f>
        <v>12129</v>
      </c>
      <c r="K6" s="213">
        <f>IFERROR(__xludf.DUMMYFUNCTION("""COMPUTED_VALUE"""),4586.0)</f>
        <v>4586</v>
      </c>
      <c r="L6" s="214">
        <f>IFERROR(__xludf.DUMMYFUNCTION("""COMPUTED_VALUE"""),0.3781)</f>
        <v>0.3781</v>
      </c>
      <c r="M6" s="213">
        <f>IFERROR(__xludf.DUMMYFUNCTION("""COMPUTED_VALUE"""),1881.0)</f>
        <v>1881</v>
      </c>
      <c r="N6" s="214">
        <f>IFERROR(__xludf.DUMMYFUNCTION("""COMPUTED_VALUE"""),0.4102)</f>
        <v>0.4102</v>
      </c>
      <c r="O6" s="101">
        <f>IFERROR(__xludf.DUMMYFUNCTION("""COMPUTED_VALUE"""),175.0)</f>
        <v>175</v>
      </c>
      <c r="P6" s="101">
        <f>IFERROR(__xludf.DUMMYFUNCTION("""COMPUTED_VALUE"""),165.0)</f>
        <v>165</v>
      </c>
      <c r="Q6" s="214">
        <f>IFERROR(__xludf.DUMMYFUNCTION("""COMPUTED_VALUE"""),0.036)</f>
        <v>0.036</v>
      </c>
      <c r="R6" s="214">
        <f>IFERROR(__xludf.DUMMYFUNCTION("""COMPUTED_VALUE"""),0.0877)</f>
        <v>0.0877</v>
      </c>
      <c r="S6" s="101"/>
      <c r="T6" s="101"/>
      <c r="U6" s="213"/>
      <c r="V6" s="213" t="str">
        <f>IFERROR(__xludf.DUMMYFUNCTION("""COMPUTED_VALUE"""),"overall")</f>
        <v>overall</v>
      </c>
      <c r="W6" s="213" t="str">
        <f>IFERROR(__xludf.DUMMYFUNCTION("""COMPUTED_VALUE"""),"simple")</f>
        <v>simple</v>
      </c>
      <c r="X6" s="213" t="str">
        <f>IFERROR(__xludf.DUMMYFUNCTION("""COMPUTED_VALUE"""),"All User Base")</f>
        <v>All User Base</v>
      </c>
      <c r="Y6" s="213" t="str">
        <f>IFERROR(__xludf.DUMMYFUNCTION("""COMPUTED_VALUE"""),"16th to 19th May")</f>
        <v>16th to 19th May</v>
      </c>
      <c r="Z6" s="213" t="str">
        <f>IFERROR(__xludf.DUMMYFUNCTION("""COMPUTED_VALUE"""),"6a05b9c02c7cd65186b3631a")</f>
        <v>6a05b9c02c7cd65186b3631a</v>
      </c>
      <c r="AA6" s="213">
        <f>IFERROR(__xludf.DUMMYFUNCTION("""COMPUTED_VALUE"""),3.0)</f>
        <v>3</v>
      </c>
      <c r="AB6" s="213">
        <f>IFERROR(__xludf.DUMMYFUNCTION("""COMPUTED_VALUE"""),0.0)</f>
        <v>0</v>
      </c>
      <c r="AC6" s="213">
        <f>IFERROR(__xludf.DUMMYFUNCTION("""COMPUTED_VALUE"""),3.0)</f>
        <v>3</v>
      </c>
      <c r="AD6" s="213">
        <f>IFERROR(__xludf.DUMMYFUNCTION("""COMPUTED_VALUE"""),15004.0)</f>
        <v>15004</v>
      </c>
      <c r="AE6" s="213">
        <f>IFERROR(__xludf.DUMMYFUNCTION("""COMPUTED_VALUE"""),0.0)</f>
        <v>0</v>
      </c>
      <c r="AF6" s="213">
        <f>IFERROR(__xludf.DUMMYFUNCTION("""COMPUTED_VALUE"""),15004.0)</f>
        <v>15004</v>
      </c>
      <c r="AG6" s="208"/>
      <c r="AH6" s="208"/>
      <c r="AI6" s="208"/>
      <c r="AJ6" s="208"/>
      <c r="AK6" s="208"/>
    </row>
    <row r="7">
      <c r="A7" s="209">
        <f>IFERROR(__xludf.DUMMYFUNCTION("""COMPUTED_VALUE"""),46158.0)</f>
        <v>46158</v>
      </c>
      <c r="B7" s="210">
        <f>IFERROR(__xludf.DUMMYFUNCTION("""COMPUTED_VALUE"""),0.5833333333321207)</f>
        <v>0.5833333333</v>
      </c>
      <c r="C7" s="211" t="str">
        <f>IFERROR(__xludf.DUMMYFUNCTION("""COMPUTED_VALUE"""),"Sms")</f>
        <v>Sms</v>
      </c>
      <c r="D7" s="211" t="str">
        <f>IFERROR(__xludf.DUMMYFUNCTION("""COMPUTED_VALUE"""),"Fallback campaign")</f>
        <v>Fallback campaign</v>
      </c>
      <c r="E7" s="211" t="str">
        <f>IFERROR(__xludf.DUMMYFUNCTION("""COMPUTED_VALUE"""),"CIS")</f>
        <v>CIS</v>
      </c>
      <c r="F7" s="211" t="str">
        <f>IFERROR(__xludf.DUMMYFUNCTION("""COMPUTED_VALUE"""),"CIS_Footwear_Launch ")</f>
        <v>CIS_Footwear_Launch </v>
      </c>
      <c r="G7" s="211" t="str">
        <f>IFERROR(__xludf.DUMMYFUNCTION("""COMPUTED_VALUE"""),"CIS_Footwear_sms")</f>
        <v>CIS_Footwear_sms</v>
      </c>
      <c r="H7" s="212" t="str">
        <f>IFERROR(__xludf.DUMMYFUNCTION("""COMPUTED_VALUE"""),"CIS_Base_ONOff_Unique")</f>
        <v>CIS_Base_ONOff_Unique</v>
      </c>
      <c r="I7" s="212" t="str">
        <f>IFERROR(__xludf.DUMMYFUNCTION("""COMPUTED_VALUE"""),"RCS Undelivered")</f>
        <v>RCS Undelivered</v>
      </c>
      <c r="J7" s="213">
        <f>IFERROR(__xludf.DUMMYFUNCTION("""COMPUTED_VALUE"""),6556.0)</f>
        <v>6556</v>
      </c>
      <c r="K7" s="213">
        <f>IFERROR(__xludf.DUMMYFUNCTION("""COMPUTED_VALUE"""),3801.0)</f>
        <v>3801</v>
      </c>
      <c r="L7" s="214">
        <f>IFERROR(__xludf.DUMMYFUNCTION("""COMPUTED_VALUE"""),0.5798)</f>
        <v>0.5798</v>
      </c>
      <c r="M7" s="213">
        <f>IFERROR(__xludf.DUMMYFUNCTION("""COMPUTED_VALUE"""),0.0)</f>
        <v>0</v>
      </c>
      <c r="N7" s="214">
        <f>IFERROR(__xludf.DUMMYFUNCTION("""COMPUTED_VALUE"""),0.0)</f>
        <v>0</v>
      </c>
      <c r="O7" s="101">
        <f>IFERROR(__xludf.DUMMYFUNCTION("""COMPUTED_VALUE"""),9.0)</f>
        <v>9</v>
      </c>
      <c r="P7" s="101">
        <f>IFERROR(__xludf.DUMMYFUNCTION("""COMPUTED_VALUE"""),0.0)</f>
        <v>0</v>
      </c>
      <c r="Q7" s="214">
        <f>IFERROR(__xludf.DUMMYFUNCTION("""COMPUTED_VALUE"""),0.0024)</f>
        <v>0.0024</v>
      </c>
      <c r="R7" s="214">
        <f>IFERROR(__xludf.DUMMYFUNCTION("""COMPUTED_VALUE"""),0.0)</f>
        <v>0</v>
      </c>
      <c r="S7" s="101"/>
      <c r="T7" s="101"/>
      <c r="U7" s="213"/>
      <c r="V7" s="213" t="str">
        <f>IFERROR(__xludf.DUMMYFUNCTION("""COMPUTED_VALUE"""),"overall")</f>
        <v>overall</v>
      </c>
      <c r="W7" s="213" t="str">
        <f>IFERROR(__xludf.DUMMYFUNCTION("""COMPUTED_VALUE"""),"Sms")</f>
        <v>Sms</v>
      </c>
      <c r="X7" s="213" t="str">
        <f>IFERROR(__xludf.DUMMYFUNCTION("""COMPUTED_VALUE"""),"All User Base")</f>
        <v>All User Base</v>
      </c>
      <c r="Y7" s="213" t="str">
        <f>IFERROR(__xludf.DUMMYFUNCTION("""COMPUTED_VALUE"""),"16th to 19th May")</f>
        <v>16th to 19th May</v>
      </c>
      <c r="Z7" s="213" t="str">
        <f>IFERROR(__xludf.DUMMYFUNCTION("""COMPUTED_VALUE"""),"6a06c398ec4d59b9386b5e77")</f>
        <v>6a06c398ec4d59b9386b5e77</v>
      </c>
      <c r="AA7" s="213">
        <f>IFERROR(__xludf.DUMMYFUNCTION("""COMPUTED_VALUE"""),4.0)</f>
        <v>4</v>
      </c>
      <c r="AB7" s="213">
        <f>IFERROR(__xludf.DUMMYFUNCTION("""COMPUTED_VALUE"""),1.0)</f>
        <v>1</v>
      </c>
      <c r="AC7" s="213">
        <f>IFERROR(__xludf.DUMMYFUNCTION("""COMPUTED_VALUE"""),3.0)</f>
        <v>3</v>
      </c>
      <c r="AD7" s="213">
        <f>IFERROR(__xludf.DUMMYFUNCTION("""COMPUTED_VALUE"""),37808.0)</f>
        <v>37808</v>
      </c>
      <c r="AE7" s="213">
        <f>IFERROR(__xludf.DUMMYFUNCTION("""COMPUTED_VALUE"""),3499.0)</f>
        <v>3499</v>
      </c>
      <c r="AF7" s="213">
        <f>IFERROR(__xludf.DUMMYFUNCTION("""COMPUTED_VALUE"""),34309.0)</f>
        <v>34309</v>
      </c>
      <c r="AG7" s="208"/>
      <c r="AH7" s="208"/>
      <c r="AI7" s="208"/>
      <c r="AJ7" s="208"/>
      <c r="AK7" s="208"/>
    </row>
    <row r="8">
      <c r="A8" s="209">
        <f>IFERROR(__xludf.DUMMYFUNCTION("""COMPUTED_VALUE"""),46158.0)</f>
        <v>46158</v>
      </c>
      <c r="B8" s="210">
        <f>IFERROR(__xludf.DUMMYFUNCTION("""COMPUTED_VALUE"""),0.5)</f>
        <v>0.5</v>
      </c>
      <c r="C8" s="211" t="str">
        <f>IFERROR(__xludf.DUMMYFUNCTION("""COMPUTED_VALUE"""),"Rcs")</f>
        <v>Rcs</v>
      </c>
      <c r="D8" s="211" t="str">
        <f>IFERROR(__xludf.DUMMYFUNCTION("""COMPUTED_VALUE"""),"Fallback campaign")</f>
        <v>Fallback campaign</v>
      </c>
      <c r="E8" s="211" t="str">
        <f>IFERROR(__xludf.DUMMYFUNCTION("""COMPUTED_VALUE"""),"CIS")</f>
        <v>CIS</v>
      </c>
      <c r="F8" s="211" t="str">
        <f>IFERROR(__xludf.DUMMYFUNCTION("""COMPUTED_VALUE"""),"CIS_Footwear_Launch")</f>
        <v>CIS_Footwear_Launch</v>
      </c>
      <c r="G8" s="211" t="str">
        <f>IFERROR(__xludf.DUMMYFUNCTION("""COMPUTED_VALUE"""),"CIS_Footwear_30")</f>
        <v>CIS_Footwear_30</v>
      </c>
      <c r="H8" s="212" t="str">
        <f>IFERROR(__xludf.DUMMYFUNCTION("""COMPUTED_VALUE"""),"CIS_Base_ONOff_Unique")</f>
        <v>CIS_Base_ONOff_Unique</v>
      </c>
      <c r="I8" s="212" t="str">
        <f>IFERROR(__xludf.DUMMYFUNCTION("""COMPUTED_VALUE"""),"WA Undelivered")</f>
        <v>WA Undelivered</v>
      </c>
      <c r="J8" s="213">
        <f>IFERROR(__xludf.DUMMYFUNCTION("""COMPUTED_VALUE"""),7438.0)</f>
        <v>7438</v>
      </c>
      <c r="K8" s="213">
        <f>IFERROR(__xludf.DUMMYFUNCTION("""COMPUTED_VALUE"""),874.0)</f>
        <v>874</v>
      </c>
      <c r="L8" s="214">
        <f>IFERROR(__xludf.DUMMYFUNCTION("""COMPUTED_VALUE"""),0.1175)</f>
        <v>0.1175</v>
      </c>
      <c r="M8" s="213">
        <f>IFERROR(__xludf.DUMMYFUNCTION("""COMPUTED_VALUE"""),130.0)</f>
        <v>130</v>
      </c>
      <c r="N8" s="214">
        <f>IFERROR(__xludf.DUMMYFUNCTION("""COMPUTED_VALUE"""),0.1487)</f>
        <v>0.1487</v>
      </c>
      <c r="O8" s="101">
        <f>IFERROR(__xludf.DUMMYFUNCTION("""COMPUTED_VALUE"""),4.0)</f>
        <v>4</v>
      </c>
      <c r="P8" s="101">
        <f>IFERROR(__xludf.DUMMYFUNCTION("""COMPUTED_VALUE"""),0.0)</f>
        <v>0</v>
      </c>
      <c r="Q8" s="214">
        <f>IFERROR(__xludf.DUMMYFUNCTION("""COMPUTED_VALUE"""),0.0046)</f>
        <v>0.0046</v>
      </c>
      <c r="R8" s="214">
        <f>IFERROR(__xludf.DUMMYFUNCTION("""COMPUTED_VALUE"""),0.0)</f>
        <v>0</v>
      </c>
      <c r="S8" s="101"/>
      <c r="T8" s="101"/>
      <c r="U8" s="213"/>
      <c r="V8" s="213" t="str">
        <f>IFERROR(__xludf.DUMMYFUNCTION("""COMPUTED_VALUE"""),"overall")</f>
        <v>overall</v>
      </c>
      <c r="W8" s="213" t="str">
        <f>IFERROR(__xludf.DUMMYFUNCTION("""COMPUTED_VALUE"""),"Rcs")</f>
        <v>Rcs</v>
      </c>
      <c r="X8" s="213" t="str">
        <f>IFERROR(__xludf.DUMMYFUNCTION("""COMPUTED_VALUE"""),"All User Base")</f>
        <v>All User Base</v>
      </c>
      <c r="Y8" s="213" t="str">
        <f>IFERROR(__xludf.DUMMYFUNCTION("""COMPUTED_VALUE"""),"16th to 19th May")</f>
        <v>16th to 19th May</v>
      </c>
      <c r="Z8" s="213" t="str">
        <f>IFERROR(__xludf.DUMMYFUNCTION("""COMPUTED_VALUE"""),"6a05ba00e21aac318a1f359c")</f>
        <v>6a05ba00e21aac318a1f359c</v>
      </c>
      <c r="AA8" s="213">
        <f>IFERROR(__xludf.DUMMYFUNCTION("""COMPUTED_VALUE"""),0.0)</f>
        <v>0</v>
      </c>
      <c r="AB8" s="213">
        <f>IFERROR(__xludf.DUMMYFUNCTION("""COMPUTED_VALUE"""),0.0)</f>
        <v>0</v>
      </c>
      <c r="AC8" s="213">
        <f>IFERROR(__xludf.DUMMYFUNCTION("""COMPUTED_VALUE"""),0.0)</f>
        <v>0</v>
      </c>
      <c r="AD8" s="213">
        <f>IFERROR(__xludf.DUMMYFUNCTION("""COMPUTED_VALUE"""),0.0)</f>
        <v>0</v>
      </c>
      <c r="AE8" s="213">
        <f>IFERROR(__xludf.DUMMYFUNCTION("""COMPUTED_VALUE"""),0.0)</f>
        <v>0</v>
      </c>
      <c r="AF8" s="213">
        <f>IFERROR(__xludf.DUMMYFUNCTION("""COMPUTED_VALUE"""),0.0)</f>
        <v>0</v>
      </c>
      <c r="AG8" s="208"/>
      <c r="AH8" s="208"/>
      <c r="AI8" s="208"/>
      <c r="AJ8" s="208"/>
      <c r="AK8" s="208"/>
    </row>
    <row r="9">
      <c r="A9" s="209">
        <f>IFERROR(__xludf.DUMMYFUNCTION("""COMPUTED_VALUE"""),46159.0)</f>
        <v>46159</v>
      </c>
      <c r="B9" s="210">
        <f>IFERROR(__xludf.DUMMYFUNCTION("""COMPUTED_VALUE"""),0.7083333333321207)</f>
        <v>0.7083333333</v>
      </c>
      <c r="C9" s="211" t="str">
        <f>IFERROR(__xludf.DUMMYFUNCTION("""COMPUTED_VALUE"""),"Sms")</f>
        <v>Sms</v>
      </c>
      <c r="D9" s="211" t="str">
        <f>IFERROR(__xludf.DUMMYFUNCTION("""COMPUTED_VALUE"""),"Promotional")</f>
        <v>Promotional</v>
      </c>
      <c r="E9" s="211" t="str">
        <f>IFERROR(__xludf.DUMMYFUNCTION("""COMPUTED_VALUE"""),"CIS")</f>
        <v>CIS</v>
      </c>
      <c r="F9" s="211" t="str">
        <f>IFERROR(__xludf.DUMMYFUNCTION("""COMPUTED_VALUE"""),"CIS_Footwear_Launch ")</f>
        <v>CIS_Footwear_Launch </v>
      </c>
      <c r="G9" s="211" t="str">
        <f>IFERROR(__xludf.DUMMYFUNCTION("""COMPUTED_VALUE"""),"cis_footwear_3499")</f>
        <v>cis_footwear_3499</v>
      </c>
      <c r="H9" s="212" t="str">
        <f>IFERROR(__xludf.DUMMYFUNCTION("""COMPUTED_VALUE"""),"CIS_Base_ONOff_Unique")</f>
        <v>CIS_Base_ONOff_Unique</v>
      </c>
      <c r="I9" s="212" t="str">
        <f>IFERROR(__xludf.DUMMYFUNCTION("""COMPUTED_VALUE"""),"Customers who have purchased in the last 36 months with Brand_PM contains SP AND Exclude overlapping Base for ALDO and CIS Base")</f>
        <v>Customers who have purchased in the last 36 months with Brand_PM contains SP AND Exclude overlapping Base for ALDO and CIS Base</v>
      </c>
      <c r="J9" s="213">
        <f>IFERROR(__xludf.DUMMYFUNCTION("""COMPUTED_VALUE"""),12162.0)</f>
        <v>12162</v>
      </c>
      <c r="K9" s="213">
        <f>IFERROR(__xludf.DUMMYFUNCTION("""COMPUTED_VALUE"""),7235.0)</f>
        <v>7235</v>
      </c>
      <c r="L9" s="214">
        <f>IFERROR(__xludf.DUMMYFUNCTION("""COMPUTED_VALUE"""),0.5949)</f>
        <v>0.5949</v>
      </c>
      <c r="M9" s="213">
        <f>IFERROR(__xludf.DUMMYFUNCTION("""COMPUTED_VALUE"""),0.0)</f>
        <v>0</v>
      </c>
      <c r="N9" s="214">
        <f>IFERROR(__xludf.DUMMYFUNCTION("""COMPUTED_VALUE"""),0.0)</f>
        <v>0</v>
      </c>
      <c r="O9" s="101">
        <f>IFERROR(__xludf.DUMMYFUNCTION("""COMPUTED_VALUE"""),16.0)</f>
        <v>16</v>
      </c>
      <c r="P9" s="101">
        <f>IFERROR(__xludf.DUMMYFUNCTION("""COMPUTED_VALUE"""),0.0)</f>
        <v>0</v>
      </c>
      <c r="Q9" s="214">
        <f>IFERROR(__xludf.DUMMYFUNCTION("""COMPUTED_VALUE"""),0.0022)</f>
        <v>0.0022</v>
      </c>
      <c r="R9" s="214">
        <f>IFERROR(__xludf.DUMMYFUNCTION("""COMPUTED_VALUE"""),0.0)</f>
        <v>0</v>
      </c>
      <c r="S9" s="101"/>
      <c r="T9" s="101"/>
      <c r="U9" s="213"/>
      <c r="V9" s="213" t="str">
        <f>IFERROR(__xludf.DUMMYFUNCTION("""COMPUTED_VALUE"""),"overall")</f>
        <v>overall</v>
      </c>
      <c r="W9" s="213" t="str">
        <f>IFERROR(__xludf.DUMMYFUNCTION("""COMPUTED_VALUE"""),"Sms")</f>
        <v>Sms</v>
      </c>
      <c r="X9" s="213" t="str">
        <f>IFERROR(__xludf.DUMMYFUNCTION("""COMPUTED_VALUE"""),"All User Base")</f>
        <v>All User Base</v>
      </c>
      <c r="Y9" s="213" t="str">
        <f>IFERROR(__xludf.DUMMYFUNCTION("""COMPUTED_VALUE"""),"17th to 19th May")</f>
        <v>17th to 19th May</v>
      </c>
      <c r="Z9" s="213" t="str">
        <f>IFERROR(__xludf.DUMMYFUNCTION("""COMPUTED_VALUE"""),"6a071aa9ba71d28fd411c21c")</f>
        <v>6a071aa9ba71d28fd411c21c</v>
      </c>
      <c r="AA9" s="213">
        <f>IFERROR(__xludf.DUMMYFUNCTION("""COMPUTED_VALUE"""),3.0)</f>
        <v>3</v>
      </c>
      <c r="AB9" s="213">
        <f>IFERROR(__xludf.DUMMYFUNCTION("""COMPUTED_VALUE"""),1.0)</f>
        <v>1</v>
      </c>
      <c r="AC9" s="213">
        <f>IFERROR(__xludf.DUMMYFUNCTION("""COMPUTED_VALUE"""),2.0)</f>
        <v>2</v>
      </c>
      <c r="AD9" s="213">
        <f>IFERROR(__xludf.DUMMYFUNCTION("""COMPUTED_VALUE"""),15010.0)</f>
        <v>15010</v>
      </c>
      <c r="AE9" s="213">
        <f>IFERROR(__xludf.DUMMYFUNCTION("""COMPUTED_VALUE"""),3499.0)</f>
        <v>3499</v>
      </c>
      <c r="AF9" s="213">
        <f>IFERROR(__xludf.DUMMYFUNCTION("""COMPUTED_VALUE"""),11511.0)</f>
        <v>11511</v>
      </c>
      <c r="AG9" s="208"/>
      <c r="AH9" s="208"/>
      <c r="AI9" s="208"/>
      <c r="AJ9" s="208"/>
      <c r="AK9" s="208"/>
    </row>
    <row r="10">
      <c r="A10" s="209">
        <f>IFERROR(__xludf.DUMMYFUNCTION("""COMPUTED_VALUE"""),46171.0)</f>
        <v>46171</v>
      </c>
      <c r="B10" s="210">
        <f>IFERROR(__xludf.DUMMYFUNCTION("""COMPUTED_VALUE"""),0.4166666666678793)</f>
        <v>0.4166666667</v>
      </c>
      <c r="C10" s="211" t="str">
        <f>IFERROR(__xludf.DUMMYFUNCTION("""COMPUTED_VALUE"""),"Whatsapp")</f>
        <v>Whatsapp</v>
      </c>
      <c r="D10" s="211" t="str">
        <f>IFERROR(__xludf.DUMMYFUNCTION("""COMPUTED_VALUE"""),"Promotional")</f>
        <v>Promotional</v>
      </c>
      <c r="E10" s="211" t="str">
        <f>IFERROR(__xludf.DUMMYFUNCTION("""COMPUTED_VALUE"""),"CIS")</f>
        <v>CIS</v>
      </c>
      <c r="F10" s="212" t="str">
        <f>IFERROR(__xludf.DUMMYFUNCTION("""COMPUTED_VALUE"""),"CIS_40")</f>
        <v>CIS_40</v>
      </c>
      <c r="G10" s="211" t="str">
        <f>IFERROR(__xludf.DUMMYFUNCTION("""COMPUTED_VALUE"""),"CIS_40_LONGWEEKEND new")</f>
        <v>CIS_40_LONGWEEKEND new</v>
      </c>
      <c r="H10" s="212" t="str">
        <f>IFERROR(__xludf.DUMMYFUNCTION("""COMPUTED_VALUE"""),"CIS_Base_ONOff_Unique")</f>
        <v>CIS_Base_ONOff_Unique</v>
      </c>
      <c r="I10" s="212" t="str">
        <f>IFERROR(__xludf.DUMMYFUNCTION("""COMPUTED_VALUE"""),"Customers who have purchased in the last 36 months with Brand_PM contains SP AND Exclude overlapping Base for ALDO and CIS Base")</f>
        <v>Customers who have purchased in the last 36 months with Brand_PM contains SP AND Exclude overlapping Base for ALDO and CIS Base</v>
      </c>
      <c r="J10" s="213">
        <f>IFERROR(__xludf.DUMMYFUNCTION("""COMPUTED_VALUE"""),12136.0)</f>
        <v>12136</v>
      </c>
      <c r="K10" s="213">
        <f>IFERROR(__xludf.DUMMYFUNCTION("""COMPUTED_VALUE"""),4409.0)</f>
        <v>4409</v>
      </c>
      <c r="L10" s="214">
        <f>IFERROR(__xludf.DUMMYFUNCTION("""COMPUTED_VALUE"""),0.3634)</f>
        <v>0.3634</v>
      </c>
      <c r="M10" s="213">
        <f>IFERROR(__xludf.DUMMYFUNCTION("""COMPUTED_VALUE"""),1803.0)</f>
        <v>1803</v>
      </c>
      <c r="N10" s="214">
        <f>IFERROR(__xludf.DUMMYFUNCTION("""COMPUTED_VALUE"""),0.4091)</f>
        <v>0.4091</v>
      </c>
      <c r="O10" s="101">
        <f>IFERROR(__xludf.DUMMYFUNCTION("""COMPUTED_VALUE"""),176.0)</f>
        <v>176</v>
      </c>
      <c r="P10" s="101">
        <f>IFERROR(__xludf.DUMMYFUNCTION("""COMPUTED_VALUE"""),170.0)</f>
        <v>170</v>
      </c>
      <c r="Q10" s="214">
        <f>IFERROR(__xludf.DUMMYFUNCTION("""COMPUTED_VALUE"""),0.0386)</f>
        <v>0.0386</v>
      </c>
      <c r="R10" s="214">
        <f>IFERROR(__xludf.DUMMYFUNCTION("""COMPUTED_VALUE"""),0.0943)</f>
        <v>0.0943</v>
      </c>
      <c r="S10" s="101">
        <f>IFERROR(__xludf.DUMMYFUNCTION("""COMPUTED_VALUE"""),1.0)</f>
        <v>1</v>
      </c>
      <c r="T10" s="101">
        <f>IFERROR(__xludf.DUMMYFUNCTION("""COMPUTED_VALUE"""),0.0)</f>
        <v>0</v>
      </c>
      <c r="U10" s="213">
        <f>IFERROR(__xludf.DUMMYFUNCTION("""COMPUTED_VALUE"""),2399.0)</f>
        <v>2399</v>
      </c>
      <c r="V10" s="213" t="str">
        <f>IFERROR(__xludf.DUMMYFUNCTION("""COMPUTED_VALUE"""),"overall")</f>
        <v>overall</v>
      </c>
      <c r="W10" s="213" t="str">
        <f>IFERROR(__xludf.DUMMYFUNCTION("""COMPUTED_VALUE"""),"simple")</f>
        <v>simple</v>
      </c>
      <c r="X10" s="213" t="str">
        <f>IFERROR(__xludf.DUMMYFUNCTION("""COMPUTED_VALUE"""),"All User Base")</f>
        <v>All User Base</v>
      </c>
      <c r="Y10" s="213" t="str">
        <f>IFERROR(__xludf.DUMMYFUNCTION("""COMPUTED_VALUE"""),"29th May - 1st June")</f>
        <v>29th May - 1st June</v>
      </c>
      <c r="Z10" s="213" t="str">
        <f>IFERROR(__xludf.DUMMYFUNCTION("""COMPUTED_VALUE"""),"6a16e7179461cdd737b90ff7")</f>
        <v>6a16e7179461cdd737b90ff7</v>
      </c>
      <c r="AA10" s="213">
        <f>IFERROR(__xludf.DUMMYFUNCTION("""COMPUTED_VALUE"""),2.0)</f>
        <v>2</v>
      </c>
      <c r="AB10" s="213">
        <f>IFERROR(__xludf.DUMMYFUNCTION("""COMPUTED_VALUE"""),1.0)</f>
        <v>1</v>
      </c>
      <c r="AC10" s="213">
        <f>IFERROR(__xludf.DUMMYFUNCTION("""COMPUTED_VALUE"""),1.0)</f>
        <v>1</v>
      </c>
      <c r="AD10" s="213">
        <f>IFERROR(__xludf.DUMMYFUNCTION("""COMPUTED_VALUE"""),14398.0)</f>
        <v>14398</v>
      </c>
      <c r="AE10" s="213">
        <f>IFERROR(__xludf.DUMMYFUNCTION("""COMPUTED_VALUE"""),2399.0)</f>
        <v>2399</v>
      </c>
      <c r="AF10" s="213">
        <f>IFERROR(__xludf.DUMMYFUNCTION("""COMPUTED_VALUE"""),11999.0)</f>
        <v>11999</v>
      </c>
      <c r="AG10" s="208"/>
      <c r="AH10" s="208"/>
      <c r="AI10" s="208"/>
      <c r="AJ10" s="208"/>
      <c r="AK10" s="208"/>
    </row>
    <row r="11">
      <c r="A11" s="209">
        <f>IFERROR(__xludf.DUMMYFUNCTION("""COMPUTED_VALUE"""),46171.0)</f>
        <v>46171</v>
      </c>
      <c r="B11" s="210">
        <f>IFERROR(__xludf.DUMMYFUNCTION("""COMPUTED_VALUE"""),0.7083333333321207)</f>
        <v>0.7083333333</v>
      </c>
      <c r="C11" s="211" t="str">
        <f>IFERROR(__xludf.DUMMYFUNCTION("""COMPUTED_VALUE"""),"Sms")</f>
        <v>Sms</v>
      </c>
      <c r="D11" s="211" t="str">
        <f>IFERROR(__xludf.DUMMYFUNCTION("""COMPUTED_VALUE"""),"Fallback campaign")</f>
        <v>Fallback campaign</v>
      </c>
      <c r="E11" s="211" t="str">
        <f>IFERROR(__xludf.DUMMYFUNCTION("""COMPUTED_VALUE"""),"CIS")</f>
        <v>CIS</v>
      </c>
      <c r="F11" s="212" t="str">
        <f>IFERROR(__xludf.DUMMYFUNCTION("""COMPUTED_VALUE"""),"CIS_40")</f>
        <v>CIS_40</v>
      </c>
      <c r="G11" s="211" t="str">
        <f>IFERROR(__xludf.DUMMYFUNCTION("""COMPUTED_VALUE"""),"CIS_40_Longweekend")</f>
        <v>CIS_40_Longweekend</v>
      </c>
      <c r="H11" s="212" t="str">
        <f>IFERROR(__xludf.DUMMYFUNCTION("""COMPUTED_VALUE"""),"CIS_Base_ONOff_Unique")</f>
        <v>CIS_Base_ONOff_Unique</v>
      </c>
      <c r="I11" s="212" t="str">
        <f>IFERROR(__xludf.DUMMYFUNCTION("""COMPUTED_VALUE"""),"RCS Undelivered")</f>
        <v>RCS Undelivered</v>
      </c>
      <c r="J11" s="213">
        <f>IFERROR(__xludf.DUMMYFUNCTION("""COMPUTED_VALUE"""),6791.0)</f>
        <v>6791</v>
      </c>
      <c r="K11" s="213">
        <f>IFERROR(__xludf.DUMMYFUNCTION("""COMPUTED_VALUE"""),3925.0)</f>
        <v>3925</v>
      </c>
      <c r="L11" s="214">
        <f>IFERROR(__xludf.DUMMYFUNCTION("""COMPUTED_VALUE"""),0.578)</f>
        <v>0.578</v>
      </c>
      <c r="M11" s="213">
        <f>IFERROR(__xludf.DUMMYFUNCTION("""COMPUTED_VALUE"""),0.0)</f>
        <v>0</v>
      </c>
      <c r="N11" s="214">
        <f>IFERROR(__xludf.DUMMYFUNCTION("""COMPUTED_VALUE"""),0.0)</f>
        <v>0</v>
      </c>
      <c r="O11" s="101">
        <f>IFERROR(__xludf.DUMMYFUNCTION("""COMPUTED_VALUE"""),3.0)</f>
        <v>3</v>
      </c>
      <c r="P11" s="101">
        <f>IFERROR(__xludf.DUMMYFUNCTION("""COMPUTED_VALUE"""),0.0)</f>
        <v>0</v>
      </c>
      <c r="Q11" s="214">
        <f>IFERROR(__xludf.DUMMYFUNCTION("""COMPUTED_VALUE"""),8.0E-4)</f>
        <v>0.0008</v>
      </c>
      <c r="R11" s="214">
        <f>IFERROR(__xludf.DUMMYFUNCTION("""COMPUTED_VALUE"""),0.0)</f>
        <v>0</v>
      </c>
      <c r="S11" s="101">
        <f>IFERROR(__xludf.DUMMYFUNCTION("""COMPUTED_VALUE"""),1.0)</f>
        <v>1</v>
      </c>
      <c r="T11" s="101">
        <f>IFERROR(__xludf.DUMMYFUNCTION("""COMPUTED_VALUE"""),0.0)</f>
        <v>0</v>
      </c>
      <c r="U11" s="213">
        <f>IFERROR(__xludf.DUMMYFUNCTION("""COMPUTED_VALUE"""),4130.0)</f>
        <v>4130</v>
      </c>
      <c r="V11" s="213" t="str">
        <f>IFERROR(__xludf.DUMMYFUNCTION("""COMPUTED_VALUE"""),"overall")</f>
        <v>overall</v>
      </c>
      <c r="W11" s="213" t="str">
        <f>IFERROR(__xludf.DUMMYFUNCTION("""COMPUTED_VALUE"""),"Sms")</f>
        <v>Sms</v>
      </c>
      <c r="X11" s="213" t="str">
        <f>IFERROR(__xludf.DUMMYFUNCTION("""COMPUTED_VALUE"""),"All User Base")</f>
        <v>All User Base</v>
      </c>
      <c r="Y11" s="213" t="str">
        <f>IFERROR(__xludf.DUMMYFUNCTION("""COMPUTED_VALUE"""),"29th May - 1st June")</f>
        <v>29th May - 1st June</v>
      </c>
      <c r="Z11" s="213" t="str">
        <f>IFERROR(__xludf.DUMMYFUNCTION("""COMPUTED_VALUE"""),"6a17df5046cc1de0ddfecf98")</f>
        <v>6a17df5046cc1de0ddfecf98</v>
      </c>
      <c r="AA11" s="213">
        <f>IFERROR(__xludf.DUMMYFUNCTION("""COMPUTED_VALUE"""),3.0)</f>
        <v>3</v>
      </c>
      <c r="AB11" s="213">
        <f>IFERROR(__xludf.DUMMYFUNCTION("""COMPUTED_VALUE"""),2.0)</f>
        <v>2</v>
      </c>
      <c r="AC11" s="213">
        <f>IFERROR(__xludf.DUMMYFUNCTION("""COMPUTED_VALUE"""),1.0)</f>
        <v>1</v>
      </c>
      <c r="AD11" s="213">
        <f>IFERROR(__xludf.DUMMYFUNCTION("""COMPUTED_VALUE"""),18399.0)</f>
        <v>18399</v>
      </c>
      <c r="AE11" s="213">
        <f>IFERROR(__xludf.DUMMYFUNCTION("""COMPUTED_VALUE"""),10609.0)</f>
        <v>10609</v>
      </c>
      <c r="AF11" s="213">
        <f>IFERROR(__xludf.DUMMYFUNCTION("""COMPUTED_VALUE"""),7790.0)</f>
        <v>7790</v>
      </c>
      <c r="AG11" s="208"/>
      <c r="AH11" s="208"/>
      <c r="AI11" s="208"/>
      <c r="AJ11" s="208"/>
      <c r="AK11" s="208"/>
    </row>
    <row r="12">
      <c r="A12" s="209">
        <f>IFERROR(__xludf.DUMMYFUNCTION("""COMPUTED_VALUE"""),46171.0)</f>
        <v>46171</v>
      </c>
      <c r="B12" s="210">
        <f>IFERROR(__xludf.DUMMYFUNCTION("""COMPUTED_VALUE"""),0.5)</f>
        <v>0.5</v>
      </c>
      <c r="C12" s="211" t="str">
        <f>IFERROR(__xludf.DUMMYFUNCTION("""COMPUTED_VALUE"""),"Rcs")</f>
        <v>Rcs</v>
      </c>
      <c r="D12" s="211" t="str">
        <f>IFERROR(__xludf.DUMMYFUNCTION("""COMPUTED_VALUE"""),"Fallback campaign")</f>
        <v>Fallback campaign</v>
      </c>
      <c r="E12" s="211" t="str">
        <f>IFERROR(__xludf.DUMMYFUNCTION("""COMPUTED_VALUE"""),"CIS")</f>
        <v>CIS</v>
      </c>
      <c r="F12" s="212" t="str">
        <f>IFERROR(__xludf.DUMMYFUNCTION("""COMPUTED_VALUE"""),"CIS_40")</f>
        <v>CIS_40</v>
      </c>
      <c r="G12" s="211" t="str">
        <f>IFERROR(__xludf.DUMMYFUNCTION("""COMPUTED_VALUE"""),"CIS_40_LONGWEEKEND rcs")</f>
        <v>CIS_40_LONGWEEKEND rcs</v>
      </c>
      <c r="H12" s="212" t="str">
        <f>IFERROR(__xludf.DUMMYFUNCTION("""COMPUTED_VALUE"""),"CIS_Base_ONOff_Unique")</f>
        <v>CIS_Base_ONOff_Unique</v>
      </c>
      <c r="I12" s="212" t="str">
        <f>IFERROR(__xludf.DUMMYFUNCTION("""COMPUTED_VALUE"""),"WA Undelivered")</f>
        <v>WA Undelivered</v>
      </c>
      <c r="J12" s="213">
        <f>IFERROR(__xludf.DUMMYFUNCTION("""COMPUTED_VALUE"""),7576.0)</f>
        <v>7576</v>
      </c>
      <c r="K12" s="213">
        <f>IFERROR(__xludf.DUMMYFUNCTION("""COMPUTED_VALUE"""),795.0)</f>
        <v>795</v>
      </c>
      <c r="L12" s="214">
        <f>IFERROR(__xludf.DUMMYFUNCTION("""COMPUTED_VALUE"""),0.1049)</f>
        <v>0.1049</v>
      </c>
      <c r="M12" s="213">
        <f>IFERROR(__xludf.DUMMYFUNCTION("""COMPUTED_VALUE"""),135.0)</f>
        <v>135</v>
      </c>
      <c r="N12" s="214">
        <f>IFERROR(__xludf.DUMMYFUNCTION("""COMPUTED_VALUE"""),0.1698)</f>
        <v>0.1698</v>
      </c>
      <c r="O12" s="101">
        <f>IFERROR(__xludf.DUMMYFUNCTION("""COMPUTED_VALUE"""),7.0)</f>
        <v>7</v>
      </c>
      <c r="P12" s="101">
        <f>IFERROR(__xludf.DUMMYFUNCTION("""COMPUTED_VALUE"""),0.0)</f>
        <v>0</v>
      </c>
      <c r="Q12" s="214">
        <f>IFERROR(__xludf.DUMMYFUNCTION("""COMPUTED_VALUE"""),0.0088)</f>
        <v>0.0088</v>
      </c>
      <c r="R12" s="214">
        <f>IFERROR(__xludf.DUMMYFUNCTION("""COMPUTED_VALUE"""),0.0)</f>
        <v>0</v>
      </c>
      <c r="S12" s="101">
        <f>IFERROR(__xludf.DUMMYFUNCTION("""COMPUTED_VALUE"""),0.0)</f>
        <v>0</v>
      </c>
      <c r="T12" s="101">
        <f>IFERROR(__xludf.DUMMYFUNCTION("""COMPUTED_VALUE"""),0.0)</f>
        <v>0</v>
      </c>
      <c r="U12" s="213">
        <f>IFERROR(__xludf.DUMMYFUNCTION("""COMPUTED_VALUE"""),0.0)</f>
        <v>0</v>
      </c>
      <c r="V12" s="213" t="str">
        <f>IFERROR(__xludf.DUMMYFUNCTION("""COMPUTED_VALUE"""),"overall")</f>
        <v>overall</v>
      </c>
      <c r="W12" s="213" t="str">
        <f>IFERROR(__xludf.DUMMYFUNCTION("""COMPUTED_VALUE"""),"RCS")</f>
        <v>RCS</v>
      </c>
      <c r="X12" s="213" t="str">
        <f>IFERROR(__xludf.DUMMYFUNCTION("""COMPUTED_VALUE"""),"All User Base")</f>
        <v>All User Base</v>
      </c>
      <c r="Y12" s="213" t="str">
        <f>IFERROR(__xludf.DUMMYFUNCTION("""COMPUTED_VALUE"""),"29th May - 1st June")</f>
        <v>29th May - 1st June</v>
      </c>
      <c r="Z12" s="213" t="str">
        <f>IFERROR(__xludf.DUMMYFUNCTION("""COMPUTED_VALUE"""),"6a16f177924e671fe7e8a975")</f>
        <v>6a16f177924e671fe7e8a975</v>
      </c>
      <c r="AA12" s="213">
        <f>IFERROR(__xludf.DUMMYFUNCTION("""COMPUTED_VALUE"""),1.0)</f>
        <v>1</v>
      </c>
      <c r="AB12" s="213">
        <f>IFERROR(__xludf.DUMMYFUNCTION("""COMPUTED_VALUE"""),1.0)</f>
        <v>1</v>
      </c>
      <c r="AC12" s="213">
        <f>IFERROR(__xludf.DUMMYFUNCTION("""COMPUTED_VALUE"""),0.0)</f>
        <v>0</v>
      </c>
      <c r="AD12" s="213">
        <f>IFERROR(__xludf.DUMMYFUNCTION("""COMPUTED_VALUE"""),2399.0)</f>
        <v>2399</v>
      </c>
      <c r="AE12" s="213">
        <f>IFERROR(__xludf.DUMMYFUNCTION("""COMPUTED_VALUE"""),2399.0)</f>
        <v>2399</v>
      </c>
      <c r="AF12" s="213">
        <f>IFERROR(__xludf.DUMMYFUNCTION("""COMPUTED_VALUE"""),0.0)</f>
        <v>0</v>
      </c>
      <c r="AG12" s="208"/>
      <c r="AH12" s="208"/>
      <c r="AI12" s="208"/>
      <c r="AJ12" s="208"/>
      <c r="AK12" s="208"/>
    </row>
    <row r="13">
      <c r="A13" s="209">
        <f>IFERROR(__xludf.DUMMYFUNCTION("""COMPUTED_VALUE"""),46179.0)</f>
        <v>46179</v>
      </c>
      <c r="B13" s="210">
        <f>IFERROR(__xludf.DUMMYFUNCTION("""COMPUTED_VALUE"""),0.4166666666678793)</f>
        <v>0.4166666667</v>
      </c>
      <c r="C13" s="211" t="str">
        <f>IFERROR(__xludf.DUMMYFUNCTION("""COMPUTED_VALUE"""),"Whatsapp")</f>
        <v>Whatsapp</v>
      </c>
      <c r="D13" s="211" t="str">
        <f>IFERROR(__xludf.DUMMYFUNCTION("""COMPUTED_VALUE"""),"Promotional")</f>
        <v>Promotional</v>
      </c>
      <c r="E13" s="211" t="str">
        <f>IFERROR(__xludf.DUMMYFUNCTION("""COMPUTED_VALUE"""),"CIS")</f>
        <v>CIS</v>
      </c>
      <c r="F13" s="212" t="str">
        <f>IFERROR(__xludf.DUMMYFUNCTION("""COMPUTED_VALUE"""),"CIS_Sale")</f>
        <v>CIS_Sale</v>
      </c>
      <c r="G13" s="211" t="str">
        <f>IFERROR(__xludf.DUMMYFUNCTION("""COMPUTED_VALUE"""),"CIS_EOSS_Weekone")</f>
        <v>CIS_EOSS_Weekone</v>
      </c>
      <c r="H13" s="212" t="str">
        <f>IFERROR(__xludf.DUMMYFUNCTION("""COMPUTED_VALUE"""),"CIS_Base_ONOff_Unique, LaSenza_Cust_Base_5thJune26, CIS_Add_DataBase")</f>
        <v>CIS_Base_ONOff_Unique, LaSenza_Cust_Base_5thJune26, CIS_Add_DataBase</v>
      </c>
      <c r="I13" s="212" t="str">
        <f>IFERROR(__xludf.DUMMYFUNCTION("""COMPUTED_VALUE"""),"Customers who have purchased in the last 36 months with Brand_PM contains SP AND Exclude overlapping Base for ALDO and CIS Base")</f>
        <v>Customers who have purchased in the last 36 months with Brand_PM contains SP AND Exclude overlapping Base for ALDO and CIS Base</v>
      </c>
      <c r="J13" s="213">
        <f>IFERROR(__xludf.DUMMYFUNCTION("""COMPUTED_VALUE"""),49035.0)</f>
        <v>49035</v>
      </c>
      <c r="K13" s="213">
        <f>IFERROR(__xludf.DUMMYFUNCTION("""COMPUTED_VALUE"""),12339.0)</f>
        <v>12339</v>
      </c>
      <c r="L13" s="214">
        <f>IFERROR(__xludf.DUMMYFUNCTION("""COMPUTED_VALUE"""),0.2516)</f>
        <v>0.2516</v>
      </c>
      <c r="M13" s="213">
        <f>IFERROR(__xludf.DUMMYFUNCTION("""COMPUTED_VALUE"""),5031.0)</f>
        <v>5031</v>
      </c>
      <c r="N13" s="214">
        <f>IFERROR(__xludf.DUMMYFUNCTION("""COMPUTED_VALUE"""),0.4078)</f>
        <v>0.4078</v>
      </c>
      <c r="O13" s="101">
        <f>IFERROR(__xludf.DUMMYFUNCTION("""COMPUTED_VALUE"""),478.0)</f>
        <v>478</v>
      </c>
      <c r="P13" s="101">
        <f>IFERROR(__xludf.DUMMYFUNCTION("""COMPUTED_VALUE"""),452.0)</f>
        <v>452</v>
      </c>
      <c r="Q13" s="214">
        <f>IFERROR(__xludf.DUMMYFUNCTION("""COMPUTED_VALUE"""),0.0366)</f>
        <v>0.0366</v>
      </c>
      <c r="R13" s="214">
        <f>IFERROR(__xludf.DUMMYFUNCTION("""COMPUTED_VALUE"""),0.0898)</f>
        <v>0.0898</v>
      </c>
      <c r="S13" s="101">
        <f>IFERROR(__xludf.DUMMYFUNCTION("""COMPUTED_VALUE"""),0.0)</f>
        <v>0</v>
      </c>
      <c r="T13" s="101">
        <f>IFERROR(__xludf.DUMMYFUNCTION("""COMPUTED_VALUE"""),0.0)</f>
        <v>0</v>
      </c>
      <c r="U13" s="213">
        <f>IFERROR(__xludf.DUMMYFUNCTION("""COMPUTED_VALUE"""),0.0)</f>
        <v>0</v>
      </c>
      <c r="V13" s="213" t="str">
        <f>IFERROR(__xludf.DUMMYFUNCTION("""COMPUTED_VALUE"""),"overall")</f>
        <v>overall</v>
      </c>
      <c r="W13" s="213" t="str">
        <f>IFERROR(__xludf.DUMMYFUNCTION("""COMPUTED_VALUE"""),"simple")</f>
        <v>simple</v>
      </c>
      <c r="X13" s="213" t="str">
        <f>IFERROR(__xludf.DUMMYFUNCTION("""COMPUTED_VALUE"""),"All User Base")</f>
        <v>All User Base</v>
      </c>
      <c r="Y13" s="213" t="str">
        <f>IFERROR(__xludf.DUMMYFUNCTION("""COMPUTED_VALUE"""),"06th -9th ")</f>
        <v>06th -9th </v>
      </c>
      <c r="Z13" s="213" t="str">
        <f>IFERROR(__xludf.DUMMYFUNCTION("""COMPUTED_VALUE"""),"6a228f896b8d9fb21b3338a7")</f>
        <v>6a228f896b8d9fb21b3338a7</v>
      </c>
      <c r="AA13" s="213">
        <f>IFERROR(__xludf.DUMMYFUNCTION("""COMPUTED_VALUE"""),4.0)</f>
        <v>4</v>
      </c>
      <c r="AB13" s="213">
        <f>IFERROR(__xludf.DUMMYFUNCTION("""COMPUTED_VALUE"""),3.0)</f>
        <v>3</v>
      </c>
      <c r="AC13" s="213">
        <f>IFERROR(__xludf.DUMMYFUNCTION("""COMPUTED_VALUE"""),1.0)</f>
        <v>1</v>
      </c>
      <c r="AD13" s="213">
        <f>IFERROR(__xludf.DUMMYFUNCTION("""COMPUTED_VALUE"""),21858.0)</f>
        <v>21858</v>
      </c>
      <c r="AE13" s="213">
        <f>IFERROR(__xludf.DUMMYFUNCTION("""COMPUTED_VALUE"""),7859.0)</f>
        <v>7859</v>
      </c>
      <c r="AF13" s="213">
        <f>IFERROR(__xludf.DUMMYFUNCTION("""COMPUTED_VALUE"""),13999.0)</f>
        <v>13999</v>
      </c>
      <c r="AG13" s="208"/>
      <c r="AH13" s="208"/>
      <c r="AI13" s="208"/>
      <c r="AJ13" s="208"/>
      <c r="AK13" s="208"/>
    </row>
    <row r="14">
      <c r="A14" s="215">
        <f>IFERROR(__xludf.DUMMYFUNCTION("""COMPUTED_VALUE"""),46179.0)</f>
        <v>46179</v>
      </c>
      <c r="B14" s="210">
        <f>IFERROR(__xludf.DUMMYFUNCTION("""COMPUTED_VALUE"""),0.5)</f>
        <v>0.5</v>
      </c>
      <c r="C14" s="211" t="str">
        <f>IFERROR(__xludf.DUMMYFUNCTION("""COMPUTED_VALUE"""),"Rcs")</f>
        <v>Rcs</v>
      </c>
      <c r="D14" s="211" t="str">
        <f>IFERROR(__xludf.DUMMYFUNCTION("""COMPUTED_VALUE"""),"Fallback campaign")</f>
        <v>Fallback campaign</v>
      </c>
      <c r="E14" s="211" t="str">
        <f>IFERROR(__xludf.DUMMYFUNCTION("""COMPUTED_VALUE"""),"CIS")</f>
        <v>CIS</v>
      </c>
      <c r="F14" s="211" t="str">
        <f>IFERROR(__xludf.DUMMYFUNCTION("""COMPUTED_VALUE"""),"CIS_EOSS_WeekOne")</f>
        <v>CIS_EOSS_WeekOne</v>
      </c>
      <c r="G14" s="211" t="str">
        <f>IFERROR(__xludf.DUMMYFUNCTION("""COMPUTED_VALUE"""),"CIS_EOSS_RCS")</f>
        <v>CIS_EOSS_RCS</v>
      </c>
      <c r="H14" s="212" t="str">
        <f>IFERROR(__xludf.DUMMYFUNCTION("""COMPUTED_VALUE"""),"CIS_Base_ONOff_Unique, LaSenza_Cust_Base_5thJune26, CIS_Add_DataBase")</f>
        <v>CIS_Base_ONOff_Unique, LaSenza_Cust_Base_5thJune26, CIS_Add_DataBase</v>
      </c>
      <c r="I14" s="212" t="str">
        <f>IFERROR(__xludf.DUMMYFUNCTION("""COMPUTED_VALUE"""),"WA Undelivered")</f>
        <v>WA Undelivered</v>
      </c>
      <c r="J14" s="213">
        <f>IFERROR(__xludf.DUMMYFUNCTION("""COMPUTED_VALUE"""),35451.0)</f>
        <v>35451</v>
      </c>
      <c r="K14" s="213">
        <f>IFERROR(__xludf.DUMMYFUNCTION("""COMPUTED_VALUE"""),4807.0)</f>
        <v>4807</v>
      </c>
      <c r="L14" s="214">
        <f>IFERROR(__xludf.DUMMYFUNCTION("""COMPUTED_VALUE"""),0.1356)</f>
        <v>0.1356</v>
      </c>
      <c r="M14" s="213">
        <f>IFERROR(__xludf.DUMMYFUNCTION("""COMPUTED_VALUE"""),889.0)</f>
        <v>889</v>
      </c>
      <c r="N14" s="214">
        <f>IFERROR(__xludf.DUMMYFUNCTION("""COMPUTED_VALUE"""),0.1849)</f>
        <v>0.1849</v>
      </c>
      <c r="O14" s="101">
        <f>IFERROR(__xludf.DUMMYFUNCTION("""COMPUTED_VALUE"""),7.0)</f>
        <v>7</v>
      </c>
      <c r="P14" s="101">
        <f>IFERROR(__xludf.DUMMYFUNCTION("""COMPUTED_VALUE"""),0.0)</f>
        <v>0</v>
      </c>
      <c r="Q14" s="214">
        <f>IFERROR(__xludf.DUMMYFUNCTION("""COMPUTED_VALUE"""),0.0015)</f>
        <v>0.0015</v>
      </c>
      <c r="R14" s="214">
        <f>IFERROR(__xludf.DUMMYFUNCTION("""COMPUTED_VALUE"""),0.0)</f>
        <v>0</v>
      </c>
      <c r="S14" s="101">
        <f>IFERROR(__xludf.DUMMYFUNCTION("""COMPUTED_VALUE"""),0.0)</f>
        <v>0</v>
      </c>
      <c r="T14" s="101">
        <f>IFERROR(__xludf.DUMMYFUNCTION("""COMPUTED_VALUE"""),0.0)</f>
        <v>0</v>
      </c>
      <c r="U14" s="213">
        <f>IFERROR(__xludf.DUMMYFUNCTION("""COMPUTED_VALUE"""),0.0)</f>
        <v>0</v>
      </c>
      <c r="V14" s="213" t="str">
        <f>IFERROR(__xludf.DUMMYFUNCTION("""COMPUTED_VALUE"""),"overall")</f>
        <v>overall</v>
      </c>
      <c r="W14" s="213" t="str">
        <f>IFERROR(__xludf.DUMMYFUNCTION("""COMPUTED_VALUE"""),"RCS")</f>
        <v>RCS</v>
      </c>
      <c r="X14" s="213" t="str">
        <f>IFERROR(__xludf.DUMMYFUNCTION("""COMPUTED_VALUE"""),"All User Base")</f>
        <v>All User Base</v>
      </c>
      <c r="Y14" s="213" t="str">
        <f>IFERROR(__xludf.DUMMYFUNCTION("""COMPUTED_VALUE"""),"06th -9th ")</f>
        <v>06th -9th </v>
      </c>
      <c r="Z14" s="213" t="str">
        <f>IFERROR(__xludf.DUMMYFUNCTION("""COMPUTED_VALUE"""),"6a22904f2fa42956fe0f0198")</f>
        <v>6a22904f2fa42956fe0f0198</v>
      </c>
      <c r="AA14" s="213">
        <f>IFERROR(__xludf.DUMMYFUNCTION("""COMPUTED_VALUE"""),0.0)</f>
        <v>0</v>
      </c>
      <c r="AB14" s="213">
        <f>IFERROR(__xludf.DUMMYFUNCTION("""COMPUTED_VALUE"""),0.0)</f>
        <v>0</v>
      </c>
      <c r="AC14" s="213">
        <f>IFERROR(__xludf.DUMMYFUNCTION("""COMPUTED_VALUE"""),0.0)</f>
        <v>0</v>
      </c>
      <c r="AD14" s="213">
        <f>IFERROR(__xludf.DUMMYFUNCTION("""COMPUTED_VALUE"""),0.0)</f>
        <v>0</v>
      </c>
      <c r="AE14" s="213">
        <f>IFERROR(__xludf.DUMMYFUNCTION("""COMPUTED_VALUE"""),0.0)</f>
        <v>0</v>
      </c>
      <c r="AF14" s="213">
        <f>IFERROR(__xludf.DUMMYFUNCTION("""COMPUTED_VALUE"""),0.0)</f>
        <v>0</v>
      </c>
      <c r="AG14" s="208"/>
      <c r="AH14" s="208"/>
      <c r="AI14" s="208"/>
      <c r="AJ14" s="208"/>
      <c r="AK14" s="208"/>
    </row>
    <row r="15">
      <c r="A15" s="215">
        <f>IFERROR(__xludf.DUMMYFUNCTION("""COMPUTED_VALUE"""),46185.0)</f>
        <v>46185</v>
      </c>
      <c r="B15" s="210">
        <f>IFERROR(__xludf.DUMMYFUNCTION("""COMPUTED_VALUE"""),0.4166666666678793)</f>
        <v>0.4166666667</v>
      </c>
      <c r="C15" s="211" t="str">
        <f>IFERROR(__xludf.DUMMYFUNCTION("""COMPUTED_VALUE"""),"Whatsapp")</f>
        <v>Whatsapp</v>
      </c>
      <c r="D15" s="211" t="str">
        <f>IFERROR(__xludf.DUMMYFUNCTION("""COMPUTED_VALUE"""),"Promotional")</f>
        <v>Promotional</v>
      </c>
      <c r="E15" s="211" t="str">
        <f>IFERROR(__xludf.DUMMYFUNCTION("""COMPUTED_VALUE"""),"CIS")</f>
        <v>CIS</v>
      </c>
      <c r="F15" s="211" t="str">
        <f>IFERROR(__xludf.DUMMYFUNCTION("""COMPUTED_VALUE"""),"CIS_EOSS")</f>
        <v>CIS_EOSS</v>
      </c>
      <c r="G15" s="211" t="str">
        <f>IFERROR(__xludf.DUMMYFUNCTION("""COMPUTED_VALUE"""),"CIS_EOSS_CX")</f>
        <v>CIS_EOSS_CX</v>
      </c>
      <c r="H15" s="212" t="str">
        <f>IFERROR(__xludf.DUMMYFUNCTION("""COMPUTED_VALUE"""),"CIS_Base_ONOff_Unique, LaSenza_Cust_Base_5thJune26, CIS_Add_DataBase")</f>
        <v>CIS_Base_ONOff_Unique, LaSenza_Cust_Base_5thJune26, CIS_Add_DataBase</v>
      </c>
      <c r="I15" s="212" t="str">
        <f>IFERROR(__xludf.DUMMYFUNCTION("""COMPUTED_VALUE"""),"Customers who have purchased in the last 36 months with Brand_PM contains SP AND Exclude overlapping Base for ALDO and CIS Base")</f>
        <v>Customers who have purchased in the last 36 months with Brand_PM contains SP AND Exclude overlapping Base for ALDO and CIS Base</v>
      </c>
      <c r="J15" s="213">
        <f>IFERROR(__xludf.DUMMYFUNCTION("""COMPUTED_VALUE"""),49098.0)</f>
        <v>49098</v>
      </c>
      <c r="K15" s="213">
        <f>IFERROR(__xludf.DUMMYFUNCTION("""COMPUTED_VALUE"""),12286.0)</f>
        <v>12286</v>
      </c>
      <c r="L15" s="214">
        <f>IFERROR(__xludf.DUMMYFUNCTION("""COMPUTED_VALUE"""),0.2502)</f>
        <v>0.2502</v>
      </c>
      <c r="M15" s="213">
        <f>IFERROR(__xludf.DUMMYFUNCTION("""COMPUTED_VALUE"""),4901.0)</f>
        <v>4901</v>
      </c>
      <c r="N15" s="214">
        <f>IFERROR(__xludf.DUMMYFUNCTION("""COMPUTED_VALUE"""),0.3989)</f>
        <v>0.3989</v>
      </c>
      <c r="O15" s="101">
        <f>IFERROR(__xludf.DUMMYFUNCTION("""COMPUTED_VALUE"""),456.0)</f>
        <v>456</v>
      </c>
      <c r="P15" s="101">
        <f>IFERROR(__xludf.DUMMYFUNCTION("""COMPUTED_VALUE"""),428.0)</f>
        <v>428</v>
      </c>
      <c r="Q15" s="214">
        <f>IFERROR(__xludf.DUMMYFUNCTION("""COMPUTED_VALUE"""),0.0348)</f>
        <v>0.0348</v>
      </c>
      <c r="R15" s="214">
        <f>IFERROR(__xludf.DUMMYFUNCTION("""COMPUTED_VALUE"""),0.0873)</f>
        <v>0.0873</v>
      </c>
      <c r="S15" s="101">
        <f>IFERROR(__xludf.DUMMYFUNCTION("""COMPUTED_VALUE"""),2.0)</f>
        <v>2</v>
      </c>
      <c r="T15" s="101">
        <f>IFERROR(__xludf.DUMMYFUNCTION("""COMPUTED_VALUE"""),0.0)</f>
        <v>0</v>
      </c>
      <c r="U15" s="213">
        <f>IFERROR(__xludf.DUMMYFUNCTION("""COMPUTED_VALUE"""),10497.0)</f>
        <v>10497</v>
      </c>
      <c r="V15" s="213" t="str">
        <f>IFERROR(__xludf.DUMMYFUNCTION("""COMPUTED_VALUE"""),"overall")</f>
        <v>overall</v>
      </c>
      <c r="W15" s="213" t="str">
        <f>IFERROR(__xludf.DUMMYFUNCTION("""COMPUTED_VALUE"""),"simple")</f>
        <v>simple</v>
      </c>
      <c r="X15" s="213" t="str">
        <f>IFERROR(__xludf.DUMMYFUNCTION("""COMPUTED_VALUE"""),"All User Base")</f>
        <v>All User Base</v>
      </c>
      <c r="Y15" s="213" t="str">
        <f>IFERROR(__xludf.DUMMYFUNCTION("""COMPUTED_VALUE"""),"12th-15th")</f>
        <v>12th-15th</v>
      </c>
      <c r="Z15" s="213" t="str">
        <f>IFERROR(__xludf.DUMMYFUNCTION("""COMPUTED_VALUE"""),"6a29308f90eb921b54333013")</f>
        <v>6a29308f90eb921b54333013</v>
      </c>
      <c r="AA15" s="213">
        <f>IFERROR(__xludf.DUMMYFUNCTION("""COMPUTED_VALUE"""),3.0)</f>
        <v>3</v>
      </c>
      <c r="AB15" s="213">
        <f>IFERROR(__xludf.DUMMYFUNCTION("""COMPUTED_VALUE"""),2.0)</f>
        <v>2</v>
      </c>
      <c r="AC15" s="213">
        <f>IFERROR(__xludf.DUMMYFUNCTION("""COMPUTED_VALUE"""),1.0)</f>
        <v>1</v>
      </c>
      <c r="AD15" s="213">
        <f>IFERROR(__xludf.DUMMYFUNCTION("""COMPUTED_VALUE"""),16487.0)</f>
        <v>16487</v>
      </c>
      <c r="AE15" s="213">
        <f>IFERROR(__xludf.DUMMYFUNCTION("""COMPUTED_VALUE"""),10497.0)</f>
        <v>10497</v>
      </c>
      <c r="AF15" s="213">
        <f>IFERROR(__xludf.DUMMYFUNCTION("""COMPUTED_VALUE"""),5990.0)</f>
        <v>5990</v>
      </c>
      <c r="AG15" s="208"/>
      <c r="AH15" s="208"/>
      <c r="AI15" s="208"/>
      <c r="AJ15" s="208"/>
      <c r="AK15" s="208"/>
    </row>
    <row r="16">
      <c r="A16" s="215">
        <f>IFERROR(__xludf.DUMMYFUNCTION("""COMPUTED_VALUE"""),46185.0)</f>
        <v>46185</v>
      </c>
      <c r="B16" s="210">
        <f>IFERROR(__xludf.DUMMYFUNCTION("""COMPUTED_VALUE"""),0.7083333333321207)</f>
        <v>0.7083333333</v>
      </c>
      <c r="C16" s="211" t="str">
        <f>IFERROR(__xludf.DUMMYFUNCTION("""COMPUTED_VALUE"""),"Sms")</f>
        <v>Sms</v>
      </c>
      <c r="D16" s="211" t="str">
        <f>IFERROR(__xludf.DUMMYFUNCTION("""COMPUTED_VALUE"""),"Fallback campaign")</f>
        <v>Fallback campaign</v>
      </c>
      <c r="E16" s="211" t="str">
        <f>IFERROR(__xludf.DUMMYFUNCTION("""COMPUTED_VALUE"""),"CIS")</f>
        <v>CIS</v>
      </c>
      <c r="F16" s="211" t="str">
        <f>IFERROR(__xludf.DUMMYFUNCTION("""COMPUTED_VALUE"""),"CIS_EOSS")</f>
        <v>CIS_EOSS</v>
      </c>
      <c r="G16" s="211" t="str">
        <f>IFERROR(__xludf.DUMMYFUNCTION("""COMPUTED_VALUE"""),"CIS_3499_RCSFallback")</f>
        <v>CIS_3499_RCSFallback</v>
      </c>
      <c r="H16" s="212" t="str">
        <f>IFERROR(__xludf.DUMMYFUNCTION("""COMPUTED_VALUE"""),"CIS_Base_ONOff_Unique, LaSenza_Cust_Base_5thJune26, CIS_Add_DataBase")</f>
        <v>CIS_Base_ONOff_Unique, LaSenza_Cust_Base_5thJune26, CIS_Add_DataBase</v>
      </c>
      <c r="I16" s="212" t="str">
        <f>IFERROR(__xludf.DUMMYFUNCTION("""COMPUTED_VALUE"""),"RCS Undelivered")</f>
        <v>RCS Undelivered</v>
      </c>
      <c r="J16" s="213">
        <f>IFERROR(__xludf.DUMMYFUNCTION("""COMPUTED_VALUE"""),31357.0)</f>
        <v>31357</v>
      </c>
      <c r="K16" s="213">
        <f>IFERROR(__xludf.DUMMYFUNCTION("""COMPUTED_VALUE"""),13956.0)</f>
        <v>13956</v>
      </c>
      <c r="L16" s="214">
        <f>IFERROR(__xludf.DUMMYFUNCTION("""COMPUTED_VALUE"""),0.4451)</f>
        <v>0.4451</v>
      </c>
      <c r="M16" s="213">
        <f>IFERROR(__xludf.DUMMYFUNCTION("""COMPUTED_VALUE"""),0.0)</f>
        <v>0</v>
      </c>
      <c r="N16" s="214">
        <f>IFERROR(__xludf.DUMMYFUNCTION("""COMPUTED_VALUE"""),0.0)</f>
        <v>0</v>
      </c>
      <c r="O16" s="101">
        <f>IFERROR(__xludf.DUMMYFUNCTION("""COMPUTED_VALUE"""),16.0)</f>
        <v>16</v>
      </c>
      <c r="P16" s="101">
        <f>IFERROR(__xludf.DUMMYFUNCTION("""COMPUTED_VALUE"""),0.0)</f>
        <v>0</v>
      </c>
      <c r="Q16" s="214">
        <f>IFERROR(__xludf.DUMMYFUNCTION("""COMPUTED_VALUE"""),0.0011)</f>
        <v>0.0011</v>
      </c>
      <c r="R16" s="214">
        <f>IFERROR(__xludf.DUMMYFUNCTION("""COMPUTED_VALUE"""),0.0)</f>
        <v>0</v>
      </c>
      <c r="S16" s="101">
        <f>IFERROR(__xludf.DUMMYFUNCTION("""COMPUTED_VALUE"""),2.0)</f>
        <v>2</v>
      </c>
      <c r="T16" s="101">
        <f>IFERROR(__xludf.DUMMYFUNCTION("""COMPUTED_VALUE"""),0.0)</f>
        <v>0</v>
      </c>
      <c r="U16" s="213">
        <f>IFERROR(__xludf.DUMMYFUNCTION("""COMPUTED_VALUE"""),6998.0)</f>
        <v>6998</v>
      </c>
      <c r="V16" s="213" t="str">
        <f>IFERROR(__xludf.DUMMYFUNCTION("""COMPUTED_VALUE"""),"overall")</f>
        <v>overall</v>
      </c>
      <c r="W16" s="213" t="str">
        <f>IFERROR(__xludf.DUMMYFUNCTION("""COMPUTED_VALUE"""),"Sms")</f>
        <v>Sms</v>
      </c>
      <c r="X16" s="213" t="str">
        <f>IFERROR(__xludf.DUMMYFUNCTION("""COMPUTED_VALUE"""),"All User Base")</f>
        <v>All User Base</v>
      </c>
      <c r="Y16" s="213" t="str">
        <f>IFERROR(__xludf.DUMMYFUNCTION("""COMPUTED_VALUE"""),"12th-15th")</f>
        <v>12th-15th</v>
      </c>
      <c r="Z16" s="213" t="str">
        <f>IFERROR(__xludf.DUMMYFUNCTION("""COMPUTED_VALUE"""),"6a2931e80fd0c702957ca280")</f>
        <v>6a2931e80fd0c702957ca280</v>
      </c>
      <c r="AA16" s="213">
        <f>IFERROR(__xludf.DUMMYFUNCTION("""COMPUTED_VALUE"""),8.0)</f>
        <v>8</v>
      </c>
      <c r="AB16" s="213">
        <f>IFERROR(__xludf.DUMMYFUNCTION("""COMPUTED_VALUE"""),3.0)</f>
        <v>3</v>
      </c>
      <c r="AC16" s="213">
        <f>IFERROR(__xludf.DUMMYFUNCTION("""COMPUTED_VALUE"""),5.0)</f>
        <v>5</v>
      </c>
      <c r="AD16" s="213">
        <f>IFERROR(__xludf.DUMMYFUNCTION("""COMPUTED_VALUE"""),46524.0)</f>
        <v>46524</v>
      </c>
      <c r="AE16" s="213">
        <f>IFERROR(__xludf.DUMMYFUNCTION("""COMPUTED_VALUE"""),10497.0)</f>
        <v>10497</v>
      </c>
      <c r="AF16" s="213">
        <f>IFERROR(__xludf.DUMMYFUNCTION("""COMPUTED_VALUE"""),36027.0)</f>
        <v>36027</v>
      </c>
      <c r="AG16" s="208"/>
      <c r="AH16" s="208"/>
      <c r="AI16" s="208"/>
      <c r="AJ16" s="208"/>
      <c r="AK16" s="208"/>
    </row>
    <row r="17">
      <c r="A17" s="216">
        <f>IFERROR(__xludf.DUMMYFUNCTION("""COMPUTED_VALUE"""),46185.0)</f>
        <v>46185</v>
      </c>
      <c r="B17" s="217">
        <f>IFERROR(__xludf.DUMMYFUNCTION("""COMPUTED_VALUE"""),0.5)</f>
        <v>0.5</v>
      </c>
      <c r="C17" s="211" t="str">
        <f>IFERROR(__xludf.DUMMYFUNCTION("""COMPUTED_VALUE"""),"Rcs")</f>
        <v>Rcs</v>
      </c>
      <c r="D17" s="211" t="str">
        <f>IFERROR(__xludf.DUMMYFUNCTION("""COMPUTED_VALUE"""),"Promotional")</f>
        <v>Promotional</v>
      </c>
      <c r="E17" s="211" t="str">
        <f>IFERROR(__xludf.DUMMYFUNCTION("""COMPUTED_VALUE"""),"CIS")</f>
        <v>CIS</v>
      </c>
      <c r="F17" s="211" t="str">
        <f>IFERROR(__xludf.DUMMYFUNCTION("""COMPUTED_VALUE"""),"CIS_Eoss")</f>
        <v>CIS_Eoss</v>
      </c>
      <c r="G17" s="211" t="str">
        <f>IFERROR(__xludf.DUMMYFUNCTION("""COMPUTED_VALUE"""),"CIS_EOSS_WAFALLBACK")</f>
        <v>CIS_EOSS_WAFALLBACK</v>
      </c>
      <c r="H17" s="212" t="str">
        <f>IFERROR(__xludf.DUMMYFUNCTION("""COMPUTED_VALUE"""),"CIS_Base_ONOff_Unique, LaSenza_Cust_Base_5thJune26, CIS_Add_DataBase")</f>
        <v>CIS_Base_ONOff_Unique, LaSenza_Cust_Base_5thJune26, CIS_Add_DataBase</v>
      </c>
      <c r="I17" s="212" t="str">
        <f>IFERROR(__xludf.DUMMYFUNCTION("""COMPUTED_VALUE"""),"WA Undelivered")</f>
        <v>WA Undelivered</v>
      </c>
      <c r="J17" s="213">
        <f>IFERROR(__xludf.DUMMYFUNCTION("""COMPUTED_VALUE"""),36246.0)</f>
        <v>36246</v>
      </c>
      <c r="K17" s="213">
        <f>IFERROR(__xludf.DUMMYFUNCTION("""COMPUTED_VALUE"""),4885.0)</f>
        <v>4885</v>
      </c>
      <c r="L17" s="214">
        <f>IFERROR(__xludf.DUMMYFUNCTION("""COMPUTED_VALUE"""),0.1348)</f>
        <v>0.1348</v>
      </c>
      <c r="M17" s="213">
        <f>IFERROR(__xludf.DUMMYFUNCTION("""COMPUTED_VALUE"""),986.0)</f>
        <v>986</v>
      </c>
      <c r="N17" s="214">
        <f>IFERROR(__xludf.DUMMYFUNCTION("""COMPUTED_VALUE"""),0.2018)</f>
        <v>0.2018</v>
      </c>
      <c r="O17" s="213">
        <f>IFERROR(__xludf.DUMMYFUNCTION("""COMPUTED_VALUE"""),12.0)</f>
        <v>12</v>
      </c>
      <c r="P17" s="213">
        <f>IFERROR(__xludf.DUMMYFUNCTION("""COMPUTED_VALUE"""),0.0)</f>
        <v>0</v>
      </c>
      <c r="Q17" s="214">
        <f>IFERROR(__xludf.DUMMYFUNCTION("""COMPUTED_VALUE"""),0.0027)</f>
        <v>0.0027</v>
      </c>
      <c r="R17" s="214">
        <f>IFERROR(__xludf.DUMMYFUNCTION("""COMPUTED_VALUE"""),0.0)</f>
        <v>0</v>
      </c>
      <c r="S17" s="101">
        <f>IFERROR(__xludf.DUMMYFUNCTION("""COMPUTED_VALUE"""),2.0)</f>
        <v>2</v>
      </c>
      <c r="T17" s="101">
        <f>IFERROR(__xludf.DUMMYFUNCTION("""COMPUTED_VALUE"""),0.0)</f>
        <v>0</v>
      </c>
      <c r="U17" s="213">
        <f>IFERROR(__xludf.DUMMYFUNCTION("""COMPUTED_VALUE"""),31895.0)</f>
        <v>31895</v>
      </c>
      <c r="V17" s="213" t="str">
        <f>IFERROR(__xludf.DUMMYFUNCTION("""COMPUTED_VALUE"""),"overall")</f>
        <v>overall</v>
      </c>
      <c r="W17" s="213" t="str">
        <f>IFERROR(__xludf.DUMMYFUNCTION("""COMPUTED_VALUE"""),"Rcs")</f>
        <v>Rcs</v>
      </c>
      <c r="X17" s="213" t="str">
        <f>IFERROR(__xludf.DUMMYFUNCTION("""COMPUTED_VALUE"""),"All User Base")</f>
        <v>All User Base</v>
      </c>
      <c r="Y17" s="213" t="str">
        <f>IFERROR(__xludf.DUMMYFUNCTION("""COMPUTED_VALUE"""),"12th-15th")</f>
        <v>12th-15th</v>
      </c>
      <c r="Z17" s="213" t="str">
        <f>IFERROR(__xludf.DUMMYFUNCTION("""COMPUTED_VALUE"""),"6a293122a6995d7c759ae38a")</f>
        <v>6a293122a6995d7c759ae38a</v>
      </c>
      <c r="AA17" s="213">
        <f>IFERROR(__xludf.DUMMYFUNCTION("""COMPUTED_VALUE"""),3.0)</f>
        <v>3</v>
      </c>
      <c r="AB17" s="213">
        <f>IFERROR(__xludf.DUMMYFUNCTION("""COMPUTED_VALUE"""),2.0)</f>
        <v>2</v>
      </c>
      <c r="AC17" s="213">
        <f>IFERROR(__xludf.DUMMYFUNCTION("""COMPUTED_VALUE"""),1.0)</f>
        <v>1</v>
      </c>
      <c r="AD17" s="213">
        <f>IFERROR(__xludf.DUMMYFUNCTION("""COMPUTED_VALUE"""),37885.0)</f>
        <v>37885</v>
      </c>
      <c r="AE17" s="213">
        <f>IFERROR(__xludf.DUMMYFUNCTION("""COMPUTED_VALUE"""),31895.0)</f>
        <v>31895</v>
      </c>
      <c r="AF17" s="213">
        <f>IFERROR(__xludf.DUMMYFUNCTION("""COMPUTED_VALUE"""),5990.0)</f>
        <v>5990</v>
      </c>
      <c r="AG17" s="208"/>
      <c r="AH17" s="208"/>
      <c r="AI17" s="208"/>
      <c r="AJ17" s="208"/>
      <c r="AK17" s="208"/>
    </row>
    <row r="18">
      <c r="A18" s="216">
        <f>IFERROR(__xludf.DUMMYFUNCTION("""COMPUTED_VALUE"""),46192.0)</f>
        <v>46192</v>
      </c>
      <c r="B18" s="217">
        <f>IFERROR(__xludf.DUMMYFUNCTION("""COMPUTED_VALUE"""),0.4166666666678793)</f>
        <v>0.4166666667</v>
      </c>
      <c r="C18" s="211" t="str">
        <f>IFERROR(__xludf.DUMMYFUNCTION("""COMPUTED_VALUE"""),"Whatsapp")</f>
        <v>Whatsapp</v>
      </c>
      <c r="D18" s="211" t="str">
        <f>IFERROR(__xludf.DUMMYFUNCTION("""COMPUTED_VALUE"""),"Promotional")</f>
        <v>Promotional</v>
      </c>
      <c r="E18" s="211" t="str">
        <f>IFERROR(__xludf.DUMMYFUNCTION("""COMPUTED_VALUE"""),"CIS")</f>
        <v>CIS</v>
      </c>
      <c r="F18" s="211" t="str">
        <f>IFERROR(__xludf.DUMMYFUNCTION("""COMPUTED_VALUE"""),"CIS_Footwear - FLAT 50 on Footwear")</f>
        <v>CIS_Footwear - FLAT 50 on Footwear</v>
      </c>
      <c r="G18" s="211" t="str">
        <f>IFERROR(__xludf.DUMMYFUNCTION("""COMPUTED_VALUE"""),"CIS_Footwear_50Off")</f>
        <v>CIS_Footwear_50Off</v>
      </c>
      <c r="H18" s="212" t="str">
        <f>IFERROR(__xludf.DUMMYFUNCTION("""COMPUTED_VALUE"""),"CIS_Base_ONOff_Unique, LaSenza_Cust_Base_5thJune26, CIS_Add_DataBase")</f>
        <v>CIS_Base_ONOff_Unique, LaSenza_Cust_Base_5thJune26, CIS_Add_DataBase</v>
      </c>
      <c r="I18" s="212" t="str">
        <f>IFERROR(__xludf.DUMMYFUNCTION("""COMPUTED_VALUE"""),"Customers who have purchased in the last 36 months with Brand_PM contains SP AND Exclude overlapping Base for ALDO and CIS Base")</f>
        <v>Customers who have purchased in the last 36 months with Brand_PM contains SP AND Exclude overlapping Base for ALDO and CIS Base</v>
      </c>
      <c r="J18" s="213">
        <f>IFERROR(__xludf.DUMMYFUNCTION("""COMPUTED_VALUE"""),49224.0)</f>
        <v>49224</v>
      </c>
      <c r="K18" s="213">
        <f>IFERROR(__xludf.DUMMYFUNCTION("""COMPUTED_VALUE"""),12727.0)</f>
        <v>12727</v>
      </c>
      <c r="L18" s="214">
        <f>IFERROR(__xludf.DUMMYFUNCTION("""COMPUTED_VALUE"""),0.2583)</f>
        <v>0.2583</v>
      </c>
      <c r="M18" s="213">
        <f>IFERROR(__xludf.DUMMYFUNCTION("""COMPUTED_VALUE"""),5097.0)</f>
        <v>5097</v>
      </c>
      <c r="N18" s="214">
        <f>IFERROR(__xludf.DUMMYFUNCTION("""COMPUTED_VALUE"""),0.3965)</f>
        <v>0.3965</v>
      </c>
      <c r="O18" s="213">
        <f>IFERROR(__xludf.DUMMYFUNCTION("""COMPUTED_VALUE"""),451.0)</f>
        <v>451</v>
      </c>
      <c r="P18" s="213">
        <f>IFERROR(__xludf.DUMMYFUNCTION("""COMPUTED_VALUE"""),427.0)</f>
        <v>427</v>
      </c>
      <c r="Q18" s="214">
        <f>IFERROR(__xludf.DUMMYFUNCTION("""COMPUTED_VALUE"""),0.0336)</f>
        <v>0.0336</v>
      </c>
      <c r="R18" s="214">
        <f>IFERROR(__xludf.DUMMYFUNCTION("""COMPUTED_VALUE"""),0.0847)</f>
        <v>0.0847</v>
      </c>
      <c r="S18" s="101">
        <f>IFERROR(__xludf.DUMMYFUNCTION("""COMPUTED_VALUE"""),5.0)</f>
        <v>5</v>
      </c>
      <c r="T18" s="101">
        <f>IFERROR(__xludf.DUMMYFUNCTION("""COMPUTED_VALUE"""),0.0)</f>
        <v>0</v>
      </c>
      <c r="U18" s="213">
        <f>IFERROR(__xludf.DUMMYFUNCTION("""COMPUTED_VALUE"""),0.0)</f>
        <v>0</v>
      </c>
      <c r="V18" s="213" t="str">
        <f>IFERROR(__xludf.DUMMYFUNCTION("""COMPUTED_VALUE"""),"overall")</f>
        <v>overall</v>
      </c>
      <c r="W18" s="213" t="str">
        <f>IFERROR(__xludf.DUMMYFUNCTION("""COMPUTED_VALUE"""),"simple")</f>
        <v>simple</v>
      </c>
      <c r="X18" s="213" t="str">
        <f>IFERROR(__xludf.DUMMYFUNCTION("""COMPUTED_VALUE"""),"All User Base")</f>
        <v>All User Base</v>
      </c>
      <c r="Y18" s="213" t="str">
        <f>IFERROR(__xludf.DUMMYFUNCTION("""COMPUTED_VALUE"""),"19 to 21st")</f>
        <v>19 to 21st</v>
      </c>
      <c r="Z18" s="213" t="str">
        <f>IFERROR(__xludf.DUMMYFUNCTION("""COMPUTED_VALUE"""),"6a328f3d1e2d3952aa703f55")</f>
        <v>6a328f3d1e2d3952aa703f55</v>
      </c>
      <c r="AA18" s="213">
        <f>IFERROR(__xludf.DUMMYFUNCTION("""COMPUTED_VALUE"""),6.0)</f>
        <v>6</v>
      </c>
      <c r="AB18" s="213">
        <f>IFERROR(__xludf.DUMMYFUNCTION("""COMPUTED_VALUE"""),2.0)</f>
        <v>2</v>
      </c>
      <c r="AC18" s="213">
        <f>IFERROR(__xludf.DUMMYFUNCTION("""COMPUTED_VALUE"""),4.0)</f>
        <v>4</v>
      </c>
      <c r="AD18" s="213">
        <f>IFERROR(__xludf.DUMMYFUNCTION("""COMPUTED_VALUE"""),38618.0)</f>
        <v>38618</v>
      </c>
      <c r="AE18" s="213">
        <f>IFERROR(__xludf.DUMMYFUNCTION("""COMPUTED_VALUE"""),6498.0)</f>
        <v>6498</v>
      </c>
      <c r="AF18" s="213">
        <f>IFERROR(__xludf.DUMMYFUNCTION("""COMPUTED_VALUE"""),32120.0)</f>
        <v>32120</v>
      </c>
      <c r="AG18" s="208"/>
      <c r="AH18" s="208"/>
      <c r="AI18" s="208"/>
      <c r="AJ18" s="208"/>
      <c r="AK18" s="208"/>
    </row>
    <row r="19">
      <c r="A19" s="216">
        <f>IFERROR(__xludf.DUMMYFUNCTION("""COMPUTED_VALUE"""),46192.0)</f>
        <v>46192</v>
      </c>
      <c r="B19" s="217">
        <f>IFERROR(__xludf.DUMMYFUNCTION("""COMPUTED_VALUE"""),0.7083333333321207)</f>
        <v>0.7083333333</v>
      </c>
      <c r="C19" s="211" t="str">
        <f>IFERROR(__xludf.DUMMYFUNCTION("""COMPUTED_VALUE"""),"Sms")</f>
        <v>Sms</v>
      </c>
      <c r="D19" s="211" t="str">
        <f>IFERROR(__xludf.DUMMYFUNCTION("""COMPUTED_VALUE"""),"Fallback campaign")</f>
        <v>Fallback campaign</v>
      </c>
      <c r="E19" s="211" t="str">
        <f>IFERROR(__xludf.DUMMYFUNCTION("""COMPUTED_VALUE"""),"CIS")</f>
        <v>CIS</v>
      </c>
      <c r="F19" s="211" t="str">
        <f>IFERROR(__xludf.DUMMYFUNCTION("""COMPUTED_VALUE"""),"CIS_Footwear - FLAT 50 on Footwear")</f>
        <v>CIS_Footwear - FLAT 50 on Footwear</v>
      </c>
      <c r="G19" s="211" t="str">
        <f>IFERROR(__xludf.DUMMYFUNCTION("""COMPUTED_VALUE"""),"CIS_Footwear50_RCSFallback")</f>
        <v>CIS_Footwear50_RCSFallback</v>
      </c>
      <c r="H19" s="212" t="str">
        <f>IFERROR(__xludf.DUMMYFUNCTION("""COMPUTED_VALUE"""),"CIS_Base_ONOff_Unique, LaSenza_Cust_Base_5thJune26, CIS_Add_DataBase")</f>
        <v>CIS_Base_ONOff_Unique, LaSenza_Cust_Base_5thJune26, CIS_Add_DataBase</v>
      </c>
      <c r="I19" s="212" t="str">
        <f>IFERROR(__xludf.DUMMYFUNCTION("""COMPUTED_VALUE"""),"RCS Undelivered")</f>
        <v>RCS Undelivered</v>
      </c>
      <c r="J19" s="213">
        <f>IFERROR(__xludf.DUMMYFUNCTION("""COMPUTED_VALUE"""),32914.0)</f>
        <v>32914</v>
      </c>
      <c r="K19" s="213">
        <f>IFERROR(__xludf.DUMMYFUNCTION("""COMPUTED_VALUE"""),15011.0)</f>
        <v>15011</v>
      </c>
      <c r="L19" s="214">
        <f>IFERROR(__xludf.DUMMYFUNCTION("""COMPUTED_VALUE"""),0.4561)</f>
        <v>0.4561</v>
      </c>
      <c r="M19" s="213">
        <f>IFERROR(__xludf.DUMMYFUNCTION("""COMPUTED_VALUE"""),0.0)</f>
        <v>0</v>
      </c>
      <c r="N19" s="214">
        <f>IFERROR(__xludf.DUMMYFUNCTION("""COMPUTED_VALUE"""),0.0)</f>
        <v>0</v>
      </c>
      <c r="O19" s="213">
        <f>IFERROR(__xludf.DUMMYFUNCTION("""COMPUTED_VALUE"""),16.0)</f>
        <v>16</v>
      </c>
      <c r="P19" s="213">
        <f>IFERROR(__xludf.DUMMYFUNCTION("""COMPUTED_VALUE"""),0.0)</f>
        <v>0</v>
      </c>
      <c r="Q19" s="214">
        <f>IFERROR(__xludf.DUMMYFUNCTION("""COMPUTED_VALUE"""),0.0011)</f>
        <v>0.0011</v>
      </c>
      <c r="R19" s="214">
        <f>IFERROR(__xludf.DUMMYFUNCTION("""COMPUTED_VALUE"""),0.0)</f>
        <v>0</v>
      </c>
      <c r="S19" s="101">
        <f>IFERROR(__xludf.DUMMYFUNCTION("""COMPUTED_VALUE"""),5.0)</f>
        <v>5</v>
      </c>
      <c r="T19" s="101">
        <f>IFERROR(__xludf.DUMMYFUNCTION("""COMPUTED_VALUE"""),0.0)</f>
        <v>0</v>
      </c>
      <c r="U19" s="213">
        <f>IFERROR(__xludf.DUMMYFUNCTION("""COMPUTED_VALUE"""),31195.0)</f>
        <v>31195</v>
      </c>
      <c r="V19" s="213" t="str">
        <f>IFERROR(__xludf.DUMMYFUNCTION("""COMPUTED_VALUE"""),"overall")</f>
        <v>overall</v>
      </c>
      <c r="W19" s="213" t="str">
        <f>IFERROR(__xludf.DUMMYFUNCTION("""COMPUTED_VALUE"""),"Sms")</f>
        <v>Sms</v>
      </c>
      <c r="X19" s="213" t="str">
        <f>IFERROR(__xludf.DUMMYFUNCTION("""COMPUTED_VALUE"""),"All User Base")</f>
        <v>All User Base</v>
      </c>
      <c r="Y19" s="213" t="str">
        <f>IFERROR(__xludf.DUMMYFUNCTION("""COMPUTED_VALUE"""),"19 to 21st")</f>
        <v>19 to 21st</v>
      </c>
      <c r="Z19" s="213" t="str">
        <f>IFERROR(__xludf.DUMMYFUNCTION("""COMPUTED_VALUE"""),"6a32906894907be417d7c785")</f>
        <v>6a32906894907be417d7c785</v>
      </c>
      <c r="AA19" s="213">
        <f>IFERROR(__xludf.DUMMYFUNCTION("""COMPUTED_VALUE"""),4.0)</f>
        <v>4</v>
      </c>
      <c r="AB19" s="213">
        <f>IFERROR(__xludf.DUMMYFUNCTION("""COMPUTED_VALUE"""),3.0)</f>
        <v>3</v>
      </c>
      <c r="AC19" s="213">
        <f>IFERROR(__xludf.DUMMYFUNCTION("""COMPUTED_VALUE"""),1.0)</f>
        <v>1</v>
      </c>
      <c r="AD19" s="213">
        <f>IFERROR(__xludf.DUMMYFUNCTION("""COMPUTED_VALUE"""),17737.0)</f>
        <v>17737</v>
      </c>
      <c r="AE19" s="213">
        <f>IFERROR(__xludf.DUMMYFUNCTION("""COMPUTED_VALUE"""),11747.0)</f>
        <v>11747</v>
      </c>
      <c r="AF19" s="213">
        <f>IFERROR(__xludf.DUMMYFUNCTION("""COMPUTED_VALUE"""),5990.0)</f>
        <v>5990</v>
      </c>
      <c r="AG19" s="208"/>
      <c r="AH19" s="208"/>
      <c r="AI19" s="208"/>
      <c r="AJ19" s="208"/>
      <c r="AK19" s="208"/>
    </row>
    <row r="20">
      <c r="A20" s="216">
        <f>IFERROR(__xludf.DUMMYFUNCTION("""COMPUTED_VALUE"""),46192.0)</f>
        <v>46192</v>
      </c>
      <c r="B20" s="217">
        <f>IFERROR(__xludf.DUMMYFUNCTION("""COMPUTED_VALUE"""),0.5)</f>
        <v>0.5</v>
      </c>
      <c r="C20" s="211" t="str">
        <f>IFERROR(__xludf.DUMMYFUNCTION("""COMPUTED_VALUE"""),"Rcs")</f>
        <v>Rcs</v>
      </c>
      <c r="D20" s="211" t="str">
        <f>IFERROR(__xludf.DUMMYFUNCTION("""COMPUTED_VALUE"""),"Fallback campaign")</f>
        <v>Fallback campaign</v>
      </c>
      <c r="E20" s="211" t="str">
        <f>IFERROR(__xludf.DUMMYFUNCTION("""COMPUTED_VALUE"""),"CIS")</f>
        <v>CIS</v>
      </c>
      <c r="F20" s="211" t="str">
        <f>IFERROR(__xludf.DUMMYFUNCTION("""COMPUTED_VALUE"""),"CIS_Footwear - FLAT 50 on Footwear")</f>
        <v>CIS_Footwear - FLAT 50 on Footwear</v>
      </c>
      <c r="G20" s="211" t="str">
        <f>IFERROR(__xludf.DUMMYFUNCTION("""COMPUTED_VALUE"""),"CIS_Footwear_WAFallback")</f>
        <v>CIS_Footwear_WAFallback</v>
      </c>
      <c r="H20" s="212" t="str">
        <f>IFERROR(__xludf.DUMMYFUNCTION("""COMPUTED_VALUE"""),"CIS_Base_ONOff_Unique, LaSenza_Cust_Base_5thJune26, CIS_Add_DataBase")</f>
        <v>CIS_Base_ONOff_Unique, LaSenza_Cust_Base_5thJune26, CIS_Add_DataBase</v>
      </c>
      <c r="I20" s="212" t="str">
        <f>IFERROR(__xludf.DUMMYFUNCTION("""COMPUTED_VALUE"""),"WA Undelivered")</f>
        <v>WA Undelivered</v>
      </c>
      <c r="J20" s="213">
        <f>IFERROR(__xludf.DUMMYFUNCTION("""COMPUTED_VALUE"""),35418.0)</f>
        <v>35418</v>
      </c>
      <c r="K20" s="213">
        <f>IFERROR(__xludf.DUMMYFUNCTION("""COMPUTED_VALUE"""),2443.0)</f>
        <v>2443</v>
      </c>
      <c r="L20" s="214">
        <f>IFERROR(__xludf.DUMMYFUNCTION("""COMPUTED_VALUE"""),0.069)</f>
        <v>0.069</v>
      </c>
      <c r="M20" s="213">
        <f>IFERROR(__xludf.DUMMYFUNCTION("""COMPUTED_VALUE"""),502.0)</f>
        <v>502</v>
      </c>
      <c r="N20" s="214">
        <f>IFERROR(__xludf.DUMMYFUNCTION("""COMPUTED_VALUE"""),0.2096)</f>
        <v>0.2096</v>
      </c>
      <c r="O20" s="213">
        <f>IFERROR(__xludf.DUMMYFUNCTION("""COMPUTED_VALUE"""),7.0)</f>
        <v>7</v>
      </c>
      <c r="P20" s="213">
        <f>IFERROR(__xludf.DUMMYFUNCTION("""COMPUTED_VALUE"""),0.0)</f>
        <v>0</v>
      </c>
      <c r="Q20" s="214">
        <f>IFERROR(__xludf.DUMMYFUNCTION("""COMPUTED_VALUE"""),0.0029)</f>
        <v>0.0029</v>
      </c>
      <c r="R20" s="214">
        <f>IFERROR(__xludf.DUMMYFUNCTION("""COMPUTED_VALUE"""),0.0)</f>
        <v>0</v>
      </c>
      <c r="S20" s="101">
        <f>IFERROR(__xludf.DUMMYFUNCTION("""COMPUTED_VALUE"""),0.0)</f>
        <v>0</v>
      </c>
      <c r="T20" s="101">
        <f>IFERROR(__xludf.DUMMYFUNCTION("""COMPUTED_VALUE"""),0.0)</f>
        <v>0</v>
      </c>
      <c r="U20" s="213">
        <f>IFERROR(__xludf.DUMMYFUNCTION("""COMPUTED_VALUE"""),0.0)</f>
        <v>0</v>
      </c>
      <c r="V20" s="213" t="str">
        <f>IFERROR(__xludf.DUMMYFUNCTION("""COMPUTED_VALUE"""),"overall")</f>
        <v>overall</v>
      </c>
      <c r="W20" s="213" t="str">
        <f>IFERROR(__xludf.DUMMYFUNCTION("""COMPUTED_VALUE"""),"Rcs")</f>
        <v>Rcs</v>
      </c>
      <c r="X20" s="213" t="str">
        <f>IFERROR(__xludf.DUMMYFUNCTION("""COMPUTED_VALUE"""),"All User Base")</f>
        <v>All User Base</v>
      </c>
      <c r="Y20" s="213" t="str">
        <f>IFERROR(__xludf.DUMMYFUNCTION("""COMPUTED_VALUE"""),"19 to 21st")</f>
        <v>19 to 21st</v>
      </c>
      <c r="Z20" s="213" t="str">
        <f>IFERROR(__xludf.DUMMYFUNCTION("""COMPUTED_VALUE"""),"6a328fb676efad947f34f40f")</f>
        <v>6a328fb676efad947f34f40f</v>
      </c>
      <c r="AA20" s="213">
        <f>IFERROR(__xludf.DUMMYFUNCTION("""COMPUTED_VALUE"""),0.0)</f>
        <v>0</v>
      </c>
      <c r="AB20" s="213">
        <f>IFERROR(__xludf.DUMMYFUNCTION("""COMPUTED_VALUE"""),0.0)</f>
        <v>0</v>
      </c>
      <c r="AC20" s="213">
        <f>IFERROR(__xludf.DUMMYFUNCTION("""COMPUTED_VALUE"""),0.0)</f>
        <v>0</v>
      </c>
      <c r="AD20" s="213">
        <f>IFERROR(__xludf.DUMMYFUNCTION("""COMPUTED_VALUE"""),0.0)</f>
        <v>0</v>
      </c>
      <c r="AE20" s="213">
        <f>IFERROR(__xludf.DUMMYFUNCTION("""COMPUTED_VALUE"""),0.0)</f>
        <v>0</v>
      </c>
      <c r="AF20" s="213">
        <f>IFERROR(__xludf.DUMMYFUNCTION("""COMPUTED_VALUE"""),0.0)</f>
        <v>0</v>
      </c>
      <c r="AG20" s="208"/>
      <c r="AH20" s="208"/>
      <c r="AI20" s="208"/>
      <c r="AJ20" s="208"/>
      <c r="AK20" s="208"/>
    </row>
    <row r="21">
      <c r="A21" s="216">
        <f>IFERROR(__xludf.DUMMYFUNCTION("""COMPUTED_VALUE"""),46179.0)</f>
        <v>46179</v>
      </c>
      <c r="B21" s="217">
        <f>IFERROR(__xludf.DUMMYFUNCTION("""COMPUTED_VALUE"""),0.7083333333321207)</f>
        <v>0.7083333333</v>
      </c>
      <c r="C21" s="211" t="str">
        <f>IFERROR(__xludf.DUMMYFUNCTION("""COMPUTED_VALUE"""),"Sms")</f>
        <v>Sms</v>
      </c>
      <c r="D21" s="211" t="str">
        <f>IFERROR(__xludf.DUMMYFUNCTION("""COMPUTED_VALUE"""),"Fallback campaign")</f>
        <v>Fallback campaign</v>
      </c>
      <c r="E21" s="211" t="str">
        <f>IFERROR(__xludf.DUMMYFUNCTION("""COMPUTED_VALUE"""),"CIS")</f>
        <v>CIS</v>
      </c>
      <c r="F21" s="211" t="str">
        <f>IFERROR(__xludf.DUMMYFUNCTION("""COMPUTED_VALUE"""),"CIS_June_Sale - 40% to 60%")</f>
        <v>CIS_June_Sale - 40% to 60%</v>
      </c>
      <c r="G21" s="211" t="str">
        <f>IFERROR(__xludf.DUMMYFUNCTION("""COMPUTED_VALUE"""),"CIS_EOSS")</f>
        <v>CIS_EOSS</v>
      </c>
      <c r="H21" s="212" t="str">
        <f>IFERROR(__xludf.DUMMYFUNCTION("""COMPUTED_VALUE"""),"CIS_Base_ONOff_Unique, LaSenza_Cust_Base_5thJune26, CIS_Add_DataBase")</f>
        <v>CIS_Base_ONOff_Unique, LaSenza_Cust_Base_5thJune26, CIS_Add_DataBase</v>
      </c>
      <c r="I21" s="212" t="str">
        <f>IFERROR(__xludf.DUMMYFUNCTION("""COMPUTED_VALUE"""),"RCS Undelivered")</f>
        <v>RCS Undelivered</v>
      </c>
      <c r="J21" s="213">
        <f>IFERROR(__xludf.DUMMYFUNCTION("""COMPUTED_VALUE"""),30579.0)</f>
        <v>30579</v>
      </c>
      <c r="K21" s="213">
        <f>IFERROR(__xludf.DUMMYFUNCTION("""COMPUTED_VALUE"""),0.0)</f>
        <v>0</v>
      </c>
      <c r="L21" s="214">
        <f>IFERROR(__xludf.DUMMYFUNCTION("""COMPUTED_VALUE"""),0.0)</f>
        <v>0</v>
      </c>
      <c r="M21" s="213">
        <f>IFERROR(__xludf.DUMMYFUNCTION("""COMPUTED_VALUE"""),0.0)</f>
        <v>0</v>
      </c>
      <c r="N21" s="214">
        <f>IFERROR(__xludf.DUMMYFUNCTION("""COMPUTED_VALUE"""),0.0)</f>
        <v>0</v>
      </c>
      <c r="O21" s="213">
        <f>IFERROR(__xludf.DUMMYFUNCTION("""COMPUTED_VALUE"""),1.0)</f>
        <v>1</v>
      </c>
      <c r="P21" s="213">
        <f>IFERROR(__xludf.DUMMYFUNCTION("""COMPUTED_VALUE"""),0.0)</f>
        <v>0</v>
      </c>
      <c r="Q21" s="214">
        <f>IFERROR(__xludf.DUMMYFUNCTION("""COMPUTED_VALUE"""),0.0)</f>
        <v>0</v>
      </c>
      <c r="R21" s="214">
        <f>IFERROR(__xludf.DUMMYFUNCTION("""COMPUTED_VALUE"""),0.0)</f>
        <v>0</v>
      </c>
      <c r="S21" s="101">
        <f>IFERROR(__xludf.DUMMYFUNCTION("""COMPUTED_VALUE"""),0.0)</f>
        <v>0</v>
      </c>
      <c r="T21" s="101">
        <f>IFERROR(__xludf.DUMMYFUNCTION("""COMPUTED_VALUE"""),0.0)</f>
        <v>0</v>
      </c>
      <c r="U21" s="213">
        <f>IFERROR(__xludf.DUMMYFUNCTION("""COMPUTED_VALUE"""),0.0)</f>
        <v>0</v>
      </c>
      <c r="V21" s="213" t="str">
        <f>IFERROR(__xludf.DUMMYFUNCTION("""COMPUTED_VALUE"""),"overall")</f>
        <v>overall</v>
      </c>
      <c r="W21" s="213" t="str">
        <f>IFERROR(__xludf.DUMMYFUNCTION("""COMPUTED_VALUE"""),"Sms")</f>
        <v>Sms</v>
      </c>
      <c r="X21" s="213" t="str">
        <f>IFERROR(__xludf.DUMMYFUNCTION("""COMPUTED_VALUE"""),"All User Base")</f>
        <v>All User Base</v>
      </c>
      <c r="Y21" s="213" t="str">
        <f>IFERROR(__xludf.DUMMYFUNCTION("""COMPUTED_VALUE"""),"06th-9th")</f>
        <v>06th-9th</v>
      </c>
      <c r="Z21" s="213" t="str">
        <f>IFERROR(__xludf.DUMMYFUNCTION("""COMPUTED_VALUE"""),"6a229344edc4a39d4213313b")</f>
        <v>6a229344edc4a39d4213313b</v>
      </c>
      <c r="AA21" s="213">
        <f>IFERROR(__xludf.DUMMYFUNCTION("""COMPUTED_VALUE"""),0.0)</f>
        <v>0</v>
      </c>
      <c r="AB21" s="213">
        <f>IFERROR(__xludf.DUMMYFUNCTION("""COMPUTED_VALUE"""),0.0)</f>
        <v>0</v>
      </c>
      <c r="AC21" s="213">
        <f>IFERROR(__xludf.DUMMYFUNCTION("""COMPUTED_VALUE"""),0.0)</f>
        <v>0</v>
      </c>
      <c r="AD21" s="213">
        <f>IFERROR(__xludf.DUMMYFUNCTION("""COMPUTED_VALUE"""),0.0)</f>
        <v>0</v>
      </c>
      <c r="AE21" s="213">
        <f>IFERROR(__xludf.DUMMYFUNCTION("""COMPUTED_VALUE"""),0.0)</f>
        <v>0</v>
      </c>
      <c r="AF21" s="213">
        <f>IFERROR(__xludf.DUMMYFUNCTION("""COMPUTED_VALUE"""),0.0)</f>
        <v>0</v>
      </c>
      <c r="AG21" s="208"/>
      <c r="AH21" s="208"/>
      <c r="AI21" s="208"/>
      <c r="AJ21" s="208"/>
      <c r="AK21" s="208"/>
    </row>
    <row r="22">
      <c r="A22" s="216">
        <f>IFERROR(__xludf.DUMMYFUNCTION("""COMPUTED_VALUE"""),46199.0)</f>
        <v>46199</v>
      </c>
      <c r="B22" s="217">
        <f>IFERROR(__xludf.DUMMYFUNCTION("""COMPUTED_VALUE"""),0.4166666666678793)</f>
        <v>0.4166666667</v>
      </c>
      <c r="C22" s="211" t="str">
        <f>IFERROR(__xludf.DUMMYFUNCTION("""COMPUTED_VALUE"""),"Whatsapp")</f>
        <v>Whatsapp</v>
      </c>
      <c r="D22" s="211" t="str">
        <f>IFERROR(__xludf.DUMMYFUNCTION("""COMPUTED_VALUE"""),"Promotional")</f>
        <v>Promotional</v>
      </c>
      <c r="E22" s="211" t="str">
        <f>IFERROR(__xludf.DUMMYFUNCTION("""COMPUTED_VALUE"""),"CIS")</f>
        <v>CIS</v>
      </c>
      <c r="F22" s="211" t="str">
        <f>IFERROR(__xludf.DUMMYFUNCTION("""COMPUTED_VALUE"""),"CIS_50 - Flat 50")</f>
        <v>CIS_50 - Flat 50</v>
      </c>
      <c r="G22" s="211" t="str">
        <f>IFERROR(__xludf.DUMMYFUNCTION("""COMPUTED_VALUE"""),"CIS_50_June_WA V1")</f>
        <v>CIS_50_June_WA V1</v>
      </c>
      <c r="H22" s="212" t="str">
        <f>IFERROR(__xludf.DUMMYFUNCTION("""COMPUTED_VALUE"""),"CIS_Base_ONOff_Unique, LaSenza_Cust_Base_5thJune26, CIS_Add_DataBase")</f>
        <v>CIS_Base_ONOff_Unique, LaSenza_Cust_Base_5thJune26, CIS_Add_DataBase</v>
      </c>
      <c r="I22" s="212" t="str">
        <f>IFERROR(__xludf.DUMMYFUNCTION("""COMPUTED_VALUE"""),"Customers who have purchased in the last 36 months with Brand_PM contains SP AND Exclude overlapping Base for ALDO and CIS Base")</f>
        <v>Customers who have purchased in the last 36 months with Brand_PM contains SP AND Exclude overlapping Base for ALDO and CIS Base</v>
      </c>
      <c r="J22" s="213">
        <f>IFERROR(__xludf.DUMMYFUNCTION("""COMPUTED_VALUE"""),49256.0)</f>
        <v>49256</v>
      </c>
      <c r="K22" s="213">
        <f>IFERROR(__xludf.DUMMYFUNCTION("""COMPUTED_VALUE"""),11932.0)</f>
        <v>11932</v>
      </c>
      <c r="L22" s="214">
        <f>IFERROR(__xludf.DUMMYFUNCTION("""COMPUTED_VALUE"""),0.2418)</f>
        <v>0.2418</v>
      </c>
      <c r="M22" s="213">
        <f>IFERROR(__xludf.DUMMYFUNCTION("""COMPUTED_VALUE"""),4530.0)</f>
        <v>4530</v>
      </c>
      <c r="N22" s="214">
        <f>IFERROR(__xludf.DUMMYFUNCTION("""COMPUTED_VALUE"""),0.373)</f>
        <v>0.373</v>
      </c>
      <c r="O22" s="213">
        <f>IFERROR(__xludf.DUMMYFUNCTION("""COMPUTED_VALUE"""),365.0)</f>
        <v>365</v>
      </c>
      <c r="P22" s="213">
        <f>IFERROR(__xludf.DUMMYFUNCTION("""COMPUTED_VALUE"""),348.0)</f>
        <v>348</v>
      </c>
      <c r="Q22" s="214">
        <f>IFERROR(__xludf.DUMMYFUNCTION("""COMPUTED_VALUE"""),0.0292)</f>
        <v>0.0292</v>
      </c>
      <c r="R22" s="214">
        <f>IFERROR(__xludf.DUMMYFUNCTION("""COMPUTED_VALUE"""),0.0783)</f>
        <v>0.0783</v>
      </c>
      <c r="S22" s="101">
        <f>IFERROR(__xludf.DUMMYFUNCTION("""COMPUTED_VALUE"""),1.0)</f>
        <v>1</v>
      </c>
      <c r="T22" s="101">
        <f>IFERROR(__xludf.DUMMYFUNCTION("""COMPUTED_VALUE"""),0.0)</f>
        <v>0</v>
      </c>
      <c r="U22" s="213">
        <f>IFERROR(__xludf.DUMMYFUNCTION("""COMPUTED_VALUE"""),2749.0)</f>
        <v>2749</v>
      </c>
      <c r="V22" s="213" t="str">
        <f>IFERROR(__xludf.DUMMYFUNCTION("""COMPUTED_VALUE"""),"overall")</f>
        <v>overall</v>
      </c>
      <c r="W22" s="213" t="str">
        <f>IFERROR(__xludf.DUMMYFUNCTION("""COMPUTED_VALUE"""),"simple")</f>
        <v>simple</v>
      </c>
      <c r="X22" s="213" t="str">
        <f>IFERROR(__xludf.DUMMYFUNCTION("""COMPUTED_VALUE"""),"All User Base")</f>
        <v>All User Base</v>
      </c>
      <c r="Y22" s="213" t="str">
        <f>IFERROR(__xludf.DUMMYFUNCTION("""COMPUTED_VALUE"""),"26th - 28th June")</f>
        <v>26th - 28th June</v>
      </c>
      <c r="Z22" s="213" t="str">
        <f>IFERROR(__xludf.DUMMYFUNCTION("""COMPUTED_VALUE"""),"6a3d0241946680d2fffb832d")</f>
        <v>6a3d0241946680d2fffb832d</v>
      </c>
      <c r="AA22" s="213">
        <f>IFERROR(__xludf.DUMMYFUNCTION("""COMPUTED_VALUE"""),1.0)</f>
        <v>1</v>
      </c>
      <c r="AB22" s="213">
        <f>IFERROR(__xludf.DUMMYFUNCTION("""COMPUTED_VALUE"""),1.0)</f>
        <v>1</v>
      </c>
      <c r="AC22" s="213">
        <f>IFERROR(__xludf.DUMMYFUNCTION("""COMPUTED_VALUE"""),0.0)</f>
        <v>0</v>
      </c>
      <c r="AD22" s="213">
        <f>IFERROR(__xludf.DUMMYFUNCTION("""COMPUTED_VALUE"""),2749.0)</f>
        <v>2749</v>
      </c>
      <c r="AE22" s="213">
        <f>IFERROR(__xludf.DUMMYFUNCTION("""COMPUTED_VALUE"""),2749.0)</f>
        <v>2749</v>
      </c>
      <c r="AF22" s="213">
        <f>IFERROR(__xludf.DUMMYFUNCTION("""COMPUTED_VALUE"""),0.0)</f>
        <v>0</v>
      </c>
      <c r="AG22" s="208"/>
      <c r="AH22" s="208"/>
      <c r="AI22" s="208"/>
      <c r="AJ22" s="208"/>
      <c r="AK22" s="208"/>
    </row>
    <row r="23">
      <c r="A23" s="216">
        <f>IFERROR(__xludf.DUMMYFUNCTION("""COMPUTED_VALUE"""),46199.0)</f>
        <v>46199</v>
      </c>
      <c r="B23" s="217">
        <f>IFERROR(__xludf.DUMMYFUNCTION("""COMPUTED_VALUE"""),0.7083333333321207)</f>
        <v>0.7083333333</v>
      </c>
      <c r="C23" s="211" t="str">
        <f>IFERROR(__xludf.DUMMYFUNCTION("""COMPUTED_VALUE"""),"Sms")</f>
        <v>Sms</v>
      </c>
      <c r="D23" s="211" t="str">
        <f>IFERROR(__xludf.DUMMYFUNCTION("""COMPUTED_VALUE"""),"Fallback campaign")</f>
        <v>Fallback campaign</v>
      </c>
      <c r="E23" s="211" t="str">
        <f>IFERROR(__xludf.DUMMYFUNCTION("""COMPUTED_VALUE"""),"CIS")</f>
        <v>CIS</v>
      </c>
      <c r="F23" s="211" t="str">
        <f>IFERROR(__xludf.DUMMYFUNCTION("""COMPUTED_VALUE"""),"CIS_50_EOSS - FLAT 50")</f>
        <v>CIS_50_EOSS - FLAT 50</v>
      </c>
      <c r="G23" s="211" t="str">
        <f>IFERROR(__xludf.DUMMYFUNCTION("""COMPUTED_VALUE"""),"CIS_Flat50_RCSFallback V1")</f>
        <v>CIS_Flat50_RCSFallback V1</v>
      </c>
      <c r="H23" s="212" t="str">
        <f>IFERROR(__xludf.DUMMYFUNCTION("""COMPUTED_VALUE"""),"CIS_Base_ONOff_Unique, LaSenza_Cust_Base_5thJune26, CIS_Add_DataBase")</f>
        <v>CIS_Base_ONOff_Unique, LaSenza_Cust_Base_5thJune26, CIS_Add_DataBase</v>
      </c>
      <c r="I23" s="212" t="str">
        <f>IFERROR(__xludf.DUMMYFUNCTION("""COMPUTED_VALUE"""),"RCS Undelivered")</f>
        <v>RCS Undelivered</v>
      </c>
      <c r="J23" s="213">
        <f>IFERROR(__xludf.DUMMYFUNCTION("""COMPUTED_VALUE"""),34787.0)</f>
        <v>34787</v>
      </c>
      <c r="K23" s="213">
        <f>IFERROR(__xludf.DUMMYFUNCTION("""COMPUTED_VALUE"""),16021.0)</f>
        <v>16021</v>
      </c>
      <c r="L23" s="214">
        <f>IFERROR(__xludf.DUMMYFUNCTION("""COMPUTED_VALUE"""),0.4605)</f>
        <v>0.4605</v>
      </c>
      <c r="M23" s="213">
        <f>IFERROR(__xludf.DUMMYFUNCTION("""COMPUTED_VALUE"""),0.0)</f>
        <v>0</v>
      </c>
      <c r="N23" s="214">
        <f>IFERROR(__xludf.DUMMYFUNCTION("""COMPUTED_VALUE"""),0.0)</f>
        <v>0</v>
      </c>
      <c r="O23" s="213">
        <f>IFERROR(__xludf.DUMMYFUNCTION("""COMPUTED_VALUE"""),15.0)</f>
        <v>15</v>
      </c>
      <c r="P23" s="213">
        <f>IFERROR(__xludf.DUMMYFUNCTION("""COMPUTED_VALUE"""),0.0)</f>
        <v>0</v>
      </c>
      <c r="Q23" s="214">
        <f>IFERROR(__xludf.DUMMYFUNCTION("""COMPUTED_VALUE"""),9.0E-4)</f>
        <v>0.0009</v>
      </c>
      <c r="R23" s="214">
        <f>IFERROR(__xludf.DUMMYFUNCTION("""COMPUTED_VALUE"""),0.0)</f>
        <v>0</v>
      </c>
      <c r="S23" s="101">
        <f>IFERROR(__xludf.DUMMYFUNCTION("""COMPUTED_VALUE"""),2.0)</f>
        <v>2</v>
      </c>
      <c r="T23" s="101">
        <f>IFERROR(__xludf.DUMMYFUNCTION("""COMPUTED_VALUE"""),0.0)</f>
        <v>0</v>
      </c>
      <c r="U23" s="213">
        <f>IFERROR(__xludf.DUMMYFUNCTION("""COMPUTED_VALUE"""),21298.0)</f>
        <v>21298</v>
      </c>
      <c r="V23" s="213" t="str">
        <f>IFERROR(__xludf.DUMMYFUNCTION("""COMPUTED_VALUE"""),"overall")</f>
        <v>overall</v>
      </c>
      <c r="W23" s="213" t="str">
        <f>IFERROR(__xludf.DUMMYFUNCTION("""COMPUTED_VALUE"""),"Sms")</f>
        <v>Sms</v>
      </c>
      <c r="X23" s="213" t="str">
        <f>IFERROR(__xludf.DUMMYFUNCTION("""COMPUTED_VALUE"""),"All User Base")</f>
        <v>All User Base</v>
      </c>
      <c r="Y23" s="213" t="str">
        <f>IFERROR(__xludf.DUMMYFUNCTION("""COMPUTED_VALUE"""),"26th - 28th June")</f>
        <v>26th - 28th June</v>
      </c>
      <c r="Z23" s="213" t="str">
        <f>IFERROR(__xludf.DUMMYFUNCTION("""COMPUTED_VALUE"""),"6a3d096fd59ad978452fb377")</f>
        <v>6a3d096fd59ad978452fb377</v>
      </c>
      <c r="AA23" s="213">
        <f>IFERROR(__xludf.DUMMYFUNCTION("""COMPUTED_VALUE"""),2.0)</f>
        <v>2</v>
      </c>
      <c r="AB23" s="213">
        <f>IFERROR(__xludf.DUMMYFUNCTION("""COMPUTED_VALUE"""),2.0)</f>
        <v>2</v>
      </c>
      <c r="AC23" s="213">
        <f>IFERROR(__xludf.DUMMYFUNCTION("""COMPUTED_VALUE"""),0.0)</f>
        <v>0</v>
      </c>
      <c r="AD23" s="213">
        <f>IFERROR(__xludf.DUMMYFUNCTION("""COMPUTED_VALUE"""),7998.0)</f>
        <v>7998</v>
      </c>
      <c r="AE23" s="213">
        <f>IFERROR(__xludf.DUMMYFUNCTION("""COMPUTED_VALUE"""),7998.0)</f>
        <v>7998</v>
      </c>
      <c r="AF23" s="213">
        <f>IFERROR(__xludf.DUMMYFUNCTION("""COMPUTED_VALUE"""),0.0)</f>
        <v>0</v>
      </c>
      <c r="AG23" s="208"/>
      <c r="AH23" s="208"/>
      <c r="AI23" s="208"/>
      <c r="AJ23" s="208"/>
      <c r="AK23" s="208"/>
    </row>
    <row r="24">
      <c r="A24" s="216">
        <f>IFERROR(__xludf.DUMMYFUNCTION("""COMPUTED_VALUE"""),46199.0)</f>
        <v>46199</v>
      </c>
      <c r="B24" s="217">
        <f>IFERROR(__xludf.DUMMYFUNCTION("""COMPUTED_VALUE"""),0.5)</f>
        <v>0.5</v>
      </c>
      <c r="C24" s="211" t="str">
        <f>IFERROR(__xludf.DUMMYFUNCTION("""COMPUTED_VALUE"""),"Rcs")</f>
        <v>Rcs</v>
      </c>
      <c r="D24" s="211" t="str">
        <f>IFERROR(__xludf.DUMMYFUNCTION("""COMPUTED_VALUE"""),"Fallback campaign")</f>
        <v>Fallback campaign</v>
      </c>
      <c r="E24" s="211" t="str">
        <f>IFERROR(__xludf.DUMMYFUNCTION("""COMPUTED_VALUE"""),"CIS")</f>
        <v>CIS</v>
      </c>
      <c r="F24" s="211" t="str">
        <f>IFERROR(__xludf.DUMMYFUNCTION("""COMPUTED_VALUE"""),"CIS_50_June - Flat 59")</f>
        <v>CIS_50_June - Flat 59</v>
      </c>
      <c r="G24" s="211" t="str">
        <f>IFERROR(__xludf.DUMMYFUNCTION("""COMPUTED_VALUE"""),"CIS_50_WAFALLBACK V1")</f>
        <v>CIS_50_WAFALLBACK V1</v>
      </c>
      <c r="H24" s="212" t="str">
        <f>IFERROR(__xludf.DUMMYFUNCTION("""COMPUTED_VALUE"""),"CIS_Base_ONOff_Unique, LaSenza_Cust_Base_5thJune26, CIS_Add_DataBase")</f>
        <v>CIS_Base_ONOff_Unique, LaSenza_Cust_Base_5thJune26, CIS_Add_DataBase</v>
      </c>
      <c r="I24" s="212" t="str">
        <f>IFERROR(__xludf.DUMMYFUNCTION("""COMPUTED_VALUE"""),"WA Undelivered")</f>
        <v>WA Undelivered</v>
      </c>
      <c r="J24" s="213">
        <f>IFERROR(__xludf.DUMMYFUNCTION("""COMPUTED_VALUE"""),36597.0)</f>
        <v>36597</v>
      </c>
      <c r="K24" s="213">
        <f>IFERROR(__xludf.DUMMYFUNCTION("""COMPUTED_VALUE"""),1830.0)</f>
        <v>1830</v>
      </c>
      <c r="L24" s="214">
        <f>IFERROR(__xludf.DUMMYFUNCTION("""COMPUTED_VALUE"""),0.05)</f>
        <v>0.05</v>
      </c>
      <c r="M24" s="213">
        <f>IFERROR(__xludf.DUMMYFUNCTION("""COMPUTED_VALUE"""),365.0)</f>
        <v>365</v>
      </c>
      <c r="N24" s="214">
        <f>IFERROR(__xludf.DUMMYFUNCTION("""COMPUTED_VALUE"""),0.2005)</f>
        <v>0.2005</v>
      </c>
      <c r="O24" s="213">
        <f>IFERROR(__xludf.DUMMYFUNCTION("""COMPUTED_VALUE"""),10.0)</f>
        <v>10</v>
      </c>
      <c r="P24" s="213">
        <f>IFERROR(__xludf.DUMMYFUNCTION("""COMPUTED_VALUE"""),0.0)</f>
        <v>0</v>
      </c>
      <c r="Q24" s="214">
        <f>IFERROR(__xludf.DUMMYFUNCTION("""COMPUTED_VALUE"""),0.0055)</f>
        <v>0.0055</v>
      </c>
      <c r="R24" s="214">
        <f>IFERROR(__xludf.DUMMYFUNCTION("""COMPUTED_VALUE"""),0.0)</f>
        <v>0</v>
      </c>
      <c r="S24" s="101">
        <f>IFERROR(__xludf.DUMMYFUNCTION("""COMPUTED_VALUE"""),0.0)</f>
        <v>0</v>
      </c>
      <c r="T24" s="101">
        <f>IFERROR(__xludf.DUMMYFUNCTION("""COMPUTED_VALUE"""),0.0)</f>
        <v>0</v>
      </c>
      <c r="U24" s="213">
        <f>IFERROR(__xludf.DUMMYFUNCTION("""COMPUTED_VALUE"""),0.0)</f>
        <v>0</v>
      </c>
      <c r="V24" s="213" t="str">
        <f>IFERROR(__xludf.DUMMYFUNCTION("""COMPUTED_VALUE"""),"overall")</f>
        <v>overall</v>
      </c>
      <c r="W24" s="213" t="str">
        <f>IFERROR(__xludf.DUMMYFUNCTION("""COMPUTED_VALUE"""),"Rcs")</f>
        <v>Rcs</v>
      </c>
      <c r="X24" s="213" t="str">
        <f>IFERROR(__xludf.DUMMYFUNCTION("""COMPUTED_VALUE"""),"All User Base")</f>
        <v>All User Base</v>
      </c>
      <c r="Y24" s="213" t="str">
        <f>IFERROR(__xludf.DUMMYFUNCTION("""COMPUTED_VALUE"""),"26th - 28th June")</f>
        <v>26th - 28th June</v>
      </c>
      <c r="Z24" s="213" t="str">
        <f>IFERROR(__xludf.DUMMYFUNCTION("""COMPUTED_VALUE"""),"6a3d03d87a8fcae229a4e2d5")</f>
        <v>6a3d03d87a8fcae229a4e2d5</v>
      </c>
      <c r="AA24" s="213">
        <f>IFERROR(__xludf.DUMMYFUNCTION("""COMPUTED_VALUE"""),0.0)</f>
        <v>0</v>
      </c>
      <c r="AB24" s="213">
        <f>IFERROR(__xludf.DUMMYFUNCTION("""COMPUTED_VALUE"""),0.0)</f>
        <v>0</v>
      </c>
      <c r="AC24" s="213">
        <f>IFERROR(__xludf.DUMMYFUNCTION("""COMPUTED_VALUE"""),0.0)</f>
        <v>0</v>
      </c>
      <c r="AD24" s="213">
        <f>IFERROR(__xludf.DUMMYFUNCTION("""COMPUTED_VALUE"""),0.0)</f>
        <v>0</v>
      </c>
      <c r="AE24" s="213">
        <f>IFERROR(__xludf.DUMMYFUNCTION("""COMPUTED_VALUE"""),0.0)</f>
        <v>0</v>
      </c>
      <c r="AF24" s="213">
        <f>IFERROR(__xludf.DUMMYFUNCTION("""COMPUTED_VALUE"""),0.0)</f>
        <v>0</v>
      </c>
      <c r="AG24" s="208"/>
      <c r="AH24" s="208"/>
      <c r="AI24" s="208"/>
      <c r="AJ24" s="208"/>
      <c r="AK24" s="208"/>
    </row>
    <row r="25">
      <c r="A25" s="216">
        <f>IFERROR(__xludf.DUMMYFUNCTION("""COMPUTED_VALUE"""),46206.0)</f>
        <v>46206</v>
      </c>
      <c r="B25" s="217">
        <f>IFERROR(__xludf.DUMMYFUNCTION("""COMPUTED_VALUE"""),0.4583333333321207)</f>
        <v>0.4583333333</v>
      </c>
      <c r="C25" s="211" t="str">
        <f>IFERROR(__xludf.DUMMYFUNCTION("""COMPUTED_VALUE"""),"Sms")</f>
        <v>Sms</v>
      </c>
      <c r="D25" s="211" t="str">
        <f>IFERROR(__xludf.DUMMYFUNCTION("""COMPUTED_VALUE"""),"Promotional")</f>
        <v>Promotional</v>
      </c>
      <c r="E25" s="211" t="str">
        <f>IFERROR(__xludf.DUMMYFUNCTION("""COMPUTED_VALUE"""),"CIS")</f>
        <v>CIS</v>
      </c>
      <c r="F25" s="211" t="str">
        <f>IFERROR(__xludf.DUMMYFUNCTION("""COMPUTED_VALUE"""),"CIS_3499 - flat 3499")</f>
        <v>CIS_3499 - flat 3499</v>
      </c>
      <c r="G25" s="211" t="str">
        <f>IFERROR(__xludf.DUMMYFUNCTION("""COMPUTED_VALUE"""),"CIS_3499_July3")</f>
        <v>CIS_3499_July3</v>
      </c>
      <c r="H25" s="212" t="str">
        <f>IFERROR(__xludf.DUMMYFUNCTION("""COMPUTED_VALUE"""),"CIS_Base_ONOff_Unique, LaSenza_Cust_Base_5thJune26, CIS_Add_DataBase")</f>
        <v>CIS_Base_ONOff_Unique, LaSenza_Cust_Base_5thJune26, CIS_Add_DataBase</v>
      </c>
      <c r="I25" s="212" t="str">
        <f>IFERROR(__xludf.DUMMYFUNCTION("""COMPUTED_VALUE"""),"Customers who have purchased in the last 36 months with Brand_PM contains SP AND Exclude overlapping Base for ALDO and CIS Base, ")</f>
        <v>Customers who have purchased in the last 36 months with Brand_PM contains SP AND Exclude overlapping Base for ALDO and CIS Base, </v>
      </c>
      <c r="J25" s="213">
        <f>IFERROR(__xludf.DUMMYFUNCTION("""COMPUTED_VALUE"""),49325.0)</f>
        <v>49325</v>
      </c>
      <c r="K25" s="213">
        <f>IFERROR(__xludf.DUMMYFUNCTION("""COMPUTED_VALUE"""),23864.0)</f>
        <v>23864</v>
      </c>
      <c r="L25" s="214">
        <f>IFERROR(__xludf.DUMMYFUNCTION("""COMPUTED_VALUE"""),0.4838)</f>
        <v>0.4838</v>
      </c>
      <c r="M25" s="213">
        <f>IFERROR(__xludf.DUMMYFUNCTION("""COMPUTED_VALUE"""),0.0)</f>
        <v>0</v>
      </c>
      <c r="N25" s="214">
        <f>IFERROR(__xludf.DUMMYFUNCTION("""COMPUTED_VALUE"""),0.0)</f>
        <v>0</v>
      </c>
      <c r="O25" s="213">
        <f>IFERROR(__xludf.DUMMYFUNCTION("""COMPUTED_VALUE"""),43.0)</f>
        <v>43</v>
      </c>
      <c r="P25" s="213">
        <f>IFERROR(__xludf.DUMMYFUNCTION("""COMPUTED_VALUE"""),0.0)</f>
        <v>0</v>
      </c>
      <c r="Q25" s="214">
        <f>IFERROR(__xludf.DUMMYFUNCTION("""COMPUTED_VALUE"""),0.0018)</f>
        <v>0.0018</v>
      </c>
      <c r="R25" s="214">
        <f>IFERROR(__xludf.DUMMYFUNCTION("""COMPUTED_VALUE"""),0.0)</f>
        <v>0</v>
      </c>
      <c r="S25" s="101">
        <f>IFERROR(__xludf.DUMMYFUNCTION("""COMPUTED_VALUE"""),0.0)</f>
        <v>0</v>
      </c>
      <c r="T25" s="101">
        <f>IFERROR(__xludf.DUMMYFUNCTION("""COMPUTED_VALUE"""),3.0)</f>
        <v>3</v>
      </c>
      <c r="U25" s="213">
        <f>IFERROR(__xludf.DUMMYFUNCTION("""COMPUTED_VALUE"""),0.0)</f>
        <v>0</v>
      </c>
      <c r="V25" s="213" t="str">
        <f>IFERROR(__xludf.DUMMYFUNCTION("""COMPUTED_VALUE"""),"overall")</f>
        <v>overall</v>
      </c>
      <c r="W25" s="213" t="str">
        <f>IFERROR(__xludf.DUMMYFUNCTION("""COMPUTED_VALUE"""),"SMS")</f>
        <v>SMS</v>
      </c>
      <c r="X25" s="213" t="str">
        <f>IFERROR(__xludf.DUMMYFUNCTION("""COMPUTED_VALUE"""),"All User Base")</f>
        <v>All User Base</v>
      </c>
      <c r="Y25" s="213" t="str">
        <f>IFERROR(__xludf.DUMMYFUNCTION("""COMPUTED_VALUE"""),"3rd to 5th ")</f>
        <v>3rd to 5th </v>
      </c>
      <c r="Z25" s="213" t="str">
        <f>IFERROR(__xludf.DUMMYFUNCTION("""COMPUTED_VALUE"""),"6a46439dc9bafc71b2c3159f")</f>
        <v>6a46439dc9bafc71b2c3159f</v>
      </c>
      <c r="AA25" s="213">
        <f>IFERROR(__xludf.DUMMYFUNCTION("""COMPUTED_VALUE"""),2.0)</f>
        <v>2</v>
      </c>
      <c r="AB25" s="213">
        <f>IFERROR(__xludf.DUMMYFUNCTION("""COMPUTED_VALUE"""),2.0)</f>
        <v>2</v>
      </c>
      <c r="AC25" s="213">
        <f>IFERROR(__xludf.DUMMYFUNCTION("""COMPUTED_VALUE"""),0.0)</f>
        <v>0</v>
      </c>
      <c r="AD25" s="213">
        <f>IFERROR(__xludf.DUMMYFUNCTION("""COMPUTED_VALUE"""),6998.0)</f>
        <v>6998</v>
      </c>
      <c r="AE25" s="213">
        <f>IFERROR(__xludf.DUMMYFUNCTION("""COMPUTED_VALUE"""),6998.0)</f>
        <v>6998</v>
      </c>
      <c r="AF25" s="213">
        <f>IFERROR(__xludf.DUMMYFUNCTION("""COMPUTED_VALUE"""),0.0)</f>
        <v>0</v>
      </c>
      <c r="AG25" s="208"/>
      <c r="AH25" s="208"/>
      <c r="AI25" s="208"/>
      <c r="AJ25" s="208"/>
      <c r="AK25" s="208"/>
    </row>
    <row r="26">
      <c r="A26" s="216">
        <f>IFERROR(__xludf.DUMMYFUNCTION("""COMPUTED_VALUE"""),46208.0)</f>
        <v>46208</v>
      </c>
      <c r="B26" s="217">
        <f>IFERROR(__xludf.DUMMYFUNCTION("""COMPUTED_VALUE"""),0.4583333333321207)</f>
        <v>0.4583333333</v>
      </c>
      <c r="C26" s="211" t="str">
        <f>IFERROR(__xludf.DUMMYFUNCTION("""COMPUTED_VALUE"""),"Sms")</f>
        <v>Sms</v>
      </c>
      <c r="D26" s="211" t="str">
        <f>IFERROR(__xludf.DUMMYFUNCTION("""COMPUTED_VALUE"""),"Promotional")</f>
        <v>Promotional</v>
      </c>
      <c r="E26" s="211" t="str">
        <f>IFERROR(__xludf.DUMMYFUNCTION("""COMPUTED_VALUE"""),"CIS")</f>
        <v>CIS</v>
      </c>
      <c r="F26" s="211" t="str">
        <f>IFERROR(__xludf.DUMMYFUNCTION("""COMPUTED_VALUE"""),"CIS_3499_July - flat 3499")</f>
        <v>CIS_3499_July - flat 3499</v>
      </c>
      <c r="G26" s="211" t="str">
        <f>IFERROR(__xludf.DUMMYFUNCTION("""COMPUTED_VALUE"""),"CIS_3499_July5")</f>
        <v>CIS_3499_July5</v>
      </c>
      <c r="H26" s="212" t="str">
        <f>IFERROR(__xludf.DUMMYFUNCTION("""COMPUTED_VALUE"""),"CIS_Base_ONOff_Unique, LaSenza_Cust_Base_5thJune26, CIS_Add_DataBase")</f>
        <v>CIS_Base_ONOff_Unique, LaSenza_Cust_Base_5thJune26, CIS_Add_DataBase</v>
      </c>
      <c r="I26" s="212" t="str">
        <f>IFERROR(__xludf.DUMMYFUNCTION("""COMPUTED_VALUE"""),"Customers who have purchased in the last 36 months with Brand_PM contains SP AND Exclude overlapping Base for ALDO and CIS Base, ")</f>
        <v>Customers who have purchased in the last 36 months with Brand_PM contains SP AND Exclude overlapping Base for ALDO and CIS Base, </v>
      </c>
      <c r="J26" s="213">
        <f>IFERROR(__xludf.DUMMYFUNCTION("""COMPUTED_VALUE"""),49334.0)</f>
        <v>49334</v>
      </c>
      <c r="K26" s="213">
        <f>IFERROR(__xludf.DUMMYFUNCTION("""COMPUTED_VALUE"""),23834.0)</f>
        <v>23834</v>
      </c>
      <c r="L26" s="214">
        <f>IFERROR(__xludf.DUMMYFUNCTION("""COMPUTED_VALUE"""),0.4831)</f>
        <v>0.4831</v>
      </c>
      <c r="M26" s="213">
        <f>IFERROR(__xludf.DUMMYFUNCTION("""COMPUTED_VALUE"""),0.0)</f>
        <v>0</v>
      </c>
      <c r="N26" s="214">
        <f>IFERROR(__xludf.DUMMYFUNCTION("""COMPUTED_VALUE"""),0.0)</f>
        <v>0</v>
      </c>
      <c r="O26" s="213">
        <f>IFERROR(__xludf.DUMMYFUNCTION("""COMPUTED_VALUE"""),33.0)</f>
        <v>33</v>
      </c>
      <c r="P26" s="213">
        <f>IFERROR(__xludf.DUMMYFUNCTION("""COMPUTED_VALUE"""),0.0)</f>
        <v>0</v>
      </c>
      <c r="Q26" s="214">
        <f>IFERROR(__xludf.DUMMYFUNCTION("""COMPUTED_VALUE"""),0.0014)</f>
        <v>0.0014</v>
      </c>
      <c r="R26" s="214">
        <f>IFERROR(__xludf.DUMMYFUNCTION("""COMPUTED_VALUE"""),0.0)</f>
        <v>0</v>
      </c>
      <c r="S26" s="101">
        <f>IFERROR(__xludf.DUMMYFUNCTION("""COMPUTED_VALUE"""),0.0)</f>
        <v>0</v>
      </c>
      <c r="T26" s="101">
        <f>IFERROR(__xludf.DUMMYFUNCTION("""COMPUTED_VALUE"""),2.0)</f>
        <v>2</v>
      </c>
      <c r="U26" s="213">
        <f>IFERROR(__xludf.DUMMYFUNCTION("""COMPUTED_VALUE"""),0.0)</f>
        <v>0</v>
      </c>
      <c r="V26" s="213" t="str">
        <f>IFERROR(__xludf.DUMMYFUNCTION("""COMPUTED_VALUE"""),"overall")</f>
        <v>overall</v>
      </c>
      <c r="W26" s="213" t="str">
        <f>IFERROR(__xludf.DUMMYFUNCTION("""COMPUTED_VALUE"""),"SMS")</f>
        <v>SMS</v>
      </c>
      <c r="X26" s="213" t="str">
        <f>IFERROR(__xludf.DUMMYFUNCTION("""COMPUTED_VALUE"""),"All User Base")</f>
        <v>All User Base</v>
      </c>
      <c r="Y26" s="213" t="str">
        <f>IFERROR(__xludf.DUMMYFUNCTION("""COMPUTED_VALUE"""),"5th to 7th ")</f>
        <v>5th to 7th </v>
      </c>
      <c r="Z26" s="213" t="str">
        <f>IFERROR(__xludf.DUMMYFUNCTION("""COMPUTED_VALUE"""),"6a46442772369bfd237464b5")</f>
        <v>6a46442772369bfd237464b5</v>
      </c>
      <c r="AA26" s="213">
        <f>IFERROR(__xludf.DUMMYFUNCTION("""COMPUTED_VALUE"""),1.0)</f>
        <v>1</v>
      </c>
      <c r="AB26" s="213">
        <f>IFERROR(__xludf.DUMMYFUNCTION("""COMPUTED_VALUE"""),1.0)</f>
        <v>1</v>
      </c>
      <c r="AC26" s="213">
        <f>IFERROR(__xludf.DUMMYFUNCTION("""COMPUTED_VALUE"""),0.0)</f>
        <v>0</v>
      </c>
      <c r="AD26" s="213">
        <f>IFERROR(__xludf.DUMMYFUNCTION("""COMPUTED_VALUE"""),3499.0)</f>
        <v>3499</v>
      </c>
      <c r="AE26" s="213">
        <f>IFERROR(__xludf.DUMMYFUNCTION("""COMPUTED_VALUE"""),3499.0)</f>
        <v>3499</v>
      </c>
      <c r="AF26" s="213">
        <f>IFERROR(__xludf.DUMMYFUNCTION("""COMPUTED_VALUE"""),0.0)</f>
        <v>0</v>
      </c>
      <c r="AG26" s="208"/>
      <c r="AH26" s="208"/>
      <c r="AI26" s="208"/>
      <c r="AJ26" s="208"/>
      <c r="AK26" s="208"/>
    </row>
    <row r="27">
      <c r="A27" s="215">
        <f>IFERROR(__xludf.DUMMYFUNCTION("""COMPUTED_VALUE"""),46206.0)</f>
        <v>46206</v>
      </c>
      <c r="B27" s="210">
        <f>IFERROR(__xludf.DUMMYFUNCTION("""COMPUTED_VALUE"""),0.7083333333321207)</f>
        <v>0.7083333333</v>
      </c>
      <c r="C27" s="211" t="str">
        <f>IFERROR(__xludf.DUMMYFUNCTION("""COMPUTED_VALUE"""),"Rcs")</f>
        <v>Rcs</v>
      </c>
      <c r="D27" s="211" t="str">
        <f>IFERROR(__xludf.DUMMYFUNCTION("""COMPUTED_VALUE"""),"Fallback campaign")</f>
        <v>Fallback campaign</v>
      </c>
      <c r="E27" s="218" t="str">
        <f>IFERROR(__xludf.DUMMYFUNCTION("""COMPUTED_VALUE"""),"CIS")</f>
        <v>CIS</v>
      </c>
      <c r="F27" s="218" t="str">
        <f>IFERROR(__xludf.DUMMYFUNCTION("""COMPUTED_VALUE"""),"CIS_3499_July")</f>
        <v>CIS_3499_July</v>
      </c>
      <c r="G27" s="218" t="str">
        <f>IFERROR(__xludf.DUMMYFUNCTION("""COMPUTED_VALUE"""),"3499_SMS_Fallback")</f>
        <v>3499_SMS_Fallback</v>
      </c>
      <c r="H27" s="212" t="str">
        <f>IFERROR(__xludf.DUMMYFUNCTION("""COMPUTED_VALUE"""),"CIS_Base_ONOff_Unique, LaSenza_Cust_Base_5thJune26, CIS_Add_DataBase")</f>
        <v>CIS_Base_ONOff_Unique, LaSenza_Cust_Base_5thJune26, CIS_Add_DataBase</v>
      </c>
      <c r="I27" s="212" t="str">
        <f>IFERROR(__xludf.DUMMYFUNCTION("""COMPUTED_VALUE"""),"SMS Undelivered")</f>
        <v>SMS Undelivered</v>
      </c>
      <c r="J27" s="213">
        <f>IFERROR(__xludf.DUMMYFUNCTION("""COMPUTED_VALUE"""),25170.0)</f>
        <v>25170</v>
      </c>
      <c r="K27" s="213">
        <f>IFERROR(__xludf.DUMMYFUNCTION("""COMPUTED_VALUE"""),870.0)</f>
        <v>870</v>
      </c>
      <c r="L27" s="214">
        <f>IFERROR(__xludf.DUMMYFUNCTION("""COMPUTED_VALUE"""),0.0346)</f>
        <v>0.0346</v>
      </c>
      <c r="M27" s="213">
        <f>IFERROR(__xludf.DUMMYFUNCTION("""COMPUTED_VALUE"""),214.0)</f>
        <v>214</v>
      </c>
      <c r="N27" s="214">
        <f>IFERROR(__xludf.DUMMYFUNCTION("""COMPUTED_VALUE"""),0.246)</f>
        <v>0.246</v>
      </c>
      <c r="O27" s="101">
        <f>IFERROR(__xludf.DUMMYFUNCTION("""COMPUTED_VALUE"""),6.0)</f>
        <v>6</v>
      </c>
      <c r="P27" s="101">
        <f>IFERROR(__xludf.DUMMYFUNCTION("""COMPUTED_VALUE"""),0.0)</f>
        <v>0</v>
      </c>
      <c r="Q27" s="214">
        <f>IFERROR(__xludf.DUMMYFUNCTION("""COMPUTED_VALUE"""),0.0092)</f>
        <v>0.0092</v>
      </c>
      <c r="R27" s="214">
        <f>IFERROR(__xludf.DUMMYFUNCTION("""COMPUTED_VALUE"""),0.0)</f>
        <v>0</v>
      </c>
      <c r="S27" s="101">
        <f>IFERROR(__xludf.DUMMYFUNCTION("""COMPUTED_VALUE"""),0.0)</f>
        <v>0</v>
      </c>
      <c r="T27" s="101">
        <f>IFERROR(__xludf.DUMMYFUNCTION("""COMPUTED_VALUE"""),0.0)</f>
        <v>0</v>
      </c>
      <c r="U27" s="213">
        <f>IFERROR(__xludf.DUMMYFUNCTION("""COMPUTED_VALUE"""),0.0)</f>
        <v>0</v>
      </c>
      <c r="V27" s="213" t="str">
        <f>IFERROR(__xludf.DUMMYFUNCTION("""COMPUTED_VALUE"""),"overall")</f>
        <v>overall</v>
      </c>
      <c r="W27" s="213" t="str">
        <f>IFERROR(__xludf.DUMMYFUNCTION("""COMPUTED_VALUE"""),"simple")</f>
        <v>simple</v>
      </c>
      <c r="X27" s="213" t="str">
        <f>IFERROR(__xludf.DUMMYFUNCTION("""COMPUTED_VALUE"""),"All User Base")</f>
        <v>All User Base</v>
      </c>
      <c r="Y27" s="213" t="str">
        <f>IFERROR(__xludf.DUMMYFUNCTION("""COMPUTED_VALUE"""),"3-5th July")</f>
        <v>3-5th July</v>
      </c>
      <c r="Z27" s="213" t="str">
        <f>IFERROR(__xludf.DUMMYFUNCTION("""COMPUTED_VALUE"""),"6a46453603b06aaad5dfee2d")</f>
        <v>6a46453603b06aaad5dfee2d</v>
      </c>
      <c r="AA27" s="213">
        <f>IFERROR(__xludf.DUMMYFUNCTION("""COMPUTED_VALUE"""),0.0)</f>
        <v>0</v>
      </c>
      <c r="AB27" s="213">
        <f>IFERROR(__xludf.DUMMYFUNCTION("""COMPUTED_VALUE"""),0.0)</f>
        <v>0</v>
      </c>
      <c r="AC27" s="213">
        <f>IFERROR(__xludf.DUMMYFUNCTION("""COMPUTED_VALUE"""),0.0)</f>
        <v>0</v>
      </c>
      <c r="AD27" s="213">
        <f>IFERROR(__xludf.DUMMYFUNCTION("""COMPUTED_VALUE"""),0.0)</f>
        <v>0</v>
      </c>
      <c r="AE27" s="213">
        <f>IFERROR(__xludf.DUMMYFUNCTION("""COMPUTED_VALUE"""),0.0)</f>
        <v>0</v>
      </c>
      <c r="AF27" s="213">
        <f>IFERROR(__xludf.DUMMYFUNCTION("""COMPUTED_VALUE"""),0.0)</f>
        <v>0</v>
      </c>
      <c r="AG27" s="208"/>
      <c r="AH27" s="208"/>
      <c r="AI27" s="208"/>
      <c r="AJ27" s="208"/>
      <c r="AK27" s="208"/>
    </row>
    <row r="28">
      <c r="A28" s="215">
        <f>IFERROR(__xludf.DUMMYFUNCTION("""COMPUTED_VALUE"""),46208.0)</f>
        <v>46208</v>
      </c>
      <c r="B28" s="210">
        <f>IFERROR(__xludf.DUMMYFUNCTION("""COMPUTED_VALUE"""),0.7083333333321207)</f>
        <v>0.7083333333</v>
      </c>
      <c r="C28" s="211" t="str">
        <f>IFERROR(__xludf.DUMMYFUNCTION("""COMPUTED_VALUE"""),"Rcs")</f>
        <v>Rcs</v>
      </c>
      <c r="D28" s="211" t="str">
        <f>IFERROR(__xludf.DUMMYFUNCTION("""COMPUTED_VALUE"""),"Fallback campaign")</f>
        <v>Fallback campaign</v>
      </c>
      <c r="E28" s="218" t="str">
        <f>IFERROR(__xludf.DUMMYFUNCTION("""COMPUTED_VALUE"""),"CIS")</f>
        <v>CIS</v>
      </c>
      <c r="F28" s="218" t="str">
        <f>IFERROR(__xludf.DUMMYFUNCTION("""COMPUTED_VALUE"""),"CIS_3499_July")</f>
        <v>CIS_3499_July</v>
      </c>
      <c r="G28" s="218" t="str">
        <f>IFERROR(__xludf.DUMMYFUNCTION("""COMPUTED_VALUE"""),"3499_SMS_Fallback5thJuly")</f>
        <v>3499_SMS_Fallback5thJuly</v>
      </c>
      <c r="H28" s="212" t="str">
        <f>IFERROR(__xludf.DUMMYFUNCTION("""COMPUTED_VALUE"""),"CIS_Base_ONOff_Unique, LaSenza_Cust_Base_5thJune26, CIS_Add_DataBase")</f>
        <v>CIS_Base_ONOff_Unique, LaSenza_Cust_Base_5thJune26, CIS_Add_DataBase</v>
      </c>
      <c r="I28" s="212" t="str">
        <f>IFERROR(__xludf.DUMMYFUNCTION("""COMPUTED_VALUE"""),"SMS Undelivered")</f>
        <v>SMS Undelivered</v>
      </c>
      <c r="J28" s="213">
        <f>IFERROR(__xludf.DUMMYFUNCTION("""COMPUTED_VALUE"""),23841.0)</f>
        <v>23841</v>
      </c>
      <c r="K28" s="213">
        <f>IFERROR(__xludf.DUMMYFUNCTION("""COMPUTED_VALUE"""),1682.0)</f>
        <v>1682</v>
      </c>
      <c r="L28" s="214">
        <f>IFERROR(__xludf.DUMMYFUNCTION("""COMPUTED_VALUE"""),0.0706)</f>
        <v>0.0706</v>
      </c>
      <c r="M28" s="213">
        <f>IFERROR(__xludf.DUMMYFUNCTION("""COMPUTED_VALUE"""),266.0)</f>
        <v>266</v>
      </c>
      <c r="N28" s="214">
        <f>IFERROR(__xludf.DUMMYFUNCTION("""COMPUTED_VALUE"""),0.1581)</f>
        <v>0.1581</v>
      </c>
      <c r="O28" s="101">
        <f>IFERROR(__xludf.DUMMYFUNCTION("""COMPUTED_VALUE"""),4.0)</f>
        <v>4</v>
      </c>
      <c r="P28" s="101">
        <f>IFERROR(__xludf.DUMMYFUNCTION("""COMPUTED_VALUE"""),0.0)</f>
        <v>0</v>
      </c>
      <c r="Q28" s="214">
        <f>IFERROR(__xludf.DUMMYFUNCTION("""COMPUTED_VALUE"""),0.0024)</f>
        <v>0.0024</v>
      </c>
      <c r="R28" s="214">
        <f>IFERROR(__xludf.DUMMYFUNCTION("""COMPUTED_VALUE"""),0.0)</f>
        <v>0</v>
      </c>
      <c r="S28" s="101">
        <f>IFERROR(__xludf.DUMMYFUNCTION("""COMPUTED_VALUE"""),0.0)</f>
        <v>0</v>
      </c>
      <c r="T28" s="101">
        <f>IFERROR(__xludf.DUMMYFUNCTION("""COMPUTED_VALUE"""),0.0)</f>
        <v>0</v>
      </c>
      <c r="U28" s="213">
        <f>IFERROR(__xludf.DUMMYFUNCTION("""COMPUTED_VALUE"""),0.0)</f>
        <v>0</v>
      </c>
      <c r="V28" s="213" t="str">
        <f>IFERROR(__xludf.DUMMYFUNCTION("""COMPUTED_VALUE"""),"overall")</f>
        <v>overall</v>
      </c>
      <c r="W28" s="213" t="str">
        <f>IFERROR(__xludf.DUMMYFUNCTION("""COMPUTED_VALUE"""),"simple")</f>
        <v>simple</v>
      </c>
      <c r="X28" s="213" t="str">
        <f>IFERROR(__xludf.DUMMYFUNCTION("""COMPUTED_VALUE"""),"All User Base")</f>
        <v>All User Base</v>
      </c>
      <c r="Y28" s="213" t="str">
        <f>IFERROR(__xludf.DUMMYFUNCTION("""COMPUTED_VALUE"""),"5th to 7th July ")</f>
        <v>5th to 7th July </v>
      </c>
      <c r="Z28" s="213" t="str">
        <f>IFERROR(__xludf.DUMMYFUNCTION("""COMPUTED_VALUE"""),"6a4645d72a9390f7a86b5a76")</f>
        <v>6a4645d72a9390f7a86b5a76</v>
      </c>
      <c r="AA28" s="213">
        <f>IFERROR(__xludf.DUMMYFUNCTION("""COMPUTED_VALUE"""),0.0)</f>
        <v>0</v>
      </c>
      <c r="AB28" s="213">
        <f>IFERROR(__xludf.DUMMYFUNCTION("""COMPUTED_VALUE"""),0.0)</f>
        <v>0</v>
      </c>
      <c r="AC28" s="213">
        <f>IFERROR(__xludf.DUMMYFUNCTION("""COMPUTED_VALUE"""),0.0)</f>
        <v>0</v>
      </c>
      <c r="AD28" s="213">
        <f>IFERROR(__xludf.DUMMYFUNCTION("""COMPUTED_VALUE"""),0.0)</f>
        <v>0</v>
      </c>
      <c r="AE28" s="213">
        <f>IFERROR(__xludf.DUMMYFUNCTION("""COMPUTED_VALUE"""),0.0)</f>
        <v>0</v>
      </c>
      <c r="AF28" s="213">
        <f>IFERROR(__xludf.DUMMYFUNCTION("""COMPUTED_VALUE"""),0.0)</f>
        <v>0</v>
      </c>
      <c r="AG28" s="208"/>
      <c r="AH28" s="208"/>
      <c r="AI28" s="208"/>
      <c r="AJ28" s="208"/>
      <c r="AK28" s="208"/>
    </row>
    <row r="29">
      <c r="A29" s="215">
        <f>IFERROR(__xludf.DUMMYFUNCTION("""COMPUTED_VALUE"""),46213.0)</f>
        <v>46213</v>
      </c>
      <c r="B29" s="210">
        <f>IFERROR(__xludf.DUMMYFUNCTION("""COMPUTED_VALUE"""),0.4583333333321207)</f>
        <v>0.4583333333</v>
      </c>
      <c r="C29" s="211" t="str">
        <f>IFERROR(__xludf.DUMMYFUNCTION("""COMPUTED_VALUE"""),"Sms")</f>
        <v>Sms</v>
      </c>
      <c r="D29" s="211" t="str">
        <f>IFERROR(__xludf.DUMMYFUNCTION("""COMPUTED_VALUE"""),"Promotional")</f>
        <v>Promotional</v>
      </c>
      <c r="E29" s="218" t="str">
        <f>IFERROR(__xludf.DUMMYFUNCTION("""COMPUTED_VALUE"""),"CIS")</f>
        <v>CIS</v>
      </c>
      <c r="F29" s="218" t="str">
        <f>IFERROR(__xludf.DUMMYFUNCTION("""COMPUTED_VALUE"""),"CIS_2499 - Flat 2499")</f>
        <v>CIS_2499 - Flat 2499</v>
      </c>
      <c r="G29" s="218" t="str">
        <f>IFERROR(__xludf.DUMMYFUNCTION("""COMPUTED_VALUE"""),"cis_2499_10thJuly")</f>
        <v>cis_2499_10thJuly</v>
      </c>
      <c r="H29" s="212" t="str">
        <f>IFERROR(__xludf.DUMMYFUNCTION("""COMPUTED_VALUE"""),"CIS_Base_ONOff_Unique, LaSenza_Cust_Base_5thJune26, CIS_Add_DataBase")</f>
        <v>CIS_Base_ONOff_Unique, LaSenza_Cust_Base_5thJune26, CIS_Add_DataBase</v>
      </c>
      <c r="I29" s="212" t="str">
        <f>IFERROR(__xludf.DUMMYFUNCTION("""COMPUTED_VALUE"""),"Customers who have purchased in the last 36 months with Brand_PM contains SP AND Exclude overlapping Base for ALDO and CIS Base")</f>
        <v>Customers who have purchased in the last 36 months with Brand_PM contains SP AND Exclude overlapping Base for ALDO and CIS Base</v>
      </c>
      <c r="J29" s="213">
        <f>IFERROR(__xludf.DUMMYFUNCTION("""COMPUTED_VALUE"""),49417.0)</f>
        <v>49417</v>
      </c>
      <c r="K29" s="213">
        <f>IFERROR(__xludf.DUMMYFUNCTION("""COMPUTED_VALUE"""),23963.0)</f>
        <v>23963</v>
      </c>
      <c r="L29" s="214">
        <f>IFERROR(__xludf.DUMMYFUNCTION("""COMPUTED_VALUE"""),0.4849)</f>
        <v>0.4849</v>
      </c>
      <c r="M29" s="213">
        <f>IFERROR(__xludf.DUMMYFUNCTION("""COMPUTED_VALUE"""),0.0)</f>
        <v>0</v>
      </c>
      <c r="N29" s="214">
        <f>IFERROR(__xludf.DUMMYFUNCTION("""COMPUTED_VALUE"""),0.0)</f>
        <v>0</v>
      </c>
      <c r="O29" s="101">
        <f>IFERROR(__xludf.DUMMYFUNCTION("""COMPUTED_VALUE"""),46.0)</f>
        <v>46</v>
      </c>
      <c r="P29" s="101">
        <f>IFERROR(__xludf.DUMMYFUNCTION("""COMPUTED_VALUE"""),0.0)</f>
        <v>0</v>
      </c>
      <c r="Q29" s="214">
        <f>IFERROR(__xludf.DUMMYFUNCTION("""COMPUTED_VALUE"""),0.0019)</f>
        <v>0.0019</v>
      </c>
      <c r="R29" s="214">
        <f>IFERROR(__xludf.DUMMYFUNCTION("""COMPUTED_VALUE"""),0.0)</f>
        <v>0</v>
      </c>
      <c r="S29" s="101">
        <f>IFERROR(__xludf.DUMMYFUNCTION("""COMPUTED_VALUE"""),1.0)</f>
        <v>1</v>
      </c>
      <c r="T29" s="101">
        <f>IFERROR(__xludf.DUMMYFUNCTION("""COMPUTED_VALUE"""),1.0)</f>
        <v>1</v>
      </c>
      <c r="U29" s="213">
        <f>IFERROR(__xludf.DUMMYFUNCTION("""COMPUTED_VALUE"""),2499.0)</f>
        <v>2499</v>
      </c>
      <c r="V29" s="213" t="str">
        <f>IFERROR(__xludf.DUMMYFUNCTION("""COMPUTED_VALUE"""),"overall")</f>
        <v>overall</v>
      </c>
      <c r="W29" s="213" t="str">
        <f>IFERROR(__xludf.DUMMYFUNCTION("""COMPUTED_VALUE"""),"Sms")</f>
        <v>Sms</v>
      </c>
      <c r="X29" s="213" t="str">
        <f>IFERROR(__xludf.DUMMYFUNCTION("""COMPUTED_VALUE"""),"All User Base")</f>
        <v>All User Base</v>
      </c>
      <c r="Y29" s="213" t="str">
        <f>IFERROR(__xludf.DUMMYFUNCTION("""COMPUTED_VALUE"""),"10th-12th July")</f>
        <v>10th-12th July</v>
      </c>
      <c r="Z29" s="213" t="str">
        <f>IFERROR(__xludf.DUMMYFUNCTION("""COMPUTED_VALUE"""),"6a4f593a7db9337d847fb98f")</f>
        <v>6a4f593a7db9337d847fb98f</v>
      </c>
      <c r="AA29" s="213"/>
      <c r="AB29" s="213"/>
      <c r="AC29" s="213"/>
      <c r="AD29" s="213"/>
      <c r="AE29" s="213"/>
      <c r="AF29" s="213"/>
      <c r="AG29" s="208"/>
      <c r="AH29" s="208"/>
      <c r="AI29" s="208"/>
      <c r="AJ29" s="208"/>
      <c r="AK29" s="208"/>
    </row>
    <row r="30">
      <c r="A30" s="215">
        <f>IFERROR(__xludf.DUMMYFUNCTION("""COMPUTED_VALUE"""),46213.0)</f>
        <v>46213</v>
      </c>
      <c r="B30" s="210">
        <f>IFERROR(__xludf.DUMMYFUNCTION("""COMPUTED_VALUE"""),0.7083333333321207)</f>
        <v>0.7083333333</v>
      </c>
      <c r="C30" s="211" t="str">
        <f>IFERROR(__xludf.DUMMYFUNCTION("""COMPUTED_VALUE"""),"Rcs")</f>
        <v>Rcs</v>
      </c>
      <c r="D30" s="211" t="str">
        <f>IFERROR(__xludf.DUMMYFUNCTION("""COMPUTED_VALUE"""),"Fallback campaign")</f>
        <v>Fallback campaign</v>
      </c>
      <c r="E30" s="218" t="str">
        <f>IFERROR(__xludf.DUMMYFUNCTION("""COMPUTED_VALUE"""),"CIS")</f>
        <v>CIS</v>
      </c>
      <c r="F30" s="218" t="str">
        <f>IFERROR(__xludf.DUMMYFUNCTION("""COMPUTED_VALUE"""),"CIS_2499_RCS1 - 2499")</f>
        <v>CIS_2499_RCS1 - 2499</v>
      </c>
      <c r="G30" s="218" t="str">
        <f>IFERROR(__xludf.DUMMYFUNCTION("""COMPUTED_VALUE"""),"2499_sms_fallback")</f>
        <v>2499_sms_fallback</v>
      </c>
      <c r="H30" s="212" t="str">
        <f>IFERROR(__xludf.DUMMYFUNCTION("""COMPUTED_VALUE"""),"CIS_Base_ONOff_Unique, LaSenza_Cust_Base_5thJune26, CIS_Add_DataBase")</f>
        <v>CIS_Base_ONOff_Unique, LaSenza_Cust_Base_5thJune26, CIS_Add_DataBase</v>
      </c>
      <c r="I30" s="212" t="str">
        <f>IFERROR(__xludf.DUMMYFUNCTION("""COMPUTED_VALUE"""),"SMS Undelivered")</f>
        <v>SMS Undelivered</v>
      </c>
      <c r="J30" s="213">
        <f>IFERROR(__xludf.DUMMYFUNCTION("""COMPUTED_VALUE"""),25071.0)</f>
        <v>25071</v>
      </c>
      <c r="K30" s="213">
        <f>IFERROR(__xludf.DUMMYFUNCTION("""COMPUTED_VALUE"""),1744.0)</f>
        <v>1744</v>
      </c>
      <c r="L30" s="214">
        <f>IFERROR(__xludf.DUMMYFUNCTION("""COMPUTED_VALUE"""),0.0696)</f>
        <v>0.0696</v>
      </c>
      <c r="M30" s="213">
        <f>IFERROR(__xludf.DUMMYFUNCTION("""COMPUTED_VALUE"""),391.0)</f>
        <v>391</v>
      </c>
      <c r="N30" s="214">
        <f>IFERROR(__xludf.DUMMYFUNCTION("""COMPUTED_VALUE"""),0.2248)</f>
        <v>0.2248</v>
      </c>
      <c r="O30" s="101">
        <f>IFERROR(__xludf.DUMMYFUNCTION("""COMPUTED_VALUE"""),7.0)</f>
        <v>7</v>
      </c>
      <c r="P30" s="101">
        <f>IFERROR(__xludf.DUMMYFUNCTION("""COMPUTED_VALUE"""),0.0)</f>
        <v>0</v>
      </c>
      <c r="Q30" s="214">
        <f>IFERROR(__xludf.DUMMYFUNCTION("""COMPUTED_VALUE"""),0.0052)</f>
        <v>0.0052</v>
      </c>
      <c r="R30" s="214">
        <f>IFERROR(__xludf.DUMMYFUNCTION("""COMPUTED_VALUE"""),0.0)</f>
        <v>0</v>
      </c>
      <c r="S30" s="101">
        <f>IFERROR(__xludf.DUMMYFUNCTION("""COMPUTED_VALUE"""),0.0)</f>
        <v>0</v>
      </c>
      <c r="T30" s="101">
        <f>IFERROR(__xludf.DUMMYFUNCTION("""COMPUTED_VALUE"""),0.0)</f>
        <v>0</v>
      </c>
      <c r="U30" s="213">
        <f>IFERROR(__xludf.DUMMYFUNCTION("""COMPUTED_VALUE"""),0.0)</f>
        <v>0</v>
      </c>
      <c r="V30" s="213" t="str">
        <f>IFERROR(__xludf.DUMMYFUNCTION("""COMPUTED_VALUE"""),"overall")</f>
        <v>overall</v>
      </c>
      <c r="W30" s="213" t="str">
        <f>IFERROR(__xludf.DUMMYFUNCTION("""COMPUTED_VALUE"""),"RCS")</f>
        <v>RCS</v>
      </c>
      <c r="X30" s="213" t="str">
        <f>IFERROR(__xludf.DUMMYFUNCTION("""COMPUTED_VALUE"""),"All User Base")</f>
        <v>All User Base</v>
      </c>
      <c r="Y30" s="213" t="str">
        <f>IFERROR(__xludf.DUMMYFUNCTION("""COMPUTED_VALUE"""),"10th-12th July")</f>
        <v>10th-12th July</v>
      </c>
      <c r="Z30" s="213" t="str">
        <f>IFERROR(__xludf.DUMMYFUNCTION("""COMPUTED_VALUE"""),"6a4f59d683fb115d90c63938")</f>
        <v>6a4f59d683fb115d90c63938</v>
      </c>
      <c r="AA30" s="213"/>
      <c r="AB30" s="213"/>
      <c r="AC30" s="213"/>
      <c r="AD30" s="213"/>
      <c r="AE30" s="213"/>
      <c r="AF30" s="213"/>
      <c r="AG30" s="208"/>
      <c r="AH30" s="208"/>
      <c r="AI30" s="208"/>
      <c r="AJ30" s="208"/>
      <c r="AK30" s="208"/>
    </row>
    <row r="31">
      <c r="A31" s="215"/>
      <c r="B31" s="210"/>
      <c r="C31" s="211"/>
      <c r="D31" s="211"/>
      <c r="E31" s="218"/>
      <c r="F31" s="218"/>
      <c r="G31" s="218"/>
      <c r="H31" s="212"/>
      <c r="I31" s="212"/>
      <c r="J31" s="213"/>
      <c r="K31" s="213"/>
      <c r="L31" s="214"/>
      <c r="M31" s="213"/>
      <c r="N31" s="214"/>
      <c r="O31" s="101"/>
      <c r="P31" s="101"/>
      <c r="Q31" s="214"/>
      <c r="R31" s="214"/>
      <c r="S31" s="101"/>
      <c r="T31" s="101"/>
      <c r="U31" s="213"/>
      <c r="V31" s="213"/>
      <c r="W31" s="213"/>
      <c r="X31" s="213"/>
      <c r="Y31" s="213"/>
      <c r="Z31" s="213"/>
      <c r="AA31" s="213"/>
      <c r="AB31" s="213"/>
      <c r="AC31" s="213"/>
      <c r="AD31" s="213"/>
      <c r="AE31" s="213"/>
      <c r="AF31" s="213"/>
      <c r="AG31" s="208"/>
      <c r="AH31" s="208"/>
      <c r="AI31" s="208"/>
      <c r="AJ31" s="208"/>
      <c r="AK31" s="208"/>
    </row>
    <row r="32">
      <c r="A32" s="215"/>
      <c r="B32" s="210"/>
      <c r="C32" s="211"/>
      <c r="D32" s="211"/>
      <c r="E32" s="218"/>
      <c r="F32" s="218"/>
      <c r="G32" s="218"/>
      <c r="H32" s="212"/>
      <c r="I32" s="212"/>
      <c r="J32" s="213"/>
      <c r="K32" s="213"/>
      <c r="L32" s="214"/>
      <c r="M32" s="213"/>
      <c r="N32" s="214"/>
      <c r="O32" s="101"/>
      <c r="P32" s="101"/>
      <c r="Q32" s="214"/>
      <c r="R32" s="214"/>
      <c r="S32" s="101"/>
      <c r="T32" s="101"/>
      <c r="U32" s="213"/>
      <c r="V32" s="213"/>
      <c r="W32" s="213"/>
      <c r="X32" s="213"/>
      <c r="Y32" s="213"/>
      <c r="Z32" s="213"/>
      <c r="AA32" s="213"/>
      <c r="AB32" s="213"/>
      <c r="AC32" s="213"/>
      <c r="AD32" s="213"/>
      <c r="AE32" s="213"/>
      <c r="AF32" s="213"/>
      <c r="AG32" s="208"/>
      <c r="AH32" s="208"/>
      <c r="AI32" s="208"/>
      <c r="AJ32" s="208"/>
      <c r="AK32" s="208"/>
    </row>
    <row r="33">
      <c r="A33" s="215"/>
      <c r="B33" s="210"/>
      <c r="C33" s="211"/>
      <c r="D33" s="211"/>
      <c r="E33" s="211"/>
      <c r="F33" s="211"/>
      <c r="G33" s="211"/>
      <c r="H33" s="212"/>
      <c r="I33" s="212"/>
      <c r="J33" s="213"/>
      <c r="K33" s="213"/>
      <c r="L33" s="214"/>
      <c r="M33" s="213"/>
      <c r="N33" s="214"/>
      <c r="O33" s="101"/>
      <c r="P33" s="101"/>
      <c r="Q33" s="214"/>
      <c r="R33" s="214"/>
      <c r="S33" s="101"/>
      <c r="T33" s="101"/>
      <c r="U33" s="213"/>
      <c r="V33" s="213"/>
      <c r="W33" s="213"/>
      <c r="X33" s="213"/>
      <c r="Y33" s="213"/>
      <c r="Z33" s="213"/>
      <c r="AA33" s="213"/>
      <c r="AB33" s="213"/>
      <c r="AC33" s="213"/>
      <c r="AD33" s="213"/>
      <c r="AE33" s="213"/>
      <c r="AF33" s="213"/>
      <c r="AG33" s="208"/>
      <c r="AH33" s="208"/>
      <c r="AI33" s="208"/>
      <c r="AJ33" s="208"/>
      <c r="AK33" s="208"/>
    </row>
    <row r="34">
      <c r="A34" s="215"/>
      <c r="B34" s="210"/>
      <c r="C34" s="211"/>
      <c r="D34" s="211"/>
      <c r="E34" s="211"/>
      <c r="F34" s="211"/>
      <c r="G34" s="211"/>
      <c r="H34" s="212"/>
      <c r="I34" s="212"/>
      <c r="J34" s="213"/>
      <c r="K34" s="213"/>
      <c r="L34" s="214"/>
      <c r="M34" s="213"/>
      <c r="N34" s="214"/>
      <c r="O34" s="101"/>
      <c r="P34" s="101"/>
      <c r="Q34" s="214"/>
      <c r="R34" s="214"/>
      <c r="S34" s="101"/>
      <c r="T34" s="101"/>
      <c r="U34" s="213"/>
      <c r="V34" s="213"/>
      <c r="W34" s="213"/>
      <c r="X34" s="213"/>
      <c r="Y34" s="213"/>
      <c r="Z34" s="213"/>
      <c r="AA34" s="213"/>
      <c r="AB34" s="213"/>
      <c r="AC34" s="213"/>
      <c r="AD34" s="213"/>
      <c r="AE34" s="213"/>
      <c r="AF34" s="213"/>
      <c r="AG34" s="208"/>
      <c r="AH34" s="208"/>
      <c r="AI34" s="208"/>
      <c r="AJ34" s="208"/>
      <c r="AK34" s="208"/>
    </row>
    <row r="35">
      <c r="A35" s="216"/>
      <c r="B35" s="210"/>
      <c r="C35" s="211"/>
      <c r="D35" s="211"/>
      <c r="E35" s="211"/>
      <c r="F35" s="211"/>
      <c r="G35" s="211"/>
      <c r="H35" s="212"/>
      <c r="I35" s="211"/>
      <c r="J35" s="213"/>
      <c r="K35" s="213"/>
      <c r="L35" s="214"/>
      <c r="M35" s="213"/>
      <c r="N35" s="214"/>
      <c r="O35" s="101"/>
      <c r="P35" s="101"/>
      <c r="Q35" s="214"/>
      <c r="R35" s="214"/>
      <c r="S35" s="101"/>
      <c r="T35" s="101"/>
      <c r="U35" s="213"/>
      <c r="V35" s="213"/>
      <c r="W35" s="213"/>
      <c r="X35" s="213"/>
      <c r="Y35" s="213"/>
      <c r="Z35" s="213"/>
      <c r="AA35" s="213"/>
      <c r="AB35" s="213"/>
      <c r="AC35" s="213"/>
      <c r="AD35" s="213"/>
      <c r="AE35" s="213"/>
      <c r="AF35" s="213"/>
      <c r="AG35" s="208"/>
      <c r="AH35" s="208"/>
      <c r="AI35" s="208"/>
      <c r="AJ35" s="208"/>
      <c r="AK35" s="208"/>
    </row>
    <row r="36">
      <c r="A36" s="216"/>
      <c r="B36" s="210"/>
      <c r="C36" s="211"/>
      <c r="D36" s="211"/>
      <c r="E36" s="211"/>
      <c r="F36" s="211"/>
      <c r="G36" s="211"/>
      <c r="H36" s="212"/>
      <c r="I36" s="211"/>
      <c r="J36" s="213"/>
      <c r="K36" s="213"/>
      <c r="L36" s="214"/>
      <c r="M36" s="213"/>
      <c r="N36" s="214"/>
      <c r="O36" s="101"/>
      <c r="P36" s="101"/>
      <c r="Q36" s="214"/>
      <c r="R36" s="214"/>
      <c r="S36" s="101"/>
      <c r="T36" s="101"/>
      <c r="U36" s="213"/>
      <c r="V36" s="213"/>
      <c r="W36" s="213"/>
      <c r="X36" s="213"/>
      <c r="Y36" s="213"/>
      <c r="Z36" s="213"/>
      <c r="AA36" s="213"/>
      <c r="AB36" s="213"/>
      <c r="AC36" s="213"/>
      <c r="AD36" s="213"/>
      <c r="AE36" s="213"/>
      <c r="AF36" s="213"/>
      <c r="AG36" s="208"/>
      <c r="AH36" s="208"/>
      <c r="AI36" s="208"/>
      <c r="AJ36" s="208"/>
      <c r="AK36" s="208"/>
    </row>
    <row r="37">
      <c r="A37" s="219"/>
      <c r="B37" s="220"/>
      <c r="C37" s="221"/>
      <c r="D37" s="221"/>
      <c r="E37" s="221"/>
      <c r="F37" s="221"/>
      <c r="G37" s="222"/>
      <c r="H37" s="223"/>
      <c r="I37" s="221"/>
      <c r="J37" s="224"/>
      <c r="K37" s="224"/>
      <c r="L37" s="225"/>
      <c r="M37" s="224"/>
      <c r="N37" s="225"/>
      <c r="O37" s="226"/>
      <c r="P37" s="226"/>
      <c r="Q37" s="225"/>
      <c r="R37" s="225"/>
      <c r="S37" s="226"/>
      <c r="T37" s="226"/>
      <c r="U37" s="224"/>
      <c r="V37" s="224"/>
      <c r="W37" s="224"/>
      <c r="X37" s="224"/>
      <c r="Y37" s="224"/>
      <c r="Z37" s="224"/>
      <c r="AA37" s="224"/>
      <c r="AB37" s="224"/>
      <c r="AC37" s="224"/>
      <c r="AD37" s="224"/>
      <c r="AE37" s="224"/>
      <c r="AF37" s="224"/>
      <c r="AG37" s="208"/>
      <c r="AH37" s="208"/>
      <c r="AI37" s="208"/>
      <c r="AJ37" s="208"/>
      <c r="AK37" s="208"/>
    </row>
    <row r="38">
      <c r="A38" s="219"/>
      <c r="B38" s="220"/>
      <c r="C38" s="221"/>
      <c r="D38" s="221"/>
      <c r="E38" s="221"/>
      <c r="F38" s="221"/>
      <c r="G38" s="222"/>
      <c r="H38" s="223"/>
      <c r="I38" s="221"/>
      <c r="J38" s="224"/>
      <c r="K38" s="224"/>
      <c r="L38" s="225"/>
      <c r="M38" s="224"/>
      <c r="N38" s="225"/>
      <c r="O38" s="226"/>
      <c r="P38" s="226"/>
      <c r="Q38" s="225"/>
      <c r="R38" s="225"/>
      <c r="S38" s="226"/>
      <c r="T38" s="226"/>
      <c r="U38" s="224"/>
      <c r="V38" s="224"/>
      <c r="W38" s="224"/>
      <c r="X38" s="224"/>
      <c r="Y38" s="224"/>
      <c r="Z38" s="224"/>
      <c r="AA38" s="224"/>
      <c r="AB38" s="224"/>
      <c r="AC38" s="224"/>
      <c r="AD38" s="224"/>
      <c r="AE38" s="224"/>
      <c r="AF38" s="224"/>
      <c r="AG38" s="208"/>
      <c r="AH38" s="208"/>
      <c r="AI38" s="208"/>
      <c r="AJ38" s="208"/>
      <c r="AK38" s="208"/>
    </row>
    <row r="39">
      <c r="A39" s="219"/>
      <c r="B39" s="220"/>
      <c r="C39" s="221"/>
      <c r="D39" s="221"/>
      <c r="E39" s="221"/>
      <c r="F39" s="221"/>
      <c r="G39" s="222"/>
      <c r="H39" s="223"/>
      <c r="I39" s="221"/>
      <c r="J39" s="224"/>
      <c r="K39" s="224"/>
      <c r="L39" s="225"/>
      <c r="M39" s="224"/>
      <c r="N39" s="225"/>
      <c r="O39" s="226"/>
      <c r="P39" s="226"/>
      <c r="Q39" s="225"/>
      <c r="R39" s="225"/>
      <c r="S39" s="226"/>
      <c r="T39" s="226"/>
      <c r="U39" s="224"/>
      <c r="V39" s="224"/>
      <c r="W39" s="224"/>
      <c r="X39" s="224"/>
      <c r="Y39" s="224"/>
      <c r="Z39" s="224"/>
      <c r="AA39" s="224"/>
      <c r="AB39" s="224"/>
      <c r="AC39" s="224"/>
      <c r="AD39" s="224"/>
      <c r="AE39" s="224"/>
      <c r="AF39" s="224"/>
      <c r="AG39" s="208"/>
      <c r="AH39" s="208"/>
      <c r="AI39" s="208"/>
      <c r="AJ39" s="208"/>
      <c r="AK39" s="208"/>
    </row>
    <row r="40">
      <c r="A40" s="219"/>
      <c r="B40" s="220"/>
      <c r="C40" s="221"/>
      <c r="D40" s="221"/>
      <c r="E40" s="221"/>
      <c r="F40" s="221"/>
      <c r="G40" s="222"/>
      <c r="H40" s="223"/>
      <c r="I40" s="221"/>
      <c r="J40" s="224"/>
      <c r="K40" s="224"/>
      <c r="L40" s="225"/>
      <c r="M40" s="224"/>
      <c r="N40" s="225"/>
      <c r="O40" s="226"/>
      <c r="P40" s="226"/>
      <c r="Q40" s="225"/>
      <c r="R40" s="225"/>
      <c r="S40" s="226"/>
      <c r="T40" s="226"/>
      <c r="U40" s="224"/>
      <c r="V40" s="224"/>
      <c r="W40" s="224"/>
      <c r="X40" s="224"/>
      <c r="Y40" s="224"/>
      <c r="Z40" s="224"/>
      <c r="AA40" s="224"/>
      <c r="AB40" s="224"/>
      <c r="AC40" s="224"/>
      <c r="AD40" s="224"/>
      <c r="AE40" s="224"/>
      <c r="AF40" s="224"/>
      <c r="AG40" s="208"/>
      <c r="AH40" s="208"/>
      <c r="AI40" s="208"/>
      <c r="AJ40" s="208"/>
      <c r="AK40" s="208"/>
    </row>
    <row r="41">
      <c r="A41" s="219"/>
      <c r="B41" s="220"/>
      <c r="C41" s="221"/>
      <c r="D41" s="221"/>
      <c r="E41" s="221"/>
      <c r="F41" s="221"/>
      <c r="G41" s="222"/>
      <c r="H41" s="223"/>
      <c r="I41" s="221"/>
      <c r="J41" s="224"/>
      <c r="K41" s="224"/>
      <c r="L41" s="225"/>
      <c r="M41" s="224"/>
      <c r="N41" s="225"/>
      <c r="O41" s="226"/>
      <c r="P41" s="226"/>
      <c r="Q41" s="225"/>
      <c r="R41" s="225"/>
      <c r="S41" s="226"/>
      <c r="T41" s="226"/>
      <c r="U41" s="224"/>
      <c r="V41" s="224"/>
      <c r="W41" s="224"/>
      <c r="X41" s="224"/>
      <c r="Y41" s="224"/>
      <c r="Z41" s="224"/>
      <c r="AA41" s="224"/>
      <c r="AB41" s="224"/>
      <c r="AC41" s="224"/>
      <c r="AD41" s="224"/>
      <c r="AE41" s="224"/>
      <c r="AF41" s="224"/>
      <c r="AG41" s="208"/>
      <c r="AH41" s="208"/>
      <c r="AI41" s="208"/>
      <c r="AJ41" s="208"/>
      <c r="AK41" s="208"/>
    </row>
    <row r="42">
      <c r="A42" s="219"/>
      <c r="B42" s="220"/>
      <c r="C42" s="221"/>
      <c r="D42" s="221"/>
      <c r="E42" s="221"/>
      <c r="F42" s="221"/>
      <c r="G42" s="222"/>
      <c r="H42" s="223"/>
      <c r="I42" s="221"/>
      <c r="J42" s="224"/>
      <c r="K42" s="224"/>
      <c r="L42" s="225"/>
      <c r="M42" s="224"/>
      <c r="N42" s="225"/>
      <c r="O42" s="226"/>
      <c r="P42" s="226"/>
      <c r="Q42" s="225"/>
      <c r="R42" s="225"/>
      <c r="S42" s="226"/>
      <c r="T42" s="226"/>
      <c r="U42" s="224"/>
      <c r="V42" s="224"/>
      <c r="W42" s="224"/>
      <c r="X42" s="224"/>
      <c r="Y42" s="224"/>
      <c r="Z42" s="224"/>
      <c r="AA42" s="224"/>
      <c r="AB42" s="224"/>
      <c r="AC42" s="224"/>
      <c r="AD42" s="224"/>
      <c r="AE42" s="224"/>
      <c r="AF42" s="224"/>
      <c r="AG42" s="208"/>
      <c r="AH42" s="208"/>
      <c r="AI42" s="208"/>
      <c r="AJ42" s="208"/>
      <c r="AK42" s="208"/>
    </row>
    <row r="43">
      <c r="A43" s="215"/>
      <c r="B43" s="210"/>
      <c r="C43" s="211"/>
      <c r="D43" s="211"/>
      <c r="E43" s="211"/>
      <c r="F43" s="211"/>
      <c r="G43" s="218"/>
      <c r="H43" s="218"/>
      <c r="I43" s="223"/>
      <c r="J43" s="213"/>
      <c r="K43" s="213"/>
      <c r="L43" s="214"/>
      <c r="M43" s="213"/>
      <c r="N43" s="214"/>
      <c r="O43" s="101"/>
      <c r="P43" s="101"/>
      <c r="Q43" s="214"/>
      <c r="R43" s="214"/>
      <c r="S43" s="101"/>
      <c r="T43" s="101"/>
      <c r="U43" s="213"/>
      <c r="V43" s="213"/>
      <c r="W43" s="213"/>
      <c r="X43" s="213"/>
      <c r="Y43" s="213"/>
      <c r="Z43" s="213"/>
      <c r="AA43" s="213"/>
      <c r="AB43" s="213"/>
      <c r="AC43" s="213"/>
      <c r="AD43" s="213"/>
      <c r="AE43" s="213"/>
      <c r="AF43" s="213"/>
      <c r="AG43" s="208"/>
      <c r="AH43" s="208"/>
      <c r="AI43" s="208"/>
      <c r="AJ43" s="208"/>
      <c r="AK43" s="208"/>
    </row>
    <row r="44">
      <c r="A44" s="215"/>
      <c r="B44" s="210"/>
      <c r="C44" s="211"/>
      <c r="D44" s="211"/>
      <c r="E44" s="211"/>
      <c r="F44" s="211"/>
      <c r="G44" s="218"/>
      <c r="H44" s="218"/>
      <c r="I44" s="218"/>
      <c r="J44" s="213"/>
      <c r="K44" s="213"/>
      <c r="L44" s="214"/>
      <c r="M44" s="213"/>
      <c r="N44" s="214"/>
      <c r="O44" s="101"/>
      <c r="P44" s="101"/>
      <c r="Q44" s="214"/>
      <c r="R44" s="214"/>
      <c r="S44" s="101"/>
      <c r="T44" s="101"/>
      <c r="U44" s="213"/>
      <c r="V44" s="213"/>
      <c r="W44" s="213"/>
      <c r="X44" s="213"/>
      <c r="Y44" s="213"/>
      <c r="Z44" s="213"/>
      <c r="AA44" s="213"/>
      <c r="AB44" s="213"/>
      <c r="AC44" s="213"/>
      <c r="AD44" s="213"/>
      <c r="AE44" s="213"/>
      <c r="AF44" s="213"/>
      <c r="AG44" s="208"/>
      <c r="AH44" s="208"/>
      <c r="AI44" s="208"/>
      <c r="AJ44" s="208"/>
      <c r="AK44" s="208"/>
    </row>
    <row r="45">
      <c r="A45" s="216"/>
      <c r="B45" s="210"/>
      <c r="C45" s="211"/>
      <c r="D45" s="211"/>
      <c r="E45" s="211"/>
      <c r="F45" s="211"/>
      <c r="G45" s="218"/>
      <c r="H45" s="218"/>
      <c r="I45" s="218"/>
      <c r="J45" s="213"/>
      <c r="K45" s="213"/>
      <c r="L45" s="214"/>
      <c r="M45" s="213"/>
      <c r="N45" s="214"/>
      <c r="O45" s="213"/>
      <c r="P45" s="213"/>
      <c r="Q45" s="214"/>
      <c r="R45" s="214"/>
      <c r="S45" s="101"/>
      <c r="T45" s="101"/>
      <c r="U45" s="213"/>
      <c r="V45" s="213"/>
      <c r="W45" s="213"/>
      <c r="X45" s="213"/>
      <c r="Y45" s="213"/>
      <c r="Z45" s="213"/>
      <c r="AA45" s="213"/>
      <c r="AB45" s="213"/>
      <c r="AC45" s="213"/>
      <c r="AD45" s="213"/>
      <c r="AE45" s="213"/>
      <c r="AF45" s="213"/>
      <c r="AG45" s="208"/>
      <c r="AH45" s="208"/>
      <c r="AI45" s="208"/>
      <c r="AJ45" s="208"/>
      <c r="AK45" s="208"/>
    </row>
    <row r="46">
      <c r="A46" s="216"/>
      <c r="B46" s="210"/>
      <c r="C46" s="211"/>
      <c r="D46" s="211"/>
      <c r="E46" s="211"/>
      <c r="F46" s="211"/>
      <c r="G46" s="218"/>
      <c r="H46" s="218"/>
      <c r="I46" s="218"/>
      <c r="J46" s="213"/>
      <c r="K46" s="213"/>
      <c r="L46" s="214"/>
      <c r="M46" s="213"/>
      <c r="N46" s="214"/>
      <c r="O46" s="213"/>
      <c r="P46" s="213"/>
      <c r="Q46" s="214"/>
      <c r="R46" s="214"/>
      <c r="S46" s="101"/>
      <c r="T46" s="101"/>
      <c r="U46" s="213"/>
      <c r="V46" s="213"/>
      <c r="W46" s="213"/>
      <c r="X46" s="213"/>
      <c r="Y46" s="213"/>
      <c r="Z46" s="213"/>
      <c r="AA46" s="213"/>
      <c r="AB46" s="213"/>
      <c r="AC46" s="213"/>
      <c r="AD46" s="213"/>
      <c r="AE46" s="213"/>
      <c r="AF46" s="213"/>
      <c r="AG46" s="208"/>
      <c r="AH46" s="208"/>
      <c r="AI46" s="208"/>
      <c r="AJ46" s="208"/>
      <c r="AK46" s="208"/>
    </row>
    <row r="47">
      <c r="A47" s="216"/>
      <c r="B47" s="210"/>
      <c r="C47" s="211"/>
      <c r="D47" s="211"/>
      <c r="E47" s="211"/>
      <c r="F47" s="211"/>
      <c r="G47" s="218"/>
      <c r="H47" s="218"/>
      <c r="I47" s="218"/>
      <c r="J47" s="213"/>
      <c r="K47" s="213"/>
      <c r="L47" s="214"/>
      <c r="M47" s="213"/>
      <c r="N47" s="214"/>
      <c r="O47" s="213"/>
      <c r="P47" s="213"/>
      <c r="Q47" s="214"/>
      <c r="R47" s="214"/>
      <c r="S47" s="101"/>
      <c r="T47" s="101"/>
      <c r="U47" s="213"/>
      <c r="V47" s="213"/>
      <c r="W47" s="213"/>
      <c r="X47" s="213"/>
      <c r="Y47" s="213"/>
      <c r="Z47" s="213"/>
      <c r="AA47" s="213"/>
      <c r="AB47" s="213"/>
      <c r="AC47" s="213"/>
      <c r="AD47" s="213"/>
      <c r="AE47" s="213"/>
      <c r="AF47" s="213"/>
      <c r="AG47" s="208"/>
      <c r="AH47" s="208"/>
      <c r="AI47" s="208"/>
      <c r="AJ47" s="208"/>
      <c r="AK47" s="208"/>
    </row>
    <row r="48">
      <c r="A48" s="216"/>
      <c r="B48" s="210"/>
      <c r="C48" s="211"/>
      <c r="D48" s="211"/>
      <c r="E48" s="211"/>
      <c r="F48" s="211"/>
      <c r="G48" s="218"/>
      <c r="H48" s="218"/>
      <c r="I48" s="218"/>
      <c r="J48" s="213"/>
      <c r="K48" s="213"/>
      <c r="L48" s="214"/>
      <c r="M48" s="213"/>
      <c r="N48" s="214"/>
      <c r="O48" s="213"/>
      <c r="P48" s="213"/>
      <c r="Q48" s="214"/>
      <c r="R48" s="214"/>
      <c r="S48" s="101"/>
      <c r="T48" s="101"/>
      <c r="U48" s="213"/>
      <c r="V48" s="213"/>
      <c r="W48" s="213"/>
      <c r="X48" s="213"/>
      <c r="Y48" s="213"/>
      <c r="Z48" s="213"/>
      <c r="AA48" s="213"/>
      <c r="AB48" s="213"/>
      <c r="AC48" s="213"/>
      <c r="AD48" s="213"/>
      <c r="AE48" s="213"/>
      <c r="AF48" s="213"/>
      <c r="AG48" s="208"/>
      <c r="AH48" s="208"/>
      <c r="AI48" s="208"/>
      <c r="AJ48" s="208"/>
      <c r="AK48" s="208"/>
    </row>
    <row r="49">
      <c r="A49" s="216"/>
      <c r="B49" s="210"/>
      <c r="C49" s="211"/>
      <c r="D49" s="211"/>
      <c r="E49" s="211"/>
      <c r="F49" s="211"/>
      <c r="G49" s="218"/>
      <c r="H49" s="218"/>
      <c r="I49" s="218"/>
      <c r="J49" s="213"/>
      <c r="K49" s="213"/>
      <c r="L49" s="214"/>
      <c r="M49" s="213"/>
      <c r="N49" s="214"/>
      <c r="O49" s="213"/>
      <c r="P49" s="213"/>
      <c r="Q49" s="214"/>
      <c r="R49" s="214"/>
      <c r="S49" s="101"/>
      <c r="T49" s="101"/>
      <c r="U49" s="213"/>
      <c r="V49" s="213"/>
      <c r="W49" s="213"/>
      <c r="X49" s="213"/>
      <c r="Y49" s="213"/>
      <c r="Z49" s="213"/>
      <c r="AA49" s="213"/>
      <c r="AB49" s="213"/>
      <c r="AC49" s="213"/>
      <c r="AD49" s="213"/>
      <c r="AE49" s="213"/>
      <c r="AF49" s="213"/>
      <c r="AG49" s="208"/>
      <c r="AH49" s="208"/>
      <c r="AI49" s="208"/>
      <c r="AJ49" s="208"/>
      <c r="AK49" s="208"/>
    </row>
    <row r="50">
      <c r="A50" s="216"/>
      <c r="B50" s="210"/>
      <c r="C50" s="211"/>
      <c r="D50" s="211"/>
      <c r="E50" s="211"/>
      <c r="F50" s="211"/>
      <c r="G50" s="218"/>
      <c r="H50" s="218"/>
      <c r="I50" s="218"/>
      <c r="J50" s="213"/>
      <c r="K50" s="213"/>
      <c r="L50" s="214"/>
      <c r="M50" s="213"/>
      <c r="N50" s="214"/>
      <c r="O50" s="213"/>
      <c r="P50" s="213"/>
      <c r="Q50" s="214"/>
      <c r="R50" s="214"/>
      <c r="S50" s="101"/>
      <c r="T50" s="101"/>
      <c r="U50" s="213"/>
      <c r="V50" s="213"/>
      <c r="W50" s="213"/>
      <c r="X50" s="213"/>
      <c r="Y50" s="213"/>
      <c r="Z50" s="213"/>
      <c r="AA50" s="213"/>
      <c r="AB50" s="213"/>
      <c r="AC50" s="213"/>
      <c r="AD50" s="213"/>
      <c r="AE50" s="213"/>
      <c r="AF50" s="213"/>
      <c r="AG50" s="208"/>
      <c r="AH50" s="208"/>
      <c r="AI50" s="208"/>
      <c r="AJ50" s="208"/>
      <c r="AK50" s="208"/>
    </row>
    <row r="51">
      <c r="A51" s="216"/>
      <c r="B51" s="210"/>
      <c r="C51" s="211"/>
      <c r="D51" s="211"/>
      <c r="E51" s="211"/>
      <c r="F51" s="211"/>
      <c r="G51" s="218"/>
      <c r="H51" s="218"/>
      <c r="I51" s="218"/>
      <c r="J51" s="213"/>
      <c r="K51" s="213"/>
      <c r="L51" s="214"/>
      <c r="M51" s="213"/>
      <c r="N51" s="214"/>
      <c r="O51" s="213"/>
      <c r="P51" s="213"/>
      <c r="Q51" s="214"/>
      <c r="R51" s="214"/>
      <c r="S51" s="101"/>
      <c r="T51" s="101"/>
      <c r="U51" s="213"/>
      <c r="V51" s="213"/>
      <c r="W51" s="213"/>
      <c r="X51" s="213"/>
      <c r="Y51" s="213"/>
      <c r="Z51" s="213"/>
      <c r="AA51" s="213"/>
      <c r="AB51" s="213"/>
      <c r="AC51" s="213"/>
      <c r="AD51" s="213"/>
      <c r="AE51" s="213"/>
      <c r="AF51" s="213"/>
      <c r="AG51" s="208"/>
      <c r="AH51" s="208"/>
      <c r="AI51" s="208"/>
      <c r="AJ51" s="208"/>
      <c r="AK51" s="208"/>
    </row>
    <row r="52">
      <c r="A52" s="216"/>
      <c r="B52" s="210"/>
      <c r="C52" s="211"/>
      <c r="D52" s="211"/>
      <c r="E52" s="211"/>
      <c r="F52" s="211"/>
      <c r="G52" s="218"/>
      <c r="H52" s="218"/>
      <c r="I52" s="218"/>
      <c r="J52" s="213"/>
      <c r="K52" s="213"/>
      <c r="L52" s="214"/>
      <c r="M52" s="213"/>
      <c r="N52" s="214"/>
      <c r="O52" s="213"/>
      <c r="P52" s="213"/>
      <c r="Q52" s="214"/>
      <c r="R52" s="214"/>
      <c r="S52" s="101"/>
      <c r="T52" s="101"/>
      <c r="U52" s="213"/>
      <c r="V52" s="213"/>
      <c r="W52" s="213"/>
      <c r="X52" s="213"/>
      <c r="Y52" s="213"/>
      <c r="Z52" s="213"/>
      <c r="AA52" s="213"/>
      <c r="AB52" s="213"/>
      <c r="AC52" s="213"/>
      <c r="AD52" s="213"/>
      <c r="AE52" s="213"/>
      <c r="AF52" s="213"/>
      <c r="AG52" s="208"/>
      <c r="AH52" s="208"/>
      <c r="AI52" s="208"/>
      <c r="AJ52" s="208"/>
      <c r="AK52" s="208"/>
    </row>
    <row r="53">
      <c r="A53" s="219"/>
      <c r="B53" s="220"/>
      <c r="C53" s="221"/>
      <c r="D53" s="221"/>
      <c r="E53" s="221"/>
      <c r="F53" s="221"/>
      <c r="G53" s="221"/>
      <c r="H53" s="223"/>
      <c r="I53" s="221"/>
      <c r="J53" s="224"/>
      <c r="K53" s="224"/>
      <c r="L53" s="225"/>
      <c r="M53" s="224"/>
      <c r="N53" s="225"/>
      <c r="O53" s="226"/>
      <c r="P53" s="226"/>
      <c r="Q53" s="225"/>
      <c r="R53" s="225"/>
      <c r="S53" s="226"/>
      <c r="T53" s="226"/>
      <c r="U53" s="224"/>
      <c r="V53" s="226"/>
      <c r="W53" s="226"/>
      <c r="X53" s="226"/>
      <c r="Y53" s="226"/>
      <c r="Z53" s="226"/>
      <c r="AA53" s="224"/>
      <c r="AB53" s="224"/>
      <c r="AC53" s="224"/>
      <c r="AD53" s="224"/>
      <c r="AE53" s="224"/>
      <c r="AF53" s="224"/>
      <c r="AG53" s="208"/>
      <c r="AH53" s="208"/>
      <c r="AI53" s="208"/>
      <c r="AJ53" s="208"/>
      <c r="AK53" s="208"/>
    </row>
    <row r="54">
      <c r="A54" s="219"/>
      <c r="B54" s="220"/>
      <c r="C54" s="221"/>
      <c r="D54" s="221"/>
      <c r="E54" s="221"/>
      <c r="F54" s="221"/>
      <c r="G54" s="221"/>
      <c r="H54" s="223"/>
      <c r="I54" s="221"/>
      <c r="J54" s="224"/>
      <c r="K54" s="224"/>
      <c r="L54" s="225"/>
      <c r="M54" s="224"/>
      <c r="N54" s="225"/>
      <c r="O54" s="226"/>
      <c r="P54" s="226"/>
      <c r="Q54" s="225"/>
      <c r="R54" s="225"/>
      <c r="S54" s="226"/>
      <c r="T54" s="226"/>
      <c r="U54" s="224"/>
      <c r="V54" s="226"/>
      <c r="W54" s="226"/>
      <c r="X54" s="226"/>
      <c r="Y54" s="226"/>
      <c r="Z54" s="226"/>
      <c r="AA54" s="224"/>
      <c r="AB54" s="224"/>
      <c r="AC54" s="224"/>
      <c r="AD54" s="224"/>
      <c r="AE54" s="224"/>
      <c r="AF54" s="224"/>
      <c r="AG54" s="208"/>
      <c r="AH54" s="208"/>
      <c r="AI54" s="208"/>
      <c r="AJ54" s="208"/>
      <c r="AK54" s="208"/>
    </row>
    <row r="55">
      <c r="A55" s="219"/>
      <c r="B55" s="220"/>
      <c r="C55" s="221"/>
      <c r="D55" s="221"/>
      <c r="E55" s="221"/>
      <c r="F55" s="221"/>
      <c r="G55" s="221"/>
      <c r="H55" s="223"/>
      <c r="I55" s="221"/>
      <c r="J55" s="224"/>
      <c r="K55" s="224"/>
      <c r="L55" s="225"/>
      <c r="M55" s="224"/>
      <c r="N55" s="225"/>
      <c r="O55" s="226"/>
      <c r="P55" s="226"/>
      <c r="Q55" s="225"/>
      <c r="R55" s="225"/>
      <c r="S55" s="226"/>
      <c r="T55" s="226"/>
      <c r="U55" s="224"/>
      <c r="V55" s="226"/>
      <c r="W55" s="226"/>
      <c r="X55" s="226"/>
      <c r="Y55" s="226"/>
      <c r="Z55" s="226"/>
      <c r="AA55" s="224"/>
      <c r="AB55" s="224"/>
      <c r="AC55" s="224"/>
      <c r="AD55" s="224"/>
      <c r="AE55" s="224"/>
      <c r="AF55" s="224"/>
      <c r="AG55" s="208"/>
      <c r="AH55" s="208"/>
      <c r="AI55" s="208"/>
      <c r="AJ55" s="208"/>
      <c r="AK55" s="208"/>
    </row>
    <row r="56">
      <c r="A56" s="219"/>
      <c r="B56" s="220"/>
      <c r="C56" s="221"/>
      <c r="D56" s="221"/>
      <c r="E56" s="221"/>
      <c r="F56" s="221"/>
      <c r="G56" s="221"/>
      <c r="H56" s="223"/>
      <c r="I56" s="221"/>
      <c r="J56" s="224"/>
      <c r="K56" s="224"/>
      <c r="L56" s="225"/>
      <c r="M56" s="224"/>
      <c r="N56" s="225"/>
      <c r="O56" s="226"/>
      <c r="P56" s="226"/>
      <c r="Q56" s="225"/>
      <c r="R56" s="225"/>
      <c r="S56" s="226"/>
      <c r="T56" s="226"/>
      <c r="U56" s="224"/>
      <c r="V56" s="226"/>
      <c r="W56" s="226"/>
      <c r="X56" s="226"/>
      <c r="Y56" s="226"/>
      <c r="Z56" s="226"/>
      <c r="AA56" s="224"/>
      <c r="AB56" s="224"/>
      <c r="AC56" s="224"/>
      <c r="AD56" s="224"/>
      <c r="AE56" s="224"/>
      <c r="AF56" s="224"/>
      <c r="AG56" s="208"/>
      <c r="AH56" s="208"/>
      <c r="AI56" s="208"/>
      <c r="AJ56" s="208"/>
      <c r="AK56" s="208"/>
    </row>
    <row r="57">
      <c r="A57" s="219"/>
      <c r="B57" s="220"/>
      <c r="C57" s="221"/>
      <c r="D57" s="221"/>
      <c r="E57" s="221"/>
      <c r="F57" s="221"/>
      <c r="G57" s="221"/>
      <c r="H57" s="223"/>
      <c r="I57" s="221"/>
      <c r="J57" s="224"/>
      <c r="K57" s="224"/>
      <c r="L57" s="225"/>
      <c r="M57" s="224"/>
      <c r="N57" s="225"/>
      <c r="O57" s="226"/>
      <c r="P57" s="226"/>
      <c r="Q57" s="225"/>
      <c r="R57" s="225"/>
      <c r="S57" s="226"/>
      <c r="T57" s="226"/>
      <c r="U57" s="224"/>
      <c r="V57" s="226"/>
      <c r="W57" s="226"/>
      <c r="X57" s="226"/>
      <c r="Y57" s="226"/>
      <c r="Z57" s="226"/>
      <c r="AA57" s="224"/>
      <c r="AB57" s="224"/>
      <c r="AC57" s="224"/>
      <c r="AD57" s="224"/>
      <c r="AE57" s="224"/>
      <c r="AF57" s="224"/>
      <c r="AG57" s="208"/>
      <c r="AH57" s="208"/>
      <c r="AI57" s="208"/>
      <c r="AJ57" s="208"/>
      <c r="AK57" s="208"/>
    </row>
    <row r="58">
      <c r="A58" s="219"/>
      <c r="B58" s="220"/>
      <c r="C58" s="221"/>
      <c r="D58" s="221"/>
      <c r="E58" s="221"/>
      <c r="F58" s="221"/>
      <c r="G58" s="221"/>
      <c r="H58" s="223"/>
      <c r="I58" s="221"/>
      <c r="J58" s="224"/>
      <c r="K58" s="224"/>
      <c r="L58" s="225"/>
      <c r="M58" s="224"/>
      <c r="N58" s="225"/>
      <c r="O58" s="226"/>
      <c r="P58" s="226"/>
      <c r="Q58" s="225"/>
      <c r="R58" s="225"/>
      <c r="S58" s="226"/>
      <c r="T58" s="226"/>
      <c r="U58" s="224"/>
      <c r="V58" s="226"/>
      <c r="W58" s="226"/>
      <c r="X58" s="226"/>
      <c r="Y58" s="226"/>
      <c r="Z58" s="226"/>
      <c r="AA58" s="224"/>
      <c r="AB58" s="224"/>
      <c r="AC58" s="224"/>
      <c r="AD58" s="224"/>
      <c r="AE58" s="224"/>
      <c r="AF58" s="224"/>
      <c r="AG58" s="208"/>
      <c r="AH58" s="208"/>
      <c r="AI58" s="208"/>
      <c r="AJ58" s="208"/>
      <c r="AK58" s="208"/>
    </row>
    <row r="59">
      <c r="A59" s="219"/>
      <c r="B59" s="220"/>
      <c r="C59" s="221"/>
      <c r="D59" s="221"/>
      <c r="E59" s="221"/>
      <c r="F59" s="221"/>
      <c r="G59" s="221"/>
      <c r="H59" s="223"/>
      <c r="I59" s="221"/>
      <c r="J59" s="224"/>
      <c r="K59" s="224"/>
      <c r="L59" s="225"/>
      <c r="M59" s="224"/>
      <c r="N59" s="225"/>
      <c r="O59" s="226"/>
      <c r="P59" s="226"/>
      <c r="Q59" s="225"/>
      <c r="R59" s="225"/>
      <c r="S59" s="226"/>
      <c r="T59" s="226"/>
      <c r="U59" s="224"/>
      <c r="V59" s="226"/>
      <c r="W59" s="226"/>
      <c r="X59" s="226"/>
      <c r="Y59" s="226"/>
      <c r="Z59" s="226"/>
      <c r="AA59" s="224"/>
      <c r="AB59" s="224"/>
      <c r="AC59" s="224"/>
      <c r="AD59" s="224"/>
      <c r="AE59" s="224"/>
      <c r="AF59" s="224"/>
      <c r="AG59" s="208"/>
      <c r="AH59" s="208"/>
      <c r="AI59" s="208"/>
      <c r="AJ59" s="208"/>
      <c r="AK59" s="208"/>
    </row>
    <row r="60">
      <c r="A60" s="219"/>
      <c r="B60" s="220"/>
      <c r="C60" s="221"/>
      <c r="D60" s="221"/>
      <c r="E60" s="221"/>
      <c r="F60" s="221"/>
      <c r="G60" s="221"/>
      <c r="H60" s="223"/>
      <c r="I60" s="221"/>
      <c r="J60" s="224"/>
      <c r="K60" s="224"/>
      <c r="L60" s="225"/>
      <c r="M60" s="224"/>
      <c r="N60" s="225"/>
      <c r="O60" s="226"/>
      <c r="P60" s="226"/>
      <c r="Q60" s="225"/>
      <c r="R60" s="225"/>
      <c r="S60" s="226"/>
      <c r="T60" s="226"/>
      <c r="U60" s="224"/>
      <c r="V60" s="226"/>
      <c r="W60" s="226"/>
      <c r="X60" s="226"/>
      <c r="Y60" s="226"/>
      <c r="Z60" s="226"/>
      <c r="AA60" s="224"/>
      <c r="AB60" s="224"/>
      <c r="AC60" s="224"/>
      <c r="AD60" s="224"/>
      <c r="AE60" s="224"/>
      <c r="AF60" s="224"/>
      <c r="AG60" s="208"/>
      <c r="AH60" s="208"/>
      <c r="AI60" s="208"/>
      <c r="AJ60" s="208"/>
      <c r="AK60" s="208"/>
    </row>
    <row r="61">
      <c r="A61" s="219"/>
      <c r="B61" s="220"/>
      <c r="C61" s="221"/>
      <c r="D61" s="221"/>
      <c r="E61" s="221"/>
      <c r="F61" s="221"/>
      <c r="G61" s="221"/>
      <c r="H61" s="223"/>
      <c r="I61" s="221"/>
      <c r="J61" s="224"/>
      <c r="K61" s="224"/>
      <c r="L61" s="225"/>
      <c r="M61" s="224"/>
      <c r="N61" s="225"/>
      <c r="O61" s="226"/>
      <c r="P61" s="226"/>
      <c r="Q61" s="225"/>
      <c r="R61" s="225"/>
      <c r="S61" s="226"/>
      <c r="T61" s="226"/>
      <c r="U61" s="224"/>
      <c r="V61" s="226"/>
      <c r="W61" s="226"/>
      <c r="X61" s="226"/>
      <c r="Y61" s="226"/>
      <c r="Z61" s="226"/>
      <c r="AA61" s="224"/>
      <c r="AB61" s="224"/>
      <c r="AC61" s="224"/>
      <c r="AD61" s="224"/>
      <c r="AE61" s="224"/>
      <c r="AF61" s="224"/>
      <c r="AG61" s="208"/>
      <c r="AH61" s="208"/>
      <c r="AI61" s="208"/>
      <c r="AJ61" s="208"/>
      <c r="AK61" s="208"/>
    </row>
    <row r="62">
      <c r="A62" s="219"/>
      <c r="B62" s="220"/>
      <c r="C62" s="221"/>
      <c r="D62" s="221"/>
      <c r="E62" s="221"/>
      <c r="F62" s="221"/>
      <c r="G62" s="221"/>
      <c r="H62" s="223"/>
      <c r="I62" s="221"/>
      <c r="J62" s="224"/>
      <c r="K62" s="224"/>
      <c r="L62" s="225"/>
      <c r="M62" s="224"/>
      <c r="N62" s="225"/>
      <c r="O62" s="226"/>
      <c r="P62" s="226"/>
      <c r="Q62" s="225"/>
      <c r="R62" s="225"/>
      <c r="S62" s="226"/>
      <c r="T62" s="226"/>
      <c r="U62" s="224"/>
      <c r="V62" s="226"/>
      <c r="W62" s="226"/>
      <c r="X62" s="226"/>
      <c r="Y62" s="226"/>
      <c r="Z62" s="226"/>
      <c r="AA62" s="224"/>
      <c r="AB62" s="224"/>
      <c r="AC62" s="224"/>
      <c r="AD62" s="224"/>
      <c r="AE62" s="224"/>
      <c r="AF62" s="224"/>
      <c r="AG62" s="208"/>
      <c r="AH62" s="208"/>
      <c r="AI62" s="208"/>
      <c r="AJ62" s="208"/>
      <c r="AK62" s="208"/>
    </row>
    <row r="63">
      <c r="A63" s="219"/>
      <c r="B63" s="220"/>
      <c r="C63" s="221"/>
      <c r="D63" s="221"/>
      <c r="E63" s="221"/>
      <c r="F63" s="221"/>
      <c r="G63" s="221"/>
      <c r="H63" s="223"/>
      <c r="I63" s="221"/>
      <c r="J63" s="224"/>
      <c r="K63" s="224"/>
      <c r="L63" s="225"/>
      <c r="M63" s="224"/>
      <c r="N63" s="225"/>
      <c r="O63" s="226"/>
      <c r="P63" s="226"/>
      <c r="Q63" s="225"/>
      <c r="R63" s="225"/>
      <c r="S63" s="226"/>
      <c r="T63" s="226"/>
      <c r="U63" s="224"/>
      <c r="V63" s="226"/>
      <c r="W63" s="226"/>
      <c r="X63" s="226"/>
      <c r="Y63" s="226"/>
      <c r="Z63" s="226"/>
      <c r="AA63" s="224"/>
      <c r="AB63" s="224"/>
      <c r="AC63" s="224"/>
      <c r="AD63" s="224"/>
      <c r="AE63" s="224"/>
      <c r="AF63" s="224"/>
      <c r="AG63" s="208"/>
      <c r="AH63" s="208"/>
      <c r="AI63" s="208"/>
      <c r="AJ63" s="208"/>
      <c r="AK63" s="208"/>
    </row>
    <row r="64">
      <c r="A64" s="219"/>
      <c r="B64" s="220"/>
      <c r="C64" s="221"/>
      <c r="D64" s="221"/>
      <c r="E64" s="221"/>
      <c r="F64" s="221"/>
      <c r="G64" s="221"/>
      <c r="H64" s="223"/>
      <c r="I64" s="221"/>
      <c r="J64" s="224"/>
      <c r="K64" s="224"/>
      <c r="L64" s="225"/>
      <c r="M64" s="224"/>
      <c r="N64" s="225"/>
      <c r="O64" s="226"/>
      <c r="P64" s="226"/>
      <c r="Q64" s="225"/>
      <c r="R64" s="225"/>
      <c r="S64" s="226"/>
      <c r="T64" s="226"/>
      <c r="U64" s="224"/>
      <c r="V64" s="226"/>
      <c r="W64" s="226"/>
      <c r="X64" s="226"/>
      <c r="Y64" s="226"/>
      <c r="Z64" s="226"/>
      <c r="AA64" s="224"/>
      <c r="AB64" s="224"/>
      <c r="AC64" s="224"/>
      <c r="AD64" s="224"/>
      <c r="AE64" s="224"/>
      <c r="AF64" s="224"/>
      <c r="AG64" s="208"/>
      <c r="AH64" s="208"/>
      <c r="AI64" s="208"/>
      <c r="AJ64" s="208"/>
      <c r="AK64" s="208"/>
    </row>
    <row r="65">
      <c r="A65" s="219"/>
      <c r="B65" s="220"/>
      <c r="C65" s="221"/>
      <c r="D65" s="221"/>
      <c r="E65" s="221"/>
      <c r="F65" s="221"/>
      <c r="G65" s="221"/>
      <c r="H65" s="223"/>
      <c r="I65" s="221"/>
      <c r="J65" s="224"/>
      <c r="K65" s="224"/>
      <c r="L65" s="225"/>
      <c r="M65" s="224"/>
      <c r="N65" s="225"/>
      <c r="O65" s="226"/>
      <c r="P65" s="226"/>
      <c r="Q65" s="225"/>
      <c r="R65" s="225"/>
      <c r="S65" s="226"/>
      <c r="T65" s="226"/>
      <c r="U65" s="224"/>
      <c r="V65" s="226"/>
      <c r="W65" s="226"/>
      <c r="X65" s="226"/>
      <c r="Y65" s="226"/>
      <c r="Z65" s="226"/>
      <c r="AA65" s="224"/>
      <c r="AB65" s="224"/>
      <c r="AC65" s="224"/>
      <c r="AD65" s="224"/>
      <c r="AE65" s="224"/>
      <c r="AF65" s="224"/>
      <c r="AG65" s="208"/>
      <c r="AH65" s="208"/>
      <c r="AI65" s="208"/>
      <c r="AJ65" s="208"/>
      <c r="AK65" s="208"/>
    </row>
    <row r="66">
      <c r="A66" s="219"/>
      <c r="B66" s="220"/>
      <c r="C66" s="221"/>
      <c r="D66" s="221"/>
      <c r="E66" s="221"/>
      <c r="F66" s="221"/>
      <c r="G66" s="221"/>
      <c r="H66" s="223"/>
      <c r="I66" s="221"/>
      <c r="J66" s="224"/>
      <c r="K66" s="224"/>
      <c r="L66" s="225"/>
      <c r="M66" s="224"/>
      <c r="N66" s="225"/>
      <c r="O66" s="226"/>
      <c r="P66" s="226"/>
      <c r="Q66" s="225"/>
      <c r="R66" s="225"/>
      <c r="S66" s="226"/>
      <c r="T66" s="226"/>
      <c r="U66" s="224"/>
      <c r="V66" s="226"/>
      <c r="W66" s="226"/>
      <c r="X66" s="226"/>
      <c r="Y66" s="226"/>
      <c r="Z66" s="226"/>
      <c r="AA66" s="224"/>
      <c r="AB66" s="224"/>
      <c r="AC66" s="224"/>
      <c r="AD66" s="224"/>
      <c r="AE66" s="224"/>
      <c r="AF66" s="224"/>
      <c r="AG66" s="208"/>
      <c r="AH66" s="208"/>
      <c r="AI66" s="208"/>
      <c r="AJ66" s="208"/>
      <c r="AK66" s="208"/>
    </row>
    <row r="67">
      <c r="A67" s="219"/>
      <c r="B67" s="220"/>
      <c r="C67" s="221"/>
      <c r="D67" s="221"/>
      <c r="E67" s="221"/>
      <c r="F67" s="221"/>
      <c r="G67" s="221"/>
      <c r="H67" s="223"/>
      <c r="I67" s="221"/>
      <c r="J67" s="224"/>
      <c r="K67" s="224"/>
      <c r="L67" s="225"/>
      <c r="M67" s="224"/>
      <c r="N67" s="225"/>
      <c r="O67" s="226"/>
      <c r="P67" s="226"/>
      <c r="Q67" s="225"/>
      <c r="R67" s="225"/>
      <c r="S67" s="226"/>
      <c r="T67" s="226"/>
      <c r="U67" s="224"/>
      <c r="V67" s="226"/>
      <c r="W67" s="226"/>
      <c r="X67" s="226"/>
      <c r="Y67" s="226"/>
      <c r="Z67" s="226"/>
      <c r="AA67" s="224"/>
      <c r="AB67" s="224"/>
      <c r="AC67" s="224"/>
      <c r="AD67" s="224"/>
      <c r="AE67" s="224"/>
      <c r="AF67" s="224"/>
      <c r="AG67" s="208"/>
      <c r="AH67" s="208"/>
      <c r="AI67" s="208"/>
      <c r="AJ67" s="208"/>
      <c r="AK67" s="208"/>
    </row>
    <row r="68">
      <c r="A68" s="227"/>
      <c r="B68" s="228"/>
      <c r="C68" s="223"/>
      <c r="D68" s="223"/>
      <c r="E68" s="223"/>
      <c r="F68" s="223"/>
      <c r="G68" s="223"/>
      <c r="H68" s="223"/>
      <c r="I68" s="223"/>
      <c r="J68" s="229"/>
      <c r="K68" s="229"/>
      <c r="L68" s="230"/>
      <c r="M68" s="229"/>
      <c r="N68" s="230"/>
      <c r="O68" s="231"/>
      <c r="P68" s="231"/>
      <c r="Q68" s="230"/>
      <c r="R68" s="230"/>
      <c r="S68" s="231"/>
      <c r="T68" s="231"/>
      <c r="U68" s="229"/>
      <c r="V68" s="231"/>
      <c r="W68" s="231"/>
      <c r="X68" s="231"/>
      <c r="Y68" s="231"/>
      <c r="Z68" s="231"/>
      <c r="AA68" s="229"/>
      <c r="AB68" s="229"/>
      <c r="AC68" s="229"/>
      <c r="AD68" s="229"/>
      <c r="AE68" s="229"/>
      <c r="AF68" s="229"/>
      <c r="AG68" s="232"/>
      <c r="AH68" s="232"/>
      <c r="AI68" s="232"/>
      <c r="AJ68" s="232"/>
      <c r="AK68" s="232"/>
    </row>
    <row r="69">
      <c r="A69" s="227"/>
      <c r="B69" s="228"/>
      <c r="C69" s="223"/>
      <c r="D69" s="223"/>
      <c r="E69" s="223"/>
      <c r="F69" s="223"/>
      <c r="G69" s="223"/>
      <c r="H69" s="223"/>
      <c r="I69" s="223"/>
      <c r="J69" s="229"/>
      <c r="K69" s="229"/>
      <c r="L69" s="230"/>
      <c r="M69" s="229"/>
      <c r="N69" s="230"/>
      <c r="O69" s="231"/>
      <c r="P69" s="231"/>
      <c r="Q69" s="230"/>
      <c r="R69" s="230"/>
      <c r="S69" s="231"/>
      <c r="T69" s="231"/>
      <c r="U69" s="229"/>
      <c r="V69" s="231"/>
      <c r="W69" s="231"/>
      <c r="X69" s="231"/>
      <c r="Y69" s="231"/>
      <c r="Z69" s="231"/>
      <c r="AA69" s="229"/>
      <c r="AB69" s="229"/>
      <c r="AC69" s="229"/>
      <c r="AD69" s="229"/>
      <c r="AE69" s="229"/>
      <c r="AF69" s="229"/>
      <c r="AG69" s="232"/>
      <c r="AH69" s="232"/>
      <c r="AI69" s="232"/>
      <c r="AJ69" s="232"/>
      <c r="AK69" s="232"/>
    </row>
    <row r="70">
      <c r="A70" s="227"/>
      <c r="B70" s="228"/>
      <c r="C70" s="223"/>
      <c r="D70" s="223"/>
      <c r="E70" s="223"/>
      <c r="F70" s="223"/>
      <c r="G70" s="223"/>
      <c r="H70" s="223"/>
      <c r="I70" s="223"/>
      <c r="J70" s="229"/>
      <c r="K70" s="229"/>
      <c r="L70" s="230"/>
      <c r="M70" s="229"/>
      <c r="N70" s="230"/>
      <c r="O70" s="231"/>
      <c r="P70" s="231"/>
      <c r="Q70" s="230"/>
      <c r="R70" s="230"/>
      <c r="S70" s="231"/>
      <c r="T70" s="231"/>
      <c r="U70" s="229"/>
      <c r="V70" s="231"/>
      <c r="W70" s="231"/>
      <c r="X70" s="231"/>
      <c r="Y70" s="231"/>
      <c r="Z70" s="231"/>
      <c r="AA70" s="229"/>
      <c r="AB70" s="229"/>
      <c r="AC70" s="229"/>
      <c r="AD70" s="229"/>
      <c r="AE70" s="229"/>
      <c r="AF70" s="229"/>
      <c r="AG70" s="232"/>
      <c r="AH70" s="232"/>
      <c r="AI70" s="232"/>
      <c r="AJ70" s="232"/>
      <c r="AK70" s="232"/>
    </row>
    <row r="71">
      <c r="A71" s="227"/>
      <c r="B71" s="228"/>
      <c r="C71" s="223"/>
      <c r="D71" s="223"/>
      <c r="E71" s="223"/>
      <c r="F71" s="223"/>
      <c r="G71" s="223"/>
      <c r="H71" s="223"/>
      <c r="I71" s="223"/>
      <c r="J71" s="229"/>
      <c r="K71" s="229"/>
      <c r="L71" s="230"/>
      <c r="M71" s="229"/>
      <c r="N71" s="230"/>
      <c r="O71" s="231"/>
      <c r="P71" s="231"/>
      <c r="Q71" s="230"/>
      <c r="R71" s="230"/>
      <c r="S71" s="231"/>
      <c r="T71" s="231"/>
      <c r="U71" s="229"/>
      <c r="V71" s="231"/>
      <c r="W71" s="231"/>
      <c r="X71" s="231"/>
      <c r="Y71" s="231"/>
      <c r="Z71" s="231"/>
      <c r="AA71" s="229"/>
      <c r="AB71" s="229"/>
      <c r="AC71" s="229"/>
      <c r="AD71" s="229"/>
      <c r="AE71" s="229"/>
      <c r="AF71" s="229"/>
      <c r="AG71" s="232"/>
      <c r="AH71" s="232"/>
      <c r="AI71" s="232"/>
      <c r="AJ71" s="232"/>
      <c r="AK71" s="232"/>
    </row>
    <row r="72">
      <c r="A72" s="227"/>
      <c r="B72" s="228"/>
      <c r="C72" s="223"/>
      <c r="D72" s="223"/>
      <c r="E72" s="223"/>
      <c r="F72" s="223"/>
      <c r="G72" s="223"/>
      <c r="H72" s="223"/>
      <c r="I72" s="223"/>
      <c r="J72" s="229"/>
      <c r="K72" s="229"/>
      <c r="L72" s="230"/>
      <c r="M72" s="229"/>
      <c r="N72" s="230"/>
      <c r="O72" s="231"/>
      <c r="P72" s="231"/>
      <c r="Q72" s="230"/>
      <c r="R72" s="230"/>
      <c r="S72" s="231"/>
      <c r="T72" s="231"/>
      <c r="U72" s="229"/>
      <c r="V72" s="231"/>
      <c r="W72" s="231"/>
      <c r="X72" s="231"/>
      <c r="Y72" s="231"/>
      <c r="Z72" s="231"/>
      <c r="AA72" s="229"/>
      <c r="AB72" s="229"/>
      <c r="AC72" s="229"/>
      <c r="AD72" s="229"/>
      <c r="AE72" s="229"/>
      <c r="AF72" s="229"/>
      <c r="AG72" s="232"/>
      <c r="AH72" s="232"/>
      <c r="AI72" s="232"/>
      <c r="AJ72" s="232"/>
      <c r="AK72" s="232"/>
    </row>
    <row r="73">
      <c r="A73" s="227"/>
      <c r="B73" s="228"/>
      <c r="C73" s="223"/>
      <c r="D73" s="223"/>
      <c r="E73" s="223"/>
      <c r="F73" s="223"/>
      <c r="G73" s="223"/>
      <c r="H73" s="223"/>
      <c r="I73" s="223"/>
      <c r="J73" s="229"/>
      <c r="K73" s="229"/>
      <c r="L73" s="230"/>
      <c r="M73" s="229"/>
      <c r="N73" s="230"/>
      <c r="O73" s="231"/>
      <c r="P73" s="231"/>
      <c r="Q73" s="230"/>
      <c r="R73" s="230"/>
      <c r="S73" s="231"/>
      <c r="T73" s="231"/>
      <c r="U73" s="229"/>
      <c r="V73" s="231"/>
      <c r="W73" s="231"/>
      <c r="X73" s="231"/>
      <c r="Y73" s="231"/>
      <c r="Z73" s="231"/>
      <c r="AA73" s="229"/>
      <c r="AB73" s="229"/>
      <c r="AC73" s="229"/>
      <c r="AD73" s="229"/>
      <c r="AE73" s="229"/>
      <c r="AF73" s="229"/>
      <c r="AG73" s="232"/>
      <c r="AH73" s="232"/>
      <c r="AI73" s="232"/>
      <c r="AJ73" s="232"/>
      <c r="AK73" s="232"/>
    </row>
    <row r="74">
      <c r="A74" s="227"/>
      <c r="B74" s="228"/>
      <c r="C74" s="223"/>
      <c r="D74" s="223"/>
      <c r="E74" s="223"/>
      <c r="F74" s="223"/>
      <c r="G74" s="223"/>
      <c r="H74" s="223"/>
      <c r="I74" s="223"/>
      <c r="J74" s="229"/>
      <c r="K74" s="229"/>
      <c r="L74" s="230"/>
      <c r="M74" s="229"/>
      <c r="N74" s="230"/>
      <c r="O74" s="231"/>
      <c r="P74" s="231"/>
      <c r="Q74" s="230"/>
      <c r="R74" s="230"/>
      <c r="S74" s="231"/>
      <c r="T74" s="231"/>
      <c r="U74" s="229"/>
      <c r="V74" s="231"/>
      <c r="W74" s="231"/>
      <c r="X74" s="231"/>
      <c r="Y74" s="231"/>
      <c r="Z74" s="231"/>
      <c r="AA74" s="229"/>
      <c r="AB74" s="229"/>
      <c r="AC74" s="229"/>
      <c r="AD74" s="229"/>
      <c r="AE74" s="229"/>
      <c r="AF74" s="229"/>
      <c r="AG74" s="232"/>
      <c r="AH74" s="232"/>
      <c r="AI74" s="232"/>
      <c r="AJ74" s="232"/>
      <c r="AK74" s="232"/>
    </row>
    <row r="75">
      <c r="A75" s="227"/>
      <c r="B75" s="228"/>
      <c r="C75" s="223"/>
      <c r="D75" s="223"/>
      <c r="E75" s="223"/>
      <c r="F75" s="223"/>
      <c r="G75" s="223"/>
      <c r="H75" s="223"/>
      <c r="I75" s="223"/>
      <c r="J75" s="229"/>
      <c r="K75" s="229"/>
      <c r="L75" s="230"/>
      <c r="M75" s="229"/>
      <c r="N75" s="230"/>
      <c r="O75" s="231"/>
      <c r="P75" s="231"/>
      <c r="Q75" s="230"/>
      <c r="R75" s="230"/>
      <c r="S75" s="231"/>
      <c r="T75" s="231"/>
      <c r="U75" s="229"/>
      <c r="V75" s="231"/>
      <c r="W75" s="231"/>
      <c r="X75" s="231"/>
      <c r="Y75" s="231"/>
      <c r="Z75" s="231"/>
      <c r="AA75" s="229"/>
      <c r="AB75" s="229"/>
      <c r="AC75" s="229"/>
      <c r="AD75" s="229"/>
      <c r="AE75" s="229"/>
      <c r="AF75" s="229"/>
      <c r="AG75" s="232"/>
      <c r="AH75" s="232"/>
      <c r="AI75" s="232"/>
      <c r="AJ75" s="232"/>
      <c r="AK75" s="232"/>
    </row>
    <row r="76">
      <c r="A76" s="227"/>
      <c r="B76" s="228"/>
      <c r="C76" s="223"/>
      <c r="D76" s="223"/>
      <c r="E76" s="223"/>
      <c r="F76" s="223"/>
      <c r="G76" s="223"/>
      <c r="H76" s="223"/>
      <c r="I76" s="223"/>
      <c r="J76" s="229"/>
      <c r="K76" s="229"/>
      <c r="L76" s="230"/>
      <c r="M76" s="229"/>
      <c r="N76" s="230"/>
      <c r="O76" s="231"/>
      <c r="P76" s="231"/>
      <c r="Q76" s="230"/>
      <c r="R76" s="230"/>
      <c r="S76" s="231"/>
      <c r="T76" s="231"/>
      <c r="U76" s="229"/>
      <c r="V76" s="231"/>
      <c r="W76" s="231"/>
      <c r="X76" s="231"/>
      <c r="Y76" s="231"/>
      <c r="Z76" s="231"/>
      <c r="AA76" s="229"/>
      <c r="AB76" s="229"/>
      <c r="AC76" s="229"/>
      <c r="AD76" s="229"/>
      <c r="AE76" s="229"/>
      <c r="AF76" s="229"/>
      <c r="AG76" s="232"/>
      <c r="AH76" s="232"/>
      <c r="AI76" s="232"/>
      <c r="AJ76" s="232"/>
      <c r="AK76" s="232"/>
    </row>
    <row r="77">
      <c r="A77" s="227"/>
      <c r="B77" s="228"/>
      <c r="C77" s="223"/>
      <c r="D77" s="223"/>
      <c r="E77" s="223"/>
      <c r="F77" s="223"/>
      <c r="G77" s="223"/>
      <c r="H77" s="223"/>
      <c r="I77" s="223"/>
      <c r="J77" s="229"/>
      <c r="K77" s="229"/>
      <c r="L77" s="230"/>
      <c r="M77" s="229"/>
      <c r="N77" s="230"/>
      <c r="O77" s="231"/>
      <c r="P77" s="231"/>
      <c r="Q77" s="230"/>
      <c r="R77" s="230"/>
      <c r="S77" s="231"/>
      <c r="T77" s="231"/>
      <c r="U77" s="229"/>
      <c r="V77" s="231"/>
      <c r="W77" s="231"/>
      <c r="X77" s="231"/>
      <c r="Y77" s="231"/>
      <c r="Z77" s="231"/>
      <c r="AA77" s="229"/>
      <c r="AB77" s="229"/>
      <c r="AC77" s="229"/>
      <c r="AD77" s="229"/>
      <c r="AE77" s="229"/>
      <c r="AF77" s="229"/>
      <c r="AG77" s="232"/>
      <c r="AH77" s="232"/>
      <c r="AI77" s="232"/>
      <c r="AJ77" s="232"/>
      <c r="AK77" s="232"/>
    </row>
    <row r="78">
      <c r="A78" s="227"/>
      <c r="B78" s="228"/>
      <c r="C78" s="223"/>
      <c r="D78" s="223"/>
      <c r="E78" s="223"/>
      <c r="F78" s="223"/>
      <c r="G78" s="223"/>
      <c r="H78" s="223"/>
      <c r="I78" s="223"/>
      <c r="J78" s="229"/>
      <c r="K78" s="229"/>
      <c r="L78" s="230"/>
      <c r="M78" s="229"/>
      <c r="N78" s="230"/>
      <c r="O78" s="231"/>
      <c r="P78" s="231"/>
      <c r="Q78" s="230"/>
      <c r="R78" s="230"/>
      <c r="S78" s="231"/>
      <c r="T78" s="231"/>
      <c r="U78" s="229"/>
      <c r="V78" s="231"/>
      <c r="W78" s="231"/>
      <c r="X78" s="231"/>
      <c r="Y78" s="231"/>
      <c r="Z78" s="231"/>
      <c r="AA78" s="229"/>
      <c r="AB78" s="229"/>
      <c r="AC78" s="229"/>
      <c r="AD78" s="229"/>
      <c r="AE78" s="229"/>
      <c r="AF78" s="229"/>
      <c r="AG78" s="232"/>
      <c r="AH78" s="232"/>
      <c r="AI78" s="232"/>
      <c r="AJ78" s="232"/>
      <c r="AK78" s="232"/>
    </row>
    <row r="79">
      <c r="A79" s="227"/>
      <c r="B79" s="228"/>
      <c r="C79" s="223"/>
      <c r="D79" s="223"/>
      <c r="E79" s="223"/>
      <c r="F79" s="223"/>
      <c r="G79" s="223"/>
      <c r="H79" s="223"/>
      <c r="I79" s="223"/>
      <c r="J79" s="229"/>
      <c r="K79" s="229"/>
      <c r="L79" s="230"/>
      <c r="M79" s="229"/>
      <c r="N79" s="230"/>
      <c r="O79" s="231"/>
      <c r="P79" s="231"/>
      <c r="Q79" s="230"/>
      <c r="R79" s="230"/>
      <c r="S79" s="231"/>
      <c r="T79" s="231"/>
      <c r="U79" s="229"/>
      <c r="V79" s="231"/>
      <c r="W79" s="231"/>
      <c r="X79" s="231"/>
      <c r="Y79" s="231"/>
      <c r="Z79" s="231"/>
      <c r="AA79" s="229"/>
      <c r="AB79" s="229"/>
      <c r="AC79" s="229"/>
      <c r="AD79" s="229"/>
      <c r="AE79" s="229"/>
      <c r="AF79" s="229"/>
      <c r="AG79" s="232"/>
      <c r="AH79" s="232"/>
      <c r="AI79" s="232"/>
      <c r="AJ79" s="232"/>
      <c r="AK79" s="232"/>
    </row>
    <row r="80">
      <c r="A80" s="227"/>
      <c r="B80" s="228"/>
      <c r="C80" s="223"/>
      <c r="D80" s="223"/>
      <c r="E80" s="223"/>
      <c r="F80" s="223"/>
      <c r="G80" s="223"/>
      <c r="H80" s="223"/>
      <c r="I80" s="223"/>
      <c r="J80" s="229"/>
      <c r="K80" s="229"/>
      <c r="L80" s="230"/>
      <c r="M80" s="229"/>
      <c r="N80" s="230"/>
      <c r="O80" s="231"/>
      <c r="P80" s="231"/>
      <c r="Q80" s="230"/>
      <c r="R80" s="230"/>
      <c r="S80" s="231"/>
      <c r="T80" s="231"/>
      <c r="U80" s="229"/>
      <c r="V80" s="231"/>
      <c r="W80" s="231"/>
      <c r="X80" s="231"/>
      <c r="Y80" s="231"/>
      <c r="Z80" s="231"/>
      <c r="AA80" s="229"/>
      <c r="AB80" s="229"/>
      <c r="AC80" s="229"/>
      <c r="AD80" s="229"/>
      <c r="AE80" s="229"/>
      <c r="AF80" s="229"/>
      <c r="AG80" s="232"/>
      <c r="AH80" s="232"/>
      <c r="AI80" s="232"/>
      <c r="AJ80" s="232"/>
      <c r="AK80" s="232"/>
    </row>
    <row r="81">
      <c r="A81" s="227"/>
      <c r="B81" s="228"/>
      <c r="C81" s="223"/>
      <c r="D81" s="223"/>
      <c r="E81" s="223"/>
      <c r="F81" s="223"/>
      <c r="G81" s="223"/>
      <c r="H81" s="223"/>
      <c r="I81" s="223"/>
      <c r="J81" s="229"/>
      <c r="K81" s="229"/>
      <c r="L81" s="230"/>
      <c r="M81" s="229"/>
      <c r="N81" s="230"/>
      <c r="O81" s="231"/>
      <c r="P81" s="231"/>
      <c r="Q81" s="230"/>
      <c r="R81" s="230"/>
      <c r="S81" s="231"/>
      <c r="T81" s="231"/>
      <c r="U81" s="229"/>
      <c r="V81" s="231"/>
      <c r="W81" s="231"/>
      <c r="X81" s="231"/>
      <c r="Y81" s="231"/>
      <c r="Z81" s="231"/>
      <c r="AA81" s="229"/>
      <c r="AB81" s="229"/>
      <c r="AC81" s="229"/>
      <c r="AD81" s="229"/>
      <c r="AE81" s="229"/>
      <c r="AF81" s="229"/>
      <c r="AG81" s="232"/>
      <c r="AH81" s="232"/>
      <c r="AI81" s="232"/>
      <c r="AJ81" s="232"/>
      <c r="AK81" s="232"/>
    </row>
    <row r="82">
      <c r="A82" s="227"/>
      <c r="B82" s="228"/>
      <c r="C82" s="223"/>
      <c r="D82" s="223"/>
      <c r="E82" s="223"/>
      <c r="F82" s="223"/>
      <c r="G82" s="223"/>
      <c r="H82" s="223"/>
      <c r="I82" s="223"/>
      <c r="J82" s="229"/>
      <c r="K82" s="229"/>
      <c r="L82" s="230"/>
      <c r="M82" s="229"/>
      <c r="N82" s="230"/>
      <c r="O82" s="231"/>
      <c r="P82" s="231"/>
      <c r="Q82" s="230"/>
      <c r="R82" s="230"/>
      <c r="S82" s="231"/>
      <c r="T82" s="231"/>
      <c r="U82" s="229"/>
      <c r="V82" s="231"/>
      <c r="W82" s="231"/>
      <c r="X82" s="231"/>
      <c r="Y82" s="231"/>
      <c r="Z82" s="231"/>
      <c r="AA82" s="229"/>
      <c r="AB82" s="229"/>
      <c r="AC82" s="229"/>
      <c r="AD82" s="229"/>
      <c r="AE82" s="229"/>
      <c r="AF82" s="229"/>
      <c r="AG82" s="232"/>
      <c r="AH82" s="232"/>
      <c r="AI82" s="232"/>
      <c r="AJ82" s="232"/>
      <c r="AK82" s="232"/>
    </row>
    <row r="83">
      <c r="A83" s="227"/>
      <c r="B83" s="228"/>
      <c r="C83" s="223"/>
      <c r="D83" s="223"/>
      <c r="E83" s="223"/>
      <c r="F83" s="223"/>
      <c r="G83" s="223"/>
      <c r="H83" s="223"/>
      <c r="I83" s="223"/>
      <c r="J83" s="229"/>
      <c r="K83" s="229"/>
      <c r="L83" s="230"/>
      <c r="M83" s="229"/>
      <c r="N83" s="230"/>
      <c r="O83" s="231"/>
      <c r="P83" s="231"/>
      <c r="Q83" s="230"/>
      <c r="R83" s="230"/>
      <c r="S83" s="231"/>
      <c r="T83" s="231"/>
      <c r="U83" s="229"/>
      <c r="V83" s="231"/>
      <c r="W83" s="231"/>
      <c r="X83" s="231"/>
      <c r="Y83" s="231"/>
      <c r="Z83" s="231"/>
      <c r="AA83" s="229"/>
      <c r="AB83" s="229"/>
      <c r="AC83" s="229"/>
      <c r="AD83" s="229"/>
      <c r="AE83" s="229"/>
      <c r="AF83" s="229"/>
      <c r="AG83" s="232"/>
      <c r="AH83" s="232"/>
      <c r="AI83" s="232"/>
      <c r="AJ83" s="232"/>
      <c r="AK83" s="232"/>
    </row>
    <row r="84">
      <c r="A84" s="227"/>
      <c r="B84" s="228"/>
      <c r="C84" s="223"/>
      <c r="D84" s="223"/>
      <c r="E84" s="223"/>
      <c r="F84" s="223"/>
      <c r="G84" s="223"/>
      <c r="H84" s="223"/>
      <c r="I84" s="223"/>
      <c r="J84" s="229"/>
      <c r="K84" s="229"/>
      <c r="L84" s="230"/>
      <c r="M84" s="229"/>
      <c r="N84" s="230"/>
      <c r="O84" s="231"/>
      <c r="P84" s="231"/>
      <c r="Q84" s="230"/>
      <c r="R84" s="230"/>
      <c r="S84" s="231"/>
      <c r="T84" s="231"/>
      <c r="U84" s="229"/>
      <c r="V84" s="231"/>
      <c r="W84" s="231"/>
      <c r="X84" s="231"/>
      <c r="Y84" s="231"/>
      <c r="Z84" s="231"/>
      <c r="AA84" s="229"/>
      <c r="AB84" s="229"/>
      <c r="AC84" s="229"/>
      <c r="AD84" s="229"/>
      <c r="AE84" s="229"/>
      <c r="AF84" s="229"/>
      <c r="AG84" s="232"/>
      <c r="AH84" s="232"/>
      <c r="AI84" s="232"/>
      <c r="AJ84" s="232"/>
      <c r="AK84" s="232"/>
    </row>
    <row r="85">
      <c r="A85" s="209"/>
      <c r="B85" s="210"/>
      <c r="C85" s="211"/>
      <c r="D85" s="211"/>
      <c r="E85" s="211"/>
      <c r="F85" s="211"/>
      <c r="G85" s="211"/>
      <c r="H85" s="212"/>
      <c r="I85" s="212"/>
      <c r="J85" s="213"/>
      <c r="K85" s="213"/>
      <c r="L85" s="214"/>
      <c r="M85" s="213"/>
      <c r="N85" s="214"/>
      <c r="O85" s="213"/>
      <c r="P85" s="213"/>
      <c r="Q85" s="214"/>
      <c r="R85" s="214"/>
      <c r="S85" s="213"/>
      <c r="T85" s="213"/>
      <c r="U85" s="213"/>
      <c r="V85" s="213"/>
      <c r="W85" s="213"/>
      <c r="X85" s="213"/>
      <c r="Y85" s="213"/>
      <c r="Z85" s="213"/>
      <c r="AA85" s="213"/>
      <c r="AB85" s="213"/>
      <c r="AC85" s="213"/>
      <c r="AD85" s="213"/>
      <c r="AE85" s="213"/>
      <c r="AF85" s="213"/>
      <c r="AG85" s="208"/>
      <c r="AH85" s="208"/>
      <c r="AI85" s="208"/>
      <c r="AJ85" s="208"/>
      <c r="AK85" s="208"/>
    </row>
    <row r="86">
      <c r="A86" s="209"/>
      <c r="B86" s="210"/>
      <c r="C86" s="211"/>
      <c r="D86" s="211"/>
      <c r="E86" s="211"/>
      <c r="F86" s="211"/>
      <c r="G86" s="211"/>
      <c r="H86" s="212"/>
      <c r="I86" s="212"/>
      <c r="J86" s="213"/>
      <c r="K86" s="213"/>
      <c r="L86" s="214"/>
      <c r="M86" s="213"/>
      <c r="N86" s="214"/>
      <c r="O86" s="213"/>
      <c r="P86" s="213"/>
      <c r="Q86" s="214"/>
      <c r="R86" s="214"/>
      <c r="S86" s="213"/>
      <c r="T86" s="213"/>
      <c r="U86" s="213"/>
      <c r="V86" s="213"/>
      <c r="W86" s="213"/>
      <c r="X86" s="213"/>
      <c r="Y86" s="213"/>
      <c r="Z86" s="213"/>
      <c r="AA86" s="213"/>
      <c r="AB86" s="213"/>
      <c r="AC86" s="213"/>
      <c r="AD86" s="213"/>
      <c r="AE86" s="213"/>
      <c r="AF86" s="213"/>
      <c r="AG86" s="208"/>
      <c r="AH86" s="208"/>
      <c r="AI86" s="208"/>
      <c r="AJ86" s="208"/>
      <c r="AK86" s="208"/>
    </row>
    <row r="87">
      <c r="A87" s="209"/>
      <c r="B87" s="210"/>
      <c r="C87" s="211"/>
      <c r="D87" s="211"/>
      <c r="E87" s="211"/>
      <c r="F87" s="211"/>
      <c r="G87" s="211"/>
      <c r="H87" s="212"/>
      <c r="I87" s="212"/>
      <c r="J87" s="213"/>
      <c r="K87" s="213"/>
      <c r="L87" s="214"/>
      <c r="M87" s="213"/>
      <c r="N87" s="214"/>
      <c r="O87" s="213"/>
      <c r="P87" s="213"/>
      <c r="Q87" s="214"/>
      <c r="R87" s="214"/>
      <c r="S87" s="213"/>
      <c r="T87" s="213"/>
      <c r="U87" s="213"/>
      <c r="V87" s="213"/>
      <c r="W87" s="213"/>
      <c r="X87" s="213"/>
      <c r="Y87" s="213"/>
      <c r="Z87" s="213"/>
      <c r="AA87" s="213"/>
      <c r="AB87" s="213"/>
      <c r="AC87" s="213"/>
      <c r="AD87" s="213"/>
      <c r="AE87" s="213"/>
      <c r="AF87" s="213"/>
      <c r="AG87" s="208"/>
      <c r="AH87" s="208"/>
      <c r="AI87" s="208"/>
      <c r="AJ87" s="208"/>
      <c r="AK87" s="208"/>
    </row>
    <row r="88">
      <c r="A88" s="209"/>
      <c r="B88" s="210"/>
      <c r="C88" s="211"/>
      <c r="D88" s="211"/>
      <c r="E88" s="211"/>
      <c r="F88" s="211"/>
      <c r="G88" s="211"/>
      <c r="H88" s="212"/>
      <c r="I88" s="212"/>
      <c r="J88" s="213"/>
      <c r="K88" s="213"/>
      <c r="L88" s="214"/>
      <c r="M88" s="213"/>
      <c r="N88" s="214"/>
      <c r="O88" s="213"/>
      <c r="P88" s="213"/>
      <c r="Q88" s="214"/>
      <c r="R88" s="214"/>
      <c r="S88" s="213"/>
      <c r="T88" s="213"/>
      <c r="U88" s="213"/>
      <c r="V88" s="213"/>
      <c r="W88" s="213"/>
      <c r="X88" s="213"/>
      <c r="Y88" s="213"/>
      <c r="Z88" s="213"/>
      <c r="AA88" s="213"/>
      <c r="AB88" s="213"/>
      <c r="AC88" s="213"/>
      <c r="AD88" s="213"/>
      <c r="AE88" s="213"/>
      <c r="AF88" s="213"/>
      <c r="AG88" s="208"/>
      <c r="AH88" s="208"/>
      <c r="AI88" s="208"/>
      <c r="AJ88" s="208"/>
      <c r="AK88" s="208"/>
    </row>
    <row r="89">
      <c r="A89" s="209"/>
      <c r="B89" s="210"/>
      <c r="C89" s="211"/>
      <c r="D89" s="211"/>
      <c r="E89" s="211"/>
      <c r="F89" s="211"/>
      <c r="G89" s="211"/>
      <c r="H89" s="212"/>
      <c r="I89" s="212"/>
      <c r="J89" s="213"/>
      <c r="K89" s="213"/>
      <c r="L89" s="214"/>
      <c r="M89" s="213"/>
      <c r="N89" s="214"/>
      <c r="O89" s="213"/>
      <c r="P89" s="213"/>
      <c r="Q89" s="214"/>
      <c r="R89" s="214"/>
      <c r="S89" s="213"/>
      <c r="T89" s="213"/>
      <c r="U89" s="213"/>
      <c r="V89" s="213"/>
      <c r="W89" s="213"/>
      <c r="X89" s="213"/>
      <c r="Y89" s="213"/>
      <c r="Z89" s="213"/>
      <c r="AA89" s="213"/>
      <c r="AB89" s="213"/>
      <c r="AC89" s="213"/>
      <c r="AD89" s="213"/>
      <c r="AE89" s="213"/>
      <c r="AF89" s="213"/>
      <c r="AG89" s="208"/>
      <c r="AH89" s="208"/>
      <c r="AI89" s="208"/>
      <c r="AJ89" s="208"/>
      <c r="AK89" s="208"/>
    </row>
    <row r="90">
      <c r="A90" s="209"/>
      <c r="B90" s="210"/>
      <c r="C90" s="211"/>
      <c r="D90" s="211"/>
      <c r="E90" s="211"/>
      <c r="F90" s="211"/>
      <c r="G90" s="211"/>
      <c r="H90" s="212"/>
      <c r="I90" s="212"/>
      <c r="J90" s="213"/>
      <c r="K90" s="213"/>
      <c r="L90" s="214"/>
      <c r="M90" s="213"/>
      <c r="N90" s="214"/>
      <c r="O90" s="213"/>
      <c r="P90" s="213"/>
      <c r="Q90" s="214"/>
      <c r="R90" s="214"/>
      <c r="S90" s="213"/>
      <c r="T90" s="213"/>
      <c r="U90" s="213"/>
      <c r="V90" s="213"/>
      <c r="W90" s="213"/>
      <c r="X90" s="213"/>
      <c r="Y90" s="213"/>
      <c r="Z90" s="213"/>
      <c r="AA90" s="213"/>
      <c r="AB90" s="213"/>
      <c r="AC90" s="213"/>
      <c r="AD90" s="213"/>
      <c r="AE90" s="213"/>
      <c r="AF90" s="213"/>
      <c r="AG90" s="208"/>
      <c r="AH90" s="208"/>
      <c r="AI90" s="208"/>
      <c r="AJ90" s="208"/>
      <c r="AK90" s="208"/>
    </row>
    <row r="91">
      <c r="A91" s="209"/>
      <c r="B91" s="210"/>
      <c r="C91" s="211"/>
      <c r="D91" s="211"/>
      <c r="E91" s="211"/>
      <c r="F91" s="211"/>
      <c r="G91" s="211"/>
      <c r="H91" s="212"/>
      <c r="I91" s="212"/>
      <c r="J91" s="213"/>
      <c r="K91" s="213"/>
      <c r="L91" s="214"/>
      <c r="M91" s="213"/>
      <c r="N91" s="214"/>
      <c r="O91" s="213"/>
      <c r="P91" s="213"/>
      <c r="Q91" s="214"/>
      <c r="R91" s="214"/>
      <c r="S91" s="213"/>
      <c r="T91" s="213"/>
      <c r="U91" s="213"/>
      <c r="V91" s="213"/>
      <c r="W91" s="213"/>
      <c r="X91" s="213"/>
      <c r="Y91" s="213"/>
      <c r="Z91" s="213"/>
      <c r="AA91" s="213"/>
      <c r="AB91" s="213"/>
      <c r="AC91" s="213"/>
      <c r="AD91" s="213"/>
      <c r="AE91" s="213"/>
      <c r="AF91" s="213"/>
      <c r="AG91" s="208"/>
      <c r="AH91" s="208"/>
      <c r="AI91" s="208"/>
      <c r="AJ91" s="208"/>
      <c r="AK91" s="208"/>
    </row>
    <row r="92">
      <c r="A92" s="209"/>
      <c r="B92" s="210"/>
      <c r="C92" s="211"/>
      <c r="D92" s="211"/>
      <c r="E92" s="211"/>
      <c r="F92" s="211"/>
      <c r="G92" s="211"/>
      <c r="H92" s="212"/>
      <c r="I92" s="212"/>
      <c r="J92" s="213"/>
      <c r="K92" s="213"/>
      <c r="L92" s="214"/>
      <c r="M92" s="213"/>
      <c r="N92" s="214"/>
      <c r="O92" s="213"/>
      <c r="P92" s="213"/>
      <c r="Q92" s="214"/>
      <c r="R92" s="214"/>
      <c r="S92" s="213"/>
      <c r="T92" s="213"/>
      <c r="U92" s="213"/>
      <c r="V92" s="213"/>
      <c r="W92" s="213"/>
      <c r="X92" s="213"/>
      <c r="Y92" s="213"/>
      <c r="Z92" s="213"/>
      <c r="AA92" s="213"/>
      <c r="AB92" s="213"/>
      <c r="AC92" s="213"/>
      <c r="AD92" s="213"/>
      <c r="AE92" s="213"/>
      <c r="AF92" s="213"/>
      <c r="AG92" s="208"/>
      <c r="AH92" s="208"/>
      <c r="AI92" s="208"/>
      <c r="AJ92" s="208"/>
      <c r="AK92" s="208"/>
    </row>
    <row r="93">
      <c r="A93" s="209"/>
      <c r="B93" s="210"/>
      <c r="C93" s="211"/>
      <c r="D93" s="211"/>
      <c r="E93" s="211"/>
      <c r="F93" s="211"/>
      <c r="G93" s="211"/>
      <c r="H93" s="212"/>
      <c r="I93" s="212"/>
      <c r="J93" s="213"/>
      <c r="K93" s="213"/>
      <c r="L93" s="214"/>
      <c r="M93" s="213"/>
      <c r="N93" s="214"/>
      <c r="O93" s="213"/>
      <c r="P93" s="213"/>
      <c r="Q93" s="214"/>
      <c r="R93" s="214"/>
      <c r="S93" s="213"/>
      <c r="T93" s="213"/>
      <c r="U93" s="213"/>
      <c r="V93" s="213"/>
      <c r="W93" s="213"/>
      <c r="X93" s="213"/>
      <c r="Y93" s="213"/>
      <c r="Z93" s="213"/>
      <c r="AA93" s="213"/>
      <c r="AB93" s="213"/>
      <c r="AC93" s="213"/>
      <c r="AD93" s="213"/>
      <c r="AE93" s="213"/>
      <c r="AF93" s="213"/>
      <c r="AG93" s="208"/>
      <c r="AH93" s="208"/>
      <c r="AI93" s="208"/>
      <c r="AJ93" s="208"/>
      <c r="AK93" s="208"/>
    </row>
    <row r="94">
      <c r="A94" s="209"/>
      <c r="B94" s="210"/>
      <c r="C94" s="211"/>
      <c r="D94" s="211"/>
      <c r="E94" s="211"/>
      <c r="F94" s="211"/>
      <c r="G94" s="211"/>
      <c r="H94" s="212"/>
      <c r="I94" s="212"/>
      <c r="J94" s="213"/>
      <c r="K94" s="213"/>
      <c r="L94" s="214"/>
      <c r="M94" s="213"/>
      <c r="N94" s="214"/>
      <c r="O94" s="213"/>
      <c r="P94" s="213"/>
      <c r="Q94" s="214"/>
      <c r="R94" s="214"/>
      <c r="S94" s="213"/>
      <c r="T94" s="213"/>
      <c r="U94" s="213"/>
      <c r="V94" s="213"/>
      <c r="W94" s="213"/>
      <c r="X94" s="213"/>
      <c r="Y94" s="213"/>
      <c r="Z94" s="213"/>
      <c r="AA94" s="213"/>
      <c r="AB94" s="213"/>
      <c r="AC94" s="213"/>
      <c r="AD94" s="213"/>
      <c r="AE94" s="213"/>
      <c r="AF94" s="213"/>
      <c r="AG94" s="208"/>
      <c r="AH94" s="208"/>
      <c r="AI94" s="208"/>
      <c r="AJ94" s="208"/>
      <c r="AK94" s="208"/>
    </row>
    <row r="95">
      <c r="A95" s="209"/>
      <c r="B95" s="210"/>
      <c r="C95" s="211"/>
      <c r="D95" s="211"/>
      <c r="E95" s="211"/>
      <c r="F95" s="211"/>
      <c r="G95" s="211"/>
      <c r="H95" s="212"/>
      <c r="I95" s="212"/>
      <c r="J95" s="213"/>
      <c r="K95" s="213"/>
      <c r="L95" s="214"/>
      <c r="M95" s="213"/>
      <c r="N95" s="214"/>
      <c r="O95" s="213"/>
      <c r="P95" s="213"/>
      <c r="Q95" s="214"/>
      <c r="R95" s="214"/>
      <c r="S95" s="213"/>
      <c r="T95" s="213"/>
      <c r="U95" s="213"/>
      <c r="V95" s="213"/>
      <c r="W95" s="213"/>
      <c r="X95" s="213"/>
      <c r="Y95" s="213"/>
      <c r="Z95" s="213"/>
      <c r="AA95" s="213"/>
      <c r="AB95" s="213"/>
      <c r="AC95" s="213"/>
      <c r="AD95" s="213"/>
      <c r="AE95" s="213"/>
      <c r="AF95" s="213"/>
      <c r="AG95" s="208"/>
      <c r="AH95" s="208"/>
      <c r="AI95" s="208"/>
      <c r="AJ95" s="208"/>
      <c r="AK95" s="208"/>
    </row>
    <row r="96">
      <c r="A96" s="209"/>
      <c r="B96" s="210"/>
      <c r="C96" s="211"/>
      <c r="D96" s="211"/>
      <c r="E96" s="211"/>
      <c r="F96" s="211"/>
      <c r="G96" s="211"/>
      <c r="H96" s="212"/>
      <c r="I96" s="212"/>
      <c r="J96" s="213"/>
      <c r="K96" s="213"/>
      <c r="L96" s="214"/>
      <c r="M96" s="213"/>
      <c r="N96" s="214"/>
      <c r="O96" s="213"/>
      <c r="P96" s="213"/>
      <c r="Q96" s="214"/>
      <c r="R96" s="214"/>
      <c r="S96" s="213"/>
      <c r="T96" s="213"/>
      <c r="U96" s="213"/>
      <c r="V96" s="213"/>
      <c r="W96" s="213"/>
      <c r="X96" s="213"/>
      <c r="Y96" s="213"/>
      <c r="Z96" s="213"/>
      <c r="AA96" s="213"/>
      <c r="AB96" s="213"/>
      <c r="AC96" s="213"/>
      <c r="AD96" s="213"/>
      <c r="AE96" s="213"/>
      <c r="AF96" s="213"/>
      <c r="AG96" s="208"/>
      <c r="AH96" s="208"/>
      <c r="AI96" s="208"/>
      <c r="AJ96" s="208"/>
      <c r="AK96" s="208"/>
    </row>
    <row r="97">
      <c r="A97" s="209"/>
      <c r="B97" s="210"/>
      <c r="C97" s="211"/>
      <c r="D97" s="211"/>
      <c r="E97" s="211"/>
      <c r="F97" s="211"/>
      <c r="G97" s="211"/>
      <c r="H97" s="212"/>
      <c r="I97" s="212"/>
      <c r="J97" s="213"/>
      <c r="K97" s="213"/>
      <c r="L97" s="214"/>
      <c r="M97" s="213"/>
      <c r="N97" s="214"/>
      <c r="O97" s="213"/>
      <c r="P97" s="213"/>
      <c r="Q97" s="214"/>
      <c r="R97" s="214"/>
      <c r="S97" s="213"/>
      <c r="T97" s="213"/>
      <c r="U97" s="213"/>
      <c r="V97" s="213"/>
      <c r="W97" s="213"/>
      <c r="X97" s="213"/>
      <c r="Y97" s="213"/>
      <c r="Z97" s="213"/>
      <c r="AA97" s="213"/>
      <c r="AB97" s="213"/>
      <c r="AC97" s="213"/>
      <c r="AD97" s="213"/>
      <c r="AE97" s="213"/>
      <c r="AF97" s="213"/>
      <c r="AG97" s="208"/>
      <c r="AH97" s="208"/>
      <c r="AI97" s="208"/>
      <c r="AJ97" s="208"/>
      <c r="AK97" s="208"/>
    </row>
    <row r="98">
      <c r="A98" s="209"/>
      <c r="B98" s="210"/>
      <c r="C98" s="211"/>
      <c r="D98" s="211"/>
      <c r="E98" s="211"/>
      <c r="F98" s="211"/>
      <c r="G98" s="211"/>
      <c r="H98" s="212"/>
      <c r="I98" s="212"/>
      <c r="J98" s="213"/>
      <c r="K98" s="213"/>
      <c r="L98" s="214"/>
      <c r="M98" s="213"/>
      <c r="N98" s="214"/>
      <c r="O98" s="213"/>
      <c r="P98" s="213"/>
      <c r="Q98" s="214"/>
      <c r="R98" s="214"/>
      <c r="S98" s="213"/>
      <c r="T98" s="213"/>
      <c r="U98" s="213"/>
      <c r="V98" s="213"/>
      <c r="W98" s="213"/>
      <c r="X98" s="213"/>
      <c r="Y98" s="213"/>
      <c r="Z98" s="213"/>
      <c r="AA98" s="213"/>
      <c r="AB98" s="213"/>
      <c r="AC98" s="213"/>
      <c r="AD98" s="213"/>
      <c r="AE98" s="213"/>
      <c r="AF98" s="213"/>
      <c r="AG98" s="208"/>
      <c r="AH98" s="208"/>
      <c r="AI98" s="208"/>
      <c r="AJ98" s="208"/>
      <c r="AK98" s="208"/>
    </row>
    <row r="99">
      <c r="A99" s="209"/>
      <c r="B99" s="210"/>
      <c r="C99" s="211"/>
      <c r="D99" s="211"/>
      <c r="E99" s="211"/>
      <c r="F99" s="211"/>
      <c r="G99" s="211"/>
      <c r="H99" s="212"/>
      <c r="I99" s="212"/>
      <c r="J99" s="213"/>
      <c r="K99" s="213"/>
      <c r="L99" s="214"/>
      <c r="M99" s="213"/>
      <c r="N99" s="214"/>
      <c r="O99" s="213"/>
      <c r="P99" s="213"/>
      <c r="Q99" s="214"/>
      <c r="R99" s="214"/>
      <c r="S99" s="213"/>
      <c r="T99" s="213"/>
      <c r="U99" s="213"/>
      <c r="V99" s="213"/>
      <c r="W99" s="213"/>
      <c r="X99" s="213"/>
      <c r="Y99" s="213"/>
      <c r="Z99" s="213"/>
      <c r="AA99" s="213"/>
      <c r="AB99" s="213"/>
      <c r="AC99" s="213"/>
      <c r="AD99" s="213"/>
      <c r="AE99" s="213"/>
      <c r="AF99" s="213"/>
      <c r="AG99" s="208"/>
      <c r="AH99" s="208"/>
      <c r="AI99" s="208"/>
      <c r="AJ99" s="208"/>
      <c r="AK99" s="208"/>
    </row>
    <row r="100">
      <c r="A100" s="209"/>
      <c r="B100" s="210"/>
      <c r="C100" s="211"/>
      <c r="D100" s="211"/>
      <c r="E100" s="211"/>
      <c r="F100" s="211"/>
      <c r="G100" s="211"/>
      <c r="H100" s="212"/>
      <c r="I100" s="212"/>
      <c r="J100" s="213"/>
      <c r="K100" s="213"/>
      <c r="L100" s="214"/>
      <c r="M100" s="213"/>
      <c r="N100" s="214"/>
      <c r="O100" s="213"/>
      <c r="P100" s="213"/>
      <c r="Q100" s="214"/>
      <c r="R100" s="214"/>
      <c r="S100" s="213"/>
      <c r="T100" s="213"/>
      <c r="U100" s="213"/>
      <c r="V100" s="213"/>
      <c r="W100" s="213"/>
      <c r="X100" s="213"/>
      <c r="Y100" s="213"/>
      <c r="Z100" s="213"/>
      <c r="AA100" s="213"/>
      <c r="AB100" s="213"/>
      <c r="AC100" s="213"/>
      <c r="AD100" s="213"/>
      <c r="AE100" s="213"/>
      <c r="AF100" s="213"/>
      <c r="AG100" s="208"/>
      <c r="AH100" s="208"/>
      <c r="AI100" s="208"/>
      <c r="AJ100" s="208"/>
      <c r="AK100" s="208"/>
    </row>
    <row r="101">
      <c r="A101" s="209"/>
      <c r="B101" s="210"/>
      <c r="C101" s="211"/>
      <c r="D101" s="211"/>
      <c r="E101" s="211"/>
      <c r="F101" s="211"/>
      <c r="G101" s="211"/>
      <c r="H101" s="212"/>
      <c r="I101" s="212"/>
      <c r="J101" s="213"/>
      <c r="K101" s="213"/>
      <c r="L101" s="214"/>
      <c r="M101" s="213"/>
      <c r="N101" s="214"/>
      <c r="O101" s="213"/>
      <c r="P101" s="213"/>
      <c r="Q101" s="214"/>
      <c r="R101" s="214"/>
      <c r="S101" s="213"/>
      <c r="T101" s="213"/>
      <c r="U101" s="213"/>
      <c r="V101" s="213"/>
      <c r="W101" s="213"/>
      <c r="X101" s="213"/>
      <c r="Y101" s="213"/>
      <c r="Z101" s="213"/>
      <c r="AA101" s="213"/>
      <c r="AB101" s="213"/>
      <c r="AC101" s="213"/>
      <c r="AD101" s="213"/>
      <c r="AE101" s="213"/>
      <c r="AF101" s="213"/>
      <c r="AG101" s="208"/>
      <c r="AH101" s="208"/>
      <c r="AI101" s="208"/>
      <c r="AJ101" s="208"/>
      <c r="AK101" s="208"/>
    </row>
    <row r="102">
      <c r="A102" s="209"/>
      <c r="B102" s="210"/>
      <c r="C102" s="211"/>
      <c r="D102" s="211"/>
      <c r="E102" s="211"/>
      <c r="F102" s="211"/>
      <c r="G102" s="211"/>
      <c r="H102" s="212"/>
      <c r="I102" s="212"/>
      <c r="J102" s="213"/>
      <c r="K102" s="213"/>
      <c r="L102" s="214"/>
      <c r="M102" s="213"/>
      <c r="N102" s="214"/>
      <c r="O102" s="213"/>
      <c r="P102" s="213"/>
      <c r="Q102" s="214"/>
      <c r="R102" s="214"/>
      <c r="S102" s="213"/>
      <c r="T102" s="213"/>
      <c r="U102" s="213"/>
      <c r="V102" s="213"/>
      <c r="W102" s="213"/>
      <c r="X102" s="213"/>
      <c r="Y102" s="213"/>
      <c r="Z102" s="213"/>
      <c r="AA102" s="213"/>
      <c r="AB102" s="213"/>
      <c r="AC102" s="213"/>
      <c r="AD102" s="213"/>
      <c r="AE102" s="213"/>
      <c r="AF102" s="213"/>
      <c r="AG102" s="208"/>
      <c r="AH102" s="208"/>
      <c r="AI102" s="208"/>
      <c r="AJ102" s="208"/>
      <c r="AK102" s="208"/>
    </row>
    <row r="103">
      <c r="A103" s="209"/>
      <c r="B103" s="210"/>
      <c r="C103" s="211"/>
      <c r="D103" s="211"/>
      <c r="E103" s="211"/>
      <c r="F103" s="211"/>
      <c r="G103" s="211"/>
      <c r="H103" s="212"/>
      <c r="I103" s="212"/>
      <c r="J103" s="213"/>
      <c r="K103" s="213"/>
      <c r="L103" s="214"/>
      <c r="M103" s="213"/>
      <c r="N103" s="214"/>
      <c r="O103" s="213"/>
      <c r="P103" s="213"/>
      <c r="Q103" s="214"/>
      <c r="R103" s="214"/>
      <c r="S103" s="213"/>
      <c r="T103" s="213"/>
      <c r="U103" s="213"/>
      <c r="V103" s="213"/>
      <c r="W103" s="213"/>
      <c r="X103" s="213"/>
      <c r="Y103" s="213"/>
      <c r="Z103" s="213"/>
      <c r="AA103" s="213"/>
      <c r="AB103" s="213"/>
      <c r="AC103" s="213"/>
      <c r="AD103" s="213"/>
      <c r="AE103" s="213"/>
      <c r="AF103" s="213"/>
      <c r="AG103" s="208"/>
      <c r="AH103" s="208"/>
      <c r="AI103" s="208"/>
      <c r="AJ103" s="208"/>
      <c r="AK103" s="208"/>
    </row>
    <row r="104">
      <c r="A104" s="209"/>
      <c r="B104" s="210"/>
      <c r="C104" s="211"/>
      <c r="D104" s="211"/>
      <c r="E104" s="211"/>
      <c r="F104" s="211"/>
      <c r="G104" s="211"/>
      <c r="H104" s="212"/>
      <c r="I104" s="212"/>
      <c r="J104" s="213"/>
      <c r="K104" s="213"/>
      <c r="L104" s="214"/>
      <c r="M104" s="213"/>
      <c r="N104" s="214"/>
      <c r="O104" s="213"/>
      <c r="P104" s="213"/>
      <c r="Q104" s="214"/>
      <c r="R104" s="214"/>
      <c r="S104" s="213"/>
      <c r="T104" s="213"/>
      <c r="U104" s="213"/>
      <c r="V104" s="213"/>
      <c r="W104" s="213"/>
      <c r="X104" s="213"/>
      <c r="Y104" s="213"/>
      <c r="Z104" s="213"/>
      <c r="AA104" s="213"/>
      <c r="AB104" s="213"/>
      <c r="AC104" s="213"/>
      <c r="AD104" s="213"/>
      <c r="AE104" s="213"/>
      <c r="AF104" s="213"/>
      <c r="AG104" s="208"/>
      <c r="AH104" s="208"/>
      <c r="AI104" s="208"/>
      <c r="AJ104" s="208"/>
      <c r="AK104" s="208"/>
    </row>
    <row r="105">
      <c r="A105" s="209"/>
      <c r="B105" s="210"/>
      <c r="C105" s="211"/>
      <c r="D105" s="211"/>
      <c r="E105" s="211"/>
      <c r="F105" s="211"/>
      <c r="G105" s="211"/>
      <c r="H105" s="212"/>
      <c r="I105" s="212"/>
      <c r="J105" s="213"/>
      <c r="K105" s="213"/>
      <c r="L105" s="214"/>
      <c r="M105" s="213"/>
      <c r="N105" s="214"/>
      <c r="O105" s="213"/>
      <c r="P105" s="213"/>
      <c r="Q105" s="214"/>
      <c r="R105" s="214"/>
      <c r="S105" s="213"/>
      <c r="T105" s="213"/>
      <c r="U105" s="213"/>
      <c r="V105" s="213"/>
      <c r="W105" s="213"/>
      <c r="X105" s="213"/>
      <c r="Y105" s="213"/>
      <c r="Z105" s="213"/>
      <c r="AA105" s="213"/>
      <c r="AB105" s="213"/>
      <c r="AC105" s="213"/>
      <c r="AD105" s="213"/>
      <c r="AE105" s="213"/>
      <c r="AF105" s="213"/>
      <c r="AG105" s="208"/>
      <c r="AH105" s="208"/>
      <c r="AI105" s="208"/>
      <c r="AJ105" s="208"/>
      <c r="AK105" s="208"/>
    </row>
    <row r="106">
      <c r="A106" s="209"/>
      <c r="B106" s="210"/>
      <c r="C106" s="211"/>
      <c r="D106" s="211"/>
      <c r="E106" s="211"/>
      <c r="F106" s="211"/>
      <c r="G106" s="211"/>
      <c r="H106" s="212"/>
      <c r="I106" s="212"/>
      <c r="J106" s="213"/>
      <c r="K106" s="213"/>
      <c r="L106" s="214"/>
      <c r="M106" s="213"/>
      <c r="N106" s="214"/>
      <c r="O106" s="213"/>
      <c r="P106" s="213"/>
      <c r="Q106" s="214"/>
      <c r="R106" s="214"/>
      <c r="S106" s="213"/>
      <c r="T106" s="213"/>
      <c r="U106" s="213"/>
      <c r="V106" s="213"/>
      <c r="W106" s="213"/>
      <c r="X106" s="213"/>
      <c r="Y106" s="213"/>
      <c r="Z106" s="213"/>
      <c r="AA106" s="213"/>
      <c r="AB106" s="213"/>
      <c r="AC106" s="213"/>
      <c r="AD106" s="213"/>
      <c r="AE106" s="213"/>
      <c r="AF106" s="213"/>
      <c r="AG106" s="208"/>
      <c r="AH106" s="208"/>
      <c r="AI106" s="208"/>
      <c r="AJ106" s="208"/>
      <c r="AK106" s="208"/>
    </row>
    <row r="107">
      <c r="A107" s="209"/>
      <c r="B107" s="210"/>
      <c r="C107" s="211"/>
      <c r="D107" s="211"/>
      <c r="E107" s="211"/>
      <c r="F107" s="211"/>
      <c r="G107" s="211"/>
      <c r="H107" s="212"/>
      <c r="I107" s="212"/>
      <c r="J107" s="213"/>
      <c r="K107" s="213"/>
      <c r="L107" s="214"/>
      <c r="M107" s="213"/>
      <c r="N107" s="214"/>
      <c r="O107" s="213"/>
      <c r="P107" s="213"/>
      <c r="Q107" s="214"/>
      <c r="R107" s="214"/>
      <c r="S107" s="213"/>
      <c r="T107" s="213"/>
      <c r="U107" s="213"/>
      <c r="V107" s="213"/>
      <c r="W107" s="213"/>
      <c r="X107" s="213"/>
      <c r="Y107" s="213"/>
      <c r="Z107" s="213"/>
      <c r="AA107" s="213"/>
      <c r="AB107" s="213"/>
      <c r="AC107" s="213"/>
      <c r="AD107" s="213"/>
      <c r="AE107" s="213"/>
      <c r="AF107" s="213"/>
      <c r="AG107" s="208"/>
      <c r="AH107" s="208"/>
      <c r="AI107" s="208"/>
      <c r="AJ107" s="208"/>
      <c r="AK107" s="208"/>
    </row>
    <row r="108">
      <c r="A108" s="209"/>
      <c r="B108" s="210"/>
      <c r="C108" s="211"/>
      <c r="D108" s="211"/>
      <c r="E108" s="211"/>
      <c r="F108" s="211"/>
      <c r="G108" s="211"/>
      <c r="H108" s="212"/>
      <c r="I108" s="212"/>
      <c r="J108" s="213"/>
      <c r="K108" s="213"/>
      <c r="L108" s="214"/>
      <c r="M108" s="213"/>
      <c r="N108" s="214"/>
      <c r="O108" s="213"/>
      <c r="P108" s="213"/>
      <c r="Q108" s="214"/>
      <c r="R108" s="214"/>
      <c r="S108" s="213"/>
      <c r="T108" s="213"/>
      <c r="U108" s="213"/>
      <c r="V108" s="213"/>
      <c r="W108" s="213"/>
      <c r="X108" s="213"/>
      <c r="Y108" s="213"/>
      <c r="Z108" s="213"/>
      <c r="AA108" s="213"/>
      <c r="AB108" s="213"/>
      <c r="AC108" s="213"/>
      <c r="AD108" s="213"/>
      <c r="AE108" s="213"/>
      <c r="AF108" s="213"/>
      <c r="AG108" s="208"/>
      <c r="AH108" s="208"/>
      <c r="AI108" s="208"/>
      <c r="AJ108" s="208"/>
      <c r="AK108" s="208"/>
    </row>
    <row r="109">
      <c r="A109" s="209"/>
      <c r="B109" s="210"/>
      <c r="C109" s="211"/>
      <c r="D109" s="211"/>
      <c r="E109" s="211"/>
      <c r="F109" s="211"/>
      <c r="G109" s="211"/>
      <c r="H109" s="212"/>
      <c r="I109" s="212"/>
      <c r="J109" s="213"/>
      <c r="K109" s="213"/>
      <c r="L109" s="214"/>
      <c r="M109" s="213"/>
      <c r="N109" s="214"/>
      <c r="O109" s="213"/>
      <c r="P109" s="213"/>
      <c r="Q109" s="214"/>
      <c r="R109" s="214"/>
      <c r="S109" s="213"/>
      <c r="T109" s="213"/>
      <c r="U109" s="213"/>
      <c r="V109" s="213"/>
      <c r="W109" s="213"/>
      <c r="X109" s="213"/>
      <c r="Y109" s="213"/>
      <c r="Z109" s="213"/>
      <c r="AA109" s="213"/>
      <c r="AB109" s="213"/>
      <c r="AC109" s="213"/>
      <c r="AD109" s="213"/>
      <c r="AE109" s="213"/>
      <c r="AF109" s="213"/>
      <c r="AG109" s="208"/>
      <c r="AH109" s="208"/>
      <c r="AI109" s="208"/>
      <c r="AJ109" s="208"/>
      <c r="AK109" s="208"/>
    </row>
    <row r="110">
      <c r="A110" s="209"/>
      <c r="B110" s="210"/>
      <c r="C110" s="211"/>
      <c r="D110" s="211"/>
      <c r="E110" s="211"/>
      <c r="F110" s="211"/>
      <c r="G110" s="211"/>
      <c r="H110" s="212"/>
      <c r="I110" s="212"/>
      <c r="J110" s="213"/>
      <c r="K110" s="213"/>
      <c r="L110" s="214"/>
      <c r="M110" s="213"/>
      <c r="N110" s="214"/>
      <c r="O110" s="213"/>
      <c r="P110" s="213"/>
      <c r="Q110" s="214"/>
      <c r="R110" s="214"/>
      <c r="S110" s="213"/>
      <c r="T110" s="213"/>
      <c r="U110" s="213"/>
      <c r="V110" s="213"/>
      <c r="W110" s="213"/>
      <c r="X110" s="213"/>
      <c r="Y110" s="213"/>
      <c r="Z110" s="213"/>
      <c r="AA110" s="213"/>
      <c r="AB110" s="213"/>
      <c r="AC110" s="213"/>
      <c r="AD110" s="213"/>
      <c r="AE110" s="213"/>
      <c r="AF110" s="213"/>
      <c r="AG110" s="208"/>
      <c r="AH110" s="208"/>
      <c r="AI110" s="208"/>
      <c r="AJ110" s="208"/>
      <c r="AK110" s="208"/>
    </row>
    <row r="111">
      <c r="A111" s="209"/>
      <c r="B111" s="210"/>
      <c r="C111" s="211"/>
      <c r="D111" s="211"/>
      <c r="E111" s="211"/>
      <c r="F111" s="211"/>
      <c r="G111" s="211"/>
      <c r="H111" s="212"/>
      <c r="I111" s="212"/>
      <c r="J111" s="213"/>
      <c r="K111" s="213"/>
      <c r="L111" s="214"/>
      <c r="M111" s="213"/>
      <c r="N111" s="214"/>
      <c r="O111" s="213"/>
      <c r="P111" s="213"/>
      <c r="Q111" s="214"/>
      <c r="R111" s="214"/>
      <c r="S111" s="213"/>
      <c r="T111" s="213"/>
      <c r="U111" s="213"/>
      <c r="V111" s="213"/>
      <c r="W111" s="213"/>
      <c r="X111" s="213"/>
      <c r="Y111" s="213"/>
      <c r="Z111" s="213"/>
      <c r="AA111" s="213"/>
      <c r="AB111" s="213"/>
      <c r="AC111" s="213"/>
      <c r="AD111" s="213"/>
      <c r="AE111" s="213"/>
      <c r="AF111" s="213"/>
      <c r="AG111" s="208"/>
      <c r="AH111" s="208"/>
      <c r="AI111" s="208"/>
      <c r="AJ111" s="208"/>
      <c r="AK111" s="208"/>
    </row>
    <row r="112">
      <c r="A112" s="209"/>
      <c r="B112" s="210"/>
      <c r="C112" s="211"/>
      <c r="D112" s="211"/>
      <c r="E112" s="211"/>
      <c r="F112" s="211"/>
      <c r="G112" s="211"/>
      <c r="H112" s="212"/>
      <c r="I112" s="212"/>
      <c r="J112" s="213"/>
      <c r="K112" s="213"/>
      <c r="L112" s="214"/>
      <c r="M112" s="213"/>
      <c r="N112" s="214"/>
      <c r="O112" s="213"/>
      <c r="P112" s="213"/>
      <c r="Q112" s="214"/>
      <c r="R112" s="214"/>
      <c r="S112" s="213"/>
      <c r="T112" s="213"/>
      <c r="U112" s="213"/>
      <c r="V112" s="213"/>
      <c r="W112" s="213"/>
      <c r="X112" s="213"/>
      <c r="Y112" s="213"/>
      <c r="Z112" s="213"/>
      <c r="AA112" s="213"/>
      <c r="AB112" s="213"/>
      <c r="AC112" s="213"/>
      <c r="AD112" s="213"/>
      <c r="AE112" s="213"/>
      <c r="AF112" s="213"/>
      <c r="AG112" s="208"/>
      <c r="AH112" s="208"/>
      <c r="AI112" s="208"/>
      <c r="AJ112" s="208"/>
      <c r="AK112" s="208"/>
    </row>
    <row r="113">
      <c r="A113" s="209"/>
      <c r="B113" s="210"/>
      <c r="C113" s="211"/>
      <c r="D113" s="211"/>
      <c r="E113" s="211"/>
      <c r="F113" s="211"/>
      <c r="G113" s="211"/>
      <c r="H113" s="212"/>
      <c r="I113" s="212"/>
      <c r="J113" s="213"/>
      <c r="K113" s="213"/>
      <c r="L113" s="214"/>
      <c r="M113" s="213"/>
      <c r="N113" s="214"/>
      <c r="O113" s="213"/>
      <c r="P113" s="213"/>
      <c r="Q113" s="214"/>
      <c r="R113" s="214"/>
      <c r="S113" s="213"/>
      <c r="T113" s="213"/>
      <c r="U113" s="213"/>
      <c r="V113" s="213"/>
      <c r="W113" s="213"/>
      <c r="X113" s="213"/>
      <c r="Y113" s="213"/>
      <c r="Z113" s="213"/>
      <c r="AA113" s="213"/>
      <c r="AB113" s="213"/>
      <c r="AC113" s="213"/>
      <c r="AD113" s="213"/>
      <c r="AE113" s="213"/>
      <c r="AF113" s="213"/>
      <c r="AG113" s="208"/>
      <c r="AH113" s="208"/>
      <c r="AI113" s="208"/>
      <c r="AJ113" s="208"/>
      <c r="AK113" s="208"/>
    </row>
    <row r="114">
      <c r="A114" s="209"/>
      <c r="B114" s="210"/>
      <c r="C114" s="211"/>
      <c r="D114" s="211"/>
      <c r="E114" s="211"/>
      <c r="F114" s="211"/>
      <c r="G114" s="211"/>
      <c r="H114" s="212"/>
      <c r="I114" s="212"/>
      <c r="J114" s="213"/>
      <c r="K114" s="213"/>
      <c r="L114" s="214"/>
      <c r="M114" s="213"/>
      <c r="N114" s="214"/>
      <c r="O114" s="213"/>
      <c r="P114" s="213"/>
      <c r="Q114" s="214"/>
      <c r="R114" s="214"/>
      <c r="S114" s="213"/>
      <c r="T114" s="213"/>
      <c r="U114" s="213"/>
      <c r="V114" s="213"/>
      <c r="W114" s="213"/>
      <c r="X114" s="213"/>
      <c r="Y114" s="213"/>
      <c r="Z114" s="213"/>
      <c r="AA114" s="213"/>
      <c r="AB114" s="213"/>
      <c r="AC114" s="213"/>
      <c r="AD114" s="213"/>
      <c r="AE114" s="213"/>
      <c r="AF114" s="213"/>
      <c r="AG114" s="208"/>
      <c r="AH114" s="208"/>
      <c r="AI114" s="208"/>
      <c r="AJ114" s="208"/>
      <c r="AK114" s="208"/>
    </row>
    <row r="115">
      <c r="A115" s="209"/>
      <c r="B115" s="210"/>
      <c r="C115" s="211"/>
      <c r="D115" s="211"/>
      <c r="E115" s="211"/>
      <c r="F115" s="211"/>
      <c r="G115" s="211"/>
      <c r="H115" s="212"/>
      <c r="I115" s="212"/>
      <c r="J115" s="213"/>
      <c r="K115" s="213"/>
      <c r="L115" s="214"/>
      <c r="M115" s="213"/>
      <c r="N115" s="214"/>
      <c r="O115" s="213"/>
      <c r="P115" s="213"/>
      <c r="Q115" s="214"/>
      <c r="R115" s="214"/>
      <c r="S115" s="213"/>
      <c r="T115" s="213"/>
      <c r="U115" s="213"/>
      <c r="V115" s="213"/>
      <c r="W115" s="213"/>
      <c r="X115" s="213"/>
      <c r="Y115" s="213"/>
      <c r="Z115" s="213"/>
      <c r="AA115" s="213"/>
      <c r="AB115" s="213"/>
      <c r="AC115" s="213"/>
      <c r="AD115" s="213"/>
      <c r="AE115" s="213"/>
      <c r="AF115" s="213"/>
      <c r="AG115" s="208"/>
      <c r="AH115" s="208"/>
      <c r="AI115" s="208"/>
      <c r="AJ115" s="208"/>
      <c r="AK115" s="208"/>
    </row>
    <row r="116">
      <c r="A116" s="209"/>
      <c r="B116" s="210"/>
      <c r="C116" s="211"/>
      <c r="D116" s="211"/>
      <c r="E116" s="211"/>
      <c r="F116" s="211"/>
      <c r="G116" s="211"/>
      <c r="H116" s="212"/>
      <c r="I116" s="212"/>
      <c r="J116" s="213"/>
      <c r="K116" s="213"/>
      <c r="L116" s="214"/>
      <c r="M116" s="213"/>
      <c r="N116" s="214"/>
      <c r="O116" s="213"/>
      <c r="P116" s="213"/>
      <c r="Q116" s="214"/>
      <c r="R116" s="214"/>
      <c r="S116" s="213"/>
      <c r="T116" s="213"/>
      <c r="U116" s="213"/>
      <c r="V116" s="213"/>
      <c r="W116" s="213"/>
      <c r="X116" s="213"/>
      <c r="Y116" s="213"/>
      <c r="Z116" s="213"/>
      <c r="AA116" s="213"/>
      <c r="AB116" s="213"/>
      <c r="AC116" s="213"/>
      <c r="AD116" s="213"/>
      <c r="AE116" s="213"/>
      <c r="AF116" s="213"/>
      <c r="AG116" s="208"/>
      <c r="AH116" s="208"/>
      <c r="AI116" s="208"/>
      <c r="AJ116" s="208"/>
      <c r="AK116" s="208"/>
    </row>
    <row r="117">
      <c r="A117" s="209"/>
      <c r="B117" s="210"/>
      <c r="C117" s="211"/>
      <c r="D117" s="211"/>
      <c r="E117" s="211"/>
      <c r="F117" s="211"/>
      <c r="G117" s="211"/>
      <c r="H117" s="212"/>
      <c r="I117" s="212"/>
      <c r="J117" s="213"/>
      <c r="K117" s="213"/>
      <c r="L117" s="214"/>
      <c r="M117" s="213"/>
      <c r="N117" s="214"/>
      <c r="O117" s="213"/>
      <c r="P117" s="213"/>
      <c r="Q117" s="214"/>
      <c r="R117" s="214"/>
      <c r="S117" s="213"/>
      <c r="T117" s="213"/>
      <c r="U117" s="213"/>
      <c r="V117" s="213"/>
      <c r="W117" s="213"/>
      <c r="X117" s="213"/>
      <c r="Y117" s="213"/>
      <c r="Z117" s="213"/>
      <c r="AA117" s="213"/>
      <c r="AB117" s="213"/>
      <c r="AC117" s="213"/>
      <c r="AD117" s="213"/>
      <c r="AE117" s="213"/>
      <c r="AF117" s="213"/>
      <c r="AG117" s="208"/>
      <c r="AH117" s="208"/>
      <c r="AI117" s="208"/>
      <c r="AJ117" s="208"/>
      <c r="AK117" s="208"/>
    </row>
    <row r="118">
      <c r="A118" s="209"/>
      <c r="B118" s="210"/>
      <c r="C118" s="211"/>
      <c r="D118" s="211"/>
      <c r="E118" s="211"/>
      <c r="F118" s="211"/>
      <c r="G118" s="211"/>
      <c r="H118" s="212"/>
      <c r="I118" s="212"/>
      <c r="J118" s="213"/>
      <c r="K118" s="213"/>
      <c r="L118" s="214"/>
      <c r="M118" s="213"/>
      <c r="N118" s="214"/>
      <c r="O118" s="213"/>
      <c r="P118" s="213"/>
      <c r="Q118" s="214"/>
      <c r="R118" s="214"/>
      <c r="S118" s="213"/>
      <c r="T118" s="213"/>
      <c r="U118" s="213"/>
      <c r="V118" s="213"/>
      <c r="W118" s="213"/>
      <c r="X118" s="213"/>
      <c r="Y118" s="213"/>
      <c r="Z118" s="213"/>
      <c r="AA118" s="213"/>
      <c r="AB118" s="213"/>
      <c r="AC118" s="213"/>
      <c r="AD118" s="213"/>
      <c r="AE118" s="213"/>
      <c r="AF118" s="213"/>
      <c r="AG118" s="208"/>
      <c r="AH118" s="208"/>
      <c r="AI118" s="208"/>
      <c r="AJ118" s="208"/>
      <c r="AK118" s="208"/>
    </row>
    <row r="119">
      <c r="A119" s="209"/>
      <c r="B119" s="210"/>
      <c r="C119" s="211"/>
      <c r="D119" s="211"/>
      <c r="E119" s="211"/>
      <c r="F119" s="211"/>
      <c r="G119" s="211"/>
      <c r="H119" s="212"/>
      <c r="I119" s="212"/>
      <c r="J119" s="213"/>
      <c r="K119" s="213"/>
      <c r="L119" s="214"/>
      <c r="M119" s="213"/>
      <c r="N119" s="214"/>
      <c r="O119" s="213"/>
      <c r="P119" s="213"/>
      <c r="Q119" s="214"/>
      <c r="R119" s="214"/>
      <c r="S119" s="213"/>
      <c r="T119" s="213"/>
      <c r="U119" s="213"/>
      <c r="V119" s="213"/>
      <c r="W119" s="213"/>
      <c r="X119" s="213"/>
      <c r="Y119" s="213"/>
      <c r="Z119" s="213"/>
      <c r="AA119" s="213"/>
      <c r="AB119" s="213"/>
      <c r="AC119" s="213"/>
      <c r="AD119" s="213"/>
      <c r="AE119" s="213"/>
      <c r="AF119" s="213"/>
      <c r="AG119" s="208"/>
      <c r="AH119" s="208"/>
      <c r="AI119" s="208"/>
      <c r="AJ119" s="208"/>
      <c r="AK119" s="208"/>
    </row>
    <row r="120">
      <c r="A120" s="209"/>
      <c r="B120" s="210"/>
      <c r="C120" s="211"/>
      <c r="D120" s="211"/>
      <c r="E120" s="211"/>
      <c r="F120" s="211"/>
      <c r="G120" s="211"/>
      <c r="H120" s="212"/>
      <c r="I120" s="212"/>
      <c r="J120" s="213"/>
      <c r="K120" s="213"/>
      <c r="L120" s="214"/>
      <c r="M120" s="213"/>
      <c r="N120" s="214"/>
      <c r="O120" s="213"/>
      <c r="P120" s="213"/>
      <c r="Q120" s="214"/>
      <c r="R120" s="214"/>
      <c r="S120" s="213"/>
      <c r="T120" s="213"/>
      <c r="U120" s="213"/>
      <c r="V120" s="213"/>
      <c r="W120" s="213"/>
      <c r="X120" s="213"/>
      <c r="Y120" s="213"/>
      <c r="Z120" s="213"/>
      <c r="AA120" s="213"/>
      <c r="AB120" s="213"/>
      <c r="AC120" s="213"/>
      <c r="AD120" s="213"/>
      <c r="AE120" s="213"/>
      <c r="AF120" s="213"/>
      <c r="AG120" s="208"/>
      <c r="AH120" s="208"/>
      <c r="AI120" s="208"/>
      <c r="AJ120" s="208"/>
      <c r="AK120" s="208"/>
    </row>
    <row r="121">
      <c r="A121" s="209"/>
      <c r="B121" s="210"/>
      <c r="C121" s="211"/>
      <c r="D121" s="211"/>
      <c r="E121" s="211"/>
      <c r="F121" s="211"/>
      <c r="G121" s="211"/>
      <c r="H121" s="212"/>
      <c r="I121" s="212"/>
      <c r="J121" s="213"/>
      <c r="K121" s="213"/>
      <c r="L121" s="214"/>
      <c r="M121" s="213"/>
      <c r="N121" s="214"/>
      <c r="O121" s="213"/>
      <c r="P121" s="213"/>
      <c r="Q121" s="214"/>
      <c r="R121" s="214"/>
      <c r="S121" s="213"/>
      <c r="T121" s="213"/>
      <c r="U121" s="213"/>
      <c r="V121" s="213"/>
      <c r="W121" s="213"/>
      <c r="X121" s="213"/>
      <c r="Y121" s="213"/>
      <c r="Z121" s="213"/>
      <c r="AA121" s="213"/>
      <c r="AB121" s="213"/>
      <c r="AC121" s="213"/>
      <c r="AD121" s="213"/>
      <c r="AE121" s="213"/>
      <c r="AF121" s="213"/>
      <c r="AG121" s="208"/>
      <c r="AH121" s="208"/>
      <c r="AI121" s="208"/>
      <c r="AJ121" s="208"/>
      <c r="AK121" s="208"/>
    </row>
    <row r="122">
      <c r="A122" s="209"/>
      <c r="B122" s="210"/>
      <c r="C122" s="211"/>
      <c r="D122" s="211"/>
      <c r="E122" s="211"/>
      <c r="F122" s="211"/>
      <c r="G122" s="211"/>
      <c r="H122" s="212"/>
      <c r="I122" s="212"/>
      <c r="J122" s="213"/>
      <c r="K122" s="213"/>
      <c r="L122" s="214"/>
      <c r="M122" s="213"/>
      <c r="N122" s="214"/>
      <c r="O122" s="213"/>
      <c r="P122" s="213"/>
      <c r="Q122" s="214"/>
      <c r="R122" s="214"/>
      <c r="S122" s="213"/>
      <c r="T122" s="213"/>
      <c r="U122" s="213"/>
      <c r="V122" s="213"/>
      <c r="W122" s="213"/>
      <c r="X122" s="213"/>
      <c r="Y122" s="213"/>
      <c r="Z122" s="213"/>
      <c r="AA122" s="213"/>
      <c r="AB122" s="213"/>
      <c r="AC122" s="213"/>
      <c r="AD122" s="213"/>
      <c r="AE122" s="213"/>
      <c r="AF122" s="213"/>
      <c r="AG122" s="208"/>
      <c r="AH122" s="208"/>
      <c r="AI122" s="208"/>
      <c r="AJ122" s="208"/>
      <c r="AK122" s="208"/>
    </row>
    <row r="123">
      <c r="A123" s="209"/>
      <c r="B123" s="210"/>
      <c r="C123" s="211"/>
      <c r="D123" s="211"/>
      <c r="E123" s="211"/>
      <c r="F123" s="211"/>
      <c r="G123" s="211"/>
      <c r="H123" s="212"/>
      <c r="I123" s="212"/>
      <c r="J123" s="213"/>
      <c r="K123" s="213"/>
      <c r="L123" s="214"/>
      <c r="M123" s="213"/>
      <c r="N123" s="214"/>
      <c r="O123" s="213"/>
      <c r="P123" s="213"/>
      <c r="Q123" s="214"/>
      <c r="R123" s="214"/>
      <c r="S123" s="213"/>
      <c r="T123" s="213"/>
      <c r="U123" s="213"/>
      <c r="V123" s="213"/>
      <c r="W123" s="213"/>
      <c r="X123" s="213"/>
      <c r="Y123" s="213"/>
      <c r="Z123" s="213"/>
      <c r="AA123" s="213"/>
      <c r="AB123" s="213"/>
      <c r="AC123" s="213"/>
      <c r="AD123" s="213"/>
      <c r="AE123" s="213"/>
      <c r="AF123" s="213"/>
      <c r="AG123" s="208"/>
      <c r="AH123" s="208"/>
      <c r="AI123" s="208"/>
      <c r="AJ123" s="208"/>
      <c r="AK123" s="208"/>
    </row>
    <row r="124">
      <c r="A124" s="209"/>
      <c r="B124" s="210"/>
      <c r="C124" s="211"/>
      <c r="D124" s="211"/>
      <c r="E124" s="211"/>
      <c r="F124" s="211"/>
      <c r="G124" s="211"/>
      <c r="H124" s="212"/>
      <c r="I124" s="212"/>
      <c r="J124" s="213"/>
      <c r="K124" s="213"/>
      <c r="L124" s="214"/>
      <c r="M124" s="213"/>
      <c r="N124" s="214"/>
      <c r="O124" s="213"/>
      <c r="P124" s="213"/>
      <c r="Q124" s="214"/>
      <c r="R124" s="214"/>
      <c r="S124" s="213"/>
      <c r="T124" s="213"/>
      <c r="U124" s="213"/>
      <c r="V124" s="213"/>
      <c r="W124" s="213"/>
      <c r="X124" s="213"/>
      <c r="Y124" s="213"/>
      <c r="Z124" s="213"/>
      <c r="AA124" s="213"/>
      <c r="AB124" s="213"/>
      <c r="AC124" s="213"/>
      <c r="AD124" s="213"/>
      <c r="AE124" s="213"/>
      <c r="AF124" s="213"/>
      <c r="AG124" s="208"/>
      <c r="AH124" s="208"/>
      <c r="AI124" s="208"/>
      <c r="AJ124" s="208"/>
      <c r="AK124" s="208"/>
    </row>
    <row r="125">
      <c r="A125" s="209"/>
      <c r="B125" s="210"/>
      <c r="C125" s="211"/>
      <c r="D125" s="211"/>
      <c r="E125" s="211"/>
      <c r="F125" s="211"/>
      <c r="G125" s="211"/>
      <c r="H125" s="212"/>
      <c r="I125" s="212"/>
      <c r="J125" s="213"/>
      <c r="K125" s="213"/>
      <c r="L125" s="214"/>
      <c r="M125" s="213"/>
      <c r="N125" s="214"/>
      <c r="O125" s="213"/>
      <c r="P125" s="213"/>
      <c r="Q125" s="214"/>
      <c r="R125" s="214"/>
      <c r="S125" s="213"/>
      <c r="T125" s="213"/>
      <c r="U125" s="213"/>
      <c r="V125" s="213"/>
      <c r="W125" s="213"/>
      <c r="X125" s="213"/>
      <c r="Y125" s="213"/>
      <c r="Z125" s="213"/>
      <c r="AA125" s="213"/>
      <c r="AB125" s="213"/>
      <c r="AC125" s="213"/>
      <c r="AD125" s="213"/>
      <c r="AE125" s="213"/>
      <c r="AF125" s="213"/>
      <c r="AG125" s="208"/>
      <c r="AH125" s="208"/>
      <c r="AI125" s="208"/>
      <c r="AJ125" s="208"/>
      <c r="AK125" s="208"/>
    </row>
    <row r="126">
      <c r="A126" s="209"/>
      <c r="B126" s="210"/>
      <c r="C126" s="211"/>
      <c r="D126" s="211"/>
      <c r="E126" s="211"/>
      <c r="F126" s="211"/>
      <c r="G126" s="211"/>
      <c r="H126" s="212"/>
      <c r="I126" s="212"/>
      <c r="J126" s="213"/>
      <c r="K126" s="213"/>
      <c r="L126" s="214"/>
      <c r="M126" s="213"/>
      <c r="N126" s="214"/>
      <c r="O126" s="213"/>
      <c r="P126" s="213"/>
      <c r="Q126" s="214"/>
      <c r="R126" s="214"/>
      <c r="S126" s="213"/>
      <c r="T126" s="213"/>
      <c r="U126" s="213"/>
      <c r="V126" s="213"/>
      <c r="W126" s="213"/>
      <c r="X126" s="213"/>
      <c r="Y126" s="213"/>
      <c r="Z126" s="213"/>
      <c r="AA126" s="213"/>
      <c r="AB126" s="213"/>
      <c r="AC126" s="213"/>
      <c r="AD126" s="213"/>
      <c r="AE126" s="213"/>
      <c r="AF126" s="213"/>
      <c r="AG126" s="208"/>
      <c r="AH126" s="208"/>
      <c r="AI126" s="208"/>
      <c r="AJ126" s="208"/>
      <c r="AK126" s="208"/>
    </row>
    <row r="127">
      <c r="A127" s="209"/>
      <c r="B127" s="210"/>
      <c r="C127" s="211"/>
      <c r="D127" s="211"/>
      <c r="E127" s="211"/>
      <c r="F127" s="211"/>
      <c r="G127" s="211"/>
      <c r="H127" s="212"/>
      <c r="I127" s="212"/>
      <c r="J127" s="213"/>
      <c r="K127" s="213"/>
      <c r="L127" s="214"/>
      <c r="M127" s="213"/>
      <c r="N127" s="214"/>
      <c r="O127" s="213"/>
      <c r="P127" s="213"/>
      <c r="Q127" s="214"/>
      <c r="R127" s="214"/>
      <c r="S127" s="213"/>
      <c r="T127" s="213"/>
      <c r="U127" s="213"/>
      <c r="V127" s="213"/>
      <c r="W127" s="213"/>
      <c r="X127" s="213"/>
      <c r="Y127" s="213"/>
      <c r="Z127" s="213"/>
      <c r="AA127" s="213"/>
      <c r="AB127" s="213"/>
      <c r="AC127" s="213"/>
      <c r="AD127" s="213"/>
      <c r="AE127" s="213"/>
      <c r="AF127" s="213"/>
      <c r="AG127" s="208"/>
      <c r="AH127" s="208"/>
      <c r="AI127" s="208"/>
      <c r="AJ127" s="208"/>
      <c r="AK127" s="208"/>
    </row>
    <row r="128">
      <c r="A128" s="209"/>
      <c r="B128" s="210"/>
      <c r="C128" s="211"/>
      <c r="D128" s="211"/>
      <c r="E128" s="211"/>
      <c r="F128" s="211"/>
      <c r="G128" s="211"/>
      <c r="H128" s="212"/>
      <c r="I128" s="212"/>
      <c r="J128" s="213"/>
      <c r="K128" s="213"/>
      <c r="L128" s="214"/>
      <c r="M128" s="213"/>
      <c r="N128" s="214"/>
      <c r="O128" s="213"/>
      <c r="P128" s="213"/>
      <c r="Q128" s="214"/>
      <c r="R128" s="214"/>
      <c r="S128" s="213"/>
      <c r="T128" s="213"/>
      <c r="U128" s="213"/>
      <c r="V128" s="213"/>
      <c r="W128" s="213"/>
      <c r="X128" s="213"/>
      <c r="Y128" s="213"/>
      <c r="Z128" s="213"/>
      <c r="AA128" s="213"/>
      <c r="AB128" s="213"/>
      <c r="AC128" s="213"/>
      <c r="AD128" s="213"/>
      <c r="AE128" s="213"/>
      <c r="AF128" s="213"/>
      <c r="AG128" s="208"/>
      <c r="AH128" s="208"/>
      <c r="AI128" s="208"/>
      <c r="AJ128" s="208"/>
      <c r="AK128" s="208"/>
    </row>
    <row r="129">
      <c r="A129" s="209"/>
      <c r="B129" s="210"/>
      <c r="C129" s="211"/>
      <c r="D129" s="211"/>
      <c r="E129" s="211"/>
      <c r="F129" s="211"/>
      <c r="G129" s="211"/>
      <c r="H129" s="212"/>
      <c r="I129" s="212"/>
      <c r="J129" s="213"/>
      <c r="K129" s="213"/>
      <c r="L129" s="214"/>
      <c r="M129" s="213"/>
      <c r="N129" s="214"/>
      <c r="O129" s="213"/>
      <c r="P129" s="213"/>
      <c r="Q129" s="214"/>
      <c r="R129" s="214"/>
      <c r="S129" s="213"/>
      <c r="T129" s="213"/>
      <c r="U129" s="213"/>
      <c r="V129" s="213"/>
      <c r="W129" s="213"/>
      <c r="X129" s="213"/>
      <c r="Y129" s="213"/>
      <c r="Z129" s="213"/>
      <c r="AA129" s="213"/>
      <c r="AB129" s="213"/>
      <c r="AC129" s="213"/>
      <c r="AD129" s="213"/>
      <c r="AE129" s="213"/>
      <c r="AF129" s="213"/>
      <c r="AG129" s="208"/>
      <c r="AH129" s="208"/>
      <c r="AI129" s="208"/>
      <c r="AJ129" s="208"/>
      <c r="AK129" s="208"/>
    </row>
    <row r="130">
      <c r="A130" s="209"/>
      <c r="B130" s="210"/>
      <c r="C130" s="211"/>
      <c r="D130" s="211"/>
      <c r="E130" s="211"/>
      <c r="F130" s="211"/>
      <c r="G130" s="211"/>
      <c r="H130" s="212"/>
      <c r="I130" s="212"/>
      <c r="J130" s="213"/>
      <c r="K130" s="213"/>
      <c r="L130" s="214"/>
      <c r="M130" s="213"/>
      <c r="N130" s="214"/>
      <c r="O130" s="213"/>
      <c r="P130" s="213"/>
      <c r="Q130" s="214"/>
      <c r="R130" s="214"/>
      <c r="S130" s="213"/>
      <c r="T130" s="213"/>
      <c r="U130" s="213"/>
      <c r="V130" s="213"/>
      <c r="W130" s="213"/>
      <c r="X130" s="213"/>
      <c r="Y130" s="213"/>
      <c r="Z130" s="213"/>
      <c r="AA130" s="213"/>
      <c r="AB130" s="213"/>
      <c r="AC130" s="213"/>
      <c r="AD130" s="213"/>
      <c r="AE130" s="213"/>
      <c r="AF130" s="213"/>
      <c r="AG130" s="208"/>
      <c r="AH130" s="208"/>
      <c r="AI130" s="208"/>
      <c r="AJ130" s="208"/>
      <c r="AK130" s="208"/>
    </row>
    <row r="131">
      <c r="A131" s="209"/>
      <c r="B131" s="210"/>
      <c r="C131" s="211"/>
      <c r="D131" s="211"/>
      <c r="E131" s="211"/>
      <c r="F131" s="211"/>
      <c r="G131" s="211"/>
      <c r="H131" s="212"/>
      <c r="I131" s="212"/>
      <c r="J131" s="213"/>
      <c r="K131" s="213"/>
      <c r="L131" s="214"/>
      <c r="M131" s="213"/>
      <c r="N131" s="214"/>
      <c r="O131" s="213"/>
      <c r="P131" s="213"/>
      <c r="Q131" s="214"/>
      <c r="R131" s="214"/>
      <c r="S131" s="213"/>
      <c r="T131" s="213"/>
      <c r="U131" s="213"/>
      <c r="V131" s="213"/>
      <c r="W131" s="213"/>
      <c r="X131" s="213"/>
      <c r="Y131" s="213"/>
      <c r="Z131" s="213"/>
      <c r="AA131" s="213"/>
      <c r="AB131" s="213"/>
      <c r="AC131" s="213"/>
      <c r="AD131" s="213"/>
      <c r="AE131" s="213"/>
      <c r="AF131" s="213"/>
      <c r="AG131" s="208"/>
      <c r="AH131" s="208"/>
      <c r="AI131" s="208"/>
      <c r="AJ131" s="208"/>
      <c r="AK131" s="208"/>
    </row>
    <row r="132">
      <c r="A132" s="209"/>
      <c r="B132" s="210"/>
      <c r="C132" s="211"/>
      <c r="D132" s="211"/>
      <c r="E132" s="211"/>
      <c r="F132" s="211"/>
      <c r="G132" s="211"/>
      <c r="H132" s="212"/>
      <c r="I132" s="212"/>
      <c r="J132" s="213"/>
      <c r="K132" s="213"/>
      <c r="L132" s="214"/>
      <c r="M132" s="213"/>
      <c r="N132" s="214"/>
      <c r="O132" s="213"/>
      <c r="P132" s="213"/>
      <c r="Q132" s="214"/>
      <c r="R132" s="214"/>
      <c r="S132" s="213"/>
      <c r="T132" s="213"/>
      <c r="U132" s="213"/>
      <c r="V132" s="213"/>
      <c r="W132" s="213"/>
      <c r="X132" s="213"/>
      <c r="Y132" s="213"/>
      <c r="Z132" s="213"/>
      <c r="AA132" s="213"/>
      <c r="AB132" s="213"/>
      <c r="AC132" s="213"/>
      <c r="AD132" s="213"/>
      <c r="AE132" s="213"/>
      <c r="AF132" s="213"/>
      <c r="AG132" s="208"/>
      <c r="AH132" s="208"/>
      <c r="AI132" s="208"/>
      <c r="AJ132" s="208"/>
      <c r="AK132" s="208"/>
    </row>
    <row r="133">
      <c r="A133" s="209"/>
      <c r="B133" s="210"/>
      <c r="C133" s="211"/>
      <c r="D133" s="211"/>
      <c r="E133" s="211"/>
      <c r="F133" s="211"/>
      <c r="G133" s="211"/>
      <c r="H133" s="212"/>
      <c r="I133" s="212"/>
      <c r="J133" s="213"/>
      <c r="K133" s="213"/>
      <c r="L133" s="214"/>
      <c r="M133" s="213"/>
      <c r="N133" s="214"/>
      <c r="O133" s="213"/>
      <c r="P133" s="213"/>
      <c r="Q133" s="214"/>
      <c r="R133" s="214"/>
      <c r="S133" s="213"/>
      <c r="T133" s="213"/>
      <c r="U133" s="213"/>
      <c r="V133" s="213"/>
      <c r="W133" s="213"/>
      <c r="X133" s="213"/>
      <c r="Y133" s="213"/>
      <c r="Z133" s="213"/>
      <c r="AA133" s="213"/>
      <c r="AB133" s="213"/>
      <c r="AC133" s="213"/>
      <c r="AD133" s="213"/>
      <c r="AE133" s="213"/>
      <c r="AF133" s="213"/>
      <c r="AG133" s="208"/>
      <c r="AH133" s="208"/>
      <c r="AI133" s="208"/>
      <c r="AJ133" s="208"/>
      <c r="AK133" s="208"/>
    </row>
    <row r="134">
      <c r="A134" s="209"/>
      <c r="B134" s="210"/>
      <c r="C134" s="211"/>
      <c r="D134" s="211"/>
      <c r="E134" s="211"/>
      <c r="F134" s="211"/>
      <c r="G134" s="211"/>
      <c r="H134" s="212"/>
      <c r="I134" s="212"/>
      <c r="J134" s="213"/>
      <c r="K134" s="213"/>
      <c r="L134" s="214"/>
      <c r="M134" s="213"/>
      <c r="N134" s="214"/>
      <c r="O134" s="213"/>
      <c r="P134" s="213"/>
      <c r="Q134" s="214"/>
      <c r="R134" s="214"/>
      <c r="S134" s="213"/>
      <c r="T134" s="213"/>
      <c r="U134" s="213"/>
      <c r="V134" s="213"/>
      <c r="W134" s="213"/>
      <c r="X134" s="213"/>
      <c r="Y134" s="213"/>
      <c r="Z134" s="213"/>
      <c r="AA134" s="213"/>
      <c r="AB134" s="213"/>
      <c r="AC134" s="213"/>
      <c r="AD134" s="213"/>
      <c r="AE134" s="213"/>
      <c r="AF134" s="213"/>
      <c r="AG134" s="208"/>
      <c r="AH134" s="208"/>
      <c r="AI134" s="208"/>
      <c r="AJ134" s="208"/>
      <c r="AK134" s="208"/>
    </row>
    <row r="135">
      <c r="A135" s="209"/>
      <c r="B135" s="210"/>
      <c r="C135" s="211"/>
      <c r="D135" s="211"/>
      <c r="E135" s="211"/>
      <c r="F135" s="211"/>
      <c r="G135" s="211"/>
      <c r="H135" s="212"/>
      <c r="I135" s="212"/>
      <c r="J135" s="213"/>
      <c r="K135" s="213"/>
      <c r="L135" s="214"/>
      <c r="M135" s="213"/>
      <c r="N135" s="214"/>
      <c r="O135" s="213"/>
      <c r="P135" s="213"/>
      <c r="Q135" s="214"/>
      <c r="R135" s="214"/>
      <c r="S135" s="213"/>
      <c r="T135" s="213"/>
      <c r="U135" s="213"/>
      <c r="V135" s="213"/>
      <c r="W135" s="213"/>
      <c r="X135" s="213"/>
      <c r="Y135" s="213"/>
      <c r="Z135" s="213"/>
      <c r="AA135" s="213"/>
      <c r="AB135" s="213"/>
      <c r="AC135" s="213"/>
      <c r="AD135" s="213"/>
      <c r="AE135" s="213"/>
      <c r="AF135" s="213"/>
      <c r="AG135" s="208"/>
      <c r="AH135" s="208"/>
      <c r="AI135" s="208"/>
      <c r="AJ135" s="208"/>
      <c r="AK135" s="208"/>
    </row>
    <row r="136">
      <c r="A136" s="209"/>
      <c r="B136" s="210"/>
      <c r="C136" s="211"/>
      <c r="D136" s="211"/>
      <c r="E136" s="211"/>
      <c r="F136" s="211"/>
      <c r="G136" s="211"/>
      <c r="H136" s="212"/>
      <c r="I136" s="212"/>
      <c r="J136" s="213"/>
      <c r="K136" s="213"/>
      <c r="L136" s="214"/>
      <c r="M136" s="213"/>
      <c r="N136" s="214"/>
      <c r="O136" s="213"/>
      <c r="P136" s="213"/>
      <c r="Q136" s="214"/>
      <c r="R136" s="214"/>
      <c r="S136" s="213"/>
      <c r="T136" s="213"/>
      <c r="U136" s="213"/>
      <c r="V136" s="213"/>
      <c r="W136" s="213"/>
      <c r="X136" s="213"/>
      <c r="Y136" s="213"/>
      <c r="Z136" s="213"/>
      <c r="AA136" s="213"/>
      <c r="AB136" s="213"/>
      <c r="AC136" s="213"/>
      <c r="AD136" s="213"/>
      <c r="AE136" s="213"/>
      <c r="AF136" s="213"/>
      <c r="AG136" s="208"/>
      <c r="AH136" s="208"/>
      <c r="AI136" s="208"/>
      <c r="AJ136" s="208"/>
      <c r="AK136" s="208"/>
    </row>
    <row r="137">
      <c r="A137" s="209"/>
      <c r="B137" s="210"/>
      <c r="C137" s="211"/>
      <c r="D137" s="211"/>
      <c r="E137" s="211"/>
      <c r="F137" s="211"/>
      <c r="G137" s="211"/>
      <c r="H137" s="212"/>
      <c r="I137" s="212"/>
      <c r="J137" s="213"/>
      <c r="K137" s="213"/>
      <c r="L137" s="214"/>
      <c r="M137" s="213"/>
      <c r="N137" s="214"/>
      <c r="O137" s="213"/>
      <c r="P137" s="213"/>
      <c r="Q137" s="214"/>
      <c r="R137" s="214"/>
      <c r="S137" s="213"/>
      <c r="T137" s="213"/>
      <c r="U137" s="213"/>
      <c r="V137" s="213"/>
      <c r="W137" s="213"/>
      <c r="X137" s="213"/>
      <c r="Y137" s="213"/>
      <c r="Z137" s="213"/>
      <c r="AA137" s="213"/>
      <c r="AB137" s="213"/>
      <c r="AC137" s="213"/>
      <c r="AD137" s="213"/>
      <c r="AE137" s="213"/>
      <c r="AF137" s="213"/>
      <c r="AG137" s="208"/>
      <c r="AH137" s="208"/>
      <c r="AI137" s="208"/>
      <c r="AJ137" s="208"/>
      <c r="AK137" s="208"/>
    </row>
    <row r="138">
      <c r="A138" s="209"/>
      <c r="B138" s="210"/>
      <c r="C138" s="211"/>
      <c r="D138" s="211"/>
      <c r="E138" s="211"/>
      <c r="F138" s="211"/>
      <c r="G138" s="211"/>
      <c r="H138" s="212"/>
      <c r="I138" s="212"/>
      <c r="J138" s="213"/>
      <c r="K138" s="213"/>
      <c r="L138" s="214"/>
      <c r="M138" s="213"/>
      <c r="N138" s="214"/>
      <c r="O138" s="213"/>
      <c r="P138" s="213"/>
      <c r="Q138" s="214"/>
      <c r="R138" s="214"/>
      <c r="S138" s="213"/>
      <c r="T138" s="213"/>
      <c r="U138" s="213"/>
      <c r="V138" s="213"/>
      <c r="W138" s="213"/>
      <c r="X138" s="213"/>
      <c r="Y138" s="213"/>
      <c r="Z138" s="213"/>
      <c r="AA138" s="213"/>
      <c r="AB138" s="213"/>
      <c r="AC138" s="213"/>
      <c r="AD138" s="213"/>
      <c r="AE138" s="213"/>
      <c r="AF138" s="213"/>
      <c r="AG138" s="208"/>
      <c r="AH138" s="208"/>
      <c r="AI138" s="208"/>
      <c r="AJ138" s="208"/>
      <c r="AK138" s="208"/>
    </row>
    <row r="139">
      <c r="A139" s="209"/>
      <c r="B139" s="210"/>
      <c r="C139" s="211"/>
      <c r="D139" s="211"/>
      <c r="E139" s="211"/>
      <c r="F139" s="211"/>
      <c r="G139" s="211"/>
      <c r="H139" s="212"/>
      <c r="I139" s="212"/>
      <c r="J139" s="213"/>
      <c r="K139" s="213"/>
      <c r="L139" s="214"/>
      <c r="M139" s="213"/>
      <c r="N139" s="214"/>
      <c r="O139" s="213"/>
      <c r="P139" s="213"/>
      <c r="Q139" s="214"/>
      <c r="R139" s="214"/>
      <c r="S139" s="213"/>
      <c r="T139" s="213"/>
      <c r="U139" s="213"/>
      <c r="V139" s="213"/>
      <c r="W139" s="213"/>
      <c r="X139" s="213"/>
      <c r="Y139" s="213"/>
      <c r="Z139" s="213"/>
      <c r="AA139" s="213"/>
      <c r="AB139" s="213"/>
      <c r="AC139" s="213"/>
      <c r="AD139" s="213"/>
      <c r="AE139" s="213"/>
      <c r="AF139" s="213"/>
      <c r="AG139" s="208"/>
      <c r="AH139" s="208"/>
      <c r="AI139" s="208"/>
      <c r="AJ139" s="208"/>
      <c r="AK139" s="208"/>
    </row>
    <row r="140">
      <c r="A140" s="209"/>
      <c r="B140" s="210"/>
      <c r="C140" s="211"/>
      <c r="D140" s="211"/>
      <c r="E140" s="211"/>
      <c r="F140" s="211"/>
      <c r="G140" s="211"/>
      <c r="H140" s="212"/>
      <c r="I140" s="212"/>
      <c r="J140" s="213"/>
      <c r="K140" s="213"/>
      <c r="L140" s="214"/>
      <c r="M140" s="213"/>
      <c r="N140" s="214"/>
      <c r="O140" s="213"/>
      <c r="P140" s="213"/>
      <c r="Q140" s="214"/>
      <c r="R140" s="214"/>
      <c r="S140" s="213"/>
      <c r="T140" s="213"/>
      <c r="U140" s="213"/>
      <c r="V140" s="213"/>
      <c r="W140" s="213"/>
      <c r="X140" s="213"/>
      <c r="Y140" s="213"/>
      <c r="Z140" s="213"/>
      <c r="AA140" s="213"/>
      <c r="AB140" s="213"/>
      <c r="AC140" s="213"/>
      <c r="AD140" s="213"/>
      <c r="AE140" s="213"/>
      <c r="AF140" s="213"/>
      <c r="AG140" s="208"/>
      <c r="AH140" s="208"/>
      <c r="AI140" s="208"/>
      <c r="AJ140" s="208"/>
      <c r="AK140" s="208"/>
    </row>
    <row r="141">
      <c r="A141" s="209"/>
      <c r="B141" s="210"/>
      <c r="C141" s="211"/>
      <c r="D141" s="211"/>
      <c r="E141" s="211"/>
      <c r="F141" s="211"/>
      <c r="G141" s="211"/>
      <c r="H141" s="212"/>
      <c r="I141" s="212"/>
      <c r="J141" s="213"/>
      <c r="K141" s="213"/>
      <c r="L141" s="214"/>
      <c r="M141" s="213"/>
      <c r="N141" s="214"/>
      <c r="O141" s="213"/>
      <c r="P141" s="213"/>
      <c r="Q141" s="214"/>
      <c r="R141" s="214"/>
      <c r="S141" s="213"/>
      <c r="T141" s="213"/>
      <c r="U141" s="213"/>
      <c r="V141" s="213"/>
      <c r="W141" s="213"/>
      <c r="X141" s="213"/>
      <c r="Y141" s="213"/>
      <c r="Z141" s="213"/>
      <c r="AA141" s="213"/>
      <c r="AB141" s="213"/>
      <c r="AC141" s="213"/>
      <c r="AD141" s="213"/>
      <c r="AE141" s="213"/>
      <c r="AF141" s="213"/>
      <c r="AG141" s="208"/>
      <c r="AH141" s="208"/>
      <c r="AI141" s="208"/>
      <c r="AJ141" s="208"/>
      <c r="AK141" s="208"/>
    </row>
    <row r="142">
      <c r="A142" s="209"/>
      <c r="B142" s="210"/>
      <c r="C142" s="211"/>
      <c r="D142" s="211"/>
      <c r="E142" s="211"/>
      <c r="F142" s="211"/>
      <c r="G142" s="211"/>
      <c r="H142" s="212"/>
      <c r="I142" s="212"/>
      <c r="J142" s="213"/>
      <c r="K142" s="213"/>
      <c r="L142" s="214"/>
      <c r="M142" s="213"/>
      <c r="N142" s="214"/>
      <c r="O142" s="213"/>
      <c r="P142" s="213"/>
      <c r="Q142" s="214"/>
      <c r="R142" s="214"/>
      <c r="S142" s="213"/>
      <c r="T142" s="213"/>
      <c r="U142" s="213"/>
      <c r="V142" s="213"/>
      <c r="W142" s="213"/>
      <c r="X142" s="213"/>
      <c r="Y142" s="213"/>
      <c r="Z142" s="213"/>
      <c r="AA142" s="213"/>
      <c r="AB142" s="213"/>
      <c r="AC142" s="213"/>
      <c r="AD142" s="213"/>
      <c r="AE142" s="213"/>
      <c r="AF142" s="213"/>
      <c r="AG142" s="208"/>
      <c r="AH142" s="208"/>
      <c r="AI142" s="208"/>
      <c r="AJ142" s="208"/>
      <c r="AK142" s="208"/>
    </row>
    <row r="143">
      <c r="A143" s="209"/>
      <c r="B143" s="210"/>
      <c r="C143" s="211"/>
      <c r="D143" s="211"/>
      <c r="E143" s="211"/>
      <c r="F143" s="211"/>
      <c r="G143" s="211"/>
      <c r="H143" s="212"/>
      <c r="I143" s="212"/>
      <c r="J143" s="213"/>
      <c r="K143" s="213"/>
      <c r="L143" s="214"/>
      <c r="M143" s="213"/>
      <c r="N143" s="214"/>
      <c r="O143" s="213"/>
      <c r="P143" s="213"/>
      <c r="Q143" s="214"/>
      <c r="R143" s="214"/>
      <c r="S143" s="213"/>
      <c r="T143" s="213"/>
      <c r="U143" s="213"/>
      <c r="V143" s="213"/>
      <c r="W143" s="213"/>
      <c r="X143" s="213"/>
      <c r="Y143" s="213"/>
      <c r="Z143" s="213"/>
      <c r="AA143" s="213"/>
      <c r="AB143" s="213"/>
      <c r="AC143" s="213"/>
      <c r="AD143" s="213"/>
      <c r="AE143" s="213"/>
      <c r="AF143" s="213"/>
      <c r="AG143" s="208"/>
      <c r="AH143" s="208"/>
      <c r="AI143" s="208"/>
      <c r="AJ143" s="208"/>
      <c r="AK143" s="208"/>
    </row>
    <row r="144">
      <c r="A144" s="209"/>
      <c r="B144" s="210"/>
      <c r="C144" s="211"/>
      <c r="D144" s="211"/>
      <c r="E144" s="211"/>
      <c r="F144" s="211"/>
      <c r="G144" s="211"/>
      <c r="H144" s="212"/>
      <c r="I144" s="212"/>
      <c r="J144" s="213"/>
      <c r="K144" s="213"/>
      <c r="L144" s="214"/>
      <c r="M144" s="213"/>
      <c r="N144" s="214"/>
      <c r="O144" s="213"/>
      <c r="P144" s="213"/>
      <c r="Q144" s="214"/>
      <c r="R144" s="214"/>
      <c r="S144" s="213"/>
      <c r="T144" s="213"/>
      <c r="U144" s="213"/>
      <c r="V144" s="213"/>
      <c r="W144" s="213"/>
      <c r="X144" s="213"/>
      <c r="Y144" s="213"/>
      <c r="Z144" s="213"/>
      <c r="AA144" s="213"/>
      <c r="AB144" s="213"/>
      <c r="AC144" s="213"/>
      <c r="AD144" s="213"/>
      <c r="AE144" s="213"/>
      <c r="AF144" s="213"/>
      <c r="AG144" s="208"/>
      <c r="AH144" s="208"/>
      <c r="AI144" s="208"/>
      <c r="AJ144" s="208"/>
      <c r="AK144" s="208"/>
    </row>
    <row r="145">
      <c r="A145" s="209"/>
      <c r="B145" s="210"/>
      <c r="C145" s="211"/>
      <c r="D145" s="211"/>
      <c r="E145" s="211"/>
      <c r="F145" s="211"/>
      <c r="G145" s="211"/>
      <c r="H145" s="212"/>
      <c r="I145" s="212"/>
      <c r="J145" s="213"/>
      <c r="K145" s="213"/>
      <c r="L145" s="214"/>
      <c r="M145" s="213"/>
      <c r="N145" s="214"/>
      <c r="O145" s="213"/>
      <c r="P145" s="213"/>
      <c r="Q145" s="214"/>
      <c r="R145" s="214"/>
      <c r="S145" s="213"/>
      <c r="T145" s="213"/>
      <c r="U145" s="213"/>
      <c r="V145" s="213"/>
      <c r="W145" s="213"/>
      <c r="X145" s="213"/>
      <c r="Y145" s="213"/>
      <c r="Z145" s="213"/>
      <c r="AA145" s="213"/>
      <c r="AB145" s="213"/>
      <c r="AC145" s="213"/>
      <c r="AD145" s="213"/>
      <c r="AE145" s="213"/>
      <c r="AF145" s="213"/>
      <c r="AG145" s="208"/>
      <c r="AH145" s="208"/>
      <c r="AI145" s="208"/>
      <c r="AJ145" s="208"/>
      <c r="AK145" s="208"/>
    </row>
    <row r="146">
      <c r="A146" s="209"/>
      <c r="B146" s="210"/>
      <c r="C146" s="211"/>
      <c r="D146" s="211"/>
      <c r="E146" s="211"/>
      <c r="F146" s="211"/>
      <c r="G146" s="211"/>
      <c r="H146" s="212"/>
      <c r="I146" s="212"/>
      <c r="J146" s="213"/>
      <c r="K146" s="213"/>
      <c r="L146" s="214"/>
      <c r="M146" s="213"/>
      <c r="N146" s="214"/>
      <c r="O146" s="213"/>
      <c r="P146" s="213"/>
      <c r="Q146" s="214"/>
      <c r="R146" s="214"/>
      <c r="S146" s="213"/>
      <c r="T146" s="213"/>
      <c r="U146" s="213"/>
      <c r="V146" s="213"/>
      <c r="W146" s="213"/>
      <c r="X146" s="213"/>
      <c r="Y146" s="213"/>
      <c r="Z146" s="213"/>
      <c r="AA146" s="213"/>
      <c r="AB146" s="213"/>
      <c r="AC146" s="213"/>
      <c r="AD146" s="213"/>
      <c r="AE146" s="213"/>
      <c r="AF146" s="213"/>
      <c r="AG146" s="208"/>
      <c r="AH146" s="208"/>
      <c r="AI146" s="208"/>
      <c r="AJ146" s="208"/>
      <c r="AK146" s="208"/>
    </row>
    <row r="147">
      <c r="A147" s="209"/>
      <c r="B147" s="210"/>
      <c r="C147" s="211"/>
      <c r="D147" s="211"/>
      <c r="E147" s="211"/>
      <c r="F147" s="211"/>
      <c r="G147" s="211"/>
      <c r="H147" s="212"/>
      <c r="I147" s="212"/>
      <c r="J147" s="213"/>
      <c r="K147" s="213"/>
      <c r="L147" s="214"/>
      <c r="M147" s="213"/>
      <c r="N147" s="214"/>
      <c r="O147" s="213"/>
      <c r="P147" s="213"/>
      <c r="Q147" s="214"/>
      <c r="R147" s="214"/>
      <c r="S147" s="213"/>
      <c r="T147" s="213"/>
      <c r="U147" s="213"/>
      <c r="V147" s="213"/>
      <c r="W147" s="213"/>
      <c r="X147" s="213"/>
      <c r="Y147" s="213"/>
      <c r="Z147" s="213"/>
      <c r="AA147" s="213"/>
      <c r="AB147" s="213"/>
      <c r="AC147" s="213"/>
      <c r="AD147" s="213"/>
      <c r="AE147" s="213"/>
      <c r="AF147" s="213"/>
      <c r="AG147" s="208"/>
      <c r="AH147" s="208"/>
      <c r="AI147" s="208"/>
      <c r="AJ147" s="208"/>
      <c r="AK147" s="208"/>
    </row>
    <row r="148">
      <c r="A148" s="209"/>
      <c r="B148" s="210"/>
      <c r="C148" s="211"/>
      <c r="D148" s="211"/>
      <c r="E148" s="211"/>
      <c r="F148" s="211"/>
      <c r="G148" s="211"/>
      <c r="H148" s="212"/>
      <c r="I148" s="212"/>
      <c r="J148" s="213"/>
      <c r="K148" s="213"/>
      <c r="L148" s="214"/>
      <c r="M148" s="213"/>
      <c r="N148" s="214"/>
      <c r="O148" s="213"/>
      <c r="P148" s="213"/>
      <c r="Q148" s="214"/>
      <c r="R148" s="214"/>
      <c r="S148" s="213"/>
      <c r="T148" s="213"/>
      <c r="U148" s="213"/>
      <c r="V148" s="213"/>
      <c r="W148" s="213"/>
      <c r="X148" s="213"/>
      <c r="Y148" s="213"/>
      <c r="Z148" s="213"/>
      <c r="AA148" s="213"/>
      <c r="AB148" s="213"/>
      <c r="AC148" s="213"/>
      <c r="AD148" s="213"/>
      <c r="AE148" s="213"/>
      <c r="AF148" s="213"/>
      <c r="AG148" s="208"/>
      <c r="AH148" s="208"/>
      <c r="AI148" s="208"/>
      <c r="AJ148" s="208"/>
      <c r="AK148" s="208"/>
    </row>
    <row r="149">
      <c r="A149" s="209"/>
      <c r="B149" s="210"/>
      <c r="C149" s="211"/>
      <c r="D149" s="211"/>
      <c r="E149" s="211"/>
      <c r="F149" s="211"/>
      <c r="G149" s="211"/>
      <c r="H149" s="212"/>
      <c r="I149" s="212"/>
      <c r="J149" s="213"/>
      <c r="K149" s="213"/>
      <c r="L149" s="214"/>
      <c r="M149" s="213"/>
      <c r="N149" s="214"/>
      <c r="O149" s="213"/>
      <c r="P149" s="213"/>
      <c r="Q149" s="214"/>
      <c r="R149" s="214"/>
      <c r="S149" s="213"/>
      <c r="T149" s="213"/>
      <c r="U149" s="213"/>
      <c r="V149" s="213"/>
      <c r="W149" s="213"/>
      <c r="X149" s="213"/>
      <c r="Y149" s="213"/>
      <c r="Z149" s="213"/>
      <c r="AA149" s="213"/>
      <c r="AB149" s="213"/>
      <c r="AC149" s="213"/>
      <c r="AD149" s="213"/>
      <c r="AE149" s="213"/>
      <c r="AF149" s="213"/>
      <c r="AG149" s="208"/>
      <c r="AH149" s="208"/>
      <c r="AI149" s="208"/>
      <c r="AJ149" s="208"/>
      <c r="AK149" s="208"/>
    </row>
    <row r="150">
      <c r="A150" s="209"/>
      <c r="B150" s="210"/>
      <c r="C150" s="211"/>
      <c r="D150" s="211"/>
      <c r="E150" s="211"/>
      <c r="F150" s="211"/>
      <c r="G150" s="211"/>
      <c r="H150" s="212"/>
      <c r="I150" s="212"/>
      <c r="J150" s="213"/>
      <c r="K150" s="213"/>
      <c r="L150" s="214"/>
      <c r="M150" s="213"/>
      <c r="N150" s="214"/>
      <c r="O150" s="213"/>
      <c r="P150" s="213"/>
      <c r="Q150" s="214"/>
      <c r="R150" s="214"/>
      <c r="S150" s="213"/>
      <c r="T150" s="213"/>
      <c r="U150" s="213"/>
      <c r="V150" s="213"/>
      <c r="W150" s="213"/>
      <c r="X150" s="213"/>
      <c r="Y150" s="213"/>
      <c r="Z150" s="213"/>
      <c r="AA150" s="213"/>
      <c r="AB150" s="213"/>
      <c r="AC150" s="213"/>
      <c r="AD150" s="213"/>
      <c r="AE150" s="213"/>
      <c r="AF150" s="213"/>
      <c r="AG150" s="208"/>
      <c r="AH150" s="208"/>
      <c r="AI150" s="208"/>
      <c r="AJ150" s="208"/>
      <c r="AK150" s="208"/>
    </row>
    <row r="151">
      <c r="A151" s="209"/>
      <c r="B151" s="210"/>
      <c r="C151" s="211"/>
      <c r="D151" s="211"/>
      <c r="E151" s="211"/>
      <c r="F151" s="211"/>
      <c r="G151" s="211"/>
      <c r="H151" s="212"/>
      <c r="I151" s="212"/>
      <c r="J151" s="213"/>
      <c r="K151" s="213"/>
      <c r="L151" s="214"/>
      <c r="M151" s="213"/>
      <c r="N151" s="214"/>
      <c r="O151" s="213"/>
      <c r="P151" s="213"/>
      <c r="Q151" s="214"/>
      <c r="R151" s="214"/>
      <c r="S151" s="213"/>
      <c r="T151" s="213"/>
      <c r="U151" s="213"/>
      <c r="V151" s="213"/>
      <c r="W151" s="213"/>
      <c r="X151" s="213"/>
      <c r="Y151" s="213"/>
      <c r="Z151" s="213"/>
      <c r="AA151" s="213"/>
      <c r="AB151" s="213"/>
      <c r="AC151" s="213"/>
      <c r="AD151" s="213"/>
      <c r="AE151" s="213"/>
      <c r="AF151" s="213"/>
      <c r="AG151" s="208"/>
      <c r="AH151" s="208"/>
      <c r="AI151" s="208"/>
      <c r="AJ151" s="208"/>
      <c r="AK151" s="208"/>
    </row>
    <row r="152">
      <c r="A152" s="209"/>
      <c r="B152" s="210"/>
      <c r="C152" s="211"/>
      <c r="D152" s="211"/>
      <c r="E152" s="211"/>
      <c r="F152" s="211"/>
      <c r="G152" s="211"/>
      <c r="H152" s="212"/>
      <c r="I152" s="212"/>
      <c r="J152" s="213"/>
      <c r="K152" s="213"/>
      <c r="L152" s="214"/>
      <c r="M152" s="213"/>
      <c r="N152" s="214"/>
      <c r="O152" s="213"/>
      <c r="P152" s="213"/>
      <c r="Q152" s="214"/>
      <c r="R152" s="214"/>
      <c r="S152" s="213"/>
      <c r="T152" s="213"/>
      <c r="U152" s="213"/>
      <c r="V152" s="213"/>
      <c r="W152" s="213"/>
      <c r="X152" s="213"/>
      <c r="Y152" s="213"/>
      <c r="Z152" s="213"/>
      <c r="AA152" s="213"/>
      <c r="AB152" s="213"/>
      <c r="AC152" s="213"/>
      <c r="AD152" s="213"/>
      <c r="AE152" s="213"/>
      <c r="AF152" s="213"/>
      <c r="AG152" s="208"/>
      <c r="AH152" s="208"/>
      <c r="AI152" s="208"/>
      <c r="AJ152" s="208"/>
      <c r="AK152" s="208"/>
    </row>
    <row r="153">
      <c r="A153" s="209"/>
      <c r="B153" s="210"/>
      <c r="C153" s="211"/>
      <c r="D153" s="211"/>
      <c r="E153" s="211"/>
      <c r="F153" s="211"/>
      <c r="G153" s="211"/>
      <c r="H153" s="212"/>
      <c r="I153" s="212"/>
      <c r="J153" s="213"/>
      <c r="K153" s="213"/>
      <c r="L153" s="214"/>
      <c r="M153" s="213"/>
      <c r="N153" s="214"/>
      <c r="O153" s="213"/>
      <c r="P153" s="213"/>
      <c r="Q153" s="214"/>
      <c r="R153" s="214"/>
      <c r="S153" s="213"/>
      <c r="T153" s="213"/>
      <c r="U153" s="213"/>
      <c r="V153" s="213"/>
      <c r="W153" s="213"/>
      <c r="X153" s="213"/>
      <c r="Y153" s="213"/>
      <c r="Z153" s="213"/>
      <c r="AA153" s="213"/>
      <c r="AB153" s="213"/>
      <c r="AC153" s="213"/>
      <c r="AD153" s="213"/>
      <c r="AE153" s="213"/>
      <c r="AF153" s="213"/>
      <c r="AG153" s="208"/>
      <c r="AH153" s="208"/>
      <c r="AI153" s="208"/>
      <c r="AJ153" s="208"/>
      <c r="AK153" s="208"/>
    </row>
    <row r="154">
      <c r="A154" s="209"/>
      <c r="B154" s="210"/>
      <c r="C154" s="211"/>
      <c r="D154" s="211"/>
      <c r="E154" s="211"/>
      <c r="F154" s="211"/>
      <c r="G154" s="211"/>
      <c r="H154" s="212"/>
      <c r="I154" s="212"/>
      <c r="J154" s="213"/>
      <c r="K154" s="213"/>
      <c r="L154" s="214"/>
      <c r="M154" s="213"/>
      <c r="N154" s="214"/>
      <c r="O154" s="213"/>
      <c r="P154" s="213"/>
      <c r="Q154" s="214"/>
      <c r="R154" s="214"/>
      <c r="S154" s="213"/>
      <c r="T154" s="213"/>
      <c r="U154" s="213"/>
      <c r="V154" s="213"/>
      <c r="W154" s="213"/>
      <c r="X154" s="213"/>
      <c r="Y154" s="213"/>
      <c r="Z154" s="213"/>
      <c r="AA154" s="213"/>
      <c r="AB154" s="213"/>
      <c r="AC154" s="213"/>
      <c r="AD154" s="213"/>
      <c r="AE154" s="213"/>
      <c r="AF154" s="213"/>
      <c r="AG154" s="208"/>
      <c r="AH154" s="208"/>
      <c r="AI154" s="208"/>
      <c r="AJ154" s="208"/>
      <c r="AK154" s="208"/>
    </row>
    <row r="155">
      <c r="A155" s="209"/>
      <c r="B155" s="210"/>
      <c r="C155" s="211"/>
      <c r="D155" s="211"/>
      <c r="E155" s="211"/>
      <c r="F155" s="211"/>
      <c r="G155" s="211"/>
      <c r="H155" s="212"/>
      <c r="I155" s="212"/>
      <c r="J155" s="213"/>
      <c r="K155" s="213"/>
      <c r="L155" s="214"/>
      <c r="M155" s="213"/>
      <c r="N155" s="214"/>
      <c r="O155" s="213"/>
      <c r="P155" s="213"/>
      <c r="Q155" s="214"/>
      <c r="R155" s="214"/>
      <c r="S155" s="213"/>
      <c r="T155" s="213"/>
      <c r="U155" s="213"/>
      <c r="V155" s="213"/>
      <c r="W155" s="213"/>
      <c r="X155" s="213"/>
      <c r="Y155" s="213"/>
      <c r="Z155" s="213"/>
      <c r="AA155" s="213"/>
      <c r="AB155" s="213"/>
      <c r="AC155" s="213"/>
      <c r="AD155" s="213"/>
      <c r="AE155" s="213"/>
      <c r="AF155" s="213"/>
      <c r="AG155" s="208"/>
      <c r="AH155" s="208"/>
      <c r="AI155" s="208"/>
      <c r="AJ155" s="208"/>
      <c r="AK155" s="208"/>
    </row>
    <row r="156">
      <c r="A156" s="209"/>
      <c r="B156" s="210"/>
      <c r="C156" s="211"/>
      <c r="D156" s="211"/>
      <c r="E156" s="211"/>
      <c r="F156" s="211"/>
      <c r="G156" s="211"/>
      <c r="H156" s="212"/>
      <c r="I156" s="212"/>
      <c r="J156" s="213"/>
      <c r="K156" s="213"/>
      <c r="L156" s="214"/>
      <c r="M156" s="213"/>
      <c r="N156" s="214"/>
      <c r="O156" s="213"/>
      <c r="P156" s="213"/>
      <c r="Q156" s="214"/>
      <c r="R156" s="214"/>
      <c r="S156" s="213"/>
      <c r="T156" s="213"/>
      <c r="U156" s="213"/>
      <c r="V156" s="213"/>
      <c r="W156" s="213"/>
      <c r="X156" s="213"/>
      <c r="Y156" s="213"/>
      <c r="Z156" s="213"/>
      <c r="AA156" s="213"/>
      <c r="AB156" s="213"/>
      <c r="AC156" s="213"/>
      <c r="AD156" s="213"/>
      <c r="AE156" s="213"/>
      <c r="AF156" s="213"/>
      <c r="AG156" s="208"/>
      <c r="AH156" s="208"/>
      <c r="AI156" s="208"/>
      <c r="AJ156" s="208"/>
      <c r="AK156" s="208"/>
    </row>
    <row r="157">
      <c r="A157" s="209"/>
      <c r="B157" s="210"/>
      <c r="C157" s="211"/>
      <c r="D157" s="211"/>
      <c r="E157" s="211"/>
      <c r="F157" s="211"/>
      <c r="G157" s="211"/>
      <c r="H157" s="212"/>
      <c r="I157" s="212"/>
      <c r="J157" s="213"/>
      <c r="K157" s="213"/>
      <c r="L157" s="214"/>
      <c r="M157" s="213"/>
      <c r="N157" s="214"/>
      <c r="O157" s="213"/>
      <c r="P157" s="213"/>
      <c r="Q157" s="214"/>
      <c r="R157" s="214"/>
      <c r="S157" s="213"/>
      <c r="T157" s="213"/>
      <c r="U157" s="213"/>
      <c r="V157" s="213"/>
      <c r="W157" s="213"/>
      <c r="X157" s="213"/>
      <c r="Y157" s="213"/>
      <c r="Z157" s="213"/>
      <c r="AA157" s="213"/>
      <c r="AB157" s="213"/>
      <c r="AC157" s="213"/>
      <c r="AD157" s="213"/>
      <c r="AE157" s="213"/>
      <c r="AF157" s="213"/>
      <c r="AG157" s="208"/>
      <c r="AH157" s="208"/>
      <c r="AI157" s="208"/>
      <c r="AJ157" s="208"/>
      <c r="AK157" s="208"/>
    </row>
    <row r="158">
      <c r="A158" s="209"/>
      <c r="B158" s="210"/>
      <c r="C158" s="211"/>
      <c r="D158" s="211"/>
      <c r="E158" s="211"/>
      <c r="F158" s="211"/>
      <c r="G158" s="211"/>
      <c r="H158" s="212"/>
      <c r="I158" s="212"/>
      <c r="J158" s="213"/>
      <c r="K158" s="213"/>
      <c r="L158" s="214"/>
      <c r="M158" s="213"/>
      <c r="N158" s="214"/>
      <c r="O158" s="213"/>
      <c r="P158" s="213"/>
      <c r="Q158" s="214"/>
      <c r="R158" s="214"/>
      <c r="S158" s="213"/>
      <c r="T158" s="213"/>
      <c r="U158" s="213"/>
      <c r="V158" s="213"/>
      <c r="W158" s="213"/>
      <c r="X158" s="213"/>
      <c r="Y158" s="213"/>
      <c r="Z158" s="213"/>
      <c r="AA158" s="213"/>
      <c r="AB158" s="213"/>
      <c r="AC158" s="213"/>
      <c r="AD158" s="213"/>
      <c r="AE158" s="213"/>
      <c r="AF158" s="213"/>
      <c r="AG158" s="208"/>
      <c r="AH158" s="208"/>
      <c r="AI158" s="208"/>
      <c r="AJ158" s="208"/>
      <c r="AK158" s="208"/>
    </row>
    <row r="159">
      <c r="A159" s="209"/>
      <c r="B159" s="210"/>
      <c r="C159" s="211"/>
      <c r="D159" s="211"/>
      <c r="E159" s="211"/>
      <c r="F159" s="211"/>
      <c r="G159" s="211"/>
      <c r="H159" s="212"/>
      <c r="I159" s="212"/>
      <c r="J159" s="213"/>
      <c r="K159" s="213"/>
      <c r="L159" s="214"/>
      <c r="M159" s="213"/>
      <c r="N159" s="214"/>
      <c r="O159" s="213"/>
      <c r="P159" s="213"/>
      <c r="Q159" s="214"/>
      <c r="R159" s="214"/>
      <c r="S159" s="213"/>
      <c r="T159" s="213"/>
      <c r="U159" s="213"/>
      <c r="V159" s="213"/>
      <c r="W159" s="213"/>
      <c r="X159" s="213"/>
      <c r="Y159" s="213"/>
      <c r="Z159" s="213"/>
      <c r="AA159" s="213"/>
      <c r="AB159" s="213"/>
      <c r="AC159" s="213"/>
      <c r="AD159" s="213"/>
      <c r="AE159" s="213"/>
      <c r="AF159" s="213"/>
      <c r="AG159" s="208"/>
      <c r="AH159" s="208"/>
      <c r="AI159" s="208"/>
      <c r="AJ159" s="208"/>
      <c r="AK159" s="208"/>
    </row>
    <row r="160">
      <c r="A160" s="209"/>
      <c r="B160" s="210"/>
      <c r="C160" s="211"/>
      <c r="D160" s="211"/>
      <c r="E160" s="211"/>
      <c r="F160" s="211"/>
      <c r="G160" s="211"/>
      <c r="H160" s="212"/>
      <c r="I160" s="212"/>
      <c r="J160" s="213"/>
      <c r="K160" s="213"/>
      <c r="L160" s="214"/>
      <c r="M160" s="213"/>
      <c r="N160" s="214"/>
      <c r="O160" s="213"/>
      <c r="P160" s="213"/>
      <c r="Q160" s="214"/>
      <c r="R160" s="214"/>
      <c r="S160" s="213"/>
      <c r="T160" s="213"/>
      <c r="U160" s="213"/>
      <c r="V160" s="213"/>
      <c r="W160" s="213"/>
      <c r="X160" s="213"/>
      <c r="Y160" s="213"/>
      <c r="Z160" s="213"/>
      <c r="AA160" s="213"/>
      <c r="AB160" s="213"/>
      <c r="AC160" s="213"/>
      <c r="AD160" s="213"/>
      <c r="AE160" s="213"/>
      <c r="AF160" s="213"/>
      <c r="AG160" s="208"/>
      <c r="AH160" s="208"/>
      <c r="AI160" s="208"/>
      <c r="AJ160" s="208"/>
      <c r="AK160" s="208"/>
    </row>
    <row r="161">
      <c r="A161" s="209"/>
      <c r="B161" s="210"/>
      <c r="C161" s="211"/>
      <c r="D161" s="211"/>
      <c r="E161" s="211"/>
      <c r="F161" s="211"/>
      <c r="G161" s="211"/>
      <c r="H161" s="212"/>
      <c r="I161" s="212"/>
      <c r="J161" s="213"/>
      <c r="K161" s="213"/>
      <c r="L161" s="214"/>
      <c r="M161" s="213"/>
      <c r="N161" s="214"/>
      <c r="O161" s="213"/>
      <c r="P161" s="213"/>
      <c r="Q161" s="214"/>
      <c r="R161" s="214"/>
      <c r="S161" s="213"/>
      <c r="T161" s="213"/>
      <c r="U161" s="213"/>
      <c r="V161" s="213"/>
      <c r="W161" s="213"/>
      <c r="X161" s="213"/>
      <c r="Y161" s="213"/>
      <c r="Z161" s="213"/>
      <c r="AA161" s="213"/>
      <c r="AB161" s="213"/>
      <c r="AC161" s="213"/>
      <c r="AD161" s="213"/>
      <c r="AE161" s="213"/>
      <c r="AF161" s="213"/>
      <c r="AG161" s="208"/>
      <c r="AH161" s="208"/>
      <c r="AI161" s="208"/>
      <c r="AJ161" s="208"/>
      <c r="AK161" s="208"/>
    </row>
    <row r="162">
      <c r="A162" s="209"/>
      <c r="B162" s="210"/>
      <c r="C162" s="211"/>
      <c r="D162" s="211"/>
      <c r="E162" s="211"/>
      <c r="F162" s="211"/>
      <c r="G162" s="211"/>
      <c r="H162" s="212"/>
      <c r="I162" s="212"/>
      <c r="J162" s="213"/>
      <c r="K162" s="213"/>
      <c r="L162" s="214"/>
      <c r="M162" s="213"/>
      <c r="N162" s="214"/>
      <c r="O162" s="213"/>
      <c r="P162" s="213"/>
      <c r="Q162" s="214"/>
      <c r="R162" s="214"/>
      <c r="S162" s="213"/>
      <c r="T162" s="213"/>
      <c r="U162" s="213"/>
      <c r="V162" s="213"/>
      <c r="W162" s="213"/>
      <c r="X162" s="213"/>
      <c r="Y162" s="213"/>
      <c r="Z162" s="213"/>
      <c r="AA162" s="213"/>
      <c r="AB162" s="213"/>
      <c r="AC162" s="213"/>
      <c r="AD162" s="213"/>
      <c r="AE162" s="213"/>
      <c r="AF162" s="213"/>
      <c r="AG162" s="208"/>
      <c r="AH162" s="208"/>
      <c r="AI162" s="208"/>
      <c r="AJ162" s="208"/>
      <c r="AK162" s="208"/>
    </row>
    <row r="163">
      <c r="A163" s="209"/>
      <c r="B163" s="210"/>
      <c r="C163" s="211"/>
      <c r="D163" s="211"/>
      <c r="E163" s="211"/>
      <c r="F163" s="211"/>
      <c r="G163" s="211"/>
      <c r="H163" s="212"/>
      <c r="I163" s="212"/>
      <c r="J163" s="213"/>
      <c r="K163" s="213"/>
      <c r="L163" s="214"/>
      <c r="M163" s="213"/>
      <c r="N163" s="214"/>
      <c r="O163" s="213"/>
      <c r="P163" s="213"/>
      <c r="Q163" s="214"/>
      <c r="R163" s="214"/>
      <c r="S163" s="213"/>
      <c r="T163" s="213"/>
      <c r="U163" s="213"/>
      <c r="V163" s="213"/>
      <c r="W163" s="213"/>
      <c r="X163" s="213"/>
      <c r="Y163" s="213"/>
      <c r="Z163" s="213"/>
      <c r="AA163" s="213"/>
      <c r="AB163" s="213"/>
      <c r="AC163" s="213"/>
      <c r="AD163" s="213"/>
      <c r="AE163" s="213"/>
      <c r="AF163" s="213"/>
      <c r="AG163" s="208"/>
      <c r="AH163" s="208"/>
      <c r="AI163" s="208"/>
      <c r="AJ163" s="208"/>
      <c r="AK163" s="208"/>
    </row>
    <row r="164">
      <c r="A164" s="209"/>
      <c r="B164" s="210"/>
      <c r="C164" s="211"/>
      <c r="D164" s="211"/>
      <c r="E164" s="211"/>
      <c r="F164" s="211"/>
      <c r="G164" s="211"/>
      <c r="H164" s="212"/>
      <c r="I164" s="212"/>
      <c r="J164" s="213"/>
      <c r="K164" s="213"/>
      <c r="L164" s="214"/>
      <c r="M164" s="213"/>
      <c r="N164" s="214"/>
      <c r="O164" s="213"/>
      <c r="P164" s="213"/>
      <c r="Q164" s="214"/>
      <c r="R164" s="214"/>
      <c r="S164" s="213"/>
      <c r="T164" s="213"/>
      <c r="U164" s="213"/>
      <c r="V164" s="213"/>
      <c r="W164" s="213"/>
      <c r="X164" s="213"/>
      <c r="Y164" s="213"/>
      <c r="Z164" s="213"/>
      <c r="AA164" s="213"/>
      <c r="AB164" s="213"/>
      <c r="AC164" s="213"/>
      <c r="AD164" s="213"/>
      <c r="AE164" s="213"/>
      <c r="AF164" s="213"/>
      <c r="AG164" s="208"/>
      <c r="AH164" s="208"/>
      <c r="AI164" s="208"/>
      <c r="AJ164" s="208"/>
      <c r="AK164" s="208"/>
    </row>
    <row r="165">
      <c r="A165" s="209"/>
      <c r="B165" s="210"/>
      <c r="C165" s="211"/>
      <c r="D165" s="211"/>
      <c r="E165" s="211"/>
      <c r="F165" s="211"/>
      <c r="G165" s="211"/>
      <c r="H165" s="212"/>
      <c r="I165" s="212"/>
      <c r="J165" s="213"/>
      <c r="K165" s="213"/>
      <c r="L165" s="214"/>
      <c r="M165" s="213"/>
      <c r="N165" s="214"/>
      <c r="O165" s="213"/>
      <c r="P165" s="213"/>
      <c r="Q165" s="214"/>
      <c r="R165" s="214"/>
      <c r="S165" s="213"/>
      <c r="T165" s="213"/>
      <c r="U165" s="213"/>
      <c r="V165" s="213"/>
      <c r="W165" s="213"/>
      <c r="X165" s="213"/>
      <c r="Y165" s="213"/>
      <c r="Z165" s="213"/>
      <c r="AA165" s="213"/>
      <c r="AB165" s="213"/>
      <c r="AC165" s="213"/>
      <c r="AD165" s="213"/>
      <c r="AE165" s="213"/>
      <c r="AF165" s="213"/>
      <c r="AG165" s="208"/>
      <c r="AH165" s="208"/>
      <c r="AI165" s="208"/>
      <c r="AJ165" s="208"/>
      <c r="AK165" s="208"/>
    </row>
    <row r="166">
      <c r="A166" s="209"/>
      <c r="B166" s="210"/>
      <c r="C166" s="211"/>
      <c r="D166" s="211"/>
      <c r="E166" s="211"/>
      <c r="F166" s="211"/>
      <c r="G166" s="211"/>
      <c r="H166" s="212"/>
      <c r="I166" s="212"/>
      <c r="J166" s="213"/>
      <c r="K166" s="213"/>
      <c r="L166" s="214"/>
      <c r="M166" s="213"/>
      <c r="N166" s="214"/>
      <c r="O166" s="213"/>
      <c r="P166" s="213"/>
      <c r="Q166" s="214"/>
      <c r="R166" s="214"/>
      <c r="S166" s="213"/>
      <c r="T166" s="213"/>
      <c r="U166" s="213"/>
      <c r="V166" s="213"/>
      <c r="W166" s="213"/>
      <c r="X166" s="213"/>
      <c r="Y166" s="213"/>
      <c r="Z166" s="213"/>
      <c r="AA166" s="213"/>
      <c r="AB166" s="213"/>
      <c r="AC166" s="213"/>
      <c r="AD166" s="213"/>
      <c r="AE166" s="213"/>
      <c r="AF166" s="213"/>
      <c r="AG166" s="208"/>
      <c r="AH166" s="208"/>
      <c r="AI166" s="208"/>
      <c r="AJ166" s="208"/>
      <c r="AK166" s="208"/>
    </row>
    <row r="167">
      <c r="A167" s="209"/>
      <c r="B167" s="210"/>
      <c r="C167" s="211"/>
      <c r="D167" s="211"/>
      <c r="E167" s="211"/>
      <c r="F167" s="211"/>
      <c r="G167" s="211"/>
      <c r="H167" s="212"/>
      <c r="I167" s="212"/>
      <c r="J167" s="213"/>
      <c r="K167" s="213"/>
      <c r="L167" s="214"/>
      <c r="M167" s="213"/>
      <c r="N167" s="214"/>
      <c r="O167" s="213"/>
      <c r="P167" s="213"/>
      <c r="Q167" s="214"/>
      <c r="R167" s="214"/>
      <c r="S167" s="213"/>
      <c r="T167" s="213"/>
      <c r="U167" s="213"/>
      <c r="V167" s="213"/>
      <c r="W167" s="213"/>
      <c r="X167" s="213"/>
      <c r="Y167" s="213"/>
      <c r="Z167" s="213"/>
      <c r="AA167" s="213"/>
      <c r="AB167" s="213"/>
      <c r="AC167" s="213"/>
      <c r="AD167" s="213"/>
      <c r="AE167" s="213"/>
      <c r="AF167" s="213"/>
      <c r="AG167" s="208"/>
      <c r="AH167" s="208"/>
      <c r="AI167" s="208"/>
      <c r="AJ167" s="208"/>
      <c r="AK167" s="208"/>
    </row>
    <row r="168">
      <c r="A168" s="209"/>
      <c r="B168" s="210"/>
      <c r="C168" s="211"/>
      <c r="D168" s="211"/>
      <c r="E168" s="211"/>
      <c r="F168" s="211"/>
      <c r="G168" s="211"/>
      <c r="H168" s="212"/>
      <c r="I168" s="212"/>
      <c r="J168" s="213"/>
      <c r="K168" s="213"/>
      <c r="L168" s="214"/>
      <c r="M168" s="213"/>
      <c r="N168" s="214"/>
      <c r="O168" s="213"/>
      <c r="P168" s="213"/>
      <c r="Q168" s="214"/>
      <c r="R168" s="214"/>
      <c r="S168" s="213"/>
      <c r="T168" s="213"/>
      <c r="U168" s="213"/>
      <c r="V168" s="213"/>
      <c r="W168" s="213"/>
      <c r="X168" s="213"/>
      <c r="Y168" s="213"/>
      <c r="Z168" s="213"/>
      <c r="AA168" s="213"/>
      <c r="AB168" s="213"/>
      <c r="AC168" s="213"/>
      <c r="AD168" s="213"/>
      <c r="AE168" s="213"/>
      <c r="AF168" s="213"/>
      <c r="AG168" s="208"/>
      <c r="AH168" s="208"/>
      <c r="AI168" s="208"/>
      <c r="AJ168" s="208"/>
      <c r="AK168" s="208"/>
    </row>
    <row r="169">
      <c r="A169" s="209"/>
      <c r="B169" s="210"/>
      <c r="C169" s="211"/>
      <c r="D169" s="211"/>
      <c r="E169" s="211"/>
      <c r="F169" s="211"/>
      <c r="G169" s="211"/>
      <c r="H169" s="212"/>
      <c r="I169" s="212"/>
      <c r="J169" s="213"/>
      <c r="K169" s="213"/>
      <c r="L169" s="214"/>
      <c r="M169" s="213"/>
      <c r="N169" s="214"/>
      <c r="O169" s="213"/>
      <c r="P169" s="213"/>
      <c r="Q169" s="214"/>
      <c r="R169" s="214"/>
      <c r="S169" s="213"/>
      <c r="T169" s="213"/>
      <c r="U169" s="213"/>
      <c r="V169" s="213"/>
      <c r="W169" s="213"/>
      <c r="X169" s="213"/>
      <c r="Y169" s="213"/>
      <c r="Z169" s="213"/>
      <c r="AA169" s="213"/>
      <c r="AB169" s="213"/>
      <c r="AC169" s="213"/>
      <c r="AD169" s="213"/>
      <c r="AE169" s="213"/>
      <c r="AF169" s="213"/>
      <c r="AG169" s="208"/>
      <c r="AH169" s="208"/>
      <c r="AI169" s="208"/>
      <c r="AJ169" s="208"/>
      <c r="AK169" s="208"/>
    </row>
    <row r="170">
      <c r="A170" s="209"/>
      <c r="B170" s="210"/>
      <c r="C170" s="211"/>
      <c r="D170" s="211"/>
      <c r="E170" s="211"/>
      <c r="F170" s="211"/>
      <c r="G170" s="211"/>
      <c r="H170" s="212"/>
      <c r="I170" s="212"/>
      <c r="J170" s="213"/>
      <c r="K170" s="213"/>
      <c r="L170" s="214"/>
      <c r="M170" s="213"/>
      <c r="N170" s="214"/>
      <c r="O170" s="213"/>
      <c r="P170" s="213"/>
      <c r="Q170" s="214"/>
      <c r="R170" s="214"/>
      <c r="S170" s="213"/>
      <c r="T170" s="213"/>
      <c r="U170" s="213"/>
      <c r="V170" s="213"/>
      <c r="W170" s="213"/>
      <c r="X170" s="213"/>
      <c r="Y170" s="213"/>
      <c r="Z170" s="213"/>
      <c r="AA170" s="213"/>
      <c r="AB170" s="213"/>
      <c r="AC170" s="213"/>
      <c r="AD170" s="213"/>
      <c r="AE170" s="213"/>
      <c r="AF170" s="213"/>
      <c r="AG170" s="208"/>
      <c r="AH170" s="208"/>
      <c r="AI170" s="208"/>
      <c r="AJ170" s="208"/>
      <c r="AK170" s="208"/>
    </row>
    <row r="171">
      <c r="A171" s="209"/>
      <c r="B171" s="210"/>
      <c r="C171" s="211"/>
      <c r="D171" s="211"/>
      <c r="E171" s="211"/>
      <c r="F171" s="211"/>
      <c r="G171" s="211"/>
      <c r="H171" s="212"/>
      <c r="I171" s="212"/>
      <c r="J171" s="213"/>
      <c r="K171" s="213"/>
      <c r="L171" s="214"/>
      <c r="M171" s="213"/>
      <c r="N171" s="214"/>
      <c r="O171" s="213"/>
      <c r="P171" s="213"/>
      <c r="Q171" s="214"/>
      <c r="R171" s="214"/>
      <c r="S171" s="213"/>
      <c r="T171" s="213"/>
      <c r="U171" s="213"/>
      <c r="V171" s="213"/>
      <c r="W171" s="213"/>
      <c r="X171" s="213"/>
      <c r="Y171" s="213"/>
      <c r="Z171" s="213"/>
      <c r="AA171" s="213"/>
      <c r="AB171" s="213"/>
      <c r="AC171" s="213"/>
      <c r="AD171" s="213"/>
      <c r="AE171" s="213"/>
      <c r="AF171" s="213"/>
      <c r="AG171" s="208"/>
      <c r="AH171" s="208"/>
      <c r="AI171" s="208"/>
      <c r="AJ171" s="208"/>
      <c r="AK171" s="208"/>
    </row>
    <row r="172">
      <c r="A172" s="209"/>
      <c r="B172" s="210"/>
      <c r="C172" s="211"/>
      <c r="D172" s="211"/>
      <c r="E172" s="211"/>
      <c r="F172" s="211"/>
      <c r="G172" s="211"/>
      <c r="H172" s="212"/>
      <c r="I172" s="212"/>
      <c r="J172" s="213"/>
      <c r="K172" s="213"/>
      <c r="L172" s="214"/>
      <c r="M172" s="213"/>
      <c r="N172" s="214"/>
      <c r="O172" s="213"/>
      <c r="P172" s="213"/>
      <c r="Q172" s="214"/>
      <c r="R172" s="214"/>
      <c r="S172" s="213"/>
      <c r="T172" s="213"/>
      <c r="U172" s="213"/>
      <c r="V172" s="213"/>
      <c r="W172" s="213"/>
      <c r="X172" s="213"/>
      <c r="Y172" s="213"/>
      <c r="Z172" s="213"/>
      <c r="AA172" s="213"/>
      <c r="AB172" s="213"/>
      <c r="AC172" s="213"/>
      <c r="AD172" s="213"/>
      <c r="AE172" s="213"/>
      <c r="AF172" s="213"/>
      <c r="AG172" s="208"/>
      <c r="AH172" s="208"/>
      <c r="AI172" s="208"/>
      <c r="AJ172" s="208"/>
      <c r="AK172" s="208"/>
    </row>
    <row r="173">
      <c r="A173" s="209"/>
      <c r="B173" s="210"/>
      <c r="C173" s="211"/>
      <c r="D173" s="211"/>
      <c r="E173" s="211"/>
      <c r="F173" s="211"/>
      <c r="G173" s="211"/>
      <c r="H173" s="212"/>
      <c r="I173" s="212"/>
      <c r="J173" s="213"/>
      <c r="K173" s="213"/>
      <c r="L173" s="214"/>
      <c r="M173" s="213"/>
      <c r="N173" s="214"/>
      <c r="O173" s="213"/>
      <c r="P173" s="213"/>
      <c r="Q173" s="214"/>
      <c r="R173" s="214"/>
      <c r="S173" s="213"/>
      <c r="T173" s="213"/>
      <c r="U173" s="213"/>
      <c r="V173" s="213"/>
      <c r="W173" s="213"/>
      <c r="X173" s="213"/>
      <c r="Y173" s="213"/>
      <c r="Z173" s="213"/>
      <c r="AA173" s="213"/>
      <c r="AB173" s="213"/>
      <c r="AC173" s="213"/>
      <c r="AD173" s="213"/>
      <c r="AE173" s="213"/>
      <c r="AF173" s="213"/>
      <c r="AG173" s="208"/>
      <c r="AH173" s="208"/>
      <c r="AI173" s="208"/>
      <c r="AJ173" s="208"/>
      <c r="AK173" s="208"/>
    </row>
    <row r="174">
      <c r="A174" s="209"/>
      <c r="B174" s="210"/>
      <c r="C174" s="211"/>
      <c r="D174" s="211"/>
      <c r="E174" s="211"/>
      <c r="F174" s="211"/>
      <c r="G174" s="211"/>
      <c r="H174" s="212"/>
      <c r="I174" s="212"/>
      <c r="J174" s="213"/>
      <c r="K174" s="213"/>
      <c r="L174" s="214"/>
      <c r="M174" s="213"/>
      <c r="N174" s="214"/>
      <c r="O174" s="213"/>
      <c r="P174" s="213"/>
      <c r="Q174" s="214"/>
      <c r="R174" s="214"/>
      <c r="S174" s="213"/>
      <c r="T174" s="213"/>
      <c r="U174" s="213"/>
      <c r="V174" s="213"/>
      <c r="W174" s="213"/>
      <c r="X174" s="213"/>
      <c r="Y174" s="213"/>
      <c r="Z174" s="213"/>
      <c r="AA174" s="213"/>
      <c r="AB174" s="213"/>
      <c r="AC174" s="213"/>
      <c r="AD174" s="213"/>
      <c r="AE174" s="213"/>
      <c r="AF174" s="213"/>
      <c r="AG174" s="208"/>
      <c r="AH174" s="208"/>
      <c r="AI174" s="208"/>
      <c r="AJ174" s="208"/>
      <c r="AK174" s="208"/>
    </row>
    <row r="175">
      <c r="A175" s="209"/>
      <c r="B175" s="210"/>
      <c r="C175" s="211"/>
      <c r="D175" s="211"/>
      <c r="E175" s="211"/>
      <c r="F175" s="211"/>
      <c r="G175" s="211"/>
      <c r="H175" s="212"/>
      <c r="I175" s="212"/>
      <c r="J175" s="213"/>
      <c r="K175" s="213"/>
      <c r="L175" s="214"/>
      <c r="M175" s="213"/>
      <c r="N175" s="214"/>
      <c r="O175" s="213"/>
      <c r="P175" s="213"/>
      <c r="Q175" s="214"/>
      <c r="R175" s="214"/>
      <c r="S175" s="213"/>
      <c r="T175" s="213"/>
      <c r="U175" s="213"/>
      <c r="V175" s="213"/>
      <c r="W175" s="213"/>
      <c r="X175" s="213"/>
      <c r="Y175" s="213"/>
      <c r="Z175" s="213"/>
      <c r="AA175" s="213"/>
      <c r="AB175" s="213"/>
      <c r="AC175" s="213"/>
      <c r="AD175" s="213"/>
      <c r="AE175" s="213"/>
      <c r="AF175" s="213"/>
      <c r="AG175" s="208"/>
      <c r="AH175" s="208"/>
      <c r="AI175" s="208"/>
      <c r="AJ175" s="208"/>
      <c r="AK175" s="208"/>
    </row>
    <row r="176">
      <c r="A176" s="209"/>
      <c r="B176" s="210"/>
      <c r="C176" s="211"/>
      <c r="D176" s="211"/>
      <c r="E176" s="211"/>
      <c r="F176" s="211"/>
      <c r="G176" s="211"/>
      <c r="H176" s="212"/>
      <c r="I176" s="212"/>
      <c r="J176" s="213"/>
      <c r="K176" s="213"/>
      <c r="L176" s="214"/>
      <c r="M176" s="213"/>
      <c r="N176" s="214"/>
      <c r="O176" s="213"/>
      <c r="P176" s="213"/>
      <c r="Q176" s="214"/>
      <c r="R176" s="214"/>
      <c r="S176" s="213"/>
      <c r="T176" s="213"/>
      <c r="U176" s="213"/>
      <c r="V176" s="213"/>
      <c r="W176" s="213"/>
      <c r="X176" s="213"/>
      <c r="Y176" s="213"/>
      <c r="Z176" s="213"/>
      <c r="AA176" s="213"/>
      <c r="AB176" s="213"/>
      <c r="AC176" s="213"/>
      <c r="AD176" s="213"/>
      <c r="AE176" s="213"/>
      <c r="AF176" s="213"/>
      <c r="AG176" s="208"/>
      <c r="AH176" s="208"/>
      <c r="AI176" s="208"/>
      <c r="AJ176" s="208"/>
      <c r="AK176" s="208"/>
    </row>
    <row r="177">
      <c r="A177" s="209"/>
      <c r="B177" s="210"/>
      <c r="C177" s="211"/>
      <c r="D177" s="211"/>
      <c r="E177" s="211"/>
      <c r="F177" s="211"/>
      <c r="G177" s="211"/>
      <c r="H177" s="212"/>
      <c r="I177" s="212"/>
      <c r="J177" s="213"/>
      <c r="K177" s="213"/>
      <c r="L177" s="214"/>
      <c r="M177" s="213"/>
      <c r="N177" s="214"/>
      <c r="O177" s="213"/>
      <c r="P177" s="213"/>
      <c r="Q177" s="214"/>
      <c r="R177" s="214"/>
      <c r="S177" s="213"/>
      <c r="T177" s="213"/>
      <c r="U177" s="213"/>
      <c r="V177" s="213"/>
      <c r="W177" s="213"/>
      <c r="X177" s="213"/>
      <c r="Y177" s="213"/>
      <c r="Z177" s="213"/>
      <c r="AA177" s="213"/>
      <c r="AB177" s="213"/>
      <c r="AC177" s="213"/>
      <c r="AD177" s="213"/>
      <c r="AE177" s="213"/>
      <c r="AF177" s="213"/>
      <c r="AG177" s="208"/>
      <c r="AH177" s="208"/>
      <c r="AI177" s="208"/>
      <c r="AJ177" s="208"/>
      <c r="AK177" s="208"/>
    </row>
    <row r="178">
      <c r="A178" s="209"/>
      <c r="B178" s="210"/>
      <c r="C178" s="211"/>
      <c r="D178" s="211"/>
      <c r="E178" s="211"/>
      <c r="F178" s="211"/>
      <c r="G178" s="211"/>
      <c r="H178" s="212"/>
      <c r="I178" s="212"/>
      <c r="J178" s="213"/>
      <c r="K178" s="213"/>
      <c r="L178" s="214"/>
      <c r="M178" s="213"/>
      <c r="N178" s="214"/>
      <c r="O178" s="213"/>
      <c r="P178" s="213"/>
      <c r="Q178" s="214"/>
      <c r="R178" s="214"/>
      <c r="S178" s="213"/>
      <c r="T178" s="213"/>
      <c r="U178" s="213"/>
      <c r="V178" s="213"/>
      <c r="W178" s="213"/>
      <c r="X178" s="213"/>
      <c r="Y178" s="213"/>
      <c r="Z178" s="213"/>
      <c r="AA178" s="213"/>
      <c r="AB178" s="213"/>
      <c r="AC178" s="213"/>
      <c r="AD178" s="213"/>
      <c r="AE178" s="213"/>
      <c r="AF178" s="213"/>
      <c r="AG178" s="208"/>
      <c r="AH178" s="208"/>
      <c r="AI178" s="208"/>
      <c r="AJ178" s="208"/>
      <c r="AK178" s="208"/>
    </row>
    <row r="179">
      <c r="A179" s="209"/>
      <c r="B179" s="210"/>
      <c r="C179" s="211"/>
      <c r="D179" s="211"/>
      <c r="E179" s="211"/>
      <c r="F179" s="211"/>
      <c r="G179" s="211"/>
      <c r="H179" s="212"/>
      <c r="I179" s="212"/>
      <c r="J179" s="213"/>
      <c r="K179" s="213"/>
      <c r="L179" s="214"/>
      <c r="M179" s="213"/>
      <c r="N179" s="214"/>
      <c r="O179" s="213"/>
      <c r="P179" s="213"/>
      <c r="Q179" s="214"/>
      <c r="R179" s="214"/>
      <c r="S179" s="213"/>
      <c r="T179" s="213"/>
      <c r="U179" s="213"/>
      <c r="V179" s="213"/>
      <c r="W179" s="213"/>
      <c r="X179" s="213"/>
      <c r="Y179" s="213"/>
      <c r="Z179" s="213"/>
      <c r="AA179" s="213"/>
      <c r="AB179" s="213"/>
      <c r="AC179" s="213"/>
      <c r="AD179" s="213"/>
      <c r="AE179" s="213"/>
      <c r="AF179" s="213"/>
      <c r="AG179" s="208"/>
      <c r="AH179" s="208"/>
      <c r="AI179" s="208"/>
      <c r="AJ179" s="208"/>
      <c r="AK179" s="208"/>
    </row>
    <row r="180">
      <c r="A180" s="209"/>
      <c r="B180" s="210"/>
      <c r="C180" s="211"/>
      <c r="D180" s="211"/>
      <c r="E180" s="211"/>
      <c r="F180" s="211"/>
      <c r="G180" s="211"/>
      <c r="H180" s="212"/>
      <c r="I180" s="212"/>
      <c r="J180" s="213"/>
      <c r="K180" s="213"/>
      <c r="L180" s="214"/>
      <c r="M180" s="213"/>
      <c r="N180" s="214"/>
      <c r="O180" s="213"/>
      <c r="P180" s="213"/>
      <c r="Q180" s="214"/>
      <c r="R180" s="214"/>
      <c r="S180" s="213"/>
      <c r="T180" s="213"/>
      <c r="U180" s="213"/>
      <c r="V180" s="213"/>
      <c r="W180" s="213"/>
      <c r="X180" s="213"/>
      <c r="Y180" s="213"/>
      <c r="Z180" s="213"/>
      <c r="AA180" s="213"/>
      <c r="AB180" s="213"/>
      <c r="AC180" s="213"/>
      <c r="AD180" s="213"/>
      <c r="AE180" s="213"/>
      <c r="AF180" s="213"/>
      <c r="AG180" s="208"/>
      <c r="AH180" s="208"/>
      <c r="AI180" s="208"/>
      <c r="AJ180" s="208"/>
      <c r="AK180" s="208"/>
    </row>
    <row r="181">
      <c r="A181" s="209"/>
      <c r="B181" s="210"/>
      <c r="C181" s="211"/>
      <c r="D181" s="211"/>
      <c r="E181" s="211"/>
      <c r="F181" s="211"/>
      <c r="G181" s="211"/>
      <c r="H181" s="212"/>
      <c r="I181" s="212"/>
      <c r="J181" s="213"/>
      <c r="K181" s="213"/>
      <c r="L181" s="214"/>
      <c r="M181" s="213"/>
      <c r="N181" s="214"/>
      <c r="O181" s="213"/>
      <c r="P181" s="213"/>
      <c r="Q181" s="214"/>
      <c r="R181" s="214"/>
      <c r="S181" s="213"/>
      <c r="T181" s="213"/>
      <c r="U181" s="213"/>
      <c r="V181" s="213"/>
      <c r="W181" s="213"/>
      <c r="X181" s="213"/>
      <c r="Y181" s="213"/>
      <c r="Z181" s="213"/>
      <c r="AA181" s="213"/>
      <c r="AB181" s="213"/>
      <c r="AC181" s="213"/>
      <c r="AD181" s="213"/>
      <c r="AE181" s="213"/>
      <c r="AF181" s="213"/>
      <c r="AG181" s="208"/>
      <c r="AH181" s="208"/>
      <c r="AI181" s="208"/>
      <c r="AJ181" s="208"/>
      <c r="AK181" s="208"/>
    </row>
    <row r="182">
      <c r="A182" s="209"/>
      <c r="B182" s="210"/>
      <c r="C182" s="211"/>
      <c r="D182" s="211"/>
      <c r="E182" s="211"/>
      <c r="F182" s="211"/>
      <c r="G182" s="211"/>
      <c r="H182" s="212"/>
      <c r="I182" s="212"/>
      <c r="J182" s="213"/>
      <c r="K182" s="213"/>
      <c r="L182" s="214"/>
      <c r="M182" s="213"/>
      <c r="N182" s="214"/>
      <c r="O182" s="213"/>
      <c r="P182" s="213"/>
      <c r="Q182" s="214"/>
      <c r="R182" s="214"/>
      <c r="S182" s="213"/>
      <c r="T182" s="213"/>
      <c r="U182" s="213"/>
      <c r="V182" s="213"/>
      <c r="W182" s="213"/>
      <c r="X182" s="213"/>
      <c r="Y182" s="213"/>
      <c r="Z182" s="213"/>
      <c r="AA182" s="213"/>
      <c r="AB182" s="213"/>
      <c r="AC182" s="213"/>
      <c r="AD182" s="213"/>
      <c r="AE182" s="213"/>
      <c r="AF182" s="213"/>
      <c r="AG182" s="208"/>
      <c r="AH182" s="208"/>
      <c r="AI182" s="208"/>
      <c r="AJ182" s="208"/>
      <c r="AK182" s="208"/>
    </row>
    <row r="183">
      <c r="A183" s="209"/>
      <c r="B183" s="210"/>
      <c r="C183" s="211"/>
      <c r="D183" s="211"/>
      <c r="E183" s="211"/>
      <c r="F183" s="211"/>
      <c r="G183" s="211"/>
      <c r="H183" s="212"/>
      <c r="I183" s="212"/>
      <c r="J183" s="213"/>
      <c r="K183" s="213"/>
      <c r="L183" s="214"/>
      <c r="M183" s="213"/>
      <c r="N183" s="214"/>
      <c r="O183" s="213"/>
      <c r="P183" s="213"/>
      <c r="Q183" s="214"/>
      <c r="R183" s="214"/>
      <c r="S183" s="213"/>
      <c r="T183" s="213"/>
      <c r="U183" s="213"/>
      <c r="V183" s="213"/>
      <c r="W183" s="213"/>
      <c r="X183" s="213"/>
      <c r="Y183" s="213"/>
      <c r="Z183" s="213"/>
      <c r="AA183" s="213"/>
      <c r="AB183" s="213"/>
      <c r="AC183" s="213"/>
      <c r="AD183" s="213"/>
      <c r="AE183" s="213"/>
      <c r="AF183" s="213"/>
      <c r="AG183" s="208"/>
      <c r="AH183" s="208"/>
      <c r="AI183" s="208"/>
      <c r="AJ183" s="208"/>
      <c r="AK183" s="208"/>
    </row>
    <row r="184">
      <c r="A184" s="209"/>
      <c r="B184" s="210"/>
      <c r="C184" s="211"/>
      <c r="D184" s="211"/>
      <c r="E184" s="211"/>
      <c r="F184" s="211"/>
      <c r="G184" s="211"/>
      <c r="H184" s="212"/>
      <c r="I184" s="212"/>
      <c r="J184" s="213"/>
      <c r="K184" s="213"/>
      <c r="L184" s="214"/>
      <c r="M184" s="213"/>
      <c r="N184" s="214"/>
      <c r="O184" s="213"/>
      <c r="P184" s="213"/>
      <c r="Q184" s="214"/>
      <c r="R184" s="214"/>
      <c r="S184" s="213"/>
      <c r="T184" s="213"/>
      <c r="U184" s="213"/>
      <c r="V184" s="213"/>
      <c r="W184" s="213"/>
      <c r="X184" s="213"/>
      <c r="Y184" s="213"/>
      <c r="Z184" s="213"/>
      <c r="AA184" s="213"/>
      <c r="AB184" s="213"/>
      <c r="AC184" s="213"/>
      <c r="AD184" s="213"/>
      <c r="AE184" s="213"/>
      <c r="AF184" s="213"/>
      <c r="AG184" s="208"/>
      <c r="AH184" s="208"/>
      <c r="AI184" s="208"/>
      <c r="AJ184" s="208"/>
      <c r="AK184" s="208"/>
    </row>
    <row r="185">
      <c r="A185" s="209"/>
      <c r="B185" s="210"/>
      <c r="C185" s="211"/>
      <c r="D185" s="211"/>
      <c r="E185" s="211"/>
      <c r="F185" s="211"/>
      <c r="G185" s="211"/>
      <c r="H185" s="212"/>
      <c r="I185" s="212"/>
      <c r="J185" s="213"/>
      <c r="K185" s="213"/>
      <c r="L185" s="214"/>
      <c r="M185" s="213"/>
      <c r="N185" s="214"/>
      <c r="O185" s="213"/>
      <c r="P185" s="213"/>
      <c r="Q185" s="214"/>
      <c r="R185" s="214"/>
      <c r="S185" s="213"/>
      <c r="T185" s="213"/>
      <c r="U185" s="213"/>
      <c r="V185" s="213"/>
      <c r="W185" s="213"/>
      <c r="X185" s="213"/>
      <c r="Y185" s="213"/>
      <c r="Z185" s="213"/>
      <c r="AA185" s="213"/>
      <c r="AB185" s="213"/>
      <c r="AC185" s="213"/>
      <c r="AD185" s="213"/>
      <c r="AE185" s="213"/>
      <c r="AF185" s="213"/>
      <c r="AG185" s="208"/>
      <c r="AH185" s="208"/>
      <c r="AI185" s="208"/>
      <c r="AJ185" s="208"/>
      <c r="AK185" s="208"/>
    </row>
    <row r="186">
      <c r="A186" s="209"/>
      <c r="B186" s="210"/>
      <c r="C186" s="211"/>
      <c r="D186" s="211"/>
      <c r="E186" s="211"/>
      <c r="F186" s="211"/>
      <c r="G186" s="211"/>
      <c r="H186" s="212"/>
      <c r="I186" s="212"/>
      <c r="J186" s="213"/>
      <c r="K186" s="213"/>
      <c r="L186" s="214"/>
      <c r="M186" s="213"/>
      <c r="N186" s="214"/>
      <c r="O186" s="213"/>
      <c r="P186" s="213"/>
      <c r="Q186" s="214"/>
      <c r="R186" s="214"/>
      <c r="S186" s="213"/>
      <c r="T186" s="213"/>
      <c r="U186" s="213"/>
      <c r="V186" s="213"/>
      <c r="W186" s="213"/>
      <c r="X186" s="213"/>
      <c r="Y186" s="213"/>
      <c r="Z186" s="213"/>
      <c r="AA186" s="213"/>
      <c r="AB186" s="213"/>
      <c r="AC186" s="213"/>
      <c r="AD186" s="213"/>
      <c r="AE186" s="213"/>
      <c r="AF186" s="213"/>
      <c r="AG186" s="208"/>
      <c r="AH186" s="208"/>
      <c r="AI186" s="208"/>
      <c r="AJ186" s="208"/>
      <c r="AK186" s="208"/>
    </row>
    <row r="187">
      <c r="A187" s="209"/>
      <c r="B187" s="210"/>
      <c r="C187" s="211"/>
      <c r="D187" s="211"/>
      <c r="E187" s="211"/>
      <c r="F187" s="211"/>
      <c r="G187" s="211"/>
      <c r="H187" s="212"/>
      <c r="I187" s="212"/>
      <c r="J187" s="213"/>
      <c r="K187" s="213"/>
      <c r="L187" s="214"/>
      <c r="M187" s="213"/>
      <c r="N187" s="214"/>
      <c r="O187" s="213"/>
      <c r="P187" s="213"/>
      <c r="Q187" s="214"/>
      <c r="R187" s="214"/>
      <c r="S187" s="213"/>
      <c r="T187" s="213"/>
      <c r="U187" s="213"/>
      <c r="V187" s="213"/>
      <c r="W187" s="213"/>
      <c r="X187" s="213"/>
      <c r="Y187" s="213"/>
      <c r="Z187" s="213"/>
      <c r="AA187" s="213"/>
      <c r="AB187" s="213"/>
      <c r="AC187" s="213"/>
      <c r="AD187" s="213"/>
      <c r="AE187" s="213"/>
      <c r="AF187" s="213"/>
      <c r="AG187" s="208"/>
      <c r="AH187" s="208"/>
      <c r="AI187" s="208"/>
      <c r="AJ187" s="208"/>
      <c r="AK187" s="208"/>
    </row>
    <row r="188">
      <c r="A188" s="209"/>
      <c r="B188" s="210"/>
      <c r="C188" s="211"/>
      <c r="D188" s="211"/>
      <c r="E188" s="211"/>
      <c r="F188" s="211"/>
      <c r="G188" s="211"/>
      <c r="H188" s="212"/>
      <c r="I188" s="212"/>
      <c r="J188" s="213"/>
      <c r="K188" s="213"/>
      <c r="L188" s="214"/>
      <c r="M188" s="213"/>
      <c r="N188" s="214"/>
      <c r="O188" s="213"/>
      <c r="P188" s="213"/>
      <c r="Q188" s="214"/>
      <c r="R188" s="214"/>
      <c r="S188" s="213"/>
      <c r="T188" s="213"/>
      <c r="U188" s="213"/>
      <c r="V188" s="213"/>
      <c r="W188" s="213"/>
      <c r="X188" s="213"/>
      <c r="Y188" s="213"/>
      <c r="Z188" s="213"/>
      <c r="AA188" s="213"/>
      <c r="AB188" s="213"/>
      <c r="AC188" s="213"/>
      <c r="AD188" s="213"/>
      <c r="AE188" s="213"/>
      <c r="AF188" s="213"/>
      <c r="AG188" s="208"/>
      <c r="AH188" s="208"/>
      <c r="AI188" s="208"/>
      <c r="AJ188" s="208"/>
      <c r="AK188" s="208"/>
    </row>
    <row r="189">
      <c r="A189" s="209"/>
      <c r="B189" s="210"/>
      <c r="C189" s="211"/>
      <c r="D189" s="211"/>
      <c r="E189" s="211"/>
      <c r="F189" s="211"/>
      <c r="G189" s="211"/>
      <c r="H189" s="212"/>
      <c r="I189" s="212"/>
      <c r="J189" s="213"/>
      <c r="K189" s="213"/>
      <c r="L189" s="214"/>
      <c r="M189" s="213"/>
      <c r="N189" s="214"/>
      <c r="O189" s="213"/>
      <c r="P189" s="213"/>
      <c r="Q189" s="214"/>
      <c r="R189" s="214"/>
      <c r="S189" s="213"/>
      <c r="T189" s="213"/>
      <c r="U189" s="213"/>
      <c r="V189" s="213"/>
      <c r="W189" s="213"/>
      <c r="X189" s="213"/>
      <c r="Y189" s="213"/>
      <c r="Z189" s="213"/>
      <c r="AA189" s="213"/>
      <c r="AB189" s="213"/>
      <c r="AC189" s="213"/>
      <c r="AD189" s="213"/>
      <c r="AE189" s="213"/>
      <c r="AF189" s="213"/>
      <c r="AG189" s="208"/>
      <c r="AH189" s="208"/>
      <c r="AI189" s="208"/>
      <c r="AJ189" s="208"/>
      <c r="AK189" s="208"/>
    </row>
    <row r="190">
      <c r="A190" s="209"/>
      <c r="B190" s="210"/>
      <c r="C190" s="211"/>
      <c r="D190" s="211"/>
      <c r="E190" s="211"/>
      <c r="F190" s="211"/>
      <c r="G190" s="211"/>
      <c r="H190" s="212"/>
      <c r="I190" s="212"/>
      <c r="J190" s="213"/>
      <c r="K190" s="213"/>
      <c r="L190" s="214"/>
      <c r="M190" s="213"/>
      <c r="N190" s="214"/>
      <c r="O190" s="213"/>
      <c r="P190" s="213"/>
      <c r="Q190" s="214"/>
      <c r="R190" s="214"/>
      <c r="S190" s="213"/>
      <c r="T190" s="213"/>
      <c r="U190" s="213"/>
      <c r="V190" s="213"/>
      <c r="W190" s="213"/>
      <c r="X190" s="213"/>
      <c r="Y190" s="213"/>
      <c r="Z190" s="213"/>
      <c r="AA190" s="213"/>
      <c r="AB190" s="213"/>
      <c r="AC190" s="213"/>
      <c r="AD190" s="213"/>
      <c r="AE190" s="213"/>
      <c r="AF190" s="213"/>
      <c r="AG190" s="208"/>
      <c r="AH190" s="208"/>
      <c r="AI190" s="208"/>
      <c r="AJ190" s="208"/>
      <c r="AK190" s="208"/>
    </row>
    <row r="191">
      <c r="A191" s="209"/>
      <c r="B191" s="210"/>
      <c r="C191" s="211"/>
      <c r="D191" s="211"/>
      <c r="E191" s="211"/>
      <c r="F191" s="211"/>
      <c r="G191" s="211"/>
      <c r="H191" s="212"/>
      <c r="I191" s="212"/>
      <c r="J191" s="213"/>
      <c r="K191" s="213"/>
      <c r="L191" s="214"/>
      <c r="M191" s="213"/>
      <c r="N191" s="214"/>
      <c r="O191" s="213"/>
      <c r="P191" s="213"/>
      <c r="Q191" s="214"/>
      <c r="R191" s="214"/>
      <c r="S191" s="213"/>
      <c r="T191" s="213"/>
      <c r="U191" s="213"/>
      <c r="V191" s="213"/>
      <c r="W191" s="213"/>
      <c r="X191" s="213"/>
      <c r="Y191" s="213"/>
      <c r="Z191" s="213"/>
      <c r="AA191" s="213"/>
      <c r="AB191" s="213"/>
      <c r="AC191" s="213"/>
      <c r="AD191" s="213"/>
      <c r="AE191" s="213"/>
      <c r="AF191" s="213"/>
      <c r="AG191" s="208"/>
      <c r="AH191" s="208"/>
      <c r="AI191" s="208"/>
      <c r="AJ191" s="208"/>
      <c r="AK191" s="208"/>
    </row>
    <row r="192">
      <c r="A192" s="209"/>
      <c r="B192" s="210"/>
      <c r="C192" s="211"/>
      <c r="D192" s="211"/>
      <c r="E192" s="211"/>
      <c r="F192" s="211"/>
      <c r="G192" s="211"/>
      <c r="H192" s="212"/>
      <c r="I192" s="212"/>
      <c r="J192" s="213"/>
      <c r="K192" s="213"/>
      <c r="L192" s="214"/>
      <c r="M192" s="213"/>
      <c r="N192" s="214"/>
      <c r="O192" s="213"/>
      <c r="P192" s="213"/>
      <c r="Q192" s="214"/>
      <c r="R192" s="214"/>
      <c r="S192" s="213"/>
      <c r="T192" s="213"/>
      <c r="U192" s="213"/>
      <c r="V192" s="213"/>
      <c r="W192" s="213"/>
      <c r="X192" s="213"/>
      <c r="Y192" s="213"/>
      <c r="Z192" s="213"/>
      <c r="AA192" s="213"/>
      <c r="AB192" s="213"/>
      <c r="AC192" s="213"/>
      <c r="AD192" s="213"/>
      <c r="AE192" s="213"/>
      <c r="AF192" s="213"/>
      <c r="AG192" s="208"/>
      <c r="AH192" s="208"/>
      <c r="AI192" s="208"/>
      <c r="AJ192" s="208"/>
      <c r="AK192" s="208"/>
    </row>
    <row r="193">
      <c r="A193" s="209"/>
      <c r="B193" s="210"/>
      <c r="C193" s="211"/>
      <c r="D193" s="211"/>
      <c r="E193" s="211"/>
      <c r="F193" s="211"/>
      <c r="G193" s="211"/>
      <c r="H193" s="212"/>
      <c r="I193" s="212"/>
      <c r="J193" s="213"/>
      <c r="K193" s="213"/>
      <c r="L193" s="214"/>
      <c r="M193" s="213"/>
      <c r="N193" s="214"/>
      <c r="O193" s="213"/>
      <c r="P193" s="213"/>
      <c r="Q193" s="214"/>
      <c r="R193" s="214"/>
      <c r="S193" s="213"/>
      <c r="T193" s="213"/>
      <c r="U193" s="213"/>
      <c r="V193" s="213"/>
      <c r="W193" s="213"/>
      <c r="X193" s="213"/>
      <c r="Y193" s="213"/>
      <c r="Z193" s="213"/>
      <c r="AA193" s="213"/>
      <c r="AB193" s="213"/>
      <c r="AC193" s="213"/>
      <c r="AD193" s="213"/>
      <c r="AE193" s="213"/>
      <c r="AF193" s="213"/>
      <c r="AG193" s="208"/>
      <c r="AH193" s="208"/>
      <c r="AI193" s="208"/>
      <c r="AJ193" s="208"/>
      <c r="AK193" s="208"/>
    </row>
    <row r="194">
      <c r="A194" s="209"/>
      <c r="B194" s="210"/>
      <c r="C194" s="211"/>
      <c r="D194" s="211"/>
      <c r="E194" s="211"/>
      <c r="F194" s="211"/>
      <c r="G194" s="211"/>
      <c r="H194" s="212"/>
      <c r="I194" s="212"/>
      <c r="J194" s="213"/>
      <c r="K194" s="213"/>
      <c r="L194" s="214"/>
      <c r="M194" s="213"/>
      <c r="N194" s="214"/>
      <c r="O194" s="213"/>
      <c r="P194" s="213"/>
      <c r="Q194" s="214"/>
      <c r="R194" s="214"/>
      <c r="S194" s="213"/>
      <c r="T194" s="213"/>
      <c r="U194" s="213"/>
      <c r="V194" s="213"/>
      <c r="W194" s="213"/>
      <c r="X194" s="213"/>
      <c r="Y194" s="213"/>
      <c r="Z194" s="213"/>
      <c r="AA194" s="213"/>
      <c r="AB194" s="213"/>
      <c r="AC194" s="213"/>
      <c r="AD194" s="213"/>
      <c r="AE194" s="213"/>
      <c r="AF194" s="213"/>
      <c r="AG194" s="208"/>
      <c r="AH194" s="208"/>
      <c r="AI194" s="208"/>
      <c r="AJ194" s="208"/>
      <c r="AK194" s="208"/>
    </row>
    <row r="195">
      <c r="A195" s="209"/>
      <c r="B195" s="210"/>
      <c r="C195" s="211"/>
      <c r="D195" s="211"/>
      <c r="E195" s="211"/>
      <c r="F195" s="211"/>
      <c r="G195" s="211"/>
      <c r="H195" s="212"/>
      <c r="I195" s="212"/>
      <c r="J195" s="213"/>
      <c r="K195" s="213"/>
      <c r="L195" s="214"/>
      <c r="M195" s="213"/>
      <c r="N195" s="214"/>
      <c r="O195" s="213"/>
      <c r="P195" s="213"/>
      <c r="Q195" s="214"/>
      <c r="R195" s="214"/>
      <c r="S195" s="213"/>
      <c r="T195" s="213"/>
      <c r="U195" s="213"/>
      <c r="V195" s="213"/>
      <c r="W195" s="213"/>
      <c r="X195" s="213"/>
      <c r="Y195" s="213"/>
      <c r="Z195" s="213"/>
      <c r="AA195" s="213"/>
      <c r="AB195" s="213"/>
      <c r="AC195" s="213"/>
      <c r="AD195" s="213"/>
      <c r="AE195" s="213"/>
      <c r="AF195" s="213"/>
      <c r="AG195" s="208"/>
      <c r="AH195" s="208"/>
      <c r="AI195" s="208"/>
      <c r="AJ195" s="208"/>
      <c r="AK195" s="208"/>
    </row>
    <row r="196">
      <c r="A196" s="209"/>
      <c r="B196" s="210"/>
      <c r="C196" s="211"/>
      <c r="D196" s="211"/>
      <c r="E196" s="211"/>
      <c r="F196" s="211"/>
      <c r="G196" s="211"/>
      <c r="H196" s="212"/>
      <c r="I196" s="212"/>
      <c r="J196" s="213"/>
      <c r="K196" s="213"/>
      <c r="L196" s="214"/>
      <c r="M196" s="213"/>
      <c r="N196" s="214"/>
      <c r="O196" s="213"/>
      <c r="P196" s="213"/>
      <c r="Q196" s="214"/>
      <c r="R196" s="214"/>
      <c r="S196" s="213"/>
      <c r="T196" s="213"/>
      <c r="U196" s="213"/>
      <c r="V196" s="213"/>
      <c r="W196" s="213"/>
      <c r="X196" s="213"/>
      <c r="Y196" s="213"/>
      <c r="Z196" s="213"/>
      <c r="AA196" s="213"/>
      <c r="AB196" s="213"/>
      <c r="AC196" s="213"/>
      <c r="AD196" s="213"/>
      <c r="AE196" s="213"/>
      <c r="AF196" s="213"/>
      <c r="AG196" s="208"/>
      <c r="AH196" s="208"/>
      <c r="AI196" s="208"/>
      <c r="AJ196" s="208"/>
      <c r="AK196" s="208"/>
    </row>
    <row r="197">
      <c r="A197" s="209"/>
      <c r="B197" s="210"/>
      <c r="C197" s="211"/>
      <c r="D197" s="211"/>
      <c r="E197" s="211"/>
      <c r="F197" s="211"/>
      <c r="G197" s="211"/>
      <c r="H197" s="212"/>
      <c r="I197" s="212"/>
      <c r="J197" s="213"/>
      <c r="K197" s="213"/>
      <c r="L197" s="214"/>
      <c r="M197" s="213"/>
      <c r="N197" s="214"/>
      <c r="O197" s="213"/>
      <c r="P197" s="213"/>
      <c r="Q197" s="214"/>
      <c r="R197" s="214"/>
      <c r="S197" s="213"/>
      <c r="T197" s="213"/>
      <c r="U197" s="213"/>
      <c r="V197" s="213"/>
      <c r="W197" s="213"/>
      <c r="X197" s="213"/>
      <c r="Y197" s="213"/>
      <c r="Z197" s="213"/>
      <c r="AA197" s="213"/>
      <c r="AB197" s="213"/>
      <c r="AC197" s="213"/>
      <c r="AD197" s="213"/>
      <c r="AE197" s="213"/>
      <c r="AF197" s="213"/>
      <c r="AG197" s="208"/>
      <c r="AH197" s="208"/>
      <c r="AI197" s="208"/>
      <c r="AJ197" s="208"/>
      <c r="AK197" s="208"/>
    </row>
    <row r="198">
      <c r="A198" s="209"/>
      <c r="B198" s="210"/>
      <c r="C198" s="211"/>
      <c r="D198" s="211"/>
      <c r="E198" s="211"/>
      <c r="F198" s="211"/>
      <c r="G198" s="211"/>
      <c r="H198" s="212"/>
      <c r="I198" s="212"/>
      <c r="J198" s="213"/>
      <c r="K198" s="213"/>
      <c r="L198" s="214"/>
      <c r="M198" s="213"/>
      <c r="N198" s="214"/>
      <c r="O198" s="213"/>
      <c r="P198" s="213"/>
      <c r="Q198" s="214"/>
      <c r="R198" s="214"/>
      <c r="S198" s="213"/>
      <c r="T198" s="213"/>
      <c r="U198" s="213"/>
      <c r="V198" s="213"/>
      <c r="W198" s="213"/>
      <c r="X198" s="213"/>
      <c r="Y198" s="213"/>
      <c r="Z198" s="213"/>
      <c r="AA198" s="213"/>
      <c r="AB198" s="213"/>
      <c r="AC198" s="213"/>
      <c r="AD198" s="213"/>
      <c r="AE198" s="213"/>
      <c r="AF198" s="213"/>
      <c r="AG198" s="208"/>
      <c r="AH198" s="208"/>
      <c r="AI198" s="208"/>
      <c r="AJ198" s="208"/>
      <c r="AK198" s="208"/>
    </row>
    <row r="199">
      <c r="A199" s="209"/>
      <c r="B199" s="210"/>
      <c r="C199" s="211"/>
      <c r="D199" s="211"/>
      <c r="E199" s="211"/>
      <c r="F199" s="211"/>
      <c r="G199" s="211"/>
      <c r="H199" s="212"/>
      <c r="I199" s="212"/>
      <c r="J199" s="213"/>
      <c r="K199" s="213"/>
      <c r="L199" s="214"/>
      <c r="M199" s="213"/>
      <c r="N199" s="214"/>
      <c r="O199" s="213"/>
      <c r="P199" s="213"/>
      <c r="Q199" s="214"/>
      <c r="R199" s="214"/>
      <c r="S199" s="213"/>
      <c r="T199" s="213"/>
      <c r="U199" s="213"/>
      <c r="V199" s="213"/>
      <c r="W199" s="213"/>
      <c r="X199" s="213"/>
      <c r="Y199" s="213"/>
      <c r="Z199" s="213"/>
      <c r="AA199" s="213"/>
      <c r="AB199" s="213"/>
      <c r="AC199" s="213"/>
      <c r="AD199" s="213"/>
      <c r="AE199" s="213"/>
      <c r="AF199" s="213"/>
      <c r="AG199" s="208"/>
      <c r="AH199" s="208"/>
      <c r="AI199" s="208"/>
      <c r="AJ199" s="208"/>
      <c r="AK199" s="208"/>
    </row>
    <row r="200">
      <c r="A200" s="209"/>
      <c r="B200" s="210"/>
      <c r="C200" s="211"/>
      <c r="D200" s="211"/>
      <c r="E200" s="211"/>
      <c r="F200" s="211"/>
      <c r="G200" s="211"/>
      <c r="H200" s="212"/>
      <c r="I200" s="212"/>
      <c r="J200" s="213"/>
      <c r="K200" s="213"/>
      <c r="L200" s="214"/>
      <c r="M200" s="213"/>
      <c r="N200" s="214"/>
      <c r="O200" s="213"/>
      <c r="P200" s="213"/>
      <c r="Q200" s="214"/>
      <c r="R200" s="214"/>
      <c r="S200" s="213"/>
      <c r="T200" s="213"/>
      <c r="U200" s="213"/>
      <c r="V200" s="213"/>
      <c r="W200" s="213"/>
      <c r="X200" s="213"/>
      <c r="Y200" s="213"/>
      <c r="Z200" s="213"/>
      <c r="AA200" s="213"/>
      <c r="AB200" s="213"/>
      <c r="AC200" s="213"/>
      <c r="AD200" s="213"/>
      <c r="AE200" s="213"/>
      <c r="AF200" s="213"/>
      <c r="AG200" s="208"/>
      <c r="AH200" s="208"/>
      <c r="AI200" s="208"/>
      <c r="AJ200" s="208"/>
      <c r="AK200" s="208"/>
    </row>
    <row r="201">
      <c r="A201" s="209"/>
      <c r="B201" s="210"/>
      <c r="C201" s="211"/>
      <c r="D201" s="211"/>
      <c r="E201" s="211"/>
      <c r="F201" s="211"/>
      <c r="G201" s="211"/>
      <c r="H201" s="212"/>
      <c r="I201" s="212"/>
      <c r="J201" s="213"/>
      <c r="K201" s="213"/>
      <c r="L201" s="214"/>
      <c r="M201" s="213"/>
      <c r="N201" s="214"/>
      <c r="O201" s="213"/>
      <c r="P201" s="213"/>
      <c r="Q201" s="214"/>
      <c r="R201" s="214"/>
      <c r="S201" s="213"/>
      <c r="T201" s="213"/>
      <c r="U201" s="213"/>
      <c r="V201" s="213"/>
      <c r="W201" s="213"/>
      <c r="X201" s="213"/>
      <c r="Y201" s="213"/>
      <c r="Z201" s="213"/>
      <c r="AA201" s="213"/>
      <c r="AB201" s="213"/>
      <c r="AC201" s="213"/>
      <c r="AD201" s="213"/>
      <c r="AE201" s="213"/>
      <c r="AF201" s="213"/>
      <c r="AG201" s="208"/>
      <c r="AH201" s="208"/>
      <c r="AI201" s="208"/>
      <c r="AJ201" s="208"/>
      <c r="AK201" s="208"/>
    </row>
    <row r="202">
      <c r="A202" s="209"/>
      <c r="B202" s="210"/>
      <c r="C202" s="211"/>
      <c r="D202" s="211"/>
      <c r="E202" s="211"/>
      <c r="F202" s="211"/>
      <c r="G202" s="211"/>
      <c r="H202" s="212"/>
      <c r="I202" s="212"/>
      <c r="J202" s="213"/>
      <c r="K202" s="213"/>
      <c r="L202" s="214"/>
      <c r="M202" s="213"/>
      <c r="N202" s="214"/>
      <c r="O202" s="213"/>
      <c r="P202" s="213"/>
      <c r="Q202" s="214"/>
      <c r="R202" s="214"/>
      <c r="S202" s="213"/>
      <c r="T202" s="213"/>
      <c r="U202" s="213"/>
      <c r="V202" s="213"/>
      <c r="W202" s="213"/>
      <c r="X202" s="213"/>
      <c r="Y202" s="213"/>
      <c r="Z202" s="213"/>
      <c r="AA202" s="213"/>
      <c r="AB202" s="213"/>
      <c r="AC202" s="213"/>
      <c r="AD202" s="213"/>
      <c r="AE202" s="213"/>
      <c r="AF202" s="213"/>
      <c r="AG202" s="208"/>
      <c r="AH202" s="208"/>
      <c r="AI202" s="208"/>
      <c r="AJ202" s="208"/>
      <c r="AK202" s="208"/>
    </row>
    <row r="203">
      <c r="A203" s="209"/>
      <c r="B203" s="210"/>
      <c r="C203" s="211"/>
      <c r="D203" s="211"/>
      <c r="E203" s="211"/>
      <c r="F203" s="211"/>
      <c r="G203" s="211"/>
      <c r="H203" s="212"/>
      <c r="I203" s="212"/>
      <c r="J203" s="213"/>
      <c r="K203" s="213"/>
      <c r="L203" s="214"/>
      <c r="M203" s="213"/>
      <c r="N203" s="214"/>
      <c r="O203" s="213"/>
      <c r="P203" s="213"/>
      <c r="Q203" s="214"/>
      <c r="R203" s="214"/>
      <c r="S203" s="213"/>
      <c r="T203" s="213"/>
      <c r="U203" s="213"/>
      <c r="V203" s="213"/>
      <c r="W203" s="213"/>
      <c r="X203" s="213"/>
      <c r="Y203" s="213"/>
      <c r="Z203" s="213"/>
      <c r="AA203" s="213"/>
      <c r="AB203" s="213"/>
      <c r="AC203" s="213"/>
      <c r="AD203" s="213"/>
      <c r="AE203" s="213"/>
      <c r="AF203" s="213"/>
      <c r="AG203" s="208"/>
      <c r="AH203" s="208"/>
      <c r="AI203" s="208"/>
      <c r="AJ203" s="208"/>
      <c r="AK203" s="208"/>
    </row>
    <row r="204">
      <c r="A204" s="209"/>
      <c r="B204" s="210"/>
      <c r="C204" s="211"/>
      <c r="D204" s="211"/>
      <c r="E204" s="211"/>
      <c r="F204" s="211"/>
      <c r="G204" s="211"/>
      <c r="H204" s="212"/>
      <c r="I204" s="212"/>
      <c r="J204" s="213"/>
      <c r="K204" s="213"/>
      <c r="L204" s="214"/>
      <c r="M204" s="213"/>
      <c r="N204" s="214"/>
      <c r="O204" s="213"/>
      <c r="P204" s="213"/>
      <c r="Q204" s="214"/>
      <c r="R204" s="214"/>
      <c r="S204" s="213"/>
      <c r="T204" s="213"/>
      <c r="U204" s="213"/>
      <c r="V204" s="213"/>
      <c r="W204" s="213"/>
      <c r="X204" s="213"/>
      <c r="Y204" s="213"/>
      <c r="Z204" s="213"/>
      <c r="AA204" s="213"/>
      <c r="AB204" s="213"/>
      <c r="AC204" s="213"/>
      <c r="AD204" s="213"/>
      <c r="AE204" s="213"/>
      <c r="AF204" s="213"/>
      <c r="AG204" s="208"/>
      <c r="AH204" s="208"/>
      <c r="AI204" s="208"/>
      <c r="AJ204" s="208"/>
      <c r="AK204" s="208"/>
    </row>
    <row r="205">
      <c r="A205" s="209"/>
      <c r="B205" s="210"/>
      <c r="C205" s="211"/>
      <c r="D205" s="211"/>
      <c r="E205" s="211"/>
      <c r="F205" s="211"/>
      <c r="G205" s="211"/>
      <c r="H205" s="212"/>
      <c r="I205" s="212"/>
      <c r="J205" s="213"/>
      <c r="K205" s="213"/>
      <c r="L205" s="214"/>
      <c r="M205" s="213"/>
      <c r="N205" s="214"/>
      <c r="O205" s="213"/>
      <c r="P205" s="213"/>
      <c r="Q205" s="214"/>
      <c r="R205" s="214"/>
      <c r="S205" s="213"/>
      <c r="T205" s="213"/>
      <c r="U205" s="213"/>
      <c r="V205" s="213"/>
      <c r="W205" s="213"/>
      <c r="X205" s="213"/>
      <c r="Y205" s="213"/>
      <c r="Z205" s="213"/>
      <c r="AA205" s="213"/>
      <c r="AB205" s="213"/>
      <c r="AC205" s="213"/>
      <c r="AD205" s="213"/>
      <c r="AE205" s="213"/>
      <c r="AF205" s="213"/>
      <c r="AG205" s="208"/>
      <c r="AH205" s="208"/>
      <c r="AI205" s="208"/>
      <c r="AJ205" s="208"/>
      <c r="AK205" s="208"/>
    </row>
    <row r="206">
      <c r="A206" s="209"/>
      <c r="B206" s="210"/>
      <c r="C206" s="211"/>
      <c r="D206" s="211"/>
      <c r="E206" s="211"/>
      <c r="F206" s="211"/>
      <c r="G206" s="211"/>
      <c r="H206" s="212"/>
      <c r="I206" s="212"/>
      <c r="J206" s="213"/>
      <c r="K206" s="213"/>
      <c r="L206" s="214"/>
      <c r="M206" s="213"/>
      <c r="N206" s="214"/>
      <c r="O206" s="213"/>
      <c r="P206" s="213"/>
      <c r="Q206" s="214"/>
      <c r="R206" s="214"/>
      <c r="S206" s="213"/>
      <c r="T206" s="213"/>
      <c r="U206" s="213"/>
      <c r="V206" s="213"/>
      <c r="W206" s="213"/>
      <c r="X206" s="213"/>
      <c r="Y206" s="213"/>
      <c r="Z206" s="213"/>
      <c r="AA206" s="213"/>
      <c r="AB206" s="213"/>
      <c r="AC206" s="213"/>
      <c r="AD206" s="213"/>
      <c r="AE206" s="213"/>
      <c r="AF206" s="213"/>
      <c r="AG206" s="208"/>
      <c r="AH206" s="208"/>
      <c r="AI206" s="208"/>
      <c r="AJ206" s="208"/>
      <c r="AK206" s="208"/>
    </row>
    <row r="207">
      <c r="A207" s="209"/>
      <c r="B207" s="210"/>
      <c r="C207" s="211"/>
      <c r="D207" s="211"/>
      <c r="E207" s="211"/>
      <c r="F207" s="211"/>
      <c r="G207" s="211"/>
      <c r="H207" s="212"/>
      <c r="I207" s="212"/>
      <c r="J207" s="213"/>
      <c r="K207" s="213"/>
      <c r="L207" s="214"/>
      <c r="M207" s="213"/>
      <c r="N207" s="214"/>
      <c r="O207" s="213"/>
      <c r="P207" s="213"/>
      <c r="Q207" s="214"/>
      <c r="R207" s="214"/>
      <c r="S207" s="213"/>
      <c r="T207" s="213"/>
      <c r="U207" s="213"/>
      <c r="V207" s="213"/>
      <c r="W207" s="213"/>
      <c r="X207" s="213"/>
      <c r="Y207" s="213"/>
      <c r="Z207" s="213"/>
      <c r="AA207" s="213"/>
      <c r="AB207" s="213"/>
      <c r="AC207" s="213"/>
      <c r="AD207" s="213"/>
      <c r="AE207" s="213"/>
      <c r="AF207" s="213"/>
      <c r="AG207" s="208"/>
      <c r="AH207" s="208"/>
      <c r="AI207" s="208"/>
      <c r="AJ207" s="208"/>
      <c r="AK207" s="208"/>
    </row>
    <row r="208">
      <c r="A208" s="209"/>
      <c r="B208" s="210"/>
      <c r="C208" s="211"/>
      <c r="D208" s="211"/>
      <c r="E208" s="211"/>
      <c r="F208" s="211"/>
      <c r="G208" s="211"/>
      <c r="H208" s="212"/>
      <c r="I208" s="212"/>
      <c r="J208" s="213"/>
      <c r="K208" s="213"/>
      <c r="L208" s="214"/>
      <c r="M208" s="213"/>
      <c r="N208" s="214"/>
      <c r="O208" s="213"/>
      <c r="P208" s="213"/>
      <c r="Q208" s="214"/>
      <c r="R208" s="214"/>
      <c r="S208" s="213"/>
      <c r="T208" s="213"/>
      <c r="U208" s="213"/>
      <c r="V208" s="213"/>
      <c r="W208" s="213"/>
      <c r="X208" s="213"/>
      <c r="Y208" s="213"/>
      <c r="Z208" s="213"/>
      <c r="AA208" s="213"/>
      <c r="AB208" s="213"/>
      <c r="AC208" s="213"/>
      <c r="AD208" s="213"/>
      <c r="AE208" s="213"/>
      <c r="AF208" s="213"/>
      <c r="AG208" s="208"/>
      <c r="AH208" s="208"/>
      <c r="AI208" s="208"/>
      <c r="AJ208" s="208"/>
      <c r="AK208" s="208"/>
    </row>
    <row r="209">
      <c r="A209" s="209"/>
      <c r="B209" s="210"/>
      <c r="C209" s="211"/>
      <c r="D209" s="211"/>
      <c r="E209" s="211"/>
      <c r="F209" s="211"/>
      <c r="G209" s="211"/>
      <c r="H209" s="212"/>
      <c r="I209" s="212"/>
      <c r="J209" s="213"/>
      <c r="K209" s="213"/>
      <c r="L209" s="214"/>
      <c r="M209" s="213"/>
      <c r="N209" s="214"/>
      <c r="O209" s="213"/>
      <c r="P209" s="213"/>
      <c r="Q209" s="214"/>
      <c r="R209" s="214"/>
      <c r="S209" s="213"/>
      <c r="T209" s="213"/>
      <c r="U209" s="213"/>
      <c r="V209" s="213"/>
      <c r="W209" s="213"/>
      <c r="X209" s="213"/>
      <c r="Y209" s="213"/>
      <c r="Z209" s="213"/>
      <c r="AA209" s="213"/>
      <c r="AB209" s="213"/>
      <c r="AC209" s="213"/>
      <c r="AD209" s="213"/>
      <c r="AE209" s="213"/>
      <c r="AF209" s="213"/>
      <c r="AG209" s="208"/>
      <c r="AH209" s="208"/>
      <c r="AI209" s="208"/>
      <c r="AJ209" s="208"/>
      <c r="AK209" s="208"/>
    </row>
    <row r="210">
      <c r="A210" s="209"/>
      <c r="B210" s="210"/>
      <c r="C210" s="211"/>
      <c r="D210" s="211"/>
      <c r="E210" s="211"/>
      <c r="F210" s="211"/>
      <c r="G210" s="211"/>
      <c r="H210" s="212"/>
      <c r="I210" s="212"/>
      <c r="J210" s="213"/>
      <c r="K210" s="213"/>
      <c r="L210" s="214"/>
      <c r="M210" s="213"/>
      <c r="N210" s="214"/>
      <c r="O210" s="213"/>
      <c r="P210" s="213"/>
      <c r="Q210" s="214"/>
      <c r="R210" s="214"/>
      <c r="S210" s="213"/>
      <c r="T210" s="213"/>
      <c r="U210" s="213"/>
      <c r="V210" s="213"/>
      <c r="W210" s="213"/>
      <c r="X210" s="213"/>
      <c r="Y210" s="213"/>
      <c r="Z210" s="213"/>
      <c r="AA210" s="213"/>
      <c r="AB210" s="213"/>
      <c r="AC210" s="213"/>
      <c r="AD210" s="213"/>
      <c r="AE210" s="213"/>
      <c r="AF210" s="213"/>
      <c r="AG210" s="208"/>
      <c r="AH210" s="208"/>
      <c r="AI210" s="208"/>
      <c r="AJ210" s="208"/>
      <c r="AK210" s="208"/>
    </row>
    <row r="211">
      <c r="A211" s="209"/>
      <c r="B211" s="210"/>
      <c r="C211" s="211"/>
      <c r="D211" s="211"/>
      <c r="E211" s="211"/>
      <c r="F211" s="211"/>
      <c r="G211" s="211"/>
      <c r="H211" s="212"/>
      <c r="I211" s="212"/>
      <c r="J211" s="213"/>
      <c r="K211" s="213"/>
      <c r="L211" s="214"/>
      <c r="M211" s="213"/>
      <c r="N211" s="214"/>
      <c r="O211" s="213"/>
      <c r="P211" s="213"/>
      <c r="Q211" s="214"/>
      <c r="R211" s="214"/>
      <c r="S211" s="213"/>
      <c r="T211" s="213"/>
      <c r="U211" s="213"/>
      <c r="V211" s="213"/>
      <c r="W211" s="213"/>
      <c r="X211" s="213"/>
      <c r="Y211" s="213"/>
      <c r="Z211" s="213"/>
      <c r="AA211" s="213"/>
      <c r="AB211" s="213"/>
      <c r="AC211" s="213"/>
      <c r="AD211" s="213"/>
      <c r="AE211" s="213"/>
      <c r="AF211" s="213"/>
      <c r="AG211" s="208"/>
      <c r="AH211" s="208"/>
      <c r="AI211" s="208"/>
      <c r="AJ211" s="208"/>
      <c r="AK211" s="208"/>
    </row>
    <row r="212">
      <c r="A212" s="209"/>
      <c r="B212" s="210"/>
      <c r="C212" s="211"/>
      <c r="D212" s="211"/>
      <c r="E212" s="211"/>
      <c r="F212" s="211"/>
      <c r="G212" s="211"/>
      <c r="H212" s="212"/>
      <c r="I212" s="212"/>
      <c r="J212" s="213"/>
      <c r="K212" s="213"/>
      <c r="L212" s="214"/>
      <c r="M212" s="213"/>
      <c r="N212" s="214"/>
      <c r="O212" s="213"/>
      <c r="P212" s="213"/>
      <c r="Q212" s="214"/>
      <c r="R212" s="214"/>
      <c r="S212" s="213"/>
      <c r="T212" s="213"/>
      <c r="U212" s="213"/>
      <c r="V212" s="213"/>
      <c r="W212" s="213"/>
      <c r="X212" s="213"/>
      <c r="Y212" s="213"/>
      <c r="Z212" s="213"/>
      <c r="AA212" s="213"/>
      <c r="AB212" s="213"/>
      <c r="AC212" s="213"/>
      <c r="AD212" s="213"/>
      <c r="AE212" s="213"/>
      <c r="AF212" s="213"/>
      <c r="AG212" s="208"/>
      <c r="AH212" s="208"/>
      <c r="AI212" s="208"/>
      <c r="AJ212" s="208"/>
      <c r="AK212" s="208"/>
    </row>
    <row r="213">
      <c r="A213" s="209"/>
      <c r="B213" s="210"/>
      <c r="C213" s="211"/>
      <c r="D213" s="211"/>
      <c r="E213" s="211"/>
      <c r="F213" s="211"/>
      <c r="G213" s="211"/>
      <c r="H213" s="212"/>
      <c r="I213" s="212"/>
      <c r="J213" s="213"/>
      <c r="K213" s="213"/>
      <c r="L213" s="214"/>
      <c r="M213" s="213"/>
      <c r="N213" s="214"/>
      <c r="O213" s="213"/>
      <c r="P213" s="213"/>
      <c r="Q213" s="214"/>
      <c r="R213" s="214"/>
      <c r="S213" s="213"/>
      <c r="T213" s="213"/>
      <c r="U213" s="213"/>
      <c r="V213" s="213"/>
      <c r="W213" s="213"/>
      <c r="X213" s="213"/>
      <c r="Y213" s="213"/>
      <c r="Z213" s="213"/>
      <c r="AA213" s="213"/>
      <c r="AB213" s="213"/>
      <c r="AC213" s="213"/>
      <c r="AD213" s="213"/>
      <c r="AE213" s="213"/>
      <c r="AF213" s="213"/>
      <c r="AG213" s="208"/>
      <c r="AH213" s="208"/>
      <c r="AI213" s="208"/>
      <c r="AJ213" s="208"/>
      <c r="AK213" s="208"/>
    </row>
    <row r="214">
      <c r="A214" s="209"/>
      <c r="B214" s="210"/>
      <c r="C214" s="211"/>
      <c r="D214" s="211"/>
      <c r="E214" s="211"/>
      <c r="F214" s="211"/>
      <c r="G214" s="211"/>
      <c r="H214" s="212"/>
      <c r="I214" s="212"/>
      <c r="J214" s="213"/>
      <c r="K214" s="213"/>
      <c r="L214" s="214"/>
      <c r="M214" s="213"/>
      <c r="N214" s="214"/>
      <c r="O214" s="213"/>
      <c r="P214" s="213"/>
      <c r="Q214" s="214"/>
      <c r="R214" s="214"/>
      <c r="S214" s="213"/>
      <c r="T214" s="213"/>
      <c r="U214" s="213"/>
      <c r="V214" s="213"/>
      <c r="W214" s="213"/>
      <c r="X214" s="213"/>
      <c r="Y214" s="213"/>
      <c r="Z214" s="213"/>
      <c r="AA214" s="213"/>
      <c r="AB214" s="213"/>
      <c r="AC214" s="213"/>
      <c r="AD214" s="213"/>
      <c r="AE214" s="213"/>
      <c r="AF214" s="213"/>
      <c r="AG214" s="208"/>
      <c r="AH214" s="208"/>
      <c r="AI214" s="208"/>
      <c r="AJ214" s="208"/>
      <c r="AK214" s="208"/>
    </row>
    <row r="215">
      <c r="A215" s="209"/>
      <c r="B215" s="210"/>
      <c r="C215" s="211"/>
      <c r="D215" s="211"/>
      <c r="E215" s="211"/>
      <c r="F215" s="211"/>
      <c r="G215" s="211"/>
      <c r="H215" s="212"/>
      <c r="I215" s="212"/>
      <c r="J215" s="213"/>
      <c r="K215" s="213"/>
      <c r="L215" s="214"/>
      <c r="M215" s="213"/>
      <c r="N215" s="214"/>
      <c r="O215" s="213"/>
      <c r="P215" s="213"/>
      <c r="Q215" s="214"/>
      <c r="R215" s="214"/>
      <c r="S215" s="213"/>
      <c r="T215" s="213"/>
      <c r="U215" s="213"/>
      <c r="V215" s="213"/>
      <c r="W215" s="213"/>
      <c r="X215" s="213"/>
      <c r="Y215" s="213"/>
      <c r="Z215" s="213"/>
      <c r="AA215" s="213"/>
      <c r="AB215" s="213"/>
      <c r="AC215" s="213"/>
      <c r="AD215" s="213"/>
      <c r="AE215" s="213"/>
      <c r="AF215" s="213"/>
      <c r="AG215" s="208"/>
      <c r="AH215" s="208"/>
      <c r="AI215" s="208"/>
      <c r="AJ215" s="208"/>
      <c r="AK215" s="208"/>
    </row>
    <row r="216">
      <c r="A216" s="209"/>
      <c r="B216" s="210"/>
      <c r="C216" s="211"/>
      <c r="D216" s="211"/>
      <c r="E216" s="211"/>
      <c r="F216" s="211"/>
      <c r="G216" s="211"/>
      <c r="H216" s="212"/>
      <c r="I216" s="212"/>
      <c r="J216" s="213"/>
      <c r="K216" s="213"/>
      <c r="L216" s="214"/>
      <c r="M216" s="213"/>
      <c r="N216" s="214"/>
      <c r="O216" s="213"/>
      <c r="P216" s="213"/>
      <c r="Q216" s="214"/>
      <c r="R216" s="214"/>
      <c r="S216" s="213"/>
      <c r="T216" s="213"/>
      <c r="U216" s="213"/>
      <c r="V216" s="213"/>
      <c r="W216" s="213"/>
      <c r="X216" s="213"/>
      <c r="Y216" s="213"/>
      <c r="Z216" s="213"/>
      <c r="AA216" s="213"/>
      <c r="AB216" s="213"/>
      <c r="AC216" s="213"/>
      <c r="AD216" s="213"/>
      <c r="AE216" s="213"/>
      <c r="AF216" s="213"/>
      <c r="AG216" s="208"/>
      <c r="AH216" s="208"/>
      <c r="AI216" s="208"/>
      <c r="AJ216" s="208"/>
      <c r="AK216" s="208"/>
    </row>
    <row r="217">
      <c r="A217" s="209"/>
      <c r="B217" s="210"/>
      <c r="C217" s="211"/>
      <c r="D217" s="211"/>
      <c r="E217" s="211"/>
      <c r="F217" s="211"/>
      <c r="G217" s="211"/>
      <c r="H217" s="212"/>
      <c r="I217" s="212"/>
      <c r="J217" s="213"/>
      <c r="K217" s="213"/>
      <c r="L217" s="214"/>
      <c r="M217" s="213"/>
      <c r="N217" s="214"/>
      <c r="O217" s="213"/>
      <c r="P217" s="213"/>
      <c r="Q217" s="214"/>
      <c r="R217" s="214"/>
      <c r="S217" s="213"/>
      <c r="T217" s="213"/>
      <c r="U217" s="213"/>
      <c r="V217" s="213"/>
      <c r="W217" s="213"/>
      <c r="X217" s="213"/>
      <c r="Y217" s="213"/>
      <c r="Z217" s="213"/>
      <c r="AA217" s="213"/>
      <c r="AB217" s="213"/>
      <c r="AC217" s="213"/>
      <c r="AD217" s="213"/>
      <c r="AE217" s="213"/>
      <c r="AF217" s="213"/>
      <c r="AG217" s="208"/>
      <c r="AH217" s="208"/>
      <c r="AI217" s="208"/>
      <c r="AJ217" s="208"/>
      <c r="AK217" s="208"/>
    </row>
    <row r="218">
      <c r="A218" s="209"/>
      <c r="B218" s="210"/>
      <c r="C218" s="211"/>
      <c r="D218" s="211"/>
      <c r="E218" s="211"/>
      <c r="F218" s="211"/>
      <c r="G218" s="211"/>
      <c r="H218" s="212"/>
      <c r="I218" s="212"/>
      <c r="J218" s="213"/>
      <c r="K218" s="213"/>
      <c r="L218" s="214"/>
      <c r="M218" s="213"/>
      <c r="N218" s="214"/>
      <c r="O218" s="213"/>
      <c r="P218" s="213"/>
      <c r="Q218" s="214"/>
      <c r="R218" s="214"/>
      <c r="S218" s="213"/>
      <c r="T218" s="213"/>
      <c r="U218" s="213"/>
      <c r="V218" s="213"/>
      <c r="W218" s="213"/>
      <c r="X218" s="213"/>
      <c r="Y218" s="213"/>
      <c r="Z218" s="213"/>
      <c r="AA218" s="213"/>
      <c r="AB218" s="213"/>
      <c r="AC218" s="213"/>
      <c r="AD218" s="213"/>
      <c r="AE218" s="213"/>
      <c r="AF218" s="213"/>
      <c r="AG218" s="208"/>
      <c r="AH218" s="208"/>
      <c r="AI218" s="208"/>
      <c r="AJ218" s="208"/>
      <c r="AK218" s="208"/>
    </row>
    <row r="219">
      <c r="A219" s="209"/>
      <c r="B219" s="210"/>
      <c r="C219" s="211"/>
      <c r="D219" s="211"/>
      <c r="E219" s="211"/>
      <c r="F219" s="211"/>
      <c r="G219" s="211"/>
      <c r="H219" s="212"/>
      <c r="I219" s="212"/>
      <c r="J219" s="213"/>
      <c r="K219" s="213"/>
      <c r="L219" s="214"/>
      <c r="M219" s="213"/>
      <c r="N219" s="214"/>
      <c r="O219" s="213"/>
      <c r="P219" s="213"/>
      <c r="Q219" s="214"/>
      <c r="R219" s="214"/>
      <c r="S219" s="213"/>
      <c r="T219" s="213"/>
      <c r="U219" s="213"/>
      <c r="V219" s="213"/>
      <c r="W219" s="213"/>
      <c r="X219" s="213"/>
      <c r="Y219" s="213"/>
      <c r="Z219" s="213"/>
      <c r="AA219" s="213"/>
      <c r="AB219" s="213"/>
      <c r="AC219" s="213"/>
      <c r="AD219" s="213"/>
      <c r="AE219" s="213"/>
      <c r="AF219" s="213"/>
      <c r="AG219" s="208"/>
      <c r="AH219" s="208"/>
      <c r="AI219" s="208"/>
      <c r="AJ219" s="208"/>
      <c r="AK219" s="208"/>
    </row>
    <row r="220">
      <c r="A220" s="209"/>
      <c r="B220" s="210"/>
      <c r="C220" s="211"/>
      <c r="D220" s="211"/>
      <c r="E220" s="211"/>
      <c r="F220" s="211"/>
      <c r="G220" s="211"/>
      <c r="H220" s="212"/>
      <c r="I220" s="212"/>
      <c r="J220" s="213"/>
      <c r="K220" s="213"/>
      <c r="L220" s="214"/>
      <c r="M220" s="213"/>
      <c r="N220" s="214"/>
      <c r="O220" s="213"/>
      <c r="P220" s="213"/>
      <c r="Q220" s="214"/>
      <c r="R220" s="214"/>
      <c r="S220" s="213"/>
      <c r="T220" s="213"/>
      <c r="U220" s="213"/>
      <c r="V220" s="213"/>
      <c r="W220" s="213"/>
      <c r="X220" s="213"/>
      <c r="Y220" s="213"/>
      <c r="Z220" s="213"/>
      <c r="AA220" s="213"/>
      <c r="AB220" s="213"/>
      <c r="AC220" s="213"/>
      <c r="AD220" s="213"/>
      <c r="AE220" s="213"/>
      <c r="AF220" s="213"/>
      <c r="AG220" s="208"/>
      <c r="AH220" s="208"/>
      <c r="AI220" s="208"/>
      <c r="AJ220" s="208"/>
      <c r="AK220" s="208"/>
    </row>
    <row r="221">
      <c r="A221" s="209"/>
      <c r="B221" s="210"/>
      <c r="C221" s="211"/>
      <c r="D221" s="211"/>
      <c r="E221" s="211"/>
      <c r="F221" s="211"/>
      <c r="G221" s="211"/>
      <c r="H221" s="212"/>
      <c r="I221" s="212"/>
      <c r="J221" s="213"/>
      <c r="K221" s="213"/>
      <c r="L221" s="214"/>
      <c r="M221" s="213"/>
      <c r="N221" s="214"/>
      <c r="O221" s="213"/>
      <c r="P221" s="213"/>
      <c r="Q221" s="214"/>
      <c r="R221" s="214"/>
      <c r="S221" s="213"/>
      <c r="T221" s="213"/>
      <c r="U221" s="213"/>
      <c r="V221" s="213"/>
      <c r="W221" s="213"/>
      <c r="X221" s="213"/>
      <c r="Y221" s="213"/>
      <c r="Z221" s="213"/>
      <c r="AA221" s="213"/>
      <c r="AB221" s="213"/>
      <c r="AC221" s="213"/>
      <c r="AD221" s="213"/>
      <c r="AE221" s="213"/>
      <c r="AF221" s="213"/>
      <c r="AG221" s="208"/>
      <c r="AH221" s="208"/>
      <c r="AI221" s="208"/>
      <c r="AJ221" s="208"/>
      <c r="AK221" s="208"/>
    </row>
    <row r="222">
      <c r="A222" s="209"/>
      <c r="B222" s="210"/>
      <c r="C222" s="211"/>
      <c r="D222" s="211"/>
      <c r="E222" s="211"/>
      <c r="F222" s="211"/>
      <c r="G222" s="211"/>
      <c r="H222" s="212"/>
      <c r="I222" s="212"/>
      <c r="J222" s="213"/>
      <c r="K222" s="213"/>
      <c r="L222" s="214"/>
      <c r="M222" s="213"/>
      <c r="N222" s="214"/>
      <c r="O222" s="213"/>
      <c r="P222" s="213"/>
      <c r="Q222" s="214"/>
      <c r="R222" s="214"/>
      <c r="S222" s="213"/>
      <c r="T222" s="213"/>
      <c r="U222" s="213"/>
      <c r="V222" s="213"/>
      <c r="W222" s="213"/>
      <c r="X222" s="213"/>
      <c r="Y222" s="213"/>
      <c r="Z222" s="213"/>
      <c r="AA222" s="213"/>
      <c r="AB222" s="213"/>
      <c r="AC222" s="213"/>
      <c r="AD222" s="213"/>
      <c r="AE222" s="213"/>
      <c r="AF222" s="213"/>
      <c r="AG222" s="208"/>
      <c r="AH222" s="208"/>
      <c r="AI222" s="208"/>
      <c r="AJ222" s="208"/>
      <c r="AK222" s="208"/>
    </row>
    <row r="223">
      <c r="A223" s="209"/>
      <c r="B223" s="210"/>
      <c r="C223" s="211"/>
      <c r="D223" s="211"/>
      <c r="E223" s="211"/>
      <c r="F223" s="211"/>
      <c r="G223" s="211"/>
      <c r="H223" s="212"/>
      <c r="I223" s="212"/>
      <c r="J223" s="213"/>
      <c r="K223" s="213"/>
      <c r="L223" s="214"/>
      <c r="M223" s="213"/>
      <c r="N223" s="214"/>
      <c r="O223" s="213"/>
      <c r="P223" s="213"/>
      <c r="Q223" s="214"/>
      <c r="R223" s="214"/>
      <c r="S223" s="213"/>
      <c r="T223" s="213"/>
      <c r="U223" s="213"/>
      <c r="V223" s="213"/>
      <c r="W223" s="213"/>
      <c r="X223" s="213"/>
      <c r="Y223" s="213"/>
      <c r="Z223" s="213"/>
      <c r="AA223" s="213"/>
      <c r="AB223" s="213"/>
      <c r="AC223" s="213"/>
      <c r="AD223" s="213"/>
      <c r="AE223" s="213"/>
      <c r="AF223" s="213"/>
      <c r="AG223" s="208"/>
      <c r="AH223" s="208"/>
      <c r="AI223" s="208"/>
      <c r="AJ223" s="208"/>
      <c r="AK223" s="208"/>
    </row>
    <row r="224">
      <c r="A224" s="209"/>
      <c r="B224" s="210"/>
      <c r="C224" s="211"/>
      <c r="D224" s="211"/>
      <c r="E224" s="211"/>
      <c r="F224" s="211"/>
      <c r="G224" s="211"/>
      <c r="H224" s="212"/>
      <c r="I224" s="212"/>
      <c r="J224" s="213"/>
      <c r="K224" s="213"/>
      <c r="L224" s="214"/>
      <c r="M224" s="213"/>
      <c r="N224" s="214"/>
      <c r="O224" s="213"/>
      <c r="P224" s="213"/>
      <c r="Q224" s="214"/>
      <c r="R224" s="214"/>
      <c r="S224" s="213"/>
      <c r="T224" s="213"/>
      <c r="U224" s="213"/>
      <c r="V224" s="213"/>
      <c r="W224" s="213"/>
      <c r="X224" s="213"/>
      <c r="Y224" s="213"/>
      <c r="Z224" s="213"/>
      <c r="AA224" s="213"/>
      <c r="AB224" s="213"/>
      <c r="AC224" s="213"/>
      <c r="AD224" s="213"/>
      <c r="AE224" s="213"/>
      <c r="AF224" s="213"/>
      <c r="AG224" s="208"/>
      <c r="AH224" s="208"/>
      <c r="AI224" s="208"/>
      <c r="AJ224" s="208"/>
      <c r="AK224" s="208"/>
    </row>
    <row r="225">
      <c r="A225" s="209"/>
      <c r="B225" s="210"/>
      <c r="C225" s="211"/>
      <c r="D225" s="211"/>
      <c r="E225" s="211"/>
      <c r="F225" s="211"/>
      <c r="G225" s="211"/>
      <c r="H225" s="212"/>
      <c r="I225" s="212"/>
      <c r="J225" s="213"/>
      <c r="K225" s="213"/>
      <c r="L225" s="214"/>
      <c r="M225" s="213"/>
      <c r="N225" s="214"/>
      <c r="O225" s="213"/>
      <c r="P225" s="213"/>
      <c r="Q225" s="214"/>
      <c r="R225" s="214"/>
      <c r="S225" s="213"/>
      <c r="T225" s="213"/>
      <c r="U225" s="213"/>
      <c r="V225" s="213"/>
      <c r="W225" s="213"/>
      <c r="X225" s="213"/>
      <c r="Y225" s="213"/>
      <c r="Z225" s="213"/>
      <c r="AA225" s="213"/>
      <c r="AB225" s="213"/>
      <c r="AC225" s="213"/>
      <c r="AD225" s="213"/>
      <c r="AE225" s="213"/>
      <c r="AF225" s="213"/>
      <c r="AG225" s="208"/>
      <c r="AH225" s="208"/>
      <c r="AI225" s="208"/>
      <c r="AJ225" s="208"/>
      <c r="AK225" s="208"/>
    </row>
    <row r="226">
      <c r="A226" s="209"/>
      <c r="B226" s="210"/>
      <c r="C226" s="211"/>
      <c r="D226" s="211"/>
      <c r="E226" s="211"/>
      <c r="F226" s="211"/>
      <c r="G226" s="211"/>
      <c r="H226" s="212"/>
      <c r="I226" s="212"/>
      <c r="J226" s="213"/>
      <c r="K226" s="213"/>
      <c r="L226" s="214"/>
      <c r="M226" s="213"/>
      <c r="N226" s="214"/>
      <c r="O226" s="213"/>
      <c r="P226" s="213"/>
      <c r="Q226" s="214"/>
      <c r="R226" s="214"/>
      <c r="S226" s="213"/>
      <c r="T226" s="213"/>
      <c r="U226" s="213"/>
      <c r="V226" s="213"/>
      <c r="W226" s="213"/>
      <c r="X226" s="213"/>
      <c r="Y226" s="213"/>
      <c r="Z226" s="213"/>
      <c r="AA226" s="213"/>
      <c r="AB226" s="213"/>
      <c r="AC226" s="213"/>
      <c r="AD226" s="213"/>
      <c r="AE226" s="213"/>
      <c r="AF226" s="213"/>
      <c r="AG226" s="208"/>
      <c r="AH226" s="208"/>
      <c r="AI226" s="208"/>
      <c r="AJ226" s="208"/>
      <c r="AK226" s="208"/>
    </row>
    <row r="227">
      <c r="A227" s="209"/>
      <c r="B227" s="210"/>
      <c r="C227" s="211"/>
      <c r="D227" s="211"/>
      <c r="E227" s="211"/>
      <c r="F227" s="211"/>
      <c r="G227" s="211"/>
      <c r="H227" s="212"/>
      <c r="I227" s="212"/>
      <c r="J227" s="213"/>
      <c r="K227" s="213"/>
      <c r="L227" s="214"/>
      <c r="M227" s="213"/>
      <c r="N227" s="214"/>
      <c r="O227" s="213"/>
      <c r="P227" s="213"/>
      <c r="Q227" s="214"/>
      <c r="R227" s="214"/>
      <c r="S227" s="213"/>
      <c r="T227" s="213"/>
      <c r="U227" s="213"/>
      <c r="V227" s="213"/>
      <c r="W227" s="213"/>
      <c r="X227" s="213"/>
      <c r="Y227" s="213"/>
      <c r="Z227" s="213"/>
      <c r="AA227" s="213"/>
      <c r="AB227" s="213"/>
      <c r="AC227" s="213"/>
      <c r="AD227" s="213"/>
      <c r="AE227" s="213"/>
      <c r="AF227" s="213"/>
      <c r="AG227" s="208"/>
      <c r="AH227" s="208"/>
      <c r="AI227" s="208"/>
      <c r="AJ227" s="208"/>
      <c r="AK227" s="208"/>
    </row>
    <row r="228">
      <c r="A228" s="209"/>
      <c r="B228" s="210"/>
      <c r="C228" s="211"/>
      <c r="D228" s="211"/>
      <c r="E228" s="211"/>
      <c r="F228" s="211"/>
      <c r="G228" s="211"/>
      <c r="H228" s="212"/>
      <c r="I228" s="212"/>
      <c r="J228" s="213"/>
      <c r="K228" s="213"/>
      <c r="L228" s="214"/>
      <c r="M228" s="213"/>
      <c r="N228" s="214"/>
      <c r="O228" s="213"/>
      <c r="P228" s="213"/>
      <c r="Q228" s="214"/>
      <c r="R228" s="214"/>
      <c r="S228" s="213"/>
      <c r="T228" s="213"/>
      <c r="U228" s="213"/>
      <c r="V228" s="213"/>
      <c r="W228" s="213"/>
      <c r="X228" s="213"/>
      <c r="Y228" s="213"/>
      <c r="Z228" s="213"/>
      <c r="AA228" s="213"/>
      <c r="AB228" s="213"/>
      <c r="AC228" s="213"/>
      <c r="AD228" s="213"/>
      <c r="AE228" s="213"/>
      <c r="AF228" s="213"/>
      <c r="AG228" s="208"/>
      <c r="AH228" s="208"/>
      <c r="AI228" s="208"/>
      <c r="AJ228" s="208"/>
      <c r="AK228" s="208"/>
    </row>
    <row r="229">
      <c r="A229" s="209"/>
      <c r="B229" s="210"/>
      <c r="C229" s="211"/>
      <c r="D229" s="211"/>
      <c r="E229" s="211"/>
      <c r="F229" s="211"/>
      <c r="G229" s="211"/>
      <c r="H229" s="212"/>
      <c r="I229" s="212"/>
      <c r="J229" s="213"/>
      <c r="K229" s="213"/>
      <c r="L229" s="214"/>
      <c r="M229" s="213"/>
      <c r="N229" s="214"/>
      <c r="O229" s="213"/>
      <c r="P229" s="213"/>
      <c r="Q229" s="214"/>
      <c r="R229" s="214"/>
      <c r="S229" s="213"/>
      <c r="T229" s="213"/>
      <c r="U229" s="213"/>
      <c r="V229" s="213"/>
      <c r="W229" s="213"/>
      <c r="X229" s="213"/>
      <c r="Y229" s="213"/>
      <c r="Z229" s="213"/>
      <c r="AA229" s="213"/>
      <c r="AB229" s="213"/>
      <c r="AC229" s="213"/>
      <c r="AD229" s="213"/>
      <c r="AE229" s="213"/>
      <c r="AF229" s="213"/>
      <c r="AG229" s="208"/>
      <c r="AH229" s="208"/>
      <c r="AI229" s="208"/>
      <c r="AJ229" s="208"/>
      <c r="AK229" s="208"/>
    </row>
    <row r="230">
      <c r="A230" s="209"/>
      <c r="B230" s="210"/>
      <c r="C230" s="211"/>
      <c r="D230" s="211"/>
      <c r="E230" s="211"/>
      <c r="F230" s="211"/>
      <c r="G230" s="211"/>
      <c r="H230" s="212"/>
      <c r="I230" s="212"/>
      <c r="J230" s="213"/>
      <c r="K230" s="213"/>
      <c r="L230" s="214"/>
      <c r="M230" s="213"/>
      <c r="N230" s="214"/>
      <c r="O230" s="213"/>
      <c r="P230" s="213"/>
      <c r="Q230" s="214"/>
      <c r="R230" s="214"/>
      <c r="S230" s="213"/>
      <c r="T230" s="213"/>
      <c r="U230" s="213"/>
      <c r="V230" s="213"/>
      <c r="W230" s="213"/>
      <c r="X230" s="213"/>
      <c r="Y230" s="213"/>
      <c r="Z230" s="213"/>
      <c r="AA230" s="213"/>
      <c r="AB230" s="213"/>
      <c r="AC230" s="213"/>
      <c r="AD230" s="213"/>
      <c r="AE230" s="213"/>
      <c r="AF230" s="213"/>
      <c r="AG230" s="208"/>
      <c r="AH230" s="208"/>
      <c r="AI230" s="208"/>
      <c r="AJ230" s="208"/>
      <c r="AK230" s="208"/>
    </row>
    <row r="231">
      <c r="A231" s="209"/>
      <c r="B231" s="210"/>
      <c r="C231" s="211"/>
      <c r="D231" s="211"/>
      <c r="E231" s="211"/>
      <c r="F231" s="211"/>
      <c r="G231" s="211"/>
      <c r="H231" s="212"/>
      <c r="I231" s="212"/>
      <c r="J231" s="213"/>
      <c r="K231" s="213"/>
      <c r="L231" s="214"/>
      <c r="M231" s="213"/>
      <c r="N231" s="214"/>
      <c r="O231" s="213"/>
      <c r="P231" s="213"/>
      <c r="Q231" s="214"/>
      <c r="R231" s="214"/>
      <c r="S231" s="213"/>
      <c r="T231" s="213"/>
      <c r="U231" s="213"/>
      <c r="V231" s="213"/>
      <c r="W231" s="213"/>
      <c r="X231" s="213"/>
      <c r="Y231" s="213"/>
      <c r="Z231" s="213"/>
      <c r="AA231" s="213"/>
      <c r="AB231" s="213"/>
      <c r="AC231" s="213"/>
      <c r="AD231" s="213"/>
      <c r="AE231" s="213"/>
      <c r="AF231" s="213"/>
      <c r="AG231" s="208"/>
      <c r="AH231" s="208"/>
      <c r="AI231" s="208"/>
      <c r="AJ231" s="208"/>
      <c r="AK231" s="208"/>
    </row>
    <row r="232">
      <c r="A232" s="209"/>
      <c r="B232" s="210"/>
      <c r="C232" s="211"/>
      <c r="D232" s="211"/>
      <c r="E232" s="211"/>
      <c r="F232" s="211"/>
      <c r="G232" s="211"/>
      <c r="H232" s="212"/>
      <c r="I232" s="212"/>
      <c r="J232" s="213"/>
      <c r="K232" s="213"/>
      <c r="L232" s="214"/>
      <c r="M232" s="213"/>
      <c r="N232" s="214"/>
      <c r="O232" s="213"/>
      <c r="P232" s="213"/>
      <c r="Q232" s="214"/>
      <c r="R232" s="214"/>
      <c r="S232" s="213"/>
      <c r="T232" s="213"/>
      <c r="U232" s="213"/>
      <c r="V232" s="213"/>
      <c r="W232" s="213"/>
      <c r="X232" s="213"/>
      <c r="Y232" s="213"/>
      <c r="Z232" s="213"/>
      <c r="AA232" s="213"/>
      <c r="AB232" s="213"/>
      <c r="AC232" s="213"/>
      <c r="AD232" s="213"/>
      <c r="AE232" s="213"/>
      <c r="AF232" s="213"/>
      <c r="AG232" s="208"/>
      <c r="AH232" s="208"/>
      <c r="AI232" s="208"/>
      <c r="AJ232" s="208"/>
      <c r="AK232" s="208"/>
    </row>
    <row r="233">
      <c r="A233" s="209"/>
      <c r="B233" s="210"/>
      <c r="C233" s="211"/>
      <c r="D233" s="211"/>
      <c r="E233" s="211"/>
      <c r="F233" s="211"/>
      <c r="G233" s="211"/>
      <c r="H233" s="212"/>
      <c r="I233" s="212"/>
      <c r="J233" s="213"/>
      <c r="K233" s="213"/>
      <c r="L233" s="214"/>
      <c r="M233" s="213"/>
      <c r="N233" s="214"/>
      <c r="O233" s="213"/>
      <c r="P233" s="213"/>
      <c r="Q233" s="214"/>
      <c r="R233" s="214"/>
      <c r="S233" s="213"/>
      <c r="T233" s="213"/>
      <c r="U233" s="213"/>
      <c r="V233" s="213"/>
      <c r="W233" s="213"/>
      <c r="X233" s="213"/>
      <c r="Y233" s="213"/>
      <c r="Z233" s="213"/>
      <c r="AA233" s="213"/>
      <c r="AB233" s="213"/>
      <c r="AC233" s="213"/>
      <c r="AD233" s="213"/>
      <c r="AE233" s="213"/>
      <c r="AF233" s="213"/>
      <c r="AG233" s="208"/>
      <c r="AH233" s="208"/>
      <c r="AI233" s="208"/>
      <c r="AJ233" s="208"/>
      <c r="AK233" s="208"/>
    </row>
    <row r="234">
      <c r="A234" s="209"/>
      <c r="B234" s="210"/>
      <c r="C234" s="211"/>
      <c r="D234" s="211"/>
      <c r="E234" s="211"/>
      <c r="F234" s="211"/>
      <c r="G234" s="211"/>
      <c r="H234" s="212"/>
      <c r="I234" s="212"/>
      <c r="J234" s="213"/>
      <c r="K234" s="213"/>
      <c r="L234" s="214"/>
      <c r="M234" s="213"/>
      <c r="N234" s="214"/>
      <c r="O234" s="213"/>
      <c r="P234" s="213"/>
      <c r="Q234" s="214"/>
      <c r="R234" s="214"/>
      <c r="S234" s="213"/>
      <c r="T234" s="213"/>
      <c r="U234" s="213"/>
      <c r="V234" s="213"/>
      <c r="W234" s="213"/>
      <c r="X234" s="213"/>
      <c r="Y234" s="213"/>
      <c r="Z234" s="213"/>
      <c r="AA234" s="213"/>
      <c r="AB234" s="213"/>
      <c r="AC234" s="213"/>
      <c r="AD234" s="213"/>
      <c r="AE234" s="213"/>
      <c r="AF234" s="213"/>
      <c r="AG234" s="208"/>
      <c r="AH234" s="208"/>
      <c r="AI234" s="208"/>
      <c r="AJ234" s="208"/>
      <c r="AK234" s="208"/>
    </row>
    <row r="235">
      <c r="A235" s="209"/>
      <c r="B235" s="210"/>
      <c r="C235" s="211"/>
      <c r="D235" s="211"/>
      <c r="E235" s="211"/>
      <c r="F235" s="211"/>
      <c r="G235" s="211"/>
      <c r="H235" s="212"/>
      <c r="I235" s="212"/>
      <c r="J235" s="213"/>
      <c r="K235" s="213"/>
      <c r="L235" s="214"/>
      <c r="M235" s="213"/>
      <c r="N235" s="214"/>
      <c r="O235" s="213"/>
      <c r="P235" s="213"/>
      <c r="Q235" s="214"/>
      <c r="R235" s="214"/>
      <c r="S235" s="213"/>
      <c r="T235" s="213"/>
      <c r="U235" s="213"/>
      <c r="V235" s="213"/>
      <c r="W235" s="213"/>
      <c r="X235" s="213"/>
      <c r="Y235" s="213"/>
      <c r="Z235" s="213"/>
      <c r="AA235" s="213"/>
      <c r="AB235" s="213"/>
      <c r="AC235" s="213"/>
      <c r="AD235" s="213"/>
      <c r="AE235" s="213"/>
      <c r="AF235" s="213"/>
      <c r="AG235" s="208"/>
      <c r="AH235" s="208"/>
      <c r="AI235" s="208"/>
      <c r="AJ235" s="208"/>
      <c r="AK235" s="208"/>
    </row>
    <row r="236">
      <c r="A236" s="209"/>
      <c r="B236" s="210"/>
      <c r="C236" s="211"/>
      <c r="D236" s="211"/>
      <c r="E236" s="211"/>
      <c r="F236" s="211"/>
      <c r="G236" s="211"/>
      <c r="H236" s="212"/>
      <c r="I236" s="212"/>
      <c r="J236" s="213"/>
      <c r="K236" s="213"/>
      <c r="L236" s="214"/>
      <c r="M236" s="213"/>
      <c r="N236" s="214"/>
      <c r="O236" s="213"/>
      <c r="P236" s="213"/>
      <c r="Q236" s="214"/>
      <c r="R236" s="214"/>
      <c r="S236" s="213"/>
      <c r="T236" s="213"/>
      <c r="U236" s="213"/>
      <c r="V236" s="213"/>
      <c r="W236" s="213"/>
      <c r="X236" s="213"/>
      <c r="Y236" s="213"/>
      <c r="Z236" s="213"/>
      <c r="AA236" s="213"/>
      <c r="AB236" s="213"/>
      <c r="AC236" s="213"/>
      <c r="AD236" s="213"/>
      <c r="AE236" s="213"/>
      <c r="AF236" s="213"/>
      <c r="AG236" s="208"/>
      <c r="AH236" s="208"/>
      <c r="AI236" s="208"/>
      <c r="AJ236" s="208"/>
      <c r="AK236" s="208"/>
    </row>
    <row r="237">
      <c r="A237" s="209"/>
      <c r="B237" s="210"/>
      <c r="C237" s="211"/>
      <c r="D237" s="211"/>
      <c r="E237" s="211"/>
      <c r="F237" s="211"/>
      <c r="G237" s="211"/>
      <c r="H237" s="212"/>
      <c r="I237" s="212"/>
      <c r="J237" s="213"/>
      <c r="K237" s="213"/>
      <c r="L237" s="214"/>
      <c r="M237" s="213"/>
      <c r="N237" s="214"/>
      <c r="O237" s="213"/>
      <c r="P237" s="213"/>
      <c r="Q237" s="214"/>
      <c r="R237" s="214"/>
      <c r="S237" s="213"/>
      <c r="T237" s="213"/>
      <c r="U237" s="213"/>
      <c r="V237" s="213"/>
      <c r="W237" s="213"/>
      <c r="X237" s="213"/>
      <c r="Y237" s="213"/>
      <c r="Z237" s="213"/>
      <c r="AA237" s="213"/>
      <c r="AB237" s="213"/>
      <c r="AC237" s="213"/>
      <c r="AD237" s="213"/>
      <c r="AE237" s="213"/>
      <c r="AF237" s="213"/>
      <c r="AG237" s="208"/>
      <c r="AH237" s="208"/>
      <c r="AI237" s="208"/>
      <c r="AJ237" s="208"/>
      <c r="AK237" s="208"/>
    </row>
    <row r="238">
      <c r="A238" s="209"/>
      <c r="B238" s="210"/>
      <c r="C238" s="211"/>
      <c r="D238" s="211"/>
      <c r="E238" s="211"/>
      <c r="F238" s="211"/>
      <c r="G238" s="211"/>
      <c r="H238" s="212"/>
      <c r="I238" s="212"/>
      <c r="J238" s="213"/>
      <c r="K238" s="213"/>
      <c r="L238" s="214"/>
      <c r="M238" s="213"/>
      <c r="N238" s="214"/>
      <c r="O238" s="213"/>
      <c r="P238" s="213"/>
      <c r="Q238" s="214"/>
      <c r="R238" s="214"/>
      <c r="S238" s="213"/>
      <c r="T238" s="213"/>
      <c r="U238" s="213"/>
      <c r="V238" s="213"/>
      <c r="W238" s="213"/>
      <c r="X238" s="213"/>
      <c r="Y238" s="213"/>
      <c r="Z238" s="213"/>
      <c r="AA238" s="213"/>
      <c r="AB238" s="213"/>
      <c r="AC238" s="213"/>
      <c r="AD238" s="213"/>
      <c r="AE238" s="213"/>
      <c r="AF238" s="213"/>
      <c r="AG238" s="208"/>
      <c r="AH238" s="208"/>
      <c r="AI238" s="208"/>
      <c r="AJ238" s="208"/>
      <c r="AK238" s="208"/>
    </row>
    <row r="239">
      <c r="A239" s="209"/>
      <c r="B239" s="210"/>
      <c r="C239" s="211"/>
      <c r="D239" s="211"/>
      <c r="E239" s="211"/>
      <c r="F239" s="211"/>
      <c r="G239" s="211"/>
      <c r="H239" s="212"/>
      <c r="I239" s="212"/>
      <c r="J239" s="213"/>
      <c r="K239" s="213"/>
      <c r="L239" s="214"/>
      <c r="M239" s="213"/>
      <c r="N239" s="214"/>
      <c r="O239" s="213"/>
      <c r="P239" s="213"/>
      <c r="Q239" s="214"/>
      <c r="R239" s="214"/>
      <c r="S239" s="213"/>
      <c r="T239" s="213"/>
      <c r="U239" s="213"/>
      <c r="V239" s="213"/>
      <c r="W239" s="213"/>
      <c r="X239" s="213"/>
      <c r="Y239" s="213"/>
      <c r="Z239" s="213"/>
      <c r="AA239" s="213"/>
      <c r="AB239" s="213"/>
      <c r="AC239" s="213"/>
      <c r="AD239" s="213"/>
      <c r="AE239" s="213"/>
      <c r="AF239" s="213"/>
      <c r="AG239" s="208"/>
      <c r="AH239" s="208"/>
      <c r="AI239" s="208"/>
      <c r="AJ239" s="208"/>
      <c r="AK239" s="208"/>
    </row>
    <row r="240">
      <c r="A240" s="209"/>
      <c r="B240" s="210"/>
      <c r="C240" s="211"/>
      <c r="D240" s="211"/>
      <c r="E240" s="211"/>
      <c r="F240" s="211"/>
      <c r="G240" s="211"/>
      <c r="H240" s="212"/>
      <c r="I240" s="212"/>
      <c r="J240" s="213"/>
      <c r="K240" s="213"/>
      <c r="L240" s="214"/>
      <c r="M240" s="213"/>
      <c r="N240" s="214"/>
      <c r="O240" s="213"/>
      <c r="P240" s="213"/>
      <c r="Q240" s="214"/>
      <c r="R240" s="214"/>
      <c r="S240" s="213"/>
      <c r="T240" s="213"/>
      <c r="U240" s="213"/>
      <c r="V240" s="213"/>
      <c r="W240" s="213"/>
      <c r="X240" s="213"/>
      <c r="Y240" s="213"/>
      <c r="Z240" s="213"/>
      <c r="AA240" s="213"/>
      <c r="AB240" s="213"/>
      <c r="AC240" s="213"/>
      <c r="AD240" s="213"/>
      <c r="AE240" s="213"/>
      <c r="AF240" s="213"/>
      <c r="AG240" s="208"/>
      <c r="AH240" s="208"/>
      <c r="AI240" s="208"/>
      <c r="AJ240" s="208"/>
      <c r="AK240" s="208"/>
    </row>
    <row r="241">
      <c r="A241" s="209"/>
      <c r="B241" s="210"/>
      <c r="C241" s="211"/>
      <c r="D241" s="211"/>
      <c r="E241" s="211"/>
      <c r="F241" s="211"/>
      <c r="G241" s="211"/>
      <c r="H241" s="212"/>
      <c r="I241" s="212"/>
      <c r="J241" s="213"/>
      <c r="K241" s="213"/>
      <c r="L241" s="214"/>
      <c r="M241" s="213"/>
      <c r="N241" s="214"/>
      <c r="O241" s="213"/>
      <c r="P241" s="213"/>
      <c r="Q241" s="214"/>
      <c r="R241" s="214"/>
      <c r="S241" s="213"/>
      <c r="T241" s="213"/>
      <c r="U241" s="213"/>
      <c r="V241" s="213"/>
      <c r="W241" s="213"/>
      <c r="X241" s="213"/>
      <c r="Y241" s="213"/>
      <c r="Z241" s="213"/>
      <c r="AA241" s="213"/>
      <c r="AB241" s="213"/>
      <c r="AC241" s="213"/>
      <c r="AD241" s="213"/>
      <c r="AE241" s="213"/>
      <c r="AF241" s="213"/>
      <c r="AG241" s="208"/>
      <c r="AH241" s="208"/>
      <c r="AI241" s="208"/>
      <c r="AJ241" s="208"/>
      <c r="AK241" s="208"/>
    </row>
    <row r="242">
      <c r="A242" s="209"/>
      <c r="B242" s="210"/>
      <c r="C242" s="211"/>
      <c r="D242" s="211"/>
      <c r="E242" s="211"/>
      <c r="F242" s="211"/>
      <c r="G242" s="211"/>
      <c r="H242" s="212"/>
      <c r="I242" s="212"/>
      <c r="J242" s="213"/>
      <c r="K242" s="213"/>
      <c r="L242" s="214"/>
      <c r="M242" s="213"/>
      <c r="N242" s="214"/>
      <c r="O242" s="213"/>
      <c r="P242" s="213"/>
      <c r="Q242" s="214"/>
      <c r="R242" s="214"/>
      <c r="S242" s="213"/>
      <c r="T242" s="213"/>
      <c r="U242" s="213"/>
      <c r="V242" s="213"/>
      <c r="W242" s="213"/>
      <c r="X242" s="213"/>
      <c r="Y242" s="213"/>
      <c r="Z242" s="213"/>
      <c r="AA242" s="213"/>
      <c r="AB242" s="213"/>
      <c r="AC242" s="213"/>
      <c r="AD242" s="213"/>
      <c r="AE242" s="213"/>
      <c r="AF242" s="213"/>
      <c r="AG242" s="208"/>
      <c r="AH242" s="208"/>
      <c r="AI242" s="208"/>
      <c r="AJ242" s="208"/>
      <c r="AK242" s="208"/>
    </row>
    <row r="243">
      <c r="A243" s="209"/>
      <c r="B243" s="210"/>
      <c r="C243" s="211"/>
      <c r="D243" s="211"/>
      <c r="E243" s="211"/>
      <c r="F243" s="211"/>
      <c r="G243" s="211"/>
      <c r="H243" s="212"/>
      <c r="I243" s="212"/>
      <c r="J243" s="213"/>
      <c r="K243" s="213"/>
      <c r="L243" s="214"/>
      <c r="M243" s="213"/>
      <c r="N243" s="214"/>
      <c r="O243" s="213"/>
      <c r="P243" s="213"/>
      <c r="Q243" s="214"/>
      <c r="R243" s="214"/>
      <c r="S243" s="213"/>
      <c r="T243" s="213"/>
      <c r="U243" s="213"/>
      <c r="V243" s="213"/>
      <c r="W243" s="213"/>
      <c r="X243" s="213"/>
      <c r="Y243" s="213"/>
      <c r="Z243" s="213"/>
      <c r="AA243" s="213"/>
      <c r="AB243" s="213"/>
      <c r="AC243" s="213"/>
      <c r="AD243" s="213"/>
      <c r="AE243" s="213"/>
      <c r="AF243" s="213"/>
      <c r="AG243" s="208"/>
      <c r="AH243" s="208"/>
      <c r="AI243" s="208"/>
      <c r="AJ243" s="208"/>
      <c r="AK243" s="208"/>
    </row>
    <row r="244">
      <c r="A244" s="209"/>
      <c r="B244" s="210"/>
      <c r="C244" s="211"/>
      <c r="D244" s="211"/>
      <c r="E244" s="211"/>
      <c r="F244" s="211"/>
      <c r="G244" s="211"/>
      <c r="H244" s="212"/>
      <c r="I244" s="212"/>
      <c r="J244" s="213"/>
      <c r="K244" s="213"/>
      <c r="L244" s="214"/>
      <c r="M244" s="213"/>
      <c r="N244" s="214"/>
      <c r="O244" s="213"/>
      <c r="P244" s="213"/>
      <c r="Q244" s="214"/>
      <c r="R244" s="214"/>
      <c r="S244" s="213"/>
      <c r="T244" s="213"/>
      <c r="U244" s="213"/>
      <c r="V244" s="213"/>
      <c r="W244" s="213"/>
      <c r="X244" s="213"/>
      <c r="Y244" s="213"/>
      <c r="Z244" s="213"/>
      <c r="AA244" s="213"/>
      <c r="AB244" s="213"/>
      <c r="AC244" s="213"/>
      <c r="AD244" s="213"/>
      <c r="AE244" s="213"/>
      <c r="AF244" s="213"/>
      <c r="AG244" s="208"/>
      <c r="AH244" s="208"/>
      <c r="AI244" s="208"/>
      <c r="AJ244" s="208"/>
      <c r="AK244" s="208"/>
    </row>
    <row r="245">
      <c r="A245" s="209"/>
      <c r="B245" s="210"/>
      <c r="C245" s="211"/>
      <c r="D245" s="211"/>
      <c r="E245" s="211"/>
      <c r="F245" s="211"/>
      <c r="G245" s="211"/>
      <c r="H245" s="212"/>
      <c r="I245" s="212"/>
      <c r="J245" s="213"/>
      <c r="K245" s="213"/>
      <c r="L245" s="214"/>
      <c r="M245" s="213"/>
      <c r="N245" s="214"/>
      <c r="O245" s="213"/>
      <c r="P245" s="213"/>
      <c r="Q245" s="214"/>
      <c r="R245" s="214"/>
      <c r="S245" s="213"/>
      <c r="T245" s="213"/>
      <c r="U245" s="213"/>
      <c r="V245" s="213"/>
      <c r="W245" s="213"/>
      <c r="X245" s="213"/>
      <c r="Y245" s="213"/>
      <c r="Z245" s="213"/>
      <c r="AA245" s="213"/>
      <c r="AB245" s="213"/>
      <c r="AC245" s="213"/>
      <c r="AD245" s="213"/>
      <c r="AE245" s="213"/>
      <c r="AF245" s="213"/>
      <c r="AG245" s="208"/>
      <c r="AH245" s="208"/>
      <c r="AI245" s="208"/>
      <c r="AJ245" s="208"/>
      <c r="AK245" s="208"/>
    </row>
    <row r="246">
      <c r="A246" s="209"/>
      <c r="B246" s="210"/>
      <c r="C246" s="211"/>
      <c r="D246" s="211"/>
      <c r="E246" s="211"/>
      <c r="F246" s="211"/>
      <c r="G246" s="211"/>
      <c r="H246" s="212"/>
      <c r="I246" s="212"/>
      <c r="J246" s="213"/>
      <c r="K246" s="213"/>
      <c r="L246" s="214"/>
      <c r="M246" s="213"/>
      <c r="N246" s="214"/>
      <c r="O246" s="213"/>
      <c r="P246" s="213"/>
      <c r="Q246" s="214"/>
      <c r="R246" s="214"/>
      <c r="S246" s="213"/>
      <c r="T246" s="213"/>
      <c r="U246" s="213"/>
      <c r="V246" s="213"/>
      <c r="W246" s="213"/>
      <c r="X246" s="213"/>
      <c r="Y246" s="213"/>
      <c r="Z246" s="213"/>
      <c r="AA246" s="213"/>
      <c r="AB246" s="213"/>
      <c r="AC246" s="213"/>
      <c r="AD246" s="213"/>
      <c r="AE246" s="213"/>
      <c r="AF246" s="213"/>
      <c r="AG246" s="208"/>
      <c r="AH246" s="208"/>
      <c r="AI246" s="208"/>
      <c r="AJ246" s="208"/>
      <c r="AK246" s="208"/>
    </row>
    <row r="247">
      <c r="A247" s="209"/>
      <c r="B247" s="210"/>
      <c r="C247" s="211"/>
      <c r="D247" s="211"/>
      <c r="E247" s="211"/>
      <c r="F247" s="211"/>
      <c r="G247" s="211"/>
      <c r="H247" s="212"/>
      <c r="I247" s="212"/>
      <c r="J247" s="213"/>
      <c r="K247" s="213"/>
      <c r="L247" s="214"/>
      <c r="M247" s="213"/>
      <c r="N247" s="214"/>
      <c r="O247" s="213"/>
      <c r="P247" s="213"/>
      <c r="Q247" s="214"/>
      <c r="R247" s="214"/>
      <c r="S247" s="213"/>
      <c r="T247" s="213"/>
      <c r="U247" s="213"/>
      <c r="V247" s="213"/>
      <c r="W247" s="213"/>
      <c r="X247" s="213"/>
      <c r="Y247" s="213"/>
      <c r="Z247" s="213"/>
      <c r="AA247" s="213"/>
      <c r="AB247" s="213"/>
      <c r="AC247" s="213"/>
      <c r="AD247" s="213"/>
      <c r="AE247" s="213"/>
      <c r="AF247" s="213"/>
      <c r="AG247" s="208"/>
      <c r="AH247" s="208"/>
      <c r="AI247" s="208"/>
      <c r="AJ247" s="208"/>
      <c r="AK247" s="208"/>
    </row>
    <row r="248">
      <c r="A248" s="209"/>
      <c r="B248" s="210"/>
      <c r="C248" s="211"/>
      <c r="D248" s="211"/>
      <c r="E248" s="211"/>
      <c r="F248" s="211"/>
      <c r="G248" s="211"/>
      <c r="H248" s="212"/>
      <c r="I248" s="212"/>
      <c r="J248" s="213"/>
      <c r="K248" s="213"/>
      <c r="L248" s="214"/>
      <c r="M248" s="213"/>
      <c r="N248" s="214"/>
      <c r="O248" s="213"/>
      <c r="P248" s="213"/>
      <c r="Q248" s="214"/>
      <c r="R248" s="214"/>
      <c r="S248" s="213"/>
      <c r="T248" s="213"/>
      <c r="U248" s="213"/>
      <c r="V248" s="213"/>
      <c r="W248" s="213"/>
      <c r="X248" s="213"/>
      <c r="Y248" s="213"/>
      <c r="Z248" s="213"/>
      <c r="AA248" s="213"/>
      <c r="AB248" s="213"/>
      <c r="AC248" s="213"/>
      <c r="AD248" s="213"/>
      <c r="AE248" s="213"/>
      <c r="AF248" s="213"/>
      <c r="AG248" s="208"/>
      <c r="AH248" s="208"/>
      <c r="AI248" s="208"/>
      <c r="AJ248" s="208"/>
      <c r="AK248" s="208"/>
    </row>
    <row r="249">
      <c r="A249" s="209"/>
      <c r="B249" s="210"/>
      <c r="C249" s="211"/>
      <c r="D249" s="211"/>
      <c r="E249" s="211"/>
      <c r="F249" s="211"/>
      <c r="G249" s="211"/>
      <c r="H249" s="212"/>
      <c r="I249" s="212"/>
      <c r="J249" s="213"/>
      <c r="K249" s="213"/>
      <c r="L249" s="214"/>
      <c r="M249" s="213"/>
      <c r="N249" s="214"/>
      <c r="O249" s="213"/>
      <c r="P249" s="213"/>
      <c r="Q249" s="214"/>
      <c r="R249" s="214"/>
      <c r="S249" s="213"/>
      <c r="T249" s="213"/>
      <c r="U249" s="213"/>
      <c r="V249" s="213"/>
      <c r="W249" s="213"/>
      <c r="X249" s="213"/>
      <c r="Y249" s="213"/>
      <c r="Z249" s="213"/>
      <c r="AA249" s="213"/>
      <c r="AB249" s="213"/>
      <c r="AC249" s="213"/>
      <c r="AD249" s="213"/>
      <c r="AE249" s="213"/>
      <c r="AF249" s="213"/>
      <c r="AG249" s="208"/>
      <c r="AH249" s="208"/>
      <c r="AI249" s="208"/>
      <c r="AJ249" s="208"/>
      <c r="AK249" s="208"/>
    </row>
    <row r="250">
      <c r="A250" s="209"/>
      <c r="B250" s="210"/>
      <c r="C250" s="211"/>
      <c r="D250" s="211"/>
      <c r="E250" s="211"/>
      <c r="F250" s="211"/>
      <c r="G250" s="211"/>
      <c r="H250" s="212"/>
      <c r="I250" s="212"/>
      <c r="J250" s="213"/>
      <c r="K250" s="213"/>
      <c r="L250" s="214"/>
      <c r="M250" s="213"/>
      <c r="N250" s="214"/>
      <c r="O250" s="213"/>
      <c r="P250" s="213"/>
      <c r="Q250" s="214"/>
      <c r="R250" s="214"/>
      <c r="S250" s="213"/>
      <c r="T250" s="213"/>
      <c r="U250" s="213"/>
      <c r="V250" s="213"/>
      <c r="W250" s="213"/>
      <c r="X250" s="213"/>
      <c r="Y250" s="213"/>
      <c r="Z250" s="213"/>
      <c r="AA250" s="213"/>
      <c r="AB250" s="213"/>
      <c r="AC250" s="213"/>
      <c r="AD250" s="213"/>
      <c r="AE250" s="213"/>
      <c r="AF250" s="213"/>
      <c r="AG250" s="208"/>
      <c r="AH250" s="208"/>
      <c r="AI250" s="208"/>
      <c r="AJ250" s="208"/>
      <c r="AK250" s="208"/>
    </row>
    <row r="251">
      <c r="A251" s="209"/>
      <c r="B251" s="210"/>
      <c r="C251" s="211"/>
      <c r="D251" s="211"/>
      <c r="E251" s="211"/>
      <c r="F251" s="211"/>
      <c r="G251" s="211"/>
      <c r="H251" s="212"/>
      <c r="I251" s="212"/>
      <c r="J251" s="213"/>
      <c r="K251" s="213"/>
      <c r="L251" s="214"/>
      <c r="M251" s="213"/>
      <c r="N251" s="214"/>
      <c r="O251" s="213"/>
      <c r="P251" s="213"/>
      <c r="Q251" s="214"/>
      <c r="R251" s="214"/>
      <c r="S251" s="213"/>
      <c r="T251" s="213"/>
      <c r="U251" s="213"/>
      <c r="V251" s="213"/>
      <c r="W251" s="213"/>
      <c r="X251" s="213"/>
      <c r="Y251" s="213"/>
      <c r="Z251" s="213"/>
      <c r="AA251" s="213"/>
      <c r="AB251" s="213"/>
      <c r="AC251" s="213"/>
      <c r="AD251" s="213"/>
      <c r="AE251" s="213"/>
      <c r="AF251" s="213"/>
      <c r="AG251" s="208"/>
      <c r="AH251" s="208"/>
      <c r="AI251" s="208"/>
      <c r="AJ251" s="208"/>
      <c r="AK251" s="208"/>
    </row>
    <row r="252">
      <c r="A252" s="209"/>
      <c r="B252" s="210"/>
      <c r="C252" s="211"/>
      <c r="D252" s="211"/>
      <c r="E252" s="211"/>
      <c r="F252" s="211"/>
      <c r="G252" s="211"/>
      <c r="H252" s="212"/>
      <c r="I252" s="212"/>
      <c r="J252" s="213"/>
      <c r="K252" s="213"/>
      <c r="L252" s="214"/>
      <c r="M252" s="213"/>
      <c r="N252" s="214"/>
      <c r="O252" s="213"/>
      <c r="P252" s="213"/>
      <c r="Q252" s="214"/>
      <c r="R252" s="214"/>
      <c r="S252" s="213"/>
      <c r="T252" s="213"/>
      <c r="U252" s="213"/>
      <c r="V252" s="213"/>
      <c r="W252" s="213"/>
      <c r="X252" s="213"/>
      <c r="Y252" s="213"/>
      <c r="Z252" s="213"/>
      <c r="AA252" s="213"/>
      <c r="AB252" s="213"/>
      <c r="AC252" s="213"/>
      <c r="AD252" s="213"/>
      <c r="AE252" s="213"/>
      <c r="AF252" s="213"/>
      <c r="AG252" s="208"/>
      <c r="AH252" s="208"/>
      <c r="AI252" s="208"/>
      <c r="AJ252" s="208"/>
      <c r="AK252" s="208"/>
    </row>
    <row r="253">
      <c r="A253" s="209"/>
      <c r="B253" s="210"/>
      <c r="C253" s="211"/>
      <c r="D253" s="211"/>
      <c r="E253" s="211"/>
      <c r="F253" s="211"/>
      <c r="G253" s="211"/>
      <c r="H253" s="212"/>
      <c r="I253" s="212"/>
      <c r="J253" s="213"/>
      <c r="K253" s="213"/>
      <c r="L253" s="214"/>
      <c r="M253" s="213"/>
      <c r="N253" s="214"/>
      <c r="O253" s="213"/>
      <c r="P253" s="213"/>
      <c r="Q253" s="214"/>
      <c r="R253" s="214"/>
      <c r="S253" s="213"/>
      <c r="T253" s="213"/>
      <c r="U253" s="213"/>
      <c r="V253" s="213"/>
      <c r="W253" s="213"/>
      <c r="X253" s="213"/>
      <c r="Y253" s="213"/>
      <c r="Z253" s="213"/>
      <c r="AA253" s="213"/>
      <c r="AB253" s="213"/>
      <c r="AC253" s="213"/>
      <c r="AD253" s="213"/>
      <c r="AE253" s="213"/>
      <c r="AF253" s="213"/>
      <c r="AG253" s="208"/>
      <c r="AH253" s="208"/>
      <c r="AI253" s="208"/>
      <c r="AJ253" s="208"/>
      <c r="AK253" s="208"/>
    </row>
    <row r="254">
      <c r="A254" s="209"/>
      <c r="B254" s="210"/>
      <c r="C254" s="211"/>
      <c r="D254" s="211"/>
      <c r="E254" s="211"/>
      <c r="F254" s="211"/>
      <c r="G254" s="211"/>
      <c r="H254" s="212"/>
      <c r="I254" s="212"/>
      <c r="J254" s="213"/>
      <c r="K254" s="213"/>
      <c r="L254" s="214"/>
      <c r="M254" s="213"/>
      <c r="N254" s="214"/>
      <c r="O254" s="213"/>
      <c r="P254" s="213"/>
      <c r="Q254" s="214"/>
      <c r="R254" s="214"/>
      <c r="S254" s="213"/>
      <c r="T254" s="213"/>
      <c r="U254" s="213"/>
      <c r="V254" s="213"/>
      <c r="W254" s="213"/>
      <c r="X254" s="213"/>
      <c r="Y254" s="213"/>
      <c r="Z254" s="213"/>
      <c r="AA254" s="213"/>
      <c r="AB254" s="213"/>
      <c r="AC254" s="213"/>
      <c r="AD254" s="213"/>
      <c r="AE254" s="213"/>
      <c r="AF254" s="213"/>
      <c r="AG254" s="208"/>
      <c r="AH254" s="208"/>
      <c r="AI254" s="208"/>
      <c r="AJ254" s="208"/>
      <c r="AK254" s="208"/>
    </row>
    <row r="255">
      <c r="A255" s="209"/>
      <c r="B255" s="210"/>
      <c r="C255" s="211"/>
      <c r="D255" s="211"/>
      <c r="E255" s="211"/>
      <c r="F255" s="211"/>
      <c r="G255" s="211"/>
      <c r="H255" s="212"/>
      <c r="I255" s="212"/>
      <c r="J255" s="213"/>
      <c r="K255" s="213"/>
      <c r="L255" s="214"/>
      <c r="M255" s="213"/>
      <c r="N255" s="214"/>
      <c r="O255" s="213"/>
      <c r="P255" s="213"/>
      <c r="Q255" s="214"/>
      <c r="R255" s="214"/>
      <c r="S255" s="213"/>
      <c r="T255" s="213"/>
      <c r="U255" s="213"/>
      <c r="V255" s="213"/>
      <c r="W255" s="213"/>
      <c r="X255" s="213"/>
      <c r="Y255" s="213"/>
      <c r="Z255" s="213"/>
      <c r="AA255" s="213"/>
      <c r="AB255" s="213"/>
      <c r="AC255" s="213"/>
      <c r="AD255" s="213"/>
      <c r="AE255" s="213"/>
      <c r="AF255" s="213"/>
      <c r="AG255" s="208"/>
      <c r="AH255" s="208"/>
      <c r="AI255" s="208"/>
      <c r="AJ255" s="208"/>
      <c r="AK255" s="208"/>
    </row>
    <row r="256">
      <c r="A256" s="209"/>
      <c r="B256" s="210"/>
      <c r="C256" s="211"/>
      <c r="D256" s="211"/>
      <c r="E256" s="211"/>
      <c r="F256" s="211"/>
      <c r="G256" s="211"/>
      <c r="H256" s="212"/>
      <c r="I256" s="212"/>
      <c r="J256" s="213"/>
      <c r="K256" s="213"/>
      <c r="L256" s="214"/>
      <c r="M256" s="213"/>
      <c r="N256" s="214"/>
      <c r="O256" s="213"/>
      <c r="P256" s="213"/>
      <c r="Q256" s="214"/>
      <c r="R256" s="214"/>
      <c r="S256" s="213"/>
      <c r="T256" s="213"/>
      <c r="U256" s="213"/>
      <c r="V256" s="213"/>
      <c r="W256" s="213"/>
      <c r="X256" s="213"/>
      <c r="Y256" s="213"/>
      <c r="Z256" s="213"/>
      <c r="AA256" s="213"/>
      <c r="AB256" s="213"/>
      <c r="AC256" s="213"/>
      <c r="AD256" s="213"/>
      <c r="AE256" s="213"/>
      <c r="AF256" s="213"/>
      <c r="AG256" s="208"/>
      <c r="AH256" s="208"/>
      <c r="AI256" s="208"/>
      <c r="AJ256" s="208"/>
      <c r="AK256" s="208"/>
    </row>
    <row r="257">
      <c r="A257" s="209"/>
      <c r="B257" s="210"/>
      <c r="C257" s="211"/>
      <c r="D257" s="211"/>
      <c r="E257" s="211"/>
      <c r="F257" s="211"/>
      <c r="G257" s="211"/>
      <c r="H257" s="212"/>
      <c r="I257" s="212"/>
      <c r="J257" s="213"/>
      <c r="K257" s="213"/>
      <c r="L257" s="214"/>
      <c r="M257" s="213"/>
      <c r="N257" s="214"/>
      <c r="O257" s="213"/>
      <c r="P257" s="213"/>
      <c r="Q257" s="214"/>
      <c r="R257" s="214"/>
      <c r="S257" s="213"/>
      <c r="T257" s="213"/>
      <c r="U257" s="213"/>
      <c r="V257" s="213"/>
      <c r="W257" s="213"/>
      <c r="X257" s="213"/>
      <c r="Y257" s="213"/>
      <c r="Z257" s="213"/>
      <c r="AA257" s="213"/>
      <c r="AB257" s="213"/>
      <c r="AC257" s="213"/>
      <c r="AD257" s="213"/>
      <c r="AE257" s="213"/>
      <c r="AF257" s="213"/>
      <c r="AG257" s="208"/>
      <c r="AH257" s="208"/>
      <c r="AI257" s="208"/>
      <c r="AJ257" s="208"/>
      <c r="AK257" s="208"/>
    </row>
    <row r="258">
      <c r="A258" s="209"/>
      <c r="B258" s="210"/>
      <c r="C258" s="211"/>
      <c r="D258" s="211"/>
      <c r="E258" s="211"/>
      <c r="F258" s="211"/>
      <c r="G258" s="211"/>
      <c r="H258" s="212"/>
      <c r="I258" s="212"/>
      <c r="J258" s="213"/>
      <c r="K258" s="213"/>
      <c r="L258" s="214"/>
      <c r="M258" s="213"/>
      <c r="N258" s="214"/>
      <c r="O258" s="213"/>
      <c r="P258" s="213"/>
      <c r="Q258" s="214"/>
      <c r="R258" s="214"/>
      <c r="S258" s="213"/>
      <c r="T258" s="213"/>
      <c r="U258" s="213"/>
      <c r="V258" s="213"/>
      <c r="W258" s="213"/>
      <c r="X258" s="213"/>
      <c r="Y258" s="213"/>
      <c r="Z258" s="213"/>
      <c r="AA258" s="213"/>
      <c r="AB258" s="213"/>
      <c r="AC258" s="213"/>
      <c r="AD258" s="213"/>
      <c r="AE258" s="213"/>
      <c r="AF258" s="213"/>
      <c r="AG258" s="208"/>
      <c r="AH258" s="208"/>
      <c r="AI258" s="208"/>
      <c r="AJ258" s="208"/>
      <c r="AK258" s="208"/>
    </row>
    <row r="259">
      <c r="A259" s="209"/>
      <c r="B259" s="210"/>
      <c r="C259" s="211"/>
      <c r="D259" s="211"/>
      <c r="E259" s="211"/>
      <c r="F259" s="211"/>
      <c r="G259" s="211"/>
      <c r="H259" s="212"/>
      <c r="I259" s="212"/>
      <c r="J259" s="213"/>
      <c r="K259" s="213"/>
      <c r="L259" s="214"/>
      <c r="M259" s="213"/>
      <c r="N259" s="214"/>
      <c r="O259" s="213"/>
      <c r="P259" s="213"/>
      <c r="Q259" s="214"/>
      <c r="R259" s="214"/>
      <c r="S259" s="213"/>
      <c r="T259" s="213"/>
      <c r="U259" s="213"/>
      <c r="V259" s="213"/>
      <c r="W259" s="213"/>
      <c r="X259" s="213"/>
      <c r="Y259" s="213"/>
      <c r="Z259" s="213"/>
      <c r="AA259" s="213"/>
      <c r="AB259" s="213"/>
      <c r="AC259" s="213"/>
      <c r="AD259" s="213"/>
      <c r="AE259" s="213"/>
      <c r="AF259" s="213"/>
      <c r="AG259" s="208"/>
      <c r="AH259" s="208"/>
      <c r="AI259" s="208"/>
      <c r="AJ259" s="208"/>
      <c r="AK259" s="208"/>
    </row>
    <row r="260">
      <c r="A260" s="209"/>
      <c r="B260" s="210"/>
      <c r="C260" s="211"/>
      <c r="D260" s="211"/>
      <c r="E260" s="211"/>
      <c r="F260" s="211"/>
      <c r="G260" s="211"/>
      <c r="H260" s="212"/>
      <c r="I260" s="212"/>
      <c r="J260" s="213"/>
      <c r="K260" s="213"/>
      <c r="L260" s="214"/>
      <c r="M260" s="213"/>
      <c r="N260" s="214"/>
      <c r="O260" s="213"/>
      <c r="P260" s="213"/>
      <c r="Q260" s="214"/>
      <c r="R260" s="214"/>
      <c r="S260" s="213"/>
      <c r="T260" s="213"/>
      <c r="U260" s="213"/>
      <c r="V260" s="213"/>
      <c r="W260" s="213"/>
      <c r="X260" s="213"/>
      <c r="Y260" s="213"/>
      <c r="Z260" s="213"/>
      <c r="AA260" s="213"/>
      <c r="AB260" s="213"/>
      <c r="AC260" s="213"/>
      <c r="AD260" s="213"/>
      <c r="AE260" s="213"/>
      <c r="AF260" s="213"/>
      <c r="AG260" s="208"/>
      <c r="AH260" s="208"/>
      <c r="AI260" s="208"/>
      <c r="AJ260" s="208"/>
      <c r="AK260" s="208"/>
    </row>
    <row r="261">
      <c r="A261" s="209"/>
      <c r="B261" s="210"/>
      <c r="C261" s="211"/>
      <c r="D261" s="211"/>
      <c r="E261" s="211"/>
      <c r="F261" s="211"/>
      <c r="G261" s="211"/>
      <c r="H261" s="212"/>
      <c r="I261" s="212"/>
      <c r="J261" s="213"/>
      <c r="K261" s="213"/>
      <c r="L261" s="214"/>
      <c r="M261" s="213"/>
      <c r="N261" s="214"/>
      <c r="O261" s="213"/>
      <c r="P261" s="213"/>
      <c r="Q261" s="214"/>
      <c r="R261" s="214"/>
      <c r="S261" s="213"/>
      <c r="T261" s="213"/>
      <c r="U261" s="213"/>
      <c r="V261" s="213"/>
      <c r="W261" s="213"/>
      <c r="X261" s="213"/>
      <c r="Y261" s="213"/>
      <c r="Z261" s="213"/>
      <c r="AA261" s="213"/>
      <c r="AB261" s="213"/>
      <c r="AC261" s="213"/>
      <c r="AD261" s="213"/>
      <c r="AE261" s="213"/>
      <c r="AF261" s="213"/>
      <c r="AG261" s="208"/>
      <c r="AH261" s="208"/>
      <c r="AI261" s="208"/>
      <c r="AJ261" s="208"/>
      <c r="AK261" s="208"/>
    </row>
    <row r="262">
      <c r="A262" s="209"/>
      <c r="B262" s="210"/>
      <c r="C262" s="211"/>
      <c r="D262" s="211"/>
      <c r="E262" s="211"/>
      <c r="F262" s="211"/>
      <c r="G262" s="211"/>
      <c r="H262" s="212"/>
      <c r="I262" s="212"/>
      <c r="J262" s="213"/>
      <c r="K262" s="213"/>
      <c r="L262" s="214"/>
      <c r="M262" s="213"/>
      <c r="N262" s="214"/>
      <c r="O262" s="213"/>
      <c r="P262" s="213"/>
      <c r="Q262" s="214"/>
      <c r="R262" s="214"/>
      <c r="S262" s="213"/>
      <c r="T262" s="213"/>
      <c r="U262" s="213"/>
      <c r="V262" s="213"/>
      <c r="W262" s="213"/>
      <c r="X262" s="213"/>
      <c r="Y262" s="213"/>
      <c r="Z262" s="213"/>
      <c r="AA262" s="213"/>
      <c r="AB262" s="213"/>
      <c r="AC262" s="213"/>
      <c r="AD262" s="213"/>
      <c r="AE262" s="213"/>
      <c r="AF262" s="213"/>
      <c r="AG262" s="208"/>
      <c r="AH262" s="208"/>
      <c r="AI262" s="208"/>
      <c r="AJ262" s="208"/>
      <c r="AK262" s="208"/>
    </row>
    <row r="263">
      <c r="A263" s="209"/>
      <c r="B263" s="210"/>
      <c r="C263" s="211"/>
      <c r="D263" s="211"/>
      <c r="E263" s="211"/>
      <c r="F263" s="211"/>
      <c r="G263" s="211"/>
      <c r="H263" s="212"/>
      <c r="I263" s="212"/>
      <c r="J263" s="213"/>
      <c r="K263" s="213"/>
      <c r="L263" s="214"/>
      <c r="M263" s="213"/>
      <c r="N263" s="214"/>
      <c r="O263" s="213"/>
      <c r="P263" s="213"/>
      <c r="Q263" s="214"/>
      <c r="R263" s="214"/>
      <c r="S263" s="213"/>
      <c r="T263" s="213"/>
      <c r="U263" s="213"/>
      <c r="V263" s="213"/>
      <c r="W263" s="213"/>
      <c r="X263" s="213"/>
      <c r="Y263" s="213"/>
      <c r="Z263" s="213"/>
      <c r="AA263" s="213"/>
      <c r="AB263" s="213"/>
      <c r="AC263" s="213"/>
      <c r="AD263" s="213"/>
      <c r="AE263" s="213"/>
      <c r="AF263" s="213"/>
      <c r="AG263" s="208"/>
      <c r="AH263" s="208"/>
      <c r="AI263" s="208"/>
      <c r="AJ263" s="208"/>
      <c r="AK263" s="208"/>
    </row>
    <row r="264">
      <c r="A264" s="209"/>
      <c r="B264" s="210"/>
      <c r="C264" s="211"/>
      <c r="D264" s="211"/>
      <c r="E264" s="211"/>
      <c r="F264" s="211"/>
      <c r="G264" s="211"/>
      <c r="H264" s="212"/>
      <c r="I264" s="212"/>
      <c r="J264" s="213"/>
      <c r="K264" s="213"/>
      <c r="L264" s="214"/>
      <c r="M264" s="213"/>
      <c r="N264" s="214"/>
      <c r="O264" s="213"/>
      <c r="P264" s="213"/>
      <c r="Q264" s="214"/>
      <c r="R264" s="214"/>
      <c r="S264" s="213"/>
      <c r="T264" s="213"/>
      <c r="U264" s="213"/>
      <c r="V264" s="213"/>
      <c r="W264" s="213"/>
      <c r="X264" s="213"/>
      <c r="Y264" s="213"/>
      <c r="Z264" s="213"/>
      <c r="AA264" s="213"/>
      <c r="AB264" s="213"/>
      <c r="AC264" s="213"/>
      <c r="AD264" s="213"/>
      <c r="AE264" s="213"/>
      <c r="AF264" s="213"/>
      <c r="AG264" s="208"/>
      <c r="AH264" s="208"/>
      <c r="AI264" s="208"/>
      <c r="AJ264" s="208"/>
      <c r="AK264" s="208"/>
    </row>
    <row r="265">
      <c r="A265" s="209"/>
      <c r="B265" s="210"/>
      <c r="C265" s="211"/>
      <c r="D265" s="211"/>
      <c r="E265" s="211"/>
      <c r="F265" s="211"/>
      <c r="G265" s="211"/>
      <c r="H265" s="212"/>
      <c r="I265" s="212"/>
      <c r="J265" s="213"/>
      <c r="K265" s="213"/>
      <c r="L265" s="214"/>
      <c r="M265" s="213"/>
      <c r="N265" s="214"/>
      <c r="O265" s="213"/>
      <c r="P265" s="213"/>
      <c r="Q265" s="214"/>
      <c r="R265" s="214"/>
      <c r="S265" s="213"/>
      <c r="T265" s="213"/>
      <c r="U265" s="213"/>
      <c r="V265" s="213"/>
      <c r="W265" s="213"/>
      <c r="X265" s="213"/>
      <c r="Y265" s="213"/>
      <c r="Z265" s="213"/>
      <c r="AA265" s="213"/>
      <c r="AB265" s="213"/>
      <c r="AC265" s="213"/>
      <c r="AD265" s="213"/>
      <c r="AE265" s="213"/>
      <c r="AF265" s="213"/>
      <c r="AG265" s="208"/>
      <c r="AH265" s="208"/>
      <c r="AI265" s="208"/>
      <c r="AJ265" s="208"/>
      <c r="AK265" s="208"/>
    </row>
    <row r="266">
      <c r="A266" s="209"/>
      <c r="B266" s="210"/>
      <c r="C266" s="211"/>
      <c r="D266" s="211"/>
      <c r="E266" s="211"/>
      <c r="F266" s="211"/>
      <c r="G266" s="211"/>
      <c r="H266" s="212"/>
      <c r="I266" s="212"/>
      <c r="J266" s="213"/>
      <c r="K266" s="213"/>
      <c r="L266" s="214"/>
      <c r="M266" s="213"/>
      <c r="N266" s="214"/>
      <c r="O266" s="213"/>
      <c r="P266" s="213"/>
      <c r="Q266" s="214"/>
      <c r="R266" s="214"/>
      <c r="S266" s="213"/>
      <c r="T266" s="213"/>
      <c r="U266" s="213"/>
      <c r="V266" s="213"/>
      <c r="W266" s="213"/>
      <c r="X266" s="213"/>
      <c r="Y266" s="213"/>
      <c r="Z266" s="213"/>
      <c r="AA266" s="213"/>
      <c r="AB266" s="213"/>
      <c r="AC266" s="213"/>
      <c r="AD266" s="213"/>
      <c r="AE266" s="213"/>
      <c r="AF266" s="213"/>
      <c r="AG266" s="208"/>
      <c r="AH266" s="208"/>
      <c r="AI266" s="208"/>
      <c r="AJ266" s="208"/>
      <c r="AK266" s="208"/>
    </row>
    <row r="267">
      <c r="A267" s="209"/>
      <c r="B267" s="210"/>
      <c r="C267" s="211"/>
      <c r="D267" s="211"/>
      <c r="E267" s="211"/>
      <c r="F267" s="211"/>
      <c r="G267" s="211"/>
      <c r="H267" s="212"/>
      <c r="I267" s="212"/>
      <c r="J267" s="213"/>
      <c r="K267" s="213"/>
      <c r="L267" s="214"/>
      <c r="M267" s="213"/>
      <c r="N267" s="214"/>
      <c r="O267" s="213"/>
      <c r="P267" s="213"/>
      <c r="Q267" s="214"/>
      <c r="R267" s="214"/>
      <c r="S267" s="213"/>
      <c r="T267" s="213"/>
      <c r="U267" s="213"/>
      <c r="V267" s="213"/>
      <c r="W267" s="213"/>
      <c r="X267" s="213"/>
      <c r="Y267" s="213"/>
      <c r="Z267" s="213"/>
      <c r="AA267" s="213"/>
      <c r="AB267" s="213"/>
      <c r="AC267" s="213"/>
      <c r="AD267" s="213"/>
      <c r="AE267" s="213"/>
      <c r="AF267" s="213"/>
      <c r="AG267" s="208"/>
      <c r="AH267" s="208"/>
      <c r="AI267" s="208"/>
      <c r="AJ267" s="208"/>
      <c r="AK267" s="208"/>
    </row>
    <row r="268">
      <c r="A268" s="209"/>
      <c r="B268" s="210"/>
      <c r="C268" s="211"/>
      <c r="D268" s="211"/>
      <c r="E268" s="211"/>
      <c r="F268" s="211"/>
      <c r="G268" s="211"/>
      <c r="H268" s="212"/>
      <c r="I268" s="212"/>
      <c r="J268" s="213"/>
      <c r="K268" s="213"/>
      <c r="L268" s="214"/>
      <c r="M268" s="213"/>
      <c r="N268" s="214"/>
      <c r="O268" s="213"/>
      <c r="P268" s="213"/>
      <c r="Q268" s="214"/>
      <c r="R268" s="214"/>
      <c r="S268" s="213"/>
      <c r="T268" s="213"/>
      <c r="U268" s="213"/>
      <c r="V268" s="213"/>
      <c r="W268" s="213"/>
      <c r="X268" s="213"/>
      <c r="Y268" s="213"/>
      <c r="Z268" s="213"/>
      <c r="AA268" s="213"/>
      <c r="AB268" s="213"/>
      <c r="AC268" s="213"/>
      <c r="AD268" s="213"/>
      <c r="AE268" s="213"/>
      <c r="AF268" s="213"/>
      <c r="AG268" s="208"/>
      <c r="AH268" s="208"/>
      <c r="AI268" s="208"/>
      <c r="AJ268" s="208"/>
      <c r="AK268" s="208"/>
    </row>
    <row r="269">
      <c r="A269" s="209"/>
      <c r="B269" s="210"/>
      <c r="C269" s="211"/>
      <c r="D269" s="211"/>
      <c r="E269" s="211"/>
      <c r="F269" s="211"/>
      <c r="G269" s="211"/>
      <c r="H269" s="212"/>
      <c r="I269" s="212"/>
      <c r="J269" s="213"/>
      <c r="K269" s="213"/>
      <c r="L269" s="214"/>
      <c r="M269" s="213"/>
      <c r="N269" s="214"/>
      <c r="O269" s="213"/>
      <c r="P269" s="213"/>
      <c r="Q269" s="214"/>
      <c r="R269" s="214"/>
      <c r="S269" s="213"/>
      <c r="T269" s="213"/>
      <c r="U269" s="213"/>
      <c r="V269" s="213"/>
      <c r="W269" s="213"/>
      <c r="X269" s="213"/>
      <c r="Y269" s="213"/>
      <c r="Z269" s="213"/>
      <c r="AA269" s="213"/>
      <c r="AB269" s="213"/>
      <c r="AC269" s="213"/>
      <c r="AD269" s="213"/>
      <c r="AE269" s="213"/>
      <c r="AF269" s="213"/>
      <c r="AG269" s="208"/>
      <c r="AH269" s="208"/>
      <c r="AI269" s="208"/>
      <c r="AJ269" s="208"/>
      <c r="AK269" s="208"/>
    </row>
    <row r="270">
      <c r="A270" s="209"/>
      <c r="B270" s="210"/>
      <c r="C270" s="211"/>
      <c r="D270" s="211"/>
      <c r="E270" s="211"/>
      <c r="F270" s="211"/>
      <c r="G270" s="211"/>
      <c r="H270" s="212"/>
      <c r="I270" s="212"/>
      <c r="J270" s="213"/>
      <c r="K270" s="213"/>
      <c r="L270" s="214"/>
      <c r="M270" s="213"/>
      <c r="N270" s="214"/>
      <c r="O270" s="213"/>
      <c r="P270" s="213"/>
      <c r="Q270" s="214"/>
      <c r="R270" s="214"/>
      <c r="S270" s="213"/>
      <c r="T270" s="213"/>
      <c r="U270" s="213"/>
      <c r="V270" s="213"/>
      <c r="W270" s="213"/>
      <c r="X270" s="213"/>
      <c r="Y270" s="213"/>
      <c r="Z270" s="213"/>
      <c r="AA270" s="213"/>
      <c r="AB270" s="213"/>
      <c r="AC270" s="213"/>
      <c r="AD270" s="213"/>
      <c r="AE270" s="213"/>
      <c r="AF270" s="213"/>
      <c r="AG270" s="208"/>
      <c r="AH270" s="208"/>
      <c r="AI270" s="208"/>
      <c r="AJ270" s="208"/>
      <c r="AK270" s="208"/>
    </row>
    <row r="271">
      <c r="A271" s="209"/>
      <c r="B271" s="210"/>
      <c r="C271" s="211"/>
      <c r="D271" s="211"/>
      <c r="E271" s="211"/>
      <c r="F271" s="211"/>
      <c r="G271" s="211"/>
      <c r="H271" s="212"/>
      <c r="I271" s="212"/>
      <c r="J271" s="213"/>
      <c r="K271" s="213"/>
      <c r="L271" s="214"/>
      <c r="M271" s="213"/>
      <c r="N271" s="214"/>
      <c r="O271" s="213"/>
      <c r="P271" s="213"/>
      <c r="Q271" s="214"/>
      <c r="R271" s="214"/>
      <c r="S271" s="213"/>
      <c r="T271" s="213"/>
      <c r="U271" s="213"/>
      <c r="V271" s="213"/>
      <c r="W271" s="213"/>
      <c r="X271" s="213"/>
      <c r="Y271" s="213"/>
      <c r="Z271" s="213"/>
      <c r="AA271" s="213"/>
      <c r="AB271" s="213"/>
      <c r="AC271" s="213"/>
      <c r="AD271" s="213"/>
      <c r="AE271" s="213"/>
      <c r="AF271" s="213"/>
      <c r="AG271" s="208"/>
      <c r="AH271" s="208"/>
      <c r="AI271" s="208"/>
      <c r="AJ271" s="208"/>
      <c r="AK271" s="208"/>
    </row>
    <row r="272">
      <c r="A272" s="209"/>
      <c r="B272" s="210"/>
      <c r="C272" s="211"/>
      <c r="D272" s="211"/>
      <c r="E272" s="211"/>
      <c r="F272" s="211"/>
      <c r="G272" s="211"/>
      <c r="H272" s="212"/>
      <c r="I272" s="212"/>
      <c r="J272" s="213"/>
      <c r="K272" s="213"/>
      <c r="L272" s="214"/>
      <c r="M272" s="213"/>
      <c r="N272" s="214"/>
      <c r="O272" s="213"/>
      <c r="P272" s="213"/>
      <c r="Q272" s="214"/>
      <c r="R272" s="214"/>
      <c r="S272" s="213"/>
      <c r="T272" s="213"/>
      <c r="U272" s="213"/>
      <c r="V272" s="213"/>
      <c r="W272" s="213"/>
      <c r="X272" s="213"/>
      <c r="Y272" s="213"/>
      <c r="Z272" s="213"/>
      <c r="AA272" s="213"/>
      <c r="AB272" s="213"/>
      <c r="AC272" s="213"/>
      <c r="AD272" s="213"/>
      <c r="AE272" s="213"/>
      <c r="AF272" s="213"/>
      <c r="AG272" s="208"/>
      <c r="AH272" s="208"/>
      <c r="AI272" s="208"/>
      <c r="AJ272" s="208"/>
      <c r="AK272" s="208"/>
    </row>
    <row r="273">
      <c r="A273" s="209"/>
      <c r="B273" s="210"/>
      <c r="C273" s="211"/>
      <c r="D273" s="211"/>
      <c r="E273" s="211"/>
      <c r="F273" s="211"/>
      <c r="G273" s="211"/>
      <c r="H273" s="212"/>
      <c r="I273" s="212"/>
      <c r="J273" s="213"/>
      <c r="K273" s="213"/>
      <c r="L273" s="214"/>
      <c r="M273" s="213"/>
      <c r="N273" s="214"/>
      <c r="O273" s="213"/>
      <c r="P273" s="213"/>
      <c r="Q273" s="214"/>
      <c r="R273" s="214"/>
      <c r="S273" s="213"/>
      <c r="T273" s="213"/>
      <c r="U273" s="213"/>
      <c r="V273" s="213"/>
      <c r="W273" s="213"/>
      <c r="X273" s="213"/>
      <c r="Y273" s="213"/>
      <c r="Z273" s="213"/>
      <c r="AA273" s="213"/>
      <c r="AB273" s="213"/>
      <c r="AC273" s="213"/>
      <c r="AD273" s="213"/>
      <c r="AE273" s="213"/>
      <c r="AF273" s="213"/>
      <c r="AG273" s="208"/>
      <c r="AH273" s="208"/>
      <c r="AI273" s="208"/>
      <c r="AJ273" s="208"/>
      <c r="AK273" s="208"/>
    </row>
    <row r="274">
      <c r="A274" s="209"/>
      <c r="B274" s="210"/>
      <c r="C274" s="211"/>
      <c r="D274" s="211"/>
      <c r="E274" s="211"/>
      <c r="F274" s="211"/>
      <c r="G274" s="211"/>
      <c r="H274" s="212"/>
      <c r="I274" s="212"/>
      <c r="J274" s="213"/>
      <c r="K274" s="213"/>
      <c r="L274" s="214"/>
      <c r="M274" s="213"/>
      <c r="N274" s="214"/>
      <c r="O274" s="213"/>
      <c r="P274" s="213"/>
      <c r="Q274" s="214"/>
      <c r="R274" s="214"/>
      <c r="S274" s="213"/>
      <c r="T274" s="213"/>
      <c r="U274" s="213"/>
      <c r="V274" s="213"/>
      <c r="W274" s="213"/>
      <c r="X274" s="213"/>
      <c r="Y274" s="213"/>
      <c r="Z274" s="213"/>
      <c r="AA274" s="213"/>
      <c r="AB274" s="213"/>
      <c r="AC274" s="213"/>
      <c r="AD274" s="213"/>
      <c r="AE274" s="213"/>
      <c r="AF274" s="213"/>
      <c r="AG274" s="208"/>
      <c r="AH274" s="208"/>
      <c r="AI274" s="208"/>
      <c r="AJ274" s="208"/>
      <c r="AK274" s="208"/>
    </row>
    <row r="275">
      <c r="A275" s="209"/>
      <c r="B275" s="210"/>
      <c r="C275" s="211"/>
      <c r="D275" s="211"/>
      <c r="E275" s="211"/>
      <c r="F275" s="211"/>
      <c r="G275" s="211"/>
      <c r="H275" s="212"/>
      <c r="I275" s="212"/>
      <c r="J275" s="213"/>
      <c r="K275" s="213"/>
      <c r="L275" s="214"/>
      <c r="M275" s="213"/>
      <c r="N275" s="214"/>
      <c r="O275" s="213"/>
      <c r="P275" s="213"/>
      <c r="Q275" s="214"/>
      <c r="R275" s="214"/>
      <c r="S275" s="213"/>
      <c r="T275" s="213"/>
      <c r="U275" s="213"/>
      <c r="V275" s="213"/>
      <c r="W275" s="213"/>
      <c r="X275" s="213"/>
      <c r="Y275" s="213"/>
      <c r="Z275" s="213"/>
      <c r="AA275" s="213"/>
      <c r="AB275" s="213"/>
      <c r="AC275" s="213"/>
      <c r="AD275" s="213"/>
      <c r="AE275" s="213"/>
      <c r="AF275" s="213"/>
      <c r="AG275" s="208"/>
      <c r="AH275" s="208"/>
      <c r="AI275" s="208"/>
      <c r="AJ275" s="208"/>
      <c r="AK275" s="208"/>
    </row>
    <row r="276">
      <c r="A276" s="209"/>
      <c r="B276" s="210"/>
      <c r="C276" s="211"/>
      <c r="D276" s="211"/>
      <c r="E276" s="211"/>
      <c r="F276" s="211"/>
      <c r="G276" s="211"/>
      <c r="H276" s="212"/>
      <c r="I276" s="212"/>
      <c r="J276" s="213"/>
      <c r="K276" s="213"/>
      <c r="L276" s="214"/>
      <c r="M276" s="213"/>
      <c r="N276" s="214"/>
      <c r="O276" s="213"/>
      <c r="P276" s="213"/>
      <c r="Q276" s="214"/>
      <c r="R276" s="214"/>
      <c r="S276" s="213"/>
      <c r="T276" s="213"/>
      <c r="U276" s="213"/>
      <c r="V276" s="213"/>
      <c r="W276" s="213"/>
      <c r="X276" s="213"/>
      <c r="Y276" s="213"/>
      <c r="Z276" s="213"/>
      <c r="AA276" s="213"/>
      <c r="AB276" s="213"/>
      <c r="AC276" s="213"/>
      <c r="AD276" s="213"/>
      <c r="AE276" s="213"/>
      <c r="AF276" s="213"/>
      <c r="AG276" s="208"/>
      <c r="AH276" s="208"/>
      <c r="AI276" s="208"/>
      <c r="AJ276" s="208"/>
      <c r="AK276" s="208"/>
    </row>
    <row r="277">
      <c r="A277" s="209"/>
      <c r="B277" s="210"/>
      <c r="C277" s="211"/>
      <c r="D277" s="211"/>
      <c r="E277" s="211"/>
      <c r="F277" s="211"/>
      <c r="G277" s="211"/>
      <c r="H277" s="212"/>
      <c r="I277" s="212"/>
      <c r="J277" s="213"/>
      <c r="K277" s="213"/>
      <c r="L277" s="214"/>
      <c r="M277" s="213"/>
      <c r="N277" s="214"/>
      <c r="O277" s="213"/>
      <c r="P277" s="213"/>
      <c r="Q277" s="214"/>
      <c r="R277" s="214"/>
      <c r="S277" s="213"/>
      <c r="T277" s="213"/>
      <c r="U277" s="213"/>
      <c r="V277" s="213"/>
      <c r="W277" s="213"/>
      <c r="X277" s="213"/>
      <c r="Y277" s="213"/>
      <c r="Z277" s="213"/>
      <c r="AA277" s="213"/>
      <c r="AB277" s="213"/>
      <c r="AC277" s="213"/>
      <c r="AD277" s="213"/>
      <c r="AE277" s="213"/>
      <c r="AF277" s="213"/>
      <c r="AG277" s="208"/>
      <c r="AH277" s="208"/>
      <c r="AI277" s="208"/>
      <c r="AJ277" s="208"/>
      <c r="AK277" s="208"/>
    </row>
    <row r="278">
      <c r="A278" s="209"/>
      <c r="B278" s="210"/>
      <c r="C278" s="211"/>
      <c r="D278" s="211"/>
      <c r="E278" s="211"/>
      <c r="F278" s="211"/>
      <c r="G278" s="211"/>
      <c r="H278" s="212"/>
      <c r="I278" s="212"/>
      <c r="J278" s="213"/>
      <c r="K278" s="213"/>
      <c r="L278" s="214"/>
      <c r="M278" s="213"/>
      <c r="N278" s="214"/>
      <c r="O278" s="213"/>
      <c r="P278" s="213"/>
      <c r="Q278" s="214"/>
      <c r="R278" s="214"/>
      <c r="S278" s="213"/>
      <c r="T278" s="213"/>
      <c r="U278" s="213"/>
      <c r="V278" s="213"/>
      <c r="W278" s="213"/>
      <c r="X278" s="213"/>
      <c r="Y278" s="213"/>
      <c r="Z278" s="213"/>
      <c r="AA278" s="213"/>
      <c r="AB278" s="213"/>
      <c r="AC278" s="213"/>
      <c r="AD278" s="213"/>
      <c r="AE278" s="213"/>
      <c r="AF278" s="213"/>
      <c r="AG278" s="208"/>
      <c r="AH278" s="208"/>
      <c r="AI278" s="208"/>
      <c r="AJ278" s="208"/>
      <c r="AK278" s="208"/>
    </row>
    <row r="279">
      <c r="A279" s="209"/>
      <c r="B279" s="210"/>
      <c r="C279" s="211"/>
      <c r="D279" s="211"/>
      <c r="E279" s="211"/>
      <c r="F279" s="211"/>
      <c r="G279" s="211"/>
      <c r="H279" s="212"/>
      <c r="I279" s="212"/>
      <c r="J279" s="213"/>
      <c r="K279" s="213"/>
      <c r="L279" s="214"/>
      <c r="M279" s="213"/>
      <c r="N279" s="214"/>
      <c r="O279" s="213"/>
      <c r="P279" s="213"/>
      <c r="Q279" s="214"/>
      <c r="R279" s="214"/>
      <c r="S279" s="213"/>
      <c r="T279" s="213"/>
      <c r="U279" s="213"/>
      <c r="V279" s="213"/>
      <c r="W279" s="213"/>
      <c r="X279" s="213"/>
      <c r="Y279" s="213"/>
      <c r="Z279" s="213"/>
      <c r="AA279" s="213"/>
      <c r="AB279" s="213"/>
      <c r="AC279" s="213"/>
      <c r="AD279" s="213"/>
      <c r="AE279" s="213"/>
      <c r="AF279" s="213"/>
      <c r="AG279" s="208"/>
      <c r="AH279" s="208"/>
      <c r="AI279" s="208"/>
      <c r="AJ279" s="208"/>
      <c r="AK279" s="208"/>
    </row>
    <row r="280">
      <c r="A280" s="209"/>
      <c r="B280" s="210"/>
      <c r="C280" s="211"/>
      <c r="D280" s="211"/>
      <c r="E280" s="211"/>
      <c r="F280" s="211"/>
      <c r="G280" s="211"/>
      <c r="H280" s="212"/>
      <c r="I280" s="212"/>
      <c r="J280" s="213"/>
      <c r="K280" s="213"/>
      <c r="L280" s="214"/>
      <c r="M280" s="213"/>
      <c r="N280" s="214"/>
      <c r="O280" s="213"/>
      <c r="P280" s="213"/>
      <c r="Q280" s="214"/>
      <c r="R280" s="214"/>
      <c r="S280" s="213"/>
      <c r="T280" s="213"/>
      <c r="U280" s="213"/>
      <c r="V280" s="213"/>
      <c r="W280" s="213"/>
      <c r="X280" s="213"/>
      <c r="Y280" s="213"/>
      <c r="Z280" s="213"/>
      <c r="AA280" s="213"/>
      <c r="AB280" s="213"/>
      <c r="AC280" s="213"/>
      <c r="AD280" s="213"/>
      <c r="AE280" s="213"/>
      <c r="AF280" s="213"/>
      <c r="AG280" s="208"/>
      <c r="AH280" s="208"/>
      <c r="AI280" s="208"/>
      <c r="AJ280" s="208"/>
      <c r="AK280" s="208"/>
    </row>
    <row r="281">
      <c r="A281" s="209"/>
      <c r="B281" s="210"/>
      <c r="C281" s="211"/>
      <c r="D281" s="211"/>
      <c r="E281" s="211"/>
      <c r="F281" s="211"/>
      <c r="G281" s="211"/>
      <c r="H281" s="212"/>
      <c r="I281" s="212"/>
      <c r="J281" s="213"/>
      <c r="K281" s="213"/>
      <c r="L281" s="214"/>
      <c r="M281" s="213"/>
      <c r="N281" s="214"/>
      <c r="O281" s="213"/>
      <c r="P281" s="213"/>
      <c r="Q281" s="214"/>
      <c r="R281" s="214"/>
      <c r="S281" s="213"/>
      <c r="T281" s="213"/>
      <c r="U281" s="213"/>
      <c r="V281" s="213"/>
      <c r="W281" s="213"/>
      <c r="X281" s="213"/>
      <c r="Y281" s="213"/>
      <c r="Z281" s="213"/>
      <c r="AA281" s="213"/>
      <c r="AB281" s="213"/>
      <c r="AC281" s="213"/>
      <c r="AD281" s="213"/>
      <c r="AE281" s="213"/>
      <c r="AF281" s="213"/>
      <c r="AG281" s="208"/>
      <c r="AH281" s="208"/>
      <c r="AI281" s="208"/>
      <c r="AJ281" s="208"/>
      <c r="AK281" s="208"/>
    </row>
    <row r="282">
      <c r="A282" s="209"/>
      <c r="B282" s="210"/>
      <c r="C282" s="211"/>
      <c r="D282" s="211"/>
      <c r="E282" s="211"/>
      <c r="F282" s="211"/>
      <c r="G282" s="211"/>
      <c r="H282" s="212"/>
      <c r="I282" s="212"/>
      <c r="J282" s="213"/>
      <c r="K282" s="213"/>
      <c r="L282" s="214"/>
      <c r="M282" s="213"/>
      <c r="N282" s="214"/>
      <c r="O282" s="213"/>
      <c r="P282" s="213"/>
      <c r="Q282" s="214"/>
      <c r="R282" s="214"/>
      <c r="S282" s="213"/>
      <c r="T282" s="213"/>
      <c r="U282" s="213"/>
      <c r="V282" s="213"/>
      <c r="W282" s="213"/>
      <c r="X282" s="213"/>
      <c r="Y282" s="213"/>
      <c r="Z282" s="213"/>
      <c r="AA282" s="213"/>
      <c r="AB282" s="213"/>
      <c r="AC282" s="213"/>
      <c r="AD282" s="213"/>
      <c r="AE282" s="213"/>
      <c r="AF282" s="213"/>
      <c r="AG282" s="208"/>
      <c r="AH282" s="208"/>
      <c r="AI282" s="208"/>
      <c r="AJ282" s="208"/>
      <c r="AK282" s="208"/>
    </row>
    <row r="283">
      <c r="A283" s="209"/>
      <c r="B283" s="210"/>
      <c r="C283" s="211"/>
      <c r="D283" s="211"/>
      <c r="E283" s="211"/>
      <c r="F283" s="211"/>
      <c r="G283" s="211"/>
      <c r="H283" s="212"/>
      <c r="I283" s="212"/>
      <c r="J283" s="213"/>
      <c r="K283" s="213"/>
      <c r="L283" s="214"/>
      <c r="M283" s="213"/>
      <c r="N283" s="214"/>
      <c r="O283" s="213"/>
      <c r="P283" s="213"/>
      <c r="Q283" s="214"/>
      <c r="R283" s="214"/>
      <c r="S283" s="213"/>
      <c r="T283" s="213"/>
      <c r="U283" s="213"/>
      <c r="V283" s="213"/>
      <c r="W283" s="213"/>
      <c r="X283" s="213"/>
      <c r="Y283" s="213"/>
      <c r="Z283" s="213"/>
      <c r="AA283" s="213"/>
      <c r="AB283" s="213"/>
      <c r="AC283" s="213"/>
      <c r="AD283" s="213"/>
      <c r="AE283" s="213"/>
      <c r="AF283" s="213"/>
      <c r="AG283" s="208"/>
      <c r="AH283" s="208"/>
      <c r="AI283" s="208"/>
      <c r="AJ283" s="208"/>
      <c r="AK283" s="208"/>
    </row>
    <row r="284">
      <c r="A284" s="209"/>
      <c r="B284" s="210"/>
      <c r="C284" s="211"/>
      <c r="D284" s="211"/>
      <c r="E284" s="211"/>
      <c r="F284" s="211"/>
      <c r="G284" s="211"/>
      <c r="H284" s="212"/>
      <c r="I284" s="212"/>
      <c r="J284" s="213"/>
      <c r="K284" s="213"/>
      <c r="L284" s="214"/>
      <c r="M284" s="213"/>
      <c r="N284" s="214"/>
      <c r="O284" s="213"/>
      <c r="P284" s="213"/>
      <c r="Q284" s="214"/>
      <c r="R284" s="214"/>
      <c r="S284" s="213"/>
      <c r="T284" s="213"/>
      <c r="U284" s="213"/>
      <c r="V284" s="213"/>
      <c r="W284" s="213"/>
      <c r="X284" s="213"/>
      <c r="Y284" s="213"/>
      <c r="Z284" s="213"/>
      <c r="AA284" s="213"/>
      <c r="AB284" s="213"/>
      <c r="AC284" s="213"/>
      <c r="AD284" s="213"/>
      <c r="AE284" s="213"/>
      <c r="AF284" s="213"/>
      <c r="AG284" s="208"/>
      <c r="AH284" s="208"/>
      <c r="AI284" s="208"/>
      <c r="AJ284" s="208"/>
      <c r="AK284" s="208"/>
    </row>
    <row r="285">
      <c r="A285" s="209"/>
      <c r="B285" s="210"/>
      <c r="C285" s="211"/>
      <c r="D285" s="211"/>
      <c r="E285" s="211"/>
      <c r="F285" s="211"/>
      <c r="G285" s="211"/>
      <c r="H285" s="212"/>
      <c r="I285" s="212"/>
      <c r="J285" s="213"/>
      <c r="K285" s="213"/>
      <c r="L285" s="214"/>
      <c r="M285" s="213"/>
      <c r="N285" s="214"/>
      <c r="O285" s="213"/>
      <c r="P285" s="213"/>
      <c r="Q285" s="214"/>
      <c r="R285" s="214"/>
      <c r="S285" s="213"/>
      <c r="T285" s="213"/>
      <c r="U285" s="213"/>
      <c r="V285" s="213"/>
      <c r="W285" s="213"/>
      <c r="X285" s="213"/>
      <c r="Y285" s="213"/>
      <c r="Z285" s="213"/>
      <c r="AA285" s="213"/>
      <c r="AB285" s="213"/>
      <c r="AC285" s="213"/>
      <c r="AD285" s="213"/>
      <c r="AE285" s="213"/>
      <c r="AF285" s="213"/>
      <c r="AG285" s="208"/>
      <c r="AH285" s="208"/>
      <c r="AI285" s="208"/>
      <c r="AJ285" s="208"/>
      <c r="AK285" s="208"/>
    </row>
    <row r="286">
      <c r="A286" s="209"/>
      <c r="B286" s="210"/>
      <c r="C286" s="211"/>
      <c r="D286" s="211"/>
      <c r="E286" s="211"/>
      <c r="F286" s="211"/>
      <c r="G286" s="211"/>
      <c r="H286" s="212"/>
      <c r="I286" s="212"/>
      <c r="J286" s="213"/>
      <c r="K286" s="213"/>
      <c r="L286" s="214"/>
      <c r="M286" s="213"/>
      <c r="N286" s="214"/>
      <c r="O286" s="213"/>
      <c r="P286" s="213"/>
      <c r="Q286" s="214"/>
      <c r="R286" s="214"/>
      <c r="S286" s="213"/>
      <c r="T286" s="213"/>
      <c r="U286" s="213"/>
      <c r="V286" s="213"/>
      <c r="W286" s="213"/>
      <c r="X286" s="213"/>
      <c r="Y286" s="213"/>
      <c r="Z286" s="213"/>
      <c r="AA286" s="213"/>
      <c r="AB286" s="213"/>
      <c r="AC286" s="213"/>
      <c r="AD286" s="213"/>
      <c r="AE286" s="213"/>
      <c r="AF286" s="213"/>
      <c r="AG286" s="208"/>
      <c r="AH286" s="208"/>
      <c r="AI286" s="208"/>
      <c r="AJ286" s="208"/>
      <c r="AK286" s="208"/>
    </row>
    <row r="287">
      <c r="A287" s="209"/>
      <c r="B287" s="210"/>
      <c r="C287" s="211"/>
      <c r="D287" s="211"/>
      <c r="E287" s="211"/>
      <c r="F287" s="211"/>
      <c r="G287" s="211"/>
      <c r="H287" s="212"/>
      <c r="I287" s="212"/>
      <c r="J287" s="213"/>
      <c r="K287" s="213"/>
      <c r="L287" s="214"/>
      <c r="M287" s="213"/>
      <c r="N287" s="214"/>
      <c r="O287" s="213"/>
      <c r="P287" s="213"/>
      <c r="Q287" s="214"/>
      <c r="R287" s="214"/>
      <c r="S287" s="213"/>
      <c r="T287" s="213"/>
      <c r="U287" s="213"/>
      <c r="V287" s="213"/>
      <c r="W287" s="213"/>
      <c r="X287" s="213"/>
      <c r="Y287" s="213"/>
      <c r="Z287" s="213"/>
      <c r="AA287" s="213"/>
      <c r="AB287" s="213"/>
      <c r="AC287" s="213"/>
      <c r="AD287" s="213"/>
      <c r="AE287" s="213"/>
      <c r="AF287" s="213"/>
      <c r="AG287" s="208"/>
      <c r="AH287" s="208"/>
      <c r="AI287" s="208"/>
      <c r="AJ287" s="208"/>
      <c r="AK287" s="208"/>
    </row>
    <row r="288">
      <c r="A288" s="209"/>
      <c r="B288" s="210"/>
      <c r="C288" s="211"/>
      <c r="D288" s="211"/>
      <c r="E288" s="211"/>
      <c r="F288" s="211"/>
      <c r="G288" s="211"/>
      <c r="H288" s="212"/>
      <c r="I288" s="212"/>
      <c r="J288" s="213"/>
      <c r="K288" s="213"/>
      <c r="L288" s="214"/>
      <c r="M288" s="213"/>
      <c r="N288" s="214"/>
      <c r="O288" s="213"/>
      <c r="P288" s="213"/>
      <c r="Q288" s="214"/>
      <c r="R288" s="214"/>
      <c r="S288" s="213"/>
      <c r="T288" s="213"/>
      <c r="U288" s="213"/>
      <c r="V288" s="213"/>
      <c r="W288" s="213"/>
      <c r="X288" s="213"/>
      <c r="Y288" s="213"/>
      <c r="Z288" s="213"/>
      <c r="AA288" s="213"/>
      <c r="AB288" s="213"/>
      <c r="AC288" s="213"/>
      <c r="AD288" s="213"/>
      <c r="AE288" s="213"/>
      <c r="AF288" s="213"/>
      <c r="AG288" s="208"/>
      <c r="AH288" s="208"/>
      <c r="AI288" s="208"/>
      <c r="AJ288" s="208"/>
      <c r="AK288" s="208"/>
    </row>
    <row r="289">
      <c r="A289" s="209"/>
      <c r="B289" s="210"/>
      <c r="C289" s="211"/>
      <c r="D289" s="211"/>
      <c r="E289" s="211"/>
      <c r="F289" s="211"/>
      <c r="G289" s="211"/>
      <c r="H289" s="212"/>
      <c r="I289" s="212"/>
      <c r="J289" s="213"/>
      <c r="K289" s="213"/>
      <c r="L289" s="214"/>
      <c r="M289" s="213"/>
      <c r="N289" s="214"/>
      <c r="O289" s="213"/>
      <c r="P289" s="213"/>
      <c r="Q289" s="214"/>
      <c r="R289" s="214"/>
      <c r="S289" s="213"/>
      <c r="T289" s="213"/>
      <c r="U289" s="213"/>
      <c r="V289" s="213"/>
      <c r="W289" s="213"/>
      <c r="X289" s="213"/>
      <c r="Y289" s="213"/>
      <c r="Z289" s="213"/>
      <c r="AA289" s="213"/>
      <c r="AB289" s="213"/>
      <c r="AC289" s="213"/>
      <c r="AD289" s="213"/>
      <c r="AE289" s="213"/>
      <c r="AF289" s="213"/>
      <c r="AG289" s="208"/>
      <c r="AH289" s="208"/>
      <c r="AI289" s="208"/>
      <c r="AJ289" s="208"/>
      <c r="AK289" s="208"/>
    </row>
    <row r="290">
      <c r="A290" s="209"/>
      <c r="B290" s="210"/>
      <c r="C290" s="211"/>
      <c r="D290" s="211"/>
      <c r="E290" s="211"/>
      <c r="F290" s="211"/>
      <c r="G290" s="211"/>
      <c r="H290" s="212"/>
      <c r="I290" s="212"/>
      <c r="J290" s="213"/>
      <c r="K290" s="213"/>
      <c r="L290" s="214"/>
      <c r="M290" s="213"/>
      <c r="N290" s="214"/>
      <c r="O290" s="213"/>
      <c r="P290" s="213"/>
      <c r="Q290" s="214"/>
      <c r="R290" s="214"/>
      <c r="S290" s="213"/>
      <c r="T290" s="213"/>
      <c r="U290" s="213"/>
      <c r="V290" s="213"/>
      <c r="W290" s="213"/>
      <c r="X290" s="213"/>
      <c r="Y290" s="213"/>
      <c r="Z290" s="213"/>
      <c r="AA290" s="213"/>
      <c r="AB290" s="213"/>
      <c r="AC290" s="213"/>
      <c r="AD290" s="213"/>
      <c r="AE290" s="213"/>
      <c r="AF290" s="213"/>
      <c r="AG290" s="208"/>
      <c r="AH290" s="208"/>
      <c r="AI290" s="208"/>
      <c r="AJ290" s="208"/>
      <c r="AK290" s="208"/>
    </row>
    <row r="291">
      <c r="A291" s="209"/>
      <c r="B291" s="210"/>
      <c r="C291" s="211"/>
      <c r="D291" s="211"/>
      <c r="E291" s="211"/>
      <c r="F291" s="211"/>
      <c r="G291" s="211"/>
      <c r="H291" s="212"/>
      <c r="I291" s="212"/>
      <c r="J291" s="213"/>
      <c r="K291" s="213"/>
      <c r="L291" s="214"/>
      <c r="M291" s="213"/>
      <c r="N291" s="214"/>
      <c r="O291" s="213"/>
      <c r="P291" s="213"/>
      <c r="Q291" s="214"/>
      <c r="R291" s="214"/>
      <c r="S291" s="213"/>
      <c r="T291" s="213"/>
      <c r="U291" s="213"/>
      <c r="V291" s="213"/>
      <c r="W291" s="213"/>
      <c r="X291" s="213"/>
      <c r="Y291" s="213"/>
      <c r="Z291" s="213"/>
      <c r="AA291" s="213"/>
      <c r="AB291" s="213"/>
      <c r="AC291" s="213"/>
      <c r="AD291" s="213"/>
      <c r="AE291" s="213"/>
      <c r="AF291" s="213"/>
      <c r="AG291" s="208"/>
      <c r="AH291" s="208"/>
      <c r="AI291" s="208"/>
      <c r="AJ291" s="208"/>
      <c r="AK291" s="208"/>
    </row>
    <row r="292">
      <c r="A292" s="209"/>
      <c r="B292" s="210"/>
      <c r="C292" s="211"/>
      <c r="D292" s="211"/>
      <c r="E292" s="211"/>
      <c r="F292" s="211"/>
      <c r="G292" s="211"/>
      <c r="H292" s="212"/>
      <c r="I292" s="212"/>
      <c r="J292" s="213"/>
      <c r="K292" s="213"/>
      <c r="L292" s="214"/>
      <c r="M292" s="213"/>
      <c r="N292" s="214"/>
      <c r="O292" s="213"/>
      <c r="P292" s="213"/>
      <c r="Q292" s="214"/>
      <c r="R292" s="214"/>
      <c r="S292" s="213"/>
      <c r="T292" s="213"/>
      <c r="U292" s="213"/>
      <c r="V292" s="213"/>
      <c r="W292" s="213"/>
      <c r="X292" s="213"/>
      <c r="Y292" s="213"/>
      <c r="Z292" s="213"/>
      <c r="AA292" s="213"/>
      <c r="AB292" s="213"/>
      <c r="AC292" s="213"/>
      <c r="AD292" s="213"/>
      <c r="AE292" s="213"/>
      <c r="AF292" s="213"/>
      <c r="AG292" s="208"/>
      <c r="AH292" s="208"/>
      <c r="AI292" s="208"/>
      <c r="AJ292" s="208"/>
      <c r="AK292" s="208"/>
    </row>
    <row r="293">
      <c r="A293" s="209"/>
      <c r="B293" s="210"/>
      <c r="C293" s="211"/>
      <c r="D293" s="211"/>
      <c r="E293" s="211"/>
      <c r="F293" s="211"/>
      <c r="G293" s="211"/>
      <c r="H293" s="212"/>
      <c r="I293" s="212"/>
      <c r="J293" s="213"/>
      <c r="K293" s="213"/>
      <c r="L293" s="214"/>
      <c r="M293" s="213"/>
      <c r="N293" s="214"/>
      <c r="O293" s="213"/>
      <c r="P293" s="213"/>
      <c r="Q293" s="214"/>
      <c r="R293" s="214"/>
      <c r="S293" s="213"/>
      <c r="T293" s="213"/>
      <c r="U293" s="213"/>
      <c r="V293" s="213"/>
      <c r="W293" s="213"/>
      <c r="X293" s="213"/>
      <c r="Y293" s="213"/>
      <c r="Z293" s="213"/>
      <c r="AA293" s="213"/>
      <c r="AB293" s="213"/>
      <c r="AC293" s="213"/>
      <c r="AD293" s="213"/>
      <c r="AE293" s="213"/>
      <c r="AF293" s="213"/>
      <c r="AG293" s="208"/>
      <c r="AH293" s="208"/>
      <c r="AI293" s="208"/>
      <c r="AJ293" s="208"/>
      <c r="AK293" s="208"/>
    </row>
    <row r="294">
      <c r="A294" s="209"/>
      <c r="B294" s="210"/>
      <c r="C294" s="211"/>
      <c r="D294" s="211"/>
      <c r="E294" s="211"/>
      <c r="F294" s="211"/>
      <c r="G294" s="211"/>
      <c r="H294" s="212"/>
      <c r="I294" s="212"/>
      <c r="J294" s="213"/>
      <c r="K294" s="213"/>
      <c r="L294" s="214"/>
      <c r="M294" s="213"/>
      <c r="N294" s="214"/>
      <c r="O294" s="213"/>
      <c r="P294" s="213"/>
      <c r="Q294" s="214"/>
      <c r="R294" s="214"/>
      <c r="S294" s="213"/>
      <c r="T294" s="213"/>
      <c r="U294" s="213"/>
      <c r="V294" s="213"/>
      <c r="W294" s="213"/>
      <c r="X294" s="213"/>
      <c r="Y294" s="213"/>
      <c r="Z294" s="213"/>
      <c r="AA294" s="213"/>
      <c r="AB294" s="213"/>
      <c r="AC294" s="213"/>
      <c r="AD294" s="213"/>
      <c r="AE294" s="213"/>
      <c r="AF294" s="213"/>
      <c r="AG294" s="208"/>
      <c r="AH294" s="208"/>
      <c r="AI294" s="208"/>
      <c r="AJ294" s="208"/>
      <c r="AK294" s="208"/>
    </row>
    <row r="295">
      <c r="A295" s="209"/>
      <c r="B295" s="210"/>
      <c r="C295" s="211"/>
      <c r="D295" s="211"/>
      <c r="E295" s="211"/>
      <c r="F295" s="211"/>
      <c r="G295" s="211"/>
      <c r="H295" s="212"/>
      <c r="I295" s="212"/>
      <c r="J295" s="213"/>
      <c r="K295" s="213"/>
      <c r="L295" s="214"/>
      <c r="M295" s="213"/>
      <c r="N295" s="214"/>
      <c r="O295" s="213"/>
      <c r="P295" s="213"/>
      <c r="Q295" s="214"/>
      <c r="R295" s="214"/>
      <c r="S295" s="213"/>
      <c r="T295" s="213"/>
      <c r="U295" s="213"/>
      <c r="V295" s="213"/>
      <c r="W295" s="213"/>
      <c r="X295" s="213"/>
      <c r="Y295" s="213"/>
      <c r="Z295" s="213"/>
      <c r="AA295" s="213"/>
      <c r="AB295" s="213"/>
      <c r="AC295" s="213"/>
      <c r="AD295" s="213"/>
      <c r="AE295" s="213"/>
      <c r="AF295" s="213"/>
      <c r="AG295" s="208"/>
      <c r="AH295" s="208"/>
      <c r="AI295" s="208"/>
      <c r="AJ295" s="208"/>
      <c r="AK295" s="208"/>
    </row>
    <row r="296">
      <c r="A296" s="209"/>
      <c r="B296" s="210"/>
      <c r="C296" s="211"/>
      <c r="D296" s="211"/>
      <c r="E296" s="211"/>
      <c r="F296" s="211"/>
      <c r="G296" s="211"/>
      <c r="H296" s="212"/>
      <c r="I296" s="212"/>
      <c r="J296" s="213"/>
      <c r="K296" s="213"/>
      <c r="L296" s="214"/>
      <c r="M296" s="213"/>
      <c r="N296" s="214"/>
      <c r="O296" s="213"/>
      <c r="P296" s="213"/>
      <c r="Q296" s="214"/>
      <c r="R296" s="214"/>
      <c r="S296" s="213"/>
      <c r="T296" s="213"/>
      <c r="U296" s="213"/>
      <c r="V296" s="213"/>
      <c r="W296" s="213"/>
      <c r="X296" s="213"/>
      <c r="Y296" s="213"/>
      <c r="Z296" s="213"/>
      <c r="AA296" s="213"/>
      <c r="AB296" s="213"/>
      <c r="AC296" s="213"/>
      <c r="AD296" s="213"/>
      <c r="AE296" s="213"/>
      <c r="AF296" s="213"/>
      <c r="AG296" s="208"/>
      <c r="AH296" s="208"/>
      <c r="AI296" s="208"/>
      <c r="AJ296" s="208"/>
      <c r="AK296" s="208"/>
    </row>
    <row r="297">
      <c r="A297" s="209"/>
      <c r="B297" s="210"/>
      <c r="C297" s="211"/>
      <c r="D297" s="211"/>
      <c r="E297" s="211"/>
      <c r="F297" s="211"/>
      <c r="G297" s="211"/>
      <c r="H297" s="212"/>
      <c r="I297" s="212"/>
      <c r="J297" s="213"/>
      <c r="K297" s="213"/>
      <c r="L297" s="214"/>
      <c r="M297" s="213"/>
      <c r="N297" s="214"/>
      <c r="O297" s="213"/>
      <c r="P297" s="213"/>
      <c r="Q297" s="214"/>
      <c r="R297" s="214"/>
      <c r="S297" s="213"/>
      <c r="T297" s="213"/>
      <c r="U297" s="213"/>
      <c r="V297" s="213"/>
      <c r="W297" s="213"/>
      <c r="X297" s="213"/>
      <c r="Y297" s="213"/>
      <c r="Z297" s="213"/>
      <c r="AA297" s="213"/>
      <c r="AB297" s="213"/>
      <c r="AC297" s="213"/>
      <c r="AD297" s="213"/>
      <c r="AE297" s="213"/>
      <c r="AF297" s="213"/>
      <c r="AG297" s="208"/>
      <c r="AH297" s="208"/>
      <c r="AI297" s="208"/>
      <c r="AJ297" s="208"/>
      <c r="AK297" s="208"/>
    </row>
    <row r="298">
      <c r="A298" s="209"/>
      <c r="B298" s="210"/>
      <c r="C298" s="211"/>
      <c r="D298" s="211"/>
      <c r="E298" s="211"/>
      <c r="F298" s="211"/>
      <c r="G298" s="211"/>
      <c r="H298" s="212"/>
      <c r="I298" s="212"/>
      <c r="J298" s="213"/>
      <c r="K298" s="213"/>
      <c r="L298" s="214"/>
      <c r="M298" s="213"/>
      <c r="N298" s="214"/>
      <c r="O298" s="213"/>
      <c r="P298" s="213"/>
      <c r="Q298" s="214"/>
      <c r="R298" s="214"/>
      <c r="S298" s="213"/>
      <c r="T298" s="213"/>
      <c r="U298" s="213"/>
      <c r="V298" s="213"/>
      <c r="W298" s="213"/>
      <c r="X298" s="213"/>
      <c r="Y298" s="213"/>
      <c r="Z298" s="213"/>
      <c r="AA298" s="213"/>
      <c r="AB298" s="213"/>
      <c r="AC298" s="213"/>
      <c r="AD298" s="213"/>
      <c r="AE298" s="213"/>
      <c r="AF298" s="213"/>
      <c r="AG298" s="208"/>
      <c r="AH298" s="208"/>
      <c r="AI298" s="208"/>
      <c r="AJ298" s="208"/>
      <c r="AK298" s="208"/>
    </row>
    <row r="299">
      <c r="A299" s="209"/>
      <c r="B299" s="210"/>
      <c r="C299" s="211"/>
      <c r="D299" s="211"/>
      <c r="E299" s="211"/>
      <c r="F299" s="211"/>
      <c r="G299" s="211"/>
      <c r="H299" s="212"/>
      <c r="I299" s="212"/>
      <c r="J299" s="213"/>
      <c r="K299" s="213"/>
      <c r="L299" s="214"/>
      <c r="M299" s="213"/>
      <c r="N299" s="214"/>
      <c r="O299" s="213"/>
      <c r="P299" s="213"/>
      <c r="Q299" s="214"/>
      <c r="R299" s="214"/>
      <c r="S299" s="213"/>
      <c r="T299" s="213"/>
      <c r="U299" s="213"/>
      <c r="V299" s="213"/>
      <c r="W299" s="213"/>
      <c r="X299" s="213"/>
      <c r="Y299" s="213"/>
      <c r="Z299" s="213"/>
      <c r="AA299" s="213"/>
      <c r="AB299" s="213"/>
      <c r="AC299" s="213"/>
      <c r="AD299" s="213"/>
      <c r="AE299" s="213"/>
      <c r="AF299" s="213"/>
      <c r="AG299" s="208"/>
      <c r="AH299" s="208"/>
      <c r="AI299" s="208"/>
      <c r="AJ299" s="208"/>
      <c r="AK299" s="208"/>
    </row>
    <row r="300">
      <c r="A300" s="209"/>
      <c r="B300" s="210"/>
      <c r="C300" s="211"/>
      <c r="D300" s="211"/>
      <c r="E300" s="211"/>
      <c r="F300" s="211"/>
      <c r="G300" s="211"/>
      <c r="H300" s="212"/>
      <c r="I300" s="212"/>
      <c r="J300" s="213"/>
      <c r="K300" s="213"/>
      <c r="L300" s="214"/>
      <c r="M300" s="213"/>
      <c r="N300" s="214"/>
      <c r="O300" s="213"/>
      <c r="P300" s="213"/>
      <c r="Q300" s="214"/>
      <c r="R300" s="214"/>
      <c r="S300" s="213"/>
      <c r="T300" s="213"/>
      <c r="U300" s="213"/>
      <c r="V300" s="213"/>
      <c r="W300" s="213"/>
      <c r="X300" s="213"/>
      <c r="Y300" s="213"/>
      <c r="Z300" s="213"/>
      <c r="AA300" s="213"/>
      <c r="AB300" s="213"/>
      <c r="AC300" s="213"/>
      <c r="AD300" s="213"/>
      <c r="AE300" s="213"/>
      <c r="AF300" s="213"/>
      <c r="AG300" s="208"/>
      <c r="AH300" s="208"/>
      <c r="AI300" s="208"/>
      <c r="AJ300" s="208"/>
      <c r="AK300" s="208"/>
    </row>
    <row r="301">
      <c r="A301" s="209"/>
      <c r="B301" s="210"/>
      <c r="C301" s="211"/>
      <c r="D301" s="211"/>
      <c r="E301" s="211"/>
      <c r="F301" s="211"/>
      <c r="G301" s="211"/>
      <c r="H301" s="212"/>
      <c r="I301" s="212"/>
      <c r="J301" s="213"/>
      <c r="K301" s="213"/>
      <c r="L301" s="214"/>
      <c r="M301" s="213"/>
      <c r="N301" s="214"/>
      <c r="O301" s="213"/>
      <c r="P301" s="213"/>
      <c r="Q301" s="214"/>
      <c r="R301" s="214"/>
      <c r="S301" s="213"/>
      <c r="T301" s="213"/>
      <c r="U301" s="213"/>
      <c r="V301" s="213"/>
      <c r="W301" s="213"/>
      <c r="X301" s="213"/>
      <c r="Y301" s="213"/>
      <c r="Z301" s="213"/>
      <c r="AA301" s="213"/>
      <c r="AB301" s="213"/>
      <c r="AC301" s="213"/>
      <c r="AD301" s="213"/>
      <c r="AE301" s="213"/>
      <c r="AF301" s="213"/>
      <c r="AG301" s="208"/>
      <c r="AH301" s="208"/>
      <c r="AI301" s="208"/>
      <c r="AJ301" s="208"/>
      <c r="AK301" s="208"/>
    </row>
    <row r="302">
      <c r="A302" s="209"/>
      <c r="B302" s="210"/>
      <c r="C302" s="211"/>
      <c r="D302" s="211"/>
      <c r="E302" s="211"/>
      <c r="F302" s="211"/>
      <c r="G302" s="211"/>
      <c r="H302" s="212"/>
      <c r="I302" s="212"/>
      <c r="J302" s="213"/>
      <c r="K302" s="213"/>
      <c r="L302" s="214"/>
      <c r="M302" s="213"/>
      <c r="N302" s="214"/>
      <c r="O302" s="213"/>
      <c r="P302" s="213"/>
      <c r="Q302" s="214"/>
      <c r="R302" s="214"/>
      <c r="S302" s="213"/>
      <c r="T302" s="213"/>
      <c r="U302" s="213"/>
      <c r="V302" s="213"/>
      <c r="W302" s="213"/>
      <c r="X302" s="213"/>
      <c r="Y302" s="213"/>
      <c r="Z302" s="213"/>
      <c r="AA302" s="213"/>
      <c r="AB302" s="213"/>
      <c r="AC302" s="213"/>
      <c r="AD302" s="213"/>
      <c r="AE302" s="213"/>
      <c r="AF302" s="213"/>
      <c r="AG302" s="208"/>
      <c r="AH302" s="208"/>
      <c r="AI302" s="208"/>
      <c r="AJ302" s="208"/>
      <c r="AK302" s="208"/>
    </row>
    <row r="303">
      <c r="A303" s="209"/>
      <c r="B303" s="210"/>
      <c r="C303" s="211"/>
      <c r="D303" s="211"/>
      <c r="E303" s="211"/>
      <c r="F303" s="211"/>
      <c r="G303" s="211"/>
      <c r="H303" s="212"/>
      <c r="I303" s="212"/>
      <c r="J303" s="213"/>
      <c r="K303" s="213"/>
      <c r="L303" s="214"/>
      <c r="M303" s="213"/>
      <c r="N303" s="214"/>
      <c r="O303" s="213"/>
      <c r="P303" s="213"/>
      <c r="Q303" s="214"/>
      <c r="R303" s="214"/>
      <c r="S303" s="213"/>
      <c r="T303" s="213"/>
      <c r="U303" s="213"/>
      <c r="V303" s="213"/>
      <c r="W303" s="213"/>
      <c r="X303" s="213"/>
      <c r="Y303" s="213"/>
      <c r="Z303" s="213"/>
      <c r="AA303" s="213"/>
      <c r="AB303" s="213"/>
      <c r="AC303" s="213"/>
      <c r="AD303" s="213"/>
      <c r="AE303" s="213"/>
      <c r="AF303" s="213"/>
      <c r="AG303" s="208"/>
      <c r="AH303" s="208"/>
      <c r="AI303" s="208"/>
      <c r="AJ303" s="208"/>
      <c r="AK303" s="208"/>
    </row>
    <row r="304">
      <c r="A304" s="209"/>
      <c r="B304" s="210"/>
      <c r="C304" s="211"/>
      <c r="D304" s="211"/>
      <c r="E304" s="211"/>
      <c r="F304" s="211"/>
      <c r="G304" s="211"/>
      <c r="H304" s="212"/>
      <c r="I304" s="212"/>
      <c r="J304" s="213"/>
      <c r="K304" s="213"/>
      <c r="L304" s="214"/>
      <c r="M304" s="213"/>
      <c r="N304" s="214"/>
      <c r="O304" s="213"/>
      <c r="P304" s="213"/>
      <c r="Q304" s="214"/>
      <c r="R304" s="214"/>
      <c r="S304" s="213"/>
      <c r="T304" s="213"/>
      <c r="U304" s="213"/>
      <c r="V304" s="213"/>
      <c r="W304" s="213"/>
      <c r="X304" s="213"/>
      <c r="Y304" s="213"/>
      <c r="Z304" s="213"/>
      <c r="AA304" s="213"/>
      <c r="AB304" s="213"/>
      <c r="AC304" s="213"/>
      <c r="AD304" s="213"/>
      <c r="AE304" s="213"/>
      <c r="AF304" s="213"/>
      <c r="AG304" s="208"/>
      <c r="AH304" s="208"/>
      <c r="AI304" s="208"/>
      <c r="AJ304" s="208"/>
      <c r="AK304" s="208"/>
    </row>
    <row r="305">
      <c r="A305" s="209"/>
      <c r="B305" s="210"/>
      <c r="C305" s="211"/>
      <c r="D305" s="211"/>
      <c r="E305" s="211"/>
      <c r="F305" s="211"/>
      <c r="G305" s="211"/>
      <c r="H305" s="212"/>
      <c r="I305" s="212"/>
      <c r="J305" s="213"/>
      <c r="K305" s="213"/>
      <c r="L305" s="214"/>
      <c r="M305" s="213"/>
      <c r="N305" s="214"/>
      <c r="O305" s="213"/>
      <c r="P305" s="213"/>
      <c r="Q305" s="214"/>
      <c r="R305" s="214"/>
      <c r="S305" s="213"/>
      <c r="T305" s="213"/>
      <c r="U305" s="213"/>
      <c r="V305" s="213"/>
      <c r="W305" s="213"/>
      <c r="X305" s="213"/>
      <c r="Y305" s="213"/>
      <c r="Z305" s="213"/>
      <c r="AA305" s="213"/>
      <c r="AB305" s="213"/>
      <c r="AC305" s="213"/>
      <c r="AD305" s="213"/>
      <c r="AE305" s="213"/>
      <c r="AF305" s="213"/>
      <c r="AG305" s="208"/>
      <c r="AH305" s="208"/>
      <c r="AI305" s="208"/>
      <c r="AJ305" s="208"/>
      <c r="AK305" s="208"/>
    </row>
    <row r="306">
      <c r="A306" s="209"/>
      <c r="B306" s="210"/>
      <c r="C306" s="211"/>
      <c r="D306" s="211"/>
      <c r="E306" s="211"/>
      <c r="F306" s="211"/>
      <c r="G306" s="211"/>
      <c r="H306" s="212"/>
      <c r="I306" s="212"/>
      <c r="J306" s="213"/>
      <c r="K306" s="213"/>
      <c r="L306" s="214"/>
      <c r="M306" s="213"/>
      <c r="N306" s="214"/>
      <c r="O306" s="213"/>
      <c r="P306" s="213"/>
      <c r="Q306" s="214"/>
      <c r="R306" s="214"/>
      <c r="S306" s="213"/>
      <c r="T306" s="213"/>
      <c r="U306" s="213"/>
      <c r="V306" s="213"/>
      <c r="W306" s="213"/>
      <c r="X306" s="213"/>
      <c r="Y306" s="213"/>
      <c r="Z306" s="213"/>
      <c r="AA306" s="213"/>
      <c r="AB306" s="213"/>
      <c r="AC306" s="213"/>
      <c r="AD306" s="213"/>
      <c r="AE306" s="213"/>
      <c r="AF306" s="213"/>
      <c r="AG306" s="208"/>
      <c r="AH306" s="208"/>
      <c r="AI306" s="208"/>
      <c r="AJ306" s="208"/>
      <c r="AK306" s="208"/>
    </row>
    <row r="307">
      <c r="A307" s="209"/>
      <c r="B307" s="210"/>
      <c r="C307" s="211"/>
      <c r="D307" s="211"/>
      <c r="E307" s="211"/>
      <c r="F307" s="211"/>
      <c r="G307" s="211"/>
      <c r="H307" s="212"/>
      <c r="I307" s="212"/>
      <c r="J307" s="213"/>
      <c r="K307" s="213"/>
      <c r="L307" s="214"/>
      <c r="M307" s="213"/>
      <c r="N307" s="214"/>
      <c r="O307" s="213"/>
      <c r="P307" s="213"/>
      <c r="Q307" s="214"/>
      <c r="R307" s="214"/>
      <c r="S307" s="213"/>
      <c r="T307" s="213"/>
      <c r="U307" s="213"/>
      <c r="V307" s="213"/>
      <c r="W307" s="213"/>
      <c r="X307" s="213"/>
      <c r="Y307" s="213"/>
      <c r="Z307" s="213"/>
      <c r="AA307" s="213"/>
      <c r="AB307" s="213"/>
      <c r="AC307" s="213"/>
      <c r="AD307" s="213"/>
      <c r="AE307" s="213"/>
      <c r="AF307" s="213"/>
      <c r="AG307" s="208"/>
      <c r="AH307" s="208"/>
      <c r="AI307" s="208"/>
      <c r="AJ307" s="208"/>
      <c r="AK307" s="208"/>
    </row>
    <row r="308">
      <c r="A308" s="209"/>
      <c r="B308" s="210"/>
      <c r="C308" s="211"/>
      <c r="D308" s="211"/>
      <c r="E308" s="211"/>
      <c r="F308" s="211"/>
      <c r="G308" s="211"/>
      <c r="H308" s="212"/>
      <c r="I308" s="212"/>
      <c r="J308" s="213"/>
      <c r="K308" s="213"/>
      <c r="L308" s="214"/>
      <c r="M308" s="213"/>
      <c r="N308" s="214"/>
      <c r="O308" s="213"/>
      <c r="P308" s="213"/>
      <c r="Q308" s="214"/>
      <c r="R308" s="214"/>
      <c r="S308" s="213"/>
      <c r="T308" s="213"/>
      <c r="U308" s="213"/>
      <c r="V308" s="213"/>
      <c r="W308" s="213"/>
      <c r="X308" s="213"/>
      <c r="Y308" s="213"/>
      <c r="Z308" s="213"/>
      <c r="AA308" s="213"/>
      <c r="AB308" s="213"/>
      <c r="AC308" s="213"/>
      <c r="AD308" s="213"/>
      <c r="AE308" s="213"/>
      <c r="AF308" s="213"/>
      <c r="AG308" s="208"/>
      <c r="AH308" s="208"/>
      <c r="AI308" s="208"/>
      <c r="AJ308" s="208"/>
      <c r="AK308" s="208"/>
    </row>
    <row r="309">
      <c r="A309" s="209"/>
      <c r="B309" s="210"/>
      <c r="C309" s="211"/>
      <c r="D309" s="211"/>
      <c r="E309" s="211"/>
      <c r="F309" s="211"/>
      <c r="G309" s="211"/>
      <c r="H309" s="212"/>
      <c r="I309" s="212"/>
      <c r="J309" s="213"/>
      <c r="K309" s="213"/>
      <c r="L309" s="214"/>
      <c r="M309" s="213"/>
      <c r="N309" s="214"/>
      <c r="O309" s="213"/>
      <c r="P309" s="213"/>
      <c r="Q309" s="214"/>
      <c r="R309" s="214"/>
      <c r="S309" s="213"/>
      <c r="T309" s="213"/>
      <c r="U309" s="213"/>
      <c r="V309" s="213"/>
      <c r="W309" s="213"/>
      <c r="X309" s="213"/>
      <c r="Y309" s="213"/>
      <c r="Z309" s="213"/>
      <c r="AA309" s="213"/>
      <c r="AB309" s="213"/>
      <c r="AC309" s="213"/>
      <c r="AD309" s="213"/>
      <c r="AE309" s="213"/>
      <c r="AF309" s="213"/>
      <c r="AG309" s="208"/>
      <c r="AH309" s="208"/>
      <c r="AI309" s="208"/>
      <c r="AJ309" s="208"/>
      <c r="AK309" s="208"/>
    </row>
    <row r="310">
      <c r="A310" s="209"/>
      <c r="B310" s="210"/>
      <c r="C310" s="211"/>
      <c r="D310" s="211"/>
      <c r="E310" s="211"/>
      <c r="F310" s="211"/>
      <c r="G310" s="211"/>
      <c r="H310" s="212"/>
      <c r="I310" s="212"/>
      <c r="J310" s="213"/>
      <c r="K310" s="213"/>
      <c r="L310" s="214"/>
      <c r="M310" s="213"/>
      <c r="N310" s="214"/>
      <c r="O310" s="213"/>
      <c r="P310" s="213"/>
      <c r="Q310" s="214"/>
      <c r="R310" s="214"/>
      <c r="S310" s="213"/>
      <c r="T310" s="213"/>
      <c r="U310" s="213"/>
      <c r="V310" s="213"/>
      <c r="W310" s="213"/>
      <c r="X310" s="213"/>
      <c r="Y310" s="213"/>
      <c r="Z310" s="213"/>
      <c r="AA310" s="213"/>
      <c r="AB310" s="213"/>
      <c r="AC310" s="213"/>
      <c r="AD310" s="213"/>
      <c r="AE310" s="213"/>
      <c r="AF310" s="213"/>
      <c r="AG310" s="208"/>
      <c r="AH310" s="208"/>
      <c r="AI310" s="208"/>
      <c r="AJ310" s="208"/>
      <c r="AK310" s="208"/>
    </row>
    <row r="311">
      <c r="A311" s="209"/>
      <c r="B311" s="210"/>
      <c r="C311" s="211"/>
      <c r="D311" s="211"/>
      <c r="E311" s="211"/>
      <c r="F311" s="211"/>
      <c r="G311" s="211"/>
      <c r="H311" s="212"/>
      <c r="I311" s="212"/>
      <c r="J311" s="213"/>
      <c r="K311" s="213"/>
      <c r="L311" s="214"/>
      <c r="M311" s="213"/>
      <c r="N311" s="214"/>
      <c r="O311" s="213"/>
      <c r="P311" s="213"/>
      <c r="Q311" s="214"/>
      <c r="R311" s="214"/>
      <c r="S311" s="213"/>
      <c r="T311" s="213"/>
      <c r="U311" s="213"/>
      <c r="V311" s="213"/>
      <c r="W311" s="213"/>
      <c r="X311" s="213"/>
      <c r="Y311" s="213"/>
      <c r="Z311" s="213"/>
      <c r="AA311" s="213"/>
      <c r="AB311" s="213"/>
      <c r="AC311" s="213"/>
      <c r="AD311" s="213"/>
      <c r="AE311" s="213"/>
      <c r="AF311" s="213"/>
      <c r="AG311" s="208"/>
      <c r="AH311" s="208"/>
      <c r="AI311" s="208"/>
      <c r="AJ311" s="208"/>
      <c r="AK311" s="208"/>
    </row>
    <row r="312">
      <c r="A312" s="209"/>
      <c r="B312" s="210"/>
      <c r="C312" s="211"/>
      <c r="D312" s="211"/>
      <c r="E312" s="211"/>
      <c r="F312" s="211"/>
      <c r="G312" s="211"/>
      <c r="H312" s="212"/>
      <c r="I312" s="212"/>
      <c r="J312" s="213"/>
      <c r="K312" s="213"/>
      <c r="L312" s="214"/>
      <c r="M312" s="213"/>
      <c r="N312" s="214"/>
      <c r="O312" s="213"/>
      <c r="P312" s="213"/>
      <c r="Q312" s="214"/>
      <c r="R312" s="214"/>
      <c r="S312" s="213"/>
      <c r="T312" s="213"/>
      <c r="U312" s="213"/>
      <c r="V312" s="213"/>
      <c r="W312" s="213"/>
      <c r="X312" s="213"/>
      <c r="Y312" s="213"/>
      <c r="Z312" s="213"/>
      <c r="AA312" s="213"/>
      <c r="AB312" s="213"/>
      <c r="AC312" s="213"/>
      <c r="AD312" s="213"/>
      <c r="AE312" s="213"/>
      <c r="AF312" s="213"/>
      <c r="AG312" s="208"/>
      <c r="AH312" s="208"/>
      <c r="AI312" s="208"/>
      <c r="AJ312" s="208"/>
      <c r="AK312" s="208"/>
    </row>
    <row r="313">
      <c r="A313" s="209"/>
      <c r="B313" s="210"/>
      <c r="C313" s="211"/>
      <c r="D313" s="211"/>
      <c r="E313" s="211"/>
      <c r="F313" s="211"/>
      <c r="G313" s="211"/>
      <c r="H313" s="212"/>
      <c r="I313" s="212"/>
      <c r="J313" s="213"/>
      <c r="K313" s="213"/>
      <c r="L313" s="214"/>
      <c r="M313" s="213"/>
      <c r="N313" s="214"/>
      <c r="O313" s="213"/>
      <c r="P313" s="213"/>
      <c r="Q313" s="214"/>
      <c r="R313" s="214"/>
      <c r="S313" s="213"/>
      <c r="T313" s="213"/>
      <c r="U313" s="213"/>
      <c r="V313" s="213"/>
      <c r="W313" s="213"/>
      <c r="X313" s="213"/>
      <c r="Y313" s="213"/>
      <c r="Z313" s="213"/>
      <c r="AA313" s="213"/>
      <c r="AB313" s="213"/>
      <c r="AC313" s="213"/>
      <c r="AD313" s="213"/>
      <c r="AE313" s="213"/>
      <c r="AF313" s="213"/>
      <c r="AG313" s="208"/>
      <c r="AH313" s="208"/>
      <c r="AI313" s="208"/>
      <c r="AJ313" s="208"/>
      <c r="AK313" s="208"/>
    </row>
    <row r="314">
      <c r="A314" s="209"/>
      <c r="B314" s="210"/>
      <c r="C314" s="211"/>
      <c r="D314" s="211"/>
      <c r="E314" s="211"/>
      <c r="F314" s="211"/>
      <c r="G314" s="211"/>
      <c r="H314" s="212"/>
      <c r="I314" s="212"/>
      <c r="J314" s="213"/>
      <c r="K314" s="213"/>
      <c r="L314" s="214"/>
      <c r="M314" s="213"/>
      <c r="N314" s="214"/>
      <c r="O314" s="213"/>
      <c r="P314" s="213"/>
      <c r="Q314" s="214"/>
      <c r="R314" s="214"/>
      <c r="S314" s="213"/>
      <c r="T314" s="213"/>
      <c r="U314" s="213"/>
      <c r="V314" s="213"/>
      <c r="W314" s="213"/>
      <c r="X314" s="213"/>
      <c r="Y314" s="213"/>
      <c r="Z314" s="213"/>
      <c r="AA314" s="213"/>
      <c r="AB314" s="213"/>
      <c r="AC314" s="213"/>
      <c r="AD314" s="213"/>
      <c r="AE314" s="213"/>
      <c r="AF314" s="213"/>
      <c r="AG314" s="208"/>
      <c r="AH314" s="208"/>
      <c r="AI314" s="208"/>
      <c r="AJ314" s="208"/>
      <c r="AK314" s="208"/>
    </row>
    <row r="315">
      <c r="A315" s="209"/>
      <c r="B315" s="210"/>
      <c r="C315" s="211"/>
      <c r="D315" s="211"/>
      <c r="E315" s="211"/>
      <c r="F315" s="211"/>
      <c r="G315" s="211"/>
      <c r="H315" s="212"/>
      <c r="I315" s="212"/>
      <c r="J315" s="213"/>
      <c r="K315" s="213"/>
      <c r="L315" s="214"/>
      <c r="M315" s="213"/>
      <c r="N315" s="214"/>
      <c r="O315" s="213"/>
      <c r="P315" s="213"/>
      <c r="Q315" s="214"/>
      <c r="R315" s="214"/>
      <c r="S315" s="213"/>
      <c r="T315" s="213"/>
      <c r="U315" s="213"/>
      <c r="V315" s="213"/>
      <c r="W315" s="213"/>
      <c r="X315" s="213"/>
      <c r="Y315" s="213"/>
      <c r="Z315" s="213"/>
      <c r="AA315" s="213"/>
      <c r="AB315" s="213"/>
      <c r="AC315" s="213"/>
      <c r="AD315" s="213"/>
      <c r="AE315" s="213"/>
      <c r="AF315" s="213"/>
      <c r="AG315" s="208"/>
      <c r="AH315" s="208"/>
      <c r="AI315" s="208"/>
      <c r="AJ315" s="208"/>
      <c r="AK315" s="208"/>
    </row>
    <row r="316">
      <c r="A316" s="209"/>
      <c r="B316" s="210"/>
      <c r="C316" s="211"/>
      <c r="D316" s="211"/>
      <c r="E316" s="211"/>
      <c r="F316" s="211"/>
      <c r="G316" s="211"/>
      <c r="H316" s="212"/>
      <c r="I316" s="212"/>
      <c r="J316" s="213"/>
      <c r="K316" s="213"/>
      <c r="L316" s="214"/>
      <c r="M316" s="213"/>
      <c r="N316" s="214"/>
      <c r="O316" s="213"/>
      <c r="P316" s="213"/>
      <c r="Q316" s="214"/>
      <c r="R316" s="214"/>
      <c r="S316" s="213"/>
      <c r="T316" s="213"/>
      <c r="U316" s="213"/>
      <c r="V316" s="213"/>
      <c r="W316" s="213"/>
      <c r="X316" s="213"/>
      <c r="Y316" s="213"/>
      <c r="Z316" s="213"/>
      <c r="AA316" s="213"/>
      <c r="AB316" s="213"/>
      <c r="AC316" s="213"/>
      <c r="AD316" s="213"/>
      <c r="AE316" s="213"/>
      <c r="AF316" s="213"/>
      <c r="AG316" s="208"/>
      <c r="AH316" s="208"/>
      <c r="AI316" s="208"/>
      <c r="AJ316" s="208"/>
      <c r="AK316" s="208"/>
    </row>
    <row r="317">
      <c r="A317" s="209"/>
      <c r="B317" s="210"/>
      <c r="C317" s="211"/>
      <c r="D317" s="211"/>
      <c r="E317" s="211"/>
      <c r="F317" s="211"/>
      <c r="G317" s="211"/>
      <c r="H317" s="212"/>
      <c r="I317" s="212"/>
      <c r="J317" s="213"/>
      <c r="K317" s="213"/>
      <c r="L317" s="214"/>
      <c r="M317" s="213"/>
      <c r="N317" s="214"/>
      <c r="O317" s="213"/>
      <c r="P317" s="213"/>
      <c r="Q317" s="214"/>
      <c r="R317" s="214"/>
      <c r="S317" s="213"/>
      <c r="T317" s="213"/>
      <c r="U317" s="213"/>
      <c r="V317" s="213"/>
      <c r="W317" s="213"/>
      <c r="X317" s="213"/>
      <c r="Y317" s="213"/>
      <c r="Z317" s="213"/>
      <c r="AA317" s="213"/>
      <c r="AB317" s="213"/>
      <c r="AC317" s="213"/>
      <c r="AD317" s="213"/>
      <c r="AE317" s="213"/>
      <c r="AF317" s="213"/>
      <c r="AG317" s="208"/>
      <c r="AH317" s="208"/>
      <c r="AI317" s="208"/>
      <c r="AJ317" s="208"/>
      <c r="AK317" s="208"/>
    </row>
    <row r="318">
      <c r="A318" s="209"/>
      <c r="B318" s="210"/>
      <c r="C318" s="211"/>
      <c r="D318" s="211"/>
      <c r="E318" s="211"/>
      <c r="F318" s="211"/>
      <c r="G318" s="211"/>
      <c r="H318" s="212"/>
      <c r="I318" s="212"/>
      <c r="J318" s="213"/>
      <c r="K318" s="213"/>
      <c r="L318" s="214"/>
      <c r="M318" s="213"/>
      <c r="N318" s="214"/>
      <c r="O318" s="213"/>
      <c r="P318" s="213"/>
      <c r="Q318" s="214"/>
      <c r="R318" s="214"/>
      <c r="S318" s="213"/>
      <c r="T318" s="213"/>
      <c r="U318" s="213"/>
      <c r="V318" s="213"/>
      <c r="W318" s="213"/>
      <c r="X318" s="213"/>
      <c r="Y318" s="213"/>
      <c r="Z318" s="213"/>
      <c r="AA318" s="213"/>
      <c r="AB318" s="213"/>
      <c r="AC318" s="213"/>
      <c r="AD318" s="213"/>
      <c r="AE318" s="213"/>
      <c r="AF318" s="213"/>
      <c r="AG318" s="208"/>
      <c r="AH318" s="208"/>
      <c r="AI318" s="208"/>
      <c r="AJ318" s="208"/>
      <c r="AK318" s="208"/>
    </row>
    <row r="319">
      <c r="A319" s="209"/>
      <c r="B319" s="210"/>
      <c r="C319" s="211"/>
      <c r="D319" s="211"/>
      <c r="E319" s="211"/>
      <c r="F319" s="211"/>
      <c r="G319" s="211"/>
      <c r="H319" s="212"/>
      <c r="I319" s="212"/>
      <c r="J319" s="213"/>
      <c r="K319" s="213"/>
      <c r="L319" s="214"/>
      <c r="M319" s="213"/>
      <c r="N319" s="214"/>
      <c r="O319" s="213"/>
      <c r="P319" s="213"/>
      <c r="Q319" s="214"/>
      <c r="R319" s="214"/>
      <c r="S319" s="213"/>
      <c r="T319" s="213"/>
      <c r="U319" s="213"/>
      <c r="V319" s="213"/>
      <c r="W319" s="213"/>
      <c r="X319" s="213"/>
      <c r="Y319" s="213"/>
      <c r="Z319" s="213"/>
      <c r="AA319" s="213"/>
      <c r="AB319" s="213"/>
      <c r="AC319" s="213"/>
      <c r="AD319" s="213"/>
      <c r="AE319" s="213"/>
      <c r="AF319" s="213"/>
      <c r="AG319" s="208"/>
      <c r="AH319" s="208"/>
      <c r="AI319" s="208"/>
      <c r="AJ319" s="208"/>
      <c r="AK319" s="208"/>
    </row>
    <row r="320">
      <c r="A320" s="209"/>
      <c r="B320" s="210"/>
      <c r="C320" s="211"/>
      <c r="D320" s="211"/>
      <c r="E320" s="211"/>
      <c r="F320" s="211"/>
      <c r="G320" s="211"/>
      <c r="H320" s="212"/>
      <c r="I320" s="212"/>
      <c r="J320" s="213"/>
      <c r="K320" s="213"/>
      <c r="L320" s="214"/>
      <c r="M320" s="213"/>
      <c r="N320" s="214"/>
      <c r="O320" s="213"/>
      <c r="P320" s="213"/>
      <c r="Q320" s="214"/>
      <c r="R320" s="214"/>
      <c r="S320" s="213"/>
      <c r="T320" s="213"/>
      <c r="U320" s="213"/>
      <c r="V320" s="213"/>
      <c r="W320" s="213"/>
      <c r="X320" s="213"/>
      <c r="Y320" s="213"/>
      <c r="Z320" s="213"/>
      <c r="AA320" s="213"/>
      <c r="AB320" s="213"/>
      <c r="AC320" s="213"/>
      <c r="AD320" s="213"/>
      <c r="AE320" s="213"/>
      <c r="AF320" s="213"/>
      <c r="AG320" s="208"/>
      <c r="AH320" s="208"/>
      <c r="AI320" s="208"/>
      <c r="AJ320" s="208"/>
      <c r="AK320" s="208"/>
    </row>
    <row r="321">
      <c r="A321" s="209"/>
      <c r="B321" s="210"/>
      <c r="C321" s="211"/>
      <c r="D321" s="211"/>
      <c r="E321" s="211"/>
      <c r="F321" s="211"/>
      <c r="G321" s="211"/>
      <c r="H321" s="212"/>
      <c r="I321" s="212"/>
      <c r="J321" s="213"/>
      <c r="K321" s="213"/>
      <c r="L321" s="214"/>
      <c r="M321" s="213"/>
      <c r="N321" s="214"/>
      <c r="O321" s="213"/>
      <c r="P321" s="213"/>
      <c r="Q321" s="214"/>
      <c r="R321" s="214"/>
      <c r="S321" s="213"/>
      <c r="T321" s="213"/>
      <c r="U321" s="213"/>
      <c r="V321" s="213"/>
      <c r="W321" s="213"/>
      <c r="X321" s="213"/>
      <c r="Y321" s="213"/>
      <c r="Z321" s="213"/>
      <c r="AA321" s="213"/>
      <c r="AB321" s="213"/>
      <c r="AC321" s="213"/>
      <c r="AD321" s="213"/>
      <c r="AE321" s="213"/>
      <c r="AF321" s="213"/>
      <c r="AG321" s="208"/>
      <c r="AH321" s="208"/>
      <c r="AI321" s="208"/>
      <c r="AJ321" s="208"/>
      <c r="AK321" s="208"/>
    </row>
    <row r="322">
      <c r="A322" s="209"/>
      <c r="B322" s="210"/>
      <c r="C322" s="211"/>
      <c r="D322" s="211"/>
      <c r="E322" s="211"/>
      <c r="F322" s="211"/>
      <c r="G322" s="211"/>
      <c r="H322" s="212"/>
      <c r="I322" s="212"/>
      <c r="J322" s="213"/>
      <c r="K322" s="213"/>
      <c r="L322" s="214"/>
      <c r="M322" s="213"/>
      <c r="N322" s="214"/>
      <c r="O322" s="213"/>
      <c r="P322" s="213"/>
      <c r="Q322" s="214"/>
      <c r="R322" s="214"/>
      <c r="S322" s="213"/>
      <c r="T322" s="213"/>
      <c r="U322" s="213"/>
      <c r="V322" s="213"/>
      <c r="W322" s="213"/>
      <c r="X322" s="213"/>
      <c r="Y322" s="213"/>
      <c r="Z322" s="213"/>
      <c r="AA322" s="213"/>
      <c r="AB322" s="213"/>
      <c r="AC322" s="213"/>
      <c r="AD322" s="213"/>
      <c r="AE322" s="213"/>
      <c r="AF322" s="213"/>
      <c r="AG322" s="208"/>
      <c r="AH322" s="208"/>
      <c r="AI322" s="208"/>
      <c r="AJ322" s="208"/>
      <c r="AK322" s="208"/>
    </row>
    <row r="323">
      <c r="A323" s="209"/>
      <c r="B323" s="210"/>
      <c r="C323" s="211"/>
      <c r="D323" s="211"/>
      <c r="E323" s="211"/>
      <c r="F323" s="211"/>
      <c r="G323" s="211"/>
      <c r="H323" s="212"/>
      <c r="I323" s="212"/>
      <c r="J323" s="213"/>
      <c r="K323" s="213"/>
      <c r="L323" s="214"/>
      <c r="M323" s="213"/>
      <c r="N323" s="214"/>
      <c r="O323" s="213"/>
      <c r="P323" s="213"/>
      <c r="Q323" s="214"/>
      <c r="R323" s="214"/>
      <c r="S323" s="213"/>
      <c r="T323" s="213"/>
      <c r="U323" s="213"/>
      <c r="V323" s="213"/>
      <c r="W323" s="213"/>
      <c r="X323" s="213"/>
      <c r="Y323" s="213"/>
      <c r="Z323" s="213"/>
      <c r="AA323" s="213"/>
      <c r="AB323" s="213"/>
      <c r="AC323" s="213"/>
      <c r="AD323" s="213"/>
      <c r="AE323" s="213"/>
      <c r="AF323" s="213"/>
      <c r="AG323" s="208"/>
      <c r="AH323" s="208"/>
      <c r="AI323" s="208"/>
      <c r="AJ323" s="208"/>
      <c r="AK323" s="208"/>
    </row>
    <row r="324">
      <c r="A324" s="209"/>
      <c r="B324" s="210"/>
      <c r="C324" s="211"/>
      <c r="D324" s="211"/>
      <c r="E324" s="211"/>
      <c r="F324" s="211"/>
      <c r="G324" s="211"/>
      <c r="H324" s="212"/>
      <c r="I324" s="212"/>
      <c r="J324" s="213"/>
      <c r="K324" s="213"/>
      <c r="L324" s="214"/>
      <c r="M324" s="213"/>
      <c r="N324" s="214"/>
      <c r="O324" s="213"/>
      <c r="P324" s="213"/>
      <c r="Q324" s="214"/>
      <c r="R324" s="214"/>
      <c r="S324" s="213"/>
      <c r="T324" s="213"/>
      <c r="U324" s="213"/>
      <c r="V324" s="213"/>
      <c r="W324" s="213"/>
      <c r="X324" s="213"/>
      <c r="Y324" s="213"/>
      <c r="Z324" s="213"/>
      <c r="AA324" s="213"/>
      <c r="AB324" s="213"/>
      <c r="AC324" s="213"/>
      <c r="AD324" s="213"/>
      <c r="AE324" s="213"/>
      <c r="AF324" s="213"/>
      <c r="AG324" s="208"/>
      <c r="AH324" s="208"/>
      <c r="AI324" s="208"/>
      <c r="AJ324" s="208"/>
      <c r="AK324" s="208"/>
    </row>
    <row r="325">
      <c r="A325" s="209"/>
      <c r="B325" s="210"/>
      <c r="C325" s="211"/>
      <c r="D325" s="211"/>
      <c r="E325" s="211"/>
      <c r="F325" s="211"/>
      <c r="G325" s="211"/>
      <c r="H325" s="212"/>
      <c r="I325" s="212"/>
      <c r="J325" s="213"/>
      <c r="K325" s="213"/>
      <c r="L325" s="214"/>
      <c r="M325" s="213"/>
      <c r="N325" s="214"/>
      <c r="O325" s="213"/>
      <c r="P325" s="213"/>
      <c r="Q325" s="214"/>
      <c r="R325" s="214"/>
      <c r="S325" s="213"/>
      <c r="T325" s="213"/>
      <c r="U325" s="213"/>
      <c r="V325" s="213"/>
      <c r="W325" s="213"/>
      <c r="X325" s="213"/>
      <c r="Y325" s="213"/>
      <c r="Z325" s="213"/>
      <c r="AA325" s="213"/>
      <c r="AB325" s="213"/>
      <c r="AC325" s="213"/>
      <c r="AD325" s="213"/>
      <c r="AE325" s="213"/>
      <c r="AF325" s="213"/>
      <c r="AG325" s="208"/>
      <c r="AH325" s="208"/>
      <c r="AI325" s="208"/>
      <c r="AJ325" s="208"/>
      <c r="AK325" s="208"/>
    </row>
    <row r="326">
      <c r="A326" s="209"/>
      <c r="B326" s="210"/>
      <c r="C326" s="211"/>
      <c r="D326" s="211"/>
      <c r="E326" s="211"/>
      <c r="F326" s="211"/>
      <c r="G326" s="211"/>
      <c r="H326" s="212"/>
      <c r="I326" s="212"/>
      <c r="J326" s="213"/>
      <c r="K326" s="213"/>
      <c r="L326" s="214"/>
      <c r="M326" s="213"/>
      <c r="N326" s="214"/>
      <c r="O326" s="213"/>
      <c r="P326" s="213"/>
      <c r="Q326" s="214"/>
      <c r="R326" s="214"/>
      <c r="S326" s="213"/>
      <c r="T326" s="213"/>
      <c r="U326" s="213"/>
      <c r="V326" s="213"/>
      <c r="W326" s="213"/>
      <c r="X326" s="213"/>
      <c r="Y326" s="213"/>
      <c r="Z326" s="213"/>
      <c r="AA326" s="213"/>
      <c r="AB326" s="213"/>
      <c r="AC326" s="213"/>
      <c r="AD326" s="213"/>
      <c r="AE326" s="213"/>
      <c r="AF326" s="213"/>
      <c r="AG326" s="208"/>
      <c r="AH326" s="208"/>
      <c r="AI326" s="208"/>
      <c r="AJ326" s="208"/>
      <c r="AK326" s="208"/>
    </row>
    <row r="327">
      <c r="A327" s="209"/>
      <c r="B327" s="210"/>
      <c r="C327" s="211"/>
      <c r="D327" s="211"/>
      <c r="E327" s="211"/>
      <c r="F327" s="211"/>
      <c r="G327" s="211"/>
      <c r="H327" s="212"/>
      <c r="I327" s="212"/>
      <c r="J327" s="213"/>
      <c r="K327" s="213"/>
      <c r="L327" s="214"/>
      <c r="M327" s="213"/>
      <c r="N327" s="214"/>
      <c r="O327" s="213"/>
      <c r="P327" s="213"/>
      <c r="Q327" s="214"/>
      <c r="R327" s="214"/>
      <c r="S327" s="213"/>
      <c r="T327" s="213"/>
      <c r="U327" s="213"/>
      <c r="V327" s="213"/>
      <c r="W327" s="213"/>
      <c r="X327" s="213"/>
      <c r="Y327" s="213"/>
      <c r="Z327" s="213"/>
      <c r="AA327" s="213"/>
      <c r="AB327" s="213"/>
      <c r="AC327" s="213"/>
      <c r="AD327" s="213"/>
      <c r="AE327" s="213"/>
      <c r="AF327" s="213"/>
      <c r="AG327" s="208"/>
      <c r="AH327" s="208"/>
      <c r="AI327" s="208"/>
      <c r="AJ327" s="208"/>
      <c r="AK327" s="208"/>
    </row>
    <row r="328">
      <c r="A328" s="209"/>
      <c r="B328" s="210"/>
      <c r="C328" s="211"/>
      <c r="D328" s="211"/>
      <c r="E328" s="211"/>
      <c r="F328" s="211"/>
      <c r="G328" s="211"/>
      <c r="H328" s="212"/>
      <c r="I328" s="212"/>
      <c r="J328" s="213"/>
      <c r="K328" s="213"/>
      <c r="L328" s="214"/>
      <c r="M328" s="213"/>
      <c r="N328" s="214"/>
      <c r="O328" s="213"/>
      <c r="P328" s="213"/>
      <c r="Q328" s="214"/>
      <c r="R328" s="214"/>
      <c r="S328" s="213"/>
      <c r="T328" s="213"/>
      <c r="U328" s="213"/>
      <c r="V328" s="213"/>
      <c r="W328" s="213"/>
      <c r="X328" s="213"/>
      <c r="Y328" s="213"/>
      <c r="Z328" s="213"/>
      <c r="AA328" s="213"/>
      <c r="AB328" s="213"/>
      <c r="AC328" s="213"/>
      <c r="AD328" s="213"/>
      <c r="AE328" s="213"/>
      <c r="AF328" s="213"/>
      <c r="AG328" s="208"/>
      <c r="AH328" s="208"/>
      <c r="AI328" s="208"/>
      <c r="AJ328" s="208"/>
      <c r="AK328" s="208"/>
    </row>
    <row r="329">
      <c r="A329" s="209"/>
      <c r="B329" s="210"/>
      <c r="C329" s="211"/>
      <c r="D329" s="211"/>
      <c r="E329" s="211"/>
      <c r="F329" s="211"/>
      <c r="G329" s="211"/>
      <c r="H329" s="212"/>
      <c r="I329" s="212"/>
      <c r="J329" s="213"/>
      <c r="K329" s="213"/>
      <c r="L329" s="214"/>
      <c r="M329" s="213"/>
      <c r="N329" s="214"/>
      <c r="O329" s="213"/>
      <c r="P329" s="213"/>
      <c r="Q329" s="214"/>
      <c r="R329" s="214"/>
      <c r="S329" s="213"/>
      <c r="T329" s="213"/>
      <c r="U329" s="213"/>
      <c r="V329" s="213"/>
      <c r="W329" s="213"/>
      <c r="X329" s="213"/>
      <c r="Y329" s="213"/>
      <c r="Z329" s="213"/>
      <c r="AA329" s="213"/>
      <c r="AB329" s="213"/>
      <c r="AC329" s="213"/>
      <c r="AD329" s="213"/>
      <c r="AE329" s="213"/>
      <c r="AF329" s="213"/>
      <c r="AG329" s="208"/>
      <c r="AH329" s="208"/>
      <c r="AI329" s="208"/>
      <c r="AJ329" s="208"/>
      <c r="AK329" s="208"/>
    </row>
    <row r="330">
      <c r="A330" s="209"/>
      <c r="B330" s="210"/>
      <c r="C330" s="211"/>
      <c r="D330" s="211"/>
      <c r="E330" s="211"/>
      <c r="F330" s="211"/>
      <c r="G330" s="211"/>
      <c r="H330" s="212"/>
      <c r="I330" s="212"/>
      <c r="J330" s="213"/>
      <c r="K330" s="213"/>
      <c r="L330" s="214"/>
      <c r="M330" s="213"/>
      <c r="N330" s="214"/>
      <c r="O330" s="213"/>
      <c r="P330" s="213"/>
      <c r="Q330" s="214"/>
      <c r="R330" s="214"/>
      <c r="S330" s="213"/>
      <c r="T330" s="213"/>
      <c r="U330" s="213"/>
      <c r="V330" s="213"/>
      <c r="W330" s="213"/>
      <c r="X330" s="213"/>
      <c r="Y330" s="213"/>
      <c r="Z330" s="213"/>
      <c r="AA330" s="213"/>
      <c r="AB330" s="213"/>
      <c r="AC330" s="213"/>
      <c r="AD330" s="213"/>
      <c r="AE330" s="213"/>
      <c r="AF330" s="213"/>
      <c r="AG330" s="208"/>
      <c r="AH330" s="208"/>
      <c r="AI330" s="208"/>
      <c r="AJ330" s="208"/>
      <c r="AK330" s="208"/>
    </row>
    <row r="331">
      <c r="A331" s="209"/>
      <c r="B331" s="210"/>
      <c r="C331" s="211"/>
      <c r="D331" s="211"/>
      <c r="E331" s="211"/>
      <c r="F331" s="211"/>
      <c r="G331" s="211"/>
      <c r="H331" s="212"/>
      <c r="I331" s="212"/>
      <c r="J331" s="213"/>
      <c r="K331" s="213"/>
      <c r="L331" s="214"/>
      <c r="M331" s="213"/>
      <c r="N331" s="214"/>
      <c r="O331" s="213"/>
      <c r="P331" s="213"/>
      <c r="Q331" s="214"/>
      <c r="R331" s="214"/>
      <c r="S331" s="213"/>
      <c r="T331" s="213"/>
      <c r="U331" s="213"/>
      <c r="V331" s="213"/>
      <c r="W331" s="213"/>
      <c r="X331" s="213"/>
      <c r="Y331" s="213"/>
      <c r="Z331" s="213"/>
      <c r="AA331" s="213"/>
      <c r="AB331" s="213"/>
      <c r="AC331" s="213"/>
      <c r="AD331" s="213"/>
      <c r="AE331" s="213"/>
      <c r="AF331" s="213"/>
      <c r="AG331" s="208"/>
      <c r="AH331" s="208"/>
      <c r="AI331" s="208"/>
      <c r="AJ331" s="208"/>
      <c r="AK331" s="208"/>
    </row>
    <row r="332">
      <c r="A332" s="209"/>
      <c r="B332" s="210"/>
      <c r="C332" s="211"/>
      <c r="D332" s="211"/>
      <c r="E332" s="211"/>
      <c r="F332" s="211"/>
      <c r="G332" s="211"/>
      <c r="H332" s="212"/>
      <c r="I332" s="212"/>
      <c r="J332" s="213"/>
      <c r="K332" s="213"/>
      <c r="L332" s="214"/>
      <c r="M332" s="213"/>
      <c r="N332" s="214"/>
      <c r="O332" s="213"/>
      <c r="P332" s="213"/>
      <c r="Q332" s="214"/>
      <c r="R332" s="214"/>
      <c r="S332" s="213"/>
      <c r="T332" s="213"/>
      <c r="U332" s="213"/>
      <c r="V332" s="213"/>
      <c r="W332" s="213"/>
      <c r="X332" s="213"/>
      <c r="Y332" s="213"/>
      <c r="Z332" s="213"/>
      <c r="AA332" s="213"/>
      <c r="AB332" s="213"/>
      <c r="AC332" s="213"/>
      <c r="AD332" s="213"/>
      <c r="AE332" s="213"/>
      <c r="AF332" s="213"/>
      <c r="AG332" s="208"/>
      <c r="AH332" s="208"/>
      <c r="AI332" s="208"/>
      <c r="AJ332" s="208"/>
      <c r="AK332" s="208"/>
    </row>
    <row r="333">
      <c r="A333" s="209"/>
      <c r="B333" s="210"/>
      <c r="C333" s="211"/>
      <c r="D333" s="211"/>
      <c r="E333" s="211"/>
      <c r="F333" s="211"/>
      <c r="G333" s="211"/>
      <c r="H333" s="212"/>
      <c r="I333" s="212"/>
      <c r="J333" s="213"/>
      <c r="K333" s="213"/>
      <c r="L333" s="214"/>
      <c r="M333" s="213"/>
      <c r="N333" s="214"/>
      <c r="O333" s="213"/>
      <c r="P333" s="213"/>
      <c r="Q333" s="214"/>
      <c r="R333" s="214"/>
      <c r="S333" s="213"/>
      <c r="T333" s="213"/>
      <c r="U333" s="213"/>
      <c r="V333" s="213"/>
      <c r="W333" s="213"/>
      <c r="X333" s="213"/>
      <c r="Y333" s="213"/>
      <c r="Z333" s="213"/>
      <c r="AA333" s="213"/>
      <c r="AB333" s="213"/>
      <c r="AC333" s="213"/>
      <c r="AD333" s="213"/>
      <c r="AE333" s="213"/>
      <c r="AF333" s="213"/>
      <c r="AG333" s="208"/>
      <c r="AH333" s="208"/>
      <c r="AI333" s="208"/>
      <c r="AJ333" s="208"/>
      <c r="AK333" s="208"/>
    </row>
    <row r="334">
      <c r="A334" s="209"/>
      <c r="B334" s="210"/>
      <c r="C334" s="211"/>
      <c r="D334" s="211"/>
      <c r="E334" s="211"/>
      <c r="F334" s="211"/>
      <c r="G334" s="211"/>
      <c r="H334" s="212"/>
      <c r="I334" s="212"/>
      <c r="J334" s="213"/>
      <c r="K334" s="213"/>
      <c r="L334" s="214"/>
      <c r="M334" s="213"/>
      <c r="N334" s="214"/>
      <c r="O334" s="213"/>
      <c r="P334" s="213"/>
      <c r="Q334" s="214"/>
      <c r="R334" s="214"/>
      <c r="S334" s="213"/>
      <c r="T334" s="213"/>
      <c r="U334" s="213"/>
      <c r="V334" s="213"/>
      <c r="W334" s="213"/>
      <c r="X334" s="213"/>
      <c r="Y334" s="213"/>
      <c r="Z334" s="213"/>
      <c r="AA334" s="213"/>
      <c r="AB334" s="213"/>
      <c r="AC334" s="213"/>
      <c r="AD334" s="213"/>
      <c r="AE334" s="213"/>
      <c r="AF334" s="213"/>
      <c r="AG334" s="208"/>
      <c r="AH334" s="208"/>
      <c r="AI334" s="208"/>
      <c r="AJ334" s="208"/>
      <c r="AK334" s="208"/>
    </row>
    <row r="335">
      <c r="A335" s="209"/>
      <c r="B335" s="210"/>
      <c r="C335" s="211"/>
      <c r="D335" s="211"/>
      <c r="E335" s="211"/>
      <c r="F335" s="211"/>
      <c r="G335" s="211"/>
      <c r="H335" s="212"/>
      <c r="I335" s="212"/>
      <c r="J335" s="213"/>
      <c r="K335" s="213"/>
      <c r="L335" s="214"/>
      <c r="M335" s="213"/>
      <c r="N335" s="214"/>
      <c r="O335" s="213"/>
      <c r="P335" s="213"/>
      <c r="Q335" s="214"/>
      <c r="R335" s="214"/>
      <c r="S335" s="213"/>
      <c r="T335" s="213"/>
      <c r="U335" s="213"/>
      <c r="V335" s="213"/>
      <c r="W335" s="213"/>
      <c r="X335" s="213"/>
      <c r="Y335" s="213"/>
      <c r="Z335" s="213"/>
      <c r="AA335" s="213"/>
      <c r="AB335" s="213"/>
      <c r="AC335" s="213"/>
      <c r="AD335" s="213"/>
      <c r="AE335" s="213"/>
      <c r="AF335" s="213"/>
      <c r="AG335" s="208"/>
      <c r="AH335" s="208"/>
      <c r="AI335" s="208"/>
      <c r="AJ335" s="208"/>
      <c r="AK335" s="208"/>
    </row>
    <row r="336">
      <c r="A336" s="209"/>
      <c r="B336" s="210"/>
      <c r="C336" s="211"/>
      <c r="D336" s="211"/>
      <c r="E336" s="211"/>
      <c r="F336" s="211"/>
      <c r="G336" s="211"/>
      <c r="H336" s="212"/>
      <c r="I336" s="212"/>
      <c r="J336" s="213"/>
      <c r="K336" s="213"/>
      <c r="L336" s="214"/>
      <c r="M336" s="213"/>
      <c r="N336" s="214"/>
      <c r="O336" s="213"/>
      <c r="P336" s="213"/>
      <c r="Q336" s="214"/>
      <c r="R336" s="214"/>
      <c r="S336" s="213"/>
      <c r="T336" s="213"/>
      <c r="U336" s="213"/>
      <c r="V336" s="213"/>
      <c r="W336" s="213"/>
      <c r="X336" s="213"/>
      <c r="Y336" s="213"/>
      <c r="Z336" s="213"/>
      <c r="AA336" s="213"/>
      <c r="AB336" s="213"/>
      <c r="AC336" s="213"/>
      <c r="AD336" s="213"/>
      <c r="AE336" s="213"/>
      <c r="AF336" s="213"/>
      <c r="AG336" s="208"/>
      <c r="AH336" s="208"/>
      <c r="AI336" s="208"/>
      <c r="AJ336" s="208"/>
      <c r="AK336" s="208"/>
    </row>
    <row r="337">
      <c r="A337" s="209"/>
      <c r="B337" s="210"/>
      <c r="C337" s="211"/>
      <c r="D337" s="211"/>
      <c r="E337" s="211"/>
      <c r="F337" s="211"/>
      <c r="G337" s="211"/>
      <c r="H337" s="212"/>
      <c r="I337" s="212"/>
      <c r="J337" s="213"/>
      <c r="K337" s="213"/>
      <c r="L337" s="214"/>
      <c r="M337" s="213"/>
      <c r="N337" s="214"/>
      <c r="O337" s="213"/>
      <c r="P337" s="213"/>
      <c r="Q337" s="214"/>
      <c r="R337" s="214"/>
      <c r="S337" s="213"/>
      <c r="T337" s="213"/>
      <c r="U337" s="213"/>
      <c r="V337" s="213"/>
      <c r="W337" s="213"/>
      <c r="X337" s="213"/>
      <c r="Y337" s="213"/>
      <c r="Z337" s="213"/>
      <c r="AA337" s="213"/>
      <c r="AB337" s="213"/>
      <c r="AC337" s="213"/>
      <c r="AD337" s="213"/>
      <c r="AE337" s="213"/>
      <c r="AF337" s="213"/>
      <c r="AG337" s="208"/>
      <c r="AH337" s="208"/>
      <c r="AI337" s="208"/>
      <c r="AJ337" s="208"/>
      <c r="AK337" s="208"/>
    </row>
    <row r="338">
      <c r="A338" s="209"/>
      <c r="B338" s="210"/>
      <c r="C338" s="211"/>
      <c r="D338" s="211"/>
      <c r="E338" s="211"/>
      <c r="F338" s="211"/>
      <c r="G338" s="211"/>
      <c r="H338" s="212"/>
      <c r="I338" s="212"/>
      <c r="J338" s="213"/>
      <c r="K338" s="213"/>
      <c r="L338" s="214"/>
      <c r="M338" s="213"/>
      <c r="N338" s="214"/>
      <c r="O338" s="213"/>
      <c r="P338" s="213"/>
      <c r="Q338" s="214"/>
      <c r="R338" s="214"/>
      <c r="S338" s="213"/>
      <c r="T338" s="213"/>
      <c r="U338" s="213"/>
      <c r="V338" s="213"/>
      <c r="W338" s="213"/>
      <c r="X338" s="213"/>
      <c r="Y338" s="213"/>
      <c r="Z338" s="213"/>
      <c r="AA338" s="213"/>
      <c r="AB338" s="213"/>
      <c r="AC338" s="213"/>
      <c r="AD338" s="213"/>
      <c r="AE338" s="213"/>
      <c r="AF338" s="213"/>
      <c r="AG338" s="208"/>
      <c r="AH338" s="208"/>
      <c r="AI338" s="208"/>
      <c r="AJ338" s="208"/>
      <c r="AK338" s="208"/>
    </row>
    <row r="339">
      <c r="A339" s="209"/>
      <c r="B339" s="210"/>
      <c r="C339" s="211"/>
      <c r="D339" s="211"/>
      <c r="E339" s="211"/>
      <c r="F339" s="211"/>
      <c r="G339" s="211"/>
      <c r="H339" s="212"/>
      <c r="I339" s="212"/>
      <c r="J339" s="213"/>
      <c r="K339" s="213"/>
      <c r="L339" s="214"/>
      <c r="M339" s="213"/>
      <c r="N339" s="214"/>
      <c r="O339" s="213"/>
      <c r="P339" s="213"/>
      <c r="Q339" s="214"/>
      <c r="R339" s="214"/>
      <c r="S339" s="213"/>
      <c r="T339" s="213"/>
      <c r="U339" s="213"/>
      <c r="V339" s="213"/>
      <c r="W339" s="213"/>
      <c r="X339" s="213"/>
      <c r="Y339" s="213"/>
      <c r="Z339" s="213"/>
      <c r="AA339" s="213"/>
      <c r="AB339" s="213"/>
      <c r="AC339" s="213"/>
      <c r="AD339" s="213"/>
      <c r="AE339" s="213"/>
      <c r="AF339" s="213"/>
      <c r="AG339" s="208"/>
      <c r="AH339" s="208"/>
      <c r="AI339" s="208"/>
      <c r="AJ339" s="208"/>
      <c r="AK339" s="208"/>
    </row>
    <row r="340">
      <c r="A340" s="209"/>
      <c r="B340" s="210"/>
      <c r="C340" s="211"/>
      <c r="D340" s="211"/>
      <c r="E340" s="211"/>
      <c r="F340" s="211"/>
      <c r="G340" s="211"/>
      <c r="H340" s="212"/>
      <c r="I340" s="212"/>
      <c r="J340" s="213"/>
      <c r="K340" s="213"/>
      <c r="L340" s="214"/>
      <c r="M340" s="213"/>
      <c r="N340" s="214"/>
      <c r="O340" s="213"/>
      <c r="P340" s="213"/>
      <c r="Q340" s="214"/>
      <c r="R340" s="214"/>
      <c r="S340" s="213"/>
      <c r="T340" s="213"/>
      <c r="U340" s="213"/>
      <c r="V340" s="213"/>
      <c r="W340" s="213"/>
      <c r="X340" s="213"/>
      <c r="Y340" s="213"/>
      <c r="Z340" s="213"/>
      <c r="AA340" s="213"/>
      <c r="AB340" s="213"/>
      <c r="AC340" s="213"/>
      <c r="AD340" s="213"/>
      <c r="AE340" s="213"/>
      <c r="AF340" s="213"/>
      <c r="AG340" s="208"/>
      <c r="AH340" s="208"/>
      <c r="AI340" s="208"/>
      <c r="AJ340" s="208"/>
      <c r="AK340" s="208"/>
    </row>
    <row r="341">
      <c r="A341" s="209"/>
      <c r="B341" s="210"/>
      <c r="C341" s="211"/>
      <c r="D341" s="211"/>
      <c r="E341" s="211"/>
      <c r="F341" s="211"/>
      <c r="G341" s="211"/>
      <c r="H341" s="212"/>
      <c r="I341" s="212"/>
      <c r="J341" s="213"/>
      <c r="K341" s="213"/>
      <c r="L341" s="214"/>
      <c r="M341" s="213"/>
      <c r="N341" s="214"/>
      <c r="O341" s="213"/>
      <c r="P341" s="213"/>
      <c r="Q341" s="214"/>
      <c r="R341" s="214"/>
      <c r="S341" s="213"/>
      <c r="T341" s="213"/>
      <c r="U341" s="213"/>
      <c r="V341" s="213"/>
      <c r="W341" s="213"/>
      <c r="X341" s="213"/>
      <c r="Y341" s="213"/>
      <c r="Z341" s="213"/>
      <c r="AA341" s="213"/>
      <c r="AB341" s="213"/>
      <c r="AC341" s="213"/>
      <c r="AD341" s="213"/>
      <c r="AE341" s="213"/>
      <c r="AF341" s="213"/>
      <c r="AG341" s="208"/>
      <c r="AH341" s="208"/>
      <c r="AI341" s="208"/>
      <c r="AJ341" s="208"/>
      <c r="AK341" s="208"/>
    </row>
    <row r="342">
      <c r="A342" s="209"/>
      <c r="B342" s="210"/>
      <c r="C342" s="211"/>
      <c r="D342" s="211"/>
      <c r="E342" s="211"/>
      <c r="F342" s="211"/>
      <c r="G342" s="211"/>
      <c r="H342" s="212"/>
      <c r="I342" s="212"/>
      <c r="J342" s="213"/>
      <c r="K342" s="213"/>
      <c r="L342" s="214"/>
      <c r="M342" s="213"/>
      <c r="N342" s="214"/>
      <c r="O342" s="213"/>
      <c r="P342" s="213"/>
      <c r="Q342" s="214"/>
      <c r="R342" s="214"/>
      <c r="S342" s="213"/>
      <c r="T342" s="213"/>
      <c r="U342" s="213"/>
      <c r="V342" s="213"/>
      <c r="W342" s="213"/>
      <c r="X342" s="213"/>
      <c r="Y342" s="213"/>
      <c r="Z342" s="213"/>
      <c r="AA342" s="213"/>
      <c r="AB342" s="213"/>
      <c r="AC342" s="213"/>
      <c r="AD342" s="213"/>
      <c r="AE342" s="213"/>
      <c r="AF342" s="213"/>
      <c r="AG342" s="208"/>
      <c r="AH342" s="208"/>
      <c r="AI342" s="208"/>
      <c r="AJ342" s="208"/>
      <c r="AK342" s="208"/>
    </row>
    <row r="343">
      <c r="A343" s="208"/>
      <c r="B343" s="208"/>
      <c r="C343" s="208"/>
      <c r="D343" s="208"/>
      <c r="E343" s="208"/>
      <c r="F343" s="208"/>
      <c r="G343" s="208"/>
      <c r="H343" s="233"/>
      <c r="I343" s="234"/>
      <c r="J343" s="208"/>
      <c r="K343" s="208"/>
      <c r="L343" s="208"/>
      <c r="M343" s="208"/>
      <c r="N343" s="208"/>
      <c r="O343" s="208"/>
      <c r="P343" s="208"/>
      <c r="Q343" s="208"/>
      <c r="R343" s="208"/>
      <c r="S343" s="208"/>
      <c r="T343" s="208"/>
      <c r="U343" s="208"/>
      <c r="V343" s="208"/>
      <c r="W343" s="208"/>
      <c r="X343" s="208"/>
      <c r="Y343" s="208"/>
      <c r="Z343" s="208"/>
      <c r="AA343" s="208"/>
      <c r="AB343" s="208"/>
      <c r="AC343" s="208"/>
      <c r="AD343" s="208"/>
      <c r="AE343" s="208"/>
      <c r="AF343" s="208"/>
      <c r="AG343" s="208"/>
      <c r="AH343" s="208"/>
      <c r="AI343" s="208"/>
      <c r="AJ343" s="208"/>
      <c r="AK343" s="208"/>
    </row>
    <row r="344">
      <c r="A344" s="208"/>
      <c r="B344" s="208"/>
      <c r="C344" s="208"/>
      <c r="D344" s="208"/>
      <c r="E344" s="208"/>
      <c r="F344" s="208"/>
      <c r="G344" s="208"/>
      <c r="H344" s="233"/>
      <c r="I344" s="234"/>
      <c r="J344" s="208"/>
      <c r="K344" s="208"/>
      <c r="L344" s="208"/>
      <c r="M344" s="208"/>
      <c r="N344" s="208"/>
      <c r="O344" s="208"/>
      <c r="P344" s="208"/>
      <c r="Q344" s="208"/>
      <c r="R344" s="208"/>
      <c r="S344" s="208"/>
      <c r="T344" s="208"/>
      <c r="U344" s="208"/>
      <c r="V344" s="208"/>
      <c r="W344" s="208"/>
      <c r="X344" s="208"/>
      <c r="Y344" s="208"/>
      <c r="Z344" s="208"/>
      <c r="AA344" s="208"/>
      <c r="AB344" s="208"/>
      <c r="AC344" s="208"/>
      <c r="AD344" s="208"/>
      <c r="AE344" s="208"/>
      <c r="AF344" s="208"/>
      <c r="AG344" s="208"/>
      <c r="AH344" s="208"/>
      <c r="AI344" s="208"/>
      <c r="AJ344" s="208"/>
      <c r="AK344" s="208"/>
    </row>
    <row r="345">
      <c r="A345" s="208"/>
      <c r="B345" s="208"/>
      <c r="C345" s="208"/>
      <c r="D345" s="208"/>
      <c r="E345" s="208"/>
      <c r="F345" s="208"/>
      <c r="G345" s="208"/>
      <c r="H345" s="233"/>
      <c r="I345" s="234"/>
      <c r="J345" s="208"/>
      <c r="K345" s="208"/>
      <c r="L345" s="208"/>
      <c r="M345" s="208"/>
      <c r="N345" s="208"/>
      <c r="O345" s="208"/>
      <c r="P345" s="208"/>
      <c r="Q345" s="208"/>
      <c r="R345" s="208"/>
      <c r="S345" s="208"/>
      <c r="T345" s="208"/>
      <c r="U345" s="208"/>
      <c r="V345" s="208"/>
      <c r="W345" s="208"/>
      <c r="X345" s="208"/>
      <c r="Y345" s="208"/>
      <c r="Z345" s="208"/>
      <c r="AA345" s="208"/>
      <c r="AB345" s="208"/>
      <c r="AC345" s="208"/>
      <c r="AD345" s="208"/>
      <c r="AE345" s="208"/>
      <c r="AF345" s="208"/>
      <c r="AG345" s="208"/>
      <c r="AH345" s="208"/>
      <c r="AI345" s="208"/>
      <c r="AJ345" s="208"/>
      <c r="AK345" s="208"/>
    </row>
    <row r="346">
      <c r="A346" s="208"/>
      <c r="B346" s="208"/>
      <c r="C346" s="208"/>
      <c r="D346" s="208"/>
      <c r="E346" s="208"/>
      <c r="F346" s="208"/>
      <c r="G346" s="208"/>
      <c r="H346" s="233"/>
      <c r="I346" s="234"/>
      <c r="J346" s="208"/>
      <c r="K346" s="208"/>
      <c r="L346" s="208"/>
      <c r="M346" s="208"/>
      <c r="N346" s="208"/>
      <c r="O346" s="208"/>
      <c r="P346" s="208"/>
      <c r="Q346" s="208"/>
      <c r="R346" s="208"/>
      <c r="S346" s="208"/>
      <c r="T346" s="208"/>
      <c r="U346" s="208"/>
      <c r="V346" s="208"/>
      <c r="W346" s="208"/>
      <c r="X346" s="208"/>
      <c r="Y346" s="208"/>
      <c r="Z346" s="208"/>
      <c r="AA346" s="208"/>
      <c r="AB346" s="208"/>
      <c r="AC346" s="208"/>
      <c r="AD346" s="208"/>
      <c r="AE346" s="208"/>
      <c r="AF346" s="208"/>
      <c r="AG346" s="208"/>
      <c r="AH346" s="208"/>
      <c r="AI346" s="208"/>
      <c r="AJ346" s="208"/>
      <c r="AK346" s="208"/>
    </row>
    <row r="347">
      <c r="A347" s="208"/>
      <c r="B347" s="208"/>
      <c r="C347" s="208"/>
      <c r="D347" s="208"/>
      <c r="E347" s="208"/>
      <c r="F347" s="208"/>
      <c r="G347" s="208"/>
      <c r="H347" s="233"/>
      <c r="I347" s="234"/>
      <c r="J347" s="208"/>
      <c r="K347" s="208"/>
      <c r="L347" s="208"/>
      <c r="M347" s="208"/>
      <c r="N347" s="208"/>
      <c r="O347" s="208"/>
      <c r="P347" s="208"/>
      <c r="Q347" s="208"/>
      <c r="R347" s="208"/>
      <c r="S347" s="208"/>
      <c r="T347" s="208"/>
      <c r="U347" s="208"/>
      <c r="V347" s="208"/>
      <c r="W347" s="208"/>
      <c r="X347" s="208"/>
      <c r="Y347" s="208"/>
      <c r="Z347" s="208"/>
      <c r="AA347" s="208"/>
      <c r="AB347" s="208"/>
      <c r="AC347" s="208"/>
      <c r="AD347" s="208"/>
      <c r="AE347" s="208"/>
      <c r="AF347" s="208"/>
      <c r="AG347" s="208"/>
      <c r="AH347" s="208"/>
      <c r="AI347" s="208"/>
      <c r="AJ347" s="208"/>
      <c r="AK347" s="208"/>
    </row>
    <row r="348">
      <c r="A348" s="208"/>
      <c r="B348" s="208"/>
      <c r="C348" s="208"/>
      <c r="D348" s="208"/>
      <c r="E348" s="208"/>
      <c r="F348" s="208"/>
      <c r="G348" s="208"/>
      <c r="H348" s="233"/>
      <c r="I348" s="234"/>
      <c r="J348" s="208"/>
      <c r="K348" s="208"/>
      <c r="L348" s="208"/>
      <c r="M348" s="208"/>
      <c r="N348" s="208"/>
      <c r="O348" s="208"/>
      <c r="P348" s="208"/>
      <c r="Q348" s="208"/>
      <c r="R348" s="208"/>
      <c r="S348" s="208"/>
      <c r="T348" s="208"/>
      <c r="U348" s="208"/>
      <c r="V348" s="208"/>
      <c r="W348" s="208"/>
      <c r="X348" s="208"/>
      <c r="Y348" s="208"/>
      <c r="Z348" s="208"/>
      <c r="AA348" s="208"/>
      <c r="AB348" s="208"/>
      <c r="AC348" s="208"/>
      <c r="AD348" s="208"/>
      <c r="AE348" s="208"/>
      <c r="AF348" s="208"/>
      <c r="AG348" s="208"/>
      <c r="AH348" s="208"/>
      <c r="AI348" s="208"/>
      <c r="AJ348" s="208"/>
      <c r="AK348" s="208"/>
    </row>
    <row r="349">
      <c r="A349" s="208"/>
      <c r="B349" s="208"/>
      <c r="C349" s="208"/>
      <c r="D349" s="208"/>
      <c r="E349" s="208"/>
      <c r="F349" s="208"/>
      <c r="G349" s="208"/>
      <c r="H349" s="233"/>
      <c r="I349" s="234"/>
      <c r="J349" s="208"/>
      <c r="K349" s="208"/>
      <c r="L349" s="208"/>
      <c r="M349" s="208"/>
      <c r="N349" s="208"/>
      <c r="O349" s="208"/>
      <c r="P349" s="208"/>
      <c r="Q349" s="208"/>
      <c r="R349" s="208"/>
      <c r="S349" s="208"/>
      <c r="T349" s="208"/>
      <c r="U349" s="208"/>
      <c r="V349" s="208"/>
      <c r="W349" s="208"/>
      <c r="X349" s="208"/>
      <c r="Y349" s="208"/>
      <c r="Z349" s="208"/>
      <c r="AA349" s="208"/>
      <c r="AB349" s="208"/>
      <c r="AC349" s="208"/>
      <c r="AD349" s="208"/>
      <c r="AE349" s="208"/>
      <c r="AF349" s="208"/>
      <c r="AG349" s="208"/>
      <c r="AH349" s="208"/>
      <c r="AI349" s="208"/>
      <c r="AJ349" s="208"/>
      <c r="AK349" s="208"/>
    </row>
    <row r="350">
      <c r="A350" s="208"/>
      <c r="B350" s="208"/>
      <c r="C350" s="208"/>
      <c r="D350" s="208"/>
      <c r="E350" s="208"/>
      <c r="F350" s="208"/>
      <c r="G350" s="208"/>
      <c r="H350" s="233"/>
      <c r="I350" s="234"/>
      <c r="J350" s="208"/>
      <c r="K350" s="208"/>
      <c r="L350" s="208"/>
      <c r="M350" s="208"/>
      <c r="N350" s="208"/>
      <c r="O350" s="208"/>
      <c r="P350" s="208"/>
      <c r="Q350" s="208"/>
      <c r="R350" s="208"/>
      <c r="S350" s="208"/>
      <c r="T350" s="208"/>
      <c r="U350" s="208"/>
      <c r="V350" s="208"/>
      <c r="W350" s="208"/>
      <c r="X350" s="208"/>
      <c r="Y350" s="208"/>
      <c r="Z350" s="208"/>
      <c r="AA350" s="208"/>
      <c r="AB350" s="208"/>
      <c r="AC350" s="208"/>
      <c r="AD350" s="208"/>
      <c r="AE350" s="208"/>
      <c r="AF350" s="208"/>
      <c r="AG350" s="208"/>
      <c r="AH350" s="208"/>
      <c r="AI350" s="208"/>
      <c r="AJ350" s="208"/>
      <c r="AK350" s="208"/>
    </row>
    <row r="351">
      <c r="A351" s="208"/>
      <c r="B351" s="208"/>
      <c r="C351" s="208"/>
      <c r="D351" s="208"/>
      <c r="E351" s="208"/>
      <c r="F351" s="208"/>
      <c r="G351" s="208"/>
      <c r="H351" s="233"/>
      <c r="I351" s="234"/>
      <c r="J351" s="208"/>
      <c r="K351" s="208"/>
      <c r="L351" s="208"/>
      <c r="M351" s="208"/>
      <c r="N351" s="208"/>
      <c r="O351" s="208"/>
      <c r="P351" s="208"/>
      <c r="Q351" s="208"/>
      <c r="R351" s="208"/>
      <c r="S351" s="208"/>
      <c r="T351" s="208"/>
      <c r="U351" s="208"/>
      <c r="V351" s="208"/>
      <c r="W351" s="208"/>
      <c r="X351" s="208"/>
      <c r="Y351" s="208"/>
      <c r="Z351" s="208"/>
      <c r="AA351" s="208"/>
      <c r="AB351" s="208"/>
      <c r="AC351" s="208"/>
      <c r="AD351" s="208"/>
      <c r="AE351" s="208"/>
      <c r="AF351" s="208"/>
      <c r="AG351" s="208"/>
      <c r="AH351" s="208"/>
      <c r="AI351" s="208"/>
      <c r="AJ351" s="208"/>
      <c r="AK351" s="208"/>
    </row>
    <row r="352">
      <c r="A352" s="208"/>
      <c r="B352" s="208"/>
      <c r="C352" s="208"/>
      <c r="D352" s="208"/>
      <c r="E352" s="208"/>
      <c r="F352" s="208"/>
      <c r="G352" s="208"/>
      <c r="H352" s="233"/>
      <c r="I352" s="234"/>
      <c r="J352" s="208"/>
      <c r="K352" s="208"/>
      <c r="L352" s="208"/>
      <c r="M352" s="208"/>
      <c r="N352" s="208"/>
      <c r="O352" s="208"/>
      <c r="P352" s="208"/>
      <c r="Q352" s="208"/>
      <c r="R352" s="208"/>
      <c r="S352" s="208"/>
      <c r="T352" s="208"/>
      <c r="U352" s="208"/>
      <c r="V352" s="208"/>
      <c r="W352" s="208"/>
      <c r="X352" s="208"/>
      <c r="Y352" s="208"/>
      <c r="Z352" s="208"/>
      <c r="AA352" s="208"/>
      <c r="AB352" s="208"/>
      <c r="AC352" s="208"/>
      <c r="AD352" s="208"/>
      <c r="AE352" s="208"/>
      <c r="AF352" s="208"/>
      <c r="AG352" s="208"/>
      <c r="AH352" s="208"/>
      <c r="AI352" s="208"/>
      <c r="AJ352" s="208"/>
      <c r="AK352" s="208"/>
    </row>
    <row r="353">
      <c r="A353" s="208"/>
      <c r="B353" s="208"/>
      <c r="C353" s="208"/>
      <c r="D353" s="208"/>
      <c r="E353" s="208"/>
      <c r="F353" s="208"/>
      <c r="G353" s="208"/>
      <c r="H353" s="233"/>
      <c r="I353" s="234"/>
      <c r="J353" s="208"/>
      <c r="K353" s="208"/>
      <c r="L353" s="208"/>
      <c r="M353" s="208"/>
      <c r="N353" s="208"/>
      <c r="O353" s="208"/>
      <c r="P353" s="208"/>
      <c r="Q353" s="208"/>
      <c r="R353" s="208"/>
      <c r="S353" s="208"/>
      <c r="T353" s="208"/>
      <c r="U353" s="208"/>
      <c r="V353" s="208"/>
      <c r="W353" s="208"/>
      <c r="X353" s="208"/>
      <c r="Y353" s="208"/>
      <c r="Z353" s="208"/>
      <c r="AA353" s="208"/>
      <c r="AB353" s="208"/>
      <c r="AC353" s="208"/>
      <c r="AD353" s="208"/>
      <c r="AE353" s="208"/>
      <c r="AF353" s="208"/>
      <c r="AG353" s="208"/>
      <c r="AH353" s="208"/>
      <c r="AI353" s="208"/>
      <c r="AJ353" s="208"/>
      <c r="AK353" s="208"/>
    </row>
    <row r="354">
      <c r="A354" s="208"/>
      <c r="B354" s="208"/>
      <c r="C354" s="208"/>
      <c r="D354" s="208"/>
      <c r="E354" s="208"/>
      <c r="F354" s="208"/>
      <c r="G354" s="208"/>
      <c r="H354" s="233"/>
      <c r="I354" s="234"/>
      <c r="J354" s="208"/>
      <c r="K354" s="208"/>
      <c r="L354" s="208"/>
      <c r="M354" s="208"/>
      <c r="N354" s="208"/>
      <c r="O354" s="208"/>
      <c r="P354" s="208"/>
      <c r="Q354" s="208"/>
      <c r="R354" s="208"/>
      <c r="S354" s="208"/>
      <c r="T354" s="208"/>
      <c r="U354" s="208"/>
      <c r="V354" s="208"/>
      <c r="W354" s="208"/>
      <c r="X354" s="208"/>
      <c r="Y354" s="208"/>
      <c r="Z354" s="208"/>
      <c r="AA354" s="208"/>
      <c r="AB354" s="208"/>
      <c r="AC354" s="208"/>
      <c r="AD354" s="208"/>
      <c r="AE354" s="208"/>
      <c r="AF354" s="208"/>
      <c r="AG354" s="208"/>
      <c r="AH354" s="208"/>
      <c r="AI354" s="208"/>
      <c r="AJ354" s="208"/>
      <c r="AK354" s="208"/>
    </row>
    <row r="355">
      <c r="A355" s="208"/>
      <c r="B355" s="208"/>
      <c r="C355" s="208"/>
      <c r="D355" s="208"/>
      <c r="E355" s="208"/>
      <c r="F355" s="208"/>
      <c r="G355" s="208"/>
      <c r="H355" s="233"/>
      <c r="I355" s="234"/>
      <c r="J355" s="208"/>
      <c r="K355" s="208"/>
      <c r="L355" s="208"/>
      <c r="M355" s="208"/>
      <c r="N355" s="208"/>
      <c r="O355" s="208"/>
      <c r="P355" s="208"/>
      <c r="Q355" s="208"/>
      <c r="R355" s="208"/>
      <c r="S355" s="208"/>
      <c r="T355" s="208"/>
      <c r="U355" s="208"/>
      <c r="V355" s="208"/>
      <c r="W355" s="208"/>
      <c r="X355" s="208"/>
      <c r="Y355" s="208"/>
      <c r="Z355" s="208"/>
      <c r="AA355" s="208"/>
      <c r="AB355" s="208"/>
      <c r="AC355" s="208"/>
      <c r="AD355" s="208"/>
      <c r="AE355" s="208"/>
      <c r="AF355" s="208"/>
      <c r="AG355" s="208"/>
      <c r="AH355" s="208"/>
      <c r="AI355" s="208"/>
      <c r="AJ355" s="208"/>
      <c r="AK355" s="208"/>
    </row>
    <row r="356">
      <c r="A356" s="208"/>
      <c r="B356" s="208"/>
      <c r="C356" s="208"/>
      <c r="D356" s="208"/>
      <c r="E356" s="208"/>
      <c r="F356" s="208"/>
      <c r="G356" s="208"/>
      <c r="H356" s="233"/>
      <c r="I356" s="234"/>
      <c r="J356" s="208"/>
      <c r="K356" s="208"/>
      <c r="L356" s="208"/>
      <c r="M356" s="208"/>
      <c r="N356" s="208"/>
      <c r="O356" s="208"/>
      <c r="P356" s="208"/>
      <c r="Q356" s="208"/>
      <c r="R356" s="208"/>
      <c r="S356" s="208"/>
      <c r="T356" s="208"/>
      <c r="U356" s="208"/>
      <c r="V356" s="208"/>
      <c r="W356" s="208"/>
      <c r="X356" s="208"/>
      <c r="Y356" s="208"/>
      <c r="Z356" s="208"/>
      <c r="AA356" s="208"/>
      <c r="AB356" s="208"/>
      <c r="AC356" s="208"/>
      <c r="AD356" s="208"/>
      <c r="AE356" s="208"/>
      <c r="AF356" s="208"/>
      <c r="AG356" s="208"/>
      <c r="AH356" s="208"/>
      <c r="AI356" s="208"/>
      <c r="AJ356" s="208"/>
      <c r="AK356" s="208"/>
    </row>
    <row r="357">
      <c r="A357" s="208"/>
      <c r="B357" s="208"/>
      <c r="C357" s="208"/>
      <c r="D357" s="208"/>
      <c r="E357" s="208"/>
      <c r="F357" s="208"/>
      <c r="G357" s="208"/>
      <c r="H357" s="233"/>
      <c r="I357" s="234"/>
      <c r="J357" s="208"/>
      <c r="K357" s="208"/>
      <c r="L357" s="208"/>
      <c r="M357" s="208"/>
      <c r="N357" s="208"/>
      <c r="O357" s="208"/>
      <c r="P357" s="208"/>
      <c r="Q357" s="208"/>
      <c r="R357" s="208"/>
      <c r="S357" s="208"/>
      <c r="T357" s="208"/>
      <c r="U357" s="208"/>
      <c r="V357" s="208"/>
      <c r="W357" s="208"/>
      <c r="X357" s="208"/>
      <c r="Y357" s="208"/>
      <c r="Z357" s="208"/>
      <c r="AA357" s="208"/>
      <c r="AB357" s="208"/>
      <c r="AC357" s="208"/>
      <c r="AD357" s="208"/>
      <c r="AE357" s="208"/>
      <c r="AF357" s="208"/>
      <c r="AG357" s="208"/>
      <c r="AH357" s="208"/>
      <c r="AI357" s="208"/>
      <c r="AJ357" s="208"/>
      <c r="AK357" s="208"/>
    </row>
    <row r="358">
      <c r="A358" s="208"/>
      <c r="B358" s="208"/>
      <c r="C358" s="208"/>
      <c r="D358" s="208"/>
      <c r="E358" s="208"/>
      <c r="F358" s="208"/>
      <c r="G358" s="208"/>
      <c r="H358" s="233"/>
      <c r="I358" s="234"/>
      <c r="J358" s="208"/>
      <c r="K358" s="208"/>
      <c r="L358" s="208"/>
      <c r="M358" s="208"/>
      <c r="N358" s="208"/>
      <c r="O358" s="208"/>
      <c r="P358" s="208"/>
      <c r="Q358" s="208"/>
      <c r="R358" s="208"/>
      <c r="S358" s="208"/>
      <c r="T358" s="208"/>
      <c r="U358" s="208"/>
      <c r="V358" s="208"/>
      <c r="W358" s="208"/>
      <c r="X358" s="208"/>
      <c r="Y358" s="208"/>
      <c r="Z358" s="208"/>
      <c r="AA358" s="208"/>
      <c r="AB358" s="208"/>
      <c r="AC358" s="208"/>
      <c r="AD358" s="208"/>
      <c r="AE358" s="208"/>
      <c r="AF358" s="208"/>
      <c r="AG358" s="208"/>
      <c r="AH358" s="208"/>
      <c r="AI358" s="208"/>
      <c r="AJ358" s="208"/>
      <c r="AK358" s="208"/>
    </row>
    <row r="359">
      <c r="A359" s="208"/>
      <c r="B359" s="208"/>
      <c r="C359" s="208"/>
      <c r="D359" s="208"/>
      <c r="E359" s="208"/>
      <c r="F359" s="208"/>
      <c r="G359" s="208"/>
      <c r="H359" s="233"/>
      <c r="I359" s="234"/>
      <c r="J359" s="208"/>
      <c r="K359" s="208"/>
      <c r="L359" s="208"/>
      <c r="M359" s="208"/>
      <c r="N359" s="208"/>
      <c r="O359" s="208"/>
      <c r="P359" s="208"/>
      <c r="Q359" s="208"/>
      <c r="R359" s="208"/>
      <c r="S359" s="208"/>
      <c r="T359" s="208"/>
      <c r="U359" s="208"/>
      <c r="V359" s="208"/>
      <c r="W359" s="208"/>
      <c r="X359" s="208"/>
      <c r="Y359" s="208"/>
      <c r="Z359" s="208"/>
      <c r="AA359" s="208"/>
      <c r="AB359" s="208"/>
      <c r="AC359" s="208"/>
      <c r="AD359" s="208"/>
      <c r="AE359" s="208"/>
      <c r="AF359" s="208"/>
      <c r="AG359" s="208"/>
      <c r="AH359" s="208"/>
      <c r="AI359" s="208"/>
      <c r="AJ359" s="208"/>
      <c r="AK359" s="208"/>
    </row>
    <row r="360">
      <c r="A360" s="208"/>
      <c r="B360" s="208"/>
      <c r="C360" s="208"/>
      <c r="D360" s="208"/>
      <c r="E360" s="208"/>
      <c r="F360" s="208"/>
      <c r="G360" s="208"/>
      <c r="H360" s="233"/>
      <c r="I360" s="234"/>
      <c r="J360" s="208"/>
      <c r="K360" s="208"/>
      <c r="L360" s="208"/>
      <c r="M360" s="208"/>
      <c r="N360" s="208"/>
      <c r="O360" s="208"/>
      <c r="P360" s="208"/>
      <c r="Q360" s="208"/>
      <c r="R360" s="208"/>
      <c r="S360" s="208"/>
      <c r="T360" s="208"/>
      <c r="U360" s="208"/>
      <c r="V360" s="208"/>
      <c r="W360" s="208"/>
      <c r="X360" s="208"/>
      <c r="Y360" s="208"/>
      <c r="Z360" s="208"/>
      <c r="AA360" s="208"/>
      <c r="AB360" s="208"/>
      <c r="AC360" s="208"/>
      <c r="AD360" s="208"/>
      <c r="AE360" s="208"/>
      <c r="AF360" s="208"/>
      <c r="AG360" s="208"/>
      <c r="AH360" s="208"/>
      <c r="AI360" s="208"/>
      <c r="AJ360" s="208"/>
      <c r="AK360" s="208"/>
    </row>
    <row r="361">
      <c r="A361" s="208"/>
      <c r="B361" s="208"/>
      <c r="C361" s="208"/>
      <c r="D361" s="208"/>
      <c r="E361" s="208"/>
      <c r="F361" s="208"/>
      <c r="G361" s="208"/>
      <c r="H361" s="233"/>
      <c r="I361" s="234"/>
      <c r="J361" s="208"/>
      <c r="K361" s="208"/>
      <c r="L361" s="208"/>
      <c r="M361" s="208"/>
      <c r="N361" s="208"/>
      <c r="O361" s="208"/>
      <c r="P361" s="208"/>
      <c r="Q361" s="208"/>
      <c r="R361" s="208"/>
      <c r="S361" s="208"/>
      <c r="T361" s="208"/>
      <c r="U361" s="208"/>
      <c r="V361" s="208"/>
      <c r="W361" s="208"/>
      <c r="X361" s="208"/>
      <c r="Y361" s="208"/>
      <c r="Z361" s="208"/>
      <c r="AA361" s="208"/>
      <c r="AB361" s="208"/>
      <c r="AC361" s="208"/>
      <c r="AD361" s="208"/>
      <c r="AE361" s="208"/>
      <c r="AF361" s="208"/>
      <c r="AG361" s="208"/>
      <c r="AH361" s="208"/>
      <c r="AI361" s="208"/>
      <c r="AJ361" s="208"/>
      <c r="AK361" s="208"/>
    </row>
    <row r="362">
      <c r="A362" s="208"/>
      <c r="B362" s="208"/>
      <c r="C362" s="208"/>
      <c r="D362" s="208"/>
      <c r="E362" s="208"/>
      <c r="F362" s="208"/>
      <c r="G362" s="208"/>
      <c r="H362" s="233"/>
      <c r="I362" s="234"/>
      <c r="J362" s="208"/>
      <c r="K362" s="208"/>
      <c r="L362" s="208"/>
      <c r="M362" s="208"/>
      <c r="N362" s="208"/>
      <c r="O362" s="208"/>
      <c r="P362" s="208"/>
      <c r="Q362" s="208"/>
      <c r="R362" s="208"/>
      <c r="S362" s="208"/>
      <c r="T362" s="208"/>
      <c r="U362" s="208"/>
      <c r="V362" s="208"/>
      <c r="W362" s="208"/>
      <c r="X362" s="208"/>
      <c r="Y362" s="208"/>
      <c r="Z362" s="208"/>
      <c r="AA362" s="208"/>
      <c r="AB362" s="208"/>
      <c r="AC362" s="208"/>
      <c r="AD362" s="208"/>
      <c r="AE362" s="208"/>
      <c r="AF362" s="208"/>
      <c r="AG362" s="208"/>
      <c r="AH362" s="208"/>
      <c r="AI362" s="208"/>
      <c r="AJ362" s="208"/>
      <c r="AK362" s="208"/>
    </row>
    <row r="363">
      <c r="A363" s="208"/>
      <c r="B363" s="208"/>
      <c r="C363" s="208"/>
      <c r="D363" s="208"/>
      <c r="E363" s="208"/>
      <c r="F363" s="208"/>
      <c r="G363" s="208"/>
      <c r="H363" s="233"/>
      <c r="I363" s="234"/>
      <c r="J363" s="208"/>
      <c r="K363" s="208"/>
      <c r="L363" s="208"/>
      <c r="M363" s="208"/>
      <c r="N363" s="208"/>
      <c r="O363" s="208"/>
      <c r="P363" s="208"/>
      <c r="Q363" s="208"/>
      <c r="R363" s="208"/>
      <c r="S363" s="208"/>
      <c r="T363" s="208"/>
      <c r="U363" s="208"/>
      <c r="V363" s="208"/>
      <c r="W363" s="208"/>
      <c r="X363" s="208"/>
      <c r="Y363" s="208"/>
      <c r="Z363" s="208"/>
      <c r="AA363" s="208"/>
      <c r="AB363" s="208"/>
      <c r="AC363" s="208"/>
      <c r="AD363" s="208"/>
      <c r="AE363" s="208"/>
      <c r="AF363" s="208"/>
      <c r="AG363" s="208"/>
      <c r="AH363" s="208"/>
      <c r="AI363" s="208"/>
      <c r="AJ363" s="208"/>
      <c r="AK363" s="208"/>
    </row>
    <row r="364">
      <c r="A364" s="208"/>
      <c r="B364" s="208"/>
      <c r="C364" s="208"/>
      <c r="D364" s="208"/>
      <c r="E364" s="208"/>
      <c r="F364" s="208"/>
      <c r="G364" s="208"/>
      <c r="H364" s="233"/>
      <c r="I364" s="234"/>
      <c r="J364" s="208"/>
      <c r="K364" s="208"/>
      <c r="L364" s="208"/>
      <c r="M364" s="208"/>
      <c r="N364" s="208"/>
      <c r="O364" s="208"/>
      <c r="P364" s="208"/>
      <c r="Q364" s="208"/>
      <c r="R364" s="208"/>
      <c r="S364" s="208"/>
      <c r="T364" s="208"/>
      <c r="U364" s="208"/>
      <c r="V364" s="208"/>
      <c r="W364" s="208"/>
      <c r="X364" s="208"/>
      <c r="Y364" s="208"/>
      <c r="Z364" s="208"/>
      <c r="AA364" s="208"/>
      <c r="AB364" s="208"/>
      <c r="AC364" s="208"/>
      <c r="AD364" s="208"/>
      <c r="AE364" s="208"/>
      <c r="AF364" s="208"/>
      <c r="AG364" s="208"/>
      <c r="AH364" s="208"/>
      <c r="AI364" s="208"/>
      <c r="AJ364" s="208"/>
      <c r="AK364" s="208"/>
    </row>
    <row r="365">
      <c r="A365" s="208"/>
      <c r="B365" s="208"/>
      <c r="C365" s="208"/>
      <c r="D365" s="208"/>
      <c r="E365" s="208"/>
      <c r="F365" s="208"/>
      <c r="G365" s="208"/>
      <c r="H365" s="233"/>
      <c r="I365" s="234"/>
      <c r="J365" s="208"/>
      <c r="K365" s="208"/>
      <c r="L365" s="208"/>
      <c r="M365" s="208"/>
      <c r="N365" s="208"/>
      <c r="O365" s="208"/>
      <c r="P365" s="208"/>
      <c r="Q365" s="208"/>
      <c r="R365" s="208"/>
      <c r="S365" s="208"/>
      <c r="T365" s="208"/>
      <c r="U365" s="208"/>
      <c r="V365" s="208"/>
      <c r="W365" s="208"/>
      <c r="X365" s="208"/>
      <c r="Y365" s="208"/>
      <c r="Z365" s="208"/>
      <c r="AA365" s="208"/>
      <c r="AB365" s="208"/>
      <c r="AC365" s="208"/>
      <c r="AD365" s="208"/>
      <c r="AE365" s="208"/>
      <c r="AF365" s="208"/>
      <c r="AG365" s="208"/>
      <c r="AH365" s="208"/>
      <c r="AI365" s="208"/>
      <c r="AJ365" s="208"/>
      <c r="AK365" s="208"/>
    </row>
    <row r="366">
      <c r="A366" s="208"/>
      <c r="B366" s="208"/>
      <c r="C366" s="208"/>
      <c r="D366" s="208"/>
      <c r="E366" s="208"/>
      <c r="F366" s="208"/>
      <c r="G366" s="208"/>
      <c r="H366" s="233"/>
      <c r="I366" s="234"/>
      <c r="J366" s="208"/>
      <c r="K366" s="208"/>
      <c r="L366" s="208"/>
      <c r="M366" s="208"/>
      <c r="N366" s="208"/>
      <c r="O366" s="208"/>
      <c r="P366" s="208"/>
      <c r="Q366" s="208"/>
      <c r="R366" s="208"/>
      <c r="S366" s="208"/>
      <c r="T366" s="208"/>
      <c r="U366" s="208"/>
      <c r="V366" s="208"/>
      <c r="W366" s="208"/>
      <c r="X366" s="208"/>
      <c r="Y366" s="208"/>
      <c r="Z366" s="208"/>
      <c r="AA366" s="208"/>
      <c r="AB366" s="208"/>
      <c r="AC366" s="208"/>
      <c r="AD366" s="208"/>
      <c r="AE366" s="208"/>
      <c r="AF366" s="208"/>
      <c r="AG366" s="208"/>
      <c r="AH366" s="208"/>
      <c r="AI366" s="208"/>
      <c r="AJ366" s="208"/>
      <c r="AK366" s="208"/>
    </row>
    <row r="367">
      <c r="A367" s="208"/>
      <c r="B367" s="208"/>
      <c r="C367" s="208"/>
      <c r="D367" s="208"/>
      <c r="E367" s="208"/>
      <c r="F367" s="208"/>
      <c r="G367" s="208"/>
      <c r="H367" s="233"/>
      <c r="I367" s="234"/>
      <c r="J367" s="208"/>
      <c r="K367" s="208"/>
      <c r="L367" s="208"/>
      <c r="M367" s="208"/>
      <c r="N367" s="208"/>
      <c r="O367" s="208"/>
      <c r="P367" s="208"/>
      <c r="Q367" s="208"/>
      <c r="R367" s="208"/>
      <c r="S367" s="208"/>
      <c r="T367" s="208"/>
      <c r="U367" s="208"/>
      <c r="V367" s="208"/>
      <c r="W367" s="208"/>
      <c r="X367" s="208"/>
      <c r="Y367" s="208"/>
      <c r="Z367" s="208"/>
      <c r="AA367" s="208"/>
      <c r="AB367" s="208"/>
      <c r="AC367" s="208"/>
      <c r="AD367" s="208"/>
      <c r="AE367" s="208"/>
      <c r="AF367" s="208"/>
      <c r="AG367" s="208"/>
      <c r="AH367" s="208"/>
      <c r="AI367" s="208"/>
      <c r="AJ367" s="208"/>
      <c r="AK367" s="208"/>
    </row>
    <row r="368">
      <c r="A368" s="208"/>
      <c r="B368" s="208"/>
      <c r="C368" s="208"/>
      <c r="D368" s="208"/>
      <c r="E368" s="208"/>
      <c r="F368" s="208"/>
      <c r="G368" s="208"/>
      <c r="H368" s="233"/>
      <c r="I368" s="234"/>
      <c r="J368" s="208"/>
      <c r="K368" s="208"/>
      <c r="L368" s="208"/>
      <c r="M368" s="208"/>
      <c r="N368" s="208"/>
      <c r="O368" s="208"/>
      <c r="P368" s="208"/>
      <c r="Q368" s="208"/>
      <c r="R368" s="208"/>
      <c r="S368" s="208"/>
      <c r="T368" s="208"/>
      <c r="U368" s="208"/>
      <c r="V368" s="208"/>
      <c r="W368" s="208"/>
      <c r="X368" s="208"/>
      <c r="Y368" s="208"/>
      <c r="Z368" s="208"/>
      <c r="AA368" s="208"/>
      <c r="AB368" s="208"/>
      <c r="AC368" s="208"/>
      <c r="AD368" s="208"/>
      <c r="AE368" s="208"/>
      <c r="AF368" s="208"/>
      <c r="AG368" s="208"/>
      <c r="AH368" s="208"/>
      <c r="AI368" s="208"/>
      <c r="AJ368" s="208"/>
      <c r="AK368" s="208"/>
    </row>
    <row r="369">
      <c r="A369" s="208"/>
      <c r="B369" s="208"/>
      <c r="C369" s="208"/>
      <c r="D369" s="208"/>
      <c r="E369" s="208"/>
      <c r="F369" s="208"/>
      <c r="G369" s="208"/>
      <c r="H369" s="233"/>
      <c r="I369" s="234"/>
      <c r="J369" s="208"/>
      <c r="K369" s="208"/>
      <c r="L369" s="208"/>
      <c r="M369" s="208"/>
      <c r="N369" s="208"/>
      <c r="O369" s="208"/>
      <c r="P369" s="208"/>
      <c r="Q369" s="208"/>
      <c r="R369" s="208"/>
      <c r="S369" s="208"/>
      <c r="T369" s="208"/>
      <c r="U369" s="208"/>
      <c r="V369" s="208"/>
      <c r="W369" s="208"/>
      <c r="X369" s="208"/>
      <c r="Y369" s="208"/>
      <c r="Z369" s="208"/>
      <c r="AA369" s="208"/>
      <c r="AB369" s="208"/>
      <c r="AC369" s="208"/>
      <c r="AD369" s="208"/>
      <c r="AE369" s="208"/>
      <c r="AF369" s="208"/>
      <c r="AG369" s="208"/>
      <c r="AH369" s="208"/>
      <c r="AI369" s="208"/>
      <c r="AJ369" s="208"/>
      <c r="AK369" s="208"/>
    </row>
    <row r="370">
      <c r="A370" s="208"/>
      <c r="B370" s="208"/>
      <c r="C370" s="208"/>
      <c r="D370" s="208"/>
      <c r="E370" s="208"/>
      <c r="F370" s="208"/>
      <c r="G370" s="208"/>
      <c r="H370" s="233"/>
      <c r="I370" s="234"/>
      <c r="J370" s="208"/>
      <c r="K370" s="208"/>
      <c r="L370" s="208"/>
      <c r="M370" s="208"/>
      <c r="N370" s="208"/>
      <c r="O370" s="208"/>
      <c r="P370" s="208"/>
      <c r="Q370" s="208"/>
      <c r="R370" s="208"/>
      <c r="S370" s="208"/>
      <c r="T370" s="208"/>
      <c r="U370" s="208"/>
      <c r="V370" s="208"/>
      <c r="W370" s="208"/>
      <c r="X370" s="208"/>
      <c r="Y370" s="208"/>
      <c r="Z370" s="208"/>
      <c r="AA370" s="208"/>
      <c r="AB370" s="208"/>
      <c r="AC370" s="208"/>
      <c r="AD370" s="208"/>
      <c r="AE370" s="208"/>
      <c r="AF370" s="208"/>
      <c r="AG370" s="208"/>
      <c r="AH370" s="208"/>
      <c r="AI370" s="208"/>
      <c r="AJ370" s="208"/>
      <c r="AK370" s="208"/>
    </row>
    <row r="371">
      <c r="A371" s="208"/>
      <c r="B371" s="208"/>
      <c r="C371" s="208"/>
      <c r="D371" s="208"/>
      <c r="E371" s="208"/>
      <c r="F371" s="208"/>
      <c r="G371" s="208"/>
      <c r="H371" s="233"/>
      <c r="I371" s="234"/>
      <c r="J371" s="208"/>
      <c r="K371" s="208"/>
      <c r="L371" s="208"/>
      <c r="M371" s="208"/>
      <c r="N371" s="208"/>
      <c r="O371" s="208"/>
      <c r="P371" s="208"/>
      <c r="Q371" s="208"/>
      <c r="R371" s="208"/>
      <c r="S371" s="208"/>
      <c r="T371" s="208"/>
      <c r="U371" s="208"/>
      <c r="V371" s="208"/>
      <c r="W371" s="208"/>
      <c r="X371" s="208"/>
      <c r="Y371" s="208"/>
      <c r="Z371" s="208"/>
      <c r="AA371" s="208"/>
      <c r="AB371" s="208"/>
      <c r="AC371" s="208"/>
      <c r="AD371" s="208"/>
      <c r="AE371" s="208"/>
      <c r="AF371" s="208"/>
      <c r="AG371" s="208"/>
      <c r="AH371" s="208"/>
      <c r="AI371" s="208"/>
      <c r="AJ371" s="208"/>
      <c r="AK371" s="208"/>
    </row>
    <row r="372">
      <c r="A372" s="208"/>
      <c r="B372" s="208"/>
      <c r="C372" s="208"/>
      <c r="D372" s="208"/>
      <c r="E372" s="208"/>
      <c r="F372" s="208"/>
      <c r="G372" s="208"/>
      <c r="H372" s="233"/>
      <c r="I372" s="234"/>
      <c r="J372" s="208"/>
      <c r="K372" s="208"/>
      <c r="L372" s="208"/>
      <c r="M372" s="208"/>
      <c r="N372" s="208"/>
      <c r="O372" s="208"/>
      <c r="P372" s="208"/>
      <c r="Q372" s="208"/>
      <c r="R372" s="208"/>
      <c r="S372" s="208"/>
      <c r="T372" s="208"/>
      <c r="U372" s="208"/>
      <c r="V372" s="208"/>
      <c r="W372" s="208"/>
      <c r="X372" s="208"/>
      <c r="Y372" s="208"/>
      <c r="Z372" s="208"/>
      <c r="AA372" s="208"/>
      <c r="AB372" s="208"/>
      <c r="AC372" s="208"/>
      <c r="AD372" s="208"/>
      <c r="AE372" s="208"/>
      <c r="AF372" s="208"/>
      <c r="AG372" s="208"/>
      <c r="AH372" s="208"/>
      <c r="AI372" s="208"/>
      <c r="AJ372" s="208"/>
      <c r="AK372" s="208"/>
    </row>
    <row r="373">
      <c r="A373" s="208"/>
      <c r="B373" s="208"/>
      <c r="C373" s="208"/>
      <c r="D373" s="208"/>
      <c r="E373" s="208"/>
      <c r="F373" s="208"/>
      <c r="G373" s="208"/>
      <c r="H373" s="233"/>
      <c r="I373" s="234"/>
      <c r="J373" s="208"/>
      <c r="K373" s="208"/>
      <c r="L373" s="208"/>
      <c r="M373" s="208"/>
      <c r="N373" s="208"/>
      <c r="O373" s="208"/>
      <c r="P373" s="208"/>
      <c r="Q373" s="208"/>
      <c r="R373" s="208"/>
      <c r="S373" s="208"/>
      <c r="T373" s="208"/>
      <c r="U373" s="208"/>
      <c r="V373" s="208"/>
      <c r="W373" s="208"/>
      <c r="X373" s="208"/>
      <c r="Y373" s="208"/>
      <c r="Z373" s="208"/>
      <c r="AA373" s="208"/>
      <c r="AB373" s="208"/>
      <c r="AC373" s="208"/>
      <c r="AD373" s="208"/>
      <c r="AE373" s="208"/>
      <c r="AF373" s="208"/>
      <c r="AG373" s="208"/>
      <c r="AH373" s="208"/>
      <c r="AI373" s="208"/>
      <c r="AJ373" s="208"/>
      <c r="AK373" s="208"/>
    </row>
    <row r="374">
      <c r="A374" s="208"/>
      <c r="B374" s="208"/>
      <c r="C374" s="208"/>
      <c r="D374" s="208"/>
      <c r="E374" s="208"/>
      <c r="F374" s="208"/>
      <c r="G374" s="208"/>
      <c r="H374" s="233"/>
      <c r="I374" s="234"/>
      <c r="J374" s="208"/>
      <c r="K374" s="208"/>
      <c r="L374" s="208"/>
      <c r="M374" s="208"/>
      <c r="N374" s="208"/>
      <c r="O374" s="208"/>
      <c r="P374" s="208"/>
      <c r="Q374" s="208"/>
      <c r="R374" s="208"/>
      <c r="S374" s="208"/>
      <c r="T374" s="208"/>
      <c r="U374" s="208"/>
      <c r="V374" s="208"/>
      <c r="W374" s="208"/>
      <c r="X374" s="208"/>
      <c r="Y374" s="208"/>
      <c r="Z374" s="208"/>
      <c r="AA374" s="208"/>
      <c r="AB374" s="208"/>
      <c r="AC374" s="208"/>
      <c r="AD374" s="208"/>
      <c r="AE374" s="208"/>
      <c r="AF374" s="208"/>
      <c r="AG374" s="208"/>
      <c r="AH374" s="208"/>
      <c r="AI374" s="208"/>
      <c r="AJ374" s="208"/>
      <c r="AK374" s="208"/>
    </row>
    <row r="375">
      <c r="A375" s="208"/>
      <c r="B375" s="208"/>
      <c r="C375" s="208"/>
      <c r="D375" s="208"/>
      <c r="E375" s="208"/>
      <c r="F375" s="208"/>
      <c r="G375" s="208"/>
      <c r="H375" s="233"/>
      <c r="I375" s="234"/>
      <c r="J375" s="208"/>
      <c r="K375" s="208"/>
      <c r="L375" s="208"/>
      <c r="M375" s="208"/>
      <c r="N375" s="208"/>
      <c r="O375" s="208"/>
      <c r="P375" s="208"/>
      <c r="Q375" s="208"/>
      <c r="R375" s="208"/>
      <c r="S375" s="208"/>
      <c r="T375" s="208"/>
      <c r="U375" s="208"/>
      <c r="V375" s="208"/>
      <c r="W375" s="208"/>
      <c r="X375" s="208"/>
      <c r="Y375" s="208"/>
      <c r="Z375" s="208"/>
      <c r="AA375" s="208"/>
      <c r="AB375" s="208"/>
      <c r="AC375" s="208"/>
      <c r="AD375" s="208"/>
      <c r="AE375" s="208"/>
      <c r="AF375" s="208"/>
      <c r="AG375" s="208"/>
      <c r="AH375" s="208"/>
      <c r="AI375" s="208"/>
      <c r="AJ375" s="208"/>
      <c r="AK375" s="208"/>
    </row>
    <row r="376">
      <c r="A376" s="208"/>
      <c r="B376" s="208"/>
      <c r="C376" s="208"/>
      <c r="D376" s="208"/>
      <c r="E376" s="208"/>
      <c r="F376" s="208"/>
      <c r="G376" s="208"/>
      <c r="H376" s="233"/>
      <c r="I376" s="234"/>
      <c r="J376" s="208"/>
      <c r="K376" s="208"/>
      <c r="L376" s="208"/>
      <c r="M376" s="208"/>
      <c r="N376" s="208"/>
      <c r="O376" s="208"/>
      <c r="P376" s="208"/>
      <c r="Q376" s="208"/>
      <c r="R376" s="208"/>
      <c r="S376" s="208"/>
      <c r="T376" s="208"/>
      <c r="U376" s="208"/>
      <c r="V376" s="208"/>
      <c r="W376" s="208"/>
      <c r="X376" s="208"/>
      <c r="Y376" s="208"/>
      <c r="Z376" s="208"/>
      <c r="AA376" s="208"/>
      <c r="AB376" s="208"/>
      <c r="AC376" s="208"/>
      <c r="AD376" s="208"/>
      <c r="AE376" s="208"/>
      <c r="AF376" s="208"/>
      <c r="AG376" s="208"/>
      <c r="AH376" s="208"/>
      <c r="AI376" s="208"/>
      <c r="AJ376" s="208"/>
      <c r="AK376" s="208"/>
    </row>
    <row r="377">
      <c r="A377" s="208"/>
      <c r="B377" s="208"/>
      <c r="C377" s="208"/>
      <c r="D377" s="208"/>
      <c r="E377" s="208"/>
      <c r="F377" s="208"/>
      <c r="G377" s="208"/>
      <c r="H377" s="233"/>
      <c r="I377" s="234"/>
      <c r="J377" s="208"/>
      <c r="K377" s="208"/>
      <c r="L377" s="208"/>
      <c r="M377" s="208"/>
      <c r="N377" s="208"/>
      <c r="O377" s="208"/>
      <c r="P377" s="208"/>
      <c r="Q377" s="208"/>
      <c r="R377" s="208"/>
      <c r="S377" s="208"/>
      <c r="T377" s="208"/>
      <c r="U377" s="208"/>
      <c r="V377" s="208"/>
      <c r="W377" s="208"/>
      <c r="X377" s="208"/>
      <c r="Y377" s="208"/>
      <c r="Z377" s="208"/>
      <c r="AA377" s="208"/>
      <c r="AB377" s="208"/>
      <c r="AC377" s="208"/>
      <c r="AD377" s="208"/>
      <c r="AE377" s="208"/>
      <c r="AF377" s="208"/>
      <c r="AG377" s="208"/>
      <c r="AH377" s="208"/>
      <c r="AI377" s="208"/>
      <c r="AJ377" s="208"/>
      <c r="AK377" s="208"/>
    </row>
    <row r="378">
      <c r="A378" s="208"/>
      <c r="B378" s="208"/>
      <c r="C378" s="208"/>
      <c r="D378" s="208"/>
      <c r="E378" s="208"/>
      <c r="F378" s="208"/>
      <c r="G378" s="208"/>
      <c r="H378" s="233"/>
      <c r="I378" s="234"/>
      <c r="J378" s="208"/>
      <c r="K378" s="208"/>
      <c r="L378" s="208"/>
      <c r="M378" s="208"/>
      <c r="N378" s="208"/>
      <c r="O378" s="208"/>
      <c r="P378" s="208"/>
      <c r="Q378" s="208"/>
      <c r="R378" s="208"/>
      <c r="S378" s="208"/>
      <c r="T378" s="208"/>
      <c r="U378" s="208"/>
      <c r="V378" s="208"/>
      <c r="W378" s="208"/>
      <c r="X378" s="208"/>
      <c r="Y378" s="208"/>
      <c r="Z378" s="208"/>
      <c r="AA378" s="208"/>
      <c r="AB378" s="208"/>
      <c r="AC378" s="208"/>
      <c r="AD378" s="208"/>
      <c r="AE378" s="208"/>
      <c r="AF378" s="208"/>
      <c r="AG378" s="208"/>
      <c r="AH378" s="208"/>
      <c r="AI378" s="208"/>
      <c r="AJ378" s="208"/>
      <c r="AK378" s="208"/>
    </row>
    <row r="379">
      <c r="A379" s="208"/>
      <c r="B379" s="208"/>
      <c r="C379" s="208"/>
      <c r="D379" s="208"/>
      <c r="E379" s="208"/>
      <c r="F379" s="208"/>
      <c r="G379" s="208"/>
      <c r="H379" s="233"/>
      <c r="I379" s="234"/>
      <c r="J379" s="208"/>
      <c r="K379" s="208"/>
      <c r="L379" s="208"/>
      <c r="M379" s="208"/>
      <c r="N379" s="208"/>
      <c r="O379" s="208"/>
      <c r="P379" s="208"/>
      <c r="Q379" s="208"/>
      <c r="R379" s="208"/>
      <c r="S379" s="208"/>
      <c r="T379" s="208"/>
      <c r="U379" s="208"/>
      <c r="V379" s="208"/>
      <c r="W379" s="208"/>
      <c r="X379" s="208"/>
      <c r="Y379" s="208"/>
      <c r="Z379" s="208"/>
      <c r="AA379" s="208"/>
      <c r="AB379" s="208"/>
      <c r="AC379" s="208"/>
      <c r="AD379" s="208"/>
      <c r="AE379" s="208"/>
      <c r="AF379" s="208"/>
      <c r="AG379" s="208"/>
      <c r="AH379" s="208"/>
      <c r="AI379" s="208"/>
      <c r="AJ379" s="208"/>
      <c r="AK379" s="208"/>
    </row>
    <row r="380">
      <c r="A380" s="208"/>
      <c r="B380" s="208"/>
      <c r="C380" s="208"/>
      <c r="D380" s="208"/>
      <c r="E380" s="208"/>
      <c r="F380" s="208"/>
      <c r="G380" s="208"/>
      <c r="H380" s="233"/>
      <c r="I380" s="234"/>
      <c r="J380" s="208"/>
      <c r="K380" s="208"/>
      <c r="L380" s="208"/>
      <c r="M380" s="208"/>
      <c r="N380" s="208"/>
      <c r="O380" s="208"/>
      <c r="P380" s="208"/>
      <c r="Q380" s="208"/>
      <c r="R380" s="208"/>
      <c r="S380" s="208"/>
      <c r="T380" s="208"/>
      <c r="U380" s="208"/>
      <c r="V380" s="208"/>
      <c r="W380" s="208"/>
      <c r="X380" s="208"/>
      <c r="Y380" s="208"/>
      <c r="Z380" s="208"/>
      <c r="AA380" s="208"/>
      <c r="AB380" s="208"/>
      <c r="AC380" s="208"/>
      <c r="AD380" s="208"/>
      <c r="AE380" s="208"/>
      <c r="AF380" s="208"/>
      <c r="AG380" s="208"/>
      <c r="AH380" s="208"/>
      <c r="AI380" s="208"/>
      <c r="AJ380" s="208"/>
      <c r="AK380" s="208"/>
    </row>
    <row r="381">
      <c r="A381" s="208"/>
      <c r="B381" s="208"/>
      <c r="C381" s="208"/>
      <c r="D381" s="208"/>
      <c r="E381" s="208"/>
      <c r="F381" s="208"/>
      <c r="G381" s="208"/>
      <c r="H381" s="233"/>
      <c r="I381" s="234"/>
      <c r="J381" s="208"/>
      <c r="K381" s="208"/>
      <c r="L381" s="208"/>
      <c r="M381" s="208"/>
      <c r="N381" s="208"/>
      <c r="O381" s="208"/>
      <c r="P381" s="208"/>
      <c r="Q381" s="208"/>
      <c r="R381" s="208"/>
      <c r="S381" s="208"/>
      <c r="T381" s="208"/>
      <c r="U381" s="208"/>
      <c r="V381" s="208"/>
      <c r="W381" s="208"/>
      <c r="X381" s="208"/>
      <c r="Y381" s="208"/>
      <c r="Z381" s="208"/>
      <c r="AA381" s="208"/>
      <c r="AB381" s="208"/>
      <c r="AC381" s="208"/>
      <c r="AD381" s="208"/>
      <c r="AE381" s="208"/>
      <c r="AF381" s="208"/>
      <c r="AG381" s="208"/>
      <c r="AH381" s="208"/>
      <c r="AI381" s="208"/>
      <c r="AJ381" s="208"/>
      <c r="AK381" s="208"/>
    </row>
    <row r="382">
      <c r="A382" s="208"/>
      <c r="B382" s="208"/>
      <c r="C382" s="208"/>
      <c r="D382" s="208"/>
      <c r="E382" s="208"/>
      <c r="F382" s="208"/>
      <c r="G382" s="208"/>
      <c r="H382" s="233"/>
      <c r="I382" s="234"/>
      <c r="J382" s="208"/>
      <c r="K382" s="208"/>
      <c r="L382" s="208"/>
      <c r="M382" s="208"/>
      <c r="N382" s="208"/>
      <c r="O382" s="208"/>
      <c r="P382" s="208"/>
      <c r="Q382" s="208"/>
      <c r="R382" s="208"/>
      <c r="S382" s="208"/>
      <c r="T382" s="208"/>
      <c r="U382" s="208"/>
      <c r="V382" s="208"/>
      <c r="W382" s="208"/>
      <c r="X382" s="208"/>
      <c r="Y382" s="208"/>
      <c r="Z382" s="208"/>
      <c r="AA382" s="208"/>
      <c r="AB382" s="208"/>
      <c r="AC382" s="208"/>
      <c r="AD382" s="208"/>
      <c r="AE382" s="208"/>
      <c r="AF382" s="208"/>
      <c r="AG382" s="208"/>
      <c r="AH382" s="208"/>
      <c r="AI382" s="208"/>
      <c r="AJ382" s="208"/>
      <c r="AK382" s="208"/>
    </row>
    <row r="383">
      <c r="A383" s="208"/>
      <c r="B383" s="208"/>
      <c r="C383" s="208"/>
      <c r="D383" s="208"/>
      <c r="E383" s="208"/>
      <c r="F383" s="208"/>
      <c r="G383" s="208"/>
      <c r="H383" s="233"/>
      <c r="I383" s="234"/>
      <c r="J383" s="208"/>
      <c r="K383" s="208"/>
      <c r="L383" s="208"/>
      <c r="M383" s="208"/>
      <c r="N383" s="208"/>
      <c r="O383" s="208"/>
      <c r="P383" s="208"/>
      <c r="Q383" s="208"/>
      <c r="R383" s="208"/>
      <c r="S383" s="208"/>
      <c r="T383" s="208"/>
      <c r="U383" s="208"/>
      <c r="V383" s="208"/>
      <c r="W383" s="208"/>
      <c r="X383" s="208"/>
      <c r="Y383" s="208"/>
      <c r="Z383" s="208"/>
      <c r="AA383" s="208"/>
      <c r="AB383" s="208"/>
      <c r="AC383" s="208"/>
      <c r="AD383" s="208"/>
      <c r="AE383" s="208"/>
      <c r="AF383" s="208"/>
      <c r="AG383" s="208"/>
      <c r="AH383" s="208"/>
      <c r="AI383" s="208"/>
      <c r="AJ383" s="208"/>
      <c r="AK383" s="208"/>
    </row>
    <row r="384">
      <c r="A384" s="208"/>
      <c r="B384" s="208"/>
      <c r="C384" s="208"/>
      <c r="D384" s="208"/>
      <c r="E384" s="208"/>
      <c r="F384" s="208"/>
      <c r="G384" s="208"/>
      <c r="H384" s="233"/>
      <c r="I384" s="234"/>
      <c r="J384" s="208"/>
      <c r="K384" s="208"/>
      <c r="L384" s="208"/>
      <c r="M384" s="208"/>
      <c r="N384" s="208"/>
      <c r="O384" s="208"/>
      <c r="P384" s="208"/>
      <c r="Q384" s="208"/>
      <c r="R384" s="208"/>
      <c r="S384" s="208"/>
      <c r="T384" s="208"/>
      <c r="U384" s="208"/>
      <c r="V384" s="208"/>
      <c r="W384" s="208"/>
      <c r="X384" s="208"/>
      <c r="Y384" s="208"/>
      <c r="Z384" s="208"/>
      <c r="AA384" s="208"/>
      <c r="AB384" s="208"/>
      <c r="AC384" s="208"/>
      <c r="AD384" s="208"/>
      <c r="AE384" s="208"/>
      <c r="AF384" s="208"/>
      <c r="AG384" s="208"/>
      <c r="AH384" s="208"/>
      <c r="AI384" s="208"/>
      <c r="AJ384" s="208"/>
      <c r="AK384" s="208"/>
    </row>
    <row r="385">
      <c r="A385" s="208"/>
      <c r="B385" s="208"/>
      <c r="C385" s="208"/>
      <c r="D385" s="208"/>
      <c r="E385" s="208"/>
      <c r="F385" s="208"/>
      <c r="G385" s="208"/>
      <c r="H385" s="233"/>
      <c r="I385" s="234"/>
      <c r="J385" s="208"/>
      <c r="K385" s="208"/>
      <c r="L385" s="208"/>
      <c r="M385" s="208"/>
      <c r="N385" s="208"/>
      <c r="O385" s="208"/>
      <c r="P385" s="208"/>
      <c r="Q385" s="208"/>
      <c r="R385" s="208"/>
      <c r="S385" s="208"/>
      <c r="T385" s="208"/>
      <c r="U385" s="208"/>
      <c r="V385" s="208"/>
      <c r="W385" s="208"/>
      <c r="X385" s="208"/>
      <c r="Y385" s="208"/>
      <c r="Z385" s="208"/>
      <c r="AA385" s="208"/>
      <c r="AB385" s="208"/>
      <c r="AC385" s="208"/>
      <c r="AD385" s="208"/>
      <c r="AE385" s="208"/>
      <c r="AF385" s="208"/>
      <c r="AG385" s="208"/>
      <c r="AH385" s="208"/>
      <c r="AI385" s="208"/>
      <c r="AJ385" s="208"/>
      <c r="AK385" s="208"/>
    </row>
    <row r="386">
      <c r="A386" s="208"/>
      <c r="B386" s="208"/>
      <c r="C386" s="208"/>
      <c r="D386" s="208"/>
      <c r="E386" s="208"/>
      <c r="F386" s="208"/>
      <c r="G386" s="208"/>
      <c r="H386" s="233"/>
      <c r="I386" s="234"/>
      <c r="J386" s="208"/>
      <c r="K386" s="208"/>
      <c r="L386" s="208"/>
      <c r="M386" s="208"/>
      <c r="N386" s="208"/>
      <c r="O386" s="208"/>
      <c r="P386" s="208"/>
      <c r="Q386" s="208"/>
      <c r="R386" s="208"/>
      <c r="S386" s="208"/>
      <c r="T386" s="208"/>
      <c r="U386" s="208"/>
      <c r="V386" s="208"/>
      <c r="W386" s="208"/>
      <c r="X386" s="208"/>
      <c r="Y386" s="208"/>
      <c r="Z386" s="208"/>
      <c r="AA386" s="208"/>
      <c r="AB386" s="208"/>
      <c r="AC386" s="208"/>
      <c r="AD386" s="208"/>
      <c r="AE386" s="208"/>
      <c r="AF386" s="208"/>
      <c r="AG386" s="208"/>
      <c r="AH386" s="208"/>
      <c r="AI386" s="208"/>
      <c r="AJ386" s="208"/>
      <c r="AK386" s="208"/>
    </row>
    <row r="387">
      <c r="A387" s="208"/>
      <c r="B387" s="208"/>
      <c r="C387" s="208"/>
      <c r="D387" s="208"/>
      <c r="E387" s="208"/>
      <c r="F387" s="208"/>
      <c r="G387" s="208"/>
      <c r="H387" s="233"/>
      <c r="I387" s="234"/>
      <c r="J387" s="208"/>
      <c r="K387" s="208"/>
      <c r="L387" s="208"/>
      <c r="M387" s="208"/>
      <c r="N387" s="208"/>
      <c r="O387" s="208"/>
      <c r="P387" s="208"/>
      <c r="Q387" s="208"/>
      <c r="R387" s="208"/>
      <c r="S387" s="208"/>
      <c r="T387" s="208"/>
      <c r="U387" s="208"/>
      <c r="V387" s="208"/>
      <c r="W387" s="208"/>
      <c r="X387" s="208"/>
      <c r="Y387" s="208"/>
      <c r="Z387" s="208"/>
      <c r="AA387" s="208"/>
      <c r="AB387" s="208"/>
      <c r="AC387" s="208"/>
      <c r="AD387" s="208"/>
      <c r="AE387" s="208"/>
      <c r="AF387" s="208"/>
      <c r="AG387" s="208"/>
      <c r="AH387" s="208"/>
      <c r="AI387" s="208"/>
      <c r="AJ387" s="208"/>
      <c r="AK387" s="208"/>
    </row>
    <row r="388">
      <c r="A388" s="208"/>
      <c r="B388" s="208"/>
      <c r="C388" s="208"/>
      <c r="D388" s="208"/>
      <c r="E388" s="208"/>
      <c r="F388" s="208"/>
      <c r="G388" s="208"/>
      <c r="H388" s="233"/>
      <c r="I388" s="234"/>
      <c r="J388" s="208"/>
      <c r="K388" s="208"/>
      <c r="L388" s="208"/>
      <c r="M388" s="208"/>
      <c r="N388" s="208"/>
      <c r="O388" s="208"/>
      <c r="P388" s="208"/>
      <c r="Q388" s="208"/>
      <c r="R388" s="208"/>
      <c r="S388" s="208"/>
      <c r="T388" s="208"/>
      <c r="U388" s="208"/>
      <c r="V388" s="208"/>
      <c r="W388" s="208"/>
      <c r="X388" s="208"/>
      <c r="Y388" s="208"/>
      <c r="Z388" s="208"/>
      <c r="AA388" s="208"/>
      <c r="AB388" s="208"/>
      <c r="AC388" s="208"/>
      <c r="AD388" s="208"/>
      <c r="AE388" s="208"/>
      <c r="AF388" s="208"/>
      <c r="AG388" s="208"/>
      <c r="AH388" s="208"/>
      <c r="AI388" s="208"/>
      <c r="AJ388" s="208"/>
      <c r="AK388" s="208"/>
    </row>
    <row r="389">
      <c r="A389" s="208"/>
      <c r="B389" s="208"/>
      <c r="C389" s="208"/>
      <c r="D389" s="208"/>
      <c r="E389" s="208"/>
      <c r="F389" s="208"/>
      <c r="G389" s="208"/>
      <c r="H389" s="233"/>
      <c r="I389" s="234"/>
      <c r="J389" s="208"/>
      <c r="K389" s="208"/>
      <c r="L389" s="208"/>
      <c r="M389" s="208"/>
      <c r="N389" s="208"/>
      <c r="O389" s="208"/>
      <c r="P389" s="208"/>
      <c r="Q389" s="208"/>
      <c r="R389" s="208"/>
      <c r="S389" s="208"/>
      <c r="T389" s="208"/>
      <c r="U389" s="208"/>
      <c r="V389" s="208"/>
      <c r="W389" s="208"/>
      <c r="X389" s="208"/>
      <c r="Y389" s="208"/>
      <c r="Z389" s="208"/>
      <c r="AA389" s="208"/>
      <c r="AB389" s="208"/>
      <c r="AC389" s="208"/>
      <c r="AD389" s="208"/>
      <c r="AE389" s="208"/>
      <c r="AF389" s="208"/>
      <c r="AG389" s="208"/>
      <c r="AH389" s="208"/>
      <c r="AI389" s="208"/>
      <c r="AJ389" s="208"/>
      <c r="AK389" s="208"/>
    </row>
    <row r="390">
      <c r="A390" s="208"/>
      <c r="B390" s="208"/>
      <c r="C390" s="208"/>
      <c r="D390" s="208"/>
      <c r="E390" s="208"/>
      <c r="F390" s="208"/>
      <c r="G390" s="208"/>
      <c r="H390" s="233"/>
      <c r="I390" s="234"/>
      <c r="J390" s="208"/>
      <c r="K390" s="208"/>
      <c r="L390" s="208"/>
      <c r="M390" s="208"/>
      <c r="N390" s="208"/>
      <c r="O390" s="208"/>
      <c r="P390" s="208"/>
      <c r="Q390" s="208"/>
      <c r="R390" s="208"/>
      <c r="S390" s="208"/>
      <c r="T390" s="208"/>
      <c r="U390" s="208"/>
      <c r="V390" s="208"/>
      <c r="W390" s="208"/>
      <c r="X390" s="208"/>
      <c r="Y390" s="208"/>
      <c r="Z390" s="208"/>
      <c r="AA390" s="208"/>
      <c r="AB390" s="208"/>
      <c r="AC390" s="208"/>
      <c r="AD390" s="208"/>
      <c r="AE390" s="208"/>
      <c r="AF390" s="208"/>
      <c r="AG390" s="208"/>
      <c r="AH390" s="208"/>
      <c r="AI390" s="208"/>
      <c r="AJ390" s="208"/>
      <c r="AK390" s="208"/>
    </row>
    <row r="391">
      <c r="A391" s="208"/>
      <c r="B391" s="208"/>
      <c r="C391" s="208"/>
      <c r="D391" s="208"/>
      <c r="E391" s="208"/>
      <c r="F391" s="208"/>
      <c r="G391" s="208"/>
      <c r="H391" s="233"/>
      <c r="I391" s="234"/>
      <c r="J391" s="208"/>
      <c r="K391" s="208"/>
      <c r="L391" s="208"/>
      <c r="M391" s="208"/>
      <c r="N391" s="208"/>
      <c r="O391" s="208"/>
      <c r="P391" s="208"/>
      <c r="Q391" s="208"/>
      <c r="R391" s="208"/>
      <c r="S391" s="208"/>
      <c r="T391" s="208"/>
      <c r="U391" s="208"/>
      <c r="V391" s="208"/>
      <c r="W391" s="208"/>
      <c r="X391" s="208"/>
      <c r="Y391" s="208"/>
      <c r="Z391" s="208"/>
      <c r="AA391" s="208"/>
      <c r="AB391" s="208"/>
      <c r="AC391" s="208"/>
      <c r="AD391" s="208"/>
      <c r="AE391" s="208"/>
      <c r="AF391" s="208"/>
      <c r="AG391" s="208"/>
      <c r="AH391" s="208"/>
      <c r="AI391" s="208"/>
      <c r="AJ391" s="208"/>
      <c r="AK391" s="208"/>
    </row>
    <row r="392">
      <c r="A392" s="208"/>
      <c r="B392" s="208"/>
      <c r="C392" s="208"/>
      <c r="D392" s="208"/>
      <c r="E392" s="208"/>
      <c r="F392" s="208"/>
      <c r="G392" s="208"/>
      <c r="H392" s="233"/>
      <c r="I392" s="234"/>
      <c r="J392" s="208"/>
      <c r="K392" s="208"/>
      <c r="L392" s="208"/>
      <c r="M392" s="208"/>
      <c r="N392" s="208"/>
      <c r="O392" s="208"/>
      <c r="P392" s="208"/>
      <c r="Q392" s="208"/>
      <c r="R392" s="208"/>
      <c r="S392" s="208"/>
      <c r="T392" s="208"/>
      <c r="U392" s="208"/>
      <c r="V392" s="208"/>
      <c r="W392" s="208"/>
      <c r="X392" s="208"/>
      <c r="Y392" s="208"/>
      <c r="Z392" s="208"/>
      <c r="AA392" s="208"/>
      <c r="AB392" s="208"/>
      <c r="AC392" s="208"/>
      <c r="AD392" s="208"/>
      <c r="AE392" s="208"/>
      <c r="AF392" s="208"/>
      <c r="AG392" s="208"/>
      <c r="AH392" s="208"/>
      <c r="AI392" s="208"/>
      <c r="AJ392" s="208"/>
      <c r="AK392" s="208"/>
    </row>
    <row r="393">
      <c r="A393" s="208"/>
      <c r="B393" s="208"/>
      <c r="C393" s="208"/>
      <c r="D393" s="208"/>
      <c r="E393" s="208"/>
      <c r="F393" s="208"/>
      <c r="G393" s="208"/>
      <c r="H393" s="233"/>
      <c r="I393" s="234"/>
      <c r="J393" s="208"/>
      <c r="K393" s="208"/>
      <c r="L393" s="208"/>
      <c r="M393" s="208"/>
      <c r="N393" s="208"/>
      <c r="O393" s="208"/>
      <c r="P393" s="208"/>
      <c r="Q393" s="208"/>
      <c r="R393" s="208"/>
      <c r="S393" s="208"/>
      <c r="T393" s="208"/>
      <c r="U393" s="208"/>
      <c r="V393" s="208"/>
      <c r="W393" s="208"/>
      <c r="X393" s="208"/>
      <c r="Y393" s="208"/>
      <c r="Z393" s="208"/>
      <c r="AA393" s="208"/>
      <c r="AB393" s="208"/>
      <c r="AC393" s="208"/>
      <c r="AD393" s="208"/>
      <c r="AE393" s="208"/>
      <c r="AF393" s="208"/>
      <c r="AG393" s="208"/>
      <c r="AH393" s="208"/>
      <c r="AI393" s="208"/>
      <c r="AJ393" s="208"/>
      <c r="AK393" s="208"/>
    </row>
    <row r="394">
      <c r="A394" s="208"/>
      <c r="B394" s="208"/>
      <c r="C394" s="208"/>
      <c r="D394" s="208"/>
      <c r="E394" s="208"/>
      <c r="F394" s="208"/>
      <c r="G394" s="208"/>
      <c r="H394" s="233"/>
      <c r="I394" s="234"/>
      <c r="J394" s="208"/>
      <c r="K394" s="208"/>
      <c r="L394" s="208"/>
      <c r="M394" s="208"/>
      <c r="N394" s="208"/>
      <c r="O394" s="208"/>
      <c r="P394" s="208"/>
      <c r="Q394" s="208"/>
      <c r="R394" s="208"/>
      <c r="S394" s="208"/>
      <c r="T394" s="208"/>
      <c r="U394" s="208"/>
      <c r="V394" s="208"/>
      <c r="W394" s="208"/>
      <c r="X394" s="208"/>
      <c r="Y394" s="208"/>
      <c r="Z394" s="208"/>
      <c r="AA394" s="208"/>
      <c r="AB394" s="208"/>
      <c r="AC394" s="208"/>
      <c r="AD394" s="208"/>
      <c r="AE394" s="208"/>
      <c r="AF394" s="208"/>
      <c r="AG394" s="208"/>
      <c r="AH394" s="208"/>
      <c r="AI394" s="208"/>
      <c r="AJ394" s="208"/>
      <c r="AK394" s="208"/>
    </row>
    <row r="395">
      <c r="A395" s="208"/>
      <c r="B395" s="208"/>
      <c r="C395" s="208"/>
      <c r="D395" s="208"/>
      <c r="E395" s="208"/>
      <c r="F395" s="208"/>
      <c r="G395" s="208"/>
      <c r="H395" s="233"/>
      <c r="I395" s="234"/>
      <c r="J395" s="208"/>
      <c r="K395" s="208"/>
      <c r="L395" s="208"/>
      <c r="M395" s="208"/>
      <c r="N395" s="208"/>
      <c r="O395" s="208"/>
      <c r="P395" s="208"/>
      <c r="Q395" s="208"/>
      <c r="R395" s="208"/>
      <c r="S395" s="208"/>
      <c r="T395" s="208"/>
      <c r="U395" s="208"/>
      <c r="V395" s="208"/>
      <c r="W395" s="208"/>
      <c r="X395" s="208"/>
      <c r="Y395" s="208"/>
      <c r="Z395" s="208"/>
      <c r="AA395" s="208"/>
      <c r="AB395" s="208"/>
      <c r="AC395" s="208"/>
      <c r="AD395" s="208"/>
      <c r="AE395" s="208"/>
      <c r="AF395" s="208"/>
      <c r="AG395" s="208"/>
      <c r="AH395" s="208"/>
      <c r="AI395" s="208"/>
      <c r="AJ395" s="208"/>
      <c r="AK395" s="208"/>
    </row>
    <row r="396">
      <c r="A396" s="208"/>
      <c r="B396" s="208"/>
      <c r="C396" s="208"/>
      <c r="D396" s="208"/>
      <c r="E396" s="208"/>
      <c r="F396" s="208"/>
      <c r="G396" s="208"/>
      <c r="H396" s="233"/>
      <c r="I396" s="234"/>
      <c r="J396" s="208"/>
      <c r="K396" s="208"/>
      <c r="L396" s="208"/>
      <c r="M396" s="208"/>
      <c r="N396" s="208"/>
      <c r="O396" s="208"/>
      <c r="P396" s="208"/>
      <c r="Q396" s="208"/>
      <c r="R396" s="208"/>
      <c r="S396" s="208"/>
      <c r="T396" s="208"/>
      <c r="U396" s="208"/>
      <c r="V396" s="208"/>
      <c r="W396" s="208"/>
      <c r="X396" s="208"/>
      <c r="Y396" s="208"/>
      <c r="Z396" s="208"/>
      <c r="AA396" s="208"/>
      <c r="AB396" s="208"/>
      <c r="AC396" s="208"/>
      <c r="AD396" s="208"/>
      <c r="AE396" s="208"/>
      <c r="AF396" s="208"/>
      <c r="AG396" s="208"/>
      <c r="AH396" s="208"/>
      <c r="AI396" s="208"/>
      <c r="AJ396" s="208"/>
      <c r="AK396" s="208"/>
    </row>
    <row r="397">
      <c r="A397" s="208"/>
      <c r="B397" s="208"/>
      <c r="C397" s="208"/>
      <c r="D397" s="208"/>
      <c r="E397" s="208"/>
      <c r="F397" s="208"/>
      <c r="G397" s="208"/>
      <c r="H397" s="233"/>
      <c r="I397" s="234"/>
      <c r="J397" s="208"/>
      <c r="K397" s="208"/>
      <c r="L397" s="208"/>
      <c r="M397" s="208"/>
      <c r="N397" s="208"/>
      <c r="O397" s="208"/>
      <c r="P397" s="208"/>
      <c r="Q397" s="208"/>
      <c r="R397" s="208"/>
      <c r="S397" s="208"/>
      <c r="T397" s="208"/>
      <c r="U397" s="208"/>
      <c r="V397" s="208"/>
      <c r="W397" s="208"/>
      <c r="X397" s="208"/>
      <c r="Y397" s="208"/>
      <c r="Z397" s="208"/>
      <c r="AA397" s="208"/>
      <c r="AB397" s="208"/>
      <c r="AC397" s="208"/>
      <c r="AD397" s="208"/>
      <c r="AE397" s="208"/>
      <c r="AF397" s="208"/>
      <c r="AG397" s="208"/>
      <c r="AH397" s="208"/>
      <c r="AI397" s="208"/>
      <c r="AJ397" s="208"/>
      <c r="AK397" s="208"/>
    </row>
    <row r="398">
      <c r="A398" s="208"/>
      <c r="B398" s="208"/>
      <c r="C398" s="208"/>
      <c r="D398" s="208"/>
      <c r="E398" s="208"/>
      <c r="F398" s="208"/>
      <c r="G398" s="208"/>
      <c r="H398" s="233"/>
      <c r="I398" s="234"/>
      <c r="J398" s="208"/>
      <c r="K398" s="208"/>
      <c r="L398" s="208"/>
      <c r="M398" s="208"/>
      <c r="N398" s="208"/>
      <c r="O398" s="208"/>
      <c r="P398" s="208"/>
      <c r="Q398" s="208"/>
      <c r="R398" s="208"/>
      <c r="S398" s="208"/>
      <c r="T398" s="208"/>
      <c r="U398" s="208"/>
      <c r="V398" s="208"/>
      <c r="W398" s="208"/>
      <c r="X398" s="208"/>
      <c r="Y398" s="208"/>
      <c r="Z398" s="208"/>
      <c r="AA398" s="208"/>
      <c r="AB398" s="208"/>
      <c r="AC398" s="208"/>
      <c r="AD398" s="208"/>
      <c r="AE398" s="208"/>
      <c r="AF398" s="208"/>
      <c r="AG398" s="208"/>
      <c r="AH398" s="208"/>
      <c r="AI398" s="208"/>
      <c r="AJ398" s="208"/>
      <c r="AK398" s="208"/>
    </row>
    <row r="399">
      <c r="A399" s="208"/>
      <c r="B399" s="208"/>
      <c r="C399" s="208"/>
      <c r="D399" s="208"/>
      <c r="E399" s="208"/>
      <c r="F399" s="208"/>
      <c r="G399" s="208"/>
      <c r="H399" s="233"/>
      <c r="I399" s="234"/>
      <c r="J399" s="208"/>
      <c r="K399" s="208"/>
      <c r="L399" s="208"/>
      <c r="M399" s="208"/>
      <c r="N399" s="208"/>
      <c r="O399" s="208"/>
      <c r="P399" s="208"/>
      <c r="Q399" s="208"/>
      <c r="R399" s="208"/>
      <c r="S399" s="208"/>
      <c r="T399" s="208"/>
      <c r="U399" s="208"/>
      <c r="V399" s="208"/>
      <c r="W399" s="208"/>
      <c r="X399" s="208"/>
      <c r="Y399" s="208"/>
      <c r="Z399" s="208"/>
      <c r="AA399" s="208"/>
      <c r="AB399" s="208"/>
      <c r="AC399" s="208"/>
      <c r="AD399" s="208"/>
      <c r="AE399" s="208"/>
      <c r="AF399" s="208"/>
      <c r="AG399" s="208"/>
      <c r="AH399" s="208"/>
      <c r="AI399" s="208"/>
      <c r="AJ399" s="208"/>
      <c r="AK399" s="208"/>
    </row>
    <row r="400">
      <c r="A400" s="208"/>
      <c r="B400" s="208"/>
      <c r="C400" s="208"/>
      <c r="D400" s="208"/>
      <c r="E400" s="208"/>
      <c r="F400" s="208"/>
      <c r="G400" s="208"/>
      <c r="H400" s="233"/>
      <c r="I400" s="234"/>
      <c r="J400" s="208"/>
      <c r="K400" s="208"/>
      <c r="L400" s="208"/>
      <c r="M400" s="208"/>
      <c r="N400" s="208"/>
      <c r="O400" s="208"/>
      <c r="P400" s="208"/>
      <c r="Q400" s="208"/>
      <c r="R400" s="208"/>
      <c r="S400" s="208"/>
      <c r="T400" s="208"/>
      <c r="U400" s="208"/>
      <c r="V400" s="208"/>
      <c r="W400" s="208"/>
      <c r="X400" s="208"/>
      <c r="Y400" s="208"/>
      <c r="Z400" s="208"/>
      <c r="AA400" s="208"/>
      <c r="AB400" s="208"/>
      <c r="AC400" s="208"/>
      <c r="AD400" s="208"/>
      <c r="AE400" s="208"/>
      <c r="AF400" s="208"/>
      <c r="AG400" s="208"/>
      <c r="AH400" s="208"/>
      <c r="AI400" s="208"/>
      <c r="AJ400" s="208"/>
      <c r="AK400" s="208"/>
    </row>
    <row r="401">
      <c r="A401" s="208"/>
      <c r="B401" s="208"/>
      <c r="C401" s="208"/>
      <c r="D401" s="208"/>
      <c r="E401" s="208"/>
      <c r="F401" s="208"/>
      <c r="G401" s="208"/>
      <c r="H401" s="233"/>
      <c r="I401" s="234"/>
      <c r="J401" s="208"/>
      <c r="K401" s="208"/>
      <c r="L401" s="208"/>
      <c r="M401" s="208"/>
      <c r="N401" s="208"/>
      <c r="O401" s="208"/>
      <c r="P401" s="208"/>
      <c r="Q401" s="208"/>
      <c r="R401" s="208"/>
      <c r="S401" s="208"/>
      <c r="T401" s="208"/>
      <c r="U401" s="208"/>
      <c r="V401" s="208"/>
      <c r="W401" s="208"/>
      <c r="X401" s="208"/>
      <c r="Y401" s="208"/>
      <c r="Z401" s="208"/>
      <c r="AA401" s="208"/>
      <c r="AB401" s="208"/>
      <c r="AC401" s="208"/>
      <c r="AD401" s="208"/>
      <c r="AE401" s="208"/>
      <c r="AF401" s="208"/>
      <c r="AG401" s="208"/>
      <c r="AH401" s="208"/>
      <c r="AI401" s="208"/>
      <c r="AJ401" s="208"/>
      <c r="AK401" s="208"/>
    </row>
    <row r="402">
      <c r="A402" s="208"/>
      <c r="B402" s="208"/>
      <c r="C402" s="208"/>
      <c r="D402" s="208"/>
      <c r="E402" s="208"/>
      <c r="F402" s="208"/>
      <c r="G402" s="208"/>
      <c r="H402" s="233"/>
      <c r="I402" s="234"/>
      <c r="J402" s="208"/>
      <c r="K402" s="208"/>
      <c r="L402" s="208"/>
      <c r="M402" s="208"/>
      <c r="N402" s="208"/>
      <c r="O402" s="208"/>
      <c r="P402" s="208"/>
      <c r="Q402" s="208"/>
      <c r="R402" s="208"/>
      <c r="S402" s="208"/>
      <c r="T402" s="208"/>
      <c r="U402" s="208"/>
      <c r="V402" s="208"/>
      <c r="W402" s="208"/>
      <c r="X402" s="208"/>
      <c r="Y402" s="208"/>
      <c r="Z402" s="208"/>
      <c r="AA402" s="208"/>
      <c r="AB402" s="208"/>
      <c r="AC402" s="208"/>
      <c r="AD402" s="208"/>
      <c r="AE402" s="208"/>
      <c r="AF402" s="208"/>
      <c r="AG402" s="208"/>
      <c r="AH402" s="208"/>
      <c r="AI402" s="208"/>
      <c r="AJ402" s="208"/>
      <c r="AK402" s="208"/>
    </row>
    <row r="403">
      <c r="A403" s="208"/>
      <c r="B403" s="208"/>
      <c r="C403" s="208"/>
      <c r="D403" s="208"/>
      <c r="E403" s="208"/>
      <c r="F403" s="208"/>
      <c r="G403" s="208"/>
      <c r="H403" s="233"/>
      <c r="I403" s="234"/>
      <c r="J403" s="208"/>
      <c r="K403" s="208"/>
      <c r="L403" s="208"/>
      <c r="M403" s="208"/>
      <c r="N403" s="208"/>
      <c r="O403" s="208"/>
      <c r="P403" s="208"/>
      <c r="Q403" s="208"/>
      <c r="R403" s="208"/>
      <c r="S403" s="208"/>
      <c r="T403" s="208"/>
      <c r="U403" s="208"/>
      <c r="V403" s="208"/>
      <c r="W403" s="208"/>
      <c r="X403" s="208"/>
      <c r="Y403" s="208"/>
      <c r="Z403" s="208"/>
      <c r="AA403" s="208"/>
      <c r="AB403" s="208"/>
      <c r="AC403" s="208"/>
      <c r="AD403" s="208"/>
      <c r="AE403" s="208"/>
      <c r="AF403" s="208"/>
      <c r="AG403" s="208"/>
      <c r="AH403" s="208"/>
      <c r="AI403" s="208"/>
      <c r="AJ403" s="208"/>
      <c r="AK403" s="208"/>
    </row>
    <row r="404">
      <c r="A404" s="208"/>
      <c r="B404" s="208"/>
      <c r="C404" s="208"/>
      <c r="D404" s="208"/>
      <c r="E404" s="208"/>
      <c r="F404" s="208"/>
      <c r="G404" s="208"/>
      <c r="H404" s="233"/>
      <c r="I404" s="234"/>
      <c r="J404" s="208"/>
      <c r="K404" s="208"/>
      <c r="L404" s="208"/>
      <c r="M404" s="208"/>
      <c r="N404" s="208"/>
      <c r="O404" s="208"/>
      <c r="P404" s="208"/>
      <c r="Q404" s="208"/>
      <c r="R404" s="208"/>
      <c r="S404" s="208"/>
      <c r="T404" s="208"/>
      <c r="U404" s="208"/>
      <c r="V404" s="208"/>
      <c r="W404" s="208"/>
      <c r="X404" s="208"/>
      <c r="Y404" s="208"/>
      <c r="Z404" s="208"/>
      <c r="AA404" s="208"/>
      <c r="AB404" s="208"/>
      <c r="AC404" s="208"/>
      <c r="AD404" s="208"/>
      <c r="AE404" s="208"/>
      <c r="AF404" s="208"/>
      <c r="AG404" s="208"/>
      <c r="AH404" s="208"/>
      <c r="AI404" s="208"/>
      <c r="AJ404" s="208"/>
      <c r="AK404" s="208"/>
    </row>
    <row r="405">
      <c r="A405" s="208"/>
      <c r="B405" s="208"/>
      <c r="C405" s="208"/>
      <c r="D405" s="208"/>
      <c r="E405" s="208"/>
      <c r="F405" s="208"/>
      <c r="G405" s="208"/>
      <c r="H405" s="233"/>
      <c r="I405" s="234"/>
      <c r="J405" s="208"/>
      <c r="K405" s="208"/>
      <c r="L405" s="208"/>
      <c r="M405" s="208"/>
      <c r="N405" s="208"/>
      <c r="O405" s="208"/>
      <c r="P405" s="208"/>
      <c r="Q405" s="208"/>
      <c r="R405" s="208"/>
      <c r="S405" s="208"/>
      <c r="T405" s="208"/>
      <c r="U405" s="208"/>
      <c r="V405" s="208"/>
      <c r="W405" s="208"/>
      <c r="X405" s="208"/>
      <c r="Y405" s="208"/>
      <c r="Z405" s="208"/>
      <c r="AA405" s="208"/>
      <c r="AB405" s="208"/>
      <c r="AC405" s="208"/>
      <c r="AD405" s="208"/>
      <c r="AE405" s="208"/>
      <c r="AF405" s="208"/>
      <c r="AG405" s="208"/>
      <c r="AH405" s="208"/>
      <c r="AI405" s="208"/>
      <c r="AJ405" s="208"/>
      <c r="AK405" s="208"/>
    </row>
    <row r="406">
      <c r="A406" s="208"/>
      <c r="B406" s="208"/>
      <c r="C406" s="208"/>
      <c r="D406" s="208"/>
      <c r="E406" s="208"/>
      <c r="F406" s="208"/>
      <c r="G406" s="208"/>
      <c r="H406" s="233"/>
      <c r="I406" s="234"/>
      <c r="J406" s="208"/>
      <c r="K406" s="208"/>
      <c r="L406" s="208"/>
      <c r="M406" s="208"/>
      <c r="N406" s="208"/>
      <c r="O406" s="208"/>
      <c r="P406" s="208"/>
      <c r="Q406" s="208"/>
      <c r="R406" s="208"/>
      <c r="S406" s="208"/>
      <c r="T406" s="208"/>
      <c r="U406" s="208"/>
      <c r="V406" s="208"/>
      <c r="W406" s="208"/>
      <c r="X406" s="208"/>
      <c r="Y406" s="208"/>
      <c r="Z406" s="208"/>
      <c r="AA406" s="208"/>
      <c r="AB406" s="208"/>
      <c r="AC406" s="208"/>
      <c r="AD406" s="208"/>
      <c r="AE406" s="208"/>
      <c r="AF406" s="208"/>
      <c r="AG406" s="208"/>
      <c r="AH406" s="208"/>
      <c r="AI406" s="208"/>
      <c r="AJ406" s="208"/>
      <c r="AK406" s="208"/>
    </row>
    <row r="407">
      <c r="A407" s="208"/>
      <c r="B407" s="208"/>
      <c r="C407" s="208"/>
      <c r="D407" s="208"/>
      <c r="E407" s="208"/>
      <c r="F407" s="208"/>
      <c r="G407" s="208"/>
      <c r="H407" s="233"/>
      <c r="I407" s="234"/>
      <c r="J407" s="208"/>
      <c r="K407" s="208"/>
      <c r="L407" s="208"/>
      <c r="M407" s="208"/>
      <c r="N407" s="208"/>
      <c r="O407" s="208"/>
      <c r="P407" s="208"/>
      <c r="Q407" s="208"/>
      <c r="R407" s="208"/>
      <c r="S407" s="208"/>
      <c r="T407" s="208"/>
      <c r="U407" s="208"/>
      <c r="V407" s="208"/>
      <c r="W407" s="208"/>
      <c r="X407" s="208"/>
      <c r="Y407" s="208"/>
      <c r="Z407" s="208"/>
      <c r="AA407" s="208"/>
      <c r="AB407" s="208"/>
      <c r="AC407" s="208"/>
      <c r="AD407" s="208"/>
      <c r="AE407" s="208"/>
      <c r="AF407" s="208"/>
      <c r="AG407" s="208"/>
      <c r="AH407" s="208"/>
      <c r="AI407" s="208"/>
      <c r="AJ407" s="208"/>
      <c r="AK407" s="208"/>
    </row>
    <row r="408">
      <c r="A408" s="208"/>
      <c r="B408" s="208"/>
      <c r="C408" s="208"/>
      <c r="D408" s="208"/>
      <c r="E408" s="208"/>
      <c r="F408" s="208"/>
      <c r="G408" s="208"/>
      <c r="H408" s="233"/>
      <c r="I408" s="234"/>
      <c r="J408" s="208"/>
      <c r="K408" s="208"/>
      <c r="L408" s="208"/>
      <c r="M408" s="208"/>
      <c r="N408" s="208"/>
      <c r="O408" s="208"/>
      <c r="P408" s="208"/>
      <c r="Q408" s="208"/>
      <c r="R408" s="208"/>
      <c r="S408" s="208"/>
      <c r="T408" s="208"/>
      <c r="U408" s="208"/>
      <c r="V408" s="208"/>
      <c r="W408" s="208"/>
      <c r="X408" s="208"/>
      <c r="Y408" s="208"/>
      <c r="Z408" s="208"/>
      <c r="AA408" s="208"/>
      <c r="AB408" s="208"/>
      <c r="AC408" s="208"/>
      <c r="AD408" s="208"/>
      <c r="AE408" s="208"/>
      <c r="AF408" s="208"/>
      <c r="AG408" s="208"/>
      <c r="AH408" s="208"/>
      <c r="AI408" s="208"/>
      <c r="AJ408" s="208"/>
      <c r="AK408" s="208"/>
    </row>
    <row r="409">
      <c r="A409" s="208"/>
      <c r="B409" s="208"/>
      <c r="C409" s="208"/>
      <c r="D409" s="208"/>
      <c r="E409" s="208"/>
      <c r="F409" s="208"/>
      <c r="G409" s="208"/>
      <c r="H409" s="233"/>
      <c r="I409" s="234"/>
      <c r="J409" s="208"/>
      <c r="K409" s="208"/>
      <c r="L409" s="208"/>
      <c r="M409" s="208"/>
      <c r="N409" s="208"/>
      <c r="O409" s="208"/>
      <c r="P409" s="208"/>
      <c r="Q409" s="208"/>
      <c r="R409" s="208"/>
      <c r="S409" s="208"/>
      <c r="T409" s="208"/>
      <c r="U409" s="208"/>
      <c r="V409" s="208"/>
      <c r="W409" s="208"/>
      <c r="X409" s="208"/>
      <c r="Y409" s="208"/>
      <c r="Z409" s="208"/>
      <c r="AA409" s="208"/>
      <c r="AB409" s="208"/>
      <c r="AC409" s="208"/>
      <c r="AD409" s="208"/>
      <c r="AE409" s="208"/>
      <c r="AF409" s="208"/>
      <c r="AG409" s="208"/>
      <c r="AH409" s="208"/>
      <c r="AI409" s="208"/>
      <c r="AJ409" s="208"/>
      <c r="AK409" s="208"/>
    </row>
    <row r="410">
      <c r="A410" s="208"/>
      <c r="B410" s="208"/>
      <c r="C410" s="208"/>
      <c r="D410" s="208"/>
      <c r="E410" s="208"/>
      <c r="F410" s="208"/>
      <c r="G410" s="208"/>
      <c r="H410" s="233"/>
      <c r="I410" s="234"/>
      <c r="J410" s="208"/>
      <c r="K410" s="208"/>
      <c r="L410" s="208"/>
      <c r="M410" s="208"/>
      <c r="N410" s="208"/>
      <c r="O410" s="208"/>
      <c r="P410" s="208"/>
      <c r="Q410" s="208"/>
      <c r="R410" s="208"/>
      <c r="S410" s="208"/>
      <c r="T410" s="208"/>
      <c r="U410" s="208"/>
      <c r="V410" s="208"/>
      <c r="W410" s="208"/>
      <c r="X410" s="208"/>
      <c r="Y410" s="208"/>
      <c r="Z410" s="208"/>
      <c r="AA410" s="208"/>
      <c r="AB410" s="208"/>
      <c r="AC410" s="208"/>
      <c r="AD410" s="208"/>
      <c r="AE410" s="208"/>
      <c r="AF410" s="208"/>
      <c r="AG410" s="208"/>
      <c r="AH410" s="208"/>
      <c r="AI410" s="208"/>
      <c r="AJ410" s="208"/>
      <c r="AK410" s="208"/>
    </row>
    <row r="411">
      <c r="A411" s="208"/>
      <c r="B411" s="208"/>
      <c r="C411" s="208"/>
      <c r="D411" s="208"/>
      <c r="E411" s="208"/>
      <c r="F411" s="208"/>
      <c r="G411" s="208"/>
      <c r="H411" s="233"/>
      <c r="I411" s="234"/>
      <c r="J411" s="208"/>
      <c r="K411" s="208"/>
      <c r="L411" s="208"/>
      <c r="M411" s="208"/>
      <c r="N411" s="208"/>
      <c r="O411" s="208"/>
      <c r="P411" s="208"/>
      <c r="Q411" s="208"/>
      <c r="R411" s="208"/>
      <c r="S411" s="208"/>
      <c r="T411" s="208"/>
      <c r="U411" s="208"/>
      <c r="V411" s="208"/>
      <c r="W411" s="208"/>
      <c r="X411" s="208"/>
      <c r="Y411" s="208"/>
      <c r="Z411" s="208"/>
      <c r="AA411" s="208"/>
      <c r="AB411" s="208"/>
      <c r="AC411" s="208"/>
      <c r="AD411" s="208"/>
      <c r="AE411" s="208"/>
      <c r="AF411" s="208"/>
      <c r="AG411" s="208"/>
      <c r="AH411" s="208"/>
      <c r="AI411" s="208"/>
      <c r="AJ411" s="208"/>
      <c r="AK411" s="208"/>
    </row>
    <row r="412">
      <c r="A412" s="208"/>
      <c r="B412" s="208"/>
      <c r="C412" s="208"/>
      <c r="D412" s="208"/>
      <c r="E412" s="208"/>
      <c r="F412" s="208"/>
      <c r="G412" s="208"/>
      <c r="H412" s="233"/>
      <c r="I412" s="234"/>
      <c r="J412" s="208"/>
      <c r="K412" s="208"/>
      <c r="L412" s="208"/>
      <c r="M412" s="208"/>
      <c r="N412" s="208"/>
      <c r="O412" s="208"/>
      <c r="P412" s="208"/>
      <c r="Q412" s="208"/>
      <c r="R412" s="208"/>
      <c r="S412" s="208"/>
      <c r="T412" s="208"/>
      <c r="U412" s="208"/>
      <c r="V412" s="208"/>
      <c r="W412" s="208"/>
      <c r="X412" s="208"/>
      <c r="Y412" s="208"/>
      <c r="Z412" s="208"/>
      <c r="AA412" s="208"/>
      <c r="AB412" s="208"/>
      <c r="AC412" s="208"/>
      <c r="AD412" s="208"/>
      <c r="AE412" s="208"/>
      <c r="AF412" s="208"/>
      <c r="AG412" s="208"/>
      <c r="AH412" s="208"/>
      <c r="AI412" s="208"/>
      <c r="AJ412" s="208"/>
      <c r="AK412" s="208"/>
    </row>
    <row r="413">
      <c r="A413" s="208"/>
      <c r="B413" s="208"/>
      <c r="C413" s="208"/>
      <c r="D413" s="208"/>
      <c r="E413" s="208"/>
      <c r="F413" s="208"/>
      <c r="G413" s="208"/>
      <c r="H413" s="233"/>
      <c r="I413" s="234"/>
      <c r="J413" s="208"/>
      <c r="K413" s="208"/>
      <c r="L413" s="208"/>
      <c r="M413" s="208"/>
      <c r="N413" s="208"/>
      <c r="O413" s="208"/>
      <c r="P413" s="208"/>
      <c r="Q413" s="208"/>
      <c r="R413" s="208"/>
      <c r="S413" s="208"/>
      <c r="T413" s="208"/>
      <c r="U413" s="208"/>
      <c r="V413" s="208"/>
      <c r="W413" s="208"/>
      <c r="X413" s="208"/>
      <c r="Y413" s="208"/>
      <c r="Z413" s="208"/>
      <c r="AA413" s="208"/>
      <c r="AB413" s="208"/>
      <c r="AC413" s="208"/>
      <c r="AD413" s="208"/>
      <c r="AE413" s="208"/>
      <c r="AF413" s="208"/>
      <c r="AG413" s="208"/>
      <c r="AH413" s="208"/>
      <c r="AI413" s="208"/>
      <c r="AJ413" s="208"/>
      <c r="AK413" s="208"/>
    </row>
    <row r="414">
      <c r="A414" s="208"/>
      <c r="B414" s="208"/>
      <c r="C414" s="208"/>
      <c r="D414" s="208"/>
      <c r="E414" s="208"/>
      <c r="F414" s="208"/>
      <c r="G414" s="208"/>
      <c r="H414" s="233"/>
      <c r="I414" s="234"/>
      <c r="J414" s="208"/>
      <c r="K414" s="208"/>
      <c r="L414" s="208"/>
      <c r="M414" s="208"/>
      <c r="N414" s="208"/>
      <c r="O414" s="208"/>
      <c r="P414" s="208"/>
      <c r="Q414" s="208"/>
      <c r="R414" s="208"/>
      <c r="S414" s="208"/>
      <c r="T414" s="208"/>
      <c r="U414" s="208"/>
      <c r="V414" s="208"/>
      <c r="W414" s="208"/>
      <c r="X414" s="208"/>
      <c r="Y414" s="208"/>
      <c r="Z414" s="208"/>
      <c r="AA414" s="208"/>
      <c r="AB414" s="208"/>
      <c r="AC414" s="208"/>
      <c r="AD414" s="208"/>
      <c r="AE414" s="208"/>
      <c r="AF414" s="208"/>
      <c r="AG414" s="208"/>
      <c r="AH414" s="208"/>
      <c r="AI414" s="208"/>
      <c r="AJ414" s="208"/>
      <c r="AK414" s="208"/>
    </row>
    <row r="415">
      <c r="A415" s="208"/>
      <c r="B415" s="208"/>
      <c r="C415" s="208"/>
      <c r="D415" s="208"/>
      <c r="E415" s="208"/>
      <c r="F415" s="208"/>
      <c r="G415" s="208"/>
      <c r="H415" s="233"/>
      <c r="I415" s="234"/>
      <c r="J415" s="208"/>
      <c r="K415" s="208"/>
      <c r="L415" s="208"/>
      <c r="M415" s="208"/>
      <c r="N415" s="208"/>
      <c r="O415" s="208"/>
      <c r="P415" s="208"/>
      <c r="Q415" s="208"/>
      <c r="R415" s="208"/>
      <c r="S415" s="208"/>
      <c r="T415" s="208"/>
      <c r="U415" s="208"/>
      <c r="V415" s="208"/>
      <c r="W415" s="208"/>
      <c r="X415" s="208"/>
      <c r="Y415" s="208"/>
      <c r="Z415" s="208"/>
      <c r="AA415" s="208"/>
      <c r="AB415" s="208"/>
      <c r="AC415" s="208"/>
      <c r="AD415" s="208"/>
      <c r="AE415" s="208"/>
      <c r="AF415" s="208"/>
      <c r="AG415" s="208"/>
      <c r="AH415" s="208"/>
      <c r="AI415" s="208"/>
      <c r="AJ415" s="208"/>
      <c r="AK415" s="208"/>
    </row>
    <row r="416">
      <c r="A416" s="208"/>
      <c r="B416" s="208"/>
      <c r="C416" s="208"/>
      <c r="D416" s="208"/>
      <c r="E416" s="208"/>
      <c r="F416" s="208"/>
      <c r="G416" s="208"/>
      <c r="H416" s="233"/>
      <c r="I416" s="234"/>
      <c r="J416" s="208"/>
      <c r="K416" s="208"/>
      <c r="L416" s="208"/>
      <c r="M416" s="208"/>
      <c r="N416" s="208"/>
      <c r="O416" s="208"/>
      <c r="P416" s="208"/>
      <c r="Q416" s="208"/>
      <c r="R416" s="208"/>
      <c r="S416" s="208"/>
      <c r="T416" s="208"/>
      <c r="U416" s="208"/>
      <c r="V416" s="208"/>
      <c r="W416" s="208"/>
      <c r="X416" s="208"/>
      <c r="Y416" s="208"/>
      <c r="Z416" s="208"/>
      <c r="AA416" s="208"/>
      <c r="AB416" s="208"/>
      <c r="AC416" s="208"/>
      <c r="AD416" s="208"/>
      <c r="AE416" s="208"/>
      <c r="AF416" s="208"/>
      <c r="AG416" s="208"/>
      <c r="AH416" s="208"/>
      <c r="AI416" s="208"/>
      <c r="AJ416" s="208"/>
      <c r="AK416" s="208"/>
    </row>
    <row r="417">
      <c r="A417" s="208"/>
      <c r="B417" s="208"/>
      <c r="C417" s="208"/>
      <c r="D417" s="208"/>
      <c r="E417" s="208"/>
      <c r="F417" s="208"/>
      <c r="G417" s="208"/>
      <c r="H417" s="233"/>
      <c r="I417" s="234"/>
      <c r="J417" s="208"/>
      <c r="K417" s="208"/>
      <c r="L417" s="208"/>
      <c r="M417" s="208"/>
      <c r="N417" s="208"/>
      <c r="O417" s="208"/>
      <c r="P417" s="208"/>
      <c r="Q417" s="208"/>
      <c r="R417" s="208"/>
      <c r="S417" s="208"/>
      <c r="T417" s="208"/>
      <c r="U417" s="208"/>
      <c r="V417" s="208"/>
      <c r="W417" s="208"/>
      <c r="X417" s="208"/>
      <c r="Y417" s="208"/>
      <c r="Z417" s="208"/>
      <c r="AA417" s="208"/>
      <c r="AB417" s="208"/>
      <c r="AC417" s="208"/>
      <c r="AD417" s="208"/>
      <c r="AE417" s="208"/>
      <c r="AF417" s="208"/>
      <c r="AG417" s="208"/>
      <c r="AH417" s="208"/>
      <c r="AI417" s="208"/>
      <c r="AJ417" s="208"/>
      <c r="AK417" s="208"/>
    </row>
    <row r="418">
      <c r="A418" s="208"/>
      <c r="B418" s="208"/>
      <c r="C418" s="208"/>
      <c r="D418" s="208"/>
      <c r="E418" s="208"/>
      <c r="F418" s="208"/>
      <c r="G418" s="208"/>
      <c r="H418" s="233"/>
      <c r="I418" s="234"/>
      <c r="J418" s="208"/>
      <c r="K418" s="208"/>
      <c r="L418" s="208"/>
      <c r="M418" s="208"/>
      <c r="N418" s="208"/>
      <c r="O418" s="208"/>
      <c r="P418" s="208"/>
      <c r="Q418" s="208"/>
      <c r="R418" s="208"/>
      <c r="S418" s="208"/>
      <c r="T418" s="208"/>
      <c r="U418" s="208"/>
      <c r="V418" s="208"/>
      <c r="W418" s="208"/>
      <c r="X418" s="208"/>
      <c r="Y418" s="208"/>
      <c r="Z418" s="208"/>
      <c r="AA418" s="208"/>
      <c r="AB418" s="208"/>
      <c r="AC418" s="208"/>
      <c r="AD418" s="208"/>
      <c r="AE418" s="208"/>
      <c r="AF418" s="208"/>
      <c r="AG418" s="208"/>
      <c r="AH418" s="208"/>
      <c r="AI418" s="208"/>
      <c r="AJ418" s="208"/>
      <c r="AK418" s="208"/>
    </row>
    <row r="419">
      <c r="A419" s="208"/>
      <c r="B419" s="208"/>
      <c r="C419" s="208"/>
      <c r="D419" s="208"/>
      <c r="E419" s="208"/>
      <c r="F419" s="208"/>
      <c r="G419" s="208"/>
      <c r="H419" s="233"/>
      <c r="I419" s="234"/>
      <c r="J419" s="208"/>
      <c r="K419" s="208"/>
      <c r="L419" s="208"/>
      <c r="M419" s="208"/>
      <c r="N419" s="208"/>
      <c r="O419" s="208"/>
      <c r="P419" s="208"/>
      <c r="Q419" s="208"/>
      <c r="R419" s="208"/>
      <c r="S419" s="208"/>
      <c r="T419" s="208"/>
      <c r="U419" s="208"/>
      <c r="V419" s="208"/>
      <c r="W419" s="208"/>
      <c r="X419" s="208"/>
      <c r="Y419" s="208"/>
      <c r="Z419" s="208"/>
      <c r="AA419" s="208"/>
      <c r="AB419" s="208"/>
      <c r="AC419" s="208"/>
      <c r="AD419" s="208"/>
      <c r="AE419" s="208"/>
      <c r="AF419" s="208"/>
      <c r="AG419" s="208"/>
      <c r="AH419" s="208"/>
      <c r="AI419" s="208"/>
      <c r="AJ419" s="208"/>
      <c r="AK419" s="208"/>
    </row>
    <row r="420">
      <c r="A420" s="208"/>
      <c r="B420" s="208"/>
      <c r="C420" s="208"/>
      <c r="D420" s="208"/>
      <c r="E420" s="208"/>
      <c r="F420" s="208"/>
      <c r="G420" s="208"/>
      <c r="H420" s="233"/>
      <c r="I420" s="234"/>
      <c r="J420" s="208"/>
      <c r="K420" s="208"/>
      <c r="L420" s="208"/>
      <c r="M420" s="208"/>
      <c r="N420" s="208"/>
      <c r="O420" s="208"/>
      <c r="P420" s="208"/>
      <c r="Q420" s="208"/>
      <c r="R420" s="208"/>
      <c r="S420" s="208"/>
      <c r="T420" s="208"/>
      <c r="U420" s="208"/>
      <c r="V420" s="208"/>
      <c r="W420" s="208"/>
      <c r="X420" s="208"/>
      <c r="Y420" s="208"/>
      <c r="Z420" s="208"/>
      <c r="AA420" s="208"/>
      <c r="AB420" s="208"/>
      <c r="AC420" s="208"/>
      <c r="AD420" s="208"/>
      <c r="AE420" s="208"/>
      <c r="AF420" s="208"/>
      <c r="AG420" s="208"/>
      <c r="AH420" s="208"/>
      <c r="AI420" s="208"/>
      <c r="AJ420" s="208"/>
      <c r="AK420" s="208"/>
    </row>
    <row r="421">
      <c r="A421" s="208"/>
      <c r="B421" s="208"/>
      <c r="C421" s="208"/>
      <c r="D421" s="208"/>
      <c r="E421" s="208"/>
      <c r="F421" s="208"/>
      <c r="G421" s="208"/>
      <c r="H421" s="233"/>
      <c r="I421" s="234"/>
      <c r="J421" s="208"/>
      <c r="K421" s="208"/>
      <c r="L421" s="208"/>
      <c r="M421" s="208"/>
      <c r="N421" s="208"/>
      <c r="O421" s="208"/>
      <c r="P421" s="208"/>
      <c r="Q421" s="208"/>
      <c r="R421" s="208"/>
      <c r="S421" s="208"/>
      <c r="T421" s="208"/>
      <c r="U421" s="208"/>
      <c r="V421" s="208"/>
      <c r="W421" s="208"/>
      <c r="X421" s="208"/>
      <c r="Y421" s="208"/>
      <c r="Z421" s="208"/>
      <c r="AA421" s="208"/>
      <c r="AB421" s="208"/>
      <c r="AC421" s="208"/>
      <c r="AD421" s="208"/>
      <c r="AE421" s="208"/>
      <c r="AF421" s="208"/>
      <c r="AG421" s="208"/>
      <c r="AH421" s="208"/>
      <c r="AI421" s="208"/>
      <c r="AJ421" s="208"/>
      <c r="AK421" s="208"/>
    </row>
    <row r="422">
      <c r="A422" s="208"/>
      <c r="B422" s="208"/>
      <c r="C422" s="208"/>
      <c r="D422" s="208"/>
      <c r="E422" s="208"/>
      <c r="F422" s="208"/>
      <c r="G422" s="208"/>
      <c r="H422" s="233"/>
      <c r="I422" s="234"/>
      <c r="J422" s="208"/>
      <c r="K422" s="208"/>
      <c r="L422" s="208"/>
      <c r="M422" s="208"/>
      <c r="N422" s="208"/>
      <c r="O422" s="208"/>
      <c r="P422" s="208"/>
      <c r="Q422" s="208"/>
      <c r="R422" s="208"/>
      <c r="S422" s="208"/>
      <c r="T422" s="208"/>
      <c r="U422" s="208"/>
      <c r="V422" s="208"/>
      <c r="W422" s="208"/>
      <c r="X422" s="208"/>
      <c r="Y422" s="208"/>
      <c r="Z422" s="208"/>
      <c r="AA422" s="208"/>
      <c r="AB422" s="208"/>
      <c r="AC422" s="208"/>
      <c r="AD422" s="208"/>
      <c r="AE422" s="208"/>
      <c r="AF422" s="208"/>
      <c r="AG422" s="208"/>
      <c r="AH422" s="208"/>
      <c r="AI422" s="208"/>
      <c r="AJ422" s="208"/>
      <c r="AK422" s="208"/>
    </row>
    <row r="423">
      <c r="A423" s="208"/>
      <c r="B423" s="208"/>
      <c r="C423" s="208"/>
      <c r="D423" s="208"/>
      <c r="E423" s="208"/>
      <c r="F423" s="208"/>
      <c r="G423" s="208"/>
      <c r="H423" s="233"/>
      <c r="I423" s="234"/>
      <c r="J423" s="208"/>
      <c r="K423" s="208"/>
      <c r="L423" s="208"/>
      <c r="M423" s="208"/>
      <c r="N423" s="208"/>
      <c r="O423" s="208"/>
      <c r="P423" s="208"/>
      <c r="Q423" s="208"/>
      <c r="R423" s="208"/>
      <c r="S423" s="208"/>
      <c r="T423" s="208"/>
      <c r="U423" s="208"/>
      <c r="V423" s="208"/>
      <c r="W423" s="208"/>
      <c r="X423" s="208"/>
      <c r="Y423" s="208"/>
      <c r="Z423" s="208"/>
      <c r="AA423" s="208"/>
      <c r="AB423" s="208"/>
      <c r="AC423" s="208"/>
      <c r="AD423" s="208"/>
      <c r="AE423" s="208"/>
      <c r="AF423" s="208"/>
      <c r="AG423" s="208"/>
      <c r="AH423" s="208"/>
      <c r="AI423" s="208"/>
      <c r="AJ423" s="208"/>
      <c r="AK423" s="208"/>
    </row>
    <row r="424">
      <c r="A424" s="208"/>
      <c r="B424" s="208"/>
      <c r="C424" s="208"/>
      <c r="D424" s="208"/>
      <c r="E424" s="208"/>
      <c r="F424" s="208"/>
      <c r="G424" s="208"/>
      <c r="H424" s="233"/>
      <c r="I424" s="234"/>
      <c r="J424" s="208"/>
      <c r="K424" s="208"/>
      <c r="L424" s="208"/>
      <c r="M424" s="208"/>
      <c r="N424" s="208"/>
      <c r="O424" s="208"/>
      <c r="P424" s="208"/>
      <c r="Q424" s="208"/>
      <c r="R424" s="208"/>
      <c r="S424" s="208"/>
      <c r="T424" s="208"/>
      <c r="U424" s="208"/>
      <c r="V424" s="208"/>
      <c r="W424" s="208"/>
      <c r="X424" s="208"/>
      <c r="Y424" s="208"/>
      <c r="Z424" s="208"/>
      <c r="AA424" s="208"/>
      <c r="AB424" s="208"/>
      <c r="AC424" s="208"/>
      <c r="AD424" s="208"/>
      <c r="AE424" s="208"/>
      <c r="AF424" s="208"/>
      <c r="AG424" s="208"/>
      <c r="AH424" s="208"/>
      <c r="AI424" s="208"/>
      <c r="AJ424" s="208"/>
      <c r="AK424" s="208"/>
    </row>
    <row r="425">
      <c r="A425" s="208"/>
      <c r="B425" s="208"/>
      <c r="C425" s="208"/>
      <c r="D425" s="208"/>
      <c r="E425" s="208"/>
      <c r="F425" s="208"/>
      <c r="G425" s="208"/>
      <c r="H425" s="233"/>
      <c r="I425" s="234"/>
      <c r="J425" s="208"/>
      <c r="K425" s="208"/>
      <c r="L425" s="208"/>
      <c r="M425" s="208"/>
      <c r="N425" s="208"/>
      <c r="O425" s="208"/>
      <c r="P425" s="208"/>
      <c r="Q425" s="208"/>
      <c r="R425" s="208"/>
      <c r="S425" s="208"/>
      <c r="T425" s="208"/>
      <c r="U425" s="208"/>
      <c r="V425" s="208"/>
      <c r="W425" s="208"/>
      <c r="X425" s="208"/>
      <c r="Y425" s="208"/>
      <c r="Z425" s="208"/>
      <c r="AA425" s="208"/>
      <c r="AB425" s="208"/>
      <c r="AC425" s="208"/>
      <c r="AD425" s="208"/>
      <c r="AE425" s="208"/>
      <c r="AF425" s="208"/>
      <c r="AG425" s="208"/>
      <c r="AH425" s="208"/>
      <c r="AI425" s="208"/>
      <c r="AJ425" s="208"/>
      <c r="AK425" s="208"/>
    </row>
    <row r="426">
      <c r="A426" s="208"/>
      <c r="B426" s="208"/>
      <c r="C426" s="208"/>
      <c r="D426" s="208"/>
      <c r="E426" s="208"/>
      <c r="F426" s="208"/>
      <c r="G426" s="208"/>
      <c r="H426" s="233"/>
      <c r="I426" s="234"/>
      <c r="J426" s="208"/>
      <c r="K426" s="208"/>
      <c r="L426" s="208"/>
      <c r="M426" s="208"/>
      <c r="N426" s="208"/>
      <c r="O426" s="208"/>
      <c r="P426" s="208"/>
      <c r="Q426" s="208"/>
      <c r="R426" s="208"/>
      <c r="S426" s="208"/>
      <c r="T426" s="208"/>
      <c r="U426" s="208"/>
      <c r="V426" s="208"/>
      <c r="W426" s="208"/>
      <c r="X426" s="208"/>
      <c r="Y426" s="208"/>
      <c r="Z426" s="208"/>
      <c r="AA426" s="208"/>
      <c r="AB426" s="208"/>
      <c r="AC426" s="208"/>
      <c r="AD426" s="208"/>
      <c r="AE426" s="208"/>
      <c r="AF426" s="208"/>
      <c r="AG426" s="208"/>
      <c r="AH426" s="208"/>
      <c r="AI426" s="208"/>
      <c r="AJ426" s="208"/>
      <c r="AK426" s="208"/>
    </row>
    <row r="427">
      <c r="A427" s="208"/>
      <c r="B427" s="208"/>
      <c r="C427" s="208"/>
      <c r="D427" s="208"/>
      <c r="E427" s="208"/>
      <c r="F427" s="208"/>
      <c r="G427" s="208"/>
      <c r="H427" s="233"/>
      <c r="I427" s="234"/>
      <c r="J427" s="208"/>
      <c r="K427" s="208"/>
      <c r="L427" s="208"/>
      <c r="M427" s="208"/>
      <c r="N427" s="208"/>
      <c r="O427" s="208"/>
      <c r="P427" s="208"/>
      <c r="Q427" s="208"/>
      <c r="R427" s="208"/>
      <c r="S427" s="208"/>
      <c r="T427" s="208"/>
      <c r="U427" s="208"/>
      <c r="V427" s="208"/>
      <c r="W427" s="208"/>
      <c r="X427" s="208"/>
      <c r="Y427" s="208"/>
      <c r="Z427" s="208"/>
      <c r="AA427" s="208"/>
      <c r="AB427" s="208"/>
      <c r="AC427" s="208"/>
      <c r="AD427" s="208"/>
      <c r="AE427" s="208"/>
      <c r="AF427" s="208"/>
      <c r="AG427" s="208"/>
      <c r="AH427" s="208"/>
      <c r="AI427" s="208"/>
      <c r="AJ427" s="208"/>
      <c r="AK427" s="208"/>
    </row>
    <row r="428">
      <c r="A428" s="208"/>
      <c r="B428" s="208"/>
      <c r="C428" s="208"/>
      <c r="D428" s="208"/>
      <c r="E428" s="208"/>
      <c r="F428" s="208"/>
      <c r="G428" s="208"/>
      <c r="H428" s="233"/>
      <c r="I428" s="234"/>
      <c r="J428" s="208"/>
      <c r="K428" s="208"/>
      <c r="L428" s="208"/>
      <c r="M428" s="208"/>
      <c r="N428" s="208"/>
      <c r="O428" s="208"/>
      <c r="P428" s="208"/>
      <c r="Q428" s="208"/>
      <c r="R428" s="208"/>
      <c r="S428" s="208"/>
      <c r="T428" s="208"/>
      <c r="U428" s="208"/>
      <c r="V428" s="208"/>
      <c r="W428" s="208"/>
      <c r="X428" s="208"/>
      <c r="Y428" s="208"/>
      <c r="Z428" s="208"/>
      <c r="AA428" s="208"/>
      <c r="AB428" s="208"/>
      <c r="AC428" s="208"/>
      <c r="AD428" s="208"/>
      <c r="AE428" s="208"/>
      <c r="AF428" s="208"/>
      <c r="AG428" s="208"/>
      <c r="AH428" s="208"/>
      <c r="AI428" s="208"/>
      <c r="AJ428" s="208"/>
      <c r="AK428" s="208"/>
    </row>
    <row r="429">
      <c r="A429" s="208"/>
      <c r="B429" s="208"/>
      <c r="C429" s="208"/>
      <c r="D429" s="208"/>
      <c r="E429" s="208"/>
      <c r="F429" s="208"/>
      <c r="G429" s="208"/>
      <c r="H429" s="233"/>
      <c r="I429" s="234"/>
      <c r="J429" s="208"/>
      <c r="K429" s="208"/>
      <c r="L429" s="208"/>
      <c r="M429" s="208"/>
      <c r="N429" s="208"/>
      <c r="O429" s="208"/>
      <c r="P429" s="208"/>
      <c r="Q429" s="208"/>
      <c r="R429" s="208"/>
      <c r="S429" s="208"/>
      <c r="T429" s="208"/>
      <c r="U429" s="208"/>
      <c r="V429" s="208"/>
      <c r="W429" s="208"/>
      <c r="X429" s="208"/>
      <c r="Y429" s="208"/>
      <c r="Z429" s="208"/>
      <c r="AA429" s="208"/>
      <c r="AB429" s="208"/>
      <c r="AC429" s="208"/>
      <c r="AD429" s="208"/>
      <c r="AE429" s="208"/>
      <c r="AF429" s="208"/>
      <c r="AG429" s="208"/>
      <c r="AH429" s="208"/>
      <c r="AI429" s="208"/>
      <c r="AJ429" s="208"/>
      <c r="AK429" s="208"/>
    </row>
    <row r="430">
      <c r="A430" s="208"/>
      <c r="B430" s="208"/>
      <c r="C430" s="208"/>
      <c r="D430" s="208"/>
      <c r="E430" s="208"/>
      <c r="F430" s="208"/>
      <c r="G430" s="208"/>
      <c r="H430" s="233"/>
      <c r="I430" s="234"/>
      <c r="J430" s="208"/>
      <c r="K430" s="208"/>
      <c r="L430" s="208"/>
      <c r="M430" s="208"/>
      <c r="N430" s="208"/>
      <c r="O430" s="208"/>
      <c r="P430" s="208"/>
      <c r="Q430" s="208"/>
      <c r="R430" s="208"/>
      <c r="S430" s="208"/>
      <c r="T430" s="208"/>
      <c r="U430" s="208"/>
      <c r="V430" s="208"/>
      <c r="W430" s="208"/>
      <c r="X430" s="208"/>
      <c r="Y430" s="208"/>
      <c r="Z430" s="208"/>
      <c r="AA430" s="208"/>
      <c r="AB430" s="208"/>
      <c r="AC430" s="208"/>
      <c r="AD430" s="208"/>
      <c r="AE430" s="208"/>
      <c r="AF430" s="208"/>
      <c r="AG430" s="208"/>
      <c r="AH430" s="208"/>
      <c r="AI430" s="208"/>
      <c r="AJ430" s="208"/>
      <c r="AK430" s="208"/>
    </row>
    <row r="431">
      <c r="A431" s="208"/>
      <c r="B431" s="208"/>
      <c r="C431" s="208"/>
      <c r="D431" s="208"/>
      <c r="E431" s="208"/>
      <c r="F431" s="208"/>
      <c r="G431" s="208"/>
      <c r="H431" s="233"/>
      <c r="I431" s="234"/>
      <c r="J431" s="208"/>
      <c r="K431" s="208"/>
      <c r="L431" s="208"/>
      <c r="M431" s="208"/>
      <c r="N431" s="208"/>
      <c r="O431" s="208"/>
      <c r="P431" s="208"/>
      <c r="Q431" s="208"/>
      <c r="R431" s="208"/>
      <c r="S431" s="208"/>
      <c r="T431" s="208"/>
      <c r="U431" s="208"/>
      <c r="V431" s="208"/>
      <c r="W431" s="208"/>
      <c r="X431" s="208"/>
      <c r="Y431" s="208"/>
      <c r="Z431" s="208"/>
      <c r="AA431" s="208"/>
      <c r="AB431" s="208"/>
      <c r="AC431" s="208"/>
      <c r="AD431" s="208"/>
      <c r="AE431" s="208"/>
      <c r="AF431" s="208"/>
      <c r="AG431" s="208"/>
      <c r="AH431" s="208"/>
      <c r="AI431" s="208"/>
      <c r="AJ431" s="208"/>
      <c r="AK431" s="208"/>
    </row>
    <row r="432">
      <c r="A432" s="208"/>
      <c r="B432" s="208"/>
      <c r="C432" s="208"/>
      <c r="D432" s="208"/>
      <c r="E432" s="208"/>
      <c r="F432" s="208"/>
      <c r="G432" s="208"/>
      <c r="H432" s="233"/>
      <c r="I432" s="234"/>
      <c r="J432" s="208"/>
      <c r="K432" s="208"/>
      <c r="L432" s="208"/>
      <c r="M432" s="208"/>
      <c r="N432" s="208"/>
      <c r="O432" s="208"/>
      <c r="P432" s="208"/>
      <c r="Q432" s="208"/>
      <c r="R432" s="208"/>
      <c r="S432" s="208"/>
      <c r="T432" s="208"/>
      <c r="U432" s="208"/>
      <c r="V432" s="208"/>
      <c r="W432" s="208"/>
      <c r="X432" s="208"/>
      <c r="Y432" s="208"/>
      <c r="Z432" s="208"/>
      <c r="AA432" s="208"/>
      <c r="AB432" s="208"/>
      <c r="AC432" s="208"/>
      <c r="AD432" s="208"/>
      <c r="AE432" s="208"/>
      <c r="AF432" s="208"/>
      <c r="AG432" s="208"/>
      <c r="AH432" s="208"/>
      <c r="AI432" s="208"/>
      <c r="AJ432" s="208"/>
      <c r="AK432" s="208"/>
    </row>
    <row r="433">
      <c r="A433" s="208"/>
      <c r="B433" s="208"/>
      <c r="C433" s="208"/>
      <c r="D433" s="208"/>
      <c r="E433" s="208"/>
      <c r="F433" s="208"/>
      <c r="G433" s="208"/>
      <c r="H433" s="233"/>
      <c r="I433" s="234"/>
      <c r="J433" s="208"/>
      <c r="K433" s="208"/>
      <c r="L433" s="208"/>
      <c r="M433" s="208"/>
      <c r="N433" s="208"/>
      <c r="O433" s="208"/>
      <c r="P433" s="208"/>
      <c r="Q433" s="208"/>
      <c r="R433" s="208"/>
      <c r="S433" s="208"/>
      <c r="T433" s="208"/>
      <c r="U433" s="208"/>
      <c r="V433" s="208"/>
      <c r="W433" s="208"/>
      <c r="X433" s="208"/>
      <c r="Y433" s="208"/>
      <c r="Z433" s="208"/>
      <c r="AA433" s="208"/>
      <c r="AB433" s="208"/>
      <c r="AC433" s="208"/>
      <c r="AD433" s="208"/>
      <c r="AE433" s="208"/>
      <c r="AF433" s="208"/>
      <c r="AG433" s="208"/>
      <c r="AH433" s="208"/>
      <c r="AI433" s="208"/>
      <c r="AJ433" s="208"/>
      <c r="AK433" s="208"/>
    </row>
    <row r="434">
      <c r="A434" s="208"/>
      <c r="B434" s="208"/>
      <c r="C434" s="208"/>
      <c r="D434" s="208"/>
      <c r="E434" s="208"/>
      <c r="F434" s="208"/>
      <c r="G434" s="208"/>
      <c r="H434" s="233"/>
      <c r="I434" s="234"/>
      <c r="J434" s="208"/>
      <c r="K434" s="208"/>
      <c r="L434" s="208"/>
      <c r="M434" s="208"/>
      <c r="N434" s="208"/>
      <c r="O434" s="208"/>
      <c r="P434" s="208"/>
      <c r="Q434" s="208"/>
      <c r="R434" s="208"/>
      <c r="S434" s="208"/>
      <c r="T434" s="208"/>
      <c r="U434" s="208"/>
      <c r="V434" s="208"/>
      <c r="W434" s="208"/>
      <c r="X434" s="208"/>
      <c r="Y434" s="208"/>
      <c r="Z434" s="208"/>
      <c r="AA434" s="208"/>
      <c r="AB434" s="208"/>
      <c r="AC434" s="208"/>
      <c r="AD434" s="208"/>
      <c r="AE434" s="208"/>
      <c r="AF434" s="208"/>
      <c r="AG434" s="208"/>
      <c r="AH434" s="208"/>
      <c r="AI434" s="208"/>
      <c r="AJ434" s="208"/>
      <c r="AK434" s="208"/>
    </row>
    <row r="435">
      <c r="A435" s="208"/>
      <c r="B435" s="208"/>
      <c r="C435" s="208"/>
      <c r="D435" s="208"/>
      <c r="E435" s="208"/>
      <c r="F435" s="208"/>
      <c r="G435" s="208"/>
      <c r="H435" s="233"/>
      <c r="I435" s="234"/>
      <c r="J435" s="208"/>
      <c r="K435" s="208"/>
      <c r="L435" s="208"/>
      <c r="M435" s="208"/>
      <c r="N435" s="208"/>
      <c r="O435" s="208"/>
      <c r="P435" s="208"/>
      <c r="Q435" s="208"/>
      <c r="R435" s="208"/>
      <c r="S435" s="208"/>
      <c r="T435" s="208"/>
      <c r="U435" s="208"/>
      <c r="V435" s="208"/>
      <c r="W435" s="208"/>
      <c r="X435" s="208"/>
      <c r="Y435" s="208"/>
      <c r="Z435" s="208"/>
      <c r="AA435" s="208"/>
      <c r="AB435" s="208"/>
      <c r="AC435" s="208"/>
      <c r="AD435" s="208"/>
      <c r="AE435" s="208"/>
      <c r="AF435" s="208"/>
      <c r="AG435" s="208"/>
      <c r="AH435" s="208"/>
      <c r="AI435" s="208"/>
      <c r="AJ435" s="208"/>
      <c r="AK435" s="208"/>
    </row>
    <row r="436">
      <c r="A436" s="208"/>
      <c r="B436" s="208"/>
      <c r="C436" s="208"/>
      <c r="D436" s="208"/>
      <c r="E436" s="208"/>
      <c r="F436" s="208"/>
      <c r="G436" s="208"/>
      <c r="H436" s="233"/>
      <c r="I436" s="234"/>
      <c r="J436" s="208"/>
      <c r="K436" s="208"/>
      <c r="L436" s="208"/>
      <c r="M436" s="208"/>
      <c r="N436" s="208"/>
      <c r="O436" s="208"/>
      <c r="P436" s="208"/>
      <c r="Q436" s="208"/>
      <c r="R436" s="208"/>
      <c r="S436" s="208"/>
      <c r="T436" s="208"/>
      <c r="U436" s="208"/>
      <c r="V436" s="208"/>
      <c r="W436" s="208"/>
      <c r="X436" s="208"/>
      <c r="Y436" s="208"/>
      <c r="Z436" s="208"/>
      <c r="AA436" s="208"/>
      <c r="AB436" s="208"/>
      <c r="AC436" s="208"/>
      <c r="AD436" s="208"/>
      <c r="AE436" s="208"/>
      <c r="AF436" s="208"/>
      <c r="AG436" s="208"/>
      <c r="AH436" s="208"/>
      <c r="AI436" s="208"/>
      <c r="AJ436" s="208"/>
      <c r="AK436" s="208"/>
    </row>
    <row r="437">
      <c r="A437" s="208"/>
      <c r="B437" s="208"/>
      <c r="C437" s="208"/>
      <c r="D437" s="208"/>
      <c r="E437" s="208"/>
      <c r="F437" s="208"/>
      <c r="G437" s="208"/>
      <c r="H437" s="233"/>
      <c r="I437" s="234"/>
      <c r="J437" s="208"/>
      <c r="K437" s="208"/>
      <c r="L437" s="208"/>
      <c r="M437" s="208"/>
      <c r="N437" s="208"/>
      <c r="O437" s="208"/>
      <c r="P437" s="208"/>
      <c r="Q437" s="208"/>
      <c r="R437" s="208"/>
      <c r="S437" s="208"/>
      <c r="T437" s="208"/>
      <c r="U437" s="208"/>
      <c r="V437" s="208"/>
      <c r="W437" s="208"/>
      <c r="X437" s="208"/>
      <c r="Y437" s="208"/>
      <c r="Z437" s="208"/>
      <c r="AA437" s="208"/>
      <c r="AB437" s="208"/>
      <c r="AC437" s="208"/>
      <c r="AD437" s="208"/>
      <c r="AE437" s="208"/>
      <c r="AF437" s="208"/>
      <c r="AG437" s="208"/>
      <c r="AH437" s="208"/>
      <c r="AI437" s="208"/>
      <c r="AJ437" s="208"/>
      <c r="AK437" s="208"/>
    </row>
    <row r="438">
      <c r="A438" s="208"/>
      <c r="B438" s="208"/>
      <c r="C438" s="208"/>
      <c r="D438" s="208"/>
      <c r="E438" s="208"/>
      <c r="F438" s="208"/>
      <c r="G438" s="208"/>
      <c r="H438" s="233"/>
      <c r="I438" s="234"/>
      <c r="J438" s="208"/>
      <c r="K438" s="208"/>
      <c r="L438" s="208"/>
      <c r="M438" s="208"/>
      <c r="N438" s="208"/>
      <c r="O438" s="208"/>
      <c r="P438" s="208"/>
      <c r="Q438" s="208"/>
      <c r="R438" s="208"/>
      <c r="S438" s="208"/>
      <c r="T438" s="208"/>
      <c r="U438" s="208"/>
      <c r="V438" s="208"/>
      <c r="W438" s="208"/>
      <c r="X438" s="208"/>
      <c r="Y438" s="208"/>
      <c r="Z438" s="208"/>
      <c r="AA438" s="208"/>
      <c r="AB438" s="208"/>
      <c r="AC438" s="208"/>
      <c r="AD438" s="208"/>
      <c r="AE438" s="208"/>
      <c r="AF438" s="208"/>
      <c r="AG438" s="208"/>
      <c r="AH438" s="208"/>
      <c r="AI438" s="208"/>
      <c r="AJ438" s="208"/>
      <c r="AK438" s="208"/>
    </row>
    <row r="439">
      <c r="A439" s="208"/>
      <c r="B439" s="208"/>
      <c r="C439" s="208"/>
      <c r="D439" s="208"/>
      <c r="E439" s="208"/>
      <c r="F439" s="208"/>
      <c r="G439" s="208"/>
      <c r="H439" s="233"/>
      <c r="I439" s="234"/>
      <c r="J439" s="208"/>
      <c r="K439" s="208"/>
      <c r="L439" s="208"/>
      <c r="M439" s="208"/>
      <c r="N439" s="208"/>
      <c r="O439" s="208"/>
      <c r="P439" s="208"/>
      <c r="Q439" s="208"/>
      <c r="R439" s="208"/>
      <c r="S439" s="208"/>
      <c r="T439" s="208"/>
      <c r="U439" s="208"/>
      <c r="V439" s="208"/>
      <c r="W439" s="208"/>
      <c r="X439" s="208"/>
      <c r="Y439" s="208"/>
      <c r="Z439" s="208"/>
      <c r="AA439" s="208"/>
      <c r="AB439" s="208"/>
      <c r="AC439" s="208"/>
      <c r="AD439" s="208"/>
      <c r="AE439" s="208"/>
      <c r="AF439" s="208"/>
      <c r="AG439" s="208"/>
      <c r="AH439" s="208"/>
      <c r="AI439" s="208"/>
      <c r="AJ439" s="208"/>
      <c r="AK439" s="208"/>
    </row>
    <row r="440">
      <c r="A440" s="208"/>
      <c r="B440" s="208"/>
      <c r="C440" s="208"/>
      <c r="D440" s="208"/>
      <c r="E440" s="208"/>
      <c r="F440" s="208"/>
      <c r="G440" s="208"/>
      <c r="H440" s="233"/>
      <c r="I440" s="234"/>
      <c r="J440" s="208"/>
      <c r="K440" s="208"/>
      <c r="L440" s="208"/>
      <c r="M440" s="208"/>
      <c r="N440" s="208"/>
      <c r="O440" s="208"/>
      <c r="P440" s="208"/>
      <c r="Q440" s="208"/>
      <c r="R440" s="208"/>
      <c r="S440" s="208"/>
      <c r="T440" s="208"/>
      <c r="U440" s="208"/>
      <c r="V440" s="208"/>
      <c r="W440" s="208"/>
      <c r="X440" s="208"/>
      <c r="Y440" s="208"/>
      <c r="Z440" s="208"/>
      <c r="AA440" s="208"/>
      <c r="AB440" s="208"/>
      <c r="AC440" s="208"/>
      <c r="AD440" s="208"/>
      <c r="AE440" s="208"/>
      <c r="AF440" s="208"/>
      <c r="AG440" s="208"/>
      <c r="AH440" s="208"/>
      <c r="AI440" s="208"/>
      <c r="AJ440" s="208"/>
      <c r="AK440" s="208"/>
    </row>
    <row r="441">
      <c r="A441" s="208"/>
      <c r="B441" s="208"/>
      <c r="C441" s="208"/>
      <c r="D441" s="208"/>
      <c r="E441" s="208"/>
      <c r="F441" s="208"/>
      <c r="G441" s="208"/>
      <c r="H441" s="233"/>
      <c r="I441" s="234"/>
      <c r="J441" s="208"/>
      <c r="K441" s="208"/>
      <c r="L441" s="208"/>
      <c r="M441" s="208"/>
      <c r="N441" s="208"/>
      <c r="O441" s="208"/>
      <c r="P441" s="208"/>
      <c r="Q441" s="208"/>
      <c r="R441" s="208"/>
      <c r="S441" s="208"/>
      <c r="T441" s="208"/>
      <c r="U441" s="208"/>
      <c r="V441" s="208"/>
      <c r="W441" s="208"/>
      <c r="X441" s="208"/>
      <c r="Y441" s="208"/>
      <c r="Z441" s="208"/>
      <c r="AA441" s="208"/>
      <c r="AB441" s="208"/>
      <c r="AC441" s="208"/>
      <c r="AD441" s="208"/>
      <c r="AE441" s="208"/>
      <c r="AF441" s="208"/>
      <c r="AG441" s="208"/>
      <c r="AH441" s="208"/>
      <c r="AI441" s="208"/>
      <c r="AJ441" s="208"/>
      <c r="AK441" s="208"/>
    </row>
    <row r="442">
      <c r="A442" s="208"/>
      <c r="B442" s="208"/>
      <c r="C442" s="208"/>
      <c r="D442" s="208"/>
      <c r="E442" s="208"/>
      <c r="F442" s="208"/>
      <c r="G442" s="208"/>
      <c r="H442" s="233"/>
      <c r="I442" s="234"/>
      <c r="J442" s="208"/>
      <c r="K442" s="208"/>
      <c r="L442" s="208"/>
      <c r="M442" s="208"/>
      <c r="N442" s="208"/>
      <c r="O442" s="208"/>
      <c r="P442" s="208"/>
      <c r="Q442" s="208"/>
      <c r="R442" s="208"/>
      <c r="S442" s="208"/>
      <c r="T442" s="208"/>
      <c r="U442" s="208"/>
      <c r="V442" s="208"/>
      <c r="W442" s="208"/>
      <c r="X442" s="208"/>
      <c r="Y442" s="208"/>
      <c r="Z442" s="208"/>
      <c r="AA442" s="208"/>
      <c r="AB442" s="208"/>
      <c r="AC442" s="208"/>
      <c r="AD442" s="208"/>
      <c r="AE442" s="208"/>
      <c r="AF442" s="208"/>
      <c r="AG442" s="208"/>
      <c r="AH442" s="208"/>
      <c r="AI442" s="208"/>
      <c r="AJ442" s="208"/>
      <c r="AK442" s="208"/>
    </row>
    <row r="443">
      <c r="A443" s="208"/>
      <c r="B443" s="208"/>
      <c r="C443" s="208"/>
      <c r="D443" s="208"/>
      <c r="E443" s="208"/>
      <c r="F443" s="208"/>
      <c r="G443" s="208"/>
      <c r="H443" s="233"/>
      <c r="I443" s="234"/>
      <c r="J443" s="208"/>
      <c r="K443" s="208"/>
      <c r="L443" s="208"/>
      <c r="M443" s="208"/>
      <c r="N443" s="208"/>
      <c r="O443" s="208"/>
      <c r="P443" s="208"/>
      <c r="Q443" s="208"/>
      <c r="R443" s="208"/>
      <c r="S443" s="208"/>
      <c r="T443" s="208"/>
      <c r="U443" s="208"/>
      <c r="V443" s="208"/>
      <c r="W443" s="208"/>
      <c r="X443" s="208"/>
      <c r="Y443" s="208"/>
      <c r="Z443" s="208"/>
      <c r="AA443" s="208"/>
      <c r="AB443" s="208"/>
      <c r="AC443" s="208"/>
      <c r="AD443" s="208"/>
      <c r="AE443" s="208"/>
      <c r="AF443" s="208"/>
      <c r="AG443" s="208"/>
      <c r="AH443" s="208"/>
      <c r="AI443" s="208"/>
      <c r="AJ443" s="208"/>
      <c r="AK443" s="208"/>
    </row>
    <row r="444">
      <c r="A444" s="208"/>
      <c r="B444" s="208"/>
      <c r="C444" s="208"/>
      <c r="D444" s="208"/>
      <c r="E444" s="208"/>
      <c r="F444" s="208"/>
      <c r="G444" s="208"/>
      <c r="H444" s="233"/>
      <c r="I444" s="234"/>
      <c r="J444" s="208"/>
      <c r="K444" s="208"/>
      <c r="L444" s="208"/>
      <c r="M444" s="208"/>
      <c r="N444" s="208"/>
      <c r="O444" s="208"/>
      <c r="P444" s="208"/>
      <c r="Q444" s="208"/>
      <c r="R444" s="208"/>
      <c r="S444" s="208"/>
      <c r="T444" s="208"/>
      <c r="U444" s="208"/>
      <c r="V444" s="208"/>
      <c r="W444" s="208"/>
      <c r="X444" s="208"/>
      <c r="Y444" s="208"/>
      <c r="Z444" s="208"/>
      <c r="AA444" s="208"/>
      <c r="AB444" s="208"/>
      <c r="AC444" s="208"/>
      <c r="AD444" s="208"/>
      <c r="AE444" s="208"/>
      <c r="AF444" s="208"/>
      <c r="AG444" s="208"/>
      <c r="AH444" s="208"/>
      <c r="AI444" s="208"/>
      <c r="AJ444" s="208"/>
      <c r="AK444" s="208"/>
    </row>
    <row r="445">
      <c r="A445" s="208"/>
      <c r="B445" s="208"/>
      <c r="C445" s="208"/>
      <c r="D445" s="208"/>
      <c r="E445" s="208"/>
      <c r="F445" s="208"/>
      <c r="G445" s="208"/>
      <c r="H445" s="233"/>
      <c r="I445" s="234"/>
      <c r="J445" s="208"/>
      <c r="K445" s="208"/>
      <c r="L445" s="208"/>
      <c r="M445" s="208"/>
      <c r="N445" s="208"/>
      <c r="O445" s="208"/>
      <c r="P445" s="208"/>
      <c r="Q445" s="208"/>
      <c r="R445" s="208"/>
      <c r="S445" s="208"/>
      <c r="T445" s="208"/>
      <c r="U445" s="208"/>
      <c r="V445" s="208"/>
      <c r="W445" s="208"/>
      <c r="X445" s="208"/>
      <c r="Y445" s="208"/>
      <c r="Z445" s="208"/>
      <c r="AA445" s="208"/>
      <c r="AB445" s="208"/>
      <c r="AC445" s="208"/>
      <c r="AD445" s="208"/>
      <c r="AE445" s="208"/>
      <c r="AF445" s="208"/>
      <c r="AG445" s="208"/>
      <c r="AH445" s="208"/>
      <c r="AI445" s="208"/>
      <c r="AJ445" s="208"/>
      <c r="AK445" s="208"/>
    </row>
    <row r="446">
      <c r="A446" s="208"/>
      <c r="B446" s="208"/>
      <c r="C446" s="208"/>
      <c r="D446" s="208"/>
      <c r="E446" s="208"/>
      <c r="F446" s="208"/>
      <c r="G446" s="208"/>
      <c r="H446" s="233"/>
      <c r="I446" s="234"/>
      <c r="J446" s="208"/>
      <c r="K446" s="208"/>
      <c r="L446" s="208"/>
      <c r="M446" s="208"/>
      <c r="N446" s="208"/>
      <c r="O446" s="208"/>
      <c r="P446" s="208"/>
      <c r="Q446" s="208"/>
      <c r="R446" s="208"/>
      <c r="S446" s="208"/>
      <c r="T446" s="208"/>
      <c r="U446" s="208"/>
      <c r="V446" s="208"/>
      <c r="W446" s="208"/>
      <c r="X446" s="208"/>
      <c r="Y446" s="208"/>
      <c r="Z446" s="208"/>
      <c r="AA446" s="208"/>
      <c r="AB446" s="208"/>
      <c r="AC446" s="208"/>
      <c r="AD446" s="208"/>
      <c r="AE446" s="208"/>
      <c r="AF446" s="208"/>
      <c r="AG446" s="208"/>
      <c r="AH446" s="208"/>
      <c r="AI446" s="208"/>
      <c r="AJ446" s="208"/>
      <c r="AK446" s="208"/>
    </row>
    <row r="447">
      <c r="A447" s="208"/>
      <c r="B447" s="208"/>
      <c r="C447" s="208"/>
      <c r="D447" s="208"/>
      <c r="E447" s="208"/>
      <c r="F447" s="208"/>
      <c r="G447" s="208"/>
      <c r="H447" s="233"/>
      <c r="I447" s="234"/>
      <c r="J447" s="208"/>
      <c r="K447" s="208"/>
      <c r="L447" s="208"/>
      <c r="M447" s="208"/>
      <c r="N447" s="208"/>
      <c r="O447" s="208"/>
      <c r="P447" s="208"/>
      <c r="Q447" s="208"/>
      <c r="R447" s="208"/>
      <c r="S447" s="208"/>
      <c r="T447" s="208"/>
      <c r="U447" s="208"/>
      <c r="V447" s="208"/>
      <c r="W447" s="208"/>
      <c r="X447" s="208"/>
      <c r="Y447" s="208"/>
      <c r="Z447" s="208"/>
      <c r="AA447" s="208"/>
      <c r="AB447" s="208"/>
      <c r="AC447" s="208"/>
      <c r="AD447" s="208"/>
      <c r="AE447" s="208"/>
      <c r="AF447" s="208"/>
      <c r="AG447" s="208"/>
      <c r="AH447" s="208"/>
      <c r="AI447" s="208"/>
      <c r="AJ447" s="208"/>
      <c r="AK447" s="208"/>
    </row>
    <row r="448">
      <c r="A448" s="208"/>
      <c r="B448" s="208"/>
      <c r="C448" s="208"/>
      <c r="D448" s="208"/>
      <c r="E448" s="208"/>
      <c r="F448" s="208"/>
      <c r="G448" s="208"/>
      <c r="H448" s="233"/>
      <c r="I448" s="234"/>
      <c r="J448" s="208"/>
      <c r="K448" s="208"/>
      <c r="L448" s="208"/>
      <c r="M448" s="208"/>
      <c r="N448" s="208"/>
      <c r="O448" s="208"/>
      <c r="P448" s="208"/>
      <c r="Q448" s="208"/>
      <c r="R448" s="208"/>
      <c r="S448" s="208"/>
      <c r="T448" s="208"/>
      <c r="U448" s="208"/>
      <c r="V448" s="208"/>
      <c r="W448" s="208"/>
      <c r="X448" s="208"/>
      <c r="Y448" s="208"/>
      <c r="Z448" s="208"/>
      <c r="AA448" s="208"/>
      <c r="AB448" s="208"/>
      <c r="AC448" s="208"/>
      <c r="AD448" s="208"/>
      <c r="AE448" s="208"/>
      <c r="AF448" s="208"/>
      <c r="AG448" s="208"/>
      <c r="AH448" s="208"/>
      <c r="AI448" s="208"/>
      <c r="AJ448" s="208"/>
      <c r="AK448" s="208"/>
    </row>
    <row r="449">
      <c r="A449" s="208"/>
      <c r="B449" s="208"/>
      <c r="C449" s="208"/>
      <c r="D449" s="208"/>
      <c r="E449" s="208"/>
      <c r="F449" s="208"/>
      <c r="G449" s="208"/>
      <c r="H449" s="233"/>
      <c r="I449" s="234"/>
      <c r="J449" s="208"/>
      <c r="K449" s="208"/>
      <c r="L449" s="208"/>
      <c r="M449" s="208"/>
      <c r="N449" s="208"/>
      <c r="O449" s="208"/>
      <c r="P449" s="208"/>
      <c r="Q449" s="208"/>
      <c r="R449" s="208"/>
      <c r="S449" s="208"/>
      <c r="T449" s="208"/>
      <c r="U449" s="208"/>
      <c r="V449" s="208"/>
      <c r="W449" s="208"/>
      <c r="X449" s="208"/>
      <c r="Y449" s="208"/>
      <c r="Z449" s="208"/>
      <c r="AA449" s="208"/>
      <c r="AB449" s="208"/>
      <c r="AC449" s="208"/>
      <c r="AD449" s="208"/>
      <c r="AE449" s="208"/>
      <c r="AF449" s="208"/>
      <c r="AG449" s="208"/>
      <c r="AH449" s="208"/>
      <c r="AI449" s="208"/>
      <c r="AJ449" s="208"/>
      <c r="AK449" s="208"/>
    </row>
    <row r="450">
      <c r="A450" s="208"/>
      <c r="B450" s="208"/>
      <c r="C450" s="208"/>
      <c r="D450" s="208"/>
      <c r="E450" s="208"/>
      <c r="F450" s="208"/>
      <c r="G450" s="208"/>
      <c r="H450" s="233"/>
      <c r="I450" s="234"/>
      <c r="J450" s="208"/>
      <c r="K450" s="208"/>
      <c r="L450" s="208"/>
      <c r="M450" s="208"/>
      <c r="N450" s="208"/>
      <c r="O450" s="208"/>
      <c r="P450" s="208"/>
      <c r="Q450" s="208"/>
      <c r="R450" s="208"/>
      <c r="S450" s="208"/>
      <c r="T450" s="208"/>
      <c r="U450" s="208"/>
      <c r="V450" s="208"/>
      <c r="W450" s="208"/>
      <c r="X450" s="208"/>
      <c r="Y450" s="208"/>
      <c r="Z450" s="208"/>
      <c r="AA450" s="208"/>
      <c r="AB450" s="208"/>
      <c r="AC450" s="208"/>
      <c r="AD450" s="208"/>
      <c r="AE450" s="208"/>
      <c r="AF450" s="208"/>
      <c r="AG450" s="208"/>
      <c r="AH450" s="208"/>
      <c r="AI450" s="208"/>
      <c r="AJ450" s="208"/>
      <c r="AK450" s="208"/>
    </row>
    <row r="451">
      <c r="A451" s="208"/>
      <c r="B451" s="208"/>
      <c r="C451" s="208"/>
      <c r="D451" s="208"/>
      <c r="E451" s="208"/>
      <c r="F451" s="208"/>
      <c r="G451" s="208"/>
      <c r="H451" s="233"/>
      <c r="I451" s="234"/>
      <c r="J451" s="208"/>
      <c r="K451" s="208"/>
      <c r="L451" s="208"/>
      <c r="M451" s="208"/>
      <c r="N451" s="208"/>
      <c r="O451" s="208"/>
      <c r="P451" s="208"/>
      <c r="Q451" s="208"/>
      <c r="R451" s="208"/>
      <c r="S451" s="208"/>
      <c r="T451" s="208"/>
      <c r="U451" s="208"/>
      <c r="V451" s="208"/>
      <c r="W451" s="208"/>
      <c r="X451" s="208"/>
      <c r="Y451" s="208"/>
      <c r="Z451" s="208"/>
      <c r="AA451" s="208"/>
      <c r="AB451" s="208"/>
      <c r="AC451" s="208"/>
      <c r="AD451" s="208"/>
      <c r="AE451" s="208"/>
      <c r="AF451" s="208"/>
      <c r="AG451" s="208"/>
      <c r="AH451" s="208"/>
      <c r="AI451" s="208"/>
      <c r="AJ451" s="208"/>
      <c r="AK451" s="208"/>
    </row>
    <row r="452">
      <c r="A452" s="208"/>
      <c r="B452" s="208"/>
      <c r="C452" s="208"/>
      <c r="D452" s="208"/>
      <c r="E452" s="208"/>
      <c r="F452" s="208"/>
      <c r="G452" s="208"/>
      <c r="H452" s="233"/>
      <c r="I452" s="234"/>
      <c r="J452" s="208"/>
      <c r="K452" s="208"/>
      <c r="L452" s="208"/>
      <c r="M452" s="208"/>
      <c r="N452" s="208"/>
      <c r="O452" s="208"/>
      <c r="P452" s="208"/>
      <c r="Q452" s="208"/>
      <c r="R452" s="208"/>
      <c r="S452" s="208"/>
      <c r="T452" s="208"/>
      <c r="U452" s="208"/>
      <c r="V452" s="208"/>
      <c r="W452" s="208"/>
      <c r="X452" s="208"/>
      <c r="Y452" s="208"/>
      <c r="Z452" s="208"/>
      <c r="AA452" s="208"/>
      <c r="AB452" s="208"/>
      <c r="AC452" s="208"/>
      <c r="AD452" s="208"/>
      <c r="AE452" s="208"/>
      <c r="AF452" s="208"/>
      <c r="AG452" s="208"/>
      <c r="AH452" s="208"/>
      <c r="AI452" s="208"/>
      <c r="AJ452" s="208"/>
      <c r="AK452" s="208"/>
    </row>
    <row r="453">
      <c r="A453" s="208"/>
      <c r="B453" s="208"/>
      <c r="C453" s="208"/>
      <c r="D453" s="208"/>
      <c r="E453" s="208"/>
      <c r="F453" s="208"/>
      <c r="G453" s="208"/>
      <c r="H453" s="233"/>
      <c r="I453" s="234"/>
      <c r="J453" s="208"/>
      <c r="K453" s="208"/>
      <c r="L453" s="208"/>
      <c r="M453" s="208"/>
      <c r="N453" s="208"/>
      <c r="O453" s="208"/>
      <c r="P453" s="208"/>
      <c r="Q453" s="208"/>
      <c r="R453" s="208"/>
      <c r="S453" s="208"/>
      <c r="T453" s="208"/>
      <c r="U453" s="208"/>
      <c r="V453" s="208"/>
      <c r="W453" s="208"/>
      <c r="X453" s="208"/>
      <c r="Y453" s="208"/>
      <c r="Z453" s="208"/>
      <c r="AA453" s="208"/>
      <c r="AB453" s="208"/>
      <c r="AC453" s="208"/>
      <c r="AD453" s="208"/>
      <c r="AE453" s="208"/>
      <c r="AF453" s="208"/>
      <c r="AG453" s="208"/>
      <c r="AH453" s="208"/>
      <c r="AI453" s="208"/>
      <c r="AJ453" s="208"/>
      <c r="AK453" s="208"/>
    </row>
    <row r="454">
      <c r="A454" s="208"/>
      <c r="B454" s="208"/>
      <c r="C454" s="208"/>
      <c r="D454" s="208"/>
      <c r="E454" s="208"/>
      <c r="F454" s="208"/>
      <c r="G454" s="208"/>
      <c r="H454" s="233"/>
      <c r="I454" s="234"/>
      <c r="J454" s="208"/>
      <c r="K454" s="208"/>
      <c r="L454" s="208"/>
      <c r="M454" s="208"/>
      <c r="N454" s="208"/>
      <c r="O454" s="208"/>
      <c r="P454" s="208"/>
      <c r="Q454" s="208"/>
      <c r="R454" s="208"/>
      <c r="S454" s="208"/>
      <c r="T454" s="208"/>
      <c r="U454" s="208"/>
      <c r="V454" s="208"/>
      <c r="W454" s="208"/>
      <c r="X454" s="208"/>
      <c r="Y454" s="208"/>
      <c r="Z454" s="208"/>
      <c r="AA454" s="208"/>
      <c r="AB454" s="208"/>
      <c r="AC454" s="208"/>
      <c r="AD454" s="208"/>
      <c r="AE454" s="208"/>
      <c r="AF454" s="208"/>
      <c r="AG454" s="208"/>
      <c r="AH454" s="208"/>
      <c r="AI454" s="208"/>
      <c r="AJ454" s="208"/>
      <c r="AK454" s="208"/>
    </row>
    <row r="455">
      <c r="A455" s="208"/>
      <c r="B455" s="208"/>
      <c r="C455" s="208"/>
      <c r="D455" s="208"/>
      <c r="E455" s="208"/>
      <c r="F455" s="208"/>
      <c r="G455" s="208"/>
      <c r="H455" s="233"/>
      <c r="I455" s="234"/>
      <c r="J455" s="208"/>
      <c r="K455" s="208"/>
      <c r="L455" s="208"/>
      <c r="M455" s="208"/>
      <c r="N455" s="208"/>
      <c r="O455" s="208"/>
      <c r="P455" s="208"/>
      <c r="Q455" s="208"/>
      <c r="R455" s="208"/>
      <c r="S455" s="208"/>
      <c r="T455" s="208"/>
      <c r="U455" s="208"/>
      <c r="V455" s="208"/>
      <c r="W455" s="208"/>
      <c r="X455" s="208"/>
      <c r="Y455" s="208"/>
      <c r="Z455" s="208"/>
      <c r="AA455" s="208"/>
      <c r="AB455" s="208"/>
      <c r="AC455" s="208"/>
      <c r="AD455" s="208"/>
      <c r="AE455" s="208"/>
      <c r="AF455" s="208"/>
      <c r="AG455" s="208"/>
      <c r="AH455" s="208"/>
      <c r="AI455" s="208"/>
      <c r="AJ455" s="208"/>
      <c r="AK455" s="208"/>
    </row>
    <row r="456">
      <c r="A456" s="208"/>
      <c r="B456" s="208"/>
      <c r="C456" s="208"/>
      <c r="D456" s="208"/>
      <c r="E456" s="208"/>
      <c r="F456" s="208"/>
      <c r="G456" s="208"/>
      <c r="H456" s="233"/>
      <c r="I456" s="234"/>
      <c r="J456" s="208"/>
      <c r="K456" s="208"/>
      <c r="L456" s="208"/>
      <c r="M456" s="208"/>
      <c r="N456" s="208"/>
      <c r="O456" s="208"/>
      <c r="P456" s="208"/>
      <c r="Q456" s="208"/>
      <c r="R456" s="208"/>
      <c r="S456" s="208"/>
      <c r="T456" s="208"/>
      <c r="U456" s="208"/>
      <c r="V456" s="208"/>
      <c r="W456" s="208"/>
      <c r="X456" s="208"/>
      <c r="Y456" s="208"/>
      <c r="Z456" s="208"/>
      <c r="AA456" s="208"/>
      <c r="AB456" s="208"/>
      <c r="AC456" s="208"/>
      <c r="AD456" s="208"/>
      <c r="AE456" s="208"/>
      <c r="AF456" s="208"/>
      <c r="AG456" s="208"/>
      <c r="AH456" s="208"/>
      <c r="AI456" s="208"/>
      <c r="AJ456" s="208"/>
      <c r="AK456" s="208"/>
    </row>
    <row r="457">
      <c r="A457" s="208"/>
      <c r="B457" s="208"/>
      <c r="C457" s="208"/>
      <c r="D457" s="208"/>
      <c r="E457" s="208"/>
      <c r="F457" s="208"/>
      <c r="G457" s="208"/>
      <c r="H457" s="233"/>
      <c r="I457" s="234"/>
      <c r="J457" s="208"/>
      <c r="K457" s="208"/>
      <c r="L457" s="208"/>
      <c r="M457" s="208"/>
      <c r="N457" s="208"/>
      <c r="O457" s="208"/>
      <c r="P457" s="208"/>
      <c r="Q457" s="208"/>
      <c r="R457" s="208"/>
      <c r="S457" s="208"/>
      <c r="T457" s="208"/>
      <c r="U457" s="208"/>
      <c r="V457" s="208"/>
      <c r="W457" s="208"/>
      <c r="X457" s="208"/>
      <c r="Y457" s="208"/>
      <c r="Z457" s="208"/>
      <c r="AA457" s="208"/>
      <c r="AB457" s="208"/>
      <c r="AC457" s="208"/>
      <c r="AD457" s="208"/>
      <c r="AE457" s="208"/>
      <c r="AF457" s="208"/>
      <c r="AG457" s="208"/>
      <c r="AH457" s="208"/>
      <c r="AI457" s="208"/>
      <c r="AJ457" s="208"/>
      <c r="AK457" s="208"/>
    </row>
    <row r="458">
      <c r="A458" s="208"/>
      <c r="B458" s="208"/>
      <c r="C458" s="208"/>
      <c r="D458" s="208"/>
      <c r="E458" s="208"/>
      <c r="F458" s="208"/>
      <c r="G458" s="208"/>
      <c r="H458" s="233"/>
      <c r="I458" s="234"/>
      <c r="J458" s="208"/>
      <c r="K458" s="208"/>
      <c r="L458" s="208"/>
      <c r="M458" s="208"/>
      <c r="N458" s="208"/>
      <c r="O458" s="208"/>
      <c r="P458" s="208"/>
      <c r="Q458" s="208"/>
      <c r="R458" s="208"/>
      <c r="S458" s="208"/>
      <c r="T458" s="208"/>
      <c r="U458" s="208"/>
      <c r="V458" s="208"/>
      <c r="W458" s="208"/>
      <c r="X458" s="208"/>
      <c r="Y458" s="208"/>
      <c r="Z458" s="208"/>
      <c r="AA458" s="208"/>
      <c r="AB458" s="208"/>
      <c r="AC458" s="208"/>
      <c r="AD458" s="208"/>
      <c r="AE458" s="208"/>
      <c r="AF458" s="208"/>
      <c r="AG458" s="208"/>
      <c r="AH458" s="208"/>
      <c r="AI458" s="208"/>
      <c r="AJ458" s="208"/>
      <c r="AK458" s="208"/>
    </row>
    <row r="459">
      <c r="A459" s="208"/>
      <c r="B459" s="208"/>
      <c r="C459" s="208"/>
      <c r="D459" s="208"/>
      <c r="E459" s="208"/>
      <c r="F459" s="208"/>
      <c r="G459" s="208"/>
      <c r="H459" s="233"/>
      <c r="I459" s="234"/>
      <c r="J459" s="208"/>
      <c r="K459" s="208"/>
      <c r="L459" s="208"/>
      <c r="M459" s="208"/>
      <c r="N459" s="208"/>
      <c r="O459" s="208"/>
      <c r="P459" s="208"/>
      <c r="Q459" s="208"/>
      <c r="R459" s="208"/>
      <c r="S459" s="208"/>
      <c r="T459" s="208"/>
      <c r="U459" s="208"/>
      <c r="V459" s="208"/>
      <c r="W459" s="208"/>
      <c r="X459" s="208"/>
      <c r="Y459" s="208"/>
      <c r="Z459" s="208"/>
      <c r="AA459" s="208"/>
      <c r="AB459" s="208"/>
      <c r="AC459" s="208"/>
      <c r="AD459" s="208"/>
      <c r="AE459" s="208"/>
      <c r="AF459" s="208"/>
      <c r="AG459" s="208"/>
      <c r="AH459" s="208"/>
      <c r="AI459" s="208"/>
      <c r="AJ459" s="208"/>
      <c r="AK459" s="208"/>
    </row>
    <row r="460">
      <c r="A460" s="208"/>
      <c r="B460" s="208"/>
      <c r="C460" s="208"/>
      <c r="D460" s="208"/>
      <c r="E460" s="208"/>
      <c r="F460" s="208"/>
      <c r="G460" s="208"/>
      <c r="H460" s="233"/>
      <c r="I460" s="234"/>
      <c r="J460" s="208"/>
      <c r="K460" s="208"/>
      <c r="L460" s="208"/>
      <c r="M460" s="208"/>
      <c r="N460" s="208"/>
      <c r="O460" s="208"/>
      <c r="P460" s="208"/>
      <c r="Q460" s="208"/>
      <c r="R460" s="208"/>
      <c r="S460" s="208"/>
      <c r="T460" s="208"/>
      <c r="U460" s="208"/>
      <c r="V460" s="208"/>
      <c r="W460" s="208"/>
      <c r="X460" s="208"/>
      <c r="Y460" s="208"/>
      <c r="Z460" s="208"/>
      <c r="AA460" s="208"/>
      <c r="AB460" s="208"/>
      <c r="AC460" s="208"/>
      <c r="AD460" s="208"/>
      <c r="AE460" s="208"/>
      <c r="AF460" s="208"/>
      <c r="AG460" s="208"/>
      <c r="AH460" s="208"/>
      <c r="AI460" s="208"/>
      <c r="AJ460" s="208"/>
      <c r="AK460" s="208"/>
    </row>
    <row r="461">
      <c r="A461" s="208"/>
      <c r="B461" s="208"/>
      <c r="C461" s="208"/>
      <c r="D461" s="208"/>
      <c r="E461" s="208"/>
      <c r="F461" s="208"/>
      <c r="G461" s="208"/>
      <c r="H461" s="233"/>
      <c r="I461" s="234"/>
      <c r="J461" s="208"/>
      <c r="K461" s="208"/>
      <c r="L461" s="208"/>
      <c r="M461" s="208"/>
      <c r="N461" s="208"/>
      <c r="O461" s="208"/>
      <c r="P461" s="208"/>
      <c r="Q461" s="208"/>
      <c r="R461" s="208"/>
      <c r="S461" s="208"/>
      <c r="T461" s="208"/>
      <c r="U461" s="208"/>
      <c r="V461" s="208"/>
      <c r="W461" s="208"/>
      <c r="X461" s="208"/>
      <c r="Y461" s="208"/>
      <c r="Z461" s="208"/>
      <c r="AA461" s="208"/>
      <c r="AB461" s="208"/>
      <c r="AC461" s="208"/>
      <c r="AD461" s="208"/>
      <c r="AE461" s="208"/>
      <c r="AF461" s="208"/>
      <c r="AG461" s="208"/>
      <c r="AH461" s="208"/>
      <c r="AI461" s="208"/>
      <c r="AJ461" s="208"/>
      <c r="AK461" s="208"/>
    </row>
    <row r="462">
      <c r="A462" s="208"/>
      <c r="B462" s="208"/>
      <c r="C462" s="208"/>
      <c r="D462" s="208"/>
      <c r="E462" s="208"/>
      <c r="F462" s="208"/>
      <c r="G462" s="208"/>
      <c r="H462" s="233"/>
      <c r="I462" s="234"/>
      <c r="J462" s="208"/>
      <c r="K462" s="208"/>
      <c r="L462" s="208"/>
      <c r="M462" s="208"/>
      <c r="N462" s="208"/>
      <c r="O462" s="208"/>
      <c r="P462" s="208"/>
      <c r="Q462" s="208"/>
      <c r="R462" s="208"/>
      <c r="S462" s="208"/>
      <c r="T462" s="208"/>
      <c r="U462" s="208"/>
      <c r="V462" s="208"/>
      <c r="W462" s="208"/>
      <c r="X462" s="208"/>
      <c r="Y462" s="208"/>
      <c r="Z462" s="208"/>
      <c r="AA462" s="208"/>
      <c r="AB462" s="208"/>
      <c r="AC462" s="208"/>
      <c r="AD462" s="208"/>
      <c r="AE462" s="208"/>
      <c r="AF462" s="208"/>
      <c r="AG462" s="208"/>
      <c r="AH462" s="208"/>
      <c r="AI462" s="208"/>
      <c r="AJ462" s="208"/>
      <c r="AK462" s="208"/>
    </row>
    <row r="463">
      <c r="A463" s="208"/>
      <c r="B463" s="208"/>
      <c r="C463" s="208"/>
      <c r="D463" s="208"/>
      <c r="E463" s="208"/>
      <c r="F463" s="208"/>
      <c r="G463" s="208"/>
      <c r="H463" s="233"/>
      <c r="I463" s="234"/>
      <c r="J463" s="208"/>
      <c r="K463" s="208"/>
      <c r="L463" s="208"/>
      <c r="M463" s="208"/>
      <c r="N463" s="208"/>
      <c r="O463" s="208"/>
      <c r="P463" s="208"/>
      <c r="Q463" s="208"/>
      <c r="R463" s="208"/>
      <c r="S463" s="208"/>
      <c r="T463" s="208"/>
      <c r="U463" s="208"/>
      <c r="V463" s="208"/>
      <c r="W463" s="208"/>
      <c r="X463" s="208"/>
      <c r="Y463" s="208"/>
      <c r="Z463" s="208"/>
      <c r="AA463" s="208"/>
      <c r="AB463" s="208"/>
      <c r="AC463" s="208"/>
      <c r="AD463" s="208"/>
      <c r="AE463" s="208"/>
      <c r="AF463" s="208"/>
      <c r="AG463" s="208"/>
      <c r="AH463" s="208"/>
      <c r="AI463" s="208"/>
      <c r="AJ463" s="208"/>
      <c r="AK463" s="208"/>
    </row>
    <row r="464">
      <c r="A464" s="208"/>
      <c r="B464" s="208"/>
      <c r="C464" s="208"/>
      <c r="D464" s="208"/>
      <c r="E464" s="208"/>
      <c r="F464" s="208"/>
      <c r="G464" s="208"/>
      <c r="H464" s="233"/>
      <c r="I464" s="234"/>
      <c r="J464" s="208"/>
      <c r="K464" s="208"/>
      <c r="L464" s="208"/>
      <c r="M464" s="208"/>
      <c r="N464" s="208"/>
      <c r="O464" s="208"/>
      <c r="P464" s="208"/>
      <c r="Q464" s="208"/>
      <c r="R464" s="208"/>
      <c r="S464" s="208"/>
      <c r="T464" s="208"/>
      <c r="U464" s="208"/>
      <c r="V464" s="208"/>
      <c r="W464" s="208"/>
      <c r="X464" s="208"/>
      <c r="Y464" s="208"/>
      <c r="Z464" s="208"/>
      <c r="AA464" s="208"/>
      <c r="AB464" s="208"/>
      <c r="AC464" s="208"/>
      <c r="AD464" s="208"/>
      <c r="AE464" s="208"/>
      <c r="AF464" s="208"/>
      <c r="AG464" s="208"/>
      <c r="AH464" s="208"/>
      <c r="AI464" s="208"/>
      <c r="AJ464" s="208"/>
      <c r="AK464" s="208"/>
    </row>
    <row r="465">
      <c r="A465" s="208"/>
      <c r="B465" s="208"/>
      <c r="C465" s="208"/>
      <c r="D465" s="208"/>
      <c r="E465" s="208"/>
      <c r="F465" s="208"/>
      <c r="G465" s="208"/>
      <c r="H465" s="233"/>
      <c r="I465" s="234"/>
      <c r="J465" s="208"/>
      <c r="K465" s="208"/>
      <c r="L465" s="208"/>
      <c r="M465" s="208"/>
      <c r="N465" s="208"/>
      <c r="O465" s="208"/>
      <c r="P465" s="208"/>
      <c r="Q465" s="208"/>
      <c r="R465" s="208"/>
      <c r="S465" s="208"/>
      <c r="T465" s="208"/>
      <c r="U465" s="208"/>
      <c r="V465" s="208"/>
      <c r="W465" s="208"/>
      <c r="X465" s="208"/>
      <c r="Y465" s="208"/>
      <c r="Z465" s="208"/>
      <c r="AA465" s="208"/>
      <c r="AB465" s="208"/>
      <c r="AC465" s="208"/>
      <c r="AD465" s="208"/>
      <c r="AE465" s="208"/>
      <c r="AF465" s="208"/>
      <c r="AG465" s="208"/>
      <c r="AH465" s="208"/>
      <c r="AI465" s="208"/>
      <c r="AJ465" s="208"/>
      <c r="AK465" s="208"/>
    </row>
    <row r="466">
      <c r="A466" s="208"/>
      <c r="B466" s="208"/>
      <c r="C466" s="208"/>
      <c r="D466" s="208"/>
      <c r="E466" s="208"/>
      <c r="F466" s="208"/>
      <c r="G466" s="208"/>
      <c r="H466" s="233"/>
      <c r="I466" s="234"/>
      <c r="J466" s="208"/>
      <c r="K466" s="208"/>
      <c r="L466" s="208"/>
      <c r="M466" s="208"/>
      <c r="N466" s="208"/>
      <c r="O466" s="208"/>
      <c r="P466" s="208"/>
      <c r="Q466" s="208"/>
      <c r="R466" s="208"/>
      <c r="S466" s="208"/>
      <c r="T466" s="208"/>
      <c r="U466" s="208"/>
      <c r="V466" s="208"/>
      <c r="W466" s="208"/>
      <c r="X466" s="208"/>
      <c r="Y466" s="208"/>
      <c r="Z466" s="208"/>
      <c r="AA466" s="208"/>
      <c r="AB466" s="208"/>
      <c r="AC466" s="208"/>
      <c r="AD466" s="208"/>
      <c r="AE466" s="208"/>
      <c r="AF466" s="208"/>
      <c r="AG466" s="208"/>
      <c r="AH466" s="208"/>
      <c r="AI466" s="208"/>
      <c r="AJ466" s="208"/>
      <c r="AK466" s="208"/>
    </row>
    <row r="467">
      <c r="A467" s="208"/>
      <c r="B467" s="208"/>
      <c r="C467" s="208"/>
      <c r="D467" s="208"/>
      <c r="E467" s="208"/>
      <c r="F467" s="208"/>
      <c r="G467" s="208"/>
      <c r="H467" s="233"/>
      <c r="I467" s="234"/>
      <c r="J467" s="208"/>
      <c r="K467" s="208"/>
      <c r="L467" s="208"/>
      <c r="M467" s="208"/>
      <c r="N467" s="208"/>
      <c r="O467" s="208"/>
      <c r="P467" s="208"/>
      <c r="Q467" s="208"/>
      <c r="R467" s="208"/>
      <c r="S467" s="208"/>
      <c r="T467" s="208"/>
      <c r="U467" s="208"/>
      <c r="V467" s="208"/>
      <c r="W467" s="208"/>
      <c r="X467" s="208"/>
      <c r="Y467" s="208"/>
      <c r="Z467" s="208"/>
      <c r="AA467" s="208"/>
      <c r="AB467" s="208"/>
      <c r="AC467" s="208"/>
      <c r="AD467" s="208"/>
      <c r="AE467" s="208"/>
      <c r="AF467" s="208"/>
      <c r="AG467" s="208"/>
      <c r="AH467" s="208"/>
      <c r="AI467" s="208"/>
      <c r="AJ467" s="208"/>
      <c r="AK467" s="208"/>
    </row>
    <row r="468">
      <c r="A468" s="208"/>
      <c r="B468" s="208"/>
      <c r="C468" s="208"/>
      <c r="D468" s="208"/>
      <c r="E468" s="208"/>
      <c r="F468" s="208"/>
      <c r="G468" s="208"/>
      <c r="H468" s="233"/>
      <c r="I468" s="234"/>
      <c r="J468" s="208"/>
      <c r="K468" s="208"/>
      <c r="L468" s="208"/>
      <c r="M468" s="208"/>
      <c r="N468" s="208"/>
      <c r="O468" s="208"/>
      <c r="P468" s="208"/>
      <c r="Q468" s="208"/>
      <c r="R468" s="208"/>
      <c r="S468" s="208"/>
      <c r="T468" s="208"/>
      <c r="U468" s="208"/>
      <c r="V468" s="208"/>
      <c r="W468" s="208"/>
      <c r="X468" s="208"/>
      <c r="Y468" s="208"/>
      <c r="Z468" s="208"/>
      <c r="AA468" s="208"/>
      <c r="AB468" s="208"/>
      <c r="AC468" s="208"/>
      <c r="AD468" s="208"/>
      <c r="AE468" s="208"/>
      <c r="AF468" s="208"/>
      <c r="AG468" s="208"/>
      <c r="AH468" s="208"/>
      <c r="AI468" s="208"/>
      <c r="AJ468" s="208"/>
      <c r="AK468" s="208"/>
    </row>
    <row r="469">
      <c r="A469" s="208"/>
      <c r="B469" s="208"/>
      <c r="C469" s="208"/>
      <c r="D469" s="208"/>
      <c r="E469" s="208"/>
      <c r="F469" s="208"/>
      <c r="G469" s="208"/>
      <c r="H469" s="233"/>
      <c r="I469" s="234"/>
      <c r="J469" s="208"/>
      <c r="K469" s="208"/>
      <c r="L469" s="208"/>
      <c r="M469" s="208"/>
      <c r="N469" s="208"/>
      <c r="O469" s="208"/>
      <c r="P469" s="208"/>
      <c r="Q469" s="208"/>
      <c r="R469" s="208"/>
      <c r="S469" s="208"/>
      <c r="T469" s="208"/>
      <c r="U469" s="208"/>
      <c r="V469" s="208"/>
      <c r="W469" s="208"/>
      <c r="X469" s="208"/>
      <c r="Y469" s="208"/>
      <c r="Z469" s="208"/>
      <c r="AA469" s="208"/>
      <c r="AB469" s="208"/>
      <c r="AC469" s="208"/>
      <c r="AD469" s="208"/>
      <c r="AE469" s="208"/>
      <c r="AF469" s="208"/>
      <c r="AG469" s="208"/>
      <c r="AH469" s="208"/>
      <c r="AI469" s="208"/>
      <c r="AJ469" s="208"/>
      <c r="AK469" s="208"/>
    </row>
    <row r="470">
      <c r="A470" s="208"/>
      <c r="B470" s="208"/>
      <c r="C470" s="208"/>
      <c r="D470" s="208"/>
      <c r="E470" s="208"/>
      <c r="F470" s="208"/>
      <c r="G470" s="208"/>
      <c r="H470" s="233"/>
      <c r="I470" s="234"/>
      <c r="J470" s="208"/>
      <c r="K470" s="208"/>
      <c r="L470" s="208"/>
      <c r="M470" s="208"/>
      <c r="N470" s="208"/>
      <c r="O470" s="208"/>
      <c r="P470" s="208"/>
      <c r="Q470" s="208"/>
      <c r="R470" s="208"/>
      <c r="S470" s="208"/>
      <c r="T470" s="208"/>
      <c r="U470" s="208"/>
      <c r="V470" s="208"/>
      <c r="W470" s="208"/>
      <c r="X470" s="208"/>
      <c r="Y470" s="208"/>
      <c r="Z470" s="208"/>
      <c r="AA470" s="208"/>
      <c r="AB470" s="208"/>
      <c r="AC470" s="208"/>
      <c r="AD470" s="208"/>
      <c r="AE470" s="208"/>
      <c r="AF470" s="208"/>
      <c r="AG470" s="208"/>
      <c r="AH470" s="208"/>
      <c r="AI470" s="208"/>
      <c r="AJ470" s="208"/>
      <c r="AK470" s="208"/>
    </row>
    <row r="471">
      <c r="A471" s="208"/>
      <c r="B471" s="208"/>
      <c r="C471" s="208"/>
      <c r="D471" s="208"/>
      <c r="E471" s="208"/>
      <c r="F471" s="208"/>
      <c r="G471" s="208"/>
      <c r="H471" s="233"/>
      <c r="I471" s="234"/>
      <c r="J471" s="208"/>
      <c r="K471" s="208"/>
      <c r="L471" s="208"/>
      <c r="M471" s="208"/>
      <c r="N471" s="208"/>
      <c r="O471" s="208"/>
      <c r="P471" s="208"/>
      <c r="Q471" s="208"/>
      <c r="R471" s="208"/>
      <c r="S471" s="208"/>
      <c r="T471" s="208"/>
      <c r="U471" s="208"/>
      <c r="V471" s="208"/>
      <c r="W471" s="208"/>
      <c r="X471" s="208"/>
      <c r="Y471" s="208"/>
      <c r="Z471" s="208"/>
      <c r="AA471" s="208"/>
      <c r="AB471" s="208"/>
      <c r="AC471" s="208"/>
      <c r="AD471" s="208"/>
      <c r="AE471" s="208"/>
      <c r="AF471" s="208"/>
      <c r="AG471" s="208"/>
      <c r="AH471" s="208"/>
      <c r="AI471" s="208"/>
      <c r="AJ471" s="208"/>
      <c r="AK471" s="208"/>
    </row>
    <row r="472">
      <c r="A472" s="208"/>
      <c r="B472" s="208"/>
      <c r="C472" s="208"/>
      <c r="D472" s="208"/>
      <c r="E472" s="208"/>
      <c r="F472" s="208"/>
      <c r="G472" s="208"/>
      <c r="H472" s="233"/>
      <c r="I472" s="234"/>
      <c r="J472" s="208"/>
      <c r="K472" s="208"/>
      <c r="L472" s="208"/>
      <c r="M472" s="208"/>
      <c r="N472" s="208"/>
      <c r="O472" s="208"/>
      <c r="P472" s="208"/>
      <c r="Q472" s="208"/>
      <c r="R472" s="208"/>
      <c r="S472" s="208"/>
      <c r="T472" s="208"/>
      <c r="U472" s="208"/>
      <c r="V472" s="208"/>
      <c r="W472" s="208"/>
      <c r="X472" s="208"/>
      <c r="Y472" s="208"/>
      <c r="Z472" s="208"/>
      <c r="AA472" s="208"/>
      <c r="AB472" s="208"/>
      <c r="AC472" s="208"/>
      <c r="AD472" s="208"/>
      <c r="AE472" s="208"/>
      <c r="AF472" s="208"/>
      <c r="AG472" s="208"/>
      <c r="AH472" s="208"/>
      <c r="AI472" s="208"/>
      <c r="AJ472" s="208"/>
      <c r="AK472" s="208"/>
    </row>
    <row r="473">
      <c r="A473" s="208"/>
      <c r="B473" s="208"/>
      <c r="C473" s="208"/>
      <c r="D473" s="208"/>
      <c r="E473" s="208"/>
      <c r="F473" s="208"/>
      <c r="G473" s="208"/>
      <c r="H473" s="233"/>
      <c r="I473" s="234"/>
      <c r="J473" s="208"/>
      <c r="K473" s="208"/>
      <c r="L473" s="208"/>
      <c r="M473" s="208"/>
      <c r="N473" s="208"/>
      <c r="O473" s="208"/>
      <c r="P473" s="208"/>
      <c r="Q473" s="208"/>
      <c r="R473" s="208"/>
      <c r="S473" s="208"/>
      <c r="T473" s="208"/>
      <c r="U473" s="208"/>
      <c r="V473" s="208"/>
      <c r="W473" s="208"/>
      <c r="X473" s="208"/>
      <c r="Y473" s="208"/>
      <c r="Z473" s="208"/>
      <c r="AA473" s="208"/>
      <c r="AB473" s="208"/>
      <c r="AC473" s="208"/>
      <c r="AD473" s="208"/>
      <c r="AE473" s="208"/>
      <c r="AF473" s="208"/>
      <c r="AG473" s="208"/>
      <c r="AH473" s="208"/>
      <c r="AI473" s="208"/>
      <c r="AJ473" s="208"/>
      <c r="AK473" s="208"/>
    </row>
    <row r="474">
      <c r="A474" s="208"/>
      <c r="B474" s="208"/>
      <c r="C474" s="208"/>
      <c r="D474" s="208"/>
      <c r="E474" s="208"/>
      <c r="F474" s="208"/>
      <c r="G474" s="208"/>
      <c r="H474" s="233"/>
      <c r="I474" s="234"/>
      <c r="J474" s="208"/>
      <c r="K474" s="208"/>
      <c r="L474" s="208"/>
      <c r="M474" s="208"/>
      <c r="N474" s="208"/>
      <c r="O474" s="208"/>
      <c r="P474" s="208"/>
      <c r="Q474" s="208"/>
      <c r="R474" s="208"/>
      <c r="S474" s="208"/>
      <c r="T474" s="208"/>
      <c r="U474" s="208"/>
      <c r="V474" s="208"/>
      <c r="W474" s="208"/>
      <c r="X474" s="208"/>
      <c r="Y474" s="208"/>
      <c r="Z474" s="208"/>
      <c r="AA474" s="208"/>
      <c r="AB474" s="208"/>
      <c r="AC474" s="208"/>
      <c r="AD474" s="208"/>
      <c r="AE474" s="208"/>
      <c r="AF474" s="208"/>
      <c r="AG474" s="208"/>
      <c r="AH474" s="208"/>
      <c r="AI474" s="208"/>
      <c r="AJ474" s="208"/>
      <c r="AK474" s="208"/>
    </row>
    <row r="475">
      <c r="A475" s="208"/>
      <c r="B475" s="208"/>
      <c r="C475" s="208"/>
      <c r="D475" s="208"/>
      <c r="E475" s="208"/>
      <c r="F475" s="208"/>
      <c r="G475" s="208"/>
      <c r="H475" s="233"/>
      <c r="I475" s="234"/>
      <c r="J475" s="208"/>
      <c r="K475" s="208"/>
      <c r="L475" s="208"/>
      <c r="M475" s="208"/>
      <c r="N475" s="208"/>
      <c r="O475" s="208"/>
      <c r="P475" s="208"/>
      <c r="Q475" s="208"/>
      <c r="R475" s="208"/>
      <c r="S475" s="208"/>
      <c r="T475" s="208"/>
      <c r="U475" s="208"/>
      <c r="V475" s="208"/>
      <c r="W475" s="208"/>
      <c r="X475" s="208"/>
      <c r="Y475" s="208"/>
      <c r="Z475" s="208"/>
      <c r="AA475" s="208"/>
      <c r="AB475" s="208"/>
      <c r="AC475" s="208"/>
      <c r="AD475" s="208"/>
      <c r="AE475" s="208"/>
      <c r="AF475" s="208"/>
      <c r="AG475" s="208"/>
      <c r="AH475" s="208"/>
      <c r="AI475" s="208"/>
      <c r="AJ475" s="208"/>
      <c r="AK475" s="208"/>
    </row>
    <row r="476">
      <c r="A476" s="208"/>
      <c r="B476" s="208"/>
      <c r="C476" s="208"/>
      <c r="D476" s="208"/>
      <c r="E476" s="208"/>
      <c r="F476" s="208"/>
      <c r="G476" s="208"/>
      <c r="H476" s="233"/>
      <c r="I476" s="234"/>
      <c r="J476" s="208"/>
      <c r="K476" s="208"/>
      <c r="L476" s="208"/>
      <c r="M476" s="208"/>
      <c r="N476" s="208"/>
      <c r="O476" s="208"/>
      <c r="P476" s="208"/>
      <c r="Q476" s="208"/>
      <c r="R476" s="208"/>
      <c r="S476" s="208"/>
      <c r="T476" s="208"/>
      <c r="U476" s="208"/>
      <c r="V476" s="208"/>
      <c r="W476" s="208"/>
      <c r="X476" s="208"/>
      <c r="Y476" s="208"/>
      <c r="Z476" s="208"/>
      <c r="AA476" s="208"/>
      <c r="AB476" s="208"/>
      <c r="AC476" s="208"/>
      <c r="AD476" s="208"/>
      <c r="AE476" s="208"/>
      <c r="AF476" s="208"/>
      <c r="AG476" s="208"/>
      <c r="AH476" s="208"/>
      <c r="AI476" s="208"/>
      <c r="AJ476" s="208"/>
      <c r="AK476" s="208"/>
    </row>
    <row r="477">
      <c r="A477" s="208"/>
      <c r="B477" s="208"/>
      <c r="C477" s="208"/>
      <c r="D477" s="208"/>
      <c r="E477" s="208"/>
      <c r="F477" s="208"/>
      <c r="G477" s="208"/>
      <c r="H477" s="233"/>
      <c r="I477" s="234"/>
      <c r="J477" s="208"/>
      <c r="K477" s="208"/>
      <c r="L477" s="208"/>
      <c r="M477" s="208"/>
      <c r="N477" s="208"/>
      <c r="O477" s="208"/>
      <c r="P477" s="208"/>
      <c r="Q477" s="208"/>
      <c r="R477" s="208"/>
      <c r="S477" s="208"/>
      <c r="T477" s="208"/>
      <c r="U477" s="208"/>
      <c r="V477" s="208"/>
      <c r="W477" s="208"/>
      <c r="X477" s="208"/>
      <c r="Y477" s="208"/>
      <c r="Z477" s="208"/>
      <c r="AA477" s="208"/>
      <c r="AB477" s="208"/>
      <c r="AC477" s="208"/>
      <c r="AD477" s="208"/>
      <c r="AE477" s="208"/>
      <c r="AF477" s="208"/>
      <c r="AG477" s="208"/>
      <c r="AH477" s="208"/>
      <c r="AI477" s="208"/>
      <c r="AJ477" s="208"/>
      <c r="AK477" s="208"/>
    </row>
    <row r="478">
      <c r="A478" s="208"/>
      <c r="B478" s="208"/>
      <c r="C478" s="208"/>
      <c r="D478" s="208"/>
      <c r="E478" s="208"/>
      <c r="F478" s="208"/>
      <c r="G478" s="208"/>
      <c r="H478" s="233"/>
      <c r="I478" s="234"/>
      <c r="J478" s="208"/>
      <c r="K478" s="208"/>
      <c r="L478" s="208"/>
      <c r="M478" s="208"/>
      <c r="N478" s="208"/>
      <c r="O478" s="208"/>
      <c r="P478" s="208"/>
      <c r="Q478" s="208"/>
      <c r="R478" s="208"/>
      <c r="S478" s="208"/>
      <c r="T478" s="208"/>
      <c r="U478" s="208"/>
      <c r="V478" s="208"/>
      <c r="W478" s="208"/>
      <c r="X478" s="208"/>
      <c r="Y478" s="208"/>
      <c r="Z478" s="208"/>
      <c r="AA478" s="208"/>
      <c r="AB478" s="208"/>
      <c r="AC478" s="208"/>
      <c r="AD478" s="208"/>
      <c r="AE478" s="208"/>
      <c r="AF478" s="208"/>
      <c r="AG478" s="208"/>
      <c r="AH478" s="208"/>
      <c r="AI478" s="208"/>
      <c r="AJ478" s="208"/>
      <c r="AK478" s="208"/>
    </row>
    <row r="479">
      <c r="A479" s="208"/>
      <c r="B479" s="208"/>
      <c r="C479" s="208"/>
      <c r="D479" s="208"/>
      <c r="E479" s="208"/>
      <c r="F479" s="208"/>
      <c r="G479" s="208"/>
      <c r="H479" s="233"/>
      <c r="I479" s="234"/>
      <c r="J479" s="208"/>
      <c r="K479" s="208"/>
      <c r="L479" s="208"/>
      <c r="M479" s="208"/>
      <c r="N479" s="208"/>
      <c r="O479" s="208"/>
      <c r="P479" s="208"/>
      <c r="Q479" s="208"/>
      <c r="R479" s="208"/>
      <c r="S479" s="208"/>
      <c r="T479" s="208"/>
      <c r="U479" s="208"/>
      <c r="V479" s="208"/>
      <c r="W479" s="208"/>
      <c r="X479" s="208"/>
      <c r="Y479" s="208"/>
      <c r="Z479" s="208"/>
      <c r="AA479" s="208"/>
      <c r="AB479" s="208"/>
      <c r="AC479" s="208"/>
      <c r="AD479" s="208"/>
      <c r="AE479" s="208"/>
      <c r="AF479" s="208"/>
      <c r="AG479" s="208"/>
      <c r="AH479" s="208"/>
      <c r="AI479" s="208"/>
      <c r="AJ479" s="208"/>
      <c r="AK479" s="208"/>
    </row>
    <row r="480">
      <c r="A480" s="208"/>
      <c r="B480" s="208"/>
      <c r="C480" s="208"/>
      <c r="D480" s="208"/>
      <c r="E480" s="208"/>
      <c r="F480" s="208"/>
      <c r="G480" s="208"/>
      <c r="H480" s="233"/>
      <c r="I480" s="234"/>
      <c r="J480" s="208"/>
      <c r="K480" s="208"/>
      <c r="L480" s="208"/>
      <c r="M480" s="208"/>
      <c r="N480" s="208"/>
      <c r="O480" s="208"/>
      <c r="P480" s="208"/>
      <c r="Q480" s="208"/>
      <c r="R480" s="208"/>
      <c r="S480" s="208"/>
      <c r="T480" s="208"/>
      <c r="U480" s="208"/>
      <c r="V480" s="208"/>
      <c r="W480" s="208"/>
      <c r="X480" s="208"/>
      <c r="Y480" s="208"/>
      <c r="Z480" s="208"/>
      <c r="AA480" s="208"/>
      <c r="AB480" s="208"/>
      <c r="AC480" s="208"/>
      <c r="AD480" s="208"/>
      <c r="AE480" s="208"/>
      <c r="AF480" s="208"/>
      <c r="AG480" s="208"/>
      <c r="AH480" s="208"/>
      <c r="AI480" s="208"/>
      <c r="AJ480" s="208"/>
      <c r="AK480" s="208"/>
    </row>
    <row r="481">
      <c r="A481" s="208"/>
      <c r="B481" s="208"/>
      <c r="C481" s="208"/>
      <c r="D481" s="208"/>
      <c r="E481" s="208"/>
      <c r="F481" s="208"/>
      <c r="G481" s="208"/>
      <c r="H481" s="233"/>
      <c r="I481" s="234"/>
      <c r="J481" s="208"/>
      <c r="K481" s="208"/>
      <c r="L481" s="208"/>
      <c r="M481" s="208"/>
      <c r="N481" s="208"/>
      <c r="O481" s="208"/>
      <c r="P481" s="208"/>
      <c r="Q481" s="208"/>
      <c r="R481" s="208"/>
      <c r="S481" s="208"/>
      <c r="T481" s="208"/>
      <c r="U481" s="208"/>
      <c r="V481" s="208"/>
      <c r="W481" s="208"/>
      <c r="X481" s="208"/>
      <c r="Y481" s="208"/>
      <c r="Z481" s="208"/>
      <c r="AA481" s="208"/>
      <c r="AB481" s="208"/>
      <c r="AC481" s="208"/>
      <c r="AD481" s="208"/>
      <c r="AE481" s="208"/>
      <c r="AF481" s="208"/>
      <c r="AG481" s="208"/>
      <c r="AH481" s="208"/>
      <c r="AI481" s="208"/>
      <c r="AJ481" s="208"/>
      <c r="AK481" s="208"/>
    </row>
    <row r="482">
      <c r="A482" s="208"/>
      <c r="B482" s="208"/>
      <c r="C482" s="208"/>
      <c r="D482" s="208"/>
      <c r="E482" s="208"/>
      <c r="F482" s="208"/>
      <c r="G482" s="208"/>
      <c r="H482" s="233"/>
      <c r="I482" s="234"/>
      <c r="J482" s="208"/>
      <c r="K482" s="208"/>
      <c r="L482" s="208"/>
      <c r="M482" s="208"/>
      <c r="N482" s="208"/>
      <c r="O482" s="208"/>
      <c r="P482" s="208"/>
      <c r="Q482" s="208"/>
      <c r="R482" s="208"/>
      <c r="S482" s="208"/>
      <c r="T482" s="208"/>
      <c r="U482" s="208"/>
      <c r="V482" s="208"/>
      <c r="W482" s="208"/>
      <c r="X482" s="208"/>
      <c r="Y482" s="208"/>
      <c r="Z482" s="208"/>
      <c r="AA482" s="208"/>
      <c r="AB482" s="208"/>
      <c r="AC482" s="208"/>
      <c r="AD482" s="208"/>
      <c r="AE482" s="208"/>
      <c r="AF482" s="208"/>
      <c r="AG482" s="208"/>
      <c r="AH482" s="208"/>
      <c r="AI482" s="208"/>
      <c r="AJ482" s="208"/>
      <c r="AK482" s="208"/>
    </row>
    <row r="483">
      <c r="A483" s="208"/>
      <c r="B483" s="208"/>
      <c r="C483" s="208"/>
      <c r="D483" s="208"/>
      <c r="E483" s="208"/>
      <c r="F483" s="208"/>
      <c r="G483" s="208"/>
      <c r="H483" s="233"/>
      <c r="I483" s="234"/>
      <c r="J483" s="208"/>
      <c r="K483" s="208"/>
      <c r="L483" s="208"/>
      <c r="M483" s="208"/>
      <c r="N483" s="208"/>
      <c r="O483" s="208"/>
      <c r="P483" s="208"/>
      <c r="Q483" s="208"/>
      <c r="R483" s="208"/>
      <c r="S483" s="208"/>
      <c r="T483" s="208"/>
      <c r="U483" s="208"/>
      <c r="V483" s="208"/>
      <c r="W483" s="208"/>
      <c r="X483" s="208"/>
      <c r="Y483" s="208"/>
      <c r="Z483" s="208"/>
      <c r="AA483" s="208"/>
      <c r="AB483" s="208"/>
      <c r="AC483" s="208"/>
      <c r="AD483" s="208"/>
      <c r="AE483" s="208"/>
      <c r="AF483" s="208"/>
      <c r="AG483" s="208"/>
      <c r="AH483" s="208"/>
      <c r="AI483" s="208"/>
      <c r="AJ483" s="208"/>
      <c r="AK483" s="208"/>
    </row>
    <row r="484">
      <c r="A484" s="208"/>
      <c r="B484" s="208"/>
      <c r="C484" s="208"/>
      <c r="D484" s="208"/>
      <c r="E484" s="208"/>
      <c r="F484" s="208"/>
      <c r="G484" s="208"/>
      <c r="H484" s="233"/>
      <c r="I484" s="234"/>
      <c r="J484" s="208"/>
      <c r="K484" s="208"/>
      <c r="L484" s="208"/>
      <c r="M484" s="208"/>
      <c r="N484" s="208"/>
      <c r="O484" s="208"/>
      <c r="P484" s="208"/>
      <c r="Q484" s="208"/>
      <c r="R484" s="208"/>
      <c r="S484" s="208"/>
      <c r="T484" s="208"/>
      <c r="U484" s="208"/>
      <c r="V484" s="208"/>
      <c r="W484" s="208"/>
      <c r="X484" s="208"/>
      <c r="Y484" s="208"/>
      <c r="Z484" s="208"/>
      <c r="AA484" s="208"/>
      <c r="AB484" s="208"/>
      <c r="AC484" s="208"/>
      <c r="AD484" s="208"/>
      <c r="AE484" s="208"/>
      <c r="AF484" s="208"/>
      <c r="AG484" s="208"/>
      <c r="AH484" s="208"/>
      <c r="AI484" s="208"/>
      <c r="AJ484" s="208"/>
      <c r="AK484" s="208"/>
    </row>
    <row r="485">
      <c r="A485" s="208"/>
      <c r="B485" s="208"/>
      <c r="C485" s="208"/>
      <c r="D485" s="208"/>
      <c r="E485" s="208"/>
      <c r="F485" s="208"/>
      <c r="G485" s="208"/>
      <c r="H485" s="233"/>
      <c r="I485" s="234"/>
      <c r="J485" s="208"/>
      <c r="K485" s="208"/>
      <c r="L485" s="208"/>
      <c r="M485" s="208"/>
      <c r="N485" s="208"/>
      <c r="O485" s="208"/>
      <c r="P485" s="208"/>
      <c r="Q485" s="208"/>
      <c r="R485" s="208"/>
      <c r="S485" s="208"/>
      <c r="T485" s="208"/>
      <c r="U485" s="208"/>
      <c r="V485" s="208"/>
      <c r="W485" s="208"/>
      <c r="X485" s="208"/>
      <c r="Y485" s="208"/>
      <c r="Z485" s="208"/>
      <c r="AA485" s="208"/>
      <c r="AB485" s="208"/>
      <c r="AC485" s="208"/>
      <c r="AD485" s="208"/>
      <c r="AE485" s="208"/>
      <c r="AF485" s="208"/>
      <c r="AG485" s="208"/>
      <c r="AH485" s="208"/>
      <c r="AI485" s="208"/>
      <c r="AJ485" s="208"/>
      <c r="AK485" s="208"/>
    </row>
    <row r="486">
      <c r="A486" s="208"/>
      <c r="B486" s="208"/>
      <c r="C486" s="208"/>
      <c r="D486" s="208"/>
      <c r="E486" s="208"/>
      <c r="F486" s="208"/>
      <c r="G486" s="208"/>
      <c r="H486" s="233"/>
      <c r="I486" s="234"/>
      <c r="J486" s="208"/>
      <c r="K486" s="208"/>
      <c r="L486" s="208"/>
      <c r="M486" s="208"/>
      <c r="N486" s="208"/>
      <c r="O486" s="208"/>
      <c r="P486" s="208"/>
      <c r="Q486" s="208"/>
      <c r="R486" s="208"/>
      <c r="S486" s="208"/>
      <c r="T486" s="208"/>
      <c r="U486" s="208"/>
      <c r="V486" s="208"/>
      <c r="W486" s="208"/>
      <c r="X486" s="208"/>
      <c r="Y486" s="208"/>
      <c r="Z486" s="208"/>
      <c r="AA486" s="208"/>
      <c r="AB486" s="208"/>
      <c r="AC486" s="208"/>
      <c r="AD486" s="208"/>
      <c r="AE486" s="208"/>
      <c r="AF486" s="208"/>
      <c r="AG486" s="208"/>
      <c r="AH486" s="208"/>
      <c r="AI486" s="208"/>
      <c r="AJ486" s="208"/>
      <c r="AK486" s="208"/>
    </row>
    <row r="487">
      <c r="A487" s="208"/>
      <c r="B487" s="208"/>
      <c r="C487" s="208"/>
      <c r="D487" s="208"/>
      <c r="E487" s="208"/>
      <c r="F487" s="208"/>
      <c r="G487" s="208"/>
      <c r="H487" s="233"/>
      <c r="I487" s="234"/>
      <c r="J487" s="208"/>
      <c r="K487" s="208"/>
      <c r="L487" s="208"/>
      <c r="M487" s="208"/>
      <c r="N487" s="208"/>
      <c r="O487" s="208"/>
      <c r="P487" s="208"/>
      <c r="Q487" s="208"/>
      <c r="R487" s="208"/>
      <c r="S487" s="208"/>
      <c r="T487" s="208"/>
      <c r="U487" s="208"/>
      <c r="V487" s="208"/>
      <c r="W487" s="208"/>
      <c r="X487" s="208"/>
      <c r="Y487" s="208"/>
      <c r="Z487" s="208"/>
      <c r="AA487" s="208"/>
      <c r="AB487" s="208"/>
      <c r="AC487" s="208"/>
      <c r="AD487" s="208"/>
      <c r="AE487" s="208"/>
      <c r="AF487" s="208"/>
      <c r="AG487" s="208"/>
      <c r="AH487" s="208"/>
      <c r="AI487" s="208"/>
      <c r="AJ487" s="208"/>
      <c r="AK487" s="208"/>
    </row>
    <row r="488">
      <c r="A488" s="208"/>
      <c r="B488" s="208"/>
      <c r="C488" s="208"/>
      <c r="D488" s="208"/>
      <c r="E488" s="208"/>
      <c r="F488" s="208"/>
      <c r="G488" s="208"/>
      <c r="H488" s="233"/>
      <c r="I488" s="234"/>
      <c r="J488" s="208"/>
      <c r="K488" s="208"/>
      <c r="L488" s="208"/>
      <c r="M488" s="208"/>
      <c r="N488" s="208"/>
      <c r="O488" s="208"/>
      <c r="P488" s="208"/>
      <c r="Q488" s="208"/>
      <c r="R488" s="208"/>
      <c r="S488" s="208"/>
      <c r="T488" s="208"/>
      <c r="U488" s="208"/>
      <c r="V488" s="208"/>
      <c r="W488" s="208"/>
      <c r="X488" s="208"/>
      <c r="Y488" s="208"/>
      <c r="Z488" s="208"/>
      <c r="AA488" s="208"/>
      <c r="AB488" s="208"/>
      <c r="AC488" s="208"/>
      <c r="AD488" s="208"/>
      <c r="AE488" s="208"/>
      <c r="AF488" s="208"/>
      <c r="AG488" s="208"/>
      <c r="AH488" s="208"/>
      <c r="AI488" s="208"/>
      <c r="AJ488" s="208"/>
      <c r="AK488" s="208"/>
    </row>
    <row r="489">
      <c r="A489" s="208"/>
      <c r="B489" s="208"/>
      <c r="C489" s="208"/>
      <c r="D489" s="208"/>
      <c r="E489" s="208"/>
      <c r="F489" s="208"/>
      <c r="G489" s="208"/>
      <c r="H489" s="233"/>
      <c r="I489" s="234"/>
      <c r="J489" s="208"/>
      <c r="K489" s="208"/>
      <c r="L489" s="208"/>
      <c r="M489" s="208"/>
      <c r="N489" s="208"/>
      <c r="O489" s="208"/>
      <c r="P489" s="208"/>
      <c r="Q489" s="208"/>
      <c r="R489" s="208"/>
      <c r="S489" s="208"/>
      <c r="T489" s="208"/>
      <c r="U489" s="208"/>
      <c r="V489" s="208"/>
      <c r="W489" s="208"/>
      <c r="X489" s="208"/>
      <c r="Y489" s="208"/>
      <c r="Z489" s="208"/>
      <c r="AA489" s="208"/>
      <c r="AB489" s="208"/>
      <c r="AC489" s="208"/>
      <c r="AD489" s="208"/>
      <c r="AE489" s="208"/>
      <c r="AF489" s="208"/>
      <c r="AG489" s="208"/>
      <c r="AH489" s="208"/>
      <c r="AI489" s="208"/>
      <c r="AJ489" s="208"/>
      <c r="AK489" s="208"/>
    </row>
    <row r="490">
      <c r="A490" s="208"/>
      <c r="B490" s="208"/>
      <c r="C490" s="208"/>
      <c r="D490" s="208"/>
      <c r="E490" s="208"/>
      <c r="F490" s="208"/>
      <c r="G490" s="208"/>
      <c r="H490" s="233"/>
      <c r="I490" s="234"/>
      <c r="J490" s="208"/>
      <c r="K490" s="208"/>
      <c r="L490" s="208"/>
      <c r="M490" s="208"/>
      <c r="N490" s="208"/>
      <c r="O490" s="208"/>
      <c r="P490" s="208"/>
      <c r="Q490" s="208"/>
      <c r="R490" s="208"/>
      <c r="S490" s="208"/>
      <c r="T490" s="208"/>
      <c r="U490" s="208"/>
      <c r="V490" s="208"/>
      <c r="W490" s="208"/>
      <c r="X490" s="208"/>
      <c r="Y490" s="208"/>
      <c r="Z490" s="208"/>
      <c r="AA490" s="208"/>
      <c r="AB490" s="208"/>
      <c r="AC490" s="208"/>
      <c r="AD490" s="208"/>
      <c r="AE490" s="208"/>
      <c r="AF490" s="208"/>
      <c r="AG490" s="208"/>
      <c r="AH490" s="208"/>
      <c r="AI490" s="208"/>
      <c r="AJ490" s="208"/>
      <c r="AK490" s="208"/>
    </row>
    <row r="491">
      <c r="A491" s="208"/>
      <c r="B491" s="208"/>
      <c r="C491" s="208"/>
      <c r="D491" s="208"/>
      <c r="E491" s="208"/>
      <c r="F491" s="208"/>
      <c r="G491" s="208"/>
      <c r="H491" s="233"/>
      <c r="I491" s="234"/>
      <c r="J491" s="208"/>
      <c r="K491" s="208"/>
      <c r="L491" s="208"/>
      <c r="M491" s="208"/>
      <c r="N491" s="208"/>
      <c r="O491" s="208"/>
      <c r="P491" s="208"/>
      <c r="Q491" s="208"/>
      <c r="R491" s="208"/>
      <c r="S491" s="208"/>
      <c r="T491" s="208"/>
      <c r="U491" s="208"/>
      <c r="V491" s="208"/>
      <c r="W491" s="208"/>
      <c r="X491" s="208"/>
      <c r="Y491" s="208"/>
      <c r="Z491" s="208"/>
      <c r="AA491" s="208"/>
      <c r="AB491" s="208"/>
      <c r="AC491" s="208"/>
      <c r="AD491" s="208"/>
      <c r="AE491" s="208"/>
      <c r="AF491" s="208"/>
      <c r="AG491" s="208"/>
      <c r="AH491" s="208"/>
      <c r="AI491" s="208"/>
      <c r="AJ491" s="208"/>
      <c r="AK491" s="208"/>
    </row>
    <row r="492">
      <c r="A492" s="208"/>
      <c r="B492" s="208"/>
      <c r="C492" s="208"/>
      <c r="D492" s="208"/>
      <c r="E492" s="208"/>
      <c r="F492" s="208"/>
      <c r="G492" s="208"/>
      <c r="H492" s="233"/>
      <c r="I492" s="234"/>
      <c r="J492" s="208"/>
      <c r="K492" s="208"/>
      <c r="L492" s="208"/>
      <c r="M492" s="208"/>
      <c r="N492" s="208"/>
      <c r="O492" s="208"/>
      <c r="P492" s="208"/>
      <c r="Q492" s="208"/>
      <c r="R492" s="208"/>
      <c r="S492" s="208"/>
      <c r="T492" s="208"/>
      <c r="U492" s="208"/>
      <c r="V492" s="208"/>
      <c r="W492" s="208"/>
      <c r="X492" s="208"/>
      <c r="Y492" s="208"/>
      <c r="Z492" s="208"/>
      <c r="AA492" s="208"/>
      <c r="AB492" s="208"/>
      <c r="AC492" s="208"/>
      <c r="AD492" s="208"/>
      <c r="AE492" s="208"/>
      <c r="AF492" s="208"/>
      <c r="AG492" s="208"/>
      <c r="AH492" s="208"/>
      <c r="AI492" s="208"/>
      <c r="AJ492" s="208"/>
      <c r="AK492" s="208"/>
    </row>
    <row r="493">
      <c r="A493" s="208"/>
      <c r="B493" s="208"/>
      <c r="C493" s="208"/>
      <c r="D493" s="208"/>
      <c r="E493" s="208"/>
      <c r="F493" s="208"/>
      <c r="G493" s="208"/>
      <c r="H493" s="233"/>
      <c r="I493" s="234"/>
      <c r="J493" s="208"/>
      <c r="K493" s="208"/>
      <c r="L493" s="208"/>
      <c r="M493" s="208"/>
      <c r="N493" s="208"/>
      <c r="O493" s="208"/>
      <c r="P493" s="208"/>
      <c r="Q493" s="208"/>
      <c r="R493" s="208"/>
      <c r="S493" s="208"/>
      <c r="T493" s="208"/>
      <c r="U493" s="208"/>
      <c r="V493" s="208"/>
      <c r="W493" s="208"/>
      <c r="X493" s="208"/>
      <c r="Y493" s="208"/>
      <c r="Z493" s="208"/>
      <c r="AA493" s="208"/>
      <c r="AB493" s="208"/>
      <c r="AC493" s="208"/>
      <c r="AD493" s="208"/>
      <c r="AE493" s="208"/>
      <c r="AF493" s="208"/>
      <c r="AG493" s="208"/>
      <c r="AH493" s="208"/>
      <c r="AI493" s="208"/>
      <c r="AJ493" s="208"/>
      <c r="AK493" s="208"/>
    </row>
    <row r="494">
      <c r="A494" s="208"/>
      <c r="B494" s="208"/>
      <c r="C494" s="208"/>
      <c r="D494" s="208"/>
      <c r="E494" s="208"/>
      <c r="F494" s="208"/>
      <c r="G494" s="208"/>
      <c r="H494" s="233"/>
      <c r="I494" s="234"/>
      <c r="J494" s="208"/>
      <c r="K494" s="208"/>
      <c r="L494" s="208"/>
      <c r="M494" s="208"/>
      <c r="N494" s="208"/>
      <c r="O494" s="208"/>
      <c r="P494" s="208"/>
      <c r="Q494" s="208"/>
      <c r="R494" s="208"/>
      <c r="S494" s="208"/>
      <c r="T494" s="208"/>
      <c r="U494" s="208"/>
      <c r="V494" s="208"/>
      <c r="W494" s="208"/>
      <c r="X494" s="208"/>
      <c r="Y494" s="208"/>
      <c r="Z494" s="208"/>
      <c r="AA494" s="208"/>
      <c r="AB494" s="208"/>
      <c r="AC494" s="208"/>
      <c r="AD494" s="208"/>
      <c r="AE494" s="208"/>
      <c r="AF494" s="208"/>
      <c r="AG494" s="208"/>
      <c r="AH494" s="208"/>
      <c r="AI494" s="208"/>
      <c r="AJ494" s="208"/>
      <c r="AK494" s="208"/>
    </row>
    <row r="495">
      <c r="A495" s="208"/>
      <c r="B495" s="208"/>
      <c r="C495" s="208"/>
      <c r="D495" s="208"/>
      <c r="E495" s="208"/>
      <c r="F495" s="208"/>
      <c r="G495" s="208"/>
      <c r="H495" s="233"/>
      <c r="I495" s="234"/>
      <c r="J495" s="208"/>
      <c r="K495" s="208"/>
      <c r="L495" s="208"/>
      <c r="M495" s="208"/>
      <c r="N495" s="208"/>
      <c r="O495" s="208"/>
      <c r="P495" s="208"/>
      <c r="Q495" s="208"/>
      <c r="R495" s="208"/>
      <c r="S495" s="208"/>
      <c r="T495" s="208"/>
      <c r="U495" s="208"/>
      <c r="V495" s="208"/>
      <c r="W495" s="208"/>
      <c r="X495" s="208"/>
      <c r="Y495" s="208"/>
      <c r="Z495" s="208"/>
      <c r="AA495" s="208"/>
      <c r="AB495" s="208"/>
      <c r="AC495" s="208"/>
      <c r="AD495" s="208"/>
      <c r="AE495" s="208"/>
      <c r="AF495" s="208"/>
      <c r="AG495" s="208"/>
      <c r="AH495" s="208"/>
      <c r="AI495" s="208"/>
      <c r="AJ495" s="208"/>
      <c r="AK495" s="208"/>
    </row>
    <row r="496">
      <c r="A496" s="208"/>
      <c r="B496" s="208"/>
      <c r="C496" s="208"/>
      <c r="D496" s="208"/>
      <c r="E496" s="208"/>
      <c r="F496" s="208"/>
      <c r="G496" s="208"/>
      <c r="H496" s="233"/>
      <c r="I496" s="234"/>
      <c r="J496" s="208"/>
      <c r="K496" s="208"/>
      <c r="L496" s="208"/>
      <c r="M496" s="208"/>
      <c r="N496" s="208"/>
      <c r="O496" s="208"/>
      <c r="P496" s="208"/>
      <c r="Q496" s="208"/>
      <c r="R496" s="208"/>
      <c r="S496" s="208"/>
      <c r="T496" s="208"/>
      <c r="U496" s="208"/>
      <c r="V496" s="208"/>
      <c r="W496" s="208"/>
      <c r="X496" s="208"/>
      <c r="Y496" s="208"/>
      <c r="Z496" s="208"/>
      <c r="AA496" s="208"/>
      <c r="AB496" s="208"/>
      <c r="AC496" s="208"/>
      <c r="AD496" s="208"/>
      <c r="AE496" s="208"/>
      <c r="AF496" s="208"/>
      <c r="AG496" s="208"/>
      <c r="AH496" s="208"/>
      <c r="AI496" s="208"/>
      <c r="AJ496" s="208"/>
      <c r="AK496" s="208"/>
    </row>
    <row r="497">
      <c r="A497" s="208"/>
      <c r="B497" s="208"/>
      <c r="C497" s="208"/>
      <c r="D497" s="208"/>
      <c r="E497" s="208"/>
      <c r="F497" s="208"/>
      <c r="G497" s="208"/>
      <c r="H497" s="233"/>
      <c r="I497" s="234"/>
      <c r="J497" s="208"/>
      <c r="K497" s="208"/>
      <c r="L497" s="208"/>
      <c r="M497" s="208"/>
      <c r="N497" s="208"/>
      <c r="O497" s="208"/>
      <c r="P497" s="208"/>
      <c r="Q497" s="208"/>
      <c r="R497" s="208"/>
      <c r="S497" s="208"/>
      <c r="T497" s="208"/>
      <c r="U497" s="208"/>
      <c r="V497" s="208"/>
      <c r="W497" s="208"/>
      <c r="X497" s="208"/>
      <c r="Y497" s="208"/>
      <c r="Z497" s="208"/>
      <c r="AA497" s="208"/>
      <c r="AB497" s="208"/>
      <c r="AC497" s="208"/>
      <c r="AD497" s="208"/>
      <c r="AE497" s="208"/>
      <c r="AF497" s="208"/>
      <c r="AG497" s="208"/>
      <c r="AH497" s="208"/>
      <c r="AI497" s="208"/>
      <c r="AJ497" s="208"/>
      <c r="AK497" s="208"/>
    </row>
    <row r="498">
      <c r="A498" s="208"/>
      <c r="B498" s="208"/>
      <c r="C498" s="208"/>
      <c r="D498" s="208"/>
      <c r="E498" s="208"/>
      <c r="F498" s="208"/>
      <c r="G498" s="208"/>
      <c r="H498" s="233"/>
      <c r="I498" s="234"/>
      <c r="J498" s="208"/>
      <c r="K498" s="208"/>
      <c r="L498" s="208"/>
      <c r="M498" s="208"/>
      <c r="N498" s="208"/>
      <c r="O498" s="208"/>
      <c r="P498" s="208"/>
      <c r="Q498" s="208"/>
      <c r="R498" s="208"/>
      <c r="S498" s="208"/>
      <c r="T498" s="208"/>
      <c r="U498" s="208"/>
      <c r="V498" s="208"/>
      <c r="W498" s="208"/>
      <c r="X498" s="208"/>
      <c r="Y498" s="208"/>
      <c r="Z498" s="208"/>
      <c r="AA498" s="208"/>
      <c r="AB498" s="208"/>
      <c r="AC498" s="208"/>
      <c r="AD498" s="208"/>
      <c r="AE498" s="208"/>
      <c r="AF498" s="208"/>
      <c r="AG498" s="208"/>
      <c r="AH498" s="208"/>
      <c r="AI498" s="208"/>
      <c r="AJ498" s="208"/>
      <c r="AK498" s="208"/>
    </row>
    <row r="499">
      <c r="A499" s="208"/>
      <c r="B499" s="208"/>
      <c r="C499" s="208"/>
      <c r="D499" s="208"/>
      <c r="E499" s="208"/>
      <c r="F499" s="208"/>
      <c r="G499" s="208"/>
      <c r="H499" s="233"/>
      <c r="I499" s="234"/>
      <c r="J499" s="208"/>
      <c r="K499" s="208"/>
      <c r="L499" s="208"/>
      <c r="M499" s="208"/>
      <c r="N499" s="208"/>
      <c r="O499" s="208"/>
      <c r="P499" s="208"/>
      <c r="Q499" s="208"/>
      <c r="R499" s="208"/>
      <c r="S499" s="208"/>
      <c r="T499" s="208"/>
      <c r="U499" s="208"/>
      <c r="V499" s="208"/>
      <c r="W499" s="208"/>
      <c r="X499" s="208"/>
      <c r="Y499" s="208"/>
      <c r="Z499" s="208"/>
      <c r="AA499" s="208"/>
      <c r="AB499" s="208"/>
      <c r="AC499" s="208"/>
      <c r="AD499" s="208"/>
      <c r="AE499" s="208"/>
      <c r="AF499" s="208"/>
      <c r="AG499" s="208"/>
      <c r="AH499" s="208"/>
      <c r="AI499" s="208"/>
      <c r="AJ499" s="208"/>
      <c r="AK499" s="208"/>
    </row>
    <row r="500">
      <c r="A500" s="208"/>
      <c r="B500" s="208"/>
      <c r="C500" s="208"/>
      <c r="D500" s="208"/>
      <c r="E500" s="208"/>
      <c r="F500" s="208"/>
      <c r="G500" s="208"/>
      <c r="H500" s="233"/>
      <c r="I500" s="234"/>
      <c r="J500" s="208"/>
      <c r="K500" s="208"/>
      <c r="L500" s="208"/>
      <c r="M500" s="208"/>
      <c r="N500" s="208"/>
      <c r="O500" s="208"/>
      <c r="P500" s="208"/>
      <c r="Q500" s="208"/>
      <c r="R500" s="208"/>
      <c r="S500" s="208"/>
      <c r="T500" s="208"/>
      <c r="U500" s="208"/>
      <c r="V500" s="208"/>
      <c r="W500" s="208"/>
      <c r="X500" s="208"/>
      <c r="Y500" s="208"/>
      <c r="Z500" s="208"/>
      <c r="AA500" s="208"/>
      <c r="AB500" s="208"/>
      <c r="AC500" s="208"/>
      <c r="AD500" s="208"/>
      <c r="AE500" s="208"/>
      <c r="AF500" s="208"/>
      <c r="AG500" s="208"/>
      <c r="AH500" s="208"/>
      <c r="AI500" s="208"/>
      <c r="AJ500" s="208"/>
      <c r="AK500" s="208"/>
    </row>
    <row r="501">
      <c r="A501" s="208"/>
      <c r="B501" s="208"/>
      <c r="C501" s="208"/>
      <c r="D501" s="208"/>
      <c r="E501" s="208"/>
      <c r="F501" s="208"/>
      <c r="G501" s="208"/>
      <c r="H501" s="233"/>
      <c r="I501" s="234"/>
      <c r="J501" s="208"/>
      <c r="K501" s="208"/>
      <c r="L501" s="208"/>
      <c r="M501" s="208"/>
      <c r="N501" s="208"/>
      <c r="O501" s="208"/>
      <c r="P501" s="208"/>
      <c r="Q501" s="208"/>
      <c r="R501" s="208"/>
      <c r="S501" s="208"/>
      <c r="T501" s="208"/>
      <c r="U501" s="208"/>
      <c r="V501" s="208"/>
      <c r="W501" s="208"/>
      <c r="X501" s="208"/>
      <c r="Y501" s="208"/>
      <c r="Z501" s="208"/>
      <c r="AA501" s="208"/>
      <c r="AB501" s="208"/>
      <c r="AC501" s="208"/>
      <c r="AD501" s="208"/>
      <c r="AE501" s="208"/>
      <c r="AF501" s="208"/>
      <c r="AG501" s="208"/>
      <c r="AH501" s="208"/>
      <c r="AI501" s="208"/>
      <c r="AJ501" s="208"/>
      <c r="AK501" s="208"/>
    </row>
    <row r="502">
      <c r="A502" s="208"/>
      <c r="B502" s="208"/>
      <c r="C502" s="208"/>
      <c r="D502" s="208"/>
      <c r="E502" s="208"/>
      <c r="F502" s="208"/>
      <c r="G502" s="208"/>
      <c r="H502" s="233"/>
      <c r="I502" s="234"/>
      <c r="J502" s="208"/>
      <c r="K502" s="208"/>
      <c r="L502" s="208"/>
      <c r="M502" s="208"/>
      <c r="N502" s="208"/>
      <c r="O502" s="208"/>
      <c r="P502" s="208"/>
      <c r="Q502" s="208"/>
      <c r="R502" s="208"/>
      <c r="S502" s="208"/>
      <c r="T502" s="208"/>
      <c r="U502" s="208"/>
      <c r="V502" s="208"/>
      <c r="W502" s="208"/>
      <c r="X502" s="208"/>
      <c r="Y502" s="208"/>
      <c r="Z502" s="208"/>
      <c r="AA502" s="208"/>
      <c r="AB502" s="208"/>
      <c r="AC502" s="208"/>
      <c r="AD502" s="208"/>
      <c r="AE502" s="208"/>
      <c r="AF502" s="208"/>
      <c r="AG502" s="208"/>
      <c r="AH502" s="208"/>
      <c r="AI502" s="208"/>
      <c r="AJ502" s="208"/>
      <c r="AK502" s="208"/>
    </row>
    <row r="503">
      <c r="A503" s="208"/>
      <c r="B503" s="208"/>
      <c r="C503" s="208"/>
      <c r="D503" s="208"/>
      <c r="E503" s="208"/>
      <c r="F503" s="208"/>
      <c r="G503" s="208"/>
      <c r="H503" s="233"/>
      <c r="I503" s="234"/>
      <c r="J503" s="208"/>
      <c r="K503" s="208"/>
      <c r="L503" s="208"/>
      <c r="M503" s="208"/>
      <c r="N503" s="208"/>
      <c r="O503" s="208"/>
      <c r="P503" s="208"/>
      <c r="Q503" s="208"/>
      <c r="R503" s="208"/>
      <c r="S503" s="208"/>
      <c r="T503" s="208"/>
      <c r="U503" s="208"/>
      <c r="V503" s="208"/>
      <c r="W503" s="208"/>
      <c r="X503" s="208"/>
      <c r="Y503" s="208"/>
      <c r="Z503" s="208"/>
      <c r="AA503" s="208"/>
      <c r="AB503" s="208"/>
      <c r="AC503" s="208"/>
      <c r="AD503" s="208"/>
      <c r="AE503" s="208"/>
      <c r="AF503" s="208"/>
      <c r="AG503" s="208"/>
      <c r="AH503" s="208"/>
      <c r="AI503" s="208"/>
      <c r="AJ503" s="208"/>
      <c r="AK503" s="208"/>
    </row>
    <row r="504">
      <c r="A504" s="208"/>
      <c r="B504" s="208"/>
      <c r="C504" s="208"/>
      <c r="D504" s="208"/>
      <c r="E504" s="208"/>
      <c r="F504" s="208"/>
      <c r="G504" s="208"/>
      <c r="H504" s="233"/>
      <c r="I504" s="234"/>
      <c r="J504" s="208"/>
      <c r="K504" s="208"/>
      <c r="L504" s="208"/>
      <c r="M504" s="208"/>
      <c r="N504" s="208"/>
      <c r="O504" s="208"/>
      <c r="P504" s="208"/>
      <c r="Q504" s="208"/>
      <c r="R504" s="208"/>
      <c r="S504" s="208"/>
      <c r="T504" s="208"/>
      <c r="U504" s="208"/>
      <c r="V504" s="208"/>
      <c r="W504" s="208"/>
      <c r="X504" s="208"/>
      <c r="Y504" s="208"/>
      <c r="Z504" s="208"/>
      <c r="AA504" s="208"/>
      <c r="AB504" s="208"/>
      <c r="AC504" s="208"/>
      <c r="AD504" s="208"/>
      <c r="AE504" s="208"/>
      <c r="AF504" s="208"/>
      <c r="AG504" s="208"/>
      <c r="AH504" s="208"/>
      <c r="AI504" s="208"/>
      <c r="AJ504" s="208"/>
      <c r="AK504" s="208"/>
    </row>
    <row r="505">
      <c r="A505" s="208"/>
      <c r="B505" s="208"/>
      <c r="C505" s="208"/>
      <c r="D505" s="208"/>
      <c r="E505" s="208"/>
      <c r="F505" s="208"/>
      <c r="G505" s="208"/>
      <c r="H505" s="233"/>
      <c r="I505" s="234"/>
      <c r="J505" s="208"/>
      <c r="K505" s="208"/>
      <c r="L505" s="208"/>
      <c r="M505" s="208"/>
      <c r="N505" s="208"/>
      <c r="O505" s="208"/>
      <c r="P505" s="208"/>
      <c r="Q505" s="208"/>
      <c r="R505" s="208"/>
      <c r="S505" s="208"/>
      <c r="T505" s="208"/>
      <c r="U505" s="208"/>
      <c r="V505" s="208"/>
      <c r="W505" s="208"/>
      <c r="X505" s="208"/>
      <c r="Y505" s="208"/>
      <c r="Z505" s="208"/>
      <c r="AA505" s="208"/>
      <c r="AB505" s="208"/>
      <c r="AC505" s="208"/>
      <c r="AD505" s="208"/>
      <c r="AE505" s="208"/>
      <c r="AF505" s="208"/>
      <c r="AG505" s="208"/>
      <c r="AH505" s="208"/>
      <c r="AI505" s="208"/>
      <c r="AJ505" s="208"/>
      <c r="AK505" s="208"/>
    </row>
    <row r="506">
      <c r="A506" s="208"/>
      <c r="B506" s="208"/>
      <c r="C506" s="208"/>
      <c r="D506" s="208"/>
      <c r="E506" s="208"/>
      <c r="F506" s="208"/>
      <c r="G506" s="208"/>
      <c r="H506" s="233"/>
      <c r="I506" s="234"/>
      <c r="J506" s="208"/>
      <c r="K506" s="208"/>
      <c r="L506" s="208"/>
      <c r="M506" s="208"/>
      <c r="N506" s="208"/>
      <c r="O506" s="208"/>
      <c r="P506" s="208"/>
      <c r="Q506" s="208"/>
      <c r="R506" s="208"/>
      <c r="S506" s="208"/>
      <c r="T506" s="208"/>
      <c r="U506" s="208"/>
      <c r="V506" s="208"/>
      <c r="W506" s="208"/>
      <c r="X506" s="208"/>
      <c r="Y506" s="208"/>
      <c r="Z506" s="208"/>
      <c r="AA506" s="208"/>
      <c r="AB506" s="208"/>
      <c r="AC506" s="208"/>
      <c r="AD506" s="208"/>
      <c r="AE506" s="208"/>
      <c r="AF506" s="208"/>
      <c r="AG506" s="208"/>
      <c r="AH506" s="208"/>
      <c r="AI506" s="208"/>
      <c r="AJ506" s="208"/>
      <c r="AK506" s="208"/>
    </row>
    <row r="507">
      <c r="A507" s="208"/>
      <c r="B507" s="208"/>
      <c r="C507" s="208"/>
      <c r="D507" s="208"/>
      <c r="E507" s="208"/>
      <c r="F507" s="208"/>
      <c r="G507" s="208"/>
      <c r="H507" s="233"/>
      <c r="I507" s="234"/>
      <c r="J507" s="208"/>
      <c r="K507" s="208"/>
      <c r="L507" s="208"/>
      <c r="M507" s="208"/>
      <c r="N507" s="208"/>
      <c r="O507" s="208"/>
      <c r="P507" s="208"/>
      <c r="Q507" s="208"/>
      <c r="R507" s="208"/>
      <c r="S507" s="208"/>
      <c r="T507" s="208"/>
      <c r="U507" s="208"/>
      <c r="V507" s="208"/>
      <c r="W507" s="208"/>
      <c r="X507" s="208"/>
      <c r="Y507" s="208"/>
      <c r="Z507" s="208"/>
      <c r="AA507" s="208"/>
      <c r="AB507" s="208"/>
      <c r="AC507" s="208"/>
      <c r="AD507" s="208"/>
      <c r="AE507" s="208"/>
      <c r="AF507" s="208"/>
      <c r="AG507" s="208"/>
      <c r="AH507" s="208"/>
      <c r="AI507" s="208"/>
      <c r="AJ507" s="208"/>
      <c r="AK507" s="208"/>
    </row>
    <row r="508">
      <c r="A508" s="208"/>
      <c r="B508" s="208"/>
      <c r="C508" s="208"/>
      <c r="D508" s="208"/>
      <c r="E508" s="208"/>
      <c r="F508" s="208"/>
      <c r="G508" s="208"/>
      <c r="H508" s="233"/>
      <c r="I508" s="234"/>
      <c r="J508" s="208"/>
      <c r="K508" s="208"/>
      <c r="L508" s="208"/>
      <c r="M508" s="208"/>
      <c r="N508" s="208"/>
      <c r="O508" s="208"/>
      <c r="P508" s="208"/>
      <c r="Q508" s="208"/>
      <c r="R508" s="208"/>
      <c r="S508" s="208"/>
      <c r="T508" s="208"/>
      <c r="U508" s="208"/>
      <c r="V508" s="208"/>
      <c r="W508" s="208"/>
      <c r="X508" s="208"/>
      <c r="Y508" s="208"/>
      <c r="Z508" s="208"/>
      <c r="AA508" s="208"/>
      <c r="AB508" s="208"/>
      <c r="AC508" s="208"/>
      <c r="AD508" s="208"/>
      <c r="AE508" s="208"/>
      <c r="AF508" s="208"/>
      <c r="AG508" s="208"/>
      <c r="AH508" s="208"/>
      <c r="AI508" s="208"/>
      <c r="AJ508" s="208"/>
      <c r="AK508" s="208"/>
    </row>
    <row r="509">
      <c r="A509" s="208"/>
      <c r="B509" s="208"/>
      <c r="C509" s="208"/>
      <c r="D509" s="208"/>
      <c r="E509" s="208"/>
      <c r="F509" s="208"/>
      <c r="G509" s="208"/>
      <c r="H509" s="233"/>
      <c r="I509" s="234"/>
      <c r="J509" s="208"/>
      <c r="K509" s="208"/>
      <c r="L509" s="208"/>
      <c r="M509" s="208"/>
      <c r="N509" s="208"/>
      <c r="O509" s="208"/>
      <c r="P509" s="208"/>
      <c r="Q509" s="208"/>
      <c r="R509" s="208"/>
      <c r="S509" s="208"/>
      <c r="T509" s="208"/>
      <c r="U509" s="208"/>
      <c r="V509" s="208"/>
      <c r="W509" s="208"/>
      <c r="X509" s="208"/>
      <c r="Y509" s="208"/>
      <c r="Z509" s="208"/>
      <c r="AA509" s="208"/>
      <c r="AB509" s="208"/>
      <c r="AC509" s="208"/>
      <c r="AD509" s="208"/>
      <c r="AE509" s="208"/>
      <c r="AF509" s="208"/>
      <c r="AG509" s="208"/>
      <c r="AH509" s="208"/>
      <c r="AI509" s="208"/>
      <c r="AJ509" s="208"/>
      <c r="AK509" s="208"/>
    </row>
    <row r="510">
      <c r="A510" s="208"/>
      <c r="B510" s="208"/>
      <c r="C510" s="208"/>
      <c r="D510" s="208"/>
      <c r="E510" s="208"/>
      <c r="F510" s="208"/>
      <c r="G510" s="208"/>
      <c r="H510" s="233"/>
      <c r="I510" s="234"/>
      <c r="J510" s="208"/>
      <c r="K510" s="208"/>
      <c r="L510" s="208"/>
      <c r="M510" s="208"/>
      <c r="N510" s="208"/>
      <c r="O510" s="208"/>
      <c r="P510" s="208"/>
      <c r="Q510" s="208"/>
      <c r="R510" s="208"/>
      <c r="S510" s="208"/>
      <c r="T510" s="208"/>
      <c r="U510" s="208"/>
      <c r="V510" s="208"/>
      <c r="W510" s="208"/>
      <c r="X510" s="208"/>
      <c r="Y510" s="208"/>
      <c r="Z510" s="208"/>
      <c r="AA510" s="208"/>
      <c r="AB510" s="208"/>
      <c r="AC510" s="208"/>
      <c r="AD510" s="208"/>
      <c r="AE510" s="208"/>
      <c r="AF510" s="208"/>
      <c r="AG510" s="208"/>
      <c r="AH510" s="208"/>
      <c r="AI510" s="208"/>
      <c r="AJ510" s="208"/>
      <c r="AK510" s="208"/>
    </row>
    <row r="511">
      <c r="A511" s="208"/>
      <c r="B511" s="208"/>
      <c r="C511" s="208"/>
      <c r="D511" s="208"/>
      <c r="E511" s="208"/>
      <c r="F511" s="208"/>
      <c r="G511" s="208"/>
      <c r="H511" s="233"/>
      <c r="I511" s="234"/>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c r="AI511" s="208"/>
      <c r="AJ511" s="208"/>
      <c r="AK511" s="208"/>
    </row>
    <row r="512">
      <c r="A512" s="208"/>
      <c r="B512" s="208"/>
      <c r="C512" s="208"/>
      <c r="D512" s="208"/>
      <c r="E512" s="208"/>
      <c r="F512" s="208"/>
      <c r="G512" s="208"/>
      <c r="H512" s="233"/>
      <c r="I512" s="234"/>
      <c r="J512" s="208"/>
      <c r="K512" s="208"/>
      <c r="L512" s="208"/>
      <c r="M512" s="208"/>
      <c r="N512" s="208"/>
      <c r="O512" s="208"/>
      <c r="P512" s="208"/>
      <c r="Q512" s="208"/>
      <c r="R512" s="208"/>
      <c r="S512" s="208"/>
      <c r="T512" s="208"/>
      <c r="U512" s="208"/>
      <c r="V512" s="208"/>
      <c r="W512" s="208"/>
      <c r="X512" s="208"/>
      <c r="Y512" s="208"/>
      <c r="Z512" s="208"/>
      <c r="AA512" s="208"/>
      <c r="AB512" s="208"/>
      <c r="AC512" s="208"/>
      <c r="AD512" s="208"/>
      <c r="AE512" s="208"/>
      <c r="AF512" s="208"/>
      <c r="AG512" s="208"/>
      <c r="AH512" s="208"/>
      <c r="AI512" s="208"/>
      <c r="AJ512" s="208"/>
      <c r="AK512" s="208"/>
    </row>
    <row r="513">
      <c r="A513" s="208"/>
      <c r="B513" s="208"/>
      <c r="C513" s="208"/>
      <c r="D513" s="208"/>
      <c r="E513" s="208"/>
      <c r="F513" s="208"/>
      <c r="G513" s="208"/>
      <c r="H513" s="233"/>
      <c r="I513" s="234"/>
      <c r="J513" s="208"/>
      <c r="K513" s="208"/>
      <c r="L513" s="208"/>
      <c r="M513" s="208"/>
      <c r="N513" s="208"/>
      <c r="O513" s="208"/>
      <c r="P513" s="208"/>
      <c r="Q513" s="208"/>
      <c r="R513" s="208"/>
      <c r="S513" s="208"/>
      <c r="T513" s="208"/>
      <c r="U513" s="208"/>
      <c r="V513" s="208"/>
      <c r="W513" s="208"/>
      <c r="X513" s="208"/>
      <c r="Y513" s="208"/>
      <c r="Z513" s="208"/>
      <c r="AA513" s="208"/>
      <c r="AB513" s="208"/>
      <c r="AC513" s="208"/>
      <c r="AD513" s="208"/>
      <c r="AE513" s="208"/>
      <c r="AF513" s="208"/>
      <c r="AG513" s="208"/>
      <c r="AH513" s="208"/>
      <c r="AI513" s="208"/>
      <c r="AJ513" s="208"/>
      <c r="AK513" s="208"/>
    </row>
    <row r="514">
      <c r="A514" s="208"/>
      <c r="B514" s="208"/>
      <c r="C514" s="208"/>
      <c r="D514" s="208"/>
      <c r="E514" s="208"/>
      <c r="F514" s="208"/>
      <c r="G514" s="208"/>
      <c r="H514" s="233"/>
      <c r="I514" s="234"/>
      <c r="J514" s="208"/>
      <c r="K514" s="208"/>
      <c r="L514" s="208"/>
      <c r="M514" s="208"/>
      <c r="N514" s="208"/>
      <c r="O514" s="208"/>
      <c r="P514" s="208"/>
      <c r="Q514" s="208"/>
      <c r="R514" s="208"/>
      <c r="S514" s="208"/>
      <c r="T514" s="208"/>
      <c r="U514" s="208"/>
      <c r="V514" s="208"/>
      <c r="W514" s="208"/>
      <c r="X514" s="208"/>
      <c r="Y514" s="208"/>
      <c r="Z514" s="208"/>
      <c r="AA514" s="208"/>
      <c r="AB514" s="208"/>
      <c r="AC514" s="208"/>
      <c r="AD514" s="208"/>
      <c r="AE514" s="208"/>
      <c r="AF514" s="208"/>
      <c r="AG514" s="208"/>
      <c r="AH514" s="208"/>
      <c r="AI514" s="208"/>
      <c r="AJ514" s="208"/>
      <c r="AK514" s="208"/>
    </row>
    <row r="515">
      <c r="A515" s="208"/>
      <c r="B515" s="208"/>
      <c r="C515" s="208"/>
      <c r="D515" s="208"/>
      <c r="E515" s="208"/>
      <c r="F515" s="208"/>
      <c r="G515" s="208"/>
      <c r="H515" s="233"/>
      <c r="I515" s="234"/>
      <c r="J515" s="208"/>
      <c r="K515" s="208"/>
      <c r="L515" s="208"/>
      <c r="M515" s="208"/>
      <c r="N515" s="208"/>
      <c r="O515" s="208"/>
      <c r="P515" s="208"/>
      <c r="Q515" s="208"/>
      <c r="R515" s="208"/>
      <c r="S515" s="208"/>
      <c r="T515" s="208"/>
      <c r="U515" s="208"/>
      <c r="V515" s="208"/>
      <c r="W515" s="208"/>
      <c r="X515" s="208"/>
      <c r="Y515" s="208"/>
      <c r="Z515" s="208"/>
      <c r="AA515" s="208"/>
      <c r="AB515" s="208"/>
      <c r="AC515" s="208"/>
      <c r="AD515" s="208"/>
      <c r="AE515" s="208"/>
      <c r="AF515" s="208"/>
      <c r="AG515" s="208"/>
      <c r="AH515" s="208"/>
      <c r="AI515" s="208"/>
      <c r="AJ515" s="208"/>
      <c r="AK515" s="208"/>
    </row>
    <row r="516">
      <c r="A516" s="208"/>
      <c r="B516" s="208"/>
      <c r="C516" s="208"/>
      <c r="D516" s="208"/>
      <c r="E516" s="208"/>
      <c r="F516" s="208"/>
      <c r="G516" s="208"/>
      <c r="H516" s="233"/>
      <c r="I516" s="234"/>
      <c r="J516" s="208"/>
      <c r="K516" s="208"/>
      <c r="L516" s="208"/>
      <c r="M516" s="208"/>
      <c r="N516" s="208"/>
      <c r="O516" s="208"/>
      <c r="P516" s="208"/>
      <c r="Q516" s="208"/>
      <c r="R516" s="208"/>
      <c r="S516" s="208"/>
      <c r="T516" s="208"/>
      <c r="U516" s="208"/>
      <c r="V516" s="208"/>
      <c r="W516" s="208"/>
      <c r="X516" s="208"/>
      <c r="Y516" s="208"/>
      <c r="Z516" s="208"/>
      <c r="AA516" s="208"/>
      <c r="AB516" s="208"/>
      <c r="AC516" s="208"/>
      <c r="AD516" s="208"/>
      <c r="AE516" s="208"/>
      <c r="AF516" s="208"/>
      <c r="AG516" s="208"/>
      <c r="AH516" s="208"/>
      <c r="AI516" s="208"/>
      <c r="AJ516" s="208"/>
      <c r="AK516" s="208"/>
    </row>
    <row r="517">
      <c r="A517" s="208"/>
      <c r="B517" s="208"/>
      <c r="C517" s="208"/>
      <c r="D517" s="208"/>
      <c r="E517" s="208"/>
      <c r="F517" s="208"/>
      <c r="G517" s="208"/>
      <c r="H517" s="233"/>
      <c r="I517" s="234"/>
      <c r="J517" s="208"/>
      <c r="K517" s="208"/>
      <c r="L517" s="208"/>
      <c r="M517" s="208"/>
      <c r="N517" s="208"/>
      <c r="O517" s="208"/>
      <c r="P517" s="208"/>
      <c r="Q517" s="208"/>
      <c r="R517" s="208"/>
      <c r="S517" s="208"/>
      <c r="T517" s="208"/>
      <c r="U517" s="208"/>
      <c r="V517" s="208"/>
      <c r="W517" s="208"/>
      <c r="X517" s="208"/>
      <c r="Y517" s="208"/>
      <c r="Z517" s="208"/>
      <c r="AA517" s="208"/>
      <c r="AB517" s="208"/>
      <c r="AC517" s="208"/>
      <c r="AD517" s="208"/>
      <c r="AE517" s="208"/>
      <c r="AF517" s="208"/>
      <c r="AG517" s="208"/>
      <c r="AH517" s="208"/>
      <c r="AI517" s="208"/>
      <c r="AJ517" s="208"/>
      <c r="AK517" s="208"/>
    </row>
    <row r="518">
      <c r="A518" s="208"/>
      <c r="B518" s="208"/>
      <c r="C518" s="208"/>
      <c r="D518" s="208"/>
      <c r="E518" s="208"/>
      <c r="F518" s="208"/>
      <c r="G518" s="208"/>
      <c r="H518" s="233"/>
      <c r="I518" s="234"/>
      <c r="J518" s="208"/>
      <c r="K518" s="208"/>
      <c r="L518" s="208"/>
      <c r="M518" s="208"/>
      <c r="N518" s="208"/>
      <c r="O518" s="208"/>
      <c r="P518" s="208"/>
      <c r="Q518" s="208"/>
      <c r="R518" s="208"/>
      <c r="S518" s="208"/>
      <c r="T518" s="208"/>
      <c r="U518" s="208"/>
      <c r="V518" s="208"/>
      <c r="W518" s="208"/>
      <c r="X518" s="208"/>
      <c r="Y518" s="208"/>
      <c r="Z518" s="208"/>
      <c r="AA518" s="208"/>
      <c r="AB518" s="208"/>
      <c r="AC518" s="208"/>
      <c r="AD518" s="208"/>
      <c r="AE518" s="208"/>
      <c r="AF518" s="208"/>
      <c r="AG518" s="208"/>
      <c r="AH518" s="208"/>
      <c r="AI518" s="208"/>
      <c r="AJ518" s="208"/>
      <c r="AK518" s="208"/>
    </row>
    <row r="519">
      <c r="A519" s="208"/>
      <c r="B519" s="208"/>
      <c r="C519" s="208"/>
      <c r="D519" s="208"/>
      <c r="E519" s="208"/>
      <c r="F519" s="208"/>
      <c r="G519" s="208"/>
      <c r="H519" s="233"/>
      <c r="I519" s="234"/>
      <c r="J519" s="208"/>
      <c r="K519" s="208"/>
      <c r="L519" s="208"/>
      <c r="M519" s="208"/>
      <c r="N519" s="208"/>
      <c r="O519" s="208"/>
      <c r="P519" s="208"/>
      <c r="Q519" s="208"/>
      <c r="R519" s="208"/>
      <c r="S519" s="208"/>
      <c r="T519" s="208"/>
      <c r="U519" s="208"/>
      <c r="V519" s="208"/>
      <c r="W519" s="208"/>
      <c r="X519" s="208"/>
      <c r="Y519" s="208"/>
      <c r="Z519" s="208"/>
      <c r="AA519" s="208"/>
      <c r="AB519" s="208"/>
      <c r="AC519" s="208"/>
      <c r="AD519" s="208"/>
      <c r="AE519" s="208"/>
      <c r="AF519" s="208"/>
      <c r="AG519" s="208"/>
      <c r="AH519" s="208"/>
      <c r="AI519" s="208"/>
      <c r="AJ519" s="208"/>
      <c r="AK519" s="208"/>
    </row>
    <row r="520">
      <c r="A520" s="208"/>
      <c r="B520" s="208"/>
      <c r="C520" s="208"/>
      <c r="D520" s="208"/>
      <c r="E520" s="208"/>
      <c r="F520" s="208"/>
      <c r="G520" s="208"/>
      <c r="H520" s="233"/>
      <c r="I520" s="234"/>
      <c r="J520" s="208"/>
      <c r="K520" s="208"/>
      <c r="L520" s="208"/>
      <c r="M520" s="208"/>
      <c r="N520" s="208"/>
      <c r="O520" s="208"/>
      <c r="P520" s="208"/>
      <c r="Q520" s="208"/>
      <c r="R520" s="208"/>
      <c r="S520" s="208"/>
      <c r="T520" s="208"/>
      <c r="U520" s="208"/>
      <c r="V520" s="208"/>
      <c r="W520" s="208"/>
      <c r="X520" s="208"/>
      <c r="Y520" s="208"/>
      <c r="Z520" s="208"/>
      <c r="AA520" s="208"/>
      <c r="AB520" s="208"/>
      <c r="AC520" s="208"/>
      <c r="AD520" s="208"/>
      <c r="AE520" s="208"/>
      <c r="AF520" s="208"/>
      <c r="AG520" s="208"/>
      <c r="AH520" s="208"/>
      <c r="AI520" s="208"/>
      <c r="AJ520" s="208"/>
      <c r="AK520" s="208"/>
    </row>
    <row r="521">
      <c r="A521" s="208"/>
      <c r="B521" s="208"/>
      <c r="C521" s="208"/>
      <c r="D521" s="208"/>
      <c r="E521" s="208"/>
      <c r="F521" s="208"/>
      <c r="G521" s="208"/>
      <c r="H521" s="233"/>
      <c r="I521" s="234"/>
      <c r="J521" s="208"/>
      <c r="K521" s="208"/>
      <c r="L521" s="208"/>
      <c r="M521" s="208"/>
      <c r="N521" s="208"/>
      <c r="O521" s="208"/>
      <c r="P521" s="208"/>
      <c r="Q521" s="208"/>
      <c r="R521" s="208"/>
      <c r="S521" s="208"/>
      <c r="T521" s="208"/>
      <c r="U521" s="208"/>
      <c r="V521" s="208"/>
      <c r="W521" s="208"/>
      <c r="X521" s="208"/>
      <c r="Y521" s="208"/>
      <c r="Z521" s="208"/>
      <c r="AA521" s="208"/>
      <c r="AB521" s="208"/>
      <c r="AC521" s="208"/>
      <c r="AD521" s="208"/>
      <c r="AE521" s="208"/>
      <c r="AF521" s="208"/>
      <c r="AG521" s="208"/>
      <c r="AH521" s="208"/>
      <c r="AI521" s="208"/>
      <c r="AJ521" s="208"/>
      <c r="AK521" s="208"/>
    </row>
    <row r="522">
      <c r="A522" s="208"/>
      <c r="B522" s="208"/>
      <c r="C522" s="208"/>
      <c r="D522" s="208"/>
      <c r="E522" s="208"/>
      <c r="F522" s="208"/>
      <c r="G522" s="208"/>
      <c r="H522" s="233"/>
      <c r="I522" s="234"/>
      <c r="J522" s="208"/>
      <c r="K522" s="208"/>
      <c r="L522" s="208"/>
      <c r="M522" s="208"/>
      <c r="N522" s="208"/>
      <c r="O522" s="208"/>
      <c r="P522" s="208"/>
      <c r="Q522" s="208"/>
      <c r="R522" s="208"/>
      <c r="S522" s="208"/>
      <c r="T522" s="208"/>
      <c r="U522" s="208"/>
      <c r="V522" s="208"/>
      <c r="W522" s="208"/>
      <c r="X522" s="208"/>
      <c r="Y522" s="208"/>
      <c r="Z522" s="208"/>
      <c r="AA522" s="208"/>
      <c r="AB522" s="208"/>
      <c r="AC522" s="208"/>
      <c r="AD522" s="208"/>
      <c r="AE522" s="208"/>
      <c r="AF522" s="208"/>
      <c r="AG522" s="208"/>
      <c r="AH522" s="208"/>
      <c r="AI522" s="208"/>
      <c r="AJ522" s="208"/>
      <c r="AK522" s="208"/>
    </row>
    <row r="523">
      <c r="A523" s="208"/>
      <c r="B523" s="208"/>
      <c r="C523" s="208"/>
      <c r="D523" s="208"/>
      <c r="E523" s="208"/>
      <c r="F523" s="208"/>
      <c r="G523" s="208"/>
      <c r="H523" s="233"/>
      <c r="I523" s="234"/>
      <c r="J523" s="208"/>
      <c r="K523" s="208"/>
      <c r="L523" s="208"/>
      <c r="M523" s="208"/>
      <c r="N523" s="208"/>
      <c r="O523" s="208"/>
      <c r="P523" s="208"/>
      <c r="Q523" s="208"/>
      <c r="R523" s="208"/>
      <c r="S523" s="208"/>
      <c r="T523" s="208"/>
      <c r="U523" s="208"/>
      <c r="V523" s="208"/>
      <c r="W523" s="208"/>
      <c r="X523" s="208"/>
      <c r="Y523" s="208"/>
      <c r="Z523" s="208"/>
      <c r="AA523" s="208"/>
      <c r="AB523" s="208"/>
      <c r="AC523" s="208"/>
      <c r="AD523" s="208"/>
      <c r="AE523" s="208"/>
      <c r="AF523" s="208"/>
      <c r="AG523" s="208"/>
      <c r="AH523" s="208"/>
      <c r="AI523" s="208"/>
      <c r="AJ523" s="208"/>
      <c r="AK523" s="208"/>
    </row>
    <row r="524">
      <c r="A524" s="208"/>
      <c r="B524" s="208"/>
      <c r="C524" s="208"/>
      <c r="D524" s="208"/>
      <c r="E524" s="208"/>
      <c r="F524" s="208"/>
      <c r="G524" s="208"/>
      <c r="H524" s="233"/>
      <c r="I524" s="234"/>
      <c r="J524" s="208"/>
      <c r="K524" s="208"/>
      <c r="L524" s="208"/>
      <c r="M524" s="208"/>
      <c r="N524" s="208"/>
      <c r="O524" s="208"/>
      <c r="P524" s="208"/>
      <c r="Q524" s="208"/>
      <c r="R524" s="208"/>
      <c r="S524" s="208"/>
      <c r="T524" s="208"/>
      <c r="U524" s="208"/>
      <c r="V524" s="208"/>
      <c r="W524" s="208"/>
      <c r="X524" s="208"/>
      <c r="Y524" s="208"/>
      <c r="Z524" s="208"/>
      <c r="AA524" s="208"/>
      <c r="AB524" s="208"/>
      <c r="AC524" s="208"/>
      <c r="AD524" s="208"/>
      <c r="AE524" s="208"/>
      <c r="AF524" s="208"/>
      <c r="AG524" s="208"/>
      <c r="AH524" s="208"/>
      <c r="AI524" s="208"/>
      <c r="AJ524" s="208"/>
      <c r="AK524" s="208"/>
    </row>
    <row r="525">
      <c r="A525" s="208"/>
      <c r="B525" s="208"/>
      <c r="C525" s="208"/>
      <c r="D525" s="208"/>
      <c r="E525" s="208"/>
      <c r="F525" s="208"/>
      <c r="G525" s="208"/>
      <c r="H525" s="233"/>
      <c r="I525" s="234"/>
      <c r="J525" s="208"/>
      <c r="K525" s="208"/>
      <c r="L525" s="208"/>
      <c r="M525" s="208"/>
      <c r="N525" s="208"/>
      <c r="O525" s="208"/>
      <c r="P525" s="208"/>
      <c r="Q525" s="208"/>
      <c r="R525" s="208"/>
      <c r="S525" s="208"/>
      <c r="T525" s="208"/>
      <c r="U525" s="208"/>
      <c r="V525" s="208"/>
      <c r="W525" s="208"/>
      <c r="X525" s="208"/>
      <c r="Y525" s="208"/>
      <c r="Z525" s="208"/>
      <c r="AA525" s="208"/>
      <c r="AB525" s="208"/>
      <c r="AC525" s="208"/>
      <c r="AD525" s="208"/>
      <c r="AE525" s="208"/>
      <c r="AF525" s="208"/>
      <c r="AG525" s="208"/>
      <c r="AH525" s="208"/>
      <c r="AI525" s="208"/>
      <c r="AJ525" s="208"/>
      <c r="AK525" s="208"/>
    </row>
    <row r="526">
      <c r="A526" s="208"/>
      <c r="B526" s="208"/>
      <c r="C526" s="208"/>
      <c r="D526" s="208"/>
      <c r="E526" s="208"/>
      <c r="F526" s="208"/>
      <c r="G526" s="208"/>
      <c r="H526" s="233"/>
      <c r="I526" s="234"/>
      <c r="J526" s="208"/>
      <c r="K526" s="208"/>
      <c r="L526" s="208"/>
      <c r="M526" s="208"/>
      <c r="N526" s="208"/>
      <c r="O526" s="208"/>
      <c r="P526" s="208"/>
      <c r="Q526" s="208"/>
      <c r="R526" s="208"/>
      <c r="S526" s="208"/>
      <c r="T526" s="208"/>
      <c r="U526" s="208"/>
      <c r="V526" s="208"/>
      <c r="W526" s="208"/>
      <c r="X526" s="208"/>
      <c r="Y526" s="208"/>
      <c r="Z526" s="208"/>
      <c r="AA526" s="208"/>
      <c r="AB526" s="208"/>
      <c r="AC526" s="208"/>
      <c r="AD526" s="208"/>
      <c r="AE526" s="208"/>
      <c r="AF526" s="208"/>
      <c r="AG526" s="208"/>
      <c r="AH526" s="208"/>
      <c r="AI526" s="208"/>
      <c r="AJ526" s="208"/>
      <c r="AK526" s="208"/>
    </row>
    <row r="527">
      <c r="A527" s="208"/>
      <c r="B527" s="208"/>
      <c r="C527" s="208"/>
      <c r="D527" s="208"/>
      <c r="E527" s="208"/>
      <c r="F527" s="208"/>
      <c r="G527" s="208"/>
      <c r="H527" s="233"/>
      <c r="I527" s="234"/>
      <c r="J527" s="208"/>
      <c r="K527" s="208"/>
      <c r="L527" s="208"/>
      <c r="M527" s="208"/>
      <c r="N527" s="208"/>
      <c r="O527" s="208"/>
      <c r="P527" s="208"/>
      <c r="Q527" s="208"/>
      <c r="R527" s="208"/>
      <c r="S527" s="208"/>
      <c r="T527" s="208"/>
      <c r="U527" s="208"/>
      <c r="V527" s="208"/>
      <c r="W527" s="208"/>
      <c r="X527" s="208"/>
      <c r="Y527" s="208"/>
      <c r="Z527" s="208"/>
      <c r="AA527" s="208"/>
      <c r="AB527" s="208"/>
      <c r="AC527" s="208"/>
      <c r="AD527" s="208"/>
      <c r="AE527" s="208"/>
      <c r="AF527" s="208"/>
      <c r="AG527" s="208"/>
      <c r="AH527" s="208"/>
      <c r="AI527" s="208"/>
      <c r="AJ527" s="208"/>
      <c r="AK527" s="208"/>
    </row>
    <row r="528">
      <c r="A528" s="208"/>
      <c r="B528" s="208"/>
      <c r="C528" s="208"/>
      <c r="D528" s="208"/>
      <c r="E528" s="208"/>
      <c r="F528" s="208"/>
      <c r="G528" s="208"/>
      <c r="H528" s="233"/>
      <c r="I528" s="234"/>
      <c r="J528" s="208"/>
      <c r="K528" s="208"/>
      <c r="L528" s="208"/>
      <c r="M528" s="208"/>
      <c r="N528" s="208"/>
      <c r="O528" s="208"/>
      <c r="P528" s="208"/>
      <c r="Q528" s="208"/>
      <c r="R528" s="208"/>
      <c r="S528" s="208"/>
      <c r="T528" s="208"/>
      <c r="U528" s="208"/>
      <c r="V528" s="208"/>
      <c r="W528" s="208"/>
      <c r="X528" s="208"/>
      <c r="Y528" s="208"/>
      <c r="Z528" s="208"/>
      <c r="AA528" s="208"/>
      <c r="AB528" s="208"/>
      <c r="AC528" s="208"/>
      <c r="AD528" s="208"/>
      <c r="AE528" s="208"/>
      <c r="AF528" s="208"/>
      <c r="AG528" s="208"/>
      <c r="AH528" s="208"/>
      <c r="AI528" s="208"/>
      <c r="AJ528" s="208"/>
      <c r="AK528" s="208"/>
    </row>
    <row r="529">
      <c r="A529" s="208"/>
      <c r="B529" s="208"/>
      <c r="C529" s="208"/>
      <c r="D529" s="208"/>
      <c r="E529" s="208"/>
      <c r="F529" s="208"/>
      <c r="G529" s="208"/>
      <c r="H529" s="233"/>
      <c r="I529" s="234"/>
      <c r="J529" s="208"/>
      <c r="K529" s="208"/>
      <c r="L529" s="208"/>
      <c r="M529" s="208"/>
      <c r="N529" s="208"/>
      <c r="O529" s="208"/>
      <c r="P529" s="208"/>
      <c r="Q529" s="208"/>
      <c r="R529" s="208"/>
      <c r="S529" s="208"/>
      <c r="T529" s="208"/>
      <c r="U529" s="208"/>
      <c r="V529" s="208"/>
      <c r="W529" s="208"/>
      <c r="X529" s="208"/>
      <c r="Y529" s="208"/>
      <c r="Z529" s="208"/>
      <c r="AA529" s="208"/>
      <c r="AB529" s="208"/>
      <c r="AC529" s="208"/>
      <c r="AD529" s="208"/>
      <c r="AE529" s="208"/>
      <c r="AF529" s="208"/>
      <c r="AG529" s="208"/>
      <c r="AH529" s="208"/>
      <c r="AI529" s="208"/>
      <c r="AJ529" s="208"/>
      <c r="AK529" s="208"/>
    </row>
    <row r="530">
      <c r="A530" s="208"/>
      <c r="B530" s="208"/>
      <c r="C530" s="208"/>
      <c r="D530" s="208"/>
      <c r="E530" s="208"/>
      <c r="F530" s="208"/>
      <c r="G530" s="208"/>
      <c r="H530" s="233"/>
      <c r="I530" s="234"/>
      <c r="J530" s="208"/>
      <c r="K530" s="208"/>
      <c r="L530" s="208"/>
      <c r="M530" s="208"/>
      <c r="N530" s="208"/>
      <c r="O530" s="208"/>
      <c r="P530" s="208"/>
      <c r="Q530" s="208"/>
      <c r="R530" s="208"/>
      <c r="S530" s="208"/>
      <c r="T530" s="208"/>
      <c r="U530" s="208"/>
      <c r="V530" s="208"/>
      <c r="W530" s="208"/>
      <c r="X530" s="208"/>
      <c r="Y530" s="208"/>
      <c r="Z530" s="208"/>
      <c r="AA530" s="208"/>
      <c r="AB530" s="208"/>
      <c r="AC530" s="208"/>
      <c r="AD530" s="208"/>
      <c r="AE530" s="208"/>
      <c r="AF530" s="208"/>
      <c r="AG530" s="208"/>
      <c r="AH530" s="208"/>
      <c r="AI530" s="208"/>
      <c r="AJ530" s="208"/>
      <c r="AK530" s="208"/>
    </row>
    <row r="531">
      <c r="A531" s="208"/>
      <c r="B531" s="208"/>
      <c r="C531" s="208"/>
      <c r="D531" s="208"/>
      <c r="E531" s="208"/>
      <c r="F531" s="208"/>
      <c r="G531" s="208"/>
      <c r="H531" s="233"/>
      <c r="I531" s="234"/>
      <c r="J531" s="208"/>
      <c r="K531" s="208"/>
      <c r="L531" s="208"/>
      <c r="M531" s="208"/>
      <c r="N531" s="208"/>
      <c r="O531" s="208"/>
      <c r="P531" s="208"/>
      <c r="Q531" s="208"/>
      <c r="R531" s="208"/>
      <c r="S531" s="208"/>
      <c r="T531" s="208"/>
      <c r="U531" s="208"/>
      <c r="V531" s="208"/>
      <c r="W531" s="208"/>
      <c r="X531" s="208"/>
      <c r="Y531" s="208"/>
      <c r="Z531" s="208"/>
      <c r="AA531" s="208"/>
      <c r="AB531" s="208"/>
      <c r="AC531" s="208"/>
      <c r="AD531" s="208"/>
      <c r="AE531" s="208"/>
      <c r="AF531" s="208"/>
      <c r="AG531" s="208"/>
      <c r="AH531" s="208"/>
      <c r="AI531" s="208"/>
      <c r="AJ531" s="208"/>
      <c r="AK531" s="208"/>
    </row>
    <row r="532">
      <c r="A532" s="208"/>
      <c r="B532" s="208"/>
      <c r="C532" s="208"/>
      <c r="D532" s="208"/>
      <c r="E532" s="208"/>
      <c r="F532" s="208"/>
      <c r="G532" s="208"/>
      <c r="H532" s="233"/>
      <c r="I532" s="234"/>
      <c r="J532" s="208"/>
      <c r="K532" s="208"/>
      <c r="L532" s="208"/>
      <c r="M532" s="208"/>
      <c r="N532" s="208"/>
      <c r="O532" s="208"/>
      <c r="P532" s="208"/>
      <c r="Q532" s="208"/>
      <c r="R532" s="208"/>
      <c r="S532" s="208"/>
      <c r="T532" s="208"/>
      <c r="U532" s="208"/>
      <c r="V532" s="208"/>
      <c r="W532" s="208"/>
      <c r="X532" s="208"/>
      <c r="Y532" s="208"/>
      <c r="Z532" s="208"/>
      <c r="AA532" s="208"/>
      <c r="AB532" s="208"/>
      <c r="AC532" s="208"/>
      <c r="AD532" s="208"/>
      <c r="AE532" s="208"/>
      <c r="AF532" s="208"/>
      <c r="AG532" s="208"/>
      <c r="AH532" s="208"/>
      <c r="AI532" s="208"/>
      <c r="AJ532" s="208"/>
      <c r="AK532" s="208"/>
    </row>
    <row r="533">
      <c r="A533" s="208"/>
      <c r="B533" s="208"/>
      <c r="C533" s="208"/>
      <c r="D533" s="208"/>
      <c r="E533" s="208"/>
      <c r="F533" s="208"/>
      <c r="G533" s="208"/>
      <c r="H533" s="233"/>
      <c r="I533" s="234"/>
      <c r="J533" s="208"/>
      <c r="K533" s="208"/>
      <c r="L533" s="208"/>
      <c r="M533" s="208"/>
      <c r="N533" s="208"/>
      <c r="O533" s="208"/>
      <c r="P533" s="208"/>
      <c r="Q533" s="208"/>
      <c r="R533" s="208"/>
      <c r="S533" s="208"/>
      <c r="T533" s="208"/>
      <c r="U533" s="208"/>
      <c r="V533" s="208"/>
      <c r="W533" s="208"/>
      <c r="X533" s="208"/>
      <c r="Y533" s="208"/>
      <c r="Z533" s="208"/>
      <c r="AA533" s="208"/>
      <c r="AB533" s="208"/>
      <c r="AC533" s="208"/>
      <c r="AD533" s="208"/>
      <c r="AE533" s="208"/>
      <c r="AF533" s="208"/>
      <c r="AG533" s="208"/>
      <c r="AH533" s="208"/>
      <c r="AI533" s="208"/>
      <c r="AJ533" s="208"/>
      <c r="AK533" s="208"/>
    </row>
    <row r="534">
      <c r="A534" s="208"/>
      <c r="B534" s="208"/>
      <c r="C534" s="208"/>
      <c r="D534" s="208"/>
      <c r="E534" s="208"/>
      <c r="F534" s="208"/>
      <c r="G534" s="208"/>
      <c r="H534" s="233"/>
      <c r="I534" s="234"/>
      <c r="J534" s="208"/>
      <c r="K534" s="208"/>
      <c r="L534" s="208"/>
      <c r="M534" s="208"/>
      <c r="N534" s="208"/>
      <c r="O534" s="208"/>
      <c r="P534" s="208"/>
      <c r="Q534" s="208"/>
      <c r="R534" s="208"/>
      <c r="S534" s="208"/>
      <c r="T534" s="208"/>
      <c r="U534" s="208"/>
      <c r="V534" s="208"/>
      <c r="W534" s="208"/>
      <c r="X534" s="208"/>
      <c r="Y534" s="208"/>
      <c r="Z534" s="208"/>
      <c r="AA534" s="208"/>
      <c r="AB534" s="208"/>
      <c r="AC534" s="208"/>
      <c r="AD534" s="208"/>
      <c r="AE534" s="208"/>
      <c r="AF534" s="208"/>
      <c r="AG534" s="208"/>
      <c r="AH534" s="208"/>
      <c r="AI534" s="208"/>
      <c r="AJ534" s="208"/>
      <c r="AK534" s="208"/>
    </row>
    <row r="535">
      <c r="A535" s="208"/>
      <c r="B535" s="208"/>
      <c r="C535" s="208"/>
      <c r="D535" s="208"/>
      <c r="E535" s="208"/>
      <c r="F535" s="208"/>
      <c r="G535" s="208"/>
      <c r="H535" s="233"/>
      <c r="I535" s="234"/>
      <c r="J535" s="208"/>
      <c r="K535" s="208"/>
      <c r="L535" s="208"/>
      <c r="M535" s="208"/>
      <c r="N535" s="208"/>
      <c r="O535" s="208"/>
      <c r="P535" s="208"/>
      <c r="Q535" s="208"/>
      <c r="R535" s="208"/>
      <c r="S535" s="208"/>
      <c r="T535" s="208"/>
      <c r="U535" s="208"/>
      <c r="V535" s="208"/>
      <c r="W535" s="208"/>
      <c r="X535" s="208"/>
      <c r="Y535" s="208"/>
      <c r="Z535" s="208"/>
      <c r="AA535" s="208"/>
      <c r="AB535" s="208"/>
      <c r="AC535" s="208"/>
      <c r="AD535" s="208"/>
      <c r="AE535" s="208"/>
      <c r="AF535" s="208"/>
      <c r="AG535" s="208"/>
      <c r="AH535" s="208"/>
      <c r="AI535" s="208"/>
      <c r="AJ535" s="208"/>
      <c r="AK535" s="208"/>
    </row>
    <row r="536">
      <c r="A536" s="208"/>
      <c r="B536" s="208"/>
      <c r="C536" s="208"/>
      <c r="D536" s="208"/>
      <c r="E536" s="208"/>
      <c r="F536" s="208"/>
      <c r="G536" s="208"/>
      <c r="H536" s="233"/>
      <c r="I536" s="234"/>
      <c r="J536" s="208"/>
      <c r="K536" s="208"/>
      <c r="L536" s="208"/>
      <c r="M536" s="208"/>
      <c r="N536" s="208"/>
      <c r="O536" s="208"/>
      <c r="P536" s="208"/>
      <c r="Q536" s="208"/>
      <c r="R536" s="208"/>
      <c r="S536" s="208"/>
      <c r="T536" s="208"/>
      <c r="U536" s="208"/>
      <c r="V536" s="208"/>
      <c r="W536" s="208"/>
      <c r="X536" s="208"/>
      <c r="Y536" s="208"/>
      <c r="Z536" s="208"/>
      <c r="AA536" s="208"/>
      <c r="AB536" s="208"/>
      <c r="AC536" s="208"/>
      <c r="AD536" s="208"/>
      <c r="AE536" s="208"/>
      <c r="AF536" s="208"/>
      <c r="AG536" s="208"/>
      <c r="AH536" s="208"/>
      <c r="AI536" s="208"/>
      <c r="AJ536" s="208"/>
      <c r="AK536" s="208"/>
    </row>
    <row r="537">
      <c r="A537" s="208"/>
      <c r="B537" s="208"/>
      <c r="C537" s="208"/>
      <c r="D537" s="208"/>
      <c r="E537" s="208"/>
      <c r="F537" s="208"/>
      <c r="G537" s="208"/>
      <c r="H537" s="233"/>
      <c r="I537" s="234"/>
      <c r="J537" s="208"/>
      <c r="K537" s="208"/>
      <c r="L537" s="208"/>
      <c r="M537" s="208"/>
      <c r="N537" s="208"/>
      <c r="O537" s="208"/>
      <c r="P537" s="208"/>
      <c r="Q537" s="208"/>
      <c r="R537" s="208"/>
      <c r="S537" s="208"/>
      <c r="T537" s="208"/>
      <c r="U537" s="208"/>
      <c r="V537" s="208"/>
      <c r="W537" s="208"/>
      <c r="X537" s="208"/>
      <c r="Y537" s="208"/>
      <c r="Z537" s="208"/>
      <c r="AA537" s="208"/>
      <c r="AB537" s="208"/>
      <c r="AC537" s="208"/>
      <c r="AD537" s="208"/>
      <c r="AE537" s="208"/>
      <c r="AF537" s="208"/>
      <c r="AG537" s="208"/>
      <c r="AH537" s="208"/>
      <c r="AI537" s="208"/>
      <c r="AJ537" s="208"/>
      <c r="AK537" s="208"/>
    </row>
    <row r="538">
      <c r="A538" s="208"/>
      <c r="B538" s="208"/>
      <c r="C538" s="208"/>
      <c r="D538" s="208"/>
      <c r="E538" s="208"/>
      <c r="F538" s="208"/>
      <c r="G538" s="208"/>
      <c r="H538" s="233"/>
      <c r="I538" s="234"/>
      <c r="J538" s="208"/>
      <c r="K538" s="208"/>
      <c r="L538" s="208"/>
      <c r="M538" s="208"/>
      <c r="N538" s="208"/>
      <c r="O538" s="208"/>
      <c r="P538" s="208"/>
      <c r="Q538" s="208"/>
      <c r="R538" s="208"/>
      <c r="S538" s="208"/>
      <c r="T538" s="208"/>
      <c r="U538" s="208"/>
      <c r="V538" s="208"/>
      <c r="W538" s="208"/>
      <c r="X538" s="208"/>
      <c r="Y538" s="208"/>
      <c r="Z538" s="208"/>
      <c r="AA538" s="208"/>
      <c r="AB538" s="208"/>
      <c r="AC538" s="208"/>
      <c r="AD538" s="208"/>
      <c r="AE538" s="208"/>
      <c r="AF538" s="208"/>
      <c r="AG538" s="208"/>
      <c r="AH538" s="208"/>
      <c r="AI538" s="208"/>
      <c r="AJ538" s="208"/>
      <c r="AK538" s="208"/>
    </row>
    <row r="539">
      <c r="A539" s="208"/>
      <c r="B539" s="208"/>
      <c r="C539" s="208"/>
      <c r="D539" s="208"/>
      <c r="E539" s="208"/>
      <c r="F539" s="208"/>
      <c r="G539" s="208"/>
      <c r="H539" s="233"/>
      <c r="I539" s="234"/>
      <c r="J539" s="208"/>
      <c r="K539" s="208"/>
      <c r="L539" s="208"/>
      <c r="M539" s="208"/>
      <c r="N539" s="208"/>
      <c r="O539" s="208"/>
      <c r="P539" s="208"/>
      <c r="Q539" s="208"/>
      <c r="R539" s="208"/>
      <c r="S539" s="208"/>
      <c r="T539" s="208"/>
      <c r="U539" s="208"/>
      <c r="V539" s="208"/>
      <c r="W539" s="208"/>
      <c r="X539" s="208"/>
      <c r="Y539" s="208"/>
      <c r="Z539" s="208"/>
      <c r="AA539" s="208"/>
      <c r="AB539" s="208"/>
      <c r="AC539" s="208"/>
      <c r="AD539" s="208"/>
      <c r="AE539" s="208"/>
      <c r="AF539" s="208"/>
      <c r="AG539" s="208"/>
      <c r="AH539" s="208"/>
      <c r="AI539" s="208"/>
      <c r="AJ539" s="208"/>
      <c r="AK539" s="208"/>
    </row>
    <row r="540">
      <c r="A540" s="208"/>
      <c r="B540" s="208"/>
      <c r="C540" s="208"/>
      <c r="D540" s="208"/>
      <c r="E540" s="208"/>
      <c r="F540" s="208"/>
      <c r="G540" s="208"/>
      <c r="H540" s="233"/>
      <c r="I540" s="234"/>
      <c r="J540" s="208"/>
      <c r="K540" s="208"/>
      <c r="L540" s="208"/>
      <c r="M540" s="208"/>
      <c r="N540" s="208"/>
      <c r="O540" s="208"/>
      <c r="P540" s="208"/>
      <c r="Q540" s="208"/>
      <c r="R540" s="208"/>
      <c r="S540" s="208"/>
      <c r="T540" s="208"/>
      <c r="U540" s="208"/>
      <c r="V540" s="208"/>
      <c r="W540" s="208"/>
      <c r="X540" s="208"/>
      <c r="Y540" s="208"/>
      <c r="Z540" s="208"/>
      <c r="AA540" s="208"/>
      <c r="AB540" s="208"/>
      <c r="AC540" s="208"/>
      <c r="AD540" s="208"/>
      <c r="AE540" s="208"/>
      <c r="AF540" s="208"/>
      <c r="AG540" s="208"/>
      <c r="AH540" s="208"/>
      <c r="AI540" s="208"/>
      <c r="AJ540" s="208"/>
      <c r="AK540" s="208"/>
    </row>
    <row r="541">
      <c r="A541" s="208"/>
      <c r="B541" s="208"/>
      <c r="C541" s="208"/>
      <c r="D541" s="208"/>
      <c r="E541" s="208"/>
      <c r="F541" s="208"/>
      <c r="G541" s="208"/>
      <c r="H541" s="233"/>
      <c r="I541" s="234"/>
      <c r="J541" s="208"/>
      <c r="K541" s="208"/>
      <c r="L541" s="208"/>
      <c r="M541" s="208"/>
      <c r="N541" s="208"/>
      <c r="O541" s="208"/>
      <c r="P541" s="208"/>
      <c r="Q541" s="208"/>
      <c r="R541" s="208"/>
      <c r="S541" s="208"/>
      <c r="T541" s="208"/>
      <c r="U541" s="208"/>
      <c r="V541" s="208"/>
      <c r="W541" s="208"/>
      <c r="X541" s="208"/>
      <c r="Y541" s="208"/>
      <c r="Z541" s="208"/>
      <c r="AA541" s="208"/>
      <c r="AB541" s="208"/>
      <c r="AC541" s="208"/>
      <c r="AD541" s="208"/>
      <c r="AE541" s="208"/>
      <c r="AF541" s="208"/>
      <c r="AG541" s="208"/>
      <c r="AH541" s="208"/>
      <c r="AI541" s="208"/>
      <c r="AJ541" s="208"/>
      <c r="AK541" s="208"/>
    </row>
    <row r="542">
      <c r="A542" s="208"/>
      <c r="B542" s="208"/>
      <c r="C542" s="208"/>
      <c r="D542" s="208"/>
      <c r="E542" s="208"/>
      <c r="F542" s="208"/>
      <c r="G542" s="208"/>
      <c r="H542" s="233"/>
      <c r="I542" s="234"/>
      <c r="J542" s="208"/>
      <c r="K542" s="208"/>
      <c r="L542" s="208"/>
      <c r="M542" s="208"/>
      <c r="N542" s="208"/>
      <c r="O542" s="208"/>
      <c r="P542" s="208"/>
      <c r="Q542" s="208"/>
      <c r="R542" s="208"/>
      <c r="S542" s="208"/>
      <c r="T542" s="208"/>
      <c r="U542" s="208"/>
      <c r="V542" s="208"/>
      <c r="W542" s="208"/>
      <c r="X542" s="208"/>
      <c r="Y542" s="208"/>
      <c r="Z542" s="208"/>
      <c r="AA542" s="208"/>
      <c r="AB542" s="208"/>
      <c r="AC542" s="208"/>
      <c r="AD542" s="208"/>
      <c r="AE542" s="208"/>
      <c r="AF542" s="208"/>
      <c r="AG542" s="208"/>
      <c r="AH542" s="208"/>
      <c r="AI542" s="208"/>
      <c r="AJ542" s="208"/>
      <c r="AK542" s="208"/>
    </row>
    <row r="543">
      <c r="A543" s="208"/>
      <c r="B543" s="208"/>
      <c r="C543" s="208"/>
      <c r="D543" s="208"/>
      <c r="E543" s="208"/>
      <c r="F543" s="208"/>
      <c r="G543" s="208"/>
      <c r="H543" s="233"/>
      <c r="I543" s="234"/>
      <c r="J543" s="208"/>
      <c r="K543" s="208"/>
      <c r="L543" s="208"/>
      <c r="M543" s="208"/>
      <c r="N543" s="208"/>
      <c r="O543" s="208"/>
      <c r="P543" s="208"/>
      <c r="Q543" s="208"/>
      <c r="R543" s="208"/>
      <c r="S543" s="208"/>
      <c r="T543" s="208"/>
      <c r="U543" s="208"/>
      <c r="V543" s="208"/>
      <c r="W543" s="208"/>
      <c r="X543" s="208"/>
      <c r="Y543" s="208"/>
      <c r="Z543" s="208"/>
      <c r="AA543" s="208"/>
      <c r="AB543" s="208"/>
      <c r="AC543" s="208"/>
      <c r="AD543" s="208"/>
      <c r="AE543" s="208"/>
      <c r="AF543" s="208"/>
      <c r="AG543" s="208"/>
      <c r="AH543" s="208"/>
      <c r="AI543" s="208"/>
      <c r="AJ543" s="208"/>
      <c r="AK543" s="208"/>
    </row>
    <row r="544">
      <c r="A544" s="208"/>
      <c r="B544" s="208"/>
      <c r="C544" s="208"/>
      <c r="D544" s="208"/>
      <c r="E544" s="208"/>
      <c r="F544" s="208"/>
      <c r="G544" s="208"/>
      <c r="H544" s="233"/>
      <c r="I544" s="234"/>
      <c r="J544" s="208"/>
      <c r="K544" s="208"/>
      <c r="L544" s="208"/>
      <c r="M544" s="208"/>
      <c r="N544" s="208"/>
      <c r="O544" s="208"/>
      <c r="P544" s="208"/>
      <c r="Q544" s="208"/>
      <c r="R544" s="208"/>
      <c r="S544" s="208"/>
      <c r="T544" s="208"/>
      <c r="U544" s="208"/>
      <c r="V544" s="208"/>
      <c r="W544" s="208"/>
      <c r="X544" s="208"/>
      <c r="Y544" s="208"/>
      <c r="Z544" s="208"/>
      <c r="AA544" s="208"/>
      <c r="AB544" s="208"/>
      <c r="AC544" s="208"/>
      <c r="AD544" s="208"/>
      <c r="AE544" s="208"/>
      <c r="AF544" s="208"/>
      <c r="AG544" s="208"/>
      <c r="AH544" s="208"/>
      <c r="AI544" s="208"/>
      <c r="AJ544" s="208"/>
      <c r="AK544" s="208"/>
    </row>
    <row r="545">
      <c r="A545" s="208"/>
      <c r="B545" s="208"/>
      <c r="C545" s="208"/>
      <c r="D545" s="208"/>
      <c r="E545" s="208"/>
      <c r="F545" s="208"/>
      <c r="G545" s="208"/>
      <c r="H545" s="233"/>
      <c r="I545" s="234"/>
      <c r="J545" s="208"/>
      <c r="K545" s="208"/>
      <c r="L545" s="208"/>
      <c r="M545" s="208"/>
      <c r="N545" s="208"/>
      <c r="O545" s="208"/>
      <c r="P545" s="208"/>
      <c r="Q545" s="208"/>
      <c r="R545" s="208"/>
      <c r="S545" s="208"/>
      <c r="T545" s="208"/>
      <c r="U545" s="208"/>
      <c r="V545" s="208"/>
      <c r="W545" s="208"/>
      <c r="X545" s="208"/>
      <c r="Y545" s="208"/>
      <c r="Z545" s="208"/>
      <c r="AA545" s="208"/>
      <c r="AB545" s="208"/>
      <c r="AC545" s="208"/>
      <c r="AD545" s="208"/>
      <c r="AE545" s="208"/>
      <c r="AF545" s="208"/>
      <c r="AG545" s="208"/>
      <c r="AH545" s="208"/>
      <c r="AI545" s="208"/>
      <c r="AJ545" s="208"/>
      <c r="AK545" s="208"/>
    </row>
    <row r="546">
      <c r="A546" s="208"/>
      <c r="B546" s="208"/>
      <c r="C546" s="208"/>
      <c r="D546" s="208"/>
      <c r="E546" s="208"/>
      <c r="F546" s="208"/>
      <c r="G546" s="208"/>
      <c r="H546" s="233"/>
      <c r="I546" s="234"/>
      <c r="J546" s="208"/>
      <c r="K546" s="208"/>
      <c r="L546" s="208"/>
      <c r="M546" s="208"/>
      <c r="N546" s="208"/>
      <c r="O546" s="208"/>
      <c r="P546" s="208"/>
      <c r="Q546" s="208"/>
      <c r="R546" s="208"/>
      <c r="S546" s="208"/>
      <c r="T546" s="208"/>
      <c r="U546" s="208"/>
      <c r="V546" s="208"/>
      <c r="W546" s="208"/>
      <c r="X546" s="208"/>
      <c r="Y546" s="208"/>
      <c r="Z546" s="208"/>
      <c r="AA546" s="208"/>
      <c r="AB546" s="208"/>
      <c r="AC546" s="208"/>
      <c r="AD546" s="208"/>
      <c r="AE546" s="208"/>
      <c r="AF546" s="208"/>
      <c r="AG546" s="208"/>
      <c r="AH546" s="208"/>
      <c r="AI546" s="208"/>
      <c r="AJ546" s="208"/>
      <c r="AK546" s="208"/>
    </row>
    <row r="547">
      <c r="A547" s="208"/>
      <c r="B547" s="208"/>
      <c r="C547" s="208"/>
      <c r="D547" s="208"/>
      <c r="E547" s="208"/>
      <c r="F547" s="208"/>
      <c r="G547" s="208"/>
      <c r="H547" s="233"/>
      <c r="I547" s="234"/>
      <c r="J547" s="208"/>
      <c r="K547" s="208"/>
      <c r="L547" s="208"/>
      <c r="M547" s="208"/>
      <c r="N547" s="208"/>
      <c r="O547" s="208"/>
      <c r="P547" s="208"/>
      <c r="Q547" s="208"/>
      <c r="R547" s="208"/>
      <c r="S547" s="208"/>
      <c r="T547" s="208"/>
      <c r="U547" s="208"/>
      <c r="V547" s="208"/>
      <c r="W547" s="208"/>
      <c r="X547" s="208"/>
      <c r="Y547" s="208"/>
      <c r="Z547" s="208"/>
      <c r="AA547" s="208"/>
      <c r="AB547" s="208"/>
      <c r="AC547" s="208"/>
      <c r="AD547" s="208"/>
      <c r="AE547" s="208"/>
      <c r="AF547" s="208"/>
      <c r="AG547" s="208"/>
      <c r="AH547" s="208"/>
      <c r="AI547" s="208"/>
      <c r="AJ547" s="208"/>
      <c r="AK547" s="208"/>
    </row>
    <row r="548">
      <c r="A548" s="208"/>
      <c r="B548" s="208"/>
      <c r="C548" s="208"/>
      <c r="D548" s="208"/>
      <c r="E548" s="208"/>
      <c r="F548" s="208"/>
      <c r="G548" s="208"/>
      <c r="H548" s="233"/>
      <c r="I548" s="234"/>
      <c r="J548" s="208"/>
      <c r="K548" s="208"/>
      <c r="L548" s="208"/>
      <c r="M548" s="208"/>
      <c r="N548" s="208"/>
      <c r="O548" s="208"/>
      <c r="P548" s="208"/>
      <c r="Q548" s="208"/>
      <c r="R548" s="208"/>
      <c r="S548" s="208"/>
      <c r="T548" s="208"/>
      <c r="U548" s="208"/>
      <c r="V548" s="208"/>
      <c r="W548" s="208"/>
      <c r="X548" s="208"/>
      <c r="Y548" s="208"/>
      <c r="Z548" s="208"/>
      <c r="AA548" s="208"/>
      <c r="AB548" s="208"/>
      <c r="AC548" s="208"/>
      <c r="AD548" s="208"/>
      <c r="AE548" s="208"/>
      <c r="AF548" s="208"/>
      <c r="AG548" s="208"/>
      <c r="AH548" s="208"/>
      <c r="AI548" s="208"/>
      <c r="AJ548" s="208"/>
      <c r="AK548" s="208"/>
    </row>
    <row r="549">
      <c r="A549" s="208"/>
      <c r="B549" s="208"/>
      <c r="C549" s="208"/>
      <c r="D549" s="208"/>
      <c r="E549" s="208"/>
      <c r="F549" s="208"/>
      <c r="G549" s="208"/>
      <c r="H549" s="233"/>
      <c r="I549" s="234"/>
      <c r="J549" s="208"/>
      <c r="K549" s="208"/>
      <c r="L549" s="208"/>
      <c r="M549" s="208"/>
      <c r="N549" s="208"/>
      <c r="O549" s="208"/>
      <c r="P549" s="208"/>
      <c r="Q549" s="208"/>
      <c r="R549" s="208"/>
      <c r="S549" s="208"/>
      <c r="T549" s="208"/>
      <c r="U549" s="208"/>
      <c r="V549" s="208"/>
      <c r="W549" s="208"/>
      <c r="X549" s="208"/>
      <c r="Y549" s="208"/>
      <c r="Z549" s="208"/>
      <c r="AA549" s="208"/>
      <c r="AB549" s="208"/>
      <c r="AC549" s="208"/>
      <c r="AD549" s="208"/>
      <c r="AE549" s="208"/>
      <c r="AF549" s="208"/>
      <c r="AG549" s="208"/>
      <c r="AH549" s="208"/>
      <c r="AI549" s="208"/>
      <c r="AJ549" s="208"/>
      <c r="AK549" s="208"/>
    </row>
    <row r="550">
      <c r="A550" s="208"/>
      <c r="B550" s="208"/>
      <c r="C550" s="208"/>
      <c r="D550" s="208"/>
      <c r="E550" s="208"/>
      <c r="F550" s="208"/>
      <c r="G550" s="208"/>
      <c r="H550" s="233"/>
      <c r="I550" s="234"/>
      <c r="J550" s="208"/>
      <c r="K550" s="208"/>
      <c r="L550" s="208"/>
      <c r="M550" s="208"/>
      <c r="N550" s="208"/>
      <c r="O550" s="208"/>
      <c r="P550" s="208"/>
      <c r="Q550" s="208"/>
      <c r="R550" s="208"/>
      <c r="S550" s="208"/>
      <c r="T550" s="208"/>
      <c r="U550" s="208"/>
      <c r="V550" s="208"/>
      <c r="W550" s="208"/>
      <c r="X550" s="208"/>
      <c r="Y550" s="208"/>
      <c r="Z550" s="208"/>
      <c r="AA550" s="208"/>
      <c r="AB550" s="208"/>
      <c r="AC550" s="208"/>
      <c r="AD550" s="208"/>
      <c r="AE550" s="208"/>
      <c r="AF550" s="208"/>
      <c r="AG550" s="208"/>
      <c r="AH550" s="208"/>
      <c r="AI550" s="208"/>
      <c r="AJ550" s="208"/>
      <c r="AK550" s="208"/>
    </row>
    <row r="551">
      <c r="A551" s="208"/>
      <c r="B551" s="208"/>
      <c r="C551" s="208"/>
      <c r="D551" s="208"/>
      <c r="E551" s="208"/>
      <c r="F551" s="208"/>
      <c r="G551" s="208"/>
      <c r="H551" s="233"/>
      <c r="I551" s="234"/>
      <c r="J551" s="208"/>
      <c r="K551" s="208"/>
      <c r="L551" s="208"/>
      <c r="M551" s="208"/>
      <c r="N551" s="208"/>
      <c r="O551" s="208"/>
      <c r="P551" s="208"/>
      <c r="Q551" s="208"/>
      <c r="R551" s="208"/>
      <c r="S551" s="208"/>
      <c r="T551" s="208"/>
      <c r="U551" s="208"/>
      <c r="V551" s="208"/>
      <c r="W551" s="208"/>
      <c r="X551" s="208"/>
      <c r="Y551" s="208"/>
      <c r="Z551" s="208"/>
      <c r="AA551" s="208"/>
      <c r="AB551" s="208"/>
      <c r="AC551" s="208"/>
      <c r="AD551" s="208"/>
      <c r="AE551" s="208"/>
      <c r="AF551" s="208"/>
      <c r="AG551" s="208"/>
      <c r="AH551" s="208"/>
      <c r="AI551" s="208"/>
      <c r="AJ551" s="208"/>
      <c r="AK551" s="208"/>
    </row>
    <row r="552">
      <c r="A552" s="208"/>
      <c r="B552" s="208"/>
      <c r="C552" s="208"/>
      <c r="D552" s="208"/>
      <c r="E552" s="208"/>
      <c r="F552" s="208"/>
      <c r="G552" s="208"/>
      <c r="H552" s="233"/>
      <c r="I552" s="234"/>
      <c r="J552" s="208"/>
      <c r="K552" s="208"/>
      <c r="L552" s="208"/>
      <c r="M552" s="208"/>
      <c r="N552" s="208"/>
      <c r="O552" s="208"/>
      <c r="P552" s="208"/>
      <c r="Q552" s="208"/>
      <c r="R552" s="208"/>
      <c r="S552" s="208"/>
      <c r="T552" s="208"/>
      <c r="U552" s="208"/>
      <c r="V552" s="208"/>
      <c r="W552" s="208"/>
      <c r="X552" s="208"/>
      <c r="Y552" s="208"/>
      <c r="Z552" s="208"/>
      <c r="AA552" s="208"/>
      <c r="AB552" s="208"/>
      <c r="AC552" s="208"/>
      <c r="AD552" s="208"/>
      <c r="AE552" s="208"/>
      <c r="AF552" s="208"/>
      <c r="AG552" s="208"/>
      <c r="AH552" s="208"/>
      <c r="AI552" s="208"/>
      <c r="AJ552" s="208"/>
      <c r="AK552" s="208"/>
    </row>
    <row r="553">
      <c r="A553" s="208"/>
      <c r="B553" s="208"/>
      <c r="C553" s="208"/>
      <c r="D553" s="208"/>
      <c r="E553" s="208"/>
      <c r="F553" s="208"/>
      <c r="G553" s="208"/>
      <c r="H553" s="233"/>
      <c r="I553" s="234"/>
      <c r="J553" s="208"/>
      <c r="K553" s="208"/>
      <c r="L553" s="208"/>
      <c r="M553" s="208"/>
      <c r="N553" s="208"/>
      <c r="O553" s="208"/>
      <c r="P553" s="208"/>
      <c r="Q553" s="208"/>
      <c r="R553" s="208"/>
      <c r="S553" s="208"/>
      <c r="T553" s="208"/>
      <c r="U553" s="208"/>
      <c r="V553" s="208"/>
      <c r="W553" s="208"/>
      <c r="X553" s="208"/>
      <c r="Y553" s="208"/>
      <c r="Z553" s="208"/>
      <c r="AA553" s="208"/>
      <c r="AB553" s="208"/>
      <c r="AC553" s="208"/>
      <c r="AD553" s="208"/>
      <c r="AE553" s="208"/>
      <c r="AF553" s="208"/>
      <c r="AG553" s="208"/>
      <c r="AH553" s="208"/>
      <c r="AI553" s="208"/>
      <c r="AJ553" s="208"/>
      <c r="AK553" s="208"/>
    </row>
    <row r="554">
      <c r="A554" s="208"/>
      <c r="B554" s="208"/>
      <c r="C554" s="208"/>
      <c r="D554" s="208"/>
      <c r="E554" s="208"/>
      <c r="F554" s="208"/>
      <c r="G554" s="208"/>
      <c r="H554" s="233"/>
      <c r="I554" s="234"/>
      <c r="J554" s="208"/>
      <c r="K554" s="208"/>
      <c r="L554" s="208"/>
      <c r="M554" s="208"/>
      <c r="N554" s="208"/>
      <c r="O554" s="208"/>
      <c r="P554" s="208"/>
      <c r="Q554" s="208"/>
      <c r="R554" s="208"/>
      <c r="S554" s="208"/>
      <c r="T554" s="208"/>
      <c r="U554" s="208"/>
      <c r="V554" s="208"/>
      <c r="W554" s="208"/>
      <c r="X554" s="208"/>
      <c r="Y554" s="208"/>
      <c r="Z554" s="208"/>
      <c r="AA554" s="208"/>
      <c r="AB554" s="208"/>
      <c r="AC554" s="208"/>
      <c r="AD554" s="208"/>
      <c r="AE554" s="208"/>
      <c r="AF554" s="208"/>
      <c r="AG554" s="208"/>
      <c r="AH554" s="208"/>
      <c r="AI554" s="208"/>
      <c r="AJ554" s="208"/>
      <c r="AK554" s="208"/>
    </row>
    <row r="555">
      <c r="A555" s="208"/>
      <c r="B555" s="208"/>
      <c r="C555" s="208"/>
      <c r="D555" s="208"/>
      <c r="E555" s="208"/>
      <c r="F555" s="208"/>
      <c r="G555" s="208"/>
      <c r="H555" s="233"/>
      <c r="I555" s="234"/>
      <c r="J555" s="208"/>
      <c r="K555" s="208"/>
      <c r="L555" s="208"/>
      <c r="M555" s="208"/>
      <c r="N555" s="208"/>
      <c r="O555" s="208"/>
      <c r="P555" s="208"/>
      <c r="Q555" s="208"/>
      <c r="R555" s="208"/>
      <c r="S555" s="208"/>
      <c r="T555" s="208"/>
      <c r="U555" s="208"/>
      <c r="V555" s="208"/>
      <c r="W555" s="208"/>
      <c r="X555" s="208"/>
      <c r="Y555" s="208"/>
      <c r="Z555" s="208"/>
      <c r="AA555" s="208"/>
      <c r="AB555" s="208"/>
      <c r="AC555" s="208"/>
      <c r="AD555" s="208"/>
      <c r="AE555" s="208"/>
      <c r="AF555" s="208"/>
      <c r="AG555" s="208"/>
      <c r="AH555" s="208"/>
      <c r="AI555" s="208"/>
      <c r="AJ555" s="208"/>
      <c r="AK555" s="208"/>
    </row>
    <row r="556">
      <c r="A556" s="208"/>
      <c r="B556" s="208"/>
      <c r="C556" s="208"/>
      <c r="D556" s="208"/>
      <c r="E556" s="208"/>
      <c r="F556" s="208"/>
      <c r="G556" s="208"/>
      <c r="H556" s="233"/>
      <c r="I556" s="234"/>
      <c r="J556" s="208"/>
      <c r="K556" s="208"/>
      <c r="L556" s="208"/>
      <c r="M556" s="208"/>
      <c r="N556" s="208"/>
      <c r="O556" s="208"/>
      <c r="P556" s="208"/>
      <c r="Q556" s="208"/>
      <c r="R556" s="208"/>
      <c r="S556" s="208"/>
      <c r="T556" s="208"/>
      <c r="U556" s="208"/>
      <c r="V556" s="208"/>
      <c r="W556" s="208"/>
      <c r="X556" s="208"/>
      <c r="Y556" s="208"/>
      <c r="Z556" s="208"/>
      <c r="AA556" s="208"/>
      <c r="AB556" s="208"/>
      <c r="AC556" s="208"/>
      <c r="AD556" s="208"/>
      <c r="AE556" s="208"/>
      <c r="AF556" s="208"/>
      <c r="AG556" s="208"/>
      <c r="AH556" s="208"/>
      <c r="AI556" s="208"/>
      <c r="AJ556" s="208"/>
      <c r="AK556" s="208"/>
    </row>
    <row r="557">
      <c r="A557" s="208"/>
      <c r="B557" s="208"/>
      <c r="C557" s="208"/>
      <c r="D557" s="208"/>
      <c r="E557" s="208"/>
      <c r="F557" s="208"/>
      <c r="G557" s="208"/>
      <c r="H557" s="233"/>
      <c r="I557" s="234"/>
      <c r="J557" s="208"/>
      <c r="K557" s="208"/>
      <c r="L557" s="208"/>
      <c r="M557" s="208"/>
      <c r="N557" s="208"/>
      <c r="O557" s="208"/>
      <c r="P557" s="208"/>
      <c r="Q557" s="208"/>
      <c r="R557" s="208"/>
      <c r="S557" s="208"/>
      <c r="T557" s="208"/>
      <c r="U557" s="208"/>
      <c r="V557" s="208"/>
      <c r="W557" s="208"/>
      <c r="X557" s="208"/>
      <c r="Y557" s="208"/>
      <c r="Z557" s="208"/>
      <c r="AA557" s="208"/>
      <c r="AB557" s="208"/>
      <c r="AC557" s="208"/>
      <c r="AD557" s="208"/>
      <c r="AE557" s="208"/>
      <c r="AF557" s="208"/>
      <c r="AG557" s="208"/>
      <c r="AH557" s="208"/>
      <c r="AI557" s="208"/>
      <c r="AJ557" s="208"/>
      <c r="AK557" s="208"/>
    </row>
    <row r="558">
      <c r="A558" s="208"/>
      <c r="B558" s="208"/>
      <c r="C558" s="208"/>
      <c r="D558" s="208"/>
      <c r="E558" s="208"/>
      <c r="F558" s="208"/>
      <c r="G558" s="208"/>
      <c r="H558" s="233"/>
      <c r="I558" s="234"/>
      <c r="J558" s="208"/>
      <c r="K558" s="208"/>
      <c r="L558" s="208"/>
      <c r="M558" s="208"/>
      <c r="N558" s="208"/>
      <c r="O558" s="208"/>
      <c r="P558" s="208"/>
      <c r="Q558" s="208"/>
      <c r="R558" s="208"/>
      <c r="S558" s="208"/>
      <c r="T558" s="208"/>
      <c r="U558" s="208"/>
      <c r="V558" s="208"/>
      <c r="W558" s="208"/>
      <c r="X558" s="208"/>
      <c r="Y558" s="208"/>
      <c r="Z558" s="208"/>
      <c r="AA558" s="208"/>
      <c r="AB558" s="208"/>
      <c r="AC558" s="208"/>
      <c r="AD558" s="208"/>
      <c r="AE558" s="208"/>
      <c r="AF558" s="208"/>
      <c r="AG558" s="208"/>
      <c r="AH558" s="208"/>
      <c r="AI558" s="208"/>
      <c r="AJ558" s="208"/>
      <c r="AK558" s="208"/>
    </row>
    <row r="559">
      <c r="A559" s="208"/>
      <c r="B559" s="208"/>
      <c r="C559" s="208"/>
      <c r="D559" s="208"/>
      <c r="E559" s="208"/>
      <c r="F559" s="208"/>
      <c r="G559" s="208"/>
      <c r="H559" s="233"/>
      <c r="I559" s="234"/>
      <c r="J559" s="208"/>
      <c r="K559" s="208"/>
      <c r="L559" s="208"/>
      <c r="M559" s="208"/>
      <c r="N559" s="208"/>
      <c r="O559" s="208"/>
      <c r="P559" s="208"/>
      <c r="Q559" s="208"/>
      <c r="R559" s="208"/>
      <c r="S559" s="208"/>
      <c r="T559" s="208"/>
      <c r="U559" s="208"/>
      <c r="V559" s="208"/>
      <c r="W559" s="208"/>
      <c r="X559" s="208"/>
      <c r="Y559" s="208"/>
      <c r="Z559" s="208"/>
      <c r="AA559" s="208"/>
      <c r="AB559" s="208"/>
      <c r="AC559" s="208"/>
      <c r="AD559" s="208"/>
      <c r="AE559" s="208"/>
      <c r="AF559" s="208"/>
      <c r="AG559" s="208"/>
      <c r="AH559" s="208"/>
      <c r="AI559" s="208"/>
      <c r="AJ559" s="208"/>
      <c r="AK559" s="208"/>
    </row>
    <row r="560">
      <c r="A560" s="208"/>
      <c r="B560" s="208"/>
      <c r="C560" s="208"/>
      <c r="D560" s="208"/>
      <c r="E560" s="208"/>
      <c r="F560" s="208"/>
      <c r="G560" s="208"/>
      <c r="H560" s="233"/>
      <c r="I560" s="234"/>
      <c r="J560" s="208"/>
      <c r="K560" s="208"/>
      <c r="L560" s="208"/>
      <c r="M560" s="208"/>
      <c r="N560" s="208"/>
      <c r="O560" s="208"/>
      <c r="P560" s="208"/>
      <c r="Q560" s="208"/>
      <c r="R560" s="208"/>
      <c r="S560" s="208"/>
      <c r="T560" s="208"/>
      <c r="U560" s="208"/>
      <c r="V560" s="208"/>
      <c r="W560" s="208"/>
      <c r="X560" s="208"/>
      <c r="Y560" s="208"/>
      <c r="Z560" s="208"/>
      <c r="AA560" s="208"/>
      <c r="AB560" s="208"/>
      <c r="AC560" s="208"/>
      <c r="AD560" s="208"/>
      <c r="AE560" s="208"/>
      <c r="AF560" s="208"/>
      <c r="AG560" s="208"/>
      <c r="AH560" s="208"/>
      <c r="AI560" s="208"/>
      <c r="AJ560" s="208"/>
      <c r="AK560" s="208"/>
    </row>
    <row r="561">
      <c r="A561" s="208"/>
      <c r="B561" s="208"/>
      <c r="C561" s="208"/>
      <c r="D561" s="208"/>
      <c r="E561" s="208"/>
      <c r="F561" s="208"/>
      <c r="G561" s="208"/>
      <c r="H561" s="233"/>
      <c r="I561" s="234"/>
      <c r="J561" s="208"/>
      <c r="K561" s="208"/>
      <c r="L561" s="208"/>
      <c r="M561" s="208"/>
      <c r="N561" s="208"/>
      <c r="O561" s="208"/>
      <c r="P561" s="208"/>
      <c r="Q561" s="208"/>
      <c r="R561" s="208"/>
      <c r="S561" s="208"/>
      <c r="T561" s="208"/>
      <c r="U561" s="208"/>
      <c r="V561" s="208"/>
      <c r="W561" s="208"/>
      <c r="X561" s="208"/>
      <c r="Y561" s="208"/>
      <c r="Z561" s="208"/>
      <c r="AA561" s="208"/>
      <c r="AB561" s="208"/>
      <c r="AC561" s="208"/>
      <c r="AD561" s="208"/>
      <c r="AE561" s="208"/>
      <c r="AF561" s="208"/>
      <c r="AG561" s="208"/>
      <c r="AH561" s="208"/>
      <c r="AI561" s="208"/>
      <c r="AJ561" s="208"/>
      <c r="AK561" s="208"/>
    </row>
    <row r="562">
      <c r="A562" s="208"/>
      <c r="B562" s="208"/>
      <c r="C562" s="208"/>
      <c r="D562" s="208"/>
      <c r="E562" s="208"/>
      <c r="F562" s="208"/>
      <c r="G562" s="208"/>
      <c r="H562" s="233"/>
      <c r="I562" s="234"/>
      <c r="J562" s="208"/>
      <c r="K562" s="208"/>
      <c r="L562" s="208"/>
      <c r="M562" s="208"/>
      <c r="N562" s="208"/>
      <c r="O562" s="208"/>
      <c r="P562" s="208"/>
      <c r="Q562" s="208"/>
      <c r="R562" s="208"/>
      <c r="S562" s="208"/>
      <c r="T562" s="208"/>
      <c r="U562" s="208"/>
      <c r="V562" s="208"/>
      <c r="W562" s="208"/>
      <c r="X562" s="208"/>
      <c r="Y562" s="208"/>
      <c r="Z562" s="208"/>
      <c r="AA562" s="208"/>
      <c r="AB562" s="208"/>
      <c r="AC562" s="208"/>
      <c r="AD562" s="208"/>
      <c r="AE562" s="208"/>
      <c r="AF562" s="208"/>
      <c r="AG562" s="208"/>
      <c r="AH562" s="208"/>
      <c r="AI562" s="208"/>
      <c r="AJ562" s="208"/>
      <c r="AK562" s="208"/>
    </row>
    <row r="563">
      <c r="A563" s="208"/>
      <c r="B563" s="208"/>
      <c r="C563" s="208"/>
      <c r="D563" s="208"/>
      <c r="E563" s="208"/>
      <c r="F563" s="208"/>
      <c r="G563" s="208"/>
      <c r="H563" s="233"/>
      <c r="I563" s="234"/>
      <c r="J563" s="208"/>
      <c r="K563" s="208"/>
      <c r="L563" s="208"/>
      <c r="M563" s="208"/>
      <c r="N563" s="208"/>
      <c r="O563" s="208"/>
      <c r="P563" s="208"/>
      <c r="Q563" s="208"/>
      <c r="R563" s="208"/>
      <c r="S563" s="208"/>
      <c r="T563" s="208"/>
      <c r="U563" s="208"/>
      <c r="V563" s="208"/>
      <c r="W563" s="208"/>
      <c r="X563" s="208"/>
      <c r="Y563" s="208"/>
      <c r="Z563" s="208"/>
      <c r="AA563" s="208"/>
      <c r="AB563" s="208"/>
      <c r="AC563" s="208"/>
      <c r="AD563" s="208"/>
      <c r="AE563" s="208"/>
      <c r="AF563" s="208"/>
      <c r="AG563" s="208"/>
      <c r="AH563" s="208"/>
      <c r="AI563" s="208"/>
      <c r="AJ563" s="208"/>
      <c r="AK563" s="208"/>
    </row>
    <row r="564">
      <c r="A564" s="208"/>
      <c r="B564" s="208"/>
      <c r="C564" s="208"/>
      <c r="D564" s="208"/>
      <c r="E564" s="208"/>
      <c r="F564" s="208"/>
      <c r="G564" s="208"/>
      <c r="H564" s="233"/>
      <c r="I564" s="234"/>
      <c r="J564" s="208"/>
      <c r="K564" s="208"/>
      <c r="L564" s="208"/>
      <c r="M564" s="208"/>
      <c r="N564" s="208"/>
      <c r="O564" s="208"/>
      <c r="P564" s="208"/>
      <c r="Q564" s="208"/>
      <c r="R564" s="208"/>
      <c r="S564" s="208"/>
      <c r="T564" s="208"/>
      <c r="U564" s="208"/>
      <c r="V564" s="208"/>
      <c r="W564" s="208"/>
      <c r="X564" s="208"/>
      <c r="Y564" s="208"/>
      <c r="Z564" s="208"/>
      <c r="AA564" s="208"/>
      <c r="AB564" s="208"/>
      <c r="AC564" s="208"/>
      <c r="AD564" s="208"/>
      <c r="AE564" s="208"/>
      <c r="AF564" s="208"/>
      <c r="AG564" s="208"/>
      <c r="AH564" s="208"/>
      <c r="AI564" s="208"/>
      <c r="AJ564" s="208"/>
      <c r="AK564" s="208"/>
    </row>
    <row r="565">
      <c r="A565" s="208"/>
      <c r="B565" s="208"/>
      <c r="C565" s="208"/>
      <c r="D565" s="208"/>
      <c r="E565" s="208"/>
      <c r="F565" s="208"/>
      <c r="G565" s="208"/>
      <c r="H565" s="233"/>
      <c r="I565" s="234"/>
      <c r="J565" s="208"/>
      <c r="K565" s="208"/>
      <c r="L565" s="208"/>
      <c r="M565" s="208"/>
      <c r="N565" s="208"/>
      <c r="O565" s="208"/>
      <c r="P565" s="208"/>
      <c r="Q565" s="208"/>
      <c r="R565" s="208"/>
      <c r="S565" s="208"/>
      <c r="T565" s="208"/>
      <c r="U565" s="208"/>
      <c r="V565" s="208"/>
      <c r="W565" s="208"/>
      <c r="X565" s="208"/>
      <c r="Y565" s="208"/>
      <c r="Z565" s="208"/>
      <c r="AA565" s="208"/>
      <c r="AB565" s="208"/>
      <c r="AC565" s="208"/>
      <c r="AD565" s="208"/>
      <c r="AE565" s="208"/>
      <c r="AF565" s="208"/>
      <c r="AG565" s="208"/>
      <c r="AH565" s="208"/>
      <c r="AI565" s="208"/>
      <c r="AJ565" s="208"/>
      <c r="AK565" s="208"/>
    </row>
    <row r="566">
      <c r="A566" s="208"/>
      <c r="B566" s="208"/>
      <c r="C566" s="208"/>
      <c r="D566" s="208"/>
      <c r="E566" s="208"/>
      <c r="F566" s="208"/>
      <c r="G566" s="208"/>
      <c r="H566" s="233"/>
      <c r="I566" s="234"/>
      <c r="J566" s="208"/>
      <c r="K566" s="208"/>
      <c r="L566" s="208"/>
      <c r="M566" s="208"/>
      <c r="N566" s="208"/>
      <c r="O566" s="208"/>
      <c r="P566" s="208"/>
      <c r="Q566" s="208"/>
      <c r="R566" s="208"/>
      <c r="S566" s="208"/>
      <c r="T566" s="208"/>
      <c r="U566" s="208"/>
      <c r="V566" s="208"/>
      <c r="W566" s="208"/>
      <c r="X566" s="208"/>
      <c r="Y566" s="208"/>
      <c r="Z566" s="208"/>
      <c r="AA566" s="208"/>
      <c r="AB566" s="208"/>
      <c r="AC566" s="208"/>
      <c r="AD566" s="208"/>
      <c r="AE566" s="208"/>
      <c r="AF566" s="208"/>
      <c r="AG566" s="208"/>
      <c r="AH566" s="208"/>
      <c r="AI566" s="208"/>
      <c r="AJ566" s="208"/>
      <c r="AK566" s="208"/>
    </row>
    <row r="567">
      <c r="A567" s="208"/>
      <c r="B567" s="208"/>
      <c r="C567" s="208"/>
      <c r="D567" s="208"/>
      <c r="E567" s="208"/>
      <c r="F567" s="208"/>
      <c r="G567" s="208"/>
      <c r="H567" s="233"/>
      <c r="I567" s="234"/>
      <c r="J567" s="208"/>
      <c r="K567" s="208"/>
      <c r="L567" s="208"/>
      <c r="M567" s="208"/>
      <c r="N567" s="208"/>
      <c r="O567" s="208"/>
      <c r="P567" s="208"/>
      <c r="Q567" s="208"/>
      <c r="R567" s="208"/>
      <c r="S567" s="208"/>
      <c r="T567" s="208"/>
      <c r="U567" s="208"/>
      <c r="V567" s="208"/>
      <c r="W567" s="208"/>
      <c r="X567" s="208"/>
      <c r="Y567" s="208"/>
      <c r="Z567" s="208"/>
      <c r="AA567" s="208"/>
      <c r="AB567" s="208"/>
      <c r="AC567" s="208"/>
      <c r="AD567" s="208"/>
      <c r="AE567" s="208"/>
      <c r="AF567" s="208"/>
      <c r="AG567" s="208"/>
      <c r="AH567" s="208"/>
      <c r="AI567" s="208"/>
      <c r="AJ567" s="208"/>
      <c r="AK567" s="208"/>
    </row>
    <row r="568">
      <c r="A568" s="208"/>
      <c r="B568" s="208"/>
      <c r="C568" s="208"/>
      <c r="D568" s="208"/>
      <c r="E568" s="208"/>
      <c r="F568" s="208"/>
      <c r="G568" s="208"/>
      <c r="H568" s="233"/>
      <c r="I568" s="234"/>
      <c r="J568" s="208"/>
      <c r="K568" s="208"/>
      <c r="L568" s="208"/>
      <c r="M568" s="208"/>
      <c r="N568" s="208"/>
      <c r="O568" s="208"/>
      <c r="P568" s="208"/>
      <c r="Q568" s="208"/>
      <c r="R568" s="208"/>
      <c r="S568" s="208"/>
      <c r="T568" s="208"/>
      <c r="U568" s="208"/>
      <c r="V568" s="208"/>
      <c r="W568" s="208"/>
      <c r="X568" s="208"/>
      <c r="Y568" s="208"/>
      <c r="Z568" s="208"/>
      <c r="AA568" s="208"/>
      <c r="AB568" s="208"/>
      <c r="AC568" s="208"/>
      <c r="AD568" s="208"/>
      <c r="AE568" s="208"/>
      <c r="AF568" s="208"/>
      <c r="AG568" s="208"/>
      <c r="AH568" s="208"/>
      <c r="AI568" s="208"/>
      <c r="AJ568" s="208"/>
      <c r="AK568" s="208"/>
    </row>
    <row r="569">
      <c r="A569" s="208"/>
      <c r="B569" s="208"/>
      <c r="C569" s="208"/>
      <c r="D569" s="208"/>
      <c r="E569" s="208"/>
      <c r="F569" s="208"/>
      <c r="G569" s="208"/>
      <c r="H569" s="233"/>
      <c r="I569" s="234"/>
      <c r="J569" s="208"/>
      <c r="K569" s="208"/>
      <c r="L569" s="208"/>
      <c r="M569" s="208"/>
      <c r="N569" s="208"/>
      <c r="O569" s="208"/>
      <c r="P569" s="208"/>
      <c r="Q569" s="208"/>
      <c r="R569" s="208"/>
      <c r="S569" s="208"/>
      <c r="T569" s="208"/>
      <c r="U569" s="208"/>
      <c r="V569" s="208"/>
      <c r="W569" s="208"/>
      <c r="X569" s="208"/>
      <c r="Y569" s="208"/>
      <c r="Z569" s="208"/>
      <c r="AA569" s="208"/>
      <c r="AB569" s="208"/>
      <c r="AC569" s="208"/>
      <c r="AD569" s="208"/>
      <c r="AE569" s="208"/>
      <c r="AF569" s="208"/>
      <c r="AG569" s="208"/>
      <c r="AH569" s="208"/>
      <c r="AI569" s="208"/>
      <c r="AJ569" s="208"/>
      <c r="AK569" s="208"/>
    </row>
    <row r="570">
      <c r="A570" s="208"/>
      <c r="B570" s="208"/>
      <c r="C570" s="208"/>
      <c r="D570" s="208"/>
      <c r="E570" s="208"/>
      <c r="F570" s="208"/>
      <c r="G570" s="208"/>
      <c r="H570" s="233"/>
      <c r="I570" s="234"/>
      <c r="J570" s="208"/>
      <c r="K570" s="208"/>
      <c r="L570" s="208"/>
      <c r="M570" s="208"/>
      <c r="N570" s="208"/>
      <c r="O570" s="208"/>
      <c r="P570" s="208"/>
      <c r="Q570" s="208"/>
      <c r="R570" s="208"/>
      <c r="S570" s="208"/>
      <c r="T570" s="208"/>
      <c r="U570" s="208"/>
      <c r="V570" s="208"/>
      <c r="W570" s="208"/>
      <c r="X570" s="208"/>
      <c r="Y570" s="208"/>
      <c r="Z570" s="208"/>
      <c r="AA570" s="208"/>
      <c r="AB570" s="208"/>
      <c r="AC570" s="208"/>
      <c r="AD570" s="208"/>
      <c r="AE570" s="208"/>
      <c r="AF570" s="208"/>
      <c r="AG570" s="208"/>
      <c r="AH570" s="208"/>
      <c r="AI570" s="208"/>
      <c r="AJ570" s="208"/>
      <c r="AK570" s="208"/>
    </row>
    <row r="571">
      <c r="A571" s="208"/>
      <c r="B571" s="208"/>
      <c r="C571" s="208"/>
      <c r="D571" s="208"/>
      <c r="E571" s="208"/>
      <c r="F571" s="208"/>
      <c r="G571" s="208"/>
      <c r="H571" s="233"/>
      <c r="I571" s="234"/>
      <c r="J571" s="208"/>
      <c r="K571" s="208"/>
      <c r="L571" s="208"/>
      <c r="M571" s="208"/>
      <c r="N571" s="208"/>
      <c r="O571" s="208"/>
      <c r="P571" s="208"/>
      <c r="Q571" s="208"/>
      <c r="R571" s="208"/>
      <c r="S571" s="208"/>
      <c r="T571" s="208"/>
      <c r="U571" s="208"/>
      <c r="V571" s="208"/>
      <c r="W571" s="208"/>
      <c r="X571" s="208"/>
      <c r="Y571" s="208"/>
      <c r="Z571" s="208"/>
      <c r="AA571" s="208"/>
      <c r="AB571" s="208"/>
      <c r="AC571" s="208"/>
      <c r="AD571" s="208"/>
      <c r="AE571" s="208"/>
      <c r="AF571" s="208"/>
      <c r="AG571" s="208"/>
      <c r="AH571" s="208"/>
      <c r="AI571" s="208"/>
      <c r="AJ571" s="208"/>
      <c r="AK571" s="208"/>
    </row>
    <row r="572">
      <c r="A572" s="208"/>
      <c r="B572" s="208"/>
      <c r="C572" s="208"/>
      <c r="D572" s="208"/>
      <c r="E572" s="208"/>
      <c r="F572" s="208"/>
      <c r="G572" s="208"/>
      <c r="H572" s="233"/>
      <c r="I572" s="234"/>
      <c r="J572" s="208"/>
      <c r="K572" s="208"/>
      <c r="L572" s="208"/>
      <c r="M572" s="208"/>
      <c r="N572" s="208"/>
      <c r="O572" s="208"/>
      <c r="P572" s="208"/>
      <c r="Q572" s="208"/>
      <c r="R572" s="208"/>
      <c r="S572" s="208"/>
      <c r="T572" s="208"/>
      <c r="U572" s="208"/>
      <c r="V572" s="208"/>
      <c r="W572" s="208"/>
      <c r="X572" s="208"/>
      <c r="Y572" s="208"/>
      <c r="Z572" s="208"/>
      <c r="AA572" s="208"/>
      <c r="AB572" s="208"/>
      <c r="AC572" s="208"/>
      <c r="AD572" s="208"/>
      <c r="AE572" s="208"/>
      <c r="AF572" s="208"/>
      <c r="AG572" s="208"/>
      <c r="AH572" s="208"/>
      <c r="AI572" s="208"/>
      <c r="AJ572" s="208"/>
      <c r="AK572" s="208"/>
    </row>
    <row r="573">
      <c r="A573" s="208"/>
      <c r="B573" s="208"/>
      <c r="C573" s="208"/>
      <c r="D573" s="208"/>
      <c r="E573" s="208"/>
      <c r="F573" s="208"/>
      <c r="G573" s="208"/>
      <c r="H573" s="233"/>
      <c r="I573" s="234"/>
      <c r="J573" s="208"/>
      <c r="K573" s="208"/>
      <c r="L573" s="208"/>
      <c r="M573" s="208"/>
      <c r="N573" s="208"/>
      <c r="O573" s="208"/>
      <c r="P573" s="208"/>
      <c r="Q573" s="208"/>
      <c r="R573" s="208"/>
      <c r="S573" s="208"/>
      <c r="T573" s="208"/>
      <c r="U573" s="208"/>
      <c r="V573" s="208"/>
      <c r="W573" s="208"/>
      <c r="X573" s="208"/>
      <c r="Y573" s="208"/>
      <c r="Z573" s="208"/>
      <c r="AA573" s="208"/>
      <c r="AB573" s="208"/>
      <c r="AC573" s="208"/>
      <c r="AD573" s="208"/>
      <c r="AE573" s="208"/>
      <c r="AF573" s="208"/>
      <c r="AG573" s="208"/>
      <c r="AH573" s="208"/>
      <c r="AI573" s="208"/>
      <c r="AJ573" s="208"/>
      <c r="AK573" s="208"/>
    </row>
    <row r="574">
      <c r="A574" s="208"/>
      <c r="B574" s="208"/>
      <c r="C574" s="208"/>
      <c r="D574" s="208"/>
      <c r="E574" s="208"/>
      <c r="F574" s="208"/>
      <c r="G574" s="208"/>
      <c r="H574" s="233"/>
      <c r="I574" s="234"/>
      <c r="J574" s="208"/>
      <c r="K574" s="208"/>
      <c r="L574" s="208"/>
      <c r="M574" s="208"/>
      <c r="N574" s="208"/>
      <c r="O574" s="208"/>
      <c r="P574" s="208"/>
      <c r="Q574" s="208"/>
      <c r="R574" s="208"/>
      <c r="S574" s="208"/>
      <c r="T574" s="208"/>
      <c r="U574" s="208"/>
      <c r="V574" s="208"/>
      <c r="W574" s="208"/>
      <c r="X574" s="208"/>
      <c r="Y574" s="208"/>
      <c r="Z574" s="208"/>
      <c r="AA574" s="208"/>
      <c r="AB574" s="208"/>
      <c r="AC574" s="208"/>
      <c r="AD574" s="208"/>
      <c r="AE574" s="208"/>
      <c r="AF574" s="208"/>
      <c r="AG574" s="208"/>
      <c r="AH574" s="208"/>
      <c r="AI574" s="208"/>
      <c r="AJ574" s="208"/>
      <c r="AK574" s="208"/>
    </row>
    <row r="575">
      <c r="A575" s="208"/>
      <c r="B575" s="208"/>
      <c r="C575" s="208"/>
      <c r="D575" s="208"/>
      <c r="E575" s="208"/>
      <c r="F575" s="208"/>
      <c r="G575" s="208"/>
      <c r="H575" s="233"/>
      <c r="I575" s="234"/>
      <c r="J575" s="208"/>
      <c r="K575" s="208"/>
      <c r="L575" s="208"/>
      <c r="M575" s="208"/>
      <c r="N575" s="208"/>
      <c r="O575" s="208"/>
      <c r="P575" s="208"/>
      <c r="Q575" s="208"/>
      <c r="R575" s="208"/>
      <c r="S575" s="208"/>
      <c r="T575" s="208"/>
      <c r="U575" s="208"/>
      <c r="V575" s="208"/>
      <c r="W575" s="208"/>
      <c r="X575" s="208"/>
      <c r="Y575" s="208"/>
      <c r="Z575" s="208"/>
      <c r="AA575" s="208"/>
      <c r="AB575" s="208"/>
      <c r="AC575" s="208"/>
      <c r="AD575" s="208"/>
      <c r="AE575" s="208"/>
      <c r="AF575" s="208"/>
      <c r="AG575" s="208"/>
      <c r="AH575" s="208"/>
      <c r="AI575" s="208"/>
      <c r="AJ575" s="208"/>
      <c r="AK575" s="208"/>
    </row>
    <row r="576">
      <c r="A576" s="208"/>
      <c r="B576" s="208"/>
      <c r="C576" s="208"/>
      <c r="D576" s="208"/>
      <c r="E576" s="208"/>
      <c r="F576" s="208"/>
      <c r="G576" s="208"/>
      <c r="H576" s="233"/>
      <c r="I576" s="234"/>
      <c r="J576" s="208"/>
      <c r="K576" s="208"/>
      <c r="L576" s="208"/>
      <c r="M576" s="208"/>
      <c r="N576" s="208"/>
      <c r="O576" s="208"/>
      <c r="P576" s="208"/>
      <c r="Q576" s="208"/>
      <c r="R576" s="208"/>
      <c r="S576" s="208"/>
      <c r="T576" s="208"/>
      <c r="U576" s="208"/>
      <c r="V576" s="208"/>
      <c r="W576" s="208"/>
      <c r="X576" s="208"/>
      <c r="Y576" s="208"/>
      <c r="Z576" s="208"/>
      <c r="AA576" s="208"/>
      <c r="AB576" s="208"/>
      <c r="AC576" s="208"/>
      <c r="AD576" s="208"/>
      <c r="AE576" s="208"/>
      <c r="AF576" s="208"/>
      <c r="AG576" s="208"/>
      <c r="AH576" s="208"/>
      <c r="AI576" s="208"/>
      <c r="AJ576" s="208"/>
      <c r="AK576" s="208"/>
    </row>
    <row r="577">
      <c r="A577" s="208"/>
      <c r="B577" s="208"/>
      <c r="C577" s="208"/>
      <c r="D577" s="208"/>
      <c r="E577" s="208"/>
      <c r="F577" s="208"/>
      <c r="G577" s="208"/>
      <c r="H577" s="233"/>
      <c r="I577" s="234"/>
      <c r="J577" s="208"/>
      <c r="K577" s="208"/>
      <c r="L577" s="208"/>
      <c r="M577" s="208"/>
      <c r="N577" s="208"/>
      <c r="O577" s="208"/>
      <c r="P577" s="208"/>
      <c r="Q577" s="208"/>
      <c r="R577" s="208"/>
      <c r="S577" s="208"/>
      <c r="T577" s="208"/>
      <c r="U577" s="208"/>
      <c r="V577" s="208"/>
      <c r="W577" s="208"/>
      <c r="X577" s="208"/>
      <c r="Y577" s="208"/>
      <c r="Z577" s="208"/>
      <c r="AA577" s="208"/>
      <c r="AB577" s="208"/>
      <c r="AC577" s="208"/>
      <c r="AD577" s="208"/>
      <c r="AE577" s="208"/>
      <c r="AF577" s="208"/>
      <c r="AG577" s="208"/>
      <c r="AH577" s="208"/>
      <c r="AI577" s="208"/>
      <c r="AJ577" s="208"/>
      <c r="AK577" s="208"/>
    </row>
    <row r="578">
      <c r="A578" s="208"/>
      <c r="B578" s="208"/>
      <c r="C578" s="208"/>
      <c r="D578" s="208"/>
      <c r="E578" s="208"/>
      <c r="F578" s="208"/>
      <c r="G578" s="208"/>
      <c r="H578" s="233"/>
      <c r="I578" s="234"/>
      <c r="J578" s="208"/>
      <c r="K578" s="208"/>
      <c r="L578" s="208"/>
      <c r="M578" s="208"/>
      <c r="N578" s="208"/>
      <c r="O578" s="208"/>
      <c r="P578" s="208"/>
      <c r="Q578" s="208"/>
      <c r="R578" s="208"/>
      <c r="S578" s="208"/>
      <c r="T578" s="208"/>
      <c r="U578" s="208"/>
      <c r="V578" s="208"/>
      <c r="W578" s="208"/>
      <c r="X578" s="208"/>
      <c r="Y578" s="208"/>
      <c r="Z578" s="208"/>
      <c r="AA578" s="208"/>
      <c r="AB578" s="208"/>
      <c r="AC578" s="208"/>
      <c r="AD578" s="208"/>
      <c r="AE578" s="208"/>
      <c r="AF578" s="208"/>
      <c r="AG578" s="208"/>
      <c r="AH578" s="208"/>
      <c r="AI578" s="208"/>
      <c r="AJ578" s="208"/>
      <c r="AK578" s="208"/>
    </row>
    <row r="579">
      <c r="A579" s="208"/>
      <c r="B579" s="208"/>
      <c r="C579" s="208"/>
      <c r="D579" s="208"/>
      <c r="E579" s="208"/>
      <c r="F579" s="208"/>
      <c r="G579" s="208"/>
      <c r="H579" s="233"/>
      <c r="I579" s="234"/>
      <c r="J579" s="208"/>
      <c r="K579" s="208"/>
      <c r="L579" s="208"/>
      <c r="M579" s="208"/>
      <c r="N579" s="208"/>
      <c r="O579" s="208"/>
      <c r="P579" s="208"/>
      <c r="Q579" s="208"/>
      <c r="R579" s="208"/>
      <c r="S579" s="208"/>
      <c r="T579" s="208"/>
      <c r="U579" s="208"/>
      <c r="V579" s="208"/>
      <c r="W579" s="208"/>
      <c r="X579" s="208"/>
      <c r="Y579" s="208"/>
      <c r="Z579" s="208"/>
      <c r="AA579" s="208"/>
      <c r="AB579" s="208"/>
      <c r="AC579" s="208"/>
      <c r="AD579" s="208"/>
      <c r="AE579" s="208"/>
      <c r="AF579" s="208"/>
      <c r="AG579" s="208"/>
      <c r="AH579" s="208"/>
      <c r="AI579" s="208"/>
      <c r="AJ579" s="208"/>
      <c r="AK579" s="208"/>
    </row>
    <row r="580">
      <c r="A580" s="208"/>
      <c r="B580" s="208"/>
      <c r="C580" s="208"/>
      <c r="D580" s="208"/>
      <c r="E580" s="208"/>
      <c r="F580" s="208"/>
      <c r="G580" s="208"/>
      <c r="H580" s="233"/>
      <c r="I580" s="234"/>
      <c r="J580" s="208"/>
      <c r="K580" s="208"/>
      <c r="L580" s="208"/>
      <c r="M580" s="208"/>
      <c r="N580" s="208"/>
      <c r="O580" s="208"/>
      <c r="P580" s="208"/>
      <c r="Q580" s="208"/>
      <c r="R580" s="208"/>
      <c r="S580" s="208"/>
      <c r="T580" s="208"/>
      <c r="U580" s="208"/>
      <c r="V580" s="208"/>
      <c r="W580" s="208"/>
      <c r="X580" s="208"/>
      <c r="Y580" s="208"/>
      <c r="Z580" s="208"/>
      <c r="AA580" s="208"/>
      <c r="AB580" s="208"/>
      <c r="AC580" s="208"/>
      <c r="AD580" s="208"/>
      <c r="AE580" s="208"/>
      <c r="AF580" s="208"/>
      <c r="AG580" s="208"/>
      <c r="AH580" s="208"/>
      <c r="AI580" s="208"/>
      <c r="AJ580" s="208"/>
      <c r="AK580" s="208"/>
    </row>
    <row r="581">
      <c r="A581" s="208"/>
      <c r="B581" s="208"/>
      <c r="C581" s="208"/>
      <c r="D581" s="208"/>
      <c r="E581" s="208"/>
      <c r="F581" s="208"/>
      <c r="G581" s="208"/>
      <c r="H581" s="233"/>
      <c r="I581" s="234"/>
      <c r="J581" s="208"/>
      <c r="K581" s="208"/>
      <c r="L581" s="208"/>
      <c r="M581" s="208"/>
      <c r="N581" s="208"/>
      <c r="O581" s="208"/>
      <c r="P581" s="208"/>
      <c r="Q581" s="208"/>
      <c r="R581" s="208"/>
      <c r="S581" s="208"/>
      <c r="T581" s="208"/>
      <c r="U581" s="208"/>
      <c r="V581" s="208"/>
      <c r="W581" s="208"/>
      <c r="X581" s="208"/>
      <c r="Y581" s="208"/>
      <c r="Z581" s="208"/>
      <c r="AA581" s="208"/>
      <c r="AB581" s="208"/>
      <c r="AC581" s="208"/>
      <c r="AD581" s="208"/>
      <c r="AE581" s="208"/>
      <c r="AF581" s="208"/>
      <c r="AG581" s="208"/>
      <c r="AH581" s="208"/>
      <c r="AI581" s="208"/>
      <c r="AJ581" s="208"/>
      <c r="AK581" s="208"/>
    </row>
    <row r="582">
      <c r="A582" s="208"/>
      <c r="B582" s="208"/>
      <c r="C582" s="208"/>
      <c r="D582" s="208"/>
      <c r="E582" s="208"/>
      <c r="F582" s="208"/>
      <c r="G582" s="208"/>
      <c r="H582" s="233"/>
      <c r="I582" s="234"/>
      <c r="J582" s="208"/>
      <c r="K582" s="208"/>
      <c r="L582" s="208"/>
      <c r="M582" s="208"/>
      <c r="N582" s="208"/>
      <c r="O582" s="208"/>
      <c r="P582" s="208"/>
      <c r="Q582" s="208"/>
      <c r="R582" s="208"/>
      <c r="S582" s="208"/>
      <c r="T582" s="208"/>
      <c r="U582" s="208"/>
      <c r="V582" s="208"/>
      <c r="W582" s="208"/>
      <c r="X582" s="208"/>
      <c r="Y582" s="208"/>
      <c r="Z582" s="208"/>
      <c r="AA582" s="208"/>
      <c r="AB582" s="208"/>
      <c r="AC582" s="208"/>
      <c r="AD582" s="208"/>
      <c r="AE582" s="208"/>
      <c r="AF582" s="208"/>
      <c r="AG582" s="208"/>
      <c r="AH582" s="208"/>
      <c r="AI582" s="208"/>
      <c r="AJ582" s="208"/>
      <c r="AK582" s="208"/>
    </row>
    <row r="583">
      <c r="A583" s="208"/>
      <c r="B583" s="208"/>
      <c r="C583" s="208"/>
      <c r="D583" s="208"/>
      <c r="E583" s="208"/>
      <c r="F583" s="208"/>
      <c r="G583" s="208"/>
      <c r="H583" s="233"/>
      <c r="I583" s="234"/>
      <c r="J583" s="208"/>
      <c r="K583" s="208"/>
      <c r="L583" s="208"/>
      <c r="M583" s="208"/>
      <c r="N583" s="208"/>
      <c r="O583" s="208"/>
      <c r="P583" s="208"/>
      <c r="Q583" s="208"/>
      <c r="R583" s="208"/>
      <c r="S583" s="208"/>
      <c r="T583" s="208"/>
      <c r="U583" s="208"/>
      <c r="V583" s="208"/>
      <c r="W583" s="208"/>
      <c r="X583" s="208"/>
      <c r="Y583" s="208"/>
      <c r="Z583" s="208"/>
      <c r="AA583" s="208"/>
      <c r="AB583" s="208"/>
      <c r="AC583" s="208"/>
      <c r="AD583" s="208"/>
      <c r="AE583" s="208"/>
      <c r="AF583" s="208"/>
      <c r="AG583" s="208"/>
      <c r="AH583" s="208"/>
      <c r="AI583" s="208"/>
      <c r="AJ583" s="208"/>
      <c r="AK583" s="208"/>
    </row>
    <row r="584">
      <c r="A584" s="208"/>
      <c r="B584" s="208"/>
      <c r="C584" s="208"/>
      <c r="D584" s="208"/>
      <c r="E584" s="208"/>
      <c r="F584" s="208"/>
      <c r="G584" s="208"/>
      <c r="H584" s="233"/>
      <c r="I584" s="234"/>
      <c r="J584" s="208"/>
      <c r="K584" s="208"/>
      <c r="L584" s="208"/>
      <c r="M584" s="208"/>
      <c r="N584" s="208"/>
      <c r="O584" s="208"/>
      <c r="P584" s="208"/>
      <c r="Q584" s="208"/>
      <c r="R584" s="208"/>
      <c r="S584" s="208"/>
      <c r="T584" s="208"/>
      <c r="U584" s="208"/>
      <c r="V584" s="208"/>
      <c r="W584" s="208"/>
      <c r="X584" s="208"/>
      <c r="Y584" s="208"/>
      <c r="Z584" s="208"/>
      <c r="AA584" s="208"/>
      <c r="AB584" s="208"/>
      <c r="AC584" s="208"/>
      <c r="AD584" s="208"/>
      <c r="AE584" s="208"/>
      <c r="AF584" s="208"/>
      <c r="AG584" s="208"/>
      <c r="AH584" s="208"/>
      <c r="AI584" s="208"/>
      <c r="AJ584" s="208"/>
      <c r="AK584" s="208"/>
    </row>
    <row r="585">
      <c r="A585" s="208"/>
      <c r="B585" s="208"/>
      <c r="C585" s="208"/>
      <c r="D585" s="208"/>
      <c r="E585" s="208"/>
      <c r="F585" s="208"/>
      <c r="G585" s="208"/>
      <c r="H585" s="233"/>
      <c r="I585" s="234"/>
      <c r="J585" s="208"/>
      <c r="K585" s="208"/>
      <c r="L585" s="208"/>
      <c r="M585" s="208"/>
      <c r="N585" s="208"/>
      <c r="O585" s="208"/>
      <c r="P585" s="208"/>
      <c r="Q585" s="208"/>
      <c r="R585" s="208"/>
      <c r="S585" s="208"/>
      <c r="T585" s="208"/>
      <c r="U585" s="208"/>
      <c r="V585" s="208"/>
      <c r="W585" s="208"/>
      <c r="X585" s="208"/>
      <c r="Y585" s="208"/>
      <c r="Z585" s="208"/>
      <c r="AA585" s="208"/>
      <c r="AB585" s="208"/>
      <c r="AC585" s="208"/>
      <c r="AD585" s="208"/>
      <c r="AE585" s="208"/>
      <c r="AF585" s="208"/>
      <c r="AG585" s="208"/>
      <c r="AH585" s="208"/>
      <c r="AI585" s="208"/>
      <c r="AJ585" s="208"/>
      <c r="AK585" s="208"/>
    </row>
    <row r="586">
      <c r="A586" s="208"/>
      <c r="B586" s="208"/>
      <c r="C586" s="208"/>
      <c r="D586" s="208"/>
      <c r="E586" s="208"/>
      <c r="F586" s="208"/>
      <c r="G586" s="208"/>
      <c r="H586" s="233"/>
      <c r="I586" s="234"/>
      <c r="J586" s="208"/>
      <c r="K586" s="208"/>
      <c r="L586" s="208"/>
      <c r="M586" s="208"/>
      <c r="N586" s="208"/>
      <c r="O586" s="208"/>
      <c r="P586" s="208"/>
      <c r="Q586" s="208"/>
      <c r="R586" s="208"/>
      <c r="S586" s="208"/>
      <c r="T586" s="208"/>
      <c r="U586" s="208"/>
      <c r="V586" s="208"/>
      <c r="W586" s="208"/>
      <c r="X586" s="208"/>
      <c r="Y586" s="208"/>
      <c r="Z586" s="208"/>
      <c r="AA586" s="208"/>
      <c r="AB586" s="208"/>
      <c r="AC586" s="208"/>
      <c r="AD586" s="208"/>
      <c r="AE586" s="208"/>
      <c r="AF586" s="208"/>
      <c r="AG586" s="208"/>
      <c r="AH586" s="208"/>
      <c r="AI586" s="208"/>
      <c r="AJ586" s="208"/>
      <c r="AK586" s="208"/>
    </row>
    <row r="587">
      <c r="A587" s="208"/>
      <c r="B587" s="208"/>
      <c r="C587" s="208"/>
      <c r="D587" s="208"/>
      <c r="E587" s="208"/>
      <c r="F587" s="208"/>
      <c r="G587" s="208"/>
      <c r="H587" s="233"/>
      <c r="I587" s="234"/>
      <c r="J587" s="208"/>
      <c r="K587" s="208"/>
      <c r="L587" s="208"/>
      <c r="M587" s="208"/>
      <c r="N587" s="208"/>
      <c r="O587" s="208"/>
      <c r="P587" s="208"/>
      <c r="Q587" s="208"/>
      <c r="R587" s="208"/>
      <c r="S587" s="208"/>
      <c r="T587" s="208"/>
      <c r="U587" s="208"/>
      <c r="V587" s="208"/>
      <c r="W587" s="208"/>
      <c r="X587" s="208"/>
      <c r="Y587" s="208"/>
      <c r="Z587" s="208"/>
      <c r="AA587" s="208"/>
      <c r="AB587" s="208"/>
      <c r="AC587" s="208"/>
      <c r="AD587" s="208"/>
      <c r="AE587" s="208"/>
      <c r="AF587" s="208"/>
      <c r="AG587" s="208"/>
      <c r="AH587" s="208"/>
      <c r="AI587" s="208"/>
      <c r="AJ587" s="208"/>
      <c r="AK587" s="208"/>
    </row>
    <row r="588">
      <c r="A588" s="208"/>
      <c r="B588" s="208"/>
      <c r="C588" s="208"/>
      <c r="D588" s="208"/>
      <c r="E588" s="208"/>
      <c r="F588" s="208"/>
      <c r="G588" s="208"/>
      <c r="H588" s="233"/>
      <c r="I588" s="234"/>
      <c r="J588" s="208"/>
      <c r="K588" s="208"/>
      <c r="L588" s="208"/>
      <c r="M588" s="208"/>
      <c r="N588" s="208"/>
      <c r="O588" s="208"/>
      <c r="P588" s="208"/>
      <c r="Q588" s="208"/>
      <c r="R588" s="208"/>
      <c r="S588" s="208"/>
      <c r="T588" s="208"/>
      <c r="U588" s="208"/>
      <c r="V588" s="208"/>
      <c r="W588" s="208"/>
      <c r="X588" s="208"/>
      <c r="Y588" s="208"/>
      <c r="Z588" s="208"/>
      <c r="AA588" s="208"/>
      <c r="AB588" s="208"/>
      <c r="AC588" s="208"/>
      <c r="AD588" s="208"/>
      <c r="AE588" s="208"/>
      <c r="AF588" s="208"/>
      <c r="AG588" s="208"/>
      <c r="AH588" s="208"/>
      <c r="AI588" s="208"/>
      <c r="AJ588" s="208"/>
      <c r="AK588" s="208"/>
    </row>
    <row r="589">
      <c r="A589" s="208"/>
      <c r="B589" s="208"/>
      <c r="C589" s="208"/>
      <c r="D589" s="208"/>
      <c r="E589" s="208"/>
      <c r="F589" s="208"/>
      <c r="G589" s="208"/>
      <c r="H589" s="233"/>
      <c r="I589" s="234"/>
      <c r="J589" s="208"/>
      <c r="K589" s="208"/>
      <c r="L589" s="208"/>
      <c r="M589" s="208"/>
      <c r="N589" s="208"/>
      <c r="O589" s="208"/>
      <c r="P589" s="208"/>
      <c r="Q589" s="208"/>
      <c r="R589" s="208"/>
      <c r="S589" s="208"/>
      <c r="T589" s="208"/>
      <c r="U589" s="208"/>
      <c r="V589" s="208"/>
      <c r="W589" s="208"/>
      <c r="X589" s="208"/>
      <c r="Y589" s="208"/>
      <c r="Z589" s="208"/>
      <c r="AA589" s="208"/>
      <c r="AB589" s="208"/>
      <c r="AC589" s="208"/>
      <c r="AD589" s="208"/>
      <c r="AE589" s="208"/>
      <c r="AF589" s="208"/>
      <c r="AG589" s="208"/>
      <c r="AH589" s="208"/>
      <c r="AI589" s="208"/>
      <c r="AJ589" s="208"/>
      <c r="AK589" s="208"/>
    </row>
    <row r="590">
      <c r="A590" s="208"/>
      <c r="B590" s="208"/>
      <c r="C590" s="208"/>
      <c r="D590" s="208"/>
      <c r="E590" s="208"/>
      <c r="F590" s="208"/>
      <c r="G590" s="208"/>
      <c r="H590" s="233"/>
      <c r="I590" s="234"/>
      <c r="J590" s="208"/>
      <c r="K590" s="208"/>
      <c r="L590" s="208"/>
      <c r="M590" s="208"/>
      <c r="N590" s="208"/>
      <c r="O590" s="208"/>
      <c r="P590" s="208"/>
      <c r="Q590" s="208"/>
      <c r="R590" s="208"/>
      <c r="S590" s="208"/>
      <c r="T590" s="208"/>
      <c r="U590" s="208"/>
      <c r="V590" s="208"/>
      <c r="W590" s="208"/>
      <c r="X590" s="208"/>
      <c r="Y590" s="208"/>
      <c r="Z590" s="208"/>
      <c r="AA590" s="208"/>
      <c r="AB590" s="208"/>
      <c r="AC590" s="208"/>
      <c r="AD590" s="208"/>
      <c r="AE590" s="208"/>
      <c r="AF590" s="208"/>
      <c r="AG590" s="208"/>
      <c r="AH590" s="208"/>
      <c r="AI590" s="208"/>
      <c r="AJ590" s="208"/>
      <c r="AK590" s="208"/>
    </row>
    <row r="591">
      <c r="A591" s="208"/>
      <c r="B591" s="208"/>
      <c r="C591" s="208"/>
      <c r="D591" s="208"/>
      <c r="E591" s="208"/>
      <c r="F591" s="208"/>
      <c r="G591" s="208"/>
      <c r="H591" s="233"/>
      <c r="I591" s="234"/>
      <c r="J591" s="208"/>
      <c r="K591" s="208"/>
      <c r="L591" s="208"/>
      <c r="M591" s="208"/>
      <c r="N591" s="208"/>
      <c r="O591" s="208"/>
      <c r="P591" s="208"/>
      <c r="Q591" s="208"/>
      <c r="R591" s="208"/>
      <c r="S591" s="208"/>
      <c r="T591" s="208"/>
      <c r="U591" s="208"/>
      <c r="V591" s="208"/>
      <c r="W591" s="208"/>
      <c r="X591" s="208"/>
      <c r="Y591" s="208"/>
      <c r="Z591" s="208"/>
      <c r="AA591" s="208"/>
      <c r="AB591" s="208"/>
      <c r="AC591" s="208"/>
      <c r="AD591" s="208"/>
      <c r="AE591" s="208"/>
      <c r="AF591" s="208"/>
      <c r="AG591" s="208"/>
      <c r="AH591" s="208"/>
      <c r="AI591" s="208"/>
      <c r="AJ591" s="208"/>
      <c r="AK591" s="208"/>
    </row>
    <row r="592">
      <c r="A592" s="208"/>
      <c r="B592" s="208"/>
      <c r="C592" s="208"/>
      <c r="D592" s="208"/>
      <c r="E592" s="208"/>
      <c r="F592" s="208"/>
      <c r="G592" s="208"/>
      <c r="H592" s="233"/>
      <c r="I592" s="234"/>
      <c r="J592" s="208"/>
      <c r="K592" s="208"/>
      <c r="L592" s="208"/>
      <c r="M592" s="208"/>
      <c r="N592" s="208"/>
      <c r="O592" s="208"/>
      <c r="P592" s="208"/>
      <c r="Q592" s="208"/>
      <c r="R592" s="208"/>
      <c r="S592" s="208"/>
      <c r="T592" s="208"/>
      <c r="U592" s="208"/>
      <c r="V592" s="208"/>
      <c r="W592" s="208"/>
      <c r="X592" s="208"/>
      <c r="Y592" s="208"/>
      <c r="Z592" s="208"/>
      <c r="AA592" s="208"/>
      <c r="AB592" s="208"/>
      <c r="AC592" s="208"/>
      <c r="AD592" s="208"/>
      <c r="AE592" s="208"/>
      <c r="AF592" s="208"/>
      <c r="AG592" s="208"/>
      <c r="AH592" s="208"/>
      <c r="AI592" s="208"/>
      <c r="AJ592" s="208"/>
      <c r="AK592" s="208"/>
    </row>
    <row r="593">
      <c r="A593" s="208"/>
      <c r="B593" s="208"/>
      <c r="C593" s="208"/>
      <c r="D593" s="208"/>
      <c r="E593" s="208"/>
      <c r="F593" s="208"/>
      <c r="G593" s="208"/>
      <c r="H593" s="233"/>
      <c r="I593" s="234"/>
      <c r="J593" s="208"/>
      <c r="K593" s="208"/>
      <c r="L593" s="208"/>
      <c r="M593" s="208"/>
      <c r="N593" s="208"/>
      <c r="O593" s="208"/>
      <c r="P593" s="208"/>
      <c r="Q593" s="208"/>
      <c r="R593" s="208"/>
      <c r="S593" s="208"/>
      <c r="T593" s="208"/>
      <c r="U593" s="208"/>
      <c r="V593" s="208"/>
      <c r="W593" s="208"/>
      <c r="X593" s="208"/>
      <c r="Y593" s="208"/>
      <c r="Z593" s="208"/>
      <c r="AA593" s="208"/>
      <c r="AB593" s="208"/>
      <c r="AC593" s="208"/>
      <c r="AD593" s="208"/>
      <c r="AE593" s="208"/>
      <c r="AF593" s="208"/>
      <c r="AG593" s="208"/>
      <c r="AH593" s="208"/>
      <c r="AI593" s="208"/>
      <c r="AJ593" s="208"/>
      <c r="AK593" s="208"/>
    </row>
    <row r="594">
      <c r="A594" s="208"/>
      <c r="B594" s="208"/>
      <c r="C594" s="208"/>
      <c r="D594" s="208"/>
      <c r="E594" s="208"/>
      <c r="F594" s="208"/>
      <c r="G594" s="208"/>
      <c r="H594" s="233"/>
      <c r="I594" s="234"/>
      <c r="J594" s="208"/>
      <c r="K594" s="208"/>
      <c r="L594" s="208"/>
      <c r="M594" s="208"/>
      <c r="N594" s="208"/>
      <c r="O594" s="208"/>
      <c r="P594" s="208"/>
      <c r="Q594" s="208"/>
      <c r="R594" s="208"/>
      <c r="S594" s="208"/>
      <c r="T594" s="208"/>
      <c r="U594" s="208"/>
      <c r="V594" s="208"/>
      <c r="W594" s="208"/>
      <c r="X594" s="208"/>
      <c r="Y594" s="208"/>
      <c r="Z594" s="208"/>
      <c r="AA594" s="208"/>
      <c r="AB594" s="208"/>
      <c r="AC594" s="208"/>
      <c r="AD594" s="208"/>
      <c r="AE594" s="208"/>
      <c r="AF594" s="208"/>
      <c r="AG594" s="208"/>
      <c r="AH594" s="208"/>
      <c r="AI594" s="208"/>
      <c r="AJ594" s="208"/>
      <c r="AK594" s="208"/>
    </row>
    <row r="595">
      <c r="A595" s="208"/>
      <c r="B595" s="208"/>
      <c r="C595" s="208"/>
      <c r="D595" s="208"/>
      <c r="E595" s="208"/>
      <c r="F595" s="208"/>
      <c r="G595" s="208"/>
      <c r="H595" s="233"/>
      <c r="I595" s="234"/>
      <c r="J595" s="208"/>
      <c r="K595" s="208"/>
      <c r="L595" s="208"/>
      <c r="M595" s="208"/>
      <c r="N595" s="208"/>
      <c r="O595" s="208"/>
      <c r="P595" s="208"/>
      <c r="Q595" s="208"/>
      <c r="R595" s="208"/>
      <c r="S595" s="208"/>
      <c r="T595" s="208"/>
      <c r="U595" s="208"/>
      <c r="V595" s="208"/>
      <c r="W595" s="208"/>
      <c r="X595" s="208"/>
      <c r="Y595" s="208"/>
      <c r="Z595" s="208"/>
      <c r="AA595" s="208"/>
      <c r="AB595" s="208"/>
      <c r="AC595" s="208"/>
      <c r="AD595" s="208"/>
      <c r="AE595" s="208"/>
      <c r="AF595" s="208"/>
      <c r="AG595" s="208"/>
      <c r="AH595" s="208"/>
      <c r="AI595" s="208"/>
      <c r="AJ595" s="208"/>
      <c r="AK595" s="208"/>
    </row>
    <row r="596">
      <c r="A596" s="208"/>
      <c r="B596" s="208"/>
      <c r="C596" s="208"/>
      <c r="D596" s="208"/>
      <c r="E596" s="208"/>
      <c r="F596" s="208"/>
      <c r="G596" s="208"/>
      <c r="H596" s="233"/>
      <c r="I596" s="234"/>
      <c r="J596" s="208"/>
      <c r="K596" s="208"/>
      <c r="L596" s="208"/>
      <c r="M596" s="208"/>
      <c r="N596" s="208"/>
      <c r="O596" s="208"/>
      <c r="P596" s="208"/>
      <c r="Q596" s="208"/>
      <c r="R596" s="208"/>
      <c r="S596" s="208"/>
      <c r="T596" s="208"/>
      <c r="U596" s="208"/>
      <c r="V596" s="208"/>
      <c r="W596" s="208"/>
      <c r="X596" s="208"/>
      <c r="Y596" s="208"/>
      <c r="Z596" s="208"/>
      <c r="AA596" s="208"/>
      <c r="AB596" s="208"/>
      <c r="AC596" s="208"/>
      <c r="AD596" s="208"/>
      <c r="AE596" s="208"/>
      <c r="AF596" s="208"/>
      <c r="AG596" s="208"/>
      <c r="AH596" s="208"/>
      <c r="AI596" s="208"/>
      <c r="AJ596" s="208"/>
      <c r="AK596" s="208"/>
    </row>
    <row r="597">
      <c r="A597" s="208"/>
      <c r="B597" s="208"/>
      <c r="C597" s="208"/>
      <c r="D597" s="208"/>
      <c r="E597" s="208"/>
      <c r="F597" s="208"/>
      <c r="G597" s="208"/>
      <c r="H597" s="233"/>
      <c r="I597" s="234"/>
      <c r="J597" s="208"/>
      <c r="K597" s="208"/>
      <c r="L597" s="208"/>
      <c r="M597" s="208"/>
      <c r="N597" s="208"/>
      <c r="O597" s="208"/>
      <c r="P597" s="208"/>
      <c r="Q597" s="208"/>
      <c r="R597" s="208"/>
      <c r="S597" s="208"/>
      <c r="T597" s="208"/>
      <c r="U597" s="208"/>
      <c r="V597" s="208"/>
      <c r="W597" s="208"/>
      <c r="X597" s="208"/>
      <c r="Y597" s="208"/>
      <c r="Z597" s="208"/>
      <c r="AA597" s="208"/>
      <c r="AB597" s="208"/>
      <c r="AC597" s="208"/>
      <c r="AD597" s="208"/>
      <c r="AE597" s="208"/>
      <c r="AF597" s="208"/>
      <c r="AG597" s="208"/>
      <c r="AH597" s="208"/>
      <c r="AI597" s="208"/>
      <c r="AJ597" s="208"/>
      <c r="AK597" s="208"/>
    </row>
    <row r="598">
      <c r="A598" s="208"/>
      <c r="B598" s="208"/>
      <c r="C598" s="208"/>
      <c r="D598" s="208"/>
      <c r="E598" s="208"/>
      <c r="F598" s="208"/>
      <c r="G598" s="208"/>
      <c r="H598" s="233"/>
      <c r="I598" s="234"/>
      <c r="J598" s="208"/>
      <c r="K598" s="208"/>
      <c r="L598" s="208"/>
      <c r="M598" s="208"/>
      <c r="N598" s="208"/>
      <c r="O598" s="208"/>
      <c r="P598" s="208"/>
      <c r="Q598" s="208"/>
      <c r="R598" s="208"/>
      <c r="S598" s="208"/>
      <c r="T598" s="208"/>
      <c r="U598" s="208"/>
      <c r="V598" s="208"/>
      <c r="W598" s="208"/>
      <c r="X598" s="208"/>
      <c r="Y598" s="208"/>
      <c r="Z598" s="208"/>
      <c r="AA598" s="208"/>
      <c r="AB598" s="208"/>
      <c r="AC598" s="208"/>
      <c r="AD598" s="208"/>
      <c r="AE598" s="208"/>
      <c r="AF598" s="208"/>
      <c r="AG598" s="208"/>
      <c r="AH598" s="208"/>
      <c r="AI598" s="208"/>
      <c r="AJ598" s="208"/>
      <c r="AK598" s="208"/>
    </row>
    <row r="599">
      <c r="A599" s="208"/>
      <c r="B599" s="208"/>
      <c r="C599" s="208"/>
      <c r="D599" s="208"/>
      <c r="E599" s="208"/>
      <c r="F599" s="208"/>
      <c r="G599" s="208"/>
      <c r="H599" s="233"/>
      <c r="I599" s="234"/>
      <c r="J599" s="208"/>
      <c r="K599" s="208"/>
      <c r="L599" s="208"/>
      <c r="M599" s="208"/>
      <c r="N599" s="208"/>
      <c r="O599" s="208"/>
      <c r="P599" s="208"/>
      <c r="Q599" s="208"/>
      <c r="R599" s="208"/>
      <c r="S599" s="208"/>
      <c r="T599" s="208"/>
      <c r="U599" s="208"/>
      <c r="V599" s="208"/>
      <c r="W599" s="208"/>
      <c r="X599" s="208"/>
      <c r="Y599" s="208"/>
      <c r="Z599" s="208"/>
      <c r="AA599" s="208"/>
      <c r="AB599" s="208"/>
      <c r="AC599" s="208"/>
      <c r="AD599" s="208"/>
      <c r="AE599" s="208"/>
      <c r="AF599" s="208"/>
      <c r="AG599" s="208"/>
      <c r="AH599" s="208"/>
      <c r="AI599" s="208"/>
      <c r="AJ599" s="208"/>
      <c r="AK599" s="208"/>
    </row>
    <row r="600">
      <c r="A600" s="208"/>
      <c r="B600" s="208"/>
      <c r="C600" s="208"/>
      <c r="D600" s="208"/>
      <c r="E600" s="208"/>
      <c r="F600" s="208"/>
      <c r="G600" s="208"/>
      <c r="H600" s="233"/>
      <c r="I600" s="234"/>
      <c r="J600" s="208"/>
      <c r="K600" s="208"/>
      <c r="L600" s="208"/>
      <c r="M600" s="208"/>
      <c r="N600" s="208"/>
      <c r="O600" s="208"/>
      <c r="P600" s="208"/>
      <c r="Q600" s="208"/>
      <c r="R600" s="208"/>
      <c r="S600" s="208"/>
      <c r="T600" s="208"/>
      <c r="U600" s="208"/>
      <c r="V600" s="208"/>
      <c r="W600" s="208"/>
      <c r="X600" s="208"/>
      <c r="Y600" s="208"/>
      <c r="Z600" s="208"/>
      <c r="AA600" s="208"/>
      <c r="AB600" s="208"/>
      <c r="AC600" s="208"/>
      <c r="AD600" s="208"/>
      <c r="AE600" s="208"/>
      <c r="AF600" s="208"/>
      <c r="AG600" s="208"/>
      <c r="AH600" s="208"/>
      <c r="AI600" s="208"/>
      <c r="AJ600" s="208"/>
      <c r="AK600" s="208"/>
    </row>
    <row r="601">
      <c r="A601" s="208"/>
      <c r="B601" s="208"/>
      <c r="C601" s="208"/>
      <c r="D601" s="208"/>
      <c r="E601" s="208"/>
      <c r="F601" s="208"/>
      <c r="G601" s="208"/>
      <c r="H601" s="233"/>
      <c r="I601" s="234"/>
      <c r="J601" s="208"/>
      <c r="K601" s="208"/>
      <c r="L601" s="208"/>
      <c r="M601" s="208"/>
      <c r="N601" s="208"/>
      <c r="O601" s="208"/>
      <c r="P601" s="208"/>
      <c r="Q601" s="208"/>
      <c r="R601" s="208"/>
      <c r="S601" s="208"/>
      <c r="T601" s="208"/>
      <c r="U601" s="208"/>
      <c r="V601" s="208"/>
      <c r="W601" s="208"/>
      <c r="X601" s="208"/>
      <c r="Y601" s="208"/>
      <c r="Z601" s="208"/>
      <c r="AA601" s="208"/>
      <c r="AB601" s="208"/>
      <c r="AC601" s="208"/>
      <c r="AD601" s="208"/>
      <c r="AE601" s="208"/>
      <c r="AF601" s="208"/>
      <c r="AG601" s="208"/>
      <c r="AH601" s="208"/>
      <c r="AI601" s="208"/>
      <c r="AJ601" s="208"/>
      <c r="AK601" s="208"/>
    </row>
    <row r="602">
      <c r="A602" s="208"/>
      <c r="B602" s="208"/>
      <c r="C602" s="208"/>
      <c r="D602" s="208"/>
      <c r="E602" s="208"/>
      <c r="F602" s="208"/>
      <c r="G602" s="208"/>
      <c r="H602" s="233"/>
      <c r="I602" s="234"/>
      <c r="J602" s="208"/>
      <c r="K602" s="208"/>
      <c r="L602" s="208"/>
      <c r="M602" s="208"/>
      <c r="N602" s="208"/>
      <c r="O602" s="208"/>
      <c r="P602" s="208"/>
      <c r="Q602" s="208"/>
      <c r="R602" s="208"/>
      <c r="S602" s="208"/>
      <c r="T602" s="208"/>
      <c r="U602" s="208"/>
      <c r="V602" s="208"/>
      <c r="W602" s="208"/>
      <c r="X602" s="208"/>
      <c r="Y602" s="208"/>
      <c r="Z602" s="208"/>
      <c r="AA602" s="208"/>
      <c r="AB602" s="208"/>
      <c r="AC602" s="208"/>
      <c r="AD602" s="208"/>
      <c r="AE602" s="208"/>
      <c r="AF602" s="208"/>
      <c r="AG602" s="208"/>
      <c r="AH602" s="208"/>
      <c r="AI602" s="208"/>
      <c r="AJ602" s="208"/>
      <c r="AK602" s="208"/>
    </row>
    <row r="603">
      <c r="A603" s="208"/>
      <c r="B603" s="208"/>
      <c r="C603" s="208"/>
      <c r="D603" s="208"/>
      <c r="E603" s="208"/>
      <c r="F603" s="208"/>
      <c r="G603" s="208"/>
      <c r="H603" s="233"/>
      <c r="I603" s="234"/>
      <c r="J603" s="208"/>
      <c r="K603" s="208"/>
      <c r="L603" s="208"/>
      <c r="M603" s="208"/>
      <c r="N603" s="208"/>
      <c r="O603" s="208"/>
      <c r="P603" s="208"/>
      <c r="Q603" s="208"/>
      <c r="R603" s="208"/>
      <c r="S603" s="208"/>
      <c r="T603" s="208"/>
      <c r="U603" s="208"/>
      <c r="V603" s="208"/>
      <c r="W603" s="208"/>
      <c r="X603" s="208"/>
      <c r="Y603" s="208"/>
      <c r="Z603" s="208"/>
      <c r="AA603" s="208"/>
      <c r="AB603" s="208"/>
      <c r="AC603" s="208"/>
      <c r="AD603" s="208"/>
      <c r="AE603" s="208"/>
      <c r="AF603" s="208"/>
      <c r="AG603" s="208"/>
      <c r="AH603" s="208"/>
      <c r="AI603" s="208"/>
      <c r="AJ603" s="208"/>
      <c r="AK603" s="208"/>
    </row>
    <row r="604">
      <c r="A604" s="208"/>
      <c r="B604" s="208"/>
      <c r="C604" s="208"/>
      <c r="D604" s="208"/>
      <c r="E604" s="208"/>
      <c r="F604" s="208"/>
      <c r="G604" s="208"/>
      <c r="H604" s="233"/>
      <c r="I604" s="234"/>
      <c r="J604" s="208"/>
      <c r="K604" s="208"/>
      <c r="L604" s="208"/>
      <c r="M604" s="208"/>
      <c r="N604" s="208"/>
      <c r="O604" s="208"/>
      <c r="P604" s="208"/>
      <c r="Q604" s="208"/>
      <c r="R604" s="208"/>
      <c r="S604" s="208"/>
      <c r="T604" s="208"/>
      <c r="U604" s="208"/>
      <c r="V604" s="208"/>
      <c r="W604" s="208"/>
      <c r="X604" s="208"/>
      <c r="Y604" s="208"/>
      <c r="Z604" s="208"/>
      <c r="AA604" s="208"/>
      <c r="AB604" s="208"/>
      <c r="AC604" s="208"/>
      <c r="AD604" s="208"/>
      <c r="AE604" s="208"/>
      <c r="AF604" s="208"/>
      <c r="AG604" s="208"/>
      <c r="AH604" s="208"/>
      <c r="AI604" s="208"/>
      <c r="AJ604" s="208"/>
      <c r="AK604" s="208"/>
    </row>
    <row r="605">
      <c r="A605" s="208"/>
      <c r="B605" s="208"/>
      <c r="C605" s="208"/>
      <c r="D605" s="208"/>
      <c r="E605" s="208"/>
      <c r="F605" s="208"/>
      <c r="G605" s="208"/>
      <c r="H605" s="233"/>
      <c r="I605" s="234"/>
      <c r="J605" s="208"/>
      <c r="K605" s="208"/>
      <c r="L605" s="208"/>
      <c r="M605" s="208"/>
      <c r="N605" s="208"/>
      <c r="O605" s="208"/>
      <c r="P605" s="208"/>
      <c r="Q605" s="208"/>
      <c r="R605" s="208"/>
      <c r="S605" s="208"/>
      <c r="T605" s="208"/>
      <c r="U605" s="208"/>
      <c r="V605" s="208"/>
      <c r="W605" s="208"/>
      <c r="X605" s="208"/>
      <c r="Y605" s="208"/>
      <c r="Z605" s="208"/>
      <c r="AA605" s="208"/>
      <c r="AB605" s="208"/>
      <c r="AC605" s="208"/>
      <c r="AD605" s="208"/>
      <c r="AE605" s="208"/>
      <c r="AF605" s="208"/>
      <c r="AG605" s="208"/>
      <c r="AH605" s="208"/>
      <c r="AI605" s="208"/>
      <c r="AJ605" s="208"/>
      <c r="AK605" s="208"/>
    </row>
    <row r="606">
      <c r="A606" s="208"/>
      <c r="B606" s="208"/>
      <c r="C606" s="208"/>
      <c r="D606" s="208"/>
      <c r="E606" s="208"/>
      <c r="F606" s="208"/>
      <c r="G606" s="208"/>
      <c r="H606" s="233"/>
      <c r="I606" s="234"/>
      <c r="J606" s="208"/>
      <c r="K606" s="208"/>
      <c r="L606" s="208"/>
      <c r="M606" s="208"/>
      <c r="N606" s="208"/>
      <c r="O606" s="208"/>
      <c r="P606" s="208"/>
      <c r="Q606" s="208"/>
      <c r="R606" s="208"/>
      <c r="S606" s="208"/>
      <c r="T606" s="208"/>
      <c r="U606" s="208"/>
      <c r="V606" s="208"/>
      <c r="W606" s="208"/>
      <c r="X606" s="208"/>
      <c r="Y606" s="208"/>
      <c r="Z606" s="208"/>
      <c r="AA606" s="208"/>
      <c r="AB606" s="208"/>
      <c r="AC606" s="208"/>
      <c r="AD606" s="208"/>
      <c r="AE606" s="208"/>
      <c r="AF606" s="208"/>
      <c r="AG606" s="208"/>
      <c r="AH606" s="208"/>
      <c r="AI606" s="208"/>
      <c r="AJ606" s="208"/>
      <c r="AK606" s="208"/>
    </row>
    <row r="607">
      <c r="A607" s="208"/>
      <c r="B607" s="208"/>
      <c r="C607" s="208"/>
      <c r="D607" s="208"/>
      <c r="E607" s="208"/>
      <c r="F607" s="208"/>
      <c r="G607" s="208"/>
      <c r="H607" s="233"/>
      <c r="I607" s="234"/>
      <c r="J607" s="208"/>
      <c r="K607" s="208"/>
      <c r="L607" s="208"/>
      <c r="M607" s="208"/>
      <c r="N607" s="208"/>
      <c r="O607" s="208"/>
      <c r="P607" s="208"/>
      <c r="Q607" s="208"/>
      <c r="R607" s="208"/>
      <c r="S607" s="208"/>
      <c r="T607" s="208"/>
      <c r="U607" s="208"/>
      <c r="V607" s="208"/>
      <c r="W607" s="208"/>
      <c r="X607" s="208"/>
      <c r="Y607" s="208"/>
      <c r="Z607" s="208"/>
      <c r="AA607" s="208"/>
      <c r="AB607" s="208"/>
      <c r="AC607" s="208"/>
      <c r="AD607" s="208"/>
      <c r="AE607" s="208"/>
      <c r="AF607" s="208"/>
      <c r="AG607" s="208"/>
      <c r="AH607" s="208"/>
      <c r="AI607" s="208"/>
      <c r="AJ607" s="208"/>
      <c r="AK607" s="208"/>
    </row>
    <row r="608">
      <c r="A608" s="208"/>
      <c r="B608" s="208"/>
      <c r="C608" s="208"/>
      <c r="D608" s="208"/>
      <c r="E608" s="208"/>
      <c r="F608" s="208"/>
      <c r="G608" s="208"/>
      <c r="H608" s="233"/>
      <c r="I608" s="234"/>
      <c r="J608" s="208"/>
      <c r="K608" s="208"/>
      <c r="L608" s="208"/>
      <c r="M608" s="208"/>
      <c r="N608" s="208"/>
      <c r="O608" s="208"/>
      <c r="P608" s="208"/>
      <c r="Q608" s="208"/>
      <c r="R608" s="208"/>
      <c r="S608" s="208"/>
      <c r="T608" s="208"/>
      <c r="U608" s="208"/>
      <c r="V608" s="208"/>
      <c r="W608" s="208"/>
      <c r="X608" s="208"/>
      <c r="Y608" s="208"/>
      <c r="Z608" s="208"/>
      <c r="AA608" s="208"/>
      <c r="AB608" s="208"/>
      <c r="AC608" s="208"/>
      <c r="AD608" s="208"/>
      <c r="AE608" s="208"/>
      <c r="AF608" s="208"/>
      <c r="AG608" s="208"/>
      <c r="AH608" s="208"/>
      <c r="AI608" s="208"/>
      <c r="AJ608" s="208"/>
      <c r="AK608" s="208"/>
    </row>
    <row r="609">
      <c r="A609" s="208"/>
      <c r="B609" s="208"/>
      <c r="C609" s="208"/>
      <c r="D609" s="208"/>
      <c r="E609" s="208"/>
      <c r="F609" s="208"/>
      <c r="G609" s="208"/>
      <c r="H609" s="233"/>
      <c r="I609" s="234"/>
      <c r="J609" s="208"/>
      <c r="K609" s="208"/>
      <c r="L609" s="208"/>
      <c r="M609" s="208"/>
      <c r="N609" s="208"/>
      <c r="O609" s="208"/>
      <c r="P609" s="208"/>
      <c r="Q609" s="208"/>
      <c r="R609" s="208"/>
      <c r="S609" s="208"/>
      <c r="T609" s="208"/>
      <c r="U609" s="208"/>
      <c r="V609" s="208"/>
      <c r="W609" s="208"/>
      <c r="X609" s="208"/>
      <c r="Y609" s="208"/>
      <c r="Z609" s="208"/>
      <c r="AA609" s="208"/>
      <c r="AB609" s="208"/>
      <c r="AC609" s="208"/>
      <c r="AD609" s="208"/>
      <c r="AE609" s="208"/>
      <c r="AF609" s="208"/>
      <c r="AG609" s="208"/>
      <c r="AH609" s="208"/>
      <c r="AI609" s="208"/>
      <c r="AJ609" s="208"/>
      <c r="AK609" s="208"/>
    </row>
    <row r="610">
      <c r="A610" s="208"/>
      <c r="B610" s="208"/>
      <c r="C610" s="208"/>
      <c r="D610" s="208"/>
      <c r="E610" s="208"/>
      <c r="F610" s="208"/>
      <c r="G610" s="208"/>
      <c r="H610" s="233"/>
      <c r="I610" s="234"/>
      <c r="J610" s="208"/>
      <c r="K610" s="208"/>
      <c r="L610" s="208"/>
      <c r="M610" s="208"/>
      <c r="N610" s="208"/>
      <c r="O610" s="208"/>
      <c r="P610" s="208"/>
      <c r="Q610" s="208"/>
      <c r="R610" s="208"/>
      <c r="S610" s="208"/>
      <c r="T610" s="208"/>
      <c r="U610" s="208"/>
      <c r="V610" s="208"/>
      <c r="W610" s="208"/>
      <c r="X610" s="208"/>
      <c r="Y610" s="208"/>
      <c r="Z610" s="208"/>
      <c r="AA610" s="208"/>
      <c r="AB610" s="208"/>
      <c r="AC610" s="208"/>
      <c r="AD610" s="208"/>
      <c r="AE610" s="208"/>
      <c r="AF610" s="208"/>
      <c r="AG610" s="208"/>
      <c r="AH610" s="208"/>
      <c r="AI610" s="208"/>
      <c r="AJ610" s="208"/>
      <c r="AK610" s="208"/>
    </row>
    <row r="611">
      <c r="A611" s="208"/>
      <c r="B611" s="208"/>
      <c r="C611" s="208"/>
      <c r="D611" s="208"/>
      <c r="E611" s="208"/>
      <c r="F611" s="208"/>
      <c r="G611" s="208"/>
      <c r="H611" s="233"/>
      <c r="I611" s="234"/>
      <c r="J611" s="208"/>
      <c r="K611" s="208"/>
      <c r="L611" s="208"/>
      <c r="M611" s="208"/>
      <c r="N611" s="208"/>
      <c r="O611" s="208"/>
      <c r="P611" s="208"/>
      <c r="Q611" s="208"/>
      <c r="R611" s="208"/>
      <c r="S611" s="208"/>
      <c r="T611" s="208"/>
      <c r="U611" s="208"/>
      <c r="V611" s="208"/>
      <c r="W611" s="208"/>
      <c r="X611" s="208"/>
      <c r="Y611" s="208"/>
      <c r="Z611" s="208"/>
      <c r="AA611" s="208"/>
      <c r="AB611" s="208"/>
      <c r="AC611" s="208"/>
      <c r="AD611" s="208"/>
      <c r="AE611" s="208"/>
      <c r="AF611" s="208"/>
      <c r="AG611" s="208"/>
      <c r="AH611" s="208"/>
      <c r="AI611" s="208"/>
      <c r="AJ611" s="208"/>
      <c r="AK611" s="208"/>
    </row>
    <row r="612">
      <c r="A612" s="208"/>
      <c r="B612" s="208"/>
      <c r="C612" s="208"/>
      <c r="D612" s="208"/>
      <c r="E612" s="208"/>
      <c r="F612" s="208"/>
      <c r="G612" s="208"/>
      <c r="H612" s="233"/>
      <c r="I612" s="234"/>
      <c r="J612" s="208"/>
      <c r="K612" s="208"/>
      <c r="L612" s="208"/>
      <c r="M612" s="208"/>
      <c r="N612" s="208"/>
      <c r="O612" s="208"/>
      <c r="P612" s="208"/>
      <c r="Q612" s="208"/>
      <c r="R612" s="208"/>
      <c r="S612" s="208"/>
      <c r="T612" s="208"/>
      <c r="U612" s="208"/>
      <c r="V612" s="208"/>
      <c r="W612" s="208"/>
      <c r="X612" s="208"/>
      <c r="Y612" s="208"/>
      <c r="Z612" s="208"/>
      <c r="AA612" s="208"/>
      <c r="AB612" s="208"/>
      <c r="AC612" s="208"/>
      <c r="AD612" s="208"/>
      <c r="AE612" s="208"/>
      <c r="AF612" s="208"/>
      <c r="AG612" s="208"/>
      <c r="AH612" s="208"/>
      <c r="AI612" s="208"/>
      <c r="AJ612" s="208"/>
      <c r="AK612" s="208"/>
    </row>
    <row r="613">
      <c r="A613" s="208"/>
      <c r="B613" s="208"/>
      <c r="C613" s="208"/>
      <c r="D613" s="208"/>
      <c r="E613" s="208"/>
      <c r="F613" s="208"/>
      <c r="G613" s="208"/>
      <c r="H613" s="233"/>
      <c r="I613" s="234"/>
      <c r="J613" s="208"/>
      <c r="K613" s="208"/>
      <c r="L613" s="208"/>
      <c r="M613" s="208"/>
      <c r="N613" s="208"/>
      <c r="O613" s="208"/>
      <c r="P613" s="208"/>
      <c r="Q613" s="208"/>
      <c r="R613" s="208"/>
      <c r="S613" s="208"/>
      <c r="T613" s="208"/>
      <c r="U613" s="208"/>
      <c r="V613" s="208"/>
      <c r="W613" s="208"/>
      <c r="X613" s="208"/>
      <c r="Y613" s="208"/>
      <c r="Z613" s="208"/>
      <c r="AA613" s="208"/>
      <c r="AB613" s="208"/>
      <c r="AC613" s="208"/>
      <c r="AD613" s="208"/>
      <c r="AE613" s="208"/>
      <c r="AF613" s="208"/>
      <c r="AG613" s="208"/>
      <c r="AH613" s="208"/>
      <c r="AI613" s="208"/>
      <c r="AJ613" s="208"/>
      <c r="AK613" s="208"/>
    </row>
    <row r="614">
      <c r="A614" s="208"/>
      <c r="B614" s="208"/>
      <c r="C614" s="208"/>
      <c r="D614" s="208"/>
      <c r="E614" s="208"/>
      <c r="F614" s="208"/>
      <c r="G614" s="208"/>
      <c r="H614" s="233"/>
      <c r="I614" s="234"/>
      <c r="J614" s="208"/>
      <c r="K614" s="208"/>
      <c r="L614" s="208"/>
      <c r="M614" s="208"/>
      <c r="N614" s="208"/>
      <c r="O614" s="208"/>
      <c r="P614" s="208"/>
      <c r="Q614" s="208"/>
      <c r="R614" s="208"/>
      <c r="S614" s="208"/>
      <c r="T614" s="208"/>
      <c r="U614" s="208"/>
      <c r="V614" s="208"/>
      <c r="W614" s="208"/>
      <c r="X614" s="208"/>
      <c r="Y614" s="208"/>
      <c r="Z614" s="208"/>
      <c r="AA614" s="208"/>
      <c r="AB614" s="208"/>
      <c r="AC614" s="208"/>
      <c r="AD614" s="208"/>
      <c r="AE614" s="208"/>
      <c r="AF614" s="208"/>
      <c r="AG614" s="208"/>
      <c r="AH614" s="208"/>
      <c r="AI614" s="208"/>
      <c r="AJ614" s="208"/>
      <c r="AK614" s="208"/>
    </row>
    <row r="615">
      <c r="A615" s="208"/>
      <c r="B615" s="208"/>
      <c r="C615" s="208"/>
      <c r="D615" s="208"/>
      <c r="E615" s="208"/>
      <c r="F615" s="208"/>
      <c r="G615" s="208"/>
      <c r="H615" s="233"/>
      <c r="I615" s="234"/>
      <c r="J615" s="208"/>
      <c r="K615" s="208"/>
      <c r="L615" s="208"/>
      <c r="M615" s="208"/>
      <c r="N615" s="208"/>
      <c r="O615" s="208"/>
      <c r="P615" s="208"/>
      <c r="Q615" s="208"/>
      <c r="R615" s="208"/>
      <c r="S615" s="208"/>
      <c r="T615" s="208"/>
      <c r="U615" s="208"/>
      <c r="V615" s="208"/>
      <c r="W615" s="208"/>
      <c r="X615" s="208"/>
      <c r="Y615" s="208"/>
      <c r="Z615" s="208"/>
      <c r="AA615" s="208"/>
      <c r="AB615" s="208"/>
      <c r="AC615" s="208"/>
      <c r="AD615" s="208"/>
      <c r="AE615" s="208"/>
      <c r="AF615" s="208"/>
      <c r="AG615" s="208"/>
      <c r="AH615" s="208"/>
      <c r="AI615" s="208"/>
      <c r="AJ615" s="208"/>
      <c r="AK615" s="208"/>
    </row>
    <row r="616">
      <c r="A616" s="208"/>
      <c r="B616" s="208"/>
      <c r="C616" s="208"/>
      <c r="D616" s="208"/>
      <c r="E616" s="208"/>
      <c r="F616" s="208"/>
      <c r="G616" s="208"/>
      <c r="H616" s="233"/>
      <c r="I616" s="234"/>
      <c r="J616" s="208"/>
      <c r="K616" s="208"/>
      <c r="L616" s="208"/>
      <c r="M616" s="208"/>
      <c r="N616" s="208"/>
      <c r="O616" s="208"/>
      <c r="P616" s="208"/>
      <c r="Q616" s="208"/>
      <c r="R616" s="208"/>
      <c r="S616" s="208"/>
      <c r="T616" s="208"/>
      <c r="U616" s="208"/>
      <c r="V616" s="208"/>
      <c r="W616" s="208"/>
      <c r="X616" s="208"/>
      <c r="Y616" s="208"/>
      <c r="Z616" s="208"/>
      <c r="AA616" s="208"/>
      <c r="AB616" s="208"/>
      <c r="AC616" s="208"/>
      <c r="AD616" s="208"/>
      <c r="AE616" s="208"/>
      <c r="AF616" s="208"/>
      <c r="AG616" s="208"/>
      <c r="AH616" s="208"/>
      <c r="AI616" s="208"/>
      <c r="AJ616" s="208"/>
      <c r="AK616" s="208"/>
    </row>
    <row r="617">
      <c r="A617" s="208"/>
      <c r="B617" s="208"/>
      <c r="C617" s="208"/>
      <c r="D617" s="208"/>
      <c r="E617" s="208"/>
      <c r="F617" s="208"/>
      <c r="G617" s="208"/>
      <c r="H617" s="233"/>
      <c r="I617" s="234"/>
      <c r="J617" s="208"/>
      <c r="K617" s="208"/>
      <c r="L617" s="208"/>
      <c r="M617" s="208"/>
      <c r="N617" s="208"/>
      <c r="O617" s="208"/>
      <c r="P617" s="208"/>
      <c r="Q617" s="208"/>
      <c r="R617" s="208"/>
      <c r="S617" s="208"/>
      <c r="T617" s="208"/>
      <c r="U617" s="208"/>
      <c r="V617" s="208"/>
      <c r="W617" s="208"/>
      <c r="X617" s="208"/>
      <c r="Y617" s="208"/>
      <c r="Z617" s="208"/>
      <c r="AA617" s="208"/>
      <c r="AB617" s="208"/>
      <c r="AC617" s="208"/>
      <c r="AD617" s="208"/>
      <c r="AE617" s="208"/>
      <c r="AF617" s="208"/>
      <c r="AG617" s="208"/>
      <c r="AH617" s="208"/>
      <c r="AI617" s="208"/>
      <c r="AJ617" s="208"/>
      <c r="AK617" s="208"/>
    </row>
    <row r="618">
      <c r="A618" s="208"/>
      <c r="B618" s="208"/>
      <c r="C618" s="208"/>
      <c r="D618" s="208"/>
      <c r="E618" s="208"/>
      <c r="F618" s="208"/>
      <c r="G618" s="208"/>
      <c r="H618" s="233"/>
      <c r="I618" s="234"/>
      <c r="J618" s="208"/>
      <c r="K618" s="208"/>
      <c r="L618" s="208"/>
      <c r="M618" s="208"/>
      <c r="N618" s="208"/>
      <c r="O618" s="208"/>
      <c r="P618" s="208"/>
      <c r="Q618" s="208"/>
      <c r="R618" s="208"/>
      <c r="S618" s="208"/>
      <c r="T618" s="208"/>
      <c r="U618" s="208"/>
      <c r="V618" s="208"/>
      <c r="W618" s="208"/>
      <c r="X618" s="208"/>
      <c r="Y618" s="208"/>
      <c r="Z618" s="208"/>
      <c r="AA618" s="208"/>
      <c r="AB618" s="208"/>
      <c r="AC618" s="208"/>
      <c r="AD618" s="208"/>
      <c r="AE618" s="208"/>
      <c r="AF618" s="208"/>
      <c r="AG618" s="208"/>
      <c r="AH618" s="208"/>
      <c r="AI618" s="208"/>
      <c r="AJ618" s="208"/>
      <c r="AK618" s="208"/>
    </row>
    <row r="619">
      <c r="A619" s="208"/>
      <c r="B619" s="208"/>
      <c r="C619" s="208"/>
      <c r="D619" s="208"/>
      <c r="E619" s="208"/>
      <c r="F619" s="208"/>
      <c r="G619" s="208"/>
      <c r="H619" s="233"/>
      <c r="I619" s="234"/>
      <c r="J619" s="208"/>
      <c r="K619" s="208"/>
      <c r="L619" s="208"/>
      <c r="M619" s="208"/>
      <c r="N619" s="208"/>
      <c r="O619" s="208"/>
      <c r="P619" s="208"/>
      <c r="Q619" s="208"/>
      <c r="R619" s="208"/>
      <c r="S619" s="208"/>
      <c r="T619" s="208"/>
      <c r="U619" s="208"/>
      <c r="V619" s="208"/>
      <c r="W619" s="208"/>
      <c r="X619" s="208"/>
      <c r="Y619" s="208"/>
      <c r="Z619" s="208"/>
      <c r="AA619" s="208"/>
      <c r="AB619" s="208"/>
      <c r="AC619" s="208"/>
      <c r="AD619" s="208"/>
      <c r="AE619" s="208"/>
      <c r="AF619" s="208"/>
      <c r="AG619" s="208"/>
      <c r="AH619" s="208"/>
      <c r="AI619" s="208"/>
      <c r="AJ619" s="208"/>
      <c r="AK619" s="208"/>
    </row>
    <row r="620">
      <c r="A620" s="208"/>
      <c r="B620" s="208"/>
      <c r="C620" s="208"/>
      <c r="D620" s="208"/>
      <c r="E620" s="208"/>
      <c r="F620" s="208"/>
      <c r="G620" s="208"/>
      <c r="H620" s="233"/>
      <c r="I620" s="234"/>
      <c r="J620" s="208"/>
      <c r="K620" s="208"/>
      <c r="L620" s="208"/>
      <c r="M620" s="208"/>
      <c r="N620" s="208"/>
      <c r="O620" s="208"/>
      <c r="P620" s="208"/>
      <c r="Q620" s="208"/>
      <c r="R620" s="208"/>
      <c r="S620" s="208"/>
      <c r="T620" s="208"/>
      <c r="U620" s="208"/>
      <c r="V620" s="208"/>
      <c r="W620" s="208"/>
      <c r="X620" s="208"/>
      <c r="Y620" s="208"/>
      <c r="Z620" s="208"/>
      <c r="AA620" s="208"/>
      <c r="AB620" s="208"/>
      <c r="AC620" s="208"/>
      <c r="AD620" s="208"/>
      <c r="AE620" s="208"/>
      <c r="AF620" s="208"/>
      <c r="AG620" s="208"/>
      <c r="AH620" s="208"/>
      <c r="AI620" s="208"/>
      <c r="AJ620" s="208"/>
      <c r="AK620" s="208"/>
    </row>
    <row r="621">
      <c r="A621" s="208"/>
      <c r="B621" s="208"/>
      <c r="C621" s="208"/>
      <c r="D621" s="208"/>
      <c r="E621" s="208"/>
      <c r="F621" s="208"/>
      <c r="G621" s="208"/>
      <c r="H621" s="233"/>
      <c r="I621" s="234"/>
      <c r="J621" s="208"/>
      <c r="K621" s="208"/>
      <c r="L621" s="208"/>
      <c r="M621" s="208"/>
      <c r="N621" s="208"/>
      <c r="O621" s="208"/>
      <c r="P621" s="208"/>
      <c r="Q621" s="208"/>
      <c r="R621" s="208"/>
      <c r="S621" s="208"/>
      <c r="T621" s="208"/>
      <c r="U621" s="208"/>
      <c r="V621" s="208"/>
      <c r="W621" s="208"/>
      <c r="X621" s="208"/>
      <c r="Y621" s="208"/>
      <c r="Z621" s="208"/>
      <c r="AA621" s="208"/>
      <c r="AB621" s="208"/>
      <c r="AC621" s="208"/>
      <c r="AD621" s="208"/>
      <c r="AE621" s="208"/>
      <c r="AF621" s="208"/>
      <c r="AG621" s="208"/>
      <c r="AH621" s="208"/>
      <c r="AI621" s="208"/>
      <c r="AJ621" s="208"/>
      <c r="AK621" s="208"/>
    </row>
    <row r="622">
      <c r="A622" s="208"/>
      <c r="B622" s="208"/>
      <c r="C622" s="208"/>
      <c r="D622" s="208"/>
      <c r="E622" s="208"/>
      <c r="F622" s="208"/>
      <c r="G622" s="208"/>
      <c r="H622" s="233"/>
      <c r="I622" s="234"/>
      <c r="J622" s="208"/>
      <c r="K622" s="208"/>
      <c r="L622" s="208"/>
      <c r="M622" s="208"/>
      <c r="N622" s="208"/>
      <c r="O622" s="208"/>
      <c r="P622" s="208"/>
      <c r="Q622" s="208"/>
      <c r="R622" s="208"/>
      <c r="S622" s="208"/>
      <c r="T622" s="208"/>
      <c r="U622" s="208"/>
      <c r="V622" s="208"/>
      <c r="W622" s="208"/>
      <c r="X622" s="208"/>
      <c r="Y622" s="208"/>
      <c r="Z622" s="208"/>
      <c r="AA622" s="208"/>
      <c r="AB622" s="208"/>
      <c r="AC622" s="208"/>
      <c r="AD622" s="208"/>
      <c r="AE622" s="208"/>
      <c r="AF622" s="208"/>
      <c r="AG622" s="208"/>
      <c r="AH622" s="208"/>
      <c r="AI622" s="208"/>
      <c r="AJ622" s="208"/>
      <c r="AK622" s="208"/>
    </row>
    <row r="623">
      <c r="A623" s="208"/>
      <c r="B623" s="208"/>
      <c r="C623" s="208"/>
      <c r="D623" s="208"/>
      <c r="E623" s="208"/>
      <c r="F623" s="208"/>
      <c r="G623" s="208"/>
      <c r="H623" s="233"/>
      <c r="I623" s="234"/>
      <c r="J623" s="208"/>
      <c r="K623" s="208"/>
      <c r="L623" s="208"/>
      <c r="M623" s="208"/>
      <c r="N623" s="208"/>
      <c r="O623" s="208"/>
      <c r="P623" s="208"/>
      <c r="Q623" s="208"/>
      <c r="R623" s="208"/>
      <c r="S623" s="208"/>
      <c r="T623" s="208"/>
      <c r="U623" s="208"/>
      <c r="V623" s="208"/>
      <c r="W623" s="208"/>
      <c r="X623" s="208"/>
      <c r="Y623" s="208"/>
      <c r="Z623" s="208"/>
      <c r="AA623" s="208"/>
      <c r="AB623" s="208"/>
      <c r="AC623" s="208"/>
      <c r="AD623" s="208"/>
      <c r="AE623" s="208"/>
      <c r="AF623" s="208"/>
      <c r="AG623" s="208"/>
      <c r="AH623" s="208"/>
      <c r="AI623" s="208"/>
      <c r="AJ623" s="208"/>
      <c r="AK623" s="208"/>
    </row>
    <row r="624">
      <c r="A624" s="208"/>
      <c r="B624" s="208"/>
      <c r="C624" s="208"/>
      <c r="D624" s="208"/>
      <c r="E624" s="208"/>
      <c r="F624" s="208"/>
      <c r="G624" s="208"/>
      <c r="H624" s="233"/>
      <c r="I624" s="234"/>
      <c r="J624" s="208"/>
      <c r="K624" s="208"/>
      <c r="L624" s="208"/>
      <c r="M624" s="208"/>
      <c r="N624" s="208"/>
      <c r="O624" s="208"/>
      <c r="P624" s="208"/>
      <c r="Q624" s="208"/>
      <c r="R624" s="208"/>
      <c r="S624" s="208"/>
      <c r="T624" s="208"/>
      <c r="U624" s="208"/>
      <c r="V624" s="208"/>
      <c r="W624" s="208"/>
      <c r="X624" s="208"/>
      <c r="Y624" s="208"/>
      <c r="Z624" s="208"/>
      <c r="AA624" s="208"/>
      <c r="AB624" s="208"/>
      <c r="AC624" s="208"/>
      <c r="AD624" s="208"/>
      <c r="AE624" s="208"/>
      <c r="AF624" s="208"/>
      <c r="AG624" s="208"/>
      <c r="AH624" s="208"/>
      <c r="AI624" s="208"/>
      <c r="AJ624" s="208"/>
      <c r="AK624" s="208"/>
    </row>
    <row r="625">
      <c r="A625" s="208"/>
      <c r="B625" s="208"/>
      <c r="C625" s="208"/>
      <c r="D625" s="208"/>
      <c r="E625" s="208"/>
      <c r="F625" s="208"/>
      <c r="G625" s="208"/>
      <c r="H625" s="233"/>
      <c r="I625" s="234"/>
      <c r="J625" s="208"/>
      <c r="K625" s="208"/>
      <c r="L625" s="208"/>
      <c r="M625" s="208"/>
      <c r="N625" s="208"/>
      <c r="O625" s="208"/>
      <c r="P625" s="208"/>
      <c r="Q625" s="208"/>
      <c r="R625" s="208"/>
      <c r="S625" s="208"/>
      <c r="T625" s="208"/>
      <c r="U625" s="208"/>
      <c r="V625" s="208"/>
      <c r="W625" s="208"/>
      <c r="X625" s="208"/>
      <c r="Y625" s="208"/>
      <c r="Z625" s="208"/>
      <c r="AA625" s="208"/>
      <c r="AB625" s="208"/>
      <c r="AC625" s="208"/>
      <c r="AD625" s="208"/>
      <c r="AE625" s="208"/>
      <c r="AF625" s="208"/>
      <c r="AG625" s="208"/>
      <c r="AH625" s="208"/>
      <c r="AI625" s="208"/>
      <c r="AJ625" s="208"/>
      <c r="AK625" s="208"/>
    </row>
    <row r="626">
      <c r="A626" s="208"/>
      <c r="B626" s="208"/>
      <c r="C626" s="208"/>
      <c r="D626" s="208"/>
      <c r="E626" s="208"/>
      <c r="F626" s="208"/>
      <c r="G626" s="208"/>
      <c r="H626" s="233"/>
      <c r="I626" s="234"/>
      <c r="J626" s="208"/>
      <c r="K626" s="208"/>
      <c r="L626" s="208"/>
      <c r="M626" s="208"/>
      <c r="N626" s="208"/>
      <c r="O626" s="208"/>
      <c r="P626" s="208"/>
      <c r="Q626" s="208"/>
      <c r="R626" s="208"/>
      <c r="S626" s="208"/>
      <c r="T626" s="208"/>
      <c r="U626" s="208"/>
      <c r="V626" s="208"/>
      <c r="W626" s="208"/>
      <c r="X626" s="208"/>
      <c r="Y626" s="208"/>
      <c r="Z626" s="208"/>
      <c r="AA626" s="208"/>
      <c r="AB626" s="208"/>
      <c r="AC626" s="208"/>
      <c r="AD626" s="208"/>
      <c r="AE626" s="208"/>
      <c r="AF626" s="208"/>
      <c r="AG626" s="208"/>
      <c r="AH626" s="208"/>
      <c r="AI626" s="208"/>
      <c r="AJ626" s="208"/>
      <c r="AK626" s="208"/>
    </row>
    <row r="627">
      <c r="A627" s="208"/>
      <c r="B627" s="208"/>
      <c r="C627" s="208"/>
      <c r="D627" s="208"/>
      <c r="E627" s="208"/>
      <c r="F627" s="208"/>
      <c r="G627" s="208"/>
      <c r="H627" s="233"/>
      <c r="I627" s="234"/>
      <c r="J627" s="208"/>
      <c r="K627" s="208"/>
      <c r="L627" s="208"/>
      <c r="M627" s="208"/>
      <c r="N627" s="208"/>
      <c r="O627" s="208"/>
      <c r="P627" s="208"/>
      <c r="Q627" s="208"/>
      <c r="R627" s="208"/>
      <c r="S627" s="208"/>
      <c r="T627" s="208"/>
      <c r="U627" s="208"/>
      <c r="V627" s="208"/>
      <c r="W627" s="208"/>
      <c r="X627" s="208"/>
      <c r="Y627" s="208"/>
      <c r="Z627" s="208"/>
      <c r="AA627" s="208"/>
      <c r="AB627" s="208"/>
      <c r="AC627" s="208"/>
      <c r="AD627" s="208"/>
      <c r="AE627" s="208"/>
      <c r="AF627" s="208"/>
      <c r="AG627" s="208"/>
      <c r="AH627" s="208"/>
      <c r="AI627" s="208"/>
      <c r="AJ627" s="208"/>
      <c r="AK627" s="208"/>
    </row>
    <row r="628">
      <c r="A628" s="208"/>
      <c r="B628" s="208"/>
      <c r="C628" s="208"/>
      <c r="D628" s="208"/>
      <c r="E628" s="208"/>
      <c r="F628" s="208"/>
      <c r="G628" s="208"/>
      <c r="H628" s="233"/>
      <c r="I628" s="234"/>
      <c r="J628" s="208"/>
      <c r="K628" s="208"/>
      <c r="L628" s="208"/>
      <c r="M628" s="208"/>
      <c r="N628" s="208"/>
      <c r="O628" s="208"/>
      <c r="P628" s="208"/>
      <c r="Q628" s="208"/>
      <c r="R628" s="208"/>
      <c r="S628" s="208"/>
      <c r="T628" s="208"/>
      <c r="U628" s="208"/>
      <c r="V628" s="208"/>
      <c r="W628" s="208"/>
      <c r="X628" s="208"/>
      <c r="Y628" s="208"/>
      <c r="Z628" s="208"/>
      <c r="AA628" s="208"/>
      <c r="AB628" s="208"/>
      <c r="AC628" s="208"/>
      <c r="AD628" s="208"/>
      <c r="AE628" s="208"/>
      <c r="AF628" s="208"/>
      <c r="AG628" s="208"/>
      <c r="AH628" s="208"/>
      <c r="AI628" s="208"/>
      <c r="AJ628" s="208"/>
      <c r="AK628" s="208"/>
    </row>
    <row r="629">
      <c r="A629" s="208"/>
      <c r="B629" s="208"/>
      <c r="C629" s="208"/>
      <c r="D629" s="208"/>
      <c r="E629" s="208"/>
      <c r="F629" s="208"/>
      <c r="G629" s="208"/>
      <c r="H629" s="233"/>
      <c r="I629" s="234"/>
      <c r="J629" s="208"/>
      <c r="K629" s="208"/>
      <c r="L629" s="208"/>
      <c r="M629" s="208"/>
      <c r="N629" s="208"/>
      <c r="O629" s="208"/>
      <c r="P629" s="208"/>
      <c r="Q629" s="208"/>
      <c r="R629" s="208"/>
      <c r="S629" s="208"/>
      <c r="T629" s="208"/>
      <c r="U629" s="208"/>
      <c r="V629" s="208"/>
      <c r="W629" s="208"/>
      <c r="X629" s="208"/>
      <c r="Y629" s="208"/>
      <c r="Z629" s="208"/>
      <c r="AA629" s="208"/>
      <c r="AB629" s="208"/>
      <c r="AC629" s="208"/>
      <c r="AD629" s="208"/>
      <c r="AE629" s="208"/>
      <c r="AF629" s="208"/>
      <c r="AG629" s="208"/>
      <c r="AH629" s="208"/>
      <c r="AI629" s="208"/>
      <c r="AJ629" s="208"/>
      <c r="AK629" s="208"/>
    </row>
    <row r="630">
      <c r="A630" s="208"/>
      <c r="B630" s="208"/>
      <c r="C630" s="208"/>
      <c r="D630" s="208"/>
      <c r="E630" s="208"/>
      <c r="F630" s="208"/>
      <c r="G630" s="208"/>
      <c r="H630" s="233"/>
      <c r="I630" s="234"/>
      <c r="J630" s="208"/>
      <c r="K630" s="208"/>
      <c r="L630" s="208"/>
      <c r="M630" s="208"/>
      <c r="N630" s="208"/>
      <c r="O630" s="208"/>
      <c r="P630" s="208"/>
      <c r="Q630" s="208"/>
      <c r="R630" s="208"/>
      <c r="S630" s="208"/>
      <c r="T630" s="208"/>
      <c r="U630" s="208"/>
      <c r="V630" s="208"/>
      <c r="W630" s="208"/>
      <c r="X630" s="208"/>
      <c r="Y630" s="208"/>
      <c r="Z630" s="208"/>
      <c r="AA630" s="208"/>
      <c r="AB630" s="208"/>
      <c r="AC630" s="208"/>
      <c r="AD630" s="208"/>
      <c r="AE630" s="208"/>
      <c r="AF630" s="208"/>
      <c r="AG630" s="208"/>
      <c r="AH630" s="208"/>
      <c r="AI630" s="208"/>
      <c r="AJ630" s="208"/>
      <c r="AK630" s="208"/>
    </row>
    <row r="631">
      <c r="A631" s="208"/>
      <c r="B631" s="208"/>
      <c r="C631" s="208"/>
      <c r="D631" s="208"/>
      <c r="E631" s="208"/>
      <c r="F631" s="208"/>
      <c r="G631" s="208"/>
      <c r="H631" s="233"/>
      <c r="I631" s="234"/>
      <c r="J631" s="208"/>
      <c r="K631" s="208"/>
      <c r="L631" s="208"/>
      <c r="M631" s="208"/>
      <c r="N631" s="208"/>
      <c r="O631" s="208"/>
      <c r="P631" s="208"/>
      <c r="Q631" s="208"/>
      <c r="R631" s="208"/>
      <c r="S631" s="208"/>
      <c r="T631" s="208"/>
      <c r="U631" s="208"/>
      <c r="V631" s="208"/>
      <c r="W631" s="208"/>
      <c r="X631" s="208"/>
      <c r="Y631" s="208"/>
      <c r="Z631" s="208"/>
      <c r="AA631" s="208"/>
      <c r="AB631" s="208"/>
      <c r="AC631" s="208"/>
      <c r="AD631" s="208"/>
      <c r="AE631" s="208"/>
      <c r="AF631" s="208"/>
      <c r="AG631" s="208"/>
      <c r="AH631" s="208"/>
      <c r="AI631" s="208"/>
      <c r="AJ631" s="208"/>
      <c r="AK631" s="208"/>
    </row>
    <row r="632">
      <c r="A632" s="208"/>
      <c r="B632" s="208"/>
      <c r="C632" s="208"/>
      <c r="D632" s="208"/>
      <c r="E632" s="208"/>
      <c r="F632" s="208"/>
      <c r="G632" s="208"/>
      <c r="H632" s="233"/>
      <c r="I632" s="234"/>
      <c r="J632" s="208"/>
      <c r="K632" s="208"/>
      <c r="L632" s="208"/>
      <c r="M632" s="208"/>
      <c r="N632" s="208"/>
      <c r="O632" s="208"/>
      <c r="P632" s="208"/>
      <c r="Q632" s="208"/>
      <c r="R632" s="208"/>
      <c r="S632" s="208"/>
      <c r="T632" s="208"/>
      <c r="U632" s="208"/>
      <c r="V632" s="208"/>
      <c r="W632" s="208"/>
      <c r="X632" s="208"/>
      <c r="Y632" s="208"/>
      <c r="Z632" s="208"/>
      <c r="AA632" s="208"/>
      <c r="AB632" s="208"/>
      <c r="AC632" s="208"/>
      <c r="AD632" s="208"/>
      <c r="AE632" s="208"/>
      <c r="AF632" s="208"/>
      <c r="AG632" s="208"/>
      <c r="AH632" s="208"/>
      <c r="AI632" s="208"/>
      <c r="AJ632" s="208"/>
      <c r="AK632" s="208"/>
    </row>
    <row r="633">
      <c r="A633" s="208"/>
      <c r="B633" s="208"/>
      <c r="C633" s="208"/>
      <c r="D633" s="208"/>
      <c r="E633" s="208"/>
      <c r="F633" s="208"/>
      <c r="G633" s="208"/>
      <c r="H633" s="233"/>
      <c r="I633" s="234"/>
      <c r="J633" s="208"/>
      <c r="K633" s="208"/>
      <c r="L633" s="208"/>
      <c r="M633" s="208"/>
      <c r="N633" s="208"/>
      <c r="O633" s="208"/>
      <c r="P633" s="208"/>
      <c r="Q633" s="208"/>
      <c r="R633" s="208"/>
      <c r="S633" s="208"/>
      <c r="T633" s="208"/>
      <c r="U633" s="208"/>
      <c r="V633" s="208"/>
      <c r="W633" s="208"/>
      <c r="X633" s="208"/>
      <c r="Y633" s="208"/>
      <c r="Z633" s="208"/>
      <c r="AA633" s="208"/>
      <c r="AB633" s="208"/>
      <c r="AC633" s="208"/>
      <c r="AD633" s="208"/>
      <c r="AE633" s="208"/>
      <c r="AF633" s="208"/>
      <c r="AG633" s="208"/>
      <c r="AH633" s="208"/>
      <c r="AI633" s="208"/>
      <c r="AJ633" s="208"/>
      <c r="AK633" s="208"/>
    </row>
    <row r="634">
      <c r="A634" s="208"/>
      <c r="B634" s="208"/>
      <c r="C634" s="208"/>
      <c r="D634" s="208"/>
      <c r="E634" s="208"/>
      <c r="F634" s="208"/>
      <c r="G634" s="208"/>
      <c r="H634" s="233"/>
      <c r="I634" s="234"/>
      <c r="J634" s="208"/>
      <c r="K634" s="208"/>
      <c r="L634" s="208"/>
      <c r="M634" s="208"/>
      <c r="N634" s="208"/>
      <c r="O634" s="208"/>
      <c r="P634" s="208"/>
      <c r="Q634" s="208"/>
      <c r="R634" s="208"/>
      <c r="S634" s="208"/>
      <c r="T634" s="208"/>
      <c r="U634" s="208"/>
      <c r="V634" s="208"/>
      <c r="W634" s="208"/>
      <c r="X634" s="208"/>
      <c r="Y634" s="208"/>
      <c r="Z634" s="208"/>
      <c r="AA634" s="208"/>
      <c r="AB634" s="208"/>
      <c r="AC634" s="208"/>
      <c r="AD634" s="208"/>
      <c r="AE634" s="208"/>
      <c r="AF634" s="208"/>
      <c r="AG634" s="208"/>
      <c r="AH634" s="208"/>
      <c r="AI634" s="208"/>
      <c r="AJ634" s="208"/>
      <c r="AK634" s="208"/>
    </row>
    <row r="635">
      <c r="A635" s="208"/>
      <c r="B635" s="208"/>
      <c r="C635" s="208"/>
      <c r="D635" s="208"/>
      <c r="E635" s="208"/>
      <c r="F635" s="208"/>
      <c r="G635" s="208"/>
      <c r="H635" s="233"/>
      <c r="I635" s="234"/>
      <c r="J635" s="208"/>
      <c r="K635" s="208"/>
      <c r="L635" s="208"/>
      <c r="M635" s="208"/>
      <c r="N635" s="208"/>
      <c r="O635" s="208"/>
      <c r="P635" s="208"/>
      <c r="Q635" s="208"/>
      <c r="R635" s="208"/>
      <c r="S635" s="208"/>
      <c r="T635" s="208"/>
      <c r="U635" s="208"/>
      <c r="V635" s="208"/>
      <c r="W635" s="208"/>
      <c r="X635" s="208"/>
      <c r="Y635" s="208"/>
      <c r="Z635" s="208"/>
      <c r="AA635" s="208"/>
      <c r="AB635" s="208"/>
      <c r="AC635" s="208"/>
      <c r="AD635" s="208"/>
      <c r="AE635" s="208"/>
      <c r="AF635" s="208"/>
      <c r="AG635" s="208"/>
      <c r="AH635" s="208"/>
      <c r="AI635" s="208"/>
      <c r="AJ635" s="208"/>
      <c r="AK635" s="208"/>
    </row>
    <row r="636">
      <c r="A636" s="208"/>
      <c r="B636" s="208"/>
      <c r="C636" s="208"/>
      <c r="D636" s="208"/>
      <c r="E636" s="208"/>
      <c r="F636" s="208"/>
      <c r="G636" s="208"/>
      <c r="H636" s="233"/>
      <c r="I636" s="234"/>
      <c r="J636" s="208"/>
      <c r="K636" s="208"/>
      <c r="L636" s="208"/>
      <c r="M636" s="208"/>
      <c r="N636" s="208"/>
      <c r="O636" s="208"/>
      <c r="P636" s="208"/>
      <c r="Q636" s="208"/>
      <c r="R636" s="208"/>
      <c r="S636" s="208"/>
      <c r="T636" s="208"/>
      <c r="U636" s="208"/>
      <c r="V636" s="208"/>
      <c r="W636" s="208"/>
      <c r="X636" s="208"/>
      <c r="Y636" s="208"/>
      <c r="Z636" s="208"/>
      <c r="AA636" s="208"/>
      <c r="AB636" s="208"/>
      <c r="AC636" s="208"/>
      <c r="AD636" s="208"/>
      <c r="AE636" s="208"/>
      <c r="AF636" s="208"/>
      <c r="AG636" s="208"/>
      <c r="AH636" s="208"/>
      <c r="AI636" s="208"/>
      <c r="AJ636" s="208"/>
      <c r="AK636" s="208"/>
    </row>
    <row r="637">
      <c r="A637" s="208"/>
      <c r="B637" s="208"/>
      <c r="C637" s="208"/>
      <c r="D637" s="208"/>
      <c r="E637" s="208"/>
      <c r="F637" s="208"/>
      <c r="G637" s="208"/>
      <c r="H637" s="233"/>
      <c r="I637" s="234"/>
      <c r="J637" s="208"/>
      <c r="K637" s="208"/>
      <c r="L637" s="208"/>
      <c r="M637" s="208"/>
      <c r="N637" s="208"/>
      <c r="O637" s="208"/>
      <c r="P637" s="208"/>
      <c r="Q637" s="208"/>
      <c r="R637" s="208"/>
      <c r="S637" s="208"/>
      <c r="T637" s="208"/>
      <c r="U637" s="208"/>
      <c r="V637" s="208"/>
      <c r="W637" s="208"/>
      <c r="X637" s="208"/>
      <c r="Y637" s="208"/>
      <c r="Z637" s="208"/>
      <c r="AA637" s="208"/>
      <c r="AB637" s="208"/>
      <c r="AC637" s="208"/>
      <c r="AD637" s="208"/>
      <c r="AE637" s="208"/>
      <c r="AF637" s="208"/>
      <c r="AG637" s="208"/>
      <c r="AH637" s="208"/>
      <c r="AI637" s="208"/>
      <c r="AJ637" s="208"/>
      <c r="AK637" s="208"/>
    </row>
    <row r="638">
      <c r="A638" s="208"/>
      <c r="B638" s="208"/>
      <c r="C638" s="208"/>
      <c r="D638" s="208"/>
      <c r="E638" s="208"/>
      <c r="F638" s="208"/>
      <c r="G638" s="208"/>
      <c r="H638" s="233"/>
      <c r="I638" s="234"/>
      <c r="J638" s="208"/>
      <c r="K638" s="208"/>
      <c r="L638" s="208"/>
      <c r="M638" s="208"/>
      <c r="N638" s="208"/>
      <c r="O638" s="208"/>
      <c r="P638" s="208"/>
      <c r="Q638" s="208"/>
      <c r="R638" s="208"/>
      <c r="S638" s="208"/>
      <c r="T638" s="208"/>
      <c r="U638" s="208"/>
      <c r="V638" s="208"/>
      <c r="W638" s="208"/>
      <c r="X638" s="208"/>
      <c r="Y638" s="208"/>
      <c r="Z638" s="208"/>
      <c r="AA638" s="208"/>
      <c r="AB638" s="208"/>
      <c r="AC638" s="208"/>
      <c r="AD638" s="208"/>
      <c r="AE638" s="208"/>
      <c r="AF638" s="208"/>
      <c r="AG638" s="208"/>
      <c r="AH638" s="208"/>
      <c r="AI638" s="208"/>
      <c r="AJ638" s="208"/>
      <c r="AK638" s="208"/>
    </row>
    <row r="639">
      <c r="A639" s="208"/>
      <c r="B639" s="208"/>
      <c r="C639" s="208"/>
      <c r="D639" s="208"/>
      <c r="E639" s="208"/>
      <c r="F639" s="208"/>
      <c r="G639" s="208"/>
      <c r="H639" s="233"/>
      <c r="I639" s="234"/>
      <c r="J639" s="208"/>
      <c r="K639" s="208"/>
      <c r="L639" s="208"/>
      <c r="M639" s="208"/>
      <c r="N639" s="208"/>
      <c r="O639" s="208"/>
      <c r="P639" s="208"/>
      <c r="Q639" s="208"/>
      <c r="R639" s="208"/>
      <c r="S639" s="208"/>
      <c r="T639" s="208"/>
      <c r="U639" s="208"/>
      <c r="V639" s="208"/>
      <c r="W639" s="208"/>
      <c r="X639" s="208"/>
      <c r="Y639" s="208"/>
      <c r="Z639" s="208"/>
      <c r="AA639" s="208"/>
      <c r="AB639" s="208"/>
      <c r="AC639" s="208"/>
      <c r="AD639" s="208"/>
      <c r="AE639" s="208"/>
      <c r="AF639" s="208"/>
      <c r="AG639" s="208"/>
      <c r="AH639" s="208"/>
      <c r="AI639" s="208"/>
      <c r="AJ639" s="208"/>
      <c r="AK639" s="208"/>
    </row>
    <row r="640">
      <c r="A640" s="208"/>
      <c r="B640" s="208"/>
      <c r="C640" s="208"/>
      <c r="D640" s="208"/>
      <c r="E640" s="208"/>
      <c r="F640" s="208"/>
      <c r="G640" s="208"/>
      <c r="H640" s="233"/>
      <c r="I640" s="234"/>
      <c r="J640" s="208"/>
      <c r="K640" s="208"/>
      <c r="L640" s="208"/>
      <c r="M640" s="208"/>
      <c r="N640" s="208"/>
      <c r="O640" s="208"/>
      <c r="P640" s="208"/>
      <c r="Q640" s="208"/>
      <c r="R640" s="208"/>
      <c r="S640" s="208"/>
      <c r="T640" s="208"/>
      <c r="U640" s="208"/>
      <c r="V640" s="208"/>
      <c r="W640" s="208"/>
      <c r="X640" s="208"/>
      <c r="Y640" s="208"/>
      <c r="Z640" s="208"/>
      <c r="AA640" s="208"/>
      <c r="AB640" s="208"/>
      <c r="AC640" s="208"/>
      <c r="AD640" s="208"/>
      <c r="AE640" s="208"/>
      <c r="AF640" s="208"/>
      <c r="AG640" s="208"/>
      <c r="AH640" s="208"/>
      <c r="AI640" s="208"/>
      <c r="AJ640" s="208"/>
      <c r="AK640" s="208"/>
    </row>
    <row r="641">
      <c r="A641" s="208"/>
      <c r="B641" s="208"/>
      <c r="C641" s="208"/>
      <c r="D641" s="208"/>
      <c r="E641" s="208"/>
      <c r="F641" s="208"/>
      <c r="G641" s="208"/>
      <c r="H641" s="233"/>
      <c r="I641" s="234"/>
      <c r="J641" s="208"/>
      <c r="K641" s="208"/>
      <c r="L641" s="208"/>
      <c r="M641" s="208"/>
      <c r="N641" s="208"/>
      <c r="O641" s="208"/>
      <c r="P641" s="208"/>
      <c r="Q641" s="208"/>
      <c r="R641" s="208"/>
      <c r="S641" s="208"/>
      <c r="T641" s="208"/>
      <c r="U641" s="208"/>
      <c r="V641" s="208"/>
      <c r="W641" s="208"/>
      <c r="X641" s="208"/>
      <c r="Y641" s="208"/>
      <c r="Z641" s="208"/>
      <c r="AA641" s="208"/>
      <c r="AB641" s="208"/>
      <c r="AC641" s="208"/>
      <c r="AD641" s="208"/>
      <c r="AE641" s="208"/>
      <c r="AF641" s="208"/>
      <c r="AG641" s="208"/>
      <c r="AH641" s="208"/>
      <c r="AI641" s="208"/>
      <c r="AJ641" s="208"/>
      <c r="AK641" s="208"/>
    </row>
    <row r="642">
      <c r="A642" s="208"/>
      <c r="B642" s="208"/>
      <c r="C642" s="208"/>
      <c r="D642" s="208"/>
      <c r="E642" s="208"/>
      <c r="F642" s="208"/>
      <c r="G642" s="208"/>
      <c r="H642" s="233"/>
      <c r="I642" s="234"/>
      <c r="J642" s="208"/>
      <c r="K642" s="208"/>
      <c r="L642" s="208"/>
      <c r="M642" s="208"/>
      <c r="N642" s="208"/>
      <c r="O642" s="208"/>
      <c r="P642" s="208"/>
      <c r="Q642" s="208"/>
      <c r="R642" s="208"/>
      <c r="S642" s="208"/>
      <c r="T642" s="208"/>
      <c r="U642" s="208"/>
      <c r="V642" s="208"/>
      <c r="W642" s="208"/>
      <c r="X642" s="208"/>
      <c r="Y642" s="208"/>
      <c r="Z642" s="208"/>
      <c r="AA642" s="208"/>
      <c r="AB642" s="208"/>
      <c r="AC642" s="208"/>
      <c r="AD642" s="208"/>
      <c r="AE642" s="208"/>
      <c r="AF642" s="208"/>
      <c r="AG642" s="208"/>
      <c r="AH642" s="208"/>
      <c r="AI642" s="208"/>
      <c r="AJ642" s="208"/>
      <c r="AK642" s="208"/>
    </row>
    <row r="643">
      <c r="A643" s="208"/>
      <c r="B643" s="208"/>
      <c r="C643" s="208"/>
      <c r="D643" s="208"/>
      <c r="E643" s="208"/>
      <c r="F643" s="208"/>
      <c r="G643" s="208"/>
      <c r="H643" s="233"/>
      <c r="I643" s="234"/>
      <c r="J643" s="208"/>
      <c r="K643" s="208"/>
      <c r="L643" s="208"/>
      <c r="M643" s="208"/>
      <c r="N643" s="208"/>
      <c r="O643" s="208"/>
      <c r="P643" s="208"/>
      <c r="Q643" s="208"/>
      <c r="R643" s="208"/>
      <c r="S643" s="208"/>
      <c r="T643" s="208"/>
      <c r="U643" s="208"/>
      <c r="V643" s="208"/>
      <c r="W643" s="208"/>
      <c r="X643" s="208"/>
      <c r="Y643" s="208"/>
      <c r="Z643" s="208"/>
      <c r="AA643" s="208"/>
      <c r="AB643" s="208"/>
      <c r="AC643" s="208"/>
      <c r="AD643" s="208"/>
      <c r="AE643" s="208"/>
      <c r="AF643" s="208"/>
      <c r="AG643" s="208"/>
      <c r="AH643" s="208"/>
      <c r="AI643" s="208"/>
      <c r="AJ643" s="208"/>
      <c r="AK643" s="208"/>
    </row>
    <row r="644">
      <c r="A644" s="208"/>
      <c r="B644" s="208"/>
      <c r="C644" s="208"/>
      <c r="D644" s="208"/>
      <c r="E644" s="208"/>
      <c r="F644" s="208"/>
      <c r="G644" s="208"/>
      <c r="H644" s="233"/>
      <c r="I644" s="234"/>
      <c r="J644" s="208"/>
      <c r="K644" s="208"/>
      <c r="L644" s="208"/>
      <c r="M644" s="208"/>
      <c r="N644" s="208"/>
      <c r="O644" s="208"/>
      <c r="P644" s="208"/>
      <c r="Q644" s="208"/>
      <c r="R644" s="208"/>
      <c r="S644" s="208"/>
      <c r="T644" s="208"/>
      <c r="U644" s="208"/>
      <c r="V644" s="208"/>
      <c r="W644" s="208"/>
      <c r="X644" s="208"/>
      <c r="Y644" s="208"/>
      <c r="Z644" s="208"/>
      <c r="AA644" s="208"/>
      <c r="AB644" s="208"/>
      <c r="AC644" s="208"/>
      <c r="AD644" s="208"/>
      <c r="AE644" s="208"/>
      <c r="AF644" s="208"/>
      <c r="AG644" s="208"/>
      <c r="AH644" s="208"/>
      <c r="AI644" s="208"/>
      <c r="AJ644" s="208"/>
      <c r="AK644" s="208"/>
    </row>
    <row r="645">
      <c r="A645" s="208"/>
      <c r="B645" s="208"/>
      <c r="C645" s="208"/>
      <c r="D645" s="208"/>
      <c r="E645" s="208"/>
      <c r="F645" s="208"/>
      <c r="G645" s="208"/>
      <c r="H645" s="233"/>
      <c r="I645" s="234"/>
      <c r="J645" s="208"/>
      <c r="K645" s="208"/>
      <c r="L645" s="208"/>
      <c r="M645" s="208"/>
      <c r="N645" s="208"/>
      <c r="O645" s="208"/>
      <c r="P645" s="208"/>
      <c r="Q645" s="208"/>
      <c r="R645" s="208"/>
      <c r="S645" s="208"/>
      <c r="T645" s="208"/>
      <c r="U645" s="208"/>
      <c r="V645" s="208"/>
      <c r="W645" s="208"/>
      <c r="X645" s="208"/>
      <c r="Y645" s="208"/>
      <c r="Z645" s="208"/>
      <c r="AA645" s="208"/>
      <c r="AB645" s="208"/>
      <c r="AC645" s="208"/>
      <c r="AD645" s="208"/>
      <c r="AE645" s="208"/>
      <c r="AF645" s="208"/>
      <c r="AG645" s="208"/>
      <c r="AH645" s="208"/>
      <c r="AI645" s="208"/>
      <c r="AJ645" s="208"/>
      <c r="AK645" s="208"/>
    </row>
    <row r="646">
      <c r="A646" s="208"/>
      <c r="B646" s="208"/>
      <c r="C646" s="208"/>
      <c r="D646" s="208"/>
      <c r="E646" s="208"/>
      <c r="F646" s="208"/>
      <c r="G646" s="208"/>
      <c r="H646" s="233"/>
      <c r="I646" s="234"/>
      <c r="J646" s="208"/>
      <c r="K646" s="208"/>
      <c r="L646" s="208"/>
      <c r="M646" s="208"/>
      <c r="N646" s="208"/>
      <c r="O646" s="208"/>
      <c r="P646" s="208"/>
      <c r="Q646" s="208"/>
      <c r="R646" s="208"/>
      <c r="S646" s="208"/>
      <c r="T646" s="208"/>
      <c r="U646" s="208"/>
      <c r="V646" s="208"/>
      <c r="W646" s="208"/>
      <c r="X646" s="208"/>
      <c r="Y646" s="208"/>
      <c r="Z646" s="208"/>
      <c r="AA646" s="208"/>
      <c r="AB646" s="208"/>
      <c r="AC646" s="208"/>
      <c r="AD646" s="208"/>
      <c r="AE646" s="208"/>
      <c r="AF646" s="208"/>
      <c r="AG646" s="208"/>
      <c r="AH646" s="208"/>
      <c r="AI646" s="208"/>
      <c r="AJ646" s="208"/>
      <c r="AK646" s="208"/>
    </row>
    <row r="647">
      <c r="A647" s="208"/>
      <c r="B647" s="208"/>
      <c r="C647" s="208"/>
      <c r="D647" s="208"/>
      <c r="E647" s="208"/>
      <c r="F647" s="208"/>
      <c r="G647" s="208"/>
      <c r="H647" s="233"/>
      <c r="I647" s="234"/>
      <c r="J647" s="208"/>
      <c r="K647" s="208"/>
      <c r="L647" s="208"/>
      <c r="M647" s="208"/>
      <c r="N647" s="208"/>
      <c r="O647" s="208"/>
      <c r="P647" s="208"/>
      <c r="Q647" s="208"/>
      <c r="R647" s="208"/>
      <c r="S647" s="208"/>
      <c r="T647" s="208"/>
      <c r="U647" s="208"/>
      <c r="V647" s="208"/>
      <c r="W647" s="208"/>
      <c r="X647" s="208"/>
      <c r="Y647" s="208"/>
      <c r="Z647" s="208"/>
      <c r="AA647" s="208"/>
      <c r="AB647" s="208"/>
      <c r="AC647" s="208"/>
      <c r="AD647" s="208"/>
      <c r="AE647" s="208"/>
      <c r="AF647" s="208"/>
      <c r="AG647" s="208"/>
      <c r="AH647" s="208"/>
      <c r="AI647" s="208"/>
      <c r="AJ647" s="208"/>
      <c r="AK647" s="208"/>
    </row>
    <row r="648">
      <c r="A648" s="208"/>
      <c r="B648" s="208"/>
      <c r="C648" s="208"/>
      <c r="D648" s="208"/>
      <c r="E648" s="208"/>
      <c r="F648" s="208"/>
      <c r="G648" s="208"/>
      <c r="H648" s="233"/>
      <c r="I648" s="234"/>
      <c r="J648" s="208"/>
      <c r="K648" s="208"/>
      <c r="L648" s="208"/>
      <c r="M648" s="208"/>
      <c r="N648" s="208"/>
      <c r="O648" s="208"/>
      <c r="P648" s="208"/>
      <c r="Q648" s="208"/>
      <c r="R648" s="208"/>
      <c r="S648" s="208"/>
      <c r="T648" s="208"/>
      <c r="U648" s="208"/>
      <c r="V648" s="208"/>
      <c r="W648" s="208"/>
      <c r="X648" s="208"/>
      <c r="Y648" s="208"/>
      <c r="Z648" s="208"/>
      <c r="AA648" s="208"/>
      <c r="AB648" s="208"/>
      <c r="AC648" s="208"/>
      <c r="AD648" s="208"/>
      <c r="AE648" s="208"/>
      <c r="AF648" s="208"/>
      <c r="AG648" s="208"/>
      <c r="AH648" s="208"/>
      <c r="AI648" s="208"/>
      <c r="AJ648" s="208"/>
      <c r="AK648" s="208"/>
    </row>
    <row r="649">
      <c r="A649" s="208"/>
      <c r="B649" s="208"/>
      <c r="C649" s="208"/>
      <c r="D649" s="208"/>
      <c r="E649" s="208"/>
      <c r="F649" s="208"/>
      <c r="G649" s="208"/>
      <c r="H649" s="233"/>
      <c r="I649" s="234"/>
      <c r="J649" s="208"/>
      <c r="K649" s="208"/>
      <c r="L649" s="208"/>
      <c r="M649" s="208"/>
      <c r="N649" s="208"/>
      <c r="O649" s="208"/>
      <c r="P649" s="208"/>
      <c r="Q649" s="208"/>
      <c r="R649" s="208"/>
      <c r="S649" s="208"/>
      <c r="T649" s="208"/>
      <c r="U649" s="208"/>
      <c r="V649" s="208"/>
      <c r="W649" s="208"/>
      <c r="X649" s="208"/>
      <c r="Y649" s="208"/>
      <c r="Z649" s="208"/>
      <c r="AA649" s="208"/>
      <c r="AB649" s="208"/>
      <c r="AC649" s="208"/>
      <c r="AD649" s="208"/>
      <c r="AE649" s="208"/>
      <c r="AF649" s="208"/>
      <c r="AG649" s="208"/>
      <c r="AH649" s="208"/>
      <c r="AI649" s="208"/>
      <c r="AJ649" s="208"/>
      <c r="AK649" s="208"/>
    </row>
    <row r="650">
      <c r="A650" s="208"/>
      <c r="B650" s="208"/>
      <c r="C650" s="208"/>
      <c r="D650" s="208"/>
      <c r="E650" s="208"/>
      <c r="F650" s="208"/>
      <c r="G650" s="208"/>
      <c r="H650" s="233"/>
      <c r="I650" s="234"/>
      <c r="J650" s="208"/>
      <c r="K650" s="208"/>
      <c r="L650" s="208"/>
      <c r="M650" s="208"/>
      <c r="N650" s="208"/>
      <c r="O650" s="208"/>
      <c r="P650" s="208"/>
      <c r="Q650" s="208"/>
      <c r="R650" s="208"/>
      <c r="S650" s="208"/>
      <c r="T650" s="208"/>
      <c r="U650" s="208"/>
      <c r="V650" s="208"/>
      <c r="W650" s="208"/>
      <c r="X650" s="208"/>
      <c r="Y650" s="208"/>
      <c r="Z650" s="208"/>
      <c r="AA650" s="208"/>
      <c r="AB650" s="208"/>
      <c r="AC650" s="208"/>
      <c r="AD650" s="208"/>
      <c r="AE650" s="208"/>
      <c r="AF650" s="208"/>
      <c r="AG650" s="208"/>
      <c r="AH650" s="208"/>
      <c r="AI650" s="208"/>
      <c r="AJ650" s="208"/>
      <c r="AK650" s="208"/>
    </row>
    <row r="651">
      <c r="A651" s="208"/>
      <c r="B651" s="208"/>
      <c r="C651" s="208"/>
      <c r="D651" s="208"/>
      <c r="E651" s="208"/>
      <c r="F651" s="208"/>
      <c r="G651" s="208"/>
      <c r="H651" s="233"/>
      <c r="I651" s="234"/>
      <c r="J651" s="208"/>
      <c r="K651" s="208"/>
      <c r="L651" s="208"/>
      <c r="M651" s="208"/>
      <c r="N651" s="208"/>
      <c r="O651" s="208"/>
      <c r="P651" s="208"/>
      <c r="Q651" s="208"/>
      <c r="R651" s="208"/>
      <c r="S651" s="208"/>
      <c r="T651" s="208"/>
      <c r="U651" s="208"/>
      <c r="V651" s="208"/>
      <c r="W651" s="208"/>
      <c r="X651" s="208"/>
      <c r="Y651" s="208"/>
      <c r="Z651" s="208"/>
      <c r="AA651" s="208"/>
      <c r="AB651" s="208"/>
      <c r="AC651" s="208"/>
      <c r="AD651" s="208"/>
      <c r="AE651" s="208"/>
      <c r="AF651" s="208"/>
      <c r="AG651" s="208"/>
      <c r="AH651" s="208"/>
      <c r="AI651" s="208"/>
      <c r="AJ651" s="208"/>
      <c r="AK651" s="208"/>
    </row>
    <row r="652">
      <c r="A652" s="208"/>
      <c r="B652" s="208"/>
      <c r="C652" s="208"/>
      <c r="D652" s="208"/>
      <c r="E652" s="208"/>
      <c r="F652" s="208"/>
      <c r="G652" s="208"/>
      <c r="H652" s="233"/>
      <c r="I652" s="234"/>
      <c r="J652" s="208"/>
      <c r="K652" s="208"/>
      <c r="L652" s="208"/>
      <c r="M652" s="208"/>
      <c r="N652" s="208"/>
      <c r="O652" s="208"/>
      <c r="P652" s="208"/>
      <c r="Q652" s="208"/>
      <c r="R652" s="208"/>
      <c r="S652" s="208"/>
      <c r="T652" s="208"/>
      <c r="U652" s="208"/>
      <c r="V652" s="208"/>
      <c r="W652" s="208"/>
      <c r="X652" s="208"/>
      <c r="Y652" s="208"/>
      <c r="Z652" s="208"/>
      <c r="AA652" s="208"/>
      <c r="AB652" s="208"/>
      <c r="AC652" s="208"/>
      <c r="AD652" s="208"/>
      <c r="AE652" s="208"/>
      <c r="AF652" s="208"/>
      <c r="AG652" s="208"/>
      <c r="AH652" s="208"/>
      <c r="AI652" s="208"/>
      <c r="AJ652" s="208"/>
      <c r="AK652" s="208"/>
    </row>
    <row r="653">
      <c r="A653" s="208"/>
      <c r="B653" s="208"/>
      <c r="C653" s="208"/>
      <c r="D653" s="208"/>
      <c r="E653" s="208"/>
      <c r="F653" s="208"/>
      <c r="G653" s="208"/>
      <c r="H653" s="233"/>
      <c r="I653" s="234"/>
      <c r="J653" s="208"/>
      <c r="K653" s="208"/>
      <c r="L653" s="208"/>
      <c r="M653" s="208"/>
      <c r="N653" s="208"/>
      <c r="O653" s="208"/>
      <c r="P653" s="208"/>
      <c r="Q653" s="208"/>
      <c r="R653" s="208"/>
      <c r="S653" s="208"/>
      <c r="T653" s="208"/>
      <c r="U653" s="208"/>
      <c r="V653" s="208"/>
      <c r="W653" s="208"/>
      <c r="X653" s="208"/>
      <c r="Y653" s="208"/>
      <c r="Z653" s="208"/>
      <c r="AA653" s="208"/>
      <c r="AB653" s="208"/>
      <c r="AC653" s="208"/>
      <c r="AD653" s="208"/>
      <c r="AE653" s="208"/>
      <c r="AF653" s="208"/>
      <c r="AG653" s="208"/>
      <c r="AH653" s="208"/>
      <c r="AI653" s="208"/>
      <c r="AJ653" s="208"/>
      <c r="AK653" s="208"/>
    </row>
    <row r="654">
      <c r="A654" s="208"/>
      <c r="B654" s="208"/>
      <c r="C654" s="208"/>
      <c r="D654" s="208"/>
      <c r="E654" s="208"/>
      <c r="F654" s="208"/>
      <c r="G654" s="208"/>
      <c r="H654" s="233"/>
      <c r="I654" s="234"/>
      <c r="J654" s="208"/>
      <c r="K654" s="208"/>
      <c r="L654" s="208"/>
      <c r="M654" s="208"/>
      <c r="N654" s="208"/>
      <c r="O654" s="208"/>
      <c r="P654" s="208"/>
      <c r="Q654" s="208"/>
      <c r="R654" s="208"/>
      <c r="S654" s="208"/>
      <c r="T654" s="208"/>
      <c r="U654" s="208"/>
      <c r="V654" s="208"/>
      <c r="W654" s="208"/>
      <c r="X654" s="208"/>
      <c r="Y654" s="208"/>
      <c r="Z654" s="208"/>
      <c r="AA654" s="208"/>
      <c r="AB654" s="208"/>
      <c r="AC654" s="208"/>
      <c r="AD654" s="208"/>
      <c r="AE654" s="208"/>
      <c r="AF654" s="208"/>
      <c r="AG654" s="208"/>
      <c r="AH654" s="208"/>
      <c r="AI654" s="208"/>
      <c r="AJ654" s="208"/>
      <c r="AK654" s="208"/>
    </row>
    <row r="655">
      <c r="A655" s="208"/>
      <c r="B655" s="208"/>
      <c r="C655" s="208"/>
      <c r="D655" s="208"/>
      <c r="E655" s="208"/>
      <c r="F655" s="208"/>
      <c r="G655" s="208"/>
      <c r="H655" s="233"/>
      <c r="I655" s="234"/>
      <c r="J655" s="208"/>
      <c r="K655" s="208"/>
      <c r="L655" s="208"/>
      <c r="M655" s="208"/>
      <c r="N655" s="208"/>
      <c r="O655" s="208"/>
      <c r="P655" s="208"/>
      <c r="Q655" s="208"/>
      <c r="R655" s="208"/>
      <c r="S655" s="208"/>
      <c r="T655" s="208"/>
      <c r="U655" s="208"/>
      <c r="V655" s="208"/>
      <c r="W655" s="208"/>
      <c r="X655" s="208"/>
      <c r="Y655" s="208"/>
      <c r="Z655" s="208"/>
      <c r="AA655" s="208"/>
      <c r="AB655" s="208"/>
      <c r="AC655" s="208"/>
      <c r="AD655" s="208"/>
      <c r="AE655" s="208"/>
      <c r="AF655" s="208"/>
      <c r="AG655" s="208"/>
      <c r="AH655" s="208"/>
      <c r="AI655" s="208"/>
      <c r="AJ655" s="208"/>
      <c r="AK655" s="208"/>
    </row>
    <row r="656">
      <c r="A656" s="208"/>
      <c r="B656" s="208"/>
      <c r="C656" s="208"/>
      <c r="D656" s="208"/>
      <c r="E656" s="208"/>
      <c r="F656" s="208"/>
      <c r="G656" s="208"/>
      <c r="H656" s="233"/>
      <c r="I656" s="234"/>
      <c r="J656" s="208"/>
      <c r="K656" s="208"/>
      <c r="L656" s="208"/>
      <c r="M656" s="208"/>
      <c r="N656" s="208"/>
      <c r="O656" s="208"/>
      <c r="P656" s="208"/>
      <c r="Q656" s="208"/>
      <c r="R656" s="208"/>
      <c r="S656" s="208"/>
      <c r="T656" s="208"/>
      <c r="U656" s="208"/>
      <c r="V656" s="208"/>
      <c r="W656" s="208"/>
      <c r="X656" s="208"/>
      <c r="Y656" s="208"/>
      <c r="Z656" s="208"/>
      <c r="AA656" s="208"/>
      <c r="AB656" s="208"/>
      <c r="AC656" s="208"/>
      <c r="AD656" s="208"/>
      <c r="AE656" s="208"/>
      <c r="AF656" s="208"/>
      <c r="AG656" s="208"/>
      <c r="AH656" s="208"/>
      <c r="AI656" s="208"/>
      <c r="AJ656" s="208"/>
      <c r="AK656" s="208"/>
    </row>
    <row r="657">
      <c r="A657" s="208"/>
      <c r="B657" s="208"/>
      <c r="C657" s="208"/>
      <c r="D657" s="208"/>
      <c r="E657" s="208"/>
      <c r="F657" s="208"/>
      <c r="G657" s="208"/>
      <c r="H657" s="233"/>
      <c r="I657" s="234"/>
      <c r="J657" s="208"/>
      <c r="K657" s="208"/>
      <c r="L657" s="208"/>
      <c r="M657" s="208"/>
      <c r="N657" s="208"/>
      <c r="O657" s="208"/>
      <c r="P657" s="208"/>
      <c r="Q657" s="208"/>
      <c r="R657" s="208"/>
      <c r="S657" s="208"/>
      <c r="T657" s="208"/>
      <c r="U657" s="208"/>
      <c r="V657" s="208"/>
      <c r="W657" s="208"/>
      <c r="X657" s="208"/>
      <c r="Y657" s="208"/>
      <c r="Z657" s="208"/>
      <c r="AA657" s="208"/>
      <c r="AB657" s="208"/>
      <c r="AC657" s="208"/>
      <c r="AD657" s="208"/>
      <c r="AE657" s="208"/>
      <c r="AF657" s="208"/>
      <c r="AG657" s="208"/>
      <c r="AH657" s="208"/>
      <c r="AI657" s="208"/>
      <c r="AJ657" s="208"/>
      <c r="AK657" s="208"/>
    </row>
    <row r="658">
      <c r="A658" s="208"/>
      <c r="B658" s="208"/>
      <c r="C658" s="208"/>
      <c r="D658" s="208"/>
      <c r="E658" s="208"/>
      <c r="F658" s="208"/>
      <c r="G658" s="208"/>
      <c r="H658" s="233"/>
      <c r="I658" s="234"/>
      <c r="J658" s="208"/>
      <c r="K658" s="208"/>
      <c r="L658" s="208"/>
      <c r="M658" s="208"/>
      <c r="N658" s="208"/>
      <c r="O658" s="208"/>
      <c r="P658" s="208"/>
      <c r="Q658" s="208"/>
      <c r="R658" s="208"/>
      <c r="S658" s="208"/>
      <c r="T658" s="208"/>
      <c r="U658" s="208"/>
      <c r="V658" s="208"/>
      <c r="W658" s="208"/>
      <c r="X658" s="208"/>
      <c r="Y658" s="208"/>
      <c r="Z658" s="208"/>
      <c r="AA658" s="208"/>
      <c r="AB658" s="208"/>
      <c r="AC658" s="208"/>
      <c r="AD658" s="208"/>
      <c r="AE658" s="208"/>
      <c r="AF658" s="208"/>
      <c r="AG658" s="208"/>
      <c r="AH658" s="208"/>
      <c r="AI658" s="208"/>
      <c r="AJ658" s="208"/>
      <c r="AK658" s="208"/>
    </row>
    <row r="659">
      <c r="A659" s="208"/>
      <c r="B659" s="208"/>
      <c r="C659" s="208"/>
      <c r="D659" s="208"/>
      <c r="E659" s="208"/>
      <c r="F659" s="208"/>
      <c r="G659" s="208"/>
      <c r="H659" s="233"/>
      <c r="I659" s="234"/>
      <c r="J659" s="208"/>
      <c r="K659" s="208"/>
      <c r="L659" s="208"/>
      <c r="M659" s="208"/>
      <c r="N659" s="208"/>
      <c r="O659" s="208"/>
      <c r="P659" s="208"/>
      <c r="Q659" s="208"/>
      <c r="R659" s="208"/>
      <c r="S659" s="208"/>
      <c r="T659" s="208"/>
      <c r="U659" s="208"/>
      <c r="V659" s="208"/>
      <c r="W659" s="208"/>
      <c r="X659" s="208"/>
      <c r="Y659" s="208"/>
      <c r="Z659" s="208"/>
      <c r="AA659" s="208"/>
      <c r="AB659" s="208"/>
      <c r="AC659" s="208"/>
      <c r="AD659" s="208"/>
      <c r="AE659" s="208"/>
      <c r="AF659" s="208"/>
      <c r="AG659" s="208"/>
      <c r="AH659" s="208"/>
      <c r="AI659" s="208"/>
      <c r="AJ659" s="208"/>
      <c r="AK659" s="208"/>
    </row>
    <row r="660">
      <c r="A660" s="208"/>
      <c r="B660" s="208"/>
      <c r="C660" s="208"/>
      <c r="D660" s="208"/>
      <c r="E660" s="208"/>
      <c r="F660" s="208"/>
      <c r="G660" s="208"/>
      <c r="H660" s="233"/>
      <c r="I660" s="234"/>
      <c r="J660" s="208"/>
      <c r="K660" s="208"/>
      <c r="L660" s="208"/>
      <c r="M660" s="208"/>
      <c r="N660" s="208"/>
      <c r="O660" s="208"/>
      <c r="P660" s="208"/>
      <c r="Q660" s="208"/>
      <c r="R660" s="208"/>
      <c r="S660" s="208"/>
      <c r="T660" s="208"/>
      <c r="U660" s="208"/>
      <c r="V660" s="208"/>
      <c r="W660" s="208"/>
      <c r="X660" s="208"/>
      <c r="Y660" s="208"/>
      <c r="Z660" s="208"/>
      <c r="AA660" s="208"/>
      <c r="AB660" s="208"/>
      <c r="AC660" s="208"/>
      <c r="AD660" s="208"/>
      <c r="AE660" s="208"/>
      <c r="AF660" s="208"/>
      <c r="AG660" s="208"/>
      <c r="AH660" s="208"/>
      <c r="AI660" s="208"/>
      <c r="AJ660" s="208"/>
      <c r="AK660" s="208"/>
    </row>
    <row r="661">
      <c r="A661" s="208"/>
      <c r="B661" s="208"/>
      <c r="C661" s="208"/>
      <c r="D661" s="208"/>
      <c r="E661" s="208"/>
      <c r="F661" s="208"/>
      <c r="G661" s="208"/>
      <c r="H661" s="233"/>
      <c r="I661" s="234"/>
      <c r="J661" s="208"/>
      <c r="K661" s="208"/>
      <c r="L661" s="208"/>
      <c r="M661" s="208"/>
      <c r="N661" s="208"/>
      <c r="O661" s="208"/>
      <c r="P661" s="208"/>
      <c r="Q661" s="208"/>
      <c r="R661" s="208"/>
      <c r="S661" s="208"/>
      <c r="T661" s="208"/>
      <c r="U661" s="208"/>
      <c r="V661" s="208"/>
      <c r="W661" s="208"/>
      <c r="X661" s="208"/>
      <c r="Y661" s="208"/>
      <c r="Z661" s="208"/>
      <c r="AA661" s="208"/>
      <c r="AB661" s="208"/>
      <c r="AC661" s="208"/>
      <c r="AD661" s="208"/>
      <c r="AE661" s="208"/>
      <c r="AF661" s="208"/>
      <c r="AG661" s="208"/>
      <c r="AH661" s="208"/>
      <c r="AI661" s="208"/>
      <c r="AJ661" s="208"/>
      <c r="AK661" s="208"/>
    </row>
    <row r="662">
      <c r="A662" s="208"/>
      <c r="B662" s="208"/>
      <c r="C662" s="208"/>
      <c r="D662" s="208"/>
      <c r="E662" s="208"/>
      <c r="F662" s="208"/>
      <c r="G662" s="208"/>
      <c r="H662" s="233"/>
      <c r="I662" s="234"/>
      <c r="J662" s="208"/>
      <c r="K662" s="208"/>
      <c r="L662" s="208"/>
      <c r="M662" s="208"/>
      <c r="N662" s="208"/>
      <c r="O662" s="208"/>
      <c r="P662" s="208"/>
      <c r="Q662" s="208"/>
      <c r="R662" s="208"/>
      <c r="S662" s="208"/>
      <c r="T662" s="208"/>
      <c r="U662" s="208"/>
      <c r="V662" s="208"/>
      <c r="W662" s="208"/>
      <c r="X662" s="208"/>
      <c r="Y662" s="208"/>
      <c r="Z662" s="208"/>
      <c r="AA662" s="208"/>
      <c r="AB662" s="208"/>
      <c r="AC662" s="208"/>
      <c r="AD662" s="208"/>
      <c r="AE662" s="208"/>
      <c r="AF662" s="208"/>
      <c r="AG662" s="208"/>
      <c r="AH662" s="208"/>
      <c r="AI662" s="208"/>
      <c r="AJ662" s="208"/>
      <c r="AK662" s="208"/>
    </row>
    <row r="663">
      <c r="A663" s="208"/>
      <c r="B663" s="208"/>
      <c r="C663" s="208"/>
      <c r="D663" s="208"/>
      <c r="E663" s="208"/>
      <c r="F663" s="208"/>
      <c r="G663" s="208"/>
      <c r="H663" s="233"/>
      <c r="I663" s="234"/>
      <c r="J663" s="208"/>
      <c r="K663" s="208"/>
      <c r="L663" s="208"/>
      <c r="M663" s="208"/>
      <c r="N663" s="208"/>
      <c r="O663" s="208"/>
      <c r="P663" s="208"/>
      <c r="Q663" s="208"/>
      <c r="R663" s="208"/>
      <c r="S663" s="208"/>
      <c r="T663" s="208"/>
      <c r="U663" s="208"/>
      <c r="V663" s="208"/>
      <c r="W663" s="208"/>
      <c r="X663" s="208"/>
      <c r="Y663" s="208"/>
      <c r="Z663" s="208"/>
      <c r="AA663" s="208"/>
      <c r="AB663" s="208"/>
      <c r="AC663" s="208"/>
      <c r="AD663" s="208"/>
      <c r="AE663" s="208"/>
      <c r="AF663" s="208"/>
      <c r="AG663" s="208"/>
      <c r="AH663" s="208"/>
      <c r="AI663" s="208"/>
      <c r="AJ663" s="208"/>
      <c r="AK663" s="208"/>
    </row>
    <row r="664">
      <c r="A664" s="208"/>
      <c r="B664" s="208"/>
      <c r="C664" s="208"/>
      <c r="D664" s="208"/>
      <c r="E664" s="208"/>
      <c r="F664" s="208"/>
      <c r="G664" s="208"/>
      <c r="H664" s="233"/>
      <c r="I664" s="234"/>
      <c r="J664" s="208"/>
      <c r="K664" s="208"/>
      <c r="L664" s="208"/>
      <c r="M664" s="208"/>
      <c r="N664" s="208"/>
      <c r="O664" s="208"/>
      <c r="P664" s="208"/>
      <c r="Q664" s="208"/>
      <c r="R664" s="208"/>
      <c r="S664" s="208"/>
      <c r="T664" s="208"/>
      <c r="U664" s="208"/>
      <c r="V664" s="208"/>
      <c r="W664" s="208"/>
      <c r="X664" s="208"/>
      <c r="Y664" s="208"/>
      <c r="Z664" s="208"/>
      <c r="AA664" s="208"/>
      <c r="AB664" s="208"/>
      <c r="AC664" s="208"/>
      <c r="AD664" s="208"/>
      <c r="AE664" s="208"/>
      <c r="AF664" s="208"/>
      <c r="AG664" s="208"/>
      <c r="AH664" s="208"/>
      <c r="AI664" s="208"/>
      <c r="AJ664" s="208"/>
      <c r="AK664" s="208"/>
    </row>
    <row r="665">
      <c r="A665" s="208"/>
      <c r="B665" s="208"/>
      <c r="C665" s="208"/>
      <c r="D665" s="208"/>
      <c r="E665" s="208"/>
      <c r="F665" s="208"/>
      <c r="G665" s="208"/>
      <c r="H665" s="233"/>
      <c r="I665" s="234"/>
      <c r="J665" s="208"/>
      <c r="K665" s="208"/>
      <c r="L665" s="208"/>
      <c r="M665" s="208"/>
      <c r="N665" s="208"/>
      <c r="O665" s="208"/>
      <c r="P665" s="208"/>
      <c r="Q665" s="208"/>
      <c r="R665" s="208"/>
      <c r="S665" s="208"/>
      <c r="T665" s="208"/>
      <c r="U665" s="208"/>
      <c r="V665" s="208"/>
      <c r="W665" s="208"/>
      <c r="X665" s="208"/>
      <c r="Y665" s="208"/>
      <c r="Z665" s="208"/>
      <c r="AA665" s="208"/>
      <c r="AB665" s="208"/>
      <c r="AC665" s="208"/>
      <c r="AD665" s="208"/>
      <c r="AE665" s="208"/>
      <c r="AF665" s="208"/>
      <c r="AG665" s="208"/>
      <c r="AH665" s="208"/>
      <c r="AI665" s="208"/>
      <c r="AJ665" s="208"/>
      <c r="AK665" s="208"/>
    </row>
    <row r="666">
      <c r="A666" s="208"/>
      <c r="B666" s="208"/>
      <c r="C666" s="208"/>
      <c r="D666" s="208"/>
      <c r="E666" s="208"/>
      <c r="F666" s="208"/>
      <c r="G666" s="208"/>
      <c r="H666" s="233"/>
      <c r="I666" s="234"/>
      <c r="J666" s="208"/>
      <c r="K666" s="208"/>
      <c r="L666" s="208"/>
      <c r="M666" s="208"/>
      <c r="N666" s="208"/>
      <c r="O666" s="208"/>
      <c r="P666" s="208"/>
      <c r="Q666" s="208"/>
      <c r="R666" s="208"/>
      <c r="S666" s="208"/>
      <c r="T666" s="208"/>
      <c r="U666" s="208"/>
      <c r="V666" s="208"/>
      <c r="W666" s="208"/>
      <c r="X666" s="208"/>
      <c r="Y666" s="208"/>
      <c r="Z666" s="208"/>
      <c r="AA666" s="208"/>
      <c r="AB666" s="208"/>
      <c r="AC666" s="208"/>
      <c r="AD666" s="208"/>
      <c r="AE666" s="208"/>
      <c r="AF666" s="208"/>
      <c r="AG666" s="208"/>
      <c r="AH666" s="208"/>
      <c r="AI666" s="208"/>
      <c r="AJ666" s="208"/>
      <c r="AK666" s="208"/>
    </row>
    <row r="667">
      <c r="A667" s="208"/>
      <c r="B667" s="208"/>
      <c r="C667" s="208"/>
      <c r="D667" s="208"/>
      <c r="E667" s="208"/>
      <c r="F667" s="208"/>
      <c r="G667" s="208"/>
      <c r="H667" s="233"/>
      <c r="I667" s="234"/>
      <c r="J667" s="208"/>
      <c r="K667" s="208"/>
      <c r="L667" s="208"/>
      <c r="M667" s="208"/>
      <c r="N667" s="208"/>
      <c r="O667" s="208"/>
      <c r="P667" s="208"/>
      <c r="Q667" s="208"/>
      <c r="R667" s="208"/>
      <c r="S667" s="208"/>
      <c r="T667" s="208"/>
      <c r="U667" s="208"/>
      <c r="V667" s="208"/>
      <c r="W667" s="208"/>
      <c r="X667" s="208"/>
      <c r="Y667" s="208"/>
      <c r="Z667" s="208"/>
      <c r="AA667" s="208"/>
      <c r="AB667" s="208"/>
      <c r="AC667" s="208"/>
      <c r="AD667" s="208"/>
      <c r="AE667" s="208"/>
      <c r="AF667" s="208"/>
      <c r="AG667" s="208"/>
      <c r="AH667" s="208"/>
      <c r="AI667" s="208"/>
      <c r="AJ667" s="208"/>
      <c r="AK667" s="208"/>
    </row>
    <row r="668">
      <c r="A668" s="208"/>
      <c r="B668" s="208"/>
      <c r="C668" s="208"/>
      <c r="D668" s="208"/>
      <c r="E668" s="208"/>
      <c r="F668" s="208"/>
      <c r="G668" s="208"/>
      <c r="H668" s="233"/>
      <c r="I668" s="234"/>
      <c r="J668" s="208"/>
      <c r="K668" s="208"/>
      <c r="L668" s="208"/>
      <c r="M668" s="208"/>
      <c r="N668" s="208"/>
      <c r="O668" s="208"/>
      <c r="P668" s="208"/>
      <c r="Q668" s="208"/>
      <c r="R668" s="208"/>
      <c r="S668" s="208"/>
      <c r="T668" s="208"/>
      <c r="U668" s="208"/>
      <c r="V668" s="208"/>
      <c r="W668" s="208"/>
      <c r="X668" s="208"/>
      <c r="Y668" s="208"/>
      <c r="Z668" s="208"/>
      <c r="AA668" s="208"/>
      <c r="AB668" s="208"/>
      <c r="AC668" s="208"/>
      <c r="AD668" s="208"/>
      <c r="AE668" s="208"/>
      <c r="AF668" s="208"/>
      <c r="AG668" s="208"/>
      <c r="AH668" s="208"/>
      <c r="AI668" s="208"/>
      <c r="AJ668" s="208"/>
      <c r="AK668" s="208"/>
    </row>
    <row r="669">
      <c r="A669" s="208"/>
      <c r="B669" s="208"/>
      <c r="C669" s="208"/>
      <c r="D669" s="208"/>
      <c r="E669" s="208"/>
      <c r="F669" s="208"/>
      <c r="G669" s="208"/>
      <c r="H669" s="233"/>
      <c r="I669" s="234"/>
      <c r="J669" s="208"/>
      <c r="K669" s="208"/>
      <c r="L669" s="208"/>
      <c r="M669" s="208"/>
      <c r="N669" s="208"/>
      <c r="O669" s="208"/>
      <c r="P669" s="208"/>
      <c r="Q669" s="208"/>
      <c r="R669" s="208"/>
      <c r="S669" s="208"/>
      <c r="T669" s="208"/>
      <c r="U669" s="208"/>
      <c r="V669" s="208"/>
      <c r="W669" s="208"/>
      <c r="X669" s="208"/>
      <c r="Y669" s="208"/>
      <c r="Z669" s="208"/>
      <c r="AA669" s="208"/>
      <c r="AB669" s="208"/>
      <c r="AC669" s="208"/>
      <c r="AD669" s="208"/>
      <c r="AE669" s="208"/>
      <c r="AF669" s="208"/>
      <c r="AG669" s="208"/>
      <c r="AH669" s="208"/>
      <c r="AI669" s="208"/>
      <c r="AJ669" s="208"/>
      <c r="AK669" s="208"/>
    </row>
    <row r="670">
      <c r="A670" s="208"/>
      <c r="B670" s="208"/>
      <c r="C670" s="208"/>
      <c r="D670" s="208"/>
      <c r="E670" s="208"/>
      <c r="F670" s="208"/>
      <c r="G670" s="208"/>
      <c r="H670" s="233"/>
      <c r="I670" s="234"/>
      <c r="J670" s="208"/>
      <c r="K670" s="208"/>
      <c r="L670" s="208"/>
      <c r="M670" s="208"/>
      <c r="N670" s="208"/>
      <c r="O670" s="208"/>
      <c r="P670" s="208"/>
      <c r="Q670" s="208"/>
      <c r="R670" s="208"/>
      <c r="S670" s="208"/>
      <c r="T670" s="208"/>
      <c r="U670" s="208"/>
      <c r="V670" s="208"/>
      <c r="W670" s="208"/>
      <c r="X670" s="208"/>
      <c r="Y670" s="208"/>
      <c r="Z670" s="208"/>
      <c r="AA670" s="208"/>
      <c r="AB670" s="208"/>
      <c r="AC670" s="208"/>
      <c r="AD670" s="208"/>
      <c r="AE670" s="208"/>
      <c r="AF670" s="208"/>
      <c r="AG670" s="208"/>
      <c r="AH670" s="208"/>
      <c r="AI670" s="208"/>
      <c r="AJ670" s="208"/>
      <c r="AK670" s="208"/>
    </row>
    <row r="671">
      <c r="A671" s="208"/>
      <c r="B671" s="208"/>
      <c r="C671" s="208"/>
      <c r="D671" s="208"/>
      <c r="E671" s="208"/>
      <c r="F671" s="208"/>
      <c r="G671" s="208"/>
      <c r="H671" s="233"/>
      <c r="I671" s="234"/>
      <c r="J671" s="208"/>
      <c r="K671" s="208"/>
      <c r="L671" s="208"/>
      <c r="M671" s="208"/>
      <c r="N671" s="208"/>
      <c r="O671" s="208"/>
      <c r="P671" s="208"/>
      <c r="Q671" s="208"/>
      <c r="R671" s="208"/>
      <c r="S671" s="208"/>
      <c r="T671" s="208"/>
      <c r="U671" s="208"/>
      <c r="V671" s="208"/>
      <c r="W671" s="208"/>
      <c r="X671" s="208"/>
      <c r="Y671" s="208"/>
      <c r="Z671" s="208"/>
      <c r="AA671" s="208"/>
      <c r="AB671" s="208"/>
      <c r="AC671" s="208"/>
      <c r="AD671" s="208"/>
      <c r="AE671" s="208"/>
      <c r="AF671" s="208"/>
      <c r="AG671" s="208"/>
      <c r="AH671" s="208"/>
      <c r="AI671" s="208"/>
      <c r="AJ671" s="208"/>
      <c r="AK671" s="208"/>
    </row>
    <row r="672">
      <c r="A672" s="208"/>
      <c r="B672" s="208"/>
      <c r="C672" s="208"/>
      <c r="D672" s="208"/>
      <c r="E672" s="208"/>
      <c r="F672" s="208"/>
      <c r="G672" s="208"/>
      <c r="H672" s="233"/>
      <c r="I672" s="234"/>
      <c r="J672" s="208"/>
      <c r="K672" s="208"/>
      <c r="L672" s="208"/>
      <c r="M672" s="208"/>
      <c r="N672" s="208"/>
      <c r="O672" s="208"/>
      <c r="P672" s="208"/>
      <c r="Q672" s="208"/>
      <c r="R672" s="208"/>
      <c r="S672" s="208"/>
      <c r="T672" s="208"/>
      <c r="U672" s="208"/>
      <c r="V672" s="208"/>
      <c r="W672" s="208"/>
      <c r="X672" s="208"/>
      <c r="Y672" s="208"/>
      <c r="Z672" s="208"/>
      <c r="AA672" s="208"/>
      <c r="AB672" s="208"/>
      <c r="AC672" s="208"/>
      <c r="AD672" s="208"/>
      <c r="AE672" s="208"/>
      <c r="AF672" s="208"/>
      <c r="AG672" s="208"/>
      <c r="AH672" s="208"/>
      <c r="AI672" s="208"/>
      <c r="AJ672" s="208"/>
      <c r="AK672" s="208"/>
    </row>
    <row r="673">
      <c r="A673" s="208"/>
      <c r="B673" s="208"/>
      <c r="C673" s="208"/>
      <c r="D673" s="208"/>
      <c r="E673" s="208"/>
      <c r="F673" s="208"/>
      <c r="G673" s="208"/>
      <c r="H673" s="233"/>
      <c r="I673" s="234"/>
      <c r="J673" s="208"/>
      <c r="K673" s="208"/>
      <c r="L673" s="208"/>
      <c r="M673" s="208"/>
      <c r="N673" s="208"/>
      <c r="O673" s="208"/>
      <c r="P673" s="208"/>
      <c r="Q673" s="208"/>
      <c r="R673" s="208"/>
      <c r="S673" s="208"/>
      <c r="T673" s="208"/>
      <c r="U673" s="208"/>
      <c r="V673" s="208"/>
      <c r="W673" s="208"/>
      <c r="X673" s="208"/>
      <c r="Y673" s="208"/>
      <c r="Z673" s="208"/>
      <c r="AA673" s="208"/>
      <c r="AB673" s="208"/>
      <c r="AC673" s="208"/>
      <c r="AD673" s="208"/>
      <c r="AE673" s="208"/>
      <c r="AF673" s="208"/>
      <c r="AG673" s="208"/>
      <c r="AH673" s="208"/>
      <c r="AI673" s="208"/>
      <c r="AJ673" s="208"/>
      <c r="AK673" s="208"/>
    </row>
    <row r="674">
      <c r="A674" s="208"/>
      <c r="B674" s="208"/>
      <c r="C674" s="208"/>
      <c r="D674" s="208"/>
      <c r="E674" s="208"/>
      <c r="F674" s="208"/>
      <c r="G674" s="208"/>
      <c r="H674" s="233"/>
      <c r="I674" s="234"/>
      <c r="J674" s="208"/>
      <c r="K674" s="208"/>
      <c r="L674" s="208"/>
      <c r="M674" s="208"/>
      <c r="N674" s="208"/>
      <c r="O674" s="208"/>
      <c r="P674" s="208"/>
      <c r="Q674" s="208"/>
      <c r="R674" s="208"/>
      <c r="S674" s="208"/>
      <c r="T674" s="208"/>
      <c r="U674" s="208"/>
      <c r="V674" s="208"/>
      <c r="W674" s="208"/>
      <c r="X674" s="208"/>
      <c r="Y674" s="208"/>
      <c r="Z674" s="208"/>
      <c r="AA674" s="208"/>
      <c r="AB674" s="208"/>
      <c r="AC674" s="208"/>
      <c r="AD674" s="208"/>
      <c r="AE674" s="208"/>
      <c r="AF674" s="208"/>
      <c r="AG674" s="208"/>
      <c r="AH674" s="208"/>
      <c r="AI674" s="208"/>
      <c r="AJ674" s="208"/>
      <c r="AK674" s="208"/>
    </row>
    <row r="675">
      <c r="A675" s="208"/>
      <c r="B675" s="208"/>
      <c r="C675" s="208"/>
      <c r="D675" s="208"/>
      <c r="E675" s="208"/>
      <c r="F675" s="208"/>
      <c r="G675" s="208"/>
      <c r="H675" s="233"/>
      <c r="I675" s="234"/>
      <c r="J675" s="208"/>
      <c r="K675" s="208"/>
      <c r="L675" s="208"/>
      <c r="M675" s="208"/>
      <c r="N675" s="208"/>
      <c r="O675" s="208"/>
      <c r="P675" s="208"/>
      <c r="Q675" s="208"/>
      <c r="R675" s="208"/>
      <c r="S675" s="208"/>
      <c r="T675" s="208"/>
      <c r="U675" s="208"/>
      <c r="V675" s="208"/>
      <c r="W675" s="208"/>
      <c r="X675" s="208"/>
      <c r="Y675" s="208"/>
      <c r="Z675" s="208"/>
      <c r="AA675" s="208"/>
      <c r="AB675" s="208"/>
      <c r="AC675" s="208"/>
      <c r="AD675" s="208"/>
      <c r="AE675" s="208"/>
      <c r="AF675" s="208"/>
      <c r="AG675" s="208"/>
      <c r="AH675" s="208"/>
      <c r="AI675" s="208"/>
      <c r="AJ675" s="208"/>
      <c r="AK675" s="208"/>
    </row>
    <row r="676">
      <c r="A676" s="208"/>
      <c r="B676" s="208"/>
      <c r="C676" s="208"/>
      <c r="D676" s="208"/>
      <c r="E676" s="208"/>
      <c r="F676" s="208"/>
      <c r="G676" s="208"/>
      <c r="H676" s="233"/>
      <c r="I676" s="234"/>
      <c r="J676" s="208"/>
      <c r="K676" s="208"/>
      <c r="L676" s="208"/>
      <c r="M676" s="208"/>
      <c r="N676" s="208"/>
      <c r="O676" s="208"/>
      <c r="P676" s="208"/>
      <c r="Q676" s="208"/>
      <c r="R676" s="208"/>
      <c r="S676" s="208"/>
      <c r="T676" s="208"/>
      <c r="U676" s="208"/>
      <c r="V676" s="208"/>
      <c r="W676" s="208"/>
      <c r="X676" s="208"/>
      <c r="Y676" s="208"/>
      <c r="Z676" s="208"/>
      <c r="AA676" s="208"/>
      <c r="AB676" s="208"/>
      <c r="AC676" s="208"/>
      <c r="AD676" s="208"/>
      <c r="AE676" s="208"/>
      <c r="AF676" s="208"/>
      <c r="AG676" s="208"/>
      <c r="AH676" s="208"/>
      <c r="AI676" s="208"/>
      <c r="AJ676" s="208"/>
      <c r="AK676" s="208"/>
    </row>
    <row r="677">
      <c r="A677" s="208"/>
      <c r="B677" s="208"/>
      <c r="C677" s="208"/>
      <c r="D677" s="208"/>
      <c r="E677" s="208"/>
      <c r="F677" s="208"/>
      <c r="G677" s="208"/>
      <c r="H677" s="233"/>
      <c r="I677" s="234"/>
      <c r="J677" s="208"/>
      <c r="K677" s="208"/>
      <c r="L677" s="208"/>
      <c r="M677" s="208"/>
      <c r="N677" s="208"/>
      <c r="O677" s="208"/>
      <c r="P677" s="208"/>
      <c r="Q677" s="208"/>
      <c r="R677" s="208"/>
      <c r="S677" s="208"/>
      <c r="T677" s="208"/>
      <c r="U677" s="208"/>
      <c r="V677" s="208"/>
      <c r="W677" s="208"/>
      <c r="X677" s="208"/>
      <c r="Y677" s="208"/>
      <c r="Z677" s="208"/>
      <c r="AA677" s="208"/>
      <c r="AB677" s="208"/>
      <c r="AC677" s="208"/>
      <c r="AD677" s="208"/>
      <c r="AE677" s="208"/>
      <c r="AF677" s="208"/>
      <c r="AG677" s="208"/>
      <c r="AH677" s="208"/>
      <c r="AI677" s="208"/>
      <c r="AJ677" s="208"/>
      <c r="AK677" s="208"/>
    </row>
    <row r="678">
      <c r="A678" s="208"/>
      <c r="B678" s="208"/>
      <c r="C678" s="208"/>
      <c r="D678" s="208"/>
      <c r="E678" s="208"/>
      <c r="F678" s="208"/>
      <c r="G678" s="208"/>
      <c r="H678" s="233"/>
      <c r="I678" s="234"/>
      <c r="J678" s="208"/>
      <c r="K678" s="208"/>
      <c r="L678" s="208"/>
      <c r="M678" s="208"/>
      <c r="N678" s="208"/>
      <c r="O678" s="208"/>
      <c r="P678" s="208"/>
      <c r="Q678" s="208"/>
      <c r="R678" s="208"/>
      <c r="S678" s="208"/>
      <c r="T678" s="208"/>
      <c r="U678" s="208"/>
      <c r="V678" s="208"/>
      <c r="W678" s="208"/>
      <c r="X678" s="208"/>
      <c r="Y678" s="208"/>
      <c r="Z678" s="208"/>
      <c r="AA678" s="208"/>
      <c r="AB678" s="208"/>
      <c r="AC678" s="208"/>
      <c r="AD678" s="208"/>
      <c r="AE678" s="208"/>
      <c r="AF678" s="208"/>
      <c r="AG678" s="208"/>
      <c r="AH678" s="208"/>
      <c r="AI678" s="208"/>
      <c r="AJ678" s="208"/>
      <c r="AK678" s="208"/>
    </row>
    <row r="679">
      <c r="A679" s="208"/>
      <c r="B679" s="208"/>
      <c r="C679" s="208"/>
      <c r="D679" s="208"/>
      <c r="E679" s="208"/>
      <c r="F679" s="208"/>
      <c r="G679" s="208"/>
      <c r="H679" s="233"/>
      <c r="I679" s="234"/>
      <c r="J679" s="208"/>
      <c r="K679" s="208"/>
      <c r="L679" s="208"/>
      <c r="M679" s="208"/>
      <c r="N679" s="208"/>
      <c r="O679" s="208"/>
      <c r="P679" s="208"/>
      <c r="Q679" s="208"/>
      <c r="R679" s="208"/>
      <c r="S679" s="208"/>
      <c r="T679" s="208"/>
      <c r="U679" s="208"/>
      <c r="V679" s="208"/>
      <c r="W679" s="208"/>
      <c r="X679" s="208"/>
      <c r="Y679" s="208"/>
      <c r="Z679" s="208"/>
      <c r="AA679" s="208"/>
      <c r="AB679" s="208"/>
      <c r="AC679" s="208"/>
      <c r="AD679" s="208"/>
      <c r="AE679" s="208"/>
      <c r="AF679" s="208"/>
      <c r="AG679" s="208"/>
      <c r="AH679" s="208"/>
      <c r="AI679" s="208"/>
      <c r="AJ679" s="208"/>
      <c r="AK679" s="208"/>
    </row>
    <row r="680">
      <c r="A680" s="208"/>
      <c r="B680" s="208"/>
      <c r="C680" s="208"/>
      <c r="D680" s="208"/>
      <c r="E680" s="208"/>
      <c r="F680" s="208"/>
      <c r="G680" s="208"/>
      <c r="H680" s="233"/>
      <c r="I680" s="234"/>
      <c r="J680" s="208"/>
      <c r="K680" s="208"/>
      <c r="L680" s="208"/>
      <c r="M680" s="208"/>
      <c r="N680" s="208"/>
      <c r="O680" s="208"/>
      <c r="P680" s="208"/>
      <c r="Q680" s="208"/>
      <c r="R680" s="208"/>
      <c r="S680" s="208"/>
      <c r="T680" s="208"/>
      <c r="U680" s="208"/>
      <c r="V680" s="208"/>
      <c r="W680" s="208"/>
      <c r="X680" s="208"/>
      <c r="Y680" s="208"/>
      <c r="Z680" s="208"/>
      <c r="AA680" s="208"/>
      <c r="AB680" s="208"/>
      <c r="AC680" s="208"/>
      <c r="AD680" s="208"/>
      <c r="AE680" s="208"/>
      <c r="AF680" s="208"/>
      <c r="AG680" s="208"/>
      <c r="AH680" s="208"/>
      <c r="AI680" s="208"/>
      <c r="AJ680" s="208"/>
      <c r="AK680" s="208"/>
    </row>
    <row r="681">
      <c r="A681" s="208"/>
      <c r="B681" s="208"/>
      <c r="C681" s="208"/>
      <c r="D681" s="208"/>
      <c r="E681" s="208"/>
      <c r="F681" s="208"/>
      <c r="G681" s="208"/>
      <c r="H681" s="233"/>
      <c r="I681" s="234"/>
      <c r="J681" s="208"/>
      <c r="K681" s="208"/>
      <c r="L681" s="208"/>
      <c r="M681" s="208"/>
      <c r="N681" s="208"/>
      <c r="O681" s="208"/>
      <c r="P681" s="208"/>
      <c r="Q681" s="208"/>
      <c r="R681" s="208"/>
      <c r="S681" s="208"/>
      <c r="T681" s="208"/>
      <c r="U681" s="208"/>
      <c r="V681" s="208"/>
      <c r="W681" s="208"/>
      <c r="X681" s="208"/>
      <c r="Y681" s="208"/>
      <c r="Z681" s="208"/>
      <c r="AA681" s="208"/>
      <c r="AB681" s="208"/>
      <c r="AC681" s="208"/>
      <c r="AD681" s="208"/>
      <c r="AE681" s="208"/>
      <c r="AF681" s="208"/>
      <c r="AG681" s="208"/>
      <c r="AH681" s="208"/>
      <c r="AI681" s="208"/>
      <c r="AJ681" s="208"/>
      <c r="AK681" s="208"/>
    </row>
    <row r="682">
      <c r="A682" s="208"/>
      <c r="B682" s="208"/>
      <c r="C682" s="208"/>
      <c r="D682" s="208"/>
      <c r="E682" s="208"/>
      <c r="F682" s="208"/>
      <c r="G682" s="208"/>
      <c r="H682" s="233"/>
      <c r="I682" s="234"/>
      <c r="J682" s="208"/>
      <c r="K682" s="208"/>
      <c r="L682" s="208"/>
      <c r="M682" s="208"/>
      <c r="N682" s="208"/>
      <c r="O682" s="208"/>
      <c r="P682" s="208"/>
      <c r="Q682" s="208"/>
      <c r="R682" s="208"/>
      <c r="S682" s="208"/>
      <c r="T682" s="208"/>
      <c r="U682" s="208"/>
      <c r="V682" s="208"/>
      <c r="W682" s="208"/>
      <c r="X682" s="208"/>
      <c r="Y682" s="208"/>
      <c r="Z682" s="208"/>
      <c r="AA682" s="208"/>
      <c r="AB682" s="208"/>
      <c r="AC682" s="208"/>
      <c r="AD682" s="208"/>
      <c r="AE682" s="208"/>
      <c r="AF682" s="208"/>
      <c r="AG682" s="208"/>
      <c r="AH682" s="208"/>
      <c r="AI682" s="208"/>
      <c r="AJ682" s="208"/>
      <c r="AK682" s="208"/>
    </row>
    <row r="683">
      <c r="A683" s="208"/>
      <c r="B683" s="208"/>
      <c r="C683" s="208"/>
      <c r="D683" s="208"/>
      <c r="E683" s="208"/>
      <c r="F683" s="208"/>
      <c r="G683" s="208"/>
      <c r="H683" s="233"/>
      <c r="I683" s="234"/>
      <c r="J683" s="208"/>
      <c r="K683" s="208"/>
      <c r="L683" s="208"/>
      <c r="M683" s="208"/>
      <c r="N683" s="208"/>
      <c r="O683" s="208"/>
      <c r="P683" s="208"/>
      <c r="Q683" s="208"/>
      <c r="R683" s="208"/>
      <c r="S683" s="208"/>
      <c r="T683" s="208"/>
      <c r="U683" s="208"/>
      <c r="V683" s="208"/>
      <c r="W683" s="208"/>
      <c r="X683" s="208"/>
      <c r="Y683" s="208"/>
      <c r="Z683" s="208"/>
      <c r="AA683" s="208"/>
      <c r="AB683" s="208"/>
      <c r="AC683" s="208"/>
      <c r="AD683" s="208"/>
      <c r="AE683" s="208"/>
      <c r="AF683" s="208"/>
      <c r="AG683" s="208"/>
      <c r="AH683" s="208"/>
      <c r="AI683" s="208"/>
      <c r="AJ683" s="208"/>
      <c r="AK683" s="208"/>
    </row>
    <row r="684">
      <c r="A684" s="208"/>
      <c r="B684" s="208"/>
      <c r="C684" s="208"/>
      <c r="D684" s="208"/>
      <c r="E684" s="208"/>
      <c r="F684" s="208"/>
      <c r="G684" s="208"/>
      <c r="H684" s="233"/>
      <c r="I684" s="234"/>
      <c r="J684" s="208"/>
      <c r="K684" s="208"/>
      <c r="L684" s="208"/>
      <c r="M684" s="208"/>
      <c r="N684" s="208"/>
      <c r="O684" s="208"/>
      <c r="P684" s="208"/>
      <c r="Q684" s="208"/>
      <c r="R684" s="208"/>
      <c r="S684" s="208"/>
      <c r="T684" s="208"/>
      <c r="U684" s="208"/>
      <c r="V684" s="208"/>
      <c r="W684" s="208"/>
      <c r="X684" s="208"/>
      <c r="Y684" s="208"/>
      <c r="Z684" s="208"/>
      <c r="AA684" s="208"/>
      <c r="AB684" s="208"/>
      <c r="AC684" s="208"/>
      <c r="AD684" s="208"/>
      <c r="AE684" s="208"/>
      <c r="AF684" s="208"/>
      <c r="AG684" s="208"/>
      <c r="AH684" s="208"/>
      <c r="AI684" s="208"/>
      <c r="AJ684" s="208"/>
      <c r="AK684" s="208"/>
    </row>
    <row r="685">
      <c r="A685" s="208"/>
      <c r="B685" s="208"/>
      <c r="C685" s="208"/>
      <c r="D685" s="208"/>
      <c r="E685" s="208"/>
      <c r="F685" s="208"/>
      <c r="G685" s="208"/>
      <c r="H685" s="233"/>
      <c r="I685" s="234"/>
      <c r="J685" s="208"/>
      <c r="K685" s="208"/>
      <c r="L685" s="208"/>
      <c r="M685" s="208"/>
      <c r="N685" s="208"/>
      <c r="O685" s="208"/>
      <c r="P685" s="208"/>
      <c r="Q685" s="208"/>
      <c r="R685" s="208"/>
      <c r="S685" s="208"/>
      <c r="T685" s="208"/>
      <c r="U685" s="208"/>
      <c r="V685" s="208"/>
      <c r="W685" s="208"/>
      <c r="X685" s="208"/>
      <c r="Y685" s="208"/>
      <c r="Z685" s="208"/>
      <c r="AA685" s="208"/>
      <c r="AB685" s="208"/>
      <c r="AC685" s="208"/>
      <c r="AD685" s="208"/>
      <c r="AE685" s="208"/>
      <c r="AF685" s="208"/>
      <c r="AG685" s="208"/>
      <c r="AH685" s="208"/>
      <c r="AI685" s="208"/>
      <c r="AJ685" s="208"/>
      <c r="AK685" s="208"/>
    </row>
    <row r="686">
      <c r="A686" s="208"/>
      <c r="B686" s="208"/>
      <c r="C686" s="208"/>
      <c r="D686" s="208"/>
      <c r="E686" s="208"/>
      <c r="F686" s="208"/>
      <c r="G686" s="208"/>
      <c r="H686" s="233"/>
      <c r="I686" s="234"/>
      <c r="J686" s="208"/>
      <c r="K686" s="208"/>
      <c r="L686" s="208"/>
      <c r="M686" s="208"/>
      <c r="N686" s="208"/>
      <c r="O686" s="208"/>
      <c r="P686" s="208"/>
      <c r="Q686" s="208"/>
      <c r="R686" s="208"/>
      <c r="S686" s="208"/>
      <c r="T686" s="208"/>
      <c r="U686" s="208"/>
      <c r="V686" s="208"/>
      <c r="W686" s="208"/>
      <c r="X686" s="208"/>
      <c r="Y686" s="208"/>
      <c r="Z686" s="208"/>
      <c r="AA686" s="208"/>
      <c r="AB686" s="208"/>
      <c r="AC686" s="208"/>
      <c r="AD686" s="208"/>
      <c r="AE686" s="208"/>
      <c r="AF686" s="208"/>
      <c r="AG686" s="208"/>
      <c r="AH686" s="208"/>
      <c r="AI686" s="208"/>
      <c r="AJ686" s="208"/>
      <c r="AK686" s="208"/>
    </row>
    <row r="687">
      <c r="A687" s="208"/>
      <c r="B687" s="208"/>
      <c r="C687" s="208"/>
      <c r="D687" s="208"/>
      <c r="E687" s="208"/>
      <c r="F687" s="208"/>
      <c r="G687" s="208"/>
      <c r="H687" s="233"/>
      <c r="I687" s="234"/>
      <c r="J687" s="208"/>
      <c r="K687" s="208"/>
      <c r="L687" s="208"/>
      <c r="M687" s="208"/>
      <c r="N687" s="208"/>
      <c r="O687" s="208"/>
      <c r="P687" s="208"/>
      <c r="Q687" s="208"/>
      <c r="R687" s="208"/>
      <c r="S687" s="208"/>
      <c r="T687" s="208"/>
      <c r="U687" s="208"/>
      <c r="V687" s="208"/>
      <c r="W687" s="208"/>
      <c r="X687" s="208"/>
      <c r="Y687" s="208"/>
      <c r="Z687" s="208"/>
      <c r="AA687" s="208"/>
      <c r="AB687" s="208"/>
      <c r="AC687" s="208"/>
      <c r="AD687" s="208"/>
      <c r="AE687" s="208"/>
      <c r="AF687" s="208"/>
      <c r="AG687" s="208"/>
      <c r="AH687" s="208"/>
      <c r="AI687" s="208"/>
      <c r="AJ687" s="208"/>
      <c r="AK687" s="208"/>
    </row>
    <row r="688">
      <c r="A688" s="208"/>
      <c r="B688" s="208"/>
      <c r="C688" s="208"/>
      <c r="D688" s="208"/>
      <c r="E688" s="208"/>
      <c r="F688" s="208"/>
      <c r="G688" s="208"/>
      <c r="H688" s="233"/>
      <c r="I688" s="234"/>
      <c r="J688" s="208"/>
      <c r="K688" s="208"/>
      <c r="L688" s="208"/>
      <c r="M688" s="208"/>
      <c r="N688" s="208"/>
      <c r="O688" s="208"/>
      <c r="P688" s="208"/>
      <c r="Q688" s="208"/>
      <c r="R688" s="208"/>
      <c r="S688" s="208"/>
      <c r="T688" s="208"/>
      <c r="U688" s="208"/>
      <c r="V688" s="208"/>
      <c r="W688" s="208"/>
      <c r="X688" s="208"/>
      <c r="Y688" s="208"/>
      <c r="Z688" s="208"/>
      <c r="AA688" s="208"/>
      <c r="AB688" s="208"/>
      <c r="AC688" s="208"/>
      <c r="AD688" s="208"/>
      <c r="AE688" s="208"/>
      <c r="AF688" s="208"/>
      <c r="AG688" s="208"/>
      <c r="AH688" s="208"/>
      <c r="AI688" s="208"/>
      <c r="AJ688" s="208"/>
      <c r="AK688" s="208"/>
    </row>
    <row r="689">
      <c r="A689" s="208"/>
      <c r="B689" s="208"/>
      <c r="C689" s="208"/>
      <c r="D689" s="208"/>
      <c r="E689" s="208"/>
      <c r="F689" s="208"/>
      <c r="G689" s="208"/>
      <c r="H689" s="233"/>
      <c r="I689" s="234"/>
      <c r="J689" s="208"/>
      <c r="K689" s="208"/>
      <c r="L689" s="208"/>
      <c r="M689" s="208"/>
      <c r="N689" s="208"/>
      <c r="O689" s="208"/>
      <c r="P689" s="208"/>
      <c r="Q689" s="208"/>
      <c r="R689" s="208"/>
      <c r="S689" s="208"/>
      <c r="T689" s="208"/>
      <c r="U689" s="208"/>
      <c r="V689" s="208"/>
      <c r="W689" s="208"/>
      <c r="X689" s="208"/>
      <c r="Y689" s="208"/>
      <c r="Z689" s="208"/>
      <c r="AA689" s="208"/>
      <c r="AB689" s="208"/>
      <c r="AC689" s="208"/>
      <c r="AD689" s="208"/>
      <c r="AE689" s="208"/>
      <c r="AF689" s="208"/>
      <c r="AG689" s="208"/>
      <c r="AH689" s="208"/>
      <c r="AI689" s="208"/>
      <c r="AJ689" s="208"/>
      <c r="AK689" s="208"/>
    </row>
    <row r="690">
      <c r="A690" s="208"/>
      <c r="B690" s="208"/>
      <c r="C690" s="208"/>
      <c r="D690" s="208"/>
      <c r="E690" s="208"/>
      <c r="F690" s="208"/>
      <c r="G690" s="208"/>
      <c r="H690" s="233"/>
      <c r="I690" s="234"/>
      <c r="J690" s="208"/>
      <c r="K690" s="208"/>
      <c r="L690" s="208"/>
      <c r="M690" s="208"/>
      <c r="N690" s="208"/>
      <c r="O690" s="208"/>
      <c r="P690" s="208"/>
      <c r="Q690" s="208"/>
      <c r="R690" s="208"/>
      <c r="S690" s="208"/>
      <c r="T690" s="208"/>
      <c r="U690" s="208"/>
      <c r="V690" s="208"/>
      <c r="W690" s="208"/>
      <c r="X690" s="208"/>
      <c r="Y690" s="208"/>
      <c r="Z690" s="208"/>
      <c r="AA690" s="208"/>
      <c r="AB690" s="208"/>
      <c r="AC690" s="208"/>
      <c r="AD690" s="208"/>
      <c r="AE690" s="208"/>
      <c r="AF690" s="208"/>
      <c r="AG690" s="208"/>
      <c r="AH690" s="208"/>
      <c r="AI690" s="208"/>
      <c r="AJ690" s="208"/>
      <c r="AK690" s="208"/>
    </row>
    <row r="691">
      <c r="A691" s="208"/>
      <c r="B691" s="208"/>
      <c r="C691" s="208"/>
      <c r="D691" s="208"/>
      <c r="E691" s="208"/>
      <c r="F691" s="208"/>
      <c r="G691" s="208"/>
      <c r="H691" s="233"/>
      <c r="I691" s="234"/>
      <c r="J691" s="208"/>
      <c r="K691" s="208"/>
      <c r="L691" s="208"/>
      <c r="M691" s="208"/>
      <c r="N691" s="208"/>
      <c r="O691" s="208"/>
      <c r="P691" s="208"/>
      <c r="Q691" s="208"/>
      <c r="R691" s="208"/>
      <c r="S691" s="208"/>
      <c r="T691" s="208"/>
      <c r="U691" s="208"/>
      <c r="V691" s="208"/>
      <c r="W691" s="208"/>
      <c r="X691" s="208"/>
      <c r="Y691" s="208"/>
      <c r="Z691" s="208"/>
      <c r="AA691" s="208"/>
      <c r="AB691" s="208"/>
      <c r="AC691" s="208"/>
      <c r="AD691" s="208"/>
      <c r="AE691" s="208"/>
      <c r="AF691" s="208"/>
      <c r="AG691" s="208"/>
      <c r="AH691" s="208"/>
      <c r="AI691" s="208"/>
      <c r="AJ691" s="208"/>
      <c r="AK691" s="208"/>
    </row>
    <row r="692">
      <c r="A692" s="208"/>
      <c r="B692" s="208"/>
      <c r="C692" s="208"/>
      <c r="D692" s="208"/>
      <c r="E692" s="208"/>
      <c r="F692" s="208"/>
      <c r="G692" s="208"/>
      <c r="H692" s="233"/>
      <c r="I692" s="234"/>
      <c r="J692" s="208"/>
      <c r="K692" s="208"/>
      <c r="L692" s="208"/>
      <c r="M692" s="208"/>
      <c r="N692" s="208"/>
      <c r="O692" s="208"/>
      <c r="P692" s="208"/>
      <c r="Q692" s="208"/>
      <c r="R692" s="208"/>
      <c r="S692" s="208"/>
      <c r="T692" s="208"/>
      <c r="U692" s="208"/>
      <c r="V692" s="208"/>
      <c r="W692" s="208"/>
      <c r="X692" s="208"/>
      <c r="Y692" s="208"/>
      <c r="Z692" s="208"/>
      <c r="AA692" s="208"/>
      <c r="AB692" s="208"/>
      <c r="AC692" s="208"/>
      <c r="AD692" s="208"/>
      <c r="AE692" s="208"/>
      <c r="AF692" s="208"/>
      <c r="AG692" s="208"/>
      <c r="AH692" s="208"/>
      <c r="AI692" s="208"/>
      <c r="AJ692" s="208"/>
      <c r="AK692" s="208"/>
    </row>
    <row r="693">
      <c r="A693" s="208"/>
      <c r="B693" s="208"/>
      <c r="C693" s="208"/>
      <c r="D693" s="208"/>
      <c r="E693" s="208"/>
      <c r="F693" s="208"/>
      <c r="G693" s="208"/>
      <c r="H693" s="233"/>
      <c r="I693" s="234"/>
      <c r="J693" s="208"/>
      <c r="K693" s="208"/>
      <c r="L693" s="208"/>
      <c r="M693" s="208"/>
      <c r="N693" s="208"/>
      <c r="O693" s="208"/>
      <c r="P693" s="208"/>
      <c r="Q693" s="208"/>
      <c r="R693" s="208"/>
      <c r="S693" s="208"/>
      <c r="T693" s="208"/>
      <c r="U693" s="208"/>
      <c r="V693" s="208"/>
      <c r="W693" s="208"/>
      <c r="X693" s="208"/>
      <c r="Y693" s="208"/>
      <c r="Z693" s="208"/>
      <c r="AA693" s="208"/>
      <c r="AB693" s="208"/>
      <c r="AC693" s="208"/>
      <c r="AD693" s="208"/>
      <c r="AE693" s="208"/>
      <c r="AF693" s="208"/>
      <c r="AG693" s="208"/>
      <c r="AH693" s="208"/>
      <c r="AI693" s="208"/>
      <c r="AJ693" s="208"/>
      <c r="AK693" s="208"/>
    </row>
    <row r="694">
      <c r="A694" s="208"/>
      <c r="B694" s="208"/>
      <c r="C694" s="208"/>
      <c r="D694" s="208"/>
      <c r="E694" s="208"/>
      <c r="F694" s="208"/>
      <c r="G694" s="208"/>
      <c r="H694" s="233"/>
      <c r="I694" s="234"/>
      <c r="J694" s="208"/>
      <c r="K694" s="208"/>
      <c r="L694" s="208"/>
      <c r="M694" s="208"/>
      <c r="N694" s="208"/>
      <c r="O694" s="208"/>
      <c r="P694" s="208"/>
      <c r="Q694" s="208"/>
      <c r="R694" s="208"/>
      <c r="S694" s="208"/>
      <c r="T694" s="208"/>
      <c r="U694" s="208"/>
      <c r="V694" s="208"/>
      <c r="W694" s="208"/>
      <c r="X694" s="208"/>
      <c r="Y694" s="208"/>
      <c r="Z694" s="208"/>
      <c r="AA694" s="208"/>
      <c r="AB694" s="208"/>
      <c r="AC694" s="208"/>
      <c r="AD694" s="208"/>
      <c r="AE694" s="208"/>
      <c r="AF694" s="208"/>
      <c r="AG694" s="208"/>
      <c r="AH694" s="208"/>
      <c r="AI694" s="208"/>
      <c r="AJ694" s="208"/>
      <c r="AK694" s="208"/>
    </row>
    <row r="695">
      <c r="A695" s="208"/>
      <c r="B695" s="208"/>
      <c r="C695" s="208"/>
      <c r="D695" s="208"/>
      <c r="E695" s="208"/>
      <c r="F695" s="208"/>
      <c r="G695" s="208"/>
      <c r="H695" s="233"/>
      <c r="I695" s="234"/>
      <c r="J695" s="208"/>
      <c r="K695" s="208"/>
      <c r="L695" s="208"/>
      <c r="M695" s="208"/>
      <c r="N695" s="208"/>
      <c r="O695" s="208"/>
      <c r="P695" s="208"/>
      <c r="Q695" s="208"/>
      <c r="R695" s="208"/>
      <c r="S695" s="208"/>
      <c r="T695" s="208"/>
      <c r="U695" s="208"/>
      <c r="V695" s="208"/>
      <c r="W695" s="208"/>
      <c r="X695" s="208"/>
      <c r="Y695" s="208"/>
      <c r="Z695" s="208"/>
      <c r="AA695" s="208"/>
      <c r="AB695" s="208"/>
      <c r="AC695" s="208"/>
      <c r="AD695" s="208"/>
      <c r="AE695" s="208"/>
      <c r="AF695" s="208"/>
      <c r="AG695" s="208"/>
      <c r="AH695" s="208"/>
      <c r="AI695" s="208"/>
      <c r="AJ695" s="208"/>
      <c r="AK695" s="208"/>
    </row>
    <row r="696">
      <c r="A696" s="208"/>
      <c r="B696" s="208"/>
      <c r="C696" s="208"/>
      <c r="D696" s="208"/>
      <c r="E696" s="208"/>
      <c r="F696" s="208"/>
      <c r="G696" s="208"/>
      <c r="H696" s="233"/>
      <c r="I696" s="234"/>
      <c r="J696" s="208"/>
      <c r="K696" s="208"/>
      <c r="L696" s="208"/>
      <c r="M696" s="208"/>
      <c r="N696" s="208"/>
      <c r="O696" s="208"/>
      <c r="P696" s="208"/>
      <c r="Q696" s="208"/>
      <c r="R696" s="208"/>
      <c r="S696" s="208"/>
      <c r="T696" s="208"/>
      <c r="U696" s="208"/>
      <c r="V696" s="208"/>
      <c r="W696" s="208"/>
      <c r="X696" s="208"/>
      <c r="Y696" s="208"/>
      <c r="Z696" s="208"/>
      <c r="AA696" s="208"/>
      <c r="AB696" s="208"/>
      <c r="AC696" s="208"/>
      <c r="AD696" s="208"/>
      <c r="AE696" s="208"/>
      <c r="AF696" s="208"/>
      <c r="AG696" s="208"/>
      <c r="AH696" s="208"/>
      <c r="AI696" s="208"/>
      <c r="AJ696" s="208"/>
      <c r="AK696" s="208"/>
    </row>
    <row r="697">
      <c r="A697" s="208"/>
      <c r="B697" s="208"/>
      <c r="C697" s="208"/>
      <c r="D697" s="208"/>
      <c r="E697" s="208"/>
      <c r="F697" s="208"/>
      <c r="G697" s="208"/>
      <c r="H697" s="233"/>
      <c r="I697" s="234"/>
      <c r="J697" s="208"/>
      <c r="K697" s="208"/>
      <c r="L697" s="208"/>
      <c r="M697" s="208"/>
      <c r="N697" s="208"/>
      <c r="O697" s="208"/>
      <c r="P697" s="208"/>
      <c r="Q697" s="208"/>
      <c r="R697" s="208"/>
      <c r="S697" s="208"/>
      <c r="T697" s="208"/>
      <c r="U697" s="208"/>
      <c r="V697" s="208"/>
      <c r="W697" s="208"/>
      <c r="X697" s="208"/>
      <c r="Y697" s="208"/>
      <c r="Z697" s="208"/>
      <c r="AA697" s="208"/>
      <c r="AB697" s="208"/>
      <c r="AC697" s="208"/>
      <c r="AD697" s="208"/>
      <c r="AE697" s="208"/>
      <c r="AF697" s="208"/>
      <c r="AG697" s="208"/>
      <c r="AH697" s="208"/>
      <c r="AI697" s="208"/>
      <c r="AJ697" s="208"/>
      <c r="AK697" s="208"/>
    </row>
    <row r="698">
      <c r="A698" s="208"/>
      <c r="B698" s="208"/>
      <c r="C698" s="208"/>
      <c r="D698" s="208"/>
      <c r="E698" s="208"/>
      <c r="F698" s="208"/>
      <c r="G698" s="208"/>
      <c r="H698" s="233"/>
      <c r="I698" s="234"/>
      <c r="J698" s="208"/>
      <c r="K698" s="208"/>
      <c r="L698" s="208"/>
      <c r="M698" s="208"/>
      <c r="N698" s="208"/>
      <c r="O698" s="208"/>
      <c r="P698" s="208"/>
      <c r="Q698" s="208"/>
      <c r="R698" s="208"/>
      <c r="S698" s="208"/>
      <c r="T698" s="208"/>
      <c r="U698" s="208"/>
      <c r="V698" s="208"/>
      <c r="W698" s="208"/>
      <c r="X698" s="208"/>
      <c r="Y698" s="208"/>
      <c r="Z698" s="208"/>
      <c r="AA698" s="208"/>
      <c r="AB698" s="208"/>
      <c r="AC698" s="208"/>
      <c r="AD698" s="208"/>
      <c r="AE698" s="208"/>
      <c r="AF698" s="208"/>
      <c r="AG698" s="208"/>
      <c r="AH698" s="208"/>
      <c r="AI698" s="208"/>
      <c r="AJ698" s="208"/>
      <c r="AK698" s="208"/>
    </row>
    <row r="699">
      <c r="A699" s="208"/>
      <c r="B699" s="208"/>
      <c r="C699" s="208"/>
      <c r="D699" s="208"/>
      <c r="E699" s="208"/>
      <c r="F699" s="208"/>
      <c r="G699" s="208"/>
      <c r="H699" s="233"/>
      <c r="I699" s="234"/>
      <c r="J699" s="208"/>
      <c r="K699" s="208"/>
      <c r="L699" s="208"/>
      <c r="M699" s="208"/>
      <c r="N699" s="208"/>
      <c r="O699" s="208"/>
      <c r="P699" s="208"/>
      <c r="Q699" s="208"/>
      <c r="R699" s="208"/>
      <c r="S699" s="208"/>
      <c r="T699" s="208"/>
      <c r="U699" s="208"/>
      <c r="V699" s="208"/>
      <c r="W699" s="208"/>
      <c r="X699" s="208"/>
      <c r="Y699" s="208"/>
      <c r="Z699" s="208"/>
      <c r="AA699" s="208"/>
      <c r="AB699" s="208"/>
      <c r="AC699" s="208"/>
      <c r="AD699" s="208"/>
      <c r="AE699" s="208"/>
      <c r="AF699" s="208"/>
      <c r="AG699" s="208"/>
      <c r="AH699" s="208"/>
      <c r="AI699" s="208"/>
      <c r="AJ699" s="208"/>
      <c r="AK699" s="208"/>
    </row>
    <row r="700">
      <c r="A700" s="208"/>
      <c r="B700" s="208"/>
      <c r="C700" s="208"/>
      <c r="D700" s="208"/>
      <c r="E700" s="208"/>
      <c r="F700" s="208"/>
      <c r="G700" s="208"/>
      <c r="H700" s="233"/>
      <c r="I700" s="234"/>
      <c r="J700" s="208"/>
      <c r="K700" s="208"/>
      <c r="L700" s="208"/>
      <c r="M700" s="208"/>
      <c r="N700" s="208"/>
      <c r="O700" s="208"/>
      <c r="P700" s="208"/>
      <c r="Q700" s="208"/>
      <c r="R700" s="208"/>
      <c r="S700" s="208"/>
      <c r="T700" s="208"/>
      <c r="U700" s="208"/>
      <c r="V700" s="208"/>
      <c r="W700" s="208"/>
      <c r="X700" s="208"/>
      <c r="Y700" s="208"/>
      <c r="Z700" s="208"/>
      <c r="AA700" s="208"/>
      <c r="AB700" s="208"/>
      <c r="AC700" s="208"/>
      <c r="AD700" s="208"/>
      <c r="AE700" s="208"/>
      <c r="AF700" s="208"/>
      <c r="AG700" s="208"/>
      <c r="AH700" s="208"/>
      <c r="AI700" s="208"/>
      <c r="AJ700" s="208"/>
      <c r="AK700" s="208"/>
    </row>
    <row r="701">
      <c r="A701" s="208"/>
      <c r="B701" s="208"/>
      <c r="C701" s="208"/>
      <c r="D701" s="208"/>
      <c r="E701" s="208"/>
      <c r="F701" s="208"/>
      <c r="G701" s="208"/>
      <c r="H701" s="233"/>
      <c r="I701" s="234"/>
      <c r="J701" s="208"/>
      <c r="K701" s="208"/>
      <c r="L701" s="208"/>
      <c r="M701" s="208"/>
      <c r="N701" s="208"/>
      <c r="O701" s="208"/>
      <c r="P701" s="208"/>
      <c r="Q701" s="208"/>
      <c r="R701" s="208"/>
      <c r="S701" s="208"/>
      <c r="T701" s="208"/>
      <c r="U701" s="208"/>
      <c r="V701" s="208"/>
      <c r="W701" s="208"/>
      <c r="X701" s="208"/>
      <c r="Y701" s="208"/>
      <c r="Z701" s="208"/>
      <c r="AA701" s="208"/>
      <c r="AB701" s="208"/>
      <c r="AC701" s="208"/>
      <c r="AD701" s="208"/>
      <c r="AE701" s="208"/>
      <c r="AF701" s="208"/>
      <c r="AG701" s="208"/>
      <c r="AH701" s="208"/>
      <c r="AI701" s="208"/>
      <c r="AJ701" s="208"/>
      <c r="AK701" s="208"/>
    </row>
    <row r="702">
      <c r="A702" s="208"/>
      <c r="B702" s="208"/>
      <c r="C702" s="208"/>
      <c r="D702" s="208"/>
      <c r="E702" s="208"/>
      <c r="F702" s="208"/>
      <c r="G702" s="208"/>
      <c r="H702" s="233"/>
      <c r="I702" s="234"/>
      <c r="J702" s="208"/>
      <c r="K702" s="208"/>
      <c r="L702" s="208"/>
      <c r="M702" s="208"/>
      <c r="N702" s="208"/>
      <c r="O702" s="208"/>
      <c r="P702" s="208"/>
      <c r="Q702" s="208"/>
      <c r="R702" s="208"/>
      <c r="S702" s="208"/>
      <c r="T702" s="208"/>
      <c r="U702" s="208"/>
      <c r="V702" s="208"/>
      <c r="W702" s="208"/>
      <c r="X702" s="208"/>
      <c r="Y702" s="208"/>
      <c r="Z702" s="208"/>
      <c r="AA702" s="208"/>
      <c r="AB702" s="208"/>
      <c r="AC702" s="208"/>
      <c r="AD702" s="208"/>
      <c r="AE702" s="208"/>
      <c r="AF702" s="208"/>
      <c r="AG702" s="208"/>
      <c r="AH702" s="208"/>
      <c r="AI702" s="208"/>
      <c r="AJ702" s="208"/>
      <c r="AK702" s="208"/>
    </row>
    <row r="703">
      <c r="A703" s="208"/>
      <c r="B703" s="208"/>
      <c r="C703" s="208"/>
      <c r="D703" s="208"/>
      <c r="E703" s="208"/>
      <c r="F703" s="208"/>
      <c r="G703" s="208"/>
      <c r="H703" s="233"/>
      <c r="I703" s="234"/>
      <c r="J703" s="208"/>
      <c r="K703" s="208"/>
      <c r="L703" s="208"/>
      <c r="M703" s="208"/>
      <c r="N703" s="208"/>
      <c r="O703" s="208"/>
      <c r="P703" s="208"/>
      <c r="Q703" s="208"/>
      <c r="R703" s="208"/>
      <c r="S703" s="208"/>
      <c r="T703" s="208"/>
      <c r="U703" s="208"/>
      <c r="V703" s="208"/>
      <c r="W703" s="208"/>
      <c r="X703" s="208"/>
      <c r="Y703" s="208"/>
      <c r="Z703" s="208"/>
      <c r="AA703" s="208"/>
      <c r="AB703" s="208"/>
      <c r="AC703" s="208"/>
      <c r="AD703" s="208"/>
      <c r="AE703" s="208"/>
      <c r="AF703" s="208"/>
      <c r="AG703" s="208"/>
      <c r="AH703" s="208"/>
      <c r="AI703" s="208"/>
      <c r="AJ703" s="208"/>
      <c r="AK703" s="208"/>
    </row>
    <row r="704">
      <c r="A704" s="208"/>
      <c r="B704" s="208"/>
      <c r="C704" s="208"/>
      <c r="D704" s="208"/>
      <c r="E704" s="208"/>
      <c r="F704" s="208"/>
      <c r="G704" s="208"/>
      <c r="H704" s="233"/>
      <c r="I704" s="234"/>
      <c r="J704" s="208"/>
      <c r="K704" s="208"/>
      <c r="L704" s="208"/>
      <c r="M704" s="208"/>
      <c r="N704" s="208"/>
      <c r="O704" s="208"/>
      <c r="P704" s="208"/>
      <c r="Q704" s="208"/>
      <c r="R704" s="208"/>
      <c r="S704" s="208"/>
      <c r="T704" s="208"/>
      <c r="U704" s="208"/>
      <c r="V704" s="208"/>
      <c r="W704" s="208"/>
      <c r="X704" s="208"/>
      <c r="Y704" s="208"/>
      <c r="Z704" s="208"/>
      <c r="AA704" s="208"/>
      <c r="AB704" s="208"/>
      <c r="AC704" s="208"/>
      <c r="AD704" s="208"/>
      <c r="AE704" s="208"/>
      <c r="AF704" s="208"/>
      <c r="AG704" s="208"/>
      <c r="AH704" s="208"/>
      <c r="AI704" s="208"/>
      <c r="AJ704" s="208"/>
      <c r="AK704" s="208"/>
    </row>
    <row r="705">
      <c r="A705" s="208"/>
      <c r="B705" s="208"/>
      <c r="C705" s="208"/>
      <c r="D705" s="208"/>
      <c r="E705" s="208"/>
      <c r="F705" s="208"/>
      <c r="G705" s="208"/>
      <c r="H705" s="233"/>
      <c r="I705" s="234"/>
      <c r="J705" s="208"/>
      <c r="K705" s="208"/>
      <c r="L705" s="208"/>
      <c r="M705" s="208"/>
      <c r="N705" s="208"/>
      <c r="O705" s="208"/>
      <c r="P705" s="208"/>
      <c r="Q705" s="208"/>
      <c r="R705" s="208"/>
      <c r="S705" s="208"/>
      <c r="T705" s="208"/>
      <c r="U705" s="208"/>
      <c r="V705" s="208"/>
      <c r="W705" s="208"/>
      <c r="X705" s="208"/>
      <c r="Y705" s="208"/>
      <c r="Z705" s="208"/>
      <c r="AA705" s="208"/>
      <c r="AB705" s="208"/>
      <c r="AC705" s="208"/>
      <c r="AD705" s="208"/>
      <c r="AE705" s="208"/>
      <c r="AF705" s="208"/>
      <c r="AG705" s="208"/>
      <c r="AH705" s="208"/>
      <c r="AI705" s="208"/>
      <c r="AJ705" s="208"/>
      <c r="AK705" s="208"/>
    </row>
    <row r="706">
      <c r="A706" s="208"/>
      <c r="B706" s="208"/>
      <c r="C706" s="208"/>
      <c r="D706" s="208"/>
      <c r="E706" s="208"/>
      <c r="F706" s="208"/>
      <c r="G706" s="208"/>
      <c r="H706" s="233"/>
      <c r="I706" s="234"/>
      <c r="J706" s="208"/>
      <c r="K706" s="208"/>
      <c r="L706" s="208"/>
      <c r="M706" s="208"/>
      <c r="N706" s="208"/>
      <c r="O706" s="208"/>
      <c r="P706" s="208"/>
      <c r="Q706" s="208"/>
      <c r="R706" s="208"/>
      <c r="S706" s="208"/>
      <c r="T706" s="208"/>
      <c r="U706" s="208"/>
      <c r="V706" s="208"/>
      <c r="W706" s="208"/>
      <c r="X706" s="208"/>
      <c r="Y706" s="208"/>
      <c r="Z706" s="208"/>
      <c r="AA706" s="208"/>
      <c r="AB706" s="208"/>
      <c r="AC706" s="208"/>
      <c r="AD706" s="208"/>
      <c r="AE706" s="208"/>
      <c r="AF706" s="208"/>
      <c r="AG706" s="208"/>
      <c r="AH706" s="208"/>
      <c r="AI706" s="208"/>
      <c r="AJ706" s="208"/>
      <c r="AK706" s="208"/>
    </row>
    <row r="707">
      <c r="A707" s="208"/>
      <c r="B707" s="208"/>
      <c r="C707" s="208"/>
      <c r="D707" s="208"/>
      <c r="E707" s="208"/>
      <c r="F707" s="208"/>
      <c r="G707" s="208"/>
      <c r="H707" s="233"/>
      <c r="I707" s="234"/>
      <c r="J707" s="208"/>
      <c r="K707" s="208"/>
      <c r="L707" s="208"/>
      <c r="M707" s="208"/>
      <c r="N707" s="208"/>
      <c r="O707" s="208"/>
      <c r="P707" s="208"/>
      <c r="Q707" s="208"/>
      <c r="R707" s="208"/>
      <c r="S707" s="208"/>
      <c r="T707" s="208"/>
      <c r="U707" s="208"/>
      <c r="V707" s="208"/>
      <c r="W707" s="208"/>
      <c r="X707" s="208"/>
      <c r="Y707" s="208"/>
      <c r="Z707" s="208"/>
      <c r="AA707" s="208"/>
      <c r="AB707" s="208"/>
      <c r="AC707" s="208"/>
      <c r="AD707" s="208"/>
      <c r="AE707" s="208"/>
      <c r="AF707" s="208"/>
      <c r="AG707" s="208"/>
      <c r="AH707" s="208"/>
      <c r="AI707" s="208"/>
      <c r="AJ707" s="208"/>
      <c r="AK707" s="208"/>
    </row>
    <row r="708">
      <c r="A708" s="208"/>
      <c r="B708" s="208"/>
      <c r="C708" s="208"/>
      <c r="D708" s="208"/>
      <c r="E708" s="208"/>
      <c r="F708" s="208"/>
      <c r="G708" s="208"/>
      <c r="H708" s="233"/>
      <c r="I708" s="234"/>
      <c r="J708" s="208"/>
      <c r="K708" s="208"/>
      <c r="L708" s="208"/>
      <c r="M708" s="208"/>
      <c r="N708" s="208"/>
      <c r="O708" s="208"/>
      <c r="P708" s="208"/>
      <c r="Q708" s="208"/>
      <c r="R708" s="208"/>
      <c r="S708" s="208"/>
      <c r="T708" s="208"/>
      <c r="U708" s="208"/>
      <c r="V708" s="208"/>
      <c r="W708" s="208"/>
      <c r="X708" s="208"/>
      <c r="Y708" s="208"/>
      <c r="Z708" s="208"/>
      <c r="AA708" s="208"/>
      <c r="AB708" s="208"/>
      <c r="AC708" s="208"/>
      <c r="AD708" s="208"/>
      <c r="AE708" s="208"/>
      <c r="AF708" s="208"/>
      <c r="AG708" s="208"/>
      <c r="AH708" s="208"/>
      <c r="AI708" s="208"/>
      <c r="AJ708" s="208"/>
      <c r="AK708" s="208"/>
    </row>
    <row r="709">
      <c r="A709" s="208"/>
      <c r="B709" s="208"/>
      <c r="C709" s="208"/>
      <c r="D709" s="208"/>
      <c r="E709" s="208"/>
      <c r="F709" s="208"/>
      <c r="G709" s="208"/>
      <c r="H709" s="233"/>
      <c r="I709" s="234"/>
      <c r="J709" s="208"/>
      <c r="K709" s="208"/>
      <c r="L709" s="208"/>
      <c r="M709" s="208"/>
      <c r="N709" s="208"/>
      <c r="O709" s="208"/>
      <c r="P709" s="208"/>
      <c r="Q709" s="208"/>
      <c r="R709" s="208"/>
      <c r="S709" s="208"/>
      <c r="T709" s="208"/>
      <c r="U709" s="208"/>
      <c r="V709" s="208"/>
      <c r="W709" s="208"/>
      <c r="X709" s="208"/>
      <c r="Y709" s="208"/>
      <c r="Z709" s="208"/>
      <c r="AA709" s="208"/>
      <c r="AB709" s="208"/>
      <c r="AC709" s="208"/>
      <c r="AD709" s="208"/>
      <c r="AE709" s="208"/>
      <c r="AF709" s="208"/>
      <c r="AG709" s="208"/>
      <c r="AH709" s="208"/>
      <c r="AI709" s="208"/>
      <c r="AJ709" s="208"/>
      <c r="AK709" s="208"/>
    </row>
    <row r="710">
      <c r="A710" s="208"/>
      <c r="B710" s="208"/>
      <c r="C710" s="208"/>
      <c r="D710" s="208"/>
      <c r="E710" s="208"/>
      <c r="F710" s="208"/>
      <c r="G710" s="208"/>
      <c r="H710" s="233"/>
      <c r="I710" s="234"/>
      <c r="J710" s="208"/>
      <c r="K710" s="208"/>
      <c r="L710" s="208"/>
      <c r="M710" s="208"/>
      <c r="N710" s="208"/>
      <c r="O710" s="208"/>
      <c r="P710" s="208"/>
      <c r="Q710" s="208"/>
      <c r="R710" s="208"/>
      <c r="S710" s="208"/>
      <c r="T710" s="208"/>
      <c r="U710" s="208"/>
      <c r="V710" s="208"/>
      <c r="W710" s="208"/>
      <c r="X710" s="208"/>
      <c r="Y710" s="208"/>
      <c r="Z710" s="208"/>
      <c r="AA710" s="208"/>
      <c r="AB710" s="208"/>
      <c r="AC710" s="208"/>
      <c r="AD710" s="208"/>
      <c r="AE710" s="208"/>
      <c r="AF710" s="208"/>
      <c r="AG710" s="208"/>
      <c r="AH710" s="208"/>
      <c r="AI710" s="208"/>
      <c r="AJ710" s="208"/>
      <c r="AK710" s="208"/>
    </row>
    <row r="711">
      <c r="A711" s="208"/>
      <c r="B711" s="208"/>
      <c r="C711" s="208"/>
      <c r="D711" s="208"/>
      <c r="E711" s="208"/>
      <c r="F711" s="208"/>
      <c r="G711" s="208"/>
      <c r="H711" s="233"/>
      <c r="I711" s="234"/>
      <c r="J711" s="208"/>
      <c r="K711" s="208"/>
      <c r="L711" s="208"/>
      <c r="M711" s="208"/>
      <c r="N711" s="208"/>
      <c r="O711" s="208"/>
      <c r="P711" s="208"/>
      <c r="Q711" s="208"/>
      <c r="R711" s="208"/>
      <c r="S711" s="208"/>
      <c r="T711" s="208"/>
      <c r="U711" s="208"/>
      <c r="V711" s="208"/>
      <c r="W711" s="208"/>
      <c r="X711" s="208"/>
      <c r="Y711" s="208"/>
      <c r="Z711" s="208"/>
      <c r="AA711" s="208"/>
      <c r="AB711" s="208"/>
      <c r="AC711" s="208"/>
      <c r="AD711" s="208"/>
      <c r="AE711" s="208"/>
      <c r="AF711" s="208"/>
      <c r="AG711" s="208"/>
      <c r="AH711" s="208"/>
      <c r="AI711" s="208"/>
      <c r="AJ711" s="208"/>
      <c r="AK711" s="208"/>
    </row>
    <row r="712">
      <c r="A712" s="208"/>
      <c r="B712" s="208"/>
      <c r="C712" s="208"/>
      <c r="D712" s="208"/>
      <c r="E712" s="208"/>
      <c r="F712" s="208"/>
      <c r="G712" s="208"/>
      <c r="H712" s="233"/>
      <c r="I712" s="234"/>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c r="AI712" s="208"/>
      <c r="AJ712" s="208"/>
      <c r="AK712" s="208"/>
    </row>
    <row r="713">
      <c r="A713" s="208"/>
      <c r="B713" s="208"/>
      <c r="C713" s="208"/>
      <c r="D713" s="208"/>
      <c r="E713" s="208"/>
      <c r="F713" s="208"/>
      <c r="G713" s="208"/>
      <c r="H713" s="233"/>
      <c r="I713" s="234"/>
      <c r="J713" s="208"/>
      <c r="K713" s="208"/>
      <c r="L713" s="208"/>
      <c r="M713" s="208"/>
      <c r="N713" s="208"/>
      <c r="O713" s="208"/>
      <c r="P713" s="208"/>
      <c r="Q713" s="208"/>
      <c r="R713" s="208"/>
      <c r="S713" s="208"/>
      <c r="T713" s="208"/>
      <c r="U713" s="208"/>
      <c r="V713" s="208"/>
      <c r="W713" s="208"/>
      <c r="X713" s="208"/>
      <c r="Y713" s="208"/>
      <c r="Z713" s="208"/>
      <c r="AA713" s="208"/>
      <c r="AB713" s="208"/>
      <c r="AC713" s="208"/>
      <c r="AD713" s="208"/>
      <c r="AE713" s="208"/>
      <c r="AF713" s="208"/>
      <c r="AG713" s="208"/>
      <c r="AH713" s="208"/>
      <c r="AI713" s="208"/>
      <c r="AJ713" s="208"/>
      <c r="AK713" s="208"/>
    </row>
    <row r="714">
      <c r="A714" s="208"/>
      <c r="B714" s="208"/>
      <c r="C714" s="208"/>
      <c r="D714" s="208"/>
      <c r="E714" s="208"/>
      <c r="F714" s="208"/>
      <c r="G714" s="208"/>
      <c r="H714" s="233"/>
      <c r="I714" s="234"/>
      <c r="J714" s="208"/>
      <c r="K714" s="208"/>
      <c r="L714" s="208"/>
      <c r="M714" s="208"/>
      <c r="N714" s="208"/>
      <c r="O714" s="208"/>
      <c r="P714" s="208"/>
      <c r="Q714" s="208"/>
      <c r="R714" s="208"/>
      <c r="S714" s="208"/>
      <c r="T714" s="208"/>
      <c r="U714" s="208"/>
      <c r="V714" s="208"/>
      <c r="W714" s="208"/>
      <c r="X714" s="208"/>
      <c r="Y714" s="208"/>
      <c r="Z714" s="208"/>
      <c r="AA714" s="208"/>
      <c r="AB714" s="208"/>
      <c r="AC714" s="208"/>
      <c r="AD714" s="208"/>
      <c r="AE714" s="208"/>
      <c r="AF714" s="208"/>
      <c r="AG714" s="208"/>
      <c r="AH714" s="208"/>
      <c r="AI714" s="208"/>
      <c r="AJ714" s="208"/>
      <c r="AK714" s="208"/>
    </row>
    <row r="715">
      <c r="A715" s="208"/>
      <c r="B715" s="208"/>
      <c r="C715" s="208"/>
      <c r="D715" s="208"/>
      <c r="E715" s="208"/>
      <c r="F715" s="208"/>
      <c r="G715" s="208"/>
      <c r="H715" s="233"/>
      <c r="I715" s="234"/>
      <c r="J715" s="208"/>
      <c r="K715" s="208"/>
      <c r="L715" s="208"/>
      <c r="M715" s="208"/>
      <c r="N715" s="208"/>
      <c r="O715" s="208"/>
      <c r="P715" s="208"/>
      <c r="Q715" s="208"/>
      <c r="R715" s="208"/>
      <c r="S715" s="208"/>
      <c r="T715" s="208"/>
      <c r="U715" s="208"/>
      <c r="V715" s="208"/>
      <c r="W715" s="208"/>
      <c r="X715" s="208"/>
      <c r="Y715" s="208"/>
      <c r="Z715" s="208"/>
      <c r="AA715" s="208"/>
      <c r="AB715" s="208"/>
      <c r="AC715" s="208"/>
      <c r="AD715" s="208"/>
      <c r="AE715" s="208"/>
      <c r="AF715" s="208"/>
      <c r="AG715" s="208"/>
      <c r="AH715" s="208"/>
      <c r="AI715" s="208"/>
      <c r="AJ715" s="208"/>
      <c r="AK715" s="208"/>
    </row>
    <row r="716">
      <c r="A716" s="208"/>
      <c r="B716" s="208"/>
      <c r="C716" s="208"/>
      <c r="D716" s="208"/>
      <c r="E716" s="208"/>
      <c r="F716" s="208"/>
      <c r="G716" s="208"/>
      <c r="H716" s="233"/>
      <c r="I716" s="234"/>
      <c r="J716" s="208"/>
      <c r="K716" s="208"/>
      <c r="L716" s="208"/>
      <c r="M716" s="208"/>
      <c r="N716" s="208"/>
      <c r="O716" s="208"/>
      <c r="P716" s="208"/>
      <c r="Q716" s="208"/>
      <c r="R716" s="208"/>
      <c r="S716" s="208"/>
      <c r="T716" s="208"/>
      <c r="U716" s="208"/>
      <c r="V716" s="208"/>
      <c r="W716" s="208"/>
      <c r="X716" s="208"/>
      <c r="Y716" s="208"/>
      <c r="Z716" s="208"/>
      <c r="AA716" s="208"/>
      <c r="AB716" s="208"/>
      <c r="AC716" s="208"/>
      <c r="AD716" s="208"/>
      <c r="AE716" s="208"/>
      <c r="AF716" s="208"/>
      <c r="AG716" s="208"/>
      <c r="AH716" s="208"/>
      <c r="AI716" s="208"/>
      <c r="AJ716" s="208"/>
      <c r="AK716" s="208"/>
    </row>
    <row r="717">
      <c r="A717" s="208"/>
      <c r="B717" s="208"/>
      <c r="C717" s="208"/>
      <c r="D717" s="208"/>
      <c r="E717" s="208"/>
      <c r="F717" s="208"/>
      <c r="G717" s="208"/>
      <c r="H717" s="233"/>
      <c r="I717" s="234"/>
      <c r="J717" s="208"/>
      <c r="K717" s="208"/>
      <c r="L717" s="208"/>
      <c r="M717" s="208"/>
      <c r="N717" s="208"/>
      <c r="O717" s="208"/>
      <c r="P717" s="208"/>
      <c r="Q717" s="208"/>
      <c r="R717" s="208"/>
      <c r="S717" s="208"/>
      <c r="T717" s="208"/>
      <c r="U717" s="208"/>
      <c r="V717" s="208"/>
      <c r="W717" s="208"/>
      <c r="X717" s="208"/>
      <c r="Y717" s="208"/>
      <c r="Z717" s="208"/>
      <c r="AA717" s="208"/>
      <c r="AB717" s="208"/>
      <c r="AC717" s="208"/>
      <c r="AD717" s="208"/>
      <c r="AE717" s="208"/>
      <c r="AF717" s="208"/>
      <c r="AG717" s="208"/>
      <c r="AH717" s="208"/>
      <c r="AI717" s="208"/>
      <c r="AJ717" s="208"/>
      <c r="AK717" s="208"/>
    </row>
    <row r="718">
      <c r="A718" s="208"/>
      <c r="B718" s="208"/>
      <c r="C718" s="208"/>
      <c r="D718" s="208"/>
      <c r="E718" s="208"/>
      <c r="F718" s="208"/>
      <c r="G718" s="208"/>
      <c r="H718" s="233"/>
      <c r="I718" s="234"/>
      <c r="J718" s="208"/>
      <c r="K718" s="208"/>
      <c r="L718" s="208"/>
      <c r="M718" s="208"/>
      <c r="N718" s="208"/>
      <c r="O718" s="208"/>
      <c r="P718" s="208"/>
      <c r="Q718" s="208"/>
      <c r="R718" s="208"/>
      <c r="S718" s="208"/>
      <c r="T718" s="208"/>
      <c r="U718" s="208"/>
      <c r="V718" s="208"/>
      <c r="W718" s="208"/>
      <c r="X718" s="208"/>
      <c r="Y718" s="208"/>
      <c r="Z718" s="208"/>
      <c r="AA718" s="208"/>
      <c r="AB718" s="208"/>
      <c r="AC718" s="208"/>
      <c r="AD718" s="208"/>
      <c r="AE718" s="208"/>
      <c r="AF718" s="208"/>
      <c r="AG718" s="208"/>
      <c r="AH718" s="208"/>
      <c r="AI718" s="208"/>
      <c r="AJ718" s="208"/>
      <c r="AK718" s="208"/>
    </row>
    <row r="719">
      <c r="A719" s="208"/>
      <c r="B719" s="208"/>
      <c r="C719" s="208"/>
      <c r="D719" s="208"/>
      <c r="E719" s="208"/>
      <c r="F719" s="208"/>
      <c r="G719" s="208"/>
      <c r="H719" s="233"/>
      <c r="I719" s="234"/>
      <c r="J719" s="208"/>
      <c r="K719" s="208"/>
      <c r="L719" s="208"/>
      <c r="M719" s="208"/>
      <c r="N719" s="208"/>
      <c r="O719" s="208"/>
      <c r="P719" s="208"/>
      <c r="Q719" s="208"/>
      <c r="R719" s="208"/>
      <c r="S719" s="208"/>
      <c r="T719" s="208"/>
      <c r="U719" s="208"/>
      <c r="V719" s="208"/>
      <c r="W719" s="208"/>
      <c r="X719" s="208"/>
      <c r="Y719" s="208"/>
      <c r="Z719" s="208"/>
      <c r="AA719" s="208"/>
      <c r="AB719" s="208"/>
      <c r="AC719" s="208"/>
      <c r="AD719" s="208"/>
      <c r="AE719" s="208"/>
      <c r="AF719" s="208"/>
      <c r="AG719" s="208"/>
      <c r="AH719" s="208"/>
      <c r="AI719" s="208"/>
      <c r="AJ719" s="208"/>
      <c r="AK719" s="208"/>
    </row>
    <row r="720">
      <c r="A720" s="208"/>
      <c r="B720" s="208"/>
      <c r="C720" s="208"/>
      <c r="D720" s="208"/>
      <c r="E720" s="208"/>
      <c r="F720" s="208"/>
      <c r="G720" s="208"/>
      <c r="H720" s="233"/>
      <c r="I720" s="234"/>
      <c r="J720" s="208"/>
      <c r="K720" s="208"/>
      <c r="L720" s="208"/>
      <c r="M720" s="208"/>
      <c r="N720" s="208"/>
      <c r="O720" s="208"/>
      <c r="P720" s="208"/>
      <c r="Q720" s="208"/>
      <c r="R720" s="208"/>
      <c r="S720" s="208"/>
      <c r="T720" s="208"/>
      <c r="U720" s="208"/>
      <c r="V720" s="208"/>
      <c r="W720" s="208"/>
      <c r="X720" s="208"/>
      <c r="Y720" s="208"/>
      <c r="Z720" s="208"/>
      <c r="AA720" s="208"/>
      <c r="AB720" s="208"/>
      <c r="AC720" s="208"/>
      <c r="AD720" s="208"/>
      <c r="AE720" s="208"/>
      <c r="AF720" s="208"/>
      <c r="AG720" s="208"/>
      <c r="AH720" s="208"/>
      <c r="AI720" s="208"/>
      <c r="AJ720" s="208"/>
      <c r="AK720" s="208"/>
    </row>
    <row r="721">
      <c r="A721" s="208"/>
      <c r="B721" s="208"/>
      <c r="C721" s="208"/>
      <c r="D721" s="208"/>
      <c r="E721" s="208"/>
      <c r="F721" s="208"/>
      <c r="G721" s="208"/>
      <c r="H721" s="233"/>
      <c r="I721" s="234"/>
      <c r="J721" s="208"/>
      <c r="K721" s="208"/>
      <c r="L721" s="208"/>
      <c r="M721" s="208"/>
      <c r="N721" s="208"/>
      <c r="O721" s="208"/>
      <c r="P721" s="208"/>
      <c r="Q721" s="208"/>
      <c r="R721" s="208"/>
      <c r="S721" s="208"/>
      <c r="T721" s="208"/>
      <c r="U721" s="208"/>
      <c r="V721" s="208"/>
      <c r="W721" s="208"/>
      <c r="X721" s="208"/>
      <c r="Y721" s="208"/>
      <c r="Z721" s="208"/>
      <c r="AA721" s="208"/>
      <c r="AB721" s="208"/>
      <c r="AC721" s="208"/>
      <c r="AD721" s="208"/>
      <c r="AE721" s="208"/>
      <c r="AF721" s="208"/>
      <c r="AG721" s="208"/>
      <c r="AH721" s="208"/>
      <c r="AI721" s="208"/>
      <c r="AJ721" s="208"/>
      <c r="AK721" s="208"/>
    </row>
    <row r="722">
      <c r="A722" s="208"/>
      <c r="B722" s="208"/>
      <c r="C722" s="208"/>
      <c r="D722" s="208"/>
      <c r="E722" s="208"/>
      <c r="F722" s="208"/>
      <c r="G722" s="208"/>
      <c r="H722" s="233"/>
      <c r="I722" s="234"/>
      <c r="J722" s="208"/>
      <c r="K722" s="208"/>
      <c r="L722" s="208"/>
      <c r="M722" s="208"/>
      <c r="N722" s="208"/>
      <c r="O722" s="208"/>
      <c r="P722" s="208"/>
      <c r="Q722" s="208"/>
      <c r="R722" s="208"/>
      <c r="S722" s="208"/>
      <c r="T722" s="208"/>
      <c r="U722" s="208"/>
      <c r="V722" s="208"/>
      <c r="W722" s="208"/>
      <c r="X722" s="208"/>
      <c r="Y722" s="208"/>
      <c r="Z722" s="208"/>
      <c r="AA722" s="208"/>
      <c r="AB722" s="208"/>
      <c r="AC722" s="208"/>
      <c r="AD722" s="208"/>
      <c r="AE722" s="208"/>
      <c r="AF722" s="208"/>
      <c r="AG722" s="208"/>
      <c r="AH722" s="208"/>
      <c r="AI722" s="208"/>
      <c r="AJ722" s="208"/>
      <c r="AK722" s="208"/>
    </row>
    <row r="723">
      <c r="A723" s="208"/>
      <c r="B723" s="208"/>
      <c r="C723" s="208"/>
      <c r="D723" s="208"/>
      <c r="E723" s="208"/>
      <c r="F723" s="208"/>
      <c r="G723" s="208"/>
      <c r="H723" s="233"/>
      <c r="I723" s="234"/>
      <c r="J723" s="208"/>
      <c r="K723" s="208"/>
      <c r="L723" s="208"/>
      <c r="M723" s="208"/>
      <c r="N723" s="208"/>
      <c r="O723" s="208"/>
      <c r="P723" s="208"/>
      <c r="Q723" s="208"/>
      <c r="R723" s="208"/>
      <c r="S723" s="208"/>
      <c r="T723" s="208"/>
      <c r="U723" s="208"/>
      <c r="V723" s="208"/>
      <c r="W723" s="208"/>
      <c r="X723" s="208"/>
      <c r="Y723" s="208"/>
      <c r="Z723" s="208"/>
      <c r="AA723" s="208"/>
      <c r="AB723" s="208"/>
      <c r="AC723" s="208"/>
      <c r="AD723" s="208"/>
      <c r="AE723" s="208"/>
      <c r="AF723" s="208"/>
      <c r="AG723" s="208"/>
      <c r="AH723" s="208"/>
      <c r="AI723" s="208"/>
      <c r="AJ723" s="208"/>
      <c r="AK723" s="208"/>
    </row>
    <row r="724">
      <c r="A724" s="208"/>
      <c r="B724" s="208"/>
      <c r="C724" s="208"/>
      <c r="D724" s="208"/>
      <c r="E724" s="208"/>
      <c r="F724" s="208"/>
      <c r="G724" s="208"/>
      <c r="H724" s="233"/>
      <c r="I724" s="234"/>
      <c r="J724" s="208"/>
      <c r="K724" s="208"/>
      <c r="L724" s="208"/>
      <c r="M724" s="208"/>
      <c r="N724" s="208"/>
      <c r="O724" s="208"/>
      <c r="P724" s="208"/>
      <c r="Q724" s="208"/>
      <c r="R724" s="208"/>
      <c r="S724" s="208"/>
      <c r="T724" s="208"/>
      <c r="U724" s="208"/>
      <c r="V724" s="208"/>
      <c r="W724" s="208"/>
      <c r="X724" s="208"/>
      <c r="Y724" s="208"/>
      <c r="Z724" s="208"/>
      <c r="AA724" s="208"/>
      <c r="AB724" s="208"/>
      <c r="AC724" s="208"/>
      <c r="AD724" s="208"/>
      <c r="AE724" s="208"/>
      <c r="AF724" s="208"/>
      <c r="AG724" s="208"/>
      <c r="AH724" s="208"/>
      <c r="AI724" s="208"/>
      <c r="AJ724" s="208"/>
      <c r="AK724" s="208"/>
    </row>
    <row r="725">
      <c r="A725" s="208"/>
      <c r="B725" s="208"/>
      <c r="C725" s="208"/>
      <c r="D725" s="208"/>
      <c r="E725" s="208"/>
      <c r="F725" s="208"/>
      <c r="G725" s="208"/>
      <c r="H725" s="233"/>
      <c r="I725" s="234"/>
      <c r="J725" s="208"/>
      <c r="K725" s="208"/>
      <c r="L725" s="208"/>
      <c r="M725" s="208"/>
      <c r="N725" s="208"/>
      <c r="O725" s="208"/>
      <c r="P725" s="208"/>
      <c r="Q725" s="208"/>
      <c r="R725" s="208"/>
      <c r="S725" s="208"/>
      <c r="T725" s="208"/>
      <c r="U725" s="208"/>
      <c r="V725" s="208"/>
      <c r="W725" s="208"/>
      <c r="X725" s="208"/>
      <c r="Y725" s="208"/>
      <c r="Z725" s="208"/>
      <c r="AA725" s="208"/>
      <c r="AB725" s="208"/>
      <c r="AC725" s="208"/>
      <c r="AD725" s="208"/>
      <c r="AE725" s="208"/>
      <c r="AF725" s="208"/>
      <c r="AG725" s="208"/>
      <c r="AH725" s="208"/>
      <c r="AI725" s="208"/>
      <c r="AJ725" s="208"/>
      <c r="AK725" s="208"/>
    </row>
    <row r="726">
      <c r="A726" s="208"/>
      <c r="B726" s="208"/>
      <c r="C726" s="208"/>
      <c r="D726" s="208"/>
      <c r="E726" s="208"/>
      <c r="F726" s="208"/>
      <c r="G726" s="208"/>
      <c r="H726" s="233"/>
      <c r="I726" s="234"/>
      <c r="J726" s="208"/>
      <c r="K726" s="208"/>
      <c r="L726" s="208"/>
      <c r="M726" s="208"/>
      <c r="N726" s="208"/>
      <c r="O726" s="208"/>
      <c r="P726" s="208"/>
      <c r="Q726" s="208"/>
      <c r="R726" s="208"/>
      <c r="S726" s="208"/>
      <c r="T726" s="208"/>
      <c r="U726" s="208"/>
      <c r="V726" s="208"/>
      <c r="W726" s="208"/>
      <c r="X726" s="208"/>
      <c r="Y726" s="208"/>
      <c r="Z726" s="208"/>
      <c r="AA726" s="208"/>
      <c r="AB726" s="208"/>
      <c r="AC726" s="208"/>
      <c r="AD726" s="208"/>
      <c r="AE726" s="208"/>
      <c r="AF726" s="208"/>
      <c r="AG726" s="208"/>
      <c r="AH726" s="208"/>
      <c r="AI726" s="208"/>
      <c r="AJ726" s="208"/>
      <c r="AK726" s="208"/>
    </row>
    <row r="727">
      <c r="A727" s="208"/>
      <c r="B727" s="208"/>
      <c r="C727" s="208"/>
      <c r="D727" s="208"/>
      <c r="E727" s="208"/>
      <c r="F727" s="208"/>
      <c r="G727" s="208"/>
      <c r="H727" s="233"/>
      <c r="I727" s="234"/>
      <c r="J727" s="208"/>
      <c r="K727" s="208"/>
      <c r="L727" s="208"/>
      <c r="M727" s="208"/>
      <c r="N727" s="208"/>
      <c r="O727" s="208"/>
      <c r="P727" s="208"/>
      <c r="Q727" s="208"/>
      <c r="R727" s="208"/>
      <c r="S727" s="208"/>
      <c r="T727" s="208"/>
      <c r="U727" s="208"/>
      <c r="V727" s="208"/>
      <c r="W727" s="208"/>
      <c r="X727" s="208"/>
      <c r="Y727" s="208"/>
      <c r="Z727" s="208"/>
      <c r="AA727" s="208"/>
      <c r="AB727" s="208"/>
      <c r="AC727" s="208"/>
      <c r="AD727" s="208"/>
      <c r="AE727" s="208"/>
      <c r="AF727" s="208"/>
      <c r="AG727" s="208"/>
      <c r="AH727" s="208"/>
      <c r="AI727" s="208"/>
      <c r="AJ727" s="208"/>
      <c r="AK727" s="208"/>
    </row>
    <row r="728">
      <c r="A728" s="208"/>
      <c r="B728" s="208"/>
      <c r="C728" s="208"/>
      <c r="D728" s="208"/>
      <c r="E728" s="208"/>
      <c r="F728" s="208"/>
      <c r="G728" s="208"/>
      <c r="H728" s="233"/>
      <c r="I728" s="234"/>
      <c r="J728" s="208"/>
      <c r="K728" s="208"/>
      <c r="L728" s="208"/>
      <c r="M728" s="208"/>
      <c r="N728" s="208"/>
      <c r="O728" s="208"/>
      <c r="P728" s="208"/>
      <c r="Q728" s="208"/>
      <c r="R728" s="208"/>
      <c r="S728" s="208"/>
      <c r="T728" s="208"/>
      <c r="U728" s="208"/>
      <c r="V728" s="208"/>
      <c r="W728" s="208"/>
      <c r="X728" s="208"/>
      <c r="Y728" s="208"/>
      <c r="Z728" s="208"/>
      <c r="AA728" s="208"/>
      <c r="AB728" s="208"/>
      <c r="AC728" s="208"/>
      <c r="AD728" s="208"/>
      <c r="AE728" s="208"/>
      <c r="AF728" s="208"/>
      <c r="AG728" s="208"/>
      <c r="AH728" s="208"/>
      <c r="AI728" s="208"/>
      <c r="AJ728" s="208"/>
      <c r="AK728" s="208"/>
    </row>
    <row r="729">
      <c r="A729" s="208"/>
      <c r="B729" s="208"/>
      <c r="C729" s="208"/>
      <c r="D729" s="208"/>
      <c r="E729" s="208"/>
      <c r="F729" s="208"/>
      <c r="G729" s="208"/>
      <c r="H729" s="233"/>
      <c r="I729" s="234"/>
      <c r="J729" s="208"/>
      <c r="K729" s="208"/>
      <c r="L729" s="208"/>
      <c r="M729" s="208"/>
      <c r="N729" s="208"/>
      <c r="O729" s="208"/>
      <c r="P729" s="208"/>
      <c r="Q729" s="208"/>
      <c r="R729" s="208"/>
      <c r="S729" s="208"/>
      <c r="T729" s="208"/>
      <c r="U729" s="208"/>
      <c r="V729" s="208"/>
      <c r="W729" s="208"/>
      <c r="X729" s="208"/>
      <c r="Y729" s="208"/>
      <c r="Z729" s="208"/>
      <c r="AA729" s="208"/>
      <c r="AB729" s="208"/>
      <c r="AC729" s="208"/>
      <c r="AD729" s="208"/>
      <c r="AE729" s="208"/>
      <c r="AF729" s="208"/>
      <c r="AG729" s="208"/>
      <c r="AH729" s="208"/>
      <c r="AI729" s="208"/>
      <c r="AJ729" s="208"/>
      <c r="AK729" s="208"/>
    </row>
    <row r="730">
      <c r="A730" s="208"/>
      <c r="B730" s="208"/>
      <c r="C730" s="208"/>
      <c r="D730" s="208"/>
      <c r="E730" s="208"/>
      <c r="F730" s="208"/>
      <c r="G730" s="208"/>
      <c r="H730" s="233"/>
      <c r="I730" s="234"/>
      <c r="J730" s="208"/>
      <c r="K730" s="208"/>
      <c r="L730" s="208"/>
      <c r="M730" s="208"/>
      <c r="N730" s="208"/>
      <c r="O730" s="208"/>
      <c r="P730" s="208"/>
      <c r="Q730" s="208"/>
      <c r="R730" s="208"/>
      <c r="S730" s="208"/>
      <c r="T730" s="208"/>
      <c r="U730" s="208"/>
      <c r="V730" s="208"/>
      <c r="W730" s="208"/>
      <c r="X730" s="208"/>
      <c r="Y730" s="208"/>
      <c r="Z730" s="208"/>
      <c r="AA730" s="208"/>
      <c r="AB730" s="208"/>
      <c r="AC730" s="208"/>
      <c r="AD730" s="208"/>
      <c r="AE730" s="208"/>
      <c r="AF730" s="208"/>
      <c r="AG730" s="208"/>
      <c r="AH730" s="208"/>
      <c r="AI730" s="208"/>
      <c r="AJ730" s="208"/>
      <c r="AK730" s="208"/>
    </row>
    <row r="731">
      <c r="A731" s="208"/>
      <c r="B731" s="208"/>
      <c r="C731" s="208"/>
      <c r="D731" s="208"/>
      <c r="E731" s="208"/>
      <c r="F731" s="208"/>
      <c r="G731" s="208"/>
      <c r="H731" s="233"/>
      <c r="I731" s="234"/>
      <c r="J731" s="208"/>
      <c r="K731" s="208"/>
      <c r="L731" s="208"/>
      <c r="M731" s="208"/>
      <c r="N731" s="208"/>
      <c r="O731" s="208"/>
      <c r="P731" s="208"/>
      <c r="Q731" s="208"/>
      <c r="R731" s="208"/>
      <c r="S731" s="208"/>
      <c r="T731" s="208"/>
      <c r="U731" s="208"/>
      <c r="V731" s="208"/>
      <c r="W731" s="208"/>
      <c r="X731" s="208"/>
      <c r="Y731" s="208"/>
      <c r="Z731" s="208"/>
      <c r="AA731" s="208"/>
      <c r="AB731" s="208"/>
      <c r="AC731" s="208"/>
      <c r="AD731" s="208"/>
      <c r="AE731" s="208"/>
      <c r="AF731" s="208"/>
      <c r="AG731" s="208"/>
      <c r="AH731" s="208"/>
      <c r="AI731" s="208"/>
      <c r="AJ731" s="208"/>
      <c r="AK731" s="208"/>
    </row>
    <row r="732">
      <c r="A732" s="208"/>
      <c r="B732" s="208"/>
      <c r="C732" s="208"/>
      <c r="D732" s="208"/>
      <c r="E732" s="208"/>
      <c r="F732" s="208"/>
      <c r="G732" s="208"/>
      <c r="H732" s="233"/>
      <c r="I732" s="234"/>
      <c r="J732" s="208"/>
      <c r="K732" s="208"/>
      <c r="L732" s="208"/>
      <c r="M732" s="208"/>
      <c r="N732" s="208"/>
      <c r="O732" s="208"/>
      <c r="P732" s="208"/>
      <c r="Q732" s="208"/>
      <c r="R732" s="208"/>
      <c r="S732" s="208"/>
      <c r="T732" s="208"/>
      <c r="U732" s="208"/>
      <c r="V732" s="208"/>
      <c r="W732" s="208"/>
      <c r="X732" s="208"/>
      <c r="Y732" s="208"/>
      <c r="Z732" s="208"/>
      <c r="AA732" s="208"/>
      <c r="AB732" s="208"/>
      <c r="AC732" s="208"/>
      <c r="AD732" s="208"/>
      <c r="AE732" s="208"/>
      <c r="AF732" s="208"/>
      <c r="AG732" s="208"/>
      <c r="AH732" s="208"/>
      <c r="AI732" s="208"/>
      <c r="AJ732" s="208"/>
      <c r="AK732" s="208"/>
    </row>
    <row r="733">
      <c r="A733" s="208"/>
      <c r="B733" s="208"/>
      <c r="C733" s="208"/>
      <c r="D733" s="208"/>
      <c r="E733" s="208"/>
      <c r="F733" s="208"/>
      <c r="G733" s="208"/>
      <c r="H733" s="233"/>
      <c r="I733" s="234"/>
      <c r="J733" s="208"/>
      <c r="K733" s="208"/>
      <c r="L733" s="208"/>
      <c r="M733" s="208"/>
      <c r="N733" s="208"/>
      <c r="O733" s="208"/>
      <c r="P733" s="208"/>
      <c r="Q733" s="208"/>
      <c r="R733" s="208"/>
      <c r="S733" s="208"/>
      <c r="T733" s="208"/>
      <c r="U733" s="208"/>
      <c r="V733" s="208"/>
      <c r="W733" s="208"/>
      <c r="X733" s="208"/>
      <c r="Y733" s="208"/>
      <c r="Z733" s="208"/>
      <c r="AA733" s="208"/>
      <c r="AB733" s="208"/>
      <c r="AC733" s="208"/>
      <c r="AD733" s="208"/>
      <c r="AE733" s="208"/>
      <c r="AF733" s="208"/>
      <c r="AG733" s="208"/>
      <c r="AH733" s="208"/>
      <c r="AI733" s="208"/>
      <c r="AJ733" s="208"/>
      <c r="AK733" s="208"/>
    </row>
    <row r="734">
      <c r="A734" s="208"/>
      <c r="B734" s="208"/>
      <c r="C734" s="208"/>
      <c r="D734" s="208"/>
      <c r="E734" s="208"/>
      <c r="F734" s="208"/>
      <c r="G734" s="208"/>
      <c r="H734" s="233"/>
      <c r="I734" s="234"/>
      <c r="J734" s="208"/>
      <c r="K734" s="208"/>
      <c r="L734" s="208"/>
      <c r="M734" s="208"/>
      <c r="N734" s="208"/>
      <c r="O734" s="208"/>
      <c r="P734" s="208"/>
      <c r="Q734" s="208"/>
      <c r="R734" s="208"/>
      <c r="S734" s="208"/>
      <c r="T734" s="208"/>
      <c r="U734" s="208"/>
      <c r="V734" s="208"/>
      <c r="W734" s="208"/>
      <c r="X734" s="208"/>
      <c r="Y734" s="208"/>
      <c r="Z734" s="208"/>
      <c r="AA734" s="208"/>
      <c r="AB734" s="208"/>
      <c r="AC734" s="208"/>
      <c r="AD734" s="208"/>
      <c r="AE734" s="208"/>
      <c r="AF734" s="208"/>
      <c r="AG734" s="208"/>
      <c r="AH734" s="208"/>
      <c r="AI734" s="208"/>
      <c r="AJ734" s="208"/>
      <c r="AK734" s="208"/>
    </row>
    <row r="735">
      <c r="A735" s="208"/>
      <c r="B735" s="208"/>
      <c r="C735" s="208"/>
      <c r="D735" s="208"/>
      <c r="E735" s="208"/>
      <c r="F735" s="208"/>
      <c r="G735" s="208"/>
      <c r="H735" s="233"/>
      <c r="I735" s="234"/>
      <c r="J735" s="208"/>
      <c r="K735" s="208"/>
      <c r="L735" s="208"/>
      <c r="M735" s="208"/>
      <c r="N735" s="208"/>
      <c r="O735" s="208"/>
      <c r="P735" s="208"/>
      <c r="Q735" s="208"/>
      <c r="R735" s="208"/>
      <c r="S735" s="208"/>
      <c r="T735" s="208"/>
      <c r="U735" s="208"/>
      <c r="V735" s="208"/>
      <c r="W735" s="208"/>
      <c r="X735" s="208"/>
      <c r="Y735" s="208"/>
      <c r="Z735" s="208"/>
      <c r="AA735" s="208"/>
      <c r="AB735" s="208"/>
      <c r="AC735" s="208"/>
      <c r="AD735" s="208"/>
      <c r="AE735" s="208"/>
      <c r="AF735" s="208"/>
      <c r="AG735" s="208"/>
      <c r="AH735" s="208"/>
      <c r="AI735" s="208"/>
      <c r="AJ735" s="208"/>
      <c r="AK735" s="208"/>
    </row>
    <row r="736">
      <c r="A736" s="208"/>
      <c r="B736" s="208"/>
      <c r="C736" s="208"/>
      <c r="D736" s="208"/>
      <c r="E736" s="208"/>
      <c r="F736" s="208"/>
      <c r="G736" s="208"/>
      <c r="H736" s="233"/>
      <c r="I736" s="234"/>
      <c r="J736" s="208"/>
      <c r="K736" s="208"/>
      <c r="L736" s="208"/>
      <c r="M736" s="208"/>
      <c r="N736" s="208"/>
      <c r="O736" s="208"/>
      <c r="P736" s="208"/>
      <c r="Q736" s="208"/>
      <c r="R736" s="208"/>
      <c r="S736" s="208"/>
      <c r="T736" s="208"/>
      <c r="U736" s="208"/>
      <c r="V736" s="208"/>
      <c r="W736" s="208"/>
      <c r="X736" s="208"/>
      <c r="Y736" s="208"/>
      <c r="Z736" s="208"/>
      <c r="AA736" s="208"/>
      <c r="AB736" s="208"/>
      <c r="AC736" s="208"/>
      <c r="AD736" s="208"/>
      <c r="AE736" s="208"/>
      <c r="AF736" s="208"/>
      <c r="AG736" s="208"/>
      <c r="AH736" s="208"/>
      <c r="AI736" s="208"/>
      <c r="AJ736" s="208"/>
      <c r="AK736" s="208"/>
    </row>
    <row r="737">
      <c r="A737" s="208"/>
      <c r="B737" s="208"/>
      <c r="C737" s="208"/>
      <c r="D737" s="208"/>
      <c r="E737" s="208"/>
      <c r="F737" s="208"/>
      <c r="G737" s="208"/>
      <c r="H737" s="233"/>
      <c r="I737" s="234"/>
      <c r="J737" s="208"/>
      <c r="K737" s="208"/>
      <c r="L737" s="208"/>
      <c r="M737" s="208"/>
      <c r="N737" s="208"/>
      <c r="O737" s="208"/>
      <c r="P737" s="208"/>
      <c r="Q737" s="208"/>
      <c r="R737" s="208"/>
      <c r="S737" s="208"/>
      <c r="T737" s="208"/>
      <c r="U737" s="208"/>
      <c r="V737" s="208"/>
      <c r="W737" s="208"/>
      <c r="X737" s="208"/>
      <c r="Y737" s="208"/>
      <c r="Z737" s="208"/>
      <c r="AA737" s="208"/>
      <c r="AB737" s="208"/>
      <c r="AC737" s="208"/>
      <c r="AD737" s="208"/>
      <c r="AE737" s="208"/>
      <c r="AF737" s="208"/>
      <c r="AG737" s="208"/>
      <c r="AH737" s="208"/>
      <c r="AI737" s="208"/>
      <c r="AJ737" s="208"/>
      <c r="AK737" s="208"/>
    </row>
    <row r="738">
      <c r="A738" s="208"/>
      <c r="B738" s="208"/>
      <c r="C738" s="208"/>
      <c r="D738" s="208"/>
      <c r="E738" s="208"/>
      <c r="F738" s="208"/>
      <c r="G738" s="208"/>
      <c r="H738" s="233"/>
      <c r="I738" s="234"/>
      <c r="J738" s="208"/>
      <c r="K738" s="208"/>
      <c r="L738" s="208"/>
      <c r="M738" s="208"/>
      <c r="N738" s="208"/>
      <c r="O738" s="208"/>
      <c r="P738" s="208"/>
      <c r="Q738" s="208"/>
      <c r="R738" s="208"/>
      <c r="S738" s="208"/>
      <c r="T738" s="208"/>
      <c r="U738" s="208"/>
      <c r="V738" s="208"/>
      <c r="W738" s="208"/>
      <c r="X738" s="208"/>
      <c r="Y738" s="208"/>
      <c r="Z738" s="208"/>
      <c r="AA738" s="208"/>
      <c r="AB738" s="208"/>
      <c r="AC738" s="208"/>
      <c r="AD738" s="208"/>
      <c r="AE738" s="208"/>
      <c r="AF738" s="208"/>
      <c r="AG738" s="208"/>
      <c r="AH738" s="208"/>
      <c r="AI738" s="208"/>
      <c r="AJ738" s="208"/>
      <c r="AK738" s="208"/>
    </row>
    <row r="739">
      <c r="A739" s="208"/>
      <c r="B739" s="208"/>
      <c r="C739" s="208"/>
      <c r="D739" s="208"/>
      <c r="E739" s="208"/>
      <c r="F739" s="208"/>
      <c r="G739" s="208"/>
      <c r="H739" s="233"/>
      <c r="I739" s="234"/>
      <c r="J739" s="208"/>
      <c r="K739" s="208"/>
      <c r="L739" s="208"/>
      <c r="M739" s="208"/>
      <c r="N739" s="208"/>
      <c r="O739" s="208"/>
      <c r="P739" s="208"/>
      <c r="Q739" s="208"/>
      <c r="R739" s="208"/>
      <c r="S739" s="208"/>
      <c r="T739" s="208"/>
      <c r="U739" s="208"/>
      <c r="V739" s="208"/>
      <c r="W739" s="208"/>
      <c r="X739" s="208"/>
      <c r="Y739" s="208"/>
      <c r="Z739" s="208"/>
      <c r="AA739" s="208"/>
      <c r="AB739" s="208"/>
      <c r="AC739" s="208"/>
      <c r="AD739" s="208"/>
      <c r="AE739" s="208"/>
      <c r="AF739" s="208"/>
      <c r="AG739" s="208"/>
      <c r="AH739" s="208"/>
      <c r="AI739" s="208"/>
      <c r="AJ739" s="208"/>
      <c r="AK739" s="208"/>
    </row>
    <row r="740">
      <c r="A740" s="208"/>
      <c r="B740" s="208"/>
      <c r="C740" s="208"/>
      <c r="D740" s="208"/>
      <c r="E740" s="208"/>
      <c r="F740" s="208"/>
      <c r="G740" s="208"/>
      <c r="H740" s="233"/>
      <c r="I740" s="234"/>
      <c r="J740" s="208"/>
      <c r="K740" s="208"/>
      <c r="L740" s="208"/>
      <c r="M740" s="208"/>
      <c r="N740" s="208"/>
      <c r="O740" s="208"/>
      <c r="P740" s="208"/>
      <c r="Q740" s="208"/>
      <c r="R740" s="208"/>
      <c r="S740" s="208"/>
      <c r="T740" s="208"/>
      <c r="U740" s="208"/>
      <c r="V740" s="208"/>
      <c r="W740" s="208"/>
      <c r="X740" s="208"/>
      <c r="Y740" s="208"/>
      <c r="Z740" s="208"/>
      <c r="AA740" s="208"/>
      <c r="AB740" s="208"/>
      <c r="AC740" s="208"/>
      <c r="AD740" s="208"/>
      <c r="AE740" s="208"/>
      <c r="AF740" s="208"/>
      <c r="AG740" s="208"/>
      <c r="AH740" s="208"/>
      <c r="AI740" s="208"/>
      <c r="AJ740" s="208"/>
      <c r="AK740" s="208"/>
    </row>
    <row r="741">
      <c r="A741" s="208"/>
      <c r="B741" s="208"/>
      <c r="C741" s="208"/>
      <c r="D741" s="208"/>
      <c r="E741" s="208"/>
      <c r="F741" s="208"/>
      <c r="G741" s="208"/>
      <c r="H741" s="233"/>
      <c r="I741" s="234"/>
      <c r="J741" s="208"/>
      <c r="K741" s="208"/>
      <c r="L741" s="208"/>
      <c r="M741" s="208"/>
      <c r="N741" s="208"/>
      <c r="O741" s="208"/>
      <c r="P741" s="208"/>
      <c r="Q741" s="208"/>
      <c r="R741" s="208"/>
      <c r="S741" s="208"/>
      <c r="T741" s="208"/>
      <c r="U741" s="208"/>
      <c r="V741" s="208"/>
      <c r="W741" s="208"/>
      <c r="X741" s="208"/>
      <c r="Y741" s="208"/>
      <c r="Z741" s="208"/>
      <c r="AA741" s="208"/>
      <c r="AB741" s="208"/>
      <c r="AC741" s="208"/>
      <c r="AD741" s="208"/>
      <c r="AE741" s="208"/>
      <c r="AF741" s="208"/>
      <c r="AG741" s="208"/>
      <c r="AH741" s="208"/>
      <c r="AI741" s="208"/>
      <c r="AJ741" s="208"/>
      <c r="AK741" s="208"/>
    </row>
    <row r="742">
      <c r="A742" s="208"/>
      <c r="B742" s="208"/>
      <c r="C742" s="208"/>
      <c r="D742" s="208"/>
      <c r="E742" s="208"/>
      <c r="F742" s="208"/>
      <c r="G742" s="208"/>
      <c r="H742" s="233"/>
      <c r="I742" s="234"/>
      <c r="J742" s="208"/>
      <c r="K742" s="208"/>
      <c r="L742" s="208"/>
      <c r="M742" s="208"/>
      <c r="N742" s="208"/>
      <c r="O742" s="208"/>
      <c r="P742" s="208"/>
      <c r="Q742" s="208"/>
      <c r="R742" s="208"/>
      <c r="S742" s="208"/>
      <c r="T742" s="208"/>
      <c r="U742" s="208"/>
      <c r="V742" s="208"/>
      <c r="W742" s="208"/>
      <c r="X742" s="208"/>
      <c r="Y742" s="208"/>
      <c r="Z742" s="208"/>
      <c r="AA742" s="208"/>
      <c r="AB742" s="208"/>
      <c r="AC742" s="208"/>
      <c r="AD742" s="208"/>
      <c r="AE742" s="208"/>
      <c r="AF742" s="208"/>
      <c r="AG742" s="208"/>
      <c r="AH742" s="208"/>
      <c r="AI742" s="208"/>
      <c r="AJ742" s="208"/>
      <c r="AK742" s="208"/>
    </row>
    <row r="743">
      <c r="A743" s="208"/>
      <c r="B743" s="208"/>
      <c r="C743" s="208"/>
      <c r="D743" s="208"/>
      <c r="E743" s="208"/>
      <c r="F743" s="208"/>
      <c r="G743" s="208"/>
      <c r="H743" s="233"/>
      <c r="I743" s="234"/>
      <c r="J743" s="208"/>
      <c r="K743" s="208"/>
      <c r="L743" s="208"/>
      <c r="M743" s="208"/>
      <c r="N743" s="208"/>
      <c r="O743" s="208"/>
      <c r="P743" s="208"/>
      <c r="Q743" s="208"/>
      <c r="R743" s="208"/>
      <c r="S743" s="208"/>
      <c r="T743" s="208"/>
      <c r="U743" s="208"/>
      <c r="V743" s="208"/>
      <c r="W743" s="208"/>
      <c r="X743" s="208"/>
      <c r="Y743" s="208"/>
      <c r="Z743" s="208"/>
      <c r="AA743" s="208"/>
      <c r="AB743" s="208"/>
      <c r="AC743" s="208"/>
      <c r="AD743" s="208"/>
      <c r="AE743" s="208"/>
      <c r="AF743" s="208"/>
      <c r="AG743" s="208"/>
      <c r="AH743" s="208"/>
      <c r="AI743" s="208"/>
      <c r="AJ743" s="208"/>
      <c r="AK743" s="208"/>
    </row>
    <row r="744">
      <c r="A744" s="208"/>
      <c r="B744" s="208"/>
      <c r="C744" s="208"/>
      <c r="D744" s="208"/>
      <c r="E744" s="208"/>
      <c r="F744" s="208"/>
      <c r="G744" s="208"/>
      <c r="H744" s="233"/>
      <c r="I744" s="234"/>
      <c r="J744" s="208"/>
      <c r="K744" s="208"/>
      <c r="L744" s="208"/>
      <c r="M744" s="208"/>
      <c r="N744" s="208"/>
      <c r="O744" s="208"/>
      <c r="P744" s="208"/>
      <c r="Q744" s="208"/>
      <c r="R744" s="208"/>
      <c r="S744" s="208"/>
      <c r="T744" s="208"/>
      <c r="U744" s="208"/>
      <c r="V744" s="208"/>
      <c r="W744" s="208"/>
      <c r="X744" s="208"/>
      <c r="Y744" s="208"/>
      <c r="Z744" s="208"/>
      <c r="AA744" s="208"/>
      <c r="AB744" s="208"/>
      <c r="AC744" s="208"/>
      <c r="AD744" s="208"/>
      <c r="AE744" s="208"/>
      <c r="AF744" s="208"/>
      <c r="AG744" s="208"/>
      <c r="AH744" s="208"/>
      <c r="AI744" s="208"/>
      <c r="AJ744" s="208"/>
      <c r="AK744" s="208"/>
    </row>
    <row r="745">
      <c r="A745" s="208"/>
      <c r="B745" s="208"/>
      <c r="C745" s="208"/>
      <c r="D745" s="208"/>
      <c r="E745" s="208"/>
      <c r="F745" s="208"/>
      <c r="G745" s="208"/>
      <c r="H745" s="233"/>
      <c r="I745" s="234"/>
      <c r="J745" s="208"/>
      <c r="K745" s="208"/>
      <c r="L745" s="208"/>
      <c r="M745" s="208"/>
      <c r="N745" s="208"/>
      <c r="O745" s="208"/>
      <c r="P745" s="208"/>
      <c r="Q745" s="208"/>
      <c r="R745" s="208"/>
      <c r="S745" s="208"/>
      <c r="T745" s="208"/>
      <c r="U745" s="208"/>
      <c r="V745" s="208"/>
      <c r="W745" s="208"/>
      <c r="X745" s="208"/>
      <c r="Y745" s="208"/>
      <c r="Z745" s="208"/>
      <c r="AA745" s="208"/>
      <c r="AB745" s="208"/>
      <c r="AC745" s="208"/>
      <c r="AD745" s="208"/>
      <c r="AE745" s="208"/>
      <c r="AF745" s="208"/>
      <c r="AG745" s="208"/>
      <c r="AH745" s="208"/>
      <c r="AI745" s="208"/>
      <c r="AJ745" s="208"/>
      <c r="AK745" s="208"/>
    </row>
    <row r="746">
      <c r="A746" s="208"/>
      <c r="B746" s="208"/>
      <c r="C746" s="208"/>
      <c r="D746" s="208"/>
      <c r="E746" s="208"/>
      <c r="F746" s="208"/>
      <c r="G746" s="208"/>
      <c r="H746" s="233"/>
      <c r="I746" s="234"/>
      <c r="J746" s="208"/>
      <c r="K746" s="208"/>
      <c r="L746" s="208"/>
      <c r="M746" s="208"/>
      <c r="N746" s="208"/>
      <c r="O746" s="208"/>
      <c r="P746" s="208"/>
      <c r="Q746" s="208"/>
      <c r="R746" s="208"/>
      <c r="S746" s="208"/>
      <c r="T746" s="208"/>
      <c r="U746" s="208"/>
      <c r="V746" s="208"/>
      <c r="W746" s="208"/>
      <c r="X746" s="208"/>
      <c r="Y746" s="208"/>
      <c r="Z746" s="208"/>
      <c r="AA746" s="208"/>
      <c r="AB746" s="208"/>
      <c r="AC746" s="208"/>
      <c r="AD746" s="208"/>
      <c r="AE746" s="208"/>
      <c r="AF746" s="208"/>
      <c r="AG746" s="208"/>
      <c r="AH746" s="208"/>
      <c r="AI746" s="208"/>
      <c r="AJ746" s="208"/>
      <c r="AK746" s="208"/>
    </row>
    <row r="747">
      <c r="A747" s="208"/>
      <c r="B747" s="208"/>
      <c r="C747" s="208"/>
      <c r="D747" s="208"/>
      <c r="E747" s="208"/>
      <c r="F747" s="208"/>
      <c r="G747" s="208"/>
      <c r="H747" s="233"/>
      <c r="I747" s="234"/>
      <c r="J747" s="208"/>
      <c r="K747" s="208"/>
      <c r="L747" s="208"/>
      <c r="M747" s="208"/>
      <c r="N747" s="208"/>
      <c r="O747" s="208"/>
      <c r="P747" s="208"/>
      <c r="Q747" s="208"/>
      <c r="R747" s="208"/>
      <c r="S747" s="208"/>
      <c r="T747" s="208"/>
      <c r="U747" s="208"/>
      <c r="V747" s="208"/>
      <c r="W747" s="208"/>
      <c r="X747" s="208"/>
      <c r="Y747" s="208"/>
      <c r="Z747" s="208"/>
      <c r="AA747" s="208"/>
      <c r="AB747" s="208"/>
      <c r="AC747" s="208"/>
      <c r="AD747" s="208"/>
      <c r="AE747" s="208"/>
      <c r="AF747" s="208"/>
      <c r="AG747" s="208"/>
      <c r="AH747" s="208"/>
      <c r="AI747" s="208"/>
      <c r="AJ747" s="208"/>
      <c r="AK747" s="208"/>
    </row>
    <row r="748">
      <c r="A748" s="208"/>
      <c r="B748" s="208"/>
      <c r="C748" s="208"/>
      <c r="D748" s="208"/>
      <c r="E748" s="208"/>
      <c r="F748" s="208"/>
      <c r="G748" s="208"/>
      <c r="H748" s="233"/>
      <c r="I748" s="234"/>
      <c r="J748" s="208"/>
      <c r="K748" s="208"/>
      <c r="L748" s="208"/>
      <c r="M748" s="208"/>
      <c r="N748" s="208"/>
      <c r="O748" s="208"/>
      <c r="P748" s="208"/>
      <c r="Q748" s="208"/>
      <c r="R748" s="208"/>
      <c r="S748" s="208"/>
      <c r="T748" s="208"/>
      <c r="U748" s="208"/>
      <c r="V748" s="208"/>
      <c r="W748" s="208"/>
      <c r="X748" s="208"/>
      <c r="Y748" s="208"/>
      <c r="Z748" s="208"/>
      <c r="AA748" s="208"/>
      <c r="AB748" s="208"/>
      <c r="AC748" s="208"/>
      <c r="AD748" s="208"/>
      <c r="AE748" s="208"/>
      <c r="AF748" s="208"/>
      <c r="AG748" s="208"/>
      <c r="AH748" s="208"/>
      <c r="AI748" s="208"/>
      <c r="AJ748" s="208"/>
      <c r="AK748" s="208"/>
    </row>
    <row r="749">
      <c r="A749" s="208"/>
      <c r="B749" s="208"/>
      <c r="C749" s="208"/>
      <c r="D749" s="208"/>
      <c r="E749" s="208"/>
      <c r="F749" s="208"/>
      <c r="G749" s="208"/>
      <c r="H749" s="233"/>
      <c r="I749" s="234"/>
      <c r="J749" s="208"/>
      <c r="K749" s="208"/>
      <c r="L749" s="208"/>
      <c r="M749" s="208"/>
      <c r="N749" s="208"/>
      <c r="O749" s="208"/>
      <c r="P749" s="208"/>
      <c r="Q749" s="208"/>
      <c r="R749" s="208"/>
      <c r="S749" s="208"/>
      <c r="T749" s="208"/>
      <c r="U749" s="208"/>
      <c r="V749" s="208"/>
      <c r="W749" s="208"/>
      <c r="X749" s="208"/>
      <c r="Y749" s="208"/>
      <c r="Z749" s="208"/>
      <c r="AA749" s="208"/>
      <c r="AB749" s="208"/>
      <c r="AC749" s="208"/>
      <c r="AD749" s="208"/>
      <c r="AE749" s="208"/>
      <c r="AF749" s="208"/>
      <c r="AG749" s="208"/>
      <c r="AH749" s="208"/>
      <c r="AI749" s="208"/>
      <c r="AJ749" s="208"/>
      <c r="AK749" s="208"/>
    </row>
    <row r="750">
      <c r="A750" s="208"/>
      <c r="B750" s="208"/>
      <c r="C750" s="208"/>
      <c r="D750" s="208"/>
      <c r="E750" s="208"/>
      <c r="F750" s="208"/>
      <c r="G750" s="208"/>
      <c r="H750" s="233"/>
      <c r="I750" s="234"/>
      <c r="J750" s="208"/>
      <c r="K750" s="208"/>
      <c r="L750" s="208"/>
      <c r="M750" s="208"/>
      <c r="N750" s="208"/>
      <c r="O750" s="208"/>
      <c r="P750" s="208"/>
      <c r="Q750" s="208"/>
      <c r="R750" s="208"/>
      <c r="S750" s="208"/>
      <c r="T750" s="208"/>
      <c r="U750" s="208"/>
      <c r="V750" s="208"/>
      <c r="W750" s="208"/>
      <c r="X750" s="208"/>
      <c r="Y750" s="208"/>
      <c r="Z750" s="208"/>
      <c r="AA750" s="208"/>
      <c r="AB750" s="208"/>
      <c r="AC750" s="208"/>
      <c r="AD750" s="208"/>
      <c r="AE750" s="208"/>
      <c r="AF750" s="208"/>
      <c r="AG750" s="208"/>
      <c r="AH750" s="208"/>
      <c r="AI750" s="208"/>
      <c r="AJ750" s="208"/>
      <c r="AK750" s="208"/>
    </row>
    <row r="751">
      <c r="A751" s="208"/>
      <c r="B751" s="208"/>
      <c r="C751" s="208"/>
      <c r="D751" s="208"/>
      <c r="E751" s="208"/>
      <c r="F751" s="208"/>
      <c r="G751" s="208"/>
      <c r="H751" s="233"/>
      <c r="I751" s="234"/>
      <c r="J751" s="208"/>
      <c r="K751" s="208"/>
      <c r="L751" s="208"/>
      <c r="M751" s="208"/>
      <c r="N751" s="208"/>
      <c r="O751" s="208"/>
      <c r="P751" s="208"/>
      <c r="Q751" s="208"/>
      <c r="R751" s="208"/>
      <c r="S751" s="208"/>
      <c r="T751" s="208"/>
      <c r="U751" s="208"/>
      <c r="V751" s="208"/>
      <c r="W751" s="208"/>
      <c r="X751" s="208"/>
      <c r="Y751" s="208"/>
      <c r="Z751" s="208"/>
      <c r="AA751" s="208"/>
      <c r="AB751" s="208"/>
      <c r="AC751" s="208"/>
      <c r="AD751" s="208"/>
      <c r="AE751" s="208"/>
      <c r="AF751" s="208"/>
      <c r="AG751" s="208"/>
      <c r="AH751" s="208"/>
      <c r="AI751" s="208"/>
      <c r="AJ751" s="208"/>
      <c r="AK751" s="208"/>
    </row>
    <row r="752">
      <c r="A752" s="208"/>
      <c r="B752" s="208"/>
      <c r="C752" s="208"/>
      <c r="D752" s="208"/>
      <c r="E752" s="208"/>
      <c r="F752" s="208"/>
      <c r="G752" s="208"/>
      <c r="H752" s="233"/>
      <c r="I752" s="234"/>
      <c r="J752" s="208"/>
      <c r="K752" s="208"/>
      <c r="L752" s="208"/>
      <c r="M752" s="208"/>
      <c r="N752" s="208"/>
      <c r="O752" s="208"/>
      <c r="P752" s="208"/>
      <c r="Q752" s="208"/>
      <c r="R752" s="208"/>
      <c r="S752" s="208"/>
      <c r="T752" s="208"/>
      <c r="U752" s="208"/>
      <c r="V752" s="208"/>
      <c r="W752" s="208"/>
      <c r="X752" s="208"/>
      <c r="Y752" s="208"/>
      <c r="Z752" s="208"/>
      <c r="AA752" s="208"/>
      <c r="AB752" s="208"/>
      <c r="AC752" s="208"/>
      <c r="AD752" s="208"/>
      <c r="AE752" s="208"/>
      <c r="AF752" s="208"/>
      <c r="AG752" s="208"/>
      <c r="AH752" s="208"/>
      <c r="AI752" s="208"/>
      <c r="AJ752" s="208"/>
      <c r="AK752" s="208"/>
    </row>
    <row r="753">
      <c r="A753" s="208"/>
      <c r="B753" s="208"/>
      <c r="C753" s="208"/>
      <c r="D753" s="208"/>
      <c r="E753" s="208"/>
      <c r="F753" s="208"/>
      <c r="G753" s="208"/>
      <c r="H753" s="233"/>
      <c r="I753" s="234"/>
      <c r="J753" s="208"/>
      <c r="K753" s="208"/>
      <c r="L753" s="208"/>
      <c r="M753" s="208"/>
      <c r="N753" s="208"/>
      <c r="O753" s="208"/>
      <c r="P753" s="208"/>
      <c r="Q753" s="208"/>
      <c r="R753" s="208"/>
      <c r="S753" s="208"/>
      <c r="T753" s="208"/>
      <c r="U753" s="208"/>
      <c r="V753" s="208"/>
      <c r="W753" s="208"/>
      <c r="X753" s="208"/>
      <c r="Y753" s="208"/>
      <c r="Z753" s="208"/>
      <c r="AA753" s="208"/>
      <c r="AB753" s="208"/>
      <c r="AC753" s="208"/>
      <c r="AD753" s="208"/>
      <c r="AE753" s="208"/>
      <c r="AF753" s="208"/>
      <c r="AG753" s="208"/>
      <c r="AH753" s="208"/>
      <c r="AI753" s="208"/>
      <c r="AJ753" s="208"/>
      <c r="AK753" s="208"/>
    </row>
    <row r="754">
      <c r="A754" s="208"/>
      <c r="B754" s="208"/>
      <c r="C754" s="208"/>
      <c r="D754" s="208"/>
      <c r="E754" s="208"/>
      <c r="F754" s="208"/>
      <c r="G754" s="208"/>
      <c r="H754" s="233"/>
      <c r="I754" s="234"/>
      <c r="J754" s="208"/>
      <c r="K754" s="208"/>
      <c r="L754" s="208"/>
      <c r="M754" s="208"/>
      <c r="N754" s="208"/>
      <c r="O754" s="208"/>
      <c r="P754" s="208"/>
      <c r="Q754" s="208"/>
      <c r="R754" s="208"/>
      <c r="S754" s="208"/>
      <c r="T754" s="208"/>
      <c r="U754" s="208"/>
      <c r="V754" s="208"/>
      <c r="W754" s="208"/>
      <c r="X754" s="208"/>
      <c r="Y754" s="208"/>
      <c r="Z754" s="208"/>
      <c r="AA754" s="208"/>
      <c r="AB754" s="208"/>
      <c r="AC754" s="208"/>
      <c r="AD754" s="208"/>
      <c r="AE754" s="208"/>
      <c r="AF754" s="208"/>
      <c r="AG754" s="208"/>
      <c r="AH754" s="208"/>
      <c r="AI754" s="208"/>
      <c r="AJ754" s="208"/>
      <c r="AK754" s="208"/>
    </row>
    <row r="755">
      <c r="A755" s="208"/>
      <c r="B755" s="208"/>
      <c r="C755" s="208"/>
      <c r="D755" s="208"/>
      <c r="E755" s="208"/>
      <c r="F755" s="208"/>
      <c r="G755" s="208"/>
      <c r="H755" s="233"/>
      <c r="I755" s="234"/>
      <c r="J755" s="208"/>
      <c r="K755" s="208"/>
      <c r="L755" s="208"/>
      <c r="M755" s="208"/>
      <c r="N755" s="208"/>
      <c r="O755" s="208"/>
      <c r="P755" s="208"/>
      <c r="Q755" s="208"/>
      <c r="R755" s="208"/>
      <c r="S755" s="208"/>
      <c r="T755" s="208"/>
      <c r="U755" s="208"/>
      <c r="V755" s="208"/>
      <c r="W755" s="208"/>
      <c r="X755" s="208"/>
      <c r="Y755" s="208"/>
      <c r="Z755" s="208"/>
      <c r="AA755" s="208"/>
      <c r="AB755" s="208"/>
      <c r="AC755" s="208"/>
      <c r="AD755" s="208"/>
      <c r="AE755" s="208"/>
      <c r="AF755" s="208"/>
      <c r="AG755" s="208"/>
      <c r="AH755" s="208"/>
      <c r="AI755" s="208"/>
      <c r="AJ755" s="208"/>
      <c r="AK755" s="208"/>
    </row>
    <row r="756">
      <c r="A756" s="208"/>
      <c r="B756" s="208"/>
      <c r="C756" s="208"/>
      <c r="D756" s="208"/>
      <c r="E756" s="208"/>
      <c r="F756" s="208"/>
      <c r="G756" s="208"/>
      <c r="H756" s="233"/>
      <c r="I756" s="234"/>
      <c r="J756" s="208"/>
      <c r="K756" s="208"/>
      <c r="L756" s="208"/>
      <c r="M756" s="208"/>
      <c r="N756" s="208"/>
      <c r="O756" s="208"/>
      <c r="P756" s="208"/>
      <c r="Q756" s="208"/>
      <c r="R756" s="208"/>
      <c r="S756" s="208"/>
      <c r="T756" s="208"/>
      <c r="U756" s="208"/>
      <c r="V756" s="208"/>
      <c r="W756" s="208"/>
      <c r="X756" s="208"/>
      <c r="Y756" s="208"/>
      <c r="Z756" s="208"/>
      <c r="AA756" s="208"/>
      <c r="AB756" s="208"/>
      <c r="AC756" s="208"/>
      <c r="AD756" s="208"/>
      <c r="AE756" s="208"/>
      <c r="AF756" s="208"/>
      <c r="AG756" s="208"/>
      <c r="AH756" s="208"/>
      <c r="AI756" s="208"/>
      <c r="AJ756" s="208"/>
      <c r="AK756" s="208"/>
    </row>
    <row r="757">
      <c r="A757" s="208"/>
      <c r="B757" s="208"/>
      <c r="C757" s="208"/>
      <c r="D757" s="208"/>
      <c r="E757" s="208"/>
      <c r="F757" s="208"/>
      <c r="G757" s="208"/>
      <c r="H757" s="233"/>
      <c r="I757" s="234"/>
      <c r="J757" s="208"/>
      <c r="K757" s="208"/>
      <c r="L757" s="208"/>
      <c r="M757" s="208"/>
      <c r="N757" s="208"/>
      <c r="O757" s="208"/>
      <c r="P757" s="208"/>
      <c r="Q757" s="208"/>
      <c r="R757" s="208"/>
      <c r="S757" s="208"/>
      <c r="T757" s="208"/>
      <c r="U757" s="208"/>
      <c r="V757" s="208"/>
      <c r="W757" s="208"/>
      <c r="X757" s="208"/>
      <c r="Y757" s="208"/>
      <c r="Z757" s="208"/>
      <c r="AA757" s="208"/>
      <c r="AB757" s="208"/>
      <c r="AC757" s="208"/>
      <c r="AD757" s="208"/>
      <c r="AE757" s="208"/>
      <c r="AF757" s="208"/>
      <c r="AG757" s="208"/>
      <c r="AH757" s="208"/>
      <c r="AI757" s="208"/>
      <c r="AJ757" s="208"/>
      <c r="AK757" s="208"/>
    </row>
    <row r="758">
      <c r="A758" s="208"/>
      <c r="B758" s="208"/>
      <c r="C758" s="208"/>
      <c r="D758" s="208"/>
      <c r="E758" s="208"/>
      <c r="F758" s="208"/>
      <c r="G758" s="208"/>
      <c r="H758" s="233"/>
      <c r="I758" s="234"/>
      <c r="J758" s="208"/>
      <c r="K758" s="208"/>
      <c r="L758" s="208"/>
      <c r="M758" s="208"/>
      <c r="N758" s="208"/>
      <c r="O758" s="208"/>
      <c r="P758" s="208"/>
      <c r="Q758" s="208"/>
      <c r="R758" s="208"/>
      <c r="S758" s="208"/>
      <c r="T758" s="208"/>
      <c r="U758" s="208"/>
      <c r="V758" s="208"/>
      <c r="W758" s="208"/>
      <c r="X758" s="208"/>
      <c r="Y758" s="208"/>
      <c r="Z758" s="208"/>
      <c r="AA758" s="208"/>
      <c r="AB758" s="208"/>
      <c r="AC758" s="208"/>
      <c r="AD758" s="208"/>
      <c r="AE758" s="208"/>
      <c r="AF758" s="208"/>
      <c r="AG758" s="208"/>
      <c r="AH758" s="208"/>
      <c r="AI758" s="208"/>
      <c r="AJ758" s="208"/>
      <c r="AK758" s="208"/>
    </row>
    <row r="759">
      <c r="A759" s="208"/>
      <c r="B759" s="208"/>
      <c r="C759" s="208"/>
      <c r="D759" s="208"/>
      <c r="E759" s="208"/>
      <c r="F759" s="208"/>
      <c r="G759" s="208"/>
      <c r="H759" s="233"/>
      <c r="I759" s="234"/>
      <c r="J759" s="208"/>
      <c r="K759" s="208"/>
      <c r="L759" s="208"/>
      <c r="M759" s="208"/>
      <c r="N759" s="208"/>
      <c r="O759" s="208"/>
      <c r="P759" s="208"/>
      <c r="Q759" s="208"/>
      <c r="R759" s="208"/>
      <c r="S759" s="208"/>
      <c r="T759" s="208"/>
      <c r="U759" s="208"/>
      <c r="V759" s="208"/>
      <c r="W759" s="208"/>
      <c r="X759" s="208"/>
      <c r="Y759" s="208"/>
      <c r="Z759" s="208"/>
      <c r="AA759" s="208"/>
      <c r="AB759" s="208"/>
      <c r="AC759" s="208"/>
      <c r="AD759" s="208"/>
      <c r="AE759" s="208"/>
      <c r="AF759" s="208"/>
      <c r="AG759" s="208"/>
      <c r="AH759" s="208"/>
      <c r="AI759" s="208"/>
      <c r="AJ759" s="208"/>
      <c r="AK759" s="208"/>
    </row>
    <row r="760">
      <c r="A760" s="208"/>
      <c r="B760" s="208"/>
      <c r="C760" s="208"/>
      <c r="D760" s="208"/>
      <c r="E760" s="208"/>
      <c r="F760" s="208"/>
      <c r="G760" s="208"/>
      <c r="H760" s="233"/>
      <c r="I760" s="234"/>
      <c r="J760" s="208"/>
      <c r="K760" s="208"/>
      <c r="L760" s="208"/>
      <c r="M760" s="208"/>
      <c r="N760" s="208"/>
      <c r="O760" s="208"/>
      <c r="P760" s="208"/>
      <c r="Q760" s="208"/>
      <c r="R760" s="208"/>
      <c r="S760" s="208"/>
      <c r="T760" s="208"/>
      <c r="U760" s="208"/>
      <c r="V760" s="208"/>
      <c r="W760" s="208"/>
      <c r="X760" s="208"/>
      <c r="Y760" s="208"/>
      <c r="Z760" s="208"/>
      <c r="AA760" s="208"/>
      <c r="AB760" s="208"/>
      <c r="AC760" s="208"/>
      <c r="AD760" s="208"/>
      <c r="AE760" s="208"/>
      <c r="AF760" s="208"/>
      <c r="AG760" s="208"/>
      <c r="AH760" s="208"/>
      <c r="AI760" s="208"/>
      <c r="AJ760" s="208"/>
      <c r="AK760" s="208"/>
    </row>
    <row r="761">
      <c r="A761" s="208"/>
      <c r="B761" s="208"/>
      <c r="C761" s="208"/>
      <c r="D761" s="208"/>
      <c r="E761" s="208"/>
      <c r="F761" s="208"/>
      <c r="G761" s="208"/>
      <c r="H761" s="233"/>
      <c r="I761" s="234"/>
      <c r="J761" s="208"/>
      <c r="K761" s="208"/>
      <c r="L761" s="208"/>
      <c r="M761" s="208"/>
      <c r="N761" s="208"/>
      <c r="O761" s="208"/>
      <c r="P761" s="208"/>
      <c r="Q761" s="208"/>
      <c r="R761" s="208"/>
      <c r="S761" s="208"/>
      <c r="T761" s="208"/>
      <c r="U761" s="208"/>
      <c r="V761" s="208"/>
      <c r="W761" s="208"/>
      <c r="X761" s="208"/>
      <c r="Y761" s="208"/>
      <c r="Z761" s="208"/>
      <c r="AA761" s="208"/>
      <c r="AB761" s="208"/>
      <c r="AC761" s="208"/>
      <c r="AD761" s="208"/>
      <c r="AE761" s="208"/>
      <c r="AF761" s="208"/>
      <c r="AG761" s="208"/>
      <c r="AH761" s="208"/>
      <c r="AI761" s="208"/>
      <c r="AJ761" s="208"/>
      <c r="AK761" s="208"/>
    </row>
    <row r="762">
      <c r="A762" s="208"/>
      <c r="B762" s="208"/>
      <c r="C762" s="208"/>
      <c r="D762" s="208"/>
      <c r="E762" s="208"/>
      <c r="F762" s="208"/>
      <c r="G762" s="208"/>
      <c r="H762" s="233"/>
      <c r="I762" s="234"/>
      <c r="J762" s="208"/>
      <c r="K762" s="208"/>
      <c r="L762" s="208"/>
      <c r="M762" s="208"/>
      <c r="N762" s="208"/>
      <c r="O762" s="208"/>
      <c r="P762" s="208"/>
      <c r="Q762" s="208"/>
      <c r="R762" s="208"/>
      <c r="S762" s="208"/>
      <c r="T762" s="208"/>
      <c r="U762" s="208"/>
      <c r="V762" s="208"/>
      <c r="W762" s="208"/>
      <c r="X762" s="208"/>
      <c r="Y762" s="208"/>
      <c r="Z762" s="208"/>
      <c r="AA762" s="208"/>
      <c r="AB762" s="208"/>
      <c r="AC762" s="208"/>
      <c r="AD762" s="208"/>
      <c r="AE762" s="208"/>
      <c r="AF762" s="208"/>
      <c r="AG762" s="208"/>
      <c r="AH762" s="208"/>
      <c r="AI762" s="208"/>
      <c r="AJ762" s="208"/>
      <c r="AK762" s="208"/>
    </row>
    <row r="763">
      <c r="A763" s="208"/>
      <c r="B763" s="208"/>
      <c r="C763" s="208"/>
      <c r="D763" s="208"/>
      <c r="E763" s="208"/>
      <c r="F763" s="208"/>
      <c r="G763" s="208"/>
      <c r="H763" s="233"/>
      <c r="I763" s="234"/>
      <c r="J763" s="208"/>
      <c r="K763" s="208"/>
      <c r="L763" s="208"/>
      <c r="M763" s="208"/>
      <c r="N763" s="208"/>
      <c r="O763" s="208"/>
      <c r="P763" s="208"/>
      <c r="Q763" s="208"/>
      <c r="R763" s="208"/>
      <c r="S763" s="208"/>
      <c r="T763" s="208"/>
      <c r="U763" s="208"/>
      <c r="V763" s="208"/>
      <c r="W763" s="208"/>
      <c r="X763" s="208"/>
      <c r="Y763" s="208"/>
      <c r="Z763" s="208"/>
      <c r="AA763" s="208"/>
      <c r="AB763" s="208"/>
      <c r="AC763" s="208"/>
      <c r="AD763" s="208"/>
      <c r="AE763" s="208"/>
      <c r="AF763" s="208"/>
      <c r="AG763" s="208"/>
      <c r="AH763" s="208"/>
      <c r="AI763" s="208"/>
      <c r="AJ763" s="208"/>
      <c r="AK763" s="208"/>
    </row>
    <row r="764">
      <c r="A764" s="208"/>
      <c r="B764" s="208"/>
      <c r="C764" s="208"/>
      <c r="D764" s="208"/>
      <c r="E764" s="208"/>
      <c r="F764" s="208"/>
      <c r="G764" s="208"/>
      <c r="H764" s="233"/>
      <c r="I764" s="234"/>
      <c r="J764" s="208"/>
      <c r="K764" s="208"/>
      <c r="L764" s="208"/>
      <c r="M764" s="208"/>
      <c r="N764" s="208"/>
      <c r="O764" s="208"/>
      <c r="P764" s="208"/>
      <c r="Q764" s="208"/>
      <c r="R764" s="208"/>
      <c r="S764" s="208"/>
      <c r="T764" s="208"/>
      <c r="U764" s="208"/>
      <c r="V764" s="208"/>
      <c r="W764" s="208"/>
      <c r="X764" s="208"/>
      <c r="Y764" s="208"/>
      <c r="Z764" s="208"/>
      <c r="AA764" s="208"/>
      <c r="AB764" s="208"/>
      <c r="AC764" s="208"/>
      <c r="AD764" s="208"/>
      <c r="AE764" s="208"/>
      <c r="AF764" s="208"/>
      <c r="AG764" s="208"/>
      <c r="AH764" s="208"/>
      <c r="AI764" s="208"/>
      <c r="AJ764" s="208"/>
      <c r="AK764" s="208"/>
    </row>
    <row r="765">
      <c r="A765" s="208"/>
      <c r="B765" s="208"/>
      <c r="C765" s="208"/>
      <c r="D765" s="208"/>
      <c r="E765" s="208"/>
      <c r="F765" s="208"/>
      <c r="G765" s="208"/>
      <c r="H765" s="233"/>
      <c r="I765" s="234"/>
      <c r="J765" s="208"/>
      <c r="K765" s="208"/>
      <c r="L765" s="208"/>
      <c r="M765" s="208"/>
      <c r="N765" s="208"/>
      <c r="O765" s="208"/>
      <c r="P765" s="208"/>
      <c r="Q765" s="208"/>
      <c r="R765" s="208"/>
      <c r="S765" s="208"/>
      <c r="T765" s="208"/>
      <c r="U765" s="208"/>
      <c r="V765" s="208"/>
      <c r="W765" s="208"/>
      <c r="X765" s="208"/>
      <c r="Y765" s="208"/>
      <c r="Z765" s="208"/>
      <c r="AA765" s="208"/>
      <c r="AB765" s="208"/>
      <c r="AC765" s="208"/>
      <c r="AD765" s="208"/>
      <c r="AE765" s="208"/>
      <c r="AF765" s="208"/>
      <c r="AG765" s="208"/>
      <c r="AH765" s="208"/>
      <c r="AI765" s="208"/>
      <c r="AJ765" s="208"/>
      <c r="AK765" s="208"/>
    </row>
    <row r="766">
      <c r="A766" s="208"/>
      <c r="B766" s="208"/>
      <c r="C766" s="208"/>
      <c r="D766" s="208"/>
      <c r="E766" s="208"/>
      <c r="F766" s="208"/>
      <c r="G766" s="208"/>
      <c r="H766" s="233"/>
      <c r="I766" s="234"/>
      <c r="J766" s="208"/>
      <c r="K766" s="208"/>
      <c r="L766" s="208"/>
      <c r="M766" s="208"/>
      <c r="N766" s="208"/>
      <c r="O766" s="208"/>
      <c r="P766" s="208"/>
      <c r="Q766" s="208"/>
      <c r="R766" s="208"/>
      <c r="S766" s="208"/>
      <c r="T766" s="208"/>
      <c r="U766" s="208"/>
      <c r="V766" s="208"/>
      <c r="W766" s="208"/>
      <c r="X766" s="208"/>
      <c r="Y766" s="208"/>
      <c r="Z766" s="208"/>
      <c r="AA766" s="208"/>
      <c r="AB766" s="208"/>
      <c r="AC766" s="208"/>
      <c r="AD766" s="208"/>
      <c r="AE766" s="208"/>
      <c r="AF766" s="208"/>
      <c r="AG766" s="208"/>
      <c r="AH766" s="208"/>
      <c r="AI766" s="208"/>
      <c r="AJ766" s="208"/>
      <c r="AK766" s="208"/>
    </row>
    <row r="767">
      <c r="A767" s="208"/>
      <c r="B767" s="208"/>
      <c r="C767" s="208"/>
      <c r="D767" s="208"/>
      <c r="E767" s="208"/>
      <c r="F767" s="208"/>
      <c r="G767" s="208"/>
      <c r="H767" s="233"/>
      <c r="I767" s="234"/>
      <c r="J767" s="208"/>
      <c r="K767" s="208"/>
      <c r="L767" s="208"/>
      <c r="M767" s="208"/>
      <c r="N767" s="208"/>
      <c r="O767" s="208"/>
      <c r="P767" s="208"/>
      <c r="Q767" s="208"/>
      <c r="R767" s="208"/>
      <c r="S767" s="208"/>
      <c r="T767" s="208"/>
      <c r="U767" s="208"/>
      <c r="V767" s="208"/>
      <c r="W767" s="208"/>
      <c r="X767" s="208"/>
      <c r="Y767" s="208"/>
      <c r="Z767" s="208"/>
      <c r="AA767" s="208"/>
      <c r="AB767" s="208"/>
      <c r="AC767" s="208"/>
      <c r="AD767" s="208"/>
      <c r="AE767" s="208"/>
      <c r="AF767" s="208"/>
      <c r="AG767" s="208"/>
      <c r="AH767" s="208"/>
      <c r="AI767" s="208"/>
      <c r="AJ767" s="208"/>
      <c r="AK767" s="208"/>
    </row>
    <row r="768">
      <c r="A768" s="208"/>
      <c r="B768" s="208"/>
      <c r="C768" s="208"/>
      <c r="D768" s="208"/>
      <c r="E768" s="208"/>
      <c r="F768" s="208"/>
      <c r="G768" s="208"/>
      <c r="H768" s="233"/>
      <c r="I768" s="234"/>
      <c r="J768" s="208"/>
      <c r="K768" s="208"/>
      <c r="L768" s="208"/>
      <c r="M768" s="208"/>
      <c r="N768" s="208"/>
      <c r="O768" s="208"/>
      <c r="P768" s="208"/>
      <c r="Q768" s="208"/>
      <c r="R768" s="208"/>
      <c r="S768" s="208"/>
      <c r="T768" s="208"/>
      <c r="U768" s="208"/>
      <c r="V768" s="208"/>
      <c r="W768" s="208"/>
      <c r="X768" s="208"/>
      <c r="Y768" s="208"/>
      <c r="Z768" s="208"/>
      <c r="AA768" s="208"/>
      <c r="AB768" s="208"/>
      <c r="AC768" s="208"/>
      <c r="AD768" s="208"/>
      <c r="AE768" s="208"/>
      <c r="AF768" s="208"/>
      <c r="AG768" s="208"/>
      <c r="AH768" s="208"/>
      <c r="AI768" s="208"/>
      <c r="AJ768" s="208"/>
      <c r="AK768" s="208"/>
    </row>
    <row r="769">
      <c r="A769" s="208"/>
      <c r="B769" s="208"/>
      <c r="C769" s="208"/>
      <c r="D769" s="208"/>
      <c r="E769" s="208"/>
      <c r="F769" s="208"/>
      <c r="G769" s="208"/>
      <c r="H769" s="233"/>
      <c r="I769" s="234"/>
      <c r="J769" s="208"/>
      <c r="K769" s="208"/>
      <c r="L769" s="208"/>
      <c r="M769" s="208"/>
      <c r="N769" s="208"/>
      <c r="O769" s="208"/>
      <c r="P769" s="208"/>
      <c r="Q769" s="208"/>
      <c r="R769" s="208"/>
      <c r="S769" s="208"/>
      <c r="T769" s="208"/>
      <c r="U769" s="208"/>
      <c r="V769" s="208"/>
      <c r="W769" s="208"/>
      <c r="X769" s="208"/>
      <c r="Y769" s="208"/>
      <c r="Z769" s="208"/>
      <c r="AA769" s="208"/>
      <c r="AB769" s="208"/>
      <c r="AC769" s="208"/>
      <c r="AD769" s="208"/>
      <c r="AE769" s="208"/>
      <c r="AF769" s="208"/>
      <c r="AG769" s="208"/>
      <c r="AH769" s="208"/>
      <c r="AI769" s="208"/>
      <c r="AJ769" s="208"/>
      <c r="AK769" s="208"/>
    </row>
    <row r="770">
      <c r="A770" s="208"/>
      <c r="B770" s="208"/>
      <c r="C770" s="208"/>
      <c r="D770" s="208"/>
      <c r="E770" s="208"/>
      <c r="F770" s="208"/>
      <c r="G770" s="208"/>
      <c r="H770" s="233"/>
      <c r="I770" s="234"/>
      <c r="J770" s="208"/>
      <c r="K770" s="208"/>
      <c r="L770" s="208"/>
      <c r="M770" s="208"/>
      <c r="N770" s="208"/>
      <c r="O770" s="208"/>
      <c r="P770" s="208"/>
      <c r="Q770" s="208"/>
      <c r="R770" s="208"/>
      <c r="S770" s="208"/>
      <c r="T770" s="208"/>
      <c r="U770" s="208"/>
      <c r="V770" s="208"/>
      <c r="W770" s="208"/>
      <c r="X770" s="208"/>
      <c r="Y770" s="208"/>
      <c r="Z770" s="208"/>
      <c r="AA770" s="208"/>
      <c r="AB770" s="208"/>
      <c r="AC770" s="208"/>
      <c r="AD770" s="208"/>
      <c r="AE770" s="208"/>
      <c r="AF770" s="208"/>
      <c r="AG770" s="208"/>
      <c r="AH770" s="208"/>
      <c r="AI770" s="208"/>
      <c r="AJ770" s="208"/>
      <c r="AK770" s="208"/>
    </row>
    <row r="771">
      <c r="A771" s="208"/>
      <c r="B771" s="208"/>
      <c r="C771" s="208"/>
      <c r="D771" s="208"/>
      <c r="E771" s="208"/>
      <c r="F771" s="208"/>
      <c r="G771" s="208"/>
      <c r="H771" s="233"/>
      <c r="I771" s="234"/>
      <c r="J771" s="208"/>
      <c r="K771" s="208"/>
      <c r="L771" s="208"/>
      <c r="M771" s="208"/>
      <c r="N771" s="208"/>
      <c r="O771" s="208"/>
      <c r="P771" s="208"/>
      <c r="Q771" s="208"/>
      <c r="R771" s="208"/>
      <c r="S771" s="208"/>
      <c r="T771" s="208"/>
      <c r="U771" s="208"/>
      <c r="V771" s="208"/>
      <c r="W771" s="208"/>
      <c r="X771" s="208"/>
      <c r="Y771" s="208"/>
      <c r="Z771" s="208"/>
      <c r="AA771" s="208"/>
      <c r="AB771" s="208"/>
      <c r="AC771" s="208"/>
      <c r="AD771" s="208"/>
      <c r="AE771" s="208"/>
      <c r="AF771" s="208"/>
      <c r="AG771" s="208"/>
      <c r="AH771" s="208"/>
      <c r="AI771" s="208"/>
      <c r="AJ771" s="208"/>
      <c r="AK771" s="208"/>
    </row>
    <row r="772">
      <c r="A772" s="208"/>
      <c r="B772" s="208"/>
      <c r="C772" s="208"/>
      <c r="D772" s="208"/>
      <c r="E772" s="208"/>
      <c r="F772" s="208"/>
      <c r="G772" s="208"/>
      <c r="H772" s="233"/>
      <c r="I772" s="234"/>
      <c r="J772" s="208"/>
      <c r="K772" s="208"/>
      <c r="L772" s="208"/>
      <c r="M772" s="208"/>
      <c r="N772" s="208"/>
      <c r="O772" s="208"/>
      <c r="P772" s="208"/>
      <c r="Q772" s="208"/>
      <c r="R772" s="208"/>
      <c r="S772" s="208"/>
      <c r="T772" s="208"/>
      <c r="U772" s="208"/>
      <c r="V772" s="208"/>
      <c r="W772" s="208"/>
      <c r="X772" s="208"/>
      <c r="Y772" s="208"/>
      <c r="Z772" s="208"/>
      <c r="AA772" s="208"/>
      <c r="AB772" s="208"/>
      <c r="AC772" s="208"/>
      <c r="AD772" s="208"/>
      <c r="AE772" s="208"/>
      <c r="AF772" s="208"/>
      <c r="AG772" s="208"/>
      <c r="AH772" s="208"/>
      <c r="AI772" s="208"/>
      <c r="AJ772" s="208"/>
      <c r="AK772" s="208"/>
    </row>
    <row r="773">
      <c r="A773" s="208"/>
      <c r="B773" s="208"/>
      <c r="C773" s="208"/>
      <c r="D773" s="208"/>
      <c r="E773" s="208"/>
      <c r="F773" s="208"/>
      <c r="G773" s="208"/>
      <c r="H773" s="233"/>
      <c r="I773" s="234"/>
      <c r="J773" s="208"/>
      <c r="K773" s="208"/>
      <c r="L773" s="208"/>
      <c r="M773" s="208"/>
      <c r="N773" s="208"/>
      <c r="O773" s="208"/>
      <c r="P773" s="208"/>
      <c r="Q773" s="208"/>
      <c r="R773" s="208"/>
      <c r="S773" s="208"/>
      <c r="T773" s="208"/>
      <c r="U773" s="208"/>
      <c r="V773" s="208"/>
      <c r="W773" s="208"/>
      <c r="X773" s="208"/>
      <c r="Y773" s="208"/>
      <c r="Z773" s="208"/>
      <c r="AA773" s="208"/>
      <c r="AB773" s="208"/>
      <c r="AC773" s="208"/>
      <c r="AD773" s="208"/>
      <c r="AE773" s="208"/>
      <c r="AF773" s="208"/>
      <c r="AG773" s="208"/>
      <c r="AH773" s="208"/>
      <c r="AI773" s="208"/>
      <c r="AJ773" s="208"/>
      <c r="AK773" s="208"/>
    </row>
    <row r="774">
      <c r="A774" s="208"/>
      <c r="B774" s="208"/>
      <c r="C774" s="208"/>
      <c r="D774" s="208"/>
      <c r="E774" s="208"/>
      <c r="F774" s="208"/>
      <c r="G774" s="208"/>
      <c r="H774" s="233"/>
      <c r="I774" s="234"/>
      <c r="J774" s="208"/>
      <c r="K774" s="208"/>
      <c r="L774" s="208"/>
      <c r="M774" s="208"/>
      <c r="N774" s="208"/>
      <c r="O774" s="208"/>
      <c r="P774" s="208"/>
      <c r="Q774" s="208"/>
      <c r="R774" s="208"/>
      <c r="S774" s="208"/>
      <c r="T774" s="208"/>
      <c r="U774" s="208"/>
      <c r="V774" s="208"/>
      <c r="W774" s="208"/>
      <c r="X774" s="208"/>
      <c r="Y774" s="208"/>
      <c r="Z774" s="208"/>
      <c r="AA774" s="208"/>
      <c r="AB774" s="208"/>
      <c r="AC774" s="208"/>
      <c r="AD774" s="208"/>
      <c r="AE774" s="208"/>
      <c r="AF774" s="208"/>
      <c r="AG774" s="208"/>
      <c r="AH774" s="208"/>
      <c r="AI774" s="208"/>
      <c r="AJ774" s="208"/>
      <c r="AK774" s="208"/>
    </row>
    <row r="775">
      <c r="A775" s="208"/>
      <c r="B775" s="208"/>
      <c r="C775" s="208"/>
      <c r="D775" s="208"/>
      <c r="E775" s="208"/>
      <c r="F775" s="208"/>
      <c r="G775" s="208"/>
      <c r="H775" s="233"/>
      <c r="I775" s="234"/>
      <c r="J775" s="208"/>
      <c r="K775" s="208"/>
      <c r="L775" s="208"/>
      <c r="M775" s="208"/>
      <c r="N775" s="208"/>
      <c r="O775" s="208"/>
      <c r="P775" s="208"/>
      <c r="Q775" s="208"/>
      <c r="R775" s="208"/>
      <c r="S775" s="208"/>
      <c r="T775" s="208"/>
      <c r="U775" s="208"/>
      <c r="V775" s="208"/>
      <c r="W775" s="208"/>
      <c r="X775" s="208"/>
      <c r="Y775" s="208"/>
      <c r="Z775" s="208"/>
      <c r="AA775" s="208"/>
      <c r="AB775" s="208"/>
      <c r="AC775" s="208"/>
      <c r="AD775" s="208"/>
      <c r="AE775" s="208"/>
      <c r="AF775" s="208"/>
      <c r="AG775" s="208"/>
      <c r="AH775" s="208"/>
      <c r="AI775" s="208"/>
      <c r="AJ775" s="208"/>
      <c r="AK775" s="208"/>
    </row>
    <row r="776">
      <c r="A776" s="208"/>
      <c r="B776" s="208"/>
      <c r="C776" s="208"/>
      <c r="D776" s="208"/>
      <c r="E776" s="208"/>
      <c r="F776" s="208"/>
      <c r="G776" s="208"/>
      <c r="H776" s="233"/>
      <c r="I776" s="234"/>
      <c r="J776" s="208"/>
      <c r="K776" s="208"/>
      <c r="L776" s="208"/>
      <c r="M776" s="208"/>
      <c r="N776" s="208"/>
      <c r="O776" s="208"/>
      <c r="P776" s="208"/>
      <c r="Q776" s="208"/>
      <c r="R776" s="208"/>
      <c r="S776" s="208"/>
      <c r="T776" s="208"/>
      <c r="U776" s="208"/>
      <c r="V776" s="208"/>
      <c r="W776" s="208"/>
      <c r="X776" s="208"/>
      <c r="Y776" s="208"/>
      <c r="Z776" s="208"/>
      <c r="AA776" s="208"/>
      <c r="AB776" s="208"/>
      <c r="AC776" s="208"/>
      <c r="AD776" s="208"/>
      <c r="AE776" s="208"/>
      <c r="AF776" s="208"/>
      <c r="AG776" s="208"/>
      <c r="AH776" s="208"/>
      <c r="AI776" s="208"/>
      <c r="AJ776" s="208"/>
      <c r="AK776" s="208"/>
    </row>
    <row r="777">
      <c r="A777" s="208"/>
      <c r="B777" s="208"/>
      <c r="C777" s="208"/>
      <c r="D777" s="208"/>
      <c r="E777" s="208"/>
      <c r="F777" s="208"/>
      <c r="G777" s="208"/>
      <c r="H777" s="233"/>
      <c r="I777" s="234"/>
      <c r="J777" s="208"/>
      <c r="K777" s="208"/>
      <c r="L777" s="208"/>
      <c r="M777" s="208"/>
      <c r="N777" s="208"/>
      <c r="O777" s="208"/>
      <c r="P777" s="208"/>
      <c r="Q777" s="208"/>
      <c r="R777" s="208"/>
      <c r="S777" s="208"/>
      <c r="T777" s="208"/>
      <c r="U777" s="208"/>
      <c r="V777" s="208"/>
      <c r="W777" s="208"/>
      <c r="X777" s="208"/>
      <c r="Y777" s="208"/>
      <c r="Z777" s="208"/>
      <c r="AA777" s="208"/>
      <c r="AB777" s="208"/>
      <c r="AC777" s="208"/>
      <c r="AD777" s="208"/>
      <c r="AE777" s="208"/>
      <c r="AF777" s="208"/>
      <c r="AG777" s="208"/>
      <c r="AH777" s="208"/>
      <c r="AI777" s="208"/>
      <c r="AJ777" s="208"/>
      <c r="AK777" s="208"/>
    </row>
    <row r="778">
      <c r="A778" s="208"/>
      <c r="B778" s="208"/>
      <c r="C778" s="208"/>
      <c r="D778" s="208"/>
      <c r="E778" s="208"/>
      <c r="F778" s="208"/>
      <c r="G778" s="208"/>
      <c r="H778" s="233"/>
      <c r="I778" s="234"/>
      <c r="J778" s="208"/>
      <c r="K778" s="208"/>
      <c r="L778" s="208"/>
      <c r="M778" s="208"/>
      <c r="N778" s="208"/>
      <c r="O778" s="208"/>
      <c r="P778" s="208"/>
      <c r="Q778" s="208"/>
      <c r="R778" s="208"/>
      <c r="S778" s="208"/>
      <c r="T778" s="208"/>
      <c r="U778" s="208"/>
      <c r="V778" s="208"/>
      <c r="W778" s="208"/>
      <c r="X778" s="208"/>
      <c r="Y778" s="208"/>
      <c r="Z778" s="208"/>
      <c r="AA778" s="208"/>
      <c r="AB778" s="208"/>
      <c r="AC778" s="208"/>
      <c r="AD778" s="208"/>
      <c r="AE778" s="208"/>
      <c r="AF778" s="208"/>
      <c r="AG778" s="208"/>
      <c r="AH778" s="208"/>
      <c r="AI778" s="208"/>
      <c r="AJ778" s="208"/>
      <c r="AK778" s="208"/>
    </row>
    <row r="779">
      <c r="A779" s="208"/>
      <c r="B779" s="208"/>
      <c r="C779" s="208"/>
      <c r="D779" s="208"/>
      <c r="E779" s="208"/>
      <c r="F779" s="208"/>
      <c r="G779" s="208"/>
      <c r="H779" s="233"/>
      <c r="I779" s="234"/>
      <c r="J779" s="208"/>
      <c r="K779" s="208"/>
      <c r="L779" s="208"/>
      <c r="M779" s="208"/>
      <c r="N779" s="208"/>
      <c r="O779" s="208"/>
      <c r="P779" s="208"/>
      <c r="Q779" s="208"/>
      <c r="R779" s="208"/>
      <c r="S779" s="208"/>
      <c r="T779" s="208"/>
      <c r="U779" s="208"/>
      <c r="V779" s="208"/>
      <c r="W779" s="208"/>
      <c r="X779" s="208"/>
      <c r="Y779" s="208"/>
      <c r="Z779" s="208"/>
      <c r="AA779" s="208"/>
      <c r="AB779" s="208"/>
      <c r="AC779" s="208"/>
      <c r="AD779" s="208"/>
      <c r="AE779" s="208"/>
      <c r="AF779" s="208"/>
      <c r="AG779" s="208"/>
      <c r="AH779" s="208"/>
      <c r="AI779" s="208"/>
      <c r="AJ779" s="208"/>
      <c r="AK779" s="208"/>
    </row>
    <row r="780">
      <c r="A780" s="208"/>
      <c r="B780" s="208"/>
      <c r="C780" s="208"/>
      <c r="D780" s="208"/>
      <c r="E780" s="208"/>
      <c r="F780" s="208"/>
      <c r="G780" s="208"/>
      <c r="H780" s="233"/>
      <c r="I780" s="234"/>
      <c r="J780" s="208"/>
      <c r="K780" s="208"/>
      <c r="L780" s="208"/>
      <c r="M780" s="208"/>
      <c r="N780" s="208"/>
      <c r="O780" s="208"/>
      <c r="P780" s="208"/>
      <c r="Q780" s="208"/>
      <c r="R780" s="208"/>
      <c r="S780" s="208"/>
      <c r="T780" s="208"/>
      <c r="U780" s="208"/>
      <c r="V780" s="208"/>
      <c r="W780" s="208"/>
      <c r="X780" s="208"/>
      <c r="Y780" s="208"/>
      <c r="Z780" s="208"/>
      <c r="AA780" s="208"/>
      <c r="AB780" s="208"/>
      <c r="AC780" s="208"/>
      <c r="AD780" s="208"/>
      <c r="AE780" s="208"/>
      <c r="AF780" s="208"/>
      <c r="AG780" s="208"/>
      <c r="AH780" s="208"/>
      <c r="AI780" s="208"/>
      <c r="AJ780" s="208"/>
      <c r="AK780" s="208"/>
    </row>
    <row r="781">
      <c r="A781" s="208"/>
      <c r="B781" s="208"/>
      <c r="C781" s="208"/>
      <c r="D781" s="208"/>
      <c r="E781" s="208"/>
      <c r="F781" s="208"/>
      <c r="G781" s="208"/>
      <c r="H781" s="233"/>
      <c r="I781" s="234"/>
      <c r="J781" s="208"/>
      <c r="K781" s="208"/>
      <c r="L781" s="208"/>
      <c r="M781" s="208"/>
      <c r="N781" s="208"/>
      <c r="O781" s="208"/>
      <c r="P781" s="208"/>
      <c r="Q781" s="208"/>
      <c r="R781" s="208"/>
      <c r="S781" s="208"/>
      <c r="T781" s="208"/>
      <c r="U781" s="208"/>
      <c r="V781" s="208"/>
      <c r="W781" s="208"/>
      <c r="X781" s="208"/>
      <c r="Y781" s="208"/>
      <c r="Z781" s="208"/>
      <c r="AA781" s="208"/>
      <c r="AB781" s="208"/>
      <c r="AC781" s="208"/>
      <c r="AD781" s="208"/>
      <c r="AE781" s="208"/>
      <c r="AF781" s="208"/>
      <c r="AG781" s="208"/>
      <c r="AH781" s="208"/>
      <c r="AI781" s="208"/>
      <c r="AJ781" s="208"/>
      <c r="AK781" s="208"/>
    </row>
    <row r="782">
      <c r="A782" s="208"/>
      <c r="B782" s="208"/>
      <c r="C782" s="208"/>
      <c r="D782" s="208"/>
      <c r="E782" s="208"/>
      <c r="F782" s="208"/>
      <c r="G782" s="208"/>
      <c r="H782" s="233"/>
      <c r="I782" s="234"/>
      <c r="J782" s="208"/>
      <c r="K782" s="208"/>
      <c r="L782" s="208"/>
      <c r="M782" s="208"/>
      <c r="N782" s="208"/>
      <c r="O782" s="208"/>
      <c r="P782" s="208"/>
      <c r="Q782" s="208"/>
      <c r="R782" s="208"/>
      <c r="S782" s="208"/>
      <c r="T782" s="208"/>
      <c r="U782" s="208"/>
      <c r="V782" s="208"/>
      <c r="W782" s="208"/>
      <c r="X782" s="208"/>
      <c r="Y782" s="208"/>
      <c r="Z782" s="208"/>
      <c r="AA782" s="208"/>
      <c r="AB782" s="208"/>
      <c r="AC782" s="208"/>
      <c r="AD782" s="208"/>
      <c r="AE782" s="208"/>
      <c r="AF782" s="208"/>
      <c r="AG782" s="208"/>
      <c r="AH782" s="208"/>
      <c r="AI782" s="208"/>
      <c r="AJ782" s="208"/>
      <c r="AK782" s="208"/>
    </row>
    <row r="783">
      <c r="A783" s="208"/>
      <c r="B783" s="208"/>
      <c r="C783" s="208"/>
      <c r="D783" s="208"/>
      <c r="E783" s="208"/>
      <c r="F783" s="208"/>
      <c r="G783" s="208"/>
      <c r="H783" s="233"/>
      <c r="I783" s="234"/>
      <c r="J783" s="208"/>
      <c r="K783" s="208"/>
      <c r="L783" s="208"/>
      <c r="M783" s="208"/>
      <c r="N783" s="208"/>
      <c r="O783" s="208"/>
      <c r="P783" s="208"/>
      <c r="Q783" s="208"/>
      <c r="R783" s="208"/>
      <c r="S783" s="208"/>
      <c r="T783" s="208"/>
      <c r="U783" s="208"/>
      <c r="V783" s="208"/>
      <c r="W783" s="208"/>
      <c r="X783" s="208"/>
      <c r="Y783" s="208"/>
      <c r="Z783" s="208"/>
      <c r="AA783" s="208"/>
      <c r="AB783" s="208"/>
      <c r="AC783" s="208"/>
      <c r="AD783" s="208"/>
      <c r="AE783" s="208"/>
      <c r="AF783" s="208"/>
      <c r="AG783" s="208"/>
      <c r="AH783" s="208"/>
      <c r="AI783" s="208"/>
      <c r="AJ783" s="208"/>
      <c r="AK783" s="208"/>
    </row>
    <row r="784">
      <c r="A784" s="208"/>
      <c r="B784" s="208"/>
      <c r="C784" s="208"/>
      <c r="D784" s="208"/>
      <c r="E784" s="208"/>
      <c r="F784" s="208"/>
      <c r="G784" s="208"/>
      <c r="H784" s="233"/>
      <c r="I784" s="234"/>
      <c r="J784" s="208"/>
      <c r="K784" s="208"/>
      <c r="L784" s="208"/>
      <c r="M784" s="208"/>
      <c r="N784" s="208"/>
      <c r="O784" s="208"/>
      <c r="P784" s="208"/>
      <c r="Q784" s="208"/>
      <c r="R784" s="208"/>
      <c r="S784" s="208"/>
      <c r="T784" s="208"/>
      <c r="U784" s="208"/>
      <c r="V784" s="208"/>
      <c r="W784" s="208"/>
      <c r="X784" s="208"/>
      <c r="Y784" s="208"/>
      <c r="Z784" s="208"/>
      <c r="AA784" s="208"/>
      <c r="AB784" s="208"/>
      <c r="AC784" s="208"/>
      <c r="AD784" s="208"/>
      <c r="AE784" s="208"/>
      <c r="AF784" s="208"/>
      <c r="AG784" s="208"/>
      <c r="AH784" s="208"/>
      <c r="AI784" s="208"/>
      <c r="AJ784" s="208"/>
      <c r="AK784" s="208"/>
    </row>
    <row r="785">
      <c r="A785" s="208"/>
      <c r="B785" s="208"/>
      <c r="C785" s="208"/>
      <c r="D785" s="208"/>
      <c r="E785" s="208"/>
      <c r="F785" s="208"/>
      <c r="G785" s="208"/>
      <c r="H785" s="233"/>
      <c r="I785" s="234"/>
      <c r="J785" s="208"/>
      <c r="K785" s="208"/>
      <c r="L785" s="208"/>
      <c r="M785" s="208"/>
      <c r="N785" s="208"/>
      <c r="O785" s="208"/>
      <c r="P785" s="208"/>
      <c r="Q785" s="208"/>
      <c r="R785" s="208"/>
      <c r="S785" s="208"/>
      <c r="T785" s="208"/>
      <c r="U785" s="208"/>
      <c r="V785" s="208"/>
      <c r="W785" s="208"/>
      <c r="X785" s="208"/>
      <c r="Y785" s="208"/>
      <c r="Z785" s="208"/>
      <c r="AA785" s="208"/>
      <c r="AB785" s="208"/>
      <c r="AC785" s="208"/>
      <c r="AD785" s="208"/>
      <c r="AE785" s="208"/>
      <c r="AF785" s="208"/>
      <c r="AG785" s="208"/>
      <c r="AH785" s="208"/>
      <c r="AI785" s="208"/>
      <c r="AJ785" s="208"/>
      <c r="AK785" s="208"/>
    </row>
    <row r="786">
      <c r="A786" s="208"/>
      <c r="B786" s="208"/>
      <c r="C786" s="208"/>
      <c r="D786" s="208"/>
      <c r="E786" s="208"/>
      <c r="F786" s="208"/>
      <c r="G786" s="208"/>
      <c r="H786" s="233"/>
      <c r="I786" s="234"/>
      <c r="J786" s="208"/>
      <c r="K786" s="208"/>
      <c r="L786" s="208"/>
      <c r="M786" s="208"/>
      <c r="N786" s="208"/>
      <c r="O786" s="208"/>
      <c r="P786" s="208"/>
      <c r="Q786" s="208"/>
      <c r="R786" s="208"/>
      <c r="S786" s="208"/>
      <c r="T786" s="208"/>
      <c r="U786" s="208"/>
      <c r="V786" s="208"/>
      <c r="W786" s="208"/>
      <c r="X786" s="208"/>
      <c r="Y786" s="208"/>
      <c r="Z786" s="208"/>
      <c r="AA786" s="208"/>
      <c r="AB786" s="208"/>
      <c r="AC786" s="208"/>
      <c r="AD786" s="208"/>
      <c r="AE786" s="208"/>
      <c r="AF786" s="208"/>
      <c r="AG786" s="208"/>
      <c r="AH786" s="208"/>
      <c r="AI786" s="208"/>
      <c r="AJ786" s="208"/>
      <c r="AK786" s="208"/>
    </row>
    <row r="787">
      <c r="A787" s="208"/>
      <c r="B787" s="208"/>
      <c r="C787" s="208"/>
      <c r="D787" s="208"/>
      <c r="E787" s="208"/>
      <c r="F787" s="208"/>
      <c r="G787" s="208"/>
      <c r="H787" s="233"/>
      <c r="I787" s="234"/>
      <c r="J787" s="208"/>
      <c r="K787" s="208"/>
      <c r="L787" s="208"/>
      <c r="M787" s="208"/>
      <c r="N787" s="208"/>
      <c r="O787" s="208"/>
      <c r="P787" s="208"/>
      <c r="Q787" s="208"/>
      <c r="R787" s="208"/>
      <c r="S787" s="208"/>
      <c r="T787" s="208"/>
      <c r="U787" s="208"/>
      <c r="V787" s="208"/>
      <c r="W787" s="208"/>
      <c r="X787" s="208"/>
      <c r="Y787" s="208"/>
      <c r="Z787" s="208"/>
      <c r="AA787" s="208"/>
      <c r="AB787" s="208"/>
      <c r="AC787" s="208"/>
      <c r="AD787" s="208"/>
      <c r="AE787" s="208"/>
      <c r="AF787" s="208"/>
      <c r="AG787" s="208"/>
      <c r="AH787" s="208"/>
      <c r="AI787" s="208"/>
      <c r="AJ787" s="208"/>
      <c r="AK787" s="208"/>
    </row>
    <row r="788">
      <c r="A788" s="208"/>
      <c r="B788" s="208"/>
      <c r="C788" s="208"/>
      <c r="D788" s="208"/>
      <c r="E788" s="208"/>
      <c r="F788" s="208"/>
      <c r="G788" s="208"/>
      <c r="H788" s="233"/>
      <c r="I788" s="234"/>
      <c r="J788" s="208"/>
      <c r="K788" s="208"/>
      <c r="L788" s="208"/>
      <c r="M788" s="208"/>
      <c r="N788" s="208"/>
      <c r="O788" s="208"/>
      <c r="P788" s="208"/>
      <c r="Q788" s="208"/>
      <c r="R788" s="208"/>
      <c r="S788" s="208"/>
      <c r="T788" s="208"/>
      <c r="U788" s="208"/>
      <c r="V788" s="208"/>
      <c r="W788" s="208"/>
      <c r="X788" s="208"/>
      <c r="Y788" s="208"/>
      <c r="Z788" s="208"/>
      <c r="AA788" s="208"/>
      <c r="AB788" s="208"/>
      <c r="AC788" s="208"/>
      <c r="AD788" s="208"/>
      <c r="AE788" s="208"/>
      <c r="AF788" s="208"/>
      <c r="AG788" s="208"/>
      <c r="AH788" s="208"/>
      <c r="AI788" s="208"/>
      <c r="AJ788" s="208"/>
      <c r="AK788" s="208"/>
    </row>
    <row r="789">
      <c r="A789" s="208"/>
      <c r="B789" s="208"/>
      <c r="C789" s="208"/>
      <c r="D789" s="208"/>
      <c r="E789" s="208"/>
      <c r="F789" s="208"/>
      <c r="G789" s="208"/>
      <c r="H789" s="233"/>
      <c r="I789" s="234"/>
      <c r="J789" s="208"/>
      <c r="K789" s="208"/>
      <c r="L789" s="208"/>
      <c r="M789" s="208"/>
      <c r="N789" s="208"/>
      <c r="O789" s="208"/>
      <c r="P789" s="208"/>
      <c r="Q789" s="208"/>
      <c r="R789" s="208"/>
      <c r="S789" s="208"/>
      <c r="T789" s="208"/>
      <c r="U789" s="208"/>
      <c r="V789" s="208"/>
      <c r="W789" s="208"/>
      <c r="X789" s="208"/>
      <c r="Y789" s="208"/>
      <c r="Z789" s="208"/>
      <c r="AA789" s="208"/>
      <c r="AB789" s="208"/>
      <c r="AC789" s="208"/>
      <c r="AD789" s="208"/>
      <c r="AE789" s="208"/>
      <c r="AF789" s="208"/>
      <c r="AG789" s="208"/>
      <c r="AH789" s="208"/>
      <c r="AI789" s="208"/>
      <c r="AJ789" s="208"/>
      <c r="AK789" s="208"/>
    </row>
    <row r="790">
      <c r="A790" s="208"/>
      <c r="B790" s="208"/>
      <c r="C790" s="208"/>
      <c r="D790" s="208"/>
      <c r="E790" s="208"/>
      <c r="F790" s="208"/>
      <c r="G790" s="208"/>
      <c r="H790" s="233"/>
      <c r="I790" s="234"/>
      <c r="J790" s="208"/>
      <c r="K790" s="208"/>
      <c r="L790" s="208"/>
      <c r="M790" s="208"/>
      <c r="N790" s="208"/>
      <c r="O790" s="208"/>
      <c r="P790" s="208"/>
      <c r="Q790" s="208"/>
      <c r="R790" s="208"/>
      <c r="S790" s="208"/>
      <c r="T790" s="208"/>
      <c r="U790" s="208"/>
      <c r="V790" s="208"/>
      <c r="W790" s="208"/>
      <c r="X790" s="208"/>
      <c r="Y790" s="208"/>
      <c r="Z790" s="208"/>
      <c r="AA790" s="208"/>
      <c r="AB790" s="208"/>
      <c r="AC790" s="208"/>
      <c r="AD790" s="208"/>
      <c r="AE790" s="208"/>
      <c r="AF790" s="208"/>
      <c r="AG790" s="208"/>
      <c r="AH790" s="208"/>
      <c r="AI790" s="208"/>
      <c r="AJ790" s="208"/>
      <c r="AK790" s="208"/>
    </row>
    <row r="791">
      <c r="A791" s="208"/>
      <c r="B791" s="208"/>
      <c r="C791" s="208"/>
      <c r="D791" s="208"/>
      <c r="E791" s="208"/>
      <c r="F791" s="208"/>
      <c r="G791" s="208"/>
      <c r="H791" s="233"/>
      <c r="I791" s="234"/>
      <c r="J791" s="208"/>
      <c r="K791" s="208"/>
      <c r="L791" s="208"/>
      <c r="M791" s="208"/>
      <c r="N791" s="208"/>
      <c r="O791" s="208"/>
      <c r="P791" s="208"/>
      <c r="Q791" s="208"/>
      <c r="R791" s="208"/>
      <c r="S791" s="208"/>
      <c r="T791" s="208"/>
      <c r="U791" s="208"/>
      <c r="V791" s="208"/>
      <c r="W791" s="208"/>
      <c r="X791" s="208"/>
      <c r="Y791" s="208"/>
      <c r="Z791" s="208"/>
      <c r="AA791" s="208"/>
      <c r="AB791" s="208"/>
      <c r="AC791" s="208"/>
      <c r="AD791" s="208"/>
      <c r="AE791" s="208"/>
      <c r="AF791" s="208"/>
      <c r="AG791" s="208"/>
      <c r="AH791" s="208"/>
      <c r="AI791" s="208"/>
      <c r="AJ791" s="208"/>
      <c r="AK791" s="208"/>
    </row>
    <row r="792">
      <c r="A792" s="208"/>
      <c r="B792" s="208"/>
      <c r="C792" s="208"/>
      <c r="D792" s="208"/>
      <c r="E792" s="208"/>
      <c r="F792" s="208"/>
      <c r="G792" s="208"/>
      <c r="H792" s="233"/>
      <c r="I792" s="234"/>
      <c r="J792" s="208"/>
      <c r="K792" s="208"/>
      <c r="L792" s="208"/>
      <c r="M792" s="208"/>
      <c r="N792" s="208"/>
      <c r="O792" s="208"/>
      <c r="P792" s="208"/>
      <c r="Q792" s="208"/>
      <c r="R792" s="208"/>
      <c r="S792" s="208"/>
      <c r="T792" s="208"/>
      <c r="U792" s="208"/>
      <c r="V792" s="208"/>
      <c r="W792" s="208"/>
      <c r="X792" s="208"/>
      <c r="Y792" s="208"/>
      <c r="Z792" s="208"/>
      <c r="AA792" s="208"/>
      <c r="AB792" s="208"/>
      <c r="AC792" s="208"/>
      <c r="AD792" s="208"/>
      <c r="AE792" s="208"/>
      <c r="AF792" s="208"/>
      <c r="AG792" s="208"/>
      <c r="AH792" s="208"/>
      <c r="AI792" s="208"/>
      <c r="AJ792" s="208"/>
      <c r="AK792" s="208"/>
    </row>
    <row r="793">
      <c r="A793" s="208"/>
      <c r="B793" s="208"/>
      <c r="C793" s="208"/>
      <c r="D793" s="208"/>
      <c r="E793" s="208"/>
      <c r="F793" s="208"/>
      <c r="G793" s="208"/>
      <c r="H793" s="233"/>
      <c r="I793" s="234"/>
      <c r="J793" s="208"/>
      <c r="K793" s="208"/>
      <c r="L793" s="208"/>
      <c r="M793" s="208"/>
      <c r="N793" s="208"/>
      <c r="O793" s="208"/>
      <c r="P793" s="208"/>
      <c r="Q793" s="208"/>
      <c r="R793" s="208"/>
      <c r="S793" s="208"/>
      <c r="T793" s="208"/>
      <c r="U793" s="208"/>
      <c r="V793" s="208"/>
      <c r="W793" s="208"/>
      <c r="X793" s="208"/>
      <c r="Y793" s="208"/>
      <c r="Z793" s="208"/>
      <c r="AA793" s="208"/>
      <c r="AB793" s="208"/>
      <c r="AC793" s="208"/>
      <c r="AD793" s="208"/>
      <c r="AE793" s="208"/>
      <c r="AF793" s="208"/>
      <c r="AG793" s="208"/>
      <c r="AH793" s="208"/>
      <c r="AI793" s="208"/>
      <c r="AJ793" s="208"/>
      <c r="AK793" s="208"/>
    </row>
    <row r="794">
      <c r="A794" s="208"/>
      <c r="B794" s="208"/>
      <c r="C794" s="208"/>
      <c r="D794" s="208"/>
      <c r="E794" s="208"/>
      <c r="F794" s="208"/>
      <c r="G794" s="208"/>
      <c r="H794" s="233"/>
      <c r="I794" s="234"/>
      <c r="J794" s="208"/>
      <c r="K794" s="208"/>
      <c r="L794" s="208"/>
      <c r="M794" s="208"/>
      <c r="N794" s="208"/>
      <c r="O794" s="208"/>
      <c r="P794" s="208"/>
      <c r="Q794" s="208"/>
      <c r="R794" s="208"/>
      <c r="S794" s="208"/>
      <c r="T794" s="208"/>
      <c r="U794" s="208"/>
      <c r="V794" s="208"/>
      <c r="W794" s="208"/>
      <c r="X794" s="208"/>
      <c r="Y794" s="208"/>
      <c r="Z794" s="208"/>
      <c r="AA794" s="208"/>
      <c r="AB794" s="208"/>
      <c r="AC794" s="208"/>
      <c r="AD794" s="208"/>
      <c r="AE794" s="208"/>
      <c r="AF794" s="208"/>
      <c r="AG794" s="208"/>
      <c r="AH794" s="208"/>
      <c r="AI794" s="208"/>
      <c r="AJ794" s="208"/>
      <c r="AK794" s="208"/>
    </row>
    <row r="795">
      <c r="A795" s="208"/>
      <c r="B795" s="208"/>
      <c r="C795" s="208"/>
      <c r="D795" s="208"/>
      <c r="E795" s="208"/>
      <c r="F795" s="208"/>
      <c r="G795" s="208"/>
      <c r="H795" s="233"/>
      <c r="I795" s="234"/>
      <c r="J795" s="208"/>
      <c r="K795" s="208"/>
      <c r="L795" s="208"/>
      <c r="M795" s="208"/>
      <c r="N795" s="208"/>
      <c r="O795" s="208"/>
      <c r="P795" s="208"/>
      <c r="Q795" s="208"/>
      <c r="R795" s="208"/>
      <c r="S795" s="208"/>
      <c r="T795" s="208"/>
      <c r="U795" s="208"/>
      <c r="V795" s="208"/>
      <c r="W795" s="208"/>
      <c r="X795" s="208"/>
      <c r="Y795" s="208"/>
      <c r="Z795" s="208"/>
      <c r="AA795" s="208"/>
      <c r="AB795" s="208"/>
      <c r="AC795" s="208"/>
      <c r="AD795" s="208"/>
      <c r="AE795" s="208"/>
      <c r="AF795" s="208"/>
      <c r="AG795" s="208"/>
      <c r="AH795" s="208"/>
      <c r="AI795" s="208"/>
      <c r="AJ795" s="208"/>
      <c r="AK795" s="208"/>
    </row>
    <row r="796">
      <c r="A796" s="208"/>
      <c r="B796" s="208"/>
      <c r="C796" s="208"/>
      <c r="D796" s="208"/>
      <c r="E796" s="208"/>
      <c r="F796" s="208"/>
      <c r="G796" s="208"/>
      <c r="H796" s="233"/>
      <c r="I796" s="234"/>
      <c r="J796" s="208"/>
      <c r="K796" s="208"/>
      <c r="L796" s="208"/>
      <c r="M796" s="208"/>
      <c r="N796" s="208"/>
      <c r="O796" s="208"/>
      <c r="P796" s="208"/>
      <c r="Q796" s="208"/>
      <c r="R796" s="208"/>
      <c r="S796" s="208"/>
      <c r="T796" s="208"/>
      <c r="U796" s="208"/>
      <c r="V796" s="208"/>
      <c r="W796" s="208"/>
      <c r="X796" s="208"/>
      <c r="Y796" s="208"/>
      <c r="Z796" s="208"/>
      <c r="AA796" s="208"/>
      <c r="AB796" s="208"/>
      <c r="AC796" s="208"/>
      <c r="AD796" s="208"/>
      <c r="AE796" s="208"/>
      <c r="AF796" s="208"/>
      <c r="AG796" s="208"/>
      <c r="AH796" s="208"/>
      <c r="AI796" s="208"/>
      <c r="AJ796" s="208"/>
      <c r="AK796" s="208"/>
    </row>
    <row r="797">
      <c r="A797" s="208"/>
      <c r="B797" s="208"/>
      <c r="C797" s="208"/>
      <c r="D797" s="208"/>
      <c r="E797" s="208"/>
      <c r="F797" s="208"/>
      <c r="G797" s="208"/>
      <c r="H797" s="233"/>
      <c r="I797" s="234"/>
      <c r="J797" s="208"/>
      <c r="K797" s="208"/>
      <c r="L797" s="208"/>
      <c r="M797" s="208"/>
      <c r="N797" s="208"/>
      <c r="O797" s="208"/>
      <c r="P797" s="208"/>
      <c r="Q797" s="208"/>
      <c r="R797" s="208"/>
      <c r="S797" s="208"/>
      <c r="T797" s="208"/>
      <c r="U797" s="208"/>
      <c r="V797" s="208"/>
      <c r="W797" s="208"/>
      <c r="X797" s="208"/>
      <c r="Y797" s="208"/>
      <c r="Z797" s="208"/>
      <c r="AA797" s="208"/>
      <c r="AB797" s="208"/>
      <c r="AC797" s="208"/>
      <c r="AD797" s="208"/>
      <c r="AE797" s="208"/>
      <c r="AF797" s="208"/>
      <c r="AG797" s="208"/>
      <c r="AH797" s="208"/>
      <c r="AI797" s="208"/>
      <c r="AJ797" s="208"/>
      <c r="AK797" s="208"/>
    </row>
    <row r="798">
      <c r="A798" s="208"/>
      <c r="B798" s="208"/>
      <c r="C798" s="208"/>
      <c r="D798" s="208"/>
      <c r="E798" s="208"/>
      <c r="F798" s="208"/>
      <c r="G798" s="208"/>
      <c r="H798" s="233"/>
      <c r="I798" s="234"/>
      <c r="J798" s="208"/>
      <c r="K798" s="208"/>
      <c r="L798" s="208"/>
      <c r="M798" s="208"/>
      <c r="N798" s="208"/>
      <c r="O798" s="208"/>
      <c r="P798" s="208"/>
      <c r="Q798" s="208"/>
      <c r="R798" s="208"/>
      <c r="S798" s="208"/>
      <c r="T798" s="208"/>
      <c r="U798" s="208"/>
      <c r="V798" s="208"/>
      <c r="W798" s="208"/>
      <c r="X798" s="208"/>
      <c r="Y798" s="208"/>
      <c r="Z798" s="208"/>
      <c r="AA798" s="208"/>
      <c r="AB798" s="208"/>
      <c r="AC798" s="208"/>
      <c r="AD798" s="208"/>
      <c r="AE798" s="208"/>
      <c r="AF798" s="208"/>
      <c r="AG798" s="208"/>
      <c r="AH798" s="208"/>
      <c r="AI798" s="208"/>
      <c r="AJ798" s="208"/>
      <c r="AK798" s="208"/>
    </row>
    <row r="799">
      <c r="A799" s="208"/>
      <c r="B799" s="208"/>
      <c r="C799" s="208"/>
      <c r="D799" s="208"/>
      <c r="E799" s="208"/>
      <c r="F799" s="208"/>
      <c r="G799" s="208"/>
      <c r="H799" s="233"/>
      <c r="I799" s="234"/>
      <c r="J799" s="208"/>
      <c r="K799" s="208"/>
      <c r="L799" s="208"/>
      <c r="M799" s="208"/>
      <c r="N799" s="208"/>
      <c r="O799" s="208"/>
      <c r="P799" s="208"/>
      <c r="Q799" s="208"/>
      <c r="R799" s="208"/>
      <c r="S799" s="208"/>
      <c r="T799" s="208"/>
      <c r="U799" s="208"/>
      <c r="V799" s="208"/>
      <c r="W799" s="208"/>
      <c r="X799" s="208"/>
      <c r="Y799" s="208"/>
      <c r="Z799" s="208"/>
      <c r="AA799" s="208"/>
      <c r="AB799" s="208"/>
      <c r="AC799" s="208"/>
      <c r="AD799" s="208"/>
      <c r="AE799" s="208"/>
      <c r="AF799" s="208"/>
      <c r="AG799" s="208"/>
      <c r="AH799" s="208"/>
      <c r="AI799" s="208"/>
      <c r="AJ799" s="208"/>
      <c r="AK799" s="208"/>
    </row>
    <row r="800">
      <c r="A800" s="208"/>
      <c r="B800" s="208"/>
      <c r="C800" s="208"/>
      <c r="D800" s="208"/>
      <c r="E800" s="208"/>
      <c r="F800" s="208"/>
      <c r="G800" s="208"/>
      <c r="H800" s="233"/>
      <c r="I800" s="234"/>
      <c r="J800" s="208"/>
      <c r="K800" s="208"/>
      <c r="L800" s="208"/>
      <c r="M800" s="208"/>
      <c r="N800" s="208"/>
      <c r="O800" s="208"/>
      <c r="P800" s="208"/>
      <c r="Q800" s="208"/>
      <c r="R800" s="208"/>
      <c r="S800" s="208"/>
      <c r="T800" s="208"/>
      <c r="U800" s="208"/>
      <c r="V800" s="208"/>
      <c r="W800" s="208"/>
      <c r="X800" s="208"/>
      <c r="Y800" s="208"/>
      <c r="Z800" s="208"/>
      <c r="AA800" s="208"/>
      <c r="AB800" s="208"/>
      <c r="AC800" s="208"/>
      <c r="AD800" s="208"/>
      <c r="AE800" s="208"/>
      <c r="AF800" s="208"/>
      <c r="AG800" s="208"/>
      <c r="AH800" s="208"/>
      <c r="AI800" s="208"/>
      <c r="AJ800" s="208"/>
      <c r="AK800" s="208"/>
    </row>
    <row r="801">
      <c r="A801" s="208"/>
      <c r="B801" s="208"/>
      <c r="C801" s="208"/>
      <c r="D801" s="208"/>
      <c r="E801" s="208"/>
      <c r="F801" s="208"/>
      <c r="G801" s="208"/>
      <c r="H801" s="233"/>
      <c r="I801" s="234"/>
      <c r="J801" s="208"/>
      <c r="K801" s="208"/>
      <c r="L801" s="208"/>
      <c r="M801" s="208"/>
      <c r="N801" s="208"/>
      <c r="O801" s="208"/>
      <c r="P801" s="208"/>
      <c r="Q801" s="208"/>
      <c r="R801" s="208"/>
      <c r="S801" s="208"/>
      <c r="T801" s="208"/>
      <c r="U801" s="208"/>
      <c r="V801" s="208"/>
      <c r="W801" s="208"/>
      <c r="X801" s="208"/>
      <c r="Y801" s="208"/>
      <c r="Z801" s="208"/>
      <c r="AA801" s="208"/>
      <c r="AB801" s="208"/>
      <c r="AC801" s="208"/>
      <c r="AD801" s="208"/>
      <c r="AE801" s="208"/>
      <c r="AF801" s="208"/>
      <c r="AG801" s="208"/>
      <c r="AH801" s="208"/>
      <c r="AI801" s="208"/>
      <c r="AJ801" s="208"/>
      <c r="AK801" s="208"/>
    </row>
    <row r="802">
      <c r="A802" s="208"/>
      <c r="B802" s="208"/>
      <c r="C802" s="208"/>
      <c r="D802" s="208"/>
      <c r="E802" s="208"/>
      <c r="F802" s="208"/>
      <c r="G802" s="208"/>
      <c r="H802" s="233"/>
      <c r="I802" s="234"/>
      <c r="J802" s="208"/>
      <c r="K802" s="208"/>
      <c r="L802" s="208"/>
      <c r="M802" s="208"/>
      <c r="N802" s="208"/>
      <c r="O802" s="208"/>
      <c r="P802" s="208"/>
      <c r="Q802" s="208"/>
      <c r="R802" s="208"/>
      <c r="S802" s="208"/>
      <c r="T802" s="208"/>
      <c r="U802" s="208"/>
      <c r="V802" s="208"/>
      <c r="W802" s="208"/>
      <c r="X802" s="208"/>
      <c r="Y802" s="208"/>
      <c r="Z802" s="208"/>
      <c r="AA802" s="208"/>
      <c r="AB802" s="208"/>
      <c r="AC802" s="208"/>
      <c r="AD802" s="208"/>
      <c r="AE802" s="208"/>
      <c r="AF802" s="208"/>
      <c r="AG802" s="208"/>
      <c r="AH802" s="208"/>
      <c r="AI802" s="208"/>
      <c r="AJ802" s="208"/>
      <c r="AK802" s="208"/>
    </row>
    <row r="803">
      <c r="A803" s="208"/>
      <c r="B803" s="208"/>
      <c r="C803" s="208"/>
      <c r="D803" s="208"/>
      <c r="E803" s="208"/>
      <c r="F803" s="208"/>
      <c r="G803" s="208"/>
      <c r="H803" s="233"/>
      <c r="I803" s="234"/>
      <c r="J803" s="208"/>
      <c r="K803" s="208"/>
      <c r="L803" s="208"/>
      <c r="M803" s="208"/>
      <c r="N803" s="208"/>
      <c r="O803" s="208"/>
      <c r="P803" s="208"/>
      <c r="Q803" s="208"/>
      <c r="R803" s="208"/>
      <c r="S803" s="208"/>
      <c r="T803" s="208"/>
      <c r="U803" s="208"/>
      <c r="V803" s="208"/>
      <c r="W803" s="208"/>
      <c r="X803" s="208"/>
      <c r="Y803" s="208"/>
      <c r="Z803" s="208"/>
      <c r="AA803" s="208"/>
      <c r="AB803" s="208"/>
      <c r="AC803" s="208"/>
      <c r="AD803" s="208"/>
      <c r="AE803" s="208"/>
      <c r="AF803" s="208"/>
      <c r="AG803" s="208"/>
      <c r="AH803" s="208"/>
      <c r="AI803" s="208"/>
      <c r="AJ803" s="208"/>
      <c r="AK803" s="208"/>
    </row>
    <row r="804">
      <c r="A804" s="208"/>
      <c r="B804" s="208"/>
      <c r="C804" s="208"/>
      <c r="D804" s="208"/>
      <c r="E804" s="208"/>
      <c r="F804" s="208"/>
      <c r="G804" s="208"/>
      <c r="H804" s="233"/>
      <c r="I804" s="234"/>
      <c r="J804" s="208"/>
      <c r="K804" s="208"/>
      <c r="L804" s="208"/>
      <c r="M804" s="208"/>
      <c r="N804" s="208"/>
      <c r="O804" s="208"/>
      <c r="P804" s="208"/>
      <c r="Q804" s="208"/>
      <c r="R804" s="208"/>
      <c r="S804" s="208"/>
      <c r="T804" s="208"/>
      <c r="U804" s="208"/>
      <c r="V804" s="208"/>
      <c r="W804" s="208"/>
      <c r="X804" s="208"/>
      <c r="Y804" s="208"/>
      <c r="Z804" s="208"/>
      <c r="AA804" s="208"/>
      <c r="AB804" s="208"/>
      <c r="AC804" s="208"/>
      <c r="AD804" s="208"/>
      <c r="AE804" s="208"/>
      <c r="AF804" s="208"/>
      <c r="AG804" s="208"/>
      <c r="AH804" s="208"/>
      <c r="AI804" s="208"/>
      <c r="AJ804" s="208"/>
      <c r="AK804" s="208"/>
    </row>
    <row r="805">
      <c r="A805" s="208"/>
      <c r="B805" s="208"/>
      <c r="C805" s="208"/>
      <c r="D805" s="208"/>
      <c r="E805" s="208"/>
      <c r="F805" s="208"/>
      <c r="G805" s="208"/>
      <c r="H805" s="233"/>
      <c r="I805" s="234"/>
      <c r="J805" s="208"/>
      <c r="K805" s="208"/>
      <c r="L805" s="208"/>
      <c r="M805" s="208"/>
      <c r="N805" s="208"/>
      <c r="O805" s="208"/>
      <c r="P805" s="208"/>
      <c r="Q805" s="208"/>
      <c r="R805" s="208"/>
      <c r="S805" s="208"/>
      <c r="T805" s="208"/>
      <c r="U805" s="208"/>
      <c r="V805" s="208"/>
      <c r="W805" s="208"/>
      <c r="X805" s="208"/>
      <c r="Y805" s="208"/>
      <c r="Z805" s="208"/>
      <c r="AA805" s="208"/>
      <c r="AB805" s="208"/>
      <c r="AC805" s="208"/>
      <c r="AD805" s="208"/>
      <c r="AE805" s="208"/>
      <c r="AF805" s="208"/>
      <c r="AG805" s="208"/>
      <c r="AH805" s="208"/>
      <c r="AI805" s="208"/>
      <c r="AJ805" s="208"/>
      <c r="AK805" s="208"/>
    </row>
    <row r="806">
      <c r="A806" s="208"/>
      <c r="B806" s="208"/>
      <c r="C806" s="208"/>
      <c r="D806" s="208"/>
      <c r="E806" s="208"/>
      <c r="F806" s="208"/>
      <c r="G806" s="208"/>
      <c r="H806" s="233"/>
      <c r="I806" s="234"/>
      <c r="J806" s="208"/>
      <c r="K806" s="208"/>
      <c r="L806" s="208"/>
      <c r="M806" s="208"/>
      <c r="N806" s="208"/>
      <c r="O806" s="208"/>
      <c r="P806" s="208"/>
      <c r="Q806" s="208"/>
      <c r="R806" s="208"/>
      <c r="S806" s="208"/>
      <c r="T806" s="208"/>
      <c r="U806" s="208"/>
      <c r="V806" s="208"/>
      <c r="W806" s="208"/>
      <c r="X806" s="208"/>
      <c r="Y806" s="208"/>
      <c r="Z806" s="208"/>
      <c r="AA806" s="208"/>
      <c r="AB806" s="208"/>
      <c r="AC806" s="208"/>
      <c r="AD806" s="208"/>
      <c r="AE806" s="208"/>
      <c r="AF806" s="208"/>
      <c r="AG806" s="208"/>
      <c r="AH806" s="208"/>
      <c r="AI806" s="208"/>
      <c r="AJ806" s="208"/>
      <c r="AK806" s="208"/>
    </row>
    <row r="807">
      <c r="A807" s="208"/>
      <c r="B807" s="208"/>
      <c r="C807" s="208"/>
      <c r="D807" s="208"/>
      <c r="E807" s="208"/>
      <c r="F807" s="208"/>
      <c r="G807" s="208"/>
      <c r="H807" s="233"/>
      <c r="I807" s="234"/>
      <c r="J807" s="208"/>
      <c r="K807" s="208"/>
      <c r="L807" s="208"/>
      <c r="M807" s="208"/>
      <c r="N807" s="208"/>
      <c r="O807" s="208"/>
      <c r="P807" s="208"/>
      <c r="Q807" s="208"/>
      <c r="R807" s="208"/>
      <c r="S807" s="208"/>
      <c r="T807" s="208"/>
      <c r="U807" s="208"/>
      <c r="V807" s="208"/>
      <c r="W807" s="208"/>
      <c r="X807" s="208"/>
      <c r="Y807" s="208"/>
      <c r="Z807" s="208"/>
      <c r="AA807" s="208"/>
      <c r="AB807" s="208"/>
      <c r="AC807" s="208"/>
      <c r="AD807" s="208"/>
      <c r="AE807" s="208"/>
      <c r="AF807" s="208"/>
      <c r="AG807" s="208"/>
      <c r="AH807" s="208"/>
      <c r="AI807" s="208"/>
      <c r="AJ807" s="208"/>
      <c r="AK807" s="208"/>
    </row>
    <row r="808">
      <c r="A808" s="208"/>
      <c r="B808" s="208"/>
      <c r="C808" s="208"/>
      <c r="D808" s="208"/>
      <c r="E808" s="208"/>
      <c r="F808" s="208"/>
      <c r="G808" s="208"/>
      <c r="H808" s="233"/>
      <c r="I808" s="234"/>
      <c r="J808" s="208"/>
      <c r="K808" s="208"/>
      <c r="L808" s="208"/>
      <c r="M808" s="208"/>
      <c r="N808" s="208"/>
      <c r="O808" s="208"/>
      <c r="P808" s="208"/>
      <c r="Q808" s="208"/>
      <c r="R808" s="208"/>
      <c r="S808" s="208"/>
      <c r="T808" s="208"/>
      <c r="U808" s="208"/>
      <c r="V808" s="208"/>
      <c r="W808" s="208"/>
      <c r="X808" s="208"/>
      <c r="Y808" s="208"/>
      <c r="Z808" s="208"/>
      <c r="AA808" s="208"/>
      <c r="AB808" s="208"/>
      <c r="AC808" s="208"/>
      <c r="AD808" s="208"/>
      <c r="AE808" s="208"/>
      <c r="AF808" s="208"/>
      <c r="AG808" s="208"/>
      <c r="AH808" s="208"/>
      <c r="AI808" s="208"/>
      <c r="AJ808" s="208"/>
      <c r="AK808" s="208"/>
    </row>
    <row r="809">
      <c r="A809" s="208"/>
      <c r="B809" s="208"/>
      <c r="C809" s="208"/>
      <c r="D809" s="208"/>
      <c r="E809" s="208"/>
      <c r="F809" s="208"/>
      <c r="G809" s="208"/>
      <c r="H809" s="233"/>
      <c r="I809" s="234"/>
      <c r="J809" s="208"/>
      <c r="K809" s="208"/>
      <c r="L809" s="208"/>
      <c r="M809" s="208"/>
      <c r="N809" s="208"/>
      <c r="O809" s="208"/>
      <c r="P809" s="208"/>
      <c r="Q809" s="208"/>
      <c r="R809" s="208"/>
      <c r="S809" s="208"/>
      <c r="T809" s="208"/>
      <c r="U809" s="208"/>
      <c r="V809" s="208"/>
      <c r="W809" s="208"/>
      <c r="X809" s="208"/>
      <c r="Y809" s="208"/>
      <c r="Z809" s="208"/>
      <c r="AA809" s="208"/>
      <c r="AB809" s="208"/>
      <c r="AC809" s="208"/>
      <c r="AD809" s="208"/>
      <c r="AE809" s="208"/>
      <c r="AF809" s="208"/>
      <c r="AG809" s="208"/>
      <c r="AH809" s="208"/>
      <c r="AI809" s="208"/>
      <c r="AJ809" s="208"/>
      <c r="AK809" s="208"/>
    </row>
    <row r="810">
      <c r="A810" s="208"/>
      <c r="B810" s="208"/>
      <c r="C810" s="208"/>
      <c r="D810" s="208"/>
      <c r="E810" s="208"/>
      <c r="F810" s="208"/>
      <c r="G810" s="208"/>
      <c r="H810" s="233"/>
      <c r="I810" s="234"/>
      <c r="J810" s="208"/>
      <c r="K810" s="208"/>
      <c r="L810" s="208"/>
      <c r="M810" s="208"/>
      <c r="N810" s="208"/>
      <c r="O810" s="208"/>
      <c r="P810" s="208"/>
      <c r="Q810" s="208"/>
      <c r="R810" s="208"/>
      <c r="S810" s="208"/>
      <c r="T810" s="208"/>
      <c r="U810" s="208"/>
      <c r="V810" s="208"/>
      <c r="W810" s="208"/>
      <c r="X810" s="208"/>
      <c r="Y810" s="208"/>
      <c r="Z810" s="208"/>
      <c r="AA810" s="208"/>
      <c r="AB810" s="208"/>
      <c r="AC810" s="208"/>
      <c r="AD810" s="208"/>
      <c r="AE810" s="208"/>
      <c r="AF810" s="208"/>
      <c r="AG810" s="208"/>
      <c r="AH810" s="208"/>
      <c r="AI810" s="208"/>
      <c r="AJ810" s="208"/>
      <c r="AK810" s="208"/>
    </row>
    <row r="811">
      <c r="A811" s="208"/>
      <c r="B811" s="208"/>
      <c r="C811" s="208"/>
      <c r="D811" s="208"/>
      <c r="E811" s="208"/>
      <c r="F811" s="208"/>
      <c r="G811" s="208"/>
      <c r="H811" s="233"/>
      <c r="I811" s="234"/>
      <c r="J811" s="208"/>
      <c r="K811" s="208"/>
      <c r="L811" s="208"/>
      <c r="M811" s="208"/>
      <c r="N811" s="208"/>
      <c r="O811" s="208"/>
      <c r="P811" s="208"/>
      <c r="Q811" s="208"/>
      <c r="R811" s="208"/>
      <c r="S811" s="208"/>
      <c r="T811" s="208"/>
      <c r="U811" s="208"/>
      <c r="V811" s="208"/>
      <c r="W811" s="208"/>
      <c r="X811" s="208"/>
      <c r="Y811" s="208"/>
      <c r="Z811" s="208"/>
      <c r="AA811" s="208"/>
      <c r="AB811" s="208"/>
      <c r="AC811" s="208"/>
      <c r="AD811" s="208"/>
      <c r="AE811" s="208"/>
      <c r="AF811" s="208"/>
      <c r="AG811" s="208"/>
      <c r="AH811" s="208"/>
      <c r="AI811" s="208"/>
      <c r="AJ811" s="208"/>
      <c r="AK811" s="208"/>
    </row>
    <row r="812">
      <c r="A812" s="208"/>
      <c r="B812" s="208"/>
      <c r="C812" s="208"/>
      <c r="D812" s="208"/>
      <c r="E812" s="208"/>
      <c r="F812" s="208"/>
      <c r="G812" s="208"/>
      <c r="H812" s="233"/>
      <c r="I812" s="234"/>
      <c r="J812" s="208"/>
      <c r="K812" s="208"/>
      <c r="L812" s="208"/>
      <c r="M812" s="208"/>
      <c r="N812" s="208"/>
      <c r="O812" s="208"/>
      <c r="P812" s="208"/>
      <c r="Q812" s="208"/>
      <c r="R812" s="208"/>
      <c r="S812" s="208"/>
      <c r="T812" s="208"/>
      <c r="U812" s="208"/>
      <c r="V812" s="208"/>
      <c r="W812" s="208"/>
      <c r="X812" s="208"/>
      <c r="Y812" s="208"/>
      <c r="Z812" s="208"/>
      <c r="AA812" s="208"/>
      <c r="AB812" s="208"/>
      <c r="AC812" s="208"/>
      <c r="AD812" s="208"/>
      <c r="AE812" s="208"/>
      <c r="AF812" s="208"/>
      <c r="AG812" s="208"/>
      <c r="AH812" s="208"/>
      <c r="AI812" s="208"/>
      <c r="AJ812" s="208"/>
      <c r="AK812" s="208"/>
    </row>
    <row r="813">
      <c r="A813" s="208"/>
      <c r="B813" s="208"/>
      <c r="C813" s="208"/>
      <c r="D813" s="208"/>
      <c r="E813" s="208"/>
      <c r="F813" s="208"/>
      <c r="G813" s="208"/>
      <c r="H813" s="233"/>
      <c r="I813" s="234"/>
      <c r="J813" s="208"/>
      <c r="K813" s="208"/>
      <c r="L813" s="208"/>
      <c r="M813" s="208"/>
      <c r="N813" s="208"/>
      <c r="O813" s="208"/>
      <c r="P813" s="208"/>
      <c r="Q813" s="208"/>
      <c r="R813" s="208"/>
      <c r="S813" s="208"/>
      <c r="T813" s="208"/>
      <c r="U813" s="208"/>
      <c r="V813" s="208"/>
      <c r="W813" s="208"/>
      <c r="X813" s="208"/>
      <c r="Y813" s="208"/>
      <c r="Z813" s="208"/>
      <c r="AA813" s="208"/>
      <c r="AB813" s="208"/>
      <c r="AC813" s="208"/>
      <c r="AD813" s="208"/>
      <c r="AE813" s="208"/>
      <c r="AF813" s="208"/>
      <c r="AG813" s="208"/>
      <c r="AH813" s="208"/>
      <c r="AI813" s="208"/>
      <c r="AJ813" s="208"/>
      <c r="AK813" s="208"/>
    </row>
    <row r="814">
      <c r="A814" s="208"/>
      <c r="B814" s="208"/>
      <c r="C814" s="208"/>
      <c r="D814" s="208"/>
      <c r="E814" s="208"/>
      <c r="F814" s="208"/>
      <c r="G814" s="208"/>
      <c r="H814" s="233"/>
      <c r="I814" s="234"/>
      <c r="J814" s="208"/>
      <c r="K814" s="208"/>
      <c r="L814" s="208"/>
      <c r="M814" s="208"/>
      <c r="N814" s="208"/>
      <c r="O814" s="208"/>
      <c r="P814" s="208"/>
      <c r="Q814" s="208"/>
      <c r="R814" s="208"/>
      <c r="S814" s="208"/>
      <c r="T814" s="208"/>
      <c r="U814" s="208"/>
      <c r="V814" s="208"/>
      <c r="W814" s="208"/>
      <c r="X814" s="208"/>
      <c r="Y814" s="208"/>
      <c r="Z814" s="208"/>
      <c r="AA814" s="208"/>
      <c r="AB814" s="208"/>
      <c r="AC814" s="208"/>
      <c r="AD814" s="208"/>
      <c r="AE814" s="208"/>
      <c r="AF814" s="208"/>
      <c r="AG814" s="208"/>
      <c r="AH814" s="208"/>
      <c r="AI814" s="208"/>
      <c r="AJ814" s="208"/>
      <c r="AK814" s="208"/>
    </row>
    <row r="815">
      <c r="A815" s="208"/>
      <c r="B815" s="208"/>
      <c r="C815" s="208"/>
      <c r="D815" s="208"/>
      <c r="E815" s="208"/>
      <c r="F815" s="208"/>
      <c r="G815" s="208"/>
      <c r="H815" s="233"/>
      <c r="I815" s="234"/>
      <c r="J815" s="208"/>
      <c r="K815" s="208"/>
      <c r="L815" s="208"/>
      <c r="M815" s="208"/>
      <c r="N815" s="208"/>
      <c r="O815" s="208"/>
      <c r="P815" s="208"/>
      <c r="Q815" s="208"/>
      <c r="R815" s="208"/>
      <c r="S815" s="208"/>
      <c r="T815" s="208"/>
      <c r="U815" s="208"/>
      <c r="V815" s="208"/>
      <c r="W815" s="208"/>
      <c r="X815" s="208"/>
      <c r="Y815" s="208"/>
      <c r="Z815" s="208"/>
      <c r="AA815" s="208"/>
      <c r="AB815" s="208"/>
      <c r="AC815" s="208"/>
      <c r="AD815" s="208"/>
      <c r="AE815" s="208"/>
      <c r="AF815" s="208"/>
      <c r="AG815" s="208"/>
      <c r="AH815" s="208"/>
      <c r="AI815" s="208"/>
      <c r="AJ815" s="208"/>
      <c r="AK815" s="208"/>
    </row>
    <row r="816">
      <c r="A816" s="208"/>
      <c r="B816" s="208"/>
      <c r="C816" s="208"/>
      <c r="D816" s="208"/>
      <c r="E816" s="208"/>
      <c r="F816" s="208"/>
      <c r="G816" s="208"/>
      <c r="H816" s="233"/>
      <c r="I816" s="234"/>
      <c r="J816" s="208"/>
      <c r="K816" s="208"/>
      <c r="L816" s="208"/>
      <c r="M816" s="208"/>
      <c r="N816" s="208"/>
      <c r="O816" s="208"/>
      <c r="P816" s="208"/>
      <c r="Q816" s="208"/>
      <c r="R816" s="208"/>
      <c r="S816" s="208"/>
      <c r="T816" s="208"/>
      <c r="U816" s="208"/>
      <c r="V816" s="208"/>
      <c r="W816" s="208"/>
      <c r="X816" s="208"/>
      <c r="Y816" s="208"/>
      <c r="Z816" s="208"/>
      <c r="AA816" s="208"/>
      <c r="AB816" s="208"/>
      <c r="AC816" s="208"/>
      <c r="AD816" s="208"/>
      <c r="AE816" s="208"/>
      <c r="AF816" s="208"/>
      <c r="AG816" s="208"/>
      <c r="AH816" s="208"/>
      <c r="AI816" s="208"/>
      <c r="AJ816" s="208"/>
      <c r="AK816" s="208"/>
    </row>
    <row r="817">
      <c r="A817" s="208"/>
      <c r="B817" s="208"/>
      <c r="C817" s="208"/>
      <c r="D817" s="208"/>
      <c r="E817" s="208"/>
      <c r="F817" s="208"/>
      <c r="G817" s="208"/>
      <c r="H817" s="233"/>
      <c r="I817" s="234"/>
      <c r="J817" s="208"/>
      <c r="K817" s="208"/>
      <c r="L817" s="208"/>
      <c r="M817" s="208"/>
      <c r="N817" s="208"/>
      <c r="O817" s="208"/>
      <c r="P817" s="208"/>
      <c r="Q817" s="208"/>
      <c r="R817" s="208"/>
      <c r="S817" s="208"/>
      <c r="T817" s="208"/>
      <c r="U817" s="208"/>
      <c r="V817" s="208"/>
      <c r="W817" s="208"/>
      <c r="X817" s="208"/>
      <c r="Y817" s="208"/>
      <c r="Z817" s="208"/>
      <c r="AA817" s="208"/>
      <c r="AB817" s="208"/>
      <c r="AC817" s="208"/>
      <c r="AD817" s="208"/>
      <c r="AE817" s="208"/>
      <c r="AF817" s="208"/>
      <c r="AG817" s="208"/>
      <c r="AH817" s="208"/>
      <c r="AI817" s="208"/>
      <c r="AJ817" s="208"/>
      <c r="AK817" s="208"/>
    </row>
    <row r="818">
      <c r="A818" s="208"/>
      <c r="B818" s="208"/>
      <c r="C818" s="208"/>
      <c r="D818" s="208"/>
      <c r="E818" s="208"/>
      <c r="F818" s="208"/>
      <c r="G818" s="208"/>
      <c r="H818" s="233"/>
      <c r="I818" s="234"/>
      <c r="J818" s="208"/>
      <c r="K818" s="208"/>
      <c r="L818" s="208"/>
      <c r="M818" s="208"/>
      <c r="N818" s="208"/>
      <c r="O818" s="208"/>
      <c r="P818" s="208"/>
      <c r="Q818" s="208"/>
      <c r="R818" s="208"/>
      <c r="S818" s="208"/>
      <c r="T818" s="208"/>
      <c r="U818" s="208"/>
      <c r="V818" s="208"/>
      <c r="W818" s="208"/>
      <c r="X818" s="208"/>
      <c r="Y818" s="208"/>
      <c r="Z818" s="208"/>
      <c r="AA818" s="208"/>
      <c r="AB818" s="208"/>
      <c r="AC818" s="208"/>
      <c r="AD818" s="208"/>
      <c r="AE818" s="208"/>
      <c r="AF818" s="208"/>
      <c r="AG818" s="208"/>
      <c r="AH818" s="208"/>
      <c r="AI818" s="208"/>
      <c r="AJ818" s="208"/>
      <c r="AK818" s="208"/>
    </row>
    <row r="819">
      <c r="A819" s="208"/>
      <c r="B819" s="208"/>
      <c r="C819" s="208"/>
      <c r="D819" s="208"/>
      <c r="E819" s="208"/>
      <c r="F819" s="208"/>
      <c r="G819" s="208"/>
      <c r="H819" s="233"/>
      <c r="I819" s="234"/>
      <c r="J819" s="208"/>
      <c r="K819" s="208"/>
      <c r="L819" s="208"/>
      <c r="M819" s="208"/>
      <c r="N819" s="208"/>
      <c r="O819" s="208"/>
      <c r="P819" s="208"/>
      <c r="Q819" s="208"/>
      <c r="R819" s="208"/>
      <c r="S819" s="208"/>
      <c r="T819" s="208"/>
      <c r="U819" s="208"/>
      <c r="V819" s="208"/>
      <c r="W819" s="208"/>
      <c r="X819" s="208"/>
      <c r="Y819" s="208"/>
      <c r="Z819" s="208"/>
      <c r="AA819" s="208"/>
      <c r="AB819" s="208"/>
      <c r="AC819" s="208"/>
      <c r="AD819" s="208"/>
      <c r="AE819" s="208"/>
      <c r="AF819" s="208"/>
      <c r="AG819" s="208"/>
      <c r="AH819" s="208"/>
      <c r="AI819" s="208"/>
      <c r="AJ819" s="208"/>
      <c r="AK819" s="208"/>
    </row>
    <row r="820">
      <c r="A820" s="208"/>
      <c r="B820" s="208"/>
      <c r="C820" s="208"/>
      <c r="D820" s="208"/>
      <c r="E820" s="208"/>
      <c r="F820" s="208"/>
      <c r="G820" s="208"/>
      <c r="H820" s="233"/>
      <c r="I820" s="234"/>
      <c r="J820" s="208"/>
      <c r="K820" s="208"/>
      <c r="L820" s="208"/>
      <c r="M820" s="208"/>
      <c r="N820" s="208"/>
      <c r="O820" s="208"/>
      <c r="P820" s="208"/>
      <c r="Q820" s="208"/>
      <c r="R820" s="208"/>
      <c r="S820" s="208"/>
      <c r="T820" s="208"/>
      <c r="U820" s="208"/>
      <c r="V820" s="208"/>
      <c r="W820" s="208"/>
      <c r="X820" s="208"/>
      <c r="Y820" s="208"/>
      <c r="Z820" s="208"/>
      <c r="AA820" s="208"/>
      <c r="AB820" s="208"/>
      <c r="AC820" s="208"/>
      <c r="AD820" s="208"/>
      <c r="AE820" s="208"/>
      <c r="AF820" s="208"/>
      <c r="AG820" s="208"/>
      <c r="AH820" s="208"/>
      <c r="AI820" s="208"/>
      <c r="AJ820" s="208"/>
      <c r="AK820" s="208"/>
    </row>
    <row r="821">
      <c r="A821" s="208"/>
      <c r="B821" s="208"/>
      <c r="C821" s="208"/>
      <c r="D821" s="208"/>
      <c r="E821" s="208"/>
      <c r="F821" s="208"/>
      <c r="G821" s="208"/>
      <c r="H821" s="233"/>
      <c r="I821" s="234"/>
      <c r="J821" s="208"/>
      <c r="K821" s="208"/>
      <c r="L821" s="208"/>
      <c r="M821" s="208"/>
      <c r="N821" s="208"/>
      <c r="O821" s="208"/>
      <c r="P821" s="208"/>
      <c r="Q821" s="208"/>
      <c r="R821" s="208"/>
      <c r="S821" s="208"/>
      <c r="T821" s="208"/>
      <c r="U821" s="208"/>
      <c r="V821" s="208"/>
      <c r="W821" s="208"/>
      <c r="X821" s="208"/>
      <c r="Y821" s="208"/>
      <c r="Z821" s="208"/>
      <c r="AA821" s="208"/>
      <c r="AB821" s="208"/>
      <c r="AC821" s="208"/>
      <c r="AD821" s="208"/>
      <c r="AE821" s="208"/>
      <c r="AF821" s="208"/>
      <c r="AG821" s="208"/>
      <c r="AH821" s="208"/>
      <c r="AI821" s="208"/>
      <c r="AJ821" s="208"/>
      <c r="AK821" s="208"/>
    </row>
    <row r="822">
      <c r="A822" s="208"/>
      <c r="B822" s="208"/>
      <c r="C822" s="208"/>
      <c r="D822" s="208"/>
      <c r="E822" s="208"/>
      <c r="F822" s="208"/>
      <c r="G822" s="208"/>
      <c r="H822" s="233"/>
      <c r="I822" s="234"/>
      <c r="J822" s="208"/>
      <c r="K822" s="208"/>
      <c r="L822" s="208"/>
      <c r="M822" s="208"/>
      <c r="N822" s="208"/>
      <c r="O822" s="208"/>
      <c r="P822" s="208"/>
      <c r="Q822" s="208"/>
      <c r="R822" s="208"/>
      <c r="S822" s="208"/>
      <c r="T822" s="208"/>
      <c r="U822" s="208"/>
      <c r="V822" s="208"/>
      <c r="W822" s="208"/>
      <c r="X822" s="208"/>
      <c r="Y822" s="208"/>
      <c r="Z822" s="208"/>
      <c r="AA822" s="208"/>
      <c r="AB822" s="208"/>
      <c r="AC822" s="208"/>
      <c r="AD822" s="208"/>
      <c r="AE822" s="208"/>
      <c r="AF822" s="208"/>
      <c r="AG822" s="208"/>
      <c r="AH822" s="208"/>
      <c r="AI822" s="208"/>
      <c r="AJ822" s="208"/>
      <c r="AK822" s="208"/>
    </row>
    <row r="823">
      <c r="A823" s="208"/>
      <c r="B823" s="208"/>
      <c r="C823" s="208"/>
      <c r="D823" s="208"/>
      <c r="E823" s="208"/>
      <c r="F823" s="208"/>
      <c r="G823" s="208"/>
      <c r="H823" s="233"/>
      <c r="I823" s="234"/>
      <c r="J823" s="208"/>
      <c r="K823" s="208"/>
      <c r="L823" s="208"/>
      <c r="M823" s="208"/>
      <c r="N823" s="208"/>
      <c r="O823" s="208"/>
      <c r="P823" s="208"/>
      <c r="Q823" s="208"/>
      <c r="R823" s="208"/>
      <c r="S823" s="208"/>
      <c r="T823" s="208"/>
      <c r="U823" s="208"/>
      <c r="V823" s="208"/>
      <c r="W823" s="208"/>
      <c r="X823" s="208"/>
      <c r="Y823" s="208"/>
      <c r="Z823" s="208"/>
      <c r="AA823" s="208"/>
      <c r="AB823" s="208"/>
      <c r="AC823" s="208"/>
      <c r="AD823" s="208"/>
      <c r="AE823" s="208"/>
      <c r="AF823" s="208"/>
      <c r="AG823" s="208"/>
      <c r="AH823" s="208"/>
      <c r="AI823" s="208"/>
      <c r="AJ823" s="208"/>
      <c r="AK823" s="208"/>
    </row>
    <row r="824">
      <c r="A824" s="208"/>
      <c r="B824" s="208"/>
      <c r="C824" s="208"/>
      <c r="D824" s="208"/>
      <c r="E824" s="208"/>
      <c r="F824" s="208"/>
      <c r="G824" s="208"/>
      <c r="H824" s="233"/>
      <c r="I824" s="234"/>
      <c r="J824" s="208"/>
      <c r="K824" s="208"/>
      <c r="L824" s="208"/>
      <c r="M824" s="208"/>
      <c r="N824" s="208"/>
      <c r="O824" s="208"/>
      <c r="P824" s="208"/>
      <c r="Q824" s="208"/>
      <c r="R824" s="208"/>
      <c r="S824" s="208"/>
      <c r="T824" s="208"/>
      <c r="U824" s="208"/>
      <c r="V824" s="208"/>
      <c r="W824" s="208"/>
      <c r="X824" s="208"/>
      <c r="Y824" s="208"/>
      <c r="Z824" s="208"/>
      <c r="AA824" s="208"/>
      <c r="AB824" s="208"/>
      <c r="AC824" s="208"/>
      <c r="AD824" s="208"/>
      <c r="AE824" s="208"/>
      <c r="AF824" s="208"/>
      <c r="AG824" s="208"/>
      <c r="AH824" s="208"/>
      <c r="AI824" s="208"/>
      <c r="AJ824" s="208"/>
      <c r="AK824" s="208"/>
    </row>
    <row r="825">
      <c r="A825" s="208"/>
      <c r="B825" s="208"/>
      <c r="C825" s="208"/>
      <c r="D825" s="208"/>
      <c r="E825" s="208"/>
      <c r="F825" s="208"/>
      <c r="G825" s="208"/>
      <c r="H825" s="233"/>
      <c r="I825" s="234"/>
      <c r="J825" s="208"/>
      <c r="K825" s="208"/>
      <c r="L825" s="208"/>
      <c r="M825" s="208"/>
      <c r="N825" s="208"/>
      <c r="O825" s="208"/>
      <c r="P825" s="208"/>
      <c r="Q825" s="208"/>
      <c r="R825" s="208"/>
      <c r="S825" s="208"/>
      <c r="T825" s="208"/>
      <c r="U825" s="208"/>
      <c r="V825" s="208"/>
      <c r="W825" s="208"/>
      <c r="X825" s="208"/>
      <c r="Y825" s="208"/>
      <c r="Z825" s="208"/>
      <c r="AA825" s="208"/>
      <c r="AB825" s="208"/>
      <c r="AC825" s="208"/>
      <c r="AD825" s="208"/>
      <c r="AE825" s="208"/>
      <c r="AF825" s="208"/>
      <c r="AG825" s="208"/>
      <c r="AH825" s="208"/>
      <c r="AI825" s="208"/>
      <c r="AJ825" s="208"/>
      <c r="AK825" s="208"/>
    </row>
    <row r="826">
      <c r="A826" s="208"/>
      <c r="B826" s="208"/>
      <c r="C826" s="208"/>
      <c r="D826" s="208"/>
      <c r="E826" s="208"/>
      <c r="F826" s="208"/>
      <c r="G826" s="208"/>
      <c r="H826" s="233"/>
      <c r="I826" s="234"/>
      <c r="J826" s="208"/>
      <c r="K826" s="208"/>
      <c r="L826" s="208"/>
      <c r="M826" s="208"/>
      <c r="N826" s="208"/>
      <c r="O826" s="208"/>
      <c r="P826" s="208"/>
      <c r="Q826" s="208"/>
      <c r="R826" s="208"/>
      <c r="S826" s="208"/>
      <c r="T826" s="208"/>
      <c r="U826" s="208"/>
      <c r="V826" s="208"/>
      <c r="W826" s="208"/>
      <c r="X826" s="208"/>
      <c r="Y826" s="208"/>
      <c r="Z826" s="208"/>
      <c r="AA826" s="208"/>
      <c r="AB826" s="208"/>
      <c r="AC826" s="208"/>
      <c r="AD826" s="208"/>
      <c r="AE826" s="208"/>
      <c r="AF826" s="208"/>
      <c r="AG826" s="208"/>
      <c r="AH826" s="208"/>
      <c r="AI826" s="208"/>
      <c r="AJ826" s="208"/>
      <c r="AK826" s="208"/>
    </row>
    <row r="827">
      <c r="A827" s="208"/>
      <c r="B827" s="208"/>
      <c r="C827" s="208"/>
      <c r="D827" s="208"/>
      <c r="E827" s="208"/>
      <c r="F827" s="208"/>
      <c r="G827" s="208"/>
      <c r="H827" s="233"/>
      <c r="I827" s="234"/>
      <c r="J827" s="208"/>
      <c r="K827" s="208"/>
      <c r="L827" s="208"/>
      <c r="M827" s="208"/>
      <c r="N827" s="208"/>
      <c r="O827" s="208"/>
      <c r="P827" s="208"/>
      <c r="Q827" s="208"/>
      <c r="R827" s="208"/>
      <c r="S827" s="208"/>
      <c r="T827" s="208"/>
      <c r="U827" s="208"/>
      <c r="V827" s="208"/>
      <c r="W827" s="208"/>
      <c r="X827" s="208"/>
      <c r="Y827" s="208"/>
      <c r="Z827" s="208"/>
      <c r="AA827" s="208"/>
      <c r="AB827" s="208"/>
      <c r="AC827" s="208"/>
      <c r="AD827" s="208"/>
      <c r="AE827" s="208"/>
      <c r="AF827" s="208"/>
      <c r="AG827" s="208"/>
      <c r="AH827" s="208"/>
      <c r="AI827" s="208"/>
      <c r="AJ827" s="208"/>
      <c r="AK827" s="208"/>
    </row>
    <row r="828">
      <c r="A828" s="208"/>
      <c r="B828" s="208"/>
      <c r="C828" s="208"/>
      <c r="D828" s="208"/>
      <c r="E828" s="208"/>
      <c r="F828" s="208"/>
      <c r="G828" s="208"/>
      <c r="H828" s="233"/>
      <c r="I828" s="234"/>
      <c r="J828" s="208"/>
      <c r="K828" s="208"/>
      <c r="L828" s="208"/>
      <c r="M828" s="208"/>
      <c r="N828" s="208"/>
      <c r="O828" s="208"/>
      <c r="P828" s="208"/>
      <c r="Q828" s="208"/>
      <c r="R828" s="208"/>
      <c r="S828" s="208"/>
      <c r="T828" s="208"/>
      <c r="U828" s="208"/>
      <c r="V828" s="208"/>
      <c r="W828" s="208"/>
      <c r="X828" s="208"/>
      <c r="Y828" s="208"/>
      <c r="Z828" s="208"/>
      <c r="AA828" s="208"/>
      <c r="AB828" s="208"/>
      <c r="AC828" s="208"/>
      <c r="AD828" s="208"/>
      <c r="AE828" s="208"/>
      <c r="AF828" s="208"/>
      <c r="AG828" s="208"/>
      <c r="AH828" s="208"/>
      <c r="AI828" s="208"/>
      <c r="AJ828" s="208"/>
      <c r="AK828" s="208"/>
    </row>
    <row r="829">
      <c r="A829" s="208"/>
      <c r="B829" s="208"/>
      <c r="C829" s="208"/>
      <c r="D829" s="208"/>
      <c r="E829" s="208"/>
      <c r="F829" s="208"/>
      <c r="G829" s="208"/>
      <c r="H829" s="233"/>
      <c r="I829" s="234"/>
      <c r="J829" s="208"/>
      <c r="K829" s="208"/>
      <c r="L829" s="208"/>
      <c r="M829" s="208"/>
      <c r="N829" s="208"/>
      <c r="O829" s="208"/>
      <c r="P829" s="208"/>
      <c r="Q829" s="208"/>
      <c r="R829" s="208"/>
      <c r="S829" s="208"/>
      <c r="T829" s="208"/>
      <c r="U829" s="208"/>
      <c r="V829" s="208"/>
      <c r="W829" s="208"/>
      <c r="X829" s="208"/>
      <c r="Y829" s="208"/>
      <c r="Z829" s="208"/>
      <c r="AA829" s="208"/>
      <c r="AB829" s="208"/>
      <c r="AC829" s="208"/>
      <c r="AD829" s="208"/>
      <c r="AE829" s="208"/>
      <c r="AF829" s="208"/>
      <c r="AG829" s="208"/>
      <c r="AH829" s="208"/>
      <c r="AI829" s="208"/>
      <c r="AJ829" s="208"/>
      <c r="AK829" s="208"/>
    </row>
    <row r="830">
      <c r="A830" s="208"/>
      <c r="B830" s="208"/>
      <c r="C830" s="208"/>
      <c r="D830" s="208"/>
      <c r="E830" s="208"/>
      <c r="F830" s="208"/>
      <c r="G830" s="208"/>
      <c r="H830" s="233"/>
      <c r="I830" s="234"/>
      <c r="J830" s="208"/>
      <c r="K830" s="208"/>
      <c r="L830" s="208"/>
      <c r="M830" s="208"/>
      <c r="N830" s="208"/>
      <c r="O830" s="208"/>
      <c r="P830" s="208"/>
      <c r="Q830" s="208"/>
      <c r="R830" s="208"/>
      <c r="S830" s="208"/>
      <c r="T830" s="208"/>
      <c r="U830" s="208"/>
      <c r="V830" s="208"/>
      <c r="W830" s="208"/>
      <c r="X830" s="208"/>
      <c r="Y830" s="208"/>
      <c r="Z830" s="208"/>
      <c r="AA830" s="208"/>
      <c r="AB830" s="208"/>
      <c r="AC830" s="208"/>
      <c r="AD830" s="208"/>
      <c r="AE830" s="208"/>
      <c r="AF830" s="208"/>
      <c r="AG830" s="208"/>
      <c r="AH830" s="208"/>
      <c r="AI830" s="208"/>
      <c r="AJ830" s="208"/>
      <c r="AK830" s="208"/>
    </row>
    <row r="831">
      <c r="A831" s="208"/>
      <c r="B831" s="208"/>
      <c r="C831" s="208"/>
      <c r="D831" s="208"/>
      <c r="E831" s="208"/>
      <c r="F831" s="208"/>
      <c r="G831" s="208"/>
      <c r="H831" s="233"/>
      <c r="I831" s="234"/>
      <c r="J831" s="208"/>
      <c r="K831" s="208"/>
      <c r="L831" s="208"/>
      <c r="M831" s="208"/>
      <c r="N831" s="208"/>
      <c r="O831" s="208"/>
      <c r="P831" s="208"/>
      <c r="Q831" s="208"/>
      <c r="R831" s="208"/>
      <c r="S831" s="208"/>
      <c r="T831" s="208"/>
      <c r="U831" s="208"/>
      <c r="V831" s="208"/>
      <c r="W831" s="208"/>
      <c r="X831" s="208"/>
      <c r="Y831" s="208"/>
      <c r="Z831" s="208"/>
      <c r="AA831" s="208"/>
      <c r="AB831" s="208"/>
      <c r="AC831" s="208"/>
      <c r="AD831" s="208"/>
      <c r="AE831" s="208"/>
      <c r="AF831" s="208"/>
      <c r="AG831" s="208"/>
      <c r="AH831" s="208"/>
      <c r="AI831" s="208"/>
      <c r="AJ831" s="208"/>
      <c r="AK831" s="208"/>
    </row>
    <row r="832">
      <c r="A832" s="208"/>
      <c r="B832" s="208"/>
      <c r="C832" s="208"/>
      <c r="D832" s="208"/>
      <c r="E832" s="208"/>
      <c r="F832" s="208"/>
      <c r="G832" s="208"/>
      <c r="H832" s="233"/>
      <c r="I832" s="234"/>
      <c r="J832" s="208"/>
      <c r="K832" s="208"/>
      <c r="L832" s="208"/>
      <c r="M832" s="208"/>
      <c r="N832" s="208"/>
      <c r="O832" s="208"/>
      <c r="P832" s="208"/>
      <c r="Q832" s="208"/>
      <c r="R832" s="208"/>
      <c r="S832" s="208"/>
      <c r="T832" s="208"/>
      <c r="U832" s="208"/>
      <c r="V832" s="208"/>
      <c r="W832" s="208"/>
      <c r="X832" s="208"/>
      <c r="Y832" s="208"/>
      <c r="Z832" s="208"/>
      <c r="AA832" s="208"/>
      <c r="AB832" s="208"/>
      <c r="AC832" s="208"/>
      <c r="AD832" s="208"/>
      <c r="AE832" s="208"/>
      <c r="AF832" s="208"/>
      <c r="AG832" s="208"/>
      <c r="AH832" s="208"/>
      <c r="AI832" s="208"/>
      <c r="AJ832" s="208"/>
      <c r="AK832" s="208"/>
    </row>
    <row r="833">
      <c r="A833" s="208"/>
      <c r="B833" s="208"/>
      <c r="C833" s="208"/>
      <c r="D833" s="208"/>
      <c r="E833" s="208"/>
      <c r="F833" s="208"/>
      <c r="G833" s="208"/>
      <c r="H833" s="233"/>
      <c r="I833" s="234"/>
      <c r="J833" s="208"/>
      <c r="K833" s="208"/>
      <c r="L833" s="208"/>
      <c r="M833" s="208"/>
      <c r="N833" s="208"/>
      <c r="O833" s="208"/>
      <c r="P833" s="208"/>
      <c r="Q833" s="208"/>
      <c r="R833" s="208"/>
      <c r="S833" s="208"/>
      <c r="T833" s="208"/>
      <c r="U833" s="208"/>
      <c r="V833" s="208"/>
      <c r="W833" s="208"/>
      <c r="X833" s="208"/>
      <c r="Y833" s="208"/>
      <c r="Z833" s="208"/>
      <c r="AA833" s="208"/>
      <c r="AB833" s="208"/>
      <c r="AC833" s="208"/>
      <c r="AD833" s="208"/>
      <c r="AE833" s="208"/>
      <c r="AF833" s="208"/>
      <c r="AG833" s="208"/>
      <c r="AH833" s="208"/>
      <c r="AI833" s="208"/>
      <c r="AJ833" s="208"/>
      <c r="AK833" s="208"/>
    </row>
    <row r="834">
      <c r="A834" s="208"/>
      <c r="B834" s="208"/>
      <c r="C834" s="208"/>
      <c r="D834" s="208"/>
      <c r="E834" s="208"/>
      <c r="F834" s="208"/>
      <c r="G834" s="208"/>
      <c r="H834" s="233"/>
      <c r="I834" s="234"/>
      <c r="J834" s="208"/>
      <c r="K834" s="208"/>
      <c r="L834" s="208"/>
      <c r="M834" s="208"/>
      <c r="N834" s="208"/>
      <c r="O834" s="208"/>
      <c r="P834" s="208"/>
      <c r="Q834" s="208"/>
      <c r="R834" s="208"/>
      <c r="S834" s="208"/>
      <c r="T834" s="208"/>
      <c r="U834" s="208"/>
      <c r="V834" s="208"/>
      <c r="W834" s="208"/>
      <c r="X834" s="208"/>
      <c r="Y834" s="208"/>
      <c r="Z834" s="208"/>
      <c r="AA834" s="208"/>
      <c r="AB834" s="208"/>
      <c r="AC834" s="208"/>
      <c r="AD834" s="208"/>
      <c r="AE834" s="208"/>
      <c r="AF834" s="208"/>
      <c r="AG834" s="208"/>
      <c r="AH834" s="208"/>
      <c r="AI834" s="208"/>
      <c r="AJ834" s="208"/>
      <c r="AK834" s="208"/>
    </row>
    <row r="835">
      <c r="A835" s="208"/>
      <c r="B835" s="208"/>
      <c r="C835" s="208"/>
      <c r="D835" s="208"/>
      <c r="E835" s="208"/>
      <c r="F835" s="208"/>
      <c r="G835" s="208"/>
      <c r="H835" s="233"/>
      <c r="I835" s="234"/>
      <c r="J835" s="208"/>
      <c r="K835" s="208"/>
      <c r="L835" s="208"/>
      <c r="M835" s="208"/>
      <c r="N835" s="208"/>
      <c r="O835" s="208"/>
      <c r="P835" s="208"/>
      <c r="Q835" s="208"/>
      <c r="R835" s="208"/>
      <c r="S835" s="208"/>
      <c r="T835" s="208"/>
      <c r="U835" s="208"/>
      <c r="V835" s="208"/>
      <c r="W835" s="208"/>
      <c r="X835" s="208"/>
      <c r="Y835" s="208"/>
      <c r="Z835" s="208"/>
      <c r="AA835" s="208"/>
      <c r="AB835" s="208"/>
      <c r="AC835" s="208"/>
      <c r="AD835" s="208"/>
      <c r="AE835" s="208"/>
      <c r="AF835" s="208"/>
      <c r="AG835" s="208"/>
      <c r="AH835" s="208"/>
      <c r="AI835" s="208"/>
      <c r="AJ835" s="208"/>
      <c r="AK835" s="208"/>
    </row>
    <row r="836">
      <c r="A836" s="208"/>
      <c r="B836" s="208"/>
      <c r="C836" s="208"/>
      <c r="D836" s="208"/>
      <c r="E836" s="208"/>
      <c r="F836" s="208"/>
      <c r="G836" s="208"/>
      <c r="H836" s="233"/>
      <c r="I836" s="234"/>
      <c r="J836" s="208"/>
      <c r="K836" s="208"/>
      <c r="L836" s="208"/>
      <c r="M836" s="208"/>
      <c r="N836" s="208"/>
      <c r="O836" s="208"/>
      <c r="P836" s="208"/>
      <c r="Q836" s="208"/>
      <c r="R836" s="208"/>
      <c r="S836" s="208"/>
      <c r="T836" s="208"/>
      <c r="U836" s="208"/>
      <c r="V836" s="208"/>
      <c r="W836" s="208"/>
      <c r="X836" s="208"/>
      <c r="Y836" s="208"/>
      <c r="Z836" s="208"/>
      <c r="AA836" s="208"/>
      <c r="AB836" s="208"/>
      <c r="AC836" s="208"/>
      <c r="AD836" s="208"/>
      <c r="AE836" s="208"/>
      <c r="AF836" s="208"/>
      <c r="AG836" s="208"/>
      <c r="AH836" s="208"/>
      <c r="AI836" s="208"/>
      <c r="AJ836" s="208"/>
      <c r="AK836" s="208"/>
    </row>
    <row r="837">
      <c r="A837" s="208"/>
      <c r="B837" s="208"/>
      <c r="C837" s="208"/>
      <c r="D837" s="208"/>
      <c r="E837" s="208"/>
      <c r="F837" s="208"/>
      <c r="G837" s="208"/>
      <c r="H837" s="233"/>
      <c r="I837" s="234"/>
      <c r="J837" s="208"/>
      <c r="K837" s="208"/>
      <c r="L837" s="208"/>
      <c r="M837" s="208"/>
      <c r="N837" s="208"/>
      <c r="O837" s="208"/>
      <c r="P837" s="208"/>
      <c r="Q837" s="208"/>
      <c r="R837" s="208"/>
      <c r="S837" s="208"/>
      <c r="T837" s="208"/>
      <c r="U837" s="208"/>
      <c r="V837" s="208"/>
      <c r="W837" s="208"/>
      <c r="X837" s="208"/>
      <c r="Y837" s="208"/>
      <c r="Z837" s="208"/>
      <c r="AA837" s="208"/>
      <c r="AB837" s="208"/>
      <c r="AC837" s="208"/>
      <c r="AD837" s="208"/>
      <c r="AE837" s="208"/>
      <c r="AF837" s="208"/>
      <c r="AG837" s="208"/>
      <c r="AH837" s="208"/>
      <c r="AI837" s="208"/>
      <c r="AJ837" s="208"/>
      <c r="AK837" s="208"/>
    </row>
    <row r="838">
      <c r="A838" s="208"/>
      <c r="B838" s="208"/>
      <c r="C838" s="208"/>
      <c r="D838" s="208"/>
      <c r="E838" s="208"/>
      <c r="F838" s="208"/>
      <c r="G838" s="208"/>
      <c r="H838" s="233"/>
      <c r="I838" s="234"/>
      <c r="J838" s="208"/>
      <c r="K838" s="208"/>
      <c r="L838" s="208"/>
      <c r="M838" s="208"/>
      <c r="N838" s="208"/>
      <c r="O838" s="208"/>
      <c r="P838" s="208"/>
      <c r="Q838" s="208"/>
      <c r="R838" s="208"/>
      <c r="S838" s="208"/>
      <c r="T838" s="208"/>
      <c r="U838" s="208"/>
      <c r="V838" s="208"/>
      <c r="W838" s="208"/>
      <c r="X838" s="208"/>
      <c r="Y838" s="208"/>
      <c r="Z838" s="208"/>
      <c r="AA838" s="208"/>
      <c r="AB838" s="208"/>
      <c r="AC838" s="208"/>
      <c r="AD838" s="208"/>
      <c r="AE838" s="208"/>
      <c r="AF838" s="208"/>
      <c r="AG838" s="208"/>
      <c r="AH838" s="208"/>
      <c r="AI838" s="208"/>
      <c r="AJ838" s="208"/>
      <c r="AK838" s="208"/>
    </row>
    <row r="839">
      <c r="A839" s="208"/>
      <c r="B839" s="208"/>
      <c r="C839" s="208"/>
      <c r="D839" s="208"/>
      <c r="E839" s="208"/>
      <c r="F839" s="208"/>
      <c r="G839" s="208"/>
      <c r="H839" s="233"/>
      <c r="I839" s="234"/>
      <c r="J839" s="208"/>
      <c r="K839" s="208"/>
      <c r="L839" s="208"/>
      <c r="M839" s="208"/>
      <c r="N839" s="208"/>
      <c r="O839" s="208"/>
      <c r="P839" s="208"/>
      <c r="Q839" s="208"/>
      <c r="R839" s="208"/>
      <c r="S839" s="208"/>
      <c r="T839" s="208"/>
      <c r="U839" s="208"/>
      <c r="V839" s="208"/>
      <c r="W839" s="208"/>
      <c r="X839" s="208"/>
      <c r="Y839" s="208"/>
      <c r="Z839" s="208"/>
      <c r="AA839" s="208"/>
      <c r="AB839" s="208"/>
      <c r="AC839" s="208"/>
      <c r="AD839" s="208"/>
      <c r="AE839" s="208"/>
      <c r="AF839" s="208"/>
      <c r="AG839" s="208"/>
      <c r="AH839" s="208"/>
      <c r="AI839" s="208"/>
      <c r="AJ839" s="208"/>
      <c r="AK839" s="208"/>
    </row>
    <row r="840">
      <c r="A840" s="208"/>
      <c r="B840" s="208"/>
      <c r="C840" s="208"/>
      <c r="D840" s="208"/>
      <c r="E840" s="208"/>
      <c r="F840" s="208"/>
      <c r="G840" s="208"/>
      <c r="H840" s="233"/>
      <c r="I840" s="234"/>
      <c r="J840" s="208"/>
      <c r="K840" s="208"/>
      <c r="L840" s="208"/>
      <c r="M840" s="208"/>
      <c r="N840" s="208"/>
      <c r="O840" s="208"/>
      <c r="P840" s="208"/>
      <c r="Q840" s="208"/>
      <c r="R840" s="208"/>
      <c r="S840" s="208"/>
      <c r="T840" s="208"/>
      <c r="U840" s="208"/>
      <c r="V840" s="208"/>
      <c r="W840" s="208"/>
      <c r="X840" s="208"/>
      <c r="Y840" s="208"/>
      <c r="Z840" s="208"/>
      <c r="AA840" s="208"/>
      <c r="AB840" s="208"/>
      <c r="AC840" s="208"/>
      <c r="AD840" s="208"/>
      <c r="AE840" s="208"/>
      <c r="AF840" s="208"/>
      <c r="AG840" s="208"/>
      <c r="AH840" s="208"/>
      <c r="AI840" s="208"/>
      <c r="AJ840" s="208"/>
      <c r="AK840" s="208"/>
    </row>
    <row r="841">
      <c r="A841" s="208"/>
      <c r="B841" s="208"/>
      <c r="C841" s="208"/>
      <c r="D841" s="208"/>
      <c r="E841" s="208"/>
      <c r="F841" s="208"/>
      <c r="G841" s="208"/>
      <c r="H841" s="233"/>
      <c r="I841" s="234"/>
      <c r="J841" s="208"/>
      <c r="K841" s="208"/>
      <c r="L841" s="208"/>
      <c r="M841" s="208"/>
      <c r="N841" s="208"/>
      <c r="O841" s="208"/>
      <c r="P841" s="208"/>
      <c r="Q841" s="208"/>
      <c r="R841" s="208"/>
      <c r="S841" s="208"/>
      <c r="T841" s="208"/>
      <c r="U841" s="208"/>
      <c r="V841" s="208"/>
      <c r="W841" s="208"/>
      <c r="X841" s="208"/>
      <c r="Y841" s="208"/>
      <c r="Z841" s="208"/>
      <c r="AA841" s="208"/>
      <c r="AB841" s="208"/>
      <c r="AC841" s="208"/>
      <c r="AD841" s="208"/>
      <c r="AE841" s="208"/>
      <c r="AF841" s="208"/>
      <c r="AG841" s="208"/>
      <c r="AH841" s="208"/>
      <c r="AI841" s="208"/>
      <c r="AJ841" s="208"/>
      <c r="AK841" s="208"/>
    </row>
    <row r="842">
      <c r="A842" s="208"/>
      <c r="B842" s="208"/>
      <c r="C842" s="208"/>
      <c r="D842" s="208"/>
      <c r="E842" s="208"/>
      <c r="F842" s="208"/>
      <c r="G842" s="208"/>
      <c r="H842" s="233"/>
      <c r="I842" s="234"/>
      <c r="J842" s="208"/>
      <c r="K842" s="208"/>
      <c r="L842" s="208"/>
      <c r="M842" s="208"/>
      <c r="N842" s="208"/>
      <c r="O842" s="208"/>
      <c r="P842" s="208"/>
      <c r="Q842" s="208"/>
      <c r="R842" s="208"/>
      <c r="S842" s="208"/>
      <c r="T842" s="208"/>
      <c r="U842" s="208"/>
      <c r="V842" s="208"/>
      <c r="W842" s="208"/>
      <c r="X842" s="208"/>
      <c r="Y842" s="208"/>
      <c r="Z842" s="208"/>
      <c r="AA842" s="208"/>
      <c r="AB842" s="208"/>
      <c r="AC842" s="208"/>
      <c r="AD842" s="208"/>
      <c r="AE842" s="208"/>
      <c r="AF842" s="208"/>
      <c r="AG842" s="208"/>
      <c r="AH842" s="208"/>
      <c r="AI842" s="208"/>
      <c r="AJ842" s="208"/>
      <c r="AK842" s="208"/>
    </row>
    <row r="843">
      <c r="A843" s="208"/>
      <c r="B843" s="208"/>
      <c r="C843" s="208"/>
      <c r="D843" s="208"/>
      <c r="E843" s="208"/>
      <c r="F843" s="208"/>
      <c r="G843" s="208"/>
      <c r="H843" s="233"/>
      <c r="I843" s="234"/>
      <c r="J843" s="208"/>
      <c r="K843" s="208"/>
      <c r="L843" s="208"/>
      <c r="M843" s="208"/>
      <c r="N843" s="208"/>
      <c r="O843" s="208"/>
      <c r="P843" s="208"/>
      <c r="Q843" s="208"/>
      <c r="R843" s="208"/>
      <c r="S843" s="208"/>
      <c r="T843" s="208"/>
      <c r="U843" s="208"/>
      <c r="V843" s="208"/>
      <c r="W843" s="208"/>
      <c r="X843" s="208"/>
      <c r="Y843" s="208"/>
      <c r="Z843" s="208"/>
      <c r="AA843" s="208"/>
      <c r="AB843" s="208"/>
      <c r="AC843" s="208"/>
      <c r="AD843" s="208"/>
      <c r="AE843" s="208"/>
      <c r="AF843" s="208"/>
      <c r="AG843" s="208"/>
      <c r="AH843" s="208"/>
      <c r="AI843" s="208"/>
      <c r="AJ843" s="208"/>
      <c r="AK843" s="208"/>
    </row>
    <row r="844">
      <c r="A844" s="208"/>
      <c r="B844" s="208"/>
      <c r="C844" s="208"/>
      <c r="D844" s="208"/>
      <c r="E844" s="208"/>
      <c r="F844" s="208"/>
      <c r="G844" s="208"/>
      <c r="H844" s="233"/>
      <c r="I844" s="234"/>
      <c r="J844" s="208"/>
      <c r="K844" s="208"/>
      <c r="L844" s="208"/>
      <c r="M844" s="208"/>
      <c r="N844" s="208"/>
      <c r="O844" s="208"/>
      <c r="P844" s="208"/>
      <c r="Q844" s="208"/>
      <c r="R844" s="208"/>
      <c r="S844" s="208"/>
      <c r="T844" s="208"/>
      <c r="U844" s="208"/>
      <c r="V844" s="208"/>
      <c r="W844" s="208"/>
      <c r="X844" s="208"/>
      <c r="Y844" s="208"/>
      <c r="Z844" s="208"/>
      <c r="AA844" s="208"/>
      <c r="AB844" s="208"/>
      <c r="AC844" s="208"/>
      <c r="AD844" s="208"/>
      <c r="AE844" s="208"/>
      <c r="AF844" s="208"/>
      <c r="AG844" s="208"/>
      <c r="AH844" s="208"/>
      <c r="AI844" s="208"/>
      <c r="AJ844" s="208"/>
      <c r="AK844" s="208"/>
    </row>
    <row r="845">
      <c r="A845" s="208"/>
      <c r="B845" s="208"/>
      <c r="C845" s="208"/>
      <c r="D845" s="208"/>
      <c r="E845" s="208"/>
      <c r="F845" s="208"/>
      <c r="G845" s="208"/>
      <c r="H845" s="233"/>
      <c r="I845" s="234"/>
      <c r="J845" s="208"/>
      <c r="K845" s="208"/>
      <c r="L845" s="208"/>
      <c r="M845" s="208"/>
      <c r="N845" s="208"/>
      <c r="O845" s="208"/>
      <c r="P845" s="208"/>
      <c r="Q845" s="208"/>
      <c r="R845" s="208"/>
      <c r="S845" s="208"/>
      <c r="T845" s="208"/>
      <c r="U845" s="208"/>
      <c r="V845" s="208"/>
      <c r="W845" s="208"/>
      <c r="X845" s="208"/>
      <c r="Y845" s="208"/>
      <c r="Z845" s="208"/>
      <c r="AA845" s="208"/>
      <c r="AB845" s="208"/>
      <c r="AC845" s="208"/>
      <c r="AD845" s="208"/>
      <c r="AE845" s="208"/>
      <c r="AF845" s="208"/>
      <c r="AG845" s="208"/>
      <c r="AH845" s="208"/>
      <c r="AI845" s="208"/>
      <c r="AJ845" s="208"/>
      <c r="AK845" s="208"/>
    </row>
    <row r="846">
      <c r="A846" s="208"/>
      <c r="B846" s="208"/>
      <c r="C846" s="208"/>
      <c r="D846" s="208"/>
      <c r="E846" s="208"/>
      <c r="F846" s="208"/>
      <c r="G846" s="208"/>
      <c r="H846" s="233"/>
      <c r="I846" s="234"/>
      <c r="J846" s="208"/>
      <c r="K846" s="208"/>
      <c r="L846" s="208"/>
      <c r="M846" s="208"/>
      <c r="N846" s="208"/>
      <c r="O846" s="208"/>
      <c r="P846" s="208"/>
      <c r="Q846" s="208"/>
      <c r="R846" s="208"/>
      <c r="S846" s="208"/>
      <c r="T846" s="208"/>
      <c r="U846" s="208"/>
      <c r="V846" s="208"/>
      <c r="W846" s="208"/>
      <c r="X846" s="208"/>
      <c r="Y846" s="208"/>
      <c r="Z846" s="208"/>
      <c r="AA846" s="208"/>
      <c r="AB846" s="208"/>
      <c r="AC846" s="208"/>
      <c r="AD846" s="208"/>
      <c r="AE846" s="208"/>
      <c r="AF846" s="208"/>
      <c r="AG846" s="208"/>
      <c r="AH846" s="208"/>
      <c r="AI846" s="208"/>
      <c r="AJ846" s="208"/>
      <c r="AK846" s="208"/>
    </row>
    <row r="847">
      <c r="A847" s="208"/>
      <c r="B847" s="208"/>
      <c r="C847" s="208"/>
      <c r="D847" s="208"/>
      <c r="E847" s="208"/>
      <c r="F847" s="208"/>
      <c r="G847" s="208"/>
      <c r="H847" s="233"/>
      <c r="I847" s="234"/>
      <c r="J847" s="208"/>
      <c r="K847" s="208"/>
      <c r="L847" s="208"/>
      <c r="M847" s="208"/>
      <c r="N847" s="208"/>
      <c r="O847" s="208"/>
      <c r="P847" s="208"/>
      <c r="Q847" s="208"/>
      <c r="R847" s="208"/>
      <c r="S847" s="208"/>
      <c r="T847" s="208"/>
      <c r="U847" s="208"/>
      <c r="V847" s="208"/>
      <c r="W847" s="208"/>
      <c r="X847" s="208"/>
      <c r="Y847" s="208"/>
      <c r="Z847" s="208"/>
      <c r="AA847" s="208"/>
      <c r="AB847" s="208"/>
      <c r="AC847" s="208"/>
      <c r="AD847" s="208"/>
      <c r="AE847" s="208"/>
      <c r="AF847" s="208"/>
      <c r="AG847" s="208"/>
      <c r="AH847" s="208"/>
      <c r="AI847" s="208"/>
      <c r="AJ847" s="208"/>
      <c r="AK847" s="208"/>
    </row>
    <row r="848">
      <c r="A848" s="208"/>
      <c r="B848" s="208"/>
      <c r="C848" s="208"/>
      <c r="D848" s="208"/>
      <c r="E848" s="208"/>
      <c r="F848" s="208"/>
      <c r="G848" s="208"/>
      <c r="H848" s="233"/>
      <c r="I848" s="234"/>
      <c r="J848" s="208"/>
      <c r="K848" s="208"/>
      <c r="L848" s="208"/>
      <c r="M848" s="208"/>
      <c r="N848" s="208"/>
      <c r="O848" s="208"/>
      <c r="P848" s="208"/>
      <c r="Q848" s="208"/>
      <c r="R848" s="208"/>
      <c r="S848" s="208"/>
      <c r="T848" s="208"/>
      <c r="U848" s="208"/>
      <c r="V848" s="208"/>
      <c r="W848" s="208"/>
      <c r="X848" s="208"/>
      <c r="Y848" s="208"/>
      <c r="Z848" s="208"/>
      <c r="AA848" s="208"/>
      <c r="AB848" s="208"/>
      <c r="AC848" s="208"/>
      <c r="AD848" s="208"/>
      <c r="AE848" s="208"/>
      <c r="AF848" s="208"/>
      <c r="AG848" s="208"/>
      <c r="AH848" s="208"/>
      <c r="AI848" s="208"/>
      <c r="AJ848" s="208"/>
      <c r="AK848" s="208"/>
    </row>
    <row r="849">
      <c r="A849" s="208"/>
      <c r="B849" s="208"/>
      <c r="C849" s="208"/>
      <c r="D849" s="208"/>
      <c r="E849" s="208"/>
      <c r="F849" s="208"/>
      <c r="G849" s="208"/>
      <c r="H849" s="233"/>
      <c r="I849" s="234"/>
      <c r="J849" s="208"/>
      <c r="K849" s="208"/>
      <c r="L849" s="208"/>
      <c r="M849" s="208"/>
      <c r="N849" s="208"/>
      <c r="O849" s="208"/>
      <c r="P849" s="208"/>
      <c r="Q849" s="208"/>
      <c r="R849" s="208"/>
      <c r="S849" s="208"/>
      <c r="T849" s="208"/>
      <c r="U849" s="208"/>
      <c r="V849" s="208"/>
      <c r="W849" s="208"/>
      <c r="X849" s="208"/>
      <c r="Y849" s="208"/>
      <c r="Z849" s="208"/>
      <c r="AA849" s="208"/>
      <c r="AB849" s="208"/>
      <c r="AC849" s="208"/>
      <c r="AD849" s="208"/>
      <c r="AE849" s="208"/>
      <c r="AF849" s="208"/>
      <c r="AG849" s="208"/>
      <c r="AH849" s="208"/>
      <c r="AI849" s="208"/>
      <c r="AJ849" s="208"/>
      <c r="AK849" s="208"/>
    </row>
    <row r="850">
      <c r="A850" s="208"/>
      <c r="B850" s="208"/>
      <c r="C850" s="208"/>
      <c r="D850" s="208"/>
      <c r="E850" s="208"/>
      <c r="F850" s="208"/>
      <c r="G850" s="208"/>
      <c r="H850" s="233"/>
      <c r="I850" s="234"/>
      <c r="J850" s="208"/>
      <c r="K850" s="208"/>
      <c r="L850" s="208"/>
      <c r="M850" s="208"/>
      <c r="N850" s="208"/>
      <c r="O850" s="208"/>
      <c r="P850" s="208"/>
      <c r="Q850" s="208"/>
      <c r="R850" s="208"/>
      <c r="S850" s="208"/>
      <c r="T850" s="208"/>
      <c r="U850" s="208"/>
      <c r="V850" s="208"/>
      <c r="W850" s="208"/>
      <c r="X850" s="208"/>
      <c r="Y850" s="208"/>
      <c r="Z850" s="208"/>
      <c r="AA850" s="208"/>
      <c r="AB850" s="208"/>
      <c r="AC850" s="208"/>
      <c r="AD850" s="208"/>
      <c r="AE850" s="208"/>
      <c r="AF850" s="208"/>
      <c r="AG850" s="208"/>
      <c r="AH850" s="208"/>
      <c r="AI850" s="208"/>
      <c r="AJ850" s="208"/>
      <c r="AK850" s="208"/>
    </row>
    <row r="851">
      <c r="A851" s="208"/>
      <c r="B851" s="208"/>
      <c r="C851" s="208"/>
      <c r="D851" s="208"/>
      <c r="E851" s="208"/>
      <c r="F851" s="208"/>
      <c r="G851" s="208"/>
      <c r="H851" s="233"/>
      <c r="I851" s="234"/>
      <c r="J851" s="208"/>
      <c r="K851" s="208"/>
      <c r="L851" s="208"/>
      <c r="M851" s="208"/>
      <c r="N851" s="208"/>
      <c r="O851" s="208"/>
      <c r="P851" s="208"/>
      <c r="Q851" s="208"/>
      <c r="R851" s="208"/>
      <c r="S851" s="208"/>
      <c r="T851" s="208"/>
      <c r="U851" s="208"/>
      <c r="V851" s="208"/>
      <c r="W851" s="208"/>
      <c r="X851" s="208"/>
      <c r="Y851" s="208"/>
      <c r="Z851" s="208"/>
      <c r="AA851" s="208"/>
      <c r="AB851" s="208"/>
      <c r="AC851" s="208"/>
      <c r="AD851" s="208"/>
      <c r="AE851" s="208"/>
      <c r="AF851" s="208"/>
      <c r="AG851" s="208"/>
      <c r="AH851" s="208"/>
      <c r="AI851" s="208"/>
      <c r="AJ851" s="208"/>
      <c r="AK851" s="208"/>
    </row>
    <row r="852">
      <c r="A852" s="208"/>
      <c r="B852" s="208"/>
      <c r="C852" s="208"/>
      <c r="D852" s="208"/>
      <c r="E852" s="208"/>
      <c r="F852" s="208"/>
      <c r="G852" s="208"/>
      <c r="H852" s="233"/>
      <c r="I852" s="234"/>
      <c r="J852" s="208"/>
      <c r="K852" s="208"/>
      <c r="L852" s="208"/>
      <c r="M852" s="208"/>
      <c r="N852" s="208"/>
      <c r="O852" s="208"/>
      <c r="P852" s="208"/>
      <c r="Q852" s="208"/>
      <c r="R852" s="208"/>
      <c r="S852" s="208"/>
      <c r="T852" s="208"/>
      <c r="U852" s="208"/>
      <c r="V852" s="208"/>
      <c r="W852" s="208"/>
      <c r="X852" s="208"/>
      <c r="Y852" s="208"/>
      <c r="Z852" s="208"/>
      <c r="AA852" s="208"/>
      <c r="AB852" s="208"/>
      <c r="AC852" s="208"/>
      <c r="AD852" s="208"/>
      <c r="AE852" s="208"/>
      <c r="AF852" s="208"/>
      <c r="AG852" s="208"/>
      <c r="AH852" s="208"/>
      <c r="AI852" s="208"/>
      <c r="AJ852" s="208"/>
      <c r="AK852" s="208"/>
    </row>
    <row r="853">
      <c r="A853" s="208"/>
      <c r="B853" s="208"/>
      <c r="C853" s="208"/>
      <c r="D853" s="208"/>
      <c r="E853" s="208"/>
      <c r="F853" s="208"/>
      <c r="G853" s="208"/>
      <c r="H853" s="233"/>
      <c r="I853" s="234"/>
      <c r="J853" s="208"/>
      <c r="K853" s="208"/>
      <c r="L853" s="208"/>
      <c r="M853" s="208"/>
      <c r="N853" s="208"/>
      <c r="O853" s="208"/>
      <c r="P853" s="208"/>
      <c r="Q853" s="208"/>
      <c r="R853" s="208"/>
      <c r="S853" s="208"/>
      <c r="T853" s="208"/>
      <c r="U853" s="208"/>
      <c r="V853" s="208"/>
      <c r="W853" s="208"/>
      <c r="X853" s="208"/>
      <c r="Y853" s="208"/>
      <c r="Z853" s="208"/>
      <c r="AA853" s="208"/>
      <c r="AB853" s="208"/>
      <c r="AC853" s="208"/>
      <c r="AD853" s="208"/>
      <c r="AE853" s="208"/>
      <c r="AF853" s="208"/>
      <c r="AG853" s="208"/>
      <c r="AH853" s="208"/>
      <c r="AI853" s="208"/>
      <c r="AJ853" s="208"/>
      <c r="AK853" s="208"/>
    </row>
    <row r="854">
      <c r="A854" s="208"/>
      <c r="B854" s="208"/>
      <c r="C854" s="208"/>
      <c r="D854" s="208"/>
      <c r="E854" s="208"/>
      <c r="F854" s="208"/>
      <c r="G854" s="208"/>
      <c r="H854" s="233"/>
      <c r="I854" s="234"/>
      <c r="J854" s="208"/>
      <c r="K854" s="208"/>
      <c r="L854" s="208"/>
      <c r="M854" s="208"/>
      <c r="N854" s="208"/>
      <c r="O854" s="208"/>
      <c r="P854" s="208"/>
      <c r="Q854" s="208"/>
      <c r="R854" s="208"/>
      <c r="S854" s="208"/>
      <c r="T854" s="208"/>
      <c r="U854" s="208"/>
      <c r="V854" s="208"/>
      <c r="W854" s="208"/>
      <c r="X854" s="208"/>
      <c r="Y854" s="208"/>
      <c r="Z854" s="208"/>
      <c r="AA854" s="208"/>
      <c r="AB854" s="208"/>
      <c r="AC854" s="208"/>
      <c r="AD854" s="208"/>
      <c r="AE854" s="208"/>
      <c r="AF854" s="208"/>
      <c r="AG854" s="208"/>
      <c r="AH854" s="208"/>
      <c r="AI854" s="208"/>
      <c r="AJ854" s="208"/>
      <c r="AK854" s="208"/>
    </row>
    <row r="855">
      <c r="A855" s="208"/>
      <c r="B855" s="208"/>
      <c r="C855" s="208"/>
      <c r="D855" s="208"/>
      <c r="E855" s="208"/>
      <c r="F855" s="208"/>
      <c r="G855" s="208"/>
      <c r="H855" s="233"/>
      <c r="I855" s="234"/>
      <c r="J855" s="208"/>
      <c r="K855" s="208"/>
      <c r="L855" s="208"/>
      <c r="M855" s="208"/>
      <c r="N855" s="208"/>
      <c r="O855" s="208"/>
      <c r="P855" s="208"/>
      <c r="Q855" s="208"/>
      <c r="R855" s="208"/>
      <c r="S855" s="208"/>
      <c r="T855" s="208"/>
      <c r="U855" s="208"/>
      <c r="V855" s="208"/>
      <c r="W855" s="208"/>
      <c r="X855" s="208"/>
      <c r="Y855" s="208"/>
      <c r="Z855" s="208"/>
      <c r="AA855" s="208"/>
      <c r="AB855" s="208"/>
      <c r="AC855" s="208"/>
      <c r="AD855" s="208"/>
      <c r="AE855" s="208"/>
      <c r="AF855" s="208"/>
      <c r="AG855" s="208"/>
      <c r="AH855" s="208"/>
      <c r="AI855" s="208"/>
      <c r="AJ855" s="208"/>
      <c r="AK855" s="208"/>
    </row>
    <row r="856">
      <c r="A856" s="208"/>
      <c r="B856" s="208"/>
      <c r="C856" s="208"/>
      <c r="D856" s="208"/>
      <c r="E856" s="208"/>
      <c r="F856" s="208"/>
      <c r="G856" s="208"/>
      <c r="H856" s="233"/>
      <c r="I856" s="234"/>
      <c r="J856" s="208"/>
      <c r="K856" s="208"/>
      <c r="L856" s="208"/>
      <c r="M856" s="208"/>
      <c r="N856" s="208"/>
      <c r="O856" s="208"/>
      <c r="P856" s="208"/>
      <c r="Q856" s="208"/>
      <c r="R856" s="208"/>
      <c r="S856" s="208"/>
      <c r="T856" s="208"/>
      <c r="U856" s="208"/>
      <c r="V856" s="208"/>
      <c r="W856" s="208"/>
      <c r="X856" s="208"/>
      <c r="Y856" s="208"/>
      <c r="Z856" s="208"/>
      <c r="AA856" s="208"/>
      <c r="AB856" s="208"/>
      <c r="AC856" s="208"/>
      <c r="AD856" s="208"/>
      <c r="AE856" s="208"/>
      <c r="AF856" s="208"/>
      <c r="AG856" s="208"/>
      <c r="AH856" s="208"/>
      <c r="AI856" s="208"/>
      <c r="AJ856" s="208"/>
      <c r="AK856" s="208"/>
    </row>
    <row r="857">
      <c r="A857" s="208"/>
      <c r="B857" s="208"/>
      <c r="C857" s="208"/>
      <c r="D857" s="208"/>
      <c r="E857" s="208"/>
      <c r="F857" s="208"/>
      <c r="G857" s="208"/>
      <c r="H857" s="233"/>
      <c r="I857" s="234"/>
      <c r="J857" s="208"/>
      <c r="K857" s="208"/>
      <c r="L857" s="208"/>
      <c r="M857" s="208"/>
      <c r="N857" s="208"/>
      <c r="O857" s="208"/>
      <c r="P857" s="208"/>
      <c r="Q857" s="208"/>
      <c r="R857" s="208"/>
      <c r="S857" s="208"/>
      <c r="T857" s="208"/>
      <c r="U857" s="208"/>
      <c r="V857" s="208"/>
      <c r="W857" s="208"/>
      <c r="X857" s="208"/>
      <c r="Y857" s="208"/>
      <c r="Z857" s="208"/>
      <c r="AA857" s="208"/>
      <c r="AB857" s="208"/>
      <c r="AC857" s="208"/>
      <c r="AD857" s="208"/>
      <c r="AE857" s="208"/>
      <c r="AF857" s="208"/>
      <c r="AG857" s="208"/>
      <c r="AH857" s="208"/>
      <c r="AI857" s="208"/>
      <c r="AJ857" s="208"/>
      <c r="AK857" s="208"/>
    </row>
    <row r="858">
      <c r="A858" s="208"/>
      <c r="B858" s="208"/>
      <c r="C858" s="208"/>
      <c r="D858" s="208"/>
      <c r="E858" s="208"/>
      <c r="F858" s="208"/>
      <c r="G858" s="208"/>
      <c r="H858" s="233"/>
      <c r="I858" s="234"/>
      <c r="J858" s="208"/>
      <c r="K858" s="208"/>
      <c r="L858" s="208"/>
      <c r="M858" s="208"/>
      <c r="N858" s="208"/>
      <c r="O858" s="208"/>
      <c r="P858" s="208"/>
      <c r="Q858" s="208"/>
      <c r="R858" s="208"/>
      <c r="S858" s="208"/>
      <c r="T858" s="208"/>
      <c r="U858" s="208"/>
      <c r="V858" s="208"/>
      <c r="W858" s="208"/>
      <c r="X858" s="208"/>
      <c r="Y858" s="208"/>
      <c r="Z858" s="208"/>
      <c r="AA858" s="208"/>
      <c r="AB858" s="208"/>
      <c r="AC858" s="208"/>
      <c r="AD858" s="208"/>
      <c r="AE858" s="208"/>
      <c r="AF858" s="208"/>
      <c r="AG858" s="208"/>
      <c r="AH858" s="208"/>
      <c r="AI858" s="208"/>
      <c r="AJ858" s="208"/>
      <c r="AK858" s="208"/>
    </row>
    <row r="859">
      <c r="A859" s="208"/>
      <c r="B859" s="208"/>
      <c r="C859" s="208"/>
      <c r="D859" s="208"/>
      <c r="E859" s="208"/>
      <c r="F859" s="208"/>
      <c r="G859" s="208"/>
      <c r="H859" s="233"/>
      <c r="I859" s="234"/>
      <c r="J859" s="208"/>
      <c r="K859" s="208"/>
      <c r="L859" s="208"/>
      <c r="M859" s="208"/>
      <c r="N859" s="208"/>
      <c r="O859" s="208"/>
      <c r="P859" s="208"/>
      <c r="Q859" s="208"/>
      <c r="R859" s="208"/>
      <c r="S859" s="208"/>
      <c r="T859" s="208"/>
      <c r="U859" s="208"/>
      <c r="V859" s="208"/>
      <c r="W859" s="208"/>
      <c r="X859" s="208"/>
      <c r="Y859" s="208"/>
      <c r="Z859" s="208"/>
      <c r="AA859" s="208"/>
      <c r="AB859" s="208"/>
      <c r="AC859" s="208"/>
      <c r="AD859" s="208"/>
      <c r="AE859" s="208"/>
      <c r="AF859" s="208"/>
      <c r="AG859" s="208"/>
      <c r="AH859" s="208"/>
      <c r="AI859" s="208"/>
      <c r="AJ859" s="208"/>
      <c r="AK859" s="208"/>
    </row>
    <row r="860">
      <c r="A860" s="208"/>
      <c r="B860" s="208"/>
      <c r="C860" s="208"/>
      <c r="D860" s="208"/>
      <c r="E860" s="208"/>
      <c r="F860" s="208"/>
      <c r="G860" s="208"/>
      <c r="H860" s="233"/>
      <c r="I860" s="234"/>
      <c r="J860" s="208"/>
      <c r="K860" s="208"/>
      <c r="L860" s="208"/>
      <c r="M860" s="208"/>
      <c r="N860" s="208"/>
      <c r="O860" s="208"/>
      <c r="P860" s="208"/>
      <c r="Q860" s="208"/>
      <c r="R860" s="208"/>
      <c r="S860" s="208"/>
      <c r="T860" s="208"/>
      <c r="U860" s="208"/>
      <c r="V860" s="208"/>
      <c r="W860" s="208"/>
      <c r="X860" s="208"/>
      <c r="Y860" s="208"/>
      <c r="Z860" s="208"/>
      <c r="AA860" s="208"/>
      <c r="AB860" s="208"/>
      <c r="AC860" s="208"/>
      <c r="AD860" s="208"/>
      <c r="AE860" s="208"/>
      <c r="AF860" s="208"/>
      <c r="AG860" s="208"/>
      <c r="AH860" s="208"/>
      <c r="AI860" s="208"/>
      <c r="AJ860" s="208"/>
      <c r="AK860" s="208"/>
    </row>
    <row r="861">
      <c r="A861" s="208"/>
      <c r="B861" s="208"/>
      <c r="C861" s="208"/>
      <c r="D861" s="208"/>
      <c r="E861" s="208"/>
      <c r="F861" s="208"/>
      <c r="G861" s="208"/>
      <c r="H861" s="233"/>
      <c r="I861" s="234"/>
      <c r="J861" s="208"/>
      <c r="K861" s="208"/>
      <c r="L861" s="208"/>
      <c r="M861" s="208"/>
      <c r="N861" s="208"/>
      <c r="O861" s="208"/>
      <c r="P861" s="208"/>
      <c r="Q861" s="208"/>
      <c r="R861" s="208"/>
      <c r="S861" s="208"/>
      <c r="T861" s="208"/>
      <c r="U861" s="208"/>
      <c r="V861" s="208"/>
      <c r="W861" s="208"/>
      <c r="X861" s="208"/>
      <c r="Y861" s="208"/>
      <c r="Z861" s="208"/>
      <c r="AA861" s="208"/>
      <c r="AB861" s="208"/>
      <c r="AC861" s="208"/>
      <c r="AD861" s="208"/>
      <c r="AE861" s="208"/>
      <c r="AF861" s="208"/>
      <c r="AG861" s="208"/>
      <c r="AH861" s="208"/>
      <c r="AI861" s="208"/>
      <c r="AJ861" s="208"/>
      <c r="AK861" s="208"/>
    </row>
    <row r="862">
      <c r="A862" s="208"/>
      <c r="B862" s="208"/>
      <c r="C862" s="208"/>
      <c r="D862" s="208"/>
      <c r="E862" s="208"/>
      <c r="F862" s="208"/>
      <c r="G862" s="208"/>
      <c r="H862" s="233"/>
      <c r="I862" s="234"/>
      <c r="J862" s="208"/>
      <c r="K862" s="208"/>
      <c r="L862" s="208"/>
      <c r="M862" s="208"/>
      <c r="N862" s="208"/>
      <c r="O862" s="208"/>
      <c r="P862" s="208"/>
      <c r="Q862" s="208"/>
      <c r="R862" s="208"/>
      <c r="S862" s="208"/>
      <c r="T862" s="208"/>
      <c r="U862" s="208"/>
      <c r="V862" s="208"/>
      <c r="W862" s="208"/>
      <c r="X862" s="208"/>
      <c r="Y862" s="208"/>
      <c r="Z862" s="208"/>
      <c r="AA862" s="208"/>
      <c r="AB862" s="208"/>
      <c r="AC862" s="208"/>
      <c r="AD862" s="208"/>
      <c r="AE862" s="208"/>
      <c r="AF862" s="208"/>
      <c r="AG862" s="208"/>
      <c r="AH862" s="208"/>
      <c r="AI862" s="208"/>
      <c r="AJ862" s="208"/>
      <c r="AK862" s="208"/>
    </row>
    <row r="863">
      <c r="A863" s="208"/>
      <c r="B863" s="208"/>
      <c r="C863" s="208"/>
      <c r="D863" s="208"/>
      <c r="E863" s="208"/>
      <c r="F863" s="208"/>
      <c r="G863" s="208"/>
      <c r="H863" s="233"/>
      <c r="I863" s="234"/>
      <c r="J863" s="208"/>
      <c r="K863" s="208"/>
      <c r="L863" s="208"/>
      <c r="M863" s="208"/>
      <c r="N863" s="208"/>
      <c r="O863" s="208"/>
      <c r="P863" s="208"/>
      <c r="Q863" s="208"/>
      <c r="R863" s="208"/>
      <c r="S863" s="208"/>
      <c r="T863" s="208"/>
      <c r="U863" s="208"/>
      <c r="V863" s="208"/>
      <c r="W863" s="208"/>
      <c r="X863" s="208"/>
      <c r="Y863" s="208"/>
      <c r="Z863" s="208"/>
      <c r="AA863" s="208"/>
      <c r="AB863" s="208"/>
      <c r="AC863" s="208"/>
      <c r="AD863" s="208"/>
      <c r="AE863" s="208"/>
      <c r="AF863" s="208"/>
      <c r="AG863" s="208"/>
      <c r="AH863" s="208"/>
      <c r="AI863" s="208"/>
      <c r="AJ863" s="208"/>
      <c r="AK863" s="208"/>
    </row>
    <row r="864">
      <c r="A864" s="208"/>
      <c r="B864" s="208"/>
      <c r="C864" s="208"/>
      <c r="D864" s="208"/>
      <c r="E864" s="208"/>
      <c r="F864" s="208"/>
      <c r="G864" s="208"/>
      <c r="H864" s="233"/>
      <c r="I864" s="234"/>
      <c r="J864" s="208"/>
      <c r="K864" s="208"/>
      <c r="L864" s="208"/>
      <c r="M864" s="208"/>
      <c r="N864" s="208"/>
      <c r="O864" s="208"/>
      <c r="P864" s="208"/>
      <c r="Q864" s="208"/>
      <c r="R864" s="208"/>
      <c r="S864" s="208"/>
      <c r="T864" s="208"/>
      <c r="U864" s="208"/>
      <c r="V864" s="208"/>
      <c r="W864" s="208"/>
      <c r="X864" s="208"/>
      <c r="Y864" s="208"/>
      <c r="Z864" s="208"/>
      <c r="AA864" s="208"/>
      <c r="AB864" s="208"/>
      <c r="AC864" s="208"/>
      <c r="AD864" s="208"/>
      <c r="AE864" s="208"/>
      <c r="AF864" s="208"/>
      <c r="AG864" s="208"/>
      <c r="AH864" s="208"/>
      <c r="AI864" s="208"/>
      <c r="AJ864" s="208"/>
      <c r="AK864" s="208"/>
    </row>
    <row r="865">
      <c r="A865" s="208"/>
      <c r="B865" s="208"/>
      <c r="C865" s="208"/>
      <c r="D865" s="208"/>
      <c r="E865" s="208"/>
      <c r="F865" s="208"/>
      <c r="G865" s="208"/>
      <c r="H865" s="233"/>
      <c r="I865" s="234"/>
      <c r="J865" s="208"/>
      <c r="K865" s="208"/>
      <c r="L865" s="208"/>
      <c r="M865" s="208"/>
      <c r="N865" s="208"/>
      <c r="O865" s="208"/>
      <c r="P865" s="208"/>
      <c r="Q865" s="208"/>
      <c r="R865" s="208"/>
      <c r="S865" s="208"/>
      <c r="T865" s="208"/>
      <c r="U865" s="208"/>
      <c r="V865" s="208"/>
      <c r="W865" s="208"/>
      <c r="X865" s="208"/>
      <c r="Y865" s="208"/>
      <c r="Z865" s="208"/>
      <c r="AA865" s="208"/>
      <c r="AB865" s="208"/>
      <c r="AC865" s="208"/>
      <c r="AD865" s="208"/>
      <c r="AE865" s="208"/>
      <c r="AF865" s="208"/>
      <c r="AG865" s="208"/>
      <c r="AH865" s="208"/>
      <c r="AI865" s="208"/>
      <c r="AJ865" s="208"/>
      <c r="AK865" s="208"/>
    </row>
    <row r="866">
      <c r="A866" s="208"/>
      <c r="B866" s="208"/>
      <c r="C866" s="208"/>
      <c r="D866" s="208"/>
      <c r="E866" s="208"/>
      <c r="F866" s="208"/>
      <c r="G866" s="208"/>
      <c r="H866" s="233"/>
      <c r="I866" s="234"/>
      <c r="J866" s="208"/>
      <c r="K866" s="208"/>
      <c r="L866" s="208"/>
      <c r="M866" s="208"/>
      <c r="N866" s="208"/>
      <c r="O866" s="208"/>
      <c r="P866" s="208"/>
      <c r="Q866" s="208"/>
      <c r="R866" s="208"/>
      <c r="S866" s="208"/>
      <c r="T866" s="208"/>
      <c r="U866" s="208"/>
      <c r="V866" s="208"/>
      <c r="W866" s="208"/>
      <c r="X866" s="208"/>
      <c r="Y866" s="208"/>
      <c r="Z866" s="208"/>
      <c r="AA866" s="208"/>
      <c r="AB866" s="208"/>
      <c r="AC866" s="208"/>
      <c r="AD866" s="208"/>
      <c r="AE866" s="208"/>
      <c r="AF866" s="208"/>
      <c r="AG866" s="208"/>
      <c r="AH866" s="208"/>
      <c r="AI866" s="208"/>
      <c r="AJ866" s="208"/>
      <c r="AK866" s="208"/>
    </row>
    <row r="867">
      <c r="A867" s="208"/>
      <c r="B867" s="208"/>
      <c r="C867" s="208"/>
      <c r="D867" s="208"/>
      <c r="E867" s="208"/>
      <c r="F867" s="208"/>
      <c r="G867" s="208"/>
      <c r="H867" s="233"/>
      <c r="I867" s="234"/>
      <c r="J867" s="208"/>
      <c r="K867" s="208"/>
      <c r="L867" s="208"/>
      <c r="M867" s="208"/>
      <c r="N867" s="208"/>
      <c r="O867" s="208"/>
      <c r="P867" s="208"/>
      <c r="Q867" s="208"/>
      <c r="R867" s="208"/>
      <c r="S867" s="208"/>
      <c r="T867" s="208"/>
      <c r="U867" s="208"/>
      <c r="V867" s="208"/>
      <c r="W867" s="208"/>
      <c r="X867" s="208"/>
      <c r="Y867" s="208"/>
      <c r="Z867" s="208"/>
      <c r="AA867" s="208"/>
      <c r="AB867" s="208"/>
      <c r="AC867" s="208"/>
      <c r="AD867" s="208"/>
      <c r="AE867" s="208"/>
      <c r="AF867" s="208"/>
      <c r="AG867" s="208"/>
      <c r="AH867" s="208"/>
      <c r="AI867" s="208"/>
      <c r="AJ867" s="208"/>
      <c r="AK867" s="208"/>
    </row>
    <row r="868">
      <c r="A868" s="208"/>
      <c r="B868" s="208"/>
      <c r="C868" s="208"/>
      <c r="D868" s="208"/>
      <c r="E868" s="208"/>
      <c r="F868" s="208"/>
      <c r="G868" s="208"/>
      <c r="H868" s="233"/>
      <c r="I868" s="234"/>
      <c r="J868" s="208"/>
      <c r="K868" s="208"/>
      <c r="L868" s="208"/>
      <c r="M868" s="208"/>
      <c r="N868" s="208"/>
      <c r="O868" s="208"/>
      <c r="P868" s="208"/>
      <c r="Q868" s="208"/>
      <c r="R868" s="208"/>
      <c r="S868" s="208"/>
      <c r="T868" s="208"/>
      <c r="U868" s="208"/>
      <c r="V868" s="208"/>
      <c r="W868" s="208"/>
      <c r="X868" s="208"/>
      <c r="Y868" s="208"/>
      <c r="Z868" s="208"/>
      <c r="AA868" s="208"/>
      <c r="AB868" s="208"/>
      <c r="AC868" s="208"/>
      <c r="AD868" s="208"/>
      <c r="AE868" s="208"/>
      <c r="AF868" s="208"/>
      <c r="AG868" s="208"/>
      <c r="AH868" s="208"/>
      <c r="AI868" s="208"/>
      <c r="AJ868" s="208"/>
      <c r="AK868" s="208"/>
    </row>
    <row r="869">
      <c r="A869" s="208"/>
      <c r="B869" s="208"/>
      <c r="C869" s="208"/>
      <c r="D869" s="208"/>
      <c r="E869" s="208"/>
      <c r="F869" s="208"/>
      <c r="G869" s="208"/>
      <c r="H869" s="233"/>
      <c r="I869" s="234"/>
      <c r="J869" s="208"/>
      <c r="K869" s="208"/>
      <c r="L869" s="208"/>
      <c r="M869" s="208"/>
      <c r="N869" s="208"/>
      <c r="O869" s="208"/>
      <c r="P869" s="208"/>
      <c r="Q869" s="208"/>
      <c r="R869" s="208"/>
      <c r="S869" s="208"/>
      <c r="T869" s="208"/>
      <c r="U869" s="208"/>
      <c r="V869" s="208"/>
      <c r="W869" s="208"/>
      <c r="X869" s="208"/>
      <c r="Y869" s="208"/>
      <c r="Z869" s="208"/>
      <c r="AA869" s="208"/>
      <c r="AB869" s="208"/>
      <c r="AC869" s="208"/>
      <c r="AD869" s="208"/>
      <c r="AE869" s="208"/>
      <c r="AF869" s="208"/>
      <c r="AG869" s="208"/>
      <c r="AH869" s="208"/>
      <c r="AI869" s="208"/>
      <c r="AJ869" s="208"/>
      <c r="AK869" s="208"/>
    </row>
    <row r="870">
      <c r="A870" s="208"/>
      <c r="B870" s="208"/>
      <c r="C870" s="208"/>
      <c r="D870" s="208"/>
      <c r="E870" s="208"/>
      <c r="F870" s="208"/>
      <c r="G870" s="208"/>
      <c r="H870" s="233"/>
      <c r="I870" s="234"/>
      <c r="J870" s="208"/>
      <c r="K870" s="208"/>
      <c r="L870" s="208"/>
      <c r="M870" s="208"/>
      <c r="N870" s="208"/>
      <c r="O870" s="208"/>
      <c r="P870" s="208"/>
      <c r="Q870" s="208"/>
      <c r="R870" s="208"/>
      <c r="S870" s="208"/>
      <c r="T870" s="208"/>
      <c r="U870" s="208"/>
      <c r="V870" s="208"/>
      <c r="W870" s="208"/>
      <c r="X870" s="208"/>
      <c r="Y870" s="208"/>
      <c r="Z870" s="208"/>
      <c r="AA870" s="208"/>
      <c r="AB870" s="208"/>
      <c r="AC870" s="208"/>
      <c r="AD870" s="208"/>
      <c r="AE870" s="208"/>
      <c r="AF870" s="208"/>
      <c r="AG870" s="208"/>
      <c r="AH870" s="208"/>
      <c r="AI870" s="208"/>
      <c r="AJ870" s="208"/>
      <c r="AK870" s="208"/>
    </row>
    <row r="871">
      <c r="A871" s="208"/>
      <c r="B871" s="208"/>
      <c r="C871" s="208"/>
      <c r="D871" s="208"/>
      <c r="E871" s="208"/>
      <c r="F871" s="208"/>
      <c r="G871" s="208"/>
      <c r="H871" s="233"/>
      <c r="I871" s="234"/>
      <c r="J871" s="208"/>
      <c r="K871" s="208"/>
      <c r="L871" s="208"/>
      <c r="M871" s="208"/>
      <c r="N871" s="208"/>
      <c r="O871" s="208"/>
      <c r="P871" s="208"/>
      <c r="Q871" s="208"/>
      <c r="R871" s="208"/>
      <c r="S871" s="208"/>
      <c r="T871" s="208"/>
      <c r="U871" s="208"/>
      <c r="V871" s="208"/>
      <c r="W871" s="208"/>
      <c r="X871" s="208"/>
      <c r="Y871" s="208"/>
      <c r="Z871" s="208"/>
      <c r="AA871" s="208"/>
      <c r="AB871" s="208"/>
      <c r="AC871" s="208"/>
      <c r="AD871" s="208"/>
      <c r="AE871" s="208"/>
      <c r="AF871" s="208"/>
      <c r="AG871" s="208"/>
      <c r="AH871" s="208"/>
      <c r="AI871" s="208"/>
      <c r="AJ871" s="208"/>
      <c r="AK871" s="208"/>
    </row>
    <row r="872">
      <c r="A872" s="208"/>
      <c r="B872" s="208"/>
      <c r="C872" s="208"/>
      <c r="D872" s="208"/>
      <c r="E872" s="208"/>
      <c r="F872" s="208"/>
      <c r="G872" s="208"/>
      <c r="H872" s="233"/>
      <c r="I872" s="234"/>
      <c r="J872" s="208"/>
      <c r="K872" s="208"/>
      <c r="L872" s="208"/>
      <c r="M872" s="208"/>
      <c r="N872" s="208"/>
      <c r="O872" s="208"/>
      <c r="P872" s="208"/>
      <c r="Q872" s="208"/>
      <c r="R872" s="208"/>
      <c r="S872" s="208"/>
      <c r="T872" s="208"/>
      <c r="U872" s="208"/>
      <c r="V872" s="208"/>
      <c r="W872" s="208"/>
      <c r="X872" s="208"/>
      <c r="Y872" s="208"/>
      <c r="Z872" s="208"/>
      <c r="AA872" s="208"/>
      <c r="AB872" s="208"/>
      <c r="AC872" s="208"/>
      <c r="AD872" s="208"/>
      <c r="AE872" s="208"/>
      <c r="AF872" s="208"/>
      <c r="AG872" s="208"/>
      <c r="AH872" s="208"/>
      <c r="AI872" s="208"/>
      <c r="AJ872" s="208"/>
      <c r="AK872" s="208"/>
    </row>
    <row r="873">
      <c r="A873" s="208"/>
      <c r="B873" s="208"/>
      <c r="C873" s="208"/>
      <c r="D873" s="208"/>
      <c r="E873" s="208"/>
      <c r="F873" s="208"/>
      <c r="G873" s="208"/>
      <c r="H873" s="233"/>
      <c r="I873" s="234"/>
      <c r="J873" s="208"/>
      <c r="K873" s="208"/>
      <c r="L873" s="208"/>
      <c r="M873" s="208"/>
      <c r="N873" s="208"/>
      <c r="O873" s="208"/>
      <c r="P873" s="208"/>
      <c r="Q873" s="208"/>
      <c r="R873" s="208"/>
      <c r="S873" s="208"/>
      <c r="T873" s="208"/>
      <c r="U873" s="208"/>
      <c r="V873" s="208"/>
      <c r="W873" s="208"/>
      <c r="X873" s="208"/>
      <c r="Y873" s="208"/>
      <c r="Z873" s="208"/>
      <c r="AA873" s="208"/>
      <c r="AB873" s="208"/>
      <c r="AC873" s="208"/>
      <c r="AD873" s="208"/>
      <c r="AE873" s="208"/>
      <c r="AF873" s="208"/>
      <c r="AG873" s="208"/>
      <c r="AH873" s="208"/>
      <c r="AI873" s="208"/>
      <c r="AJ873" s="208"/>
      <c r="AK873" s="208"/>
    </row>
    <row r="874">
      <c r="A874" s="208"/>
      <c r="B874" s="208"/>
      <c r="C874" s="208"/>
      <c r="D874" s="208"/>
      <c r="E874" s="208"/>
      <c r="F874" s="208"/>
      <c r="G874" s="208"/>
      <c r="H874" s="233"/>
      <c r="I874" s="234"/>
      <c r="J874" s="208"/>
      <c r="K874" s="208"/>
      <c r="L874" s="208"/>
      <c r="M874" s="208"/>
      <c r="N874" s="208"/>
      <c r="O874" s="208"/>
      <c r="P874" s="208"/>
      <c r="Q874" s="208"/>
      <c r="R874" s="208"/>
      <c r="S874" s="208"/>
      <c r="T874" s="208"/>
      <c r="U874" s="208"/>
      <c r="V874" s="208"/>
      <c r="W874" s="208"/>
      <c r="X874" s="208"/>
      <c r="Y874" s="208"/>
      <c r="Z874" s="208"/>
      <c r="AA874" s="208"/>
      <c r="AB874" s="208"/>
      <c r="AC874" s="208"/>
      <c r="AD874" s="208"/>
      <c r="AE874" s="208"/>
      <c r="AF874" s="208"/>
      <c r="AG874" s="208"/>
      <c r="AH874" s="208"/>
      <c r="AI874" s="208"/>
      <c r="AJ874" s="208"/>
      <c r="AK874" s="208"/>
    </row>
    <row r="875">
      <c r="A875" s="208"/>
      <c r="B875" s="208"/>
      <c r="C875" s="208"/>
      <c r="D875" s="208"/>
      <c r="E875" s="208"/>
      <c r="F875" s="208"/>
      <c r="G875" s="208"/>
      <c r="H875" s="233"/>
      <c r="I875" s="234"/>
      <c r="J875" s="208"/>
      <c r="K875" s="208"/>
      <c r="L875" s="208"/>
      <c r="M875" s="208"/>
      <c r="N875" s="208"/>
      <c r="O875" s="208"/>
      <c r="P875" s="208"/>
      <c r="Q875" s="208"/>
      <c r="R875" s="208"/>
      <c r="S875" s="208"/>
      <c r="T875" s="208"/>
      <c r="U875" s="208"/>
      <c r="V875" s="208"/>
      <c r="W875" s="208"/>
      <c r="X875" s="208"/>
      <c r="Y875" s="208"/>
      <c r="Z875" s="208"/>
      <c r="AA875" s="208"/>
      <c r="AB875" s="208"/>
      <c r="AC875" s="208"/>
      <c r="AD875" s="208"/>
      <c r="AE875" s="208"/>
      <c r="AF875" s="208"/>
      <c r="AG875" s="208"/>
      <c r="AH875" s="208"/>
      <c r="AI875" s="208"/>
      <c r="AJ875" s="208"/>
      <c r="AK875" s="208"/>
    </row>
    <row r="876">
      <c r="A876" s="208"/>
      <c r="B876" s="208"/>
      <c r="C876" s="208"/>
      <c r="D876" s="208"/>
      <c r="E876" s="208"/>
      <c r="F876" s="208"/>
      <c r="G876" s="208"/>
      <c r="H876" s="233"/>
      <c r="I876" s="234"/>
      <c r="J876" s="208"/>
      <c r="K876" s="208"/>
      <c r="L876" s="208"/>
      <c r="M876" s="208"/>
      <c r="N876" s="208"/>
      <c r="O876" s="208"/>
      <c r="P876" s="208"/>
      <c r="Q876" s="208"/>
      <c r="R876" s="208"/>
      <c r="S876" s="208"/>
      <c r="T876" s="208"/>
      <c r="U876" s="208"/>
      <c r="V876" s="208"/>
      <c r="W876" s="208"/>
      <c r="X876" s="208"/>
      <c r="Y876" s="208"/>
      <c r="Z876" s="208"/>
      <c r="AA876" s="208"/>
      <c r="AB876" s="208"/>
      <c r="AC876" s="208"/>
      <c r="AD876" s="208"/>
      <c r="AE876" s="208"/>
      <c r="AF876" s="208"/>
      <c r="AG876" s="208"/>
      <c r="AH876" s="208"/>
      <c r="AI876" s="208"/>
      <c r="AJ876" s="208"/>
      <c r="AK876" s="208"/>
    </row>
    <row r="877">
      <c r="A877" s="208"/>
      <c r="B877" s="208"/>
      <c r="C877" s="208"/>
      <c r="D877" s="208"/>
      <c r="E877" s="208"/>
      <c r="F877" s="208"/>
      <c r="G877" s="208"/>
      <c r="H877" s="233"/>
      <c r="I877" s="234"/>
      <c r="J877" s="208"/>
      <c r="K877" s="208"/>
      <c r="L877" s="208"/>
      <c r="M877" s="208"/>
      <c r="N877" s="208"/>
      <c r="O877" s="208"/>
      <c r="P877" s="208"/>
      <c r="Q877" s="208"/>
      <c r="R877" s="208"/>
      <c r="S877" s="208"/>
      <c r="T877" s="208"/>
      <c r="U877" s="208"/>
      <c r="V877" s="208"/>
      <c r="W877" s="208"/>
      <c r="X877" s="208"/>
      <c r="Y877" s="208"/>
      <c r="Z877" s="208"/>
      <c r="AA877" s="208"/>
      <c r="AB877" s="208"/>
      <c r="AC877" s="208"/>
      <c r="AD877" s="208"/>
      <c r="AE877" s="208"/>
      <c r="AF877" s="208"/>
      <c r="AG877" s="208"/>
      <c r="AH877" s="208"/>
      <c r="AI877" s="208"/>
      <c r="AJ877" s="208"/>
      <c r="AK877" s="208"/>
    </row>
    <row r="878">
      <c r="A878" s="208"/>
      <c r="B878" s="208"/>
      <c r="C878" s="208"/>
      <c r="D878" s="208"/>
      <c r="E878" s="208"/>
      <c r="F878" s="208"/>
      <c r="G878" s="208"/>
      <c r="H878" s="233"/>
      <c r="I878" s="234"/>
      <c r="J878" s="208"/>
      <c r="K878" s="208"/>
      <c r="L878" s="208"/>
      <c r="M878" s="208"/>
      <c r="N878" s="208"/>
      <c r="O878" s="208"/>
      <c r="P878" s="208"/>
      <c r="Q878" s="208"/>
      <c r="R878" s="208"/>
      <c r="S878" s="208"/>
      <c r="T878" s="208"/>
      <c r="U878" s="208"/>
      <c r="V878" s="208"/>
      <c r="W878" s="208"/>
      <c r="X878" s="208"/>
      <c r="Y878" s="208"/>
      <c r="Z878" s="208"/>
      <c r="AA878" s="208"/>
      <c r="AB878" s="208"/>
      <c r="AC878" s="208"/>
      <c r="AD878" s="208"/>
      <c r="AE878" s="208"/>
      <c r="AF878" s="208"/>
      <c r="AG878" s="208"/>
      <c r="AH878" s="208"/>
      <c r="AI878" s="208"/>
      <c r="AJ878" s="208"/>
      <c r="AK878" s="208"/>
    </row>
    <row r="879">
      <c r="A879" s="208"/>
      <c r="B879" s="208"/>
      <c r="C879" s="208"/>
      <c r="D879" s="208"/>
      <c r="E879" s="208"/>
      <c r="F879" s="208"/>
      <c r="G879" s="208"/>
      <c r="H879" s="233"/>
      <c r="I879" s="234"/>
      <c r="J879" s="208"/>
      <c r="K879" s="208"/>
      <c r="L879" s="208"/>
      <c r="M879" s="208"/>
      <c r="N879" s="208"/>
      <c r="O879" s="208"/>
      <c r="P879" s="208"/>
      <c r="Q879" s="208"/>
      <c r="R879" s="208"/>
      <c r="S879" s="208"/>
      <c r="T879" s="208"/>
      <c r="U879" s="208"/>
      <c r="V879" s="208"/>
      <c r="W879" s="208"/>
      <c r="X879" s="208"/>
      <c r="Y879" s="208"/>
      <c r="Z879" s="208"/>
      <c r="AA879" s="208"/>
      <c r="AB879" s="208"/>
      <c r="AC879" s="208"/>
      <c r="AD879" s="208"/>
      <c r="AE879" s="208"/>
      <c r="AF879" s="208"/>
      <c r="AG879" s="208"/>
      <c r="AH879" s="208"/>
      <c r="AI879" s="208"/>
      <c r="AJ879" s="208"/>
      <c r="AK879" s="208"/>
    </row>
    <row r="880">
      <c r="A880" s="208"/>
      <c r="B880" s="208"/>
      <c r="C880" s="208"/>
      <c r="D880" s="208"/>
      <c r="E880" s="208"/>
      <c r="F880" s="208"/>
      <c r="G880" s="208"/>
      <c r="H880" s="233"/>
      <c r="I880" s="234"/>
      <c r="J880" s="208"/>
      <c r="K880" s="208"/>
      <c r="L880" s="208"/>
      <c r="M880" s="208"/>
      <c r="N880" s="208"/>
      <c r="O880" s="208"/>
      <c r="P880" s="208"/>
      <c r="Q880" s="208"/>
      <c r="R880" s="208"/>
      <c r="S880" s="208"/>
      <c r="T880" s="208"/>
      <c r="U880" s="208"/>
      <c r="V880" s="208"/>
      <c r="W880" s="208"/>
      <c r="X880" s="208"/>
      <c r="Y880" s="208"/>
      <c r="Z880" s="208"/>
      <c r="AA880" s="208"/>
      <c r="AB880" s="208"/>
      <c r="AC880" s="208"/>
      <c r="AD880" s="208"/>
      <c r="AE880" s="208"/>
      <c r="AF880" s="208"/>
      <c r="AG880" s="208"/>
      <c r="AH880" s="208"/>
      <c r="AI880" s="208"/>
      <c r="AJ880" s="208"/>
      <c r="AK880" s="208"/>
    </row>
    <row r="881">
      <c r="A881" s="208"/>
      <c r="B881" s="208"/>
      <c r="C881" s="208"/>
      <c r="D881" s="208"/>
      <c r="E881" s="208"/>
      <c r="F881" s="208"/>
      <c r="G881" s="208"/>
      <c r="H881" s="233"/>
      <c r="I881" s="234"/>
      <c r="J881" s="208"/>
      <c r="K881" s="208"/>
      <c r="L881" s="208"/>
      <c r="M881" s="208"/>
      <c r="N881" s="208"/>
      <c r="O881" s="208"/>
      <c r="P881" s="208"/>
      <c r="Q881" s="208"/>
      <c r="R881" s="208"/>
      <c r="S881" s="208"/>
      <c r="T881" s="208"/>
      <c r="U881" s="208"/>
      <c r="V881" s="208"/>
      <c r="W881" s="208"/>
      <c r="X881" s="208"/>
      <c r="Y881" s="208"/>
      <c r="Z881" s="208"/>
      <c r="AA881" s="208"/>
      <c r="AB881" s="208"/>
      <c r="AC881" s="208"/>
      <c r="AD881" s="208"/>
      <c r="AE881" s="208"/>
      <c r="AF881" s="208"/>
      <c r="AG881" s="208"/>
      <c r="AH881" s="208"/>
      <c r="AI881" s="208"/>
      <c r="AJ881" s="208"/>
      <c r="AK881" s="208"/>
    </row>
    <row r="882">
      <c r="A882" s="208"/>
      <c r="B882" s="208"/>
      <c r="C882" s="208"/>
      <c r="D882" s="208"/>
      <c r="E882" s="208"/>
      <c r="F882" s="208"/>
      <c r="G882" s="208"/>
      <c r="H882" s="233"/>
      <c r="I882" s="234"/>
      <c r="J882" s="208"/>
      <c r="K882" s="208"/>
      <c r="L882" s="208"/>
      <c r="M882" s="208"/>
      <c r="N882" s="208"/>
      <c r="O882" s="208"/>
      <c r="P882" s="208"/>
      <c r="Q882" s="208"/>
      <c r="R882" s="208"/>
      <c r="S882" s="208"/>
      <c r="T882" s="208"/>
      <c r="U882" s="208"/>
      <c r="V882" s="208"/>
      <c r="W882" s="208"/>
      <c r="X882" s="208"/>
      <c r="Y882" s="208"/>
      <c r="Z882" s="208"/>
      <c r="AA882" s="208"/>
      <c r="AB882" s="208"/>
      <c r="AC882" s="208"/>
      <c r="AD882" s="208"/>
      <c r="AE882" s="208"/>
      <c r="AF882" s="208"/>
      <c r="AG882" s="208"/>
      <c r="AH882" s="208"/>
      <c r="AI882" s="208"/>
      <c r="AJ882" s="208"/>
      <c r="AK882" s="208"/>
    </row>
    <row r="883">
      <c r="A883" s="208"/>
      <c r="B883" s="208"/>
      <c r="C883" s="208"/>
      <c r="D883" s="208"/>
      <c r="E883" s="208"/>
      <c r="F883" s="208"/>
      <c r="G883" s="208"/>
      <c r="H883" s="233"/>
      <c r="I883" s="234"/>
      <c r="J883" s="208"/>
      <c r="K883" s="208"/>
      <c r="L883" s="208"/>
      <c r="M883" s="208"/>
      <c r="N883" s="208"/>
      <c r="O883" s="208"/>
      <c r="P883" s="208"/>
      <c r="Q883" s="208"/>
      <c r="R883" s="208"/>
      <c r="S883" s="208"/>
      <c r="T883" s="208"/>
      <c r="U883" s="208"/>
      <c r="V883" s="208"/>
      <c r="W883" s="208"/>
      <c r="X883" s="208"/>
      <c r="Y883" s="208"/>
      <c r="Z883" s="208"/>
      <c r="AA883" s="208"/>
      <c r="AB883" s="208"/>
      <c r="AC883" s="208"/>
      <c r="AD883" s="208"/>
      <c r="AE883" s="208"/>
      <c r="AF883" s="208"/>
      <c r="AG883" s="208"/>
      <c r="AH883" s="208"/>
      <c r="AI883" s="208"/>
      <c r="AJ883" s="208"/>
      <c r="AK883" s="208"/>
    </row>
    <row r="884">
      <c r="A884" s="208"/>
      <c r="B884" s="208"/>
      <c r="C884" s="208"/>
      <c r="D884" s="208"/>
      <c r="E884" s="208"/>
      <c r="F884" s="208"/>
      <c r="G884" s="208"/>
      <c r="H884" s="233"/>
      <c r="I884" s="234"/>
      <c r="J884" s="208"/>
      <c r="K884" s="208"/>
      <c r="L884" s="208"/>
      <c r="M884" s="208"/>
      <c r="N884" s="208"/>
      <c r="O884" s="208"/>
      <c r="P884" s="208"/>
      <c r="Q884" s="208"/>
      <c r="R884" s="208"/>
      <c r="S884" s="208"/>
      <c r="T884" s="208"/>
      <c r="U884" s="208"/>
      <c r="V884" s="208"/>
      <c r="W884" s="208"/>
      <c r="X884" s="208"/>
      <c r="Y884" s="208"/>
      <c r="Z884" s="208"/>
      <c r="AA884" s="208"/>
      <c r="AB884" s="208"/>
      <c r="AC884" s="208"/>
      <c r="AD884" s="208"/>
      <c r="AE884" s="208"/>
      <c r="AF884" s="208"/>
      <c r="AG884" s="208"/>
      <c r="AH884" s="208"/>
      <c r="AI884" s="208"/>
      <c r="AJ884" s="208"/>
      <c r="AK884" s="208"/>
    </row>
    <row r="885">
      <c r="A885" s="208"/>
      <c r="B885" s="208"/>
      <c r="C885" s="208"/>
      <c r="D885" s="208"/>
      <c r="E885" s="208"/>
      <c r="F885" s="208"/>
      <c r="G885" s="208"/>
      <c r="H885" s="233"/>
      <c r="I885" s="234"/>
      <c r="J885" s="208"/>
      <c r="K885" s="208"/>
      <c r="L885" s="208"/>
      <c r="M885" s="208"/>
      <c r="N885" s="208"/>
      <c r="O885" s="208"/>
      <c r="P885" s="208"/>
      <c r="Q885" s="208"/>
      <c r="R885" s="208"/>
      <c r="S885" s="208"/>
      <c r="T885" s="208"/>
      <c r="U885" s="208"/>
      <c r="V885" s="208"/>
      <c r="W885" s="208"/>
      <c r="X885" s="208"/>
      <c r="Y885" s="208"/>
      <c r="Z885" s="208"/>
      <c r="AA885" s="208"/>
      <c r="AB885" s="208"/>
      <c r="AC885" s="208"/>
      <c r="AD885" s="208"/>
      <c r="AE885" s="208"/>
      <c r="AF885" s="208"/>
      <c r="AG885" s="208"/>
      <c r="AH885" s="208"/>
      <c r="AI885" s="208"/>
      <c r="AJ885" s="208"/>
      <c r="AK885" s="208"/>
    </row>
    <row r="886">
      <c r="A886" s="208"/>
      <c r="B886" s="208"/>
      <c r="C886" s="208"/>
      <c r="D886" s="208"/>
      <c r="E886" s="208"/>
      <c r="F886" s="208"/>
      <c r="G886" s="208"/>
      <c r="H886" s="233"/>
      <c r="I886" s="234"/>
      <c r="J886" s="208"/>
      <c r="K886" s="208"/>
      <c r="L886" s="208"/>
      <c r="M886" s="208"/>
      <c r="N886" s="208"/>
      <c r="O886" s="208"/>
      <c r="P886" s="208"/>
      <c r="Q886" s="208"/>
      <c r="R886" s="208"/>
      <c r="S886" s="208"/>
      <c r="T886" s="208"/>
      <c r="U886" s="208"/>
      <c r="V886" s="208"/>
      <c r="W886" s="208"/>
      <c r="X886" s="208"/>
      <c r="Y886" s="208"/>
      <c r="Z886" s="208"/>
      <c r="AA886" s="208"/>
      <c r="AB886" s="208"/>
      <c r="AC886" s="208"/>
      <c r="AD886" s="208"/>
      <c r="AE886" s="208"/>
      <c r="AF886" s="208"/>
      <c r="AG886" s="208"/>
      <c r="AH886" s="208"/>
      <c r="AI886" s="208"/>
      <c r="AJ886" s="208"/>
      <c r="AK886" s="208"/>
    </row>
    <row r="887">
      <c r="A887" s="208"/>
      <c r="B887" s="208"/>
      <c r="C887" s="208"/>
      <c r="D887" s="208"/>
      <c r="E887" s="208"/>
      <c r="F887" s="208"/>
      <c r="G887" s="208"/>
      <c r="H887" s="233"/>
      <c r="I887" s="234"/>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c r="AI887" s="208"/>
      <c r="AJ887" s="208"/>
      <c r="AK887" s="208"/>
    </row>
    <row r="888">
      <c r="A888" s="208"/>
      <c r="B888" s="208"/>
      <c r="C888" s="208"/>
      <c r="D888" s="208"/>
      <c r="E888" s="208"/>
      <c r="F888" s="208"/>
      <c r="G888" s="208"/>
      <c r="H888" s="233"/>
      <c r="I888" s="234"/>
      <c r="J888" s="208"/>
      <c r="K888" s="208"/>
      <c r="L888" s="208"/>
      <c r="M888" s="208"/>
      <c r="N888" s="208"/>
      <c r="O888" s="208"/>
      <c r="P888" s="208"/>
      <c r="Q888" s="208"/>
      <c r="R888" s="208"/>
      <c r="S888" s="208"/>
      <c r="T888" s="208"/>
      <c r="U888" s="208"/>
      <c r="V888" s="208"/>
      <c r="W888" s="208"/>
      <c r="X888" s="208"/>
      <c r="Y888" s="208"/>
      <c r="Z888" s="208"/>
      <c r="AA888" s="208"/>
      <c r="AB888" s="208"/>
      <c r="AC888" s="208"/>
      <c r="AD888" s="208"/>
      <c r="AE888" s="208"/>
      <c r="AF888" s="208"/>
      <c r="AG888" s="208"/>
      <c r="AH888" s="208"/>
      <c r="AI888" s="208"/>
      <c r="AJ888" s="208"/>
      <c r="AK888" s="208"/>
    </row>
    <row r="889">
      <c r="A889" s="208"/>
      <c r="B889" s="208"/>
      <c r="C889" s="208"/>
      <c r="D889" s="208"/>
      <c r="E889" s="208"/>
      <c r="F889" s="208"/>
      <c r="G889" s="208"/>
      <c r="H889" s="233"/>
      <c r="I889" s="234"/>
      <c r="J889" s="208"/>
      <c r="K889" s="208"/>
      <c r="L889" s="208"/>
      <c r="M889" s="208"/>
      <c r="N889" s="208"/>
      <c r="O889" s="208"/>
      <c r="P889" s="208"/>
      <c r="Q889" s="208"/>
      <c r="R889" s="208"/>
      <c r="S889" s="208"/>
      <c r="T889" s="208"/>
      <c r="U889" s="208"/>
      <c r="V889" s="208"/>
      <c r="W889" s="208"/>
      <c r="X889" s="208"/>
      <c r="Y889" s="208"/>
      <c r="Z889" s="208"/>
      <c r="AA889" s="208"/>
      <c r="AB889" s="208"/>
      <c r="AC889" s="208"/>
      <c r="AD889" s="208"/>
      <c r="AE889" s="208"/>
      <c r="AF889" s="208"/>
      <c r="AG889" s="208"/>
      <c r="AH889" s="208"/>
      <c r="AI889" s="208"/>
      <c r="AJ889" s="208"/>
      <c r="AK889" s="208"/>
    </row>
    <row r="890">
      <c r="A890" s="208"/>
      <c r="B890" s="208"/>
      <c r="C890" s="208"/>
      <c r="D890" s="208"/>
      <c r="E890" s="208"/>
      <c r="F890" s="208"/>
      <c r="G890" s="208"/>
      <c r="H890" s="233"/>
      <c r="I890" s="234"/>
      <c r="J890" s="208"/>
      <c r="K890" s="208"/>
      <c r="L890" s="208"/>
      <c r="M890" s="208"/>
      <c r="N890" s="208"/>
      <c r="O890" s="208"/>
      <c r="P890" s="208"/>
      <c r="Q890" s="208"/>
      <c r="R890" s="208"/>
      <c r="S890" s="208"/>
      <c r="T890" s="208"/>
      <c r="U890" s="208"/>
      <c r="V890" s="208"/>
      <c r="W890" s="208"/>
      <c r="X890" s="208"/>
      <c r="Y890" s="208"/>
      <c r="Z890" s="208"/>
      <c r="AA890" s="208"/>
      <c r="AB890" s="208"/>
      <c r="AC890" s="208"/>
      <c r="AD890" s="208"/>
      <c r="AE890" s="208"/>
      <c r="AF890" s="208"/>
      <c r="AG890" s="208"/>
      <c r="AH890" s="208"/>
      <c r="AI890" s="208"/>
      <c r="AJ890" s="208"/>
      <c r="AK890" s="208"/>
    </row>
    <row r="891">
      <c r="A891" s="208"/>
      <c r="B891" s="208"/>
      <c r="C891" s="208"/>
      <c r="D891" s="208"/>
      <c r="E891" s="208"/>
      <c r="F891" s="208"/>
      <c r="G891" s="208"/>
      <c r="H891" s="233"/>
      <c r="I891" s="234"/>
      <c r="J891" s="208"/>
      <c r="K891" s="208"/>
      <c r="L891" s="208"/>
      <c r="M891" s="208"/>
      <c r="N891" s="208"/>
      <c r="O891" s="208"/>
      <c r="P891" s="208"/>
      <c r="Q891" s="208"/>
      <c r="R891" s="208"/>
      <c r="S891" s="208"/>
      <c r="T891" s="208"/>
      <c r="U891" s="208"/>
      <c r="V891" s="208"/>
      <c r="W891" s="208"/>
      <c r="X891" s="208"/>
      <c r="Y891" s="208"/>
      <c r="Z891" s="208"/>
      <c r="AA891" s="208"/>
      <c r="AB891" s="208"/>
      <c r="AC891" s="208"/>
      <c r="AD891" s="208"/>
      <c r="AE891" s="208"/>
      <c r="AF891" s="208"/>
      <c r="AG891" s="208"/>
      <c r="AH891" s="208"/>
      <c r="AI891" s="208"/>
      <c r="AJ891" s="208"/>
      <c r="AK891" s="208"/>
    </row>
    <row r="892">
      <c r="A892" s="208"/>
      <c r="B892" s="208"/>
      <c r="C892" s="208"/>
      <c r="D892" s="208"/>
      <c r="E892" s="208"/>
      <c r="F892" s="208"/>
      <c r="G892" s="208"/>
      <c r="H892" s="233"/>
      <c r="I892" s="234"/>
      <c r="J892" s="208"/>
      <c r="K892" s="208"/>
      <c r="L892" s="208"/>
      <c r="M892" s="208"/>
      <c r="N892" s="208"/>
      <c r="O892" s="208"/>
      <c r="P892" s="208"/>
      <c r="Q892" s="208"/>
      <c r="R892" s="208"/>
      <c r="S892" s="208"/>
      <c r="T892" s="208"/>
      <c r="U892" s="208"/>
      <c r="V892" s="208"/>
      <c r="W892" s="208"/>
      <c r="X892" s="208"/>
      <c r="Y892" s="208"/>
      <c r="Z892" s="208"/>
      <c r="AA892" s="208"/>
      <c r="AB892" s="208"/>
      <c r="AC892" s="208"/>
      <c r="AD892" s="208"/>
      <c r="AE892" s="208"/>
      <c r="AF892" s="208"/>
      <c r="AG892" s="208"/>
      <c r="AH892" s="208"/>
      <c r="AI892" s="208"/>
      <c r="AJ892" s="208"/>
      <c r="AK892" s="208"/>
    </row>
    <row r="893">
      <c r="A893" s="208"/>
      <c r="B893" s="208"/>
      <c r="C893" s="208"/>
      <c r="D893" s="208"/>
      <c r="E893" s="208"/>
      <c r="F893" s="208"/>
      <c r="G893" s="208"/>
      <c r="H893" s="233"/>
      <c r="I893" s="234"/>
      <c r="J893" s="208"/>
      <c r="K893" s="208"/>
      <c r="L893" s="208"/>
      <c r="M893" s="208"/>
      <c r="N893" s="208"/>
      <c r="O893" s="208"/>
      <c r="P893" s="208"/>
      <c r="Q893" s="208"/>
      <c r="R893" s="208"/>
      <c r="S893" s="208"/>
      <c r="T893" s="208"/>
      <c r="U893" s="208"/>
      <c r="V893" s="208"/>
      <c r="W893" s="208"/>
      <c r="X893" s="208"/>
      <c r="Y893" s="208"/>
      <c r="Z893" s="208"/>
      <c r="AA893" s="208"/>
      <c r="AB893" s="208"/>
      <c r="AC893" s="208"/>
      <c r="AD893" s="208"/>
      <c r="AE893" s="208"/>
      <c r="AF893" s="208"/>
      <c r="AG893" s="208"/>
      <c r="AH893" s="208"/>
      <c r="AI893" s="208"/>
      <c r="AJ893" s="208"/>
      <c r="AK893" s="208"/>
    </row>
    <row r="894">
      <c r="A894" s="208"/>
      <c r="B894" s="208"/>
      <c r="C894" s="208"/>
      <c r="D894" s="208"/>
      <c r="E894" s="208"/>
      <c r="F894" s="208"/>
      <c r="G894" s="208"/>
      <c r="H894" s="233"/>
      <c r="I894" s="234"/>
      <c r="J894" s="208"/>
      <c r="K894" s="208"/>
      <c r="L894" s="208"/>
      <c r="M894" s="208"/>
      <c r="N894" s="208"/>
      <c r="O894" s="208"/>
      <c r="P894" s="208"/>
      <c r="Q894" s="208"/>
      <c r="R894" s="208"/>
      <c r="S894" s="208"/>
      <c r="T894" s="208"/>
      <c r="U894" s="208"/>
      <c r="V894" s="208"/>
      <c r="W894" s="208"/>
      <c r="X894" s="208"/>
      <c r="Y894" s="208"/>
      <c r="Z894" s="208"/>
      <c r="AA894" s="208"/>
      <c r="AB894" s="208"/>
      <c r="AC894" s="208"/>
      <c r="AD894" s="208"/>
      <c r="AE894" s="208"/>
      <c r="AF894" s="208"/>
      <c r="AG894" s="208"/>
      <c r="AH894" s="208"/>
      <c r="AI894" s="208"/>
      <c r="AJ894" s="208"/>
      <c r="AK894" s="208"/>
    </row>
    <row r="895">
      <c r="A895" s="208"/>
      <c r="B895" s="208"/>
      <c r="C895" s="208"/>
      <c r="D895" s="208"/>
      <c r="E895" s="208"/>
      <c r="F895" s="208"/>
      <c r="G895" s="208"/>
      <c r="H895" s="233"/>
      <c r="I895" s="234"/>
      <c r="J895" s="208"/>
      <c r="K895" s="208"/>
      <c r="L895" s="208"/>
      <c r="M895" s="208"/>
      <c r="N895" s="208"/>
      <c r="O895" s="208"/>
      <c r="P895" s="208"/>
      <c r="Q895" s="208"/>
      <c r="R895" s="208"/>
      <c r="S895" s="208"/>
      <c r="T895" s="208"/>
      <c r="U895" s="208"/>
      <c r="V895" s="208"/>
      <c r="W895" s="208"/>
      <c r="X895" s="208"/>
      <c r="Y895" s="208"/>
      <c r="Z895" s="208"/>
      <c r="AA895" s="208"/>
      <c r="AB895" s="208"/>
      <c r="AC895" s="208"/>
      <c r="AD895" s="208"/>
      <c r="AE895" s="208"/>
      <c r="AF895" s="208"/>
      <c r="AG895" s="208"/>
      <c r="AH895" s="208"/>
      <c r="AI895" s="208"/>
      <c r="AJ895" s="208"/>
      <c r="AK895" s="208"/>
    </row>
    <row r="896">
      <c r="A896" s="208"/>
      <c r="B896" s="208"/>
      <c r="C896" s="208"/>
      <c r="D896" s="208"/>
      <c r="E896" s="208"/>
      <c r="F896" s="208"/>
      <c r="G896" s="208"/>
      <c r="H896" s="233"/>
      <c r="I896" s="234"/>
      <c r="J896" s="208"/>
      <c r="K896" s="208"/>
      <c r="L896" s="208"/>
      <c r="M896" s="208"/>
      <c r="N896" s="208"/>
      <c r="O896" s="208"/>
      <c r="P896" s="208"/>
      <c r="Q896" s="208"/>
      <c r="R896" s="208"/>
      <c r="S896" s="208"/>
      <c r="T896" s="208"/>
      <c r="U896" s="208"/>
      <c r="V896" s="208"/>
      <c r="W896" s="208"/>
      <c r="X896" s="208"/>
      <c r="Y896" s="208"/>
      <c r="Z896" s="208"/>
      <c r="AA896" s="208"/>
      <c r="AB896" s="208"/>
      <c r="AC896" s="208"/>
      <c r="AD896" s="208"/>
      <c r="AE896" s="208"/>
      <c r="AF896" s="208"/>
      <c r="AG896" s="208"/>
      <c r="AH896" s="208"/>
      <c r="AI896" s="208"/>
      <c r="AJ896" s="208"/>
      <c r="AK896" s="208"/>
    </row>
    <row r="897">
      <c r="A897" s="208"/>
      <c r="B897" s="208"/>
      <c r="C897" s="208"/>
      <c r="D897" s="208"/>
      <c r="E897" s="208"/>
      <c r="F897" s="208"/>
      <c r="G897" s="208"/>
      <c r="H897" s="233"/>
      <c r="I897" s="234"/>
      <c r="J897" s="208"/>
      <c r="K897" s="208"/>
      <c r="L897" s="208"/>
      <c r="M897" s="208"/>
      <c r="N897" s="208"/>
      <c r="O897" s="208"/>
      <c r="P897" s="208"/>
      <c r="Q897" s="208"/>
      <c r="R897" s="208"/>
      <c r="S897" s="208"/>
      <c r="T897" s="208"/>
      <c r="U897" s="208"/>
      <c r="V897" s="208"/>
      <c r="W897" s="208"/>
      <c r="X897" s="208"/>
      <c r="Y897" s="208"/>
      <c r="Z897" s="208"/>
      <c r="AA897" s="208"/>
      <c r="AB897" s="208"/>
      <c r="AC897" s="208"/>
      <c r="AD897" s="208"/>
      <c r="AE897" s="208"/>
      <c r="AF897" s="208"/>
      <c r="AG897" s="208"/>
      <c r="AH897" s="208"/>
      <c r="AI897" s="208"/>
      <c r="AJ897" s="208"/>
      <c r="AK897" s="208"/>
    </row>
    <row r="898">
      <c r="A898" s="208"/>
      <c r="B898" s="208"/>
      <c r="C898" s="208"/>
      <c r="D898" s="208"/>
      <c r="E898" s="208"/>
      <c r="F898" s="208"/>
      <c r="G898" s="208"/>
      <c r="H898" s="233"/>
      <c r="I898" s="234"/>
      <c r="J898" s="208"/>
      <c r="K898" s="208"/>
      <c r="L898" s="208"/>
      <c r="M898" s="208"/>
      <c r="N898" s="208"/>
      <c r="O898" s="208"/>
      <c r="P898" s="208"/>
      <c r="Q898" s="208"/>
      <c r="R898" s="208"/>
      <c r="S898" s="208"/>
      <c r="T898" s="208"/>
      <c r="U898" s="208"/>
      <c r="V898" s="208"/>
      <c r="W898" s="208"/>
      <c r="X898" s="208"/>
      <c r="Y898" s="208"/>
      <c r="Z898" s="208"/>
      <c r="AA898" s="208"/>
      <c r="AB898" s="208"/>
      <c r="AC898" s="208"/>
      <c r="AD898" s="208"/>
      <c r="AE898" s="208"/>
      <c r="AF898" s="208"/>
      <c r="AG898" s="208"/>
      <c r="AH898" s="208"/>
      <c r="AI898" s="208"/>
      <c r="AJ898" s="208"/>
      <c r="AK898" s="208"/>
    </row>
    <row r="899">
      <c r="A899" s="208"/>
      <c r="B899" s="208"/>
      <c r="C899" s="208"/>
      <c r="D899" s="208"/>
      <c r="E899" s="208"/>
      <c r="F899" s="208"/>
      <c r="G899" s="208"/>
      <c r="H899" s="233"/>
      <c r="I899" s="234"/>
      <c r="J899" s="208"/>
      <c r="K899" s="208"/>
      <c r="L899" s="208"/>
      <c r="M899" s="208"/>
      <c r="N899" s="208"/>
      <c r="O899" s="208"/>
      <c r="P899" s="208"/>
      <c r="Q899" s="208"/>
      <c r="R899" s="208"/>
      <c r="S899" s="208"/>
      <c r="T899" s="208"/>
      <c r="U899" s="208"/>
      <c r="V899" s="208"/>
      <c r="W899" s="208"/>
      <c r="X899" s="208"/>
      <c r="Y899" s="208"/>
      <c r="Z899" s="208"/>
      <c r="AA899" s="208"/>
      <c r="AB899" s="208"/>
      <c r="AC899" s="208"/>
      <c r="AD899" s="208"/>
      <c r="AE899" s="208"/>
      <c r="AF899" s="208"/>
      <c r="AG899" s="208"/>
      <c r="AH899" s="208"/>
      <c r="AI899" s="208"/>
      <c r="AJ899" s="208"/>
      <c r="AK899" s="208"/>
    </row>
    <row r="900">
      <c r="A900" s="208"/>
      <c r="B900" s="208"/>
      <c r="C900" s="208"/>
      <c r="D900" s="208"/>
      <c r="E900" s="208"/>
      <c r="F900" s="208"/>
      <c r="G900" s="208"/>
      <c r="H900" s="233"/>
      <c r="I900" s="234"/>
      <c r="J900" s="208"/>
      <c r="K900" s="208"/>
      <c r="L900" s="208"/>
      <c r="M900" s="208"/>
      <c r="N900" s="208"/>
      <c r="O900" s="208"/>
      <c r="P900" s="208"/>
      <c r="Q900" s="208"/>
      <c r="R900" s="208"/>
      <c r="S900" s="208"/>
      <c r="T900" s="208"/>
      <c r="U900" s="208"/>
      <c r="V900" s="208"/>
      <c r="W900" s="208"/>
      <c r="X900" s="208"/>
      <c r="Y900" s="208"/>
      <c r="Z900" s="208"/>
      <c r="AA900" s="208"/>
      <c r="AB900" s="208"/>
      <c r="AC900" s="208"/>
      <c r="AD900" s="208"/>
      <c r="AE900" s="208"/>
      <c r="AF900" s="208"/>
      <c r="AG900" s="208"/>
      <c r="AH900" s="208"/>
      <c r="AI900" s="208"/>
      <c r="AJ900" s="208"/>
      <c r="AK900" s="208"/>
    </row>
    <row r="901">
      <c r="A901" s="208"/>
      <c r="B901" s="208"/>
      <c r="C901" s="208"/>
      <c r="D901" s="208"/>
      <c r="E901" s="208"/>
      <c r="F901" s="208"/>
      <c r="G901" s="208"/>
      <c r="H901" s="233"/>
      <c r="I901" s="234"/>
      <c r="J901" s="208"/>
      <c r="K901" s="208"/>
      <c r="L901" s="208"/>
      <c r="M901" s="208"/>
      <c r="N901" s="208"/>
      <c r="O901" s="208"/>
      <c r="P901" s="208"/>
      <c r="Q901" s="208"/>
      <c r="R901" s="208"/>
      <c r="S901" s="208"/>
      <c r="T901" s="208"/>
      <c r="U901" s="208"/>
      <c r="V901" s="208"/>
      <c r="W901" s="208"/>
      <c r="X901" s="208"/>
      <c r="Y901" s="208"/>
      <c r="Z901" s="208"/>
      <c r="AA901" s="208"/>
      <c r="AB901" s="208"/>
      <c r="AC901" s="208"/>
      <c r="AD901" s="208"/>
      <c r="AE901" s="208"/>
      <c r="AF901" s="208"/>
      <c r="AG901" s="208"/>
      <c r="AH901" s="208"/>
      <c r="AI901" s="208"/>
      <c r="AJ901" s="208"/>
      <c r="AK901" s="208"/>
    </row>
    <row r="902">
      <c r="A902" s="208"/>
      <c r="B902" s="208"/>
      <c r="C902" s="208"/>
      <c r="D902" s="208"/>
      <c r="E902" s="208"/>
      <c r="F902" s="208"/>
      <c r="G902" s="208"/>
      <c r="H902" s="233"/>
      <c r="I902" s="234"/>
      <c r="J902" s="208"/>
      <c r="K902" s="208"/>
      <c r="L902" s="208"/>
      <c r="M902" s="208"/>
      <c r="N902" s="208"/>
      <c r="O902" s="208"/>
      <c r="P902" s="208"/>
      <c r="Q902" s="208"/>
      <c r="R902" s="208"/>
      <c r="S902" s="208"/>
      <c r="T902" s="208"/>
      <c r="U902" s="208"/>
      <c r="V902" s="208"/>
      <c r="W902" s="208"/>
      <c r="X902" s="208"/>
      <c r="Y902" s="208"/>
      <c r="Z902" s="208"/>
      <c r="AA902" s="208"/>
      <c r="AB902" s="208"/>
      <c r="AC902" s="208"/>
      <c r="AD902" s="208"/>
      <c r="AE902" s="208"/>
      <c r="AF902" s="208"/>
      <c r="AG902" s="208"/>
      <c r="AH902" s="208"/>
      <c r="AI902" s="208"/>
      <c r="AJ902" s="208"/>
      <c r="AK902" s="208"/>
    </row>
    <row r="903">
      <c r="A903" s="208"/>
      <c r="B903" s="208"/>
      <c r="C903" s="208"/>
      <c r="D903" s="208"/>
      <c r="E903" s="208"/>
      <c r="F903" s="208"/>
      <c r="G903" s="208"/>
      <c r="H903" s="233"/>
      <c r="I903" s="234"/>
      <c r="J903" s="208"/>
      <c r="K903" s="208"/>
      <c r="L903" s="208"/>
      <c r="M903" s="208"/>
      <c r="N903" s="208"/>
      <c r="O903" s="208"/>
      <c r="P903" s="208"/>
      <c r="Q903" s="208"/>
      <c r="R903" s="208"/>
      <c r="S903" s="208"/>
      <c r="T903" s="208"/>
      <c r="U903" s="208"/>
      <c r="V903" s="208"/>
      <c r="W903" s="208"/>
      <c r="X903" s="208"/>
      <c r="Y903" s="208"/>
      <c r="Z903" s="208"/>
      <c r="AA903" s="208"/>
      <c r="AB903" s="208"/>
      <c r="AC903" s="208"/>
      <c r="AD903" s="208"/>
      <c r="AE903" s="208"/>
      <c r="AF903" s="208"/>
      <c r="AG903" s="208"/>
      <c r="AH903" s="208"/>
      <c r="AI903" s="208"/>
      <c r="AJ903" s="208"/>
      <c r="AK903" s="208"/>
    </row>
    <row r="904">
      <c r="A904" s="208"/>
      <c r="B904" s="208"/>
      <c r="C904" s="208"/>
      <c r="D904" s="208"/>
      <c r="E904" s="208"/>
      <c r="F904" s="208"/>
      <c r="G904" s="208"/>
      <c r="H904" s="233"/>
      <c r="I904" s="234"/>
      <c r="J904" s="208"/>
      <c r="K904" s="208"/>
      <c r="L904" s="208"/>
      <c r="M904" s="208"/>
      <c r="N904" s="208"/>
      <c r="O904" s="208"/>
      <c r="P904" s="208"/>
      <c r="Q904" s="208"/>
      <c r="R904" s="208"/>
      <c r="S904" s="208"/>
      <c r="T904" s="208"/>
      <c r="U904" s="208"/>
      <c r="V904" s="208"/>
      <c r="W904" s="208"/>
      <c r="X904" s="208"/>
      <c r="Y904" s="208"/>
      <c r="Z904" s="208"/>
      <c r="AA904" s="208"/>
      <c r="AB904" s="208"/>
      <c r="AC904" s="208"/>
      <c r="AD904" s="208"/>
      <c r="AE904" s="208"/>
      <c r="AF904" s="208"/>
      <c r="AG904" s="208"/>
      <c r="AH904" s="208"/>
      <c r="AI904" s="208"/>
      <c r="AJ904" s="208"/>
      <c r="AK904" s="208"/>
    </row>
    <row r="905">
      <c r="A905" s="208"/>
      <c r="B905" s="208"/>
      <c r="C905" s="208"/>
      <c r="D905" s="208"/>
      <c r="E905" s="208"/>
      <c r="F905" s="208"/>
      <c r="G905" s="208"/>
      <c r="H905" s="233"/>
      <c r="I905" s="234"/>
      <c r="J905" s="208"/>
      <c r="K905" s="208"/>
      <c r="L905" s="208"/>
      <c r="M905" s="208"/>
      <c r="N905" s="208"/>
      <c r="O905" s="208"/>
      <c r="P905" s="208"/>
      <c r="Q905" s="208"/>
      <c r="R905" s="208"/>
      <c r="S905" s="208"/>
      <c r="T905" s="208"/>
      <c r="U905" s="208"/>
      <c r="V905" s="208"/>
      <c r="W905" s="208"/>
      <c r="X905" s="208"/>
      <c r="Y905" s="208"/>
      <c r="Z905" s="208"/>
      <c r="AA905" s="208"/>
      <c r="AB905" s="208"/>
      <c r="AC905" s="208"/>
      <c r="AD905" s="208"/>
      <c r="AE905" s="208"/>
      <c r="AF905" s="208"/>
      <c r="AG905" s="208"/>
      <c r="AH905" s="208"/>
      <c r="AI905" s="208"/>
      <c r="AJ905" s="208"/>
      <c r="AK905" s="208"/>
    </row>
    <row r="906">
      <c r="A906" s="208"/>
      <c r="B906" s="208"/>
      <c r="C906" s="208"/>
      <c r="D906" s="208"/>
      <c r="E906" s="208"/>
      <c r="F906" s="208"/>
      <c r="G906" s="208"/>
      <c r="H906" s="233"/>
      <c r="I906" s="234"/>
      <c r="J906" s="208"/>
      <c r="K906" s="208"/>
      <c r="L906" s="208"/>
      <c r="M906" s="208"/>
      <c r="N906" s="208"/>
      <c r="O906" s="208"/>
      <c r="P906" s="208"/>
      <c r="Q906" s="208"/>
      <c r="R906" s="208"/>
      <c r="S906" s="208"/>
      <c r="T906" s="208"/>
      <c r="U906" s="208"/>
      <c r="V906" s="208"/>
      <c r="W906" s="208"/>
      <c r="X906" s="208"/>
      <c r="Y906" s="208"/>
      <c r="Z906" s="208"/>
      <c r="AA906" s="208"/>
      <c r="AB906" s="208"/>
      <c r="AC906" s="208"/>
      <c r="AD906" s="208"/>
      <c r="AE906" s="208"/>
      <c r="AF906" s="208"/>
      <c r="AG906" s="208"/>
      <c r="AH906" s="208"/>
      <c r="AI906" s="208"/>
      <c r="AJ906" s="208"/>
      <c r="AK906" s="208"/>
    </row>
    <row r="907">
      <c r="A907" s="208"/>
      <c r="B907" s="208"/>
      <c r="C907" s="208"/>
      <c r="D907" s="208"/>
      <c r="E907" s="208"/>
      <c r="F907" s="208"/>
      <c r="G907" s="208"/>
      <c r="H907" s="233"/>
      <c r="I907" s="234"/>
      <c r="J907" s="208"/>
      <c r="K907" s="208"/>
      <c r="L907" s="208"/>
      <c r="M907" s="208"/>
      <c r="N907" s="208"/>
      <c r="O907" s="208"/>
      <c r="P907" s="208"/>
      <c r="Q907" s="208"/>
      <c r="R907" s="208"/>
      <c r="S907" s="208"/>
      <c r="T907" s="208"/>
      <c r="U907" s="208"/>
      <c r="V907" s="208"/>
      <c r="W907" s="208"/>
      <c r="X907" s="208"/>
      <c r="Y907" s="208"/>
      <c r="Z907" s="208"/>
      <c r="AA907" s="208"/>
      <c r="AB907" s="208"/>
      <c r="AC907" s="208"/>
      <c r="AD907" s="208"/>
      <c r="AE907" s="208"/>
      <c r="AF907" s="208"/>
      <c r="AG907" s="208"/>
      <c r="AH907" s="208"/>
      <c r="AI907" s="208"/>
      <c r="AJ907" s="208"/>
      <c r="AK907" s="208"/>
    </row>
    <row r="908">
      <c r="A908" s="208"/>
      <c r="B908" s="208"/>
      <c r="C908" s="208"/>
      <c r="D908" s="208"/>
      <c r="E908" s="208"/>
      <c r="F908" s="208"/>
      <c r="G908" s="208"/>
      <c r="H908" s="233"/>
      <c r="I908" s="234"/>
      <c r="J908" s="208"/>
      <c r="K908" s="208"/>
      <c r="L908" s="208"/>
      <c r="M908" s="208"/>
      <c r="N908" s="208"/>
      <c r="O908" s="208"/>
      <c r="P908" s="208"/>
      <c r="Q908" s="208"/>
      <c r="R908" s="208"/>
      <c r="S908" s="208"/>
      <c r="T908" s="208"/>
      <c r="U908" s="208"/>
      <c r="V908" s="208"/>
      <c r="W908" s="208"/>
      <c r="X908" s="208"/>
      <c r="Y908" s="208"/>
      <c r="Z908" s="208"/>
      <c r="AA908" s="208"/>
      <c r="AB908" s="208"/>
      <c r="AC908" s="208"/>
      <c r="AD908" s="208"/>
      <c r="AE908" s="208"/>
      <c r="AF908" s="208"/>
      <c r="AG908" s="208"/>
      <c r="AH908" s="208"/>
      <c r="AI908" s="208"/>
      <c r="AJ908" s="208"/>
      <c r="AK908" s="208"/>
    </row>
    <row r="909">
      <c r="A909" s="208"/>
      <c r="B909" s="208"/>
      <c r="C909" s="208"/>
      <c r="D909" s="208"/>
      <c r="E909" s="208"/>
      <c r="F909" s="208"/>
      <c r="G909" s="208"/>
      <c r="H909" s="233"/>
      <c r="I909" s="234"/>
      <c r="J909" s="208"/>
      <c r="K909" s="208"/>
      <c r="L909" s="208"/>
      <c r="M909" s="208"/>
      <c r="N909" s="208"/>
      <c r="O909" s="208"/>
      <c r="P909" s="208"/>
      <c r="Q909" s="208"/>
      <c r="R909" s="208"/>
      <c r="S909" s="208"/>
      <c r="T909" s="208"/>
      <c r="U909" s="208"/>
      <c r="V909" s="208"/>
      <c r="W909" s="208"/>
      <c r="X909" s="208"/>
      <c r="Y909" s="208"/>
      <c r="Z909" s="208"/>
      <c r="AA909" s="208"/>
      <c r="AB909" s="208"/>
      <c r="AC909" s="208"/>
      <c r="AD909" s="208"/>
      <c r="AE909" s="208"/>
      <c r="AF909" s="208"/>
      <c r="AG909" s="208"/>
      <c r="AH909" s="208"/>
      <c r="AI909" s="208"/>
      <c r="AJ909" s="208"/>
      <c r="AK909" s="208"/>
    </row>
    <row r="910">
      <c r="A910" s="208"/>
      <c r="B910" s="208"/>
      <c r="C910" s="208"/>
      <c r="D910" s="208"/>
      <c r="E910" s="208"/>
      <c r="F910" s="208"/>
      <c r="G910" s="208"/>
      <c r="H910" s="233"/>
      <c r="I910" s="234"/>
      <c r="J910" s="208"/>
      <c r="K910" s="208"/>
      <c r="L910" s="208"/>
      <c r="M910" s="208"/>
      <c r="N910" s="208"/>
      <c r="O910" s="208"/>
      <c r="P910" s="208"/>
      <c r="Q910" s="208"/>
      <c r="R910" s="208"/>
      <c r="S910" s="208"/>
      <c r="T910" s="208"/>
      <c r="U910" s="208"/>
      <c r="V910" s="208"/>
      <c r="W910" s="208"/>
      <c r="X910" s="208"/>
      <c r="Y910" s="208"/>
      <c r="Z910" s="208"/>
      <c r="AA910" s="208"/>
      <c r="AB910" s="208"/>
      <c r="AC910" s="208"/>
      <c r="AD910" s="208"/>
      <c r="AE910" s="208"/>
      <c r="AF910" s="208"/>
      <c r="AG910" s="208"/>
      <c r="AH910" s="208"/>
      <c r="AI910" s="208"/>
      <c r="AJ910" s="208"/>
      <c r="AK910" s="208"/>
    </row>
    <row r="911">
      <c r="A911" s="208"/>
      <c r="B911" s="208"/>
      <c r="C911" s="208"/>
      <c r="D911" s="208"/>
      <c r="E911" s="208"/>
      <c r="F911" s="208"/>
      <c r="G911" s="208"/>
      <c r="H911" s="233"/>
      <c r="I911" s="234"/>
      <c r="J911" s="208"/>
      <c r="K911" s="208"/>
      <c r="L911" s="208"/>
      <c r="M911" s="208"/>
      <c r="N911" s="208"/>
      <c r="O911" s="208"/>
      <c r="P911" s="208"/>
      <c r="Q911" s="208"/>
      <c r="R911" s="208"/>
      <c r="S911" s="208"/>
      <c r="T911" s="208"/>
      <c r="U911" s="208"/>
      <c r="V911" s="208"/>
      <c r="W911" s="208"/>
      <c r="X911" s="208"/>
      <c r="Y911" s="208"/>
      <c r="Z911" s="208"/>
      <c r="AA911" s="208"/>
      <c r="AB911" s="208"/>
      <c r="AC911" s="208"/>
      <c r="AD911" s="208"/>
      <c r="AE911" s="208"/>
      <c r="AF911" s="208"/>
      <c r="AG911" s="208"/>
      <c r="AH911" s="208"/>
      <c r="AI911" s="208"/>
      <c r="AJ911" s="208"/>
      <c r="AK911" s="208"/>
    </row>
    <row r="912">
      <c r="A912" s="208"/>
      <c r="B912" s="208"/>
      <c r="C912" s="208"/>
      <c r="D912" s="208"/>
      <c r="E912" s="208"/>
      <c r="F912" s="208"/>
      <c r="G912" s="208"/>
      <c r="H912" s="233"/>
      <c r="I912" s="234"/>
      <c r="J912" s="208"/>
      <c r="K912" s="208"/>
      <c r="L912" s="208"/>
      <c r="M912" s="208"/>
      <c r="N912" s="208"/>
      <c r="O912" s="208"/>
      <c r="P912" s="208"/>
      <c r="Q912" s="208"/>
      <c r="R912" s="208"/>
      <c r="S912" s="208"/>
      <c r="T912" s="208"/>
      <c r="U912" s="208"/>
      <c r="V912" s="208"/>
      <c r="W912" s="208"/>
      <c r="X912" s="208"/>
      <c r="Y912" s="208"/>
      <c r="Z912" s="208"/>
      <c r="AA912" s="208"/>
      <c r="AB912" s="208"/>
      <c r="AC912" s="208"/>
      <c r="AD912" s="208"/>
      <c r="AE912" s="208"/>
      <c r="AF912" s="208"/>
      <c r="AG912" s="208"/>
      <c r="AH912" s="208"/>
      <c r="AI912" s="208"/>
      <c r="AJ912" s="208"/>
      <c r="AK912" s="208"/>
    </row>
    <row r="913">
      <c r="A913" s="208"/>
      <c r="B913" s="208"/>
      <c r="C913" s="208"/>
      <c r="D913" s="208"/>
      <c r="E913" s="208"/>
      <c r="F913" s="208"/>
      <c r="G913" s="208"/>
      <c r="H913" s="233"/>
      <c r="I913" s="234"/>
      <c r="J913" s="208"/>
      <c r="K913" s="208"/>
      <c r="L913" s="208"/>
      <c r="M913" s="208"/>
      <c r="N913" s="208"/>
      <c r="O913" s="208"/>
      <c r="P913" s="208"/>
      <c r="Q913" s="208"/>
      <c r="R913" s="208"/>
      <c r="S913" s="208"/>
      <c r="T913" s="208"/>
      <c r="U913" s="208"/>
      <c r="V913" s="208"/>
      <c r="W913" s="208"/>
      <c r="X913" s="208"/>
      <c r="Y913" s="208"/>
      <c r="Z913" s="208"/>
      <c r="AA913" s="208"/>
      <c r="AB913" s="208"/>
      <c r="AC913" s="208"/>
      <c r="AD913" s="208"/>
      <c r="AE913" s="208"/>
      <c r="AF913" s="208"/>
      <c r="AG913" s="208"/>
      <c r="AH913" s="208"/>
      <c r="AI913" s="208"/>
      <c r="AJ913" s="208"/>
      <c r="AK913" s="208"/>
    </row>
    <row r="914">
      <c r="A914" s="208"/>
      <c r="B914" s="208"/>
      <c r="C914" s="208"/>
      <c r="D914" s="208"/>
      <c r="E914" s="208"/>
      <c r="F914" s="208"/>
      <c r="G914" s="208"/>
      <c r="H914" s="233"/>
      <c r="I914" s="234"/>
      <c r="J914" s="208"/>
      <c r="K914" s="208"/>
      <c r="L914" s="208"/>
      <c r="M914" s="208"/>
      <c r="N914" s="208"/>
      <c r="O914" s="208"/>
      <c r="P914" s="208"/>
      <c r="Q914" s="208"/>
      <c r="R914" s="208"/>
      <c r="S914" s="208"/>
      <c r="T914" s="208"/>
      <c r="U914" s="208"/>
      <c r="V914" s="208"/>
      <c r="W914" s="208"/>
      <c r="X914" s="208"/>
      <c r="Y914" s="208"/>
      <c r="Z914" s="208"/>
      <c r="AA914" s="208"/>
      <c r="AB914" s="208"/>
      <c r="AC914" s="208"/>
      <c r="AD914" s="208"/>
      <c r="AE914" s="208"/>
      <c r="AF914" s="208"/>
      <c r="AG914" s="208"/>
      <c r="AH914" s="208"/>
      <c r="AI914" s="208"/>
      <c r="AJ914" s="208"/>
      <c r="AK914" s="208"/>
    </row>
    <row r="915">
      <c r="A915" s="208"/>
      <c r="B915" s="208"/>
      <c r="C915" s="208"/>
      <c r="D915" s="208"/>
      <c r="E915" s="208"/>
      <c r="F915" s="208"/>
      <c r="G915" s="208"/>
      <c r="H915" s="233"/>
      <c r="I915" s="234"/>
      <c r="J915" s="208"/>
      <c r="K915" s="208"/>
      <c r="L915" s="208"/>
      <c r="M915" s="208"/>
      <c r="N915" s="208"/>
      <c r="O915" s="208"/>
      <c r="P915" s="208"/>
      <c r="Q915" s="208"/>
      <c r="R915" s="208"/>
      <c r="S915" s="208"/>
      <c r="T915" s="208"/>
      <c r="U915" s="208"/>
      <c r="V915" s="208"/>
      <c r="W915" s="208"/>
      <c r="X915" s="208"/>
      <c r="Y915" s="208"/>
      <c r="Z915" s="208"/>
      <c r="AA915" s="208"/>
      <c r="AB915" s="208"/>
      <c r="AC915" s="208"/>
      <c r="AD915" s="208"/>
      <c r="AE915" s="208"/>
      <c r="AF915" s="208"/>
      <c r="AG915" s="208"/>
      <c r="AH915" s="208"/>
      <c r="AI915" s="208"/>
      <c r="AJ915" s="208"/>
      <c r="AK915" s="208"/>
    </row>
    <row r="916">
      <c r="A916" s="208"/>
      <c r="B916" s="208"/>
      <c r="C916" s="208"/>
      <c r="D916" s="208"/>
      <c r="E916" s="208"/>
      <c r="F916" s="208"/>
      <c r="G916" s="208"/>
      <c r="H916" s="233"/>
      <c r="I916" s="234"/>
      <c r="J916" s="208"/>
      <c r="K916" s="208"/>
      <c r="L916" s="208"/>
      <c r="M916" s="208"/>
      <c r="N916" s="208"/>
      <c r="O916" s="208"/>
      <c r="P916" s="208"/>
      <c r="Q916" s="208"/>
      <c r="R916" s="208"/>
      <c r="S916" s="208"/>
      <c r="T916" s="208"/>
      <c r="U916" s="208"/>
      <c r="V916" s="208"/>
      <c r="W916" s="208"/>
      <c r="X916" s="208"/>
      <c r="Y916" s="208"/>
      <c r="Z916" s="208"/>
      <c r="AA916" s="208"/>
      <c r="AB916" s="208"/>
      <c r="AC916" s="208"/>
      <c r="AD916" s="208"/>
      <c r="AE916" s="208"/>
      <c r="AF916" s="208"/>
      <c r="AG916" s="208"/>
      <c r="AH916" s="208"/>
      <c r="AI916" s="208"/>
      <c r="AJ916" s="208"/>
      <c r="AK916" s="208"/>
    </row>
    <row r="917">
      <c r="A917" s="208"/>
      <c r="B917" s="208"/>
      <c r="C917" s="208"/>
      <c r="D917" s="208"/>
      <c r="E917" s="208"/>
      <c r="F917" s="208"/>
      <c r="G917" s="208"/>
      <c r="H917" s="233"/>
      <c r="I917" s="234"/>
      <c r="J917" s="208"/>
      <c r="K917" s="208"/>
      <c r="L917" s="208"/>
      <c r="M917" s="208"/>
      <c r="N917" s="208"/>
      <c r="O917" s="208"/>
      <c r="P917" s="208"/>
      <c r="Q917" s="208"/>
      <c r="R917" s="208"/>
      <c r="S917" s="208"/>
      <c r="T917" s="208"/>
      <c r="U917" s="208"/>
      <c r="V917" s="208"/>
      <c r="W917" s="208"/>
      <c r="X917" s="208"/>
      <c r="Y917" s="208"/>
      <c r="Z917" s="208"/>
      <c r="AA917" s="208"/>
      <c r="AB917" s="208"/>
      <c r="AC917" s="208"/>
      <c r="AD917" s="208"/>
      <c r="AE917" s="208"/>
      <c r="AF917" s="208"/>
      <c r="AG917" s="208"/>
      <c r="AH917" s="208"/>
      <c r="AI917" s="208"/>
      <c r="AJ917" s="208"/>
      <c r="AK917" s="208"/>
    </row>
    <row r="918">
      <c r="A918" s="208"/>
      <c r="B918" s="208"/>
      <c r="C918" s="208"/>
      <c r="D918" s="208"/>
      <c r="E918" s="208"/>
      <c r="F918" s="208"/>
      <c r="G918" s="208"/>
      <c r="H918" s="233"/>
      <c r="I918" s="234"/>
      <c r="J918" s="208"/>
      <c r="K918" s="208"/>
      <c r="L918" s="208"/>
      <c r="M918" s="208"/>
      <c r="N918" s="208"/>
      <c r="O918" s="208"/>
      <c r="P918" s="208"/>
      <c r="Q918" s="208"/>
      <c r="R918" s="208"/>
      <c r="S918" s="208"/>
      <c r="T918" s="208"/>
      <c r="U918" s="208"/>
      <c r="V918" s="208"/>
      <c r="W918" s="208"/>
      <c r="X918" s="208"/>
      <c r="Y918" s="208"/>
      <c r="Z918" s="208"/>
      <c r="AA918" s="208"/>
      <c r="AB918" s="208"/>
      <c r="AC918" s="208"/>
      <c r="AD918" s="208"/>
      <c r="AE918" s="208"/>
      <c r="AF918" s="208"/>
      <c r="AG918" s="208"/>
      <c r="AH918" s="208"/>
      <c r="AI918" s="208"/>
      <c r="AJ918" s="208"/>
      <c r="AK918" s="208"/>
    </row>
    <row r="919">
      <c r="A919" s="208"/>
      <c r="B919" s="208"/>
      <c r="C919" s="208"/>
      <c r="D919" s="208"/>
      <c r="E919" s="208"/>
      <c r="F919" s="208"/>
      <c r="G919" s="208"/>
      <c r="H919" s="233"/>
      <c r="I919" s="234"/>
      <c r="J919" s="208"/>
      <c r="K919" s="208"/>
      <c r="L919" s="208"/>
      <c r="M919" s="208"/>
      <c r="N919" s="208"/>
      <c r="O919" s="208"/>
      <c r="P919" s="208"/>
      <c r="Q919" s="208"/>
      <c r="R919" s="208"/>
      <c r="S919" s="208"/>
      <c r="T919" s="208"/>
      <c r="U919" s="208"/>
      <c r="V919" s="208"/>
      <c r="W919" s="208"/>
      <c r="X919" s="208"/>
      <c r="Y919" s="208"/>
      <c r="Z919" s="208"/>
      <c r="AA919" s="208"/>
      <c r="AB919" s="208"/>
      <c r="AC919" s="208"/>
      <c r="AD919" s="208"/>
      <c r="AE919" s="208"/>
      <c r="AF919" s="208"/>
      <c r="AG919" s="208"/>
      <c r="AH919" s="208"/>
      <c r="AI919" s="208"/>
      <c r="AJ919" s="208"/>
      <c r="AK919" s="208"/>
    </row>
    <row r="920">
      <c r="A920" s="208"/>
      <c r="B920" s="208"/>
      <c r="C920" s="208"/>
      <c r="D920" s="208"/>
      <c r="E920" s="208"/>
      <c r="F920" s="208"/>
      <c r="G920" s="208"/>
      <c r="H920" s="233"/>
      <c r="I920" s="234"/>
      <c r="J920" s="208"/>
      <c r="K920" s="208"/>
      <c r="L920" s="208"/>
      <c r="M920" s="208"/>
      <c r="N920" s="208"/>
      <c r="O920" s="208"/>
      <c r="P920" s="208"/>
      <c r="Q920" s="208"/>
      <c r="R920" s="208"/>
      <c r="S920" s="208"/>
      <c r="T920" s="208"/>
      <c r="U920" s="208"/>
      <c r="V920" s="208"/>
      <c r="W920" s="208"/>
      <c r="X920" s="208"/>
      <c r="Y920" s="208"/>
      <c r="Z920" s="208"/>
      <c r="AA920" s="208"/>
      <c r="AB920" s="208"/>
      <c r="AC920" s="208"/>
      <c r="AD920" s="208"/>
      <c r="AE920" s="208"/>
      <c r="AF920" s="208"/>
      <c r="AG920" s="208"/>
      <c r="AH920" s="208"/>
      <c r="AI920" s="208"/>
      <c r="AJ920" s="208"/>
      <c r="AK920" s="208"/>
    </row>
    <row r="921">
      <c r="A921" s="208"/>
      <c r="B921" s="208"/>
      <c r="C921" s="208"/>
      <c r="D921" s="208"/>
      <c r="E921" s="208"/>
      <c r="F921" s="208"/>
      <c r="G921" s="208"/>
      <c r="H921" s="233"/>
      <c r="I921" s="234"/>
      <c r="J921" s="208"/>
      <c r="K921" s="208"/>
      <c r="L921" s="208"/>
      <c r="M921" s="208"/>
      <c r="N921" s="208"/>
      <c r="O921" s="208"/>
      <c r="P921" s="208"/>
      <c r="Q921" s="208"/>
      <c r="R921" s="208"/>
      <c r="S921" s="208"/>
      <c r="T921" s="208"/>
      <c r="U921" s="208"/>
      <c r="V921" s="208"/>
      <c r="W921" s="208"/>
      <c r="X921" s="208"/>
      <c r="Y921" s="208"/>
      <c r="Z921" s="208"/>
      <c r="AA921" s="208"/>
      <c r="AB921" s="208"/>
      <c r="AC921" s="208"/>
      <c r="AD921" s="208"/>
      <c r="AE921" s="208"/>
      <c r="AF921" s="208"/>
      <c r="AG921" s="208"/>
      <c r="AH921" s="208"/>
      <c r="AI921" s="208"/>
      <c r="AJ921" s="208"/>
      <c r="AK921" s="208"/>
    </row>
    <row r="922">
      <c r="A922" s="208"/>
      <c r="B922" s="208"/>
      <c r="C922" s="208"/>
      <c r="D922" s="208"/>
      <c r="E922" s="208"/>
      <c r="F922" s="208"/>
      <c r="G922" s="208"/>
      <c r="H922" s="233"/>
      <c r="I922" s="234"/>
      <c r="J922" s="208"/>
      <c r="K922" s="208"/>
      <c r="L922" s="208"/>
      <c r="M922" s="208"/>
      <c r="N922" s="208"/>
      <c r="O922" s="208"/>
      <c r="P922" s="208"/>
      <c r="Q922" s="208"/>
      <c r="R922" s="208"/>
      <c r="S922" s="208"/>
      <c r="T922" s="208"/>
      <c r="U922" s="208"/>
      <c r="V922" s="208"/>
      <c r="W922" s="208"/>
      <c r="X922" s="208"/>
      <c r="Y922" s="208"/>
      <c r="Z922" s="208"/>
      <c r="AA922" s="208"/>
      <c r="AB922" s="208"/>
      <c r="AC922" s="208"/>
      <c r="AD922" s="208"/>
      <c r="AE922" s="208"/>
      <c r="AF922" s="208"/>
      <c r="AG922" s="208"/>
      <c r="AH922" s="208"/>
      <c r="AI922" s="208"/>
      <c r="AJ922" s="208"/>
      <c r="AK922" s="208"/>
    </row>
    <row r="923">
      <c r="A923" s="208"/>
      <c r="B923" s="208"/>
      <c r="C923" s="208"/>
      <c r="D923" s="208"/>
      <c r="E923" s="208"/>
      <c r="F923" s="208"/>
      <c r="G923" s="208"/>
      <c r="H923" s="233"/>
      <c r="I923" s="234"/>
      <c r="J923" s="208"/>
      <c r="K923" s="208"/>
      <c r="L923" s="208"/>
      <c r="M923" s="208"/>
      <c r="N923" s="208"/>
      <c r="O923" s="208"/>
      <c r="P923" s="208"/>
      <c r="Q923" s="208"/>
      <c r="R923" s="208"/>
      <c r="S923" s="208"/>
      <c r="T923" s="208"/>
      <c r="U923" s="208"/>
      <c r="V923" s="208"/>
      <c r="W923" s="208"/>
      <c r="X923" s="208"/>
      <c r="Y923" s="208"/>
      <c r="Z923" s="208"/>
      <c r="AA923" s="208"/>
      <c r="AB923" s="208"/>
      <c r="AC923" s="208"/>
      <c r="AD923" s="208"/>
      <c r="AE923" s="208"/>
      <c r="AF923" s="208"/>
      <c r="AG923" s="208"/>
      <c r="AH923" s="208"/>
      <c r="AI923" s="208"/>
      <c r="AJ923" s="208"/>
      <c r="AK923" s="208"/>
    </row>
    <row r="924">
      <c r="A924" s="208"/>
      <c r="B924" s="208"/>
      <c r="C924" s="208"/>
      <c r="D924" s="208"/>
      <c r="E924" s="208"/>
      <c r="F924" s="208"/>
      <c r="G924" s="208"/>
      <c r="H924" s="233"/>
      <c r="I924" s="234"/>
      <c r="J924" s="208"/>
      <c r="K924" s="208"/>
      <c r="L924" s="208"/>
      <c r="M924" s="208"/>
      <c r="N924" s="208"/>
      <c r="O924" s="208"/>
      <c r="P924" s="208"/>
      <c r="Q924" s="208"/>
      <c r="R924" s="208"/>
      <c r="S924" s="208"/>
      <c r="T924" s="208"/>
      <c r="U924" s="208"/>
      <c r="V924" s="208"/>
      <c r="W924" s="208"/>
      <c r="X924" s="208"/>
      <c r="Y924" s="208"/>
      <c r="Z924" s="208"/>
      <c r="AA924" s="208"/>
      <c r="AB924" s="208"/>
      <c r="AC924" s="208"/>
      <c r="AD924" s="208"/>
      <c r="AE924" s="208"/>
      <c r="AF924" s="208"/>
      <c r="AG924" s="208"/>
      <c r="AH924" s="208"/>
      <c r="AI924" s="208"/>
      <c r="AJ924" s="208"/>
      <c r="AK924" s="208"/>
    </row>
    <row r="925">
      <c r="A925" s="208"/>
      <c r="B925" s="208"/>
      <c r="C925" s="208"/>
      <c r="D925" s="208"/>
      <c r="E925" s="208"/>
      <c r="F925" s="208"/>
      <c r="G925" s="208"/>
      <c r="H925" s="233"/>
      <c r="I925" s="234"/>
      <c r="J925" s="208"/>
      <c r="K925" s="208"/>
      <c r="L925" s="208"/>
      <c r="M925" s="208"/>
      <c r="N925" s="208"/>
      <c r="O925" s="208"/>
      <c r="P925" s="208"/>
      <c r="Q925" s="208"/>
      <c r="R925" s="208"/>
      <c r="S925" s="208"/>
      <c r="T925" s="208"/>
      <c r="U925" s="208"/>
      <c r="V925" s="208"/>
      <c r="W925" s="208"/>
      <c r="X925" s="208"/>
      <c r="Y925" s="208"/>
      <c r="Z925" s="208"/>
      <c r="AA925" s="208"/>
      <c r="AB925" s="208"/>
      <c r="AC925" s="208"/>
      <c r="AD925" s="208"/>
      <c r="AE925" s="208"/>
      <c r="AF925" s="208"/>
      <c r="AG925" s="208"/>
      <c r="AH925" s="208"/>
      <c r="AI925" s="208"/>
      <c r="AJ925" s="208"/>
      <c r="AK925" s="208"/>
    </row>
    <row r="926">
      <c r="A926" s="208"/>
      <c r="B926" s="208"/>
      <c r="C926" s="208"/>
      <c r="D926" s="208"/>
      <c r="E926" s="208"/>
      <c r="F926" s="208"/>
      <c r="G926" s="208"/>
      <c r="H926" s="233"/>
      <c r="I926" s="234"/>
      <c r="J926" s="208"/>
      <c r="K926" s="208"/>
      <c r="L926" s="208"/>
      <c r="M926" s="208"/>
      <c r="N926" s="208"/>
      <c r="O926" s="208"/>
      <c r="P926" s="208"/>
      <c r="Q926" s="208"/>
      <c r="R926" s="208"/>
      <c r="S926" s="208"/>
      <c r="T926" s="208"/>
      <c r="U926" s="208"/>
      <c r="V926" s="208"/>
      <c r="W926" s="208"/>
      <c r="X926" s="208"/>
      <c r="Y926" s="208"/>
      <c r="Z926" s="208"/>
      <c r="AA926" s="208"/>
      <c r="AB926" s="208"/>
      <c r="AC926" s="208"/>
      <c r="AD926" s="208"/>
      <c r="AE926" s="208"/>
      <c r="AF926" s="208"/>
      <c r="AG926" s="208"/>
      <c r="AH926" s="208"/>
      <c r="AI926" s="208"/>
      <c r="AJ926" s="208"/>
      <c r="AK926" s="208"/>
    </row>
    <row r="927">
      <c r="A927" s="208"/>
      <c r="B927" s="208"/>
      <c r="C927" s="208"/>
      <c r="D927" s="208"/>
      <c r="E927" s="208"/>
      <c r="F927" s="208"/>
      <c r="G927" s="208"/>
      <c r="H927" s="233"/>
      <c r="I927" s="234"/>
      <c r="J927" s="208"/>
      <c r="K927" s="208"/>
      <c r="L927" s="208"/>
      <c r="M927" s="208"/>
      <c r="N927" s="208"/>
      <c r="O927" s="208"/>
      <c r="P927" s="208"/>
      <c r="Q927" s="208"/>
      <c r="R927" s="208"/>
      <c r="S927" s="208"/>
      <c r="T927" s="208"/>
      <c r="U927" s="208"/>
      <c r="V927" s="208"/>
      <c r="W927" s="208"/>
      <c r="X927" s="208"/>
      <c r="Y927" s="208"/>
      <c r="Z927" s="208"/>
      <c r="AA927" s="208"/>
      <c r="AB927" s="208"/>
      <c r="AC927" s="208"/>
      <c r="AD927" s="208"/>
      <c r="AE927" s="208"/>
      <c r="AF927" s="208"/>
      <c r="AG927" s="208"/>
      <c r="AH927" s="208"/>
      <c r="AI927" s="208"/>
      <c r="AJ927" s="208"/>
      <c r="AK927" s="208"/>
    </row>
    <row r="928">
      <c r="A928" s="208"/>
      <c r="B928" s="208"/>
      <c r="C928" s="208"/>
      <c r="D928" s="208"/>
      <c r="E928" s="208"/>
      <c r="F928" s="208"/>
      <c r="G928" s="208"/>
      <c r="H928" s="233"/>
      <c r="I928" s="234"/>
      <c r="J928" s="208"/>
      <c r="K928" s="208"/>
      <c r="L928" s="208"/>
      <c r="M928" s="208"/>
      <c r="N928" s="208"/>
      <c r="O928" s="208"/>
      <c r="P928" s="208"/>
      <c r="Q928" s="208"/>
      <c r="R928" s="208"/>
      <c r="S928" s="208"/>
      <c r="T928" s="208"/>
      <c r="U928" s="208"/>
      <c r="V928" s="208"/>
      <c r="W928" s="208"/>
      <c r="X928" s="208"/>
      <c r="Y928" s="208"/>
      <c r="Z928" s="208"/>
      <c r="AA928" s="208"/>
      <c r="AB928" s="208"/>
      <c r="AC928" s="208"/>
      <c r="AD928" s="208"/>
      <c r="AE928" s="208"/>
      <c r="AF928" s="208"/>
      <c r="AG928" s="208"/>
      <c r="AH928" s="208"/>
      <c r="AI928" s="208"/>
      <c r="AJ928" s="208"/>
      <c r="AK928" s="208"/>
    </row>
    <row r="929">
      <c r="A929" s="208"/>
      <c r="B929" s="208"/>
      <c r="C929" s="208"/>
      <c r="D929" s="208"/>
      <c r="E929" s="208"/>
      <c r="F929" s="208"/>
      <c r="G929" s="208"/>
      <c r="H929" s="233"/>
      <c r="I929" s="234"/>
      <c r="J929" s="208"/>
      <c r="K929" s="208"/>
      <c r="L929" s="208"/>
      <c r="M929" s="208"/>
      <c r="N929" s="208"/>
      <c r="O929" s="208"/>
      <c r="P929" s="208"/>
      <c r="Q929" s="208"/>
      <c r="R929" s="208"/>
      <c r="S929" s="208"/>
      <c r="T929" s="208"/>
      <c r="U929" s="208"/>
      <c r="V929" s="208"/>
      <c r="W929" s="208"/>
      <c r="X929" s="208"/>
      <c r="Y929" s="208"/>
      <c r="Z929" s="208"/>
      <c r="AA929" s="208"/>
      <c r="AB929" s="208"/>
      <c r="AC929" s="208"/>
      <c r="AD929" s="208"/>
      <c r="AE929" s="208"/>
      <c r="AF929" s="208"/>
      <c r="AG929" s="208"/>
      <c r="AH929" s="208"/>
      <c r="AI929" s="208"/>
      <c r="AJ929" s="208"/>
      <c r="AK929" s="208"/>
    </row>
    <row r="930">
      <c r="A930" s="208"/>
      <c r="B930" s="208"/>
      <c r="C930" s="208"/>
      <c r="D930" s="208"/>
      <c r="E930" s="208"/>
      <c r="F930" s="208"/>
      <c r="G930" s="208"/>
      <c r="H930" s="233"/>
      <c r="I930" s="234"/>
      <c r="J930" s="208"/>
      <c r="K930" s="208"/>
      <c r="L930" s="208"/>
      <c r="M930" s="208"/>
      <c r="N930" s="208"/>
      <c r="O930" s="208"/>
      <c r="P930" s="208"/>
      <c r="Q930" s="208"/>
      <c r="R930" s="208"/>
      <c r="S930" s="208"/>
      <c r="T930" s="208"/>
      <c r="U930" s="208"/>
      <c r="V930" s="208"/>
      <c r="W930" s="208"/>
      <c r="X930" s="208"/>
      <c r="Y930" s="208"/>
      <c r="Z930" s="208"/>
      <c r="AA930" s="208"/>
      <c r="AB930" s="208"/>
      <c r="AC930" s="208"/>
      <c r="AD930" s="208"/>
      <c r="AE930" s="208"/>
      <c r="AF930" s="208"/>
      <c r="AG930" s="208"/>
      <c r="AH930" s="208"/>
      <c r="AI930" s="208"/>
      <c r="AJ930" s="208"/>
      <c r="AK930" s="208"/>
    </row>
    <row r="931">
      <c r="A931" s="208"/>
      <c r="B931" s="208"/>
      <c r="C931" s="208"/>
      <c r="D931" s="208"/>
      <c r="E931" s="208"/>
      <c r="F931" s="208"/>
      <c r="G931" s="208"/>
      <c r="H931" s="233"/>
      <c r="I931" s="234"/>
      <c r="J931" s="208"/>
      <c r="K931" s="208"/>
      <c r="L931" s="208"/>
      <c r="M931" s="208"/>
      <c r="N931" s="208"/>
      <c r="O931" s="208"/>
      <c r="P931" s="208"/>
      <c r="Q931" s="208"/>
      <c r="R931" s="208"/>
      <c r="S931" s="208"/>
      <c r="T931" s="208"/>
      <c r="U931" s="208"/>
      <c r="V931" s="208"/>
      <c r="W931" s="208"/>
      <c r="X931" s="208"/>
      <c r="Y931" s="208"/>
      <c r="Z931" s="208"/>
      <c r="AA931" s="208"/>
      <c r="AB931" s="208"/>
      <c r="AC931" s="208"/>
      <c r="AD931" s="208"/>
      <c r="AE931" s="208"/>
      <c r="AF931" s="208"/>
      <c r="AG931" s="208"/>
      <c r="AH931" s="208"/>
      <c r="AI931" s="208"/>
      <c r="AJ931" s="208"/>
      <c r="AK931" s="208"/>
    </row>
    <row r="932">
      <c r="A932" s="208"/>
      <c r="B932" s="208"/>
      <c r="C932" s="208"/>
      <c r="D932" s="208"/>
      <c r="E932" s="208"/>
      <c r="F932" s="208"/>
      <c r="G932" s="208"/>
      <c r="H932" s="233"/>
      <c r="I932" s="234"/>
      <c r="J932" s="208"/>
      <c r="K932" s="208"/>
      <c r="L932" s="208"/>
      <c r="M932" s="208"/>
      <c r="N932" s="208"/>
      <c r="O932" s="208"/>
      <c r="P932" s="208"/>
      <c r="Q932" s="208"/>
      <c r="R932" s="208"/>
      <c r="S932" s="208"/>
      <c r="T932" s="208"/>
      <c r="U932" s="208"/>
      <c r="V932" s="208"/>
      <c r="W932" s="208"/>
      <c r="X932" s="208"/>
      <c r="Y932" s="208"/>
      <c r="Z932" s="208"/>
      <c r="AA932" s="208"/>
      <c r="AB932" s="208"/>
      <c r="AC932" s="208"/>
      <c r="AD932" s="208"/>
      <c r="AE932" s="208"/>
      <c r="AF932" s="208"/>
      <c r="AG932" s="208"/>
      <c r="AH932" s="208"/>
      <c r="AI932" s="208"/>
      <c r="AJ932" s="208"/>
      <c r="AK932" s="208"/>
    </row>
    <row r="933">
      <c r="A933" s="208"/>
      <c r="B933" s="208"/>
      <c r="C933" s="208"/>
      <c r="D933" s="208"/>
      <c r="E933" s="208"/>
      <c r="F933" s="208"/>
      <c r="G933" s="208"/>
      <c r="H933" s="233"/>
      <c r="I933" s="234"/>
      <c r="J933" s="208"/>
      <c r="K933" s="208"/>
      <c r="L933" s="208"/>
      <c r="M933" s="208"/>
      <c r="N933" s="208"/>
      <c r="O933" s="208"/>
      <c r="P933" s="208"/>
      <c r="Q933" s="208"/>
      <c r="R933" s="208"/>
      <c r="S933" s="208"/>
      <c r="T933" s="208"/>
      <c r="U933" s="208"/>
      <c r="V933" s="208"/>
      <c r="W933" s="208"/>
      <c r="X933" s="208"/>
      <c r="Y933" s="208"/>
      <c r="Z933" s="208"/>
      <c r="AA933" s="208"/>
      <c r="AB933" s="208"/>
      <c r="AC933" s="208"/>
      <c r="AD933" s="208"/>
      <c r="AE933" s="208"/>
      <c r="AF933" s="208"/>
      <c r="AG933" s="208"/>
      <c r="AH933" s="208"/>
      <c r="AI933" s="208"/>
      <c r="AJ933" s="208"/>
      <c r="AK933" s="208"/>
    </row>
    <row r="934">
      <c r="A934" s="208"/>
      <c r="B934" s="208"/>
      <c r="C934" s="208"/>
      <c r="D934" s="208"/>
      <c r="E934" s="208"/>
      <c r="F934" s="208"/>
      <c r="G934" s="208"/>
      <c r="H934" s="233"/>
      <c r="I934" s="234"/>
      <c r="J934" s="208"/>
      <c r="K934" s="208"/>
      <c r="L934" s="208"/>
      <c r="M934" s="208"/>
      <c r="N934" s="208"/>
      <c r="O934" s="208"/>
      <c r="P934" s="208"/>
      <c r="Q934" s="208"/>
      <c r="R934" s="208"/>
      <c r="S934" s="208"/>
      <c r="T934" s="208"/>
      <c r="U934" s="208"/>
      <c r="V934" s="208"/>
      <c r="W934" s="208"/>
      <c r="X934" s="208"/>
      <c r="Y934" s="208"/>
      <c r="Z934" s="208"/>
      <c r="AA934" s="208"/>
      <c r="AB934" s="208"/>
      <c r="AC934" s="208"/>
      <c r="AD934" s="208"/>
      <c r="AE934" s="208"/>
      <c r="AF934" s="208"/>
      <c r="AG934" s="208"/>
      <c r="AH934" s="208"/>
      <c r="AI934" s="208"/>
      <c r="AJ934" s="208"/>
      <c r="AK934" s="208"/>
    </row>
    <row r="935">
      <c r="A935" s="208"/>
      <c r="B935" s="208"/>
      <c r="C935" s="208"/>
      <c r="D935" s="208"/>
      <c r="E935" s="208"/>
      <c r="F935" s="208"/>
      <c r="G935" s="208"/>
      <c r="H935" s="233"/>
      <c r="I935" s="234"/>
      <c r="J935" s="208"/>
      <c r="K935" s="208"/>
      <c r="L935" s="208"/>
      <c r="M935" s="208"/>
      <c r="N935" s="208"/>
      <c r="O935" s="208"/>
      <c r="P935" s="208"/>
      <c r="Q935" s="208"/>
      <c r="R935" s="208"/>
      <c r="S935" s="208"/>
      <c r="T935" s="208"/>
      <c r="U935" s="208"/>
      <c r="V935" s="208"/>
      <c r="W935" s="208"/>
      <c r="X935" s="208"/>
      <c r="Y935" s="208"/>
      <c r="Z935" s="208"/>
      <c r="AA935" s="208"/>
      <c r="AB935" s="208"/>
      <c r="AC935" s="208"/>
      <c r="AD935" s="208"/>
      <c r="AE935" s="208"/>
      <c r="AF935" s="208"/>
      <c r="AG935" s="208"/>
      <c r="AH935" s="208"/>
      <c r="AI935" s="208"/>
      <c r="AJ935" s="208"/>
      <c r="AK935" s="208"/>
    </row>
    <row r="936">
      <c r="A936" s="208"/>
      <c r="B936" s="208"/>
      <c r="C936" s="208"/>
      <c r="D936" s="208"/>
      <c r="E936" s="208"/>
      <c r="F936" s="208"/>
      <c r="G936" s="208"/>
      <c r="H936" s="233"/>
      <c r="I936" s="234"/>
      <c r="J936" s="208"/>
      <c r="K936" s="208"/>
      <c r="L936" s="208"/>
      <c r="M936" s="208"/>
      <c r="N936" s="208"/>
      <c r="O936" s="208"/>
      <c r="P936" s="208"/>
      <c r="Q936" s="208"/>
      <c r="R936" s="208"/>
      <c r="S936" s="208"/>
      <c r="T936" s="208"/>
      <c r="U936" s="208"/>
      <c r="V936" s="208"/>
      <c r="W936" s="208"/>
      <c r="X936" s="208"/>
      <c r="Y936" s="208"/>
      <c r="Z936" s="208"/>
      <c r="AA936" s="208"/>
      <c r="AB936" s="208"/>
      <c r="AC936" s="208"/>
      <c r="AD936" s="208"/>
      <c r="AE936" s="208"/>
      <c r="AF936" s="208"/>
      <c r="AG936" s="208"/>
      <c r="AH936" s="208"/>
      <c r="AI936" s="208"/>
      <c r="AJ936" s="208"/>
      <c r="AK936" s="208"/>
    </row>
    <row r="937">
      <c r="A937" s="208"/>
      <c r="B937" s="208"/>
      <c r="C937" s="208"/>
      <c r="D937" s="208"/>
      <c r="E937" s="208"/>
      <c r="F937" s="208"/>
      <c r="G937" s="208"/>
      <c r="H937" s="233"/>
      <c r="I937" s="234"/>
      <c r="J937" s="208"/>
      <c r="K937" s="208"/>
      <c r="L937" s="208"/>
      <c r="M937" s="208"/>
      <c r="N937" s="208"/>
      <c r="O937" s="208"/>
      <c r="P937" s="208"/>
      <c r="Q937" s="208"/>
      <c r="R937" s="208"/>
      <c r="S937" s="208"/>
      <c r="T937" s="208"/>
      <c r="U937" s="208"/>
      <c r="V937" s="208"/>
      <c r="W937" s="208"/>
      <c r="X937" s="208"/>
      <c r="Y937" s="208"/>
      <c r="Z937" s="208"/>
      <c r="AA937" s="208"/>
      <c r="AB937" s="208"/>
      <c r="AC937" s="208"/>
      <c r="AD937" s="208"/>
      <c r="AE937" s="208"/>
      <c r="AF937" s="208"/>
      <c r="AG937" s="208"/>
      <c r="AH937" s="208"/>
      <c r="AI937" s="208"/>
      <c r="AJ937" s="208"/>
      <c r="AK937" s="208"/>
    </row>
    <row r="938">
      <c r="A938" s="208"/>
      <c r="B938" s="208"/>
      <c r="C938" s="208"/>
      <c r="D938" s="208"/>
      <c r="E938" s="208"/>
      <c r="F938" s="208"/>
      <c r="G938" s="208"/>
      <c r="H938" s="233"/>
      <c r="I938" s="234"/>
      <c r="J938" s="208"/>
      <c r="K938" s="208"/>
      <c r="L938" s="208"/>
      <c r="M938" s="208"/>
      <c r="N938" s="208"/>
      <c r="O938" s="208"/>
      <c r="P938" s="208"/>
      <c r="Q938" s="208"/>
      <c r="R938" s="208"/>
      <c r="S938" s="208"/>
      <c r="T938" s="208"/>
      <c r="U938" s="208"/>
      <c r="V938" s="208"/>
      <c r="W938" s="208"/>
      <c r="X938" s="208"/>
      <c r="Y938" s="208"/>
      <c r="Z938" s="208"/>
      <c r="AA938" s="208"/>
      <c r="AB938" s="208"/>
      <c r="AC938" s="208"/>
      <c r="AD938" s="208"/>
      <c r="AE938" s="208"/>
      <c r="AF938" s="208"/>
      <c r="AG938" s="208"/>
      <c r="AH938" s="208"/>
      <c r="AI938" s="208"/>
      <c r="AJ938" s="208"/>
      <c r="AK938" s="208"/>
    </row>
    <row r="939">
      <c r="A939" s="208"/>
      <c r="B939" s="208"/>
      <c r="C939" s="208"/>
      <c r="D939" s="208"/>
      <c r="E939" s="208"/>
      <c r="F939" s="208"/>
      <c r="G939" s="208"/>
      <c r="H939" s="233"/>
      <c r="I939" s="234"/>
      <c r="J939" s="208"/>
      <c r="K939" s="208"/>
      <c r="L939" s="208"/>
      <c r="M939" s="208"/>
      <c r="N939" s="208"/>
      <c r="O939" s="208"/>
      <c r="P939" s="208"/>
      <c r="Q939" s="208"/>
      <c r="R939" s="208"/>
      <c r="S939" s="208"/>
      <c r="T939" s="208"/>
      <c r="U939" s="208"/>
      <c r="V939" s="208"/>
      <c r="W939" s="208"/>
      <c r="X939" s="208"/>
      <c r="Y939" s="208"/>
      <c r="Z939" s="208"/>
      <c r="AA939" s="208"/>
      <c r="AB939" s="208"/>
      <c r="AC939" s="208"/>
      <c r="AD939" s="208"/>
      <c r="AE939" s="208"/>
      <c r="AF939" s="208"/>
      <c r="AG939" s="208"/>
      <c r="AH939" s="208"/>
      <c r="AI939" s="208"/>
      <c r="AJ939" s="208"/>
      <c r="AK939" s="208"/>
    </row>
    <row r="940">
      <c r="A940" s="208"/>
      <c r="B940" s="208"/>
      <c r="C940" s="208"/>
      <c r="D940" s="208"/>
      <c r="E940" s="208"/>
      <c r="F940" s="208"/>
      <c r="G940" s="208"/>
      <c r="H940" s="233"/>
      <c r="I940" s="234"/>
      <c r="J940" s="208"/>
      <c r="K940" s="208"/>
      <c r="L940" s="208"/>
      <c r="M940" s="208"/>
      <c r="N940" s="208"/>
      <c r="O940" s="208"/>
      <c r="P940" s="208"/>
      <c r="Q940" s="208"/>
      <c r="R940" s="208"/>
      <c r="S940" s="208"/>
      <c r="T940" s="208"/>
      <c r="U940" s="208"/>
      <c r="V940" s="208"/>
      <c r="W940" s="208"/>
      <c r="X940" s="208"/>
      <c r="Y940" s="208"/>
      <c r="Z940" s="208"/>
      <c r="AA940" s="208"/>
      <c r="AB940" s="208"/>
      <c r="AC940" s="208"/>
      <c r="AD940" s="208"/>
      <c r="AE940" s="208"/>
      <c r="AF940" s="208"/>
      <c r="AG940" s="208"/>
      <c r="AH940" s="208"/>
      <c r="AI940" s="208"/>
      <c r="AJ940" s="208"/>
      <c r="AK940" s="208"/>
    </row>
    <row r="941">
      <c r="A941" s="208"/>
      <c r="B941" s="208"/>
      <c r="C941" s="208"/>
      <c r="D941" s="208"/>
      <c r="E941" s="208"/>
      <c r="F941" s="208"/>
      <c r="G941" s="208"/>
      <c r="H941" s="233"/>
      <c r="I941" s="234"/>
      <c r="J941" s="208"/>
      <c r="K941" s="208"/>
      <c r="L941" s="208"/>
      <c r="M941" s="208"/>
      <c r="N941" s="208"/>
      <c r="O941" s="208"/>
      <c r="P941" s="208"/>
      <c r="Q941" s="208"/>
      <c r="R941" s="208"/>
      <c r="S941" s="208"/>
      <c r="T941" s="208"/>
      <c r="U941" s="208"/>
      <c r="V941" s="208"/>
      <c r="W941" s="208"/>
      <c r="X941" s="208"/>
      <c r="Y941" s="208"/>
      <c r="Z941" s="208"/>
      <c r="AA941" s="208"/>
      <c r="AB941" s="208"/>
      <c r="AC941" s="208"/>
      <c r="AD941" s="208"/>
      <c r="AE941" s="208"/>
      <c r="AF941" s="208"/>
      <c r="AG941" s="208"/>
      <c r="AH941" s="208"/>
      <c r="AI941" s="208"/>
      <c r="AJ941" s="208"/>
      <c r="AK941" s="208"/>
    </row>
    <row r="942">
      <c r="A942" s="208"/>
      <c r="B942" s="208"/>
      <c r="C942" s="208"/>
      <c r="D942" s="208"/>
      <c r="E942" s="208"/>
      <c r="F942" s="208"/>
      <c r="G942" s="208"/>
      <c r="H942" s="233"/>
      <c r="I942" s="234"/>
      <c r="J942" s="208"/>
      <c r="K942" s="208"/>
      <c r="L942" s="208"/>
      <c r="M942" s="208"/>
      <c r="N942" s="208"/>
      <c r="O942" s="208"/>
      <c r="P942" s="208"/>
      <c r="Q942" s="208"/>
      <c r="R942" s="208"/>
      <c r="S942" s="208"/>
      <c r="T942" s="208"/>
      <c r="U942" s="208"/>
      <c r="V942" s="208"/>
      <c r="W942" s="208"/>
      <c r="X942" s="208"/>
      <c r="Y942" s="208"/>
      <c r="Z942" s="208"/>
      <c r="AA942" s="208"/>
      <c r="AB942" s="208"/>
      <c r="AC942" s="208"/>
      <c r="AD942" s="208"/>
      <c r="AE942" s="208"/>
      <c r="AF942" s="208"/>
      <c r="AG942" s="208"/>
      <c r="AH942" s="208"/>
      <c r="AI942" s="208"/>
      <c r="AJ942" s="208"/>
      <c r="AK942" s="208"/>
    </row>
    <row r="943">
      <c r="A943" s="208"/>
      <c r="B943" s="208"/>
      <c r="C943" s="208"/>
      <c r="D943" s="208"/>
      <c r="E943" s="208"/>
      <c r="F943" s="208"/>
      <c r="G943" s="208"/>
      <c r="H943" s="233"/>
      <c r="I943" s="234"/>
      <c r="J943" s="208"/>
      <c r="K943" s="208"/>
      <c r="L943" s="208"/>
      <c r="M943" s="208"/>
      <c r="N943" s="208"/>
      <c r="O943" s="208"/>
      <c r="P943" s="208"/>
      <c r="Q943" s="208"/>
      <c r="R943" s="208"/>
      <c r="S943" s="208"/>
      <c r="T943" s="208"/>
      <c r="U943" s="208"/>
      <c r="V943" s="208"/>
      <c r="W943" s="208"/>
      <c r="X943" s="208"/>
      <c r="Y943" s="208"/>
      <c r="Z943" s="208"/>
      <c r="AA943" s="208"/>
      <c r="AB943" s="208"/>
      <c r="AC943" s="208"/>
      <c r="AD943" s="208"/>
      <c r="AE943" s="208"/>
      <c r="AF943" s="208"/>
      <c r="AG943" s="208"/>
      <c r="AH943" s="208"/>
      <c r="AI943" s="208"/>
      <c r="AJ943" s="208"/>
      <c r="AK943" s="208"/>
    </row>
    <row r="944">
      <c r="A944" s="208"/>
      <c r="B944" s="208"/>
      <c r="C944" s="208"/>
      <c r="D944" s="208"/>
      <c r="E944" s="208"/>
      <c r="F944" s="208"/>
      <c r="G944" s="208"/>
      <c r="H944" s="233"/>
      <c r="I944" s="234"/>
      <c r="J944" s="208"/>
      <c r="K944" s="208"/>
      <c r="L944" s="208"/>
      <c r="M944" s="208"/>
      <c r="N944" s="208"/>
      <c r="O944" s="208"/>
      <c r="P944" s="208"/>
      <c r="Q944" s="208"/>
      <c r="R944" s="208"/>
      <c r="S944" s="208"/>
      <c r="T944" s="208"/>
      <c r="U944" s="208"/>
      <c r="V944" s="208"/>
      <c r="W944" s="208"/>
      <c r="X944" s="208"/>
      <c r="Y944" s="208"/>
      <c r="Z944" s="208"/>
      <c r="AA944" s="208"/>
      <c r="AB944" s="208"/>
      <c r="AC944" s="208"/>
      <c r="AD944" s="208"/>
      <c r="AE944" s="208"/>
      <c r="AF944" s="208"/>
      <c r="AG944" s="208"/>
      <c r="AH944" s="208"/>
      <c r="AI944" s="208"/>
      <c r="AJ944" s="208"/>
      <c r="AK944" s="208"/>
    </row>
    <row r="945">
      <c r="A945" s="208"/>
      <c r="B945" s="208"/>
      <c r="C945" s="208"/>
      <c r="D945" s="208"/>
      <c r="E945" s="208"/>
      <c r="F945" s="208"/>
      <c r="G945" s="208"/>
      <c r="H945" s="233"/>
      <c r="I945" s="234"/>
      <c r="J945" s="208"/>
      <c r="K945" s="208"/>
      <c r="L945" s="208"/>
      <c r="M945" s="208"/>
      <c r="N945" s="208"/>
      <c r="O945" s="208"/>
      <c r="P945" s="208"/>
      <c r="Q945" s="208"/>
      <c r="R945" s="208"/>
      <c r="S945" s="208"/>
      <c r="T945" s="208"/>
      <c r="U945" s="208"/>
      <c r="V945" s="208"/>
      <c r="W945" s="208"/>
      <c r="X945" s="208"/>
      <c r="Y945" s="208"/>
      <c r="Z945" s="208"/>
      <c r="AA945" s="208"/>
      <c r="AB945" s="208"/>
      <c r="AC945" s="208"/>
      <c r="AD945" s="208"/>
      <c r="AE945" s="208"/>
      <c r="AF945" s="208"/>
      <c r="AG945" s="208"/>
      <c r="AH945" s="208"/>
      <c r="AI945" s="208"/>
      <c r="AJ945" s="208"/>
      <c r="AK945" s="208"/>
    </row>
    <row r="946">
      <c r="A946" s="208"/>
      <c r="B946" s="208"/>
      <c r="C946" s="208"/>
      <c r="D946" s="208"/>
      <c r="E946" s="208"/>
      <c r="F946" s="208"/>
      <c r="G946" s="208"/>
      <c r="H946" s="233"/>
      <c r="I946" s="234"/>
      <c r="J946" s="208"/>
      <c r="K946" s="208"/>
      <c r="L946" s="208"/>
      <c r="M946" s="208"/>
      <c r="N946" s="208"/>
      <c r="O946" s="208"/>
      <c r="P946" s="208"/>
      <c r="Q946" s="208"/>
      <c r="R946" s="208"/>
      <c r="S946" s="208"/>
      <c r="T946" s="208"/>
      <c r="U946" s="208"/>
      <c r="V946" s="208"/>
      <c r="W946" s="208"/>
      <c r="X946" s="208"/>
      <c r="Y946" s="208"/>
      <c r="Z946" s="208"/>
      <c r="AA946" s="208"/>
      <c r="AB946" s="208"/>
      <c r="AC946" s="208"/>
      <c r="AD946" s="208"/>
      <c r="AE946" s="208"/>
      <c r="AF946" s="208"/>
      <c r="AG946" s="208"/>
      <c r="AH946" s="208"/>
      <c r="AI946" s="208"/>
      <c r="AJ946" s="208"/>
      <c r="AK946" s="208"/>
    </row>
    <row r="947">
      <c r="A947" s="208"/>
      <c r="B947" s="208"/>
      <c r="C947" s="208"/>
      <c r="D947" s="208"/>
      <c r="E947" s="208"/>
      <c r="F947" s="208"/>
      <c r="G947" s="208"/>
      <c r="H947" s="233"/>
      <c r="I947" s="234"/>
      <c r="J947" s="208"/>
      <c r="K947" s="208"/>
      <c r="L947" s="208"/>
      <c r="M947" s="208"/>
      <c r="N947" s="208"/>
      <c r="O947" s="208"/>
      <c r="P947" s="208"/>
      <c r="Q947" s="208"/>
      <c r="R947" s="208"/>
      <c r="S947" s="208"/>
      <c r="T947" s="208"/>
      <c r="U947" s="208"/>
      <c r="V947" s="208"/>
      <c r="W947" s="208"/>
      <c r="X947" s="208"/>
      <c r="Y947" s="208"/>
      <c r="Z947" s="208"/>
      <c r="AA947" s="208"/>
      <c r="AB947" s="208"/>
      <c r="AC947" s="208"/>
      <c r="AD947" s="208"/>
      <c r="AE947" s="208"/>
      <c r="AF947" s="208"/>
      <c r="AG947" s="208"/>
      <c r="AH947" s="208"/>
      <c r="AI947" s="208"/>
      <c r="AJ947" s="208"/>
      <c r="AK947" s="208"/>
    </row>
    <row r="948">
      <c r="A948" s="208"/>
      <c r="B948" s="208"/>
      <c r="C948" s="208"/>
      <c r="D948" s="208"/>
      <c r="E948" s="208"/>
      <c r="F948" s="208"/>
      <c r="G948" s="208"/>
      <c r="H948" s="233"/>
      <c r="I948" s="234"/>
      <c r="J948" s="208"/>
      <c r="K948" s="208"/>
      <c r="L948" s="208"/>
      <c r="M948" s="208"/>
      <c r="N948" s="208"/>
      <c r="O948" s="208"/>
      <c r="P948" s="208"/>
      <c r="Q948" s="208"/>
      <c r="R948" s="208"/>
      <c r="S948" s="208"/>
      <c r="T948" s="208"/>
      <c r="U948" s="208"/>
      <c r="V948" s="208"/>
      <c r="W948" s="208"/>
      <c r="X948" s="208"/>
      <c r="Y948" s="208"/>
      <c r="Z948" s="208"/>
      <c r="AA948" s="208"/>
      <c r="AB948" s="208"/>
      <c r="AC948" s="208"/>
      <c r="AD948" s="208"/>
      <c r="AE948" s="208"/>
      <c r="AF948" s="208"/>
      <c r="AG948" s="208"/>
      <c r="AH948" s="208"/>
      <c r="AI948" s="208"/>
      <c r="AJ948" s="208"/>
      <c r="AK948" s="208"/>
    </row>
    <row r="949">
      <c r="A949" s="208"/>
      <c r="B949" s="208"/>
      <c r="C949" s="208"/>
      <c r="D949" s="208"/>
      <c r="E949" s="208"/>
      <c r="F949" s="208"/>
      <c r="G949" s="208"/>
      <c r="H949" s="233"/>
      <c r="I949" s="234"/>
      <c r="J949" s="208"/>
      <c r="K949" s="208"/>
      <c r="L949" s="208"/>
      <c r="M949" s="208"/>
      <c r="N949" s="208"/>
      <c r="O949" s="208"/>
      <c r="P949" s="208"/>
      <c r="Q949" s="208"/>
      <c r="R949" s="208"/>
      <c r="S949" s="208"/>
      <c r="T949" s="208"/>
      <c r="U949" s="208"/>
      <c r="V949" s="208"/>
      <c r="W949" s="208"/>
      <c r="X949" s="208"/>
      <c r="Y949" s="208"/>
      <c r="Z949" s="208"/>
      <c r="AA949" s="208"/>
      <c r="AB949" s="208"/>
      <c r="AC949" s="208"/>
      <c r="AD949" s="208"/>
      <c r="AE949" s="208"/>
      <c r="AF949" s="208"/>
      <c r="AG949" s="208"/>
      <c r="AH949" s="208"/>
      <c r="AI949" s="208"/>
      <c r="AJ949" s="208"/>
      <c r="AK949" s="208"/>
    </row>
    <row r="950">
      <c r="A950" s="208"/>
      <c r="B950" s="208"/>
      <c r="C950" s="208"/>
      <c r="D950" s="208"/>
      <c r="E950" s="208"/>
      <c r="F950" s="208"/>
      <c r="G950" s="208"/>
      <c r="H950" s="233"/>
      <c r="I950" s="234"/>
      <c r="J950" s="208"/>
      <c r="K950" s="208"/>
      <c r="L950" s="208"/>
      <c r="M950" s="208"/>
      <c r="N950" s="208"/>
      <c r="O950" s="208"/>
      <c r="P950" s="208"/>
      <c r="Q950" s="208"/>
      <c r="R950" s="208"/>
      <c r="S950" s="208"/>
      <c r="T950" s="208"/>
      <c r="U950" s="208"/>
      <c r="V950" s="208"/>
      <c r="W950" s="208"/>
      <c r="X950" s="208"/>
      <c r="Y950" s="208"/>
      <c r="Z950" s="208"/>
      <c r="AA950" s="208"/>
      <c r="AB950" s="208"/>
      <c r="AC950" s="208"/>
      <c r="AD950" s="208"/>
      <c r="AE950" s="208"/>
      <c r="AF950" s="208"/>
      <c r="AG950" s="208"/>
      <c r="AH950" s="208"/>
      <c r="AI950" s="208"/>
      <c r="AJ950" s="208"/>
      <c r="AK950" s="208"/>
    </row>
    <row r="951">
      <c r="A951" s="208"/>
      <c r="B951" s="208"/>
      <c r="C951" s="208"/>
      <c r="D951" s="208"/>
      <c r="E951" s="208"/>
      <c r="F951" s="208"/>
      <c r="G951" s="208"/>
      <c r="H951" s="233"/>
      <c r="I951" s="234"/>
      <c r="J951" s="208"/>
      <c r="K951" s="208"/>
      <c r="L951" s="208"/>
      <c r="M951" s="208"/>
      <c r="N951" s="208"/>
      <c r="O951" s="208"/>
      <c r="P951" s="208"/>
      <c r="Q951" s="208"/>
      <c r="R951" s="208"/>
      <c r="S951" s="208"/>
      <c r="T951" s="208"/>
      <c r="U951" s="208"/>
      <c r="V951" s="208"/>
      <c r="W951" s="208"/>
      <c r="X951" s="208"/>
      <c r="Y951" s="208"/>
      <c r="Z951" s="208"/>
      <c r="AA951" s="208"/>
      <c r="AB951" s="208"/>
      <c r="AC951" s="208"/>
      <c r="AD951" s="208"/>
      <c r="AE951" s="208"/>
      <c r="AF951" s="208"/>
      <c r="AG951" s="208"/>
      <c r="AH951" s="208"/>
      <c r="AI951" s="208"/>
      <c r="AJ951" s="208"/>
      <c r="AK951" s="208"/>
    </row>
    <row r="952">
      <c r="A952" s="208"/>
      <c r="B952" s="208"/>
      <c r="C952" s="208"/>
      <c r="D952" s="208"/>
      <c r="E952" s="208"/>
      <c r="F952" s="208"/>
      <c r="G952" s="208"/>
      <c r="H952" s="233"/>
      <c r="I952" s="234"/>
      <c r="J952" s="208"/>
      <c r="K952" s="208"/>
      <c r="L952" s="208"/>
      <c r="M952" s="208"/>
      <c r="N952" s="208"/>
      <c r="O952" s="208"/>
      <c r="P952" s="208"/>
      <c r="Q952" s="208"/>
      <c r="R952" s="208"/>
      <c r="S952" s="208"/>
      <c r="T952" s="208"/>
      <c r="U952" s="208"/>
      <c r="V952" s="208"/>
      <c r="W952" s="208"/>
      <c r="X952" s="208"/>
      <c r="Y952" s="208"/>
      <c r="Z952" s="208"/>
      <c r="AA952" s="208"/>
      <c r="AB952" s="208"/>
      <c r="AC952" s="208"/>
      <c r="AD952" s="208"/>
      <c r="AE952" s="208"/>
      <c r="AF952" s="208"/>
      <c r="AG952" s="208"/>
      <c r="AH952" s="208"/>
      <c r="AI952" s="208"/>
      <c r="AJ952" s="208"/>
      <c r="AK952" s="208"/>
    </row>
    <row r="953">
      <c r="A953" s="208"/>
      <c r="B953" s="208"/>
      <c r="C953" s="208"/>
      <c r="D953" s="208"/>
      <c r="E953" s="208"/>
      <c r="F953" s="208"/>
      <c r="G953" s="208"/>
      <c r="H953" s="233"/>
      <c r="I953" s="234"/>
      <c r="J953" s="208"/>
      <c r="K953" s="208"/>
      <c r="L953" s="208"/>
      <c r="M953" s="208"/>
      <c r="N953" s="208"/>
      <c r="O953" s="208"/>
      <c r="P953" s="208"/>
      <c r="Q953" s="208"/>
      <c r="R953" s="208"/>
      <c r="S953" s="208"/>
      <c r="T953" s="208"/>
      <c r="U953" s="208"/>
      <c r="V953" s="208"/>
      <c r="W953" s="208"/>
      <c r="X953" s="208"/>
      <c r="Y953" s="208"/>
      <c r="Z953" s="208"/>
      <c r="AA953" s="208"/>
      <c r="AB953" s="208"/>
      <c r="AC953" s="208"/>
      <c r="AD953" s="208"/>
      <c r="AE953" s="208"/>
      <c r="AF953" s="208"/>
      <c r="AG953" s="208"/>
      <c r="AH953" s="208"/>
      <c r="AI953" s="208"/>
      <c r="AJ953" s="208"/>
      <c r="AK953" s="208"/>
    </row>
    <row r="954">
      <c r="A954" s="208"/>
      <c r="B954" s="208"/>
      <c r="C954" s="208"/>
      <c r="D954" s="208"/>
      <c r="E954" s="208"/>
      <c r="F954" s="208"/>
      <c r="G954" s="208"/>
      <c r="H954" s="233"/>
      <c r="I954" s="234"/>
      <c r="J954" s="208"/>
      <c r="K954" s="208"/>
      <c r="L954" s="208"/>
      <c r="M954" s="208"/>
      <c r="N954" s="208"/>
      <c r="O954" s="208"/>
      <c r="P954" s="208"/>
      <c r="Q954" s="208"/>
      <c r="R954" s="208"/>
      <c r="S954" s="208"/>
      <c r="T954" s="208"/>
      <c r="U954" s="208"/>
      <c r="V954" s="208"/>
      <c r="W954" s="208"/>
      <c r="X954" s="208"/>
      <c r="Y954" s="208"/>
      <c r="Z954" s="208"/>
      <c r="AA954" s="208"/>
      <c r="AB954" s="208"/>
      <c r="AC954" s="208"/>
      <c r="AD954" s="208"/>
      <c r="AE954" s="208"/>
      <c r="AF954" s="208"/>
      <c r="AG954" s="208"/>
      <c r="AH954" s="208"/>
      <c r="AI954" s="208"/>
      <c r="AJ954" s="208"/>
      <c r="AK954" s="208"/>
    </row>
    <row r="955">
      <c r="A955" s="208"/>
      <c r="B955" s="208"/>
      <c r="C955" s="208"/>
      <c r="D955" s="208"/>
      <c r="E955" s="208"/>
      <c r="F955" s="208"/>
      <c r="G955" s="208"/>
      <c r="H955" s="233"/>
      <c r="I955" s="234"/>
      <c r="J955" s="208"/>
      <c r="K955" s="208"/>
      <c r="L955" s="208"/>
      <c r="M955" s="208"/>
      <c r="N955" s="208"/>
      <c r="O955" s="208"/>
      <c r="P955" s="208"/>
      <c r="Q955" s="208"/>
      <c r="R955" s="208"/>
      <c r="S955" s="208"/>
      <c r="T955" s="208"/>
      <c r="U955" s="208"/>
      <c r="V955" s="208"/>
      <c r="W955" s="208"/>
      <c r="X955" s="208"/>
      <c r="Y955" s="208"/>
      <c r="Z955" s="208"/>
      <c r="AA955" s="208"/>
      <c r="AB955" s="208"/>
      <c r="AC955" s="208"/>
      <c r="AD955" s="208"/>
      <c r="AE955" s="208"/>
      <c r="AF955" s="208"/>
      <c r="AG955" s="208"/>
      <c r="AH955" s="208"/>
      <c r="AI955" s="208"/>
      <c r="AJ955" s="208"/>
      <c r="AK955" s="208"/>
    </row>
    <row r="956">
      <c r="A956" s="208"/>
      <c r="B956" s="208"/>
      <c r="C956" s="208"/>
      <c r="D956" s="208"/>
      <c r="E956" s="208"/>
      <c r="F956" s="208"/>
      <c r="G956" s="208"/>
      <c r="H956" s="233"/>
      <c r="I956" s="234"/>
      <c r="J956" s="208"/>
      <c r="K956" s="208"/>
      <c r="L956" s="208"/>
      <c r="M956" s="208"/>
      <c r="N956" s="208"/>
      <c r="O956" s="208"/>
      <c r="P956" s="208"/>
      <c r="Q956" s="208"/>
      <c r="R956" s="208"/>
      <c r="S956" s="208"/>
      <c r="T956" s="208"/>
      <c r="U956" s="208"/>
      <c r="V956" s="208"/>
      <c r="W956" s="208"/>
      <c r="X956" s="208"/>
      <c r="Y956" s="208"/>
      <c r="Z956" s="208"/>
      <c r="AA956" s="208"/>
      <c r="AB956" s="208"/>
      <c r="AC956" s="208"/>
      <c r="AD956" s="208"/>
      <c r="AE956" s="208"/>
      <c r="AF956" s="208"/>
      <c r="AG956" s="208"/>
      <c r="AH956" s="208"/>
      <c r="AI956" s="208"/>
      <c r="AJ956" s="208"/>
      <c r="AK956" s="208"/>
    </row>
    <row r="957">
      <c r="A957" s="208"/>
      <c r="B957" s="208"/>
      <c r="C957" s="208"/>
      <c r="D957" s="208"/>
      <c r="E957" s="208"/>
      <c r="F957" s="208"/>
      <c r="G957" s="208"/>
      <c r="H957" s="233"/>
      <c r="I957" s="234"/>
      <c r="J957" s="208"/>
      <c r="K957" s="208"/>
      <c r="L957" s="208"/>
      <c r="M957" s="208"/>
      <c r="N957" s="208"/>
      <c r="O957" s="208"/>
      <c r="P957" s="208"/>
      <c r="Q957" s="208"/>
      <c r="R957" s="208"/>
      <c r="S957" s="208"/>
      <c r="T957" s="208"/>
      <c r="U957" s="208"/>
      <c r="V957" s="208"/>
      <c r="W957" s="208"/>
      <c r="X957" s="208"/>
      <c r="Y957" s="208"/>
      <c r="Z957" s="208"/>
      <c r="AA957" s="208"/>
      <c r="AB957" s="208"/>
      <c r="AC957" s="208"/>
      <c r="AD957" s="208"/>
      <c r="AE957" s="208"/>
      <c r="AF957" s="208"/>
      <c r="AG957" s="208"/>
      <c r="AH957" s="208"/>
      <c r="AI957" s="208"/>
      <c r="AJ957" s="208"/>
      <c r="AK957" s="208"/>
    </row>
    <row r="958">
      <c r="A958" s="208"/>
      <c r="B958" s="208"/>
      <c r="C958" s="208"/>
      <c r="D958" s="208"/>
      <c r="E958" s="208"/>
      <c r="F958" s="208"/>
      <c r="G958" s="208"/>
      <c r="H958" s="233"/>
      <c r="I958" s="234"/>
      <c r="J958" s="208"/>
      <c r="K958" s="208"/>
      <c r="L958" s="208"/>
      <c r="M958" s="208"/>
      <c r="N958" s="208"/>
      <c r="O958" s="208"/>
      <c r="P958" s="208"/>
      <c r="Q958" s="208"/>
      <c r="R958" s="208"/>
      <c r="S958" s="208"/>
      <c r="T958" s="208"/>
      <c r="U958" s="208"/>
      <c r="V958" s="208"/>
      <c r="W958" s="208"/>
      <c r="X958" s="208"/>
      <c r="Y958" s="208"/>
      <c r="Z958" s="208"/>
      <c r="AA958" s="208"/>
      <c r="AB958" s="208"/>
      <c r="AC958" s="208"/>
      <c r="AD958" s="208"/>
      <c r="AE958" s="208"/>
      <c r="AF958" s="208"/>
      <c r="AG958" s="208"/>
      <c r="AH958" s="208"/>
      <c r="AI958" s="208"/>
      <c r="AJ958" s="208"/>
      <c r="AK958" s="208"/>
    </row>
    <row r="959">
      <c r="A959" s="208"/>
      <c r="B959" s="208"/>
      <c r="C959" s="208"/>
      <c r="D959" s="208"/>
      <c r="E959" s="208"/>
      <c r="F959" s="208"/>
      <c r="G959" s="208"/>
      <c r="H959" s="233"/>
      <c r="I959" s="234"/>
      <c r="J959" s="208"/>
      <c r="K959" s="208"/>
      <c r="L959" s="208"/>
      <c r="M959" s="208"/>
      <c r="N959" s="208"/>
      <c r="O959" s="208"/>
      <c r="P959" s="208"/>
      <c r="Q959" s="208"/>
      <c r="R959" s="208"/>
      <c r="S959" s="208"/>
      <c r="T959" s="208"/>
      <c r="U959" s="208"/>
      <c r="V959" s="208"/>
      <c r="W959" s="208"/>
      <c r="X959" s="208"/>
      <c r="Y959" s="208"/>
      <c r="Z959" s="208"/>
      <c r="AA959" s="208"/>
      <c r="AB959" s="208"/>
      <c r="AC959" s="208"/>
      <c r="AD959" s="208"/>
      <c r="AE959" s="208"/>
      <c r="AF959" s="208"/>
      <c r="AG959" s="208"/>
      <c r="AH959" s="208"/>
      <c r="AI959" s="208"/>
      <c r="AJ959" s="208"/>
      <c r="AK959" s="208"/>
    </row>
    <row r="960">
      <c r="A960" s="208"/>
      <c r="B960" s="208"/>
      <c r="C960" s="208"/>
      <c r="D960" s="208"/>
      <c r="E960" s="208"/>
      <c r="F960" s="208"/>
      <c r="G960" s="208"/>
      <c r="H960" s="233"/>
      <c r="I960" s="234"/>
      <c r="J960" s="208"/>
      <c r="K960" s="208"/>
      <c r="L960" s="208"/>
      <c r="M960" s="208"/>
      <c r="N960" s="208"/>
      <c r="O960" s="208"/>
      <c r="P960" s="208"/>
      <c r="Q960" s="208"/>
      <c r="R960" s="208"/>
      <c r="S960" s="208"/>
      <c r="T960" s="208"/>
      <c r="U960" s="208"/>
      <c r="V960" s="208"/>
      <c r="W960" s="208"/>
      <c r="X960" s="208"/>
      <c r="Y960" s="208"/>
      <c r="Z960" s="208"/>
      <c r="AA960" s="208"/>
      <c r="AB960" s="208"/>
      <c r="AC960" s="208"/>
      <c r="AD960" s="208"/>
      <c r="AE960" s="208"/>
      <c r="AF960" s="208"/>
      <c r="AG960" s="208"/>
      <c r="AH960" s="208"/>
      <c r="AI960" s="208"/>
      <c r="AJ960" s="208"/>
      <c r="AK960" s="208"/>
    </row>
    <row r="961">
      <c r="A961" s="208"/>
      <c r="B961" s="208"/>
      <c r="C961" s="208"/>
      <c r="D961" s="208"/>
      <c r="E961" s="208"/>
      <c r="F961" s="208"/>
      <c r="G961" s="208"/>
      <c r="H961" s="233"/>
      <c r="I961" s="234"/>
      <c r="J961" s="208"/>
      <c r="K961" s="208"/>
      <c r="L961" s="208"/>
      <c r="M961" s="208"/>
      <c r="N961" s="208"/>
      <c r="O961" s="208"/>
      <c r="P961" s="208"/>
      <c r="Q961" s="208"/>
      <c r="R961" s="208"/>
      <c r="S961" s="208"/>
      <c r="T961" s="208"/>
      <c r="U961" s="208"/>
      <c r="V961" s="208"/>
      <c r="W961" s="208"/>
      <c r="X961" s="208"/>
      <c r="Y961" s="208"/>
      <c r="Z961" s="208"/>
      <c r="AA961" s="208"/>
      <c r="AB961" s="208"/>
      <c r="AC961" s="208"/>
      <c r="AD961" s="208"/>
      <c r="AE961" s="208"/>
      <c r="AF961" s="208"/>
      <c r="AG961" s="208"/>
      <c r="AH961" s="208"/>
      <c r="AI961" s="208"/>
      <c r="AJ961" s="208"/>
      <c r="AK961" s="208"/>
    </row>
    <row r="962">
      <c r="A962" s="208"/>
      <c r="B962" s="208"/>
      <c r="C962" s="208"/>
      <c r="D962" s="208"/>
      <c r="E962" s="208"/>
      <c r="F962" s="208"/>
      <c r="G962" s="208"/>
      <c r="H962" s="233"/>
      <c r="I962" s="234"/>
      <c r="J962" s="208"/>
      <c r="K962" s="208"/>
      <c r="L962" s="208"/>
      <c r="M962" s="208"/>
      <c r="N962" s="208"/>
      <c r="O962" s="208"/>
      <c r="P962" s="208"/>
      <c r="Q962" s="208"/>
      <c r="R962" s="208"/>
      <c r="S962" s="208"/>
      <c r="T962" s="208"/>
      <c r="U962" s="208"/>
      <c r="V962" s="208"/>
      <c r="W962" s="208"/>
      <c r="X962" s="208"/>
      <c r="Y962" s="208"/>
      <c r="Z962" s="208"/>
      <c r="AA962" s="208"/>
      <c r="AB962" s="208"/>
      <c r="AC962" s="208"/>
      <c r="AD962" s="208"/>
      <c r="AE962" s="208"/>
      <c r="AF962" s="208"/>
      <c r="AG962" s="208"/>
      <c r="AH962" s="208"/>
      <c r="AI962" s="208"/>
      <c r="AJ962" s="208"/>
      <c r="AK962" s="208"/>
    </row>
    <row r="963">
      <c r="A963" s="208"/>
      <c r="B963" s="208"/>
      <c r="C963" s="208"/>
      <c r="D963" s="208"/>
      <c r="E963" s="208"/>
      <c r="F963" s="208"/>
      <c r="G963" s="208"/>
      <c r="H963" s="233"/>
      <c r="I963" s="234"/>
      <c r="J963" s="208"/>
      <c r="K963" s="208"/>
      <c r="L963" s="208"/>
      <c r="M963" s="208"/>
      <c r="N963" s="208"/>
      <c r="O963" s="208"/>
      <c r="P963" s="208"/>
      <c r="Q963" s="208"/>
      <c r="R963" s="208"/>
      <c r="S963" s="208"/>
      <c r="T963" s="208"/>
      <c r="U963" s="208"/>
      <c r="V963" s="208"/>
      <c r="W963" s="208"/>
      <c r="X963" s="208"/>
      <c r="Y963" s="208"/>
      <c r="Z963" s="208"/>
      <c r="AA963" s="208"/>
      <c r="AB963" s="208"/>
      <c r="AC963" s="208"/>
      <c r="AD963" s="208"/>
      <c r="AE963" s="208"/>
      <c r="AF963" s="208"/>
      <c r="AG963" s="208"/>
      <c r="AH963" s="208"/>
      <c r="AI963" s="208"/>
      <c r="AJ963" s="208"/>
      <c r="AK963" s="208"/>
    </row>
    <row r="964">
      <c r="A964" s="208"/>
      <c r="B964" s="208"/>
      <c r="C964" s="208"/>
      <c r="D964" s="208"/>
      <c r="E964" s="208"/>
      <c r="F964" s="208"/>
      <c r="G964" s="208"/>
      <c r="H964" s="233"/>
      <c r="I964" s="234"/>
      <c r="J964" s="208"/>
      <c r="K964" s="208"/>
      <c r="L964" s="208"/>
      <c r="M964" s="208"/>
      <c r="N964" s="208"/>
      <c r="O964" s="208"/>
      <c r="P964" s="208"/>
      <c r="Q964" s="208"/>
      <c r="R964" s="208"/>
      <c r="S964" s="208"/>
      <c r="T964" s="208"/>
      <c r="U964" s="208"/>
      <c r="V964" s="208"/>
      <c r="W964" s="208"/>
      <c r="X964" s="208"/>
      <c r="Y964" s="208"/>
      <c r="Z964" s="208"/>
      <c r="AA964" s="208"/>
      <c r="AB964" s="208"/>
      <c r="AC964" s="208"/>
      <c r="AD964" s="208"/>
      <c r="AE964" s="208"/>
      <c r="AF964" s="208"/>
      <c r="AG964" s="208"/>
      <c r="AH964" s="208"/>
      <c r="AI964" s="208"/>
      <c r="AJ964" s="208"/>
      <c r="AK964" s="208"/>
    </row>
    <row r="965">
      <c r="A965" s="208"/>
      <c r="B965" s="208"/>
      <c r="C965" s="208"/>
      <c r="D965" s="208"/>
      <c r="E965" s="208"/>
      <c r="F965" s="208"/>
      <c r="G965" s="208"/>
      <c r="H965" s="233"/>
      <c r="I965" s="234"/>
      <c r="J965" s="208"/>
      <c r="K965" s="208"/>
      <c r="L965" s="208"/>
      <c r="M965" s="208"/>
      <c r="N965" s="208"/>
      <c r="O965" s="208"/>
      <c r="P965" s="208"/>
      <c r="Q965" s="208"/>
      <c r="R965" s="208"/>
      <c r="S965" s="208"/>
      <c r="T965" s="208"/>
      <c r="U965" s="208"/>
      <c r="V965" s="208"/>
      <c r="W965" s="208"/>
      <c r="X965" s="208"/>
      <c r="Y965" s="208"/>
      <c r="Z965" s="208"/>
      <c r="AA965" s="208"/>
      <c r="AB965" s="208"/>
      <c r="AC965" s="208"/>
      <c r="AD965" s="208"/>
      <c r="AE965" s="208"/>
      <c r="AF965" s="208"/>
      <c r="AG965" s="208"/>
      <c r="AH965" s="208"/>
      <c r="AI965" s="208"/>
      <c r="AJ965" s="208"/>
      <c r="AK965" s="208"/>
    </row>
    <row r="966">
      <c r="A966" s="208"/>
      <c r="B966" s="208"/>
      <c r="C966" s="208"/>
      <c r="D966" s="208"/>
      <c r="E966" s="208"/>
      <c r="F966" s="208"/>
      <c r="G966" s="208"/>
      <c r="H966" s="233"/>
      <c r="I966" s="234"/>
      <c r="J966" s="208"/>
      <c r="K966" s="208"/>
      <c r="L966" s="208"/>
      <c r="M966" s="208"/>
      <c r="N966" s="208"/>
      <c r="O966" s="208"/>
      <c r="P966" s="208"/>
      <c r="Q966" s="208"/>
      <c r="R966" s="208"/>
      <c r="S966" s="208"/>
      <c r="T966" s="208"/>
      <c r="U966" s="208"/>
      <c r="V966" s="208"/>
      <c r="W966" s="208"/>
      <c r="X966" s="208"/>
      <c r="Y966" s="208"/>
      <c r="Z966" s="208"/>
      <c r="AA966" s="208"/>
      <c r="AB966" s="208"/>
      <c r="AC966" s="208"/>
      <c r="AD966" s="208"/>
      <c r="AE966" s="208"/>
      <c r="AF966" s="208"/>
      <c r="AG966" s="208"/>
      <c r="AH966" s="208"/>
      <c r="AI966" s="208"/>
      <c r="AJ966" s="208"/>
      <c r="AK966" s="208"/>
    </row>
    <row r="967">
      <c r="A967" s="208"/>
      <c r="B967" s="208"/>
      <c r="C967" s="208"/>
      <c r="D967" s="208"/>
      <c r="E967" s="208"/>
      <c r="F967" s="208"/>
      <c r="G967" s="208"/>
      <c r="H967" s="233"/>
      <c r="I967" s="234"/>
      <c r="J967" s="208"/>
      <c r="K967" s="208"/>
      <c r="L967" s="208"/>
      <c r="M967" s="208"/>
      <c r="N967" s="208"/>
      <c r="O967" s="208"/>
      <c r="P967" s="208"/>
      <c r="Q967" s="208"/>
      <c r="R967" s="208"/>
      <c r="S967" s="208"/>
      <c r="T967" s="208"/>
      <c r="U967" s="208"/>
      <c r="V967" s="208"/>
      <c r="W967" s="208"/>
      <c r="X967" s="208"/>
      <c r="Y967" s="208"/>
      <c r="Z967" s="208"/>
      <c r="AA967" s="208"/>
      <c r="AB967" s="208"/>
      <c r="AC967" s="208"/>
      <c r="AD967" s="208"/>
      <c r="AE967" s="208"/>
      <c r="AF967" s="208"/>
      <c r="AG967" s="208"/>
      <c r="AH967" s="208"/>
      <c r="AI967" s="208"/>
      <c r="AJ967" s="208"/>
      <c r="AK967" s="208"/>
    </row>
    <row r="968">
      <c r="A968" s="208"/>
      <c r="B968" s="208"/>
      <c r="C968" s="208"/>
      <c r="D968" s="208"/>
      <c r="E968" s="208"/>
      <c r="F968" s="208"/>
      <c r="G968" s="208"/>
      <c r="H968" s="233"/>
      <c r="I968" s="234"/>
      <c r="J968" s="208"/>
      <c r="K968" s="208"/>
      <c r="L968" s="208"/>
      <c r="M968" s="208"/>
      <c r="N968" s="208"/>
      <c r="O968" s="208"/>
      <c r="P968" s="208"/>
      <c r="Q968" s="208"/>
      <c r="R968" s="208"/>
      <c r="S968" s="208"/>
      <c r="T968" s="208"/>
      <c r="U968" s="208"/>
      <c r="V968" s="208"/>
      <c r="W968" s="208"/>
      <c r="X968" s="208"/>
      <c r="Y968" s="208"/>
      <c r="Z968" s="208"/>
      <c r="AA968" s="208"/>
      <c r="AB968" s="208"/>
      <c r="AC968" s="208"/>
      <c r="AD968" s="208"/>
      <c r="AE968" s="208"/>
      <c r="AF968" s="208"/>
      <c r="AG968" s="208"/>
      <c r="AH968" s="208"/>
      <c r="AI968" s="208"/>
      <c r="AJ968" s="208"/>
      <c r="AK968" s="208"/>
    </row>
    <row r="969">
      <c r="A969" s="208"/>
      <c r="B969" s="208"/>
      <c r="C969" s="208"/>
      <c r="D969" s="208"/>
      <c r="E969" s="208"/>
      <c r="F969" s="208"/>
      <c r="G969" s="208"/>
      <c r="H969" s="233"/>
      <c r="I969" s="234"/>
      <c r="J969" s="208"/>
      <c r="K969" s="208"/>
      <c r="L969" s="208"/>
      <c r="M969" s="208"/>
      <c r="N969" s="208"/>
      <c r="O969" s="208"/>
      <c r="P969" s="208"/>
      <c r="Q969" s="208"/>
      <c r="R969" s="208"/>
      <c r="S969" s="208"/>
      <c r="T969" s="208"/>
      <c r="U969" s="208"/>
      <c r="V969" s="208"/>
      <c r="W969" s="208"/>
      <c r="X969" s="208"/>
      <c r="Y969" s="208"/>
      <c r="Z969" s="208"/>
      <c r="AA969" s="208"/>
      <c r="AB969" s="208"/>
      <c r="AC969" s="208"/>
      <c r="AD969" s="208"/>
      <c r="AE969" s="208"/>
      <c r="AF969" s="208"/>
      <c r="AG969" s="208"/>
      <c r="AH969" s="208"/>
      <c r="AI969" s="208"/>
      <c r="AJ969" s="208"/>
      <c r="AK969" s="208"/>
    </row>
    <row r="970">
      <c r="A970" s="208"/>
      <c r="B970" s="208"/>
      <c r="C970" s="208"/>
      <c r="D970" s="208"/>
      <c r="E970" s="208"/>
      <c r="F970" s="208"/>
      <c r="G970" s="208"/>
      <c r="H970" s="233"/>
      <c r="I970" s="234"/>
      <c r="J970" s="208"/>
      <c r="K970" s="208"/>
      <c r="L970" s="208"/>
      <c r="M970" s="208"/>
      <c r="N970" s="208"/>
      <c r="O970" s="208"/>
      <c r="P970" s="208"/>
      <c r="Q970" s="208"/>
      <c r="R970" s="208"/>
      <c r="S970" s="208"/>
      <c r="T970" s="208"/>
      <c r="U970" s="208"/>
      <c r="V970" s="208"/>
      <c r="W970" s="208"/>
      <c r="X970" s="208"/>
      <c r="Y970" s="208"/>
      <c r="Z970" s="208"/>
      <c r="AA970" s="208"/>
      <c r="AB970" s="208"/>
      <c r="AC970" s="208"/>
      <c r="AD970" s="208"/>
      <c r="AE970" s="208"/>
      <c r="AF970" s="208"/>
      <c r="AG970" s="208"/>
      <c r="AH970" s="208"/>
      <c r="AI970" s="208"/>
      <c r="AJ970" s="208"/>
      <c r="AK970" s="208"/>
    </row>
    <row r="971">
      <c r="A971" s="208"/>
      <c r="B971" s="208"/>
      <c r="C971" s="208"/>
      <c r="D971" s="208"/>
      <c r="E971" s="208"/>
      <c r="F971" s="208"/>
      <c r="G971" s="208"/>
      <c r="H971" s="233"/>
      <c r="I971" s="234"/>
      <c r="J971" s="208"/>
      <c r="K971" s="208"/>
      <c r="L971" s="208"/>
      <c r="M971" s="208"/>
      <c r="N971" s="208"/>
      <c r="O971" s="208"/>
      <c r="P971" s="208"/>
      <c r="Q971" s="208"/>
      <c r="R971" s="208"/>
      <c r="S971" s="208"/>
      <c r="T971" s="208"/>
      <c r="U971" s="208"/>
      <c r="V971" s="208"/>
      <c r="W971" s="208"/>
      <c r="X971" s="208"/>
      <c r="Y971" s="208"/>
      <c r="Z971" s="208"/>
      <c r="AA971" s="208"/>
      <c r="AB971" s="208"/>
      <c r="AC971" s="208"/>
      <c r="AD971" s="208"/>
      <c r="AE971" s="208"/>
      <c r="AF971" s="208"/>
      <c r="AG971" s="208"/>
      <c r="AH971" s="208"/>
      <c r="AI971" s="208"/>
      <c r="AJ971" s="208"/>
      <c r="AK971" s="208"/>
    </row>
    <row r="972">
      <c r="A972" s="208"/>
      <c r="B972" s="208"/>
      <c r="C972" s="208"/>
      <c r="D972" s="208"/>
      <c r="E972" s="208"/>
      <c r="F972" s="208"/>
      <c r="G972" s="208"/>
      <c r="H972" s="233"/>
      <c r="I972" s="234"/>
      <c r="J972" s="208"/>
      <c r="K972" s="208"/>
      <c r="L972" s="208"/>
      <c r="M972" s="208"/>
      <c r="N972" s="208"/>
      <c r="O972" s="208"/>
      <c r="P972" s="208"/>
      <c r="Q972" s="208"/>
      <c r="R972" s="208"/>
      <c r="S972" s="208"/>
      <c r="T972" s="208"/>
      <c r="U972" s="208"/>
      <c r="V972" s="208"/>
      <c r="W972" s="208"/>
      <c r="X972" s="208"/>
      <c r="Y972" s="208"/>
      <c r="Z972" s="208"/>
      <c r="AA972" s="208"/>
      <c r="AB972" s="208"/>
      <c r="AC972" s="208"/>
      <c r="AD972" s="208"/>
      <c r="AE972" s="208"/>
      <c r="AF972" s="208"/>
      <c r="AG972" s="208"/>
      <c r="AH972" s="208"/>
      <c r="AI972" s="208"/>
      <c r="AJ972" s="208"/>
      <c r="AK972" s="208"/>
    </row>
    <row r="973">
      <c r="A973" s="208"/>
      <c r="B973" s="208"/>
      <c r="C973" s="208"/>
      <c r="D973" s="208"/>
      <c r="E973" s="208"/>
      <c r="F973" s="208"/>
      <c r="G973" s="208"/>
      <c r="H973" s="233"/>
      <c r="I973" s="234"/>
      <c r="J973" s="208"/>
      <c r="K973" s="208"/>
      <c r="L973" s="208"/>
      <c r="M973" s="208"/>
      <c r="N973" s="208"/>
      <c r="O973" s="208"/>
      <c r="P973" s="208"/>
      <c r="Q973" s="208"/>
      <c r="R973" s="208"/>
      <c r="S973" s="208"/>
      <c r="T973" s="208"/>
      <c r="U973" s="208"/>
      <c r="V973" s="208"/>
      <c r="W973" s="208"/>
      <c r="X973" s="208"/>
      <c r="Y973" s="208"/>
      <c r="Z973" s="208"/>
      <c r="AA973" s="208"/>
      <c r="AB973" s="208"/>
      <c r="AC973" s="208"/>
      <c r="AD973" s="208"/>
      <c r="AE973" s="208"/>
      <c r="AF973" s="208"/>
      <c r="AG973" s="208"/>
      <c r="AH973" s="208"/>
      <c r="AI973" s="208"/>
      <c r="AJ973" s="208"/>
      <c r="AK973" s="208"/>
    </row>
    <row r="974">
      <c r="A974" s="208"/>
      <c r="B974" s="208"/>
      <c r="C974" s="208"/>
      <c r="D974" s="208"/>
      <c r="E974" s="208"/>
      <c r="F974" s="208"/>
      <c r="G974" s="208"/>
      <c r="H974" s="233"/>
      <c r="I974" s="234"/>
      <c r="J974" s="208"/>
      <c r="K974" s="208"/>
      <c r="L974" s="208"/>
      <c r="M974" s="208"/>
      <c r="N974" s="208"/>
      <c r="O974" s="208"/>
      <c r="P974" s="208"/>
      <c r="Q974" s="208"/>
      <c r="R974" s="208"/>
      <c r="S974" s="208"/>
      <c r="T974" s="208"/>
      <c r="U974" s="208"/>
      <c r="V974" s="208"/>
      <c r="W974" s="208"/>
      <c r="X974" s="208"/>
      <c r="Y974" s="208"/>
      <c r="Z974" s="208"/>
      <c r="AA974" s="208"/>
      <c r="AB974" s="208"/>
      <c r="AC974" s="208"/>
      <c r="AD974" s="208"/>
      <c r="AE974" s="208"/>
      <c r="AF974" s="208"/>
      <c r="AG974" s="208"/>
      <c r="AH974" s="208"/>
      <c r="AI974" s="208"/>
      <c r="AJ974" s="208"/>
      <c r="AK974" s="208"/>
    </row>
    <row r="975">
      <c r="A975" s="208"/>
      <c r="B975" s="208"/>
      <c r="C975" s="208"/>
      <c r="D975" s="208"/>
      <c r="E975" s="208"/>
      <c r="F975" s="208"/>
      <c r="G975" s="208"/>
      <c r="H975" s="233"/>
      <c r="I975" s="234"/>
      <c r="J975" s="208"/>
      <c r="K975" s="208"/>
      <c r="L975" s="208"/>
      <c r="M975" s="208"/>
      <c r="N975" s="208"/>
      <c r="O975" s="208"/>
      <c r="P975" s="208"/>
      <c r="Q975" s="208"/>
      <c r="R975" s="208"/>
      <c r="S975" s="208"/>
      <c r="T975" s="208"/>
      <c r="U975" s="208"/>
      <c r="V975" s="208"/>
      <c r="W975" s="208"/>
      <c r="X975" s="208"/>
      <c r="Y975" s="208"/>
      <c r="Z975" s="208"/>
      <c r="AA975" s="208"/>
      <c r="AB975" s="208"/>
      <c r="AC975" s="208"/>
      <c r="AD975" s="208"/>
      <c r="AE975" s="208"/>
      <c r="AF975" s="208"/>
      <c r="AG975" s="208"/>
      <c r="AH975" s="208"/>
      <c r="AI975" s="208"/>
      <c r="AJ975" s="208"/>
      <c r="AK975" s="208"/>
    </row>
    <row r="976">
      <c r="A976" s="208"/>
      <c r="B976" s="208"/>
      <c r="C976" s="208"/>
      <c r="D976" s="208"/>
      <c r="E976" s="208"/>
      <c r="F976" s="208"/>
      <c r="G976" s="208"/>
      <c r="H976" s="233"/>
      <c r="I976" s="234"/>
      <c r="J976" s="208"/>
      <c r="K976" s="208"/>
      <c r="L976" s="208"/>
      <c r="M976" s="208"/>
      <c r="N976" s="208"/>
      <c r="O976" s="208"/>
      <c r="P976" s="208"/>
      <c r="Q976" s="208"/>
      <c r="R976" s="208"/>
      <c r="S976" s="208"/>
      <c r="T976" s="208"/>
      <c r="U976" s="208"/>
      <c r="V976" s="208"/>
      <c r="W976" s="208"/>
      <c r="X976" s="208"/>
      <c r="Y976" s="208"/>
      <c r="Z976" s="208"/>
      <c r="AA976" s="208"/>
      <c r="AB976" s="208"/>
      <c r="AC976" s="208"/>
      <c r="AD976" s="208"/>
      <c r="AE976" s="208"/>
      <c r="AF976" s="208"/>
      <c r="AG976" s="208"/>
      <c r="AH976" s="208"/>
      <c r="AI976" s="208"/>
      <c r="AJ976" s="208"/>
      <c r="AK976" s="208"/>
    </row>
    <row r="977">
      <c r="A977" s="208"/>
      <c r="B977" s="208"/>
      <c r="C977" s="208"/>
      <c r="D977" s="208"/>
      <c r="E977" s="208"/>
      <c r="F977" s="208"/>
      <c r="G977" s="208"/>
      <c r="H977" s="233"/>
      <c r="I977" s="234"/>
      <c r="J977" s="208"/>
      <c r="K977" s="208"/>
      <c r="L977" s="208"/>
      <c r="M977" s="208"/>
      <c r="N977" s="208"/>
      <c r="O977" s="208"/>
      <c r="P977" s="208"/>
      <c r="Q977" s="208"/>
      <c r="R977" s="208"/>
      <c r="S977" s="208"/>
      <c r="T977" s="208"/>
      <c r="U977" s="208"/>
      <c r="V977" s="208"/>
      <c r="W977" s="208"/>
      <c r="X977" s="208"/>
      <c r="Y977" s="208"/>
      <c r="Z977" s="208"/>
      <c r="AA977" s="208"/>
      <c r="AB977" s="208"/>
      <c r="AC977" s="208"/>
      <c r="AD977" s="208"/>
      <c r="AE977" s="208"/>
      <c r="AF977" s="208"/>
      <c r="AG977" s="208"/>
      <c r="AH977" s="208"/>
      <c r="AI977" s="208"/>
      <c r="AJ977" s="208"/>
      <c r="AK977" s="208"/>
    </row>
    <row r="978">
      <c r="A978" s="208"/>
      <c r="B978" s="208"/>
      <c r="C978" s="208"/>
      <c r="D978" s="208"/>
      <c r="E978" s="208"/>
      <c r="F978" s="208"/>
      <c r="G978" s="208"/>
      <c r="H978" s="233"/>
      <c r="I978" s="234"/>
      <c r="J978" s="208"/>
      <c r="K978" s="208"/>
      <c r="L978" s="208"/>
      <c r="M978" s="208"/>
      <c r="N978" s="208"/>
      <c r="O978" s="208"/>
      <c r="P978" s="208"/>
      <c r="Q978" s="208"/>
      <c r="R978" s="208"/>
      <c r="S978" s="208"/>
      <c r="T978" s="208"/>
      <c r="U978" s="208"/>
      <c r="V978" s="208"/>
      <c r="W978" s="208"/>
      <c r="X978" s="208"/>
      <c r="Y978" s="208"/>
      <c r="Z978" s="208"/>
      <c r="AA978" s="208"/>
      <c r="AB978" s="208"/>
      <c r="AC978" s="208"/>
      <c r="AD978" s="208"/>
      <c r="AE978" s="208"/>
      <c r="AF978" s="208"/>
      <c r="AG978" s="208"/>
      <c r="AH978" s="208"/>
      <c r="AI978" s="208"/>
      <c r="AJ978" s="208"/>
      <c r="AK978" s="208"/>
    </row>
    <row r="979">
      <c r="A979" s="208"/>
      <c r="B979" s="208"/>
      <c r="C979" s="208"/>
      <c r="D979" s="208"/>
      <c r="E979" s="208"/>
      <c r="F979" s="208"/>
      <c r="G979" s="208"/>
      <c r="H979" s="233"/>
      <c r="I979" s="234"/>
      <c r="J979" s="208"/>
      <c r="K979" s="208"/>
      <c r="L979" s="208"/>
      <c r="M979" s="208"/>
      <c r="N979" s="208"/>
      <c r="O979" s="208"/>
      <c r="P979" s="208"/>
      <c r="Q979" s="208"/>
      <c r="R979" s="208"/>
      <c r="S979" s="208"/>
      <c r="T979" s="208"/>
      <c r="U979" s="208"/>
      <c r="V979" s="208"/>
      <c r="W979" s="208"/>
      <c r="X979" s="208"/>
      <c r="Y979" s="208"/>
      <c r="Z979" s="208"/>
      <c r="AA979" s="208"/>
      <c r="AB979" s="208"/>
      <c r="AC979" s="208"/>
      <c r="AD979" s="208"/>
      <c r="AE979" s="208"/>
      <c r="AF979" s="208"/>
      <c r="AG979" s="208"/>
      <c r="AH979" s="208"/>
      <c r="AI979" s="208"/>
      <c r="AJ979" s="208"/>
      <c r="AK979" s="208"/>
    </row>
    <row r="980">
      <c r="A980" s="208"/>
      <c r="B980" s="208"/>
      <c r="C980" s="208"/>
      <c r="D980" s="208"/>
      <c r="E980" s="208"/>
      <c r="F980" s="208"/>
      <c r="G980" s="208"/>
      <c r="H980" s="233"/>
      <c r="I980" s="234"/>
      <c r="J980" s="208"/>
      <c r="K980" s="208"/>
      <c r="L980" s="208"/>
      <c r="M980" s="208"/>
      <c r="N980" s="208"/>
      <c r="O980" s="208"/>
      <c r="P980" s="208"/>
      <c r="Q980" s="208"/>
      <c r="R980" s="208"/>
      <c r="S980" s="208"/>
      <c r="T980" s="208"/>
      <c r="U980" s="208"/>
      <c r="V980" s="208"/>
      <c r="W980" s="208"/>
      <c r="X980" s="208"/>
      <c r="Y980" s="208"/>
      <c r="Z980" s="208"/>
      <c r="AA980" s="208"/>
      <c r="AB980" s="208"/>
      <c r="AC980" s="208"/>
      <c r="AD980" s="208"/>
      <c r="AE980" s="208"/>
      <c r="AF980" s="208"/>
      <c r="AG980" s="208"/>
      <c r="AH980" s="208"/>
      <c r="AI980" s="208"/>
      <c r="AJ980" s="208"/>
      <c r="AK980" s="208"/>
    </row>
    <row r="981">
      <c r="A981" s="208"/>
      <c r="B981" s="208"/>
      <c r="C981" s="208"/>
      <c r="D981" s="208"/>
      <c r="E981" s="208"/>
      <c r="F981" s="208"/>
      <c r="G981" s="208"/>
      <c r="H981" s="233"/>
      <c r="I981" s="234"/>
      <c r="J981" s="208"/>
      <c r="K981" s="208"/>
      <c r="L981" s="208"/>
      <c r="M981" s="208"/>
      <c r="N981" s="208"/>
      <c r="O981" s="208"/>
      <c r="P981" s="208"/>
      <c r="Q981" s="208"/>
      <c r="R981" s="208"/>
      <c r="S981" s="208"/>
      <c r="T981" s="208"/>
      <c r="U981" s="208"/>
      <c r="V981" s="208"/>
      <c r="W981" s="208"/>
      <c r="X981" s="208"/>
      <c r="Y981" s="208"/>
      <c r="Z981" s="208"/>
      <c r="AA981" s="208"/>
      <c r="AB981" s="208"/>
      <c r="AC981" s="208"/>
      <c r="AD981" s="208"/>
      <c r="AE981" s="208"/>
      <c r="AF981" s="208"/>
      <c r="AG981" s="208"/>
      <c r="AH981" s="208"/>
      <c r="AI981" s="208"/>
      <c r="AJ981" s="208"/>
      <c r="AK981" s="208"/>
    </row>
    <row r="982">
      <c r="A982" s="208"/>
      <c r="B982" s="208"/>
      <c r="C982" s="208"/>
      <c r="D982" s="208"/>
      <c r="E982" s="208"/>
      <c r="F982" s="208"/>
      <c r="G982" s="208"/>
      <c r="H982" s="233"/>
      <c r="I982" s="234"/>
      <c r="J982" s="208"/>
      <c r="K982" s="208"/>
      <c r="L982" s="208"/>
      <c r="M982" s="208"/>
      <c r="N982" s="208"/>
      <c r="O982" s="208"/>
      <c r="P982" s="208"/>
      <c r="Q982" s="208"/>
      <c r="R982" s="208"/>
      <c r="S982" s="208"/>
      <c r="T982" s="208"/>
      <c r="U982" s="208"/>
      <c r="V982" s="208"/>
      <c r="W982" s="208"/>
      <c r="X982" s="208"/>
      <c r="Y982" s="208"/>
      <c r="Z982" s="208"/>
      <c r="AA982" s="208"/>
      <c r="AB982" s="208"/>
      <c r="AC982" s="208"/>
      <c r="AD982" s="208"/>
      <c r="AE982" s="208"/>
      <c r="AF982" s="208"/>
      <c r="AG982" s="208"/>
      <c r="AH982" s="208"/>
      <c r="AI982" s="208"/>
      <c r="AJ982" s="208"/>
      <c r="AK982" s="208"/>
    </row>
    <row r="983">
      <c r="A983" s="208"/>
      <c r="B983" s="208"/>
      <c r="C983" s="208"/>
      <c r="D983" s="208"/>
      <c r="E983" s="208"/>
      <c r="F983" s="208"/>
      <c r="G983" s="208"/>
      <c r="H983" s="233"/>
      <c r="I983" s="234"/>
      <c r="J983" s="208"/>
      <c r="K983" s="208"/>
      <c r="L983" s="208"/>
      <c r="M983" s="208"/>
      <c r="N983" s="208"/>
      <c r="O983" s="208"/>
      <c r="P983" s="208"/>
      <c r="Q983" s="208"/>
      <c r="R983" s="208"/>
      <c r="S983" s="208"/>
      <c r="T983" s="208"/>
      <c r="U983" s="208"/>
      <c r="V983" s="208"/>
      <c r="W983" s="208"/>
      <c r="X983" s="208"/>
      <c r="Y983" s="208"/>
      <c r="Z983" s="208"/>
      <c r="AA983" s="208"/>
      <c r="AB983" s="208"/>
      <c r="AC983" s="208"/>
      <c r="AD983" s="208"/>
      <c r="AE983" s="208"/>
      <c r="AF983" s="208"/>
      <c r="AG983" s="208"/>
      <c r="AH983" s="208"/>
      <c r="AI983" s="208"/>
      <c r="AJ983" s="208"/>
      <c r="AK983" s="208"/>
    </row>
    <row r="984">
      <c r="A984" s="208"/>
      <c r="B984" s="208"/>
      <c r="C984" s="208"/>
      <c r="D984" s="208"/>
      <c r="E984" s="208"/>
      <c r="F984" s="208"/>
      <c r="G984" s="208"/>
      <c r="H984" s="233"/>
      <c r="I984" s="234"/>
      <c r="J984" s="208"/>
      <c r="K984" s="208"/>
      <c r="L984" s="208"/>
      <c r="M984" s="208"/>
      <c r="N984" s="208"/>
      <c r="O984" s="208"/>
      <c r="P984" s="208"/>
      <c r="Q984" s="208"/>
      <c r="R984" s="208"/>
      <c r="S984" s="208"/>
      <c r="T984" s="208"/>
      <c r="U984" s="208"/>
      <c r="V984" s="208"/>
      <c r="W984" s="208"/>
      <c r="X984" s="208"/>
      <c r="Y984" s="208"/>
      <c r="Z984" s="208"/>
      <c r="AA984" s="208"/>
      <c r="AB984" s="208"/>
      <c r="AC984" s="208"/>
      <c r="AD984" s="208"/>
      <c r="AE984" s="208"/>
      <c r="AF984" s="208"/>
      <c r="AG984" s="208"/>
      <c r="AH984" s="208"/>
      <c r="AI984" s="208"/>
      <c r="AJ984" s="208"/>
      <c r="AK984" s="208"/>
    </row>
    <row r="985">
      <c r="A985" s="208"/>
      <c r="B985" s="208"/>
      <c r="C985" s="208"/>
      <c r="D985" s="208"/>
      <c r="E985" s="208"/>
      <c r="F985" s="208"/>
      <c r="G985" s="208"/>
      <c r="H985" s="233"/>
      <c r="I985" s="234"/>
      <c r="J985" s="208"/>
      <c r="K985" s="208"/>
      <c r="L985" s="208"/>
      <c r="M985" s="208"/>
      <c r="N985" s="208"/>
      <c r="O985" s="208"/>
      <c r="P985" s="208"/>
      <c r="Q985" s="208"/>
      <c r="R985" s="208"/>
      <c r="S985" s="208"/>
      <c r="T985" s="208"/>
      <c r="U985" s="208"/>
      <c r="V985" s="208"/>
      <c r="W985" s="208"/>
      <c r="X985" s="208"/>
      <c r="Y985" s="208"/>
      <c r="Z985" s="208"/>
      <c r="AA985" s="208"/>
      <c r="AB985" s="208"/>
      <c r="AC985" s="208"/>
      <c r="AD985" s="208"/>
      <c r="AE985" s="208"/>
      <c r="AF985" s="208"/>
      <c r="AG985" s="208"/>
      <c r="AH985" s="208"/>
      <c r="AI985" s="208"/>
      <c r="AJ985" s="208"/>
      <c r="AK985" s="208"/>
    </row>
    <row r="986">
      <c r="A986" s="208"/>
      <c r="B986" s="208"/>
      <c r="C986" s="208"/>
      <c r="D986" s="208"/>
      <c r="E986" s="208"/>
      <c r="F986" s="208"/>
      <c r="G986" s="208"/>
      <c r="H986" s="233"/>
      <c r="I986" s="234"/>
      <c r="J986" s="208"/>
      <c r="K986" s="208"/>
      <c r="L986" s="208"/>
      <c r="M986" s="208"/>
      <c r="N986" s="208"/>
      <c r="O986" s="208"/>
      <c r="P986" s="208"/>
      <c r="Q986" s="208"/>
      <c r="R986" s="208"/>
      <c r="S986" s="208"/>
      <c r="T986" s="208"/>
      <c r="U986" s="208"/>
      <c r="V986" s="208"/>
      <c r="W986" s="208"/>
      <c r="X986" s="208"/>
      <c r="Y986" s="208"/>
      <c r="Z986" s="208"/>
      <c r="AA986" s="208"/>
      <c r="AB986" s="208"/>
      <c r="AC986" s="208"/>
      <c r="AD986" s="208"/>
      <c r="AE986" s="208"/>
      <c r="AF986" s="208"/>
      <c r="AG986" s="208"/>
      <c r="AH986" s="208"/>
      <c r="AI986" s="208"/>
      <c r="AJ986" s="208"/>
      <c r="AK986" s="208"/>
    </row>
    <row r="987">
      <c r="A987" s="208"/>
      <c r="B987" s="208"/>
      <c r="C987" s="208"/>
      <c r="D987" s="208"/>
      <c r="E987" s="208"/>
      <c r="F987" s="208"/>
      <c r="G987" s="208"/>
      <c r="H987" s="233"/>
      <c r="I987" s="234"/>
      <c r="J987" s="208"/>
      <c r="K987" s="208"/>
      <c r="L987" s="208"/>
      <c r="M987" s="208"/>
      <c r="N987" s="208"/>
      <c r="O987" s="208"/>
      <c r="P987" s="208"/>
      <c r="Q987" s="208"/>
      <c r="R987" s="208"/>
      <c r="S987" s="208"/>
      <c r="T987" s="208"/>
      <c r="U987" s="208"/>
      <c r="V987" s="208"/>
      <c r="W987" s="208"/>
      <c r="X987" s="208"/>
      <c r="Y987" s="208"/>
      <c r="Z987" s="208"/>
      <c r="AA987" s="208"/>
      <c r="AB987" s="208"/>
      <c r="AC987" s="208"/>
      <c r="AD987" s="208"/>
      <c r="AE987" s="208"/>
      <c r="AF987" s="208"/>
      <c r="AG987" s="208"/>
      <c r="AH987" s="208"/>
      <c r="AI987" s="208"/>
      <c r="AJ987" s="208"/>
      <c r="AK987" s="208"/>
    </row>
    <row r="988">
      <c r="A988" s="208"/>
      <c r="B988" s="208"/>
      <c r="C988" s="208"/>
      <c r="D988" s="208"/>
      <c r="E988" s="208"/>
      <c r="F988" s="208"/>
      <c r="G988" s="208"/>
      <c r="H988" s="233"/>
      <c r="I988" s="234"/>
      <c r="J988" s="208"/>
      <c r="K988" s="208"/>
      <c r="L988" s="208"/>
      <c r="M988" s="208"/>
      <c r="N988" s="208"/>
      <c r="O988" s="208"/>
      <c r="P988" s="208"/>
      <c r="Q988" s="208"/>
      <c r="R988" s="208"/>
      <c r="S988" s="208"/>
      <c r="T988" s="208"/>
      <c r="U988" s="208"/>
      <c r="V988" s="208"/>
      <c r="W988" s="208"/>
      <c r="X988" s="208"/>
      <c r="Y988" s="208"/>
      <c r="Z988" s="208"/>
      <c r="AA988" s="208"/>
      <c r="AB988" s="208"/>
      <c r="AC988" s="208"/>
      <c r="AD988" s="208"/>
      <c r="AE988" s="208"/>
      <c r="AF988" s="208"/>
      <c r="AG988" s="208"/>
      <c r="AH988" s="208"/>
      <c r="AI988" s="208"/>
      <c r="AJ988" s="208"/>
      <c r="AK988" s="208"/>
    </row>
    <row r="989">
      <c r="A989" s="208"/>
      <c r="B989" s="208"/>
      <c r="C989" s="208"/>
      <c r="D989" s="208"/>
      <c r="E989" s="208"/>
      <c r="F989" s="208"/>
      <c r="G989" s="208"/>
      <c r="H989" s="233"/>
      <c r="I989" s="234"/>
      <c r="J989" s="208"/>
      <c r="K989" s="208"/>
      <c r="L989" s="208"/>
      <c r="M989" s="208"/>
      <c r="N989" s="208"/>
      <c r="O989" s="208"/>
      <c r="P989" s="208"/>
      <c r="Q989" s="208"/>
      <c r="R989" s="208"/>
      <c r="S989" s="208"/>
      <c r="T989" s="208"/>
      <c r="U989" s="208"/>
      <c r="V989" s="208"/>
      <c r="W989" s="208"/>
      <c r="X989" s="208"/>
      <c r="Y989" s="208"/>
      <c r="Z989" s="208"/>
      <c r="AA989" s="208"/>
      <c r="AB989" s="208"/>
      <c r="AC989" s="208"/>
      <c r="AD989" s="208"/>
      <c r="AE989" s="208"/>
      <c r="AF989" s="208"/>
      <c r="AG989" s="208"/>
      <c r="AH989" s="208"/>
      <c r="AI989" s="208"/>
      <c r="AJ989" s="208"/>
      <c r="AK989" s="208"/>
    </row>
    <row r="990">
      <c r="A990" s="208"/>
      <c r="B990" s="208"/>
      <c r="C990" s="208"/>
      <c r="D990" s="208"/>
      <c r="E990" s="208"/>
      <c r="F990" s="208"/>
      <c r="G990" s="208"/>
      <c r="H990" s="233"/>
      <c r="I990" s="234"/>
      <c r="J990" s="208"/>
      <c r="K990" s="208"/>
      <c r="L990" s="208"/>
      <c r="M990" s="208"/>
      <c r="N990" s="208"/>
      <c r="O990" s="208"/>
      <c r="P990" s="208"/>
      <c r="Q990" s="208"/>
      <c r="R990" s="208"/>
      <c r="S990" s="208"/>
      <c r="T990" s="208"/>
      <c r="U990" s="208"/>
      <c r="V990" s="208"/>
      <c r="W990" s="208"/>
      <c r="X990" s="208"/>
      <c r="Y990" s="208"/>
      <c r="Z990" s="208"/>
      <c r="AA990" s="208"/>
      <c r="AB990" s="208"/>
      <c r="AC990" s="208"/>
      <c r="AD990" s="208"/>
      <c r="AE990" s="208"/>
      <c r="AF990" s="208"/>
      <c r="AG990" s="208"/>
      <c r="AH990" s="208"/>
      <c r="AI990" s="208"/>
      <c r="AJ990" s="208"/>
      <c r="AK990" s="208"/>
    </row>
    <row r="991">
      <c r="A991" s="208"/>
      <c r="B991" s="208"/>
      <c r="C991" s="208"/>
      <c r="D991" s="208"/>
      <c r="E991" s="208"/>
      <c r="F991" s="208"/>
      <c r="G991" s="208"/>
      <c r="H991" s="233"/>
      <c r="I991" s="234"/>
      <c r="J991" s="208"/>
      <c r="K991" s="208"/>
      <c r="L991" s="208"/>
      <c r="M991" s="208"/>
      <c r="N991" s="208"/>
      <c r="O991" s="208"/>
      <c r="P991" s="208"/>
      <c r="Q991" s="208"/>
      <c r="R991" s="208"/>
      <c r="S991" s="208"/>
      <c r="T991" s="208"/>
      <c r="U991" s="208"/>
      <c r="V991" s="208"/>
      <c r="W991" s="208"/>
      <c r="X991" s="208"/>
      <c r="Y991" s="208"/>
      <c r="Z991" s="208"/>
      <c r="AA991" s="208"/>
      <c r="AB991" s="208"/>
      <c r="AC991" s="208"/>
      <c r="AD991" s="208"/>
      <c r="AE991" s="208"/>
      <c r="AF991" s="208"/>
      <c r="AG991" s="208"/>
      <c r="AH991" s="208"/>
      <c r="AI991" s="208"/>
      <c r="AJ991" s="208"/>
      <c r="AK991" s="208"/>
    </row>
    <row r="992">
      <c r="A992" s="208"/>
      <c r="B992" s="208"/>
      <c r="C992" s="208"/>
      <c r="D992" s="208"/>
      <c r="E992" s="208"/>
      <c r="F992" s="208"/>
      <c r="G992" s="208"/>
      <c r="H992" s="233"/>
      <c r="I992" s="234"/>
      <c r="J992" s="208"/>
      <c r="K992" s="208"/>
      <c r="L992" s="208"/>
      <c r="M992" s="208"/>
      <c r="N992" s="208"/>
      <c r="O992" s="208"/>
      <c r="P992" s="208"/>
      <c r="Q992" s="208"/>
      <c r="R992" s="208"/>
      <c r="S992" s="208"/>
      <c r="T992" s="208"/>
      <c r="U992" s="208"/>
      <c r="V992" s="208"/>
      <c r="W992" s="208"/>
      <c r="X992" s="208"/>
      <c r="Y992" s="208"/>
      <c r="Z992" s="208"/>
      <c r="AA992" s="208"/>
      <c r="AB992" s="208"/>
      <c r="AC992" s="208"/>
      <c r="AD992" s="208"/>
      <c r="AE992" s="208"/>
      <c r="AF992" s="208"/>
      <c r="AG992" s="208"/>
      <c r="AH992" s="208"/>
      <c r="AI992" s="208"/>
      <c r="AJ992" s="208"/>
      <c r="AK992" s="208"/>
    </row>
    <row r="993">
      <c r="A993" s="208"/>
      <c r="B993" s="208"/>
      <c r="C993" s="208"/>
      <c r="D993" s="208"/>
      <c r="E993" s="208"/>
      <c r="F993" s="208"/>
      <c r="G993" s="208"/>
      <c r="H993" s="233"/>
      <c r="I993" s="234"/>
      <c r="J993" s="208"/>
      <c r="K993" s="208"/>
      <c r="L993" s="208"/>
      <c r="M993" s="208"/>
      <c r="N993" s="208"/>
      <c r="O993" s="208"/>
      <c r="P993" s="208"/>
      <c r="Q993" s="208"/>
      <c r="R993" s="208"/>
      <c r="S993" s="208"/>
      <c r="T993" s="208"/>
      <c r="U993" s="208"/>
      <c r="V993" s="208"/>
      <c r="W993" s="208"/>
      <c r="X993" s="208"/>
      <c r="Y993" s="208"/>
      <c r="Z993" s="208"/>
      <c r="AA993" s="208"/>
      <c r="AB993" s="208"/>
      <c r="AC993" s="208"/>
      <c r="AD993" s="208"/>
      <c r="AE993" s="208"/>
      <c r="AF993" s="208"/>
      <c r="AG993" s="208"/>
      <c r="AH993" s="208"/>
      <c r="AI993" s="208"/>
      <c r="AJ993" s="208"/>
      <c r="AK993" s="208"/>
    </row>
    <row r="994">
      <c r="A994" s="208"/>
      <c r="B994" s="208"/>
      <c r="C994" s="208"/>
      <c r="D994" s="208"/>
      <c r="E994" s="208"/>
      <c r="F994" s="208"/>
      <c r="G994" s="208"/>
      <c r="H994" s="233"/>
      <c r="I994" s="234"/>
      <c r="J994" s="208"/>
      <c r="K994" s="208"/>
      <c r="L994" s="208"/>
      <c r="M994" s="208"/>
      <c r="N994" s="208"/>
      <c r="O994" s="208"/>
      <c r="P994" s="208"/>
      <c r="Q994" s="208"/>
      <c r="R994" s="208"/>
      <c r="S994" s="208"/>
      <c r="T994" s="208"/>
      <c r="U994" s="208"/>
      <c r="V994" s="208"/>
      <c r="W994" s="208"/>
      <c r="X994" s="208"/>
      <c r="Y994" s="208"/>
      <c r="Z994" s="208"/>
      <c r="AA994" s="208"/>
      <c r="AB994" s="208"/>
      <c r="AC994" s="208"/>
      <c r="AD994" s="208"/>
      <c r="AE994" s="208"/>
      <c r="AF994" s="208"/>
      <c r="AG994" s="208"/>
      <c r="AH994" s="208"/>
      <c r="AI994" s="208"/>
      <c r="AJ994" s="208"/>
      <c r="AK994" s="208"/>
    </row>
    <row r="995">
      <c r="A995" s="208"/>
      <c r="B995" s="208"/>
      <c r="C995" s="208"/>
      <c r="D995" s="208"/>
      <c r="E995" s="208"/>
      <c r="F995" s="208"/>
      <c r="G995" s="208"/>
      <c r="H995" s="233"/>
      <c r="I995" s="234"/>
      <c r="J995" s="208"/>
      <c r="K995" s="208"/>
      <c r="L995" s="208"/>
      <c r="M995" s="208"/>
      <c r="N995" s="208"/>
      <c r="O995" s="208"/>
      <c r="P995" s="208"/>
      <c r="Q995" s="208"/>
      <c r="R995" s="208"/>
      <c r="S995" s="208"/>
      <c r="T995" s="208"/>
      <c r="U995" s="208"/>
      <c r="V995" s="208"/>
      <c r="W995" s="208"/>
      <c r="X995" s="208"/>
      <c r="Y995" s="208"/>
      <c r="Z995" s="208"/>
      <c r="AA995" s="208"/>
      <c r="AB995" s="208"/>
      <c r="AC995" s="208"/>
      <c r="AD995" s="208"/>
      <c r="AE995" s="208"/>
      <c r="AF995" s="208"/>
      <c r="AG995" s="208"/>
      <c r="AH995" s="208"/>
      <c r="AI995" s="208"/>
      <c r="AJ995" s="208"/>
      <c r="AK995" s="208"/>
    </row>
    <row r="996">
      <c r="A996" s="208"/>
      <c r="B996" s="208"/>
      <c r="C996" s="208"/>
      <c r="D996" s="208"/>
      <c r="E996" s="208"/>
      <c r="F996" s="208"/>
      <c r="G996" s="208"/>
      <c r="H996" s="233"/>
      <c r="I996" s="234"/>
      <c r="J996" s="208"/>
      <c r="K996" s="208"/>
      <c r="L996" s="208"/>
      <c r="M996" s="208"/>
      <c r="N996" s="208"/>
      <c r="O996" s="208"/>
      <c r="P996" s="208"/>
      <c r="Q996" s="208"/>
      <c r="R996" s="208"/>
      <c r="S996" s="208"/>
      <c r="T996" s="208"/>
      <c r="U996" s="208"/>
      <c r="V996" s="208"/>
      <c r="W996" s="208"/>
      <c r="X996" s="208"/>
      <c r="Y996" s="208"/>
      <c r="Z996" s="208"/>
      <c r="AA996" s="208"/>
      <c r="AB996" s="208"/>
      <c r="AC996" s="208"/>
      <c r="AD996" s="208"/>
      <c r="AE996" s="208"/>
      <c r="AF996" s="208"/>
      <c r="AG996" s="208"/>
      <c r="AH996" s="208"/>
      <c r="AI996" s="208"/>
      <c r="AJ996" s="208"/>
      <c r="AK996" s="208"/>
    </row>
    <row r="997">
      <c r="A997" s="208"/>
      <c r="B997" s="208"/>
      <c r="C997" s="208"/>
      <c r="D997" s="208"/>
      <c r="E997" s="208"/>
      <c r="F997" s="208"/>
      <c r="G997" s="208"/>
      <c r="H997" s="233"/>
      <c r="I997" s="234"/>
      <c r="J997" s="208"/>
      <c r="K997" s="208"/>
      <c r="L997" s="208"/>
      <c r="M997" s="208"/>
      <c r="N997" s="208"/>
      <c r="O997" s="208"/>
      <c r="P997" s="208"/>
      <c r="Q997" s="208"/>
      <c r="R997" s="208"/>
      <c r="S997" s="208"/>
      <c r="T997" s="208"/>
      <c r="U997" s="208"/>
      <c r="V997" s="208"/>
      <c r="W997" s="208"/>
      <c r="X997" s="208"/>
      <c r="Y997" s="208"/>
      <c r="Z997" s="208"/>
      <c r="AA997" s="208"/>
      <c r="AB997" s="208"/>
      <c r="AC997" s="208"/>
      <c r="AD997" s="208"/>
      <c r="AE997" s="208"/>
      <c r="AF997" s="208"/>
      <c r="AG997" s="208"/>
      <c r="AH997" s="208"/>
      <c r="AI997" s="208"/>
      <c r="AJ997" s="208"/>
      <c r="AK997" s="208"/>
    </row>
    <row r="998">
      <c r="A998" s="208"/>
      <c r="B998" s="208"/>
      <c r="C998" s="208"/>
      <c r="D998" s="208"/>
      <c r="E998" s="208"/>
      <c r="F998" s="208"/>
      <c r="G998" s="208"/>
      <c r="H998" s="233"/>
      <c r="I998" s="234"/>
      <c r="J998" s="208"/>
      <c r="K998" s="208"/>
      <c r="L998" s="208"/>
      <c r="M998" s="208"/>
      <c r="N998" s="208"/>
      <c r="O998" s="208"/>
      <c r="P998" s="208"/>
      <c r="Q998" s="208"/>
      <c r="R998" s="208"/>
      <c r="S998" s="208"/>
      <c r="T998" s="208"/>
      <c r="U998" s="208"/>
      <c r="V998" s="208"/>
      <c r="W998" s="208"/>
      <c r="X998" s="208"/>
      <c r="Y998" s="208"/>
      <c r="Z998" s="208"/>
      <c r="AA998" s="208"/>
      <c r="AB998" s="208"/>
      <c r="AC998" s="208"/>
      <c r="AD998" s="208"/>
      <c r="AE998" s="208"/>
      <c r="AF998" s="208"/>
      <c r="AG998" s="208"/>
      <c r="AH998" s="208"/>
      <c r="AI998" s="208"/>
      <c r="AJ998" s="208"/>
      <c r="AK998" s="208"/>
    </row>
    <row r="999">
      <c r="A999" s="208"/>
      <c r="B999" s="208"/>
      <c r="C999" s="208"/>
      <c r="D999" s="208"/>
      <c r="E999" s="208"/>
      <c r="F999" s="208"/>
      <c r="G999" s="208"/>
      <c r="H999" s="233"/>
      <c r="I999" s="234"/>
      <c r="J999" s="208"/>
      <c r="K999" s="208"/>
      <c r="L999" s="208"/>
      <c r="M999" s="208"/>
      <c r="N999" s="208"/>
      <c r="O999" s="208"/>
      <c r="P999" s="208"/>
      <c r="Q999" s="208"/>
      <c r="R999" s="208"/>
      <c r="S999" s="208"/>
      <c r="T999" s="208"/>
      <c r="U999" s="208"/>
      <c r="V999" s="208"/>
      <c r="W999" s="208"/>
      <c r="X999" s="208"/>
      <c r="Y999" s="208"/>
      <c r="Z999" s="208"/>
      <c r="AA999" s="208"/>
      <c r="AB999" s="208"/>
      <c r="AC999" s="208"/>
      <c r="AD999" s="208"/>
      <c r="AE999" s="208"/>
      <c r="AF999" s="208"/>
      <c r="AG999" s="208"/>
      <c r="AH999" s="208"/>
      <c r="AI999" s="208"/>
      <c r="AJ999" s="208"/>
      <c r="AK999" s="208"/>
    </row>
    <row r="1000">
      <c r="A1000" s="208"/>
      <c r="B1000" s="208"/>
      <c r="C1000" s="208"/>
      <c r="D1000" s="208"/>
      <c r="E1000" s="208"/>
      <c r="F1000" s="208"/>
      <c r="G1000" s="208"/>
      <c r="H1000" s="233"/>
      <c r="I1000" s="234"/>
      <c r="J1000" s="208"/>
      <c r="K1000" s="208"/>
      <c r="L1000" s="208"/>
      <c r="M1000" s="208"/>
      <c r="N1000" s="208"/>
      <c r="O1000" s="208"/>
      <c r="P1000" s="208"/>
      <c r="Q1000" s="208"/>
      <c r="R1000" s="208"/>
      <c r="S1000" s="208"/>
      <c r="T1000" s="208"/>
      <c r="U1000" s="208"/>
      <c r="V1000" s="208"/>
      <c r="W1000" s="208"/>
      <c r="X1000" s="208"/>
      <c r="Y1000" s="208"/>
      <c r="Z1000" s="208"/>
      <c r="AA1000" s="208"/>
      <c r="AB1000" s="208"/>
      <c r="AC1000" s="208"/>
      <c r="AD1000" s="208"/>
      <c r="AE1000" s="208"/>
      <c r="AF1000" s="208"/>
      <c r="AG1000" s="208"/>
      <c r="AH1000" s="208"/>
      <c r="AI1000" s="208"/>
      <c r="AJ1000" s="208"/>
      <c r="AK1000" s="208"/>
    </row>
  </sheetData>
  <drawing r:id="rId1"/>
</worksheet>
</file>